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gif" ContentType="image/gi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drawings/drawing3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5.xml" ContentType="application/vnd.openxmlformats-officedocument.spreadsheetml.pivotTable+xml"/>
  <Override PartName="/xl/drawings/drawing4.xml" ContentType="application/vnd.openxmlformats-officedocument.drawing+xml"/>
  <Override PartName="/xl/slicers/slicer2.xml" ContentType="application/vnd.ms-excel.slicer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4.xml" ContentType="application/vnd.openxmlformats-officedocument.spreadsheetml.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5.xml" ContentType="application/vnd.openxmlformats-officedocument.drawing+xml"/>
  <Override PartName="/xl/slicers/slicer3.xml" ContentType="application/vnd.ms-excel.slicer+xml"/>
  <Override PartName="/xl/drawings/drawing6.xml" ContentType="application/vnd.openxmlformats-officedocument.drawing+xml"/>
  <Override PartName="/xl/slicers/slicer4.xml" ContentType="application/vnd.ms-excel.slicer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ćko\Desktop\"/>
    </mc:Choice>
  </mc:AlternateContent>
  <xr:revisionPtr revIDLastSave="0" documentId="13_ncr:1_{B62352E8-858B-43BB-8000-C57D4D6EB4D3}" xr6:coauthVersionLast="47" xr6:coauthVersionMax="47" xr10:uidLastSave="{00000000-0000-0000-0000-000000000000}"/>
  <bookViews>
    <workbookView xWindow="-120" yWindow="-120" windowWidth="29040" windowHeight="15840" tabRatio="704" activeTab="2" xr2:uid="{961D712E-6D1B-4ABE-B1E2-8A3E17208D6E}"/>
  </bookViews>
  <sheets>
    <sheet name="Players" sheetId="2" r:id="rId1"/>
    <sheet name="Match" sheetId="3" r:id="rId2"/>
    <sheet name="Matches" sheetId="10" r:id="rId3"/>
    <sheet name="Formacje" sheetId="22" state="hidden" r:id="rId4"/>
    <sheet name="Clubes" sheetId="19" r:id="rId5"/>
    <sheet name="Juniores" sheetId="21" r:id="rId6"/>
    <sheet name="Randabaut" sheetId="7" r:id="rId7"/>
    <sheet name="Juniorstwo" sheetId="6" r:id="rId8"/>
    <sheet name="Bloki" sheetId="13" state="hidden" r:id="rId9"/>
    <sheet name="Brudnopis" sheetId="1" state="hidden" r:id="rId10"/>
    <sheet name="PozycjeMG" sheetId="4" state="hidden" r:id="rId11"/>
    <sheet name="PozycjeMM" sheetId="17" state="hidden" r:id="rId12"/>
    <sheet name="PozycjeŚr" sheetId="18" r:id="rId13"/>
    <sheet name="Dashboard" sheetId="5" r:id="rId14"/>
    <sheet name="ZawodnicyMecze" sheetId="26" state="hidden" r:id="rId15"/>
    <sheet name="OcenaZespołu" sheetId="14" r:id="rId16"/>
    <sheet name="Compare" sheetId="15" r:id="rId17"/>
    <sheet name="Radar" sheetId="16" r:id="rId18"/>
    <sheet name="Rankingi" sheetId="23" r:id="rId19"/>
    <sheet name="Test" sheetId="25" r:id="rId20"/>
  </sheets>
  <definedNames>
    <definedName name="_xlnm._FilterDatabase" localSheetId="9" hidden="1">Brudnopis!$G$34:$G$37</definedName>
    <definedName name="_xlcn.WorksheetConnection_managerzone74spierdoloza.xlsxRadar1" hidden="1">Radar[]</definedName>
    <definedName name="_xlcn.WorksheetConnection_managerzone74testtttt.xlsxMecze1" hidden="1">Mecze[]</definedName>
    <definedName name="_xlcn.WorksheetConnection_managerzone74testtttt.xlsxMeczusie1" hidden="1">Meczusie[]</definedName>
    <definedName name="_xlcn.WorksheetConnection_managerzone74testtttt.xlsxZawodnicy1" hidden="1">Zawodnicy[]</definedName>
    <definedName name="_xlcn.WorksheetConnection_managerzone75.xlsxKlubiki1" hidden="1">Klubiki[]</definedName>
    <definedName name="_xlcn.WorksheetConnection_managerzone75.xlsxZawodnicyLiga1" hidden="1">ZawodnicyLiga</definedName>
    <definedName name="dynamiczny_zakres">OFFSET(ZawodnicyMecze!$B$2,MATCH(Compare!$J$1,ZawodnicyMecze!$A$2:$A$1000,0)-1,0,COUNTIF(ZawodnicyMecze!$A$2:$A$1000,Compare!$J$1))</definedName>
    <definedName name="dynamiczny_zakres_s2">OFFSET(ZawodnicyMecze!$B$2,MATCH(Compare!$Z$1,ZawodnicyMecze!$A$2:$A$1000,0)-1,0,COUNTIF(ZawodnicyMecze!$A$2:$A$1000,Compare!$Z$1))</definedName>
    <definedName name="dynamiczny_zakres_zawodnicy">OFFSET(ZawodnicyMecze!$B$1,MATCH(Compare!$J$1,ZawodnicyMecze!$A$1:$A$1000,0)-1,0,COUNTIF(ZawodnicyMecze!$A$1:$A$1000,Compare!$J$1),2)</definedName>
    <definedName name="dynamiczny_zakres_zawodnicy_s2">OFFSET(ZawodnicyMecze!$B$1,MATCH(Compare!$Z$1,ZawodnicyMecze!$A$1:$A$1000,0)-1,0,COUNTIF(ZawodnicyMecze!$A$1:$A$1000,Compare!$Z$1),2)</definedName>
    <definedName name="Fragmentator_Mecz">#N/A</definedName>
    <definedName name="Fragmentator_Nazwa">#N/A</definedName>
    <definedName name="Fragmentator_Nazwa_zawodnika">#N/A</definedName>
    <definedName name="Fragmentator_Nazwa1">#N/A</definedName>
    <definedName name="Fragmentator_Nazwa2">#N/A</definedName>
    <definedName name="Fragmentator_RodzajMeczu">#N/A</definedName>
    <definedName name="Fragmentator_RodzajMeczu1">#N/A</definedName>
    <definedName name="Fragmentator_RodzajMeczu2">#N/A</definedName>
    <definedName name="Fragmentator_Rola">#N/A</definedName>
    <definedName name="Fragmentator_Typ_meczu">#N/A</definedName>
    <definedName name="status_zawodnika">OFFSET(#REF!,MATCH(Compare!$J$1,#REF!,0),0,COUNTIF(#REF!,Compare!$J$1))</definedName>
    <definedName name="_xlnm.Extract" localSheetId="9">Brudnopis!$J$33</definedName>
  </definedNames>
  <calcPr calcId="191029" iterateDelta="1E-4"/>
  <pivotCaches>
    <pivotCache cacheId="0" r:id="rId21"/>
    <pivotCache cacheId="1" r:id="rId22"/>
    <pivotCache cacheId="2" r:id="rId23"/>
  </pivotCaches>
  <extLst>
    <ext xmlns:x14="http://schemas.microsoft.com/office/spreadsheetml/2009/9/main" uri="{876F7934-8845-4945-9796-88D515C7AA90}">
      <x14:pivotCaches>
        <pivotCache cacheId="3" r:id="rId24"/>
        <pivotCache cacheId="4" r:id="rId25"/>
        <pivotCache cacheId="5" r:id="rId26"/>
        <pivotCache cacheId="6" r:id="rId27"/>
      </x14:pivotCaches>
    </ext>
    <ext xmlns:x14="http://schemas.microsoft.com/office/spreadsheetml/2009/9/main" uri="{BBE1A952-AA13-448e-AADC-164F8A28A991}">
      <x14:slicerCaches>
        <x14:slicerCache r:id="rId28"/>
        <x14:slicerCache r:id="rId29"/>
        <x14:slicerCache r:id="rId30"/>
        <x14:slicerCache r:id="rId31"/>
        <x14:slicerCache r:id="rId32"/>
        <x14:slicerCache r:id="rId33"/>
        <x14:slicerCache r:id="rId34"/>
        <x14:slicerCache r:id="rId35"/>
        <x14:slicerCache r:id="rId36"/>
        <x14:slicerCache r:id="rId3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841E416B-1EF1-43b6-AB56-02D37102CBD5}">
      <x15:pivotCaches>
        <pivotCache cacheId="23" r:id="rId38"/>
        <pivotCache cacheId="26" r:id="rId39"/>
        <pivotCache cacheId="29" r:id="rId40"/>
        <pivotCache cacheId="32" r:id="rId41"/>
        <pivotCache cacheId="35" r:id="rId42"/>
        <pivotCache cacheId="38" r:id="rId43"/>
        <pivotCache cacheId="41" r:id="rId44"/>
        <pivotCache cacheId="44" r:id="rId45"/>
        <pivotCache cacheId="47" r:id="rId46"/>
        <pivotCache cacheId="50" r:id="rId47"/>
        <pivotCache cacheId="53" r:id="rId48"/>
        <pivotCache cacheId="56" r:id="rId49"/>
        <pivotCache cacheId="59" r:id="rId50"/>
        <pivotCache cacheId="62" r:id="rId51"/>
      </x15:pivotCaches>
    </ext>
    <ext xmlns:x15="http://schemas.microsoft.com/office/spreadsheetml/2010/11/main" uri="{983426D0-5260-488c-9760-48F4B6AC55F4}">
      <x15:pivotTableReferences>
        <x15:pivotTableReference r:id="rId52"/>
        <x15:pivotTableReference r:id="rId53"/>
        <x15:pivotTableReference r:id="rId54"/>
        <x15:pivotTableReference r:id="rId55"/>
        <x15:pivotTableReference r:id="rId56"/>
        <x15:pivotTableReference r:id="rId57"/>
        <x15:pivotTableReference r:id="rId58"/>
        <x15:pivotTableReference r:id="rId59"/>
        <x15:pivotTableReference r:id="rId60"/>
        <x15:pivotTableReference r:id="rId61"/>
        <x15:pivotTableReference r:id="rId62"/>
        <x15:pivotTableReference r:id="rId63"/>
        <x15:pivotTableReference r:id="rId64"/>
        <x15:pivotTableReference r:id="rId65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alendarz_9e7852a5-8953-4555-b4ba-8e940f8aee81" name="Kalendarz" connection="Zapytanie — Kalendarz"/>
          <x15:modelTable id="ZawodnicyLiga" name="ZawodnicyLiga" connection="WorksheetConnection_managerzone75.xlsx!ZawodnicyLiga"/>
          <x15:modelTable id="Klubiki" name="Klubiki" connection="WorksheetConnection_managerzone75.xlsx!Klubiki"/>
          <x15:modelTable id="Zawodnicy" name="Zawodnicy" connection="WorksheetConnection_managerzone74testtttt.xlsx!Zawodnicy"/>
          <x15:modelTable id="Meczusie" name="Meczusie" connection="WorksheetConnection_managerzone74testtttt.xlsx!Meczusie"/>
          <x15:modelTable id="Mecze" name="Mecze" connection="WorksheetConnection_managerzone74testtttt.xlsx!Mecze"/>
          <x15:modelTable id="Radar" name="Radar" connection="WorksheetConnection_managerzone74spierdoloza.xlsx!Radar"/>
        </x15:modelTables>
        <x15:modelRelationships>
          <x15:modelRelationship fromTable="Mecze" fromColumn="Mecz" toTable="Meczusie" toColumn="Mecz"/>
          <x15:modelRelationship fromTable="Mecze" fromColumn="TEAM" toTable="Klubiki" toColumn="ID"/>
          <x15:modelRelationship fromTable="Radar" fromColumn="Numer" toTable="Zawodnicy" toColumn="Numer"/>
          <x15:modelRelationship fromTable="ZawodnicyLiga" fromColumn="IDTeam" toTable="Klubiki" toColumn="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3" i="15" l="1"/>
  <c r="M3838" i="3" l="1"/>
  <c r="M3839" i="3"/>
  <c r="M3840" i="3"/>
  <c r="M3841" i="3"/>
  <c r="M3842" i="3"/>
  <c r="M3843" i="3"/>
  <c r="M3844" i="3"/>
  <c r="M3845" i="3"/>
  <c r="M3846" i="3"/>
  <c r="M3847" i="3"/>
  <c r="M3848" i="3"/>
  <c r="P3838" i="3"/>
  <c r="P3839" i="3"/>
  <c r="P3840" i="3"/>
  <c r="P3841" i="3"/>
  <c r="P3842" i="3"/>
  <c r="P3843" i="3"/>
  <c r="P3844" i="3"/>
  <c r="P3845" i="3"/>
  <c r="P3846" i="3"/>
  <c r="P3847" i="3"/>
  <c r="P3848" i="3"/>
  <c r="Q3838" i="3"/>
  <c r="Q3839" i="3"/>
  <c r="Q3840" i="3"/>
  <c r="Q3841" i="3"/>
  <c r="Q3842" i="3"/>
  <c r="Q3843" i="3"/>
  <c r="Q3844" i="3"/>
  <c r="Q3845" i="3"/>
  <c r="Q3846" i="3"/>
  <c r="Q3847" i="3"/>
  <c r="Q3848" i="3"/>
  <c r="R3838" i="3"/>
  <c r="R3839" i="3"/>
  <c r="R3840" i="3"/>
  <c r="R3841" i="3"/>
  <c r="R3842" i="3"/>
  <c r="R3843" i="3"/>
  <c r="R3844" i="3"/>
  <c r="R3845" i="3"/>
  <c r="R3846" i="3"/>
  <c r="R3847" i="3"/>
  <c r="R3848" i="3"/>
  <c r="S3839" i="3"/>
  <c r="S3840" i="3"/>
  <c r="S3841" i="3"/>
  <c r="S3842" i="3"/>
  <c r="S3843" i="3"/>
  <c r="S3844" i="3"/>
  <c r="S3845" i="3"/>
  <c r="S3846" i="3"/>
  <c r="S3847" i="3"/>
  <c r="S3848" i="3"/>
  <c r="T3838" i="3"/>
  <c r="U3838" i="3"/>
  <c r="V3838" i="3"/>
  <c r="W3838" i="3"/>
  <c r="X3838" i="3"/>
  <c r="AA3838" i="3"/>
  <c r="AA3839" i="3"/>
  <c r="AA3840" i="3"/>
  <c r="AA3841" i="3"/>
  <c r="AA3842" i="3"/>
  <c r="AA3843" i="3"/>
  <c r="AA3844" i="3"/>
  <c r="AA3845" i="3"/>
  <c r="AA3846" i="3"/>
  <c r="AA3847" i="3"/>
  <c r="AA3848" i="3"/>
  <c r="AB3838" i="3"/>
  <c r="O3838" i="3" s="1"/>
  <c r="Y3838" i="3" s="1"/>
  <c r="AB3839" i="3"/>
  <c r="O3839" i="3" s="1"/>
  <c r="AB3840" i="3"/>
  <c r="O3840" i="3" s="1"/>
  <c r="AB3841" i="3"/>
  <c r="O3841" i="3" s="1"/>
  <c r="AB3842" i="3"/>
  <c r="O3842" i="3" s="1"/>
  <c r="AB3843" i="3"/>
  <c r="O3843" i="3" s="1"/>
  <c r="AB3844" i="3"/>
  <c r="O3844" i="3" s="1"/>
  <c r="AB3845" i="3"/>
  <c r="O3845" i="3" s="1"/>
  <c r="AB3846" i="3"/>
  <c r="O3846" i="3" s="1"/>
  <c r="AB3847" i="3"/>
  <c r="O3847" i="3" s="1"/>
  <c r="AB3848" i="3"/>
  <c r="O3848" i="3" s="1"/>
  <c r="AC3838" i="3"/>
  <c r="N3838" i="3" s="1"/>
  <c r="S3838" i="3" s="1"/>
  <c r="Z3838" i="3" s="1"/>
  <c r="AC3839" i="3"/>
  <c r="N3839" i="3" s="1"/>
  <c r="AC3840" i="3"/>
  <c r="N3840" i="3" s="1"/>
  <c r="AC3841" i="3"/>
  <c r="N3841" i="3" s="1"/>
  <c r="AC3842" i="3"/>
  <c r="N3842" i="3" s="1"/>
  <c r="AC3843" i="3"/>
  <c r="N3843" i="3" s="1"/>
  <c r="AC3844" i="3"/>
  <c r="N3844" i="3" s="1"/>
  <c r="AC3845" i="3"/>
  <c r="N3845" i="3" s="1"/>
  <c r="AC3846" i="3"/>
  <c r="N3846" i="3" s="1"/>
  <c r="AC3847" i="3"/>
  <c r="N3847" i="3" s="1"/>
  <c r="AC3848" i="3"/>
  <c r="N3848" i="3" s="1"/>
  <c r="AK3838" i="3"/>
  <c r="AK3839" i="3"/>
  <c r="AK3840" i="3"/>
  <c r="AK3841" i="3"/>
  <c r="AK3842" i="3"/>
  <c r="AK3843" i="3"/>
  <c r="AK3844" i="3"/>
  <c r="AK3845" i="3"/>
  <c r="AK3846" i="3"/>
  <c r="AK3847" i="3"/>
  <c r="AK3848" i="3"/>
  <c r="N225" i="10"/>
  <c r="M225" i="10"/>
  <c r="M3827" i="3"/>
  <c r="M3828" i="3"/>
  <c r="M3829" i="3"/>
  <c r="M3830" i="3"/>
  <c r="M3831" i="3"/>
  <c r="M3832" i="3"/>
  <c r="M3833" i="3"/>
  <c r="M3834" i="3"/>
  <c r="M3835" i="3"/>
  <c r="M3836" i="3"/>
  <c r="M3837" i="3"/>
  <c r="P3827" i="3"/>
  <c r="P3828" i="3"/>
  <c r="P3829" i="3"/>
  <c r="P3830" i="3"/>
  <c r="P3831" i="3"/>
  <c r="P3832" i="3"/>
  <c r="P3833" i="3"/>
  <c r="P3834" i="3"/>
  <c r="P3835" i="3"/>
  <c r="P3836" i="3"/>
  <c r="P3837" i="3"/>
  <c r="Q3827" i="3"/>
  <c r="Q3828" i="3"/>
  <c r="Q3829" i="3"/>
  <c r="Q3830" i="3"/>
  <c r="Q3831" i="3"/>
  <c r="Q3832" i="3"/>
  <c r="Q3833" i="3"/>
  <c r="Q3834" i="3"/>
  <c r="Q3835" i="3"/>
  <c r="Q3836" i="3"/>
  <c r="Q3837" i="3"/>
  <c r="R3827" i="3"/>
  <c r="R3828" i="3"/>
  <c r="R3829" i="3"/>
  <c r="R3830" i="3"/>
  <c r="R3831" i="3"/>
  <c r="R3832" i="3"/>
  <c r="R3833" i="3"/>
  <c r="R3834" i="3"/>
  <c r="R3835" i="3"/>
  <c r="R3836" i="3"/>
  <c r="R3837" i="3"/>
  <c r="S3828" i="3"/>
  <c r="S3829" i="3"/>
  <c r="S3830" i="3"/>
  <c r="S3831" i="3"/>
  <c r="S3832" i="3"/>
  <c r="S3833" i="3"/>
  <c r="S3834" i="3"/>
  <c r="S3835" i="3"/>
  <c r="S3836" i="3"/>
  <c r="S3837" i="3"/>
  <c r="T3827" i="3"/>
  <c r="U3827" i="3"/>
  <c r="V3827" i="3"/>
  <c r="W3827" i="3"/>
  <c r="X3827" i="3"/>
  <c r="AA3827" i="3"/>
  <c r="AA3828" i="3"/>
  <c r="AA3829" i="3"/>
  <c r="AA3830" i="3"/>
  <c r="AA3831" i="3"/>
  <c r="AA3832" i="3"/>
  <c r="AA3833" i="3"/>
  <c r="AA3834" i="3"/>
  <c r="AA3835" i="3"/>
  <c r="AA3836" i="3"/>
  <c r="AA3837" i="3"/>
  <c r="AB3827" i="3"/>
  <c r="O3827" i="3" s="1"/>
  <c r="Y3827" i="3" s="1"/>
  <c r="AB3828" i="3"/>
  <c r="O3828" i="3" s="1"/>
  <c r="AB3829" i="3"/>
  <c r="O3829" i="3" s="1"/>
  <c r="AB3830" i="3"/>
  <c r="O3830" i="3" s="1"/>
  <c r="AB3831" i="3"/>
  <c r="O3831" i="3" s="1"/>
  <c r="AB3832" i="3"/>
  <c r="O3832" i="3" s="1"/>
  <c r="AB3833" i="3"/>
  <c r="O3833" i="3" s="1"/>
  <c r="AB3834" i="3"/>
  <c r="O3834" i="3" s="1"/>
  <c r="AB3835" i="3"/>
  <c r="O3835" i="3" s="1"/>
  <c r="AB3836" i="3"/>
  <c r="O3836" i="3" s="1"/>
  <c r="AB3837" i="3"/>
  <c r="O3837" i="3" s="1"/>
  <c r="AC3827" i="3"/>
  <c r="N3827" i="3" s="1"/>
  <c r="S3827" i="3" s="1"/>
  <c r="AC3828" i="3"/>
  <c r="N3828" i="3" s="1"/>
  <c r="AC3829" i="3"/>
  <c r="N3829" i="3" s="1"/>
  <c r="AC3830" i="3"/>
  <c r="N3830" i="3" s="1"/>
  <c r="AC3831" i="3"/>
  <c r="N3831" i="3" s="1"/>
  <c r="AC3832" i="3"/>
  <c r="N3832" i="3" s="1"/>
  <c r="AC3833" i="3"/>
  <c r="N3833" i="3" s="1"/>
  <c r="AC3834" i="3"/>
  <c r="N3834" i="3" s="1"/>
  <c r="AC3835" i="3"/>
  <c r="N3835" i="3" s="1"/>
  <c r="AC3836" i="3"/>
  <c r="N3836" i="3" s="1"/>
  <c r="AC3837" i="3"/>
  <c r="N3837" i="3" s="1"/>
  <c r="AK3827" i="3"/>
  <c r="AK3828" i="3"/>
  <c r="AK3829" i="3"/>
  <c r="AK3830" i="3"/>
  <c r="AK3831" i="3"/>
  <c r="AK3832" i="3"/>
  <c r="AK3833" i="3"/>
  <c r="AK3834" i="3"/>
  <c r="AK3835" i="3"/>
  <c r="AK3836" i="3"/>
  <c r="AK3837" i="3"/>
  <c r="M224" i="10"/>
  <c r="U3848" i="3" l="1"/>
  <c r="W3848" i="3"/>
  <c r="Y3848" i="3"/>
  <c r="T3848" i="3"/>
  <c r="V3848" i="3"/>
  <c r="X3848" i="3"/>
  <c r="U3844" i="3"/>
  <c r="W3844" i="3"/>
  <c r="Y3844" i="3"/>
  <c r="T3844" i="3"/>
  <c r="V3844" i="3"/>
  <c r="X3844" i="3"/>
  <c r="U3840" i="3"/>
  <c r="W3840" i="3"/>
  <c r="Y3840" i="3"/>
  <c r="T3840" i="3"/>
  <c r="V3840" i="3"/>
  <c r="X3840" i="3"/>
  <c r="U3846" i="3"/>
  <c r="W3846" i="3"/>
  <c r="Y3846" i="3"/>
  <c r="T3846" i="3"/>
  <c r="V3846" i="3"/>
  <c r="X3846" i="3"/>
  <c r="U3842" i="3"/>
  <c r="W3842" i="3"/>
  <c r="Y3842" i="3"/>
  <c r="T3842" i="3"/>
  <c r="V3842" i="3"/>
  <c r="X3842" i="3"/>
  <c r="T3847" i="3"/>
  <c r="V3847" i="3"/>
  <c r="X3847" i="3"/>
  <c r="U3847" i="3"/>
  <c r="W3847" i="3"/>
  <c r="Y3847" i="3"/>
  <c r="T3845" i="3"/>
  <c r="V3845" i="3"/>
  <c r="X3845" i="3"/>
  <c r="U3845" i="3"/>
  <c r="W3845" i="3"/>
  <c r="Y3845" i="3"/>
  <c r="T3843" i="3"/>
  <c r="V3843" i="3"/>
  <c r="X3843" i="3"/>
  <c r="U3843" i="3"/>
  <c r="W3843" i="3"/>
  <c r="Y3843" i="3"/>
  <c r="T3841" i="3"/>
  <c r="V3841" i="3"/>
  <c r="X3841" i="3"/>
  <c r="U3841" i="3"/>
  <c r="W3841" i="3"/>
  <c r="Y3841" i="3"/>
  <c r="T3839" i="3"/>
  <c r="V3839" i="3"/>
  <c r="X3839" i="3"/>
  <c r="U3839" i="3"/>
  <c r="W3839" i="3"/>
  <c r="Y3839" i="3"/>
  <c r="Z3827" i="3"/>
  <c r="U3835" i="3"/>
  <c r="W3835" i="3"/>
  <c r="Y3835" i="3"/>
  <c r="T3835" i="3"/>
  <c r="V3835" i="3"/>
  <c r="X3835" i="3"/>
  <c r="U3837" i="3"/>
  <c r="W3837" i="3"/>
  <c r="Y3837" i="3"/>
  <c r="T3837" i="3"/>
  <c r="V3837" i="3"/>
  <c r="X3837" i="3"/>
  <c r="U3833" i="3"/>
  <c r="W3833" i="3"/>
  <c r="Y3833" i="3"/>
  <c r="T3833" i="3"/>
  <c r="V3833" i="3"/>
  <c r="X3833" i="3"/>
  <c r="U3831" i="3"/>
  <c r="W3831" i="3"/>
  <c r="Y3831" i="3"/>
  <c r="T3831" i="3"/>
  <c r="V3831" i="3"/>
  <c r="X3831" i="3"/>
  <c r="U3829" i="3"/>
  <c r="W3829" i="3"/>
  <c r="Y3829" i="3"/>
  <c r="T3829" i="3"/>
  <c r="V3829" i="3"/>
  <c r="X3829" i="3"/>
  <c r="T3836" i="3"/>
  <c r="V3836" i="3"/>
  <c r="X3836" i="3"/>
  <c r="U3836" i="3"/>
  <c r="W3836" i="3"/>
  <c r="Y3836" i="3"/>
  <c r="T3834" i="3"/>
  <c r="V3834" i="3"/>
  <c r="X3834" i="3"/>
  <c r="U3834" i="3"/>
  <c r="W3834" i="3"/>
  <c r="Y3834" i="3"/>
  <c r="T3832" i="3"/>
  <c r="V3832" i="3"/>
  <c r="X3832" i="3"/>
  <c r="U3832" i="3"/>
  <c r="W3832" i="3"/>
  <c r="Y3832" i="3"/>
  <c r="T3830" i="3"/>
  <c r="V3830" i="3"/>
  <c r="X3830" i="3"/>
  <c r="U3830" i="3"/>
  <c r="W3830" i="3"/>
  <c r="Y3830" i="3"/>
  <c r="T3828" i="3"/>
  <c r="V3828" i="3"/>
  <c r="X3828" i="3"/>
  <c r="U3828" i="3"/>
  <c r="W3828" i="3"/>
  <c r="Y3828" i="3"/>
  <c r="A2" i="16"/>
  <c r="B2" i="16" s="1"/>
  <c r="W35" i="2"/>
  <c r="V35" i="2"/>
  <c r="C22" i="4"/>
  <c r="C24" i="4"/>
  <c r="C26" i="4"/>
  <c r="C28" i="4"/>
  <c r="C30" i="4"/>
  <c r="C32" i="4"/>
  <c r="C34" i="4"/>
  <c r="C36" i="4"/>
  <c r="C38" i="4"/>
  <c r="C23" i="4"/>
  <c r="C25" i="4"/>
  <c r="C27" i="4"/>
  <c r="C29" i="4"/>
  <c r="C31" i="4"/>
  <c r="C33" i="4"/>
  <c r="C35" i="4"/>
  <c r="C37" i="4"/>
  <c r="C39" i="4"/>
  <c r="D23" i="4"/>
  <c r="D25" i="4"/>
  <c r="D27" i="4"/>
  <c r="D29" i="4"/>
  <c r="D31" i="4"/>
  <c r="D33" i="4"/>
  <c r="D35" i="4"/>
  <c r="D37" i="4"/>
  <c r="D39" i="4"/>
  <c r="E21" i="4"/>
  <c r="E23" i="4"/>
  <c r="E25" i="4"/>
  <c r="E27" i="4"/>
  <c r="E29" i="4"/>
  <c r="E31" i="4"/>
  <c r="E33" i="4"/>
  <c r="E35" i="4"/>
  <c r="E37" i="4"/>
  <c r="E39" i="4"/>
  <c r="F21" i="4"/>
  <c r="F23" i="4"/>
  <c r="F25" i="4"/>
  <c r="F27" i="4"/>
  <c r="F29" i="4"/>
  <c r="F31" i="4"/>
  <c r="F33" i="4"/>
  <c r="F35" i="4"/>
  <c r="F37" i="4"/>
  <c r="F39" i="4"/>
  <c r="G21" i="4"/>
  <c r="G23" i="4"/>
  <c r="G25" i="4"/>
  <c r="G27" i="4"/>
  <c r="G29" i="4"/>
  <c r="G31" i="4"/>
  <c r="G33" i="4"/>
  <c r="G35" i="4"/>
  <c r="G37" i="4"/>
  <c r="G39" i="4"/>
  <c r="H21" i="4"/>
  <c r="H23" i="4"/>
  <c r="H25" i="4"/>
  <c r="H27" i="4"/>
  <c r="H29" i="4"/>
  <c r="H31" i="4"/>
  <c r="H33" i="4"/>
  <c r="H35" i="4"/>
  <c r="H37" i="4"/>
  <c r="H39" i="4"/>
  <c r="I21" i="4"/>
  <c r="I23" i="4"/>
  <c r="I25" i="4"/>
  <c r="I27" i="4"/>
  <c r="I29" i="4"/>
  <c r="I31" i="4"/>
  <c r="I33" i="4"/>
  <c r="I35" i="4"/>
  <c r="I37" i="4"/>
  <c r="I39" i="4"/>
  <c r="J21" i="4"/>
  <c r="J23" i="4"/>
  <c r="J25" i="4"/>
  <c r="J27" i="4"/>
  <c r="J29" i="4"/>
  <c r="J31" i="4"/>
  <c r="J33" i="4"/>
  <c r="J35" i="4"/>
  <c r="J37" i="4"/>
  <c r="J39" i="4"/>
  <c r="K21" i="4"/>
  <c r="K23" i="4"/>
  <c r="K25" i="4"/>
  <c r="K27" i="4"/>
  <c r="K29" i="4"/>
  <c r="K31" i="4"/>
  <c r="K33" i="4"/>
  <c r="K35" i="4"/>
  <c r="K37" i="4"/>
  <c r="K39" i="4"/>
  <c r="K38" i="4"/>
  <c r="K36" i="4"/>
  <c r="K34" i="4"/>
  <c r="K32" i="4"/>
  <c r="K30" i="4"/>
  <c r="K28" i="4"/>
  <c r="K26" i="4"/>
  <c r="K24" i="4"/>
  <c r="K22" i="4"/>
  <c r="J38" i="4"/>
  <c r="J36" i="4"/>
  <c r="J34" i="4"/>
  <c r="J32" i="4"/>
  <c r="J30" i="4"/>
  <c r="J28" i="4"/>
  <c r="J26" i="4"/>
  <c r="J24" i="4"/>
  <c r="J22" i="4"/>
  <c r="I38" i="4"/>
  <c r="I36" i="4"/>
  <c r="I34" i="4"/>
  <c r="I32" i="4"/>
  <c r="I30" i="4"/>
  <c r="I28" i="4"/>
  <c r="I26" i="4"/>
  <c r="I24" i="4"/>
  <c r="I22" i="4"/>
  <c r="H38" i="4"/>
  <c r="H36" i="4"/>
  <c r="H34" i="4"/>
  <c r="H32" i="4"/>
  <c r="H30" i="4"/>
  <c r="H28" i="4"/>
  <c r="H26" i="4"/>
  <c r="H24" i="4"/>
  <c r="H22" i="4"/>
  <c r="G38" i="4"/>
  <c r="G36" i="4"/>
  <c r="G34" i="4"/>
  <c r="G32" i="4"/>
  <c r="G30" i="4"/>
  <c r="G28" i="4"/>
  <c r="G26" i="4"/>
  <c r="G24" i="4"/>
  <c r="G22" i="4"/>
  <c r="F38" i="4"/>
  <c r="F36" i="4"/>
  <c r="F34" i="4"/>
  <c r="F32" i="4"/>
  <c r="F30" i="4"/>
  <c r="F28" i="4"/>
  <c r="F26" i="4"/>
  <c r="F24" i="4"/>
  <c r="F22" i="4"/>
  <c r="E38" i="4"/>
  <c r="E36" i="4"/>
  <c r="E34" i="4"/>
  <c r="E32" i="4"/>
  <c r="E30" i="4"/>
  <c r="E28" i="4"/>
  <c r="E26" i="4"/>
  <c r="E24" i="4"/>
  <c r="E22" i="4"/>
  <c r="D38" i="4"/>
  <c r="D36" i="4"/>
  <c r="D34" i="4"/>
  <c r="D32" i="4"/>
  <c r="D30" i="4"/>
  <c r="D28" i="4"/>
  <c r="D26" i="4"/>
  <c r="D24" i="4"/>
  <c r="D22" i="4"/>
  <c r="C38" i="17"/>
  <c r="E38" i="17"/>
  <c r="G38" i="17"/>
  <c r="I38" i="17"/>
  <c r="K38" i="17"/>
  <c r="D38" i="17"/>
  <c r="F38" i="17"/>
  <c r="H38" i="17"/>
  <c r="J38" i="17"/>
  <c r="C36" i="17"/>
  <c r="E36" i="17"/>
  <c r="G36" i="17"/>
  <c r="I36" i="17"/>
  <c r="K36" i="17"/>
  <c r="D36" i="17"/>
  <c r="F36" i="17"/>
  <c r="H36" i="17"/>
  <c r="J36" i="17"/>
  <c r="K34" i="17"/>
  <c r="I34" i="17"/>
  <c r="G34" i="17"/>
  <c r="E34" i="17"/>
  <c r="C34" i="17"/>
  <c r="H34" i="17"/>
  <c r="D34" i="17"/>
  <c r="J34" i="17"/>
  <c r="F34" i="17"/>
  <c r="K32" i="17"/>
  <c r="I32" i="17"/>
  <c r="G32" i="17"/>
  <c r="E32" i="17"/>
  <c r="C32" i="17"/>
  <c r="J32" i="17"/>
  <c r="F32" i="17"/>
  <c r="H32" i="17"/>
  <c r="D32" i="17"/>
  <c r="K30" i="17"/>
  <c r="I30" i="17"/>
  <c r="G30" i="17"/>
  <c r="E30" i="17"/>
  <c r="C30" i="17"/>
  <c r="H30" i="17"/>
  <c r="D30" i="17"/>
  <c r="J30" i="17"/>
  <c r="F30" i="17"/>
  <c r="K28" i="17"/>
  <c r="I28" i="17"/>
  <c r="G28" i="17"/>
  <c r="E28" i="17"/>
  <c r="C28" i="17"/>
  <c r="J28" i="17"/>
  <c r="F28" i="17"/>
  <c r="H28" i="17"/>
  <c r="D28" i="17"/>
  <c r="K26" i="17"/>
  <c r="I26" i="17"/>
  <c r="G26" i="17"/>
  <c r="E26" i="17"/>
  <c r="C26" i="17"/>
  <c r="H26" i="17"/>
  <c r="D26" i="17"/>
  <c r="J26" i="17"/>
  <c r="F26" i="17"/>
  <c r="K24" i="17"/>
  <c r="I24" i="17"/>
  <c r="G24" i="17"/>
  <c r="E24" i="17"/>
  <c r="C24" i="17"/>
  <c r="J24" i="17"/>
  <c r="F24" i="17"/>
  <c r="H24" i="17"/>
  <c r="D24" i="17"/>
  <c r="J22" i="17"/>
  <c r="H22" i="17"/>
  <c r="F22" i="17"/>
  <c r="D22" i="17"/>
  <c r="K22" i="17"/>
  <c r="I22" i="17"/>
  <c r="G22" i="17"/>
  <c r="E22" i="17"/>
  <c r="C22" i="17"/>
  <c r="K21" i="17"/>
  <c r="I21" i="17"/>
  <c r="G21" i="17"/>
  <c r="E21" i="17"/>
  <c r="C21" i="17"/>
  <c r="J21" i="17"/>
  <c r="H21" i="17"/>
  <c r="F21" i="17"/>
  <c r="D21" i="17"/>
  <c r="D39" i="17"/>
  <c r="F39" i="17"/>
  <c r="H39" i="17"/>
  <c r="J39" i="17"/>
  <c r="C39" i="17"/>
  <c r="E39" i="17"/>
  <c r="G39" i="17"/>
  <c r="I39" i="17"/>
  <c r="K39" i="17"/>
  <c r="D37" i="17"/>
  <c r="F37" i="17"/>
  <c r="H37" i="17"/>
  <c r="J37" i="17"/>
  <c r="C37" i="17"/>
  <c r="E37" i="17"/>
  <c r="G37" i="17"/>
  <c r="I37" i="17"/>
  <c r="K37" i="17"/>
  <c r="J35" i="17"/>
  <c r="H35" i="17"/>
  <c r="F35" i="17"/>
  <c r="D35" i="17"/>
  <c r="K35" i="17"/>
  <c r="G35" i="17"/>
  <c r="C35" i="17"/>
  <c r="I35" i="17"/>
  <c r="E35" i="17"/>
  <c r="J33" i="17"/>
  <c r="H33" i="17"/>
  <c r="F33" i="17"/>
  <c r="D33" i="17"/>
  <c r="I33" i="17"/>
  <c r="E33" i="17"/>
  <c r="K33" i="17"/>
  <c r="G33" i="17"/>
  <c r="C33" i="17"/>
  <c r="J31" i="17"/>
  <c r="H31" i="17"/>
  <c r="F31" i="17"/>
  <c r="D31" i="17"/>
  <c r="K31" i="17"/>
  <c r="G31" i="17"/>
  <c r="C31" i="17"/>
  <c r="I31" i="17"/>
  <c r="E31" i="17"/>
  <c r="J29" i="17"/>
  <c r="H29" i="17"/>
  <c r="F29" i="17"/>
  <c r="D29" i="17"/>
  <c r="I29" i="17"/>
  <c r="E29" i="17"/>
  <c r="K29" i="17"/>
  <c r="G29" i="17"/>
  <c r="C29" i="17"/>
  <c r="J27" i="17"/>
  <c r="H27" i="17"/>
  <c r="F27" i="17"/>
  <c r="D27" i="17"/>
  <c r="K27" i="17"/>
  <c r="G27" i="17"/>
  <c r="C27" i="17"/>
  <c r="I27" i="17"/>
  <c r="E27" i="17"/>
  <c r="J25" i="17"/>
  <c r="H25" i="17"/>
  <c r="F25" i="17"/>
  <c r="D25" i="17"/>
  <c r="I25" i="17"/>
  <c r="E25" i="17"/>
  <c r="K25" i="17"/>
  <c r="G25" i="17"/>
  <c r="C25" i="17"/>
  <c r="J23" i="17"/>
  <c r="H23" i="17"/>
  <c r="F23" i="17"/>
  <c r="D23" i="17"/>
  <c r="K23" i="17"/>
  <c r="G23" i="17"/>
  <c r="C23" i="17"/>
  <c r="I23" i="17"/>
  <c r="E23" i="17"/>
  <c r="T35" i="2"/>
  <c r="U35" i="2"/>
  <c r="X35" i="2"/>
  <c r="Y35" i="2"/>
  <c r="M3816" i="3"/>
  <c r="M3817" i="3"/>
  <c r="M3818" i="3"/>
  <c r="M3819" i="3"/>
  <c r="M3820" i="3"/>
  <c r="M3821" i="3"/>
  <c r="M3822" i="3"/>
  <c r="M3823" i="3"/>
  <c r="M3824" i="3"/>
  <c r="M3825" i="3"/>
  <c r="M3826" i="3"/>
  <c r="P3816" i="3"/>
  <c r="P3817" i="3"/>
  <c r="P3818" i="3"/>
  <c r="P3819" i="3"/>
  <c r="P3820" i="3"/>
  <c r="P3821" i="3"/>
  <c r="P3822" i="3"/>
  <c r="P3823" i="3"/>
  <c r="P3824" i="3"/>
  <c r="P3825" i="3"/>
  <c r="P3826" i="3"/>
  <c r="Q3816" i="3"/>
  <c r="Q3817" i="3"/>
  <c r="Q3818" i="3"/>
  <c r="Q3819" i="3"/>
  <c r="Q3820" i="3"/>
  <c r="Q3821" i="3"/>
  <c r="Q3822" i="3"/>
  <c r="Q3823" i="3"/>
  <c r="Q3824" i="3"/>
  <c r="Q3825" i="3"/>
  <c r="Q3826" i="3"/>
  <c r="R3816" i="3"/>
  <c r="R3817" i="3"/>
  <c r="R3818" i="3"/>
  <c r="R3819" i="3"/>
  <c r="R3820" i="3"/>
  <c r="R3821" i="3"/>
  <c r="R3822" i="3"/>
  <c r="R3823" i="3"/>
  <c r="R3824" i="3"/>
  <c r="R3825" i="3"/>
  <c r="R3826" i="3"/>
  <c r="S3817" i="3"/>
  <c r="S3818" i="3"/>
  <c r="S3819" i="3"/>
  <c r="S3820" i="3"/>
  <c r="S3821" i="3"/>
  <c r="S3822" i="3"/>
  <c r="S3823" i="3"/>
  <c r="S3824" i="3"/>
  <c r="S3825" i="3"/>
  <c r="S3826" i="3"/>
  <c r="T3816" i="3"/>
  <c r="U3816" i="3"/>
  <c r="V3816" i="3"/>
  <c r="W3816" i="3"/>
  <c r="X3816" i="3"/>
  <c r="AA3816" i="3"/>
  <c r="AA3817" i="3"/>
  <c r="AA3818" i="3"/>
  <c r="AA3819" i="3"/>
  <c r="AA3820" i="3"/>
  <c r="AA3821" i="3"/>
  <c r="AA3822" i="3"/>
  <c r="AA3823" i="3"/>
  <c r="AA3824" i="3"/>
  <c r="AA3825" i="3"/>
  <c r="AA3826" i="3"/>
  <c r="AB3816" i="3"/>
  <c r="O3816" i="3" s="1"/>
  <c r="Y3816" i="3" s="1"/>
  <c r="AB3817" i="3"/>
  <c r="O3817" i="3" s="1"/>
  <c r="AB3818" i="3"/>
  <c r="O3818" i="3" s="1"/>
  <c r="AB3819" i="3"/>
  <c r="O3819" i="3" s="1"/>
  <c r="AB3820" i="3"/>
  <c r="O3820" i="3" s="1"/>
  <c r="AB3821" i="3"/>
  <c r="O3821" i="3" s="1"/>
  <c r="AB3822" i="3"/>
  <c r="O3822" i="3" s="1"/>
  <c r="AB3823" i="3"/>
  <c r="O3823" i="3" s="1"/>
  <c r="AB3824" i="3"/>
  <c r="O3824" i="3" s="1"/>
  <c r="AB3825" i="3"/>
  <c r="O3825" i="3" s="1"/>
  <c r="AB3826" i="3"/>
  <c r="O3826" i="3" s="1"/>
  <c r="AC3816" i="3"/>
  <c r="N3816" i="3" s="1"/>
  <c r="AC3817" i="3"/>
  <c r="N3817" i="3" s="1"/>
  <c r="AC3818" i="3"/>
  <c r="N3818" i="3" s="1"/>
  <c r="AC3819" i="3"/>
  <c r="N3819" i="3" s="1"/>
  <c r="AC3820" i="3"/>
  <c r="N3820" i="3" s="1"/>
  <c r="AC3821" i="3"/>
  <c r="N3821" i="3" s="1"/>
  <c r="AC3822" i="3"/>
  <c r="N3822" i="3" s="1"/>
  <c r="AC3823" i="3"/>
  <c r="N3823" i="3" s="1"/>
  <c r="AC3824" i="3"/>
  <c r="N3824" i="3" s="1"/>
  <c r="AC3825" i="3"/>
  <c r="N3825" i="3" s="1"/>
  <c r="AC3826" i="3"/>
  <c r="N3826" i="3" s="1"/>
  <c r="AK3816" i="3"/>
  <c r="AK3817" i="3"/>
  <c r="AK3818" i="3"/>
  <c r="AK3819" i="3"/>
  <c r="AK3820" i="3"/>
  <c r="AK3821" i="3"/>
  <c r="AK3822" i="3"/>
  <c r="AK3823" i="3"/>
  <c r="AK3824" i="3"/>
  <c r="AK3825" i="3"/>
  <c r="AK3826" i="3"/>
  <c r="M223" i="10"/>
  <c r="M3805" i="3"/>
  <c r="M3806" i="3"/>
  <c r="M3807" i="3"/>
  <c r="M3808" i="3"/>
  <c r="M3809" i="3"/>
  <c r="M3810" i="3"/>
  <c r="M3811" i="3"/>
  <c r="M3812" i="3"/>
  <c r="M3813" i="3"/>
  <c r="M3814" i="3"/>
  <c r="M3815" i="3"/>
  <c r="P3805" i="3"/>
  <c r="P3806" i="3"/>
  <c r="P3807" i="3"/>
  <c r="P3808" i="3"/>
  <c r="P3809" i="3"/>
  <c r="P3810" i="3"/>
  <c r="P3811" i="3"/>
  <c r="P3812" i="3"/>
  <c r="P3813" i="3"/>
  <c r="P3814" i="3"/>
  <c r="P3815" i="3"/>
  <c r="Q3805" i="3"/>
  <c r="Q3806" i="3"/>
  <c r="Q3807" i="3"/>
  <c r="Q3808" i="3"/>
  <c r="Q3809" i="3"/>
  <c r="Q3810" i="3"/>
  <c r="Q3811" i="3"/>
  <c r="Q3812" i="3"/>
  <c r="Q3813" i="3"/>
  <c r="Q3814" i="3"/>
  <c r="Q3815" i="3"/>
  <c r="R3805" i="3"/>
  <c r="R3806" i="3"/>
  <c r="R3807" i="3"/>
  <c r="R3808" i="3"/>
  <c r="R3809" i="3"/>
  <c r="R3810" i="3"/>
  <c r="R3811" i="3"/>
  <c r="R3812" i="3"/>
  <c r="R3813" i="3"/>
  <c r="R3814" i="3"/>
  <c r="R3815" i="3"/>
  <c r="S3806" i="3"/>
  <c r="S3807" i="3"/>
  <c r="S3808" i="3"/>
  <c r="S3809" i="3"/>
  <c r="S3810" i="3"/>
  <c r="S3811" i="3"/>
  <c r="S3812" i="3"/>
  <c r="S3813" i="3"/>
  <c r="S3814" i="3"/>
  <c r="S3815" i="3"/>
  <c r="T3805" i="3"/>
  <c r="U3805" i="3"/>
  <c r="V3805" i="3"/>
  <c r="W3805" i="3"/>
  <c r="X3805" i="3"/>
  <c r="AA3805" i="3"/>
  <c r="AA3806" i="3"/>
  <c r="AA3807" i="3"/>
  <c r="AA3808" i="3"/>
  <c r="AA3809" i="3"/>
  <c r="AA3810" i="3"/>
  <c r="AA3811" i="3"/>
  <c r="AA3812" i="3"/>
  <c r="AA3813" i="3"/>
  <c r="AA3814" i="3"/>
  <c r="AA3815" i="3"/>
  <c r="AB3805" i="3"/>
  <c r="O3805" i="3" s="1"/>
  <c r="Y3805" i="3" s="1"/>
  <c r="AB3806" i="3"/>
  <c r="O3806" i="3" s="1"/>
  <c r="AB3807" i="3"/>
  <c r="O3807" i="3" s="1"/>
  <c r="AB3808" i="3"/>
  <c r="O3808" i="3" s="1"/>
  <c r="AB3809" i="3"/>
  <c r="O3809" i="3" s="1"/>
  <c r="AB3810" i="3"/>
  <c r="O3810" i="3" s="1"/>
  <c r="AB3811" i="3"/>
  <c r="O3811" i="3" s="1"/>
  <c r="AB3812" i="3"/>
  <c r="O3812" i="3" s="1"/>
  <c r="AB3813" i="3"/>
  <c r="O3813" i="3" s="1"/>
  <c r="AB3814" i="3"/>
  <c r="O3814" i="3" s="1"/>
  <c r="AB3815" i="3"/>
  <c r="O3815" i="3" s="1"/>
  <c r="AC3805" i="3"/>
  <c r="N3805" i="3" s="1"/>
  <c r="AC3806" i="3"/>
  <c r="N3806" i="3" s="1"/>
  <c r="AC3807" i="3"/>
  <c r="N3807" i="3" s="1"/>
  <c r="AC3808" i="3"/>
  <c r="N3808" i="3" s="1"/>
  <c r="AC3809" i="3"/>
  <c r="N3809" i="3" s="1"/>
  <c r="AC3810" i="3"/>
  <c r="N3810" i="3" s="1"/>
  <c r="AC3811" i="3"/>
  <c r="N3811" i="3" s="1"/>
  <c r="AC3812" i="3"/>
  <c r="N3812" i="3" s="1"/>
  <c r="AC3813" i="3"/>
  <c r="N3813" i="3" s="1"/>
  <c r="AC3814" i="3"/>
  <c r="N3814" i="3" s="1"/>
  <c r="AC3815" i="3"/>
  <c r="N3815" i="3" s="1"/>
  <c r="AK3805" i="3"/>
  <c r="AK3806" i="3"/>
  <c r="AK3807" i="3"/>
  <c r="AK3808" i="3"/>
  <c r="AK3809" i="3"/>
  <c r="AK3810" i="3"/>
  <c r="AK3811" i="3"/>
  <c r="AK3812" i="3"/>
  <c r="AK3813" i="3"/>
  <c r="AK3814" i="3"/>
  <c r="AK3815" i="3"/>
  <c r="M222" i="10"/>
  <c r="M3794" i="3"/>
  <c r="M3795" i="3"/>
  <c r="M3796" i="3"/>
  <c r="M3797" i="3"/>
  <c r="M3798" i="3"/>
  <c r="M3799" i="3"/>
  <c r="M3800" i="3"/>
  <c r="M3801" i="3"/>
  <c r="M3802" i="3"/>
  <c r="M3803" i="3"/>
  <c r="M3804" i="3"/>
  <c r="P3794" i="3"/>
  <c r="P3795" i="3"/>
  <c r="P3796" i="3"/>
  <c r="P3797" i="3"/>
  <c r="P3798" i="3"/>
  <c r="P3799" i="3"/>
  <c r="P3800" i="3"/>
  <c r="P3801" i="3"/>
  <c r="P3802" i="3"/>
  <c r="P3803" i="3"/>
  <c r="P3804" i="3"/>
  <c r="Q3794" i="3"/>
  <c r="Q3795" i="3"/>
  <c r="Q3796" i="3"/>
  <c r="Q3797" i="3"/>
  <c r="Q3798" i="3"/>
  <c r="Q3799" i="3"/>
  <c r="Q3800" i="3"/>
  <c r="Q3801" i="3"/>
  <c r="Q3802" i="3"/>
  <c r="Q3803" i="3"/>
  <c r="Q3804" i="3"/>
  <c r="R3794" i="3"/>
  <c r="R3795" i="3"/>
  <c r="R3796" i="3"/>
  <c r="R3797" i="3"/>
  <c r="R3798" i="3"/>
  <c r="R3799" i="3"/>
  <c r="R3800" i="3"/>
  <c r="R3801" i="3"/>
  <c r="R3802" i="3"/>
  <c r="R3803" i="3"/>
  <c r="R3804" i="3"/>
  <c r="S3795" i="3"/>
  <c r="S3796" i="3"/>
  <c r="S3797" i="3"/>
  <c r="S3798" i="3"/>
  <c r="S3799" i="3"/>
  <c r="S3800" i="3"/>
  <c r="S3801" i="3"/>
  <c r="S3802" i="3"/>
  <c r="S3803" i="3"/>
  <c r="S3804" i="3"/>
  <c r="T3794" i="3"/>
  <c r="U3794" i="3"/>
  <c r="V3794" i="3"/>
  <c r="W3794" i="3"/>
  <c r="X3794" i="3"/>
  <c r="AA3794" i="3"/>
  <c r="AA3795" i="3"/>
  <c r="AA3796" i="3"/>
  <c r="AA3797" i="3"/>
  <c r="AA3798" i="3"/>
  <c r="AA3799" i="3"/>
  <c r="AA3800" i="3"/>
  <c r="AA3801" i="3"/>
  <c r="AA3802" i="3"/>
  <c r="AA3803" i="3"/>
  <c r="AA3804" i="3"/>
  <c r="AB3794" i="3"/>
  <c r="O3794" i="3" s="1"/>
  <c r="Y3794" i="3" s="1"/>
  <c r="AB3795" i="3"/>
  <c r="O3795" i="3" s="1"/>
  <c r="AB3796" i="3"/>
  <c r="O3796" i="3" s="1"/>
  <c r="AB3797" i="3"/>
  <c r="O3797" i="3" s="1"/>
  <c r="AB3798" i="3"/>
  <c r="O3798" i="3" s="1"/>
  <c r="AB3799" i="3"/>
  <c r="O3799" i="3" s="1"/>
  <c r="AB3800" i="3"/>
  <c r="O3800" i="3" s="1"/>
  <c r="AB3801" i="3"/>
  <c r="O3801" i="3" s="1"/>
  <c r="AB3802" i="3"/>
  <c r="O3802" i="3" s="1"/>
  <c r="AB3803" i="3"/>
  <c r="O3803" i="3" s="1"/>
  <c r="AB3804" i="3"/>
  <c r="O3804" i="3" s="1"/>
  <c r="AC3794" i="3"/>
  <c r="N3794" i="3" s="1"/>
  <c r="AC3795" i="3"/>
  <c r="N3795" i="3" s="1"/>
  <c r="AC3796" i="3"/>
  <c r="N3796" i="3" s="1"/>
  <c r="AC3797" i="3"/>
  <c r="N3797" i="3" s="1"/>
  <c r="AC3798" i="3"/>
  <c r="N3798" i="3" s="1"/>
  <c r="AC3799" i="3"/>
  <c r="N3799" i="3" s="1"/>
  <c r="AC3800" i="3"/>
  <c r="N3800" i="3" s="1"/>
  <c r="AC3801" i="3"/>
  <c r="N3801" i="3" s="1"/>
  <c r="AC3802" i="3"/>
  <c r="N3802" i="3" s="1"/>
  <c r="AC3803" i="3"/>
  <c r="N3803" i="3" s="1"/>
  <c r="AC3804" i="3"/>
  <c r="N3804" i="3" s="1"/>
  <c r="AK3794" i="3"/>
  <c r="AK3795" i="3"/>
  <c r="AK3796" i="3"/>
  <c r="AK3797" i="3"/>
  <c r="AK3798" i="3"/>
  <c r="AK3799" i="3"/>
  <c r="AK3800" i="3"/>
  <c r="AK3801" i="3"/>
  <c r="AK3802" i="3"/>
  <c r="AK3803" i="3"/>
  <c r="AK3804" i="3"/>
  <c r="M221" i="10"/>
  <c r="M3783" i="3"/>
  <c r="M3784" i="3"/>
  <c r="M3785" i="3"/>
  <c r="M3786" i="3"/>
  <c r="M3787" i="3"/>
  <c r="M3788" i="3"/>
  <c r="M3789" i="3"/>
  <c r="M3790" i="3"/>
  <c r="M3791" i="3"/>
  <c r="M3792" i="3"/>
  <c r="M3793" i="3"/>
  <c r="P3783" i="3"/>
  <c r="P3784" i="3"/>
  <c r="P3785" i="3"/>
  <c r="P3786" i="3"/>
  <c r="P3787" i="3"/>
  <c r="P3788" i="3"/>
  <c r="P3789" i="3"/>
  <c r="P3790" i="3"/>
  <c r="P3791" i="3"/>
  <c r="P3792" i="3"/>
  <c r="P3793" i="3"/>
  <c r="Q3783" i="3"/>
  <c r="Q3784" i="3"/>
  <c r="Q3785" i="3"/>
  <c r="Q3786" i="3"/>
  <c r="Q3787" i="3"/>
  <c r="Q3788" i="3"/>
  <c r="Q3789" i="3"/>
  <c r="Q3790" i="3"/>
  <c r="Q3791" i="3"/>
  <c r="Q3792" i="3"/>
  <c r="Q3793" i="3"/>
  <c r="R3783" i="3"/>
  <c r="R3784" i="3"/>
  <c r="R3785" i="3"/>
  <c r="R3786" i="3"/>
  <c r="R3787" i="3"/>
  <c r="R3788" i="3"/>
  <c r="R3789" i="3"/>
  <c r="R3790" i="3"/>
  <c r="R3791" i="3"/>
  <c r="R3792" i="3"/>
  <c r="R3793" i="3"/>
  <c r="S3784" i="3"/>
  <c r="S3785" i="3"/>
  <c r="S3786" i="3"/>
  <c r="S3787" i="3"/>
  <c r="S3788" i="3"/>
  <c r="S3789" i="3"/>
  <c r="S3790" i="3"/>
  <c r="S3791" i="3"/>
  <c r="S3792" i="3"/>
  <c r="S3793" i="3"/>
  <c r="T3783" i="3"/>
  <c r="U3783" i="3"/>
  <c r="V3783" i="3"/>
  <c r="W3783" i="3"/>
  <c r="X3783" i="3"/>
  <c r="AA3783" i="3"/>
  <c r="AA3784" i="3"/>
  <c r="AA3785" i="3"/>
  <c r="AA3786" i="3"/>
  <c r="AA3787" i="3"/>
  <c r="AA3788" i="3"/>
  <c r="AA3789" i="3"/>
  <c r="AA3790" i="3"/>
  <c r="AA3791" i="3"/>
  <c r="AA3792" i="3"/>
  <c r="AA3793" i="3"/>
  <c r="AB3783" i="3"/>
  <c r="O3783" i="3" s="1"/>
  <c r="Y3783" i="3" s="1"/>
  <c r="AB3784" i="3"/>
  <c r="O3784" i="3" s="1"/>
  <c r="AB3785" i="3"/>
  <c r="O3785" i="3" s="1"/>
  <c r="AB3786" i="3"/>
  <c r="O3786" i="3" s="1"/>
  <c r="AB3787" i="3"/>
  <c r="O3787" i="3" s="1"/>
  <c r="AB3788" i="3"/>
  <c r="O3788" i="3" s="1"/>
  <c r="AB3789" i="3"/>
  <c r="O3789" i="3" s="1"/>
  <c r="AB3790" i="3"/>
  <c r="O3790" i="3" s="1"/>
  <c r="AB3791" i="3"/>
  <c r="O3791" i="3" s="1"/>
  <c r="AB3792" i="3"/>
  <c r="O3792" i="3" s="1"/>
  <c r="AB3793" i="3"/>
  <c r="O3793" i="3" s="1"/>
  <c r="AC3783" i="3"/>
  <c r="N3783" i="3" s="1"/>
  <c r="AC3784" i="3"/>
  <c r="N3784" i="3" s="1"/>
  <c r="AC3785" i="3"/>
  <c r="N3785" i="3" s="1"/>
  <c r="AC3786" i="3"/>
  <c r="N3786" i="3" s="1"/>
  <c r="AC3787" i="3"/>
  <c r="N3787" i="3" s="1"/>
  <c r="AC3788" i="3"/>
  <c r="N3788" i="3" s="1"/>
  <c r="AC3789" i="3"/>
  <c r="N3789" i="3" s="1"/>
  <c r="AC3790" i="3"/>
  <c r="N3790" i="3" s="1"/>
  <c r="AC3791" i="3"/>
  <c r="N3791" i="3" s="1"/>
  <c r="AC3792" i="3"/>
  <c r="N3792" i="3" s="1"/>
  <c r="AC3793" i="3"/>
  <c r="N3793" i="3" s="1"/>
  <c r="AK3783" i="3"/>
  <c r="AK3784" i="3"/>
  <c r="AK3785" i="3"/>
  <c r="AK3786" i="3"/>
  <c r="AK3787" i="3"/>
  <c r="AK3788" i="3"/>
  <c r="AK3789" i="3"/>
  <c r="AK3790" i="3"/>
  <c r="AK3791" i="3"/>
  <c r="AK3792" i="3"/>
  <c r="AK3793" i="3"/>
  <c r="M220" i="10"/>
  <c r="M3772" i="3"/>
  <c r="M3773" i="3"/>
  <c r="M3774" i="3"/>
  <c r="M3775" i="3"/>
  <c r="M3776" i="3"/>
  <c r="M3777" i="3"/>
  <c r="M3778" i="3"/>
  <c r="M3779" i="3"/>
  <c r="M3780" i="3"/>
  <c r="M3781" i="3"/>
  <c r="M3782" i="3"/>
  <c r="P3772" i="3"/>
  <c r="P3773" i="3"/>
  <c r="P3774" i="3"/>
  <c r="P3775" i="3"/>
  <c r="P3776" i="3"/>
  <c r="P3777" i="3"/>
  <c r="P3778" i="3"/>
  <c r="P3779" i="3"/>
  <c r="P3780" i="3"/>
  <c r="P3781" i="3"/>
  <c r="P3782" i="3"/>
  <c r="Q3772" i="3"/>
  <c r="Q3773" i="3"/>
  <c r="Q3774" i="3"/>
  <c r="Q3775" i="3"/>
  <c r="Q3776" i="3"/>
  <c r="Q3777" i="3"/>
  <c r="Q3778" i="3"/>
  <c r="Q3779" i="3"/>
  <c r="Q3780" i="3"/>
  <c r="Q3781" i="3"/>
  <c r="Q3782" i="3"/>
  <c r="R3772" i="3"/>
  <c r="R3773" i="3"/>
  <c r="R3774" i="3"/>
  <c r="R3775" i="3"/>
  <c r="R3776" i="3"/>
  <c r="R3777" i="3"/>
  <c r="R3778" i="3"/>
  <c r="R3779" i="3"/>
  <c r="R3780" i="3"/>
  <c r="R3781" i="3"/>
  <c r="R3782" i="3"/>
  <c r="S3773" i="3"/>
  <c r="S3774" i="3"/>
  <c r="S3775" i="3"/>
  <c r="S3776" i="3"/>
  <c r="S3777" i="3"/>
  <c r="S3778" i="3"/>
  <c r="S3779" i="3"/>
  <c r="S3780" i="3"/>
  <c r="S3781" i="3"/>
  <c r="S3782" i="3"/>
  <c r="T3772" i="3"/>
  <c r="U3772" i="3"/>
  <c r="V3772" i="3"/>
  <c r="W3772" i="3"/>
  <c r="X3772" i="3"/>
  <c r="AA3772" i="3"/>
  <c r="AA3773" i="3"/>
  <c r="AA3774" i="3"/>
  <c r="AA3775" i="3"/>
  <c r="AA3776" i="3"/>
  <c r="AA3777" i="3"/>
  <c r="AA3778" i="3"/>
  <c r="AA3779" i="3"/>
  <c r="AA3780" i="3"/>
  <c r="AA3781" i="3"/>
  <c r="AA3782" i="3"/>
  <c r="AB3772" i="3"/>
  <c r="O3772" i="3" s="1"/>
  <c r="Y3772" i="3" s="1"/>
  <c r="AB3773" i="3"/>
  <c r="O3773" i="3" s="1"/>
  <c r="AB3774" i="3"/>
  <c r="O3774" i="3" s="1"/>
  <c r="AB3775" i="3"/>
  <c r="O3775" i="3" s="1"/>
  <c r="AB3776" i="3"/>
  <c r="O3776" i="3" s="1"/>
  <c r="AB3777" i="3"/>
  <c r="O3777" i="3" s="1"/>
  <c r="AB3778" i="3"/>
  <c r="O3778" i="3" s="1"/>
  <c r="AB3779" i="3"/>
  <c r="O3779" i="3" s="1"/>
  <c r="AB3780" i="3"/>
  <c r="O3780" i="3" s="1"/>
  <c r="AB3781" i="3"/>
  <c r="O3781" i="3" s="1"/>
  <c r="AB3782" i="3"/>
  <c r="O3782" i="3" s="1"/>
  <c r="AC3772" i="3"/>
  <c r="N3772" i="3" s="1"/>
  <c r="AC3773" i="3"/>
  <c r="N3773" i="3" s="1"/>
  <c r="AC3774" i="3"/>
  <c r="N3774" i="3" s="1"/>
  <c r="AC3775" i="3"/>
  <c r="N3775" i="3" s="1"/>
  <c r="AC3776" i="3"/>
  <c r="N3776" i="3" s="1"/>
  <c r="AC3777" i="3"/>
  <c r="N3777" i="3" s="1"/>
  <c r="AC3778" i="3"/>
  <c r="N3778" i="3" s="1"/>
  <c r="AC3779" i="3"/>
  <c r="N3779" i="3" s="1"/>
  <c r="AC3780" i="3"/>
  <c r="N3780" i="3" s="1"/>
  <c r="AC3781" i="3"/>
  <c r="N3781" i="3" s="1"/>
  <c r="AC3782" i="3"/>
  <c r="N3782" i="3" s="1"/>
  <c r="AK3772" i="3"/>
  <c r="AK3773" i="3"/>
  <c r="AK3774" i="3"/>
  <c r="AK3775" i="3"/>
  <c r="AK3776" i="3"/>
  <c r="AK3777" i="3"/>
  <c r="AK3778" i="3"/>
  <c r="AK3779" i="3"/>
  <c r="AK3780" i="3"/>
  <c r="AK3781" i="3"/>
  <c r="AK3782" i="3"/>
  <c r="M219" i="10"/>
  <c r="M3761" i="3"/>
  <c r="M3762" i="3"/>
  <c r="M3763" i="3"/>
  <c r="M3764" i="3"/>
  <c r="M3765" i="3"/>
  <c r="M3766" i="3"/>
  <c r="M3767" i="3"/>
  <c r="M3768" i="3"/>
  <c r="M3769" i="3"/>
  <c r="M3770" i="3"/>
  <c r="M3771" i="3"/>
  <c r="P3761" i="3"/>
  <c r="P3762" i="3"/>
  <c r="P3763" i="3"/>
  <c r="P3764" i="3"/>
  <c r="P3765" i="3"/>
  <c r="P3766" i="3"/>
  <c r="P3767" i="3"/>
  <c r="P3768" i="3"/>
  <c r="P3769" i="3"/>
  <c r="P3770" i="3"/>
  <c r="P3771" i="3"/>
  <c r="Q3761" i="3"/>
  <c r="Q3762" i="3"/>
  <c r="Q3763" i="3"/>
  <c r="Q3764" i="3"/>
  <c r="Q3765" i="3"/>
  <c r="Q3766" i="3"/>
  <c r="Q3767" i="3"/>
  <c r="Q3768" i="3"/>
  <c r="Q3769" i="3"/>
  <c r="Q3770" i="3"/>
  <c r="Q3771" i="3"/>
  <c r="R3761" i="3"/>
  <c r="R3762" i="3"/>
  <c r="R3763" i="3"/>
  <c r="R3764" i="3"/>
  <c r="R3765" i="3"/>
  <c r="R3766" i="3"/>
  <c r="R3767" i="3"/>
  <c r="R3768" i="3"/>
  <c r="R3769" i="3"/>
  <c r="R3770" i="3"/>
  <c r="R3771" i="3"/>
  <c r="S3762" i="3"/>
  <c r="S3763" i="3"/>
  <c r="S3764" i="3"/>
  <c r="S3765" i="3"/>
  <c r="S3766" i="3"/>
  <c r="S3767" i="3"/>
  <c r="S3768" i="3"/>
  <c r="S3769" i="3"/>
  <c r="S3770" i="3"/>
  <c r="S3771" i="3"/>
  <c r="T3761" i="3"/>
  <c r="U3761" i="3"/>
  <c r="V3761" i="3"/>
  <c r="W3761" i="3"/>
  <c r="X3761" i="3"/>
  <c r="AA3761" i="3"/>
  <c r="AA3762" i="3"/>
  <c r="AA3763" i="3"/>
  <c r="AA3764" i="3"/>
  <c r="AA3765" i="3"/>
  <c r="AA3766" i="3"/>
  <c r="AA3767" i="3"/>
  <c r="AA3768" i="3"/>
  <c r="AA3769" i="3"/>
  <c r="AA3770" i="3"/>
  <c r="AA3771" i="3"/>
  <c r="AB3761" i="3"/>
  <c r="O3761" i="3" s="1"/>
  <c r="Y3761" i="3" s="1"/>
  <c r="AB3762" i="3"/>
  <c r="O3762" i="3" s="1"/>
  <c r="AB3763" i="3"/>
  <c r="O3763" i="3" s="1"/>
  <c r="AB3764" i="3"/>
  <c r="O3764" i="3" s="1"/>
  <c r="AB3765" i="3"/>
  <c r="O3765" i="3" s="1"/>
  <c r="AB3766" i="3"/>
  <c r="O3766" i="3" s="1"/>
  <c r="AB3767" i="3"/>
  <c r="O3767" i="3" s="1"/>
  <c r="AB3768" i="3"/>
  <c r="O3768" i="3" s="1"/>
  <c r="AB3769" i="3"/>
  <c r="O3769" i="3" s="1"/>
  <c r="AB3770" i="3"/>
  <c r="O3770" i="3" s="1"/>
  <c r="AB3771" i="3"/>
  <c r="O3771" i="3" s="1"/>
  <c r="AC3761" i="3"/>
  <c r="N3761" i="3" s="1"/>
  <c r="AC3762" i="3"/>
  <c r="N3762" i="3" s="1"/>
  <c r="AC3763" i="3"/>
  <c r="N3763" i="3" s="1"/>
  <c r="AC3764" i="3"/>
  <c r="N3764" i="3" s="1"/>
  <c r="AC3765" i="3"/>
  <c r="N3765" i="3" s="1"/>
  <c r="AC3766" i="3"/>
  <c r="N3766" i="3" s="1"/>
  <c r="AC3767" i="3"/>
  <c r="N3767" i="3" s="1"/>
  <c r="AC3768" i="3"/>
  <c r="N3768" i="3" s="1"/>
  <c r="AC3769" i="3"/>
  <c r="N3769" i="3" s="1"/>
  <c r="AC3770" i="3"/>
  <c r="N3770" i="3" s="1"/>
  <c r="AC3771" i="3"/>
  <c r="N3771" i="3" s="1"/>
  <c r="AK3761" i="3"/>
  <c r="AK3762" i="3"/>
  <c r="AK3763" i="3"/>
  <c r="AK3764" i="3"/>
  <c r="AK3765" i="3"/>
  <c r="AK3766" i="3"/>
  <c r="AK3767" i="3"/>
  <c r="AK3768" i="3"/>
  <c r="AK3769" i="3"/>
  <c r="AK3770" i="3"/>
  <c r="AK3771" i="3"/>
  <c r="M218" i="10"/>
  <c r="M3750" i="3"/>
  <c r="M3751" i="3"/>
  <c r="M3752" i="3"/>
  <c r="M3753" i="3"/>
  <c r="M3754" i="3"/>
  <c r="M3755" i="3"/>
  <c r="M3756" i="3"/>
  <c r="M3757" i="3"/>
  <c r="M3758" i="3"/>
  <c r="M3759" i="3"/>
  <c r="M3760" i="3"/>
  <c r="P3750" i="3"/>
  <c r="P3751" i="3"/>
  <c r="P3752" i="3"/>
  <c r="P3753" i="3"/>
  <c r="P3754" i="3"/>
  <c r="P3755" i="3"/>
  <c r="P3756" i="3"/>
  <c r="P3757" i="3"/>
  <c r="P3758" i="3"/>
  <c r="P3759" i="3"/>
  <c r="P3760" i="3"/>
  <c r="Q3750" i="3"/>
  <c r="Q3751" i="3"/>
  <c r="Q3752" i="3"/>
  <c r="Q3753" i="3"/>
  <c r="Q3754" i="3"/>
  <c r="Q3755" i="3"/>
  <c r="Q3756" i="3"/>
  <c r="Q3757" i="3"/>
  <c r="Q3758" i="3"/>
  <c r="Q3759" i="3"/>
  <c r="Q3760" i="3"/>
  <c r="R3750" i="3"/>
  <c r="R3751" i="3"/>
  <c r="R3752" i="3"/>
  <c r="R3753" i="3"/>
  <c r="R3754" i="3"/>
  <c r="R3755" i="3"/>
  <c r="R3756" i="3"/>
  <c r="R3757" i="3"/>
  <c r="R3758" i="3"/>
  <c r="R3759" i="3"/>
  <c r="R3760" i="3"/>
  <c r="S3751" i="3"/>
  <c r="S3752" i="3"/>
  <c r="S3753" i="3"/>
  <c r="S3754" i="3"/>
  <c r="S3755" i="3"/>
  <c r="S3756" i="3"/>
  <c r="S3757" i="3"/>
  <c r="S3758" i="3"/>
  <c r="S3759" i="3"/>
  <c r="S3760" i="3"/>
  <c r="T3750" i="3"/>
  <c r="U3750" i="3"/>
  <c r="V3750" i="3"/>
  <c r="W3750" i="3"/>
  <c r="X3750" i="3"/>
  <c r="AA3750" i="3"/>
  <c r="AA3751" i="3"/>
  <c r="AA3752" i="3"/>
  <c r="AA3753" i="3"/>
  <c r="AA3754" i="3"/>
  <c r="AA3755" i="3"/>
  <c r="AA3756" i="3"/>
  <c r="AA3757" i="3"/>
  <c r="AA3758" i="3"/>
  <c r="AA3759" i="3"/>
  <c r="AA3760" i="3"/>
  <c r="AB3750" i="3"/>
  <c r="O3750" i="3" s="1"/>
  <c r="Y3750" i="3" s="1"/>
  <c r="AB3751" i="3"/>
  <c r="O3751" i="3" s="1"/>
  <c r="AB3752" i="3"/>
  <c r="O3752" i="3" s="1"/>
  <c r="AB3753" i="3"/>
  <c r="O3753" i="3" s="1"/>
  <c r="AB3754" i="3"/>
  <c r="O3754" i="3" s="1"/>
  <c r="AB3755" i="3"/>
  <c r="O3755" i="3" s="1"/>
  <c r="AB3756" i="3"/>
  <c r="O3756" i="3" s="1"/>
  <c r="AB3757" i="3"/>
  <c r="O3757" i="3" s="1"/>
  <c r="AB3758" i="3"/>
  <c r="O3758" i="3" s="1"/>
  <c r="AB3759" i="3"/>
  <c r="O3759" i="3" s="1"/>
  <c r="AB3760" i="3"/>
  <c r="O3760" i="3" s="1"/>
  <c r="AC3750" i="3"/>
  <c r="N3750" i="3" s="1"/>
  <c r="AC3751" i="3"/>
  <c r="N3751" i="3" s="1"/>
  <c r="AC3752" i="3"/>
  <c r="N3752" i="3" s="1"/>
  <c r="AC3753" i="3"/>
  <c r="N3753" i="3" s="1"/>
  <c r="AC3754" i="3"/>
  <c r="N3754" i="3" s="1"/>
  <c r="AC3755" i="3"/>
  <c r="N3755" i="3" s="1"/>
  <c r="AC3756" i="3"/>
  <c r="N3756" i="3" s="1"/>
  <c r="AC3757" i="3"/>
  <c r="N3757" i="3" s="1"/>
  <c r="AC3758" i="3"/>
  <c r="N3758" i="3" s="1"/>
  <c r="AC3759" i="3"/>
  <c r="N3759" i="3" s="1"/>
  <c r="AC3760" i="3"/>
  <c r="N3760" i="3" s="1"/>
  <c r="AK3750" i="3"/>
  <c r="AK3751" i="3"/>
  <c r="AK3752" i="3"/>
  <c r="AK3753" i="3"/>
  <c r="AK3754" i="3"/>
  <c r="AK3755" i="3"/>
  <c r="AK3756" i="3"/>
  <c r="AK3757" i="3"/>
  <c r="AK3758" i="3"/>
  <c r="AK3759" i="3"/>
  <c r="AK3760" i="3"/>
  <c r="M217" i="10"/>
  <c r="M3739" i="3"/>
  <c r="M3740" i="3"/>
  <c r="M3741" i="3"/>
  <c r="M3742" i="3"/>
  <c r="M3743" i="3"/>
  <c r="M3744" i="3"/>
  <c r="M3745" i="3"/>
  <c r="M3746" i="3"/>
  <c r="M3747" i="3"/>
  <c r="M3748" i="3"/>
  <c r="M3749" i="3"/>
  <c r="P3739" i="3"/>
  <c r="P3740" i="3"/>
  <c r="P3741" i="3"/>
  <c r="P3742" i="3"/>
  <c r="P3743" i="3"/>
  <c r="P3744" i="3"/>
  <c r="P3745" i="3"/>
  <c r="P3746" i="3"/>
  <c r="P3747" i="3"/>
  <c r="P3748" i="3"/>
  <c r="P3749" i="3"/>
  <c r="Q3739" i="3"/>
  <c r="Q3740" i="3"/>
  <c r="Q3741" i="3"/>
  <c r="Q3742" i="3"/>
  <c r="Q3743" i="3"/>
  <c r="Q3744" i="3"/>
  <c r="Q3745" i="3"/>
  <c r="Q3746" i="3"/>
  <c r="Q3747" i="3"/>
  <c r="Q3748" i="3"/>
  <c r="Q3749" i="3"/>
  <c r="R3739" i="3"/>
  <c r="R3740" i="3"/>
  <c r="R3741" i="3"/>
  <c r="R3742" i="3"/>
  <c r="R3743" i="3"/>
  <c r="R3744" i="3"/>
  <c r="R3745" i="3"/>
  <c r="R3746" i="3"/>
  <c r="R3747" i="3"/>
  <c r="R3748" i="3"/>
  <c r="R3749" i="3"/>
  <c r="S3740" i="3"/>
  <c r="S3741" i="3"/>
  <c r="S3742" i="3"/>
  <c r="S3743" i="3"/>
  <c r="S3744" i="3"/>
  <c r="S3745" i="3"/>
  <c r="S3746" i="3"/>
  <c r="S3747" i="3"/>
  <c r="S3748" i="3"/>
  <c r="S3749" i="3"/>
  <c r="T3739" i="3"/>
  <c r="U3739" i="3"/>
  <c r="V3739" i="3"/>
  <c r="W3739" i="3"/>
  <c r="X3739" i="3"/>
  <c r="AA3739" i="3"/>
  <c r="AA3740" i="3"/>
  <c r="AA3741" i="3"/>
  <c r="AA3742" i="3"/>
  <c r="AA3743" i="3"/>
  <c r="AA3744" i="3"/>
  <c r="AA3745" i="3"/>
  <c r="AA3746" i="3"/>
  <c r="AA3747" i="3"/>
  <c r="AA3748" i="3"/>
  <c r="AA3749" i="3"/>
  <c r="AB3739" i="3"/>
  <c r="O3739" i="3" s="1"/>
  <c r="Y3739" i="3" s="1"/>
  <c r="AB3740" i="3"/>
  <c r="O3740" i="3" s="1"/>
  <c r="AB3741" i="3"/>
  <c r="O3741" i="3" s="1"/>
  <c r="AB3742" i="3"/>
  <c r="O3742" i="3" s="1"/>
  <c r="AB3743" i="3"/>
  <c r="O3743" i="3" s="1"/>
  <c r="AB3744" i="3"/>
  <c r="O3744" i="3" s="1"/>
  <c r="AB3745" i="3"/>
  <c r="O3745" i="3" s="1"/>
  <c r="AB3746" i="3"/>
  <c r="O3746" i="3" s="1"/>
  <c r="AB3747" i="3"/>
  <c r="O3747" i="3" s="1"/>
  <c r="AB3748" i="3"/>
  <c r="O3748" i="3" s="1"/>
  <c r="AB3749" i="3"/>
  <c r="O3749" i="3" s="1"/>
  <c r="AC3739" i="3"/>
  <c r="N3739" i="3" s="1"/>
  <c r="AC3740" i="3"/>
  <c r="N3740" i="3" s="1"/>
  <c r="AC3741" i="3"/>
  <c r="N3741" i="3" s="1"/>
  <c r="AC3742" i="3"/>
  <c r="N3742" i="3" s="1"/>
  <c r="AC3743" i="3"/>
  <c r="N3743" i="3" s="1"/>
  <c r="AC3744" i="3"/>
  <c r="N3744" i="3" s="1"/>
  <c r="AC3745" i="3"/>
  <c r="N3745" i="3" s="1"/>
  <c r="AC3746" i="3"/>
  <c r="N3746" i="3" s="1"/>
  <c r="AC3747" i="3"/>
  <c r="N3747" i="3" s="1"/>
  <c r="AC3748" i="3"/>
  <c r="N3748" i="3" s="1"/>
  <c r="AC3749" i="3"/>
  <c r="N3749" i="3" s="1"/>
  <c r="AK3739" i="3"/>
  <c r="AK3740" i="3"/>
  <c r="AK3741" i="3"/>
  <c r="AK3742" i="3"/>
  <c r="AK3743" i="3"/>
  <c r="AK3744" i="3"/>
  <c r="AK3745" i="3"/>
  <c r="AK3746" i="3"/>
  <c r="AK3747" i="3"/>
  <c r="AK3748" i="3"/>
  <c r="AK3749" i="3"/>
  <c r="M216" i="10"/>
  <c r="M3728" i="3"/>
  <c r="M3729" i="3"/>
  <c r="M3730" i="3"/>
  <c r="M3731" i="3"/>
  <c r="M3732" i="3"/>
  <c r="M3733" i="3"/>
  <c r="M3734" i="3"/>
  <c r="M3735" i="3"/>
  <c r="M3736" i="3"/>
  <c r="M3737" i="3"/>
  <c r="M3738" i="3"/>
  <c r="P3728" i="3"/>
  <c r="P3729" i="3"/>
  <c r="P3730" i="3"/>
  <c r="P3731" i="3"/>
  <c r="P3732" i="3"/>
  <c r="P3733" i="3"/>
  <c r="P3734" i="3"/>
  <c r="P3735" i="3"/>
  <c r="P3736" i="3"/>
  <c r="P3737" i="3"/>
  <c r="P3738" i="3"/>
  <c r="Q3728" i="3"/>
  <c r="Q3729" i="3"/>
  <c r="Q3730" i="3"/>
  <c r="Q3731" i="3"/>
  <c r="Q3732" i="3"/>
  <c r="Q3733" i="3"/>
  <c r="Q3734" i="3"/>
  <c r="Q3735" i="3"/>
  <c r="Q3736" i="3"/>
  <c r="Q3737" i="3"/>
  <c r="Q3738" i="3"/>
  <c r="R3728" i="3"/>
  <c r="R3729" i="3"/>
  <c r="R3730" i="3"/>
  <c r="R3731" i="3"/>
  <c r="R3732" i="3"/>
  <c r="R3733" i="3"/>
  <c r="R3734" i="3"/>
  <c r="R3735" i="3"/>
  <c r="R3736" i="3"/>
  <c r="R3737" i="3"/>
  <c r="R3738" i="3"/>
  <c r="S3729" i="3"/>
  <c r="S3730" i="3"/>
  <c r="S3731" i="3"/>
  <c r="S3732" i="3"/>
  <c r="S3733" i="3"/>
  <c r="S3734" i="3"/>
  <c r="S3735" i="3"/>
  <c r="S3736" i="3"/>
  <c r="S3737" i="3"/>
  <c r="S3738" i="3"/>
  <c r="T3728" i="3"/>
  <c r="U3728" i="3"/>
  <c r="V3728" i="3"/>
  <c r="W3728" i="3"/>
  <c r="X3728" i="3"/>
  <c r="AA3728" i="3"/>
  <c r="AA3729" i="3"/>
  <c r="AA3730" i="3"/>
  <c r="AA3731" i="3"/>
  <c r="AA3732" i="3"/>
  <c r="AA3733" i="3"/>
  <c r="AA3734" i="3"/>
  <c r="AA3735" i="3"/>
  <c r="AA3736" i="3"/>
  <c r="AA3737" i="3"/>
  <c r="AA3738" i="3"/>
  <c r="AB3728" i="3"/>
  <c r="O3728" i="3" s="1"/>
  <c r="Y3728" i="3" s="1"/>
  <c r="AB3729" i="3"/>
  <c r="O3729" i="3" s="1"/>
  <c r="AB3730" i="3"/>
  <c r="O3730" i="3" s="1"/>
  <c r="AB3731" i="3"/>
  <c r="O3731" i="3" s="1"/>
  <c r="AB3732" i="3"/>
  <c r="O3732" i="3" s="1"/>
  <c r="AB3733" i="3"/>
  <c r="O3733" i="3" s="1"/>
  <c r="AB3734" i="3"/>
  <c r="O3734" i="3" s="1"/>
  <c r="AB3735" i="3"/>
  <c r="O3735" i="3" s="1"/>
  <c r="AB3736" i="3"/>
  <c r="O3736" i="3" s="1"/>
  <c r="AB3737" i="3"/>
  <c r="O3737" i="3" s="1"/>
  <c r="AB3738" i="3"/>
  <c r="O3738" i="3" s="1"/>
  <c r="AC3728" i="3"/>
  <c r="N3728" i="3" s="1"/>
  <c r="AC3729" i="3"/>
  <c r="N3729" i="3" s="1"/>
  <c r="AC3730" i="3"/>
  <c r="N3730" i="3" s="1"/>
  <c r="AC3731" i="3"/>
  <c r="N3731" i="3" s="1"/>
  <c r="AC3732" i="3"/>
  <c r="N3732" i="3" s="1"/>
  <c r="AC3733" i="3"/>
  <c r="N3733" i="3" s="1"/>
  <c r="AC3734" i="3"/>
  <c r="N3734" i="3" s="1"/>
  <c r="AC3735" i="3"/>
  <c r="N3735" i="3" s="1"/>
  <c r="AC3736" i="3"/>
  <c r="N3736" i="3" s="1"/>
  <c r="AC3737" i="3"/>
  <c r="N3737" i="3" s="1"/>
  <c r="AC3738" i="3"/>
  <c r="N3738" i="3" s="1"/>
  <c r="AK3728" i="3"/>
  <c r="AK3729" i="3"/>
  <c r="AK3730" i="3"/>
  <c r="AK3731" i="3"/>
  <c r="AK3732" i="3"/>
  <c r="AK3733" i="3"/>
  <c r="AK3734" i="3"/>
  <c r="AK3735" i="3"/>
  <c r="AK3736" i="3"/>
  <c r="AK3737" i="3"/>
  <c r="AK3738" i="3"/>
  <c r="M215" i="10"/>
  <c r="M3717" i="3"/>
  <c r="M3718" i="3"/>
  <c r="M3719" i="3"/>
  <c r="M3720" i="3"/>
  <c r="M3721" i="3"/>
  <c r="M3722" i="3"/>
  <c r="M3723" i="3"/>
  <c r="M3724" i="3"/>
  <c r="M3725" i="3"/>
  <c r="M3726" i="3"/>
  <c r="M3727" i="3"/>
  <c r="P3717" i="3"/>
  <c r="P3718" i="3"/>
  <c r="P3719" i="3"/>
  <c r="P3720" i="3"/>
  <c r="P3721" i="3"/>
  <c r="P3722" i="3"/>
  <c r="P3723" i="3"/>
  <c r="P3724" i="3"/>
  <c r="P3725" i="3"/>
  <c r="P3726" i="3"/>
  <c r="P3727" i="3"/>
  <c r="Q3717" i="3"/>
  <c r="Q3718" i="3"/>
  <c r="Q3719" i="3"/>
  <c r="Q3720" i="3"/>
  <c r="Q3721" i="3"/>
  <c r="Q3722" i="3"/>
  <c r="Q3723" i="3"/>
  <c r="Q3724" i="3"/>
  <c r="Q3725" i="3"/>
  <c r="Q3726" i="3"/>
  <c r="Q3727" i="3"/>
  <c r="R3717" i="3"/>
  <c r="R3718" i="3"/>
  <c r="R3719" i="3"/>
  <c r="R3720" i="3"/>
  <c r="R3721" i="3"/>
  <c r="R3722" i="3"/>
  <c r="R3723" i="3"/>
  <c r="R3724" i="3"/>
  <c r="R3725" i="3"/>
  <c r="R3726" i="3"/>
  <c r="R3727" i="3"/>
  <c r="S3718" i="3"/>
  <c r="S3719" i="3"/>
  <c r="S3720" i="3"/>
  <c r="S3721" i="3"/>
  <c r="S3722" i="3"/>
  <c r="S3723" i="3"/>
  <c r="S3724" i="3"/>
  <c r="S3725" i="3"/>
  <c r="S3726" i="3"/>
  <c r="S3727" i="3"/>
  <c r="T3717" i="3"/>
  <c r="U3717" i="3"/>
  <c r="V3717" i="3"/>
  <c r="W3717" i="3"/>
  <c r="X3717" i="3"/>
  <c r="AA3717" i="3"/>
  <c r="AA3718" i="3"/>
  <c r="AA3719" i="3"/>
  <c r="AA3720" i="3"/>
  <c r="AA3721" i="3"/>
  <c r="AA3722" i="3"/>
  <c r="AA3723" i="3"/>
  <c r="AA3724" i="3"/>
  <c r="AA3725" i="3"/>
  <c r="AA3726" i="3"/>
  <c r="AA3727" i="3"/>
  <c r="AB3717" i="3"/>
  <c r="O3717" i="3" s="1"/>
  <c r="Y3717" i="3" s="1"/>
  <c r="AB3718" i="3"/>
  <c r="O3718" i="3" s="1"/>
  <c r="AB3719" i="3"/>
  <c r="O3719" i="3" s="1"/>
  <c r="AB3720" i="3"/>
  <c r="O3720" i="3" s="1"/>
  <c r="AB3721" i="3"/>
  <c r="O3721" i="3" s="1"/>
  <c r="AB3722" i="3"/>
  <c r="O3722" i="3" s="1"/>
  <c r="AB3723" i="3"/>
  <c r="O3723" i="3" s="1"/>
  <c r="AB3724" i="3"/>
  <c r="O3724" i="3" s="1"/>
  <c r="AB3725" i="3"/>
  <c r="O3725" i="3" s="1"/>
  <c r="AB3726" i="3"/>
  <c r="O3726" i="3" s="1"/>
  <c r="AB3727" i="3"/>
  <c r="O3727" i="3" s="1"/>
  <c r="AC3717" i="3"/>
  <c r="N3717" i="3" s="1"/>
  <c r="AC3718" i="3"/>
  <c r="N3718" i="3" s="1"/>
  <c r="AC3719" i="3"/>
  <c r="N3719" i="3" s="1"/>
  <c r="AC3720" i="3"/>
  <c r="N3720" i="3" s="1"/>
  <c r="AC3721" i="3"/>
  <c r="N3721" i="3" s="1"/>
  <c r="AC3722" i="3"/>
  <c r="N3722" i="3" s="1"/>
  <c r="AC3723" i="3"/>
  <c r="N3723" i="3" s="1"/>
  <c r="AC3724" i="3"/>
  <c r="N3724" i="3" s="1"/>
  <c r="AC3725" i="3"/>
  <c r="N3725" i="3" s="1"/>
  <c r="AC3726" i="3"/>
  <c r="N3726" i="3" s="1"/>
  <c r="AC3727" i="3"/>
  <c r="N3727" i="3" s="1"/>
  <c r="AK3717" i="3"/>
  <c r="AK3718" i="3"/>
  <c r="AK3719" i="3"/>
  <c r="AK3720" i="3"/>
  <c r="AK3721" i="3"/>
  <c r="AK3722" i="3"/>
  <c r="AK3723" i="3"/>
  <c r="AK3724" i="3"/>
  <c r="AK3725" i="3"/>
  <c r="AK3726" i="3"/>
  <c r="AK3727" i="3"/>
  <c r="M214" i="10"/>
  <c r="M3706" i="3"/>
  <c r="M3707" i="3"/>
  <c r="M3708" i="3"/>
  <c r="M3709" i="3"/>
  <c r="M3710" i="3"/>
  <c r="M3711" i="3"/>
  <c r="M3712" i="3"/>
  <c r="M3713" i="3"/>
  <c r="M3714" i="3"/>
  <c r="M3715" i="3"/>
  <c r="M3716" i="3"/>
  <c r="P3706" i="3"/>
  <c r="P3707" i="3"/>
  <c r="P3708" i="3"/>
  <c r="P3709" i="3"/>
  <c r="P3710" i="3"/>
  <c r="P3711" i="3"/>
  <c r="P3712" i="3"/>
  <c r="P3713" i="3"/>
  <c r="P3714" i="3"/>
  <c r="P3715" i="3"/>
  <c r="P3716" i="3"/>
  <c r="Q3706" i="3"/>
  <c r="Q3707" i="3"/>
  <c r="Q3708" i="3"/>
  <c r="Q3709" i="3"/>
  <c r="Q3710" i="3"/>
  <c r="Q3711" i="3"/>
  <c r="Q3712" i="3"/>
  <c r="Q3713" i="3"/>
  <c r="Q3714" i="3"/>
  <c r="Q3715" i="3"/>
  <c r="Q3716" i="3"/>
  <c r="R3706" i="3"/>
  <c r="R3707" i="3"/>
  <c r="R3708" i="3"/>
  <c r="R3709" i="3"/>
  <c r="R3710" i="3"/>
  <c r="R3711" i="3"/>
  <c r="R3712" i="3"/>
  <c r="R3713" i="3"/>
  <c r="R3714" i="3"/>
  <c r="R3715" i="3"/>
  <c r="R3716" i="3"/>
  <c r="S3707" i="3"/>
  <c r="S3708" i="3"/>
  <c r="S3709" i="3"/>
  <c r="S3710" i="3"/>
  <c r="S3711" i="3"/>
  <c r="S3712" i="3"/>
  <c r="S3713" i="3"/>
  <c r="S3714" i="3"/>
  <c r="S3715" i="3"/>
  <c r="S3716" i="3"/>
  <c r="T3706" i="3"/>
  <c r="U3706" i="3"/>
  <c r="V3706" i="3"/>
  <c r="W3706" i="3"/>
  <c r="X3706" i="3"/>
  <c r="AA3706" i="3"/>
  <c r="AA3707" i="3"/>
  <c r="AA3708" i="3"/>
  <c r="AA3709" i="3"/>
  <c r="AA3710" i="3"/>
  <c r="AA3711" i="3"/>
  <c r="AA3712" i="3"/>
  <c r="AA3713" i="3"/>
  <c r="AA3714" i="3"/>
  <c r="AA3715" i="3"/>
  <c r="AA3716" i="3"/>
  <c r="AB3706" i="3"/>
  <c r="O3706" i="3" s="1"/>
  <c r="Y3706" i="3" s="1"/>
  <c r="AB3707" i="3"/>
  <c r="O3707" i="3" s="1"/>
  <c r="AB3708" i="3"/>
  <c r="O3708" i="3" s="1"/>
  <c r="AB3709" i="3"/>
  <c r="O3709" i="3" s="1"/>
  <c r="AB3710" i="3"/>
  <c r="O3710" i="3" s="1"/>
  <c r="AB3711" i="3"/>
  <c r="O3711" i="3" s="1"/>
  <c r="AB3712" i="3"/>
  <c r="O3712" i="3" s="1"/>
  <c r="AB3713" i="3"/>
  <c r="O3713" i="3" s="1"/>
  <c r="AB3714" i="3"/>
  <c r="O3714" i="3" s="1"/>
  <c r="AB3715" i="3"/>
  <c r="O3715" i="3" s="1"/>
  <c r="AB3716" i="3"/>
  <c r="O3716" i="3" s="1"/>
  <c r="AC3706" i="3"/>
  <c r="N3706" i="3" s="1"/>
  <c r="AC3707" i="3"/>
  <c r="N3707" i="3" s="1"/>
  <c r="AC3708" i="3"/>
  <c r="N3708" i="3" s="1"/>
  <c r="AC3709" i="3"/>
  <c r="N3709" i="3" s="1"/>
  <c r="AC3710" i="3"/>
  <c r="N3710" i="3" s="1"/>
  <c r="AC3711" i="3"/>
  <c r="N3711" i="3" s="1"/>
  <c r="AC3712" i="3"/>
  <c r="N3712" i="3" s="1"/>
  <c r="AC3713" i="3"/>
  <c r="N3713" i="3" s="1"/>
  <c r="AC3714" i="3"/>
  <c r="N3714" i="3" s="1"/>
  <c r="AC3715" i="3"/>
  <c r="N3715" i="3" s="1"/>
  <c r="AC3716" i="3"/>
  <c r="N3716" i="3" s="1"/>
  <c r="AK3706" i="3"/>
  <c r="AK3707" i="3"/>
  <c r="AK3708" i="3"/>
  <c r="AK3709" i="3"/>
  <c r="AK3710" i="3"/>
  <c r="AK3711" i="3"/>
  <c r="AK3712" i="3"/>
  <c r="AK3713" i="3"/>
  <c r="AK3714" i="3"/>
  <c r="AK3715" i="3"/>
  <c r="AK3716" i="3"/>
  <c r="M213" i="10"/>
  <c r="M3695" i="3"/>
  <c r="M3696" i="3"/>
  <c r="M3697" i="3"/>
  <c r="M3698" i="3"/>
  <c r="M3699" i="3"/>
  <c r="M3700" i="3"/>
  <c r="M3701" i="3"/>
  <c r="M3702" i="3"/>
  <c r="M3703" i="3"/>
  <c r="M3704" i="3"/>
  <c r="M3705" i="3"/>
  <c r="P3695" i="3"/>
  <c r="P3696" i="3"/>
  <c r="P3697" i="3"/>
  <c r="P3698" i="3"/>
  <c r="P3699" i="3"/>
  <c r="P3700" i="3"/>
  <c r="P3701" i="3"/>
  <c r="P3702" i="3"/>
  <c r="P3703" i="3"/>
  <c r="P3704" i="3"/>
  <c r="P3705" i="3"/>
  <c r="Q3695" i="3"/>
  <c r="Q3696" i="3"/>
  <c r="Q3697" i="3"/>
  <c r="Q3698" i="3"/>
  <c r="Q3699" i="3"/>
  <c r="Q3700" i="3"/>
  <c r="Q3701" i="3"/>
  <c r="Q3702" i="3"/>
  <c r="Q3703" i="3"/>
  <c r="Q3704" i="3"/>
  <c r="Q3705" i="3"/>
  <c r="R3695" i="3"/>
  <c r="R3696" i="3"/>
  <c r="R3697" i="3"/>
  <c r="R3698" i="3"/>
  <c r="R3699" i="3"/>
  <c r="R3700" i="3"/>
  <c r="R3701" i="3"/>
  <c r="R3702" i="3"/>
  <c r="R3703" i="3"/>
  <c r="R3704" i="3"/>
  <c r="R3705" i="3"/>
  <c r="S3696" i="3"/>
  <c r="S3697" i="3"/>
  <c r="S3698" i="3"/>
  <c r="S3699" i="3"/>
  <c r="S3700" i="3"/>
  <c r="S3701" i="3"/>
  <c r="S3702" i="3"/>
  <c r="S3703" i="3"/>
  <c r="S3704" i="3"/>
  <c r="S3705" i="3"/>
  <c r="T3695" i="3"/>
  <c r="U3695" i="3"/>
  <c r="V3695" i="3"/>
  <c r="W3695" i="3"/>
  <c r="X3695" i="3"/>
  <c r="AA3695" i="3"/>
  <c r="AA3696" i="3"/>
  <c r="AA3697" i="3"/>
  <c r="AA3698" i="3"/>
  <c r="AA3699" i="3"/>
  <c r="AA3700" i="3"/>
  <c r="AA3701" i="3"/>
  <c r="AA3702" i="3"/>
  <c r="AA3703" i="3"/>
  <c r="AA3704" i="3"/>
  <c r="AA3705" i="3"/>
  <c r="AB3695" i="3"/>
  <c r="O3695" i="3" s="1"/>
  <c r="Y3695" i="3" s="1"/>
  <c r="AB3696" i="3"/>
  <c r="O3696" i="3" s="1"/>
  <c r="AB3697" i="3"/>
  <c r="O3697" i="3" s="1"/>
  <c r="AB3698" i="3"/>
  <c r="O3698" i="3" s="1"/>
  <c r="AB3699" i="3"/>
  <c r="O3699" i="3" s="1"/>
  <c r="AB3700" i="3"/>
  <c r="O3700" i="3" s="1"/>
  <c r="AB3701" i="3"/>
  <c r="O3701" i="3" s="1"/>
  <c r="AB3702" i="3"/>
  <c r="O3702" i="3" s="1"/>
  <c r="AB3703" i="3"/>
  <c r="O3703" i="3" s="1"/>
  <c r="AB3704" i="3"/>
  <c r="O3704" i="3" s="1"/>
  <c r="AB3705" i="3"/>
  <c r="O3705" i="3" s="1"/>
  <c r="AC3695" i="3"/>
  <c r="N3695" i="3" s="1"/>
  <c r="AC3696" i="3"/>
  <c r="N3696" i="3" s="1"/>
  <c r="AC3697" i="3"/>
  <c r="N3697" i="3" s="1"/>
  <c r="AC3698" i="3"/>
  <c r="N3698" i="3" s="1"/>
  <c r="AC3699" i="3"/>
  <c r="N3699" i="3" s="1"/>
  <c r="AC3700" i="3"/>
  <c r="N3700" i="3" s="1"/>
  <c r="AC3701" i="3"/>
  <c r="N3701" i="3" s="1"/>
  <c r="AC3702" i="3"/>
  <c r="N3702" i="3" s="1"/>
  <c r="AC3703" i="3"/>
  <c r="N3703" i="3" s="1"/>
  <c r="AC3704" i="3"/>
  <c r="N3704" i="3" s="1"/>
  <c r="AC3705" i="3"/>
  <c r="N3705" i="3" s="1"/>
  <c r="AK3695" i="3"/>
  <c r="AK3696" i="3"/>
  <c r="AK3697" i="3"/>
  <c r="AK3698" i="3"/>
  <c r="AK3699" i="3"/>
  <c r="AK3700" i="3"/>
  <c r="AK3701" i="3"/>
  <c r="AK3702" i="3"/>
  <c r="AK3703" i="3"/>
  <c r="AK3704" i="3"/>
  <c r="AK3705" i="3"/>
  <c r="M212" i="10"/>
  <c r="M3684" i="3"/>
  <c r="M3685" i="3"/>
  <c r="M3686" i="3"/>
  <c r="M3687" i="3"/>
  <c r="M3688" i="3"/>
  <c r="M3689" i="3"/>
  <c r="M3690" i="3"/>
  <c r="M3691" i="3"/>
  <c r="M3692" i="3"/>
  <c r="M3693" i="3"/>
  <c r="M3694" i="3"/>
  <c r="P3684" i="3"/>
  <c r="P3685" i="3"/>
  <c r="P3686" i="3"/>
  <c r="P3687" i="3"/>
  <c r="P3688" i="3"/>
  <c r="P3689" i="3"/>
  <c r="P3690" i="3"/>
  <c r="P3691" i="3"/>
  <c r="P3692" i="3"/>
  <c r="P3693" i="3"/>
  <c r="P3694" i="3"/>
  <c r="Q3684" i="3"/>
  <c r="Q3685" i="3"/>
  <c r="Q3686" i="3"/>
  <c r="Q3687" i="3"/>
  <c r="Q3688" i="3"/>
  <c r="Q3689" i="3"/>
  <c r="Q3690" i="3"/>
  <c r="Q3691" i="3"/>
  <c r="Q3692" i="3"/>
  <c r="Q3693" i="3"/>
  <c r="Q3694" i="3"/>
  <c r="R3684" i="3"/>
  <c r="R3685" i="3"/>
  <c r="R3686" i="3"/>
  <c r="R3687" i="3"/>
  <c r="R3688" i="3"/>
  <c r="R3689" i="3"/>
  <c r="R3690" i="3"/>
  <c r="R3691" i="3"/>
  <c r="R3692" i="3"/>
  <c r="R3693" i="3"/>
  <c r="R3694" i="3"/>
  <c r="S3685" i="3"/>
  <c r="S3686" i="3"/>
  <c r="S3687" i="3"/>
  <c r="S3688" i="3"/>
  <c r="S3689" i="3"/>
  <c r="S3690" i="3"/>
  <c r="S3691" i="3"/>
  <c r="S3692" i="3"/>
  <c r="S3693" i="3"/>
  <c r="S3694" i="3"/>
  <c r="T3684" i="3"/>
  <c r="U3684" i="3"/>
  <c r="V3684" i="3"/>
  <c r="W3684" i="3"/>
  <c r="X3684" i="3"/>
  <c r="AA3684" i="3"/>
  <c r="AA3685" i="3"/>
  <c r="AA3686" i="3"/>
  <c r="AA3687" i="3"/>
  <c r="AA3688" i="3"/>
  <c r="AA3689" i="3"/>
  <c r="AA3690" i="3"/>
  <c r="AA3691" i="3"/>
  <c r="AA3692" i="3"/>
  <c r="AA3693" i="3"/>
  <c r="AA3694" i="3"/>
  <c r="AB3684" i="3"/>
  <c r="O3684" i="3" s="1"/>
  <c r="Y3684" i="3" s="1"/>
  <c r="AB3685" i="3"/>
  <c r="O3685" i="3" s="1"/>
  <c r="AB3686" i="3"/>
  <c r="O3686" i="3" s="1"/>
  <c r="AB3687" i="3"/>
  <c r="O3687" i="3" s="1"/>
  <c r="AB3688" i="3"/>
  <c r="O3688" i="3" s="1"/>
  <c r="AB3689" i="3"/>
  <c r="O3689" i="3" s="1"/>
  <c r="AB3690" i="3"/>
  <c r="O3690" i="3" s="1"/>
  <c r="AB3691" i="3"/>
  <c r="O3691" i="3" s="1"/>
  <c r="AB3692" i="3"/>
  <c r="O3692" i="3" s="1"/>
  <c r="AB3693" i="3"/>
  <c r="O3693" i="3" s="1"/>
  <c r="AB3694" i="3"/>
  <c r="O3694" i="3" s="1"/>
  <c r="AC3684" i="3"/>
  <c r="N3684" i="3" s="1"/>
  <c r="AC3685" i="3"/>
  <c r="N3685" i="3" s="1"/>
  <c r="AC3686" i="3"/>
  <c r="N3686" i="3" s="1"/>
  <c r="AC3687" i="3"/>
  <c r="N3687" i="3" s="1"/>
  <c r="AC3688" i="3"/>
  <c r="N3688" i="3" s="1"/>
  <c r="AC3689" i="3"/>
  <c r="N3689" i="3" s="1"/>
  <c r="AC3690" i="3"/>
  <c r="N3690" i="3" s="1"/>
  <c r="AC3691" i="3"/>
  <c r="N3691" i="3" s="1"/>
  <c r="AC3692" i="3"/>
  <c r="N3692" i="3" s="1"/>
  <c r="AC3693" i="3"/>
  <c r="N3693" i="3" s="1"/>
  <c r="AC3694" i="3"/>
  <c r="N3694" i="3" s="1"/>
  <c r="AK3684" i="3"/>
  <c r="AK3685" i="3"/>
  <c r="AK3686" i="3"/>
  <c r="AK3687" i="3"/>
  <c r="AK3688" i="3"/>
  <c r="AK3689" i="3"/>
  <c r="AK3690" i="3"/>
  <c r="AK3691" i="3"/>
  <c r="AK3692" i="3"/>
  <c r="AK3693" i="3"/>
  <c r="AK3694" i="3"/>
  <c r="M211" i="10"/>
  <c r="M3673" i="3"/>
  <c r="M3674" i="3"/>
  <c r="M3675" i="3"/>
  <c r="M3676" i="3"/>
  <c r="M3677" i="3"/>
  <c r="M3678" i="3"/>
  <c r="M3679" i="3"/>
  <c r="M3680" i="3"/>
  <c r="M3681" i="3"/>
  <c r="M3682" i="3"/>
  <c r="M3683" i="3"/>
  <c r="P3673" i="3"/>
  <c r="P3674" i="3"/>
  <c r="P3675" i="3"/>
  <c r="P3676" i="3"/>
  <c r="P3677" i="3"/>
  <c r="P3678" i="3"/>
  <c r="P3679" i="3"/>
  <c r="P3680" i="3"/>
  <c r="P3681" i="3"/>
  <c r="P3682" i="3"/>
  <c r="P3683" i="3"/>
  <c r="Q3673" i="3"/>
  <c r="Q3674" i="3"/>
  <c r="Q3675" i="3"/>
  <c r="Q3676" i="3"/>
  <c r="Q3677" i="3"/>
  <c r="Q3678" i="3"/>
  <c r="Q3679" i="3"/>
  <c r="Q3680" i="3"/>
  <c r="Q3681" i="3"/>
  <c r="Q3682" i="3"/>
  <c r="Q3683" i="3"/>
  <c r="R3673" i="3"/>
  <c r="R3674" i="3"/>
  <c r="R3675" i="3"/>
  <c r="R3676" i="3"/>
  <c r="R3677" i="3"/>
  <c r="R3678" i="3"/>
  <c r="R3679" i="3"/>
  <c r="R3680" i="3"/>
  <c r="R3681" i="3"/>
  <c r="R3682" i="3"/>
  <c r="R3683" i="3"/>
  <c r="S3674" i="3"/>
  <c r="S3675" i="3"/>
  <c r="S3676" i="3"/>
  <c r="S3677" i="3"/>
  <c r="S3678" i="3"/>
  <c r="S3679" i="3"/>
  <c r="S3680" i="3"/>
  <c r="S3681" i="3"/>
  <c r="S3682" i="3"/>
  <c r="S3683" i="3"/>
  <c r="T3673" i="3"/>
  <c r="U3673" i="3"/>
  <c r="V3673" i="3"/>
  <c r="W3673" i="3"/>
  <c r="X3673" i="3"/>
  <c r="AA3673" i="3"/>
  <c r="AA3674" i="3"/>
  <c r="AA3675" i="3"/>
  <c r="AA3676" i="3"/>
  <c r="AA3677" i="3"/>
  <c r="AA3678" i="3"/>
  <c r="AA3679" i="3"/>
  <c r="AA3680" i="3"/>
  <c r="AA3681" i="3"/>
  <c r="AA3682" i="3"/>
  <c r="AA3683" i="3"/>
  <c r="AB3673" i="3"/>
  <c r="O3673" i="3" s="1"/>
  <c r="Y3673" i="3" s="1"/>
  <c r="AB3674" i="3"/>
  <c r="O3674" i="3" s="1"/>
  <c r="AB3675" i="3"/>
  <c r="O3675" i="3" s="1"/>
  <c r="AB3676" i="3"/>
  <c r="O3676" i="3" s="1"/>
  <c r="AB3677" i="3"/>
  <c r="O3677" i="3" s="1"/>
  <c r="AB3678" i="3"/>
  <c r="O3678" i="3" s="1"/>
  <c r="AB3679" i="3"/>
  <c r="O3679" i="3" s="1"/>
  <c r="AB3680" i="3"/>
  <c r="O3680" i="3" s="1"/>
  <c r="AB3681" i="3"/>
  <c r="O3681" i="3" s="1"/>
  <c r="AB3682" i="3"/>
  <c r="O3682" i="3" s="1"/>
  <c r="AB3683" i="3"/>
  <c r="O3683" i="3" s="1"/>
  <c r="AC3673" i="3"/>
  <c r="N3673" i="3" s="1"/>
  <c r="AC3674" i="3"/>
  <c r="N3674" i="3" s="1"/>
  <c r="AC3675" i="3"/>
  <c r="N3675" i="3" s="1"/>
  <c r="AC3676" i="3"/>
  <c r="N3676" i="3" s="1"/>
  <c r="AC3677" i="3"/>
  <c r="N3677" i="3" s="1"/>
  <c r="AC3678" i="3"/>
  <c r="N3678" i="3" s="1"/>
  <c r="AC3679" i="3"/>
  <c r="N3679" i="3" s="1"/>
  <c r="AC3680" i="3"/>
  <c r="N3680" i="3" s="1"/>
  <c r="AC3681" i="3"/>
  <c r="N3681" i="3" s="1"/>
  <c r="AC3682" i="3"/>
  <c r="N3682" i="3" s="1"/>
  <c r="AC3683" i="3"/>
  <c r="N3683" i="3" s="1"/>
  <c r="AK3673" i="3"/>
  <c r="AK3674" i="3"/>
  <c r="AK3675" i="3"/>
  <c r="AK3676" i="3"/>
  <c r="AK3677" i="3"/>
  <c r="AK3678" i="3"/>
  <c r="AK3679" i="3"/>
  <c r="AK3680" i="3"/>
  <c r="AK3681" i="3"/>
  <c r="AK3682" i="3"/>
  <c r="AK3683" i="3"/>
  <c r="M210" i="10"/>
  <c r="M3662" i="3"/>
  <c r="M3663" i="3"/>
  <c r="M3664" i="3"/>
  <c r="M3665" i="3"/>
  <c r="M3666" i="3"/>
  <c r="M3667" i="3"/>
  <c r="M3668" i="3"/>
  <c r="M3669" i="3"/>
  <c r="M3670" i="3"/>
  <c r="M3671" i="3"/>
  <c r="M3672" i="3"/>
  <c r="P3662" i="3"/>
  <c r="P3663" i="3"/>
  <c r="P3664" i="3"/>
  <c r="P3665" i="3"/>
  <c r="P3666" i="3"/>
  <c r="P3667" i="3"/>
  <c r="P3668" i="3"/>
  <c r="P3669" i="3"/>
  <c r="P3670" i="3"/>
  <c r="P3671" i="3"/>
  <c r="P3672" i="3"/>
  <c r="Q3662" i="3"/>
  <c r="Q3663" i="3"/>
  <c r="Q3664" i="3"/>
  <c r="Q3665" i="3"/>
  <c r="Q3666" i="3"/>
  <c r="Q3667" i="3"/>
  <c r="Q3668" i="3"/>
  <c r="Q3669" i="3"/>
  <c r="Q3670" i="3"/>
  <c r="Q3671" i="3"/>
  <c r="Q3672" i="3"/>
  <c r="R3662" i="3"/>
  <c r="R3663" i="3"/>
  <c r="R3664" i="3"/>
  <c r="R3665" i="3"/>
  <c r="R3666" i="3"/>
  <c r="R3667" i="3"/>
  <c r="R3668" i="3"/>
  <c r="R3669" i="3"/>
  <c r="R3670" i="3"/>
  <c r="R3671" i="3"/>
  <c r="R3672" i="3"/>
  <c r="S3663" i="3"/>
  <c r="S3664" i="3"/>
  <c r="S3665" i="3"/>
  <c r="S3666" i="3"/>
  <c r="S3667" i="3"/>
  <c r="S3668" i="3"/>
  <c r="S3669" i="3"/>
  <c r="S3670" i="3"/>
  <c r="S3671" i="3"/>
  <c r="S3672" i="3"/>
  <c r="T3662" i="3"/>
  <c r="U3662" i="3"/>
  <c r="V3662" i="3"/>
  <c r="W3662" i="3"/>
  <c r="X3662" i="3"/>
  <c r="AA3662" i="3"/>
  <c r="AA3663" i="3"/>
  <c r="AA3664" i="3"/>
  <c r="AA3665" i="3"/>
  <c r="AA3666" i="3"/>
  <c r="AA3667" i="3"/>
  <c r="AA3668" i="3"/>
  <c r="AA3669" i="3"/>
  <c r="AA3670" i="3"/>
  <c r="AA3671" i="3"/>
  <c r="AA3672" i="3"/>
  <c r="AB3662" i="3"/>
  <c r="O3662" i="3" s="1"/>
  <c r="Y3662" i="3" s="1"/>
  <c r="AB3663" i="3"/>
  <c r="O3663" i="3" s="1"/>
  <c r="AB3664" i="3"/>
  <c r="O3664" i="3" s="1"/>
  <c r="AB3665" i="3"/>
  <c r="O3665" i="3" s="1"/>
  <c r="AB3666" i="3"/>
  <c r="O3666" i="3" s="1"/>
  <c r="AB3667" i="3"/>
  <c r="O3667" i="3" s="1"/>
  <c r="AB3668" i="3"/>
  <c r="O3668" i="3" s="1"/>
  <c r="AB3669" i="3"/>
  <c r="O3669" i="3" s="1"/>
  <c r="AB3670" i="3"/>
  <c r="O3670" i="3" s="1"/>
  <c r="AB3671" i="3"/>
  <c r="O3671" i="3" s="1"/>
  <c r="AB3672" i="3"/>
  <c r="O3672" i="3" s="1"/>
  <c r="AC3662" i="3"/>
  <c r="N3662" i="3" s="1"/>
  <c r="AC3663" i="3"/>
  <c r="N3663" i="3" s="1"/>
  <c r="AC3664" i="3"/>
  <c r="N3664" i="3" s="1"/>
  <c r="AC3665" i="3"/>
  <c r="N3665" i="3" s="1"/>
  <c r="AC3666" i="3"/>
  <c r="N3666" i="3" s="1"/>
  <c r="AC3667" i="3"/>
  <c r="N3667" i="3" s="1"/>
  <c r="AC3668" i="3"/>
  <c r="N3668" i="3" s="1"/>
  <c r="AC3669" i="3"/>
  <c r="N3669" i="3" s="1"/>
  <c r="AC3670" i="3"/>
  <c r="N3670" i="3" s="1"/>
  <c r="AC3671" i="3"/>
  <c r="N3671" i="3" s="1"/>
  <c r="AC3672" i="3"/>
  <c r="N3672" i="3" s="1"/>
  <c r="AK3662" i="3"/>
  <c r="AK3663" i="3"/>
  <c r="AK3664" i="3"/>
  <c r="AK3665" i="3"/>
  <c r="AK3666" i="3"/>
  <c r="AK3667" i="3"/>
  <c r="AK3668" i="3"/>
  <c r="AK3669" i="3"/>
  <c r="AK3670" i="3"/>
  <c r="AK3671" i="3"/>
  <c r="AK3672" i="3"/>
  <c r="M209" i="10"/>
  <c r="M3651" i="3"/>
  <c r="M3652" i="3"/>
  <c r="M3653" i="3"/>
  <c r="M3654" i="3"/>
  <c r="M3655" i="3"/>
  <c r="M3656" i="3"/>
  <c r="M3657" i="3"/>
  <c r="M3658" i="3"/>
  <c r="M3659" i="3"/>
  <c r="M3660" i="3"/>
  <c r="M3661" i="3"/>
  <c r="P3651" i="3"/>
  <c r="P3652" i="3"/>
  <c r="P3653" i="3"/>
  <c r="P3654" i="3"/>
  <c r="P3655" i="3"/>
  <c r="P3656" i="3"/>
  <c r="P3657" i="3"/>
  <c r="P3658" i="3"/>
  <c r="P3659" i="3"/>
  <c r="P3660" i="3"/>
  <c r="P3661" i="3"/>
  <c r="Q3651" i="3"/>
  <c r="Q3652" i="3"/>
  <c r="Q3653" i="3"/>
  <c r="Q3654" i="3"/>
  <c r="Q3655" i="3"/>
  <c r="Q3656" i="3"/>
  <c r="Q3657" i="3"/>
  <c r="Q3658" i="3"/>
  <c r="Q3659" i="3"/>
  <c r="Q3660" i="3"/>
  <c r="Q3661" i="3"/>
  <c r="R3651" i="3"/>
  <c r="R3652" i="3"/>
  <c r="R3653" i="3"/>
  <c r="R3654" i="3"/>
  <c r="R3655" i="3"/>
  <c r="R3656" i="3"/>
  <c r="R3657" i="3"/>
  <c r="R3658" i="3"/>
  <c r="R3659" i="3"/>
  <c r="R3660" i="3"/>
  <c r="R3661" i="3"/>
  <c r="S3652" i="3"/>
  <c r="S3653" i="3"/>
  <c r="S3654" i="3"/>
  <c r="S3655" i="3"/>
  <c r="S3656" i="3"/>
  <c r="S3657" i="3"/>
  <c r="S3658" i="3"/>
  <c r="S3659" i="3"/>
  <c r="S3660" i="3"/>
  <c r="S3661" i="3"/>
  <c r="T3651" i="3"/>
  <c r="U3651" i="3"/>
  <c r="V3651" i="3"/>
  <c r="W3651" i="3"/>
  <c r="X3651" i="3"/>
  <c r="AA3651" i="3"/>
  <c r="AA3652" i="3"/>
  <c r="AA3653" i="3"/>
  <c r="AA3654" i="3"/>
  <c r="AA3655" i="3"/>
  <c r="AA3656" i="3"/>
  <c r="AA3657" i="3"/>
  <c r="AA3658" i="3"/>
  <c r="AA3659" i="3"/>
  <c r="AA3660" i="3"/>
  <c r="AA3661" i="3"/>
  <c r="AB3651" i="3"/>
  <c r="O3651" i="3" s="1"/>
  <c r="Y3651" i="3" s="1"/>
  <c r="AB3652" i="3"/>
  <c r="O3652" i="3" s="1"/>
  <c r="AB3653" i="3"/>
  <c r="O3653" i="3" s="1"/>
  <c r="AB3654" i="3"/>
  <c r="O3654" i="3" s="1"/>
  <c r="AB3655" i="3"/>
  <c r="O3655" i="3" s="1"/>
  <c r="AB3656" i="3"/>
  <c r="O3656" i="3" s="1"/>
  <c r="AB3657" i="3"/>
  <c r="O3657" i="3" s="1"/>
  <c r="AB3658" i="3"/>
  <c r="O3658" i="3" s="1"/>
  <c r="AB3659" i="3"/>
  <c r="O3659" i="3" s="1"/>
  <c r="AB3660" i="3"/>
  <c r="O3660" i="3" s="1"/>
  <c r="AB3661" i="3"/>
  <c r="O3661" i="3" s="1"/>
  <c r="AC3651" i="3"/>
  <c r="N3651" i="3" s="1"/>
  <c r="AC3652" i="3"/>
  <c r="N3652" i="3" s="1"/>
  <c r="AC3653" i="3"/>
  <c r="N3653" i="3" s="1"/>
  <c r="AC3654" i="3"/>
  <c r="N3654" i="3" s="1"/>
  <c r="AC3655" i="3"/>
  <c r="N3655" i="3" s="1"/>
  <c r="AC3656" i="3"/>
  <c r="N3656" i="3" s="1"/>
  <c r="AC3657" i="3"/>
  <c r="N3657" i="3" s="1"/>
  <c r="AC3658" i="3"/>
  <c r="N3658" i="3" s="1"/>
  <c r="AC3659" i="3"/>
  <c r="N3659" i="3" s="1"/>
  <c r="AC3660" i="3"/>
  <c r="N3660" i="3" s="1"/>
  <c r="AC3661" i="3"/>
  <c r="N3661" i="3" s="1"/>
  <c r="AK3651" i="3"/>
  <c r="AK3652" i="3"/>
  <c r="AK3653" i="3"/>
  <c r="AK3654" i="3"/>
  <c r="AK3655" i="3"/>
  <c r="AK3656" i="3"/>
  <c r="AK3657" i="3"/>
  <c r="AK3658" i="3"/>
  <c r="AK3659" i="3"/>
  <c r="AK3660" i="3"/>
  <c r="AK3661" i="3"/>
  <c r="M208" i="10"/>
  <c r="M3638" i="3"/>
  <c r="M3639" i="3"/>
  <c r="M3640" i="3"/>
  <c r="M3641" i="3"/>
  <c r="M3642" i="3"/>
  <c r="M3643" i="3"/>
  <c r="M3644" i="3"/>
  <c r="M3645" i="3"/>
  <c r="M3646" i="3"/>
  <c r="M3647" i="3"/>
  <c r="M3648" i="3"/>
  <c r="M3649" i="3"/>
  <c r="M3650" i="3"/>
  <c r="P3638" i="3"/>
  <c r="P3639" i="3"/>
  <c r="P3640" i="3"/>
  <c r="P3641" i="3"/>
  <c r="P3642" i="3"/>
  <c r="P3643" i="3"/>
  <c r="P3644" i="3"/>
  <c r="P3645" i="3"/>
  <c r="P3646" i="3"/>
  <c r="P3647" i="3"/>
  <c r="P3648" i="3"/>
  <c r="P3649" i="3"/>
  <c r="P3650" i="3"/>
  <c r="Q3638" i="3"/>
  <c r="Q3639" i="3"/>
  <c r="Q3640" i="3"/>
  <c r="Q3641" i="3"/>
  <c r="Q3642" i="3"/>
  <c r="Q3643" i="3"/>
  <c r="Q3644" i="3"/>
  <c r="Q3645" i="3"/>
  <c r="Q3646" i="3"/>
  <c r="Q3647" i="3"/>
  <c r="Q3648" i="3"/>
  <c r="Q3649" i="3"/>
  <c r="Q3650" i="3"/>
  <c r="R3638" i="3"/>
  <c r="R3639" i="3"/>
  <c r="R3640" i="3"/>
  <c r="R3641" i="3"/>
  <c r="R3642" i="3"/>
  <c r="R3643" i="3"/>
  <c r="R3644" i="3"/>
  <c r="R3645" i="3"/>
  <c r="R3646" i="3"/>
  <c r="R3647" i="3"/>
  <c r="R3648" i="3"/>
  <c r="R3649" i="3"/>
  <c r="R3650" i="3"/>
  <c r="S3639" i="3"/>
  <c r="S3640" i="3"/>
  <c r="S3641" i="3"/>
  <c r="S3642" i="3"/>
  <c r="S3643" i="3"/>
  <c r="S3644" i="3"/>
  <c r="S3645" i="3"/>
  <c r="S3646" i="3"/>
  <c r="S3647" i="3"/>
  <c r="S3648" i="3"/>
  <c r="S3649" i="3"/>
  <c r="S3650" i="3"/>
  <c r="T3638" i="3"/>
  <c r="U3638" i="3"/>
  <c r="V3638" i="3"/>
  <c r="W3638" i="3"/>
  <c r="X3638" i="3"/>
  <c r="AA3638" i="3"/>
  <c r="AA3639" i="3"/>
  <c r="AA3640" i="3"/>
  <c r="AA3641" i="3"/>
  <c r="AA3642" i="3"/>
  <c r="AA3643" i="3"/>
  <c r="AA3644" i="3"/>
  <c r="AA3645" i="3"/>
  <c r="AA3646" i="3"/>
  <c r="AA3647" i="3"/>
  <c r="AA3648" i="3"/>
  <c r="AA3649" i="3"/>
  <c r="AA3650" i="3"/>
  <c r="AB3638" i="3"/>
  <c r="O3638" i="3" s="1"/>
  <c r="Y3638" i="3" s="1"/>
  <c r="AB3639" i="3"/>
  <c r="O3639" i="3" s="1"/>
  <c r="AB3640" i="3"/>
  <c r="O3640" i="3" s="1"/>
  <c r="AB3641" i="3"/>
  <c r="O3641" i="3" s="1"/>
  <c r="AB3642" i="3"/>
  <c r="O3642" i="3" s="1"/>
  <c r="AB3643" i="3"/>
  <c r="O3643" i="3" s="1"/>
  <c r="AB3644" i="3"/>
  <c r="O3644" i="3" s="1"/>
  <c r="AB3645" i="3"/>
  <c r="O3645" i="3" s="1"/>
  <c r="AB3646" i="3"/>
  <c r="O3646" i="3" s="1"/>
  <c r="AB3647" i="3"/>
  <c r="O3647" i="3" s="1"/>
  <c r="AB3648" i="3"/>
  <c r="O3648" i="3" s="1"/>
  <c r="AB3649" i="3"/>
  <c r="O3649" i="3" s="1"/>
  <c r="AB3650" i="3"/>
  <c r="O3650" i="3" s="1"/>
  <c r="AC3638" i="3"/>
  <c r="N3638" i="3" s="1"/>
  <c r="AC3639" i="3"/>
  <c r="N3639" i="3" s="1"/>
  <c r="AC3640" i="3"/>
  <c r="N3640" i="3" s="1"/>
  <c r="AC3641" i="3"/>
  <c r="N3641" i="3" s="1"/>
  <c r="AC3642" i="3"/>
  <c r="N3642" i="3" s="1"/>
  <c r="AC3643" i="3"/>
  <c r="N3643" i="3" s="1"/>
  <c r="AC3644" i="3"/>
  <c r="N3644" i="3" s="1"/>
  <c r="AC3645" i="3"/>
  <c r="N3645" i="3" s="1"/>
  <c r="AC3646" i="3"/>
  <c r="N3646" i="3" s="1"/>
  <c r="AC3647" i="3"/>
  <c r="N3647" i="3" s="1"/>
  <c r="AC3648" i="3"/>
  <c r="N3648" i="3" s="1"/>
  <c r="AC3649" i="3"/>
  <c r="N3649" i="3" s="1"/>
  <c r="AC3650" i="3"/>
  <c r="N3650" i="3" s="1"/>
  <c r="AK3638" i="3"/>
  <c r="AK3639" i="3"/>
  <c r="AK3640" i="3"/>
  <c r="AK3641" i="3"/>
  <c r="AK3642" i="3"/>
  <c r="AK3643" i="3"/>
  <c r="AK3644" i="3"/>
  <c r="AK3645" i="3"/>
  <c r="AK3646" i="3"/>
  <c r="AK3647" i="3"/>
  <c r="AK3648" i="3"/>
  <c r="AK3649" i="3"/>
  <c r="AK3650" i="3"/>
  <c r="M207" i="10"/>
  <c r="M3627" i="3"/>
  <c r="M3628" i="3"/>
  <c r="M3629" i="3"/>
  <c r="M3630" i="3"/>
  <c r="M3631" i="3"/>
  <c r="M3632" i="3"/>
  <c r="M3633" i="3"/>
  <c r="M3634" i="3"/>
  <c r="M3635" i="3"/>
  <c r="M3636" i="3"/>
  <c r="M3637" i="3"/>
  <c r="P3627" i="3"/>
  <c r="P3628" i="3"/>
  <c r="P3629" i="3"/>
  <c r="P3630" i="3"/>
  <c r="P3631" i="3"/>
  <c r="P3632" i="3"/>
  <c r="P3633" i="3"/>
  <c r="P3634" i="3"/>
  <c r="P3635" i="3"/>
  <c r="P3636" i="3"/>
  <c r="P3637" i="3"/>
  <c r="Q3627" i="3"/>
  <c r="Q3628" i="3"/>
  <c r="Q3629" i="3"/>
  <c r="Q3630" i="3"/>
  <c r="Q3631" i="3"/>
  <c r="Q3632" i="3"/>
  <c r="Q3633" i="3"/>
  <c r="Q3634" i="3"/>
  <c r="Q3635" i="3"/>
  <c r="Q3636" i="3"/>
  <c r="Q3637" i="3"/>
  <c r="R3627" i="3"/>
  <c r="R3628" i="3"/>
  <c r="R3629" i="3"/>
  <c r="R3630" i="3"/>
  <c r="R3631" i="3"/>
  <c r="R3632" i="3"/>
  <c r="R3633" i="3"/>
  <c r="R3634" i="3"/>
  <c r="R3635" i="3"/>
  <c r="R3636" i="3"/>
  <c r="R3637" i="3"/>
  <c r="S3628" i="3"/>
  <c r="S3629" i="3"/>
  <c r="S3630" i="3"/>
  <c r="S3631" i="3"/>
  <c r="S3632" i="3"/>
  <c r="S3633" i="3"/>
  <c r="S3634" i="3"/>
  <c r="S3635" i="3"/>
  <c r="S3636" i="3"/>
  <c r="S3637" i="3"/>
  <c r="T3627" i="3"/>
  <c r="U3627" i="3"/>
  <c r="V3627" i="3"/>
  <c r="W3627" i="3"/>
  <c r="X3627" i="3"/>
  <c r="AA3627" i="3"/>
  <c r="AA3628" i="3"/>
  <c r="AA3629" i="3"/>
  <c r="AA3630" i="3"/>
  <c r="AA3631" i="3"/>
  <c r="AA3632" i="3"/>
  <c r="AA3633" i="3"/>
  <c r="AA3634" i="3"/>
  <c r="AA3635" i="3"/>
  <c r="AA3636" i="3"/>
  <c r="AA3637" i="3"/>
  <c r="AB3627" i="3"/>
  <c r="O3627" i="3" s="1"/>
  <c r="Y3627" i="3" s="1"/>
  <c r="AB3628" i="3"/>
  <c r="O3628" i="3" s="1"/>
  <c r="AB3629" i="3"/>
  <c r="O3629" i="3" s="1"/>
  <c r="AB3630" i="3"/>
  <c r="O3630" i="3" s="1"/>
  <c r="AB3631" i="3"/>
  <c r="O3631" i="3" s="1"/>
  <c r="AB3632" i="3"/>
  <c r="O3632" i="3" s="1"/>
  <c r="AB3633" i="3"/>
  <c r="O3633" i="3" s="1"/>
  <c r="AB3634" i="3"/>
  <c r="O3634" i="3" s="1"/>
  <c r="AB3635" i="3"/>
  <c r="O3635" i="3" s="1"/>
  <c r="AB3636" i="3"/>
  <c r="O3636" i="3" s="1"/>
  <c r="AB3637" i="3"/>
  <c r="O3637" i="3" s="1"/>
  <c r="AC3627" i="3"/>
  <c r="N3627" i="3" s="1"/>
  <c r="AC3628" i="3"/>
  <c r="N3628" i="3" s="1"/>
  <c r="AC3629" i="3"/>
  <c r="N3629" i="3" s="1"/>
  <c r="AC3630" i="3"/>
  <c r="N3630" i="3" s="1"/>
  <c r="AC3631" i="3"/>
  <c r="N3631" i="3" s="1"/>
  <c r="AC3632" i="3"/>
  <c r="N3632" i="3" s="1"/>
  <c r="AC3633" i="3"/>
  <c r="N3633" i="3" s="1"/>
  <c r="AC3634" i="3"/>
  <c r="N3634" i="3" s="1"/>
  <c r="AC3635" i="3"/>
  <c r="N3635" i="3" s="1"/>
  <c r="AC3636" i="3"/>
  <c r="N3636" i="3" s="1"/>
  <c r="AC3637" i="3"/>
  <c r="N3637" i="3" s="1"/>
  <c r="AK3627" i="3"/>
  <c r="AK3628" i="3"/>
  <c r="AK3629" i="3"/>
  <c r="AK3630" i="3"/>
  <c r="AK3631" i="3"/>
  <c r="AK3632" i="3"/>
  <c r="AK3633" i="3"/>
  <c r="AK3634" i="3"/>
  <c r="AK3635" i="3"/>
  <c r="AK3636" i="3"/>
  <c r="AK3637" i="3"/>
  <c r="M206" i="10"/>
  <c r="M3614" i="3"/>
  <c r="M3615" i="3"/>
  <c r="M3616" i="3"/>
  <c r="M3617" i="3"/>
  <c r="M3618" i="3"/>
  <c r="M3619" i="3"/>
  <c r="M3620" i="3"/>
  <c r="M3621" i="3"/>
  <c r="M3622" i="3"/>
  <c r="M3623" i="3"/>
  <c r="M3624" i="3"/>
  <c r="M3625" i="3"/>
  <c r="M3626" i="3"/>
  <c r="P3614" i="3"/>
  <c r="P3615" i="3"/>
  <c r="P3616" i="3"/>
  <c r="P3617" i="3"/>
  <c r="P3618" i="3"/>
  <c r="P3619" i="3"/>
  <c r="P3620" i="3"/>
  <c r="P3621" i="3"/>
  <c r="P3622" i="3"/>
  <c r="P3623" i="3"/>
  <c r="P3624" i="3"/>
  <c r="P3625" i="3"/>
  <c r="P3626" i="3"/>
  <c r="Q3614" i="3"/>
  <c r="Q3615" i="3"/>
  <c r="Q3616" i="3"/>
  <c r="Q3617" i="3"/>
  <c r="Q3618" i="3"/>
  <c r="Q3619" i="3"/>
  <c r="Q3620" i="3"/>
  <c r="Q3621" i="3"/>
  <c r="Q3622" i="3"/>
  <c r="Q3623" i="3"/>
  <c r="Q3624" i="3"/>
  <c r="Q3625" i="3"/>
  <c r="Q3626" i="3"/>
  <c r="R3614" i="3"/>
  <c r="R3615" i="3"/>
  <c r="R3616" i="3"/>
  <c r="R3617" i="3"/>
  <c r="R3618" i="3"/>
  <c r="R3619" i="3"/>
  <c r="R3620" i="3"/>
  <c r="R3621" i="3"/>
  <c r="R3622" i="3"/>
  <c r="R3623" i="3"/>
  <c r="R3624" i="3"/>
  <c r="R3625" i="3"/>
  <c r="R3626" i="3"/>
  <c r="S3615" i="3"/>
  <c r="S3616" i="3"/>
  <c r="S3617" i="3"/>
  <c r="S3618" i="3"/>
  <c r="S3619" i="3"/>
  <c r="S3620" i="3"/>
  <c r="S3621" i="3"/>
  <c r="S3622" i="3"/>
  <c r="S3623" i="3"/>
  <c r="S3624" i="3"/>
  <c r="S3625" i="3"/>
  <c r="S3626" i="3"/>
  <c r="T3614" i="3"/>
  <c r="U3614" i="3"/>
  <c r="V3614" i="3"/>
  <c r="W3614" i="3"/>
  <c r="X3614" i="3"/>
  <c r="AA3614" i="3"/>
  <c r="AA3615" i="3"/>
  <c r="AA3616" i="3"/>
  <c r="AA3617" i="3"/>
  <c r="AA3618" i="3"/>
  <c r="AA3619" i="3"/>
  <c r="AA3620" i="3"/>
  <c r="AA3621" i="3"/>
  <c r="AA3622" i="3"/>
  <c r="AA3623" i="3"/>
  <c r="AA3624" i="3"/>
  <c r="AA3625" i="3"/>
  <c r="AA3626" i="3"/>
  <c r="AB3614" i="3"/>
  <c r="O3614" i="3" s="1"/>
  <c r="Y3614" i="3" s="1"/>
  <c r="AB3615" i="3"/>
  <c r="O3615" i="3" s="1"/>
  <c r="AB3616" i="3"/>
  <c r="O3616" i="3" s="1"/>
  <c r="AB3617" i="3"/>
  <c r="O3617" i="3" s="1"/>
  <c r="AB3618" i="3"/>
  <c r="O3618" i="3" s="1"/>
  <c r="AB3619" i="3"/>
  <c r="O3619" i="3" s="1"/>
  <c r="AB3620" i="3"/>
  <c r="O3620" i="3" s="1"/>
  <c r="AB3621" i="3"/>
  <c r="O3621" i="3" s="1"/>
  <c r="AB3622" i="3"/>
  <c r="O3622" i="3" s="1"/>
  <c r="AB3623" i="3"/>
  <c r="O3623" i="3" s="1"/>
  <c r="AB3624" i="3"/>
  <c r="O3624" i="3" s="1"/>
  <c r="AB3625" i="3"/>
  <c r="O3625" i="3" s="1"/>
  <c r="AB3626" i="3"/>
  <c r="O3626" i="3" s="1"/>
  <c r="AC3614" i="3"/>
  <c r="N3614" i="3" s="1"/>
  <c r="AC3615" i="3"/>
  <c r="N3615" i="3" s="1"/>
  <c r="AC3616" i="3"/>
  <c r="N3616" i="3" s="1"/>
  <c r="AC3617" i="3"/>
  <c r="N3617" i="3" s="1"/>
  <c r="AC3618" i="3"/>
  <c r="N3618" i="3" s="1"/>
  <c r="AC3619" i="3"/>
  <c r="N3619" i="3" s="1"/>
  <c r="AC3620" i="3"/>
  <c r="N3620" i="3" s="1"/>
  <c r="AC3621" i="3"/>
  <c r="N3621" i="3" s="1"/>
  <c r="AC3622" i="3"/>
  <c r="N3622" i="3" s="1"/>
  <c r="AC3623" i="3"/>
  <c r="N3623" i="3" s="1"/>
  <c r="AC3624" i="3"/>
  <c r="N3624" i="3" s="1"/>
  <c r="AC3625" i="3"/>
  <c r="N3625" i="3" s="1"/>
  <c r="AC3626" i="3"/>
  <c r="N3626" i="3" s="1"/>
  <c r="AK3614" i="3"/>
  <c r="AK3615" i="3"/>
  <c r="AK3616" i="3"/>
  <c r="AK3617" i="3"/>
  <c r="AK3618" i="3"/>
  <c r="AK3619" i="3"/>
  <c r="AK3620" i="3"/>
  <c r="AK3621" i="3"/>
  <c r="AK3622" i="3"/>
  <c r="AK3623" i="3"/>
  <c r="AK3624" i="3"/>
  <c r="AK3625" i="3"/>
  <c r="AK3626" i="3"/>
  <c r="M205" i="10"/>
  <c r="M3603" i="3"/>
  <c r="M3604" i="3"/>
  <c r="M3605" i="3"/>
  <c r="M3606" i="3"/>
  <c r="M3607" i="3"/>
  <c r="M3608" i="3"/>
  <c r="M3609" i="3"/>
  <c r="M3610" i="3"/>
  <c r="M3611" i="3"/>
  <c r="M3612" i="3"/>
  <c r="M3613" i="3"/>
  <c r="P3603" i="3"/>
  <c r="P3604" i="3"/>
  <c r="P3605" i="3"/>
  <c r="P3606" i="3"/>
  <c r="P3607" i="3"/>
  <c r="P3608" i="3"/>
  <c r="P3609" i="3"/>
  <c r="P3610" i="3"/>
  <c r="P3611" i="3"/>
  <c r="P3612" i="3"/>
  <c r="P3613" i="3"/>
  <c r="Q3603" i="3"/>
  <c r="Q3604" i="3"/>
  <c r="Q3605" i="3"/>
  <c r="Q3606" i="3"/>
  <c r="Q3607" i="3"/>
  <c r="Q3608" i="3"/>
  <c r="Q3609" i="3"/>
  <c r="Q3610" i="3"/>
  <c r="Q3611" i="3"/>
  <c r="Q3612" i="3"/>
  <c r="Q3613" i="3"/>
  <c r="R3603" i="3"/>
  <c r="R3604" i="3"/>
  <c r="R3605" i="3"/>
  <c r="R3606" i="3"/>
  <c r="R3607" i="3"/>
  <c r="R3608" i="3"/>
  <c r="R3609" i="3"/>
  <c r="R3610" i="3"/>
  <c r="R3611" i="3"/>
  <c r="R3612" i="3"/>
  <c r="R3613" i="3"/>
  <c r="S3604" i="3"/>
  <c r="S3605" i="3"/>
  <c r="S3606" i="3"/>
  <c r="S3607" i="3"/>
  <c r="S3608" i="3"/>
  <c r="S3609" i="3"/>
  <c r="S3610" i="3"/>
  <c r="S3611" i="3"/>
  <c r="S3612" i="3"/>
  <c r="S3613" i="3"/>
  <c r="T3603" i="3"/>
  <c r="U3603" i="3"/>
  <c r="V3603" i="3"/>
  <c r="W3603" i="3"/>
  <c r="X3603" i="3"/>
  <c r="AA3603" i="3"/>
  <c r="AA3604" i="3"/>
  <c r="AA3605" i="3"/>
  <c r="AA3606" i="3"/>
  <c r="AA3607" i="3"/>
  <c r="AA3608" i="3"/>
  <c r="AA3609" i="3"/>
  <c r="AA3610" i="3"/>
  <c r="AA3611" i="3"/>
  <c r="AA3612" i="3"/>
  <c r="AA3613" i="3"/>
  <c r="AB3603" i="3"/>
  <c r="O3603" i="3" s="1"/>
  <c r="Y3603" i="3" s="1"/>
  <c r="AB3604" i="3"/>
  <c r="O3604" i="3" s="1"/>
  <c r="AB3605" i="3"/>
  <c r="O3605" i="3" s="1"/>
  <c r="AB3606" i="3"/>
  <c r="O3606" i="3" s="1"/>
  <c r="AB3607" i="3"/>
  <c r="O3607" i="3" s="1"/>
  <c r="AB3608" i="3"/>
  <c r="O3608" i="3" s="1"/>
  <c r="AB3609" i="3"/>
  <c r="O3609" i="3" s="1"/>
  <c r="AB3610" i="3"/>
  <c r="O3610" i="3" s="1"/>
  <c r="AB3611" i="3"/>
  <c r="O3611" i="3" s="1"/>
  <c r="AB3612" i="3"/>
  <c r="O3612" i="3" s="1"/>
  <c r="AB3613" i="3"/>
  <c r="O3613" i="3" s="1"/>
  <c r="AC3603" i="3"/>
  <c r="N3603" i="3" s="1"/>
  <c r="AC3604" i="3"/>
  <c r="N3604" i="3" s="1"/>
  <c r="AC3605" i="3"/>
  <c r="N3605" i="3" s="1"/>
  <c r="AC3606" i="3"/>
  <c r="N3606" i="3" s="1"/>
  <c r="AC3607" i="3"/>
  <c r="N3607" i="3" s="1"/>
  <c r="AC3608" i="3"/>
  <c r="N3608" i="3" s="1"/>
  <c r="AC3609" i="3"/>
  <c r="N3609" i="3" s="1"/>
  <c r="AC3610" i="3"/>
  <c r="N3610" i="3" s="1"/>
  <c r="AC3611" i="3"/>
  <c r="N3611" i="3" s="1"/>
  <c r="AC3612" i="3"/>
  <c r="N3612" i="3" s="1"/>
  <c r="AC3613" i="3"/>
  <c r="N3613" i="3" s="1"/>
  <c r="AK3603" i="3"/>
  <c r="AK3604" i="3"/>
  <c r="AK3605" i="3"/>
  <c r="AK3606" i="3"/>
  <c r="AK3607" i="3"/>
  <c r="AK3608" i="3"/>
  <c r="AK3609" i="3"/>
  <c r="AK3610" i="3"/>
  <c r="AK3611" i="3"/>
  <c r="AK3612" i="3"/>
  <c r="AK3613" i="3"/>
  <c r="M204" i="10"/>
  <c r="M3592" i="3"/>
  <c r="M3593" i="3"/>
  <c r="M3594" i="3"/>
  <c r="M3595" i="3"/>
  <c r="M3596" i="3"/>
  <c r="M3597" i="3"/>
  <c r="M3598" i="3"/>
  <c r="M3599" i="3"/>
  <c r="M3600" i="3"/>
  <c r="M3601" i="3"/>
  <c r="M3602" i="3"/>
  <c r="P3592" i="3"/>
  <c r="P3593" i="3"/>
  <c r="P3594" i="3"/>
  <c r="P3595" i="3"/>
  <c r="P3596" i="3"/>
  <c r="P3597" i="3"/>
  <c r="P3598" i="3"/>
  <c r="P3599" i="3"/>
  <c r="P3600" i="3"/>
  <c r="P3601" i="3"/>
  <c r="P3602" i="3"/>
  <c r="Q3592" i="3"/>
  <c r="Q3593" i="3"/>
  <c r="Q3594" i="3"/>
  <c r="Q3595" i="3"/>
  <c r="Q3596" i="3"/>
  <c r="Q3597" i="3"/>
  <c r="Q3598" i="3"/>
  <c r="Q3599" i="3"/>
  <c r="Q3600" i="3"/>
  <c r="Q3601" i="3"/>
  <c r="Q3602" i="3"/>
  <c r="R3592" i="3"/>
  <c r="R3593" i="3"/>
  <c r="R3594" i="3"/>
  <c r="R3595" i="3"/>
  <c r="R3596" i="3"/>
  <c r="R3597" i="3"/>
  <c r="R3598" i="3"/>
  <c r="R3599" i="3"/>
  <c r="R3600" i="3"/>
  <c r="R3601" i="3"/>
  <c r="R3602" i="3"/>
  <c r="S3593" i="3"/>
  <c r="S3594" i="3"/>
  <c r="S3595" i="3"/>
  <c r="S3596" i="3"/>
  <c r="S3597" i="3"/>
  <c r="S3598" i="3"/>
  <c r="S3599" i="3"/>
  <c r="S3600" i="3"/>
  <c r="S3601" i="3"/>
  <c r="S3602" i="3"/>
  <c r="T3592" i="3"/>
  <c r="U3592" i="3"/>
  <c r="V3592" i="3"/>
  <c r="W3592" i="3"/>
  <c r="X3592" i="3"/>
  <c r="AA3592" i="3"/>
  <c r="AA3593" i="3"/>
  <c r="AA3594" i="3"/>
  <c r="AA3595" i="3"/>
  <c r="AA3596" i="3"/>
  <c r="AA3597" i="3"/>
  <c r="AA3598" i="3"/>
  <c r="AA3599" i="3"/>
  <c r="AA3600" i="3"/>
  <c r="AA3601" i="3"/>
  <c r="AA3602" i="3"/>
  <c r="AB3592" i="3"/>
  <c r="O3592" i="3" s="1"/>
  <c r="Y3592" i="3" s="1"/>
  <c r="AB3593" i="3"/>
  <c r="O3593" i="3" s="1"/>
  <c r="AB3594" i="3"/>
  <c r="O3594" i="3" s="1"/>
  <c r="AB3595" i="3"/>
  <c r="O3595" i="3" s="1"/>
  <c r="AB3596" i="3"/>
  <c r="O3596" i="3" s="1"/>
  <c r="AB3597" i="3"/>
  <c r="O3597" i="3" s="1"/>
  <c r="AB3598" i="3"/>
  <c r="O3598" i="3" s="1"/>
  <c r="AB3599" i="3"/>
  <c r="O3599" i="3" s="1"/>
  <c r="AB3600" i="3"/>
  <c r="O3600" i="3" s="1"/>
  <c r="AB3601" i="3"/>
  <c r="O3601" i="3" s="1"/>
  <c r="AB3602" i="3"/>
  <c r="O3602" i="3" s="1"/>
  <c r="AC3592" i="3"/>
  <c r="N3592" i="3" s="1"/>
  <c r="AC3593" i="3"/>
  <c r="N3593" i="3" s="1"/>
  <c r="AC3594" i="3"/>
  <c r="N3594" i="3" s="1"/>
  <c r="AC3595" i="3"/>
  <c r="N3595" i="3" s="1"/>
  <c r="AC3596" i="3"/>
  <c r="N3596" i="3" s="1"/>
  <c r="AC3597" i="3"/>
  <c r="N3597" i="3" s="1"/>
  <c r="AC3598" i="3"/>
  <c r="N3598" i="3" s="1"/>
  <c r="AC3599" i="3"/>
  <c r="N3599" i="3" s="1"/>
  <c r="AC3600" i="3"/>
  <c r="N3600" i="3" s="1"/>
  <c r="AC3601" i="3"/>
  <c r="N3601" i="3" s="1"/>
  <c r="AC3602" i="3"/>
  <c r="N3602" i="3" s="1"/>
  <c r="AK3592" i="3"/>
  <c r="AK3593" i="3"/>
  <c r="AK3594" i="3"/>
  <c r="AK3595" i="3"/>
  <c r="AK3596" i="3"/>
  <c r="AK3597" i="3"/>
  <c r="AK3598" i="3"/>
  <c r="AK3599" i="3"/>
  <c r="AK3600" i="3"/>
  <c r="AK3601" i="3"/>
  <c r="AK3602" i="3"/>
  <c r="M203" i="10"/>
  <c r="Z3842" i="3" l="1"/>
  <c r="Z3846" i="3"/>
  <c r="Z3840" i="3"/>
  <c r="Z3844" i="3"/>
  <c r="Z3848" i="3"/>
  <c r="Z3839" i="3"/>
  <c r="Z3841" i="3"/>
  <c r="Z3843" i="3"/>
  <c r="Z3845" i="3"/>
  <c r="Z3847" i="3"/>
  <c r="Z3829" i="3"/>
  <c r="Z3831" i="3"/>
  <c r="Z3833" i="3"/>
  <c r="Z3837" i="3"/>
  <c r="Z3835" i="3"/>
  <c r="Z3828" i="3"/>
  <c r="Z3830" i="3"/>
  <c r="Z3832" i="3"/>
  <c r="Z3834" i="3"/>
  <c r="Z3836" i="3"/>
  <c r="S3816" i="3"/>
  <c r="Z3816" i="3" s="1"/>
  <c r="U3826" i="3"/>
  <c r="W3826" i="3"/>
  <c r="Y3826" i="3"/>
  <c r="T3826" i="3"/>
  <c r="V3826" i="3"/>
  <c r="X3826" i="3"/>
  <c r="U3824" i="3"/>
  <c r="W3824" i="3"/>
  <c r="Y3824" i="3"/>
  <c r="T3824" i="3"/>
  <c r="V3824" i="3"/>
  <c r="X3824" i="3"/>
  <c r="U3822" i="3"/>
  <c r="W3822" i="3"/>
  <c r="Y3822" i="3"/>
  <c r="T3822" i="3"/>
  <c r="V3822" i="3"/>
  <c r="X3822" i="3"/>
  <c r="U3820" i="3"/>
  <c r="W3820" i="3"/>
  <c r="Y3820" i="3"/>
  <c r="T3820" i="3"/>
  <c r="V3820" i="3"/>
  <c r="X3820" i="3"/>
  <c r="U3818" i="3"/>
  <c r="W3818" i="3"/>
  <c r="Y3818" i="3"/>
  <c r="T3818" i="3"/>
  <c r="V3818" i="3"/>
  <c r="X3818" i="3"/>
  <c r="T3825" i="3"/>
  <c r="V3825" i="3"/>
  <c r="X3825" i="3"/>
  <c r="U3825" i="3"/>
  <c r="W3825" i="3"/>
  <c r="Y3825" i="3"/>
  <c r="T3823" i="3"/>
  <c r="V3823" i="3"/>
  <c r="X3823" i="3"/>
  <c r="U3823" i="3"/>
  <c r="W3823" i="3"/>
  <c r="Y3823" i="3"/>
  <c r="T3821" i="3"/>
  <c r="V3821" i="3"/>
  <c r="X3821" i="3"/>
  <c r="U3821" i="3"/>
  <c r="W3821" i="3"/>
  <c r="Y3821" i="3"/>
  <c r="T3819" i="3"/>
  <c r="V3819" i="3"/>
  <c r="X3819" i="3"/>
  <c r="U3819" i="3"/>
  <c r="W3819" i="3"/>
  <c r="Y3819" i="3"/>
  <c r="T3817" i="3"/>
  <c r="V3817" i="3"/>
  <c r="X3817" i="3"/>
  <c r="U3817" i="3"/>
  <c r="W3817" i="3"/>
  <c r="Y3817" i="3"/>
  <c r="U3814" i="3"/>
  <c r="W3814" i="3"/>
  <c r="Y3814" i="3"/>
  <c r="U3812" i="3"/>
  <c r="W3812" i="3"/>
  <c r="Y3812" i="3"/>
  <c r="U3810" i="3"/>
  <c r="W3810" i="3"/>
  <c r="Y3810" i="3"/>
  <c r="U3808" i="3"/>
  <c r="W3808" i="3"/>
  <c r="Y3808" i="3"/>
  <c r="U3806" i="3"/>
  <c r="W3806" i="3"/>
  <c r="Y3806" i="3"/>
  <c r="T3815" i="3"/>
  <c r="V3815" i="3"/>
  <c r="X3815" i="3"/>
  <c r="T3813" i="3"/>
  <c r="V3813" i="3"/>
  <c r="X3813" i="3"/>
  <c r="T3811" i="3"/>
  <c r="V3811" i="3"/>
  <c r="X3811" i="3"/>
  <c r="T3809" i="3"/>
  <c r="V3809" i="3"/>
  <c r="X3809" i="3"/>
  <c r="T3807" i="3"/>
  <c r="V3807" i="3"/>
  <c r="X3807" i="3"/>
  <c r="U3813" i="3"/>
  <c r="U3809" i="3"/>
  <c r="S3805" i="3"/>
  <c r="Z3805" i="3" s="1"/>
  <c r="T3814" i="3"/>
  <c r="T3812" i="3"/>
  <c r="T3810" i="3"/>
  <c r="T3808" i="3"/>
  <c r="T3806" i="3"/>
  <c r="U3815" i="3"/>
  <c r="U3811" i="3"/>
  <c r="U3807" i="3"/>
  <c r="Y3815" i="3"/>
  <c r="Y3813" i="3"/>
  <c r="Y3811" i="3"/>
  <c r="Y3809" i="3"/>
  <c r="Y3807" i="3"/>
  <c r="X3814" i="3"/>
  <c r="X3812" i="3"/>
  <c r="X3810" i="3"/>
  <c r="X3808" i="3"/>
  <c r="X3806" i="3"/>
  <c r="W3815" i="3"/>
  <c r="W3813" i="3"/>
  <c r="W3811" i="3"/>
  <c r="W3809" i="3"/>
  <c r="W3807" i="3"/>
  <c r="V3814" i="3"/>
  <c r="V3812" i="3"/>
  <c r="V3810" i="3"/>
  <c r="V3808" i="3"/>
  <c r="V3806" i="3"/>
  <c r="U3803" i="3"/>
  <c r="W3803" i="3"/>
  <c r="Y3803" i="3"/>
  <c r="U3801" i="3"/>
  <c r="W3801" i="3"/>
  <c r="Y3801" i="3"/>
  <c r="U3799" i="3"/>
  <c r="W3799" i="3"/>
  <c r="Y3799" i="3"/>
  <c r="U3797" i="3"/>
  <c r="W3797" i="3"/>
  <c r="Y3797" i="3"/>
  <c r="U3795" i="3"/>
  <c r="W3795" i="3"/>
  <c r="Y3795" i="3"/>
  <c r="T3804" i="3"/>
  <c r="V3804" i="3"/>
  <c r="X3804" i="3"/>
  <c r="T3802" i="3"/>
  <c r="V3802" i="3"/>
  <c r="X3802" i="3"/>
  <c r="T3800" i="3"/>
  <c r="V3800" i="3"/>
  <c r="X3800" i="3"/>
  <c r="T3798" i="3"/>
  <c r="V3798" i="3"/>
  <c r="X3798" i="3"/>
  <c r="T3796" i="3"/>
  <c r="V3796" i="3"/>
  <c r="X3796" i="3"/>
  <c r="U3802" i="3"/>
  <c r="U3798" i="3"/>
  <c r="S3794" i="3"/>
  <c r="Z3794" i="3" s="1"/>
  <c r="T3803" i="3"/>
  <c r="T3801" i="3"/>
  <c r="T3799" i="3"/>
  <c r="T3797" i="3"/>
  <c r="T3795" i="3"/>
  <c r="U3804" i="3"/>
  <c r="U3800" i="3"/>
  <c r="U3796" i="3"/>
  <c r="Y3804" i="3"/>
  <c r="Y3802" i="3"/>
  <c r="Y3800" i="3"/>
  <c r="Y3798" i="3"/>
  <c r="Y3796" i="3"/>
  <c r="X3803" i="3"/>
  <c r="X3801" i="3"/>
  <c r="X3799" i="3"/>
  <c r="X3797" i="3"/>
  <c r="X3795" i="3"/>
  <c r="W3804" i="3"/>
  <c r="W3802" i="3"/>
  <c r="W3800" i="3"/>
  <c r="W3798" i="3"/>
  <c r="W3796" i="3"/>
  <c r="V3803" i="3"/>
  <c r="V3801" i="3"/>
  <c r="V3799" i="3"/>
  <c r="V3797" i="3"/>
  <c r="V3795" i="3"/>
  <c r="S3706" i="3"/>
  <c r="Z3706" i="3" s="1"/>
  <c r="S3717" i="3"/>
  <c r="Z3717" i="3" s="1"/>
  <c r="S3728" i="3"/>
  <c r="S3739" i="3"/>
  <c r="Z3739" i="3" s="1"/>
  <c r="S3750" i="3"/>
  <c r="S3761" i="3"/>
  <c r="S3772" i="3"/>
  <c r="Z3772" i="3" s="1"/>
  <c r="S3783" i="3"/>
  <c r="Z3783" i="3" s="1"/>
  <c r="Z3750" i="3"/>
  <c r="U3793" i="3"/>
  <c r="W3793" i="3"/>
  <c r="Y3793" i="3"/>
  <c r="T3793" i="3"/>
  <c r="V3793" i="3"/>
  <c r="X3793" i="3"/>
  <c r="U3791" i="3"/>
  <c r="W3791" i="3"/>
  <c r="Y3791" i="3"/>
  <c r="T3791" i="3"/>
  <c r="V3791" i="3"/>
  <c r="X3791" i="3"/>
  <c r="U3789" i="3"/>
  <c r="W3789" i="3"/>
  <c r="Y3789" i="3"/>
  <c r="T3789" i="3"/>
  <c r="V3789" i="3"/>
  <c r="X3789" i="3"/>
  <c r="U3787" i="3"/>
  <c r="W3787" i="3"/>
  <c r="Y3787" i="3"/>
  <c r="T3787" i="3"/>
  <c r="V3787" i="3"/>
  <c r="X3787" i="3"/>
  <c r="U3785" i="3"/>
  <c r="W3785" i="3"/>
  <c r="Y3785" i="3"/>
  <c r="T3785" i="3"/>
  <c r="V3785" i="3"/>
  <c r="X3785" i="3"/>
  <c r="T3792" i="3"/>
  <c r="V3792" i="3"/>
  <c r="X3792" i="3"/>
  <c r="U3792" i="3"/>
  <c r="W3792" i="3"/>
  <c r="Y3792" i="3"/>
  <c r="T3790" i="3"/>
  <c r="V3790" i="3"/>
  <c r="X3790" i="3"/>
  <c r="U3790" i="3"/>
  <c r="W3790" i="3"/>
  <c r="Y3790" i="3"/>
  <c r="T3788" i="3"/>
  <c r="V3788" i="3"/>
  <c r="X3788" i="3"/>
  <c r="U3788" i="3"/>
  <c r="W3788" i="3"/>
  <c r="Y3788" i="3"/>
  <c r="T3786" i="3"/>
  <c r="V3786" i="3"/>
  <c r="X3786" i="3"/>
  <c r="U3786" i="3"/>
  <c r="W3786" i="3"/>
  <c r="Y3786" i="3"/>
  <c r="T3784" i="3"/>
  <c r="V3784" i="3"/>
  <c r="X3784" i="3"/>
  <c r="U3784" i="3"/>
  <c r="W3784" i="3"/>
  <c r="Y3784" i="3"/>
  <c r="Z3761" i="3"/>
  <c r="U3782" i="3"/>
  <c r="W3782" i="3"/>
  <c r="Y3782" i="3"/>
  <c r="T3782" i="3"/>
  <c r="V3782" i="3"/>
  <c r="X3782" i="3"/>
  <c r="U3780" i="3"/>
  <c r="W3780" i="3"/>
  <c r="Y3780" i="3"/>
  <c r="T3780" i="3"/>
  <c r="V3780" i="3"/>
  <c r="X3780" i="3"/>
  <c r="U3778" i="3"/>
  <c r="W3778" i="3"/>
  <c r="Y3778" i="3"/>
  <c r="T3778" i="3"/>
  <c r="V3778" i="3"/>
  <c r="X3778" i="3"/>
  <c r="U3776" i="3"/>
  <c r="W3776" i="3"/>
  <c r="Y3776" i="3"/>
  <c r="T3776" i="3"/>
  <c r="V3776" i="3"/>
  <c r="X3776" i="3"/>
  <c r="U3774" i="3"/>
  <c r="W3774" i="3"/>
  <c r="Y3774" i="3"/>
  <c r="T3774" i="3"/>
  <c r="V3774" i="3"/>
  <c r="X3774" i="3"/>
  <c r="T3781" i="3"/>
  <c r="V3781" i="3"/>
  <c r="X3781" i="3"/>
  <c r="U3781" i="3"/>
  <c r="W3781" i="3"/>
  <c r="Y3781" i="3"/>
  <c r="T3779" i="3"/>
  <c r="V3779" i="3"/>
  <c r="X3779" i="3"/>
  <c r="U3779" i="3"/>
  <c r="W3779" i="3"/>
  <c r="Y3779" i="3"/>
  <c r="T3777" i="3"/>
  <c r="V3777" i="3"/>
  <c r="X3777" i="3"/>
  <c r="U3777" i="3"/>
  <c r="W3777" i="3"/>
  <c r="Y3777" i="3"/>
  <c r="T3775" i="3"/>
  <c r="V3775" i="3"/>
  <c r="X3775" i="3"/>
  <c r="U3775" i="3"/>
  <c r="W3775" i="3"/>
  <c r="Y3775" i="3"/>
  <c r="T3773" i="3"/>
  <c r="V3773" i="3"/>
  <c r="X3773" i="3"/>
  <c r="U3773" i="3"/>
  <c r="W3773" i="3"/>
  <c r="Y3773" i="3"/>
  <c r="T3764" i="3"/>
  <c r="U3769" i="3"/>
  <c r="W3769" i="3"/>
  <c r="Y3769" i="3"/>
  <c r="T3769" i="3"/>
  <c r="V3769" i="3"/>
  <c r="X3769" i="3"/>
  <c r="U3765" i="3"/>
  <c r="W3765" i="3"/>
  <c r="Y3765" i="3"/>
  <c r="T3765" i="3"/>
  <c r="V3765" i="3"/>
  <c r="X3765" i="3"/>
  <c r="T3770" i="3"/>
  <c r="T3768" i="3"/>
  <c r="T3766" i="3"/>
  <c r="T3762" i="3"/>
  <c r="U3771" i="3"/>
  <c r="W3771" i="3"/>
  <c r="Y3771" i="3"/>
  <c r="T3771" i="3"/>
  <c r="V3771" i="3"/>
  <c r="X3771" i="3"/>
  <c r="U3767" i="3"/>
  <c r="W3767" i="3"/>
  <c r="Y3767" i="3"/>
  <c r="T3767" i="3"/>
  <c r="V3767" i="3"/>
  <c r="X3767" i="3"/>
  <c r="U3763" i="3"/>
  <c r="W3763" i="3"/>
  <c r="Y3763" i="3"/>
  <c r="T3763" i="3"/>
  <c r="V3763" i="3"/>
  <c r="X3763" i="3"/>
  <c r="V3770" i="3"/>
  <c r="X3770" i="3"/>
  <c r="U3770" i="3"/>
  <c r="W3770" i="3"/>
  <c r="Y3770" i="3"/>
  <c r="V3768" i="3"/>
  <c r="X3768" i="3"/>
  <c r="U3768" i="3"/>
  <c r="W3768" i="3"/>
  <c r="Y3768" i="3"/>
  <c r="V3766" i="3"/>
  <c r="X3766" i="3"/>
  <c r="U3766" i="3"/>
  <c r="W3766" i="3"/>
  <c r="Y3766" i="3"/>
  <c r="V3764" i="3"/>
  <c r="X3764" i="3"/>
  <c r="U3764" i="3"/>
  <c r="W3764" i="3"/>
  <c r="Y3764" i="3"/>
  <c r="V3762" i="3"/>
  <c r="X3762" i="3"/>
  <c r="U3762" i="3"/>
  <c r="W3762" i="3"/>
  <c r="Y3762" i="3"/>
  <c r="Z3728" i="3"/>
  <c r="U3760" i="3"/>
  <c r="W3760" i="3"/>
  <c r="Y3760" i="3"/>
  <c r="T3760" i="3"/>
  <c r="V3760" i="3"/>
  <c r="X3760" i="3"/>
  <c r="U3758" i="3"/>
  <c r="W3758" i="3"/>
  <c r="Y3758" i="3"/>
  <c r="T3758" i="3"/>
  <c r="V3758" i="3"/>
  <c r="X3758" i="3"/>
  <c r="U3756" i="3"/>
  <c r="W3756" i="3"/>
  <c r="Y3756" i="3"/>
  <c r="T3756" i="3"/>
  <c r="V3756" i="3"/>
  <c r="X3756" i="3"/>
  <c r="U3754" i="3"/>
  <c r="W3754" i="3"/>
  <c r="Y3754" i="3"/>
  <c r="T3754" i="3"/>
  <c r="V3754" i="3"/>
  <c r="X3754" i="3"/>
  <c r="U3752" i="3"/>
  <c r="W3752" i="3"/>
  <c r="Y3752" i="3"/>
  <c r="T3752" i="3"/>
  <c r="V3752" i="3"/>
  <c r="X3752" i="3"/>
  <c r="T3759" i="3"/>
  <c r="V3759" i="3"/>
  <c r="X3759" i="3"/>
  <c r="U3759" i="3"/>
  <c r="W3759" i="3"/>
  <c r="Y3759" i="3"/>
  <c r="T3757" i="3"/>
  <c r="V3757" i="3"/>
  <c r="X3757" i="3"/>
  <c r="U3757" i="3"/>
  <c r="W3757" i="3"/>
  <c r="Y3757" i="3"/>
  <c r="T3755" i="3"/>
  <c r="V3755" i="3"/>
  <c r="X3755" i="3"/>
  <c r="U3755" i="3"/>
  <c r="W3755" i="3"/>
  <c r="Y3755" i="3"/>
  <c r="T3753" i="3"/>
  <c r="V3753" i="3"/>
  <c r="X3753" i="3"/>
  <c r="U3753" i="3"/>
  <c r="W3753" i="3"/>
  <c r="Y3753" i="3"/>
  <c r="T3751" i="3"/>
  <c r="V3751" i="3"/>
  <c r="X3751" i="3"/>
  <c r="U3751" i="3"/>
  <c r="W3751" i="3"/>
  <c r="Y3751" i="3"/>
  <c r="U3749" i="3"/>
  <c r="W3749" i="3"/>
  <c r="Y3749" i="3"/>
  <c r="T3749" i="3"/>
  <c r="V3749" i="3"/>
  <c r="X3749" i="3"/>
  <c r="U3747" i="3"/>
  <c r="W3747" i="3"/>
  <c r="Y3747" i="3"/>
  <c r="T3747" i="3"/>
  <c r="V3747" i="3"/>
  <c r="X3747" i="3"/>
  <c r="U3745" i="3"/>
  <c r="W3745" i="3"/>
  <c r="Y3745" i="3"/>
  <c r="T3745" i="3"/>
  <c r="V3745" i="3"/>
  <c r="X3745" i="3"/>
  <c r="U3743" i="3"/>
  <c r="W3743" i="3"/>
  <c r="Y3743" i="3"/>
  <c r="T3743" i="3"/>
  <c r="V3743" i="3"/>
  <c r="X3743" i="3"/>
  <c r="U3741" i="3"/>
  <c r="W3741" i="3"/>
  <c r="Y3741" i="3"/>
  <c r="T3741" i="3"/>
  <c r="V3741" i="3"/>
  <c r="X3741" i="3"/>
  <c r="T3748" i="3"/>
  <c r="V3748" i="3"/>
  <c r="X3748" i="3"/>
  <c r="U3748" i="3"/>
  <c r="W3748" i="3"/>
  <c r="Y3748" i="3"/>
  <c r="T3746" i="3"/>
  <c r="V3746" i="3"/>
  <c r="X3746" i="3"/>
  <c r="U3746" i="3"/>
  <c r="W3746" i="3"/>
  <c r="Y3746" i="3"/>
  <c r="T3744" i="3"/>
  <c r="V3744" i="3"/>
  <c r="X3744" i="3"/>
  <c r="U3744" i="3"/>
  <c r="W3744" i="3"/>
  <c r="Y3744" i="3"/>
  <c r="T3742" i="3"/>
  <c r="V3742" i="3"/>
  <c r="X3742" i="3"/>
  <c r="U3742" i="3"/>
  <c r="W3742" i="3"/>
  <c r="Y3742" i="3"/>
  <c r="T3740" i="3"/>
  <c r="V3740" i="3"/>
  <c r="X3740" i="3"/>
  <c r="U3740" i="3"/>
  <c r="W3740" i="3"/>
  <c r="Y3740" i="3"/>
  <c r="U3738" i="3"/>
  <c r="W3738" i="3"/>
  <c r="Y3738" i="3"/>
  <c r="T3738" i="3"/>
  <c r="V3738" i="3"/>
  <c r="X3738" i="3"/>
  <c r="U3736" i="3"/>
  <c r="W3736" i="3"/>
  <c r="Y3736" i="3"/>
  <c r="T3736" i="3"/>
  <c r="V3736" i="3"/>
  <c r="X3736" i="3"/>
  <c r="U3734" i="3"/>
  <c r="W3734" i="3"/>
  <c r="Y3734" i="3"/>
  <c r="T3734" i="3"/>
  <c r="V3734" i="3"/>
  <c r="X3734" i="3"/>
  <c r="U3732" i="3"/>
  <c r="W3732" i="3"/>
  <c r="Y3732" i="3"/>
  <c r="T3732" i="3"/>
  <c r="V3732" i="3"/>
  <c r="X3732" i="3"/>
  <c r="U3730" i="3"/>
  <c r="W3730" i="3"/>
  <c r="Y3730" i="3"/>
  <c r="T3730" i="3"/>
  <c r="V3730" i="3"/>
  <c r="X3730" i="3"/>
  <c r="T3737" i="3"/>
  <c r="V3737" i="3"/>
  <c r="X3737" i="3"/>
  <c r="U3737" i="3"/>
  <c r="W3737" i="3"/>
  <c r="Y3737" i="3"/>
  <c r="T3735" i="3"/>
  <c r="V3735" i="3"/>
  <c r="X3735" i="3"/>
  <c r="U3735" i="3"/>
  <c r="W3735" i="3"/>
  <c r="Y3735" i="3"/>
  <c r="T3733" i="3"/>
  <c r="V3733" i="3"/>
  <c r="X3733" i="3"/>
  <c r="U3733" i="3"/>
  <c r="W3733" i="3"/>
  <c r="Y3733" i="3"/>
  <c r="T3731" i="3"/>
  <c r="V3731" i="3"/>
  <c r="X3731" i="3"/>
  <c r="U3731" i="3"/>
  <c r="W3731" i="3"/>
  <c r="Y3731" i="3"/>
  <c r="T3729" i="3"/>
  <c r="V3729" i="3"/>
  <c r="X3729" i="3"/>
  <c r="U3729" i="3"/>
  <c r="W3729" i="3"/>
  <c r="Y3729" i="3"/>
  <c r="S3695" i="3"/>
  <c r="Z3695" i="3" s="1"/>
  <c r="U3727" i="3"/>
  <c r="W3727" i="3"/>
  <c r="Y3727" i="3"/>
  <c r="T3727" i="3"/>
  <c r="V3727" i="3"/>
  <c r="X3727" i="3"/>
  <c r="U3725" i="3"/>
  <c r="W3725" i="3"/>
  <c r="Y3725" i="3"/>
  <c r="T3725" i="3"/>
  <c r="V3725" i="3"/>
  <c r="X3725" i="3"/>
  <c r="U3723" i="3"/>
  <c r="W3723" i="3"/>
  <c r="Y3723" i="3"/>
  <c r="T3723" i="3"/>
  <c r="V3723" i="3"/>
  <c r="X3723" i="3"/>
  <c r="U3721" i="3"/>
  <c r="W3721" i="3"/>
  <c r="Y3721" i="3"/>
  <c r="T3721" i="3"/>
  <c r="V3721" i="3"/>
  <c r="X3721" i="3"/>
  <c r="U3719" i="3"/>
  <c r="W3719" i="3"/>
  <c r="Y3719" i="3"/>
  <c r="T3719" i="3"/>
  <c r="V3719" i="3"/>
  <c r="X3719" i="3"/>
  <c r="T3726" i="3"/>
  <c r="V3726" i="3"/>
  <c r="X3726" i="3"/>
  <c r="U3726" i="3"/>
  <c r="W3726" i="3"/>
  <c r="Y3726" i="3"/>
  <c r="T3724" i="3"/>
  <c r="V3724" i="3"/>
  <c r="X3724" i="3"/>
  <c r="U3724" i="3"/>
  <c r="W3724" i="3"/>
  <c r="Y3724" i="3"/>
  <c r="T3722" i="3"/>
  <c r="V3722" i="3"/>
  <c r="X3722" i="3"/>
  <c r="U3722" i="3"/>
  <c r="W3722" i="3"/>
  <c r="Y3722" i="3"/>
  <c r="T3720" i="3"/>
  <c r="V3720" i="3"/>
  <c r="X3720" i="3"/>
  <c r="U3720" i="3"/>
  <c r="W3720" i="3"/>
  <c r="Y3720" i="3"/>
  <c r="T3718" i="3"/>
  <c r="V3718" i="3"/>
  <c r="X3718" i="3"/>
  <c r="U3718" i="3"/>
  <c r="W3718" i="3"/>
  <c r="Y3718" i="3"/>
  <c r="U3716" i="3"/>
  <c r="W3716" i="3"/>
  <c r="Y3716" i="3"/>
  <c r="T3716" i="3"/>
  <c r="V3716" i="3"/>
  <c r="X3716" i="3"/>
  <c r="U3714" i="3"/>
  <c r="W3714" i="3"/>
  <c r="Y3714" i="3"/>
  <c r="T3714" i="3"/>
  <c r="V3714" i="3"/>
  <c r="X3714" i="3"/>
  <c r="U3712" i="3"/>
  <c r="W3712" i="3"/>
  <c r="Y3712" i="3"/>
  <c r="T3712" i="3"/>
  <c r="V3712" i="3"/>
  <c r="X3712" i="3"/>
  <c r="U3710" i="3"/>
  <c r="W3710" i="3"/>
  <c r="Y3710" i="3"/>
  <c r="T3710" i="3"/>
  <c r="V3710" i="3"/>
  <c r="X3710" i="3"/>
  <c r="U3708" i="3"/>
  <c r="W3708" i="3"/>
  <c r="Y3708" i="3"/>
  <c r="T3708" i="3"/>
  <c r="V3708" i="3"/>
  <c r="X3708" i="3"/>
  <c r="T3715" i="3"/>
  <c r="V3715" i="3"/>
  <c r="X3715" i="3"/>
  <c r="U3715" i="3"/>
  <c r="W3715" i="3"/>
  <c r="Y3715" i="3"/>
  <c r="T3713" i="3"/>
  <c r="V3713" i="3"/>
  <c r="X3713" i="3"/>
  <c r="U3713" i="3"/>
  <c r="W3713" i="3"/>
  <c r="Y3713" i="3"/>
  <c r="T3711" i="3"/>
  <c r="V3711" i="3"/>
  <c r="X3711" i="3"/>
  <c r="U3711" i="3"/>
  <c r="W3711" i="3"/>
  <c r="Y3711" i="3"/>
  <c r="T3709" i="3"/>
  <c r="V3709" i="3"/>
  <c r="X3709" i="3"/>
  <c r="U3709" i="3"/>
  <c r="W3709" i="3"/>
  <c r="Y3709" i="3"/>
  <c r="T3707" i="3"/>
  <c r="V3707" i="3"/>
  <c r="X3707" i="3"/>
  <c r="U3707" i="3"/>
  <c r="W3707" i="3"/>
  <c r="Y3707" i="3"/>
  <c r="U3705" i="3"/>
  <c r="W3705" i="3"/>
  <c r="Y3705" i="3"/>
  <c r="T3705" i="3"/>
  <c r="V3705" i="3"/>
  <c r="X3705" i="3"/>
  <c r="U3703" i="3"/>
  <c r="W3703" i="3"/>
  <c r="Y3703" i="3"/>
  <c r="T3703" i="3"/>
  <c r="V3703" i="3"/>
  <c r="X3703" i="3"/>
  <c r="U3701" i="3"/>
  <c r="W3701" i="3"/>
  <c r="Y3701" i="3"/>
  <c r="T3701" i="3"/>
  <c r="V3701" i="3"/>
  <c r="X3701" i="3"/>
  <c r="U3699" i="3"/>
  <c r="W3699" i="3"/>
  <c r="Y3699" i="3"/>
  <c r="T3699" i="3"/>
  <c r="V3699" i="3"/>
  <c r="X3699" i="3"/>
  <c r="U3697" i="3"/>
  <c r="W3697" i="3"/>
  <c r="Y3697" i="3"/>
  <c r="T3697" i="3"/>
  <c r="V3697" i="3"/>
  <c r="X3697" i="3"/>
  <c r="T3704" i="3"/>
  <c r="V3704" i="3"/>
  <c r="X3704" i="3"/>
  <c r="U3704" i="3"/>
  <c r="W3704" i="3"/>
  <c r="Y3704" i="3"/>
  <c r="T3702" i="3"/>
  <c r="V3702" i="3"/>
  <c r="X3702" i="3"/>
  <c r="U3702" i="3"/>
  <c r="W3702" i="3"/>
  <c r="Y3702" i="3"/>
  <c r="T3700" i="3"/>
  <c r="V3700" i="3"/>
  <c r="X3700" i="3"/>
  <c r="U3700" i="3"/>
  <c r="W3700" i="3"/>
  <c r="Y3700" i="3"/>
  <c r="T3698" i="3"/>
  <c r="V3698" i="3"/>
  <c r="X3698" i="3"/>
  <c r="U3698" i="3"/>
  <c r="W3698" i="3"/>
  <c r="Y3698" i="3"/>
  <c r="T3696" i="3"/>
  <c r="V3696" i="3"/>
  <c r="X3696" i="3"/>
  <c r="U3696" i="3"/>
  <c r="W3696" i="3"/>
  <c r="Y3696" i="3"/>
  <c r="S3684" i="3"/>
  <c r="Z3684" i="3" s="1"/>
  <c r="U3694" i="3"/>
  <c r="W3694" i="3"/>
  <c r="Y3694" i="3"/>
  <c r="T3694" i="3"/>
  <c r="V3694" i="3"/>
  <c r="X3694" i="3"/>
  <c r="U3692" i="3"/>
  <c r="W3692" i="3"/>
  <c r="Y3692" i="3"/>
  <c r="T3692" i="3"/>
  <c r="V3692" i="3"/>
  <c r="X3692" i="3"/>
  <c r="U3690" i="3"/>
  <c r="W3690" i="3"/>
  <c r="Y3690" i="3"/>
  <c r="T3690" i="3"/>
  <c r="V3690" i="3"/>
  <c r="X3690" i="3"/>
  <c r="U3688" i="3"/>
  <c r="W3688" i="3"/>
  <c r="Y3688" i="3"/>
  <c r="T3688" i="3"/>
  <c r="V3688" i="3"/>
  <c r="X3688" i="3"/>
  <c r="U3686" i="3"/>
  <c r="W3686" i="3"/>
  <c r="Y3686" i="3"/>
  <c r="T3686" i="3"/>
  <c r="V3686" i="3"/>
  <c r="X3686" i="3"/>
  <c r="T3693" i="3"/>
  <c r="V3693" i="3"/>
  <c r="X3693" i="3"/>
  <c r="U3693" i="3"/>
  <c r="W3693" i="3"/>
  <c r="Y3693" i="3"/>
  <c r="T3691" i="3"/>
  <c r="V3691" i="3"/>
  <c r="X3691" i="3"/>
  <c r="U3691" i="3"/>
  <c r="W3691" i="3"/>
  <c r="Y3691" i="3"/>
  <c r="T3689" i="3"/>
  <c r="V3689" i="3"/>
  <c r="X3689" i="3"/>
  <c r="U3689" i="3"/>
  <c r="W3689" i="3"/>
  <c r="Y3689" i="3"/>
  <c r="T3687" i="3"/>
  <c r="V3687" i="3"/>
  <c r="X3687" i="3"/>
  <c r="U3687" i="3"/>
  <c r="W3687" i="3"/>
  <c r="Y3687" i="3"/>
  <c r="T3685" i="3"/>
  <c r="V3685" i="3"/>
  <c r="X3685" i="3"/>
  <c r="U3685" i="3"/>
  <c r="W3685" i="3"/>
  <c r="Y3685" i="3"/>
  <c r="S3662" i="3"/>
  <c r="Z3662" i="3" s="1"/>
  <c r="S3673" i="3"/>
  <c r="Z3673" i="3" s="1"/>
  <c r="U3683" i="3"/>
  <c r="W3683" i="3"/>
  <c r="Y3683" i="3"/>
  <c r="T3683" i="3"/>
  <c r="V3683" i="3"/>
  <c r="X3683" i="3"/>
  <c r="U3681" i="3"/>
  <c r="W3681" i="3"/>
  <c r="Y3681" i="3"/>
  <c r="T3681" i="3"/>
  <c r="V3681" i="3"/>
  <c r="X3681" i="3"/>
  <c r="U3679" i="3"/>
  <c r="W3679" i="3"/>
  <c r="Y3679" i="3"/>
  <c r="T3679" i="3"/>
  <c r="V3679" i="3"/>
  <c r="X3679" i="3"/>
  <c r="U3677" i="3"/>
  <c r="W3677" i="3"/>
  <c r="Y3677" i="3"/>
  <c r="T3677" i="3"/>
  <c r="V3677" i="3"/>
  <c r="X3677" i="3"/>
  <c r="U3675" i="3"/>
  <c r="W3675" i="3"/>
  <c r="Y3675" i="3"/>
  <c r="T3675" i="3"/>
  <c r="V3675" i="3"/>
  <c r="X3675" i="3"/>
  <c r="T3682" i="3"/>
  <c r="V3682" i="3"/>
  <c r="X3682" i="3"/>
  <c r="U3682" i="3"/>
  <c r="W3682" i="3"/>
  <c r="Y3682" i="3"/>
  <c r="T3680" i="3"/>
  <c r="V3680" i="3"/>
  <c r="X3680" i="3"/>
  <c r="U3680" i="3"/>
  <c r="W3680" i="3"/>
  <c r="Y3680" i="3"/>
  <c r="T3678" i="3"/>
  <c r="V3678" i="3"/>
  <c r="X3678" i="3"/>
  <c r="U3678" i="3"/>
  <c r="W3678" i="3"/>
  <c r="Y3678" i="3"/>
  <c r="T3676" i="3"/>
  <c r="V3676" i="3"/>
  <c r="X3676" i="3"/>
  <c r="U3676" i="3"/>
  <c r="W3676" i="3"/>
  <c r="Y3676" i="3"/>
  <c r="T3674" i="3"/>
  <c r="V3674" i="3"/>
  <c r="X3674" i="3"/>
  <c r="U3674" i="3"/>
  <c r="W3674" i="3"/>
  <c r="Y3674" i="3"/>
  <c r="U3672" i="3"/>
  <c r="W3672" i="3"/>
  <c r="Y3672" i="3"/>
  <c r="T3672" i="3"/>
  <c r="V3672" i="3"/>
  <c r="X3672" i="3"/>
  <c r="U3670" i="3"/>
  <c r="W3670" i="3"/>
  <c r="Y3670" i="3"/>
  <c r="T3670" i="3"/>
  <c r="V3670" i="3"/>
  <c r="X3670" i="3"/>
  <c r="U3668" i="3"/>
  <c r="W3668" i="3"/>
  <c r="Y3668" i="3"/>
  <c r="T3668" i="3"/>
  <c r="V3668" i="3"/>
  <c r="X3668" i="3"/>
  <c r="U3666" i="3"/>
  <c r="W3666" i="3"/>
  <c r="Y3666" i="3"/>
  <c r="T3666" i="3"/>
  <c r="V3666" i="3"/>
  <c r="X3666" i="3"/>
  <c r="U3664" i="3"/>
  <c r="W3664" i="3"/>
  <c r="Y3664" i="3"/>
  <c r="T3664" i="3"/>
  <c r="V3664" i="3"/>
  <c r="X3664" i="3"/>
  <c r="T3671" i="3"/>
  <c r="V3671" i="3"/>
  <c r="X3671" i="3"/>
  <c r="U3671" i="3"/>
  <c r="W3671" i="3"/>
  <c r="Y3671" i="3"/>
  <c r="T3669" i="3"/>
  <c r="V3669" i="3"/>
  <c r="X3669" i="3"/>
  <c r="U3669" i="3"/>
  <c r="W3669" i="3"/>
  <c r="Y3669" i="3"/>
  <c r="T3667" i="3"/>
  <c r="V3667" i="3"/>
  <c r="X3667" i="3"/>
  <c r="U3667" i="3"/>
  <c r="W3667" i="3"/>
  <c r="Y3667" i="3"/>
  <c r="T3665" i="3"/>
  <c r="V3665" i="3"/>
  <c r="X3665" i="3"/>
  <c r="U3665" i="3"/>
  <c r="W3665" i="3"/>
  <c r="Y3665" i="3"/>
  <c r="T3663" i="3"/>
  <c r="V3663" i="3"/>
  <c r="X3663" i="3"/>
  <c r="U3663" i="3"/>
  <c r="W3663" i="3"/>
  <c r="Y3663" i="3"/>
  <c r="S3627" i="3"/>
  <c r="Z3627" i="3" s="1"/>
  <c r="S3638" i="3"/>
  <c r="Z3638" i="3" s="1"/>
  <c r="U3661" i="3"/>
  <c r="W3661" i="3"/>
  <c r="Y3661" i="3"/>
  <c r="T3661" i="3"/>
  <c r="V3661" i="3"/>
  <c r="X3661" i="3"/>
  <c r="U3659" i="3"/>
  <c r="W3659" i="3"/>
  <c r="Y3659" i="3"/>
  <c r="T3659" i="3"/>
  <c r="V3659" i="3"/>
  <c r="X3659" i="3"/>
  <c r="U3657" i="3"/>
  <c r="W3657" i="3"/>
  <c r="Y3657" i="3"/>
  <c r="T3657" i="3"/>
  <c r="V3657" i="3"/>
  <c r="X3657" i="3"/>
  <c r="U3655" i="3"/>
  <c r="W3655" i="3"/>
  <c r="Y3655" i="3"/>
  <c r="T3655" i="3"/>
  <c r="V3655" i="3"/>
  <c r="X3655" i="3"/>
  <c r="U3653" i="3"/>
  <c r="W3653" i="3"/>
  <c r="Y3653" i="3"/>
  <c r="T3653" i="3"/>
  <c r="V3653" i="3"/>
  <c r="X3653" i="3"/>
  <c r="S3651" i="3"/>
  <c r="Z3651" i="3" s="1"/>
  <c r="T3660" i="3"/>
  <c r="V3660" i="3"/>
  <c r="X3660" i="3"/>
  <c r="U3660" i="3"/>
  <c r="W3660" i="3"/>
  <c r="Y3660" i="3"/>
  <c r="T3658" i="3"/>
  <c r="V3658" i="3"/>
  <c r="X3658" i="3"/>
  <c r="U3658" i="3"/>
  <c r="W3658" i="3"/>
  <c r="Y3658" i="3"/>
  <c r="T3656" i="3"/>
  <c r="V3656" i="3"/>
  <c r="X3656" i="3"/>
  <c r="U3656" i="3"/>
  <c r="W3656" i="3"/>
  <c r="Y3656" i="3"/>
  <c r="T3654" i="3"/>
  <c r="V3654" i="3"/>
  <c r="X3654" i="3"/>
  <c r="U3654" i="3"/>
  <c r="W3654" i="3"/>
  <c r="Y3654" i="3"/>
  <c r="T3652" i="3"/>
  <c r="V3652" i="3"/>
  <c r="X3652" i="3"/>
  <c r="U3652" i="3"/>
  <c r="W3652" i="3"/>
  <c r="Y3652" i="3"/>
  <c r="U3650" i="3"/>
  <c r="W3650" i="3"/>
  <c r="Y3650" i="3"/>
  <c r="T3650" i="3"/>
  <c r="V3650" i="3"/>
  <c r="X3650" i="3"/>
  <c r="U3648" i="3"/>
  <c r="W3648" i="3"/>
  <c r="Y3648" i="3"/>
  <c r="T3648" i="3"/>
  <c r="V3648" i="3"/>
  <c r="X3648" i="3"/>
  <c r="U3646" i="3"/>
  <c r="W3646" i="3"/>
  <c r="Y3646" i="3"/>
  <c r="T3646" i="3"/>
  <c r="V3646" i="3"/>
  <c r="X3646" i="3"/>
  <c r="U3644" i="3"/>
  <c r="W3644" i="3"/>
  <c r="Y3644" i="3"/>
  <c r="T3644" i="3"/>
  <c r="V3644" i="3"/>
  <c r="X3644" i="3"/>
  <c r="U3642" i="3"/>
  <c r="W3642" i="3"/>
  <c r="Y3642" i="3"/>
  <c r="T3642" i="3"/>
  <c r="V3642" i="3"/>
  <c r="X3642" i="3"/>
  <c r="U3640" i="3"/>
  <c r="W3640" i="3"/>
  <c r="Y3640" i="3"/>
  <c r="T3640" i="3"/>
  <c r="V3640" i="3"/>
  <c r="X3640" i="3"/>
  <c r="T3649" i="3"/>
  <c r="V3649" i="3"/>
  <c r="X3649" i="3"/>
  <c r="U3649" i="3"/>
  <c r="W3649" i="3"/>
  <c r="Y3649" i="3"/>
  <c r="T3647" i="3"/>
  <c r="V3647" i="3"/>
  <c r="X3647" i="3"/>
  <c r="U3647" i="3"/>
  <c r="W3647" i="3"/>
  <c r="Y3647" i="3"/>
  <c r="T3645" i="3"/>
  <c r="V3645" i="3"/>
  <c r="X3645" i="3"/>
  <c r="U3645" i="3"/>
  <c r="W3645" i="3"/>
  <c r="Y3645" i="3"/>
  <c r="T3643" i="3"/>
  <c r="V3643" i="3"/>
  <c r="X3643" i="3"/>
  <c r="U3643" i="3"/>
  <c r="W3643" i="3"/>
  <c r="Y3643" i="3"/>
  <c r="T3641" i="3"/>
  <c r="V3641" i="3"/>
  <c r="X3641" i="3"/>
  <c r="U3641" i="3"/>
  <c r="W3641" i="3"/>
  <c r="Y3641" i="3"/>
  <c r="T3639" i="3"/>
  <c r="V3639" i="3"/>
  <c r="X3639" i="3"/>
  <c r="U3639" i="3"/>
  <c r="W3639" i="3"/>
  <c r="Y3639" i="3"/>
  <c r="U3637" i="3"/>
  <c r="W3637" i="3"/>
  <c r="Y3637" i="3"/>
  <c r="T3637" i="3"/>
  <c r="V3637" i="3"/>
  <c r="X3637" i="3"/>
  <c r="U3635" i="3"/>
  <c r="W3635" i="3"/>
  <c r="Y3635" i="3"/>
  <c r="T3635" i="3"/>
  <c r="V3635" i="3"/>
  <c r="X3635" i="3"/>
  <c r="U3633" i="3"/>
  <c r="W3633" i="3"/>
  <c r="Y3633" i="3"/>
  <c r="T3633" i="3"/>
  <c r="V3633" i="3"/>
  <c r="X3633" i="3"/>
  <c r="U3631" i="3"/>
  <c r="W3631" i="3"/>
  <c r="Y3631" i="3"/>
  <c r="T3631" i="3"/>
  <c r="V3631" i="3"/>
  <c r="X3631" i="3"/>
  <c r="U3629" i="3"/>
  <c r="W3629" i="3"/>
  <c r="Y3629" i="3"/>
  <c r="T3629" i="3"/>
  <c r="V3629" i="3"/>
  <c r="X3629" i="3"/>
  <c r="T3636" i="3"/>
  <c r="V3636" i="3"/>
  <c r="X3636" i="3"/>
  <c r="U3636" i="3"/>
  <c r="W3636" i="3"/>
  <c r="Y3636" i="3"/>
  <c r="T3634" i="3"/>
  <c r="V3634" i="3"/>
  <c r="X3634" i="3"/>
  <c r="U3634" i="3"/>
  <c r="W3634" i="3"/>
  <c r="Y3634" i="3"/>
  <c r="T3632" i="3"/>
  <c r="V3632" i="3"/>
  <c r="X3632" i="3"/>
  <c r="U3632" i="3"/>
  <c r="W3632" i="3"/>
  <c r="Y3632" i="3"/>
  <c r="T3630" i="3"/>
  <c r="V3630" i="3"/>
  <c r="X3630" i="3"/>
  <c r="U3630" i="3"/>
  <c r="W3630" i="3"/>
  <c r="Y3630" i="3"/>
  <c r="T3628" i="3"/>
  <c r="V3628" i="3"/>
  <c r="X3628" i="3"/>
  <c r="U3628" i="3"/>
  <c r="W3628" i="3"/>
  <c r="Y3628" i="3"/>
  <c r="S3592" i="3"/>
  <c r="Z3592" i="3" s="1"/>
  <c r="S3603" i="3"/>
  <c r="Z3603" i="3" s="1"/>
  <c r="S3614" i="3"/>
  <c r="Z3614" i="3" s="1"/>
  <c r="U3626" i="3"/>
  <c r="W3626" i="3"/>
  <c r="Y3626" i="3"/>
  <c r="T3626" i="3"/>
  <c r="V3626" i="3"/>
  <c r="X3626" i="3"/>
  <c r="U3624" i="3"/>
  <c r="W3624" i="3"/>
  <c r="Y3624" i="3"/>
  <c r="T3624" i="3"/>
  <c r="V3624" i="3"/>
  <c r="X3624" i="3"/>
  <c r="U3622" i="3"/>
  <c r="W3622" i="3"/>
  <c r="Y3622" i="3"/>
  <c r="T3622" i="3"/>
  <c r="V3622" i="3"/>
  <c r="X3622" i="3"/>
  <c r="U3620" i="3"/>
  <c r="W3620" i="3"/>
  <c r="Y3620" i="3"/>
  <c r="T3620" i="3"/>
  <c r="V3620" i="3"/>
  <c r="X3620" i="3"/>
  <c r="U3618" i="3"/>
  <c r="W3618" i="3"/>
  <c r="Y3618" i="3"/>
  <c r="T3618" i="3"/>
  <c r="V3618" i="3"/>
  <c r="X3618" i="3"/>
  <c r="U3616" i="3"/>
  <c r="W3616" i="3"/>
  <c r="Y3616" i="3"/>
  <c r="T3616" i="3"/>
  <c r="V3616" i="3"/>
  <c r="X3616" i="3"/>
  <c r="T3625" i="3"/>
  <c r="V3625" i="3"/>
  <c r="X3625" i="3"/>
  <c r="U3625" i="3"/>
  <c r="W3625" i="3"/>
  <c r="Y3625" i="3"/>
  <c r="T3623" i="3"/>
  <c r="V3623" i="3"/>
  <c r="X3623" i="3"/>
  <c r="U3623" i="3"/>
  <c r="W3623" i="3"/>
  <c r="Y3623" i="3"/>
  <c r="T3621" i="3"/>
  <c r="V3621" i="3"/>
  <c r="X3621" i="3"/>
  <c r="U3621" i="3"/>
  <c r="W3621" i="3"/>
  <c r="Y3621" i="3"/>
  <c r="T3619" i="3"/>
  <c r="V3619" i="3"/>
  <c r="X3619" i="3"/>
  <c r="U3619" i="3"/>
  <c r="W3619" i="3"/>
  <c r="Y3619" i="3"/>
  <c r="T3617" i="3"/>
  <c r="V3617" i="3"/>
  <c r="X3617" i="3"/>
  <c r="U3617" i="3"/>
  <c r="W3617" i="3"/>
  <c r="Y3617" i="3"/>
  <c r="T3615" i="3"/>
  <c r="V3615" i="3"/>
  <c r="X3615" i="3"/>
  <c r="U3615" i="3"/>
  <c r="W3615" i="3"/>
  <c r="Y3615" i="3"/>
  <c r="U3611" i="3"/>
  <c r="W3611" i="3"/>
  <c r="Y3611" i="3"/>
  <c r="T3611" i="3"/>
  <c r="V3611" i="3"/>
  <c r="X3611" i="3"/>
  <c r="U3609" i="3"/>
  <c r="W3609" i="3"/>
  <c r="Y3609" i="3"/>
  <c r="T3609" i="3"/>
  <c r="V3609" i="3"/>
  <c r="X3609" i="3"/>
  <c r="U3607" i="3"/>
  <c r="W3607" i="3"/>
  <c r="Y3607" i="3"/>
  <c r="T3607" i="3"/>
  <c r="V3607" i="3"/>
  <c r="X3607" i="3"/>
  <c r="U3605" i="3"/>
  <c r="W3605" i="3"/>
  <c r="Y3605" i="3"/>
  <c r="T3605" i="3"/>
  <c r="V3605" i="3"/>
  <c r="X3605" i="3"/>
  <c r="U3613" i="3"/>
  <c r="W3613" i="3"/>
  <c r="Y3613" i="3"/>
  <c r="T3613" i="3"/>
  <c r="V3613" i="3"/>
  <c r="X3613" i="3"/>
  <c r="T3612" i="3"/>
  <c r="V3612" i="3"/>
  <c r="X3612" i="3"/>
  <c r="U3612" i="3"/>
  <c r="W3612" i="3"/>
  <c r="Y3612" i="3"/>
  <c r="T3610" i="3"/>
  <c r="V3610" i="3"/>
  <c r="X3610" i="3"/>
  <c r="U3610" i="3"/>
  <c r="W3610" i="3"/>
  <c r="Y3610" i="3"/>
  <c r="T3608" i="3"/>
  <c r="V3608" i="3"/>
  <c r="X3608" i="3"/>
  <c r="U3608" i="3"/>
  <c r="W3608" i="3"/>
  <c r="Y3608" i="3"/>
  <c r="T3606" i="3"/>
  <c r="V3606" i="3"/>
  <c r="X3606" i="3"/>
  <c r="U3606" i="3"/>
  <c r="W3606" i="3"/>
  <c r="Y3606" i="3"/>
  <c r="T3604" i="3"/>
  <c r="V3604" i="3"/>
  <c r="X3604" i="3"/>
  <c r="U3604" i="3"/>
  <c r="W3604" i="3"/>
  <c r="Y3604" i="3"/>
  <c r="U3602" i="3"/>
  <c r="T3602" i="3"/>
  <c r="V3602" i="3"/>
  <c r="X3602" i="3"/>
  <c r="W3602" i="3"/>
  <c r="Y3602" i="3"/>
  <c r="U3600" i="3"/>
  <c r="T3600" i="3"/>
  <c r="V3600" i="3"/>
  <c r="X3600" i="3"/>
  <c r="W3600" i="3"/>
  <c r="Y3600" i="3"/>
  <c r="U3598" i="3"/>
  <c r="T3598" i="3"/>
  <c r="V3598" i="3"/>
  <c r="X3598" i="3"/>
  <c r="W3598" i="3"/>
  <c r="Y3598" i="3"/>
  <c r="U3596" i="3"/>
  <c r="W3596" i="3"/>
  <c r="T3596" i="3"/>
  <c r="V3596" i="3"/>
  <c r="X3596" i="3"/>
  <c r="Y3596" i="3"/>
  <c r="U3594" i="3"/>
  <c r="W3594" i="3"/>
  <c r="T3594" i="3"/>
  <c r="V3594" i="3"/>
  <c r="X3594" i="3"/>
  <c r="Y3594" i="3"/>
  <c r="T3601" i="3"/>
  <c r="V3601" i="3"/>
  <c r="U3601" i="3"/>
  <c r="W3601" i="3"/>
  <c r="Y3601" i="3"/>
  <c r="X3601" i="3"/>
  <c r="T3599" i="3"/>
  <c r="V3599" i="3"/>
  <c r="U3599" i="3"/>
  <c r="W3599" i="3"/>
  <c r="Y3599" i="3"/>
  <c r="X3599" i="3"/>
  <c r="T3597" i="3"/>
  <c r="V3597" i="3"/>
  <c r="U3597" i="3"/>
  <c r="W3597" i="3"/>
  <c r="Y3597" i="3"/>
  <c r="X3597" i="3"/>
  <c r="T3595" i="3"/>
  <c r="V3595" i="3"/>
  <c r="U3595" i="3"/>
  <c r="W3595" i="3"/>
  <c r="Y3595" i="3"/>
  <c r="X3595" i="3"/>
  <c r="T3593" i="3"/>
  <c r="V3593" i="3"/>
  <c r="U3593" i="3"/>
  <c r="W3593" i="3"/>
  <c r="Y3593" i="3"/>
  <c r="X3593" i="3"/>
  <c r="M3581" i="3"/>
  <c r="M3582" i="3"/>
  <c r="M3583" i="3"/>
  <c r="M3584" i="3"/>
  <c r="M3585" i="3"/>
  <c r="M3586" i="3"/>
  <c r="M3587" i="3"/>
  <c r="M3588" i="3"/>
  <c r="M3589" i="3"/>
  <c r="M3590" i="3"/>
  <c r="M3591" i="3"/>
  <c r="P3581" i="3"/>
  <c r="P3582" i="3"/>
  <c r="P3583" i="3"/>
  <c r="P3584" i="3"/>
  <c r="P3585" i="3"/>
  <c r="P3586" i="3"/>
  <c r="P3587" i="3"/>
  <c r="P3588" i="3"/>
  <c r="P3589" i="3"/>
  <c r="P3590" i="3"/>
  <c r="P3591" i="3"/>
  <c r="Q3581" i="3"/>
  <c r="Q3582" i="3"/>
  <c r="Q3583" i="3"/>
  <c r="Q3584" i="3"/>
  <c r="Q3585" i="3"/>
  <c r="Q3586" i="3"/>
  <c r="Q3587" i="3"/>
  <c r="Q3588" i="3"/>
  <c r="Q3589" i="3"/>
  <c r="Q3590" i="3"/>
  <c r="Q3591" i="3"/>
  <c r="R3581" i="3"/>
  <c r="R3582" i="3"/>
  <c r="R3583" i="3"/>
  <c r="R3584" i="3"/>
  <c r="R3585" i="3"/>
  <c r="R3586" i="3"/>
  <c r="R3587" i="3"/>
  <c r="R3588" i="3"/>
  <c r="R3589" i="3"/>
  <c r="R3590" i="3"/>
  <c r="R3591" i="3"/>
  <c r="S3582" i="3"/>
  <c r="S3583" i="3"/>
  <c r="S3584" i="3"/>
  <c r="S3585" i="3"/>
  <c r="S3586" i="3"/>
  <c r="S3587" i="3"/>
  <c r="S3588" i="3"/>
  <c r="S3589" i="3"/>
  <c r="S3590" i="3"/>
  <c r="S3591" i="3"/>
  <c r="T3581" i="3"/>
  <c r="U3581" i="3"/>
  <c r="V3581" i="3"/>
  <c r="W3581" i="3"/>
  <c r="X3581" i="3"/>
  <c r="AA3581" i="3"/>
  <c r="AA3582" i="3"/>
  <c r="AA3583" i="3"/>
  <c r="AA3584" i="3"/>
  <c r="AA3585" i="3"/>
  <c r="AA3586" i="3"/>
  <c r="AA3587" i="3"/>
  <c r="AA3588" i="3"/>
  <c r="AA3589" i="3"/>
  <c r="AA3590" i="3"/>
  <c r="AA3591" i="3"/>
  <c r="AB3581" i="3"/>
  <c r="O3581" i="3" s="1"/>
  <c r="Y3581" i="3" s="1"/>
  <c r="AB3582" i="3"/>
  <c r="O3582" i="3" s="1"/>
  <c r="AB3583" i="3"/>
  <c r="O3583" i="3" s="1"/>
  <c r="AB3584" i="3"/>
  <c r="O3584" i="3" s="1"/>
  <c r="AB3585" i="3"/>
  <c r="O3585" i="3" s="1"/>
  <c r="AB3586" i="3"/>
  <c r="O3586" i="3" s="1"/>
  <c r="AB3587" i="3"/>
  <c r="O3587" i="3" s="1"/>
  <c r="AB3588" i="3"/>
  <c r="O3588" i="3" s="1"/>
  <c r="AB3589" i="3"/>
  <c r="O3589" i="3" s="1"/>
  <c r="AB3590" i="3"/>
  <c r="O3590" i="3" s="1"/>
  <c r="AB3591" i="3"/>
  <c r="O3591" i="3" s="1"/>
  <c r="AC3581" i="3"/>
  <c r="N3581" i="3" s="1"/>
  <c r="AC3582" i="3"/>
  <c r="N3582" i="3" s="1"/>
  <c r="AC3583" i="3"/>
  <c r="N3583" i="3" s="1"/>
  <c r="AC3584" i="3"/>
  <c r="N3584" i="3" s="1"/>
  <c r="AC3585" i="3"/>
  <c r="N3585" i="3" s="1"/>
  <c r="AC3586" i="3"/>
  <c r="N3586" i="3" s="1"/>
  <c r="AC3587" i="3"/>
  <c r="N3587" i="3" s="1"/>
  <c r="AC3588" i="3"/>
  <c r="N3588" i="3" s="1"/>
  <c r="AC3589" i="3"/>
  <c r="N3589" i="3" s="1"/>
  <c r="AC3590" i="3"/>
  <c r="N3590" i="3" s="1"/>
  <c r="AC3591" i="3"/>
  <c r="N3591" i="3" s="1"/>
  <c r="AK3581" i="3"/>
  <c r="AK3582" i="3"/>
  <c r="AK3583" i="3"/>
  <c r="AK3584" i="3"/>
  <c r="AK3585" i="3"/>
  <c r="AK3586" i="3"/>
  <c r="AK3587" i="3"/>
  <c r="AK3588" i="3"/>
  <c r="AK3589" i="3"/>
  <c r="AK3590" i="3"/>
  <c r="AK3591" i="3"/>
  <c r="M202" i="10"/>
  <c r="M3570" i="3"/>
  <c r="M3571" i="3"/>
  <c r="M3572" i="3"/>
  <c r="M3573" i="3"/>
  <c r="M3574" i="3"/>
  <c r="M3575" i="3"/>
  <c r="M3576" i="3"/>
  <c r="M3577" i="3"/>
  <c r="M3578" i="3"/>
  <c r="M3579" i="3"/>
  <c r="M3580" i="3"/>
  <c r="P3570" i="3"/>
  <c r="P3571" i="3"/>
  <c r="P3572" i="3"/>
  <c r="P3573" i="3"/>
  <c r="P3574" i="3"/>
  <c r="P3575" i="3"/>
  <c r="P3576" i="3"/>
  <c r="P3577" i="3"/>
  <c r="P3578" i="3"/>
  <c r="P3579" i="3"/>
  <c r="P3580" i="3"/>
  <c r="Q3570" i="3"/>
  <c r="Q3571" i="3"/>
  <c r="Q3572" i="3"/>
  <c r="Q3573" i="3"/>
  <c r="Q3574" i="3"/>
  <c r="Q3575" i="3"/>
  <c r="Q3576" i="3"/>
  <c r="Q3577" i="3"/>
  <c r="Q3578" i="3"/>
  <c r="Q3579" i="3"/>
  <c r="Q3580" i="3"/>
  <c r="R3570" i="3"/>
  <c r="R3571" i="3"/>
  <c r="R3572" i="3"/>
  <c r="R3573" i="3"/>
  <c r="R3574" i="3"/>
  <c r="R3575" i="3"/>
  <c r="R3576" i="3"/>
  <c r="R3577" i="3"/>
  <c r="R3578" i="3"/>
  <c r="R3579" i="3"/>
  <c r="R3580" i="3"/>
  <c r="S3571" i="3"/>
  <c r="S3572" i="3"/>
  <c r="S3573" i="3"/>
  <c r="S3574" i="3"/>
  <c r="S3575" i="3"/>
  <c r="S3576" i="3"/>
  <c r="S3577" i="3"/>
  <c r="S3578" i="3"/>
  <c r="S3579" i="3"/>
  <c r="S3580" i="3"/>
  <c r="T3570" i="3"/>
  <c r="U3570" i="3"/>
  <c r="V3570" i="3"/>
  <c r="W3570" i="3"/>
  <c r="X3570" i="3"/>
  <c r="AA3570" i="3"/>
  <c r="AA3571" i="3"/>
  <c r="AA3572" i="3"/>
  <c r="AA3573" i="3"/>
  <c r="AA3574" i="3"/>
  <c r="AA3575" i="3"/>
  <c r="AA3576" i="3"/>
  <c r="AA3577" i="3"/>
  <c r="AA3578" i="3"/>
  <c r="AA3579" i="3"/>
  <c r="AA3580" i="3"/>
  <c r="AB3570" i="3"/>
  <c r="O3570" i="3" s="1"/>
  <c r="Y3570" i="3" s="1"/>
  <c r="AB3571" i="3"/>
  <c r="O3571" i="3" s="1"/>
  <c r="AB3572" i="3"/>
  <c r="O3572" i="3" s="1"/>
  <c r="AB3573" i="3"/>
  <c r="O3573" i="3" s="1"/>
  <c r="AB3574" i="3"/>
  <c r="O3574" i="3" s="1"/>
  <c r="AB3575" i="3"/>
  <c r="O3575" i="3" s="1"/>
  <c r="AB3576" i="3"/>
  <c r="O3576" i="3" s="1"/>
  <c r="AB3577" i="3"/>
  <c r="O3577" i="3" s="1"/>
  <c r="AB3578" i="3"/>
  <c r="O3578" i="3" s="1"/>
  <c r="AB3579" i="3"/>
  <c r="O3579" i="3" s="1"/>
  <c r="AB3580" i="3"/>
  <c r="O3580" i="3" s="1"/>
  <c r="AC3570" i="3"/>
  <c r="N3570" i="3" s="1"/>
  <c r="AC3571" i="3"/>
  <c r="N3571" i="3" s="1"/>
  <c r="AC3572" i="3"/>
  <c r="N3572" i="3" s="1"/>
  <c r="AC3573" i="3"/>
  <c r="N3573" i="3" s="1"/>
  <c r="AC3574" i="3"/>
  <c r="N3574" i="3" s="1"/>
  <c r="AC3575" i="3"/>
  <c r="N3575" i="3" s="1"/>
  <c r="AC3576" i="3"/>
  <c r="N3576" i="3" s="1"/>
  <c r="AC3577" i="3"/>
  <c r="N3577" i="3" s="1"/>
  <c r="AC3578" i="3"/>
  <c r="N3578" i="3" s="1"/>
  <c r="AC3579" i="3"/>
  <c r="N3579" i="3" s="1"/>
  <c r="AC3580" i="3"/>
  <c r="N3580" i="3" s="1"/>
  <c r="AK3570" i="3"/>
  <c r="AK3571" i="3"/>
  <c r="AK3572" i="3"/>
  <c r="AK3573" i="3"/>
  <c r="AK3574" i="3"/>
  <c r="AK3575" i="3"/>
  <c r="AK3576" i="3"/>
  <c r="AK3577" i="3"/>
  <c r="AK3578" i="3"/>
  <c r="AK3579" i="3"/>
  <c r="AK3580" i="3"/>
  <c r="M201" i="10"/>
  <c r="Z3818" i="3" l="1"/>
  <c r="Z3820" i="3"/>
  <c r="Z3822" i="3"/>
  <c r="Z3824" i="3"/>
  <c r="Z3826" i="3"/>
  <c r="Z3817" i="3"/>
  <c r="Z3819" i="3"/>
  <c r="Z3821" i="3"/>
  <c r="Z3823" i="3"/>
  <c r="Z3825" i="3"/>
  <c r="Z3806" i="3"/>
  <c r="Z3810" i="3"/>
  <c r="Z3814" i="3"/>
  <c r="Z3808" i="3"/>
  <c r="Z3812" i="3"/>
  <c r="Z3807" i="3"/>
  <c r="Z3811" i="3"/>
  <c r="Z3815" i="3"/>
  <c r="Z3809" i="3"/>
  <c r="Z3813" i="3"/>
  <c r="Z3795" i="3"/>
  <c r="Z3799" i="3"/>
  <c r="Z3803" i="3"/>
  <c r="Z3797" i="3"/>
  <c r="Z3801" i="3"/>
  <c r="Z3796" i="3"/>
  <c r="Z3800" i="3"/>
  <c r="Z3804" i="3"/>
  <c r="Z3798" i="3"/>
  <c r="Z3802" i="3"/>
  <c r="Z3785" i="3"/>
  <c r="Z3787" i="3"/>
  <c r="Z3789" i="3"/>
  <c r="Z3791" i="3"/>
  <c r="Z3793" i="3"/>
  <c r="Z3784" i="3"/>
  <c r="Z3786" i="3"/>
  <c r="Z3788" i="3"/>
  <c r="Z3790" i="3"/>
  <c r="Z3792" i="3"/>
  <c r="Z3774" i="3"/>
  <c r="Z3776" i="3"/>
  <c r="Z3778" i="3"/>
  <c r="Z3780" i="3"/>
  <c r="Z3782" i="3"/>
  <c r="Z3773" i="3"/>
  <c r="Z3775" i="3"/>
  <c r="Z3777" i="3"/>
  <c r="Z3779" i="3"/>
  <c r="Z3781" i="3"/>
  <c r="Z3764" i="3"/>
  <c r="Z3763" i="3"/>
  <c r="Z3767" i="3"/>
  <c r="Z3771" i="3"/>
  <c r="Z3762" i="3"/>
  <c r="Z3768" i="3"/>
  <c r="Z3765" i="3"/>
  <c r="Z3769" i="3"/>
  <c r="Z3766" i="3"/>
  <c r="Z3770" i="3"/>
  <c r="Z3752" i="3"/>
  <c r="Z3754" i="3"/>
  <c r="Z3756" i="3"/>
  <c r="Z3758" i="3"/>
  <c r="Z3760" i="3"/>
  <c r="Z3751" i="3"/>
  <c r="Z3753" i="3"/>
  <c r="Z3755" i="3"/>
  <c r="Z3757" i="3"/>
  <c r="Z3759" i="3"/>
  <c r="Z3741" i="3"/>
  <c r="Z3743" i="3"/>
  <c r="Z3745" i="3"/>
  <c r="Z3747" i="3"/>
  <c r="Z3749" i="3"/>
  <c r="Z3740" i="3"/>
  <c r="Z3742" i="3"/>
  <c r="Z3744" i="3"/>
  <c r="Z3746" i="3"/>
  <c r="Z3748" i="3"/>
  <c r="Z3730" i="3"/>
  <c r="Z3732" i="3"/>
  <c r="Z3734" i="3"/>
  <c r="Z3736" i="3"/>
  <c r="Z3738" i="3"/>
  <c r="Z3729" i="3"/>
  <c r="Z3731" i="3"/>
  <c r="Z3733" i="3"/>
  <c r="Z3735" i="3"/>
  <c r="Z3737" i="3"/>
  <c r="Z3719" i="3"/>
  <c r="Z3721" i="3"/>
  <c r="Z3723" i="3"/>
  <c r="Z3725" i="3"/>
  <c r="Z3727" i="3"/>
  <c r="Z3718" i="3"/>
  <c r="Z3720" i="3"/>
  <c r="Z3722" i="3"/>
  <c r="Z3724" i="3"/>
  <c r="Z3726" i="3"/>
  <c r="Z3708" i="3"/>
  <c r="Z3710" i="3"/>
  <c r="Z3712" i="3"/>
  <c r="Z3714" i="3"/>
  <c r="Z3716" i="3"/>
  <c r="Z3707" i="3"/>
  <c r="Z3709" i="3"/>
  <c r="Z3711" i="3"/>
  <c r="Z3713" i="3"/>
  <c r="Z3715" i="3"/>
  <c r="Z3697" i="3"/>
  <c r="Z3699" i="3"/>
  <c r="Z3701" i="3"/>
  <c r="Z3703" i="3"/>
  <c r="Z3705" i="3"/>
  <c r="Z3696" i="3"/>
  <c r="Z3698" i="3"/>
  <c r="Z3700" i="3"/>
  <c r="Z3702" i="3"/>
  <c r="Z3704" i="3"/>
  <c r="Z3686" i="3"/>
  <c r="Z3688" i="3"/>
  <c r="Z3690" i="3"/>
  <c r="Z3692" i="3"/>
  <c r="Z3694" i="3"/>
  <c r="Z3685" i="3"/>
  <c r="Z3687" i="3"/>
  <c r="Z3689" i="3"/>
  <c r="Z3691" i="3"/>
  <c r="Z3693" i="3"/>
  <c r="Z3675" i="3"/>
  <c r="Z3677" i="3"/>
  <c r="Z3679" i="3"/>
  <c r="Z3681" i="3"/>
  <c r="Z3683" i="3"/>
  <c r="Z3674" i="3"/>
  <c r="Z3676" i="3"/>
  <c r="Z3678" i="3"/>
  <c r="Z3680" i="3"/>
  <c r="Z3682" i="3"/>
  <c r="Z3664" i="3"/>
  <c r="Z3666" i="3"/>
  <c r="Z3668" i="3"/>
  <c r="Z3670" i="3"/>
  <c r="Z3672" i="3"/>
  <c r="Z3663" i="3"/>
  <c r="Z3665" i="3"/>
  <c r="Z3667" i="3"/>
  <c r="Z3669" i="3"/>
  <c r="Z3671" i="3"/>
  <c r="Z3652" i="3"/>
  <c r="Z3654" i="3"/>
  <c r="Z3656" i="3"/>
  <c r="Z3658" i="3"/>
  <c r="Z3660" i="3"/>
  <c r="Z3653" i="3"/>
  <c r="Z3655" i="3"/>
  <c r="Z3657" i="3"/>
  <c r="Z3659" i="3"/>
  <c r="Z3661" i="3"/>
  <c r="Z3640" i="3"/>
  <c r="Z3642" i="3"/>
  <c r="Z3644" i="3"/>
  <c r="Z3646" i="3"/>
  <c r="Z3648" i="3"/>
  <c r="Z3650" i="3"/>
  <c r="Z3639" i="3"/>
  <c r="Z3641" i="3"/>
  <c r="Z3643" i="3"/>
  <c r="Z3645" i="3"/>
  <c r="Z3647" i="3"/>
  <c r="Z3649" i="3"/>
  <c r="Z3629" i="3"/>
  <c r="Z3631" i="3"/>
  <c r="Z3633" i="3"/>
  <c r="Z3635" i="3"/>
  <c r="Z3637" i="3"/>
  <c r="Z3628" i="3"/>
  <c r="Z3630" i="3"/>
  <c r="Z3632" i="3"/>
  <c r="Z3634" i="3"/>
  <c r="Z3636" i="3"/>
  <c r="Z3616" i="3"/>
  <c r="Z3618" i="3"/>
  <c r="Z3620" i="3"/>
  <c r="Z3622" i="3"/>
  <c r="Z3624" i="3"/>
  <c r="Z3626" i="3"/>
  <c r="Z3615" i="3"/>
  <c r="Z3617" i="3"/>
  <c r="Z3619" i="3"/>
  <c r="Z3621" i="3"/>
  <c r="Z3623" i="3"/>
  <c r="Z3625" i="3"/>
  <c r="Z3613" i="3"/>
  <c r="Z3605" i="3"/>
  <c r="Z3607" i="3"/>
  <c r="Z3609" i="3"/>
  <c r="Z3611" i="3"/>
  <c r="Z3604" i="3"/>
  <c r="Z3606" i="3"/>
  <c r="Z3608" i="3"/>
  <c r="Z3610" i="3"/>
  <c r="Z3612" i="3"/>
  <c r="S3581" i="3"/>
  <c r="Z3581" i="3" s="1"/>
  <c r="Z3598" i="3"/>
  <c r="Z3600" i="3"/>
  <c r="Z3602" i="3"/>
  <c r="Z3593" i="3"/>
  <c r="Z3595" i="3"/>
  <c r="Z3597" i="3"/>
  <c r="Z3599" i="3"/>
  <c r="Z3601" i="3"/>
  <c r="Z3594" i="3"/>
  <c r="Z3596" i="3"/>
  <c r="U3589" i="3"/>
  <c r="W3589" i="3"/>
  <c r="Y3589" i="3"/>
  <c r="T3589" i="3"/>
  <c r="V3589" i="3"/>
  <c r="X3589" i="3"/>
  <c r="U3585" i="3"/>
  <c r="W3585" i="3"/>
  <c r="Y3585" i="3"/>
  <c r="T3585" i="3"/>
  <c r="V3585" i="3"/>
  <c r="X3585" i="3"/>
  <c r="U3591" i="3"/>
  <c r="W3591" i="3"/>
  <c r="Y3591" i="3"/>
  <c r="T3591" i="3"/>
  <c r="V3591" i="3"/>
  <c r="X3591" i="3"/>
  <c r="U3587" i="3"/>
  <c r="W3587" i="3"/>
  <c r="Y3587" i="3"/>
  <c r="T3587" i="3"/>
  <c r="V3587" i="3"/>
  <c r="X3587" i="3"/>
  <c r="U3583" i="3"/>
  <c r="W3583" i="3"/>
  <c r="Y3583" i="3"/>
  <c r="T3583" i="3"/>
  <c r="V3583" i="3"/>
  <c r="X3583" i="3"/>
  <c r="T3590" i="3"/>
  <c r="V3590" i="3"/>
  <c r="X3590" i="3"/>
  <c r="U3590" i="3"/>
  <c r="W3590" i="3"/>
  <c r="Y3590" i="3"/>
  <c r="T3588" i="3"/>
  <c r="V3588" i="3"/>
  <c r="X3588" i="3"/>
  <c r="U3588" i="3"/>
  <c r="W3588" i="3"/>
  <c r="Y3588" i="3"/>
  <c r="T3586" i="3"/>
  <c r="V3586" i="3"/>
  <c r="X3586" i="3"/>
  <c r="U3586" i="3"/>
  <c r="W3586" i="3"/>
  <c r="Y3586" i="3"/>
  <c r="T3584" i="3"/>
  <c r="V3584" i="3"/>
  <c r="X3584" i="3"/>
  <c r="U3584" i="3"/>
  <c r="W3584" i="3"/>
  <c r="Y3584" i="3"/>
  <c r="T3582" i="3"/>
  <c r="V3582" i="3"/>
  <c r="X3582" i="3"/>
  <c r="U3582" i="3"/>
  <c r="W3582" i="3"/>
  <c r="Y3582" i="3"/>
  <c r="S3570" i="3"/>
  <c r="Z3570" i="3" s="1"/>
  <c r="U3580" i="3"/>
  <c r="W3580" i="3"/>
  <c r="Y3580" i="3"/>
  <c r="T3580" i="3"/>
  <c r="V3580" i="3"/>
  <c r="X3580" i="3"/>
  <c r="U3578" i="3"/>
  <c r="W3578" i="3"/>
  <c r="Y3578" i="3"/>
  <c r="T3578" i="3"/>
  <c r="V3578" i="3"/>
  <c r="X3578" i="3"/>
  <c r="U3576" i="3"/>
  <c r="W3576" i="3"/>
  <c r="Y3576" i="3"/>
  <c r="T3576" i="3"/>
  <c r="V3576" i="3"/>
  <c r="X3576" i="3"/>
  <c r="U3574" i="3"/>
  <c r="W3574" i="3"/>
  <c r="Y3574" i="3"/>
  <c r="T3574" i="3"/>
  <c r="V3574" i="3"/>
  <c r="X3574" i="3"/>
  <c r="U3572" i="3"/>
  <c r="W3572" i="3"/>
  <c r="Y3572" i="3"/>
  <c r="T3572" i="3"/>
  <c r="V3572" i="3"/>
  <c r="X3572" i="3"/>
  <c r="T3579" i="3"/>
  <c r="V3579" i="3"/>
  <c r="X3579" i="3"/>
  <c r="U3579" i="3"/>
  <c r="W3579" i="3"/>
  <c r="Y3579" i="3"/>
  <c r="T3577" i="3"/>
  <c r="V3577" i="3"/>
  <c r="X3577" i="3"/>
  <c r="U3577" i="3"/>
  <c r="W3577" i="3"/>
  <c r="Y3577" i="3"/>
  <c r="T3575" i="3"/>
  <c r="V3575" i="3"/>
  <c r="X3575" i="3"/>
  <c r="U3575" i="3"/>
  <c r="W3575" i="3"/>
  <c r="Y3575" i="3"/>
  <c r="T3573" i="3"/>
  <c r="V3573" i="3"/>
  <c r="X3573" i="3"/>
  <c r="U3573" i="3"/>
  <c r="W3573" i="3"/>
  <c r="Y3573" i="3"/>
  <c r="T3571" i="3"/>
  <c r="V3571" i="3"/>
  <c r="X3571" i="3"/>
  <c r="U3571" i="3"/>
  <c r="W3571" i="3"/>
  <c r="Y3571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P3547" i="3"/>
  <c r="P3548" i="3"/>
  <c r="P3549" i="3"/>
  <c r="P3550" i="3"/>
  <c r="P3551" i="3"/>
  <c r="P3552" i="3"/>
  <c r="P3553" i="3"/>
  <c r="P3554" i="3"/>
  <c r="P3555" i="3"/>
  <c r="P3556" i="3"/>
  <c r="P3557" i="3"/>
  <c r="P3558" i="3"/>
  <c r="P3559" i="3"/>
  <c r="P3560" i="3"/>
  <c r="P3561" i="3"/>
  <c r="P3562" i="3"/>
  <c r="P3563" i="3"/>
  <c r="P3564" i="3"/>
  <c r="P3565" i="3"/>
  <c r="P3566" i="3"/>
  <c r="P3567" i="3"/>
  <c r="P3568" i="3"/>
  <c r="P3569" i="3"/>
  <c r="Q3547" i="3"/>
  <c r="Q3548" i="3"/>
  <c r="Q3549" i="3"/>
  <c r="Q3550" i="3"/>
  <c r="Q3551" i="3"/>
  <c r="Q3552" i="3"/>
  <c r="Q3553" i="3"/>
  <c r="Q3554" i="3"/>
  <c r="Q3555" i="3"/>
  <c r="Q3556" i="3"/>
  <c r="Q3557" i="3"/>
  <c r="Q3558" i="3"/>
  <c r="Q3559" i="3"/>
  <c r="Q3560" i="3"/>
  <c r="Q3561" i="3"/>
  <c r="Q3562" i="3"/>
  <c r="Q3563" i="3"/>
  <c r="Q3564" i="3"/>
  <c r="Q3565" i="3"/>
  <c r="Q3566" i="3"/>
  <c r="Q3567" i="3"/>
  <c r="Q3568" i="3"/>
  <c r="Q3569" i="3"/>
  <c r="R3547" i="3"/>
  <c r="R3548" i="3"/>
  <c r="R3549" i="3"/>
  <c r="R3550" i="3"/>
  <c r="R3551" i="3"/>
  <c r="R3552" i="3"/>
  <c r="R3553" i="3"/>
  <c r="R3554" i="3"/>
  <c r="R3555" i="3"/>
  <c r="R3556" i="3"/>
  <c r="R3557" i="3"/>
  <c r="R3558" i="3"/>
  <c r="R3559" i="3"/>
  <c r="R3560" i="3"/>
  <c r="R3561" i="3"/>
  <c r="R3562" i="3"/>
  <c r="R3563" i="3"/>
  <c r="R3564" i="3"/>
  <c r="R3565" i="3"/>
  <c r="R3566" i="3"/>
  <c r="R3567" i="3"/>
  <c r="R3568" i="3"/>
  <c r="R3569" i="3"/>
  <c r="S3548" i="3"/>
  <c r="S3549" i="3"/>
  <c r="S3550" i="3"/>
  <c r="S3551" i="3"/>
  <c r="S3552" i="3"/>
  <c r="S3553" i="3"/>
  <c r="S3554" i="3"/>
  <c r="S3555" i="3"/>
  <c r="S3556" i="3"/>
  <c r="S3557" i="3"/>
  <c r="S3559" i="3"/>
  <c r="S3560" i="3"/>
  <c r="S3561" i="3"/>
  <c r="S3562" i="3"/>
  <c r="S3563" i="3"/>
  <c r="S3564" i="3"/>
  <c r="S3565" i="3"/>
  <c r="S3566" i="3"/>
  <c r="S3567" i="3"/>
  <c r="S3568" i="3"/>
  <c r="S3569" i="3"/>
  <c r="T3547" i="3"/>
  <c r="T3558" i="3"/>
  <c r="U3547" i="3"/>
  <c r="U3558" i="3"/>
  <c r="V3547" i="3"/>
  <c r="V3558" i="3"/>
  <c r="W3547" i="3"/>
  <c r="W3558" i="3"/>
  <c r="X3547" i="3"/>
  <c r="X3558" i="3"/>
  <c r="AA3547" i="3"/>
  <c r="AA3548" i="3"/>
  <c r="AA3549" i="3"/>
  <c r="AA3550" i="3"/>
  <c r="AA3551" i="3"/>
  <c r="AA3552" i="3"/>
  <c r="AA3553" i="3"/>
  <c r="AA3554" i="3"/>
  <c r="AA3555" i="3"/>
  <c r="AA3556" i="3"/>
  <c r="AA3557" i="3"/>
  <c r="AA3558" i="3"/>
  <c r="AA3559" i="3"/>
  <c r="AA3560" i="3"/>
  <c r="AA3561" i="3"/>
  <c r="AA3562" i="3"/>
  <c r="AA3563" i="3"/>
  <c r="AA3564" i="3"/>
  <c r="AA3565" i="3"/>
  <c r="AA3566" i="3"/>
  <c r="AA3567" i="3"/>
  <c r="AA3568" i="3"/>
  <c r="AA3569" i="3"/>
  <c r="AB3547" i="3"/>
  <c r="O3547" i="3" s="1"/>
  <c r="Y3547" i="3" s="1"/>
  <c r="AB3548" i="3"/>
  <c r="O3548" i="3" s="1"/>
  <c r="AB3549" i="3"/>
  <c r="O3549" i="3" s="1"/>
  <c r="AB3550" i="3"/>
  <c r="O3550" i="3" s="1"/>
  <c r="AB3551" i="3"/>
  <c r="O3551" i="3" s="1"/>
  <c r="AB3552" i="3"/>
  <c r="O3552" i="3" s="1"/>
  <c r="AB3553" i="3"/>
  <c r="O3553" i="3" s="1"/>
  <c r="AB3554" i="3"/>
  <c r="O3554" i="3" s="1"/>
  <c r="AB3555" i="3"/>
  <c r="O3555" i="3" s="1"/>
  <c r="AB3556" i="3"/>
  <c r="O3556" i="3" s="1"/>
  <c r="AB3557" i="3"/>
  <c r="O3557" i="3" s="1"/>
  <c r="AB3558" i="3"/>
  <c r="O3558" i="3" s="1"/>
  <c r="Y3558" i="3" s="1"/>
  <c r="AB3559" i="3"/>
  <c r="O3559" i="3" s="1"/>
  <c r="AB3560" i="3"/>
  <c r="O3560" i="3" s="1"/>
  <c r="AB3561" i="3"/>
  <c r="O3561" i="3" s="1"/>
  <c r="AB3562" i="3"/>
  <c r="O3562" i="3" s="1"/>
  <c r="AB3563" i="3"/>
  <c r="O3563" i="3" s="1"/>
  <c r="AB3564" i="3"/>
  <c r="O3564" i="3" s="1"/>
  <c r="AB3565" i="3"/>
  <c r="O3565" i="3" s="1"/>
  <c r="AB3566" i="3"/>
  <c r="O3566" i="3" s="1"/>
  <c r="AB3567" i="3"/>
  <c r="O3567" i="3" s="1"/>
  <c r="AB3568" i="3"/>
  <c r="O3568" i="3" s="1"/>
  <c r="AB3569" i="3"/>
  <c r="O3569" i="3" s="1"/>
  <c r="AC3547" i="3"/>
  <c r="N3547" i="3" s="1"/>
  <c r="AC3548" i="3"/>
  <c r="N3548" i="3" s="1"/>
  <c r="AC3549" i="3"/>
  <c r="N3549" i="3" s="1"/>
  <c r="AC3550" i="3"/>
  <c r="N3550" i="3" s="1"/>
  <c r="AC3551" i="3"/>
  <c r="N3551" i="3" s="1"/>
  <c r="AC3552" i="3"/>
  <c r="N3552" i="3" s="1"/>
  <c r="AC3553" i="3"/>
  <c r="N3553" i="3" s="1"/>
  <c r="AC3554" i="3"/>
  <c r="N3554" i="3" s="1"/>
  <c r="AC3555" i="3"/>
  <c r="N3555" i="3" s="1"/>
  <c r="AC3556" i="3"/>
  <c r="N3556" i="3" s="1"/>
  <c r="AC3557" i="3"/>
  <c r="N3557" i="3" s="1"/>
  <c r="AC3558" i="3"/>
  <c r="N3558" i="3" s="1"/>
  <c r="AC3559" i="3"/>
  <c r="N3559" i="3" s="1"/>
  <c r="AC3560" i="3"/>
  <c r="N3560" i="3" s="1"/>
  <c r="AC3561" i="3"/>
  <c r="N3561" i="3" s="1"/>
  <c r="AC3562" i="3"/>
  <c r="N3562" i="3" s="1"/>
  <c r="AC3563" i="3"/>
  <c r="N3563" i="3" s="1"/>
  <c r="AC3564" i="3"/>
  <c r="N3564" i="3" s="1"/>
  <c r="AC3565" i="3"/>
  <c r="N3565" i="3" s="1"/>
  <c r="AC3566" i="3"/>
  <c r="N3566" i="3" s="1"/>
  <c r="AC3567" i="3"/>
  <c r="N3567" i="3" s="1"/>
  <c r="AC3568" i="3"/>
  <c r="N3568" i="3" s="1"/>
  <c r="AC3569" i="3"/>
  <c r="N3569" i="3" s="1"/>
  <c r="AK3547" i="3"/>
  <c r="AK3548" i="3"/>
  <c r="AK3549" i="3"/>
  <c r="AK3550" i="3"/>
  <c r="AK3551" i="3"/>
  <c r="AK3552" i="3"/>
  <c r="AK3553" i="3"/>
  <c r="AK3554" i="3"/>
  <c r="AK3555" i="3"/>
  <c r="AK3556" i="3"/>
  <c r="AK3557" i="3"/>
  <c r="AK3558" i="3"/>
  <c r="AK3559" i="3"/>
  <c r="AK3560" i="3"/>
  <c r="AK3561" i="3"/>
  <c r="AK3562" i="3"/>
  <c r="AK3563" i="3"/>
  <c r="AK3564" i="3"/>
  <c r="AK3565" i="3"/>
  <c r="AK3566" i="3"/>
  <c r="AK3567" i="3"/>
  <c r="AK3568" i="3"/>
  <c r="AK3569" i="3"/>
  <c r="M200" i="10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P3522" i="3"/>
  <c r="P3523" i="3"/>
  <c r="P3524" i="3"/>
  <c r="P3525" i="3"/>
  <c r="P3526" i="3"/>
  <c r="P3527" i="3"/>
  <c r="P3528" i="3"/>
  <c r="P3529" i="3"/>
  <c r="P3530" i="3"/>
  <c r="P3531" i="3"/>
  <c r="P3532" i="3"/>
  <c r="P3533" i="3"/>
  <c r="P3534" i="3"/>
  <c r="P3535" i="3"/>
  <c r="P3536" i="3"/>
  <c r="P3537" i="3"/>
  <c r="P3538" i="3"/>
  <c r="P3539" i="3"/>
  <c r="P3540" i="3"/>
  <c r="P3541" i="3"/>
  <c r="P3542" i="3"/>
  <c r="P3543" i="3"/>
  <c r="P3544" i="3"/>
  <c r="P3545" i="3"/>
  <c r="P3546" i="3"/>
  <c r="Q3522" i="3"/>
  <c r="Q3523" i="3"/>
  <c r="Q3524" i="3"/>
  <c r="Q3525" i="3"/>
  <c r="Q3526" i="3"/>
  <c r="Q3527" i="3"/>
  <c r="Q3528" i="3"/>
  <c r="Q3529" i="3"/>
  <c r="Q3530" i="3"/>
  <c r="Q3531" i="3"/>
  <c r="Q3532" i="3"/>
  <c r="Q3533" i="3"/>
  <c r="Q3534" i="3"/>
  <c r="Q3535" i="3"/>
  <c r="Q3536" i="3"/>
  <c r="Q3537" i="3"/>
  <c r="Q3538" i="3"/>
  <c r="Q3539" i="3"/>
  <c r="Q3540" i="3"/>
  <c r="Q3541" i="3"/>
  <c r="Q3542" i="3"/>
  <c r="Q3543" i="3"/>
  <c r="Q3544" i="3"/>
  <c r="Q3545" i="3"/>
  <c r="Q3546" i="3"/>
  <c r="R3522" i="3"/>
  <c r="R3523" i="3"/>
  <c r="R3524" i="3"/>
  <c r="R3525" i="3"/>
  <c r="R3526" i="3"/>
  <c r="R3527" i="3"/>
  <c r="R3528" i="3"/>
  <c r="R3529" i="3"/>
  <c r="R3530" i="3"/>
  <c r="R3531" i="3"/>
  <c r="R3532" i="3"/>
  <c r="R3533" i="3"/>
  <c r="R3534" i="3"/>
  <c r="R3535" i="3"/>
  <c r="R3536" i="3"/>
  <c r="R3537" i="3"/>
  <c r="R3538" i="3"/>
  <c r="R3539" i="3"/>
  <c r="R3540" i="3"/>
  <c r="R3541" i="3"/>
  <c r="R3542" i="3"/>
  <c r="R3543" i="3"/>
  <c r="R3544" i="3"/>
  <c r="R3545" i="3"/>
  <c r="R3546" i="3"/>
  <c r="S3523" i="3"/>
  <c r="S3524" i="3"/>
  <c r="S3525" i="3"/>
  <c r="S3526" i="3"/>
  <c r="S3527" i="3"/>
  <c r="S3528" i="3"/>
  <c r="S3529" i="3"/>
  <c r="S3530" i="3"/>
  <c r="S3531" i="3"/>
  <c r="S3532" i="3"/>
  <c r="S3534" i="3"/>
  <c r="S3535" i="3"/>
  <c r="S3536" i="3"/>
  <c r="S3537" i="3"/>
  <c r="S3538" i="3"/>
  <c r="S3539" i="3"/>
  <c r="S3540" i="3"/>
  <c r="S3541" i="3"/>
  <c r="S3542" i="3"/>
  <c r="S3543" i="3"/>
  <c r="S3544" i="3"/>
  <c r="S3545" i="3"/>
  <c r="S3546" i="3"/>
  <c r="T3522" i="3"/>
  <c r="T3533" i="3"/>
  <c r="U3522" i="3"/>
  <c r="U3533" i="3"/>
  <c r="V3522" i="3"/>
  <c r="V3533" i="3"/>
  <c r="W3522" i="3"/>
  <c r="W3533" i="3"/>
  <c r="X3522" i="3"/>
  <c r="X3533" i="3"/>
  <c r="AA3522" i="3"/>
  <c r="AA3523" i="3"/>
  <c r="AA3524" i="3"/>
  <c r="AA3525" i="3"/>
  <c r="AA3526" i="3"/>
  <c r="AA3527" i="3"/>
  <c r="AA3528" i="3"/>
  <c r="AA3529" i="3"/>
  <c r="AA3530" i="3"/>
  <c r="AA3531" i="3"/>
  <c r="AA3532" i="3"/>
  <c r="AA3533" i="3"/>
  <c r="AA3534" i="3"/>
  <c r="AA3535" i="3"/>
  <c r="AA3536" i="3"/>
  <c r="AA3537" i="3"/>
  <c r="AA3538" i="3"/>
  <c r="AA3539" i="3"/>
  <c r="AA3540" i="3"/>
  <c r="AA3541" i="3"/>
  <c r="AA3542" i="3"/>
  <c r="AA3543" i="3"/>
  <c r="AA3544" i="3"/>
  <c r="AA3545" i="3"/>
  <c r="AA3546" i="3"/>
  <c r="AB3522" i="3"/>
  <c r="O3522" i="3" s="1"/>
  <c r="Y3522" i="3" s="1"/>
  <c r="AB3523" i="3"/>
  <c r="O3523" i="3" s="1"/>
  <c r="AB3524" i="3"/>
  <c r="O3524" i="3" s="1"/>
  <c r="AB3525" i="3"/>
  <c r="O3525" i="3" s="1"/>
  <c r="AB3526" i="3"/>
  <c r="O3526" i="3" s="1"/>
  <c r="AB3527" i="3"/>
  <c r="O3527" i="3" s="1"/>
  <c r="AB3528" i="3"/>
  <c r="O3528" i="3" s="1"/>
  <c r="AB3529" i="3"/>
  <c r="O3529" i="3" s="1"/>
  <c r="AB3530" i="3"/>
  <c r="O3530" i="3" s="1"/>
  <c r="AB3531" i="3"/>
  <c r="O3531" i="3" s="1"/>
  <c r="AB3532" i="3"/>
  <c r="O3532" i="3" s="1"/>
  <c r="AB3533" i="3"/>
  <c r="O3533" i="3" s="1"/>
  <c r="Y3533" i="3" s="1"/>
  <c r="AB3534" i="3"/>
  <c r="O3534" i="3" s="1"/>
  <c r="AB3535" i="3"/>
  <c r="O3535" i="3" s="1"/>
  <c r="AB3536" i="3"/>
  <c r="O3536" i="3" s="1"/>
  <c r="AB3537" i="3"/>
  <c r="O3537" i="3" s="1"/>
  <c r="AB3538" i="3"/>
  <c r="O3538" i="3" s="1"/>
  <c r="AB3539" i="3"/>
  <c r="O3539" i="3" s="1"/>
  <c r="AB3540" i="3"/>
  <c r="O3540" i="3" s="1"/>
  <c r="AB3541" i="3"/>
  <c r="O3541" i="3" s="1"/>
  <c r="AB3542" i="3"/>
  <c r="O3542" i="3" s="1"/>
  <c r="AB3543" i="3"/>
  <c r="O3543" i="3" s="1"/>
  <c r="AB3544" i="3"/>
  <c r="O3544" i="3" s="1"/>
  <c r="AB3545" i="3"/>
  <c r="O3545" i="3" s="1"/>
  <c r="AB3546" i="3"/>
  <c r="O3546" i="3" s="1"/>
  <c r="AC3522" i="3"/>
  <c r="N3522" i="3" s="1"/>
  <c r="AC3523" i="3"/>
  <c r="N3523" i="3" s="1"/>
  <c r="AC3524" i="3"/>
  <c r="N3524" i="3" s="1"/>
  <c r="AC3525" i="3"/>
  <c r="N3525" i="3" s="1"/>
  <c r="AC3526" i="3"/>
  <c r="N3526" i="3" s="1"/>
  <c r="AC3527" i="3"/>
  <c r="N3527" i="3" s="1"/>
  <c r="AC3528" i="3"/>
  <c r="N3528" i="3" s="1"/>
  <c r="AC3529" i="3"/>
  <c r="N3529" i="3" s="1"/>
  <c r="AC3530" i="3"/>
  <c r="N3530" i="3" s="1"/>
  <c r="AC3531" i="3"/>
  <c r="N3531" i="3" s="1"/>
  <c r="AC3532" i="3"/>
  <c r="N3532" i="3" s="1"/>
  <c r="AC3533" i="3"/>
  <c r="N3533" i="3" s="1"/>
  <c r="AC3534" i="3"/>
  <c r="N3534" i="3" s="1"/>
  <c r="AC3535" i="3"/>
  <c r="N3535" i="3" s="1"/>
  <c r="AC3536" i="3"/>
  <c r="N3536" i="3" s="1"/>
  <c r="AC3537" i="3"/>
  <c r="N3537" i="3" s="1"/>
  <c r="AC3538" i="3"/>
  <c r="N3538" i="3" s="1"/>
  <c r="AC3539" i="3"/>
  <c r="N3539" i="3" s="1"/>
  <c r="AC3540" i="3"/>
  <c r="N3540" i="3" s="1"/>
  <c r="AC3541" i="3"/>
  <c r="N3541" i="3" s="1"/>
  <c r="AC3542" i="3"/>
  <c r="N3542" i="3" s="1"/>
  <c r="AC3543" i="3"/>
  <c r="N3543" i="3" s="1"/>
  <c r="AC3544" i="3"/>
  <c r="N3544" i="3" s="1"/>
  <c r="AC3545" i="3"/>
  <c r="N3545" i="3" s="1"/>
  <c r="AC3546" i="3"/>
  <c r="N3546" i="3" s="1"/>
  <c r="AK3522" i="3"/>
  <c r="AK3523" i="3"/>
  <c r="AK3524" i="3"/>
  <c r="AK3525" i="3"/>
  <c r="AK3526" i="3"/>
  <c r="AK3527" i="3"/>
  <c r="AK3528" i="3"/>
  <c r="AK3529" i="3"/>
  <c r="AK3530" i="3"/>
  <c r="AK3531" i="3"/>
  <c r="AK3532" i="3"/>
  <c r="AK3533" i="3"/>
  <c r="AK3534" i="3"/>
  <c r="AK3535" i="3"/>
  <c r="AK3536" i="3"/>
  <c r="AK3537" i="3"/>
  <c r="AK3538" i="3"/>
  <c r="AK3539" i="3"/>
  <c r="AK3540" i="3"/>
  <c r="AK3541" i="3"/>
  <c r="AK3542" i="3"/>
  <c r="AK3543" i="3"/>
  <c r="AK3544" i="3"/>
  <c r="AK3545" i="3"/>
  <c r="AK3546" i="3"/>
  <c r="M199" i="10"/>
  <c r="M3511" i="3"/>
  <c r="M3512" i="3"/>
  <c r="M3513" i="3"/>
  <c r="M3514" i="3"/>
  <c r="M3515" i="3"/>
  <c r="M3516" i="3"/>
  <c r="M3517" i="3"/>
  <c r="M3518" i="3"/>
  <c r="M3519" i="3"/>
  <c r="M3520" i="3"/>
  <c r="M3521" i="3"/>
  <c r="P3511" i="3"/>
  <c r="P3512" i="3"/>
  <c r="P3513" i="3"/>
  <c r="P3514" i="3"/>
  <c r="P3515" i="3"/>
  <c r="P3516" i="3"/>
  <c r="P3517" i="3"/>
  <c r="P3518" i="3"/>
  <c r="P3519" i="3"/>
  <c r="P3520" i="3"/>
  <c r="P3521" i="3"/>
  <c r="Q3511" i="3"/>
  <c r="Q3512" i="3"/>
  <c r="Q3513" i="3"/>
  <c r="Q3514" i="3"/>
  <c r="Q3515" i="3"/>
  <c r="Q3516" i="3"/>
  <c r="Q3517" i="3"/>
  <c r="Q3518" i="3"/>
  <c r="Q3519" i="3"/>
  <c r="Q3520" i="3"/>
  <c r="Q3521" i="3"/>
  <c r="R3511" i="3"/>
  <c r="R3512" i="3"/>
  <c r="R3513" i="3"/>
  <c r="R3514" i="3"/>
  <c r="R3515" i="3"/>
  <c r="R3516" i="3"/>
  <c r="R3517" i="3"/>
  <c r="R3518" i="3"/>
  <c r="R3519" i="3"/>
  <c r="R3520" i="3"/>
  <c r="R3521" i="3"/>
  <c r="S3512" i="3"/>
  <c r="S3513" i="3"/>
  <c r="S3514" i="3"/>
  <c r="S3515" i="3"/>
  <c r="S3516" i="3"/>
  <c r="S3517" i="3"/>
  <c r="S3518" i="3"/>
  <c r="S3519" i="3"/>
  <c r="S3520" i="3"/>
  <c r="S3521" i="3"/>
  <c r="T3511" i="3"/>
  <c r="U3511" i="3"/>
  <c r="V3511" i="3"/>
  <c r="W3511" i="3"/>
  <c r="X3511" i="3"/>
  <c r="AA3511" i="3"/>
  <c r="AA3512" i="3"/>
  <c r="AA3513" i="3"/>
  <c r="AA3514" i="3"/>
  <c r="AA3515" i="3"/>
  <c r="AA3516" i="3"/>
  <c r="AA3517" i="3"/>
  <c r="AA3518" i="3"/>
  <c r="AA3519" i="3"/>
  <c r="AA3520" i="3"/>
  <c r="AA3521" i="3"/>
  <c r="AB3511" i="3"/>
  <c r="O3511" i="3" s="1"/>
  <c r="AB3512" i="3"/>
  <c r="O3512" i="3" s="1"/>
  <c r="AB3513" i="3"/>
  <c r="O3513" i="3" s="1"/>
  <c r="AB3514" i="3"/>
  <c r="O3514" i="3" s="1"/>
  <c r="AB3515" i="3"/>
  <c r="O3515" i="3" s="1"/>
  <c r="AB3516" i="3"/>
  <c r="O3516" i="3" s="1"/>
  <c r="AB3517" i="3"/>
  <c r="O3517" i="3" s="1"/>
  <c r="AB3518" i="3"/>
  <c r="O3518" i="3" s="1"/>
  <c r="AB3519" i="3"/>
  <c r="O3519" i="3" s="1"/>
  <c r="AB3520" i="3"/>
  <c r="O3520" i="3" s="1"/>
  <c r="AB3521" i="3"/>
  <c r="O3521" i="3" s="1"/>
  <c r="AC3511" i="3"/>
  <c r="N3511" i="3" s="1"/>
  <c r="AC3512" i="3"/>
  <c r="N3512" i="3" s="1"/>
  <c r="AC3513" i="3"/>
  <c r="N3513" i="3" s="1"/>
  <c r="AC3514" i="3"/>
  <c r="N3514" i="3" s="1"/>
  <c r="AC3515" i="3"/>
  <c r="N3515" i="3" s="1"/>
  <c r="AC3516" i="3"/>
  <c r="N3516" i="3" s="1"/>
  <c r="AC3517" i="3"/>
  <c r="N3517" i="3" s="1"/>
  <c r="AC3518" i="3"/>
  <c r="N3518" i="3" s="1"/>
  <c r="AC3519" i="3"/>
  <c r="N3519" i="3" s="1"/>
  <c r="AC3520" i="3"/>
  <c r="N3520" i="3" s="1"/>
  <c r="AC3521" i="3"/>
  <c r="N3521" i="3" s="1"/>
  <c r="AK3511" i="3"/>
  <c r="AK3512" i="3"/>
  <c r="AK3513" i="3"/>
  <c r="AK3514" i="3"/>
  <c r="AK3515" i="3"/>
  <c r="AK3516" i="3"/>
  <c r="AK3517" i="3"/>
  <c r="AK3518" i="3"/>
  <c r="AK3519" i="3"/>
  <c r="AK3520" i="3"/>
  <c r="AK3521" i="3"/>
  <c r="M198" i="10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P3486" i="3"/>
  <c r="P3487" i="3"/>
  <c r="P3488" i="3"/>
  <c r="P3489" i="3"/>
  <c r="P3490" i="3"/>
  <c r="P3491" i="3"/>
  <c r="P3492" i="3"/>
  <c r="P3493" i="3"/>
  <c r="P3494" i="3"/>
  <c r="P3495" i="3"/>
  <c r="P3496" i="3"/>
  <c r="P3497" i="3"/>
  <c r="P3498" i="3"/>
  <c r="P3499" i="3"/>
  <c r="P3500" i="3"/>
  <c r="P3501" i="3"/>
  <c r="P3502" i="3"/>
  <c r="P3503" i="3"/>
  <c r="P3504" i="3"/>
  <c r="P3505" i="3"/>
  <c r="P3506" i="3"/>
  <c r="P3507" i="3"/>
  <c r="P3508" i="3"/>
  <c r="P3509" i="3"/>
  <c r="P3510" i="3"/>
  <c r="Q3486" i="3"/>
  <c r="Q3487" i="3"/>
  <c r="Q3488" i="3"/>
  <c r="Q3489" i="3"/>
  <c r="Q3490" i="3"/>
  <c r="Q3491" i="3"/>
  <c r="Q3492" i="3"/>
  <c r="Q3493" i="3"/>
  <c r="Q3494" i="3"/>
  <c r="Q3495" i="3"/>
  <c r="Q3496" i="3"/>
  <c r="Q3497" i="3"/>
  <c r="Q3498" i="3"/>
  <c r="Q3499" i="3"/>
  <c r="Q3500" i="3"/>
  <c r="Q3501" i="3"/>
  <c r="Q3502" i="3"/>
  <c r="Q3503" i="3"/>
  <c r="Q3504" i="3"/>
  <c r="Q3505" i="3"/>
  <c r="Q3506" i="3"/>
  <c r="Q3507" i="3"/>
  <c r="Q3508" i="3"/>
  <c r="Q3509" i="3"/>
  <c r="Q3510" i="3"/>
  <c r="R3486" i="3"/>
  <c r="R3487" i="3"/>
  <c r="R3488" i="3"/>
  <c r="R3489" i="3"/>
  <c r="R3490" i="3"/>
  <c r="R3491" i="3"/>
  <c r="R3492" i="3"/>
  <c r="R3493" i="3"/>
  <c r="R3494" i="3"/>
  <c r="R3495" i="3"/>
  <c r="R3496" i="3"/>
  <c r="R3497" i="3"/>
  <c r="R3498" i="3"/>
  <c r="R3499" i="3"/>
  <c r="R3500" i="3"/>
  <c r="R3501" i="3"/>
  <c r="R3502" i="3"/>
  <c r="R3503" i="3"/>
  <c r="R3504" i="3"/>
  <c r="R3505" i="3"/>
  <c r="R3506" i="3"/>
  <c r="R3507" i="3"/>
  <c r="R3508" i="3"/>
  <c r="R3509" i="3"/>
  <c r="R3510" i="3"/>
  <c r="S3487" i="3"/>
  <c r="S3488" i="3"/>
  <c r="S3489" i="3"/>
  <c r="S3490" i="3"/>
  <c r="S3491" i="3"/>
  <c r="S3492" i="3"/>
  <c r="S3493" i="3"/>
  <c r="S3494" i="3"/>
  <c r="S3495" i="3"/>
  <c r="S3496" i="3"/>
  <c r="S3497" i="3"/>
  <c r="S3498" i="3"/>
  <c r="S3499" i="3"/>
  <c r="S3501" i="3"/>
  <c r="S3502" i="3"/>
  <c r="S3503" i="3"/>
  <c r="S3504" i="3"/>
  <c r="S3505" i="3"/>
  <c r="S3506" i="3"/>
  <c r="S3507" i="3"/>
  <c r="S3508" i="3"/>
  <c r="S3509" i="3"/>
  <c r="S3510" i="3"/>
  <c r="T3486" i="3"/>
  <c r="T3500" i="3"/>
  <c r="U3486" i="3"/>
  <c r="U3500" i="3"/>
  <c r="V3486" i="3"/>
  <c r="V3500" i="3"/>
  <c r="W3486" i="3"/>
  <c r="W3500" i="3"/>
  <c r="X3486" i="3"/>
  <c r="X3500" i="3"/>
  <c r="AA3486" i="3"/>
  <c r="AA3487" i="3"/>
  <c r="AA3488" i="3"/>
  <c r="AA3489" i="3"/>
  <c r="AA3490" i="3"/>
  <c r="AA3491" i="3"/>
  <c r="AA3492" i="3"/>
  <c r="AA3493" i="3"/>
  <c r="AA3494" i="3"/>
  <c r="AA3495" i="3"/>
  <c r="AA3496" i="3"/>
  <c r="AA3497" i="3"/>
  <c r="AA3498" i="3"/>
  <c r="AA3499" i="3"/>
  <c r="AA3500" i="3"/>
  <c r="AA3501" i="3"/>
  <c r="AA3502" i="3"/>
  <c r="AA3503" i="3"/>
  <c r="AA3504" i="3"/>
  <c r="AA3505" i="3"/>
  <c r="AA3506" i="3"/>
  <c r="AA3507" i="3"/>
  <c r="AA3508" i="3"/>
  <c r="AA3509" i="3"/>
  <c r="AA3510" i="3"/>
  <c r="AB3486" i="3"/>
  <c r="O3486" i="3" s="1"/>
  <c r="Y3486" i="3" s="1"/>
  <c r="AB3487" i="3"/>
  <c r="O3487" i="3" s="1"/>
  <c r="AB3488" i="3"/>
  <c r="O3488" i="3" s="1"/>
  <c r="AB3489" i="3"/>
  <c r="O3489" i="3" s="1"/>
  <c r="AB3490" i="3"/>
  <c r="O3490" i="3" s="1"/>
  <c r="AB3491" i="3"/>
  <c r="O3491" i="3" s="1"/>
  <c r="AB3492" i="3"/>
  <c r="O3492" i="3" s="1"/>
  <c r="AB3493" i="3"/>
  <c r="O3493" i="3" s="1"/>
  <c r="AB3494" i="3"/>
  <c r="O3494" i="3" s="1"/>
  <c r="AB3495" i="3"/>
  <c r="O3495" i="3" s="1"/>
  <c r="AB3496" i="3"/>
  <c r="O3496" i="3" s="1"/>
  <c r="AB3497" i="3"/>
  <c r="O3497" i="3" s="1"/>
  <c r="AB3498" i="3"/>
  <c r="O3498" i="3" s="1"/>
  <c r="AB3499" i="3"/>
  <c r="O3499" i="3" s="1"/>
  <c r="AB3500" i="3"/>
  <c r="O3500" i="3" s="1"/>
  <c r="Y3500" i="3" s="1"/>
  <c r="AB3501" i="3"/>
  <c r="O3501" i="3" s="1"/>
  <c r="AB3502" i="3"/>
  <c r="O3502" i="3" s="1"/>
  <c r="AB3503" i="3"/>
  <c r="O3503" i="3" s="1"/>
  <c r="AB3504" i="3"/>
  <c r="O3504" i="3" s="1"/>
  <c r="AB3505" i="3"/>
  <c r="O3505" i="3" s="1"/>
  <c r="AB3506" i="3"/>
  <c r="O3506" i="3" s="1"/>
  <c r="AB3507" i="3"/>
  <c r="O3507" i="3" s="1"/>
  <c r="AB3508" i="3"/>
  <c r="O3508" i="3" s="1"/>
  <c r="AB3509" i="3"/>
  <c r="O3509" i="3" s="1"/>
  <c r="AB3510" i="3"/>
  <c r="O3510" i="3" s="1"/>
  <c r="AC3486" i="3"/>
  <c r="N3486" i="3" s="1"/>
  <c r="AC3487" i="3"/>
  <c r="N3487" i="3" s="1"/>
  <c r="AC3488" i="3"/>
  <c r="N3488" i="3" s="1"/>
  <c r="AC3489" i="3"/>
  <c r="N3489" i="3" s="1"/>
  <c r="AC3490" i="3"/>
  <c r="N3490" i="3" s="1"/>
  <c r="AC3491" i="3"/>
  <c r="N3491" i="3" s="1"/>
  <c r="AC3492" i="3"/>
  <c r="N3492" i="3" s="1"/>
  <c r="AC3493" i="3"/>
  <c r="N3493" i="3" s="1"/>
  <c r="AC3494" i="3"/>
  <c r="N3494" i="3" s="1"/>
  <c r="AC3495" i="3"/>
  <c r="N3495" i="3" s="1"/>
  <c r="AC3496" i="3"/>
  <c r="N3496" i="3" s="1"/>
  <c r="AC3497" i="3"/>
  <c r="N3497" i="3" s="1"/>
  <c r="AC3498" i="3"/>
  <c r="N3498" i="3" s="1"/>
  <c r="AC3499" i="3"/>
  <c r="N3499" i="3" s="1"/>
  <c r="AC3500" i="3"/>
  <c r="N3500" i="3" s="1"/>
  <c r="AC3501" i="3"/>
  <c r="N3501" i="3" s="1"/>
  <c r="AC3502" i="3"/>
  <c r="N3502" i="3" s="1"/>
  <c r="AC3503" i="3"/>
  <c r="N3503" i="3" s="1"/>
  <c r="AC3504" i="3"/>
  <c r="N3504" i="3" s="1"/>
  <c r="AC3505" i="3"/>
  <c r="N3505" i="3" s="1"/>
  <c r="AC3506" i="3"/>
  <c r="N3506" i="3" s="1"/>
  <c r="AC3507" i="3"/>
  <c r="N3507" i="3" s="1"/>
  <c r="AC3508" i="3"/>
  <c r="N3508" i="3" s="1"/>
  <c r="AC3509" i="3"/>
  <c r="N3509" i="3" s="1"/>
  <c r="AC3510" i="3"/>
  <c r="N3510" i="3" s="1"/>
  <c r="AK3486" i="3"/>
  <c r="AK3487" i="3"/>
  <c r="AK3488" i="3"/>
  <c r="AK3489" i="3"/>
  <c r="AK3490" i="3"/>
  <c r="AK3491" i="3"/>
  <c r="AK3492" i="3"/>
  <c r="AK3493" i="3"/>
  <c r="AK3494" i="3"/>
  <c r="AK3495" i="3"/>
  <c r="AK3496" i="3"/>
  <c r="AK3497" i="3"/>
  <c r="AK3498" i="3"/>
  <c r="AK3499" i="3"/>
  <c r="AK3500" i="3"/>
  <c r="AK3501" i="3"/>
  <c r="AK3502" i="3"/>
  <c r="AK3503" i="3"/>
  <c r="AK3504" i="3"/>
  <c r="AK3505" i="3"/>
  <c r="AK3506" i="3"/>
  <c r="AK3507" i="3"/>
  <c r="AK3508" i="3"/>
  <c r="AK3509" i="3"/>
  <c r="AK3510" i="3"/>
  <c r="M197" i="10"/>
  <c r="M3462" i="3"/>
  <c r="M3463" i="3"/>
  <c r="M3464" i="3"/>
  <c r="M3465" i="3"/>
  <c r="M3466" i="3"/>
  <c r="M3467" i="3"/>
  <c r="M3468" i="3"/>
  <c r="M3469" i="3"/>
  <c r="M3470" i="3"/>
  <c r="M3471" i="3"/>
  <c r="M3472" i="3"/>
  <c r="M3473" i="3"/>
  <c r="M3474" i="3"/>
  <c r="M3475" i="3"/>
  <c r="M3476" i="3"/>
  <c r="M3477" i="3"/>
  <c r="M3478" i="3"/>
  <c r="M3479" i="3"/>
  <c r="M3480" i="3"/>
  <c r="M3481" i="3"/>
  <c r="M3482" i="3"/>
  <c r="M3483" i="3"/>
  <c r="M3484" i="3"/>
  <c r="M3485" i="3"/>
  <c r="P3462" i="3"/>
  <c r="P3463" i="3"/>
  <c r="P3464" i="3"/>
  <c r="P3465" i="3"/>
  <c r="P3466" i="3"/>
  <c r="P3467" i="3"/>
  <c r="P3468" i="3"/>
  <c r="P3469" i="3"/>
  <c r="P3470" i="3"/>
  <c r="P3471" i="3"/>
  <c r="P3472" i="3"/>
  <c r="P3473" i="3"/>
  <c r="P3474" i="3"/>
  <c r="P3475" i="3"/>
  <c r="P3476" i="3"/>
  <c r="P3477" i="3"/>
  <c r="P3478" i="3"/>
  <c r="P3479" i="3"/>
  <c r="P3480" i="3"/>
  <c r="P3481" i="3"/>
  <c r="P3482" i="3"/>
  <c r="P3483" i="3"/>
  <c r="P3484" i="3"/>
  <c r="P3485" i="3"/>
  <c r="Q3462" i="3"/>
  <c r="Q3463" i="3"/>
  <c r="Q3464" i="3"/>
  <c r="Q3465" i="3"/>
  <c r="Q3466" i="3"/>
  <c r="Q3467" i="3"/>
  <c r="Q3468" i="3"/>
  <c r="Q3469" i="3"/>
  <c r="Q3470" i="3"/>
  <c r="Q3471" i="3"/>
  <c r="Q3472" i="3"/>
  <c r="Q3473" i="3"/>
  <c r="Q3474" i="3"/>
  <c r="Q3475" i="3"/>
  <c r="Q3476" i="3"/>
  <c r="Q3477" i="3"/>
  <c r="Q3478" i="3"/>
  <c r="Q3479" i="3"/>
  <c r="Q3480" i="3"/>
  <c r="Q3481" i="3"/>
  <c r="Q3482" i="3"/>
  <c r="Q3483" i="3"/>
  <c r="Q3484" i="3"/>
  <c r="Q3485" i="3"/>
  <c r="R3462" i="3"/>
  <c r="R3463" i="3"/>
  <c r="R3464" i="3"/>
  <c r="R3465" i="3"/>
  <c r="R3466" i="3"/>
  <c r="R3467" i="3"/>
  <c r="R3468" i="3"/>
  <c r="R3469" i="3"/>
  <c r="R3470" i="3"/>
  <c r="R3471" i="3"/>
  <c r="R3472" i="3"/>
  <c r="R3473" i="3"/>
  <c r="R3474" i="3"/>
  <c r="R3475" i="3"/>
  <c r="R3476" i="3"/>
  <c r="R3477" i="3"/>
  <c r="R3478" i="3"/>
  <c r="R3479" i="3"/>
  <c r="R3480" i="3"/>
  <c r="R3481" i="3"/>
  <c r="R3482" i="3"/>
  <c r="R3483" i="3"/>
  <c r="R3484" i="3"/>
  <c r="R3485" i="3"/>
  <c r="S3463" i="3"/>
  <c r="S3464" i="3"/>
  <c r="S3465" i="3"/>
  <c r="S3466" i="3"/>
  <c r="S3467" i="3"/>
  <c r="S3468" i="3"/>
  <c r="S3469" i="3"/>
  <c r="S3470" i="3"/>
  <c r="S3471" i="3"/>
  <c r="S3472" i="3"/>
  <c r="S3473" i="3"/>
  <c r="S3474" i="3"/>
  <c r="S3476" i="3"/>
  <c r="S3477" i="3"/>
  <c r="S3478" i="3"/>
  <c r="S3479" i="3"/>
  <c r="S3480" i="3"/>
  <c r="S3481" i="3"/>
  <c r="S3482" i="3"/>
  <c r="S3483" i="3"/>
  <c r="S3484" i="3"/>
  <c r="S3485" i="3"/>
  <c r="T3462" i="3"/>
  <c r="T3475" i="3"/>
  <c r="U3462" i="3"/>
  <c r="U3475" i="3"/>
  <c r="V3462" i="3"/>
  <c r="V3475" i="3"/>
  <c r="W3462" i="3"/>
  <c r="W3475" i="3"/>
  <c r="X3462" i="3"/>
  <c r="X3475" i="3"/>
  <c r="AA3462" i="3"/>
  <c r="AA3463" i="3"/>
  <c r="AA3464" i="3"/>
  <c r="AA3465" i="3"/>
  <c r="AA3466" i="3"/>
  <c r="AA3467" i="3"/>
  <c r="AA3468" i="3"/>
  <c r="AA3469" i="3"/>
  <c r="AA3470" i="3"/>
  <c r="AA3471" i="3"/>
  <c r="AA3472" i="3"/>
  <c r="AA3473" i="3"/>
  <c r="AA3474" i="3"/>
  <c r="AA3475" i="3"/>
  <c r="AA3476" i="3"/>
  <c r="AA3477" i="3"/>
  <c r="AA3478" i="3"/>
  <c r="AA3479" i="3"/>
  <c r="AA3480" i="3"/>
  <c r="AA3481" i="3"/>
  <c r="AA3482" i="3"/>
  <c r="AA3483" i="3"/>
  <c r="AA3484" i="3"/>
  <c r="AA3485" i="3"/>
  <c r="AB3462" i="3"/>
  <c r="O3462" i="3" s="1"/>
  <c r="Y3462" i="3" s="1"/>
  <c r="AB3463" i="3"/>
  <c r="O3463" i="3" s="1"/>
  <c r="AB3464" i="3"/>
  <c r="O3464" i="3" s="1"/>
  <c r="AB3465" i="3"/>
  <c r="O3465" i="3" s="1"/>
  <c r="AB3466" i="3"/>
  <c r="O3466" i="3" s="1"/>
  <c r="AB3467" i="3"/>
  <c r="O3467" i="3" s="1"/>
  <c r="AB3468" i="3"/>
  <c r="O3468" i="3" s="1"/>
  <c r="AB3469" i="3"/>
  <c r="O3469" i="3" s="1"/>
  <c r="AB3470" i="3"/>
  <c r="O3470" i="3" s="1"/>
  <c r="AB3471" i="3"/>
  <c r="O3471" i="3" s="1"/>
  <c r="AB3472" i="3"/>
  <c r="O3472" i="3" s="1"/>
  <c r="AB3473" i="3"/>
  <c r="O3473" i="3" s="1"/>
  <c r="AB3474" i="3"/>
  <c r="O3474" i="3" s="1"/>
  <c r="AB3475" i="3"/>
  <c r="O3475" i="3" s="1"/>
  <c r="Y3475" i="3" s="1"/>
  <c r="AB3476" i="3"/>
  <c r="O3476" i="3" s="1"/>
  <c r="AB3477" i="3"/>
  <c r="O3477" i="3" s="1"/>
  <c r="AB3478" i="3"/>
  <c r="O3478" i="3" s="1"/>
  <c r="AB3479" i="3"/>
  <c r="O3479" i="3" s="1"/>
  <c r="AB3480" i="3"/>
  <c r="O3480" i="3" s="1"/>
  <c r="AB3481" i="3"/>
  <c r="O3481" i="3" s="1"/>
  <c r="AB3482" i="3"/>
  <c r="O3482" i="3" s="1"/>
  <c r="AB3483" i="3"/>
  <c r="O3483" i="3" s="1"/>
  <c r="AB3484" i="3"/>
  <c r="O3484" i="3" s="1"/>
  <c r="AB3485" i="3"/>
  <c r="O3485" i="3" s="1"/>
  <c r="AC3462" i="3"/>
  <c r="N3462" i="3" s="1"/>
  <c r="S3462" i="3" s="1"/>
  <c r="AC3463" i="3"/>
  <c r="N3463" i="3" s="1"/>
  <c r="AC3464" i="3"/>
  <c r="N3464" i="3" s="1"/>
  <c r="AC3465" i="3"/>
  <c r="N3465" i="3" s="1"/>
  <c r="AC3466" i="3"/>
  <c r="N3466" i="3" s="1"/>
  <c r="AC3467" i="3"/>
  <c r="N3467" i="3" s="1"/>
  <c r="AC3468" i="3"/>
  <c r="N3468" i="3" s="1"/>
  <c r="AC3469" i="3"/>
  <c r="N3469" i="3" s="1"/>
  <c r="AC3470" i="3"/>
  <c r="N3470" i="3" s="1"/>
  <c r="AC3471" i="3"/>
  <c r="N3471" i="3" s="1"/>
  <c r="AC3472" i="3"/>
  <c r="N3472" i="3" s="1"/>
  <c r="AC3473" i="3"/>
  <c r="N3473" i="3" s="1"/>
  <c r="AC3474" i="3"/>
  <c r="N3474" i="3" s="1"/>
  <c r="AC3475" i="3"/>
  <c r="N3475" i="3" s="1"/>
  <c r="S3475" i="3" s="1"/>
  <c r="AC3476" i="3"/>
  <c r="N3476" i="3" s="1"/>
  <c r="AC3477" i="3"/>
  <c r="N3477" i="3" s="1"/>
  <c r="AC3478" i="3"/>
  <c r="N3478" i="3" s="1"/>
  <c r="AC3479" i="3"/>
  <c r="N3479" i="3" s="1"/>
  <c r="AC3480" i="3"/>
  <c r="N3480" i="3" s="1"/>
  <c r="AC3481" i="3"/>
  <c r="N3481" i="3" s="1"/>
  <c r="AC3482" i="3"/>
  <c r="N3482" i="3" s="1"/>
  <c r="AC3483" i="3"/>
  <c r="N3483" i="3" s="1"/>
  <c r="AC3484" i="3"/>
  <c r="N3484" i="3" s="1"/>
  <c r="AC3485" i="3"/>
  <c r="N3485" i="3" s="1"/>
  <c r="AK3462" i="3"/>
  <c r="AK3463" i="3"/>
  <c r="AK3464" i="3"/>
  <c r="AK3465" i="3"/>
  <c r="AK3466" i="3"/>
  <c r="AK3467" i="3"/>
  <c r="AK3468" i="3"/>
  <c r="AK3469" i="3"/>
  <c r="AK3470" i="3"/>
  <c r="AK3471" i="3"/>
  <c r="AK3472" i="3"/>
  <c r="AK3473" i="3"/>
  <c r="AK3474" i="3"/>
  <c r="AK3475" i="3"/>
  <c r="AK3476" i="3"/>
  <c r="AK3477" i="3"/>
  <c r="AK3478" i="3"/>
  <c r="AK3479" i="3"/>
  <c r="AK3480" i="3"/>
  <c r="AK3481" i="3"/>
  <c r="AK3482" i="3"/>
  <c r="AK3483" i="3"/>
  <c r="AK3484" i="3"/>
  <c r="AK3485" i="3"/>
  <c r="M196" i="10"/>
  <c r="M3440" i="3"/>
  <c r="M3441" i="3"/>
  <c r="M3442" i="3"/>
  <c r="M3443" i="3"/>
  <c r="M3444" i="3"/>
  <c r="M3445" i="3"/>
  <c r="M3446" i="3"/>
  <c r="M3447" i="3"/>
  <c r="M3448" i="3"/>
  <c r="M3449" i="3"/>
  <c r="M3450" i="3"/>
  <c r="M3451" i="3"/>
  <c r="M3452" i="3"/>
  <c r="M3453" i="3"/>
  <c r="M3454" i="3"/>
  <c r="M3455" i="3"/>
  <c r="M3456" i="3"/>
  <c r="M3457" i="3"/>
  <c r="M3458" i="3"/>
  <c r="M3459" i="3"/>
  <c r="M3460" i="3"/>
  <c r="M3461" i="3"/>
  <c r="P3440" i="3"/>
  <c r="P3441" i="3"/>
  <c r="P3442" i="3"/>
  <c r="P3443" i="3"/>
  <c r="P3444" i="3"/>
  <c r="P3445" i="3"/>
  <c r="P3446" i="3"/>
  <c r="P3447" i="3"/>
  <c r="P3448" i="3"/>
  <c r="P3449" i="3"/>
  <c r="P3450" i="3"/>
  <c r="P3451" i="3"/>
  <c r="P3452" i="3"/>
  <c r="P3453" i="3"/>
  <c r="P3454" i="3"/>
  <c r="P3455" i="3"/>
  <c r="P3456" i="3"/>
  <c r="P3457" i="3"/>
  <c r="P3458" i="3"/>
  <c r="P3459" i="3"/>
  <c r="P3460" i="3"/>
  <c r="P3461" i="3"/>
  <c r="Q3440" i="3"/>
  <c r="Q3441" i="3"/>
  <c r="Q3442" i="3"/>
  <c r="Q3443" i="3"/>
  <c r="Q3444" i="3"/>
  <c r="Q3445" i="3"/>
  <c r="Q3446" i="3"/>
  <c r="Q3447" i="3"/>
  <c r="Q3448" i="3"/>
  <c r="Q3449" i="3"/>
  <c r="Q3450" i="3"/>
  <c r="Q3451" i="3"/>
  <c r="Q3452" i="3"/>
  <c r="Q3453" i="3"/>
  <c r="Q3454" i="3"/>
  <c r="Q3455" i="3"/>
  <c r="Q3456" i="3"/>
  <c r="Q3457" i="3"/>
  <c r="Q3458" i="3"/>
  <c r="Q3459" i="3"/>
  <c r="Q3460" i="3"/>
  <c r="Q3461" i="3"/>
  <c r="R3440" i="3"/>
  <c r="R3441" i="3"/>
  <c r="R3442" i="3"/>
  <c r="R3443" i="3"/>
  <c r="R3444" i="3"/>
  <c r="R3445" i="3"/>
  <c r="R3446" i="3"/>
  <c r="R3447" i="3"/>
  <c r="R3448" i="3"/>
  <c r="R3449" i="3"/>
  <c r="R3450" i="3"/>
  <c r="R3451" i="3"/>
  <c r="R3452" i="3"/>
  <c r="R3453" i="3"/>
  <c r="R3454" i="3"/>
  <c r="R3455" i="3"/>
  <c r="R3456" i="3"/>
  <c r="R3457" i="3"/>
  <c r="R3458" i="3"/>
  <c r="R3459" i="3"/>
  <c r="R3460" i="3"/>
  <c r="R3461" i="3"/>
  <c r="S3441" i="3"/>
  <c r="S3442" i="3"/>
  <c r="S3443" i="3"/>
  <c r="S3444" i="3"/>
  <c r="S3445" i="3"/>
  <c r="S3446" i="3"/>
  <c r="S3447" i="3"/>
  <c r="S3448" i="3"/>
  <c r="S3449" i="3"/>
  <c r="S3450" i="3"/>
  <c r="S3452" i="3"/>
  <c r="S3453" i="3"/>
  <c r="S3454" i="3"/>
  <c r="S3455" i="3"/>
  <c r="S3456" i="3"/>
  <c r="S3457" i="3"/>
  <c r="S3458" i="3"/>
  <c r="S3459" i="3"/>
  <c r="S3460" i="3"/>
  <c r="S3461" i="3"/>
  <c r="T3440" i="3"/>
  <c r="T3451" i="3"/>
  <c r="U3440" i="3"/>
  <c r="U3451" i="3"/>
  <c r="V3440" i="3"/>
  <c r="V3451" i="3"/>
  <c r="W3440" i="3"/>
  <c r="W3451" i="3"/>
  <c r="X3440" i="3"/>
  <c r="X3451" i="3"/>
  <c r="AA3440" i="3"/>
  <c r="AA3441" i="3"/>
  <c r="AA3442" i="3"/>
  <c r="AA3443" i="3"/>
  <c r="AA3444" i="3"/>
  <c r="AA3445" i="3"/>
  <c r="AA3446" i="3"/>
  <c r="AA3447" i="3"/>
  <c r="AA3448" i="3"/>
  <c r="AA3449" i="3"/>
  <c r="AA3450" i="3"/>
  <c r="AA3451" i="3"/>
  <c r="AA3452" i="3"/>
  <c r="AA3453" i="3"/>
  <c r="AA3454" i="3"/>
  <c r="AA3455" i="3"/>
  <c r="AA3456" i="3"/>
  <c r="AA3457" i="3"/>
  <c r="AA3458" i="3"/>
  <c r="AA3459" i="3"/>
  <c r="AA3460" i="3"/>
  <c r="AA3461" i="3"/>
  <c r="AB3440" i="3"/>
  <c r="O3440" i="3" s="1"/>
  <c r="Y3440" i="3" s="1"/>
  <c r="AB3441" i="3"/>
  <c r="O3441" i="3" s="1"/>
  <c r="AB3442" i="3"/>
  <c r="O3442" i="3" s="1"/>
  <c r="AB3443" i="3"/>
  <c r="O3443" i="3" s="1"/>
  <c r="AB3444" i="3"/>
  <c r="O3444" i="3" s="1"/>
  <c r="AB3445" i="3"/>
  <c r="O3445" i="3" s="1"/>
  <c r="AB3446" i="3"/>
  <c r="O3446" i="3" s="1"/>
  <c r="AB3447" i="3"/>
  <c r="O3447" i="3" s="1"/>
  <c r="AB3448" i="3"/>
  <c r="O3448" i="3" s="1"/>
  <c r="AB3449" i="3"/>
  <c r="O3449" i="3" s="1"/>
  <c r="AB3450" i="3"/>
  <c r="O3450" i="3" s="1"/>
  <c r="AB3451" i="3"/>
  <c r="O3451" i="3" s="1"/>
  <c r="Y3451" i="3" s="1"/>
  <c r="AB3452" i="3"/>
  <c r="O3452" i="3" s="1"/>
  <c r="AB3453" i="3"/>
  <c r="O3453" i="3" s="1"/>
  <c r="AB3454" i="3"/>
  <c r="O3454" i="3" s="1"/>
  <c r="AB3455" i="3"/>
  <c r="O3455" i="3" s="1"/>
  <c r="AB3456" i="3"/>
  <c r="O3456" i="3" s="1"/>
  <c r="AB3457" i="3"/>
  <c r="O3457" i="3" s="1"/>
  <c r="AB3458" i="3"/>
  <c r="O3458" i="3" s="1"/>
  <c r="AB3459" i="3"/>
  <c r="O3459" i="3" s="1"/>
  <c r="AB3460" i="3"/>
  <c r="O3460" i="3" s="1"/>
  <c r="AB3461" i="3"/>
  <c r="O3461" i="3" s="1"/>
  <c r="AC3440" i="3"/>
  <c r="N3440" i="3" s="1"/>
  <c r="AC3441" i="3"/>
  <c r="N3441" i="3" s="1"/>
  <c r="AC3442" i="3"/>
  <c r="N3442" i="3" s="1"/>
  <c r="AC3443" i="3"/>
  <c r="N3443" i="3" s="1"/>
  <c r="AC3444" i="3"/>
  <c r="N3444" i="3" s="1"/>
  <c r="AC3445" i="3"/>
  <c r="N3445" i="3" s="1"/>
  <c r="AC3446" i="3"/>
  <c r="N3446" i="3" s="1"/>
  <c r="AC3447" i="3"/>
  <c r="N3447" i="3" s="1"/>
  <c r="AC3448" i="3"/>
  <c r="N3448" i="3" s="1"/>
  <c r="AC3449" i="3"/>
  <c r="N3449" i="3" s="1"/>
  <c r="AC3450" i="3"/>
  <c r="N3450" i="3" s="1"/>
  <c r="AC3451" i="3"/>
  <c r="N3451" i="3" s="1"/>
  <c r="S3451" i="3" s="1"/>
  <c r="Z3451" i="3" s="1"/>
  <c r="AC3452" i="3"/>
  <c r="N3452" i="3" s="1"/>
  <c r="AC3453" i="3"/>
  <c r="N3453" i="3" s="1"/>
  <c r="AC3454" i="3"/>
  <c r="N3454" i="3" s="1"/>
  <c r="AC3455" i="3"/>
  <c r="N3455" i="3" s="1"/>
  <c r="AC3456" i="3"/>
  <c r="N3456" i="3" s="1"/>
  <c r="AC3457" i="3"/>
  <c r="N3457" i="3" s="1"/>
  <c r="AC3458" i="3"/>
  <c r="N3458" i="3" s="1"/>
  <c r="AC3459" i="3"/>
  <c r="N3459" i="3" s="1"/>
  <c r="AC3460" i="3"/>
  <c r="N3460" i="3" s="1"/>
  <c r="AC3461" i="3"/>
  <c r="N3461" i="3" s="1"/>
  <c r="AK3440" i="3"/>
  <c r="AK3441" i="3"/>
  <c r="AK3442" i="3"/>
  <c r="AK3443" i="3"/>
  <c r="AK3444" i="3"/>
  <c r="AK3445" i="3"/>
  <c r="AK3446" i="3"/>
  <c r="AK3447" i="3"/>
  <c r="AK3448" i="3"/>
  <c r="AK3449" i="3"/>
  <c r="AK3450" i="3"/>
  <c r="AK3451" i="3"/>
  <c r="AK3452" i="3"/>
  <c r="AK3453" i="3"/>
  <c r="AK3454" i="3"/>
  <c r="AK3455" i="3"/>
  <c r="AK3456" i="3"/>
  <c r="AK3457" i="3"/>
  <c r="AK3458" i="3"/>
  <c r="AK3459" i="3"/>
  <c r="AK3460" i="3"/>
  <c r="AK3461" i="3"/>
  <c r="M195" i="10"/>
  <c r="M3429" i="3"/>
  <c r="M3430" i="3"/>
  <c r="M3431" i="3"/>
  <c r="M3432" i="3"/>
  <c r="M3433" i="3"/>
  <c r="M3434" i="3"/>
  <c r="M3435" i="3"/>
  <c r="M3436" i="3"/>
  <c r="M3437" i="3"/>
  <c r="M3438" i="3"/>
  <c r="M3439" i="3"/>
  <c r="P3429" i="3"/>
  <c r="P3430" i="3"/>
  <c r="P3431" i="3"/>
  <c r="P3432" i="3"/>
  <c r="P3433" i="3"/>
  <c r="P3434" i="3"/>
  <c r="P3435" i="3"/>
  <c r="P3436" i="3"/>
  <c r="P3437" i="3"/>
  <c r="P3438" i="3"/>
  <c r="P3439" i="3"/>
  <c r="Q3429" i="3"/>
  <c r="Q3430" i="3"/>
  <c r="Q3431" i="3"/>
  <c r="Q3432" i="3"/>
  <c r="Q3433" i="3"/>
  <c r="Q3434" i="3"/>
  <c r="Q3435" i="3"/>
  <c r="Q3436" i="3"/>
  <c r="Q3437" i="3"/>
  <c r="Q3438" i="3"/>
  <c r="Q3439" i="3"/>
  <c r="R3429" i="3"/>
  <c r="R3430" i="3"/>
  <c r="R3431" i="3"/>
  <c r="R3432" i="3"/>
  <c r="R3433" i="3"/>
  <c r="R3434" i="3"/>
  <c r="R3435" i="3"/>
  <c r="R3436" i="3"/>
  <c r="R3437" i="3"/>
  <c r="R3438" i="3"/>
  <c r="R3439" i="3"/>
  <c r="S3430" i="3"/>
  <c r="S3431" i="3"/>
  <c r="S3432" i="3"/>
  <c r="S3433" i="3"/>
  <c r="S3434" i="3"/>
  <c r="S3435" i="3"/>
  <c r="S3436" i="3"/>
  <c r="S3437" i="3"/>
  <c r="S3438" i="3"/>
  <c r="S3439" i="3"/>
  <c r="T3429" i="3"/>
  <c r="U3429" i="3"/>
  <c r="V3429" i="3"/>
  <c r="W3429" i="3"/>
  <c r="X3429" i="3"/>
  <c r="AA3429" i="3"/>
  <c r="AA3430" i="3"/>
  <c r="AA3431" i="3"/>
  <c r="AA3432" i="3"/>
  <c r="AA3433" i="3"/>
  <c r="AA3434" i="3"/>
  <c r="AA3435" i="3"/>
  <c r="AA3436" i="3"/>
  <c r="AA3437" i="3"/>
  <c r="AA3438" i="3"/>
  <c r="AA3439" i="3"/>
  <c r="AB3429" i="3"/>
  <c r="O3429" i="3" s="1"/>
  <c r="Y3429" i="3" s="1"/>
  <c r="AB3430" i="3"/>
  <c r="O3430" i="3" s="1"/>
  <c r="AB3431" i="3"/>
  <c r="O3431" i="3" s="1"/>
  <c r="AB3432" i="3"/>
  <c r="O3432" i="3" s="1"/>
  <c r="AB3433" i="3"/>
  <c r="O3433" i="3" s="1"/>
  <c r="AB3434" i="3"/>
  <c r="O3434" i="3" s="1"/>
  <c r="AB3435" i="3"/>
  <c r="O3435" i="3" s="1"/>
  <c r="AB3436" i="3"/>
  <c r="O3436" i="3" s="1"/>
  <c r="AB3437" i="3"/>
  <c r="O3437" i="3" s="1"/>
  <c r="AB3438" i="3"/>
  <c r="O3438" i="3" s="1"/>
  <c r="AB3439" i="3"/>
  <c r="O3439" i="3" s="1"/>
  <c r="AC3429" i="3"/>
  <c r="N3429" i="3" s="1"/>
  <c r="AC3430" i="3"/>
  <c r="N3430" i="3" s="1"/>
  <c r="AC3431" i="3"/>
  <c r="N3431" i="3" s="1"/>
  <c r="AC3432" i="3"/>
  <c r="N3432" i="3" s="1"/>
  <c r="AC3433" i="3"/>
  <c r="N3433" i="3" s="1"/>
  <c r="AC3434" i="3"/>
  <c r="N3434" i="3" s="1"/>
  <c r="AC3435" i="3"/>
  <c r="N3435" i="3" s="1"/>
  <c r="AC3436" i="3"/>
  <c r="N3436" i="3" s="1"/>
  <c r="AC3437" i="3"/>
  <c r="N3437" i="3" s="1"/>
  <c r="AC3438" i="3"/>
  <c r="N3438" i="3" s="1"/>
  <c r="AC3439" i="3"/>
  <c r="N3439" i="3" s="1"/>
  <c r="AK3429" i="3"/>
  <c r="AK3430" i="3"/>
  <c r="AK3431" i="3"/>
  <c r="AK3432" i="3"/>
  <c r="AK3433" i="3"/>
  <c r="AK3434" i="3"/>
  <c r="AK3435" i="3"/>
  <c r="AK3436" i="3"/>
  <c r="AK3437" i="3"/>
  <c r="AK3438" i="3"/>
  <c r="AK3439" i="3"/>
  <c r="M194" i="10"/>
  <c r="M3418" i="3"/>
  <c r="M3419" i="3"/>
  <c r="M3420" i="3"/>
  <c r="M3421" i="3"/>
  <c r="M3422" i="3"/>
  <c r="M3423" i="3"/>
  <c r="M3424" i="3"/>
  <c r="M3425" i="3"/>
  <c r="M3426" i="3"/>
  <c r="M3427" i="3"/>
  <c r="M3428" i="3"/>
  <c r="P3418" i="3"/>
  <c r="P3419" i="3"/>
  <c r="P3420" i="3"/>
  <c r="P3421" i="3"/>
  <c r="P3422" i="3"/>
  <c r="P3423" i="3"/>
  <c r="P3424" i="3"/>
  <c r="P3425" i="3"/>
  <c r="P3426" i="3"/>
  <c r="P3427" i="3"/>
  <c r="P3428" i="3"/>
  <c r="Q3418" i="3"/>
  <c r="Q3419" i="3"/>
  <c r="Q3420" i="3"/>
  <c r="Q3421" i="3"/>
  <c r="Q3422" i="3"/>
  <c r="Q3423" i="3"/>
  <c r="Q3424" i="3"/>
  <c r="Q3425" i="3"/>
  <c r="Q3426" i="3"/>
  <c r="Q3427" i="3"/>
  <c r="Q3428" i="3"/>
  <c r="R3418" i="3"/>
  <c r="R3419" i="3"/>
  <c r="R3420" i="3"/>
  <c r="R3421" i="3"/>
  <c r="R3422" i="3"/>
  <c r="R3423" i="3"/>
  <c r="R3424" i="3"/>
  <c r="R3425" i="3"/>
  <c r="R3426" i="3"/>
  <c r="R3427" i="3"/>
  <c r="R3428" i="3"/>
  <c r="S3419" i="3"/>
  <c r="S3420" i="3"/>
  <c r="S3421" i="3"/>
  <c r="S3422" i="3"/>
  <c r="S3423" i="3"/>
  <c r="S3424" i="3"/>
  <c r="S3425" i="3"/>
  <c r="S3426" i="3"/>
  <c r="S3427" i="3"/>
  <c r="S3428" i="3"/>
  <c r="T3418" i="3"/>
  <c r="U3418" i="3"/>
  <c r="V3418" i="3"/>
  <c r="W3418" i="3"/>
  <c r="X3418" i="3"/>
  <c r="AA3418" i="3"/>
  <c r="AA3419" i="3"/>
  <c r="AA3420" i="3"/>
  <c r="AA3421" i="3"/>
  <c r="AA3422" i="3"/>
  <c r="AA3423" i="3"/>
  <c r="AA3424" i="3"/>
  <c r="AA3425" i="3"/>
  <c r="AA3426" i="3"/>
  <c r="AA3427" i="3"/>
  <c r="AA3428" i="3"/>
  <c r="AB3418" i="3"/>
  <c r="O3418" i="3" s="1"/>
  <c r="Y3418" i="3" s="1"/>
  <c r="AB3419" i="3"/>
  <c r="O3419" i="3" s="1"/>
  <c r="AB3420" i="3"/>
  <c r="O3420" i="3" s="1"/>
  <c r="AB3421" i="3"/>
  <c r="O3421" i="3" s="1"/>
  <c r="AB3422" i="3"/>
  <c r="O3422" i="3" s="1"/>
  <c r="AB3423" i="3"/>
  <c r="O3423" i="3" s="1"/>
  <c r="AB3424" i="3"/>
  <c r="O3424" i="3" s="1"/>
  <c r="AB3425" i="3"/>
  <c r="O3425" i="3" s="1"/>
  <c r="AB3426" i="3"/>
  <c r="O3426" i="3" s="1"/>
  <c r="AB3427" i="3"/>
  <c r="O3427" i="3" s="1"/>
  <c r="AB3428" i="3"/>
  <c r="O3428" i="3" s="1"/>
  <c r="AC3418" i="3"/>
  <c r="N3418" i="3" s="1"/>
  <c r="AC3419" i="3"/>
  <c r="N3419" i="3" s="1"/>
  <c r="AC3420" i="3"/>
  <c r="N3420" i="3" s="1"/>
  <c r="AC3421" i="3"/>
  <c r="N3421" i="3" s="1"/>
  <c r="AC3422" i="3"/>
  <c r="N3422" i="3" s="1"/>
  <c r="AC3423" i="3"/>
  <c r="N3423" i="3" s="1"/>
  <c r="AC3424" i="3"/>
  <c r="N3424" i="3" s="1"/>
  <c r="AC3425" i="3"/>
  <c r="N3425" i="3" s="1"/>
  <c r="AC3426" i="3"/>
  <c r="N3426" i="3" s="1"/>
  <c r="AC3427" i="3"/>
  <c r="N3427" i="3" s="1"/>
  <c r="AC3428" i="3"/>
  <c r="N3428" i="3" s="1"/>
  <c r="AK3418" i="3"/>
  <c r="AK3419" i="3"/>
  <c r="AK3420" i="3"/>
  <c r="AK3421" i="3"/>
  <c r="AK3422" i="3"/>
  <c r="AK3423" i="3"/>
  <c r="AK3424" i="3"/>
  <c r="AK3425" i="3"/>
  <c r="AK3426" i="3"/>
  <c r="AK3427" i="3"/>
  <c r="AK3428" i="3"/>
  <c r="M193" i="10"/>
  <c r="M3407" i="3"/>
  <c r="M3408" i="3"/>
  <c r="M3409" i="3"/>
  <c r="M3410" i="3"/>
  <c r="M3411" i="3"/>
  <c r="M3412" i="3"/>
  <c r="M3413" i="3"/>
  <c r="M3414" i="3"/>
  <c r="M3415" i="3"/>
  <c r="M3416" i="3"/>
  <c r="M3417" i="3"/>
  <c r="P3407" i="3"/>
  <c r="P3408" i="3"/>
  <c r="P3409" i="3"/>
  <c r="P3410" i="3"/>
  <c r="P3411" i="3"/>
  <c r="P3412" i="3"/>
  <c r="P3413" i="3"/>
  <c r="P3414" i="3"/>
  <c r="P3415" i="3"/>
  <c r="P3416" i="3"/>
  <c r="P3417" i="3"/>
  <c r="Q3407" i="3"/>
  <c r="Q3408" i="3"/>
  <c r="Q3409" i="3"/>
  <c r="Q3410" i="3"/>
  <c r="Q3411" i="3"/>
  <c r="Q3412" i="3"/>
  <c r="Q3413" i="3"/>
  <c r="Q3414" i="3"/>
  <c r="Q3415" i="3"/>
  <c r="Q3416" i="3"/>
  <c r="Q3417" i="3"/>
  <c r="R3407" i="3"/>
  <c r="R3408" i="3"/>
  <c r="R3409" i="3"/>
  <c r="R3410" i="3"/>
  <c r="R3411" i="3"/>
  <c r="R3412" i="3"/>
  <c r="R3413" i="3"/>
  <c r="R3414" i="3"/>
  <c r="R3415" i="3"/>
  <c r="R3416" i="3"/>
  <c r="R3417" i="3"/>
  <c r="S3408" i="3"/>
  <c r="S3409" i="3"/>
  <c r="S3410" i="3"/>
  <c r="S3411" i="3"/>
  <c r="S3412" i="3"/>
  <c r="S3413" i="3"/>
  <c r="S3414" i="3"/>
  <c r="S3415" i="3"/>
  <c r="S3416" i="3"/>
  <c r="S3417" i="3"/>
  <c r="T3407" i="3"/>
  <c r="U3407" i="3"/>
  <c r="V3407" i="3"/>
  <c r="W3407" i="3"/>
  <c r="X3407" i="3"/>
  <c r="AA3407" i="3"/>
  <c r="AA3408" i="3"/>
  <c r="AA3409" i="3"/>
  <c r="AA3410" i="3"/>
  <c r="AA3411" i="3"/>
  <c r="AA3412" i="3"/>
  <c r="AA3413" i="3"/>
  <c r="AA3414" i="3"/>
  <c r="AA3415" i="3"/>
  <c r="AA3416" i="3"/>
  <c r="AA3417" i="3"/>
  <c r="AB3407" i="3"/>
  <c r="O3407" i="3" s="1"/>
  <c r="Y3407" i="3" s="1"/>
  <c r="AB3408" i="3"/>
  <c r="O3408" i="3" s="1"/>
  <c r="AB3409" i="3"/>
  <c r="O3409" i="3" s="1"/>
  <c r="AB3410" i="3"/>
  <c r="O3410" i="3" s="1"/>
  <c r="AB3411" i="3"/>
  <c r="O3411" i="3" s="1"/>
  <c r="AB3412" i="3"/>
  <c r="O3412" i="3" s="1"/>
  <c r="AB3413" i="3"/>
  <c r="O3413" i="3" s="1"/>
  <c r="AB3414" i="3"/>
  <c r="O3414" i="3" s="1"/>
  <c r="AB3415" i="3"/>
  <c r="O3415" i="3" s="1"/>
  <c r="AB3416" i="3"/>
  <c r="O3416" i="3" s="1"/>
  <c r="AB3417" i="3"/>
  <c r="O3417" i="3" s="1"/>
  <c r="AC3407" i="3"/>
  <c r="N3407" i="3" s="1"/>
  <c r="AC3408" i="3"/>
  <c r="N3408" i="3" s="1"/>
  <c r="AC3409" i="3"/>
  <c r="N3409" i="3" s="1"/>
  <c r="AC3410" i="3"/>
  <c r="N3410" i="3" s="1"/>
  <c r="AC3411" i="3"/>
  <c r="N3411" i="3" s="1"/>
  <c r="AC3412" i="3"/>
  <c r="N3412" i="3" s="1"/>
  <c r="AC3413" i="3"/>
  <c r="N3413" i="3" s="1"/>
  <c r="AC3414" i="3"/>
  <c r="N3414" i="3" s="1"/>
  <c r="AC3415" i="3"/>
  <c r="N3415" i="3" s="1"/>
  <c r="AC3416" i="3"/>
  <c r="N3416" i="3" s="1"/>
  <c r="AC3417" i="3"/>
  <c r="N3417" i="3" s="1"/>
  <c r="AK3407" i="3"/>
  <c r="AK3408" i="3"/>
  <c r="AK3409" i="3"/>
  <c r="AK3410" i="3"/>
  <c r="AK3411" i="3"/>
  <c r="AK3412" i="3"/>
  <c r="AK3413" i="3"/>
  <c r="AK3414" i="3"/>
  <c r="AK3415" i="3"/>
  <c r="AK3416" i="3"/>
  <c r="AK3417" i="3"/>
  <c r="M192" i="10"/>
  <c r="M3396" i="3"/>
  <c r="M3397" i="3"/>
  <c r="M3398" i="3"/>
  <c r="M3399" i="3"/>
  <c r="M3400" i="3"/>
  <c r="M3401" i="3"/>
  <c r="M3402" i="3"/>
  <c r="M3403" i="3"/>
  <c r="M3404" i="3"/>
  <c r="M3405" i="3"/>
  <c r="M3406" i="3"/>
  <c r="P3396" i="3"/>
  <c r="P3397" i="3"/>
  <c r="P3398" i="3"/>
  <c r="P3399" i="3"/>
  <c r="P3400" i="3"/>
  <c r="P3401" i="3"/>
  <c r="P3402" i="3"/>
  <c r="P3403" i="3"/>
  <c r="P3404" i="3"/>
  <c r="P3405" i="3"/>
  <c r="P3406" i="3"/>
  <c r="Q3396" i="3"/>
  <c r="Q3397" i="3"/>
  <c r="Q3398" i="3"/>
  <c r="Q3399" i="3"/>
  <c r="Q3400" i="3"/>
  <c r="Q3401" i="3"/>
  <c r="Q3402" i="3"/>
  <c r="Q3403" i="3"/>
  <c r="Q3404" i="3"/>
  <c r="Q3405" i="3"/>
  <c r="Q3406" i="3"/>
  <c r="R3396" i="3"/>
  <c r="R3397" i="3"/>
  <c r="R3398" i="3"/>
  <c r="R3399" i="3"/>
  <c r="R3400" i="3"/>
  <c r="R3401" i="3"/>
  <c r="R3402" i="3"/>
  <c r="R3403" i="3"/>
  <c r="R3404" i="3"/>
  <c r="R3405" i="3"/>
  <c r="R3406" i="3"/>
  <c r="S3397" i="3"/>
  <c r="S3398" i="3"/>
  <c r="S3399" i="3"/>
  <c r="S3400" i="3"/>
  <c r="S3401" i="3"/>
  <c r="S3402" i="3"/>
  <c r="S3403" i="3"/>
  <c r="S3404" i="3"/>
  <c r="S3405" i="3"/>
  <c r="S3406" i="3"/>
  <c r="T3396" i="3"/>
  <c r="U3396" i="3"/>
  <c r="V3396" i="3"/>
  <c r="W3396" i="3"/>
  <c r="X3396" i="3"/>
  <c r="AA3396" i="3"/>
  <c r="AA3397" i="3"/>
  <c r="AA3398" i="3"/>
  <c r="AA3399" i="3"/>
  <c r="AA3400" i="3"/>
  <c r="AA3401" i="3"/>
  <c r="AA3402" i="3"/>
  <c r="AA3403" i="3"/>
  <c r="AA3404" i="3"/>
  <c r="AA3405" i="3"/>
  <c r="AA3406" i="3"/>
  <c r="AB3396" i="3"/>
  <c r="O3396" i="3" s="1"/>
  <c r="Y3396" i="3" s="1"/>
  <c r="AB3397" i="3"/>
  <c r="O3397" i="3" s="1"/>
  <c r="AB3398" i="3"/>
  <c r="O3398" i="3" s="1"/>
  <c r="AB3399" i="3"/>
  <c r="O3399" i="3" s="1"/>
  <c r="AB3400" i="3"/>
  <c r="O3400" i="3" s="1"/>
  <c r="AB3401" i="3"/>
  <c r="O3401" i="3" s="1"/>
  <c r="AB3402" i="3"/>
  <c r="O3402" i="3" s="1"/>
  <c r="AB3403" i="3"/>
  <c r="O3403" i="3" s="1"/>
  <c r="AB3404" i="3"/>
  <c r="O3404" i="3" s="1"/>
  <c r="AB3405" i="3"/>
  <c r="O3405" i="3" s="1"/>
  <c r="AB3406" i="3"/>
  <c r="O3406" i="3" s="1"/>
  <c r="AC3396" i="3"/>
  <c r="N3396" i="3" s="1"/>
  <c r="AC3397" i="3"/>
  <c r="N3397" i="3" s="1"/>
  <c r="AC3398" i="3"/>
  <c r="N3398" i="3" s="1"/>
  <c r="AC3399" i="3"/>
  <c r="N3399" i="3" s="1"/>
  <c r="AC3400" i="3"/>
  <c r="N3400" i="3" s="1"/>
  <c r="AC3401" i="3"/>
  <c r="N3401" i="3" s="1"/>
  <c r="AC3402" i="3"/>
  <c r="N3402" i="3" s="1"/>
  <c r="AC3403" i="3"/>
  <c r="N3403" i="3" s="1"/>
  <c r="AC3404" i="3"/>
  <c r="N3404" i="3" s="1"/>
  <c r="AC3405" i="3"/>
  <c r="N3405" i="3" s="1"/>
  <c r="AC3406" i="3"/>
  <c r="N3406" i="3" s="1"/>
  <c r="AK3396" i="3"/>
  <c r="AK3397" i="3"/>
  <c r="AK3398" i="3"/>
  <c r="AK3399" i="3"/>
  <c r="AK3400" i="3"/>
  <c r="AK3401" i="3"/>
  <c r="AK3402" i="3"/>
  <c r="AK3403" i="3"/>
  <c r="AK3404" i="3"/>
  <c r="AK3405" i="3"/>
  <c r="AK3406" i="3"/>
  <c r="M191" i="10"/>
  <c r="M3385" i="3"/>
  <c r="M3386" i="3"/>
  <c r="M3387" i="3"/>
  <c r="M3388" i="3"/>
  <c r="M3389" i="3"/>
  <c r="M3390" i="3"/>
  <c r="M3391" i="3"/>
  <c r="M3392" i="3"/>
  <c r="M3393" i="3"/>
  <c r="M3394" i="3"/>
  <c r="M3395" i="3"/>
  <c r="P3385" i="3"/>
  <c r="P3386" i="3"/>
  <c r="P3387" i="3"/>
  <c r="P3388" i="3"/>
  <c r="P3389" i="3"/>
  <c r="P3390" i="3"/>
  <c r="P3391" i="3"/>
  <c r="P3392" i="3"/>
  <c r="P3393" i="3"/>
  <c r="P3394" i="3"/>
  <c r="P3395" i="3"/>
  <c r="Q3385" i="3"/>
  <c r="Q3386" i="3"/>
  <c r="Q3387" i="3"/>
  <c r="Q3388" i="3"/>
  <c r="Q3389" i="3"/>
  <c r="Q3390" i="3"/>
  <c r="Q3391" i="3"/>
  <c r="Q3392" i="3"/>
  <c r="Q3393" i="3"/>
  <c r="Q3394" i="3"/>
  <c r="Q3395" i="3"/>
  <c r="R3385" i="3"/>
  <c r="R3386" i="3"/>
  <c r="R3387" i="3"/>
  <c r="R3388" i="3"/>
  <c r="R3389" i="3"/>
  <c r="R3390" i="3"/>
  <c r="R3391" i="3"/>
  <c r="R3392" i="3"/>
  <c r="R3393" i="3"/>
  <c r="R3394" i="3"/>
  <c r="R3395" i="3"/>
  <c r="S3386" i="3"/>
  <c r="S3387" i="3"/>
  <c r="S3388" i="3"/>
  <c r="S3389" i="3"/>
  <c r="S3390" i="3"/>
  <c r="S3391" i="3"/>
  <c r="S3392" i="3"/>
  <c r="S3393" i="3"/>
  <c r="S3394" i="3"/>
  <c r="S3395" i="3"/>
  <c r="T3385" i="3"/>
  <c r="U3385" i="3"/>
  <c r="V3385" i="3"/>
  <c r="W3385" i="3"/>
  <c r="X3385" i="3"/>
  <c r="AA3385" i="3"/>
  <c r="AA3386" i="3"/>
  <c r="AA3387" i="3"/>
  <c r="AA3388" i="3"/>
  <c r="AA3389" i="3"/>
  <c r="AA3390" i="3"/>
  <c r="AA3391" i="3"/>
  <c r="AA3392" i="3"/>
  <c r="AA3393" i="3"/>
  <c r="AA3394" i="3"/>
  <c r="AA3395" i="3"/>
  <c r="AB3385" i="3"/>
  <c r="O3385" i="3" s="1"/>
  <c r="Y3385" i="3" s="1"/>
  <c r="AB3386" i="3"/>
  <c r="O3386" i="3" s="1"/>
  <c r="AB3387" i="3"/>
  <c r="O3387" i="3" s="1"/>
  <c r="AB3388" i="3"/>
  <c r="O3388" i="3" s="1"/>
  <c r="AB3389" i="3"/>
  <c r="O3389" i="3" s="1"/>
  <c r="AB3390" i="3"/>
  <c r="O3390" i="3" s="1"/>
  <c r="AB3391" i="3"/>
  <c r="O3391" i="3" s="1"/>
  <c r="AB3392" i="3"/>
  <c r="O3392" i="3" s="1"/>
  <c r="AB3393" i="3"/>
  <c r="O3393" i="3" s="1"/>
  <c r="AB3394" i="3"/>
  <c r="O3394" i="3" s="1"/>
  <c r="AB3395" i="3"/>
  <c r="O3395" i="3" s="1"/>
  <c r="AC3385" i="3"/>
  <c r="N3385" i="3" s="1"/>
  <c r="AC3386" i="3"/>
  <c r="N3386" i="3" s="1"/>
  <c r="AC3387" i="3"/>
  <c r="N3387" i="3" s="1"/>
  <c r="AC3388" i="3"/>
  <c r="N3388" i="3" s="1"/>
  <c r="AC3389" i="3"/>
  <c r="N3389" i="3" s="1"/>
  <c r="AC3390" i="3"/>
  <c r="N3390" i="3" s="1"/>
  <c r="AC3391" i="3"/>
  <c r="N3391" i="3" s="1"/>
  <c r="AC3392" i="3"/>
  <c r="N3392" i="3" s="1"/>
  <c r="AC3393" i="3"/>
  <c r="N3393" i="3" s="1"/>
  <c r="AC3394" i="3"/>
  <c r="N3394" i="3" s="1"/>
  <c r="AC3395" i="3"/>
  <c r="N3395" i="3" s="1"/>
  <c r="AK3385" i="3"/>
  <c r="AK3386" i="3"/>
  <c r="AK3387" i="3"/>
  <c r="AK3388" i="3"/>
  <c r="AK3389" i="3"/>
  <c r="AK3390" i="3"/>
  <c r="AK3391" i="3"/>
  <c r="AK3392" i="3"/>
  <c r="AK3393" i="3"/>
  <c r="AK3394" i="3"/>
  <c r="AK3395" i="3"/>
  <c r="M190" i="10"/>
  <c r="M3374" i="3"/>
  <c r="M3375" i="3"/>
  <c r="M3376" i="3"/>
  <c r="M3377" i="3"/>
  <c r="M3378" i="3"/>
  <c r="M3379" i="3"/>
  <c r="M3380" i="3"/>
  <c r="M3381" i="3"/>
  <c r="M3382" i="3"/>
  <c r="M3383" i="3"/>
  <c r="M3384" i="3"/>
  <c r="P3374" i="3"/>
  <c r="P3375" i="3"/>
  <c r="P3376" i="3"/>
  <c r="P3377" i="3"/>
  <c r="P3378" i="3"/>
  <c r="P3379" i="3"/>
  <c r="P3380" i="3"/>
  <c r="P3381" i="3"/>
  <c r="P3382" i="3"/>
  <c r="P3383" i="3"/>
  <c r="P3384" i="3"/>
  <c r="Q3374" i="3"/>
  <c r="Q3375" i="3"/>
  <c r="Q3376" i="3"/>
  <c r="Q3377" i="3"/>
  <c r="Q3378" i="3"/>
  <c r="Q3379" i="3"/>
  <c r="Q3380" i="3"/>
  <c r="Q3381" i="3"/>
  <c r="Q3382" i="3"/>
  <c r="Q3383" i="3"/>
  <c r="Q3384" i="3"/>
  <c r="R3374" i="3"/>
  <c r="R3375" i="3"/>
  <c r="R3376" i="3"/>
  <c r="R3377" i="3"/>
  <c r="R3378" i="3"/>
  <c r="R3379" i="3"/>
  <c r="R3380" i="3"/>
  <c r="R3381" i="3"/>
  <c r="R3382" i="3"/>
  <c r="R3383" i="3"/>
  <c r="R3384" i="3"/>
  <c r="S3375" i="3"/>
  <c r="S3376" i="3"/>
  <c r="S3377" i="3"/>
  <c r="S3378" i="3"/>
  <c r="S3379" i="3"/>
  <c r="S3380" i="3"/>
  <c r="S3381" i="3"/>
  <c r="S3382" i="3"/>
  <c r="S3383" i="3"/>
  <c r="S3384" i="3"/>
  <c r="T3374" i="3"/>
  <c r="U3374" i="3"/>
  <c r="V3374" i="3"/>
  <c r="W3374" i="3"/>
  <c r="X3374" i="3"/>
  <c r="AA3374" i="3"/>
  <c r="AA3375" i="3"/>
  <c r="AA3376" i="3"/>
  <c r="AA3377" i="3"/>
  <c r="AA3378" i="3"/>
  <c r="AA3379" i="3"/>
  <c r="AA3380" i="3"/>
  <c r="AA3381" i="3"/>
  <c r="AA3382" i="3"/>
  <c r="AA3383" i="3"/>
  <c r="AA3384" i="3"/>
  <c r="AB3374" i="3"/>
  <c r="O3374" i="3" s="1"/>
  <c r="Y3374" i="3" s="1"/>
  <c r="AB3375" i="3"/>
  <c r="O3375" i="3" s="1"/>
  <c r="AB3376" i="3"/>
  <c r="O3376" i="3" s="1"/>
  <c r="AB3377" i="3"/>
  <c r="O3377" i="3" s="1"/>
  <c r="AB3378" i="3"/>
  <c r="O3378" i="3" s="1"/>
  <c r="AB3379" i="3"/>
  <c r="O3379" i="3" s="1"/>
  <c r="AB3380" i="3"/>
  <c r="O3380" i="3" s="1"/>
  <c r="AB3381" i="3"/>
  <c r="O3381" i="3" s="1"/>
  <c r="AB3382" i="3"/>
  <c r="O3382" i="3" s="1"/>
  <c r="AB3383" i="3"/>
  <c r="O3383" i="3" s="1"/>
  <c r="AB3384" i="3"/>
  <c r="O3384" i="3" s="1"/>
  <c r="AC3374" i="3"/>
  <c r="N3374" i="3" s="1"/>
  <c r="AC3375" i="3"/>
  <c r="N3375" i="3" s="1"/>
  <c r="AC3376" i="3"/>
  <c r="N3376" i="3" s="1"/>
  <c r="AC3377" i="3"/>
  <c r="N3377" i="3" s="1"/>
  <c r="AC3378" i="3"/>
  <c r="N3378" i="3" s="1"/>
  <c r="AC3379" i="3"/>
  <c r="N3379" i="3" s="1"/>
  <c r="AC3380" i="3"/>
  <c r="N3380" i="3" s="1"/>
  <c r="AC3381" i="3"/>
  <c r="N3381" i="3" s="1"/>
  <c r="AC3382" i="3"/>
  <c r="N3382" i="3" s="1"/>
  <c r="AC3383" i="3"/>
  <c r="N3383" i="3" s="1"/>
  <c r="AC3384" i="3"/>
  <c r="N3384" i="3" s="1"/>
  <c r="AK3374" i="3"/>
  <c r="AK3375" i="3"/>
  <c r="AK3376" i="3"/>
  <c r="AK3377" i="3"/>
  <c r="AK3378" i="3"/>
  <c r="AK3379" i="3"/>
  <c r="AK3380" i="3"/>
  <c r="AK3381" i="3"/>
  <c r="AK3382" i="3"/>
  <c r="AK3383" i="3"/>
  <c r="AK3384" i="3"/>
  <c r="M189" i="10"/>
  <c r="M3352" i="3"/>
  <c r="M3353" i="3"/>
  <c r="M3354" i="3"/>
  <c r="M3355" i="3"/>
  <c r="M3356" i="3"/>
  <c r="M3357" i="3"/>
  <c r="M3358" i="3"/>
  <c r="M3359" i="3"/>
  <c r="M3360" i="3"/>
  <c r="M3361" i="3"/>
  <c r="M3362" i="3"/>
  <c r="M3363" i="3"/>
  <c r="M3364" i="3"/>
  <c r="M3365" i="3"/>
  <c r="M3366" i="3"/>
  <c r="M3367" i="3"/>
  <c r="M3368" i="3"/>
  <c r="M3369" i="3"/>
  <c r="M3370" i="3"/>
  <c r="M3371" i="3"/>
  <c r="M3372" i="3"/>
  <c r="M3373" i="3"/>
  <c r="P3352" i="3"/>
  <c r="P3353" i="3"/>
  <c r="P3354" i="3"/>
  <c r="P3355" i="3"/>
  <c r="P3356" i="3"/>
  <c r="P3357" i="3"/>
  <c r="P3358" i="3"/>
  <c r="P3359" i="3"/>
  <c r="P3360" i="3"/>
  <c r="P3361" i="3"/>
  <c r="P3362" i="3"/>
  <c r="P3363" i="3"/>
  <c r="P3364" i="3"/>
  <c r="P3365" i="3"/>
  <c r="P3366" i="3"/>
  <c r="P3367" i="3"/>
  <c r="P3368" i="3"/>
  <c r="P3369" i="3"/>
  <c r="P3370" i="3"/>
  <c r="P3371" i="3"/>
  <c r="P3372" i="3"/>
  <c r="P3373" i="3"/>
  <c r="Q3352" i="3"/>
  <c r="Q3353" i="3"/>
  <c r="Q3354" i="3"/>
  <c r="Q3355" i="3"/>
  <c r="Q3356" i="3"/>
  <c r="Q3357" i="3"/>
  <c r="Q3358" i="3"/>
  <c r="Q3359" i="3"/>
  <c r="Q3360" i="3"/>
  <c r="Q3361" i="3"/>
  <c r="Q3362" i="3"/>
  <c r="Q3363" i="3"/>
  <c r="Q3364" i="3"/>
  <c r="Q3365" i="3"/>
  <c r="Q3366" i="3"/>
  <c r="Q3367" i="3"/>
  <c r="Q3368" i="3"/>
  <c r="Q3369" i="3"/>
  <c r="Q3370" i="3"/>
  <c r="Q3371" i="3"/>
  <c r="Q3372" i="3"/>
  <c r="Q3373" i="3"/>
  <c r="R3352" i="3"/>
  <c r="R3353" i="3"/>
  <c r="R3354" i="3"/>
  <c r="R3355" i="3"/>
  <c r="R3356" i="3"/>
  <c r="R3357" i="3"/>
  <c r="R3358" i="3"/>
  <c r="R3359" i="3"/>
  <c r="R3360" i="3"/>
  <c r="R3361" i="3"/>
  <c r="R3362" i="3"/>
  <c r="R3363" i="3"/>
  <c r="R3364" i="3"/>
  <c r="R3365" i="3"/>
  <c r="R3366" i="3"/>
  <c r="R3367" i="3"/>
  <c r="R3368" i="3"/>
  <c r="R3369" i="3"/>
  <c r="R3370" i="3"/>
  <c r="R3371" i="3"/>
  <c r="R3372" i="3"/>
  <c r="R3373" i="3"/>
  <c r="S3353" i="3"/>
  <c r="S3354" i="3"/>
  <c r="S3355" i="3"/>
  <c r="S3356" i="3"/>
  <c r="S3357" i="3"/>
  <c r="S3358" i="3"/>
  <c r="S3359" i="3"/>
  <c r="S3360" i="3"/>
  <c r="S3361" i="3"/>
  <c r="S3362" i="3"/>
  <c r="S3364" i="3"/>
  <c r="S3365" i="3"/>
  <c r="S3366" i="3"/>
  <c r="S3367" i="3"/>
  <c r="S3368" i="3"/>
  <c r="S3369" i="3"/>
  <c r="S3370" i="3"/>
  <c r="S3371" i="3"/>
  <c r="S3372" i="3"/>
  <c r="S3373" i="3"/>
  <c r="T3352" i="3"/>
  <c r="T3363" i="3"/>
  <c r="U3352" i="3"/>
  <c r="U3363" i="3"/>
  <c r="V3352" i="3"/>
  <c r="V3363" i="3"/>
  <c r="W3352" i="3"/>
  <c r="W3363" i="3"/>
  <c r="X3352" i="3"/>
  <c r="X3363" i="3"/>
  <c r="AA3352" i="3"/>
  <c r="AA3353" i="3"/>
  <c r="AA3354" i="3"/>
  <c r="AA3355" i="3"/>
  <c r="AA3356" i="3"/>
  <c r="AA3357" i="3"/>
  <c r="AA3358" i="3"/>
  <c r="AA3359" i="3"/>
  <c r="AA3360" i="3"/>
  <c r="AA3361" i="3"/>
  <c r="AA3362" i="3"/>
  <c r="AA3363" i="3"/>
  <c r="AA3364" i="3"/>
  <c r="AA3365" i="3"/>
  <c r="AA3366" i="3"/>
  <c r="AA3367" i="3"/>
  <c r="AA3368" i="3"/>
  <c r="AA3369" i="3"/>
  <c r="AA3370" i="3"/>
  <c r="AA3371" i="3"/>
  <c r="AA3372" i="3"/>
  <c r="AA3373" i="3"/>
  <c r="AB3352" i="3"/>
  <c r="O3352" i="3" s="1"/>
  <c r="Y3352" i="3" s="1"/>
  <c r="AB3353" i="3"/>
  <c r="O3353" i="3" s="1"/>
  <c r="AB3354" i="3"/>
  <c r="O3354" i="3" s="1"/>
  <c r="AB3355" i="3"/>
  <c r="O3355" i="3" s="1"/>
  <c r="AB3356" i="3"/>
  <c r="O3356" i="3" s="1"/>
  <c r="AB3357" i="3"/>
  <c r="O3357" i="3" s="1"/>
  <c r="AB3358" i="3"/>
  <c r="O3358" i="3" s="1"/>
  <c r="AB3359" i="3"/>
  <c r="O3359" i="3" s="1"/>
  <c r="AB3360" i="3"/>
  <c r="O3360" i="3" s="1"/>
  <c r="AB3361" i="3"/>
  <c r="O3361" i="3" s="1"/>
  <c r="AB3362" i="3"/>
  <c r="O3362" i="3" s="1"/>
  <c r="AB3363" i="3"/>
  <c r="O3363" i="3" s="1"/>
  <c r="AB3364" i="3"/>
  <c r="O3364" i="3" s="1"/>
  <c r="AB3365" i="3"/>
  <c r="O3365" i="3" s="1"/>
  <c r="AB3366" i="3"/>
  <c r="O3366" i="3" s="1"/>
  <c r="AB3367" i="3"/>
  <c r="O3367" i="3" s="1"/>
  <c r="AB3368" i="3"/>
  <c r="O3368" i="3" s="1"/>
  <c r="AB3369" i="3"/>
  <c r="O3369" i="3" s="1"/>
  <c r="AB3370" i="3"/>
  <c r="O3370" i="3" s="1"/>
  <c r="AB3371" i="3"/>
  <c r="O3371" i="3" s="1"/>
  <c r="AB3372" i="3"/>
  <c r="O3372" i="3" s="1"/>
  <c r="AB3373" i="3"/>
  <c r="O3373" i="3" s="1"/>
  <c r="AC3352" i="3"/>
  <c r="N3352" i="3" s="1"/>
  <c r="S3352" i="3" s="1"/>
  <c r="AC3353" i="3"/>
  <c r="N3353" i="3" s="1"/>
  <c r="AC3354" i="3"/>
  <c r="N3354" i="3" s="1"/>
  <c r="AC3355" i="3"/>
  <c r="N3355" i="3" s="1"/>
  <c r="AC3356" i="3"/>
  <c r="N3356" i="3" s="1"/>
  <c r="AC3357" i="3"/>
  <c r="N3357" i="3" s="1"/>
  <c r="AC3358" i="3"/>
  <c r="N3358" i="3" s="1"/>
  <c r="AC3359" i="3"/>
  <c r="N3359" i="3" s="1"/>
  <c r="AC3360" i="3"/>
  <c r="N3360" i="3" s="1"/>
  <c r="AC3361" i="3"/>
  <c r="N3361" i="3" s="1"/>
  <c r="AC3362" i="3"/>
  <c r="N3362" i="3" s="1"/>
  <c r="AC3363" i="3"/>
  <c r="N3363" i="3" s="1"/>
  <c r="AC3364" i="3"/>
  <c r="N3364" i="3" s="1"/>
  <c r="AC3365" i="3"/>
  <c r="N3365" i="3" s="1"/>
  <c r="AC3366" i="3"/>
  <c r="N3366" i="3" s="1"/>
  <c r="AC3367" i="3"/>
  <c r="N3367" i="3" s="1"/>
  <c r="AC3368" i="3"/>
  <c r="N3368" i="3" s="1"/>
  <c r="AC3369" i="3"/>
  <c r="N3369" i="3" s="1"/>
  <c r="AC3370" i="3"/>
  <c r="N3370" i="3" s="1"/>
  <c r="AC3371" i="3"/>
  <c r="N3371" i="3" s="1"/>
  <c r="AC3372" i="3"/>
  <c r="N3372" i="3" s="1"/>
  <c r="AC3373" i="3"/>
  <c r="N3373" i="3" s="1"/>
  <c r="AK3352" i="3"/>
  <c r="AK3353" i="3"/>
  <c r="AK3354" i="3"/>
  <c r="AK3355" i="3"/>
  <c r="AK3356" i="3"/>
  <c r="AK3357" i="3"/>
  <c r="AK3358" i="3"/>
  <c r="AK3359" i="3"/>
  <c r="AK3360" i="3"/>
  <c r="AK3361" i="3"/>
  <c r="AK3362" i="3"/>
  <c r="AK3363" i="3"/>
  <c r="AK3364" i="3"/>
  <c r="AK3365" i="3"/>
  <c r="AK3366" i="3"/>
  <c r="AK3367" i="3"/>
  <c r="AK3368" i="3"/>
  <c r="AK3369" i="3"/>
  <c r="AK3370" i="3"/>
  <c r="AK3371" i="3"/>
  <c r="AK3372" i="3"/>
  <c r="AK3373" i="3"/>
  <c r="M188" i="10"/>
  <c r="M3329" i="3"/>
  <c r="M3330" i="3"/>
  <c r="M3331" i="3"/>
  <c r="M3332" i="3"/>
  <c r="M3333" i="3"/>
  <c r="M3334" i="3"/>
  <c r="M3335" i="3"/>
  <c r="M3336" i="3"/>
  <c r="M3337" i="3"/>
  <c r="M3338" i="3"/>
  <c r="M3339" i="3"/>
  <c r="M3340" i="3"/>
  <c r="M3341" i="3"/>
  <c r="M3342" i="3"/>
  <c r="M3343" i="3"/>
  <c r="M3344" i="3"/>
  <c r="M3345" i="3"/>
  <c r="M3346" i="3"/>
  <c r="M3347" i="3"/>
  <c r="M3348" i="3"/>
  <c r="M3349" i="3"/>
  <c r="M3350" i="3"/>
  <c r="M3351" i="3"/>
  <c r="P3329" i="3"/>
  <c r="P3330" i="3"/>
  <c r="P3331" i="3"/>
  <c r="P3332" i="3"/>
  <c r="P3333" i="3"/>
  <c r="P3334" i="3"/>
  <c r="P3335" i="3"/>
  <c r="P3336" i="3"/>
  <c r="P3337" i="3"/>
  <c r="P3338" i="3"/>
  <c r="P3339" i="3"/>
  <c r="P3340" i="3"/>
  <c r="P3341" i="3"/>
  <c r="P3342" i="3"/>
  <c r="P3343" i="3"/>
  <c r="P3344" i="3"/>
  <c r="P3345" i="3"/>
  <c r="P3346" i="3"/>
  <c r="P3347" i="3"/>
  <c r="P3348" i="3"/>
  <c r="P3349" i="3"/>
  <c r="P3350" i="3"/>
  <c r="P3351" i="3"/>
  <c r="Q3329" i="3"/>
  <c r="Q3330" i="3"/>
  <c r="Q3331" i="3"/>
  <c r="Q3332" i="3"/>
  <c r="Q3333" i="3"/>
  <c r="Q3334" i="3"/>
  <c r="Q3335" i="3"/>
  <c r="Q3336" i="3"/>
  <c r="Q3337" i="3"/>
  <c r="Q3338" i="3"/>
  <c r="Q3339" i="3"/>
  <c r="Q3340" i="3"/>
  <c r="Q3341" i="3"/>
  <c r="Q3342" i="3"/>
  <c r="Q3343" i="3"/>
  <c r="Q3344" i="3"/>
  <c r="Q3345" i="3"/>
  <c r="Q3346" i="3"/>
  <c r="Q3347" i="3"/>
  <c r="Q3348" i="3"/>
  <c r="Q3349" i="3"/>
  <c r="Q3350" i="3"/>
  <c r="Q3351" i="3"/>
  <c r="R3329" i="3"/>
  <c r="R3330" i="3"/>
  <c r="R3331" i="3"/>
  <c r="R3332" i="3"/>
  <c r="R3333" i="3"/>
  <c r="R3334" i="3"/>
  <c r="R3335" i="3"/>
  <c r="R3336" i="3"/>
  <c r="R3337" i="3"/>
  <c r="R3338" i="3"/>
  <c r="R3339" i="3"/>
  <c r="R3340" i="3"/>
  <c r="R3341" i="3"/>
  <c r="R3342" i="3"/>
  <c r="R3343" i="3"/>
  <c r="R3344" i="3"/>
  <c r="R3345" i="3"/>
  <c r="R3346" i="3"/>
  <c r="R3347" i="3"/>
  <c r="R3348" i="3"/>
  <c r="R3349" i="3"/>
  <c r="R3350" i="3"/>
  <c r="R3351" i="3"/>
  <c r="S3330" i="3"/>
  <c r="S3331" i="3"/>
  <c r="S3332" i="3"/>
  <c r="S3333" i="3"/>
  <c r="S3334" i="3"/>
  <c r="S3335" i="3"/>
  <c r="S3336" i="3"/>
  <c r="S3337" i="3"/>
  <c r="S3338" i="3"/>
  <c r="S3339" i="3"/>
  <c r="S3340" i="3"/>
  <c r="S3342" i="3"/>
  <c r="S3343" i="3"/>
  <c r="S3344" i="3"/>
  <c r="S3345" i="3"/>
  <c r="S3346" i="3"/>
  <c r="S3347" i="3"/>
  <c r="S3348" i="3"/>
  <c r="S3349" i="3"/>
  <c r="S3350" i="3"/>
  <c r="S3351" i="3"/>
  <c r="T3329" i="3"/>
  <c r="T3341" i="3"/>
  <c r="U3329" i="3"/>
  <c r="U3341" i="3"/>
  <c r="V3329" i="3"/>
  <c r="V3341" i="3"/>
  <c r="W3329" i="3"/>
  <c r="W3341" i="3"/>
  <c r="X3329" i="3"/>
  <c r="X3341" i="3"/>
  <c r="AA3329" i="3"/>
  <c r="AA3330" i="3"/>
  <c r="AA3331" i="3"/>
  <c r="AA3332" i="3"/>
  <c r="AA3333" i="3"/>
  <c r="AA3334" i="3"/>
  <c r="AA3335" i="3"/>
  <c r="AA3336" i="3"/>
  <c r="AA3337" i="3"/>
  <c r="AA3338" i="3"/>
  <c r="AA3339" i="3"/>
  <c r="AA3340" i="3"/>
  <c r="AA3341" i="3"/>
  <c r="AA3342" i="3"/>
  <c r="AA3343" i="3"/>
  <c r="AA3344" i="3"/>
  <c r="AA3345" i="3"/>
  <c r="AA3346" i="3"/>
  <c r="AA3347" i="3"/>
  <c r="AA3348" i="3"/>
  <c r="AA3349" i="3"/>
  <c r="AA3350" i="3"/>
  <c r="AA3351" i="3"/>
  <c r="AB3329" i="3"/>
  <c r="O3329" i="3" s="1"/>
  <c r="Y3329" i="3" s="1"/>
  <c r="AB3330" i="3"/>
  <c r="O3330" i="3" s="1"/>
  <c r="AB3331" i="3"/>
  <c r="O3331" i="3" s="1"/>
  <c r="AB3332" i="3"/>
  <c r="O3332" i="3" s="1"/>
  <c r="AB3333" i="3"/>
  <c r="O3333" i="3" s="1"/>
  <c r="AB3334" i="3"/>
  <c r="O3334" i="3" s="1"/>
  <c r="AB3335" i="3"/>
  <c r="O3335" i="3" s="1"/>
  <c r="AB3336" i="3"/>
  <c r="O3336" i="3" s="1"/>
  <c r="AB3337" i="3"/>
  <c r="O3337" i="3" s="1"/>
  <c r="AB3338" i="3"/>
  <c r="O3338" i="3" s="1"/>
  <c r="AB3339" i="3"/>
  <c r="O3339" i="3" s="1"/>
  <c r="AB3340" i="3"/>
  <c r="O3340" i="3" s="1"/>
  <c r="AB3341" i="3"/>
  <c r="O3341" i="3" s="1"/>
  <c r="Y3341" i="3" s="1"/>
  <c r="AB3342" i="3"/>
  <c r="O3342" i="3" s="1"/>
  <c r="AB3343" i="3"/>
  <c r="O3343" i="3" s="1"/>
  <c r="AB3344" i="3"/>
  <c r="O3344" i="3" s="1"/>
  <c r="AB3345" i="3"/>
  <c r="O3345" i="3" s="1"/>
  <c r="AB3346" i="3"/>
  <c r="O3346" i="3" s="1"/>
  <c r="AB3347" i="3"/>
  <c r="O3347" i="3" s="1"/>
  <c r="AB3348" i="3"/>
  <c r="O3348" i="3" s="1"/>
  <c r="AB3349" i="3"/>
  <c r="O3349" i="3" s="1"/>
  <c r="AB3350" i="3"/>
  <c r="O3350" i="3" s="1"/>
  <c r="AB3351" i="3"/>
  <c r="O3351" i="3" s="1"/>
  <c r="AC3329" i="3"/>
  <c r="N3329" i="3" s="1"/>
  <c r="AC3330" i="3"/>
  <c r="N3330" i="3" s="1"/>
  <c r="AC3331" i="3"/>
  <c r="N3331" i="3" s="1"/>
  <c r="AC3332" i="3"/>
  <c r="N3332" i="3" s="1"/>
  <c r="AC3333" i="3"/>
  <c r="N3333" i="3" s="1"/>
  <c r="AC3334" i="3"/>
  <c r="N3334" i="3" s="1"/>
  <c r="AC3335" i="3"/>
  <c r="N3335" i="3" s="1"/>
  <c r="AC3336" i="3"/>
  <c r="N3336" i="3" s="1"/>
  <c r="AC3337" i="3"/>
  <c r="N3337" i="3" s="1"/>
  <c r="AC3338" i="3"/>
  <c r="N3338" i="3" s="1"/>
  <c r="AC3339" i="3"/>
  <c r="N3339" i="3" s="1"/>
  <c r="AC3340" i="3"/>
  <c r="N3340" i="3" s="1"/>
  <c r="AC3341" i="3"/>
  <c r="N3341" i="3" s="1"/>
  <c r="AC3342" i="3"/>
  <c r="N3342" i="3" s="1"/>
  <c r="AC3343" i="3"/>
  <c r="N3343" i="3" s="1"/>
  <c r="AC3344" i="3"/>
  <c r="N3344" i="3" s="1"/>
  <c r="AC3345" i="3"/>
  <c r="N3345" i="3" s="1"/>
  <c r="AC3346" i="3"/>
  <c r="N3346" i="3" s="1"/>
  <c r="AC3347" i="3"/>
  <c r="N3347" i="3" s="1"/>
  <c r="AC3348" i="3"/>
  <c r="N3348" i="3" s="1"/>
  <c r="AC3349" i="3"/>
  <c r="N3349" i="3" s="1"/>
  <c r="AC3350" i="3"/>
  <c r="N3350" i="3" s="1"/>
  <c r="AC3351" i="3"/>
  <c r="N3351" i="3" s="1"/>
  <c r="AK3329" i="3"/>
  <c r="AK3330" i="3"/>
  <c r="AK3331" i="3"/>
  <c r="AK3332" i="3"/>
  <c r="AK3333" i="3"/>
  <c r="AK3334" i="3"/>
  <c r="AK3335" i="3"/>
  <c r="AK3336" i="3"/>
  <c r="AK3337" i="3"/>
  <c r="AK3338" i="3"/>
  <c r="AK3339" i="3"/>
  <c r="AK3340" i="3"/>
  <c r="AK3341" i="3"/>
  <c r="AK3342" i="3"/>
  <c r="AK3343" i="3"/>
  <c r="AK3344" i="3"/>
  <c r="AK3345" i="3"/>
  <c r="AK3346" i="3"/>
  <c r="AK3347" i="3"/>
  <c r="AK3348" i="3"/>
  <c r="AK3349" i="3"/>
  <c r="AK3350" i="3"/>
  <c r="AK3351" i="3"/>
  <c r="M187" i="10"/>
  <c r="M3315" i="3"/>
  <c r="M3316" i="3"/>
  <c r="M3317" i="3"/>
  <c r="M3318" i="3"/>
  <c r="M3319" i="3"/>
  <c r="M3320" i="3"/>
  <c r="M3321" i="3"/>
  <c r="M3322" i="3"/>
  <c r="M3323" i="3"/>
  <c r="M3324" i="3"/>
  <c r="M3325" i="3"/>
  <c r="M3326" i="3"/>
  <c r="M3327" i="3"/>
  <c r="M3328" i="3"/>
  <c r="P3315" i="3"/>
  <c r="P3316" i="3"/>
  <c r="P3317" i="3"/>
  <c r="P3318" i="3"/>
  <c r="P3319" i="3"/>
  <c r="P3320" i="3"/>
  <c r="P3321" i="3"/>
  <c r="P3322" i="3"/>
  <c r="P3323" i="3"/>
  <c r="P3324" i="3"/>
  <c r="P3325" i="3"/>
  <c r="P3326" i="3"/>
  <c r="P3327" i="3"/>
  <c r="P3328" i="3"/>
  <c r="Q3315" i="3"/>
  <c r="Q3316" i="3"/>
  <c r="Q3317" i="3"/>
  <c r="Q3318" i="3"/>
  <c r="Q3319" i="3"/>
  <c r="Q3320" i="3"/>
  <c r="Q3321" i="3"/>
  <c r="Q3322" i="3"/>
  <c r="Q3323" i="3"/>
  <c r="Q3324" i="3"/>
  <c r="Q3325" i="3"/>
  <c r="Q3326" i="3"/>
  <c r="Q3327" i="3"/>
  <c r="Q3328" i="3"/>
  <c r="R3315" i="3"/>
  <c r="R3316" i="3"/>
  <c r="R3317" i="3"/>
  <c r="R3318" i="3"/>
  <c r="R3319" i="3"/>
  <c r="R3320" i="3"/>
  <c r="R3321" i="3"/>
  <c r="R3322" i="3"/>
  <c r="R3323" i="3"/>
  <c r="R3324" i="3"/>
  <c r="R3325" i="3"/>
  <c r="R3326" i="3"/>
  <c r="R3327" i="3"/>
  <c r="R3328" i="3"/>
  <c r="S3316" i="3"/>
  <c r="S3317" i="3"/>
  <c r="S3318" i="3"/>
  <c r="S3319" i="3"/>
  <c r="S3320" i="3"/>
  <c r="S3321" i="3"/>
  <c r="S3322" i="3"/>
  <c r="S3323" i="3"/>
  <c r="S3324" i="3"/>
  <c r="S3325" i="3"/>
  <c r="S3326" i="3"/>
  <c r="S3327" i="3"/>
  <c r="S3328" i="3"/>
  <c r="T3315" i="3"/>
  <c r="U3315" i="3"/>
  <c r="V3315" i="3"/>
  <c r="W3315" i="3"/>
  <c r="X3315" i="3"/>
  <c r="AA3315" i="3"/>
  <c r="AA3316" i="3"/>
  <c r="AA3317" i="3"/>
  <c r="AA3318" i="3"/>
  <c r="AA3319" i="3"/>
  <c r="AA3320" i="3"/>
  <c r="AA3321" i="3"/>
  <c r="AA3322" i="3"/>
  <c r="AA3323" i="3"/>
  <c r="AA3324" i="3"/>
  <c r="AA3325" i="3"/>
  <c r="AA3326" i="3"/>
  <c r="AA3327" i="3"/>
  <c r="AA3328" i="3"/>
  <c r="AB3315" i="3"/>
  <c r="O3315" i="3" s="1"/>
  <c r="AB3316" i="3"/>
  <c r="O3316" i="3" s="1"/>
  <c r="AB3317" i="3"/>
  <c r="O3317" i="3" s="1"/>
  <c r="AB3318" i="3"/>
  <c r="O3318" i="3" s="1"/>
  <c r="AB3319" i="3"/>
  <c r="O3319" i="3" s="1"/>
  <c r="AB3320" i="3"/>
  <c r="O3320" i="3" s="1"/>
  <c r="AB3321" i="3"/>
  <c r="O3321" i="3" s="1"/>
  <c r="AB3322" i="3"/>
  <c r="O3322" i="3" s="1"/>
  <c r="AB3323" i="3"/>
  <c r="O3323" i="3" s="1"/>
  <c r="AB3324" i="3"/>
  <c r="O3324" i="3" s="1"/>
  <c r="AB3325" i="3"/>
  <c r="O3325" i="3" s="1"/>
  <c r="AB3326" i="3"/>
  <c r="O3326" i="3" s="1"/>
  <c r="AB3327" i="3"/>
  <c r="O3327" i="3" s="1"/>
  <c r="AB3328" i="3"/>
  <c r="O3328" i="3" s="1"/>
  <c r="AC3315" i="3"/>
  <c r="N3315" i="3" s="1"/>
  <c r="AC3316" i="3"/>
  <c r="N3316" i="3" s="1"/>
  <c r="AC3317" i="3"/>
  <c r="N3317" i="3" s="1"/>
  <c r="AC3318" i="3"/>
  <c r="N3318" i="3" s="1"/>
  <c r="AC3319" i="3"/>
  <c r="N3319" i="3" s="1"/>
  <c r="AC3320" i="3"/>
  <c r="N3320" i="3" s="1"/>
  <c r="AC3321" i="3"/>
  <c r="N3321" i="3" s="1"/>
  <c r="AC3322" i="3"/>
  <c r="N3322" i="3" s="1"/>
  <c r="AC3323" i="3"/>
  <c r="N3323" i="3" s="1"/>
  <c r="AC3324" i="3"/>
  <c r="N3324" i="3" s="1"/>
  <c r="AC3325" i="3"/>
  <c r="N3325" i="3" s="1"/>
  <c r="AC3326" i="3"/>
  <c r="N3326" i="3" s="1"/>
  <c r="AC3327" i="3"/>
  <c r="N3327" i="3" s="1"/>
  <c r="AC3328" i="3"/>
  <c r="N3328" i="3" s="1"/>
  <c r="AK3315" i="3"/>
  <c r="AK3316" i="3"/>
  <c r="AK3317" i="3"/>
  <c r="AK3318" i="3"/>
  <c r="AK3319" i="3"/>
  <c r="AK3320" i="3"/>
  <c r="AK3321" i="3"/>
  <c r="AK3322" i="3"/>
  <c r="AK3323" i="3"/>
  <c r="AK3324" i="3"/>
  <c r="AK3325" i="3"/>
  <c r="AK3326" i="3"/>
  <c r="AK3327" i="3"/>
  <c r="AK3328" i="3"/>
  <c r="M186" i="10"/>
  <c r="M3290" i="3"/>
  <c r="M3291" i="3"/>
  <c r="M3292" i="3"/>
  <c r="M3293" i="3"/>
  <c r="M3294" i="3"/>
  <c r="M3295" i="3"/>
  <c r="M3296" i="3"/>
  <c r="M3297" i="3"/>
  <c r="M3298" i="3"/>
  <c r="M3299" i="3"/>
  <c r="M3300" i="3"/>
  <c r="M3301" i="3"/>
  <c r="M3302" i="3"/>
  <c r="M3303" i="3"/>
  <c r="M3304" i="3"/>
  <c r="M3305" i="3"/>
  <c r="M3306" i="3"/>
  <c r="M3307" i="3"/>
  <c r="M3308" i="3"/>
  <c r="M3309" i="3"/>
  <c r="M3310" i="3"/>
  <c r="M3311" i="3"/>
  <c r="M3312" i="3"/>
  <c r="M3313" i="3"/>
  <c r="M3314" i="3"/>
  <c r="P3290" i="3"/>
  <c r="P3291" i="3"/>
  <c r="P3292" i="3"/>
  <c r="P3293" i="3"/>
  <c r="P3294" i="3"/>
  <c r="P3295" i="3"/>
  <c r="P3296" i="3"/>
  <c r="P3297" i="3"/>
  <c r="P3298" i="3"/>
  <c r="P3299" i="3"/>
  <c r="P3300" i="3"/>
  <c r="P3301" i="3"/>
  <c r="P3302" i="3"/>
  <c r="P3303" i="3"/>
  <c r="P3304" i="3"/>
  <c r="P3305" i="3"/>
  <c r="P3306" i="3"/>
  <c r="P3307" i="3"/>
  <c r="P3308" i="3"/>
  <c r="P3309" i="3"/>
  <c r="P3310" i="3"/>
  <c r="P3311" i="3"/>
  <c r="P3312" i="3"/>
  <c r="P3313" i="3"/>
  <c r="P3314" i="3"/>
  <c r="Q3290" i="3"/>
  <c r="Q3291" i="3"/>
  <c r="Q3292" i="3"/>
  <c r="Q3293" i="3"/>
  <c r="Q3294" i="3"/>
  <c r="Q3295" i="3"/>
  <c r="Q3296" i="3"/>
  <c r="Q3297" i="3"/>
  <c r="Q3298" i="3"/>
  <c r="Q3299" i="3"/>
  <c r="Q3300" i="3"/>
  <c r="Q3301" i="3"/>
  <c r="Q3302" i="3"/>
  <c r="Q3303" i="3"/>
  <c r="Q3304" i="3"/>
  <c r="Q3305" i="3"/>
  <c r="Q3306" i="3"/>
  <c r="Q3307" i="3"/>
  <c r="Q3308" i="3"/>
  <c r="Q3309" i="3"/>
  <c r="Q3310" i="3"/>
  <c r="Q3311" i="3"/>
  <c r="Q3312" i="3"/>
  <c r="Q3313" i="3"/>
  <c r="Q3314" i="3"/>
  <c r="R3290" i="3"/>
  <c r="R3291" i="3"/>
  <c r="R3292" i="3"/>
  <c r="R3293" i="3"/>
  <c r="R3294" i="3"/>
  <c r="R3295" i="3"/>
  <c r="R3296" i="3"/>
  <c r="R3297" i="3"/>
  <c r="R3298" i="3"/>
  <c r="R3299" i="3"/>
  <c r="R3300" i="3"/>
  <c r="R3301" i="3"/>
  <c r="R3302" i="3"/>
  <c r="R3303" i="3"/>
  <c r="R3304" i="3"/>
  <c r="R3305" i="3"/>
  <c r="R3306" i="3"/>
  <c r="R3307" i="3"/>
  <c r="R3308" i="3"/>
  <c r="R3309" i="3"/>
  <c r="R3310" i="3"/>
  <c r="R3311" i="3"/>
  <c r="R3312" i="3"/>
  <c r="R3313" i="3"/>
  <c r="R3314" i="3"/>
  <c r="S3291" i="3"/>
  <c r="S3292" i="3"/>
  <c r="S3293" i="3"/>
  <c r="S3294" i="3"/>
  <c r="S3295" i="3"/>
  <c r="S3296" i="3"/>
  <c r="S3297" i="3"/>
  <c r="S3298" i="3"/>
  <c r="S3299" i="3"/>
  <c r="S3300" i="3"/>
  <c r="S3302" i="3"/>
  <c r="S3303" i="3"/>
  <c r="S3304" i="3"/>
  <c r="S3305" i="3"/>
  <c r="S3306" i="3"/>
  <c r="S3307" i="3"/>
  <c r="S3308" i="3"/>
  <c r="S3309" i="3"/>
  <c r="S3310" i="3"/>
  <c r="S3311" i="3"/>
  <c r="S3312" i="3"/>
  <c r="S3313" i="3"/>
  <c r="S3314" i="3"/>
  <c r="T3290" i="3"/>
  <c r="T3301" i="3"/>
  <c r="U3290" i="3"/>
  <c r="U3301" i="3"/>
  <c r="V3290" i="3"/>
  <c r="V3301" i="3"/>
  <c r="W3290" i="3"/>
  <c r="W3301" i="3"/>
  <c r="X3290" i="3"/>
  <c r="X3301" i="3"/>
  <c r="AA3290" i="3"/>
  <c r="AA3291" i="3"/>
  <c r="AA3292" i="3"/>
  <c r="AA3293" i="3"/>
  <c r="AA3294" i="3"/>
  <c r="AA3295" i="3"/>
  <c r="AA3296" i="3"/>
  <c r="AA3297" i="3"/>
  <c r="AA3298" i="3"/>
  <c r="AA3299" i="3"/>
  <c r="AA3300" i="3"/>
  <c r="AA3301" i="3"/>
  <c r="AA3302" i="3"/>
  <c r="AA3303" i="3"/>
  <c r="AA3304" i="3"/>
  <c r="AA3305" i="3"/>
  <c r="AA3306" i="3"/>
  <c r="AA3307" i="3"/>
  <c r="AA3308" i="3"/>
  <c r="AA3309" i="3"/>
  <c r="AA3310" i="3"/>
  <c r="AA3311" i="3"/>
  <c r="AA3312" i="3"/>
  <c r="AA3313" i="3"/>
  <c r="AA3314" i="3"/>
  <c r="AB3290" i="3"/>
  <c r="O3290" i="3" s="1"/>
  <c r="Y3290" i="3" s="1"/>
  <c r="AB3291" i="3"/>
  <c r="O3291" i="3" s="1"/>
  <c r="AB3292" i="3"/>
  <c r="O3292" i="3" s="1"/>
  <c r="AB3293" i="3"/>
  <c r="O3293" i="3" s="1"/>
  <c r="AB3294" i="3"/>
  <c r="O3294" i="3" s="1"/>
  <c r="AB3295" i="3"/>
  <c r="O3295" i="3" s="1"/>
  <c r="AB3296" i="3"/>
  <c r="O3296" i="3" s="1"/>
  <c r="AB3297" i="3"/>
  <c r="O3297" i="3" s="1"/>
  <c r="AB3298" i="3"/>
  <c r="O3298" i="3" s="1"/>
  <c r="AB3299" i="3"/>
  <c r="O3299" i="3" s="1"/>
  <c r="AB3300" i="3"/>
  <c r="O3300" i="3" s="1"/>
  <c r="AB3301" i="3"/>
  <c r="O3301" i="3" s="1"/>
  <c r="Y3301" i="3" s="1"/>
  <c r="AB3302" i="3"/>
  <c r="O3302" i="3" s="1"/>
  <c r="AB3303" i="3"/>
  <c r="O3303" i="3" s="1"/>
  <c r="AB3304" i="3"/>
  <c r="O3304" i="3" s="1"/>
  <c r="AB3305" i="3"/>
  <c r="O3305" i="3" s="1"/>
  <c r="AB3306" i="3"/>
  <c r="O3306" i="3" s="1"/>
  <c r="AB3307" i="3"/>
  <c r="O3307" i="3" s="1"/>
  <c r="AB3308" i="3"/>
  <c r="O3308" i="3" s="1"/>
  <c r="AB3309" i="3"/>
  <c r="O3309" i="3" s="1"/>
  <c r="AB3310" i="3"/>
  <c r="O3310" i="3" s="1"/>
  <c r="AB3311" i="3"/>
  <c r="O3311" i="3" s="1"/>
  <c r="AB3312" i="3"/>
  <c r="O3312" i="3" s="1"/>
  <c r="AB3313" i="3"/>
  <c r="O3313" i="3" s="1"/>
  <c r="AB3314" i="3"/>
  <c r="O3314" i="3" s="1"/>
  <c r="AC3290" i="3"/>
  <c r="N3290" i="3" s="1"/>
  <c r="AC3291" i="3"/>
  <c r="N3291" i="3" s="1"/>
  <c r="AC3292" i="3"/>
  <c r="N3292" i="3" s="1"/>
  <c r="AC3293" i="3"/>
  <c r="N3293" i="3" s="1"/>
  <c r="AC3294" i="3"/>
  <c r="N3294" i="3" s="1"/>
  <c r="AC3295" i="3"/>
  <c r="N3295" i="3" s="1"/>
  <c r="AC3296" i="3"/>
  <c r="N3296" i="3" s="1"/>
  <c r="AC3297" i="3"/>
  <c r="N3297" i="3" s="1"/>
  <c r="AC3298" i="3"/>
  <c r="N3298" i="3" s="1"/>
  <c r="AC3299" i="3"/>
  <c r="N3299" i="3" s="1"/>
  <c r="AC3300" i="3"/>
  <c r="N3300" i="3" s="1"/>
  <c r="AC3301" i="3"/>
  <c r="N3301" i="3" s="1"/>
  <c r="AC3302" i="3"/>
  <c r="N3302" i="3" s="1"/>
  <c r="AC3303" i="3"/>
  <c r="N3303" i="3" s="1"/>
  <c r="AC3304" i="3"/>
  <c r="N3304" i="3" s="1"/>
  <c r="AC3305" i="3"/>
  <c r="N3305" i="3" s="1"/>
  <c r="AC3306" i="3"/>
  <c r="N3306" i="3" s="1"/>
  <c r="AC3307" i="3"/>
  <c r="N3307" i="3" s="1"/>
  <c r="AC3308" i="3"/>
  <c r="N3308" i="3" s="1"/>
  <c r="AC3309" i="3"/>
  <c r="N3309" i="3" s="1"/>
  <c r="AC3310" i="3"/>
  <c r="N3310" i="3" s="1"/>
  <c r="AC3311" i="3"/>
  <c r="N3311" i="3" s="1"/>
  <c r="AC3312" i="3"/>
  <c r="N3312" i="3" s="1"/>
  <c r="AC3313" i="3"/>
  <c r="N3313" i="3" s="1"/>
  <c r="AC3314" i="3"/>
  <c r="N3314" i="3" s="1"/>
  <c r="AK3290" i="3"/>
  <c r="AK3291" i="3"/>
  <c r="AK3292" i="3"/>
  <c r="AK3293" i="3"/>
  <c r="AK3294" i="3"/>
  <c r="AK3295" i="3"/>
  <c r="AK3296" i="3"/>
  <c r="AK3297" i="3"/>
  <c r="AK3298" i="3"/>
  <c r="AK3299" i="3"/>
  <c r="AK3300" i="3"/>
  <c r="AK3301" i="3"/>
  <c r="AK3302" i="3"/>
  <c r="AK3303" i="3"/>
  <c r="AK3304" i="3"/>
  <c r="AK3305" i="3"/>
  <c r="AK3306" i="3"/>
  <c r="AK3307" i="3"/>
  <c r="AK3308" i="3"/>
  <c r="AK3309" i="3"/>
  <c r="AK3310" i="3"/>
  <c r="AK3311" i="3"/>
  <c r="AK3312" i="3"/>
  <c r="AK3313" i="3"/>
  <c r="AK3314" i="3"/>
  <c r="M185" i="10"/>
  <c r="M3268" i="3"/>
  <c r="M3269" i="3"/>
  <c r="M3270" i="3"/>
  <c r="M3271" i="3"/>
  <c r="M3272" i="3"/>
  <c r="M3273" i="3"/>
  <c r="M3274" i="3"/>
  <c r="M3275" i="3"/>
  <c r="M3276" i="3"/>
  <c r="M3277" i="3"/>
  <c r="M3278" i="3"/>
  <c r="M3279" i="3"/>
  <c r="M3280" i="3"/>
  <c r="M3281" i="3"/>
  <c r="M3282" i="3"/>
  <c r="M3283" i="3"/>
  <c r="M3284" i="3"/>
  <c r="M3285" i="3"/>
  <c r="M3286" i="3"/>
  <c r="M3287" i="3"/>
  <c r="M3288" i="3"/>
  <c r="M3289" i="3"/>
  <c r="P3268" i="3"/>
  <c r="P3269" i="3"/>
  <c r="P3270" i="3"/>
  <c r="P3271" i="3"/>
  <c r="P3272" i="3"/>
  <c r="P3273" i="3"/>
  <c r="P3274" i="3"/>
  <c r="P3275" i="3"/>
  <c r="P3276" i="3"/>
  <c r="P3277" i="3"/>
  <c r="P3278" i="3"/>
  <c r="P3279" i="3"/>
  <c r="P3280" i="3"/>
  <c r="P3281" i="3"/>
  <c r="P3282" i="3"/>
  <c r="P3283" i="3"/>
  <c r="P3284" i="3"/>
  <c r="P3285" i="3"/>
  <c r="P3286" i="3"/>
  <c r="P3287" i="3"/>
  <c r="P3288" i="3"/>
  <c r="P3289" i="3"/>
  <c r="Q3268" i="3"/>
  <c r="Q3269" i="3"/>
  <c r="Q3270" i="3"/>
  <c r="Q3271" i="3"/>
  <c r="Q3272" i="3"/>
  <c r="Q3273" i="3"/>
  <c r="Q3274" i="3"/>
  <c r="Q3275" i="3"/>
  <c r="Q3276" i="3"/>
  <c r="Q3277" i="3"/>
  <c r="Q3278" i="3"/>
  <c r="Q3279" i="3"/>
  <c r="Q3280" i="3"/>
  <c r="Q3281" i="3"/>
  <c r="Q3282" i="3"/>
  <c r="Q3283" i="3"/>
  <c r="Q3284" i="3"/>
  <c r="Q3285" i="3"/>
  <c r="Q3286" i="3"/>
  <c r="Q3287" i="3"/>
  <c r="Q3288" i="3"/>
  <c r="Q3289" i="3"/>
  <c r="R3268" i="3"/>
  <c r="R3269" i="3"/>
  <c r="R3270" i="3"/>
  <c r="R3271" i="3"/>
  <c r="R3272" i="3"/>
  <c r="R3273" i="3"/>
  <c r="R3274" i="3"/>
  <c r="R3275" i="3"/>
  <c r="R3276" i="3"/>
  <c r="R3277" i="3"/>
  <c r="R3278" i="3"/>
  <c r="R3279" i="3"/>
  <c r="R3280" i="3"/>
  <c r="R3281" i="3"/>
  <c r="R3282" i="3"/>
  <c r="R3283" i="3"/>
  <c r="R3284" i="3"/>
  <c r="R3285" i="3"/>
  <c r="R3286" i="3"/>
  <c r="R3287" i="3"/>
  <c r="R3288" i="3"/>
  <c r="R3289" i="3"/>
  <c r="S3269" i="3"/>
  <c r="S3270" i="3"/>
  <c r="S3271" i="3"/>
  <c r="S3272" i="3"/>
  <c r="S3273" i="3"/>
  <c r="S3274" i="3"/>
  <c r="S3275" i="3"/>
  <c r="S3276" i="3"/>
  <c r="S3277" i="3"/>
  <c r="S3278" i="3"/>
  <c r="S3280" i="3"/>
  <c r="S3281" i="3"/>
  <c r="S3282" i="3"/>
  <c r="S3283" i="3"/>
  <c r="S3284" i="3"/>
  <c r="S3285" i="3"/>
  <c r="S3286" i="3"/>
  <c r="S3287" i="3"/>
  <c r="S3288" i="3"/>
  <c r="S3289" i="3"/>
  <c r="T3268" i="3"/>
  <c r="T3279" i="3"/>
  <c r="U3268" i="3"/>
  <c r="U3279" i="3"/>
  <c r="V3268" i="3"/>
  <c r="V3279" i="3"/>
  <c r="W3268" i="3"/>
  <c r="W3279" i="3"/>
  <c r="X3268" i="3"/>
  <c r="X3279" i="3"/>
  <c r="AA3268" i="3"/>
  <c r="AA3269" i="3"/>
  <c r="AA3270" i="3"/>
  <c r="AA3271" i="3"/>
  <c r="AA3272" i="3"/>
  <c r="AA3273" i="3"/>
  <c r="AA3274" i="3"/>
  <c r="AA3275" i="3"/>
  <c r="AA3276" i="3"/>
  <c r="AA3277" i="3"/>
  <c r="AA3278" i="3"/>
  <c r="AA3279" i="3"/>
  <c r="AA3280" i="3"/>
  <c r="AA3281" i="3"/>
  <c r="AA3282" i="3"/>
  <c r="AA3283" i="3"/>
  <c r="AA3284" i="3"/>
  <c r="AA3285" i="3"/>
  <c r="AA3286" i="3"/>
  <c r="AA3287" i="3"/>
  <c r="AA3288" i="3"/>
  <c r="AA3289" i="3"/>
  <c r="AB3268" i="3"/>
  <c r="O3268" i="3" s="1"/>
  <c r="Y3268" i="3" s="1"/>
  <c r="AB3269" i="3"/>
  <c r="O3269" i="3" s="1"/>
  <c r="AB3270" i="3"/>
  <c r="O3270" i="3" s="1"/>
  <c r="AB3271" i="3"/>
  <c r="O3271" i="3" s="1"/>
  <c r="AB3272" i="3"/>
  <c r="O3272" i="3" s="1"/>
  <c r="AB3273" i="3"/>
  <c r="O3273" i="3" s="1"/>
  <c r="AB3274" i="3"/>
  <c r="O3274" i="3" s="1"/>
  <c r="AB3275" i="3"/>
  <c r="O3275" i="3" s="1"/>
  <c r="AB3276" i="3"/>
  <c r="O3276" i="3" s="1"/>
  <c r="AB3277" i="3"/>
  <c r="O3277" i="3" s="1"/>
  <c r="AB3278" i="3"/>
  <c r="O3278" i="3" s="1"/>
  <c r="AB3279" i="3"/>
  <c r="O3279" i="3" s="1"/>
  <c r="AB3280" i="3"/>
  <c r="O3280" i="3" s="1"/>
  <c r="AB3281" i="3"/>
  <c r="O3281" i="3" s="1"/>
  <c r="AB3282" i="3"/>
  <c r="O3282" i="3" s="1"/>
  <c r="AB3283" i="3"/>
  <c r="O3283" i="3" s="1"/>
  <c r="AB3284" i="3"/>
  <c r="O3284" i="3" s="1"/>
  <c r="AB3285" i="3"/>
  <c r="O3285" i="3" s="1"/>
  <c r="AB3286" i="3"/>
  <c r="O3286" i="3" s="1"/>
  <c r="AB3287" i="3"/>
  <c r="O3287" i="3" s="1"/>
  <c r="AB3288" i="3"/>
  <c r="O3288" i="3" s="1"/>
  <c r="AB3289" i="3"/>
  <c r="O3289" i="3" s="1"/>
  <c r="AC3268" i="3"/>
  <c r="N3268" i="3" s="1"/>
  <c r="S3268" i="3" s="1"/>
  <c r="AC3269" i="3"/>
  <c r="N3269" i="3" s="1"/>
  <c r="AC3270" i="3"/>
  <c r="N3270" i="3" s="1"/>
  <c r="AC3271" i="3"/>
  <c r="N3271" i="3" s="1"/>
  <c r="AC3272" i="3"/>
  <c r="N3272" i="3" s="1"/>
  <c r="AC3273" i="3"/>
  <c r="N3273" i="3" s="1"/>
  <c r="AC3274" i="3"/>
  <c r="N3274" i="3" s="1"/>
  <c r="AC3275" i="3"/>
  <c r="N3275" i="3" s="1"/>
  <c r="AC3276" i="3"/>
  <c r="N3276" i="3" s="1"/>
  <c r="AC3277" i="3"/>
  <c r="N3277" i="3" s="1"/>
  <c r="AC3278" i="3"/>
  <c r="N3278" i="3" s="1"/>
  <c r="AC3279" i="3"/>
  <c r="N3279" i="3" s="1"/>
  <c r="AC3280" i="3"/>
  <c r="N3280" i="3" s="1"/>
  <c r="AC3281" i="3"/>
  <c r="N3281" i="3" s="1"/>
  <c r="AC3282" i="3"/>
  <c r="N3282" i="3" s="1"/>
  <c r="AC3283" i="3"/>
  <c r="N3283" i="3" s="1"/>
  <c r="AC3284" i="3"/>
  <c r="N3284" i="3" s="1"/>
  <c r="AC3285" i="3"/>
  <c r="N3285" i="3" s="1"/>
  <c r="AC3286" i="3"/>
  <c r="N3286" i="3" s="1"/>
  <c r="AC3287" i="3"/>
  <c r="N3287" i="3" s="1"/>
  <c r="AC3288" i="3"/>
  <c r="N3288" i="3" s="1"/>
  <c r="AC3289" i="3"/>
  <c r="N3289" i="3" s="1"/>
  <c r="AK3268" i="3"/>
  <c r="AK3269" i="3"/>
  <c r="AK3270" i="3"/>
  <c r="AK3271" i="3"/>
  <c r="AK3272" i="3"/>
  <c r="AK3273" i="3"/>
  <c r="AK3274" i="3"/>
  <c r="AK3275" i="3"/>
  <c r="AK3276" i="3"/>
  <c r="AK3277" i="3"/>
  <c r="AK3278" i="3"/>
  <c r="AK3279" i="3"/>
  <c r="AK3280" i="3"/>
  <c r="AK3281" i="3"/>
  <c r="AK3282" i="3"/>
  <c r="AK3283" i="3"/>
  <c r="AK3284" i="3"/>
  <c r="AK3285" i="3"/>
  <c r="AK3286" i="3"/>
  <c r="AK3287" i="3"/>
  <c r="AK3288" i="3"/>
  <c r="AK3289" i="3"/>
  <c r="M184" i="10"/>
  <c r="M3244" i="3"/>
  <c r="M3245" i="3"/>
  <c r="M3246" i="3"/>
  <c r="M3247" i="3"/>
  <c r="M3248" i="3"/>
  <c r="M3249" i="3"/>
  <c r="M3250" i="3"/>
  <c r="M3251" i="3"/>
  <c r="M3252" i="3"/>
  <c r="M3253" i="3"/>
  <c r="M3254" i="3"/>
  <c r="M3255" i="3"/>
  <c r="M3256" i="3"/>
  <c r="M3257" i="3"/>
  <c r="M3258" i="3"/>
  <c r="M3259" i="3"/>
  <c r="M3260" i="3"/>
  <c r="M3261" i="3"/>
  <c r="M3262" i="3"/>
  <c r="M3263" i="3"/>
  <c r="M3264" i="3"/>
  <c r="M3265" i="3"/>
  <c r="M3266" i="3"/>
  <c r="M3267" i="3"/>
  <c r="P3244" i="3"/>
  <c r="P3245" i="3"/>
  <c r="P3246" i="3"/>
  <c r="P3247" i="3"/>
  <c r="P3248" i="3"/>
  <c r="P3249" i="3"/>
  <c r="P3250" i="3"/>
  <c r="P3251" i="3"/>
  <c r="P3252" i="3"/>
  <c r="P3253" i="3"/>
  <c r="P3254" i="3"/>
  <c r="P3255" i="3"/>
  <c r="P3256" i="3"/>
  <c r="P3257" i="3"/>
  <c r="P3258" i="3"/>
  <c r="P3259" i="3"/>
  <c r="P3260" i="3"/>
  <c r="P3261" i="3"/>
  <c r="P3262" i="3"/>
  <c r="P3263" i="3"/>
  <c r="P3264" i="3"/>
  <c r="P3265" i="3"/>
  <c r="P3266" i="3"/>
  <c r="P3267" i="3"/>
  <c r="Q3244" i="3"/>
  <c r="Q3245" i="3"/>
  <c r="Q3246" i="3"/>
  <c r="Q3247" i="3"/>
  <c r="Q3248" i="3"/>
  <c r="Q3249" i="3"/>
  <c r="Q3250" i="3"/>
  <c r="Q3251" i="3"/>
  <c r="Q3252" i="3"/>
  <c r="Q3253" i="3"/>
  <c r="Q3254" i="3"/>
  <c r="Q3255" i="3"/>
  <c r="Q3256" i="3"/>
  <c r="Q3257" i="3"/>
  <c r="Q3258" i="3"/>
  <c r="Q3259" i="3"/>
  <c r="Q3260" i="3"/>
  <c r="Q3261" i="3"/>
  <c r="Q3262" i="3"/>
  <c r="Q3263" i="3"/>
  <c r="Q3264" i="3"/>
  <c r="Q3265" i="3"/>
  <c r="Q3266" i="3"/>
  <c r="Q3267" i="3"/>
  <c r="R3244" i="3"/>
  <c r="R3245" i="3"/>
  <c r="R3246" i="3"/>
  <c r="R3247" i="3"/>
  <c r="R3248" i="3"/>
  <c r="R3249" i="3"/>
  <c r="R3250" i="3"/>
  <c r="R3251" i="3"/>
  <c r="R3252" i="3"/>
  <c r="R3253" i="3"/>
  <c r="R3254" i="3"/>
  <c r="R3255" i="3"/>
  <c r="R3256" i="3"/>
  <c r="R3257" i="3"/>
  <c r="R3258" i="3"/>
  <c r="R3259" i="3"/>
  <c r="R3260" i="3"/>
  <c r="R3261" i="3"/>
  <c r="R3262" i="3"/>
  <c r="R3263" i="3"/>
  <c r="R3264" i="3"/>
  <c r="R3265" i="3"/>
  <c r="R3266" i="3"/>
  <c r="R3267" i="3"/>
  <c r="S3245" i="3"/>
  <c r="S3246" i="3"/>
  <c r="S3247" i="3"/>
  <c r="S3248" i="3"/>
  <c r="S3249" i="3"/>
  <c r="S3250" i="3"/>
  <c r="S3251" i="3"/>
  <c r="S3252" i="3"/>
  <c r="S3253" i="3"/>
  <c r="S3254" i="3"/>
  <c r="S3256" i="3"/>
  <c r="S3257" i="3"/>
  <c r="S3258" i="3"/>
  <c r="S3259" i="3"/>
  <c r="S3260" i="3"/>
  <c r="S3261" i="3"/>
  <c r="S3262" i="3"/>
  <c r="S3263" i="3"/>
  <c r="S3264" i="3"/>
  <c r="S3265" i="3"/>
  <c r="S3266" i="3"/>
  <c r="S3267" i="3"/>
  <c r="T3244" i="3"/>
  <c r="T3255" i="3"/>
  <c r="U3244" i="3"/>
  <c r="U3255" i="3"/>
  <c r="V3244" i="3"/>
  <c r="V3255" i="3"/>
  <c r="W3244" i="3"/>
  <c r="W3255" i="3"/>
  <c r="X3244" i="3"/>
  <c r="X3255" i="3"/>
  <c r="AA3244" i="3"/>
  <c r="AA3245" i="3"/>
  <c r="AA3246" i="3"/>
  <c r="AA3247" i="3"/>
  <c r="AA3248" i="3"/>
  <c r="AA3249" i="3"/>
  <c r="AA3250" i="3"/>
  <c r="AA3251" i="3"/>
  <c r="AA3252" i="3"/>
  <c r="AA3253" i="3"/>
  <c r="AA3254" i="3"/>
  <c r="AA3255" i="3"/>
  <c r="AA3256" i="3"/>
  <c r="AA3257" i="3"/>
  <c r="AA3258" i="3"/>
  <c r="AA3259" i="3"/>
  <c r="AA3260" i="3"/>
  <c r="AA3261" i="3"/>
  <c r="AA3262" i="3"/>
  <c r="AA3263" i="3"/>
  <c r="AA3264" i="3"/>
  <c r="AA3265" i="3"/>
  <c r="AA3266" i="3"/>
  <c r="AA3267" i="3"/>
  <c r="AB3244" i="3"/>
  <c r="O3244" i="3" s="1"/>
  <c r="Y3244" i="3" s="1"/>
  <c r="AB3245" i="3"/>
  <c r="O3245" i="3" s="1"/>
  <c r="AB3246" i="3"/>
  <c r="O3246" i="3" s="1"/>
  <c r="AB3247" i="3"/>
  <c r="O3247" i="3" s="1"/>
  <c r="AB3248" i="3"/>
  <c r="O3248" i="3" s="1"/>
  <c r="AB3249" i="3"/>
  <c r="O3249" i="3" s="1"/>
  <c r="AB3250" i="3"/>
  <c r="O3250" i="3" s="1"/>
  <c r="AB3251" i="3"/>
  <c r="O3251" i="3" s="1"/>
  <c r="AB3252" i="3"/>
  <c r="O3252" i="3" s="1"/>
  <c r="AB3253" i="3"/>
  <c r="O3253" i="3" s="1"/>
  <c r="AB3254" i="3"/>
  <c r="O3254" i="3" s="1"/>
  <c r="AB3255" i="3"/>
  <c r="O3255" i="3" s="1"/>
  <c r="Y3255" i="3" s="1"/>
  <c r="AB3256" i="3"/>
  <c r="O3256" i="3" s="1"/>
  <c r="AB3257" i="3"/>
  <c r="O3257" i="3" s="1"/>
  <c r="AB3258" i="3"/>
  <c r="O3258" i="3" s="1"/>
  <c r="AB3259" i="3"/>
  <c r="O3259" i="3" s="1"/>
  <c r="AB3260" i="3"/>
  <c r="O3260" i="3" s="1"/>
  <c r="AB3261" i="3"/>
  <c r="O3261" i="3" s="1"/>
  <c r="AB3262" i="3"/>
  <c r="O3262" i="3" s="1"/>
  <c r="AB3263" i="3"/>
  <c r="O3263" i="3" s="1"/>
  <c r="AB3264" i="3"/>
  <c r="O3264" i="3" s="1"/>
  <c r="AB3265" i="3"/>
  <c r="O3265" i="3" s="1"/>
  <c r="AB3266" i="3"/>
  <c r="O3266" i="3" s="1"/>
  <c r="AB3267" i="3"/>
  <c r="O3267" i="3" s="1"/>
  <c r="AC3244" i="3"/>
  <c r="N3244" i="3" s="1"/>
  <c r="S3244" i="3" s="1"/>
  <c r="AC3245" i="3"/>
  <c r="N3245" i="3" s="1"/>
  <c r="AC3246" i="3"/>
  <c r="N3246" i="3" s="1"/>
  <c r="AC3247" i="3"/>
  <c r="N3247" i="3" s="1"/>
  <c r="AC3248" i="3"/>
  <c r="N3248" i="3" s="1"/>
  <c r="AC3249" i="3"/>
  <c r="N3249" i="3" s="1"/>
  <c r="AC3250" i="3"/>
  <c r="N3250" i="3" s="1"/>
  <c r="AC3251" i="3"/>
  <c r="N3251" i="3" s="1"/>
  <c r="AC3252" i="3"/>
  <c r="N3252" i="3" s="1"/>
  <c r="AC3253" i="3"/>
  <c r="N3253" i="3" s="1"/>
  <c r="AC3254" i="3"/>
  <c r="N3254" i="3" s="1"/>
  <c r="AC3255" i="3"/>
  <c r="N3255" i="3" s="1"/>
  <c r="S3255" i="3" s="1"/>
  <c r="AC3256" i="3"/>
  <c r="N3256" i="3" s="1"/>
  <c r="AC3257" i="3"/>
  <c r="N3257" i="3" s="1"/>
  <c r="AC3258" i="3"/>
  <c r="N3258" i="3" s="1"/>
  <c r="AC3259" i="3"/>
  <c r="N3259" i="3" s="1"/>
  <c r="AC3260" i="3"/>
  <c r="N3260" i="3" s="1"/>
  <c r="AC3261" i="3"/>
  <c r="N3261" i="3" s="1"/>
  <c r="AC3262" i="3"/>
  <c r="N3262" i="3" s="1"/>
  <c r="AC3263" i="3"/>
  <c r="N3263" i="3" s="1"/>
  <c r="AC3264" i="3"/>
  <c r="N3264" i="3" s="1"/>
  <c r="AC3265" i="3"/>
  <c r="N3265" i="3" s="1"/>
  <c r="AC3266" i="3"/>
  <c r="N3266" i="3" s="1"/>
  <c r="AC3267" i="3"/>
  <c r="N3267" i="3" s="1"/>
  <c r="AK3244" i="3"/>
  <c r="AK3245" i="3"/>
  <c r="AK3246" i="3"/>
  <c r="AK3247" i="3"/>
  <c r="AK3248" i="3"/>
  <c r="AK3249" i="3"/>
  <c r="AK3250" i="3"/>
  <c r="AK3251" i="3"/>
  <c r="AK3252" i="3"/>
  <c r="AK3253" i="3"/>
  <c r="AK3254" i="3"/>
  <c r="AK3255" i="3"/>
  <c r="AK3256" i="3"/>
  <c r="AK3257" i="3"/>
  <c r="AK3258" i="3"/>
  <c r="AK3259" i="3"/>
  <c r="AK3260" i="3"/>
  <c r="AK3261" i="3"/>
  <c r="AK3262" i="3"/>
  <c r="AK3263" i="3"/>
  <c r="AK3264" i="3"/>
  <c r="AK3265" i="3"/>
  <c r="AK3266" i="3"/>
  <c r="AK3267" i="3"/>
  <c r="M183" i="10"/>
  <c r="M3233" i="3"/>
  <c r="M3234" i="3"/>
  <c r="M3235" i="3"/>
  <c r="M3236" i="3"/>
  <c r="M3237" i="3"/>
  <c r="M3238" i="3"/>
  <c r="M3239" i="3"/>
  <c r="M3240" i="3"/>
  <c r="M3241" i="3"/>
  <c r="M3242" i="3"/>
  <c r="M3243" i="3"/>
  <c r="P3233" i="3"/>
  <c r="P3234" i="3"/>
  <c r="P3235" i="3"/>
  <c r="P3236" i="3"/>
  <c r="P3237" i="3"/>
  <c r="P3238" i="3"/>
  <c r="P3239" i="3"/>
  <c r="P3240" i="3"/>
  <c r="P3241" i="3"/>
  <c r="P3242" i="3"/>
  <c r="P3243" i="3"/>
  <c r="Q3233" i="3"/>
  <c r="Q3234" i="3"/>
  <c r="Q3235" i="3"/>
  <c r="Q3236" i="3"/>
  <c r="Q3237" i="3"/>
  <c r="Q3238" i="3"/>
  <c r="Q3239" i="3"/>
  <c r="Q3240" i="3"/>
  <c r="Q3241" i="3"/>
  <c r="Q3242" i="3"/>
  <c r="Q3243" i="3"/>
  <c r="R3233" i="3"/>
  <c r="R3234" i="3"/>
  <c r="R3235" i="3"/>
  <c r="R3236" i="3"/>
  <c r="R3237" i="3"/>
  <c r="R3238" i="3"/>
  <c r="R3239" i="3"/>
  <c r="R3240" i="3"/>
  <c r="R3241" i="3"/>
  <c r="R3242" i="3"/>
  <c r="R3243" i="3"/>
  <c r="S3234" i="3"/>
  <c r="S3235" i="3"/>
  <c r="S3236" i="3"/>
  <c r="S3237" i="3"/>
  <c r="S3238" i="3"/>
  <c r="S3239" i="3"/>
  <c r="S3240" i="3"/>
  <c r="S3241" i="3"/>
  <c r="S3242" i="3"/>
  <c r="S3243" i="3"/>
  <c r="T3233" i="3"/>
  <c r="U3233" i="3"/>
  <c r="V3233" i="3"/>
  <c r="W3233" i="3"/>
  <c r="X3233" i="3"/>
  <c r="AA3233" i="3"/>
  <c r="AA3234" i="3"/>
  <c r="AA3235" i="3"/>
  <c r="AA3236" i="3"/>
  <c r="AA3237" i="3"/>
  <c r="AA3238" i="3"/>
  <c r="AA3239" i="3"/>
  <c r="AA3240" i="3"/>
  <c r="AA3241" i="3"/>
  <c r="AA3242" i="3"/>
  <c r="AA3243" i="3"/>
  <c r="AB3233" i="3"/>
  <c r="O3233" i="3" s="1"/>
  <c r="Y3233" i="3" s="1"/>
  <c r="AB3234" i="3"/>
  <c r="O3234" i="3" s="1"/>
  <c r="AB3235" i="3"/>
  <c r="O3235" i="3" s="1"/>
  <c r="AB3236" i="3"/>
  <c r="O3236" i="3" s="1"/>
  <c r="AB3237" i="3"/>
  <c r="O3237" i="3" s="1"/>
  <c r="AB3238" i="3"/>
  <c r="O3238" i="3" s="1"/>
  <c r="AB3239" i="3"/>
  <c r="O3239" i="3" s="1"/>
  <c r="AB3240" i="3"/>
  <c r="O3240" i="3" s="1"/>
  <c r="AB3241" i="3"/>
  <c r="O3241" i="3" s="1"/>
  <c r="AB3242" i="3"/>
  <c r="O3242" i="3" s="1"/>
  <c r="AB3243" i="3"/>
  <c r="O3243" i="3" s="1"/>
  <c r="AC3233" i="3"/>
  <c r="N3233" i="3" s="1"/>
  <c r="AC3234" i="3"/>
  <c r="N3234" i="3" s="1"/>
  <c r="AC3235" i="3"/>
  <c r="N3235" i="3" s="1"/>
  <c r="AC3236" i="3"/>
  <c r="N3236" i="3" s="1"/>
  <c r="AC3237" i="3"/>
  <c r="N3237" i="3" s="1"/>
  <c r="AC3238" i="3"/>
  <c r="N3238" i="3" s="1"/>
  <c r="AC3239" i="3"/>
  <c r="N3239" i="3" s="1"/>
  <c r="AC3240" i="3"/>
  <c r="N3240" i="3" s="1"/>
  <c r="AC3241" i="3"/>
  <c r="N3241" i="3" s="1"/>
  <c r="AC3242" i="3"/>
  <c r="N3242" i="3" s="1"/>
  <c r="AC3243" i="3"/>
  <c r="N3243" i="3" s="1"/>
  <c r="AK3233" i="3"/>
  <c r="AK3234" i="3"/>
  <c r="AK3235" i="3"/>
  <c r="AK3236" i="3"/>
  <c r="AK3237" i="3"/>
  <c r="AK3238" i="3"/>
  <c r="AK3239" i="3"/>
  <c r="AK3240" i="3"/>
  <c r="AK3241" i="3"/>
  <c r="AK3242" i="3"/>
  <c r="AK3243" i="3"/>
  <c r="M182" i="10"/>
  <c r="M3222" i="3"/>
  <c r="M3223" i="3"/>
  <c r="M3224" i="3"/>
  <c r="M3225" i="3"/>
  <c r="M3226" i="3"/>
  <c r="M3227" i="3"/>
  <c r="M3228" i="3"/>
  <c r="M3229" i="3"/>
  <c r="M3230" i="3"/>
  <c r="M3231" i="3"/>
  <c r="M3232" i="3"/>
  <c r="P3222" i="3"/>
  <c r="P3223" i="3"/>
  <c r="P3224" i="3"/>
  <c r="P3225" i="3"/>
  <c r="P3226" i="3"/>
  <c r="P3227" i="3"/>
  <c r="P3228" i="3"/>
  <c r="P3229" i="3"/>
  <c r="P3230" i="3"/>
  <c r="P3231" i="3"/>
  <c r="P3232" i="3"/>
  <c r="Q3222" i="3"/>
  <c r="Q3223" i="3"/>
  <c r="Q3224" i="3"/>
  <c r="Q3225" i="3"/>
  <c r="Q3226" i="3"/>
  <c r="Q3227" i="3"/>
  <c r="Q3228" i="3"/>
  <c r="Q3229" i="3"/>
  <c r="Q3230" i="3"/>
  <c r="Q3231" i="3"/>
  <c r="Q3232" i="3"/>
  <c r="R3222" i="3"/>
  <c r="R3223" i="3"/>
  <c r="R3224" i="3"/>
  <c r="R3225" i="3"/>
  <c r="R3226" i="3"/>
  <c r="R3227" i="3"/>
  <c r="R3228" i="3"/>
  <c r="R3229" i="3"/>
  <c r="R3230" i="3"/>
  <c r="R3231" i="3"/>
  <c r="R3232" i="3"/>
  <c r="S3223" i="3"/>
  <c r="S3224" i="3"/>
  <c r="S3225" i="3"/>
  <c r="S3226" i="3"/>
  <c r="S3227" i="3"/>
  <c r="S3228" i="3"/>
  <c r="S3229" i="3"/>
  <c r="S3230" i="3"/>
  <c r="S3231" i="3"/>
  <c r="S3232" i="3"/>
  <c r="T3222" i="3"/>
  <c r="U3222" i="3"/>
  <c r="V3222" i="3"/>
  <c r="W3222" i="3"/>
  <c r="X3222" i="3"/>
  <c r="AA3222" i="3"/>
  <c r="AA3223" i="3"/>
  <c r="AA3224" i="3"/>
  <c r="AA3225" i="3"/>
  <c r="AA3226" i="3"/>
  <c r="AA3227" i="3"/>
  <c r="AA3228" i="3"/>
  <c r="AA3229" i="3"/>
  <c r="AA3230" i="3"/>
  <c r="AA3231" i="3"/>
  <c r="AA3232" i="3"/>
  <c r="AB3222" i="3"/>
  <c r="O3222" i="3" s="1"/>
  <c r="Y3222" i="3" s="1"/>
  <c r="AB3223" i="3"/>
  <c r="O3223" i="3" s="1"/>
  <c r="AB3224" i="3"/>
  <c r="O3224" i="3" s="1"/>
  <c r="AB3225" i="3"/>
  <c r="O3225" i="3" s="1"/>
  <c r="AB3226" i="3"/>
  <c r="O3226" i="3" s="1"/>
  <c r="AB3227" i="3"/>
  <c r="O3227" i="3" s="1"/>
  <c r="AB3228" i="3"/>
  <c r="O3228" i="3" s="1"/>
  <c r="AB3229" i="3"/>
  <c r="O3229" i="3" s="1"/>
  <c r="AB3230" i="3"/>
  <c r="O3230" i="3" s="1"/>
  <c r="AB3231" i="3"/>
  <c r="O3231" i="3" s="1"/>
  <c r="AB3232" i="3"/>
  <c r="O3232" i="3" s="1"/>
  <c r="AC3222" i="3"/>
  <c r="N3222" i="3" s="1"/>
  <c r="AC3223" i="3"/>
  <c r="N3223" i="3" s="1"/>
  <c r="AC3224" i="3"/>
  <c r="N3224" i="3" s="1"/>
  <c r="AC3225" i="3"/>
  <c r="N3225" i="3" s="1"/>
  <c r="AC3226" i="3"/>
  <c r="N3226" i="3" s="1"/>
  <c r="AC3227" i="3"/>
  <c r="N3227" i="3" s="1"/>
  <c r="AC3228" i="3"/>
  <c r="N3228" i="3" s="1"/>
  <c r="AC3229" i="3"/>
  <c r="N3229" i="3" s="1"/>
  <c r="AC3230" i="3"/>
  <c r="N3230" i="3" s="1"/>
  <c r="AC3231" i="3"/>
  <c r="N3231" i="3" s="1"/>
  <c r="AC3232" i="3"/>
  <c r="N3232" i="3" s="1"/>
  <c r="AK3222" i="3"/>
  <c r="AK3223" i="3"/>
  <c r="AK3224" i="3"/>
  <c r="AK3225" i="3"/>
  <c r="AK3226" i="3"/>
  <c r="AK3227" i="3"/>
  <c r="AK3228" i="3"/>
  <c r="AK3229" i="3"/>
  <c r="AK3230" i="3"/>
  <c r="AK3231" i="3"/>
  <c r="AK3232" i="3"/>
  <c r="M181" i="10"/>
  <c r="Z3268" i="3" l="1"/>
  <c r="Z3475" i="3"/>
  <c r="Z3462" i="3"/>
  <c r="Z3255" i="3"/>
  <c r="Z3352" i="3"/>
  <c r="Z3244" i="3"/>
  <c r="Y3511" i="3"/>
  <c r="Y3315" i="3"/>
  <c r="S3315" i="3"/>
  <c r="Z3315" i="3" s="1"/>
  <c r="Z3583" i="3"/>
  <c r="Z3587" i="3"/>
  <c r="Z3591" i="3"/>
  <c r="Z3585" i="3"/>
  <c r="Z3589" i="3"/>
  <c r="Z3582" i="3"/>
  <c r="Z3584" i="3"/>
  <c r="Z3586" i="3"/>
  <c r="Z3588" i="3"/>
  <c r="Z3590" i="3"/>
  <c r="S3511" i="3"/>
  <c r="Z3511" i="3" s="1"/>
  <c r="S3522" i="3"/>
  <c r="Z3522" i="3" s="1"/>
  <c r="S3547" i="3"/>
  <c r="Z3547" i="3" s="1"/>
  <c r="Z3572" i="3"/>
  <c r="Z3574" i="3"/>
  <c r="Z3576" i="3"/>
  <c r="Z3578" i="3"/>
  <c r="Z3580" i="3"/>
  <c r="Z3571" i="3"/>
  <c r="Z3573" i="3"/>
  <c r="Z3575" i="3"/>
  <c r="Z3577" i="3"/>
  <c r="Z3579" i="3"/>
  <c r="S3558" i="3"/>
  <c r="Z3558" i="3" s="1"/>
  <c r="U3569" i="3"/>
  <c r="W3569" i="3"/>
  <c r="T3569" i="3"/>
  <c r="V3569" i="3"/>
  <c r="X3569" i="3"/>
  <c r="U3567" i="3"/>
  <c r="W3567" i="3"/>
  <c r="T3567" i="3"/>
  <c r="V3567" i="3"/>
  <c r="X3567" i="3"/>
  <c r="U3565" i="3"/>
  <c r="W3565" i="3"/>
  <c r="T3565" i="3"/>
  <c r="V3565" i="3"/>
  <c r="X3565" i="3"/>
  <c r="U3563" i="3"/>
  <c r="W3563" i="3"/>
  <c r="T3563" i="3"/>
  <c r="V3563" i="3"/>
  <c r="X3563" i="3"/>
  <c r="U3561" i="3"/>
  <c r="W3561" i="3"/>
  <c r="Y3561" i="3"/>
  <c r="T3561" i="3"/>
  <c r="V3561" i="3"/>
  <c r="X3561" i="3"/>
  <c r="U3559" i="3"/>
  <c r="W3559" i="3"/>
  <c r="Y3559" i="3"/>
  <c r="T3559" i="3"/>
  <c r="V3559" i="3"/>
  <c r="X3559" i="3"/>
  <c r="U3557" i="3"/>
  <c r="W3557" i="3"/>
  <c r="Y3557" i="3"/>
  <c r="T3557" i="3"/>
  <c r="V3557" i="3"/>
  <c r="X3557" i="3"/>
  <c r="U3555" i="3"/>
  <c r="W3555" i="3"/>
  <c r="Y3555" i="3"/>
  <c r="T3555" i="3"/>
  <c r="V3555" i="3"/>
  <c r="X3555" i="3"/>
  <c r="U3553" i="3"/>
  <c r="W3553" i="3"/>
  <c r="Y3553" i="3"/>
  <c r="T3553" i="3"/>
  <c r="V3553" i="3"/>
  <c r="X3553" i="3"/>
  <c r="U3551" i="3"/>
  <c r="W3551" i="3"/>
  <c r="Y3551" i="3"/>
  <c r="T3551" i="3"/>
  <c r="V3551" i="3"/>
  <c r="X3551" i="3"/>
  <c r="U3549" i="3"/>
  <c r="W3549" i="3"/>
  <c r="Y3549" i="3"/>
  <c r="T3549" i="3"/>
  <c r="V3549" i="3"/>
  <c r="X3549" i="3"/>
  <c r="Y3569" i="3"/>
  <c r="Y3567" i="3"/>
  <c r="Y3565" i="3"/>
  <c r="Y3563" i="3"/>
  <c r="T3568" i="3"/>
  <c r="V3568" i="3"/>
  <c r="X3568" i="3"/>
  <c r="U3568" i="3"/>
  <c r="W3568" i="3"/>
  <c r="T3566" i="3"/>
  <c r="V3566" i="3"/>
  <c r="X3566" i="3"/>
  <c r="U3566" i="3"/>
  <c r="W3566" i="3"/>
  <c r="T3564" i="3"/>
  <c r="V3564" i="3"/>
  <c r="X3564" i="3"/>
  <c r="U3564" i="3"/>
  <c r="W3564" i="3"/>
  <c r="T3562" i="3"/>
  <c r="V3562" i="3"/>
  <c r="X3562" i="3"/>
  <c r="U3562" i="3"/>
  <c r="W3562" i="3"/>
  <c r="Y3562" i="3"/>
  <c r="T3560" i="3"/>
  <c r="V3560" i="3"/>
  <c r="X3560" i="3"/>
  <c r="U3560" i="3"/>
  <c r="W3560" i="3"/>
  <c r="Y3560" i="3"/>
  <c r="T3556" i="3"/>
  <c r="V3556" i="3"/>
  <c r="X3556" i="3"/>
  <c r="U3556" i="3"/>
  <c r="W3556" i="3"/>
  <c r="Y3556" i="3"/>
  <c r="T3554" i="3"/>
  <c r="V3554" i="3"/>
  <c r="X3554" i="3"/>
  <c r="U3554" i="3"/>
  <c r="W3554" i="3"/>
  <c r="Y3554" i="3"/>
  <c r="T3552" i="3"/>
  <c r="V3552" i="3"/>
  <c r="X3552" i="3"/>
  <c r="U3552" i="3"/>
  <c r="W3552" i="3"/>
  <c r="Y3552" i="3"/>
  <c r="T3550" i="3"/>
  <c r="V3550" i="3"/>
  <c r="X3550" i="3"/>
  <c r="U3550" i="3"/>
  <c r="W3550" i="3"/>
  <c r="Y3550" i="3"/>
  <c r="T3548" i="3"/>
  <c r="V3548" i="3"/>
  <c r="X3548" i="3"/>
  <c r="U3548" i="3"/>
  <c r="W3548" i="3"/>
  <c r="Y3548" i="3"/>
  <c r="Y3568" i="3"/>
  <c r="Y3566" i="3"/>
  <c r="Y3564" i="3"/>
  <c r="W3545" i="3"/>
  <c r="U3543" i="3"/>
  <c r="W3541" i="3"/>
  <c r="U3539" i="3"/>
  <c r="W3537" i="3"/>
  <c r="U3535" i="3"/>
  <c r="S3533" i="3"/>
  <c r="Z3533" i="3" s="1"/>
  <c r="U3531" i="3"/>
  <c r="W3529" i="3"/>
  <c r="U3527" i="3"/>
  <c r="W3525" i="3"/>
  <c r="U3546" i="3"/>
  <c r="W3546" i="3"/>
  <c r="T3546" i="3"/>
  <c r="X3546" i="3"/>
  <c r="V3546" i="3"/>
  <c r="Y3546" i="3"/>
  <c r="U3544" i="3"/>
  <c r="W3544" i="3"/>
  <c r="V3544" i="3"/>
  <c r="T3544" i="3"/>
  <c r="X3544" i="3"/>
  <c r="Y3544" i="3"/>
  <c r="U3542" i="3"/>
  <c r="W3542" i="3"/>
  <c r="T3542" i="3"/>
  <c r="X3542" i="3"/>
  <c r="V3542" i="3"/>
  <c r="Y3542" i="3"/>
  <c r="U3540" i="3"/>
  <c r="W3540" i="3"/>
  <c r="V3540" i="3"/>
  <c r="T3540" i="3"/>
  <c r="X3540" i="3"/>
  <c r="Y3540" i="3"/>
  <c r="U3538" i="3"/>
  <c r="W3538" i="3"/>
  <c r="T3538" i="3"/>
  <c r="X3538" i="3"/>
  <c r="V3538" i="3"/>
  <c r="Y3538" i="3"/>
  <c r="U3536" i="3"/>
  <c r="W3536" i="3"/>
  <c r="V3536" i="3"/>
  <c r="T3536" i="3"/>
  <c r="X3536" i="3"/>
  <c r="Y3536" i="3"/>
  <c r="U3534" i="3"/>
  <c r="W3534" i="3"/>
  <c r="T3534" i="3"/>
  <c r="X3534" i="3"/>
  <c r="V3534" i="3"/>
  <c r="Y3534" i="3"/>
  <c r="U3532" i="3"/>
  <c r="W3532" i="3"/>
  <c r="T3532" i="3"/>
  <c r="X3532" i="3"/>
  <c r="V3532" i="3"/>
  <c r="Y3532" i="3"/>
  <c r="U3530" i="3"/>
  <c r="W3530" i="3"/>
  <c r="V3530" i="3"/>
  <c r="T3530" i="3"/>
  <c r="X3530" i="3"/>
  <c r="Y3530" i="3"/>
  <c r="U3528" i="3"/>
  <c r="W3528" i="3"/>
  <c r="T3528" i="3"/>
  <c r="X3528" i="3"/>
  <c r="V3528" i="3"/>
  <c r="Y3528" i="3"/>
  <c r="U3526" i="3"/>
  <c r="W3526" i="3"/>
  <c r="V3526" i="3"/>
  <c r="T3526" i="3"/>
  <c r="X3526" i="3"/>
  <c r="Y3526" i="3"/>
  <c r="U3524" i="3"/>
  <c r="W3524" i="3"/>
  <c r="Y3524" i="3"/>
  <c r="T3524" i="3"/>
  <c r="X3524" i="3"/>
  <c r="V3524" i="3"/>
  <c r="U3523" i="3"/>
  <c r="Y3523" i="3"/>
  <c r="W3543" i="3"/>
  <c r="W3539" i="3"/>
  <c r="W3535" i="3"/>
  <c r="W3531" i="3"/>
  <c r="W3527" i="3"/>
  <c r="W3523" i="3"/>
  <c r="U3545" i="3"/>
  <c r="U3541" i="3"/>
  <c r="U3537" i="3"/>
  <c r="U3529" i="3"/>
  <c r="U3525" i="3"/>
  <c r="T3545" i="3"/>
  <c r="V3545" i="3"/>
  <c r="X3545" i="3"/>
  <c r="T3543" i="3"/>
  <c r="V3543" i="3"/>
  <c r="X3543" i="3"/>
  <c r="T3541" i="3"/>
  <c r="V3541" i="3"/>
  <c r="X3541" i="3"/>
  <c r="T3539" i="3"/>
  <c r="V3539" i="3"/>
  <c r="X3539" i="3"/>
  <c r="T3537" i="3"/>
  <c r="V3537" i="3"/>
  <c r="X3537" i="3"/>
  <c r="T3535" i="3"/>
  <c r="V3535" i="3"/>
  <c r="X3535" i="3"/>
  <c r="T3531" i="3"/>
  <c r="V3531" i="3"/>
  <c r="X3531" i="3"/>
  <c r="T3529" i="3"/>
  <c r="V3529" i="3"/>
  <c r="X3529" i="3"/>
  <c r="T3527" i="3"/>
  <c r="V3527" i="3"/>
  <c r="X3527" i="3"/>
  <c r="T3525" i="3"/>
  <c r="V3525" i="3"/>
  <c r="X3525" i="3"/>
  <c r="T3523" i="3"/>
  <c r="V3523" i="3"/>
  <c r="X3523" i="3"/>
  <c r="Y3545" i="3"/>
  <c r="Y3543" i="3"/>
  <c r="Y3541" i="3"/>
  <c r="Y3539" i="3"/>
  <c r="Y3537" i="3"/>
  <c r="Y3535" i="3"/>
  <c r="Y3531" i="3"/>
  <c r="Y3529" i="3"/>
  <c r="Y3527" i="3"/>
  <c r="Y3525" i="3"/>
  <c r="U3521" i="3"/>
  <c r="W3521" i="3"/>
  <c r="Y3521" i="3"/>
  <c r="T3521" i="3"/>
  <c r="V3521" i="3"/>
  <c r="X3521" i="3"/>
  <c r="U3519" i="3"/>
  <c r="W3519" i="3"/>
  <c r="Y3519" i="3"/>
  <c r="T3519" i="3"/>
  <c r="V3519" i="3"/>
  <c r="X3519" i="3"/>
  <c r="U3517" i="3"/>
  <c r="W3517" i="3"/>
  <c r="Y3517" i="3"/>
  <c r="T3517" i="3"/>
  <c r="V3517" i="3"/>
  <c r="X3517" i="3"/>
  <c r="U3515" i="3"/>
  <c r="W3515" i="3"/>
  <c r="Y3515" i="3"/>
  <c r="T3515" i="3"/>
  <c r="V3515" i="3"/>
  <c r="X3515" i="3"/>
  <c r="U3513" i="3"/>
  <c r="W3513" i="3"/>
  <c r="Y3513" i="3"/>
  <c r="T3513" i="3"/>
  <c r="V3513" i="3"/>
  <c r="X3513" i="3"/>
  <c r="T3520" i="3"/>
  <c r="T3518" i="3"/>
  <c r="T3516" i="3"/>
  <c r="T3514" i="3"/>
  <c r="T3512" i="3"/>
  <c r="V3520" i="3"/>
  <c r="X3520" i="3"/>
  <c r="U3520" i="3"/>
  <c r="W3520" i="3"/>
  <c r="Y3520" i="3"/>
  <c r="V3518" i="3"/>
  <c r="X3518" i="3"/>
  <c r="U3518" i="3"/>
  <c r="W3518" i="3"/>
  <c r="Y3518" i="3"/>
  <c r="V3516" i="3"/>
  <c r="X3516" i="3"/>
  <c r="U3516" i="3"/>
  <c r="W3516" i="3"/>
  <c r="Y3516" i="3"/>
  <c r="V3514" i="3"/>
  <c r="X3514" i="3"/>
  <c r="U3514" i="3"/>
  <c r="W3514" i="3"/>
  <c r="Y3514" i="3"/>
  <c r="V3512" i="3"/>
  <c r="X3512" i="3"/>
  <c r="U3512" i="3"/>
  <c r="W3512" i="3"/>
  <c r="Y3512" i="3"/>
  <c r="X3510" i="3"/>
  <c r="X3506" i="3"/>
  <c r="X3502" i="3"/>
  <c r="S3500" i="3"/>
  <c r="Z3500" i="3" s="1"/>
  <c r="X3498" i="3"/>
  <c r="X3494" i="3"/>
  <c r="X3490" i="3"/>
  <c r="S3486" i="3"/>
  <c r="Z3486" i="3" s="1"/>
  <c r="T3509" i="3"/>
  <c r="V3509" i="3"/>
  <c r="X3509" i="3"/>
  <c r="U3509" i="3"/>
  <c r="T3507" i="3"/>
  <c r="V3507" i="3"/>
  <c r="X3507" i="3"/>
  <c r="U3507" i="3"/>
  <c r="T3505" i="3"/>
  <c r="V3505" i="3"/>
  <c r="X3505" i="3"/>
  <c r="U3505" i="3"/>
  <c r="W3505" i="3"/>
  <c r="T3503" i="3"/>
  <c r="V3503" i="3"/>
  <c r="X3503" i="3"/>
  <c r="U3503" i="3"/>
  <c r="W3503" i="3"/>
  <c r="T3501" i="3"/>
  <c r="V3501" i="3"/>
  <c r="X3501" i="3"/>
  <c r="U3501" i="3"/>
  <c r="W3501" i="3"/>
  <c r="T3499" i="3"/>
  <c r="V3499" i="3"/>
  <c r="X3499" i="3"/>
  <c r="U3499" i="3"/>
  <c r="W3499" i="3"/>
  <c r="T3497" i="3"/>
  <c r="V3497" i="3"/>
  <c r="X3497" i="3"/>
  <c r="U3497" i="3"/>
  <c r="W3497" i="3"/>
  <c r="T3495" i="3"/>
  <c r="V3495" i="3"/>
  <c r="X3495" i="3"/>
  <c r="U3495" i="3"/>
  <c r="W3495" i="3"/>
  <c r="T3493" i="3"/>
  <c r="V3493" i="3"/>
  <c r="X3493" i="3"/>
  <c r="U3493" i="3"/>
  <c r="W3493" i="3"/>
  <c r="T3491" i="3"/>
  <c r="V3491" i="3"/>
  <c r="X3491" i="3"/>
  <c r="U3491" i="3"/>
  <c r="W3491" i="3"/>
  <c r="T3489" i="3"/>
  <c r="V3489" i="3"/>
  <c r="X3489" i="3"/>
  <c r="U3489" i="3"/>
  <c r="W3489" i="3"/>
  <c r="T3487" i="3"/>
  <c r="V3487" i="3"/>
  <c r="X3487" i="3"/>
  <c r="U3487" i="3"/>
  <c r="W3487" i="3"/>
  <c r="Y3509" i="3"/>
  <c r="Y3507" i="3"/>
  <c r="Y3505" i="3"/>
  <c r="Y3503" i="3"/>
  <c r="Y3501" i="3"/>
  <c r="Y3499" i="3"/>
  <c r="Y3497" i="3"/>
  <c r="Y3495" i="3"/>
  <c r="Y3493" i="3"/>
  <c r="Y3491" i="3"/>
  <c r="Y3489" i="3"/>
  <c r="Y3487" i="3"/>
  <c r="W3507" i="3"/>
  <c r="U3510" i="3"/>
  <c r="W3510" i="3"/>
  <c r="T3510" i="3"/>
  <c r="V3510" i="3"/>
  <c r="U3508" i="3"/>
  <c r="W3508" i="3"/>
  <c r="T3508" i="3"/>
  <c r="V3508" i="3"/>
  <c r="U3506" i="3"/>
  <c r="W3506" i="3"/>
  <c r="T3506" i="3"/>
  <c r="V3506" i="3"/>
  <c r="U3504" i="3"/>
  <c r="W3504" i="3"/>
  <c r="T3504" i="3"/>
  <c r="V3504" i="3"/>
  <c r="U3502" i="3"/>
  <c r="W3502" i="3"/>
  <c r="T3502" i="3"/>
  <c r="V3502" i="3"/>
  <c r="U3498" i="3"/>
  <c r="W3498" i="3"/>
  <c r="T3498" i="3"/>
  <c r="V3498" i="3"/>
  <c r="U3496" i="3"/>
  <c r="W3496" i="3"/>
  <c r="T3496" i="3"/>
  <c r="V3496" i="3"/>
  <c r="U3494" i="3"/>
  <c r="W3494" i="3"/>
  <c r="T3494" i="3"/>
  <c r="V3494" i="3"/>
  <c r="U3492" i="3"/>
  <c r="W3492" i="3"/>
  <c r="T3492" i="3"/>
  <c r="V3492" i="3"/>
  <c r="U3490" i="3"/>
  <c r="W3490" i="3"/>
  <c r="T3490" i="3"/>
  <c r="V3490" i="3"/>
  <c r="U3488" i="3"/>
  <c r="W3488" i="3"/>
  <c r="T3488" i="3"/>
  <c r="V3488" i="3"/>
  <c r="Y3510" i="3"/>
  <c r="Y3508" i="3"/>
  <c r="Y3506" i="3"/>
  <c r="Y3504" i="3"/>
  <c r="Y3502" i="3"/>
  <c r="Y3498" i="3"/>
  <c r="Y3496" i="3"/>
  <c r="Y3494" i="3"/>
  <c r="Y3492" i="3"/>
  <c r="Y3490" i="3"/>
  <c r="Y3488" i="3"/>
  <c r="X3508" i="3"/>
  <c r="X3504" i="3"/>
  <c r="X3496" i="3"/>
  <c r="X3492" i="3"/>
  <c r="X3488" i="3"/>
  <c r="W3509" i="3"/>
  <c r="U3485" i="3"/>
  <c r="W3485" i="3"/>
  <c r="Y3485" i="3"/>
  <c r="T3485" i="3"/>
  <c r="V3485" i="3"/>
  <c r="X3485" i="3"/>
  <c r="T3483" i="3"/>
  <c r="V3483" i="3"/>
  <c r="X3483" i="3"/>
  <c r="Y3483" i="3"/>
  <c r="U3483" i="3"/>
  <c r="W3483" i="3"/>
  <c r="U3481" i="3"/>
  <c r="W3481" i="3"/>
  <c r="Y3481" i="3"/>
  <c r="T3481" i="3"/>
  <c r="V3481" i="3"/>
  <c r="X3481" i="3"/>
  <c r="T3479" i="3"/>
  <c r="V3479" i="3"/>
  <c r="X3479" i="3"/>
  <c r="Y3479" i="3"/>
  <c r="U3479" i="3"/>
  <c r="W3479" i="3"/>
  <c r="U3477" i="3"/>
  <c r="W3477" i="3"/>
  <c r="Y3477" i="3"/>
  <c r="T3477" i="3"/>
  <c r="V3477" i="3"/>
  <c r="X3477" i="3"/>
  <c r="U3473" i="3"/>
  <c r="W3473" i="3"/>
  <c r="Y3473" i="3"/>
  <c r="T3473" i="3"/>
  <c r="V3473" i="3"/>
  <c r="X3473" i="3"/>
  <c r="T3471" i="3"/>
  <c r="V3471" i="3"/>
  <c r="X3471" i="3"/>
  <c r="Y3471" i="3"/>
  <c r="U3471" i="3"/>
  <c r="W3471" i="3"/>
  <c r="U3469" i="3"/>
  <c r="W3469" i="3"/>
  <c r="T3469" i="3"/>
  <c r="V3469" i="3"/>
  <c r="X3469" i="3"/>
  <c r="Y3469" i="3"/>
  <c r="T3467" i="3"/>
  <c r="V3467" i="3"/>
  <c r="X3467" i="3"/>
  <c r="Y3467" i="3"/>
  <c r="U3467" i="3"/>
  <c r="W3467" i="3"/>
  <c r="U3465" i="3"/>
  <c r="W3465" i="3"/>
  <c r="T3465" i="3"/>
  <c r="V3465" i="3"/>
  <c r="X3465" i="3"/>
  <c r="Y3465" i="3"/>
  <c r="T3463" i="3"/>
  <c r="V3463" i="3"/>
  <c r="X3463" i="3"/>
  <c r="Y3463" i="3"/>
  <c r="U3463" i="3"/>
  <c r="W3463" i="3"/>
  <c r="T3484" i="3"/>
  <c r="U3484" i="3"/>
  <c r="V3484" i="3"/>
  <c r="W3484" i="3"/>
  <c r="X3484" i="3"/>
  <c r="T3482" i="3"/>
  <c r="U3482" i="3"/>
  <c r="V3482" i="3"/>
  <c r="W3482" i="3"/>
  <c r="X3482" i="3"/>
  <c r="T3480" i="3"/>
  <c r="U3480" i="3"/>
  <c r="V3480" i="3"/>
  <c r="W3480" i="3"/>
  <c r="X3480" i="3"/>
  <c r="T3478" i="3"/>
  <c r="U3478" i="3"/>
  <c r="V3478" i="3"/>
  <c r="W3478" i="3"/>
  <c r="X3478" i="3"/>
  <c r="T3476" i="3"/>
  <c r="U3476" i="3"/>
  <c r="V3476" i="3"/>
  <c r="W3476" i="3"/>
  <c r="X3476" i="3"/>
  <c r="T3474" i="3"/>
  <c r="U3474" i="3"/>
  <c r="V3474" i="3"/>
  <c r="W3474" i="3"/>
  <c r="X3474" i="3"/>
  <c r="T3472" i="3"/>
  <c r="U3472" i="3"/>
  <c r="V3472" i="3"/>
  <c r="W3472" i="3"/>
  <c r="X3472" i="3"/>
  <c r="T3470" i="3"/>
  <c r="U3470" i="3"/>
  <c r="V3470" i="3"/>
  <c r="W3470" i="3"/>
  <c r="X3470" i="3"/>
  <c r="Y3470" i="3"/>
  <c r="T3468" i="3"/>
  <c r="U3468" i="3"/>
  <c r="V3468" i="3"/>
  <c r="W3468" i="3"/>
  <c r="X3468" i="3"/>
  <c r="Y3468" i="3"/>
  <c r="T3466" i="3"/>
  <c r="U3466" i="3"/>
  <c r="V3466" i="3"/>
  <c r="W3466" i="3"/>
  <c r="X3466" i="3"/>
  <c r="Y3466" i="3"/>
  <c r="T3464" i="3"/>
  <c r="U3464" i="3"/>
  <c r="V3464" i="3"/>
  <c r="W3464" i="3"/>
  <c r="X3464" i="3"/>
  <c r="Y3464" i="3"/>
  <c r="Y3484" i="3"/>
  <c r="Y3482" i="3"/>
  <c r="Y3480" i="3"/>
  <c r="Y3478" i="3"/>
  <c r="Y3476" i="3"/>
  <c r="Y3474" i="3"/>
  <c r="Y3472" i="3"/>
  <c r="S3440" i="3"/>
  <c r="Z3440" i="3" s="1"/>
  <c r="T3461" i="3"/>
  <c r="U3461" i="3"/>
  <c r="V3461" i="3"/>
  <c r="W3461" i="3"/>
  <c r="X3461" i="3"/>
  <c r="Y3461" i="3"/>
  <c r="T3459" i="3"/>
  <c r="U3459" i="3"/>
  <c r="V3459" i="3"/>
  <c r="W3459" i="3"/>
  <c r="X3459" i="3"/>
  <c r="Y3459" i="3"/>
  <c r="T3457" i="3"/>
  <c r="U3457" i="3"/>
  <c r="V3457" i="3"/>
  <c r="W3457" i="3"/>
  <c r="X3457" i="3"/>
  <c r="Y3457" i="3"/>
  <c r="T3455" i="3"/>
  <c r="U3455" i="3"/>
  <c r="V3455" i="3"/>
  <c r="W3455" i="3"/>
  <c r="X3455" i="3"/>
  <c r="Y3455" i="3"/>
  <c r="T3453" i="3"/>
  <c r="U3453" i="3"/>
  <c r="V3453" i="3"/>
  <c r="W3453" i="3"/>
  <c r="X3453" i="3"/>
  <c r="Y3453" i="3"/>
  <c r="T3449" i="3"/>
  <c r="U3449" i="3"/>
  <c r="V3449" i="3"/>
  <c r="W3449" i="3"/>
  <c r="X3449" i="3"/>
  <c r="Y3449" i="3"/>
  <c r="T3447" i="3"/>
  <c r="U3447" i="3"/>
  <c r="V3447" i="3"/>
  <c r="W3447" i="3"/>
  <c r="X3447" i="3"/>
  <c r="Y3447" i="3"/>
  <c r="T3445" i="3"/>
  <c r="U3445" i="3"/>
  <c r="V3445" i="3"/>
  <c r="W3445" i="3"/>
  <c r="X3445" i="3"/>
  <c r="Y3445" i="3"/>
  <c r="T3443" i="3"/>
  <c r="U3443" i="3"/>
  <c r="V3443" i="3"/>
  <c r="W3443" i="3"/>
  <c r="X3443" i="3"/>
  <c r="Y3443" i="3"/>
  <c r="T3441" i="3"/>
  <c r="U3441" i="3"/>
  <c r="V3441" i="3"/>
  <c r="W3441" i="3"/>
  <c r="X3441" i="3"/>
  <c r="Y3441" i="3"/>
  <c r="T3460" i="3"/>
  <c r="U3460" i="3"/>
  <c r="V3460" i="3"/>
  <c r="W3460" i="3"/>
  <c r="X3460" i="3"/>
  <c r="Y3460" i="3"/>
  <c r="T3458" i="3"/>
  <c r="U3458" i="3"/>
  <c r="V3458" i="3"/>
  <c r="W3458" i="3"/>
  <c r="X3458" i="3"/>
  <c r="Y3458" i="3"/>
  <c r="T3456" i="3"/>
  <c r="U3456" i="3"/>
  <c r="V3456" i="3"/>
  <c r="W3456" i="3"/>
  <c r="X3456" i="3"/>
  <c r="Y3456" i="3"/>
  <c r="T3454" i="3"/>
  <c r="U3454" i="3"/>
  <c r="V3454" i="3"/>
  <c r="W3454" i="3"/>
  <c r="X3454" i="3"/>
  <c r="Y3454" i="3"/>
  <c r="T3452" i="3"/>
  <c r="U3452" i="3"/>
  <c r="V3452" i="3"/>
  <c r="W3452" i="3"/>
  <c r="X3452" i="3"/>
  <c r="Y3452" i="3"/>
  <c r="T3450" i="3"/>
  <c r="U3450" i="3"/>
  <c r="V3450" i="3"/>
  <c r="W3450" i="3"/>
  <c r="X3450" i="3"/>
  <c r="Y3450" i="3"/>
  <c r="T3448" i="3"/>
  <c r="U3448" i="3"/>
  <c r="V3448" i="3"/>
  <c r="W3448" i="3"/>
  <c r="X3448" i="3"/>
  <c r="Y3448" i="3"/>
  <c r="T3446" i="3"/>
  <c r="U3446" i="3"/>
  <c r="V3446" i="3"/>
  <c r="W3446" i="3"/>
  <c r="X3446" i="3"/>
  <c r="Y3446" i="3"/>
  <c r="T3444" i="3"/>
  <c r="U3444" i="3"/>
  <c r="V3444" i="3"/>
  <c r="W3444" i="3"/>
  <c r="X3444" i="3"/>
  <c r="Y3444" i="3"/>
  <c r="T3442" i="3"/>
  <c r="U3442" i="3"/>
  <c r="V3442" i="3"/>
  <c r="W3442" i="3"/>
  <c r="X3442" i="3"/>
  <c r="Y3442" i="3"/>
  <c r="S3374" i="3"/>
  <c r="Z3374" i="3" s="1"/>
  <c r="S3385" i="3"/>
  <c r="Z3385" i="3" s="1"/>
  <c r="S3396" i="3"/>
  <c r="Z3396" i="3" s="1"/>
  <c r="S3407" i="3"/>
  <c r="Z3407" i="3" s="1"/>
  <c r="S3418" i="3"/>
  <c r="Z3418" i="3" s="1"/>
  <c r="S3429" i="3"/>
  <c r="Z3429" i="3" s="1"/>
  <c r="U3439" i="3"/>
  <c r="W3439" i="3"/>
  <c r="Y3439" i="3"/>
  <c r="T3439" i="3"/>
  <c r="V3439" i="3"/>
  <c r="X3439" i="3"/>
  <c r="U3437" i="3"/>
  <c r="W3437" i="3"/>
  <c r="Y3437" i="3"/>
  <c r="T3437" i="3"/>
  <c r="V3437" i="3"/>
  <c r="X3437" i="3"/>
  <c r="U3435" i="3"/>
  <c r="W3435" i="3"/>
  <c r="Y3435" i="3"/>
  <c r="T3435" i="3"/>
  <c r="V3435" i="3"/>
  <c r="X3435" i="3"/>
  <c r="U3433" i="3"/>
  <c r="W3433" i="3"/>
  <c r="Y3433" i="3"/>
  <c r="T3433" i="3"/>
  <c r="V3433" i="3"/>
  <c r="X3433" i="3"/>
  <c r="U3431" i="3"/>
  <c r="W3431" i="3"/>
  <c r="Y3431" i="3"/>
  <c r="T3431" i="3"/>
  <c r="V3431" i="3"/>
  <c r="X3431" i="3"/>
  <c r="T3438" i="3"/>
  <c r="V3438" i="3"/>
  <c r="X3438" i="3"/>
  <c r="U3438" i="3"/>
  <c r="W3438" i="3"/>
  <c r="Y3438" i="3"/>
  <c r="T3436" i="3"/>
  <c r="V3436" i="3"/>
  <c r="X3436" i="3"/>
  <c r="U3436" i="3"/>
  <c r="W3436" i="3"/>
  <c r="Y3436" i="3"/>
  <c r="T3434" i="3"/>
  <c r="V3434" i="3"/>
  <c r="X3434" i="3"/>
  <c r="U3434" i="3"/>
  <c r="W3434" i="3"/>
  <c r="Y3434" i="3"/>
  <c r="T3432" i="3"/>
  <c r="V3432" i="3"/>
  <c r="X3432" i="3"/>
  <c r="U3432" i="3"/>
  <c r="W3432" i="3"/>
  <c r="Y3432" i="3"/>
  <c r="T3430" i="3"/>
  <c r="V3430" i="3"/>
  <c r="X3430" i="3"/>
  <c r="U3430" i="3"/>
  <c r="W3430" i="3"/>
  <c r="Y3430" i="3"/>
  <c r="S3363" i="3"/>
  <c r="Z3363" i="3" s="1"/>
  <c r="Y3363" i="3"/>
  <c r="U3428" i="3"/>
  <c r="W3428" i="3"/>
  <c r="Y3428" i="3"/>
  <c r="T3428" i="3"/>
  <c r="V3428" i="3"/>
  <c r="X3428" i="3"/>
  <c r="U3426" i="3"/>
  <c r="W3426" i="3"/>
  <c r="Y3426" i="3"/>
  <c r="T3426" i="3"/>
  <c r="V3426" i="3"/>
  <c r="X3426" i="3"/>
  <c r="U3424" i="3"/>
  <c r="W3424" i="3"/>
  <c r="Y3424" i="3"/>
  <c r="T3424" i="3"/>
  <c r="V3424" i="3"/>
  <c r="X3424" i="3"/>
  <c r="U3422" i="3"/>
  <c r="W3422" i="3"/>
  <c r="Y3422" i="3"/>
  <c r="T3422" i="3"/>
  <c r="V3422" i="3"/>
  <c r="X3422" i="3"/>
  <c r="U3420" i="3"/>
  <c r="W3420" i="3"/>
  <c r="Y3420" i="3"/>
  <c r="T3420" i="3"/>
  <c r="V3420" i="3"/>
  <c r="X3420" i="3"/>
  <c r="T3427" i="3"/>
  <c r="V3427" i="3"/>
  <c r="X3427" i="3"/>
  <c r="U3427" i="3"/>
  <c r="W3427" i="3"/>
  <c r="Y3427" i="3"/>
  <c r="T3425" i="3"/>
  <c r="V3425" i="3"/>
  <c r="X3425" i="3"/>
  <c r="U3425" i="3"/>
  <c r="W3425" i="3"/>
  <c r="Y3425" i="3"/>
  <c r="T3423" i="3"/>
  <c r="V3423" i="3"/>
  <c r="X3423" i="3"/>
  <c r="U3423" i="3"/>
  <c r="W3423" i="3"/>
  <c r="Y3423" i="3"/>
  <c r="T3421" i="3"/>
  <c r="V3421" i="3"/>
  <c r="X3421" i="3"/>
  <c r="U3421" i="3"/>
  <c r="W3421" i="3"/>
  <c r="Y3421" i="3"/>
  <c r="T3419" i="3"/>
  <c r="V3419" i="3"/>
  <c r="X3419" i="3"/>
  <c r="U3419" i="3"/>
  <c r="W3419" i="3"/>
  <c r="Y3419" i="3"/>
  <c r="U3417" i="3"/>
  <c r="W3417" i="3"/>
  <c r="Y3417" i="3"/>
  <c r="T3417" i="3"/>
  <c r="V3417" i="3"/>
  <c r="X3417" i="3"/>
  <c r="U3415" i="3"/>
  <c r="W3415" i="3"/>
  <c r="Y3415" i="3"/>
  <c r="T3415" i="3"/>
  <c r="V3415" i="3"/>
  <c r="X3415" i="3"/>
  <c r="U3413" i="3"/>
  <c r="W3413" i="3"/>
  <c r="Y3413" i="3"/>
  <c r="T3413" i="3"/>
  <c r="V3413" i="3"/>
  <c r="X3413" i="3"/>
  <c r="U3411" i="3"/>
  <c r="W3411" i="3"/>
  <c r="Y3411" i="3"/>
  <c r="T3411" i="3"/>
  <c r="V3411" i="3"/>
  <c r="X3411" i="3"/>
  <c r="U3409" i="3"/>
  <c r="W3409" i="3"/>
  <c r="Y3409" i="3"/>
  <c r="T3409" i="3"/>
  <c r="V3409" i="3"/>
  <c r="X3409" i="3"/>
  <c r="T3416" i="3"/>
  <c r="V3416" i="3"/>
  <c r="X3416" i="3"/>
  <c r="U3416" i="3"/>
  <c r="W3416" i="3"/>
  <c r="Y3416" i="3"/>
  <c r="T3414" i="3"/>
  <c r="V3414" i="3"/>
  <c r="X3414" i="3"/>
  <c r="U3414" i="3"/>
  <c r="W3414" i="3"/>
  <c r="Y3414" i="3"/>
  <c r="T3412" i="3"/>
  <c r="V3412" i="3"/>
  <c r="X3412" i="3"/>
  <c r="U3412" i="3"/>
  <c r="W3412" i="3"/>
  <c r="Y3412" i="3"/>
  <c r="T3410" i="3"/>
  <c r="V3410" i="3"/>
  <c r="X3410" i="3"/>
  <c r="U3410" i="3"/>
  <c r="W3410" i="3"/>
  <c r="Y3410" i="3"/>
  <c r="T3408" i="3"/>
  <c r="V3408" i="3"/>
  <c r="X3408" i="3"/>
  <c r="U3408" i="3"/>
  <c r="W3408" i="3"/>
  <c r="Y3408" i="3"/>
  <c r="U3406" i="3"/>
  <c r="W3406" i="3"/>
  <c r="Y3406" i="3"/>
  <c r="T3406" i="3"/>
  <c r="V3406" i="3"/>
  <c r="X3406" i="3"/>
  <c r="U3404" i="3"/>
  <c r="W3404" i="3"/>
  <c r="Y3404" i="3"/>
  <c r="T3404" i="3"/>
  <c r="V3404" i="3"/>
  <c r="X3404" i="3"/>
  <c r="U3402" i="3"/>
  <c r="W3402" i="3"/>
  <c r="Y3402" i="3"/>
  <c r="T3402" i="3"/>
  <c r="V3402" i="3"/>
  <c r="X3402" i="3"/>
  <c r="U3400" i="3"/>
  <c r="W3400" i="3"/>
  <c r="Y3400" i="3"/>
  <c r="T3400" i="3"/>
  <c r="V3400" i="3"/>
  <c r="X3400" i="3"/>
  <c r="U3398" i="3"/>
  <c r="W3398" i="3"/>
  <c r="Y3398" i="3"/>
  <c r="T3398" i="3"/>
  <c r="V3398" i="3"/>
  <c r="X3398" i="3"/>
  <c r="T3405" i="3"/>
  <c r="V3405" i="3"/>
  <c r="X3405" i="3"/>
  <c r="U3405" i="3"/>
  <c r="W3405" i="3"/>
  <c r="Y3405" i="3"/>
  <c r="T3403" i="3"/>
  <c r="V3403" i="3"/>
  <c r="X3403" i="3"/>
  <c r="U3403" i="3"/>
  <c r="W3403" i="3"/>
  <c r="Y3403" i="3"/>
  <c r="T3401" i="3"/>
  <c r="V3401" i="3"/>
  <c r="X3401" i="3"/>
  <c r="U3401" i="3"/>
  <c r="W3401" i="3"/>
  <c r="Y3401" i="3"/>
  <c r="T3399" i="3"/>
  <c r="V3399" i="3"/>
  <c r="X3399" i="3"/>
  <c r="U3399" i="3"/>
  <c r="W3399" i="3"/>
  <c r="Y3399" i="3"/>
  <c r="T3397" i="3"/>
  <c r="V3397" i="3"/>
  <c r="X3397" i="3"/>
  <c r="U3397" i="3"/>
  <c r="W3397" i="3"/>
  <c r="Y3397" i="3"/>
  <c r="U3395" i="3"/>
  <c r="W3395" i="3"/>
  <c r="Y3395" i="3"/>
  <c r="T3395" i="3"/>
  <c r="V3395" i="3"/>
  <c r="X3395" i="3"/>
  <c r="U3393" i="3"/>
  <c r="W3393" i="3"/>
  <c r="Y3393" i="3"/>
  <c r="T3393" i="3"/>
  <c r="V3393" i="3"/>
  <c r="X3393" i="3"/>
  <c r="U3391" i="3"/>
  <c r="W3391" i="3"/>
  <c r="Y3391" i="3"/>
  <c r="T3391" i="3"/>
  <c r="V3391" i="3"/>
  <c r="X3391" i="3"/>
  <c r="U3389" i="3"/>
  <c r="W3389" i="3"/>
  <c r="Y3389" i="3"/>
  <c r="T3389" i="3"/>
  <c r="V3389" i="3"/>
  <c r="X3389" i="3"/>
  <c r="U3387" i="3"/>
  <c r="W3387" i="3"/>
  <c r="Y3387" i="3"/>
  <c r="T3387" i="3"/>
  <c r="V3387" i="3"/>
  <c r="X3387" i="3"/>
  <c r="T3394" i="3"/>
  <c r="V3394" i="3"/>
  <c r="X3394" i="3"/>
  <c r="U3394" i="3"/>
  <c r="W3394" i="3"/>
  <c r="Y3394" i="3"/>
  <c r="T3392" i="3"/>
  <c r="V3392" i="3"/>
  <c r="X3392" i="3"/>
  <c r="U3392" i="3"/>
  <c r="W3392" i="3"/>
  <c r="Y3392" i="3"/>
  <c r="T3390" i="3"/>
  <c r="V3390" i="3"/>
  <c r="X3390" i="3"/>
  <c r="U3390" i="3"/>
  <c r="W3390" i="3"/>
  <c r="Y3390" i="3"/>
  <c r="T3388" i="3"/>
  <c r="V3388" i="3"/>
  <c r="X3388" i="3"/>
  <c r="U3388" i="3"/>
  <c r="W3388" i="3"/>
  <c r="Y3388" i="3"/>
  <c r="T3386" i="3"/>
  <c r="V3386" i="3"/>
  <c r="X3386" i="3"/>
  <c r="U3386" i="3"/>
  <c r="W3386" i="3"/>
  <c r="Y3386" i="3"/>
  <c r="U3384" i="3"/>
  <c r="W3384" i="3"/>
  <c r="Y3384" i="3"/>
  <c r="T3384" i="3"/>
  <c r="V3384" i="3"/>
  <c r="X3384" i="3"/>
  <c r="U3382" i="3"/>
  <c r="W3382" i="3"/>
  <c r="Y3382" i="3"/>
  <c r="T3382" i="3"/>
  <c r="V3382" i="3"/>
  <c r="X3382" i="3"/>
  <c r="U3380" i="3"/>
  <c r="W3380" i="3"/>
  <c r="Y3380" i="3"/>
  <c r="T3380" i="3"/>
  <c r="V3380" i="3"/>
  <c r="X3380" i="3"/>
  <c r="U3378" i="3"/>
  <c r="W3378" i="3"/>
  <c r="Y3378" i="3"/>
  <c r="T3378" i="3"/>
  <c r="V3378" i="3"/>
  <c r="X3378" i="3"/>
  <c r="U3376" i="3"/>
  <c r="W3376" i="3"/>
  <c r="Y3376" i="3"/>
  <c r="T3376" i="3"/>
  <c r="V3376" i="3"/>
  <c r="X3376" i="3"/>
  <c r="T3383" i="3"/>
  <c r="V3383" i="3"/>
  <c r="X3383" i="3"/>
  <c r="U3383" i="3"/>
  <c r="W3383" i="3"/>
  <c r="Y3383" i="3"/>
  <c r="T3381" i="3"/>
  <c r="V3381" i="3"/>
  <c r="X3381" i="3"/>
  <c r="U3381" i="3"/>
  <c r="W3381" i="3"/>
  <c r="Y3381" i="3"/>
  <c r="T3379" i="3"/>
  <c r="V3379" i="3"/>
  <c r="X3379" i="3"/>
  <c r="U3379" i="3"/>
  <c r="W3379" i="3"/>
  <c r="Y3379" i="3"/>
  <c r="T3377" i="3"/>
  <c r="V3377" i="3"/>
  <c r="X3377" i="3"/>
  <c r="U3377" i="3"/>
  <c r="W3377" i="3"/>
  <c r="Y3377" i="3"/>
  <c r="T3375" i="3"/>
  <c r="V3375" i="3"/>
  <c r="X3375" i="3"/>
  <c r="U3375" i="3"/>
  <c r="W3375" i="3"/>
  <c r="Y3375" i="3"/>
  <c r="S3279" i="3"/>
  <c r="Z3279" i="3" s="1"/>
  <c r="Y3279" i="3"/>
  <c r="X3351" i="3"/>
  <c r="X3349" i="3"/>
  <c r="X3347" i="3"/>
  <c r="X3345" i="3"/>
  <c r="X3343" i="3"/>
  <c r="S3341" i="3"/>
  <c r="Z3341" i="3" s="1"/>
  <c r="X3339" i="3"/>
  <c r="X3337" i="3"/>
  <c r="X3335" i="3"/>
  <c r="X3333" i="3"/>
  <c r="X3331" i="3"/>
  <c r="S3329" i="3"/>
  <c r="Z3329" i="3" s="1"/>
  <c r="T3373" i="3"/>
  <c r="U3373" i="3"/>
  <c r="V3373" i="3"/>
  <c r="W3373" i="3"/>
  <c r="X3373" i="3"/>
  <c r="Y3373" i="3"/>
  <c r="T3371" i="3"/>
  <c r="U3371" i="3"/>
  <c r="V3371" i="3"/>
  <c r="W3371" i="3"/>
  <c r="X3371" i="3"/>
  <c r="Y3371" i="3"/>
  <c r="T3369" i="3"/>
  <c r="U3369" i="3"/>
  <c r="V3369" i="3"/>
  <c r="W3369" i="3"/>
  <c r="X3369" i="3"/>
  <c r="Y3369" i="3"/>
  <c r="T3367" i="3"/>
  <c r="U3367" i="3"/>
  <c r="V3367" i="3"/>
  <c r="W3367" i="3"/>
  <c r="X3367" i="3"/>
  <c r="Y3367" i="3"/>
  <c r="T3365" i="3"/>
  <c r="U3365" i="3"/>
  <c r="V3365" i="3"/>
  <c r="W3365" i="3"/>
  <c r="X3365" i="3"/>
  <c r="Y3365" i="3"/>
  <c r="T3361" i="3"/>
  <c r="U3361" i="3"/>
  <c r="V3361" i="3"/>
  <c r="W3361" i="3"/>
  <c r="X3361" i="3"/>
  <c r="Y3361" i="3"/>
  <c r="T3359" i="3"/>
  <c r="U3359" i="3"/>
  <c r="V3359" i="3"/>
  <c r="W3359" i="3"/>
  <c r="X3359" i="3"/>
  <c r="Y3359" i="3"/>
  <c r="T3357" i="3"/>
  <c r="U3357" i="3"/>
  <c r="V3357" i="3"/>
  <c r="W3357" i="3"/>
  <c r="X3357" i="3"/>
  <c r="Y3357" i="3"/>
  <c r="T3355" i="3"/>
  <c r="U3355" i="3"/>
  <c r="V3355" i="3"/>
  <c r="W3355" i="3"/>
  <c r="X3355" i="3"/>
  <c r="Y3355" i="3"/>
  <c r="T3353" i="3"/>
  <c r="U3353" i="3"/>
  <c r="V3353" i="3"/>
  <c r="W3353" i="3"/>
  <c r="X3353" i="3"/>
  <c r="Y3353" i="3"/>
  <c r="T3372" i="3"/>
  <c r="U3372" i="3"/>
  <c r="V3372" i="3"/>
  <c r="W3372" i="3"/>
  <c r="X3372" i="3"/>
  <c r="T3370" i="3"/>
  <c r="U3370" i="3"/>
  <c r="V3370" i="3"/>
  <c r="W3370" i="3"/>
  <c r="X3370" i="3"/>
  <c r="Y3370" i="3"/>
  <c r="T3368" i="3"/>
  <c r="U3368" i="3"/>
  <c r="V3368" i="3"/>
  <c r="W3368" i="3"/>
  <c r="X3368" i="3"/>
  <c r="Y3368" i="3"/>
  <c r="T3366" i="3"/>
  <c r="U3366" i="3"/>
  <c r="V3366" i="3"/>
  <c r="W3366" i="3"/>
  <c r="X3366" i="3"/>
  <c r="Y3366" i="3"/>
  <c r="T3364" i="3"/>
  <c r="U3364" i="3"/>
  <c r="V3364" i="3"/>
  <c r="W3364" i="3"/>
  <c r="X3364" i="3"/>
  <c r="Y3364" i="3"/>
  <c r="T3362" i="3"/>
  <c r="U3362" i="3"/>
  <c r="V3362" i="3"/>
  <c r="W3362" i="3"/>
  <c r="X3362" i="3"/>
  <c r="Y3362" i="3"/>
  <c r="T3360" i="3"/>
  <c r="U3360" i="3"/>
  <c r="V3360" i="3"/>
  <c r="W3360" i="3"/>
  <c r="X3360" i="3"/>
  <c r="Y3360" i="3"/>
  <c r="T3358" i="3"/>
  <c r="U3358" i="3"/>
  <c r="V3358" i="3"/>
  <c r="W3358" i="3"/>
  <c r="X3358" i="3"/>
  <c r="Y3358" i="3"/>
  <c r="T3356" i="3"/>
  <c r="U3356" i="3"/>
  <c r="V3356" i="3"/>
  <c r="W3356" i="3"/>
  <c r="X3356" i="3"/>
  <c r="Y3356" i="3"/>
  <c r="T3354" i="3"/>
  <c r="U3354" i="3"/>
  <c r="V3354" i="3"/>
  <c r="W3354" i="3"/>
  <c r="X3354" i="3"/>
  <c r="Y3354" i="3"/>
  <c r="Y3372" i="3"/>
  <c r="V3350" i="3"/>
  <c r="T3348" i="3"/>
  <c r="V3346" i="3"/>
  <c r="T3344" i="3"/>
  <c r="V3342" i="3"/>
  <c r="V3340" i="3"/>
  <c r="T3338" i="3"/>
  <c r="V3336" i="3"/>
  <c r="T3334" i="3"/>
  <c r="V3332" i="3"/>
  <c r="T3330" i="3"/>
  <c r="Y3351" i="3"/>
  <c r="Y3349" i="3"/>
  <c r="Y3345" i="3"/>
  <c r="Y3337" i="3"/>
  <c r="Y3333" i="3"/>
  <c r="X3348" i="3"/>
  <c r="X3344" i="3"/>
  <c r="X3338" i="3"/>
  <c r="X3334" i="3"/>
  <c r="X3330" i="3"/>
  <c r="W3351" i="3"/>
  <c r="W3347" i="3"/>
  <c r="W3343" i="3"/>
  <c r="W3339" i="3"/>
  <c r="W3335" i="3"/>
  <c r="W3331" i="3"/>
  <c r="U3349" i="3"/>
  <c r="U3345" i="3"/>
  <c r="U3337" i="3"/>
  <c r="U3333" i="3"/>
  <c r="U3350" i="3"/>
  <c r="W3350" i="3"/>
  <c r="U3348" i="3"/>
  <c r="W3348" i="3"/>
  <c r="Y3348" i="3"/>
  <c r="U3346" i="3"/>
  <c r="W3346" i="3"/>
  <c r="Y3346" i="3"/>
  <c r="U3344" i="3"/>
  <c r="W3344" i="3"/>
  <c r="Y3344" i="3"/>
  <c r="U3342" i="3"/>
  <c r="W3342" i="3"/>
  <c r="Y3342" i="3"/>
  <c r="U3340" i="3"/>
  <c r="W3340" i="3"/>
  <c r="Y3340" i="3"/>
  <c r="U3338" i="3"/>
  <c r="W3338" i="3"/>
  <c r="Y3338" i="3"/>
  <c r="U3336" i="3"/>
  <c r="W3336" i="3"/>
  <c r="Y3336" i="3"/>
  <c r="U3334" i="3"/>
  <c r="W3334" i="3"/>
  <c r="Y3334" i="3"/>
  <c r="U3332" i="3"/>
  <c r="W3332" i="3"/>
  <c r="Y3332" i="3"/>
  <c r="U3330" i="3"/>
  <c r="W3330" i="3"/>
  <c r="Y3330" i="3"/>
  <c r="Y3350" i="3"/>
  <c r="Y3347" i="3"/>
  <c r="Y3343" i="3"/>
  <c r="Y3339" i="3"/>
  <c r="Y3335" i="3"/>
  <c r="Y3331" i="3"/>
  <c r="X3350" i="3"/>
  <c r="X3346" i="3"/>
  <c r="X3342" i="3"/>
  <c r="X3340" i="3"/>
  <c r="X3336" i="3"/>
  <c r="X3332" i="3"/>
  <c r="W3349" i="3"/>
  <c r="W3345" i="3"/>
  <c r="W3337" i="3"/>
  <c r="W3333" i="3"/>
  <c r="V3348" i="3"/>
  <c r="V3344" i="3"/>
  <c r="V3338" i="3"/>
  <c r="V3334" i="3"/>
  <c r="V3330" i="3"/>
  <c r="U3351" i="3"/>
  <c r="U3347" i="3"/>
  <c r="U3343" i="3"/>
  <c r="U3339" i="3"/>
  <c r="U3335" i="3"/>
  <c r="U3331" i="3"/>
  <c r="T3350" i="3"/>
  <c r="T3346" i="3"/>
  <c r="T3342" i="3"/>
  <c r="T3340" i="3"/>
  <c r="T3336" i="3"/>
  <c r="T3332" i="3"/>
  <c r="T3351" i="3"/>
  <c r="T3349" i="3"/>
  <c r="T3347" i="3"/>
  <c r="T3345" i="3"/>
  <c r="T3343" i="3"/>
  <c r="T3339" i="3"/>
  <c r="T3337" i="3"/>
  <c r="T3335" i="3"/>
  <c r="T3333" i="3"/>
  <c r="T3331" i="3"/>
  <c r="V3351" i="3"/>
  <c r="V3349" i="3"/>
  <c r="V3347" i="3"/>
  <c r="V3345" i="3"/>
  <c r="V3343" i="3"/>
  <c r="V3339" i="3"/>
  <c r="V3337" i="3"/>
  <c r="V3335" i="3"/>
  <c r="V3333" i="3"/>
  <c r="V3331" i="3"/>
  <c r="S3290" i="3"/>
  <c r="Z3290" i="3" s="1"/>
  <c r="T3328" i="3"/>
  <c r="U3328" i="3"/>
  <c r="V3328" i="3"/>
  <c r="W3328" i="3"/>
  <c r="X3328" i="3"/>
  <c r="Y3328" i="3"/>
  <c r="T3326" i="3"/>
  <c r="U3326" i="3"/>
  <c r="V3326" i="3"/>
  <c r="W3326" i="3"/>
  <c r="X3326" i="3"/>
  <c r="Y3326" i="3"/>
  <c r="T3324" i="3"/>
  <c r="U3324" i="3"/>
  <c r="V3324" i="3"/>
  <c r="W3324" i="3"/>
  <c r="X3324" i="3"/>
  <c r="Y3324" i="3"/>
  <c r="T3322" i="3"/>
  <c r="U3322" i="3"/>
  <c r="V3322" i="3"/>
  <c r="W3322" i="3"/>
  <c r="X3322" i="3"/>
  <c r="Y3322" i="3"/>
  <c r="T3320" i="3"/>
  <c r="U3320" i="3"/>
  <c r="V3320" i="3"/>
  <c r="W3320" i="3"/>
  <c r="X3320" i="3"/>
  <c r="Y3320" i="3"/>
  <c r="T3318" i="3"/>
  <c r="U3318" i="3"/>
  <c r="V3318" i="3"/>
  <c r="W3318" i="3"/>
  <c r="X3318" i="3"/>
  <c r="Y3318" i="3"/>
  <c r="T3316" i="3"/>
  <c r="U3316" i="3"/>
  <c r="V3316" i="3"/>
  <c r="W3316" i="3"/>
  <c r="X3316" i="3"/>
  <c r="Y3316" i="3"/>
  <c r="T3327" i="3"/>
  <c r="U3327" i="3"/>
  <c r="V3327" i="3"/>
  <c r="W3327" i="3"/>
  <c r="X3327" i="3"/>
  <c r="Y3327" i="3"/>
  <c r="T3325" i="3"/>
  <c r="U3325" i="3"/>
  <c r="V3325" i="3"/>
  <c r="W3325" i="3"/>
  <c r="X3325" i="3"/>
  <c r="Y3325" i="3"/>
  <c r="T3323" i="3"/>
  <c r="U3323" i="3"/>
  <c r="V3323" i="3"/>
  <c r="W3323" i="3"/>
  <c r="X3323" i="3"/>
  <c r="Y3323" i="3"/>
  <c r="T3321" i="3"/>
  <c r="U3321" i="3"/>
  <c r="V3321" i="3"/>
  <c r="W3321" i="3"/>
  <c r="X3321" i="3"/>
  <c r="Y3321" i="3"/>
  <c r="T3319" i="3"/>
  <c r="U3319" i="3"/>
  <c r="V3319" i="3"/>
  <c r="W3319" i="3"/>
  <c r="X3319" i="3"/>
  <c r="Y3319" i="3"/>
  <c r="T3317" i="3"/>
  <c r="U3317" i="3"/>
  <c r="V3317" i="3"/>
  <c r="W3317" i="3"/>
  <c r="X3317" i="3"/>
  <c r="Y3317" i="3"/>
  <c r="S3301" i="3"/>
  <c r="Z3301" i="3" s="1"/>
  <c r="T3313" i="3"/>
  <c r="V3313" i="3"/>
  <c r="X3313" i="3"/>
  <c r="U3313" i="3"/>
  <c r="W3313" i="3"/>
  <c r="T3311" i="3"/>
  <c r="V3311" i="3"/>
  <c r="X3311" i="3"/>
  <c r="U3311" i="3"/>
  <c r="W3311" i="3"/>
  <c r="T3309" i="3"/>
  <c r="V3309" i="3"/>
  <c r="X3309" i="3"/>
  <c r="U3309" i="3"/>
  <c r="W3309" i="3"/>
  <c r="T3307" i="3"/>
  <c r="V3307" i="3"/>
  <c r="X3307" i="3"/>
  <c r="U3307" i="3"/>
  <c r="W3307" i="3"/>
  <c r="T3305" i="3"/>
  <c r="V3305" i="3"/>
  <c r="X3305" i="3"/>
  <c r="U3305" i="3"/>
  <c r="W3305" i="3"/>
  <c r="T3303" i="3"/>
  <c r="V3303" i="3"/>
  <c r="X3303" i="3"/>
  <c r="U3303" i="3"/>
  <c r="W3303" i="3"/>
  <c r="T3299" i="3"/>
  <c r="V3299" i="3"/>
  <c r="X3299" i="3"/>
  <c r="U3299" i="3"/>
  <c r="W3299" i="3"/>
  <c r="T3297" i="3"/>
  <c r="V3297" i="3"/>
  <c r="X3297" i="3"/>
  <c r="U3297" i="3"/>
  <c r="W3297" i="3"/>
  <c r="T3295" i="3"/>
  <c r="V3295" i="3"/>
  <c r="X3295" i="3"/>
  <c r="U3295" i="3"/>
  <c r="W3295" i="3"/>
  <c r="T3293" i="3"/>
  <c r="V3293" i="3"/>
  <c r="X3293" i="3"/>
  <c r="U3293" i="3"/>
  <c r="W3293" i="3"/>
  <c r="T3291" i="3"/>
  <c r="V3291" i="3"/>
  <c r="X3291" i="3"/>
  <c r="U3291" i="3"/>
  <c r="W3291" i="3"/>
  <c r="Y3291" i="3"/>
  <c r="Y3313" i="3"/>
  <c r="Y3311" i="3"/>
  <c r="Y3309" i="3"/>
  <c r="Y3307" i="3"/>
  <c r="Y3305" i="3"/>
  <c r="Y3303" i="3"/>
  <c r="Y3299" i="3"/>
  <c r="Y3297" i="3"/>
  <c r="Y3295" i="3"/>
  <c r="Y3293" i="3"/>
  <c r="U3314" i="3"/>
  <c r="W3314" i="3"/>
  <c r="T3314" i="3"/>
  <c r="V3314" i="3"/>
  <c r="X3314" i="3"/>
  <c r="U3312" i="3"/>
  <c r="W3312" i="3"/>
  <c r="T3312" i="3"/>
  <c r="V3312" i="3"/>
  <c r="X3312" i="3"/>
  <c r="U3310" i="3"/>
  <c r="W3310" i="3"/>
  <c r="T3310" i="3"/>
  <c r="V3310" i="3"/>
  <c r="X3310" i="3"/>
  <c r="U3308" i="3"/>
  <c r="W3308" i="3"/>
  <c r="T3308" i="3"/>
  <c r="V3308" i="3"/>
  <c r="X3308" i="3"/>
  <c r="U3306" i="3"/>
  <c r="W3306" i="3"/>
  <c r="T3306" i="3"/>
  <c r="V3306" i="3"/>
  <c r="X3306" i="3"/>
  <c r="U3304" i="3"/>
  <c r="W3304" i="3"/>
  <c r="T3304" i="3"/>
  <c r="V3304" i="3"/>
  <c r="X3304" i="3"/>
  <c r="U3302" i="3"/>
  <c r="W3302" i="3"/>
  <c r="T3302" i="3"/>
  <c r="V3302" i="3"/>
  <c r="X3302" i="3"/>
  <c r="U3300" i="3"/>
  <c r="W3300" i="3"/>
  <c r="T3300" i="3"/>
  <c r="V3300" i="3"/>
  <c r="X3300" i="3"/>
  <c r="U3298" i="3"/>
  <c r="W3298" i="3"/>
  <c r="T3298" i="3"/>
  <c r="V3298" i="3"/>
  <c r="X3298" i="3"/>
  <c r="U3296" i="3"/>
  <c r="W3296" i="3"/>
  <c r="T3296" i="3"/>
  <c r="V3296" i="3"/>
  <c r="X3296" i="3"/>
  <c r="U3294" i="3"/>
  <c r="W3294" i="3"/>
  <c r="T3294" i="3"/>
  <c r="V3294" i="3"/>
  <c r="X3294" i="3"/>
  <c r="U3292" i="3"/>
  <c r="W3292" i="3"/>
  <c r="Y3292" i="3"/>
  <c r="T3292" i="3"/>
  <c r="V3292" i="3"/>
  <c r="X3292" i="3"/>
  <c r="Y3314" i="3"/>
  <c r="Y3312" i="3"/>
  <c r="Y3310" i="3"/>
  <c r="Y3308" i="3"/>
  <c r="Y3306" i="3"/>
  <c r="Y3304" i="3"/>
  <c r="Y3302" i="3"/>
  <c r="Y3300" i="3"/>
  <c r="Y3298" i="3"/>
  <c r="Y3296" i="3"/>
  <c r="Y3294" i="3"/>
  <c r="T3289" i="3"/>
  <c r="U3289" i="3"/>
  <c r="V3289" i="3"/>
  <c r="W3289" i="3"/>
  <c r="X3289" i="3"/>
  <c r="Y3289" i="3"/>
  <c r="T3287" i="3"/>
  <c r="U3287" i="3"/>
  <c r="V3287" i="3"/>
  <c r="W3287" i="3"/>
  <c r="X3287" i="3"/>
  <c r="Y3287" i="3"/>
  <c r="T3285" i="3"/>
  <c r="U3285" i="3"/>
  <c r="V3285" i="3"/>
  <c r="W3285" i="3"/>
  <c r="X3285" i="3"/>
  <c r="Y3285" i="3"/>
  <c r="T3283" i="3"/>
  <c r="U3283" i="3"/>
  <c r="V3283" i="3"/>
  <c r="W3283" i="3"/>
  <c r="X3283" i="3"/>
  <c r="Y3283" i="3"/>
  <c r="T3281" i="3"/>
  <c r="U3281" i="3"/>
  <c r="V3281" i="3"/>
  <c r="W3281" i="3"/>
  <c r="X3281" i="3"/>
  <c r="Y3281" i="3"/>
  <c r="T3277" i="3"/>
  <c r="U3277" i="3"/>
  <c r="V3277" i="3"/>
  <c r="W3277" i="3"/>
  <c r="X3277" i="3"/>
  <c r="Y3277" i="3"/>
  <c r="T3275" i="3"/>
  <c r="U3275" i="3"/>
  <c r="V3275" i="3"/>
  <c r="W3275" i="3"/>
  <c r="X3275" i="3"/>
  <c r="Y3275" i="3"/>
  <c r="T3273" i="3"/>
  <c r="U3273" i="3"/>
  <c r="V3273" i="3"/>
  <c r="W3273" i="3"/>
  <c r="X3273" i="3"/>
  <c r="Y3273" i="3"/>
  <c r="T3271" i="3"/>
  <c r="U3271" i="3"/>
  <c r="V3271" i="3"/>
  <c r="W3271" i="3"/>
  <c r="X3271" i="3"/>
  <c r="Y3271" i="3"/>
  <c r="T3269" i="3"/>
  <c r="U3269" i="3"/>
  <c r="V3269" i="3"/>
  <c r="W3269" i="3"/>
  <c r="X3269" i="3"/>
  <c r="Y3269" i="3"/>
  <c r="T3288" i="3"/>
  <c r="U3288" i="3"/>
  <c r="V3288" i="3"/>
  <c r="W3288" i="3"/>
  <c r="X3288" i="3"/>
  <c r="Y3288" i="3"/>
  <c r="T3286" i="3"/>
  <c r="U3286" i="3"/>
  <c r="V3286" i="3"/>
  <c r="W3286" i="3"/>
  <c r="X3286" i="3"/>
  <c r="Y3286" i="3"/>
  <c r="T3284" i="3"/>
  <c r="U3284" i="3"/>
  <c r="V3284" i="3"/>
  <c r="W3284" i="3"/>
  <c r="X3284" i="3"/>
  <c r="Y3284" i="3"/>
  <c r="T3282" i="3"/>
  <c r="U3282" i="3"/>
  <c r="V3282" i="3"/>
  <c r="W3282" i="3"/>
  <c r="X3282" i="3"/>
  <c r="Y3282" i="3"/>
  <c r="T3280" i="3"/>
  <c r="U3280" i="3"/>
  <c r="V3280" i="3"/>
  <c r="W3280" i="3"/>
  <c r="X3280" i="3"/>
  <c r="Y3280" i="3"/>
  <c r="T3278" i="3"/>
  <c r="U3278" i="3"/>
  <c r="V3278" i="3"/>
  <c r="W3278" i="3"/>
  <c r="X3278" i="3"/>
  <c r="Y3278" i="3"/>
  <c r="T3276" i="3"/>
  <c r="U3276" i="3"/>
  <c r="V3276" i="3"/>
  <c r="W3276" i="3"/>
  <c r="X3276" i="3"/>
  <c r="Y3276" i="3"/>
  <c r="T3274" i="3"/>
  <c r="U3274" i="3"/>
  <c r="V3274" i="3"/>
  <c r="W3274" i="3"/>
  <c r="X3274" i="3"/>
  <c r="Y3274" i="3"/>
  <c r="T3272" i="3"/>
  <c r="U3272" i="3"/>
  <c r="V3272" i="3"/>
  <c r="W3272" i="3"/>
  <c r="X3272" i="3"/>
  <c r="Y3272" i="3"/>
  <c r="T3270" i="3"/>
  <c r="U3270" i="3"/>
  <c r="V3270" i="3"/>
  <c r="W3270" i="3"/>
  <c r="X3270" i="3"/>
  <c r="Y3270" i="3"/>
  <c r="S3222" i="3"/>
  <c r="Z3222" i="3" s="1"/>
  <c r="T3267" i="3"/>
  <c r="U3267" i="3"/>
  <c r="V3267" i="3"/>
  <c r="W3267" i="3"/>
  <c r="X3267" i="3"/>
  <c r="T3265" i="3"/>
  <c r="U3265" i="3"/>
  <c r="V3265" i="3"/>
  <c r="W3265" i="3"/>
  <c r="X3265" i="3"/>
  <c r="T3263" i="3"/>
  <c r="U3263" i="3"/>
  <c r="V3263" i="3"/>
  <c r="W3263" i="3"/>
  <c r="X3263" i="3"/>
  <c r="T3261" i="3"/>
  <c r="U3261" i="3"/>
  <c r="V3261" i="3"/>
  <c r="W3261" i="3"/>
  <c r="X3261" i="3"/>
  <c r="T3259" i="3"/>
  <c r="U3259" i="3"/>
  <c r="V3259" i="3"/>
  <c r="W3259" i="3"/>
  <c r="X3259" i="3"/>
  <c r="T3257" i="3"/>
  <c r="U3257" i="3"/>
  <c r="V3257" i="3"/>
  <c r="W3257" i="3"/>
  <c r="X3257" i="3"/>
  <c r="T3253" i="3"/>
  <c r="U3253" i="3"/>
  <c r="V3253" i="3"/>
  <c r="W3253" i="3"/>
  <c r="X3253" i="3"/>
  <c r="Y3253" i="3"/>
  <c r="T3251" i="3"/>
  <c r="U3251" i="3"/>
  <c r="V3251" i="3"/>
  <c r="W3251" i="3"/>
  <c r="X3251" i="3"/>
  <c r="Y3251" i="3"/>
  <c r="T3249" i="3"/>
  <c r="U3249" i="3"/>
  <c r="V3249" i="3"/>
  <c r="W3249" i="3"/>
  <c r="X3249" i="3"/>
  <c r="Y3249" i="3"/>
  <c r="T3247" i="3"/>
  <c r="U3247" i="3"/>
  <c r="V3247" i="3"/>
  <c r="W3247" i="3"/>
  <c r="X3247" i="3"/>
  <c r="Y3247" i="3"/>
  <c r="T3245" i="3"/>
  <c r="U3245" i="3"/>
  <c r="V3245" i="3"/>
  <c r="W3245" i="3"/>
  <c r="X3245" i="3"/>
  <c r="Y3245" i="3"/>
  <c r="Y3267" i="3"/>
  <c r="Y3265" i="3"/>
  <c r="Y3263" i="3"/>
  <c r="Y3261" i="3"/>
  <c r="Y3259" i="3"/>
  <c r="Y3257" i="3"/>
  <c r="T3266" i="3"/>
  <c r="U3266" i="3"/>
  <c r="V3266" i="3"/>
  <c r="W3266" i="3"/>
  <c r="X3266" i="3"/>
  <c r="T3264" i="3"/>
  <c r="U3264" i="3"/>
  <c r="V3264" i="3"/>
  <c r="W3264" i="3"/>
  <c r="X3264" i="3"/>
  <c r="T3262" i="3"/>
  <c r="U3262" i="3"/>
  <c r="V3262" i="3"/>
  <c r="W3262" i="3"/>
  <c r="X3262" i="3"/>
  <c r="T3260" i="3"/>
  <c r="U3260" i="3"/>
  <c r="V3260" i="3"/>
  <c r="W3260" i="3"/>
  <c r="X3260" i="3"/>
  <c r="T3258" i="3"/>
  <c r="U3258" i="3"/>
  <c r="V3258" i="3"/>
  <c r="W3258" i="3"/>
  <c r="X3258" i="3"/>
  <c r="T3256" i="3"/>
  <c r="U3256" i="3"/>
  <c r="V3256" i="3"/>
  <c r="W3256" i="3"/>
  <c r="X3256" i="3"/>
  <c r="T3254" i="3"/>
  <c r="U3254" i="3"/>
  <c r="V3254" i="3"/>
  <c r="W3254" i="3"/>
  <c r="X3254" i="3"/>
  <c r="T3252" i="3"/>
  <c r="U3252" i="3"/>
  <c r="V3252" i="3"/>
  <c r="W3252" i="3"/>
  <c r="X3252" i="3"/>
  <c r="Y3252" i="3"/>
  <c r="T3250" i="3"/>
  <c r="U3250" i="3"/>
  <c r="V3250" i="3"/>
  <c r="W3250" i="3"/>
  <c r="X3250" i="3"/>
  <c r="Y3250" i="3"/>
  <c r="T3248" i="3"/>
  <c r="U3248" i="3"/>
  <c r="V3248" i="3"/>
  <c r="W3248" i="3"/>
  <c r="X3248" i="3"/>
  <c r="Y3248" i="3"/>
  <c r="T3246" i="3"/>
  <c r="U3246" i="3"/>
  <c r="V3246" i="3"/>
  <c r="W3246" i="3"/>
  <c r="X3246" i="3"/>
  <c r="Y3246" i="3"/>
  <c r="Y3266" i="3"/>
  <c r="Y3264" i="3"/>
  <c r="Y3262" i="3"/>
  <c r="Y3260" i="3"/>
  <c r="Y3258" i="3"/>
  <c r="Y3256" i="3"/>
  <c r="Y3254" i="3"/>
  <c r="T3242" i="3"/>
  <c r="V3242" i="3"/>
  <c r="X3242" i="3"/>
  <c r="U3242" i="3"/>
  <c r="W3242" i="3"/>
  <c r="Y3242" i="3"/>
  <c r="T3240" i="3"/>
  <c r="V3240" i="3"/>
  <c r="X3240" i="3"/>
  <c r="U3240" i="3"/>
  <c r="W3240" i="3"/>
  <c r="Y3240" i="3"/>
  <c r="T3238" i="3"/>
  <c r="V3238" i="3"/>
  <c r="X3238" i="3"/>
  <c r="U3238" i="3"/>
  <c r="W3238" i="3"/>
  <c r="Y3238" i="3"/>
  <c r="T3236" i="3"/>
  <c r="V3236" i="3"/>
  <c r="X3236" i="3"/>
  <c r="U3236" i="3"/>
  <c r="W3236" i="3"/>
  <c r="Y3236" i="3"/>
  <c r="T3234" i="3"/>
  <c r="V3234" i="3"/>
  <c r="X3234" i="3"/>
  <c r="U3234" i="3"/>
  <c r="W3234" i="3"/>
  <c r="Y3234" i="3"/>
  <c r="U3243" i="3"/>
  <c r="W3243" i="3"/>
  <c r="Y3243" i="3"/>
  <c r="T3243" i="3"/>
  <c r="V3243" i="3"/>
  <c r="X3243" i="3"/>
  <c r="U3241" i="3"/>
  <c r="W3241" i="3"/>
  <c r="Y3241" i="3"/>
  <c r="T3241" i="3"/>
  <c r="V3241" i="3"/>
  <c r="X3241" i="3"/>
  <c r="U3239" i="3"/>
  <c r="W3239" i="3"/>
  <c r="Y3239" i="3"/>
  <c r="T3239" i="3"/>
  <c r="V3239" i="3"/>
  <c r="X3239" i="3"/>
  <c r="U3237" i="3"/>
  <c r="W3237" i="3"/>
  <c r="Y3237" i="3"/>
  <c r="T3237" i="3"/>
  <c r="V3237" i="3"/>
  <c r="X3237" i="3"/>
  <c r="U3235" i="3"/>
  <c r="W3235" i="3"/>
  <c r="Y3235" i="3"/>
  <c r="T3235" i="3"/>
  <c r="V3235" i="3"/>
  <c r="X3235" i="3"/>
  <c r="S3233" i="3"/>
  <c r="Z3233" i="3" s="1"/>
  <c r="U3232" i="3"/>
  <c r="W3232" i="3"/>
  <c r="Y3232" i="3"/>
  <c r="T3232" i="3"/>
  <c r="V3232" i="3"/>
  <c r="X3232" i="3"/>
  <c r="U3230" i="3"/>
  <c r="W3230" i="3"/>
  <c r="Y3230" i="3"/>
  <c r="T3230" i="3"/>
  <c r="V3230" i="3"/>
  <c r="X3230" i="3"/>
  <c r="U3228" i="3"/>
  <c r="W3228" i="3"/>
  <c r="Y3228" i="3"/>
  <c r="T3228" i="3"/>
  <c r="V3228" i="3"/>
  <c r="X3228" i="3"/>
  <c r="U3226" i="3"/>
  <c r="W3226" i="3"/>
  <c r="Y3226" i="3"/>
  <c r="T3226" i="3"/>
  <c r="V3226" i="3"/>
  <c r="X3226" i="3"/>
  <c r="U3224" i="3"/>
  <c r="W3224" i="3"/>
  <c r="Y3224" i="3"/>
  <c r="T3224" i="3"/>
  <c r="V3224" i="3"/>
  <c r="X3224" i="3"/>
  <c r="T3231" i="3"/>
  <c r="V3231" i="3"/>
  <c r="X3231" i="3"/>
  <c r="U3231" i="3"/>
  <c r="W3231" i="3"/>
  <c r="Y3231" i="3"/>
  <c r="T3229" i="3"/>
  <c r="V3229" i="3"/>
  <c r="X3229" i="3"/>
  <c r="U3229" i="3"/>
  <c r="W3229" i="3"/>
  <c r="Y3229" i="3"/>
  <c r="T3227" i="3"/>
  <c r="V3227" i="3"/>
  <c r="X3227" i="3"/>
  <c r="U3227" i="3"/>
  <c r="W3227" i="3"/>
  <c r="Y3227" i="3"/>
  <c r="T3225" i="3"/>
  <c r="V3225" i="3"/>
  <c r="X3225" i="3"/>
  <c r="U3225" i="3"/>
  <c r="W3225" i="3"/>
  <c r="Y3225" i="3"/>
  <c r="T3223" i="3"/>
  <c r="V3223" i="3"/>
  <c r="X3223" i="3"/>
  <c r="U3223" i="3"/>
  <c r="W3223" i="3"/>
  <c r="Y3223" i="3"/>
  <c r="M3199" i="3"/>
  <c r="M3200" i="3"/>
  <c r="M3201" i="3"/>
  <c r="M3202" i="3"/>
  <c r="M3203" i="3"/>
  <c r="M3204" i="3"/>
  <c r="M3205" i="3"/>
  <c r="M3206" i="3"/>
  <c r="M3207" i="3"/>
  <c r="M3208" i="3"/>
  <c r="M3209" i="3"/>
  <c r="M3210" i="3"/>
  <c r="M3211" i="3"/>
  <c r="M3212" i="3"/>
  <c r="M3213" i="3"/>
  <c r="M3214" i="3"/>
  <c r="M3215" i="3"/>
  <c r="M3216" i="3"/>
  <c r="M3217" i="3"/>
  <c r="M3218" i="3"/>
  <c r="M3219" i="3"/>
  <c r="M3220" i="3"/>
  <c r="M3221" i="3"/>
  <c r="P3199" i="3"/>
  <c r="P3200" i="3"/>
  <c r="P3201" i="3"/>
  <c r="P3202" i="3"/>
  <c r="P3203" i="3"/>
  <c r="P3204" i="3"/>
  <c r="P3205" i="3"/>
  <c r="P3206" i="3"/>
  <c r="P3207" i="3"/>
  <c r="P3208" i="3"/>
  <c r="P3209" i="3"/>
  <c r="P3210" i="3"/>
  <c r="P3211" i="3"/>
  <c r="P3212" i="3"/>
  <c r="P3213" i="3"/>
  <c r="P3214" i="3"/>
  <c r="P3215" i="3"/>
  <c r="P3216" i="3"/>
  <c r="P3217" i="3"/>
  <c r="P3218" i="3"/>
  <c r="P3219" i="3"/>
  <c r="P3220" i="3"/>
  <c r="P3221" i="3"/>
  <c r="Q3199" i="3"/>
  <c r="Q3200" i="3"/>
  <c r="Q3201" i="3"/>
  <c r="Q3202" i="3"/>
  <c r="Q3203" i="3"/>
  <c r="Q3204" i="3"/>
  <c r="Q3205" i="3"/>
  <c r="Q3206" i="3"/>
  <c r="Q3207" i="3"/>
  <c r="Q3208" i="3"/>
  <c r="Q3209" i="3"/>
  <c r="Q3210" i="3"/>
  <c r="Q3211" i="3"/>
  <c r="Q3212" i="3"/>
  <c r="Q3213" i="3"/>
  <c r="Q3214" i="3"/>
  <c r="Q3215" i="3"/>
  <c r="Q3216" i="3"/>
  <c r="Q3217" i="3"/>
  <c r="Q3218" i="3"/>
  <c r="Q3219" i="3"/>
  <c r="Q3220" i="3"/>
  <c r="Q3221" i="3"/>
  <c r="R3199" i="3"/>
  <c r="R3200" i="3"/>
  <c r="R3201" i="3"/>
  <c r="R3202" i="3"/>
  <c r="R3203" i="3"/>
  <c r="R3204" i="3"/>
  <c r="R3205" i="3"/>
  <c r="R3206" i="3"/>
  <c r="R3207" i="3"/>
  <c r="R3208" i="3"/>
  <c r="R3209" i="3"/>
  <c r="R3210" i="3"/>
  <c r="R3211" i="3"/>
  <c r="R3212" i="3"/>
  <c r="R3213" i="3"/>
  <c r="R3214" i="3"/>
  <c r="R3215" i="3"/>
  <c r="R3216" i="3"/>
  <c r="R3217" i="3"/>
  <c r="R3218" i="3"/>
  <c r="R3219" i="3"/>
  <c r="R3220" i="3"/>
  <c r="R3221" i="3"/>
  <c r="S3200" i="3"/>
  <c r="S3201" i="3"/>
  <c r="S3202" i="3"/>
  <c r="S3203" i="3"/>
  <c r="S3204" i="3"/>
  <c r="S3205" i="3"/>
  <c r="S3206" i="3"/>
  <c r="S3207" i="3"/>
  <c r="S3208" i="3"/>
  <c r="S3209" i="3"/>
  <c r="S3210" i="3"/>
  <c r="S3211" i="3"/>
  <c r="S3213" i="3"/>
  <c r="S3214" i="3"/>
  <c r="S3215" i="3"/>
  <c r="S3216" i="3"/>
  <c r="S3217" i="3"/>
  <c r="S3218" i="3"/>
  <c r="S3219" i="3"/>
  <c r="S3220" i="3"/>
  <c r="S3221" i="3"/>
  <c r="T3199" i="3"/>
  <c r="T3212" i="3"/>
  <c r="U3199" i="3"/>
  <c r="U3212" i="3"/>
  <c r="V3199" i="3"/>
  <c r="V3212" i="3"/>
  <c r="W3199" i="3"/>
  <c r="W3212" i="3"/>
  <c r="X3199" i="3"/>
  <c r="X3212" i="3"/>
  <c r="AA3199" i="3"/>
  <c r="AA3200" i="3"/>
  <c r="AA3201" i="3"/>
  <c r="AA3202" i="3"/>
  <c r="AA3203" i="3"/>
  <c r="AA3204" i="3"/>
  <c r="AA3205" i="3"/>
  <c r="AA3206" i="3"/>
  <c r="AA3207" i="3"/>
  <c r="AA3208" i="3"/>
  <c r="AA3209" i="3"/>
  <c r="AA3210" i="3"/>
  <c r="AA3211" i="3"/>
  <c r="AA3212" i="3"/>
  <c r="AA3213" i="3"/>
  <c r="AA3214" i="3"/>
  <c r="AA3215" i="3"/>
  <c r="AA3216" i="3"/>
  <c r="AA3217" i="3"/>
  <c r="AA3218" i="3"/>
  <c r="AA3219" i="3"/>
  <c r="AA3220" i="3"/>
  <c r="AA3221" i="3"/>
  <c r="AB3199" i="3"/>
  <c r="O3199" i="3" s="1"/>
  <c r="Y3199" i="3" s="1"/>
  <c r="AB3200" i="3"/>
  <c r="O3200" i="3" s="1"/>
  <c r="AB3201" i="3"/>
  <c r="O3201" i="3" s="1"/>
  <c r="AB3202" i="3"/>
  <c r="O3202" i="3" s="1"/>
  <c r="AB3203" i="3"/>
  <c r="O3203" i="3" s="1"/>
  <c r="AB3204" i="3"/>
  <c r="O3204" i="3" s="1"/>
  <c r="AB3205" i="3"/>
  <c r="O3205" i="3" s="1"/>
  <c r="AB3206" i="3"/>
  <c r="O3206" i="3" s="1"/>
  <c r="AB3207" i="3"/>
  <c r="O3207" i="3" s="1"/>
  <c r="AB3208" i="3"/>
  <c r="O3208" i="3" s="1"/>
  <c r="AB3209" i="3"/>
  <c r="O3209" i="3" s="1"/>
  <c r="AB3210" i="3"/>
  <c r="O3210" i="3" s="1"/>
  <c r="AB3211" i="3"/>
  <c r="O3211" i="3" s="1"/>
  <c r="AB3212" i="3"/>
  <c r="O3212" i="3" s="1"/>
  <c r="AB3213" i="3"/>
  <c r="O3213" i="3" s="1"/>
  <c r="AB3214" i="3"/>
  <c r="O3214" i="3" s="1"/>
  <c r="AB3215" i="3"/>
  <c r="O3215" i="3" s="1"/>
  <c r="AB3216" i="3"/>
  <c r="O3216" i="3" s="1"/>
  <c r="AB3217" i="3"/>
  <c r="O3217" i="3" s="1"/>
  <c r="AB3218" i="3"/>
  <c r="O3218" i="3" s="1"/>
  <c r="AB3219" i="3"/>
  <c r="O3219" i="3" s="1"/>
  <c r="AB3220" i="3"/>
  <c r="O3220" i="3" s="1"/>
  <c r="AB3221" i="3"/>
  <c r="O3221" i="3" s="1"/>
  <c r="AC3199" i="3"/>
  <c r="N3199" i="3" s="1"/>
  <c r="AC3200" i="3"/>
  <c r="N3200" i="3" s="1"/>
  <c r="AC3201" i="3"/>
  <c r="N3201" i="3" s="1"/>
  <c r="AC3202" i="3"/>
  <c r="N3202" i="3" s="1"/>
  <c r="AC3203" i="3"/>
  <c r="N3203" i="3" s="1"/>
  <c r="AC3204" i="3"/>
  <c r="N3204" i="3" s="1"/>
  <c r="AC3205" i="3"/>
  <c r="N3205" i="3" s="1"/>
  <c r="AC3206" i="3"/>
  <c r="N3206" i="3" s="1"/>
  <c r="AC3207" i="3"/>
  <c r="N3207" i="3" s="1"/>
  <c r="AC3208" i="3"/>
  <c r="N3208" i="3" s="1"/>
  <c r="AC3209" i="3"/>
  <c r="N3209" i="3" s="1"/>
  <c r="AC3210" i="3"/>
  <c r="N3210" i="3" s="1"/>
  <c r="AC3211" i="3"/>
  <c r="N3211" i="3" s="1"/>
  <c r="AC3212" i="3"/>
  <c r="N3212" i="3" s="1"/>
  <c r="AC3213" i="3"/>
  <c r="N3213" i="3" s="1"/>
  <c r="AC3214" i="3"/>
  <c r="N3214" i="3" s="1"/>
  <c r="AC3215" i="3"/>
  <c r="N3215" i="3" s="1"/>
  <c r="AC3216" i="3"/>
  <c r="N3216" i="3" s="1"/>
  <c r="AC3217" i="3"/>
  <c r="N3217" i="3" s="1"/>
  <c r="AC3218" i="3"/>
  <c r="N3218" i="3" s="1"/>
  <c r="AC3219" i="3"/>
  <c r="N3219" i="3" s="1"/>
  <c r="AC3220" i="3"/>
  <c r="N3220" i="3" s="1"/>
  <c r="AC3221" i="3"/>
  <c r="N3221" i="3" s="1"/>
  <c r="AK3199" i="3"/>
  <c r="AK3200" i="3"/>
  <c r="AK3201" i="3"/>
  <c r="AK3202" i="3"/>
  <c r="AK3203" i="3"/>
  <c r="AK3204" i="3"/>
  <c r="AK3205" i="3"/>
  <c r="AK3206" i="3"/>
  <c r="AK3207" i="3"/>
  <c r="AK3208" i="3"/>
  <c r="AK3209" i="3"/>
  <c r="AK3210" i="3"/>
  <c r="AK3211" i="3"/>
  <c r="AK3212" i="3"/>
  <c r="AK3213" i="3"/>
  <c r="AK3214" i="3"/>
  <c r="AK3215" i="3"/>
  <c r="AK3216" i="3"/>
  <c r="AK3217" i="3"/>
  <c r="AK3218" i="3"/>
  <c r="AK3219" i="3"/>
  <c r="AK3220" i="3"/>
  <c r="AK3221" i="3"/>
  <c r="M180" i="10"/>
  <c r="M3177" i="3"/>
  <c r="M3178" i="3"/>
  <c r="M3179" i="3"/>
  <c r="M3180" i="3"/>
  <c r="M3181" i="3"/>
  <c r="M3182" i="3"/>
  <c r="M3183" i="3"/>
  <c r="M3184" i="3"/>
  <c r="M3185" i="3"/>
  <c r="M3186" i="3"/>
  <c r="M3187" i="3"/>
  <c r="M3188" i="3"/>
  <c r="M3189" i="3"/>
  <c r="M3190" i="3"/>
  <c r="M3191" i="3"/>
  <c r="M3192" i="3"/>
  <c r="M3193" i="3"/>
  <c r="M3194" i="3"/>
  <c r="M3195" i="3"/>
  <c r="M3196" i="3"/>
  <c r="M3197" i="3"/>
  <c r="M3198" i="3"/>
  <c r="P3177" i="3"/>
  <c r="P3178" i="3"/>
  <c r="P3179" i="3"/>
  <c r="P3180" i="3"/>
  <c r="P3181" i="3"/>
  <c r="P3182" i="3"/>
  <c r="P3183" i="3"/>
  <c r="P3184" i="3"/>
  <c r="P3185" i="3"/>
  <c r="P3186" i="3"/>
  <c r="P3187" i="3"/>
  <c r="P3188" i="3"/>
  <c r="P3189" i="3"/>
  <c r="P3190" i="3"/>
  <c r="P3191" i="3"/>
  <c r="P3192" i="3"/>
  <c r="P3193" i="3"/>
  <c r="P3194" i="3"/>
  <c r="P3195" i="3"/>
  <c r="P3196" i="3"/>
  <c r="P3197" i="3"/>
  <c r="P3198" i="3"/>
  <c r="Q3177" i="3"/>
  <c r="Q3178" i="3"/>
  <c r="Q3179" i="3"/>
  <c r="Q3180" i="3"/>
  <c r="Q3181" i="3"/>
  <c r="Q3182" i="3"/>
  <c r="Q3183" i="3"/>
  <c r="Q3184" i="3"/>
  <c r="Q3185" i="3"/>
  <c r="Q3186" i="3"/>
  <c r="Q3187" i="3"/>
  <c r="Q3188" i="3"/>
  <c r="Q3189" i="3"/>
  <c r="Q3190" i="3"/>
  <c r="Q3191" i="3"/>
  <c r="Q3192" i="3"/>
  <c r="Q3193" i="3"/>
  <c r="Q3194" i="3"/>
  <c r="Q3195" i="3"/>
  <c r="Q3196" i="3"/>
  <c r="Q3197" i="3"/>
  <c r="Q3198" i="3"/>
  <c r="R3177" i="3"/>
  <c r="R3178" i="3"/>
  <c r="R3179" i="3"/>
  <c r="R3180" i="3"/>
  <c r="R3181" i="3"/>
  <c r="R3182" i="3"/>
  <c r="R3183" i="3"/>
  <c r="R3184" i="3"/>
  <c r="R3185" i="3"/>
  <c r="R3186" i="3"/>
  <c r="R3187" i="3"/>
  <c r="R3188" i="3"/>
  <c r="R3189" i="3"/>
  <c r="R3190" i="3"/>
  <c r="R3191" i="3"/>
  <c r="R3192" i="3"/>
  <c r="R3193" i="3"/>
  <c r="R3194" i="3"/>
  <c r="R3195" i="3"/>
  <c r="R3196" i="3"/>
  <c r="R3197" i="3"/>
  <c r="R3198" i="3"/>
  <c r="S3178" i="3"/>
  <c r="S3179" i="3"/>
  <c r="S3180" i="3"/>
  <c r="S3181" i="3"/>
  <c r="S3182" i="3"/>
  <c r="S3183" i="3"/>
  <c r="S3184" i="3"/>
  <c r="S3185" i="3"/>
  <c r="S3186" i="3"/>
  <c r="S3187" i="3"/>
  <c r="S3189" i="3"/>
  <c r="S3190" i="3"/>
  <c r="S3191" i="3"/>
  <c r="S3192" i="3"/>
  <c r="S3193" i="3"/>
  <c r="S3194" i="3"/>
  <c r="S3195" i="3"/>
  <c r="S3196" i="3"/>
  <c r="S3197" i="3"/>
  <c r="S3198" i="3"/>
  <c r="T3177" i="3"/>
  <c r="T3188" i="3"/>
  <c r="U3177" i="3"/>
  <c r="U3188" i="3"/>
  <c r="V3177" i="3"/>
  <c r="V3188" i="3"/>
  <c r="W3177" i="3"/>
  <c r="W3188" i="3"/>
  <c r="X3177" i="3"/>
  <c r="X3188" i="3"/>
  <c r="AA3177" i="3"/>
  <c r="AA3178" i="3"/>
  <c r="AA3179" i="3"/>
  <c r="AA3180" i="3"/>
  <c r="AA3181" i="3"/>
  <c r="AA3182" i="3"/>
  <c r="AA3183" i="3"/>
  <c r="AA3184" i="3"/>
  <c r="AA3185" i="3"/>
  <c r="AA3186" i="3"/>
  <c r="AA3187" i="3"/>
  <c r="AA3188" i="3"/>
  <c r="AA3189" i="3"/>
  <c r="AA3190" i="3"/>
  <c r="AA3191" i="3"/>
  <c r="AA3192" i="3"/>
  <c r="AA3193" i="3"/>
  <c r="AA3194" i="3"/>
  <c r="AA3195" i="3"/>
  <c r="AA3196" i="3"/>
  <c r="AA3197" i="3"/>
  <c r="AA3198" i="3"/>
  <c r="AB3177" i="3"/>
  <c r="O3177" i="3" s="1"/>
  <c r="Y3177" i="3" s="1"/>
  <c r="AB3178" i="3"/>
  <c r="O3178" i="3" s="1"/>
  <c r="AB3179" i="3"/>
  <c r="O3179" i="3" s="1"/>
  <c r="AB3180" i="3"/>
  <c r="O3180" i="3" s="1"/>
  <c r="AB3181" i="3"/>
  <c r="O3181" i="3" s="1"/>
  <c r="AB3182" i="3"/>
  <c r="O3182" i="3" s="1"/>
  <c r="AB3183" i="3"/>
  <c r="O3183" i="3" s="1"/>
  <c r="AB3184" i="3"/>
  <c r="O3184" i="3" s="1"/>
  <c r="AB3185" i="3"/>
  <c r="O3185" i="3" s="1"/>
  <c r="AB3186" i="3"/>
  <c r="O3186" i="3" s="1"/>
  <c r="AB3187" i="3"/>
  <c r="O3187" i="3" s="1"/>
  <c r="AB3188" i="3"/>
  <c r="O3188" i="3" s="1"/>
  <c r="Y3188" i="3" s="1"/>
  <c r="AB3189" i="3"/>
  <c r="O3189" i="3" s="1"/>
  <c r="AB3190" i="3"/>
  <c r="O3190" i="3" s="1"/>
  <c r="AB3191" i="3"/>
  <c r="O3191" i="3" s="1"/>
  <c r="AB3192" i="3"/>
  <c r="O3192" i="3" s="1"/>
  <c r="AB3193" i="3"/>
  <c r="O3193" i="3" s="1"/>
  <c r="AB3194" i="3"/>
  <c r="O3194" i="3" s="1"/>
  <c r="AB3195" i="3"/>
  <c r="O3195" i="3" s="1"/>
  <c r="AB3196" i="3"/>
  <c r="O3196" i="3" s="1"/>
  <c r="AB3197" i="3"/>
  <c r="O3197" i="3" s="1"/>
  <c r="AB3198" i="3"/>
  <c r="O3198" i="3" s="1"/>
  <c r="AC3177" i="3"/>
  <c r="N3177" i="3" s="1"/>
  <c r="S3177" i="3" s="1"/>
  <c r="Z3177" i="3" s="1"/>
  <c r="AC3178" i="3"/>
  <c r="N3178" i="3" s="1"/>
  <c r="AC3179" i="3"/>
  <c r="N3179" i="3" s="1"/>
  <c r="AC3180" i="3"/>
  <c r="N3180" i="3" s="1"/>
  <c r="AC3181" i="3"/>
  <c r="N3181" i="3" s="1"/>
  <c r="AC3182" i="3"/>
  <c r="N3182" i="3" s="1"/>
  <c r="AC3183" i="3"/>
  <c r="N3183" i="3" s="1"/>
  <c r="AC3184" i="3"/>
  <c r="N3184" i="3" s="1"/>
  <c r="AC3185" i="3"/>
  <c r="N3185" i="3" s="1"/>
  <c r="AC3186" i="3"/>
  <c r="N3186" i="3" s="1"/>
  <c r="AC3187" i="3"/>
  <c r="N3187" i="3" s="1"/>
  <c r="AC3188" i="3"/>
  <c r="N3188" i="3" s="1"/>
  <c r="S3188" i="3" s="1"/>
  <c r="Z3188" i="3" s="1"/>
  <c r="AC3189" i="3"/>
  <c r="N3189" i="3" s="1"/>
  <c r="AC3190" i="3"/>
  <c r="N3190" i="3" s="1"/>
  <c r="AC3191" i="3"/>
  <c r="N3191" i="3" s="1"/>
  <c r="AC3192" i="3"/>
  <c r="N3192" i="3" s="1"/>
  <c r="AC3193" i="3"/>
  <c r="N3193" i="3" s="1"/>
  <c r="AC3194" i="3"/>
  <c r="N3194" i="3" s="1"/>
  <c r="AC3195" i="3"/>
  <c r="N3195" i="3" s="1"/>
  <c r="AC3196" i="3"/>
  <c r="N3196" i="3" s="1"/>
  <c r="AC3197" i="3"/>
  <c r="N3197" i="3" s="1"/>
  <c r="AC3198" i="3"/>
  <c r="N3198" i="3" s="1"/>
  <c r="AK3177" i="3"/>
  <c r="AK3178" i="3"/>
  <c r="AK3179" i="3"/>
  <c r="AK3180" i="3"/>
  <c r="AK3181" i="3"/>
  <c r="AK3182" i="3"/>
  <c r="AK3183" i="3"/>
  <c r="AK3184" i="3"/>
  <c r="AK3185" i="3"/>
  <c r="AK3186" i="3"/>
  <c r="AK3187" i="3"/>
  <c r="AK3188" i="3"/>
  <c r="AK3189" i="3"/>
  <c r="AK3190" i="3"/>
  <c r="AK3191" i="3"/>
  <c r="AK3192" i="3"/>
  <c r="AK3193" i="3"/>
  <c r="AK3194" i="3"/>
  <c r="AK3195" i="3"/>
  <c r="AK3196" i="3"/>
  <c r="AK3197" i="3"/>
  <c r="AK3198" i="3"/>
  <c r="M179" i="10"/>
  <c r="M3149" i="3"/>
  <c r="M3150" i="3"/>
  <c r="M3151" i="3"/>
  <c r="M3152" i="3"/>
  <c r="M3153" i="3"/>
  <c r="M3154" i="3"/>
  <c r="M3155" i="3"/>
  <c r="M3156" i="3"/>
  <c r="M3157" i="3"/>
  <c r="M3158" i="3"/>
  <c r="M3159" i="3"/>
  <c r="M3160" i="3"/>
  <c r="M3161" i="3"/>
  <c r="M3162" i="3"/>
  <c r="M3163" i="3"/>
  <c r="M3164" i="3"/>
  <c r="M3165" i="3"/>
  <c r="M3166" i="3"/>
  <c r="M3167" i="3"/>
  <c r="M3168" i="3"/>
  <c r="M3169" i="3"/>
  <c r="M3170" i="3"/>
  <c r="M3171" i="3"/>
  <c r="M3172" i="3"/>
  <c r="M3173" i="3"/>
  <c r="M3174" i="3"/>
  <c r="M3175" i="3"/>
  <c r="M3176" i="3"/>
  <c r="P3149" i="3"/>
  <c r="P3150" i="3"/>
  <c r="P3151" i="3"/>
  <c r="P3152" i="3"/>
  <c r="P3153" i="3"/>
  <c r="P3154" i="3"/>
  <c r="P3155" i="3"/>
  <c r="P3156" i="3"/>
  <c r="P3157" i="3"/>
  <c r="P3158" i="3"/>
  <c r="P3159" i="3"/>
  <c r="P3160" i="3"/>
  <c r="P3161" i="3"/>
  <c r="P3162" i="3"/>
  <c r="P3163" i="3"/>
  <c r="P3164" i="3"/>
  <c r="P3165" i="3"/>
  <c r="P3166" i="3"/>
  <c r="P3167" i="3"/>
  <c r="P3168" i="3"/>
  <c r="P3169" i="3"/>
  <c r="P3170" i="3"/>
  <c r="P3171" i="3"/>
  <c r="P3172" i="3"/>
  <c r="P3173" i="3"/>
  <c r="P3174" i="3"/>
  <c r="P3175" i="3"/>
  <c r="P3176" i="3"/>
  <c r="Q3149" i="3"/>
  <c r="Q3150" i="3"/>
  <c r="Q3151" i="3"/>
  <c r="Q3152" i="3"/>
  <c r="Q3153" i="3"/>
  <c r="Q3154" i="3"/>
  <c r="Q3155" i="3"/>
  <c r="Q3156" i="3"/>
  <c r="Q3157" i="3"/>
  <c r="Q3158" i="3"/>
  <c r="Q3159" i="3"/>
  <c r="Q3160" i="3"/>
  <c r="Q3161" i="3"/>
  <c r="Q3162" i="3"/>
  <c r="Q3163" i="3"/>
  <c r="Q3164" i="3"/>
  <c r="Q3165" i="3"/>
  <c r="Q3166" i="3"/>
  <c r="Q3167" i="3"/>
  <c r="Q3168" i="3"/>
  <c r="Q3169" i="3"/>
  <c r="Q3170" i="3"/>
  <c r="Q3171" i="3"/>
  <c r="Q3172" i="3"/>
  <c r="Q3173" i="3"/>
  <c r="Q3174" i="3"/>
  <c r="Q3175" i="3"/>
  <c r="Q3176" i="3"/>
  <c r="R3149" i="3"/>
  <c r="R3150" i="3"/>
  <c r="R3151" i="3"/>
  <c r="R3152" i="3"/>
  <c r="R3153" i="3"/>
  <c r="R3154" i="3"/>
  <c r="R3155" i="3"/>
  <c r="R3156" i="3"/>
  <c r="R3157" i="3"/>
  <c r="R3158" i="3"/>
  <c r="R3159" i="3"/>
  <c r="R3160" i="3"/>
  <c r="R3161" i="3"/>
  <c r="R3162" i="3"/>
  <c r="R3163" i="3"/>
  <c r="R3164" i="3"/>
  <c r="R3165" i="3"/>
  <c r="R3166" i="3"/>
  <c r="R3167" i="3"/>
  <c r="R3168" i="3"/>
  <c r="R3169" i="3"/>
  <c r="R3170" i="3"/>
  <c r="R3171" i="3"/>
  <c r="R3172" i="3"/>
  <c r="R3173" i="3"/>
  <c r="R3174" i="3"/>
  <c r="R3175" i="3"/>
  <c r="R3176" i="3"/>
  <c r="S3150" i="3"/>
  <c r="S3151" i="3"/>
  <c r="S3152" i="3"/>
  <c r="S3153" i="3"/>
  <c r="S3154" i="3"/>
  <c r="S3155" i="3"/>
  <c r="S3156" i="3"/>
  <c r="S3157" i="3"/>
  <c r="S3158" i="3"/>
  <c r="S3159" i="3"/>
  <c r="S3160" i="3"/>
  <c r="S3161" i="3"/>
  <c r="S3162" i="3"/>
  <c r="S3164" i="3"/>
  <c r="S3165" i="3"/>
  <c r="S3166" i="3"/>
  <c r="S3167" i="3"/>
  <c r="S3168" i="3"/>
  <c r="S3169" i="3"/>
  <c r="S3170" i="3"/>
  <c r="S3171" i="3"/>
  <c r="S3172" i="3"/>
  <c r="S3173" i="3"/>
  <c r="S3174" i="3"/>
  <c r="S3175" i="3"/>
  <c r="S3176" i="3"/>
  <c r="T3149" i="3"/>
  <c r="T3163" i="3"/>
  <c r="U3149" i="3"/>
  <c r="U3163" i="3"/>
  <c r="V3149" i="3"/>
  <c r="V3163" i="3"/>
  <c r="W3149" i="3"/>
  <c r="W3163" i="3"/>
  <c r="X3149" i="3"/>
  <c r="X3163" i="3"/>
  <c r="AA3149" i="3"/>
  <c r="AA3150" i="3"/>
  <c r="AA3151" i="3"/>
  <c r="AA3152" i="3"/>
  <c r="AA3153" i="3"/>
  <c r="AA3154" i="3"/>
  <c r="AA3155" i="3"/>
  <c r="AA3156" i="3"/>
  <c r="AA3157" i="3"/>
  <c r="AA3158" i="3"/>
  <c r="AA3159" i="3"/>
  <c r="AA3160" i="3"/>
  <c r="AA3161" i="3"/>
  <c r="AA3162" i="3"/>
  <c r="AA3163" i="3"/>
  <c r="AA3164" i="3"/>
  <c r="AA3165" i="3"/>
  <c r="AA3166" i="3"/>
  <c r="AA3167" i="3"/>
  <c r="AA3168" i="3"/>
  <c r="AA3169" i="3"/>
  <c r="AA3170" i="3"/>
  <c r="AA3171" i="3"/>
  <c r="AA3172" i="3"/>
  <c r="AA3173" i="3"/>
  <c r="AA3174" i="3"/>
  <c r="AA3175" i="3"/>
  <c r="AA3176" i="3"/>
  <c r="AB3149" i="3"/>
  <c r="O3149" i="3" s="1"/>
  <c r="Y3149" i="3" s="1"/>
  <c r="AB3150" i="3"/>
  <c r="O3150" i="3" s="1"/>
  <c r="AB3151" i="3"/>
  <c r="O3151" i="3" s="1"/>
  <c r="AB3152" i="3"/>
  <c r="O3152" i="3" s="1"/>
  <c r="AB3153" i="3"/>
  <c r="O3153" i="3" s="1"/>
  <c r="AB3154" i="3"/>
  <c r="O3154" i="3" s="1"/>
  <c r="AB3155" i="3"/>
  <c r="O3155" i="3" s="1"/>
  <c r="AB3156" i="3"/>
  <c r="O3156" i="3" s="1"/>
  <c r="AB3157" i="3"/>
  <c r="O3157" i="3" s="1"/>
  <c r="AB3158" i="3"/>
  <c r="O3158" i="3" s="1"/>
  <c r="AB3159" i="3"/>
  <c r="O3159" i="3" s="1"/>
  <c r="AB3160" i="3"/>
  <c r="O3160" i="3" s="1"/>
  <c r="AB3161" i="3"/>
  <c r="O3161" i="3" s="1"/>
  <c r="AB3162" i="3"/>
  <c r="O3162" i="3" s="1"/>
  <c r="AB3163" i="3"/>
  <c r="O3163" i="3" s="1"/>
  <c r="Y3163" i="3" s="1"/>
  <c r="AB3164" i="3"/>
  <c r="O3164" i="3" s="1"/>
  <c r="AB3165" i="3"/>
  <c r="O3165" i="3" s="1"/>
  <c r="AB3166" i="3"/>
  <c r="O3166" i="3" s="1"/>
  <c r="AB3167" i="3"/>
  <c r="O3167" i="3" s="1"/>
  <c r="AB3168" i="3"/>
  <c r="O3168" i="3" s="1"/>
  <c r="AB3169" i="3"/>
  <c r="O3169" i="3" s="1"/>
  <c r="AB3170" i="3"/>
  <c r="O3170" i="3" s="1"/>
  <c r="AB3171" i="3"/>
  <c r="O3171" i="3" s="1"/>
  <c r="AB3172" i="3"/>
  <c r="O3172" i="3" s="1"/>
  <c r="AB3173" i="3"/>
  <c r="O3173" i="3" s="1"/>
  <c r="AB3174" i="3"/>
  <c r="O3174" i="3" s="1"/>
  <c r="AB3175" i="3"/>
  <c r="O3175" i="3" s="1"/>
  <c r="AB3176" i="3"/>
  <c r="O3176" i="3" s="1"/>
  <c r="AC3149" i="3"/>
  <c r="N3149" i="3" s="1"/>
  <c r="S3149" i="3" s="1"/>
  <c r="AC3150" i="3"/>
  <c r="N3150" i="3" s="1"/>
  <c r="AC3151" i="3"/>
  <c r="N3151" i="3" s="1"/>
  <c r="AC3152" i="3"/>
  <c r="N3152" i="3" s="1"/>
  <c r="AC3153" i="3"/>
  <c r="N3153" i="3" s="1"/>
  <c r="AC3154" i="3"/>
  <c r="N3154" i="3" s="1"/>
  <c r="AC3155" i="3"/>
  <c r="N3155" i="3" s="1"/>
  <c r="AC3156" i="3"/>
  <c r="N3156" i="3" s="1"/>
  <c r="AC3157" i="3"/>
  <c r="N3157" i="3" s="1"/>
  <c r="AC3158" i="3"/>
  <c r="N3158" i="3" s="1"/>
  <c r="AC3159" i="3"/>
  <c r="N3159" i="3" s="1"/>
  <c r="AC3160" i="3"/>
  <c r="N3160" i="3" s="1"/>
  <c r="AC3161" i="3"/>
  <c r="N3161" i="3" s="1"/>
  <c r="AC3162" i="3"/>
  <c r="N3162" i="3" s="1"/>
  <c r="AC3163" i="3"/>
  <c r="N3163" i="3" s="1"/>
  <c r="S3163" i="3" s="1"/>
  <c r="AC3164" i="3"/>
  <c r="N3164" i="3" s="1"/>
  <c r="AC3165" i="3"/>
  <c r="N3165" i="3" s="1"/>
  <c r="AC3166" i="3"/>
  <c r="N3166" i="3" s="1"/>
  <c r="AC3167" i="3"/>
  <c r="N3167" i="3" s="1"/>
  <c r="AC3168" i="3"/>
  <c r="N3168" i="3" s="1"/>
  <c r="AC3169" i="3"/>
  <c r="N3169" i="3" s="1"/>
  <c r="AC3170" i="3"/>
  <c r="N3170" i="3" s="1"/>
  <c r="AC3171" i="3"/>
  <c r="N3171" i="3" s="1"/>
  <c r="AC3172" i="3"/>
  <c r="N3172" i="3" s="1"/>
  <c r="AC3173" i="3"/>
  <c r="N3173" i="3" s="1"/>
  <c r="AC3174" i="3"/>
  <c r="N3174" i="3" s="1"/>
  <c r="AC3175" i="3"/>
  <c r="N3175" i="3" s="1"/>
  <c r="AC3176" i="3"/>
  <c r="N3176" i="3" s="1"/>
  <c r="AK3149" i="3"/>
  <c r="AK3150" i="3"/>
  <c r="AK3151" i="3"/>
  <c r="AK3152" i="3"/>
  <c r="AK3153" i="3"/>
  <c r="AK3154" i="3"/>
  <c r="AK3155" i="3"/>
  <c r="AK3156" i="3"/>
  <c r="AK3157" i="3"/>
  <c r="AK3158" i="3"/>
  <c r="AK3159" i="3"/>
  <c r="AK3160" i="3"/>
  <c r="AK3161" i="3"/>
  <c r="AK3162" i="3"/>
  <c r="AK3163" i="3"/>
  <c r="AK3164" i="3"/>
  <c r="AK3165" i="3"/>
  <c r="AK3166" i="3"/>
  <c r="AK3167" i="3"/>
  <c r="AK3168" i="3"/>
  <c r="AK3169" i="3"/>
  <c r="AK3170" i="3"/>
  <c r="AK3171" i="3"/>
  <c r="AK3172" i="3"/>
  <c r="AK3173" i="3"/>
  <c r="AK3174" i="3"/>
  <c r="AK3175" i="3"/>
  <c r="AK3176" i="3"/>
  <c r="M178" i="10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M3148" i="3"/>
  <c r="P3136" i="3"/>
  <c r="P3137" i="3"/>
  <c r="P3138" i="3"/>
  <c r="P3139" i="3"/>
  <c r="P3140" i="3"/>
  <c r="P3141" i="3"/>
  <c r="P3142" i="3"/>
  <c r="P3143" i="3"/>
  <c r="P3144" i="3"/>
  <c r="P3145" i="3"/>
  <c r="P3146" i="3"/>
  <c r="P3147" i="3"/>
  <c r="P3148" i="3"/>
  <c r="Q3136" i="3"/>
  <c r="Q3137" i="3"/>
  <c r="Q3138" i="3"/>
  <c r="Q3139" i="3"/>
  <c r="Q3140" i="3"/>
  <c r="Q3141" i="3"/>
  <c r="Q3142" i="3"/>
  <c r="Q3143" i="3"/>
  <c r="Q3144" i="3"/>
  <c r="Q3145" i="3"/>
  <c r="Q3146" i="3"/>
  <c r="Q3147" i="3"/>
  <c r="Q3148" i="3"/>
  <c r="R3136" i="3"/>
  <c r="R3137" i="3"/>
  <c r="R3138" i="3"/>
  <c r="R3139" i="3"/>
  <c r="R3140" i="3"/>
  <c r="R3141" i="3"/>
  <c r="R3142" i="3"/>
  <c r="R3143" i="3"/>
  <c r="R3144" i="3"/>
  <c r="R3145" i="3"/>
  <c r="R3146" i="3"/>
  <c r="R3147" i="3"/>
  <c r="R3148" i="3"/>
  <c r="S3137" i="3"/>
  <c r="S3138" i="3"/>
  <c r="S3139" i="3"/>
  <c r="S3140" i="3"/>
  <c r="S3141" i="3"/>
  <c r="S3142" i="3"/>
  <c r="S3143" i="3"/>
  <c r="S3144" i="3"/>
  <c r="S3145" i="3"/>
  <c r="S3146" i="3"/>
  <c r="S3147" i="3"/>
  <c r="S3148" i="3"/>
  <c r="T3136" i="3"/>
  <c r="U3136" i="3"/>
  <c r="V3136" i="3"/>
  <c r="W3136" i="3"/>
  <c r="X3136" i="3"/>
  <c r="AA3136" i="3"/>
  <c r="AA3137" i="3"/>
  <c r="AA3138" i="3"/>
  <c r="AA3139" i="3"/>
  <c r="AA3140" i="3"/>
  <c r="AA3141" i="3"/>
  <c r="AA3142" i="3"/>
  <c r="AA3143" i="3"/>
  <c r="AA3144" i="3"/>
  <c r="AA3145" i="3"/>
  <c r="AA3146" i="3"/>
  <c r="AA3147" i="3"/>
  <c r="AA3148" i="3"/>
  <c r="AB3136" i="3"/>
  <c r="O3136" i="3" s="1"/>
  <c r="Y3136" i="3" s="1"/>
  <c r="AB3137" i="3"/>
  <c r="O3137" i="3" s="1"/>
  <c r="AB3138" i="3"/>
  <c r="O3138" i="3" s="1"/>
  <c r="AB3139" i="3"/>
  <c r="O3139" i="3" s="1"/>
  <c r="AB3140" i="3"/>
  <c r="O3140" i="3" s="1"/>
  <c r="AB3141" i="3"/>
  <c r="O3141" i="3" s="1"/>
  <c r="AB3142" i="3"/>
  <c r="O3142" i="3" s="1"/>
  <c r="AB3143" i="3"/>
  <c r="O3143" i="3" s="1"/>
  <c r="AB3144" i="3"/>
  <c r="O3144" i="3" s="1"/>
  <c r="AB3145" i="3"/>
  <c r="O3145" i="3" s="1"/>
  <c r="AB3146" i="3"/>
  <c r="O3146" i="3" s="1"/>
  <c r="AB3147" i="3"/>
  <c r="O3147" i="3" s="1"/>
  <c r="AB3148" i="3"/>
  <c r="O3148" i="3" s="1"/>
  <c r="AC3136" i="3"/>
  <c r="N3136" i="3" s="1"/>
  <c r="AC3137" i="3"/>
  <c r="N3137" i="3" s="1"/>
  <c r="AC3138" i="3"/>
  <c r="N3138" i="3" s="1"/>
  <c r="AC3139" i="3"/>
  <c r="N3139" i="3" s="1"/>
  <c r="AC3140" i="3"/>
  <c r="N3140" i="3" s="1"/>
  <c r="AC3141" i="3"/>
  <c r="N3141" i="3" s="1"/>
  <c r="AC3142" i="3"/>
  <c r="N3142" i="3" s="1"/>
  <c r="AC3143" i="3"/>
  <c r="N3143" i="3" s="1"/>
  <c r="AC3144" i="3"/>
  <c r="N3144" i="3" s="1"/>
  <c r="AC3145" i="3"/>
  <c r="N3145" i="3" s="1"/>
  <c r="AC3146" i="3"/>
  <c r="N3146" i="3" s="1"/>
  <c r="AC3147" i="3"/>
  <c r="N3147" i="3" s="1"/>
  <c r="AC3148" i="3"/>
  <c r="N3148" i="3" s="1"/>
  <c r="AK3136" i="3"/>
  <c r="AK3137" i="3"/>
  <c r="AK3138" i="3"/>
  <c r="AK3139" i="3"/>
  <c r="AK3140" i="3"/>
  <c r="AK3141" i="3"/>
  <c r="AK3142" i="3"/>
  <c r="AK3143" i="3"/>
  <c r="AK3144" i="3"/>
  <c r="AK3145" i="3"/>
  <c r="AK3146" i="3"/>
  <c r="AK3147" i="3"/>
  <c r="AK3148" i="3"/>
  <c r="M177" i="10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P3114" i="3"/>
  <c r="P3115" i="3"/>
  <c r="P3116" i="3"/>
  <c r="P3117" i="3"/>
  <c r="P3118" i="3"/>
  <c r="P3119" i="3"/>
  <c r="P3120" i="3"/>
  <c r="P3121" i="3"/>
  <c r="P3122" i="3"/>
  <c r="P3123" i="3"/>
  <c r="P3124" i="3"/>
  <c r="P3125" i="3"/>
  <c r="P3126" i="3"/>
  <c r="P3127" i="3"/>
  <c r="P3128" i="3"/>
  <c r="P3129" i="3"/>
  <c r="P3130" i="3"/>
  <c r="P3131" i="3"/>
  <c r="P3132" i="3"/>
  <c r="P3133" i="3"/>
  <c r="P3134" i="3"/>
  <c r="P3135" i="3"/>
  <c r="Q3114" i="3"/>
  <c r="Q3115" i="3"/>
  <c r="Q3116" i="3"/>
  <c r="Q3117" i="3"/>
  <c r="Q3118" i="3"/>
  <c r="Q3119" i="3"/>
  <c r="Q3120" i="3"/>
  <c r="Q3121" i="3"/>
  <c r="Q3122" i="3"/>
  <c r="Q3123" i="3"/>
  <c r="Q3124" i="3"/>
  <c r="Q3125" i="3"/>
  <c r="Q3126" i="3"/>
  <c r="Q3127" i="3"/>
  <c r="Q3128" i="3"/>
  <c r="Q3129" i="3"/>
  <c r="Q3130" i="3"/>
  <c r="Q3131" i="3"/>
  <c r="Q3132" i="3"/>
  <c r="Q3133" i="3"/>
  <c r="Q3134" i="3"/>
  <c r="Q3135" i="3"/>
  <c r="R3114" i="3"/>
  <c r="R3115" i="3"/>
  <c r="R3116" i="3"/>
  <c r="R3117" i="3"/>
  <c r="R3118" i="3"/>
  <c r="R3119" i="3"/>
  <c r="R3120" i="3"/>
  <c r="R3121" i="3"/>
  <c r="R3122" i="3"/>
  <c r="R3123" i="3"/>
  <c r="R3124" i="3"/>
  <c r="R3125" i="3"/>
  <c r="R3126" i="3"/>
  <c r="R3127" i="3"/>
  <c r="R3128" i="3"/>
  <c r="R3129" i="3"/>
  <c r="R3130" i="3"/>
  <c r="R3131" i="3"/>
  <c r="R3132" i="3"/>
  <c r="R3133" i="3"/>
  <c r="R3134" i="3"/>
  <c r="R3135" i="3"/>
  <c r="S3115" i="3"/>
  <c r="S3116" i="3"/>
  <c r="S3117" i="3"/>
  <c r="S3118" i="3"/>
  <c r="S3119" i="3"/>
  <c r="S3120" i="3"/>
  <c r="S3121" i="3"/>
  <c r="S3122" i="3"/>
  <c r="S3123" i="3"/>
  <c r="S3124" i="3"/>
  <c r="S3126" i="3"/>
  <c r="S3127" i="3"/>
  <c r="S3128" i="3"/>
  <c r="S3129" i="3"/>
  <c r="S3130" i="3"/>
  <c r="S3131" i="3"/>
  <c r="S3132" i="3"/>
  <c r="S3133" i="3"/>
  <c r="S3134" i="3"/>
  <c r="S3135" i="3"/>
  <c r="T3114" i="3"/>
  <c r="T3125" i="3"/>
  <c r="U3114" i="3"/>
  <c r="U3125" i="3"/>
  <c r="V3114" i="3"/>
  <c r="V3125" i="3"/>
  <c r="W3114" i="3"/>
  <c r="W3125" i="3"/>
  <c r="X3114" i="3"/>
  <c r="X3125" i="3"/>
  <c r="AA3114" i="3"/>
  <c r="AA3115" i="3"/>
  <c r="AA3116" i="3"/>
  <c r="AA3117" i="3"/>
  <c r="AA3118" i="3"/>
  <c r="AA3119" i="3"/>
  <c r="AA3120" i="3"/>
  <c r="AA3121" i="3"/>
  <c r="AA3122" i="3"/>
  <c r="AA3123" i="3"/>
  <c r="AA3124" i="3"/>
  <c r="AA3125" i="3"/>
  <c r="AA3126" i="3"/>
  <c r="AA3127" i="3"/>
  <c r="AA3128" i="3"/>
  <c r="AA3129" i="3"/>
  <c r="AA3130" i="3"/>
  <c r="AA3131" i="3"/>
  <c r="AA3132" i="3"/>
  <c r="AA3133" i="3"/>
  <c r="AA3134" i="3"/>
  <c r="AA3135" i="3"/>
  <c r="AB3114" i="3"/>
  <c r="O3114" i="3" s="1"/>
  <c r="Y3114" i="3" s="1"/>
  <c r="AB3115" i="3"/>
  <c r="O3115" i="3" s="1"/>
  <c r="AB3116" i="3"/>
  <c r="O3116" i="3" s="1"/>
  <c r="AB3117" i="3"/>
  <c r="O3117" i="3" s="1"/>
  <c r="AB3118" i="3"/>
  <c r="O3118" i="3" s="1"/>
  <c r="AB3119" i="3"/>
  <c r="O3119" i="3" s="1"/>
  <c r="AB3120" i="3"/>
  <c r="O3120" i="3" s="1"/>
  <c r="AB3121" i="3"/>
  <c r="O3121" i="3" s="1"/>
  <c r="AB3122" i="3"/>
  <c r="O3122" i="3" s="1"/>
  <c r="AB3123" i="3"/>
  <c r="O3123" i="3" s="1"/>
  <c r="AB3124" i="3"/>
  <c r="O3124" i="3" s="1"/>
  <c r="AB3125" i="3"/>
  <c r="O3125" i="3" s="1"/>
  <c r="Y3125" i="3" s="1"/>
  <c r="AB3126" i="3"/>
  <c r="O3126" i="3" s="1"/>
  <c r="AB3127" i="3"/>
  <c r="O3127" i="3" s="1"/>
  <c r="AB3128" i="3"/>
  <c r="O3128" i="3" s="1"/>
  <c r="AB3129" i="3"/>
  <c r="O3129" i="3" s="1"/>
  <c r="AB3130" i="3"/>
  <c r="O3130" i="3" s="1"/>
  <c r="AB3131" i="3"/>
  <c r="O3131" i="3" s="1"/>
  <c r="AB3132" i="3"/>
  <c r="O3132" i="3" s="1"/>
  <c r="AB3133" i="3"/>
  <c r="O3133" i="3" s="1"/>
  <c r="AB3134" i="3"/>
  <c r="O3134" i="3" s="1"/>
  <c r="AB3135" i="3"/>
  <c r="O3135" i="3" s="1"/>
  <c r="AC3114" i="3"/>
  <c r="N3114" i="3" s="1"/>
  <c r="S3114" i="3" s="1"/>
  <c r="AC3115" i="3"/>
  <c r="N3115" i="3" s="1"/>
  <c r="AC3116" i="3"/>
  <c r="N3116" i="3" s="1"/>
  <c r="AC3117" i="3"/>
  <c r="N3117" i="3" s="1"/>
  <c r="AC3118" i="3"/>
  <c r="N3118" i="3" s="1"/>
  <c r="AC3119" i="3"/>
  <c r="N3119" i="3" s="1"/>
  <c r="AC3120" i="3"/>
  <c r="N3120" i="3" s="1"/>
  <c r="AC3121" i="3"/>
  <c r="N3121" i="3" s="1"/>
  <c r="AC3122" i="3"/>
  <c r="N3122" i="3" s="1"/>
  <c r="AC3123" i="3"/>
  <c r="N3123" i="3" s="1"/>
  <c r="AC3124" i="3"/>
  <c r="N3124" i="3" s="1"/>
  <c r="AC3125" i="3"/>
  <c r="N3125" i="3" s="1"/>
  <c r="S3125" i="3" s="1"/>
  <c r="AC3126" i="3"/>
  <c r="N3126" i="3" s="1"/>
  <c r="AC3127" i="3"/>
  <c r="N3127" i="3" s="1"/>
  <c r="AC3128" i="3"/>
  <c r="N3128" i="3" s="1"/>
  <c r="AC3129" i="3"/>
  <c r="N3129" i="3" s="1"/>
  <c r="AC3130" i="3"/>
  <c r="N3130" i="3" s="1"/>
  <c r="AC3131" i="3"/>
  <c r="N3131" i="3" s="1"/>
  <c r="AC3132" i="3"/>
  <c r="N3132" i="3" s="1"/>
  <c r="AC3133" i="3"/>
  <c r="N3133" i="3" s="1"/>
  <c r="AC3134" i="3"/>
  <c r="N3134" i="3" s="1"/>
  <c r="AC3135" i="3"/>
  <c r="N3135" i="3" s="1"/>
  <c r="AK3114" i="3"/>
  <c r="AK3115" i="3"/>
  <c r="AK3116" i="3"/>
  <c r="AK3117" i="3"/>
  <c r="AK3118" i="3"/>
  <c r="AK3119" i="3"/>
  <c r="AK3120" i="3"/>
  <c r="AK3121" i="3"/>
  <c r="AK3122" i="3"/>
  <c r="AK3123" i="3"/>
  <c r="AK3124" i="3"/>
  <c r="AK3125" i="3"/>
  <c r="AK3126" i="3"/>
  <c r="AK3127" i="3"/>
  <c r="AK3128" i="3"/>
  <c r="AK3129" i="3"/>
  <c r="AK3130" i="3"/>
  <c r="AK3131" i="3"/>
  <c r="AK3132" i="3"/>
  <c r="AK3133" i="3"/>
  <c r="AK3134" i="3"/>
  <c r="AK3135" i="3"/>
  <c r="M176" i="10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P3092" i="3"/>
  <c r="P3093" i="3"/>
  <c r="P3094" i="3"/>
  <c r="P3095" i="3"/>
  <c r="P3096" i="3"/>
  <c r="P3097" i="3"/>
  <c r="P3098" i="3"/>
  <c r="P3099" i="3"/>
  <c r="P3100" i="3"/>
  <c r="P3101" i="3"/>
  <c r="P3102" i="3"/>
  <c r="P3103" i="3"/>
  <c r="P3104" i="3"/>
  <c r="P3105" i="3"/>
  <c r="P3106" i="3"/>
  <c r="P3107" i="3"/>
  <c r="P3108" i="3"/>
  <c r="P3109" i="3"/>
  <c r="P3110" i="3"/>
  <c r="P3111" i="3"/>
  <c r="P3112" i="3"/>
  <c r="P3113" i="3"/>
  <c r="Q3092" i="3"/>
  <c r="Q3093" i="3"/>
  <c r="Q3094" i="3"/>
  <c r="Q3095" i="3"/>
  <c r="Q3096" i="3"/>
  <c r="Q3097" i="3"/>
  <c r="Q3098" i="3"/>
  <c r="Q3099" i="3"/>
  <c r="Q3100" i="3"/>
  <c r="Q3101" i="3"/>
  <c r="Q3102" i="3"/>
  <c r="Q3103" i="3"/>
  <c r="Q3104" i="3"/>
  <c r="Q3105" i="3"/>
  <c r="Q3106" i="3"/>
  <c r="Q3107" i="3"/>
  <c r="Q3108" i="3"/>
  <c r="Q3109" i="3"/>
  <c r="Q3110" i="3"/>
  <c r="Q3111" i="3"/>
  <c r="Q3112" i="3"/>
  <c r="Q3113" i="3"/>
  <c r="R3092" i="3"/>
  <c r="R3093" i="3"/>
  <c r="R3094" i="3"/>
  <c r="R3095" i="3"/>
  <c r="R3096" i="3"/>
  <c r="R3097" i="3"/>
  <c r="R3098" i="3"/>
  <c r="R3099" i="3"/>
  <c r="R3100" i="3"/>
  <c r="R3101" i="3"/>
  <c r="R3102" i="3"/>
  <c r="R3103" i="3"/>
  <c r="R3104" i="3"/>
  <c r="R3105" i="3"/>
  <c r="R3106" i="3"/>
  <c r="R3107" i="3"/>
  <c r="R3108" i="3"/>
  <c r="R3109" i="3"/>
  <c r="R3110" i="3"/>
  <c r="R3111" i="3"/>
  <c r="R3112" i="3"/>
  <c r="R3113" i="3"/>
  <c r="S3093" i="3"/>
  <c r="S3094" i="3"/>
  <c r="S3095" i="3"/>
  <c r="S3096" i="3"/>
  <c r="S3097" i="3"/>
  <c r="S3098" i="3"/>
  <c r="S3099" i="3"/>
  <c r="S3100" i="3"/>
  <c r="S3101" i="3"/>
  <c r="S3102" i="3"/>
  <c r="S3104" i="3"/>
  <c r="S3105" i="3"/>
  <c r="S3106" i="3"/>
  <c r="S3107" i="3"/>
  <c r="S3108" i="3"/>
  <c r="S3109" i="3"/>
  <c r="S3110" i="3"/>
  <c r="S3111" i="3"/>
  <c r="S3112" i="3"/>
  <c r="S3113" i="3"/>
  <c r="T3092" i="3"/>
  <c r="T3103" i="3"/>
  <c r="U3092" i="3"/>
  <c r="U3103" i="3"/>
  <c r="V3092" i="3"/>
  <c r="V3103" i="3"/>
  <c r="W3092" i="3"/>
  <c r="W3103" i="3"/>
  <c r="X3092" i="3"/>
  <c r="X3103" i="3"/>
  <c r="AA3092" i="3"/>
  <c r="AA3093" i="3"/>
  <c r="AA3094" i="3"/>
  <c r="AA3095" i="3"/>
  <c r="AA3096" i="3"/>
  <c r="AA3097" i="3"/>
  <c r="AA3098" i="3"/>
  <c r="AA3099" i="3"/>
  <c r="AA3100" i="3"/>
  <c r="AA3101" i="3"/>
  <c r="AA3102" i="3"/>
  <c r="AA3103" i="3"/>
  <c r="AA3104" i="3"/>
  <c r="AA3105" i="3"/>
  <c r="AA3106" i="3"/>
  <c r="AA3107" i="3"/>
  <c r="AA3108" i="3"/>
  <c r="AA3109" i="3"/>
  <c r="AA3110" i="3"/>
  <c r="AA3111" i="3"/>
  <c r="AA3112" i="3"/>
  <c r="AA3113" i="3"/>
  <c r="AB3092" i="3"/>
  <c r="O3092" i="3" s="1"/>
  <c r="Y3092" i="3" s="1"/>
  <c r="AB3093" i="3"/>
  <c r="O3093" i="3" s="1"/>
  <c r="AB3094" i="3"/>
  <c r="O3094" i="3" s="1"/>
  <c r="AB3095" i="3"/>
  <c r="O3095" i="3" s="1"/>
  <c r="AB3096" i="3"/>
  <c r="O3096" i="3" s="1"/>
  <c r="AB3097" i="3"/>
  <c r="O3097" i="3" s="1"/>
  <c r="AB3098" i="3"/>
  <c r="O3098" i="3" s="1"/>
  <c r="AB3099" i="3"/>
  <c r="O3099" i="3" s="1"/>
  <c r="AB3100" i="3"/>
  <c r="O3100" i="3" s="1"/>
  <c r="AB3101" i="3"/>
  <c r="O3101" i="3" s="1"/>
  <c r="AB3102" i="3"/>
  <c r="O3102" i="3" s="1"/>
  <c r="AB3103" i="3"/>
  <c r="O3103" i="3" s="1"/>
  <c r="Y3103" i="3" s="1"/>
  <c r="AB3104" i="3"/>
  <c r="O3104" i="3" s="1"/>
  <c r="AB3105" i="3"/>
  <c r="O3105" i="3" s="1"/>
  <c r="AB3106" i="3"/>
  <c r="O3106" i="3" s="1"/>
  <c r="AB3107" i="3"/>
  <c r="O3107" i="3" s="1"/>
  <c r="AB3108" i="3"/>
  <c r="O3108" i="3" s="1"/>
  <c r="AB3109" i="3"/>
  <c r="O3109" i="3" s="1"/>
  <c r="AB3110" i="3"/>
  <c r="O3110" i="3" s="1"/>
  <c r="AB3111" i="3"/>
  <c r="O3111" i="3" s="1"/>
  <c r="AB3112" i="3"/>
  <c r="O3112" i="3" s="1"/>
  <c r="AB3113" i="3"/>
  <c r="O3113" i="3" s="1"/>
  <c r="AC3092" i="3"/>
  <c r="N3092" i="3" s="1"/>
  <c r="S3092" i="3" s="1"/>
  <c r="AC3093" i="3"/>
  <c r="N3093" i="3" s="1"/>
  <c r="T3093" i="3" s="1"/>
  <c r="AC3094" i="3"/>
  <c r="N3094" i="3" s="1"/>
  <c r="AC3095" i="3"/>
  <c r="N3095" i="3" s="1"/>
  <c r="AC3096" i="3"/>
  <c r="N3096" i="3" s="1"/>
  <c r="AC3097" i="3"/>
  <c r="N3097" i="3" s="1"/>
  <c r="T3097" i="3" s="1"/>
  <c r="AC3098" i="3"/>
  <c r="N3098" i="3" s="1"/>
  <c r="AC3099" i="3"/>
  <c r="N3099" i="3" s="1"/>
  <c r="T3099" i="3" s="1"/>
  <c r="AC3100" i="3"/>
  <c r="N3100" i="3" s="1"/>
  <c r="AC3101" i="3"/>
  <c r="N3101" i="3" s="1"/>
  <c r="AC3102" i="3"/>
  <c r="N3102" i="3" s="1"/>
  <c r="AC3103" i="3"/>
  <c r="N3103" i="3" s="1"/>
  <c r="S3103" i="3" s="1"/>
  <c r="Z3103" i="3" s="1"/>
  <c r="AC3104" i="3"/>
  <c r="N3104" i="3" s="1"/>
  <c r="AC3105" i="3"/>
  <c r="N3105" i="3" s="1"/>
  <c r="T3105" i="3" s="1"/>
  <c r="AC3106" i="3"/>
  <c r="N3106" i="3" s="1"/>
  <c r="AC3107" i="3"/>
  <c r="N3107" i="3" s="1"/>
  <c r="AC3108" i="3"/>
  <c r="N3108" i="3" s="1"/>
  <c r="AC3109" i="3"/>
  <c r="N3109" i="3" s="1"/>
  <c r="Y3109" i="3" s="1"/>
  <c r="AC3110" i="3"/>
  <c r="N3110" i="3" s="1"/>
  <c r="AC3111" i="3"/>
  <c r="N3111" i="3" s="1"/>
  <c r="T3111" i="3" s="1"/>
  <c r="AC3112" i="3"/>
  <c r="N3112" i="3" s="1"/>
  <c r="AC3113" i="3"/>
  <c r="N3113" i="3" s="1"/>
  <c r="AK3092" i="3"/>
  <c r="AK3093" i="3"/>
  <c r="AK3094" i="3"/>
  <c r="AK3095" i="3"/>
  <c r="AK3096" i="3"/>
  <c r="AK3097" i="3"/>
  <c r="AK3098" i="3"/>
  <c r="AK3099" i="3"/>
  <c r="AK3100" i="3"/>
  <c r="AK3101" i="3"/>
  <c r="AK3102" i="3"/>
  <c r="AK3103" i="3"/>
  <c r="AK3104" i="3"/>
  <c r="AK3105" i="3"/>
  <c r="AK3106" i="3"/>
  <c r="AK3107" i="3"/>
  <c r="AK3108" i="3"/>
  <c r="AK3109" i="3"/>
  <c r="AK3110" i="3"/>
  <c r="AK3111" i="3"/>
  <c r="AK3112" i="3"/>
  <c r="AK3113" i="3"/>
  <c r="M175" i="10"/>
  <c r="M3081" i="3"/>
  <c r="M3082" i="3"/>
  <c r="M3083" i="3"/>
  <c r="M3084" i="3"/>
  <c r="M3085" i="3"/>
  <c r="M3086" i="3"/>
  <c r="M3087" i="3"/>
  <c r="M3088" i="3"/>
  <c r="M3089" i="3"/>
  <c r="M3090" i="3"/>
  <c r="M3091" i="3"/>
  <c r="P3081" i="3"/>
  <c r="P3082" i="3"/>
  <c r="P3083" i="3"/>
  <c r="P3084" i="3"/>
  <c r="P3085" i="3"/>
  <c r="P3086" i="3"/>
  <c r="P3087" i="3"/>
  <c r="P3088" i="3"/>
  <c r="P3089" i="3"/>
  <c r="P3090" i="3"/>
  <c r="P3091" i="3"/>
  <c r="Q3081" i="3"/>
  <c r="Q3082" i="3"/>
  <c r="Q3083" i="3"/>
  <c r="Q3084" i="3"/>
  <c r="Q3085" i="3"/>
  <c r="Q3086" i="3"/>
  <c r="Q3087" i="3"/>
  <c r="Q3088" i="3"/>
  <c r="Q3089" i="3"/>
  <c r="Q3090" i="3"/>
  <c r="Q3091" i="3"/>
  <c r="R3081" i="3"/>
  <c r="R3082" i="3"/>
  <c r="R3083" i="3"/>
  <c r="R3084" i="3"/>
  <c r="R3085" i="3"/>
  <c r="R3086" i="3"/>
  <c r="R3087" i="3"/>
  <c r="R3088" i="3"/>
  <c r="R3089" i="3"/>
  <c r="R3090" i="3"/>
  <c r="R3091" i="3"/>
  <c r="S3082" i="3"/>
  <c r="S3083" i="3"/>
  <c r="S3084" i="3"/>
  <c r="S3085" i="3"/>
  <c r="S3086" i="3"/>
  <c r="S3087" i="3"/>
  <c r="S3088" i="3"/>
  <c r="S3089" i="3"/>
  <c r="S3090" i="3"/>
  <c r="S3091" i="3"/>
  <c r="T3081" i="3"/>
  <c r="U3081" i="3"/>
  <c r="V3081" i="3"/>
  <c r="W3081" i="3"/>
  <c r="X3081" i="3"/>
  <c r="AA3081" i="3"/>
  <c r="AA3082" i="3"/>
  <c r="AA3083" i="3"/>
  <c r="AA3084" i="3"/>
  <c r="AA3085" i="3"/>
  <c r="AA3086" i="3"/>
  <c r="AA3087" i="3"/>
  <c r="AA3088" i="3"/>
  <c r="AA3089" i="3"/>
  <c r="AA3090" i="3"/>
  <c r="AA3091" i="3"/>
  <c r="AB3081" i="3"/>
  <c r="O3081" i="3" s="1"/>
  <c r="AB3082" i="3"/>
  <c r="O3082" i="3" s="1"/>
  <c r="AB3083" i="3"/>
  <c r="O3083" i="3" s="1"/>
  <c r="AB3084" i="3"/>
  <c r="O3084" i="3" s="1"/>
  <c r="AB3085" i="3"/>
  <c r="O3085" i="3" s="1"/>
  <c r="AB3086" i="3"/>
  <c r="O3086" i="3" s="1"/>
  <c r="AB3087" i="3"/>
  <c r="O3087" i="3" s="1"/>
  <c r="AB3088" i="3"/>
  <c r="O3088" i="3" s="1"/>
  <c r="AB3089" i="3"/>
  <c r="O3089" i="3" s="1"/>
  <c r="AB3090" i="3"/>
  <c r="O3090" i="3" s="1"/>
  <c r="AB3091" i="3"/>
  <c r="O3091" i="3" s="1"/>
  <c r="AC3081" i="3"/>
  <c r="N3081" i="3" s="1"/>
  <c r="AC3082" i="3"/>
  <c r="N3082" i="3" s="1"/>
  <c r="AC3083" i="3"/>
  <c r="N3083" i="3" s="1"/>
  <c r="AC3084" i="3"/>
  <c r="N3084" i="3" s="1"/>
  <c r="AC3085" i="3"/>
  <c r="N3085" i="3" s="1"/>
  <c r="AC3086" i="3"/>
  <c r="N3086" i="3" s="1"/>
  <c r="AC3087" i="3"/>
  <c r="N3087" i="3" s="1"/>
  <c r="AC3088" i="3"/>
  <c r="N3088" i="3" s="1"/>
  <c r="AC3089" i="3"/>
  <c r="N3089" i="3" s="1"/>
  <c r="AC3090" i="3"/>
  <c r="N3090" i="3" s="1"/>
  <c r="AC3091" i="3"/>
  <c r="N3091" i="3" s="1"/>
  <c r="AK3081" i="3"/>
  <c r="AK3082" i="3"/>
  <c r="AK3083" i="3"/>
  <c r="AK3084" i="3"/>
  <c r="AK3085" i="3"/>
  <c r="AK3086" i="3"/>
  <c r="AK3087" i="3"/>
  <c r="AK3088" i="3"/>
  <c r="AK3089" i="3"/>
  <c r="AK3090" i="3"/>
  <c r="AK3091" i="3"/>
  <c r="M174" i="10"/>
  <c r="M3070" i="3"/>
  <c r="M3071" i="3"/>
  <c r="M3072" i="3"/>
  <c r="M3073" i="3"/>
  <c r="M3074" i="3"/>
  <c r="M3075" i="3"/>
  <c r="M3076" i="3"/>
  <c r="M3077" i="3"/>
  <c r="M3078" i="3"/>
  <c r="M3079" i="3"/>
  <c r="M3080" i="3"/>
  <c r="P3070" i="3"/>
  <c r="P3071" i="3"/>
  <c r="P3072" i="3"/>
  <c r="P3073" i="3"/>
  <c r="P3074" i="3"/>
  <c r="P3075" i="3"/>
  <c r="P3076" i="3"/>
  <c r="P3077" i="3"/>
  <c r="P3078" i="3"/>
  <c r="P3079" i="3"/>
  <c r="P3080" i="3"/>
  <c r="Q3070" i="3"/>
  <c r="Q3071" i="3"/>
  <c r="Q3072" i="3"/>
  <c r="Q3073" i="3"/>
  <c r="Q3074" i="3"/>
  <c r="Q3075" i="3"/>
  <c r="Q3076" i="3"/>
  <c r="Q3077" i="3"/>
  <c r="Q3078" i="3"/>
  <c r="Q3079" i="3"/>
  <c r="Q3080" i="3"/>
  <c r="R3070" i="3"/>
  <c r="R3071" i="3"/>
  <c r="R3072" i="3"/>
  <c r="R3073" i="3"/>
  <c r="R3074" i="3"/>
  <c r="R3075" i="3"/>
  <c r="R3076" i="3"/>
  <c r="R3077" i="3"/>
  <c r="R3078" i="3"/>
  <c r="R3079" i="3"/>
  <c r="R3080" i="3"/>
  <c r="S3071" i="3"/>
  <c r="S3072" i="3"/>
  <c r="S3073" i="3"/>
  <c r="S3074" i="3"/>
  <c r="S3075" i="3"/>
  <c r="S3076" i="3"/>
  <c r="S3077" i="3"/>
  <c r="S3078" i="3"/>
  <c r="S3079" i="3"/>
  <c r="S3080" i="3"/>
  <c r="T3070" i="3"/>
  <c r="U3070" i="3"/>
  <c r="V3070" i="3"/>
  <c r="W3070" i="3"/>
  <c r="X3070" i="3"/>
  <c r="AA3070" i="3"/>
  <c r="AA3071" i="3"/>
  <c r="AA3072" i="3"/>
  <c r="AA3073" i="3"/>
  <c r="AA3074" i="3"/>
  <c r="AA3075" i="3"/>
  <c r="AA3076" i="3"/>
  <c r="AA3077" i="3"/>
  <c r="AA3078" i="3"/>
  <c r="AA3079" i="3"/>
  <c r="AA3080" i="3"/>
  <c r="AB3070" i="3"/>
  <c r="O3070" i="3" s="1"/>
  <c r="Y3070" i="3" s="1"/>
  <c r="AB3071" i="3"/>
  <c r="O3071" i="3" s="1"/>
  <c r="AB3072" i="3"/>
  <c r="O3072" i="3" s="1"/>
  <c r="AB3073" i="3"/>
  <c r="O3073" i="3" s="1"/>
  <c r="AB3074" i="3"/>
  <c r="O3074" i="3" s="1"/>
  <c r="AB3075" i="3"/>
  <c r="O3075" i="3" s="1"/>
  <c r="AB3076" i="3"/>
  <c r="O3076" i="3" s="1"/>
  <c r="AB3077" i="3"/>
  <c r="O3077" i="3" s="1"/>
  <c r="AB3078" i="3"/>
  <c r="O3078" i="3" s="1"/>
  <c r="AB3079" i="3"/>
  <c r="O3079" i="3" s="1"/>
  <c r="AB3080" i="3"/>
  <c r="O3080" i="3" s="1"/>
  <c r="AC3070" i="3"/>
  <c r="N3070" i="3" s="1"/>
  <c r="AC3071" i="3"/>
  <c r="N3071" i="3" s="1"/>
  <c r="AC3072" i="3"/>
  <c r="N3072" i="3" s="1"/>
  <c r="AC3073" i="3"/>
  <c r="N3073" i="3" s="1"/>
  <c r="AC3074" i="3"/>
  <c r="N3074" i="3" s="1"/>
  <c r="AC3075" i="3"/>
  <c r="N3075" i="3" s="1"/>
  <c r="AC3076" i="3"/>
  <c r="N3076" i="3" s="1"/>
  <c r="AC3077" i="3"/>
  <c r="N3077" i="3" s="1"/>
  <c r="AC3078" i="3"/>
  <c r="N3078" i="3" s="1"/>
  <c r="AC3079" i="3"/>
  <c r="N3079" i="3" s="1"/>
  <c r="AC3080" i="3"/>
  <c r="N3080" i="3" s="1"/>
  <c r="AK3070" i="3"/>
  <c r="AK3071" i="3"/>
  <c r="AK3072" i="3"/>
  <c r="AK3073" i="3"/>
  <c r="AK3074" i="3"/>
  <c r="AK3075" i="3"/>
  <c r="AK3076" i="3"/>
  <c r="AK3077" i="3"/>
  <c r="AK3078" i="3"/>
  <c r="AK3079" i="3"/>
  <c r="AK3080" i="3"/>
  <c r="M173" i="10"/>
  <c r="Z3149" i="3" l="1"/>
  <c r="Z3092" i="3"/>
  <c r="Z3114" i="3"/>
  <c r="Z3125" i="3"/>
  <c r="Y3081" i="3"/>
  <c r="Z3332" i="3"/>
  <c r="Z3340" i="3"/>
  <c r="Z3346" i="3"/>
  <c r="Z3224" i="3"/>
  <c r="Z3223" i="3"/>
  <c r="Z3225" i="3"/>
  <c r="Z3227" i="3"/>
  <c r="Z3229" i="3"/>
  <c r="Z3231" i="3"/>
  <c r="Z3235" i="3"/>
  <c r="Z3237" i="3"/>
  <c r="Z3239" i="3"/>
  <c r="Z3241" i="3"/>
  <c r="Z3243" i="3"/>
  <c r="Z3226" i="3"/>
  <c r="Z3228" i="3"/>
  <c r="Z3230" i="3"/>
  <c r="Z3232" i="3"/>
  <c r="Z3234" i="3"/>
  <c r="Z3236" i="3"/>
  <c r="Z3238" i="3"/>
  <c r="Z3240" i="3"/>
  <c r="Z3242" i="3"/>
  <c r="Z3254" i="3"/>
  <c r="Z3258" i="3"/>
  <c r="Z3262" i="3"/>
  <c r="Z3266" i="3"/>
  <c r="Z3245" i="3"/>
  <c r="Z3247" i="3"/>
  <c r="Z3249" i="3"/>
  <c r="Z3251" i="3"/>
  <c r="Z3253" i="3"/>
  <c r="Z3259" i="3"/>
  <c r="Z3263" i="3"/>
  <c r="Z3267" i="3"/>
  <c r="Z3296" i="3"/>
  <c r="Z3300" i="3"/>
  <c r="Z3304" i="3"/>
  <c r="Z3308" i="3"/>
  <c r="Z3312" i="3"/>
  <c r="Z3293" i="3"/>
  <c r="Z3297" i="3"/>
  <c r="Z3303" i="3"/>
  <c r="Z3307" i="3"/>
  <c r="Z3311" i="3"/>
  <c r="Z3317" i="3"/>
  <c r="Z3319" i="3"/>
  <c r="Z3321" i="3"/>
  <c r="Z3323" i="3"/>
  <c r="Z3325" i="3"/>
  <c r="Z3327" i="3"/>
  <c r="Z3316" i="3"/>
  <c r="Z3318" i="3"/>
  <c r="Z3320" i="3"/>
  <c r="Z3322" i="3"/>
  <c r="Z3324" i="3"/>
  <c r="Z3326" i="3"/>
  <c r="Z3328" i="3"/>
  <c r="Z3331" i="3"/>
  <c r="Z3335" i="3"/>
  <c r="Z3339" i="3"/>
  <c r="Z3345" i="3"/>
  <c r="Z3349" i="3"/>
  <c r="Z3344" i="3"/>
  <c r="Z3348" i="3"/>
  <c r="Z3354" i="3"/>
  <c r="Z3356" i="3"/>
  <c r="Z3358" i="3"/>
  <c r="Z3360" i="3"/>
  <c r="Z3362" i="3"/>
  <c r="Z3364" i="3"/>
  <c r="Z3366" i="3"/>
  <c r="Z3368" i="3"/>
  <c r="Z3370" i="3"/>
  <c r="Z3376" i="3"/>
  <c r="Z3378" i="3"/>
  <c r="Z3380" i="3"/>
  <c r="Z3382" i="3"/>
  <c r="Z3384" i="3"/>
  <c r="Z3387" i="3"/>
  <c r="Z3389" i="3"/>
  <c r="Z3391" i="3"/>
  <c r="Z3393" i="3"/>
  <c r="Z3395" i="3"/>
  <c r="Z3398" i="3"/>
  <c r="Z3400" i="3"/>
  <c r="Z3402" i="3"/>
  <c r="Z3404" i="3"/>
  <c r="Z3406" i="3"/>
  <c r="Z3409" i="3"/>
  <c r="Z3411" i="3"/>
  <c r="Z3413" i="3"/>
  <c r="Z3415" i="3"/>
  <c r="Z3417" i="3"/>
  <c r="Z3420" i="3"/>
  <c r="Z3422" i="3"/>
  <c r="Z3424" i="3"/>
  <c r="Z3426" i="3"/>
  <c r="Z3428" i="3"/>
  <c r="Z3246" i="3"/>
  <c r="Z3248" i="3"/>
  <c r="Z3250" i="3"/>
  <c r="Z3252" i="3"/>
  <c r="Z3256" i="3"/>
  <c r="Z3260" i="3"/>
  <c r="Z3264" i="3"/>
  <c r="Z3257" i="3"/>
  <c r="Z3261" i="3"/>
  <c r="Z3265" i="3"/>
  <c r="Z3270" i="3"/>
  <c r="Z3272" i="3"/>
  <c r="Z3274" i="3"/>
  <c r="Z3276" i="3"/>
  <c r="Z3278" i="3"/>
  <c r="Z3280" i="3"/>
  <c r="Z3282" i="3"/>
  <c r="Z3284" i="3"/>
  <c r="Z3286" i="3"/>
  <c r="Z3288" i="3"/>
  <c r="Z3269" i="3"/>
  <c r="Z3271" i="3"/>
  <c r="Z3273" i="3"/>
  <c r="Z3275" i="3"/>
  <c r="Z3277" i="3"/>
  <c r="Z3281" i="3"/>
  <c r="Z3283" i="3"/>
  <c r="Z3285" i="3"/>
  <c r="Z3287" i="3"/>
  <c r="Z3289" i="3"/>
  <c r="Z3292" i="3"/>
  <c r="Z3294" i="3"/>
  <c r="Z3298" i="3"/>
  <c r="Z3302" i="3"/>
  <c r="Z3306" i="3"/>
  <c r="Z3310" i="3"/>
  <c r="Z3314" i="3"/>
  <c r="Z3291" i="3"/>
  <c r="Z3295" i="3"/>
  <c r="Z3299" i="3"/>
  <c r="Z3305" i="3"/>
  <c r="Z3309" i="3"/>
  <c r="Z3313" i="3"/>
  <c r="Z3333" i="3"/>
  <c r="Z3337" i="3"/>
  <c r="Z3343" i="3"/>
  <c r="Z3347" i="3"/>
  <c r="Z3351" i="3"/>
  <c r="Z3336" i="3"/>
  <c r="Z3342" i="3"/>
  <c r="Z3350" i="3"/>
  <c r="Z3330" i="3"/>
  <c r="Z3334" i="3"/>
  <c r="Z3338" i="3"/>
  <c r="Z3372" i="3"/>
  <c r="Z3353" i="3"/>
  <c r="Z3355" i="3"/>
  <c r="Z3357" i="3"/>
  <c r="Z3359" i="3"/>
  <c r="Z3361" i="3"/>
  <c r="Z3365" i="3"/>
  <c r="Z3367" i="3"/>
  <c r="Z3369" i="3"/>
  <c r="Z3371" i="3"/>
  <c r="Z3373" i="3"/>
  <c r="Z3375" i="3"/>
  <c r="Z3377" i="3"/>
  <c r="Z3379" i="3"/>
  <c r="Z3381" i="3"/>
  <c r="Z3383" i="3"/>
  <c r="Z3386" i="3"/>
  <c r="Z3388" i="3"/>
  <c r="Z3390" i="3"/>
  <c r="Z3392" i="3"/>
  <c r="Z3394" i="3"/>
  <c r="Z3397" i="3"/>
  <c r="Z3399" i="3"/>
  <c r="Z3401" i="3"/>
  <c r="Z3403" i="3"/>
  <c r="Z3405" i="3"/>
  <c r="Z3431" i="3"/>
  <c r="Z3433" i="3"/>
  <c r="Z3435" i="3"/>
  <c r="Z3437" i="3"/>
  <c r="Z3439" i="3"/>
  <c r="Z3472" i="3"/>
  <c r="Z3476" i="3"/>
  <c r="Z3480" i="3"/>
  <c r="Z3484" i="3"/>
  <c r="Z3463" i="3"/>
  <c r="Z3465" i="3"/>
  <c r="Z3467" i="3"/>
  <c r="Z3469" i="3"/>
  <c r="Z3471" i="3"/>
  <c r="Z3479" i="3"/>
  <c r="Z3483" i="3"/>
  <c r="Z3489" i="3"/>
  <c r="Z3493" i="3"/>
  <c r="Z3497" i="3"/>
  <c r="Z3501" i="3"/>
  <c r="Z3505" i="3"/>
  <c r="Z3507" i="3"/>
  <c r="Z3509" i="3"/>
  <c r="Z3512" i="3"/>
  <c r="Z3516" i="3"/>
  <c r="Z3520" i="3"/>
  <c r="Z3525" i="3"/>
  <c r="Z3529" i="3"/>
  <c r="Z3535" i="3"/>
  <c r="Z3539" i="3"/>
  <c r="Z3543" i="3"/>
  <c r="Z3528" i="3"/>
  <c r="Z3532" i="3"/>
  <c r="Z3534" i="3"/>
  <c r="Z3538" i="3"/>
  <c r="Z3542" i="3"/>
  <c r="Z3546" i="3"/>
  <c r="Z3548" i="3"/>
  <c r="Z3550" i="3"/>
  <c r="Z3552" i="3"/>
  <c r="Z3554" i="3"/>
  <c r="Z3556" i="3"/>
  <c r="Z3560" i="3"/>
  <c r="Z3562" i="3"/>
  <c r="Z3566" i="3"/>
  <c r="Z3549" i="3"/>
  <c r="Z3551" i="3"/>
  <c r="Z3553" i="3"/>
  <c r="Z3555" i="3"/>
  <c r="Z3557" i="3"/>
  <c r="Z3559" i="3"/>
  <c r="Z3561" i="3"/>
  <c r="Z3563" i="3"/>
  <c r="Z3567" i="3"/>
  <c r="Z3408" i="3"/>
  <c r="Z3410" i="3"/>
  <c r="Z3412" i="3"/>
  <c r="Z3414" i="3"/>
  <c r="Z3416" i="3"/>
  <c r="Z3419" i="3"/>
  <c r="Z3421" i="3"/>
  <c r="Z3423" i="3"/>
  <c r="Z3425" i="3"/>
  <c r="Z3427" i="3"/>
  <c r="Z3430" i="3"/>
  <c r="Z3432" i="3"/>
  <c r="Z3434" i="3"/>
  <c r="Z3436" i="3"/>
  <c r="Z3438" i="3"/>
  <c r="Z3442" i="3"/>
  <c r="Z3444" i="3"/>
  <c r="Z3446" i="3"/>
  <c r="Z3448" i="3"/>
  <c r="Z3450" i="3"/>
  <c r="Z3452" i="3"/>
  <c r="Z3454" i="3"/>
  <c r="Z3456" i="3"/>
  <c r="Z3458" i="3"/>
  <c r="Z3460" i="3"/>
  <c r="Z3441" i="3"/>
  <c r="Z3443" i="3"/>
  <c r="Z3445" i="3"/>
  <c r="Z3447" i="3"/>
  <c r="Z3449" i="3"/>
  <c r="Z3453" i="3"/>
  <c r="Z3455" i="3"/>
  <c r="Z3457" i="3"/>
  <c r="Z3459" i="3"/>
  <c r="Z3461" i="3"/>
  <c r="Z3464" i="3"/>
  <c r="Z3466" i="3"/>
  <c r="Z3468" i="3"/>
  <c r="Z3470" i="3"/>
  <c r="Z3474" i="3"/>
  <c r="Z3478" i="3"/>
  <c r="Z3482" i="3"/>
  <c r="Z3473" i="3"/>
  <c r="Z3477" i="3"/>
  <c r="Z3481" i="3"/>
  <c r="Z3485" i="3"/>
  <c r="Z3488" i="3"/>
  <c r="Z3490" i="3"/>
  <c r="Z3492" i="3"/>
  <c r="Z3494" i="3"/>
  <c r="Z3496" i="3"/>
  <c r="Z3498" i="3"/>
  <c r="Z3502" i="3"/>
  <c r="Z3504" i="3"/>
  <c r="Z3506" i="3"/>
  <c r="Z3508" i="3"/>
  <c r="Z3510" i="3"/>
  <c r="Z3487" i="3"/>
  <c r="Z3491" i="3"/>
  <c r="Z3495" i="3"/>
  <c r="Z3499" i="3"/>
  <c r="Z3503" i="3"/>
  <c r="Z3514" i="3"/>
  <c r="Z3518" i="3"/>
  <c r="Z3513" i="3"/>
  <c r="Z3515" i="3"/>
  <c r="Z3517" i="3"/>
  <c r="Z3519" i="3"/>
  <c r="Z3521" i="3"/>
  <c r="Z3523" i="3"/>
  <c r="Z3527" i="3"/>
  <c r="Z3531" i="3"/>
  <c r="Z3537" i="3"/>
  <c r="Z3541" i="3"/>
  <c r="Z3545" i="3"/>
  <c r="Z3524" i="3"/>
  <c r="Z3526" i="3"/>
  <c r="Z3530" i="3"/>
  <c r="Z3536" i="3"/>
  <c r="Z3540" i="3"/>
  <c r="Z3544" i="3"/>
  <c r="Z3564" i="3"/>
  <c r="Z3568" i="3"/>
  <c r="Z3565" i="3"/>
  <c r="Z3569" i="3"/>
  <c r="Z3163" i="3"/>
  <c r="T3107" i="3"/>
  <c r="X3218" i="3"/>
  <c r="Y3113" i="3"/>
  <c r="S3199" i="3"/>
  <c r="Z3199" i="3" s="1"/>
  <c r="Y3212" i="3"/>
  <c r="U3221" i="3"/>
  <c r="W3221" i="3"/>
  <c r="T3221" i="3"/>
  <c r="V3221" i="3"/>
  <c r="X3221" i="3"/>
  <c r="U3219" i="3"/>
  <c r="W3219" i="3"/>
  <c r="T3219" i="3"/>
  <c r="V3219" i="3"/>
  <c r="X3219" i="3"/>
  <c r="U3217" i="3"/>
  <c r="W3217" i="3"/>
  <c r="T3217" i="3"/>
  <c r="V3217" i="3"/>
  <c r="X3217" i="3"/>
  <c r="U3215" i="3"/>
  <c r="W3215" i="3"/>
  <c r="T3215" i="3"/>
  <c r="V3215" i="3"/>
  <c r="X3215" i="3"/>
  <c r="U3213" i="3"/>
  <c r="W3213" i="3"/>
  <c r="T3213" i="3"/>
  <c r="V3213" i="3"/>
  <c r="X3213" i="3"/>
  <c r="U3211" i="3"/>
  <c r="W3211" i="3"/>
  <c r="T3211" i="3"/>
  <c r="V3211" i="3"/>
  <c r="X3211" i="3"/>
  <c r="U3209" i="3"/>
  <c r="W3209" i="3"/>
  <c r="T3209" i="3"/>
  <c r="V3209" i="3"/>
  <c r="X3209" i="3"/>
  <c r="U3207" i="3"/>
  <c r="W3207" i="3"/>
  <c r="T3207" i="3"/>
  <c r="V3207" i="3"/>
  <c r="X3207" i="3"/>
  <c r="U3205" i="3"/>
  <c r="W3205" i="3"/>
  <c r="T3205" i="3"/>
  <c r="V3205" i="3"/>
  <c r="X3205" i="3"/>
  <c r="U3203" i="3"/>
  <c r="W3203" i="3"/>
  <c r="T3203" i="3"/>
  <c r="V3203" i="3"/>
  <c r="X3203" i="3"/>
  <c r="U3201" i="3"/>
  <c r="W3201" i="3"/>
  <c r="T3201" i="3"/>
  <c r="V3201" i="3"/>
  <c r="X3201" i="3"/>
  <c r="Y3221" i="3"/>
  <c r="Y3219" i="3"/>
  <c r="Y3217" i="3"/>
  <c r="Y3215" i="3"/>
  <c r="Y3211" i="3"/>
  <c r="Y3207" i="3"/>
  <c r="Y3203" i="3"/>
  <c r="T3220" i="3"/>
  <c r="V3220" i="3"/>
  <c r="U3220" i="3"/>
  <c r="W3220" i="3"/>
  <c r="T3218" i="3"/>
  <c r="V3218" i="3"/>
  <c r="U3218" i="3"/>
  <c r="W3218" i="3"/>
  <c r="T3216" i="3"/>
  <c r="V3216" i="3"/>
  <c r="X3216" i="3"/>
  <c r="U3216" i="3"/>
  <c r="W3216" i="3"/>
  <c r="T3214" i="3"/>
  <c r="V3214" i="3"/>
  <c r="X3214" i="3"/>
  <c r="U3214" i="3"/>
  <c r="W3214" i="3"/>
  <c r="Y3214" i="3"/>
  <c r="S3212" i="3"/>
  <c r="Z3212" i="3" s="1"/>
  <c r="T3210" i="3"/>
  <c r="V3210" i="3"/>
  <c r="X3210" i="3"/>
  <c r="U3210" i="3"/>
  <c r="W3210" i="3"/>
  <c r="Y3210" i="3"/>
  <c r="T3208" i="3"/>
  <c r="V3208" i="3"/>
  <c r="X3208" i="3"/>
  <c r="U3208" i="3"/>
  <c r="W3208" i="3"/>
  <c r="Y3208" i="3"/>
  <c r="T3206" i="3"/>
  <c r="V3206" i="3"/>
  <c r="X3206" i="3"/>
  <c r="U3206" i="3"/>
  <c r="W3206" i="3"/>
  <c r="Y3206" i="3"/>
  <c r="T3204" i="3"/>
  <c r="V3204" i="3"/>
  <c r="X3204" i="3"/>
  <c r="U3204" i="3"/>
  <c r="W3204" i="3"/>
  <c r="Y3204" i="3"/>
  <c r="T3202" i="3"/>
  <c r="V3202" i="3"/>
  <c r="X3202" i="3"/>
  <c r="U3202" i="3"/>
  <c r="W3202" i="3"/>
  <c r="Y3202" i="3"/>
  <c r="T3200" i="3"/>
  <c r="V3200" i="3"/>
  <c r="X3200" i="3"/>
  <c r="U3200" i="3"/>
  <c r="W3200" i="3"/>
  <c r="Y3200" i="3"/>
  <c r="Y3220" i="3"/>
  <c r="Y3218" i="3"/>
  <c r="Y3216" i="3"/>
  <c r="Y3213" i="3"/>
  <c r="Y3209" i="3"/>
  <c r="Y3205" i="3"/>
  <c r="Y3201" i="3"/>
  <c r="X3220" i="3"/>
  <c r="T3095" i="3"/>
  <c r="T3197" i="3"/>
  <c r="U3197" i="3"/>
  <c r="V3197" i="3"/>
  <c r="W3197" i="3"/>
  <c r="X3197" i="3"/>
  <c r="Y3197" i="3"/>
  <c r="T3195" i="3"/>
  <c r="U3195" i="3"/>
  <c r="V3195" i="3"/>
  <c r="W3195" i="3"/>
  <c r="X3195" i="3"/>
  <c r="Y3195" i="3"/>
  <c r="T3193" i="3"/>
  <c r="U3193" i="3"/>
  <c r="V3193" i="3"/>
  <c r="W3193" i="3"/>
  <c r="X3193" i="3"/>
  <c r="Y3193" i="3"/>
  <c r="T3191" i="3"/>
  <c r="U3191" i="3"/>
  <c r="V3191" i="3"/>
  <c r="W3191" i="3"/>
  <c r="X3191" i="3"/>
  <c r="Y3191" i="3"/>
  <c r="T3189" i="3"/>
  <c r="U3189" i="3"/>
  <c r="V3189" i="3"/>
  <c r="W3189" i="3"/>
  <c r="X3189" i="3"/>
  <c r="Y3189" i="3"/>
  <c r="T3187" i="3"/>
  <c r="U3187" i="3"/>
  <c r="V3187" i="3"/>
  <c r="W3187" i="3"/>
  <c r="X3187" i="3"/>
  <c r="Y3187" i="3"/>
  <c r="T3185" i="3"/>
  <c r="U3185" i="3"/>
  <c r="V3185" i="3"/>
  <c r="W3185" i="3"/>
  <c r="X3185" i="3"/>
  <c r="Y3185" i="3"/>
  <c r="T3183" i="3"/>
  <c r="U3183" i="3"/>
  <c r="V3183" i="3"/>
  <c r="W3183" i="3"/>
  <c r="X3183" i="3"/>
  <c r="Y3183" i="3"/>
  <c r="T3181" i="3"/>
  <c r="U3181" i="3"/>
  <c r="V3181" i="3"/>
  <c r="W3181" i="3"/>
  <c r="X3181" i="3"/>
  <c r="Y3181" i="3"/>
  <c r="T3179" i="3"/>
  <c r="U3179" i="3"/>
  <c r="V3179" i="3"/>
  <c r="W3179" i="3"/>
  <c r="X3179" i="3"/>
  <c r="Y3179" i="3"/>
  <c r="T3198" i="3"/>
  <c r="U3198" i="3"/>
  <c r="V3198" i="3"/>
  <c r="W3198" i="3"/>
  <c r="X3198" i="3"/>
  <c r="Y3198" i="3"/>
  <c r="T3196" i="3"/>
  <c r="U3196" i="3"/>
  <c r="V3196" i="3"/>
  <c r="W3196" i="3"/>
  <c r="X3196" i="3"/>
  <c r="Y3196" i="3"/>
  <c r="T3194" i="3"/>
  <c r="U3194" i="3"/>
  <c r="V3194" i="3"/>
  <c r="W3194" i="3"/>
  <c r="X3194" i="3"/>
  <c r="Y3194" i="3"/>
  <c r="T3192" i="3"/>
  <c r="U3192" i="3"/>
  <c r="V3192" i="3"/>
  <c r="W3192" i="3"/>
  <c r="X3192" i="3"/>
  <c r="Y3192" i="3"/>
  <c r="T3190" i="3"/>
  <c r="U3190" i="3"/>
  <c r="V3190" i="3"/>
  <c r="W3190" i="3"/>
  <c r="X3190" i="3"/>
  <c r="Y3190" i="3"/>
  <c r="T3186" i="3"/>
  <c r="U3186" i="3"/>
  <c r="V3186" i="3"/>
  <c r="W3186" i="3"/>
  <c r="X3186" i="3"/>
  <c r="Y3186" i="3"/>
  <c r="T3184" i="3"/>
  <c r="U3184" i="3"/>
  <c r="V3184" i="3"/>
  <c r="W3184" i="3"/>
  <c r="X3184" i="3"/>
  <c r="Y3184" i="3"/>
  <c r="T3182" i="3"/>
  <c r="U3182" i="3"/>
  <c r="V3182" i="3"/>
  <c r="W3182" i="3"/>
  <c r="X3182" i="3"/>
  <c r="Y3182" i="3"/>
  <c r="T3180" i="3"/>
  <c r="U3180" i="3"/>
  <c r="V3180" i="3"/>
  <c r="W3180" i="3"/>
  <c r="X3180" i="3"/>
  <c r="Y3180" i="3"/>
  <c r="T3178" i="3"/>
  <c r="U3178" i="3"/>
  <c r="V3178" i="3"/>
  <c r="W3178" i="3"/>
  <c r="X3178" i="3"/>
  <c r="Y3178" i="3"/>
  <c r="S3136" i="3"/>
  <c r="Z3136" i="3" s="1"/>
  <c r="T3176" i="3"/>
  <c r="U3176" i="3"/>
  <c r="V3176" i="3"/>
  <c r="W3176" i="3"/>
  <c r="T3174" i="3"/>
  <c r="U3174" i="3"/>
  <c r="V3174" i="3"/>
  <c r="W3174" i="3"/>
  <c r="T3172" i="3"/>
  <c r="U3172" i="3"/>
  <c r="V3172" i="3"/>
  <c r="W3172" i="3"/>
  <c r="T3170" i="3"/>
  <c r="U3170" i="3"/>
  <c r="V3170" i="3"/>
  <c r="W3170" i="3"/>
  <c r="T3168" i="3"/>
  <c r="U3168" i="3"/>
  <c r="V3168" i="3"/>
  <c r="W3168" i="3"/>
  <c r="T3166" i="3"/>
  <c r="U3166" i="3"/>
  <c r="V3166" i="3"/>
  <c r="W3166" i="3"/>
  <c r="T3164" i="3"/>
  <c r="U3164" i="3"/>
  <c r="V3164" i="3"/>
  <c r="W3164" i="3"/>
  <c r="T3162" i="3"/>
  <c r="U3162" i="3"/>
  <c r="V3162" i="3"/>
  <c r="W3162" i="3"/>
  <c r="T3160" i="3"/>
  <c r="U3160" i="3"/>
  <c r="V3160" i="3"/>
  <c r="W3160" i="3"/>
  <c r="T3158" i="3"/>
  <c r="U3158" i="3"/>
  <c r="V3158" i="3"/>
  <c r="W3158" i="3"/>
  <c r="T3156" i="3"/>
  <c r="U3156" i="3"/>
  <c r="V3156" i="3"/>
  <c r="W3156" i="3"/>
  <c r="T3154" i="3"/>
  <c r="U3154" i="3"/>
  <c r="V3154" i="3"/>
  <c r="W3154" i="3"/>
  <c r="T3152" i="3"/>
  <c r="U3152" i="3"/>
  <c r="V3152" i="3"/>
  <c r="W3152" i="3"/>
  <c r="T3150" i="3"/>
  <c r="U3150" i="3"/>
  <c r="V3150" i="3"/>
  <c r="W3150" i="3"/>
  <c r="X3150" i="3"/>
  <c r="Y3176" i="3"/>
  <c r="Y3174" i="3"/>
  <c r="Y3172" i="3"/>
  <c r="Y3170" i="3"/>
  <c r="Y3168" i="3"/>
  <c r="Y3166" i="3"/>
  <c r="Y3164" i="3"/>
  <c r="Y3162" i="3"/>
  <c r="Y3160" i="3"/>
  <c r="Y3158" i="3"/>
  <c r="Y3156" i="3"/>
  <c r="Y3154" i="3"/>
  <c r="Y3152" i="3"/>
  <c r="Y3150" i="3"/>
  <c r="X3176" i="3"/>
  <c r="X3174" i="3"/>
  <c r="X3172" i="3"/>
  <c r="X3170" i="3"/>
  <c r="X3168" i="3"/>
  <c r="X3166" i="3"/>
  <c r="X3164" i="3"/>
  <c r="X3162" i="3"/>
  <c r="X3160" i="3"/>
  <c r="X3158" i="3"/>
  <c r="X3156" i="3"/>
  <c r="X3154" i="3"/>
  <c r="X3152" i="3"/>
  <c r="T3175" i="3"/>
  <c r="U3175" i="3"/>
  <c r="V3175" i="3"/>
  <c r="T3173" i="3"/>
  <c r="U3173" i="3"/>
  <c r="V3173" i="3"/>
  <c r="W3173" i="3"/>
  <c r="T3171" i="3"/>
  <c r="U3171" i="3"/>
  <c r="V3171" i="3"/>
  <c r="W3171" i="3"/>
  <c r="T3169" i="3"/>
  <c r="U3169" i="3"/>
  <c r="V3169" i="3"/>
  <c r="W3169" i="3"/>
  <c r="T3167" i="3"/>
  <c r="U3167" i="3"/>
  <c r="V3167" i="3"/>
  <c r="W3167" i="3"/>
  <c r="T3165" i="3"/>
  <c r="U3165" i="3"/>
  <c r="V3165" i="3"/>
  <c r="W3165" i="3"/>
  <c r="T3161" i="3"/>
  <c r="U3161" i="3"/>
  <c r="V3161" i="3"/>
  <c r="W3161" i="3"/>
  <c r="T3159" i="3"/>
  <c r="U3159" i="3"/>
  <c r="V3159" i="3"/>
  <c r="W3159" i="3"/>
  <c r="T3157" i="3"/>
  <c r="U3157" i="3"/>
  <c r="V3157" i="3"/>
  <c r="W3157" i="3"/>
  <c r="T3155" i="3"/>
  <c r="U3155" i="3"/>
  <c r="V3155" i="3"/>
  <c r="W3155" i="3"/>
  <c r="T3153" i="3"/>
  <c r="U3153" i="3"/>
  <c r="V3153" i="3"/>
  <c r="W3153" i="3"/>
  <c r="T3151" i="3"/>
  <c r="U3151" i="3"/>
  <c r="V3151" i="3"/>
  <c r="W3151" i="3"/>
  <c r="Y3175" i="3"/>
  <c r="Y3173" i="3"/>
  <c r="Y3171" i="3"/>
  <c r="Y3169" i="3"/>
  <c r="Y3167" i="3"/>
  <c r="Y3165" i="3"/>
  <c r="Y3161" i="3"/>
  <c r="Y3159" i="3"/>
  <c r="Y3157" i="3"/>
  <c r="Y3155" i="3"/>
  <c r="Y3153" i="3"/>
  <c r="Y3151" i="3"/>
  <c r="X3175" i="3"/>
  <c r="X3173" i="3"/>
  <c r="X3171" i="3"/>
  <c r="X3169" i="3"/>
  <c r="X3167" i="3"/>
  <c r="X3165" i="3"/>
  <c r="X3161" i="3"/>
  <c r="X3159" i="3"/>
  <c r="X3157" i="3"/>
  <c r="X3155" i="3"/>
  <c r="X3153" i="3"/>
  <c r="X3151" i="3"/>
  <c r="W3175" i="3"/>
  <c r="U3148" i="3"/>
  <c r="W3148" i="3"/>
  <c r="Y3148" i="3"/>
  <c r="T3148" i="3"/>
  <c r="V3148" i="3"/>
  <c r="X3148" i="3"/>
  <c r="U3146" i="3"/>
  <c r="W3146" i="3"/>
  <c r="Y3146" i="3"/>
  <c r="T3146" i="3"/>
  <c r="V3146" i="3"/>
  <c r="X3146" i="3"/>
  <c r="U3144" i="3"/>
  <c r="W3144" i="3"/>
  <c r="Y3144" i="3"/>
  <c r="T3144" i="3"/>
  <c r="V3144" i="3"/>
  <c r="X3144" i="3"/>
  <c r="U3142" i="3"/>
  <c r="W3142" i="3"/>
  <c r="Y3142" i="3"/>
  <c r="T3142" i="3"/>
  <c r="V3142" i="3"/>
  <c r="X3142" i="3"/>
  <c r="U3140" i="3"/>
  <c r="W3140" i="3"/>
  <c r="Y3140" i="3"/>
  <c r="T3140" i="3"/>
  <c r="V3140" i="3"/>
  <c r="X3140" i="3"/>
  <c r="U3138" i="3"/>
  <c r="W3138" i="3"/>
  <c r="Y3138" i="3"/>
  <c r="T3138" i="3"/>
  <c r="V3138" i="3"/>
  <c r="X3138" i="3"/>
  <c r="T3147" i="3"/>
  <c r="V3147" i="3"/>
  <c r="X3147" i="3"/>
  <c r="U3147" i="3"/>
  <c r="W3147" i="3"/>
  <c r="Y3147" i="3"/>
  <c r="T3145" i="3"/>
  <c r="V3145" i="3"/>
  <c r="X3145" i="3"/>
  <c r="U3145" i="3"/>
  <c r="W3145" i="3"/>
  <c r="Y3145" i="3"/>
  <c r="T3143" i="3"/>
  <c r="V3143" i="3"/>
  <c r="X3143" i="3"/>
  <c r="U3143" i="3"/>
  <c r="W3143" i="3"/>
  <c r="Y3143" i="3"/>
  <c r="T3141" i="3"/>
  <c r="V3141" i="3"/>
  <c r="X3141" i="3"/>
  <c r="U3141" i="3"/>
  <c r="W3141" i="3"/>
  <c r="Y3141" i="3"/>
  <c r="T3139" i="3"/>
  <c r="V3139" i="3"/>
  <c r="X3139" i="3"/>
  <c r="U3139" i="3"/>
  <c r="W3139" i="3"/>
  <c r="Y3139" i="3"/>
  <c r="T3137" i="3"/>
  <c r="V3137" i="3"/>
  <c r="X3137" i="3"/>
  <c r="U3137" i="3"/>
  <c r="W3137" i="3"/>
  <c r="Y3137" i="3"/>
  <c r="T3101" i="3"/>
  <c r="T3134" i="3"/>
  <c r="U3134" i="3"/>
  <c r="V3134" i="3"/>
  <c r="W3134" i="3"/>
  <c r="X3134" i="3"/>
  <c r="Y3134" i="3"/>
  <c r="T3132" i="3"/>
  <c r="U3132" i="3"/>
  <c r="V3132" i="3"/>
  <c r="W3132" i="3"/>
  <c r="X3132" i="3"/>
  <c r="Y3132" i="3"/>
  <c r="T3130" i="3"/>
  <c r="U3130" i="3"/>
  <c r="V3130" i="3"/>
  <c r="W3130" i="3"/>
  <c r="X3130" i="3"/>
  <c r="Y3130" i="3"/>
  <c r="T3128" i="3"/>
  <c r="U3128" i="3"/>
  <c r="V3128" i="3"/>
  <c r="W3128" i="3"/>
  <c r="X3128" i="3"/>
  <c r="Y3128" i="3"/>
  <c r="T3126" i="3"/>
  <c r="U3126" i="3"/>
  <c r="V3126" i="3"/>
  <c r="W3126" i="3"/>
  <c r="X3126" i="3"/>
  <c r="Y3126" i="3"/>
  <c r="T3124" i="3"/>
  <c r="U3124" i="3"/>
  <c r="V3124" i="3"/>
  <c r="W3124" i="3"/>
  <c r="X3124" i="3"/>
  <c r="Y3124" i="3"/>
  <c r="T3122" i="3"/>
  <c r="U3122" i="3"/>
  <c r="V3122" i="3"/>
  <c r="W3122" i="3"/>
  <c r="X3122" i="3"/>
  <c r="Y3122" i="3"/>
  <c r="T3120" i="3"/>
  <c r="U3120" i="3"/>
  <c r="V3120" i="3"/>
  <c r="W3120" i="3"/>
  <c r="X3120" i="3"/>
  <c r="Y3120" i="3"/>
  <c r="T3118" i="3"/>
  <c r="U3118" i="3"/>
  <c r="V3118" i="3"/>
  <c r="W3118" i="3"/>
  <c r="X3118" i="3"/>
  <c r="Y3118" i="3"/>
  <c r="T3116" i="3"/>
  <c r="U3116" i="3"/>
  <c r="V3116" i="3"/>
  <c r="W3116" i="3"/>
  <c r="X3116" i="3"/>
  <c r="Y3116" i="3"/>
  <c r="T3135" i="3"/>
  <c r="U3135" i="3"/>
  <c r="V3135" i="3"/>
  <c r="W3135" i="3"/>
  <c r="X3135" i="3"/>
  <c r="Y3135" i="3"/>
  <c r="T3133" i="3"/>
  <c r="U3133" i="3"/>
  <c r="V3133" i="3"/>
  <c r="W3133" i="3"/>
  <c r="X3133" i="3"/>
  <c r="Y3133" i="3"/>
  <c r="T3131" i="3"/>
  <c r="U3131" i="3"/>
  <c r="V3131" i="3"/>
  <c r="W3131" i="3"/>
  <c r="X3131" i="3"/>
  <c r="Y3131" i="3"/>
  <c r="T3129" i="3"/>
  <c r="U3129" i="3"/>
  <c r="V3129" i="3"/>
  <c r="W3129" i="3"/>
  <c r="X3129" i="3"/>
  <c r="Y3129" i="3"/>
  <c r="T3127" i="3"/>
  <c r="U3127" i="3"/>
  <c r="V3127" i="3"/>
  <c r="W3127" i="3"/>
  <c r="X3127" i="3"/>
  <c r="Y3127" i="3"/>
  <c r="T3123" i="3"/>
  <c r="U3123" i="3"/>
  <c r="V3123" i="3"/>
  <c r="W3123" i="3"/>
  <c r="X3123" i="3"/>
  <c r="Y3123" i="3"/>
  <c r="T3121" i="3"/>
  <c r="U3121" i="3"/>
  <c r="V3121" i="3"/>
  <c r="W3121" i="3"/>
  <c r="X3121" i="3"/>
  <c r="Y3121" i="3"/>
  <c r="T3119" i="3"/>
  <c r="U3119" i="3"/>
  <c r="V3119" i="3"/>
  <c r="W3119" i="3"/>
  <c r="X3119" i="3"/>
  <c r="Y3119" i="3"/>
  <c r="T3117" i="3"/>
  <c r="U3117" i="3"/>
  <c r="V3117" i="3"/>
  <c r="W3117" i="3"/>
  <c r="X3117" i="3"/>
  <c r="Y3117" i="3"/>
  <c r="T3115" i="3"/>
  <c r="U3115" i="3"/>
  <c r="V3115" i="3"/>
  <c r="W3115" i="3"/>
  <c r="X3115" i="3"/>
  <c r="Y3115" i="3"/>
  <c r="Y3111" i="3"/>
  <c r="Y3107" i="3"/>
  <c r="Y3099" i="3"/>
  <c r="Y3095" i="3"/>
  <c r="X3113" i="3"/>
  <c r="X3109" i="3"/>
  <c r="X3105" i="3"/>
  <c r="X3101" i="3"/>
  <c r="X3097" i="3"/>
  <c r="X3093" i="3"/>
  <c r="W3113" i="3"/>
  <c r="W3109" i="3"/>
  <c r="W3105" i="3"/>
  <c r="W3101" i="3"/>
  <c r="W3097" i="3"/>
  <c r="W3093" i="3"/>
  <c r="V3113" i="3"/>
  <c r="V3109" i="3"/>
  <c r="V3105" i="3"/>
  <c r="V3101" i="3"/>
  <c r="V3097" i="3"/>
  <c r="V3093" i="3"/>
  <c r="U3113" i="3"/>
  <c r="U3109" i="3"/>
  <c r="U3105" i="3"/>
  <c r="U3101" i="3"/>
  <c r="U3097" i="3"/>
  <c r="U3093" i="3"/>
  <c r="T3113" i="3"/>
  <c r="Z3113" i="3" s="1"/>
  <c r="T3109" i="3"/>
  <c r="Z3109" i="3" s="1"/>
  <c r="T3112" i="3"/>
  <c r="U3112" i="3"/>
  <c r="V3112" i="3"/>
  <c r="W3112" i="3"/>
  <c r="X3112" i="3"/>
  <c r="Y3112" i="3"/>
  <c r="T3110" i="3"/>
  <c r="U3110" i="3"/>
  <c r="V3110" i="3"/>
  <c r="W3110" i="3"/>
  <c r="X3110" i="3"/>
  <c r="Y3110" i="3"/>
  <c r="T3108" i="3"/>
  <c r="U3108" i="3"/>
  <c r="V3108" i="3"/>
  <c r="W3108" i="3"/>
  <c r="X3108" i="3"/>
  <c r="Y3108" i="3"/>
  <c r="T3106" i="3"/>
  <c r="U3106" i="3"/>
  <c r="V3106" i="3"/>
  <c r="W3106" i="3"/>
  <c r="X3106" i="3"/>
  <c r="Y3106" i="3"/>
  <c r="T3104" i="3"/>
  <c r="U3104" i="3"/>
  <c r="V3104" i="3"/>
  <c r="W3104" i="3"/>
  <c r="X3104" i="3"/>
  <c r="Y3104" i="3"/>
  <c r="T3102" i="3"/>
  <c r="U3102" i="3"/>
  <c r="V3102" i="3"/>
  <c r="W3102" i="3"/>
  <c r="X3102" i="3"/>
  <c r="Y3102" i="3"/>
  <c r="T3100" i="3"/>
  <c r="U3100" i="3"/>
  <c r="V3100" i="3"/>
  <c r="W3100" i="3"/>
  <c r="X3100" i="3"/>
  <c r="Y3100" i="3"/>
  <c r="T3098" i="3"/>
  <c r="U3098" i="3"/>
  <c r="V3098" i="3"/>
  <c r="W3098" i="3"/>
  <c r="X3098" i="3"/>
  <c r="Y3098" i="3"/>
  <c r="T3096" i="3"/>
  <c r="U3096" i="3"/>
  <c r="V3096" i="3"/>
  <c r="W3096" i="3"/>
  <c r="X3096" i="3"/>
  <c r="Y3096" i="3"/>
  <c r="T3094" i="3"/>
  <c r="U3094" i="3"/>
  <c r="V3094" i="3"/>
  <c r="W3094" i="3"/>
  <c r="X3094" i="3"/>
  <c r="Y3094" i="3"/>
  <c r="Y3105" i="3"/>
  <c r="Y3101" i="3"/>
  <c r="Y3097" i="3"/>
  <c r="Y3093" i="3"/>
  <c r="X3111" i="3"/>
  <c r="X3107" i="3"/>
  <c r="X3099" i="3"/>
  <c r="X3095" i="3"/>
  <c r="W3111" i="3"/>
  <c r="W3107" i="3"/>
  <c r="W3099" i="3"/>
  <c r="W3095" i="3"/>
  <c r="V3111" i="3"/>
  <c r="V3107" i="3"/>
  <c r="V3099" i="3"/>
  <c r="V3095" i="3"/>
  <c r="U3111" i="3"/>
  <c r="U3107" i="3"/>
  <c r="U3099" i="3"/>
  <c r="U3095" i="3"/>
  <c r="S3081" i="3"/>
  <c r="Z3081" i="3" s="1"/>
  <c r="U3091" i="3"/>
  <c r="W3091" i="3"/>
  <c r="Y3091" i="3"/>
  <c r="T3091" i="3"/>
  <c r="V3091" i="3"/>
  <c r="X3091" i="3"/>
  <c r="U3087" i="3"/>
  <c r="W3087" i="3"/>
  <c r="Y3087" i="3"/>
  <c r="T3087" i="3"/>
  <c r="V3087" i="3"/>
  <c r="X3087" i="3"/>
  <c r="U3083" i="3"/>
  <c r="W3083" i="3"/>
  <c r="Y3083" i="3"/>
  <c r="T3083" i="3"/>
  <c r="V3083" i="3"/>
  <c r="X3083" i="3"/>
  <c r="U3089" i="3"/>
  <c r="W3089" i="3"/>
  <c r="Y3089" i="3"/>
  <c r="T3089" i="3"/>
  <c r="V3089" i="3"/>
  <c r="X3089" i="3"/>
  <c r="U3085" i="3"/>
  <c r="W3085" i="3"/>
  <c r="Y3085" i="3"/>
  <c r="T3085" i="3"/>
  <c r="V3085" i="3"/>
  <c r="X3085" i="3"/>
  <c r="T3090" i="3"/>
  <c r="V3090" i="3"/>
  <c r="X3090" i="3"/>
  <c r="U3090" i="3"/>
  <c r="W3090" i="3"/>
  <c r="Y3090" i="3"/>
  <c r="T3088" i="3"/>
  <c r="V3088" i="3"/>
  <c r="X3088" i="3"/>
  <c r="U3088" i="3"/>
  <c r="W3088" i="3"/>
  <c r="Y3088" i="3"/>
  <c r="T3086" i="3"/>
  <c r="V3086" i="3"/>
  <c r="X3086" i="3"/>
  <c r="U3086" i="3"/>
  <c r="W3086" i="3"/>
  <c r="Y3086" i="3"/>
  <c r="T3084" i="3"/>
  <c r="V3084" i="3"/>
  <c r="X3084" i="3"/>
  <c r="U3084" i="3"/>
  <c r="W3084" i="3"/>
  <c r="Y3084" i="3"/>
  <c r="T3082" i="3"/>
  <c r="V3082" i="3"/>
  <c r="X3082" i="3"/>
  <c r="U3082" i="3"/>
  <c r="W3082" i="3"/>
  <c r="Y3082" i="3"/>
  <c r="U3079" i="3"/>
  <c r="W3079" i="3"/>
  <c r="Y3079" i="3"/>
  <c r="U3075" i="3"/>
  <c r="Y3075" i="3"/>
  <c r="W3075" i="3"/>
  <c r="W3071" i="3"/>
  <c r="Y3071" i="3"/>
  <c r="U3071" i="3"/>
  <c r="T3078" i="3"/>
  <c r="V3078" i="3"/>
  <c r="X3078" i="3"/>
  <c r="U3074" i="3"/>
  <c r="T3079" i="3"/>
  <c r="T3077" i="3"/>
  <c r="T3075" i="3"/>
  <c r="T3073" i="3"/>
  <c r="T3071" i="3"/>
  <c r="U3077" i="3"/>
  <c r="W3077" i="3"/>
  <c r="Y3077" i="3"/>
  <c r="U3073" i="3"/>
  <c r="W3073" i="3"/>
  <c r="Y3073" i="3"/>
  <c r="T3080" i="3"/>
  <c r="V3080" i="3"/>
  <c r="X3080" i="3"/>
  <c r="T3076" i="3"/>
  <c r="V3076" i="3"/>
  <c r="X3076" i="3"/>
  <c r="T3074" i="3"/>
  <c r="V3074" i="3"/>
  <c r="X3074" i="3"/>
  <c r="T3072" i="3"/>
  <c r="V3072" i="3"/>
  <c r="X3072" i="3"/>
  <c r="U3078" i="3"/>
  <c r="S3070" i="3"/>
  <c r="Z3070" i="3" s="1"/>
  <c r="U3080" i="3"/>
  <c r="U3076" i="3"/>
  <c r="U3072" i="3"/>
  <c r="Y3080" i="3"/>
  <c r="Y3078" i="3"/>
  <c r="Y3076" i="3"/>
  <c r="Y3074" i="3"/>
  <c r="Y3072" i="3"/>
  <c r="X3079" i="3"/>
  <c r="X3077" i="3"/>
  <c r="X3075" i="3"/>
  <c r="X3073" i="3"/>
  <c r="X3071" i="3"/>
  <c r="W3080" i="3"/>
  <c r="W3078" i="3"/>
  <c r="W3076" i="3"/>
  <c r="W3074" i="3"/>
  <c r="W3072" i="3"/>
  <c r="V3079" i="3"/>
  <c r="V3077" i="3"/>
  <c r="V3075" i="3"/>
  <c r="V3073" i="3"/>
  <c r="V3071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P3049" i="3"/>
  <c r="P3050" i="3"/>
  <c r="P3051" i="3"/>
  <c r="P3052" i="3"/>
  <c r="P3053" i="3"/>
  <c r="P3054" i="3"/>
  <c r="P3055" i="3"/>
  <c r="P3056" i="3"/>
  <c r="P3057" i="3"/>
  <c r="P3058" i="3"/>
  <c r="P3059" i="3"/>
  <c r="P3060" i="3"/>
  <c r="P3061" i="3"/>
  <c r="P3062" i="3"/>
  <c r="P3063" i="3"/>
  <c r="P3064" i="3"/>
  <c r="P3065" i="3"/>
  <c r="P3066" i="3"/>
  <c r="P3067" i="3"/>
  <c r="P3068" i="3"/>
  <c r="P3069" i="3"/>
  <c r="Q3049" i="3"/>
  <c r="Q3050" i="3"/>
  <c r="Q3051" i="3"/>
  <c r="Q3052" i="3"/>
  <c r="Q3053" i="3"/>
  <c r="Q3054" i="3"/>
  <c r="Q3055" i="3"/>
  <c r="Q3056" i="3"/>
  <c r="Q3057" i="3"/>
  <c r="Q3058" i="3"/>
  <c r="Q3059" i="3"/>
  <c r="Q3060" i="3"/>
  <c r="Q3061" i="3"/>
  <c r="Q3062" i="3"/>
  <c r="Q3063" i="3"/>
  <c r="Q3064" i="3"/>
  <c r="Q3065" i="3"/>
  <c r="Q3066" i="3"/>
  <c r="Q3067" i="3"/>
  <c r="Q3068" i="3"/>
  <c r="Q3069" i="3"/>
  <c r="R3049" i="3"/>
  <c r="R3050" i="3"/>
  <c r="R3051" i="3"/>
  <c r="R3052" i="3"/>
  <c r="R3053" i="3"/>
  <c r="R3054" i="3"/>
  <c r="R3055" i="3"/>
  <c r="R3056" i="3"/>
  <c r="R3057" i="3"/>
  <c r="R3058" i="3"/>
  <c r="R3059" i="3"/>
  <c r="R3060" i="3"/>
  <c r="R3061" i="3"/>
  <c r="R3062" i="3"/>
  <c r="R3063" i="3"/>
  <c r="R3064" i="3"/>
  <c r="R3065" i="3"/>
  <c r="R3066" i="3"/>
  <c r="R3067" i="3"/>
  <c r="R3068" i="3"/>
  <c r="R3069" i="3"/>
  <c r="S3050" i="3"/>
  <c r="S3051" i="3"/>
  <c r="S3052" i="3"/>
  <c r="S3053" i="3"/>
  <c r="S3054" i="3"/>
  <c r="S3055" i="3"/>
  <c r="S3056" i="3"/>
  <c r="S3057" i="3"/>
  <c r="S3058" i="3"/>
  <c r="S3060" i="3"/>
  <c r="S3061" i="3"/>
  <c r="S3062" i="3"/>
  <c r="S3063" i="3"/>
  <c r="S3064" i="3"/>
  <c r="S3065" i="3"/>
  <c r="S3066" i="3"/>
  <c r="S3067" i="3"/>
  <c r="S3068" i="3"/>
  <c r="S3069" i="3"/>
  <c r="T3049" i="3"/>
  <c r="T3059" i="3"/>
  <c r="U3049" i="3"/>
  <c r="U3059" i="3"/>
  <c r="V3049" i="3"/>
  <c r="V3059" i="3"/>
  <c r="W3049" i="3"/>
  <c r="W3059" i="3"/>
  <c r="X3049" i="3"/>
  <c r="X3059" i="3"/>
  <c r="AA3049" i="3"/>
  <c r="AA3050" i="3"/>
  <c r="AA3051" i="3"/>
  <c r="AA3052" i="3"/>
  <c r="AA3053" i="3"/>
  <c r="AA3054" i="3"/>
  <c r="AA3055" i="3"/>
  <c r="AA3056" i="3"/>
  <c r="AA3057" i="3"/>
  <c r="AA3058" i="3"/>
  <c r="AA3059" i="3"/>
  <c r="AA3060" i="3"/>
  <c r="AA3061" i="3"/>
  <c r="AA3062" i="3"/>
  <c r="AA3063" i="3"/>
  <c r="AA3064" i="3"/>
  <c r="AA3065" i="3"/>
  <c r="AA3066" i="3"/>
  <c r="AA3067" i="3"/>
  <c r="AA3068" i="3"/>
  <c r="AA3069" i="3"/>
  <c r="AB3049" i="3"/>
  <c r="O3049" i="3" s="1"/>
  <c r="Y3049" i="3" s="1"/>
  <c r="AB3050" i="3"/>
  <c r="O3050" i="3" s="1"/>
  <c r="AB3051" i="3"/>
  <c r="O3051" i="3" s="1"/>
  <c r="AB3052" i="3"/>
  <c r="O3052" i="3" s="1"/>
  <c r="AB3053" i="3"/>
  <c r="O3053" i="3" s="1"/>
  <c r="AB3054" i="3"/>
  <c r="O3054" i="3" s="1"/>
  <c r="AB3055" i="3"/>
  <c r="O3055" i="3" s="1"/>
  <c r="AB3056" i="3"/>
  <c r="O3056" i="3" s="1"/>
  <c r="AB3057" i="3"/>
  <c r="O3057" i="3" s="1"/>
  <c r="AB3058" i="3"/>
  <c r="O3058" i="3" s="1"/>
  <c r="AB3059" i="3"/>
  <c r="O3059" i="3" s="1"/>
  <c r="Y3059" i="3" s="1"/>
  <c r="AB3060" i="3"/>
  <c r="O3060" i="3" s="1"/>
  <c r="AB3061" i="3"/>
  <c r="O3061" i="3" s="1"/>
  <c r="AB3062" i="3"/>
  <c r="O3062" i="3" s="1"/>
  <c r="AB3063" i="3"/>
  <c r="O3063" i="3" s="1"/>
  <c r="AB3064" i="3"/>
  <c r="O3064" i="3" s="1"/>
  <c r="AB3065" i="3"/>
  <c r="O3065" i="3" s="1"/>
  <c r="AB3066" i="3"/>
  <c r="O3066" i="3" s="1"/>
  <c r="AB3067" i="3"/>
  <c r="O3067" i="3" s="1"/>
  <c r="AB3068" i="3"/>
  <c r="O3068" i="3" s="1"/>
  <c r="AB3069" i="3"/>
  <c r="O3069" i="3" s="1"/>
  <c r="AC3049" i="3"/>
  <c r="N3049" i="3" s="1"/>
  <c r="AC3050" i="3"/>
  <c r="N3050" i="3" s="1"/>
  <c r="AC3051" i="3"/>
  <c r="N3051" i="3" s="1"/>
  <c r="AC3052" i="3"/>
  <c r="N3052" i="3" s="1"/>
  <c r="AC3053" i="3"/>
  <c r="N3053" i="3" s="1"/>
  <c r="AC3054" i="3"/>
  <c r="N3054" i="3" s="1"/>
  <c r="AC3055" i="3"/>
  <c r="N3055" i="3" s="1"/>
  <c r="AC3056" i="3"/>
  <c r="N3056" i="3" s="1"/>
  <c r="AC3057" i="3"/>
  <c r="N3057" i="3" s="1"/>
  <c r="AC3058" i="3"/>
  <c r="N3058" i="3" s="1"/>
  <c r="AC3059" i="3"/>
  <c r="N3059" i="3" s="1"/>
  <c r="AC3060" i="3"/>
  <c r="N3060" i="3" s="1"/>
  <c r="AC3061" i="3"/>
  <c r="N3061" i="3" s="1"/>
  <c r="AC3062" i="3"/>
  <c r="N3062" i="3" s="1"/>
  <c r="AC3063" i="3"/>
  <c r="N3063" i="3" s="1"/>
  <c r="AC3064" i="3"/>
  <c r="N3064" i="3" s="1"/>
  <c r="AC3065" i="3"/>
  <c r="N3065" i="3" s="1"/>
  <c r="AC3066" i="3"/>
  <c r="N3066" i="3" s="1"/>
  <c r="AC3067" i="3"/>
  <c r="N3067" i="3" s="1"/>
  <c r="AC3068" i="3"/>
  <c r="N3068" i="3" s="1"/>
  <c r="AC3069" i="3"/>
  <c r="N3069" i="3" s="1"/>
  <c r="AK3049" i="3"/>
  <c r="AK3050" i="3"/>
  <c r="AK3051" i="3"/>
  <c r="AK3052" i="3"/>
  <c r="AK3053" i="3"/>
  <c r="AK3054" i="3"/>
  <c r="AK3055" i="3"/>
  <c r="AK3056" i="3"/>
  <c r="AK3057" i="3"/>
  <c r="AK3058" i="3"/>
  <c r="AK3059" i="3"/>
  <c r="AK3060" i="3"/>
  <c r="AK3061" i="3"/>
  <c r="AK3062" i="3"/>
  <c r="AK3063" i="3"/>
  <c r="AK3064" i="3"/>
  <c r="AK3065" i="3"/>
  <c r="AK3066" i="3"/>
  <c r="AK3067" i="3"/>
  <c r="AK3068" i="3"/>
  <c r="AK3069" i="3"/>
  <c r="M172" i="10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P3027" i="3"/>
  <c r="P3028" i="3"/>
  <c r="P3029" i="3"/>
  <c r="P3030" i="3"/>
  <c r="P3031" i="3"/>
  <c r="P3032" i="3"/>
  <c r="P3033" i="3"/>
  <c r="P3034" i="3"/>
  <c r="P3035" i="3"/>
  <c r="P3036" i="3"/>
  <c r="P3037" i="3"/>
  <c r="P3038" i="3"/>
  <c r="P3039" i="3"/>
  <c r="P3040" i="3"/>
  <c r="P3041" i="3"/>
  <c r="P3042" i="3"/>
  <c r="P3043" i="3"/>
  <c r="P3044" i="3"/>
  <c r="P3045" i="3"/>
  <c r="P3046" i="3"/>
  <c r="P3047" i="3"/>
  <c r="P3048" i="3"/>
  <c r="Q3027" i="3"/>
  <c r="Q3028" i="3"/>
  <c r="Q3029" i="3"/>
  <c r="Q3030" i="3"/>
  <c r="Q3031" i="3"/>
  <c r="Q3032" i="3"/>
  <c r="Q3033" i="3"/>
  <c r="Q3034" i="3"/>
  <c r="Q3035" i="3"/>
  <c r="Q3036" i="3"/>
  <c r="Q3037" i="3"/>
  <c r="Q3038" i="3"/>
  <c r="Q3039" i="3"/>
  <c r="Q3040" i="3"/>
  <c r="Q3041" i="3"/>
  <c r="Q3042" i="3"/>
  <c r="Q3043" i="3"/>
  <c r="Q3044" i="3"/>
  <c r="Q3045" i="3"/>
  <c r="Q3046" i="3"/>
  <c r="Q3047" i="3"/>
  <c r="Q3048" i="3"/>
  <c r="R3027" i="3"/>
  <c r="R3028" i="3"/>
  <c r="R3029" i="3"/>
  <c r="R3030" i="3"/>
  <c r="R3031" i="3"/>
  <c r="R3032" i="3"/>
  <c r="R3033" i="3"/>
  <c r="R3034" i="3"/>
  <c r="R3035" i="3"/>
  <c r="R3036" i="3"/>
  <c r="R3037" i="3"/>
  <c r="R3038" i="3"/>
  <c r="R3039" i="3"/>
  <c r="R3040" i="3"/>
  <c r="R3041" i="3"/>
  <c r="R3042" i="3"/>
  <c r="R3043" i="3"/>
  <c r="R3044" i="3"/>
  <c r="R3045" i="3"/>
  <c r="R3046" i="3"/>
  <c r="R3047" i="3"/>
  <c r="R3048" i="3"/>
  <c r="S3028" i="3"/>
  <c r="S3029" i="3"/>
  <c r="S3030" i="3"/>
  <c r="S3031" i="3"/>
  <c r="S3032" i="3"/>
  <c r="S3033" i="3"/>
  <c r="S3034" i="3"/>
  <c r="S3035" i="3"/>
  <c r="S3036" i="3"/>
  <c r="S3037" i="3"/>
  <c r="S3039" i="3"/>
  <c r="S3040" i="3"/>
  <c r="S3041" i="3"/>
  <c r="S3042" i="3"/>
  <c r="S3043" i="3"/>
  <c r="S3044" i="3"/>
  <c r="S3045" i="3"/>
  <c r="S3046" i="3"/>
  <c r="S3047" i="3"/>
  <c r="S3048" i="3"/>
  <c r="T3027" i="3"/>
  <c r="T3038" i="3"/>
  <c r="U3027" i="3"/>
  <c r="U3038" i="3"/>
  <c r="V3027" i="3"/>
  <c r="V3038" i="3"/>
  <c r="W3027" i="3"/>
  <c r="W3038" i="3"/>
  <c r="X3027" i="3"/>
  <c r="X3038" i="3"/>
  <c r="AA3027" i="3"/>
  <c r="AA3028" i="3"/>
  <c r="AA3029" i="3"/>
  <c r="AA3030" i="3"/>
  <c r="AA3031" i="3"/>
  <c r="AA3032" i="3"/>
  <c r="AA3033" i="3"/>
  <c r="AA3034" i="3"/>
  <c r="AA3035" i="3"/>
  <c r="AA3036" i="3"/>
  <c r="AA3037" i="3"/>
  <c r="AA3038" i="3"/>
  <c r="AA3039" i="3"/>
  <c r="AA3040" i="3"/>
  <c r="AA3041" i="3"/>
  <c r="AA3042" i="3"/>
  <c r="AA3043" i="3"/>
  <c r="AA3044" i="3"/>
  <c r="AA3045" i="3"/>
  <c r="AA3046" i="3"/>
  <c r="AA3047" i="3"/>
  <c r="AA3048" i="3"/>
  <c r="AB3027" i="3"/>
  <c r="O3027" i="3" s="1"/>
  <c r="Y3027" i="3" s="1"/>
  <c r="AB3028" i="3"/>
  <c r="O3028" i="3" s="1"/>
  <c r="AB3029" i="3"/>
  <c r="O3029" i="3" s="1"/>
  <c r="AB3030" i="3"/>
  <c r="O3030" i="3" s="1"/>
  <c r="AB3031" i="3"/>
  <c r="O3031" i="3" s="1"/>
  <c r="AB3032" i="3"/>
  <c r="O3032" i="3" s="1"/>
  <c r="AB3033" i="3"/>
  <c r="O3033" i="3" s="1"/>
  <c r="AB3034" i="3"/>
  <c r="O3034" i="3" s="1"/>
  <c r="AB3035" i="3"/>
  <c r="O3035" i="3" s="1"/>
  <c r="AB3036" i="3"/>
  <c r="O3036" i="3" s="1"/>
  <c r="AB3037" i="3"/>
  <c r="O3037" i="3" s="1"/>
  <c r="AB3038" i="3"/>
  <c r="O3038" i="3" s="1"/>
  <c r="Y3038" i="3" s="1"/>
  <c r="AB3039" i="3"/>
  <c r="O3039" i="3" s="1"/>
  <c r="AB3040" i="3"/>
  <c r="O3040" i="3" s="1"/>
  <c r="AB3041" i="3"/>
  <c r="O3041" i="3" s="1"/>
  <c r="AB3042" i="3"/>
  <c r="O3042" i="3" s="1"/>
  <c r="AB3043" i="3"/>
  <c r="O3043" i="3" s="1"/>
  <c r="AB3044" i="3"/>
  <c r="O3044" i="3" s="1"/>
  <c r="AB3045" i="3"/>
  <c r="O3045" i="3" s="1"/>
  <c r="AB3046" i="3"/>
  <c r="O3046" i="3" s="1"/>
  <c r="AB3047" i="3"/>
  <c r="O3047" i="3" s="1"/>
  <c r="AB3048" i="3"/>
  <c r="O3048" i="3" s="1"/>
  <c r="AC3027" i="3"/>
  <c r="N3027" i="3" s="1"/>
  <c r="AC3028" i="3"/>
  <c r="N3028" i="3" s="1"/>
  <c r="AC3029" i="3"/>
  <c r="N3029" i="3" s="1"/>
  <c r="AC3030" i="3"/>
  <c r="N3030" i="3" s="1"/>
  <c r="AC3031" i="3"/>
  <c r="N3031" i="3" s="1"/>
  <c r="AC3032" i="3"/>
  <c r="N3032" i="3" s="1"/>
  <c r="AC3033" i="3"/>
  <c r="N3033" i="3" s="1"/>
  <c r="AC3034" i="3"/>
  <c r="N3034" i="3" s="1"/>
  <c r="AC3035" i="3"/>
  <c r="N3035" i="3" s="1"/>
  <c r="AC3036" i="3"/>
  <c r="N3036" i="3" s="1"/>
  <c r="AC3037" i="3"/>
  <c r="N3037" i="3" s="1"/>
  <c r="AC3038" i="3"/>
  <c r="N3038" i="3" s="1"/>
  <c r="S3038" i="3" s="1"/>
  <c r="AC3039" i="3"/>
  <c r="N3039" i="3" s="1"/>
  <c r="AC3040" i="3"/>
  <c r="N3040" i="3" s="1"/>
  <c r="AC3041" i="3"/>
  <c r="N3041" i="3" s="1"/>
  <c r="AC3042" i="3"/>
  <c r="N3042" i="3" s="1"/>
  <c r="AC3043" i="3"/>
  <c r="N3043" i="3" s="1"/>
  <c r="AC3044" i="3"/>
  <c r="N3044" i="3" s="1"/>
  <c r="AC3045" i="3"/>
  <c r="N3045" i="3" s="1"/>
  <c r="AC3046" i="3"/>
  <c r="N3046" i="3" s="1"/>
  <c r="AC3047" i="3"/>
  <c r="N3047" i="3" s="1"/>
  <c r="AC3048" i="3"/>
  <c r="N3048" i="3" s="1"/>
  <c r="AK3027" i="3"/>
  <c r="AK3028" i="3"/>
  <c r="AK3029" i="3"/>
  <c r="AK3030" i="3"/>
  <c r="AK3031" i="3"/>
  <c r="AK3032" i="3"/>
  <c r="AK3033" i="3"/>
  <c r="AK3034" i="3"/>
  <c r="AK3035" i="3"/>
  <c r="AK3036" i="3"/>
  <c r="AK3037" i="3"/>
  <c r="AK3038" i="3"/>
  <c r="AK3039" i="3"/>
  <c r="AK3040" i="3"/>
  <c r="AK3041" i="3"/>
  <c r="AK3042" i="3"/>
  <c r="AK3043" i="3"/>
  <c r="AK3044" i="3"/>
  <c r="AK3045" i="3"/>
  <c r="AK3046" i="3"/>
  <c r="AK3047" i="3"/>
  <c r="AK3048" i="3"/>
  <c r="M171" i="10"/>
  <c r="M3016" i="3"/>
  <c r="M3017" i="3"/>
  <c r="M3018" i="3"/>
  <c r="M3019" i="3"/>
  <c r="M3020" i="3"/>
  <c r="M3021" i="3"/>
  <c r="M3022" i="3"/>
  <c r="M3023" i="3"/>
  <c r="M3024" i="3"/>
  <c r="M3025" i="3"/>
  <c r="M3026" i="3"/>
  <c r="P3016" i="3"/>
  <c r="P3017" i="3"/>
  <c r="P3018" i="3"/>
  <c r="P3019" i="3"/>
  <c r="P3020" i="3"/>
  <c r="P3021" i="3"/>
  <c r="P3022" i="3"/>
  <c r="P3023" i="3"/>
  <c r="P3024" i="3"/>
  <c r="P3025" i="3"/>
  <c r="P3026" i="3"/>
  <c r="Q3016" i="3"/>
  <c r="Q3017" i="3"/>
  <c r="Q3018" i="3"/>
  <c r="Q3019" i="3"/>
  <c r="Q3020" i="3"/>
  <c r="Q3021" i="3"/>
  <c r="Q3022" i="3"/>
  <c r="Q3023" i="3"/>
  <c r="Q3024" i="3"/>
  <c r="Q3025" i="3"/>
  <c r="Q3026" i="3"/>
  <c r="R3016" i="3"/>
  <c r="R3017" i="3"/>
  <c r="R3018" i="3"/>
  <c r="R3019" i="3"/>
  <c r="R3020" i="3"/>
  <c r="R3021" i="3"/>
  <c r="R3022" i="3"/>
  <c r="R3023" i="3"/>
  <c r="R3024" i="3"/>
  <c r="R3025" i="3"/>
  <c r="R3026" i="3"/>
  <c r="S3017" i="3"/>
  <c r="S3018" i="3"/>
  <c r="S3019" i="3"/>
  <c r="S3020" i="3"/>
  <c r="S3021" i="3"/>
  <c r="S3022" i="3"/>
  <c r="S3023" i="3"/>
  <c r="S3024" i="3"/>
  <c r="S3025" i="3"/>
  <c r="S3026" i="3"/>
  <c r="T3016" i="3"/>
  <c r="U3016" i="3"/>
  <c r="V3016" i="3"/>
  <c r="W3016" i="3"/>
  <c r="X3016" i="3"/>
  <c r="AA3016" i="3"/>
  <c r="AA3017" i="3"/>
  <c r="AA3018" i="3"/>
  <c r="AA3019" i="3"/>
  <c r="AA3020" i="3"/>
  <c r="AA3021" i="3"/>
  <c r="AA3022" i="3"/>
  <c r="AA3023" i="3"/>
  <c r="AA3024" i="3"/>
  <c r="AA3025" i="3"/>
  <c r="AA3026" i="3"/>
  <c r="AB3016" i="3"/>
  <c r="O3016" i="3" s="1"/>
  <c r="Y3016" i="3" s="1"/>
  <c r="AB3017" i="3"/>
  <c r="O3017" i="3" s="1"/>
  <c r="AB3018" i="3"/>
  <c r="O3018" i="3" s="1"/>
  <c r="AB3019" i="3"/>
  <c r="O3019" i="3" s="1"/>
  <c r="AB3020" i="3"/>
  <c r="O3020" i="3" s="1"/>
  <c r="AB3021" i="3"/>
  <c r="O3021" i="3" s="1"/>
  <c r="AB3022" i="3"/>
  <c r="O3022" i="3" s="1"/>
  <c r="AB3023" i="3"/>
  <c r="O3023" i="3" s="1"/>
  <c r="AB3024" i="3"/>
  <c r="O3024" i="3" s="1"/>
  <c r="AB3025" i="3"/>
  <c r="O3025" i="3" s="1"/>
  <c r="AB3026" i="3"/>
  <c r="O3026" i="3" s="1"/>
  <c r="AC3016" i="3"/>
  <c r="N3016" i="3" s="1"/>
  <c r="AC3017" i="3"/>
  <c r="N3017" i="3" s="1"/>
  <c r="AC3018" i="3"/>
  <c r="N3018" i="3" s="1"/>
  <c r="AC3019" i="3"/>
  <c r="N3019" i="3" s="1"/>
  <c r="AC3020" i="3"/>
  <c r="N3020" i="3" s="1"/>
  <c r="AC3021" i="3"/>
  <c r="N3021" i="3" s="1"/>
  <c r="AC3022" i="3"/>
  <c r="N3022" i="3" s="1"/>
  <c r="AC3023" i="3"/>
  <c r="N3023" i="3" s="1"/>
  <c r="AC3024" i="3"/>
  <c r="N3024" i="3" s="1"/>
  <c r="AC3025" i="3"/>
  <c r="N3025" i="3" s="1"/>
  <c r="AC3026" i="3"/>
  <c r="N3026" i="3" s="1"/>
  <c r="AK3016" i="3"/>
  <c r="AK3017" i="3"/>
  <c r="AK3018" i="3"/>
  <c r="AK3019" i="3"/>
  <c r="AK3020" i="3"/>
  <c r="AK3021" i="3"/>
  <c r="AK3022" i="3"/>
  <c r="AK3023" i="3"/>
  <c r="AK3024" i="3"/>
  <c r="AK3025" i="3"/>
  <c r="AK3026" i="3"/>
  <c r="M170" i="10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P2989" i="3"/>
  <c r="P2990" i="3"/>
  <c r="P2991" i="3"/>
  <c r="P2992" i="3"/>
  <c r="P2993" i="3"/>
  <c r="P2994" i="3"/>
  <c r="P2995" i="3"/>
  <c r="P2996" i="3"/>
  <c r="P2997" i="3"/>
  <c r="P2998" i="3"/>
  <c r="P2999" i="3"/>
  <c r="P3000" i="3"/>
  <c r="P3001" i="3"/>
  <c r="P3002" i="3"/>
  <c r="P3003" i="3"/>
  <c r="P3004" i="3"/>
  <c r="P3005" i="3"/>
  <c r="P3006" i="3"/>
  <c r="P3007" i="3"/>
  <c r="P3008" i="3"/>
  <c r="P3009" i="3"/>
  <c r="P3010" i="3"/>
  <c r="P3011" i="3"/>
  <c r="P3012" i="3"/>
  <c r="P3013" i="3"/>
  <c r="P3014" i="3"/>
  <c r="P3015" i="3"/>
  <c r="Q2989" i="3"/>
  <c r="Q2990" i="3"/>
  <c r="Q2991" i="3"/>
  <c r="Q2992" i="3"/>
  <c r="Q2993" i="3"/>
  <c r="Q2994" i="3"/>
  <c r="Q2995" i="3"/>
  <c r="Q2996" i="3"/>
  <c r="Q2997" i="3"/>
  <c r="Q2998" i="3"/>
  <c r="Q2999" i="3"/>
  <c r="Q3000" i="3"/>
  <c r="Q3001" i="3"/>
  <c r="Q3002" i="3"/>
  <c r="Q3003" i="3"/>
  <c r="Q3004" i="3"/>
  <c r="Q3005" i="3"/>
  <c r="Q3006" i="3"/>
  <c r="Q3007" i="3"/>
  <c r="Q3008" i="3"/>
  <c r="Q3009" i="3"/>
  <c r="Q3010" i="3"/>
  <c r="Q3011" i="3"/>
  <c r="Q3012" i="3"/>
  <c r="Q3013" i="3"/>
  <c r="Q3014" i="3"/>
  <c r="Q3015" i="3"/>
  <c r="R2989" i="3"/>
  <c r="R2990" i="3"/>
  <c r="R2991" i="3"/>
  <c r="R2992" i="3"/>
  <c r="R2993" i="3"/>
  <c r="R2994" i="3"/>
  <c r="R2995" i="3"/>
  <c r="R2996" i="3"/>
  <c r="R2997" i="3"/>
  <c r="R2998" i="3"/>
  <c r="R2999" i="3"/>
  <c r="R3000" i="3"/>
  <c r="R3001" i="3"/>
  <c r="R3002" i="3"/>
  <c r="R3003" i="3"/>
  <c r="R3004" i="3"/>
  <c r="R3005" i="3"/>
  <c r="R3006" i="3"/>
  <c r="R3007" i="3"/>
  <c r="R3008" i="3"/>
  <c r="R3009" i="3"/>
  <c r="R3010" i="3"/>
  <c r="R3011" i="3"/>
  <c r="R3012" i="3"/>
  <c r="R3013" i="3"/>
  <c r="R3014" i="3"/>
  <c r="R3015" i="3"/>
  <c r="S2990" i="3"/>
  <c r="S2991" i="3"/>
  <c r="S2992" i="3"/>
  <c r="S2993" i="3"/>
  <c r="S2994" i="3"/>
  <c r="S2995" i="3"/>
  <c r="S2996" i="3"/>
  <c r="S2997" i="3"/>
  <c r="S2998" i="3"/>
  <c r="S2999" i="3"/>
  <c r="S3000" i="3"/>
  <c r="S3001" i="3"/>
  <c r="S3003" i="3"/>
  <c r="S3004" i="3"/>
  <c r="S3005" i="3"/>
  <c r="S3006" i="3"/>
  <c r="S3007" i="3"/>
  <c r="S3008" i="3"/>
  <c r="S3009" i="3"/>
  <c r="S3010" i="3"/>
  <c r="S3011" i="3"/>
  <c r="S3012" i="3"/>
  <c r="S3013" i="3"/>
  <c r="S3014" i="3"/>
  <c r="S3015" i="3"/>
  <c r="T2989" i="3"/>
  <c r="T3002" i="3"/>
  <c r="U2989" i="3"/>
  <c r="U3002" i="3"/>
  <c r="V2989" i="3"/>
  <c r="V3002" i="3"/>
  <c r="W2989" i="3"/>
  <c r="W3002" i="3"/>
  <c r="X2989" i="3"/>
  <c r="X3002" i="3"/>
  <c r="AA2989" i="3"/>
  <c r="AA2990" i="3"/>
  <c r="AA2991" i="3"/>
  <c r="AA2992" i="3"/>
  <c r="AA2993" i="3"/>
  <c r="AA2994" i="3"/>
  <c r="AA2995" i="3"/>
  <c r="AA2996" i="3"/>
  <c r="AA2997" i="3"/>
  <c r="AA2998" i="3"/>
  <c r="AA2999" i="3"/>
  <c r="AA3000" i="3"/>
  <c r="AA3001" i="3"/>
  <c r="AA3002" i="3"/>
  <c r="AA3003" i="3"/>
  <c r="AA3004" i="3"/>
  <c r="AA3005" i="3"/>
  <c r="AA3006" i="3"/>
  <c r="AA3007" i="3"/>
  <c r="AA3008" i="3"/>
  <c r="AA3009" i="3"/>
  <c r="AA3010" i="3"/>
  <c r="AA3011" i="3"/>
  <c r="AA3012" i="3"/>
  <c r="AA3013" i="3"/>
  <c r="AA3014" i="3"/>
  <c r="AA3015" i="3"/>
  <c r="AB2989" i="3"/>
  <c r="O2989" i="3" s="1"/>
  <c r="Y2989" i="3" s="1"/>
  <c r="AB2990" i="3"/>
  <c r="O2990" i="3" s="1"/>
  <c r="AB2991" i="3"/>
  <c r="O2991" i="3" s="1"/>
  <c r="AB2992" i="3"/>
  <c r="O2992" i="3" s="1"/>
  <c r="AB2993" i="3"/>
  <c r="O2993" i="3" s="1"/>
  <c r="AB2994" i="3"/>
  <c r="O2994" i="3" s="1"/>
  <c r="AB2995" i="3"/>
  <c r="O2995" i="3" s="1"/>
  <c r="AB2996" i="3"/>
  <c r="O2996" i="3" s="1"/>
  <c r="AB2997" i="3"/>
  <c r="O2997" i="3" s="1"/>
  <c r="AB2998" i="3"/>
  <c r="O2998" i="3" s="1"/>
  <c r="AB2999" i="3"/>
  <c r="O2999" i="3" s="1"/>
  <c r="AB3000" i="3"/>
  <c r="O3000" i="3" s="1"/>
  <c r="AB3001" i="3"/>
  <c r="O3001" i="3" s="1"/>
  <c r="AB3002" i="3"/>
  <c r="O3002" i="3" s="1"/>
  <c r="AB3003" i="3"/>
  <c r="O3003" i="3" s="1"/>
  <c r="AB3004" i="3"/>
  <c r="O3004" i="3" s="1"/>
  <c r="AB3005" i="3"/>
  <c r="O3005" i="3" s="1"/>
  <c r="AB3006" i="3"/>
  <c r="O3006" i="3" s="1"/>
  <c r="AB3007" i="3"/>
  <c r="O3007" i="3" s="1"/>
  <c r="AB3008" i="3"/>
  <c r="O3008" i="3" s="1"/>
  <c r="AB3009" i="3"/>
  <c r="O3009" i="3" s="1"/>
  <c r="AB3010" i="3"/>
  <c r="O3010" i="3" s="1"/>
  <c r="AB3011" i="3"/>
  <c r="O3011" i="3" s="1"/>
  <c r="AB3012" i="3"/>
  <c r="O3012" i="3" s="1"/>
  <c r="AB3013" i="3"/>
  <c r="O3013" i="3" s="1"/>
  <c r="AB3014" i="3"/>
  <c r="O3014" i="3" s="1"/>
  <c r="AB3015" i="3"/>
  <c r="O3015" i="3" s="1"/>
  <c r="AC2989" i="3"/>
  <c r="N2989" i="3" s="1"/>
  <c r="AC2990" i="3"/>
  <c r="N2990" i="3" s="1"/>
  <c r="AC2991" i="3"/>
  <c r="N2991" i="3" s="1"/>
  <c r="AC2992" i="3"/>
  <c r="N2992" i="3" s="1"/>
  <c r="AC2993" i="3"/>
  <c r="N2993" i="3" s="1"/>
  <c r="AC2994" i="3"/>
  <c r="N2994" i="3" s="1"/>
  <c r="AC2995" i="3"/>
  <c r="N2995" i="3" s="1"/>
  <c r="AC2996" i="3"/>
  <c r="N2996" i="3" s="1"/>
  <c r="AC2997" i="3"/>
  <c r="N2997" i="3" s="1"/>
  <c r="AC2998" i="3"/>
  <c r="N2998" i="3" s="1"/>
  <c r="AC2999" i="3"/>
  <c r="N2999" i="3" s="1"/>
  <c r="AC3000" i="3"/>
  <c r="N3000" i="3" s="1"/>
  <c r="AC3001" i="3"/>
  <c r="N3001" i="3" s="1"/>
  <c r="AC3002" i="3"/>
  <c r="N3002" i="3" s="1"/>
  <c r="AC3003" i="3"/>
  <c r="N3003" i="3" s="1"/>
  <c r="AC3004" i="3"/>
  <c r="N3004" i="3" s="1"/>
  <c r="AC3005" i="3"/>
  <c r="N3005" i="3" s="1"/>
  <c r="AC3006" i="3"/>
  <c r="N3006" i="3" s="1"/>
  <c r="AC3007" i="3"/>
  <c r="N3007" i="3" s="1"/>
  <c r="AC3008" i="3"/>
  <c r="N3008" i="3" s="1"/>
  <c r="AC3009" i="3"/>
  <c r="N3009" i="3" s="1"/>
  <c r="AC3010" i="3"/>
  <c r="N3010" i="3" s="1"/>
  <c r="AC3011" i="3"/>
  <c r="N3011" i="3" s="1"/>
  <c r="AC3012" i="3"/>
  <c r="N3012" i="3" s="1"/>
  <c r="AC3013" i="3"/>
  <c r="N3013" i="3" s="1"/>
  <c r="AC3014" i="3"/>
  <c r="N3014" i="3" s="1"/>
  <c r="AC3015" i="3"/>
  <c r="N3015" i="3" s="1"/>
  <c r="AK2989" i="3"/>
  <c r="AK2990" i="3"/>
  <c r="AK2991" i="3"/>
  <c r="AK2992" i="3"/>
  <c r="AK2993" i="3"/>
  <c r="AK2994" i="3"/>
  <c r="AK2995" i="3"/>
  <c r="AK2996" i="3"/>
  <c r="AK2997" i="3"/>
  <c r="AK2998" i="3"/>
  <c r="AK2999" i="3"/>
  <c r="AK3000" i="3"/>
  <c r="AK3001" i="3"/>
  <c r="AK3002" i="3"/>
  <c r="AK3003" i="3"/>
  <c r="AK3004" i="3"/>
  <c r="AK3005" i="3"/>
  <c r="AK3006" i="3"/>
  <c r="AK3007" i="3"/>
  <c r="AK3008" i="3"/>
  <c r="AK3009" i="3"/>
  <c r="AK3010" i="3"/>
  <c r="AK3011" i="3"/>
  <c r="AK3012" i="3"/>
  <c r="AK3013" i="3"/>
  <c r="AK3014" i="3"/>
  <c r="AK3015" i="3"/>
  <c r="M169" i="10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P2964" i="3"/>
  <c r="P2965" i="3"/>
  <c r="P2966" i="3"/>
  <c r="P2967" i="3"/>
  <c r="P2968" i="3"/>
  <c r="P2969" i="3"/>
  <c r="P2970" i="3"/>
  <c r="P2971" i="3"/>
  <c r="P2972" i="3"/>
  <c r="P2973" i="3"/>
  <c r="P2974" i="3"/>
  <c r="P2975" i="3"/>
  <c r="P2976" i="3"/>
  <c r="P2977" i="3"/>
  <c r="P2978" i="3"/>
  <c r="P2979" i="3"/>
  <c r="P2980" i="3"/>
  <c r="P2981" i="3"/>
  <c r="P2982" i="3"/>
  <c r="P2983" i="3"/>
  <c r="P2984" i="3"/>
  <c r="P2985" i="3"/>
  <c r="P2986" i="3"/>
  <c r="P2987" i="3"/>
  <c r="P2988" i="3"/>
  <c r="Q2964" i="3"/>
  <c r="Q2965" i="3"/>
  <c r="Q2966" i="3"/>
  <c r="Q2967" i="3"/>
  <c r="Q2968" i="3"/>
  <c r="Q2969" i="3"/>
  <c r="Q2970" i="3"/>
  <c r="Q2971" i="3"/>
  <c r="Q2972" i="3"/>
  <c r="Q2973" i="3"/>
  <c r="Q2974" i="3"/>
  <c r="Q2975" i="3"/>
  <c r="Q2976" i="3"/>
  <c r="Q2977" i="3"/>
  <c r="Q2978" i="3"/>
  <c r="Q2979" i="3"/>
  <c r="Q2980" i="3"/>
  <c r="Q2981" i="3"/>
  <c r="Q2982" i="3"/>
  <c r="Q2983" i="3"/>
  <c r="Q2984" i="3"/>
  <c r="Q2985" i="3"/>
  <c r="Q2986" i="3"/>
  <c r="Q2987" i="3"/>
  <c r="Q2988" i="3"/>
  <c r="R2964" i="3"/>
  <c r="R2965" i="3"/>
  <c r="R2966" i="3"/>
  <c r="R2967" i="3"/>
  <c r="R2968" i="3"/>
  <c r="R2969" i="3"/>
  <c r="R2970" i="3"/>
  <c r="R2971" i="3"/>
  <c r="R2972" i="3"/>
  <c r="R2973" i="3"/>
  <c r="R2974" i="3"/>
  <c r="R2975" i="3"/>
  <c r="R2976" i="3"/>
  <c r="R2977" i="3"/>
  <c r="R2978" i="3"/>
  <c r="R2979" i="3"/>
  <c r="R2980" i="3"/>
  <c r="R2981" i="3"/>
  <c r="R2982" i="3"/>
  <c r="R2983" i="3"/>
  <c r="R2984" i="3"/>
  <c r="R2985" i="3"/>
  <c r="R2986" i="3"/>
  <c r="R2987" i="3"/>
  <c r="R2988" i="3"/>
  <c r="S2965" i="3"/>
  <c r="S2966" i="3"/>
  <c r="S2967" i="3"/>
  <c r="S2968" i="3"/>
  <c r="S2969" i="3"/>
  <c r="S2970" i="3"/>
  <c r="S2971" i="3"/>
  <c r="S2972" i="3"/>
  <c r="S2973" i="3"/>
  <c r="S2974" i="3"/>
  <c r="S2975" i="3"/>
  <c r="S2976" i="3"/>
  <c r="S2977" i="3"/>
  <c r="S2979" i="3"/>
  <c r="S2980" i="3"/>
  <c r="S2981" i="3"/>
  <c r="S2982" i="3"/>
  <c r="S2983" i="3"/>
  <c r="S2984" i="3"/>
  <c r="S2985" i="3"/>
  <c r="S2986" i="3"/>
  <c r="S2987" i="3"/>
  <c r="S2988" i="3"/>
  <c r="T2964" i="3"/>
  <c r="T2978" i="3"/>
  <c r="U2964" i="3"/>
  <c r="U2978" i="3"/>
  <c r="V2964" i="3"/>
  <c r="V2978" i="3"/>
  <c r="W2964" i="3"/>
  <c r="W2978" i="3"/>
  <c r="X2964" i="3"/>
  <c r="X2978" i="3"/>
  <c r="AA2964" i="3"/>
  <c r="AA2965" i="3"/>
  <c r="AA2966" i="3"/>
  <c r="AA2967" i="3"/>
  <c r="AA2968" i="3"/>
  <c r="AA2969" i="3"/>
  <c r="AA2970" i="3"/>
  <c r="AA2971" i="3"/>
  <c r="AA2972" i="3"/>
  <c r="AA2973" i="3"/>
  <c r="AA2974" i="3"/>
  <c r="AA2975" i="3"/>
  <c r="AA2976" i="3"/>
  <c r="AA2977" i="3"/>
  <c r="AA2978" i="3"/>
  <c r="AA2979" i="3"/>
  <c r="AA2980" i="3"/>
  <c r="AA2981" i="3"/>
  <c r="AA2982" i="3"/>
  <c r="AA2983" i="3"/>
  <c r="AA2984" i="3"/>
  <c r="AA2985" i="3"/>
  <c r="AA2986" i="3"/>
  <c r="AA2987" i="3"/>
  <c r="AA2988" i="3"/>
  <c r="AB2964" i="3"/>
  <c r="O2964" i="3" s="1"/>
  <c r="Y2964" i="3" s="1"/>
  <c r="AB2965" i="3"/>
  <c r="O2965" i="3" s="1"/>
  <c r="AB2966" i="3"/>
  <c r="O2966" i="3" s="1"/>
  <c r="AB2967" i="3"/>
  <c r="O2967" i="3" s="1"/>
  <c r="AB2968" i="3"/>
  <c r="O2968" i="3" s="1"/>
  <c r="AB2969" i="3"/>
  <c r="O2969" i="3" s="1"/>
  <c r="AB2970" i="3"/>
  <c r="O2970" i="3" s="1"/>
  <c r="AB2971" i="3"/>
  <c r="O2971" i="3" s="1"/>
  <c r="AB2972" i="3"/>
  <c r="O2972" i="3" s="1"/>
  <c r="AB2973" i="3"/>
  <c r="O2973" i="3" s="1"/>
  <c r="AB2974" i="3"/>
  <c r="O2974" i="3" s="1"/>
  <c r="AB2975" i="3"/>
  <c r="O2975" i="3" s="1"/>
  <c r="AB2976" i="3"/>
  <c r="O2976" i="3" s="1"/>
  <c r="AB2977" i="3"/>
  <c r="O2977" i="3" s="1"/>
  <c r="AB2978" i="3"/>
  <c r="O2978" i="3" s="1"/>
  <c r="Y2978" i="3" s="1"/>
  <c r="AB2979" i="3"/>
  <c r="O2979" i="3" s="1"/>
  <c r="AB2980" i="3"/>
  <c r="O2980" i="3" s="1"/>
  <c r="AB2981" i="3"/>
  <c r="O2981" i="3" s="1"/>
  <c r="AB2982" i="3"/>
  <c r="O2982" i="3" s="1"/>
  <c r="AB2983" i="3"/>
  <c r="O2983" i="3" s="1"/>
  <c r="AB2984" i="3"/>
  <c r="O2984" i="3" s="1"/>
  <c r="AB2985" i="3"/>
  <c r="O2985" i="3" s="1"/>
  <c r="AB2986" i="3"/>
  <c r="O2986" i="3" s="1"/>
  <c r="AB2987" i="3"/>
  <c r="O2987" i="3" s="1"/>
  <c r="AB2988" i="3"/>
  <c r="O2988" i="3" s="1"/>
  <c r="AC2964" i="3"/>
  <c r="N2964" i="3" s="1"/>
  <c r="AC2965" i="3"/>
  <c r="N2965" i="3" s="1"/>
  <c r="AC2966" i="3"/>
  <c r="N2966" i="3" s="1"/>
  <c r="AC2967" i="3"/>
  <c r="N2967" i="3" s="1"/>
  <c r="AC2968" i="3"/>
  <c r="N2968" i="3" s="1"/>
  <c r="AC2969" i="3"/>
  <c r="N2969" i="3" s="1"/>
  <c r="AC2970" i="3"/>
  <c r="N2970" i="3" s="1"/>
  <c r="AC2971" i="3"/>
  <c r="N2971" i="3" s="1"/>
  <c r="AC2972" i="3"/>
  <c r="N2972" i="3" s="1"/>
  <c r="AC2973" i="3"/>
  <c r="N2973" i="3" s="1"/>
  <c r="AC2974" i="3"/>
  <c r="N2974" i="3" s="1"/>
  <c r="AC2975" i="3"/>
  <c r="N2975" i="3" s="1"/>
  <c r="AC2976" i="3"/>
  <c r="N2976" i="3" s="1"/>
  <c r="AC2977" i="3"/>
  <c r="N2977" i="3" s="1"/>
  <c r="AC2978" i="3"/>
  <c r="N2978" i="3" s="1"/>
  <c r="AC2979" i="3"/>
  <c r="N2979" i="3" s="1"/>
  <c r="AC2980" i="3"/>
  <c r="N2980" i="3" s="1"/>
  <c r="AC2981" i="3"/>
  <c r="N2981" i="3" s="1"/>
  <c r="AC2982" i="3"/>
  <c r="N2982" i="3" s="1"/>
  <c r="AC2983" i="3"/>
  <c r="N2983" i="3" s="1"/>
  <c r="AC2984" i="3"/>
  <c r="N2984" i="3" s="1"/>
  <c r="AC2985" i="3"/>
  <c r="N2985" i="3" s="1"/>
  <c r="AC2986" i="3"/>
  <c r="N2986" i="3" s="1"/>
  <c r="AC2987" i="3"/>
  <c r="N2987" i="3" s="1"/>
  <c r="AC2988" i="3"/>
  <c r="N2988" i="3" s="1"/>
  <c r="AK2964" i="3"/>
  <c r="AK2965" i="3"/>
  <c r="AK2966" i="3"/>
  <c r="AK2967" i="3"/>
  <c r="AK2968" i="3"/>
  <c r="AK2969" i="3"/>
  <c r="AK2970" i="3"/>
  <c r="AK2971" i="3"/>
  <c r="AK2972" i="3"/>
  <c r="AK2973" i="3"/>
  <c r="AK2974" i="3"/>
  <c r="AK2975" i="3"/>
  <c r="AK2976" i="3"/>
  <c r="AK2977" i="3"/>
  <c r="AK2978" i="3"/>
  <c r="AK2979" i="3"/>
  <c r="AK2980" i="3"/>
  <c r="AK2981" i="3"/>
  <c r="AK2982" i="3"/>
  <c r="AK2983" i="3"/>
  <c r="AK2984" i="3"/>
  <c r="AK2985" i="3"/>
  <c r="AK2986" i="3"/>
  <c r="AK2987" i="3"/>
  <c r="AK2988" i="3"/>
  <c r="M168" i="10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P2940" i="3"/>
  <c r="P2941" i="3"/>
  <c r="P2942" i="3"/>
  <c r="P2943" i="3"/>
  <c r="P2944" i="3"/>
  <c r="P2945" i="3"/>
  <c r="P2946" i="3"/>
  <c r="P2947" i="3"/>
  <c r="P2948" i="3"/>
  <c r="P2949" i="3"/>
  <c r="P2950" i="3"/>
  <c r="P2951" i="3"/>
  <c r="P2952" i="3"/>
  <c r="P2953" i="3"/>
  <c r="P2954" i="3"/>
  <c r="P2955" i="3"/>
  <c r="P2956" i="3"/>
  <c r="P2957" i="3"/>
  <c r="P2958" i="3"/>
  <c r="P2959" i="3"/>
  <c r="P2960" i="3"/>
  <c r="P2961" i="3"/>
  <c r="P2962" i="3"/>
  <c r="P2963" i="3"/>
  <c r="Q2940" i="3"/>
  <c r="Q2941" i="3"/>
  <c r="Q2942" i="3"/>
  <c r="Q2943" i="3"/>
  <c r="Q2944" i="3"/>
  <c r="Q2945" i="3"/>
  <c r="Q2946" i="3"/>
  <c r="Q2947" i="3"/>
  <c r="Q2948" i="3"/>
  <c r="Q2949" i="3"/>
  <c r="Q2950" i="3"/>
  <c r="Q2951" i="3"/>
  <c r="Q2952" i="3"/>
  <c r="Q2953" i="3"/>
  <c r="Q2954" i="3"/>
  <c r="Q2955" i="3"/>
  <c r="Q2956" i="3"/>
  <c r="Q2957" i="3"/>
  <c r="Q2958" i="3"/>
  <c r="Q2959" i="3"/>
  <c r="Q2960" i="3"/>
  <c r="Q2961" i="3"/>
  <c r="Q2962" i="3"/>
  <c r="Q2963" i="3"/>
  <c r="R2940" i="3"/>
  <c r="R2941" i="3"/>
  <c r="R2942" i="3"/>
  <c r="R2943" i="3"/>
  <c r="R2944" i="3"/>
  <c r="R2945" i="3"/>
  <c r="R2946" i="3"/>
  <c r="R2947" i="3"/>
  <c r="R2948" i="3"/>
  <c r="R2949" i="3"/>
  <c r="R2950" i="3"/>
  <c r="R2951" i="3"/>
  <c r="R2952" i="3"/>
  <c r="R2953" i="3"/>
  <c r="R2954" i="3"/>
  <c r="R2955" i="3"/>
  <c r="R2956" i="3"/>
  <c r="R2957" i="3"/>
  <c r="R2958" i="3"/>
  <c r="R2959" i="3"/>
  <c r="R2960" i="3"/>
  <c r="R2961" i="3"/>
  <c r="R2962" i="3"/>
  <c r="R2963" i="3"/>
  <c r="S2941" i="3"/>
  <c r="S2942" i="3"/>
  <c r="S2943" i="3"/>
  <c r="S2944" i="3"/>
  <c r="S2945" i="3"/>
  <c r="S2946" i="3"/>
  <c r="S2947" i="3"/>
  <c r="S2948" i="3"/>
  <c r="S2949" i="3"/>
  <c r="S2950" i="3"/>
  <c r="S2952" i="3"/>
  <c r="S2953" i="3"/>
  <c r="S2954" i="3"/>
  <c r="S2955" i="3"/>
  <c r="S2956" i="3"/>
  <c r="S2957" i="3"/>
  <c r="S2958" i="3"/>
  <c r="S2959" i="3"/>
  <c r="S2960" i="3"/>
  <c r="S2961" i="3"/>
  <c r="S2962" i="3"/>
  <c r="S2963" i="3"/>
  <c r="T2940" i="3"/>
  <c r="T2951" i="3"/>
  <c r="U2940" i="3"/>
  <c r="U2951" i="3"/>
  <c r="V2940" i="3"/>
  <c r="V2951" i="3"/>
  <c r="W2940" i="3"/>
  <c r="W2951" i="3"/>
  <c r="X2940" i="3"/>
  <c r="X2951" i="3"/>
  <c r="AA2940" i="3"/>
  <c r="AA2941" i="3"/>
  <c r="AA2942" i="3"/>
  <c r="AA2943" i="3"/>
  <c r="AA2944" i="3"/>
  <c r="AA2945" i="3"/>
  <c r="AA2946" i="3"/>
  <c r="AA2947" i="3"/>
  <c r="AA2948" i="3"/>
  <c r="AA2949" i="3"/>
  <c r="AA2950" i="3"/>
  <c r="AA2951" i="3"/>
  <c r="AA2952" i="3"/>
  <c r="AA2953" i="3"/>
  <c r="AA2954" i="3"/>
  <c r="AA2955" i="3"/>
  <c r="AA2956" i="3"/>
  <c r="AA2957" i="3"/>
  <c r="AA2958" i="3"/>
  <c r="AA2959" i="3"/>
  <c r="AA2960" i="3"/>
  <c r="AA2961" i="3"/>
  <c r="AA2962" i="3"/>
  <c r="AA2963" i="3"/>
  <c r="AB2940" i="3"/>
  <c r="O2940" i="3" s="1"/>
  <c r="AB2941" i="3"/>
  <c r="O2941" i="3" s="1"/>
  <c r="AB2942" i="3"/>
  <c r="O2942" i="3" s="1"/>
  <c r="AB2943" i="3"/>
  <c r="O2943" i="3" s="1"/>
  <c r="AB2944" i="3"/>
  <c r="O2944" i="3" s="1"/>
  <c r="AB2945" i="3"/>
  <c r="O2945" i="3" s="1"/>
  <c r="AB2946" i="3"/>
  <c r="O2946" i="3" s="1"/>
  <c r="AB2947" i="3"/>
  <c r="O2947" i="3" s="1"/>
  <c r="AB2948" i="3"/>
  <c r="O2948" i="3" s="1"/>
  <c r="AB2949" i="3"/>
  <c r="O2949" i="3" s="1"/>
  <c r="AB2950" i="3"/>
  <c r="O2950" i="3" s="1"/>
  <c r="AB2951" i="3"/>
  <c r="O2951" i="3" s="1"/>
  <c r="Y2951" i="3" s="1"/>
  <c r="AB2952" i="3"/>
  <c r="O2952" i="3" s="1"/>
  <c r="AB2953" i="3"/>
  <c r="O2953" i="3" s="1"/>
  <c r="AB2954" i="3"/>
  <c r="O2954" i="3" s="1"/>
  <c r="AB2955" i="3"/>
  <c r="O2955" i="3" s="1"/>
  <c r="AB2956" i="3"/>
  <c r="O2956" i="3" s="1"/>
  <c r="AB2957" i="3"/>
  <c r="O2957" i="3" s="1"/>
  <c r="AB2958" i="3"/>
  <c r="O2958" i="3" s="1"/>
  <c r="AB2959" i="3"/>
  <c r="O2959" i="3" s="1"/>
  <c r="AB2960" i="3"/>
  <c r="O2960" i="3" s="1"/>
  <c r="AB2961" i="3"/>
  <c r="O2961" i="3" s="1"/>
  <c r="AB2962" i="3"/>
  <c r="O2962" i="3" s="1"/>
  <c r="AB2963" i="3"/>
  <c r="O2963" i="3" s="1"/>
  <c r="AC2940" i="3"/>
  <c r="N2940" i="3" s="1"/>
  <c r="AC2941" i="3"/>
  <c r="N2941" i="3" s="1"/>
  <c r="AC2942" i="3"/>
  <c r="N2942" i="3" s="1"/>
  <c r="AC2943" i="3"/>
  <c r="N2943" i="3" s="1"/>
  <c r="AC2944" i="3"/>
  <c r="N2944" i="3" s="1"/>
  <c r="AC2945" i="3"/>
  <c r="N2945" i="3" s="1"/>
  <c r="AC2946" i="3"/>
  <c r="N2946" i="3" s="1"/>
  <c r="AC2947" i="3"/>
  <c r="N2947" i="3" s="1"/>
  <c r="AC2948" i="3"/>
  <c r="N2948" i="3" s="1"/>
  <c r="AC2949" i="3"/>
  <c r="N2949" i="3" s="1"/>
  <c r="AC2950" i="3"/>
  <c r="N2950" i="3" s="1"/>
  <c r="AC2951" i="3"/>
  <c r="N2951" i="3" s="1"/>
  <c r="S2951" i="3" s="1"/>
  <c r="AC2952" i="3"/>
  <c r="N2952" i="3" s="1"/>
  <c r="AC2953" i="3"/>
  <c r="N2953" i="3" s="1"/>
  <c r="AC2954" i="3"/>
  <c r="N2954" i="3" s="1"/>
  <c r="AC2955" i="3"/>
  <c r="N2955" i="3" s="1"/>
  <c r="AC2956" i="3"/>
  <c r="N2956" i="3" s="1"/>
  <c r="AC2957" i="3"/>
  <c r="N2957" i="3" s="1"/>
  <c r="AC2958" i="3"/>
  <c r="N2958" i="3" s="1"/>
  <c r="AC2959" i="3"/>
  <c r="N2959" i="3" s="1"/>
  <c r="AC2960" i="3"/>
  <c r="N2960" i="3" s="1"/>
  <c r="AC2961" i="3"/>
  <c r="N2961" i="3" s="1"/>
  <c r="AC2962" i="3"/>
  <c r="N2962" i="3" s="1"/>
  <c r="AC2963" i="3"/>
  <c r="N2963" i="3" s="1"/>
  <c r="AK2940" i="3"/>
  <c r="AK2941" i="3"/>
  <c r="AK2942" i="3"/>
  <c r="AK2943" i="3"/>
  <c r="AK2944" i="3"/>
  <c r="AK2945" i="3"/>
  <c r="AK2946" i="3"/>
  <c r="AK2947" i="3"/>
  <c r="AK2948" i="3"/>
  <c r="AK2949" i="3"/>
  <c r="AK2950" i="3"/>
  <c r="AK2951" i="3"/>
  <c r="AK2952" i="3"/>
  <c r="AK2953" i="3"/>
  <c r="AK2954" i="3"/>
  <c r="AK2955" i="3"/>
  <c r="AK2956" i="3"/>
  <c r="AK2957" i="3"/>
  <c r="AK2958" i="3"/>
  <c r="AK2959" i="3"/>
  <c r="AK2960" i="3"/>
  <c r="AK2961" i="3"/>
  <c r="AK2962" i="3"/>
  <c r="AK2963" i="3"/>
  <c r="M167" i="10"/>
  <c r="M2929" i="3"/>
  <c r="M2930" i="3"/>
  <c r="M2931" i="3"/>
  <c r="M2932" i="3"/>
  <c r="M2933" i="3"/>
  <c r="M2934" i="3"/>
  <c r="M2935" i="3"/>
  <c r="M2936" i="3"/>
  <c r="M2937" i="3"/>
  <c r="M2938" i="3"/>
  <c r="M2939" i="3"/>
  <c r="P2929" i="3"/>
  <c r="P2930" i="3"/>
  <c r="P2931" i="3"/>
  <c r="P2932" i="3"/>
  <c r="P2933" i="3"/>
  <c r="P2934" i="3"/>
  <c r="P2935" i="3"/>
  <c r="P2936" i="3"/>
  <c r="P2937" i="3"/>
  <c r="P2938" i="3"/>
  <c r="P2939" i="3"/>
  <c r="Q2929" i="3"/>
  <c r="Q2930" i="3"/>
  <c r="Q2931" i="3"/>
  <c r="Q2932" i="3"/>
  <c r="Q2933" i="3"/>
  <c r="Q2934" i="3"/>
  <c r="Q2935" i="3"/>
  <c r="Q2936" i="3"/>
  <c r="Q2937" i="3"/>
  <c r="Q2938" i="3"/>
  <c r="Q2939" i="3"/>
  <c r="R2929" i="3"/>
  <c r="R2930" i="3"/>
  <c r="R2931" i="3"/>
  <c r="R2932" i="3"/>
  <c r="R2933" i="3"/>
  <c r="R2934" i="3"/>
  <c r="R2935" i="3"/>
  <c r="R2936" i="3"/>
  <c r="R2937" i="3"/>
  <c r="R2938" i="3"/>
  <c r="R2939" i="3"/>
  <c r="S2930" i="3"/>
  <c r="S2931" i="3"/>
  <c r="S2932" i="3"/>
  <c r="S2933" i="3"/>
  <c r="S2934" i="3"/>
  <c r="S2935" i="3"/>
  <c r="S2936" i="3"/>
  <c r="S2937" i="3"/>
  <c r="S2938" i="3"/>
  <c r="S2939" i="3"/>
  <c r="T2929" i="3"/>
  <c r="U2929" i="3"/>
  <c r="V2929" i="3"/>
  <c r="W2929" i="3"/>
  <c r="X2929" i="3"/>
  <c r="AA2929" i="3"/>
  <c r="AA2930" i="3"/>
  <c r="AA2931" i="3"/>
  <c r="AA2932" i="3"/>
  <c r="AA2933" i="3"/>
  <c r="AA2934" i="3"/>
  <c r="AA2935" i="3"/>
  <c r="AA2936" i="3"/>
  <c r="AA2937" i="3"/>
  <c r="AA2938" i="3"/>
  <c r="AA2939" i="3"/>
  <c r="AB2929" i="3"/>
  <c r="O2929" i="3" s="1"/>
  <c r="Y2929" i="3" s="1"/>
  <c r="AB2930" i="3"/>
  <c r="O2930" i="3" s="1"/>
  <c r="AB2931" i="3"/>
  <c r="O2931" i="3" s="1"/>
  <c r="AB2932" i="3"/>
  <c r="O2932" i="3" s="1"/>
  <c r="AB2933" i="3"/>
  <c r="O2933" i="3" s="1"/>
  <c r="AB2934" i="3"/>
  <c r="O2934" i="3" s="1"/>
  <c r="AB2935" i="3"/>
  <c r="O2935" i="3" s="1"/>
  <c r="AB2936" i="3"/>
  <c r="O2936" i="3" s="1"/>
  <c r="AB2937" i="3"/>
  <c r="O2937" i="3" s="1"/>
  <c r="AB2938" i="3"/>
  <c r="O2938" i="3" s="1"/>
  <c r="AB2939" i="3"/>
  <c r="O2939" i="3" s="1"/>
  <c r="AC2929" i="3"/>
  <c r="N2929" i="3" s="1"/>
  <c r="AC2930" i="3"/>
  <c r="N2930" i="3" s="1"/>
  <c r="AC2931" i="3"/>
  <c r="N2931" i="3" s="1"/>
  <c r="AC2932" i="3"/>
  <c r="N2932" i="3" s="1"/>
  <c r="AC2933" i="3"/>
  <c r="N2933" i="3" s="1"/>
  <c r="AC2934" i="3"/>
  <c r="N2934" i="3" s="1"/>
  <c r="AC2935" i="3"/>
  <c r="N2935" i="3" s="1"/>
  <c r="AC2936" i="3"/>
  <c r="N2936" i="3" s="1"/>
  <c r="AC2937" i="3"/>
  <c r="N2937" i="3" s="1"/>
  <c r="AC2938" i="3"/>
  <c r="N2938" i="3" s="1"/>
  <c r="AC2939" i="3"/>
  <c r="N2939" i="3" s="1"/>
  <c r="AK2929" i="3"/>
  <c r="AK2930" i="3"/>
  <c r="AK2931" i="3"/>
  <c r="AK2932" i="3"/>
  <c r="AK2933" i="3"/>
  <c r="AK2934" i="3"/>
  <c r="AK2935" i="3"/>
  <c r="AK2936" i="3"/>
  <c r="AK2937" i="3"/>
  <c r="AK2938" i="3"/>
  <c r="AK2939" i="3"/>
  <c r="M166" i="10"/>
  <c r="M2918" i="3"/>
  <c r="M2919" i="3"/>
  <c r="M2920" i="3"/>
  <c r="M2921" i="3"/>
  <c r="M2922" i="3"/>
  <c r="M2923" i="3"/>
  <c r="M2924" i="3"/>
  <c r="M2925" i="3"/>
  <c r="M2926" i="3"/>
  <c r="M2927" i="3"/>
  <c r="M2928" i="3"/>
  <c r="P2918" i="3"/>
  <c r="P2919" i="3"/>
  <c r="P2920" i="3"/>
  <c r="P2921" i="3"/>
  <c r="P2922" i="3"/>
  <c r="P2923" i="3"/>
  <c r="P2924" i="3"/>
  <c r="P2925" i="3"/>
  <c r="P2926" i="3"/>
  <c r="P2927" i="3"/>
  <c r="P2928" i="3"/>
  <c r="Q2918" i="3"/>
  <c r="Q2919" i="3"/>
  <c r="Q2920" i="3"/>
  <c r="Q2921" i="3"/>
  <c r="Q2922" i="3"/>
  <c r="Q2923" i="3"/>
  <c r="Q2924" i="3"/>
  <c r="Q2925" i="3"/>
  <c r="Q2926" i="3"/>
  <c r="Q2927" i="3"/>
  <c r="Q2928" i="3"/>
  <c r="R2918" i="3"/>
  <c r="R2919" i="3"/>
  <c r="R2920" i="3"/>
  <c r="R2921" i="3"/>
  <c r="R2922" i="3"/>
  <c r="R2923" i="3"/>
  <c r="R2924" i="3"/>
  <c r="R2925" i="3"/>
  <c r="R2926" i="3"/>
  <c r="R2927" i="3"/>
  <c r="R2928" i="3"/>
  <c r="S2919" i="3"/>
  <c r="S2920" i="3"/>
  <c r="S2921" i="3"/>
  <c r="S2922" i="3"/>
  <c r="S2923" i="3"/>
  <c r="S2924" i="3"/>
  <c r="S2925" i="3"/>
  <c r="S2926" i="3"/>
  <c r="S2927" i="3"/>
  <c r="S2928" i="3"/>
  <c r="T2918" i="3"/>
  <c r="U2918" i="3"/>
  <c r="V2918" i="3"/>
  <c r="W2918" i="3"/>
  <c r="X2918" i="3"/>
  <c r="AA2918" i="3"/>
  <c r="AA2919" i="3"/>
  <c r="AA2920" i="3"/>
  <c r="AA2921" i="3"/>
  <c r="AA2922" i="3"/>
  <c r="AA2923" i="3"/>
  <c r="AA2924" i="3"/>
  <c r="AA2925" i="3"/>
  <c r="AA2926" i="3"/>
  <c r="AA2927" i="3"/>
  <c r="AA2928" i="3"/>
  <c r="AB2918" i="3"/>
  <c r="O2918" i="3" s="1"/>
  <c r="Y2918" i="3" s="1"/>
  <c r="AB2919" i="3"/>
  <c r="O2919" i="3" s="1"/>
  <c r="AB2920" i="3"/>
  <c r="O2920" i="3" s="1"/>
  <c r="AB2921" i="3"/>
  <c r="O2921" i="3" s="1"/>
  <c r="AB2922" i="3"/>
  <c r="O2922" i="3" s="1"/>
  <c r="AB2923" i="3"/>
  <c r="O2923" i="3" s="1"/>
  <c r="AB2924" i="3"/>
  <c r="O2924" i="3" s="1"/>
  <c r="AB2925" i="3"/>
  <c r="O2925" i="3" s="1"/>
  <c r="AB2926" i="3"/>
  <c r="O2926" i="3" s="1"/>
  <c r="AB2927" i="3"/>
  <c r="O2927" i="3" s="1"/>
  <c r="AB2928" i="3"/>
  <c r="O2928" i="3" s="1"/>
  <c r="AC2918" i="3"/>
  <c r="N2918" i="3" s="1"/>
  <c r="AC2919" i="3"/>
  <c r="N2919" i="3" s="1"/>
  <c r="AC2920" i="3"/>
  <c r="N2920" i="3" s="1"/>
  <c r="AC2921" i="3"/>
  <c r="N2921" i="3" s="1"/>
  <c r="AC2922" i="3"/>
  <c r="N2922" i="3" s="1"/>
  <c r="AC2923" i="3"/>
  <c r="N2923" i="3" s="1"/>
  <c r="AC2924" i="3"/>
  <c r="N2924" i="3" s="1"/>
  <c r="AC2925" i="3"/>
  <c r="N2925" i="3" s="1"/>
  <c r="AC2926" i="3"/>
  <c r="N2926" i="3" s="1"/>
  <c r="AC2927" i="3"/>
  <c r="N2927" i="3" s="1"/>
  <c r="AC2928" i="3"/>
  <c r="N2928" i="3" s="1"/>
  <c r="AK2918" i="3"/>
  <c r="AK2919" i="3"/>
  <c r="AK2920" i="3"/>
  <c r="AK2921" i="3"/>
  <c r="AK2922" i="3"/>
  <c r="AK2923" i="3"/>
  <c r="AK2924" i="3"/>
  <c r="AK2925" i="3"/>
  <c r="AK2926" i="3"/>
  <c r="AK2927" i="3"/>
  <c r="AK2928" i="3"/>
  <c r="M165" i="10"/>
  <c r="M2907" i="3"/>
  <c r="M2908" i="3"/>
  <c r="M2909" i="3"/>
  <c r="M2910" i="3"/>
  <c r="M2911" i="3"/>
  <c r="M2912" i="3"/>
  <c r="M2913" i="3"/>
  <c r="M2914" i="3"/>
  <c r="M2915" i="3"/>
  <c r="M2916" i="3"/>
  <c r="M2917" i="3"/>
  <c r="P2907" i="3"/>
  <c r="P2908" i="3"/>
  <c r="P2909" i="3"/>
  <c r="P2910" i="3"/>
  <c r="P2911" i="3"/>
  <c r="P2912" i="3"/>
  <c r="P2913" i="3"/>
  <c r="P2914" i="3"/>
  <c r="P2915" i="3"/>
  <c r="P2916" i="3"/>
  <c r="P2917" i="3"/>
  <c r="Q2907" i="3"/>
  <c r="Q2908" i="3"/>
  <c r="Q2909" i="3"/>
  <c r="Q2910" i="3"/>
  <c r="Q2911" i="3"/>
  <c r="Q2912" i="3"/>
  <c r="Q2913" i="3"/>
  <c r="Q2914" i="3"/>
  <c r="Q2915" i="3"/>
  <c r="Q2916" i="3"/>
  <c r="Q2917" i="3"/>
  <c r="R2907" i="3"/>
  <c r="R2908" i="3"/>
  <c r="R2909" i="3"/>
  <c r="R2910" i="3"/>
  <c r="R2911" i="3"/>
  <c r="R2912" i="3"/>
  <c r="R2913" i="3"/>
  <c r="R2914" i="3"/>
  <c r="R2915" i="3"/>
  <c r="R2916" i="3"/>
  <c r="R2917" i="3"/>
  <c r="S2908" i="3"/>
  <c r="S2909" i="3"/>
  <c r="S2910" i="3"/>
  <c r="S2911" i="3"/>
  <c r="S2912" i="3"/>
  <c r="S2913" i="3"/>
  <c r="S2914" i="3"/>
  <c r="S2915" i="3"/>
  <c r="S2916" i="3"/>
  <c r="S2917" i="3"/>
  <c r="T2907" i="3"/>
  <c r="U2907" i="3"/>
  <c r="V2907" i="3"/>
  <c r="W2907" i="3"/>
  <c r="X2907" i="3"/>
  <c r="AA2907" i="3"/>
  <c r="AA2908" i="3"/>
  <c r="AA2909" i="3"/>
  <c r="AA2910" i="3"/>
  <c r="AA2911" i="3"/>
  <c r="AA2912" i="3"/>
  <c r="AA2913" i="3"/>
  <c r="AA2914" i="3"/>
  <c r="AA2915" i="3"/>
  <c r="AA2916" i="3"/>
  <c r="AA2917" i="3"/>
  <c r="AB2907" i="3"/>
  <c r="O2907" i="3" s="1"/>
  <c r="Y2907" i="3" s="1"/>
  <c r="AB2908" i="3"/>
  <c r="O2908" i="3" s="1"/>
  <c r="AB2909" i="3"/>
  <c r="O2909" i="3" s="1"/>
  <c r="AB2910" i="3"/>
  <c r="O2910" i="3" s="1"/>
  <c r="AB2911" i="3"/>
  <c r="O2911" i="3" s="1"/>
  <c r="AB2912" i="3"/>
  <c r="O2912" i="3" s="1"/>
  <c r="AB2913" i="3"/>
  <c r="O2913" i="3" s="1"/>
  <c r="AB2914" i="3"/>
  <c r="O2914" i="3" s="1"/>
  <c r="AB2915" i="3"/>
  <c r="O2915" i="3" s="1"/>
  <c r="AB2916" i="3"/>
  <c r="O2916" i="3" s="1"/>
  <c r="AB2917" i="3"/>
  <c r="O2917" i="3" s="1"/>
  <c r="AC2907" i="3"/>
  <c r="N2907" i="3" s="1"/>
  <c r="AC2908" i="3"/>
  <c r="N2908" i="3" s="1"/>
  <c r="AC2909" i="3"/>
  <c r="N2909" i="3" s="1"/>
  <c r="AC2910" i="3"/>
  <c r="N2910" i="3" s="1"/>
  <c r="AC2911" i="3"/>
  <c r="N2911" i="3" s="1"/>
  <c r="AC2912" i="3"/>
  <c r="N2912" i="3" s="1"/>
  <c r="AC2913" i="3"/>
  <c r="N2913" i="3" s="1"/>
  <c r="AC2914" i="3"/>
  <c r="N2914" i="3" s="1"/>
  <c r="AC2915" i="3"/>
  <c r="N2915" i="3" s="1"/>
  <c r="AC2916" i="3"/>
  <c r="N2916" i="3" s="1"/>
  <c r="AC2917" i="3"/>
  <c r="N2917" i="3" s="1"/>
  <c r="AK2907" i="3"/>
  <c r="AK2908" i="3"/>
  <c r="AK2909" i="3"/>
  <c r="AK2910" i="3"/>
  <c r="AK2911" i="3"/>
  <c r="AK2912" i="3"/>
  <c r="AK2913" i="3"/>
  <c r="AK2914" i="3"/>
  <c r="AK2915" i="3"/>
  <c r="AK2916" i="3"/>
  <c r="AK2917" i="3"/>
  <c r="M164" i="10"/>
  <c r="M2896" i="3"/>
  <c r="M2897" i="3"/>
  <c r="M2898" i="3"/>
  <c r="M2899" i="3"/>
  <c r="M2900" i="3"/>
  <c r="M2901" i="3"/>
  <c r="M2902" i="3"/>
  <c r="M2903" i="3"/>
  <c r="M2904" i="3"/>
  <c r="M2905" i="3"/>
  <c r="M2906" i="3"/>
  <c r="P2896" i="3"/>
  <c r="P2897" i="3"/>
  <c r="P2898" i="3"/>
  <c r="P2899" i="3"/>
  <c r="P2900" i="3"/>
  <c r="P2901" i="3"/>
  <c r="P2902" i="3"/>
  <c r="P2903" i="3"/>
  <c r="P2904" i="3"/>
  <c r="P2905" i="3"/>
  <c r="P2906" i="3"/>
  <c r="Q2896" i="3"/>
  <c r="Q2897" i="3"/>
  <c r="Q2898" i="3"/>
  <c r="Q2899" i="3"/>
  <c r="Q2900" i="3"/>
  <c r="Q2901" i="3"/>
  <c r="Q2902" i="3"/>
  <c r="Q2903" i="3"/>
  <c r="Q2904" i="3"/>
  <c r="Q2905" i="3"/>
  <c r="Q2906" i="3"/>
  <c r="R2896" i="3"/>
  <c r="R2897" i="3"/>
  <c r="R2898" i="3"/>
  <c r="R2899" i="3"/>
  <c r="R2900" i="3"/>
  <c r="R2901" i="3"/>
  <c r="R2902" i="3"/>
  <c r="R2903" i="3"/>
  <c r="R2904" i="3"/>
  <c r="R2905" i="3"/>
  <c r="R2906" i="3"/>
  <c r="S2897" i="3"/>
  <c r="S2898" i="3"/>
  <c r="S2899" i="3"/>
  <c r="S2900" i="3"/>
  <c r="S2901" i="3"/>
  <c r="S2902" i="3"/>
  <c r="S2903" i="3"/>
  <c r="S2904" i="3"/>
  <c r="S2905" i="3"/>
  <c r="S2906" i="3"/>
  <c r="T2896" i="3"/>
  <c r="U2896" i="3"/>
  <c r="V2896" i="3"/>
  <c r="W2896" i="3"/>
  <c r="X2896" i="3"/>
  <c r="AA2896" i="3"/>
  <c r="AA2897" i="3"/>
  <c r="AA2898" i="3"/>
  <c r="AA2899" i="3"/>
  <c r="AA2900" i="3"/>
  <c r="AA2901" i="3"/>
  <c r="AA2902" i="3"/>
  <c r="AA2903" i="3"/>
  <c r="AA2904" i="3"/>
  <c r="AA2905" i="3"/>
  <c r="AA2906" i="3"/>
  <c r="AB2896" i="3"/>
  <c r="O2896" i="3" s="1"/>
  <c r="Y2896" i="3" s="1"/>
  <c r="AB2897" i="3"/>
  <c r="O2897" i="3" s="1"/>
  <c r="AB2898" i="3"/>
  <c r="O2898" i="3" s="1"/>
  <c r="AB2899" i="3"/>
  <c r="O2899" i="3" s="1"/>
  <c r="AB2900" i="3"/>
  <c r="O2900" i="3" s="1"/>
  <c r="AB2901" i="3"/>
  <c r="O2901" i="3" s="1"/>
  <c r="AB2902" i="3"/>
  <c r="O2902" i="3" s="1"/>
  <c r="AB2903" i="3"/>
  <c r="O2903" i="3" s="1"/>
  <c r="AB2904" i="3"/>
  <c r="O2904" i="3" s="1"/>
  <c r="AB2905" i="3"/>
  <c r="O2905" i="3" s="1"/>
  <c r="AB2906" i="3"/>
  <c r="O2906" i="3" s="1"/>
  <c r="AC2896" i="3"/>
  <c r="N2896" i="3" s="1"/>
  <c r="AC2897" i="3"/>
  <c r="N2897" i="3" s="1"/>
  <c r="AC2898" i="3"/>
  <c r="N2898" i="3" s="1"/>
  <c r="AC2899" i="3"/>
  <c r="N2899" i="3" s="1"/>
  <c r="AC2900" i="3"/>
  <c r="N2900" i="3" s="1"/>
  <c r="AC2901" i="3"/>
  <c r="N2901" i="3" s="1"/>
  <c r="AC2902" i="3"/>
  <c r="N2902" i="3" s="1"/>
  <c r="AC2903" i="3"/>
  <c r="N2903" i="3" s="1"/>
  <c r="AC2904" i="3"/>
  <c r="N2904" i="3" s="1"/>
  <c r="AC2905" i="3"/>
  <c r="N2905" i="3" s="1"/>
  <c r="AC2906" i="3"/>
  <c r="N2906" i="3" s="1"/>
  <c r="AK2896" i="3"/>
  <c r="AK2897" i="3"/>
  <c r="AK2898" i="3"/>
  <c r="AK2899" i="3"/>
  <c r="AK2900" i="3"/>
  <c r="AK2901" i="3"/>
  <c r="AK2902" i="3"/>
  <c r="AK2903" i="3"/>
  <c r="AK2904" i="3"/>
  <c r="AK2905" i="3"/>
  <c r="AK2906" i="3"/>
  <c r="M163" i="10"/>
  <c r="M2885" i="3"/>
  <c r="M2886" i="3"/>
  <c r="M2887" i="3"/>
  <c r="M2888" i="3"/>
  <c r="M2889" i="3"/>
  <c r="M2890" i="3"/>
  <c r="M2891" i="3"/>
  <c r="M2892" i="3"/>
  <c r="M2893" i="3"/>
  <c r="M2894" i="3"/>
  <c r="M2895" i="3"/>
  <c r="P2885" i="3"/>
  <c r="P2886" i="3"/>
  <c r="P2887" i="3"/>
  <c r="P2888" i="3"/>
  <c r="P2889" i="3"/>
  <c r="P2890" i="3"/>
  <c r="P2891" i="3"/>
  <c r="P2892" i="3"/>
  <c r="P2893" i="3"/>
  <c r="P2894" i="3"/>
  <c r="P2895" i="3"/>
  <c r="Q2885" i="3"/>
  <c r="Q2886" i="3"/>
  <c r="Q2887" i="3"/>
  <c r="Q2888" i="3"/>
  <c r="Q2889" i="3"/>
  <c r="Q2890" i="3"/>
  <c r="Q2891" i="3"/>
  <c r="Q2892" i="3"/>
  <c r="Q2893" i="3"/>
  <c r="Q2894" i="3"/>
  <c r="Q2895" i="3"/>
  <c r="R2885" i="3"/>
  <c r="R2886" i="3"/>
  <c r="R2887" i="3"/>
  <c r="R2888" i="3"/>
  <c r="R2889" i="3"/>
  <c r="R2890" i="3"/>
  <c r="R2891" i="3"/>
  <c r="R2892" i="3"/>
  <c r="R2893" i="3"/>
  <c r="R2894" i="3"/>
  <c r="R2895" i="3"/>
  <c r="S2886" i="3"/>
  <c r="S2887" i="3"/>
  <c r="S2888" i="3"/>
  <c r="S2889" i="3"/>
  <c r="S2890" i="3"/>
  <c r="S2891" i="3"/>
  <c r="S2892" i="3"/>
  <c r="S2893" i="3"/>
  <c r="S2894" i="3"/>
  <c r="S2895" i="3"/>
  <c r="T2885" i="3"/>
  <c r="U2885" i="3"/>
  <c r="V2885" i="3"/>
  <c r="W2885" i="3"/>
  <c r="X2885" i="3"/>
  <c r="AA2885" i="3"/>
  <c r="AA2886" i="3"/>
  <c r="AA2887" i="3"/>
  <c r="AA2888" i="3"/>
  <c r="AA2889" i="3"/>
  <c r="AA2890" i="3"/>
  <c r="AA2891" i="3"/>
  <c r="AA2892" i="3"/>
  <c r="AA2893" i="3"/>
  <c r="AA2894" i="3"/>
  <c r="AA2895" i="3"/>
  <c r="AB2885" i="3"/>
  <c r="O2885" i="3" s="1"/>
  <c r="Y2885" i="3" s="1"/>
  <c r="AB2886" i="3"/>
  <c r="O2886" i="3" s="1"/>
  <c r="AB2887" i="3"/>
  <c r="O2887" i="3" s="1"/>
  <c r="AB2888" i="3"/>
  <c r="O2888" i="3" s="1"/>
  <c r="AB2889" i="3"/>
  <c r="O2889" i="3" s="1"/>
  <c r="AB2890" i="3"/>
  <c r="O2890" i="3" s="1"/>
  <c r="AB2891" i="3"/>
  <c r="O2891" i="3" s="1"/>
  <c r="AB2892" i="3"/>
  <c r="O2892" i="3" s="1"/>
  <c r="AB2893" i="3"/>
  <c r="O2893" i="3" s="1"/>
  <c r="AB2894" i="3"/>
  <c r="O2894" i="3" s="1"/>
  <c r="AB2895" i="3"/>
  <c r="O2895" i="3" s="1"/>
  <c r="AC2885" i="3"/>
  <c r="N2885" i="3" s="1"/>
  <c r="AC2886" i="3"/>
  <c r="N2886" i="3" s="1"/>
  <c r="AC2887" i="3"/>
  <c r="N2887" i="3" s="1"/>
  <c r="AC2888" i="3"/>
  <c r="N2888" i="3" s="1"/>
  <c r="AC2889" i="3"/>
  <c r="N2889" i="3" s="1"/>
  <c r="AC2890" i="3"/>
  <c r="N2890" i="3" s="1"/>
  <c r="AC2891" i="3"/>
  <c r="N2891" i="3" s="1"/>
  <c r="AC2892" i="3"/>
  <c r="N2892" i="3" s="1"/>
  <c r="AC2893" i="3"/>
  <c r="N2893" i="3" s="1"/>
  <c r="AC2894" i="3"/>
  <c r="N2894" i="3" s="1"/>
  <c r="AC2895" i="3"/>
  <c r="N2895" i="3" s="1"/>
  <c r="AK2885" i="3"/>
  <c r="AK2886" i="3"/>
  <c r="AK2887" i="3"/>
  <c r="AK2888" i="3"/>
  <c r="AK2889" i="3"/>
  <c r="AK2890" i="3"/>
  <c r="AK2891" i="3"/>
  <c r="AK2892" i="3"/>
  <c r="AK2893" i="3"/>
  <c r="AK2894" i="3"/>
  <c r="AK2895" i="3"/>
  <c r="M162" i="10"/>
  <c r="Z3038" i="3" l="1"/>
  <c r="Z3093" i="3"/>
  <c r="Z3097" i="3"/>
  <c r="Z3099" i="3"/>
  <c r="Z3105" i="3"/>
  <c r="Z2951" i="3"/>
  <c r="Z3111" i="3"/>
  <c r="Y3002" i="3"/>
  <c r="Z3071" i="3"/>
  <c r="Z3075" i="3"/>
  <c r="Z3079" i="3"/>
  <c r="Z3074" i="3"/>
  <c r="Z3080" i="3"/>
  <c r="Z3073" i="3"/>
  <c r="Z3077" i="3"/>
  <c r="Z3082" i="3"/>
  <c r="Z3084" i="3"/>
  <c r="Z3086" i="3"/>
  <c r="Z3088" i="3"/>
  <c r="Z3090" i="3"/>
  <c r="Z3101" i="3"/>
  <c r="Z3137" i="3"/>
  <c r="Z3139" i="3"/>
  <c r="Z3141" i="3"/>
  <c r="Z3143" i="3"/>
  <c r="Z3145" i="3"/>
  <c r="Z3147" i="3"/>
  <c r="Z3175" i="3"/>
  <c r="Z3150" i="3"/>
  <c r="Z3152" i="3"/>
  <c r="Z3154" i="3"/>
  <c r="Z3156" i="3"/>
  <c r="Z3158" i="3"/>
  <c r="Z3160" i="3"/>
  <c r="Z3162" i="3"/>
  <c r="Z3164" i="3"/>
  <c r="Z3166" i="3"/>
  <c r="Z3168" i="3"/>
  <c r="Z3170" i="3"/>
  <c r="Z3172" i="3"/>
  <c r="Z3174" i="3"/>
  <c r="Z3176" i="3"/>
  <c r="Z3095" i="3"/>
  <c r="Z3200" i="3"/>
  <c r="Z3202" i="3"/>
  <c r="Z3204" i="3"/>
  <c r="Z3206" i="3"/>
  <c r="Z3208" i="3"/>
  <c r="Z3210" i="3"/>
  <c r="Z3216" i="3"/>
  <c r="Z3218" i="3"/>
  <c r="Z3220" i="3"/>
  <c r="Z3201" i="3"/>
  <c r="Z3205" i="3"/>
  <c r="Z3209" i="3"/>
  <c r="Z3213" i="3"/>
  <c r="Z3217" i="3"/>
  <c r="Z3221" i="3"/>
  <c r="Z3072" i="3"/>
  <c r="Z3076" i="3"/>
  <c r="Z3078" i="3"/>
  <c r="Z3085" i="3"/>
  <c r="Z3089" i="3"/>
  <c r="Z3083" i="3"/>
  <c r="Z3087" i="3"/>
  <c r="Z3091" i="3"/>
  <c r="Z3094" i="3"/>
  <c r="Z3096" i="3"/>
  <c r="Z3098" i="3"/>
  <c r="Z3100" i="3"/>
  <c r="Z3102" i="3"/>
  <c r="Z3104" i="3"/>
  <c r="Z3106" i="3"/>
  <c r="Z3108" i="3"/>
  <c r="Z3110" i="3"/>
  <c r="Z3112" i="3"/>
  <c r="Z3115" i="3"/>
  <c r="Z3117" i="3"/>
  <c r="Z3119" i="3"/>
  <c r="Z3121" i="3"/>
  <c r="Z3123" i="3"/>
  <c r="Z3127" i="3"/>
  <c r="Z3129" i="3"/>
  <c r="Z3131" i="3"/>
  <c r="Z3133" i="3"/>
  <c r="Z3135" i="3"/>
  <c r="Z3116" i="3"/>
  <c r="Z3118" i="3"/>
  <c r="Z3120" i="3"/>
  <c r="Z3122" i="3"/>
  <c r="Z3124" i="3"/>
  <c r="Z3126" i="3"/>
  <c r="Z3128" i="3"/>
  <c r="Z3130" i="3"/>
  <c r="Z3132" i="3"/>
  <c r="Z3134" i="3"/>
  <c r="Z3138" i="3"/>
  <c r="Z3140" i="3"/>
  <c r="Z3142" i="3"/>
  <c r="Z3144" i="3"/>
  <c r="Z3146" i="3"/>
  <c r="Z3148" i="3"/>
  <c r="Z3151" i="3"/>
  <c r="Z3153" i="3"/>
  <c r="Z3155" i="3"/>
  <c r="Z3157" i="3"/>
  <c r="Z3159" i="3"/>
  <c r="Z3161" i="3"/>
  <c r="Z3165" i="3"/>
  <c r="Z3167" i="3"/>
  <c r="Z3169" i="3"/>
  <c r="Z3171" i="3"/>
  <c r="Z3173" i="3"/>
  <c r="Z3178" i="3"/>
  <c r="Z3180" i="3"/>
  <c r="Z3182" i="3"/>
  <c r="Z3184" i="3"/>
  <c r="Z3186" i="3"/>
  <c r="Z3190" i="3"/>
  <c r="Z3192" i="3"/>
  <c r="Z3194" i="3"/>
  <c r="Z3196" i="3"/>
  <c r="Z3198" i="3"/>
  <c r="Z3179" i="3"/>
  <c r="Z3181" i="3"/>
  <c r="Z3183" i="3"/>
  <c r="Z3185" i="3"/>
  <c r="Z3187" i="3"/>
  <c r="Z3189" i="3"/>
  <c r="Z3191" i="3"/>
  <c r="Z3193" i="3"/>
  <c r="Z3195" i="3"/>
  <c r="Z3197" i="3"/>
  <c r="Z3214" i="3"/>
  <c r="Z3203" i="3"/>
  <c r="Z3207" i="3"/>
  <c r="Z3211" i="3"/>
  <c r="Z3215" i="3"/>
  <c r="Z3219" i="3"/>
  <c r="Z3107" i="3"/>
  <c r="Y2940" i="3"/>
  <c r="S2940" i="3"/>
  <c r="Z2940" i="3" s="1"/>
  <c r="S3027" i="3"/>
  <c r="Z3027" i="3" s="1"/>
  <c r="S3059" i="3"/>
  <c r="Z3059" i="3" s="1"/>
  <c r="S3049" i="3"/>
  <c r="Z3049" i="3" s="1"/>
  <c r="U3069" i="3"/>
  <c r="W3069" i="3"/>
  <c r="T3069" i="3"/>
  <c r="V3069" i="3"/>
  <c r="X3069" i="3"/>
  <c r="U3067" i="3"/>
  <c r="W3067" i="3"/>
  <c r="T3067" i="3"/>
  <c r="V3067" i="3"/>
  <c r="X3067" i="3"/>
  <c r="U3065" i="3"/>
  <c r="W3065" i="3"/>
  <c r="Y3065" i="3"/>
  <c r="T3065" i="3"/>
  <c r="V3065" i="3"/>
  <c r="X3065" i="3"/>
  <c r="U3063" i="3"/>
  <c r="W3063" i="3"/>
  <c r="Y3063" i="3"/>
  <c r="T3063" i="3"/>
  <c r="V3063" i="3"/>
  <c r="X3063" i="3"/>
  <c r="U3061" i="3"/>
  <c r="W3061" i="3"/>
  <c r="Y3061" i="3"/>
  <c r="T3061" i="3"/>
  <c r="V3061" i="3"/>
  <c r="X3061" i="3"/>
  <c r="U3057" i="3"/>
  <c r="W3057" i="3"/>
  <c r="Y3057" i="3"/>
  <c r="T3057" i="3"/>
  <c r="V3057" i="3"/>
  <c r="X3057" i="3"/>
  <c r="U3055" i="3"/>
  <c r="W3055" i="3"/>
  <c r="Y3055" i="3"/>
  <c r="T3055" i="3"/>
  <c r="V3055" i="3"/>
  <c r="X3055" i="3"/>
  <c r="U3053" i="3"/>
  <c r="W3053" i="3"/>
  <c r="Y3053" i="3"/>
  <c r="T3053" i="3"/>
  <c r="V3053" i="3"/>
  <c r="X3053" i="3"/>
  <c r="U3051" i="3"/>
  <c r="W3051" i="3"/>
  <c r="Y3051" i="3"/>
  <c r="T3051" i="3"/>
  <c r="V3051" i="3"/>
  <c r="X3051" i="3"/>
  <c r="Y3067" i="3"/>
  <c r="T3068" i="3"/>
  <c r="V3068" i="3"/>
  <c r="X3068" i="3"/>
  <c r="U3068" i="3"/>
  <c r="W3068" i="3"/>
  <c r="Y3068" i="3"/>
  <c r="T3066" i="3"/>
  <c r="V3066" i="3"/>
  <c r="X3066" i="3"/>
  <c r="U3066" i="3"/>
  <c r="W3066" i="3"/>
  <c r="Y3066" i="3"/>
  <c r="T3064" i="3"/>
  <c r="V3064" i="3"/>
  <c r="X3064" i="3"/>
  <c r="U3064" i="3"/>
  <c r="W3064" i="3"/>
  <c r="Y3064" i="3"/>
  <c r="T3062" i="3"/>
  <c r="V3062" i="3"/>
  <c r="X3062" i="3"/>
  <c r="U3062" i="3"/>
  <c r="W3062" i="3"/>
  <c r="Y3062" i="3"/>
  <c r="T3060" i="3"/>
  <c r="V3060" i="3"/>
  <c r="X3060" i="3"/>
  <c r="U3060" i="3"/>
  <c r="W3060" i="3"/>
  <c r="Y3060" i="3"/>
  <c r="T3058" i="3"/>
  <c r="V3058" i="3"/>
  <c r="X3058" i="3"/>
  <c r="U3058" i="3"/>
  <c r="W3058" i="3"/>
  <c r="Y3058" i="3"/>
  <c r="T3056" i="3"/>
  <c r="V3056" i="3"/>
  <c r="X3056" i="3"/>
  <c r="U3056" i="3"/>
  <c r="W3056" i="3"/>
  <c r="Y3056" i="3"/>
  <c r="T3054" i="3"/>
  <c r="V3054" i="3"/>
  <c r="X3054" i="3"/>
  <c r="U3054" i="3"/>
  <c r="W3054" i="3"/>
  <c r="Y3054" i="3"/>
  <c r="T3052" i="3"/>
  <c r="V3052" i="3"/>
  <c r="X3052" i="3"/>
  <c r="U3052" i="3"/>
  <c r="W3052" i="3"/>
  <c r="Y3052" i="3"/>
  <c r="T3050" i="3"/>
  <c r="V3050" i="3"/>
  <c r="X3050" i="3"/>
  <c r="U3050" i="3"/>
  <c r="W3050" i="3"/>
  <c r="Y3050" i="3"/>
  <c r="Y3069" i="3"/>
  <c r="T3048" i="3"/>
  <c r="U3048" i="3"/>
  <c r="V3048" i="3"/>
  <c r="W3048" i="3"/>
  <c r="X3048" i="3"/>
  <c r="Y3048" i="3"/>
  <c r="Y3046" i="3"/>
  <c r="T3046" i="3"/>
  <c r="U3046" i="3"/>
  <c r="V3046" i="3"/>
  <c r="W3046" i="3"/>
  <c r="X3046" i="3"/>
  <c r="T3044" i="3"/>
  <c r="U3044" i="3"/>
  <c r="V3044" i="3"/>
  <c r="W3044" i="3"/>
  <c r="X3044" i="3"/>
  <c r="Y3044" i="3"/>
  <c r="Y3042" i="3"/>
  <c r="T3042" i="3"/>
  <c r="U3042" i="3"/>
  <c r="V3042" i="3"/>
  <c r="W3042" i="3"/>
  <c r="X3042" i="3"/>
  <c r="T3040" i="3"/>
  <c r="U3040" i="3"/>
  <c r="V3040" i="3"/>
  <c r="W3040" i="3"/>
  <c r="X3040" i="3"/>
  <c r="Y3040" i="3"/>
  <c r="T3036" i="3"/>
  <c r="U3036" i="3"/>
  <c r="V3036" i="3"/>
  <c r="W3036" i="3"/>
  <c r="X3036" i="3"/>
  <c r="Y3036" i="3"/>
  <c r="Y3034" i="3"/>
  <c r="T3034" i="3"/>
  <c r="U3034" i="3"/>
  <c r="V3034" i="3"/>
  <c r="W3034" i="3"/>
  <c r="X3034" i="3"/>
  <c r="T3032" i="3"/>
  <c r="U3032" i="3"/>
  <c r="V3032" i="3"/>
  <c r="W3032" i="3"/>
  <c r="X3032" i="3"/>
  <c r="Y3032" i="3"/>
  <c r="Y3030" i="3"/>
  <c r="T3030" i="3"/>
  <c r="U3030" i="3"/>
  <c r="V3030" i="3"/>
  <c r="W3030" i="3"/>
  <c r="X3030" i="3"/>
  <c r="T3028" i="3"/>
  <c r="U3028" i="3"/>
  <c r="V3028" i="3"/>
  <c r="W3028" i="3"/>
  <c r="X3028" i="3"/>
  <c r="Y3028" i="3"/>
  <c r="T3047" i="3"/>
  <c r="U3047" i="3"/>
  <c r="V3047" i="3"/>
  <c r="W3047" i="3"/>
  <c r="X3047" i="3"/>
  <c r="Y3047" i="3"/>
  <c r="T3045" i="3"/>
  <c r="U3045" i="3"/>
  <c r="V3045" i="3"/>
  <c r="W3045" i="3"/>
  <c r="X3045" i="3"/>
  <c r="Y3045" i="3"/>
  <c r="T3043" i="3"/>
  <c r="U3043" i="3"/>
  <c r="V3043" i="3"/>
  <c r="W3043" i="3"/>
  <c r="X3043" i="3"/>
  <c r="Y3043" i="3"/>
  <c r="T3041" i="3"/>
  <c r="U3041" i="3"/>
  <c r="V3041" i="3"/>
  <c r="W3041" i="3"/>
  <c r="X3041" i="3"/>
  <c r="Y3041" i="3"/>
  <c r="T3039" i="3"/>
  <c r="U3039" i="3"/>
  <c r="V3039" i="3"/>
  <c r="W3039" i="3"/>
  <c r="X3039" i="3"/>
  <c r="Y3039" i="3"/>
  <c r="T3037" i="3"/>
  <c r="U3037" i="3"/>
  <c r="V3037" i="3"/>
  <c r="W3037" i="3"/>
  <c r="X3037" i="3"/>
  <c r="Y3037" i="3"/>
  <c r="T3035" i="3"/>
  <c r="U3035" i="3"/>
  <c r="V3035" i="3"/>
  <c r="W3035" i="3"/>
  <c r="X3035" i="3"/>
  <c r="Y3035" i="3"/>
  <c r="T3033" i="3"/>
  <c r="U3033" i="3"/>
  <c r="V3033" i="3"/>
  <c r="W3033" i="3"/>
  <c r="X3033" i="3"/>
  <c r="Y3033" i="3"/>
  <c r="T3031" i="3"/>
  <c r="U3031" i="3"/>
  <c r="V3031" i="3"/>
  <c r="W3031" i="3"/>
  <c r="X3031" i="3"/>
  <c r="Y3031" i="3"/>
  <c r="T3029" i="3"/>
  <c r="U3029" i="3"/>
  <c r="V3029" i="3"/>
  <c r="W3029" i="3"/>
  <c r="X3029" i="3"/>
  <c r="Y3029" i="3"/>
  <c r="S2989" i="3"/>
  <c r="Z2989" i="3" s="1"/>
  <c r="U3025" i="3"/>
  <c r="W3025" i="3"/>
  <c r="Y3025" i="3"/>
  <c r="U3023" i="3"/>
  <c r="W3023" i="3"/>
  <c r="Y3023" i="3"/>
  <c r="U3021" i="3"/>
  <c r="W3021" i="3"/>
  <c r="Y3021" i="3"/>
  <c r="U3019" i="3"/>
  <c r="W3019" i="3"/>
  <c r="Y3019" i="3"/>
  <c r="U3017" i="3"/>
  <c r="W3017" i="3"/>
  <c r="Y3017" i="3"/>
  <c r="T3026" i="3"/>
  <c r="V3026" i="3"/>
  <c r="X3026" i="3"/>
  <c r="T3024" i="3"/>
  <c r="V3024" i="3"/>
  <c r="X3024" i="3"/>
  <c r="T3022" i="3"/>
  <c r="V3022" i="3"/>
  <c r="X3022" i="3"/>
  <c r="T3020" i="3"/>
  <c r="V3020" i="3"/>
  <c r="X3020" i="3"/>
  <c r="T3018" i="3"/>
  <c r="V3018" i="3"/>
  <c r="X3018" i="3"/>
  <c r="U3024" i="3"/>
  <c r="U3020" i="3"/>
  <c r="S3016" i="3"/>
  <c r="Z3016" i="3" s="1"/>
  <c r="T3025" i="3"/>
  <c r="T3023" i="3"/>
  <c r="T3021" i="3"/>
  <c r="T3019" i="3"/>
  <c r="T3017" i="3"/>
  <c r="U3026" i="3"/>
  <c r="U3022" i="3"/>
  <c r="U3018" i="3"/>
  <c r="X3014" i="3"/>
  <c r="X3012" i="3"/>
  <c r="X3010" i="3"/>
  <c r="X3008" i="3"/>
  <c r="X3006" i="3"/>
  <c r="X3004" i="3"/>
  <c r="S3002" i="3"/>
  <c r="Z3002" i="3" s="1"/>
  <c r="X3000" i="3"/>
  <c r="Y3026" i="3"/>
  <c r="Y3024" i="3"/>
  <c r="Y3022" i="3"/>
  <c r="Y3020" i="3"/>
  <c r="Y3018" i="3"/>
  <c r="X3025" i="3"/>
  <c r="X3023" i="3"/>
  <c r="X3021" i="3"/>
  <c r="X3019" i="3"/>
  <c r="X3017" i="3"/>
  <c r="W3026" i="3"/>
  <c r="W3024" i="3"/>
  <c r="W3022" i="3"/>
  <c r="W3020" i="3"/>
  <c r="W3018" i="3"/>
  <c r="V3025" i="3"/>
  <c r="V3023" i="3"/>
  <c r="V3021" i="3"/>
  <c r="V3019" i="3"/>
  <c r="V3017" i="3"/>
  <c r="U3015" i="3"/>
  <c r="W3015" i="3"/>
  <c r="T3015" i="3"/>
  <c r="V3015" i="3"/>
  <c r="U3013" i="3"/>
  <c r="W3013" i="3"/>
  <c r="T3013" i="3"/>
  <c r="V3013" i="3"/>
  <c r="U3011" i="3"/>
  <c r="W3011" i="3"/>
  <c r="T3011" i="3"/>
  <c r="V3011" i="3"/>
  <c r="U3009" i="3"/>
  <c r="W3009" i="3"/>
  <c r="T3009" i="3"/>
  <c r="V3009" i="3"/>
  <c r="U3007" i="3"/>
  <c r="W3007" i="3"/>
  <c r="T3007" i="3"/>
  <c r="V3007" i="3"/>
  <c r="U3005" i="3"/>
  <c r="W3005" i="3"/>
  <c r="T3005" i="3"/>
  <c r="V3005" i="3"/>
  <c r="U3003" i="3"/>
  <c r="W3003" i="3"/>
  <c r="T3003" i="3"/>
  <c r="V3003" i="3"/>
  <c r="X3003" i="3"/>
  <c r="U3001" i="3"/>
  <c r="W3001" i="3"/>
  <c r="T3001" i="3"/>
  <c r="V3001" i="3"/>
  <c r="X3001" i="3"/>
  <c r="U2999" i="3"/>
  <c r="W2999" i="3"/>
  <c r="T2999" i="3"/>
  <c r="V2999" i="3"/>
  <c r="X2999" i="3"/>
  <c r="U2997" i="3"/>
  <c r="W2997" i="3"/>
  <c r="T2997" i="3"/>
  <c r="V2997" i="3"/>
  <c r="X2997" i="3"/>
  <c r="U2995" i="3"/>
  <c r="W2995" i="3"/>
  <c r="T2995" i="3"/>
  <c r="V2995" i="3"/>
  <c r="X2995" i="3"/>
  <c r="U2993" i="3"/>
  <c r="W2993" i="3"/>
  <c r="T2993" i="3"/>
  <c r="V2993" i="3"/>
  <c r="X2993" i="3"/>
  <c r="U2991" i="3"/>
  <c r="W2991" i="3"/>
  <c r="T2991" i="3"/>
  <c r="V2991" i="3"/>
  <c r="X2991" i="3"/>
  <c r="Y3015" i="3"/>
  <c r="Y3013" i="3"/>
  <c r="Y3011" i="3"/>
  <c r="Y3009" i="3"/>
  <c r="Y3007" i="3"/>
  <c r="Y3005" i="3"/>
  <c r="Y3003" i="3"/>
  <c r="Y3001" i="3"/>
  <c r="Y2999" i="3"/>
  <c r="Y2997" i="3"/>
  <c r="Y2995" i="3"/>
  <c r="Y2993" i="3"/>
  <c r="Y2991" i="3"/>
  <c r="T3014" i="3"/>
  <c r="V3014" i="3"/>
  <c r="U3014" i="3"/>
  <c r="W3014" i="3"/>
  <c r="T3012" i="3"/>
  <c r="V3012" i="3"/>
  <c r="U3012" i="3"/>
  <c r="W3012" i="3"/>
  <c r="T3010" i="3"/>
  <c r="V3010" i="3"/>
  <c r="U3010" i="3"/>
  <c r="W3010" i="3"/>
  <c r="T3008" i="3"/>
  <c r="V3008" i="3"/>
  <c r="U3008" i="3"/>
  <c r="W3008" i="3"/>
  <c r="T3006" i="3"/>
  <c r="V3006" i="3"/>
  <c r="U3006" i="3"/>
  <c r="W3006" i="3"/>
  <c r="T3004" i="3"/>
  <c r="V3004" i="3"/>
  <c r="U3004" i="3"/>
  <c r="W3004" i="3"/>
  <c r="T3000" i="3"/>
  <c r="V3000" i="3"/>
  <c r="U3000" i="3"/>
  <c r="W3000" i="3"/>
  <c r="T2998" i="3"/>
  <c r="V2998" i="3"/>
  <c r="U2998" i="3"/>
  <c r="W2998" i="3"/>
  <c r="T2996" i="3"/>
  <c r="V2996" i="3"/>
  <c r="X2996" i="3"/>
  <c r="U2996" i="3"/>
  <c r="W2996" i="3"/>
  <c r="T2994" i="3"/>
  <c r="V2994" i="3"/>
  <c r="X2994" i="3"/>
  <c r="U2994" i="3"/>
  <c r="W2994" i="3"/>
  <c r="T2992" i="3"/>
  <c r="V2992" i="3"/>
  <c r="X2992" i="3"/>
  <c r="U2992" i="3"/>
  <c r="W2992" i="3"/>
  <c r="T2990" i="3"/>
  <c r="V2990" i="3"/>
  <c r="X2990" i="3"/>
  <c r="U2990" i="3"/>
  <c r="W2990" i="3"/>
  <c r="Y3014" i="3"/>
  <c r="Y3012" i="3"/>
  <c r="Y3010" i="3"/>
  <c r="Y3008" i="3"/>
  <c r="Y3006" i="3"/>
  <c r="Y3004" i="3"/>
  <c r="Y3000" i="3"/>
  <c r="Y2998" i="3"/>
  <c r="Y2996" i="3"/>
  <c r="Y2994" i="3"/>
  <c r="Y2992" i="3"/>
  <c r="Y2990" i="3"/>
  <c r="X3015" i="3"/>
  <c r="X3013" i="3"/>
  <c r="X3011" i="3"/>
  <c r="X3009" i="3"/>
  <c r="X3007" i="3"/>
  <c r="X3005" i="3"/>
  <c r="X2998" i="3"/>
  <c r="S2978" i="3"/>
  <c r="Z2978" i="3" s="1"/>
  <c r="S2964" i="3"/>
  <c r="Z2964" i="3" s="1"/>
  <c r="X2987" i="3"/>
  <c r="U2988" i="3"/>
  <c r="W2988" i="3"/>
  <c r="T2988" i="3"/>
  <c r="V2988" i="3"/>
  <c r="X2988" i="3"/>
  <c r="U2986" i="3"/>
  <c r="W2986" i="3"/>
  <c r="T2986" i="3"/>
  <c r="V2986" i="3"/>
  <c r="X2986" i="3"/>
  <c r="U2984" i="3"/>
  <c r="W2984" i="3"/>
  <c r="T2984" i="3"/>
  <c r="V2984" i="3"/>
  <c r="X2984" i="3"/>
  <c r="U2982" i="3"/>
  <c r="W2982" i="3"/>
  <c r="T2982" i="3"/>
  <c r="V2982" i="3"/>
  <c r="X2982" i="3"/>
  <c r="U2980" i="3"/>
  <c r="W2980" i="3"/>
  <c r="T2980" i="3"/>
  <c r="V2980" i="3"/>
  <c r="X2980" i="3"/>
  <c r="U2976" i="3"/>
  <c r="W2976" i="3"/>
  <c r="T2976" i="3"/>
  <c r="V2976" i="3"/>
  <c r="X2976" i="3"/>
  <c r="U2974" i="3"/>
  <c r="W2974" i="3"/>
  <c r="T2974" i="3"/>
  <c r="V2974" i="3"/>
  <c r="X2974" i="3"/>
  <c r="U2972" i="3"/>
  <c r="W2972" i="3"/>
  <c r="T2972" i="3"/>
  <c r="V2972" i="3"/>
  <c r="X2972" i="3"/>
  <c r="U2970" i="3"/>
  <c r="W2970" i="3"/>
  <c r="T2970" i="3"/>
  <c r="V2970" i="3"/>
  <c r="X2970" i="3"/>
  <c r="U2968" i="3"/>
  <c r="W2968" i="3"/>
  <c r="T2968" i="3"/>
  <c r="V2968" i="3"/>
  <c r="X2968" i="3"/>
  <c r="U2966" i="3"/>
  <c r="W2966" i="3"/>
  <c r="T2966" i="3"/>
  <c r="V2966" i="3"/>
  <c r="X2966" i="3"/>
  <c r="Y2988" i="3"/>
  <c r="Y2986" i="3"/>
  <c r="Y2984" i="3"/>
  <c r="Y2982" i="3"/>
  <c r="Y2980" i="3"/>
  <c r="Y2976" i="3"/>
  <c r="Y2974" i="3"/>
  <c r="Y2972" i="3"/>
  <c r="Y2970" i="3"/>
  <c r="Y2966" i="3"/>
  <c r="T2987" i="3"/>
  <c r="V2987" i="3"/>
  <c r="U2987" i="3"/>
  <c r="W2987" i="3"/>
  <c r="T2985" i="3"/>
  <c r="V2985" i="3"/>
  <c r="X2985" i="3"/>
  <c r="U2985" i="3"/>
  <c r="W2985" i="3"/>
  <c r="T2983" i="3"/>
  <c r="V2983" i="3"/>
  <c r="X2983" i="3"/>
  <c r="U2983" i="3"/>
  <c r="W2983" i="3"/>
  <c r="T2981" i="3"/>
  <c r="V2981" i="3"/>
  <c r="X2981" i="3"/>
  <c r="U2981" i="3"/>
  <c r="W2981" i="3"/>
  <c r="T2979" i="3"/>
  <c r="V2979" i="3"/>
  <c r="X2979" i="3"/>
  <c r="U2979" i="3"/>
  <c r="W2979" i="3"/>
  <c r="T2977" i="3"/>
  <c r="V2977" i="3"/>
  <c r="X2977" i="3"/>
  <c r="U2977" i="3"/>
  <c r="W2977" i="3"/>
  <c r="T2975" i="3"/>
  <c r="V2975" i="3"/>
  <c r="X2975" i="3"/>
  <c r="U2975" i="3"/>
  <c r="W2975" i="3"/>
  <c r="T2973" i="3"/>
  <c r="V2973" i="3"/>
  <c r="X2973" i="3"/>
  <c r="U2973" i="3"/>
  <c r="W2973" i="3"/>
  <c r="T2971" i="3"/>
  <c r="V2971" i="3"/>
  <c r="X2971" i="3"/>
  <c r="U2971" i="3"/>
  <c r="W2971" i="3"/>
  <c r="T2969" i="3"/>
  <c r="V2969" i="3"/>
  <c r="X2969" i="3"/>
  <c r="U2969" i="3"/>
  <c r="W2969" i="3"/>
  <c r="Y2969" i="3"/>
  <c r="T2967" i="3"/>
  <c r="V2967" i="3"/>
  <c r="X2967" i="3"/>
  <c r="U2967" i="3"/>
  <c r="W2967" i="3"/>
  <c r="Y2967" i="3"/>
  <c r="T2965" i="3"/>
  <c r="V2965" i="3"/>
  <c r="X2965" i="3"/>
  <c r="U2965" i="3"/>
  <c r="W2965" i="3"/>
  <c r="Y2965" i="3"/>
  <c r="Y2987" i="3"/>
  <c r="Y2985" i="3"/>
  <c r="Y2983" i="3"/>
  <c r="Y2981" i="3"/>
  <c r="Y2979" i="3"/>
  <c r="Y2977" i="3"/>
  <c r="Y2975" i="3"/>
  <c r="Y2973" i="3"/>
  <c r="Y2971" i="3"/>
  <c r="Y2968" i="3"/>
  <c r="T2963" i="3"/>
  <c r="U2963" i="3"/>
  <c r="V2963" i="3"/>
  <c r="W2963" i="3"/>
  <c r="X2963" i="3"/>
  <c r="T2961" i="3"/>
  <c r="U2961" i="3"/>
  <c r="V2961" i="3"/>
  <c r="W2961" i="3"/>
  <c r="X2961" i="3"/>
  <c r="T2959" i="3"/>
  <c r="U2959" i="3"/>
  <c r="V2959" i="3"/>
  <c r="W2959" i="3"/>
  <c r="X2959" i="3"/>
  <c r="T2957" i="3"/>
  <c r="U2957" i="3"/>
  <c r="V2957" i="3"/>
  <c r="W2957" i="3"/>
  <c r="X2957" i="3"/>
  <c r="T2955" i="3"/>
  <c r="U2955" i="3"/>
  <c r="V2955" i="3"/>
  <c r="W2955" i="3"/>
  <c r="X2955" i="3"/>
  <c r="T2953" i="3"/>
  <c r="U2953" i="3"/>
  <c r="V2953" i="3"/>
  <c r="W2953" i="3"/>
  <c r="X2953" i="3"/>
  <c r="T2949" i="3"/>
  <c r="U2949" i="3"/>
  <c r="V2949" i="3"/>
  <c r="W2949" i="3"/>
  <c r="X2949" i="3"/>
  <c r="Y2949" i="3"/>
  <c r="T2947" i="3"/>
  <c r="U2947" i="3"/>
  <c r="V2947" i="3"/>
  <c r="W2947" i="3"/>
  <c r="X2947" i="3"/>
  <c r="Y2947" i="3"/>
  <c r="T2945" i="3"/>
  <c r="U2945" i="3"/>
  <c r="V2945" i="3"/>
  <c r="W2945" i="3"/>
  <c r="X2945" i="3"/>
  <c r="Y2945" i="3"/>
  <c r="T2943" i="3"/>
  <c r="U2943" i="3"/>
  <c r="V2943" i="3"/>
  <c r="W2943" i="3"/>
  <c r="X2943" i="3"/>
  <c r="Y2943" i="3"/>
  <c r="T2941" i="3"/>
  <c r="U2941" i="3"/>
  <c r="V2941" i="3"/>
  <c r="W2941" i="3"/>
  <c r="X2941" i="3"/>
  <c r="Y2941" i="3"/>
  <c r="Y2963" i="3"/>
  <c r="Y2961" i="3"/>
  <c r="Y2959" i="3"/>
  <c r="Y2957" i="3"/>
  <c r="Y2955" i="3"/>
  <c r="Y2953" i="3"/>
  <c r="T2962" i="3"/>
  <c r="U2962" i="3"/>
  <c r="V2962" i="3"/>
  <c r="W2962" i="3"/>
  <c r="X2962" i="3"/>
  <c r="T2960" i="3"/>
  <c r="U2960" i="3"/>
  <c r="V2960" i="3"/>
  <c r="W2960" i="3"/>
  <c r="X2960" i="3"/>
  <c r="T2958" i="3"/>
  <c r="U2958" i="3"/>
  <c r="V2958" i="3"/>
  <c r="W2958" i="3"/>
  <c r="X2958" i="3"/>
  <c r="T2956" i="3"/>
  <c r="U2956" i="3"/>
  <c r="V2956" i="3"/>
  <c r="W2956" i="3"/>
  <c r="X2956" i="3"/>
  <c r="T2954" i="3"/>
  <c r="U2954" i="3"/>
  <c r="V2954" i="3"/>
  <c r="W2954" i="3"/>
  <c r="X2954" i="3"/>
  <c r="T2952" i="3"/>
  <c r="U2952" i="3"/>
  <c r="V2952" i="3"/>
  <c r="W2952" i="3"/>
  <c r="X2952" i="3"/>
  <c r="T2950" i="3"/>
  <c r="U2950" i="3"/>
  <c r="V2950" i="3"/>
  <c r="W2950" i="3"/>
  <c r="X2950" i="3"/>
  <c r="T2948" i="3"/>
  <c r="U2948" i="3"/>
  <c r="V2948" i="3"/>
  <c r="W2948" i="3"/>
  <c r="X2948" i="3"/>
  <c r="Y2948" i="3"/>
  <c r="T2946" i="3"/>
  <c r="U2946" i="3"/>
  <c r="V2946" i="3"/>
  <c r="W2946" i="3"/>
  <c r="X2946" i="3"/>
  <c r="Y2946" i="3"/>
  <c r="T2944" i="3"/>
  <c r="U2944" i="3"/>
  <c r="V2944" i="3"/>
  <c r="W2944" i="3"/>
  <c r="X2944" i="3"/>
  <c r="Y2944" i="3"/>
  <c r="T2942" i="3"/>
  <c r="U2942" i="3"/>
  <c r="V2942" i="3"/>
  <c r="W2942" i="3"/>
  <c r="X2942" i="3"/>
  <c r="Y2942" i="3"/>
  <c r="Y2962" i="3"/>
  <c r="Y2960" i="3"/>
  <c r="Y2958" i="3"/>
  <c r="Y2956" i="3"/>
  <c r="Y2954" i="3"/>
  <c r="Y2952" i="3"/>
  <c r="Y2950" i="3"/>
  <c r="S2896" i="3"/>
  <c r="Z2896" i="3" s="1"/>
  <c r="S2907" i="3"/>
  <c r="Z2907" i="3" s="1"/>
  <c r="S2918" i="3"/>
  <c r="Z2918" i="3" s="1"/>
  <c r="S2929" i="3"/>
  <c r="Z2929" i="3" s="1"/>
  <c r="U2939" i="3"/>
  <c r="W2939" i="3"/>
  <c r="Y2939" i="3"/>
  <c r="T2939" i="3"/>
  <c r="V2939" i="3"/>
  <c r="X2939" i="3"/>
  <c r="U2937" i="3"/>
  <c r="W2937" i="3"/>
  <c r="Y2937" i="3"/>
  <c r="T2937" i="3"/>
  <c r="V2937" i="3"/>
  <c r="X2937" i="3"/>
  <c r="U2935" i="3"/>
  <c r="W2935" i="3"/>
  <c r="Y2935" i="3"/>
  <c r="T2935" i="3"/>
  <c r="V2935" i="3"/>
  <c r="X2935" i="3"/>
  <c r="U2933" i="3"/>
  <c r="W2933" i="3"/>
  <c r="Y2933" i="3"/>
  <c r="T2933" i="3"/>
  <c r="V2933" i="3"/>
  <c r="X2933" i="3"/>
  <c r="U2931" i="3"/>
  <c r="W2931" i="3"/>
  <c r="Y2931" i="3"/>
  <c r="T2931" i="3"/>
  <c r="V2931" i="3"/>
  <c r="X2931" i="3"/>
  <c r="T2938" i="3"/>
  <c r="V2938" i="3"/>
  <c r="X2938" i="3"/>
  <c r="U2938" i="3"/>
  <c r="W2938" i="3"/>
  <c r="Y2938" i="3"/>
  <c r="T2936" i="3"/>
  <c r="V2936" i="3"/>
  <c r="X2936" i="3"/>
  <c r="U2936" i="3"/>
  <c r="W2936" i="3"/>
  <c r="Y2936" i="3"/>
  <c r="T2934" i="3"/>
  <c r="V2934" i="3"/>
  <c r="X2934" i="3"/>
  <c r="U2934" i="3"/>
  <c r="W2934" i="3"/>
  <c r="Y2934" i="3"/>
  <c r="T2932" i="3"/>
  <c r="V2932" i="3"/>
  <c r="X2932" i="3"/>
  <c r="U2932" i="3"/>
  <c r="W2932" i="3"/>
  <c r="Y2932" i="3"/>
  <c r="T2930" i="3"/>
  <c r="V2930" i="3"/>
  <c r="X2930" i="3"/>
  <c r="U2930" i="3"/>
  <c r="W2930" i="3"/>
  <c r="Y2930" i="3"/>
  <c r="U2928" i="3"/>
  <c r="W2928" i="3"/>
  <c r="Y2928" i="3"/>
  <c r="T2928" i="3"/>
  <c r="V2928" i="3"/>
  <c r="X2928" i="3"/>
  <c r="U2926" i="3"/>
  <c r="W2926" i="3"/>
  <c r="Y2926" i="3"/>
  <c r="T2926" i="3"/>
  <c r="V2926" i="3"/>
  <c r="X2926" i="3"/>
  <c r="U2924" i="3"/>
  <c r="W2924" i="3"/>
  <c r="Y2924" i="3"/>
  <c r="T2924" i="3"/>
  <c r="V2924" i="3"/>
  <c r="X2924" i="3"/>
  <c r="U2922" i="3"/>
  <c r="W2922" i="3"/>
  <c r="Y2922" i="3"/>
  <c r="T2922" i="3"/>
  <c r="V2922" i="3"/>
  <c r="X2922" i="3"/>
  <c r="U2920" i="3"/>
  <c r="W2920" i="3"/>
  <c r="Y2920" i="3"/>
  <c r="T2920" i="3"/>
  <c r="V2920" i="3"/>
  <c r="X2920" i="3"/>
  <c r="T2927" i="3"/>
  <c r="V2927" i="3"/>
  <c r="X2927" i="3"/>
  <c r="U2927" i="3"/>
  <c r="W2927" i="3"/>
  <c r="Y2927" i="3"/>
  <c r="T2925" i="3"/>
  <c r="V2925" i="3"/>
  <c r="X2925" i="3"/>
  <c r="U2925" i="3"/>
  <c r="W2925" i="3"/>
  <c r="Y2925" i="3"/>
  <c r="T2923" i="3"/>
  <c r="V2923" i="3"/>
  <c r="X2923" i="3"/>
  <c r="U2923" i="3"/>
  <c r="W2923" i="3"/>
  <c r="Y2923" i="3"/>
  <c r="T2921" i="3"/>
  <c r="V2921" i="3"/>
  <c r="X2921" i="3"/>
  <c r="U2921" i="3"/>
  <c r="W2921" i="3"/>
  <c r="Y2921" i="3"/>
  <c r="T2919" i="3"/>
  <c r="V2919" i="3"/>
  <c r="X2919" i="3"/>
  <c r="U2919" i="3"/>
  <c r="W2919" i="3"/>
  <c r="Y2919" i="3"/>
  <c r="U2917" i="3"/>
  <c r="W2917" i="3"/>
  <c r="Y2917" i="3"/>
  <c r="T2917" i="3"/>
  <c r="V2917" i="3"/>
  <c r="X2917" i="3"/>
  <c r="U2915" i="3"/>
  <c r="W2915" i="3"/>
  <c r="Y2915" i="3"/>
  <c r="T2915" i="3"/>
  <c r="V2915" i="3"/>
  <c r="X2915" i="3"/>
  <c r="U2913" i="3"/>
  <c r="W2913" i="3"/>
  <c r="Y2913" i="3"/>
  <c r="T2913" i="3"/>
  <c r="V2913" i="3"/>
  <c r="X2913" i="3"/>
  <c r="U2911" i="3"/>
  <c r="W2911" i="3"/>
  <c r="Y2911" i="3"/>
  <c r="T2911" i="3"/>
  <c r="V2911" i="3"/>
  <c r="X2911" i="3"/>
  <c r="U2909" i="3"/>
  <c r="W2909" i="3"/>
  <c r="Y2909" i="3"/>
  <c r="T2909" i="3"/>
  <c r="V2909" i="3"/>
  <c r="X2909" i="3"/>
  <c r="T2916" i="3"/>
  <c r="V2916" i="3"/>
  <c r="X2916" i="3"/>
  <c r="U2916" i="3"/>
  <c r="W2916" i="3"/>
  <c r="Y2916" i="3"/>
  <c r="T2914" i="3"/>
  <c r="V2914" i="3"/>
  <c r="X2914" i="3"/>
  <c r="U2914" i="3"/>
  <c r="W2914" i="3"/>
  <c r="Y2914" i="3"/>
  <c r="T2912" i="3"/>
  <c r="V2912" i="3"/>
  <c r="X2912" i="3"/>
  <c r="U2912" i="3"/>
  <c r="W2912" i="3"/>
  <c r="Y2912" i="3"/>
  <c r="T2910" i="3"/>
  <c r="V2910" i="3"/>
  <c r="X2910" i="3"/>
  <c r="U2910" i="3"/>
  <c r="W2910" i="3"/>
  <c r="Y2910" i="3"/>
  <c r="T2908" i="3"/>
  <c r="V2908" i="3"/>
  <c r="X2908" i="3"/>
  <c r="U2908" i="3"/>
  <c r="W2908" i="3"/>
  <c r="Y2908" i="3"/>
  <c r="U2904" i="3"/>
  <c r="W2904" i="3"/>
  <c r="Y2904" i="3"/>
  <c r="T2904" i="3"/>
  <c r="V2904" i="3"/>
  <c r="X2904" i="3"/>
  <c r="U2900" i="3"/>
  <c r="W2900" i="3"/>
  <c r="Y2900" i="3"/>
  <c r="T2900" i="3"/>
  <c r="V2900" i="3"/>
  <c r="X2900" i="3"/>
  <c r="U2898" i="3"/>
  <c r="W2898" i="3"/>
  <c r="Y2898" i="3"/>
  <c r="T2898" i="3"/>
  <c r="V2898" i="3"/>
  <c r="X2898" i="3"/>
  <c r="U2906" i="3"/>
  <c r="W2906" i="3"/>
  <c r="Y2906" i="3"/>
  <c r="T2906" i="3"/>
  <c r="V2906" i="3"/>
  <c r="X2906" i="3"/>
  <c r="U2902" i="3"/>
  <c r="W2902" i="3"/>
  <c r="Y2902" i="3"/>
  <c r="T2902" i="3"/>
  <c r="V2902" i="3"/>
  <c r="X2902" i="3"/>
  <c r="T2905" i="3"/>
  <c r="V2905" i="3"/>
  <c r="X2905" i="3"/>
  <c r="U2905" i="3"/>
  <c r="W2905" i="3"/>
  <c r="Y2905" i="3"/>
  <c r="T2903" i="3"/>
  <c r="V2903" i="3"/>
  <c r="X2903" i="3"/>
  <c r="U2903" i="3"/>
  <c r="W2903" i="3"/>
  <c r="Y2903" i="3"/>
  <c r="T2901" i="3"/>
  <c r="V2901" i="3"/>
  <c r="X2901" i="3"/>
  <c r="U2901" i="3"/>
  <c r="W2901" i="3"/>
  <c r="Y2901" i="3"/>
  <c r="T2899" i="3"/>
  <c r="V2899" i="3"/>
  <c r="X2899" i="3"/>
  <c r="U2899" i="3"/>
  <c r="W2899" i="3"/>
  <c r="Y2899" i="3"/>
  <c r="T2897" i="3"/>
  <c r="V2897" i="3"/>
  <c r="X2897" i="3"/>
  <c r="U2897" i="3"/>
  <c r="W2897" i="3"/>
  <c r="Y2897" i="3"/>
  <c r="S2885" i="3"/>
  <c r="Z2885" i="3" s="1"/>
  <c r="U2895" i="3"/>
  <c r="W2895" i="3"/>
  <c r="Y2895" i="3"/>
  <c r="T2895" i="3"/>
  <c r="V2895" i="3"/>
  <c r="X2895" i="3"/>
  <c r="U2893" i="3"/>
  <c r="W2893" i="3"/>
  <c r="Y2893" i="3"/>
  <c r="T2893" i="3"/>
  <c r="V2893" i="3"/>
  <c r="X2893" i="3"/>
  <c r="U2889" i="3"/>
  <c r="W2889" i="3"/>
  <c r="Y2889" i="3"/>
  <c r="T2889" i="3"/>
  <c r="V2889" i="3"/>
  <c r="X2889" i="3"/>
  <c r="U2891" i="3"/>
  <c r="W2891" i="3"/>
  <c r="Y2891" i="3"/>
  <c r="T2891" i="3"/>
  <c r="V2891" i="3"/>
  <c r="X2891" i="3"/>
  <c r="U2887" i="3"/>
  <c r="W2887" i="3"/>
  <c r="Y2887" i="3"/>
  <c r="T2887" i="3"/>
  <c r="V2887" i="3"/>
  <c r="X2887" i="3"/>
  <c r="T2894" i="3"/>
  <c r="V2894" i="3"/>
  <c r="X2894" i="3"/>
  <c r="U2894" i="3"/>
  <c r="W2894" i="3"/>
  <c r="Y2894" i="3"/>
  <c r="T2892" i="3"/>
  <c r="V2892" i="3"/>
  <c r="X2892" i="3"/>
  <c r="U2892" i="3"/>
  <c r="W2892" i="3"/>
  <c r="Y2892" i="3"/>
  <c r="T2890" i="3"/>
  <c r="V2890" i="3"/>
  <c r="X2890" i="3"/>
  <c r="U2890" i="3"/>
  <c r="W2890" i="3"/>
  <c r="Y2890" i="3"/>
  <c r="T2888" i="3"/>
  <c r="V2888" i="3"/>
  <c r="X2888" i="3"/>
  <c r="U2888" i="3"/>
  <c r="W2888" i="3"/>
  <c r="Y2888" i="3"/>
  <c r="T2886" i="3"/>
  <c r="V2886" i="3"/>
  <c r="X2886" i="3"/>
  <c r="U2886" i="3"/>
  <c r="W2886" i="3"/>
  <c r="Y2886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P2873" i="3"/>
  <c r="P2874" i="3"/>
  <c r="P2875" i="3"/>
  <c r="P2876" i="3"/>
  <c r="P2877" i="3"/>
  <c r="P2878" i="3"/>
  <c r="P2879" i="3"/>
  <c r="P2880" i="3"/>
  <c r="P2881" i="3"/>
  <c r="P2882" i="3"/>
  <c r="P2883" i="3"/>
  <c r="P2884" i="3"/>
  <c r="Q2873" i="3"/>
  <c r="Q2874" i="3"/>
  <c r="Q2875" i="3"/>
  <c r="Q2876" i="3"/>
  <c r="Q2877" i="3"/>
  <c r="Q2878" i="3"/>
  <c r="Q2879" i="3"/>
  <c r="Q2880" i="3"/>
  <c r="Q2881" i="3"/>
  <c r="Q2882" i="3"/>
  <c r="Q2883" i="3"/>
  <c r="Q2884" i="3"/>
  <c r="R2873" i="3"/>
  <c r="R2874" i="3"/>
  <c r="R2875" i="3"/>
  <c r="R2876" i="3"/>
  <c r="R2877" i="3"/>
  <c r="R2878" i="3"/>
  <c r="R2879" i="3"/>
  <c r="R2880" i="3"/>
  <c r="R2881" i="3"/>
  <c r="R2882" i="3"/>
  <c r="R2883" i="3"/>
  <c r="R2884" i="3"/>
  <c r="S2874" i="3"/>
  <c r="S2875" i="3"/>
  <c r="S2876" i="3"/>
  <c r="S2877" i="3"/>
  <c r="S2878" i="3"/>
  <c r="S2879" i="3"/>
  <c r="S2880" i="3"/>
  <c r="S2881" i="3"/>
  <c r="S2882" i="3"/>
  <c r="S2883" i="3"/>
  <c r="S2884" i="3"/>
  <c r="T2873" i="3"/>
  <c r="U2873" i="3"/>
  <c r="V2873" i="3"/>
  <c r="W2873" i="3"/>
  <c r="X2873" i="3"/>
  <c r="AA2873" i="3"/>
  <c r="AA2874" i="3"/>
  <c r="AA2875" i="3"/>
  <c r="AA2876" i="3"/>
  <c r="AA2877" i="3"/>
  <c r="AA2878" i="3"/>
  <c r="AA2879" i="3"/>
  <c r="AA2880" i="3"/>
  <c r="AA2881" i="3"/>
  <c r="AA2882" i="3"/>
  <c r="AA2883" i="3"/>
  <c r="AA2884" i="3"/>
  <c r="AB2873" i="3"/>
  <c r="O2873" i="3" s="1"/>
  <c r="Y2873" i="3" s="1"/>
  <c r="AB2874" i="3"/>
  <c r="O2874" i="3" s="1"/>
  <c r="AB2875" i="3"/>
  <c r="O2875" i="3" s="1"/>
  <c r="AB2876" i="3"/>
  <c r="O2876" i="3" s="1"/>
  <c r="AB2877" i="3"/>
  <c r="O2877" i="3" s="1"/>
  <c r="AB2878" i="3"/>
  <c r="O2878" i="3" s="1"/>
  <c r="AB2879" i="3"/>
  <c r="O2879" i="3" s="1"/>
  <c r="AB2880" i="3"/>
  <c r="O2880" i="3" s="1"/>
  <c r="AB2881" i="3"/>
  <c r="O2881" i="3" s="1"/>
  <c r="AB2882" i="3"/>
  <c r="O2882" i="3" s="1"/>
  <c r="AB2883" i="3"/>
  <c r="O2883" i="3" s="1"/>
  <c r="AB2884" i="3"/>
  <c r="O2884" i="3" s="1"/>
  <c r="AC2873" i="3"/>
  <c r="N2873" i="3" s="1"/>
  <c r="AC2874" i="3"/>
  <c r="N2874" i="3" s="1"/>
  <c r="AC2875" i="3"/>
  <c r="N2875" i="3" s="1"/>
  <c r="AC2876" i="3"/>
  <c r="N2876" i="3" s="1"/>
  <c r="AC2877" i="3"/>
  <c r="N2877" i="3" s="1"/>
  <c r="AC2878" i="3"/>
  <c r="N2878" i="3" s="1"/>
  <c r="AC2879" i="3"/>
  <c r="N2879" i="3" s="1"/>
  <c r="AC2880" i="3"/>
  <c r="N2880" i="3" s="1"/>
  <c r="AC2881" i="3"/>
  <c r="N2881" i="3" s="1"/>
  <c r="AC2882" i="3"/>
  <c r="N2882" i="3" s="1"/>
  <c r="AC2883" i="3"/>
  <c r="N2883" i="3" s="1"/>
  <c r="AC2884" i="3"/>
  <c r="N2884" i="3" s="1"/>
  <c r="AK2873" i="3"/>
  <c r="AK2874" i="3"/>
  <c r="AK2875" i="3"/>
  <c r="AK2876" i="3"/>
  <c r="AK2877" i="3"/>
  <c r="AK2878" i="3"/>
  <c r="AK2879" i="3"/>
  <c r="AK2880" i="3"/>
  <c r="AK2881" i="3"/>
  <c r="AK2882" i="3"/>
  <c r="AK2883" i="3"/>
  <c r="AK2884" i="3"/>
  <c r="M161" i="10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P2848" i="3"/>
  <c r="P2849" i="3"/>
  <c r="P2850" i="3"/>
  <c r="P2851" i="3"/>
  <c r="P2852" i="3"/>
  <c r="P2853" i="3"/>
  <c r="P2854" i="3"/>
  <c r="P2855" i="3"/>
  <c r="P2856" i="3"/>
  <c r="P2857" i="3"/>
  <c r="P2858" i="3"/>
  <c r="P2859" i="3"/>
  <c r="P2860" i="3"/>
  <c r="P2861" i="3"/>
  <c r="P2862" i="3"/>
  <c r="P2863" i="3"/>
  <c r="P2864" i="3"/>
  <c r="P2865" i="3"/>
  <c r="P2866" i="3"/>
  <c r="P2867" i="3"/>
  <c r="P2868" i="3"/>
  <c r="P2869" i="3"/>
  <c r="P2870" i="3"/>
  <c r="P2871" i="3"/>
  <c r="P2872" i="3"/>
  <c r="Q2848" i="3"/>
  <c r="Q2849" i="3"/>
  <c r="Q2850" i="3"/>
  <c r="Q2851" i="3"/>
  <c r="Q2852" i="3"/>
  <c r="Q2853" i="3"/>
  <c r="Q2854" i="3"/>
  <c r="Q2855" i="3"/>
  <c r="Q2856" i="3"/>
  <c r="Q2857" i="3"/>
  <c r="Q2858" i="3"/>
  <c r="Q2859" i="3"/>
  <c r="Q2860" i="3"/>
  <c r="Q2861" i="3"/>
  <c r="Q2862" i="3"/>
  <c r="Q2863" i="3"/>
  <c r="Q2864" i="3"/>
  <c r="Q2865" i="3"/>
  <c r="Q2866" i="3"/>
  <c r="Q2867" i="3"/>
  <c r="Q2868" i="3"/>
  <c r="Q2869" i="3"/>
  <c r="Q2870" i="3"/>
  <c r="Q2871" i="3"/>
  <c r="Q2872" i="3"/>
  <c r="R2848" i="3"/>
  <c r="R2849" i="3"/>
  <c r="R2850" i="3"/>
  <c r="R2851" i="3"/>
  <c r="R2852" i="3"/>
  <c r="R2853" i="3"/>
  <c r="R2854" i="3"/>
  <c r="R2855" i="3"/>
  <c r="R2856" i="3"/>
  <c r="R2857" i="3"/>
  <c r="R2858" i="3"/>
  <c r="R2859" i="3"/>
  <c r="R2860" i="3"/>
  <c r="R2861" i="3"/>
  <c r="R2862" i="3"/>
  <c r="R2863" i="3"/>
  <c r="R2864" i="3"/>
  <c r="R2865" i="3"/>
  <c r="R2866" i="3"/>
  <c r="R2867" i="3"/>
  <c r="R2868" i="3"/>
  <c r="R2869" i="3"/>
  <c r="R2870" i="3"/>
  <c r="R2871" i="3"/>
  <c r="R2872" i="3"/>
  <c r="S2849" i="3"/>
  <c r="S2850" i="3"/>
  <c r="S2851" i="3"/>
  <c r="S2852" i="3"/>
  <c r="S2853" i="3"/>
  <c r="S2854" i="3"/>
  <c r="S2855" i="3"/>
  <c r="S2856" i="3"/>
  <c r="S2857" i="3"/>
  <c r="S2858" i="3"/>
  <c r="S2859" i="3"/>
  <c r="S2860" i="3"/>
  <c r="S2861" i="3"/>
  <c r="S2863" i="3"/>
  <c r="S2864" i="3"/>
  <c r="S2865" i="3"/>
  <c r="S2866" i="3"/>
  <c r="S2867" i="3"/>
  <c r="S2868" i="3"/>
  <c r="S2869" i="3"/>
  <c r="S2870" i="3"/>
  <c r="S2871" i="3"/>
  <c r="S2872" i="3"/>
  <c r="T2848" i="3"/>
  <c r="T2862" i="3"/>
  <c r="U2848" i="3"/>
  <c r="U2862" i="3"/>
  <c r="V2848" i="3"/>
  <c r="V2862" i="3"/>
  <c r="W2848" i="3"/>
  <c r="W2862" i="3"/>
  <c r="X2848" i="3"/>
  <c r="X2862" i="3"/>
  <c r="AA2848" i="3"/>
  <c r="AA2849" i="3"/>
  <c r="AA2850" i="3"/>
  <c r="AA2851" i="3"/>
  <c r="AA2852" i="3"/>
  <c r="AA2853" i="3"/>
  <c r="AA2854" i="3"/>
  <c r="AA2855" i="3"/>
  <c r="AA2856" i="3"/>
  <c r="AA2857" i="3"/>
  <c r="AA2858" i="3"/>
  <c r="AA2859" i="3"/>
  <c r="AA2860" i="3"/>
  <c r="AA2861" i="3"/>
  <c r="AA2862" i="3"/>
  <c r="AA2863" i="3"/>
  <c r="AA2864" i="3"/>
  <c r="AA2865" i="3"/>
  <c r="AA2866" i="3"/>
  <c r="AA2867" i="3"/>
  <c r="AA2868" i="3"/>
  <c r="AA2869" i="3"/>
  <c r="AA2870" i="3"/>
  <c r="AA2871" i="3"/>
  <c r="AA2872" i="3"/>
  <c r="AB2848" i="3"/>
  <c r="O2848" i="3" s="1"/>
  <c r="Y2848" i="3" s="1"/>
  <c r="AB2849" i="3"/>
  <c r="O2849" i="3" s="1"/>
  <c r="AB2850" i="3"/>
  <c r="O2850" i="3" s="1"/>
  <c r="AB2851" i="3"/>
  <c r="O2851" i="3" s="1"/>
  <c r="AB2852" i="3"/>
  <c r="O2852" i="3" s="1"/>
  <c r="AB2853" i="3"/>
  <c r="O2853" i="3" s="1"/>
  <c r="AB2854" i="3"/>
  <c r="O2854" i="3" s="1"/>
  <c r="AB2855" i="3"/>
  <c r="O2855" i="3" s="1"/>
  <c r="AB2856" i="3"/>
  <c r="O2856" i="3" s="1"/>
  <c r="AB2857" i="3"/>
  <c r="O2857" i="3" s="1"/>
  <c r="AB2858" i="3"/>
  <c r="O2858" i="3" s="1"/>
  <c r="AB2859" i="3"/>
  <c r="O2859" i="3" s="1"/>
  <c r="AB2860" i="3"/>
  <c r="O2860" i="3" s="1"/>
  <c r="AB2861" i="3"/>
  <c r="O2861" i="3" s="1"/>
  <c r="AB2862" i="3"/>
  <c r="O2862" i="3" s="1"/>
  <c r="Y2862" i="3" s="1"/>
  <c r="AB2863" i="3"/>
  <c r="O2863" i="3" s="1"/>
  <c r="AB2864" i="3"/>
  <c r="O2864" i="3" s="1"/>
  <c r="AB2865" i="3"/>
  <c r="O2865" i="3" s="1"/>
  <c r="AB2866" i="3"/>
  <c r="O2866" i="3" s="1"/>
  <c r="AB2867" i="3"/>
  <c r="O2867" i="3" s="1"/>
  <c r="AB2868" i="3"/>
  <c r="O2868" i="3" s="1"/>
  <c r="AB2869" i="3"/>
  <c r="O2869" i="3" s="1"/>
  <c r="AB2870" i="3"/>
  <c r="O2870" i="3" s="1"/>
  <c r="AB2871" i="3"/>
  <c r="O2871" i="3" s="1"/>
  <c r="AB2872" i="3"/>
  <c r="O2872" i="3" s="1"/>
  <c r="AC2848" i="3"/>
  <c r="N2848" i="3" s="1"/>
  <c r="AC2849" i="3"/>
  <c r="N2849" i="3" s="1"/>
  <c r="AC2850" i="3"/>
  <c r="N2850" i="3" s="1"/>
  <c r="AC2851" i="3"/>
  <c r="N2851" i="3" s="1"/>
  <c r="AC2852" i="3"/>
  <c r="N2852" i="3" s="1"/>
  <c r="AC2853" i="3"/>
  <c r="N2853" i="3" s="1"/>
  <c r="AC2854" i="3"/>
  <c r="N2854" i="3" s="1"/>
  <c r="AC2855" i="3"/>
  <c r="N2855" i="3" s="1"/>
  <c r="AC2856" i="3"/>
  <c r="N2856" i="3" s="1"/>
  <c r="AC2857" i="3"/>
  <c r="N2857" i="3" s="1"/>
  <c r="AC2858" i="3"/>
  <c r="N2858" i="3" s="1"/>
  <c r="AC2859" i="3"/>
  <c r="N2859" i="3" s="1"/>
  <c r="AC2860" i="3"/>
  <c r="N2860" i="3" s="1"/>
  <c r="AC2861" i="3"/>
  <c r="N2861" i="3" s="1"/>
  <c r="AC2862" i="3"/>
  <c r="N2862" i="3" s="1"/>
  <c r="AC2863" i="3"/>
  <c r="N2863" i="3" s="1"/>
  <c r="AC2864" i="3"/>
  <c r="N2864" i="3" s="1"/>
  <c r="AC2865" i="3"/>
  <c r="N2865" i="3" s="1"/>
  <c r="AC2866" i="3"/>
  <c r="N2866" i="3" s="1"/>
  <c r="AC2867" i="3"/>
  <c r="N2867" i="3" s="1"/>
  <c r="AC2868" i="3"/>
  <c r="N2868" i="3" s="1"/>
  <c r="AC2869" i="3"/>
  <c r="N2869" i="3" s="1"/>
  <c r="AC2870" i="3"/>
  <c r="N2870" i="3" s="1"/>
  <c r="AC2871" i="3"/>
  <c r="N2871" i="3" s="1"/>
  <c r="AC2872" i="3"/>
  <c r="N2872" i="3" s="1"/>
  <c r="AK2848" i="3"/>
  <c r="AK2849" i="3"/>
  <c r="AK2850" i="3"/>
  <c r="AK2851" i="3"/>
  <c r="AK2852" i="3"/>
  <c r="AK2853" i="3"/>
  <c r="AK2854" i="3"/>
  <c r="AK2855" i="3"/>
  <c r="AK2856" i="3"/>
  <c r="AK2857" i="3"/>
  <c r="AK2858" i="3"/>
  <c r="AK2859" i="3"/>
  <c r="AK2860" i="3"/>
  <c r="AK2861" i="3"/>
  <c r="AK2862" i="3"/>
  <c r="AK2863" i="3"/>
  <c r="AK2864" i="3"/>
  <c r="AK2865" i="3"/>
  <c r="AK2866" i="3"/>
  <c r="AK2867" i="3"/>
  <c r="AK2868" i="3"/>
  <c r="AK2869" i="3"/>
  <c r="AK2870" i="3"/>
  <c r="AK2871" i="3"/>
  <c r="AK2872" i="3"/>
  <c r="M160" i="10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P2825" i="3"/>
  <c r="P2826" i="3"/>
  <c r="P2827" i="3"/>
  <c r="P2828" i="3"/>
  <c r="P2829" i="3"/>
  <c r="P2830" i="3"/>
  <c r="P2831" i="3"/>
  <c r="P2832" i="3"/>
  <c r="P2833" i="3"/>
  <c r="P2834" i="3"/>
  <c r="P2835" i="3"/>
  <c r="P2836" i="3"/>
  <c r="P2837" i="3"/>
  <c r="P2838" i="3"/>
  <c r="P2839" i="3"/>
  <c r="P2840" i="3"/>
  <c r="P2841" i="3"/>
  <c r="P2842" i="3"/>
  <c r="P2843" i="3"/>
  <c r="P2844" i="3"/>
  <c r="P2845" i="3"/>
  <c r="P2846" i="3"/>
  <c r="P2847" i="3"/>
  <c r="Q2825" i="3"/>
  <c r="Q2826" i="3"/>
  <c r="Q2827" i="3"/>
  <c r="Q2828" i="3"/>
  <c r="Q2829" i="3"/>
  <c r="Q2830" i="3"/>
  <c r="Q2831" i="3"/>
  <c r="Q2832" i="3"/>
  <c r="Q2833" i="3"/>
  <c r="Q2834" i="3"/>
  <c r="Q2835" i="3"/>
  <c r="Q2836" i="3"/>
  <c r="Q2837" i="3"/>
  <c r="Q2838" i="3"/>
  <c r="Q2839" i="3"/>
  <c r="Q2840" i="3"/>
  <c r="Q2841" i="3"/>
  <c r="Q2842" i="3"/>
  <c r="Q2843" i="3"/>
  <c r="Q2844" i="3"/>
  <c r="Q2845" i="3"/>
  <c r="Q2846" i="3"/>
  <c r="Q2847" i="3"/>
  <c r="R2825" i="3"/>
  <c r="R2826" i="3"/>
  <c r="R2827" i="3"/>
  <c r="R2828" i="3"/>
  <c r="R2829" i="3"/>
  <c r="R2830" i="3"/>
  <c r="R2831" i="3"/>
  <c r="R2832" i="3"/>
  <c r="R2833" i="3"/>
  <c r="R2834" i="3"/>
  <c r="R2835" i="3"/>
  <c r="R2836" i="3"/>
  <c r="R2837" i="3"/>
  <c r="R2838" i="3"/>
  <c r="R2839" i="3"/>
  <c r="R2840" i="3"/>
  <c r="R2841" i="3"/>
  <c r="R2842" i="3"/>
  <c r="R2843" i="3"/>
  <c r="R2844" i="3"/>
  <c r="R2845" i="3"/>
  <c r="R2846" i="3"/>
  <c r="R2847" i="3"/>
  <c r="S2826" i="3"/>
  <c r="S2827" i="3"/>
  <c r="S2828" i="3"/>
  <c r="S2829" i="3"/>
  <c r="S2830" i="3"/>
  <c r="S2831" i="3"/>
  <c r="S2832" i="3"/>
  <c r="S2833" i="3"/>
  <c r="S2834" i="3"/>
  <c r="S2835" i="3"/>
  <c r="S2837" i="3"/>
  <c r="S2838" i="3"/>
  <c r="S2839" i="3"/>
  <c r="S2840" i="3"/>
  <c r="S2841" i="3"/>
  <c r="S2842" i="3"/>
  <c r="S2843" i="3"/>
  <c r="S2844" i="3"/>
  <c r="S2845" i="3"/>
  <c r="S2846" i="3"/>
  <c r="S2847" i="3"/>
  <c r="T2825" i="3"/>
  <c r="T2836" i="3"/>
  <c r="U2825" i="3"/>
  <c r="U2836" i="3"/>
  <c r="V2825" i="3"/>
  <c r="V2836" i="3"/>
  <c r="W2825" i="3"/>
  <c r="W2836" i="3"/>
  <c r="X2825" i="3"/>
  <c r="X2836" i="3"/>
  <c r="AA2825" i="3"/>
  <c r="AA2826" i="3"/>
  <c r="AA2827" i="3"/>
  <c r="AA2828" i="3"/>
  <c r="AA2829" i="3"/>
  <c r="AA2830" i="3"/>
  <c r="AA2831" i="3"/>
  <c r="AA2832" i="3"/>
  <c r="AA2833" i="3"/>
  <c r="AA2834" i="3"/>
  <c r="AA2835" i="3"/>
  <c r="AA2836" i="3"/>
  <c r="AA2837" i="3"/>
  <c r="AA2838" i="3"/>
  <c r="AA2839" i="3"/>
  <c r="AA2840" i="3"/>
  <c r="AA2841" i="3"/>
  <c r="AA2842" i="3"/>
  <c r="AA2843" i="3"/>
  <c r="AA2844" i="3"/>
  <c r="AA2845" i="3"/>
  <c r="AA2846" i="3"/>
  <c r="AA2847" i="3"/>
  <c r="AB2825" i="3"/>
  <c r="O2825" i="3" s="1"/>
  <c r="Y2825" i="3" s="1"/>
  <c r="AB2826" i="3"/>
  <c r="O2826" i="3" s="1"/>
  <c r="AB2827" i="3"/>
  <c r="O2827" i="3" s="1"/>
  <c r="AB2828" i="3"/>
  <c r="O2828" i="3" s="1"/>
  <c r="AB2829" i="3"/>
  <c r="O2829" i="3" s="1"/>
  <c r="AB2830" i="3"/>
  <c r="O2830" i="3" s="1"/>
  <c r="AB2831" i="3"/>
  <c r="O2831" i="3" s="1"/>
  <c r="AB2832" i="3"/>
  <c r="O2832" i="3" s="1"/>
  <c r="AB2833" i="3"/>
  <c r="O2833" i="3" s="1"/>
  <c r="AB2834" i="3"/>
  <c r="O2834" i="3" s="1"/>
  <c r="AB2835" i="3"/>
  <c r="O2835" i="3" s="1"/>
  <c r="AB2836" i="3"/>
  <c r="O2836" i="3" s="1"/>
  <c r="Y2836" i="3" s="1"/>
  <c r="AB2837" i="3"/>
  <c r="O2837" i="3" s="1"/>
  <c r="AB2838" i="3"/>
  <c r="O2838" i="3" s="1"/>
  <c r="AB2839" i="3"/>
  <c r="O2839" i="3" s="1"/>
  <c r="AB2840" i="3"/>
  <c r="O2840" i="3" s="1"/>
  <c r="AB2841" i="3"/>
  <c r="O2841" i="3" s="1"/>
  <c r="AB2842" i="3"/>
  <c r="O2842" i="3" s="1"/>
  <c r="AB2843" i="3"/>
  <c r="O2843" i="3" s="1"/>
  <c r="AB2844" i="3"/>
  <c r="O2844" i="3" s="1"/>
  <c r="AB2845" i="3"/>
  <c r="O2845" i="3" s="1"/>
  <c r="AB2846" i="3"/>
  <c r="O2846" i="3" s="1"/>
  <c r="AB2847" i="3"/>
  <c r="O2847" i="3" s="1"/>
  <c r="AC2825" i="3"/>
  <c r="N2825" i="3" s="1"/>
  <c r="AC2826" i="3"/>
  <c r="N2826" i="3" s="1"/>
  <c r="AC2827" i="3"/>
  <c r="N2827" i="3" s="1"/>
  <c r="AC2828" i="3"/>
  <c r="N2828" i="3" s="1"/>
  <c r="AC2829" i="3"/>
  <c r="N2829" i="3" s="1"/>
  <c r="AC2830" i="3"/>
  <c r="N2830" i="3" s="1"/>
  <c r="AC2831" i="3"/>
  <c r="N2831" i="3" s="1"/>
  <c r="AC2832" i="3"/>
  <c r="N2832" i="3" s="1"/>
  <c r="AC2833" i="3"/>
  <c r="N2833" i="3" s="1"/>
  <c r="AC2834" i="3"/>
  <c r="N2834" i="3" s="1"/>
  <c r="AC2835" i="3"/>
  <c r="N2835" i="3" s="1"/>
  <c r="AC2836" i="3"/>
  <c r="N2836" i="3" s="1"/>
  <c r="AC2837" i="3"/>
  <c r="N2837" i="3" s="1"/>
  <c r="AC2838" i="3"/>
  <c r="N2838" i="3" s="1"/>
  <c r="AC2839" i="3"/>
  <c r="N2839" i="3" s="1"/>
  <c r="AC2840" i="3"/>
  <c r="N2840" i="3" s="1"/>
  <c r="AC2841" i="3"/>
  <c r="N2841" i="3" s="1"/>
  <c r="AC2842" i="3"/>
  <c r="N2842" i="3" s="1"/>
  <c r="AC2843" i="3"/>
  <c r="N2843" i="3" s="1"/>
  <c r="AC2844" i="3"/>
  <c r="N2844" i="3" s="1"/>
  <c r="AC2845" i="3"/>
  <c r="N2845" i="3" s="1"/>
  <c r="AC2846" i="3"/>
  <c r="N2846" i="3" s="1"/>
  <c r="AC2847" i="3"/>
  <c r="N2847" i="3" s="1"/>
  <c r="AK2825" i="3"/>
  <c r="AK2826" i="3"/>
  <c r="AK2827" i="3"/>
  <c r="AK2828" i="3"/>
  <c r="AK2829" i="3"/>
  <c r="AK2830" i="3"/>
  <c r="AK2831" i="3"/>
  <c r="AK2832" i="3"/>
  <c r="AK2833" i="3"/>
  <c r="AK2834" i="3"/>
  <c r="AK2835" i="3"/>
  <c r="AK2836" i="3"/>
  <c r="AK2837" i="3"/>
  <c r="AK2838" i="3"/>
  <c r="AK2839" i="3"/>
  <c r="AK2840" i="3"/>
  <c r="AK2841" i="3"/>
  <c r="AK2842" i="3"/>
  <c r="AK2843" i="3"/>
  <c r="AK2844" i="3"/>
  <c r="AK2845" i="3"/>
  <c r="AK2846" i="3"/>
  <c r="AK2847" i="3"/>
  <c r="M159" i="10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P2799" i="3"/>
  <c r="P2800" i="3"/>
  <c r="P2801" i="3"/>
  <c r="P2802" i="3"/>
  <c r="P2803" i="3"/>
  <c r="P2804" i="3"/>
  <c r="P2805" i="3"/>
  <c r="P2806" i="3"/>
  <c r="P2807" i="3"/>
  <c r="P2808" i="3"/>
  <c r="P2809" i="3"/>
  <c r="P2810" i="3"/>
  <c r="P2811" i="3"/>
  <c r="P2812" i="3"/>
  <c r="P2813" i="3"/>
  <c r="P2814" i="3"/>
  <c r="P2815" i="3"/>
  <c r="P2816" i="3"/>
  <c r="P2817" i="3"/>
  <c r="P2818" i="3"/>
  <c r="P2819" i="3"/>
  <c r="P2820" i="3"/>
  <c r="P2821" i="3"/>
  <c r="P2822" i="3"/>
  <c r="P2823" i="3"/>
  <c r="P2824" i="3"/>
  <c r="Q2799" i="3"/>
  <c r="Q2800" i="3"/>
  <c r="Q2801" i="3"/>
  <c r="Q2802" i="3"/>
  <c r="Q2803" i="3"/>
  <c r="Q2804" i="3"/>
  <c r="Q2805" i="3"/>
  <c r="Q2806" i="3"/>
  <c r="Q2807" i="3"/>
  <c r="Q2808" i="3"/>
  <c r="Q2809" i="3"/>
  <c r="Q2810" i="3"/>
  <c r="Q2811" i="3"/>
  <c r="Q2812" i="3"/>
  <c r="Q2813" i="3"/>
  <c r="Q2814" i="3"/>
  <c r="Q2815" i="3"/>
  <c r="Q2816" i="3"/>
  <c r="Q2817" i="3"/>
  <c r="Q2818" i="3"/>
  <c r="Q2819" i="3"/>
  <c r="Q2820" i="3"/>
  <c r="Q2821" i="3"/>
  <c r="Q2822" i="3"/>
  <c r="Q2823" i="3"/>
  <c r="Q2824" i="3"/>
  <c r="R2799" i="3"/>
  <c r="R2800" i="3"/>
  <c r="R2801" i="3"/>
  <c r="R2802" i="3"/>
  <c r="R2803" i="3"/>
  <c r="R2804" i="3"/>
  <c r="R2805" i="3"/>
  <c r="R2806" i="3"/>
  <c r="R2807" i="3"/>
  <c r="R2808" i="3"/>
  <c r="R2809" i="3"/>
  <c r="R2810" i="3"/>
  <c r="R2811" i="3"/>
  <c r="R2812" i="3"/>
  <c r="R2813" i="3"/>
  <c r="R2814" i="3"/>
  <c r="R2815" i="3"/>
  <c r="R2816" i="3"/>
  <c r="R2817" i="3"/>
  <c r="R2818" i="3"/>
  <c r="R2819" i="3"/>
  <c r="R2820" i="3"/>
  <c r="R2821" i="3"/>
  <c r="R2822" i="3"/>
  <c r="R2823" i="3"/>
  <c r="R2824" i="3"/>
  <c r="S2800" i="3"/>
  <c r="S2801" i="3"/>
  <c r="S2802" i="3"/>
  <c r="S2803" i="3"/>
  <c r="S2804" i="3"/>
  <c r="S2805" i="3"/>
  <c r="S2806" i="3"/>
  <c r="S2807" i="3"/>
  <c r="S2808" i="3"/>
  <c r="S2809" i="3"/>
  <c r="S2810" i="3"/>
  <c r="S2812" i="3"/>
  <c r="S2813" i="3"/>
  <c r="S2814" i="3"/>
  <c r="S2815" i="3"/>
  <c r="S2816" i="3"/>
  <c r="S2817" i="3"/>
  <c r="S2818" i="3"/>
  <c r="S2819" i="3"/>
  <c r="S2820" i="3"/>
  <c r="S2821" i="3"/>
  <c r="S2822" i="3"/>
  <c r="S2823" i="3"/>
  <c r="S2824" i="3"/>
  <c r="T2799" i="3"/>
  <c r="T2811" i="3"/>
  <c r="U2799" i="3"/>
  <c r="U2811" i="3"/>
  <c r="V2799" i="3"/>
  <c r="V2811" i="3"/>
  <c r="W2799" i="3"/>
  <c r="W2811" i="3"/>
  <c r="X2799" i="3"/>
  <c r="X2811" i="3"/>
  <c r="AA2799" i="3"/>
  <c r="AA2800" i="3"/>
  <c r="AA2801" i="3"/>
  <c r="AA2802" i="3"/>
  <c r="AA2803" i="3"/>
  <c r="AA2804" i="3"/>
  <c r="AA2805" i="3"/>
  <c r="AA2806" i="3"/>
  <c r="AA2807" i="3"/>
  <c r="AA2808" i="3"/>
  <c r="AA2809" i="3"/>
  <c r="AA2810" i="3"/>
  <c r="AA2811" i="3"/>
  <c r="AA2812" i="3"/>
  <c r="AA2813" i="3"/>
  <c r="AA2814" i="3"/>
  <c r="AA2815" i="3"/>
  <c r="AA2816" i="3"/>
  <c r="AA2817" i="3"/>
  <c r="AA2818" i="3"/>
  <c r="AA2819" i="3"/>
  <c r="AA2820" i="3"/>
  <c r="AA2821" i="3"/>
  <c r="AA2822" i="3"/>
  <c r="AA2823" i="3"/>
  <c r="AA2824" i="3"/>
  <c r="AB2799" i="3"/>
  <c r="O2799" i="3" s="1"/>
  <c r="Y2799" i="3" s="1"/>
  <c r="AB2800" i="3"/>
  <c r="O2800" i="3" s="1"/>
  <c r="AB2801" i="3"/>
  <c r="O2801" i="3" s="1"/>
  <c r="AB2802" i="3"/>
  <c r="O2802" i="3" s="1"/>
  <c r="AB2803" i="3"/>
  <c r="O2803" i="3" s="1"/>
  <c r="AB2804" i="3"/>
  <c r="O2804" i="3" s="1"/>
  <c r="AB2805" i="3"/>
  <c r="O2805" i="3" s="1"/>
  <c r="AB2806" i="3"/>
  <c r="O2806" i="3" s="1"/>
  <c r="AB2807" i="3"/>
  <c r="O2807" i="3" s="1"/>
  <c r="AB2808" i="3"/>
  <c r="O2808" i="3" s="1"/>
  <c r="AB2809" i="3"/>
  <c r="O2809" i="3" s="1"/>
  <c r="AB2810" i="3"/>
  <c r="O2810" i="3" s="1"/>
  <c r="AB2811" i="3"/>
  <c r="O2811" i="3" s="1"/>
  <c r="Y2811" i="3" s="1"/>
  <c r="AB2812" i="3"/>
  <c r="O2812" i="3" s="1"/>
  <c r="AB2813" i="3"/>
  <c r="O2813" i="3" s="1"/>
  <c r="AB2814" i="3"/>
  <c r="O2814" i="3" s="1"/>
  <c r="AB2815" i="3"/>
  <c r="O2815" i="3" s="1"/>
  <c r="AB2816" i="3"/>
  <c r="O2816" i="3" s="1"/>
  <c r="AB2817" i="3"/>
  <c r="O2817" i="3" s="1"/>
  <c r="AB2818" i="3"/>
  <c r="O2818" i="3" s="1"/>
  <c r="AB2819" i="3"/>
  <c r="O2819" i="3" s="1"/>
  <c r="AB2820" i="3"/>
  <c r="O2820" i="3" s="1"/>
  <c r="AB2821" i="3"/>
  <c r="O2821" i="3" s="1"/>
  <c r="AB2822" i="3"/>
  <c r="O2822" i="3" s="1"/>
  <c r="AB2823" i="3"/>
  <c r="O2823" i="3" s="1"/>
  <c r="AB2824" i="3"/>
  <c r="O2824" i="3" s="1"/>
  <c r="AC2799" i="3"/>
  <c r="N2799" i="3" s="1"/>
  <c r="S2799" i="3" s="1"/>
  <c r="AC2800" i="3"/>
  <c r="N2800" i="3" s="1"/>
  <c r="U2800" i="3" s="1"/>
  <c r="AC2801" i="3"/>
  <c r="N2801" i="3" s="1"/>
  <c r="AC2802" i="3"/>
  <c r="N2802" i="3" s="1"/>
  <c r="AC2803" i="3"/>
  <c r="N2803" i="3" s="1"/>
  <c r="AC2804" i="3"/>
  <c r="N2804" i="3" s="1"/>
  <c r="U2804" i="3" s="1"/>
  <c r="AC2805" i="3"/>
  <c r="N2805" i="3" s="1"/>
  <c r="AC2806" i="3"/>
  <c r="N2806" i="3" s="1"/>
  <c r="T2806" i="3" s="1"/>
  <c r="AC2807" i="3"/>
  <c r="N2807" i="3" s="1"/>
  <c r="AC2808" i="3"/>
  <c r="N2808" i="3" s="1"/>
  <c r="U2808" i="3" s="1"/>
  <c r="AC2809" i="3"/>
  <c r="N2809" i="3" s="1"/>
  <c r="AC2810" i="3"/>
  <c r="N2810" i="3" s="1"/>
  <c r="T2810" i="3" s="1"/>
  <c r="AC2811" i="3"/>
  <c r="N2811" i="3" s="1"/>
  <c r="AC2812" i="3"/>
  <c r="N2812" i="3" s="1"/>
  <c r="T2812" i="3" s="1"/>
  <c r="AC2813" i="3"/>
  <c r="N2813" i="3" s="1"/>
  <c r="AC2814" i="3"/>
  <c r="N2814" i="3" s="1"/>
  <c r="AC2815" i="3"/>
  <c r="N2815" i="3" s="1"/>
  <c r="AC2816" i="3"/>
  <c r="N2816" i="3" s="1"/>
  <c r="T2816" i="3" s="1"/>
  <c r="AC2817" i="3"/>
  <c r="N2817" i="3" s="1"/>
  <c r="AC2818" i="3"/>
  <c r="N2818" i="3" s="1"/>
  <c r="U2818" i="3" s="1"/>
  <c r="AC2819" i="3"/>
  <c r="N2819" i="3" s="1"/>
  <c r="AC2820" i="3"/>
  <c r="N2820" i="3" s="1"/>
  <c r="T2820" i="3" s="1"/>
  <c r="AC2821" i="3"/>
  <c r="N2821" i="3" s="1"/>
  <c r="AC2822" i="3"/>
  <c r="N2822" i="3" s="1"/>
  <c r="AC2823" i="3"/>
  <c r="N2823" i="3" s="1"/>
  <c r="AC2824" i="3"/>
  <c r="N2824" i="3" s="1"/>
  <c r="AK2799" i="3"/>
  <c r="AK2800" i="3"/>
  <c r="AK2801" i="3"/>
  <c r="AK2802" i="3"/>
  <c r="AK2803" i="3"/>
  <c r="AK2804" i="3"/>
  <c r="AK2805" i="3"/>
  <c r="AK2806" i="3"/>
  <c r="AK2807" i="3"/>
  <c r="AK2808" i="3"/>
  <c r="AK2809" i="3"/>
  <c r="AK2810" i="3"/>
  <c r="AK2811" i="3"/>
  <c r="AK2812" i="3"/>
  <c r="AK2813" i="3"/>
  <c r="AK2814" i="3"/>
  <c r="AK2815" i="3"/>
  <c r="AK2816" i="3"/>
  <c r="AK2817" i="3"/>
  <c r="AK2818" i="3"/>
  <c r="AK2819" i="3"/>
  <c r="AK2820" i="3"/>
  <c r="AK2821" i="3"/>
  <c r="AK2822" i="3"/>
  <c r="AK2823" i="3"/>
  <c r="AK2824" i="3"/>
  <c r="M158" i="10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P2776" i="3"/>
  <c r="P2777" i="3"/>
  <c r="P2778" i="3"/>
  <c r="P2779" i="3"/>
  <c r="P2780" i="3"/>
  <c r="P2781" i="3"/>
  <c r="P2782" i="3"/>
  <c r="P2783" i="3"/>
  <c r="P2784" i="3"/>
  <c r="P2785" i="3"/>
  <c r="P2786" i="3"/>
  <c r="P2787" i="3"/>
  <c r="P2788" i="3"/>
  <c r="P2789" i="3"/>
  <c r="P2790" i="3"/>
  <c r="P2791" i="3"/>
  <c r="P2792" i="3"/>
  <c r="P2793" i="3"/>
  <c r="P2794" i="3"/>
  <c r="P2795" i="3"/>
  <c r="P2796" i="3"/>
  <c r="P2797" i="3"/>
  <c r="P2798" i="3"/>
  <c r="Q2776" i="3"/>
  <c r="Q2777" i="3"/>
  <c r="Q2778" i="3"/>
  <c r="Q2779" i="3"/>
  <c r="Q2780" i="3"/>
  <c r="Q2781" i="3"/>
  <c r="Q2782" i="3"/>
  <c r="Q2783" i="3"/>
  <c r="Q2784" i="3"/>
  <c r="Q2785" i="3"/>
  <c r="Q2786" i="3"/>
  <c r="Q2787" i="3"/>
  <c r="Q2788" i="3"/>
  <c r="Q2789" i="3"/>
  <c r="Q2790" i="3"/>
  <c r="Q2791" i="3"/>
  <c r="Q2792" i="3"/>
  <c r="Q2793" i="3"/>
  <c r="Q2794" i="3"/>
  <c r="Q2795" i="3"/>
  <c r="Q2796" i="3"/>
  <c r="Q2797" i="3"/>
  <c r="Q2798" i="3"/>
  <c r="R2776" i="3"/>
  <c r="R2777" i="3"/>
  <c r="R2778" i="3"/>
  <c r="R2779" i="3"/>
  <c r="R2780" i="3"/>
  <c r="R2781" i="3"/>
  <c r="R2782" i="3"/>
  <c r="R2783" i="3"/>
  <c r="R2784" i="3"/>
  <c r="R2785" i="3"/>
  <c r="R2786" i="3"/>
  <c r="R2787" i="3"/>
  <c r="R2788" i="3"/>
  <c r="R2789" i="3"/>
  <c r="R2790" i="3"/>
  <c r="R2791" i="3"/>
  <c r="R2792" i="3"/>
  <c r="R2793" i="3"/>
  <c r="R2794" i="3"/>
  <c r="R2795" i="3"/>
  <c r="R2796" i="3"/>
  <c r="R2797" i="3"/>
  <c r="R2798" i="3"/>
  <c r="S2777" i="3"/>
  <c r="S2778" i="3"/>
  <c r="S2779" i="3"/>
  <c r="S2780" i="3"/>
  <c r="S2781" i="3"/>
  <c r="S2782" i="3"/>
  <c r="S2783" i="3"/>
  <c r="S2784" i="3"/>
  <c r="S2785" i="3"/>
  <c r="S2786" i="3"/>
  <c r="S2787" i="3"/>
  <c r="S2789" i="3"/>
  <c r="S2790" i="3"/>
  <c r="S2791" i="3"/>
  <c r="S2792" i="3"/>
  <c r="S2793" i="3"/>
  <c r="S2794" i="3"/>
  <c r="S2795" i="3"/>
  <c r="S2796" i="3"/>
  <c r="S2797" i="3"/>
  <c r="S2798" i="3"/>
  <c r="T2776" i="3"/>
  <c r="T2788" i="3"/>
  <c r="U2776" i="3"/>
  <c r="U2788" i="3"/>
  <c r="V2776" i="3"/>
  <c r="V2788" i="3"/>
  <c r="W2776" i="3"/>
  <c r="W2788" i="3"/>
  <c r="X2776" i="3"/>
  <c r="X2788" i="3"/>
  <c r="AA2776" i="3"/>
  <c r="AA2777" i="3"/>
  <c r="AA2778" i="3"/>
  <c r="AA2779" i="3"/>
  <c r="AA2780" i="3"/>
  <c r="AA2781" i="3"/>
  <c r="AA2782" i="3"/>
  <c r="AA2783" i="3"/>
  <c r="AA2784" i="3"/>
  <c r="AA2785" i="3"/>
  <c r="AA2786" i="3"/>
  <c r="AA2787" i="3"/>
  <c r="AA2788" i="3"/>
  <c r="AA2789" i="3"/>
  <c r="AA2790" i="3"/>
  <c r="AA2791" i="3"/>
  <c r="AA2792" i="3"/>
  <c r="AA2793" i="3"/>
  <c r="AA2794" i="3"/>
  <c r="AA2795" i="3"/>
  <c r="AA2796" i="3"/>
  <c r="AA2797" i="3"/>
  <c r="AA2798" i="3"/>
  <c r="AB2776" i="3"/>
  <c r="O2776" i="3" s="1"/>
  <c r="Y2776" i="3" s="1"/>
  <c r="AB2777" i="3"/>
  <c r="O2777" i="3" s="1"/>
  <c r="AB2778" i="3"/>
  <c r="O2778" i="3" s="1"/>
  <c r="AB2779" i="3"/>
  <c r="O2779" i="3" s="1"/>
  <c r="AB2780" i="3"/>
  <c r="O2780" i="3" s="1"/>
  <c r="AB2781" i="3"/>
  <c r="O2781" i="3" s="1"/>
  <c r="AB2782" i="3"/>
  <c r="O2782" i="3" s="1"/>
  <c r="AB2783" i="3"/>
  <c r="O2783" i="3" s="1"/>
  <c r="AB2784" i="3"/>
  <c r="O2784" i="3" s="1"/>
  <c r="AB2785" i="3"/>
  <c r="O2785" i="3" s="1"/>
  <c r="AB2786" i="3"/>
  <c r="O2786" i="3" s="1"/>
  <c r="AB2787" i="3"/>
  <c r="O2787" i="3" s="1"/>
  <c r="AB2788" i="3"/>
  <c r="O2788" i="3" s="1"/>
  <c r="Y2788" i="3" s="1"/>
  <c r="AB2789" i="3"/>
  <c r="O2789" i="3" s="1"/>
  <c r="AB2790" i="3"/>
  <c r="O2790" i="3" s="1"/>
  <c r="AB2791" i="3"/>
  <c r="O2791" i="3" s="1"/>
  <c r="AB2792" i="3"/>
  <c r="O2792" i="3" s="1"/>
  <c r="AB2793" i="3"/>
  <c r="O2793" i="3" s="1"/>
  <c r="AB2794" i="3"/>
  <c r="O2794" i="3" s="1"/>
  <c r="AB2795" i="3"/>
  <c r="O2795" i="3" s="1"/>
  <c r="AB2796" i="3"/>
  <c r="O2796" i="3" s="1"/>
  <c r="AB2797" i="3"/>
  <c r="O2797" i="3" s="1"/>
  <c r="AB2798" i="3"/>
  <c r="O2798" i="3" s="1"/>
  <c r="AC2776" i="3"/>
  <c r="N2776" i="3" s="1"/>
  <c r="AC2777" i="3"/>
  <c r="N2777" i="3" s="1"/>
  <c r="AC2778" i="3"/>
  <c r="N2778" i="3" s="1"/>
  <c r="AC2779" i="3"/>
  <c r="N2779" i="3" s="1"/>
  <c r="AC2780" i="3"/>
  <c r="N2780" i="3" s="1"/>
  <c r="AC2781" i="3"/>
  <c r="N2781" i="3" s="1"/>
  <c r="AC2782" i="3"/>
  <c r="N2782" i="3" s="1"/>
  <c r="AC2783" i="3"/>
  <c r="N2783" i="3" s="1"/>
  <c r="AC2784" i="3"/>
  <c r="N2784" i="3" s="1"/>
  <c r="AC2785" i="3"/>
  <c r="N2785" i="3" s="1"/>
  <c r="AC2786" i="3"/>
  <c r="N2786" i="3" s="1"/>
  <c r="AC2787" i="3"/>
  <c r="N2787" i="3" s="1"/>
  <c r="AC2788" i="3"/>
  <c r="N2788" i="3" s="1"/>
  <c r="AC2789" i="3"/>
  <c r="N2789" i="3" s="1"/>
  <c r="AC2790" i="3"/>
  <c r="N2790" i="3" s="1"/>
  <c r="AC2791" i="3"/>
  <c r="N2791" i="3" s="1"/>
  <c r="AC2792" i="3"/>
  <c r="N2792" i="3" s="1"/>
  <c r="AC2793" i="3"/>
  <c r="N2793" i="3" s="1"/>
  <c r="AC2794" i="3"/>
  <c r="N2794" i="3" s="1"/>
  <c r="AC2795" i="3"/>
  <c r="N2795" i="3" s="1"/>
  <c r="AC2796" i="3"/>
  <c r="N2796" i="3" s="1"/>
  <c r="AC2797" i="3"/>
  <c r="N2797" i="3" s="1"/>
  <c r="AC2798" i="3"/>
  <c r="N2798" i="3" s="1"/>
  <c r="AK2776" i="3"/>
  <c r="AK2777" i="3"/>
  <c r="AK2778" i="3"/>
  <c r="AK2779" i="3"/>
  <c r="AK2780" i="3"/>
  <c r="AK2781" i="3"/>
  <c r="AK2782" i="3"/>
  <c r="AK2783" i="3"/>
  <c r="AK2784" i="3"/>
  <c r="AK2785" i="3"/>
  <c r="AK2786" i="3"/>
  <c r="AK2787" i="3"/>
  <c r="AK2788" i="3"/>
  <c r="AK2789" i="3"/>
  <c r="AK2790" i="3"/>
  <c r="AK2791" i="3"/>
  <c r="AK2792" i="3"/>
  <c r="AK2793" i="3"/>
  <c r="AK2794" i="3"/>
  <c r="AK2795" i="3"/>
  <c r="AK2796" i="3"/>
  <c r="AK2797" i="3"/>
  <c r="AK2798" i="3"/>
  <c r="M157" i="10"/>
  <c r="M2775" i="3"/>
  <c r="P2775" i="3"/>
  <c r="Q2775" i="3"/>
  <c r="R2775" i="3"/>
  <c r="S2775" i="3"/>
  <c r="AA2775" i="3"/>
  <c r="AB2775" i="3"/>
  <c r="O2775" i="3" s="1"/>
  <c r="AC2775" i="3"/>
  <c r="N2775" i="3" s="1"/>
  <c r="AK2775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P2754" i="3"/>
  <c r="P2755" i="3"/>
  <c r="P2756" i="3"/>
  <c r="P2757" i="3"/>
  <c r="P2758" i="3"/>
  <c r="P2759" i="3"/>
  <c r="P2760" i="3"/>
  <c r="P2761" i="3"/>
  <c r="P2762" i="3"/>
  <c r="P2763" i="3"/>
  <c r="P2764" i="3"/>
  <c r="P2765" i="3"/>
  <c r="P2766" i="3"/>
  <c r="P2767" i="3"/>
  <c r="P2768" i="3"/>
  <c r="P2769" i="3"/>
  <c r="P2770" i="3"/>
  <c r="P2771" i="3"/>
  <c r="P2772" i="3"/>
  <c r="P2773" i="3"/>
  <c r="P2774" i="3"/>
  <c r="Q2754" i="3"/>
  <c r="Q2755" i="3"/>
  <c r="Q2756" i="3"/>
  <c r="Q2757" i="3"/>
  <c r="Q2758" i="3"/>
  <c r="Q2759" i="3"/>
  <c r="Q2760" i="3"/>
  <c r="Q2761" i="3"/>
  <c r="Q2762" i="3"/>
  <c r="Q2763" i="3"/>
  <c r="Q2764" i="3"/>
  <c r="Q2765" i="3"/>
  <c r="Q2766" i="3"/>
  <c r="Q2767" i="3"/>
  <c r="Q2768" i="3"/>
  <c r="Q2769" i="3"/>
  <c r="Q2770" i="3"/>
  <c r="Q2771" i="3"/>
  <c r="Q2772" i="3"/>
  <c r="Q2773" i="3"/>
  <c r="Q2774" i="3"/>
  <c r="R2754" i="3"/>
  <c r="R2755" i="3"/>
  <c r="R2756" i="3"/>
  <c r="R2757" i="3"/>
  <c r="R2758" i="3"/>
  <c r="R2759" i="3"/>
  <c r="R2760" i="3"/>
  <c r="R2761" i="3"/>
  <c r="R2762" i="3"/>
  <c r="R2763" i="3"/>
  <c r="R2764" i="3"/>
  <c r="R2765" i="3"/>
  <c r="R2766" i="3"/>
  <c r="R2767" i="3"/>
  <c r="R2768" i="3"/>
  <c r="R2769" i="3"/>
  <c r="R2770" i="3"/>
  <c r="R2771" i="3"/>
  <c r="R2772" i="3"/>
  <c r="R2773" i="3"/>
  <c r="R2774" i="3"/>
  <c r="S2755" i="3"/>
  <c r="S2756" i="3"/>
  <c r="S2757" i="3"/>
  <c r="S2758" i="3"/>
  <c r="S2759" i="3"/>
  <c r="S2760" i="3"/>
  <c r="S2761" i="3"/>
  <c r="S2762" i="3"/>
  <c r="S2763" i="3"/>
  <c r="S2764" i="3"/>
  <c r="S2766" i="3"/>
  <c r="S2767" i="3"/>
  <c r="S2768" i="3"/>
  <c r="S2769" i="3"/>
  <c r="S2770" i="3"/>
  <c r="S2771" i="3"/>
  <c r="S2772" i="3"/>
  <c r="S2773" i="3"/>
  <c r="S2774" i="3"/>
  <c r="T2754" i="3"/>
  <c r="T2765" i="3"/>
  <c r="U2754" i="3"/>
  <c r="U2765" i="3"/>
  <c r="V2754" i="3"/>
  <c r="V2765" i="3"/>
  <c r="W2754" i="3"/>
  <c r="W2765" i="3"/>
  <c r="X2754" i="3"/>
  <c r="X2765" i="3"/>
  <c r="AA2754" i="3"/>
  <c r="AA2755" i="3"/>
  <c r="AA2756" i="3"/>
  <c r="AA2757" i="3"/>
  <c r="AA2758" i="3"/>
  <c r="AA2759" i="3"/>
  <c r="AA2760" i="3"/>
  <c r="AA2761" i="3"/>
  <c r="AA2762" i="3"/>
  <c r="AA2763" i="3"/>
  <c r="AA2764" i="3"/>
  <c r="AA2765" i="3"/>
  <c r="AA2766" i="3"/>
  <c r="AA2767" i="3"/>
  <c r="AA2768" i="3"/>
  <c r="AA2769" i="3"/>
  <c r="AA2770" i="3"/>
  <c r="AA2771" i="3"/>
  <c r="AA2772" i="3"/>
  <c r="AA2773" i="3"/>
  <c r="AA2774" i="3"/>
  <c r="AB2754" i="3"/>
  <c r="O2754" i="3" s="1"/>
  <c r="Y2754" i="3" s="1"/>
  <c r="AB2755" i="3"/>
  <c r="O2755" i="3" s="1"/>
  <c r="AB2756" i="3"/>
  <c r="O2756" i="3" s="1"/>
  <c r="AB2757" i="3"/>
  <c r="O2757" i="3" s="1"/>
  <c r="AB2758" i="3"/>
  <c r="O2758" i="3" s="1"/>
  <c r="AB2759" i="3"/>
  <c r="O2759" i="3" s="1"/>
  <c r="AB2760" i="3"/>
  <c r="O2760" i="3" s="1"/>
  <c r="AB2761" i="3"/>
  <c r="O2761" i="3" s="1"/>
  <c r="AB2762" i="3"/>
  <c r="O2762" i="3" s="1"/>
  <c r="AB2763" i="3"/>
  <c r="O2763" i="3" s="1"/>
  <c r="AB2764" i="3"/>
  <c r="O2764" i="3" s="1"/>
  <c r="AB2765" i="3"/>
  <c r="O2765" i="3" s="1"/>
  <c r="Y2765" i="3" s="1"/>
  <c r="AB2766" i="3"/>
  <c r="O2766" i="3" s="1"/>
  <c r="AB2767" i="3"/>
  <c r="O2767" i="3" s="1"/>
  <c r="AB2768" i="3"/>
  <c r="O2768" i="3" s="1"/>
  <c r="AB2769" i="3"/>
  <c r="O2769" i="3" s="1"/>
  <c r="AB2770" i="3"/>
  <c r="O2770" i="3" s="1"/>
  <c r="AB2771" i="3"/>
  <c r="O2771" i="3" s="1"/>
  <c r="AB2772" i="3"/>
  <c r="O2772" i="3" s="1"/>
  <c r="AB2773" i="3"/>
  <c r="O2773" i="3" s="1"/>
  <c r="AB2774" i="3"/>
  <c r="O2774" i="3" s="1"/>
  <c r="AC2754" i="3"/>
  <c r="N2754" i="3" s="1"/>
  <c r="AC2755" i="3"/>
  <c r="N2755" i="3" s="1"/>
  <c r="AC2756" i="3"/>
  <c r="N2756" i="3" s="1"/>
  <c r="AC2757" i="3"/>
  <c r="N2757" i="3" s="1"/>
  <c r="AC2758" i="3"/>
  <c r="N2758" i="3" s="1"/>
  <c r="AC2759" i="3"/>
  <c r="N2759" i="3" s="1"/>
  <c r="AC2760" i="3"/>
  <c r="N2760" i="3" s="1"/>
  <c r="AC2761" i="3"/>
  <c r="N2761" i="3" s="1"/>
  <c r="AC2762" i="3"/>
  <c r="N2762" i="3" s="1"/>
  <c r="AC2763" i="3"/>
  <c r="N2763" i="3" s="1"/>
  <c r="AC2764" i="3"/>
  <c r="N2764" i="3" s="1"/>
  <c r="AC2765" i="3"/>
  <c r="N2765" i="3" s="1"/>
  <c r="AC2766" i="3"/>
  <c r="N2766" i="3" s="1"/>
  <c r="AC2767" i="3"/>
  <c r="N2767" i="3" s="1"/>
  <c r="AC2768" i="3"/>
  <c r="N2768" i="3" s="1"/>
  <c r="AC2769" i="3"/>
  <c r="N2769" i="3" s="1"/>
  <c r="AC2770" i="3"/>
  <c r="N2770" i="3" s="1"/>
  <c r="AC2771" i="3"/>
  <c r="N2771" i="3" s="1"/>
  <c r="AC2772" i="3"/>
  <c r="N2772" i="3" s="1"/>
  <c r="AC2773" i="3"/>
  <c r="N2773" i="3" s="1"/>
  <c r="AC2774" i="3"/>
  <c r="N2774" i="3" s="1"/>
  <c r="AK2754" i="3"/>
  <c r="AK2755" i="3"/>
  <c r="AK2756" i="3"/>
  <c r="AK2757" i="3"/>
  <c r="AK2758" i="3"/>
  <c r="AK2759" i="3"/>
  <c r="AK2760" i="3"/>
  <c r="AK2761" i="3"/>
  <c r="AK2762" i="3"/>
  <c r="AK2763" i="3"/>
  <c r="AK2764" i="3"/>
  <c r="AK2765" i="3"/>
  <c r="AK2766" i="3"/>
  <c r="AK2767" i="3"/>
  <c r="AK2768" i="3"/>
  <c r="AK2769" i="3"/>
  <c r="AK2770" i="3"/>
  <c r="AK2771" i="3"/>
  <c r="AK2772" i="3"/>
  <c r="AK2773" i="3"/>
  <c r="AK2774" i="3"/>
  <c r="Z2799" i="3" l="1"/>
  <c r="Z3005" i="3"/>
  <c r="Z3009" i="3"/>
  <c r="Z3013" i="3"/>
  <c r="Z3017" i="3"/>
  <c r="Z3021" i="3"/>
  <c r="Z3025" i="3"/>
  <c r="Z2887" i="3"/>
  <c r="Z2891" i="3"/>
  <c r="Z2889" i="3"/>
  <c r="Z2893" i="3"/>
  <c r="Z2895" i="3"/>
  <c r="Z2897" i="3"/>
  <c r="Z2899" i="3"/>
  <c r="Z2901" i="3"/>
  <c r="Z2903" i="3"/>
  <c r="Z2905" i="3"/>
  <c r="Z2908" i="3"/>
  <c r="Z2910" i="3"/>
  <c r="Z2912" i="3"/>
  <c r="Z2914" i="3"/>
  <c r="Z2916" i="3"/>
  <c r="Z2919" i="3"/>
  <c r="Z2921" i="3"/>
  <c r="Z2923" i="3"/>
  <c r="Z2925" i="3"/>
  <c r="Z2927" i="3"/>
  <c r="Z2930" i="3"/>
  <c r="Z2932" i="3"/>
  <c r="Z2934" i="3"/>
  <c r="Z2936" i="3"/>
  <c r="Z2938" i="3"/>
  <c r="Z2950" i="3"/>
  <c r="Z2954" i="3"/>
  <c r="Z2958" i="3"/>
  <c r="Z2962" i="3"/>
  <c r="Z2941" i="3"/>
  <c r="Z2943" i="3"/>
  <c r="Z2945" i="3"/>
  <c r="Z2947" i="3"/>
  <c r="Z2949" i="3"/>
  <c r="Z2955" i="3"/>
  <c r="Z2959" i="3"/>
  <c r="Z2963" i="3"/>
  <c r="Z2965" i="3"/>
  <c r="Z2967" i="3"/>
  <c r="Z2969" i="3"/>
  <c r="Z2973" i="3"/>
  <c r="Z2977" i="3"/>
  <c r="Z2981" i="3"/>
  <c r="Z2985" i="3"/>
  <c r="Z2987" i="3"/>
  <c r="Z2968" i="3"/>
  <c r="Z2972" i="3"/>
  <c r="Z2976" i="3"/>
  <c r="Z2982" i="3"/>
  <c r="Z2986" i="3"/>
  <c r="Z2990" i="3"/>
  <c r="Z2994" i="3"/>
  <c r="Z2993" i="3"/>
  <c r="Z2997" i="3"/>
  <c r="Z3001" i="3"/>
  <c r="Z3019" i="3"/>
  <c r="Z3023" i="3"/>
  <c r="Z3020" i="3"/>
  <c r="Z3024" i="3"/>
  <c r="Z3030" i="3"/>
  <c r="Z3034" i="3"/>
  <c r="Z3042" i="3"/>
  <c r="Z3046" i="3"/>
  <c r="Z3050" i="3"/>
  <c r="Z3052" i="3"/>
  <c r="Z3054" i="3"/>
  <c r="Z3056" i="3"/>
  <c r="Z3058" i="3"/>
  <c r="Z3060" i="3"/>
  <c r="Z3062" i="3"/>
  <c r="Z3064" i="3"/>
  <c r="Z3066" i="3"/>
  <c r="Z3068" i="3"/>
  <c r="Z3051" i="3"/>
  <c r="Z3053" i="3"/>
  <c r="Z3055" i="3"/>
  <c r="Z3057" i="3"/>
  <c r="Z3061" i="3"/>
  <c r="Z3063" i="3"/>
  <c r="Z3065" i="3"/>
  <c r="Z3067" i="3"/>
  <c r="Z2886" i="3"/>
  <c r="Z2888" i="3"/>
  <c r="Z2890" i="3"/>
  <c r="Z2892" i="3"/>
  <c r="Z2894" i="3"/>
  <c r="Z2902" i="3"/>
  <c r="Z2906" i="3"/>
  <c r="Z2898" i="3"/>
  <c r="Z2900" i="3"/>
  <c r="Z2904" i="3"/>
  <c r="Z2909" i="3"/>
  <c r="Z2911" i="3"/>
  <c r="Z2913" i="3"/>
  <c r="Z2915" i="3"/>
  <c r="Z2917" i="3"/>
  <c r="Z2920" i="3"/>
  <c r="Z2922" i="3"/>
  <c r="Z2924" i="3"/>
  <c r="Z2926" i="3"/>
  <c r="Z2928" i="3"/>
  <c r="Z2931" i="3"/>
  <c r="Z2933" i="3"/>
  <c r="Z2935" i="3"/>
  <c r="Z2937" i="3"/>
  <c r="Z2939" i="3"/>
  <c r="Z2942" i="3"/>
  <c r="Z2944" i="3"/>
  <c r="Z2946" i="3"/>
  <c r="Z2948" i="3"/>
  <c r="Z2952" i="3"/>
  <c r="Z2956" i="3"/>
  <c r="Z2960" i="3"/>
  <c r="Z2953" i="3"/>
  <c r="Z2957" i="3"/>
  <c r="Z2961" i="3"/>
  <c r="Z2971" i="3"/>
  <c r="Z2975" i="3"/>
  <c r="Z2979" i="3"/>
  <c r="Z2983" i="3"/>
  <c r="Z2966" i="3"/>
  <c r="Z2970" i="3"/>
  <c r="Z2974" i="3"/>
  <c r="Z2980" i="3"/>
  <c r="Z2984" i="3"/>
  <c r="Z2988" i="3"/>
  <c r="Z2992" i="3"/>
  <c r="Z2996" i="3"/>
  <c r="Z2998" i="3"/>
  <c r="Z3000" i="3"/>
  <c r="Z3004" i="3"/>
  <c r="Z3006" i="3"/>
  <c r="Z3008" i="3"/>
  <c r="Z3010" i="3"/>
  <c r="Z3012" i="3"/>
  <c r="Z3014" i="3"/>
  <c r="Z2991" i="3"/>
  <c r="Z2995" i="3"/>
  <c r="Z2999" i="3"/>
  <c r="Z3003" i="3"/>
  <c r="Z3007" i="3"/>
  <c r="Z3011" i="3"/>
  <c r="Z3015" i="3"/>
  <c r="Z3018" i="3"/>
  <c r="Z3022" i="3"/>
  <c r="Z3026" i="3"/>
  <c r="Z3029" i="3"/>
  <c r="Z3031" i="3"/>
  <c r="Z3033" i="3"/>
  <c r="Z3035" i="3"/>
  <c r="Z3037" i="3"/>
  <c r="Z3039" i="3"/>
  <c r="Z3041" i="3"/>
  <c r="Z3043" i="3"/>
  <c r="Z3045" i="3"/>
  <c r="Z3047" i="3"/>
  <c r="Z3028" i="3"/>
  <c r="Z3032" i="3"/>
  <c r="Z3036" i="3"/>
  <c r="Z3040" i="3"/>
  <c r="Z3044" i="3"/>
  <c r="Z3048" i="3"/>
  <c r="Z3069" i="3"/>
  <c r="T2802" i="3"/>
  <c r="U2814" i="3"/>
  <c r="S2825" i="3"/>
  <c r="Z2825" i="3" s="1"/>
  <c r="S2862" i="3"/>
  <c r="Z2862" i="3" s="1"/>
  <c r="S2848" i="3"/>
  <c r="Z2848" i="3" s="1"/>
  <c r="S2873" i="3"/>
  <c r="Z2873" i="3" s="1"/>
  <c r="T2884" i="3"/>
  <c r="U2884" i="3"/>
  <c r="V2884" i="3"/>
  <c r="W2884" i="3"/>
  <c r="X2884" i="3"/>
  <c r="Y2884" i="3"/>
  <c r="T2882" i="3"/>
  <c r="U2882" i="3"/>
  <c r="V2882" i="3"/>
  <c r="W2882" i="3"/>
  <c r="X2882" i="3"/>
  <c r="Y2882" i="3"/>
  <c r="T2880" i="3"/>
  <c r="U2880" i="3"/>
  <c r="V2880" i="3"/>
  <c r="W2880" i="3"/>
  <c r="X2880" i="3"/>
  <c r="Y2880" i="3"/>
  <c r="T2878" i="3"/>
  <c r="U2878" i="3"/>
  <c r="V2878" i="3"/>
  <c r="W2878" i="3"/>
  <c r="X2878" i="3"/>
  <c r="Y2878" i="3"/>
  <c r="T2876" i="3"/>
  <c r="U2876" i="3"/>
  <c r="V2876" i="3"/>
  <c r="W2876" i="3"/>
  <c r="X2876" i="3"/>
  <c r="Y2876" i="3"/>
  <c r="T2874" i="3"/>
  <c r="U2874" i="3"/>
  <c r="V2874" i="3"/>
  <c r="W2874" i="3"/>
  <c r="X2874" i="3"/>
  <c r="Y2874" i="3"/>
  <c r="T2883" i="3"/>
  <c r="U2883" i="3"/>
  <c r="V2883" i="3"/>
  <c r="W2883" i="3"/>
  <c r="X2883" i="3"/>
  <c r="Y2883" i="3"/>
  <c r="T2881" i="3"/>
  <c r="U2881" i="3"/>
  <c r="V2881" i="3"/>
  <c r="W2881" i="3"/>
  <c r="X2881" i="3"/>
  <c r="Y2881" i="3"/>
  <c r="T2879" i="3"/>
  <c r="U2879" i="3"/>
  <c r="V2879" i="3"/>
  <c r="W2879" i="3"/>
  <c r="X2879" i="3"/>
  <c r="Y2879" i="3"/>
  <c r="T2877" i="3"/>
  <c r="U2877" i="3"/>
  <c r="V2877" i="3"/>
  <c r="W2877" i="3"/>
  <c r="X2877" i="3"/>
  <c r="Y2877" i="3"/>
  <c r="T2875" i="3"/>
  <c r="U2875" i="3"/>
  <c r="V2875" i="3"/>
  <c r="W2875" i="3"/>
  <c r="X2875" i="3"/>
  <c r="Y2875" i="3"/>
  <c r="U2871" i="3"/>
  <c r="W2869" i="3"/>
  <c r="U2867" i="3"/>
  <c r="W2865" i="3"/>
  <c r="U2863" i="3"/>
  <c r="U2861" i="3"/>
  <c r="W2859" i="3"/>
  <c r="U2857" i="3"/>
  <c r="W2855" i="3"/>
  <c r="U2853" i="3"/>
  <c r="W2851" i="3"/>
  <c r="U2849" i="3"/>
  <c r="U2872" i="3"/>
  <c r="W2872" i="3"/>
  <c r="T2872" i="3"/>
  <c r="X2872" i="3"/>
  <c r="V2872" i="3"/>
  <c r="Y2872" i="3"/>
  <c r="U2870" i="3"/>
  <c r="W2870" i="3"/>
  <c r="V2870" i="3"/>
  <c r="T2870" i="3"/>
  <c r="X2870" i="3"/>
  <c r="Y2870" i="3"/>
  <c r="U2868" i="3"/>
  <c r="W2868" i="3"/>
  <c r="T2868" i="3"/>
  <c r="X2868" i="3"/>
  <c r="V2868" i="3"/>
  <c r="Y2868" i="3"/>
  <c r="U2866" i="3"/>
  <c r="W2866" i="3"/>
  <c r="V2866" i="3"/>
  <c r="T2866" i="3"/>
  <c r="X2866" i="3"/>
  <c r="Y2866" i="3"/>
  <c r="U2864" i="3"/>
  <c r="W2864" i="3"/>
  <c r="T2864" i="3"/>
  <c r="X2864" i="3"/>
  <c r="V2864" i="3"/>
  <c r="Y2864" i="3"/>
  <c r="U2860" i="3"/>
  <c r="W2860" i="3"/>
  <c r="T2860" i="3"/>
  <c r="X2860" i="3"/>
  <c r="V2860" i="3"/>
  <c r="Y2860" i="3"/>
  <c r="U2858" i="3"/>
  <c r="W2858" i="3"/>
  <c r="V2858" i="3"/>
  <c r="T2858" i="3"/>
  <c r="X2858" i="3"/>
  <c r="Y2858" i="3"/>
  <c r="U2856" i="3"/>
  <c r="W2856" i="3"/>
  <c r="T2856" i="3"/>
  <c r="X2856" i="3"/>
  <c r="V2856" i="3"/>
  <c r="Y2856" i="3"/>
  <c r="U2854" i="3"/>
  <c r="W2854" i="3"/>
  <c r="V2854" i="3"/>
  <c r="T2854" i="3"/>
  <c r="X2854" i="3"/>
  <c r="Y2854" i="3"/>
  <c r="U2852" i="3"/>
  <c r="W2852" i="3"/>
  <c r="T2852" i="3"/>
  <c r="X2852" i="3"/>
  <c r="V2852" i="3"/>
  <c r="Y2852" i="3"/>
  <c r="U2850" i="3"/>
  <c r="W2850" i="3"/>
  <c r="V2850" i="3"/>
  <c r="T2850" i="3"/>
  <c r="X2850" i="3"/>
  <c r="Y2850" i="3"/>
  <c r="W2871" i="3"/>
  <c r="W2867" i="3"/>
  <c r="W2863" i="3"/>
  <c r="W2861" i="3"/>
  <c r="W2857" i="3"/>
  <c r="W2853" i="3"/>
  <c r="W2849" i="3"/>
  <c r="U2869" i="3"/>
  <c r="U2865" i="3"/>
  <c r="U2859" i="3"/>
  <c r="U2855" i="3"/>
  <c r="U2851" i="3"/>
  <c r="T2871" i="3"/>
  <c r="V2871" i="3"/>
  <c r="X2871" i="3"/>
  <c r="T2869" i="3"/>
  <c r="V2869" i="3"/>
  <c r="X2869" i="3"/>
  <c r="T2867" i="3"/>
  <c r="V2867" i="3"/>
  <c r="X2867" i="3"/>
  <c r="T2865" i="3"/>
  <c r="V2865" i="3"/>
  <c r="X2865" i="3"/>
  <c r="T2863" i="3"/>
  <c r="V2863" i="3"/>
  <c r="X2863" i="3"/>
  <c r="T2861" i="3"/>
  <c r="V2861" i="3"/>
  <c r="X2861" i="3"/>
  <c r="T2859" i="3"/>
  <c r="V2859" i="3"/>
  <c r="X2859" i="3"/>
  <c r="T2857" i="3"/>
  <c r="V2857" i="3"/>
  <c r="X2857" i="3"/>
  <c r="T2855" i="3"/>
  <c r="V2855" i="3"/>
  <c r="X2855" i="3"/>
  <c r="T2853" i="3"/>
  <c r="V2853" i="3"/>
  <c r="X2853" i="3"/>
  <c r="T2851" i="3"/>
  <c r="V2851" i="3"/>
  <c r="X2851" i="3"/>
  <c r="T2849" i="3"/>
  <c r="V2849" i="3"/>
  <c r="X2849" i="3"/>
  <c r="Y2871" i="3"/>
  <c r="Y2869" i="3"/>
  <c r="Y2867" i="3"/>
  <c r="Y2865" i="3"/>
  <c r="Y2863" i="3"/>
  <c r="Y2861" i="3"/>
  <c r="Y2859" i="3"/>
  <c r="Y2857" i="3"/>
  <c r="Y2855" i="3"/>
  <c r="Y2853" i="3"/>
  <c r="Y2851" i="3"/>
  <c r="Y2849" i="3"/>
  <c r="S2836" i="3"/>
  <c r="Z2836" i="3" s="1"/>
  <c r="T2846" i="3"/>
  <c r="V2846" i="3"/>
  <c r="X2846" i="3"/>
  <c r="U2846" i="3"/>
  <c r="W2846" i="3"/>
  <c r="T2844" i="3"/>
  <c r="V2844" i="3"/>
  <c r="X2844" i="3"/>
  <c r="U2844" i="3"/>
  <c r="W2844" i="3"/>
  <c r="T2842" i="3"/>
  <c r="V2842" i="3"/>
  <c r="X2842" i="3"/>
  <c r="U2842" i="3"/>
  <c r="W2842" i="3"/>
  <c r="T2840" i="3"/>
  <c r="V2840" i="3"/>
  <c r="X2840" i="3"/>
  <c r="U2840" i="3"/>
  <c r="W2840" i="3"/>
  <c r="Y2840" i="3"/>
  <c r="T2838" i="3"/>
  <c r="V2838" i="3"/>
  <c r="X2838" i="3"/>
  <c r="U2838" i="3"/>
  <c r="W2838" i="3"/>
  <c r="Y2838" i="3"/>
  <c r="T2834" i="3"/>
  <c r="V2834" i="3"/>
  <c r="X2834" i="3"/>
  <c r="U2834" i="3"/>
  <c r="W2834" i="3"/>
  <c r="Y2834" i="3"/>
  <c r="T2832" i="3"/>
  <c r="V2832" i="3"/>
  <c r="X2832" i="3"/>
  <c r="U2832" i="3"/>
  <c r="W2832" i="3"/>
  <c r="Y2832" i="3"/>
  <c r="T2830" i="3"/>
  <c r="V2830" i="3"/>
  <c r="X2830" i="3"/>
  <c r="U2830" i="3"/>
  <c r="W2830" i="3"/>
  <c r="Y2830" i="3"/>
  <c r="T2828" i="3"/>
  <c r="V2828" i="3"/>
  <c r="X2828" i="3"/>
  <c r="U2828" i="3"/>
  <c r="W2828" i="3"/>
  <c r="Y2828" i="3"/>
  <c r="T2826" i="3"/>
  <c r="V2826" i="3"/>
  <c r="X2826" i="3"/>
  <c r="U2826" i="3"/>
  <c r="W2826" i="3"/>
  <c r="Y2826" i="3"/>
  <c r="Y2846" i="3"/>
  <c r="Y2844" i="3"/>
  <c r="Y2842" i="3"/>
  <c r="U2847" i="3"/>
  <c r="W2847" i="3"/>
  <c r="T2847" i="3"/>
  <c r="V2847" i="3"/>
  <c r="X2847" i="3"/>
  <c r="U2845" i="3"/>
  <c r="W2845" i="3"/>
  <c r="T2845" i="3"/>
  <c r="V2845" i="3"/>
  <c r="X2845" i="3"/>
  <c r="U2843" i="3"/>
  <c r="W2843" i="3"/>
  <c r="T2843" i="3"/>
  <c r="V2843" i="3"/>
  <c r="X2843" i="3"/>
  <c r="U2841" i="3"/>
  <c r="W2841" i="3"/>
  <c r="Y2841" i="3"/>
  <c r="T2841" i="3"/>
  <c r="V2841" i="3"/>
  <c r="X2841" i="3"/>
  <c r="U2839" i="3"/>
  <c r="W2839" i="3"/>
  <c r="Y2839" i="3"/>
  <c r="T2839" i="3"/>
  <c r="V2839" i="3"/>
  <c r="X2839" i="3"/>
  <c r="U2837" i="3"/>
  <c r="W2837" i="3"/>
  <c r="Y2837" i="3"/>
  <c r="T2837" i="3"/>
  <c r="V2837" i="3"/>
  <c r="X2837" i="3"/>
  <c r="U2835" i="3"/>
  <c r="W2835" i="3"/>
  <c r="Y2835" i="3"/>
  <c r="T2835" i="3"/>
  <c r="V2835" i="3"/>
  <c r="X2835" i="3"/>
  <c r="U2833" i="3"/>
  <c r="W2833" i="3"/>
  <c r="Y2833" i="3"/>
  <c r="T2833" i="3"/>
  <c r="V2833" i="3"/>
  <c r="X2833" i="3"/>
  <c r="U2831" i="3"/>
  <c r="W2831" i="3"/>
  <c r="Y2831" i="3"/>
  <c r="T2831" i="3"/>
  <c r="V2831" i="3"/>
  <c r="X2831" i="3"/>
  <c r="U2829" i="3"/>
  <c r="W2829" i="3"/>
  <c r="Y2829" i="3"/>
  <c r="T2829" i="3"/>
  <c r="V2829" i="3"/>
  <c r="X2829" i="3"/>
  <c r="U2827" i="3"/>
  <c r="W2827" i="3"/>
  <c r="Y2827" i="3"/>
  <c r="T2827" i="3"/>
  <c r="V2827" i="3"/>
  <c r="X2827" i="3"/>
  <c r="Y2847" i="3"/>
  <c r="Y2845" i="3"/>
  <c r="Y2843" i="3"/>
  <c r="T2824" i="3"/>
  <c r="S2811" i="3"/>
  <c r="Z2811" i="3" s="1"/>
  <c r="U2822" i="3"/>
  <c r="T2823" i="3"/>
  <c r="U2823" i="3"/>
  <c r="V2823" i="3"/>
  <c r="W2823" i="3"/>
  <c r="X2823" i="3"/>
  <c r="T2821" i="3"/>
  <c r="U2821" i="3"/>
  <c r="V2821" i="3"/>
  <c r="W2821" i="3"/>
  <c r="X2821" i="3"/>
  <c r="T2819" i="3"/>
  <c r="U2819" i="3"/>
  <c r="V2819" i="3"/>
  <c r="W2819" i="3"/>
  <c r="X2819" i="3"/>
  <c r="T2817" i="3"/>
  <c r="U2817" i="3"/>
  <c r="V2817" i="3"/>
  <c r="W2817" i="3"/>
  <c r="X2817" i="3"/>
  <c r="T2815" i="3"/>
  <c r="U2815" i="3"/>
  <c r="V2815" i="3"/>
  <c r="W2815" i="3"/>
  <c r="X2815" i="3"/>
  <c r="T2813" i="3"/>
  <c r="U2813" i="3"/>
  <c r="V2813" i="3"/>
  <c r="W2813" i="3"/>
  <c r="X2813" i="3"/>
  <c r="T2809" i="3"/>
  <c r="U2809" i="3"/>
  <c r="V2809" i="3"/>
  <c r="W2809" i="3"/>
  <c r="X2809" i="3"/>
  <c r="T2807" i="3"/>
  <c r="U2807" i="3"/>
  <c r="V2807" i="3"/>
  <c r="W2807" i="3"/>
  <c r="X2807" i="3"/>
  <c r="T2805" i="3"/>
  <c r="U2805" i="3"/>
  <c r="V2805" i="3"/>
  <c r="W2805" i="3"/>
  <c r="X2805" i="3"/>
  <c r="T2803" i="3"/>
  <c r="U2803" i="3"/>
  <c r="V2803" i="3"/>
  <c r="W2803" i="3"/>
  <c r="X2803" i="3"/>
  <c r="T2801" i="3"/>
  <c r="U2801" i="3"/>
  <c r="V2801" i="3"/>
  <c r="W2801" i="3"/>
  <c r="X2801" i="3"/>
  <c r="Y2801" i="3"/>
  <c r="Y2823" i="3"/>
  <c r="Y2821" i="3"/>
  <c r="Y2819" i="3"/>
  <c r="Y2817" i="3"/>
  <c r="Y2815" i="3"/>
  <c r="Y2813" i="3"/>
  <c r="Y2809" i="3"/>
  <c r="Y2807" i="3"/>
  <c r="Y2805" i="3"/>
  <c r="Y2803" i="3"/>
  <c r="Y2800" i="3"/>
  <c r="X2822" i="3"/>
  <c r="X2818" i="3"/>
  <c r="X2814" i="3"/>
  <c r="X2808" i="3"/>
  <c r="X2804" i="3"/>
  <c r="X2800" i="3"/>
  <c r="W2824" i="3"/>
  <c r="W2820" i="3"/>
  <c r="W2816" i="3"/>
  <c r="W2812" i="3"/>
  <c r="W2810" i="3"/>
  <c r="W2806" i="3"/>
  <c r="W2802" i="3"/>
  <c r="V2822" i="3"/>
  <c r="V2818" i="3"/>
  <c r="V2814" i="3"/>
  <c r="V2808" i="3"/>
  <c r="V2804" i="3"/>
  <c r="V2800" i="3"/>
  <c r="U2824" i="3"/>
  <c r="U2820" i="3"/>
  <c r="U2816" i="3"/>
  <c r="U2812" i="3"/>
  <c r="U2810" i="3"/>
  <c r="U2806" i="3"/>
  <c r="U2802" i="3"/>
  <c r="T2822" i="3"/>
  <c r="T2818" i="3"/>
  <c r="T2814" i="3"/>
  <c r="T2808" i="3"/>
  <c r="T2804" i="3"/>
  <c r="T2800" i="3"/>
  <c r="Y2824" i="3"/>
  <c r="Y2822" i="3"/>
  <c r="Y2820" i="3"/>
  <c r="Y2818" i="3"/>
  <c r="Y2816" i="3"/>
  <c r="Y2814" i="3"/>
  <c r="Y2812" i="3"/>
  <c r="Y2810" i="3"/>
  <c r="Y2808" i="3"/>
  <c r="Y2806" i="3"/>
  <c r="Y2804" i="3"/>
  <c r="Y2802" i="3"/>
  <c r="X2824" i="3"/>
  <c r="X2820" i="3"/>
  <c r="X2816" i="3"/>
  <c r="X2812" i="3"/>
  <c r="X2810" i="3"/>
  <c r="X2806" i="3"/>
  <c r="X2802" i="3"/>
  <c r="W2822" i="3"/>
  <c r="W2818" i="3"/>
  <c r="W2814" i="3"/>
  <c r="W2808" i="3"/>
  <c r="W2804" i="3"/>
  <c r="W2800" i="3"/>
  <c r="V2824" i="3"/>
  <c r="V2820" i="3"/>
  <c r="V2816" i="3"/>
  <c r="V2812" i="3"/>
  <c r="V2810" i="3"/>
  <c r="V2806" i="3"/>
  <c r="V2802" i="3"/>
  <c r="U2797" i="3"/>
  <c r="W2795" i="3"/>
  <c r="U2793" i="3"/>
  <c r="W2791" i="3"/>
  <c r="U2789" i="3"/>
  <c r="U2787" i="3"/>
  <c r="W2785" i="3"/>
  <c r="U2783" i="3"/>
  <c r="W2781" i="3"/>
  <c r="U2779" i="3"/>
  <c r="W2777" i="3"/>
  <c r="S2788" i="3"/>
  <c r="Z2788" i="3" s="1"/>
  <c r="S2776" i="3"/>
  <c r="Z2776" i="3" s="1"/>
  <c r="U2798" i="3"/>
  <c r="W2798" i="3"/>
  <c r="V2798" i="3"/>
  <c r="T2798" i="3"/>
  <c r="X2798" i="3"/>
  <c r="Y2798" i="3"/>
  <c r="U2796" i="3"/>
  <c r="W2796" i="3"/>
  <c r="T2796" i="3"/>
  <c r="X2796" i="3"/>
  <c r="V2796" i="3"/>
  <c r="Y2796" i="3"/>
  <c r="U2794" i="3"/>
  <c r="W2794" i="3"/>
  <c r="V2794" i="3"/>
  <c r="T2794" i="3"/>
  <c r="X2794" i="3"/>
  <c r="Y2794" i="3"/>
  <c r="U2792" i="3"/>
  <c r="W2792" i="3"/>
  <c r="T2792" i="3"/>
  <c r="X2792" i="3"/>
  <c r="V2792" i="3"/>
  <c r="Y2792" i="3"/>
  <c r="U2790" i="3"/>
  <c r="W2790" i="3"/>
  <c r="V2790" i="3"/>
  <c r="T2790" i="3"/>
  <c r="X2790" i="3"/>
  <c r="Y2790" i="3"/>
  <c r="U2786" i="3"/>
  <c r="W2786" i="3"/>
  <c r="Y2786" i="3"/>
  <c r="V2786" i="3"/>
  <c r="T2786" i="3"/>
  <c r="X2786" i="3"/>
  <c r="U2784" i="3"/>
  <c r="W2784" i="3"/>
  <c r="Y2784" i="3"/>
  <c r="T2784" i="3"/>
  <c r="X2784" i="3"/>
  <c r="V2784" i="3"/>
  <c r="U2782" i="3"/>
  <c r="W2782" i="3"/>
  <c r="Y2782" i="3"/>
  <c r="V2782" i="3"/>
  <c r="T2782" i="3"/>
  <c r="X2782" i="3"/>
  <c r="U2780" i="3"/>
  <c r="W2780" i="3"/>
  <c r="Y2780" i="3"/>
  <c r="T2780" i="3"/>
  <c r="X2780" i="3"/>
  <c r="V2780" i="3"/>
  <c r="U2778" i="3"/>
  <c r="W2778" i="3"/>
  <c r="Y2778" i="3"/>
  <c r="V2778" i="3"/>
  <c r="T2778" i="3"/>
  <c r="X2778" i="3"/>
  <c r="Y2787" i="3"/>
  <c r="Y2783" i="3"/>
  <c r="Y2779" i="3"/>
  <c r="W2797" i="3"/>
  <c r="W2793" i="3"/>
  <c r="W2789" i="3"/>
  <c r="W2787" i="3"/>
  <c r="W2783" i="3"/>
  <c r="W2779" i="3"/>
  <c r="U2795" i="3"/>
  <c r="U2791" i="3"/>
  <c r="U2785" i="3"/>
  <c r="U2781" i="3"/>
  <c r="U2777" i="3"/>
  <c r="T2797" i="3"/>
  <c r="V2797" i="3"/>
  <c r="X2797" i="3"/>
  <c r="T2795" i="3"/>
  <c r="V2795" i="3"/>
  <c r="X2795" i="3"/>
  <c r="T2793" i="3"/>
  <c r="V2793" i="3"/>
  <c r="X2793" i="3"/>
  <c r="T2791" i="3"/>
  <c r="V2791" i="3"/>
  <c r="X2791" i="3"/>
  <c r="T2789" i="3"/>
  <c r="V2789" i="3"/>
  <c r="X2789" i="3"/>
  <c r="T2787" i="3"/>
  <c r="V2787" i="3"/>
  <c r="X2787" i="3"/>
  <c r="T2785" i="3"/>
  <c r="V2785" i="3"/>
  <c r="X2785" i="3"/>
  <c r="T2783" i="3"/>
  <c r="V2783" i="3"/>
  <c r="X2783" i="3"/>
  <c r="T2781" i="3"/>
  <c r="V2781" i="3"/>
  <c r="X2781" i="3"/>
  <c r="T2779" i="3"/>
  <c r="V2779" i="3"/>
  <c r="X2779" i="3"/>
  <c r="T2777" i="3"/>
  <c r="V2777" i="3"/>
  <c r="X2777" i="3"/>
  <c r="Y2797" i="3"/>
  <c r="Y2795" i="3"/>
  <c r="Y2793" i="3"/>
  <c r="Y2791" i="3"/>
  <c r="Y2789" i="3"/>
  <c r="Y2785" i="3"/>
  <c r="Y2781" i="3"/>
  <c r="Y2777" i="3"/>
  <c r="S2765" i="3"/>
  <c r="Z2765" i="3" s="1"/>
  <c r="S2754" i="3"/>
  <c r="Z2754" i="3" s="1"/>
  <c r="U2775" i="3"/>
  <c r="W2775" i="3"/>
  <c r="Y2775" i="3"/>
  <c r="T2775" i="3"/>
  <c r="V2775" i="3"/>
  <c r="X2775" i="3"/>
  <c r="T2773" i="3"/>
  <c r="V2773" i="3"/>
  <c r="X2773" i="3"/>
  <c r="U2773" i="3"/>
  <c r="W2773" i="3"/>
  <c r="Y2773" i="3"/>
  <c r="T2771" i="3"/>
  <c r="V2771" i="3"/>
  <c r="X2771" i="3"/>
  <c r="U2771" i="3"/>
  <c r="W2771" i="3"/>
  <c r="Y2771" i="3"/>
  <c r="T2769" i="3"/>
  <c r="V2769" i="3"/>
  <c r="X2769" i="3"/>
  <c r="U2769" i="3"/>
  <c r="W2769" i="3"/>
  <c r="Y2769" i="3"/>
  <c r="T2767" i="3"/>
  <c r="V2767" i="3"/>
  <c r="X2767" i="3"/>
  <c r="U2767" i="3"/>
  <c r="W2767" i="3"/>
  <c r="Y2767" i="3"/>
  <c r="T2763" i="3"/>
  <c r="V2763" i="3"/>
  <c r="X2763" i="3"/>
  <c r="U2763" i="3"/>
  <c r="W2763" i="3"/>
  <c r="Y2763" i="3"/>
  <c r="T2761" i="3"/>
  <c r="V2761" i="3"/>
  <c r="X2761" i="3"/>
  <c r="U2761" i="3"/>
  <c r="W2761" i="3"/>
  <c r="Y2761" i="3"/>
  <c r="T2759" i="3"/>
  <c r="V2759" i="3"/>
  <c r="X2759" i="3"/>
  <c r="U2759" i="3"/>
  <c r="W2759" i="3"/>
  <c r="Y2759" i="3"/>
  <c r="T2757" i="3"/>
  <c r="V2757" i="3"/>
  <c r="X2757" i="3"/>
  <c r="U2757" i="3"/>
  <c r="W2757" i="3"/>
  <c r="Y2757" i="3"/>
  <c r="T2755" i="3"/>
  <c r="V2755" i="3"/>
  <c r="X2755" i="3"/>
  <c r="U2755" i="3"/>
  <c r="W2755" i="3"/>
  <c r="Y2755" i="3"/>
  <c r="U2774" i="3"/>
  <c r="W2774" i="3"/>
  <c r="Y2774" i="3"/>
  <c r="T2774" i="3"/>
  <c r="V2774" i="3"/>
  <c r="X2774" i="3"/>
  <c r="U2772" i="3"/>
  <c r="W2772" i="3"/>
  <c r="Y2772" i="3"/>
  <c r="T2772" i="3"/>
  <c r="V2772" i="3"/>
  <c r="X2772" i="3"/>
  <c r="U2770" i="3"/>
  <c r="W2770" i="3"/>
  <c r="Y2770" i="3"/>
  <c r="T2770" i="3"/>
  <c r="V2770" i="3"/>
  <c r="X2770" i="3"/>
  <c r="U2768" i="3"/>
  <c r="W2768" i="3"/>
  <c r="Y2768" i="3"/>
  <c r="T2768" i="3"/>
  <c r="V2768" i="3"/>
  <c r="X2768" i="3"/>
  <c r="U2766" i="3"/>
  <c r="W2766" i="3"/>
  <c r="Y2766" i="3"/>
  <c r="T2766" i="3"/>
  <c r="V2766" i="3"/>
  <c r="X2766" i="3"/>
  <c r="U2764" i="3"/>
  <c r="W2764" i="3"/>
  <c r="Y2764" i="3"/>
  <c r="T2764" i="3"/>
  <c r="V2764" i="3"/>
  <c r="X2764" i="3"/>
  <c r="U2762" i="3"/>
  <c r="W2762" i="3"/>
  <c r="Y2762" i="3"/>
  <c r="T2762" i="3"/>
  <c r="V2762" i="3"/>
  <c r="X2762" i="3"/>
  <c r="U2760" i="3"/>
  <c r="W2760" i="3"/>
  <c r="Y2760" i="3"/>
  <c r="T2760" i="3"/>
  <c r="V2760" i="3"/>
  <c r="X2760" i="3"/>
  <c r="U2758" i="3"/>
  <c r="W2758" i="3"/>
  <c r="Y2758" i="3"/>
  <c r="T2758" i="3"/>
  <c r="V2758" i="3"/>
  <c r="X2758" i="3"/>
  <c r="U2756" i="3"/>
  <c r="W2756" i="3"/>
  <c r="Y2756" i="3"/>
  <c r="T2756" i="3"/>
  <c r="V2756" i="3"/>
  <c r="X2756" i="3"/>
  <c r="M156" i="10"/>
  <c r="M2743" i="3"/>
  <c r="M2744" i="3"/>
  <c r="M2745" i="3"/>
  <c r="M2746" i="3"/>
  <c r="M2747" i="3"/>
  <c r="M2748" i="3"/>
  <c r="M2749" i="3"/>
  <c r="M2750" i="3"/>
  <c r="M2751" i="3"/>
  <c r="M2752" i="3"/>
  <c r="M2753" i="3"/>
  <c r="P2743" i="3"/>
  <c r="P2744" i="3"/>
  <c r="P2745" i="3"/>
  <c r="P2746" i="3"/>
  <c r="P2747" i="3"/>
  <c r="P2748" i="3"/>
  <c r="P2749" i="3"/>
  <c r="P2750" i="3"/>
  <c r="P2751" i="3"/>
  <c r="P2752" i="3"/>
  <c r="P2753" i="3"/>
  <c r="Q2743" i="3"/>
  <c r="Q2744" i="3"/>
  <c r="Q2745" i="3"/>
  <c r="Q2746" i="3"/>
  <c r="Q2747" i="3"/>
  <c r="Q2748" i="3"/>
  <c r="Q2749" i="3"/>
  <c r="Q2750" i="3"/>
  <c r="Q2751" i="3"/>
  <c r="Q2752" i="3"/>
  <c r="Q2753" i="3"/>
  <c r="R2743" i="3"/>
  <c r="R2744" i="3"/>
  <c r="R2745" i="3"/>
  <c r="R2746" i="3"/>
  <c r="R2747" i="3"/>
  <c r="R2748" i="3"/>
  <c r="R2749" i="3"/>
  <c r="R2750" i="3"/>
  <c r="R2751" i="3"/>
  <c r="R2752" i="3"/>
  <c r="R2753" i="3"/>
  <c r="S2744" i="3"/>
  <c r="S2745" i="3"/>
  <c r="S2746" i="3"/>
  <c r="S2747" i="3"/>
  <c r="S2748" i="3"/>
  <c r="S2749" i="3"/>
  <c r="S2750" i="3"/>
  <c r="S2751" i="3"/>
  <c r="S2752" i="3"/>
  <c r="S2753" i="3"/>
  <c r="T2743" i="3"/>
  <c r="U2743" i="3"/>
  <c r="V2743" i="3"/>
  <c r="W2743" i="3"/>
  <c r="X2743" i="3"/>
  <c r="AA2743" i="3"/>
  <c r="AA2744" i="3"/>
  <c r="AA2745" i="3"/>
  <c r="AA2746" i="3"/>
  <c r="AA2747" i="3"/>
  <c r="AA2748" i="3"/>
  <c r="AA2749" i="3"/>
  <c r="AA2750" i="3"/>
  <c r="AA2751" i="3"/>
  <c r="AA2752" i="3"/>
  <c r="AA2753" i="3"/>
  <c r="AB2743" i="3"/>
  <c r="O2743" i="3" s="1"/>
  <c r="Y2743" i="3" s="1"/>
  <c r="AB2744" i="3"/>
  <c r="O2744" i="3" s="1"/>
  <c r="AB2745" i="3"/>
  <c r="O2745" i="3" s="1"/>
  <c r="AB2746" i="3"/>
  <c r="O2746" i="3" s="1"/>
  <c r="AB2747" i="3"/>
  <c r="O2747" i="3" s="1"/>
  <c r="AB2748" i="3"/>
  <c r="O2748" i="3" s="1"/>
  <c r="AB2749" i="3"/>
  <c r="O2749" i="3" s="1"/>
  <c r="AB2750" i="3"/>
  <c r="O2750" i="3" s="1"/>
  <c r="AB2751" i="3"/>
  <c r="O2751" i="3" s="1"/>
  <c r="AB2752" i="3"/>
  <c r="O2752" i="3" s="1"/>
  <c r="AB2753" i="3"/>
  <c r="O2753" i="3" s="1"/>
  <c r="AC2743" i="3"/>
  <c r="N2743" i="3" s="1"/>
  <c r="AC2744" i="3"/>
  <c r="N2744" i="3" s="1"/>
  <c r="AC2745" i="3"/>
  <c r="N2745" i="3" s="1"/>
  <c r="AC2746" i="3"/>
  <c r="N2746" i="3" s="1"/>
  <c r="AC2747" i="3"/>
  <c r="N2747" i="3" s="1"/>
  <c r="AC2748" i="3"/>
  <c r="N2748" i="3" s="1"/>
  <c r="AC2749" i="3"/>
  <c r="N2749" i="3" s="1"/>
  <c r="AC2750" i="3"/>
  <c r="N2750" i="3" s="1"/>
  <c r="AC2751" i="3"/>
  <c r="N2751" i="3" s="1"/>
  <c r="AC2752" i="3"/>
  <c r="N2752" i="3" s="1"/>
  <c r="AC2753" i="3"/>
  <c r="N2753" i="3" s="1"/>
  <c r="AK2743" i="3"/>
  <c r="AK2744" i="3"/>
  <c r="AK2745" i="3"/>
  <c r="AK2746" i="3"/>
  <c r="AK2747" i="3"/>
  <c r="AK2748" i="3"/>
  <c r="AK2749" i="3"/>
  <c r="AK2750" i="3"/>
  <c r="AK2751" i="3"/>
  <c r="AK2752" i="3"/>
  <c r="AK2753" i="3"/>
  <c r="M155" i="10"/>
  <c r="M2732" i="3"/>
  <c r="M2733" i="3"/>
  <c r="M2734" i="3"/>
  <c r="M2735" i="3"/>
  <c r="M2736" i="3"/>
  <c r="M2737" i="3"/>
  <c r="M2738" i="3"/>
  <c r="M2739" i="3"/>
  <c r="M2740" i="3"/>
  <c r="M2741" i="3"/>
  <c r="M2742" i="3"/>
  <c r="P2732" i="3"/>
  <c r="P2733" i="3"/>
  <c r="P2734" i="3"/>
  <c r="P2735" i="3"/>
  <c r="P2736" i="3"/>
  <c r="P2737" i="3"/>
  <c r="P2738" i="3"/>
  <c r="P2739" i="3"/>
  <c r="P2740" i="3"/>
  <c r="P2741" i="3"/>
  <c r="P2742" i="3"/>
  <c r="Q2732" i="3"/>
  <c r="Q2733" i="3"/>
  <c r="Q2734" i="3"/>
  <c r="Q2735" i="3"/>
  <c r="Q2736" i="3"/>
  <c r="Q2737" i="3"/>
  <c r="Q2738" i="3"/>
  <c r="Q2739" i="3"/>
  <c r="Q2740" i="3"/>
  <c r="Q2741" i="3"/>
  <c r="Q2742" i="3"/>
  <c r="R2732" i="3"/>
  <c r="R2733" i="3"/>
  <c r="R2734" i="3"/>
  <c r="R2735" i="3"/>
  <c r="R2736" i="3"/>
  <c r="R2737" i="3"/>
  <c r="R2738" i="3"/>
  <c r="R2739" i="3"/>
  <c r="R2740" i="3"/>
  <c r="R2741" i="3"/>
  <c r="R2742" i="3"/>
  <c r="S2733" i="3"/>
  <c r="S2734" i="3"/>
  <c r="S2735" i="3"/>
  <c r="S2736" i="3"/>
  <c r="S2737" i="3"/>
  <c r="S2738" i="3"/>
  <c r="S2739" i="3"/>
  <c r="S2740" i="3"/>
  <c r="S2741" i="3"/>
  <c r="S2742" i="3"/>
  <c r="T2732" i="3"/>
  <c r="U2732" i="3"/>
  <c r="V2732" i="3"/>
  <c r="W2732" i="3"/>
  <c r="X2732" i="3"/>
  <c r="AA2732" i="3"/>
  <c r="AA2733" i="3"/>
  <c r="AA2734" i="3"/>
  <c r="AA2735" i="3"/>
  <c r="AA2736" i="3"/>
  <c r="AA2737" i="3"/>
  <c r="AA2738" i="3"/>
  <c r="AA2739" i="3"/>
  <c r="AA2740" i="3"/>
  <c r="AA2741" i="3"/>
  <c r="AA2742" i="3"/>
  <c r="AB2732" i="3"/>
  <c r="O2732" i="3" s="1"/>
  <c r="Y2732" i="3" s="1"/>
  <c r="AB2733" i="3"/>
  <c r="O2733" i="3" s="1"/>
  <c r="AB2734" i="3"/>
  <c r="O2734" i="3" s="1"/>
  <c r="AB2735" i="3"/>
  <c r="O2735" i="3" s="1"/>
  <c r="AB2736" i="3"/>
  <c r="O2736" i="3" s="1"/>
  <c r="AB2737" i="3"/>
  <c r="O2737" i="3" s="1"/>
  <c r="AB2738" i="3"/>
  <c r="O2738" i="3" s="1"/>
  <c r="AB2739" i="3"/>
  <c r="O2739" i="3" s="1"/>
  <c r="AB2740" i="3"/>
  <c r="O2740" i="3" s="1"/>
  <c r="AB2741" i="3"/>
  <c r="O2741" i="3" s="1"/>
  <c r="AB2742" i="3"/>
  <c r="O2742" i="3" s="1"/>
  <c r="AC2732" i="3"/>
  <c r="N2732" i="3" s="1"/>
  <c r="AC2733" i="3"/>
  <c r="N2733" i="3" s="1"/>
  <c r="AC2734" i="3"/>
  <c r="N2734" i="3" s="1"/>
  <c r="AC2735" i="3"/>
  <c r="N2735" i="3" s="1"/>
  <c r="AC2736" i="3"/>
  <c r="N2736" i="3" s="1"/>
  <c r="AC2737" i="3"/>
  <c r="N2737" i="3" s="1"/>
  <c r="AC2738" i="3"/>
  <c r="N2738" i="3" s="1"/>
  <c r="AC2739" i="3"/>
  <c r="N2739" i="3" s="1"/>
  <c r="AC2740" i="3"/>
  <c r="N2740" i="3" s="1"/>
  <c r="AC2741" i="3"/>
  <c r="N2741" i="3" s="1"/>
  <c r="AC2742" i="3"/>
  <c r="N2742" i="3" s="1"/>
  <c r="AK2732" i="3"/>
  <c r="AK2733" i="3"/>
  <c r="AK2734" i="3"/>
  <c r="AK2735" i="3"/>
  <c r="AK2736" i="3"/>
  <c r="AK2737" i="3"/>
  <c r="AK2738" i="3"/>
  <c r="AK2739" i="3"/>
  <c r="AK2740" i="3"/>
  <c r="AK2741" i="3"/>
  <c r="AK2742" i="3"/>
  <c r="M154" i="10"/>
  <c r="M2721" i="3"/>
  <c r="M2722" i="3"/>
  <c r="M2723" i="3"/>
  <c r="M2724" i="3"/>
  <c r="M2725" i="3"/>
  <c r="M2726" i="3"/>
  <c r="M2727" i="3"/>
  <c r="M2728" i="3"/>
  <c r="M2729" i="3"/>
  <c r="M2730" i="3"/>
  <c r="M2731" i="3"/>
  <c r="P2721" i="3"/>
  <c r="P2722" i="3"/>
  <c r="P2723" i="3"/>
  <c r="P2724" i="3"/>
  <c r="P2725" i="3"/>
  <c r="P2726" i="3"/>
  <c r="P2727" i="3"/>
  <c r="P2728" i="3"/>
  <c r="P2729" i="3"/>
  <c r="P2730" i="3"/>
  <c r="P2731" i="3"/>
  <c r="Q2721" i="3"/>
  <c r="Q2722" i="3"/>
  <c r="Q2723" i="3"/>
  <c r="Q2724" i="3"/>
  <c r="Q2725" i="3"/>
  <c r="Q2726" i="3"/>
  <c r="Q2727" i="3"/>
  <c r="Q2728" i="3"/>
  <c r="Q2729" i="3"/>
  <c r="Q2730" i="3"/>
  <c r="Q2731" i="3"/>
  <c r="R2721" i="3"/>
  <c r="R2722" i="3"/>
  <c r="R2723" i="3"/>
  <c r="R2724" i="3"/>
  <c r="R2725" i="3"/>
  <c r="R2726" i="3"/>
  <c r="R2727" i="3"/>
  <c r="R2728" i="3"/>
  <c r="R2729" i="3"/>
  <c r="R2730" i="3"/>
  <c r="R2731" i="3"/>
  <c r="S2722" i="3"/>
  <c r="S2723" i="3"/>
  <c r="S2724" i="3"/>
  <c r="S2725" i="3"/>
  <c r="S2726" i="3"/>
  <c r="S2727" i="3"/>
  <c r="S2728" i="3"/>
  <c r="S2729" i="3"/>
  <c r="S2730" i="3"/>
  <c r="S2731" i="3"/>
  <c r="T2721" i="3"/>
  <c r="U2721" i="3"/>
  <c r="V2721" i="3"/>
  <c r="W2721" i="3"/>
  <c r="X2721" i="3"/>
  <c r="AA2721" i="3"/>
  <c r="AA2722" i="3"/>
  <c r="AA2723" i="3"/>
  <c r="AA2724" i="3"/>
  <c r="AA2725" i="3"/>
  <c r="AA2726" i="3"/>
  <c r="AA2727" i="3"/>
  <c r="AA2728" i="3"/>
  <c r="AA2729" i="3"/>
  <c r="AA2730" i="3"/>
  <c r="AA2731" i="3"/>
  <c r="AB2721" i="3"/>
  <c r="O2721" i="3" s="1"/>
  <c r="Y2721" i="3" s="1"/>
  <c r="AB2722" i="3"/>
  <c r="O2722" i="3" s="1"/>
  <c r="AB2723" i="3"/>
  <c r="O2723" i="3" s="1"/>
  <c r="AB2724" i="3"/>
  <c r="O2724" i="3" s="1"/>
  <c r="AB2725" i="3"/>
  <c r="O2725" i="3" s="1"/>
  <c r="AB2726" i="3"/>
  <c r="O2726" i="3" s="1"/>
  <c r="AB2727" i="3"/>
  <c r="O2727" i="3" s="1"/>
  <c r="AB2728" i="3"/>
  <c r="O2728" i="3" s="1"/>
  <c r="AB2729" i="3"/>
  <c r="O2729" i="3" s="1"/>
  <c r="AB2730" i="3"/>
  <c r="O2730" i="3" s="1"/>
  <c r="AB2731" i="3"/>
  <c r="O2731" i="3" s="1"/>
  <c r="AC2721" i="3"/>
  <c r="N2721" i="3" s="1"/>
  <c r="AC2722" i="3"/>
  <c r="N2722" i="3" s="1"/>
  <c r="AC2723" i="3"/>
  <c r="N2723" i="3" s="1"/>
  <c r="AC2724" i="3"/>
  <c r="N2724" i="3" s="1"/>
  <c r="AC2725" i="3"/>
  <c r="N2725" i="3" s="1"/>
  <c r="AC2726" i="3"/>
  <c r="N2726" i="3" s="1"/>
  <c r="AC2727" i="3"/>
  <c r="N2727" i="3" s="1"/>
  <c r="AC2728" i="3"/>
  <c r="N2728" i="3" s="1"/>
  <c r="AC2729" i="3"/>
  <c r="N2729" i="3" s="1"/>
  <c r="AC2730" i="3"/>
  <c r="N2730" i="3" s="1"/>
  <c r="AC2731" i="3"/>
  <c r="N2731" i="3" s="1"/>
  <c r="AK2721" i="3"/>
  <c r="AK2722" i="3"/>
  <c r="AK2723" i="3"/>
  <c r="AK2724" i="3"/>
  <c r="AK2725" i="3"/>
  <c r="AK2726" i="3"/>
  <c r="AK2727" i="3"/>
  <c r="AK2728" i="3"/>
  <c r="AK2729" i="3"/>
  <c r="AK2730" i="3"/>
  <c r="AK2731" i="3"/>
  <c r="M153" i="10"/>
  <c r="M2710" i="3"/>
  <c r="M2711" i="3"/>
  <c r="M2712" i="3"/>
  <c r="M2713" i="3"/>
  <c r="M2714" i="3"/>
  <c r="M2715" i="3"/>
  <c r="M2716" i="3"/>
  <c r="M2717" i="3"/>
  <c r="M2718" i="3"/>
  <c r="M2719" i="3"/>
  <c r="M2720" i="3"/>
  <c r="P2710" i="3"/>
  <c r="P2711" i="3"/>
  <c r="P2712" i="3"/>
  <c r="P2713" i="3"/>
  <c r="P2714" i="3"/>
  <c r="P2715" i="3"/>
  <c r="P2716" i="3"/>
  <c r="P2717" i="3"/>
  <c r="P2718" i="3"/>
  <c r="P2719" i="3"/>
  <c r="P2720" i="3"/>
  <c r="Q2710" i="3"/>
  <c r="Q2711" i="3"/>
  <c r="Q2712" i="3"/>
  <c r="Q2713" i="3"/>
  <c r="Q2714" i="3"/>
  <c r="Q2715" i="3"/>
  <c r="Q2716" i="3"/>
  <c r="Q2717" i="3"/>
  <c r="Q2718" i="3"/>
  <c r="Q2719" i="3"/>
  <c r="Q2720" i="3"/>
  <c r="R2710" i="3"/>
  <c r="R2711" i="3"/>
  <c r="R2712" i="3"/>
  <c r="R2713" i="3"/>
  <c r="R2714" i="3"/>
  <c r="R2715" i="3"/>
  <c r="R2716" i="3"/>
  <c r="R2717" i="3"/>
  <c r="R2718" i="3"/>
  <c r="R2719" i="3"/>
  <c r="R2720" i="3"/>
  <c r="S2711" i="3"/>
  <c r="S2712" i="3"/>
  <c r="S2713" i="3"/>
  <c r="S2714" i="3"/>
  <c r="S2715" i="3"/>
  <c r="S2716" i="3"/>
  <c r="S2717" i="3"/>
  <c r="S2718" i="3"/>
  <c r="S2719" i="3"/>
  <c r="S2720" i="3"/>
  <c r="T2710" i="3"/>
  <c r="U2710" i="3"/>
  <c r="V2710" i="3"/>
  <c r="W2710" i="3"/>
  <c r="X2710" i="3"/>
  <c r="AA2710" i="3"/>
  <c r="AA2711" i="3"/>
  <c r="AA2712" i="3"/>
  <c r="AA2713" i="3"/>
  <c r="AA2714" i="3"/>
  <c r="AA2715" i="3"/>
  <c r="AA2716" i="3"/>
  <c r="AA2717" i="3"/>
  <c r="AA2718" i="3"/>
  <c r="AA2719" i="3"/>
  <c r="AA2720" i="3"/>
  <c r="AB2710" i="3"/>
  <c r="O2710" i="3" s="1"/>
  <c r="Y2710" i="3" s="1"/>
  <c r="AB2711" i="3"/>
  <c r="O2711" i="3" s="1"/>
  <c r="AB2712" i="3"/>
  <c r="O2712" i="3" s="1"/>
  <c r="AB2713" i="3"/>
  <c r="O2713" i="3" s="1"/>
  <c r="AB2714" i="3"/>
  <c r="O2714" i="3" s="1"/>
  <c r="AB2715" i="3"/>
  <c r="O2715" i="3" s="1"/>
  <c r="AB2716" i="3"/>
  <c r="O2716" i="3" s="1"/>
  <c r="AB2717" i="3"/>
  <c r="O2717" i="3" s="1"/>
  <c r="AB2718" i="3"/>
  <c r="O2718" i="3" s="1"/>
  <c r="AB2719" i="3"/>
  <c r="O2719" i="3" s="1"/>
  <c r="AB2720" i="3"/>
  <c r="O2720" i="3" s="1"/>
  <c r="AC2710" i="3"/>
  <c r="N2710" i="3" s="1"/>
  <c r="AC2711" i="3"/>
  <c r="N2711" i="3" s="1"/>
  <c r="AC2712" i="3"/>
  <c r="N2712" i="3" s="1"/>
  <c r="AC2713" i="3"/>
  <c r="N2713" i="3" s="1"/>
  <c r="AC2714" i="3"/>
  <c r="N2714" i="3" s="1"/>
  <c r="AC2715" i="3"/>
  <c r="N2715" i="3" s="1"/>
  <c r="AC2716" i="3"/>
  <c r="N2716" i="3" s="1"/>
  <c r="AC2717" i="3"/>
  <c r="N2717" i="3" s="1"/>
  <c r="AC2718" i="3"/>
  <c r="N2718" i="3" s="1"/>
  <c r="AC2719" i="3"/>
  <c r="N2719" i="3" s="1"/>
  <c r="AC2720" i="3"/>
  <c r="N2720" i="3" s="1"/>
  <c r="AK2710" i="3"/>
  <c r="AK2711" i="3"/>
  <c r="AK2712" i="3"/>
  <c r="AK2713" i="3"/>
  <c r="AK2714" i="3"/>
  <c r="AK2715" i="3"/>
  <c r="AK2716" i="3"/>
  <c r="AK2717" i="3"/>
  <c r="AK2718" i="3"/>
  <c r="AK2719" i="3"/>
  <c r="AK2720" i="3"/>
  <c r="M152" i="10"/>
  <c r="M2699" i="3"/>
  <c r="M2700" i="3"/>
  <c r="M2701" i="3"/>
  <c r="M2702" i="3"/>
  <c r="M2703" i="3"/>
  <c r="M2704" i="3"/>
  <c r="M2705" i="3"/>
  <c r="M2706" i="3"/>
  <c r="M2707" i="3"/>
  <c r="M2708" i="3"/>
  <c r="M2709" i="3"/>
  <c r="P2699" i="3"/>
  <c r="P2700" i="3"/>
  <c r="P2701" i="3"/>
  <c r="P2702" i="3"/>
  <c r="P2703" i="3"/>
  <c r="P2704" i="3"/>
  <c r="P2705" i="3"/>
  <c r="P2706" i="3"/>
  <c r="P2707" i="3"/>
  <c r="P2708" i="3"/>
  <c r="P2709" i="3"/>
  <c r="Q2699" i="3"/>
  <c r="Q2700" i="3"/>
  <c r="Q2701" i="3"/>
  <c r="Q2702" i="3"/>
  <c r="Q2703" i="3"/>
  <c r="Q2704" i="3"/>
  <c r="Q2705" i="3"/>
  <c r="Q2706" i="3"/>
  <c r="Q2707" i="3"/>
  <c r="Q2708" i="3"/>
  <c r="Q2709" i="3"/>
  <c r="R2699" i="3"/>
  <c r="R2700" i="3"/>
  <c r="R2701" i="3"/>
  <c r="R2702" i="3"/>
  <c r="R2703" i="3"/>
  <c r="R2704" i="3"/>
  <c r="R2705" i="3"/>
  <c r="R2706" i="3"/>
  <c r="R2707" i="3"/>
  <c r="R2708" i="3"/>
  <c r="R2709" i="3"/>
  <c r="S2700" i="3"/>
  <c r="S2701" i="3"/>
  <c r="S2702" i="3"/>
  <c r="S2703" i="3"/>
  <c r="S2704" i="3"/>
  <c r="S2705" i="3"/>
  <c r="S2706" i="3"/>
  <c r="S2707" i="3"/>
  <c r="S2708" i="3"/>
  <c r="S2709" i="3"/>
  <c r="T2699" i="3"/>
  <c r="U2699" i="3"/>
  <c r="V2699" i="3"/>
  <c r="W2699" i="3"/>
  <c r="X2699" i="3"/>
  <c r="AA2699" i="3"/>
  <c r="AA2700" i="3"/>
  <c r="AA2701" i="3"/>
  <c r="AA2702" i="3"/>
  <c r="AA2703" i="3"/>
  <c r="AA2704" i="3"/>
  <c r="AA2705" i="3"/>
  <c r="AA2706" i="3"/>
  <c r="AA2707" i="3"/>
  <c r="AA2708" i="3"/>
  <c r="AA2709" i="3"/>
  <c r="AB2699" i="3"/>
  <c r="O2699" i="3" s="1"/>
  <c r="Y2699" i="3" s="1"/>
  <c r="AB2700" i="3"/>
  <c r="O2700" i="3" s="1"/>
  <c r="AB2701" i="3"/>
  <c r="O2701" i="3" s="1"/>
  <c r="AB2702" i="3"/>
  <c r="O2702" i="3" s="1"/>
  <c r="AB2703" i="3"/>
  <c r="O2703" i="3" s="1"/>
  <c r="AB2704" i="3"/>
  <c r="O2704" i="3" s="1"/>
  <c r="AB2705" i="3"/>
  <c r="O2705" i="3" s="1"/>
  <c r="AB2706" i="3"/>
  <c r="O2706" i="3" s="1"/>
  <c r="AB2707" i="3"/>
  <c r="O2707" i="3" s="1"/>
  <c r="AB2708" i="3"/>
  <c r="O2708" i="3" s="1"/>
  <c r="AB2709" i="3"/>
  <c r="O2709" i="3" s="1"/>
  <c r="AC2699" i="3"/>
  <c r="N2699" i="3" s="1"/>
  <c r="AC2700" i="3"/>
  <c r="N2700" i="3" s="1"/>
  <c r="AC2701" i="3"/>
  <c r="N2701" i="3" s="1"/>
  <c r="AC2702" i="3"/>
  <c r="N2702" i="3" s="1"/>
  <c r="AC2703" i="3"/>
  <c r="N2703" i="3" s="1"/>
  <c r="AC2704" i="3"/>
  <c r="N2704" i="3" s="1"/>
  <c r="AC2705" i="3"/>
  <c r="N2705" i="3" s="1"/>
  <c r="AC2706" i="3"/>
  <c r="N2706" i="3" s="1"/>
  <c r="AC2707" i="3"/>
  <c r="N2707" i="3" s="1"/>
  <c r="AC2708" i="3"/>
  <c r="N2708" i="3" s="1"/>
  <c r="AC2709" i="3"/>
  <c r="N2709" i="3" s="1"/>
  <c r="AK2699" i="3"/>
  <c r="AK2700" i="3"/>
  <c r="AK2701" i="3"/>
  <c r="AK2702" i="3"/>
  <c r="AK2703" i="3"/>
  <c r="AK2704" i="3"/>
  <c r="AK2705" i="3"/>
  <c r="AK2706" i="3"/>
  <c r="AK2707" i="3"/>
  <c r="AK2708" i="3"/>
  <c r="AK2709" i="3"/>
  <c r="Z2778" i="3" l="1"/>
  <c r="Z2782" i="3"/>
  <c r="Z2786" i="3"/>
  <c r="Z2800" i="3"/>
  <c r="Z2808" i="3"/>
  <c r="Z2818" i="3"/>
  <c r="Z2756" i="3"/>
  <c r="Z2758" i="3"/>
  <c r="Z2760" i="3"/>
  <c r="Z2762" i="3"/>
  <c r="Z2764" i="3"/>
  <c r="Z2766" i="3"/>
  <c r="Z2768" i="3"/>
  <c r="Z2770" i="3"/>
  <c r="Z2772" i="3"/>
  <c r="Z2774" i="3"/>
  <c r="Z2775" i="3"/>
  <c r="Z2777" i="3"/>
  <c r="Z2781" i="3"/>
  <c r="Z2785" i="3"/>
  <c r="Z2789" i="3"/>
  <c r="Z2793" i="3"/>
  <c r="Z2797" i="3"/>
  <c r="Z2792" i="3"/>
  <c r="Z2796" i="3"/>
  <c r="Z2810" i="3"/>
  <c r="Z2816" i="3"/>
  <c r="Z2801" i="3"/>
  <c r="Z2805" i="3"/>
  <c r="Z2809" i="3"/>
  <c r="Z2815" i="3"/>
  <c r="Z2819" i="3"/>
  <c r="Z2823" i="3"/>
  <c r="Z2845" i="3"/>
  <c r="Z2826" i="3"/>
  <c r="Z2828" i="3"/>
  <c r="Z2830" i="3"/>
  <c r="Z2832" i="3"/>
  <c r="Z2834" i="3"/>
  <c r="Z2838" i="3"/>
  <c r="Z2840" i="3"/>
  <c r="Z2844" i="3"/>
  <c r="Z2851" i="3"/>
  <c r="Z2855" i="3"/>
  <c r="Z2859" i="3"/>
  <c r="Z2863" i="3"/>
  <c r="Z2867" i="3"/>
  <c r="Z2871" i="3"/>
  <c r="Z2852" i="3"/>
  <c r="Z2856" i="3"/>
  <c r="Z2860" i="3"/>
  <c r="Z2864" i="3"/>
  <c r="Z2868" i="3"/>
  <c r="Z2872" i="3"/>
  <c r="Z2875" i="3"/>
  <c r="Z2877" i="3"/>
  <c r="Z2879" i="3"/>
  <c r="Z2881" i="3"/>
  <c r="Z2883" i="3"/>
  <c r="Z2874" i="3"/>
  <c r="Z2876" i="3"/>
  <c r="Z2878" i="3"/>
  <c r="Z2880" i="3"/>
  <c r="Z2882" i="3"/>
  <c r="Z2884" i="3"/>
  <c r="Z2802" i="3"/>
  <c r="Z2755" i="3"/>
  <c r="Z2757" i="3"/>
  <c r="Z2759" i="3"/>
  <c r="Z2761" i="3"/>
  <c r="Z2763" i="3"/>
  <c r="Z2767" i="3"/>
  <c r="Z2769" i="3"/>
  <c r="Z2771" i="3"/>
  <c r="Z2773" i="3"/>
  <c r="Z2779" i="3"/>
  <c r="Z2783" i="3"/>
  <c r="Z2787" i="3"/>
  <c r="Z2791" i="3"/>
  <c r="Z2795" i="3"/>
  <c r="Z2780" i="3"/>
  <c r="Z2784" i="3"/>
  <c r="Z2790" i="3"/>
  <c r="Z2794" i="3"/>
  <c r="Z2798" i="3"/>
  <c r="Z2804" i="3"/>
  <c r="Z2814" i="3"/>
  <c r="Z2822" i="3"/>
  <c r="Z2806" i="3"/>
  <c r="Z2812" i="3"/>
  <c r="Z2820" i="3"/>
  <c r="Z2803" i="3"/>
  <c r="Z2807" i="3"/>
  <c r="Z2813" i="3"/>
  <c r="Z2817" i="3"/>
  <c r="Z2821" i="3"/>
  <c r="Z2824" i="3"/>
  <c r="Z2827" i="3"/>
  <c r="Z2829" i="3"/>
  <c r="Z2831" i="3"/>
  <c r="Z2833" i="3"/>
  <c r="Z2835" i="3"/>
  <c r="Z2837" i="3"/>
  <c r="Z2839" i="3"/>
  <c r="Z2841" i="3"/>
  <c r="Z2843" i="3"/>
  <c r="Z2847" i="3"/>
  <c r="Z2842" i="3"/>
  <c r="Z2846" i="3"/>
  <c r="Z2849" i="3"/>
  <c r="Z2853" i="3"/>
  <c r="Z2857" i="3"/>
  <c r="Z2861" i="3"/>
  <c r="Z2865" i="3"/>
  <c r="Z2869" i="3"/>
  <c r="Z2850" i="3"/>
  <c r="Z2854" i="3"/>
  <c r="Z2858" i="3"/>
  <c r="Z2866" i="3"/>
  <c r="Z2870" i="3"/>
  <c r="U2750" i="3"/>
  <c r="W2750" i="3"/>
  <c r="Y2750" i="3"/>
  <c r="U2746" i="3"/>
  <c r="W2746" i="3"/>
  <c r="Y2746" i="3"/>
  <c r="T2753" i="3"/>
  <c r="V2753" i="3"/>
  <c r="X2753" i="3"/>
  <c r="T2749" i="3"/>
  <c r="V2749" i="3"/>
  <c r="X2749" i="3"/>
  <c r="T2747" i="3"/>
  <c r="V2747" i="3"/>
  <c r="X2747" i="3"/>
  <c r="T2745" i="3"/>
  <c r="V2745" i="3"/>
  <c r="X2745" i="3"/>
  <c r="U2751" i="3"/>
  <c r="U2747" i="3"/>
  <c r="S2743" i="3"/>
  <c r="Z2743" i="3" s="1"/>
  <c r="T2752" i="3"/>
  <c r="T2750" i="3"/>
  <c r="T2748" i="3"/>
  <c r="T2746" i="3"/>
  <c r="T2744" i="3"/>
  <c r="U2752" i="3"/>
  <c r="W2752" i="3"/>
  <c r="Y2752" i="3"/>
  <c r="U2748" i="3"/>
  <c r="W2748" i="3"/>
  <c r="Y2748" i="3"/>
  <c r="U2744" i="3"/>
  <c r="W2744" i="3"/>
  <c r="Y2744" i="3"/>
  <c r="T2751" i="3"/>
  <c r="V2751" i="3"/>
  <c r="X2751" i="3"/>
  <c r="U2753" i="3"/>
  <c r="U2749" i="3"/>
  <c r="U2745" i="3"/>
  <c r="Y2753" i="3"/>
  <c r="Y2751" i="3"/>
  <c r="Y2749" i="3"/>
  <c r="Y2747" i="3"/>
  <c r="Y2745" i="3"/>
  <c r="X2752" i="3"/>
  <c r="X2750" i="3"/>
  <c r="X2748" i="3"/>
  <c r="X2746" i="3"/>
  <c r="X2744" i="3"/>
  <c r="W2753" i="3"/>
  <c r="W2751" i="3"/>
  <c r="W2749" i="3"/>
  <c r="W2747" i="3"/>
  <c r="W2745" i="3"/>
  <c r="V2752" i="3"/>
  <c r="V2750" i="3"/>
  <c r="V2748" i="3"/>
  <c r="V2746" i="3"/>
  <c r="V2744" i="3"/>
  <c r="S2699" i="3"/>
  <c r="Z2699" i="3" s="1"/>
  <c r="S2710" i="3"/>
  <c r="Z2710" i="3" s="1"/>
  <c r="S2721" i="3"/>
  <c r="Z2721" i="3" s="1"/>
  <c r="S2732" i="3"/>
  <c r="Z2732" i="3" s="1"/>
  <c r="U2742" i="3"/>
  <c r="W2742" i="3"/>
  <c r="Y2742" i="3"/>
  <c r="T2742" i="3"/>
  <c r="V2742" i="3"/>
  <c r="X2742" i="3"/>
  <c r="U2740" i="3"/>
  <c r="W2740" i="3"/>
  <c r="Y2740" i="3"/>
  <c r="T2740" i="3"/>
  <c r="V2740" i="3"/>
  <c r="X2740" i="3"/>
  <c r="U2738" i="3"/>
  <c r="W2738" i="3"/>
  <c r="Y2738" i="3"/>
  <c r="T2738" i="3"/>
  <c r="V2738" i="3"/>
  <c r="X2738" i="3"/>
  <c r="U2736" i="3"/>
  <c r="W2736" i="3"/>
  <c r="Y2736" i="3"/>
  <c r="T2736" i="3"/>
  <c r="V2736" i="3"/>
  <c r="X2736" i="3"/>
  <c r="U2734" i="3"/>
  <c r="W2734" i="3"/>
  <c r="Y2734" i="3"/>
  <c r="T2734" i="3"/>
  <c r="V2734" i="3"/>
  <c r="X2734" i="3"/>
  <c r="T2741" i="3"/>
  <c r="V2741" i="3"/>
  <c r="X2741" i="3"/>
  <c r="U2741" i="3"/>
  <c r="W2741" i="3"/>
  <c r="Y2741" i="3"/>
  <c r="T2739" i="3"/>
  <c r="V2739" i="3"/>
  <c r="X2739" i="3"/>
  <c r="U2739" i="3"/>
  <c r="W2739" i="3"/>
  <c r="Y2739" i="3"/>
  <c r="T2737" i="3"/>
  <c r="V2737" i="3"/>
  <c r="X2737" i="3"/>
  <c r="U2737" i="3"/>
  <c r="W2737" i="3"/>
  <c r="Y2737" i="3"/>
  <c r="T2735" i="3"/>
  <c r="V2735" i="3"/>
  <c r="X2735" i="3"/>
  <c r="U2735" i="3"/>
  <c r="W2735" i="3"/>
  <c r="Y2735" i="3"/>
  <c r="T2733" i="3"/>
  <c r="V2733" i="3"/>
  <c r="X2733" i="3"/>
  <c r="U2733" i="3"/>
  <c r="W2733" i="3"/>
  <c r="Y2733" i="3"/>
  <c r="U2729" i="3"/>
  <c r="W2729" i="3"/>
  <c r="Y2729" i="3"/>
  <c r="T2729" i="3"/>
  <c r="V2729" i="3"/>
  <c r="X2729" i="3"/>
  <c r="U2727" i="3"/>
  <c r="W2727" i="3"/>
  <c r="Y2727" i="3"/>
  <c r="T2727" i="3"/>
  <c r="V2727" i="3"/>
  <c r="X2727" i="3"/>
  <c r="U2725" i="3"/>
  <c r="W2725" i="3"/>
  <c r="Y2725" i="3"/>
  <c r="T2725" i="3"/>
  <c r="V2725" i="3"/>
  <c r="X2725" i="3"/>
  <c r="U2723" i="3"/>
  <c r="W2723" i="3"/>
  <c r="Y2723" i="3"/>
  <c r="T2723" i="3"/>
  <c r="V2723" i="3"/>
  <c r="X2723" i="3"/>
  <c r="U2731" i="3"/>
  <c r="W2731" i="3"/>
  <c r="Y2731" i="3"/>
  <c r="T2731" i="3"/>
  <c r="V2731" i="3"/>
  <c r="X2731" i="3"/>
  <c r="T2730" i="3"/>
  <c r="V2730" i="3"/>
  <c r="X2730" i="3"/>
  <c r="U2730" i="3"/>
  <c r="W2730" i="3"/>
  <c r="Y2730" i="3"/>
  <c r="T2728" i="3"/>
  <c r="V2728" i="3"/>
  <c r="X2728" i="3"/>
  <c r="U2728" i="3"/>
  <c r="W2728" i="3"/>
  <c r="Y2728" i="3"/>
  <c r="T2726" i="3"/>
  <c r="V2726" i="3"/>
  <c r="X2726" i="3"/>
  <c r="U2726" i="3"/>
  <c r="W2726" i="3"/>
  <c r="Y2726" i="3"/>
  <c r="T2724" i="3"/>
  <c r="V2724" i="3"/>
  <c r="X2724" i="3"/>
  <c r="U2724" i="3"/>
  <c r="W2724" i="3"/>
  <c r="Y2724" i="3"/>
  <c r="T2722" i="3"/>
  <c r="V2722" i="3"/>
  <c r="X2722" i="3"/>
  <c r="U2722" i="3"/>
  <c r="W2722" i="3"/>
  <c r="Y2722" i="3"/>
  <c r="U2718" i="3"/>
  <c r="W2718" i="3"/>
  <c r="Y2718" i="3"/>
  <c r="T2718" i="3"/>
  <c r="V2718" i="3"/>
  <c r="X2718" i="3"/>
  <c r="U2714" i="3"/>
  <c r="W2714" i="3"/>
  <c r="Y2714" i="3"/>
  <c r="T2714" i="3"/>
  <c r="V2714" i="3"/>
  <c r="X2714" i="3"/>
  <c r="U2712" i="3"/>
  <c r="W2712" i="3"/>
  <c r="Y2712" i="3"/>
  <c r="T2712" i="3"/>
  <c r="V2712" i="3"/>
  <c r="X2712" i="3"/>
  <c r="U2720" i="3"/>
  <c r="W2720" i="3"/>
  <c r="Y2720" i="3"/>
  <c r="T2720" i="3"/>
  <c r="V2720" i="3"/>
  <c r="X2720" i="3"/>
  <c r="U2716" i="3"/>
  <c r="W2716" i="3"/>
  <c r="Y2716" i="3"/>
  <c r="T2716" i="3"/>
  <c r="V2716" i="3"/>
  <c r="X2716" i="3"/>
  <c r="T2719" i="3"/>
  <c r="V2719" i="3"/>
  <c r="X2719" i="3"/>
  <c r="U2719" i="3"/>
  <c r="W2719" i="3"/>
  <c r="Y2719" i="3"/>
  <c r="T2717" i="3"/>
  <c r="V2717" i="3"/>
  <c r="X2717" i="3"/>
  <c r="U2717" i="3"/>
  <c r="W2717" i="3"/>
  <c r="Y2717" i="3"/>
  <c r="T2715" i="3"/>
  <c r="V2715" i="3"/>
  <c r="X2715" i="3"/>
  <c r="U2715" i="3"/>
  <c r="W2715" i="3"/>
  <c r="Y2715" i="3"/>
  <c r="T2713" i="3"/>
  <c r="V2713" i="3"/>
  <c r="X2713" i="3"/>
  <c r="U2713" i="3"/>
  <c r="W2713" i="3"/>
  <c r="Y2713" i="3"/>
  <c r="T2711" i="3"/>
  <c r="V2711" i="3"/>
  <c r="X2711" i="3"/>
  <c r="U2711" i="3"/>
  <c r="W2711" i="3"/>
  <c r="Y2711" i="3"/>
  <c r="U2709" i="3"/>
  <c r="W2709" i="3"/>
  <c r="Y2709" i="3"/>
  <c r="T2709" i="3"/>
  <c r="V2709" i="3"/>
  <c r="X2709" i="3"/>
  <c r="U2703" i="3"/>
  <c r="W2703" i="3"/>
  <c r="Y2703" i="3"/>
  <c r="T2703" i="3"/>
  <c r="V2703" i="3"/>
  <c r="X2703" i="3"/>
  <c r="U2707" i="3"/>
  <c r="W2707" i="3"/>
  <c r="Y2707" i="3"/>
  <c r="T2707" i="3"/>
  <c r="V2707" i="3"/>
  <c r="X2707" i="3"/>
  <c r="U2705" i="3"/>
  <c r="W2705" i="3"/>
  <c r="Y2705" i="3"/>
  <c r="T2705" i="3"/>
  <c r="V2705" i="3"/>
  <c r="X2705" i="3"/>
  <c r="U2701" i="3"/>
  <c r="W2701" i="3"/>
  <c r="Y2701" i="3"/>
  <c r="T2701" i="3"/>
  <c r="V2701" i="3"/>
  <c r="X2701" i="3"/>
  <c r="T2708" i="3"/>
  <c r="V2708" i="3"/>
  <c r="X2708" i="3"/>
  <c r="U2708" i="3"/>
  <c r="W2708" i="3"/>
  <c r="Y2708" i="3"/>
  <c r="T2706" i="3"/>
  <c r="V2706" i="3"/>
  <c r="X2706" i="3"/>
  <c r="U2706" i="3"/>
  <c r="W2706" i="3"/>
  <c r="Y2706" i="3"/>
  <c r="T2704" i="3"/>
  <c r="V2704" i="3"/>
  <c r="X2704" i="3"/>
  <c r="U2704" i="3"/>
  <c r="W2704" i="3"/>
  <c r="Y2704" i="3"/>
  <c r="T2702" i="3"/>
  <c r="V2702" i="3"/>
  <c r="X2702" i="3"/>
  <c r="U2702" i="3"/>
  <c r="W2702" i="3"/>
  <c r="Y2702" i="3"/>
  <c r="T2700" i="3"/>
  <c r="V2700" i="3"/>
  <c r="X2700" i="3"/>
  <c r="U2700" i="3"/>
  <c r="W2700" i="3"/>
  <c r="Y2700" i="3"/>
  <c r="M151" i="10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P2674" i="3"/>
  <c r="P2675" i="3"/>
  <c r="P2676" i="3"/>
  <c r="P2677" i="3"/>
  <c r="P2678" i="3"/>
  <c r="P2679" i="3"/>
  <c r="P2680" i="3"/>
  <c r="P2681" i="3"/>
  <c r="P2682" i="3"/>
  <c r="P2683" i="3"/>
  <c r="P2684" i="3"/>
  <c r="P2685" i="3"/>
  <c r="P2686" i="3"/>
  <c r="P2687" i="3"/>
  <c r="P2688" i="3"/>
  <c r="P2689" i="3"/>
  <c r="P2690" i="3"/>
  <c r="P2691" i="3"/>
  <c r="P2692" i="3"/>
  <c r="P2693" i="3"/>
  <c r="P2694" i="3"/>
  <c r="P2695" i="3"/>
  <c r="P2696" i="3"/>
  <c r="P2697" i="3"/>
  <c r="P2698" i="3"/>
  <c r="Q2674" i="3"/>
  <c r="Q2675" i="3"/>
  <c r="Q2676" i="3"/>
  <c r="Q2677" i="3"/>
  <c r="Q2678" i="3"/>
  <c r="Q2679" i="3"/>
  <c r="Q2680" i="3"/>
  <c r="Q2681" i="3"/>
  <c r="Q2682" i="3"/>
  <c r="Q2683" i="3"/>
  <c r="Q2684" i="3"/>
  <c r="Q2685" i="3"/>
  <c r="Q2686" i="3"/>
  <c r="Q2687" i="3"/>
  <c r="Q2688" i="3"/>
  <c r="Q2689" i="3"/>
  <c r="Q2690" i="3"/>
  <c r="Q2691" i="3"/>
  <c r="Q2692" i="3"/>
  <c r="Q2693" i="3"/>
  <c r="Q2694" i="3"/>
  <c r="Q2695" i="3"/>
  <c r="Q2696" i="3"/>
  <c r="Q2697" i="3"/>
  <c r="Q2698" i="3"/>
  <c r="R2674" i="3"/>
  <c r="R2675" i="3"/>
  <c r="R2676" i="3"/>
  <c r="R2677" i="3"/>
  <c r="R2678" i="3"/>
  <c r="R2679" i="3"/>
  <c r="R2680" i="3"/>
  <c r="R2681" i="3"/>
  <c r="R2682" i="3"/>
  <c r="R2683" i="3"/>
  <c r="R2684" i="3"/>
  <c r="R2685" i="3"/>
  <c r="R2686" i="3"/>
  <c r="R2687" i="3"/>
  <c r="R2688" i="3"/>
  <c r="R2689" i="3"/>
  <c r="R2690" i="3"/>
  <c r="R2691" i="3"/>
  <c r="R2692" i="3"/>
  <c r="R2693" i="3"/>
  <c r="R2694" i="3"/>
  <c r="R2695" i="3"/>
  <c r="R2696" i="3"/>
  <c r="R2697" i="3"/>
  <c r="R2698" i="3"/>
  <c r="S2675" i="3"/>
  <c r="S2676" i="3"/>
  <c r="S2677" i="3"/>
  <c r="S2678" i="3"/>
  <c r="S2679" i="3"/>
  <c r="S2680" i="3"/>
  <c r="S2681" i="3"/>
  <c r="S2682" i="3"/>
  <c r="S2683" i="3"/>
  <c r="S2684" i="3"/>
  <c r="S2685" i="3"/>
  <c r="S2686" i="3"/>
  <c r="S2688" i="3"/>
  <c r="S2689" i="3"/>
  <c r="S2690" i="3"/>
  <c r="S2691" i="3"/>
  <c r="S2692" i="3"/>
  <c r="S2693" i="3"/>
  <c r="S2694" i="3"/>
  <c r="S2695" i="3"/>
  <c r="S2696" i="3"/>
  <c r="S2697" i="3"/>
  <c r="S2698" i="3"/>
  <c r="T2674" i="3"/>
  <c r="T2687" i="3"/>
  <c r="U2674" i="3"/>
  <c r="U2687" i="3"/>
  <c r="V2674" i="3"/>
  <c r="V2687" i="3"/>
  <c r="W2674" i="3"/>
  <c r="W2687" i="3"/>
  <c r="X2674" i="3"/>
  <c r="X2687" i="3"/>
  <c r="AA2674" i="3"/>
  <c r="AA2675" i="3"/>
  <c r="AA2676" i="3"/>
  <c r="AA2677" i="3"/>
  <c r="AA2678" i="3"/>
  <c r="AA2679" i="3"/>
  <c r="AA2680" i="3"/>
  <c r="AA2681" i="3"/>
  <c r="AA2682" i="3"/>
  <c r="AA2683" i="3"/>
  <c r="AA2684" i="3"/>
  <c r="AA2685" i="3"/>
  <c r="AA2686" i="3"/>
  <c r="AA2687" i="3"/>
  <c r="AA2688" i="3"/>
  <c r="AA2689" i="3"/>
  <c r="AA2690" i="3"/>
  <c r="AA2691" i="3"/>
  <c r="AA2692" i="3"/>
  <c r="AA2693" i="3"/>
  <c r="AA2694" i="3"/>
  <c r="AA2695" i="3"/>
  <c r="AA2696" i="3"/>
  <c r="AA2697" i="3"/>
  <c r="AA2698" i="3"/>
  <c r="AB2674" i="3"/>
  <c r="O2674" i="3" s="1"/>
  <c r="Y2674" i="3" s="1"/>
  <c r="AB2675" i="3"/>
  <c r="O2675" i="3" s="1"/>
  <c r="AB2676" i="3"/>
  <c r="O2676" i="3" s="1"/>
  <c r="AB2677" i="3"/>
  <c r="O2677" i="3" s="1"/>
  <c r="AB2678" i="3"/>
  <c r="O2678" i="3" s="1"/>
  <c r="AB2679" i="3"/>
  <c r="O2679" i="3" s="1"/>
  <c r="AB2680" i="3"/>
  <c r="O2680" i="3" s="1"/>
  <c r="AB2681" i="3"/>
  <c r="O2681" i="3" s="1"/>
  <c r="AB2682" i="3"/>
  <c r="O2682" i="3" s="1"/>
  <c r="AB2683" i="3"/>
  <c r="O2683" i="3" s="1"/>
  <c r="AB2684" i="3"/>
  <c r="O2684" i="3" s="1"/>
  <c r="AB2685" i="3"/>
  <c r="O2685" i="3" s="1"/>
  <c r="AB2686" i="3"/>
  <c r="O2686" i="3" s="1"/>
  <c r="AB2687" i="3"/>
  <c r="O2687" i="3" s="1"/>
  <c r="Y2687" i="3" s="1"/>
  <c r="AB2688" i="3"/>
  <c r="O2688" i="3" s="1"/>
  <c r="AB2689" i="3"/>
  <c r="O2689" i="3" s="1"/>
  <c r="AB2690" i="3"/>
  <c r="O2690" i="3" s="1"/>
  <c r="AB2691" i="3"/>
  <c r="O2691" i="3" s="1"/>
  <c r="AB2692" i="3"/>
  <c r="O2692" i="3" s="1"/>
  <c r="AB2693" i="3"/>
  <c r="O2693" i="3" s="1"/>
  <c r="AB2694" i="3"/>
  <c r="O2694" i="3" s="1"/>
  <c r="AB2695" i="3"/>
  <c r="O2695" i="3" s="1"/>
  <c r="AB2696" i="3"/>
  <c r="O2696" i="3" s="1"/>
  <c r="AB2697" i="3"/>
  <c r="O2697" i="3" s="1"/>
  <c r="AB2698" i="3"/>
  <c r="O2698" i="3" s="1"/>
  <c r="AC2674" i="3"/>
  <c r="N2674" i="3" s="1"/>
  <c r="AC2675" i="3"/>
  <c r="N2675" i="3" s="1"/>
  <c r="AC2676" i="3"/>
  <c r="N2676" i="3" s="1"/>
  <c r="AC2677" i="3"/>
  <c r="N2677" i="3" s="1"/>
  <c r="AC2678" i="3"/>
  <c r="N2678" i="3" s="1"/>
  <c r="AC2679" i="3"/>
  <c r="N2679" i="3" s="1"/>
  <c r="AC2680" i="3"/>
  <c r="N2680" i="3" s="1"/>
  <c r="AC2681" i="3"/>
  <c r="N2681" i="3" s="1"/>
  <c r="AC2682" i="3"/>
  <c r="N2682" i="3" s="1"/>
  <c r="AC2683" i="3"/>
  <c r="N2683" i="3" s="1"/>
  <c r="AC2684" i="3"/>
  <c r="N2684" i="3" s="1"/>
  <c r="AC2685" i="3"/>
  <c r="N2685" i="3" s="1"/>
  <c r="AC2686" i="3"/>
  <c r="N2686" i="3" s="1"/>
  <c r="AC2687" i="3"/>
  <c r="N2687" i="3" s="1"/>
  <c r="AC2688" i="3"/>
  <c r="N2688" i="3" s="1"/>
  <c r="AC2689" i="3"/>
  <c r="N2689" i="3" s="1"/>
  <c r="AC2690" i="3"/>
  <c r="N2690" i="3" s="1"/>
  <c r="AC2691" i="3"/>
  <c r="N2691" i="3" s="1"/>
  <c r="AC2692" i="3"/>
  <c r="N2692" i="3" s="1"/>
  <c r="AC2693" i="3"/>
  <c r="N2693" i="3" s="1"/>
  <c r="AC2694" i="3"/>
  <c r="N2694" i="3" s="1"/>
  <c r="AC2695" i="3"/>
  <c r="N2695" i="3" s="1"/>
  <c r="AC2696" i="3"/>
  <c r="N2696" i="3" s="1"/>
  <c r="AC2697" i="3"/>
  <c r="N2697" i="3" s="1"/>
  <c r="AC2698" i="3"/>
  <c r="N2698" i="3" s="1"/>
  <c r="AK2674" i="3"/>
  <c r="AK2675" i="3"/>
  <c r="AK2676" i="3"/>
  <c r="AK2677" i="3"/>
  <c r="AK2678" i="3"/>
  <c r="AK2679" i="3"/>
  <c r="AK2680" i="3"/>
  <c r="AK2681" i="3"/>
  <c r="AK2682" i="3"/>
  <c r="AK2683" i="3"/>
  <c r="AK2684" i="3"/>
  <c r="AK2685" i="3"/>
  <c r="AK2686" i="3"/>
  <c r="AK2687" i="3"/>
  <c r="AK2688" i="3"/>
  <c r="AK2689" i="3"/>
  <c r="AK2690" i="3"/>
  <c r="AK2691" i="3"/>
  <c r="AK2692" i="3"/>
  <c r="AK2693" i="3"/>
  <c r="AK2694" i="3"/>
  <c r="AK2695" i="3"/>
  <c r="AK2696" i="3"/>
  <c r="AK2697" i="3"/>
  <c r="AK2698" i="3"/>
  <c r="M150" i="10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P2649" i="3"/>
  <c r="P2650" i="3"/>
  <c r="P2651" i="3"/>
  <c r="P2652" i="3"/>
  <c r="P2653" i="3"/>
  <c r="P2654" i="3"/>
  <c r="P2655" i="3"/>
  <c r="P2656" i="3"/>
  <c r="P2657" i="3"/>
  <c r="P2658" i="3"/>
  <c r="P2659" i="3"/>
  <c r="P2660" i="3"/>
  <c r="P2661" i="3"/>
  <c r="P2662" i="3"/>
  <c r="P2663" i="3"/>
  <c r="P2664" i="3"/>
  <c r="P2665" i="3"/>
  <c r="P2666" i="3"/>
  <c r="P2667" i="3"/>
  <c r="P2668" i="3"/>
  <c r="P2669" i="3"/>
  <c r="P2670" i="3"/>
  <c r="P2671" i="3"/>
  <c r="P2672" i="3"/>
  <c r="P2673" i="3"/>
  <c r="Q2649" i="3"/>
  <c r="Q2650" i="3"/>
  <c r="Q2651" i="3"/>
  <c r="Q2652" i="3"/>
  <c r="Q2653" i="3"/>
  <c r="Q2654" i="3"/>
  <c r="Q2655" i="3"/>
  <c r="Q2656" i="3"/>
  <c r="Q2657" i="3"/>
  <c r="Q2658" i="3"/>
  <c r="Q2659" i="3"/>
  <c r="Q2660" i="3"/>
  <c r="Q2661" i="3"/>
  <c r="Q2662" i="3"/>
  <c r="Q2663" i="3"/>
  <c r="Q2664" i="3"/>
  <c r="Q2665" i="3"/>
  <c r="Q2666" i="3"/>
  <c r="Q2667" i="3"/>
  <c r="Q2668" i="3"/>
  <c r="Q2669" i="3"/>
  <c r="Q2670" i="3"/>
  <c r="Q2671" i="3"/>
  <c r="Q2672" i="3"/>
  <c r="Q2673" i="3"/>
  <c r="R2649" i="3"/>
  <c r="R2650" i="3"/>
  <c r="R2651" i="3"/>
  <c r="R2652" i="3"/>
  <c r="R2653" i="3"/>
  <c r="R2654" i="3"/>
  <c r="R2655" i="3"/>
  <c r="R2656" i="3"/>
  <c r="R2657" i="3"/>
  <c r="R2658" i="3"/>
  <c r="R2659" i="3"/>
  <c r="R2660" i="3"/>
  <c r="R2661" i="3"/>
  <c r="R2662" i="3"/>
  <c r="R2663" i="3"/>
  <c r="R2664" i="3"/>
  <c r="R2665" i="3"/>
  <c r="R2666" i="3"/>
  <c r="R2667" i="3"/>
  <c r="R2668" i="3"/>
  <c r="R2669" i="3"/>
  <c r="R2670" i="3"/>
  <c r="R2671" i="3"/>
  <c r="R2672" i="3"/>
  <c r="R2673" i="3"/>
  <c r="S2650" i="3"/>
  <c r="S2651" i="3"/>
  <c r="S2652" i="3"/>
  <c r="S2653" i="3"/>
  <c r="S2654" i="3"/>
  <c r="S2655" i="3"/>
  <c r="S2656" i="3"/>
  <c r="S2657" i="3"/>
  <c r="S2658" i="3"/>
  <c r="S2659" i="3"/>
  <c r="S2660" i="3"/>
  <c r="S2661" i="3"/>
  <c r="S2662" i="3"/>
  <c r="S2664" i="3"/>
  <c r="S2665" i="3"/>
  <c r="S2666" i="3"/>
  <c r="S2667" i="3"/>
  <c r="S2668" i="3"/>
  <c r="S2669" i="3"/>
  <c r="S2670" i="3"/>
  <c r="S2671" i="3"/>
  <c r="S2672" i="3"/>
  <c r="S2673" i="3"/>
  <c r="T2649" i="3"/>
  <c r="T2663" i="3"/>
  <c r="U2649" i="3"/>
  <c r="U2663" i="3"/>
  <c r="V2649" i="3"/>
  <c r="V2663" i="3"/>
  <c r="W2649" i="3"/>
  <c r="W2663" i="3"/>
  <c r="X2649" i="3"/>
  <c r="X2663" i="3"/>
  <c r="AA2649" i="3"/>
  <c r="AA2650" i="3"/>
  <c r="AA2651" i="3"/>
  <c r="AA2652" i="3"/>
  <c r="AA2653" i="3"/>
  <c r="AA2654" i="3"/>
  <c r="AA2655" i="3"/>
  <c r="AA2656" i="3"/>
  <c r="AA2657" i="3"/>
  <c r="AA2658" i="3"/>
  <c r="AA2659" i="3"/>
  <c r="AA2660" i="3"/>
  <c r="AA2661" i="3"/>
  <c r="AA2662" i="3"/>
  <c r="AA2663" i="3"/>
  <c r="AA2664" i="3"/>
  <c r="AA2665" i="3"/>
  <c r="AA2666" i="3"/>
  <c r="AA2667" i="3"/>
  <c r="AA2668" i="3"/>
  <c r="AA2669" i="3"/>
  <c r="AA2670" i="3"/>
  <c r="AA2671" i="3"/>
  <c r="AA2672" i="3"/>
  <c r="AA2673" i="3"/>
  <c r="AB2649" i="3"/>
  <c r="O2649" i="3" s="1"/>
  <c r="Y2649" i="3" s="1"/>
  <c r="AB2650" i="3"/>
  <c r="O2650" i="3" s="1"/>
  <c r="AB2651" i="3"/>
  <c r="O2651" i="3" s="1"/>
  <c r="AB2652" i="3"/>
  <c r="O2652" i="3" s="1"/>
  <c r="AB2653" i="3"/>
  <c r="O2653" i="3" s="1"/>
  <c r="AB2654" i="3"/>
  <c r="O2654" i="3" s="1"/>
  <c r="AB2655" i="3"/>
  <c r="O2655" i="3" s="1"/>
  <c r="AB2656" i="3"/>
  <c r="O2656" i="3" s="1"/>
  <c r="AB2657" i="3"/>
  <c r="O2657" i="3" s="1"/>
  <c r="AB2658" i="3"/>
  <c r="O2658" i="3" s="1"/>
  <c r="AB2659" i="3"/>
  <c r="O2659" i="3" s="1"/>
  <c r="AB2660" i="3"/>
  <c r="O2660" i="3" s="1"/>
  <c r="AB2661" i="3"/>
  <c r="O2661" i="3" s="1"/>
  <c r="AB2662" i="3"/>
  <c r="O2662" i="3" s="1"/>
  <c r="AB2663" i="3"/>
  <c r="O2663" i="3" s="1"/>
  <c r="Y2663" i="3" s="1"/>
  <c r="AB2664" i="3"/>
  <c r="O2664" i="3" s="1"/>
  <c r="AB2665" i="3"/>
  <c r="O2665" i="3" s="1"/>
  <c r="AB2666" i="3"/>
  <c r="O2666" i="3" s="1"/>
  <c r="AB2667" i="3"/>
  <c r="O2667" i="3" s="1"/>
  <c r="AB2668" i="3"/>
  <c r="O2668" i="3" s="1"/>
  <c r="AB2669" i="3"/>
  <c r="O2669" i="3" s="1"/>
  <c r="AB2670" i="3"/>
  <c r="O2670" i="3" s="1"/>
  <c r="AB2671" i="3"/>
  <c r="O2671" i="3" s="1"/>
  <c r="AB2672" i="3"/>
  <c r="O2672" i="3" s="1"/>
  <c r="AB2673" i="3"/>
  <c r="O2673" i="3" s="1"/>
  <c r="AC2649" i="3"/>
  <c r="N2649" i="3" s="1"/>
  <c r="AC2650" i="3"/>
  <c r="N2650" i="3" s="1"/>
  <c r="AC2651" i="3"/>
  <c r="N2651" i="3" s="1"/>
  <c r="AC2652" i="3"/>
  <c r="N2652" i="3" s="1"/>
  <c r="AC2653" i="3"/>
  <c r="N2653" i="3" s="1"/>
  <c r="AC2654" i="3"/>
  <c r="N2654" i="3" s="1"/>
  <c r="AC2655" i="3"/>
  <c r="N2655" i="3" s="1"/>
  <c r="AC2656" i="3"/>
  <c r="N2656" i="3" s="1"/>
  <c r="AC2657" i="3"/>
  <c r="N2657" i="3" s="1"/>
  <c r="AC2658" i="3"/>
  <c r="N2658" i="3" s="1"/>
  <c r="AC2659" i="3"/>
  <c r="N2659" i="3" s="1"/>
  <c r="AC2660" i="3"/>
  <c r="N2660" i="3" s="1"/>
  <c r="AC2661" i="3"/>
  <c r="N2661" i="3" s="1"/>
  <c r="AC2662" i="3"/>
  <c r="N2662" i="3" s="1"/>
  <c r="AC2663" i="3"/>
  <c r="N2663" i="3" s="1"/>
  <c r="AC2664" i="3"/>
  <c r="N2664" i="3" s="1"/>
  <c r="AC2665" i="3"/>
  <c r="N2665" i="3" s="1"/>
  <c r="AC2666" i="3"/>
  <c r="N2666" i="3" s="1"/>
  <c r="AC2667" i="3"/>
  <c r="N2667" i="3" s="1"/>
  <c r="AC2668" i="3"/>
  <c r="N2668" i="3" s="1"/>
  <c r="AC2669" i="3"/>
  <c r="N2669" i="3" s="1"/>
  <c r="AC2670" i="3"/>
  <c r="N2670" i="3" s="1"/>
  <c r="AC2671" i="3"/>
  <c r="N2671" i="3" s="1"/>
  <c r="AC2672" i="3"/>
  <c r="N2672" i="3" s="1"/>
  <c r="AC2673" i="3"/>
  <c r="N2673" i="3" s="1"/>
  <c r="AK2649" i="3"/>
  <c r="AK2650" i="3"/>
  <c r="AK2651" i="3"/>
  <c r="AK2652" i="3"/>
  <c r="AK2653" i="3"/>
  <c r="AK2654" i="3"/>
  <c r="AK2655" i="3"/>
  <c r="AK2656" i="3"/>
  <c r="AK2657" i="3"/>
  <c r="AK2658" i="3"/>
  <c r="AK2659" i="3"/>
  <c r="AK2660" i="3"/>
  <c r="AK2661" i="3"/>
  <c r="AK2662" i="3"/>
  <c r="AK2663" i="3"/>
  <c r="AK2664" i="3"/>
  <c r="AK2665" i="3"/>
  <c r="AK2666" i="3"/>
  <c r="AK2667" i="3"/>
  <c r="AK2668" i="3"/>
  <c r="AK2669" i="3"/>
  <c r="AK2670" i="3"/>
  <c r="AK2671" i="3"/>
  <c r="AK2672" i="3"/>
  <c r="AK2673" i="3"/>
  <c r="M149" i="10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P2627" i="3"/>
  <c r="P2628" i="3"/>
  <c r="P2629" i="3"/>
  <c r="P2630" i="3"/>
  <c r="P2631" i="3"/>
  <c r="P2632" i="3"/>
  <c r="P2633" i="3"/>
  <c r="P2634" i="3"/>
  <c r="P2635" i="3"/>
  <c r="P2636" i="3"/>
  <c r="P2637" i="3"/>
  <c r="P2638" i="3"/>
  <c r="P2639" i="3"/>
  <c r="P2640" i="3"/>
  <c r="P2641" i="3"/>
  <c r="P2642" i="3"/>
  <c r="P2643" i="3"/>
  <c r="P2644" i="3"/>
  <c r="P2645" i="3"/>
  <c r="P2646" i="3"/>
  <c r="P2647" i="3"/>
  <c r="P2648" i="3"/>
  <c r="Q2627" i="3"/>
  <c r="Q2628" i="3"/>
  <c r="Q2629" i="3"/>
  <c r="Q2630" i="3"/>
  <c r="Q2631" i="3"/>
  <c r="Q2632" i="3"/>
  <c r="Q2633" i="3"/>
  <c r="Q2634" i="3"/>
  <c r="Q2635" i="3"/>
  <c r="Q2636" i="3"/>
  <c r="Q2637" i="3"/>
  <c r="Q2638" i="3"/>
  <c r="Q2639" i="3"/>
  <c r="Q2640" i="3"/>
  <c r="Q2641" i="3"/>
  <c r="Q2642" i="3"/>
  <c r="Q2643" i="3"/>
  <c r="Q2644" i="3"/>
  <c r="Q2645" i="3"/>
  <c r="Q2646" i="3"/>
  <c r="Q2647" i="3"/>
  <c r="Q2648" i="3"/>
  <c r="R2627" i="3"/>
  <c r="R2628" i="3"/>
  <c r="R2629" i="3"/>
  <c r="R2630" i="3"/>
  <c r="R2631" i="3"/>
  <c r="R2632" i="3"/>
  <c r="R2633" i="3"/>
  <c r="R2634" i="3"/>
  <c r="R2635" i="3"/>
  <c r="R2636" i="3"/>
  <c r="R2637" i="3"/>
  <c r="R2638" i="3"/>
  <c r="R2639" i="3"/>
  <c r="R2640" i="3"/>
  <c r="R2641" i="3"/>
  <c r="R2642" i="3"/>
  <c r="R2643" i="3"/>
  <c r="R2644" i="3"/>
  <c r="R2645" i="3"/>
  <c r="R2646" i="3"/>
  <c r="R2647" i="3"/>
  <c r="R2648" i="3"/>
  <c r="S2628" i="3"/>
  <c r="S2629" i="3"/>
  <c r="S2630" i="3"/>
  <c r="S2631" i="3"/>
  <c r="S2632" i="3"/>
  <c r="S2633" i="3"/>
  <c r="S2634" i="3"/>
  <c r="S2635" i="3"/>
  <c r="S2636" i="3"/>
  <c r="S2637" i="3"/>
  <c r="S2639" i="3"/>
  <c r="S2640" i="3"/>
  <c r="S2641" i="3"/>
  <c r="S2642" i="3"/>
  <c r="S2643" i="3"/>
  <c r="S2644" i="3"/>
  <c r="S2645" i="3"/>
  <c r="S2646" i="3"/>
  <c r="S2647" i="3"/>
  <c r="S2648" i="3"/>
  <c r="T2627" i="3"/>
  <c r="T2638" i="3"/>
  <c r="U2627" i="3"/>
  <c r="U2638" i="3"/>
  <c r="V2627" i="3"/>
  <c r="V2638" i="3"/>
  <c r="W2627" i="3"/>
  <c r="W2638" i="3"/>
  <c r="X2627" i="3"/>
  <c r="X2638" i="3"/>
  <c r="AA2627" i="3"/>
  <c r="AA2628" i="3"/>
  <c r="AA2629" i="3"/>
  <c r="AA2630" i="3"/>
  <c r="AA2631" i="3"/>
  <c r="AA2632" i="3"/>
  <c r="AA2633" i="3"/>
  <c r="AA2634" i="3"/>
  <c r="AA2635" i="3"/>
  <c r="AA2636" i="3"/>
  <c r="AA2637" i="3"/>
  <c r="AA2638" i="3"/>
  <c r="AA2639" i="3"/>
  <c r="AA2640" i="3"/>
  <c r="AA2641" i="3"/>
  <c r="AA2642" i="3"/>
  <c r="AA2643" i="3"/>
  <c r="AA2644" i="3"/>
  <c r="AA2645" i="3"/>
  <c r="AA2646" i="3"/>
  <c r="AA2647" i="3"/>
  <c r="AA2648" i="3"/>
  <c r="AB2627" i="3"/>
  <c r="O2627" i="3" s="1"/>
  <c r="Y2627" i="3" s="1"/>
  <c r="AB2628" i="3"/>
  <c r="O2628" i="3" s="1"/>
  <c r="AB2629" i="3"/>
  <c r="O2629" i="3" s="1"/>
  <c r="AB2630" i="3"/>
  <c r="O2630" i="3" s="1"/>
  <c r="AB2631" i="3"/>
  <c r="O2631" i="3" s="1"/>
  <c r="AB2632" i="3"/>
  <c r="O2632" i="3" s="1"/>
  <c r="AB2633" i="3"/>
  <c r="O2633" i="3" s="1"/>
  <c r="AB2634" i="3"/>
  <c r="O2634" i="3" s="1"/>
  <c r="AB2635" i="3"/>
  <c r="O2635" i="3" s="1"/>
  <c r="AB2636" i="3"/>
  <c r="O2636" i="3" s="1"/>
  <c r="AB2637" i="3"/>
  <c r="O2637" i="3" s="1"/>
  <c r="AB2638" i="3"/>
  <c r="O2638" i="3" s="1"/>
  <c r="Y2638" i="3" s="1"/>
  <c r="AB2639" i="3"/>
  <c r="O2639" i="3" s="1"/>
  <c r="AB2640" i="3"/>
  <c r="O2640" i="3" s="1"/>
  <c r="AB2641" i="3"/>
  <c r="O2641" i="3" s="1"/>
  <c r="AB2642" i="3"/>
  <c r="O2642" i="3" s="1"/>
  <c r="AB2643" i="3"/>
  <c r="O2643" i="3" s="1"/>
  <c r="AB2644" i="3"/>
  <c r="O2644" i="3" s="1"/>
  <c r="AB2645" i="3"/>
  <c r="O2645" i="3" s="1"/>
  <c r="AB2646" i="3"/>
  <c r="O2646" i="3" s="1"/>
  <c r="AB2647" i="3"/>
  <c r="O2647" i="3" s="1"/>
  <c r="AB2648" i="3"/>
  <c r="O2648" i="3" s="1"/>
  <c r="AC2627" i="3"/>
  <c r="N2627" i="3" s="1"/>
  <c r="S2627" i="3" s="1"/>
  <c r="Z2627" i="3" s="1"/>
  <c r="AC2628" i="3"/>
  <c r="N2628" i="3" s="1"/>
  <c r="Y2628" i="3" s="1"/>
  <c r="AC2629" i="3"/>
  <c r="N2629" i="3" s="1"/>
  <c r="AC2630" i="3"/>
  <c r="N2630" i="3" s="1"/>
  <c r="AC2631" i="3"/>
  <c r="N2631" i="3" s="1"/>
  <c r="AC2632" i="3"/>
  <c r="N2632" i="3" s="1"/>
  <c r="AC2633" i="3"/>
  <c r="N2633" i="3" s="1"/>
  <c r="AC2634" i="3"/>
  <c r="N2634" i="3" s="1"/>
  <c r="AC2635" i="3"/>
  <c r="N2635" i="3" s="1"/>
  <c r="AC2636" i="3"/>
  <c r="N2636" i="3" s="1"/>
  <c r="AC2637" i="3"/>
  <c r="N2637" i="3" s="1"/>
  <c r="AC2638" i="3"/>
  <c r="N2638" i="3" s="1"/>
  <c r="AC2639" i="3"/>
  <c r="N2639" i="3" s="1"/>
  <c r="AC2640" i="3"/>
  <c r="N2640" i="3" s="1"/>
  <c r="AC2641" i="3"/>
  <c r="N2641" i="3" s="1"/>
  <c r="AC2642" i="3"/>
  <c r="N2642" i="3" s="1"/>
  <c r="AC2643" i="3"/>
  <c r="N2643" i="3" s="1"/>
  <c r="AC2644" i="3"/>
  <c r="N2644" i="3" s="1"/>
  <c r="Y2644" i="3" s="1"/>
  <c r="AC2645" i="3"/>
  <c r="N2645" i="3" s="1"/>
  <c r="AC2646" i="3"/>
  <c r="N2646" i="3" s="1"/>
  <c r="X2646" i="3" s="1"/>
  <c r="AC2647" i="3"/>
  <c r="N2647" i="3" s="1"/>
  <c r="AC2648" i="3"/>
  <c r="N2648" i="3" s="1"/>
  <c r="Y2648" i="3" s="1"/>
  <c r="AK2627" i="3"/>
  <c r="AK2628" i="3"/>
  <c r="AK2629" i="3"/>
  <c r="AK2630" i="3"/>
  <c r="AK2631" i="3"/>
  <c r="AK2632" i="3"/>
  <c r="AK2633" i="3"/>
  <c r="AK2634" i="3"/>
  <c r="AK2635" i="3"/>
  <c r="AK2636" i="3"/>
  <c r="AK2637" i="3"/>
  <c r="AK2638" i="3"/>
  <c r="AK2639" i="3"/>
  <c r="AK2640" i="3"/>
  <c r="AK2641" i="3"/>
  <c r="AK2642" i="3"/>
  <c r="AK2643" i="3"/>
  <c r="AK2644" i="3"/>
  <c r="AK2645" i="3"/>
  <c r="AK2646" i="3"/>
  <c r="AK2647" i="3"/>
  <c r="AK2648" i="3"/>
  <c r="M148" i="10"/>
  <c r="M2616" i="3"/>
  <c r="M2617" i="3"/>
  <c r="M2618" i="3"/>
  <c r="M2619" i="3"/>
  <c r="M2620" i="3"/>
  <c r="M2621" i="3"/>
  <c r="M2622" i="3"/>
  <c r="M2623" i="3"/>
  <c r="M2624" i="3"/>
  <c r="M2625" i="3"/>
  <c r="M2626" i="3"/>
  <c r="P2616" i="3"/>
  <c r="P2617" i="3"/>
  <c r="P2618" i="3"/>
  <c r="P2619" i="3"/>
  <c r="P2620" i="3"/>
  <c r="P2621" i="3"/>
  <c r="P2622" i="3"/>
  <c r="P2623" i="3"/>
  <c r="P2624" i="3"/>
  <c r="P2625" i="3"/>
  <c r="P2626" i="3"/>
  <c r="Q2616" i="3"/>
  <c r="Q2617" i="3"/>
  <c r="Q2618" i="3"/>
  <c r="Q2619" i="3"/>
  <c r="Q2620" i="3"/>
  <c r="Q2621" i="3"/>
  <c r="Q2622" i="3"/>
  <c r="Q2623" i="3"/>
  <c r="Q2624" i="3"/>
  <c r="Q2625" i="3"/>
  <c r="Q2626" i="3"/>
  <c r="R2616" i="3"/>
  <c r="R2617" i="3"/>
  <c r="R2618" i="3"/>
  <c r="R2619" i="3"/>
  <c r="R2620" i="3"/>
  <c r="R2621" i="3"/>
  <c r="R2622" i="3"/>
  <c r="R2623" i="3"/>
  <c r="R2624" i="3"/>
  <c r="R2625" i="3"/>
  <c r="R2626" i="3"/>
  <c r="S2617" i="3"/>
  <c r="S2618" i="3"/>
  <c r="S2619" i="3"/>
  <c r="S2620" i="3"/>
  <c r="S2621" i="3"/>
  <c r="S2622" i="3"/>
  <c r="S2623" i="3"/>
  <c r="S2624" i="3"/>
  <c r="S2625" i="3"/>
  <c r="S2626" i="3"/>
  <c r="T2616" i="3"/>
  <c r="U2616" i="3"/>
  <c r="V2616" i="3"/>
  <c r="W2616" i="3"/>
  <c r="X2616" i="3"/>
  <c r="AA2616" i="3"/>
  <c r="AA2617" i="3"/>
  <c r="AA2618" i="3"/>
  <c r="AA2619" i="3"/>
  <c r="AA2620" i="3"/>
  <c r="AA2621" i="3"/>
  <c r="AA2622" i="3"/>
  <c r="AA2623" i="3"/>
  <c r="AA2624" i="3"/>
  <c r="AA2625" i="3"/>
  <c r="AA2626" i="3"/>
  <c r="AB2616" i="3"/>
  <c r="O2616" i="3" s="1"/>
  <c r="Y2616" i="3" s="1"/>
  <c r="AB2617" i="3"/>
  <c r="O2617" i="3" s="1"/>
  <c r="AB2618" i="3"/>
  <c r="O2618" i="3" s="1"/>
  <c r="AB2619" i="3"/>
  <c r="O2619" i="3" s="1"/>
  <c r="AB2620" i="3"/>
  <c r="O2620" i="3" s="1"/>
  <c r="AB2621" i="3"/>
  <c r="O2621" i="3" s="1"/>
  <c r="AB2622" i="3"/>
  <c r="O2622" i="3" s="1"/>
  <c r="AB2623" i="3"/>
  <c r="O2623" i="3" s="1"/>
  <c r="AB2624" i="3"/>
  <c r="O2624" i="3" s="1"/>
  <c r="AB2625" i="3"/>
  <c r="O2625" i="3" s="1"/>
  <c r="AB2626" i="3"/>
  <c r="O2626" i="3" s="1"/>
  <c r="AC2616" i="3"/>
  <c r="N2616" i="3" s="1"/>
  <c r="AC2617" i="3"/>
  <c r="N2617" i="3" s="1"/>
  <c r="AC2618" i="3"/>
  <c r="N2618" i="3" s="1"/>
  <c r="AC2619" i="3"/>
  <c r="N2619" i="3" s="1"/>
  <c r="AC2620" i="3"/>
  <c r="N2620" i="3" s="1"/>
  <c r="AC2621" i="3"/>
  <c r="N2621" i="3" s="1"/>
  <c r="AC2622" i="3"/>
  <c r="N2622" i="3" s="1"/>
  <c r="AC2623" i="3"/>
  <c r="N2623" i="3" s="1"/>
  <c r="AC2624" i="3"/>
  <c r="N2624" i="3" s="1"/>
  <c r="AC2625" i="3"/>
  <c r="N2625" i="3" s="1"/>
  <c r="AC2626" i="3"/>
  <c r="N2626" i="3" s="1"/>
  <c r="AK2616" i="3"/>
  <c r="AK2617" i="3"/>
  <c r="AK2618" i="3"/>
  <c r="AK2619" i="3"/>
  <c r="AK2620" i="3"/>
  <c r="AK2621" i="3"/>
  <c r="AK2622" i="3"/>
  <c r="AK2623" i="3"/>
  <c r="AK2624" i="3"/>
  <c r="AK2625" i="3"/>
  <c r="AK2626" i="3"/>
  <c r="M147" i="10"/>
  <c r="M146" i="10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P2592" i="3"/>
  <c r="P2593" i="3"/>
  <c r="P2594" i="3"/>
  <c r="P2595" i="3"/>
  <c r="P2596" i="3"/>
  <c r="P2597" i="3"/>
  <c r="P2598" i="3"/>
  <c r="P2599" i="3"/>
  <c r="P2600" i="3"/>
  <c r="P2601" i="3"/>
  <c r="P2602" i="3"/>
  <c r="P2603" i="3"/>
  <c r="P2604" i="3"/>
  <c r="P2605" i="3"/>
  <c r="P2606" i="3"/>
  <c r="P2607" i="3"/>
  <c r="P2608" i="3"/>
  <c r="P2609" i="3"/>
  <c r="P2610" i="3"/>
  <c r="P2611" i="3"/>
  <c r="P2612" i="3"/>
  <c r="P2613" i="3"/>
  <c r="P2614" i="3"/>
  <c r="P2615" i="3"/>
  <c r="Q2592" i="3"/>
  <c r="Q2593" i="3"/>
  <c r="Q2594" i="3"/>
  <c r="Q2595" i="3"/>
  <c r="Q2596" i="3"/>
  <c r="Q2597" i="3"/>
  <c r="Q2598" i="3"/>
  <c r="Q2599" i="3"/>
  <c r="Q2600" i="3"/>
  <c r="Q2601" i="3"/>
  <c r="Q2602" i="3"/>
  <c r="Q2603" i="3"/>
  <c r="Q2604" i="3"/>
  <c r="Q2605" i="3"/>
  <c r="Q2606" i="3"/>
  <c r="Q2607" i="3"/>
  <c r="Q2608" i="3"/>
  <c r="Q2609" i="3"/>
  <c r="Q2610" i="3"/>
  <c r="Q2611" i="3"/>
  <c r="Q2612" i="3"/>
  <c r="Q2613" i="3"/>
  <c r="Q2614" i="3"/>
  <c r="Q2615" i="3"/>
  <c r="R2592" i="3"/>
  <c r="R2593" i="3"/>
  <c r="R2594" i="3"/>
  <c r="R2595" i="3"/>
  <c r="R2596" i="3"/>
  <c r="R2597" i="3"/>
  <c r="R2598" i="3"/>
  <c r="R2599" i="3"/>
  <c r="R2600" i="3"/>
  <c r="R2601" i="3"/>
  <c r="R2602" i="3"/>
  <c r="R2603" i="3"/>
  <c r="R2604" i="3"/>
  <c r="R2605" i="3"/>
  <c r="R2606" i="3"/>
  <c r="R2607" i="3"/>
  <c r="R2608" i="3"/>
  <c r="R2609" i="3"/>
  <c r="R2610" i="3"/>
  <c r="R2611" i="3"/>
  <c r="R2612" i="3"/>
  <c r="R2613" i="3"/>
  <c r="R2614" i="3"/>
  <c r="R2615" i="3"/>
  <c r="S2593" i="3"/>
  <c r="S2594" i="3"/>
  <c r="S2595" i="3"/>
  <c r="S2596" i="3"/>
  <c r="S2597" i="3"/>
  <c r="S2598" i="3"/>
  <c r="S2599" i="3"/>
  <c r="S2600" i="3"/>
  <c r="S2601" i="3"/>
  <c r="S2602" i="3"/>
  <c r="S2604" i="3"/>
  <c r="S2605" i="3"/>
  <c r="S2606" i="3"/>
  <c r="S2607" i="3"/>
  <c r="S2608" i="3"/>
  <c r="S2609" i="3"/>
  <c r="S2610" i="3"/>
  <c r="S2611" i="3"/>
  <c r="S2612" i="3"/>
  <c r="S2613" i="3"/>
  <c r="S2614" i="3"/>
  <c r="S2615" i="3"/>
  <c r="T2592" i="3"/>
  <c r="T2603" i="3"/>
  <c r="U2592" i="3"/>
  <c r="U2603" i="3"/>
  <c r="V2592" i="3"/>
  <c r="V2603" i="3"/>
  <c r="W2592" i="3"/>
  <c r="W2603" i="3"/>
  <c r="X2592" i="3"/>
  <c r="X2603" i="3"/>
  <c r="AA2592" i="3"/>
  <c r="AA2593" i="3"/>
  <c r="AA2594" i="3"/>
  <c r="AA2595" i="3"/>
  <c r="AA2596" i="3"/>
  <c r="AA2597" i="3"/>
  <c r="AA2598" i="3"/>
  <c r="AA2599" i="3"/>
  <c r="AA2600" i="3"/>
  <c r="AA2601" i="3"/>
  <c r="AA2602" i="3"/>
  <c r="AA2603" i="3"/>
  <c r="AA2604" i="3"/>
  <c r="AA2605" i="3"/>
  <c r="AA2606" i="3"/>
  <c r="AA2607" i="3"/>
  <c r="AA2608" i="3"/>
  <c r="AA2609" i="3"/>
  <c r="AA2610" i="3"/>
  <c r="AA2611" i="3"/>
  <c r="AA2612" i="3"/>
  <c r="AA2613" i="3"/>
  <c r="AA2614" i="3"/>
  <c r="AA2615" i="3"/>
  <c r="AB2592" i="3"/>
  <c r="O2592" i="3" s="1"/>
  <c r="Y2592" i="3" s="1"/>
  <c r="AB2593" i="3"/>
  <c r="O2593" i="3" s="1"/>
  <c r="AB2594" i="3"/>
  <c r="O2594" i="3" s="1"/>
  <c r="AB2595" i="3"/>
  <c r="O2595" i="3" s="1"/>
  <c r="AB2596" i="3"/>
  <c r="O2596" i="3" s="1"/>
  <c r="AB2597" i="3"/>
  <c r="O2597" i="3" s="1"/>
  <c r="AB2598" i="3"/>
  <c r="O2598" i="3" s="1"/>
  <c r="AB2599" i="3"/>
  <c r="O2599" i="3" s="1"/>
  <c r="AB2600" i="3"/>
  <c r="O2600" i="3" s="1"/>
  <c r="AB2601" i="3"/>
  <c r="O2601" i="3" s="1"/>
  <c r="AB2602" i="3"/>
  <c r="O2602" i="3" s="1"/>
  <c r="AB2603" i="3"/>
  <c r="O2603" i="3" s="1"/>
  <c r="Y2603" i="3" s="1"/>
  <c r="AB2604" i="3"/>
  <c r="O2604" i="3" s="1"/>
  <c r="AB2605" i="3"/>
  <c r="O2605" i="3" s="1"/>
  <c r="AB2606" i="3"/>
  <c r="O2606" i="3" s="1"/>
  <c r="AB2607" i="3"/>
  <c r="O2607" i="3" s="1"/>
  <c r="AB2608" i="3"/>
  <c r="O2608" i="3" s="1"/>
  <c r="AB2609" i="3"/>
  <c r="O2609" i="3" s="1"/>
  <c r="AB2610" i="3"/>
  <c r="O2610" i="3" s="1"/>
  <c r="AB2611" i="3"/>
  <c r="O2611" i="3" s="1"/>
  <c r="AB2612" i="3"/>
  <c r="O2612" i="3" s="1"/>
  <c r="AB2613" i="3"/>
  <c r="O2613" i="3" s="1"/>
  <c r="AB2614" i="3"/>
  <c r="O2614" i="3" s="1"/>
  <c r="AB2615" i="3"/>
  <c r="O2615" i="3" s="1"/>
  <c r="AC2592" i="3"/>
  <c r="N2592" i="3" s="1"/>
  <c r="S2592" i="3" s="1"/>
  <c r="AC2593" i="3"/>
  <c r="N2593" i="3" s="1"/>
  <c r="AC2594" i="3"/>
  <c r="N2594" i="3" s="1"/>
  <c r="AC2595" i="3"/>
  <c r="N2595" i="3" s="1"/>
  <c r="AC2596" i="3"/>
  <c r="N2596" i="3" s="1"/>
  <c r="AC2597" i="3"/>
  <c r="N2597" i="3" s="1"/>
  <c r="AC2598" i="3"/>
  <c r="N2598" i="3" s="1"/>
  <c r="AC2599" i="3"/>
  <c r="N2599" i="3" s="1"/>
  <c r="AC2600" i="3"/>
  <c r="N2600" i="3" s="1"/>
  <c r="AC2601" i="3"/>
  <c r="N2601" i="3" s="1"/>
  <c r="AC2602" i="3"/>
  <c r="N2602" i="3" s="1"/>
  <c r="AC2603" i="3"/>
  <c r="N2603" i="3" s="1"/>
  <c r="S2603" i="3" s="1"/>
  <c r="AC2604" i="3"/>
  <c r="N2604" i="3" s="1"/>
  <c r="AC2605" i="3"/>
  <c r="N2605" i="3" s="1"/>
  <c r="AC2606" i="3"/>
  <c r="N2606" i="3" s="1"/>
  <c r="AC2607" i="3"/>
  <c r="N2607" i="3" s="1"/>
  <c r="AC2608" i="3"/>
  <c r="N2608" i="3" s="1"/>
  <c r="AC2609" i="3"/>
  <c r="N2609" i="3" s="1"/>
  <c r="AC2610" i="3"/>
  <c r="N2610" i="3" s="1"/>
  <c r="AC2611" i="3"/>
  <c r="N2611" i="3" s="1"/>
  <c r="AC2612" i="3"/>
  <c r="N2612" i="3" s="1"/>
  <c r="AC2613" i="3"/>
  <c r="N2613" i="3" s="1"/>
  <c r="AC2614" i="3"/>
  <c r="N2614" i="3" s="1"/>
  <c r="AC2615" i="3"/>
  <c r="N2615" i="3" s="1"/>
  <c r="AK2592" i="3"/>
  <c r="AK2593" i="3"/>
  <c r="AK2594" i="3"/>
  <c r="AK2595" i="3"/>
  <c r="AK2596" i="3"/>
  <c r="AK2597" i="3"/>
  <c r="AK2598" i="3"/>
  <c r="AK2599" i="3"/>
  <c r="AK2600" i="3"/>
  <c r="AK2601" i="3"/>
  <c r="AK2602" i="3"/>
  <c r="AK2603" i="3"/>
  <c r="AK2604" i="3"/>
  <c r="AK2605" i="3"/>
  <c r="AK2606" i="3"/>
  <c r="AK2607" i="3"/>
  <c r="AK2608" i="3"/>
  <c r="AK2609" i="3"/>
  <c r="AK2610" i="3"/>
  <c r="AK2611" i="3"/>
  <c r="AK2612" i="3"/>
  <c r="AK2613" i="3"/>
  <c r="AK2614" i="3"/>
  <c r="AK2615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P2570" i="3"/>
  <c r="P2571" i="3"/>
  <c r="P2572" i="3"/>
  <c r="P2573" i="3"/>
  <c r="P2574" i="3"/>
  <c r="P2575" i="3"/>
  <c r="P2576" i="3"/>
  <c r="P2577" i="3"/>
  <c r="P2578" i="3"/>
  <c r="P2579" i="3"/>
  <c r="P2580" i="3"/>
  <c r="P2581" i="3"/>
  <c r="P2582" i="3"/>
  <c r="P2583" i="3"/>
  <c r="P2584" i="3"/>
  <c r="P2585" i="3"/>
  <c r="P2586" i="3"/>
  <c r="P2587" i="3"/>
  <c r="P2588" i="3"/>
  <c r="P2589" i="3"/>
  <c r="P2590" i="3"/>
  <c r="P2591" i="3"/>
  <c r="Q2570" i="3"/>
  <c r="Q2571" i="3"/>
  <c r="Q2572" i="3"/>
  <c r="Q2573" i="3"/>
  <c r="Q2574" i="3"/>
  <c r="Q2575" i="3"/>
  <c r="Q2576" i="3"/>
  <c r="Q2577" i="3"/>
  <c r="Q2578" i="3"/>
  <c r="Q2579" i="3"/>
  <c r="Q2580" i="3"/>
  <c r="Q2581" i="3"/>
  <c r="Q2582" i="3"/>
  <c r="Q2583" i="3"/>
  <c r="Q2584" i="3"/>
  <c r="Q2585" i="3"/>
  <c r="Q2586" i="3"/>
  <c r="Q2587" i="3"/>
  <c r="Q2588" i="3"/>
  <c r="Q2589" i="3"/>
  <c r="Q2590" i="3"/>
  <c r="Q2591" i="3"/>
  <c r="R2570" i="3"/>
  <c r="R2571" i="3"/>
  <c r="R2572" i="3"/>
  <c r="R2573" i="3"/>
  <c r="R2574" i="3"/>
  <c r="R2575" i="3"/>
  <c r="R2576" i="3"/>
  <c r="R2577" i="3"/>
  <c r="R2578" i="3"/>
  <c r="R2579" i="3"/>
  <c r="R2580" i="3"/>
  <c r="R2581" i="3"/>
  <c r="R2582" i="3"/>
  <c r="R2583" i="3"/>
  <c r="R2584" i="3"/>
  <c r="R2585" i="3"/>
  <c r="R2586" i="3"/>
  <c r="R2587" i="3"/>
  <c r="R2588" i="3"/>
  <c r="R2589" i="3"/>
  <c r="R2590" i="3"/>
  <c r="R2591" i="3"/>
  <c r="S2571" i="3"/>
  <c r="S2572" i="3"/>
  <c r="S2573" i="3"/>
  <c r="S2574" i="3"/>
  <c r="S2575" i="3"/>
  <c r="S2576" i="3"/>
  <c r="S2577" i="3"/>
  <c r="S2578" i="3"/>
  <c r="S2579" i="3"/>
  <c r="S2580" i="3"/>
  <c r="S2582" i="3"/>
  <c r="S2583" i="3"/>
  <c r="S2584" i="3"/>
  <c r="S2585" i="3"/>
  <c r="S2586" i="3"/>
  <c r="S2587" i="3"/>
  <c r="S2588" i="3"/>
  <c r="S2589" i="3"/>
  <c r="S2590" i="3"/>
  <c r="S2591" i="3"/>
  <c r="T2570" i="3"/>
  <c r="T2581" i="3"/>
  <c r="U2570" i="3"/>
  <c r="U2581" i="3"/>
  <c r="V2570" i="3"/>
  <c r="V2581" i="3"/>
  <c r="W2570" i="3"/>
  <c r="W2581" i="3"/>
  <c r="X2570" i="3"/>
  <c r="X2581" i="3"/>
  <c r="AA2570" i="3"/>
  <c r="AA2571" i="3"/>
  <c r="AA2572" i="3"/>
  <c r="AA2573" i="3"/>
  <c r="AA2574" i="3"/>
  <c r="AA2575" i="3"/>
  <c r="AA2576" i="3"/>
  <c r="AA2577" i="3"/>
  <c r="AA2578" i="3"/>
  <c r="AA2579" i="3"/>
  <c r="AA2580" i="3"/>
  <c r="AA2581" i="3"/>
  <c r="AA2582" i="3"/>
  <c r="AA2583" i="3"/>
  <c r="AA2584" i="3"/>
  <c r="AA2585" i="3"/>
  <c r="AA2586" i="3"/>
  <c r="AA2587" i="3"/>
  <c r="AA2588" i="3"/>
  <c r="AA2589" i="3"/>
  <c r="AA2590" i="3"/>
  <c r="AA2591" i="3"/>
  <c r="AB2570" i="3"/>
  <c r="O2570" i="3" s="1"/>
  <c r="Y2570" i="3" s="1"/>
  <c r="AB2571" i="3"/>
  <c r="O2571" i="3" s="1"/>
  <c r="AB2572" i="3"/>
  <c r="O2572" i="3" s="1"/>
  <c r="AB2573" i="3"/>
  <c r="O2573" i="3" s="1"/>
  <c r="AB2574" i="3"/>
  <c r="O2574" i="3" s="1"/>
  <c r="AB2575" i="3"/>
  <c r="O2575" i="3" s="1"/>
  <c r="AB2576" i="3"/>
  <c r="O2576" i="3" s="1"/>
  <c r="AB2577" i="3"/>
  <c r="O2577" i="3" s="1"/>
  <c r="AB2578" i="3"/>
  <c r="O2578" i="3" s="1"/>
  <c r="AB2579" i="3"/>
  <c r="O2579" i="3" s="1"/>
  <c r="AB2580" i="3"/>
  <c r="O2580" i="3" s="1"/>
  <c r="AB2581" i="3"/>
  <c r="O2581" i="3" s="1"/>
  <c r="Y2581" i="3" s="1"/>
  <c r="AB2582" i="3"/>
  <c r="O2582" i="3" s="1"/>
  <c r="AB2583" i="3"/>
  <c r="O2583" i="3" s="1"/>
  <c r="AB2584" i="3"/>
  <c r="O2584" i="3" s="1"/>
  <c r="AB2585" i="3"/>
  <c r="O2585" i="3" s="1"/>
  <c r="AB2586" i="3"/>
  <c r="O2586" i="3" s="1"/>
  <c r="AB2587" i="3"/>
  <c r="O2587" i="3" s="1"/>
  <c r="AB2588" i="3"/>
  <c r="O2588" i="3" s="1"/>
  <c r="AB2589" i="3"/>
  <c r="O2589" i="3" s="1"/>
  <c r="AB2590" i="3"/>
  <c r="O2590" i="3" s="1"/>
  <c r="AB2591" i="3"/>
  <c r="O2591" i="3" s="1"/>
  <c r="AC2570" i="3"/>
  <c r="N2570" i="3" s="1"/>
  <c r="S2570" i="3" s="1"/>
  <c r="AC2571" i="3"/>
  <c r="N2571" i="3" s="1"/>
  <c r="AC2572" i="3"/>
  <c r="N2572" i="3" s="1"/>
  <c r="AC2573" i="3"/>
  <c r="N2573" i="3" s="1"/>
  <c r="AC2574" i="3"/>
  <c r="N2574" i="3" s="1"/>
  <c r="AC2575" i="3"/>
  <c r="N2575" i="3" s="1"/>
  <c r="AC2576" i="3"/>
  <c r="N2576" i="3" s="1"/>
  <c r="AC2577" i="3"/>
  <c r="N2577" i="3" s="1"/>
  <c r="AC2578" i="3"/>
  <c r="N2578" i="3" s="1"/>
  <c r="AC2579" i="3"/>
  <c r="N2579" i="3" s="1"/>
  <c r="AC2580" i="3"/>
  <c r="N2580" i="3" s="1"/>
  <c r="AC2581" i="3"/>
  <c r="N2581" i="3" s="1"/>
  <c r="S2581" i="3" s="1"/>
  <c r="Z2581" i="3" s="1"/>
  <c r="AC2582" i="3"/>
  <c r="N2582" i="3" s="1"/>
  <c r="AC2583" i="3"/>
  <c r="N2583" i="3" s="1"/>
  <c r="AC2584" i="3"/>
  <c r="N2584" i="3" s="1"/>
  <c r="AC2585" i="3"/>
  <c r="N2585" i="3" s="1"/>
  <c r="AC2586" i="3"/>
  <c r="N2586" i="3" s="1"/>
  <c r="AC2587" i="3"/>
  <c r="N2587" i="3" s="1"/>
  <c r="AC2588" i="3"/>
  <c r="N2588" i="3" s="1"/>
  <c r="AC2589" i="3"/>
  <c r="N2589" i="3" s="1"/>
  <c r="AC2590" i="3"/>
  <c r="N2590" i="3" s="1"/>
  <c r="AC2591" i="3"/>
  <c r="N2591" i="3" s="1"/>
  <c r="AK2570" i="3"/>
  <c r="AK2571" i="3"/>
  <c r="AK2572" i="3"/>
  <c r="AK2573" i="3"/>
  <c r="AK2574" i="3"/>
  <c r="AK2575" i="3"/>
  <c r="AK2576" i="3"/>
  <c r="AK2577" i="3"/>
  <c r="AK2578" i="3"/>
  <c r="AK2579" i="3"/>
  <c r="AK2580" i="3"/>
  <c r="AK2581" i="3"/>
  <c r="AK2582" i="3"/>
  <c r="AK2583" i="3"/>
  <c r="AK2584" i="3"/>
  <c r="AK2585" i="3"/>
  <c r="AK2586" i="3"/>
  <c r="AK2587" i="3"/>
  <c r="AK2588" i="3"/>
  <c r="AK2589" i="3"/>
  <c r="AK2590" i="3"/>
  <c r="AK2591" i="3"/>
  <c r="M145" i="10"/>
  <c r="Z2570" i="3" l="1"/>
  <c r="Z2592" i="3"/>
  <c r="Z2603" i="3"/>
  <c r="Z2700" i="3"/>
  <c r="Z2702" i="3"/>
  <c r="Z2704" i="3"/>
  <c r="Z2706" i="3"/>
  <c r="Z2708" i="3"/>
  <c r="Z2711" i="3"/>
  <c r="Z2713" i="3"/>
  <c r="Z2715" i="3"/>
  <c r="Z2717" i="3"/>
  <c r="Z2719" i="3"/>
  <c r="Z2722" i="3"/>
  <c r="Z2724" i="3"/>
  <c r="Z2726" i="3"/>
  <c r="Z2728" i="3"/>
  <c r="Z2730" i="3"/>
  <c r="Z2733" i="3"/>
  <c r="Z2735" i="3"/>
  <c r="Z2737" i="3"/>
  <c r="Z2739" i="3"/>
  <c r="Z2741" i="3"/>
  <c r="Z2751" i="3"/>
  <c r="Z2744" i="3"/>
  <c r="Z2748" i="3"/>
  <c r="Z2752" i="3"/>
  <c r="Z2745" i="3"/>
  <c r="Z2749" i="3"/>
  <c r="Z2701" i="3"/>
  <c r="Z2705" i="3"/>
  <c r="Z2707" i="3"/>
  <c r="Z2703" i="3"/>
  <c r="Z2709" i="3"/>
  <c r="Z2716" i="3"/>
  <c r="Z2720" i="3"/>
  <c r="Z2712" i="3"/>
  <c r="Z2714" i="3"/>
  <c r="Z2718" i="3"/>
  <c r="Z2731" i="3"/>
  <c r="Z2723" i="3"/>
  <c r="Z2725" i="3"/>
  <c r="Z2727" i="3"/>
  <c r="Z2729" i="3"/>
  <c r="Z2734" i="3"/>
  <c r="Z2736" i="3"/>
  <c r="Z2738" i="3"/>
  <c r="Z2740" i="3"/>
  <c r="Z2742" i="3"/>
  <c r="Z2746" i="3"/>
  <c r="Z2750" i="3"/>
  <c r="Z2747" i="3"/>
  <c r="Z2753" i="3"/>
  <c r="Y2636" i="3"/>
  <c r="S2638" i="3"/>
  <c r="Z2638" i="3" s="1"/>
  <c r="Y2640" i="3"/>
  <c r="Y2632" i="3"/>
  <c r="X2697" i="3"/>
  <c r="V2695" i="3"/>
  <c r="X2693" i="3"/>
  <c r="V2691" i="3"/>
  <c r="X2689" i="3"/>
  <c r="S2687" i="3"/>
  <c r="Z2687" i="3" s="1"/>
  <c r="X2685" i="3"/>
  <c r="V2683" i="3"/>
  <c r="X2681" i="3"/>
  <c r="V2679" i="3"/>
  <c r="X2677" i="3"/>
  <c r="X2698" i="3"/>
  <c r="X2696" i="3"/>
  <c r="X2694" i="3"/>
  <c r="X2692" i="3"/>
  <c r="X2690" i="3"/>
  <c r="X2688" i="3"/>
  <c r="U2686" i="3"/>
  <c r="W2684" i="3"/>
  <c r="U2682" i="3"/>
  <c r="U2680" i="3"/>
  <c r="U2678" i="3"/>
  <c r="U2676" i="3"/>
  <c r="S2674" i="3"/>
  <c r="Z2674" i="3" s="1"/>
  <c r="V2675" i="3"/>
  <c r="Y2698" i="3"/>
  <c r="Y2696" i="3"/>
  <c r="Y2694" i="3"/>
  <c r="Y2692" i="3"/>
  <c r="Y2690" i="3"/>
  <c r="Y2688" i="3"/>
  <c r="Y2686" i="3"/>
  <c r="Y2684" i="3"/>
  <c r="Y2682" i="3"/>
  <c r="Y2680" i="3"/>
  <c r="Y2678" i="3"/>
  <c r="Y2676" i="3"/>
  <c r="W2696" i="3"/>
  <c r="W2692" i="3"/>
  <c r="W2688" i="3"/>
  <c r="W2686" i="3"/>
  <c r="W2682" i="3"/>
  <c r="W2678" i="3"/>
  <c r="U2698" i="3"/>
  <c r="U2694" i="3"/>
  <c r="U2690" i="3"/>
  <c r="U2684" i="3"/>
  <c r="T2697" i="3"/>
  <c r="U2697" i="3"/>
  <c r="W2697" i="3"/>
  <c r="T2695" i="3"/>
  <c r="U2695" i="3"/>
  <c r="W2695" i="3"/>
  <c r="T2693" i="3"/>
  <c r="U2693" i="3"/>
  <c r="W2693" i="3"/>
  <c r="T2691" i="3"/>
  <c r="U2691" i="3"/>
  <c r="W2691" i="3"/>
  <c r="T2689" i="3"/>
  <c r="U2689" i="3"/>
  <c r="W2689" i="3"/>
  <c r="T2685" i="3"/>
  <c r="U2685" i="3"/>
  <c r="W2685" i="3"/>
  <c r="T2683" i="3"/>
  <c r="U2683" i="3"/>
  <c r="W2683" i="3"/>
  <c r="T2681" i="3"/>
  <c r="U2681" i="3"/>
  <c r="W2681" i="3"/>
  <c r="T2679" i="3"/>
  <c r="U2679" i="3"/>
  <c r="W2679" i="3"/>
  <c r="T2677" i="3"/>
  <c r="U2677" i="3"/>
  <c r="W2677" i="3"/>
  <c r="T2675" i="3"/>
  <c r="U2675" i="3"/>
  <c r="W2675" i="3"/>
  <c r="Y2675" i="3"/>
  <c r="Y2697" i="3"/>
  <c r="Y2695" i="3"/>
  <c r="Y2693" i="3"/>
  <c r="Y2691" i="3"/>
  <c r="Y2689" i="3"/>
  <c r="Y2685" i="3"/>
  <c r="Y2683" i="3"/>
  <c r="Y2681" i="3"/>
  <c r="Y2679" i="3"/>
  <c r="Y2677" i="3"/>
  <c r="X2695" i="3"/>
  <c r="X2691" i="3"/>
  <c r="X2683" i="3"/>
  <c r="X2679" i="3"/>
  <c r="X2675" i="3"/>
  <c r="W2698" i="3"/>
  <c r="W2694" i="3"/>
  <c r="W2690" i="3"/>
  <c r="W2680" i="3"/>
  <c r="W2676" i="3"/>
  <c r="V2697" i="3"/>
  <c r="V2693" i="3"/>
  <c r="V2689" i="3"/>
  <c r="V2685" i="3"/>
  <c r="V2681" i="3"/>
  <c r="V2677" i="3"/>
  <c r="U2696" i="3"/>
  <c r="U2692" i="3"/>
  <c r="U2688" i="3"/>
  <c r="T2698" i="3"/>
  <c r="T2696" i="3"/>
  <c r="T2694" i="3"/>
  <c r="T2692" i="3"/>
  <c r="T2690" i="3"/>
  <c r="T2688" i="3"/>
  <c r="T2686" i="3"/>
  <c r="T2684" i="3"/>
  <c r="T2682" i="3"/>
  <c r="T2680" i="3"/>
  <c r="T2678" i="3"/>
  <c r="T2676" i="3"/>
  <c r="X2686" i="3"/>
  <c r="X2684" i="3"/>
  <c r="X2682" i="3"/>
  <c r="X2680" i="3"/>
  <c r="X2678" i="3"/>
  <c r="X2676" i="3"/>
  <c r="V2698" i="3"/>
  <c r="V2696" i="3"/>
  <c r="V2694" i="3"/>
  <c r="V2692" i="3"/>
  <c r="V2690" i="3"/>
  <c r="V2688" i="3"/>
  <c r="V2686" i="3"/>
  <c r="V2684" i="3"/>
  <c r="V2682" i="3"/>
  <c r="V2680" i="3"/>
  <c r="V2678" i="3"/>
  <c r="V2676" i="3"/>
  <c r="S2663" i="3"/>
  <c r="Z2663" i="3" s="1"/>
  <c r="Y2653" i="3"/>
  <c r="S2649" i="3"/>
  <c r="Z2649" i="3" s="1"/>
  <c r="T2672" i="3"/>
  <c r="V2672" i="3"/>
  <c r="U2672" i="3"/>
  <c r="W2672" i="3"/>
  <c r="T2670" i="3"/>
  <c r="V2670" i="3"/>
  <c r="U2670" i="3"/>
  <c r="W2670" i="3"/>
  <c r="T2668" i="3"/>
  <c r="V2668" i="3"/>
  <c r="X2668" i="3"/>
  <c r="U2668" i="3"/>
  <c r="W2668" i="3"/>
  <c r="T2666" i="3"/>
  <c r="V2666" i="3"/>
  <c r="X2666" i="3"/>
  <c r="U2666" i="3"/>
  <c r="W2666" i="3"/>
  <c r="T2664" i="3"/>
  <c r="V2664" i="3"/>
  <c r="X2664" i="3"/>
  <c r="U2664" i="3"/>
  <c r="W2664" i="3"/>
  <c r="T2662" i="3"/>
  <c r="V2662" i="3"/>
  <c r="X2662" i="3"/>
  <c r="U2662" i="3"/>
  <c r="W2662" i="3"/>
  <c r="T2660" i="3"/>
  <c r="V2660" i="3"/>
  <c r="X2660" i="3"/>
  <c r="U2660" i="3"/>
  <c r="W2660" i="3"/>
  <c r="T2658" i="3"/>
  <c r="V2658" i="3"/>
  <c r="X2658" i="3"/>
  <c r="U2658" i="3"/>
  <c r="W2658" i="3"/>
  <c r="T2656" i="3"/>
  <c r="V2656" i="3"/>
  <c r="X2656" i="3"/>
  <c r="U2656" i="3"/>
  <c r="W2656" i="3"/>
  <c r="T2654" i="3"/>
  <c r="V2654" i="3"/>
  <c r="X2654" i="3"/>
  <c r="U2654" i="3"/>
  <c r="W2654" i="3"/>
  <c r="Y2654" i="3"/>
  <c r="T2652" i="3"/>
  <c r="V2652" i="3"/>
  <c r="X2652" i="3"/>
  <c r="U2652" i="3"/>
  <c r="W2652" i="3"/>
  <c r="Y2652" i="3"/>
  <c r="T2650" i="3"/>
  <c r="V2650" i="3"/>
  <c r="X2650" i="3"/>
  <c r="U2650" i="3"/>
  <c r="W2650" i="3"/>
  <c r="Y2650" i="3"/>
  <c r="Y2672" i="3"/>
  <c r="Y2670" i="3"/>
  <c r="Y2668" i="3"/>
  <c r="Y2666" i="3"/>
  <c r="Y2664" i="3"/>
  <c r="Y2662" i="3"/>
  <c r="Y2660" i="3"/>
  <c r="Y2658" i="3"/>
  <c r="Y2656" i="3"/>
  <c r="X2670" i="3"/>
  <c r="U2673" i="3"/>
  <c r="W2673" i="3"/>
  <c r="T2673" i="3"/>
  <c r="V2673" i="3"/>
  <c r="X2673" i="3"/>
  <c r="U2671" i="3"/>
  <c r="W2671" i="3"/>
  <c r="T2671" i="3"/>
  <c r="V2671" i="3"/>
  <c r="X2671" i="3"/>
  <c r="U2669" i="3"/>
  <c r="W2669" i="3"/>
  <c r="T2669" i="3"/>
  <c r="V2669" i="3"/>
  <c r="X2669" i="3"/>
  <c r="U2667" i="3"/>
  <c r="W2667" i="3"/>
  <c r="T2667" i="3"/>
  <c r="V2667" i="3"/>
  <c r="X2667" i="3"/>
  <c r="U2665" i="3"/>
  <c r="W2665" i="3"/>
  <c r="T2665" i="3"/>
  <c r="V2665" i="3"/>
  <c r="X2665" i="3"/>
  <c r="U2661" i="3"/>
  <c r="W2661" i="3"/>
  <c r="T2661" i="3"/>
  <c r="V2661" i="3"/>
  <c r="X2661" i="3"/>
  <c r="U2659" i="3"/>
  <c r="W2659" i="3"/>
  <c r="T2659" i="3"/>
  <c r="V2659" i="3"/>
  <c r="X2659" i="3"/>
  <c r="U2657" i="3"/>
  <c r="W2657" i="3"/>
  <c r="T2657" i="3"/>
  <c r="V2657" i="3"/>
  <c r="X2657" i="3"/>
  <c r="U2655" i="3"/>
  <c r="W2655" i="3"/>
  <c r="T2655" i="3"/>
  <c r="V2655" i="3"/>
  <c r="X2655" i="3"/>
  <c r="U2653" i="3"/>
  <c r="W2653" i="3"/>
  <c r="T2653" i="3"/>
  <c r="V2653" i="3"/>
  <c r="X2653" i="3"/>
  <c r="U2651" i="3"/>
  <c r="W2651" i="3"/>
  <c r="T2651" i="3"/>
  <c r="V2651" i="3"/>
  <c r="X2651" i="3"/>
  <c r="Y2673" i="3"/>
  <c r="Y2671" i="3"/>
  <c r="Y2669" i="3"/>
  <c r="Y2667" i="3"/>
  <c r="Y2665" i="3"/>
  <c r="Y2661" i="3"/>
  <c r="Y2659" i="3"/>
  <c r="Y2657" i="3"/>
  <c r="Y2655" i="3"/>
  <c r="Y2651" i="3"/>
  <c r="X2672" i="3"/>
  <c r="S2616" i="3"/>
  <c r="Z2616" i="3" s="1"/>
  <c r="T2647" i="3"/>
  <c r="U2647" i="3"/>
  <c r="V2647" i="3"/>
  <c r="W2647" i="3"/>
  <c r="X2647" i="3"/>
  <c r="Y2647" i="3"/>
  <c r="T2645" i="3"/>
  <c r="U2645" i="3"/>
  <c r="V2645" i="3"/>
  <c r="W2645" i="3"/>
  <c r="X2645" i="3"/>
  <c r="Y2645" i="3"/>
  <c r="T2643" i="3"/>
  <c r="U2643" i="3"/>
  <c r="V2643" i="3"/>
  <c r="W2643" i="3"/>
  <c r="X2643" i="3"/>
  <c r="Y2643" i="3"/>
  <c r="T2641" i="3"/>
  <c r="U2641" i="3"/>
  <c r="V2641" i="3"/>
  <c r="W2641" i="3"/>
  <c r="X2641" i="3"/>
  <c r="Y2641" i="3"/>
  <c r="T2639" i="3"/>
  <c r="U2639" i="3"/>
  <c r="V2639" i="3"/>
  <c r="W2639" i="3"/>
  <c r="X2639" i="3"/>
  <c r="Y2639" i="3"/>
  <c r="T2637" i="3"/>
  <c r="U2637" i="3"/>
  <c r="V2637" i="3"/>
  <c r="W2637" i="3"/>
  <c r="X2637" i="3"/>
  <c r="Y2637" i="3"/>
  <c r="T2635" i="3"/>
  <c r="U2635" i="3"/>
  <c r="V2635" i="3"/>
  <c r="W2635" i="3"/>
  <c r="X2635" i="3"/>
  <c r="Y2635" i="3"/>
  <c r="T2633" i="3"/>
  <c r="U2633" i="3"/>
  <c r="V2633" i="3"/>
  <c r="W2633" i="3"/>
  <c r="X2633" i="3"/>
  <c r="Y2633" i="3"/>
  <c r="T2631" i="3"/>
  <c r="U2631" i="3"/>
  <c r="V2631" i="3"/>
  <c r="W2631" i="3"/>
  <c r="X2631" i="3"/>
  <c r="Y2631" i="3"/>
  <c r="T2629" i="3"/>
  <c r="U2629" i="3"/>
  <c r="V2629" i="3"/>
  <c r="W2629" i="3"/>
  <c r="X2629" i="3"/>
  <c r="Y2629" i="3"/>
  <c r="T2648" i="3"/>
  <c r="U2648" i="3"/>
  <c r="V2648" i="3"/>
  <c r="W2648" i="3"/>
  <c r="T2646" i="3"/>
  <c r="U2646" i="3"/>
  <c r="V2646" i="3"/>
  <c r="W2646" i="3"/>
  <c r="T2644" i="3"/>
  <c r="U2644" i="3"/>
  <c r="V2644" i="3"/>
  <c r="W2644" i="3"/>
  <c r="T2642" i="3"/>
  <c r="U2642" i="3"/>
  <c r="V2642" i="3"/>
  <c r="W2642" i="3"/>
  <c r="X2642" i="3"/>
  <c r="T2640" i="3"/>
  <c r="U2640" i="3"/>
  <c r="V2640" i="3"/>
  <c r="W2640" i="3"/>
  <c r="X2640" i="3"/>
  <c r="T2636" i="3"/>
  <c r="U2636" i="3"/>
  <c r="V2636" i="3"/>
  <c r="W2636" i="3"/>
  <c r="X2636" i="3"/>
  <c r="T2634" i="3"/>
  <c r="U2634" i="3"/>
  <c r="V2634" i="3"/>
  <c r="W2634" i="3"/>
  <c r="X2634" i="3"/>
  <c r="T2632" i="3"/>
  <c r="U2632" i="3"/>
  <c r="V2632" i="3"/>
  <c r="W2632" i="3"/>
  <c r="X2632" i="3"/>
  <c r="T2630" i="3"/>
  <c r="U2630" i="3"/>
  <c r="V2630" i="3"/>
  <c r="W2630" i="3"/>
  <c r="X2630" i="3"/>
  <c r="T2628" i="3"/>
  <c r="U2628" i="3"/>
  <c r="V2628" i="3"/>
  <c r="W2628" i="3"/>
  <c r="X2628" i="3"/>
  <c r="Y2646" i="3"/>
  <c r="Y2642" i="3"/>
  <c r="Y2634" i="3"/>
  <c r="Y2630" i="3"/>
  <c r="X2648" i="3"/>
  <c r="X2644" i="3"/>
  <c r="U2626" i="3"/>
  <c r="W2626" i="3"/>
  <c r="Y2626" i="3"/>
  <c r="T2626" i="3"/>
  <c r="V2626" i="3"/>
  <c r="X2626" i="3"/>
  <c r="U2624" i="3"/>
  <c r="W2624" i="3"/>
  <c r="Y2624" i="3"/>
  <c r="T2624" i="3"/>
  <c r="V2624" i="3"/>
  <c r="X2624" i="3"/>
  <c r="U2622" i="3"/>
  <c r="W2622" i="3"/>
  <c r="Y2622" i="3"/>
  <c r="T2622" i="3"/>
  <c r="V2622" i="3"/>
  <c r="X2622" i="3"/>
  <c r="U2620" i="3"/>
  <c r="W2620" i="3"/>
  <c r="Y2620" i="3"/>
  <c r="T2620" i="3"/>
  <c r="V2620" i="3"/>
  <c r="X2620" i="3"/>
  <c r="U2618" i="3"/>
  <c r="W2618" i="3"/>
  <c r="Y2618" i="3"/>
  <c r="T2618" i="3"/>
  <c r="V2618" i="3"/>
  <c r="X2618" i="3"/>
  <c r="T2625" i="3"/>
  <c r="V2625" i="3"/>
  <c r="X2625" i="3"/>
  <c r="U2625" i="3"/>
  <c r="W2625" i="3"/>
  <c r="Y2625" i="3"/>
  <c r="T2623" i="3"/>
  <c r="V2623" i="3"/>
  <c r="X2623" i="3"/>
  <c r="U2623" i="3"/>
  <c r="W2623" i="3"/>
  <c r="Y2623" i="3"/>
  <c r="T2621" i="3"/>
  <c r="V2621" i="3"/>
  <c r="X2621" i="3"/>
  <c r="U2621" i="3"/>
  <c r="W2621" i="3"/>
  <c r="Y2621" i="3"/>
  <c r="T2619" i="3"/>
  <c r="V2619" i="3"/>
  <c r="X2619" i="3"/>
  <c r="U2619" i="3"/>
  <c r="W2619" i="3"/>
  <c r="Y2619" i="3"/>
  <c r="T2617" i="3"/>
  <c r="V2617" i="3"/>
  <c r="X2617" i="3"/>
  <c r="U2617" i="3"/>
  <c r="W2617" i="3"/>
  <c r="Y2617" i="3"/>
  <c r="T2614" i="3"/>
  <c r="U2614" i="3"/>
  <c r="V2614" i="3"/>
  <c r="W2614" i="3"/>
  <c r="X2614" i="3"/>
  <c r="T2612" i="3"/>
  <c r="U2612" i="3"/>
  <c r="V2612" i="3"/>
  <c r="W2612" i="3"/>
  <c r="X2612" i="3"/>
  <c r="T2610" i="3"/>
  <c r="U2610" i="3"/>
  <c r="V2610" i="3"/>
  <c r="W2610" i="3"/>
  <c r="X2610" i="3"/>
  <c r="T2608" i="3"/>
  <c r="U2608" i="3"/>
  <c r="V2608" i="3"/>
  <c r="W2608" i="3"/>
  <c r="X2608" i="3"/>
  <c r="T2606" i="3"/>
  <c r="U2606" i="3"/>
  <c r="V2606" i="3"/>
  <c r="W2606" i="3"/>
  <c r="X2606" i="3"/>
  <c r="T2604" i="3"/>
  <c r="U2604" i="3"/>
  <c r="V2604" i="3"/>
  <c r="W2604" i="3"/>
  <c r="X2604" i="3"/>
  <c r="T2602" i="3"/>
  <c r="U2602" i="3"/>
  <c r="V2602" i="3"/>
  <c r="W2602" i="3"/>
  <c r="X2602" i="3"/>
  <c r="T2600" i="3"/>
  <c r="U2600" i="3"/>
  <c r="V2600" i="3"/>
  <c r="W2600" i="3"/>
  <c r="X2600" i="3"/>
  <c r="Y2600" i="3"/>
  <c r="T2598" i="3"/>
  <c r="U2598" i="3"/>
  <c r="V2598" i="3"/>
  <c r="W2598" i="3"/>
  <c r="X2598" i="3"/>
  <c r="Y2598" i="3"/>
  <c r="T2596" i="3"/>
  <c r="U2596" i="3"/>
  <c r="V2596" i="3"/>
  <c r="W2596" i="3"/>
  <c r="X2596" i="3"/>
  <c r="Y2596" i="3"/>
  <c r="T2594" i="3"/>
  <c r="U2594" i="3"/>
  <c r="V2594" i="3"/>
  <c r="W2594" i="3"/>
  <c r="X2594" i="3"/>
  <c r="Y2594" i="3"/>
  <c r="Y2614" i="3"/>
  <c r="Y2612" i="3"/>
  <c r="Y2610" i="3"/>
  <c r="Y2608" i="3"/>
  <c r="Y2606" i="3"/>
  <c r="Y2604" i="3"/>
  <c r="Y2602" i="3"/>
  <c r="T2615" i="3"/>
  <c r="U2615" i="3"/>
  <c r="V2615" i="3"/>
  <c r="W2615" i="3"/>
  <c r="X2615" i="3"/>
  <c r="T2613" i="3"/>
  <c r="U2613" i="3"/>
  <c r="V2613" i="3"/>
  <c r="W2613" i="3"/>
  <c r="X2613" i="3"/>
  <c r="T2611" i="3"/>
  <c r="U2611" i="3"/>
  <c r="V2611" i="3"/>
  <c r="W2611" i="3"/>
  <c r="X2611" i="3"/>
  <c r="T2609" i="3"/>
  <c r="U2609" i="3"/>
  <c r="V2609" i="3"/>
  <c r="W2609" i="3"/>
  <c r="X2609" i="3"/>
  <c r="T2607" i="3"/>
  <c r="U2607" i="3"/>
  <c r="V2607" i="3"/>
  <c r="W2607" i="3"/>
  <c r="X2607" i="3"/>
  <c r="T2605" i="3"/>
  <c r="U2605" i="3"/>
  <c r="V2605" i="3"/>
  <c r="W2605" i="3"/>
  <c r="X2605" i="3"/>
  <c r="T2601" i="3"/>
  <c r="U2601" i="3"/>
  <c r="V2601" i="3"/>
  <c r="W2601" i="3"/>
  <c r="X2601" i="3"/>
  <c r="T2599" i="3"/>
  <c r="U2599" i="3"/>
  <c r="V2599" i="3"/>
  <c r="W2599" i="3"/>
  <c r="X2599" i="3"/>
  <c r="Y2599" i="3"/>
  <c r="T2597" i="3"/>
  <c r="U2597" i="3"/>
  <c r="V2597" i="3"/>
  <c r="W2597" i="3"/>
  <c r="X2597" i="3"/>
  <c r="Y2597" i="3"/>
  <c r="T2595" i="3"/>
  <c r="U2595" i="3"/>
  <c r="V2595" i="3"/>
  <c r="W2595" i="3"/>
  <c r="X2595" i="3"/>
  <c r="Y2595" i="3"/>
  <c r="T2593" i="3"/>
  <c r="U2593" i="3"/>
  <c r="V2593" i="3"/>
  <c r="W2593" i="3"/>
  <c r="X2593" i="3"/>
  <c r="Y2593" i="3"/>
  <c r="Y2615" i="3"/>
  <c r="Y2613" i="3"/>
  <c r="Y2611" i="3"/>
  <c r="Y2609" i="3"/>
  <c r="Y2607" i="3"/>
  <c r="Y2605" i="3"/>
  <c r="Y2601" i="3"/>
  <c r="T2591" i="3"/>
  <c r="U2591" i="3"/>
  <c r="V2591" i="3"/>
  <c r="W2591" i="3"/>
  <c r="X2591" i="3"/>
  <c r="Y2591" i="3"/>
  <c r="T2589" i="3"/>
  <c r="U2589" i="3"/>
  <c r="V2589" i="3"/>
  <c r="W2589" i="3"/>
  <c r="X2589" i="3"/>
  <c r="Y2589" i="3"/>
  <c r="T2587" i="3"/>
  <c r="U2587" i="3"/>
  <c r="V2587" i="3"/>
  <c r="W2587" i="3"/>
  <c r="X2587" i="3"/>
  <c r="Y2587" i="3"/>
  <c r="T2585" i="3"/>
  <c r="U2585" i="3"/>
  <c r="V2585" i="3"/>
  <c r="W2585" i="3"/>
  <c r="X2585" i="3"/>
  <c r="Y2585" i="3"/>
  <c r="T2583" i="3"/>
  <c r="U2583" i="3"/>
  <c r="V2583" i="3"/>
  <c r="W2583" i="3"/>
  <c r="X2583" i="3"/>
  <c r="Y2583" i="3"/>
  <c r="T2579" i="3"/>
  <c r="U2579" i="3"/>
  <c r="V2579" i="3"/>
  <c r="W2579" i="3"/>
  <c r="X2579" i="3"/>
  <c r="Y2579" i="3"/>
  <c r="T2577" i="3"/>
  <c r="U2577" i="3"/>
  <c r="V2577" i="3"/>
  <c r="W2577" i="3"/>
  <c r="X2577" i="3"/>
  <c r="Y2577" i="3"/>
  <c r="T2575" i="3"/>
  <c r="U2575" i="3"/>
  <c r="V2575" i="3"/>
  <c r="W2575" i="3"/>
  <c r="X2575" i="3"/>
  <c r="Y2575" i="3"/>
  <c r="T2573" i="3"/>
  <c r="U2573" i="3"/>
  <c r="V2573" i="3"/>
  <c r="W2573" i="3"/>
  <c r="X2573" i="3"/>
  <c r="Y2573" i="3"/>
  <c r="T2571" i="3"/>
  <c r="U2571" i="3"/>
  <c r="V2571" i="3"/>
  <c r="W2571" i="3"/>
  <c r="X2571" i="3"/>
  <c r="Y2571" i="3"/>
  <c r="T2590" i="3"/>
  <c r="U2590" i="3"/>
  <c r="V2590" i="3"/>
  <c r="W2590" i="3"/>
  <c r="X2590" i="3"/>
  <c r="Y2590" i="3"/>
  <c r="T2588" i="3"/>
  <c r="U2588" i="3"/>
  <c r="V2588" i="3"/>
  <c r="W2588" i="3"/>
  <c r="X2588" i="3"/>
  <c r="Y2588" i="3"/>
  <c r="T2586" i="3"/>
  <c r="U2586" i="3"/>
  <c r="V2586" i="3"/>
  <c r="W2586" i="3"/>
  <c r="X2586" i="3"/>
  <c r="Y2586" i="3"/>
  <c r="T2584" i="3"/>
  <c r="U2584" i="3"/>
  <c r="V2584" i="3"/>
  <c r="W2584" i="3"/>
  <c r="X2584" i="3"/>
  <c r="Y2584" i="3"/>
  <c r="T2582" i="3"/>
  <c r="U2582" i="3"/>
  <c r="V2582" i="3"/>
  <c r="W2582" i="3"/>
  <c r="X2582" i="3"/>
  <c r="Y2582" i="3"/>
  <c r="T2580" i="3"/>
  <c r="U2580" i="3"/>
  <c r="V2580" i="3"/>
  <c r="W2580" i="3"/>
  <c r="X2580" i="3"/>
  <c r="Y2580" i="3"/>
  <c r="T2578" i="3"/>
  <c r="U2578" i="3"/>
  <c r="V2578" i="3"/>
  <c r="W2578" i="3"/>
  <c r="X2578" i="3"/>
  <c r="Y2578" i="3"/>
  <c r="T2576" i="3"/>
  <c r="U2576" i="3"/>
  <c r="V2576" i="3"/>
  <c r="W2576" i="3"/>
  <c r="X2576" i="3"/>
  <c r="Y2576" i="3"/>
  <c r="T2574" i="3"/>
  <c r="U2574" i="3"/>
  <c r="V2574" i="3"/>
  <c r="W2574" i="3"/>
  <c r="X2574" i="3"/>
  <c r="Y2574" i="3"/>
  <c r="T2572" i="3"/>
  <c r="U2572" i="3"/>
  <c r="V2572" i="3"/>
  <c r="W2572" i="3"/>
  <c r="X2572" i="3"/>
  <c r="Y2572" i="3"/>
  <c r="M2559" i="3"/>
  <c r="M2560" i="3"/>
  <c r="M2561" i="3"/>
  <c r="M2562" i="3"/>
  <c r="M2563" i="3"/>
  <c r="M2564" i="3"/>
  <c r="M2565" i="3"/>
  <c r="M2566" i="3"/>
  <c r="M2567" i="3"/>
  <c r="M2568" i="3"/>
  <c r="M2569" i="3"/>
  <c r="P2559" i="3"/>
  <c r="P2560" i="3"/>
  <c r="P2561" i="3"/>
  <c r="P2562" i="3"/>
  <c r="P2563" i="3"/>
  <c r="P2564" i="3"/>
  <c r="P2565" i="3"/>
  <c r="P2566" i="3"/>
  <c r="P2567" i="3"/>
  <c r="P2568" i="3"/>
  <c r="P2569" i="3"/>
  <c r="Q2559" i="3"/>
  <c r="Q2560" i="3"/>
  <c r="Q2561" i="3"/>
  <c r="Q2562" i="3"/>
  <c r="Q2563" i="3"/>
  <c r="Q2564" i="3"/>
  <c r="Q2565" i="3"/>
  <c r="Q2566" i="3"/>
  <c r="Q2567" i="3"/>
  <c r="Q2568" i="3"/>
  <c r="Q2569" i="3"/>
  <c r="R2559" i="3"/>
  <c r="R2560" i="3"/>
  <c r="R2561" i="3"/>
  <c r="R2562" i="3"/>
  <c r="R2563" i="3"/>
  <c r="R2564" i="3"/>
  <c r="R2565" i="3"/>
  <c r="R2566" i="3"/>
  <c r="R2567" i="3"/>
  <c r="R2568" i="3"/>
  <c r="R2569" i="3"/>
  <c r="S2560" i="3"/>
  <c r="S2561" i="3"/>
  <c r="S2562" i="3"/>
  <c r="S2563" i="3"/>
  <c r="S2564" i="3"/>
  <c r="S2565" i="3"/>
  <c r="S2566" i="3"/>
  <c r="S2567" i="3"/>
  <c r="S2568" i="3"/>
  <c r="S2569" i="3"/>
  <c r="T2559" i="3"/>
  <c r="U2559" i="3"/>
  <c r="V2559" i="3"/>
  <c r="W2559" i="3"/>
  <c r="X2559" i="3"/>
  <c r="AA2559" i="3"/>
  <c r="AA2560" i="3"/>
  <c r="AA2561" i="3"/>
  <c r="AA2562" i="3"/>
  <c r="AA2563" i="3"/>
  <c r="AA2564" i="3"/>
  <c r="AA2565" i="3"/>
  <c r="AA2566" i="3"/>
  <c r="AA2567" i="3"/>
  <c r="AA2568" i="3"/>
  <c r="AA2569" i="3"/>
  <c r="AB2559" i="3"/>
  <c r="O2559" i="3" s="1"/>
  <c r="Y2559" i="3" s="1"/>
  <c r="AB2560" i="3"/>
  <c r="O2560" i="3" s="1"/>
  <c r="AB2561" i="3"/>
  <c r="O2561" i="3" s="1"/>
  <c r="AB2562" i="3"/>
  <c r="O2562" i="3" s="1"/>
  <c r="AB2563" i="3"/>
  <c r="O2563" i="3" s="1"/>
  <c r="AB2564" i="3"/>
  <c r="O2564" i="3" s="1"/>
  <c r="AB2565" i="3"/>
  <c r="O2565" i="3" s="1"/>
  <c r="AB2566" i="3"/>
  <c r="O2566" i="3" s="1"/>
  <c r="AB2567" i="3"/>
  <c r="O2567" i="3" s="1"/>
  <c r="AB2568" i="3"/>
  <c r="O2568" i="3" s="1"/>
  <c r="AB2569" i="3"/>
  <c r="O2569" i="3" s="1"/>
  <c r="AC2559" i="3"/>
  <c r="N2559" i="3" s="1"/>
  <c r="AC2560" i="3"/>
  <c r="N2560" i="3" s="1"/>
  <c r="AC2561" i="3"/>
  <c r="N2561" i="3" s="1"/>
  <c r="AC2562" i="3"/>
  <c r="N2562" i="3" s="1"/>
  <c r="AC2563" i="3"/>
  <c r="N2563" i="3" s="1"/>
  <c r="AC2564" i="3"/>
  <c r="N2564" i="3" s="1"/>
  <c r="AC2565" i="3"/>
  <c r="N2565" i="3" s="1"/>
  <c r="AC2566" i="3"/>
  <c r="N2566" i="3" s="1"/>
  <c r="AC2567" i="3"/>
  <c r="N2567" i="3" s="1"/>
  <c r="AC2568" i="3"/>
  <c r="N2568" i="3" s="1"/>
  <c r="AC2569" i="3"/>
  <c r="N2569" i="3" s="1"/>
  <c r="AK2559" i="3"/>
  <c r="AK2560" i="3"/>
  <c r="AK2561" i="3"/>
  <c r="AK2562" i="3"/>
  <c r="AK2563" i="3"/>
  <c r="AK2564" i="3"/>
  <c r="AK2565" i="3"/>
  <c r="AK2566" i="3"/>
  <c r="AK2567" i="3"/>
  <c r="AK2568" i="3"/>
  <c r="AK2569" i="3"/>
  <c r="M144" i="10"/>
  <c r="M2548" i="3"/>
  <c r="M2549" i="3"/>
  <c r="M2550" i="3"/>
  <c r="M2551" i="3"/>
  <c r="M2552" i="3"/>
  <c r="M2553" i="3"/>
  <c r="M2554" i="3"/>
  <c r="M2555" i="3"/>
  <c r="M2556" i="3"/>
  <c r="M2557" i="3"/>
  <c r="M2558" i="3"/>
  <c r="P2548" i="3"/>
  <c r="P2549" i="3"/>
  <c r="P2550" i="3"/>
  <c r="P2551" i="3"/>
  <c r="P2552" i="3"/>
  <c r="P2553" i="3"/>
  <c r="P2554" i="3"/>
  <c r="P2555" i="3"/>
  <c r="P2556" i="3"/>
  <c r="P2557" i="3"/>
  <c r="P2558" i="3"/>
  <c r="Q2548" i="3"/>
  <c r="Q2549" i="3"/>
  <c r="Q2550" i="3"/>
  <c r="Q2551" i="3"/>
  <c r="Q2552" i="3"/>
  <c r="Q2553" i="3"/>
  <c r="Q2554" i="3"/>
  <c r="Q2555" i="3"/>
  <c r="Q2556" i="3"/>
  <c r="Q2557" i="3"/>
  <c r="Q2558" i="3"/>
  <c r="R2548" i="3"/>
  <c r="R2549" i="3"/>
  <c r="R2550" i="3"/>
  <c r="R2551" i="3"/>
  <c r="R2552" i="3"/>
  <c r="R2553" i="3"/>
  <c r="R2554" i="3"/>
  <c r="R2555" i="3"/>
  <c r="R2556" i="3"/>
  <c r="R2557" i="3"/>
  <c r="R2558" i="3"/>
  <c r="S2549" i="3"/>
  <c r="S2550" i="3"/>
  <c r="S2551" i="3"/>
  <c r="S2552" i="3"/>
  <c r="S2553" i="3"/>
  <c r="S2554" i="3"/>
  <c r="S2555" i="3"/>
  <c r="S2556" i="3"/>
  <c r="S2557" i="3"/>
  <c r="S2558" i="3"/>
  <c r="T2548" i="3"/>
  <c r="U2548" i="3"/>
  <c r="V2548" i="3"/>
  <c r="W2548" i="3"/>
  <c r="X2548" i="3"/>
  <c r="AA2548" i="3"/>
  <c r="AA2549" i="3"/>
  <c r="AA2550" i="3"/>
  <c r="AA2551" i="3"/>
  <c r="AA2552" i="3"/>
  <c r="AA2553" i="3"/>
  <c r="AA2554" i="3"/>
  <c r="AA2555" i="3"/>
  <c r="AA2556" i="3"/>
  <c r="AA2557" i="3"/>
  <c r="AA2558" i="3"/>
  <c r="AB2548" i="3"/>
  <c r="O2548" i="3" s="1"/>
  <c r="Y2548" i="3" s="1"/>
  <c r="AB2549" i="3"/>
  <c r="O2549" i="3" s="1"/>
  <c r="AB2550" i="3"/>
  <c r="O2550" i="3" s="1"/>
  <c r="AB2551" i="3"/>
  <c r="O2551" i="3" s="1"/>
  <c r="AB2552" i="3"/>
  <c r="O2552" i="3" s="1"/>
  <c r="AB2553" i="3"/>
  <c r="O2553" i="3" s="1"/>
  <c r="AB2554" i="3"/>
  <c r="O2554" i="3" s="1"/>
  <c r="AB2555" i="3"/>
  <c r="O2555" i="3" s="1"/>
  <c r="AB2556" i="3"/>
  <c r="O2556" i="3" s="1"/>
  <c r="AB2557" i="3"/>
  <c r="O2557" i="3" s="1"/>
  <c r="AB2558" i="3"/>
  <c r="O2558" i="3" s="1"/>
  <c r="AC2548" i="3"/>
  <c r="N2548" i="3" s="1"/>
  <c r="AC2549" i="3"/>
  <c r="N2549" i="3" s="1"/>
  <c r="AC2550" i="3"/>
  <c r="N2550" i="3" s="1"/>
  <c r="AC2551" i="3"/>
  <c r="N2551" i="3" s="1"/>
  <c r="AC2552" i="3"/>
  <c r="N2552" i="3" s="1"/>
  <c r="AC2553" i="3"/>
  <c r="N2553" i="3" s="1"/>
  <c r="AC2554" i="3"/>
  <c r="N2554" i="3" s="1"/>
  <c r="AC2555" i="3"/>
  <c r="N2555" i="3" s="1"/>
  <c r="AC2556" i="3"/>
  <c r="N2556" i="3" s="1"/>
  <c r="AC2557" i="3"/>
  <c r="N2557" i="3" s="1"/>
  <c r="AC2558" i="3"/>
  <c r="N2558" i="3" s="1"/>
  <c r="AK2548" i="3"/>
  <c r="AK2549" i="3"/>
  <c r="AK2550" i="3"/>
  <c r="AK2551" i="3"/>
  <c r="AK2552" i="3"/>
  <c r="AK2553" i="3"/>
  <c r="AK2554" i="3"/>
  <c r="AK2555" i="3"/>
  <c r="AK2556" i="3"/>
  <c r="AK2557" i="3"/>
  <c r="AK2558" i="3"/>
  <c r="M143" i="10"/>
  <c r="Z2572" i="3" l="1"/>
  <c r="Z2576" i="3"/>
  <c r="Z2580" i="3"/>
  <c r="Z2584" i="3"/>
  <c r="Z2571" i="3"/>
  <c r="Z2577" i="3"/>
  <c r="Z2593" i="3"/>
  <c r="Z2595" i="3"/>
  <c r="Z2597" i="3"/>
  <c r="Z2599" i="3"/>
  <c r="Z2605" i="3"/>
  <c r="Z2609" i="3"/>
  <c r="Z2613" i="3"/>
  <c r="Z2594" i="3"/>
  <c r="Z2596" i="3"/>
  <c r="Z2598" i="3"/>
  <c r="Z2600" i="3"/>
  <c r="Z2604" i="3"/>
  <c r="Z2608" i="3"/>
  <c r="Z2612" i="3"/>
  <c r="Z2618" i="3"/>
  <c r="Z2620" i="3"/>
  <c r="Z2622" i="3"/>
  <c r="Z2624" i="3"/>
  <c r="Z2626" i="3"/>
  <c r="Z2628" i="3"/>
  <c r="Z2632" i="3"/>
  <c r="Z2636" i="3"/>
  <c r="Z2642" i="3"/>
  <c r="Z2644" i="3"/>
  <c r="Z2646" i="3"/>
  <c r="Z2648" i="3"/>
  <c r="Z2629" i="3"/>
  <c r="Z2631" i="3"/>
  <c r="Z2633" i="3"/>
  <c r="Z2635" i="3"/>
  <c r="Z2637" i="3"/>
  <c r="Z2639" i="3"/>
  <c r="Z2641" i="3"/>
  <c r="Z2643" i="3"/>
  <c r="Z2645" i="3"/>
  <c r="Z2647" i="3"/>
  <c r="Z2653" i="3"/>
  <c r="Z2657" i="3"/>
  <c r="Z2661" i="3"/>
  <c r="Z2667" i="3"/>
  <c r="Z2671" i="3"/>
  <c r="Z2656" i="3"/>
  <c r="Z2660" i="3"/>
  <c r="Z2664" i="3"/>
  <c r="Z2668" i="3"/>
  <c r="Z2670" i="3"/>
  <c r="Z2672" i="3"/>
  <c r="Z2676" i="3"/>
  <c r="Z2680" i="3"/>
  <c r="Z2684" i="3"/>
  <c r="Z2688" i="3"/>
  <c r="Z2692" i="3"/>
  <c r="Z2696" i="3"/>
  <c r="Z2675" i="3"/>
  <c r="Z2679" i="3"/>
  <c r="Z2683" i="3"/>
  <c r="Z2689" i="3"/>
  <c r="Z2693" i="3"/>
  <c r="Z2697" i="3"/>
  <c r="Z2574" i="3"/>
  <c r="Z2578" i="3"/>
  <c r="Z2582" i="3"/>
  <c r="Z2586" i="3"/>
  <c r="Z2588" i="3"/>
  <c r="Z2590" i="3"/>
  <c r="Z2573" i="3"/>
  <c r="Z2575" i="3"/>
  <c r="Z2579" i="3"/>
  <c r="Z2583" i="3"/>
  <c r="Z2585" i="3"/>
  <c r="Z2587" i="3"/>
  <c r="Z2589" i="3"/>
  <c r="Z2591" i="3"/>
  <c r="Z2601" i="3"/>
  <c r="Z2607" i="3"/>
  <c r="Z2611" i="3"/>
  <c r="Z2615" i="3"/>
  <c r="Z2602" i="3"/>
  <c r="Z2606" i="3"/>
  <c r="Z2610" i="3"/>
  <c r="Z2614" i="3"/>
  <c r="Z2617" i="3"/>
  <c r="Z2619" i="3"/>
  <c r="Z2621" i="3"/>
  <c r="Z2623" i="3"/>
  <c r="Z2625" i="3"/>
  <c r="Z2630" i="3"/>
  <c r="Z2634" i="3"/>
  <c r="Z2640" i="3"/>
  <c r="Z2651" i="3"/>
  <c r="Z2655" i="3"/>
  <c r="Z2659" i="3"/>
  <c r="Z2665" i="3"/>
  <c r="Z2669" i="3"/>
  <c r="Z2673" i="3"/>
  <c r="Z2650" i="3"/>
  <c r="Z2652" i="3"/>
  <c r="Z2654" i="3"/>
  <c r="Z2658" i="3"/>
  <c r="Z2662" i="3"/>
  <c r="Z2666" i="3"/>
  <c r="Z2678" i="3"/>
  <c r="Z2682" i="3"/>
  <c r="Z2686" i="3"/>
  <c r="Z2690" i="3"/>
  <c r="Z2694" i="3"/>
  <c r="Z2698" i="3"/>
  <c r="Z2677" i="3"/>
  <c r="Z2681" i="3"/>
  <c r="Z2685" i="3"/>
  <c r="Z2691" i="3"/>
  <c r="Z2695" i="3"/>
  <c r="S2559" i="3"/>
  <c r="Z2559" i="3" s="1"/>
  <c r="U2569" i="3"/>
  <c r="W2569" i="3"/>
  <c r="Y2569" i="3"/>
  <c r="T2569" i="3"/>
  <c r="V2569" i="3"/>
  <c r="X2569" i="3"/>
  <c r="U2567" i="3"/>
  <c r="W2567" i="3"/>
  <c r="Y2567" i="3"/>
  <c r="T2567" i="3"/>
  <c r="V2567" i="3"/>
  <c r="X2567" i="3"/>
  <c r="U2563" i="3"/>
  <c r="W2563" i="3"/>
  <c r="Y2563" i="3"/>
  <c r="T2563" i="3"/>
  <c r="V2563" i="3"/>
  <c r="X2563" i="3"/>
  <c r="U2561" i="3"/>
  <c r="W2561" i="3"/>
  <c r="Y2561" i="3"/>
  <c r="T2561" i="3"/>
  <c r="V2561" i="3"/>
  <c r="X2561" i="3"/>
  <c r="U2565" i="3"/>
  <c r="W2565" i="3"/>
  <c r="Y2565" i="3"/>
  <c r="T2565" i="3"/>
  <c r="V2565" i="3"/>
  <c r="X2565" i="3"/>
  <c r="T2568" i="3"/>
  <c r="V2568" i="3"/>
  <c r="X2568" i="3"/>
  <c r="U2568" i="3"/>
  <c r="W2568" i="3"/>
  <c r="Y2568" i="3"/>
  <c r="T2566" i="3"/>
  <c r="V2566" i="3"/>
  <c r="X2566" i="3"/>
  <c r="U2566" i="3"/>
  <c r="W2566" i="3"/>
  <c r="Y2566" i="3"/>
  <c r="T2564" i="3"/>
  <c r="V2564" i="3"/>
  <c r="X2564" i="3"/>
  <c r="U2564" i="3"/>
  <c r="W2564" i="3"/>
  <c r="Y2564" i="3"/>
  <c r="T2562" i="3"/>
  <c r="V2562" i="3"/>
  <c r="X2562" i="3"/>
  <c r="U2562" i="3"/>
  <c r="W2562" i="3"/>
  <c r="Y2562" i="3"/>
  <c r="T2560" i="3"/>
  <c r="V2560" i="3"/>
  <c r="X2560" i="3"/>
  <c r="U2560" i="3"/>
  <c r="W2560" i="3"/>
  <c r="Y2560" i="3"/>
  <c r="S2548" i="3"/>
  <c r="Z2548" i="3" s="1"/>
  <c r="T2557" i="3"/>
  <c r="T2555" i="3"/>
  <c r="T2553" i="3"/>
  <c r="T2551" i="3"/>
  <c r="T2549" i="3"/>
  <c r="U2558" i="3"/>
  <c r="W2558" i="3"/>
  <c r="Y2558" i="3"/>
  <c r="T2558" i="3"/>
  <c r="V2558" i="3"/>
  <c r="X2558" i="3"/>
  <c r="U2556" i="3"/>
  <c r="W2556" i="3"/>
  <c r="Y2556" i="3"/>
  <c r="T2556" i="3"/>
  <c r="V2556" i="3"/>
  <c r="X2556" i="3"/>
  <c r="U2554" i="3"/>
  <c r="W2554" i="3"/>
  <c r="Y2554" i="3"/>
  <c r="T2554" i="3"/>
  <c r="V2554" i="3"/>
  <c r="X2554" i="3"/>
  <c r="U2552" i="3"/>
  <c r="W2552" i="3"/>
  <c r="Y2552" i="3"/>
  <c r="T2552" i="3"/>
  <c r="V2552" i="3"/>
  <c r="X2552" i="3"/>
  <c r="U2550" i="3"/>
  <c r="W2550" i="3"/>
  <c r="Y2550" i="3"/>
  <c r="T2550" i="3"/>
  <c r="V2550" i="3"/>
  <c r="X2550" i="3"/>
  <c r="X2557" i="3"/>
  <c r="U2557" i="3"/>
  <c r="W2557" i="3"/>
  <c r="Y2557" i="3"/>
  <c r="U2555" i="3"/>
  <c r="W2555" i="3"/>
  <c r="Y2555" i="3"/>
  <c r="U2553" i="3"/>
  <c r="W2553" i="3"/>
  <c r="Y2553" i="3"/>
  <c r="U2551" i="3"/>
  <c r="W2551" i="3"/>
  <c r="Y2551" i="3"/>
  <c r="U2549" i="3"/>
  <c r="W2549" i="3"/>
  <c r="Y2549" i="3"/>
  <c r="X2555" i="3"/>
  <c r="X2553" i="3"/>
  <c r="X2551" i="3"/>
  <c r="X2549" i="3"/>
  <c r="V2557" i="3"/>
  <c r="V2555" i="3"/>
  <c r="V2553" i="3"/>
  <c r="V2551" i="3"/>
  <c r="V2549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P2524" i="3"/>
  <c r="P2525" i="3"/>
  <c r="P2526" i="3"/>
  <c r="P2527" i="3"/>
  <c r="P2528" i="3"/>
  <c r="P2529" i="3"/>
  <c r="P2530" i="3"/>
  <c r="P2531" i="3"/>
  <c r="P2532" i="3"/>
  <c r="P2533" i="3"/>
  <c r="P2534" i="3"/>
  <c r="P2535" i="3"/>
  <c r="P2536" i="3"/>
  <c r="P2537" i="3"/>
  <c r="P2538" i="3"/>
  <c r="P2539" i="3"/>
  <c r="P2540" i="3"/>
  <c r="P2541" i="3"/>
  <c r="P2542" i="3"/>
  <c r="P2543" i="3"/>
  <c r="P2544" i="3"/>
  <c r="P2545" i="3"/>
  <c r="P2546" i="3"/>
  <c r="P2547" i="3"/>
  <c r="Q2524" i="3"/>
  <c r="Q2525" i="3"/>
  <c r="Q2526" i="3"/>
  <c r="Q2527" i="3"/>
  <c r="Q2528" i="3"/>
  <c r="Q2529" i="3"/>
  <c r="Q2530" i="3"/>
  <c r="Q2531" i="3"/>
  <c r="Q2532" i="3"/>
  <c r="Q2533" i="3"/>
  <c r="Q2534" i="3"/>
  <c r="Q2535" i="3"/>
  <c r="Q2536" i="3"/>
  <c r="Q2537" i="3"/>
  <c r="Q2538" i="3"/>
  <c r="Q2539" i="3"/>
  <c r="Q2540" i="3"/>
  <c r="Q2541" i="3"/>
  <c r="Q2542" i="3"/>
  <c r="Q2543" i="3"/>
  <c r="Q2544" i="3"/>
  <c r="Q2545" i="3"/>
  <c r="Q2546" i="3"/>
  <c r="Q2547" i="3"/>
  <c r="R2524" i="3"/>
  <c r="R2525" i="3"/>
  <c r="R2526" i="3"/>
  <c r="R2527" i="3"/>
  <c r="R2528" i="3"/>
  <c r="R2529" i="3"/>
  <c r="R2530" i="3"/>
  <c r="R2531" i="3"/>
  <c r="R2532" i="3"/>
  <c r="R2533" i="3"/>
  <c r="R2534" i="3"/>
  <c r="R2535" i="3"/>
  <c r="R2536" i="3"/>
  <c r="R2537" i="3"/>
  <c r="R2538" i="3"/>
  <c r="R2539" i="3"/>
  <c r="R2540" i="3"/>
  <c r="R2541" i="3"/>
  <c r="R2542" i="3"/>
  <c r="R2543" i="3"/>
  <c r="R2544" i="3"/>
  <c r="R2545" i="3"/>
  <c r="R2546" i="3"/>
  <c r="R2547" i="3"/>
  <c r="S2525" i="3"/>
  <c r="S2526" i="3"/>
  <c r="S2527" i="3"/>
  <c r="S2528" i="3"/>
  <c r="S2529" i="3"/>
  <c r="S2530" i="3"/>
  <c r="S2531" i="3"/>
  <c r="S2532" i="3"/>
  <c r="S2533" i="3"/>
  <c r="S2534" i="3"/>
  <c r="S2536" i="3"/>
  <c r="S2537" i="3"/>
  <c r="S2538" i="3"/>
  <c r="S2539" i="3"/>
  <c r="S2540" i="3"/>
  <c r="S2541" i="3"/>
  <c r="S2542" i="3"/>
  <c r="S2543" i="3"/>
  <c r="S2544" i="3"/>
  <c r="S2545" i="3"/>
  <c r="S2546" i="3"/>
  <c r="S2547" i="3"/>
  <c r="T2524" i="3"/>
  <c r="T2535" i="3"/>
  <c r="U2524" i="3"/>
  <c r="U2535" i="3"/>
  <c r="V2524" i="3"/>
  <c r="V2535" i="3"/>
  <c r="W2524" i="3"/>
  <c r="W2535" i="3"/>
  <c r="X2524" i="3"/>
  <c r="X2535" i="3"/>
  <c r="AA2524" i="3"/>
  <c r="AA2525" i="3"/>
  <c r="AA2526" i="3"/>
  <c r="AA2527" i="3"/>
  <c r="AA2528" i="3"/>
  <c r="AA2529" i="3"/>
  <c r="AA2530" i="3"/>
  <c r="AA2531" i="3"/>
  <c r="AA2532" i="3"/>
  <c r="AA2533" i="3"/>
  <c r="AA2534" i="3"/>
  <c r="AA2535" i="3"/>
  <c r="AA2536" i="3"/>
  <c r="AA2537" i="3"/>
  <c r="AA2538" i="3"/>
  <c r="AA2539" i="3"/>
  <c r="AA2540" i="3"/>
  <c r="AA2541" i="3"/>
  <c r="AA2542" i="3"/>
  <c r="AA2543" i="3"/>
  <c r="AA2544" i="3"/>
  <c r="AA2545" i="3"/>
  <c r="AA2546" i="3"/>
  <c r="AA2547" i="3"/>
  <c r="AB2524" i="3"/>
  <c r="O2524" i="3" s="1"/>
  <c r="Y2524" i="3" s="1"/>
  <c r="AB2525" i="3"/>
  <c r="O2525" i="3" s="1"/>
  <c r="AB2526" i="3"/>
  <c r="O2526" i="3" s="1"/>
  <c r="AB2527" i="3"/>
  <c r="O2527" i="3" s="1"/>
  <c r="AB2528" i="3"/>
  <c r="O2528" i="3" s="1"/>
  <c r="AB2529" i="3"/>
  <c r="O2529" i="3" s="1"/>
  <c r="AB2530" i="3"/>
  <c r="O2530" i="3" s="1"/>
  <c r="AB2531" i="3"/>
  <c r="O2531" i="3" s="1"/>
  <c r="AB2532" i="3"/>
  <c r="O2532" i="3" s="1"/>
  <c r="AB2533" i="3"/>
  <c r="O2533" i="3" s="1"/>
  <c r="AB2534" i="3"/>
  <c r="O2534" i="3" s="1"/>
  <c r="AB2535" i="3"/>
  <c r="O2535" i="3" s="1"/>
  <c r="Y2535" i="3" s="1"/>
  <c r="AB2536" i="3"/>
  <c r="O2536" i="3" s="1"/>
  <c r="AB2537" i="3"/>
  <c r="O2537" i="3" s="1"/>
  <c r="AB2538" i="3"/>
  <c r="O2538" i="3" s="1"/>
  <c r="AB2539" i="3"/>
  <c r="O2539" i="3" s="1"/>
  <c r="AB2540" i="3"/>
  <c r="O2540" i="3" s="1"/>
  <c r="AB2541" i="3"/>
  <c r="O2541" i="3" s="1"/>
  <c r="AB2542" i="3"/>
  <c r="O2542" i="3" s="1"/>
  <c r="AB2543" i="3"/>
  <c r="O2543" i="3" s="1"/>
  <c r="AB2544" i="3"/>
  <c r="O2544" i="3" s="1"/>
  <c r="AB2545" i="3"/>
  <c r="O2545" i="3" s="1"/>
  <c r="AB2546" i="3"/>
  <c r="O2546" i="3" s="1"/>
  <c r="AB2547" i="3"/>
  <c r="O2547" i="3" s="1"/>
  <c r="AC2524" i="3"/>
  <c r="N2524" i="3" s="1"/>
  <c r="S2524" i="3" s="1"/>
  <c r="AC2525" i="3"/>
  <c r="N2525" i="3" s="1"/>
  <c r="AC2526" i="3"/>
  <c r="N2526" i="3" s="1"/>
  <c r="AC2527" i="3"/>
  <c r="N2527" i="3" s="1"/>
  <c r="AC2528" i="3"/>
  <c r="N2528" i="3" s="1"/>
  <c r="AC2529" i="3"/>
  <c r="N2529" i="3" s="1"/>
  <c r="AC2530" i="3"/>
  <c r="N2530" i="3" s="1"/>
  <c r="AC2531" i="3"/>
  <c r="N2531" i="3" s="1"/>
  <c r="AC2532" i="3"/>
  <c r="N2532" i="3" s="1"/>
  <c r="AC2533" i="3"/>
  <c r="N2533" i="3" s="1"/>
  <c r="AC2534" i="3"/>
  <c r="N2534" i="3" s="1"/>
  <c r="AC2535" i="3"/>
  <c r="N2535" i="3" s="1"/>
  <c r="S2535" i="3" s="1"/>
  <c r="AC2536" i="3"/>
  <c r="N2536" i="3" s="1"/>
  <c r="AC2537" i="3"/>
  <c r="N2537" i="3" s="1"/>
  <c r="AC2538" i="3"/>
  <c r="N2538" i="3" s="1"/>
  <c r="AC2539" i="3"/>
  <c r="N2539" i="3" s="1"/>
  <c r="AC2540" i="3"/>
  <c r="N2540" i="3" s="1"/>
  <c r="AC2541" i="3"/>
  <c r="N2541" i="3" s="1"/>
  <c r="AC2542" i="3"/>
  <c r="N2542" i="3" s="1"/>
  <c r="AC2543" i="3"/>
  <c r="N2543" i="3" s="1"/>
  <c r="AC2544" i="3"/>
  <c r="N2544" i="3" s="1"/>
  <c r="AC2545" i="3"/>
  <c r="N2545" i="3" s="1"/>
  <c r="AC2546" i="3"/>
  <c r="N2546" i="3" s="1"/>
  <c r="AC2547" i="3"/>
  <c r="N2547" i="3" s="1"/>
  <c r="AK2524" i="3"/>
  <c r="AK2525" i="3"/>
  <c r="AK2526" i="3"/>
  <c r="AK2527" i="3"/>
  <c r="AK2528" i="3"/>
  <c r="AK2529" i="3"/>
  <c r="AK2530" i="3"/>
  <c r="AK2531" i="3"/>
  <c r="AK2532" i="3"/>
  <c r="AK2533" i="3"/>
  <c r="AK2534" i="3"/>
  <c r="AK2535" i="3"/>
  <c r="AK2536" i="3"/>
  <c r="AK2537" i="3"/>
  <c r="AK2538" i="3"/>
  <c r="AK2539" i="3"/>
  <c r="AK2540" i="3"/>
  <c r="AK2541" i="3"/>
  <c r="AK2542" i="3"/>
  <c r="AK2543" i="3"/>
  <c r="AK2544" i="3"/>
  <c r="AK2545" i="3"/>
  <c r="AK2546" i="3"/>
  <c r="AK2547" i="3"/>
  <c r="M142" i="10"/>
  <c r="M2513" i="3"/>
  <c r="M2514" i="3"/>
  <c r="M2515" i="3"/>
  <c r="M2516" i="3"/>
  <c r="M2517" i="3"/>
  <c r="M2518" i="3"/>
  <c r="M2519" i="3"/>
  <c r="M2520" i="3"/>
  <c r="M2521" i="3"/>
  <c r="M2522" i="3"/>
  <c r="M2523" i="3"/>
  <c r="P2513" i="3"/>
  <c r="P2514" i="3"/>
  <c r="P2515" i="3"/>
  <c r="P2516" i="3"/>
  <c r="P2517" i="3"/>
  <c r="P2518" i="3"/>
  <c r="P2519" i="3"/>
  <c r="P2520" i="3"/>
  <c r="P2521" i="3"/>
  <c r="P2522" i="3"/>
  <c r="P2523" i="3"/>
  <c r="Q2513" i="3"/>
  <c r="Q2514" i="3"/>
  <c r="Q2515" i="3"/>
  <c r="Q2516" i="3"/>
  <c r="Q2517" i="3"/>
  <c r="Q2518" i="3"/>
  <c r="Q2519" i="3"/>
  <c r="Q2520" i="3"/>
  <c r="Q2521" i="3"/>
  <c r="Q2522" i="3"/>
  <c r="Q2523" i="3"/>
  <c r="R2513" i="3"/>
  <c r="R2514" i="3"/>
  <c r="R2515" i="3"/>
  <c r="R2516" i="3"/>
  <c r="R2517" i="3"/>
  <c r="R2518" i="3"/>
  <c r="R2519" i="3"/>
  <c r="R2520" i="3"/>
  <c r="R2521" i="3"/>
  <c r="R2522" i="3"/>
  <c r="R2523" i="3"/>
  <c r="S2514" i="3"/>
  <c r="S2515" i="3"/>
  <c r="S2516" i="3"/>
  <c r="S2517" i="3"/>
  <c r="S2518" i="3"/>
  <c r="S2519" i="3"/>
  <c r="S2520" i="3"/>
  <c r="S2521" i="3"/>
  <c r="S2522" i="3"/>
  <c r="S2523" i="3"/>
  <c r="T2513" i="3"/>
  <c r="U2513" i="3"/>
  <c r="V2513" i="3"/>
  <c r="W2513" i="3"/>
  <c r="X2513" i="3"/>
  <c r="AA2513" i="3"/>
  <c r="AA2514" i="3"/>
  <c r="AA2515" i="3"/>
  <c r="AA2516" i="3"/>
  <c r="AA2517" i="3"/>
  <c r="AA2518" i="3"/>
  <c r="AA2519" i="3"/>
  <c r="AA2520" i="3"/>
  <c r="AA2521" i="3"/>
  <c r="AA2522" i="3"/>
  <c r="AA2523" i="3"/>
  <c r="AB2513" i="3"/>
  <c r="O2513" i="3" s="1"/>
  <c r="Y2513" i="3" s="1"/>
  <c r="AB2514" i="3"/>
  <c r="O2514" i="3" s="1"/>
  <c r="AB2515" i="3"/>
  <c r="O2515" i="3" s="1"/>
  <c r="AB2516" i="3"/>
  <c r="O2516" i="3" s="1"/>
  <c r="AB2517" i="3"/>
  <c r="O2517" i="3" s="1"/>
  <c r="AB2518" i="3"/>
  <c r="O2518" i="3" s="1"/>
  <c r="AB2519" i="3"/>
  <c r="O2519" i="3" s="1"/>
  <c r="AB2520" i="3"/>
  <c r="O2520" i="3" s="1"/>
  <c r="AB2521" i="3"/>
  <c r="O2521" i="3" s="1"/>
  <c r="AB2522" i="3"/>
  <c r="O2522" i="3" s="1"/>
  <c r="AB2523" i="3"/>
  <c r="O2523" i="3" s="1"/>
  <c r="AC2513" i="3"/>
  <c r="N2513" i="3" s="1"/>
  <c r="AC2514" i="3"/>
  <c r="N2514" i="3" s="1"/>
  <c r="AC2515" i="3"/>
  <c r="N2515" i="3" s="1"/>
  <c r="AC2516" i="3"/>
  <c r="N2516" i="3" s="1"/>
  <c r="AC2517" i="3"/>
  <c r="N2517" i="3" s="1"/>
  <c r="AC2518" i="3"/>
  <c r="N2518" i="3" s="1"/>
  <c r="AC2519" i="3"/>
  <c r="N2519" i="3" s="1"/>
  <c r="AC2520" i="3"/>
  <c r="N2520" i="3" s="1"/>
  <c r="AC2521" i="3"/>
  <c r="N2521" i="3" s="1"/>
  <c r="AC2522" i="3"/>
  <c r="N2522" i="3" s="1"/>
  <c r="AC2523" i="3"/>
  <c r="N2523" i="3" s="1"/>
  <c r="AK2513" i="3"/>
  <c r="AK2514" i="3"/>
  <c r="AK2515" i="3"/>
  <c r="AK2516" i="3"/>
  <c r="AK2517" i="3"/>
  <c r="AK2518" i="3"/>
  <c r="AK2519" i="3"/>
  <c r="AK2520" i="3"/>
  <c r="AK2521" i="3"/>
  <c r="AK2522" i="3"/>
  <c r="AK2523" i="3"/>
  <c r="M141" i="10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P2489" i="3"/>
  <c r="P2490" i="3"/>
  <c r="P2491" i="3"/>
  <c r="P2492" i="3"/>
  <c r="P2493" i="3"/>
  <c r="P2494" i="3"/>
  <c r="P2495" i="3"/>
  <c r="P2496" i="3"/>
  <c r="P2497" i="3"/>
  <c r="P2498" i="3"/>
  <c r="P2499" i="3"/>
  <c r="P2500" i="3"/>
  <c r="P2501" i="3"/>
  <c r="P2502" i="3"/>
  <c r="P2503" i="3"/>
  <c r="P2504" i="3"/>
  <c r="P2505" i="3"/>
  <c r="P2506" i="3"/>
  <c r="P2507" i="3"/>
  <c r="P2508" i="3"/>
  <c r="P2509" i="3"/>
  <c r="P2510" i="3"/>
  <c r="P2511" i="3"/>
  <c r="P2512" i="3"/>
  <c r="Q2489" i="3"/>
  <c r="Q2490" i="3"/>
  <c r="Q2491" i="3"/>
  <c r="Q2492" i="3"/>
  <c r="Q2493" i="3"/>
  <c r="Q2494" i="3"/>
  <c r="Q2495" i="3"/>
  <c r="Q2496" i="3"/>
  <c r="Q2497" i="3"/>
  <c r="Q2498" i="3"/>
  <c r="Q2499" i="3"/>
  <c r="Q2500" i="3"/>
  <c r="Q2501" i="3"/>
  <c r="Q2502" i="3"/>
  <c r="Q2503" i="3"/>
  <c r="Q2504" i="3"/>
  <c r="Q2505" i="3"/>
  <c r="Q2506" i="3"/>
  <c r="Q2507" i="3"/>
  <c r="Q2508" i="3"/>
  <c r="Q2509" i="3"/>
  <c r="Q2510" i="3"/>
  <c r="Q2511" i="3"/>
  <c r="Q2512" i="3"/>
  <c r="R2489" i="3"/>
  <c r="R2490" i="3"/>
  <c r="R2491" i="3"/>
  <c r="R2492" i="3"/>
  <c r="R2493" i="3"/>
  <c r="R2494" i="3"/>
  <c r="R2495" i="3"/>
  <c r="R2496" i="3"/>
  <c r="R2497" i="3"/>
  <c r="R2498" i="3"/>
  <c r="R2499" i="3"/>
  <c r="R2500" i="3"/>
  <c r="R2501" i="3"/>
  <c r="R2502" i="3"/>
  <c r="R2503" i="3"/>
  <c r="R2504" i="3"/>
  <c r="R2505" i="3"/>
  <c r="R2506" i="3"/>
  <c r="R2507" i="3"/>
  <c r="R2508" i="3"/>
  <c r="R2509" i="3"/>
  <c r="R2510" i="3"/>
  <c r="R2511" i="3"/>
  <c r="R2512" i="3"/>
  <c r="S2490" i="3"/>
  <c r="S2491" i="3"/>
  <c r="S2492" i="3"/>
  <c r="S2493" i="3"/>
  <c r="S2494" i="3"/>
  <c r="S2495" i="3"/>
  <c r="S2496" i="3"/>
  <c r="S2497" i="3"/>
  <c r="S2498" i="3"/>
  <c r="S2499" i="3"/>
  <c r="S2501" i="3"/>
  <c r="S2502" i="3"/>
  <c r="S2503" i="3"/>
  <c r="S2504" i="3"/>
  <c r="S2505" i="3"/>
  <c r="S2506" i="3"/>
  <c r="S2507" i="3"/>
  <c r="S2508" i="3"/>
  <c r="S2509" i="3"/>
  <c r="S2510" i="3"/>
  <c r="S2511" i="3"/>
  <c r="S2512" i="3"/>
  <c r="T2489" i="3"/>
  <c r="T2500" i="3"/>
  <c r="U2489" i="3"/>
  <c r="U2500" i="3"/>
  <c r="V2489" i="3"/>
  <c r="V2500" i="3"/>
  <c r="W2489" i="3"/>
  <c r="W2500" i="3"/>
  <c r="X2489" i="3"/>
  <c r="X2500" i="3"/>
  <c r="AA2489" i="3"/>
  <c r="AA2490" i="3"/>
  <c r="AA2491" i="3"/>
  <c r="AA2492" i="3"/>
  <c r="AA2493" i="3"/>
  <c r="AA2494" i="3"/>
  <c r="AA2495" i="3"/>
  <c r="AA2496" i="3"/>
  <c r="AA2497" i="3"/>
  <c r="AA2498" i="3"/>
  <c r="AA2499" i="3"/>
  <c r="AA2500" i="3"/>
  <c r="AA2501" i="3"/>
  <c r="AA2502" i="3"/>
  <c r="AA2503" i="3"/>
  <c r="AA2504" i="3"/>
  <c r="AA2505" i="3"/>
  <c r="AA2506" i="3"/>
  <c r="AA2507" i="3"/>
  <c r="AA2508" i="3"/>
  <c r="AA2509" i="3"/>
  <c r="AA2510" i="3"/>
  <c r="AA2511" i="3"/>
  <c r="AA2512" i="3"/>
  <c r="AB2489" i="3"/>
  <c r="O2489" i="3" s="1"/>
  <c r="Y2489" i="3" s="1"/>
  <c r="AB2490" i="3"/>
  <c r="O2490" i="3" s="1"/>
  <c r="AB2491" i="3"/>
  <c r="O2491" i="3" s="1"/>
  <c r="AB2492" i="3"/>
  <c r="O2492" i="3" s="1"/>
  <c r="AB2493" i="3"/>
  <c r="O2493" i="3" s="1"/>
  <c r="AB2494" i="3"/>
  <c r="O2494" i="3" s="1"/>
  <c r="AB2495" i="3"/>
  <c r="O2495" i="3" s="1"/>
  <c r="AB2496" i="3"/>
  <c r="O2496" i="3" s="1"/>
  <c r="AB2497" i="3"/>
  <c r="O2497" i="3" s="1"/>
  <c r="AB2498" i="3"/>
  <c r="O2498" i="3" s="1"/>
  <c r="AB2499" i="3"/>
  <c r="O2499" i="3" s="1"/>
  <c r="AB2500" i="3"/>
  <c r="O2500" i="3" s="1"/>
  <c r="Y2500" i="3" s="1"/>
  <c r="AB2501" i="3"/>
  <c r="O2501" i="3" s="1"/>
  <c r="AB2502" i="3"/>
  <c r="O2502" i="3" s="1"/>
  <c r="AB2503" i="3"/>
  <c r="O2503" i="3" s="1"/>
  <c r="AB2504" i="3"/>
  <c r="O2504" i="3" s="1"/>
  <c r="AB2505" i="3"/>
  <c r="O2505" i="3" s="1"/>
  <c r="AB2506" i="3"/>
  <c r="O2506" i="3" s="1"/>
  <c r="AB2507" i="3"/>
  <c r="O2507" i="3" s="1"/>
  <c r="AB2508" i="3"/>
  <c r="O2508" i="3" s="1"/>
  <c r="AB2509" i="3"/>
  <c r="O2509" i="3" s="1"/>
  <c r="AB2510" i="3"/>
  <c r="O2510" i="3" s="1"/>
  <c r="AB2511" i="3"/>
  <c r="O2511" i="3" s="1"/>
  <c r="AB2512" i="3"/>
  <c r="O2512" i="3" s="1"/>
  <c r="AC2489" i="3"/>
  <c r="N2489" i="3" s="1"/>
  <c r="S2489" i="3" s="1"/>
  <c r="AC2490" i="3"/>
  <c r="N2490" i="3" s="1"/>
  <c r="AC2491" i="3"/>
  <c r="N2491" i="3" s="1"/>
  <c r="AC2492" i="3"/>
  <c r="N2492" i="3" s="1"/>
  <c r="AC2493" i="3"/>
  <c r="N2493" i="3" s="1"/>
  <c r="AC2494" i="3"/>
  <c r="N2494" i="3" s="1"/>
  <c r="AC2495" i="3"/>
  <c r="N2495" i="3" s="1"/>
  <c r="AC2496" i="3"/>
  <c r="N2496" i="3" s="1"/>
  <c r="AC2497" i="3"/>
  <c r="N2497" i="3" s="1"/>
  <c r="AC2498" i="3"/>
  <c r="N2498" i="3" s="1"/>
  <c r="AC2499" i="3"/>
  <c r="N2499" i="3" s="1"/>
  <c r="AC2500" i="3"/>
  <c r="N2500" i="3" s="1"/>
  <c r="S2500" i="3" s="1"/>
  <c r="AC2501" i="3"/>
  <c r="N2501" i="3" s="1"/>
  <c r="AC2502" i="3"/>
  <c r="N2502" i="3" s="1"/>
  <c r="AC2503" i="3"/>
  <c r="N2503" i="3" s="1"/>
  <c r="AC2504" i="3"/>
  <c r="N2504" i="3" s="1"/>
  <c r="AC2505" i="3"/>
  <c r="N2505" i="3" s="1"/>
  <c r="AC2506" i="3"/>
  <c r="N2506" i="3" s="1"/>
  <c r="AC2507" i="3"/>
  <c r="N2507" i="3" s="1"/>
  <c r="AC2508" i="3"/>
  <c r="N2508" i="3" s="1"/>
  <c r="AC2509" i="3"/>
  <c r="N2509" i="3" s="1"/>
  <c r="AC2510" i="3"/>
  <c r="N2510" i="3" s="1"/>
  <c r="AC2511" i="3"/>
  <c r="N2511" i="3" s="1"/>
  <c r="AC2512" i="3"/>
  <c r="N2512" i="3" s="1"/>
  <c r="AK2489" i="3"/>
  <c r="AK2490" i="3"/>
  <c r="AK2491" i="3"/>
  <c r="AK2492" i="3"/>
  <c r="AK2493" i="3"/>
  <c r="AK2494" i="3"/>
  <c r="AK2495" i="3"/>
  <c r="AK2496" i="3"/>
  <c r="AK2497" i="3"/>
  <c r="AK2498" i="3"/>
  <c r="AK2499" i="3"/>
  <c r="AK2500" i="3"/>
  <c r="AK2501" i="3"/>
  <c r="AK2502" i="3"/>
  <c r="AK2503" i="3"/>
  <c r="AK2504" i="3"/>
  <c r="AK2505" i="3"/>
  <c r="AK2506" i="3"/>
  <c r="AK2507" i="3"/>
  <c r="AK2508" i="3"/>
  <c r="AK2509" i="3"/>
  <c r="AK2510" i="3"/>
  <c r="AK2511" i="3"/>
  <c r="AK2512" i="3"/>
  <c r="M140" i="10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P2467" i="3"/>
  <c r="P2468" i="3"/>
  <c r="P2469" i="3"/>
  <c r="P2470" i="3"/>
  <c r="P2471" i="3"/>
  <c r="P2472" i="3"/>
  <c r="P2473" i="3"/>
  <c r="P2474" i="3"/>
  <c r="P2475" i="3"/>
  <c r="P2476" i="3"/>
  <c r="P2477" i="3"/>
  <c r="P2478" i="3"/>
  <c r="P2479" i="3"/>
  <c r="P2480" i="3"/>
  <c r="P2481" i="3"/>
  <c r="P2482" i="3"/>
  <c r="P2483" i="3"/>
  <c r="P2484" i="3"/>
  <c r="P2485" i="3"/>
  <c r="P2486" i="3"/>
  <c r="P2487" i="3"/>
  <c r="P2488" i="3"/>
  <c r="Q2467" i="3"/>
  <c r="Q2468" i="3"/>
  <c r="Q2469" i="3"/>
  <c r="Q2470" i="3"/>
  <c r="Q2471" i="3"/>
  <c r="Q2472" i="3"/>
  <c r="Q2473" i="3"/>
  <c r="Q2474" i="3"/>
  <c r="Q2475" i="3"/>
  <c r="Q2476" i="3"/>
  <c r="Q2477" i="3"/>
  <c r="Q2478" i="3"/>
  <c r="Q2479" i="3"/>
  <c r="Q2480" i="3"/>
  <c r="Q2481" i="3"/>
  <c r="Q2482" i="3"/>
  <c r="Q2483" i="3"/>
  <c r="Q2484" i="3"/>
  <c r="Q2485" i="3"/>
  <c r="Q2486" i="3"/>
  <c r="Q2487" i="3"/>
  <c r="Q2488" i="3"/>
  <c r="R2467" i="3"/>
  <c r="R2468" i="3"/>
  <c r="R2469" i="3"/>
  <c r="R2470" i="3"/>
  <c r="R2471" i="3"/>
  <c r="R2472" i="3"/>
  <c r="R2473" i="3"/>
  <c r="R2474" i="3"/>
  <c r="R2475" i="3"/>
  <c r="R2476" i="3"/>
  <c r="R2477" i="3"/>
  <c r="R2478" i="3"/>
  <c r="R2479" i="3"/>
  <c r="R2480" i="3"/>
  <c r="R2481" i="3"/>
  <c r="R2482" i="3"/>
  <c r="R2483" i="3"/>
  <c r="R2484" i="3"/>
  <c r="R2485" i="3"/>
  <c r="R2486" i="3"/>
  <c r="R2487" i="3"/>
  <c r="R2488" i="3"/>
  <c r="S2468" i="3"/>
  <c r="S2469" i="3"/>
  <c r="S2470" i="3"/>
  <c r="S2471" i="3"/>
  <c r="S2472" i="3"/>
  <c r="S2473" i="3"/>
  <c r="S2474" i="3"/>
  <c r="S2475" i="3"/>
  <c r="S2476" i="3"/>
  <c r="S2477" i="3"/>
  <c r="S2479" i="3"/>
  <c r="S2480" i="3"/>
  <c r="S2481" i="3"/>
  <c r="S2482" i="3"/>
  <c r="S2483" i="3"/>
  <c r="S2484" i="3"/>
  <c r="S2485" i="3"/>
  <c r="S2486" i="3"/>
  <c r="S2487" i="3"/>
  <c r="S2488" i="3"/>
  <c r="T2467" i="3"/>
  <c r="T2478" i="3"/>
  <c r="U2467" i="3"/>
  <c r="U2478" i="3"/>
  <c r="V2467" i="3"/>
  <c r="V2478" i="3"/>
  <c r="W2467" i="3"/>
  <c r="W2478" i="3"/>
  <c r="X2467" i="3"/>
  <c r="X2478" i="3"/>
  <c r="AA2467" i="3"/>
  <c r="AA2468" i="3"/>
  <c r="AA2469" i="3"/>
  <c r="AA2470" i="3"/>
  <c r="AA2471" i="3"/>
  <c r="AA2472" i="3"/>
  <c r="AA2473" i="3"/>
  <c r="AA2474" i="3"/>
  <c r="AA2475" i="3"/>
  <c r="AA2476" i="3"/>
  <c r="AA2477" i="3"/>
  <c r="AA2478" i="3"/>
  <c r="AA2479" i="3"/>
  <c r="AA2480" i="3"/>
  <c r="AA2481" i="3"/>
  <c r="AA2482" i="3"/>
  <c r="AA2483" i="3"/>
  <c r="AA2484" i="3"/>
  <c r="AA2485" i="3"/>
  <c r="AA2486" i="3"/>
  <c r="AA2487" i="3"/>
  <c r="AA2488" i="3"/>
  <c r="AB2467" i="3"/>
  <c r="O2467" i="3" s="1"/>
  <c r="Y2467" i="3" s="1"/>
  <c r="AB2468" i="3"/>
  <c r="O2468" i="3" s="1"/>
  <c r="AB2469" i="3"/>
  <c r="O2469" i="3" s="1"/>
  <c r="AB2470" i="3"/>
  <c r="O2470" i="3" s="1"/>
  <c r="AB2471" i="3"/>
  <c r="O2471" i="3" s="1"/>
  <c r="AB2472" i="3"/>
  <c r="O2472" i="3" s="1"/>
  <c r="AB2473" i="3"/>
  <c r="O2473" i="3" s="1"/>
  <c r="AB2474" i="3"/>
  <c r="O2474" i="3" s="1"/>
  <c r="AB2475" i="3"/>
  <c r="O2475" i="3" s="1"/>
  <c r="AB2476" i="3"/>
  <c r="O2476" i="3" s="1"/>
  <c r="AB2477" i="3"/>
  <c r="O2477" i="3" s="1"/>
  <c r="AB2478" i="3"/>
  <c r="O2478" i="3" s="1"/>
  <c r="Y2478" i="3" s="1"/>
  <c r="AB2479" i="3"/>
  <c r="O2479" i="3" s="1"/>
  <c r="AB2480" i="3"/>
  <c r="O2480" i="3" s="1"/>
  <c r="AB2481" i="3"/>
  <c r="O2481" i="3" s="1"/>
  <c r="AB2482" i="3"/>
  <c r="O2482" i="3" s="1"/>
  <c r="AB2483" i="3"/>
  <c r="O2483" i="3" s="1"/>
  <c r="AB2484" i="3"/>
  <c r="O2484" i="3" s="1"/>
  <c r="AB2485" i="3"/>
  <c r="O2485" i="3" s="1"/>
  <c r="AB2486" i="3"/>
  <c r="O2486" i="3" s="1"/>
  <c r="AB2487" i="3"/>
  <c r="O2487" i="3" s="1"/>
  <c r="AB2488" i="3"/>
  <c r="O2488" i="3" s="1"/>
  <c r="AC2467" i="3"/>
  <c r="N2467" i="3" s="1"/>
  <c r="S2467" i="3" s="1"/>
  <c r="AC2468" i="3"/>
  <c r="N2468" i="3" s="1"/>
  <c r="AC2469" i="3"/>
  <c r="N2469" i="3" s="1"/>
  <c r="AC2470" i="3"/>
  <c r="N2470" i="3" s="1"/>
  <c r="AC2471" i="3"/>
  <c r="N2471" i="3" s="1"/>
  <c r="AC2472" i="3"/>
  <c r="N2472" i="3" s="1"/>
  <c r="AC2473" i="3"/>
  <c r="N2473" i="3" s="1"/>
  <c r="AC2474" i="3"/>
  <c r="N2474" i="3" s="1"/>
  <c r="AC2475" i="3"/>
  <c r="N2475" i="3" s="1"/>
  <c r="AC2476" i="3"/>
  <c r="N2476" i="3" s="1"/>
  <c r="AC2477" i="3"/>
  <c r="N2477" i="3" s="1"/>
  <c r="AC2478" i="3"/>
  <c r="N2478" i="3" s="1"/>
  <c r="AC2479" i="3"/>
  <c r="N2479" i="3" s="1"/>
  <c r="AC2480" i="3"/>
  <c r="N2480" i="3" s="1"/>
  <c r="AC2481" i="3"/>
  <c r="N2481" i="3" s="1"/>
  <c r="AC2482" i="3"/>
  <c r="N2482" i="3" s="1"/>
  <c r="AC2483" i="3"/>
  <c r="N2483" i="3" s="1"/>
  <c r="AC2484" i="3"/>
  <c r="N2484" i="3" s="1"/>
  <c r="AC2485" i="3"/>
  <c r="N2485" i="3" s="1"/>
  <c r="AC2486" i="3"/>
  <c r="N2486" i="3" s="1"/>
  <c r="AC2487" i="3"/>
  <c r="N2487" i="3" s="1"/>
  <c r="AC2488" i="3"/>
  <c r="N2488" i="3" s="1"/>
  <c r="AK2467" i="3"/>
  <c r="AK2468" i="3"/>
  <c r="AK2469" i="3"/>
  <c r="AK2470" i="3"/>
  <c r="AK2471" i="3"/>
  <c r="AK2472" i="3"/>
  <c r="AK2473" i="3"/>
  <c r="AK2474" i="3"/>
  <c r="AK2475" i="3"/>
  <c r="AK2476" i="3"/>
  <c r="AK2477" i="3"/>
  <c r="AK2478" i="3"/>
  <c r="AK2479" i="3"/>
  <c r="AK2480" i="3"/>
  <c r="AK2481" i="3"/>
  <c r="AK2482" i="3"/>
  <c r="AK2483" i="3"/>
  <c r="AK2484" i="3"/>
  <c r="AK2485" i="3"/>
  <c r="AK2486" i="3"/>
  <c r="AK2487" i="3"/>
  <c r="AK2488" i="3"/>
  <c r="M139" i="10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P2442" i="3"/>
  <c r="P2443" i="3"/>
  <c r="P2444" i="3"/>
  <c r="P2445" i="3"/>
  <c r="P2446" i="3"/>
  <c r="P2447" i="3"/>
  <c r="P2448" i="3"/>
  <c r="P2449" i="3"/>
  <c r="P2450" i="3"/>
  <c r="P2451" i="3"/>
  <c r="P2452" i="3"/>
  <c r="P2453" i="3"/>
  <c r="P2454" i="3"/>
  <c r="P2455" i="3"/>
  <c r="P2456" i="3"/>
  <c r="P2457" i="3"/>
  <c r="P2458" i="3"/>
  <c r="P2459" i="3"/>
  <c r="P2460" i="3"/>
  <c r="P2461" i="3"/>
  <c r="P2462" i="3"/>
  <c r="P2463" i="3"/>
  <c r="P2464" i="3"/>
  <c r="P2465" i="3"/>
  <c r="P2466" i="3"/>
  <c r="Q2442" i="3"/>
  <c r="Q2443" i="3"/>
  <c r="Q2444" i="3"/>
  <c r="Q2445" i="3"/>
  <c r="Q2446" i="3"/>
  <c r="Q2447" i="3"/>
  <c r="Q2448" i="3"/>
  <c r="Q2449" i="3"/>
  <c r="Q2450" i="3"/>
  <c r="Q2451" i="3"/>
  <c r="Q2452" i="3"/>
  <c r="Q2453" i="3"/>
  <c r="Q2454" i="3"/>
  <c r="Q2455" i="3"/>
  <c r="Q2456" i="3"/>
  <c r="Q2457" i="3"/>
  <c r="Q2458" i="3"/>
  <c r="Q2459" i="3"/>
  <c r="Q2460" i="3"/>
  <c r="Q2461" i="3"/>
  <c r="Q2462" i="3"/>
  <c r="Q2463" i="3"/>
  <c r="Q2464" i="3"/>
  <c r="Q2465" i="3"/>
  <c r="Q2466" i="3"/>
  <c r="R2442" i="3"/>
  <c r="R2443" i="3"/>
  <c r="R2444" i="3"/>
  <c r="R2445" i="3"/>
  <c r="R2446" i="3"/>
  <c r="R2447" i="3"/>
  <c r="R2448" i="3"/>
  <c r="R2449" i="3"/>
  <c r="R2450" i="3"/>
  <c r="R2451" i="3"/>
  <c r="R2452" i="3"/>
  <c r="R2453" i="3"/>
  <c r="R2454" i="3"/>
  <c r="R2455" i="3"/>
  <c r="R2456" i="3"/>
  <c r="R2457" i="3"/>
  <c r="R2458" i="3"/>
  <c r="R2459" i="3"/>
  <c r="R2460" i="3"/>
  <c r="R2461" i="3"/>
  <c r="R2462" i="3"/>
  <c r="R2463" i="3"/>
  <c r="R2464" i="3"/>
  <c r="R2465" i="3"/>
  <c r="R2466" i="3"/>
  <c r="S2443" i="3"/>
  <c r="S2444" i="3"/>
  <c r="S2445" i="3"/>
  <c r="S2446" i="3"/>
  <c r="S2447" i="3"/>
  <c r="S2448" i="3"/>
  <c r="S2449" i="3"/>
  <c r="S2450" i="3"/>
  <c r="S2451" i="3"/>
  <c r="S2452" i="3"/>
  <c r="S2454" i="3"/>
  <c r="S2455" i="3"/>
  <c r="S2456" i="3"/>
  <c r="S2457" i="3"/>
  <c r="S2458" i="3"/>
  <c r="S2459" i="3"/>
  <c r="S2460" i="3"/>
  <c r="S2461" i="3"/>
  <c r="S2462" i="3"/>
  <c r="S2463" i="3"/>
  <c r="S2464" i="3"/>
  <c r="S2465" i="3"/>
  <c r="S2466" i="3"/>
  <c r="T2442" i="3"/>
  <c r="T2453" i="3"/>
  <c r="U2442" i="3"/>
  <c r="U2453" i="3"/>
  <c r="V2442" i="3"/>
  <c r="V2453" i="3"/>
  <c r="W2442" i="3"/>
  <c r="W2453" i="3"/>
  <c r="X2442" i="3"/>
  <c r="X2453" i="3"/>
  <c r="AA2442" i="3"/>
  <c r="AA2443" i="3"/>
  <c r="AA2444" i="3"/>
  <c r="AA2445" i="3"/>
  <c r="AA2446" i="3"/>
  <c r="AA2447" i="3"/>
  <c r="AA2448" i="3"/>
  <c r="AA2449" i="3"/>
  <c r="AA2450" i="3"/>
  <c r="AA2451" i="3"/>
  <c r="AA2452" i="3"/>
  <c r="AA2453" i="3"/>
  <c r="AA2454" i="3"/>
  <c r="AA2455" i="3"/>
  <c r="AA2456" i="3"/>
  <c r="AA2457" i="3"/>
  <c r="AA2458" i="3"/>
  <c r="AA2459" i="3"/>
  <c r="AA2460" i="3"/>
  <c r="AA2461" i="3"/>
  <c r="AA2462" i="3"/>
  <c r="AA2463" i="3"/>
  <c r="AA2464" i="3"/>
  <c r="AA2465" i="3"/>
  <c r="AA2466" i="3"/>
  <c r="AB2442" i="3"/>
  <c r="O2442" i="3" s="1"/>
  <c r="Y2442" i="3" s="1"/>
  <c r="AB2443" i="3"/>
  <c r="O2443" i="3" s="1"/>
  <c r="AB2444" i="3"/>
  <c r="O2444" i="3" s="1"/>
  <c r="AB2445" i="3"/>
  <c r="O2445" i="3" s="1"/>
  <c r="AB2446" i="3"/>
  <c r="O2446" i="3" s="1"/>
  <c r="AB2447" i="3"/>
  <c r="O2447" i="3" s="1"/>
  <c r="AB2448" i="3"/>
  <c r="O2448" i="3" s="1"/>
  <c r="AB2449" i="3"/>
  <c r="O2449" i="3" s="1"/>
  <c r="AB2450" i="3"/>
  <c r="O2450" i="3" s="1"/>
  <c r="AB2451" i="3"/>
  <c r="O2451" i="3" s="1"/>
  <c r="AB2452" i="3"/>
  <c r="O2452" i="3" s="1"/>
  <c r="AB2453" i="3"/>
  <c r="O2453" i="3" s="1"/>
  <c r="Y2453" i="3" s="1"/>
  <c r="AB2454" i="3"/>
  <c r="O2454" i="3" s="1"/>
  <c r="AB2455" i="3"/>
  <c r="O2455" i="3" s="1"/>
  <c r="AB2456" i="3"/>
  <c r="O2456" i="3" s="1"/>
  <c r="AB2457" i="3"/>
  <c r="O2457" i="3" s="1"/>
  <c r="AB2458" i="3"/>
  <c r="O2458" i="3" s="1"/>
  <c r="AB2459" i="3"/>
  <c r="O2459" i="3" s="1"/>
  <c r="AB2460" i="3"/>
  <c r="O2460" i="3" s="1"/>
  <c r="AB2461" i="3"/>
  <c r="O2461" i="3" s="1"/>
  <c r="AB2462" i="3"/>
  <c r="O2462" i="3" s="1"/>
  <c r="AB2463" i="3"/>
  <c r="O2463" i="3" s="1"/>
  <c r="AB2464" i="3"/>
  <c r="O2464" i="3" s="1"/>
  <c r="AB2465" i="3"/>
  <c r="O2465" i="3" s="1"/>
  <c r="AB2466" i="3"/>
  <c r="O2466" i="3" s="1"/>
  <c r="AC2442" i="3"/>
  <c r="N2442" i="3" s="1"/>
  <c r="AC2443" i="3"/>
  <c r="N2443" i="3" s="1"/>
  <c r="AC2444" i="3"/>
  <c r="N2444" i="3" s="1"/>
  <c r="AC2445" i="3"/>
  <c r="N2445" i="3" s="1"/>
  <c r="AC2446" i="3"/>
  <c r="N2446" i="3" s="1"/>
  <c r="AC2447" i="3"/>
  <c r="N2447" i="3" s="1"/>
  <c r="AC2448" i="3"/>
  <c r="N2448" i="3" s="1"/>
  <c r="AC2449" i="3"/>
  <c r="N2449" i="3" s="1"/>
  <c r="AC2450" i="3"/>
  <c r="N2450" i="3" s="1"/>
  <c r="AC2451" i="3"/>
  <c r="N2451" i="3" s="1"/>
  <c r="AC2452" i="3"/>
  <c r="N2452" i="3" s="1"/>
  <c r="AC2453" i="3"/>
  <c r="N2453" i="3" s="1"/>
  <c r="AC2454" i="3"/>
  <c r="N2454" i="3" s="1"/>
  <c r="AC2455" i="3"/>
  <c r="N2455" i="3" s="1"/>
  <c r="AC2456" i="3"/>
  <c r="N2456" i="3" s="1"/>
  <c r="AC2457" i="3"/>
  <c r="N2457" i="3" s="1"/>
  <c r="AC2458" i="3"/>
  <c r="N2458" i="3" s="1"/>
  <c r="AC2459" i="3"/>
  <c r="N2459" i="3" s="1"/>
  <c r="AC2460" i="3"/>
  <c r="N2460" i="3" s="1"/>
  <c r="AC2461" i="3"/>
  <c r="N2461" i="3" s="1"/>
  <c r="AC2462" i="3"/>
  <c r="N2462" i="3" s="1"/>
  <c r="AC2463" i="3"/>
  <c r="N2463" i="3" s="1"/>
  <c r="AC2464" i="3"/>
  <c r="N2464" i="3" s="1"/>
  <c r="AC2465" i="3"/>
  <c r="N2465" i="3" s="1"/>
  <c r="AC2466" i="3"/>
  <c r="N2466" i="3" s="1"/>
  <c r="AK2442" i="3"/>
  <c r="AK2443" i="3"/>
  <c r="AK2444" i="3"/>
  <c r="AK2445" i="3"/>
  <c r="AK2446" i="3"/>
  <c r="AK2447" i="3"/>
  <c r="AK2448" i="3"/>
  <c r="AK2449" i="3"/>
  <c r="AK2450" i="3"/>
  <c r="AK2451" i="3"/>
  <c r="AK2452" i="3"/>
  <c r="AK2453" i="3"/>
  <c r="AK2454" i="3"/>
  <c r="AK2455" i="3"/>
  <c r="AK2456" i="3"/>
  <c r="AK2457" i="3"/>
  <c r="AK2458" i="3"/>
  <c r="AK2459" i="3"/>
  <c r="AK2460" i="3"/>
  <c r="AK2461" i="3"/>
  <c r="AK2462" i="3"/>
  <c r="AK2463" i="3"/>
  <c r="AK2464" i="3"/>
  <c r="AK2465" i="3"/>
  <c r="AK2466" i="3"/>
  <c r="M138" i="10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P2420" i="3"/>
  <c r="P2421" i="3"/>
  <c r="P2422" i="3"/>
  <c r="P2423" i="3"/>
  <c r="P2424" i="3"/>
  <c r="P2425" i="3"/>
  <c r="P2426" i="3"/>
  <c r="P2427" i="3"/>
  <c r="P2428" i="3"/>
  <c r="P2429" i="3"/>
  <c r="P2430" i="3"/>
  <c r="P2431" i="3"/>
  <c r="P2432" i="3"/>
  <c r="P2433" i="3"/>
  <c r="P2434" i="3"/>
  <c r="P2435" i="3"/>
  <c r="P2436" i="3"/>
  <c r="P2437" i="3"/>
  <c r="P2438" i="3"/>
  <c r="P2439" i="3"/>
  <c r="P2440" i="3"/>
  <c r="P2441" i="3"/>
  <c r="Q2420" i="3"/>
  <c r="Q2421" i="3"/>
  <c r="Q2422" i="3"/>
  <c r="Q2423" i="3"/>
  <c r="Q2424" i="3"/>
  <c r="Q2425" i="3"/>
  <c r="Q2426" i="3"/>
  <c r="Q2427" i="3"/>
  <c r="Q2428" i="3"/>
  <c r="Q2429" i="3"/>
  <c r="Q2430" i="3"/>
  <c r="Q2431" i="3"/>
  <c r="Q2432" i="3"/>
  <c r="Q2433" i="3"/>
  <c r="Q2434" i="3"/>
  <c r="Q2435" i="3"/>
  <c r="Q2436" i="3"/>
  <c r="Q2437" i="3"/>
  <c r="Q2438" i="3"/>
  <c r="Q2439" i="3"/>
  <c r="Q2440" i="3"/>
  <c r="Q2441" i="3"/>
  <c r="R2420" i="3"/>
  <c r="R2421" i="3"/>
  <c r="R2422" i="3"/>
  <c r="R2423" i="3"/>
  <c r="R2424" i="3"/>
  <c r="R2425" i="3"/>
  <c r="R2426" i="3"/>
  <c r="R2427" i="3"/>
  <c r="R2428" i="3"/>
  <c r="R2429" i="3"/>
  <c r="R2430" i="3"/>
  <c r="R2431" i="3"/>
  <c r="R2432" i="3"/>
  <c r="R2433" i="3"/>
  <c r="R2434" i="3"/>
  <c r="R2435" i="3"/>
  <c r="R2436" i="3"/>
  <c r="R2437" i="3"/>
  <c r="R2438" i="3"/>
  <c r="R2439" i="3"/>
  <c r="R2440" i="3"/>
  <c r="R2441" i="3"/>
  <c r="S2421" i="3"/>
  <c r="S2422" i="3"/>
  <c r="S2423" i="3"/>
  <c r="S2424" i="3"/>
  <c r="S2425" i="3"/>
  <c r="S2426" i="3"/>
  <c r="S2427" i="3"/>
  <c r="S2428" i="3"/>
  <c r="S2429" i="3"/>
  <c r="S2430" i="3"/>
  <c r="S2432" i="3"/>
  <c r="S2433" i="3"/>
  <c r="S2434" i="3"/>
  <c r="S2435" i="3"/>
  <c r="S2436" i="3"/>
  <c r="S2437" i="3"/>
  <c r="S2438" i="3"/>
  <c r="S2439" i="3"/>
  <c r="S2440" i="3"/>
  <c r="S2441" i="3"/>
  <c r="T2420" i="3"/>
  <c r="T2431" i="3"/>
  <c r="U2420" i="3"/>
  <c r="U2431" i="3"/>
  <c r="V2420" i="3"/>
  <c r="V2431" i="3"/>
  <c r="W2420" i="3"/>
  <c r="W2431" i="3"/>
  <c r="X2420" i="3"/>
  <c r="X2431" i="3"/>
  <c r="AA2420" i="3"/>
  <c r="AA2421" i="3"/>
  <c r="AA2422" i="3"/>
  <c r="AA2423" i="3"/>
  <c r="AA2424" i="3"/>
  <c r="AA2425" i="3"/>
  <c r="AA2426" i="3"/>
  <c r="AA2427" i="3"/>
  <c r="AA2428" i="3"/>
  <c r="AA2429" i="3"/>
  <c r="AA2430" i="3"/>
  <c r="AA2431" i="3"/>
  <c r="AA2432" i="3"/>
  <c r="AA2433" i="3"/>
  <c r="AA2434" i="3"/>
  <c r="AA2435" i="3"/>
  <c r="AA2436" i="3"/>
  <c r="AA2437" i="3"/>
  <c r="AA2438" i="3"/>
  <c r="AA2439" i="3"/>
  <c r="AA2440" i="3"/>
  <c r="AA2441" i="3"/>
  <c r="AB2420" i="3"/>
  <c r="O2420" i="3" s="1"/>
  <c r="Y2420" i="3" s="1"/>
  <c r="AB2421" i="3"/>
  <c r="O2421" i="3" s="1"/>
  <c r="AB2422" i="3"/>
  <c r="O2422" i="3" s="1"/>
  <c r="AB2423" i="3"/>
  <c r="O2423" i="3" s="1"/>
  <c r="AB2424" i="3"/>
  <c r="O2424" i="3" s="1"/>
  <c r="AB2425" i="3"/>
  <c r="O2425" i="3" s="1"/>
  <c r="AB2426" i="3"/>
  <c r="O2426" i="3" s="1"/>
  <c r="AB2427" i="3"/>
  <c r="O2427" i="3" s="1"/>
  <c r="AB2428" i="3"/>
  <c r="O2428" i="3" s="1"/>
  <c r="AB2429" i="3"/>
  <c r="O2429" i="3" s="1"/>
  <c r="AB2430" i="3"/>
  <c r="O2430" i="3" s="1"/>
  <c r="AB2431" i="3"/>
  <c r="O2431" i="3" s="1"/>
  <c r="Y2431" i="3" s="1"/>
  <c r="AB2432" i="3"/>
  <c r="O2432" i="3" s="1"/>
  <c r="AB2433" i="3"/>
  <c r="O2433" i="3" s="1"/>
  <c r="AB2434" i="3"/>
  <c r="O2434" i="3" s="1"/>
  <c r="AB2435" i="3"/>
  <c r="O2435" i="3" s="1"/>
  <c r="AB2436" i="3"/>
  <c r="O2436" i="3" s="1"/>
  <c r="AB2437" i="3"/>
  <c r="O2437" i="3" s="1"/>
  <c r="AB2438" i="3"/>
  <c r="O2438" i="3" s="1"/>
  <c r="AB2439" i="3"/>
  <c r="O2439" i="3" s="1"/>
  <c r="AB2440" i="3"/>
  <c r="O2440" i="3" s="1"/>
  <c r="AB2441" i="3"/>
  <c r="O2441" i="3" s="1"/>
  <c r="AC2420" i="3"/>
  <c r="N2420" i="3" s="1"/>
  <c r="S2420" i="3" s="1"/>
  <c r="Z2420" i="3" s="1"/>
  <c r="AC2421" i="3"/>
  <c r="N2421" i="3" s="1"/>
  <c r="AC2422" i="3"/>
  <c r="N2422" i="3" s="1"/>
  <c r="AC2423" i="3"/>
  <c r="N2423" i="3" s="1"/>
  <c r="AC2424" i="3"/>
  <c r="N2424" i="3" s="1"/>
  <c r="AC2425" i="3"/>
  <c r="N2425" i="3" s="1"/>
  <c r="AC2426" i="3"/>
  <c r="N2426" i="3" s="1"/>
  <c r="AC2427" i="3"/>
  <c r="N2427" i="3" s="1"/>
  <c r="AC2428" i="3"/>
  <c r="N2428" i="3" s="1"/>
  <c r="AC2429" i="3"/>
  <c r="N2429" i="3" s="1"/>
  <c r="AC2430" i="3"/>
  <c r="N2430" i="3" s="1"/>
  <c r="AC2431" i="3"/>
  <c r="N2431" i="3" s="1"/>
  <c r="S2431" i="3" s="1"/>
  <c r="AC2432" i="3"/>
  <c r="N2432" i="3" s="1"/>
  <c r="AC2433" i="3"/>
  <c r="N2433" i="3" s="1"/>
  <c r="AC2434" i="3"/>
  <c r="N2434" i="3" s="1"/>
  <c r="AC2435" i="3"/>
  <c r="N2435" i="3" s="1"/>
  <c r="AC2436" i="3"/>
  <c r="N2436" i="3" s="1"/>
  <c r="AC2437" i="3"/>
  <c r="N2437" i="3" s="1"/>
  <c r="AC2438" i="3"/>
  <c r="N2438" i="3" s="1"/>
  <c r="AC2439" i="3"/>
  <c r="N2439" i="3" s="1"/>
  <c r="AC2440" i="3"/>
  <c r="N2440" i="3" s="1"/>
  <c r="AC2441" i="3"/>
  <c r="N2441" i="3" s="1"/>
  <c r="AK2420" i="3"/>
  <c r="AK2421" i="3"/>
  <c r="AK2422" i="3"/>
  <c r="AK2423" i="3"/>
  <c r="AK2424" i="3"/>
  <c r="AK2425" i="3"/>
  <c r="AK2426" i="3"/>
  <c r="AK2427" i="3"/>
  <c r="AK2428" i="3"/>
  <c r="AK2429" i="3"/>
  <c r="AK2430" i="3"/>
  <c r="AK2431" i="3"/>
  <c r="AK2432" i="3"/>
  <c r="AK2433" i="3"/>
  <c r="AK2434" i="3"/>
  <c r="AK2435" i="3"/>
  <c r="AK2436" i="3"/>
  <c r="AK2437" i="3"/>
  <c r="AK2438" i="3"/>
  <c r="AK2439" i="3"/>
  <c r="AK2440" i="3"/>
  <c r="AK2441" i="3"/>
  <c r="M137" i="10"/>
  <c r="M2409" i="3"/>
  <c r="M2410" i="3"/>
  <c r="M2411" i="3"/>
  <c r="M2412" i="3"/>
  <c r="M2413" i="3"/>
  <c r="M2414" i="3"/>
  <c r="M2415" i="3"/>
  <c r="M2416" i="3"/>
  <c r="M2417" i="3"/>
  <c r="M2418" i="3"/>
  <c r="M2419" i="3"/>
  <c r="P2409" i="3"/>
  <c r="P2410" i="3"/>
  <c r="P2411" i="3"/>
  <c r="P2412" i="3"/>
  <c r="P2413" i="3"/>
  <c r="P2414" i="3"/>
  <c r="P2415" i="3"/>
  <c r="P2416" i="3"/>
  <c r="P2417" i="3"/>
  <c r="P2418" i="3"/>
  <c r="P2419" i="3"/>
  <c r="Q2409" i="3"/>
  <c r="Q2410" i="3"/>
  <c r="Q2411" i="3"/>
  <c r="Q2412" i="3"/>
  <c r="Q2413" i="3"/>
  <c r="Q2414" i="3"/>
  <c r="Q2415" i="3"/>
  <c r="Q2416" i="3"/>
  <c r="Q2417" i="3"/>
  <c r="Q2418" i="3"/>
  <c r="Q2419" i="3"/>
  <c r="R2409" i="3"/>
  <c r="R2410" i="3"/>
  <c r="R2411" i="3"/>
  <c r="R2412" i="3"/>
  <c r="R2413" i="3"/>
  <c r="R2414" i="3"/>
  <c r="R2415" i="3"/>
  <c r="R2416" i="3"/>
  <c r="R2417" i="3"/>
  <c r="R2418" i="3"/>
  <c r="R2419" i="3"/>
  <c r="S2410" i="3"/>
  <c r="S2411" i="3"/>
  <c r="S2412" i="3"/>
  <c r="S2413" i="3"/>
  <c r="S2414" i="3"/>
  <c r="S2415" i="3"/>
  <c r="S2416" i="3"/>
  <c r="S2417" i="3"/>
  <c r="S2418" i="3"/>
  <c r="S2419" i="3"/>
  <c r="T2409" i="3"/>
  <c r="U2409" i="3"/>
  <c r="V2409" i="3"/>
  <c r="W2409" i="3"/>
  <c r="X2409" i="3"/>
  <c r="AA2409" i="3"/>
  <c r="AA2410" i="3"/>
  <c r="AA2411" i="3"/>
  <c r="AA2412" i="3"/>
  <c r="AA2413" i="3"/>
  <c r="AA2414" i="3"/>
  <c r="AA2415" i="3"/>
  <c r="AA2416" i="3"/>
  <c r="AA2417" i="3"/>
  <c r="AA2418" i="3"/>
  <c r="AA2419" i="3"/>
  <c r="AB2409" i="3"/>
  <c r="O2409" i="3" s="1"/>
  <c r="Y2409" i="3" s="1"/>
  <c r="AB2410" i="3"/>
  <c r="O2410" i="3" s="1"/>
  <c r="AB2411" i="3"/>
  <c r="O2411" i="3" s="1"/>
  <c r="AB2412" i="3"/>
  <c r="O2412" i="3" s="1"/>
  <c r="AB2413" i="3"/>
  <c r="O2413" i="3" s="1"/>
  <c r="AB2414" i="3"/>
  <c r="O2414" i="3" s="1"/>
  <c r="AB2415" i="3"/>
  <c r="O2415" i="3" s="1"/>
  <c r="AB2416" i="3"/>
  <c r="O2416" i="3" s="1"/>
  <c r="AB2417" i="3"/>
  <c r="O2417" i="3" s="1"/>
  <c r="AB2418" i="3"/>
  <c r="O2418" i="3" s="1"/>
  <c r="AB2419" i="3"/>
  <c r="O2419" i="3" s="1"/>
  <c r="AC2409" i="3"/>
  <c r="N2409" i="3" s="1"/>
  <c r="AC2410" i="3"/>
  <c r="N2410" i="3" s="1"/>
  <c r="AC2411" i="3"/>
  <c r="N2411" i="3" s="1"/>
  <c r="AC2412" i="3"/>
  <c r="N2412" i="3" s="1"/>
  <c r="AC2413" i="3"/>
  <c r="N2413" i="3" s="1"/>
  <c r="AC2414" i="3"/>
  <c r="N2414" i="3" s="1"/>
  <c r="AC2415" i="3"/>
  <c r="N2415" i="3" s="1"/>
  <c r="AC2416" i="3"/>
  <c r="N2416" i="3" s="1"/>
  <c r="AC2417" i="3"/>
  <c r="N2417" i="3" s="1"/>
  <c r="AC2418" i="3"/>
  <c r="N2418" i="3" s="1"/>
  <c r="AC2419" i="3"/>
  <c r="N2419" i="3" s="1"/>
  <c r="AK2409" i="3"/>
  <c r="AK2410" i="3"/>
  <c r="AK2411" i="3"/>
  <c r="AK2412" i="3"/>
  <c r="AK2413" i="3"/>
  <c r="AK2414" i="3"/>
  <c r="AK2415" i="3"/>
  <c r="AK2416" i="3"/>
  <c r="AK2417" i="3"/>
  <c r="AK2418" i="3"/>
  <c r="AK2419" i="3"/>
  <c r="M136" i="10"/>
  <c r="M2398" i="3"/>
  <c r="M2399" i="3"/>
  <c r="M2400" i="3"/>
  <c r="M2401" i="3"/>
  <c r="M2402" i="3"/>
  <c r="M2403" i="3"/>
  <c r="M2404" i="3"/>
  <c r="M2405" i="3"/>
  <c r="M2406" i="3"/>
  <c r="M2407" i="3"/>
  <c r="M2408" i="3"/>
  <c r="P2398" i="3"/>
  <c r="P2399" i="3"/>
  <c r="P2400" i="3"/>
  <c r="P2401" i="3"/>
  <c r="P2402" i="3"/>
  <c r="P2403" i="3"/>
  <c r="P2404" i="3"/>
  <c r="P2405" i="3"/>
  <c r="P2406" i="3"/>
  <c r="P2407" i="3"/>
  <c r="P2408" i="3"/>
  <c r="Q2398" i="3"/>
  <c r="Q2399" i="3"/>
  <c r="Q2400" i="3"/>
  <c r="Q2401" i="3"/>
  <c r="Q2402" i="3"/>
  <c r="Q2403" i="3"/>
  <c r="Q2404" i="3"/>
  <c r="Q2405" i="3"/>
  <c r="Q2406" i="3"/>
  <c r="Q2407" i="3"/>
  <c r="Q2408" i="3"/>
  <c r="R2398" i="3"/>
  <c r="R2399" i="3"/>
  <c r="R2400" i="3"/>
  <c r="R2401" i="3"/>
  <c r="R2402" i="3"/>
  <c r="R2403" i="3"/>
  <c r="R2404" i="3"/>
  <c r="R2405" i="3"/>
  <c r="R2406" i="3"/>
  <c r="R2407" i="3"/>
  <c r="R2408" i="3"/>
  <c r="S2399" i="3"/>
  <c r="S2400" i="3"/>
  <c r="S2401" i="3"/>
  <c r="S2402" i="3"/>
  <c r="S2403" i="3"/>
  <c r="S2404" i="3"/>
  <c r="S2405" i="3"/>
  <c r="S2406" i="3"/>
  <c r="S2407" i="3"/>
  <c r="S2408" i="3"/>
  <c r="T2398" i="3"/>
  <c r="U2398" i="3"/>
  <c r="V2398" i="3"/>
  <c r="W2398" i="3"/>
  <c r="X2398" i="3"/>
  <c r="AA2398" i="3"/>
  <c r="AA2399" i="3"/>
  <c r="AA2400" i="3"/>
  <c r="AA2401" i="3"/>
  <c r="AA2402" i="3"/>
  <c r="AA2403" i="3"/>
  <c r="AA2404" i="3"/>
  <c r="AA2405" i="3"/>
  <c r="AA2406" i="3"/>
  <c r="AA2407" i="3"/>
  <c r="AA2408" i="3"/>
  <c r="AB2398" i="3"/>
  <c r="O2398" i="3" s="1"/>
  <c r="Y2398" i="3" s="1"/>
  <c r="AB2399" i="3"/>
  <c r="O2399" i="3" s="1"/>
  <c r="AB2400" i="3"/>
  <c r="O2400" i="3" s="1"/>
  <c r="AB2401" i="3"/>
  <c r="O2401" i="3" s="1"/>
  <c r="AB2402" i="3"/>
  <c r="O2402" i="3" s="1"/>
  <c r="AB2403" i="3"/>
  <c r="O2403" i="3" s="1"/>
  <c r="AB2404" i="3"/>
  <c r="O2404" i="3" s="1"/>
  <c r="AB2405" i="3"/>
  <c r="O2405" i="3" s="1"/>
  <c r="AB2406" i="3"/>
  <c r="O2406" i="3" s="1"/>
  <c r="AB2407" i="3"/>
  <c r="O2407" i="3" s="1"/>
  <c r="AB2408" i="3"/>
  <c r="O2408" i="3" s="1"/>
  <c r="AC2398" i="3"/>
  <c r="N2398" i="3" s="1"/>
  <c r="AC2399" i="3"/>
  <c r="N2399" i="3" s="1"/>
  <c r="AC2400" i="3"/>
  <c r="N2400" i="3" s="1"/>
  <c r="AC2401" i="3"/>
  <c r="N2401" i="3" s="1"/>
  <c r="AC2402" i="3"/>
  <c r="N2402" i="3" s="1"/>
  <c r="AC2403" i="3"/>
  <c r="N2403" i="3" s="1"/>
  <c r="AC2404" i="3"/>
  <c r="N2404" i="3" s="1"/>
  <c r="AC2405" i="3"/>
  <c r="N2405" i="3" s="1"/>
  <c r="AC2406" i="3"/>
  <c r="N2406" i="3" s="1"/>
  <c r="AC2407" i="3"/>
  <c r="N2407" i="3" s="1"/>
  <c r="AC2408" i="3"/>
  <c r="N2408" i="3" s="1"/>
  <c r="AK2398" i="3"/>
  <c r="AK2399" i="3"/>
  <c r="AK2400" i="3"/>
  <c r="AK2401" i="3"/>
  <c r="AK2402" i="3"/>
  <c r="AK2403" i="3"/>
  <c r="AK2404" i="3"/>
  <c r="AK2405" i="3"/>
  <c r="AK2406" i="3"/>
  <c r="AK2407" i="3"/>
  <c r="AK2408" i="3"/>
  <c r="M135" i="10"/>
  <c r="Z2467" i="3" l="1"/>
  <c r="Z2524" i="3"/>
  <c r="Z2535" i="3"/>
  <c r="Z2431" i="3"/>
  <c r="Z2489" i="3"/>
  <c r="Z2500" i="3"/>
  <c r="Z2551" i="3"/>
  <c r="Z2555" i="3"/>
  <c r="Z2560" i="3"/>
  <c r="Z2562" i="3"/>
  <c r="Z2564" i="3"/>
  <c r="Z2566" i="3"/>
  <c r="Z2568" i="3"/>
  <c r="Z2550" i="3"/>
  <c r="Z2552" i="3"/>
  <c r="Z2554" i="3"/>
  <c r="Z2556" i="3"/>
  <c r="Z2558" i="3"/>
  <c r="Z2549" i="3"/>
  <c r="Z2553" i="3"/>
  <c r="Z2557" i="3"/>
  <c r="Z2565" i="3"/>
  <c r="Z2561" i="3"/>
  <c r="Z2563" i="3"/>
  <c r="Z2567" i="3"/>
  <c r="Z2569" i="3"/>
  <c r="T2546" i="3"/>
  <c r="U2546" i="3"/>
  <c r="V2546" i="3"/>
  <c r="W2546" i="3"/>
  <c r="X2546" i="3"/>
  <c r="T2544" i="3"/>
  <c r="U2544" i="3"/>
  <c r="V2544" i="3"/>
  <c r="W2544" i="3"/>
  <c r="X2544" i="3"/>
  <c r="T2542" i="3"/>
  <c r="U2542" i="3"/>
  <c r="V2542" i="3"/>
  <c r="W2542" i="3"/>
  <c r="X2542" i="3"/>
  <c r="T2540" i="3"/>
  <c r="U2540" i="3"/>
  <c r="V2540" i="3"/>
  <c r="W2540" i="3"/>
  <c r="X2540" i="3"/>
  <c r="T2538" i="3"/>
  <c r="U2538" i="3"/>
  <c r="V2538" i="3"/>
  <c r="W2538" i="3"/>
  <c r="X2538" i="3"/>
  <c r="T2536" i="3"/>
  <c r="U2536" i="3"/>
  <c r="V2536" i="3"/>
  <c r="W2536" i="3"/>
  <c r="X2536" i="3"/>
  <c r="T2534" i="3"/>
  <c r="U2534" i="3"/>
  <c r="V2534" i="3"/>
  <c r="W2534" i="3"/>
  <c r="X2534" i="3"/>
  <c r="T2532" i="3"/>
  <c r="U2532" i="3"/>
  <c r="V2532" i="3"/>
  <c r="W2532" i="3"/>
  <c r="X2532" i="3"/>
  <c r="Y2532" i="3"/>
  <c r="T2530" i="3"/>
  <c r="U2530" i="3"/>
  <c r="V2530" i="3"/>
  <c r="W2530" i="3"/>
  <c r="X2530" i="3"/>
  <c r="Y2530" i="3"/>
  <c r="T2528" i="3"/>
  <c r="U2528" i="3"/>
  <c r="V2528" i="3"/>
  <c r="W2528" i="3"/>
  <c r="X2528" i="3"/>
  <c r="Y2528" i="3"/>
  <c r="T2526" i="3"/>
  <c r="U2526" i="3"/>
  <c r="V2526" i="3"/>
  <c r="W2526" i="3"/>
  <c r="X2526" i="3"/>
  <c r="Y2526" i="3"/>
  <c r="Y2546" i="3"/>
  <c r="Y2544" i="3"/>
  <c r="Y2542" i="3"/>
  <c r="Y2540" i="3"/>
  <c r="Y2538" i="3"/>
  <c r="Y2536" i="3"/>
  <c r="Y2534" i="3"/>
  <c r="T2547" i="3"/>
  <c r="U2547" i="3"/>
  <c r="V2547" i="3"/>
  <c r="W2547" i="3"/>
  <c r="X2547" i="3"/>
  <c r="T2545" i="3"/>
  <c r="U2545" i="3"/>
  <c r="V2545" i="3"/>
  <c r="W2545" i="3"/>
  <c r="X2545" i="3"/>
  <c r="T2543" i="3"/>
  <c r="U2543" i="3"/>
  <c r="V2543" i="3"/>
  <c r="W2543" i="3"/>
  <c r="X2543" i="3"/>
  <c r="T2541" i="3"/>
  <c r="U2541" i="3"/>
  <c r="V2541" i="3"/>
  <c r="W2541" i="3"/>
  <c r="X2541" i="3"/>
  <c r="T2539" i="3"/>
  <c r="U2539" i="3"/>
  <c r="V2539" i="3"/>
  <c r="W2539" i="3"/>
  <c r="X2539" i="3"/>
  <c r="T2537" i="3"/>
  <c r="U2537" i="3"/>
  <c r="V2537" i="3"/>
  <c r="W2537" i="3"/>
  <c r="X2537" i="3"/>
  <c r="T2533" i="3"/>
  <c r="U2533" i="3"/>
  <c r="V2533" i="3"/>
  <c r="W2533" i="3"/>
  <c r="X2533" i="3"/>
  <c r="T2531" i="3"/>
  <c r="U2531" i="3"/>
  <c r="V2531" i="3"/>
  <c r="W2531" i="3"/>
  <c r="X2531" i="3"/>
  <c r="Y2531" i="3"/>
  <c r="T2529" i="3"/>
  <c r="U2529" i="3"/>
  <c r="V2529" i="3"/>
  <c r="W2529" i="3"/>
  <c r="X2529" i="3"/>
  <c r="Y2529" i="3"/>
  <c r="T2527" i="3"/>
  <c r="U2527" i="3"/>
  <c r="V2527" i="3"/>
  <c r="W2527" i="3"/>
  <c r="X2527" i="3"/>
  <c r="Y2527" i="3"/>
  <c r="T2525" i="3"/>
  <c r="U2525" i="3"/>
  <c r="V2525" i="3"/>
  <c r="W2525" i="3"/>
  <c r="X2525" i="3"/>
  <c r="Y2525" i="3"/>
  <c r="Y2547" i="3"/>
  <c r="Y2545" i="3"/>
  <c r="Y2543" i="3"/>
  <c r="Y2541" i="3"/>
  <c r="Y2539" i="3"/>
  <c r="Y2537" i="3"/>
  <c r="Y2533" i="3"/>
  <c r="U2522" i="3"/>
  <c r="W2522" i="3"/>
  <c r="Y2522" i="3"/>
  <c r="U2520" i="3"/>
  <c r="W2520" i="3"/>
  <c r="Y2520" i="3"/>
  <c r="U2518" i="3"/>
  <c r="W2518" i="3"/>
  <c r="Y2518" i="3"/>
  <c r="U2516" i="3"/>
  <c r="W2516" i="3"/>
  <c r="Y2516" i="3"/>
  <c r="U2514" i="3"/>
  <c r="W2514" i="3"/>
  <c r="Y2514" i="3"/>
  <c r="T2523" i="3"/>
  <c r="V2523" i="3"/>
  <c r="X2523" i="3"/>
  <c r="T2521" i="3"/>
  <c r="V2521" i="3"/>
  <c r="X2521" i="3"/>
  <c r="T2519" i="3"/>
  <c r="V2519" i="3"/>
  <c r="X2519" i="3"/>
  <c r="T2517" i="3"/>
  <c r="V2517" i="3"/>
  <c r="X2517" i="3"/>
  <c r="T2515" i="3"/>
  <c r="V2515" i="3"/>
  <c r="X2515" i="3"/>
  <c r="U2521" i="3"/>
  <c r="U2517" i="3"/>
  <c r="S2513" i="3"/>
  <c r="Z2513" i="3" s="1"/>
  <c r="T2522" i="3"/>
  <c r="T2520" i="3"/>
  <c r="T2518" i="3"/>
  <c r="T2516" i="3"/>
  <c r="T2514" i="3"/>
  <c r="U2523" i="3"/>
  <c r="U2519" i="3"/>
  <c r="U2515" i="3"/>
  <c r="Y2523" i="3"/>
  <c r="Y2521" i="3"/>
  <c r="Y2519" i="3"/>
  <c r="Y2517" i="3"/>
  <c r="Y2515" i="3"/>
  <c r="X2522" i="3"/>
  <c r="X2520" i="3"/>
  <c r="X2518" i="3"/>
  <c r="X2516" i="3"/>
  <c r="X2514" i="3"/>
  <c r="W2523" i="3"/>
  <c r="W2521" i="3"/>
  <c r="W2519" i="3"/>
  <c r="W2517" i="3"/>
  <c r="W2515" i="3"/>
  <c r="V2522" i="3"/>
  <c r="V2520" i="3"/>
  <c r="V2518" i="3"/>
  <c r="V2516" i="3"/>
  <c r="V2514" i="3"/>
  <c r="S2478" i="3"/>
  <c r="Z2478" i="3" s="1"/>
  <c r="T2511" i="3"/>
  <c r="U2511" i="3"/>
  <c r="V2511" i="3"/>
  <c r="W2511" i="3"/>
  <c r="X2511" i="3"/>
  <c r="T2509" i="3"/>
  <c r="U2509" i="3"/>
  <c r="V2509" i="3"/>
  <c r="W2509" i="3"/>
  <c r="X2509" i="3"/>
  <c r="T2507" i="3"/>
  <c r="U2507" i="3"/>
  <c r="V2507" i="3"/>
  <c r="W2507" i="3"/>
  <c r="X2507" i="3"/>
  <c r="T2505" i="3"/>
  <c r="U2505" i="3"/>
  <c r="V2505" i="3"/>
  <c r="W2505" i="3"/>
  <c r="X2505" i="3"/>
  <c r="T2503" i="3"/>
  <c r="U2503" i="3"/>
  <c r="V2503" i="3"/>
  <c r="W2503" i="3"/>
  <c r="X2503" i="3"/>
  <c r="T2501" i="3"/>
  <c r="U2501" i="3"/>
  <c r="V2501" i="3"/>
  <c r="W2501" i="3"/>
  <c r="X2501" i="3"/>
  <c r="T2499" i="3"/>
  <c r="U2499" i="3"/>
  <c r="V2499" i="3"/>
  <c r="W2499" i="3"/>
  <c r="X2499" i="3"/>
  <c r="T2497" i="3"/>
  <c r="U2497" i="3"/>
  <c r="V2497" i="3"/>
  <c r="W2497" i="3"/>
  <c r="X2497" i="3"/>
  <c r="Y2497" i="3"/>
  <c r="T2495" i="3"/>
  <c r="U2495" i="3"/>
  <c r="V2495" i="3"/>
  <c r="W2495" i="3"/>
  <c r="X2495" i="3"/>
  <c r="Y2495" i="3"/>
  <c r="T2493" i="3"/>
  <c r="U2493" i="3"/>
  <c r="V2493" i="3"/>
  <c r="W2493" i="3"/>
  <c r="X2493" i="3"/>
  <c r="Y2493" i="3"/>
  <c r="T2491" i="3"/>
  <c r="U2491" i="3"/>
  <c r="V2491" i="3"/>
  <c r="W2491" i="3"/>
  <c r="X2491" i="3"/>
  <c r="Y2491" i="3"/>
  <c r="Y2511" i="3"/>
  <c r="Y2509" i="3"/>
  <c r="Y2507" i="3"/>
  <c r="Y2505" i="3"/>
  <c r="Y2503" i="3"/>
  <c r="Y2501" i="3"/>
  <c r="Y2499" i="3"/>
  <c r="T2512" i="3"/>
  <c r="U2512" i="3"/>
  <c r="V2512" i="3"/>
  <c r="W2512" i="3"/>
  <c r="X2512" i="3"/>
  <c r="T2510" i="3"/>
  <c r="U2510" i="3"/>
  <c r="V2510" i="3"/>
  <c r="W2510" i="3"/>
  <c r="X2510" i="3"/>
  <c r="T2508" i="3"/>
  <c r="U2508" i="3"/>
  <c r="V2508" i="3"/>
  <c r="W2508" i="3"/>
  <c r="X2508" i="3"/>
  <c r="T2506" i="3"/>
  <c r="U2506" i="3"/>
  <c r="V2506" i="3"/>
  <c r="W2506" i="3"/>
  <c r="X2506" i="3"/>
  <c r="T2504" i="3"/>
  <c r="U2504" i="3"/>
  <c r="V2504" i="3"/>
  <c r="W2504" i="3"/>
  <c r="X2504" i="3"/>
  <c r="T2502" i="3"/>
  <c r="U2502" i="3"/>
  <c r="V2502" i="3"/>
  <c r="W2502" i="3"/>
  <c r="X2502" i="3"/>
  <c r="T2498" i="3"/>
  <c r="U2498" i="3"/>
  <c r="V2498" i="3"/>
  <c r="W2498" i="3"/>
  <c r="X2498" i="3"/>
  <c r="T2496" i="3"/>
  <c r="U2496" i="3"/>
  <c r="V2496" i="3"/>
  <c r="W2496" i="3"/>
  <c r="X2496" i="3"/>
  <c r="Y2496" i="3"/>
  <c r="T2494" i="3"/>
  <c r="U2494" i="3"/>
  <c r="V2494" i="3"/>
  <c r="W2494" i="3"/>
  <c r="X2494" i="3"/>
  <c r="Y2494" i="3"/>
  <c r="T2492" i="3"/>
  <c r="U2492" i="3"/>
  <c r="V2492" i="3"/>
  <c r="W2492" i="3"/>
  <c r="X2492" i="3"/>
  <c r="Y2492" i="3"/>
  <c r="T2490" i="3"/>
  <c r="U2490" i="3"/>
  <c r="V2490" i="3"/>
  <c r="W2490" i="3"/>
  <c r="X2490" i="3"/>
  <c r="Y2490" i="3"/>
  <c r="Y2512" i="3"/>
  <c r="Y2510" i="3"/>
  <c r="Y2508" i="3"/>
  <c r="Y2506" i="3"/>
  <c r="Y2504" i="3"/>
  <c r="Y2502" i="3"/>
  <c r="Y2498" i="3"/>
  <c r="W2461" i="3"/>
  <c r="U2459" i="3"/>
  <c r="W2457" i="3"/>
  <c r="U2455" i="3"/>
  <c r="S2453" i="3"/>
  <c r="Z2453" i="3" s="1"/>
  <c r="U2451" i="3"/>
  <c r="W2449" i="3"/>
  <c r="U2447" i="3"/>
  <c r="W2445" i="3"/>
  <c r="T2487" i="3"/>
  <c r="U2487" i="3"/>
  <c r="V2487" i="3"/>
  <c r="W2487" i="3"/>
  <c r="X2487" i="3"/>
  <c r="Y2487" i="3"/>
  <c r="T2485" i="3"/>
  <c r="U2485" i="3"/>
  <c r="V2485" i="3"/>
  <c r="W2485" i="3"/>
  <c r="X2485" i="3"/>
  <c r="Y2485" i="3"/>
  <c r="T2483" i="3"/>
  <c r="U2483" i="3"/>
  <c r="V2483" i="3"/>
  <c r="W2483" i="3"/>
  <c r="X2483" i="3"/>
  <c r="Y2483" i="3"/>
  <c r="T2481" i="3"/>
  <c r="U2481" i="3"/>
  <c r="V2481" i="3"/>
  <c r="W2481" i="3"/>
  <c r="X2481" i="3"/>
  <c r="Y2481" i="3"/>
  <c r="T2479" i="3"/>
  <c r="U2479" i="3"/>
  <c r="V2479" i="3"/>
  <c r="W2479" i="3"/>
  <c r="X2479" i="3"/>
  <c r="Y2479" i="3"/>
  <c r="T2477" i="3"/>
  <c r="U2477" i="3"/>
  <c r="V2477" i="3"/>
  <c r="W2477" i="3"/>
  <c r="X2477" i="3"/>
  <c r="Y2477" i="3"/>
  <c r="T2475" i="3"/>
  <c r="U2475" i="3"/>
  <c r="V2475" i="3"/>
  <c r="W2475" i="3"/>
  <c r="X2475" i="3"/>
  <c r="Y2475" i="3"/>
  <c r="T2473" i="3"/>
  <c r="U2473" i="3"/>
  <c r="V2473" i="3"/>
  <c r="W2473" i="3"/>
  <c r="X2473" i="3"/>
  <c r="Y2473" i="3"/>
  <c r="T2471" i="3"/>
  <c r="U2471" i="3"/>
  <c r="V2471" i="3"/>
  <c r="W2471" i="3"/>
  <c r="X2471" i="3"/>
  <c r="Y2471" i="3"/>
  <c r="T2469" i="3"/>
  <c r="U2469" i="3"/>
  <c r="V2469" i="3"/>
  <c r="W2469" i="3"/>
  <c r="X2469" i="3"/>
  <c r="Y2469" i="3"/>
  <c r="T2488" i="3"/>
  <c r="U2488" i="3"/>
  <c r="V2488" i="3"/>
  <c r="W2488" i="3"/>
  <c r="X2488" i="3"/>
  <c r="Y2488" i="3"/>
  <c r="T2486" i="3"/>
  <c r="U2486" i="3"/>
  <c r="V2486" i="3"/>
  <c r="W2486" i="3"/>
  <c r="X2486" i="3"/>
  <c r="Y2486" i="3"/>
  <c r="T2484" i="3"/>
  <c r="U2484" i="3"/>
  <c r="V2484" i="3"/>
  <c r="W2484" i="3"/>
  <c r="X2484" i="3"/>
  <c r="Y2484" i="3"/>
  <c r="T2482" i="3"/>
  <c r="U2482" i="3"/>
  <c r="V2482" i="3"/>
  <c r="W2482" i="3"/>
  <c r="X2482" i="3"/>
  <c r="Y2482" i="3"/>
  <c r="T2480" i="3"/>
  <c r="U2480" i="3"/>
  <c r="V2480" i="3"/>
  <c r="W2480" i="3"/>
  <c r="X2480" i="3"/>
  <c r="Y2480" i="3"/>
  <c r="T2476" i="3"/>
  <c r="U2476" i="3"/>
  <c r="V2476" i="3"/>
  <c r="W2476" i="3"/>
  <c r="X2476" i="3"/>
  <c r="Y2476" i="3"/>
  <c r="T2474" i="3"/>
  <c r="U2474" i="3"/>
  <c r="V2474" i="3"/>
  <c r="W2474" i="3"/>
  <c r="X2474" i="3"/>
  <c r="Y2474" i="3"/>
  <c r="T2472" i="3"/>
  <c r="U2472" i="3"/>
  <c r="V2472" i="3"/>
  <c r="W2472" i="3"/>
  <c r="X2472" i="3"/>
  <c r="Y2472" i="3"/>
  <c r="T2470" i="3"/>
  <c r="U2470" i="3"/>
  <c r="V2470" i="3"/>
  <c r="W2470" i="3"/>
  <c r="X2470" i="3"/>
  <c r="Y2470" i="3"/>
  <c r="T2468" i="3"/>
  <c r="U2468" i="3"/>
  <c r="V2468" i="3"/>
  <c r="W2468" i="3"/>
  <c r="X2468" i="3"/>
  <c r="Y2468" i="3"/>
  <c r="W2465" i="3"/>
  <c r="U2463" i="3"/>
  <c r="S2442" i="3"/>
  <c r="Z2442" i="3" s="1"/>
  <c r="U2466" i="3"/>
  <c r="W2466" i="3"/>
  <c r="T2466" i="3"/>
  <c r="X2466" i="3"/>
  <c r="V2466" i="3"/>
  <c r="Y2466" i="3"/>
  <c r="U2464" i="3"/>
  <c r="W2464" i="3"/>
  <c r="V2464" i="3"/>
  <c r="T2464" i="3"/>
  <c r="X2464" i="3"/>
  <c r="Y2464" i="3"/>
  <c r="U2462" i="3"/>
  <c r="W2462" i="3"/>
  <c r="T2462" i="3"/>
  <c r="X2462" i="3"/>
  <c r="V2462" i="3"/>
  <c r="Y2462" i="3"/>
  <c r="U2460" i="3"/>
  <c r="W2460" i="3"/>
  <c r="V2460" i="3"/>
  <c r="T2460" i="3"/>
  <c r="X2460" i="3"/>
  <c r="Y2460" i="3"/>
  <c r="U2458" i="3"/>
  <c r="W2458" i="3"/>
  <c r="T2458" i="3"/>
  <c r="X2458" i="3"/>
  <c r="V2458" i="3"/>
  <c r="Y2458" i="3"/>
  <c r="U2456" i="3"/>
  <c r="W2456" i="3"/>
  <c r="V2456" i="3"/>
  <c r="T2456" i="3"/>
  <c r="X2456" i="3"/>
  <c r="Y2456" i="3"/>
  <c r="U2454" i="3"/>
  <c r="W2454" i="3"/>
  <c r="T2454" i="3"/>
  <c r="X2454" i="3"/>
  <c r="V2454" i="3"/>
  <c r="Y2454" i="3"/>
  <c r="U2452" i="3"/>
  <c r="W2452" i="3"/>
  <c r="T2452" i="3"/>
  <c r="X2452" i="3"/>
  <c r="V2452" i="3"/>
  <c r="Y2452" i="3"/>
  <c r="U2450" i="3"/>
  <c r="W2450" i="3"/>
  <c r="V2450" i="3"/>
  <c r="T2450" i="3"/>
  <c r="X2450" i="3"/>
  <c r="Y2450" i="3"/>
  <c r="U2448" i="3"/>
  <c r="W2448" i="3"/>
  <c r="T2448" i="3"/>
  <c r="X2448" i="3"/>
  <c r="V2448" i="3"/>
  <c r="Y2448" i="3"/>
  <c r="U2446" i="3"/>
  <c r="W2446" i="3"/>
  <c r="V2446" i="3"/>
  <c r="T2446" i="3"/>
  <c r="X2446" i="3"/>
  <c r="Y2446" i="3"/>
  <c r="U2444" i="3"/>
  <c r="W2444" i="3"/>
  <c r="Y2444" i="3"/>
  <c r="T2444" i="3"/>
  <c r="X2444" i="3"/>
  <c r="V2444" i="3"/>
  <c r="U2443" i="3"/>
  <c r="Y2443" i="3"/>
  <c r="W2463" i="3"/>
  <c r="W2459" i="3"/>
  <c r="W2455" i="3"/>
  <c r="W2451" i="3"/>
  <c r="W2447" i="3"/>
  <c r="W2443" i="3"/>
  <c r="U2465" i="3"/>
  <c r="U2461" i="3"/>
  <c r="U2457" i="3"/>
  <c r="U2449" i="3"/>
  <c r="U2445" i="3"/>
  <c r="T2465" i="3"/>
  <c r="V2465" i="3"/>
  <c r="X2465" i="3"/>
  <c r="T2463" i="3"/>
  <c r="V2463" i="3"/>
  <c r="X2463" i="3"/>
  <c r="T2461" i="3"/>
  <c r="V2461" i="3"/>
  <c r="X2461" i="3"/>
  <c r="T2459" i="3"/>
  <c r="V2459" i="3"/>
  <c r="X2459" i="3"/>
  <c r="T2457" i="3"/>
  <c r="V2457" i="3"/>
  <c r="X2457" i="3"/>
  <c r="T2455" i="3"/>
  <c r="T2451" i="3"/>
  <c r="T2449" i="3"/>
  <c r="T2447" i="3"/>
  <c r="T2445" i="3"/>
  <c r="T2443" i="3"/>
  <c r="Y2465" i="3"/>
  <c r="Y2463" i="3"/>
  <c r="Y2461" i="3"/>
  <c r="Y2459" i="3"/>
  <c r="Y2457" i="3"/>
  <c r="Y2455" i="3"/>
  <c r="Y2451" i="3"/>
  <c r="Y2449" i="3"/>
  <c r="Y2447" i="3"/>
  <c r="Y2445" i="3"/>
  <c r="X2455" i="3"/>
  <c r="X2451" i="3"/>
  <c r="X2449" i="3"/>
  <c r="X2447" i="3"/>
  <c r="X2445" i="3"/>
  <c r="X2443" i="3"/>
  <c r="V2455" i="3"/>
  <c r="V2451" i="3"/>
  <c r="V2449" i="3"/>
  <c r="V2447" i="3"/>
  <c r="V2445" i="3"/>
  <c r="V2443" i="3"/>
  <c r="S2398" i="3"/>
  <c r="Z2398" i="3" s="1"/>
  <c r="T2441" i="3"/>
  <c r="U2441" i="3"/>
  <c r="V2441" i="3"/>
  <c r="W2441" i="3"/>
  <c r="X2441" i="3"/>
  <c r="Y2441" i="3"/>
  <c r="Y2439" i="3"/>
  <c r="T2439" i="3"/>
  <c r="U2439" i="3"/>
  <c r="V2439" i="3"/>
  <c r="W2439" i="3"/>
  <c r="X2439" i="3"/>
  <c r="T2437" i="3"/>
  <c r="U2437" i="3"/>
  <c r="V2437" i="3"/>
  <c r="W2437" i="3"/>
  <c r="X2437" i="3"/>
  <c r="Y2437" i="3"/>
  <c r="Y2435" i="3"/>
  <c r="T2435" i="3"/>
  <c r="U2435" i="3"/>
  <c r="V2435" i="3"/>
  <c r="W2435" i="3"/>
  <c r="X2435" i="3"/>
  <c r="T2433" i="3"/>
  <c r="U2433" i="3"/>
  <c r="V2433" i="3"/>
  <c r="W2433" i="3"/>
  <c r="X2433" i="3"/>
  <c r="Y2433" i="3"/>
  <c r="Y2427" i="3"/>
  <c r="T2427" i="3"/>
  <c r="U2427" i="3"/>
  <c r="V2427" i="3"/>
  <c r="W2427" i="3"/>
  <c r="X2427" i="3"/>
  <c r="Y2423" i="3"/>
  <c r="T2423" i="3"/>
  <c r="U2423" i="3"/>
  <c r="V2423" i="3"/>
  <c r="W2423" i="3"/>
  <c r="X2423" i="3"/>
  <c r="T2421" i="3"/>
  <c r="U2421" i="3"/>
  <c r="V2421" i="3"/>
  <c r="W2421" i="3"/>
  <c r="X2421" i="3"/>
  <c r="Y2421" i="3"/>
  <c r="T2429" i="3"/>
  <c r="U2429" i="3"/>
  <c r="V2429" i="3"/>
  <c r="W2429" i="3"/>
  <c r="X2429" i="3"/>
  <c r="Y2429" i="3"/>
  <c r="T2425" i="3"/>
  <c r="U2425" i="3"/>
  <c r="V2425" i="3"/>
  <c r="W2425" i="3"/>
  <c r="X2425" i="3"/>
  <c r="Y2425" i="3"/>
  <c r="T2440" i="3"/>
  <c r="U2440" i="3"/>
  <c r="V2440" i="3"/>
  <c r="W2440" i="3"/>
  <c r="X2440" i="3"/>
  <c r="Y2440" i="3"/>
  <c r="T2438" i="3"/>
  <c r="U2438" i="3"/>
  <c r="V2438" i="3"/>
  <c r="W2438" i="3"/>
  <c r="X2438" i="3"/>
  <c r="Y2438" i="3"/>
  <c r="T2436" i="3"/>
  <c r="U2436" i="3"/>
  <c r="V2436" i="3"/>
  <c r="W2436" i="3"/>
  <c r="X2436" i="3"/>
  <c r="Y2436" i="3"/>
  <c r="T2434" i="3"/>
  <c r="U2434" i="3"/>
  <c r="V2434" i="3"/>
  <c r="W2434" i="3"/>
  <c r="X2434" i="3"/>
  <c r="Y2434" i="3"/>
  <c r="T2432" i="3"/>
  <c r="U2432" i="3"/>
  <c r="V2432" i="3"/>
  <c r="W2432" i="3"/>
  <c r="X2432" i="3"/>
  <c r="Y2432" i="3"/>
  <c r="T2430" i="3"/>
  <c r="U2430" i="3"/>
  <c r="V2430" i="3"/>
  <c r="W2430" i="3"/>
  <c r="X2430" i="3"/>
  <c r="Y2430" i="3"/>
  <c r="T2428" i="3"/>
  <c r="U2428" i="3"/>
  <c r="V2428" i="3"/>
  <c r="W2428" i="3"/>
  <c r="X2428" i="3"/>
  <c r="Y2428" i="3"/>
  <c r="T2426" i="3"/>
  <c r="U2426" i="3"/>
  <c r="V2426" i="3"/>
  <c r="W2426" i="3"/>
  <c r="X2426" i="3"/>
  <c r="Y2426" i="3"/>
  <c r="T2424" i="3"/>
  <c r="U2424" i="3"/>
  <c r="V2424" i="3"/>
  <c r="W2424" i="3"/>
  <c r="X2424" i="3"/>
  <c r="Y2424" i="3"/>
  <c r="T2422" i="3"/>
  <c r="U2422" i="3"/>
  <c r="V2422" i="3"/>
  <c r="W2422" i="3"/>
  <c r="X2422" i="3"/>
  <c r="Y2422" i="3"/>
  <c r="S2409" i="3"/>
  <c r="Z2409" i="3" s="1"/>
  <c r="U2419" i="3"/>
  <c r="W2419" i="3"/>
  <c r="Y2419" i="3"/>
  <c r="T2419" i="3"/>
  <c r="V2419" i="3"/>
  <c r="X2419" i="3"/>
  <c r="U2415" i="3"/>
  <c r="W2415" i="3"/>
  <c r="Y2415" i="3"/>
  <c r="T2415" i="3"/>
  <c r="V2415" i="3"/>
  <c r="X2415" i="3"/>
  <c r="U2411" i="3"/>
  <c r="W2411" i="3"/>
  <c r="Y2411" i="3"/>
  <c r="T2411" i="3"/>
  <c r="V2411" i="3"/>
  <c r="X2411" i="3"/>
  <c r="U2417" i="3"/>
  <c r="W2417" i="3"/>
  <c r="Y2417" i="3"/>
  <c r="T2417" i="3"/>
  <c r="V2417" i="3"/>
  <c r="X2417" i="3"/>
  <c r="U2413" i="3"/>
  <c r="W2413" i="3"/>
  <c r="Y2413" i="3"/>
  <c r="T2413" i="3"/>
  <c r="V2413" i="3"/>
  <c r="X2413" i="3"/>
  <c r="T2418" i="3"/>
  <c r="V2418" i="3"/>
  <c r="X2418" i="3"/>
  <c r="U2418" i="3"/>
  <c r="W2418" i="3"/>
  <c r="Y2418" i="3"/>
  <c r="T2416" i="3"/>
  <c r="V2416" i="3"/>
  <c r="X2416" i="3"/>
  <c r="U2416" i="3"/>
  <c r="W2416" i="3"/>
  <c r="Y2416" i="3"/>
  <c r="T2414" i="3"/>
  <c r="V2414" i="3"/>
  <c r="X2414" i="3"/>
  <c r="U2414" i="3"/>
  <c r="W2414" i="3"/>
  <c r="Y2414" i="3"/>
  <c r="T2412" i="3"/>
  <c r="V2412" i="3"/>
  <c r="X2412" i="3"/>
  <c r="U2412" i="3"/>
  <c r="W2412" i="3"/>
  <c r="Y2412" i="3"/>
  <c r="T2410" i="3"/>
  <c r="V2410" i="3"/>
  <c r="X2410" i="3"/>
  <c r="U2410" i="3"/>
  <c r="W2410" i="3"/>
  <c r="Y2410" i="3"/>
  <c r="U2408" i="3"/>
  <c r="W2408" i="3"/>
  <c r="Y2408" i="3"/>
  <c r="T2408" i="3"/>
  <c r="V2408" i="3"/>
  <c r="X2408" i="3"/>
  <c r="U2406" i="3"/>
  <c r="W2406" i="3"/>
  <c r="Y2406" i="3"/>
  <c r="T2406" i="3"/>
  <c r="V2406" i="3"/>
  <c r="X2406" i="3"/>
  <c r="U2404" i="3"/>
  <c r="W2404" i="3"/>
  <c r="Y2404" i="3"/>
  <c r="T2404" i="3"/>
  <c r="V2404" i="3"/>
  <c r="X2404" i="3"/>
  <c r="U2402" i="3"/>
  <c r="W2402" i="3"/>
  <c r="Y2402" i="3"/>
  <c r="T2402" i="3"/>
  <c r="V2402" i="3"/>
  <c r="X2402" i="3"/>
  <c r="U2400" i="3"/>
  <c r="W2400" i="3"/>
  <c r="Y2400" i="3"/>
  <c r="T2400" i="3"/>
  <c r="V2400" i="3"/>
  <c r="X2400" i="3"/>
  <c r="T2407" i="3"/>
  <c r="V2407" i="3"/>
  <c r="X2407" i="3"/>
  <c r="U2407" i="3"/>
  <c r="W2407" i="3"/>
  <c r="Y2407" i="3"/>
  <c r="T2405" i="3"/>
  <c r="V2405" i="3"/>
  <c r="X2405" i="3"/>
  <c r="U2405" i="3"/>
  <c r="W2405" i="3"/>
  <c r="Y2405" i="3"/>
  <c r="T2403" i="3"/>
  <c r="V2403" i="3"/>
  <c r="X2403" i="3"/>
  <c r="U2403" i="3"/>
  <c r="W2403" i="3"/>
  <c r="Y2403" i="3"/>
  <c r="T2401" i="3"/>
  <c r="V2401" i="3"/>
  <c r="X2401" i="3"/>
  <c r="U2401" i="3"/>
  <c r="W2401" i="3"/>
  <c r="Y2401" i="3"/>
  <c r="T2399" i="3"/>
  <c r="V2399" i="3"/>
  <c r="X2399" i="3"/>
  <c r="U2399" i="3"/>
  <c r="W2399" i="3"/>
  <c r="Y2399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P2374" i="3"/>
  <c r="P2375" i="3"/>
  <c r="P2376" i="3"/>
  <c r="P2377" i="3"/>
  <c r="P2378" i="3"/>
  <c r="P2379" i="3"/>
  <c r="P2380" i="3"/>
  <c r="P2381" i="3"/>
  <c r="P2382" i="3"/>
  <c r="P2383" i="3"/>
  <c r="P2384" i="3"/>
  <c r="P2385" i="3"/>
  <c r="P2386" i="3"/>
  <c r="P2387" i="3"/>
  <c r="P2388" i="3"/>
  <c r="P2389" i="3"/>
  <c r="P2390" i="3"/>
  <c r="P2391" i="3"/>
  <c r="P2392" i="3"/>
  <c r="P2393" i="3"/>
  <c r="P2394" i="3"/>
  <c r="P2395" i="3"/>
  <c r="P2396" i="3"/>
  <c r="P2397" i="3"/>
  <c r="Q2374" i="3"/>
  <c r="Q2375" i="3"/>
  <c r="Q2376" i="3"/>
  <c r="Q2377" i="3"/>
  <c r="Q2378" i="3"/>
  <c r="Q2379" i="3"/>
  <c r="Q2380" i="3"/>
  <c r="Q2381" i="3"/>
  <c r="Q2382" i="3"/>
  <c r="Q2383" i="3"/>
  <c r="Q2384" i="3"/>
  <c r="Q2385" i="3"/>
  <c r="Q2386" i="3"/>
  <c r="Q2387" i="3"/>
  <c r="Q2388" i="3"/>
  <c r="Q2389" i="3"/>
  <c r="Q2390" i="3"/>
  <c r="Q2391" i="3"/>
  <c r="Q2392" i="3"/>
  <c r="Q2393" i="3"/>
  <c r="Q2394" i="3"/>
  <c r="Q2395" i="3"/>
  <c r="Q2396" i="3"/>
  <c r="Q2397" i="3"/>
  <c r="R2374" i="3"/>
  <c r="R2375" i="3"/>
  <c r="R2376" i="3"/>
  <c r="R2377" i="3"/>
  <c r="R2378" i="3"/>
  <c r="R2379" i="3"/>
  <c r="R2380" i="3"/>
  <c r="R2381" i="3"/>
  <c r="R2382" i="3"/>
  <c r="R2383" i="3"/>
  <c r="R2384" i="3"/>
  <c r="R2385" i="3"/>
  <c r="R2386" i="3"/>
  <c r="R2387" i="3"/>
  <c r="R2388" i="3"/>
  <c r="R2389" i="3"/>
  <c r="R2390" i="3"/>
  <c r="R2391" i="3"/>
  <c r="R2392" i="3"/>
  <c r="R2393" i="3"/>
  <c r="R2394" i="3"/>
  <c r="R2395" i="3"/>
  <c r="R2396" i="3"/>
  <c r="R2397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8" i="3"/>
  <c r="S2389" i="3"/>
  <c r="S2390" i="3"/>
  <c r="S2391" i="3"/>
  <c r="S2392" i="3"/>
  <c r="S2393" i="3"/>
  <c r="S2394" i="3"/>
  <c r="S2395" i="3"/>
  <c r="S2396" i="3"/>
  <c r="S2397" i="3"/>
  <c r="T2374" i="3"/>
  <c r="T2387" i="3"/>
  <c r="U2374" i="3"/>
  <c r="U2387" i="3"/>
  <c r="V2374" i="3"/>
  <c r="V2387" i="3"/>
  <c r="W2374" i="3"/>
  <c r="W2387" i="3"/>
  <c r="X2374" i="3"/>
  <c r="X2387" i="3"/>
  <c r="AA2374" i="3"/>
  <c r="AA2375" i="3"/>
  <c r="AA2376" i="3"/>
  <c r="AA2377" i="3"/>
  <c r="AA2378" i="3"/>
  <c r="AA2379" i="3"/>
  <c r="AA2380" i="3"/>
  <c r="AA2381" i="3"/>
  <c r="AA2382" i="3"/>
  <c r="AA2383" i="3"/>
  <c r="AA2384" i="3"/>
  <c r="AA2385" i="3"/>
  <c r="AA2386" i="3"/>
  <c r="AA2387" i="3"/>
  <c r="AA2388" i="3"/>
  <c r="AA2389" i="3"/>
  <c r="AA2390" i="3"/>
  <c r="AA2391" i="3"/>
  <c r="AA2392" i="3"/>
  <c r="AA2393" i="3"/>
  <c r="AA2394" i="3"/>
  <c r="AA2395" i="3"/>
  <c r="AA2396" i="3"/>
  <c r="AA2397" i="3"/>
  <c r="AB2374" i="3"/>
  <c r="O2374" i="3" s="1"/>
  <c r="Y2374" i="3" s="1"/>
  <c r="AB2375" i="3"/>
  <c r="O2375" i="3" s="1"/>
  <c r="AB2376" i="3"/>
  <c r="O2376" i="3" s="1"/>
  <c r="AB2377" i="3"/>
  <c r="O2377" i="3" s="1"/>
  <c r="AB2378" i="3"/>
  <c r="O2378" i="3" s="1"/>
  <c r="AB2379" i="3"/>
  <c r="O2379" i="3" s="1"/>
  <c r="AB2380" i="3"/>
  <c r="O2380" i="3" s="1"/>
  <c r="AB2381" i="3"/>
  <c r="O2381" i="3" s="1"/>
  <c r="AB2382" i="3"/>
  <c r="O2382" i="3" s="1"/>
  <c r="AB2383" i="3"/>
  <c r="O2383" i="3" s="1"/>
  <c r="AB2384" i="3"/>
  <c r="O2384" i="3" s="1"/>
  <c r="AB2385" i="3"/>
  <c r="O2385" i="3" s="1"/>
  <c r="AB2386" i="3"/>
  <c r="O2386" i="3" s="1"/>
  <c r="AB2387" i="3"/>
  <c r="O2387" i="3" s="1"/>
  <c r="Y2387" i="3" s="1"/>
  <c r="AB2388" i="3"/>
  <c r="O2388" i="3" s="1"/>
  <c r="AB2389" i="3"/>
  <c r="O2389" i="3" s="1"/>
  <c r="AB2390" i="3"/>
  <c r="O2390" i="3" s="1"/>
  <c r="AB2391" i="3"/>
  <c r="O2391" i="3" s="1"/>
  <c r="AB2392" i="3"/>
  <c r="O2392" i="3" s="1"/>
  <c r="AB2393" i="3"/>
  <c r="O2393" i="3" s="1"/>
  <c r="AB2394" i="3"/>
  <c r="O2394" i="3" s="1"/>
  <c r="AB2395" i="3"/>
  <c r="O2395" i="3" s="1"/>
  <c r="AB2396" i="3"/>
  <c r="O2396" i="3" s="1"/>
  <c r="AB2397" i="3"/>
  <c r="O2397" i="3" s="1"/>
  <c r="AC2374" i="3"/>
  <c r="N2374" i="3" s="1"/>
  <c r="S2374" i="3" s="1"/>
  <c r="Z2374" i="3" s="1"/>
  <c r="AC2375" i="3"/>
  <c r="N2375" i="3" s="1"/>
  <c r="AC2376" i="3"/>
  <c r="N2376" i="3" s="1"/>
  <c r="AC2377" i="3"/>
  <c r="N2377" i="3" s="1"/>
  <c r="AC2378" i="3"/>
  <c r="N2378" i="3" s="1"/>
  <c r="AC2379" i="3"/>
  <c r="N2379" i="3" s="1"/>
  <c r="AC2380" i="3"/>
  <c r="N2380" i="3" s="1"/>
  <c r="AC2381" i="3"/>
  <c r="N2381" i="3" s="1"/>
  <c r="AC2382" i="3"/>
  <c r="N2382" i="3" s="1"/>
  <c r="AC2383" i="3"/>
  <c r="N2383" i="3" s="1"/>
  <c r="AC2384" i="3"/>
  <c r="N2384" i="3" s="1"/>
  <c r="AC2385" i="3"/>
  <c r="N2385" i="3" s="1"/>
  <c r="AC2386" i="3"/>
  <c r="N2386" i="3" s="1"/>
  <c r="AC2387" i="3"/>
  <c r="N2387" i="3" s="1"/>
  <c r="AC2388" i="3"/>
  <c r="N2388" i="3" s="1"/>
  <c r="AC2389" i="3"/>
  <c r="N2389" i="3" s="1"/>
  <c r="AC2390" i="3"/>
  <c r="N2390" i="3" s="1"/>
  <c r="AC2391" i="3"/>
  <c r="N2391" i="3" s="1"/>
  <c r="AC2392" i="3"/>
  <c r="N2392" i="3" s="1"/>
  <c r="AC2393" i="3"/>
  <c r="N2393" i="3" s="1"/>
  <c r="AC2394" i="3"/>
  <c r="N2394" i="3" s="1"/>
  <c r="AC2395" i="3"/>
  <c r="N2395" i="3" s="1"/>
  <c r="AC2396" i="3"/>
  <c r="N2396" i="3" s="1"/>
  <c r="AC2397" i="3"/>
  <c r="N2397" i="3" s="1"/>
  <c r="AK2374" i="3"/>
  <c r="AK2375" i="3"/>
  <c r="AK2376" i="3"/>
  <c r="AK2377" i="3"/>
  <c r="AK2378" i="3"/>
  <c r="AK2379" i="3"/>
  <c r="AK2380" i="3"/>
  <c r="AK2381" i="3"/>
  <c r="AK2382" i="3"/>
  <c r="AK2383" i="3"/>
  <c r="AK2384" i="3"/>
  <c r="AK2385" i="3"/>
  <c r="AK2386" i="3"/>
  <c r="AK2387" i="3"/>
  <c r="AK2388" i="3"/>
  <c r="AK2389" i="3"/>
  <c r="AK2390" i="3"/>
  <c r="AK2391" i="3"/>
  <c r="AK2392" i="3"/>
  <c r="AK2393" i="3"/>
  <c r="AK2394" i="3"/>
  <c r="AK2395" i="3"/>
  <c r="AK2396" i="3"/>
  <c r="AK2397" i="3"/>
  <c r="M134" i="10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P2361" i="3"/>
  <c r="P2362" i="3"/>
  <c r="P2363" i="3"/>
  <c r="P2364" i="3"/>
  <c r="P2365" i="3"/>
  <c r="P2366" i="3"/>
  <c r="P2367" i="3"/>
  <c r="P2368" i="3"/>
  <c r="P2369" i="3"/>
  <c r="P2370" i="3"/>
  <c r="P2371" i="3"/>
  <c r="P2372" i="3"/>
  <c r="P2373" i="3"/>
  <c r="Q2361" i="3"/>
  <c r="Q2362" i="3"/>
  <c r="Q2363" i="3"/>
  <c r="Q2364" i="3"/>
  <c r="Q2365" i="3"/>
  <c r="Q2366" i="3"/>
  <c r="Q2367" i="3"/>
  <c r="Q2368" i="3"/>
  <c r="Q2369" i="3"/>
  <c r="Q2370" i="3"/>
  <c r="Q2371" i="3"/>
  <c r="Q2372" i="3"/>
  <c r="Q2373" i="3"/>
  <c r="R2361" i="3"/>
  <c r="R2362" i="3"/>
  <c r="R2363" i="3"/>
  <c r="R2364" i="3"/>
  <c r="R2365" i="3"/>
  <c r="R2366" i="3"/>
  <c r="R2367" i="3"/>
  <c r="R2368" i="3"/>
  <c r="R2369" i="3"/>
  <c r="R2370" i="3"/>
  <c r="R2371" i="3"/>
  <c r="R2372" i="3"/>
  <c r="R2373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T2361" i="3"/>
  <c r="U2361" i="3"/>
  <c r="V2361" i="3"/>
  <c r="W2361" i="3"/>
  <c r="X2361" i="3"/>
  <c r="AA2361" i="3"/>
  <c r="AA2362" i="3"/>
  <c r="AA2363" i="3"/>
  <c r="AA2364" i="3"/>
  <c r="AA2365" i="3"/>
  <c r="AA2366" i="3"/>
  <c r="AA2367" i="3"/>
  <c r="AA2368" i="3"/>
  <c r="AA2369" i="3"/>
  <c r="AA2370" i="3"/>
  <c r="AA2371" i="3"/>
  <c r="AA2372" i="3"/>
  <c r="AA2373" i="3"/>
  <c r="AB2361" i="3"/>
  <c r="O2361" i="3" s="1"/>
  <c r="Y2361" i="3" s="1"/>
  <c r="AB2362" i="3"/>
  <c r="O2362" i="3" s="1"/>
  <c r="AB2363" i="3"/>
  <c r="O2363" i="3" s="1"/>
  <c r="AB2364" i="3"/>
  <c r="O2364" i="3" s="1"/>
  <c r="AB2365" i="3"/>
  <c r="O2365" i="3" s="1"/>
  <c r="AB2366" i="3"/>
  <c r="O2366" i="3" s="1"/>
  <c r="AB2367" i="3"/>
  <c r="O2367" i="3" s="1"/>
  <c r="AB2368" i="3"/>
  <c r="O2368" i="3" s="1"/>
  <c r="AB2369" i="3"/>
  <c r="O2369" i="3" s="1"/>
  <c r="AB2370" i="3"/>
  <c r="O2370" i="3" s="1"/>
  <c r="AB2371" i="3"/>
  <c r="O2371" i="3" s="1"/>
  <c r="AB2372" i="3"/>
  <c r="O2372" i="3" s="1"/>
  <c r="AB2373" i="3"/>
  <c r="O2373" i="3" s="1"/>
  <c r="AC2361" i="3"/>
  <c r="N2361" i="3" s="1"/>
  <c r="AC2362" i="3"/>
  <c r="N2362" i="3" s="1"/>
  <c r="AC2363" i="3"/>
  <c r="N2363" i="3" s="1"/>
  <c r="AC2364" i="3"/>
  <c r="N2364" i="3" s="1"/>
  <c r="AC2365" i="3"/>
  <c r="N2365" i="3" s="1"/>
  <c r="AC2366" i="3"/>
  <c r="N2366" i="3" s="1"/>
  <c r="AC2367" i="3"/>
  <c r="N2367" i="3" s="1"/>
  <c r="AC2368" i="3"/>
  <c r="N2368" i="3" s="1"/>
  <c r="AC2369" i="3"/>
  <c r="N2369" i="3" s="1"/>
  <c r="AC2370" i="3"/>
  <c r="N2370" i="3" s="1"/>
  <c r="AC2371" i="3"/>
  <c r="N2371" i="3" s="1"/>
  <c r="AC2372" i="3"/>
  <c r="N2372" i="3" s="1"/>
  <c r="AC2373" i="3"/>
  <c r="N2373" i="3" s="1"/>
  <c r="AK2361" i="3"/>
  <c r="AK2362" i="3"/>
  <c r="AK2363" i="3"/>
  <c r="AK2364" i="3"/>
  <c r="AK2365" i="3"/>
  <c r="AK2366" i="3"/>
  <c r="AK2367" i="3"/>
  <c r="AK2368" i="3"/>
  <c r="AK2369" i="3"/>
  <c r="AK2370" i="3"/>
  <c r="AK2371" i="3"/>
  <c r="AK2372" i="3"/>
  <c r="AK2373" i="3"/>
  <c r="M133" i="10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P2338" i="3"/>
  <c r="P2339" i="3"/>
  <c r="P2340" i="3"/>
  <c r="P2341" i="3"/>
  <c r="P2342" i="3"/>
  <c r="P2343" i="3"/>
  <c r="P2344" i="3"/>
  <c r="P2345" i="3"/>
  <c r="P2346" i="3"/>
  <c r="P2347" i="3"/>
  <c r="P2348" i="3"/>
  <c r="P2349" i="3"/>
  <c r="P2350" i="3"/>
  <c r="P2351" i="3"/>
  <c r="P2352" i="3"/>
  <c r="P2353" i="3"/>
  <c r="P2354" i="3"/>
  <c r="P2355" i="3"/>
  <c r="P2356" i="3"/>
  <c r="P2357" i="3"/>
  <c r="P2358" i="3"/>
  <c r="P2359" i="3"/>
  <c r="P2360" i="3"/>
  <c r="Q2338" i="3"/>
  <c r="Q2339" i="3"/>
  <c r="Q2340" i="3"/>
  <c r="Q2341" i="3"/>
  <c r="Q2342" i="3"/>
  <c r="Q2343" i="3"/>
  <c r="Q2344" i="3"/>
  <c r="Q2345" i="3"/>
  <c r="Q2346" i="3"/>
  <c r="Q2347" i="3"/>
  <c r="Q2348" i="3"/>
  <c r="Q2349" i="3"/>
  <c r="Q2350" i="3"/>
  <c r="Q2351" i="3"/>
  <c r="Q2352" i="3"/>
  <c r="Q2353" i="3"/>
  <c r="Q2354" i="3"/>
  <c r="Q2355" i="3"/>
  <c r="Q2356" i="3"/>
  <c r="Q2357" i="3"/>
  <c r="Q2358" i="3"/>
  <c r="Q2359" i="3"/>
  <c r="Q2360" i="3"/>
  <c r="R2338" i="3"/>
  <c r="R2339" i="3"/>
  <c r="R2340" i="3"/>
  <c r="R2341" i="3"/>
  <c r="R2342" i="3"/>
  <c r="R2343" i="3"/>
  <c r="R2344" i="3"/>
  <c r="R2345" i="3"/>
  <c r="R2346" i="3"/>
  <c r="R2347" i="3"/>
  <c r="R2348" i="3"/>
  <c r="R2349" i="3"/>
  <c r="R2350" i="3"/>
  <c r="R2351" i="3"/>
  <c r="R2352" i="3"/>
  <c r="R2353" i="3"/>
  <c r="R2354" i="3"/>
  <c r="R2355" i="3"/>
  <c r="R2356" i="3"/>
  <c r="R2357" i="3"/>
  <c r="R2358" i="3"/>
  <c r="R2359" i="3"/>
  <c r="R2360" i="3"/>
  <c r="S2339" i="3"/>
  <c r="S2340" i="3"/>
  <c r="S2341" i="3"/>
  <c r="S2342" i="3"/>
  <c r="S2343" i="3"/>
  <c r="S2344" i="3"/>
  <c r="S2345" i="3"/>
  <c r="S2346" i="3"/>
  <c r="S2347" i="3"/>
  <c r="S2348" i="3"/>
  <c r="S2349" i="3"/>
  <c r="S2351" i="3"/>
  <c r="S2352" i="3"/>
  <c r="S2353" i="3"/>
  <c r="S2354" i="3"/>
  <c r="S2355" i="3"/>
  <c r="S2356" i="3"/>
  <c r="S2357" i="3"/>
  <c r="S2358" i="3"/>
  <c r="S2359" i="3"/>
  <c r="S2360" i="3"/>
  <c r="T2338" i="3"/>
  <c r="T2350" i="3"/>
  <c r="U2338" i="3"/>
  <c r="U2350" i="3"/>
  <c r="V2338" i="3"/>
  <c r="V2350" i="3"/>
  <c r="W2338" i="3"/>
  <c r="W2350" i="3"/>
  <c r="X2338" i="3"/>
  <c r="X2350" i="3"/>
  <c r="AA2338" i="3"/>
  <c r="AA2339" i="3"/>
  <c r="AA2340" i="3"/>
  <c r="AA2341" i="3"/>
  <c r="AA2342" i="3"/>
  <c r="AA2343" i="3"/>
  <c r="AA2344" i="3"/>
  <c r="AA2345" i="3"/>
  <c r="AA2346" i="3"/>
  <c r="AA2347" i="3"/>
  <c r="AA2348" i="3"/>
  <c r="AA2349" i="3"/>
  <c r="AA2350" i="3"/>
  <c r="AA2351" i="3"/>
  <c r="AA2352" i="3"/>
  <c r="AA2353" i="3"/>
  <c r="AA2354" i="3"/>
  <c r="AA2355" i="3"/>
  <c r="AA2356" i="3"/>
  <c r="AA2357" i="3"/>
  <c r="AA2358" i="3"/>
  <c r="AA2359" i="3"/>
  <c r="AA2360" i="3"/>
  <c r="AB2338" i="3"/>
  <c r="O2338" i="3" s="1"/>
  <c r="Y2338" i="3" s="1"/>
  <c r="AB2339" i="3"/>
  <c r="O2339" i="3" s="1"/>
  <c r="AB2340" i="3"/>
  <c r="O2340" i="3" s="1"/>
  <c r="AB2341" i="3"/>
  <c r="O2341" i="3" s="1"/>
  <c r="AB2342" i="3"/>
  <c r="O2342" i="3" s="1"/>
  <c r="AB2343" i="3"/>
  <c r="O2343" i="3" s="1"/>
  <c r="AB2344" i="3"/>
  <c r="O2344" i="3" s="1"/>
  <c r="AB2345" i="3"/>
  <c r="O2345" i="3" s="1"/>
  <c r="AB2346" i="3"/>
  <c r="O2346" i="3" s="1"/>
  <c r="AB2347" i="3"/>
  <c r="O2347" i="3" s="1"/>
  <c r="AB2348" i="3"/>
  <c r="O2348" i="3" s="1"/>
  <c r="AB2349" i="3"/>
  <c r="O2349" i="3" s="1"/>
  <c r="AB2350" i="3"/>
  <c r="O2350" i="3" s="1"/>
  <c r="Y2350" i="3" s="1"/>
  <c r="AB2351" i="3"/>
  <c r="O2351" i="3" s="1"/>
  <c r="AB2352" i="3"/>
  <c r="O2352" i="3" s="1"/>
  <c r="AB2353" i="3"/>
  <c r="O2353" i="3" s="1"/>
  <c r="AB2354" i="3"/>
  <c r="O2354" i="3" s="1"/>
  <c r="AB2355" i="3"/>
  <c r="O2355" i="3" s="1"/>
  <c r="AB2356" i="3"/>
  <c r="O2356" i="3" s="1"/>
  <c r="AB2357" i="3"/>
  <c r="O2357" i="3" s="1"/>
  <c r="AB2358" i="3"/>
  <c r="O2358" i="3" s="1"/>
  <c r="AB2359" i="3"/>
  <c r="O2359" i="3" s="1"/>
  <c r="AB2360" i="3"/>
  <c r="O2360" i="3" s="1"/>
  <c r="AC2338" i="3"/>
  <c r="N2338" i="3" s="1"/>
  <c r="AC2339" i="3"/>
  <c r="N2339" i="3" s="1"/>
  <c r="AC2340" i="3"/>
  <c r="N2340" i="3" s="1"/>
  <c r="AC2341" i="3"/>
  <c r="N2341" i="3" s="1"/>
  <c r="AC2342" i="3"/>
  <c r="N2342" i="3" s="1"/>
  <c r="AC2343" i="3"/>
  <c r="N2343" i="3" s="1"/>
  <c r="AC2344" i="3"/>
  <c r="N2344" i="3" s="1"/>
  <c r="AC2345" i="3"/>
  <c r="N2345" i="3" s="1"/>
  <c r="AC2346" i="3"/>
  <c r="N2346" i="3" s="1"/>
  <c r="AC2347" i="3"/>
  <c r="N2347" i="3" s="1"/>
  <c r="AC2348" i="3"/>
  <c r="N2348" i="3" s="1"/>
  <c r="AC2349" i="3"/>
  <c r="N2349" i="3" s="1"/>
  <c r="AC2350" i="3"/>
  <c r="N2350" i="3" s="1"/>
  <c r="AC2351" i="3"/>
  <c r="N2351" i="3" s="1"/>
  <c r="AC2352" i="3"/>
  <c r="N2352" i="3" s="1"/>
  <c r="AC2353" i="3"/>
  <c r="N2353" i="3" s="1"/>
  <c r="AC2354" i="3"/>
  <c r="N2354" i="3" s="1"/>
  <c r="AC2355" i="3"/>
  <c r="N2355" i="3" s="1"/>
  <c r="AC2356" i="3"/>
  <c r="N2356" i="3" s="1"/>
  <c r="AC2357" i="3"/>
  <c r="N2357" i="3" s="1"/>
  <c r="AC2358" i="3"/>
  <c r="N2358" i="3" s="1"/>
  <c r="AC2359" i="3"/>
  <c r="N2359" i="3" s="1"/>
  <c r="AC2360" i="3"/>
  <c r="N2360" i="3" s="1"/>
  <c r="AK2338" i="3"/>
  <c r="AK2339" i="3"/>
  <c r="AK2340" i="3"/>
  <c r="AK2341" i="3"/>
  <c r="AK2342" i="3"/>
  <c r="AK2343" i="3"/>
  <c r="AK2344" i="3"/>
  <c r="AK2345" i="3"/>
  <c r="AK2346" i="3"/>
  <c r="AK2347" i="3"/>
  <c r="AK2348" i="3"/>
  <c r="AK2349" i="3"/>
  <c r="AK2350" i="3"/>
  <c r="AK2351" i="3"/>
  <c r="AK2352" i="3"/>
  <c r="AK2353" i="3"/>
  <c r="AK2354" i="3"/>
  <c r="AK2355" i="3"/>
  <c r="AK2356" i="3"/>
  <c r="AK2357" i="3"/>
  <c r="AK2358" i="3"/>
  <c r="AK2359" i="3"/>
  <c r="AK2360" i="3"/>
  <c r="M132" i="10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P2316" i="3"/>
  <c r="P2317" i="3"/>
  <c r="P2318" i="3"/>
  <c r="P2319" i="3"/>
  <c r="P2320" i="3"/>
  <c r="P2321" i="3"/>
  <c r="P2322" i="3"/>
  <c r="P2323" i="3"/>
  <c r="P2324" i="3"/>
  <c r="P2325" i="3"/>
  <c r="P2326" i="3"/>
  <c r="P2327" i="3"/>
  <c r="P2328" i="3"/>
  <c r="P2329" i="3"/>
  <c r="P2330" i="3"/>
  <c r="P2331" i="3"/>
  <c r="P2332" i="3"/>
  <c r="P2333" i="3"/>
  <c r="P2334" i="3"/>
  <c r="P2335" i="3"/>
  <c r="P2336" i="3"/>
  <c r="P2337" i="3"/>
  <c r="Q2316" i="3"/>
  <c r="Q2317" i="3"/>
  <c r="Q2318" i="3"/>
  <c r="Q2319" i="3"/>
  <c r="Q2320" i="3"/>
  <c r="Q2321" i="3"/>
  <c r="Q2322" i="3"/>
  <c r="Q2323" i="3"/>
  <c r="Q2324" i="3"/>
  <c r="Q2325" i="3"/>
  <c r="Q2326" i="3"/>
  <c r="Q2327" i="3"/>
  <c r="Q2328" i="3"/>
  <c r="Q2329" i="3"/>
  <c r="Q2330" i="3"/>
  <c r="Q2331" i="3"/>
  <c r="Q2332" i="3"/>
  <c r="Q2333" i="3"/>
  <c r="Q2334" i="3"/>
  <c r="Q2335" i="3"/>
  <c r="Q2336" i="3"/>
  <c r="Q2337" i="3"/>
  <c r="R2316" i="3"/>
  <c r="R2317" i="3"/>
  <c r="R2318" i="3"/>
  <c r="R2319" i="3"/>
  <c r="R2320" i="3"/>
  <c r="R2321" i="3"/>
  <c r="R2322" i="3"/>
  <c r="R2323" i="3"/>
  <c r="R2324" i="3"/>
  <c r="R2325" i="3"/>
  <c r="R2326" i="3"/>
  <c r="R2327" i="3"/>
  <c r="R2328" i="3"/>
  <c r="R2329" i="3"/>
  <c r="R2330" i="3"/>
  <c r="R2331" i="3"/>
  <c r="R2332" i="3"/>
  <c r="R2333" i="3"/>
  <c r="R2334" i="3"/>
  <c r="R2335" i="3"/>
  <c r="R2336" i="3"/>
  <c r="R2337" i="3"/>
  <c r="S2317" i="3"/>
  <c r="S2318" i="3"/>
  <c r="S2319" i="3"/>
  <c r="S2320" i="3"/>
  <c r="S2321" i="3"/>
  <c r="S2322" i="3"/>
  <c r="S2323" i="3"/>
  <c r="S2324" i="3"/>
  <c r="S2325" i="3"/>
  <c r="S2326" i="3"/>
  <c r="S2328" i="3"/>
  <c r="S2329" i="3"/>
  <c r="S2330" i="3"/>
  <c r="S2331" i="3"/>
  <c r="S2332" i="3"/>
  <c r="S2333" i="3"/>
  <c r="S2334" i="3"/>
  <c r="S2335" i="3"/>
  <c r="S2336" i="3"/>
  <c r="S2337" i="3"/>
  <c r="T2316" i="3"/>
  <c r="T2327" i="3"/>
  <c r="U2316" i="3"/>
  <c r="U2327" i="3"/>
  <c r="V2316" i="3"/>
  <c r="V2327" i="3"/>
  <c r="W2316" i="3"/>
  <c r="W2327" i="3"/>
  <c r="X2316" i="3"/>
  <c r="X2327" i="3"/>
  <c r="AA2316" i="3"/>
  <c r="AA2317" i="3"/>
  <c r="AA2318" i="3"/>
  <c r="AA2319" i="3"/>
  <c r="AA2320" i="3"/>
  <c r="AA2321" i="3"/>
  <c r="AA2322" i="3"/>
  <c r="AA2323" i="3"/>
  <c r="AA2324" i="3"/>
  <c r="AA2325" i="3"/>
  <c r="AA2326" i="3"/>
  <c r="AA2327" i="3"/>
  <c r="AA2328" i="3"/>
  <c r="AA2329" i="3"/>
  <c r="AA2330" i="3"/>
  <c r="AA2331" i="3"/>
  <c r="AA2332" i="3"/>
  <c r="AA2333" i="3"/>
  <c r="AA2334" i="3"/>
  <c r="AA2335" i="3"/>
  <c r="AA2336" i="3"/>
  <c r="AA2337" i="3"/>
  <c r="AB2316" i="3"/>
  <c r="O2316" i="3" s="1"/>
  <c r="Y2316" i="3" s="1"/>
  <c r="AB2317" i="3"/>
  <c r="O2317" i="3" s="1"/>
  <c r="AB2318" i="3"/>
  <c r="O2318" i="3" s="1"/>
  <c r="AB2319" i="3"/>
  <c r="O2319" i="3" s="1"/>
  <c r="AB2320" i="3"/>
  <c r="O2320" i="3" s="1"/>
  <c r="AB2321" i="3"/>
  <c r="O2321" i="3" s="1"/>
  <c r="AB2322" i="3"/>
  <c r="O2322" i="3" s="1"/>
  <c r="AB2323" i="3"/>
  <c r="O2323" i="3" s="1"/>
  <c r="AB2324" i="3"/>
  <c r="O2324" i="3" s="1"/>
  <c r="AB2325" i="3"/>
  <c r="O2325" i="3" s="1"/>
  <c r="AB2326" i="3"/>
  <c r="O2326" i="3" s="1"/>
  <c r="AB2327" i="3"/>
  <c r="O2327" i="3" s="1"/>
  <c r="Y2327" i="3" s="1"/>
  <c r="AB2328" i="3"/>
  <c r="O2328" i="3" s="1"/>
  <c r="AB2329" i="3"/>
  <c r="O2329" i="3" s="1"/>
  <c r="AB2330" i="3"/>
  <c r="O2330" i="3" s="1"/>
  <c r="AB2331" i="3"/>
  <c r="O2331" i="3" s="1"/>
  <c r="AB2332" i="3"/>
  <c r="O2332" i="3" s="1"/>
  <c r="AB2333" i="3"/>
  <c r="O2333" i="3" s="1"/>
  <c r="AB2334" i="3"/>
  <c r="O2334" i="3" s="1"/>
  <c r="AB2335" i="3"/>
  <c r="O2335" i="3" s="1"/>
  <c r="AB2336" i="3"/>
  <c r="O2336" i="3" s="1"/>
  <c r="AB2337" i="3"/>
  <c r="O2337" i="3" s="1"/>
  <c r="AC2316" i="3"/>
  <c r="N2316" i="3" s="1"/>
  <c r="S2316" i="3" s="1"/>
  <c r="AC2317" i="3"/>
  <c r="N2317" i="3" s="1"/>
  <c r="AC2318" i="3"/>
  <c r="N2318" i="3" s="1"/>
  <c r="AC2319" i="3"/>
  <c r="N2319" i="3" s="1"/>
  <c r="AC2320" i="3"/>
  <c r="N2320" i="3" s="1"/>
  <c r="AC2321" i="3"/>
  <c r="N2321" i="3" s="1"/>
  <c r="AC2322" i="3"/>
  <c r="N2322" i="3" s="1"/>
  <c r="AC2323" i="3"/>
  <c r="N2323" i="3" s="1"/>
  <c r="AC2324" i="3"/>
  <c r="N2324" i="3" s="1"/>
  <c r="AC2325" i="3"/>
  <c r="N2325" i="3" s="1"/>
  <c r="AC2326" i="3"/>
  <c r="N2326" i="3" s="1"/>
  <c r="AC2327" i="3"/>
  <c r="N2327" i="3" s="1"/>
  <c r="S2327" i="3" s="1"/>
  <c r="AC2328" i="3"/>
  <c r="N2328" i="3" s="1"/>
  <c r="AC2329" i="3"/>
  <c r="N2329" i="3" s="1"/>
  <c r="AC2330" i="3"/>
  <c r="N2330" i="3" s="1"/>
  <c r="AC2331" i="3"/>
  <c r="N2331" i="3" s="1"/>
  <c r="AC2332" i="3"/>
  <c r="N2332" i="3" s="1"/>
  <c r="AC2333" i="3"/>
  <c r="N2333" i="3" s="1"/>
  <c r="AC2334" i="3"/>
  <c r="N2334" i="3" s="1"/>
  <c r="AC2335" i="3"/>
  <c r="N2335" i="3" s="1"/>
  <c r="AC2336" i="3"/>
  <c r="N2336" i="3" s="1"/>
  <c r="AC2337" i="3"/>
  <c r="N2337" i="3" s="1"/>
  <c r="AK2316" i="3"/>
  <c r="AK2317" i="3"/>
  <c r="AK2318" i="3"/>
  <c r="AK2319" i="3"/>
  <c r="AK2320" i="3"/>
  <c r="AK2321" i="3"/>
  <c r="AK2322" i="3"/>
  <c r="AK2323" i="3"/>
  <c r="AK2324" i="3"/>
  <c r="AK2325" i="3"/>
  <c r="AK2326" i="3"/>
  <c r="AK2327" i="3"/>
  <c r="AK2328" i="3"/>
  <c r="AK2329" i="3"/>
  <c r="AK2330" i="3"/>
  <c r="AK2331" i="3"/>
  <c r="AK2332" i="3"/>
  <c r="AK2333" i="3"/>
  <c r="AK2334" i="3"/>
  <c r="AK2335" i="3"/>
  <c r="AK2336" i="3"/>
  <c r="AK2337" i="3"/>
  <c r="M131" i="10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P2294" i="3"/>
  <c r="P2295" i="3"/>
  <c r="P2296" i="3"/>
  <c r="P2297" i="3"/>
  <c r="P2298" i="3"/>
  <c r="P2299" i="3"/>
  <c r="P2300" i="3"/>
  <c r="P2301" i="3"/>
  <c r="P2302" i="3"/>
  <c r="P2303" i="3"/>
  <c r="P2304" i="3"/>
  <c r="P2305" i="3"/>
  <c r="P2306" i="3"/>
  <c r="P2307" i="3"/>
  <c r="P2308" i="3"/>
  <c r="P2309" i="3"/>
  <c r="P2310" i="3"/>
  <c r="P2311" i="3"/>
  <c r="P2312" i="3"/>
  <c r="P2313" i="3"/>
  <c r="P2314" i="3"/>
  <c r="P2315" i="3"/>
  <c r="Q2294" i="3"/>
  <c r="Q2295" i="3"/>
  <c r="Q2296" i="3"/>
  <c r="Q2297" i="3"/>
  <c r="Q2298" i="3"/>
  <c r="Q2299" i="3"/>
  <c r="Q2300" i="3"/>
  <c r="Q2301" i="3"/>
  <c r="Q2302" i="3"/>
  <c r="Q2303" i="3"/>
  <c r="Q2304" i="3"/>
  <c r="Q2305" i="3"/>
  <c r="Q2306" i="3"/>
  <c r="Q2307" i="3"/>
  <c r="Q2308" i="3"/>
  <c r="Q2309" i="3"/>
  <c r="Q2310" i="3"/>
  <c r="Q2311" i="3"/>
  <c r="Q2312" i="3"/>
  <c r="Q2313" i="3"/>
  <c r="Q2314" i="3"/>
  <c r="Q2315" i="3"/>
  <c r="R2294" i="3"/>
  <c r="R2295" i="3"/>
  <c r="R2296" i="3"/>
  <c r="R2297" i="3"/>
  <c r="R2298" i="3"/>
  <c r="R2299" i="3"/>
  <c r="R2300" i="3"/>
  <c r="R2301" i="3"/>
  <c r="R2302" i="3"/>
  <c r="R2303" i="3"/>
  <c r="R2304" i="3"/>
  <c r="R2305" i="3"/>
  <c r="R2306" i="3"/>
  <c r="R2307" i="3"/>
  <c r="R2308" i="3"/>
  <c r="R2309" i="3"/>
  <c r="R2310" i="3"/>
  <c r="R2311" i="3"/>
  <c r="R2312" i="3"/>
  <c r="R2313" i="3"/>
  <c r="R2314" i="3"/>
  <c r="R2315" i="3"/>
  <c r="S2295" i="3"/>
  <c r="S2296" i="3"/>
  <c r="S2297" i="3"/>
  <c r="S2298" i="3"/>
  <c r="S2299" i="3"/>
  <c r="S2300" i="3"/>
  <c r="S2301" i="3"/>
  <c r="S2302" i="3"/>
  <c r="S2303" i="3"/>
  <c r="S2304" i="3"/>
  <c r="S2306" i="3"/>
  <c r="S2307" i="3"/>
  <c r="S2308" i="3"/>
  <c r="S2309" i="3"/>
  <c r="S2310" i="3"/>
  <c r="S2311" i="3"/>
  <c r="S2312" i="3"/>
  <c r="S2313" i="3"/>
  <c r="S2314" i="3"/>
  <c r="S2315" i="3"/>
  <c r="T2294" i="3"/>
  <c r="T2305" i="3"/>
  <c r="U2294" i="3"/>
  <c r="U2305" i="3"/>
  <c r="V2294" i="3"/>
  <c r="V2305" i="3"/>
  <c r="W2294" i="3"/>
  <c r="W2305" i="3"/>
  <c r="X2294" i="3"/>
  <c r="X2305" i="3"/>
  <c r="AA2294" i="3"/>
  <c r="AA2295" i="3"/>
  <c r="AA2296" i="3"/>
  <c r="AA2297" i="3"/>
  <c r="AA2298" i="3"/>
  <c r="AA2299" i="3"/>
  <c r="AA2300" i="3"/>
  <c r="AA2301" i="3"/>
  <c r="AA2302" i="3"/>
  <c r="AA2303" i="3"/>
  <c r="AA2304" i="3"/>
  <c r="AA2305" i="3"/>
  <c r="AA2306" i="3"/>
  <c r="AA2307" i="3"/>
  <c r="AA2308" i="3"/>
  <c r="AA2309" i="3"/>
  <c r="AA2310" i="3"/>
  <c r="AA2311" i="3"/>
  <c r="AA2312" i="3"/>
  <c r="AA2313" i="3"/>
  <c r="AA2314" i="3"/>
  <c r="AA2315" i="3"/>
  <c r="AB2294" i="3"/>
  <c r="O2294" i="3" s="1"/>
  <c r="Y2294" i="3" s="1"/>
  <c r="AB2295" i="3"/>
  <c r="O2295" i="3" s="1"/>
  <c r="AB2296" i="3"/>
  <c r="O2296" i="3" s="1"/>
  <c r="AB2297" i="3"/>
  <c r="O2297" i="3" s="1"/>
  <c r="AB2298" i="3"/>
  <c r="O2298" i="3" s="1"/>
  <c r="AB2299" i="3"/>
  <c r="O2299" i="3" s="1"/>
  <c r="AB2300" i="3"/>
  <c r="O2300" i="3" s="1"/>
  <c r="AB2301" i="3"/>
  <c r="O2301" i="3" s="1"/>
  <c r="AB2302" i="3"/>
  <c r="O2302" i="3" s="1"/>
  <c r="AB2303" i="3"/>
  <c r="O2303" i="3" s="1"/>
  <c r="AB2304" i="3"/>
  <c r="O2304" i="3" s="1"/>
  <c r="AB2305" i="3"/>
  <c r="O2305" i="3" s="1"/>
  <c r="Y2305" i="3" s="1"/>
  <c r="AB2306" i="3"/>
  <c r="O2306" i="3" s="1"/>
  <c r="AB2307" i="3"/>
  <c r="O2307" i="3" s="1"/>
  <c r="AB2308" i="3"/>
  <c r="O2308" i="3" s="1"/>
  <c r="AB2309" i="3"/>
  <c r="O2309" i="3" s="1"/>
  <c r="AB2310" i="3"/>
  <c r="O2310" i="3" s="1"/>
  <c r="AB2311" i="3"/>
  <c r="O2311" i="3" s="1"/>
  <c r="AB2312" i="3"/>
  <c r="O2312" i="3" s="1"/>
  <c r="AB2313" i="3"/>
  <c r="O2313" i="3" s="1"/>
  <c r="AB2314" i="3"/>
  <c r="O2314" i="3" s="1"/>
  <c r="AB2315" i="3"/>
  <c r="O2315" i="3" s="1"/>
  <c r="AC2294" i="3"/>
  <c r="N2294" i="3" s="1"/>
  <c r="AC2295" i="3"/>
  <c r="N2295" i="3" s="1"/>
  <c r="AC2296" i="3"/>
  <c r="N2296" i="3" s="1"/>
  <c r="AC2297" i="3"/>
  <c r="N2297" i="3" s="1"/>
  <c r="AC2298" i="3"/>
  <c r="N2298" i="3" s="1"/>
  <c r="AC2299" i="3"/>
  <c r="N2299" i="3" s="1"/>
  <c r="AC2300" i="3"/>
  <c r="N2300" i="3" s="1"/>
  <c r="AC2301" i="3"/>
  <c r="N2301" i="3" s="1"/>
  <c r="AC2302" i="3"/>
  <c r="N2302" i="3" s="1"/>
  <c r="AC2303" i="3"/>
  <c r="N2303" i="3" s="1"/>
  <c r="AC2304" i="3"/>
  <c r="N2304" i="3" s="1"/>
  <c r="AC2305" i="3"/>
  <c r="N2305" i="3" s="1"/>
  <c r="S2305" i="3" s="1"/>
  <c r="Z2305" i="3" s="1"/>
  <c r="AC2306" i="3"/>
  <c r="N2306" i="3" s="1"/>
  <c r="AC2307" i="3"/>
  <c r="N2307" i="3" s="1"/>
  <c r="AC2308" i="3"/>
  <c r="N2308" i="3" s="1"/>
  <c r="AC2309" i="3"/>
  <c r="N2309" i="3" s="1"/>
  <c r="AC2310" i="3"/>
  <c r="N2310" i="3" s="1"/>
  <c r="AC2311" i="3"/>
  <c r="N2311" i="3" s="1"/>
  <c r="AC2312" i="3"/>
  <c r="N2312" i="3" s="1"/>
  <c r="AC2313" i="3"/>
  <c r="N2313" i="3" s="1"/>
  <c r="AC2314" i="3"/>
  <c r="N2314" i="3" s="1"/>
  <c r="AC2315" i="3"/>
  <c r="N2315" i="3" s="1"/>
  <c r="AK2294" i="3"/>
  <c r="AK2295" i="3"/>
  <c r="AK2296" i="3"/>
  <c r="AK2297" i="3"/>
  <c r="AK2298" i="3"/>
  <c r="AK2299" i="3"/>
  <c r="AK2300" i="3"/>
  <c r="AK2301" i="3"/>
  <c r="AK2302" i="3"/>
  <c r="AK2303" i="3"/>
  <c r="AK2304" i="3"/>
  <c r="AK2305" i="3"/>
  <c r="AK2306" i="3"/>
  <c r="AK2307" i="3"/>
  <c r="AK2308" i="3"/>
  <c r="AK2309" i="3"/>
  <c r="AK2310" i="3"/>
  <c r="AK2311" i="3"/>
  <c r="AK2312" i="3"/>
  <c r="AK2313" i="3"/>
  <c r="AK2314" i="3"/>
  <c r="AK2315" i="3"/>
  <c r="M130" i="10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P2269" i="3"/>
  <c r="P2270" i="3"/>
  <c r="P2271" i="3"/>
  <c r="P2272" i="3"/>
  <c r="P2273" i="3"/>
  <c r="P2274" i="3"/>
  <c r="P2275" i="3"/>
  <c r="P2276" i="3"/>
  <c r="P2277" i="3"/>
  <c r="P2278" i="3"/>
  <c r="P2279" i="3"/>
  <c r="P2280" i="3"/>
  <c r="P2281" i="3"/>
  <c r="P2282" i="3"/>
  <c r="P2283" i="3"/>
  <c r="P2284" i="3"/>
  <c r="P2285" i="3"/>
  <c r="P2286" i="3"/>
  <c r="P2287" i="3"/>
  <c r="P2288" i="3"/>
  <c r="P2289" i="3"/>
  <c r="P2290" i="3"/>
  <c r="P2291" i="3"/>
  <c r="P2292" i="3"/>
  <c r="P2293" i="3"/>
  <c r="Q2269" i="3"/>
  <c r="Q2270" i="3"/>
  <c r="Q2271" i="3"/>
  <c r="Q2272" i="3"/>
  <c r="Q2273" i="3"/>
  <c r="Q2274" i="3"/>
  <c r="Q2275" i="3"/>
  <c r="Q2276" i="3"/>
  <c r="Q2277" i="3"/>
  <c r="Q2278" i="3"/>
  <c r="Q2279" i="3"/>
  <c r="Q2280" i="3"/>
  <c r="Q2281" i="3"/>
  <c r="Q2282" i="3"/>
  <c r="Q2283" i="3"/>
  <c r="Q2284" i="3"/>
  <c r="Q2285" i="3"/>
  <c r="Q2286" i="3"/>
  <c r="Q2287" i="3"/>
  <c r="Q2288" i="3"/>
  <c r="Q2289" i="3"/>
  <c r="Q2290" i="3"/>
  <c r="Q2291" i="3"/>
  <c r="Q2292" i="3"/>
  <c r="Q2293" i="3"/>
  <c r="R2269" i="3"/>
  <c r="R2270" i="3"/>
  <c r="R2271" i="3"/>
  <c r="R2272" i="3"/>
  <c r="R2273" i="3"/>
  <c r="R2274" i="3"/>
  <c r="R2275" i="3"/>
  <c r="R2276" i="3"/>
  <c r="R2277" i="3"/>
  <c r="R2278" i="3"/>
  <c r="R2279" i="3"/>
  <c r="R2280" i="3"/>
  <c r="R2281" i="3"/>
  <c r="R2282" i="3"/>
  <c r="R2283" i="3"/>
  <c r="R2284" i="3"/>
  <c r="R2285" i="3"/>
  <c r="R2286" i="3"/>
  <c r="R2287" i="3"/>
  <c r="R2288" i="3"/>
  <c r="R2289" i="3"/>
  <c r="R2290" i="3"/>
  <c r="R2291" i="3"/>
  <c r="R2292" i="3"/>
  <c r="R2293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4" i="3"/>
  <c r="S2285" i="3"/>
  <c r="S2286" i="3"/>
  <c r="S2287" i="3"/>
  <c r="S2288" i="3"/>
  <c r="S2289" i="3"/>
  <c r="S2290" i="3"/>
  <c r="S2291" i="3"/>
  <c r="S2292" i="3"/>
  <c r="S2293" i="3"/>
  <c r="T2269" i="3"/>
  <c r="T2283" i="3"/>
  <c r="U2269" i="3"/>
  <c r="U2283" i="3"/>
  <c r="V2269" i="3"/>
  <c r="V2283" i="3"/>
  <c r="W2269" i="3"/>
  <c r="W2283" i="3"/>
  <c r="X2269" i="3"/>
  <c r="X2283" i="3"/>
  <c r="AA2269" i="3"/>
  <c r="AA2270" i="3"/>
  <c r="AA2271" i="3"/>
  <c r="AA2272" i="3"/>
  <c r="AA2273" i="3"/>
  <c r="AA2274" i="3"/>
  <c r="AA2275" i="3"/>
  <c r="AA2276" i="3"/>
  <c r="AA2277" i="3"/>
  <c r="AA2278" i="3"/>
  <c r="AA2279" i="3"/>
  <c r="AA2280" i="3"/>
  <c r="AA2281" i="3"/>
  <c r="AA2282" i="3"/>
  <c r="AA2283" i="3"/>
  <c r="AA2284" i="3"/>
  <c r="AA2285" i="3"/>
  <c r="AA2286" i="3"/>
  <c r="AA2287" i="3"/>
  <c r="AA2288" i="3"/>
  <c r="AA2289" i="3"/>
  <c r="AA2290" i="3"/>
  <c r="AA2291" i="3"/>
  <c r="AA2292" i="3"/>
  <c r="AA2293" i="3"/>
  <c r="AB2269" i="3"/>
  <c r="O2269" i="3" s="1"/>
  <c r="Y2269" i="3" s="1"/>
  <c r="AB2270" i="3"/>
  <c r="O2270" i="3" s="1"/>
  <c r="AB2271" i="3"/>
  <c r="O2271" i="3" s="1"/>
  <c r="AB2272" i="3"/>
  <c r="O2272" i="3" s="1"/>
  <c r="AB2273" i="3"/>
  <c r="O2273" i="3" s="1"/>
  <c r="AB2274" i="3"/>
  <c r="O2274" i="3" s="1"/>
  <c r="AB2275" i="3"/>
  <c r="O2275" i="3" s="1"/>
  <c r="AB2276" i="3"/>
  <c r="O2276" i="3" s="1"/>
  <c r="AB2277" i="3"/>
  <c r="O2277" i="3" s="1"/>
  <c r="AB2278" i="3"/>
  <c r="O2278" i="3" s="1"/>
  <c r="AB2279" i="3"/>
  <c r="O2279" i="3" s="1"/>
  <c r="AB2280" i="3"/>
  <c r="O2280" i="3" s="1"/>
  <c r="AB2281" i="3"/>
  <c r="O2281" i="3" s="1"/>
  <c r="AB2282" i="3"/>
  <c r="O2282" i="3" s="1"/>
  <c r="AB2283" i="3"/>
  <c r="O2283" i="3" s="1"/>
  <c r="Y2283" i="3" s="1"/>
  <c r="AB2284" i="3"/>
  <c r="O2284" i="3" s="1"/>
  <c r="AB2285" i="3"/>
  <c r="O2285" i="3" s="1"/>
  <c r="AB2286" i="3"/>
  <c r="O2286" i="3" s="1"/>
  <c r="AB2287" i="3"/>
  <c r="O2287" i="3" s="1"/>
  <c r="AB2288" i="3"/>
  <c r="O2288" i="3" s="1"/>
  <c r="AB2289" i="3"/>
  <c r="O2289" i="3" s="1"/>
  <c r="AB2290" i="3"/>
  <c r="O2290" i="3" s="1"/>
  <c r="AB2291" i="3"/>
  <c r="O2291" i="3" s="1"/>
  <c r="AB2292" i="3"/>
  <c r="O2292" i="3" s="1"/>
  <c r="AB2293" i="3"/>
  <c r="O2293" i="3" s="1"/>
  <c r="AC2269" i="3"/>
  <c r="N2269" i="3" s="1"/>
  <c r="AC2270" i="3"/>
  <c r="N2270" i="3" s="1"/>
  <c r="AC2271" i="3"/>
  <c r="N2271" i="3" s="1"/>
  <c r="AC2272" i="3"/>
  <c r="N2272" i="3" s="1"/>
  <c r="AC2273" i="3"/>
  <c r="N2273" i="3" s="1"/>
  <c r="AC2274" i="3"/>
  <c r="N2274" i="3" s="1"/>
  <c r="AC2275" i="3"/>
  <c r="N2275" i="3" s="1"/>
  <c r="AC2276" i="3"/>
  <c r="N2276" i="3" s="1"/>
  <c r="AC2277" i="3"/>
  <c r="N2277" i="3" s="1"/>
  <c r="AC2278" i="3"/>
  <c r="N2278" i="3" s="1"/>
  <c r="AC2279" i="3"/>
  <c r="N2279" i="3" s="1"/>
  <c r="AC2280" i="3"/>
  <c r="N2280" i="3" s="1"/>
  <c r="AC2281" i="3"/>
  <c r="N2281" i="3" s="1"/>
  <c r="AC2282" i="3"/>
  <c r="N2282" i="3" s="1"/>
  <c r="AC2283" i="3"/>
  <c r="N2283" i="3" s="1"/>
  <c r="AC2284" i="3"/>
  <c r="N2284" i="3" s="1"/>
  <c r="AC2285" i="3"/>
  <c r="N2285" i="3" s="1"/>
  <c r="AC2286" i="3"/>
  <c r="N2286" i="3" s="1"/>
  <c r="AC2287" i="3"/>
  <c r="N2287" i="3" s="1"/>
  <c r="AC2288" i="3"/>
  <c r="N2288" i="3" s="1"/>
  <c r="AC2289" i="3"/>
  <c r="N2289" i="3" s="1"/>
  <c r="AC2290" i="3"/>
  <c r="N2290" i="3" s="1"/>
  <c r="AC2291" i="3"/>
  <c r="N2291" i="3" s="1"/>
  <c r="AC2292" i="3"/>
  <c r="N2292" i="3" s="1"/>
  <c r="AC2293" i="3"/>
  <c r="N2293" i="3" s="1"/>
  <c r="AK2269" i="3"/>
  <c r="AK2270" i="3"/>
  <c r="AK2271" i="3"/>
  <c r="AK2272" i="3"/>
  <c r="AK2273" i="3"/>
  <c r="AK2274" i="3"/>
  <c r="AK2275" i="3"/>
  <c r="AK2276" i="3"/>
  <c r="AK2277" i="3"/>
  <c r="AK2278" i="3"/>
  <c r="AK2279" i="3"/>
  <c r="AK2280" i="3"/>
  <c r="AK2281" i="3"/>
  <c r="AK2282" i="3"/>
  <c r="AK2283" i="3"/>
  <c r="AK2284" i="3"/>
  <c r="AK2285" i="3"/>
  <c r="AK2286" i="3"/>
  <c r="AK2287" i="3"/>
  <c r="AK2288" i="3"/>
  <c r="AK2289" i="3"/>
  <c r="AK2290" i="3"/>
  <c r="AK2291" i="3"/>
  <c r="AK2292" i="3"/>
  <c r="AK2293" i="3"/>
  <c r="M129" i="10"/>
  <c r="M2258" i="3"/>
  <c r="M2259" i="3"/>
  <c r="M2260" i="3"/>
  <c r="M2261" i="3"/>
  <c r="M2262" i="3"/>
  <c r="M2263" i="3"/>
  <c r="M2264" i="3"/>
  <c r="M2265" i="3"/>
  <c r="M2266" i="3"/>
  <c r="M2267" i="3"/>
  <c r="M2268" i="3"/>
  <c r="P2258" i="3"/>
  <c r="P2259" i="3"/>
  <c r="P2260" i="3"/>
  <c r="P2261" i="3"/>
  <c r="P2262" i="3"/>
  <c r="P2263" i="3"/>
  <c r="P2264" i="3"/>
  <c r="P2265" i="3"/>
  <c r="P2266" i="3"/>
  <c r="P2267" i="3"/>
  <c r="P2268" i="3"/>
  <c r="Q2258" i="3"/>
  <c r="Q2259" i="3"/>
  <c r="Q2260" i="3"/>
  <c r="Q2261" i="3"/>
  <c r="Q2262" i="3"/>
  <c r="Q2263" i="3"/>
  <c r="Q2264" i="3"/>
  <c r="Q2265" i="3"/>
  <c r="Q2266" i="3"/>
  <c r="Q2267" i="3"/>
  <c r="Q2268" i="3"/>
  <c r="R2258" i="3"/>
  <c r="R2259" i="3"/>
  <c r="R2260" i="3"/>
  <c r="R2261" i="3"/>
  <c r="R2262" i="3"/>
  <c r="R2263" i="3"/>
  <c r="R2264" i="3"/>
  <c r="R2265" i="3"/>
  <c r="R2266" i="3"/>
  <c r="R2267" i="3"/>
  <c r="R2268" i="3"/>
  <c r="S2259" i="3"/>
  <c r="S2260" i="3"/>
  <c r="S2261" i="3"/>
  <c r="S2262" i="3"/>
  <c r="S2263" i="3"/>
  <c r="S2264" i="3"/>
  <c r="S2265" i="3"/>
  <c r="S2266" i="3"/>
  <c r="S2267" i="3"/>
  <c r="S2268" i="3"/>
  <c r="T2258" i="3"/>
  <c r="U2258" i="3"/>
  <c r="V2258" i="3"/>
  <c r="W2258" i="3"/>
  <c r="X2258" i="3"/>
  <c r="AA2258" i="3"/>
  <c r="AA2259" i="3"/>
  <c r="AA2260" i="3"/>
  <c r="AA2261" i="3"/>
  <c r="AA2262" i="3"/>
  <c r="AA2263" i="3"/>
  <c r="AA2264" i="3"/>
  <c r="AA2265" i="3"/>
  <c r="AA2266" i="3"/>
  <c r="AA2267" i="3"/>
  <c r="AA2268" i="3"/>
  <c r="AB2258" i="3"/>
  <c r="O2258" i="3" s="1"/>
  <c r="Y2258" i="3" s="1"/>
  <c r="AB2259" i="3"/>
  <c r="O2259" i="3" s="1"/>
  <c r="AB2260" i="3"/>
  <c r="O2260" i="3" s="1"/>
  <c r="AB2261" i="3"/>
  <c r="O2261" i="3" s="1"/>
  <c r="AB2262" i="3"/>
  <c r="O2262" i="3" s="1"/>
  <c r="AB2263" i="3"/>
  <c r="O2263" i="3" s="1"/>
  <c r="AB2264" i="3"/>
  <c r="O2264" i="3" s="1"/>
  <c r="AB2265" i="3"/>
  <c r="O2265" i="3" s="1"/>
  <c r="AB2266" i="3"/>
  <c r="O2266" i="3" s="1"/>
  <c r="AB2267" i="3"/>
  <c r="O2267" i="3" s="1"/>
  <c r="AB2268" i="3"/>
  <c r="O2268" i="3" s="1"/>
  <c r="AC2258" i="3"/>
  <c r="N2258" i="3" s="1"/>
  <c r="AC2259" i="3"/>
  <c r="N2259" i="3" s="1"/>
  <c r="AC2260" i="3"/>
  <c r="N2260" i="3" s="1"/>
  <c r="AC2261" i="3"/>
  <c r="N2261" i="3" s="1"/>
  <c r="AC2262" i="3"/>
  <c r="N2262" i="3" s="1"/>
  <c r="AC2263" i="3"/>
  <c r="N2263" i="3" s="1"/>
  <c r="AC2264" i="3"/>
  <c r="N2264" i="3" s="1"/>
  <c r="AC2265" i="3"/>
  <c r="N2265" i="3" s="1"/>
  <c r="AC2266" i="3"/>
  <c r="N2266" i="3" s="1"/>
  <c r="AC2267" i="3"/>
  <c r="N2267" i="3" s="1"/>
  <c r="AC2268" i="3"/>
  <c r="N2268" i="3" s="1"/>
  <c r="AK2258" i="3"/>
  <c r="AK2259" i="3"/>
  <c r="AK2260" i="3"/>
  <c r="AK2261" i="3"/>
  <c r="AK2262" i="3"/>
  <c r="AK2263" i="3"/>
  <c r="AK2264" i="3"/>
  <c r="AK2265" i="3"/>
  <c r="AK2266" i="3"/>
  <c r="AK2267" i="3"/>
  <c r="AK2268" i="3"/>
  <c r="M128" i="10"/>
  <c r="M2247" i="3"/>
  <c r="M2248" i="3"/>
  <c r="M2249" i="3"/>
  <c r="M2250" i="3"/>
  <c r="M2251" i="3"/>
  <c r="M2252" i="3"/>
  <c r="M2253" i="3"/>
  <c r="M2254" i="3"/>
  <c r="M2255" i="3"/>
  <c r="M2256" i="3"/>
  <c r="M2257" i="3"/>
  <c r="P2247" i="3"/>
  <c r="P2248" i="3"/>
  <c r="P2249" i="3"/>
  <c r="P2250" i="3"/>
  <c r="P2251" i="3"/>
  <c r="P2252" i="3"/>
  <c r="P2253" i="3"/>
  <c r="P2254" i="3"/>
  <c r="P2255" i="3"/>
  <c r="P2256" i="3"/>
  <c r="P2257" i="3"/>
  <c r="Q2247" i="3"/>
  <c r="Q2248" i="3"/>
  <c r="Q2249" i="3"/>
  <c r="Q2250" i="3"/>
  <c r="Q2251" i="3"/>
  <c r="Q2252" i="3"/>
  <c r="Q2253" i="3"/>
  <c r="Q2254" i="3"/>
  <c r="Q2255" i="3"/>
  <c r="Q2256" i="3"/>
  <c r="Q2257" i="3"/>
  <c r="R2247" i="3"/>
  <c r="R2248" i="3"/>
  <c r="R2249" i="3"/>
  <c r="R2250" i="3"/>
  <c r="R2251" i="3"/>
  <c r="R2252" i="3"/>
  <c r="R2253" i="3"/>
  <c r="R2254" i="3"/>
  <c r="R2255" i="3"/>
  <c r="R2256" i="3"/>
  <c r="R2257" i="3"/>
  <c r="S2248" i="3"/>
  <c r="S2249" i="3"/>
  <c r="S2250" i="3"/>
  <c r="S2251" i="3"/>
  <c r="S2252" i="3"/>
  <c r="S2253" i="3"/>
  <c r="S2254" i="3"/>
  <c r="S2255" i="3"/>
  <c r="S2256" i="3"/>
  <c r="S2257" i="3"/>
  <c r="T2247" i="3"/>
  <c r="U2247" i="3"/>
  <c r="V2247" i="3"/>
  <c r="W2247" i="3"/>
  <c r="X2247" i="3"/>
  <c r="AA2247" i="3"/>
  <c r="AA2248" i="3"/>
  <c r="AA2249" i="3"/>
  <c r="AA2250" i="3"/>
  <c r="AA2251" i="3"/>
  <c r="AA2252" i="3"/>
  <c r="AA2253" i="3"/>
  <c r="AA2254" i="3"/>
  <c r="AA2255" i="3"/>
  <c r="AA2256" i="3"/>
  <c r="AA2257" i="3"/>
  <c r="AB2247" i="3"/>
  <c r="O2247" i="3" s="1"/>
  <c r="Y2247" i="3" s="1"/>
  <c r="AB2248" i="3"/>
  <c r="O2248" i="3" s="1"/>
  <c r="AB2249" i="3"/>
  <c r="O2249" i="3" s="1"/>
  <c r="AB2250" i="3"/>
  <c r="O2250" i="3" s="1"/>
  <c r="AB2251" i="3"/>
  <c r="O2251" i="3" s="1"/>
  <c r="AB2252" i="3"/>
  <c r="O2252" i="3" s="1"/>
  <c r="AB2253" i="3"/>
  <c r="O2253" i="3" s="1"/>
  <c r="AB2254" i="3"/>
  <c r="O2254" i="3" s="1"/>
  <c r="AB2255" i="3"/>
  <c r="O2255" i="3" s="1"/>
  <c r="AB2256" i="3"/>
  <c r="O2256" i="3" s="1"/>
  <c r="AB2257" i="3"/>
  <c r="O2257" i="3" s="1"/>
  <c r="AC2247" i="3"/>
  <c r="N2247" i="3" s="1"/>
  <c r="AC2248" i="3"/>
  <c r="N2248" i="3" s="1"/>
  <c r="AC2249" i="3"/>
  <c r="N2249" i="3" s="1"/>
  <c r="AC2250" i="3"/>
  <c r="N2250" i="3" s="1"/>
  <c r="AC2251" i="3"/>
  <c r="N2251" i="3" s="1"/>
  <c r="AC2252" i="3"/>
  <c r="N2252" i="3" s="1"/>
  <c r="AC2253" i="3"/>
  <c r="N2253" i="3" s="1"/>
  <c r="AC2254" i="3"/>
  <c r="N2254" i="3" s="1"/>
  <c r="AC2255" i="3"/>
  <c r="N2255" i="3" s="1"/>
  <c r="AC2256" i="3"/>
  <c r="N2256" i="3" s="1"/>
  <c r="AC2257" i="3"/>
  <c r="N2257" i="3" s="1"/>
  <c r="AK2247" i="3"/>
  <c r="AK2248" i="3"/>
  <c r="AK2249" i="3"/>
  <c r="AK2250" i="3"/>
  <c r="AK2251" i="3"/>
  <c r="AK2252" i="3"/>
  <c r="AK2253" i="3"/>
  <c r="AK2254" i="3"/>
  <c r="AK2255" i="3"/>
  <c r="AK2256" i="3"/>
  <c r="AK2257" i="3"/>
  <c r="M127" i="10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P2225" i="3"/>
  <c r="P2226" i="3"/>
  <c r="P2227" i="3"/>
  <c r="P2228" i="3"/>
  <c r="P2229" i="3"/>
  <c r="P2230" i="3"/>
  <c r="P2231" i="3"/>
  <c r="P2232" i="3"/>
  <c r="P2233" i="3"/>
  <c r="P2234" i="3"/>
  <c r="P2235" i="3"/>
  <c r="P2236" i="3"/>
  <c r="P2237" i="3"/>
  <c r="P2238" i="3"/>
  <c r="P2239" i="3"/>
  <c r="P2240" i="3"/>
  <c r="P2241" i="3"/>
  <c r="P2242" i="3"/>
  <c r="P2243" i="3"/>
  <c r="P2244" i="3"/>
  <c r="P2245" i="3"/>
  <c r="P2246" i="3"/>
  <c r="Q2225" i="3"/>
  <c r="Q2226" i="3"/>
  <c r="Q2227" i="3"/>
  <c r="Q2228" i="3"/>
  <c r="Q2229" i="3"/>
  <c r="Q2230" i="3"/>
  <c r="Q2231" i="3"/>
  <c r="Q2232" i="3"/>
  <c r="Q2233" i="3"/>
  <c r="Q2234" i="3"/>
  <c r="Q2235" i="3"/>
  <c r="Q2236" i="3"/>
  <c r="Q2237" i="3"/>
  <c r="Q2238" i="3"/>
  <c r="Q2239" i="3"/>
  <c r="Q2240" i="3"/>
  <c r="Q2241" i="3"/>
  <c r="Q2242" i="3"/>
  <c r="Q2243" i="3"/>
  <c r="Q2244" i="3"/>
  <c r="Q2245" i="3"/>
  <c r="Q2246" i="3"/>
  <c r="R2225" i="3"/>
  <c r="R2226" i="3"/>
  <c r="R2227" i="3"/>
  <c r="R2228" i="3"/>
  <c r="R2229" i="3"/>
  <c r="R2230" i="3"/>
  <c r="R2231" i="3"/>
  <c r="R2232" i="3"/>
  <c r="R2233" i="3"/>
  <c r="R2234" i="3"/>
  <c r="R2235" i="3"/>
  <c r="R2236" i="3"/>
  <c r="R2237" i="3"/>
  <c r="R2238" i="3"/>
  <c r="R2239" i="3"/>
  <c r="R2240" i="3"/>
  <c r="R2241" i="3"/>
  <c r="R2242" i="3"/>
  <c r="R2243" i="3"/>
  <c r="R2244" i="3"/>
  <c r="R2245" i="3"/>
  <c r="R2246" i="3"/>
  <c r="S2226" i="3"/>
  <c r="S2227" i="3"/>
  <c r="S2228" i="3"/>
  <c r="S2229" i="3"/>
  <c r="S2230" i="3"/>
  <c r="S2231" i="3"/>
  <c r="S2232" i="3"/>
  <c r="S2233" i="3"/>
  <c r="S2234" i="3"/>
  <c r="S2235" i="3"/>
  <c r="S2237" i="3"/>
  <c r="S2238" i="3"/>
  <c r="S2239" i="3"/>
  <c r="S2240" i="3"/>
  <c r="S2241" i="3"/>
  <c r="S2242" i="3"/>
  <c r="S2243" i="3"/>
  <c r="S2244" i="3"/>
  <c r="S2245" i="3"/>
  <c r="S2246" i="3"/>
  <c r="T2225" i="3"/>
  <c r="T2236" i="3"/>
  <c r="U2225" i="3"/>
  <c r="U2236" i="3"/>
  <c r="V2225" i="3"/>
  <c r="V2236" i="3"/>
  <c r="W2225" i="3"/>
  <c r="W2236" i="3"/>
  <c r="X2225" i="3"/>
  <c r="X2236" i="3"/>
  <c r="AA2225" i="3"/>
  <c r="AA2226" i="3"/>
  <c r="AA2227" i="3"/>
  <c r="AA2228" i="3"/>
  <c r="AA2229" i="3"/>
  <c r="AA2230" i="3"/>
  <c r="AA2231" i="3"/>
  <c r="AA2232" i="3"/>
  <c r="AA2233" i="3"/>
  <c r="AA2234" i="3"/>
  <c r="AA2235" i="3"/>
  <c r="AA2236" i="3"/>
  <c r="AA2237" i="3"/>
  <c r="AA2238" i="3"/>
  <c r="AA2239" i="3"/>
  <c r="AA2240" i="3"/>
  <c r="AA2241" i="3"/>
  <c r="AA2242" i="3"/>
  <c r="AA2243" i="3"/>
  <c r="AA2244" i="3"/>
  <c r="AA2245" i="3"/>
  <c r="AA2246" i="3"/>
  <c r="AB2225" i="3"/>
  <c r="O2225" i="3" s="1"/>
  <c r="Y2225" i="3" s="1"/>
  <c r="AB2226" i="3"/>
  <c r="O2226" i="3" s="1"/>
  <c r="AB2227" i="3"/>
  <c r="O2227" i="3" s="1"/>
  <c r="AB2228" i="3"/>
  <c r="O2228" i="3" s="1"/>
  <c r="AB2229" i="3"/>
  <c r="O2229" i="3" s="1"/>
  <c r="AB2230" i="3"/>
  <c r="O2230" i="3" s="1"/>
  <c r="AB2231" i="3"/>
  <c r="O2231" i="3" s="1"/>
  <c r="AB2232" i="3"/>
  <c r="O2232" i="3" s="1"/>
  <c r="AB2233" i="3"/>
  <c r="O2233" i="3" s="1"/>
  <c r="AB2234" i="3"/>
  <c r="O2234" i="3" s="1"/>
  <c r="AB2235" i="3"/>
  <c r="O2235" i="3" s="1"/>
  <c r="AB2236" i="3"/>
  <c r="O2236" i="3" s="1"/>
  <c r="Y2236" i="3" s="1"/>
  <c r="AB2237" i="3"/>
  <c r="O2237" i="3" s="1"/>
  <c r="AB2238" i="3"/>
  <c r="O2238" i="3" s="1"/>
  <c r="AB2239" i="3"/>
  <c r="O2239" i="3" s="1"/>
  <c r="AB2240" i="3"/>
  <c r="O2240" i="3" s="1"/>
  <c r="AB2241" i="3"/>
  <c r="O2241" i="3" s="1"/>
  <c r="AB2242" i="3"/>
  <c r="O2242" i="3" s="1"/>
  <c r="AB2243" i="3"/>
  <c r="O2243" i="3" s="1"/>
  <c r="AB2244" i="3"/>
  <c r="O2244" i="3" s="1"/>
  <c r="AB2245" i="3"/>
  <c r="O2245" i="3" s="1"/>
  <c r="AB2246" i="3"/>
  <c r="O2246" i="3" s="1"/>
  <c r="AC2225" i="3"/>
  <c r="N2225" i="3" s="1"/>
  <c r="S2225" i="3" s="1"/>
  <c r="AC2226" i="3"/>
  <c r="N2226" i="3" s="1"/>
  <c r="AC2227" i="3"/>
  <c r="N2227" i="3" s="1"/>
  <c r="AC2228" i="3"/>
  <c r="N2228" i="3" s="1"/>
  <c r="AC2229" i="3"/>
  <c r="N2229" i="3" s="1"/>
  <c r="AC2230" i="3"/>
  <c r="N2230" i="3" s="1"/>
  <c r="AC2231" i="3"/>
  <c r="N2231" i="3" s="1"/>
  <c r="AC2232" i="3"/>
  <c r="N2232" i="3" s="1"/>
  <c r="AC2233" i="3"/>
  <c r="N2233" i="3" s="1"/>
  <c r="AC2234" i="3"/>
  <c r="N2234" i="3" s="1"/>
  <c r="AC2235" i="3"/>
  <c r="N2235" i="3" s="1"/>
  <c r="AC2236" i="3"/>
  <c r="N2236" i="3" s="1"/>
  <c r="S2236" i="3" s="1"/>
  <c r="Z2236" i="3" s="1"/>
  <c r="AC2237" i="3"/>
  <c r="N2237" i="3" s="1"/>
  <c r="AC2238" i="3"/>
  <c r="N2238" i="3" s="1"/>
  <c r="AC2239" i="3"/>
  <c r="N2239" i="3" s="1"/>
  <c r="AC2240" i="3"/>
  <c r="N2240" i="3" s="1"/>
  <c r="AC2241" i="3"/>
  <c r="N2241" i="3" s="1"/>
  <c r="AC2242" i="3"/>
  <c r="N2242" i="3" s="1"/>
  <c r="AC2243" i="3"/>
  <c r="N2243" i="3" s="1"/>
  <c r="AC2244" i="3"/>
  <c r="N2244" i="3" s="1"/>
  <c r="AC2245" i="3"/>
  <c r="N2245" i="3" s="1"/>
  <c r="AC2246" i="3"/>
  <c r="N2246" i="3" s="1"/>
  <c r="AK2225" i="3"/>
  <c r="AK2226" i="3"/>
  <c r="AK2227" i="3"/>
  <c r="AK2228" i="3"/>
  <c r="AK2229" i="3"/>
  <c r="AK2230" i="3"/>
  <c r="AK2231" i="3"/>
  <c r="AK2232" i="3"/>
  <c r="AK2233" i="3"/>
  <c r="AK2234" i="3"/>
  <c r="AK2235" i="3"/>
  <c r="AK2236" i="3"/>
  <c r="AK2237" i="3"/>
  <c r="AK2238" i="3"/>
  <c r="AK2239" i="3"/>
  <c r="AK2240" i="3"/>
  <c r="AK2241" i="3"/>
  <c r="AK2242" i="3"/>
  <c r="AK2243" i="3"/>
  <c r="AK2244" i="3"/>
  <c r="AK2245" i="3"/>
  <c r="AK2246" i="3"/>
  <c r="M126" i="10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P2212" i="3"/>
  <c r="P2213" i="3"/>
  <c r="P2214" i="3"/>
  <c r="P2215" i="3"/>
  <c r="P2216" i="3"/>
  <c r="P2217" i="3"/>
  <c r="P2218" i="3"/>
  <c r="P2219" i="3"/>
  <c r="P2220" i="3"/>
  <c r="P2221" i="3"/>
  <c r="P2222" i="3"/>
  <c r="P2223" i="3"/>
  <c r="P2224" i="3"/>
  <c r="Q2212" i="3"/>
  <c r="Q2213" i="3"/>
  <c r="Q2214" i="3"/>
  <c r="Q2215" i="3"/>
  <c r="Q2216" i="3"/>
  <c r="Q2217" i="3"/>
  <c r="Q2218" i="3"/>
  <c r="Q2219" i="3"/>
  <c r="Q2220" i="3"/>
  <c r="Q2221" i="3"/>
  <c r="Q2222" i="3"/>
  <c r="Q2223" i="3"/>
  <c r="Q2224" i="3"/>
  <c r="R2212" i="3"/>
  <c r="R2213" i="3"/>
  <c r="R2214" i="3"/>
  <c r="R2215" i="3"/>
  <c r="R2216" i="3"/>
  <c r="R2217" i="3"/>
  <c r="R2218" i="3"/>
  <c r="R2219" i="3"/>
  <c r="R2220" i="3"/>
  <c r="R2221" i="3"/>
  <c r="R2222" i="3"/>
  <c r="R2223" i="3"/>
  <c r="R2224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T2212" i="3"/>
  <c r="U2212" i="3"/>
  <c r="V2212" i="3"/>
  <c r="W2212" i="3"/>
  <c r="X2212" i="3"/>
  <c r="AA2212" i="3"/>
  <c r="AA2213" i="3"/>
  <c r="AA2214" i="3"/>
  <c r="AA2215" i="3"/>
  <c r="AA2216" i="3"/>
  <c r="AA2217" i="3"/>
  <c r="AA2218" i="3"/>
  <c r="AA2219" i="3"/>
  <c r="AA2220" i="3"/>
  <c r="AA2221" i="3"/>
  <c r="AA2222" i="3"/>
  <c r="AA2223" i="3"/>
  <c r="AA2224" i="3"/>
  <c r="AB2212" i="3"/>
  <c r="O2212" i="3" s="1"/>
  <c r="Y2212" i="3" s="1"/>
  <c r="AB2213" i="3"/>
  <c r="O2213" i="3" s="1"/>
  <c r="AB2214" i="3"/>
  <c r="O2214" i="3" s="1"/>
  <c r="AB2215" i="3"/>
  <c r="O2215" i="3" s="1"/>
  <c r="AB2216" i="3"/>
  <c r="O2216" i="3" s="1"/>
  <c r="AB2217" i="3"/>
  <c r="O2217" i="3" s="1"/>
  <c r="AB2218" i="3"/>
  <c r="O2218" i="3" s="1"/>
  <c r="AB2219" i="3"/>
  <c r="O2219" i="3" s="1"/>
  <c r="AB2220" i="3"/>
  <c r="O2220" i="3" s="1"/>
  <c r="AB2221" i="3"/>
  <c r="O2221" i="3" s="1"/>
  <c r="AB2222" i="3"/>
  <c r="O2222" i="3" s="1"/>
  <c r="AB2223" i="3"/>
  <c r="O2223" i="3" s="1"/>
  <c r="AB2224" i="3"/>
  <c r="O2224" i="3" s="1"/>
  <c r="AC2212" i="3"/>
  <c r="N2212" i="3" s="1"/>
  <c r="AC2213" i="3"/>
  <c r="N2213" i="3" s="1"/>
  <c r="AC2214" i="3"/>
  <c r="N2214" i="3" s="1"/>
  <c r="AC2215" i="3"/>
  <c r="N2215" i="3" s="1"/>
  <c r="AC2216" i="3"/>
  <c r="N2216" i="3" s="1"/>
  <c r="AC2217" i="3"/>
  <c r="N2217" i="3" s="1"/>
  <c r="AC2218" i="3"/>
  <c r="N2218" i="3" s="1"/>
  <c r="AC2219" i="3"/>
  <c r="N2219" i="3" s="1"/>
  <c r="AC2220" i="3"/>
  <c r="N2220" i="3" s="1"/>
  <c r="AC2221" i="3"/>
  <c r="N2221" i="3" s="1"/>
  <c r="AC2222" i="3"/>
  <c r="N2222" i="3" s="1"/>
  <c r="AC2223" i="3"/>
  <c r="N2223" i="3" s="1"/>
  <c r="AC2224" i="3"/>
  <c r="N2224" i="3" s="1"/>
  <c r="AK2212" i="3"/>
  <c r="AK2213" i="3"/>
  <c r="AK2214" i="3"/>
  <c r="AK2215" i="3"/>
  <c r="AK2216" i="3"/>
  <c r="AK2217" i="3"/>
  <c r="AK2218" i="3"/>
  <c r="AK2219" i="3"/>
  <c r="AK2220" i="3"/>
  <c r="AK2221" i="3"/>
  <c r="AK2222" i="3"/>
  <c r="AK2223" i="3"/>
  <c r="AK2224" i="3"/>
  <c r="M125" i="10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P2188" i="3"/>
  <c r="P2189" i="3"/>
  <c r="P2190" i="3"/>
  <c r="P2191" i="3"/>
  <c r="P2192" i="3"/>
  <c r="P2193" i="3"/>
  <c r="P2194" i="3"/>
  <c r="P2195" i="3"/>
  <c r="P2196" i="3"/>
  <c r="P2197" i="3"/>
  <c r="P2198" i="3"/>
  <c r="P2199" i="3"/>
  <c r="P2200" i="3"/>
  <c r="P2201" i="3"/>
  <c r="P2202" i="3"/>
  <c r="P2203" i="3"/>
  <c r="P2204" i="3"/>
  <c r="P2205" i="3"/>
  <c r="P2206" i="3"/>
  <c r="P2207" i="3"/>
  <c r="P2208" i="3"/>
  <c r="P2209" i="3"/>
  <c r="P2210" i="3"/>
  <c r="P2211" i="3"/>
  <c r="Q2188" i="3"/>
  <c r="Q2189" i="3"/>
  <c r="Q2190" i="3"/>
  <c r="Q2191" i="3"/>
  <c r="Q2192" i="3"/>
  <c r="Q2193" i="3"/>
  <c r="Q2194" i="3"/>
  <c r="Q2195" i="3"/>
  <c r="Q2196" i="3"/>
  <c r="Q2197" i="3"/>
  <c r="Q2198" i="3"/>
  <c r="Q2199" i="3"/>
  <c r="Q2200" i="3"/>
  <c r="Q2201" i="3"/>
  <c r="Q2202" i="3"/>
  <c r="Q2203" i="3"/>
  <c r="Q2204" i="3"/>
  <c r="Q2205" i="3"/>
  <c r="Q2206" i="3"/>
  <c r="Q2207" i="3"/>
  <c r="Q2208" i="3"/>
  <c r="Q2209" i="3"/>
  <c r="Q2210" i="3"/>
  <c r="Q2211" i="3"/>
  <c r="R2188" i="3"/>
  <c r="R2189" i="3"/>
  <c r="R2190" i="3"/>
  <c r="R2191" i="3"/>
  <c r="R2192" i="3"/>
  <c r="R2193" i="3"/>
  <c r="R2194" i="3"/>
  <c r="R2195" i="3"/>
  <c r="R2196" i="3"/>
  <c r="R2197" i="3"/>
  <c r="R2198" i="3"/>
  <c r="R2199" i="3"/>
  <c r="R2200" i="3"/>
  <c r="R2201" i="3"/>
  <c r="R2202" i="3"/>
  <c r="R2203" i="3"/>
  <c r="R2204" i="3"/>
  <c r="R2205" i="3"/>
  <c r="R2206" i="3"/>
  <c r="R2207" i="3"/>
  <c r="R2208" i="3"/>
  <c r="R2209" i="3"/>
  <c r="R2210" i="3"/>
  <c r="R2211" i="3"/>
  <c r="S2189" i="3"/>
  <c r="S2190" i="3"/>
  <c r="S2191" i="3"/>
  <c r="S2192" i="3"/>
  <c r="S2193" i="3"/>
  <c r="S2194" i="3"/>
  <c r="S2195" i="3"/>
  <c r="S2196" i="3"/>
  <c r="S2197" i="3"/>
  <c r="S2198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T2188" i="3"/>
  <c r="T2199" i="3"/>
  <c r="U2188" i="3"/>
  <c r="U2199" i="3"/>
  <c r="V2188" i="3"/>
  <c r="V2199" i="3"/>
  <c r="W2188" i="3"/>
  <c r="W2199" i="3"/>
  <c r="X2188" i="3"/>
  <c r="X2199" i="3"/>
  <c r="AA2188" i="3"/>
  <c r="AA2189" i="3"/>
  <c r="AA2190" i="3"/>
  <c r="AA2191" i="3"/>
  <c r="AA2192" i="3"/>
  <c r="AA2193" i="3"/>
  <c r="AA2194" i="3"/>
  <c r="AA2195" i="3"/>
  <c r="AA2196" i="3"/>
  <c r="AA2197" i="3"/>
  <c r="AA2198" i="3"/>
  <c r="AA2199" i="3"/>
  <c r="AA2200" i="3"/>
  <c r="AA2201" i="3"/>
  <c r="AA2202" i="3"/>
  <c r="AA2203" i="3"/>
  <c r="AA2204" i="3"/>
  <c r="AA2205" i="3"/>
  <c r="AA2206" i="3"/>
  <c r="AA2207" i="3"/>
  <c r="AA2208" i="3"/>
  <c r="AA2209" i="3"/>
  <c r="AA2210" i="3"/>
  <c r="AA2211" i="3"/>
  <c r="AB2188" i="3"/>
  <c r="O2188" i="3" s="1"/>
  <c r="Y2188" i="3" s="1"/>
  <c r="AB2189" i="3"/>
  <c r="O2189" i="3" s="1"/>
  <c r="AB2190" i="3"/>
  <c r="O2190" i="3" s="1"/>
  <c r="AB2191" i="3"/>
  <c r="O2191" i="3" s="1"/>
  <c r="AB2192" i="3"/>
  <c r="O2192" i="3" s="1"/>
  <c r="AB2193" i="3"/>
  <c r="O2193" i="3" s="1"/>
  <c r="AB2194" i="3"/>
  <c r="O2194" i="3" s="1"/>
  <c r="AB2195" i="3"/>
  <c r="O2195" i="3" s="1"/>
  <c r="AB2196" i="3"/>
  <c r="O2196" i="3" s="1"/>
  <c r="AB2197" i="3"/>
  <c r="O2197" i="3" s="1"/>
  <c r="AB2198" i="3"/>
  <c r="O2198" i="3" s="1"/>
  <c r="AB2199" i="3"/>
  <c r="O2199" i="3" s="1"/>
  <c r="Y2199" i="3" s="1"/>
  <c r="AB2200" i="3"/>
  <c r="O2200" i="3" s="1"/>
  <c r="AB2201" i="3"/>
  <c r="O2201" i="3" s="1"/>
  <c r="AB2202" i="3"/>
  <c r="O2202" i="3" s="1"/>
  <c r="AB2203" i="3"/>
  <c r="O2203" i="3" s="1"/>
  <c r="AB2204" i="3"/>
  <c r="O2204" i="3" s="1"/>
  <c r="AB2205" i="3"/>
  <c r="O2205" i="3" s="1"/>
  <c r="AB2206" i="3"/>
  <c r="O2206" i="3" s="1"/>
  <c r="AB2207" i="3"/>
  <c r="O2207" i="3" s="1"/>
  <c r="AB2208" i="3"/>
  <c r="O2208" i="3" s="1"/>
  <c r="AB2209" i="3"/>
  <c r="O2209" i="3" s="1"/>
  <c r="AB2210" i="3"/>
  <c r="O2210" i="3" s="1"/>
  <c r="AB2211" i="3"/>
  <c r="O2211" i="3" s="1"/>
  <c r="AC2188" i="3"/>
  <c r="N2188" i="3" s="1"/>
  <c r="AC2189" i="3"/>
  <c r="N2189" i="3" s="1"/>
  <c r="AC2190" i="3"/>
  <c r="N2190" i="3" s="1"/>
  <c r="AC2191" i="3"/>
  <c r="N2191" i="3" s="1"/>
  <c r="AC2192" i="3"/>
  <c r="N2192" i="3" s="1"/>
  <c r="AC2193" i="3"/>
  <c r="N2193" i="3" s="1"/>
  <c r="AC2194" i="3"/>
  <c r="N2194" i="3" s="1"/>
  <c r="AC2195" i="3"/>
  <c r="N2195" i="3" s="1"/>
  <c r="AC2196" i="3"/>
  <c r="N2196" i="3" s="1"/>
  <c r="AC2197" i="3"/>
  <c r="N2197" i="3" s="1"/>
  <c r="AC2198" i="3"/>
  <c r="N2198" i="3" s="1"/>
  <c r="AC2199" i="3"/>
  <c r="N2199" i="3" s="1"/>
  <c r="AC2200" i="3"/>
  <c r="N2200" i="3" s="1"/>
  <c r="AC2201" i="3"/>
  <c r="N2201" i="3" s="1"/>
  <c r="AC2202" i="3"/>
  <c r="N2202" i="3" s="1"/>
  <c r="AC2203" i="3"/>
  <c r="N2203" i="3" s="1"/>
  <c r="AC2204" i="3"/>
  <c r="N2204" i="3" s="1"/>
  <c r="AC2205" i="3"/>
  <c r="N2205" i="3" s="1"/>
  <c r="AC2206" i="3"/>
  <c r="N2206" i="3" s="1"/>
  <c r="AC2207" i="3"/>
  <c r="N2207" i="3" s="1"/>
  <c r="AC2208" i="3"/>
  <c r="N2208" i="3" s="1"/>
  <c r="AC2209" i="3"/>
  <c r="N2209" i="3" s="1"/>
  <c r="AC2210" i="3"/>
  <c r="N2210" i="3" s="1"/>
  <c r="AC2211" i="3"/>
  <c r="N2211" i="3" s="1"/>
  <c r="AK2188" i="3"/>
  <c r="AK2189" i="3"/>
  <c r="AK2190" i="3"/>
  <c r="AK2191" i="3"/>
  <c r="AK2192" i="3"/>
  <c r="AK2193" i="3"/>
  <c r="AK2194" i="3"/>
  <c r="AK2195" i="3"/>
  <c r="AK2196" i="3"/>
  <c r="AK2197" i="3"/>
  <c r="AK2198" i="3"/>
  <c r="AK2199" i="3"/>
  <c r="AK2200" i="3"/>
  <c r="AK2201" i="3"/>
  <c r="AK2202" i="3"/>
  <c r="AK2203" i="3"/>
  <c r="AK2204" i="3"/>
  <c r="AK2205" i="3"/>
  <c r="AK2206" i="3"/>
  <c r="AK2207" i="3"/>
  <c r="AK2208" i="3"/>
  <c r="AK2209" i="3"/>
  <c r="AK2210" i="3"/>
  <c r="AK2211" i="3"/>
  <c r="M124" i="10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P2166" i="3"/>
  <c r="P2167" i="3"/>
  <c r="P2168" i="3"/>
  <c r="P2169" i="3"/>
  <c r="P2170" i="3"/>
  <c r="P2171" i="3"/>
  <c r="P2172" i="3"/>
  <c r="P2173" i="3"/>
  <c r="P2174" i="3"/>
  <c r="P2175" i="3"/>
  <c r="P2176" i="3"/>
  <c r="P2177" i="3"/>
  <c r="P2178" i="3"/>
  <c r="P2179" i="3"/>
  <c r="P2180" i="3"/>
  <c r="P2181" i="3"/>
  <c r="P2182" i="3"/>
  <c r="P2183" i="3"/>
  <c r="P2184" i="3"/>
  <c r="P2185" i="3"/>
  <c r="P2186" i="3"/>
  <c r="P2187" i="3"/>
  <c r="Q2166" i="3"/>
  <c r="Q2167" i="3"/>
  <c r="Q2168" i="3"/>
  <c r="Q2169" i="3"/>
  <c r="Q2170" i="3"/>
  <c r="Q2171" i="3"/>
  <c r="Q2172" i="3"/>
  <c r="Q2173" i="3"/>
  <c r="Q2174" i="3"/>
  <c r="Q2175" i="3"/>
  <c r="Q2176" i="3"/>
  <c r="Q2177" i="3"/>
  <c r="Q2178" i="3"/>
  <c r="Q2179" i="3"/>
  <c r="Q2180" i="3"/>
  <c r="Q2181" i="3"/>
  <c r="Q2182" i="3"/>
  <c r="Q2183" i="3"/>
  <c r="Q2184" i="3"/>
  <c r="Q2185" i="3"/>
  <c r="Q2186" i="3"/>
  <c r="Q2187" i="3"/>
  <c r="R2166" i="3"/>
  <c r="R2167" i="3"/>
  <c r="R2168" i="3"/>
  <c r="R2169" i="3"/>
  <c r="R2170" i="3"/>
  <c r="R2171" i="3"/>
  <c r="R2172" i="3"/>
  <c r="R2173" i="3"/>
  <c r="R2174" i="3"/>
  <c r="R2175" i="3"/>
  <c r="R2176" i="3"/>
  <c r="R2177" i="3"/>
  <c r="R2178" i="3"/>
  <c r="R2179" i="3"/>
  <c r="R2180" i="3"/>
  <c r="R2181" i="3"/>
  <c r="R2182" i="3"/>
  <c r="R2183" i="3"/>
  <c r="R2184" i="3"/>
  <c r="R2185" i="3"/>
  <c r="R2186" i="3"/>
  <c r="R2187" i="3"/>
  <c r="S2167" i="3"/>
  <c r="S2168" i="3"/>
  <c r="S2169" i="3"/>
  <c r="S2170" i="3"/>
  <c r="S2171" i="3"/>
  <c r="S2172" i="3"/>
  <c r="S2173" i="3"/>
  <c r="S2174" i="3"/>
  <c r="S2175" i="3"/>
  <c r="S2176" i="3"/>
  <c r="S2178" i="3"/>
  <c r="S2179" i="3"/>
  <c r="S2180" i="3"/>
  <c r="S2181" i="3"/>
  <c r="S2182" i="3"/>
  <c r="S2183" i="3"/>
  <c r="S2184" i="3"/>
  <c r="S2185" i="3"/>
  <c r="S2186" i="3"/>
  <c r="S2187" i="3"/>
  <c r="T2166" i="3"/>
  <c r="T2177" i="3"/>
  <c r="U2166" i="3"/>
  <c r="U2177" i="3"/>
  <c r="V2166" i="3"/>
  <c r="V2177" i="3"/>
  <c r="W2166" i="3"/>
  <c r="W2177" i="3"/>
  <c r="X2166" i="3"/>
  <c r="X2177" i="3"/>
  <c r="AA2166" i="3"/>
  <c r="AA2167" i="3"/>
  <c r="AA2168" i="3"/>
  <c r="AA2169" i="3"/>
  <c r="AA2170" i="3"/>
  <c r="AA2171" i="3"/>
  <c r="AA2172" i="3"/>
  <c r="AA2173" i="3"/>
  <c r="AA2174" i="3"/>
  <c r="AA2175" i="3"/>
  <c r="AA2176" i="3"/>
  <c r="AA2177" i="3"/>
  <c r="AA2178" i="3"/>
  <c r="AA2179" i="3"/>
  <c r="AA2180" i="3"/>
  <c r="AA2181" i="3"/>
  <c r="AA2182" i="3"/>
  <c r="AA2183" i="3"/>
  <c r="AA2184" i="3"/>
  <c r="AA2185" i="3"/>
  <c r="AA2186" i="3"/>
  <c r="AA2187" i="3"/>
  <c r="AB2166" i="3"/>
  <c r="O2166" i="3" s="1"/>
  <c r="Y2166" i="3" s="1"/>
  <c r="AB2167" i="3"/>
  <c r="O2167" i="3" s="1"/>
  <c r="AB2168" i="3"/>
  <c r="O2168" i="3" s="1"/>
  <c r="AB2169" i="3"/>
  <c r="O2169" i="3" s="1"/>
  <c r="AB2170" i="3"/>
  <c r="O2170" i="3" s="1"/>
  <c r="AB2171" i="3"/>
  <c r="O2171" i="3" s="1"/>
  <c r="AB2172" i="3"/>
  <c r="O2172" i="3" s="1"/>
  <c r="AB2173" i="3"/>
  <c r="O2173" i="3" s="1"/>
  <c r="AB2174" i="3"/>
  <c r="O2174" i="3" s="1"/>
  <c r="AB2175" i="3"/>
  <c r="O2175" i="3" s="1"/>
  <c r="AB2176" i="3"/>
  <c r="O2176" i="3" s="1"/>
  <c r="AB2177" i="3"/>
  <c r="O2177" i="3" s="1"/>
  <c r="AB2178" i="3"/>
  <c r="O2178" i="3" s="1"/>
  <c r="AB2179" i="3"/>
  <c r="O2179" i="3" s="1"/>
  <c r="AB2180" i="3"/>
  <c r="O2180" i="3" s="1"/>
  <c r="AB2181" i="3"/>
  <c r="O2181" i="3" s="1"/>
  <c r="AB2182" i="3"/>
  <c r="O2182" i="3" s="1"/>
  <c r="AB2183" i="3"/>
  <c r="O2183" i="3" s="1"/>
  <c r="AB2184" i="3"/>
  <c r="O2184" i="3" s="1"/>
  <c r="AB2185" i="3"/>
  <c r="O2185" i="3" s="1"/>
  <c r="AB2186" i="3"/>
  <c r="O2186" i="3" s="1"/>
  <c r="AB2187" i="3"/>
  <c r="O2187" i="3" s="1"/>
  <c r="AC2166" i="3"/>
  <c r="N2166" i="3" s="1"/>
  <c r="AC2167" i="3"/>
  <c r="N2167" i="3" s="1"/>
  <c r="AC2168" i="3"/>
  <c r="N2168" i="3" s="1"/>
  <c r="AC2169" i="3"/>
  <c r="N2169" i="3" s="1"/>
  <c r="AC2170" i="3"/>
  <c r="N2170" i="3" s="1"/>
  <c r="AC2171" i="3"/>
  <c r="N2171" i="3" s="1"/>
  <c r="AC2172" i="3"/>
  <c r="N2172" i="3" s="1"/>
  <c r="AC2173" i="3"/>
  <c r="N2173" i="3" s="1"/>
  <c r="AC2174" i="3"/>
  <c r="N2174" i="3" s="1"/>
  <c r="AC2175" i="3"/>
  <c r="N2175" i="3" s="1"/>
  <c r="AC2176" i="3"/>
  <c r="N2176" i="3" s="1"/>
  <c r="AC2177" i="3"/>
  <c r="N2177" i="3" s="1"/>
  <c r="AC2178" i="3"/>
  <c r="N2178" i="3" s="1"/>
  <c r="AC2179" i="3"/>
  <c r="N2179" i="3" s="1"/>
  <c r="AC2180" i="3"/>
  <c r="N2180" i="3" s="1"/>
  <c r="AC2181" i="3"/>
  <c r="N2181" i="3" s="1"/>
  <c r="AC2182" i="3"/>
  <c r="N2182" i="3" s="1"/>
  <c r="AC2183" i="3"/>
  <c r="N2183" i="3" s="1"/>
  <c r="AC2184" i="3"/>
  <c r="N2184" i="3" s="1"/>
  <c r="AC2185" i="3"/>
  <c r="N2185" i="3" s="1"/>
  <c r="AC2186" i="3"/>
  <c r="N2186" i="3" s="1"/>
  <c r="AC2187" i="3"/>
  <c r="N2187" i="3" s="1"/>
  <c r="AK2166" i="3"/>
  <c r="AK2167" i="3"/>
  <c r="AK2168" i="3"/>
  <c r="AK2169" i="3"/>
  <c r="AK2170" i="3"/>
  <c r="AK2171" i="3"/>
  <c r="AK2172" i="3"/>
  <c r="AK2173" i="3"/>
  <c r="AK2174" i="3"/>
  <c r="AK2175" i="3"/>
  <c r="AK2176" i="3"/>
  <c r="AK2177" i="3"/>
  <c r="AK2178" i="3"/>
  <c r="AK2179" i="3"/>
  <c r="AK2180" i="3"/>
  <c r="AK2181" i="3"/>
  <c r="AK2182" i="3"/>
  <c r="AK2183" i="3"/>
  <c r="AK2184" i="3"/>
  <c r="AK2185" i="3"/>
  <c r="AK2186" i="3"/>
  <c r="AK2187" i="3"/>
  <c r="M123" i="10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P2144" i="3"/>
  <c r="P2145" i="3"/>
  <c r="P2146" i="3"/>
  <c r="P2147" i="3"/>
  <c r="P2148" i="3"/>
  <c r="P2149" i="3"/>
  <c r="P2150" i="3"/>
  <c r="P2151" i="3"/>
  <c r="P2152" i="3"/>
  <c r="P2153" i="3"/>
  <c r="P2154" i="3"/>
  <c r="P2155" i="3"/>
  <c r="P2156" i="3"/>
  <c r="P2157" i="3"/>
  <c r="P2158" i="3"/>
  <c r="P2159" i="3"/>
  <c r="P2160" i="3"/>
  <c r="P2161" i="3"/>
  <c r="P2162" i="3"/>
  <c r="P2163" i="3"/>
  <c r="P2164" i="3"/>
  <c r="P2165" i="3"/>
  <c r="Q2144" i="3"/>
  <c r="Q2145" i="3"/>
  <c r="Q2146" i="3"/>
  <c r="Q2147" i="3"/>
  <c r="Q2148" i="3"/>
  <c r="Q2149" i="3"/>
  <c r="Q2150" i="3"/>
  <c r="Q2151" i="3"/>
  <c r="Q2152" i="3"/>
  <c r="Q2153" i="3"/>
  <c r="Q2154" i="3"/>
  <c r="Q2155" i="3"/>
  <c r="Q2156" i="3"/>
  <c r="Q2157" i="3"/>
  <c r="Q2158" i="3"/>
  <c r="Q2159" i="3"/>
  <c r="Q2160" i="3"/>
  <c r="Q2161" i="3"/>
  <c r="Q2162" i="3"/>
  <c r="Q2163" i="3"/>
  <c r="Q2164" i="3"/>
  <c r="Q2165" i="3"/>
  <c r="R2144" i="3"/>
  <c r="R2145" i="3"/>
  <c r="R2146" i="3"/>
  <c r="R2147" i="3"/>
  <c r="R2148" i="3"/>
  <c r="R2149" i="3"/>
  <c r="R2150" i="3"/>
  <c r="R2151" i="3"/>
  <c r="R2152" i="3"/>
  <c r="R2153" i="3"/>
  <c r="R2154" i="3"/>
  <c r="R2155" i="3"/>
  <c r="R2156" i="3"/>
  <c r="R2157" i="3"/>
  <c r="R2158" i="3"/>
  <c r="R2159" i="3"/>
  <c r="R2160" i="3"/>
  <c r="R2161" i="3"/>
  <c r="R2162" i="3"/>
  <c r="R2163" i="3"/>
  <c r="R2164" i="3"/>
  <c r="R2165" i="3"/>
  <c r="S2145" i="3"/>
  <c r="S2146" i="3"/>
  <c r="S2147" i="3"/>
  <c r="S2148" i="3"/>
  <c r="S2149" i="3"/>
  <c r="S2150" i="3"/>
  <c r="S2151" i="3"/>
  <c r="S2152" i="3"/>
  <c r="S2153" i="3"/>
  <c r="S2154" i="3"/>
  <c r="S2156" i="3"/>
  <c r="S2157" i="3"/>
  <c r="S2158" i="3"/>
  <c r="S2159" i="3"/>
  <c r="S2160" i="3"/>
  <c r="S2161" i="3"/>
  <c r="S2162" i="3"/>
  <c r="S2163" i="3"/>
  <c r="S2164" i="3"/>
  <c r="S2165" i="3"/>
  <c r="T2144" i="3"/>
  <c r="T2155" i="3"/>
  <c r="U2144" i="3"/>
  <c r="U2155" i="3"/>
  <c r="V2144" i="3"/>
  <c r="V2155" i="3"/>
  <c r="W2144" i="3"/>
  <c r="W2155" i="3"/>
  <c r="X2144" i="3"/>
  <c r="X2155" i="3"/>
  <c r="AA2144" i="3"/>
  <c r="AA2145" i="3"/>
  <c r="AA2146" i="3"/>
  <c r="AA2147" i="3"/>
  <c r="AA2148" i="3"/>
  <c r="AA2149" i="3"/>
  <c r="AA2150" i="3"/>
  <c r="AA2151" i="3"/>
  <c r="AA2152" i="3"/>
  <c r="AA2153" i="3"/>
  <c r="AA2154" i="3"/>
  <c r="AA2155" i="3"/>
  <c r="AA2156" i="3"/>
  <c r="AA2157" i="3"/>
  <c r="AA2158" i="3"/>
  <c r="AA2159" i="3"/>
  <c r="AA2160" i="3"/>
  <c r="AA2161" i="3"/>
  <c r="AA2162" i="3"/>
  <c r="AA2163" i="3"/>
  <c r="AA2164" i="3"/>
  <c r="AA2165" i="3"/>
  <c r="AB2144" i="3"/>
  <c r="O2144" i="3" s="1"/>
  <c r="Y2144" i="3" s="1"/>
  <c r="AB2145" i="3"/>
  <c r="O2145" i="3" s="1"/>
  <c r="AB2146" i="3"/>
  <c r="O2146" i="3" s="1"/>
  <c r="AB2147" i="3"/>
  <c r="O2147" i="3" s="1"/>
  <c r="AB2148" i="3"/>
  <c r="O2148" i="3" s="1"/>
  <c r="AB2149" i="3"/>
  <c r="O2149" i="3" s="1"/>
  <c r="AB2150" i="3"/>
  <c r="O2150" i="3" s="1"/>
  <c r="AB2151" i="3"/>
  <c r="O2151" i="3" s="1"/>
  <c r="AB2152" i="3"/>
  <c r="O2152" i="3" s="1"/>
  <c r="AB2153" i="3"/>
  <c r="O2153" i="3" s="1"/>
  <c r="AB2154" i="3"/>
  <c r="O2154" i="3" s="1"/>
  <c r="AB2155" i="3"/>
  <c r="O2155" i="3" s="1"/>
  <c r="Y2155" i="3" s="1"/>
  <c r="AB2156" i="3"/>
  <c r="O2156" i="3" s="1"/>
  <c r="AB2157" i="3"/>
  <c r="O2157" i="3" s="1"/>
  <c r="AB2158" i="3"/>
  <c r="O2158" i="3" s="1"/>
  <c r="AB2159" i="3"/>
  <c r="O2159" i="3" s="1"/>
  <c r="AB2160" i="3"/>
  <c r="O2160" i="3" s="1"/>
  <c r="AB2161" i="3"/>
  <c r="O2161" i="3" s="1"/>
  <c r="AB2162" i="3"/>
  <c r="O2162" i="3" s="1"/>
  <c r="AB2163" i="3"/>
  <c r="O2163" i="3" s="1"/>
  <c r="AB2164" i="3"/>
  <c r="O2164" i="3" s="1"/>
  <c r="AB2165" i="3"/>
  <c r="O2165" i="3" s="1"/>
  <c r="AC2144" i="3"/>
  <c r="N2144" i="3" s="1"/>
  <c r="S2144" i="3" s="1"/>
  <c r="AC2145" i="3"/>
  <c r="N2145" i="3" s="1"/>
  <c r="AC2146" i="3"/>
  <c r="N2146" i="3" s="1"/>
  <c r="AC2147" i="3"/>
  <c r="N2147" i="3" s="1"/>
  <c r="AC2148" i="3"/>
  <c r="N2148" i="3" s="1"/>
  <c r="AC2149" i="3"/>
  <c r="N2149" i="3" s="1"/>
  <c r="AC2150" i="3"/>
  <c r="N2150" i="3" s="1"/>
  <c r="AC2151" i="3"/>
  <c r="N2151" i="3" s="1"/>
  <c r="AC2152" i="3"/>
  <c r="N2152" i="3" s="1"/>
  <c r="AC2153" i="3"/>
  <c r="N2153" i="3" s="1"/>
  <c r="AC2154" i="3"/>
  <c r="N2154" i="3" s="1"/>
  <c r="AC2155" i="3"/>
  <c r="N2155" i="3" s="1"/>
  <c r="AC2156" i="3"/>
  <c r="N2156" i="3" s="1"/>
  <c r="AC2157" i="3"/>
  <c r="N2157" i="3" s="1"/>
  <c r="AC2158" i="3"/>
  <c r="N2158" i="3" s="1"/>
  <c r="AC2159" i="3"/>
  <c r="N2159" i="3" s="1"/>
  <c r="AC2160" i="3"/>
  <c r="N2160" i="3" s="1"/>
  <c r="AC2161" i="3"/>
  <c r="N2161" i="3" s="1"/>
  <c r="AC2162" i="3"/>
  <c r="N2162" i="3" s="1"/>
  <c r="AC2163" i="3"/>
  <c r="N2163" i="3" s="1"/>
  <c r="AC2164" i="3"/>
  <c r="N2164" i="3" s="1"/>
  <c r="AC2165" i="3"/>
  <c r="N2165" i="3" s="1"/>
  <c r="AK2144" i="3"/>
  <c r="AK2145" i="3"/>
  <c r="AK2146" i="3"/>
  <c r="AK2147" i="3"/>
  <c r="AK2148" i="3"/>
  <c r="AK2149" i="3"/>
  <c r="AK2150" i="3"/>
  <c r="AK2151" i="3"/>
  <c r="AK2152" i="3"/>
  <c r="AK2153" i="3"/>
  <c r="AK2154" i="3"/>
  <c r="AK2155" i="3"/>
  <c r="AK2156" i="3"/>
  <c r="AK2157" i="3"/>
  <c r="AK2158" i="3"/>
  <c r="AK2159" i="3"/>
  <c r="AK2160" i="3"/>
  <c r="AK2161" i="3"/>
  <c r="AK2162" i="3"/>
  <c r="AK2163" i="3"/>
  <c r="AK2164" i="3"/>
  <c r="AK2165" i="3"/>
  <c r="M122" i="10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P2119" i="3"/>
  <c r="P2120" i="3"/>
  <c r="P2121" i="3"/>
  <c r="P2122" i="3"/>
  <c r="P2123" i="3"/>
  <c r="P2124" i="3"/>
  <c r="P2125" i="3"/>
  <c r="P2126" i="3"/>
  <c r="P2127" i="3"/>
  <c r="P2128" i="3"/>
  <c r="P2129" i="3"/>
  <c r="P2130" i="3"/>
  <c r="P2131" i="3"/>
  <c r="P2132" i="3"/>
  <c r="P2133" i="3"/>
  <c r="P2134" i="3"/>
  <c r="P2135" i="3"/>
  <c r="P2136" i="3"/>
  <c r="P2137" i="3"/>
  <c r="P2138" i="3"/>
  <c r="P2139" i="3"/>
  <c r="P2140" i="3"/>
  <c r="P2141" i="3"/>
  <c r="P2142" i="3"/>
  <c r="P2143" i="3"/>
  <c r="Q2119" i="3"/>
  <c r="Q2120" i="3"/>
  <c r="Q2121" i="3"/>
  <c r="Q2122" i="3"/>
  <c r="Q2123" i="3"/>
  <c r="Q2124" i="3"/>
  <c r="Q2125" i="3"/>
  <c r="Q2126" i="3"/>
  <c r="Q2127" i="3"/>
  <c r="Q2128" i="3"/>
  <c r="Q2129" i="3"/>
  <c r="Q2130" i="3"/>
  <c r="Q2131" i="3"/>
  <c r="Q2132" i="3"/>
  <c r="Q2133" i="3"/>
  <c r="Q2134" i="3"/>
  <c r="Q2135" i="3"/>
  <c r="Q2136" i="3"/>
  <c r="Q2137" i="3"/>
  <c r="Q2138" i="3"/>
  <c r="Q2139" i="3"/>
  <c r="Q2140" i="3"/>
  <c r="Q2141" i="3"/>
  <c r="Q2142" i="3"/>
  <c r="Q2143" i="3"/>
  <c r="R2119" i="3"/>
  <c r="R2120" i="3"/>
  <c r="R2121" i="3"/>
  <c r="R2122" i="3"/>
  <c r="R2123" i="3"/>
  <c r="R2124" i="3"/>
  <c r="R2125" i="3"/>
  <c r="R2126" i="3"/>
  <c r="R2127" i="3"/>
  <c r="R2128" i="3"/>
  <c r="R2129" i="3"/>
  <c r="R2130" i="3"/>
  <c r="R2131" i="3"/>
  <c r="R2132" i="3"/>
  <c r="R2133" i="3"/>
  <c r="R2134" i="3"/>
  <c r="R2135" i="3"/>
  <c r="R2136" i="3"/>
  <c r="R2137" i="3"/>
  <c r="R2138" i="3"/>
  <c r="R2139" i="3"/>
  <c r="R2140" i="3"/>
  <c r="R2141" i="3"/>
  <c r="R2142" i="3"/>
  <c r="R2143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4" i="3"/>
  <c r="S2135" i="3"/>
  <c r="S2136" i="3"/>
  <c r="S2137" i="3"/>
  <c r="S2138" i="3"/>
  <c r="S2139" i="3"/>
  <c r="S2140" i="3"/>
  <c r="S2141" i="3"/>
  <c r="S2142" i="3"/>
  <c r="S2143" i="3"/>
  <c r="T2119" i="3"/>
  <c r="T2133" i="3"/>
  <c r="U2119" i="3"/>
  <c r="U2133" i="3"/>
  <c r="V2119" i="3"/>
  <c r="V2133" i="3"/>
  <c r="W2119" i="3"/>
  <c r="W2133" i="3"/>
  <c r="X2119" i="3"/>
  <c r="X2133" i="3"/>
  <c r="AA2119" i="3"/>
  <c r="AA2120" i="3"/>
  <c r="AA2121" i="3"/>
  <c r="AA2122" i="3"/>
  <c r="AA2123" i="3"/>
  <c r="AA2124" i="3"/>
  <c r="AA2125" i="3"/>
  <c r="AA2126" i="3"/>
  <c r="AA2127" i="3"/>
  <c r="AA2128" i="3"/>
  <c r="AA2129" i="3"/>
  <c r="AA2130" i="3"/>
  <c r="AA2131" i="3"/>
  <c r="AA2132" i="3"/>
  <c r="AA2133" i="3"/>
  <c r="AA2134" i="3"/>
  <c r="AA2135" i="3"/>
  <c r="AA2136" i="3"/>
  <c r="AA2137" i="3"/>
  <c r="AA2138" i="3"/>
  <c r="AA2139" i="3"/>
  <c r="AA2140" i="3"/>
  <c r="AA2141" i="3"/>
  <c r="AA2142" i="3"/>
  <c r="AA2143" i="3"/>
  <c r="AB2119" i="3"/>
  <c r="O2119" i="3" s="1"/>
  <c r="Y2119" i="3" s="1"/>
  <c r="AB2120" i="3"/>
  <c r="O2120" i="3" s="1"/>
  <c r="AB2121" i="3"/>
  <c r="O2121" i="3" s="1"/>
  <c r="AB2122" i="3"/>
  <c r="O2122" i="3" s="1"/>
  <c r="AB2123" i="3"/>
  <c r="O2123" i="3" s="1"/>
  <c r="AB2124" i="3"/>
  <c r="O2124" i="3" s="1"/>
  <c r="AB2125" i="3"/>
  <c r="O2125" i="3" s="1"/>
  <c r="AB2126" i="3"/>
  <c r="O2126" i="3" s="1"/>
  <c r="AB2127" i="3"/>
  <c r="O2127" i="3" s="1"/>
  <c r="AB2128" i="3"/>
  <c r="O2128" i="3" s="1"/>
  <c r="AB2129" i="3"/>
  <c r="O2129" i="3" s="1"/>
  <c r="AB2130" i="3"/>
  <c r="O2130" i="3" s="1"/>
  <c r="AB2131" i="3"/>
  <c r="O2131" i="3" s="1"/>
  <c r="AB2132" i="3"/>
  <c r="O2132" i="3" s="1"/>
  <c r="AB2133" i="3"/>
  <c r="O2133" i="3" s="1"/>
  <c r="Y2133" i="3" s="1"/>
  <c r="AB2134" i="3"/>
  <c r="O2134" i="3" s="1"/>
  <c r="AB2135" i="3"/>
  <c r="O2135" i="3" s="1"/>
  <c r="AB2136" i="3"/>
  <c r="O2136" i="3" s="1"/>
  <c r="AB2137" i="3"/>
  <c r="O2137" i="3" s="1"/>
  <c r="AB2138" i="3"/>
  <c r="O2138" i="3" s="1"/>
  <c r="AB2139" i="3"/>
  <c r="O2139" i="3" s="1"/>
  <c r="AB2140" i="3"/>
  <c r="O2140" i="3" s="1"/>
  <c r="AB2141" i="3"/>
  <c r="O2141" i="3" s="1"/>
  <c r="AB2142" i="3"/>
  <c r="O2142" i="3" s="1"/>
  <c r="AB2143" i="3"/>
  <c r="O2143" i="3" s="1"/>
  <c r="AC2119" i="3"/>
  <c r="N2119" i="3" s="1"/>
  <c r="AC2120" i="3"/>
  <c r="N2120" i="3" s="1"/>
  <c r="AC2121" i="3"/>
  <c r="N2121" i="3" s="1"/>
  <c r="AC2122" i="3"/>
  <c r="N2122" i="3" s="1"/>
  <c r="AC2123" i="3"/>
  <c r="N2123" i="3" s="1"/>
  <c r="AC2124" i="3"/>
  <c r="N2124" i="3" s="1"/>
  <c r="AC2125" i="3"/>
  <c r="N2125" i="3" s="1"/>
  <c r="AC2126" i="3"/>
  <c r="N2126" i="3" s="1"/>
  <c r="AC2127" i="3"/>
  <c r="N2127" i="3" s="1"/>
  <c r="AC2128" i="3"/>
  <c r="N2128" i="3" s="1"/>
  <c r="AC2129" i="3"/>
  <c r="N2129" i="3" s="1"/>
  <c r="AC2130" i="3"/>
  <c r="N2130" i="3" s="1"/>
  <c r="AC2131" i="3"/>
  <c r="N2131" i="3" s="1"/>
  <c r="AC2132" i="3"/>
  <c r="N2132" i="3" s="1"/>
  <c r="AC2133" i="3"/>
  <c r="N2133" i="3" s="1"/>
  <c r="AC2134" i="3"/>
  <c r="N2134" i="3" s="1"/>
  <c r="AC2135" i="3"/>
  <c r="N2135" i="3" s="1"/>
  <c r="AC2136" i="3"/>
  <c r="N2136" i="3" s="1"/>
  <c r="AC2137" i="3"/>
  <c r="N2137" i="3" s="1"/>
  <c r="AC2138" i="3"/>
  <c r="N2138" i="3" s="1"/>
  <c r="AC2139" i="3"/>
  <c r="N2139" i="3" s="1"/>
  <c r="AC2140" i="3"/>
  <c r="N2140" i="3" s="1"/>
  <c r="AC2141" i="3"/>
  <c r="N2141" i="3" s="1"/>
  <c r="AC2142" i="3"/>
  <c r="N2142" i="3" s="1"/>
  <c r="AC2143" i="3"/>
  <c r="N2143" i="3" s="1"/>
  <c r="AK2119" i="3"/>
  <c r="AK2120" i="3"/>
  <c r="AK2121" i="3"/>
  <c r="AK2122" i="3"/>
  <c r="AK2123" i="3"/>
  <c r="AK2124" i="3"/>
  <c r="AK2125" i="3"/>
  <c r="AK2126" i="3"/>
  <c r="AK2127" i="3"/>
  <c r="AK2128" i="3"/>
  <c r="AK2129" i="3"/>
  <c r="AK2130" i="3"/>
  <c r="AK2131" i="3"/>
  <c r="AK2132" i="3"/>
  <c r="AK2133" i="3"/>
  <c r="AK2134" i="3"/>
  <c r="AK2135" i="3"/>
  <c r="AK2136" i="3"/>
  <c r="AK2137" i="3"/>
  <c r="AK2138" i="3"/>
  <c r="AK2139" i="3"/>
  <c r="AK2140" i="3"/>
  <c r="AK2141" i="3"/>
  <c r="AK2142" i="3"/>
  <c r="AK2143" i="3"/>
  <c r="M121" i="10"/>
  <c r="M2108" i="3"/>
  <c r="M2109" i="3"/>
  <c r="M2110" i="3"/>
  <c r="M2111" i="3"/>
  <c r="M2112" i="3"/>
  <c r="M2113" i="3"/>
  <c r="M2114" i="3"/>
  <c r="M2115" i="3"/>
  <c r="M2116" i="3"/>
  <c r="M2117" i="3"/>
  <c r="M2118" i="3"/>
  <c r="P2108" i="3"/>
  <c r="P2109" i="3"/>
  <c r="P2110" i="3"/>
  <c r="P2111" i="3"/>
  <c r="P2112" i="3"/>
  <c r="P2113" i="3"/>
  <c r="P2114" i="3"/>
  <c r="P2115" i="3"/>
  <c r="P2116" i="3"/>
  <c r="P2117" i="3"/>
  <c r="P2118" i="3"/>
  <c r="Q2108" i="3"/>
  <c r="Q2109" i="3"/>
  <c r="Q2110" i="3"/>
  <c r="Q2111" i="3"/>
  <c r="Q2112" i="3"/>
  <c r="Q2113" i="3"/>
  <c r="Q2114" i="3"/>
  <c r="Q2115" i="3"/>
  <c r="Q2116" i="3"/>
  <c r="Q2117" i="3"/>
  <c r="Q2118" i="3"/>
  <c r="R2108" i="3"/>
  <c r="R2109" i="3"/>
  <c r="R2110" i="3"/>
  <c r="R2111" i="3"/>
  <c r="R2112" i="3"/>
  <c r="R2113" i="3"/>
  <c r="R2114" i="3"/>
  <c r="R2115" i="3"/>
  <c r="R2116" i="3"/>
  <c r="R2117" i="3"/>
  <c r="R2118" i="3"/>
  <c r="S2109" i="3"/>
  <c r="S2110" i="3"/>
  <c r="S2111" i="3"/>
  <c r="S2112" i="3"/>
  <c r="S2113" i="3"/>
  <c r="S2114" i="3"/>
  <c r="S2115" i="3"/>
  <c r="S2116" i="3"/>
  <c r="S2117" i="3"/>
  <c r="S2118" i="3"/>
  <c r="T2108" i="3"/>
  <c r="U2108" i="3"/>
  <c r="V2108" i="3"/>
  <c r="W2108" i="3"/>
  <c r="X2108" i="3"/>
  <c r="AA2108" i="3"/>
  <c r="AA2109" i="3"/>
  <c r="AA2110" i="3"/>
  <c r="AA2111" i="3"/>
  <c r="AA2112" i="3"/>
  <c r="AA2113" i="3"/>
  <c r="AA2114" i="3"/>
  <c r="AA2115" i="3"/>
  <c r="AA2116" i="3"/>
  <c r="AA2117" i="3"/>
  <c r="AA2118" i="3"/>
  <c r="AB2108" i="3"/>
  <c r="O2108" i="3" s="1"/>
  <c r="AB2109" i="3"/>
  <c r="O2109" i="3" s="1"/>
  <c r="AB2110" i="3"/>
  <c r="O2110" i="3" s="1"/>
  <c r="AB2111" i="3"/>
  <c r="O2111" i="3" s="1"/>
  <c r="AB2112" i="3"/>
  <c r="O2112" i="3" s="1"/>
  <c r="AB2113" i="3"/>
  <c r="O2113" i="3" s="1"/>
  <c r="AB2114" i="3"/>
  <c r="O2114" i="3" s="1"/>
  <c r="AB2115" i="3"/>
  <c r="O2115" i="3" s="1"/>
  <c r="AB2116" i="3"/>
  <c r="O2116" i="3" s="1"/>
  <c r="AB2117" i="3"/>
  <c r="O2117" i="3" s="1"/>
  <c r="AB2118" i="3"/>
  <c r="O2118" i="3" s="1"/>
  <c r="AC2108" i="3"/>
  <c r="N2108" i="3" s="1"/>
  <c r="AC2109" i="3"/>
  <c r="N2109" i="3" s="1"/>
  <c r="AC2110" i="3"/>
  <c r="N2110" i="3" s="1"/>
  <c r="AC2111" i="3"/>
  <c r="N2111" i="3" s="1"/>
  <c r="AC2112" i="3"/>
  <c r="N2112" i="3" s="1"/>
  <c r="AC2113" i="3"/>
  <c r="N2113" i="3" s="1"/>
  <c r="AC2114" i="3"/>
  <c r="N2114" i="3" s="1"/>
  <c r="AC2115" i="3"/>
  <c r="N2115" i="3" s="1"/>
  <c r="AC2116" i="3"/>
  <c r="N2116" i="3" s="1"/>
  <c r="AC2117" i="3"/>
  <c r="N2117" i="3" s="1"/>
  <c r="AC2118" i="3"/>
  <c r="N2118" i="3" s="1"/>
  <c r="AK2108" i="3"/>
  <c r="AK2109" i="3"/>
  <c r="AK2110" i="3"/>
  <c r="AK2111" i="3"/>
  <c r="AK2112" i="3"/>
  <c r="AK2113" i="3"/>
  <c r="AK2114" i="3"/>
  <c r="AK2115" i="3"/>
  <c r="AK2116" i="3"/>
  <c r="AK2117" i="3"/>
  <c r="AK2118" i="3"/>
  <c r="M120" i="10"/>
  <c r="M2097" i="3"/>
  <c r="M2098" i="3"/>
  <c r="M2099" i="3"/>
  <c r="M2100" i="3"/>
  <c r="M2101" i="3"/>
  <c r="M2102" i="3"/>
  <c r="M2103" i="3"/>
  <c r="M2104" i="3"/>
  <c r="M2105" i="3"/>
  <c r="M2106" i="3"/>
  <c r="M2107" i="3"/>
  <c r="P2097" i="3"/>
  <c r="P2098" i="3"/>
  <c r="P2099" i="3"/>
  <c r="P2100" i="3"/>
  <c r="P2101" i="3"/>
  <c r="P2102" i="3"/>
  <c r="P2103" i="3"/>
  <c r="P2104" i="3"/>
  <c r="P2105" i="3"/>
  <c r="P2106" i="3"/>
  <c r="P2107" i="3"/>
  <c r="Q2097" i="3"/>
  <c r="Q2098" i="3"/>
  <c r="Q2099" i="3"/>
  <c r="Q2100" i="3"/>
  <c r="Q2101" i="3"/>
  <c r="Q2102" i="3"/>
  <c r="Q2103" i="3"/>
  <c r="Q2104" i="3"/>
  <c r="Q2105" i="3"/>
  <c r="Q2106" i="3"/>
  <c r="Q2107" i="3"/>
  <c r="R2097" i="3"/>
  <c r="R2098" i="3"/>
  <c r="R2099" i="3"/>
  <c r="R2100" i="3"/>
  <c r="R2101" i="3"/>
  <c r="R2102" i="3"/>
  <c r="R2103" i="3"/>
  <c r="R2104" i="3"/>
  <c r="R2105" i="3"/>
  <c r="R2106" i="3"/>
  <c r="R2107" i="3"/>
  <c r="S2098" i="3"/>
  <c r="S2099" i="3"/>
  <c r="S2100" i="3"/>
  <c r="S2101" i="3"/>
  <c r="S2102" i="3"/>
  <c r="S2103" i="3"/>
  <c r="S2104" i="3"/>
  <c r="S2105" i="3"/>
  <c r="S2106" i="3"/>
  <c r="S2107" i="3"/>
  <c r="T2097" i="3"/>
  <c r="U2097" i="3"/>
  <c r="V2097" i="3"/>
  <c r="W2097" i="3"/>
  <c r="X2097" i="3"/>
  <c r="AA2097" i="3"/>
  <c r="AA2098" i="3"/>
  <c r="AA2099" i="3"/>
  <c r="AA2100" i="3"/>
  <c r="AA2101" i="3"/>
  <c r="AA2102" i="3"/>
  <c r="AA2103" i="3"/>
  <c r="AA2104" i="3"/>
  <c r="AA2105" i="3"/>
  <c r="AA2106" i="3"/>
  <c r="AA2107" i="3"/>
  <c r="AB2097" i="3"/>
  <c r="O2097" i="3" s="1"/>
  <c r="Y2097" i="3" s="1"/>
  <c r="AB2098" i="3"/>
  <c r="O2098" i="3" s="1"/>
  <c r="AB2099" i="3"/>
  <c r="O2099" i="3" s="1"/>
  <c r="AB2100" i="3"/>
  <c r="O2100" i="3" s="1"/>
  <c r="AB2101" i="3"/>
  <c r="O2101" i="3" s="1"/>
  <c r="AB2102" i="3"/>
  <c r="O2102" i="3" s="1"/>
  <c r="AB2103" i="3"/>
  <c r="O2103" i="3" s="1"/>
  <c r="AB2104" i="3"/>
  <c r="O2104" i="3" s="1"/>
  <c r="AB2105" i="3"/>
  <c r="O2105" i="3" s="1"/>
  <c r="AB2106" i="3"/>
  <c r="O2106" i="3" s="1"/>
  <c r="AB2107" i="3"/>
  <c r="O2107" i="3" s="1"/>
  <c r="AC2097" i="3"/>
  <c r="N2097" i="3" s="1"/>
  <c r="AC2098" i="3"/>
  <c r="N2098" i="3" s="1"/>
  <c r="AC2099" i="3"/>
  <c r="N2099" i="3" s="1"/>
  <c r="AC2100" i="3"/>
  <c r="N2100" i="3" s="1"/>
  <c r="AC2101" i="3"/>
  <c r="N2101" i="3" s="1"/>
  <c r="AC2102" i="3"/>
  <c r="N2102" i="3" s="1"/>
  <c r="AC2103" i="3"/>
  <c r="N2103" i="3" s="1"/>
  <c r="AC2104" i="3"/>
  <c r="N2104" i="3" s="1"/>
  <c r="AC2105" i="3"/>
  <c r="N2105" i="3" s="1"/>
  <c r="AC2106" i="3"/>
  <c r="N2106" i="3" s="1"/>
  <c r="AC2107" i="3"/>
  <c r="N2107" i="3" s="1"/>
  <c r="AK2097" i="3"/>
  <c r="AK2098" i="3"/>
  <c r="AK2099" i="3"/>
  <c r="AK2100" i="3"/>
  <c r="AK2101" i="3"/>
  <c r="AK2102" i="3"/>
  <c r="AK2103" i="3"/>
  <c r="AK2104" i="3"/>
  <c r="AK2105" i="3"/>
  <c r="AK2106" i="3"/>
  <c r="AK2107" i="3"/>
  <c r="M119" i="10"/>
  <c r="M2086" i="3"/>
  <c r="M2087" i="3"/>
  <c r="M2088" i="3"/>
  <c r="M2089" i="3"/>
  <c r="M2090" i="3"/>
  <c r="M2091" i="3"/>
  <c r="M2092" i="3"/>
  <c r="M2093" i="3"/>
  <c r="M2094" i="3"/>
  <c r="M2095" i="3"/>
  <c r="M2096" i="3"/>
  <c r="P2086" i="3"/>
  <c r="P2087" i="3"/>
  <c r="P2088" i="3"/>
  <c r="P2089" i="3"/>
  <c r="P2090" i="3"/>
  <c r="P2091" i="3"/>
  <c r="P2092" i="3"/>
  <c r="P2093" i="3"/>
  <c r="P2094" i="3"/>
  <c r="P2095" i="3"/>
  <c r="P2096" i="3"/>
  <c r="Q2086" i="3"/>
  <c r="Q2087" i="3"/>
  <c r="Q2088" i="3"/>
  <c r="Q2089" i="3"/>
  <c r="Q2090" i="3"/>
  <c r="Q2091" i="3"/>
  <c r="Q2092" i="3"/>
  <c r="Q2093" i="3"/>
  <c r="Q2094" i="3"/>
  <c r="Q2095" i="3"/>
  <c r="Q2096" i="3"/>
  <c r="R2086" i="3"/>
  <c r="R2087" i="3"/>
  <c r="R2088" i="3"/>
  <c r="R2089" i="3"/>
  <c r="R2090" i="3"/>
  <c r="R2091" i="3"/>
  <c r="R2092" i="3"/>
  <c r="R2093" i="3"/>
  <c r="R2094" i="3"/>
  <c r="R2095" i="3"/>
  <c r="R2096" i="3"/>
  <c r="S2087" i="3"/>
  <c r="S2088" i="3"/>
  <c r="S2089" i="3"/>
  <c r="S2090" i="3"/>
  <c r="S2091" i="3"/>
  <c r="S2092" i="3"/>
  <c r="S2093" i="3"/>
  <c r="S2094" i="3"/>
  <c r="S2095" i="3"/>
  <c r="S2096" i="3"/>
  <c r="T2086" i="3"/>
  <c r="U2086" i="3"/>
  <c r="V2086" i="3"/>
  <c r="W2086" i="3"/>
  <c r="X2086" i="3"/>
  <c r="AA2086" i="3"/>
  <c r="AA2087" i="3"/>
  <c r="AA2088" i="3"/>
  <c r="AA2089" i="3"/>
  <c r="AA2090" i="3"/>
  <c r="AA2091" i="3"/>
  <c r="AA2092" i="3"/>
  <c r="AA2093" i="3"/>
  <c r="AA2094" i="3"/>
  <c r="AA2095" i="3"/>
  <c r="AA2096" i="3"/>
  <c r="AB2086" i="3"/>
  <c r="O2086" i="3" s="1"/>
  <c r="Y2086" i="3" s="1"/>
  <c r="AB2087" i="3"/>
  <c r="O2087" i="3" s="1"/>
  <c r="AB2088" i="3"/>
  <c r="O2088" i="3" s="1"/>
  <c r="AB2089" i="3"/>
  <c r="O2089" i="3" s="1"/>
  <c r="AB2090" i="3"/>
  <c r="O2090" i="3" s="1"/>
  <c r="AB2091" i="3"/>
  <c r="O2091" i="3" s="1"/>
  <c r="AB2092" i="3"/>
  <c r="O2092" i="3" s="1"/>
  <c r="AB2093" i="3"/>
  <c r="O2093" i="3" s="1"/>
  <c r="AB2094" i="3"/>
  <c r="O2094" i="3" s="1"/>
  <c r="AB2095" i="3"/>
  <c r="O2095" i="3" s="1"/>
  <c r="AB2096" i="3"/>
  <c r="O2096" i="3" s="1"/>
  <c r="AC2086" i="3"/>
  <c r="N2086" i="3" s="1"/>
  <c r="AC2087" i="3"/>
  <c r="N2087" i="3" s="1"/>
  <c r="AC2088" i="3"/>
  <c r="N2088" i="3" s="1"/>
  <c r="AC2089" i="3"/>
  <c r="N2089" i="3" s="1"/>
  <c r="AC2090" i="3"/>
  <c r="N2090" i="3" s="1"/>
  <c r="AC2091" i="3"/>
  <c r="N2091" i="3" s="1"/>
  <c r="AC2092" i="3"/>
  <c r="N2092" i="3" s="1"/>
  <c r="AC2093" i="3"/>
  <c r="N2093" i="3" s="1"/>
  <c r="AC2094" i="3"/>
  <c r="N2094" i="3" s="1"/>
  <c r="AC2095" i="3"/>
  <c r="N2095" i="3" s="1"/>
  <c r="AC2096" i="3"/>
  <c r="N2096" i="3" s="1"/>
  <c r="AK2086" i="3"/>
  <c r="AK2087" i="3"/>
  <c r="AK2088" i="3"/>
  <c r="AK2089" i="3"/>
  <c r="AK2090" i="3"/>
  <c r="AK2091" i="3"/>
  <c r="AK2092" i="3"/>
  <c r="AK2093" i="3"/>
  <c r="AK2094" i="3"/>
  <c r="AK2095" i="3"/>
  <c r="AK2096" i="3"/>
  <c r="M118" i="10"/>
  <c r="M117" i="10"/>
  <c r="M2075" i="3"/>
  <c r="M2076" i="3"/>
  <c r="M2077" i="3"/>
  <c r="M2078" i="3"/>
  <c r="M2079" i="3"/>
  <c r="M2080" i="3"/>
  <c r="M2081" i="3"/>
  <c r="M2082" i="3"/>
  <c r="M2083" i="3"/>
  <c r="M2084" i="3"/>
  <c r="M2085" i="3"/>
  <c r="P2075" i="3"/>
  <c r="P2076" i="3"/>
  <c r="P2077" i="3"/>
  <c r="P2078" i="3"/>
  <c r="P2079" i="3"/>
  <c r="P2080" i="3"/>
  <c r="P2081" i="3"/>
  <c r="P2082" i="3"/>
  <c r="P2083" i="3"/>
  <c r="P2084" i="3"/>
  <c r="P2085" i="3"/>
  <c r="Q2075" i="3"/>
  <c r="Q2076" i="3"/>
  <c r="Q2077" i="3"/>
  <c r="Q2078" i="3"/>
  <c r="Q2079" i="3"/>
  <c r="Q2080" i="3"/>
  <c r="Q2081" i="3"/>
  <c r="Q2082" i="3"/>
  <c r="Q2083" i="3"/>
  <c r="Q2084" i="3"/>
  <c r="Q2085" i="3"/>
  <c r="R2075" i="3"/>
  <c r="R2076" i="3"/>
  <c r="R2077" i="3"/>
  <c r="R2078" i="3"/>
  <c r="R2079" i="3"/>
  <c r="R2080" i="3"/>
  <c r="R2081" i="3"/>
  <c r="R2082" i="3"/>
  <c r="R2083" i="3"/>
  <c r="R2084" i="3"/>
  <c r="R2085" i="3"/>
  <c r="S2076" i="3"/>
  <c r="S2077" i="3"/>
  <c r="S2078" i="3"/>
  <c r="S2079" i="3"/>
  <c r="S2080" i="3"/>
  <c r="S2081" i="3"/>
  <c r="S2082" i="3"/>
  <c r="S2083" i="3"/>
  <c r="S2084" i="3"/>
  <c r="S2085" i="3"/>
  <c r="T2075" i="3"/>
  <c r="U2075" i="3"/>
  <c r="V2075" i="3"/>
  <c r="W2075" i="3"/>
  <c r="X2075" i="3"/>
  <c r="AA2075" i="3"/>
  <c r="AA2076" i="3"/>
  <c r="AA2077" i="3"/>
  <c r="AA2078" i="3"/>
  <c r="AA2079" i="3"/>
  <c r="AA2080" i="3"/>
  <c r="AA2081" i="3"/>
  <c r="AA2082" i="3"/>
  <c r="AA2083" i="3"/>
  <c r="AA2084" i="3"/>
  <c r="AA2085" i="3"/>
  <c r="AB2075" i="3"/>
  <c r="O2075" i="3" s="1"/>
  <c r="Y2075" i="3" s="1"/>
  <c r="AB2076" i="3"/>
  <c r="O2076" i="3" s="1"/>
  <c r="AB2077" i="3"/>
  <c r="O2077" i="3" s="1"/>
  <c r="AB2078" i="3"/>
  <c r="O2078" i="3" s="1"/>
  <c r="AB2079" i="3"/>
  <c r="O2079" i="3" s="1"/>
  <c r="AB2080" i="3"/>
  <c r="O2080" i="3" s="1"/>
  <c r="AB2081" i="3"/>
  <c r="O2081" i="3" s="1"/>
  <c r="AB2082" i="3"/>
  <c r="O2082" i="3" s="1"/>
  <c r="AB2083" i="3"/>
  <c r="O2083" i="3" s="1"/>
  <c r="AB2084" i="3"/>
  <c r="O2084" i="3" s="1"/>
  <c r="AB2085" i="3"/>
  <c r="O2085" i="3" s="1"/>
  <c r="AC2075" i="3"/>
  <c r="N2075" i="3" s="1"/>
  <c r="AC2076" i="3"/>
  <c r="N2076" i="3" s="1"/>
  <c r="AC2077" i="3"/>
  <c r="N2077" i="3" s="1"/>
  <c r="AC2078" i="3"/>
  <c r="N2078" i="3" s="1"/>
  <c r="AC2079" i="3"/>
  <c r="N2079" i="3" s="1"/>
  <c r="AC2080" i="3"/>
  <c r="N2080" i="3" s="1"/>
  <c r="AC2081" i="3"/>
  <c r="N2081" i="3" s="1"/>
  <c r="AC2082" i="3"/>
  <c r="N2082" i="3" s="1"/>
  <c r="AC2083" i="3"/>
  <c r="N2083" i="3" s="1"/>
  <c r="AC2084" i="3"/>
  <c r="N2084" i="3" s="1"/>
  <c r="AC2085" i="3"/>
  <c r="N2085" i="3" s="1"/>
  <c r="AK2075" i="3"/>
  <c r="AK2076" i="3"/>
  <c r="AK2077" i="3"/>
  <c r="AK2078" i="3"/>
  <c r="AK2079" i="3"/>
  <c r="AK2080" i="3"/>
  <c r="AK2081" i="3"/>
  <c r="AK2082" i="3"/>
  <c r="AK2083" i="3"/>
  <c r="AK2084" i="3"/>
  <c r="AK2085" i="3"/>
  <c r="M2064" i="3"/>
  <c r="M2065" i="3"/>
  <c r="M2066" i="3"/>
  <c r="M2067" i="3"/>
  <c r="M2068" i="3"/>
  <c r="M2069" i="3"/>
  <c r="M2070" i="3"/>
  <c r="M2071" i="3"/>
  <c r="M2072" i="3"/>
  <c r="M2073" i="3"/>
  <c r="M2074" i="3"/>
  <c r="P2064" i="3"/>
  <c r="P2065" i="3"/>
  <c r="P2066" i="3"/>
  <c r="P2067" i="3"/>
  <c r="P2068" i="3"/>
  <c r="P2069" i="3"/>
  <c r="P2070" i="3"/>
  <c r="P2071" i="3"/>
  <c r="P2072" i="3"/>
  <c r="P2073" i="3"/>
  <c r="P2074" i="3"/>
  <c r="Q2064" i="3"/>
  <c r="Q2065" i="3"/>
  <c r="Q2066" i="3"/>
  <c r="Q2067" i="3"/>
  <c r="Q2068" i="3"/>
  <c r="Q2069" i="3"/>
  <c r="Q2070" i="3"/>
  <c r="Q2071" i="3"/>
  <c r="Q2072" i="3"/>
  <c r="Q2073" i="3"/>
  <c r="Q2074" i="3"/>
  <c r="R2064" i="3"/>
  <c r="R2065" i="3"/>
  <c r="R2066" i="3"/>
  <c r="R2067" i="3"/>
  <c r="R2068" i="3"/>
  <c r="R2069" i="3"/>
  <c r="R2070" i="3"/>
  <c r="R2071" i="3"/>
  <c r="R2072" i="3"/>
  <c r="R2073" i="3"/>
  <c r="R2074" i="3"/>
  <c r="S2065" i="3"/>
  <c r="S2066" i="3"/>
  <c r="S2067" i="3"/>
  <c r="S2068" i="3"/>
  <c r="S2069" i="3"/>
  <c r="S2070" i="3"/>
  <c r="S2071" i="3"/>
  <c r="S2072" i="3"/>
  <c r="S2073" i="3"/>
  <c r="S2074" i="3"/>
  <c r="T2064" i="3"/>
  <c r="U2064" i="3"/>
  <c r="V2064" i="3"/>
  <c r="W2064" i="3"/>
  <c r="X2064" i="3"/>
  <c r="AA2064" i="3"/>
  <c r="AA2065" i="3"/>
  <c r="AA2066" i="3"/>
  <c r="AA2067" i="3"/>
  <c r="AA2068" i="3"/>
  <c r="AA2069" i="3"/>
  <c r="AA2070" i="3"/>
  <c r="AA2071" i="3"/>
  <c r="AA2072" i="3"/>
  <c r="AA2073" i="3"/>
  <c r="AA2074" i="3"/>
  <c r="AB2064" i="3"/>
  <c r="O2064" i="3" s="1"/>
  <c r="Y2064" i="3" s="1"/>
  <c r="AB2065" i="3"/>
  <c r="O2065" i="3" s="1"/>
  <c r="AB2066" i="3"/>
  <c r="O2066" i="3" s="1"/>
  <c r="AB2067" i="3"/>
  <c r="O2067" i="3" s="1"/>
  <c r="AB2068" i="3"/>
  <c r="O2068" i="3" s="1"/>
  <c r="AB2069" i="3"/>
  <c r="O2069" i="3" s="1"/>
  <c r="AB2070" i="3"/>
  <c r="O2070" i="3" s="1"/>
  <c r="AB2071" i="3"/>
  <c r="O2071" i="3" s="1"/>
  <c r="AB2072" i="3"/>
  <c r="O2072" i="3" s="1"/>
  <c r="AB2073" i="3"/>
  <c r="O2073" i="3" s="1"/>
  <c r="AB2074" i="3"/>
  <c r="O2074" i="3" s="1"/>
  <c r="AC2064" i="3"/>
  <c r="N2064" i="3" s="1"/>
  <c r="AC2065" i="3"/>
  <c r="N2065" i="3" s="1"/>
  <c r="AC2066" i="3"/>
  <c r="N2066" i="3" s="1"/>
  <c r="AC2067" i="3"/>
  <c r="N2067" i="3" s="1"/>
  <c r="AC2068" i="3"/>
  <c r="N2068" i="3" s="1"/>
  <c r="AC2069" i="3"/>
  <c r="N2069" i="3" s="1"/>
  <c r="AC2070" i="3"/>
  <c r="N2070" i="3" s="1"/>
  <c r="AC2071" i="3"/>
  <c r="N2071" i="3" s="1"/>
  <c r="AC2072" i="3"/>
  <c r="N2072" i="3" s="1"/>
  <c r="AC2073" i="3"/>
  <c r="N2073" i="3" s="1"/>
  <c r="AC2074" i="3"/>
  <c r="N2074" i="3" s="1"/>
  <c r="AK2064" i="3"/>
  <c r="AK2065" i="3"/>
  <c r="AK2066" i="3"/>
  <c r="AK2067" i="3"/>
  <c r="AK2068" i="3"/>
  <c r="AK2069" i="3"/>
  <c r="AK2070" i="3"/>
  <c r="AK2071" i="3"/>
  <c r="AK2072" i="3"/>
  <c r="AK2073" i="3"/>
  <c r="AK2074" i="3"/>
  <c r="M116" i="10"/>
  <c r="M2053" i="3"/>
  <c r="M2054" i="3"/>
  <c r="M2055" i="3"/>
  <c r="M2056" i="3"/>
  <c r="M2057" i="3"/>
  <c r="M2058" i="3"/>
  <c r="M2059" i="3"/>
  <c r="M2060" i="3"/>
  <c r="M2061" i="3"/>
  <c r="M2062" i="3"/>
  <c r="M2063" i="3"/>
  <c r="P2053" i="3"/>
  <c r="P2054" i="3"/>
  <c r="P2055" i="3"/>
  <c r="P2056" i="3"/>
  <c r="P2057" i="3"/>
  <c r="P2058" i="3"/>
  <c r="P2059" i="3"/>
  <c r="P2060" i="3"/>
  <c r="P2061" i="3"/>
  <c r="P2062" i="3"/>
  <c r="P2063" i="3"/>
  <c r="Q2053" i="3"/>
  <c r="Q2054" i="3"/>
  <c r="Q2055" i="3"/>
  <c r="Q2056" i="3"/>
  <c r="Q2057" i="3"/>
  <c r="Q2058" i="3"/>
  <c r="Q2059" i="3"/>
  <c r="Q2060" i="3"/>
  <c r="Q2061" i="3"/>
  <c r="Q2062" i="3"/>
  <c r="Q2063" i="3"/>
  <c r="R2053" i="3"/>
  <c r="R2054" i="3"/>
  <c r="R2055" i="3"/>
  <c r="R2056" i="3"/>
  <c r="R2057" i="3"/>
  <c r="R2058" i="3"/>
  <c r="R2059" i="3"/>
  <c r="R2060" i="3"/>
  <c r="R2061" i="3"/>
  <c r="R2062" i="3"/>
  <c r="R2063" i="3"/>
  <c r="S2054" i="3"/>
  <c r="S2055" i="3"/>
  <c r="S2056" i="3"/>
  <c r="S2057" i="3"/>
  <c r="S2058" i="3"/>
  <c r="S2059" i="3"/>
  <c r="S2060" i="3"/>
  <c r="S2061" i="3"/>
  <c r="S2062" i="3"/>
  <c r="S2063" i="3"/>
  <c r="T2053" i="3"/>
  <c r="U2053" i="3"/>
  <c r="V2053" i="3"/>
  <c r="W2053" i="3"/>
  <c r="X2053" i="3"/>
  <c r="AA2053" i="3"/>
  <c r="AA2054" i="3"/>
  <c r="AA2055" i="3"/>
  <c r="AA2056" i="3"/>
  <c r="AA2057" i="3"/>
  <c r="AA2058" i="3"/>
  <c r="AA2059" i="3"/>
  <c r="AA2060" i="3"/>
  <c r="AA2061" i="3"/>
  <c r="AA2062" i="3"/>
  <c r="AA2063" i="3"/>
  <c r="AB2053" i="3"/>
  <c r="O2053" i="3" s="1"/>
  <c r="Y2053" i="3" s="1"/>
  <c r="AB2054" i="3"/>
  <c r="O2054" i="3" s="1"/>
  <c r="AB2055" i="3"/>
  <c r="O2055" i="3" s="1"/>
  <c r="AB2056" i="3"/>
  <c r="O2056" i="3" s="1"/>
  <c r="AB2057" i="3"/>
  <c r="O2057" i="3" s="1"/>
  <c r="AB2058" i="3"/>
  <c r="O2058" i="3" s="1"/>
  <c r="AB2059" i="3"/>
  <c r="O2059" i="3" s="1"/>
  <c r="AB2060" i="3"/>
  <c r="O2060" i="3" s="1"/>
  <c r="AB2061" i="3"/>
  <c r="O2061" i="3" s="1"/>
  <c r="AB2062" i="3"/>
  <c r="O2062" i="3" s="1"/>
  <c r="AB2063" i="3"/>
  <c r="O2063" i="3" s="1"/>
  <c r="AC2053" i="3"/>
  <c r="N2053" i="3" s="1"/>
  <c r="AC2054" i="3"/>
  <c r="N2054" i="3" s="1"/>
  <c r="AC2055" i="3"/>
  <c r="N2055" i="3" s="1"/>
  <c r="AC2056" i="3"/>
  <c r="N2056" i="3" s="1"/>
  <c r="AC2057" i="3"/>
  <c r="N2057" i="3" s="1"/>
  <c r="AC2058" i="3"/>
  <c r="N2058" i="3" s="1"/>
  <c r="AC2059" i="3"/>
  <c r="N2059" i="3" s="1"/>
  <c r="AC2060" i="3"/>
  <c r="N2060" i="3" s="1"/>
  <c r="AC2061" i="3"/>
  <c r="N2061" i="3" s="1"/>
  <c r="AC2062" i="3"/>
  <c r="N2062" i="3" s="1"/>
  <c r="AC2063" i="3"/>
  <c r="N2063" i="3" s="1"/>
  <c r="AK2053" i="3"/>
  <c r="AK2054" i="3"/>
  <c r="AK2055" i="3"/>
  <c r="AK2056" i="3"/>
  <c r="AK2057" i="3"/>
  <c r="AK2058" i="3"/>
  <c r="AK2059" i="3"/>
  <c r="AK2060" i="3"/>
  <c r="AK2061" i="3"/>
  <c r="AK2062" i="3"/>
  <c r="AK2063" i="3"/>
  <c r="M115" i="10"/>
  <c r="Z2225" i="3" l="1"/>
  <c r="Z2316" i="3"/>
  <c r="Z2327" i="3"/>
  <c r="Z2144" i="3"/>
  <c r="Y2108" i="3"/>
  <c r="Z2446" i="3"/>
  <c r="Z2450" i="3"/>
  <c r="Z2456" i="3"/>
  <c r="Z2460" i="3"/>
  <c r="Z2464" i="3"/>
  <c r="Z2514" i="3"/>
  <c r="Z2518" i="3"/>
  <c r="Z2522" i="3"/>
  <c r="Z2400" i="3"/>
  <c r="Z2402" i="3"/>
  <c r="Z2404" i="3"/>
  <c r="Z2406" i="3"/>
  <c r="Z2408" i="3"/>
  <c r="Z2413" i="3"/>
  <c r="Z2417" i="3"/>
  <c r="Z2411" i="3"/>
  <c r="Z2415" i="3"/>
  <c r="Z2419" i="3"/>
  <c r="Z2422" i="3"/>
  <c r="Z2424" i="3"/>
  <c r="Z2426" i="3"/>
  <c r="Z2428" i="3"/>
  <c r="Z2430" i="3"/>
  <c r="Z2432" i="3"/>
  <c r="Z2434" i="3"/>
  <c r="Z2436" i="3"/>
  <c r="Z2438" i="3"/>
  <c r="Z2440" i="3"/>
  <c r="Z2425" i="3"/>
  <c r="Z2429" i="3"/>
  <c r="Z2421" i="3"/>
  <c r="Z2433" i="3"/>
  <c r="Z2437" i="3"/>
  <c r="Z2441" i="3"/>
  <c r="Z2443" i="3"/>
  <c r="Z2447" i="3"/>
  <c r="Z2451" i="3"/>
  <c r="Z2457" i="3"/>
  <c r="Z2461" i="3"/>
  <c r="Z2465" i="3"/>
  <c r="Z2444" i="3"/>
  <c r="Z2468" i="3"/>
  <c r="Z2470" i="3"/>
  <c r="Z2472" i="3"/>
  <c r="Z2474" i="3"/>
  <c r="Z2476" i="3"/>
  <c r="Z2480" i="3"/>
  <c r="Z2482" i="3"/>
  <c r="Z2484" i="3"/>
  <c r="Z2486" i="3"/>
  <c r="Z2488" i="3"/>
  <c r="Z2469" i="3"/>
  <c r="Z2471" i="3"/>
  <c r="Z2473" i="3"/>
  <c r="Z2475" i="3"/>
  <c r="Z2477" i="3"/>
  <c r="Z2479" i="3"/>
  <c r="Z2481" i="3"/>
  <c r="Z2483" i="3"/>
  <c r="Z2485" i="3"/>
  <c r="Z2487" i="3"/>
  <c r="Z2490" i="3"/>
  <c r="Z2492" i="3"/>
  <c r="Z2494" i="3"/>
  <c r="Z2496" i="3"/>
  <c r="Z2502" i="3"/>
  <c r="Z2506" i="3"/>
  <c r="Z2510" i="3"/>
  <c r="Z2491" i="3"/>
  <c r="Z2493" i="3"/>
  <c r="Z2495" i="3"/>
  <c r="Z2497" i="3"/>
  <c r="Z2501" i="3"/>
  <c r="Z2505" i="3"/>
  <c r="Z2509" i="3"/>
  <c r="Z2515" i="3"/>
  <c r="Z2519" i="3"/>
  <c r="Z2523" i="3"/>
  <c r="Z2525" i="3"/>
  <c r="Z2527" i="3"/>
  <c r="Z2529" i="3"/>
  <c r="Z2531" i="3"/>
  <c r="Z2537" i="3"/>
  <c r="Z2541" i="3"/>
  <c r="Z2545" i="3"/>
  <c r="Z2526" i="3"/>
  <c r="Z2528" i="3"/>
  <c r="Z2530" i="3"/>
  <c r="Z2532" i="3"/>
  <c r="Z2536" i="3"/>
  <c r="Z2540" i="3"/>
  <c r="Z2544" i="3"/>
  <c r="Z2399" i="3"/>
  <c r="Z2401" i="3"/>
  <c r="Z2403" i="3"/>
  <c r="Z2405" i="3"/>
  <c r="Z2407" i="3"/>
  <c r="Z2410" i="3"/>
  <c r="Z2412" i="3"/>
  <c r="Z2414" i="3"/>
  <c r="Z2416" i="3"/>
  <c r="Z2418" i="3"/>
  <c r="Z2423" i="3"/>
  <c r="Z2427" i="3"/>
  <c r="Z2435" i="3"/>
  <c r="Z2439" i="3"/>
  <c r="Z2445" i="3"/>
  <c r="Z2449" i="3"/>
  <c r="Z2455" i="3"/>
  <c r="Z2459" i="3"/>
  <c r="Z2463" i="3"/>
  <c r="Z2448" i="3"/>
  <c r="Z2452" i="3"/>
  <c r="Z2454" i="3"/>
  <c r="Z2458" i="3"/>
  <c r="Z2462" i="3"/>
  <c r="Z2466" i="3"/>
  <c r="Z2498" i="3"/>
  <c r="Z2504" i="3"/>
  <c r="Z2508" i="3"/>
  <c r="Z2512" i="3"/>
  <c r="Z2499" i="3"/>
  <c r="Z2503" i="3"/>
  <c r="Z2507" i="3"/>
  <c r="Z2511" i="3"/>
  <c r="Z2516" i="3"/>
  <c r="Z2520" i="3"/>
  <c r="Z2517" i="3"/>
  <c r="Z2521" i="3"/>
  <c r="Z2533" i="3"/>
  <c r="Z2539" i="3"/>
  <c r="Z2543" i="3"/>
  <c r="Z2547" i="3"/>
  <c r="Z2534" i="3"/>
  <c r="Z2538" i="3"/>
  <c r="Z2542" i="3"/>
  <c r="Z2546" i="3"/>
  <c r="S2166" i="3"/>
  <c r="Z2166" i="3" s="1"/>
  <c r="S2387" i="3"/>
  <c r="Z2387" i="3" s="1"/>
  <c r="S2177" i="3"/>
  <c r="Z2177" i="3" s="1"/>
  <c r="Y2177" i="3"/>
  <c r="S2199" i="3"/>
  <c r="Z2199" i="3" s="1"/>
  <c r="T2396" i="3"/>
  <c r="U2396" i="3"/>
  <c r="V2396" i="3"/>
  <c r="W2396" i="3"/>
  <c r="X2396" i="3"/>
  <c r="T2394" i="3"/>
  <c r="U2394" i="3"/>
  <c r="V2394" i="3"/>
  <c r="W2394" i="3"/>
  <c r="X2394" i="3"/>
  <c r="T2392" i="3"/>
  <c r="U2392" i="3"/>
  <c r="V2392" i="3"/>
  <c r="W2392" i="3"/>
  <c r="X2392" i="3"/>
  <c r="T2390" i="3"/>
  <c r="U2390" i="3"/>
  <c r="V2390" i="3"/>
  <c r="W2390" i="3"/>
  <c r="X2390" i="3"/>
  <c r="T2388" i="3"/>
  <c r="U2388" i="3"/>
  <c r="V2388" i="3"/>
  <c r="W2388" i="3"/>
  <c r="X2388" i="3"/>
  <c r="T2386" i="3"/>
  <c r="U2386" i="3"/>
  <c r="V2386" i="3"/>
  <c r="W2386" i="3"/>
  <c r="X2386" i="3"/>
  <c r="T2384" i="3"/>
  <c r="U2384" i="3"/>
  <c r="V2384" i="3"/>
  <c r="W2384" i="3"/>
  <c r="X2384" i="3"/>
  <c r="T2382" i="3"/>
  <c r="U2382" i="3"/>
  <c r="V2382" i="3"/>
  <c r="W2382" i="3"/>
  <c r="X2382" i="3"/>
  <c r="Y2382" i="3"/>
  <c r="T2380" i="3"/>
  <c r="U2380" i="3"/>
  <c r="V2380" i="3"/>
  <c r="W2380" i="3"/>
  <c r="X2380" i="3"/>
  <c r="Y2380" i="3"/>
  <c r="T2378" i="3"/>
  <c r="U2378" i="3"/>
  <c r="V2378" i="3"/>
  <c r="W2378" i="3"/>
  <c r="X2378" i="3"/>
  <c r="Y2378" i="3"/>
  <c r="T2376" i="3"/>
  <c r="U2376" i="3"/>
  <c r="V2376" i="3"/>
  <c r="W2376" i="3"/>
  <c r="X2376" i="3"/>
  <c r="Y2376" i="3"/>
  <c r="Y2396" i="3"/>
  <c r="Y2394" i="3"/>
  <c r="Y2392" i="3"/>
  <c r="Y2390" i="3"/>
  <c r="Y2388" i="3"/>
  <c r="Y2386" i="3"/>
  <c r="Y2384" i="3"/>
  <c r="T2397" i="3"/>
  <c r="U2397" i="3"/>
  <c r="V2397" i="3"/>
  <c r="W2397" i="3"/>
  <c r="X2397" i="3"/>
  <c r="T2395" i="3"/>
  <c r="U2395" i="3"/>
  <c r="V2395" i="3"/>
  <c r="W2395" i="3"/>
  <c r="X2395" i="3"/>
  <c r="T2393" i="3"/>
  <c r="U2393" i="3"/>
  <c r="V2393" i="3"/>
  <c r="W2393" i="3"/>
  <c r="X2393" i="3"/>
  <c r="T2391" i="3"/>
  <c r="U2391" i="3"/>
  <c r="V2391" i="3"/>
  <c r="W2391" i="3"/>
  <c r="X2391" i="3"/>
  <c r="T2389" i="3"/>
  <c r="U2389" i="3"/>
  <c r="V2389" i="3"/>
  <c r="W2389" i="3"/>
  <c r="X2389" i="3"/>
  <c r="T2385" i="3"/>
  <c r="U2385" i="3"/>
  <c r="V2385" i="3"/>
  <c r="W2385" i="3"/>
  <c r="X2385" i="3"/>
  <c r="T2383" i="3"/>
  <c r="U2383" i="3"/>
  <c r="V2383" i="3"/>
  <c r="W2383" i="3"/>
  <c r="X2383" i="3"/>
  <c r="T2381" i="3"/>
  <c r="U2381" i="3"/>
  <c r="V2381" i="3"/>
  <c r="W2381" i="3"/>
  <c r="X2381" i="3"/>
  <c r="Y2381" i="3"/>
  <c r="T2379" i="3"/>
  <c r="U2379" i="3"/>
  <c r="V2379" i="3"/>
  <c r="W2379" i="3"/>
  <c r="X2379" i="3"/>
  <c r="Y2379" i="3"/>
  <c r="T2377" i="3"/>
  <c r="U2377" i="3"/>
  <c r="V2377" i="3"/>
  <c r="W2377" i="3"/>
  <c r="X2377" i="3"/>
  <c r="Y2377" i="3"/>
  <c r="T2375" i="3"/>
  <c r="U2375" i="3"/>
  <c r="V2375" i="3"/>
  <c r="W2375" i="3"/>
  <c r="X2375" i="3"/>
  <c r="Y2375" i="3"/>
  <c r="Y2397" i="3"/>
  <c r="Y2395" i="3"/>
  <c r="Y2393" i="3"/>
  <c r="Y2391" i="3"/>
  <c r="Y2389" i="3"/>
  <c r="Y2385" i="3"/>
  <c r="Y2383" i="3"/>
  <c r="S2294" i="3"/>
  <c r="Z2294" i="3" s="1"/>
  <c r="S2361" i="3"/>
  <c r="Z2361" i="3" s="1"/>
  <c r="U2373" i="3"/>
  <c r="W2373" i="3"/>
  <c r="Y2373" i="3"/>
  <c r="T2373" i="3"/>
  <c r="V2373" i="3"/>
  <c r="X2373" i="3"/>
  <c r="U2371" i="3"/>
  <c r="W2371" i="3"/>
  <c r="Y2371" i="3"/>
  <c r="T2371" i="3"/>
  <c r="V2371" i="3"/>
  <c r="X2371" i="3"/>
  <c r="U2369" i="3"/>
  <c r="W2369" i="3"/>
  <c r="Y2369" i="3"/>
  <c r="T2369" i="3"/>
  <c r="V2369" i="3"/>
  <c r="X2369" i="3"/>
  <c r="U2367" i="3"/>
  <c r="W2367" i="3"/>
  <c r="Y2367" i="3"/>
  <c r="T2367" i="3"/>
  <c r="V2367" i="3"/>
  <c r="X2367" i="3"/>
  <c r="U2365" i="3"/>
  <c r="W2365" i="3"/>
  <c r="Y2365" i="3"/>
  <c r="T2365" i="3"/>
  <c r="V2365" i="3"/>
  <c r="X2365" i="3"/>
  <c r="U2363" i="3"/>
  <c r="W2363" i="3"/>
  <c r="Y2363" i="3"/>
  <c r="T2363" i="3"/>
  <c r="V2363" i="3"/>
  <c r="X2363" i="3"/>
  <c r="T2372" i="3"/>
  <c r="V2372" i="3"/>
  <c r="X2372" i="3"/>
  <c r="U2372" i="3"/>
  <c r="W2372" i="3"/>
  <c r="Y2372" i="3"/>
  <c r="T2370" i="3"/>
  <c r="V2370" i="3"/>
  <c r="X2370" i="3"/>
  <c r="U2370" i="3"/>
  <c r="W2370" i="3"/>
  <c r="Y2370" i="3"/>
  <c r="T2368" i="3"/>
  <c r="V2368" i="3"/>
  <c r="X2368" i="3"/>
  <c r="U2368" i="3"/>
  <c r="W2368" i="3"/>
  <c r="Y2368" i="3"/>
  <c r="T2366" i="3"/>
  <c r="V2366" i="3"/>
  <c r="X2366" i="3"/>
  <c r="U2366" i="3"/>
  <c r="W2366" i="3"/>
  <c r="Y2366" i="3"/>
  <c r="T2364" i="3"/>
  <c r="V2364" i="3"/>
  <c r="X2364" i="3"/>
  <c r="U2364" i="3"/>
  <c r="W2364" i="3"/>
  <c r="Y2364" i="3"/>
  <c r="T2362" i="3"/>
  <c r="V2362" i="3"/>
  <c r="X2362" i="3"/>
  <c r="U2362" i="3"/>
  <c r="W2362" i="3"/>
  <c r="Y2362" i="3"/>
  <c r="Y2356" i="3"/>
  <c r="Y2352" i="3"/>
  <c r="S2350" i="3"/>
  <c r="Z2350" i="3" s="1"/>
  <c r="Y2348" i="3"/>
  <c r="Y2344" i="3"/>
  <c r="Y2340" i="3"/>
  <c r="S2338" i="3"/>
  <c r="Z2338" i="3" s="1"/>
  <c r="T2359" i="3"/>
  <c r="V2359" i="3"/>
  <c r="U2359" i="3"/>
  <c r="W2359" i="3"/>
  <c r="T2357" i="3"/>
  <c r="V2357" i="3"/>
  <c r="X2357" i="3"/>
  <c r="U2357" i="3"/>
  <c r="W2357" i="3"/>
  <c r="Y2357" i="3"/>
  <c r="T2355" i="3"/>
  <c r="V2355" i="3"/>
  <c r="X2355" i="3"/>
  <c r="U2355" i="3"/>
  <c r="W2355" i="3"/>
  <c r="Y2355" i="3"/>
  <c r="T2353" i="3"/>
  <c r="V2353" i="3"/>
  <c r="X2353" i="3"/>
  <c r="U2353" i="3"/>
  <c r="W2353" i="3"/>
  <c r="Y2353" i="3"/>
  <c r="T2351" i="3"/>
  <c r="V2351" i="3"/>
  <c r="X2351" i="3"/>
  <c r="U2351" i="3"/>
  <c r="W2351" i="3"/>
  <c r="Y2351" i="3"/>
  <c r="T2349" i="3"/>
  <c r="V2349" i="3"/>
  <c r="X2349" i="3"/>
  <c r="U2349" i="3"/>
  <c r="W2349" i="3"/>
  <c r="Y2349" i="3"/>
  <c r="T2347" i="3"/>
  <c r="V2347" i="3"/>
  <c r="X2347" i="3"/>
  <c r="U2347" i="3"/>
  <c r="W2347" i="3"/>
  <c r="Y2347" i="3"/>
  <c r="T2345" i="3"/>
  <c r="V2345" i="3"/>
  <c r="X2345" i="3"/>
  <c r="U2345" i="3"/>
  <c r="W2345" i="3"/>
  <c r="Y2345" i="3"/>
  <c r="T2343" i="3"/>
  <c r="V2343" i="3"/>
  <c r="X2343" i="3"/>
  <c r="U2343" i="3"/>
  <c r="W2343" i="3"/>
  <c r="Y2343" i="3"/>
  <c r="T2341" i="3"/>
  <c r="V2341" i="3"/>
  <c r="X2341" i="3"/>
  <c r="U2341" i="3"/>
  <c r="W2341" i="3"/>
  <c r="Y2341" i="3"/>
  <c r="T2339" i="3"/>
  <c r="V2339" i="3"/>
  <c r="X2339" i="3"/>
  <c r="U2339" i="3"/>
  <c r="W2339" i="3"/>
  <c r="Y2339" i="3"/>
  <c r="Y2359" i="3"/>
  <c r="X2359" i="3"/>
  <c r="U2360" i="3"/>
  <c r="W2360" i="3"/>
  <c r="T2360" i="3"/>
  <c r="V2360" i="3"/>
  <c r="X2360" i="3"/>
  <c r="U2358" i="3"/>
  <c r="W2358" i="3"/>
  <c r="T2358" i="3"/>
  <c r="V2358" i="3"/>
  <c r="X2358" i="3"/>
  <c r="U2356" i="3"/>
  <c r="W2356" i="3"/>
  <c r="T2356" i="3"/>
  <c r="V2356" i="3"/>
  <c r="X2356" i="3"/>
  <c r="U2354" i="3"/>
  <c r="W2354" i="3"/>
  <c r="T2354" i="3"/>
  <c r="V2354" i="3"/>
  <c r="X2354" i="3"/>
  <c r="U2352" i="3"/>
  <c r="W2352" i="3"/>
  <c r="T2352" i="3"/>
  <c r="V2352" i="3"/>
  <c r="X2352" i="3"/>
  <c r="U2348" i="3"/>
  <c r="W2348" i="3"/>
  <c r="T2348" i="3"/>
  <c r="V2348" i="3"/>
  <c r="X2348" i="3"/>
  <c r="U2346" i="3"/>
  <c r="W2346" i="3"/>
  <c r="T2346" i="3"/>
  <c r="V2346" i="3"/>
  <c r="X2346" i="3"/>
  <c r="U2344" i="3"/>
  <c r="W2344" i="3"/>
  <c r="T2344" i="3"/>
  <c r="V2344" i="3"/>
  <c r="X2344" i="3"/>
  <c r="U2342" i="3"/>
  <c r="W2342" i="3"/>
  <c r="T2342" i="3"/>
  <c r="V2342" i="3"/>
  <c r="X2342" i="3"/>
  <c r="U2340" i="3"/>
  <c r="W2340" i="3"/>
  <c r="T2340" i="3"/>
  <c r="V2340" i="3"/>
  <c r="X2340" i="3"/>
  <c r="Y2360" i="3"/>
  <c r="Y2358" i="3"/>
  <c r="Y2354" i="3"/>
  <c r="Y2346" i="3"/>
  <c r="Y2342" i="3"/>
  <c r="T2337" i="3"/>
  <c r="U2337" i="3"/>
  <c r="V2337" i="3"/>
  <c r="W2337" i="3"/>
  <c r="X2337" i="3"/>
  <c r="Y2337" i="3"/>
  <c r="T2335" i="3"/>
  <c r="U2335" i="3"/>
  <c r="V2335" i="3"/>
  <c r="W2335" i="3"/>
  <c r="X2335" i="3"/>
  <c r="Y2335" i="3"/>
  <c r="T2333" i="3"/>
  <c r="U2333" i="3"/>
  <c r="V2333" i="3"/>
  <c r="W2333" i="3"/>
  <c r="X2333" i="3"/>
  <c r="Y2333" i="3"/>
  <c r="T2331" i="3"/>
  <c r="U2331" i="3"/>
  <c r="V2331" i="3"/>
  <c r="W2331" i="3"/>
  <c r="X2331" i="3"/>
  <c r="Y2331" i="3"/>
  <c r="T2329" i="3"/>
  <c r="U2329" i="3"/>
  <c r="V2329" i="3"/>
  <c r="W2329" i="3"/>
  <c r="X2329" i="3"/>
  <c r="Y2329" i="3"/>
  <c r="T2325" i="3"/>
  <c r="U2325" i="3"/>
  <c r="V2325" i="3"/>
  <c r="W2325" i="3"/>
  <c r="X2325" i="3"/>
  <c r="Y2325" i="3"/>
  <c r="T2323" i="3"/>
  <c r="U2323" i="3"/>
  <c r="V2323" i="3"/>
  <c r="W2323" i="3"/>
  <c r="X2323" i="3"/>
  <c r="Y2323" i="3"/>
  <c r="T2321" i="3"/>
  <c r="U2321" i="3"/>
  <c r="V2321" i="3"/>
  <c r="W2321" i="3"/>
  <c r="X2321" i="3"/>
  <c r="Y2321" i="3"/>
  <c r="T2319" i="3"/>
  <c r="U2319" i="3"/>
  <c r="V2319" i="3"/>
  <c r="W2319" i="3"/>
  <c r="X2319" i="3"/>
  <c r="Y2319" i="3"/>
  <c r="T2317" i="3"/>
  <c r="U2317" i="3"/>
  <c r="V2317" i="3"/>
  <c r="W2317" i="3"/>
  <c r="X2317" i="3"/>
  <c r="Y2317" i="3"/>
  <c r="T2336" i="3"/>
  <c r="U2336" i="3"/>
  <c r="V2336" i="3"/>
  <c r="W2336" i="3"/>
  <c r="X2336" i="3"/>
  <c r="Y2336" i="3"/>
  <c r="T2334" i="3"/>
  <c r="U2334" i="3"/>
  <c r="V2334" i="3"/>
  <c r="W2334" i="3"/>
  <c r="X2334" i="3"/>
  <c r="Y2334" i="3"/>
  <c r="T2332" i="3"/>
  <c r="U2332" i="3"/>
  <c r="V2332" i="3"/>
  <c r="W2332" i="3"/>
  <c r="X2332" i="3"/>
  <c r="Y2332" i="3"/>
  <c r="T2330" i="3"/>
  <c r="U2330" i="3"/>
  <c r="V2330" i="3"/>
  <c r="W2330" i="3"/>
  <c r="X2330" i="3"/>
  <c r="Y2330" i="3"/>
  <c r="T2328" i="3"/>
  <c r="U2328" i="3"/>
  <c r="V2328" i="3"/>
  <c r="W2328" i="3"/>
  <c r="X2328" i="3"/>
  <c r="Y2328" i="3"/>
  <c r="T2326" i="3"/>
  <c r="U2326" i="3"/>
  <c r="V2326" i="3"/>
  <c r="W2326" i="3"/>
  <c r="X2326" i="3"/>
  <c r="Y2326" i="3"/>
  <c r="T2324" i="3"/>
  <c r="U2324" i="3"/>
  <c r="V2324" i="3"/>
  <c r="W2324" i="3"/>
  <c r="X2324" i="3"/>
  <c r="Y2324" i="3"/>
  <c r="T2322" i="3"/>
  <c r="U2322" i="3"/>
  <c r="V2322" i="3"/>
  <c r="W2322" i="3"/>
  <c r="X2322" i="3"/>
  <c r="Y2322" i="3"/>
  <c r="T2320" i="3"/>
  <c r="U2320" i="3"/>
  <c r="V2320" i="3"/>
  <c r="W2320" i="3"/>
  <c r="X2320" i="3"/>
  <c r="Y2320" i="3"/>
  <c r="T2318" i="3"/>
  <c r="U2318" i="3"/>
  <c r="V2318" i="3"/>
  <c r="W2318" i="3"/>
  <c r="X2318" i="3"/>
  <c r="Y2318" i="3"/>
  <c r="S2155" i="3"/>
  <c r="Z2155" i="3" s="1"/>
  <c r="S2283" i="3"/>
  <c r="Z2283" i="3" s="1"/>
  <c r="S2269" i="3"/>
  <c r="Z2269" i="3" s="1"/>
  <c r="T2314" i="3"/>
  <c r="U2314" i="3"/>
  <c r="V2314" i="3"/>
  <c r="W2314" i="3"/>
  <c r="X2314" i="3"/>
  <c r="Y2314" i="3"/>
  <c r="T2312" i="3"/>
  <c r="U2312" i="3"/>
  <c r="V2312" i="3"/>
  <c r="W2312" i="3"/>
  <c r="X2312" i="3"/>
  <c r="Y2312" i="3"/>
  <c r="T2310" i="3"/>
  <c r="U2310" i="3"/>
  <c r="V2310" i="3"/>
  <c r="W2310" i="3"/>
  <c r="X2310" i="3"/>
  <c r="Y2310" i="3"/>
  <c r="T2308" i="3"/>
  <c r="U2308" i="3"/>
  <c r="V2308" i="3"/>
  <c r="W2308" i="3"/>
  <c r="X2308" i="3"/>
  <c r="Y2308" i="3"/>
  <c r="T2306" i="3"/>
  <c r="U2306" i="3"/>
  <c r="V2306" i="3"/>
  <c r="W2306" i="3"/>
  <c r="X2306" i="3"/>
  <c r="Y2306" i="3"/>
  <c r="T2304" i="3"/>
  <c r="U2304" i="3"/>
  <c r="V2304" i="3"/>
  <c r="W2304" i="3"/>
  <c r="X2304" i="3"/>
  <c r="Y2304" i="3"/>
  <c r="T2302" i="3"/>
  <c r="U2302" i="3"/>
  <c r="V2302" i="3"/>
  <c r="W2302" i="3"/>
  <c r="X2302" i="3"/>
  <c r="Y2302" i="3"/>
  <c r="T2300" i="3"/>
  <c r="U2300" i="3"/>
  <c r="V2300" i="3"/>
  <c r="W2300" i="3"/>
  <c r="X2300" i="3"/>
  <c r="Y2300" i="3"/>
  <c r="T2298" i="3"/>
  <c r="U2298" i="3"/>
  <c r="V2298" i="3"/>
  <c r="W2298" i="3"/>
  <c r="X2298" i="3"/>
  <c r="Y2298" i="3"/>
  <c r="T2296" i="3"/>
  <c r="U2296" i="3"/>
  <c r="V2296" i="3"/>
  <c r="W2296" i="3"/>
  <c r="X2296" i="3"/>
  <c r="Y2296" i="3"/>
  <c r="T2315" i="3"/>
  <c r="U2315" i="3"/>
  <c r="V2315" i="3"/>
  <c r="W2315" i="3"/>
  <c r="X2315" i="3"/>
  <c r="Y2315" i="3"/>
  <c r="T2313" i="3"/>
  <c r="U2313" i="3"/>
  <c r="V2313" i="3"/>
  <c r="W2313" i="3"/>
  <c r="X2313" i="3"/>
  <c r="Y2313" i="3"/>
  <c r="T2311" i="3"/>
  <c r="U2311" i="3"/>
  <c r="V2311" i="3"/>
  <c r="W2311" i="3"/>
  <c r="X2311" i="3"/>
  <c r="Y2311" i="3"/>
  <c r="T2309" i="3"/>
  <c r="U2309" i="3"/>
  <c r="V2309" i="3"/>
  <c r="W2309" i="3"/>
  <c r="X2309" i="3"/>
  <c r="Y2309" i="3"/>
  <c r="T2307" i="3"/>
  <c r="U2307" i="3"/>
  <c r="V2307" i="3"/>
  <c r="W2307" i="3"/>
  <c r="X2307" i="3"/>
  <c r="Y2307" i="3"/>
  <c r="T2303" i="3"/>
  <c r="U2303" i="3"/>
  <c r="V2303" i="3"/>
  <c r="W2303" i="3"/>
  <c r="X2303" i="3"/>
  <c r="Y2303" i="3"/>
  <c r="T2301" i="3"/>
  <c r="U2301" i="3"/>
  <c r="V2301" i="3"/>
  <c r="W2301" i="3"/>
  <c r="X2301" i="3"/>
  <c r="Y2301" i="3"/>
  <c r="T2299" i="3"/>
  <c r="U2299" i="3"/>
  <c r="V2299" i="3"/>
  <c r="W2299" i="3"/>
  <c r="X2299" i="3"/>
  <c r="Y2299" i="3"/>
  <c r="T2297" i="3"/>
  <c r="U2297" i="3"/>
  <c r="V2297" i="3"/>
  <c r="W2297" i="3"/>
  <c r="X2297" i="3"/>
  <c r="Y2297" i="3"/>
  <c r="T2295" i="3"/>
  <c r="U2295" i="3"/>
  <c r="V2295" i="3"/>
  <c r="W2295" i="3"/>
  <c r="X2295" i="3"/>
  <c r="Y2295" i="3"/>
  <c r="U2292" i="3"/>
  <c r="W2290" i="3"/>
  <c r="U2288" i="3"/>
  <c r="W2286" i="3"/>
  <c r="U2284" i="3"/>
  <c r="U2282" i="3"/>
  <c r="W2280" i="3"/>
  <c r="U2278" i="3"/>
  <c r="W2276" i="3"/>
  <c r="U2274" i="3"/>
  <c r="W2272" i="3"/>
  <c r="U2270" i="3"/>
  <c r="U2293" i="3"/>
  <c r="W2293" i="3"/>
  <c r="T2293" i="3"/>
  <c r="X2293" i="3"/>
  <c r="V2293" i="3"/>
  <c r="Y2293" i="3"/>
  <c r="U2291" i="3"/>
  <c r="W2291" i="3"/>
  <c r="V2291" i="3"/>
  <c r="T2291" i="3"/>
  <c r="X2291" i="3"/>
  <c r="Y2291" i="3"/>
  <c r="U2289" i="3"/>
  <c r="W2289" i="3"/>
  <c r="T2289" i="3"/>
  <c r="X2289" i="3"/>
  <c r="V2289" i="3"/>
  <c r="Y2289" i="3"/>
  <c r="U2287" i="3"/>
  <c r="W2287" i="3"/>
  <c r="V2287" i="3"/>
  <c r="T2287" i="3"/>
  <c r="X2287" i="3"/>
  <c r="Y2287" i="3"/>
  <c r="U2285" i="3"/>
  <c r="W2285" i="3"/>
  <c r="T2285" i="3"/>
  <c r="X2285" i="3"/>
  <c r="V2285" i="3"/>
  <c r="Y2285" i="3"/>
  <c r="U2281" i="3"/>
  <c r="W2281" i="3"/>
  <c r="T2281" i="3"/>
  <c r="X2281" i="3"/>
  <c r="V2281" i="3"/>
  <c r="Y2281" i="3"/>
  <c r="U2279" i="3"/>
  <c r="W2279" i="3"/>
  <c r="V2279" i="3"/>
  <c r="T2279" i="3"/>
  <c r="X2279" i="3"/>
  <c r="Y2279" i="3"/>
  <c r="U2277" i="3"/>
  <c r="W2277" i="3"/>
  <c r="T2277" i="3"/>
  <c r="X2277" i="3"/>
  <c r="V2277" i="3"/>
  <c r="Y2277" i="3"/>
  <c r="U2275" i="3"/>
  <c r="W2275" i="3"/>
  <c r="V2275" i="3"/>
  <c r="T2275" i="3"/>
  <c r="X2275" i="3"/>
  <c r="Y2275" i="3"/>
  <c r="U2273" i="3"/>
  <c r="W2273" i="3"/>
  <c r="T2273" i="3"/>
  <c r="X2273" i="3"/>
  <c r="V2273" i="3"/>
  <c r="Y2273" i="3"/>
  <c r="U2271" i="3"/>
  <c r="W2271" i="3"/>
  <c r="V2271" i="3"/>
  <c r="T2271" i="3"/>
  <c r="X2271" i="3"/>
  <c r="Y2271" i="3"/>
  <c r="W2292" i="3"/>
  <c r="W2288" i="3"/>
  <c r="W2284" i="3"/>
  <c r="W2282" i="3"/>
  <c r="W2278" i="3"/>
  <c r="W2274" i="3"/>
  <c r="W2270" i="3"/>
  <c r="U2290" i="3"/>
  <c r="U2286" i="3"/>
  <c r="U2280" i="3"/>
  <c r="U2276" i="3"/>
  <c r="U2272" i="3"/>
  <c r="T2292" i="3"/>
  <c r="V2292" i="3"/>
  <c r="X2292" i="3"/>
  <c r="T2290" i="3"/>
  <c r="V2290" i="3"/>
  <c r="X2290" i="3"/>
  <c r="T2288" i="3"/>
  <c r="V2288" i="3"/>
  <c r="X2288" i="3"/>
  <c r="T2286" i="3"/>
  <c r="V2286" i="3"/>
  <c r="X2286" i="3"/>
  <c r="T2284" i="3"/>
  <c r="V2284" i="3"/>
  <c r="X2284" i="3"/>
  <c r="T2282" i="3"/>
  <c r="V2282" i="3"/>
  <c r="X2282" i="3"/>
  <c r="T2280" i="3"/>
  <c r="V2280" i="3"/>
  <c r="X2280" i="3"/>
  <c r="T2278" i="3"/>
  <c r="V2278" i="3"/>
  <c r="X2278" i="3"/>
  <c r="T2276" i="3"/>
  <c r="V2276" i="3"/>
  <c r="X2276" i="3"/>
  <c r="T2274" i="3"/>
  <c r="V2274" i="3"/>
  <c r="X2274" i="3"/>
  <c r="T2272" i="3"/>
  <c r="V2272" i="3"/>
  <c r="X2272" i="3"/>
  <c r="T2270" i="3"/>
  <c r="V2270" i="3"/>
  <c r="X2270" i="3"/>
  <c r="Y2292" i="3"/>
  <c r="Y2290" i="3"/>
  <c r="Y2288" i="3"/>
  <c r="Y2286" i="3"/>
  <c r="Y2284" i="3"/>
  <c r="Y2282" i="3"/>
  <c r="Y2280" i="3"/>
  <c r="Y2278" i="3"/>
  <c r="Y2276" i="3"/>
  <c r="Y2274" i="3"/>
  <c r="Y2272" i="3"/>
  <c r="Y2270" i="3"/>
  <c r="U2267" i="3"/>
  <c r="W2267" i="3"/>
  <c r="Y2267" i="3"/>
  <c r="U2265" i="3"/>
  <c r="W2265" i="3"/>
  <c r="Y2265" i="3"/>
  <c r="U2263" i="3"/>
  <c r="W2263" i="3"/>
  <c r="Y2263" i="3"/>
  <c r="U2261" i="3"/>
  <c r="W2261" i="3"/>
  <c r="Y2261" i="3"/>
  <c r="U2259" i="3"/>
  <c r="W2259" i="3"/>
  <c r="Y2259" i="3"/>
  <c r="T2268" i="3"/>
  <c r="V2268" i="3"/>
  <c r="X2268" i="3"/>
  <c r="T2266" i="3"/>
  <c r="V2266" i="3"/>
  <c r="X2266" i="3"/>
  <c r="T2264" i="3"/>
  <c r="V2264" i="3"/>
  <c r="X2264" i="3"/>
  <c r="T2262" i="3"/>
  <c r="V2262" i="3"/>
  <c r="X2262" i="3"/>
  <c r="T2260" i="3"/>
  <c r="V2260" i="3"/>
  <c r="X2260" i="3"/>
  <c r="U2266" i="3"/>
  <c r="U2262" i="3"/>
  <c r="S2258" i="3"/>
  <c r="Z2258" i="3" s="1"/>
  <c r="T2267" i="3"/>
  <c r="T2265" i="3"/>
  <c r="T2263" i="3"/>
  <c r="T2261" i="3"/>
  <c r="T2259" i="3"/>
  <c r="U2268" i="3"/>
  <c r="U2264" i="3"/>
  <c r="U2260" i="3"/>
  <c r="Y2268" i="3"/>
  <c r="Y2266" i="3"/>
  <c r="Y2264" i="3"/>
  <c r="Y2262" i="3"/>
  <c r="Y2260" i="3"/>
  <c r="X2267" i="3"/>
  <c r="X2265" i="3"/>
  <c r="X2263" i="3"/>
  <c r="X2261" i="3"/>
  <c r="X2259" i="3"/>
  <c r="W2268" i="3"/>
  <c r="W2266" i="3"/>
  <c r="W2264" i="3"/>
  <c r="W2262" i="3"/>
  <c r="W2260" i="3"/>
  <c r="V2267" i="3"/>
  <c r="V2265" i="3"/>
  <c r="V2263" i="3"/>
  <c r="V2261" i="3"/>
  <c r="V2259" i="3"/>
  <c r="S2247" i="3"/>
  <c r="Z2247" i="3" s="1"/>
  <c r="U2257" i="3"/>
  <c r="W2257" i="3"/>
  <c r="Y2257" i="3"/>
  <c r="T2257" i="3"/>
  <c r="V2257" i="3"/>
  <c r="X2257" i="3"/>
  <c r="U2255" i="3"/>
  <c r="W2255" i="3"/>
  <c r="Y2255" i="3"/>
  <c r="T2255" i="3"/>
  <c r="V2255" i="3"/>
  <c r="X2255" i="3"/>
  <c r="U2253" i="3"/>
  <c r="W2253" i="3"/>
  <c r="Y2253" i="3"/>
  <c r="T2253" i="3"/>
  <c r="V2253" i="3"/>
  <c r="X2253" i="3"/>
  <c r="U2251" i="3"/>
  <c r="W2251" i="3"/>
  <c r="Y2251" i="3"/>
  <c r="T2251" i="3"/>
  <c r="V2251" i="3"/>
  <c r="X2251" i="3"/>
  <c r="U2249" i="3"/>
  <c r="W2249" i="3"/>
  <c r="Y2249" i="3"/>
  <c r="T2249" i="3"/>
  <c r="V2249" i="3"/>
  <c r="X2249" i="3"/>
  <c r="T2256" i="3"/>
  <c r="V2256" i="3"/>
  <c r="X2256" i="3"/>
  <c r="U2256" i="3"/>
  <c r="W2256" i="3"/>
  <c r="Y2256" i="3"/>
  <c r="T2254" i="3"/>
  <c r="V2254" i="3"/>
  <c r="X2254" i="3"/>
  <c r="U2254" i="3"/>
  <c r="W2254" i="3"/>
  <c r="Y2254" i="3"/>
  <c r="T2252" i="3"/>
  <c r="V2252" i="3"/>
  <c r="X2252" i="3"/>
  <c r="U2252" i="3"/>
  <c r="W2252" i="3"/>
  <c r="Y2252" i="3"/>
  <c r="T2250" i="3"/>
  <c r="V2250" i="3"/>
  <c r="X2250" i="3"/>
  <c r="U2250" i="3"/>
  <c r="W2250" i="3"/>
  <c r="Y2250" i="3"/>
  <c r="T2248" i="3"/>
  <c r="V2248" i="3"/>
  <c r="X2248" i="3"/>
  <c r="U2248" i="3"/>
  <c r="W2248" i="3"/>
  <c r="Y2248" i="3"/>
  <c r="T2245" i="3"/>
  <c r="U2245" i="3"/>
  <c r="V2245" i="3"/>
  <c r="W2245" i="3"/>
  <c r="X2245" i="3"/>
  <c r="Y2245" i="3"/>
  <c r="T2243" i="3"/>
  <c r="U2243" i="3"/>
  <c r="V2243" i="3"/>
  <c r="W2243" i="3"/>
  <c r="X2243" i="3"/>
  <c r="Y2243" i="3"/>
  <c r="T2241" i="3"/>
  <c r="U2241" i="3"/>
  <c r="V2241" i="3"/>
  <c r="W2241" i="3"/>
  <c r="X2241" i="3"/>
  <c r="Y2241" i="3"/>
  <c r="T2239" i="3"/>
  <c r="U2239" i="3"/>
  <c r="V2239" i="3"/>
  <c r="W2239" i="3"/>
  <c r="X2239" i="3"/>
  <c r="Y2239" i="3"/>
  <c r="T2237" i="3"/>
  <c r="U2237" i="3"/>
  <c r="V2237" i="3"/>
  <c r="W2237" i="3"/>
  <c r="X2237" i="3"/>
  <c r="Y2237" i="3"/>
  <c r="T2235" i="3"/>
  <c r="U2235" i="3"/>
  <c r="V2235" i="3"/>
  <c r="W2235" i="3"/>
  <c r="X2235" i="3"/>
  <c r="Y2235" i="3"/>
  <c r="T2233" i="3"/>
  <c r="U2233" i="3"/>
  <c r="V2233" i="3"/>
  <c r="W2233" i="3"/>
  <c r="X2233" i="3"/>
  <c r="Y2233" i="3"/>
  <c r="T2231" i="3"/>
  <c r="U2231" i="3"/>
  <c r="V2231" i="3"/>
  <c r="W2231" i="3"/>
  <c r="X2231" i="3"/>
  <c r="Y2231" i="3"/>
  <c r="T2229" i="3"/>
  <c r="U2229" i="3"/>
  <c r="V2229" i="3"/>
  <c r="W2229" i="3"/>
  <c r="X2229" i="3"/>
  <c r="Y2229" i="3"/>
  <c r="T2227" i="3"/>
  <c r="U2227" i="3"/>
  <c r="V2227" i="3"/>
  <c r="W2227" i="3"/>
  <c r="X2227" i="3"/>
  <c r="Y2227" i="3"/>
  <c r="T2246" i="3"/>
  <c r="U2246" i="3"/>
  <c r="V2246" i="3"/>
  <c r="W2246" i="3"/>
  <c r="X2246" i="3"/>
  <c r="Y2246" i="3"/>
  <c r="T2244" i="3"/>
  <c r="U2244" i="3"/>
  <c r="V2244" i="3"/>
  <c r="W2244" i="3"/>
  <c r="X2244" i="3"/>
  <c r="Y2244" i="3"/>
  <c r="T2242" i="3"/>
  <c r="U2242" i="3"/>
  <c r="V2242" i="3"/>
  <c r="W2242" i="3"/>
  <c r="X2242" i="3"/>
  <c r="Y2242" i="3"/>
  <c r="T2240" i="3"/>
  <c r="U2240" i="3"/>
  <c r="V2240" i="3"/>
  <c r="W2240" i="3"/>
  <c r="X2240" i="3"/>
  <c r="Y2240" i="3"/>
  <c r="T2238" i="3"/>
  <c r="U2238" i="3"/>
  <c r="V2238" i="3"/>
  <c r="W2238" i="3"/>
  <c r="X2238" i="3"/>
  <c r="Y2238" i="3"/>
  <c r="T2234" i="3"/>
  <c r="U2234" i="3"/>
  <c r="V2234" i="3"/>
  <c r="W2234" i="3"/>
  <c r="X2234" i="3"/>
  <c r="Y2234" i="3"/>
  <c r="T2232" i="3"/>
  <c r="U2232" i="3"/>
  <c r="V2232" i="3"/>
  <c r="W2232" i="3"/>
  <c r="X2232" i="3"/>
  <c r="Y2232" i="3"/>
  <c r="T2230" i="3"/>
  <c r="U2230" i="3"/>
  <c r="V2230" i="3"/>
  <c r="W2230" i="3"/>
  <c r="X2230" i="3"/>
  <c r="Y2230" i="3"/>
  <c r="T2228" i="3"/>
  <c r="U2228" i="3"/>
  <c r="V2228" i="3"/>
  <c r="W2228" i="3"/>
  <c r="X2228" i="3"/>
  <c r="Y2228" i="3"/>
  <c r="T2226" i="3"/>
  <c r="U2226" i="3"/>
  <c r="V2226" i="3"/>
  <c r="W2226" i="3"/>
  <c r="X2226" i="3"/>
  <c r="Y2226" i="3"/>
  <c r="S2212" i="3"/>
  <c r="Z2212" i="3" s="1"/>
  <c r="U2224" i="3"/>
  <c r="W2224" i="3"/>
  <c r="Y2224" i="3"/>
  <c r="T2224" i="3"/>
  <c r="V2224" i="3"/>
  <c r="X2224" i="3"/>
  <c r="U2222" i="3"/>
  <c r="W2222" i="3"/>
  <c r="Y2222" i="3"/>
  <c r="T2222" i="3"/>
  <c r="V2222" i="3"/>
  <c r="X2222" i="3"/>
  <c r="U2220" i="3"/>
  <c r="W2220" i="3"/>
  <c r="Y2220" i="3"/>
  <c r="T2220" i="3"/>
  <c r="V2220" i="3"/>
  <c r="X2220" i="3"/>
  <c r="U2218" i="3"/>
  <c r="W2218" i="3"/>
  <c r="Y2218" i="3"/>
  <c r="T2218" i="3"/>
  <c r="V2218" i="3"/>
  <c r="X2218" i="3"/>
  <c r="U2216" i="3"/>
  <c r="W2216" i="3"/>
  <c r="Y2216" i="3"/>
  <c r="T2216" i="3"/>
  <c r="V2216" i="3"/>
  <c r="X2216" i="3"/>
  <c r="U2214" i="3"/>
  <c r="W2214" i="3"/>
  <c r="Y2214" i="3"/>
  <c r="T2214" i="3"/>
  <c r="V2214" i="3"/>
  <c r="X2214" i="3"/>
  <c r="T2223" i="3"/>
  <c r="V2223" i="3"/>
  <c r="X2223" i="3"/>
  <c r="U2223" i="3"/>
  <c r="W2223" i="3"/>
  <c r="Y2223" i="3"/>
  <c r="T2221" i="3"/>
  <c r="V2221" i="3"/>
  <c r="X2221" i="3"/>
  <c r="U2221" i="3"/>
  <c r="W2221" i="3"/>
  <c r="Y2221" i="3"/>
  <c r="T2219" i="3"/>
  <c r="V2219" i="3"/>
  <c r="X2219" i="3"/>
  <c r="U2219" i="3"/>
  <c r="W2219" i="3"/>
  <c r="Y2219" i="3"/>
  <c r="T2217" i="3"/>
  <c r="V2217" i="3"/>
  <c r="X2217" i="3"/>
  <c r="U2217" i="3"/>
  <c r="W2217" i="3"/>
  <c r="Y2217" i="3"/>
  <c r="T2215" i="3"/>
  <c r="V2215" i="3"/>
  <c r="X2215" i="3"/>
  <c r="U2215" i="3"/>
  <c r="W2215" i="3"/>
  <c r="Y2215" i="3"/>
  <c r="T2213" i="3"/>
  <c r="V2213" i="3"/>
  <c r="X2213" i="3"/>
  <c r="U2213" i="3"/>
  <c r="W2213" i="3"/>
  <c r="Y2213" i="3"/>
  <c r="S2188" i="3"/>
  <c r="Z2188" i="3" s="1"/>
  <c r="T2210" i="3"/>
  <c r="U2210" i="3"/>
  <c r="V2210" i="3"/>
  <c r="W2210" i="3"/>
  <c r="X2210" i="3"/>
  <c r="T2208" i="3"/>
  <c r="U2208" i="3"/>
  <c r="V2208" i="3"/>
  <c r="W2208" i="3"/>
  <c r="X2208" i="3"/>
  <c r="T2206" i="3"/>
  <c r="U2206" i="3"/>
  <c r="V2206" i="3"/>
  <c r="W2206" i="3"/>
  <c r="X2206" i="3"/>
  <c r="T2204" i="3"/>
  <c r="U2204" i="3"/>
  <c r="V2204" i="3"/>
  <c r="W2204" i="3"/>
  <c r="X2204" i="3"/>
  <c r="T2202" i="3"/>
  <c r="U2202" i="3"/>
  <c r="V2202" i="3"/>
  <c r="W2202" i="3"/>
  <c r="X2202" i="3"/>
  <c r="T2200" i="3"/>
  <c r="U2200" i="3"/>
  <c r="V2200" i="3"/>
  <c r="W2200" i="3"/>
  <c r="X2200" i="3"/>
  <c r="T2198" i="3"/>
  <c r="U2198" i="3"/>
  <c r="V2198" i="3"/>
  <c r="W2198" i="3"/>
  <c r="X2198" i="3"/>
  <c r="T2196" i="3"/>
  <c r="U2196" i="3"/>
  <c r="V2196" i="3"/>
  <c r="W2196" i="3"/>
  <c r="X2196" i="3"/>
  <c r="T2194" i="3"/>
  <c r="U2194" i="3"/>
  <c r="V2194" i="3"/>
  <c r="W2194" i="3"/>
  <c r="X2194" i="3"/>
  <c r="T2192" i="3"/>
  <c r="U2192" i="3"/>
  <c r="V2192" i="3"/>
  <c r="W2192" i="3"/>
  <c r="X2192" i="3"/>
  <c r="T2190" i="3"/>
  <c r="U2190" i="3"/>
  <c r="V2190" i="3"/>
  <c r="W2190" i="3"/>
  <c r="X2190" i="3"/>
  <c r="Y2190" i="3"/>
  <c r="Y2210" i="3"/>
  <c r="Y2208" i="3"/>
  <c r="Y2206" i="3"/>
  <c r="Y2204" i="3"/>
  <c r="Y2202" i="3"/>
  <c r="Y2200" i="3"/>
  <c r="Y2198" i="3"/>
  <c r="Y2194" i="3"/>
  <c r="T2211" i="3"/>
  <c r="U2211" i="3"/>
  <c r="V2211" i="3"/>
  <c r="W2211" i="3"/>
  <c r="X2211" i="3"/>
  <c r="T2209" i="3"/>
  <c r="U2209" i="3"/>
  <c r="V2209" i="3"/>
  <c r="W2209" i="3"/>
  <c r="X2209" i="3"/>
  <c r="T2207" i="3"/>
  <c r="U2207" i="3"/>
  <c r="V2207" i="3"/>
  <c r="W2207" i="3"/>
  <c r="X2207" i="3"/>
  <c r="T2205" i="3"/>
  <c r="U2205" i="3"/>
  <c r="V2205" i="3"/>
  <c r="W2205" i="3"/>
  <c r="X2205" i="3"/>
  <c r="T2203" i="3"/>
  <c r="U2203" i="3"/>
  <c r="V2203" i="3"/>
  <c r="W2203" i="3"/>
  <c r="X2203" i="3"/>
  <c r="T2201" i="3"/>
  <c r="U2201" i="3"/>
  <c r="V2201" i="3"/>
  <c r="W2201" i="3"/>
  <c r="X2201" i="3"/>
  <c r="T2197" i="3"/>
  <c r="U2197" i="3"/>
  <c r="V2197" i="3"/>
  <c r="W2197" i="3"/>
  <c r="X2197" i="3"/>
  <c r="Y2197" i="3"/>
  <c r="T2195" i="3"/>
  <c r="U2195" i="3"/>
  <c r="V2195" i="3"/>
  <c r="W2195" i="3"/>
  <c r="X2195" i="3"/>
  <c r="Y2195" i="3"/>
  <c r="T2193" i="3"/>
  <c r="U2193" i="3"/>
  <c r="V2193" i="3"/>
  <c r="W2193" i="3"/>
  <c r="X2193" i="3"/>
  <c r="Y2193" i="3"/>
  <c r="T2191" i="3"/>
  <c r="U2191" i="3"/>
  <c r="V2191" i="3"/>
  <c r="W2191" i="3"/>
  <c r="X2191" i="3"/>
  <c r="Y2191" i="3"/>
  <c r="T2189" i="3"/>
  <c r="U2189" i="3"/>
  <c r="V2189" i="3"/>
  <c r="W2189" i="3"/>
  <c r="X2189" i="3"/>
  <c r="Y2189" i="3"/>
  <c r="Y2211" i="3"/>
  <c r="Y2209" i="3"/>
  <c r="Y2207" i="3"/>
  <c r="Y2205" i="3"/>
  <c r="Y2203" i="3"/>
  <c r="Y2201" i="3"/>
  <c r="Y2196" i="3"/>
  <c r="Y2192" i="3"/>
  <c r="T2186" i="3"/>
  <c r="U2186" i="3"/>
  <c r="V2186" i="3"/>
  <c r="W2186" i="3"/>
  <c r="X2186" i="3"/>
  <c r="Y2186" i="3"/>
  <c r="T2184" i="3"/>
  <c r="U2184" i="3"/>
  <c r="V2184" i="3"/>
  <c r="W2184" i="3"/>
  <c r="X2184" i="3"/>
  <c r="Y2184" i="3"/>
  <c r="T2182" i="3"/>
  <c r="U2182" i="3"/>
  <c r="V2182" i="3"/>
  <c r="W2182" i="3"/>
  <c r="X2182" i="3"/>
  <c r="Y2182" i="3"/>
  <c r="T2180" i="3"/>
  <c r="U2180" i="3"/>
  <c r="V2180" i="3"/>
  <c r="W2180" i="3"/>
  <c r="X2180" i="3"/>
  <c r="Y2180" i="3"/>
  <c r="T2178" i="3"/>
  <c r="U2178" i="3"/>
  <c r="V2178" i="3"/>
  <c r="W2178" i="3"/>
  <c r="X2178" i="3"/>
  <c r="Y2178" i="3"/>
  <c r="T2176" i="3"/>
  <c r="U2176" i="3"/>
  <c r="V2176" i="3"/>
  <c r="W2176" i="3"/>
  <c r="X2176" i="3"/>
  <c r="Y2176" i="3"/>
  <c r="T2174" i="3"/>
  <c r="U2174" i="3"/>
  <c r="V2174" i="3"/>
  <c r="W2174" i="3"/>
  <c r="X2174" i="3"/>
  <c r="Y2174" i="3"/>
  <c r="T2172" i="3"/>
  <c r="U2172" i="3"/>
  <c r="V2172" i="3"/>
  <c r="W2172" i="3"/>
  <c r="X2172" i="3"/>
  <c r="Y2172" i="3"/>
  <c r="T2170" i="3"/>
  <c r="U2170" i="3"/>
  <c r="V2170" i="3"/>
  <c r="W2170" i="3"/>
  <c r="X2170" i="3"/>
  <c r="Y2170" i="3"/>
  <c r="T2168" i="3"/>
  <c r="U2168" i="3"/>
  <c r="V2168" i="3"/>
  <c r="W2168" i="3"/>
  <c r="X2168" i="3"/>
  <c r="Y2168" i="3"/>
  <c r="T2187" i="3"/>
  <c r="U2187" i="3"/>
  <c r="V2187" i="3"/>
  <c r="W2187" i="3"/>
  <c r="X2187" i="3"/>
  <c r="Y2187" i="3"/>
  <c r="T2185" i="3"/>
  <c r="U2185" i="3"/>
  <c r="V2185" i="3"/>
  <c r="W2185" i="3"/>
  <c r="X2185" i="3"/>
  <c r="Y2185" i="3"/>
  <c r="T2183" i="3"/>
  <c r="U2183" i="3"/>
  <c r="V2183" i="3"/>
  <c r="W2183" i="3"/>
  <c r="X2183" i="3"/>
  <c r="Y2183" i="3"/>
  <c r="T2181" i="3"/>
  <c r="U2181" i="3"/>
  <c r="V2181" i="3"/>
  <c r="W2181" i="3"/>
  <c r="X2181" i="3"/>
  <c r="Y2181" i="3"/>
  <c r="T2179" i="3"/>
  <c r="U2179" i="3"/>
  <c r="V2179" i="3"/>
  <c r="W2179" i="3"/>
  <c r="X2179" i="3"/>
  <c r="Y2179" i="3"/>
  <c r="T2175" i="3"/>
  <c r="U2175" i="3"/>
  <c r="V2175" i="3"/>
  <c r="W2175" i="3"/>
  <c r="X2175" i="3"/>
  <c r="Y2175" i="3"/>
  <c r="T2173" i="3"/>
  <c r="U2173" i="3"/>
  <c r="V2173" i="3"/>
  <c r="W2173" i="3"/>
  <c r="X2173" i="3"/>
  <c r="Y2173" i="3"/>
  <c r="T2171" i="3"/>
  <c r="U2171" i="3"/>
  <c r="V2171" i="3"/>
  <c r="W2171" i="3"/>
  <c r="X2171" i="3"/>
  <c r="Y2171" i="3"/>
  <c r="T2169" i="3"/>
  <c r="U2169" i="3"/>
  <c r="V2169" i="3"/>
  <c r="W2169" i="3"/>
  <c r="X2169" i="3"/>
  <c r="Y2169" i="3"/>
  <c r="T2167" i="3"/>
  <c r="U2167" i="3"/>
  <c r="V2167" i="3"/>
  <c r="W2167" i="3"/>
  <c r="X2167" i="3"/>
  <c r="Y2167" i="3"/>
  <c r="T2164" i="3"/>
  <c r="U2164" i="3"/>
  <c r="V2164" i="3"/>
  <c r="W2164" i="3"/>
  <c r="X2164" i="3"/>
  <c r="Y2164" i="3"/>
  <c r="T2162" i="3"/>
  <c r="U2162" i="3"/>
  <c r="V2162" i="3"/>
  <c r="W2162" i="3"/>
  <c r="X2162" i="3"/>
  <c r="Y2162" i="3"/>
  <c r="T2160" i="3"/>
  <c r="U2160" i="3"/>
  <c r="V2160" i="3"/>
  <c r="W2160" i="3"/>
  <c r="X2160" i="3"/>
  <c r="Y2160" i="3"/>
  <c r="T2158" i="3"/>
  <c r="U2158" i="3"/>
  <c r="V2158" i="3"/>
  <c r="W2158" i="3"/>
  <c r="X2158" i="3"/>
  <c r="Y2158" i="3"/>
  <c r="T2156" i="3"/>
  <c r="U2156" i="3"/>
  <c r="V2156" i="3"/>
  <c r="W2156" i="3"/>
  <c r="X2156" i="3"/>
  <c r="Y2156" i="3"/>
  <c r="T2154" i="3"/>
  <c r="U2154" i="3"/>
  <c r="V2154" i="3"/>
  <c r="W2154" i="3"/>
  <c r="X2154" i="3"/>
  <c r="Y2154" i="3"/>
  <c r="T2152" i="3"/>
  <c r="U2152" i="3"/>
  <c r="V2152" i="3"/>
  <c r="W2152" i="3"/>
  <c r="X2152" i="3"/>
  <c r="Y2152" i="3"/>
  <c r="T2150" i="3"/>
  <c r="U2150" i="3"/>
  <c r="V2150" i="3"/>
  <c r="W2150" i="3"/>
  <c r="X2150" i="3"/>
  <c r="Y2150" i="3"/>
  <c r="T2148" i="3"/>
  <c r="U2148" i="3"/>
  <c r="V2148" i="3"/>
  <c r="W2148" i="3"/>
  <c r="X2148" i="3"/>
  <c r="Y2148" i="3"/>
  <c r="T2146" i="3"/>
  <c r="U2146" i="3"/>
  <c r="V2146" i="3"/>
  <c r="W2146" i="3"/>
  <c r="X2146" i="3"/>
  <c r="Y2146" i="3"/>
  <c r="T2165" i="3"/>
  <c r="U2165" i="3"/>
  <c r="V2165" i="3"/>
  <c r="W2165" i="3"/>
  <c r="X2165" i="3"/>
  <c r="Y2165" i="3"/>
  <c r="T2163" i="3"/>
  <c r="U2163" i="3"/>
  <c r="V2163" i="3"/>
  <c r="W2163" i="3"/>
  <c r="X2163" i="3"/>
  <c r="Y2163" i="3"/>
  <c r="T2161" i="3"/>
  <c r="U2161" i="3"/>
  <c r="V2161" i="3"/>
  <c r="W2161" i="3"/>
  <c r="X2161" i="3"/>
  <c r="Y2161" i="3"/>
  <c r="T2159" i="3"/>
  <c r="U2159" i="3"/>
  <c r="V2159" i="3"/>
  <c r="W2159" i="3"/>
  <c r="X2159" i="3"/>
  <c r="Y2159" i="3"/>
  <c r="T2157" i="3"/>
  <c r="U2157" i="3"/>
  <c r="V2157" i="3"/>
  <c r="W2157" i="3"/>
  <c r="X2157" i="3"/>
  <c r="Y2157" i="3"/>
  <c r="T2153" i="3"/>
  <c r="U2153" i="3"/>
  <c r="V2153" i="3"/>
  <c r="W2153" i="3"/>
  <c r="X2153" i="3"/>
  <c r="Y2153" i="3"/>
  <c r="T2151" i="3"/>
  <c r="U2151" i="3"/>
  <c r="V2151" i="3"/>
  <c r="W2151" i="3"/>
  <c r="X2151" i="3"/>
  <c r="Y2151" i="3"/>
  <c r="T2149" i="3"/>
  <c r="U2149" i="3"/>
  <c r="V2149" i="3"/>
  <c r="W2149" i="3"/>
  <c r="X2149" i="3"/>
  <c r="Y2149" i="3"/>
  <c r="T2147" i="3"/>
  <c r="U2147" i="3"/>
  <c r="V2147" i="3"/>
  <c r="W2147" i="3"/>
  <c r="X2147" i="3"/>
  <c r="Y2147" i="3"/>
  <c r="T2145" i="3"/>
  <c r="U2145" i="3"/>
  <c r="V2145" i="3"/>
  <c r="W2145" i="3"/>
  <c r="X2145" i="3"/>
  <c r="Y2145" i="3"/>
  <c r="S2133" i="3"/>
  <c r="Z2133" i="3" s="1"/>
  <c r="S2119" i="3"/>
  <c r="Z2119" i="3" s="1"/>
  <c r="T2142" i="3"/>
  <c r="V2142" i="3"/>
  <c r="X2142" i="3"/>
  <c r="U2142" i="3"/>
  <c r="W2142" i="3"/>
  <c r="T2140" i="3"/>
  <c r="V2140" i="3"/>
  <c r="X2140" i="3"/>
  <c r="U2140" i="3"/>
  <c r="W2140" i="3"/>
  <c r="T2138" i="3"/>
  <c r="V2138" i="3"/>
  <c r="X2138" i="3"/>
  <c r="U2138" i="3"/>
  <c r="W2138" i="3"/>
  <c r="T2136" i="3"/>
  <c r="V2136" i="3"/>
  <c r="X2136" i="3"/>
  <c r="U2136" i="3"/>
  <c r="W2136" i="3"/>
  <c r="T2134" i="3"/>
  <c r="V2134" i="3"/>
  <c r="X2134" i="3"/>
  <c r="U2134" i="3"/>
  <c r="W2134" i="3"/>
  <c r="T2132" i="3"/>
  <c r="V2132" i="3"/>
  <c r="X2132" i="3"/>
  <c r="U2132" i="3"/>
  <c r="W2132" i="3"/>
  <c r="T2130" i="3"/>
  <c r="V2130" i="3"/>
  <c r="X2130" i="3"/>
  <c r="U2130" i="3"/>
  <c r="W2130" i="3"/>
  <c r="T2128" i="3"/>
  <c r="V2128" i="3"/>
  <c r="X2128" i="3"/>
  <c r="U2128" i="3"/>
  <c r="W2128" i="3"/>
  <c r="T2126" i="3"/>
  <c r="V2126" i="3"/>
  <c r="X2126" i="3"/>
  <c r="U2126" i="3"/>
  <c r="W2126" i="3"/>
  <c r="T2124" i="3"/>
  <c r="V2124" i="3"/>
  <c r="X2124" i="3"/>
  <c r="U2124" i="3"/>
  <c r="W2124" i="3"/>
  <c r="T2122" i="3"/>
  <c r="V2122" i="3"/>
  <c r="X2122" i="3"/>
  <c r="U2122" i="3"/>
  <c r="W2122" i="3"/>
  <c r="T2120" i="3"/>
  <c r="V2120" i="3"/>
  <c r="X2120" i="3"/>
  <c r="U2120" i="3"/>
  <c r="W2120" i="3"/>
  <c r="Y2120" i="3"/>
  <c r="Y2142" i="3"/>
  <c r="Y2140" i="3"/>
  <c r="Y2138" i="3"/>
  <c r="Y2136" i="3"/>
  <c r="Y2134" i="3"/>
  <c r="Y2132" i="3"/>
  <c r="Y2130" i="3"/>
  <c r="Y2128" i="3"/>
  <c r="Y2126" i="3"/>
  <c r="Y2124" i="3"/>
  <c r="Y2122" i="3"/>
  <c r="U2143" i="3"/>
  <c r="W2143" i="3"/>
  <c r="T2143" i="3"/>
  <c r="V2143" i="3"/>
  <c r="X2143" i="3"/>
  <c r="U2141" i="3"/>
  <c r="W2141" i="3"/>
  <c r="T2141" i="3"/>
  <c r="V2141" i="3"/>
  <c r="X2141" i="3"/>
  <c r="U2139" i="3"/>
  <c r="W2139" i="3"/>
  <c r="T2139" i="3"/>
  <c r="V2139" i="3"/>
  <c r="X2139" i="3"/>
  <c r="U2137" i="3"/>
  <c r="W2137" i="3"/>
  <c r="T2137" i="3"/>
  <c r="V2137" i="3"/>
  <c r="X2137" i="3"/>
  <c r="U2135" i="3"/>
  <c r="W2135" i="3"/>
  <c r="T2135" i="3"/>
  <c r="V2135" i="3"/>
  <c r="X2135" i="3"/>
  <c r="U2131" i="3"/>
  <c r="W2131" i="3"/>
  <c r="T2131" i="3"/>
  <c r="V2131" i="3"/>
  <c r="X2131" i="3"/>
  <c r="U2129" i="3"/>
  <c r="W2129" i="3"/>
  <c r="T2129" i="3"/>
  <c r="V2129" i="3"/>
  <c r="X2129" i="3"/>
  <c r="U2127" i="3"/>
  <c r="W2127" i="3"/>
  <c r="T2127" i="3"/>
  <c r="V2127" i="3"/>
  <c r="X2127" i="3"/>
  <c r="U2125" i="3"/>
  <c r="W2125" i="3"/>
  <c r="T2125" i="3"/>
  <c r="V2125" i="3"/>
  <c r="X2125" i="3"/>
  <c r="U2123" i="3"/>
  <c r="W2123" i="3"/>
  <c r="T2123" i="3"/>
  <c r="V2123" i="3"/>
  <c r="X2123" i="3"/>
  <c r="U2121" i="3"/>
  <c r="W2121" i="3"/>
  <c r="T2121" i="3"/>
  <c r="V2121" i="3"/>
  <c r="X2121" i="3"/>
  <c r="Y2143" i="3"/>
  <c r="Y2141" i="3"/>
  <c r="Y2139" i="3"/>
  <c r="Y2137" i="3"/>
  <c r="Y2135" i="3"/>
  <c r="Y2131" i="3"/>
  <c r="Y2129" i="3"/>
  <c r="Y2127" i="3"/>
  <c r="Y2125" i="3"/>
  <c r="Y2123" i="3"/>
  <c r="Y2121" i="3"/>
  <c r="S2086" i="3"/>
  <c r="Z2086" i="3" s="1"/>
  <c r="S2097" i="3"/>
  <c r="Z2097" i="3" s="1"/>
  <c r="S2108" i="3"/>
  <c r="Z2108" i="3" s="1"/>
  <c r="U2118" i="3"/>
  <c r="W2118" i="3"/>
  <c r="Y2118" i="3"/>
  <c r="T2118" i="3"/>
  <c r="V2118" i="3"/>
  <c r="X2118" i="3"/>
  <c r="U2116" i="3"/>
  <c r="W2116" i="3"/>
  <c r="Y2116" i="3"/>
  <c r="T2116" i="3"/>
  <c r="V2116" i="3"/>
  <c r="X2116" i="3"/>
  <c r="U2114" i="3"/>
  <c r="W2114" i="3"/>
  <c r="Y2114" i="3"/>
  <c r="T2114" i="3"/>
  <c r="V2114" i="3"/>
  <c r="X2114" i="3"/>
  <c r="U2112" i="3"/>
  <c r="W2112" i="3"/>
  <c r="Y2112" i="3"/>
  <c r="T2112" i="3"/>
  <c r="V2112" i="3"/>
  <c r="X2112" i="3"/>
  <c r="U2110" i="3"/>
  <c r="W2110" i="3"/>
  <c r="Y2110" i="3"/>
  <c r="T2110" i="3"/>
  <c r="V2110" i="3"/>
  <c r="X2110" i="3"/>
  <c r="T2117" i="3"/>
  <c r="V2117" i="3"/>
  <c r="X2117" i="3"/>
  <c r="U2117" i="3"/>
  <c r="W2117" i="3"/>
  <c r="Y2117" i="3"/>
  <c r="T2115" i="3"/>
  <c r="V2115" i="3"/>
  <c r="X2115" i="3"/>
  <c r="U2115" i="3"/>
  <c r="W2115" i="3"/>
  <c r="Y2115" i="3"/>
  <c r="T2113" i="3"/>
  <c r="V2113" i="3"/>
  <c r="X2113" i="3"/>
  <c r="U2113" i="3"/>
  <c r="W2113" i="3"/>
  <c r="Y2113" i="3"/>
  <c r="T2111" i="3"/>
  <c r="V2111" i="3"/>
  <c r="X2111" i="3"/>
  <c r="U2111" i="3"/>
  <c r="W2111" i="3"/>
  <c r="Y2111" i="3"/>
  <c r="T2109" i="3"/>
  <c r="V2109" i="3"/>
  <c r="X2109" i="3"/>
  <c r="U2109" i="3"/>
  <c r="W2109" i="3"/>
  <c r="Y2109" i="3"/>
  <c r="U2107" i="3"/>
  <c r="W2107" i="3"/>
  <c r="Y2107" i="3"/>
  <c r="T2107" i="3"/>
  <c r="V2107" i="3"/>
  <c r="X2107" i="3"/>
  <c r="U2105" i="3"/>
  <c r="W2105" i="3"/>
  <c r="Y2105" i="3"/>
  <c r="T2105" i="3"/>
  <c r="V2105" i="3"/>
  <c r="X2105" i="3"/>
  <c r="U2103" i="3"/>
  <c r="W2103" i="3"/>
  <c r="Y2103" i="3"/>
  <c r="T2103" i="3"/>
  <c r="V2103" i="3"/>
  <c r="X2103" i="3"/>
  <c r="U2101" i="3"/>
  <c r="W2101" i="3"/>
  <c r="Y2101" i="3"/>
  <c r="T2101" i="3"/>
  <c r="V2101" i="3"/>
  <c r="X2101" i="3"/>
  <c r="U2099" i="3"/>
  <c r="W2099" i="3"/>
  <c r="Y2099" i="3"/>
  <c r="T2099" i="3"/>
  <c r="V2099" i="3"/>
  <c r="X2099" i="3"/>
  <c r="T2106" i="3"/>
  <c r="V2106" i="3"/>
  <c r="X2106" i="3"/>
  <c r="U2106" i="3"/>
  <c r="W2106" i="3"/>
  <c r="Y2106" i="3"/>
  <c r="T2104" i="3"/>
  <c r="V2104" i="3"/>
  <c r="X2104" i="3"/>
  <c r="U2104" i="3"/>
  <c r="W2104" i="3"/>
  <c r="Y2104" i="3"/>
  <c r="T2102" i="3"/>
  <c r="V2102" i="3"/>
  <c r="X2102" i="3"/>
  <c r="U2102" i="3"/>
  <c r="W2102" i="3"/>
  <c r="Y2102" i="3"/>
  <c r="T2100" i="3"/>
  <c r="V2100" i="3"/>
  <c r="X2100" i="3"/>
  <c r="U2100" i="3"/>
  <c r="W2100" i="3"/>
  <c r="Y2100" i="3"/>
  <c r="T2098" i="3"/>
  <c r="V2098" i="3"/>
  <c r="X2098" i="3"/>
  <c r="U2098" i="3"/>
  <c r="W2098" i="3"/>
  <c r="Y2098" i="3"/>
  <c r="U2096" i="3"/>
  <c r="W2096" i="3"/>
  <c r="Y2096" i="3"/>
  <c r="T2096" i="3"/>
  <c r="V2096" i="3"/>
  <c r="X2096" i="3"/>
  <c r="U2094" i="3"/>
  <c r="W2094" i="3"/>
  <c r="Y2094" i="3"/>
  <c r="T2094" i="3"/>
  <c r="V2094" i="3"/>
  <c r="X2094" i="3"/>
  <c r="U2092" i="3"/>
  <c r="W2092" i="3"/>
  <c r="Y2092" i="3"/>
  <c r="T2092" i="3"/>
  <c r="V2092" i="3"/>
  <c r="X2092" i="3"/>
  <c r="U2090" i="3"/>
  <c r="W2090" i="3"/>
  <c r="Y2090" i="3"/>
  <c r="T2090" i="3"/>
  <c r="V2090" i="3"/>
  <c r="X2090" i="3"/>
  <c r="U2088" i="3"/>
  <c r="W2088" i="3"/>
  <c r="Y2088" i="3"/>
  <c r="T2088" i="3"/>
  <c r="V2088" i="3"/>
  <c r="X2088" i="3"/>
  <c r="T2095" i="3"/>
  <c r="V2095" i="3"/>
  <c r="X2095" i="3"/>
  <c r="U2095" i="3"/>
  <c r="W2095" i="3"/>
  <c r="Y2095" i="3"/>
  <c r="T2093" i="3"/>
  <c r="V2093" i="3"/>
  <c r="X2093" i="3"/>
  <c r="U2093" i="3"/>
  <c r="W2093" i="3"/>
  <c r="Y2093" i="3"/>
  <c r="T2091" i="3"/>
  <c r="V2091" i="3"/>
  <c r="X2091" i="3"/>
  <c r="U2091" i="3"/>
  <c r="W2091" i="3"/>
  <c r="Y2091" i="3"/>
  <c r="T2089" i="3"/>
  <c r="V2089" i="3"/>
  <c r="X2089" i="3"/>
  <c r="U2089" i="3"/>
  <c r="W2089" i="3"/>
  <c r="Y2089" i="3"/>
  <c r="T2087" i="3"/>
  <c r="V2087" i="3"/>
  <c r="X2087" i="3"/>
  <c r="U2087" i="3"/>
  <c r="W2087" i="3"/>
  <c r="Y2087" i="3"/>
  <c r="S2075" i="3"/>
  <c r="Z2075" i="3" s="1"/>
  <c r="U2083" i="3"/>
  <c r="W2083" i="3"/>
  <c r="Y2083" i="3"/>
  <c r="T2083" i="3"/>
  <c r="V2083" i="3"/>
  <c r="X2083" i="3"/>
  <c r="U2081" i="3"/>
  <c r="W2081" i="3"/>
  <c r="Y2081" i="3"/>
  <c r="T2081" i="3"/>
  <c r="V2081" i="3"/>
  <c r="X2081" i="3"/>
  <c r="U2079" i="3"/>
  <c r="W2079" i="3"/>
  <c r="Y2079" i="3"/>
  <c r="T2079" i="3"/>
  <c r="V2079" i="3"/>
  <c r="X2079" i="3"/>
  <c r="U2077" i="3"/>
  <c r="W2077" i="3"/>
  <c r="Y2077" i="3"/>
  <c r="T2077" i="3"/>
  <c r="V2077" i="3"/>
  <c r="X2077" i="3"/>
  <c r="U2085" i="3"/>
  <c r="W2085" i="3"/>
  <c r="Y2085" i="3"/>
  <c r="T2085" i="3"/>
  <c r="V2085" i="3"/>
  <c r="X2085" i="3"/>
  <c r="T2084" i="3"/>
  <c r="V2084" i="3"/>
  <c r="X2084" i="3"/>
  <c r="U2084" i="3"/>
  <c r="W2084" i="3"/>
  <c r="Y2084" i="3"/>
  <c r="T2082" i="3"/>
  <c r="V2082" i="3"/>
  <c r="X2082" i="3"/>
  <c r="U2082" i="3"/>
  <c r="W2082" i="3"/>
  <c r="Y2082" i="3"/>
  <c r="T2080" i="3"/>
  <c r="V2080" i="3"/>
  <c r="X2080" i="3"/>
  <c r="U2080" i="3"/>
  <c r="W2080" i="3"/>
  <c r="Y2080" i="3"/>
  <c r="T2078" i="3"/>
  <c r="V2078" i="3"/>
  <c r="X2078" i="3"/>
  <c r="U2078" i="3"/>
  <c r="W2078" i="3"/>
  <c r="Y2078" i="3"/>
  <c r="T2076" i="3"/>
  <c r="V2076" i="3"/>
  <c r="X2076" i="3"/>
  <c r="U2076" i="3"/>
  <c r="W2076" i="3"/>
  <c r="Y2076" i="3"/>
  <c r="S2064" i="3"/>
  <c r="Z2064" i="3" s="1"/>
  <c r="S2053" i="3"/>
  <c r="Z2053" i="3" s="1"/>
  <c r="U2074" i="3"/>
  <c r="W2074" i="3"/>
  <c r="Y2074" i="3"/>
  <c r="T2074" i="3"/>
  <c r="V2074" i="3"/>
  <c r="X2074" i="3"/>
  <c r="U2072" i="3"/>
  <c r="W2072" i="3"/>
  <c r="Y2072" i="3"/>
  <c r="T2072" i="3"/>
  <c r="V2072" i="3"/>
  <c r="X2072" i="3"/>
  <c r="U2070" i="3"/>
  <c r="W2070" i="3"/>
  <c r="Y2070" i="3"/>
  <c r="T2070" i="3"/>
  <c r="V2070" i="3"/>
  <c r="X2070" i="3"/>
  <c r="U2068" i="3"/>
  <c r="W2068" i="3"/>
  <c r="Y2068" i="3"/>
  <c r="T2068" i="3"/>
  <c r="V2068" i="3"/>
  <c r="X2068" i="3"/>
  <c r="U2066" i="3"/>
  <c r="W2066" i="3"/>
  <c r="Y2066" i="3"/>
  <c r="T2066" i="3"/>
  <c r="V2066" i="3"/>
  <c r="X2066" i="3"/>
  <c r="T2073" i="3"/>
  <c r="T2071" i="3"/>
  <c r="T2069" i="3"/>
  <c r="T2067" i="3"/>
  <c r="T2065" i="3"/>
  <c r="X2073" i="3"/>
  <c r="U2073" i="3"/>
  <c r="W2073" i="3"/>
  <c r="Y2073" i="3"/>
  <c r="X2071" i="3"/>
  <c r="U2071" i="3"/>
  <c r="W2071" i="3"/>
  <c r="Y2071" i="3"/>
  <c r="X2069" i="3"/>
  <c r="U2069" i="3"/>
  <c r="W2069" i="3"/>
  <c r="Y2069" i="3"/>
  <c r="X2067" i="3"/>
  <c r="U2067" i="3"/>
  <c r="W2067" i="3"/>
  <c r="Y2067" i="3"/>
  <c r="U2065" i="3"/>
  <c r="W2065" i="3"/>
  <c r="Y2065" i="3"/>
  <c r="X2065" i="3"/>
  <c r="V2073" i="3"/>
  <c r="V2071" i="3"/>
  <c r="V2069" i="3"/>
  <c r="V2067" i="3"/>
  <c r="V2065" i="3"/>
  <c r="U2061" i="3"/>
  <c r="W2061" i="3"/>
  <c r="Y2061" i="3"/>
  <c r="T2061" i="3"/>
  <c r="V2061" i="3"/>
  <c r="X2061" i="3"/>
  <c r="U2063" i="3"/>
  <c r="W2063" i="3"/>
  <c r="Y2063" i="3"/>
  <c r="T2063" i="3"/>
  <c r="V2063" i="3"/>
  <c r="X2063" i="3"/>
  <c r="U2059" i="3"/>
  <c r="W2059" i="3"/>
  <c r="Y2059" i="3"/>
  <c r="T2059" i="3"/>
  <c r="V2059" i="3"/>
  <c r="X2059" i="3"/>
  <c r="U2057" i="3"/>
  <c r="W2057" i="3"/>
  <c r="Y2057" i="3"/>
  <c r="T2057" i="3"/>
  <c r="V2057" i="3"/>
  <c r="X2057" i="3"/>
  <c r="U2055" i="3"/>
  <c r="W2055" i="3"/>
  <c r="Y2055" i="3"/>
  <c r="T2055" i="3"/>
  <c r="V2055" i="3"/>
  <c r="X2055" i="3"/>
  <c r="T2062" i="3"/>
  <c r="V2062" i="3"/>
  <c r="X2062" i="3"/>
  <c r="U2062" i="3"/>
  <c r="W2062" i="3"/>
  <c r="Y2062" i="3"/>
  <c r="T2060" i="3"/>
  <c r="V2060" i="3"/>
  <c r="X2060" i="3"/>
  <c r="U2060" i="3"/>
  <c r="W2060" i="3"/>
  <c r="Y2060" i="3"/>
  <c r="T2058" i="3"/>
  <c r="V2058" i="3"/>
  <c r="X2058" i="3"/>
  <c r="U2058" i="3"/>
  <c r="W2058" i="3"/>
  <c r="Y2058" i="3"/>
  <c r="T2056" i="3"/>
  <c r="V2056" i="3"/>
  <c r="X2056" i="3"/>
  <c r="U2056" i="3"/>
  <c r="W2056" i="3"/>
  <c r="Y2056" i="3"/>
  <c r="T2054" i="3"/>
  <c r="V2054" i="3"/>
  <c r="X2054" i="3"/>
  <c r="U2054" i="3"/>
  <c r="W2054" i="3"/>
  <c r="Y2054" i="3"/>
  <c r="A68" i="17"/>
  <c r="A69" i="17"/>
  <c r="A70" i="17"/>
  <c r="A71" i="17"/>
  <c r="A72" i="17"/>
  <c r="A73" i="17"/>
  <c r="A74" i="17"/>
  <c r="A75" i="17"/>
  <c r="A76" i="17"/>
  <c r="A77" i="17"/>
  <c r="A78" i="17"/>
  <c r="A79" i="17"/>
  <c r="A80" i="17"/>
  <c r="A81" i="17"/>
  <c r="A82" i="17"/>
  <c r="A83" i="17"/>
  <c r="A84" i="17"/>
  <c r="A85" i="17"/>
  <c r="A86" i="17"/>
  <c r="A87" i="17"/>
  <c r="A67" i="17"/>
  <c r="A63" i="17"/>
  <c r="A44" i="17"/>
  <c r="A45" i="17"/>
  <c r="A46" i="17"/>
  <c r="A47" i="17"/>
  <c r="A48" i="17"/>
  <c r="A49" i="17"/>
  <c r="A50" i="17"/>
  <c r="A51" i="17"/>
  <c r="A52" i="17"/>
  <c r="A53" i="17"/>
  <c r="A54" i="17"/>
  <c r="A55" i="17"/>
  <c r="A56" i="17"/>
  <c r="A57" i="17"/>
  <c r="A58" i="17"/>
  <c r="A59" i="17"/>
  <c r="A60" i="17"/>
  <c r="A61" i="17"/>
  <c r="A62" i="17"/>
  <c r="A43" i="17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67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43" i="4"/>
  <c r="A12" i="16"/>
  <c r="A3" i="16"/>
  <c r="A19" i="16"/>
  <c r="A9" i="16"/>
  <c r="A21" i="16"/>
  <c r="A20" i="16"/>
  <c r="A17" i="16"/>
  <c r="A15" i="16"/>
  <c r="A8" i="16"/>
  <c r="A16" i="16"/>
  <c r="A14" i="16"/>
  <c r="A6" i="16"/>
  <c r="A10" i="16"/>
  <c r="A7" i="16"/>
  <c r="A26" i="16"/>
  <c r="A35" i="16"/>
  <c r="A32" i="16"/>
  <c r="A24" i="16"/>
  <c r="A4" i="16"/>
  <c r="A25" i="16"/>
  <c r="A27" i="16"/>
  <c r="A33" i="16"/>
  <c r="A34" i="16"/>
  <c r="A23" i="16"/>
  <c r="A11" i="16"/>
  <c r="A22" i="16"/>
  <c r="A28" i="16"/>
  <c r="A18" i="16"/>
  <c r="A30" i="16"/>
  <c r="A13" i="16"/>
  <c r="A31" i="16"/>
  <c r="A29" i="16"/>
  <c r="A5" i="16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F40" i="4" l="1"/>
  <c r="J40" i="4"/>
  <c r="I40" i="4"/>
  <c r="E40" i="4"/>
  <c r="C40" i="4"/>
  <c r="D40" i="4"/>
  <c r="H40" i="4"/>
  <c r="K40" i="4"/>
  <c r="G40" i="4"/>
  <c r="Z2259" i="3"/>
  <c r="Z2263" i="3"/>
  <c r="Z2267" i="3"/>
  <c r="Z2271" i="3"/>
  <c r="Z2275" i="3"/>
  <c r="Z2279" i="3"/>
  <c r="Z2287" i="3"/>
  <c r="Z2291" i="3"/>
  <c r="Z2056" i="3"/>
  <c r="Z2065" i="3"/>
  <c r="Z2069" i="3"/>
  <c r="Z2073" i="3"/>
  <c r="Z2076" i="3"/>
  <c r="Z2078" i="3"/>
  <c r="Z2080" i="3"/>
  <c r="Z2082" i="3"/>
  <c r="Z2084" i="3"/>
  <c r="Z2088" i="3"/>
  <c r="Z2090" i="3"/>
  <c r="Z2092" i="3"/>
  <c r="Z2094" i="3"/>
  <c r="Z2096" i="3"/>
  <c r="Z2099" i="3"/>
  <c r="Z2101" i="3"/>
  <c r="Z2103" i="3"/>
  <c r="Z2105" i="3"/>
  <c r="Z2107" i="3"/>
  <c r="Z2110" i="3"/>
  <c r="Z2112" i="3"/>
  <c r="Z2114" i="3"/>
  <c r="Z2116" i="3"/>
  <c r="Z2118" i="3"/>
  <c r="Z2121" i="3"/>
  <c r="Z2125" i="3"/>
  <c r="Z2129" i="3"/>
  <c r="Z2135" i="3"/>
  <c r="Z2139" i="3"/>
  <c r="Z2143" i="3"/>
  <c r="Z2054" i="3"/>
  <c r="Z2058" i="3"/>
  <c r="Z2060" i="3"/>
  <c r="Z2062" i="3"/>
  <c r="Z2055" i="3"/>
  <c r="Z2057" i="3"/>
  <c r="Z2059" i="3"/>
  <c r="Z2063" i="3"/>
  <c r="Z2061" i="3"/>
  <c r="Z2067" i="3"/>
  <c r="Z2071" i="3"/>
  <c r="Z2066" i="3"/>
  <c r="Z2068" i="3"/>
  <c r="Z2070" i="3"/>
  <c r="Z2072" i="3"/>
  <c r="Z2074" i="3"/>
  <c r="Z2085" i="3"/>
  <c r="Z2077" i="3"/>
  <c r="Z2079" i="3"/>
  <c r="Z2081" i="3"/>
  <c r="Z2083" i="3"/>
  <c r="Z2087" i="3"/>
  <c r="Z2089" i="3"/>
  <c r="Z2091" i="3"/>
  <c r="Z2093" i="3"/>
  <c r="Z2095" i="3"/>
  <c r="Z2098" i="3"/>
  <c r="Z2100" i="3"/>
  <c r="Z2102" i="3"/>
  <c r="Z2104" i="3"/>
  <c r="Z2106" i="3"/>
  <c r="Z2109" i="3"/>
  <c r="Z2111" i="3"/>
  <c r="Z2113" i="3"/>
  <c r="Z2115" i="3"/>
  <c r="Z2122" i="3"/>
  <c r="Z2126" i="3"/>
  <c r="Z2130" i="3"/>
  <c r="Z2134" i="3"/>
  <c r="Z2138" i="3"/>
  <c r="Z2142" i="3"/>
  <c r="Z2145" i="3"/>
  <c r="Z2147" i="3"/>
  <c r="Z2149" i="3"/>
  <c r="Z2151" i="3"/>
  <c r="Z2153" i="3"/>
  <c r="Z2157" i="3"/>
  <c r="Z2159" i="3"/>
  <c r="Z2161" i="3"/>
  <c r="Z2163" i="3"/>
  <c r="Z2165" i="3"/>
  <c r="Z2146" i="3"/>
  <c r="Z2148" i="3"/>
  <c r="Z2150" i="3"/>
  <c r="Z2152" i="3"/>
  <c r="Z2154" i="3"/>
  <c r="Z2156" i="3"/>
  <c r="Z2158" i="3"/>
  <c r="Z2160" i="3"/>
  <c r="Z2162" i="3"/>
  <c r="Z2164" i="3"/>
  <c r="Z2167" i="3"/>
  <c r="Z2169" i="3"/>
  <c r="Z2171" i="3"/>
  <c r="Z2173" i="3"/>
  <c r="Z2175" i="3"/>
  <c r="Z2179" i="3"/>
  <c r="Z2181" i="3"/>
  <c r="Z2183" i="3"/>
  <c r="Z2185" i="3"/>
  <c r="Z2187" i="3"/>
  <c r="Z2168" i="3"/>
  <c r="Z2170" i="3"/>
  <c r="Z2172" i="3"/>
  <c r="Z2174" i="3"/>
  <c r="Z2176" i="3"/>
  <c r="Z2178" i="3"/>
  <c r="Z2180" i="3"/>
  <c r="Z2182" i="3"/>
  <c r="Z2184" i="3"/>
  <c r="Z2186" i="3"/>
  <c r="Z2189" i="3"/>
  <c r="Z2191" i="3"/>
  <c r="Z2193" i="3"/>
  <c r="Z2195" i="3"/>
  <c r="Z2197" i="3"/>
  <c r="Z2203" i="3"/>
  <c r="Z2207" i="3"/>
  <c r="Z2211" i="3"/>
  <c r="Z2190" i="3"/>
  <c r="Z2194" i="3"/>
  <c r="Z2198" i="3"/>
  <c r="Z2202" i="3"/>
  <c r="Z2206" i="3"/>
  <c r="Z2210" i="3"/>
  <c r="Z2214" i="3"/>
  <c r="Z2216" i="3"/>
  <c r="Z2218" i="3"/>
  <c r="Z2220" i="3"/>
  <c r="Z2222" i="3"/>
  <c r="Z2224" i="3"/>
  <c r="Z2226" i="3"/>
  <c r="Z2228" i="3"/>
  <c r="Z2230" i="3"/>
  <c r="Z2232" i="3"/>
  <c r="Z2234" i="3"/>
  <c r="Z2238" i="3"/>
  <c r="Z2240" i="3"/>
  <c r="Z2242" i="3"/>
  <c r="Z2244" i="3"/>
  <c r="Z2246" i="3"/>
  <c r="Z2227" i="3"/>
  <c r="Z2229" i="3"/>
  <c r="Z2231" i="3"/>
  <c r="Z2233" i="3"/>
  <c r="Z2235" i="3"/>
  <c r="Z2237" i="3"/>
  <c r="Z2239" i="3"/>
  <c r="Z2241" i="3"/>
  <c r="Z2243" i="3"/>
  <c r="Z2245" i="3"/>
  <c r="Z2248" i="3"/>
  <c r="Z2250" i="3"/>
  <c r="Z2252" i="3"/>
  <c r="Z2254" i="3"/>
  <c r="Z2256" i="3"/>
  <c r="Z2261" i="3"/>
  <c r="Z2265" i="3"/>
  <c r="Z2262" i="3"/>
  <c r="Z2266" i="3"/>
  <c r="Z2272" i="3"/>
  <c r="Z2276" i="3"/>
  <c r="Z2280" i="3"/>
  <c r="Z2284" i="3"/>
  <c r="Z2288" i="3"/>
  <c r="Z2292" i="3"/>
  <c r="Z2273" i="3"/>
  <c r="Z2277" i="3"/>
  <c r="Z2281" i="3"/>
  <c r="Z2285" i="3"/>
  <c r="Z2289" i="3"/>
  <c r="Z2293" i="3"/>
  <c r="Z2295" i="3"/>
  <c r="Z2297" i="3"/>
  <c r="Z2299" i="3"/>
  <c r="Z2301" i="3"/>
  <c r="Z2303" i="3"/>
  <c r="Z2307" i="3"/>
  <c r="Z2309" i="3"/>
  <c r="Z2311" i="3"/>
  <c r="Z2313" i="3"/>
  <c r="Z2315" i="3"/>
  <c r="Z2296" i="3"/>
  <c r="Z2298" i="3"/>
  <c r="Z2300" i="3"/>
  <c r="Z2302" i="3"/>
  <c r="Z2304" i="3"/>
  <c r="Z2306" i="3"/>
  <c r="Z2308" i="3"/>
  <c r="Z2310" i="3"/>
  <c r="Z2312" i="3"/>
  <c r="Z2314" i="3"/>
  <c r="Z2342" i="3"/>
  <c r="Z2346" i="3"/>
  <c r="Z2352" i="3"/>
  <c r="Z2356" i="3"/>
  <c r="Z2360" i="3"/>
  <c r="Z2339" i="3"/>
  <c r="Z2341" i="3"/>
  <c r="Z2343" i="3"/>
  <c r="Z2345" i="3"/>
  <c r="Z2347" i="3"/>
  <c r="Z2349" i="3"/>
  <c r="Z2351" i="3"/>
  <c r="Z2353" i="3"/>
  <c r="Z2355" i="3"/>
  <c r="Z2357" i="3"/>
  <c r="Z2359" i="3"/>
  <c r="Z2362" i="3"/>
  <c r="Z2366" i="3"/>
  <c r="Z2370" i="3"/>
  <c r="Z2363" i="3"/>
  <c r="Z2365" i="3"/>
  <c r="Z2367" i="3"/>
  <c r="Z2369" i="3"/>
  <c r="Z2371" i="3"/>
  <c r="Z2373" i="3"/>
  <c r="Z2375" i="3"/>
  <c r="Z2377" i="3"/>
  <c r="Z2379" i="3"/>
  <c r="Z2381" i="3"/>
  <c r="Z2383" i="3"/>
  <c r="Z2385" i="3"/>
  <c r="Z2391" i="3"/>
  <c r="Z2395" i="3"/>
  <c r="Z2376" i="3"/>
  <c r="Z2378" i="3"/>
  <c r="Z2380" i="3"/>
  <c r="Z2382" i="3"/>
  <c r="Z2386" i="3"/>
  <c r="Z2388" i="3"/>
  <c r="Z2390" i="3"/>
  <c r="Z2392" i="3"/>
  <c r="Z2394" i="3"/>
  <c r="Z2396" i="3"/>
  <c r="Z2117" i="3"/>
  <c r="Z2123" i="3"/>
  <c r="Z2127" i="3"/>
  <c r="Z2131" i="3"/>
  <c r="Z2137" i="3"/>
  <c r="Z2141" i="3"/>
  <c r="Z2120" i="3"/>
  <c r="Z2124" i="3"/>
  <c r="Z2128" i="3"/>
  <c r="Z2132" i="3"/>
  <c r="Z2136" i="3"/>
  <c r="Z2140" i="3"/>
  <c r="Z2201" i="3"/>
  <c r="Z2205" i="3"/>
  <c r="Z2209" i="3"/>
  <c r="Z2192" i="3"/>
  <c r="Z2196" i="3"/>
  <c r="Z2200" i="3"/>
  <c r="Z2204" i="3"/>
  <c r="Z2208" i="3"/>
  <c r="Z2213" i="3"/>
  <c r="Z2215" i="3"/>
  <c r="Z2217" i="3"/>
  <c r="Z2219" i="3"/>
  <c r="Z2221" i="3"/>
  <c r="Z2223" i="3"/>
  <c r="Z2249" i="3"/>
  <c r="Z2251" i="3"/>
  <c r="Z2253" i="3"/>
  <c r="Z2255" i="3"/>
  <c r="Z2257" i="3"/>
  <c r="Z2260" i="3"/>
  <c r="Z2264" i="3"/>
  <c r="Z2268" i="3"/>
  <c r="Z2270" i="3"/>
  <c r="Z2274" i="3"/>
  <c r="Z2278" i="3"/>
  <c r="Z2282" i="3"/>
  <c r="Z2286" i="3"/>
  <c r="Z2290" i="3"/>
  <c r="Z2318" i="3"/>
  <c r="Z2320" i="3"/>
  <c r="Z2322" i="3"/>
  <c r="Z2324" i="3"/>
  <c r="Z2326" i="3"/>
  <c r="Z2328" i="3"/>
  <c r="Z2330" i="3"/>
  <c r="Z2332" i="3"/>
  <c r="Z2334" i="3"/>
  <c r="Z2336" i="3"/>
  <c r="Z2317" i="3"/>
  <c r="Z2319" i="3"/>
  <c r="Z2321" i="3"/>
  <c r="Z2323" i="3"/>
  <c r="Z2325" i="3"/>
  <c r="Z2329" i="3"/>
  <c r="Z2331" i="3"/>
  <c r="Z2333" i="3"/>
  <c r="Z2335" i="3"/>
  <c r="Z2337" i="3"/>
  <c r="Z2340" i="3"/>
  <c r="Z2344" i="3"/>
  <c r="Z2348" i="3"/>
  <c r="Z2354" i="3"/>
  <c r="Z2358" i="3"/>
  <c r="Z2364" i="3"/>
  <c r="Z2368" i="3"/>
  <c r="Z2372" i="3"/>
  <c r="Z2389" i="3"/>
  <c r="Z2393" i="3"/>
  <c r="Z2397" i="3"/>
  <c r="Z2384" i="3"/>
  <c r="M2042" i="3"/>
  <c r="M2043" i="3"/>
  <c r="M2044" i="3"/>
  <c r="M2045" i="3"/>
  <c r="M2046" i="3"/>
  <c r="M2047" i="3"/>
  <c r="M2048" i="3"/>
  <c r="M2049" i="3"/>
  <c r="M2050" i="3"/>
  <c r="M2051" i="3"/>
  <c r="M2052" i="3"/>
  <c r="P2042" i="3"/>
  <c r="P2043" i="3"/>
  <c r="P2044" i="3"/>
  <c r="P2045" i="3"/>
  <c r="P2046" i="3"/>
  <c r="P2047" i="3"/>
  <c r="P2048" i="3"/>
  <c r="P2049" i="3"/>
  <c r="P2050" i="3"/>
  <c r="P2051" i="3"/>
  <c r="P2052" i="3"/>
  <c r="Q2042" i="3"/>
  <c r="Q2043" i="3"/>
  <c r="Q2044" i="3"/>
  <c r="Q2045" i="3"/>
  <c r="Q2046" i="3"/>
  <c r="Q2047" i="3"/>
  <c r="Q2048" i="3"/>
  <c r="Q2049" i="3"/>
  <c r="Q2050" i="3"/>
  <c r="Q2051" i="3"/>
  <c r="Q2052" i="3"/>
  <c r="R2042" i="3"/>
  <c r="R2043" i="3"/>
  <c r="R2044" i="3"/>
  <c r="R2045" i="3"/>
  <c r="R2046" i="3"/>
  <c r="R2047" i="3"/>
  <c r="R2048" i="3"/>
  <c r="R2049" i="3"/>
  <c r="R2050" i="3"/>
  <c r="R2051" i="3"/>
  <c r="R2052" i="3"/>
  <c r="S2043" i="3"/>
  <c r="S2044" i="3"/>
  <c r="S2045" i="3"/>
  <c r="S2046" i="3"/>
  <c r="S2047" i="3"/>
  <c r="S2048" i="3"/>
  <c r="S2049" i="3"/>
  <c r="S2050" i="3"/>
  <c r="S2051" i="3"/>
  <c r="S2052" i="3"/>
  <c r="T2042" i="3"/>
  <c r="U2042" i="3"/>
  <c r="V2042" i="3"/>
  <c r="W2042" i="3"/>
  <c r="X2042" i="3"/>
  <c r="AA2042" i="3"/>
  <c r="AA2043" i="3"/>
  <c r="AA2044" i="3"/>
  <c r="AA2045" i="3"/>
  <c r="AA2046" i="3"/>
  <c r="AA2047" i="3"/>
  <c r="AA2048" i="3"/>
  <c r="AA2049" i="3"/>
  <c r="AA2050" i="3"/>
  <c r="AA2051" i="3"/>
  <c r="AA2052" i="3"/>
  <c r="AB2042" i="3"/>
  <c r="O2042" i="3" s="1"/>
  <c r="Y2042" i="3" s="1"/>
  <c r="AB2043" i="3"/>
  <c r="O2043" i="3" s="1"/>
  <c r="AB2044" i="3"/>
  <c r="O2044" i="3" s="1"/>
  <c r="AB2045" i="3"/>
  <c r="O2045" i="3" s="1"/>
  <c r="AB2046" i="3"/>
  <c r="O2046" i="3" s="1"/>
  <c r="AB2047" i="3"/>
  <c r="O2047" i="3" s="1"/>
  <c r="AB2048" i="3"/>
  <c r="O2048" i="3" s="1"/>
  <c r="AB2049" i="3"/>
  <c r="O2049" i="3" s="1"/>
  <c r="AB2050" i="3"/>
  <c r="O2050" i="3" s="1"/>
  <c r="AB2051" i="3"/>
  <c r="O2051" i="3" s="1"/>
  <c r="AB2052" i="3"/>
  <c r="O2052" i="3" s="1"/>
  <c r="AC2042" i="3"/>
  <c r="N2042" i="3" s="1"/>
  <c r="AC2043" i="3"/>
  <c r="N2043" i="3" s="1"/>
  <c r="AC2044" i="3"/>
  <c r="N2044" i="3" s="1"/>
  <c r="AC2045" i="3"/>
  <c r="N2045" i="3" s="1"/>
  <c r="AC2046" i="3"/>
  <c r="N2046" i="3" s="1"/>
  <c r="AC2047" i="3"/>
  <c r="N2047" i="3" s="1"/>
  <c r="AC2048" i="3"/>
  <c r="N2048" i="3" s="1"/>
  <c r="AC2049" i="3"/>
  <c r="N2049" i="3" s="1"/>
  <c r="AC2050" i="3"/>
  <c r="N2050" i="3" s="1"/>
  <c r="AC2051" i="3"/>
  <c r="N2051" i="3" s="1"/>
  <c r="AC2052" i="3"/>
  <c r="N2052" i="3" s="1"/>
  <c r="AK2042" i="3"/>
  <c r="AK2043" i="3"/>
  <c r="AK2044" i="3"/>
  <c r="AK2045" i="3"/>
  <c r="AK2046" i="3"/>
  <c r="AK2047" i="3"/>
  <c r="AK2048" i="3"/>
  <c r="AK2049" i="3"/>
  <c r="AK2050" i="3"/>
  <c r="AK2051" i="3"/>
  <c r="AK2052" i="3"/>
  <c r="M114" i="10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P2017" i="3"/>
  <c r="P2018" i="3"/>
  <c r="P2019" i="3"/>
  <c r="P2020" i="3"/>
  <c r="P2021" i="3"/>
  <c r="P2022" i="3"/>
  <c r="P2023" i="3"/>
  <c r="P2024" i="3"/>
  <c r="P2025" i="3"/>
  <c r="P2026" i="3"/>
  <c r="P2027" i="3"/>
  <c r="P2028" i="3"/>
  <c r="P2029" i="3"/>
  <c r="P2030" i="3"/>
  <c r="P2031" i="3"/>
  <c r="P2032" i="3"/>
  <c r="P2033" i="3"/>
  <c r="P2034" i="3"/>
  <c r="P2035" i="3"/>
  <c r="P2036" i="3"/>
  <c r="P2037" i="3"/>
  <c r="P2038" i="3"/>
  <c r="P2039" i="3"/>
  <c r="P2040" i="3"/>
  <c r="P2041" i="3"/>
  <c r="Q2017" i="3"/>
  <c r="Q2018" i="3"/>
  <c r="Q2019" i="3"/>
  <c r="Q2020" i="3"/>
  <c r="Q2021" i="3"/>
  <c r="Q2022" i="3"/>
  <c r="Q2023" i="3"/>
  <c r="Q2024" i="3"/>
  <c r="Q2025" i="3"/>
  <c r="Q2026" i="3"/>
  <c r="Q2027" i="3"/>
  <c r="Q2028" i="3"/>
  <c r="Q2029" i="3"/>
  <c r="Q2030" i="3"/>
  <c r="Q2031" i="3"/>
  <c r="Q2032" i="3"/>
  <c r="Q2033" i="3"/>
  <c r="Q2034" i="3"/>
  <c r="Q2035" i="3"/>
  <c r="Q2036" i="3"/>
  <c r="Q2037" i="3"/>
  <c r="Q2038" i="3"/>
  <c r="Q2039" i="3"/>
  <c r="Q2040" i="3"/>
  <c r="Q2041" i="3"/>
  <c r="R2017" i="3"/>
  <c r="R2018" i="3"/>
  <c r="R2019" i="3"/>
  <c r="R2020" i="3"/>
  <c r="R2021" i="3"/>
  <c r="R2022" i="3"/>
  <c r="R2023" i="3"/>
  <c r="R2024" i="3"/>
  <c r="R2025" i="3"/>
  <c r="R2026" i="3"/>
  <c r="R2027" i="3"/>
  <c r="R2028" i="3"/>
  <c r="R2029" i="3"/>
  <c r="R2030" i="3"/>
  <c r="R2031" i="3"/>
  <c r="R2032" i="3"/>
  <c r="R2033" i="3"/>
  <c r="R2034" i="3"/>
  <c r="R2035" i="3"/>
  <c r="R2036" i="3"/>
  <c r="R2037" i="3"/>
  <c r="R2038" i="3"/>
  <c r="R2039" i="3"/>
  <c r="R2040" i="3"/>
  <c r="R2041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2" i="3"/>
  <c r="S2033" i="3"/>
  <c r="S2034" i="3"/>
  <c r="S2035" i="3"/>
  <c r="S2036" i="3"/>
  <c r="S2037" i="3"/>
  <c r="S2038" i="3"/>
  <c r="S2039" i="3"/>
  <c r="S2040" i="3"/>
  <c r="S2041" i="3"/>
  <c r="T2017" i="3"/>
  <c r="T2031" i="3"/>
  <c r="U2017" i="3"/>
  <c r="U2031" i="3"/>
  <c r="V2017" i="3"/>
  <c r="V2031" i="3"/>
  <c r="W2017" i="3"/>
  <c r="W2031" i="3"/>
  <c r="X2017" i="3"/>
  <c r="X2031" i="3"/>
  <c r="AA2017" i="3"/>
  <c r="AA2018" i="3"/>
  <c r="AA2019" i="3"/>
  <c r="AA2020" i="3"/>
  <c r="AA2021" i="3"/>
  <c r="AA2022" i="3"/>
  <c r="AA2023" i="3"/>
  <c r="AA2024" i="3"/>
  <c r="AA2025" i="3"/>
  <c r="AA2026" i="3"/>
  <c r="AA2027" i="3"/>
  <c r="AA2028" i="3"/>
  <c r="AA2029" i="3"/>
  <c r="AA2030" i="3"/>
  <c r="AA2031" i="3"/>
  <c r="AA2032" i="3"/>
  <c r="AA2033" i="3"/>
  <c r="AA2034" i="3"/>
  <c r="AA2035" i="3"/>
  <c r="AA2036" i="3"/>
  <c r="AA2037" i="3"/>
  <c r="AA2038" i="3"/>
  <c r="AA2039" i="3"/>
  <c r="AA2040" i="3"/>
  <c r="AA2041" i="3"/>
  <c r="AB2017" i="3"/>
  <c r="O2017" i="3" s="1"/>
  <c r="Y2017" i="3" s="1"/>
  <c r="AB2018" i="3"/>
  <c r="O2018" i="3" s="1"/>
  <c r="AB2019" i="3"/>
  <c r="O2019" i="3" s="1"/>
  <c r="AB2020" i="3"/>
  <c r="O2020" i="3" s="1"/>
  <c r="AB2021" i="3"/>
  <c r="O2021" i="3" s="1"/>
  <c r="AB2022" i="3"/>
  <c r="O2022" i="3" s="1"/>
  <c r="AB2023" i="3"/>
  <c r="O2023" i="3" s="1"/>
  <c r="AB2024" i="3"/>
  <c r="O2024" i="3" s="1"/>
  <c r="AB2025" i="3"/>
  <c r="O2025" i="3" s="1"/>
  <c r="AB2026" i="3"/>
  <c r="O2026" i="3" s="1"/>
  <c r="AB2027" i="3"/>
  <c r="O2027" i="3" s="1"/>
  <c r="AB2028" i="3"/>
  <c r="O2028" i="3" s="1"/>
  <c r="AB2029" i="3"/>
  <c r="O2029" i="3" s="1"/>
  <c r="AB2030" i="3"/>
  <c r="O2030" i="3" s="1"/>
  <c r="AB2031" i="3"/>
  <c r="O2031" i="3" s="1"/>
  <c r="Y2031" i="3" s="1"/>
  <c r="AB2032" i="3"/>
  <c r="O2032" i="3" s="1"/>
  <c r="AB2033" i="3"/>
  <c r="O2033" i="3" s="1"/>
  <c r="AB2034" i="3"/>
  <c r="O2034" i="3" s="1"/>
  <c r="AB2035" i="3"/>
  <c r="O2035" i="3" s="1"/>
  <c r="AB2036" i="3"/>
  <c r="O2036" i="3" s="1"/>
  <c r="AB2037" i="3"/>
  <c r="O2037" i="3" s="1"/>
  <c r="AB2038" i="3"/>
  <c r="O2038" i="3" s="1"/>
  <c r="AB2039" i="3"/>
  <c r="O2039" i="3" s="1"/>
  <c r="AB2040" i="3"/>
  <c r="O2040" i="3" s="1"/>
  <c r="AB2041" i="3"/>
  <c r="O2041" i="3" s="1"/>
  <c r="AC2017" i="3"/>
  <c r="N2017" i="3" s="1"/>
  <c r="AC2018" i="3"/>
  <c r="N2018" i="3" s="1"/>
  <c r="AC2019" i="3"/>
  <c r="N2019" i="3" s="1"/>
  <c r="AC2020" i="3"/>
  <c r="N2020" i="3" s="1"/>
  <c r="AC2021" i="3"/>
  <c r="N2021" i="3" s="1"/>
  <c r="AC2022" i="3"/>
  <c r="N2022" i="3" s="1"/>
  <c r="AC2023" i="3"/>
  <c r="N2023" i="3" s="1"/>
  <c r="AC2024" i="3"/>
  <c r="N2024" i="3" s="1"/>
  <c r="AC2025" i="3"/>
  <c r="N2025" i="3" s="1"/>
  <c r="AC2026" i="3"/>
  <c r="N2026" i="3" s="1"/>
  <c r="AC2027" i="3"/>
  <c r="N2027" i="3" s="1"/>
  <c r="AC2028" i="3"/>
  <c r="N2028" i="3" s="1"/>
  <c r="AC2029" i="3"/>
  <c r="N2029" i="3" s="1"/>
  <c r="AC2030" i="3"/>
  <c r="N2030" i="3" s="1"/>
  <c r="AC2031" i="3"/>
  <c r="N2031" i="3" s="1"/>
  <c r="AC2032" i="3"/>
  <c r="N2032" i="3" s="1"/>
  <c r="AC2033" i="3"/>
  <c r="N2033" i="3" s="1"/>
  <c r="AC2034" i="3"/>
  <c r="N2034" i="3" s="1"/>
  <c r="AC2035" i="3"/>
  <c r="N2035" i="3" s="1"/>
  <c r="AC2036" i="3"/>
  <c r="N2036" i="3" s="1"/>
  <c r="AC2037" i="3"/>
  <c r="N2037" i="3" s="1"/>
  <c r="AC2038" i="3"/>
  <c r="N2038" i="3" s="1"/>
  <c r="AC2039" i="3"/>
  <c r="N2039" i="3" s="1"/>
  <c r="AC2040" i="3"/>
  <c r="N2040" i="3" s="1"/>
  <c r="AC2041" i="3"/>
  <c r="N2041" i="3" s="1"/>
  <c r="AK2017" i="3"/>
  <c r="AK2018" i="3"/>
  <c r="AK2019" i="3"/>
  <c r="AK2020" i="3"/>
  <c r="AK2021" i="3"/>
  <c r="AK2022" i="3"/>
  <c r="AK2023" i="3"/>
  <c r="AK2024" i="3"/>
  <c r="AK2025" i="3"/>
  <c r="AK2026" i="3"/>
  <c r="AK2027" i="3"/>
  <c r="AK2028" i="3"/>
  <c r="AK2029" i="3"/>
  <c r="AK2030" i="3"/>
  <c r="AK2031" i="3"/>
  <c r="AK2032" i="3"/>
  <c r="AK2033" i="3"/>
  <c r="AK2034" i="3"/>
  <c r="AK2035" i="3"/>
  <c r="AK2036" i="3"/>
  <c r="AK2037" i="3"/>
  <c r="AK2038" i="3"/>
  <c r="AK2039" i="3"/>
  <c r="AK2040" i="3"/>
  <c r="AK2041" i="3"/>
  <c r="M113" i="10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P1994" i="3"/>
  <c r="P1995" i="3"/>
  <c r="P1996" i="3"/>
  <c r="P1997" i="3"/>
  <c r="P1998" i="3"/>
  <c r="P1999" i="3"/>
  <c r="P2000" i="3"/>
  <c r="P2001" i="3"/>
  <c r="P2002" i="3"/>
  <c r="P2003" i="3"/>
  <c r="P2004" i="3"/>
  <c r="P2005" i="3"/>
  <c r="P2006" i="3"/>
  <c r="P2007" i="3"/>
  <c r="P2008" i="3"/>
  <c r="P2009" i="3"/>
  <c r="P2010" i="3"/>
  <c r="P2011" i="3"/>
  <c r="P2012" i="3"/>
  <c r="P2013" i="3"/>
  <c r="P2014" i="3"/>
  <c r="P2015" i="3"/>
  <c r="P2016" i="3"/>
  <c r="Q1994" i="3"/>
  <c r="Q1995" i="3"/>
  <c r="Q1996" i="3"/>
  <c r="Q1997" i="3"/>
  <c r="Q1998" i="3"/>
  <c r="Q1999" i="3"/>
  <c r="Q2000" i="3"/>
  <c r="Q2001" i="3"/>
  <c r="Q2002" i="3"/>
  <c r="Q2003" i="3"/>
  <c r="Q2004" i="3"/>
  <c r="Q2005" i="3"/>
  <c r="Q2006" i="3"/>
  <c r="Q2007" i="3"/>
  <c r="Q2008" i="3"/>
  <c r="Q2009" i="3"/>
  <c r="Q2010" i="3"/>
  <c r="Q2011" i="3"/>
  <c r="Q2012" i="3"/>
  <c r="Q2013" i="3"/>
  <c r="Q2014" i="3"/>
  <c r="Q2015" i="3"/>
  <c r="Q2016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R2006" i="3"/>
  <c r="R2007" i="3"/>
  <c r="R2008" i="3"/>
  <c r="R2009" i="3"/>
  <c r="R2010" i="3"/>
  <c r="R2011" i="3"/>
  <c r="R2012" i="3"/>
  <c r="R2013" i="3"/>
  <c r="R2014" i="3"/>
  <c r="R2015" i="3"/>
  <c r="R2016" i="3"/>
  <c r="S1995" i="3"/>
  <c r="S1996" i="3"/>
  <c r="S1997" i="3"/>
  <c r="S1998" i="3"/>
  <c r="S1999" i="3"/>
  <c r="S2000" i="3"/>
  <c r="S2001" i="3"/>
  <c r="S2002" i="3"/>
  <c r="S2003" i="3"/>
  <c r="S2004" i="3"/>
  <c r="S2005" i="3"/>
  <c r="S2007" i="3"/>
  <c r="S2008" i="3"/>
  <c r="S2009" i="3"/>
  <c r="S2010" i="3"/>
  <c r="S2011" i="3"/>
  <c r="S2012" i="3"/>
  <c r="S2013" i="3"/>
  <c r="S2014" i="3"/>
  <c r="S2015" i="3"/>
  <c r="S2016" i="3"/>
  <c r="T1994" i="3"/>
  <c r="T2006" i="3"/>
  <c r="U1994" i="3"/>
  <c r="U2006" i="3"/>
  <c r="V1994" i="3"/>
  <c r="V2006" i="3"/>
  <c r="W1994" i="3"/>
  <c r="W2006" i="3"/>
  <c r="X1994" i="3"/>
  <c r="X2006" i="3"/>
  <c r="AA1994" i="3"/>
  <c r="AA1995" i="3"/>
  <c r="AA1996" i="3"/>
  <c r="AA1997" i="3"/>
  <c r="AA1998" i="3"/>
  <c r="AA1999" i="3"/>
  <c r="AA2000" i="3"/>
  <c r="AA2001" i="3"/>
  <c r="AA2002" i="3"/>
  <c r="AA2003" i="3"/>
  <c r="AA2004" i="3"/>
  <c r="AA2005" i="3"/>
  <c r="AA2006" i="3"/>
  <c r="AA2007" i="3"/>
  <c r="AA2008" i="3"/>
  <c r="AA2009" i="3"/>
  <c r="AA2010" i="3"/>
  <c r="AA2011" i="3"/>
  <c r="AA2012" i="3"/>
  <c r="AA2013" i="3"/>
  <c r="AA2014" i="3"/>
  <c r="AA2015" i="3"/>
  <c r="AA2016" i="3"/>
  <c r="AB1994" i="3"/>
  <c r="O1994" i="3" s="1"/>
  <c r="Y1994" i="3" s="1"/>
  <c r="AB1995" i="3"/>
  <c r="O1995" i="3" s="1"/>
  <c r="AB1996" i="3"/>
  <c r="O1996" i="3" s="1"/>
  <c r="AB1997" i="3"/>
  <c r="O1997" i="3" s="1"/>
  <c r="AB1998" i="3"/>
  <c r="O1998" i="3" s="1"/>
  <c r="AB1999" i="3"/>
  <c r="O1999" i="3" s="1"/>
  <c r="AB2000" i="3"/>
  <c r="O2000" i="3" s="1"/>
  <c r="AB2001" i="3"/>
  <c r="O2001" i="3" s="1"/>
  <c r="AB2002" i="3"/>
  <c r="O2002" i="3" s="1"/>
  <c r="AB2003" i="3"/>
  <c r="O2003" i="3" s="1"/>
  <c r="AB2004" i="3"/>
  <c r="O2004" i="3" s="1"/>
  <c r="AB2005" i="3"/>
  <c r="O2005" i="3" s="1"/>
  <c r="AB2006" i="3"/>
  <c r="O2006" i="3" s="1"/>
  <c r="Y2006" i="3" s="1"/>
  <c r="AB2007" i="3"/>
  <c r="O2007" i="3" s="1"/>
  <c r="AB2008" i="3"/>
  <c r="O2008" i="3" s="1"/>
  <c r="AB2009" i="3"/>
  <c r="O2009" i="3" s="1"/>
  <c r="AB2010" i="3"/>
  <c r="O2010" i="3" s="1"/>
  <c r="AB2011" i="3"/>
  <c r="O2011" i="3" s="1"/>
  <c r="AB2012" i="3"/>
  <c r="O2012" i="3" s="1"/>
  <c r="AB2013" i="3"/>
  <c r="O2013" i="3" s="1"/>
  <c r="AB2014" i="3"/>
  <c r="O2014" i="3" s="1"/>
  <c r="AB2015" i="3"/>
  <c r="O2015" i="3" s="1"/>
  <c r="AB2016" i="3"/>
  <c r="O2016" i="3" s="1"/>
  <c r="AC1994" i="3"/>
  <c r="N1994" i="3" s="1"/>
  <c r="AC1995" i="3"/>
  <c r="N1995" i="3" s="1"/>
  <c r="AC1996" i="3"/>
  <c r="N1996" i="3" s="1"/>
  <c r="AC1997" i="3"/>
  <c r="N1997" i="3" s="1"/>
  <c r="AC1998" i="3"/>
  <c r="N1998" i="3" s="1"/>
  <c r="AC1999" i="3"/>
  <c r="N1999" i="3" s="1"/>
  <c r="AC2000" i="3"/>
  <c r="N2000" i="3" s="1"/>
  <c r="AC2001" i="3"/>
  <c r="N2001" i="3" s="1"/>
  <c r="AC2002" i="3"/>
  <c r="N2002" i="3" s="1"/>
  <c r="AC2003" i="3"/>
  <c r="N2003" i="3" s="1"/>
  <c r="AC2004" i="3"/>
  <c r="N2004" i="3" s="1"/>
  <c r="AC2005" i="3"/>
  <c r="N2005" i="3" s="1"/>
  <c r="AC2006" i="3"/>
  <c r="N2006" i="3" s="1"/>
  <c r="AC2007" i="3"/>
  <c r="N2007" i="3" s="1"/>
  <c r="AC2008" i="3"/>
  <c r="N2008" i="3" s="1"/>
  <c r="AC2009" i="3"/>
  <c r="N2009" i="3" s="1"/>
  <c r="AC2010" i="3"/>
  <c r="N2010" i="3" s="1"/>
  <c r="AC2011" i="3"/>
  <c r="N2011" i="3" s="1"/>
  <c r="AC2012" i="3"/>
  <c r="N2012" i="3" s="1"/>
  <c r="AC2013" i="3"/>
  <c r="N2013" i="3" s="1"/>
  <c r="AC2014" i="3"/>
  <c r="N2014" i="3" s="1"/>
  <c r="AC2015" i="3"/>
  <c r="N2015" i="3" s="1"/>
  <c r="AC2016" i="3"/>
  <c r="N2016" i="3" s="1"/>
  <c r="AK1994" i="3"/>
  <c r="AK1995" i="3"/>
  <c r="AK1996" i="3"/>
  <c r="AK1997" i="3"/>
  <c r="AK1998" i="3"/>
  <c r="AK1999" i="3"/>
  <c r="AK2000" i="3"/>
  <c r="AK2001" i="3"/>
  <c r="AK2002" i="3"/>
  <c r="AK2003" i="3"/>
  <c r="AK2004" i="3"/>
  <c r="AK2005" i="3"/>
  <c r="AK2006" i="3"/>
  <c r="AK2007" i="3"/>
  <c r="AK2008" i="3"/>
  <c r="AK2009" i="3"/>
  <c r="AK2010" i="3"/>
  <c r="AK2011" i="3"/>
  <c r="AK2012" i="3"/>
  <c r="AK2013" i="3"/>
  <c r="AK2014" i="3"/>
  <c r="AK2015" i="3"/>
  <c r="AK2016" i="3"/>
  <c r="M112" i="10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P1971" i="3"/>
  <c r="P1972" i="3"/>
  <c r="P1973" i="3"/>
  <c r="P1974" i="3"/>
  <c r="P1975" i="3"/>
  <c r="P1976" i="3"/>
  <c r="P1977" i="3"/>
  <c r="P1978" i="3"/>
  <c r="P1979" i="3"/>
  <c r="P1980" i="3"/>
  <c r="P1981" i="3"/>
  <c r="P1982" i="3"/>
  <c r="P1983" i="3"/>
  <c r="P1984" i="3"/>
  <c r="P1985" i="3"/>
  <c r="P1986" i="3"/>
  <c r="P1987" i="3"/>
  <c r="P1988" i="3"/>
  <c r="P1989" i="3"/>
  <c r="P1990" i="3"/>
  <c r="P1991" i="3"/>
  <c r="P1992" i="3"/>
  <c r="P1993" i="3"/>
  <c r="Q1971" i="3"/>
  <c r="Q1972" i="3"/>
  <c r="Q1973" i="3"/>
  <c r="Q1974" i="3"/>
  <c r="Q1975" i="3"/>
  <c r="Q1976" i="3"/>
  <c r="Q1977" i="3"/>
  <c r="Q1978" i="3"/>
  <c r="Q1979" i="3"/>
  <c r="Q1980" i="3"/>
  <c r="Q1981" i="3"/>
  <c r="Q1982" i="3"/>
  <c r="Q1983" i="3"/>
  <c r="Q1984" i="3"/>
  <c r="Q1985" i="3"/>
  <c r="Q1986" i="3"/>
  <c r="Q1987" i="3"/>
  <c r="Q1988" i="3"/>
  <c r="Q1989" i="3"/>
  <c r="Q1990" i="3"/>
  <c r="Q1991" i="3"/>
  <c r="Q1992" i="3"/>
  <c r="Q1993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S1972" i="3"/>
  <c r="S1973" i="3"/>
  <c r="S1974" i="3"/>
  <c r="S1975" i="3"/>
  <c r="S1976" i="3"/>
  <c r="S1977" i="3"/>
  <c r="S1978" i="3"/>
  <c r="S1979" i="3"/>
  <c r="S1980" i="3"/>
  <c r="S1981" i="3"/>
  <c r="S1982" i="3"/>
  <c r="S1984" i="3"/>
  <c r="S1985" i="3"/>
  <c r="S1986" i="3"/>
  <c r="S1987" i="3"/>
  <c r="S1988" i="3"/>
  <c r="S1989" i="3"/>
  <c r="S1990" i="3"/>
  <c r="S1991" i="3"/>
  <c r="S1992" i="3"/>
  <c r="S1993" i="3"/>
  <c r="T1971" i="3"/>
  <c r="T1983" i="3"/>
  <c r="U1971" i="3"/>
  <c r="U1983" i="3"/>
  <c r="V1971" i="3"/>
  <c r="V1983" i="3"/>
  <c r="W1971" i="3"/>
  <c r="W1983" i="3"/>
  <c r="X1971" i="3"/>
  <c r="X1983" i="3"/>
  <c r="AA1971" i="3"/>
  <c r="AA1972" i="3"/>
  <c r="AA1973" i="3"/>
  <c r="AA1974" i="3"/>
  <c r="AA1975" i="3"/>
  <c r="AA1976" i="3"/>
  <c r="AA1977" i="3"/>
  <c r="AA1978" i="3"/>
  <c r="AA1979" i="3"/>
  <c r="AA1980" i="3"/>
  <c r="AA1981" i="3"/>
  <c r="AA1982" i="3"/>
  <c r="AA1983" i="3"/>
  <c r="AA1984" i="3"/>
  <c r="AA1985" i="3"/>
  <c r="AA1986" i="3"/>
  <c r="AA1987" i="3"/>
  <c r="AA1988" i="3"/>
  <c r="AA1989" i="3"/>
  <c r="AA1990" i="3"/>
  <c r="AA1991" i="3"/>
  <c r="AA1992" i="3"/>
  <c r="AA1993" i="3"/>
  <c r="AB1971" i="3"/>
  <c r="O1971" i="3" s="1"/>
  <c r="Y1971" i="3" s="1"/>
  <c r="AB1972" i="3"/>
  <c r="O1972" i="3" s="1"/>
  <c r="AB1973" i="3"/>
  <c r="O1973" i="3" s="1"/>
  <c r="AB1974" i="3"/>
  <c r="O1974" i="3" s="1"/>
  <c r="AB1975" i="3"/>
  <c r="O1975" i="3" s="1"/>
  <c r="AB1976" i="3"/>
  <c r="O1976" i="3" s="1"/>
  <c r="AB1977" i="3"/>
  <c r="O1977" i="3" s="1"/>
  <c r="AB1978" i="3"/>
  <c r="O1978" i="3" s="1"/>
  <c r="AB1979" i="3"/>
  <c r="O1979" i="3" s="1"/>
  <c r="AB1980" i="3"/>
  <c r="O1980" i="3" s="1"/>
  <c r="AB1981" i="3"/>
  <c r="O1981" i="3" s="1"/>
  <c r="AB1982" i="3"/>
  <c r="O1982" i="3" s="1"/>
  <c r="AB1983" i="3"/>
  <c r="O1983" i="3" s="1"/>
  <c r="Y1983" i="3" s="1"/>
  <c r="AB1984" i="3"/>
  <c r="O1984" i="3" s="1"/>
  <c r="AB1985" i="3"/>
  <c r="O1985" i="3" s="1"/>
  <c r="AB1986" i="3"/>
  <c r="O1986" i="3" s="1"/>
  <c r="AB1987" i="3"/>
  <c r="O1987" i="3" s="1"/>
  <c r="AB1988" i="3"/>
  <c r="O1988" i="3" s="1"/>
  <c r="AB1989" i="3"/>
  <c r="O1989" i="3" s="1"/>
  <c r="AB1990" i="3"/>
  <c r="O1990" i="3" s="1"/>
  <c r="AB1991" i="3"/>
  <c r="O1991" i="3" s="1"/>
  <c r="AB1992" i="3"/>
  <c r="O1992" i="3" s="1"/>
  <c r="AB1993" i="3"/>
  <c r="O1993" i="3" s="1"/>
  <c r="AC1971" i="3"/>
  <c r="N1971" i="3" s="1"/>
  <c r="AC1972" i="3"/>
  <c r="N1972" i="3" s="1"/>
  <c r="AC1973" i="3"/>
  <c r="N1973" i="3" s="1"/>
  <c r="AC1974" i="3"/>
  <c r="N1974" i="3" s="1"/>
  <c r="AC1975" i="3"/>
  <c r="N1975" i="3" s="1"/>
  <c r="AC1976" i="3"/>
  <c r="N1976" i="3" s="1"/>
  <c r="AC1977" i="3"/>
  <c r="N1977" i="3" s="1"/>
  <c r="AC1978" i="3"/>
  <c r="N1978" i="3" s="1"/>
  <c r="AC1979" i="3"/>
  <c r="N1979" i="3" s="1"/>
  <c r="AC1980" i="3"/>
  <c r="N1980" i="3" s="1"/>
  <c r="AC1981" i="3"/>
  <c r="N1981" i="3" s="1"/>
  <c r="AC1982" i="3"/>
  <c r="N1982" i="3" s="1"/>
  <c r="AC1983" i="3"/>
  <c r="N1983" i="3" s="1"/>
  <c r="AC1984" i="3"/>
  <c r="N1984" i="3" s="1"/>
  <c r="AC1985" i="3"/>
  <c r="N1985" i="3" s="1"/>
  <c r="AC1986" i="3"/>
  <c r="N1986" i="3" s="1"/>
  <c r="AC1987" i="3"/>
  <c r="N1987" i="3" s="1"/>
  <c r="AC1988" i="3"/>
  <c r="N1988" i="3" s="1"/>
  <c r="AC1989" i="3"/>
  <c r="N1989" i="3" s="1"/>
  <c r="AC1990" i="3"/>
  <c r="N1990" i="3" s="1"/>
  <c r="AC1991" i="3"/>
  <c r="N1991" i="3" s="1"/>
  <c r="AC1992" i="3"/>
  <c r="N1992" i="3" s="1"/>
  <c r="AC1993" i="3"/>
  <c r="N1993" i="3" s="1"/>
  <c r="AK1971" i="3"/>
  <c r="AK1972" i="3"/>
  <c r="AK1973" i="3"/>
  <c r="AK1974" i="3"/>
  <c r="AK1975" i="3"/>
  <c r="AK1976" i="3"/>
  <c r="AK1977" i="3"/>
  <c r="AK1978" i="3"/>
  <c r="AK1979" i="3"/>
  <c r="AK1980" i="3"/>
  <c r="AK1981" i="3"/>
  <c r="AK1982" i="3"/>
  <c r="AK1983" i="3"/>
  <c r="AK1984" i="3"/>
  <c r="AK1985" i="3"/>
  <c r="AK1986" i="3"/>
  <c r="AK1987" i="3"/>
  <c r="AK1988" i="3"/>
  <c r="AK1989" i="3"/>
  <c r="AK1990" i="3"/>
  <c r="AK1991" i="3"/>
  <c r="AK1992" i="3"/>
  <c r="AK1993" i="3"/>
  <c r="M111" i="10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P1946" i="3"/>
  <c r="P1947" i="3"/>
  <c r="P1948" i="3"/>
  <c r="P1949" i="3"/>
  <c r="P1950" i="3"/>
  <c r="P1951" i="3"/>
  <c r="P1952" i="3"/>
  <c r="P1953" i="3"/>
  <c r="P1954" i="3"/>
  <c r="P1955" i="3"/>
  <c r="P1956" i="3"/>
  <c r="P1957" i="3"/>
  <c r="P1958" i="3"/>
  <c r="P1959" i="3"/>
  <c r="P1960" i="3"/>
  <c r="P1961" i="3"/>
  <c r="P1962" i="3"/>
  <c r="P1963" i="3"/>
  <c r="P1964" i="3"/>
  <c r="P1965" i="3"/>
  <c r="P1966" i="3"/>
  <c r="P1967" i="3"/>
  <c r="P1968" i="3"/>
  <c r="P1969" i="3"/>
  <c r="P1970" i="3"/>
  <c r="Q1946" i="3"/>
  <c r="Q1947" i="3"/>
  <c r="Q1948" i="3"/>
  <c r="Q1949" i="3"/>
  <c r="Q1950" i="3"/>
  <c r="Q1951" i="3"/>
  <c r="Q1952" i="3"/>
  <c r="Q1953" i="3"/>
  <c r="Q1954" i="3"/>
  <c r="Q1955" i="3"/>
  <c r="Q1956" i="3"/>
  <c r="Q1957" i="3"/>
  <c r="Q1958" i="3"/>
  <c r="Q1959" i="3"/>
  <c r="Q1960" i="3"/>
  <c r="Q1961" i="3"/>
  <c r="Q1962" i="3"/>
  <c r="Q1963" i="3"/>
  <c r="Q1964" i="3"/>
  <c r="Q1965" i="3"/>
  <c r="Q1966" i="3"/>
  <c r="Q1967" i="3"/>
  <c r="Q1968" i="3"/>
  <c r="Q1969" i="3"/>
  <c r="Q1970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S1947" i="3"/>
  <c r="S1948" i="3"/>
  <c r="S1949" i="3"/>
  <c r="S1950" i="3"/>
  <c r="S1951" i="3"/>
  <c r="S1952" i="3"/>
  <c r="S1953" i="3"/>
  <c r="S1954" i="3"/>
  <c r="S1955" i="3"/>
  <c r="S1956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T1946" i="3"/>
  <c r="T1957" i="3"/>
  <c r="U1946" i="3"/>
  <c r="U1957" i="3"/>
  <c r="V1946" i="3"/>
  <c r="V1957" i="3"/>
  <c r="W1946" i="3"/>
  <c r="W1957" i="3"/>
  <c r="X1946" i="3"/>
  <c r="X1957" i="3"/>
  <c r="AA1946" i="3"/>
  <c r="AA1947" i="3"/>
  <c r="AA1948" i="3"/>
  <c r="AA1949" i="3"/>
  <c r="AA1950" i="3"/>
  <c r="AA1951" i="3"/>
  <c r="AA1952" i="3"/>
  <c r="AA1953" i="3"/>
  <c r="AA1954" i="3"/>
  <c r="AA1955" i="3"/>
  <c r="AA1956" i="3"/>
  <c r="AA1957" i="3"/>
  <c r="AA1958" i="3"/>
  <c r="AA1959" i="3"/>
  <c r="AA1960" i="3"/>
  <c r="AA1961" i="3"/>
  <c r="AA1962" i="3"/>
  <c r="AA1963" i="3"/>
  <c r="AA1964" i="3"/>
  <c r="AA1965" i="3"/>
  <c r="AA1966" i="3"/>
  <c r="AA1967" i="3"/>
  <c r="AA1968" i="3"/>
  <c r="AA1969" i="3"/>
  <c r="AA1970" i="3"/>
  <c r="AB1946" i="3"/>
  <c r="O1946" i="3" s="1"/>
  <c r="Y1946" i="3" s="1"/>
  <c r="AB1947" i="3"/>
  <c r="O1947" i="3" s="1"/>
  <c r="AB1948" i="3"/>
  <c r="O1948" i="3" s="1"/>
  <c r="AB1949" i="3"/>
  <c r="O1949" i="3" s="1"/>
  <c r="AB1950" i="3"/>
  <c r="O1950" i="3" s="1"/>
  <c r="AB1951" i="3"/>
  <c r="O1951" i="3" s="1"/>
  <c r="AB1952" i="3"/>
  <c r="O1952" i="3" s="1"/>
  <c r="AB1953" i="3"/>
  <c r="O1953" i="3" s="1"/>
  <c r="AB1954" i="3"/>
  <c r="O1954" i="3" s="1"/>
  <c r="AB1955" i="3"/>
  <c r="O1955" i="3" s="1"/>
  <c r="AB1956" i="3"/>
  <c r="O1956" i="3" s="1"/>
  <c r="AB1957" i="3"/>
  <c r="O1957" i="3" s="1"/>
  <c r="Y1957" i="3" s="1"/>
  <c r="AB1958" i="3"/>
  <c r="O1958" i="3" s="1"/>
  <c r="AB1959" i="3"/>
  <c r="O1959" i="3" s="1"/>
  <c r="AB1960" i="3"/>
  <c r="O1960" i="3" s="1"/>
  <c r="AB1961" i="3"/>
  <c r="O1961" i="3" s="1"/>
  <c r="AB1962" i="3"/>
  <c r="O1962" i="3" s="1"/>
  <c r="AB1963" i="3"/>
  <c r="O1963" i="3" s="1"/>
  <c r="AB1964" i="3"/>
  <c r="O1964" i="3" s="1"/>
  <c r="AB1965" i="3"/>
  <c r="O1965" i="3" s="1"/>
  <c r="AB1966" i="3"/>
  <c r="O1966" i="3" s="1"/>
  <c r="AB1967" i="3"/>
  <c r="O1967" i="3" s="1"/>
  <c r="AB1968" i="3"/>
  <c r="O1968" i="3" s="1"/>
  <c r="AB1969" i="3"/>
  <c r="O1969" i="3" s="1"/>
  <c r="AB1970" i="3"/>
  <c r="O1970" i="3" s="1"/>
  <c r="AC1946" i="3"/>
  <c r="N1946" i="3" s="1"/>
  <c r="AC1947" i="3"/>
  <c r="N1947" i="3" s="1"/>
  <c r="AC1948" i="3"/>
  <c r="N1948" i="3" s="1"/>
  <c r="AC1949" i="3"/>
  <c r="N1949" i="3" s="1"/>
  <c r="AC1950" i="3"/>
  <c r="N1950" i="3" s="1"/>
  <c r="AC1951" i="3"/>
  <c r="N1951" i="3" s="1"/>
  <c r="AC1952" i="3"/>
  <c r="N1952" i="3" s="1"/>
  <c r="AC1953" i="3"/>
  <c r="N1953" i="3" s="1"/>
  <c r="AC1954" i="3"/>
  <c r="N1954" i="3" s="1"/>
  <c r="AC1955" i="3"/>
  <c r="N1955" i="3" s="1"/>
  <c r="AC1956" i="3"/>
  <c r="N1956" i="3" s="1"/>
  <c r="AC1957" i="3"/>
  <c r="N1957" i="3" s="1"/>
  <c r="AC1958" i="3"/>
  <c r="N1958" i="3" s="1"/>
  <c r="AC1959" i="3"/>
  <c r="N1959" i="3" s="1"/>
  <c r="AC1960" i="3"/>
  <c r="N1960" i="3" s="1"/>
  <c r="AC1961" i="3"/>
  <c r="N1961" i="3" s="1"/>
  <c r="AC1962" i="3"/>
  <c r="N1962" i="3" s="1"/>
  <c r="AC1963" i="3"/>
  <c r="N1963" i="3" s="1"/>
  <c r="AC1964" i="3"/>
  <c r="N1964" i="3" s="1"/>
  <c r="AC1965" i="3"/>
  <c r="N1965" i="3" s="1"/>
  <c r="AC1966" i="3"/>
  <c r="N1966" i="3" s="1"/>
  <c r="AC1967" i="3"/>
  <c r="N1967" i="3" s="1"/>
  <c r="AC1968" i="3"/>
  <c r="N1968" i="3" s="1"/>
  <c r="AC1969" i="3"/>
  <c r="N1969" i="3" s="1"/>
  <c r="AC1970" i="3"/>
  <c r="N1970" i="3" s="1"/>
  <c r="AK1946" i="3"/>
  <c r="AK1947" i="3"/>
  <c r="AK1948" i="3"/>
  <c r="AK1949" i="3"/>
  <c r="AK1950" i="3"/>
  <c r="AK1951" i="3"/>
  <c r="AK1952" i="3"/>
  <c r="AK1953" i="3"/>
  <c r="AK1954" i="3"/>
  <c r="AK1955" i="3"/>
  <c r="AK1956" i="3"/>
  <c r="AK1957" i="3"/>
  <c r="AK1958" i="3"/>
  <c r="AK1959" i="3"/>
  <c r="AK1960" i="3"/>
  <c r="AK1961" i="3"/>
  <c r="AK1962" i="3"/>
  <c r="AK1963" i="3"/>
  <c r="AK1964" i="3"/>
  <c r="AK1965" i="3"/>
  <c r="AK1966" i="3"/>
  <c r="AK1967" i="3"/>
  <c r="AK1968" i="3"/>
  <c r="AK1969" i="3"/>
  <c r="AK1970" i="3"/>
  <c r="M110" i="10"/>
  <c r="M109" i="10"/>
  <c r="M1935" i="3"/>
  <c r="M1936" i="3"/>
  <c r="M1937" i="3"/>
  <c r="M1938" i="3"/>
  <c r="M1939" i="3"/>
  <c r="M1940" i="3"/>
  <c r="M1941" i="3"/>
  <c r="M1942" i="3"/>
  <c r="M1943" i="3"/>
  <c r="M1944" i="3"/>
  <c r="M1945" i="3"/>
  <c r="P1935" i="3"/>
  <c r="P1936" i="3"/>
  <c r="P1937" i="3"/>
  <c r="P1938" i="3"/>
  <c r="P1939" i="3"/>
  <c r="P1940" i="3"/>
  <c r="P1941" i="3"/>
  <c r="P1942" i="3"/>
  <c r="P1943" i="3"/>
  <c r="P1944" i="3"/>
  <c r="P1945" i="3"/>
  <c r="Q1935" i="3"/>
  <c r="Q1936" i="3"/>
  <c r="Q1937" i="3"/>
  <c r="Q1938" i="3"/>
  <c r="Q1939" i="3"/>
  <c r="Q1940" i="3"/>
  <c r="Q1941" i="3"/>
  <c r="Q1942" i="3"/>
  <c r="Q1943" i="3"/>
  <c r="Q1944" i="3"/>
  <c r="Q1945" i="3"/>
  <c r="R1935" i="3"/>
  <c r="R1936" i="3"/>
  <c r="R1937" i="3"/>
  <c r="R1938" i="3"/>
  <c r="R1939" i="3"/>
  <c r="R1940" i="3"/>
  <c r="R1941" i="3"/>
  <c r="R1942" i="3"/>
  <c r="R1943" i="3"/>
  <c r="R1944" i="3"/>
  <c r="R1945" i="3"/>
  <c r="S1936" i="3"/>
  <c r="S1937" i="3"/>
  <c r="S1938" i="3"/>
  <c r="S1939" i="3"/>
  <c r="S1940" i="3"/>
  <c r="S1941" i="3"/>
  <c r="S1942" i="3"/>
  <c r="S1943" i="3"/>
  <c r="S1944" i="3"/>
  <c r="S1945" i="3"/>
  <c r="T1935" i="3"/>
  <c r="U1935" i="3"/>
  <c r="V1935" i="3"/>
  <c r="W1935" i="3"/>
  <c r="X1935" i="3"/>
  <c r="AA1935" i="3"/>
  <c r="AA1936" i="3"/>
  <c r="AA1937" i="3"/>
  <c r="AA1938" i="3"/>
  <c r="AA1939" i="3"/>
  <c r="AA1940" i="3"/>
  <c r="AA1941" i="3"/>
  <c r="AA1942" i="3"/>
  <c r="AA1943" i="3"/>
  <c r="AA1944" i="3"/>
  <c r="AA1945" i="3"/>
  <c r="AB1935" i="3"/>
  <c r="O1935" i="3" s="1"/>
  <c r="Y1935" i="3" s="1"/>
  <c r="AB1936" i="3"/>
  <c r="O1936" i="3" s="1"/>
  <c r="AB1937" i="3"/>
  <c r="O1937" i="3" s="1"/>
  <c r="AB1938" i="3"/>
  <c r="O1938" i="3" s="1"/>
  <c r="AB1939" i="3"/>
  <c r="O1939" i="3" s="1"/>
  <c r="AB1940" i="3"/>
  <c r="O1940" i="3" s="1"/>
  <c r="AB1941" i="3"/>
  <c r="O1941" i="3" s="1"/>
  <c r="AB1942" i="3"/>
  <c r="O1942" i="3" s="1"/>
  <c r="AB1943" i="3"/>
  <c r="O1943" i="3" s="1"/>
  <c r="AB1944" i="3"/>
  <c r="O1944" i="3" s="1"/>
  <c r="AB1945" i="3"/>
  <c r="O1945" i="3" s="1"/>
  <c r="AC1935" i="3"/>
  <c r="N1935" i="3" s="1"/>
  <c r="AC1936" i="3"/>
  <c r="N1936" i="3" s="1"/>
  <c r="AC1937" i="3"/>
  <c r="N1937" i="3" s="1"/>
  <c r="AC1938" i="3"/>
  <c r="N1938" i="3" s="1"/>
  <c r="AC1939" i="3"/>
  <c r="N1939" i="3" s="1"/>
  <c r="AC1940" i="3"/>
  <c r="N1940" i="3" s="1"/>
  <c r="AC1941" i="3"/>
  <c r="N1941" i="3" s="1"/>
  <c r="AC1942" i="3"/>
  <c r="N1942" i="3" s="1"/>
  <c r="AC1943" i="3"/>
  <c r="N1943" i="3" s="1"/>
  <c r="AC1944" i="3"/>
  <c r="N1944" i="3" s="1"/>
  <c r="AC1945" i="3"/>
  <c r="N1945" i="3" s="1"/>
  <c r="AK1935" i="3"/>
  <c r="AK1936" i="3"/>
  <c r="AK1937" i="3"/>
  <c r="AK1938" i="3"/>
  <c r="AK1939" i="3"/>
  <c r="AK1940" i="3"/>
  <c r="AK1941" i="3"/>
  <c r="AK1942" i="3"/>
  <c r="AK1943" i="3"/>
  <c r="AK1944" i="3"/>
  <c r="AK1945" i="3"/>
  <c r="M108" i="10"/>
  <c r="M1924" i="3"/>
  <c r="M1925" i="3"/>
  <c r="M1926" i="3"/>
  <c r="M1927" i="3"/>
  <c r="M1928" i="3"/>
  <c r="M1929" i="3"/>
  <c r="M1930" i="3"/>
  <c r="M1931" i="3"/>
  <c r="M1932" i="3"/>
  <c r="M1933" i="3"/>
  <c r="M1934" i="3"/>
  <c r="P1924" i="3"/>
  <c r="P1925" i="3"/>
  <c r="P1926" i="3"/>
  <c r="P1927" i="3"/>
  <c r="P1928" i="3"/>
  <c r="P1929" i="3"/>
  <c r="P1930" i="3"/>
  <c r="P1931" i="3"/>
  <c r="P1932" i="3"/>
  <c r="P1933" i="3"/>
  <c r="P1934" i="3"/>
  <c r="Q1924" i="3"/>
  <c r="Q1925" i="3"/>
  <c r="Q1926" i="3"/>
  <c r="Q1927" i="3"/>
  <c r="Q1928" i="3"/>
  <c r="Q1929" i="3"/>
  <c r="Q1930" i="3"/>
  <c r="Q1931" i="3"/>
  <c r="Q1932" i="3"/>
  <c r="Q1933" i="3"/>
  <c r="Q1934" i="3"/>
  <c r="R1924" i="3"/>
  <c r="R1925" i="3"/>
  <c r="R1926" i="3"/>
  <c r="R1927" i="3"/>
  <c r="R1928" i="3"/>
  <c r="R1929" i="3"/>
  <c r="R1930" i="3"/>
  <c r="R1931" i="3"/>
  <c r="R1932" i="3"/>
  <c r="R1933" i="3"/>
  <c r="R1934" i="3"/>
  <c r="S1925" i="3"/>
  <c r="S1926" i="3"/>
  <c r="S1927" i="3"/>
  <c r="S1928" i="3"/>
  <c r="S1929" i="3"/>
  <c r="S1930" i="3"/>
  <c r="S1931" i="3"/>
  <c r="S1932" i="3"/>
  <c r="S1933" i="3"/>
  <c r="S1934" i="3"/>
  <c r="T1924" i="3"/>
  <c r="U1924" i="3"/>
  <c r="V1924" i="3"/>
  <c r="W1924" i="3"/>
  <c r="X1924" i="3"/>
  <c r="AA1924" i="3"/>
  <c r="AA1925" i="3"/>
  <c r="AA1926" i="3"/>
  <c r="AA1927" i="3"/>
  <c r="AA1928" i="3"/>
  <c r="AA1929" i="3"/>
  <c r="AA1930" i="3"/>
  <c r="AA1931" i="3"/>
  <c r="AA1932" i="3"/>
  <c r="AA1933" i="3"/>
  <c r="AA1934" i="3"/>
  <c r="AB1924" i="3"/>
  <c r="O1924" i="3" s="1"/>
  <c r="Y1924" i="3" s="1"/>
  <c r="AB1925" i="3"/>
  <c r="O1925" i="3" s="1"/>
  <c r="AB1926" i="3"/>
  <c r="O1926" i="3" s="1"/>
  <c r="AB1927" i="3"/>
  <c r="O1927" i="3" s="1"/>
  <c r="AB1928" i="3"/>
  <c r="O1928" i="3" s="1"/>
  <c r="AB1929" i="3"/>
  <c r="O1929" i="3" s="1"/>
  <c r="AB1930" i="3"/>
  <c r="O1930" i="3" s="1"/>
  <c r="AB1931" i="3"/>
  <c r="O1931" i="3" s="1"/>
  <c r="AB1932" i="3"/>
  <c r="O1932" i="3" s="1"/>
  <c r="AB1933" i="3"/>
  <c r="O1933" i="3" s="1"/>
  <c r="AB1934" i="3"/>
  <c r="O1934" i="3" s="1"/>
  <c r="AC1924" i="3"/>
  <c r="N1924" i="3" s="1"/>
  <c r="AC1925" i="3"/>
  <c r="N1925" i="3" s="1"/>
  <c r="AC1926" i="3"/>
  <c r="N1926" i="3" s="1"/>
  <c r="AC1927" i="3"/>
  <c r="N1927" i="3" s="1"/>
  <c r="AC1928" i="3"/>
  <c r="N1928" i="3" s="1"/>
  <c r="AC1929" i="3"/>
  <c r="N1929" i="3" s="1"/>
  <c r="AC1930" i="3"/>
  <c r="N1930" i="3" s="1"/>
  <c r="AC1931" i="3"/>
  <c r="N1931" i="3" s="1"/>
  <c r="AC1932" i="3"/>
  <c r="N1932" i="3" s="1"/>
  <c r="AC1933" i="3"/>
  <c r="N1933" i="3" s="1"/>
  <c r="AC1934" i="3"/>
  <c r="N1934" i="3" s="1"/>
  <c r="AK1924" i="3"/>
  <c r="AK1925" i="3"/>
  <c r="AK1926" i="3"/>
  <c r="AK1927" i="3"/>
  <c r="AK1928" i="3"/>
  <c r="AK1929" i="3"/>
  <c r="AK1930" i="3"/>
  <c r="AK1931" i="3"/>
  <c r="AK1932" i="3"/>
  <c r="AK1933" i="3"/>
  <c r="AK1934" i="3"/>
  <c r="M107" i="10"/>
  <c r="M1913" i="3"/>
  <c r="M1914" i="3"/>
  <c r="M1915" i="3"/>
  <c r="M1916" i="3"/>
  <c r="M1917" i="3"/>
  <c r="M1918" i="3"/>
  <c r="M1919" i="3"/>
  <c r="M1920" i="3"/>
  <c r="M1921" i="3"/>
  <c r="M1922" i="3"/>
  <c r="M1923" i="3"/>
  <c r="P1913" i="3"/>
  <c r="P1914" i="3"/>
  <c r="P1915" i="3"/>
  <c r="P1916" i="3"/>
  <c r="P1917" i="3"/>
  <c r="P1918" i="3"/>
  <c r="P1919" i="3"/>
  <c r="P1920" i="3"/>
  <c r="P1921" i="3"/>
  <c r="P1922" i="3"/>
  <c r="P1923" i="3"/>
  <c r="Q1913" i="3"/>
  <c r="Q1914" i="3"/>
  <c r="Q1915" i="3"/>
  <c r="Q1916" i="3"/>
  <c r="Q1917" i="3"/>
  <c r="Q1918" i="3"/>
  <c r="Q1919" i="3"/>
  <c r="Q1920" i="3"/>
  <c r="Q1921" i="3"/>
  <c r="Q1922" i="3"/>
  <c r="Q1923" i="3"/>
  <c r="R1913" i="3"/>
  <c r="R1914" i="3"/>
  <c r="R1915" i="3"/>
  <c r="R1916" i="3"/>
  <c r="R1917" i="3"/>
  <c r="R1918" i="3"/>
  <c r="R1919" i="3"/>
  <c r="R1920" i="3"/>
  <c r="R1921" i="3"/>
  <c r="R1922" i="3"/>
  <c r="R1923" i="3"/>
  <c r="S1914" i="3"/>
  <c r="S1915" i="3"/>
  <c r="S1916" i="3"/>
  <c r="S1917" i="3"/>
  <c r="S1918" i="3"/>
  <c r="S1919" i="3"/>
  <c r="S1920" i="3"/>
  <c r="S1921" i="3"/>
  <c r="S1922" i="3"/>
  <c r="S1923" i="3"/>
  <c r="T1913" i="3"/>
  <c r="U1913" i="3"/>
  <c r="V1913" i="3"/>
  <c r="W1913" i="3"/>
  <c r="X1913" i="3"/>
  <c r="AA1913" i="3"/>
  <c r="AA1914" i="3"/>
  <c r="AA1915" i="3"/>
  <c r="AA1916" i="3"/>
  <c r="AA1917" i="3"/>
  <c r="AA1918" i="3"/>
  <c r="AA1919" i="3"/>
  <c r="AA1920" i="3"/>
  <c r="AA1921" i="3"/>
  <c r="AA1922" i="3"/>
  <c r="AA1923" i="3"/>
  <c r="AB1913" i="3"/>
  <c r="O1913" i="3" s="1"/>
  <c r="Y1913" i="3" s="1"/>
  <c r="AB1914" i="3"/>
  <c r="O1914" i="3" s="1"/>
  <c r="AB1915" i="3"/>
  <c r="O1915" i="3" s="1"/>
  <c r="AB1916" i="3"/>
  <c r="O1916" i="3" s="1"/>
  <c r="AB1917" i="3"/>
  <c r="O1917" i="3" s="1"/>
  <c r="AB1918" i="3"/>
  <c r="O1918" i="3" s="1"/>
  <c r="AB1919" i="3"/>
  <c r="O1919" i="3" s="1"/>
  <c r="AB1920" i="3"/>
  <c r="O1920" i="3" s="1"/>
  <c r="AB1921" i="3"/>
  <c r="O1921" i="3" s="1"/>
  <c r="AB1922" i="3"/>
  <c r="O1922" i="3" s="1"/>
  <c r="AB1923" i="3"/>
  <c r="O1923" i="3" s="1"/>
  <c r="AC1913" i="3"/>
  <c r="N1913" i="3" s="1"/>
  <c r="AC1914" i="3"/>
  <c r="N1914" i="3" s="1"/>
  <c r="AC1915" i="3"/>
  <c r="N1915" i="3" s="1"/>
  <c r="AC1916" i="3"/>
  <c r="N1916" i="3" s="1"/>
  <c r="AC1917" i="3"/>
  <c r="N1917" i="3" s="1"/>
  <c r="AC1918" i="3"/>
  <c r="N1918" i="3" s="1"/>
  <c r="AC1919" i="3"/>
  <c r="N1919" i="3" s="1"/>
  <c r="AC1920" i="3"/>
  <c r="N1920" i="3" s="1"/>
  <c r="AC1921" i="3"/>
  <c r="N1921" i="3" s="1"/>
  <c r="AC1922" i="3"/>
  <c r="N1922" i="3" s="1"/>
  <c r="AC1923" i="3"/>
  <c r="N1923" i="3" s="1"/>
  <c r="AK1913" i="3"/>
  <c r="AK1914" i="3"/>
  <c r="AK1915" i="3"/>
  <c r="AK1916" i="3"/>
  <c r="AK1917" i="3"/>
  <c r="AK1918" i="3"/>
  <c r="AK1919" i="3"/>
  <c r="AK1920" i="3"/>
  <c r="AK1921" i="3"/>
  <c r="AK1922" i="3"/>
  <c r="AK1923" i="3"/>
  <c r="M106" i="10"/>
  <c r="M1902" i="3"/>
  <c r="M1903" i="3"/>
  <c r="M1904" i="3"/>
  <c r="M1905" i="3"/>
  <c r="M1906" i="3"/>
  <c r="M1907" i="3"/>
  <c r="M1908" i="3"/>
  <c r="M1909" i="3"/>
  <c r="M1910" i="3"/>
  <c r="M1911" i="3"/>
  <c r="M1912" i="3"/>
  <c r="P1902" i="3"/>
  <c r="P1903" i="3"/>
  <c r="P1904" i="3"/>
  <c r="P1905" i="3"/>
  <c r="P1906" i="3"/>
  <c r="P1907" i="3"/>
  <c r="P1908" i="3"/>
  <c r="P1909" i="3"/>
  <c r="P1910" i="3"/>
  <c r="P1911" i="3"/>
  <c r="P1912" i="3"/>
  <c r="Q1902" i="3"/>
  <c r="Q1903" i="3"/>
  <c r="Q1904" i="3"/>
  <c r="Q1905" i="3"/>
  <c r="Q1906" i="3"/>
  <c r="Q1907" i="3"/>
  <c r="Q1908" i="3"/>
  <c r="Q1909" i="3"/>
  <c r="Q1910" i="3"/>
  <c r="Q1911" i="3"/>
  <c r="Q1912" i="3"/>
  <c r="R1902" i="3"/>
  <c r="R1903" i="3"/>
  <c r="R1904" i="3"/>
  <c r="R1905" i="3"/>
  <c r="R1906" i="3"/>
  <c r="R1907" i="3"/>
  <c r="R1908" i="3"/>
  <c r="R1909" i="3"/>
  <c r="R1910" i="3"/>
  <c r="R1911" i="3"/>
  <c r="R1912" i="3"/>
  <c r="S1903" i="3"/>
  <c r="S1904" i="3"/>
  <c r="S1905" i="3"/>
  <c r="S1906" i="3"/>
  <c r="S1907" i="3"/>
  <c r="S1908" i="3"/>
  <c r="S1909" i="3"/>
  <c r="S1910" i="3"/>
  <c r="S1911" i="3"/>
  <c r="S1912" i="3"/>
  <c r="T1902" i="3"/>
  <c r="U1902" i="3"/>
  <c r="V1902" i="3"/>
  <c r="W1902" i="3"/>
  <c r="X1902" i="3"/>
  <c r="AA1902" i="3"/>
  <c r="AA1903" i="3"/>
  <c r="AA1904" i="3"/>
  <c r="AA1905" i="3"/>
  <c r="AA1906" i="3"/>
  <c r="AA1907" i="3"/>
  <c r="AA1908" i="3"/>
  <c r="AA1909" i="3"/>
  <c r="AA1910" i="3"/>
  <c r="AA1911" i="3"/>
  <c r="AA1912" i="3"/>
  <c r="AB1902" i="3"/>
  <c r="O1902" i="3" s="1"/>
  <c r="Y1902" i="3" s="1"/>
  <c r="AB1903" i="3"/>
  <c r="O1903" i="3" s="1"/>
  <c r="AB1904" i="3"/>
  <c r="O1904" i="3" s="1"/>
  <c r="AB1905" i="3"/>
  <c r="O1905" i="3" s="1"/>
  <c r="AB1906" i="3"/>
  <c r="O1906" i="3" s="1"/>
  <c r="AB1907" i="3"/>
  <c r="O1907" i="3" s="1"/>
  <c r="AB1908" i="3"/>
  <c r="O1908" i="3" s="1"/>
  <c r="AB1909" i="3"/>
  <c r="O1909" i="3" s="1"/>
  <c r="AB1910" i="3"/>
  <c r="O1910" i="3" s="1"/>
  <c r="AB1911" i="3"/>
  <c r="O1911" i="3" s="1"/>
  <c r="AB1912" i="3"/>
  <c r="O1912" i="3" s="1"/>
  <c r="AC1902" i="3"/>
  <c r="N1902" i="3" s="1"/>
  <c r="AC1903" i="3"/>
  <c r="N1903" i="3" s="1"/>
  <c r="AC1904" i="3"/>
  <c r="N1904" i="3" s="1"/>
  <c r="AC1905" i="3"/>
  <c r="N1905" i="3" s="1"/>
  <c r="AC1906" i="3"/>
  <c r="N1906" i="3" s="1"/>
  <c r="AC1907" i="3"/>
  <c r="N1907" i="3" s="1"/>
  <c r="AC1908" i="3"/>
  <c r="N1908" i="3" s="1"/>
  <c r="AC1909" i="3"/>
  <c r="N1909" i="3" s="1"/>
  <c r="AC1910" i="3"/>
  <c r="N1910" i="3" s="1"/>
  <c r="AC1911" i="3"/>
  <c r="N1911" i="3" s="1"/>
  <c r="AC1912" i="3"/>
  <c r="N1912" i="3" s="1"/>
  <c r="AK1902" i="3"/>
  <c r="AK1903" i="3"/>
  <c r="AK1904" i="3"/>
  <c r="AK1905" i="3"/>
  <c r="AK1906" i="3"/>
  <c r="AK1907" i="3"/>
  <c r="AK1908" i="3"/>
  <c r="AK1909" i="3"/>
  <c r="AK1910" i="3"/>
  <c r="AK1911" i="3"/>
  <c r="AK1912" i="3"/>
  <c r="M105" i="10"/>
  <c r="S2042" i="3" l="1"/>
  <c r="Z2042" i="3" s="1"/>
  <c r="U2052" i="3"/>
  <c r="W2052" i="3"/>
  <c r="Y2052" i="3"/>
  <c r="T2052" i="3"/>
  <c r="V2052" i="3"/>
  <c r="X2052" i="3"/>
  <c r="U2050" i="3"/>
  <c r="W2050" i="3"/>
  <c r="Y2050" i="3"/>
  <c r="T2050" i="3"/>
  <c r="V2050" i="3"/>
  <c r="X2050" i="3"/>
  <c r="U2048" i="3"/>
  <c r="W2048" i="3"/>
  <c r="Y2048" i="3"/>
  <c r="T2048" i="3"/>
  <c r="V2048" i="3"/>
  <c r="X2048" i="3"/>
  <c r="U2046" i="3"/>
  <c r="W2046" i="3"/>
  <c r="Y2046" i="3"/>
  <c r="T2046" i="3"/>
  <c r="V2046" i="3"/>
  <c r="X2046" i="3"/>
  <c r="U2044" i="3"/>
  <c r="W2044" i="3"/>
  <c r="Y2044" i="3"/>
  <c r="T2044" i="3"/>
  <c r="V2044" i="3"/>
  <c r="X2044" i="3"/>
  <c r="T2051" i="3"/>
  <c r="V2051" i="3"/>
  <c r="X2051" i="3"/>
  <c r="U2051" i="3"/>
  <c r="W2051" i="3"/>
  <c r="Y2051" i="3"/>
  <c r="T2049" i="3"/>
  <c r="V2049" i="3"/>
  <c r="X2049" i="3"/>
  <c r="U2049" i="3"/>
  <c r="W2049" i="3"/>
  <c r="Y2049" i="3"/>
  <c r="T2047" i="3"/>
  <c r="V2047" i="3"/>
  <c r="X2047" i="3"/>
  <c r="U2047" i="3"/>
  <c r="W2047" i="3"/>
  <c r="Y2047" i="3"/>
  <c r="T2045" i="3"/>
  <c r="V2045" i="3"/>
  <c r="X2045" i="3"/>
  <c r="U2045" i="3"/>
  <c r="W2045" i="3"/>
  <c r="Y2045" i="3"/>
  <c r="T2043" i="3"/>
  <c r="V2043" i="3"/>
  <c r="X2043" i="3"/>
  <c r="U2043" i="3"/>
  <c r="W2043" i="3"/>
  <c r="Y2043" i="3"/>
  <c r="S2031" i="3"/>
  <c r="Z2031" i="3" s="1"/>
  <c r="Y2021" i="3"/>
  <c r="S2017" i="3"/>
  <c r="Z2017" i="3" s="1"/>
  <c r="X2040" i="3"/>
  <c r="X2036" i="3"/>
  <c r="T2040" i="3"/>
  <c r="V2040" i="3"/>
  <c r="U2040" i="3"/>
  <c r="W2040" i="3"/>
  <c r="T2038" i="3"/>
  <c r="V2038" i="3"/>
  <c r="U2038" i="3"/>
  <c r="W2038" i="3"/>
  <c r="T2036" i="3"/>
  <c r="V2036" i="3"/>
  <c r="U2036" i="3"/>
  <c r="W2036" i="3"/>
  <c r="T2034" i="3"/>
  <c r="V2034" i="3"/>
  <c r="U2034" i="3"/>
  <c r="W2034" i="3"/>
  <c r="T2032" i="3"/>
  <c r="V2032" i="3"/>
  <c r="X2032" i="3"/>
  <c r="U2032" i="3"/>
  <c r="W2032" i="3"/>
  <c r="T2030" i="3"/>
  <c r="V2030" i="3"/>
  <c r="X2030" i="3"/>
  <c r="U2030" i="3"/>
  <c r="W2030" i="3"/>
  <c r="T2028" i="3"/>
  <c r="V2028" i="3"/>
  <c r="X2028" i="3"/>
  <c r="U2028" i="3"/>
  <c r="W2028" i="3"/>
  <c r="T2026" i="3"/>
  <c r="V2026" i="3"/>
  <c r="X2026" i="3"/>
  <c r="U2026" i="3"/>
  <c r="W2026" i="3"/>
  <c r="T2024" i="3"/>
  <c r="V2024" i="3"/>
  <c r="X2024" i="3"/>
  <c r="U2024" i="3"/>
  <c r="W2024" i="3"/>
  <c r="T2022" i="3"/>
  <c r="V2022" i="3"/>
  <c r="X2022" i="3"/>
  <c r="U2022" i="3"/>
  <c r="W2022" i="3"/>
  <c r="Y2022" i="3"/>
  <c r="T2020" i="3"/>
  <c r="V2020" i="3"/>
  <c r="X2020" i="3"/>
  <c r="U2020" i="3"/>
  <c r="W2020" i="3"/>
  <c r="Y2020" i="3"/>
  <c r="T2018" i="3"/>
  <c r="V2018" i="3"/>
  <c r="X2018" i="3"/>
  <c r="U2018" i="3"/>
  <c r="W2018" i="3"/>
  <c r="Y2018" i="3"/>
  <c r="Y2040" i="3"/>
  <c r="Y2038" i="3"/>
  <c r="Y2036" i="3"/>
  <c r="Y2034" i="3"/>
  <c r="Y2032" i="3"/>
  <c r="Y2030" i="3"/>
  <c r="Y2028" i="3"/>
  <c r="Y2026" i="3"/>
  <c r="Y2024" i="3"/>
  <c r="X2038" i="3"/>
  <c r="X2034" i="3"/>
  <c r="U2041" i="3"/>
  <c r="W2041" i="3"/>
  <c r="T2041" i="3"/>
  <c r="V2041" i="3"/>
  <c r="X2041" i="3"/>
  <c r="U2039" i="3"/>
  <c r="W2039" i="3"/>
  <c r="T2039" i="3"/>
  <c r="V2039" i="3"/>
  <c r="X2039" i="3"/>
  <c r="U2037" i="3"/>
  <c r="W2037" i="3"/>
  <c r="T2037" i="3"/>
  <c r="V2037" i="3"/>
  <c r="X2037" i="3"/>
  <c r="U2035" i="3"/>
  <c r="W2035" i="3"/>
  <c r="T2035" i="3"/>
  <c r="V2035" i="3"/>
  <c r="X2035" i="3"/>
  <c r="U2033" i="3"/>
  <c r="W2033" i="3"/>
  <c r="T2033" i="3"/>
  <c r="V2033" i="3"/>
  <c r="X2033" i="3"/>
  <c r="U2029" i="3"/>
  <c r="W2029" i="3"/>
  <c r="T2029" i="3"/>
  <c r="V2029" i="3"/>
  <c r="X2029" i="3"/>
  <c r="U2027" i="3"/>
  <c r="W2027" i="3"/>
  <c r="T2027" i="3"/>
  <c r="V2027" i="3"/>
  <c r="X2027" i="3"/>
  <c r="U2025" i="3"/>
  <c r="W2025" i="3"/>
  <c r="T2025" i="3"/>
  <c r="V2025" i="3"/>
  <c r="X2025" i="3"/>
  <c r="U2023" i="3"/>
  <c r="W2023" i="3"/>
  <c r="T2023" i="3"/>
  <c r="V2023" i="3"/>
  <c r="X2023" i="3"/>
  <c r="U2021" i="3"/>
  <c r="W2021" i="3"/>
  <c r="T2021" i="3"/>
  <c r="V2021" i="3"/>
  <c r="X2021" i="3"/>
  <c r="U2019" i="3"/>
  <c r="W2019" i="3"/>
  <c r="T2019" i="3"/>
  <c r="V2019" i="3"/>
  <c r="X2019" i="3"/>
  <c r="Y2041" i="3"/>
  <c r="Y2039" i="3"/>
  <c r="Y2037" i="3"/>
  <c r="Y2035" i="3"/>
  <c r="Y2033" i="3"/>
  <c r="Y2029" i="3"/>
  <c r="Y2027" i="3"/>
  <c r="Y2025" i="3"/>
  <c r="Y2023" i="3"/>
  <c r="Y2019" i="3"/>
  <c r="S2006" i="3"/>
  <c r="Z2006" i="3" s="1"/>
  <c r="S1994" i="3"/>
  <c r="Z1994" i="3" s="1"/>
  <c r="W2015" i="3"/>
  <c r="U2013" i="3"/>
  <c r="W2011" i="3"/>
  <c r="U2009" i="3"/>
  <c r="W2007" i="3"/>
  <c r="U2003" i="3"/>
  <c r="U1999" i="3"/>
  <c r="U2016" i="3"/>
  <c r="W2016" i="3"/>
  <c r="V2016" i="3"/>
  <c r="T2016" i="3"/>
  <c r="X2016" i="3"/>
  <c r="Y2016" i="3"/>
  <c r="U2014" i="3"/>
  <c r="W2014" i="3"/>
  <c r="T2014" i="3"/>
  <c r="X2014" i="3"/>
  <c r="V2014" i="3"/>
  <c r="Y2014" i="3"/>
  <c r="U2012" i="3"/>
  <c r="W2012" i="3"/>
  <c r="V2012" i="3"/>
  <c r="T2012" i="3"/>
  <c r="X2012" i="3"/>
  <c r="Y2012" i="3"/>
  <c r="U2010" i="3"/>
  <c r="W2010" i="3"/>
  <c r="T2010" i="3"/>
  <c r="X2010" i="3"/>
  <c r="V2010" i="3"/>
  <c r="Y2010" i="3"/>
  <c r="U2008" i="3"/>
  <c r="W2008" i="3"/>
  <c r="V2008" i="3"/>
  <c r="T2008" i="3"/>
  <c r="X2008" i="3"/>
  <c r="Y2008" i="3"/>
  <c r="U2004" i="3"/>
  <c r="W2004" i="3"/>
  <c r="Y2004" i="3"/>
  <c r="V2004" i="3"/>
  <c r="T2004" i="3"/>
  <c r="X2004" i="3"/>
  <c r="U2002" i="3"/>
  <c r="W2002" i="3"/>
  <c r="Y2002" i="3"/>
  <c r="T2002" i="3"/>
  <c r="X2002" i="3"/>
  <c r="V2002" i="3"/>
  <c r="U2000" i="3"/>
  <c r="W2000" i="3"/>
  <c r="Y2000" i="3"/>
  <c r="V2000" i="3"/>
  <c r="T2000" i="3"/>
  <c r="X2000" i="3"/>
  <c r="U1998" i="3"/>
  <c r="W1998" i="3"/>
  <c r="Y1998" i="3"/>
  <c r="T1998" i="3"/>
  <c r="X1998" i="3"/>
  <c r="V1998" i="3"/>
  <c r="U1996" i="3"/>
  <c r="W1996" i="3"/>
  <c r="Y1996" i="3"/>
  <c r="V1996" i="3"/>
  <c r="T1996" i="3"/>
  <c r="X1996" i="3"/>
  <c r="W2005" i="3"/>
  <c r="Y2005" i="3"/>
  <c r="W2001" i="3"/>
  <c r="Y2001" i="3"/>
  <c r="W1997" i="3"/>
  <c r="Y1997" i="3"/>
  <c r="T1995" i="3"/>
  <c r="V1995" i="3"/>
  <c r="X1995" i="3"/>
  <c r="U1995" i="3"/>
  <c r="T2015" i="3"/>
  <c r="V2015" i="3"/>
  <c r="X2015" i="3"/>
  <c r="T2013" i="3"/>
  <c r="V2013" i="3"/>
  <c r="X2013" i="3"/>
  <c r="T2011" i="3"/>
  <c r="V2011" i="3"/>
  <c r="X2011" i="3"/>
  <c r="T2009" i="3"/>
  <c r="V2009" i="3"/>
  <c r="X2009" i="3"/>
  <c r="T2007" i="3"/>
  <c r="V2007" i="3"/>
  <c r="X2007" i="3"/>
  <c r="T2005" i="3"/>
  <c r="V2005" i="3"/>
  <c r="X2005" i="3"/>
  <c r="T2003" i="3"/>
  <c r="V2003" i="3"/>
  <c r="X2003" i="3"/>
  <c r="T2001" i="3"/>
  <c r="V2001" i="3"/>
  <c r="X2001" i="3"/>
  <c r="T1999" i="3"/>
  <c r="V1999" i="3"/>
  <c r="X1999" i="3"/>
  <c r="T1997" i="3"/>
  <c r="V1997" i="3"/>
  <c r="X1997" i="3"/>
  <c r="Y2015" i="3"/>
  <c r="Y2013" i="3"/>
  <c r="Y2011" i="3"/>
  <c r="Y2009" i="3"/>
  <c r="Y2007" i="3"/>
  <c r="Y2003" i="3"/>
  <c r="Y1999" i="3"/>
  <c r="Y1995" i="3"/>
  <c r="W2013" i="3"/>
  <c r="W2009" i="3"/>
  <c r="W2003" i="3"/>
  <c r="W1999" i="3"/>
  <c r="W1995" i="3"/>
  <c r="U2015" i="3"/>
  <c r="U2011" i="3"/>
  <c r="U2007" i="3"/>
  <c r="U2005" i="3"/>
  <c r="U2001" i="3"/>
  <c r="U1997" i="3"/>
  <c r="S1946" i="3"/>
  <c r="Z1946" i="3" s="1"/>
  <c r="S1983" i="3"/>
  <c r="Z1983" i="3" s="1"/>
  <c r="S1971" i="3"/>
  <c r="Z1971" i="3" s="1"/>
  <c r="U1993" i="3"/>
  <c r="W1993" i="3"/>
  <c r="T1993" i="3"/>
  <c r="V1993" i="3"/>
  <c r="X1993" i="3"/>
  <c r="U1991" i="3"/>
  <c r="W1991" i="3"/>
  <c r="T1991" i="3"/>
  <c r="V1991" i="3"/>
  <c r="X1991" i="3"/>
  <c r="U1989" i="3"/>
  <c r="W1989" i="3"/>
  <c r="T1989" i="3"/>
  <c r="V1989" i="3"/>
  <c r="X1989" i="3"/>
  <c r="U1987" i="3"/>
  <c r="W1987" i="3"/>
  <c r="T1987" i="3"/>
  <c r="V1987" i="3"/>
  <c r="X1987" i="3"/>
  <c r="U1985" i="3"/>
  <c r="W1985" i="3"/>
  <c r="T1985" i="3"/>
  <c r="V1985" i="3"/>
  <c r="X1985" i="3"/>
  <c r="U1981" i="3"/>
  <c r="W1981" i="3"/>
  <c r="Y1981" i="3"/>
  <c r="T1981" i="3"/>
  <c r="V1981" i="3"/>
  <c r="X1981" i="3"/>
  <c r="U1979" i="3"/>
  <c r="W1979" i="3"/>
  <c r="Y1979" i="3"/>
  <c r="T1979" i="3"/>
  <c r="V1979" i="3"/>
  <c r="X1979" i="3"/>
  <c r="U1977" i="3"/>
  <c r="W1977" i="3"/>
  <c r="Y1977" i="3"/>
  <c r="T1977" i="3"/>
  <c r="V1977" i="3"/>
  <c r="X1977" i="3"/>
  <c r="U1975" i="3"/>
  <c r="W1975" i="3"/>
  <c r="Y1975" i="3"/>
  <c r="T1975" i="3"/>
  <c r="V1975" i="3"/>
  <c r="X1975" i="3"/>
  <c r="U1973" i="3"/>
  <c r="W1973" i="3"/>
  <c r="Y1973" i="3"/>
  <c r="T1973" i="3"/>
  <c r="V1973" i="3"/>
  <c r="X1973" i="3"/>
  <c r="Y1993" i="3"/>
  <c r="Y1991" i="3"/>
  <c r="Y1989" i="3"/>
  <c r="Y1987" i="3"/>
  <c r="Y1985" i="3"/>
  <c r="T1992" i="3"/>
  <c r="V1992" i="3"/>
  <c r="X1992" i="3"/>
  <c r="U1992" i="3"/>
  <c r="W1992" i="3"/>
  <c r="T1990" i="3"/>
  <c r="V1990" i="3"/>
  <c r="X1990" i="3"/>
  <c r="U1990" i="3"/>
  <c r="W1990" i="3"/>
  <c r="T1988" i="3"/>
  <c r="V1988" i="3"/>
  <c r="X1988" i="3"/>
  <c r="U1988" i="3"/>
  <c r="W1988" i="3"/>
  <c r="T1986" i="3"/>
  <c r="V1986" i="3"/>
  <c r="X1986" i="3"/>
  <c r="U1986" i="3"/>
  <c r="W1986" i="3"/>
  <c r="T1984" i="3"/>
  <c r="V1984" i="3"/>
  <c r="X1984" i="3"/>
  <c r="U1984" i="3"/>
  <c r="W1984" i="3"/>
  <c r="Y1984" i="3"/>
  <c r="T1982" i="3"/>
  <c r="V1982" i="3"/>
  <c r="X1982" i="3"/>
  <c r="U1982" i="3"/>
  <c r="W1982" i="3"/>
  <c r="Y1982" i="3"/>
  <c r="T1980" i="3"/>
  <c r="V1980" i="3"/>
  <c r="X1980" i="3"/>
  <c r="U1980" i="3"/>
  <c r="W1980" i="3"/>
  <c r="Y1980" i="3"/>
  <c r="T1978" i="3"/>
  <c r="V1978" i="3"/>
  <c r="X1978" i="3"/>
  <c r="U1978" i="3"/>
  <c r="W1978" i="3"/>
  <c r="Y1978" i="3"/>
  <c r="T1976" i="3"/>
  <c r="V1976" i="3"/>
  <c r="X1976" i="3"/>
  <c r="U1976" i="3"/>
  <c r="W1976" i="3"/>
  <c r="Y1976" i="3"/>
  <c r="T1974" i="3"/>
  <c r="V1974" i="3"/>
  <c r="X1974" i="3"/>
  <c r="U1974" i="3"/>
  <c r="W1974" i="3"/>
  <c r="Y1974" i="3"/>
  <c r="T1972" i="3"/>
  <c r="V1972" i="3"/>
  <c r="X1972" i="3"/>
  <c r="U1972" i="3"/>
  <c r="W1972" i="3"/>
  <c r="Y1972" i="3"/>
  <c r="Y1992" i="3"/>
  <c r="Y1990" i="3"/>
  <c r="Y1988" i="3"/>
  <c r="Y1986" i="3"/>
  <c r="S1957" i="3"/>
  <c r="Z1957" i="3" s="1"/>
  <c r="T1969" i="3"/>
  <c r="V1969" i="3"/>
  <c r="X1969" i="3"/>
  <c r="U1969" i="3"/>
  <c r="W1969" i="3"/>
  <c r="T1967" i="3"/>
  <c r="V1967" i="3"/>
  <c r="X1967" i="3"/>
  <c r="U1967" i="3"/>
  <c r="W1967" i="3"/>
  <c r="T1965" i="3"/>
  <c r="V1965" i="3"/>
  <c r="X1965" i="3"/>
  <c r="U1965" i="3"/>
  <c r="W1965" i="3"/>
  <c r="T1963" i="3"/>
  <c r="V1963" i="3"/>
  <c r="X1963" i="3"/>
  <c r="U1963" i="3"/>
  <c r="W1963" i="3"/>
  <c r="T1961" i="3"/>
  <c r="V1961" i="3"/>
  <c r="X1961" i="3"/>
  <c r="U1961" i="3"/>
  <c r="W1961" i="3"/>
  <c r="T1959" i="3"/>
  <c r="V1959" i="3"/>
  <c r="X1959" i="3"/>
  <c r="U1959" i="3"/>
  <c r="W1959" i="3"/>
  <c r="T1955" i="3"/>
  <c r="V1955" i="3"/>
  <c r="X1955" i="3"/>
  <c r="U1955" i="3"/>
  <c r="W1955" i="3"/>
  <c r="T1953" i="3"/>
  <c r="V1953" i="3"/>
  <c r="X1953" i="3"/>
  <c r="U1953" i="3"/>
  <c r="W1953" i="3"/>
  <c r="T1951" i="3"/>
  <c r="V1951" i="3"/>
  <c r="X1951" i="3"/>
  <c r="U1951" i="3"/>
  <c r="W1951" i="3"/>
  <c r="T1949" i="3"/>
  <c r="V1949" i="3"/>
  <c r="X1949" i="3"/>
  <c r="U1949" i="3"/>
  <c r="W1949" i="3"/>
  <c r="T1947" i="3"/>
  <c r="V1947" i="3"/>
  <c r="X1947" i="3"/>
  <c r="U1947" i="3"/>
  <c r="W1947" i="3"/>
  <c r="Y1947" i="3"/>
  <c r="Y1969" i="3"/>
  <c r="Y1967" i="3"/>
  <c r="Y1965" i="3"/>
  <c r="Y1963" i="3"/>
  <c r="Y1961" i="3"/>
  <c r="Y1959" i="3"/>
  <c r="Y1955" i="3"/>
  <c r="Y1953" i="3"/>
  <c r="Y1951" i="3"/>
  <c r="Y1949" i="3"/>
  <c r="U1970" i="3"/>
  <c r="W1970" i="3"/>
  <c r="T1970" i="3"/>
  <c r="V1970" i="3"/>
  <c r="X1970" i="3"/>
  <c r="U1968" i="3"/>
  <c r="W1968" i="3"/>
  <c r="T1968" i="3"/>
  <c r="V1968" i="3"/>
  <c r="X1968" i="3"/>
  <c r="U1966" i="3"/>
  <c r="W1966" i="3"/>
  <c r="T1966" i="3"/>
  <c r="V1966" i="3"/>
  <c r="X1966" i="3"/>
  <c r="U1964" i="3"/>
  <c r="W1964" i="3"/>
  <c r="T1964" i="3"/>
  <c r="V1964" i="3"/>
  <c r="X1964" i="3"/>
  <c r="U1962" i="3"/>
  <c r="W1962" i="3"/>
  <c r="T1962" i="3"/>
  <c r="V1962" i="3"/>
  <c r="X1962" i="3"/>
  <c r="U1960" i="3"/>
  <c r="W1960" i="3"/>
  <c r="T1960" i="3"/>
  <c r="V1960" i="3"/>
  <c r="X1960" i="3"/>
  <c r="U1958" i="3"/>
  <c r="W1958" i="3"/>
  <c r="T1958" i="3"/>
  <c r="V1958" i="3"/>
  <c r="X1958" i="3"/>
  <c r="U1956" i="3"/>
  <c r="W1956" i="3"/>
  <c r="T1956" i="3"/>
  <c r="V1956" i="3"/>
  <c r="X1956" i="3"/>
  <c r="U1954" i="3"/>
  <c r="W1954" i="3"/>
  <c r="T1954" i="3"/>
  <c r="V1954" i="3"/>
  <c r="X1954" i="3"/>
  <c r="U1952" i="3"/>
  <c r="W1952" i="3"/>
  <c r="T1952" i="3"/>
  <c r="V1952" i="3"/>
  <c r="X1952" i="3"/>
  <c r="U1950" i="3"/>
  <c r="W1950" i="3"/>
  <c r="T1950" i="3"/>
  <c r="V1950" i="3"/>
  <c r="X1950" i="3"/>
  <c r="U1948" i="3"/>
  <c r="W1948" i="3"/>
  <c r="Y1948" i="3"/>
  <c r="T1948" i="3"/>
  <c r="V1948" i="3"/>
  <c r="X1948" i="3"/>
  <c r="Y1970" i="3"/>
  <c r="Y1968" i="3"/>
  <c r="Y1966" i="3"/>
  <c r="Y1964" i="3"/>
  <c r="Y1962" i="3"/>
  <c r="Y1960" i="3"/>
  <c r="Y1958" i="3"/>
  <c r="Y1956" i="3"/>
  <c r="Y1954" i="3"/>
  <c r="Y1952" i="3"/>
  <c r="Y1950" i="3"/>
  <c r="S1935" i="3"/>
  <c r="Z1935" i="3" s="1"/>
  <c r="U1945" i="3"/>
  <c r="W1945" i="3"/>
  <c r="Y1945" i="3"/>
  <c r="T1945" i="3"/>
  <c r="V1945" i="3"/>
  <c r="X1945" i="3"/>
  <c r="U1943" i="3"/>
  <c r="W1943" i="3"/>
  <c r="Y1943" i="3"/>
  <c r="T1943" i="3"/>
  <c r="V1943" i="3"/>
  <c r="X1943" i="3"/>
  <c r="U1941" i="3"/>
  <c r="W1941" i="3"/>
  <c r="Y1941" i="3"/>
  <c r="T1941" i="3"/>
  <c r="V1941" i="3"/>
  <c r="X1941" i="3"/>
  <c r="U1939" i="3"/>
  <c r="W1939" i="3"/>
  <c r="Y1939" i="3"/>
  <c r="T1939" i="3"/>
  <c r="V1939" i="3"/>
  <c r="X1939" i="3"/>
  <c r="U1937" i="3"/>
  <c r="W1937" i="3"/>
  <c r="Y1937" i="3"/>
  <c r="T1937" i="3"/>
  <c r="V1937" i="3"/>
  <c r="X1937" i="3"/>
  <c r="T1944" i="3"/>
  <c r="V1944" i="3"/>
  <c r="X1944" i="3"/>
  <c r="U1944" i="3"/>
  <c r="W1944" i="3"/>
  <c r="Y1944" i="3"/>
  <c r="T1942" i="3"/>
  <c r="V1942" i="3"/>
  <c r="X1942" i="3"/>
  <c r="U1942" i="3"/>
  <c r="W1942" i="3"/>
  <c r="Y1942" i="3"/>
  <c r="T1940" i="3"/>
  <c r="V1940" i="3"/>
  <c r="X1940" i="3"/>
  <c r="U1940" i="3"/>
  <c r="W1940" i="3"/>
  <c r="Y1940" i="3"/>
  <c r="T1938" i="3"/>
  <c r="V1938" i="3"/>
  <c r="X1938" i="3"/>
  <c r="U1938" i="3"/>
  <c r="W1938" i="3"/>
  <c r="Y1938" i="3"/>
  <c r="T1936" i="3"/>
  <c r="V1936" i="3"/>
  <c r="X1936" i="3"/>
  <c r="U1936" i="3"/>
  <c r="W1936" i="3"/>
  <c r="Y1936" i="3"/>
  <c r="U1933" i="3"/>
  <c r="W1933" i="3"/>
  <c r="Y1933" i="3"/>
  <c r="U1931" i="3"/>
  <c r="W1931" i="3"/>
  <c r="Y1931" i="3"/>
  <c r="U1929" i="3"/>
  <c r="W1929" i="3"/>
  <c r="Y1929" i="3"/>
  <c r="U1927" i="3"/>
  <c r="W1927" i="3"/>
  <c r="Y1927" i="3"/>
  <c r="U1925" i="3"/>
  <c r="W1925" i="3"/>
  <c r="Y1925" i="3"/>
  <c r="T1934" i="3"/>
  <c r="V1934" i="3"/>
  <c r="X1934" i="3"/>
  <c r="T1932" i="3"/>
  <c r="V1932" i="3"/>
  <c r="X1932" i="3"/>
  <c r="T1930" i="3"/>
  <c r="V1930" i="3"/>
  <c r="X1930" i="3"/>
  <c r="T1928" i="3"/>
  <c r="V1928" i="3"/>
  <c r="X1928" i="3"/>
  <c r="T1926" i="3"/>
  <c r="V1926" i="3"/>
  <c r="X1926" i="3"/>
  <c r="U1932" i="3"/>
  <c r="U1928" i="3"/>
  <c r="S1924" i="3"/>
  <c r="Z1924" i="3" s="1"/>
  <c r="T1933" i="3"/>
  <c r="T1931" i="3"/>
  <c r="T1929" i="3"/>
  <c r="T1927" i="3"/>
  <c r="T1925" i="3"/>
  <c r="U1934" i="3"/>
  <c r="U1930" i="3"/>
  <c r="U1926" i="3"/>
  <c r="Y1934" i="3"/>
  <c r="Y1932" i="3"/>
  <c r="Y1930" i="3"/>
  <c r="Y1928" i="3"/>
  <c r="Y1926" i="3"/>
  <c r="X1933" i="3"/>
  <c r="X1931" i="3"/>
  <c r="X1929" i="3"/>
  <c r="X1927" i="3"/>
  <c r="X1925" i="3"/>
  <c r="W1934" i="3"/>
  <c r="W1932" i="3"/>
  <c r="W1930" i="3"/>
  <c r="W1928" i="3"/>
  <c r="W1926" i="3"/>
  <c r="V1933" i="3"/>
  <c r="V1931" i="3"/>
  <c r="V1929" i="3"/>
  <c r="V1927" i="3"/>
  <c r="V1925" i="3"/>
  <c r="S1902" i="3"/>
  <c r="Z1902" i="3" s="1"/>
  <c r="T1922" i="3"/>
  <c r="V1922" i="3"/>
  <c r="X1922" i="3"/>
  <c r="U1922" i="3"/>
  <c r="W1922" i="3"/>
  <c r="Y1922" i="3"/>
  <c r="T1920" i="3"/>
  <c r="V1920" i="3"/>
  <c r="X1920" i="3"/>
  <c r="U1920" i="3"/>
  <c r="W1920" i="3"/>
  <c r="Y1920" i="3"/>
  <c r="T1918" i="3"/>
  <c r="V1918" i="3"/>
  <c r="X1918" i="3"/>
  <c r="U1918" i="3"/>
  <c r="W1918" i="3"/>
  <c r="Y1918" i="3"/>
  <c r="T1916" i="3"/>
  <c r="V1916" i="3"/>
  <c r="X1916" i="3"/>
  <c r="U1916" i="3"/>
  <c r="W1916" i="3"/>
  <c r="Y1916" i="3"/>
  <c r="T1914" i="3"/>
  <c r="V1914" i="3"/>
  <c r="X1914" i="3"/>
  <c r="U1914" i="3"/>
  <c r="W1914" i="3"/>
  <c r="Y1914" i="3"/>
  <c r="U1923" i="3"/>
  <c r="W1923" i="3"/>
  <c r="Y1923" i="3"/>
  <c r="T1923" i="3"/>
  <c r="V1923" i="3"/>
  <c r="X1923" i="3"/>
  <c r="U1921" i="3"/>
  <c r="W1921" i="3"/>
  <c r="Y1921" i="3"/>
  <c r="T1921" i="3"/>
  <c r="V1921" i="3"/>
  <c r="X1921" i="3"/>
  <c r="U1919" i="3"/>
  <c r="W1919" i="3"/>
  <c r="Y1919" i="3"/>
  <c r="T1919" i="3"/>
  <c r="V1919" i="3"/>
  <c r="X1919" i="3"/>
  <c r="U1917" i="3"/>
  <c r="W1917" i="3"/>
  <c r="Y1917" i="3"/>
  <c r="T1917" i="3"/>
  <c r="V1917" i="3"/>
  <c r="X1917" i="3"/>
  <c r="U1915" i="3"/>
  <c r="W1915" i="3"/>
  <c r="Y1915" i="3"/>
  <c r="T1915" i="3"/>
  <c r="V1915" i="3"/>
  <c r="X1915" i="3"/>
  <c r="S1913" i="3"/>
  <c r="Z1913" i="3" s="1"/>
  <c r="U1912" i="3"/>
  <c r="W1912" i="3"/>
  <c r="Y1912" i="3"/>
  <c r="T1912" i="3"/>
  <c r="V1912" i="3"/>
  <c r="X1912" i="3"/>
  <c r="U1908" i="3"/>
  <c r="W1908" i="3"/>
  <c r="Y1908" i="3"/>
  <c r="T1908" i="3"/>
  <c r="V1908" i="3"/>
  <c r="X1908" i="3"/>
  <c r="U1910" i="3"/>
  <c r="W1910" i="3"/>
  <c r="Y1910" i="3"/>
  <c r="T1910" i="3"/>
  <c r="V1910" i="3"/>
  <c r="X1910" i="3"/>
  <c r="U1906" i="3"/>
  <c r="W1906" i="3"/>
  <c r="Y1906" i="3"/>
  <c r="T1906" i="3"/>
  <c r="V1906" i="3"/>
  <c r="X1906" i="3"/>
  <c r="U1904" i="3"/>
  <c r="W1904" i="3"/>
  <c r="Y1904" i="3"/>
  <c r="T1904" i="3"/>
  <c r="V1904" i="3"/>
  <c r="X1904" i="3"/>
  <c r="T1911" i="3"/>
  <c r="V1911" i="3"/>
  <c r="X1911" i="3"/>
  <c r="U1911" i="3"/>
  <c r="W1911" i="3"/>
  <c r="Y1911" i="3"/>
  <c r="T1909" i="3"/>
  <c r="V1909" i="3"/>
  <c r="X1909" i="3"/>
  <c r="U1909" i="3"/>
  <c r="W1909" i="3"/>
  <c r="Y1909" i="3"/>
  <c r="T1907" i="3"/>
  <c r="V1907" i="3"/>
  <c r="X1907" i="3"/>
  <c r="U1907" i="3"/>
  <c r="W1907" i="3"/>
  <c r="Y1907" i="3"/>
  <c r="T1905" i="3"/>
  <c r="V1905" i="3"/>
  <c r="X1905" i="3"/>
  <c r="U1905" i="3"/>
  <c r="W1905" i="3"/>
  <c r="Y1905" i="3"/>
  <c r="T1903" i="3"/>
  <c r="V1903" i="3"/>
  <c r="X1903" i="3"/>
  <c r="U1903" i="3"/>
  <c r="W1903" i="3"/>
  <c r="Y1903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P1880" i="3"/>
  <c r="P1881" i="3"/>
  <c r="P1882" i="3"/>
  <c r="P1883" i="3"/>
  <c r="P1884" i="3"/>
  <c r="P1885" i="3"/>
  <c r="P1886" i="3"/>
  <c r="P1887" i="3"/>
  <c r="P1888" i="3"/>
  <c r="P1889" i="3"/>
  <c r="P1890" i="3"/>
  <c r="P1891" i="3"/>
  <c r="P1892" i="3"/>
  <c r="P1893" i="3"/>
  <c r="P1894" i="3"/>
  <c r="P1895" i="3"/>
  <c r="P1896" i="3"/>
  <c r="P1897" i="3"/>
  <c r="P1898" i="3"/>
  <c r="P1899" i="3"/>
  <c r="P1900" i="3"/>
  <c r="P1901" i="3"/>
  <c r="Q1880" i="3"/>
  <c r="Q1881" i="3"/>
  <c r="Q1882" i="3"/>
  <c r="Q1883" i="3"/>
  <c r="Q1884" i="3"/>
  <c r="Q1885" i="3"/>
  <c r="Q1886" i="3"/>
  <c r="Q1887" i="3"/>
  <c r="Q1888" i="3"/>
  <c r="Q1889" i="3"/>
  <c r="Q1890" i="3"/>
  <c r="Q1891" i="3"/>
  <c r="Q1892" i="3"/>
  <c r="Q1893" i="3"/>
  <c r="Q1894" i="3"/>
  <c r="Q1895" i="3"/>
  <c r="Q1896" i="3"/>
  <c r="Q1897" i="3"/>
  <c r="Q1898" i="3"/>
  <c r="Q1899" i="3"/>
  <c r="Q1900" i="3"/>
  <c r="Q1901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S1881" i="3"/>
  <c r="S1882" i="3"/>
  <c r="S1883" i="3"/>
  <c r="S1884" i="3"/>
  <c r="S1885" i="3"/>
  <c r="S1886" i="3"/>
  <c r="S1887" i="3"/>
  <c r="S1888" i="3"/>
  <c r="S1889" i="3"/>
  <c r="S1890" i="3"/>
  <c r="S1892" i="3"/>
  <c r="S1893" i="3"/>
  <c r="S1894" i="3"/>
  <c r="S1895" i="3"/>
  <c r="S1896" i="3"/>
  <c r="S1897" i="3"/>
  <c r="S1898" i="3"/>
  <c r="S1899" i="3"/>
  <c r="S1900" i="3"/>
  <c r="S1901" i="3"/>
  <c r="T1880" i="3"/>
  <c r="T1891" i="3"/>
  <c r="U1880" i="3"/>
  <c r="U1891" i="3"/>
  <c r="V1880" i="3"/>
  <c r="V1891" i="3"/>
  <c r="W1880" i="3"/>
  <c r="W1891" i="3"/>
  <c r="X1880" i="3"/>
  <c r="X1891" i="3"/>
  <c r="AA1880" i="3"/>
  <c r="AA1881" i="3"/>
  <c r="AA1882" i="3"/>
  <c r="AA1883" i="3"/>
  <c r="AA1884" i="3"/>
  <c r="AA1885" i="3"/>
  <c r="AA1886" i="3"/>
  <c r="AA1887" i="3"/>
  <c r="AA1888" i="3"/>
  <c r="AA1889" i="3"/>
  <c r="AA1890" i="3"/>
  <c r="AA1891" i="3"/>
  <c r="AA1892" i="3"/>
  <c r="AA1893" i="3"/>
  <c r="AA1894" i="3"/>
  <c r="AA1895" i="3"/>
  <c r="AA1896" i="3"/>
  <c r="AA1897" i="3"/>
  <c r="AA1898" i="3"/>
  <c r="AA1899" i="3"/>
  <c r="AA1900" i="3"/>
  <c r="AA1901" i="3"/>
  <c r="AB1880" i="3"/>
  <c r="O1880" i="3" s="1"/>
  <c r="Y1880" i="3" s="1"/>
  <c r="AB1881" i="3"/>
  <c r="O1881" i="3" s="1"/>
  <c r="AB1882" i="3"/>
  <c r="O1882" i="3" s="1"/>
  <c r="AB1883" i="3"/>
  <c r="O1883" i="3" s="1"/>
  <c r="AB1884" i="3"/>
  <c r="O1884" i="3" s="1"/>
  <c r="AB1885" i="3"/>
  <c r="O1885" i="3" s="1"/>
  <c r="AB1886" i="3"/>
  <c r="O1886" i="3" s="1"/>
  <c r="AB1887" i="3"/>
  <c r="O1887" i="3" s="1"/>
  <c r="AB1888" i="3"/>
  <c r="O1888" i="3" s="1"/>
  <c r="AB1889" i="3"/>
  <c r="O1889" i="3" s="1"/>
  <c r="AB1890" i="3"/>
  <c r="O1890" i="3" s="1"/>
  <c r="AB1891" i="3"/>
  <c r="O1891" i="3" s="1"/>
  <c r="Y1891" i="3" s="1"/>
  <c r="AB1892" i="3"/>
  <c r="O1892" i="3" s="1"/>
  <c r="AB1893" i="3"/>
  <c r="O1893" i="3" s="1"/>
  <c r="AB1894" i="3"/>
  <c r="O1894" i="3" s="1"/>
  <c r="AB1895" i="3"/>
  <c r="O1895" i="3" s="1"/>
  <c r="AB1896" i="3"/>
  <c r="O1896" i="3" s="1"/>
  <c r="AB1897" i="3"/>
  <c r="O1897" i="3" s="1"/>
  <c r="AB1898" i="3"/>
  <c r="O1898" i="3" s="1"/>
  <c r="AB1899" i="3"/>
  <c r="O1899" i="3" s="1"/>
  <c r="AB1900" i="3"/>
  <c r="O1900" i="3" s="1"/>
  <c r="AB1901" i="3"/>
  <c r="O1901" i="3" s="1"/>
  <c r="AC1880" i="3"/>
  <c r="N1880" i="3" s="1"/>
  <c r="S1880" i="3" s="1"/>
  <c r="Z1880" i="3" s="1"/>
  <c r="AC1881" i="3"/>
  <c r="N1881" i="3" s="1"/>
  <c r="AC1882" i="3"/>
  <c r="N1882" i="3" s="1"/>
  <c r="AC1883" i="3"/>
  <c r="N1883" i="3" s="1"/>
  <c r="AC1884" i="3"/>
  <c r="N1884" i="3" s="1"/>
  <c r="AC1885" i="3"/>
  <c r="N1885" i="3" s="1"/>
  <c r="AC1886" i="3"/>
  <c r="N1886" i="3" s="1"/>
  <c r="AC1887" i="3"/>
  <c r="N1887" i="3" s="1"/>
  <c r="AC1888" i="3"/>
  <c r="N1888" i="3" s="1"/>
  <c r="AC1889" i="3"/>
  <c r="N1889" i="3" s="1"/>
  <c r="AC1890" i="3"/>
  <c r="N1890" i="3" s="1"/>
  <c r="AC1891" i="3"/>
  <c r="N1891" i="3" s="1"/>
  <c r="AC1892" i="3"/>
  <c r="N1892" i="3" s="1"/>
  <c r="AC1893" i="3"/>
  <c r="N1893" i="3" s="1"/>
  <c r="AC1894" i="3"/>
  <c r="N1894" i="3" s="1"/>
  <c r="AC1895" i="3"/>
  <c r="N1895" i="3" s="1"/>
  <c r="AC1896" i="3"/>
  <c r="N1896" i="3" s="1"/>
  <c r="AC1897" i="3"/>
  <c r="N1897" i="3" s="1"/>
  <c r="AC1898" i="3"/>
  <c r="N1898" i="3" s="1"/>
  <c r="AC1899" i="3"/>
  <c r="N1899" i="3" s="1"/>
  <c r="AC1900" i="3"/>
  <c r="N1900" i="3" s="1"/>
  <c r="AC1901" i="3"/>
  <c r="N1901" i="3" s="1"/>
  <c r="AK1880" i="3"/>
  <c r="AK1881" i="3"/>
  <c r="AK1882" i="3"/>
  <c r="AK1883" i="3"/>
  <c r="AK1884" i="3"/>
  <c r="AK1885" i="3"/>
  <c r="AK1886" i="3"/>
  <c r="AK1887" i="3"/>
  <c r="AK1888" i="3"/>
  <c r="AK1889" i="3"/>
  <c r="AK1890" i="3"/>
  <c r="AK1891" i="3"/>
  <c r="AK1892" i="3"/>
  <c r="AK1893" i="3"/>
  <c r="AK1894" i="3"/>
  <c r="AK1895" i="3"/>
  <c r="AK1896" i="3"/>
  <c r="AK1897" i="3"/>
  <c r="AK1898" i="3"/>
  <c r="AK1899" i="3"/>
  <c r="AK1900" i="3"/>
  <c r="AK1901" i="3"/>
  <c r="M1869" i="3"/>
  <c r="M1870" i="3"/>
  <c r="M1871" i="3"/>
  <c r="M1872" i="3"/>
  <c r="M1873" i="3"/>
  <c r="M1874" i="3"/>
  <c r="M1875" i="3"/>
  <c r="M1876" i="3"/>
  <c r="M1877" i="3"/>
  <c r="M1878" i="3"/>
  <c r="M1879" i="3"/>
  <c r="P1869" i="3"/>
  <c r="P1870" i="3"/>
  <c r="P1871" i="3"/>
  <c r="P1872" i="3"/>
  <c r="P1873" i="3"/>
  <c r="P1874" i="3"/>
  <c r="P1875" i="3"/>
  <c r="P1876" i="3"/>
  <c r="P1877" i="3"/>
  <c r="P1878" i="3"/>
  <c r="P1879" i="3"/>
  <c r="Q1869" i="3"/>
  <c r="Q1870" i="3"/>
  <c r="Q1871" i="3"/>
  <c r="Q1872" i="3"/>
  <c r="Q1873" i="3"/>
  <c r="Q1874" i="3"/>
  <c r="Q1875" i="3"/>
  <c r="Q1876" i="3"/>
  <c r="Q1877" i="3"/>
  <c r="Q1878" i="3"/>
  <c r="Q1879" i="3"/>
  <c r="R1869" i="3"/>
  <c r="R1870" i="3"/>
  <c r="R1871" i="3"/>
  <c r="R1872" i="3"/>
  <c r="R1873" i="3"/>
  <c r="R1874" i="3"/>
  <c r="R1875" i="3"/>
  <c r="R1876" i="3"/>
  <c r="R1877" i="3"/>
  <c r="R1878" i="3"/>
  <c r="R1879" i="3"/>
  <c r="S1870" i="3"/>
  <c r="S1871" i="3"/>
  <c r="S1872" i="3"/>
  <c r="S1873" i="3"/>
  <c r="S1874" i="3"/>
  <c r="S1875" i="3"/>
  <c r="S1876" i="3"/>
  <c r="S1877" i="3"/>
  <c r="S1878" i="3"/>
  <c r="S1879" i="3"/>
  <c r="T1869" i="3"/>
  <c r="U1869" i="3"/>
  <c r="V1869" i="3"/>
  <c r="W1869" i="3"/>
  <c r="X1869" i="3"/>
  <c r="AA1869" i="3"/>
  <c r="AA1870" i="3"/>
  <c r="AA1871" i="3"/>
  <c r="AA1872" i="3"/>
  <c r="AA1873" i="3"/>
  <c r="AA1874" i="3"/>
  <c r="AA1875" i="3"/>
  <c r="AA1876" i="3"/>
  <c r="AA1877" i="3"/>
  <c r="AA1878" i="3"/>
  <c r="AA1879" i="3"/>
  <c r="AB1869" i="3"/>
  <c r="O1869" i="3" s="1"/>
  <c r="AB1870" i="3"/>
  <c r="O1870" i="3" s="1"/>
  <c r="AB1871" i="3"/>
  <c r="O1871" i="3" s="1"/>
  <c r="AB1872" i="3"/>
  <c r="O1872" i="3" s="1"/>
  <c r="AB1873" i="3"/>
  <c r="O1873" i="3" s="1"/>
  <c r="AB1874" i="3"/>
  <c r="O1874" i="3" s="1"/>
  <c r="AB1875" i="3"/>
  <c r="O1875" i="3" s="1"/>
  <c r="AB1876" i="3"/>
  <c r="O1876" i="3" s="1"/>
  <c r="AB1877" i="3"/>
  <c r="O1877" i="3" s="1"/>
  <c r="AB1878" i="3"/>
  <c r="O1878" i="3" s="1"/>
  <c r="AB1879" i="3"/>
  <c r="O1879" i="3" s="1"/>
  <c r="AC1869" i="3"/>
  <c r="N1869" i="3" s="1"/>
  <c r="AC1870" i="3"/>
  <c r="N1870" i="3" s="1"/>
  <c r="AC1871" i="3"/>
  <c r="N1871" i="3" s="1"/>
  <c r="AC1872" i="3"/>
  <c r="N1872" i="3" s="1"/>
  <c r="AC1873" i="3"/>
  <c r="N1873" i="3" s="1"/>
  <c r="AC1874" i="3"/>
  <c r="N1874" i="3" s="1"/>
  <c r="AC1875" i="3"/>
  <c r="N1875" i="3" s="1"/>
  <c r="AC1876" i="3"/>
  <c r="N1876" i="3" s="1"/>
  <c r="AC1877" i="3"/>
  <c r="N1877" i="3" s="1"/>
  <c r="AC1878" i="3"/>
  <c r="N1878" i="3" s="1"/>
  <c r="AC1879" i="3"/>
  <c r="N1879" i="3" s="1"/>
  <c r="AK1869" i="3"/>
  <c r="AK1870" i="3"/>
  <c r="AK1871" i="3"/>
  <c r="AK1872" i="3"/>
  <c r="AK1873" i="3"/>
  <c r="AK1874" i="3"/>
  <c r="AK1875" i="3"/>
  <c r="AK1876" i="3"/>
  <c r="AK1877" i="3"/>
  <c r="AK1878" i="3"/>
  <c r="AK1879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P1843" i="3"/>
  <c r="P1844" i="3"/>
  <c r="P1845" i="3"/>
  <c r="P1846" i="3"/>
  <c r="P1847" i="3"/>
  <c r="P1848" i="3"/>
  <c r="P1849" i="3"/>
  <c r="P1850" i="3"/>
  <c r="P1851" i="3"/>
  <c r="P1852" i="3"/>
  <c r="P1853" i="3"/>
  <c r="P1854" i="3"/>
  <c r="P1855" i="3"/>
  <c r="P1856" i="3"/>
  <c r="P1857" i="3"/>
  <c r="P1858" i="3"/>
  <c r="P1859" i="3"/>
  <c r="P1860" i="3"/>
  <c r="P1861" i="3"/>
  <c r="P1862" i="3"/>
  <c r="P1863" i="3"/>
  <c r="P1864" i="3"/>
  <c r="P1865" i="3"/>
  <c r="P1866" i="3"/>
  <c r="P1867" i="3"/>
  <c r="P1868" i="3"/>
  <c r="Q1843" i="3"/>
  <c r="Q1844" i="3"/>
  <c r="Q1845" i="3"/>
  <c r="Q1846" i="3"/>
  <c r="Q1847" i="3"/>
  <c r="Q1848" i="3"/>
  <c r="Q1849" i="3"/>
  <c r="Q1850" i="3"/>
  <c r="Q1851" i="3"/>
  <c r="Q1852" i="3"/>
  <c r="Q1853" i="3"/>
  <c r="Q1854" i="3"/>
  <c r="Q1855" i="3"/>
  <c r="Q1856" i="3"/>
  <c r="Q1857" i="3"/>
  <c r="Q1858" i="3"/>
  <c r="Q1859" i="3"/>
  <c r="Q1860" i="3"/>
  <c r="Q1861" i="3"/>
  <c r="Q1862" i="3"/>
  <c r="Q1863" i="3"/>
  <c r="Q1864" i="3"/>
  <c r="Q1865" i="3"/>
  <c r="Q1866" i="3"/>
  <c r="Q1867" i="3"/>
  <c r="Q1868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8" i="3"/>
  <c r="S1859" i="3"/>
  <c r="S1860" i="3"/>
  <c r="S1861" i="3"/>
  <c r="S1862" i="3"/>
  <c r="S1863" i="3"/>
  <c r="S1864" i="3"/>
  <c r="S1865" i="3"/>
  <c r="S1866" i="3"/>
  <c r="S1867" i="3"/>
  <c r="S1868" i="3"/>
  <c r="T1843" i="3"/>
  <c r="T1857" i="3"/>
  <c r="U1843" i="3"/>
  <c r="U1857" i="3"/>
  <c r="V1843" i="3"/>
  <c r="V1857" i="3"/>
  <c r="W1843" i="3"/>
  <c r="W1857" i="3"/>
  <c r="X1843" i="3"/>
  <c r="X1857" i="3"/>
  <c r="AA1843" i="3"/>
  <c r="AA1844" i="3"/>
  <c r="AA1845" i="3"/>
  <c r="AA1846" i="3"/>
  <c r="AA1847" i="3"/>
  <c r="AA1848" i="3"/>
  <c r="AA1849" i="3"/>
  <c r="AA1850" i="3"/>
  <c r="AA1851" i="3"/>
  <c r="AA1852" i="3"/>
  <c r="AA1853" i="3"/>
  <c r="AA1854" i="3"/>
  <c r="AA1855" i="3"/>
  <c r="AA1856" i="3"/>
  <c r="AA1857" i="3"/>
  <c r="AA1858" i="3"/>
  <c r="AA1859" i="3"/>
  <c r="AA1860" i="3"/>
  <c r="AA1861" i="3"/>
  <c r="AA1862" i="3"/>
  <c r="AA1863" i="3"/>
  <c r="AA1864" i="3"/>
  <c r="AA1865" i="3"/>
  <c r="AA1866" i="3"/>
  <c r="AA1867" i="3"/>
  <c r="AA1868" i="3"/>
  <c r="AB1843" i="3"/>
  <c r="O1843" i="3" s="1"/>
  <c r="Y1843" i="3" s="1"/>
  <c r="AB1844" i="3"/>
  <c r="O1844" i="3" s="1"/>
  <c r="AB1845" i="3"/>
  <c r="O1845" i="3" s="1"/>
  <c r="AB1846" i="3"/>
  <c r="O1846" i="3" s="1"/>
  <c r="AB1847" i="3"/>
  <c r="O1847" i="3" s="1"/>
  <c r="AB1848" i="3"/>
  <c r="O1848" i="3" s="1"/>
  <c r="AB1849" i="3"/>
  <c r="O1849" i="3" s="1"/>
  <c r="AB1850" i="3"/>
  <c r="O1850" i="3" s="1"/>
  <c r="AB1851" i="3"/>
  <c r="O1851" i="3" s="1"/>
  <c r="AB1852" i="3"/>
  <c r="O1852" i="3" s="1"/>
  <c r="AB1853" i="3"/>
  <c r="O1853" i="3" s="1"/>
  <c r="AB1854" i="3"/>
  <c r="O1854" i="3" s="1"/>
  <c r="AB1855" i="3"/>
  <c r="O1855" i="3" s="1"/>
  <c r="AB1856" i="3"/>
  <c r="O1856" i="3" s="1"/>
  <c r="AB1857" i="3"/>
  <c r="O1857" i="3" s="1"/>
  <c r="Y1857" i="3" s="1"/>
  <c r="AB1858" i="3"/>
  <c r="O1858" i="3" s="1"/>
  <c r="AB1859" i="3"/>
  <c r="O1859" i="3" s="1"/>
  <c r="AB1860" i="3"/>
  <c r="O1860" i="3" s="1"/>
  <c r="AB1861" i="3"/>
  <c r="O1861" i="3" s="1"/>
  <c r="AB1862" i="3"/>
  <c r="O1862" i="3" s="1"/>
  <c r="AB1863" i="3"/>
  <c r="O1863" i="3" s="1"/>
  <c r="AB1864" i="3"/>
  <c r="O1864" i="3" s="1"/>
  <c r="AB1865" i="3"/>
  <c r="O1865" i="3" s="1"/>
  <c r="AB1866" i="3"/>
  <c r="O1866" i="3" s="1"/>
  <c r="AB1867" i="3"/>
  <c r="O1867" i="3" s="1"/>
  <c r="AB1868" i="3"/>
  <c r="O1868" i="3" s="1"/>
  <c r="AC1843" i="3"/>
  <c r="N1843" i="3" s="1"/>
  <c r="S1843" i="3" s="1"/>
  <c r="AC1844" i="3"/>
  <c r="N1844" i="3" s="1"/>
  <c r="AC1845" i="3"/>
  <c r="N1845" i="3" s="1"/>
  <c r="AC1846" i="3"/>
  <c r="N1846" i="3" s="1"/>
  <c r="AC1847" i="3"/>
  <c r="N1847" i="3" s="1"/>
  <c r="AC1848" i="3"/>
  <c r="N1848" i="3" s="1"/>
  <c r="AC1849" i="3"/>
  <c r="N1849" i="3" s="1"/>
  <c r="AC1850" i="3"/>
  <c r="N1850" i="3" s="1"/>
  <c r="AC1851" i="3"/>
  <c r="N1851" i="3" s="1"/>
  <c r="AC1852" i="3"/>
  <c r="N1852" i="3" s="1"/>
  <c r="AC1853" i="3"/>
  <c r="N1853" i="3" s="1"/>
  <c r="AC1854" i="3"/>
  <c r="N1854" i="3" s="1"/>
  <c r="AC1855" i="3"/>
  <c r="N1855" i="3" s="1"/>
  <c r="AC1856" i="3"/>
  <c r="N1856" i="3" s="1"/>
  <c r="AC1857" i="3"/>
  <c r="N1857" i="3" s="1"/>
  <c r="S1857" i="3" s="1"/>
  <c r="AC1858" i="3"/>
  <c r="N1858" i="3" s="1"/>
  <c r="AC1859" i="3"/>
  <c r="N1859" i="3" s="1"/>
  <c r="AC1860" i="3"/>
  <c r="N1860" i="3" s="1"/>
  <c r="AC1861" i="3"/>
  <c r="N1861" i="3" s="1"/>
  <c r="AC1862" i="3"/>
  <c r="N1862" i="3" s="1"/>
  <c r="AC1863" i="3"/>
  <c r="N1863" i="3" s="1"/>
  <c r="AC1864" i="3"/>
  <c r="N1864" i="3" s="1"/>
  <c r="AC1865" i="3"/>
  <c r="N1865" i="3" s="1"/>
  <c r="AC1866" i="3"/>
  <c r="N1866" i="3" s="1"/>
  <c r="AC1867" i="3"/>
  <c r="N1867" i="3" s="1"/>
  <c r="AC1868" i="3"/>
  <c r="N1868" i="3" s="1"/>
  <c r="AK1843" i="3"/>
  <c r="AK1844" i="3"/>
  <c r="AK1845" i="3"/>
  <c r="AK1846" i="3"/>
  <c r="AK1847" i="3"/>
  <c r="AK1848" i="3"/>
  <c r="AK1849" i="3"/>
  <c r="AK1850" i="3"/>
  <c r="AK1851" i="3"/>
  <c r="AK1852" i="3"/>
  <c r="AK1853" i="3"/>
  <c r="AK1854" i="3"/>
  <c r="AK1855" i="3"/>
  <c r="AK1856" i="3"/>
  <c r="AK1857" i="3"/>
  <c r="AK1858" i="3"/>
  <c r="AK1859" i="3"/>
  <c r="AK1860" i="3"/>
  <c r="AK1861" i="3"/>
  <c r="AK1862" i="3"/>
  <c r="AK1863" i="3"/>
  <c r="AK1864" i="3"/>
  <c r="AK1865" i="3"/>
  <c r="AK1866" i="3"/>
  <c r="AK1867" i="3"/>
  <c r="AK1868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P1818" i="3"/>
  <c r="P1819" i="3"/>
  <c r="P1820" i="3"/>
  <c r="P1821" i="3"/>
  <c r="P1822" i="3"/>
  <c r="P1823" i="3"/>
  <c r="P1824" i="3"/>
  <c r="P1825" i="3"/>
  <c r="P1826" i="3"/>
  <c r="P1827" i="3"/>
  <c r="P1828" i="3"/>
  <c r="P1829" i="3"/>
  <c r="P1830" i="3"/>
  <c r="P1831" i="3"/>
  <c r="P1832" i="3"/>
  <c r="P1833" i="3"/>
  <c r="P1834" i="3"/>
  <c r="P1835" i="3"/>
  <c r="P1836" i="3"/>
  <c r="P1837" i="3"/>
  <c r="P1838" i="3"/>
  <c r="P1839" i="3"/>
  <c r="P1840" i="3"/>
  <c r="P1841" i="3"/>
  <c r="P1842" i="3"/>
  <c r="Q1818" i="3"/>
  <c r="Q1819" i="3"/>
  <c r="Q1820" i="3"/>
  <c r="Q1821" i="3"/>
  <c r="Q1822" i="3"/>
  <c r="Q1823" i="3"/>
  <c r="Q1824" i="3"/>
  <c r="Q1825" i="3"/>
  <c r="Q1826" i="3"/>
  <c r="Q1827" i="3"/>
  <c r="Q1828" i="3"/>
  <c r="Q1829" i="3"/>
  <c r="Q1830" i="3"/>
  <c r="Q1831" i="3"/>
  <c r="Q1832" i="3"/>
  <c r="Q1833" i="3"/>
  <c r="Q1834" i="3"/>
  <c r="Q1835" i="3"/>
  <c r="Q1836" i="3"/>
  <c r="Q1837" i="3"/>
  <c r="Q1838" i="3"/>
  <c r="Q1839" i="3"/>
  <c r="Q1840" i="3"/>
  <c r="Q1841" i="3"/>
  <c r="Q1842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S1819" i="3"/>
  <c r="S1820" i="3"/>
  <c r="S1821" i="3"/>
  <c r="S1822" i="3"/>
  <c r="S1823" i="3"/>
  <c r="S1824" i="3"/>
  <c r="S1825" i="3"/>
  <c r="S1826" i="3"/>
  <c r="S1827" i="3"/>
  <c r="S1828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T1818" i="3"/>
  <c r="T1829" i="3"/>
  <c r="U1818" i="3"/>
  <c r="U1829" i="3"/>
  <c r="V1818" i="3"/>
  <c r="V1829" i="3"/>
  <c r="W1818" i="3"/>
  <c r="W1829" i="3"/>
  <c r="X1818" i="3"/>
  <c r="X1829" i="3"/>
  <c r="AA1818" i="3"/>
  <c r="AA1819" i="3"/>
  <c r="AA1820" i="3"/>
  <c r="AA1821" i="3"/>
  <c r="AA1822" i="3"/>
  <c r="AA1823" i="3"/>
  <c r="AA1824" i="3"/>
  <c r="AA1825" i="3"/>
  <c r="AA1826" i="3"/>
  <c r="AA1827" i="3"/>
  <c r="AA1828" i="3"/>
  <c r="AA1829" i="3"/>
  <c r="AA1830" i="3"/>
  <c r="AA1831" i="3"/>
  <c r="AA1832" i="3"/>
  <c r="AA1833" i="3"/>
  <c r="AA1834" i="3"/>
  <c r="AA1835" i="3"/>
  <c r="AA1836" i="3"/>
  <c r="AA1837" i="3"/>
  <c r="AA1838" i="3"/>
  <c r="AA1839" i="3"/>
  <c r="AA1840" i="3"/>
  <c r="AA1841" i="3"/>
  <c r="AA1842" i="3"/>
  <c r="AB1818" i="3"/>
  <c r="O1818" i="3" s="1"/>
  <c r="Y1818" i="3" s="1"/>
  <c r="AB1819" i="3"/>
  <c r="O1819" i="3" s="1"/>
  <c r="AB1820" i="3"/>
  <c r="O1820" i="3" s="1"/>
  <c r="AB1821" i="3"/>
  <c r="O1821" i="3" s="1"/>
  <c r="AB1822" i="3"/>
  <c r="O1822" i="3" s="1"/>
  <c r="AB1823" i="3"/>
  <c r="O1823" i="3" s="1"/>
  <c r="AB1824" i="3"/>
  <c r="O1824" i="3" s="1"/>
  <c r="AB1825" i="3"/>
  <c r="O1825" i="3" s="1"/>
  <c r="AB1826" i="3"/>
  <c r="O1826" i="3" s="1"/>
  <c r="AB1827" i="3"/>
  <c r="O1827" i="3" s="1"/>
  <c r="AB1828" i="3"/>
  <c r="O1828" i="3" s="1"/>
  <c r="AB1829" i="3"/>
  <c r="O1829" i="3" s="1"/>
  <c r="Y1829" i="3" s="1"/>
  <c r="AB1830" i="3"/>
  <c r="O1830" i="3" s="1"/>
  <c r="AB1831" i="3"/>
  <c r="O1831" i="3" s="1"/>
  <c r="AB1832" i="3"/>
  <c r="O1832" i="3" s="1"/>
  <c r="AB1833" i="3"/>
  <c r="O1833" i="3" s="1"/>
  <c r="AB1834" i="3"/>
  <c r="O1834" i="3" s="1"/>
  <c r="AB1835" i="3"/>
  <c r="O1835" i="3" s="1"/>
  <c r="AB1836" i="3"/>
  <c r="O1836" i="3" s="1"/>
  <c r="AB1837" i="3"/>
  <c r="O1837" i="3" s="1"/>
  <c r="AB1838" i="3"/>
  <c r="O1838" i="3" s="1"/>
  <c r="AB1839" i="3"/>
  <c r="O1839" i="3" s="1"/>
  <c r="AB1840" i="3"/>
  <c r="O1840" i="3" s="1"/>
  <c r="AB1841" i="3"/>
  <c r="O1841" i="3" s="1"/>
  <c r="AB1842" i="3"/>
  <c r="O1842" i="3" s="1"/>
  <c r="AC1818" i="3"/>
  <c r="N1818" i="3" s="1"/>
  <c r="AC1819" i="3"/>
  <c r="N1819" i="3" s="1"/>
  <c r="AC1820" i="3"/>
  <c r="N1820" i="3" s="1"/>
  <c r="AC1821" i="3"/>
  <c r="N1821" i="3" s="1"/>
  <c r="AC1822" i="3"/>
  <c r="N1822" i="3" s="1"/>
  <c r="AC1823" i="3"/>
  <c r="N1823" i="3" s="1"/>
  <c r="AC1824" i="3"/>
  <c r="N1824" i="3" s="1"/>
  <c r="AC1825" i="3"/>
  <c r="N1825" i="3" s="1"/>
  <c r="AC1826" i="3"/>
  <c r="N1826" i="3" s="1"/>
  <c r="AC1827" i="3"/>
  <c r="N1827" i="3" s="1"/>
  <c r="AC1828" i="3"/>
  <c r="N1828" i="3" s="1"/>
  <c r="AC1829" i="3"/>
  <c r="N1829" i="3" s="1"/>
  <c r="AC1830" i="3"/>
  <c r="N1830" i="3" s="1"/>
  <c r="AC1831" i="3"/>
  <c r="N1831" i="3" s="1"/>
  <c r="AC1832" i="3"/>
  <c r="N1832" i="3" s="1"/>
  <c r="AC1833" i="3"/>
  <c r="N1833" i="3" s="1"/>
  <c r="AC1834" i="3"/>
  <c r="N1834" i="3" s="1"/>
  <c r="AC1835" i="3"/>
  <c r="N1835" i="3" s="1"/>
  <c r="AC1836" i="3"/>
  <c r="N1836" i="3" s="1"/>
  <c r="AC1837" i="3"/>
  <c r="N1837" i="3" s="1"/>
  <c r="AC1838" i="3"/>
  <c r="N1838" i="3" s="1"/>
  <c r="AC1839" i="3"/>
  <c r="N1839" i="3" s="1"/>
  <c r="AC1840" i="3"/>
  <c r="N1840" i="3" s="1"/>
  <c r="AC1841" i="3"/>
  <c r="N1841" i="3" s="1"/>
  <c r="AC1842" i="3"/>
  <c r="N1842" i="3" s="1"/>
  <c r="AK1818" i="3"/>
  <c r="AK1819" i="3"/>
  <c r="AK1820" i="3"/>
  <c r="AK1821" i="3"/>
  <c r="AK1822" i="3"/>
  <c r="AK1823" i="3"/>
  <c r="AK1824" i="3"/>
  <c r="AK1825" i="3"/>
  <c r="AK1826" i="3"/>
  <c r="AK1827" i="3"/>
  <c r="AK1828" i="3"/>
  <c r="AK1829" i="3"/>
  <c r="AK1830" i="3"/>
  <c r="AK1831" i="3"/>
  <c r="AK1832" i="3"/>
  <c r="AK1833" i="3"/>
  <c r="AK1834" i="3"/>
  <c r="AK1835" i="3"/>
  <c r="AK1836" i="3"/>
  <c r="AK1837" i="3"/>
  <c r="AK1838" i="3"/>
  <c r="AK1839" i="3"/>
  <c r="AK1840" i="3"/>
  <c r="AK1841" i="3"/>
  <c r="AK1842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P1796" i="3"/>
  <c r="P1797" i="3"/>
  <c r="P1798" i="3"/>
  <c r="P1799" i="3"/>
  <c r="P1800" i="3"/>
  <c r="P1801" i="3"/>
  <c r="P1802" i="3"/>
  <c r="P1803" i="3"/>
  <c r="P1804" i="3"/>
  <c r="P1805" i="3"/>
  <c r="P1806" i="3"/>
  <c r="P1807" i="3"/>
  <c r="P1808" i="3"/>
  <c r="P1809" i="3"/>
  <c r="P1810" i="3"/>
  <c r="P1811" i="3"/>
  <c r="P1812" i="3"/>
  <c r="P1813" i="3"/>
  <c r="P1814" i="3"/>
  <c r="P1815" i="3"/>
  <c r="P1816" i="3"/>
  <c r="P1817" i="3"/>
  <c r="Q1796" i="3"/>
  <c r="Q1797" i="3"/>
  <c r="Q1798" i="3"/>
  <c r="Q1799" i="3"/>
  <c r="Q1800" i="3"/>
  <c r="Q1801" i="3"/>
  <c r="Q1802" i="3"/>
  <c r="Q1803" i="3"/>
  <c r="Q1804" i="3"/>
  <c r="Q1805" i="3"/>
  <c r="Q1806" i="3"/>
  <c r="Q1807" i="3"/>
  <c r="Q1808" i="3"/>
  <c r="Q1809" i="3"/>
  <c r="Q1810" i="3"/>
  <c r="Q1811" i="3"/>
  <c r="Q1812" i="3"/>
  <c r="Q1813" i="3"/>
  <c r="Q1814" i="3"/>
  <c r="Q1815" i="3"/>
  <c r="Q1816" i="3"/>
  <c r="Q1817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S1797" i="3"/>
  <c r="S1798" i="3"/>
  <c r="S1799" i="3"/>
  <c r="S1800" i="3"/>
  <c r="S1801" i="3"/>
  <c r="S1802" i="3"/>
  <c r="S1803" i="3"/>
  <c r="S1804" i="3"/>
  <c r="S1805" i="3"/>
  <c r="S1806" i="3"/>
  <c r="S1808" i="3"/>
  <c r="S1809" i="3"/>
  <c r="S1810" i="3"/>
  <c r="S1811" i="3"/>
  <c r="S1812" i="3"/>
  <c r="S1813" i="3"/>
  <c r="S1814" i="3"/>
  <c r="S1815" i="3"/>
  <c r="S1816" i="3"/>
  <c r="S1817" i="3"/>
  <c r="T1796" i="3"/>
  <c r="T1807" i="3"/>
  <c r="U1796" i="3"/>
  <c r="U1807" i="3"/>
  <c r="V1796" i="3"/>
  <c r="V1807" i="3"/>
  <c r="W1796" i="3"/>
  <c r="W1807" i="3"/>
  <c r="X1796" i="3"/>
  <c r="X1807" i="3"/>
  <c r="AA1796" i="3"/>
  <c r="AA1797" i="3"/>
  <c r="AA1798" i="3"/>
  <c r="AA1799" i="3"/>
  <c r="AA1800" i="3"/>
  <c r="AA1801" i="3"/>
  <c r="AA1802" i="3"/>
  <c r="AA1803" i="3"/>
  <c r="AA1804" i="3"/>
  <c r="AA1805" i="3"/>
  <c r="AA1806" i="3"/>
  <c r="AA1807" i="3"/>
  <c r="AA1808" i="3"/>
  <c r="AA1809" i="3"/>
  <c r="AA1810" i="3"/>
  <c r="AA1811" i="3"/>
  <c r="AA1812" i="3"/>
  <c r="AA1813" i="3"/>
  <c r="AA1814" i="3"/>
  <c r="AA1815" i="3"/>
  <c r="AA1816" i="3"/>
  <c r="AA1817" i="3"/>
  <c r="AB1796" i="3"/>
  <c r="O1796" i="3" s="1"/>
  <c r="Y1796" i="3" s="1"/>
  <c r="AB1797" i="3"/>
  <c r="O1797" i="3" s="1"/>
  <c r="AB1798" i="3"/>
  <c r="O1798" i="3" s="1"/>
  <c r="AB1799" i="3"/>
  <c r="O1799" i="3" s="1"/>
  <c r="AB1800" i="3"/>
  <c r="O1800" i="3" s="1"/>
  <c r="AB1801" i="3"/>
  <c r="O1801" i="3" s="1"/>
  <c r="AB1802" i="3"/>
  <c r="O1802" i="3" s="1"/>
  <c r="AB1803" i="3"/>
  <c r="O1803" i="3" s="1"/>
  <c r="AB1804" i="3"/>
  <c r="O1804" i="3" s="1"/>
  <c r="AB1805" i="3"/>
  <c r="O1805" i="3" s="1"/>
  <c r="AB1806" i="3"/>
  <c r="O1806" i="3" s="1"/>
  <c r="AB1807" i="3"/>
  <c r="O1807" i="3" s="1"/>
  <c r="Y1807" i="3" s="1"/>
  <c r="AB1808" i="3"/>
  <c r="O1808" i="3" s="1"/>
  <c r="AB1809" i="3"/>
  <c r="O1809" i="3" s="1"/>
  <c r="AB1810" i="3"/>
  <c r="O1810" i="3" s="1"/>
  <c r="AB1811" i="3"/>
  <c r="O1811" i="3" s="1"/>
  <c r="AB1812" i="3"/>
  <c r="O1812" i="3" s="1"/>
  <c r="AB1813" i="3"/>
  <c r="O1813" i="3" s="1"/>
  <c r="AB1814" i="3"/>
  <c r="O1814" i="3" s="1"/>
  <c r="AB1815" i="3"/>
  <c r="O1815" i="3" s="1"/>
  <c r="AB1816" i="3"/>
  <c r="O1816" i="3" s="1"/>
  <c r="AB1817" i="3"/>
  <c r="O1817" i="3" s="1"/>
  <c r="AC1796" i="3"/>
  <c r="N1796" i="3" s="1"/>
  <c r="AC1797" i="3"/>
  <c r="N1797" i="3" s="1"/>
  <c r="AC1798" i="3"/>
  <c r="N1798" i="3" s="1"/>
  <c r="AC1799" i="3"/>
  <c r="N1799" i="3" s="1"/>
  <c r="AC1800" i="3"/>
  <c r="N1800" i="3" s="1"/>
  <c r="AC1801" i="3"/>
  <c r="N1801" i="3" s="1"/>
  <c r="AC1802" i="3"/>
  <c r="N1802" i="3" s="1"/>
  <c r="AC1803" i="3"/>
  <c r="N1803" i="3" s="1"/>
  <c r="AC1804" i="3"/>
  <c r="N1804" i="3" s="1"/>
  <c r="AC1805" i="3"/>
  <c r="N1805" i="3" s="1"/>
  <c r="AC1806" i="3"/>
  <c r="N1806" i="3" s="1"/>
  <c r="AC1807" i="3"/>
  <c r="N1807" i="3" s="1"/>
  <c r="S1807" i="3" s="1"/>
  <c r="Z1807" i="3" s="1"/>
  <c r="AC1808" i="3"/>
  <c r="N1808" i="3" s="1"/>
  <c r="AC1809" i="3"/>
  <c r="N1809" i="3" s="1"/>
  <c r="AC1810" i="3"/>
  <c r="N1810" i="3" s="1"/>
  <c r="AC1811" i="3"/>
  <c r="N1811" i="3" s="1"/>
  <c r="AC1812" i="3"/>
  <c r="N1812" i="3" s="1"/>
  <c r="AC1813" i="3"/>
  <c r="N1813" i="3" s="1"/>
  <c r="AC1814" i="3"/>
  <c r="N1814" i="3" s="1"/>
  <c r="AC1815" i="3"/>
  <c r="N1815" i="3" s="1"/>
  <c r="AC1816" i="3"/>
  <c r="N1816" i="3" s="1"/>
  <c r="AC1817" i="3"/>
  <c r="N1817" i="3" s="1"/>
  <c r="AK1796" i="3"/>
  <c r="AK1797" i="3"/>
  <c r="AK1798" i="3"/>
  <c r="AK1799" i="3"/>
  <c r="AK1800" i="3"/>
  <c r="AK1801" i="3"/>
  <c r="AK1802" i="3"/>
  <c r="AK1803" i="3"/>
  <c r="AK1804" i="3"/>
  <c r="AK1805" i="3"/>
  <c r="AK1806" i="3"/>
  <c r="AK1807" i="3"/>
  <c r="AK1808" i="3"/>
  <c r="AK1809" i="3"/>
  <c r="AK1810" i="3"/>
  <c r="AK1811" i="3"/>
  <c r="AK1812" i="3"/>
  <c r="AK1813" i="3"/>
  <c r="AK1814" i="3"/>
  <c r="AK1815" i="3"/>
  <c r="AK1816" i="3"/>
  <c r="AK1817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P1773" i="3"/>
  <c r="P1774" i="3"/>
  <c r="P1775" i="3"/>
  <c r="P1776" i="3"/>
  <c r="P1777" i="3"/>
  <c r="P1778" i="3"/>
  <c r="P1779" i="3"/>
  <c r="P1780" i="3"/>
  <c r="P1781" i="3"/>
  <c r="P1782" i="3"/>
  <c r="P1783" i="3"/>
  <c r="P1784" i="3"/>
  <c r="P1785" i="3"/>
  <c r="P1786" i="3"/>
  <c r="P1787" i="3"/>
  <c r="P1788" i="3"/>
  <c r="P1789" i="3"/>
  <c r="P1790" i="3"/>
  <c r="P1791" i="3"/>
  <c r="P1792" i="3"/>
  <c r="P1793" i="3"/>
  <c r="P1794" i="3"/>
  <c r="P1795" i="3"/>
  <c r="Q1773" i="3"/>
  <c r="Q1774" i="3"/>
  <c r="Q1775" i="3"/>
  <c r="Q1776" i="3"/>
  <c r="Q1777" i="3"/>
  <c r="Q1778" i="3"/>
  <c r="Q1779" i="3"/>
  <c r="Q1780" i="3"/>
  <c r="Q1781" i="3"/>
  <c r="Q1782" i="3"/>
  <c r="Q1783" i="3"/>
  <c r="Q1784" i="3"/>
  <c r="Q1785" i="3"/>
  <c r="Q1786" i="3"/>
  <c r="Q1787" i="3"/>
  <c r="Q1788" i="3"/>
  <c r="Q1789" i="3"/>
  <c r="Q1790" i="3"/>
  <c r="Q1791" i="3"/>
  <c r="Q1792" i="3"/>
  <c r="Q1793" i="3"/>
  <c r="Q1794" i="3"/>
  <c r="Q1795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S1774" i="3"/>
  <c r="S1775" i="3"/>
  <c r="S1776" i="3"/>
  <c r="S1777" i="3"/>
  <c r="S1778" i="3"/>
  <c r="S1779" i="3"/>
  <c r="S1780" i="3"/>
  <c r="S1781" i="3"/>
  <c r="S1782" i="3"/>
  <c r="S1783" i="3"/>
  <c r="S1784" i="3"/>
  <c r="S1786" i="3"/>
  <c r="S1787" i="3"/>
  <c r="S1788" i="3"/>
  <c r="S1789" i="3"/>
  <c r="S1790" i="3"/>
  <c r="S1791" i="3"/>
  <c r="S1792" i="3"/>
  <c r="S1793" i="3"/>
  <c r="S1794" i="3"/>
  <c r="S1795" i="3"/>
  <c r="T1773" i="3"/>
  <c r="T1785" i="3"/>
  <c r="U1773" i="3"/>
  <c r="U1785" i="3"/>
  <c r="V1773" i="3"/>
  <c r="V1785" i="3"/>
  <c r="W1773" i="3"/>
  <c r="W1785" i="3"/>
  <c r="X1773" i="3"/>
  <c r="X1785" i="3"/>
  <c r="AA1773" i="3"/>
  <c r="AA1774" i="3"/>
  <c r="AA1775" i="3"/>
  <c r="AA1776" i="3"/>
  <c r="AA1777" i="3"/>
  <c r="AA1778" i="3"/>
  <c r="AA1779" i="3"/>
  <c r="AA1780" i="3"/>
  <c r="AA1781" i="3"/>
  <c r="AA1782" i="3"/>
  <c r="AA1783" i="3"/>
  <c r="AA1784" i="3"/>
  <c r="AA1785" i="3"/>
  <c r="AA1786" i="3"/>
  <c r="AA1787" i="3"/>
  <c r="AA1788" i="3"/>
  <c r="AA1789" i="3"/>
  <c r="AA1790" i="3"/>
  <c r="AA1791" i="3"/>
  <c r="AA1792" i="3"/>
  <c r="AA1793" i="3"/>
  <c r="AA1794" i="3"/>
  <c r="AA1795" i="3"/>
  <c r="AB1773" i="3"/>
  <c r="O1773" i="3" s="1"/>
  <c r="Y1773" i="3" s="1"/>
  <c r="AB1774" i="3"/>
  <c r="O1774" i="3" s="1"/>
  <c r="AB1775" i="3"/>
  <c r="O1775" i="3" s="1"/>
  <c r="AB1776" i="3"/>
  <c r="O1776" i="3" s="1"/>
  <c r="AB1777" i="3"/>
  <c r="O1777" i="3" s="1"/>
  <c r="AB1778" i="3"/>
  <c r="O1778" i="3" s="1"/>
  <c r="AB1779" i="3"/>
  <c r="O1779" i="3" s="1"/>
  <c r="AB1780" i="3"/>
  <c r="O1780" i="3" s="1"/>
  <c r="AB1781" i="3"/>
  <c r="O1781" i="3" s="1"/>
  <c r="AB1782" i="3"/>
  <c r="O1782" i="3" s="1"/>
  <c r="AB1783" i="3"/>
  <c r="O1783" i="3" s="1"/>
  <c r="AB1784" i="3"/>
  <c r="O1784" i="3" s="1"/>
  <c r="AB1785" i="3"/>
  <c r="O1785" i="3" s="1"/>
  <c r="Y1785" i="3" s="1"/>
  <c r="AB1786" i="3"/>
  <c r="O1786" i="3" s="1"/>
  <c r="AB1787" i="3"/>
  <c r="O1787" i="3" s="1"/>
  <c r="AB1788" i="3"/>
  <c r="O1788" i="3" s="1"/>
  <c r="AB1789" i="3"/>
  <c r="O1789" i="3" s="1"/>
  <c r="AB1790" i="3"/>
  <c r="O1790" i="3" s="1"/>
  <c r="AB1791" i="3"/>
  <c r="O1791" i="3" s="1"/>
  <c r="AB1792" i="3"/>
  <c r="O1792" i="3" s="1"/>
  <c r="AB1793" i="3"/>
  <c r="O1793" i="3" s="1"/>
  <c r="AB1794" i="3"/>
  <c r="O1794" i="3" s="1"/>
  <c r="AB1795" i="3"/>
  <c r="O1795" i="3" s="1"/>
  <c r="AC1773" i="3"/>
  <c r="N1773" i="3" s="1"/>
  <c r="AC1774" i="3"/>
  <c r="N1774" i="3" s="1"/>
  <c r="AC1775" i="3"/>
  <c r="N1775" i="3" s="1"/>
  <c r="AC1776" i="3"/>
  <c r="N1776" i="3" s="1"/>
  <c r="AC1777" i="3"/>
  <c r="N1777" i="3" s="1"/>
  <c r="AC1778" i="3"/>
  <c r="N1778" i="3" s="1"/>
  <c r="AC1779" i="3"/>
  <c r="N1779" i="3" s="1"/>
  <c r="AC1780" i="3"/>
  <c r="N1780" i="3" s="1"/>
  <c r="AC1781" i="3"/>
  <c r="N1781" i="3" s="1"/>
  <c r="AC1782" i="3"/>
  <c r="N1782" i="3" s="1"/>
  <c r="AC1783" i="3"/>
  <c r="N1783" i="3" s="1"/>
  <c r="AC1784" i="3"/>
  <c r="N1784" i="3" s="1"/>
  <c r="AC1785" i="3"/>
  <c r="N1785" i="3" s="1"/>
  <c r="AC1786" i="3"/>
  <c r="N1786" i="3" s="1"/>
  <c r="AC1787" i="3"/>
  <c r="N1787" i="3" s="1"/>
  <c r="AC1788" i="3"/>
  <c r="N1788" i="3" s="1"/>
  <c r="AC1789" i="3"/>
  <c r="N1789" i="3" s="1"/>
  <c r="AC1790" i="3"/>
  <c r="N1790" i="3" s="1"/>
  <c r="AC1791" i="3"/>
  <c r="N1791" i="3" s="1"/>
  <c r="AC1792" i="3"/>
  <c r="N1792" i="3" s="1"/>
  <c r="AC1793" i="3"/>
  <c r="N1793" i="3" s="1"/>
  <c r="AC1794" i="3"/>
  <c r="N1794" i="3" s="1"/>
  <c r="AC1795" i="3"/>
  <c r="N1795" i="3" s="1"/>
  <c r="AK1773" i="3"/>
  <c r="AK1774" i="3"/>
  <c r="AK1775" i="3"/>
  <c r="AK1776" i="3"/>
  <c r="AK1777" i="3"/>
  <c r="AK1778" i="3"/>
  <c r="AK1779" i="3"/>
  <c r="AK1780" i="3"/>
  <c r="AK1781" i="3"/>
  <c r="AK1782" i="3"/>
  <c r="AK1783" i="3"/>
  <c r="AK1784" i="3"/>
  <c r="AK1785" i="3"/>
  <c r="AK1786" i="3"/>
  <c r="AK1787" i="3"/>
  <c r="AK1788" i="3"/>
  <c r="AK1789" i="3"/>
  <c r="AK1790" i="3"/>
  <c r="AK1791" i="3"/>
  <c r="AK1792" i="3"/>
  <c r="AK1793" i="3"/>
  <c r="AK1794" i="3"/>
  <c r="AK1795" i="3"/>
  <c r="M1762" i="3"/>
  <c r="M1763" i="3"/>
  <c r="M1764" i="3"/>
  <c r="M1765" i="3"/>
  <c r="M1766" i="3"/>
  <c r="M1767" i="3"/>
  <c r="M1768" i="3"/>
  <c r="M1769" i="3"/>
  <c r="M1770" i="3"/>
  <c r="M1771" i="3"/>
  <c r="M1772" i="3"/>
  <c r="P1762" i="3"/>
  <c r="P1763" i="3"/>
  <c r="P1764" i="3"/>
  <c r="P1765" i="3"/>
  <c r="P1766" i="3"/>
  <c r="P1767" i="3"/>
  <c r="P1768" i="3"/>
  <c r="P1769" i="3"/>
  <c r="P1770" i="3"/>
  <c r="P1771" i="3"/>
  <c r="P1772" i="3"/>
  <c r="Q1762" i="3"/>
  <c r="Q1763" i="3"/>
  <c r="Q1764" i="3"/>
  <c r="Q1765" i="3"/>
  <c r="Q1766" i="3"/>
  <c r="Q1767" i="3"/>
  <c r="Q1768" i="3"/>
  <c r="Q1769" i="3"/>
  <c r="Q1770" i="3"/>
  <c r="Q1771" i="3"/>
  <c r="Q1772" i="3"/>
  <c r="R1762" i="3"/>
  <c r="R1763" i="3"/>
  <c r="R1764" i="3"/>
  <c r="R1765" i="3"/>
  <c r="R1766" i="3"/>
  <c r="R1767" i="3"/>
  <c r="R1768" i="3"/>
  <c r="R1769" i="3"/>
  <c r="R1770" i="3"/>
  <c r="R1771" i="3"/>
  <c r="R1772" i="3"/>
  <c r="S1763" i="3"/>
  <c r="S1764" i="3"/>
  <c r="S1765" i="3"/>
  <c r="S1766" i="3"/>
  <c r="S1767" i="3"/>
  <c r="S1768" i="3"/>
  <c r="S1769" i="3"/>
  <c r="S1770" i="3"/>
  <c r="S1771" i="3"/>
  <c r="S1772" i="3"/>
  <c r="T1762" i="3"/>
  <c r="U1762" i="3"/>
  <c r="V1762" i="3"/>
  <c r="W1762" i="3"/>
  <c r="X1762" i="3"/>
  <c r="AA1762" i="3"/>
  <c r="AA1763" i="3"/>
  <c r="AA1764" i="3"/>
  <c r="AA1765" i="3"/>
  <c r="AA1766" i="3"/>
  <c r="AA1767" i="3"/>
  <c r="AA1768" i="3"/>
  <c r="AA1769" i="3"/>
  <c r="AA1770" i="3"/>
  <c r="AA1771" i="3"/>
  <c r="AA1772" i="3"/>
  <c r="AB1762" i="3"/>
  <c r="O1762" i="3" s="1"/>
  <c r="Y1762" i="3" s="1"/>
  <c r="AB1763" i="3"/>
  <c r="O1763" i="3" s="1"/>
  <c r="AB1764" i="3"/>
  <c r="O1764" i="3" s="1"/>
  <c r="AB1765" i="3"/>
  <c r="O1765" i="3" s="1"/>
  <c r="AB1766" i="3"/>
  <c r="O1766" i="3" s="1"/>
  <c r="AB1767" i="3"/>
  <c r="O1767" i="3" s="1"/>
  <c r="AB1768" i="3"/>
  <c r="O1768" i="3" s="1"/>
  <c r="AB1769" i="3"/>
  <c r="O1769" i="3" s="1"/>
  <c r="AB1770" i="3"/>
  <c r="O1770" i="3" s="1"/>
  <c r="AB1771" i="3"/>
  <c r="O1771" i="3" s="1"/>
  <c r="AB1772" i="3"/>
  <c r="O1772" i="3" s="1"/>
  <c r="AC1762" i="3"/>
  <c r="N1762" i="3" s="1"/>
  <c r="AC1763" i="3"/>
  <c r="N1763" i="3" s="1"/>
  <c r="AC1764" i="3"/>
  <c r="N1764" i="3" s="1"/>
  <c r="AC1765" i="3"/>
  <c r="N1765" i="3" s="1"/>
  <c r="AC1766" i="3"/>
  <c r="N1766" i="3" s="1"/>
  <c r="AC1767" i="3"/>
  <c r="N1767" i="3" s="1"/>
  <c r="AC1768" i="3"/>
  <c r="N1768" i="3" s="1"/>
  <c r="AC1769" i="3"/>
  <c r="N1769" i="3" s="1"/>
  <c r="AC1770" i="3"/>
  <c r="N1770" i="3" s="1"/>
  <c r="AC1771" i="3"/>
  <c r="N1771" i="3" s="1"/>
  <c r="AC1772" i="3"/>
  <c r="N1772" i="3" s="1"/>
  <c r="AK1762" i="3"/>
  <c r="AK1763" i="3"/>
  <c r="AK1764" i="3"/>
  <c r="AK1765" i="3"/>
  <c r="AK1766" i="3"/>
  <c r="AK1767" i="3"/>
  <c r="AK1768" i="3"/>
  <c r="AK1769" i="3"/>
  <c r="AK1770" i="3"/>
  <c r="AK1771" i="3"/>
  <c r="AK1772" i="3"/>
  <c r="M1751" i="3"/>
  <c r="M1752" i="3"/>
  <c r="M1753" i="3"/>
  <c r="M1754" i="3"/>
  <c r="M1755" i="3"/>
  <c r="M1756" i="3"/>
  <c r="M1757" i="3"/>
  <c r="M1758" i="3"/>
  <c r="M1759" i="3"/>
  <c r="M1760" i="3"/>
  <c r="M1761" i="3"/>
  <c r="P1751" i="3"/>
  <c r="P1752" i="3"/>
  <c r="P1753" i="3"/>
  <c r="P1754" i="3"/>
  <c r="P1755" i="3"/>
  <c r="P1756" i="3"/>
  <c r="P1757" i="3"/>
  <c r="P1758" i="3"/>
  <c r="P1759" i="3"/>
  <c r="P1760" i="3"/>
  <c r="P1761" i="3"/>
  <c r="Q1751" i="3"/>
  <c r="Q1752" i="3"/>
  <c r="Q1753" i="3"/>
  <c r="Q1754" i="3"/>
  <c r="Q1755" i="3"/>
  <c r="Q1756" i="3"/>
  <c r="Q1757" i="3"/>
  <c r="Q1758" i="3"/>
  <c r="Q1759" i="3"/>
  <c r="Q1760" i="3"/>
  <c r="Q1761" i="3"/>
  <c r="R1751" i="3"/>
  <c r="R1752" i="3"/>
  <c r="R1753" i="3"/>
  <c r="R1754" i="3"/>
  <c r="R1755" i="3"/>
  <c r="R1756" i="3"/>
  <c r="R1757" i="3"/>
  <c r="R1758" i="3"/>
  <c r="R1759" i="3"/>
  <c r="R1760" i="3"/>
  <c r="R1761" i="3"/>
  <c r="S1752" i="3"/>
  <c r="S1753" i="3"/>
  <c r="S1754" i="3"/>
  <c r="S1755" i="3"/>
  <c r="S1756" i="3"/>
  <c r="S1757" i="3"/>
  <c r="S1758" i="3"/>
  <c r="S1759" i="3"/>
  <c r="S1760" i="3"/>
  <c r="S1761" i="3"/>
  <c r="T1751" i="3"/>
  <c r="U1751" i="3"/>
  <c r="V1751" i="3"/>
  <c r="W1751" i="3"/>
  <c r="X1751" i="3"/>
  <c r="AA1751" i="3"/>
  <c r="AA1752" i="3"/>
  <c r="AA1753" i="3"/>
  <c r="AA1754" i="3"/>
  <c r="AA1755" i="3"/>
  <c r="AA1756" i="3"/>
  <c r="AA1757" i="3"/>
  <c r="AA1758" i="3"/>
  <c r="AA1759" i="3"/>
  <c r="AA1760" i="3"/>
  <c r="AA1761" i="3"/>
  <c r="AB1751" i="3"/>
  <c r="O1751" i="3" s="1"/>
  <c r="Y1751" i="3" s="1"/>
  <c r="AB1752" i="3"/>
  <c r="O1752" i="3" s="1"/>
  <c r="AB1753" i="3"/>
  <c r="O1753" i="3" s="1"/>
  <c r="AB1754" i="3"/>
  <c r="O1754" i="3" s="1"/>
  <c r="AB1755" i="3"/>
  <c r="O1755" i="3" s="1"/>
  <c r="AB1756" i="3"/>
  <c r="O1756" i="3" s="1"/>
  <c r="AB1757" i="3"/>
  <c r="O1757" i="3" s="1"/>
  <c r="AB1758" i="3"/>
  <c r="O1758" i="3" s="1"/>
  <c r="AB1759" i="3"/>
  <c r="O1759" i="3" s="1"/>
  <c r="AB1760" i="3"/>
  <c r="O1760" i="3" s="1"/>
  <c r="AB1761" i="3"/>
  <c r="O1761" i="3" s="1"/>
  <c r="AC1751" i="3"/>
  <c r="N1751" i="3" s="1"/>
  <c r="AC1752" i="3"/>
  <c r="N1752" i="3" s="1"/>
  <c r="AC1753" i="3"/>
  <c r="N1753" i="3" s="1"/>
  <c r="AC1754" i="3"/>
  <c r="N1754" i="3" s="1"/>
  <c r="AC1755" i="3"/>
  <c r="N1755" i="3" s="1"/>
  <c r="AC1756" i="3"/>
  <c r="N1756" i="3" s="1"/>
  <c r="AC1757" i="3"/>
  <c r="N1757" i="3" s="1"/>
  <c r="AC1758" i="3"/>
  <c r="N1758" i="3" s="1"/>
  <c r="AC1759" i="3"/>
  <c r="N1759" i="3" s="1"/>
  <c r="AC1760" i="3"/>
  <c r="N1760" i="3" s="1"/>
  <c r="AC1761" i="3"/>
  <c r="N1761" i="3" s="1"/>
  <c r="AK1751" i="3"/>
  <c r="AK1752" i="3"/>
  <c r="AK1753" i="3"/>
  <c r="AK1754" i="3"/>
  <c r="AK1755" i="3"/>
  <c r="AK1756" i="3"/>
  <c r="AK1757" i="3"/>
  <c r="AK1758" i="3"/>
  <c r="AK1759" i="3"/>
  <c r="AK1760" i="3"/>
  <c r="AK1761" i="3"/>
  <c r="M1740" i="3"/>
  <c r="M1741" i="3"/>
  <c r="M1742" i="3"/>
  <c r="M1743" i="3"/>
  <c r="M1744" i="3"/>
  <c r="M1745" i="3"/>
  <c r="M1746" i="3"/>
  <c r="M1747" i="3"/>
  <c r="M1748" i="3"/>
  <c r="M1749" i="3"/>
  <c r="M1750" i="3"/>
  <c r="P1740" i="3"/>
  <c r="P1741" i="3"/>
  <c r="P1742" i="3"/>
  <c r="P1743" i="3"/>
  <c r="P1744" i="3"/>
  <c r="P1745" i="3"/>
  <c r="P1746" i="3"/>
  <c r="P1747" i="3"/>
  <c r="P1748" i="3"/>
  <c r="P1749" i="3"/>
  <c r="P1750" i="3"/>
  <c r="Q1740" i="3"/>
  <c r="Q1741" i="3"/>
  <c r="Q1742" i="3"/>
  <c r="Q1743" i="3"/>
  <c r="Q1744" i="3"/>
  <c r="Q1745" i="3"/>
  <c r="Q1746" i="3"/>
  <c r="Q1747" i="3"/>
  <c r="Q1748" i="3"/>
  <c r="Q1749" i="3"/>
  <c r="Q1750" i="3"/>
  <c r="R1740" i="3"/>
  <c r="R1741" i="3"/>
  <c r="R1742" i="3"/>
  <c r="R1743" i="3"/>
  <c r="R1744" i="3"/>
  <c r="R1745" i="3"/>
  <c r="R1746" i="3"/>
  <c r="R1747" i="3"/>
  <c r="R1748" i="3"/>
  <c r="R1749" i="3"/>
  <c r="R1750" i="3"/>
  <c r="S1741" i="3"/>
  <c r="S1742" i="3"/>
  <c r="S1743" i="3"/>
  <c r="S1744" i="3"/>
  <c r="S1745" i="3"/>
  <c r="S1746" i="3"/>
  <c r="S1747" i="3"/>
  <c r="S1748" i="3"/>
  <c r="S1749" i="3"/>
  <c r="S1750" i="3"/>
  <c r="T1740" i="3"/>
  <c r="U1740" i="3"/>
  <c r="V1740" i="3"/>
  <c r="W1740" i="3"/>
  <c r="X1740" i="3"/>
  <c r="AA1740" i="3"/>
  <c r="AA1741" i="3"/>
  <c r="AA1742" i="3"/>
  <c r="AA1743" i="3"/>
  <c r="AA1744" i="3"/>
  <c r="AA1745" i="3"/>
  <c r="AA1746" i="3"/>
  <c r="AA1747" i="3"/>
  <c r="AA1748" i="3"/>
  <c r="AA1749" i="3"/>
  <c r="AA1750" i="3"/>
  <c r="AB1740" i="3"/>
  <c r="O1740" i="3" s="1"/>
  <c r="Y1740" i="3" s="1"/>
  <c r="AB1741" i="3"/>
  <c r="O1741" i="3" s="1"/>
  <c r="AB1742" i="3"/>
  <c r="O1742" i="3" s="1"/>
  <c r="AB1743" i="3"/>
  <c r="O1743" i="3" s="1"/>
  <c r="AB1744" i="3"/>
  <c r="O1744" i="3" s="1"/>
  <c r="AB1745" i="3"/>
  <c r="O1745" i="3" s="1"/>
  <c r="AB1746" i="3"/>
  <c r="O1746" i="3" s="1"/>
  <c r="AB1747" i="3"/>
  <c r="O1747" i="3" s="1"/>
  <c r="AB1748" i="3"/>
  <c r="O1748" i="3" s="1"/>
  <c r="AB1749" i="3"/>
  <c r="O1749" i="3" s="1"/>
  <c r="AB1750" i="3"/>
  <c r="O1750" i="3" s="1"/>
  <c r="AC1740" i="3"/>
  <c r="N1740" i="3" s="1"/>
  <c r="AC1741" i="3"/>
  <c r="N1741" i="3" s="1"/>
  <c r="AC1742" i="3"/>
  <c r="N1742" i="3" s="1"/>
  <c r="AC1743" i="3"/>
  <c r="N1743" i="3" s="1"/>
  <c r="AC1744" i="3"/>
  <c r="N1744" i="3" s="1"/>
  <c r="AC1745" i="3"/>
  <c r="N1745" i="3" s="1"/>
  <c r="AC1746" i="3"/>
  <c r="N1746" i="3" s="1"/>
  <c r="AC1747" i="3"/>
  <c r="N1747" i="3" s="1"/>
  <c r="AC1748" i="3"/>
  <c r="N1748" i="3" s="1"/>
  <c r="AC1749" i="3"/>
  <c r="N1749" i="3" s="1"/>
  <c r="AC1750" i="3"/>
  <c r="N1750" i="3" s="1"/>
  <c r="AK1740" i="3"/>
  <c r="AK1741" i="3"/>
  <c r="AK1742" i="3"/>
  <c r="AK1743" i="3"/>
  <c r="AK1744" i="3"/>
  <c r="AK1745" i="3"/>
  <c r="AK1746" i="3"/>
  <c r="AK1747" i="3"/>
  <c r="AK1748" i="3"/>
  <c r="AK1749" i="3"/>
  <c r="AK1750" i="3"/>
  <c r="M1729" i="3"/>
  <c r="M1730" i="3"/>
  <c r="M1731" i="3"/>
  <c r="M1732" i="3"/>
  <c r="M1733" i="3"/>
  <c r="M1734" i="3"/>
  <c r="M1735" i="3"/>
  <c r="M1736" i="3"/>
  <c r="M1737" i="3"/>
  <c r="M1738" i="3"/>
  <c r="M1739" i="3"/>
  <c r="P1729" i="3"/>
  <c r="P1730" i="3"/>
  <c r="P1731" i="3"/>
  <c r="P1732" i="3"/>
  <c r="P1733" i="3"/>
  <c r="P1734" i="3"/>
  <c r="P1735" i="3"/>
  <c r="P1736" i="3"/>
  <c r="P1737" i="3"/>
  <c r="P1738" i="3"/>
  <c r="P1739" i="3"/>
  <c r="Q1729" i="3"/>
  <c r="Q1730" i="3"/>
  <c r="Q1731" i="3"/>
  <c r="Q1732" i="3"/>
  <c r="Q1733" i="3"/>
  <c r="Q1734" i="3"/>
  <c r="Q1735" i="3"/>
  <c r="Q1736" i="3"/>
  <c r="Q1737" i="3"/>
  <c r="Q1738" i="3"/>
  <c r="Q1739" i="3"/>
  <c r="R1729" i="3"/>
  <c r="R1730" i="3"/>
  <c r="R1731" i="3"/>
  <c r="R1732" i="3"/>
  <c r="R1733" i="3"/>
  <c r="R1734" i="3"/>
  <c r="R1735" i="3"/>
  <c r="R1736" i="3"/>
  <c r="R1737" i="3"/>
  <c r="R1738" i="3"/>
  <c r="R1739" i="3"/>
  <c r="S1730" i="3"/>
  <c r="S1731" i="3"/>
  <c r="S1732" i="3"/>
  <c r="S1733" i="3"/>
  <c r="S1734" i="3"/>
  <c r="S1735" i="3"/>
  <c r="S1736" i="3"/>
  <c r="S1737" i="3"/>
  <c r="S1738" i="3"/>
  <c r="S1739" i="3"/>
  <c r="T1729" i="3"/>
  <c r="U1729" i="3"/>
  <c r="V1729" i="3"/>
  <c r="W1729" i="3"/>
  <c r="X1729" i="3"/>
  <c r="AA1729" i="3"/>
  <c r="AA1730" i="3"/>
  <c r="AA1731" i="3"/>
  <c r="AA1732" i="3"/>
  <c r="AA1733" i="3"/>
  <c r="AA1734" i="3"/>
  <c r="AA1735" i="3"/>
  <c r="AA1736" i="3"/>
  <c r="AA1737" i="3"/>
  <c r="AA1738" i="3"/>
  <c r="AA1739" i="3"/>
  <c r="AB1729" i="3"/>
  <c r="O1729" i="3" s="1"/>
  <c r="Y1729" i="3" s="1"/>
  <c r="AB1730" i="3"/>
  <c r="O1730" i="3" s="1"/>
  <c r="AB1731" i="3"/>
  <c r="O1731" i="3" s="1"/>
  <c r="AB1732" i="3"/>
  <c r="O1732" i="3" s="1"/>
  <c r="AB1733" i="3"/>
  <c r="O1733" i="3" s="1"/>
  <c r="AB1734" i="3"/>
  <c r="O1734" i="3" s="1"/>
  <c r="AB1735" i="3"/>
  <c r="O1735" i="3" s="1"/>
  <c r="AB1736" i="3"/>
  <c r="O1736" i="3" s="1"/>
  <c r="AB1737" i="3"/>
  <c r="O1737" i="3" s="1"/>
  <c r="AB1738" i="3"/>
  <c r="O1738" i="3" s="1"/>
  <c r="AB1739" i="3"/>
  <c r="O1739" i="3" s="1"/>
  <c r="AC1729" i="3"/>
  <c r="N1729" i="3" s="1"/>
  <c r="AC1730" i="3"/>
  <c r="N1730" i="3" s="1"/>
  <c r="AC1731" i="3"/>
  <c r="N1731" i="3" s="1"/>
  <c r="AC1732" i="3"/>
  <c r="N1732" i="3" s="1"/>
  <c r="AC1733" i="3"/>
  <c r="N1733" i="3" s="1"/>
  <c r="AC1734" i="3"/>
  <c r="N1734" i="3" s="1"/>
  <c r="AC1735" i="3"/>
  <c r="N1735" i="3" s="1"/>
  <c r="AC1736" i="3"/>
  <c r="N1736" i="3" s="1"/>
  <c r="AC1737" i="3"/>
  <c r="N1737" i="3" s="1"/>
  <c r="AC1738" i="3"/>
  <c r="N1738" i="3" s="1"/>
  <c r="AC1739" i="3"/>
  <c r="N1739" i="3" s="1"/>
  <c r="AK1729" i="3"/>
  <c r="AK1730" i="3"/>
  <c r="AK1731" i="3"/>
  <c r="AK1732" i="3"/>
  <c r="AK1733" i="3"/>
  <c r="AK1734" i="3"/>
  <c r="AK1735" i="3"/>
  <c r="AK1736" i="3"/>
  <c r="AK1737" i="3"/>
  <c r="AK1738" i="3"/>
  <c r="AK1739" i="3"/>
  <c r="M1718" i="3"/>
  <c r="M1719" i="3"/>
  <c r="M1720" i="3"/>
  <c r="M1721" i="3"/>
  <c r="M1722" i="3"/>
  <c r="M1723" i="3"/>
  <c r="M1724" i="3"/>
  <c r="M1725" i="3"/>
  <c r="M1726" i="3"/>
  <c r="M1727" i="3"/>
  <c r="M1728" i="3"/>
  <c r="P1718" i="3"/>
  <c r="P1719" i="3"/>
  <c r="P1720" i="3"/>
  <c r="P1721" i="3"/>
  <c r="P1722" i="3"/>
  <c r="P1723" i="3"/>
  <c r="P1724" i="3"/>
  <c r="P1725" i="3"/>
  <c r="P1726" i="3"/>
  <c r="P1727" i="3"/>
  <c r="P1728" i="3"/>
  <c r="Q1718" i="3"/>
  <c r="Q1719" i="3"/>
  <c r="Q1720" i="3"/>
  <c r="Q1721" i="3"/>
  <c r="Q1722" i="3"/>
  <c r="Q1723" i="3"/>
  <c r="Q1724" i="3"/>
  <c r="Q1725" i="3"/>
  <c r="Q1726" i="3"/>
  <c r="Q1727" i="3"/>
  <c r="Q1728" i="3"/>
  <c r="R1718" i="3"/>
  <c r="R1719" i="3"/>
  <c r="R1720" i="3"/>
  <c r="R1721" i="3"/>
  <c r="R1722" i="3"/>
  <c r="R1723" i="3"/>
  <c r="R1724" i="3"/>
  <c r="R1725" i="3"/>
  <c r="R1726" i="3"/>
  <c r="R1727" i="3"/>
  <c r="R1728" i="3"/>
  <c r="S1719" i="3"/>
  <c r="S1720" i="3"/>
  <c r="S1721" i="3"/>
  <c r="S1722" i="3"/>
  <c r="S1723" i="3"/>
  <c r="S1724" i="3"/>
  <c r="S1725" i="3"/>
  <c r="S1726" i="3"/>
  <c r="S1727" i="3"/>
  <c r="S1728" i="3"/>
  <c r="T1718" i="3"/>
  <c r="U1718" i="3"/>
  <c r="V1718" i="3"/>
  <c r="W1718" i="3"/>
  <c r="X1718" i="3"/>
  <c r="AA1718" i="3"/>
  <c r="AA1719" i="3"/>
  <c r="AA1720" i="3"/>
  <c r="AA1721" i="3"/>
  <c r="AA1722" i="3"/>
  <c r="AA1723" i="3"/>
  <c r="AA1724" i="3"/>
  <c r="AA1725" i="3"/>
  <c r="AA1726" i="3"/>
  <c r="AA1727" i="3"/>
  <c r="AA1728" i="3"/>
  <c r="AB1718" i="3"/>
  <c r="O1718" i="3" s="1"/>
  <c r="Y1718" i="3" s="1"/>
  <c r="AB1719" i="3"/>
  <c r="O1719" i="3" s="1"/>
  <c r="AB1720" i="3"/>
  <c r="O1720" i="3" s="1"/>
  <c r="AB1721" i="3"/>
  <c r="O1721" i="3" s="1"/>
  <c r="AB1722" i="3"/>
  <c r="O1722" i="3" s="1"/>
  <c r="AB1723" i="3"/>
  <c r="O1723" i="3" s="1"/>
  <c r="AB1724" i="3"/>
  <c r="O1724" i="3" s="1"/>
  <c r="AB1725" i="3"/>
  <c r="O1725" i="3" s="1"/>
  <c r="AB1726" i="3"/>
  <c r="O1726" i="3" s="1"/>
  <c r="AB1727" i="3"/>
  <c r="O1727" i="3" s="1"/>
  <c r="AB1728" i="3"/>
  <c r="O1728" i="3" s="1"/>
  <c r="AC1718" i="3"/>
  <c r="N1718" i="3" s="1"/>
  <c r="AC1719" i="3"/>
  <c r="N1719" i="3" s="1"/>
  <c r="AC1720" i="3"/>
  <c r="N1720" i="3" s="1"/>
  <c r="AC1721" i="3"/>
  <c r="N1721" i="3" s="1"/>
  <c r="AC1722" i="3"/>
  <c r="N1722" i="3" s="1"/>
  <c r="AC1723" i="3"/>
  <c r="N1723" i="3" s="1"/>
  <c r="AC1724" i="3"/>
  <c r="N1724" i="3" s="1"/>
  <c r="AC1725" i="3"/>
  <c r="N1725" i="3" s="1"/>
  <c r="AC1726" i="3"/>
  <c r="N1726" i="3" s="1"/>
  <c r="AC1727" i="3"/>
  <c r="N1727" i="3" s="1"/>
  <c r="AC1728" i="3"/>
  <c r="N1728" i="3" s="1"/>
  <c r="AK1718" i="3"/>
  <c r="AK1719" i="3"/>
  <c r="AK1720" i="3"/>
  <c r="AK1721" i="3"/>
  <c r="AK1722" i="3"/>
  <c r="AK1723" i="3"/>
  <c r="AK1724" i="3"/>
  <c r="AK1725" i="3"/>
  <c r="AK1726" i="3"/>
  <c r="AK1727" i="3"/>
  <c r="AK1728" i="3"/>
  <c r="M1707" i="3"/>
  <c r="M1708" i="3"/>
  <c r="M1709" i="3"/>
  <c r="M1710" i="3"/>
  <c r="M1711" i="3"/>
  <c r="M1712" i="3"/>
  <c r="M1713" i="3"/>
  <c r="M1714" i="3"/>
  <c r="M1715" i="3"/>
  <c r="M1716" i="3"/>
  <c r="M1717" i="3"/>
  <c r="P1707" i="3"/>
  <c r="P1708" i="3"/>
  <c r="P1709" i="3"/>
  <c r="P1710" i="3"/>
  <c r="P1711" i="3"/>
  <c r="P1712" i="3"/>
  <c r="P1713" i="3"/>
  <c r="P1714" i="3"/>
  <c r="P1715" i="3"/>
  <c r="P1716" i="3"/>
  <c r="P1717" i="3"/>
  <c r="Q1707" i="3"/>
  <c r="Q1708" i="3"/>
  <c r="Q1709" i="3"/>
  <c r="Q1710" i="3"/>
  <c r="Q1711" i="3"/>
  <c r="Q1712" i="3"/>
  <c r="Q1713" i="3"/>
  <c r="Q1714" i="3"/>
  <c r="Q1715" i="3"/>
  <c r="Q1716" i="3"/>
  <c r="Q1717" i="3"/>
  <c r="R1707" i="3"/>
  <c r="R1708" i="3"/>
  <c r="R1709" i="3"/>
  <c r="R1710" i="3"/>
  <c r="R1711" i="3"/>
  <c r="R1712" i="3"/>
  <c r="R1713" i="3"/>
  <c r="R1714" i="3"/>
  <c r="R1715" i="3"/>
  <c r="R1716" i="3"/>
  <c r="R1717" i="3"/>
  <c r="S1708" i="3"/>
  <c r="S1709" i="3"/>
  <c r="S1710" i="3"/>
  <c r="S1711" i="3"/>
  <c r="S1712" i="3"/>
  <c r="S1713" i="3"/>
  <c r="S1714" i="3"/>
  <c r="S1715" i="3"/>
  <c r="S1716" i="3"/>
  <c r="S1717" i="3"/>
  <c r="T1707" i="3"/>
  <c r="U1707" i="3"/>
  <c r="V1707" i="3"/>
  <c r="W1707" i="3"/>
  <c r="X1707" i="3"/>
  <c r="AA1707" i="3"/>
  <c r="AA1708" i="3"/>
  <c r="AA1709" i="3"/>
  <c r="AA1710" i="3"/>
  <c r="AA1711" i="3"/>
  <c r="AA1712" i="3"/>
  <c r="AA1713" i="3"/>
  <c r="AA1714" i="3"/>
  <c r="AA1715" i="3"/>
  <c r="AA1716" i="3"/>
  <c r="AA1717" i="3"/>
  <c r="AB1707" i="3"/>
  <c r="O1707" i="3" s="1"/>
  <c r="Y1707" i="3" s="1"/>
  <c r="AB1708" i="3"/>
  <c r="O1708" i="3" s="1"/>
  <c r="AB1709" i="3"/>
  <c r="O1709" i="3" s="1"/>
  <c r="AB1710" i="3"/>
  <c r="O1710" i="3" s="1"/>
  <c r="AB1711" i="3"/>
  <c r="O1711" i="3" s="1"/>
  <c r="AB1712" i="3"/>
  <c r="O1712" i="3" s="1"/>
  <c r="AB1713" i="3"/>
  <c r="O1713" i="3" s="1"/>
  <c r="AB1714" i="3"/>
  <c r="O1714" i="3" s="1"/>
  <c r="AB1715" i="3"/>
  <c r="O1715" i="3" s="1"/>
  <c r="AB1716" i="3"/>
  <c r="O1716" i="3" s="1"/>
  <c r="AB1717" i="3"/>
  <c r="O1717" i="3" s="1"/>
  <c r="AC1707" i="3"/>
  <c r="N1707" i="3" s="1"/>
  <c r="AC1708" i="3"/>
  <c r="N1708" i="3" s="1"/>
  <c r="AC1709" i="3"/>
  <c r="N1709" i="3" s="1"/>
  <c r="AC1710" i="3"/>
  <c r="N1710" i="3" s="1"/>
  <c r="AC1711" i="3"/>
  <c r="N1711" i="3" s="1"/>
  <c r="AC1712" i="3"/>
  <c r="N1712" i="3" s="1"/>
  <c r="AC1713" i="3"/>
  <c r="N1713" i="3" s="1"/>
  <c r="AC1714" i="3"/>
  <c r="N1714" i="3" s="1"/>
  <c r="AC1715" i="3"/>
  <c r="N1715" i="3" s="1"/>
  <c r="AC1716" i="3"/>
  <c r="N1716" i="3" s="1"/>
  <c r="AC1717" i="3"/>
  <c r="N1717" i="3" s="1"/>
  <c r="AK1707" i="3"/>
  <c r="AK1708" i="3"/>
  <c r="AK1709" i="3"/>
  <c r="AK1710" i="3"/>
  <c r="AK1711" i="3"/>
  <c r="AK1712" i="3"/>
  <c r="AK1713" i="3"/>
  <c r="AK1714" i="3"/>
  <c r="AK1715" i="3"/>
  <c r="AK1716" i="3"/>
  <c r="AK1717" i="3"/>
  <c r="Z1843" i="3" l="1"/>
  <c r="Z1857" i="3"/>
  <c r="Z1996" i="3"/>
  <c r="Z2000" i="3"/>
  <c r="Z2004" i="3"/>
  <c r="Z1927" i="3"/>
  <c r="Z1931" i="3"/>
  <c r="Z1903" i="3"/>
  <c r="Z1905" i="3"/>
  <c r="Z1907" i="3"/>
  <c r="Z1909" i="3"/>
  <c r="Z1911" i="3"/>
  <c r="Z1915" i="3"/>
  <c r="Z1917" i="3"/>
  <c r="Z1919" i="3"/>
  <c r="Z1921" i="3"/>
  <c r="Z1923" i="3"/>
  <c r="Z1925" i="3"/>
  <c r="Z1929" i="3"/>
  <c r="Z1933" i="3"/>
  <c r="Z1926" i="3"/>
  <c r="Z1930" i="3"/>
  <c r="Z1934" i="3"/>
  <c r="Z1937" i="3"/>
  <c r="Z1939" i="3"/>
  <c r="Z1941" i="3"/>
  <c r="Z1943" i="3"/>
  <c r="Z1945" i="3"/>
  <c r="Z1948" i="3"/>
  <c r="Z1950" i="3"/>
  <c r="Z1954" i="3"/>
  <c r="Z1958" i="3"/>
  <c r="Z1962" i="3"/>
  <c r="Z1966" i="3"/>
  <c r="Z1970" i="3"/>
  <c r="Z1947" i="3"/>
  <c r="Z1951" i="3"/>
  <c r="Z1955" i="3"/>
  <c r="Z1961" i="3"/>
  <c r="Z1965" i="3"/>
  <c r="Z1969" i="3"/>
  <c r="Z1986" i="3"/>
  <c r="Z1990" i="3"/>
  <c r="Z1987" i="3"/>
  <c r="Z1991" i="3"/>
  <c r="Z1997" i="3"/>
  <c r="Z2001" i="3"/>
  <c r="Z2005" i="3"/>
  <c r="Z2009" i="3"/>
  <c r="Z2013" i="3"/>
  <c r="Z1998" i="3"/>
  <c r="Z2002" i="3"/>
  <c r="Z2008" i="3"/>
  <c r="Z2012" i="3"/>
  <c r="Z2016" i="3"/>
  <c r="Z2021" i="3"/>
  <c r="Z2025" i="3"/>
  <c r="Z2029" i="3"/>
  <c r="Z2035" i="3"/>
  <c r="Z2039" i="3"/>
  <c r="Z2018" i="3"/>
  <c r="Z2020" i="3"/>
  <c r="Z2022" i="3"/>
  <c r="Z2026" i="3"/>
  <c r="Z2030" i="3"/>
  <c r="Z2043" i="3"/>
  <c r="Z2045" i="3"/>
  <c r="Z2047" i="3"/>
  <c r="Z2049" i="3"/>
  <c r="Z2051" i="3"/>
  <c r="Z1904" i="3"/>
  <c r="Z1906" i="3"/>
  <c r="Z1910" i="3"/>
  <c r="Z1908" i="3"/>
  <c r="Z1912" i="3"/>
  <c r="Z1914" i="3"/>
  <c r="Z1916" i="3"/>
  <c r="Z1918" i="3"/>
  <c r="Z1920" i="3"/>
  <c r="Z1922" i="3"/>
  <c r="Z1928" i="3"/>
  <c r="Z1932" i="3"/>
  <c r="Z1936" i="3"/>
  <c r="Z1938" i="3"/>
  <c r="Z1940" i="3"/>
  <c r="Z1942" i="3"/>
  <c r="Z1944" i="3"/>
  <c r="Z1952" i="3"/>
  <c r="Z1956" i="3"/>
  <c r="Z1960" i="3"/>
  <c r="Z1964" i="3"/>
  <c r="Z1968" i="3"/>
  <c r="Z1949" i="3"/>
  <c r="Z1953" i="3"/>
  <c r="Z1959" i="3"/>
  <c r="Z1963" i="3"/>
  <c r="Z1967" i="3"/>
  <c r="Z1972" i="3"/>
  <c r="Z1974" i="3"/>
  <c r="Z1976" i="3"/>
  <c r="Z1978" i="3"/>
  <c r="Z1980" i="3"/>
  <c r="Z1982" i="3"/>
  <c r="Z1984" i="3"/>
  <c r="Z1988" i="3"/>
  <c r="Z1992" i="3"/>
  <c r="Z1973" i="3"/>
  <c r="Z1975" i="3"/>
  <c r="Z1977" i="3"/>
  <c r="Z1979" i="3"/>
  <c r="Z1981" i="3"/>
  <c r="Z1985" i="3"/>
  <c r="Z1989" i="3"/>
  <c r="Z1993" i="3"/>
  <c r="Z1999" i="3"/>
  <c r="Z2003" i="3"/>
  <c r="Z2007" i="3"/>
  <c r="Z2011" i="3"/>
  <c r="Z2015" i="3"/>
  <c r="Z1995" i="3"/>
  <c r="Z2010" i="3"/>
  <c r="Z2014" i="3"/>
  <c r="Z2019" i="3"/>
  <c r="Z2023" i="3"/>
  <c r="Z2027" i="3"/>
  <c r="Z2033" i="3"/>
  <c r="Z2037" i="3"/>
  <c r="Z2041" i="3"/>
  <c r="Z2024" i="3"/>
  <c r="Z2028" i="3"/>
  <c r="Z2032" i="3"/>
  <c r="Z2034" i="3"/>
  <c r="Z2036" i="3"/>
  <c r="Z2038" i="3"/>
  <c r="Z2040" i="3"/>
  <c r="Z2044" i="3"/>
  <c r="Z2046" i="3"/>
  <c r="Z2048" i="3"/>
  <c r="Z2050" i="3"/>
  <c r="Z2052" i="3"/>
  <c r="S1891" i="3"/>
  <c r="Z1891" i="3" s="1"/>
  <c r="X1860" i="3"/>
  <c r="Y1869" i="3"/>
  <c r="T1900" i="3"/>
  <c r="U1900" i="3"/>
  <c r="V1900" i="3"/>
  <c r="W1900" i="3"/>
  <c r="X1900" i="3"/>
  <c r="Y1900" i="3"/>
  <c r="T1898" i="3"/>
  <c r="U1898" i="3"/>
  <c r="V1898" i="3"/>
  <c r="W1898" i="3"/>
  <c r="X1898" i="3"/>
  <c r="Y1898" i="3"/>
  <c r="T1896" i="3"/>
  <c r="U1896" i="3"/>
  <c r="V1896" i="3"/>
  <c r="W1896" i="3"/>
  <c r="X1896" i="3"/>
  <c r="Y1896" i="3"/>
  <c r="T1894" i="3"/>
  <c r="U1894" i="3"/>
  <c r="V1894" i="3"/>
  <c r="W1894" i="3"/>
  <c r="X1894" i="3"/>
  <c r="Y1894" i="3"/>
  <c r="T1892" i="3"/>
  <c r="U1892" i="3"/>
  <c r="V1892" i="3"/>
  <c r="W1892" i="3"/>
  <c r="X1892" i="3"/>
  <c r="Y1892" i="3"/>
  <c r="T1890" i="3"/>
  <c r="U1890" i="3"/>
  <c r="V1890" i="3"/>
  <c r="W1890" i="3"/>
  <c r="X1890" i="3"/>
  <c r="Y1890" i="3"/>
  <c r="T1888" i="3"/>
  <c r="U1888" i="3"/>
  <c r="V1888" i="3"/>
  <c r="W1888" i="3"/>
  <c r="X1888" i="3"/>
  <c r="Y1888" i="3"/>
  <c r="T1886" i="3"/>
  <c r="U1886" i="3"/>
  <c r="V1886" i="3"/>
  <c r="W1886" i="3"/>
  <c r="X1886" i="3"/>
  <c r="Y1886" i="3"/>
  <c r="T1884" i="3"/>
  <c r="U1884" i="3"/>
  <c r="V1884" i="3"/>
  <c r="W1884" i="3"/>
  <c r="X1884" i="3"/>
  <c r="Y1884" i="3"/>
  <c r="T1882" i="3"/>
  <c r="U1882" i="3"/>
  <c r="V1882" i="3"/>
  <c r="W1882" i="3"/>
  <c r="X1882" i="3"/>
  <c r="Y1882" i="3"/>
  <c r="T1901" i="3"/>
  <c r="U1901" i="3"/>
  <c r="V1901" i="3"/>
  <c r="W1901" i="3"/>
  <c r="X1901" i="3"/>
  <c r="Y1901" i="3"/>
  <c r="T1899" i="3"/>
  <c r="U1899" i="3"/>
  <c r="V1899" i="3"/>
  <c r="W1899" i="3"/>
  <c r="X1899" i="3"/>
  <c r="Y1899" i="3"/>
  <c r="T1897" i="3"/>
  <c r="U1897" i="3"/>
  <c r="V1897" i="3"/>
  <c r="W1897" i="3"/>
  <c r="X1897" i="3"/>
  <c r="Y1897" i="3"/>
  <c r="T1895" i="3"/>
  <c r="U1895" i="3"/>
  <c r="V1895" i="3"/>
  <c r="W1895" i="3"/>
  <c r="X1895" i="3"/>
  <c r="Y1895" i="3"/>
  <c r="T1893" i="3"/>
  <c r="U1893" i="3"/>
  <c r="V1893" i="3"/>
  <c r="W1893" i="3"/>
  <c r="X1893" i="3"/>
  <c r="Y1893" i="3"/>
  <c r="T1889" i="3"/>
  <c r="U1889" i="3"/>
  <c r="V1889" i="3"/>
  <c r="W1889" i="3"/>
  <c r="X1889" i="3"/>
  <c r="Y1889" i="3"/>
  <c r="T1887" i="3"/>
  <c r="U1887" i="3"/>
  <c r="V1887" i="3"/>
  <c r="W1887" i="3"/>
  <c r="X1887" i="3"/>
  <c r="Y1887" i="3"/>
  <c r="T1885" i="3"/>
  <c r="U1885" i="3"/>
  <c r="V1885" i="3"/>
  <c r="W1885" i="3"/>
  <c r="X1885" i="3"/>
  <c r="Y1885" i="3"/>
  <c r="T1883" i="3"/>
  <c r="U1883" i="3"/>
  <c r="V1883" i="3"/>
  <c r="W1883" i="3"/>
  <c r="X1883" i="3"/>
  <c r="Y1883" i="3"/>
  <c r="T1881" i="3"/>
  <c r="U1881" i="3"/>
  <c r="V1881" i="3"/>
  <c r="W1881" i="3"/>
  <c r="X1881" i="3"/>
  <c r="Y1881" i="3"/>
  <c r="S1869" i="3"/>
  <c r="Z1869" i="3" s="1"/>
  <c r="U1879" i="3"/>
  <c r="W1879" i="3"/>
  <c r="Y1879" i="3"/>
  <c r="T1879" i="3"/>
  <c r="V1879" i="3"/>
  <c r="X1879" i="3"/>
  <c r="U1877" i="3"/>
  <c r="W1877" i="3"/>
  <c r="Y1877" i="3"/>
  <c r="T1877" i="3"/>
  <c r="V1877" i="3"/>
  <c r="X1877" i="3"/>
  <c r="U1875" i="3"/>
  <c r="W1875" i="3"/>
  <c r="Y1875" i="3"/>
  <c r="T1875" i="3"/>
  <c r="V1875" i="3"/>
  <c r="X1875" i="3"/>
  <c r="U1873" i="3"/>
  <c r="W1873" i="3"/>
  <c r="Y1873" i="3"/>
  <c r="T1873" i="3"/>
  <c r="V1873" i="3"/>
  <c r="X1873" i="3"/>
  <c r="U1871" i="3"/>
  <c r="W1871" i="3"/>
  <c r="Y1871" i="3"/>
  <c r="T1871" i="3"/>
  <c r="V1871" i="3"/>
  <c r="X1871" i="3"/>
  <c r="T1878" i="3"/>
  <c r="V1878" i="3"/>
  <c r="X1878" i="3"/>
  <c r="U1878" i="3"/>
  <c r="W1878" i="3"/>
  <c r="Y1878" i="3"/>
  <c r="T1876" i="3"/>
  <c r="V1876" i="3"/>
  <c r="X1876" i="3"/>
  <c r="U1876" i="3"/>
  <c r="W1876" i="3"/>
  <c r="Y1876" i="3"/>
  <c r="T1874" i="3"/>
  <c r="V1874" i="3"/>
  <c r="X1874" i="3"/>
  <c r="U1874" i="3"/>
  <c r="W1874" i="3"/>
  <c r="Y1874" i="3"/>
  <c r="T1872" i="3"/>
  <c r="V1872" i="3"/>
  <c r="X1872" i="3"/>
  <c r="U1872" i="3"/>
  <c r="W1872" i="3"/>
  <c r="Y1872" i="3"/>
  <c r="T1870" i="3"/>
  <c r="V1870" i="3"/>
  <c r="X1870" i="3"/>
  <c r="U1870" i="3"/>
  <c r="W1870" i="3"/>
  <c r="Y1870" i="3"/>
  <c r="T1867" i="3"/>
  <c r="U1867" i="3"/>
  <c r="V1867" i="3"/>
  <c r="W1867" i="3"/>
  <c r="T1865" i="3"/>
  <c r="U1865" i="3"/>
  <c r="V1865" i="3"/>
  <c r="W1865" i="3"/>
  <c r="T1863" i="3"/>
  <c r="U1863" i="3"/>
  <c r="V1863" i="3"/>
  <c r="W1863" i="3"/>
  <c r="T1861" i="3"/>
  <c r="U1861" i="3"/>
  <c r="V1861" i="3"/>
  <c r="W1861" i="3"/>
  <c r="X1861" i="3"/>
  <c r="T1859" i="3"/>
  <c r="U1859" i="3"/>
  <c r="V1859" i="3"/>
  <c r="W1859" i="3"/>
  <c r="X1859" i="3"/>
  <c r="T1855" i="3"/>
  <c r="U1855" i="3"/>
  <c r="V1855" i="3"/>
  <c r="W1855" i="3"/>
  <c r="X1855" i="3"/>
  <c r="T1853" i="3"/>
  <c r="U1853" i="3"/>
  <c r="V1853" i="3"/>
  <c r="W1853" i="3"/>
  <c r="X1853" i="3"/>
  <c r="T1851" i="3"/>
  <c r="U1851" i="3"/>
  <c r="V1851" i="3"/>
  <c r="W1851" i="3"/>
  <c r="X1851" i="3"/>
  <c r="T1849" i="3"/>
  <c r="U1849" i="3"/>
  <c r="V1849" i="3"/>
  <c r="W1849" i="3"/>
  <c r="X1849" i="3"/>
  <c r="T1847" i="3"/>
  <c r="U1847" i="3"/>
  <c r="V1847" i="3"/>
  <c r="W1847" i="3"/>
  <c r="X1847" i="3"/>
  <c r="T1845" i="3"/>
  <c r="U1845" i="3"/>
  <c r="V1845" i="3"/>
  <c r="W1845" i="3"/>
  <c r="X1845" i="3"/>
  <c r="Y1867" i="3"/>
  <c r="Y1865" i="3"/>
  <c r="Y1863" i="3"/>
  <c r="Y1861" i="3"/>
  <c r="Y1859" i="3"/>
  <c r="Y1855" i="3"/>
  <c r="Y1853" i="3"/>
  <c r="Y1851" i="3"/>
  <c r="Y1849" i="3"/>
  <c r="Y1847" i="3"/>
  <c r="Y1845" i="3"/>
  <c r="X1867" i="3"/>
  <c r="X1865" i="3"/>
  <c r="X1863" i="3"/>
  <c r="T1868" i="3"/>
  <c r="U1868" i="3"/>
  <c r="V1868" i="3"/>
  <c r="W1868" i="3"/>
  <c r="T1866" i="3"/>
  <c r="U1866" i="3"/>
  <c r="V1866" i="3"/>
  <c r="W1866" i="3"/>
  <c r="T1864" i="3"/>
  <c r="U1864" i="3"/>
  <c r="V1864" i="3"/>
  <c r="W1864" i="3"/>
  <c r="T1862" i="3"/>
  <c r="U1862" i="3"/>
  <c r="V1862" i="3"/>
  <c r="W1862" i="3"/>
  <c r="T1860" i="3"/>
  <c r="U1860" i="3"/>
  <c r="V1860" i="3"/>
  <c r="W1860" i="3"/>
  <c r="T1858" i="3"/>
  <c r="U1858" i="3"/>
  <c r="V1858" i="3"/>
  <c r="W1858" i="3"/>
  <c r="T1856" i="3"/>
  <c r="U1856" i="3"/>
  <c r="V1856" i="3"/>
  <c r="W1856" i="3"/>
  <c r="X1856" i="3"/>
  <c r="T1854" i="3"/>
  <c r="U1854" i="3"/>
  <c r="V1854" i="3"/>
  <c r="W1854" i="3"/>
  <c r="X1854" i="3"/>
  <c r="T1852" i="3"/>
  <c r="U1852" i="3"/>
  <c r="V1852" i="3"/>
  <c r="W1852" i="3"/>
  <c r="X1852" i="3"/>
  <c r="T1850" i="3"/>
  <c r="U1850" i="3"/>
  <c r="V1850" i="3"/>
  <c r="W1850" i="3"/>
  <c r="X1850" i="3"/>
  <c r="T1848" i="3"/>
  <c r="U1848" i="3"/>
  <c r="V1848" i="3"/>
  <c r="W1848" i="3"/>
  <c r="X1848" i="3"/>
  <c r="T1846" i="3"/>
  <c r="U1846" i="3"/>
  <c r="V1846" i="3"/>
  <c r="W1846" i="3"/>
  <c r="X1846" i="3"/>
  <c r="T1844" i="3"/>
  <c r="U1844" i="3"/>
  <c r="V1844" i="3"/>
  <c r="W1844" i="3"/>
  <c r="X1844" i="3"/>
  <c r="Y1868" i="3"/>
  <c r="Y1866" i="3"/>
  <c r="Y1864" i="3"/>
  <c r="Y1862" i="3"/>
  <c r="Y1860" i="3"/>
  <c r="Y1858" i="3"/>
  <c r="Y1856" i="3"/>
  <c r="Y1854" i="3"/>
  <c r="Y1852" i="3"/>
  <c r="Y1850" i="3"/>
  <c r="Y1848" i="3"/>
  <c r="Y1846" i="3"/>
  <c r="Y1844" i="3"/>
  <c r="X1868" i="3"/>
  <c r="X1866" i="3"/>
  <c r="X1864" i="3"/>
  <c r="X1862" i="3"/>
  <c r="X1858" i="3"/>
  <c r="S1829" i="3"/>
  <c r="Z1829" i="3" s="1"/>
  <c r="S1818" i="3"/>
  <c r="Z1818" i="3" s="1"/>
  <c r="T1841" i="3"/>
  <c r="V1841" i="3"/>
  <c r="X1841" i="3"/>
  <c r="U1841" i="3"/>
  <c r="W1841" i="3"/>
  <c r="T1839" i="3"/>
  <c r="V1839" i="3"/>
  <c r="X1839" i="3"/>
  <c r="U1839" i="3"/>
  <c r="W1839" i="3"/>
  <c r="T1837" i="3"/>
  <c r="V1837" i="3"/>
  <c r="X1837" i="3"/>
  <c r="U1837" i="3"/>
  <c r="W1837" i="3"/>
  <c r="T1835" i="3"/>
  <c r="V1835" i="3"/>
  <c r="X1835" i="3"/>
  <c r="U1835" i="3"/>
  <c r="W1835" i="3"/>
  <c r="T1833" i="3"/>
  <c r="V1833" i="3"/>
  <c r="X1833" i="3"/>
  <c r="U1833" i="3"/>
  <c r="W1833" i="3"/>
  <c r="T1831" i="3"/>
  <c r="V1831" i="3"/>
  <c r="X1831" i="3"/>
  <c r="U1831" i="3"/>
  <c r="W1831" i="3"/>
  <c r="T1827" i="3"/>
  <c r="V1827" i="3"/>
  <c r="X1827" i="3"/>
  <c r="U1827" i="3"/>
  <c r="W1827" i="3"/>
  <c r="T1825" i="3"/>
  <c r="V1825" i="3"/>
  <c r="X1825" i="3"/>
  <c r="U1825" i="3"/>
  <c r="W1825" i="3"/>
  <c r="T1823" i="3"/>
  <c r="V1823" i="3"/>
  <c r="X1823" i="3"/>
  <c r="U1823" i="3"/>
  <c r="W1823" i="3"/>
  <c r="T1821" i="3"/>
  <c r="V1821" i="3"/>
  <c r="X1821" i="3"/>
  <c r="U1821" i="3"/>
  <c r="W1821" i="3"/>
  <c r="T1819" i="3"/>
  <c r="V1819" i="3"/>
  <c r="X1819" i="3"/>
  <c r="U1819" i="3"/>
  <c r="W1819" i="3"/>
  <c r="Y1819" i="3"/>
  <c r="Y1841" i="3"/>
  <c r="Y1839" i="3"/>
  <c r="Y1837" i="3"/>
  <c r="Y1835" i="3"/>
  <c r="Y1833" i="3"/>
  <c r="Y1831" i="3"/>
  <c r="Y1827" i="3"/>
  <c r="Y1825" i="3"/>
  <c r="Y1823" i="3"/>
  <c r="Y1821" i="3"/>
  <c r="U1842" i="3"/>
  <c r="W1842" i="3"/>
  <c r="T1842" i="3"/>
  <c r="V1842" i="3"/>
  <c r="X1842" i="3"/>
  <c r="U1840" i="3"/>
  <c r="W1840" i="3"/>
  <c r="T1840" i="3"/>
  <c r="V1840" i="3"/>
  <c r="X1840" i="3"/>
  <c r="U1838" i="3"/>
  <c r="W1838" i="3"/>
  <c r="T1838" i="3"/>
  <c r="V1838" i="3"/>
  <c r="X1838" i="3"/>
  <c r="U1836" i="3"/>
  <c r="W1836" i="3"/>
  <c r="T1836" i="3"/>
  <c r="V1836" i="3"/>
  <c r="X1836" i="3"/>
  <c r="U1834" i="3"/>
  <c r="W1834" i="3"/>
  <c r="T1834" i="3"/>
  <c r="V1834" i="3"/>
  <c r="X1834" i="3"/>
  <c r="U1832" i="3"/>
  <c r="W1832" i="3"/>
  <c r="T1832" i="3"/>
  <c r="V1832" i="3"/>
  <c r="X1832" i="3"/>
  <c r="U1830" i="3"/>
  <c r="W1830" i="3"/>
  <c r="T1830" i="3"/>
  <c r="V1830" i="3"/>
  <c r="X1830" i="3"/>
  <c r="U1828" i="3"/>
  <c r="W1828" i="3"/>
  <c r="T1828" i="3"/>
  <c r="V1828" i="3"/>
  <c r="X1828" i="3"/>
  <c r="U1826" i="3"/>
  <c r="W1826" i="3"/>
  <c r="T1826" i="3"/>
  <c r="V1826" i="3"/>
  <c r="X1826" i="3"/>
  <c r="U1824" i="3"/>
  <c r="W1824" i="3"/>
  <c r="T1824" i="3"/>
  <c r="V1824" i="3"/>
  <c r="X1824" i="3"/>
  <c r="U1822" i="3"/>
  <c r="W1822" i="3"/>
  <c r="T1822" i="3"/>
  <c r="V1822" i="3"/>
  <c r="X1822" i="3"/>
  <c r="U1820" i="3"/>
  <c r="W1820" i="3"/>
  <c r="Y1820" i="3"/>
  <c r="T1820" i="3"/>
  <c r="V1820" i="3"/>
  <c r="X1820" i="3"/>
  <c r="Y1842" i="3"/>
  <c r="Y1840" i="3"/>
  <c r="Y1838" i="3"/>
  <c r="Y1836" i="3"/>
  <c r="Y1834" i="3"/>
  <c r="Y1832" i="3"/>
  <c r="Y1830" i="3"/>
  <c r="Y1828" i="3"/>
  <c r="Y1826" i="3"/>
  <c r="Y1824" i="3"/>
  <c r="Y1822" i="3"/>
  <c r="S1796" i="3"/>
  <c r="Z1796" i="3" s="1"/>
  <c r="T1817" i="3"/>
  <c r="U1817" i="3"/>
  <c r="V1817" i="3"/>
  <c r="W1817" i="3"/>
  <c r="X1817" i="3"/>
  <c r="T1815" i="3"/>
  <c r="U1815" i="3"/>
  <c r="V1815" i="3"/>
  <c r="W1815" i="3"/>
  <c r="X1815" i="3"/>
  <c r="Y1815" i="3"/>
  <c r="T1813" i="3"/>
  <c r="U1813" i="3"/>
  <c r="V1813" i="3"/>
  <c r="W1813" i="3"/>
  <c r="X1813" i="3"/>
  <c r="Y1813" i="3"/>
  <c r="T1811" i="3"/>
  <c r="U1811" i="3"/>
  <c r="V1811" i="3"/>
  <c r="W1811" i="3"/>
  <c r="X1811" i="3"/>
  <c r="Y1811" i="3"/>
  <c r="T1809" i="3"/>
  <c r="U1809" i="3"/>
  <c r="V1809" i="3"/>
  <c r="W1809" i="3"/>
  <c r="X1809" i="3"/>
  <c r="Y1809" i="3"/>
  <c r="T1805" i="3"/>
  <c r="U1805" i="3"/>
  <c r="V1805" i="3"/>
  <c r="W1805" i="3"/>
  <c r="X1805" i="3"/>
  <c r="Y1805" i="3"/>
  <c r="T1803" i="3"/>
  <c r="U1803" i="3"/>
  <c r="V1803" i="3"/>
  <c r="W1803" i="3"/>
  <c r="X1803" i="3"/>
  <c r="Y1803" i="3"/>
  <c r="T1801" i="3"/>
  <c r="U1801" i="3"/>
  <c r="V1801" i="3"/>
  <c r="W1801" i="3"/>
  <c r="X1801" i="3"/>
  <c r="Y1801" i="3"/>
  <c r="T1799" i="3"/>
  <c r="U1799" i="3"/>
  <c r="V1799" i="3"/>
  <c r="W1799" i="3"/>
  <c r="X1799" i="3"/>
  <c r="Y1799" i="3"/>
  <c r="T1797" i="3"/>
  <c r="U1797" i="3"/>
  <c r="V1797" i="3"/>
  <c r="W1797" i="3"/>
  <c r="X1797" i="3"/>
  <c r="Y1797" i="3"/>
  <c r="T1816" i="3"/>
  <c r="U1816" i="3"/>
  <c r="V1816" i="3"/>
  <c r="W1816" i="3"/>
  <c r="X1816" i="3"/>
  <c r="Y1816" i="3"/>
  <c r="T1814" i="3"/>
  <c r="U1814" i="3"/>
  <c r="V1814" i="3"/>
  <c r="W1814" i="3"/>
  <c r="X1814" i="3"/>
  <c r="Y1814" i="3"/>
  <c r="T1812" i="3"/>
  <c r="U1812" i="3"/>
  <c r="V1812" i="3"/>
  <c r="W1812" i="3"/>
  <c r="X1812" i="3"/>
  <c r="Y1812" i="3"/>
  <c r="T1810" i="3"/>
  <c r="U1810" i="3"/>
  <c r="V1810" i="3"/>
  <c r="W1810" i="3"/>
  <c r="X1810" i="3"/>
  <c r="Y1810" i="3"/>
  <c r="T1808" i="3"/>
  <c r="U1808" i="3"/>
  <c r="V1808" i="3"/>
  <c r="W1808" i="3"/>
  <c r="X1808" i="3"/>
  <c r="Y1808" i="3"/>
  <c r="T1806" i="3"/>
  <c r="U1806" i="3"/>
  <c r="V1806" i="3"/>
  <c r="W1806" i="3"/>
  <c r="X1806" i="3"/>
  <c r="Y1806" i="3"/>
  <c r="T1804" i="3"/>
  <c r="U1804" i="3"/>
  <c r="V1804" i="3"/>
  <c r="W1804" i="3"/>
  <c r="X1804" i="3"/>
  <c r="Y1804" i="3"/>
  <c r="T1802" i="3"/>
  <c r="U1802" i="3"/>
  <c r="V1802" i="3"/>
  <c r="W1802" i="3"/>
  <c r="X1802" i="3"/>
  <c r="Y1802" i="3"/>
  <c r="T1800" i="3"/>
  <c r="U1800" i="3"/>
  <c r="V1800" i="3"/>
  <c r="W1800" i="3"/>
  <c r="X1800" i="3"/>
  <c r="Y1800" i="3"/>
  <c r="T1798" i="3"/>
  <c r="U1798" i="3"/>
  <c r="V1798" i="3"/>
  <c r="W1798" i="3"/>
  <c r="X1798" i="3"/>
  <c r="Y1798" i="3"/>
  <c r="Y1817" i="3"/>
  <c r="Y1787" i="3"/>
  <c r="S1785" i="3"/>
  <c r="Z1785" i="3" s="1"/>
  <c r="S1773" i="3"/>
  <c r="Z1773" i="3" s="1"/>
  <c r="T1794" i="3"/>
  <c r="V1794" i="3"/>
  <c r="X1794" i="3"/>
  <c r="U1794" i="3"/>
  <c r="W1794" i="3"/>
  <c r="T1792" i="3"/>
  <c r="V1792" i="3"/>
  <c r="X1792" i="3"/>
  <c r="U1792" i="3"/>
  <c r="W1792" i="3"/>
  <c r="T1790" i="3"/>
  <c r="V1790" i="3"/>
  <c r="X1790" i="3"/>
  <c r="U1790" i="3"/>
  <c r="W1790" i="3"/>
  <c r="T1788" i="3"/>
  <c r="V1788" i="3"/>
  <c r="X1788" i="3"/>
  <c r="U1788" i="3"/>
  <c r="W1788" i="3"/>
  <c r="Y1788" i="3"/>
  <c r="T1786" i="3"/>
  <c r="V1786" i="3"/>
  <c r="X1786" i="3"/>
  <c r="U1786" i="3"/>
  <c r="W1786" i="3"/>
  <c r="Y1786" i="3"/>
  <c r="T1784" i="3"/>
  <c r="V1784" i="3"/>
  <c r="X1784" i="3"/>
  <c r="U1784" i="3"/>
  <c r="W1784" i="3"/>
  <c r="Y1784" i="3"/>
  <c r="T1782" i="3"/>
  <c r="V1782" i="3"/>
  <c r="X1782" i="3"/>
  <c r="U1782" i="3"/>
  <c r="W1782" i="3"/>
  <c r="Y1782" i="3"/>
  <c r="T1780" i="3"/>
  <c r="V1780" i="3"/>
  <c r="X1780" i="3"/>
  <c r="U1780" i="3"/>
  <c r="W1780" i="3"/>
  <c r="Y1780" i="3"/>
  <c r="T1778" i="3"/>
  <c r="V1778" i="3"/>
  <c r="X1778" i="3"/>
  <c r="U1778" i="3"/>
  <c r="W1778" i="3"/>
  <c r="Y1778" i="3"/>
  <c r="T1776" i="3"/>
  <c r="V1776" i="3"/>
  <c r="X1776" i="3"/>
  <c r="U1776" i="3"/>
  <c r="W1776" i="3"/>
  <c r="Y1776" i="3"/>
  <c r="T1774" i="3"/>
  <c r="V1774" i="3"/>
  <c r="X1774" i="3"/>
  <c r="U1774" i="3"/>
  <c r="W1774" i="3"/>
  <c r="Y1774" i="3"/>
  <c r="Y1794" i="3"/>
  <c r="Y1792" i="3"/>
  <c r="Y1790" i="3"/>
  <c r="U1795" i="3"/>
  <c r="W1795" i="3"/>
  <c r="T1795" i="3"/>
  <c r="V1795" i="3"/>
  <c r="X1795" i="3"/>
  <c r="U1793" i="3"/>
  <c r="W1793" i="3"/>
  <c r="T1793" i="3"/>
  <c r="V1793" i="3"/>
  <c r="X1793" i="3"/>
  <c r="U1791" i="3"/>
  <c r="W1791" i="3"/>
  <c r="T1791" i="3"/>
  <c r="V1791" i="3"/>
  <c r="X1791" i="3"/>
  <c r="U1789" i="3"/>
  <c r="W1789" i="3"/>
  <c r="T1789" i="3"/>
  <c r="V1789" i="3"/>
  <c r="X1789" i="3"/>
  <c r="U1787" i="3"/>
  <c r="W1787" i="3"/>
  <c r="T1787" i="3"/>
  <c r="V1787" i="3"/>
  <c r="X1787" i="3"/>
  <c r="U1783" i="3"/>
  <c r="W1783" i="3"/>
  <c r="Y1783" i="3"/>
  <c r="T1783" i="3"/>
  <c r="V1783" i="3"/>
  <c r="X1783" i="3"/>
  <c r="U1781" i="3"/>
  <c r="W1781" i="3"/>
  <c r="Y1781" i="3"/>
  <c r="T1781" i="3"/>
  <c r="V1781" i="3"/>
  <c r="X1781" i="3"/>
  <c r="U1779" i="3"/>
  <c r="W1779" i="3"/>
  <c r="Y1779" i="3"/>
  <c r="T1779" i="3"/>
  <c r="V1779" i="3"/>
  <c r="X1779" i="3"/>
  <c r="U1777" i="3"/>
  <c r="W1777" i="3"/>
  <c r="Y1777" i="3"/>
  <c r="T1777" i="3"/>
  <c r="V1777" i="3"/>
  <c r="X1777" i="3"/>
  <c r="U1775" i="3"/>
  <c r="W1775" i="3"/>
  <c r="Y1775" i="3"/>
  <c r="T1775" i="3"/>
  <c r="V1775" i="3"/>
  <c r="X1775" i="3"/>
  <c r="Y1795" i="3"/>
  <c r="Y1793" i="3"/>
  <c r="Y1791" i="3"/>
  <c r="Y1789" i="3"/>
  <c r="S1762" i="3"/>
  <c r="Z1762" i="3" s="1"/>
  <c r="U1772" i="3"/>
  <c r="W1772" i="3"/>
  <c r="Y1772" i="3"/>
  <c r="T1772" i="3"/>
  <c r="V1772" i="3"/>
  <c r="X1772" i="3"/>
  <c r="U1770" i="3"/>
  <c r="W1770" i="3"/>
  <c r="Y1770" i="3"/>
  <c r="T1770" i="3"/>
  <c r="V1770" i="3"/>
  <c r="X1770" i="3"/>
  <c r="U1768" i="3"/>
  <c r="W1768" i="3"/>
  <c r="Y1768" i="3"/>
  <c r="T1768" i="3"/>
  <c r="V1768" i="3"/>
  <c r="X1768" i="3"/>
  <c r="U1766" i="3"/>
  <c r="W1766" i="3"/>
  <c r="Y1766" i="3"/>
  <c r="T1766" i="3"/>
  <c r="V1766" i="3"/>
  <c r="X1766" i="3"/>
  <c r="U1764" i="3"/>
  <c r="W1764" i="3"/>
  <c r="Y1764" i="3"/>
  <c r="T1764" i="3"/>
  <c r="V1764" i="3"/>
  <c r="X1764" i="3"/>
  <c r="T1771" i="3"/>
  <c r="V1771" i="3"/>
  <c r="X1771" i="3"/>
  <c r="U1771" i="3"/>
  <c r="W1771" i="3"/>
  <c r="Y1771" i="3"/>
  <c r="T1769" i="3"/>
  <c r="V1769" i="3"/>
  <c r="X1769" i="3"/>
  <c r="U1769" i="3"/>
  <c r="W1769" i="3"/>
  <c r="Y1769" i="3"/>
  <c r="T1767" i="3"/>
  <c r="V1767" i="3"/>
  <c r="X1767" i="3"/>
  <c r="U1767" i="3"/>
  <c r="W1767" i="3"/>
  <c r="Y1767" i="3"/>
  <c r="T1765" i="3"/>
  <c r="V1765" i="3"/>
  <c r="X1765" i="3"/>
  <c r="U1765" i="3"/>
  <c r="W1765" i="3"/>
  <c r="Y1765" i="3"/>
  <c r="T1763" i="3"/>
  <c r="V1763" i="3"/>
  <c r="X1763" i="3"/>
  <c r="U1763" i="3"/>
  <c r="W1763" i="3"/>
  <c r="Y1763" i="3"/>
  <c r="S1751" i="3"/>
  <c r="Z1751" i="3" s="1"/>
  <c r="U1761" i="3"/>
  <c r="W1761" i="3"/>
  <c r="Y1761" i="3"/>
  <c r="T1761" i="3"/>
  <c r="V1761" i="3"/>
  <c r="X1761" i="3"/>
  <c r="U1759" i="3"/>
  <c r="W1759" i="3"/>
  <c r="Y1759" i="3"/>
  <c r="T1759" i="3"/>
  <c r="V1759" i="3"/>
  <c r="X1759" i="3"/>
  <c r="U1757" i="3"/>
  <c r="W1757" i="3"/>
  <c r="Y1757" i="3"/>
  <c r="T1757" i="3"/>
  <c r="V1757" i="3"/>
  <c r="X1757" i="3"/>
  <c r="U1755" i="3"/>
  <c r="W1755" i="3"/>
  <c r="Y1755" i="3"/>
  <c r="T1755" i="3"/>
  <c r="V1755" i="3"/>
  <c r="X1755" i="3"/>
  <c r="U1753" i="3"/>
  <c r="W1753" i="3"/>
  <c r="Y1753" i="3"/>
  <c r="T1753" i="3"/>
  <c r="V1753" i="3"/>
  <c r="X1753" i="3"/>
  <c r="T1760" i="3"/>
  <c r="V1760" i="3"/>
  <c r="X1760" i="3"/>
  <c r="U1760" i="3"/>
  <c r="W1760" i="3"/>
  <c r="Y1760" i="3"/>
  <c r="T1758" i="3"/>
  <c r="V1758" i="3"/>
  <c r="X1758" i="3"/>
  <c r="U1758" i="3"/>
  <c r="W1758" i="3"/>
  <c r="Y1758" i="3"/>
  <c r="T1756" i="3"/>
  <c r="V1756" i="3"/>
  <c r="X1756" i="3"/>
  <c r="U1756" i="3"/>
  <c r="W1756" i="3"/>
  <c r="Y1756" i="3"/>
  <c r="T1754" i="3"/>
  <c r="V1754" i="3"/>
  <c r="X1754" i="3"/>
  <c r="U1754" i="3"/>
  <c r="W1754" i="3"/>
  <c r="Y1754" i="3"/>
  <c r="T1752" i="3"/>
  <c r="V1752" i="3"/>
  <c r="X1752" i="3"/>
  <c r="U1752" i="3"/>
  <c r="W1752" i="3"/>
  <c r="Y1752" i="3"/>
  <c r="S1740" i="3"/>
  <c r="Z1740" i="3" s="1"/>
  <c r="U1750" i="3"/>
  <c r="W1750" i="3"/>
  <c r="Y1750" i="3"/>
  <c r="T1750" i="3"/>
  <c r="V1750" i="3"/>
  <c r="X1750" i="3"/>
  <c r="U1748" i="3"/>
  <c r="W1748" i="3"/>
  <c r="Y1748" i="3"/>
  <c r="T1748" i="3"/>
  <c r="V1748" i="3"/>
  <c r="X1748" i="3"/>
  <c r="U1746" i="3"/>
  <c r="W1746" i="3"/>
  <c r="Y1746" i="3"/>
  <c r="T1746" i="3"/>
  <c r="V1746" i="3"/>
  <c r="X1746" i="3"/>
  <c r="U1744" i="3"/>
  <c r="W1744" i="3"/>
  <c r="Y1744" i="3"/>
  <c r="T1744" i="3"/>
  <c r="V1744" i="3"/>
  <c r="X1744" i="3"/>
  <c r="U1742" i="3"/>
  <c r="W1742" i="3"/>
  <c r="Y1742" i="3"/>
  <c r="T1742" i="3"/>
  <c r="V1742" i="3"/>
  <c r="X1742" i="3"/>
  <c r="T1749" i="3"/>
  <c r="V1749" i="3"/>
  <c r="X1749" i="3"/>
  <c r="U1749" i="3"/>
  <c r="W1749" i="3"/>
  <c r="Y1749" i="3"/>
  <c r="T1747" i="3"/>
  <c r="V1747" i="3"/>
  <c r="X1747" i="3"/>
  <c r="U1747" i="3"/>
  <c r="W1747" i="3"/>
  <c r="Y1747" i="3"/>
  <c r="T1745" i="3"/>
  <c r="V1745" i="3"/>
  <c r="X1745" i="3"/>
  <c r="U1745" i="3"/>
  <c r="W1745" i="3"/>
  <c r="Y1745" i="3"/>
  <c r="T1743" i="3"/>
  <c r="V1743" i="3"/>
  <c r="X1743" i="3"/>
  <c r="U1743" i="3"/>
  <c r="W1743" i="3"/>
  <c r="Y1743" i="3"/>
  <c r="T1741" i="3"/>
  <c r="V1741" i="3"/>
  <c r="X1741" i="3"/>
  <c r="U1741" i="3"/>
  <c r="W1741" i="3"/>
  <c r="Y1741" i="3"/>
  <c r="U1738" i="3"/>
  <c r="W1738" i="3"/>
  <c r="Y1738" i="3"/>
  <c r="U1734" i="3"/>
  <c r="W1734" i="3"/>
  <c r="Y1734" i="3"/>
  <c r="U1730" i="3"/>
  <c r="W1730" i="3"/>
  <c r="Y1730" i="3"/>
  <c r="T1737" i="3"/>
  <c r="V1737" i="3"/>
  <c r="X1737" i="3"/>
  <c r="U1733" i="3"/>
  <c r="S1729" i="3"/>
  <c r="Z1729" i="3" s="1"/>
  <c r="T1738" i="3"/>
  <c r="T1736" i="3"/>
  <c r="T1734" i="3"/>
  <c r="T1732" i="3"/>
  <c r="T1730" i="3"/>
  <c r="U1736" i="3"/>
  <c r="W1736" i="3"/>
  <c r="Y1736" i="3"/>
  <c r="U1732" i="3"/>
  <c r="W1732" i="3"/>
  <c r="Y1732" i="3"/>
  <c r="T1739" i="3"/>
  <c r="V1739" i="3"/>
  <c r="X1739" i="3"/>
  <c r="T1735" i="3"/>
  <c r="V1735" i="3"/>
  <c r="X1735" i="3"/>
  <c r="T1733" i="3"/>
  <c r="V1733" i="3"/>
  <c r="X1733" i="3"/>
  <c r="T1731" i="3"/>
  <c r="V1731" i="3"/>
  <c r="X1731" i="3"/>
  <c r="U1737" i="3"/>
  <c r="U1739" i="3"/>
  <c r="U1735" i="3"/>
  <c r="U1731" i="3"/>
  <c r="Y1739" i="3"/>
  <c r="Y1737" i="3"/>
  <c r="Y1735" i="3"/>
  <c r="Y1733" i="3"/>
  <c r="Y1731" i="3"/>
  <c r="X1738" i="3"/>
  <c r="X1736" i="3"/>
  <c r="X1734" i="3"/>
  <c r="X1732" i="3"/>
  <c r="X1730" i="3"/>
  <c r="W1739" i="3"/>
  <c r="W1737" i="3"/>
  <c r="W1735" i="3"/>
  <c r="W1733" i="3"/>
  <c r="W1731" i="3"/>
  <c r="V1738" i="3"/>
  <c r="V1736" i="3"/>
  <c r="V1734" i="3"/>
  <c r="V1732" i="3"/>
  <c r="V1730" i="3"/>
  <c r="S1718" i="3"/>
  <c r="Z1718" i="3" s="1"/>
  <c r="U1726" i="3"/>
  <c r="W1726" i="3"/>
  <c r="Y1726" i="3"/>
  <c r="T1726" i="3"/>
  <c r="V1726" i="3"/>
  <c r="X1726" i="3"/>
  <c r="U1722" i="3"/>
  <c r="W1722" i="3"/>
  <c r="Y1722" i="3"/>
  <c r="T1722" i="3"/>
  <c r="V1722" i="3"/>
  <c r="X1722" i="3"/>
  <c r="U1720" i="3"/>
  <c r="W1720" i="3"/>
  <c r="Y1720" i="3"/>
  <c r="T1720" i="3"/>
  <c r="V1720" i="3"/>
  <c r="X1720" i="3"/>
  <c r="U1728" i="3"/>
  <c r="W1728" i="3"/>
  <c r="Y1728" i="3"/>
  <c r="T1728" i="3"/>
  <c r="V1728" i="3"/>
  <c r="X1728" i="3"/>
  <c r="U1724" i="3"/>
  <c r="W1724" i="3"/>
  <c r="Y1724" i="3"/>
  <c r="T1724" i="3"/>
  <c r="V1724" i="3"/>
  <c r="X1724" i="3"/>
  <c r="T1727" i="3"/>
  <c r="V1727" i="3"/>
  <c r="X1727" i="3"/>
  <c r="U1727" i="3"/>
  <c r="W1727" i="3"/>
  <c r="Y1727" i="3"/>
  <c r="T1725" i="3"/>
  <c r="V1725" i="3"/>
  <c r="X1725" i="3"/>
  <c r="U1725" i="3"/>
  <c r="W1725" i="3"/>
  <c r="Y1725" i="3"/>
  <c r="T1723" i="3"/>
  <c r="V1723" i="3"/>
  <c r="X1723" i="3"/>
  <c r="U1723" i="3"/>
  <c r="W1723" i="3"/>
  <c r="Y1723" i="3"/>
  <c r="T1721" i="3"/>
  <c r="V1721" i="3"/>
  <c r="X1721" i="3"/>
  <c r="U1721" i="3"/>
  <c r="W1721" i="3"/>
  <c r="Y1721" i="3"/>
  <c r="T1719" i="3"/>
  <c r="V1719" i="3"/>
  <c r="X1719" i="3"/>
  <c r="U1719" i="3"/>
  <c r="W1719" i="3"/>
  <c r="Y1719" i="3"/>
  <c r="S1707" i="3"/>
  <c r="Z1707" i="3" s="1"/>
  <c r="U1717" i="3"/>
  <c r="W1717" i="3"/>
  <c r="Y1717" i="3"/>
  <c r="T1717" i="3"/>
  <c r="V1717" i="3"/>
  <c r="X1717" i="3"/>
  <c r="U1715" i="3"/>
  <c r="W1715" i="3"/>
  <c r="Y1715" i="3"/>
  <c r="T1715" i="3"/>
  <c r="V1715" i="3"/>
  <c r="X1715" i="3"/>
  <c r="U1713" i="3"/>
  <c r="W1713" i="3"/>
  <c r="Y1713" i="3"/>
  <c r="T1713" i="3"/>
  <c r="V1713" i="3"/>
  <c r="X1713" i="3"/>
  <c r="U1711" i="3"/>
  <c r="W1711" i="3"/>
  <c r="Y1711" i="3"/>
  <c r="T1711" i="3"/>
  <c r="V1711" i="3"/>
  <c r="X1711" i="3"/>
  <c r="U1709" i="3"/>
  <c r="W1709" i="3"/>
  <c r="Y1709" i="3"/>
  <c r="T1709" i="3"/>
  <c r="V1709" i="3"/>
  <c r="X1709" i="3"/>
  <c r="T1716" i="3"/>
  <c r="V1716" i="3"/>
  <c r="X1716" i="3"/>
  <c r="U1716" i="3"/>
  <c r="W1716" i="3"/>
  <c r="Y1716" i="3"/>
  <c r="T1714" i="3"/>
  <c r="V1714" i="3"/>
  <c r="X1714" i="3"/>
  <c r="U1714" i="3"/>
  <c r="W1714" i="3"/>
  <c r="Y1714" i="3"/>
  <c r="T1712" i="3"/>
  <c r="V1712" i="3"/>
  <c r="X1712" i="3"/>
  <c r="U1712" i="3"/>
  <c r="W1712" i="3"/>
  <c r="Y1712" i="3"/>
  <c r="T1710" i="3"/>
  <c r="V1710" i="3"/>
  <c r="X1710" i="3"/>
  <c r="U1710" i="3"/>
  <c r="W1710" i="3"/>
  <c r="Y1710" i="3"/>
  <c r="T1708" i="3"/>
  <c r="V1708" i="3"/>
  <c r="X1708" i="3"/>
  <c r="U1708" i="3"/>
  <c r="W1708" i="3"/>
  <c r="Y1708" i="3"/>
  <c r="L2" i="4"/>
  <c r="M2" i="4" s="1"/>
  <c r="L3" i="4"/>
  <c r="L4" i="4"/>
  <c r="L5" i="4"/>
  <c r="L6" i="4"/>
  <c r="L7" i="4"/>
  <c r="L8" i="4"/>
  <c r="L9" i="4"/>
  <c r="L10" i="4"/>
  <c r="L11" i="4"/>
  <c r="L12" i="4"/>
  <c r="L13" i="4"/>
  <c r="L2" i="17"/>
  <c r="M2" i="17" s="1"/>
  <c r="L3" i="17"/>
  <c r="M3" i="17" s="1"/>
  <c r="L4" i="17"/>
  <c r="M4" i="17" s="1"/>
  <c r="L5" i="17"/>
  <c r="M5" i="17" s="1"/>
  <c r="L6" i="17"/>
  <c r="M6" i="17" s="1"/>
  <c r="L7" i="17"/>
  <c r="M7" i="17" s="1"/>
  <c r="L8" i="17"/>
  <c r="M8" i="17" s="1"/>
  <c r="L9" i="17"/>
  <c r="M9" i="17" s="1"/>
  <c r="L10" i="17"/>
  <c r="M10" i="17" s="1"/>
  <c r="L11" i="17"/>
  <c r="M11" i="17" s="1"/>
  <c r="L12" i="17"/>
  <c r="M12" i="17" s="1"/>
  <c r="L13" i="17"/>
  <c r="M13" i="17" s="1"/>
  <c r="B24" i="13"/>
  <c r="Z1711" i="3" l="1"/>
  <c r="Z1709" i="3"/>
  <c r="Z1708" i="3"/>
  <c r="Z1710" i="3"/>
  <c r="Z1712" i="3"/>
  <c r="Z1714" i="3"/>
  <c r="Z1716" i="3"/>
  <c r="Z1724" i="3"/>
  <c r="Z1728" i="3"/>
  <c r="Z1720" i="3"/>
  <c r="Z1722" i="3"/>
  <c r="Z1726" i="3"/>
  <c r="Z1733" i="3"/>
  <c r="Z1739" i="3"/>
  <c r="Z1732" i="3"/>
  <c r="Z1736" i="3"/>
  <c r="Z1737" i="3"/>
  <c r="Z1742" i="3"/>
  <c r="Z1744" i="3"/>
  <c r="Z1746" i="3"/>
  <c r="Z1748" i="3"/>
  <c r="Z1750" i="3"/>
  <c r="Z1752" i="3"/>
  <c r="Z1754" i="3"/>
  <c r="Z1756" i="3"/>
  <c r="Z1758" i="3"/>
  <c r="Z1760" i="3"/>
  <c r="Z1764" i="3"/>
  <c r="Z1766" i="3"/>
  <c r="Z1768" i="3"/>
  <c r="Z1770" i="3"/>
  <c r="Z1772" i="3"/>
  <c r="Z1789" i="3"/>
  <c r="Z1793" i="3"/>
  <c r="Z1774" i="3"/>
  <c r="Z1776" i="3"/>
  <c r="Z1778" i="3"/>
  <c r="Z1780" i="3"/>
  <c r="Z1782" i="3"/>
  <c r="Z1784" i="3"/>
  <c r="Z1786" i="3"/>
  <c r="Z1788" i="3"/>
  <c r="Z1792" i="3"/>
  <c r="Z1817" i="3"/>
  <c r="Z1824" i="3"/>
  <c r="Z1828" i="3"/>
  <c r="Z1832" i="3"/>
  <c r="Z1836" i="3"/>
  <c r="Z1840" i="3"/>
  <c r="Z1821" i="3"/>
  <c r="Z1825" i="3"/>
  <c r="Z1831" i="3"/>
  <c r="Z1835" i="3"/>
  <c r="Z1839" i="3"/>
  <c r="Z1844" i="3"/>
  <c r="Z1848" i="3"/>
  <c r="Z1852" i="3"/>
  <c r="Z1856" i="3"/>
  <c r="Z1858" i="3"/>
  <c r="Z1860" i="3"/>
  <c r="Z1862" i="3"/>
  <c r="Z1864" i="3"/>
  <c r="Z1866" i="3"/>
  <c r="Z1868" i="3"/>
  <c r="Z1847" i="3"/>
  <c r="Z1851" i="3"/>
  <c r="Z1855" i="3"/>
  <c r="Z1861" i="3"/>
  <c r="Z1863" i="3"/>
  <c r="Z1865" i="3"/>
  <c r="Z1867" i="3"/>
  <c r="Z1870" i="3"/>
  <c r="Z1872" i="3"/>
  <c r="Z1874" i="3"/>
  <c r="Z1876" i="3"/>
  <c r="Z1878" i="3"/>
  <c r="Z1713" i="3"/>
  <c r="Z1715" i="3"/>
  <c r="Z1717" i="3"/>
  <c r="Z1719" i="3"/>
  <c r="Z1721" i="3"/>
  <c r="Z1723" i="3"/>
  <c r="Z1725" i="3"/>
  <c r="Z1727" i="3"/>
  <c r="Z1731" i="3"/>
  <c r="Z1735" i="3"/>
  <c r="Z1730" i="3"/>
  <c r="Z1734" i="3"/>
  <c r="Z1738" i="3"/>
  <c r="Z1741" i="3"/>
  <c r="Z1743" i="3"/>
  <c r="Z1745" i="3"/>
  <c r="Z1747" i="3"/>
  <c r="Z1749" i="3"/>
  <c r="Z1753" i="3"/>
  <c r="Z1755" i="3"/>
  <c r="Z1757" i="3"/>
  <c r="Z1759" i="3"/>
  <c r="Z1761" i="3"/>
  <c r="Z1763" i="3"/>
  <c r="Z1765" i="3"/>
  <c r="Z1767" i="3"/>
  <c r="Z1769" i="3"/>
  <c r="Z1771" i="3"/>
  <c r="Z1775" i="3"/>
  <c r="Z1777" i="3"/>
  <c r="Z1779" i="3"/>
  <c r="Z1781" i="3"/>
  <c r="Z1783" i="3"/>
  <c r="Z1787" i="3"/>
  <c r="Z1791" i="3"/>
  <c r="Z1795" i="3"/>
  <c r="Z1790" i="3"/>
  <c r="Z1794" i="3"/>
  <c r="Z1798" i="3"/>
  <c r="Z1800" i="3"/>
  <c r="Z1802" i="3"/>
  <c r="Z1804" i="3"/>
  <c r="Z1806" i="3"/>
  <c r="Z1808" i="3"/>
  <c r="Z1810" i="3"/>
  <c r="Z1812" i="3"/>
  <c r="Z1814" i="3"/>
  <c r="Z1816" i="3"/>
  <c r="Z1797" i="3"/>
  <c r="Z1799" i="3"/>
  <c r="Z1801" i="3"/>
  <c r="Z1803" i="3"/>
  <c r="Z1805" i="3"/>
  <c r="Z1809" i="3"/>
  <c r="Z1811" i="3"/>
  <c r="Z1813" i="3"/>
  <c r="Z1815" i="3"/>
  <c r="Z1820" i="3"/>
  <c r="Z1822" i="3"/>
  <c r="Z1826" i="3"/>
  <c r="Z1830" i="3"/>
  <c r="Z1834" i="3"/>
  <c r="Z1838" i="3"/>
  <c r="Z1842" i="3"/>
  <c r="Z1819" i="3"/>
  <c r="Z1823" i="3"/>
  <c r="Z1827" i="3"/>
  <c r="Z1833" i="3"/>
  <c r="Z1837" i="3"/>
  <c r="Z1841" i="3"/>
  <c r="Z1846" i="3"/>
  <c r="Z1850" i="3"/>
  <c r="Z1854" i="3"/>
  <c r="Z1845" i="3"/>
  <c r="Z1849" i="3"/>
  <c r="Z1853" i="3"/>
  <c r="Z1859" i="3"/>
  <c r="Z1871" i="3"/>
  <c r="Z1873" i="3"/>
  <c r="Z1875" i="3"/>
  <c r="Z1877" i="3"/>
  <c r="Z1879" i="3"/>
  <c r="Z1881" i="3"/>
  <c r="Z1883" i="3"/>
  <c r="Z1885" i="3"/>
  <c r="Z1887" i="3"/>
  <c r="Z1889" i="3"/>
  <c r="Z1893" i="3"/>
  <c r="Z1895" i="3"/>
  <c r="Z1897" i="3"/>
  <c r="Z1899" i="3"/>
  <c r="Z1901" i="3"/>
  <c r="Z1882" i="3"/>
  <c r="Z1884" i="3"/>
  <c r="Z1886" i="3"/>
  <c r="Z1888" i="3"/>
  <c r="Z1890" i="3"/>
  <c r="Z1892" i="3"/>
  <c r="Z1894" i="3"/>
  <c r="Z1896" i="3"/>
  <c r="Z1898" i="3"/>
  <c r="Z1900" i="3"/>
  <c r="U22" i="23"/>
  <c r="U23" i="23"/>
  <c r="U24" i="23"/>
  <c r="U25" i="23"/>
  <c r="U26" i="23"/>
  <c r="U27" i="23"/>
  <c r="U28" i="23"/>
  <c r="U29" i="23"/>
  <c r="U30" i="23"/>
  <c r="U31" i="23"/>
  <c r="U21" i="23"/>
  <c r="T22" i="23"/>
  <c r="T23" i="23"/>
  <c r="T24" i="23"/>
  <c r="T25" i="23"/>
  <c r="T26" i="23"/>
  <c r="T27" i="23"/>
  <c r="T28" i="23"/>
  <c r="T29" i="23"/>
  <c r="T30" i="23"/>
  <c r="T31" i="23"/>
  <c r="T21" i="23"/>
  <c r="S22" i="23"/>
  <c r="S23" i="23"/>
  <c r="S24" i="23"/>
  <c r="S25" i="23"/>
  <c r="S26" i="23"/>
  <c r="S27" i="23"/>
  <c r="S28" i="23"/>
  <c r="S29" i="23"/>
  <c r="S30" i="23"/>
  <c r="S31" i="23"/>
  <c r="S21" i="23"/>
  <c r="R22" i="23"/>
  <c r="R23" i="23"/>
  <c r="R24" i="23"/>
  <c r="R25" i="23"/>
  <c r="R26" i="23"/>
  <c r="R27" i="23"/>
  <c r="R28" i="23"/>
  <c r="R29" i="23"/>
  <c r="R30" i="23"/>
  <c r="R31" i="23"/>
  <c r="R21" i="2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P1685" i="3"/>
  <c r="P1686" i="3"/>
  <c r="P1687" i="3"/>
  <c r="P1688" i="3"/>
  <c r="P1689" i="3"/>
  <c r="P1690" i="3"/>
  <c r="P1691" i="3"/>
  <c r="P1692" i="3"/>
  <c r="P1693" i="3"/>
  <c r="P1694" i="3"/>
  <c r="P1695" i="3"/>
  <c r="P1696" i="3"/>
  <c r="P1697" i="3"/>
  <c r="P1698" i="3"/>
  <c r="P1699" i="3"/>
  <c r="P1700" i="3"/>
  <c r="P1701" i="3"/>
  <c r="P1702" i="3"/>
  <c r="P1703" i="3"/>
  <c r="P1704" i="3"/>
  <c r="P1705" i="3"/>
  <c r="P1706" i="3"/>
  <c r="Q1685" i="3"/>
  <c r="Q1686" i="3"/>
  <c r="Q1687" i="3"/>
  <c r="Q1688" i="3"/>
  <c r="Q1689" i="3"/>
  <c r="Q1690" i="3"/>
  <c r="Q1691" i="3"/>
  <c r="Q1692" i="3"/>
  <c r="Q1693" i="3"/>
  <c r="Q1694" i="3"/>
  <c r="Q1695" i="3"/>
  <c r="Q1696" i="3"/>
  <c r="Q1697" i="3"/>
  <c r="Q1698" i="3"/>
  <c r="Q1699" i="3"/>
  <c r="Q1700" i="3"/>
  <c r="Q1701" i="3"/>
  <c r="Q1702" i="3"/>
  <c r="Q1703" i="3"/>
  <c r="Q1704" i="3"/>
  <c r="Q1705" i="3"/>
  <c r="Q1706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S1686" i="3"/>
  <c r="S1687" i="3"/>
  <c r="S1688" i="3"/>
  <c r="S1689" i="3"/>
  <c r="S1690" i="3"/>
  <c r="S1691" i="3"/>
  <c r="S1692" i="3"/>
  <c r="S1693" i="3"/>
  <c r="S1694" i="3"/>
  <c r="S1695" i="3"/>
  <c r="S1697" i="3"/>
  <c r="S1698" i="3"/>
  <c r="S1699" i="3"/>
  <c r="S1700" i="3"/>
  <c r="S1701" i="3"/>
  <c r="S1702" i="3"/>
  <c r="S1703" i="3"/>
  <c r="S1704" i="3"/>
  <c r="S1705" i="3"/>
  <c r="S1706" i="3"/>
  <c r="T1685" i="3"/>
  <c r="T1696" i="3"/>
  <c r="U1685" i="3"/>
  <c r="U1696" i="3"/>
  <c r="V1685" i="3"/>
  <c r="V1696" i="3"/>
  <c r="W1685" i="3"/>
  <c r="W1696" i="3"/>
  <c r="X1685" i="3"/>
  <c r="X1696" i="3"/>
  <c r="AA1685" i="3"/>
  <c r="AA1686" i="3"/>
  <c r="AA1687" i="3"/>
  <c r="AA1688" i="3"/>
  <c r="AA1689" i="3"/>
  <c r="AA1690" i="3"/>
  <c r="AA1691" i="3"/>
  <c r="AA1692" i="3"/>
  <c r="AA1693" i="3"/>
  <c r="AA1694" i="3"/>
  <c r="AA1695" i="3"/>
  <c r="AA1696" i="3"/>
  <c r="AA1697" i="3"/>
  <c r="AA1698" i="3"/>
  <c r="AA1699" i="3"/>
  <c r="AA1700" i="3"/>
  <c r="AA1701" i="3"/>
  <c r="AA1702" i="3"/>
  <c r="AA1703" i="3"/>
  <c r="AA1704" i="3"/>
  <c r="AA1705" i="3"/>
  <c r="AA1706" i="3"/>
  <c r="AB1685" i="3"/>
  <c r="O1685" i="3" s="1"/>
  <c r="Y1685" i="3" s="1"/>
  <c r="AB1686" i="3"/>
  <c r="O1686" i="3" s="1"/>
  <c r="AB1687" i="3"/>
  <c r="O1687" i="3" s="1"/>
  <c r="AB1688" i="3"/>
  <c r="O1688" i="3" s="1"/>
  <c r="AB1689" i="3"/>
  <c r="O1689" i="3" s="1"/>
  <c r="AB1690" i="3"/>
  <c r="O1690" i="3" s="1"/>
  <c r="AB1691" i="3"/>
  <c r="O1691" i="3" s="1"/>
  <c r="AB1692" i="3"/>
  <c r="O1692" i="3" s="1"/>
  <c r="AB1693" i="3"/>
  <c r="O1693" i="3" s="1"/>
  <c r="AB1694" i="3"/>
  <c r="O1694" i="3" s="1"/>
  <c r="AB1695" i="3"/>
  <c r="O1695" i="3" s="1"/>
  <c r="AB1696" i="3"/>
  <c r="O1696" i="3" s="1"/>
  <c r="AB1697" i="3"/>
  <c r="O1697" i="3" s="1"/>
  <c r="AB1698" i="3"/>
  <c r="O1698" i="3" s="1"/>
  <c r="AB1699" i="3"/>
  <c r="O1699" i="3" s="1"/>
  <c r="AB1700" i="3"/>
  <c r="O1700" i="3" s="1"/>
  <c r="AB1701" i="3"/>
  <c r="O1701" i="3" s="1"/>
  <c r="AB1702" i="3"/>
  <c r="O1702" i="3" s="1"/>
  <c r="AB1703" i="3"/>
  <c r="O1703" i="3" s="1"/>
  <c r="AB1704" i="3"/>
  <c r="O1704" i="3" s="1"/>
  <c r="AB1705" i="3"/>
  <c r="O1705" i="3" s="1"/>
  <c r="AB1706" i="3"/>
  <c r="O1706" i="3" s="1"/>
  <c r="AC1685" i="3"/>
  <c r="N1685" i="3" s="1"/>
  <c r="AC1686" i="3"/>
  <c r="N1686" i="3" s="1"/>
  <c r="AC1687" i="3"/>
  <c r="N1687" i="3" s="1"/>
  <c r="AC1688" i="3"/>
  <c r="N1688" i="3" s="1"/>
  <c r="AC1689" i="3"/>
  <c r="N1689" i="3" s="1"/>
  <c r="AC1690" i="3"/>
  <c r="N1690" i="3" s="1"/>
  <c r="AC1691" i="3"/>
  <c r="N1691" i="3" s="1"/>
  <c r="AC1692" i="3"/>
  <c r="N1692" i="3" s="1"/>
  <c r="AC1693" i="3"/>
  <c r="N1693" i="3" s="1"/>
  <c r="AC1694" i="3"/>
  <c r="N1694" i="3" s="1"/>
  <c r="AC1695" i="3"/>
  <c r="N1695" i="3" s="1"/>
  <c r="AC1696" i="3"/>
  <c r="N1696" i="3" s="1"/>
  <c r="AC1697" i="3"/>
  <c r="N1697" i="3" s="1"/>
  <c r="AC1698" i="3"/>
  <c r="N1698" i="3" s="1"/>
  <c r="AC1699" i="3"/>
  <c r="N1699" i="3" s="1"/>
  <c r="AC1700" i="3"/>
  <c r="N1700" i="3" s="1"/>
  <c r="AC1701" i="3"/>
  <c r="N1701" i="3" s="1"/>
  <c r="AC1702" i="3"/>
  <c r="N1702" i="3" s="1"/>
  <c r="AC1703" i="3"/>
  <c r="N1703" i="3" s="1"/>
  <c r="AC1704" i="3"/>
  <c r="N1704" i="3" s="1"/>
  <c r="AC1705" i="3"/>
  <c r="N1705" i="3" s="1"/>
  <c r="AC1706" i="3"/>
  <c r="N1706" i="3" s="1"/>
  <c r="AK1685" i="3"/>
  <c r="AK1686" i="3"/>
  <c r="AK1687" i="3"/>
  <c r="AK1688" i="3"/>
  <c r="AK1689" i="3"/>
  <c r="AK1690" i="3"/>
  <c r="AK1691" i="3"/>
  <c r="AK1692" i="3"/>
  <c r="AK1693" i="3"/>
  <c r="AK1694" i="3"/>
  <c r="AK1695" i="3"/>
  <c r="AK1696" i="3"/>
  <c r="AK1697" i="3"/>
  <c r="AK1698" i="3"/>
  <c r="AK1699" i="3"/>
  <c r="AK1700" i="3"/>
  <c r="AK1701" i="3"/>
  <c r="AK1702" i="3"/>
  <c r="AK1703" i="3"/>
  <c r="AK1704" i="3"/>
  <c r="AK1705" i="3"/>
  <c r="AK1706" i="3"/>
  <c r="M1674" i="3"/>
  <c r="M1675" i="3"/>
  <c r="M1676" i="3"/>
  <c r="M1677" i="3"/>
  <c r="M1678" i="3"/>
  <c r="M1679" i="3"/>
  <c r="M1680" i="3"/>
  <c r="M1681" i="3"/>
  <c r="M1682" i="3"/>
  <c r="M1683" i="3"/>
  <c r="M1684" i="3"/>
  <c r="P1674" i="3"/>
  <c r="P1675" i="3"/>
  <c r="P1676" i="3"/>
  <c r="P1677" i="3"/>
  <c r="P1678" i="3"/>
  <c r="P1679" i="3"/>
  <c r="P1680" i="3"/>
  <c r="P1681" i="3"/>
  <c r="P1682" i="3"/>
  <c r="P1683" i="3"/>
  <c r="P1684" i="3"/>
  <c r="Q1674" i="3"/>
  <c r="Q1675" i="3"/>
  <c r="Q1676" i="3"/>
  <c r="Q1677" i="3"/>
  <c r="Q1678" i="3"/>
  <c r="Q1679" i="3"/>
  <c r="Q1680" i="3"/>
  <c r="Q1681" i="3"/>
  <c r="Q1682" i="3"/>
  <c r="Q1683" i="3"/>
  <c r="Q1684" i="3"/>
  <c r="R1674" i="3"/>
  <c r="R1675" i="3"/>
  <c r="R1676" i="3"/>
  <c r="R1677" i="3"/>
  <c r="R1678" i="3"/>
  <c r="R1679" i="3"/>
  <c r="R1680" i="3"/>
  <c r="R1681" i="3"/>
  <c r="R1682" i="3"/>
  <c r="R1683" i="3"/>
  <c r="R1684" i="3"/>
  <c r="S1675" i="3"/>
  <c r="S1676" i="3"/>
  <c r="S1677" i="3"/>
  <c r="S1678" i="3"/>
  <c r="S1679" i="3"/>
  <c r="S1680" i="3"/>
  <c r="S1681" i="3"/>
  <c r="S1682" i="3"/>
  <c r="S1683" i="3"/>
  <c r="S1684" i="3"/>
  <c r="T1674" i="3"/>
  <c r="U1674" i="3"/>
  <c r="V1674" i="3"/>
  <c r="W1674" i="3"/>
  <c r="X1674" i="3"/>
  <c r="AA1674" i="3"/>
  <c r="AA1675" i="3"/>
  <c r="AA1676" i="3"/>
  <c r="AA1677" i="3"/>
  <c r="AA1678" i="3"/>
  <c r="AA1679" i="3"/>
  <c r="AA1680" i="3"/>
  <c r="AA1681" i="3"/>
  <c r="AA1682" i="3"/>
  <c r="AA1683" i="3"/>
  <c r="AA1684" i="3"/>
  <c r="AB1674" i="3"/>
  <c r="O1674" i="3" s="1"/>
  <c r="Y1674" i="3" s="1"/>
  <c r="AB1675" i="3"/>
  <c r="O1675" i="3" s="1"/>
  <c r="AB1676" i="3"/>
  <c r="O1676" i="3" s="1"/>
  <c r="AB1677" i="3"/>
  <c r="O1677" i="3" s="1"/>
  <c r="AB1678" i="3"/>
  <c r="O1678" i="3" s="1"/>
  <c r="AB1679" i="3"/>
  <c r="O1679" i="3" s="1"/>
  <c r="AB1680" i="3"/>
  <c r="O1680" i="3" s="1"/>
  <c r="AB1681" i="3"/>
  <c r="O1681" i="3" s="1"/>
  <c r="AB1682" i="3"/>
  <c r="O1682" i="3" s="1"/>
  <c r="AB1683" i="3"/>
  <c r="O1683" i="3" s="1"/>
  <c r="AB1684" i="3"/>
  <c r="O1684" i="3" s="1"/>
  <c r="AC1674" i="3"/>
  <c r="N1674" i="3" s="1"/>
  <c r="AC1675" i="3"/>
  <c r="N1675" i="3" s="1"/>
  <c r="AC1676" i="3"/>
  <c r="N1676" i="3" s="1"/>
  <c r="AC1677" i="3"/>
  <c r="N1677" i="3" s="1"/>
  <c r="AC1678" i="3"/>
  <c r="N1678" i="3" s="1"/>
  <c r="AC1679" i="3"/>
  <c r="N1679" i="3" s="1"/>
  <c r="AC1680" i="3"/>
  <c r="N1680" i="3" s="1"/>
  <c r="AC1681" i="3"/>
  <c r="N1681" i="3" s="1"/>
  <c r="AC1682" i="3"/>
  <c r="N1682" i="3" s="1"/>
  <c r="AC1683" i="3"/>
  <c r="N1683" i="3" s="1"/>
  <c r="AC1684" i="3"/>
  <c r="N1684" i="3" s="1"/>
  <c r="AK1674" i="3"/>
  <c r="AK1675" i="3"/>
  <c r="AK1676" i="3"/>
  <c r="AK1677" i="3"/>
  <c r="AK1678" i="3"/>
  <c r="AK1679" i="3"/>
  <c r="AK1680" i="3"/>
  <c r="AK1681" i="3"/>
  <c r="AK1682" i="3"/>
  <c r="AK1683" i="3"/>
  <c r="AK1684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P1647" i="3"/>
  <c r="P1648" i="3"/>
  <c r="P1649" i="3"/>
  <c r="P1650" i="3"/>
  <c r="P1651" i="3"/>
  <c r="P1652" i="3"/>
  <c r="P1653" i="3"/>
  <c r="P1654" i="3"/>
  <c r="P1655" i="3"/>
  <c r="P1656" i="3"/>
  <c r="P1657" i="3"/>
  <c r="P1658" i="3"/>
  <c r="P1659" i="3"/>
  <c r="P1660" i="3"/>
  <c r="P1661" i="3"/>
  <c r="P1662" i="3"/>
  <c r="P1663" i="3"/>
  <c r="P1664" i="3"/>
  <c r="P1665" i="3"/>
  <c r="P1666" i="3"/>
  <c r="P1667" i="3"/>
  <c r="P1668" i="3"/>
  <c r="P1669" i="3"/>
  <c r="P1670" i="3"/>
  <c r="P1671" i="3"/>
  <c r="P1672" i="3"/>
  <c r="P1673" i="3"/>
  <c r="Q1647" i="3"/>
  <c r="Q1648" i="3"/>
  <c r="Q1649" i="3"/>
  <c r="Q1650" i="3"/>
  <c r="Q1651" i="3"/>
  <c r="Q1652" i="3"/>
  <c r="Q1653" i="3"/>
  <c r="Q1654" i="3"/>
  <c r="Q1655" i="3"/>
  <c r="Q1656" i="3"/>
  <c r="Q1657" i="3"/>
  <c r="Q1658" i="3"/>
  <c r="Q1659" i="3"/>
  <c r="Q1660" i="3"/>
  <c r="Q1661" i="3"/>
  <c r="Q1662" i="3"/>
  <c r="Q1663" i="3"/>
  <c r="Q1664" i="3"/>
  <c r="Q1665" i="3"/>
  <c r="Q1666" i="3"/>
  <c r="Q1667" i="3"/>
  <c r="Q1668" i="3"/>
  <c r="Q1669" i="3"/>
  <c r="Q1670" i="3"/>
  <c r="Q1671" i="3"/>
  <c r="Q1672" i="3"/>
  <c r="Q1673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T1647" i="3"/>
  <c r="T1660" i="3"/>
  <c r="U1647" i="3"/>
  <c r="U1660" i="3"/>
  <c r="V1647" i="3"/>
  <c r="V1660" i="3"/>
  <c r="W1647" i="3"/>
  <c r="W1660" i="3"/>
  <c r="X1647" i="3"/>
  <c r="X1660" i="3"/>
  <c r="AA1647" i="3"/>
  <c r="AA1648" i="3"/>
  <c r="AA1649" i="3"/>
  <c r="AA1650" i="3"/>
  <c r="AA1651" i="3"/>
  <c r="AA1652" i="3"/>
  <c r="AA1653" i="3"/>
  <c r="AA1654" i="3"/>
  <c r="AA1655" i="3"/>
  <c r="AA1656" i="3"/>
  <c r="AA1657" i="3"/>
  <c r="AA1658" i="3"/>
  <c r="AA1659" i="3"/>
  <c r="AA1660" i="3"/>
  <c r="AA1661" i="3"/>
  <c r="AA1662" i="3"/>
  <c r="AA1663" i="3"/>
  <c r="AA1664" i="3"/>
  <c r="AA1665" i="3"/>
  <c r="AA1666" i="3"/>
  <c r="AA1667" i="3"/>
  <c r="AA1668" i="3"/>
  <c r="AA1669" i="3"/>
  <c r="AA1670" i="3"/>
  <c r="AA1671" i="3"/>
  <c r="AA1672" i="3"/>
  <c r="AA1673" i="3"/>
  <c r="AB1647" i="3"/>
  <c r="O1647" i="3" s="1"/>
  <c r="Y1647" i="3" s="1"/>
  <c r="AB1648" i="3"/>
  <c r="O1648" i="3" s="1"/>
  <c r="AB1649" i="3"/>
  <c r="O1649" i="3" s="1"/>
  <c r="AB1650" i="3"/>
  <c r="O1650" i="3" s="1"/>
  <c r="AB1651" i="3"/>
  <c r="O1651" i="3" s="1"/>
  <c r="AB1652" i="3"/>
  <c r="O1652" i="3" s="1"/>
  <c r="AB1653" i="3"/>
  <c r="O1653" i="3" s="1"/>
  <c r="AB1654" i="3"/>
  <c r="O1654" i="3" s="1"/>
  <c r="AB1655" i="3"/>
  <c r="O1655" i="3" s="1"/>
  <c r="AB1656" i="3"/>
  <c r="O1656" i="3" s="1"/>
  <c r="AB1657" i="3"/>
  <c r="O1657" i="3" s="1"/>
  <c r="AB1658" i="3"/>
  <c r="O1658" i="3" s="1"/>
  <c r="AB1659" i="3"/>
  <c r="O1659" i="3" s="1"/>
  <c r="AB1660" i="3"/>
  <c r="O1660" i="3" s="1"/>
  <c r="Y1660" i="3" s="1"/>
  <c r="AB1661" i="3"/>
  <c r="O1661" i="3" s="1"/>
  <c r="AB1662" i="3"/>
  <c r="O1662" i="3" s="1"/>
  <c r="AB1663" i="3"/>
  <c r="O1663" i="3" s="1"/>
  <c r="AB1664" i="3"/>
  <c r="O1664" i="3" s="1"/>
  <c r="AB1665" i="3"/>
  <c r="O1665" i="3" s="1"/>
  <c r="AB1666" i="3"/>
  <c r="O1666" i="3" s="1"/>
  <c r="AB1667" i="3"/>
  <c r="O1667" i="3" s="1"/>
  <c r="AB1668" i="3"/>
  <c r="O1668" i="3" s="1"/>
  <c r="AB1669" i="3"/>
  <c r="O1669" i="3" s="1"/>
  <c r="AB1670" i="3"/>
  <c r="O1670" i="3" s="1"/>
  <c r="AB1671" i="3"/>
  <c r="O1671" i="3" s="1"/>
  <c r="AB1672" i="3"/>
  <c r="O1672" i="3" s="1"/>
  <c r="AB1673" i="3"/>
  <c r="O1673" i="3" s="1"/>
  <c r="AC1647" i="3"/>
  <c r="N1647" i="3" s="1"/>
  <c r="AC1648" i="3"/>
  <c r="N1648" i="3" s="1"/>
  <c r="AC1649" i="3"/>
  <c r="N1649" i="3" s="1"/>
  <c r="AC1650" i="3"/>
  <c r="N1650" i="3" s="1"/>
  <c r="AC1651" i="3"/>
  <c r="N1651" i="3" s="1"/>
  <c r="AC1652" i="3"/>
  <c r="N1652" i="3" s="1"/>
  <c r="AC1653" i="3"/>
  <c r="N1653" i="3" s="1"/>
  <c r="AC1654" i="3"/>
  <c r="N1654" i="3" s="1"/>
  <c r="AC1655" i="3"/>
  <c r="N1655" i="3" s="1"/>
  <c r="AC1656" i="3"/>
  <c r="N1656" i="3" s="1"/>
  <c r="AC1657" i="3"/>
  <c r="N1657" i="3" s="1"/>
  <c r="AC1658" i="3"/>
  <c r="N1658" i="3" s="1"/>
  <c r="AC1659" i="3"/>
  <c r="N1659" i="3" s="1"/>
  <c r="AC1660" i="3"/>
  <c r="N1660" i="3" s="1"/>
  <c r="AC1661" i="3"/>
  <c r="N1661" i="3" s="1"/>
  <c r="AC1662" i="3"/>
  <c r="N1662" i="3" s="1"/>
  <c r="AC1663" i="3"/>
  <c r="N1663" i="3" s="1"/>
  <c r="AC1664" i="3"/>
  <c r="N1664" i="3" s="1"/>
  <c r="AC1665" i="3"/>
  <c r="N1665" i="3" s="1"/>
  <c r="AC1666" i="3"/>
  <c r="N1666" i="3" s="1"/>
  <c r="AC1667" i="3"/>
  <c r="N1667" i="3" s="1"/>
  <c r="AC1668" i="3"/>
  <c r="N1668" i="3" s="1"/>
  <c r="AC1669" i="3"/>
  <c r="N1669" i="3" s="1"/>
  <c r="AC1670" i="3"/>
  <c r="N1670" i="3" s="1"/>
  <c r="AC1671" i="3"/>
  <c r="N1671" i="3" s="1"/>
  <c r="AC1672" i="3"/>
  <c r="N1672" i="3" s="1"/>
  <c r="AC1673" i="3"/>
  <c r="N1673" i="3" s="1"/>
  <c r="AK1647" i="3"/>
  <c r="AK1648" i="3"/>
  <c r="AK1649" i="3"/>
  <c r="AK1650" i="3"/>
  <c r="AK1651" i="3"/>
  <c r="AK1652" i="3"/>
  <c r="AK1653" i="3"/>
  <c r="AK1654" i="3"/>
  <c r="AK1655" i="3"/>
  <c r="AK1656" i="3"/>
  <c r="AK1657" i="3"/>
  <c r="AK1658" i="3"/>
  <c r="AK1659" i="3"/>
  <c r="AK1660" i="3"/>
  <c r="AK1661" i="3"/>
  <c r="AK1662" i="3"/>
  <c r="AK1663" i="3"/>
  <c r="AK1664" i="3"/>
  <c r="AK1665" i="3"/>
  <c r="AK1666" i="3"/>
  <c r="AK1667" i="3"/>
  <c r="AK1668" i="3"/>
  <c r="AK1669" i="3"/>
  <c r="AK1670" i="3"/>
  <c r="AK1671" i="3"/>
  <c r="AK1672" i="3"/>
  <c r="AK1673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P1622" i="3"/>
  <c r="P1623" i="3"/>
  <c r="P1624" i="3"/>
  <c r="P1625" i="3"/>
  <c r="P1626" i="3"/>
  <c r="P1627" i="3"/>
  <c r="P1628" i="3"/>
  <c r="P1629" i="3"/>
  <c r="P1630" i="3"/>
  <c r="P1631" i="3"/>
  <c r="P1632" i="3"/>
  <c r="P1633" i="3"/>
  <c r="P1634" i="3"/>
  <c r="P1635" i="3"/>
  <c r="P1636" i="3"/>
  <c r="P1637" i="3"/>
  <c r="P1638" i="3"/>
  <c r="P1639" i="3"/>
  <c r="P1640" i="3"/>
  <c r="P1641" i="3"/>
  <c r="P1642" i="3"/>
  <c r="P1643" i="3"/>
  <c r="P1644" i="3"/>
  <c r="P1645" i="3"/>
  <c r="P1646" i="3"/>
  <c r="Q1622" i="3"/>
  <c r="Q1623" i="3"/>
  <c r="Q1624" i="3"/>
  <c r="Q1625" i="3"/>
  <c r="Q1626" i="3"/>
  <c r="Q1627" i="3"/>
  <c r="Q1628" i="3"/>
  <c r="Q1629" i="3"/>
  <c r="Q1630" i="3"/>
  <c r="Q1631" i="3"/>
  <c r="Q1632" i="3"/>
  <c r="Q1633" i="3"/>
  <c r="Q1634" i="3"/>
  <c r="Q1635" i="3"/>
  <c r="Q1636" i="3"/>
  <c r="Q1637" i="3"/>
  <c r="Q1638" i="3"/>
  <c r="Q1639" i="3"/>
  <c r="Q1640" i="3"/>
  <c r="Q1641" i="3"/>
  <c r="Q1642" i="3"/>
  <c r="Q1643" i="3"/>
  <c r="Q1644" i="3"/>
  <c r="Q1645" i="3"/>
  <c r="Q1646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7" i="3"/>
  <c r="S1638" i="3"/>
  <c r="S1639" i="3"/>
  <c r="S1640" i="3"/>
  <c r="S1641" i="3"/>
  <c r="S1642" i="3"/>
  <c r="S1643" i="3"/>
  <c r="S1644" i="3"/>
  <c r="S1645" i="3"/>
  <c r="S1646" i="3"/>
  <c r="T1622" i="3"/>
  <c r="T1636" i="3"/>
  <c r="U1622" i="3"/>
  <c r="U1636" i="3"/>
  <c r="V1622" i="3"/>
  <c r="V1636" i="3"/>
  <c r="W1622" i="3"/>
  <c r="W1636" i="3"/>
  <c r="X1622" i="3"/>
  <c r="X1636" i="3"/>
  <c r="AA1622" i="3"/>
  <c r="AA1623" i="3"/>
  <c r="AA1624" i="3"/>
  <c r="AA1625" i="3"/>
  <c r="AA1626" i="3"/>
  <c r="AA1627" i="3"/>
  <c r="AA1628" i="3"/>
  <c r="AA1629" i="3"/>
  <c r="AA1630" i="3"/>
  <c r="AA1631" i="3"/>
  <c r="AA1632" i="3"/>
  <c r="AA1633" i="3"/>
  <c r="AA1634" i="3"/>
  <c r="AA1635" i="3"/>
  <c r="AA1636" i="3"/>
  <c r="AA1637" i="3"/>
  <c r="AA1638" i="3"/>
  <c r="AA1639" i="3"/>
  <c r="AA1640" i="3"/>
  <c r="AA1641" i="3"/>
  <c r="AA1642" i="3"/>
  <c r="AA1643" i="3"/>
  <c r="AA1644" i="3"/>
  <c r="AA1645" i="3"/>
  <c r="AA1646" i="3"/>
  <c r="AB1622" i="3"/>
  <c r="O1622" i="3" s="1"/>
  <c r="Y1622" i="3" s="1"/>
  <c r="AB1623" i="3"/>
  <c r="O1623" i="3" s="1"/>
  <c r="AB1624" i="3"/>
  <c r="O1624" i="3" s="1"/>
  <c r="AB1625" i="3"/>
  <c r="O1625" i="3" s="1"/>
  <c r="AB1626" i="3"/>
  <c r="O1626" i="3" s="1"/>
  <c r="AB1627" i="3"/>
  <c r="O1627" i="3" s="1"/>
  <c r="AB1628" i="3"/>
  <c r="O1628" i="3" s="1"/>
  <c r="AB1629" i="3"/>
  <c r="O1629" i="3" s="1"/>
  <c r="AB1630" i="3"/>
  <c r="O1630" i="3" s="1"/>
  <c r="AB1631" i="3"/>
  <c r="O1631" i="3" s="1"/>
  <c r="AB1632" i="3"/>
  <c r="O1632" i="3" s="1"/>
  <c r="AB1633" i="3"/>
  <c r="O1633" i="3" s="1"/>
  <c r="AB1634" i="3"/>
  <c r="O1634" i="3" s="1"/>
  <c r="AB1635" i="3"/>
  <c r="O1635" i="3" s="1"/>
  <c r="AB1636" i="3"/>
  <c r="O1636" i="3" s="1"/>
  <c r="Y1636" i="3" s="1"/>
  <c r="AB1637" i="3"/>
  <c r="O1637" i="3" s="1"/>
  <c r="AB1638" i="3"/>
  <c r="O1638" i="3" s="1"/>
  <c r="AB1639" i="3"/>
  <c r="O1639" i="3" s="1"/>
  <c r="AB1640" i="3"/>
  <c r="O1640" i="3" s="1"/>
  <c r="AB1641" i="3"/>
  <c r="O1641" i="3" s="1"/>
  <c r="AB1642" i="3"/>
  <c r="O1642" i="3" s="1"/>
  <c r="AB1643" i="3"/>
  <c r="O1643" i="3" s="1"/>
  <c r="AB1644" i="3"/>
  <c r="O1644" i="3" s="1"/>
  <c r="AB1645" i="3"/>
  <c r="O1645" i="3" s="1"/>
  <c r="AB1646" i="3"/>
  <c r="O1646" i="3" s="1"/>
  <c r="AC1622" i="3"/>
  <c r="N1622" i="3" s="1"/>
  <c r="AC1623" i="3"/>
  <c r="N1623" i="3" s="1"/>
  <c r="AC1624" i="3"/>
  <c r="N1624" i="3" s="1"/>
  <c r="AC1625" i="3"/>
  <c r="N1625" i="3" s="1"/>
  <c r="AC1626" i="3"/>
  <c r="N1626" i="3" s="1"/>
  <c r="AC1627" i="3"/>
  <c r="N1627" i="3" s="1"/>
  <c r="AC1628" i="3"/>
  <c r="N1628" i="3" s="1"/>
  <c r="AC1629" i="3"/>
  <c r="N1629" i="3" s="1"/>
  <c r="AC1630" i="3"/>
  <c r="N1630" i="3" s="1"/>
  <c r="AC1631" i="3"/>
  <c r="N1631" i="3" s="1"/>
  <c r="AC1632" i="3"/>
  <c r="N1632" i="3" s="1"/>
  <c r="AC1633" i="3"/>
  <c r="N1633" i="3" s="1"/>
  <c r="AC1634" i="3"/>
  <c r="N1634" i="3" s="1"/>
  <c r="AC1635" i="3"/>
  <c r="N1635" i="3" s="1"/>
  <c r="AC1636" i="3"/>
  <c r="N1636" i="3" s="1"/>
  <c r="AC1637" i="3"/>
  <c r="N1637" i="3" s="1"/>
  <c r="AC1638" i="3"/>
  <c r="N1638" i="3" s="1"/>
  <c r="AC1639" i="3"/>
  <c r="N1639" i="3" s="1"/>
  <c r="AC1640" i="3"/>
  <c r="N1640" i="3" s="1"/>
  <c r="AC1641" i="3"/>
  <c r="N1641" i="3" s="1"/>
  <c r="AC1642" i="3"/>
  <c r="N1642" i="3" s="1"/>
  <c r="AC1643" i="3"/>
  <c r="N1643" i="3" s="1"/>
  <c r="AC1644" i="3"/>
  <c r="N1644" i="3" s="1"/>
  <c r="AC1645" i="3"/>
  <c r="N1645" i="3" s="1"/>
  <c r="AC1646" i="3"/>
  <c r="N1646" i="3" s="1"/>
  <c r="AK1622" i="3"/>
  <c r="AK1623" i="3"/>
  <c r="AK1624" i="3"/>
  <c r="AK1625" i="3"/>
  <c r="AK1626" i="3"/>
  <c r="AK1627" i="3"/>
  <c r="AK1628" i="3"/>
  <c r="AK1629" i="3"/>
  <c r="AK1630" i="3"/>
  <c r="AK1631" i="3"/>
  <c r="AK1632" i="3"/>
  <c r="AK1633" i="3"/>
  <c r="AK1634" i="3"/>
  <c r="AK1635" i="3"/>
  <c r="AK1636" i="3"/>
  <c r="AK1637" i="3"/>
  <c r="AK1638" i="3"/>
  <c r="AK1639" i="3"/>
  <c r="AK1640" i="3"/>
  <c r="AK1641" i="3"/>
  <c r="AK1642" i="3"/>
  <c r="AK1643" i="3"/>
  <c r="AK1644" i="3"/>
  <c r="AK1645" i="3"/>
  <c r="AK1646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P1600" i="3"/>
  <c r="P1601" i="3"/>
  <c r="P1602" i="3"/>
  <c r="P1603" i="3"/>
  <c r="P1604" i="3"/>
  <c r="P1605" i="3"/>
  <c r="P1606" i="3"/>
  <c r="P1607" i="3"/>
  <c r="P1608" i="3"/>
  <c r="P1609" i="3"/>
  <c r="P1610" i="3"/>
  <c r="P1611" i="3"/>
  <c r="P1612" i="3"/>
  <c r="P1613" i="3"/>
  <c r="P1614" i="3"/>
  <c r="P1615" i="3"/>
  <c r="P1616" i="3"/>
  <c r="P1617" i="3"/>
  <c r="P1618" i="3"/>
  <c r="P1619" i="3"/>
  <c r="P1620" i="3"/>
  <c r="P1621" i="3"/>
  <c r="Q1600" i="3"/>
  <c r="Q1601" i="3"/>
  <c r="Q1602" i="3"/>
  <c r="Q1603" i="3"/>
  <c r="Q1604" i="3"/>
  <c r="Q1605" i="3"/>
  <c r="Q1606" i="3"/>
  <c r="Q1607" i="3"/>
  <c r="Q1608" i="3"/>
  <c r="Q1609" i="3"/>
  <c r="Q1610" i="3"/>
  <c r="Q1611" i="3"/>
  <c r="Q1612" i="3"/>
  <c r="Q1613" i="3"/>
  <c r="Q1614" i="3"/>
  <c r="Q1615" i="3"/>
  <c r="Q1616" i="3"/>
  <c r="Q1617" i="3"/>
  <c r="Q1618" i="3"/>
  <c r="Q1619" i="3"/>
  <c r="Q1620" i="3"/>
  <c r="Q1621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S1601" i="3"/>
  <c r="S1602" i="3"/>
  <c r="S1603" i="3"/>
  <c r="S1604" i="3"/>
  <c r="S1605" i="3"/>
  <c r="S1606" i="3"/>
  <c r="S1607" i="3"/>
  <c r="S1608" i="3"/>
  <c r="S1609" i="3"/>
  <c r="S1610" i="3"/>
  <c r="S1612" i="3"/>
  <c r="S1613" i="3"/>
  <c r="S1614" i="3"/>
  <c r="S1615" i="3"/>
  <c r="S1616" i="3"/>
  <c r="S1617" i="3"/>
  <c r="S1618" i="3"/>
  <c r="S1619" i="3"/>
  <c r="S1620" i="3"/>
  <c r="S1621" i="3"/>
  <c r="T1600" i="3"/>
  <c r="T1611" i="3"/>
  <c r="U1600" i="3"/>
  <c r="U1611" i="3"/>
  <c r="V1600" i="3"/>
  <c r="V1611" i="3"/>
  <c r="W1600" i="3"/>
  <c r="W1611" i="3"/>
  <c r="X1600" i="3"/>
  <c r="X1611" i="3"/>
  <c r="AA1600" i="3"/>
  <c r="AA1601" i="3"/>
  <c r="AA1602" i="3"/>
  <c r="AA1603" i="3"/>
  <c r="AA1604" i="3"/>
  <c r="AA1605" i="3"/>
  <c r="AA1606" i="3"/>
  <c r="AA1607" i="3"/>
  <c r="AA1608" i="3"/>
  <c r="AA1609" i="3"/>
  <c r="AA1610" i="3"/>
  <c r="AA1611" i="3"/>
  <c r="AA1612" i="3"/>
  <c r="AA1613" i="3"/>
  <c r="AA1614" i="3"/>
  <c r="AA1615" i="3"/>
  <c r="AA1616" i="3"/>
  <c r="AA1617" i="3"/>
  <c r="AA1618" i="3"/>
  <c r="AA1619" i="3"/>
  <c r="AA1620" i="3"/>
  <c r="AA1621" i="3"/>
  <c r="AB1600" i="3"/>
  <c r="O1600" i="3" s="1"/>
  <c r="Y1600" i="3" s="1"/>
  <c r="AB1601" i="3"/>
  <c r="O1601" i="3" s="1"/>
  <c r="AB1602" i="3"/>
  <c r="O1602" i="3" s="1"/>
  <c r="AB1603" i="3"/>
  <c r="O1603" i="3" s="1"/>
  <c r="AB1604" i="3"/>
  <c r="O1604" i="3" s="1"/>
  <c r="AB1605" i="3"/>
  <c r="O1605" i="3" s="1"/>
  <c r="AB1606" i="3"/>
  <c r="O1606" i="3" s="1"/>
  <c r="AB1607" i="3"/>
  <c r="O1607" i="3" s="1"/>
  <c r="AB1608" i="3"/>
  <c r="O1608" i="3" s="1"/>
  <c r="AB1609" i="3"/>
  <c r="O1609" i="3" s="1"/>
  <c r="AB1610" i="3"/>
  <c r="O1610" i="3" s="1"/>
  <c r="AB1611" i="3"/>
  <c r="O1611" i="3" s="1"/>
  <c r="Y1611" i="3" s="1"/>
  <c r="AB1612" i="3"/>
  <c r="O1612" i="3" s="1"/>
  <c r="AB1613" i="3"/>
  <c r="O1613" i="3" s="1"/>
  <c r="AB1614" i="3"/>
  <c r="O1614" i="3" s="1"/>
  <c r="AB1615" i="3"/>
  <c r="O1615" i="3" s="1"/>
  <c r="AB1616" i="3"/>
  <c r="O1616" i="3" s="1"/>
  <c r="AB1617" i="3"/>
  <c r="O1617" i="3" s="1"/>
  <c r="AB1618" i="3"/>
  <c r="O1618" i="3" s="1"/>
  <c r="AB1619" i="3"/>
  <c r="O1619" i="3" s="1"/>
  <c r="AB1620" i="3"/>
  <c r="O1620" i="3" s="1"/>
  <c r="AB1621" i="3"/>
  <c r="O1621" i="3" s="1"/>
  <c r="AC1600" i="3"/>
  <c r="N1600" i="3" s="1"/>
  <c r="S1600" i="3" s="1"/>
  <c r="AC1601" i="3"/>
  <c r="N1601" i="3" s="1"/>
  <c r="AC1602" i="3"/>
  <c r="N1602" i="3" s="1"/>
  <c r="AC1603" i="3"/>
  <c r="N1603" i="3" s="1"/>
  <c r="AC1604" i="3"/>
  <c r="N1604" i="3" s="1"/>
  <c r="AC1605" i="3"/>
  <c r="N1605" i="3" s="1"/>
  <c r="AC1606" i="3"/>
  <c r="N1606" i="3" s="1"/>
  <c r="AC1607" i="3"/>
  <c r="N1607" i="3" s="1"/>
  <c r="AC1608" i="3"/>
  <c r="N1608" i="3" s="1"/>
  <c r="AC1609" i="3"/>
  <c r="N1609" i="3" s="1"/>
  <c r="AC1610" i="3"/>
  <c r="N1610" i="3" s="1"/>
  <c r="AC1611" i="3"/>
  <c r="N1611" i="3" s="1"/>
  <c r="AC1612" i="3"/>
  <c r="N1612" i="3" s="1"/>
  <c r="AC1613" i="3"/>
  <c r="N1613" i="3" s="1"/>
  <c r="AC1614" i="3"/>
  <c r="N1614" i="3" s="1"/>
  <c r="AC1615" i="3"/>
  <c r="N1615" i="3" s="1"/>
  <c r="AC1616" i="3"/>
  <c r="N1616" i="3" s="1"/>
  <c r="AC1617" i="3"/>
  <c r="N1617" i="3" s="1"/>
  <c r="AC1618" i="3"/>
  <c r="N1618" i="3" s="1"/>
  <c r="AC1619" i="3"/>
  <c r="N1619" i="3" s="1"/>
  <c r="AC1620" i="3"/>
  <c r="N1620" i="3" s="1"/>
  <c r="AC1621" i="3"/>
  <c r="N1621" i="3" s="1"/>
  <c r="AK1600" i="3"/>
  <c r="AK1601" i="3"/>
  <c r="AK1602" i="3"/>
  <c r="AK1603" i="3"/>
  <c r="AK1604" i="3"/>
  <c r="AK1605" i="3"/>
  <c r="AK1606" i="3"/>
  <c r="AK1607" i="3"/>
  <c r="AK1608" i="3"/>
  <c r="AK1609" i="3"/>
  <c r="AK1610" i="3"/>
  <c r="AK1611" i="3"/>
  <c r="AK1612" i="3"/>
  <c r="AK1613" i="3"/>
  <c r="AK1614" i="3"/>
  <c r="AK1615" i="3"/>
  <c r="AK1616" i="3"/>
  <c r="AK1617" i="3"/>
  <c r="AK1618" i="3"/>
  <c r="AK1619" i="3"/>
  <c r="AK1620" i="3"/>
  <c r="AK1621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P1577" i="3"/>
  <c r="P1578" i="3"/>
  <c r="P1579" i="3"/>
  <c r="P1580" i="3"/>
  <c r="P1581" i="3"/>
  <c r="P1582" i="3"/>
  <c r="P1583" i="3"/>
  <c r="P1584" i="3"/>
  <c r="P1585" i="3"/>
  <c r="P1586" i="3"/>
  <c r="P1587" i="3"/>
  <c r="P1588" i="3"/>
  <c r="P1589" i="3"/>
  <c r="P1590" i="3"/>
  <c r="P1591" i="3"/>
  <c r="P1592" i="3"/>
  <c r="P1593" i="3"/>
  <c r="P1594" i="3"/>
  <c r="P1595" i="3"/>
  <c r="P1596" i="3"/>
  <c r="P1597" i="3"/>
  <c r="P1598" i="3"/>
  <c r="P1599" i="3"/>
  <c r="Q1577" i="3"/>
  <c r="Q1578" i="3"/>
  <c r="Q1579" i="3"/>
  <c r="Q1580" i="3"/>
  <c r="Q1581" i="3"/>
  <c r="Q1582" i="3"/>
  <c r="Q1583" i="3"/>
  <c r="Q1584" i="3"/>
  <c r="Q1585" i="3"/>
  <c r="Q1586" i="3"/>
  <c r="Q1587" i="3"/>
  <c r="Q1588" i="3"/>
  <c r="Q1589" i="3"/>
  <c r="Q1590" i="3"/>
  <c r="Q1591" i="3"/>
  <c r="Q1592" i="3"/>
  <c r="Q1593" i="3"/>
  <c r="Q1594" i="3"/>
  <c r="Q1595" i="3"/>
  <c r="Q1596" i="3"/>
  <c r="Q1597" i="3"/>
  <c r="Q1598" i="3"/>
  <c r="Q1599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S1578" i="3"/>
  <c r="S1579" i="3"/>
  <c r="S1580" i="3"/>
  <c r="S1581" i="3"/>
  <c r="S1582" i="3"/>
  <c r="S1583" i="3"/>
  <c r="S1584" i="3"/>
  <c r="S1585" i="3"/>
  <c r="S1586" i="3"/>
  <c r="S1587" i="3"/>
  <c r="S1589" i="3"/>
  <c r="S1590" i="3"/>
  <c r="S1591" i="3"/>
  <c r="S1592" i="3"/>
  <c r="S1593" i="3"/>
  <c r="S1594" i="3"/>
  <c r="S1595" i="3"/>
  <c r="S1596" i="3"/>
  <c r="S1597" i="3"/>
  <c r="S1598" i="3"/>
  <c r="S1599" i="3"/>
  <c r="T1577" i="3"/>
  <c r="T1588" i="3"/>
  <c r="U1577" i="3"/>
  <c r="U1588" i="3"/>
  <c r="V1577" i="3"/>
  <c r="V1588" i="3"/>
  <c r="W1577" i="3"/>
  <c r="W1588" i="3"/>
  <c r="X1577" i="3"/>
  <c r="X1588" i="3"/>
  <c r="AA1577" i="3"/>
  <c r="AA1578" i="3"/>
  <c r="AA1579" i="3"/>
  <c r="AA1580" i="3"/>
  <c r="AA1581" i="3"/>
  <c r="AA1582" i="3"/>
  <c r="AA1583" i="3"/>
  <c r="AA1584" i="3"/>
  <c r="AA1585" i="3"/>
  <c r="AA1586" i="3"/>
  <c r="AA1587" i="3"/>
  <c r="AA1588" i="3"/>
  <c r="AA1589" i="3"/>
  <c r="AA1590" i="3"/>
  <c r="AA1591" i="3"/>
  <c r="AA1592" i="3"/>
  <c r="AA1593" i="3"/>
  <c r="AA1594" i="3"/>
  <c r="AA1595" i="3"/>
  <c r="AA1596" i="3"/>
  <c r="AA1597" i="3"/>
  <c r="AA1598" i="3"/>
  <c r="AA1599" i="3"/>
  <c r="AB1577" i="3"/>
  <c r="O1577" i="3" s="1"/>
  <c r="Y1577" i="3" s="1"/>
  <c r="AB1578" i="3"/>
  <c r="O1578" i="3" s="1"/>
  <c r="AB1579" i="3"/>
  <c r="O1579" i="3" s="1"/>
  <c r="AB1580" i="3"/>
  <c r="O1580" i="3" s="1"/>
  <c r="AB1581" i="3"/>
  <c r="O1581" i="3" s="1"/>
  <c r="AB1582" i="3"/>
  <c r="O1582" i="3" s="1"/>
  <c r="AB1583" i="3"/>
  <c r="O1583" i="3" s="1"/>
  <c r="AB1584" i="3"/>
  <c r="O1584" i="3" s="1"/>
  <c r="AB1585" i="3"/>
  <c r="O1585" i="3" s="1"/>
  <c r="AB1586" i="3"/>
  <c r="O1586" i="3" s="1"/>
  <c r="AB1587" i="3"/>
  <c r="O1587" i="3" s="1"/>
  <c r="AB1588" i="3"/>
  <c r="O1588" i="3" s="1"/>
  <c r="Y1588" i="3" s="1"/>
  <c r="AB1589" i="3"/>
  <c r="O1589" i="3" s="1"/>
  <c r="AB1590" i="3"/>
  <c r="O1590" i="3" s="1"/>
  <c r="AB1591" i="3"/>
  <c r="O1591" i="3" s="1"/>
  <c r="AB1592" i="3"/>
  <c r="O1592" i="3" s="1"/>
  <c r="AB1593" i="3"/>
  <c r="O1593" i="3" s="1"/>
  <c r="AB1594" i="3"/>
  <c r="O1594" i="3" s="1"/>
  <c r="AB1595" i="3"/>
  <c r="O1595" i="3" s="1"/>
  <c r="AB1596" i="3"/>
  <c r="O1596" i="3" s="1"/>
  <c r="AB1597" i="3"/>
  <c r="O1597" i="3" s="1"/>
  <c r="AB1598" i="3"/>
  <c r="O1598" i="3" s="1"/>
  <c r="AB1599" i="3"/>
  <c r="O1599" i="3" s="1"/>
  <c r="AC1577" i="3"/>
  <c r="N1577" i="3" s="1"/>
  <c r="AC1578" i="3"/>
  <c r="N1578" i="3" s="1"/>
  <c r="AC1579" i="3"/>
  <c r="N1579" i="3" s="1"/>
  <c r="AC1580" i="3"/>
  <c r="N1580" i="3" s="1"/>
  <c r="AC1581" i="3"/>
  <c r="N1581" i="3" s="1"/>
  <c r="AC1582" i="3"/>
  <c r="N1582" i="3" s="1"/>
  <c r="AC1583" i="3"/>
  <c r="N1583" i="3" s="1"/>
  <c r="AC1584" i="3"/>
  <c r="N1584" i="3" s="1"/>
  <c r="AC1585" i="3"/>
  <c r="N1585" i="3" s="1"/>
  <c r="AC1586" i="3"/>
  <c r="N1586" i="3" s="1"/>
  <c r="AC1587" i="3"/>
  <c r="N1587" i="3" s="1"/>
  <c r="AC1588" i="3"/>
  <c r="N1588" i="3" s="1"/>
  <c r="AC1589" i="3"/>
  <c r="N1589" i="3" s="1"/>
  <c r="AC1590" i="3"/>
  <c r="N1590" i="3" s="1"/>
  <c r="AC1591" i="3"/>
  <c r="N1591" i="3" s="1"/>
  <c r="AC1592" i="3"/>
  <c r="N1592" i="3" s="1"/>
  <c r="AC1593" i="3"/>
  <c r="N1593" i="3" s="1"/>
  <c r="AC1594" i="3"/>
  <c r="N1594" i="3" s="1"/>
  <c r="AC1595" i="3"/>
  <c r="N1595" i="3" s="1"/>
  <c r="AC1596" i="3"/>
  <c r="N1596" i="3" s="1"/>
  <c r="AC1597" i="3"/>
  <c r="N1597" i="3" s="1"/>
  <c r="AC1598" i="3"/>
  <c r="N1598" i="3" s="1"/>
  <c r="AC1599" i="3"/>
  <c r="N1599" i="3" s="1"/>
  <c r="AK1577" i="3"/>
  <c r="AK1578" i="3"/>
  <c r="AK1579" i="3"/>
  <c r="AK1580" i="3"/>
  <c r="AK1581" i="3"/>
  <c r="AK1582" i="3"/>
  <c r="AK1583" i="3"/>
  <c r="AK1584" i="3"/>
  <c r="AK1585" i="3"/>
  <c r="AK1586" i="3"/>
  <c r="AK1587" i="3"/>
  <c r="AK1588" i="3"/>
  <c r="AK1589" i="3"/>
  <c r="AK1590" i="3"/>
  <c r="AK1591" i="3"/>
  <c r="AK1592" i="3"/>
  <c r="AK1593" i="3"/>
  <c r="AK1594" i="3"/>
  <c r="AK1595" i="3"/>
  <c r="AK1596" i="3"/>
  <c r="AK1597" i="3"/>
  <c r="AK1598" i="3"/>
  <c r="AK1599" i="3"/>
  <c r="Z1600" i="3" l="1"/>
  <c r="S1611" i="3"/>
  <c r="Z1611" i="3" s="1"/>
  <c r="S1685" i="3"/>
  <c r="Z1685" i="3" s="1"/>
  <c r="V21" i="23"/>
  <c r="V30" i="23"/>
  <c r="V28" i="23"/>
  <c r="V26" i="23"/>
  <c r="V24" i="23"/>
  <c r="V22" i="23"/>
  <c r="W31" i="23"/>
  <c r="W29" i="23"/>
  <c r="W27" i="23"/>
  <c r="W25" i="23"/>
  <c r="W23" i="23"/>
  <c r="V31" i="23"/>
  <c r="V29" i="23"/>
  <c r="V27" i="23"/>
  <c r="V25" i="23"/>
  <c r="V23" i="23"/>
  <c r="W21" i="23"/>
  <c r="W30" i="23"/>
  <c r="W28" i="23"/>
  <c r="W26" i="23"/>
  <c r="W24" i="23"/>
  <c r="W22" i="23"/>
  <c r="W1706" i="3"/>
  <c r="X1706" i="3"/>
  <c r="Y1706" i="3"/>
  <c r="Y1704" i="3"/>
  <c r="T1704" i="3"/>
  <c r="U1704" i="3"/>
  <c r="V1704" i="3"/>
  <c r="W1704" i="3"/>
  <c r="X1704" i="3"/>
  <c r="W1702" i="3"/>
  <c r="X1702" i="3"/>
  <c r="Y1702" i="3"/>
  <c r="Y1700" i="3"/>
  <c r="T1700" i="3"/>
  <c r="U1700" i="3"/>
  <c r="V1700" i="3"/>
  <c r="W1700" i="3"/>
  <c r="X1700" i="3"/>
  <c r="W1698" i="3"/>
  <c r="X1698" i="3"/>
  <c r="Y1698" i="3"/>
  <c r="W1694" i="3"/>
  <c r="X1694" i="3"/>
  <c r="Y1694" i="3"/>
  <c r="Y1692" i="3"/>
  <c r="T1692" i="3"/>
  <c r="U1692" i="3"/>
  <c r="V1692" i="3"/>
  <c r="W1692" i="3"/>
  <c r="X1692" i="3"/>
  <c r="W1690" i="3"/>
  <c r="X1690" i="3"/>
  <c r="Y1690" i="3"/>
  <c r="Y1688" i="3"/>
  <c r="T1688" i="3"/>
  <c r="U1688" i="3"/>
  <c r="V1688" i="3"/>
  <c r="W1688" i="3"/>
  <c r="X1688" i="3"/>
  <c r="W1686" i="3"/>
  <c r="X1686" i="3"/>
  <c r="Y1686" i="3"/>
  <c r="Y1696" i="3"/>
  <c r="T1706" i="3"/>
  <c r="T1702" i="3"/>
  <c r="T1698" i="3"/>
  <c r="S1696" i="3"/>
  <c r="Z1696" i="3" s="1"/>
  <c r="T1694" i="3"/>
  <c r="T1690" i="3"/>
  <c r="T1686" i="3"/>
  <c r="T1705" i="3"/>
  <c r="U1705" i="3"/>
  <c r="V1705" i="3"/>
  <c r="W1705" i="3"/>
  <c r="X1705" i="3"/>
  <c r="Y1705" i="3"/>
  <c r="T1703" i="3"/>
  <c r="U1703" i="3"/>
  <c r="V1703" i="3"/>
  <c r="W1703" i="3"/>
  <c r="X1703" i="3"/>
  <c r="Y1703" i="3"/>
  <c r="T1701" i="3"/>
  <c r="U1701" i="3"/>
  <c r="V1701" i="3"/>
  <c r="W1701" i="3"/>
  <c r="X1701" i="3"/>
  <c r="Y1701" i="3"/>
  <c r="T1699" i="3"/>
  <c r="U1699" i="3"/>
  <c r="V1699" i="3"/>
  <c r="W1699" i="3"/>
  <c r="X1699" i="3"/>
  <c r="Y1699" i="3"/>
  <c r="T1697" i="3"/>
  <c r="U1697" i="3"/>
  <c r="V1697" i="3"/>
  <c r="W1697" i="3"/>
  <c r="X1697" i="3"/>
  <c r="Y1697" i="3"/>
  <c r="T1695" i="3"/>
  <c r="U1695" i="3"/>
  <c r="V1695" i="3"/>
  <c r="W1695" i="3"/>
  <c r="X1695" i="3"/>
  <c r="Y1695" i="3"/>
  <c r="T1693" i="3"/>
  <c r="U1693" i="3"/>
  <c r="V1693" i="3"/>
  <c r="W1693" i="3"/>
  <c r="X1693" i="3"/>
  <c r="Y1693" i="3"/>
  <c r="T1691" i="3"/>
  <c r="U1691" i="3"/>
  <c r="V1691" i="3"/>
  <c r="W1691" i="3"/>
  <c r="X1691" i="3"/>
  <c r="Y1691" i="3"/>
  <c r="T1689" i="3"/>
  <c r="U1689" i="3"/>
  <c r="V1689" i="3"/>
  <c r="W1689" i="3"/>
  <c r="X1689" i="3"/>
  <c r="Y1689" i="3"/>
  <c r="T1687" i="3"/>
  <c r="U1687" i="3"/>
  <c r="V1687" i="3"/>
  <c r="W1687" i="3"/>
  <c r="X1687" i="3"/>
  <c r="Y1687" i="3"/>
  <c r="V1706" i="3"/>
  <c r="V1702" i="3"/>
  <c r="V1698" i="3"/>
  <c r="V1694" i="3"/>
  <c r="V1690" i="3"/>
  <c r="V1686" i="3"/>
  <c r="U1706" i="3"/>
  <c r="U1702" i="3"/>
  <c r="U1698" i="3"/>
  <c r="U1694" i="3"/>
  <c r="U1690" i="3"/>
  <c r="U1686" i="3"/>
  <c r="U1683" i="3"/>
  <c r="W1683" i="3"/>
  <c r="Y1683" i="3"/>
  <c r="U1681" i="3"/>
  <c r="W1681" i="3"/>
  <c r="Y1681" i="3"/>
  <c r="U1679" i="3"/>
  <c r="W1679" i="3"/>
  <c r="Y1679" i="3"/>
  <c r="U1677" i="3"/>
  <c r="W1677" i="3"/>
  <c r="Y1677" i="3"/>
  <c r="U1675" i="3"/>
  <c r="W1675" i="3"/>
  <c r="Y1675" i="3"/>
  <c r="T1684" i="3"/>
  <c r="V1684" i="3"/>
  <c r="X1684" i="3"/>
  <c r="T1682" i="3"/>
  <c r="V1682" i="3"/>
  <c r="X1682" i="3"/>
  <c r="T1680" i="3"/>
  <c r="V1680" i="3"/>
  <c r="X1680" i="3"/>
  <c r="T1678" i="3"/>
  <c r="V1678" i="3"/>
  <c r="X1678" i="3"/>
  <c r="T1676" i="3"/>
  <c r="V1676" i="3"/>
  <c r="X1676" i="3"/>
  <c r="U1682" i="3"/>
  <c r="U1678" i="3"/>
  <c r="S1674" i="3"/>
  <c r="Z1674" i="3" s="1"/>
  <c r="T1683" i="3"/>
  <c r="T1681" i="3"/>
  <c r="T1679" i="3"/>
  <c r="T1677" i="3"/>
  <c r="T1675" i="3"/>
  <c r="U1684" i="3"/>
  <c r="U1680" i="3"/>
  <c r="U1676" i="3"/>
  <c r="Y1684" i="3"/>
  <c r="Y1682" i="3"/>
  <c r="Y1680" i="3"/>
  <c r="Y1678" i="3"/>
  <c r="Y1676" i="3"/>
  <c r="X1683" i="3"/>
  <c r="X1681" i="3"/>
  <c r="X1679" i="3"/>
  <c r="X1677" i="3"/>
  <c r="X1675" i="3"/>
  <c r="W1684" i="3"/>
  <c r="W1682" i="3"/>
  <c r="W1680" i="3"/>
  <c r="W1678" i="3"/>
  <c r="W1676" i="3"/>
  <c r="V1683" i="3"/>
  <c r="V1681" i="3"/>
  <c r="V1679" i="3"/>
  <c r="V1677" i="3"/>
  <c r="V1675" i="3"/>
  <c r="S1647" i="3"/>
  <c r="Z1647" i="3" s="1"/>
  <c r="U1673" i="3"/>
  <c r="W1673" i="3"/>
  <c r="V1673" i="3"/>
  <c r="X1673" i="3"/>
  <c r="T1673" i="3"/>
  <c r="Y1673" i="3"/>
  <c r="U1671" i="3"/>
  <c r="W1671" i="3"/>
  <c r="T1671" i="3"/>
  <c r="X1671" i="3"/>
  <c r="V1671" i="3"/>
  <c r="Y1671" i="3"/>
  <c r="U1669" i="3"/>
  <c r="W1669" i="3"/>
  <c r="V1669" i="3"/>
  <c r="X1669" i="3"/>
  <c r="T1669" i="3"/>
  <c r="Y1669" i="3"/>
  <c r="U1667" i="3"/>
  <c r="W1667" i="3"/>
  <c r="T1667" i="3"/>
  <c r="X1667" i="3"/>
  <c r="V1667" i="3"/>
  <c r="Y1667" i="3"/>
  <c r="U1665" i="3"/>
  <c r="W1665" i="3"/>
  <c r="V1665" i="3"/>
  <c r="X1665" i="3"/>
  <c r="T1665" i="3"/>
  <c r="Y1665" i="3"/>
  <c r="U1663" i="3"/>
  <c r="W1663" i="3"/>
  <c r="T1663" i="3"/>
  <c r="X1663" i="3"/>
  <c r="V1663" i="3"/>
  <c r="Y1663" i="3"/>
  <c r="U1661" i="3"/>
  <c r="W1661" i="3"/>
  <c r="V1661" i="3"/>
  <c r="T1661" i="3"/>
  <c r="X1661" i="3"/>
  <c r="Y1661" i="3"/>
  <c r="U1659" i="3"/>
  <c r="W1659" i="3"/>
  <c r="V1659" i="3"/>
  <c r="T1659" i="3"/>
  <c r="X1659" i="3"/>
  <c r="Y1659" i="3"/>
  <c r="U1657" i="3"/>
  <c r="W1657" i="3"/>
  <c r="T1657" i="3"/>
  <c r="X1657" i="3"/>
  <c r="V1657" i="3"/>
  <c r="Y1657" i="3"/>
  <c r="U1655" i="3"/>
  <c r="W1655" i="3"/>
  <c r="V1655" i="3"/>
  <c r="T1655" i="3"/>
  <c r="X1655" i="3"/>
  <c r="Y1655" i="3"/>
  <c r="U1653" i="3"/>
  <c r="W1653" i="3"/>
  <c r="T1653" i="3"/>
  <c r="X1653" i="3"/>
  <c r="V1653" i="3"/>
  <c r="Y1653" i="3"/>
  <c r="U1651" i="3"/>
  <c r="W1651" i="3"/>
  <c r="V1651" i="3"/>
  <c r="T1651" i="3"/>
  <c r="X1651" i="3"/>
  <c r="Y1651" i="3"/>
  <c r="U1649" i="3"/>
  <c r="W1649" i="3"/>
  <c r="T1649" i="3"/>
  <c r="X1649" i="3"/>
  <c r="V1649" i="3"/>
  <c r="Y1649" i="3"/>
  <c r="W1672" i="3"/>
  <c r="U1670" i="3"/>
  <c r="W1668" i="3"/>
  <c r="U1666" i="3"/>
  <c r="W1664" i="3"/>
  <c r="U1662" i="3"/>
  <c r="S1660" i="3"/>
  <c r="Z1660" i="3" s="1"/>
  <c r="U1658" i="3"/>
  <c r="W1656" i="3"/>
  <c r="U1654" i="3"/>
  <c r="W1652" i="3"/>
  <c r="U1650" i="3"/>
  <c r="W1648" i="3"/>
  <c r="X1672" i="3"/>
  <c r="X1670" i="3"/>
  <c r="X1668" i="3"/>
  <c r="X1666" i="3"/>
  <c r="X1664" i="3"/>
  <c r="W1670" i="3"/>
  <c r="W1666" i="3"/>
  <c r="W1662" i="3"/>
  <c r="W1658" i="3"/>
  <c r="W1654" i="3"/>
  <c r="W1650" i="3"/>
  <c r="U1672" i="3"/>
  <c r="U1668" i="3"/>
  <c r="U1664" i="3"/>
  <c r="U1656" i="3"/>
  <c r="U1652" i="3"/>
  <c r="U1648" i="3"/>
  <c r="T1672" i="3"/>
  <c r="V1672" i="3"/>
  <c r="T1670" i="3"/>
  <c r="V1670" i="3"/>
  <c r="T1668" i="3"/>
  <c r="V1668" i="3"/>
  <c r="T1666" i="3"/>
  <c r="V1666" i="3"/>
  <c r="T1664" i="3"/>
  <c r="V1664" i="3"/>
  <c r="T1662" i="3"/>
  <c r="V1662" i="3"/>
  <c r="X1662" i="3"/>
  <c r="T1658" i="3"/>
  <c r="V1658" i="3"/>
  <c r="X1658" i="3"/>
  <c r="T1656" i="3"/>
  <c r="V1656" i="3"/>
  <c r="X1656" i="3"/>
  <c r="T1654" i="3"/>
  <c r="V1654" i="3"/>
  <c r="X1654" i="3"/>
  <c r="T1652" i="3"/>
  <c r="V1652" i="3"/>
  <c r="X1652" i="3"/>
  <c r="T1650" i="3"/>
  <c r="V1650" i="3"/>
  <c r="X1650" i="3"/>
  <c r="T1648" i="3"/>
  <c r="V1648" i="3"/>
  <c r="X1648" i="3"/>
  <c r="Y1672" i="3"/>
  <c r="Y1670" i="3"/>
  <c r="Y1668" i="3"/>
  <c r="Y1666" i="3"/>
  <c r="Y1664" i="3"/>
  <c r="Y1662" i="3"/>
  <c r="Y1658" i="3"/>
  <c r="Y1656" i="3"/>
  <c r="Y1654" i="3"/>
  <c r="Y1652" i="3"/>
  <c r="Y1650" i="3"/>
  <c r="Y1648" i="3"/>
  <c r="X1646" i="3"/>
  <c r="X1642" i="3"/>
  <c r="S1636" i="3"/>
  <c r="Z1636" i="3" s="1"/>
  <c r="S1622" i="3"/>
  <c r="Z1622" i="3" s="1"/>
  <c r="T1645" i="3"/>
  <c r="V1645" i="3"/>
  <c r="X1645" i="3"/>
  <c r="U1645" i="3"/>
  <c r="W1645" i="3"/>
  <c r="T1643" i="3"/>
  <c r="V1643" i="3"/>
  <c r="X1643" i="3"/>
  <c r="U1643" i="3"/>
  <c r="W1643" i="3"/>
  <c r="T1641" i="3"/>
  <c r="V1641" i="3"/>
  <c r="X1641" i="3"/>
  <c r="U1641" i="3"/>
  <c r="W1641" i="3"/>
  <c r="T1639" i="3"/>
  <c r="V1639" i="3"/>
  <c r="X1639" i="3"/>
  <c r="U1639" i="3"/>
  <c r="W1639" i="3"/>
  <c r="T1637" i="3"/>
  <c r="V1637" i="3"/>
  <c r="X1637" i="3"/>
  <c r="U1637" i="3"/>
  <c r="W1637" i="3"/>
  <c r="T1635" i="3"/>
  <c r="V1635" i="3"/>
  <c r="X1635" i="3"/>
  <c r="U1635" i="3"/>
  <c r="W1635" i="3"/>
  <c r="T1633" i="3"/>
  <c r="V1633" i="3"/>
  <c r="X1633" i="3"/>
  <c r="U1633" i="3"/>
  <c r="W1633" i="3"/>
  <c r="T1631" i="3"/>
  <c r="V1631" i="3"/>
  <c r="X1631" i="3"/>
  <c r="U1631" i="3"/>
  <c r="W1631" i="3"/>
  <c r="T1629" i="3"/>
  <c r="V1629" i="3"/>
  <c r="X1629" i="3"/>
  <c r="U1629" i="3"/>
  <c r="W1629" i="3"/>
  <c r="T1627" i="3"/>
  <c r="V1627" i="3"/>
  <c r="X1627" i="3"/>
  <c r="U1627" i="3"/>
  <c r="W1627" i="3"/>
  <c r="T1625" i="3"/>
  <c r="V1625" i="3"/>
  <c r="X1625" i="3"/>
  <c r="U1625" i="3"/>
  <c r="W1625" i="3"/>
  <c r="T1623" i="3"/>
  <c r="V1623" i="3"/>
  <c r="X1623" i="3"/>
  <c r="U1623" i="3"/>
  <c r="W1623" i="3"/>
  <c r="Y1645" i="3"/>
  <c r="Y1643" i="3"/>
  <c r="Y1641" i="3"/>
  <c r="Y1639" i="3"/>
  <c r="Y1637" i="3"/>
  <c r="Y1635" i="3"/>
  <c r="Y1633" i="3"/>
  <c r="Y1631" i="3"/>
  <c r="Y1629" i="3"/>
  <c r="Y1627" i="3"/>
  <c r="Y1625" i="3"/>
  <c r="Y1623" i="3"/>
  <c r="U1646" i="3"/>
  <c r="W1646" i="3"/>
  <c r="T1646" i="3"/>
  <c r="V1646" i="3"/>
  <c r="U1644" i="3"/>
  <c r="W1644" i="3"/>
  <c r="T1644" i="3"/>
  <c r="V1644" i="3"/>
  <c r="U1642" i="3"/>
  <c r="W1642" i="3"/>
  <c r="T1642" i="3"/>
  <c r="V1642" i="3"/>
  <c r="U1640" i="3"/>
  <c r="W1640" i="3"/>
  <c r="T1640" i="3"/>
  <c r="V1640" i="3"/>
  <c r="X1640" i="3"/>
  <c r="U1638" i="3"/>
  <c r="W1638" i="3"/>
  <c r="T1638" i="3"/>
  <c r="V1638" i="3"/>
  <c r="X1638" i="3"/>
  <c r="U1634" i="3"/>
  <c r="W1634" i="3"/>
  <c r="T1634" i="3"/>
  <c r="V1634" i="3"/>
  <c r="X1634" i="3"/>
  <c r="U1632" i="3"/>
  <c r="W1632" i="3"/>
  <c r="T1632" i="3"/>
  <c r="V1632" i="3"/>
  <c r="X1632" i="3"/>
  <c r="U1630" i="3"/>
  <c r="W1630" i="3"/>
  <c r="T1630" i="3"/>
  <c r="V1630" i="3"/>
  <c r="X1630" i="3"/>
  <c r="U1628" i="3"/>
  <c r="W1628" i="3"/>
  <c r="T1628" i="3"/>
  <c r="V1628" i="3"/>
  <c r="X1628" i="3"/>
  <c r="U1626" i="3"/>
  <c r="W1626" i="3"/>
  <c r="T1626" i="3"/>
  <c r="V1626" i="3"/>
  <c r="X1626" i="3"/>
  <c r="U1624" i="3"/>
  <c r="W1624" i="3"/>
  <c r="T1624" i="3"/>
  <c r="V1624" i="3"/>
  <c r="X1624" i="3"/>
  <c r="Y1646" i="3"/>
  <c r="Y1644" i="3"/>
  <c r="Y1642" i="3"/>
  <c r="Y1640" i="3"/>
  <c r="Y1638" i="3"/>
  <c r="Y1634" i="3"/>
  <c r="Y1632" i="3"/>
  <c r="Y1630" i="3"/>
  <c r="Y1628" i="3"/>
  <c r="Y1626" i="3"/>
  <c r="Y1624" i="3"/>
  <c r="X1644" i="3"/>
  <c r="T1621" i="3"/>
  <c r="U1621" i="3"/>
  <c r="V1621" i="3"/>
  <c r="W1621" i="3"/>
  <c r="T1619" i="3"/>
  <c r="U1619" i="3"/>
  <c r="V1619" i="3"/>
  <c r="W1619" i="3"/>
  <c r="T1617" i="3"/>
  <c r="U1617" i="3"/>
  <c r="V1617" i="3"/>
  <c r="W1617" i="3"/>
  <c r="T1615" i="3"/>
  <c r="U1615" i="3"/>
  <c r="V1615" i="3"/>
  <c r="W1615" i="3"/>
  <c r="T1613" i="3"/>
  <c r="U1613" i="3"/>
  <c r="V1613" i="3"/>
  <c r="W1613" i="3"/>
  <c r="T1609" i="3"/>
  <c r="U1609" i="3"/>
  <c r="V1609" i="3"/>
  <c r="W1609" i="3"/>
  <c r="T1607" i="3"/>
  <c r="U1607" i="3"/>
  <c r="V1607" i="3"/>
  <c r="W1607" i="3"/>
  <c r="X1607" i="3"/>
  <c r="T1605" i="3"/>
  <c r="U1605" i="3"/>
  <c r="V1605" i="3"/>
  <c r="W1605" i="3"/>
  <c r="X1605" i="3"/>
  <c r="T1603" i="3"/>
  <c r="U1603" i="3"/>
  <c r="V1603" i="3"/>
  <c r="W1603" i="3"/>
  <c r="X1603" i="3"/>
  <c r="T1601" i="3"/>
  <c r="U1601" i="3"/>
  <c r="V1601" i="3"/>
  <c r="W1601" i="3"/>
  <c r="X1601" i="3"/>
  <c r="Y1619" i="3"/>
  <c r="Y1615" i="3"/>
  <c r="Y1607" i="3"/>
  <c r="Y1603" i="3"/>
  <c r="X1621" i="3"/>
  <c r="X1617" i="3"/>
  <c r="X1613" i="3"/>
  <c r="X1609" i="3"/>
  <c r="T1620" i="3"/>
  <c r="U1620" i="3"/>
  <c r="V1620" i="3"/>
  <c r="W1620" i="3"/>
  <c r="X1620" i="3"/>
  <c r="Y1620" i="3"/>
  <c r="T1618" i="3"/>
  <c r="U1618" i="3"/>
  <c r="V1618" i="3"/>
  <c r="W1618" i="3"/>
  <c r="X1618" i="3"/>
  <c r="Y1618" i="3"/>
  <c r="T1616" i="3"/>
  <c r="U1616" i="3"/>
  <c r="V1616" i="3"/>
  <c r="W1616" i="3"/>
  <c r="X1616" i="3"/>
  <c r="Y1616" i="3"/>
  <c r="T1614" i="3"/>
  <c r="U1614" i="3"/>
  <c r="V1614" i="3"/>
  <c r="W1614" i="3"/>
  <c r="X1614" i="3"/>
  <c r="Y1614" i="3"/>
  <c r="T1612" i="3"/>
  <c r="U1612" i="3"/>
  <c r="V1612" i="3"/>
  <c r="W1612" i="3"/>
  <c r="X1612" i="3"/>
  <c r="Y1612" i="3"/>
  <c r="T1610" i="3"/>
  <c r="U1610" i="3"/>
  <c r="V1610" i="3"/>
  <c r="W1610" i="3"/>
  <c r="X1610" i="3"/>
  <c r="Y1610" i="3"/>
  <c r="T1608" i="3"/>
  <c r="U1608" i="3"/>
  <c r="V1608" i="3"/>
  <c r="W1608" i="3"/>
  <c r="X1608" i="3"/>
  <c r="Y1608" i="3"/>
  <c r="T1606" i="3"/>
  <c r="U1606" i="3"/>
  <c r="V1606" i="3"/>
  <c r="W1606" i="3"/>
  <c r="X1606" i="3"/>
  <c r="Y1606" i="3"/>
  <c r="T1604" i="3"/>
  <c r="U1604" i="3"/>
  <c r="V1604" i="3"/>
  <c r="W1604" i="3"/>
  <c r="X1604" i="3"/>
  <c r="Y1604" i="3"/>
  <c r="T1602" i="3"/>
  <c r="U1602" i="3"/>
  <c r="V1602" i="3"/>
  <c r="W1602" i="3"/>
  <c r="X1602" i="3"/>
  <c r="Y1602" i="3"/>
  <c r="Y1621" i="3"/>
  <c r="Y1617" i="3"/>
  <c r="Y1613" i="3"/>
  <c r="Y1609" i="3"/>
  <c r="Y1605" i="3"/>
  <c r="Y1601" i="3"/>
  <c r="X1619" i="3"/>
  <c r="X1615" i="3"/>
  <c r="S1588" i="3"/>
  <c r="Z1588" i="3" s="1"/>
  <c r="S1577" i="3"/>
  <c r="Z1577" i="3" s="1"/>
  <c r="T1598" i="3"/>
  <c r="V1598" i="3"/>
  <c r="X1598" i="3"/>
  <c r="U1598" i="3"/>
  <c r="W1598" i="3"/>
  <c r="T1596" i="3"/>
  <c r="V1596" i="3"/>
  <c r="X1596" i="3"/>
  <c r="U1596" i="3"/>
  <c r="W1596" i="3"/>
  <c r="T1594" i="3"/>
  <c r="V1594" i="3"/>
  <c r="X1594" i="3"/>
  <c r="U1594" i="3"/>
  <c r="W1594" i="3"/>
  <c r="T1592" i="3"/>
  <c r="V1592" i="3"/>
  <c r="X1592" i="3"/>
  <c r="U1592" i="3"/>
  <c r="W1592" i="3"/>
  <c r="Y1592" i="3"/>
  <c r="T1590" i="3"/>
  <c r="V1590" i="3"/>
  <c r="X1590" i="3"/>
  <c r="U1590" i="3"/>
  <c r="W1590" i="3"/>
  <c r="Y1590" i="3"/>
  <c r="T1586" i="3"/>
  <c r="V1586" i="3"/>
  <c r="X1586" i="3"/>
  <c r="U1586" i="3"/>
  <c r="W1586" i="3"/>
  <c r="Y1586" i="3"/>
  <c r="T1584" i="3"/>
  <c r="V1584" i="3"/>
  <c r="X1584" i="3"/>
  <c r="U1584" i="3"/>
  <c r="W1584" i="3"/>
  <c r="Y1584" i="3"/>
  <c r="T1582" i="3"/>
  <c r="V1582" i="3"/>
  <c r="X1582" i="3"/>
  <c r="U1582" i="3"/>
  <c r="W1582" i="3"/>
  <c r="Y1582" i="3"/>
  <c r="T1580" i="3"/>
  <c r="V1580" i="3"/>
  <c r="X1580" i="3"/>
  <c r="U1580" i="3"/>
  <c r="W1580" i="3"/>
  <c r="Y1580" i="3"/>
  <c r="T1578" i="3"/>
  <c r="V1578" i="3"/>
  <c r="X1578" i="3"/>
  <c r="U1578" i="3"/>
  <c r="W1578" i="3"/>
  <c r="Y1578" i="3"/>
  <c r="Y1598" i="3"/>
  <c r="Y1596" i="3"/>
  <c r="Y1594" i="3"/>
  <c r="U1599" i="3"/>
  <c r="W1599" i="3"/>
  <c r="T1599" i="3"/>
  <c r="V1599" i="3"/>
  <c r="X1599" i="3"/>
  <c r="U1597" i="3"/>
  <c r="W1597" i="3"/>
  <c r="T1597" i="3"/>
  <c r="V1597" i="3"/>
  <c r="X1597" i="3"/>
  <c r="U1595" i="3"/>
  <c r="W1595" i="3"/>
  <c r="T1595" i="3"/>
  <c r="V1595" i="3"/>
  <c r="X1595" i="3"/>
  <c r="U1593" i="3"/>
  <c r="W1593" i="3"/>
  <c r="Y1593" i="3"/>
  <c r="T1593" i="3"/>
  <c r="V1593" i="3"/>
  <c r="X1593" i="3"/>
  <c r="U1591" i="3"/>
  <c r="W1591" i="3"/>
  <c r="Y1591" i="3"/>
  <c r="T1591" i="3"/>
  <c r="V1591" i="3"/>
  <c r="X1591" i="3"/>
  <c r="U1589" i="3"/>
  <c r="W1589" i="3"/>
  <c r="Y1589" i="3"/>
  <c r="T1589" i="3"/>
  <c r="V1589" i="3"/>
  <c r="X1589" i="3"/>
  <c r="U1587" i="3"/>
  <c r="W1587" i="3"/>
  <c r="Y1587" i="3"/>
  <c r="T1587" i="3"/>
  <c r="V1587" i="3"/>
  <c r="X1587" i="3"/>
  <c r="U1585" i="3"/>
  <c r="W1585" i="3"/>
  <c r="Y1585" i="3"/>
  <c r="T1585" i="3"/>
  <c r="V1585" i="3"/>
  <c r="X1585" i="3"/>
  <c r="U1583" i="3"/>
  <c r="W1583" i="3"/>
  <c r="Y1583" i="3"/>
  <c r="T1583" i="3"/>
  <c r="V1583" i="3"/>
  <c r="X1583" i="3"/>
  <c r="U1581" i="3"/>
  <c r="W1581" i="3"/>
  <c r="Y1581" i="3"/>
  <c r="T1581" i="3"/>
  <c r="V1581" i="3"/>
  <c r="X1581" i="3"/>
  <c r="U1579" i="3"/>
  <c r="W1579" i="3"/>
  <c r="Y1579" i="3"/>
  <c r="T1579" i="3"/>
  <c r="V1579" i="3"/>
  <c r="X1579" i="3"/>
  <c r="Y1599" i="3"/>
  <c r="Y1597" i="3"/>
  <c r="Y1595" i="3"/>
  <c r="B86" i="18"/>
  <c r="B62" i="18"/>
  <c r="B86" i="17"/>
  <c r="B62" i="17"/>
  <c r="B86" i="4"/>
  <c r="B62" i="4"/>
  <c r="B23" i="13"/>
  <c r="B22" i="13"/>
  <c r="B21" i="13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B71" i="6" s="1"/>
  <c r="A72" i="6"/>
  <c r="A73" i="6"/>
  <c r="B73" i="6" s="1"/>
  <c r="A74" i="6"/>
  <c r="B74" i="6" s="1"/>
  <c r="A75" i="6"/>
  <c r="A76" i="6"/>
  <c r="B76" i="6" s="1"/>
  <c r="A57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B49" i="6" s="1"/>
  <c r="A50" i="6"/>
  <c r="A51" i="6"/>
  <c r="B51" i="6" s="1"/>
  <c r="A52" i="6"/>
  <c r="B52" i="6" s="1"/>
  <c r="A53" i="6"/>
  <c r="A54" i="6"/>
  <c r="A35" i="6"/>
  <c r="B54" i="6"/>
  <c r="A22" i="7"/>
  <c r="B22" i="6"/>
  <c r="N22" i="6"/>
  <c r="O22" i="6"/>
  <c r="P22" i="6"/>
  <c r="B21" i="6"/>
  <c r="N21" i="6"/>
  <c r="O21" i="6"/>
  <c r="P21" i="6"/>
  <c r="P22" i="7"/>
  <c r="B23" i="7"/>
  <c r="P23" i="7"/>
  <c r="B20" i="21"/>
  <c r="B20" i="13"/>
  <c r="B19" i="13"/>
  <c r="B18" i="13"/>
  <c r="B17" i="13"/>
  <c r="B16" i="13"/>
  <c r="B15" i="13"/>
  <c r="B14" i="13"/>
  <c r="B81" i="4"/>
  <c r="B57" i="4"/>
  <c r="B81" i="18"/>
  <c r="B82" i="18"/>
  <c r="B83" i="18"/>
  <c r="B84" i="18"/>
  <c r="B85" i="18"/>
  <c r="B57" i="18"/>
  <c r="B58" i="18"/>
  <c r="B59" i="18"/>
  <c r="B60" i="18"/>
  <c r="B61" i="18"/>
  <c r="B81" i="17"/>
  <c r="B82" i="17"/>
  <c r="B83" i="17"/>
  <c r="B84" i="17"/>
  <c r="B85" i="17"/>
  <c r="B57" i="17"/>
  <c r="B58" i="17"/>
  <c r="B59" i="17"/>
  <c r="B60" i="17"/>
  <c r="B61" i="17"/>
  <c r="B82" i="4"/>
  <c r="B83" i="4"/>
  <c r="B84" i="4"/>
  <c r="B85" i="4"/>
  <c r="B58" i="4"/>
  <c r="B59" i="4"/>
  <c r="B60" i="4"/>
  <c r="B61" i="4"/>
  <c r="B72" i="6"/>
  <c r="B50" i="6"/>
  <c r="P19" i="7"/>
  <c r="P20" i="7"/>
  <c r="P21" i="7"/>
  <c r="A19" i="7"/>
  <c r="A20" i="7"/>
  <c r="A21" i="7"/>
  <c r="B19" i="6"/>
  <c r="B20" i="6"/>
  <c r="B23" i="6"/>
  <c r="N19" i="6"/>
  <c r="N20" i="6"/>
  <c r="N23" i="6"/>
  <c r="O19" i="6"/>
  <c r="N19" i="7" s="1"/>
  <c r="O20" i="6"/>
  <c r="N20" i="7" s="1"/>
  <c r="O23" i="6"/>
  <c r="N23" i="7" s="1"/>
  <c r="P19" i="6"/>
  <c r="P20" i="6"/>
  <c r="O20" i="7" s="1"/>
  <c r="P23" i="6"/>
  <c r="B15" i="21"/>
  <c r="B16" i="21"/>
  <c r="B17" i="21"/>
  <c r="B18" i="21"/>
  <c r="B19" i="21"/>
  <c r="Z16" i="23"/>
  <c r="AA16" i="23"/>
  <c r="Z1664" i="3" l="1"/>
  <c r="Z1666" i="3"/>
  <c r="Z1668" i="3"/>
  <c r="Z1670" i="3"/>
  <c r="Z1672" i="3"/>
  <c r="Z1665" i="3"/>
  <c r="Z1669" i="3"/>
  <c r="Z1673" i="3"/>
  <c r="Z1677" i="3"/>
  <c r="Z1681" i="3"/>
  <c r="Z1702" i="3"/>
  <c r="Z1597" i="3"/>
  <c r="Z1580" i="3"/>
  <c r="Z1586" i="3"/>
  <c r="Z1579" i="3"/>
  <c r="Z1581" i="3"/>
  <c r="Z1583" i="3"/>
  <c r="Z1585" i="3"/>
  <c r="Z1587" i="3"/>
  <c r="Z1589" i="3"/>
  <c r="Z1591" i="3"/>
  <c r="Z1593" i="3"/>
  <c r="Z1595" i="3"/>
  <c r="Z1599" i="3"/>
  <c r="Z1594" i="3"/>
  <c r="Z1598" i="3"/>
  <c r="Z1602" i="3"/>
  <c r="Z1604" i="3"/>
  <c r="Z1606" i="3"/>
  <c r="Z1608" i="3"/>
  <c r="Z1610" i="3"/>
  <c r="Z1612" i="3"/>
  <c r="Z1614" i="3"/>
  <c r="Z1616" i="3"/>
  <c r="Z1618" i="3"/>
  <c r="Z1620" i="3"/>
  <c r="Z1603" i="3"/>
  <c r="Z1607" i="3"/>
  <c r="Z1609" i="3"/>
  <c r="Z1613" i="3"/>
  <c r="Z1615" i="3"/>
  <c r="Z1617" i="3"/>
  <c r="Z1619" i="3"/>
  <c r="Z1621" i="3"/>
  <c r="Z1626" i="3"/>
  <c r="Z1630" i="3"/>
  <c r="Z1634" i="3"/>
  <c r="Z1640" i="3"/>
  <c r="Z1642" i="3"/>
  <c r="Z1644" i="3"/>
  <c r="Z1646" i="3"/>
  <c r="Z1625" i="3"/>
  <c r="Z1629" i="3"/>
  <c r="Z1633" i="3"/>
  <c r="Z1637" i="3"/>
  <c r="Z1641" i="3"/>
  <c r="Z1645" i="3"/>
  <c r="Z1650" i="3"/>
  <c r="Z1654" i="3"/>
  <c r="Z1658" i="3"/>
  <c r="Z1651" i="3"/>
  <c r="Z1655" i="3"/>
  <c r="Z1659" i="3"/>
  <c r="Z1661" i="3"/>
  <c r="Z1675" i="3"/>
  <c r="Z1679" i="3"/>
  <c r="Z1683" i="3"/>
  <c r="Z1676" i="3"/>
  <c r="Z1680" i="3"/>
  <c r="Z1684" i="3"/>
  <c r="Z1686" i="3"/>
  <c r="Z1694" i="3"/>
  <c r="Z1698" i="3"/>
  <c r="Z1706" i="3"/>
  <c r="Z1692" i="3"/>
  <c r="Z1700" i="3"/>
  <c r="Z1578" i="3"/>
  <c r="Z1582" i="3"/>
  <c r="Z1584" i="3"/>
  <c r="Z1590" i="3"/>
  <c r="Z1592" i="3"/>
  <c r="Z1596" i="3"/>
  <c r="Z1601" i="3"/>
  <c r="Z1605" i="3"/>
  <c r="Z1624" i="3"/>
  <c r="Z1628" i="3"/>
  <c r="Z1632" i="3"/>
  <c r="Z1638" i="3"/>
  <c r="Z1623" i="3"/>
  <c r="Z1627" i="3"/>
  <c r="Z1631" i="3"/>
  <c r="Z1635" i="3"/>
  <c r="Z1639" i="3"/>
  <c r="Z1643" i="3"/>
  <c r="Z1648" i="3"/>
  <c r="Z1652" i="3"/>
  <c r="Z1656" i="3"/>
  <c r="Z1662" i="3"/>
  <c r="Z1649" i="3"/>
  <c r="Z1653" i="3"/>
  <c r="Z1657" i="3"/>
  <c r="Z1663" i="3"/>
  <c r="Z1667" i="3"/>
  <c r="Z1671" i="3"/>
  <c r="Z1678" i="3"/>
  <c r="Z1682" i="3"/>
  <c r="Z1687" i="3"/>
  <c r="Z1689" i="3"/>
  <c r="Z1691" i="3"/>
  <c r="Z1693" i="3"/>
  <c r="Z1695" i="3"/>
  <c r="Z1697" i="3"/>
  <c r="Z1699" i="3"/>
  <c r="Z1701" i="3"/>
  <c r="Z1703" i="3"/>
  <c r="Z1705" i="3"/>
  <c r="Z1690" i="3"/>
  <c r="Z1688" i="3"/>
  <c r="Z1704" i="3"/>
  <c r="B20" i="7"/>
  <c r="D20" i="7"/>
  <c r="D20" i="6" s="1"/>
  <c r="F20" i="7"/>
  <c r="F20" i="6" s="1"/>
  <c r="H20" i="7"/>
  <c r="H20" i="6" s="1"/>
  <c r="J20" i="7"/>
  <c r="J20" i="6" s="1"/>
  <c r="L20" i="7"/>
  <c r="L20" i="6" s="1"/>
  <c r="C20" i="7"/>
  <c r="C20" i="6" s="1"/>
  <c r="E20" i="7"/>
  <c r="E20" i="6" s="1"/>
  <c r="G20" i="7"/>
  <c r="G20" i="6" s="1"/>
  <c r="I20" i="7"/>
  <c r="I20" i="6" s="1"/>
  <c r="K20" i="7"/>
  <c r="K20" i="6" s="1"/>
  <c r="M20" i="7"/>
  <c r="M20" i="6" s="1"/>
  <c r="O19" i="7"/>
  <c r="D19" i="7" s="1"/>
  <c r="D19" i="6" s="1"/>
  <c r="B21" i="7"/>
  <c r="B19" i="7"/>
  <c r="F19" i="7"/>
  <c r="F19" i="6" s="1"/>
  <c r="G19" i="7"/>
  <c r="G19" i="6" s="1"/>
  <c r="H19" i="7"/>
  <c r="H19" i="6" s="1"/>
  <c r="J19" i="7"/>
  <c r="J19" i="6" s="1"/>
  <c r="L19" i="7"/>
  <c r="L19" i="6" s="1"/>
  <c r="B22" i="7"/>
  <c r="C22" i="7"/>
  <c r="E22" i="7"/>
  <c r="G22" i="7"/>
  <c r="I22" i="7"/>
  <c r="K22" i="7"/>
  <c r="M22" i="7"/>
  <c r="D22" i="7"/>
  <c r="F22" i="7"/>
  <c r="H22" i="7"/>
  <c r="J22" i="7"/>
  <c r="L22" i="7"/>
  <c r="O21" i="7"/>
  <c r="X23" i="23"/>
  <c r="X27" i="23"/>
  <c r="X31" i="23"/>
  <c r="X25" i="23"/>
  <c r="X29" i="23"/>
  <c r="X22" i="23"/>
  <c r="X26" i="23"/>
  <c r="X30" i="23"/>
  <c r="X24" i="23"/>
  <c r="X28" i="23"/>
  <c r="X21" i="23"/>
  <c r="N21" i="7"/>
  <c r="E21" i="7" s="1"/>
  <c r="O23" i="7"/>
  <c r="I23" i="7"/>
  <c r="I23" i="6" s="1"/>
  <c r="O22" i="7"/>
  <c r="M23" i="7"/>
  <c r="M23" i="6" s="1"/>
  <c r="E23" i="7"/>
  <c r="E23" i="6" s="1"/>
  <c r="K23" i="7"/>
  <c r="K23" i="6" s="1"/>
  <c r="G23" i="7"/>
  <c r="G23" i="6" s="1"/>
  <c r="C23" i="7"/>
  <c r="C23" i="6" s="1"/>
  <c r="L23" i="7"/>
  <c r="L23" i="6" s="1"/>
  <c r="J23" i="7"/>
  <c r="J23" i="6" s="1"/>
  <c r="H23" i="7"/>
  <c r="H23" i="6" s="1"/>
  <c r="F23" i="7"/>
  <c r="F23" i="6" s="1"/>
  <c r="D23" i="7"/>
  <c r="D23" i="6" s="1"/>
  <c r="N22" i="7"/>
  <c r="M19" i="7" l="1"/>
  <c r="M19" i="6" s="1"/>
  <c r="E19" i="7"/>
  <c r="E19" i="6" s="1"/>
  <c r="K19" i="7"/>
  <c r="K19" i="6" s="1"/>
  <c r="I19" i="7"/>
  <c r="I19" i="6" s="1"/>
  <c r="C19" i="7"/>
  <c r="C19" i="6" s="1"/>
  <c r="D22" i="6"/>
  <c r="J21" i="7"/>
  <c r="J21" i="6" s="1"/>
  <c r="F21" i="7"/>
  <c r="F21" i="6" s="1"/>
  <c r="M21" i="7"/>
  <c r="M21" i="6" s="1"/>
  <c r="I21" i="7"/>
  <c r="I21" i="6" s="1"/>
  <c r="L21" i="7"/>
  <c r="L21" i="6" s="1"/>
  <c r="H21" i="7"/>
  <c r="H21" i="6" s="1"/>
  <c r="D21" i="7"/>
  <c r="D21" i="6" s="1"/>
  <c r="K21" i="7"/>
  <c r="K21" i="6" s="1"/>
  <c r="G21" i="7"/>
  <c r="G21" i="6" s="1"/>
  <c r="C21" i="7"/>
  <c r="C21" i="6" s="1"/>
  <c r="L22" i="6"/>
  <c r="E21" i="6"/>
  <c r="J22" i="6"/>
  <c r="H22" i="6"/>
  <c r="F22" i="6"/>
  <c r="I22" i="6"/>
  <c r="C22" i="6"/>
  <c r="G22" i="6"/>
  <c r="K22" i="6"/>
  <c r="E22" i="6"/>
  <c r="M22" i="6"/>
  <c r="M1566" i="3"/>
  <c r="M1567" i="3"/>
  <c r="M1568" i="3"/>
  <c r="M1569" i="3"/>
  <c r="M1570" i="3"/>
  <c r="M1571" i="3"/>
  <c r="M1572" i="3"/>
  <c r="M1573" i="3"/>
  <c r="M1574" i="3"/>
  <c r="M1575" i="3"/>
  <c r="M1576" i="3"/>
  <c r="P1566" i="3"/>
  <c r="P1567" i="3"/>
  <c r="P1568" i="3"/>
  <c r="P1569" i="3"/>
  <c r="P1570" i="3"/>
  <c r="P1571" i="3"/>
  <c r="P1572" i="3"/>
  <c r="P1573" i="3"/>
  <c r="P1574" i="3"/>
  <c r="P1575" i="3"/>
  <c r="P1576" i="3"/>
  <c r="Q1566" i="3"/>
  <c r="Q1567" i="3"/>
  <c r="Q1568" i="3"/>
  <c r="Q1569" i="3"/>
  <c r="Q1570" i="3"/>
  <c r="Q1571" i="3"/>
  <c r="Q1572" i="3"/>
  <c r="Q1573" i="3"/>
  <c r="Q1574" i="3"/>
  <c r="Q1575" i="3"/>
  <c r="Q1576" i="3"/>
  <c r="R1566" i="3"/>
  <c r="R1567" i="3"/>
  <c r="R1568" i="3"/>
  <c r="R1569" i="3"/>
  <c r="R1570" i="3"/>
  <c r="R1571" i="3"/>
  <c r="R1572" i="3"/>
  <c r="R1573" i="3"/>
  <c r="R1574" i="3"/>
  <c r="R1575" i="3"/>
  <c r="R1576" i="3"/>
  <c r="S1567" i="3"/>
  <c r="S1568" i="3"/>
  <c r="S1569" i="3"/>
  <c r="S1570" i="3"/>
  <c r="S1571" i="3"/>
  <c r="S1572" i="3"/>
  <c r="S1573" i="3"/>
  <c r="S1574" i="3"/>
  <c r="S1575" i="3"/>
  <c r="S1576" i="3"/>
  <c r="T1566" i="3"/>
  <c r="U1566" i="3"/>
  <c r="V1566" i="3"/>
  <c r="W1566" i="3"/>
  <c r="X1566" i="3"/>
  <c r="AA1566" i="3"/>
  <c r="AA1567" i="3"/>
  <c r="AA1568" i="3"/>
  <c r="AA1569" i="3"/>
  <c r="AA1570" i="3"/>
  <c r="AA1571" i="3"/>
  <c r="AA1572" i="3"/>
  <c r="AA1573" i="3"/>
  <c r="AA1574" i="3"/>
  <c r="AA1575" i="3"/>
  <c r="AA1576" i="3"/>
  <c r="AB1566" i="3"/>
  <c r="O1566" i="3" s="1"/>
  <c r="Y1566" i="3" s="1"/>
  <c r="AB1567" i="3"/>
  <c r="O1567" i="3" s="1"/>
  <c r="AB1568" i="3"/>
  <c r="O1568" i="3" s="1"/>
  <c r="AB1569" i="3"/>
  <c r="O1569" i="3" s="1"/>
  <c r="AB1570" i="3"/>
  <c r="O1570" i="3" s="1"/>
  <c r="AB1571" i="3"/>
  <c r="O1571" i="3" s="1"/>
  <c r="AB1572" i="3"/>
  <c r="O1572" i="3" s="1"/>
  <c r="AB1573" i="3"/>
  <c r="O1573" i="3" s="1"/>
  <c r="AB1574" i="3"/>
  <c r="O1574" i="3" s="1"/>
  <c r="AB1575" i="3"/>
  <c r="O1575" i="3" s="1"/>
  <c r="AB1576" i="3"/>
  <c r="O1576" i="3" s="1"/>
  <c r="AC1566" i="3"/>
  <c r="N1566" i="3" s="1"/>
  <c r="AC1567" i="3"/>
  <c r="N1567" i="3" s="1"/>
  <c r="AC1568" i="3"/>
  <c r="N1568" i="3" s="1"/>
  <c r="AC1569" i="3"/>
  <c r="N1569" i="3" s="1"/>
  <c r="AC1570" i="3"/>
  <c r="N1570" i="3" s="1"/>
  <c r="AC1571" i="3"/>
  <c r="N1571" i="3" s="1"/>
  <c r="AC1572" i="3"/>
  <c r="N1572" i="3" s="1"/>
  <c r="AC1573" i="3"/>
  <c r="N1573" i="3" s="1"/>
  <c r="AC1574" i="3"/>
  <c r="N1574" i="3" s="1"/>
  <c r="AC1575" i="3"/>
  <c r="N1575" i="3" s="1"/>
  <c r="AC1576" i="3"/>
  <c r="N1576" i="3" s="1"/>
  <c r="AK1566" i="3"/>
  <c r="AK1567" i="3"/>
  <c r="AK1568" i="3"/>
  <c r="AK1569" i="3"/>
  <c r="AK1570" i="3"/>
  <c r="AK1571" i="3"/>
  <c r="AK1572" i="3"/>
  <c r="AK1573" i="3"/>
  <c r="AK1574" i="3"/>
  <c r="AK1575" i="3"/>
  <c r="AK1576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P1541" i="3"/>
  <c r="P1542" i="3"/>
  <c r="P1543" i="3"/>
  <c r="P1544" i="3"/>
  <c r="P1545" i="3"/>
  <c r="P1546" i="3"/>
  <c r="P1547" i="3"/>
  <c r="P1548" i="3"/>
  <c r="P1549" i="3"/>
  <c r="P1550" i="3"/>
  <c r="P1551" i="3"/>
  <c r="P1552" i="3"/>
  <c r="P1553" i="3"/>
  <c r="P1554" i="3"/>
  <c r="P1555" i="3"/>
  <c r="P1556" i="3"/>
  <c r="P1557" i="3"/>
  <c r="P1558" i="3"/>
  <c r="P1559" i="3"/>
  <c r="P1560" i="3"/>
  <c r="P1561" i="3"/>
  <c r="P1562" i="3"/>
  <c r="P1563" i="3"/>
  <c r="P1564" i="3"/>
  <c r="P1565" i="3"/>
  <c r="Q1541" i="3"/>
  <c r="Q1542" i="3"/>
  <c r="Q1543" i="3"/>
  <c r="Q1544" i="3"/>
  <c r="Q1545" i="3"/>
  <c r="Q1546" i="3"/>
  <c r="Q1547" i="3"/>
  <c r="Q1548" i="3"/>
  <c r="Q1549" i="3"/>
  <c r="Q1550" i="3"/>
  <c r="Q1551" i="3"/>
  <c r="Q1552" i="3"/>
  <c r="Q1553" i="3"/>
  <c r="Q1554" i="3"/>
  <c r="Q1555" i="3"/>
  <c r="Q1556" i="3"/>
  <c r="Q1557" i="3"/>
  <c r="Q1558" i="3"/>
  <c r="Q1559" i="3"/>
  <c r="Q1560" i="3"/>
  <c r="Q1561" i="3"/>
  <c r="Q1562" i="3"/>
  <c r="Q1563" i="3"/>
  <c r="Q1564" i="3"/>
  <c r="Q1565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S1542" i="3"/>
  <c r="S1543" i="3"/>
  <c r="S1544" i="3"/>
  <c r="S1545" i="3"/>
  <c r="S1546" i="3"/>
  <c r="S1547" i="3"/>
  <c r="S1548" i="3"/>
  <c r="S1549" i="3"/>
  <c r="S1550" i="3"/>
  <c r="S1551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T1541" i="3"/>
  <c r="T1552" i="3"/>
  <c r="U1541" i="3"/>
  <c r="U1552" i="3"/>
  <c r="V1541" i="3"/>
  <c r="V1552" i="3"/>
  <c r="W1541" i="3"/>
  <c r="W1552" i="3"/>
  <c r="X1541" i="3"/>
  <c r="X1552" i="3"/>
  <c r="AA1541" i="3"/>
  <c r="AA1542" i="3"/>
  <c r="AA1543" i="3"/>
  <c r="AA1544" i="3"/>
  <c r="AA1545" i="3"/>
  <c r="AA1546" i="3"/>
  <c r="AA1547" i="3"/>
  <c r="AA1548" i="3"/>
  <c r="AA1549" i="3"/>
  <c r="AA1550" i="3"/>
  <c r="AA1551" i="3"/>
  <c r="AA1552" i="3"/>
  <c r="AA1553" i="3"/>
  <c r="AA1554" i="3"/>
  <c r="AA1555" i="3"/>
  <c r="AA1556" i="3"/>
  <c r="AA1557" i="3"/>
  <c r="AA1558" i="3"/>
  <c r="AA1559" i="3"/>
  <c r="AA1560" i="3"/>
  <c r="AA1561" i="3"/>
  <c r="AA1562" i="3"/>
  <c r="AA1563" i="3"/>
  <c r="AA1564" i="3"/>
  <c r="AA1565" i="3"/>
  <c r="AB1541" i="3"/>
  <c r="O1541" i="3" s="1"/>
  <c r="Y1541" i="3" s="1"/>
  <c r="AB1542" i="3"/>
  <c r="O1542" i="3" s="1"/>
  <c r="AB1543" i="3"/>
  <c r="O1543" i="3" s="1"/>
  <c r="AB1544" i="3"/>
  <c r="O1544" i="3" s="1"/>
  <c r="AB1545" i="3"/>
  <c r="O1545" i="3" s="1"/>
  <c r="AB1546" i="3"/>
  <c r="O1546" i="3" s="1"/>
  <c r="AB1547" i="3"/>
  <c r="O1547" i="3" s="1"/>
  <c r="AB1548" i="3"/>
  <c r="O1548" i="3" s="1"/>
  <c r="AB1549" i="3"/>
  <c r="O1549" i="3" s="1"/>
  <c r="AB1550" i="3"/>
  <c r="O1550" i="3" s="1"/>
  <c r="AB1551" i="3"/>
  <c r="O1551" i="3" s="1"/>
  <c r="AB1552" i="3"/>
  <c r="O1552" i="3" s="1"/>
  <c r="Y1552" i="3" s="1"/>
  <c r="AB1553" i="3"/>
  <c r="O1553" i="3" s="1"/>
  <c r="AB1554" i="3"/>
  <c r="O1554" i="3" s="1"/>
  <c r="AB1555" i="3"/>
  <c r="O1555" i="3" s="1"/>
  <c r="AB1556" i="3"/>
  <c r="O1556" i="3" s="1"/>
  <c r="AB1557" i="3"/>
  <c r="O1557" i="3" s="1"/>
  <c r="AB1558" i="3"/>
  <c r="O1558" i="3" s="1"/>
  <c r="AB1559" i="3"/>
  <c r="O1559" i="3" s="1"/>
  <c r="AB1560" i="3"/>
  <c r="O1560" i="3" s="1"/>
  <c r="AB1561" i="3"/>
  <c r="O1561" i="3" s="1"/>
  <c r="AB1562" i="3"/>
  <c r="O1562" i="3" s="1"/>
  <c r="AB1563" i="3"/>
  <c r="O1563" i="3" s="1"/>
  <c r="AB1564" i="3"/>
  <c r="O1564" i="3" s="1"/>
  <c r="AB1565" i="3"/>
  <c r="O1565" i="3" s="1"/>
  <c r="AC1541" i="3"/>
  <c r="N1541" i="3" s="1"/>
  <c r="AC1542" i="3"/>
  <c r="N1542" i="3" s="1"/>
  <c r="AC1543" i="3"/>
  <c r="N1543" i="3" s="1"/>
  <c r="AC1544" i="3"/>
  <c r="N1544" i="3" s="1"/>
  <c r="AC1545" i="3"/>
  <c r="N1545" i="3" s="1"/>
  <c r="AC1546" i="3"/>
  <c r="N1546" i="3" s="1"/>
  <c r="AC1547" i="3"/>
  <c r="N1547" i="3" s="1"/>
  <c r="AC1548" i="3"/>
  <c r="N1548" i="3" s="1"/>
  <c r="AC1549" i="3"/>
  <c r="N1549" i="3" s="1"/>
  <c r="AC1550" i="3"/>
  <c r="N1550" i="3" s="1"/>
  <c r="AC1551" i="3"/>
  <c r="N1551" i="3" s="1"/>
  <c r="AC1552" i="3"/>
  <c r="N1552" i="3" s="1"/>
  <c r="AC1553" i="3"/>
  <c r="N1553" i="3" s="1"/>
  <c r="AC1554" i="3"/>
  <c r="N1554" i="3" s="1"/>
  <c r="AC1555" i="3"/>
  <c r="N1555" i="3" s="1"/>
  <c r="AC1556" i="3"/>
  <c r="N1556" i="3" s="1"/>
  <c r="AC1557" i="3"/>
  <c r="N1557" i="3" s="1"/>
  <c r="AC1558" i="3"/>
  <c r="N1558" i="3" s="1"/>
  <c r="AC1559" i="3"/>
  <c r="N1559" i="3" s="1"/>
  <c r="AC1560" i="3"/>
  <c r="N1560" i="3" s="1"/>
  <c r="AC1561" i="3"/>
  <c r="N1561" i="3" s="1"/>
  <c r="AC1562" i="3"/>
  <c r="N1562" i="3" s="1"/>
  <c r="AC1563" i="3"/>
  <c r="N1563" i="3" s="1"/>
  <c r="AC1564" i="3"/>
  <c r="N1564" i="3" s="1"/>
  <c r="AC1565" i="3"/>
  <c r="N1565" i="3" s="1"/>
  <c r="AK1541" i="3"/>
  <c r="AK1542" i="3"/>
  <c r="AK1543" i="3"/>
  <c r="AK1544" i="3"/>
  <c r="AK1545" i="3"/>
  <c r="AK1546" i="3"/>
  <c r="AK1547" i="3"/>
  <c r="AK1548" i="3"/>
  <c r="AK1549" i="3"/>
  <c r="AK1550" i="3"/>
  <c r="AK1551" i="3"/>
  <c r="AK1552" i="3"/>
  <c r="AK1553" i="3"/>
  <c r="AK1554" i="3"/>
  <c r="AK1555" i="3"/>
  <c r="AK1556" i="3"/>
  <c r="AK1557" i="3"/>
  <c r="AK1558" i="3"/>
  <c r="AK1559" i="3"/>
  <c r="AK1560" i="3"/>
  <c r="AK1561" i="3"/>
  <c r="AK1562" i="3"/>
  <c r="AK1563" i="3"/>
  <c r="AK1564" i="3"/>
  <c r="AK156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P1516" i="3"/>
  <c r="P1517" i="3"/>
  <c r="P1518" i="3"/>
  <c r="P1519" i="3"/>
  <c r="P1520" i="3"/>
  <c r="P1521" i="3"/>
  <c r="P1522" i="3"/>
  <c r="P1523" i="3"/>
  <c r="P1524" i="3"/>
  <c r="P1525" i="3"/>
  <c r="P1526" i="3"/>
  <c r="P1527" i="3"/>
  <c r="P1528" i="3"/>
  <c r="P1529" i="3"/>
  <c r="P1530" i="3"/>
  <c r="P1531" i="3"/>
  <c r="P1532" i="3"/>
  <c r="P1533" i="3"/>
  <c r="P1534" i="3"/>
  <c r="P1535" i="3"/>
  <c r="P1536" i="3"/>
  <c r="P1537" i="3"/>
  <c r="P1538" i="3"/>
  <c r="P1539" i="3"/>
  <c r="P1540" i="3"/>
  <c r="Q1516" i="3"/>
  <c r="Q1517" i="3"/>
  <c r="Q1518" i="3"/>
  <c r="Q1519" i="3"/>
  <c r="Q1520" i="3"/>
  <c r="Q1521" i="3"/>
  <c r="Q1522" i="3"/>
  <c r="Q1523" i="3"/>
  <c r="Q1524" i="3"/>
  <c r="Q1525" i="3"/>
  <c r="Q1526" i="3"/>
  <c r="Q1527" i="3"/>
  <c r="Q1528" i="3"/>
  <c r="Q1529" i="3"/>
  <c r="Q1530" i="3"/>
  <c r="Q1531" i="3"/>
  <c r="Q1532" i="3"/>
  <c r="Q1533" i="3"/>
  <c r="Q1534" i="3"/>
  <c r="Q1535" i="3"/>
  <c r="Q1536" i="3"/>
  <c r="Q1537" i="3"/>
  <c r="Q1538" i="3"/>
  <c r="Q1539" i="3"/>
  <c r="Q1540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S1517" i="3"/>
  <c r="S1518" i="3"/>
  <c r="S1519" i="3"/>
  <c r="S1520" i="3"/>
  <c r="S1521" i="3"/>
  <c r="S1522" i="3"/>
  <c r="S1523" i="3"/>
  <c r="S1524" i="3"/>
  <c r="S1525" i="3"/>
  <c r="S1526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T1516" i="3"/>
  <c r="T1527" i="3"/>
  <c r="U1516" i="3"/>
  <c r="U1527" i="3"/>
  <c r="V1516" i="3"/>
  <c r="V1527" i="3"/>
  <c r="W1516" i="3"/>
  <c r="W1527" i="3"/>
  <c r="X1516" i="3"/>
  <c r="X1527" i="3"/>
  <c r="AA1516" i="3"/>
  <c r="AA1517" i="3"/>
  <c r="AA1518" i="3"/>
  <c r="AA1519" i="3"/>
  <c r="AA1520" i="3"/>
  <c r="AA1521" i="3"/>
  <c r="AA1522" i="3"/>
  <c r="AA1523" i="3"/>
  <c r="AA1524" i="3"/>
  <c r="AA1525" i="3"/>
  <c r="AA1526" i="3"/>
  <c r="AA1527" i="3"/>
  <c r="AA1528" i="3"/>
  <c r="AA1529" i="3"/>
  <c r="AA1530" i="3"/>
  <c r="AA1531" i="3"/>
  <c r="AA1532" i="3"/>
  <c r="AA1533" i="3"/>
  <c r="AA1534" i="3"/>
  <c r="AA1535" i="3"/>
  <c r="AA1536" i="3"/>
  <c r="AA1537" i="3"/>
  <c r="AA1538" i="3"/>
  <c r="AA1539" i="3"/>
  <c r="AA1540" i="3"/>
  <c r="AB1516" i="3"/>
  <c r="O1516" i="3" s="1"/>
  <c r="Y1516" i="3" s="1"/>
  <c r="AB1517" i="3"/>
  <c r="O1517" i="3" s="1"/>
  <c r="AB1518" i="3"/>
  <c r="O1518" i="3" s="1"/>
  <c r="AB1519" i="3"/>
  <c r="O1519" i="3" s="1"/>
  <c r="AB1520" i="3"/>
  <c r="O1520" i="3" s="1"/>
  <c r="AB1521" i="3"/>
  <c r="O1521" i="3" s="1"/>
  <c r="AB1522" i="3"/>
  <c r="O1522" i="3" s="1"/>
  <c r="AB1523" i="3"/>
  <c r="O1523" i="3" s="1"/>
  <c r="AB1524" i="3"/>
  <c r="O1524" i="3" s="1"/>
  <c r="AB1525" i="3"/>
  <c r="O1525" i="3" s="1"/>
  <c r="AB1526" i="3"/>
  <c r="O1526" i="3" s="1"/>
  <c r="AB1527" i="3"/>
  <c r="O1527" i="3" s="1"/>
  <c r="Y1527" i="3" s="1"/>
  <c r="AB1528" i="3"/>
  <c r="O1528" i="3" s="1"/>
  <c r="AB1529" i="3"/>
  <c r="O1529" i="3" s="1"/>
  <c r="AB1530" i="3"/>
  <c r="O1530" i="3" s="1"/>
  <c r="AB1531" i="3"/>
  <c r="O1531" i="3" s="1"/>
  <c r="AB1532" i="3"/>
  <c r="O1532" i="3" s="1"/>
  <c r="AB1533" i="3"/>
  <c r="O1533" i="3" s="1"/>
  <c r="AB1534" i="3"/>
  <c r="O1534" i="3" s="1"/>
  <c r="AB1535" i="3"/>
  <c r="O1535" i="3" s="1"/>
  <c r="AB1536" i="3"/>
  <c r="O1536" i="3" s="1"/>
  <c r="AB1537" i="3"/>
  <c r="O1537" i="3" s="1"/>
  <c r="AB1538" i="3"/>
  <c r="O1538" i="3" s="1"/>
  <c r="AB1539" i="3"/>
  <c r="O1539" i="3" s="1"/>
  <c r="AB1540" i="3"/>
  <c r="O1540" i="3" s="1"/>
  <c r="AC1516" i="3"/>
  <c r="N1516" i="3" s="1"/>
  <c r="AC1517" i="3"/>
  <c r="N1517" i="3" s="1"/>
  <c r="AC1518" i="3"/>
  <c r="N1518" i="3" s="1"/>
  <c r="AC1519" i="3"/>
  <c r="N1519" i="3" s="1"/>
  <c r="AC1520" i="3"/>
  <c r="N1520" i="3" s="1"/>
  <c r="AC1521" i="3"/>
  <c r="N1521" i="3" s="1"/>
  <c r="AC1522" i="3"/>
  <c r="N1522" i="3" s="1"/>
  <c r="AC1523" i="3"/>
  <c r="N1523" i="3" s="1"/>
  <c r="AC1524" i="3"/>
  <c r="N1524" i="3" s="1"/>
  <c r="AC1525" i="3"/>
  <c r="N1525" i="3" s="1"/>
  <c r="AC1526" i="3"/>
  <c r="N1526" i="3" s="1"/>
  <c r="AC1527" i="3"/>
  <c r="N1527" i="3" s="1"/>
  <c r="AC1528" i="3"/>
  <c r="N1528" i="3" s="1"/>
  <c r="AC1529" i="3"/>
  <c r="N1529" i="3" s="1"/>
  <c r="AC1530" i="3"/>
  <c r="N1530" i="3" s="1"/>
  <c r="AC1531" i="3"/>
  <c r="N1531" i="3" s="1"/>
  <c r="AC1532" i="3"/>
  <c r="N1532" i="3" s="1"/>
  <c r="AC1533" i="3"/>
  <c r="N1533" i="3" s="1"/>
  <c r="AC1534" i="3"/>
  <c r="N1534" i="3" s="1"/>
  <c r="AC1535" i="3"/>
  <c r="N1535" i="3" s="1"/>
  <c r="AC1536" i="3"/>
  <c r="N1536" i="3" s="1"/>
  <c r="AC1537" i="3"/>
  <c r="N1537" i="3" s="1"/>
  <c r="AC1538" i="3"/>
  <c r="N1538" i="3" s="1"/>
  <c r="AC1539" i="3"/>
  <c r="N1539" i="3" s="1"/>
  <c r="AC1540" i="3"/>
  <c r="N1540" i="3" s="1"/>
  <c r="AK1516" i="3"/>
  <c r="AK1517" i="3"/>
  <c r="AK1518" i="3"/>
  <c r="AK1519" i="3"/>
  <c r="AK1520" i="3"/>
  <c r="AK1521" i="3"/>
  <c r="AK1522" i="3"/>
  <c r="AK1523" i="3"/>
  <c r="AK1524" i="3"/>
  <c r="AK1525" i="3"/>
  <c r="AK1526" i="3"/>
  <c r="AK1527" i="3"/>
  <c r="AK1528" i="3"/>
  <c r="AK1529" i="3"/>
  <c r="AK1530" i="3"/>
  <c r="AK1531" i="3"/>
  <c r="AK1532" i="3"/>
  <c r="AK1533" i="3"/>
  <c r="AK1534" i="3"/>
  <c r="AK1535" i="3"/>
  <c r="AK1536" i="3"/>
  <c r="AK1537" i="3"/>
  <c r="AK1538" i="3"/>
  <c r="AK1539" i="3"/>
  <c r="AK1540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P1515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Q1515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S1495" i="3"/>
  <c r="S1496" i="3"/>
  <c r="S1497" i="3"/>
  <c r="S1498" i="3"/>
  <c r="S1499" i="3"/>
  <c r="S1500" i="3"/>
  <c r="S1501" i="3"/>
  <c r="S1502" i="3"/>
  <c r="S1503" i="3"/>
  <c r="S1504" i="3"/>
  <c r="S1506" i="3"/>
  <c r="S1507" i="3"/>
  <c r="S1508" i="3"/>
  <c r="S1509" i="3"/>
  <c r="S1510" i="3"/>
  <c r="S1511" i="3"/>
  <c r="S1512" i="3"/>
  <c r="S1513" i="3"/>
  <c r="S1514" i="3"/>
  <c r="S1515" i="3"/>
  <c r="T1494" i="3"/>
  <c r="T1505" i="3"/>
  <c r="U1494" i="3"/>
  <c r="U1505" i="3"/>
  <c r="V1494" i="3"/>
  <c r="V1505" i="3"/>
  <c r="W1494" i="3"/>
  <c r="W1505" i="3"/>
  <c r="X1494" i="3"/>
  <c r="X1505" i="3"/>
  <c r="AA1494" i="3"/>
  <c r="AA1495" i="3"/>
  <c r="AA1496" i="3"/>
  <c r="AA1497" i="3"/>
  <c r="AA1498" i="3"/>
  <c r="AA1499" i="3"/>
  <c r="AA1500" i="3"/>
  <c r="AA1501" i="3"/>
  <c r="AA1502" i="3"/>
  <c r="AA1503" i="3"/>
  <c r="AA1504" i="3"/>
  <c r="AA1505" i="3"/>
  <c r="AA1506" i="3"/>
  <c r="AA1507" i="3"/>
  <c r="AA1508" i="3"/>
  <c r="AA1509" i="3"/>
  <c r="AA1510" i="3"/>
  <c r="AA1511" i="3"/>
  <c r="AA1512" i="3"/>
  <c r="AA1513" i="3"/>
  <c r="AA1514" i="3"/>
  <c r="AA1515" i="3"/>
  <c r="AB1494" i="3"/>
  <c r="O1494" i="3" s="1"/>
  <c r="Y1494" i="3" s="1"/>
  <c r="AB1495" i="3"/>
  <c r="O1495" i="3" s="1"/>
  <c r="AB1496" i="3"/>
  <c r="O1496" i="3" s="1"/>
  <c r="AB1497" i="3"/>
  <c r="O1497" i="3" s="1"/>
  <c r="AB1498" i="3"/>
  <c r="O1498" i="3" s="1"/>
  <c r="AB1499" i="3"/>
  <c r="O1499" i="3" s="1"/>
  <c r="AB1500" i="3"/>
  <c r="O1500" i="3" s="1"/>
  <c r="AB1501" i="3"/>
  <c r="O1501" i="3" s="1"/>
  <c r="AB1502" i="3"/>
  <c r="O1502" i="3" s="1"/>
  <c r="AB1503" i="3"/>
  <c r="O1503" i="3" s="1"/>
  <c r="AB1504" i="3"/>
  <c r="O1504" i="3" s="1"/>
  <c r="AB1505" i="3"/>
  <c r="O1505" i="3" s="1"/>
  <c r="Y1505" i="3" s="1"/>
  <c r="AB1506" i="3"/>
  <c r="O1506" i="3" s="1"/>
  <c r="AB1507" i="3"/>
  <c r="O1507" i="3" s="1"/>
  <c r="AB1508" i="3"/>
  <c r="O1508" i="3" s="1"/>
  <c r="AB1509" i="3"/>
  <c r="O1509" i="3" s="1"/>
  <c r="AB1510" i="3"/>
  <c r="O1510" i="3" s="1"/>
  <c r="AB1511" i="3"/>
  <c r="O1511" i="3" s="1"/>
  <c r="AB1512" i="3"/>
  <c r="O1512" i="3" s="1"/>
  <c r="AB1513" i="3"/>
  <c r="O1513" i="3" s="1"/>
  <c r="AB1514" i="3"/>
  <c r="O1514" i="3" s="1"/>
  <c r="AB1515" i="3"/>
  <c r="O1515" i="3" s="1"/>
  <c r="AC1494" i="3"/>
  <c r="N1494" i="3" s="1"/>
  <c r="S1494" i="3" s="1"/>
  <c r="AC1495" i="3"/>
  <c r="N1495" i="3" s="1"/>
  <c r="AC1496" i="3"/>
  <c r="N1496" i="3" s="1"/>
  <c r="AC1497" i="3"/>
  <c r="N1497" i="3" s="1"/>
  <c r="AC1498" i="3"/>
  <c r="N1498" i="3" s="1"/>
  <c r="AC1499" i="3"/>
  <c r="N1499" i="3" s="1"/>
  <c r="AC1500" i="3"/>
  <c r="N1500" i="3" s="1"/>
  <c r="AC1501" i="3"/>
  <c r="N1501" i="3" s="1"/>
  <c r="AC1502" i="3"/>
  <c r="N1502" i="3" s="1"/>
  <c r="AC1503" i="3"/>
  <c r="N1503" i="3" s="1"/>
  <c r="AC1504" i="3"/>
  <c r="N1504" i="3" s="1"/>
  <c r="AC1505" i="3"/>
  <c r="N1505" i="3" s="1"/>
  <c r="S1505" i="3" s="1"/>
  <c r="AC1506" i="3"/>
  <c r="N1506" i="3" s="1"/>
  <c r="AC1507" i="3"/>
  <c r="N1507" i="3" s="1"/>
  <c r="AC1508" i="3"/>
  <c r="N1508" i="3" s="1"/>
  <c r="AC1509" i="3"/>
  <c r="N1509" i="3" s="1"/>
  <c r="AC1510" i="3"/>
  <c r="N1510" i="3" s="1"/>
  <c r="AC1511" i="3"/>
  <c r="N1511" i="3" s="1"/>
  <c r="AC1512" i="3"/>
  <c r="N1512" i="3" s="1"/>
  <c r="AC1513" i="3"/>
  <c r="N1513" i="3" s="1"/>
  <c r="AC1514" i="3"/>
  <c r="N1514" i="3" s="1"/>
  <c r="AC1515" i="3"/>
  <c r="N1515" i="3" s="1"/>
  <c r="AK1494" i="3"/>
  <c r="AK1495" i="3"/>
  <c r="AK1496" i="3"/>
  <c r="AK1497" i="3"/>
  <c r="AK1498" i="3"/>
  <c r="AK1499" i="3"/>
  <c r="AK1500" i="3"/>
  <c r="AK1501" i="3"/>
  <c r="AK1502" i="3"/>
  <c r="AK1503" i="3"/>
  <c r="AK1504" i="3"/>
  <c r="AK1505" i="3"/>
  <c r="AK1506" i="3"/>
  <c r="AK1507" i="3"/>
  <c r="AK1508" i="3"/>
  <c r="AK1509" i="3"/>
  <c r="AK1510" i="3"/>
  <c r="AK1511" i="3"/>
  <c r="AK1512" i="3"/>
  <c r="AK1513" i="3"/>
  <c r="AK1514" i="3"/>
  <c r="AK1515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4" i="3"/>
  <c r="S1485" i="3"/>
  <c r="S1486" i="3"/>
  <c r="S1487" i="3"/>
  <c r="S1488" i="3"/>
  <c r="S1489" i="3"/>
  <c r="S1490" i="3"/>
  <c r="S1491" i="3"/>
  <c r="S1492" i="3"/>
  <c r="S1493" i="3"/>
  <c r="T1469" i="3"/>
  <c r="T1483" i="3"/>
  <c r="U1469" i="3"/>
  <c r="U1483" i="3"/>
  <c r="V1469" i="3"/>
  <c r="V1483" i="3"/>
  <c r="W1469" i="3"/>
  <c r="W1483" i="3"/>
  <c r="X1469" i="3"/>
  <c r="X1483" i="3"/>
  <c r="AA1469" i="3"/>
  <c r="AA1470" i="3"/>
  <c r="AA1471" i="3"/>
  <c r="AA1472" i="3"/>
  <c r="AA1473" i="3"/>
  <c r="AA1474" i="3"/>
  <c r="AA1475" i="3"/>
  <c r="AA1476" i="3"/>
  <c r="AA1477" i="3"/>
  <c r="AA1478" i="3"/>
  <c r="AA1479" i="3"/>
  <c r="AA1480" i="3"/>
  <c r="AA1481" i="3"/>
  <c r="AA1482" i="3"/>
  <c r="AA1483" i="3"/>
  <c r="AA1484" i="3"/>
  <c r="AA1485" i="3"/>
  <c r="AA1486" i="3"/>
  <c r="AA1487" i="3"/>
  <c r="AA1488" i="3"/>
  <c r="AA1489" i="3"/>
  <c r="AA1490" i="3"/>
  <c r="AA1491" i="3"/>
  <c r="AA1492" i="3"/>
  <c r="AA1493" i="3"/>
  <c r="AB1469" i="3"/>
  <c r="O1469" i="3" s="1"/>
  <c r="Y1469" i="3" s="1"/>
  <c r="AB1470" i="3"/>
  <c r="O1470" i="3" s="1"/>
  <c r="AB1471" i="3"/>
  <c r="O1471" i="3" s="1"/>
  <c r="AB1472" i="3"/>
  <c r="O1472" i="3" s="1"/>
  <c r="AB1473" i="3"/>
  <c r="O1473" i="3" s="1"/>
  <c r="AB1474" i="3"/>
  <c r="O1474" i="3" s="1"/>
  <c r="AB1475" i="3"/>
  <c r="O1475" i="3" s="1"/>
  <c r="AB1476" i="3"/>
  <c r="O1476" i="3" s="1"/>
  <c r="AB1477" i="3"/>
  <c r="O1477" i="3" s="1"/>
  <c r="AB1478" i="3"/>
  <c r="O1478" i="3" s="1"/>
  <c r="AB1479" i="3"/>
  <c r="O1479" i="3" s="1"/>
  <c r="AB1480" i="3"/>
  <c r="O1480" i="3" s="1"/>
  <c r="AB1481" i="3"/>
  <c r="O1481" i="3" s="1"/>
  <c r="AB1482" i="3"/>
  <c r="O1482" i="3" s="1"/>
  <c r="AB1483" i="3"/>
  <c r="O1483" i="3" s="1"/>
  <c r="Y1483" i="3" s="1"/>
  <c r="AB1484" i="3"/>
  <c r="O1484" i="3" s="1"/>
  <c r="AB1485" i="3"/>
  <c r="O1485" i="3" s="1"/>
  <c r="AB1486" i="3"/>
  <c r="O1486" i="3" s="1"/>
  <c r="AB1487" i="3"/>
  <c r="O1487" i="3" s="1"/>
  <c r="AB1488" i="3"/>
  <c r="O1488" i="3" s="1"/>
  <c r="AB1489" i="3"/>
  <c r="O1489" i="3" s="1"/>
  <c r="AB1490" i="3"/>
  <c r="O1490" i="3" s="1"/>
  <c r="AB1491" i="3"/>
  <c r="O1491" i="3" s="1"/>
  <c r="AB1492" i="3"/>
  <c r="O1492" i="3" s="1"/>
  <c r="AB1493" i="3"/>
  <c r="O1493" i="3" s="1"/>
  <c r="AC1469" i="3"/>
  <c r="N1469" i="3" s="1"/>
  <c r="AC1470" i="3"/>
  <c r="N1470" i="3" s="1"/>
  <c r="AC1471" i="3"/>
  <c r="N1471" i="3" s="1"/>
  <c r="AC1472" i="3"/>
  <c r="N1472" i="3" s="1"/>
  <c r="AC1473" i="3"/>
  <c r="N1473" i="3" s="1"/>
  <c r="AC1474" i="3"/>
  <c r="N1474" i="3" s="1"/>
  <c r="AC1475" i="3"/>
  <c r="N1475" i="3" s="1"/>
  <c r="AC1476" i="3"/>
  <c r="N1476" i="3" s="1"/>
  <c r="AC1477" i="3"/>
  <c r="N1477" i="3" s="1"/>
  <c r="AC1478" i="3"/>
  <c r="N1478" i="3" s="1"/>
  <c r="AC1479" i="3"/>
  <c r="N1479" i="3" s="1"/>
  <c r="AC1480" i="3"/>
  <c r="N1480" i="3" s="1"/>
  <c r="AC1481" i="3"/>
  <c r="N1481" i="3" s="1"/>
  <c r="AC1482" i="3"/>
  <c r="N1482" i="3" s="1"/>
  <c r="AC1483" i="3"/>
  <c r="N1483" i="3" s="1"/>
  <c r="AC1484" i="3"/>
  <c r="N1484" i="3" s="1"/>
  <c r="AC1485" i="3"/>
  <c r="N1485" i="3" s="1"/>
  <c r="AC1486" i="3"/>
  <c r="N1486" i="3" s="1"/>
  <c r="AC1487" i="3"/>
  <c r="N1487" i="3" s="1"/>
  <c r="AC1488" i="3"/>
  <c r="N1488" i="3" s="1"/>
  <c r="AC1489" i="3"/>
  <c r="N1489" i="3" s="1"/>
  <c r="AC1490" i="3"/>
  <c r="N1490" i="3" s="1"/>
  <c r="AC1491" i="3"/>
  <c r="N1491" i="3" s="1"/>
  <c r="AC1492" i="3"/>
  <c r="N1492" i="3" s="1"/>
  <c r="AC1493" i="3"/>
  <c r="N1493" i="3" s="1"/>
  <c r="AK1469" i="3"/>
  <c r="AK1470" i="3"/>
  <c r="AK1471" i="3"/>
  <c r="AK1472" i="3"/>
  <c r="AK1473" i="3"/>
  <c r="AK1474" i="3"/>
  <c r="AK1475" i="3"/>
  <c r="AK1476" i="3"/>
  <c r="AK1477" i="3"/>
  <c r="AK1478" i="3"/>
  <c r="AK1479" i="3"/>
  <c r="AK1480" i="3"/>
  <c r="AK1481" i="3"/>
  <c r="AK1482" i="3"/>
  <c r="AK1483" i="3"/>
  <c r="AK1484" i="3"/>
  <c r="AK1485" i="3"/>
  <c r="AK1486" i="3"/>
  <c r="AK1487" i="3"/>
  <c r="AK1488" i="3"/>
  <c r="AK1489" i="3"/>
  <c r="AK1490" i="3"/>
  <c r="AK1491" i="3"/>
  <c r="AK1492" i="3"/>
  <c r="AK1493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S1447" i="3"/>
  <c r="S1448" i="3"/>
  <c r="S1449" i="3"/>
  <c r="S1450" i="3"/>
  <c r="S1451" i="3"/>
  <c r="S1452" i="3"/>
  <c r="S1453" i="3"/>
  <c r="S1454" i="3"/>
  <c r="S1455" i="3"/>
  <c r="S1456" i="3"/>
  <c r="S1458" i="3"/>
  <c r="S1459" i="3"/>
  <c r="S1460" i="3"/>
  <c r="S1461" i="3"/>
  <c r="S1462" i="3"/>
  <c r="S1463" i="3"/>
  <c r="S1464" i="3"/>
  <c r="S1465" i="3"/>
  <c r="S1466" i="3"/>
  <c r="S1467" i="3"/>
  <c r="S1468" i="3"/>
  <c r="T1446" i="3"/>
  <c r="T1457" i="3"/>
  <c r="U1446" i="3"/>
  <c r="U1457" i="3"/>
  <c r="V1446" i="3"/>
  <c r="V1457" i="3"/>
  <c r="W1446" i="3"/>
  <c r="W1457" i="3"/>
  <c r="X1446" i="3"/>
  <c r="X1457" i="3"/>
  <c r="AA1446" i="3"/>
  <c r="AA1447" i="3"/>
  <c r="AA1448" i="3"/>
  <c r="AA1449" i="3"/>
  <c r="AA1450" i="3"/>
  <c r="AA1451" i="3"/>
  <c r="AA1452" i="3"/>
  <c r="AA1453" i="3"/>
  <c r="AA1454" i="3"/>
  <c r="AA1455" i="3"/>
  <c r="AA1456" i="3"/>
  <c r="AA1457" i="3"/>
  <c r="AA1458" i="3"/>
  <c r="AA1459" i="3"/>
  <c r="AA1460" i="3"/>
  <c r="AA1461" i="3"/>
  <c r="AA1462" i="3"/>
  <c r="AA1463" i="3"/>
  <c r="AA1464" i="3"/>
  <c r="AA1465" i="3"/>
  <c r="AA1466" i="3"/>
  <c r="AA1467" i="3"/>
  <c r="AA1468" i="3"/>
  <c r="AB1446" i="3"/>
  <c r="O1446" i="3" s="1"/>
  <c r="AB1447" i="3"/>
  <c r="O1447" i="3" s="1"/>
  <c r="AB1448" i="3"/>
  <c r="O1448" i="3" s="1"/>
  <c r="AB1449" i="3"/>
  <c r="O1449" i="3" s="1"/>
  <c r="AB1450" i="3"/>
  <c r="O1450" i="3" s="1"/>
  <c r="AB1451" i="3"/>
  <c r="O1451" i="3" s="1"/>
  <c r="AB1452" i="3"/>
  <c r="O1452" i="3" s="1"/>
  <c r="AB1453" i="3"/>
  <c r="O1453" i="3" s="1"/>
  <c r="AB1454" i="3"/>
  <c r="O1454" i="3" s="1"/>
  <c r="AB1455" i="3"/>
  <c r="O1455" i="3" s="1"/>
  <c r="AB1456" i="3"/>
  <c r="O1456" i="3" s="1"/>
  <c r="AB1457" i="3"/>
  <c r="O1457" i="3" s="1"/>
  <c r="Y1457" i="3" s="1"/>
  <c r="AB1458" i="3"/>
  <c r="O1458" i="3" s="1"/>
  <c r="AB1459" i="3"/>
  <c r="O1459" i="3" s="1"/>
  <c r="AB1460" i="3"/>
  <c r="O1460" i="3" s="1"/>
  <c r="AB1461" i="3"/>
  <c r="O1461" i="3" s="1"/>
  <c r="AB1462" i="3"/>
  <c r="O1462" i="3" s="1"/>
  <c r="AB1463" i="3"/>
  <c r="O1463" i="3" s="1"/>
  <c r="AB1464" i="3"/>
  <c r="O1464" i="3" s="1"/>
  <c r="AB1465" i="3"/>
  <c r="O1465" i="3" s="1"/>
  <c r="AB1466" i="3"/>
  <c r="O1466" i="3" s="1"/>
  <c r="AB1467" i="3"/>
  <c r="O1467" i="3" s="1"/>
  <c r="AB1468" i="3"/>
  <c r="O1468" i="3" s="1"/>
  <c r="AC1446" i="3"/>
  <c r="N1446" i="3" s="1"/>
  <c r="AC1447" i="3"/>
  <c r="N1447" i="3" s="1"/>
  <c r="AC1448" i="3"/>
  <c r="N1448" i="3" s="1"/>
  <c r="AC1449" i="3"/>
  <c r="N1449" i="3" s="1"/>
  <c r="AC1450" i="3"/>
  <c r="N1450" i="3" s="1"/>
  <c r="AC1451" i="3"/>
  <c r="N1451" i="3" s="1"/>
  <c r="AC1452" i="3"/>
  <c r="N1452" i="3" s="1"/>
  <c r="AC1453" i="3"/>
  <c r="N1453" i="3" s="1"/>
  <c r="AC1454" i="3"/>
  <c r="N1454" i="3" s="1"/>
  <c r="AC1455" i="3"/>
  <c r="N1455" i="3" s="1"/>
  <c r="AC1456" i="3"/>
  <c r="N1456" i="3" s="1"/>
  <c r="AC1457" i="3"/>
  <c r="N1457" i="3" s="1"/>
  <c r="AC1458" i="3"/>
  <c r="N1458" i="3" s="1"/>
  <c r="AC1459" i="3"/>
  <c r="N1459" i="3" s="1"/>
  <c r="AC1460" i="3"/>
  <c r="N1460" i="3" s="1"/>
  <c r="AC1461" i="3"/>
  <c r="N1461" i="3" s="1"/>
  <c r="AC1462" i="3"/>
  <c r="N1462" i="3" s="1"/>
  <c r="AC1463" i="3"/>
  <c r="N1463" i="3" s="1"/>
  <c r="AC1464" i="3"/>
  <c r="N1464" i="3" s="1"/>
  <c r="AC1465" i="3"/>
  <c r="N1465" i="3" s="1"/>
  <c r="AC1466" i="3"/>
  <c r="N1466" i="3" s="1"/>
  <c r="AC1467" i="3"/>
  <c r="N1467" i="3" s="1"/>
  <c r="AC1468" i="3"/>
  <c r="N1468" i="3" s="1"/>
  <c r="AK1446" i="3"/>
  <c r="AK1447" i="3"/>
  <c r="AK1448" i="3"/>
  <c r="AK1449" i="3"/>
  <c r="AK1450" i="3"/>
  <c r="AK1451" i="3"/>
  <c r="AK1452" i="3"/>
  <c r="AK1453" i="3"/>
  <c r="AK1454" i="3"/>
  <c r="AK1455" i="3"/>
  <c r="AK1456" i="3"/>
  <c r="AK1457" i="3"/>
  <c r="AK1458" i="3"/>
  <c r="AK1459" i="3"/>
  <c r="AK1460" i="3"/>
  <c r="AK1461" i="3"/>
  <c r="AK1462" i="3"/>
  <c r="AK1463" i="3"/>
  <c r="AK1464" i="3"/>
  <c r="AK1465" i="3"/>
  <c r="AK1466" i="3"/>
  <c r="AK1467" i="3"/>
  <c r="AK1468" i="3"/>
  <c r="Z1494" i="3" l="1"/>
  <c r="Z1505" i="3"/>
  <c r="S1566" i="3"/>
  <c r="Z1566" i="3" s="1"/>
  <c r="S1552" i="3"/>
  <c r="Z1552" i="3" s="1"/>
  <c r="U1576" i="3"/>
  <c r="W1576" i="3"/>
  <c r="Y1576" i="3"/>
  <c r="T1576" i="3"/>
  <c r="V1576" i="3"/>
  <c r="X1576" i="3"/>
  <c r="U1574" i="3"/>
  <c r="W1574" i="3"/>
  <c r="Y1574" i="3"/>
  <c r="T1574" i="3"/>
  <c r="V1574" i="3"/>
  <c r="X1574" i="3"/>
  <c r="U1572" i="3"/>
  <c r="W1572" i="3"/>
  <c r="Y1572" i="3"/>
  <c r="T1572" i="3"/>
  <c r="V1572" i="3"/>
  <c r="X1572" i="3"/>
  <c r="U1570" i="3"/>
  <c r="W1570" i="3"/>
  <c r="Y1570" i="3"/>
  <c r="T1570" i="3"/>
  <c r="V1570" i="3"/>
  <c r="X1570" i="3"/>
  <c r="U1568" i="3"/>
  <c r="W1568" i="3"/>
  <c r="Y1568" i="3"/>
  <c r="T1568" i="3"/>
  <c r="V1568" i="3"/>
  <c r="X1568" i="3"/>
  <c r="T1575" i="3"/>
  <c r="V1575" i="3"/>
  <c r="X1575" i="3"/>
  <c r="U1575" i="3"/>
  <c r="W1575" i="3"/>
  <c r="Y1575" i="3"/>
  <c r="T1573" i="3"/>
  <c r="V1573" i="3"/>
  <c r="X1573" i="3"/>
  <c r="U1573" i="3"/>
  <c r="W1573" i="3"/>
  <c r="Y1573" i="3"/>
  <c r="T1571" i="3"/>
  <c r="V1571" i="3"/>
  <c r="X1571" i="3"/>
  <c r="U1571" i="3"/>
  <c r="W1571" i="3"/>
  <c r="Y1571" i="3"/>
  <c r="T1569" i="3"/>
  <c r="V1569" i="3"/>
  <c r="X1569" i="3"/>
  <c r="U1569" i="3"/>
  <c r="W1569" i="3"/>
  <c r="Y1569" i="3"/>
  <c r="T1567" i="3"/>
  <c r="V1567" i="3"/>
  <c r="X1567" i="3"/>
  <c r="U1567" i="3"/>
  <c r="W1567" i="3"/>
  <c r="Y1567" i="3"/>
  <c r="S1541" i="3"/>
  <c r="Z1541" i="3" s="1"/>
  <c r="T1564" i="3"/>
  <c r="V1564" i="3"/>
  <c r="X1564" i="3"/>
  <c r="U1564" i="3"/>
  <c r="W1564" i="3"/>
  <c r="T1562" i="3"/>
  <c r="V1562" i="3"/>
  <c r="X1562" i="3"/>
  <c r="U1562" i="3"/>
  <c r="W1562" i="3"/>
  <c r="T1560" i="3"/>
  <c r="V1560" i="3"/>
  <c r="X1560" i="3"/>
  <c r="U1560" i="3"/>
  <c r="W1560" i="3"/>
  <c r="T1558" i="3"/>
  <c r="V1558" i="3"/>
  <c r="X1558" i="3"/>
  <c r="U1558" i="3"/>
  <c r="W1558" i="3"/>
  <c r="T1556" i="3"/>
  <c r="V1556" i="3"/>
  <c r="X1556" i="3"/>
  <c r="U1556" i="3"/>
  <c r="W1556" i="3"/>
  <c r="T1554" i="3"/>
  <c r="V1554" i="3"/>
  <c r="X1554" i="3"/>
  <c r="U1554" i="3"/>
  <c r="W1554" i="3"/>
  <c r="T1550" i="3"/>
  <c r="V1550" i="3"/>
  <c r="X1550" i="3"/>
  <c r="U1550" i="3"/>
  <c r="W1550" i="3"/>
  <c r="T1548" i="3"/>
  <c r="V1548" i="3"/>
  <c r="X1548" i="3"/>
  <c r="U1548" i="3"/>
  <c r="W1548" i="3"/>
  <c r="T1546" i="3"/>
  <c r="V1546" i="3"/>
  <c r="X1546" i="3"/>
  <c r="U1546" i="3"/>
  <c r="W1546" i="3"/>
  <c r="T1544" i="3"/>
  <c r="V1544" i="3"/>
  <c r="X1544" i="3"/>
  <c r="U1544" i="3"/>
  <c r="W1544" i="3"/>
  <c r="T1542" i="3"/>
  <c r="V1542" i="3"/>
  <c r="X1542" i="3"/>
  <c r="U1542" i="3"/>
  <c r="W1542" i="3"/>
  <c r="Y1542" i="3"/>
  <c r="Y1564" i="3"/>
  <c r="Y1562" i="3"/>
  <c r="Y1560" i="3"/>
  <c r="Y1558" i="3"/>
  <c r="Y1556" i="3"/>
  <c r="Y1554" i="3"/>
  <c r="Y1550" i="3"/>
  <c r="Y1548" i="3"/>
  <c r="Y1546" i="3"/>
  <c r="Y1544" i="3"/>
  <c r="U1565" i="3"/>
  <c r="W1565" i="3"/>
  <c r="T1565" i="3"/>
  <c r="V1565" i="3"/>
  <c r="X1565" i="3"/>
  <c r="U1563" i="3"/>
  <c r="W1563" i="3"/>
  <c r="T1563" i="3"/>
  <c r="V1563" i="3"/>
  <c r="X1563" i="3"/>
  <c r="U1561" i="3"/>
  <c r="W1561" i="3"/>
  <c r="T1561" i="3"/>
  <c r="V1561" i="3"/>
  <c r="X1561" i="3"/>
  <c r="U1559" i="3"/>
  <c r="W1559" i="3"/>
  <c r="T1559" i="3"/>
  <c r="V1559" i="3"/>
  <c r="X1559" i="3"/>
  <c r="U1557" i="3"/>
  <c r="W1557" i="3"/>
  <c r="T1557" i="3"/>
  <c r="V1557" i="3"/>
  <c r="X1557" i="3"/>
  <c r="U1555" i="3"/>
  <c r="W1555" i="3"/>
  <c r="T1555" i="3"/>
  <c r="V1555" i="3"/>
  <c r="X1555" i="3"/>
  <c r="U1553" i="3"/>
  <c r="W1553" i="3"/>
  <c r="T1553" i="3"/>
  <c r="V1553" i="3"/>
  <c r="X1553" i="3"/>
  <c r="U1551" i="3"/>
  <c r="W1551" i="3"/>
  <c r="T1551" i="3"/>
  <c r="V1551" i="3"/>
  <c r="X1551" i="3"/>
  <c r="U1549" i="3"/>
  <c r="W1549" i="3"/>
  <c r="T1549" i="3"/>
  <c r="V1549" i="3"/>
  <c r="X1549" i="3"/>
  <c r="U1547" i="3"/>
  <c r="W1547" i="3"/>
  <c r="T1547" i="3"/>
  <c r="V1547" i="3"/>
  <c r="X1547" i="3"/>
  <c r="U1545" i="3"/>
  <c r="W1545" i="3"/>
  <c r="T1545" i="3"/>
  <c r="V1545" i="3"/>
  <c r="X1545" i="3"/>
  <c r="U1543" i="3"/>
  <c r="W1543" i="3"/>
  <c r="Y1543" i="3"/>
  <c r="T1543" i="3"/>
  <c r="V1543" i="3"/>
  <c r="X1543" i="3"/>
  <c r="Y1565" i="3"/>
  <c r="Y1563" i="3"/>
  <c r="Y1561" i="3"/>
  <c r="Y1559" i="3"/>
  <c r="Y1557" i="3"/>
  <c r="Y1555" i="3"/>
  <c r="Y1553" i="3"/>
  <c r="Y1551" i="3"/>
  <c r="Y1549" i="3"/>
  <c r="Y1547" i="3"/>
  <c r="Y1545" i="3"/>
  <c r="S1527" i="3"/>
  <c r="Z1527" i="3" s="1"/>
  <c r="S1516" i="3"/>
  <c r="Z1516" i="3" s="1"/>
  <c r="T1539" i="3"/>
  <c r="V1539" i="3"/>
  <c r="X1539" i="3"/>
  <c r="U1539" i="3"/>
  <c r="W1539" i="3"/>
  <c r="T1537" i="3"/>
  <c r="V1537" i="3"/>
  <c r="X1537" i="3"/>
  <c r="U1537" i="3"/>
  <c r="W1537" i="3"/>
  <c r="T1535" i="3"/>
  <c r="V1535" i="3"/>
  <c r="X1535" i="3"/>
  <c r="U1535" i="3"/>
  <c r="W1535" i="3"/>
  <c r="T1533" i="3"/>
  <c r="V1533" i="3"/>
  <c r="X1533" i="3"/>
  <c r="U1533" i="3"/>
  <c r="W1533" i="3"/>
  <c r="T1531" i="3"/>
  <c r="V1531" i="3"/>
  <c r="X1531" i="3"/>
  <c r="U1531" i="3"/>
  <c r="W1531" i="3"/>
  <c r="T1529" i="3"/>
  <c r="V1529" i="3"/>
  <c r="X1529" i="3"/>
  <c r="U1529" i="3"/>
  <c r="W1529" i="3"/>
  <c r="T1525" i="3"/>
  <c r="V1525" i="3"/>
  <c r="X1525" i="3"/>
  <c r="U1525" i="3"/>
  <c r="W1525" i="3"/>
  <c r="T1523" i="3"/>
  <c r="V1523" i="3"/>
  <c r="X1523" i="3"/>
  <c r="U1523" i="3"/>
  <c r="W1523" i="3"/>
  <c r="T1521" i="3"/>
  <c r="V1521" i="3"/>
  <c r="X1521" i="3"/>
  <c r="U1521" i="3"/>
  <c r="W1521" i="3"/>
  <c r="T1519" i="3"/>
  <c r="V1519" i="3"/>
  <c r="X1519" i="3"/>
  <c r="U1519" i="3"/>
  <c r="W1519" i="3"/>
  <c r="T1517" i="3"/>
  <c r="V1517" i="3"/>
  <c r="X1517" i="3"/>
  <c r="U1517" i="3"/>
  <c r="W1517" i="3"/>
  <c r="Y1517" i="3"/>
  <c r="Y1539" i="3"/>
  <c r="Y1537" i="3"/>
  <c r="Y1535" i="3"/>
  <c r="Y1533" i="3"/>
  <c r="Y1531" i="3"/>
  <c r="Y1529" i="3"/>
  <c r="Y1525" i="3"/>
  <c r="Y1523" i="3"/>
  <c r="Y1521" i="3"/>
  <c r="Y1519" i="3"/>
  <c r="U1540" i="3"/>
  <c r="W1540" i="3"/>
  <c r="T1540" i="3"/>
  <c r="V1540" i="3"/>
  <c r="X1540" i="3"/>
  <c r="U1538" i="3"/>
  <c r="W1538" i="3"/>
  <c r="T1538" i="3"/>
  <c r="V1538" i="3"/>
  <c r="X1538" i="3"/>
  <c r="U1536" i="3"/>
  <c r="W1536" i="3"/>
  <c r="T1536" i="3"/>
  <c r="V1536" i="3"/>
  <c r="X1536" i="3"/>
  <c r="U1534" i="3"/>
  <c r="W1534" i="3"/>
  <c r="T1534" i="3"/>
  <c r="V1534" i="3"/>
  <c r="X1534" i="3"/>
  <c r="U1532" i="3"/>
  <c r="W1532" i="3"/>
  <c r="T1532" i="3"/>
  <c r="V1532" i="3"/>
  <c r="X1532" i="3"/>
  <c r="U1530" i="3"/>
  <c r="W1530" i="3"/>
  <c r="T1530" i="3"/>
  <c r="V1530" i="3"/>
  <c r="X1530" i="3"/>
  <c r="U1528" i="3"/>
  <c r="W1528" i="3"/>
  <c r="T1528" i="3"/>
  <c r="V1528" i="3"/>
  <c r="X1528" i="3"/>
  <c r="U1526" i="3"/>
  <c r="W1526" i="3"/>
  <c r="T1526" i="3"/>
  <c r="V1526" i="3"/>
  <c r="X1526" i="3"/>
  <c r="U1524" i="3"/>
  <c r="W1524" i="3"/>
  <c r="T1524" i="3"/>
  <c r="V1524" i="3"/>
  <c r="X1524" i="3"/>
  <c r="U1522" i="3"/>
  <c r="W1522" i="3"/>
  <c r="T1522" i="3"/>
  <c r="V1522" i="3"/>
  <c r="X1522" i="3"/>
  <c r="U1520" i="3"/>
  <c r="W1520" i="3"/>
  <c r="T1520" i="3"/>
  <c r="V1520" i="3"/>
  <c r="X1520" i="3"/>
  <c r="U1518" i="3"/>
  <c r="W1518" i="3"/>
  <c r="Y1518" i="3"/>
  <c r="T1518" i="3"/>
  <c r="V1518" i="3"/>
  <c r="X1518" i="3"/>
  <c r="Y1540" i="3"/>
  <c r="Y1538" i="3"/>
  <c r="Y1536" i="3"/>
  <c r="Y1534" i="3"/>
  <c r="Y1532" i="3"/>
  <c r="Y1530" i="3"/>
  <c r="Y1528" i="3"/>
  <c r="Y1526" i="3"/>
  <c r="Y1524" i="3"/>
  <c r="Y1522" i="3"/>
  <c r="Y1520" i="3"/>
  <c r="T1514" i="3"/>
  <c r="U1514" i="3"/>
  <c r="V1514" i="3"/>
  <c r="W1514" i="3"/>
  <c r="X1514" i="3"/>
  <c r="Y1514" i="3"/>
  <c r="T1512" i="3"/>
  <c r="U1512" i="3"/>
  <c r="V1512" i="3"/>
  <c r="W1512" i="3"/>
  <c r="X1512" i="3"/>
  <c r="Y1512" i="3"/>
  <c r="T1510" i="3"/>
  <c r="U1510" i="3"/>
  <c r="V1510" i="3"/>
  <c r="W1510" i="3"/>
  <c r="X1510" i="3"/>
  <c r="Y1510" i="3"/>
  <c r="T1508" i="3"/>
  <c r="U1508" i="3"/>
  <c r="V1508" i="3"/>
  <c r="W1508" i="3"/>
  <c r="X1508" i="3"/>
  <c r="Y1508" i="3"/>
  <c r="T1506" i="3"/>
  <c r="U1506" i="3"/>
  <c r="V1506" i="3"/>
  <c r="W1506" i="3"/>
  <c r="X1506" i="3"/>
  <c r="Y1506" i="3"/>
  <c r="T1504" i="3"/>
  <c r="U1504" i="3"/>
  <c r="V1504" i="3"/>
  <c r="W1504" i="3"/>
  <c r="X1504" i="3"/>
  <c r="Y1504" i="3"/>
  <c r="T1502" i="3"/>
  <c r="U1502" i="3"/>
  <c r="V1502" i="3"/>
  <c r="W1502" i="3"/>
  <c r="X1502" i="3"/>
  <c r="Y1502" i="3"/>
  <c r="T1500" i="3"/>
  <c r="U1500" i="3"/>
  <c r="V1500" i="3"/>
  <c r="W1500" i="3"/>
  <c r="X1500" i="3"/>
  <c r="Y1500" i="3"/>
  <c r="T1498" i="3"/>
  <c r="U1498" i="3"/>
  <c r="V1498" i="3"/>
  <c r="W1498" i="3"/>
  <c r="X1498" i="3"/>
  <c r="Y1498" i="3"/>
  <c r="T1496" i="3"/>
  <c r="U1496" i="3"/>
  <c r="V1496" i="3"/>
  <c r="W1496" i="3"/>
  <c r="X1496" i="3"/>
  <c r="Y1496" i="3"/>
  <c r="T1515" i="3"/>
  <c r="U1515" i="3"/>
  <c r="V1515" i="3"/>
  <c r="W1515" i="3"/>
  <c r="X1515" i="3"/>
  <c r="Y1515" i="3"/>
  <c r="T1513" i="3"/>
  <c r="U1513" i="3"/>
  <c r="V1513" i="3"/>
  <c r="W1513" i="3"/>
  <c r="X1513" i="3"/>
  <c r="Y1513" i="3"/>
  <c r="T1511" i="3"/>
  <c r="U1511" i="3"/>
  <c r="V1511" i="3"/>
  <c r="W1511" i="3"/>
  <c r="X1511" i="3"/>
  <c r="Y1511" i="3"/>
  <c r="T1509" i="3"/>
  <c r="U1509" i="3"/>
  <c r="V1509" i="3"/>
  <c r="W1509" i="3"/>
  <c r="X1509" i="3"/>
  <c r="Y1509" i="3"/>
  <c r="T1507" i="3"/>
  <c r="U1507" i="3"/>
  <c r="V1507" i="3"/>
  <c r="W1507" i="3"/>
  <c r="X1507" i="3"/>
  <c r="Y1507" i="3"/>
  <c r="T1503" i="3"/>
  <c r="U1503" i="3"/>
  <c r="V1503" i="3"/>
  <c r="W1503" i="3"/>
  <c r="X1503" i="3"/>
  <c r="Y1503" i="3"/>
  <c r="T1501" i="3"/>
  <c r="U1501" i="3"/>
  <c r="V1501" i="3"/>
  <c r="W1501" i="3"/>
  <c r="X1501" i="3"/>
  <c r="Y1501" i="3"/>
  <c r="T1499" i="3"/>
  <c r="U1499" i="3"/>
  <c r="V1499" i="3"/>
  <c r="W1499" i="3"/>
  <c r="X1499" i="3"/>
  <c r="Y1499" i="3"/>
  <c r="T1497" i="3"/>
  <c r="U1497" i="3"/>
  <c r="V1497" i="3"/>
  <c r="W1497" i="3"/>
  <c r="X1497" i="3"/>
  <c r="Y1497" i="3"/>
  <c r="T1495" i="3"/>
  <c r="U1495" i="3"/>
  <c r="V1495" i="3"/>
  <c r="W1495" i="3"/>
  <c r="X1495" i="3"/>
  <c r="Y1495" i="3"/>
  <c r="Y1446" i="3"/>
  <c r="S1483" i="3"/>
  <c r="Z1483" i="3" s="1"/>
  <c r="S1469" i="3"/>
  <c r="Z1469" i="3" s="1"/>
  <c r="T1492" i="3"/>
  <c r="V1492" i="3"/>
  <c r="X1492" i="3"/>
  <c r="U1492" i="3"/>
  <c r="W1492" i="3"/>
  <c r="T1490" i="3"/>
  <c r="V1490" i="3"/>
  <c r="X1490" i="3"/>
  <c r="U1490" i="3"/>
  <c r="W1490" i="3"/>
  <c r="T1488" i="3"/>
  <c r="V1488" i="3"/>
  <c r="X1488" i="3"/>
  <c r="U1488" i="3"/>
  <c r="W1488" i="3"/>
  <c r="T1486" i="3"/>
  <c r="V1486" i="3"/>
  <c r="X1486" i="3"/>
  <c r="U1486" i="3"/>
  <c r="W1486" i="3"/>
  <c r="T1484" i="3"/>
  <c r="V1484" i="3"/>
  <c r="X1484" i="3"/>
  <c r="U1484" i="3"/>
  <c r="W1484" i="3"/>
  <c r="T1482" i="3"/>
  <c r="V1482" i="3"/>
  <c r="X1482" i="3"/>
  <c r="U1482" i="3"/>
  <c r="W1482" i="3"/>
  <c r="T1480" i="3"/>
  <c r="V1480" i="3"/>
  <c r="X1480" i="3"/>
  <c r="U1480" i="3"/>
  <c r="W1480" i="3"/>
  <c r="T1478" i="3"/>
  <c r="V1478" i="3"/>
  <c r="X1478" i="3"/>
  <c r="U1478" i="3"/>
  <c r="W1478" i="3"/>
  <c r="T1476" i="3"/>
  <c r="V1476" i="3"/>
  <c r="X1476" i="3"/>
  <c r="U1476" i="3"/>
  <c r="W1476" i="3"/>
  <c r="T1474" i="3"/>
  <c r="V1474" i="3"/>
  <c r="X1474" i="3"/>
  <c r="U1474" i="3"/>
  <c r="W1474" i="3"/>
  <c r="T1472" i="3"/>
  <c r="V1472" i="3"/>
  <c r="X1472" i="3"/>
  <c r="U1472" i="3"/>
  <c r="W1472" i="3"/>
  <c r="T1470" i="3"/>
  <c r="V1470" i="3"/>
  <c r="X1470" i="3"/>
  <c r="U1470" i="3"/>
  <c r="W1470" i="3"/>
  <c r="Y1470" i="3"/>
  <c r="Y1492" i="3"/>
  <c r="Y1490" i="3"/>
  <c r="Y1488" i="3"/>
  <c r="Y1486" i="3"/>
  <c r="Y1484" i="3"/>
  <c r="Y1482" i="3"/>
  <c r="Y1480" i="3"/>
  <c r="Y1478" i="3"/>
  <c r="Y1476" i="3"/>
  <c r="Y1474" i="3"/>
  <c r="Y1472" i="3"/>
  <c r="U1493" i="3"/>
  <c r="W1493" i="3"/>
  <c r="T1493" i="3"/>
  <c r="V1493" i="3"/>
  <c r="X1493" i="3"/>
  <c r="U1491" i="3"/>
  <c r="W1491" i="3"/>
  <c r="T1491" i="3"/>
  <c r="V1491" i="3"/>
  <c r="X1491" i="3"/>
  <c r="U1489" i="3"/>
  <c r="W1489" i="3"/>
  <c r="T1489" i="3"/>
  <c r="V1489" i="3"/>
  <c r="X1489" i="3"/>
  <c r="U1487" i="3"/>
  <c r="W1487" i="3"/>
  <c r="T1487" i="3"/>
  <c r="V1487" i="3"/>
  <c r="X1487" i="3"/>
  <c r="U1485" i="3"/>
  <c r="W1485" i="3"/>
  <c r="T1485" i="3"/>
  <c r="V1485" i="3"/>
  <c r="X1485" i="3"/>
  <c r="U1481" i="3"/>
  <c r="W1481" i="3"/>
  <c r="T1481" i="3"/>
  <c r="V1481" i="3"/>
  <c r="X1481" i="3"/>
  <c r="U1479" i="3"/>
  <c r="W1479" i="3"/>
  <c r="T1479" i="3"/>
  <c r="V1479" i="3"/>
  <c r="X1479" i="3"/>
  <c r="U1477" i="3"/>
  <c r="W1477" i="3"/>
  <c r="T1477" i="3"/>
  <c r="V1477" i="3"/>
  <c r="X1477" i="3"/>
  <c r="U1475" i="3"/>
  <c r="W1475" i="3"/>
  <c r="T1475" i="3"/>
  <c r="V1475" i="3"/>
  <c r="X1475" i="3"/>
  <c r="U1473" i="3"/>
  <c r="W1473" i="3"/>
  <c r="T1473" i="3"/>
  <c r="V1473" i="3"/>
  <c r="X1473" i="3"/>
  <c r="U1471" i="3"/>
  <c r="W1471" i="3"/>
  <c r="T1471" i="3"/>
  <c r="V1471" i="3"/>
  <c r="X1471" i="3"/>
  <c r="Y1493" i="3"/>
  <c r="Y1491" i="3"/>
  <c r="Y1489" i="3"/>
  <c r="Y1487" i="3"/>
  <c r="Y1485" i="3"/>
  <c r="Y1481" i="3"/>
  <c r="Y1479" i="3"/>
  <c r="Y1477" i="3"/>
  <c r="Y1475" i="3"/>
  <c r="Y1473" i="3"/>
  <c r="Y1471" i="3"/>
  <c r="S1457" i="3"/>
  <c r="Z1457" i="3" s="1"/>
  <c r="S1446" i="3"/>
  <c r="Z1446" i="3" s="1"/>
  <c r="T1467" i="3"/>
  <c r="V1467" i="3"/>
  <c r="X1467" i="3"/>
  <c r="U1467" i="3"/>
  <c r="W1467" i="3"/>
  <c r="T1465" i="3"/>
  <c r="V1465" i="3"/>
  <c r="X1465" i="3"/>
  <c r="U1465" i="3"/>
  <c r="W1465" i="3"/>
  <c r="T1463" i="3"/>
  <c r="V1463" i="3"/>
  <c r="X1463" i="3"/>
  <c r="U1463" i="3"/>
  <c r="W1463" i="3"/>
  <c r="T1461" i="3"/>
  <c r="V1461" i="3"/>
  <c r="X1461" i="3"/>
  <c r="U1461" i="3"/>
  <c r="W1461" i="3"/>
  <c r="Y1461" i="3"/>
  <c r="T1459" i="3"/>
  <c r="V1459" i="3"/>
  <c r="X1459" i="3"/>
  <c r="U1459" i="3"/>
  <c r="W1459" i="3"/>
  <c r="Y1459" i="3"/>
  <c r="T1455" i="3"/>
  <c r="V1455" i="3"/>
  <c r="X1455" i="3"/>
  <c r="U1455" i="3"/>
  <c r="W1455" i="3"/>
  <c r="Y1455" i="3"/>
  <c r="T1453" i="3"/>
  <c r="V1453" i="3"/>
  <c r="X1453" i="3"/>
  <c r="U1453" i="3"/>
  <c r="W1453" i="3"/>
  <c r="Y1453" i="3"/>
  <c r="T1451" i="3"/>
  <c r="V1451" i="3"/>
  <c r="X1451" i="3"/>
  <c r="U1451" i="3"/>
  <c r="W1451" i="3"/>
  <c r="Y1451" i="3"/>
  <c r="T1449" i="3"/>
  <c r="V1449" i="3"/>
  <c r="X1449" i="3"/>
  <c r="U1449" i="3"/>
  <c r="W1449" i="3"/>
  <c r="Y1449" i="3"/>
  <c r="T1447" i="3"/>
  <c r="V1447" i="3"/>
  <c r="X1447" i="3"/>
  <c r="U1447" i="3"/>
  <c r="W1447" i="3"/>
  <c r="Y1447" i="3"/>
  <c r="Y1467" i="3"/>
  <c r="Y1465" i="3"/>
  <c r="Y1463" i="3"/>
  <c r="U1468" i="3"/>
  <c r="W1468" i="3"/>
  <c r="T1468" i="3"/>
  <c r="V1468" i="3"/>
  <c r="X1468" i="3"/>
  <c r="U1466" i="3"/>
  <c r="W1466" i="3"/>
  <c r="T1466" i="3"/>
  <c r="V1466" i="3"/>
  <c r="X1466" i="3"/>
  <c r="U1464" i="3"/>
  <c r="W1464" i="3"/>
  <c r="T1464" i="3"/>
  <c r="V1464" i="3"/>
  <c r="X1464" i="3"/>
  <c r="U1462" i="3"/>
  <c r="W1462" i="3"/>
  <c r="Y1462" i="3"/>
  <c r="T1462" i="3"/>
  <c r="V1462" i="3"/>
  <c r="X1462" i="3"/>
  <c r="U1460" i="3"/>
  <c r="W1460" i="3"/>
  <c r="Y1460" i="3"/>
  <c r="T1460" i="3"/>
  <c r="V1460" i="3"/>
  <c r="X1460" i="3"/>
  <c r="U1458" i="3"/>
  <c r="W1458" i="3"/>
  <c r="Y1458" i="3"/>
  <c r="T1458" i="3"/>
  <c r="V1458" i="3"/>
  <c r="X1458" i="3"/>
  <c r="U1456" i="3"/>
  <c r="W1456" i="3"/>
  <c r="Y1456" i="3"/>
  <c r="T1456" i="3"/>
  <c r="V1456" i="3"/>
  <c r="X1456" i="3"/>
  <c r="U1454" i="3"/>
  <c r="W1454" i="3"/>
  <c r="Y1454" i="3"/>
  <c r="T1454" i="3"/>
  <c r="V1454" i="3"/>
  <c r="X1454" i="3"/>
  <c r="U1452" i="3"/>
  <c r="W1452" i="3"/>
  <c r="Y1452" i="3"/>
  <c r="T1452" i="3"/>
  <c r="V1452" i="3"/>
  <c r="X1452" i="3"/>
  <c r="U1450" i="3"/>
  <c r="W1450" i="3"/>
  <c r="Y1450" i="3"/>
  <c r="T1450" i="3"/>
  <c r="V1450" i="3"/>
  <c r="X1450" i="3"/>
  <c r="U1448" i="3"/>
  <c r="W1448" i="3"/>
  <c r="Y1448" i="3"/>
  <c r="T1448" i="3"/>
  <c r="V1448" i="3"/>
  <c r="X1448" i="3"/>
  <c r="Y1468" i="3"/>
  <c r="Y1466" i="3"/>
  <c r="Y1464" i="3"/>
  <c r="M1435" i="3"/>
  <c r="M1436" i="3"/>
  <c r="M1437" i="3"/>
  <c r="M1438" i="3"/>
  <c r="M1439" i="3"/>
  <c r="M1440" i="3"/>
  <c r="M1441" i="3"/>
  <c r="M1442" i="3"/>
  <c r="M1443" i="3"/>
  <c r="M1444" i="3"/>
  <c r="M1445" i="3"/>
  <c r="P1435" i="3"/>
  <c r="P1436" i="3"/>
  <c r="P1437" i="3"/>
  <c r="P1438" i="3"/>
  <c r="P1439" i="3"/>
  <c r="P1440" i="3"/>
  <c r="P1441" i="3"/>
  <c r="P1442" i="3"/>
  <c r="P1443" i="3"/>
  <c r="P1444" i="3"/>
  <c r="P1445" i="3"/>
  <c r="Q1435" i="3"/>
  <c r="Q1436" i="3"/>
  <c r="Q1437" i="3"/>
  <c r="Q1438" i="3"/>
  <c r="Q1439" i="3"/>
  <c r="Q1440" i="3"/>
  <c r="Q1441" i="3"/>
  <c r="Q1442" i="3"/>
  <c r="Q1443" i="3"/>
  <c r="Q1444" i="3"/>
  <c r="Q1445" i="3"/>
  <c r="R1435" i="3"/>
  <c r="R1436" i="3"/>
  <c r="R1437" i="3"/>
  <c r="R1438" i="3"/>
  <c r="R1439" i="3"/>
  <c r="R1440" i="3"/>
  <c r="R1441" i="3"/>
  <c r="R1442" i="3"/>
  <c r="R1443" i="3"/>
  <c r="R1444" i="3"/>
  <c r="R1445" i="3"/>
  <c r="S1436" i="3"/>
  <c r="S1437" i="3"/>
  <c r="S1438" i="3"/>
  <c r="S1439" i="3"/>
  <c r="S1440" i="3"/>
  <c r="S1441" i="3"/>
  <c r="S1442" i="3"/>
  <c r="S1443" i="3"/>
  <c r="S1444" i="3"/>
  <c r="S1445" i="3"/>
  <c r="T1435" i="3"/>
  <c r="U1435" i="3"/>
  <c r="V1435" i="3"/>
  <c r="W1435" i="3"/>
  <c r="X1435" i="3"/>
  <c r="AA1435" i="3"/>
  <c r="AA1436" i="3"/>
  <c r="AA1437" i="3"/>
  <c r="AA1438" i="3"/>
  <c r="AA1439" i="3"/>
  <c r="AA1440" i="3"/>
  <c r="AA1441" i="3"/>
  <c r="AA1442" i="3"/>
  <c r="AA1443" i="3"/>
  <c r="AA1444" i="3"/>
  <c r="AA1445" i="3"/>
  <c r="AB1435" i="3"/>
  <c r="O1435" i="3" s="1"/>
  <c r="AB1436" i="3"/>
  <c r="O1436" i="3" s="1"/>
  <c r="AB1437" i="3"/>
  <c r="O1437" i="3" s="1"/>
  <c r="AB1438" i="3"/>
  <c r="O1438" i="3" s="1"/>
  <c r="AB1439" i="3"/>
  <c r="O1439" i="3" s="1"/>
  <c r="AB1440" i="3"/>
  <c r="O1440" i="3" s="1"/>
  <c r="AB1441" i="3"/>
  <c r="O1441" i="3" s="1"/>
  <c r="AB1442" i="3"/>
  <c r="O1442" i="3" s="1"/>
  <c r="AB1443" i="3"/>
  <c r="O1443" i="3" s="1"/>
  <c r="AB1444" i="3"/>
  <c r="O1444" i="3" s="1"/>
  <c r="AB1445" i="3"/>
  <c r="O1445" i="3" s="1"/>
  <c r="AC1435" i="3"/>
  <c r="N1435" i="3" s="1"/>
  <c r="AC1436" i="3"/>
  <c r="N1436" i="3" s="1"/>
  <c r="AC1437" i="3"/>
  <c r="N1437" i="3" s="1"/>
  <c r="AC1438" i="3"/>
  <c r="N1438" i="3" s="1"/>
  <c r="AC1439" i="3"/>
  <c r="N1439" i="3" s="1"/>
  <c r="AC1440" i="3"/>
  <c r="N1440" i="3" s="1"/>
  <c r="AC1441" i="3"/>
  <c r="N1441" i="3" s="1"/>
  <c r="AC1442" i="3"/>
  <c r="N1442" i="3" s="1"/>
  <c r="AC1443" i="3"/>
  <c r="N1443" i="3" s="1"/>
  <c r="AC1444" i="3"/>
  <c r="N1444" i="3" s="1"/>
  <c r="AC1445" i="3"/>
  <c r="N1445" i="3" s="1"/>
  <c r="AK1435" i="3"/>
  <c r="AK1436" i="3"/>
  <c r="AK1437" i="3"/>
  <c r="AK1438" i="3"/>
  <c r="AK1439" i="3"/>
  <c r="AK1440" i="3"/>
  <c r="AK1441" i="3"/>
  <c r="AK1442" i="3"/>
  <c r="AK1443" i="3"/>
  <c r="AK1444" i="3"/>
  <c r="AK1445" i="3"/>
  <c r="M1424" i="3"/>
  <c r="M1425" i="3"/>
  <c r="M1426" i="3"/>
  <c r="M1427" i="3"/>
  <c r="M1428" i="3"/>
  <c r="M1429" i="3"/>
  <c r="M1430" i="3"/>
  <c r="M1431" i="3"/>
  <c r="M1432" i="3"/>
  <c r="M1433" i="3"/>
  <c r="M1434" i="3"/>
  <c r="P1424" i="3"/>
  <c r="P1425" i="3"/>
  <c r="P1426" i="3"/>
  <c r="P1427" i="3"/>
  <c r="P1428" i="3"/>
  <c r="P1429" i="3"/>
  <c r="P1430" i="3"/>
  <c r="P1431" i="3"/>
  <c r="P1432" i="3"/>
  <c r="P1433" i="3"/>
  <c r="P1434" i="3"/>
  <c r="Q1424" i="3"/>
  <c r="Q1425" i="3"/>
  <c r="Q1426" i="3"/>
  <c r="Q1427" i="3"/>
  <c r="Q1428" i="3"/>
  <c r="Q1429" i="3"/>
  <c r="Q1430" i="3"/>
  <c r="Q1431" i="3"/>
  <c r="Q1432" i="3"/>
  <c r="Q1433" i="3"/>
  <c r="Q1434" i="3"/>
  <c r="R1424" i="3"/>
  <c r="R1425" i="3"/>
  <c r="R1426" i="3"/>
  <c r="R1427" i="3"/>
  <c r="R1428" i="3"/>
  <c r="R1429" i="3"/>
  <c r="R1430" i="3"/>
  <c r="R1431" i="3"/>
  <c r="R1432" i="3"/>
  <c r="R1433" i="3"/>
  <c r="R1434" i="3"/>
  <c r="S1425" i="3"/>
  <c r="S1426" i="3"/>
  <c r="S1427" i="3"/>
  <c r="S1428" i="3"/>
  <c r="S1429" i="3"/>
  <c r="S1430" i="3"/>
  <c r="S1431" i="3"/>
  <c r="S1432" i="3"/>
  <c r="S1433" i="3"/>
  <c r="S1434" i="3"/>
  <c r="T1424" i="3"/>
  <c r="U1424" i="3"/>
  <c r="V1424" i="3"/>
  <c r="W1424" i="3"/>
  <c r="X1424" i="3"/>
  <c r="AA1424" i="3"/>
  <c r="AA1425" i="3"/>
  <c r="AA1426" i="3"/>
  <c r="AA1427" i="3"/>
  <c r="AA1428" i="3"/>
  <c r="AA1429" i="3"/>
  <c r="AA1430" i="3"/>
  <c r="AA1431" i="3"/>
  <c r="AA1432" i="3"/>
  <c r="AA1433" i="3"/>
  <c r="AA1434" i="3"/>
  <c r="AB1424" i="3"/>
  <c r="O1424" i="3" s="1"/>
  <c r="Y1424" i="3" s="1"/>
  <c r="AB1425" i="3"/>
  <c r="O1425" i="3" s="1"/>
  <c r="AB1426" i="3"/>
  <c r="O1426" i="3" s="1"/>
  <c r="AB1427" i="3"/>
  <c r="O1427" i="3" s="1"/>
  <c r="AB1428" i="3"/>
  <c r="O1428" i="3" s="1"/>
  <c r="AB1429" i="3"/>
  <c r="O1429" i="3" s="1"/>
  <c r="AB1430" i="3"/>
  <c r="O1430" i="3" s="1"/>
  <c r="AB1431" i="3"/>
  <c r="O1431" i="3" s="1"/>
  <c r="AB1432" i="3"/>
  <c r="O1432" i="3" s="1"/>
  <c r="AB1433" i="3"/>
  <c r="O1433" i="3" s="1"/>
  <c r="AB1434" i="3"/>
  <c r="O1434" i="3" s="1"/>
  <c r="AC1424" i="3"/>
  <c r="N1424" i="3" s="1"/>
  <c r="AC1425" i="3"/>
  <c r="N1425" i="3" s="1"/>
  <c r="AC1426" i="3"/>
  <c r="N1426" i="3" s="1"/>
  <c r="AC1427" i="3"/>
  <c r="N1427" i="3" s="1"/>
  <c r="AC1428" i="3"/>
  <c r="N1428" i="3" s="1"/>
  <c r="AC1429" i="3"/>
  <c r="N1429" i="3" s="1"/>
  <c r="AC1430" i="3"/>
  <c r="N1430" i="3" s="1"/>
  <c r="AC1431" i="3"/>
  <c r="N1431" i="3" s="1"/>
  <c r="AC1432" i="3"/>
  <c r="N1432" i="3" s="1"/>
  <c r="AC1433" i="3"/>
  <c r="N1433" i="3" s="1"/>
  <c r="AC1434" i="3"/>
  <c r="N1434" i="3" s="1"/>
  <c r="AK1424" i="3"/>
  <c r="AK1425" i="3"/>
  <c r="AK1426" i="3"/>
  <c r="AK1427" i="3"/>
  <c r="AK1428" i="3"/>
  <c r="AK1429" i="3"/>
  <c r="AK1430" i="3"/>
  <c r="AK1431" i="3"/>
  <c r="AK1432" i="3"/>
  <c r="AK1433" i="3"/>
  <c r="AK1434" i="3"/>
  <c r="S16" i="23"/>
  <c r="T16" i="23"/>
  <c r="U16" i="23"/>
  <c r="V16" i="23"/>
  <c r="W16" i="23"/>
  <c r="X16" i="23"/>
  <c r="Y16" i="23"/>
  <c r="R16" i="23"/>
  <c r="R2" i="23"/>
  <c r="Z1466" i="3" l="1"/>
  <c r="Z1447" i="3"/>
  <c r="Z1449" i="3"/>
  <c r="Z1451" i="3"/>
  <c r="Z1453" i="3"/>
  <c r="Z1455" i="3"/>
  <c r="Z1459" i="3"/>
  <c r="Z1461" i="3"/>
  <c r="Z1465" i="3"/>
  <c r="Z1473" i="3"/>
  <c r="Z1477" i="3"/>
  <c r="Z1481" i="3"/>
  <c r="Z1487" i="3"/>
  <c r="Z1491" i="3"/>
  <c r="Z1470" i="3"/>
  <c r="Z1474" i="3"/>
  <c r="Z1478" i="3"/>
  <c r="Z1482" i="3"/>
  <c r="Z1486" i="3"/>
  <c r="Z1490" i="3"/>
  <c r="Z1495" i="3"/>
  <c r="Z1497" i="3"/>
  <c r="Z1499" i="3"/>
  <c r="Z1501" i="3"/>
  <c r="Z1503" i="3"/>
  <c r="Z1507" i="3"/>
  <c r="Z1509" i="3"/>
  <c r="Z1511" i="3"/>
  <c r="Z1513" i="3"/>
  <c r="Z1515" i="3"/>
  <c r="Z1496" i="3"/>
  <c r="Z1498" i="3"/>
  <c r="Z1500" i="3"/>
  <c r="Z1502" i="3"/>
  <c r="Z1504" i="3"/>
  <c r="Z1506" i="3"/>
  <c r="Z1508" i="3"/>
  <c r="Z1510" i="3"/>
  <c r="Z1512" i="3"/>
  <c r="Z1514" i="3"/>
  <c r="Z1518" i="3"/>
  <c r="Z1520" i="3"/>
  <c r="Z1524" i="3"/>
  <c r="Z1528" i="3"/>
  <c r="Z1532" i="3"/>
  <c r="Z1536" i="3"/>
  <c r="Z1540" i="3"/>
  <c r="Z1517" i="3"/>
  <c r="Z1521" i="3"/>
  <c r="Z1525" i="3"/>
  <c r="Z1531" i="3"/>
  <c r="Z1535" i="3"/>
  <c r="Z1539" i="3"/>
  <c r="Z1543" i="3"/>
  <c r="Z1545" i="3"/>
  <c r="Z1549" i="3"/>
  <c r="Z1553" i="3"/>
  <c r="Z1557" i="3"/>
  <c r="Z1561" i="3"/>
  <c r="Z1565" i="3"/>
  <c r="Z1542" i="3"/>
  <c r="Z1546" i="3"/>
  <c r="Z1550" i="3"/>
  <c r="Z1556" i="3"/>
  <c r="Z1560" i="3"/>
  <c r="Z1564" i="3"/>
  <c r="Z1568" i="3"/>
  <c r="Z1570" i="3"/>
  <c r="Z1572" i="3"/>
  <c r="Z1574" i="3"/>
  <c r="Z1576" i="3"/>
  <c r="Z1448" i="3"/>
  <c r="Z1450" i="3"/>
  <c r="Z1452" i="3"/>
  <c r="Z1454" i="3"/>
  <c r="Z1456" i="3"/>
  <c r="Z1458" i="3"/>
  <c r="Z1460" i="3"/>
  <c r="Z1462" i="3"/>
  <c r="Z1464" i="3"/>
  <c r="Z1468" i="3"/>
  <c r="Z1463" i="3"/>
  <c r="Z1467" i="3"/>
  <c r="Z1471" i="3"/>
  <c r="Z1475" i="3"/>
  <c r="Z1479" i="3"/>
  <c r="Z1485" i="3"/>
  <c r="Z1489" i="3"/>
  <c r="Z1493" i="3"/>
  <c r="Z1472" i="3"/>
  <c r="Z1476" i="3"/>
  <c r="Z1480" i="3"/>
  <c r="Z1484" i="3"/>
  <c r="Z1488" i="3"/>
  <c r="Z1492" i="3"/>
  <c r="Z1522" i="3"/>
  <c r="Z1526" i="3"/>
  <c r="Z1530" i="3"/>
  <c r="Z1534" i="3"/>
  <c r="Z1538" i="3"/>
  <c r="Z1519" i="3"/>
  <c r="Z1523" i="3"/>
  <c r="Z1529" i="3"/>
  <c r="Z1533" i="3"/>
  <c r="Z1537" i="3"/>
  <c r="Z1547" i="3"/>
  <c r="Z1551" i="3"/>
  <c r="Z1555" i="3"/>
  <c r="Z1559" i="3"/>
  <c r="Z1563" i="3"/>
  <c r="Z1544" i="3"/>
  <c r="Z1548" i="3"/>
  <c r="Z1554" i="3"/>
  <c r="Z1558" i="3"/>
  <c r="Z1562" i="3"/>
  <c r="Z1567" i="3"/>
  <c r="Z1569" i="3"/>
  <c r="Z1571" i="3"/>
  <c r="Z1573" i="3"/>
  <c r="Z1575" i="3"/>
  <c r="Y1435" i="3"/>
  <c r="S1435" i="3"/>
  <c r="Z1435" i="3" s="1"/>
  <c r="U1443" i="3"/>
  <c r="W1443" i="3"/>
  <c r="Y1443" i="3"/>
  <c r="T1443" i="3"/>
  <c r="V1443" i="3"/>
  <c r="X1443" i="3"/>
  <c r="U1441" i="3"/>
  <c r="W1441" i="3"/>
  <c r="Y1441" i="3"/>
  <c r="T1441" i="3"/>
  <c r="V1441" i="3"/>
  <c r="X1441" i="3"/>
  <c r="U1437" i="3"/>
  <c r="W1437" i="3"/>
  <c r="Y1437" i="3"/>
  <c r="T1437" i="3"/>
  <c r="V1437" i="3"/>
  <c r="X1437" i="3"/>
  <c r="U1445" i="3"/>
  <c r="W1445" i="3"/>
  <c r="Y1445" i="3"/>
  <c r="T1445" i="3"/>
  <c r="V1445" i="3"/>
  <c r="X1445" i="3"/>
  <c r="U1439" i="3"/>
  <c r="W1439" i="3"/>
  <c r="Y1439" i="3"/>
  <c r="T1439" i="3"/>
  <c r="V1439" i="3"/>
  <c r="X1439" i="3"/>
  <c r="T1444" i="3"/>
  <c r="V1444" i="3"/>
  <c r="X1444" i="3"/>
  <c r="U1444" i="3"/>
  <c r="W1444" i="3"/>
  <c r="Y1444" i="3"/>
  <c r="T1442" i="3"/>
  <c r="V1442" i="3"/>
  <c r="X1442" i="3"/>
  <c r="U1442" i="3"/>
  <c r="W1442" i="3"/>
  <c r="Y1442" i="3"/>
  <c r="T1440" i="3"/>
  <c r="V1440" i="3"/>
  <c r="X1440" i="3"/>
  <c r="U1440" i="3"/>
  <c r="W1440" i="3"/>
  <c r="Y1440" i="3"/>
  <c r="T1438" i="3"/>
  <c r="V1438" i="3"/>
  <c r="X1438" i="3"/>
  <c r="U1438" i="3"/>
  <c r="W1438" i="3"/>
  <c r="Y1438" i="3"/>
  <c r="T1436" i="3"/>
  <c r="V1436" i="3"/>
  <c r="X1436" i="3"/>
  <c r="U1436" i="3"/>
  <c r="W1436" i="3"/>
  <c r="Y1436" i="3"/>
  <c r="S1424" i="3"/>
  <c r="Z1424" i="3" s="1"/>
  <c r="U1434" i="3"/>
  <c r="W1434" i="3"/>
  <c r="Y1434" i="3"/>
  <c r="T1434" i="3"/>
  <c r="V1434" i="3"/>
  <c r="X1434" i="3"/>
  <c r="U1432" i="3"/>
  <c r="W1432" i="3"/>
  <c r="Y1432" i="3"/>
  <c r="T1432" i="3"/>
  <c r="V1432" i="3"/>
  <c r="X1432" i="3"/>
  <c r="U1430" i="3"/>
  <c r="W1430" i="3"/>
  <c r="Y1430" i="3"/>
  <c r="T1430" i="3"/>
  <c r="V1430" i="3"/>
  <c r="X1430" i="3"/>
  <c r="U1428" i="3"/>
  <c r="W1428" i="3"/>
  <c r="Y1428" i="3"/>
  <c r="T1428" i="3"/>
  <c r="V1428" i="3"/>
  <c r="X1428" i="3"/>
  <c r="U1426" i="3"/>
  <c r="W1426" i="3"/>
  <c r="Y1426" i="3"/>
  <c r="T1426" i="3"/>
  <c r="V1426" i="3"/>
  <c r="X1426" i="3"/>
  <c r="T1433" i="3"/>
  <c r="V1433" i="3"/>
  <c r="X1433" i="3"/>
  <c r="U1433" i="3"/>
  <c r="W1433" i="3"/>
  <c r="Y1433" i="3"/>
  <c r="T1431" i="3"/>
  <c r="V1431" i="3"/>
  <c r="X1431" i="3"/>
  <c r="U1431" i="3"/>
  <c r="W1431" i="3"/>
  <c r="Y1431" i="3"/>
  <c r="T1429" i="3"/>
  <c r="V1429" i="3"/>
  <c r="X1429" i="3"/>
  <c r="U1429" i="3"/>
  <c r="W1429" i="3"/>
  <c r="Y1429" i="3"/>
  <c r="T1427" i="3"/>
  <c r="V1427" i="3"/>
  <c r="X1427" i="3"/>
  <c r="U1427" i="3"/>
  <c r="W1427" i="3"/>
  <c r="Y1427" i="3"/>
  <c r="T1425" i="3"/>
  <c r="V1425" i="3"/>
  <c r="X1425" i="3"/>
  <c r="U1425" i="3"/>
  <c r="W1425" i="3"/>
  <c r="Y1425" i="3"/>
  <c r="V2" i="15"/>
  <c r="V1" i="15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S1403" i="3"/>
  <c r="S1404" i="3"/>
  <c r="S1405" i="3"/>
  <c r="S1406" i="3"/>
  <c r="S1407" i="3"/>
  <c r="S1408" i="3"/>
  <c r="S1409" i="3"/>
  <c r="S1410" i="3"/>
  <c r="S1411" i="3"/>
  <c r="S1412" i="3"/>
  <c r="S1414" i="3"/>
  <c r="S1415" i="3"/>
  <c r="S1416" i="3"/>
  <c r="S1417" i="3"/>
  <c r="S1418" i="3"/>
  <c r="S1419" i="3"/>
  <c r="S1420" i="3"/>
  <c r="S1421" i="3"/>
  <c r="S1422" i="3"/>
  <c r="S1423" i="3"/>
  <c r="T1402" i="3"/>
  <c r="T1413" i="3"/>
  <c r="U1402" i="3"/>
  <c r="U1413" i="3"/>
  <c r="V1402" i="3"/>
  <c r="V1413" i="3"/>
  <c r="W1402" i="3"/>
  <c r="W1413" i="3"/>
  <c r="X1402" i="3"/>
  <c r="X1413" i="3"/>
  <c r="AA1402" i="3"/>
  <c r="AA1403" i="3"/>
  <c r="AA1404" i="3"/>
  <c r="AA1405" i="3"/>
  <c r="AA1406" i="3"/>
  <c r="AA1407" i="3"/>
  <c r="AA1408" i="3"/>
  <c r="AA1409" i="3"/>
  <c r="AA1410" i="3"/>
  <c r="AA1411" i="3"/>
  <c r="AA1412" i="3"/>
  <c r="AA1413" i="3"/>
  <c r="AA1414" i="3"/>
  <c r="AA1415" i="3"/>
  <c r="AA1416" i="3"/>
  <c r="AA1417" i="3"/>
  <c r="AA1418" i="3"/>
  <c r="AA1419" i="3"/>
  <c r="AA1420" i="3"/>
  <c r="AA1421" i="3"/>
  <c r="AA1422" i="3"/>
  <c r="AA1423" i="3"/>
  <c r="AB1402" i="3"/>
  <c r="O1402" i="3" s="1"/>
  <c r="Y1402" i="3" s="1"/>
  <c r="AB1403" i="3"/>
  <c r="O1403" i="3" s="1"/>
  <c r="AB1404" i="3"/>
  <c r="O1404" i="3" s="1"/>
  <c r="AB1405" i="3"/>
  <c r="O1405" i="3" s="1"/>
  <c r="AB1406" i="3"/>
  <c r="O1406" i="3" s="1"/>
  <c r="AB1407" i="3"/>
  <c r="O1407" i="3" s="1"/>
  <c r="AB1408" i="3"/>
  <c r="O1408" i="3" s="1"/>
  <c r="AB1409" i="3"/>
  <c r="O1409" i="3" s="1"/>
  <c r="AB1410" i="3"/>
  <c r="O1410" i="3" s="1"/>
  <c r="AB1411" i="3"/>
  <c r="O1411" i="3" s="1"/>
  <c r="AB1412" i="3"/>
  <c r="O1412" i="3" s="1"/>
  <c r="AB1413" i="3"/>
  <c r="O1413" i="3" s="1"/>
  <c r="Y1413" i="3" s="1"/>
  <c r="AB1414" i="3"/>
  <c r="O1414" i="3" s="1"/>
  <c r="AB1415" i="3"/>
  <c r="O1415" i="3" s="1"/>
  <c r="AB1416" i="3"/>
  <c r="O1416" i="3" s="1"/>
  <c r="AB1417" i="3"/>
  <c r="O1417" i="3" s="1"/>
  <c r="AB1418" i="3"/>
  <c r="O1418" i="3" s="1"/>
  <c r="AB1419" i="3"/>
  <c r="O1419" i="3" s="1"/>
  <c r="AB1420" i="3"/>
  <c r="O1420" i="3" s="1"/>
  <c r="AB1421" i="3"/>
  <c r="O1421" i="3" s="1"/>
  <c r="AB1422" i="3"/>
  <c r="O1422" i="3" s="1"/>
  <c r="AB1423" i="3"/>
  <c r="O1423" i="3" s="1"/>
  <c r="AC1402" i="3"/>
  <c r="N1402" i="3" s="1"/>
  <c r="S1402" i="3" s="1"/>
  <c r="Z1402" i="3" s="1"/>
  <c r="AC1403" i="3"/>
  <c r="N1403" i="3" s="1"/>
  <c r="T1403" i="3" s="1"/>
  <c r="AC1404" i="3"/>
  <c r="N1404" i="3" s="1"/>
  <c r="AC1405" i="3"/>
  <c r="N1405" i="3" s="1"/>
  <c r="T1405" i="3" s="1"/>
  <c r="AC1406" i="3"/>
  <c r="N1406" i="3" s="1"/>
  <c r="AC1407" i="3"/>
  <c r="N1407" i="3" s="1"/>
  <c r="T1407" i="3" s="1"/>
  <c r="AC1408" i="3"/>
  <c r="N1408" i="3" s="1"/>
  <c r="AC1409" i="3"/>
  <c r="N1409" i="3" s="1"/>
  <c r="T1409" i="3" s="1"/>
  <c r="AC1410" i="3"/>
  <c r="N1410" i="3" s="1"/>
  <c r="AC1411" i="3"/>
  <c r="N1411" i="3" s="1"/>
  <c r="T1411" i="3" s="1"/>
  <c r="AC1412" i="3"/>
  <c r="N1412" i="3" s="1"/>
  <c r="AC1413" i="3"/>
  <c r="N1413" i="3" s="1"/>
  <c r="S1413" i="3" s="1"/>
  <c r="Z1413" i="3" s="1"/>
  <c r="AC1414" i="3"/>
  <c r="N1414" i="3" s="1"/>
  <c r="AC1415" i="3"/>
  <c r="N1415" i="3" s="1"/>
  <c r="T1415" i="3" s="1"/>
  <c r="AC1416" i="3"/>
  <c r="N1416" i="3" s="1"/>
  <c r="AC1417" i="3"/>
  <c r="N1417" i="3" s="1"/>
  <c r="T1417" i="3" s="1"/>
  <c r="AC1418" i="3"/>
  <c r="N1418" i="3" s="1"/>
  <c r="AC1419" i="3"/>
  <c r="N1419" i="3" s="1"/>
  <c r="T1419" i="3" s="1"/>
  <c r="AC1420" i="3"/>
  <c r="N1420" i="3" s="1"/>
  <c r="AC1421" i="3"/>
  <c r="N1421" i="3" s="1"/>
  <c r="T1421" i="3" s="1"/>
  <c r="AC1422" i="3"/>
  <c r="N1422" i="3" s="1"/>
  <c r="AC1423" i="3"/>
  <c r="N1423" i="3" s="1"/>
  <c r="Y1423" i="3" s="1"/>
  <c r="AK1402" i="3"/>
  <c r="AK1403" i="3"/>
  <c r="AK1404" i="3"/>
  <c r="AK1405" i="3"/>
  <c r="AK1406" i="3"/>
  <c r="AK1407" i="3"/>
  <c r="AK1408" i="3"/>
  <c r="AK1409" i="3"/>
  <c r="AK1410" i="3"/>
  <c r="AK1411" i="3"/>
  <c r="AK1412" i="3"/>
  <c r="AK1413" i="3"/>
  <c r="AK1414" i="3"/>
  <c r="AK1415" i="3"/>
  <c r="AK1416" i="3"/>
  <c r="AK1417" i="3"/>
  <c r="AK1418" i="3"/>
  <c r="AK1419" i="3"/>
  <c r="AK1420" i="3"/>
  <c r="AK1421" i="3"/>
  <c r="AK1422" i="3"/>
  <c r="AK1423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T1388" i="3"/>
  <c r="U1388" i="3"/>
  <c r="V1388" i="3"/>
  <c r="W1388" i="3"/>
  <c r="X1388" i="3"/>
  <c r="AA1388" i="3"/>
  <c r="AA1389" i="3"/>
  <c r="AA1390" i="3"/>
  <c r="AA1391" i="3"/>
  <c r="AA1392" i="3"/>
  <c r="AA1393" i="3"/>
  <c r="AA1394" i="3"/>
  <c r="AA1395" i="3"/>
  <c r="AA1396" i="3"/>
  <c r="AA1397" i="3"/>
  <c r="AA1398" i="3"/>
  <c r="AA1399" i="3"/>
  <c r="AA1400" i="3"/>
  <c r="AA1401" i="3"/>
  <c r="AB1388" i="3"/>
  <c r="O1388" i="3" s="1"/>
  <c r="Y1388" i="3" s="1"/>
  <c r="AB1389" i="3"/>
  <c r="O1389" i="3" s="1"/>
  <c r="AB1390" i="3"/>
  <c r="O1390" i="3" s="1"/>
  <c r="AB1391" i="3"/>
  <c r="O1391" i="3" s="1"/>
  <c r="AB1392" i="3"/>
  <c r="O1392" i="3" s="1"/>
  <c r="AB1393" i="3"/>
  <c r="O1393" i="3" s="1"/>
  <c r="AB1394" i="3"/>
  <c r="O1394" i="3" s="1"/>
  <c r="AB1395" i="3"/>
  <c r="O1395" i="3" s="1"/>
  <c r="AB1396" i="3"/>
  <c r="O1396" i="3" s="1"/>
  <c r="AB1397" i="3"/>
  <c r="O1397" i="3" s="1"/>
  <c r="AB1398" i="3"/>
  <c r="O1398" i="3" s="1"/>
  <c r="AB1399" i="3"/>
  <c r="O1399" i="3" s="1"/>
  <c r="AB1400" i="3"/>
  <c r="O1400" i="3" s="1"/>
  <c r="AB1401" i="3"/>
  <c r="O1401" i="3" s="1"/>
  <c r="AC1388" i="3"/>
  <c r="N1388" i="3" s="1"/>
  <c r="S1388" i="3" s="1"/>
  <c r="AC1389" i="3"/>
  <c r="N1389" i="3" s="1"/>
  <c r="AC1390" i="3"/>
  <c r="N1390" i="3" s="1"/>
  <c r="AC1391" i="3"/>
  <c r="N1391" i="3" s="1"/>
  <c r="AC1392" i="3"/>
  <c r="N1392" i="3" s="1"/>
  <c r="AC1393" i="3"/>
  <c r="N1393" i="3" s="1"/>
  <c r="AC1394" i="3"/>
  <c r="N1394" i="3" s="1"/>
  <c r="AC1395" i="3"/>
  <c r="N1395" i="3" s="1"/>
  <c r="AC1396" i="3"/>
  <c r="N1396" i="3" s="1"/>
  <c r="AC1397" i="3"/>
  <c r="N1397" i="3" s="1"/>
  <c r="AC1398" i="3"/>
  <c r="N1398" i="3" s="1"/>
  <c r="AC1399" i="3"/>
  <c r="N1399" i="3" s="1"/>
  <c r="AC1400" i="3"/>
  <c r="N1400" i="3" s="1"/>
  <c r="AC1401" i="3"/>
  <c r="N1401" i="3" s="1"/>
  <c r="AK1388" i="3"/>
  <c r="AK1389" i="3"/>
  <c r="AK1390" i="3"/>
  <c r="AK1391" i="3"/>
  <c r="AK1392" i="3"/>
  <c r="AK1393" i="3"/>
  <c r="AK1394" i="3"/>
  <c r="AK1395" i="3"/>
  <c r="AK1396" i="3"/>
  <c r="AK1397" i="3"/>
  <c r="AK1398" i="3"/>
  <c r="AK1399" i="3"/>
  <c r="AK1400" i="3"/>
  <c r="AK1401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8" i="3"/>
  <c r="S1379" i="3"/>
  <c r="S1380" i="3"/>
  <c r="S1381" i="3"/>
  <c r="S1382" i="3"/>
  <c r="S1383" i="3"/>
  <c r="S1384" i="3"/>
  <c r="S1385" i="3"/>
  <c r="S1386" i="3"/>
  <c r="S1387" i="3"/>
  <c r="T1363" i="3"/>
  <c r="T1377" i="3"/>
  <c r="U1363" i="3"/>
  <c r="U1377" i="3"/>
  <c r="V1363" i="3"/>
  <c r="V1377" i="3"/>
  <c r="W1363" i="3"/>
  <c r="W1377" i="3"/>
  <c r="X1363" i="3"/>
  <c r="X1377" i="3"/>
  <c r="AA1363" i="3"/>
  <c r="AA1364" i="3"/>
  <c r="AA1365" i="3"/>
  <c r="AA1366" i="3"/>
  <c r="AA1367" i="3"/>
  <c r="AA1368" i="3"/>
  <c r="AA1369" i="3"/>
  <c r="AA1370" i="3"/>
  <c r="AA1371" i="3"/>
  <c r="AA1372" i="3"/>
  <c r="AA1373" i="3"/>
  <c r="AA1374" i="3"/>
  <c r="AA1375" i="3"/>
  <c r="AA1376" i="3"/>
  <c r="AA1377" i="3"/>
  <c r="AA1378" i="3"/>
  <c r="AA1379" i="3"/>
  <c r="AA1380" i="3"/>
  <c r="AA1381" i="3"/>
  <c r="AA1382" i="3"/>
  <c r="AA1383" i="3"/>
  <c r="AA1384" i="3"/>
  <c r="AA1385" i="3"/>
  <c r="AA1386" i="3"/>
  <c r="AA1387" i="3"/>
  <c r="AB1363" i="3"/>
  <c r="O1363" i="3" s="1"/>
  <c r="Y1363" i="3" s="1"/>
  <c r="AB1364" i="3"/>
  <c r="O1364" i="3" s="1"/>
  <c r="AB1365" i="3"/>
  <c r="O1365" i="3" s="1"/>
  <c r="AB1366" i="3"/>
  <c r="O1366" i="3" s="1"/>
  <c r="AB1367" i="3"/>
  <c r="O1367" i="3" s="1"/>
  <c r="AB1368" i="3"/>
  <c r="O1368" i="3" s="1"/>
  <c r="AB1369" i="3"/>
  <c r="O1369" i="3" s="1"/>
  <c r="AB1370" i="3"/>
  <c r="O1370" i="3" s="1"/>
  <c r="AB1371" i="3"/>
  <c r="O1371" i="3" s="1"/>
  <c r="AB1372" i="3"/>
  <c r="O1372" i="3" s="1"/>
  <c r="AB1373" i="3"/>
  <c r="O1373" i="3" s="1"/>
  <c r="AB1374" i="3"/>
  <c r="O1374" i="3" s="1"/>
  <c r="AB1375" i="3"/>
  <c r="O1375" i="3" s="1"/>
  <c r="AB1376" i="3"/>
  <c r="O1376" i="3" s="1"/>
  <c r="AB1377" i="3"/>
  <c r="O1377" i="3" s="1"/>
  <c r="Y1377" i="3" s="1"/>
  <c r="AB1378" i="3"/>
  <c r="O1378" i="3" s="1"/>
  <c r="AB1379" i="3"/>
  <c r="O1379" i="3" s="1"/>
  <c r="AB1380" i="3"/>
  <c r="O1380" i="3" s="1"/>
  <c r="AB1381" i="3"/>
  <c r="O1381" i="3" s="1"/>
  <c r="AB1382" i="3"/>
  <c r="O1382" i="3" s="1"/>
  <c r="AB1383" i="3"/>
  <c r="O1383" i="3" s="1"/>
  <c r="AB1384" i="3"/>
  <c r="O1384" i="3" s="1"/>
  <c r="AB1385" i="3"/>
  <c r="O1385" i="3" s="1"/>
  <c r="AB1386" i="3"/>
  <c r="O1386" i="3" s="1"/>
  <c r="AB1387" i="3"/>
  <c r="O1387" i="3" s="1"/>
  <c r="AC1363" i="3"/>
  <c r="N1363" i="3" s="1"/>
  <c r="AC1364" i="3"/>
  <c r="N1364" i="3" s="1"/>
  <c r="AC1365" i="3"/>
  <c r="N1365" i="3" s="1"/>
  <c r="AC1366" i="3"/>
  <c r="N1366" i="3" s="1"/>
  <c r="AC1367" i="3"/>
  <c r="N1367" i="3" s="1"/>
  <c r="AC1368" i="3"/>
  <c r="N1368" i="3" s="1"/>
  <c r="AC1369" i="3"/>
  <c r="N1369" i="3" s="1"/>
  <c r="AC1370" i="3"/>
  <c r="N1370" i="3" s="1"/>
  <c r="AC1371" i="3"/>
  <c r="N1371" i="3" s="1"/>
  <c r="AC1372" i="3"/>
  <c r="N1372" i="3" s="1"/>
  <c r="AC1373" i="3"/>
  <c r="N1373" i="3" s="1"/>
  <c r="AC1374" i="3"/>
  <c r="N1374" i="3" s="1"/>
  <c r="AC1375" i="3"/>
  <c r="N1375" i="3" s="1"/>
  <c r="AC1376" i="3"/>
  <c r="N1376" i="3" s="1"/>
  <c r="AC1377" i="3"/>
  <c r="N1377" i="3" s="1"/>
  <c r="AC1378" i="3"/>
  <c r="N1378" i="3" s="1"/>
  <c r="AC1379" i="3"/>
  <c r="N1379" i="3" s="1"/>
  <c r="AC1380" i="3"/>
  <c r="N1380" i="3" s="1"/>
  <c r="AC1381" i="3"/>
  <c r="N1381" i="3" s="1"/>
  <c r="AC1382" i="3"/>
  <c r="N1382" i="3" s="1"/>
  <c r="AC1383" i="3"/>
  <c r="N1383" i="3" s="1"/>
  <c r="AC1384" i="3"/>
  <c r="N1384" i="3" s="1"/>
  <c r="AC1385" i="3"/>
  <c r="N1385" i="3" s="1"/>
  <c r="AC1386" i="3"/>
  <c r="N1386" i="3" s="1"/>
  <c r="AC1387" i="3"/>
  <c r="N1387" i="3" s="1"/>
  <c r="AK1363" i="3"/>
  <c r="AK1364" i="3"/>
  <c r="AK1365" i="3"/>
  <c r="AK1366" i="3"/>
  <c r="AK1367" i="3"/>
  <c r="AK1368" i="3"/>
  <c r="AK1369" i="3"/>
  <c r="AK1370" i="3"/>
  <c r="AK1371" i="3"/>
  <c r="AK1372" i="3"/>
  <c r="AK1373" i="3"/>
  <c r="AK1374" i="3"/>
  <c r="AK1375" i="3"/>
  <c r="AK1376" i="3"/>
  <c r="AK1377" i="3"/>
  <c r="AK1378" i="3"/>
  <c r="AK1379" i="3"/>
  <c r="AK1380" i="3"/>
  <c r="AK1381" i="3"/>
  <c r="AK1382" i="3"/>
  <c r="AK1383" i="3"/>
  <c r="AK1384" i="3"/>
  <c r="AK1385" i="3"/>
  <c r="AK1386" i="3"/>
  <c r="AK1387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S1342" i="3"/>
  <c r="S1343" i="3"/>
  <c r="S1344" i="3"/>
  <c r="S1345" i="3"/>
  <c r="S1346" i="3"/>
  <c r="S1347" i="3"/>
  <c r="S1348" i="3"/>
  <c r="S1349" i="3"/>
  <c r="S1350" i="3"/>
  <c r="S1351" i="3"/>
  <c r="S1353" i="3"/>
  <c r="S1354" i="3"/>
  <c r="S1355" i="3"/>
  <c r="S1356" i="3"/>
  <c r="S1357" i="3"/>
  <c r="S1358" i="3"/>
  <c r="S1359" i="3"/>
  <c r="S1360" i="3"/>
  <c r="S1361" i="3"/>
  <c r="S1362" i="3"/>
  <c r="T1341" i="3"/>
  <c r="T1352" i="3"/>
  <c r="U1341" i="3"/>
  <c r="U1352" i="3"/>
  <c r="V1341" i="3"/>
  <c r="V1352" i="3"/>
  <c r="W1341" i="3"/>
  <c r="W1352" i="3"/>
  <c r="X1341" i="3"/>
  <c r="X1352" i="3"/>
  <c r="AA1341" i="3"/>
  <c r="AA1342" i="3"/>
  <c r="AA1343" i="3"/>
  <c r="AA1344" i="3"/>
  <c r="AA1345" i="3"/>
  <c r="AA1346" i="3"/>
  <c r="AA1347" i="3"/>
  <c r="AA1348" i="3"/>
  <c r="AA1349" i="3"/>
  <c r="AA1350" i="3"/>
  <c r="AA1351" i="3"/>
  <c r="AA1352" i="3"/>
  <c r="AA1353" i="3"/>
  <c r="AA1354" i="3"/>
  <c r="AA1355" i="3"/>
  <c r="AA1356" i="3"/>
  <c r="AA1357" i="3"/>
  <c r="AA1358" i="3"/>
  <c r="AA1359" i="3"/>
  <c r="AA1360" i="3"/>
  <c r="AA1361" i="3"/>
  <c r="AA1362" i="3"/>
  <c r="AB1341" i="3"/>
  <c r="O1341" i="3" s="1"/>
  <c r="Y1341" i="3" s="1"/>
  <c r="AB1342" i="3"/>
  <c r="O1342" i="3" s="1"/>
  <c r="AB1343" i="3"/>
  <c r="O1343" i="3" s="1"/>
  <c r="AB1344" i="3"/>
  <c r="O1344" i="3" s="1"/>
  <c r="AB1345" i="3"/>
  <c r="O1345" i="3" s="1"/>
  <c r="AB1346" i="3"/>
  <c r="O1346" i="3" s="1"/>
  <c r="AB1347" i="3"/>
  <c r="O1347" i="3" s="1"/>
  <c r="AB1348" i="3"/>
  <c r="O1348" i="3" s="1"/>
  <c r="AB1349" i="3"/>
  <c r="O1349" i="3" s="1"/>
  <c r="AB1350" i="3"/>
  <c r="O1350" i="3" s="1"/>
  <c r="AB1351" i="3"/>
  <c r="O1351" i="3" s="1"/>
  <c r="AB1352" i="3"/>
  <c r="O1352" i="3" s="1"/>
  <c r="AB1353" i="3"/>
  <c r="O1353" i="3" s="1"/>
  <c r="AB1354" i="3"/>
  <c r="O1354" i="3" s="1"/>
  <c r="AB1355" i="3"/>
  <c r="O1355" i="3" s="1"/>
  <c r="AB1356" i="3"/>
  <c r="O1356" i="3" s="1"/>
  <c r="AB1357" i="3"/>
  <c r="O1357" i="3" s="1"/>
  <c r="AB1358" i="3"/>
  <c r="O1358" i="3" s="1"/>
  <c r="AB1359" i="3"/>
  <c r="O1359" i="3" s="1"/>
  <c r="AB1360" i="3"/>
  <c r="O1360" i="3" s="1"/>
  <c r="AB1361" i="3"/>
  <c r="O1361" i="3" s="1"/>
  <c r="AB1362" i="3"/>
  <c r="O1362" i="3" s="1"/>
  <c r="AC1341" i="3"/>
  <c r="N1341" i="3" s="1"/>
  <c r="AC1342" i="3"/>
  <c r="N1342" i="3" s="1"/>
  <c r="AC1343" i="3"/>
  <c r="N1343" i="3" s="1"/>
  <c r="AC1344" i="3"/>
  <c r="N1344" i="3" s="1"/>
  <c r="AC1345" i="3"/>
  <c r="N1345" i="3" s="1"/>
  <c r="AC1346" i="3"/>
  <c r="N1346" i="3" s="1"/>
  <c r="AC1347" i="3"/>
  <c r="N1347" i="3" s="1"/>
  <c r="AC1348" i="3"/>
  <c r="N1348" i="3" s="1"/>
  <c r="AC1349" i="3"/>
  <c r="N1349" i="3" s="1"/>
  <c r="AC1350" i="3"/>
  <c r="N1350" i="3" s="1"/>
  <c r="AC1351" i="3"/>
  <c r="N1351" i="3" s="1"/>
  <c r="AC1352" i="3"/>
  <c r="N1352" i="3" s="1"/>
  <c r="AC1353" i="3"/>
  <c r="N1353" i="3" s="1"/>
  <c r="AC1354" i="3"/>
  <c r="N1354" i="3" s="1"/>
  <c r="AC1355" i="3"/>
  <c r="N1355" i="3" s="1"/>
  <c r="AC1356" i="3"/>
  <c r="N1356" i="3" s="1"/>
  <c r="AC1357" i="3"/>
  <c r="N1357" i="3" s="1"/>
  <c r="AC1358" i="3"/>
  <c r="N1358" i="3" s="1"/>
  <c r="AC1359" i="3"/>
  <c r="N1359" i="3" s="1"/>
  <c r="AC1360" i="3"/>
  <c r="N1360" i="3" s="1"/>
  <c r="AC1361" i="3"/>
  <c r="N1361" i="3" s="1"/>
  <c r="AC1362" i="3"/>
  <c r="N1362" i="3" s="1"/>
  <c r="AK1341" i="3"/>
  <c r="AK1342" i="3"/>
  <c r="AK1343" i="3"/>
  <c r="AK1344" i="3"/>
  <c r="AK1345" i="3"/>
  <c r="AK1346" i="3"/>
  <c r="AK1347" i="3"/>
  <c r="AK1348" i="3"/>
  <c r="AK1349" i="3"/>
  <c r="AK1350" i="3"/>
  <c r="AK1351" i="3"/>
  <c r="AK1352" i="3"/>
  <c r="AK1353" i="3"/>
  <c r="AK1354" i="3"/>
  <c r="AK1355" i="3"/>
  <c r="AK1356" i="3"/>
  <c r="AK1357" i="3"/>
  <c r="AK1358" i="3"/>
  <c r="AK1359" i="3"/>
  <c r="AK1360" i="3"/>
  <c r="AK1361" i="3"/>
  <c r="AK1362" i="3"/>
  <c r="Z1425" i="3" l="1"/>
  <c r="Z1427" i="3"/>
  <c r="Z1429" i="3"/>
  <c r="Z1431" i="3"/>
  <c r="Z1433" i="3"/>
  <c r="Z1439" i="3"/>
  <c r="Z1445" i="3"/>
  <c r="Z1437" i="3"/>
  <c r="Z1441" i="3"/>
  <c r="Z1443" i="3"/>
  <c r="Z1426" i="3"/>
  <c r="Z1428" i="3"/>
  <c r="Z1430" i="3"/>
  <c r="Z1432" i="3"/>
  <c r="Z1434" i="3"/>
  <c r="Z1436" i="3"/>
  <c r="Z1438" i="3"/>
  <c r="Z1440" i="3"/>
  <c r="Z1442" i="3"/>
  <c r="Z1444" i="3"/>
  <c r="Z1388" i="3"/>
  <c r="S1341" i="3"/>
  <c r="Z1341" i="3" s="1"/>
  <c r="Y1421" i="3"/>
  <c r="Y1417" i="3"/>
  <c r="Y1409" i="3"/>
  <c r="Y1405" i="3"/>
  <c r="X1423" i="3"/>
  <c r="X1419" i="3"/>
  <c r="X1415" i="3"/>
  <c r="X1411" i="3"/>
  <c r="X1407" i="3"/>
  <c r="X1403" i="3"/>
  <c r="W1423" i="3"/>
  <c r="W1419" i="3"/>
  <c r="W1415" i="3"/>
  <c r="W1411" i="3"/>
  <c r="W1407" i="3"/>
  <c r="W1403" i="3"/>
  <c r="V1423" i="3"/>
  <c r="V1419" i="3"/>
  <c r="V1415" i="3"/>
  <c r="V1411" i="3"/>
  <c r="V1407" i="3"/>
  <c r="V1403" i="3"/>
  <c r="U1423" i="3"/>
  <c r="U1419" i="3"/>
  <c r="Z1419" i="3" s="1"/>
  <c r="U1415" i="3"/>
  <c r="Z1415" i="3" s="1"/>
  <c r="U1411" i="3"/>
  <c r="Z1411" i="3" s="1"/>
  <c r="U1407" i="3"/>
  <c r="U1403" i="3"/>
  <c r="T1423" i="3"/>
  <c r="T1422" i="3"/>
  <c r="U1422" i="3"/>
  <c r="V1422" i="3"/>
  <c r="W1422" i="3"/>
  <c r="X1422" i="3"/>
  <c r="Y1422" i="3"/>
  <c r="T1420" i="3"/>
  <c r="U1420" i="3"/>
  <c r="V1420" i="3"/>
  <c r="W1420" i="3"/>
  <c r="X1420" i="3"/>
  <c r="Y1420" i="3"/>
  <c r="T1418" i="3"/>
  <c r="U1418" i="3"/>
  <c r="V1418" i="3"/>
  <c r="W1418" i="3"/>
  <c r="X1418" i="3"/>
  <c r="Y1418" i="3"/>
  <c r="T1416" i="3"/>
  <c r="U1416" i="3"/>
  <c r="V1416" i="3"/>
  <c r="W1416" i="3"/>
  <c r="X1416" i="3"/>
  <c r="Y1416" i="3"/>
  <c r="T1414" i="3"/>
  <c r="U1414" i="3"/>
  <c r="V1414" i="3"/>
  <c r="W1414" i="3"/>
  <c r="X1414" i="3"/>
  <c r="Y1414" i="3"/>
  <c r="T1412" i="3"/>
  <c r="U1412" i="3"/>
  <c r="V1412" i="3"/>
  <c r="W1412" i="3"/>
  <c r="X1412" i="3"/>
  <c r="Y1412" i="3"/>
  <c r="T1410" i="3"/>
  <c r="U1410" i="3"/>
  <c r="V1410" i="3"/>
  <c r="W1410" i="3"/>
  <c r="X1410" i="3"/>
  <c r="Y1410" i="3"/>
  <c r="T1408" i="3"/>
  <c r="U1408" i="3"/>
  <c r="V1408" i="3"/>
  <c r="W1408" i="3"/>
  <c r="X1408" i="3"/>
  <c r="Y1408" i="3"/>
  <c r="T1406" i="3"/>
  <c r="U1406" i="3"/>
  <c r="V1406" i="3"/>
  <c r="W1406" i="3"/>
  <c r="X1406" i="3"/>
  <c r="Y1406" i="3"/>
  <c r="T1404" i="3"/>
  <c r="U1404" i="3"/>
  <c r="V1404" i="3"/>
  <c r="W1404" i="3"/>
  <c r="X1404" i="3"/>
  <c r="Y1404" i="3"/>
  <c r="Y1419" i="3"/>
  <c r="Y1415" i="3"/>
  <c r="Y1411" i="3"/>
  <c r="Y1407" i="3"/>
  <c r="Y1403" i="3"/>
  <c r="X1421" i="3"/>
  <c r="X1417" i="3"/>
  <c r="X1409" i="3"/>
  <c r="X1405" i="3"/>
  <c r="W1421" i="3"/>
  <c r="W1417" i="3"/>
  <c r="W1409" i="3"/>
  <c r="W1405" i="3"/>
  <c r="V1421" i="3"/>
  <c r="V1417" i="3"/>
  <c r="V1409" i="3"/>
  <c r="V1405" i="3"/>
  <c r="U1421" i="3"/>
  <c r="Z1421" i="3" s="1"/>
  <c r="U1417" i="3"/>
  <c r="Z1417" i="3" s="1"/>
  <c r="U1409" i="3"/>
  <c r="Z1409" i="3" s="1"/>
  <c r="U1405" i="3"/>
  <c r="T1401" i="3"/>
  <c r="U1401" i="3"/>
  <c r="V1401" i="3"/>
  <c r="W1401" i="3"/>
  <c r="X1401" i="3"/>
  <c r="Y1401" i="3"/>
  <c r="T1399" i="3"/>
  <c r="U1399" i="3"/>
  <c r="V1399" i="3"/>
  <c r="W1399" i="3"/>
  <c r="X1399" i="3"/>
  <c r="Y1399" i="3"/>
  <c r="T1397" i="3"/>
  <c r="U1397" i="3"/>
  <c r="V1397" i="3"/>
  <c r="W1397" i="3"/>
  <c r="X1397" i="3"/>
  <c r="Y1397" i="3"/>
  <c r="T1395" i="3"/>
  <c r="U1395" i="3"/>
  <c r="V1395" i="3"/>
  <c r="W1395" i="3"/>
  <c r="X1395" i="3"/>
  <c r="Y1395" i="3"/>
  <c r="T1393" i="3"/>
  <c r="U1393" i="3"/>
  <c r="V1393" i="3"/>
  <c r="W1393" i="3"/>
  <c r="X1393" i="3"/>
  <c r="Y1393" i="3"/>
  <c r="T1391" i="3"/>
  <c r="U1391" i="3"/>
  <c r="V1391" i="3"/>
  <c r="W1391" i="3"/>
  <c r="X1391" i="3"/>
  <c r="Y1391" i="3"/>
  <c r="T1389" i="3"/>
  <c r="U1389" i="3"/>
  <c r="V1389" i="3"/>
  <c r="W1389" i="3"/>
  <c r="X1389" i="3"/>
  <c r="Y1389" i="3"/>
  <c r="T1400" i="3"/>
  <c r="U1400" i="3"/>
  <c r="V1400" i="3"/>
  <c r="W1400" i="3"/>
  <c r="X1400" i="3"/>
  <c r="Y1400" i="3"/>
  <c r="T1398" i="3"/>
  <c r="U1398" i="3"/>
  <c r="V1398" i="3"/>
  <c r="W1398" i="3"/>
  <c r="X1398" i="3"/>
  <c r="Y1398" i="3"/>
  <c r="T1396" i="3"/>
  <c r="U1396" i="3"/>
  <c r="V1396" i="3"/>
  <c r="W1396" i="3"/>
  <c r="X1396" i="3"/>
  <c r="Y1396" i="3"/>
  <c r="T1394" i="3"/>
  <c r="U1394" i="3"/>
  <c r="V1394" i="3"/>
  <c r="W1394" i="3"/>
  <c r="X1394" i="3"/>
  <c r="Y1394" i="3"/>
  <c r="T1392" i="3"/>
  <c r="U1392" i="3"/>
  <c r="V1392" i="3"/>
  <c r="W1392" i="3"/>
  <c r="X1392" i="3"/>
  <c r="Y1392" i="3"/>
  <c r="T1390" i="3"/>
  <c r="U1390" i="3"/>
  <c r="V1390" i="3"/>
  <c r="W1390" i="3"/>
  <c r="X1390" i="3"/>
  <c r="Y1390" i="3"/>
  <c r="S1352" i="3"/>
  <c r="Z1352" i="3" s="1"/>
  <c r="Y1352" i="3"/>
  <c r="Y1367" i="3"/>
  <c r="T1386" i="3"/>
  <c r="V1386" i="3"/>
  <c r="X1386" i="3"/>
  <c r="U1386" i="3"/>
  <c r="W1386" i="3"/>
  <c r="T1384" i="3"/>
  <c r="V1384" i="3"/>
  <c r="X1384" i="3"/>
  <c r="U1384" i="3"/>
  <c r="W1384" i="3"/>
  <c r="T1382" i="3"/>
  <c r="V1382" i="3"/>
  <c r="X1382" i="3"/>
  <c r="U1382" i="3"/>
  <c r="W1382" i="3"/>
  <c r="T1380" i="3"/>
  <c r="V1380" i="3"/>
  <c r="X1380" i="3"/>
  <c r="U1380" i="3"/>
  <c r="W1380" i="3"/>
  <c r="T1378" i="3"/>
  <c r="V1378" i="3"/>
  <c r="X1378" i="3"/>
  <c r="U1378" i="3"/>
  <c r="W1378" i="3"/>
  <c r="T1376" i="3"/>
  <c r="V1376" i="3"/>
  <c r="X1376" i="3"/>
  <c r="U1376" i="3"/>
  <c r="W1376" i="3"/>
  <c r="T1374" i="3"/>
  <c r="V1374" i="3"/>
  <c r="X1374" i="3"/>
  <c r="U1374" i="3"/>
  <c r="W1374" i="3"/>
  <c r="T1372" i="3"/>
  <c r="V1372" i="3"/>
  <c r="X1372" i="3"/>
  <c r="U1372" i="3"/>
  <c r="W1372" i="3"/>
  <c r="T1370" i="3"/>
  <c r="V1370" i="3"/>
  <c r="X1370" i="3"/>
  <c r="U1370" i="3"/>
  <c r="W1370" i="3"/>
  <c r="T1368" i="3"/>
  <c r="V1368" i="3"/>
  <c r="X1368" i="3"/>
  <c r="U1368" i="3"/>
  <c r="W1368" i="3"/>
  <c r="Y1368" i="3"/>
  <c r="T1366" i="3"/>
  <c r="V1366" i="3"/>
  <c r="X1366" i="3"/>
  <c r="U1366" i="3"/>
  <c r="W1366" i="3"/>
  <c r="Y1366" i="3"/>
  <c r="T1364" i="3"/>
  <c r="V1364" i="3"/>
  <c r="X1364" i="3"/>
  <c r="U1364" i="3"/>
  <c r="W1364" i="3"/>
  <c r="Y1364" i="3"/>
  <c r="Y1386" i="3"/>
  <c r="Y1384" i="3"/>
  <c r="Y1382" i="3"/>
  <c r="Y1380" i="3"/>
  <c r="Y1378" i="3"/>
  <c r="Y1376" i="3"/>
  <c r="Y1374" i="3"/>
  <c r="Y1372" i="3"/>
  <c r="Y1370" i="3"/>
  <c r="U1387" i="3"/>
  <c r="W1387" i="3"/>
  <c r="T1387" i="3"/>
  <c r="V1387" i="3"/>
  <c r="X1387" i="3"/>
  <c r="U1385" i="3"/>
  <c r="W1385" i="3"/>
  <c r="T1385" i="3"/>
  <c r="V1385" i="3"/>
  <c r="X1385" i="3"/>
  <c r="U1383" i="3"/>
  <c r="W1383" i="3"/>
  <c r="T1383" i="3"/>
  <c r="V1383" i="3"/>
  <c r="X1383" i="3"/>
  <c r="U1381" i="3"/>
  <c r="W1381" i="3"/>
  <c r="T1381" i="3"/>
  <c r="V1381" i="3"/>
  <c r="X1381" i="3"/>
  <c r="U1379" i="3"/>
  <c r="W1379" i="3"/>
  <c r="T1379" i="3"/>
  <c r="V1379" i="3"/>
  <c r="X1379" i="3"/>
  <c r="S1377" i="3"/>
  <c r="Z1377" i="3" s="1"/>
  <c r="U1375" i="3"/>
  <c r="W1375" i="3"/>
  <c r="T1375" i="3"/>
  <c r="V1375" i="3"/>
  <c r="X1375" i="3"/>
  <c r="U1373" i="3"/>
  <c r="W1373" i="3"/>
  <c r="T1373" i="3"/>
  <c r="V1373" i="3"/>
  <c r="X1373" i="3"/>
  <c r="U1371" i="3"/>
  <c r="W1371" i="3"/>
  <c r="T1371" i="3"/>
  <c r="V1371" i="3"/>
  <c r="X1371" i="3"/>
  <c r="U1369" i="3"/>
  <c r="W1369" i="3"/>
  <c r="T1369" i="3"/>
  <c r="V1369" i="3"/>
  <c r="X1369" i="3"/>
  <c r="U1367" i="3"/>
  <c r="W1367" i="3"/>
  <c r="T1367" i="3"/>
  <c r="V1367" i="3"/>
  <c r="X1367" i="3"/>
  <c r="U1365" i="3"/>
  <c r="W1365" i="3"/>
  <c r="T1365" i="3"/>
  <c r="V1365" i="3"/>
  <c r="X1365" i="3"/>
  <c r="S1363" i="3"/>
  <c r="Z1363" i="3" s="1"/>
  <c r="Y1387" i="3"/>
  <c r="Y1385" i="3"/>
  <c r="Y1383" i="3"/>
  <c r="Y1381" i="3"/>
  <c r="Y1379" i="3"/>
  <c r="Y1375" i="3"/>
  <c r="Y1373" i="3"/>
  <c r="Y1371" i="3"/>
  <c r="Y1369" i="3"/>
  <c r="Y1365" i="3"/>
  <c r="T1361" i="3"/>
  <c r="U1361" i="3"/>
  <c r="V1361" i="3"/>
  <c r="W1361" i="3"/>
  <c r="X1361" i="3"/>
  <c r="Y1361" i="3"/>
  <c r="T1359" i="3"/>
  <c r="U1359" i="3"/>
  <c r="V1359" i="3"/>
  <c r="W1359" i="3"/>
  <c r="X1359" i="3"/>
  <c r="Y1359" i="3"/>
  <c r="T1357" i="3"/>
  <c r="U1357" i="3"/>
  <c r="V1357" i="3"/>
  <c r="W1357" i="3"/>
  <c r="X1357" i="3"/>
  <c r="Y1357" i="3"/>
  <c r="T1355" i="3"/>
  <c r="U1355" i="3"/>
  <c r="V1355" i="3"/>
  <c r="W1355" i="3"/>
  <c r="X1355" i="3"/>
  <c r="Y1355" i="3"/>
  <c r="T1353" i="3"/>
  <c r="U1353" i="3"/>
  <c r="V1353" i="3"/>
  <c r="W1353" i="3"/>
  <c r="X1353" i="3"/>
  <c r="Y1353" i="3"/>
  <c r="T1351" i="3"/>
  <c r="U1351" i="3"/>
  <c r="V1351" i="3"/>
  <c r="W1351" i="3"/>
  <c r="X1351" i="3"/>
  <c r="Y1351" i="3"/>
  <c r="T1349" i="3"/>
  <c r="U1349" i="3"/>
  <c r="V1349" i="3"/>
  <c r="W1349" i="3"/>
  <c r="X1349" i="3"/>
  <c r="Y1349" i="3"/>
  <c r="T1347" i="3"/>
  <c r="U1347" i="3"/>
  <c r="V1347" i="3"/>
  <c r="W1347" i="3"/>
  <c r="X1347" i="3"/>
  <c r="Y1347" i="3"/>
  <c r="T1345" i="3"/>
  <c r="U1345" i="3"/>
  <c r="V1345" i="3"/>
  <c r="W1345" i="3"/>
  <c r="X1345" i="3"/>
  <c r="Y1345" i="3"/>
  <c r="T1343" i="3"/>
  <c r="U1343" i="3"/>
  <c r="V1343" i="3"/>
  <c r="W1343" i="3"/>
  <c r="X1343" i="3"/>
  <c r="Y1343" i="3"/>
  <c r="T1362" i="3"/>
  <c r="U1362" i="3"/>
  <c r="V1362" i="3"/>
  <c r="W1362" i="3"/>
  <c r="X1362" i="3"/>
  <c r="Y1362" i="3"/>
  <c r="T1360" i="3"/>
  <c r="U1360" i="3"/>
  <c r="V1360" i="3"/>
  <c r="W1360" i="3"/>
  <c r="X1360" i="3"/>
  <c r="Y1360" i="3"/>
  <c r="T1358" i="3"/>
  <c r="U1358" i="3"/>
  <c r="V1358" i="3"/>
  <c r="W1358" i="3"/>
  <c r="X1358" i="3"/>
  <c r="Y1358" i="3"/>
  <c r="T1356" i="3"/>
  <c r="U1356" i="3"/>
  <c r="V1356" i="3"/>
  <c r="W1356" i="3"/>
  <c r="X1356" i="3"/>
  <c r="Y1356" i="3"/>
  <c r="T1354" i="3"/>
  <c r="U1354" i="3"/>
  <c r="V1354" i="3"/>
  <c r="W1354" i="3"/>
  <c r="X1354" i="3"/>
  <c r="Y1354" i="3"/>
  <c r="T1350" i="3"/>
  <c r="U1350" i="3"/>
  <c r="V1350" i="3"/>
  <c r="W1350" i="3"/>
  <c r="X1350" i="3"/>
  <c r="Y1350" i="3"/>
  <c r="T1348" i="3"/>
  <c r="U1348" i="3"/>
  <c r="V1348" i="3"/>
  <c r="W1348" i="3"/>
  <c r="X1348" i="3"/>
  <c r="Y1348" i="3"/>
  <c r="T1346" i="3"/>
  <c r="U1346" i="3"/>
  <c r="V1346" i="3"/>
  <c r="W1346" i="3"/>
  <c r="X1346" i="3"/>
  <c r="Y1346" i="3"/>
  <c r="T1344" i="3"/>
  <c r="U1344" i="3"/>
  <c r="V1344" i="3"/>
  <c r="W1344" i="3"/>
  <c r="X1344" i="3"/>
  <c r="Y1344" i="3"/>
  <c r="T1342" i="3"/>
  <c r="U1342" i="3"/>
  <c r="V1342" i="3"/>
  <c r="W1342" i="3"/>
  <c r="X1342" i="3"/>
  <c r="Y1342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S1320" i="3"/>
  <c r="S1321" i="3"/>
  <c r="S1322" i="3"/>
  <c r="S1323" i="3"/>
  <c r="S1324" i="3"/>
  <c r="S1325" i="3"/>
  <c r="S1326" i="3"/>
  <c r="S1327" i="3"/>
  <c r="S1328" i="3"/>
  <c r="S1329" i="3"/>
  <c r="S1331" i="3"/>
  <c r="S1332" i="3"/>
  <c r="S1333" i="3"/>
  <c r="S1334" i="3"/>
  <c r="S1335" i="3"/>
  <c r="S1336" i="3"/>
  <c r="S1337" i="3"/>
  <c r="S1338" i="3"/>
  <c r="S1339" i="3"/>
  <c r="S1340" i="3"/>
  <c r="T1319" i="3"/>
  <c r="T1330" i="3"/>
  <c r="U1319" i="3"/>
  <c r="U1330" i="3"/>
  <c r="V1319" i="3"/>
  <c r="V1330" i="3"/>
  <c r="W1319" i="3"/>
  <c r="W1330" i="3"/>
  <c r="X1319" i="3"/>
  <c r="X1330" i="3"/>
  <c r="AA1319" i="3"/>
  <c r="AA1320" i="3"/>
  <c r="AA1321" i="3"/>
  <c r="AA1322" i="3"/>
  <c r="AA1323" i="3"/>
  <c r="AA1324" i="3"/>
  <c r="AA1325" i="3"/>
  <c r="AA1326" i="3"/>
  <c r="AA1327" i="3"/>
  <c r="AA1328" i="3"/>
  <c r="AA1329" i="3"/>
  <c r="AA1330" i="3"/>
  <c r="AA1331" i="3"/>
  <c r="AA1332" i="3"/>
  <c r="AA1333" i="3"/>
  <c r="AA1334" i="3"/>
  <c r="AA1335" i="3"/>
  <c r="AA1336" i="3"/>
  <c r="AA1337" i="3"/>
  <c r="AA1338" i="3"/>
  <c r="AA1339" i="3"/>
  <c r="AA1340" i="3"/>
  <c r="AB1319" i="3"/>
  <c r="O1319" i="3" s="1"/>
  <c r="Y1319" i="3" s="1"/>
  <c r="AB1320" i="3"/>
  <c r="O1320" i="3" s="1"/>
  <c r="AB1321" i="3"/>
  <c r="O1321" i="3" s="1"/>
  <c r="AB1322" i="3"/>
  <c r="O1322" i="3" s="1"/>
  <c r="AB1323" i="3"/>
  <c r="O1323" i="3" s="1"/>
  <c r="AB1324" i="3"/>
  <c r="O1324" i="3" s="1"/>
  <c r="AB1325" i="3"/>
  <c r="O1325" i="3" s="1"/>
  <c r="AB1326" i="3"/>
  <c r="O1326" i="3" s="1"/>
  <c r="AB1327" i="3"/>
  <c r="O1327" i="3" s="1"/>
  <c r="AB1328" i="3"/>
  <c r="O1328" i="3" s="1"/>
  <c r="AB1329" i="3"/>
  <c r="O1329" i="3" s="1"/>
  <c r="AB1330" i="3"/>
  <c r="O1330" i="3" s="1"/>
  <c r="Y1330" i="3" s="1"/>
  <c r="AB1331" i="3"/>
  <c r="O1331" i="3" s="1"/>
  <c r="AB1332" i="3"/>
  <c r="O1332" i="3" s="1"/>
  <c r="AB1333" i="3"/>
  <c r="O1333" i="3" s="1"/>
  <c r="AB1334" i="3"/>
  <c r="O1334" i="3" s="1"/>
  <c r="AB1335" i="3"/>
  <c r="O1335" i="3" s="1"/>
  <c r="AB1336" i="3"/>
  <c r="O1336" i="3" s="1"/>
  <c r="AB1337" i="3"/>
  <c r="O1337" i="3" s="1"/>
  <c r="AB1338" i="3"/>
  <c r="O1338" i="3" s="1"/>
  <c r="AB1339" i="3"/>
  <c r="O1339" i="3" s="1"/>
  <c r="AB1340" i="3"/>
  <c r="O1340" i="3" s="1"/>
  <c r="AC1319" i="3"/>
  <c r="N1319" i="3" s="1"/>
  <c r="S1319" i="3" s="1"/>
  <c r="Z1319" i="3" s="1"/>
  <c r="AC1320" i="3"/>
  <c r="N1320" i="3" s="1"/>
  <c r="AC1321" i="3"/>
  <c r="N1321" i="3" s="1"/>
  <c r="AC1322" i="3"/>
  <c r="N1322" i="3" s="1"/>
  <c r="AC1323" i="3"/>
  <c r="N1323" i="3" s="1"/>
  <c r="AC1324" i="3"/>
  <c r="N1324" i="3" s="1"/>
  <c r="AC1325" i="3"/>
  <c r="N1325" i="3" s="1"/>
  <c r="AC1326" i="3"/>
  <c r="N1326" i="3" s="1"/>
  <c r="AC1327" i="3"/>
  <c r="N1327" i="3" s="1"/>
  <c r="AC1328" i="3"/>
  <c r="N1328" i="3" s="1"/>
  <c r="AC1329" i="3"/>
  <c r="N1329" i="3" s="1"/>
  <c r="AC1330" i="3"/>
  <c r="N1330" i="3" s="1"/>
  <c r="S1330" i="3" s="1"/>
  <c r="AC1331" i="3"/>
  <c r="N1331" i="3" s="1"/>
  <c r="AC1332" i="3"/>
  <c r="N1332" i="3" s="1"/>
  <c r="AC1333" i="3"/>
  <c r="N1333" i="3" s="1"/>
  <c r="AC1334" i="3"/>
  <c r="N1334" i="3" s="1"/>
  <c r="AC1335" i="3"/>
  <c r="N1335" i="3" s="1"/>
  <c r="AC1336" i="3"/>
  <c r="N1336" i="3" s="1"/>
  <c r="AC1337" i="3"/>
  <c r="N1337" i="3" s="1"/>
  <c r="Y1337" i="3" s="1"/>
  <c r="AC1338" i="3"/>
  <c r="N1338" i="3" s="1"/>
  <c r="AC1339" i="3"/>
  <c r="N1339" i="3" s="1"/>
  <c r="AC1340" i="3"/>
  <c r="N1340" i="3" s="1"/>
  <c r="AK1319" i="3"/>
  <c r="AK1320" i="3"/>
  <c r="AK1321" i="3"/>
  <c r="AK1322" i="3"/>
  <c r="AK1323" i="3"/>
  <c r="AK1324" i="3"/>
  <c r="AK1325" i="3"/>
  <c r="AK1326" i="3"/>
  <c r="AK1327" i="3"/>
  <c r="AK1328" i="3"/>
  <c r="AK1329" i="3"/>
  <c r="AK1330" i="3"/>
  <c r="AK1331" i="3"/>
  <c r="AK1332" i="3"/>
  <c r="AK1333" i="3"/>
  <c r="AK1334" i="3"/>
  <c r="AK1335" i="3"/>
  <c r="AK1336" i="3"/>
  <c r="AK1337" i="3"/>
  <c r="AK1338" i="3"/>
  <c r="AK1339" i="3"/>
  <c r="AK1340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S1294" i="3"/>
  <c r="S1295" i="3"/>
  <c r="S1296" i="3"/>
  <c r="S1297" i="3"/>
  <c r="S1298" i="3"/>
  <c r="S1299" i="3"/>
  <c r="S1300" i="3"/>
  <c r="S1301" i="3"/>
  <c r="S1302" i="3"/>
  <c r="S1303" i="3"/>
  <c r="S1304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T1293" i="3"/>
  <c r="T1305" i="3"/>
  <c r="U1293" i="3"/>
  <c r="U1305" i="3"/>
  <c r="V1293" i="3"/>
  <c r="V1305" i="3"/>
  <c r="W1293" i="3"/>
  <c r="W1305" i="3"/>
  <c r="X1293" i="3"/>
  <c r="X1305" i="3"/>
  <c r="AA1293" i="3"/>
  <c r="AA1294" i="3"/>
  <c r="AA1295" i="3"/>
  <c r="AA1296" i="3"/>
  <c r="AA1297" i="3"/>
  <c r="AA1298" i="3"/>
  <c r="AA1299" i="3"/>
  <c r="AA1300" i="3"/>
  <c r="AA1301" i="3"/>
  <c r="AA1302" i="3"/>
  <c r="AA1303" i="3"/>
  <c r="AA1304" i="3"/>
  <c r="AA1305" i="3"/>
  <c r="AA1306" i="3"/>
  <c r="AA1307" i="3"/>
  <c r="AA1308" i="3"/>
  <c r="AA1309" i="3"/>
  <c r="AA1310" i="3"/>
  <c r="AA1311" i="3"/>
  <c r="AA1312" i="3"/>
  <c r="AA1313" i="3"/>
  <c r="AA1314" i="3"/>
  <c r="AA1315" i="3"/>
  <c r="AA1316" i="3"/>
  <c r="AA1317" i="3"/>
  <c r="AA1318" i="3"/>
  <c r="AB1293" i="3"/>
  <c r="O1293" i="3" s="1"/>
  <c r="Y1293" i="3" s="1"/>
  <c r="AB1294" i="3"/>
  <c r="O1294" i="3" s="1"/>
  <c r="AB1295" i="3"/>
  <c r="O1295" i="3" s="1"/>
  <c r="AB1296" i="3"/>
  <c r="O1296" i="3" s="1"/>
  <c r="AB1297" i="3"/>
  <c r="O1297" i="3" s="1"/>
  <c r="AB1298" i="3"/>
  <c r="O1298" i="3" s="1"/>
  <c r="AB1299" i="3"/>
  <c r="O1299" i="3" s="1"/>
  <c r="AB1300" i="3"/>
  <c r="O1300" i="3" s="1"/>
  <c r="AB1301" i="3"/>
  <c r="O1301" i="3" s="1"/>
  <c r="AB1302" i="3"/>
  <c r="O1302" i="3" s="1"/>
  <c r="AB1303" i="3"/>
  <c r="O1303" i="3" s="1"/>
  <c r="AB1304" i="3"/>
  <c r="O1304" i="3" s="1"/>
  <c r="AB1305" i="3"/>
  <c r="O1305" i="3" s="1"/>
  <c r="Y1305" i="3" s="1"/>
  <c r="AB1306" i="3"/>
  <c r="O1306" i="3" s="1"/>
  <c r="AB1307" i="3"/>
  <c r="O1307" i="3" s="1"/>
  <c r="AB1308" i="3"/>
  <c r="O1308" i="3" s="1"/>
  <c r="AB1309" i="3"/>
  <c r="O1309" i="3" s="1"/>
  <c r="AB1310" i="3"/>
  <c r="O1310" i="3" s="1"/>
  <c r="AB1311" i="3"/>
  <c r="O1311" i="3" s="1"/>
  <c r="AB1312" i="3"/>
  <c r="O1312" i="3" s="1"/>
  <c r="AB1313" i="3"/>
  <c r="O1313" i="3" s="1"/>
  <c r="AB1314" i="3"/>
  <c r="O1314" i="3" s="1"/>
  <c r="AB1315" i="3"/>
  <c r="O1315" i="3" s="1"/>
  <c r="AB1316" i="3"/>
  <c r="O1316" i="3" s="1"/>
  <c r="AB1317" i="3"/>
  <c r="O1317" i="3" s="1"/>
  <c r="AB1318" i="3"/>
  <c r="O1318" i="3" s="1"/>
  <c r="AC1293" i="3"/>
  <c r="N1293" i="3" s="1"/>
  <c r="S1293" i="3" s="1"/>
  <c r="AC1294" i="3"/>
  <c r="N1294" i="3" s="1"/>
  <c r="AC1295" i="3"/>
  <c r="N1295" i="3" s="1"/>
  <c r="AC1296" i="3"/>
  <c r="N1296" i="3" s="1"/>
  <c r="AC1297" i="3"/>
  <c r="N1297" i="3" s="1"/>
  <c r="AC1298" i="3"/>
  <c r="N1298" i="3" s="1"/>
  <c r="AC1299" i="3"/>
  <c r="N1299" i="3" s="1"/>
  <c r="AC1300" i="3"/>
  <c r="N1300" i="3" s="1"/>
  <c r="AC1301" i="3"/>
  <c r="N1301" i="3" s="1"/>
  <c r="AC1302" i="3"/>
  <c r="N1302" i="3" s="1"/>
  <c r="AC1303" i="3"/>
  <c r="N1303" i="3" s="1"/>
  <c r="AC1304" i="3"/>
  <c r="N1304" i="3" s="1"/>
  <c r="AC1305" i="3"/>
  <c r="N1305" i="3" s="1"/>
  <c r="AC1306" i="3"/>
  <c r="N1306" i="3" s="1"/>
  <c r="AC1307" i="3"/>
  <c r="N1307" i="3" s="1"/>
  <c r="AC1308" i="3"/>
  <c r="N1308" i="3" s="1"/>
  <c r="AC1309" i="3"/>
  <c r="N1309" i="3" s="1"/>
  <c r="AC1310" i="3"/>
  <c r="N1310" i="3" s="1"/>
  <c r="AC1311" i="3"/>
  <c r="N1311" i="3" s="1"/>
  <c r="AC1312" i="3"/>
  <c r="N1312" i="3" s="1"/>
  <c r="AC1313" i="3"/>
  <c r="N1313" i="3" s="1"/>
  <c r="AC1314" i="3"/>
  <c r="N1314" i="3" s="1"/>
  <c r="AC1315" i="3"/>
  <c r="N1315" i="3" s="1"/>
  <c r="AC1316" i="3"/>
  <c r="N1316" i="3" s="1"/>
  <c r="AC1317" i="3"/>
  <c r="N1317" i="3" s="1"/>
  <c r="AC1318" i="3"/>
  <c r="N1318" i="3" s="1"/>
  <c r="AK1293" i="3"/>
  <c r="AK1294" i="3"/>
  <c r="AK1295" i="3"/>
  <c r="AK1296" i="3"/>
  <c r="AK1297" i="3"/>
  <c r="AK1298" i="3"/>
  <c r="AK1299" i="3"/>
  <c r="AK1300" i="3"/>
  <c r="AK1301" i="3"/>
  <c r="AK1302" i="3"/>
  <c r="AK1303" i="3"/>
  <c r="AK1304" i="3"/>
  <c r="AK1305" i="3"/>
  <c r="AK1306" i="3"/>
  <c r="AK1307" i="3"/>
  <c r="AK1308" i="3"/>
  <c r="AK1309" i="3"/>
  <c r="AK1310" i="3"/>
  <c r="AK1311" i="3"/>
  <c r="AK1312" i="3"/>
  <c r="AK1313" i="3"/>
  <c r="AK1314" i="3"/>
  <c r="AK1315" i="3"/>
  <c r="AK1316" i="3"/>
  <c r="AK1317" i="3"/>
  <c r="AK1318" i="3"/>
  <c r="Z1405" i="3" l="1"/>
  <c r="Z1330" i="3"/>
  <c r="Z1293" i="3"/>
  <c r="Z1423" i="3"/>
  <c r="Z1403" i="3"/>
  <c r="Z1407" i="3"/>
  <c r="Z1366" i="3"/>
  <c r="Z1380" i="3"/>
  <c r="Z1384" i="3"/>
  <c r="Z1342" i="3"/>
  <c r="Z1344" i="3"/>
  <c r="Z1346" i="3"/>
  <c r="Z1348" i="3"/>
  <c r="Z1350" i="3"/>
  <c r="Z1354" i="3"/>
  <c r="Z1356" i="3"/>
  <c r="Z1358" i="3"/>
  <c r="Z1360" i="3"/>
  <c r="Z1362" i="3"/>
  <c r="Z1343" i="3"/>
  <c r="Z1345" i="3"/>
  <c r="Z1347" i="3"/>
  <c r="Z1351" i="3"/>
  <c r="Z1353" i="3"/>
  <c r="Z1357" i="3"/>
  <c r="Z1361" i="3"/>
  <c r="Z1365" i="3"/>
  <c r="Z1369" i="3"/>
  <c r="Z1373" i="3"/>
  <c r="Z1381" i="3"/>
  <c r="Z1385" i="3"/>
  <c r="Z1364" i="3"/>
  <c r="Z1368" i="3"/>
  <c r="Z1372" i="3"/>
  <c r="Z1376" i="3"/>
  <c r="Z1390" i="3"/>
  <c r="Z1394" i="3"/>
  <c r="Z1398" i="3"/>
  <c r="Z1389" i="3"/>
  <c r="Z1393" i="3"/>
  <c r="Z1397" i="3"/>
  <c r="Z1401" i="3"/>
  <c r="Z1349" i="3"/>
  <c r="Z1355" i="3"/>
  <c r="Z1359" i="3"/>
  <c r="Z1367" i="3"/>
  <c r="Z1371" i="3"/>
  <c r="Z1375" i="3"/>
  <c r="Z1379" i="3"/>
  <c r="Z1383" i="3"/>
  <c r="Z1387" i="3"/>
  <c r="Z1370" i="3"/>
  <c r="Z1374" i="3"/>
  <c r="Z1378" i="3"/>
  <c r="Z1382" i="3"/>
  <c r="Z1386" i="3"/>
  <c r="Z1392" i="3"/>
  <c r="Z1396" i="3"/>
  <c r="Z1400" i="3"/>
  <c r="Z1391" i="3"/>
  <c r="Z1395" i="3"/>
  <c r="Z1399" i="3"/>
  <c r="Z1404" i="3"/>
  <c r="Z1406" i="3"/>
  <c r="Z1408" i="3"/>
  <c r="Z1410" i="3"/>
  <c r="Z1412" i="3"/>
  <c r="Z1414" i="3"/>
  <c r="Z1416" i="3"/>
  <c r="Z1418" i="3"/>
  <c r="Z1420" i="3"/>
  <c r="Z1422" i="3"/>
  <c r="S1305" i="3"/>
  <c r="Z1305" i="3" s="1"/>
  <c r="T1340" i="3"/>
  <c r="U1340" i="3"/>
  <c r="V1340" i="3"/>
  <c r="W1340" i="3"/>
  <c r="X1340" i="3"/>
  <c r="Y1340" i="3"/>
  <c r="T1338" i="3"/>
  <c r="U1338" i="3"/>
  <c r="V1338" i="3"/>
  <c r="W1338" i="3"/>
  <c r="X1338" i="3"/>
  <c r="Y1338" i="3"/>
  <c r="T1336" i="3"/>
  <c r="U1336" i="3"/>
  <c r="V1336" i="3"/>
  <c r="W1336" i="3"/>
  <c r="X1336" i="3"/>
  <c r="Y1336" i="3"/>
  <c r="T1334" i="3"/>
  <c r="U1334" i="3"/>
  <c r="V1334" i="3"/>
  <c r="W1334" i="3"/>
  <c r="X1334" i="3"/>
  <c r="Y1334" i="3"/>
  <c r="T1332" i="3"/>
  <c r="U1332" i="3"/>
  <c r="V1332" i="3"/>
  <c r="W1332" i="3"/>
  <c r="X1332" i="3"/>
  <c r="Y1332" i="3"/>
  <c r="T1328" i="3"/>
  <c r="U1328" i="3"/>
  <c r="V1328" i="3"/>
  <c r="W1328" i="3"/>
  <c r="X1328" i="3"/>
  <c r="Y1328" i="3"/>
  <c r="T1326" i="3"/>
  <c r="U1326" i="3"/>
  <c r="V1326" i="3"/>
  <c r="W1326" i="3"/>
  <c r="X1326" i="3"/>
  <c r="Y1326" i="3"/>
  <c r="T1324" i="3"/>
  <c r="U1324" i="3"/>
  <c r="V1324" i="3"/>
  <c r="W1324" i="3"/>
  <c r="X1324" i="3"/>
  <c r="Y1324" i="3"/>
  <c r="T1322" i="3"/>
  <c r="U1322" i="3"/>
  <c r="V1322" i="3"/>
  <c r="W1322" i="3"/>
  <c r="X1322" i="3"/>
  <c r="Y1322" i="3"/>
  <c r="T1320" i="3"/>
  <c r="U1320" i="3"/>
  <c r="V1320" i="3"/>
  <c r="W1320" i="3"/>
  <c r="X1320" i="3"/>
  <c r="Y1320" i="3"/>
  <c r="T1339" i="3"/>
  <c r="U1339" i="3"/>
  <c r="V1339" i="3"/>
  <c r="W1339" i="3"/>
  <c r="X1339" i="3"/>
  <c r="T1337" i="3"/>
  <c r="U1337" i="3"/>
  <c r="V1337" i="3"/>
  <c r="W1337" i="3"/>
  <c r="X1337" i="3"/>
  <c r="T1335" i="3"/>
  <c r="U1335" i="3"/>
  <c r="V1335" i="3"/>
  <c r="W1335" i="3"/>
  <c r="X1335" i="3"/>
  <c r="T1333" i="3"/>
  <c r="U1333" i="3"/>
  <c r="V1333" i="3"/>
  <c r="W1333" i="3"/>
  <c r="X1333" i="3"/>
  <c r="Y1333" i="3"/>
  <c r="T1331" i="3"/>
  <c r="U1331" i="3"/>
  <c r="V1331" i="3"/>
  <c r="W1331" i="3"/>
  <c r="X1331" i="3"/>
  <c r="Y1331" i="3"/>
  <c r="T1329" i="3"/>
  <c r="U1329" i="3"/>
  <c r="V1329" i="3"/>
  <c r="W1329" i="3"/>
  <c r="X1329" i="3"/>
  <c r="Y1329" i="3"/>
  <c r="T1327" i="3"/>
  <c r="U1327" i="3"/>
  <c r="V1327" i="3"/>
  <c r="W1327" i="3"/>
  <c r="X1327" i="3"/>
  <c r="Y1327" i="3"/>
  <c r="T1325" i="3"/>
  <c r="U1325" i="3"/>
  <c r="V1325" i="3"/>
  <c r="W1325" i="3"/>
  <c r="X1325" i="3"/>
  <c r="Y1325" i="3"/>
  <c r="T1323" i="3"/>
  <c r="U1323" i="3"/>
  <c r="V1323" i="3"/>
  <c r="W1323" i="3"/>
  <c r="X1323" i="3"/>
  <c r="Y1323" i="3"/>
  <c r="T1321" i="3"/>
  <c r="U1321" i="3"/>
  <c r="V1321" i="3"/>
  <c r="W1321" i="3"/>
  <c r="X1321" i="3"/>
  <c r="Y1321" i="3"/>
  <c r="Y1339" i="3"/>
  <c r="Y1335" i="3"/>
  <c r="T1318" i="3"/>
  <c r="V1318" i="3"/>
  <c r="X1318" i="3"/>
  <c r="Y1318" i="3"/>
  <c r="U1318" i="3"/>
  <c r="W1318" i="3"/>
  <c r="U1316" i="3"/>
  <c r="W1316" i="3"/>
  <c r="Y1316" i="3"/>
  <c r="T1316" i="3"/>
  <c r="V1316" i="3"/>
  <c r="X1316" i="3"/>
  <c r="U1312" i="3"/>
  <c r="W1312" i="3"/>
  <c r="Y1312" i="3"/>
  <c r="T1312" i="3"/>
  <c r="V1312" i="3"/>
  <c r="X1312" i="3"/>
  <c r="T1310" i="3"/>
  <c r="V1310" i="3"/>
  <c r="X1310" i="3"/>
  <c r="Y1310" i="3"/>
  <c r="U1310" i="3"/>
  <c r="W1310" i="3"/>
  <c r="T1306" i="3"/>
  <c r="V1306" i="3"/>
  <c r="X1306" i="3"/>
  <c r="Y1306" i="3"/>
  <c r="U1306" i="3"/>
  <c r="W1306" i="3"/>
  <c r="U1302" i="3"/>
  <c r="W1302" i="3"/>
  <c r="Y1302" i="3"/>
  <c r="T1302" i="3"/>
  <c r="V1302" i="3"/>
  <c r="X1302" i="3"/>
  <c r="U1298" i="3"/>
  <c r="W1298" i="3"/>
  <c r="Y1298" i="3"/>
  <c r="T1298" i="3"/>
  <c r="V1298" i="3"/>
  <c r="X1298" i="3"/>
  <c r="U1294" i="3"/>
  <c r="W1294" i="3"/>
  <c r="T1294" i="3"/>
  <c r="V1294" i="3"/>
  <c r="X1294" i="3"/>
  <c r="Y1294" i="3"/>
  <c r="T1314" i="3"/>
  <c r="V1314" i="3"/>
  <c r="X1314" i="3"/>
  <c r="Y1314" i="3"/>
  <c r="U1314" i="3"/>
  <c r="W1314" i="3"/>
  <c r="U1308" i="3"/>
  <c r="W1308" i="3"/>
  <c r="Y1308" i="3"/>
  <c r="T1308" i="3"/>
  <c r="V1308" i="3"/>
  <c r="X1308" i="3"/>
  <c r="T1304" i="3"/>
  <c r="V1304" i="3"/>
  <c r="X1304" i="3"/>
  <c r="Y1304" i="3"/>
  <c r="U1304" i="3"/>
  <c r="W1304" i="3"/>
  <c r="T1300" i="3"/>
  <c r="V1300" i="3"/>
  <c r="X1300" i="3"/>
  <c r="Y1300" i="3"/>
  <c r="U1300" i="3"/>
  <c r="W1300" i="3"/>
  <c r="T1296" i="3"/>
  <c r="V1296" i="3"/>
  <c r="X1296" i="3"/>
  <c r="Y1296" i="3"/>
  <c r="U1296" i="3"/>
  <c r="W1296" i="3"/>
  <c r="T1317" i="3"/>
  <c r="U1317" i="3"/>
  <c r="V1317" i="3"/>
  <c r="W1317" i="3"/>
  <c r="X1317" i="3"/>
  <c r="T1315" i="3"/>
  <c r="U1315" i="3"/>
  <c r="V1315" i="3"/>
  <c r="W1315" i="3"/>
  <c r="X1315" i="3"/>
  <c r="T1313" i="3"/>
  <c r="U1313" i="3"/>
  <c r="V1313" i="3"/>
  <c r="W1313" i="3"/>
  <c r="X1313" i="3"/>
  <c r="T1311" i="3"/>
  <c r="U1311" i="3"/>
  <c r="V1311" i="3"/>
  <c r="W1311" i="3"/>
  <c r="X1311" i="3"/>
  <c r="T1309" i="3"/>
  <c r="U1309" i="3"/>
  <c r="V1309" i="3"/>
  <c r="W1309" i="3"/>
  <c r="X1309" i="3"/>
  <c r="T1307" i="3"/>
  <c r="U1307" i="3"/>
  <c r="V1307" i="3"/>
  <c r="W1307" i="3"/>
  <c r="X1307" i="3"/>
  <c r="T1303" i="3"/>
  <c r="U1303" i="3"/>
  <c r="V1303" i="3"/>
  <c r="W1303" i="3"/>
  <c r="X1303" i="3"/>
  <c r="T1301" i="3"/>
  <c r="U1301" i="3"/>
  <c r="V1301" i="3"/>
  <c r="W1301" i="3"/>
  <c r="X1301" i="3"/>
  <c r="T1299" i="3"/>
  <c r="U1299" i="3"/>
  <c r="V1299" i="3"/>
  <c r="W1299" i="3"/>
  <c r="X1299" i="3"/>
  <c r="T1297" i="3"/>
  <c r="U1297" i="3"/>
  <c r="V1297" i="3"/>
  <c r="W1297" i="3"/>
  <c r="X1297" i="3"/>
  <c r="T1295" i="3"/>
  <c r="U1295" i="3"/>
  <c r="V1295" i="3"/>
  <c r="W1295" i="3"/>
  <c r="X1295" i="3"/>
  <c r="Y1295" i="3"/>
  <c r="Y1317" i="3"/>
  <c r="Y1315" i="3"/>
  <c r="Y1313" i="3"/>
  <c r="Y1311" i="3"/>
  <c r="Y1309" i="3"/>
  <c r="Y1307" i="3"/>
  <c r="Y1303" i="3"/>
  <c r="Y1301" i="3"/>
  <c r="Y1299" i="3"/>
  <c r="Y1297" i="3"/>
  <c r="M1282" i="3"/>
  <c r="M1283" i="3"/>
  <c r="M1284" i="3"/>
  <c r="M1285" i="3"/>
  <c r="M1286" i="3"/>
  <c r="M1287" i="3"/>
  <c r="M1288" i="3"/>
  <c r="M1289" i="3"/>
  <c r="M1290" i="3"/>
  <c r="M1291" i="3"/>
  <c r="M1292" i="3"/>
  <c r="P1282" i="3"/>
  <c r="P1283" i="3"/>
  <c r="P1284" i="3"/>
  <c r="P1285" i="3"/>
  <c r="P1286" i="3"/>
  <c r="P1287" i="3"/>
  <c r="P1288" i="3"/>
  <c r="P1289" i="3"/>
  <c r="P1290" i="3"/>
  <c r="P1291" i="3"/>
  <c r="P1292" i="3"/>
  <c r="Q1282" i="3"/>
  <c r="Q1283" i="3"/>
  <c r="Q1284" i="3"/>
  <c r="Q1285" i="3"/>
  <c r="Q1286" i="3"/>
  <c r="Q1287" i="3"/>
  <c r="Q1288" i="3"/>
  <c r="Q1289" i="3"/>
  <c r="Q1290" i="3"/>
  <c r="Q1291" i="3"/>
  <c r="Q1292" i="3"/>
  <c r="R1282" i="3"/>
  <c r="R1283" i="3"/>
  <c r="R1284" i="3"/>
  <c r="R1285" i="3"/>
  <c r="R1286" i="3"/>
  <c r="R1287" i="3"/>
  <c r="R1288" i="3"/>
  <c r="R1289" i="3"/>
  <c r="R1290" i="3"/>
  <c r="R1291" i="3"/>
  <c r="R1292" i="3"/>
  <c r="S1283" i="3"/>
  <c r="S1284" i="3"/>
  <c r="S1285" i="3"/>
  <c r="S1286" i="3"/>
  <c r="S1287" i="3"/>
  <c r="S1288" i="3"/>
  <c r="S1289" i="3"/>
  <c r="S1290" i="3"/>
  <c r="S1291" i="3"/>
  <c r="S1292" i="3"/>
  <c r="T1282" i="3"/>
  <c r="U1282" i="3"/>
  <c r="V1282" i="3"/>
  <c r="W1282" i="3"/>
  <c r="X1282" i="3"/>
  <c r="AA1282" i="3"/>
  <c r="AA1283" i="3"/>
  <c r="AA1284" i="3"/>
  <c r="AA1285" i="3"/>
  <c r="AA1286" i="3"/>
  <c r="AA1287" i="3"/>
  <c r="AA1288" i="3"/>
  <c r="AA1289" i="3"/>
  <c r="AA1290" i="3"/>
  <c r="AA1291" i="3"/>
  <c r="AA1292" i="3"/>
  <c r="AB1282" i="3"/>
  <c r="O1282" i="3" s="1"/>
  <c r="Y1282" i="3" s="1"/>
  <c r="AB1283" i="3"/>
  <c r="O1283" i="3" s="1"/>
  <c r="AB1284" i="3"/>
  <c r="O1284" i="3" s="1"/>
  <c r="AB1285" i="3"/>
  <c r="O1285" i="3" s="1"/>
  <c r="AB1286" i="3"/>
  <c r="O1286" i="3" s="1"/>
  <c r="AB1287" i="3"/>
  <c r="O1287" i="3" s="1"/>
  <c r="AB1288" i="3"/>
  <c r="O1288" i="3" s="1"/>
  <c r="AB1289" i="3"/>
  <c r="O1289" i="3" s="1"/>
  <c r="AB1290" i="3"/>
  <c r="O1290" i="3" s="1"/>
  <c r="AB1291" i="3"/>
  <c r="O1291" i="3" s="1"/>
  <c r="AB1292" i="3"/>
  <c r="O1292" i="3" s="1"/>
  <c r="AC1282" i="3"/>
  <c r="N1282" i="3" s="1"/>
  <c r="AC1283" i="3"/>
  <c r="N1283" i="3" s="1"/>
  <c r="AC1284" i="3"/>
  <c r="N1284" i="3" s="1"/>
  <c r="AC1285" i="3"/>
  <c r="N1285" i="3" s="1"/>
  <c r="AC1286" i="3"/>
  <c r="N1286" i="3" s="1"/>
  <c r="AC1287" i="3"/>
  <c r="N1287" i="3" s="1"/>
  <c r="AC1288" i="3"/>
  <c r="N1288" i="3" s="1"/>
  <c r="AC1289" i="3"/>
  <c r="N1289" i="3" s="1"/>
  <c r="AC1290" i="3"/>
  <c r="N1290" i="3" s="1"/>
  <c r="AC1291" i="3"/>
  <c r="N1291" i="3" s="1"/>
  <c r="AC1292" i="3"/>
  <c r="N1292" i="3" s="1"/>
  <c r="AK1282" i="3"/>
  <c r="AK1283" i="3"/>
  <c r="AK1284" i="3"/>
  <c r="AK1285" i="3"/>
  <c r="AK1286" i="3"/>
  <c r="AK1287" i="3"/>
  <c r="AK1288" i="3"/>
  <c r="AK1289" i="3"/>
  <c r="AK1290" i="3"/>
  <c r="AK1291" i="3"/>
  <c r="AK1292" i="3"/>
  <c r="M1271" i="3"/>
  <c r="M1272" i="3"/>
  <c r="M1273" i="3"/>
  <c r="M1274" i="3"/>
  <c r="M1275" i="3"/>
  <c r="M1276" i="3"/>
  <c r="M1277" i="3"/>
  <c r="M1278" i="3"/>
  <c r="M1279" i="3"/>
  <c r="M1280" i="3"/>
  <c r="M1281" i="3"/>
  <c r="P1271" i="3"/>
  <c r="P1272" i="3"/>
  <c r="P1273" i="3"/>
  <c r="P1274" i="3"/>
  <c r="P1275" i="3"/>
  <c r="P1276" i="3"/>
  <c r="P1277" i="3"/>
  <c r="P1278" i="3"/>
  <c r="P1279" i="3"/>
  <c r="P1280" i="3"/>
  <c r="P1281" i="3"/>
  <c r="Q1271" i="3"/>
  <c r="Q1272" i="3"/>
  <c r="Q1273" i="3"/>
  <c r="Q1274" i="3"/>
  <c r="Q1275" i="3"/>
  <c r="Q1276" i="3"/>
  <c r="Q1277" i="3"/>
  <c r="Q1278" i="3"/>
  <c r="Q1279" i="3"/>
  <c r="Q1280" i="3"/>
  <c r="Q1281" i="3"/>
  <c r="R1271" i="3"/>
  <c r="R1272" i="3"/>
  <c r="R1273" i="3"/>
  <c r="R1274" i="3"/>
  <c r="R1275" i="3"/>
  <c r="R1276" i="3"/>
  <c r="R1277" i="3"/>
  <c r="R1278" i="3"/>
  <c r="R1279" i="3"/>
  <c r="R1280" i="3"/>
  <c r="R1281" i="3"/>
  <c r="S1272" i="3"/>
  <c r="S1273" i="3"/>
  <c r="S1274" i="3"/>
  <c r="S1275" i="3"/>
  <c r="S1276" i="3"/>
  <c r="S1277" i="3"/>
  <c r="S1278" i="3"/>
  <c r="S1279" i="3"/>
  <c r="S1280" i="3"/>
  <c r="S1281" i="3"/>
  <c r="T1271" i="3"/>
  <c r="U1271" i="3"/>
  <c r="V1271" i="3"/>
  <c r="W1271" i="3"/>
  <c r="X1271" i="3"/>
  <c r="AA1271" i="3"/>
  <c r="AA1272" i="3"/>
  <c r="AA1273" i="3"/>
  <c r="AA1274" i="3"/>
  <c r="AA1275" i="3"/>
  <c r="AA1276" i="3"/>
  <c r="AA1277" i="3"/>
  <c r="AA1278" i="3"/>
  <c r="AA1279" i="3"/>
  <c r="AA1280" i="3"/>
  <c r="AA1281" i="3"/>
  <c r="AB1271" i="3"/>
  <c r="O1271" i="3" s="1"/>
  <c r="Y1271" i="3" s="1"/>
  <c r="AB1272" i="3"/>
  <c r="O1272" i="3" s="1"/>
  <c r="AB1273" i="3"/>
  <c r="O1273" i="3" s="1"/>
  <c r="AB1274" i="3"/>
  <c r="O1274" i="3" s="1"/>
  <c r="AB1275" i="3"/>
  <c r="O1275" i="3" s="1"/>
  <c r="AB1276" i="3"/>
  <c r="O1276" i="3" s="1"/>
  <c r="AB1277" i="3"/>
  <c r="O1277" i="3" s="1"/>
  <c r="AB1278" i="3"/>
  <c r="O1278" i="3" s="1"/>
  <c r="AB1279" i="3"/>
  <c r="O1279" i="3" s="1"/>
  <c r="AB1280" i="3"/>
  <c r="O1280" i="3" s="1"/>
  <c r="AB1281" i="3"/>
  <c r="O1281" i="3" s="1"/>
  <c r="AC1271" i="3"/>
  <c r="N1271" i="3" s="1"/>
  <c r="AC1272" i="3"/>
  <c r="N1272" i="3" s="1"/>
  <c r="AC1273" i="3"/>
  <c r="N1273" i="3" s="1"/>
  <c r="AC1274" i="3"/>
  <c r="N1274" i="3" s="1"/>
  <c r="AC1275" i="3"/>
  <c r="N1275" i="3" s="1"/>
  <c r="AC1276" i="3"/>
  <c r="N1276" i="3" s="1"/>
  <c r="AC1277" i="3"/>
  <c r="N1277" i="3" s="1"/>
  <c r="AC1278" i="3"/>
  <c r="N1278" i="3" s="1"/>
  <c r="AC1279" i="3"/>
  <c r="N1279" i="3" s="1"/>
  <c r="AC1280" i="3"/>
  <c r="N1280" i="3" s="1"/>
  <c r="AC1281" i="3"/>
  <c r="N1281" i="3" s="1"/>
  <c r="AK1271" i="3"/>
  <c r="AK1272" i="3"/>
  <c r="AK1273" i="3"/>
  <c r="AK1274" i="3"/>
  <c r="AK1275" i="3"/>
  <c r="AK1276" i="3"/>
  <c r="AK1277" i="3"/>
  <c r="AK1278" i="3"/>
  <c r="AK1279" i="3"/>
  <c r="AK1280" i="3"/>
  <c r="AK1281" i="3"/>
  <c r="Z1295" i="3" l="1"/>
  <c r="Z1299" i="3"/>
  <c r="Z1303" i="3"/>
  <c r="Z1309" i="3"/>
  <c r="Z1313" i="3"/>
  <c r="Z1317" i="3"/>
  <c r="Z1296" i="3"/>
  <c r="Z1300" i="3"/>
  <c r="Z1304" i="3"/>
  <c r="Z1314" i="3"/>
  <c r="Z1294" i="3"/>
  <c r="Z1306" i="3"/>
  <c r="Z1310" i="3"/>
  <c r="Z1318" i="3"/>
  <c r="Z1321" i="3"/>
  <c r="Z1323" i="3"/>
  <c r="Z1325" i="3"/>
  <c r="Z1327" i="3"/>
  <c r="Z1329" i="3"/>
  <c r="Z1331" i="3"/>
  <c r="Z1333" i="3"/>
  <c r="Z1337" i="3"/>
  <c r="Z1297" i="3"/>
  <c r="Z1301" i="3"/>
  <c r="Z1307" i="3"/>
  <c r="Z1311" i="3"/>
  <c r="Z1315" i="3"/>
  <c r="Z1308" i="3"/>
  <c r="Z1298" i="3"/>
  <c r="Z1302" i="3"/>
  <c r="Z1312" i="3"/>
  <c r="Z1316" i="3"/>
  <c r="Z1335" i="3"/>
  <c r="Z1339" i="3"/>
  <c r="Z1320" i="3"/>
  <c r="Z1322" i="3"/>
  <c r="Z1324" i="3"/>
  <c r="Z1326" i="3"/>
  <c r="Z1328" i="3"/>
  <c r="Z1332" i="3"/>
  <c r="Z1334" i="3"/>
  <c r="Z1336" i="3"/>
  <c r="Z1338" i="3"/>
  <c r="Z1340" i="3"/>
  <c r="S1282" i="3"/>
  <c r="Z1282" i="3" s="1"/>
  <c r="U1290" i="3"/>
  <c r="W1290" i="3"/>
  <c r="Y1290" i="3"/>
  <c r="T1290" i="3"/>
  <c r="V1290" i="3"/>
  <c r="X1290" i="3"/>
  <c r="U1288" i="3"/>
  <c r="W1288" i="3"/>
  <c r="Y1288" i="3"/>
  <c r="T1288" i="3"/>
  <c r="V1288" i="3"/>
  <c r="X1288" i="3"/>
  <c r="U1286" i="3"/>
  <c r="W1286" i="3"/>
  <c r="Y1286" i="3"/>
  <c r="T1286" i="3"/>
  <c r="V1286" i="3"/>
  <c r="X1286" i="3"/>
  <c r="U1284" i="3"/>
  <c r="W1284" i="3"/>
  <c r="Y1284" i="3"/>
  <c r="T1284" i="3"/>
  <c r="V1284" i="3"/>
  <c r="X1284" i="3"/>
  <c r="U1292" i="3"/>
  <c r="W1292" i="3"/>
  <c r="Y1292" i="3"/>
  <c r="T1292" i="3"/>
  <c r="V1292" i="3"/>
  <c r="X1292" i="3"/>
  <c r="T1291" i="3"/>
  <c r="V1291" i="3"/>
  <c r="X1291" i="3"/>
  <c r="U1291" i="3"/>
  <c r="W1291" i="3"/>
  <c r="Y1291" i="3"/>
  <c r="T1289" i="3"/>
  <c r="V1289" i="3"/>
  <c r="X1289" i="3"/>
  <c r="U1289" i="3"/>
  <c r="W1289" i="3"/>
  <c r="Y1289" i="3"/>
  <c r="T1287" i="3"/>
  <c r="V1287" i="3"/>
  <c r="X1287" i="3"/>
  <c r="U1287" i="3"/>
  <c r="W1287" i="3"/>
  <c r="Y1287" i="3"/>
  <c r="T1285" i="3"/>
  <c r="V1285" i="3"/>
  <c r="X1285" i="3"/>
  <c r="U1285" i="3"/>
  <c r="W1285" i="3"/>
  <c r="Y1285" i="3"/>
  <c r="T1283" i="3"/>
  <c r="V1283" i="3"/>
  <c r="X1283" i="3"/>
  <c r="U1283" i="3"/>
  <c r="W1283" i="3"/>
  <c r="Y1283" i="3"/>
  <c r="S1271" i="3"/>
  <c r="Z1271" i="3" s="1"/>
  <c r="U1281" i="3"/>
  <c r="W1281" i="3"/>
  <c r="Y1281" i="3"/>
  <c r="T1281" i="3"/>
  <c r="V1281" i="3"/>
  <c r="X1281" i="3"/>
  <c r="U1277" i="3"/>
  <c r="W1277" i="3"/>
  <c r="Y1277" i="3"/>
  <c r="T1277" i="3"/>
  <c r="V1277" i="3"/>
  <c r="X1277" i="3"/>
  <c r="U1279" i="3"/>
  <c r="W1279" i="3"/>
  <c r="Y1279" i="3"/>
  <c r="T1279" i="3"/>
  <c r="V1279" i="3"/>
  <c r="X1279" i="3"/>
  <c r="U1275" i="3"/>
  <c r="W1275" i="3"/>
  <c r="Y1275" i="3"/>
  <c r="T1275" i="3"/>
  <c r="V1275" i="3"/>
  <c r="X1275" i="3"/>
  <c r="U1273" i="3"/>
  <c r="W1273" i="3"/>
  <c r="Y1273" i="3"/>
  <c r="T1273" i="3"/>
  <c r="V1273" i="3"/>
  <c r="X1273" i="3"/>
  <c r="T1280" i="3"/>
  <c r="V1280" i="3"/>
  <c r="X1280" i="3"/>
  <c r="U1280" i="3"/>
  <c r="W1280" i="3"/>
  <c r="Y1280" i="3"/>
  <c r="T1278" i="3"/>
  <c r="V1278" i="3"/>
  <c r="X1278" i="3"/>
  <c r="U1278" i="3"/>
  <c r="W1278" i="3"/>
  <c r="Y1278" i="3"/>
  <c r="T1276" i="3"/>
  <c r="V1276" i="3"/>
  <c r="X1276" i="3"/>
  <c r="U1276" i="3"/>
  <c r="W1276" i="3"/>
  <c r="Y1276" i="3"/>
  <c r="T1274" i="3"/>
  <c r="V1274" i="3"/>
  <c r="X1274" i="3"/>
  <c r="U1274" i="3"/>
  <c r="W1274" i="3"/>
  <c r="Y1274" i="3"/>
  <c r="T1272" i="3"/>
  <c r="V1272" i="3"/>
  <c r="X1272" i="3"/>
  <c r="U1272" i="3"/>
  <c r="W1272" i="3"/>
  <c r="Y1272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S1247" i="3"/>
  <c r="S1248" i="3"/>
  <c r="S1249" i="3"/>
  <c r="S1250" i="3"/>
  <c r="S1251" i="3"/>
  <c r="S1252" i="3"/>
  <c r="S1253" i="3"/>
  <c r="S1254" i="3"/>
  <c r="S1255" i="3"/>
  <c r="S1256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T1246" i="3"/>
  <c r="T1257" i="3"/>
  <c r="U1246" i="3"/>
  <c r="U1257" i="3"/>
  <c r="V1246" i="3"/>
  <c r="V1257" i="3"/>
  <c r="W1246" i="3"/>
  <c r="W1257" i="3"/>
  <c r="X1246" i="3"/>
  <c r="X1257" i="3"/>
  <c r="AA1246" i="3"/>
  <c r="AA1247" i="3"/>
  <c r="AA1248" i="3"/>
  <c r="AA1249" i="3"/>
  <c r="AA1250" i="3"/>
  <c r="AA1251" i="3"/>
  <c r="AA1252" i="3"/>
  <c r="AA1253" i="3"/>
  <c r="AA1254" i="3"/>
  <c r="AA1255" i="3"/>
  <c r="AA1256" i="3"/>
  <c r="AA1257" i="3"/>
  <c r="AA1258" i="3"/>
  <c r="AA1259" i="3"/>
  <c r="AA1260" i="3"/>
  <c r="AA1261" i="3"/>
  <c r="AA1262" i="3"/>
  <c r="AA1263" i="3"/>
  <c r="AA1264" i="3"/>
  <c r="AA1265" i="3"/>
  <c r="AA1266" i="3"/>
  <c r="AA1267" i="3"/>
  <c r="AA1268" i="3"/>
  <c r="AA1269" i="3"/>
  <c r="AA1270" i="3"/>
  <c r="AB1246" i="3"/>
  <c r="O1246" i="3" s="1"/>
  <c r="Y1246" i="3" s="1"/>
  <c r="AB1247" i="3"/>
  <c r="O1247" i="3" s="1"/>
  <c r="AB1248" i="3"/>
  <c r="O1248" i="3" s="1"/>
  <c r="AB1249" i="3"/>
  <c r="O1249" i="3" s="1"/>
  <c r="AB1250" i="3"/>
  <c r="O1250" i="3" s="1"/>
  <c r="AB1251" i="3"/>
  <c r="O1251" i="3" s="1"/>
  <c r="AB1252" i="3"/>
  <c r="O1252" i="3" s="1"/>
  <c r="AB1253" i="3"/>
  <c r="O1253" i="3" s="1"/>
  <c r="AB1254" i="3"/>
  <c r="O1254" i="3" s="1"/>
  <c r="AB1255" i="3"/>
  <c r="O1255" i="3" s="1"/>
  <c r="AB1256" i="3"/>
  <c r="O1256" i="3" s="1"/>
  <c r="AB1257" i="3"/>
  <c r="O1257" i="3" s="1"/>
  <c r="Y1257" i="3" s="1"/>
  <c r="AB1258" i="3"/>
  <c r="O1258" i="3" s="1"/>
  <c r="AB1259" i="3"/>
  <c r="O1259" i="3" s="1"/>
  <c r="AB1260" i="3"/>
  <c r="O1260" i="3" s="1"/>
  <c r="AB1261" i="3"/>
  <c r="O1261" i="3" s="1"/>
  <c r="AB1262" i="3"/>
  <c r="O1262" i="3" s="1"/>
  <c r="AB1263" i="3"/>
  <c r="O1263" i="3" s="1"/>
  <c r="AB1264" i="3"/>
  <c r="O1264" i="3" s="1"/>
  <c r="AB1265" i="3"/>
  <c r="O1265" i="3" s="1"/>
  <c r="AB1266" i="3"/>
  <c r="O1266" i="3" s="1"/>
  <c r="AB1267" i="3"/>
  <c r="O1267" i="3" s="1"/>
  <c r="AB1268" i="3"/>
  <c r="O1268" i="3" s="1"/>
  <c r="AB1269" i="3"/>
  <c r="O1269" i="3" s="1"/>
  <c r="AB1270" i="3"/>
  <c r="O1270" i="3" s="1"/>
  <c r="AC1246" i="3"/>
  <c r="N1246" i="3" s="1"/>
  <c r="AC1247" i="3"/>
  <c r="N1247" i="3" s="1"/>
  <c r="AC1248" i="3"/>
  <c r="N1248" i="3" s="1"/>
  <c r="AC1249" i="3"/>
  <c r="N1249" i="3" s="1"/>
  <c r="AC1250" i="3"/>
  <c r="N1250" i="3" s="1"/>
  <c r="AC1251" i="3"/>
  <c r="N1251" i="3" s="1"/>
  <c r="AC1252" i="3"/>
  <c r="N1252" i="3" s="1"/>
  <c r="AC1253" i="3"/>
  <c r="N1253" i="3" s="1"/>
  <c r="AC1254" i="3"/>
  <c r="N1254" i="3" s="1"/>
  <c r="AC1255" i="3"/>
  <c r="N1255" i="3" s="1"/>
  <c r="AC1256" i="3"/>
  <c r="N1256" i="3" s="1"/>
  <c r="AC1257" i="3"/>
  <c r="N1257" i="3" s="1"/>
  <c r="AC1258" i="3"/>
  <c r="N1258" i="3" s="1"/>
  <c r="AC1259" i="3"/>
  <c r="N1259" i="3" s="1"/>
  <c r="AC1260" i="3"/>
  <c r="N1260" i="3" s="1"/>
  <c r="AC1261" i="3"/>
  <c r="N1261" i="3" s="1"/>
  <c r="AC1262" i="3"/>
  <c r="N1262" i="3" s="1"/>
  <c r="AC1263" i="3"/>
  <c r="N1263" i="3" s="1"/>
  <c r="AC1264" i="3"/>
  <c r="N1264" i="3" s="1"/>
  <c r="AC1265" i="3"/>
  <c r="N1265" i="3" s="1"/>
  <c r="AC1266" i="3"/>
  <c r="N1266" i="3" s="1"/>
  <c r="AC1267" i="3"/>
  <c r="N1267" i="3" s="1"/>
  <c r="AC1268" i="3"/>
  <c r="N1268" i="3" s="1"/>
  <c r="AC1269" i="3"/>
  <c r="N1269" i="3" s="1"/>
  <c r="AC1270" i="3"/>
  <c r="N1270" i="3" s="1"/>
  <c r="AK1246" i="3"/>
  <c r="AK1247" i="3"/>
  <c r="AK1248" i="3"/>
  <c r="AK1249" i="3"/>
  <c r="AK1250" i="3"/>
  <c r="AK1251" i="3"/>
  <c r="AK1252" i="3"/>
  <c r="AK1253" i="3"/>
  <c r="AK1254" i="3"/>
  <c r="AK1255" i="3"/>
  <c r="AK1256" i="3"/>
  <c r="AK1257" i="3"/>
  <c r="AK1258" i="3"/>
  <c r="AK1259" i="3"/>
  <c r="AK1260" i="3"/>
  <c r="AK1261" i="3"/>
  <c r="AK1262" i="3"/>
  <c r="AK1263" i="3"/>
  <c r="AK1264" i="3"/>
  <c r="AK1265" i="3"/>
  <c r="AK1266" i="3"/>
  <c r="AK1267" i="3"/>
  <c r="AK1268" i="3"/>
  <c r="AK1269" i="3"/>
  <c r="AK1270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T1232" i="3"/>
  <c r="U1232" i="3"/>
  <c r="V1232" i="3"/>
  <c r="W1232" i="3"/>
  <c r="X1232" i="3"/>
  <c r="AA1232" i="3"/>
  <c r="AA1233" i="3"/>
  <c r="AA1234" i="3"/>
  <c r="AA1235" i="3"/>
  <c r="AA1236" i="3"/>
  <c r="AA1237" i="3"/>
  <c r="AA1238" i="3"/>
  <c r="AA1239" i="3"/>
  <c r="AA1240" i="3"/>
  <c r="AA1241" i="3"/>
  <c r="AA1242" i="3"/>
  <c r="AA1243" i="3"/>
  <c r="AA1244" i="3"/>
  <c r="AA1245" i="3"/>
  <c r="AB1232" i="3"/>
  <c r="O1232" i="3" s="1"/>
  <c r="Y1232" i="3" s="1"/>
  <c r="AB1233" i="3"/>
  <c r="O1233" i="3" s="1"/>
  <c r="AB1234" i="3"/>
  <c r="O1234" i="3" s="1"/>
  <c r="AB1235" i="3"/>
  <c r="O1235" i="3" s="1"/>
  <c r="AB1236" i="3"/>
  <c r="O1236" i="3" s="1"/>
  <c r="AB1237" i="3"/>
  <c r="O1237" i="3" s="1"/>
  <c r="AB1238" i="3"/>
  <c r="O1238" i="3" s="1"/>
  <c r="AB1239" i="3"/>
  <c r="O1239" i="3" s="1"/>
  <c r="AB1240" i="3"/>
  <c r="O1240" i="3" s="1"/>
  <c r="AB1241" i="3"/>
  <c r="O1241" i="3" s="1"/>
  <c r="AB1242" i="3"/>
  <c r="O1242" i="3" s="1"/>
  <c r="AB1243" i="3"/>
  <c r="O1243" i="3" s="1"/>
  <c r="AB1244" i="3"/>
  <c r="O1244" i="3" s="1"/>
  <c r="AB1245" i="3"/>
  <c r="O1245" i="3" s="1"/>
  <c r="AC1232" i="3"/>
  <c r="N1232" i="3" s="1"/>
  <c r="AC1233" i="3"/>
  <c r="N1233" i="3" s="1"/>
  <c r="AC1234" i="3"/>
  <c r="N1234" i="3" s="1"/>
  <c r="AC1235" i="3"/>
  <c r="N1235" i="3" s="1"/>
  <c r="AC1236" i="3"/>
  <c r="N1236" i="3" s="1"/>
  <c r="AC1237" i="3"/>
  <c r="N1237" i="3" s="1"/>
  <c r="AC1238" i="3"/>
  <c r="N1238" i="3" s="1"/>
  <c r="AC1239" i="3"/>
  <c r="N1239" i="3" s="1"/>
  <c r="AC1240" i="3"/>
  <c r="N1240" i="3" s="1"/>
  <c r="AC1241" i="3"/>
  <c r="N1241" i="3" s="1"/>
  <c r="AC1242" i="3"/>
  <c r="N1242" i="3" s="1"/>
  <c r="AC1243" i="3"/>
  <c r="N1243" i="3" s="1"/>
  <c r="AC1244" i="3"/>
  <c r="N1244" i="3" s="1"/>
  <c r="AC1245" i="3"/>
  <c r="N1245" i="3" s="1"/>
  <c r="AK1232" i="3"/>
  <c r="AK1233" i="3"/>
  <c r="AK1234" i="3"/>
  <c r="AK1235" i="3"/>
  <c r="AK1236" i="3"/>
  <c r="AK1237" i="3"/>
  <c r="AK1238" i="3"/>
  <c r="AK1239" i="3"/>
  <c r="AK1240" i="3"/>
  <c r="AK1241" i="3"/>
  <c r="AK1242" i="3"/>
  <c r="AK1243" i="3"/>
  <c r="AK1244" i="3"/>
  <c r="AK1245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S1211" i="3"/>
  <c r="S1212" i="3"/>
  <c r="S1213" i="3"/>
  <c r="S1214" i="3"/>
  <c r="S1215" i="3"/>
  <c r="S1216" i="3"/>
  <c r="S1217" i="3"/>
  <c r="S1218" i="3"/>
  <c r="S1219" i="3"/>
  <c r="S1220" i="3"/>
  <c r="S1222" i="3"/>
  <c r="S1223" i="3"/>
  <c r="S1224" i="3"/>
  <c r="S1225" i="3"/>
  <c r="S1226" i="3"/>
  <c r="S1227" i="3"/>
  <c r="S1228" i="3"/>
  <c r="S1229" i="3"/>
  <c r="S1230" i="3"/>
  <c r="S1231" i="3"/>
  <c r="T1210" i="3"/>
  <c r="T1221" i="3"/>
  <c r="U1210" i="3"/>
  <c r="U1221" i="3"/>
  <c r="V1210" i="3"/>
  <c r="V1221" i="3"/>
  <c r="W1210" i="3"/>
  <c r="W1221" i="3"/>
  <c r="X1210" i="3"/>
  <c r="X1221" i="3"/>
  <c r="AA1210" i="3"/>
  <c r="AA1211" i="3"/>
  <c r="AA1212" i="3"/>
  <c r="AA1213" i="3"/>
  <c r="AA1214" i="3"/>
  <c r="AA1215" i="3"/>
  <c r="AA1216" i="3"/>
  <c r="AA1217" i="3"/>
  <c r="AA1218" i="3"/>
  <c r="AA1219" i="3"/>
  <c r="AA1220" i="3"/>
  <c r="AA1221" i="3"/>
  <c r="AA1222" i="3"/>
  <c r="AA1223" i="3"/>
  <c r="AA1224" i="3"/>
  <c r="AA1225" i="3"/>
  <c r="AA1226" i="3"/>
  <c r="AA1227" i="3"/>
  <c r="AA1228" i="3"/>
  <c r="AA1229" i="3"/>
  <c r="AA1230" i="3"/>
  <c r="AA1231" i="3"/>
  <c r="AB1210" i="3"/>
  <c r="O1210" i="3" s="1"/>
  <c r="Y1210" i="3" s="1"/>
  <c r="AB1211" i="3"/>
  <c r="O1211" i="3" s="1"/>
  <c r="AB1212" i="3"/>
  <c r="O1212" i="3" s="1"/>
  <c r="AB1213" i="3"/>
  <c r="O1213" i="3" s="1"/>
  <c r="AB1214" i="3"/>
  <c r="O1214" i="3" s="1"/>
  <c r="AB1215" i="3"/>
  <c r="O1215" i="3" s="1"/>
  <c r="AB1216" i="3"/>
  <c r="O1216" i="3" s="1"/>
  <c r="AB1217" i="3"/>
  <c r="O1217" i="3" s="1"/>
  <c r="AB1218" i="3"/>
  <c r="O1218" i="3" s="1"/>
  <c r="AB1219" i="3"/>
  <c r="O1219" i="3" s="1"/>
  <c r="AB1220" i="3"/>
  <c r="O1220" i="3" s="1"/>
  <c r="AB1221" i="3"/>
  <c r="O1221" i="3" s="1"/>
  <c r="Y1221" i="3" s="1"/>
  <c r="AB1222" i="3"/>
  <c r="O1222" i="3" s="1"/>
  <c r="AB1223" i="3"/>
  <c r="O1223" i="3" s="1"/>
  <c r="AB1224" i="3"/>
  <c r="O1224" i="3" s="1"/>
  <c r="AB1225" i="3"/>
  <c r="O1225" i="3" s="1"/>
  <c r="AB1226" i="3"/>
  <c r="O1226" i="3" s="1"/>
  <c r="AB1227" i="3"/>
  <c r="O1227" i="3" s="1"/>
  <c r="AB1228" i="3"/>
  <c r="O1228" i="3" s="1"/>
  <c r="AB1229" i="3"/>
  <c r="O1229" i="3" s="1"/>
  <c r="AB1230" i="3"/>
  <c r="O1230" i="3" s="1"/>
  <c r="AB1231" i="3"/>
  <c r="O1231" i="3" s="1"/>
  <c r="AC1210" i="3"/>
  <c r="N1210" i="3" s="1"/>
  <c r="S1210" i="3" s="1"/>
  <c r="Z1210" i="3" s="1"/>
  <c r="AC1211" i="3"/>
  <c r="N1211" i="3" s="1"/>
  <c r="AC1212" i="3"/>
  <c r="N1212" i="3" s="1"/>
  <c r="AC1213" i="3"/>
  <c r="N1213" i="3" s="1"/>
  <c r="AC1214" i="3"/>
  <c r="N1214" i="3" s="1"/>
  <c r="AC1215" i="3"/>
  <c r="N1215" i="3" s="1"/>
  <c r="AC1216" i="3"/>
  <c r="N1216" i="3" s="1"/>
  <c r="AC1217" i="3"/>
  <c r="N1217" i="3" s="1"/>
  <c r="AC1218" i="3"/>
  <c r="N1218" i="3" s="1"/>
  <c r="AC1219" i="3"/>
  <c r="N1219" i="3" s="1"/>
  <c r="AC1220" i="3"/>
  <c r="N1220" i="3" s="1"/>
  <c r="AC1221" i="3"/>
  <c r="N1221" i="3" s="1"/>
  <c r="S1221" i="3" s="1"/>
  <c r="AC1222" i="3"/>
  <c r="N1222" i="3" s="1"/>
  <c r="AC1223" i="3"/>
  <c r="N1223" i="3" s="1"/>
  <c r="AC1224" i="3"/>
  <c r="N1224" i="3" s="1"/>
  <c r="AC1225" i="3"/>
  <c r="N1225" i="3" s="1"/>
  <c r="AC1226" i="3"/>
  <c r="N1226" i="3" s="1"/>
  <c r="AC1227" i="3"/>
  <c r="N1227" i="3" s="1"/>
  <c r="AC1228" i="3"/>
  <c r="N1228" i="3" s="1"/>
  <c r="AC1229" i="3"/>
  <c r="N1229" i="3" s="1"/>
  <c r="AC1230" i="3"/>
  <c r="N1230" i="3" s="1"/>
  <c r="AC1231" i="3"/>
  <c r="N1231" i="3" s="1"/>
  <c r="AK1210" i="3"/>
  <c r="AK1211" i="3"/>
  <c r="AK1212" i="3"/>
  <c r="AK1213" i="3"/>
  <c r="AK1214" i="3"/>
  <c r="AK1215" i="3"/>
  <c r="AK1216" i="3"/>
  <c r="AK1217" i="3"/>
  <c r="AK1218" i="3"/>
  <c r="AK1219" i="3"/>
  <c r="AK1220" i="3"/>
  <c r="AK1221" i="3"/>
  <c r="AK1222" i="3"/>
  <c r="AK1223" i="3"/>
  <c r="AK1224" i="3"/>
  <c r="AK1225" i="3"/>
  <c r="AK1226" i="3"/>
  <c r="AK1227" i="3"/>
  <c r="AK1228" i="3"/>
  <c r="AK1229" i="3"/>
  <c r="AK1230" i="3"/>
  <c r="AK1231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S1189" i="3"/>
  <c r="S1190" i="3"/>
  <c r="S1191" i="3"/>
  <c r="S1192" i="3"/>
  <c r="S1193" i="3"/>
  <c r="S1194" i="3"/>
  <c r="S1195" i="3"/>
  <c r="S1196" i="3"/>
  <c r="S1197" i="3"/>
  <c r="S1198" i="3"/>
  <c r="S1200" i="3"/>
  <c r="S1201" i="3"/>
  <c r="S1202" i="3"/>
  <c r="S1203" i="3"/>
  <c r="S1204" i="3"/>
  <c r="S1205" i="3"/>
  <c r="S1206" i="3"/>
  <c r="S1207" i="3"/>
  <c r="S1208" i="3"/>
  <c r="S1209" i="3"/>
  <c r="T1188" i="3"/>
  <c r="T1199" i="3"/>
  <c r="U1188" i="3"/>
  <c r="U1199" i="3"/>
  <c r="V1188" i="3"/>
  <c r="V1199" i="3"/>
  <c r="W1188" i="3"/>
  <c r="W1199" i="3"/>
  <c r="X1188" i="3"/>
  <c r="X1199" i="3"/>
  <c r="AA1188" i="3"/>
  <c r="AA1189" i="3"/>
  <c r="AA1190" i="3"/>
  <c r="AA1191" i="3"/>
  <c r="AA1192" i="3"/>
  <c r="AA1193" i="3"/>
  <c r="AA1194" i="3"/>
  <c r="AA1195" i="3"/>
  <c r="AA1196" i="3"/>
  <c r="AA1197" i="3"/>
  <c r="AA1198" i="3"/>
  <c r="AA1199" i="3"/>
  <c r="AA1200" i="3"/>
  <c r="AA1201" i="3"/>
  <c r="AA1202" i="3"/>
  <c r="AA1203" i="3"/>
  <c r="AA1204" i="3"/>
  <c r="AA1205" i="3"/>
  <c r="AA1206" i="3"/>
  <c r="AA1207" i="3"/>
  <c r="AA1208" i="3"/>
  <c r="AA1209" i="3"/>
  <c r="AB1188" i="3"/>
  <c r="O1188" i="3" s="1"/>
  <c r="Y1188" i="3" s="1"/>
  <c r="AB1189" i="3"/>
  <c r="O1189" i="3" s="1"/>
  <c r="AB1190" i="3"/>
  <c r="O1190" i="3" s="1"/>
  <c r="AB1191" i="3"/>
  <c r="O1191" i="3" s="1"/>
  <c r="AB1192" i="3"/>
  <c r="O1192" i="3" s="1"/>
  <c r="AB1193" i="3"/>
  <c r="O1193" i="3" s="1"/>
  <c r="AB1194" i="3"/>
  <c r="O1194" i="3" s="1"/>
  <c r="AB1195" i="3"/>
  <c r="O1195" i="3" s="1"/>
  <c r="AB1196" i="3"/>
  <c r="O1196" i="3" s="1"/>
  <c r="AB1197" i="3"/>
  <c r="O1197" i="3" s="1"/>
  <c r="AB1198" i="3"/>
  <c r="O1198" i="3" s="1"/>
  <c r="AB1199" i="3"/>
  <c r="O1199" i="3" s="1"/>
  <c r="AB1200" i="3"/>
  <c r="O1200" i="3" s="1"/>
  <c r="AB1201" i="3"/>
  <c r="O1201" i="3" s="1"/>
  <c r="AB1202" i="3"/>
  <c r="O1202" i="3" s="1"/>
  <c r="AB1203" i="3"/>
  <c r="O1203" i="3" s="1"/>
  <c r="AB1204" i="3"/>
  <c r="O1204" i="3" s="1"/>
  <c r="AB1205" i="3"/>
  <c r="O1205" i="3" s="1"/>
  <c r="AB1206" i="3"/>
  <c r="O1206" i="3" s="1"/>
  <c r="AB1207" i="3"/>
  <c r="O1207" i="3" s="1"/>
  <c r="AB1208" i="3"/>
  <c r="O1208" i="3" s="1"/>
  <c r="AB1209" i="3"/>
  <c r="O1209" i="3" s="1"/>
  <c r="AC1188" i="3"/>
  <c r="N1188" i="3" s="1"/>
  <c r="AC1189" i="3"/>
  <c r="N1189" i="3" s="1"/>
  <c r="AC1190" i="3"/>
  <c r="N1190" i="3" s="1"/>
  <c r="AC1191" i="3"/>
  <c r="N1191" i="3" s="1"/>
  <c r="AC1192" i="3"/>
  <c r="N1192" i="3" s="1"/>
  <c r="AC1193" i="3"/>
  <c r="N1193" i="3" s="1"/>
  <c r="AC1194" i="3"/>
  <c r="N1194" i="3" s="1"/>
  <c r="AC1195" i="3"/>
  <c r="N1195" i="3" s="1"/>
  <c r="AC1196" i="3"/>
  <c r="N1196" i="3" s="1"/>
  <c r="AC1197" i="3"/>
  <c r="N1197" i="3" s="1"/>
  <c r="AC1198" i="3"/>
  <c r="N1198" i="3" s="1"/>
  <c r="AC1199" i="3"/>
  <c r="N1199" i="3" s="1"/>
  <c r="AC1200" i="3"/>
  <c r="N1200" i="3" s="1"/>
  <c r="AC1201" i="3"/>
  <c r="N1201" i="3" s="1"/>
  <c r="AC1202" i="3"/>
  <c r="N1202" i="3" s="1"/>
  <c r="AC1203" i="3"/>
  <c r="N1203" i="3" s="1"/>
  <c r="AC1204" i="3"/>
  <c r="N1204" i="3" s="1"/>
  <c r="AC1205" i="3"/>
  <c r="N1205" i="3" s="1"/>
  <c r="AC1206" i="3"/>
  <c r="N1206" i="3" s="1"/>
  <c r="AC1207" i="3"/>
  <c r="N1207" i="3" s="1"/>
  <c r="AC1208" i="3"/>
  <c r="N1208" i="3" s="1"/>
  <c r="AC1209" i="3"/>
  <c r="N1209" i="3" s="1"/>
  <c r="AK1188" i="3"/>
  <c r="AK1189" i="3"/>
  <c r="AK1190" i="3"/>
  <c r="AK1191" i="3"/>
  <c r="AK1192" i="3"/>
  <c r="AK1193" i="3"/>
  <c r="AK1194" i="3"/>
  <c r="AK1195" i="3"/>
  <c r="AK1196" i="3"/>
  <c r="AK1197" i="3"/>
  <c r="AK1198" i="3"/>
  <c r="AK1199" i="3"/>
  <c r="AK1200" i="3"/>
  <c r="AK1201" i="3"/>
  <c r="AK1202" i="3"/>
  <c r="AK1203" i="3"/>
  <c r="AK1204" i="3"/>
  <c r="AK1205" i="3"/>
  <c r="AK1206" i="3"/>
  <c r="AK1207" i="3"/>
  <c r="AK1208" i="3"/>
  <c r="AK1209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S1166" i="3"/>
  <c r="S1167" i="3"/>
  <c r="S1168" i="3"/>
  <c r="S1169" i="3"/>
  <c r="S1170" i="3"/>
  <c r="S1171" i="3"/>
  <c r="S1172" i="3"/>
  <c r="S1173" i="3"/>
  <c r="S1174" i="3"/>
  <c r="S1175" i="3"/>
  <c r="S1177" i="3"/>
  <c r="S1178" i="3"/>
  <c r="S1179" i="3"/>
  <c r="S1180" i="3"/>
  <c r="S1181" i="3"/>
  <c r="S1182" i="3"/>
  <c r="S1183" i="3"/>
  <c r="S1184" i="3"/>
  <c r="S1185" i="3"/>
  <c r="S1186" i="3"/>
  <c r="S1187" i="3"/>
  <c r="T1165" i="3"/>
  <c r="T1176" i="3"/>
  <c r="U1165" i="3"/>
  <c r="U1176" i="3"/>
  <c r="V1165" i="3"/>
  <c r="V1176" i="3"/>
  <c r="W1165" i="3"/>
  <c r="W1176" i="3"/>
  <c r="X1165" i="3"/>
  <c r="X1176" i="3"/>
  <c r="AA1165" i="3"/>
  <c r="AA1166" i="3"/>
  <c r="AA1167" i="3"/>
  <c r="AA1168" i="3"/>
  <c r="AA1169" i="3"/>
  <c r="AA1170" i="3"/>
  <c r="AA1171" i="3"/>
  <c r="AA1172" i="3"/>
  <c r="AA1173" i="3"/>
  <c r="AA1174" i="3"/>
  <c r="AA1175" i="3"/>
  <c r="AA1176" i="3"/>
  <c r="AA1177" i="3"/>
  <c r="AA1178" i="3"/>
  <c r="AA1179" i="3"/>
  <c r="AA1180" i="3"/>
  <c r="AA1181" i="3"/>
  <c r="AA1182" i="3"/>
  <c r="AA1183" i="3"/>
  <c r="AA1184" i="3"/>
  <c r="AA1185" i="3"/>
  <c r="AA1186" i="3"/>
  <c r="AA1187" i="3"/>
  <c r="AB1165" i="3"/>
  <c r="O1165" i="3" s="1"/>
  <c r="Y1165" i="3" s="1"/>
  <c r="AB1166" i="3"/>
  <c r="O1166" i="3" s="1"/>
  <c r="AB1167" i="3"/>
  <c r="O1167" i="3" s="1"/>
  <c r="AB1168" i="3"/>
  <c r="O1168" i="3" s="1"/>
  <c r="AB1169" i="3"/>
  <c r="O1169" i="3" s="1"/>
  <c r="AB1170" i="3"/>
  <c r="O1170" i="3" s="1"/>
  <c r="AB1171" i="3"/>
  <c r="O1171" i="3" s="1"/>
  <c r="AB1172" i="3"/>
  <c r="O1172" i="3" s="1"/>
  <c r="AB1173" i="3"/>
  <c r="O1173" i="3" s="1"/>
  <c r="AB1174" i="3"/>
  <c r="O1174" i="3" s="1"/>
  <c r="AB1175" i="3"/>
  <c r="O1175" i="3" s="1"/>
  <c r="AB1176" i="3"/>
  <c r="O1176" i="3" s="1"/>
  <c r="Y1176" i="3" s="1"/>
  <c r="AB1177" i="3"/>
  <c r="O1177" i="3" s="1"/>
  <c r="AB1178" i="3"/>
  <c r="O1178" i="3" s="1"/>
  <c r="AB1179" i="3"/>
  <c r="O1179" i="3" s="1"/>
  <c r="AB1180" i="3"/>
  <c r="O1180" i="3" s="1"/>
  <c r="AB1181" i="3"/>
  <c r="O1181" i="3" s="1"/>
  <c r="AB1182" i="3"/>
  <c r="O1182" i="3" s="1"/>
  <c r="AB1183" i="3"/>
  <c r="O1183" i="3" s="1"/>
  <c r="AB1184" i="3"/>
  <c r="O1184" i="3" s="1"/>
  <c r="AB1185" i="3"/>
  <c r="O1185" i="3" s="1"/>
  <c r="AB1186" i="3"/>
  <c r="O1186" i="3" s="1"/>
  <c r="AB1187" i="3"/>
  <c r="O1187" i="3" s="1"/>
  <c r="AC1165" i="3"/>
  <c r="N1165" i="3" s="1"/>
  <c r="AC1166" i="3"/>
  <c r="N1166" i="3" s="1"/>
  <c r="AC1167" i="3"/>
  <c r="N1167" i="3" s="1"/>
  <c r="AC1168" i="3"/>
  <c r="N1168" i="3" s="1"/>
  <c r="AC1169" i="3"/>
  <c r="N1169" i="3" s="1"/>
  <c r="AC1170" i="3"/>
  <c r="N1170" i="3" s="1"/>
  <c r="AC1171" i="3"/>
  <c r="N1171" i="3" s="1"/>
  <c r="AC1172" i="3"/>
  <c r="N1172" i="3" s="1"/>
  <c r="AC1173" i="3"/>
  <c r="N1173" i="3" s="1"/>
  <c r="AC1174" i="3"/>
  <c r="N1174" i="3" s="1"/>
  <c r="AC1175" i="3"/>
  <c r="N1175" i="3" s="1"/>
  <c r="AC1176" i="3"/>
  <c r="N1176" i="3" s="1"/>
  <c r="AC1177" i="3"/>
  <c r="N1177" i="3" s="1"/>
  <c r="AC1178" i="3"/>
  <c r="N1178" i="3" s="1"/>
  <c r="AC1179" i="3"/>
  <c r="N1179" i="3" s="1"/>
  <c r="AC1180" i="3"/>
  <c r="N1180" i="3" s="1"/>
  <c r="AC1181" i="3"/>
  <c r="N1181" i="3" s="1"/>
  <c r="AC1182" i="3"/>
  <c r="N1182" i="3" s="1"/>
  <c r="AC1183" i="3"/>
  <c r="N1183" i="3" s="1"/>
  <c r="AC1184" i="3"/>
  <c r="N1184" i="3" s="1"/>
  <c r="AC1185" i="3"/>
  <c r="N1185" i="3" s="1"/>
  <c r="AC1186" i="3"/>
  <c r="N1186" i="3" s="1"/>
  <c r="AC1187" i="3"/>
  <c r="N1187" i="3" s="1"/>
  <c r="AK1165" i="3"/>
  <c r="AK1166" i="3"/>
  <c r="AK1167" i="3"/>
  <c r="AK1168" i="3"/>
  <c r="AK1169" i="3"/>
  <c r="AK1170" i="3"/>
  <c r="AK1171" i="3"/>
  <c r="AK1172" i="3"/>
  <c r="AK1173" i="3"/>
  <c r="AK1174" i="3"/>
  <c r="AK1175" i="3"/>
  <c r="AK1176" i="3"/>
  <c r="AK1177" i="3"/>
  <c r="AK1178" i="3"/>
  <c r="AK1179" i="3"/>
  <c r="AK1180" i="3"/>
  <c r="AK1181" i="3"/>
  <c r="AK1182" i="3"/>
  <c r="AK1183" i="3"/>
  <c r="AK1184" i="3"/>
  <c r="AK1185" i="3"/>
  <c r="AK1186" i="3"/>
  <c r="AK1187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S1141" i="3"/>
  <c r="S1142" i="3"/>
  <c r="S1143" i="3"/>
  <c r="S1144" i="3"/>
  <c r="S1145" i="3"/>
  <c r="S1146" i="3"/>
  <c r="S1147" i="3"/>
  <c r="S1148" i="3"/>
  <c r="S1149" i="3"/>
  <c r="S1150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T1140" i="3"/>
  <c r="T1151" i="3"/>
  <c r="U1140" i="3"/>
  <c r="U1151" i="3"/>
  <c r="V1140" i="3"/>
  <c r="V1151" i="3"/>
  <c r="W1140" i="3"/>
  <c r="W1151" i="3"/>
  <c r="X1140" i="3"/>
  <c r="X1151" i="3"/>
  <c r="AA1140" i="3"/>
  <c r="AA1141" i="3"/>
  <c r="AA1142" i="3"/>
  <c r="AA1143" i="3"/>
  <c r="AA1144" i="3"/>
  <c r="AA1145" i="3"/>
  <c r="AA1146" i="3"/>
  <c r="AA1147" i="3"/>
  <c r="AA1148" i="3"/>
  <c r="AA1149" i="3"/>
  <c r="AA1150" i="3"/>
  <c r="AA1151" i="3"/>
  <c r="AA1152" i="3"/>
  <c r="AA1153" i="3"/>
  <c r="AA1154" i="3"/>
  <c r="AA1155" i="3"/>
  <c r="AA1156" i="3"/>
  <c r="AA1157" i="3"/>
  <c r="AA1158" i="3"/>
  <c r="AA1159" i="3"/>
  <c r="AA1160" i="3"/>
  <c r="AA1161" i="3"/>
  <c r="AA1162" i="3"/>
  <c r="AA1163" i="3"/>
  <c r="AA1164" i="3"/>
  <c r="AB1140" i="3"/>
  <c r="O1140" i="3" s="1"/>
  <c r="Y1140" i="3" s="1"/>
  <c r="AB1141" i="3"/>
  <c r="O1141" i="3" s="1"/>
  <c r="AB1142" i="3"/>
  <c r="O1142" i="3" s="1"/>
  <c r="AB1143" i="3"/>
  <c r="O1143" i="3" s="1"/>
  <c r="AB1144" i="3"/>
  <c r="O1144" i="3" s="1"/>
  <c r="AB1145" i="3"/>
  <c r="O1145" i="3" s="1"/>
  <c r="AB1146" i="3"/>
  <c r="O1146" i="3" s="1"/>
  <c r="AB1147" i="3"/>
  <c r="O1147" i="3" s="1"/>
  <c r="AB1148" i="3"/>
  <c r="O1148" i="3" s="1"/>
  <c r="AB1149" i="3"/>
  <c r="O1149" i="3" s="1"/>
  <c r="AB1150" i="3"/>
  <c r="O1150" i="3" s="1"/>
  <c r="AB1151" i="3"/>
  <c r="O1151" i="3" s="1"/>
  <c r="AB1152" i="3"/>
  <c r="O1152" i="3" s="1"/>
  <c r="AB1153" i="3"/>
  <c r="O1153" i="3" s="1"/>
  <c r="AB1154" i="3"/>
  <c r="O1154" i="3" s="1"/>
  <c r="AB1155" i="3"/>
  <c r="O1155" i="3" s="1"/>
  <c r="AB1156" i="3"/>
  <c r="O1156" i="3" s="1"/>
  <c r="AB1157" i="3"/>
  <c r="O1157" i="3" s="1"/>
  <c r="AB1158" i="3"/>
  <c r="O1158" i="3" s="1"/>
  <c r="AB1159" i="3"/>
  <c r="O1159" i="3" s="1"/>
  <c r="AB1160" i="3"/>
  <c r="O1160" i="3" s="1"/>
  <c r="AB1161" i="3"/>
  <c r="O1161" i="3" s="1"/>
  <c r="AB1162" i="3"/>
  <c r="O1162" i="3" s="1"/>
  <c r="AB1163" i="3"/>
  <c r="O1163" i="3" s="1"/>
  <c r="AB1164" i="3"/>
  <c r="O1164" i="3" s="1"/>
  <c r="AC1140" i="3"/>
  <c r="N1140" i="3" s="1"/>
  <c r="AC1141" i="3"/>
  <c r="N1141" i="3" s="1"/>
  <c r="AC1142" i="3"/>
  <c r="N1142" i="3" s="1"/>
  <c r="AC1143" i="3"/>
  <c r="N1143" i="3" s="1"/>
  <c r="AC1144" i="3"/>
  <c r="N1144" i="3" s="1"/>
  <c r="AC1145" i="3"/>
  <c r="N1145" i="3" s="1"/>
  <c r="AC1146" i="3"/>
  <c r="N1146" i="3" s="1"/>
  <c r="AC1147" i="3"/>
  <c r="N1147" i="3" s="1"/>
  <c r="AC1148" i="3"/>
  <c r="N1148" i="3" s="1"/>
  <c r="AC1149" i="3"/>
  <c r="N1149" i="3" s="1"/>
  <c r="AC1150" i="3"/>
  <c r="N1150" i="3" s="1"/>
  <c r="AC1151" i="3"/>
  <c r="N1151" i="3" s="1"/>
  <c r="AC1152" i="3"/>
  <c r="N1152" i="3" s="1"/>
  <c r="AC1153" i="3"/>
  <c r="N1153" i="3" s="1"/>
  <c r="AC1154" i="3"/>
  <c r="N1154" i="3" s="1"/>
  <c r="AC1155" i="3"/>
  <c r="N1155" i="3" s="1"/>
  <c r="AC1156" i="3"/>
  <c r="N1156" i="3" s="1"/>
  <c r="AC1157" i="3"/>
  <c r="N1157" i="3" s="1"/>
  <c r="AC1158" i="3"/>
  <c r="N1158" i="3" s="1"/>
  <c r="AC1159" i="3"/>
  <c r="N1159" i="3" s="1"/>
  <c r="AC1160" i="3"/>
  <c r="N1160" i="3" s="1"/>
  <c r="AC1161" i="3"/>
  <c r="N1161" i="3" s="1"/>
  <c r="AC1162" i="3"/>
  <c r="N1162" i="3" s="1"/>
  <c r="AC1163" i="3"/>
  <c r="N1163" i="3" s="1"/>
  <c r="AC1164" i="3"/>
  <c r="N1164" i="3" s="1"/>
  <c r="AK1140" i="3"/>
  <c r="AK1141" i="3"/>
  <c r="AK1142" i="3"/>
  <c r="AK1143" i="3"/>
  <c r="AK1144" i="3"/>
  <c r="AK1145" i="3"/>
  <c r="AK1146" i="3"/>
  <c r="AK1147" i="3"/>
  <c r="AK1148" i="3"/>
  <c r="AK1149" i="3"/>
  <c r="AK1150" i="3"/>
  <c r="AK1151" i="3"/>
  <c r="AK1152" i="3"/>
  <c r="AK1153" i="3"/>
  <c r="AK1154" i="3"/>
  <c r="AK1155" i="3"/>
  <c r="AK1156" i="3"/>
  <c r="AK1157" i="3"/>
  <c r="AK1158" i="3"/>
  <c r="AK1159" i="3"/>
  <c r="AK1160" i="3"/>
  <c r="AK1161" i="3"/>
  <c r="AK1162" i="3"/>
  <c r="AK1163" i="3"/>
  <c r="AK1164" i="3"/>
  <c r="M1129" i="3"/>
  <c r="M1130" i="3"/>
  <c r="M1131" i="3"/>
  <c r="M1132" i="3"/>
  <c r="M1133" i="3"/>
  <c r="M1134" i="3"/>
  <c r="M1135" i="3"/>
  <c r="M1136" i="3"/>
  <c r="M1137" i="3"/>
  <c r="M1138" i="3"/>
  <c r="M1139" i="3"/>
  <c r="P1129" i="3"/>
  <c r="P1130" i="3"/>
  <c r="P1131" i="3"/>
  <c r="P1132" i="3"/>
  <c r="P1133" i="3"/>
  <c r="P1134" i="3"/>
  <c r="P1135" i="3"/>
  <c r="P1136" i="3"/>
  <c r="P1137" i="3"/>
  <c r="P1138" i="3"/>
  <c r="P1139" i="3"/>
  <c r="Q1129" i="3"/>
  <c r="Q1130" i="3"/>
  <c r="Q1131" i="3"/>
  <c r="Q1132" i="3"/>
  <c r="Q1133" i="3"/>
  <c r="Q1134" i="3"/>
  <c r="Q1135" i="3"/>
  <c r="Q1136" i="3"/>
  <c r="Q1137" i="3"/>
  <c r="Q1138" i="3"/>
  <c r="Q1139" i="3"/>
  <c r="R1129" i="3"/>
  <c r="R1130" i="3"/>
  <c r="R1131" i="3"/>
  <c r="R1132" i="3"/>
  <c r="R1133" i="3"/>
  <c r="R1134" i="3"/>
  <c r="R1135" i="3"/>
  <c r="R1136" i="3"/>
  <c r="R1137" i="3"/>
  <c r="R1138" i="3"/>
  <c r="R1139" i="3"/>
  <c r="S1130" i="3"/>
  <c r="S1131" i="3"/>
  <c r="S1132" i="3"/>
  <c r="S1133" i="3"/>
  <c r="S1134" i="3"/>
  <c r="S1135" i="3"/>
  <c r="S1136" i="3"/>
  <c r="S1137" i="3"/>
  <c r="S1138" i="3"/>
  <c r="S1139" i="3"/>
  <c r="T1129" i="3"/>
  <c r="U1129" i="3"/>
  <c r="V1129" i="3"/>
  <c r="W1129" i="3"/>
  <c r="X1129" i="3"/>
  <c r="AA1129" i="3"/>
  <c r="AA1130" i="3"/>
  <c r="AA1131" i="3"/>
  <c r="AA1132" i="3"/>
  <c r="AA1133" i="3"/>
  <c r="AA1134" i="3"/>
  <c r="AA1135" i="3"/>
  <c r="AA1136" i="3"/>
  <c r="AA1137" i="3"/>
  <c r="AA1138" i="3"/>
  <c r="AA1139" i="3"/>
  <c r="AB1129" i="3"/>
  <c r="O1129" i="3" s="1"/>
  <c r="AB1130" i="3"/>
  <c r="O1130" i="3" s="1"/>
  <c r="AB1131" i="3"/>
  <c r="O1131" i="3" s="1"/>
  <c r="AB1132" i="3"/>
  <c r="O1132" i="3" s="1"/>
  <c r="AB1133" i="3"/>
  <c r="O1133" i="3" s="1"/>
  <c r="AB1134" i="3"/>
  <c r="O1134" i="3" s="1"/>
  <c r="AB1135" i="3"/>
  <c r="O1135" i="3" s="1"/>
  <c r="AB1136" i="3"/>
  <c r="O1136" i="3" s="1"/>
  <c r="AB1137" i="3"/>
  <c r="O1137" i="3" s="1"/>
  <c r="AB1138" i="3"/>
  <c r="O1138" i="3" s="1"/>
  <c r="AB1139" i="3"/>
  <c r="O1139" i="3" s="1"/>
  <c r="AC1129" i="3"/>
  <c r="N1129" i="3" s="1"/>
  <c r="AC1130" i="3"/>
  <c r="N1130" i="3" s="1"/>
  <c r="AC1131" i="3"/>
  <c r="N1131" i="3" s="1"/>
  <c r="AC1132" i="3"/>
  <c r="N1132" i="3" s="1"/>
  <c r="AC1133" i="3"/>
  <c r="N1133" i="3" s="1"/>
  <c r="AC1134" i="3"/>
  <c r="N1134" i="3" s="1"/>
  <c r="AC1135" i="3"/>
  <c r="N1135" i="3" s="1"/>
  <c r="AC1136" i="3"/>
  <c r="N1136" i="3" s="1"/>
  <c r="AC1137" i="3"/>
  <c r="N1137" i="3" s="1"/>
  <c r="AC1138" i="3"/>
  <c r="N1138" i="3" s="1"/>
  <c r="AC1139" i="3"/>
  <c r="N1139" i="3" s="1"/>
  <c r="AK1129" i="3"/>
  <c r="AK1130" i="3"/>
  <c r="AK1131" i="3"/>
  <c r="AK1132" i="3"/>
  <c r="AK1133" i="3"/>
  <c r="AK1134" i="3"/>
  <c r="AK1135" i="3"/>
  <c r="AK1136" i="3"/>
  <c r="AK1137" i="3"/>
  <c r="AK1138" i="3"/>
  <c r="AK1139" i="3"/>
  <c r="M1118" i="3"/>
  <c r="M1119" i="3"/>
  <c r="M1120" i="3"/>
  <c r="M1121" i="3"/>
  <c r="M1122" i="3"/>
  <c r="M1123" i="3"/>
  <c r="M1124" i="3"/>
  <c r="M1125" i="3"/>
  <c r="M1126" i="3"/>
  <c r="M1127" i="3"/>
  <c r="M1128" i="3"/>
  <c r="P1118" i="3"/>
  <c r="P1119" i="3"/>
  <c r="P1120" i="3"/>
  <c r="P1121" i="3"/>
  <c r="P1122" i="3"/>
  <c r="P1123" i="3"/>
  <c r="P1124" i="3"/>
  <c r="P1125" i="3"/>
  <c r="P1126" i="3"/>
  <c r="P1127" i="3"/>
  <c r="P1128" i="3"/>
  <c r="Q1118" i="3"/>
  <c r="Q1119" i="3"/>
  <c r="Q1120" i="3"/>
  <c r="Q1121" i="3"/>
  <c r="Q1122" i="3"/>
  <c r="Q1123" i="3"/>
  <c r="Q1124" i="3"/>
  <c r="Q1125" i="3"/>
  <c r="Q1126" i="3"/>
  <c r="Q1127" i="3"/>
  <c r="Q1128" i="3"/>
  <c r="R1118" i="3"/>
  <c r="R1119" i="3"/>
  <c r="R1120" i="3"/>
  <c r="R1121" i="3"/>
  <c r="R1122" i="3"/>
  <c r="R1123" i="3"/>
  <c r="R1124" i="3"/>
  <c r="R1125" i="3"/>
  <c r="R1126" i="3"/>
  <c r="R1127" i="3"/>
  <c r="R1128" i="3"/>
  <c r="S1119" i="3"/>
  <c r="S1120" i="3"/>
  <c r="S1121" i="3"/>
  <c r="S1122" i="3"/>
  <c r="S1123" i="3"/>
  <c r="S1124" i="3"/>
  <c r="S1125" i="3"/>
  <c r="S1126" i="3"/>
  <c r="S1127" i="3"/>
  <c r="S1128" i="3"/>
  <c r="T1118" i="3"/>
  <c r="U1118" i="3"/>
  <c r="V1118" i="3"/>
  <c r="W1118" i="3"/>
  <c r="X1118" i="3"/>
  <c r="AA1118" i="3"/>
  <c r="AA1119" i="3"/>
  <c r="AA1120" i="3"/>
  <c r="AA1121" i="3"/>
  <c r="AA1122" i="3"/>
  <c r="AA1123" i="3"/>
  <c r="AA1124" i="3"/>
  <c r="AA1125" i="3"/>
  <c r="AA1126" i="3"/>
  <c r="AA1127" i="3"/>
  <c r="AA1128" i="3"/>
  <c r="AB1118" i="3"/>
  <c r="O1118" i="3" s="1"/>
  <c r="Y1118" i="3" s="1"/>
  <c r="AB1119" i="3"/>
  <c r="O1119" i="3" s="1"/>
  <c r="AB1120" i="3"/>
  <c r="O1120" i="3" s="1"/>
  <c r="AB1121" i="3"/>
  <c r="O1121" i="3" s="1"/>
  <c r="AB1122" i="3"/>
  <c r="O1122" i="3" s="1"/>
  <c r="AB1123" i="3"/>
  <c r="O1123" i="3" s="1"/>
  <c r="AB1124" i="3"/>
  <c r="O1124" i="3" s="1"/>
  <c r="AB1125" i="3"/>
  <c r="O1125" i="3" s="1"/>
  <c r="AB1126" i="3"/>
  <c r="O1126" i="3" s="1"/>
  <c r="AB1127" i="3"/>
  <c r="O1127" i="3" s="1"/>
  <c r="AB1128" i="3"/>
  <c r="O1128" i="3" s="1"/>
  <c r="AC1118" i="3"/>
  <c r="N1118" i="3" s="1"/>
  <c r="AC1119" i="3"/>
  <c r="N1119" i="3" s="1"/>
  <c r="AC1120" i="3"/>
  <c r="N1120" i="3" s="1"/>
  <c r="AC1121" i="3"/>
  <c r="N1121" i="3" s="1"/>
  <c r="AC1122" i="3"/>
  <c r="N1122" i="3" s="1"/>
  <c r="AC1123" i="3"/>
  <c r="N1123" i="3" s="1"/>
  <c r="AC1124" i="3"/>
  <c r="N1124" i="3" s="1"/>
  <c r="AC1125" i="3"/>
  <c r="N1125" i="3" s="1"/>
  <c r="AC1126" i="3"/>
  <c r="N1126" i="3" s="1"/>
  <c r="AC1127" i="3"/>
  <c r="N1127" i="3" s="1"/>
  <c r="AC1128" i="3"/>
  <c r="N1128" i="3" s="1"/>
  <c r="AK1118" i="3"/>
  <c r="AK1119" i="3"/>
  <c r="AK1120" i="3"/>
  <c r="AK1121" i="3"/>
  <c r="AK1122" i="3"/>
  <c r="AK1123" i="3"/>
  <c r="AK1124" i="3"/>
  <c r="AK1125" i="3"/>
  <c r="AK1126" i="3"/>
  <c r="AK1127" i="3"/>
  <c r="AK1128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8" i="3"/>
  <c r="S1109" i="3"/>
  <c r="S1110" i="3"/>
  <c r="S1111" i="3"/>
  <c r="S1112" i="3"/>
  <c r="S1113" i="3"/>
  <c r="S1114" i="3"/>
  <c r="S1115" i="3"/>
  <c r="S1116" i="3"/>
  <c r="S1117" i="3"/>
  <c r="T1093" i="3"/>
  <c r="T1107" i="3"/>
  <c r="U1093" i="3"/>
  <c r="U1107" i="3"/>
  <c r="V1093" i="3"/>
  <c r="V1107" i="3"/>
  <c r="W1093" i="3"/>
  <c r="W1107" i="3"/>
  <c r="X1093" i="3"/>
  <c r="X1107" i="3"/>
  <c r="AA1093" i="3"/>
  <c r="AA1094" i="3"/>
  <c r="AA1095" i="3"/>
  <c r="AA1096" i="3"/>
  <c r="AA1097" i="3"/>
  <c r="AA1098" i="3"/>
  <c r="AA1099" i="3"/>
  <c r="AA1100" i="3"/>
  <c r="AA1101" i="3"/>
  <c r="AA1102" i="3"/>
  <c r="AA1103" i="3"/>
  <c r="AA1104" i="3"/>
  <c r="AA1105" i="3"/>
  <c r="AA1106" i="3"/>
  <c r="AA1107" i="3"/>
  <c r="AA1108" i="3"/>
  <c r="AA1109" i="3"/>
  <c r="AA1110" i="3"/>
  <c r="AA1111" i="3"/>
  <c r="AA1112" i="3"/>
  <c r="AA1113" i="3"/>
  <c r="AA1114" i="3"/>
  <c r="AA1115" i="3"/>
  <c r="AA1116" i="3"/>
  <c r="AA1117" i="3"/>
  <c r="AB1093" i="3"/>
  <c r="O1093" i="3" s="1"/>
  <c r="Y1093" i="3" s="1"/>
  <c r="AB1094" i="3"/>
  <c r="O1094" i="3" s="1"/>
  <c r="AB1095" i="3"/>
  <c r="O1095" i="3" s="1"/>
  <c r="AB1096" i="3"/>
  <c r="O1096" i="3" s="1"/>
  <c r="AB1097" i="3"/>
  <c r="O1097" i="3" s="1"/>
  <c r="AB1098" i="3"/>
  <c r="O1098" i="3" s="1"/>
  <c r="AB1099" i="3"/>
  <c r="O1099" i="3" s="1"/>
  <c r="AB1100" i="3"/>
  <c r="O1100" i="3" s="1"/>
  <c r="AB1101" i="3"/>
  <c r="O1101" i="3" s="1"/>
  <c r="AB1102" i="3"/>
  <c r="O1102" i="3" s="1"/>
  <c r="AB1103" i="3"/>
  <c r="O1103" i="3" s="1"/>
  <c r="AB1104" i="3"/>
  <c r="O1104" i="3" s="1"/>
  <c r="AB1105" i="3"/>
  <c r="O1105" i="3" s="1"/>
  <c r="AB1106" i="3"/>
  <c r="O1106" i="3" s="1"/>
  <c r="AB1107" i="3"/>
  <c r="O1107" i="3" s="1"/>
  <c r="Y1107" i="3" s="1"/>
  <c r="AB1108" i="3"/>
  <c r="O1108" i="3" s="1"/>
  <c r="AB1109" i="3"/>
  <c r="O1109" i="3" s="1"/>
  <c r="AB1110" i="3"/>
  <c r="O1110" i="3" s="1"/>
  <c r="AB1111" i="3"/>
  <c r="O1111" i="3" s="1"/>
  <c r="AB1112" i="3"/>
  <c r="O1112" i="3" s="1"/>
  <c r="AB1113" i="3"/>
  <c r="O1113" i="3" s="1"/>
  <c r="AB1114" i="3"/>
  <c r="O1114" i="3" s="1"/>
  <c r="AB1115" i="3"/>
  <c r="O1115" i="3" s="1"/>
  <c r="AB1116" i="3"/>
  <c r="O1116" i="3" s="1"/>
  <c r="AB1117" i="3"/>
  <c r="O1117" i="3" s="1"/>
  <c r="AC1093" i="3"/>
  <c r="N1093" i="3" s="1"/>
  <c r="AC1094" i="3"/>
  <c r="N1094" i="3" s="1"/>
  <c r="AC1095" i="3"/>
  <c r="N1095" i="3" s="1"/>
  <c r="AC1096" i="3"/>
  <c r="N1096" i="3" s="1"/>
  <c r="AC1097" i="3"/>
  <c r="N1097" i="3" s="1"/>
  <c r="AC1098" i="3"/>
  <c r="N1098" i="3" s="1"/>
  <c r="AC1099" i="3"/>
  <c r="N1099" i="3" s="1"/>
  <c r="AC1100" i="3"/>
  <c r="N1100" i="3" s="1"/>
  <c r="AC1101" i="3"/>
  <c r="N1101" i="3" s="1"/>
  <c r="AC1102" i="3"/>
  <c r="N1102" i="3" s="1"/>
  <c r="AC1103" i="3"/>
  <c r="N1103" i="3" s="1"/>
  <c r="AC1104" i="3"/>
  <c r="N1104" i="3" s="1"/>
  <c r="AC1105" i="3"/>
  <c r="N1105" i="3" s="1"/>
  <c r="AC1106" i="3"/>
  <c r="N1106" i="3" s="1"/>
  <c r="AC1107" i="3"/>
  <c r="N1107" i="3" s="1"/>
  <c r="AC1108" i="3"/>
  <c r="N1108" i="3" s="1"/>
  <c r="AC1109" i="3"/>
  <c r="N1109" i="3" s="1"/>
  <c r="AC1110" i="3"/>
  <c r="N1110" i="3" s="1"/>
  <c r="AC1111" i="3"/>
  <c r="N1111" i="3" s="1"/>
  <c r="AC1112" i="3"/>
  <c r="N1112" i="3" s="1"/>
  <c r="AC1113" i="3"/>
  <c r="N1113" i="3" s="1"/>
  <c r="AC1114" i="3"/>
  <c r="N1114" i="3" s="1"/>
  <c r="AC1115" i="3"/>
  <c r="N1115" i="3" s="1"/>
  <c r="AC1116" i="3"/>
  <c r="N1116" i="3" s="1"/>
  <c r="AC1117" i="3"/>
  <c r="N1117" i="3" s="1"/>
  <c r="AK1093" i="3"/>
  <c r="AK1094" i="3"/>
  <c r="AK1095" i="3"/>
  <c r="AK1096" i="3"/>
  <c r="AK1097" i="3"/>
  <c r="AK1098" i="3"/>
  <c r="AK1099" i="3"/>
  <c r="AK1100" i="3"/>
  <c r="AK1101" i="3"/>
  <c r="AK1102" i="3"/>
  <c r="AK1103" i="3"/>
  <c r="AK1104" i="3"/>
  <c r="AK1105" i="3"/>
  <c r="AK1106" i="3"/>
  <c r="AK1107" i="3"/>
  <c r="AK1108" i="3"/>
  <c r="AK1109" i="3"/>
  <c r="AK1110" i="3"/>
  <c r="AK1111" i="3"/>
  <c r="AK1112" i="3"/>
  <c r="AK1113" i="3"/>
  <c r="AK1114" i="3"/>
  <c r="AK1115" i="3"/>
  <c r="AK1116" i="3"/>
  <c r="AK1117" i="3"/>
  <c r="M1082" i="3"/>
  <c r="M1083" i="3"/>
  <c r="M1084" i="3"/>
  <c r="M1085" i="3"/>
  <c r="M1086" i="3"/>
  <c r="M1087" i="3"/>
  <c r="M1088" i="3"/>
  <c r="M1089" i="3"/>
  <c r="M1090" i="3"/>
  <c r="M1091" i="3"/>
  <c r="M1092" i="3"/>
  <c r="P1082" i="3"/>
  <c r="P1083" i="3"/>
  <c r="P1084" i="3"/>
  <c r="P1085" i="3"/>
  <c r="P1086" i="3"/>
  <c r="P1087" i="3"/>
  <c r="P1088" i="3"/>
  <c r="P1089" i="3"/>
  <c r="P1090" i="3"/>
  <c r="P1091" i="3"/>
  <c r="P1092" i="3"/>
  <c r="Q1082" i="3"/>
  <c r="Q1083" i="3"/>
  <c r="Q1084" i="3"/>
  <c r="Q1085" i="3"/>
  <c r="Q1086" i="3"/>
  <c r="Q1087" i="3"/>
  <c r="Q1088" i="3"/>
  <c r="Q1089" i="3"/>
  <c r="Q1090" i="3"/>
  <c r="Q1091" i="3"/>
  <c r="Q1092" i="3"/>
  <c r="R1082" i="3"/>
  <c r="R1083" i="3"/>
  <c r="R1084" i="3"/>
  <c r="R1085" i="3"/>
  <c r="R1086" i="3"/>
  <c r="R1087" i="3"/>
  <c r="R1088" i="3"/>
  <c r="R1089" i="3"/>
  <c r="R1090" i="3"/>
  <c r="R1091" i="3"/>
  <c r="R1092" i="3"/>
  <c r="S1083" i="3"/>
  <c r="S1084" i="3"/>
  <c r="S1085" i="3"/>
  <c r="S1086" i="3"/>
  <c r="S1087" i="3"/>
  <c r="S1088" i="3"/>
  <c r="S1089" i="3"/>
  <c r="S1090" i="3"/>
  <c r="S1091" i="3"/>
  <c r="S1092" i="3"/>
  <c r="T1082" i="3"/>
  <c r="U1082" i="3"/>
  <c r="V1082" i="3"/>
  <c r="W1082" i="3"/>
  <c r="X1082" i="3"/>
  <c r="AA1082" i="3"/>
  <c r="AA1083" i="3"/>
  <c r="AA1084" i="3"/>
  <c r="AA1085" i="3"/>
  <c r="AA1086" i="3"/>
  <c r="AA1087" i="3"/>
  <c r="AA1088" i="3"/>
  <c r="AA1089" i="3"/>
  <c r="AA1090" i="3"/>
  <c r="AA1091" i="3"/>
  <c r="AA1092" i="3"/>
  <c r="AB1082" i="3"/>
  <c r="O1082" i="3" s="1"/>
  <c r="Y1082" i="3" s="1"/>
  <c r="AB1083" i="3"/>
  <c r="O1083" i="3" s="1"/>
  <c r="AB1084" i="3"/>
  <c r="O1084" i="3" s="1"/>
  <c r="AB1085" i="3"/>
  <c r="O1085" i="3" s="1"/>
  <c r="AB1086" i="3"/>
  <c r="O1086" i="3" s="1"/>
  <c r="AB1087" i="3"/>
  <c r="O1087" i="3" s="1"/>
  <c r="AB1088" i="3"/>
  <c r="O1088" i="3" s="1"/>
  <c r="AB1089" i="3"/>
  <c r="O1089" i="3" s="1"/>
  <c r="AB1090" i="3"/>
  <c r="O1090" i="3" s="1"/>
  <c r="AB1091" i="3"/>
  <c r="O1091" i="3" s="1"/>
  <c r="AB1092" i="3"/>
  <c r="O1092" i="3" s="1"/>
  <c r="AC1082" i="3"/>
  <c r="N1082" i="3" s="1"/>
  <c r="AC1083" i="3"/>
  <c r="N1083" i="3" s="1"/>
  <c r="AC1084" i="3"/>
  <c r="N1084" i="3" s="1"/>
  <c r="AC1085" i="3"/>
  <c r="N1085" i="3" s="1"/>
  <c r="AC1086" i="3"/>
  <c r="N1086" i="3" s="1"/>
  <c r="AC1087" i="3"/>
  <c r="N1087" i="3" s="1"/>
  <c r="AC1088" i="3"/>
  <c r="N1088" i="3" s="1"/>
  <c r="AC1089" i="3"/>
  <c r="N1089" i="3" s="1"/>
  <c r="AC1090" i="3"/>
  <c r="N1090" i="3" s="1"/>
  <c r="AC1091" i="3"/>
  <c r="N1091" i="3" s="1"/>
  <c r="AC1092" i="3"/>
  <c r="N1092" i="3" s="1"/>
  <c r="AK1082" i="3"/>
  <c r="AK1083" i="3"/>
  <c r="AK1084" i="3"/>
  <c r="AK1085" i="3"/>
  <c r="AK1086" i="3"/>
  <c r="AK1087" i="3"/>
  <c r="AK1088" i="3"/>
  <c r="AK1089" i="3"/>
  <c r="AK1090" i="3"/>
  <c r="AK1091" i="3"/>
  <c r="AK1092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2" i="3"/>
  <c r="S1073" i="3"/>
  <c r="S1074" i="3"/>
  <c r="S1075" i="3"/>
  <c r="S1076" i="3"/>
  <c r="S1077" i="3"/>
  <c r="S1078" i="3"/>
  <c r="S1079" i="3"/>
  <c r="S1080" i="3"/>
  <c r="S1081" i="3"/>
  <c r="T1057" i="3"/>
  <c r="T1071" i="3"/>
  <c r="U1057" i="3"/>
  <c r="U1071" i="3"/>
  <c r="V1057" i="3"/>
  <c r="V1071" i="3"/>
  <c r="W1057" i="3"/>
  <c r="W1071" i="3"/>
  <c r="X1057" i="3"/>
  <c r="X1071" i="3"/>
  <c r="AA1057" i="3"/>
  <c r="AA1058" i="3"/>
  <c r="AA1059" i="3"/>
  <c r="AA1060" i="3"/>
  <c r="AA1061" i="3"/>
  <c r="AA1062" i="3"/>
  <c r="AA1063" i="3"/>
  <c r="AA1064" i="3"/>
  <c r="AA1065" i="3"/>
  <c r="AA1066" i="3"/>
  <c r="AA1067" i="3"/>
  <c r="AA1068" i="3"/>
  <c r="AA1069" i="3"/>
  <c r="AA1070" i="3"/>
  <c r="AA1071" i="3"/>
  <c r="AA1072" i="3"/>
  <c r="AA1073" i="3"/>
  <c r="AA1074" i="3"/>
  <c r="AA1075" i="3"/>
  <c r="AA1076" i="3"/>
  <c r="AA1077" i="3"/>
  <c r="AA1078" i="3"/>
  <c r="AA1079" i="3"/>
  <c r="AA1080" i="3"/>
  <c r="AA1081" i="3"/>
  <c r="AB1057" i="3"/>
  <c r="O1057" i="3" s="1"/>
  <c r="Y1057" i="3" s="1"/>
  <c r="AB1058" i="3"/>
  <c r="O1058" i="3" s="1"/>
  <c r="AB1059" i="3"/>
  <c r="O1059" i="3" s="1"/>
  <c r="AB1060" i="3"/>
  <c r="O1060" i="3" s="1"/>
  <c r="AB1061" i="3"/>
  <c r="O1061" i="3" s="1"/>
  <c r="AB1062" i="3"/>
  <c r="O1062" i="3" s="1"/>
  <c r="AB1063" i="3"/>
  <c r="O1063" i="3" s="1"/>
  <c r="AB1064" i="3"/>
  <c r="O1064" i="3" s="1"/>
  <c r="AB1065" i="3"/>
  <c r="O1065" i="3" s="1"/>
  <c r="AB1066" i="3"/>
  <c r="O1066" i="3" s="1"/>
  <c r="AB1067" i="3"/>
  <c r="O1067" i="3" s="1"/>
  <c r="AB1068" i="3"/>
  <c r="O1068" i="3" s="1"/>
  <c r="AB1069" i="3"/>
  <c r="O1069" i="3" s="1"/>
  <c r="AB1070" i="3"/>
  <c r="O1070" i="3" s="1"/>
  <c r="AB1071" i="3"/>
  <c r="O1071" i="3" s="1"/>
  <c r="Y1071" i="3" s="1"/>
  <c r="AB1072" i="3"/>
  <c r="O1072" i="3" s="1"/>
  <c r="AB1073" i="3"/>
  <c r="O1073" i="3" s="1"/>
  <c r="AB1074" i="3"/>
  <c r="O1074" i="3" s="1"/>
  <c r="AB1075" i="3"/>
  <c r="O1075" i="3" s="1"/>
  <c r="AB1076" i="3"/>
  <c r="O1076" i="3" s="1"/>
  <c r="AB1077" i="3"/>
  <c r="O1077" i="3" s="1"/>
  <c r="AB1078" i="3"/>
  <c r="O1078" i="3" s="1"/>
  <c r="AB1079" i="3"/>
  <c r="O1079" i="3" s="1"/>
  <c r="AB1080" i="3"/>
  <c r="O1080" i="3" s="1"/>
  <c r="AB1081" i="3"/>
  <c r="O1081" i="3" s="1"/>
  <c r="AC1057" i="3"/>
  <c r="N1057" i="3" s="1"/>
  <c r="AC1058" i="3"/>
  <c r="N1058" i="3" s="1"/>
  <c r="AC1059" i="3"/>
  <c r="N1059" i="3" s="1"/>
  <c r="AC1060" i="3"/>
  <c r="N1060" i="3" s="1"/>
  <c r="AC1061" i="3"/>
  <c r="N1061" i="3" s="1"/>
  <c r="AC1062" i="3"/>
  <c r="N1062" i="3" s="1"/>
  <c r="AC1063" i="3"/>
  <c r="N1063" i="3" s="1"/>
  <c r="AC1064" i="3"/>
  <c r="N1064" i="3" s="1"/>
  <c r="AC1065" i="3"/>
  <c r="N1065" i="3" s="1"/>
  <c r="AC1066" i="3"/>
  <c r="N1066" i="3" s="1"/>
  <c r="AC1067" i="3"/>
  <c r="N1067" i="3" s="1"/>
  <c r="AC1068" i="3"/>
  <c r="N1068" i="3" s="1"/>
  <c r="AC1069" i="3"/>
  <c r="N1069" i="3" s="1"/>
  <c r="AC1070" i="3"/>
  <c r="N1070" i="3" s="1"/>
  <c r="AC1071" i="3"/>
  <c r="N1071" i="3" s="1"/>
  <c r="AC1072" i="3"/>
  <c r="N1072" i="3" s="1"/>
  <c r="AC1073" i="3"/>
  <c r="N1073" i="3" s="1"/>
  <c r="AC1074" i="3"/>
  <c r="N1074" i="3" s="1"/>
  <c r="AC1075" i="3"/>
  <c r="N1075" i="3" s="1"/>
  <c r="AC1076" i="3"/>
  <c r="N1076" i="3" s="1"/>
  <c r="AC1077" i="3"/>
  <c r="N1077" i="3" s="1"/>
  <c r="AC1078" i="3"/>
  <c r="N1078" i="3" s="1"/>
  <c r="AC1079" i="3"/>
  <c r="N1079" i="3" s="1"/>
  <c r="AC1080" i="3"/>
  <c r="N1080" i="3" s="1"/>
  <c r="AC1081" i="3"/>
  <c r="N1081" i="3" s="1"/>
  <c r="AK1057" i="3"/>
  <c r="AK1058" i="3"/>
  <c r="AK1059" i="3"/>
  <c r="AK1060" i="3"/>
  <c r="AK1061" i="3"/>
  <c r="AK1062" i="3"/>
  <c r="AK1063" i="3"/>
  <c r="AK1064" i="3"/>
  <c r="AK1065" i="3"/>
  <c r="AK1066" i="3"/>
  <c r="AK1067" i="3"/>
  <c r="AK1068" i="3"/>
  <c r="AK1069" i="3"/>
  <c r="AK1070" i="3"/>
  <c r="AK1071" i="3"/>
  <c r="AK1072" i="3"/>
  <c r="AK1073" i="3"/>
  <c r="AK1074" i="3"/>
  <c r="AK1075" i="3"/>
  <c r="AK1076" i="3"/>
  <c r="AK1077" i="3"/>
  <c r="AK1078" i="3"/>
  <c r="AK1079" i="3"/>
  <c r="AK1080" i="3"/>
  <c r="AK1081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S1035" i="3"/>
  <c r="S1036" i="3"/>
  <c r="S1037" i="3"/>
  <c r="S1038" i="3"/>
  <c r="S1039" i="3"/>
  <c r="S1040" i="3"/>
  <c r="S1041" i="3"/>
  <c r="S1042" i="3"/>
  <c r="S1043" i="3"/>
  <c r="S1044" i="3"/>
  <c r="S1045" i="3"/>
  <c r="S1047" i="3"/>
  <c r="S1048" i="3"/>
  <c r="S1049" i="3"/>
  <c r="S1050" i="3"/>
  <c r="S1051" i="3"/>
  <c r="S1052" i="3"/>
  <c r="S1053" i="3"/>
  <c r="S1054" i="3"/>
  <c r="S1055" i="3"/>
  <c r="S1056" i="3"/>
  <c r="T1034" i="3"/>
  <c r="T1046" i="3"/>
  <c r="U1034" i="3"/>
  <c r="U1046" i="3"/>
  <c r="V1034" i="3"/>
  <c r="V1046" i="3"/>
  <c r="W1034" i="3"/>
  <c r="W1046" i="3"/>
  <c r="X1034" i="3"/>
  <c r="X1046" i="3"/>
  <c r="AA1034" i="3"/>
  <c r="AA1035" i="3"/>
  <c r="AA1036" i="3"/>
  <c r="AA1037" i="3"/>
  <c r="AA1038" i="3"/>
  <c r="AA1039" i="3"/>
  <c r="AA1040" i="3"/>
  <c r="AA1041" i="3"/>
  <c r="AA1042" i="3"/>
  <c r="AA1043" i="3"/>
  <c r="AA1044" i="3"/>
  <c r="AA1045" i="3"/>
  <c r="AA1046" i="3"/>
  <c r="AA1047" i="3"/>
  <c r="AA1048" i="3"/>
  <c r="AA1049" i="3"/>
  <c r="AA1050" i="3"/>
  <c r="AA1051" i="3"/>
  <c r="AA1052" i="3"/>
  <c r="AA1053" i="3"/>
  <c r="AA1054" i="3"/>
  <c r="AA1055" i="3"/>
  <c r="AA1056" i="3"/>
  <c r="AB1034" i="3"/>
  <c r="O1034" i="3" s="1"/>
  <c r="AB1035" i="3"/>
  <c r="O1035" i="3" s="1"/>
  <c r="AB1036" i="3"/>
  <c r="O1036" i="3" s="1"/>
  <c r="AB1037" i="3"/>
  <c r="O1037" i="3" s="1"/>
  <c r="AB1038" i="3"/>
  <c r="O1038" i="3" s="1"/>
  <c r="AB1039" i="3"/>
  <c r="O1039" i="3" s="1"/>
  <c r="AB1040" i="3"/>
  <c r="O1040" i="3" s="1"/>
  <c r="AB1041" i="3"/>
  <c r="O1041" i="3" s="1"/>
  <c r="AB1042" i="3"/>
  <c r="O1042" i="3" s="1"/>
  <c r="AB1043" i="3"/>
  <c r="O1043" i="3" s="1"/>
  <c r="AB1044" i="3"/>
  <c r="O1044" i="3" s="1"/>
  <c r="AB1045" i="3"/>
  <c r="O1045" i="3" s="1"/>
  <c r="AB1046" i="3"/>
  <c r="O1046" i="3" s="1"/>
  <c r="AB1047" i="3"/>
  <c r="O1047" i="3" s="1"/>
  <c r="AB1048" i="3"/>
  <c r="O1048" i="3" s="1"/>
  <c r="AB1049" i="3"/>
  <c r="O1049" i="3" s="1"/>
  <c r="AB1050" i="3"/>
  <c r="O1050" i="3" s="1"/>
  <c r="AB1051" i="3"/>
  <c r="O1051" i="3" s="1"/>
  <c r="AB1052" i="3"/>
  <c r="O1052" i="3" s="1"/>
  <c r="AB1053" i="3"/>
  <c r="O1053" i="3" s="1"/>
  <c r="AB1054" i="3"/>
  <c r="O1054" i="3" s="1"/>
  <c r="AB1055" i="3"/>
  <c r="O1055" i="3" s="1"/>
  <c r="AB1056" i="3"/>
  <c r="O1056" i="3" s="1"/>
  <c r="AC1034" i="3"/>
  <c r="N1034" i="3" s="1"/>
  <c r="AC1035" i="3"/>
  <c r="N1035" i="3" s="1"/>
  <c r="AC1036" i="3"/>
  <c r="N1036" i="3" s="1"/>
  <c r="AC1037" i="3"/>
  <c r="N1037" i="3" s="1"/>
  <c r="AC1038" i="3"/>
  <c r="N1038" i="3" s="1"/>
  <c r="AC1039" i="3"/>
  <c r="N1039" i="3" s="1"/>
  <c r="AC1040" i="3"/>
  <c r="N1040" i="3" s="1"/>
  <c r="AC1041" i="3"/>
  <c r="N1041" i="3" s="1"/>
  <c r="AC1042" i="3"/>
  <c r="N1042" i="3" s="1"/>
  <c r="AC1043" i="3"/>
  <c r="N1043" i="3" s="1"/>
  <c r="AC1044" i="3"/>
  <c r="N1044" i="3" s="1"/>
  <c r="AC1045" i="3"/>
  <c r="N1045" i="3" s="1"/>
  <c r="AC1046" i="3"/>
  <c r="N1046" i="3" s="1"/>
  <c r="AC1047" i="3"/>
  <c r="N1047" i="3" s="1"/>
  <c r="AC1048" i="3"/>
  <c r="N1048" i="3" s="1"/>
  <c r="AC1049" i="3"/>
  <c r="N1049" i="3" s="1"/>
  <c r="AC1050" i="3"/>
  <c r="N1050" i="3" s="1"/>
  <c r="AC1051" i="3"/>
  <c r="N1051" i="3" s="1"/>
  <c r="AC1052" i="3"/>
  <c r="N1052" i="3" s="1"/>
  <c r="AC1053" i="3"/>
  <c r="N1053" i="3" s="1"/>
  <c r="AC1054" i="3"/>
  <c r="N1054" i="3" s="1"/>
  <c r="AC1055" i="3"/>
  <c r="N1055" i="3" s="1"/>
  <c r="AC1056" i="3"/>
  <c r="N1056" i="3" s="1"/>
  <c r="AK1034" i="3"/>
  <c r="AK1035" i="3"/>
  <c r="AK1036" i="3"/>
  <c r="AK1037" i="3"/>
  <c r="AK1038" i="3"/>
  <c r="AK1039" i="3"/>
  <c r="AK1040" i="3"/>
  <c r="AK1041" i="3"/>
  <c r="AK1042" i="3"/>
  <c r="AK1043" i="3"/>
  <c r="AK1044" i="3"/>
  <c r="AK1045" i="3"/>
  <c r="AK1046" i="3"/>
  <c r="AK1047" i="3"/>
  <c r="AK1048" i="3"/>
  <c r="AK1049" i="3"/>
  <c r="AK1050" i="3"/>
  <c r="AK1051" i="3"/>
  <c r="AK1052" i="3"/>
  <c r="AK1053" i="3"/>
  <c r="AK1054" i="3"/>
  <c r="AK1055" i="3"/>
  <c r="AK1056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4" i="3"/>
  <c r="S1025" i="3"/>
  <c r="S1026" i="3"/>
  <c r="S1027" i="3"/>
  <c r="S1028" i="3"/>
  <c r="S1029" i="3"/>
  <c r="S1030" i="3"/>
  <c r="S1031" i="3"/>
  <c r="S1032" i="3"/>
  <c r="S1033" i="3"/>
  <c r="T1009" i="3"/>
  <c r="T1023" i="3"/>
  <c r="U1009" i="3"/>
  <c r="U1023" i="3"/>
  <c r="V1009" i="3"/>
  <c r="V1023" i="3"/>
  <c r="W1009" i="3"/>
  <c r="W1023" i="3"/>
  <c r="X1009" i="3"/>
  <c r="X1023" i="3"/>
  <c r="AA1009" i="3"/>
  <c r="AA1010" i="3"/>
  <c r="AA1011" i="3"/>
  <c r="AA1012" i="3"/>
  <c r="AA1013" i="3"/>
  <c r="AA1014" i="3"/>
  <c r="AA1015" i="3"/>
  <c r="AA1016" i="3"/>
  <c r="AA1017" i="3"/>
  <c r="AA1018" i="3"/>
  <c r="AA1019" i="3"/>
  <c r="AA1020" i="3"/>
  <c r="AA1021" i="3"/>
  <c r="AA1022" i="3"/>
  <c r="AA1023" i="3"/>
  <c r="AA1024" i="3"/>
  <c r="AA1025" i="3"/>
  <c r="AA1026" i="3"/>
  <c r="AA1027" i="3"/>
  <c r="AA1028" i="3"/>
  <c r="AA1029" i="3"/>
  <c r="AA1030" i="3"/>
  <c r="AA1031" i="3"/>
  <c r="AA1032" i="3"/>
  <c r="AA1033" i="3"/>
  <c r="AB1009" i="3"/>
  <c r="O1009" i="3" s="1"/>
  <c r="Y1009" i="3" s="1"/>
  <c r="AB1010" i="3"/>
  <c r="O1010" i="3" s="1"/>
  <c r="AB1011" i="3"/>
  <c r="O1011" i="3" s="1"/>
  <c r="AB1012" i="3"/>
  <c r="O1012" i="3" s="1"/>
  <c r="AB1013" i="3"/>
  <c r="O1013" i="3" s="1"/>
  <c r="AB1014" i="3"/>
  <c r="O1014" i="3" s="1"/>
  <c r="AB1015" i="3"/>
  <c r="O1015" i="3" s="1"/>
  <c r="AB1016" i="3"/>
  <c r="O1016" i="3" s="1"/>
  <c r="AB1017" i="3"/>
  <c r="O1017" i="3" s="1"/>
  <c r="AB1018" i="3"/>
  <c r="O1018" i="3" s="1"/>
  <c r="AB1019" i="3"/>
  <c r="O1019" i="3" s="1"/>
  <c r="AB1020" i="3"/>
  <c r="O1020" i="3" s="1"/>
  <c r="AB1021" i="3"/>
  <c r="O1021" i="3" s="1"/>
  <c r="AB1022" i="3"/>
  <c r="O1022" i="3" s="1"/>
  <c r="AB1023" i="3"/>
  <c r="O1023" i="3" s="1"/>
  <c r="Y1023" i="3" s="1"/>
  <c r="AB1024" i="3"/>
  <c r="O1024" i="3" s="1"/>
  <c r="AB1025" i="3"/>
  <c r="O1025" i="3" s="1"/>
  <c r="AB1026" i="3"/>
  <c r="O1026" i="3" s="1"/>
  <c r="AB1027" i="3"/>
  <c r="O1027" i="3" s="1"/>
  <c r="AB1028" i="3"/>
  <c r="O1028" i="3" s="1"/>
  <c r="AB1029" i="3"/>
  <c r="O1029" i="3" s="1"/>
  <c r="AB1030" i="3"/>
  <c r="O1030" i="3" s="1"/>
  <c r="AB1031" i="3"/>
  <c r="O1031" i="3" s="1"/>
  <c r="AB1032" i="3"/>
  <c r="O1032" i="3" s="1"/>
  <c r="AB1033" i="3"/>
  <c r="O1033" i="3" s="1"/>
  <c r="AC1009" i="3"/>
  <c r="N1009" i="3" s="1"/>
  <c r="AC1010" i="3"/>
  <c r="N1010" i="3" s="1"/>
  <c r="AC1011" i="3"/>
  <c r="N1011" i="3" s="1"/>
  <c r="AC1012" i="3"/>
  <c r="N1012" i="3" s="1"/>
  <c r="AC1013" i="3"/>
  <c r="N1013" i="3" s="1"/>
  <c r="AC1014" i="3"/>
  <c r="N1014" i="3" s="1"/>
  <c r="AC1015" i="3"/>
  <c r="N1015" i="3" s="1"/>
  <c r="AC1016" i="3"/>
  <c r="N1016" i="3" s="1"/>
  <c r="AC1017" i="3"/>
  <c r="N1017" i="3" s="1"/>
  <c r="AC1018" i="3"/>
  <c r="N1018" i="3" s="1"/>
  <c r="AC1019" i="3"/>
  <c r="N1019" i="3" s="1"/>
  <c r="AC1020" i="3"/>
  <c r="N1020" i="3" s="1"/>
  <c r="AC1021" i="3"/>
  <c r="N1021" i="3" s="1"/>
  <c r="AC1022" i="3"/>
  <c r="N1022" i="3" s="1"/>
  <c r="AC1023" i="3"/>
  <c r="N1023" i="3" s="1"/>
  <c r="AC1024" i="3"/>
  <c r="N1024" i="3" s="1"/>
  <c r="AC1025" i="3"/>
  <c r="N1025" i="3" s="1"/>
  <c r="AC1026" i="3"/>
  <c r="N1026" i="3" s="1"/>
  <c r="AC1027" i="3"/>
  <c r="N1027" i="3" s="1"/>
  <c r="AC1028" i="3"/>
  <c r="N1028" i="3" s="1"/>
  <c r="AC1029" i="3"/>
  <c r="N1029" i="3" s="1"/>
  <c r="AC1030" i="3"/>
  <c r="N1030" i="3" s="1"/>
  <c r="AC1031" i="3"/>
  <c r="N1031" i="3" s="1"/>
  <c r="AC1032" i="3"/>
  <c r="N1032" i="3" s="1"/>
  <c r="AC1033" i="3"/>
  <c r="N1033" i="3" s="1"/>
  <c r="AK1009" i="3"/>
  <c r="AK1010" i="3"/>
  <c r="AK1011" i="3"/>
  <c r="AK1012" i="3"/>
  <c r="AK1013" i="3"/>
  <c r="AK1014" i="3"/>
  <c r="AK1015" i="3"/>
  <c r="AK1016" i="3"/>
  <c r="AK1017" i="3"/>
  <c r="AK1018" i="3"/>
  <c r="AK1019" i="3"/>
  <c r="AK1020" i="3"/>
  <c r="AK1021" i="3"/>
  <c r="AK1022" i="3"/>
  <c r="AK1023" i="3"/>
  <c r="AK1024" i="3"/>
  <c r="AK1025" i="3"/>
  <c r="AK1026" i="3"/>
  <c r="AK1027" i="3"/>
  <c r="AK1028" i="3"/>
  <c r="AK1029" i="3"/>
  <c r="AK1030" i="3"/>
  <c r="AK1031" i="3"/>
  <c r="AK1032" i="3"/>
  <c r="AK1033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S987" i="3"/>
  <c r="S988" i="3"/>
  <c r="S989" i="3"/>
  <c r="S990" i="3"/>
  <c r="S991" i="3"/>
  <c r="S992" i="3"/>
  <c r="S993" i="3"/>
  <c r="S994" i="3"/>
  <c r="S995" i="3"/>
  <c r="S996" i="3"/>
  <c r="S997" i="3"/>
  <c r="S999" i="3"/>
  <c r="S1000" i="3"/>
  <c r="S1001" i="3"/>
  <c r="S1002" i="3"/>
  <c r="S1003" i="3"/>
  <c r="S1004" i="3"/>
  <c r="S1005" i="3"/>
  <c r="S1006" i="3"/>
  <c r="S1007" i="3"/>
  <c r="S1008" i="3"/>
  <c r="T986" i="3"/>
  <c r="T998" i="3"/>
  <c r="U986" i="3"/>
  <c r="U998" i="3"/>
  <c r="V986" i="3"/>
  <c r="V998" i="3"/>
  <c r="W986" i="3"/>
  <c r="W998" i="3"/>
  <c r="X986" i="3"/>
  <c r="X998" i="3"/>
  <c r="AA986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AA1002" i="3"/>
  <c r="AA1003" i="3"/>
  <c r="AA1004" i="3"/>
  <c r="AA1005" i="3"/>
  <c r="AA1006" i="3"/>
  <c r="AA1007" i="3"/>
  <c r="AA1008" i="3"/>
  <c r="AB986" i="3"/>
  <c r="O986" i="3" s="1"/>
  <c r="Y986" i="3" s="1"/>
  <c r="AB987" i="3"/>
  <c r="O987" i="3" s="1"/>
  <c r="AB988" i="3"/>
  <c r="O988" i="3" s="1"/>
  <c r="AB989" i="3"/>
  <c r="O989" i="3" s="1"/>
  <c r="AB990" i="3"/>
  <c r="O990" i="3" s="1"/>
  <c r="AB991" i="3"/>
  <c r="O991" i="3" s="1"/>
  <c r="AB992" i="3"/>
  <c r="O992" i="3" s="1"/>
  <c r="AB993" i="3"/>
  <c r="O993" i="3" s="1"/>
  <c r="AB994" i="3"/>
  <c r="O994" i="3" s="1"/>
  <c r="AB995" i="3"/>
  <c r="O995" i="3" s="1"/>
  <c r="AB996" i="3"/>
  <c r="O996" i="3" s="1"/>
  <c r="AB997" i="3"/>
  <c r="O997" i="3" s="1"/>
  <c r="AB998" i="3"/>
  <c r="O998" i="3" s="1"/>
  <c r="Y998" i="3" s="1"/>
  <c r="AB999" i="3"/>
  <c r="O999" i="3" s="1"/>
  <c r="AB1000" i="3"/>
  <c r="O1000" i="3" s="1"/>
  <c r="AB1001" i="3"/>
  <c r="O1001" i="3" s="1"/>
  <c r="AB1002" i="3"/>
  <c r="O1002" i="3" s="1"/>
  <c r="AB1003" i="3"/>
  <c r="O1003" i="3" s="1"/>
  <c r="AB1004" i="3"/>
  <c r="O1004" i="3" s="1"/>
  <c r="AB1005" i="3"/>
  <c r="O1005" i="3" s="1"/>
  <c r="AB1006" i="3"/>
  <c r="O1006" i="3" s="1"/>
  <c r="AB1007" i="3"/>
  <c r="O1007" i="3" s="1"/>
  <c r="AB1008" i="3"/>
  <c r="O1008" i="3" s="1"/>
  <c r="AC986" i="3"/>
  <c r="N986" i="3" s="1"/>
  <c r="AC987" i="3"/>
  <c r="N987" i="3" s="1"/>
  <c r="AC988" i="3"/>
  <c r="N988" i="3" s="1"/>
  <c r="AC989" i="3"/>
  <c r="N989" i="3" s="1"/>
  <c r="AC990" i="3"/>
  <c r="N990" i="3" s="1"/>
  <c r="AC991" i="3"/>
  <c r="N991" i="3" s="1"/>
  <c r="AC992" i="3"/>
  <c r="N992" i="3" s="1"/>
  <c r="AC993" i="3"/>
  <c r="N993" i="3" s="1"/>
  <c r="AC994" i="3"/>
  <c r="N994" i="3" s="1"/>
  <c r="AC995" i="3"/>
  <c r="N995" i="3" s="1"/>
  <c r="AC996" i="3"/>
  <c r="N996" i="3" s="1"/>
  <c r="AC997" i="3"/>
  <c r="N997" i="3" s="1"/>
  <c r="AC998" i="3"/>
  <c r="N998" i="3" s="1"/>
  <c r="AC999" i="3"/>
  <c r="N999" i="3" s="1"/>
  <c r="AC1000" i="3"/>
  <c r="N1000" i="3" s="1"/>
  <c r="AC1001" i="3"/>
  <c r="N1001" i="3" s="1"/>
  <c r="AC1002" i="3"/>
  <c r="N1002" i="3" s="1"/>
  <c r="AC1003" i="3"/>
  <c r="N1003" i="3" s="1"/>
  <c r="AC1004" i="3"/>
  <c r="N1004" i="3" s="1"/>
  <c r="AC1005" i="3"/>
  <c r="N1005" i="3" s="1"/>
  <c r="AC1006" i="3"/>
  <c r="N1006" i="3" s="1"/>
  <c r="AC1007" i="3"/>
  <c r="N1007" i="3" s="1"/>
  <c r="AC1008" i="3"/>
  <c r="N1008" i="3" s="1"/>
  <c r="AK986" i="3"/>
  <c r="AK987" i="3"/>
  <c r="AK988" i="3"/>
  <c r="AK989" i="3"/>
  <c r="AK990" i="3"/>
  <c r="AK991" i="3"/>
  <c r="AK992" i="3"/>
  <c r="AK993" i="3"/>
  <c r="AK994" i="3"/>
  <c r="AK995" i="3"/>
  <c r="AK996" i="3"/>
  <c r="AK997" i="3"/>
  <c r="AK998" i="3"/>
  <c r="AK999" i="3"/>
  <c r="AK1000" i="3"/>
  <c r="AK1001" i="3"/>
  <c r="AK1002" i="3"/>
  <c r="AK1003" i="3"/>
  <c r="AK1004" i="3"/>
  <c r="AK1005" i="3"/>
  <c r="AK1006" i="3"/>
  <c r="AK1007" i="3"/>
  <c r="AK1008" i="3"/>
  <c r="M975" i="3"/>
  <c r="M976" i="3"/>
  <c r="M977" i="3"/>
  <c r="M978" i="3"/>
  <c r="M979" i="3"/>
  <c r="M980" i="3"/>
  <c r="M981" i="3"/>
  <c r="M982" i="3"/>
  <c r="M983" i="3"/>
  <c r="M984" i="3"/>
  <c r="M985" i="3"/>
  <c r="P975" i="3"/>
  <c r="P976" i="3"/>
  <c r="P977" i="3"/>
  <c r="P978" i="3"/>
  <c r="P979" i="3"/>
  <c r="P980" i="3"/>
  <c r="P981" i="3"/>
  <c r="P982" i="3"/>
  <c r="P983" i="3"/>
  <c r="P984" i="3"/>
  <c r="P985" i="3"/>
  <c r="Q975" i="3"/>
  <c r="Q976" i="3"/>
  <c r="Q977" i="3"/>
  <c r="Q978" i="3"/>
  <c r="Q979" i="3"/>
  <c r="Q980" i="3"/>
  <c r="Q981" i="3"/>
  <c r="Q982" i="3"/>
  <c r="Q983" i="3"/>
  <c r="Q984" i="3"/>
  <c r="Q985" i="3"/>
  <c r="R975" i="3"/>
  <c r="R976" i="3"/>
  <c r="R977" i="3"/>
  <c r="R978" i="3"/>
  <c r="R979" i="3"/>
  <c r="R980" i="3"/>
  <c r="R981" i="3"/>
  <c r="R982" i="3"/>
  <c r="R983" i="3"/>
  <c r="R984" i="3"/>
  <c r="R985" i="3"/>
  <c r="S976" i="3"/>
  <c r="S977" i="3"/>
  <c r="S978" i="3"/>
  <c r="S979" i="3"/>
  <c r="S980" i="3"/>
  <c r="S981" i="3"/>
  <c r="S982" i="3"/>
  <c r="S983" i="3"/>
  <c r="S984" i="3"/>
  <c r="S985" i="3"/>
  <c r="T975" i="3"/>
  <c r="U975" i="3"/>
  <c r="V975" i="3"/>
  <c r="W975" i="3"/>
  <c r="X975" i="3"/>
  <c r="AA975" i="3"/>
  <c r="AA976" i="3"/>
  <c r="AA977" i="3"/>
  <c r="AA978" i="3"/>
  <c r="AA979" i="3"/>
  <c r="AA980" i="3"/>
  <c r="AA981" i="3"/>
  <c r="AA982" i="3"/>
  <c r="AA983" i="3"/>
  <c r="AA984" i="3"/>
  <c r="AA985" i="3"/>
  <c r="AB975" i="3"/>
  <c r="O975" i="3" s="1"/>
  <c r="Y975" i="3" s="1"/>
  <c r="AB976" i="3"/>
  <c r="O976" i="3" s="1"/>
  <c r="AB977" i="3"/>
  <c r="O977" i="3" s="1"/>
  <c r="AB978" i="3"/>
  <c r="O978" i="3" s="1"/>
  <c r="AB979" i="3"/>
  <c r="O979" i="3" s="1"/>
  <c r="AB980" i="3"/>
  <c r="O980" i="3" s="1"/>
  <c r="AB981" i="3"/>
  <c r="O981" i="3" s="1"/>
  <c r="AB982" i="3"/>
  <c r="O982" i="3" s="1"/>
  <c r="AB983" i="3"/>
  <c r="O983" i="3" s="1"/>
  <c r="AB984" i="3"/>
  <c r="O984" i="3" s="1"/>
  <c r="AB985" i="3"/>
  <c r="O985" i="3" s="1"/>
  <c r="AC975" i="3"/>
  <c r="N975" i="3" s="1"/>
  <c r="AC976" i="3"/>
  <c r="N976" i="3" s="1"/>
  <c r="AC977" i="3"/>
  <c r="N977" i="3" s="1"/>
  <c r="AC978" i="3"/>
  <c r="N978" i="3" s="1"/>
  <c r="AC979" i="3"/>
  <c r="N979" i="3" s="1"/>
  <c r="AC980" i="3"/>
  <c r="N980" i="3" s="1"/>
  <c r="AC981" i="3"/>
  <c r="N981" i="3" s="1"/>
  <c r="AC982" i="3"/>
  <c r="N982" i="3" s="1"/>
  <c r="AC983" i="3"/>
  <c r="N983" i="3" s="1"/>
  <c r="AC984" i="3"/>
  <c r="N984" i="3" s="1"/>
  <c r="AC985" i="3"/>
  <c r="N985" i="3" s="1"/>
  <c r="AK975" i="3"/>
  <c r="AK976" i="3"/>
  <c r="AK977" i="3"/>
  <c r="AK978" i="3"/>
  <c r="AK979" i="3"/>
  <c r="AK980" i="3"/>
  <c r="AK981" i="3"/>
  <c r="AK982" i="3"/>
  <c r="AK983" i="3"/>
  <c r="AK984" i="3"/>
  <c r="AK985" i="3"/>
  <c r="M964" i="3"/>
  <c r="M965" i="3"/>
  <c r="M966" i="3"/>
  <c r="M967" i="3"/>
  <c r="M968" i="3"/>
  <c r="M969" i="3"/>
  <c r="M970" i="3"/>
  <c r="M971" i="3"/>
  <c r="M972" i="3"/>
  <c r="M973" i="3"/>
  <c r="M974" i="3"/>
  <c r="P964" i="3"/>
  <c r="P965" i="3"/>
  <c r="P966" i="3"/>
  <c r="P967" i="3"/>
  <c r="P968" i="3"/>
  <c r="P969" i="3"/>
  <c r="P970" i="3"/>
  <c r="P971" i="3"/>
  <c r="P972" i="3"/>
  <c r="P973" i="3"/>
  <c r="P974" i="3"/>
  <c r="Q964" i="3"/>
  <c r="Q965" i="3"/>
  <c r="Q966" i="3"/>
  <c r="Q967" i="3"/>
  <c r="Q968" i="3"/>
  <c r="Q969" i="3"/>
  <c r="Q970" i="3"/>
  <c r="Q971" i="3"/>
  <c r="Q972" i="3"/>
  <c r="Q973" i="3"/>
  <c r="Q974" i="3"/>
  <c r="R964" i="3"/>
  <c r="R965" i="3"/>
  <c r="R966" i="3"/>
  <c r="R967" i="3"/>
  <c r="R968" i="3"/>
  <c r="R969" i="3"/>
  <c r="R970" i="3"/>
  <c r="R971" i="3"/>
  <c r="R972" i="3"/>
  <c r="R973" i="3"/>
  <c r="R974" i="3"/>
  <c r="S965" i="3"/>
  <c r="S966" i="3"/>
  <c r="S967" i="3"/>
  <c r="S968" i="3"/>
  <c r="S969" i="3"/>
  <c r="S970" i="3"/>
  <c r="S971" i="3"/>
  <c r="S972" i="3"/>
  <c r="S973" i="3"/>
  <c r="S974" i="3"/>
  <c r="T964" i="3"/>
  <c r="U964" i="3"/>
  <c r="V964" i="3"/>
  <c r="W964" i="3"/>
  <c r="X964" i="3"/>
  <c r="AA964" i="3"/>
  <c r="AA965" i="3"/>
  <c r="AA966" i="3"/>
  <c r="AA967" i="3"/>
  <c r="AA968" i="3"/>
  <c r="AA969" i="3"/>
  <c r="AA970" i="3"/>
  <c r="AA971" i="3"/>
  <c r="AA972" i="3"/>
  <c r="AA973" i="3"/>
  <c r="AA974" i="3"/>
  <c r="AB964" i="3"/>
  <c r="O964" i="3" s="1"/>
  <c r="Y964" i="3" s="1"/>
  <c r="AB965" i="3"/>
  <c r="O965" i="3" s="1"/>
  <c r="AB966" i="3"/>
  <c r="O966" i="3" s="1"/>
  <c r="AB967" i="3"/>
  <c r="O967" i="3" s="1"/>
  <c r="AB968" i="3"/>
  <c r="O968" i="3" s="1"/>
  <c r="AB969" i="3"/>
  <c r="O969" i="3" s="1"/>
  <c r="AB970" i="3"/>
  <c r="O970" i="3" s="1"/>
  <c r="AB971" i="3"/>
  <c r="O971" i="3" s="1"/>
  <c r="AB972" i="3"/>
  <c r="O972" i="3" s="1"/>
  <c r="AB973" i="3"/>
  <c r="O973" i="3" s="1"/>
  <c r="AB974" i="3"/>
  <c r="O974" i="3" s="1"/>
  <c r="AC964" i="3"/>
  <c r="N964" i="3" s="1"/>
  <c r="AC965" i="3"/>
  <c r="N965" i="3" s="1"/>
  <c r="AC966" i="3"/>
  <c r="N966" i="3" s="1"/>
  <c r="AC967" i="3"/>
  <c r="N967" i="3" s="1"/>
  <c r="AC968" i="3"/>
  <c r="N968" i="3" s="1"/>
  <c r="AC969" i="3"/>
  <c r="N969" i="3" s="1"/>
  <c r="AC970" i="3"/>
  <c r="N970" i="3" s="1"/>
  <c r="AC971" i="3"/>
  <c r="N971" i="3" s="1"/>
  <c r="AC972" i="3"/>
  <c r="N972" i="3" s="1"/>
  <c r="AC973" i="3"/>
  <c r="N973" i="3" s="1"/>
  <c r="AC974" i="3"/>
  <c r="N974" i="3" s="1"/>
  <c r="AK964" i="3"/>
  <c r="AK965" i="3"/>
  <c r="AK966" i="3"/>
  <c r="AK967" i="3"/>
  <c r="AK968" i="3"/>
  <c r="AK969" i="3"/>
  <c r="AK970" i="3"/>
  <c r="AK971" i="3"/>
  <c r="AK972" i="3"/>
  <c r="AK973" i="3"/>
  <c r="AK974" i="3"/>
  <c r="Z1221" i="3" l="1"/>
  <c r="S1188" i="3"/>
  <c r="Z1188" i="3" s="1"/>
  <c r="Z1273" i="3"/>
  <c r="Z1275" i="3"/>
  <c r="Z1279" i="3"/>
  <c r="Z1277" i="3"/>
  <c r="Z1281" i="3"/>
  <c r="Z1283" i="3"/>
  <c r="Z1285" i="3"/>
  <c r="Z1287" i="3"/>
  <c r="Z1289" i="3"/>
  <c r="Z1291" i="3"/>
  <c r="Z1272" i="3"/>
  <c r="Z1274" i="3"/>
  <c r="Z1276" i="3"/>
  <c r="Z1278" i="3"/>
  <c r="Z1280" i="3"/>
  <c r="Z1292" i="3"/>
  <c r="Z1284" i="3"/>
  <c r="Z1286" i="3"/>
  <c r="Z1288" i="3"/>
  <c r="Z1290" i="3"/>
  <c r="Y1151" i="3"/>
  <c r="S1232" i="3"/>
  <c r="Z1232" i="3" s="1"/>
  <c r="Y1129" i="3"/>
  <c r="Y1034" i="3"/>
  <c r="Y1046" i="3"/>
  <c r="S1199" i="3"/>
  <c r="Z1199" i="3" s="1"/>
  <c r="Y1199" i="3"/>
  <c r="S1257" i="3"/>
  <c r="Z1257" i="3" s="1"/>
  <c r="X1270" i="3"/>
  <c r="V1268" i="3"/>
  <c r="X1266" i="3"/>
  <c r="V1264" i="3"/>
  <c r="X1262" i="3"/>
  <c r="X1258" i="3"/>
  <c r="X1256" i="3"/>
  <c r="X1252" i="3"/>
  <c r="X1248" i="3"/>
  <c r="S1246" i="3"/>
  <c r="Z1246" i="3" s="1"/>
  <c r="T1269" i="3"/>
  <c r="V1269" i="3"/>
  <c r="X1269" i="3"/>
  <c r="U1269" i="3"/>
  <c r="T1267" i="3"/>
  <c r="V1267" i="3"/>
  <c r="X1267" i="3"/>
  <c r="U1267" i="3"/>
  <c r="T1265" i="3"/>
  <c r="V1265" i="3"/>
  <c r="X1265" i="3"/>
  <c r="U1265" i="3"/>
  <c r="T1263" i="3"/>
  <c r="V1263" i="3"/>
  <c r="X1263" i="3"/>
  <c r="U1263" i="3"/>
  <c r="T1261" i="3"/>
  <c r="V1261" i="3"/>
  <c r="X1261" i="3"/>
  <c r="U1261" i="3"/>
  <c r="T1259" i="3"/>
  <c r="V1259" i="3"/>
  <c r="X1259" i="3"/>
  <c r="U1259" i="3"/>
  <c r="T1255" i="3"/>
  <c r="V1255" i="3"/>
  <c r="X1255" i="3"/>
  <c r="U1255" i="3"/>
  <c r="T1253" i="3"/>
  <c r="V1253" i="3"/>
  <c r="X1253" i="3"/>
  <c r="U1253" i="3"/>
  <c r="T1251" i="3"/>
  <c r="V1251" i="3"/>
  <c r="X1251" i="3"/>
  <c r="U1251" i="3"/>
  <c r="T1249" i="3"/>
  <c r="V1249" i="3"/>
  <c r="X1249" i="3"/>
  <c r="U1249" i="3"/>
  <c r="T1247" i="3"/>
  <c r="V1247" i="3"/>
  <c r="X1247" i="3"/>
  <c r="U1247" i="3"/>
  <c r="Y1269" i="3"/>
  <c r="Y1267" i="3"/>
  <c r="Y1265" i="3"/>
  <c r="Y1263" i="3"/>
  <c r="Y1261" i="3"/>
  <c r="Y1259" i="3"/>
  <c r="Y1255" i="3"/>
  <c r="Y1253" i="3"/>
  <c r="Y1251" i="3"/>
  <c r="Y1249" i="3"/>
  <c r="W1269" i="3"/>
  <c r="W1265" i="3"/>
  <c r="W1261" i="3"/>
  <c r="W1253" i="3"/>
  <c r="W1249" i="3"/>
  <c r="U1270" i="3"/>
  <c r="W1270" i="3"/>
  <c r="T1270" i="3"/>
  <c r="U1268" i="3"/>
  <c r="W1268" i="3"/>
  <c r="T1268" i="3"/>
  <c r="U1266" i="3"/>
  <c r="W1266" i="3"/>
  <c r="T1266" i="3"/>
  <c r="U1264" i="3"/>
  <c r="W1264" i="3"/>
  <c r="T1264" i="3"/>
  <c r="U1262" i="3"/>
  <c r="W1262" i="3"/>
  <c r="T1262" i="3"/>
  <c r="V1262" i="3"/>
  <c r="U1260" i="3"/>
  <c r="W1260" i="3"/>
  <c r="T1260" i="3"/>
  <c r="V1260" i="3"/>
  <c r="U1258" i="3"/>
  <c r="W1258" i="3"/>
  <c r="T1258" i="3"/>
  <c r="V1258" i="3"/>
  <c r="U1256" i="3"/>
  <c r="W1256" i="3"/>
  <c r="T1256" i="3"/>
  <c r="V1256" i="3"/>
  <c r="U1254" i="3"/>
  <c r="W1254" i="3"/>
  <c r="T1254" i="3"/>
  <c r="V1254" i="3"/>
  <c r="U1252" i="3"/>
  <c r="W1252" i="3"/>
  <c r="T1252" i="3"/>
  <c r="V1252" i="3"/>
  <c r="U1250" i="3"/>
  <c r="W1250" i="3"/>
  <c r="T1250" i="3"/>
  <c r="V1250" i="3"/>
  <c r="U1248" i="3"/>
  <c r="W1248" i="3"/>
  <c r="Y1248" i="3"/>
  <c r="T1248" i="3"/>
  <c r="V1248" i="3"/>
  <c r="Y1270" i="3"/>
  <c r="Y1268" i="3"/>
  <c r="Y1266" i="3"/>
  <c r="Y1264" i="3"/>
  <c r="Y1262" i="3"/>
  <c r="Y1260" i="3"/>
  <c r="Y1258" i="3"/>
  <c r="Y1256" i="3"/>
  <c r="Y1254" i="3"/>
  <c r="Y1252" i="3"/>
  <c r="Y1250" i="3"/>
  <c r="Y1247" i="3"/>
  <c r="X1268" i="3"/>
  <c r="X1264" i="3"/>
  <c r="X1260" i="3"/>
  <c r="X1254" i="3"/>
  <c r="X1250" i="3"/>
  <c r="W1267" i="3"/>
  <c r="W1263" i="3"/>
  <c r="W1259" i="3"/>
  <c r="W1255" i="3"/>
  <c r="W1251" i="3"/>
  <c r="W1247" i="3"/>
  <c r="V1270" i="3"/>
  <c r="V1266" i="3"/>
  <c r="T1245" i="3"/>
  <c r="U1245" i="3"/>
  <c r="V1245" i="3"/>
  <c r="W1245" i="3"/>
  <c r="X1245" i="3"/>
  <c r="Y1245" i="3"/>
  <c r="T1243" i="3"/>
  <c r="U1243" i="3"/>
  <c r="V1243" i="3"/>
  <c r="W1243" i="3"/>
  <c r="X1243" i="3"/>
  <c r="Y1243" i="3"/>
  <c r="T1241" i="3"/>
  <c r="U1241" i="3"/>
  <c r="V1241" i="3"/>
  <c r="W1241" i="3"/>
  <c r="X1241" i="3"/>
  <c r="Y1241" i="3"/>
  <c r="T1239" i="3"/>
  <c r="U1239" i="3"/>
  <c r="V1239" i="3"/>
  <c r="W1239" i="3"/>
  <c r="X1239" i="3"/>
  <c r="Y1239" i="3"/>
  <c r="T1237" i="3"/>
  <c r="U1237" i="3"/>
  <c r="V1237" i="3"/>
  <c r="W1237" i="3"/>
  <c r="X1237" i="3"/>
  <c r="Y1237" i="3"/>
  <c r="T1235" i="3"/>
  <c r="U1235" i="3"/>
  <c r="V1235" i="3"/>
  <c r="W1235" i="3"/>
  <c r="X1235" i="3"/>
  <c r="Y1235" i="3"/>
  <c r="T1233" i="3"/>
  <c r="U1233" i="3"/>
  <c r="V1233" i="3"/>
  <c r="W1233" i="3"/>
  <c r="X1233" i="3"/>
  <c r="Y1233" i="3"/>
  <c r="T1244" i="3"/>
  <c r="U1244" i="3"/>
  <c r="V1244" i="3"/>
  <c r="W1244" i="3"/>
  <c r="X1244" i="3"/>
  <c r="Y1244" i="3"/>
  <c r="T1242" i="3"/>
  <c r="U1242" i="3"/>
  <c r="V1242" i="3"/>
  <c r="W1242" i="3"/>
  <c r="X1242" i="3"/>
  <c r="Y1242" i="3"/>
  <c r="T1240" i="3"/>
  <c r="U1240" i="3"/>
  <c r="V1240" i="3"/>
  <c r="W1240" i="3"/>
  <c r="X1240" i="3"/>
  <c r="Y1240" i="3"/>
  <c r="T1238" i="3"/>
  <c r="U1238" i="3"/>
  <c r="V1238" i="3"/>
  <c r="W1238" i="3"/>
  <c r="X1238" i="3"/>
  <c r="Y1238" i="3"/>
  <c r="T1236" i="3"/>
  <c r="U1236" i="3"/>
  <c r="V1236" i="3"/>
  <c r="W1236" i="3"/>
  <c r="X1236" i="3"/>
  <c r="Y1236" i="3"/>
  <c r="T1234" i="3"/>
  <c r="U1234" i="3"/>
  <c r="V1234" i="3"/>
  <c r="W1234" i="3"/>
  <c r="X1234" i="3"/>
  <c r="Y1234" i="3"/>
  <c r="T1231" i="3"/>
  <c r="U1231" i="3"/>
  <c r="V1231" i="3"/>
  <c r="W1231" i="3"/>
  <c r="X1231" i="3"/>
  <c r="Y1231" i="3"/>
  <c r="T1229" i="3"/>
  <c r="U1229" i="3"/>
  <c r="V1229" i="3"/>
  <c r="W1229" i="3"/>
  <c r="X1229" i="3"/>
  <c r="Y1229" i="3"/>
  <c r="T1227" i="3"/>
  <c r="U1227" i="3"/>
  <c r="V1227" i="3"/>
  <c r="W1227" i="3"/>
  <c r="X1227" i="3"/>
  <c r="Y1227" i="3"/>
  <c r="T1225" i="3"/>
  <c r="U1225" i="3"/>
  <c r="V1225" i="3"/>
  <c r="W1225" i="3"/>
  <c r="X1225" i="3"/>
  <c r="Y1225" i="3"/>
  <c r="T1223" i="3"/>
  <c r="U1223" i="3"/>
  <c r="V1223" i="3"/>
  <c r="W1223" i="3"/>
  <c r="X1223" i="3"/>
  <c r="Y1223" i="3"/>
  <c r="T1219" i="3"/>
  <c r="U1219" i="3"/>
  <c r="V1219" i="3"/>
  <c r="W1219" i="3"/>
  <c r="X1219" i="3"/>
  <c r="Y1219" i="3"/>
  <c r="T1217" i="3"/>
  <c r="U1217" i="3"/>
  <c r="V1217" i="3"/>
  <c r="W1217" i="3"/>
  <c r="X1217" i="3"/>
  <c r="Y1217" i="3"/>
  <c r="T1215" i="3"/>
  <c r="U1215" i="3"/>
  <c r="V1215" i="3"/>
  <c r="W1215" i="3"/>
  <c r="X1215" i="3"/>
  <c r="Y1215" i="3"/>
  <c r="T1213" i="3"/>
  <c r="U1213" i="3"/>
  <c r="V1213" i="3"/>
  <c r="W1213" i="3"/>
  <c r="X1213" i="3"/>
  <c r="Y1213" i="3"/>
  <c r="T1211" i="3"/>
  <c r="U1211" i="3"/>
  <c r="V1211" i="3"/>
  <c r="W1211" i="3"/>
  <c r="X1211" i="3"/>
  <c r="Y1211" i="3"/>
  <c r="T1230" i="3"/>
  <c r="U1230" i="3"/>
  <c r="V1230" i="3"/>
  <c r="W1230" i="3"/>
  <c r="X1230" i="3"/>
  <c r="T1228" i="3"/>
  <c r="U1228" i="3"/>
  <c r="V1228" i="3"/>
  <c r="W1228" i="3"/>
  <c r="X1228" i="3"/>
  <c r="Y1228" i="3"/>
  <c r="T1226" i="3"/>
  <c r="U1226" i="3"/>
  <c r="V1226" i="3"/>
  <c r="W1226" i="3"/>
  <c r="X1226" i="3"/>
  <c r="Y1226" i="3"/>
  <c r="T1224" i="3"/>
  <c r="U1224" i="3"/>
  <c r="V1224" i="3"/>
  <c r="W1224" i="3"/>
  <c r="X1224" i="3"/>
  <c r="Y1224" i="3"/>
  <c r="T1222" i="3"/>
  <c r="U1222" i="3"/>
  <c r="V1222" i="3"/>
  <c r="W1222" i="3"/>
  <c r="X1222" i="3"/>
  <c r="Y1222" i="3"/>
  <c r="T1220" i="3"/>
  <c r="U1220" i="3"/>
  <c r="V1220" i="3"/>
  <c r="W1220" i="3"/>
  <c r="X1220" i="3"/>
  <c r="Y1220" i="3"/>
  <c r="T1218" i="3"/>
  <c r="U1218" i="3"/>
  <c r="V1218" i="3"/>
  <c r="W1218" i="3"/>
  <c r="X1218" i="3"/>
  <c r="Y1218" i="3"/>
  <c r="T1216" i="3"/>
  <c r="U1216" i="3"/>
  <c r="V1216" i="3"/>
  <c r="W1216" i="3"/>
  <c r="X1216" i="3"/>
  <c r="Y1216" i="3"/>
  <c r="T1214" i="3"/>
  <c r="U1214" i="3"/>
  <c r="V1214" i="3"/>
  <c r="W1214" i="3"/>
  <c r="X1214" i="3"/>
  <c r="Y1214" i="3"/>
  <c r="T1212" i="3"/>
  <c r="U1212" i="3"/>
  <c r="V1212" i="3"/>
  <c r="W1212" i="3"/>
  <c r="X1212" i="3"/>
  <c r="Y1212" i="3"/>
  <c r="Y1230" i="3"/>
  <c r="T1208" i="3"/>
  <c r="U1208" i="3"/>
  <c r="V1208" i="3"/>
  <c r="W1208" i="3"/>
  <c r="X1208" i="3"/>
  <c r="Y1208" i="3"/>
  <c r="T1206" i="3"/>
  <c r="U1206" i="3"/>
  <c r="V1206" i="3"/>
  <c r="W1206" i="3"/>
  <c r="X1206" i="3"/>
  <c r="Y1206" i="3"/>
  <c r="T1204" i="3"/>
  <c r="U1204" i="3"/>
  <c r="V1204" i="3"/>
  <c r="W1204" i="3"/>
  <c r="X1204" i="3"/>
  <c r="Y1204" i="3"/>
  <c r="T1202" i="3"/>
  <c r="U1202" i="3"/>
  <c r="V1202" i="3"/>
  <c r="W1202" i="3"/>
  <c r="X1202" i="3"/>
  <c r="Y1202" i="3"/>
  <c r="T1200" i="3"/>
  <c r="U1200" i="3"/>
  <c r="V1200" i="3"/>
  <c r="W1200" i="3"/>
  <c r="X1200" i="3"/>
  <c r="Y1200" i="3"/>
  <c r="T1198" i="3"/>
  <c r="U1198" i="3"/>
  <c r="V1198" i="3"/>
  <c r="W1198" i="3"/>
  <c r="X1198" i="3"/>
  <c r="Y1198" i="3"/>
  <c r="T1196" i="3"/>
  <c r="U1196" i="3"/>
  <c r="V1196" i="3"/>
  <c r="W1196" i="3"/>
  <c r="X1196" i="3"/>
  <c r="Y1196" i="3"/>
  <c r="T1194" i="3"/>
  <c r="U1194" i="3"/>
  <c r="V1194" i="3"/>
  <c r="W1194" i="3"/>
  <c r="X1194" i="3"/>
  <c r="Y1194" i="3"/>
  <c r="T1192" i="3"/>
  <c r="U1192" i="3"/>
  <c r="V1192" i="3"/>
  <c r="W1192" i="3"/>
  <c r="X1192" i="3"/>
  <c r="Y1192" i="3"/>
  <c r="T1190" i="3"/>
  <c r="U1190" i="3"/>
  <c r="V1190" i="3"/>
  <c r="W1190" i="3"/>
  <c r="X1190" i="3"/>
  <c r="Y1190" i="3"/>
  <c r="T1209" i="3"/>
  <c r="U1209" i="3"/>
  <c r="V1209" i="3"/>
  <c r="W1209" i="3"/>
  <c r="X1209" i="3"/>
  <c r="Y1209" i="3"/>
  <c r="T1207" i="3"/>
  <c r="U1207" i="3"/>
  <c r="V1207" i="3"/>
  <c r="W1207" i="3"/>
  <c r="X1207" i="3"/>
  <c r="Y1207" i="3"/>
  <c r="T1205" i="3"/>
  <c r="U1205" i="3"/>
  <c r="V1205" i="3"/>
  <c r="W1205" i="3"/>
  <c r="X1205" i="3"/>
  <c r="Y1205" i="3"/>
  <c r="T1203" i="3"/>
  <c r="U1203" i="3"/>
  <c r="V1203" i="3"/>
  <c r="W1203" i="3"/>
  <c r="X1203" i="3"/>
  <c r="Y1203" i="3"/>
  <c r="T1201" i="3"/>
  <c r="U1201" i="3"/>
  <c r="V1201" i="3"/>
  <c r="W1201" i="3"/>
  <c r="X1201" i="3"/>
  <c r="Y1201" i="3"/>
  <c r="T1197" i="3"/>
  <c r="U1197" i="3"/>
  <c r="V1197" i="3"/>
  <c r="W1197" i="3"/>
  <c r="X1197" i="3"/>
  <c r="Y1197" i="3"/>
  <c r="T1195" i="3"/>
  <c r="U1195" i="3"/>
  <c r="V1195" i="3"/>
  <c r="W1195" i="3"/>
  <c r="X1195" i="3"/>
  <c r="Y1195" i="3"/>
  <c r="T1193" i="3"/>
  <c r="U1193" i="3"/>
  <c r="V1193" i="3"/>
  <c r="W1193" i="3"/>
  <c r="X1193" i="3"/>
  <c r="Y1193" i="3"/>
  <c r="T1191" i="3"/>
  <c r="U1191" i="3"/>
  <c r="V1191" i="3"/>
  <c r="W1191" i="3"/>
  <c r="X1191" i="3"/>
  <c r="Y1191" i="3"/>
  <c r="T1189" i="3"/>
  <c r="U1189" i="3"/>
  <c r="V1189" i="3"/>
  <c r="W1189" i="3"/>
  <c r="X1189" i="3"/>
  <c r="Y1189" i="3"/>
  <c r="S1165" i="3"/>
  <c r="Z1165" i="3" s="1"/>
  <c r="V1186" i="3"/>
  <c r="X1184" i="3"/>
  <c r="V1182" i="3"/>
  <c r="X1180" i="3"/>
  <c r="V1178" i="3"/>
  <c r="S1176" i="3"/>
  <c r="Z1176" i="3" s="1"/>
  <c r="X1172" i="3"/>
  <c r="X1168" i="3"/>
  <c r="U1187" i="3"/>
  <c r="T1187" i="3"/>
  <c r="V1187" i="3"/>
  <c r="X1187" i="3"/>
  <c r="U1185" i="3"/>
  <c r="T1185" i="3"/>
  <c r="V1185" i="3"/>
  <c r="X1185" i="3"/>
  <c r="U1183" i="3"/>
  <c r="T1183" i="3"/>
  <c r="V1183" i="3"/>
  <c r="X1183" i="3"/>
  <c r="U1181" i="3"/>
  <c r="T1181" i="3"/>
  <c r="V1181" i="3"/>
  <c r="X1181" i="3"/>
  <c r="U1179" i="3"/>
  <c r="T1179" i="3"/>
  <c r="V1179" i="3"/>
  <c r="X1179" i="3"/>
  <c r="U1177" i="3"/>
  <c r="T1177" i="3"/>
  <c r="V1177" i="3"/>
  <c r="X1177" i="3"/>
  <c r="U1175" i="3"/>
  <c r="T1175" i="3"/>
  <c r="V1175" i="3"/>
  <c r="X1175" i="3"/>
  <c r="U1173" i="3"/>
  <c r="T1173" i="3"/>
  <c r="V1173" i="3"/>
  <c r="X1173" i="3"/>
  <c r="U1171" i="3"/>
  <c r="T1171" i="3"/>
  <c r="V1171" i="3"/>
  <c r="X1171" i="3"/>
  <c r="U1169" i="3"/>
  <c r="T1169" i="3"/>
  <c r="V1169" i="3"/>
  <c r="X1169" i="3"/>
  <c r="U1167" i="3"/>
  <c r="T1167" i="3"/>
  <c r="V1167" i="3"/>
  <c r="X1167" i="3"/>
  <c r="Y1187" i="3"/>
  <c r="Y1185" i="3"/>
  <c r="Y1183" i="3"/>
  <c r="Y1181" i="3"/>
  <c r="Y1177" i="3"/>
  <c r="Y1173" i="3"/>
  <c r="Y1169" i="3"/>
  <c r="W1185" i="3"/>
  <c r="W1181" i="3"/>
  <c r="W1177" i="3"/>
  <c r="W1175" i="3"/>
  <c r="W1171" i="3"/>
  <c r="W1167" i="3"/>
  <c r="T1186" i="3"/>
  <c r="U1186" i="3"/>
  <c r="W1186" i="3"/>
  <c r="T1184" i="3"/>
  <c r="U1184" i="3"/>
  <c r="W1184" i="3"/>
  <c r="T1182" i="3"/>
  <c r="U1182" i="3"/>
  <c r="W1182" i="3"/>
  <c r="T1180" i="3"/>
  <c r="U1180" i="3"/>
  <c r="W1180" i="3"/>
  <c r="Y1180" i="3"/>
  <c r="T1178" i="3"/>
  <c r="U1178" i="3"/>
  <c r="W1178" i="3"/>
  <c r="Y1178" i="3"/>
  <c r="T1174" i="3"/>
  <c r="V1174" i="3"/>
  <c r="U1174" i="3"/>
  <c r="W1174" i="3"/>
  <c r="Y1174" i="3"/>
  <c r="T1172" i="3"/>
  <c r="V1172" i="3"/>
  <c r="U1172" i="3"/>
  <c r="W1172" i="3"/>
  <c r="Y1172" i="3"/>
  <c r="T1170" i="3"/>
  <c r="V1170" i="3"/>
  <c r="U1170" i="3"/>
  <c r="W1170" i="3"/>
  <c r="Y1170" i="3"/>
  <c r="T1168" i="3"/>
  <c r="V1168" i="3"/>
  <c r="U1168" i="3"/>
  <c r="W1168" i="3"/>
  <c r="Y1168" i="3"/>
  <c r="T1166" i="3"/>
  <c r="V1166" i="3"/>
  <c r="U1166" i="3"/>
  <c r="W1166" i="3"/>
  <c r="Y1166" i="3"/>
  <c r="Y1186" i="3"/>
  <c r="Y1184" i="3"/>
  <c r="Y1182" i="3"/>
  <c r="Y1179" i="3"/>
  <c r="Y1175" i="3"/>
  <c r="Y1171" i="3"/>
  <c r="Y1167" i="3"/>
  <c r="X1186" i="3"/>
  <c r="X1182" i="3"/>
  <c r="X1178" i="3"/>
  <c r="X1174" i="3"/>
  <c r="X1170" i="3"/>
  <c r="X1166" i="3"/>
  <c r="W1187" i="3"/>
  <c r="W1183" i="3"/>
  <c r="W1179" i="3"/>
  <c r="W1173" i="3"/>
  <c r="W1169" i="3"/>
  <c r="V1184" i="3"/>
  <c r="V1180" i="3"/>
  <c r="S1151" i="3"/>
  <c r="Z1151" i="3" s="1"/>
  <c r="S1140" i="3"/>
  <c r="Z1140" i="3" s="1"/>
  <c r="U1164" i="3"/>
  <c r="W1164" i="3"/>
  <c r="T1164" i="3"/>
  <c r="V1164" i="3"/>
  <c r="X1164" i="3"/>
  <c r="U1162" i="3"/>
  <c r="W1162" i="3"/>
  <c r="T1162" i="3"/>
  <c r="V1162" i="3"/>
  <c r="X1162" i="3"/>
  <c r="U1160" i="3"/>
  <c r="W1160" i="3"/>
  <c r="T1160" i="3"/>
  <c r="V1160" i="3"/>
  <c r="X1160" i="3"/>
  <c r="U1158" i="3"/>
  <c r="W1158" i="3"/>
  <c r="T1158" i="3"/>
  <c r="V1158" i="3"/>
  <c r="X1158" i="3"/>
  <c r="U1156" i="3"/>
  <c r="W1156" i="3"/>
  <c r="T1156" i="3"/>
  <c r="V1156" i="3"/>
  <c r="X1156" i="3"/>
  <c r="U1154" i="3"/>
  <c r="W1154" i="3"/>
  <c r="T1154" i="3"/>
  <c r="V1154" i="3"/>
  <c r="X1154" i="3"/>
  <c r="U1152" i="3"/>
  <c r="W1152" i="3"/>
  <c r="T1152" i="3"/>
  <c r="V1152" i="3"/>
  <c r="X1152" i="3"/>
  <c r="U1150" i="3"/>
  <c r="W1150" i="3"/>
  <c r="T1150" i="3"/>
  <c r="V1150" i="3"/>
  <c r="X1150" i="3"/>
  <c r="U1148" i="3"/>
  <c r="W1148" i="3"/>
  <c r="T1148" i="3"/>
  <c r="V1148" i="3"/>
  <c r="X1148" i="3"/>
  <c r="U1146" i="3"/>
  <c r="W1146" i="3"/>
  <c r="T1146" i="3"/>
  <c r="V1146" i="3"/>
  <c r="X1146" i="3"/>
  <c r="U1144" i="3"/>
  <c r="W1144" i="3"/>
  <c r="T1144" i="3"/>
  <c r="V1144" i="3"/>
  <c r="X1144" i="3"/>
  <c r="U1142" i="3"/>
  <c r="W1142" i="3"/>
  <c r="T1142" i="3"/>
  <c r="V1142" i="3"/>
  <c r="X1142" i="3"/>
  <c r="Y1164" i="3"/>
  <c r="Y1162" i="3"/>
  <c r="Y1160" i="3"/>
  <c r="Y1158" i="3"/>
  <c r="Y1156" i="3"/>
  <c r="Y1154" i="3"/>
  <c r="Y1152" i="3"/>
  <c r="Y1150" i="3"/>
  <c r="Y1148" i="3"/>
  <c r="Y1146" i="3"/>
  <c r="Y1144" i="3"/>
  <c r="Y1142" i="3"/>
  <c r="T1163" i="3"/>
  <c r="V1163" i="3"/>
  <c r="X1163" i="3"/>
  <c r="U1163" i="3"/>
  <c r="W1163" i="3"/>
  <c r="T1161" i="3"/>
  <c r="V1161" i="3"/>
  <c r="X1161" i="3"/>
  <c r="U1161" i="3"/>
  <c r="W1161" i="3"/>
  <c r="T1159" i="3"/>
  <c r="V1159" i="3"/>
  <c r="X1159" i="3"/>
  <c r="U1159" i="3"/>
  <c r="W1159" i="3"/>
  <c r="T1157" i="3"/>
  <c r="V1157" i="3"/>
  <c r="X1157" i="3"/>
  <c r="U1157" i="3"/>
  <c r="W1157" i="3"/>
  <c r="T1155" i="3"/>
  <c r="V1155" i="3"/>
  <c r="X1155" i="3"/>
  <c r="U1155" i="3"/>
  <c r="W1155" i="3"/>
  <c r="T1153" i="3"/>
  <c r="V1153" i="3"/>
  <c r="X1153" i="3"/>
  <c r="U1153" i="3"/>
  <c r="W1153" i="3"/>
  <c r="T1149" i="3"/>
  <c r="V1149" i="3"/>
  <c r="X1149" i="3"/>
  <c r="U1149" i="3"/>
  <c r="W1149" i="3"/>
  <c r="T1147" i="3"/>
  <c r="V1147" i="3"/>
  <c r="X1147" i="3"/>
  <c r="U1147" i="3"/>
  <c r="W1147" i="3"/>
  <c r="T1145" i="3"/>
  <c r="V1145" i="3"/>
  <c r="X1145" i="3"/>
  <c r="U1145" i="3"/>
  <c r="W1145" i="3"/>
  <c r="T1143" i="3"/>
  <c r="V1143" i="3"/>
  <c r="X1143" i="3"/>
  <c r="U1143" i="3"/>
  <c r="W1143" i="3"/>
  <c r="T1141" i="3"/>
  <c r="V1141" i="3"/>
  <c r="X1141" i="3"/>
  <c r="U1141" i="3"/>
  <c r="W1141" i="3"/>
  <c r="Y1141" i="3"/>
  <c r="Y1163" i="3"/>
  <c r="Y1161" i="3"/>
  <c r="Y1159" i="3"/>
  <c r="Y1157" i="3"/>
  <c r="Y1155" i="3"/>
  <c r="Y1153" i="3"/>
  <c r="Y1149" i="3"/>
  <c r="Y1147" i="3"/>
  <c r="Y1145" i="3"/>
  <c r="Y1143" i="3"/>
  <c r="S1129" i="3"/>
  <c r="Z1129" i="3" s="1"/>
  <c r="U1139" i="3"/>
  <c r="W1139" i="3"/>
  <c r="Y1139" i="3"/>
  <c r="T1139" i="3"/>
  <c r="V1139" i="3"/>
  <c r="X1139" i="3"/>
  <c r="U1137" i="3"/>
  <c r="W1137" i="3"/>
  <c r="Y1137" i="3"/>
  <c r="T1137" i="3"/>
  <c r="V1137" i="3"/>
  <c r="X1137" i="3"/>
  <c r="U1135" i="3"/>
  <c r="W1135" i="3"/>
  <c r="Y1135" i="3"/>
  <c r="T1135" i="3"/>
  <c r="V1135" i="3"/>
  <c r="X1135" i="3"/>
  <c r="U1133" i="3"/>
  <c r="W1133" i="3"/>
  <c r="Y1133" i="3"/>
  <c r="T1133" i="3"/>
  <c r="V1133" i="3"/>
  <c r="X1133" i="3"/>
  <c r="U1131" i="3"/>
  <c r="W1131" i="3"/>
  <c r="Y1131" i="3"/>
  <c r="T1131" i="3"/>
  <c r="V1131" i="3"/>
  <c r="X1131" i="3"/>
  <c r="T1138" i="3"/>
  <c r="V1138" i="3"/>
  <c r="X1138" i="3"/>
  <c r="U1138" i="3"/>
  <c r="W1138" i="3"/>
  <c r="Y1138" i="3"/>
  <c r="T1136" i="3"/>
  <c r="V1136" i="3"/>
  <c r="X1136" i="3"/>
  <c r="U1136" i="3"/>
  <c r="W1136" i="3"/>
  <c r="Y1136" i="3"/>
  <c r="T1134" i="3"/>
  <c r="V1134" i="3"/>
  <c r="X1134" i="3"/>
  <c r="U1134" i="3"/>
  <c r="W1134" i="3"/>
  <c r="Y1134" i="3"/>
  <c r="T1132" i="3"/>
  <c r="V1132" i="3"/>
  <c r="X1132" i="3"/>
  <c r="U1132" i="3"/>
  <c r="W1132" i="3"/>
  <c r="Y1132" i="3"/>
  <c r="T1130" i="3"/>
  <c r="V1130" i="3"/>
  <c r="X1130" i="3"/>
  <c r="U1130" i="3"/>
  <c r="W1130" i="3"/>
  <c r="Y1130" i="3"/>
  <c r="S1118" i="3"/>
  <c r="Z1118" i="3" s="1"/>
  <c r="U1128" i="3"/>
  <c r="W1128" i="3"/>
  <c r="Y1128" i="3"/>
  <c r="T1128" i="3"/>
  <c r="V1128" i="3"/>
  <c r="X1128" i="3"/>
  <c r="U1126" i="3"/>
  <c r="W1126" i="3"/>
  <c r="Y1126" i="3"/>
  <c r="T1126" i="3"/>
  <c r="V1126" i="3"/>
  <c r="X1126" i="3"/>
  <c r="U1124" i="3"/>
  <c r="W1124" i="3"/>
  <c r="Y1124" i="3"/>
  <c r="T1124" i="3"/>
  <c r="V1124" i="3"/>
  <c r="X1124" i="3"/>
  <c r="U1122" i="3"/>
  <c r="W1122" i="3"/>
  <c r="Y1122" i="3"/>
  <c r="T1122" i="3"/>
  <c r="V1122" i="3"/>
  <c r="X1122" i="3"/>
  <c r="U1120" i="3"/>
  <c r="W1120" i="3"/>
  <c r="Y1120" i="3"/>
  <c r="T1120" i="3"/>
  <c r="V1120" i="3"/>
  <c r="X1120" i="3"/>
  <c r="T1127" i="3"/>
  <c r="V1127" i="3"/>
  <c r="X1127" i="3"/>
  <c r="U1127" i="3"/>
  <c r="W1127" i="3"/>
  <c r="Y1127" i="3"/>
  <c r="T1125" i="3"/>
  <c r="V1125" i="3"/>
  <c r="X1125" i="3"/>
  <c r="U1125" i="3"/>
  <c r="W1125" i="3"/>
  <c r="Y1125" i="3"/>
  <c r="T1123" i="3"/>
  <c r="V1123" i="3"/>
  <c r="X1123" i="3"/>
  <c r="U1123" i="3"/>
  <c r="W1123" i="3"/>
  <c r="Y1123" i="3"/>
  <c r="T1121" i="3"/>
  <c r="V1121" i="3"/>
  <c r="X1121" i="3"/>
  <c r="U1121" i="3"/>
  <c r="W1121" i="3"/>
  <c r="Y1121" i="3"/>
  <c r="T1119" i="3"/>
  <c r="V1119" i="3"/>
  <c r="X1119" i="3"/>
  <c r="U1119" i="3"/>
  <c r="W1119" i="3"/>
  <c r="Y1119" i="3"/>
  <c r="Y1097" i="3"/>
  <c r="T1116" i="3"/>
  <c r="V1116" i="3"/>
  <c r="X1116" i="3"/>
  <c r="U1116" i="3"/>
  <c r="W1116" i="3"/>
  <c r="T1114" i="3"/>
  <c r="V1114" i="3"/>
  <c r="X1114" i="3"/>
  <c r="U1114" i="3"/>
  <c r="W1114" i="3"/>
  <c r="T1112" i="3"/>
  <c r="V1112" i="3"/>
  <c r="X1112" i="3"/>
  <c r="U1112" i="3"/>
  <c r="W1112" i="3"/>
  <c r="T1110" i="3"/>
  <c r="V1110" i="3"/>
  <c r="X1110" i="3"/>
  <c r="U1110" i="3"/>
  <c r="W1110" i="3"/>
  <c r="T1108" i="3"/>
  <c r="V1108" i="3"/>
  <c r="X1108" i="3"/>
  <c r="U1108" i="3"/>
  <c r="W1108" i="3"/>
  <c r="T1106" i="3"/>
  <c r="V1106" i="3"/>
  <c r="X1106" i="3"/>
  <c r="U1106" i="3"/>
  <c r="W1106" i="3"/>
  <c r="T1104" i="3"/>
  <c r="V1104" i="3"/>
  <c r="X1104" i="3"/>
  <c r="U1104" i="3"/>
  <c r="W1104" i="3"/>
  <c r="T1102" i="3"/>
  <c r="V1102" i="3"/>
  <c r="X1102" i="3"/>
  <c r="U1102" i="3"/>
  <c r="W1102" i="3"/>
  <c r="T1100" i="3"/>
  <c r="V1100" i="3"/>
  <c r="X1100" i="3"/>
  <c r="U1100" i="3"/>
  <c r="W1100" i="3"/>
  <c r="T1098" i="3"/>
  <c r="V1098" i="3"/>
  <c r="X1098" i="3"/>
  <c r="U1098" i="3"/>
  <c r="W1098" i="3"/>
  <c r="Y1098" i="3"/>
  <c r="T1096" i="3"/>
  <c r="V1096" i="3"/>
  <c r="X1096" i="3"/>
  <c r="U1096" i="3"/>
  <c r="W1096" i="3"/>
  <c r="Y1096" i="3"/>
  <c r="T1094" i="3"/>
  <c r="V1094" i="3"/>
  <c r="X1094" i="3"/>
  <c r="U1094" i="3"/>
  <c r="W1094" i="3"/>
  <c r="Y1094" i="3"/>
  <c r="Y1116" i="3"/>
  <c r="Y1114" i="3"/>
  <c r="Y1112" i="3"/>
  <c r="Y1110" i="3"/>
  <c r="Y1108" i="3"/>
  <c r="Y1106" i="3"/>
  <c r="Y1104" i="3"/>
  <c r="Y1102" i="3"/>
  <c r="Y1100" i="3"/>
  <c r="U1117" i="3"/>
  <c r="W1117" i="3"/>
  <c r="T1117" i="3"/>
  <c r="V1117" i="3"/>
  <c r="X1117" i="3"/>
  <c r="U1115" i="3"/>
  <c r="W1115" i="3"/>
  <c r="T1115" i="3"/>
  <c r="V1115" i="3"/>
  <c r="X1115" i="3"/>
  <c r="U1113" i="3"/>
  <c r="W1113" i="3"/>
  <c r="T1113" i="3"/>
  <c r="V1113" i="3"/>
  <c r="X1113" i="3"/>
  <c r="U1111" i="3"/>
  <c r="W1111" i="3"/>
  <c r="T1111" i="3"/>
  <c r="V1111" i="3"/>
  <c r="X1111" i="3"/>
  <c r="U1109" i="3"/>
  <c r="W1109" i="3"/>
  <c r="T1109" i="3"/>
  <c r="V1109" i="3"/>
  <c r="X1109" i="3"/>
  <c r="S1107" i="3"/>
  <c r="Z1107" i="3" s="1"/>
  <c r="U1105" i="3"/>
  <c r="W1105" i="3"/>
  <c r="T1105" i="3"/>
  <c r="V1105" i="3"/>
  <c r="X1105" i="3"/>
  <c r="U1103" i="3"/>
  <c r="W1103" i="3"/>
  <c r="T1103" i="3"/>
  <c r="V1103" i="3"/>
  <c r="X1103" i="3"/>
  <c r="U1101" i="3"/>
  <c r="W1101" i="3"/>
  <c r="T1101" i="3"/>
  <c r="V1101" i="3"/>
  <c r="X1101" i="3"/>
  <c r="U1099" i="3"/>
  <c r="W1099" i="3"/>
  <c r="T1099" i="3"/>
  <c r="V1099" i="3"/>
  <c r="X1099" i="3"/>
  <c r="U1097" i="3"/>
  <c r="W1097" i="3"/>
  <c r="T1097" i="3"/>
  <c r="V1097" i="3"/>
  <c r="X1097" i="3"/>
  <c r="U1095" i="3"/>
  <c r="W1095" i="3"/>
  <c r="T1095" i="3"/>
  <c r="V1095" i="3"/>
  <c r="X1095" i="3"/>
  <c r="S1093" i="3"/>
  <c r="Z1093" i="3" s="1"/>
  <c r="Y1117" i="3"/>
  <c r="Y1115" i="3"/>
  <c r="Y1113" i="3"/>
  <c r="Y1111" i="3"/>
  <c r="Y1109" i="3"/>
  <c r="Y1105" i="3"/>
  <c r="Y1103" i="3"/>
  <c r="Y1101" i="3"/>
  <c r="Y1099" i="3"/>
  <c r="Y1095" i="3"/>
  <c r="X1081" i="3"/>
  <c r="X1077" i="3"/>
  <c r="X1073" i="3"/>
  <c r="S1071" i="3"/>
  <c r="Z1071" i="3" s="1"/>
  <c r="X1069" i="3"/>
  <c r="X1065" i="3"/>
  <c r="X1061" i="3"/>
  <c r="S1057" i="3"/>
  <c r="Z1057" i="3" s="1"/>
  <c r="S1082" i="3"/>
  <c r="Z1082" i="3" s="1"/>
  <c r="U1092" i="3"/>
  <c r="W1092" i="3"/>
  <c r="Y1092" i="3"/>
  <c r="T1092" i="3"/>
  <c r="V1092" i="3"/>
  <c r="X1092" i="3"/>
  <c r="U1090" i="3"/>
  <c r="W1090" i="3"/>
  <c r="Y1090" i="3"/>
  <c r="T1090" i="3"/>
  <c r="V1090" i="3"/>
  <c r="X1090" i="3"/>
  <c r="U1088" i="3"/>
  <c r="W1088" i="3"/>
  <c r="Y1088" i="3"/>
  <c r="T1088" i="3"/>
  <c r="V1088" i="3"/>
  <c r="X1088" i="3"/>
  <c r="U1086" i="3"/>
  <c r="W1086" i="3"/>
  <c r="Y1086" i="3"/>
  <c r="T1086" i="3"/>
  <c r="V1086" i="3"/>
  <c r="X1086" i="3"/>
  <c r="U1084" i="3"/>
  <c r="W1084" i="3"/>
  <c r="Y1084" i="3"/>
  <c r="T1084" i="3"/>
  <c r="V1084" i="3"/>
  <c r="X1084" i="3"/>
  <c r="T1091" i="3"/>
  <c r="V1091" i="3"/>
  <c r="X1091" i="3"/>
  <c r="U1091" i="3"/>
  <c r="W1091" i="3"/>
  <c r="Y1091" i="3"/>
  <c r="T1089" i="3"/>
  <c r="V1089" i="3"/>
  <c r="X1089" i="3"/>
  <c r="U1089" i="3"/>
  <c r="W1089" i="3"/>
  <c r="Y1089" i="3"/>
  <c r="T1087" i="3"/>
  <c r="V1087" i="3"/>
  <c r="X1087" i="3"/>
  <c r="U1087" i="3"/>
  <c r="W1087" i="3"/>
  <c r="Y1087" i="3"/>
  <c r="T1085" i="3"/>
  <c r="V1085" i="3"/>
  <c r="X1085" i="3"/>
  <c r="U1085" i="3"/>
  <c r="W1085" i="3"/>
  <c r="Y1085" i="3"/>
  <c r="T1083" i="3"/>
  <c r="V1083" i="3"/>
  <c r="X1083" i="3"/>
  <c r="U1083" i="3"/>
  <c r="W1083" i="3"/>
  <c r="Y1083" i="3"/>
  <c r="T1080" i="3"/>
  <c r="V1080" i="3"/>
  <c r="X1080" i="3"/>
  <c r="U1080" i="3"/>
  <c r="W1080" i="3"/>
  <c r="T1078" i="3"/>
  <c r="V1078" i="3"/>
  <c r="X1078" i="3"/>
  <c r="U1078" i="3"/>
  <c r="W1078" i="3"/>
  <c r="T1076" i="3"/>
  <c r="V1076" i="3"/>
  <c r="X1076" i="3"/>
  <c r="U1076" i="3"/>
  <c r="W1076" i="3"/>
  <c r="T1074" i="3"/>
  <c r="V1074" i="3"/>
  <c r="X1074" i="3"/>
  <c r="U1074" i="3"/>
  <c r="W1074" i="3"/>
  <c r="T1072" i="3"/>
  <c r="V1072" i="3"/>
  <c r="X1072" i="3"/>
  <c r="U1072" i="3"/>
  <c r="W1072" i="3"/>
  <c r="T1070" i="3"/>
  <c r="V1070" i="3"/>
  <c r="X1070" i="3"/>
  <c r="U1070" i="3"/>
  <c r="W1070" i="3"/>
  <c r="T1068" i="3"/>
  <c r="V1068" i="3"/>
  <c r="X1068" i="3"/>
  <c r="U1068" i="3"/>
  <c r="W1068" i="3"/>
  <c r="T1066" i="3"/>
  <c r="V1066" i="3"/>
  <c r="X1066" i="3"/>
  <c r="U1066" i="3"/>
  <c r="W1066" i="3"/>
  <c r="T1064" i="3"/>
  <c r="V1064" i="3"/>
  <c r="X1064" i="3"/>
  <c r="U1064" i="3"/>
  <c r="W1064" i="3"/>
  <c r="T1062" i="3"/>
  <c r="V1062" i="3"/>
  <c r="X1062" i="3"/>
  <c r="U1062" i="3"/>
  <c r="W1062" i="3"/>
  <c r="T1060" i="3"/>
  <c r="V1060" i="3"/>
  <c r="X1060" i="3"/>
  <c r="U1060" i="3"/>
  <c r="W1060" i="3"/>
  <c r="T1058" i="3"/>
  <c r="V1058" i="3"/>
  <c r="X1058" i="3"/>
  <c r="U1058" i="3"/>
  <c r="W1058" i="3"/>
  <c r="Y1080" i="3"/>
  <c r="Y1078" i="3"/>
  <c r="Y1076" i="3"/>
  <c r="Y1074" i="3"/>
  <c r="Y1072" i="3"/>
  <c r="Y1070" i="3"/>
  <c r="Y1068" i="3"/>
  <c r="Y1066" i="3"/>
  <c r="Y1064" i="3"/>
  <c r="Y1062" i="3"/>
  <c r="Y1060" i="3"/>
  <c r="Y1058" i="3"/>
  <c r="U1081" i="3"/>
  <c r="W1081" i="3"/>
  <c r="T1081" i="3"/>
  <c r="V1081" i="3"/>
  <c r="U1079" i="3"/>
  <c r="W1079" i="3"/>
  <c r="T1079" i="3"/>
  <c r="V1079" i="3"/>
  <c r="U1077" i="3"/>
  <c r="W1077" i="3"/>
  <c r="T1077" i="3"/>
  <c r="V1077" i="3"/>
  <c r="U1075" i="3"/>
  <c r="W1075" i="3"/>
  <c r="T1075" i="3"/>
  <c r="V1075" i="3"/>
  <c r="U1073" i="3"/>
  <c r="W1073" i="3"/>
  <c r="T1073" i="3"/>
  <c r="V1073" i="3"/>
  <c r="U1069" i="3"/>
  <c r="W1069" i="3"/>
  <c r="T1069" i="3"/>
  <c r="V1069" i="3"/>
  <c r="U1067" i="3"/>
  <c r="W1067" i="3"/>
  <c r="T1067" i="3"/>
  <c r="V1067" i="3"/>
  <c r="U1065" i="3"/>
  <c r="W1065" i="3"/>
  <c r="T1065" i="3"/>
  <c r="V1065" i="3"/>
  <c r="U1063" i="3"/>
  <c r="W1063" i="3"/>
  <c r="T1063" i="3"/>
  <c r="V1063" i="3"/>
  <c r="U1061" i="3"/>
  <c r="W1061" i="3"/>
  <c r="T1061" i="3"/>
  <c r="V1061" i="3"/>
  <c r="U1059" i="3"/>
  <c r="W1059" i="3"/>
  <c r="T1059" i="3"/>
  <c r="V1059" i="3"/>
  <c r="Y1081" i="3"/>
  <c r="Y1079" i="3"/>
  <c r="Y1077" i="3"/>
  <c r="Y1075" i="3"/>
  <c r="Y1073" i="3"/>
  <c r="Y1069" i="3"/>
  <c r="Y1067" i="3"/>
  <c r="Y1065" i="3"/>
  <c r="Y1063" i="3"/>
  <c r="Y1061" i="3"/>
  <c r="Y1059" i="3"/>
  <c r="X1079" i="3"/>
  <c r="X1075" i="3"/>
  <c r="X1067" i="3"/>
  <c r="X1063" i="3"/>
  <c r="X1059" i="3"/>
  <c r="X1028" i="3"/>
  <c r="X1026" i="3"/>
  <c r="X1024" i="3"/>
  <c r="X1022" i="3"/>
  <c r="X1020" i="3"/>
  <c r="X1014" i="3"/>
  <c r="X1012" i="3"/>
  <c r="X1010" i="3"/>
  <c r="S1046" i="3"/>
  <c r="Z1046" i="3" s="1"/>
  <c r="S1034" i="3"/>
  <c r="Z1034" i="3" s="1"/>
  <c r="U1056" i="3"/>
  <c r="W1056" i="3"/>
  <c r="T1056" i="3"/>
  <c r="V1056" i="3"/>
  <c r="X1056" i="3"/>
  <c r="U1054" i="3"/>
  <c r="W1054" i="3"/>
  <c r="T1054" i="3"/>
  <c r="V1054" i="3"/>
  <c r="X1054" i="3"/>
  <c r="U1052" i="3"/>
  <c r="W1052" i="3"/>
  <c r="T1052" i="3"/>
  <c r="V1052" i="3"/>
  <c r="X1052" i="3"/>
  <c r="U1050" i="3"/>
  <c r="W1050" i="3"/>
  <c r="T1050" i="3"/>
  <c r="V1050" i="3"/>
  <c r="X1050" i="3"/>
  <c r="U1048" i="3"/>
  <c r="W1048" i="3"/>
  <c r="T1048" i="3"/>
  <c r="V1048" i="3"/>
  <c r="X1048" i="3"/>
  <c r="U1044" i="3"/>
  <c r="W1044" i="3"/>
  <c r="T1044" i="3"/>
  <c r="V1044" i="3"/>
  <c r="X1044" i="3"/>
  <c r="U1042" i="3"/>
  <c r="W1042" i="3"/>
  <c r="T1042" i="3"/>
  <c r="V1042" i="3"/>
  <c r="X1042" i="3"/>
  <c r="U1040" i="3"/>
  <c r="W1040" i="3"/>
  <c r="T1040" i="3"/>
  <c r="V1040" i="3"/>
  <c r="X1040" i="3"/>
  <c r="U1038" i="3"/>
  <c r="W1038" i="3"/>
  <c r="T1038" i="3"/>
  <c r="V1038" i="3"/>
  <c r="X1038" i="3"/>
  <c r="U1036" i="3"/>
  <c r="W1036" i="3"/>
  <c r="Y1036" i="3"/>
  <c r="T1036" i="3"/>
  <c r="V1036" i="3"/>
  <c r="X1036" i="3"/>
  <c r="Y1056" i="3"/>
  <c r="Y1054" i="3"/>
  <c r="Y1050" i="3"/>
  <c r="Y1042" i="3"/>
  <c r="Y1038" i="3"/>
  <c r="T1055" i="3"/>
  <c r="V1055" i="3"/>
  <c r="X1055" i="3"/>
  <c r="U1055" i="3"/>
  <c r="W1055" i="3"/>
  <c r="T1053" i="3"/>
  <c r="V1053" i="3"/>
  <c r="X1053" i="3"/>
  <c r="U1053" i="3"/>
  <c r="W1053" i="3"/>
  <c r="Y1053" i="3"/>
  <c r="T1051" i="3"/>
  <c r="V1051" i="3"/>
  <c r="X1051" i="3"/>
  <c r="U1051" i="3"/>
  <c r="W1051" i="3"/>
  <c r="Y1051" i="3"/>
  <c r="T1049" i="3"/>
  <c r="V1049" i="3"/>
  <c r="X1049" i="3"/>
  <c r="U1049" i="3"/>
  <c r="W1049" i="3"/>
  <c r="Y1049" i="3"/>
  <c r="T1047" i="3"/>
  <c r="V1047" i="3"/>
  <c r="X1047" i="3"/>
  <c r="U1047" i="3"/>
  <c r="W1047" i="3"/>
  <c r="Y1047" i="3"/>
  <c r="T1045" i="3"/>
  <c r="V1045" i="3"/>
  <c r="X1045" i="3"/>
  <c r="U1045" i="3"/>
  <c r="W1045" i="3"/>
  <c r="Y1045" i="3"/>
  <c r="T1043" i="3"/>
  <c r="V1043" i="3"/>
  <c r="X1043" i="3"/>
  <c r="U1043" i="3"/>
  <c r="W1043" i="3"/>
  <c r="Y1043" i="3"/>
  <c r="T1041" i="3"/>
  <c r="V1041" i="3"/>
  <c r="X1041" i="3"/>
  <c r="U1041" i="3"/>
  <c r="W1041" i="3"/>
  <c r="Y1041" i="3"/>
  <c r="T1039" i="3"/>
  <c r="V1039" i="3"/>
  <c r="X1039" i="3"/>
  <c r="U1039" i="3"/>
  <c r="W1039" i="3"/>
  <c r="Y1039" i="3"/>
  <c r="T1037" i="3"/>
  <c r="V1037" i="3"/>
  <c r="X1037" i="3"/>
  <c r="U1037" i="3"/>
  <c r="W1037" i="3"/>
  <c r="Y1037" i="3"/>
  <c r="T1035" i="3"/>
  <c r="V1035" i="3"/>
  <c r="X1035" i="3"/>
  <c r="U1035" i="3"/>
  <c r="W1035" i="3"/>
  <c r="Y1035" i="3"/>
  <c r="Y1055" i="3"/>
  <c r="Y1052" i="3"/>
  <c r="Y1048" i="3"/>
  <c r="Y1044" i="3"/>
  <c r="Y1040" i="3"/>
  <c r="X1016" i="3"/>
  <c r="X1018" i="3"/>
  <c r="T1033" i="3"/>
  <c r="V1031" i="3"/>
  <c r="T1029" i="3"/>
  <c r="V1027" i="3"/>
  <c r="T1025" i="3"/>
  <c r="S1023" i="3"/>
  <c r="Z1023" i="3" s="1"/>
  <c r="T1021" i="3"/>
  <c r="V1019" i="3"/>
  <c r="T1017" i="3"/>
  <c r="V1015" i="3"/>
  <c r="T1013" i="3"/>
  <c r="V1011" i="3"/>
  <c r="S1009" i="3"/>
  <c r="Z1009" i="3" s="1"/>
  <c r="V1032" i="3"/>
  <c r="X1032" i="3"/>
  <c r="V1030" i="3"/>
  <c r="X1030" i="3"/>
  <c r="Y1032" i="3"/>
  <c r="Y1030" i="3"/>
  <c r="Y1028" i="3"/>
  <c r="Y1026" i="3"/>
  <c r="Y1024" i="3"/>
  <c r="Y1022" i="3"/>
  <c r="Y1020" i="3"/>
  <c r="Y1018" i="3"/>
  <c r="Y1016" i="3"/>
  <c r="Y1014" i="3"/>
  <c r="Y1012" i="3"/>
  <c r="Y1010" i="3"/>
  <c r="X1033" i="3"/>
  <c r="X1029" i="3"/>
  <c r="X1025" i="3"/>
  <c r="X1021" i="3"/>
  <c r="X1017" i="3"/>
  <c r="X1013" i="3"/>
  <c r="W1030" i="3"/>
  <c r="W1026" i="3"/>
  <c r="W1020" i="3"/>
  <c r="W1016" i="3"/>
  <c r="W1012" i="3"/>
  <c r="U1032" i="3"/>
  <c r="U1028" i="3"/>
  <c r="U1024" i="3"/>
  <c r="U1022" i="3"/>
  <c r="U1018" i="3"/>
  <c r="U1014" i="3"/>
  <c r="U1010" i="3"/>
  <c r="T1032" i="3"/>
  <c r="T1030" i="3"/>
  <c r="T1028" i="3"/>
  <c r="T1026" i="3"/>
  <c r="T1024" i="3"/>
  <c r="T1022" i="3"/>
  <c r="T1020" i="3"/>
  <c r="T1018" i="3"/>
  <c r="T1016" i="3"/>
  <c r="T1014" i="3"/>
  <c r="T1012" i="3"/>
  <c r="T1010" i="3"/>
  <c r="U1033" i="3"/>
  <c r="W1033" i="3"/>
  <c r="U1031" i="3"/>
  <c r="W1031" i="3"/>
  <c r="U1029" i="3"/>
  <c r="W1029" i="3"/>
  <c r="U1027" i="3"/>
  <c r="W1027" i="3"/>
  <c r="U1025" i="3"/>
  <c r="W1025" i="3"/>
  <c r="U1021" i="3"/>
  <c r="W1021" i="3"/>
  <c r="U1019" i="3"/>
  <c r="W1019" i="3"/>
  <c r="U1017" i="3"/>
  <c r="W1017" i="3"/>
  <c r="U1015" i="3"/>
  <c r="W1015" i="3"/>
  <c r="U1013" i="3"/>
  <c r="W1013" i="3"/>
  <c r="U1011" i="3"/>
  <c r="W1011" i="3"/>
  <c r="Y1033" i="3"/>
  <c r="Y1031" i="3"/>
  <c r="Y1029" i="3"/>
  <c r="Y1027" i="3"/>
  <c r="Y1025" i="3"/>
  <c r="Y1021" i="3"/>
  <c r="Y1019" i="3"/>
  <c r="Y1017" i="3"/>
  <c r="Y1015" i="3"/>
  <c r="Y1013" i="3"/>
  <c r="Y1011" i="3"/>
  <c r="X1031" i="3"/>
  <c r="X1027" i="3"/>
  <c r="X1019" i="3"/>
  <c r="X1015" i="3"/>
  <c r="X1011" i="3"/>
  <c r="W1032" i="3"/>
  <c r="W1028" i="3"/>
  <c r="W1024" i="3"/>
  <c r="W1022" i="3"/>
  <c r="W1018" i="3"/>
  <c r="W1014" i="3"/>
  <c r="W1010" i="3"/>
  <c r="V1033" i="3"/>
  <c r="V1029" i="3"/>
  <c r="V1025" i="3"/>
  <c r="V1021" i="3"/>
  <c r="V1017" i="3"/>
  <c r="V1013" i="3"/>
  <c r="U1030" i="3"/>
  <c r="U1026" i="3"/>
  <c r="U1020" i="3"/>
  <c r="U1016" i="3"/>
  <c r="U1012" i="3"/>
  <c r="T1031" i="3"/>
  <c r="T1027" i="3"/>
  <c r="T1019" i="3"/>
  <c r="T1015" i="3"/>
  <c r="T1011" i="3"/>
  <c r="V1028" i="3"/>
  <c r="V1026" i="3"/>
  <c r="V1024" i="3"/>
  <c r="V1022" i="3"/>
  <c r="V1020" i="3"/>
  <c r="V1018" i="3"/>
  <c r="V1016" i="3"/>
  <c r="V1014" i="3"/>
  <c r="V1012" i="3"/>
  <c r="V1010" i="3"/>
  <c r="Y1004" i="3"/>
  <c r="Y1000" i="3"/>
  <c r="S998" i="3"/>
  <c r="Z998" i="3" s="1"/>
  <c r="Y996" i="3"/>
  <c r="Y992" i="3"/>
  <c r="S986" i="3"/>
  <c r="Z986" i="3" s="1"/>
  <c r="T1007" i="3"/>
  <c r="V1007" i="3"/>
  <c r="X1007" i="3"/>
  <c r="U1007" i="3"/>
  <c r="W1007" i="3"/>
  <c r="T1005" i="3"/>
  <c r="V1005" i="3"/>
  <c r="X1005" i="3"/>
  <c r="U1005" i="3"/>
  <c r="W1005" i="3"/>
  <c r="Y1005" i="3"/>
  <c r="T1003" i="3"/>
  <c r="V1003" i="3"/>
  <c r="X1003" i="3"/>
  <c r="U1003" i="3"/>
  <c r="W1003" i="3"/>
  <c r="Y1003" i="3"/>
  <c r="T1001" i="3"/>
  <c r="V1001" i="3"/>
  <c r="X1001" i="3"/>
  <c r="U1001" i="3"/>
  <c r="W1001" i="3"/>
  <c r="Y1001" i="3"/>
  <c r="T999" i="3"/>
  <c r="V999" i="3"/>
  <c r="X999" i="3"/>
  <c r="U999" i="3"/>
  <c r="W999" i="3"/>
  <c r="Y999" i="3"/>
  <c r="T997" i="3"/>
  <c r="V997" i="3"/>
  <c r="X997" i="3"/>
  <c r="U997" i="3"/>
  <c r="W997" i="3"/>
  <c r="Y997" i="3"/>
  <c r="T995" i="3"/>
  <c r="V995" i="3"/>
  <c r="X995" i="3"/>
  <c r="U995" i="3"/>
  <c r="W995" i="3"/>
  <c r="Y995" i="3"/>
  <c r="T993" i="3"/>
  <c r="V993" i="3"/>
  <c r="X993" i="3"/>
  <c r="U993" i="3"/>
  <c r="W993" i="3"/>
  <c r="Y993" i="3"/>
  <c r="T991" i="3"/>
  <c r="V991" i="3"/>
  <c r="X991" i="3"/>
  <c r="U991" i="3"/>
  <c r="W991" i="3"/>
  <c r="Y991" i="3"/>
  <c r="T989" i="3"/>
  <c r="V989" i="3"/>
  <c r="X989" i="3"/>
  <c r="U989" i="3"/>
  <c r="W989" i="3"/>
  <c r="Y989" i="3"/>
  <c r="T987" i="3"/>
  <c r="V987" i="3"/>
  <c r="X987" i="3"/>
  <c r="U987" i="3"/>
  <c r="W987" i="3"/>
  <c r="Y987" i="3"/>
  <c r="Y1007" i="3"/>
  <c r="U1008" i="3"/>
  <c r="W1008" i="3"/>
  <c r="T1008" i="3"/>
  <c r="V1008" i="3"/>
  <c r="X1008" i="3"/>
  <c r="U1006" i="3"/>
  <c r="W1006" i="3"/>
  <c r="T1006" i="3"/>
  <c r="V1006" i="3"/>
  <c r="X1006" i="3"/>
  <c r="U1004" i="3"/>
  <c r="W1004" i="3"/>
  <c r="T1004" i="3"/>
  <c r="V1004" i="3"/>
  <c r="X1004" i="3"/>
  <c r="U1002" i="3"/>
  <c r="W1002" i="3"/>
  <c r="T1002" i="3"/>
  <c r="V1002" i="3"/>
  <c r="X1002" i="3"/>
  <c r="U1000" i="3"/>
  <c r="W1000" i="3"/>
  <c r="T1000" i="3"/>
  <c r="V1000" i="3"/>
  <c r="X1000" i="3"/>
  <c r="U996" i="3"/>
  <c r="W996" i="3"/>
  <c r="T996" i="3"/>
  <c r="V996" i="3"/>
  <c r="X996" i="3"/>
  <c r="U994" i="3"/>
  <c r="W994" i="3"/>
  <c r="T994" i="3"/>
  <c r="V994" i="3"/>
  <c r="X994" i="3"/>
  <c r="U992" i="3"/>
  <c r="W992" i="3"/>
  <c r="T992" i="3"/>
  <c r="V992" i="3"/>
  <c r="X992" i="3"/>
  <c r="U990" i="3"/>
  <c r="W990" i="3"/>
  <c r="Y990" i="3"/>
  <c r="T990" i="3"/>
  <c r="V990" i="3"/>
  <c r="X990" i="3"/>
  <c r="U988" i="3"/>
  <c r="W988" i="3"/>
  <c r="Y988" i="3"/>
  <c r="T988" i="3"/>
  <c r="V988" i="3"/>
  <c r="X988" i="3"/>
  <c r="Y1008" i="3"/>
  <c r="Y1006" i="3"/>
  <c r="Y1002" i="3"/>
  <c r="Y994" i="3"/>
  <c r="S975" i="3"/>
  <c r="Z975" i="3" s="1"/>
  <c r="U983" i="3"/>
  <c r="W983" i="3"/>
  <c r="Y983" i="3"/>
  <c r="T983" i="3"/>
  <c r="V983" i="3"/>
  <c r="X983" i="3"/>
  <c r="U981" i="3"/>
  <c r="W981" i="3"/>
  <c r="Y981" i="3"/>
  <c r="T981" i="3"/>
  <c r="V981" i="3"/>
  <c r="X981" i="3"/>
  <c r="U977" i="3"/>
  <c r="W977" i="3"/>
  <c r="Y977" i="3"/>
  <c r="T977" i="3"/>
  <c r="V977" i="3"/>
  <c r="X977" i="3"/>
  <c r="U985" i="3"/>
  <c r="W985" i="3"/>
  <c r="Y985" i="3"/>
  <c r="T985" i="3"/>
  <c r="V985" i="3"/>
  <c r="X985" i="3"/>
  <c r="U979" i="3"/>
  <c r="W979" i="3"/>
  <c r="Y979" i="3"/>
  <c r="T979" i="3"/>
  <c r="V979" i="3"/>
  <c r="X979" i="3"/>
  <c r="T984" i="3"/>
  <c r="V984" i="3"/>
  <c r="X984" i="3"/>
  <c r="U984" i="3"/>
  <c r="W984" i="3"/>
  <c r="Y984" i="3"/>
  <c r="T982" i="3"/>
  <c r="V982" i="3"/>
  <c r="X982" i="3"/>
  <c r="U982" i="3"/>
  <c r="W982" i="3"/>
  <c r="Y982" i="3"/>
  <c r="T980" i="3"/>
  <c r="V980" i="3"/>
  <c r="X980" i="3"/>
  <c r="U980" i="3"/>
  <c r="W980" i="3"/>
  <c r="Y980" i="3"/>
  <c r="T978" i="3"/>
  <c r="V978" i="3"/>
  <c r="X978" i="3"/>
  <c r="U978" i="3"/>
  <c r="W978" i="3"/>
  <c r="Y978" i="3"/>
  <c r="T976" i="3"/>
  <c r="V976" i="3"/>
  <c r="X976" i="3"/>
  <c r="U976" i="3"/>
  <c r="W976" i="3"/>
  <c r="Y976" i="3"/>
  <c r="S964" i="3"/>
  <c r="Z964" i="3" s="1"/>
  <c r="U974" i="3"/>
  <c r="W974" i="3"/>
  <c r="Y974" i="3"/>
  <c r="T974" i="3"/>
  <c r="V974" i="3"/>
  <c r="X974" i="3"/>
  <c r="U972" i="3"/>
  <c r="W972" i="3"/>
  <c r="Y972" i="3"/>
  <c r="T972" i="3"/>
  <c r="V972" i="3"/>
  <c r="X972" i="3"/>
  <c r="U970" i="3"/>
  <c r="W970" i="3"/>
  <c r="Y970" i="3"/>
  <c r="T970" i="3"/>
  <c r="V970" i="3"/>
  <c r="X970" i="3"/>
  <c r="U968" i="3"/>
  <c r="W968" i="3"/>
  <c r="Y968" i="3"/>
  <c r="T968" i="3"/>
  <c r="V968" i="3"/>
  <c r="X968" i="3"/>
  <c r="U966" i="3"/>
  <c r="W966" i="3"/>
  <c r="Y966" i="3"/>
  <c r="T966" i="3"/>
  <c r="V966" i="3"/>
  <c r="X966" i="3"/>
  <c r="T973" i="3"/>
  <c r="V973" i="3"/>
  <c r="X973" i="3"/>
  <c r="U973" i="3"/>
  <c r="W973" i="3"/>
  <c r="Y973" i="3"/>
  <c r="T971" i="3"/>
  <c r="V971" i="3"/>
  <c r="X971" i="3"/>
  <c r="U971" i="3"/>
  <c r="W971" i="3"/>
  <c r="Y971" i="3"/>
  <c r="T969" i="3"/>
  <c r="V969" i="3"/>
  <c r="X969" i="3"/>
  <c r="U969" i="3"/>
  <c r="W969" i="3"/>
  <c r="Y969" i="3"/>
  <c r="T967" i="3"/>
  <c r="V967" i="3"/>
  <c r="X967" i="3"/>
  <c r="U967" i="3"/>
  <c r="W967" i="3"/>
  <c r="Y967" i="3"/>
  <c r="T965" i="3"/>
  <c r="V965" i="3"/>
  <c r="X965" i="3"/>
  <c r="U965" i="3"/>
  <c r="W965" i="3"/>
  <c r="Y965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4" i="3"/>
  <c r="S955" i="3"/>
  <c r="S956" i="3"/>
  <c r="S957" i="3"/>
  <c r="S958" i="3"/>
  <c r="S959" i="3"/>
  <c r="S960" i="3"/>
  <c r="S961" i="3"/>
  <c r="S962" i="3"/>
  <c r="S963" i="3"/>
  <c r="T939" i="3"/>
  <c r="T953" i="3"/>
  <c r="U939" i="3"/>
  <c r="U953" i="3"/>
  <c r="V939" i="3"/>
  <c r="V953" i="3"/>
  <c r="W939" i="3"/>
  <c r="W953" i="3"/>
  <c r="X939" i="3"/>
  <c r="X953" i="3"/>
  <c r="AA939" i="3"/>
  <c r="AA940" i="3"/>
  <c r="AA941" i="3"/>
  <c r="AA942" i="3"/>
  <c r="AA943" i="3"/>
  <c r="AA944" i="3"/>
  <c r="AA945" i="3"/>
  <c r="AA946" i="3"/>
  <c r="AA947" i="3"/>
  <c r="AA948" i="3"/>
  <c r="AA949" i="3"/>
  <c r="AA950" i="3"/>
  <c r="AA951" i="3"/>
  <c r="AA952" i="3"/>
  <c r="AA953" i="3"/>
  <c r="AA954" i="3"/>
  <c r="AA955" i="3"/>
  <c r="AA956" i="3"/>
  <c r="AA957" i="3"/>
  <c r="AA958" i="3"/>
  <c r="AA959" i="3"/>
  <c r="AA960" i="3"/>
  <c r="AA961" i="3"/>
  <c r="AA962" i="3"/>
  <c r="AA963" i="3"/>
  <c r="AB939" i="3"/>
  <c r="O939" i="3" s="1"/>
  <c r="AB940" i="3"/>
  <c r="O940" i="3" s="1"/>
  <c r="AB941" i="3"/>
  <c r="O941" i="3" s="1"/>
  <c r="AB942" i="3"/>
  <c r="O942" i="3" s="1"/>
  <c r="AB943" i="3"/>
  <c r="O943" i="3" s="1"/>
  <c r="AB944" i="3"/>
  <c r="O944" i="3" s="1"/>
  <c r="AB945" i="3"/>
  <c r="O945" i="3" s="1"/>
  <c r="AB946" i="3"/>
  <c r="O946" i="3" s="1"/>
  <c r="AB947" i="3"/>
  <c r="O947" i="3" s="1"/>
  <c r="AB948" i="3"/>
  <c r="O948" i="3" s="1"/>
  <c r="AB949" i="3"/>
  <c r="O949" i="3" s="1"/>
  <c r="AB950" i="3"/>
  <c r="O950" i="3" s="1"/>
  <c r="AB951" i="3"/>
  <c r="O951" i="3" s="1"/>
  <c r="AB952" i="3"/>
  <c r="O952" i="3" s="1"/>
  <c r="AB953" i="3"/>
  <c r="O953" i="3" s="1"/>
  <c r="AB954" i="3"/>
  <c r="O954" i="3" s="1"/>
  <c r="AB955" i="3"/>
  <c r="O955" i="3" s="1"/>
  <c r="AB956" i="3"/>
  <c r="O956" i="3" s="1"/>
  <c r="AB957" i="3"/>
  <c r="O957" i="3" s="1"/>
  <c r="AB958" i="3"/>
  <c r="O958" i="3" s="1"/>
  <c r="AB959" i="3"/>
  <c r="O959" i="3" s="1"/>
  <c r="AB960" i="3"/>
  <c r="O960" i="3" s="1"/>
  <c r="AB961" i="3"/>
  <c r="O961" i="3" s="1"/>
  <c r="AB962" i="3"/>
  <c r="O962" i="3" s="1"/>
  <c r="AB963" i="3"/>
  <c r="O963" i="3" s="1"/>
  <c r="AC939" i="3"/>
  <c r="N939" i="3" s="1"/>
  <c r="AC940" i="3"/>
  <c r="N940" i="3" s="1"/>
  <c r="AC941" i="3"/>
  <c r="N941" i="3" s="1"/>
  <c r="AC942" i="3"/>
  <c r="N942" i="3" s="1"/>
  <c r="AC943" i="3"/>
  <c r="N943" i="3" s="1"/>
  <c r="AC944" i="3"/>
  <c r="N944" i="3" s="1"/>
  <c r="AC945" i="3"/>
  <c r="N945" i="3" s="1"/>
  <c r="AC946" i="3"/>
  <c r="N946" i="3" s="1"/>
  <c r="AC947" i="3"/>
  <c r="N947" i="3" s="1"/>
  <c r="AC948" i="3"/>
  <c r="N948" i="3" s="1"/>
  <c r="AC949" i="3"/>
  <c r="N949" i="3" s="1"/>
  <c r="AC950" i="3"/>
  <c r="N950" i="3" s="1"/>
  <c r="AC951" i="3"/>
  <c r="N951" i="3" s="1"/>
  <c r="AC952" i="3"/>
  <c r="N952" i="3" s="1"/>
  <c r="AC953" i="3"/>
  <c r="N953" i="3" s="1"/>
  <c r="AC954" i="3"/>
  <c r="N954" i="3" s="1"/>
  <c r="AC955" i="3"/>
  <c r="N955" i="3" s="1"/>
  <c r="AC956" i="3"/>
  <c r="N956" i="3" s="1"/>
  <c r="AC957" i="3"/>
  <c r="N957" i="3" s="1"/>
  <c r="AC958" i="3"/>
  <c r="N958" i="3" s="1"/>
  <c r="AC959" i="3"/>
  <c r="N959" i="3" s="1"/>
  <c r="AC960" i="3"/>
  <c r="N960" i="3" s="1"/>
  <c r="AC961" i="3"/>
  <c r="N961" i="3" s="1"/>
  <c r="AC962" i="3"/>
  <c r="N962" i="3" s="1"/>
  <c r="AC963" i="3"/>
  <c r="N963" i="3" s="1"/>
  <c r="AK939" i="3"/>
  <c r="AK940" i="3"/>
  <c r="AK941" i="3"/>
  <c r="AK942" i="3"/>
  <c r="AK943" i="3"/>
  <c r="AK944" i="3"/>
  <c r="AK945" i="3"/>
  <c r="AK946" i="3"/>
  <c r="AK947" i="3"/>
  <c r="AK948" i="3"/>
  <c r="AK949" i="3"/>
  <c r="AK950" i="3"/>
  <c r="AK951" i="3"/>
  <c r="AK952" i="3"/>
  <c r="AK953" i="3"/>
  <c r="AK954" i="3"/>
  <c r="AK955" i="3"/>
  <c r="AK956" i="3"/>
  <c r="AK957" i="3"/>
  <c r="AK958" i="3"/>
  <c r="AK959" i="3"/>
  <c r="AK960" i="3"/>
  <c r="AK961" i="3"/>
  <c r="AK962" i="3"/>
  <c r="AK963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S916" i="3"/>
  <c r="S917" i="3"/>
  <c r="S918" i="3"/>
  <c r="S919" i="3"/>
  <c r="S920" i="3"/>
  <c r="S921" i="3"/>
  <c r="S922" i="3"/>
  <c r="S923" i="3"/>
  <c r="S924" i="3"/>
  <c r="S925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T915" i="3"/>
  <c r="T926" i="3"/>
  <c r="U915" i="3"/>
  <c r="U926" i="3"/>
  <c r="V915" i="3"/>
  <c r="V926" i="3"/>
  <c r="W915" i="3"/>
  <c r="W926" i="3"/>
  <c r="X915" i="3"/>
  <c r="X926" i="3"/>
  <c r="AA915" i="3"/>
  <c r="AA916" i="3"/>
  <c r="AA917" i="3"/>
  <c r="AA918" i="3"/>
  <c r="AA919" i="3"/>
  <c r="AA920" i="3"/>
  <c r="AA921" i="3"/>
  <c r="AA922" i="3"/>
  <c r="AA923" i="3"/>
  <c r="AA924" i="3"/>
  <c r="AA925" i="3"/>
  <c r="AA926" i="3"/>
  <c r="AA927" i="3"/>
  <c r="AA928" i="3"/>
  <c r="AA929" i="3"/>
  <c r="AA930" i="3"/>
  <c r="AA931" i="3"/>
  <c r="AA932" i="3"/>
  <c r="AA933" i="3"/>
  <c r="AA934" i="3"/>
  <c r="AA935" i="3"/>
  <c r="AA936" i="3"/>
  <c r="AA937" i="3"/>
  <c r="AA938" i="3"/>
  <c r="AB915" i="3"/>
  <c r="O915" i="3" s="1"/>
  <c r="AB916" i="3"/>
  <c r="O916" i="3" s="1"/>
  <c r="AB917" i="3"/>
  <c r="O917" i="3" s="1"/>
  <c r="AB918" i="3"/>
  <c r="O918" i="3" s="1"/>
  <c r="AB919" i="3"/>
  <c r="O919" i="3" s="1"/>
  <c r="AB920" i="3"/>
  <c r="O920" i="3" s="1"/>
  <c r="AB921" i="3"/>
  <c r="O921" i="3" s="1"/>
  <c r="AB922" i="3"/>
  <c r="O922" i="3" s="1"/>
  <c r="AB923" i="3"/>
  <c r="O923" i="3" s="1"/>
  <c r="AB924" i="3"/>
  <c r="O924" i="3" s="1"/>
  <c r="AB925" i="3"/>
  <c r="O925" i="3" s="1"/>
  <c r="AB926" i="3"/>
  <c r="O926" i="3" s="1"/>
  <c r="Y926" i="3" s="1"/>
  <c r="AB927" i="3"/>
  <c r="O927" i="3" s="1"/>
  <c r="AB928" i="3"/>
  <c r="O928" i="3" s="1"/>
  <c r="AB929" i="3"/>
  <c r="O929" i="3" s="1"/>
  <c r="AB930" i="3"/>
  <c r="O930" i="3" s="1"/>
  <c r="AB931" i="3"/>
  <c r="O931" i="3" s="1"/>
  <c r="AB932" i="3"/>
  <c r="O932" i="3" s="1"/>
  <c r="AB933" i="3"/>
  <c r="O933" i="3" s="1"/>
  <c r="AB934" i="3"/>
  <c r="O934" i="3" s="1"/>
  <c r="AB935" i="3"/>
  <c r="O935" i="3" s="1"/>
  <c r="AB936" i="3"/>
  <c r="O936" i="3" s="1"/>
  <c r="AB937" i="3"/>
  <c r="O937" i="3" s="1"/>
  <c r="AB938" i="3"/>
  <c r="O938" i="3" s="1"/>
  <c r="AC915" i="3"/>
  <c r="N915" i="3" s="1"/>
  <c r="AC916" i="3"/>
  <c r="N916" i="3" s="1"/>
  <c r="AC917" i="3"/>
  <c r="N917" i="3" s="1"/>
  <c r="AC918" i="3"/>
  <c r="N918" i="3" s="1"/>
  <c r="AC919" i="3"/>
  <c r="N919" i="3" s="1"/>
  <c r="AC920" i="3"/>
  <c r="N920" i="3" s="1"/>
  <c r="AC921" i="3"/>
  <c r="N921" i="3" s="1"/>
  <c r="AC922" i="3"/>
  <c r="N922" i="3" s="1"/>
  <c r="AC923" i="3"/>
  <c r="N923" i="3" s="1"/>
  <c r="AC924" i="3"/>
  <c r="N924" i="3" s="1"/>
  <c r="AC925" i="3"/>
  <c r="N925" i="3" s="1"/>
  <c r="AC926" i="3"/>
  <c r="N926" i="3" s="1"/>
  <c r="S926" i="3" s="1"/>
  <c r="AC927" i="3"/>
  <c r="N927" i="3" s="1"/>
  <c r="AC928" i="3"/>
  <c r="N928" i="3" s="1"/>
  <c r="AC929" i="3"/>
  <c r="N929" i="3" s="1"/>
  <c r="AC930" i="3"/>
  <c r="N930" i="3" s="1"/>
  <c r="AC931" i="3"/>
  <c r="N931" i="3" s="1"/>
  <c r="AC932" i="3"/>
  <c r="N932" i="3" s="1"/>
  <c r="AC933" i="3"/>
  <c r="N933" i="3" s="1"/>
  <c r="AC934" i="3"/>
  <c r="N934" i="3" s="1"/>
  <c r="AC935" i="3"/>
  <c r="N935" i="3" s="1"/>
  <c r="AC936" i="3"/>
  <c r="N936" i="3" s="1"/>
  <c r="AC937" i="3"/>
  <c r="N937" i="3" s="1"/>
  <c r="AC938" i="3"/>
  <c r="N938" i="3" s="1"/>
  <c r="AK915" i="3"/>
  <c r="AK916" i="3"/>
  <c r="AK917" i="3"/>
  <c r="AK918" i="3"/>
  <c r="AK919" i="3"/>
  <c r="AK920" i="3"/>
  <c r="AK921" i="3"/>
  <c r="AK922" i="3"/>
  <c r="AK923" i="3"/>
  <c r="AK924" i="3"/>
  <c r="AK925" i="3"/>
  <c r="AK926" i="3"/>
  <c r="AK927" i="3"/>
  <c r="AK928" i="3"/>
  <c r="AK929" i="3"/>
  <c r="AK930" i="3"/>
  <c r="AK931" i="3"/>
  <c r="AK932" i="3"/>
  <c r="AK933" i="3"/>
  <c r="AK934" i="3"/>
  <c r="AK935" i="3"/>
  <c r="AK936" i="3"/>
  <c r="AK937" i="3"/>
  <c r="AK938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S894" i="3"/>
  <c r="S895" i="3"/>
  <c r="S896" i="3"/>
  <c r="S897" i="3"/>
  <c r="S898" i="3"/>
  <c r="S899" i="3"/>
  <c r="S900" i="3"/>
  <c r="S901" i="3"/>
  <c r="S902" i="3"/>
  <c r="S903" i="3"/>
  <c r="S905" i="3"/>
  <c r="S906" i="3"/>
  <c r="S907" i="3"/>
  <c r="S908" i="3"/>
  <c r="S909" i="3"/>
  <c r="S910" i="3"/>
  <c r="S911" i="3"/>
  <c r="S912" i="3"/>
  <c r="S913" i="3"/>
  <c r="S914" i="3"/>
  <c r="T893" i="3"/>
  <c r="T904" i="3"/>
  <c r="U893" i="3"/>
  <c r="U904" i="3"/>
  <c r="V893" i="3"/>
  <c r="V904" i="3"/>
  <c r="W893" i="3"/>
  <c r="W904" i="3"/>
  <c r="X893" i="3"/>
  <c r="X904" i="3"/>
  <c r="AA893" i="3"/>
  <c r="AA894" i="3"/>
  <c r="AA895" i="3"/>
  <c r="AA896" i="3"/>
  <c r="AA897" i="3"/>
  <c r="AA898" i="3"/>
  <c r="AA899" i="3"/>
  <c r="AA900" i="3"/>
  <c r="AA901" i="3"/>
  <c r="AA902" i="3"/>
  <c r="AA903" i="3"/>
  <c r="AA904" i="3"/>
  <c r="AA905" i="3"/>
  <c r="AA906" i="3"/>
  <c r="AA907" i="3"/>
  <c r="AA908" i="3"/>
  <c r="AA909" i="3"/>
  <c r="AA910" i="3"/>
  <c r="AA911" i="3"/>
  <c r="AA912" i="3"/>
  <c r="AA913" i="3"/>
  <c r="AA914" i="3"/>
  <c r="AB893" i="3"/>
  <c r="O893" i="3" s="1"/>
  <c r="Y893" i="3" s="1"/>
  <c r="AB894" i="3"/>
  <c r="O894" i="3" s="1"/>
  <c r="AB895" i="3"/>
  <c r="O895" i="3" s="1"/>
  <c r="AB896" i="3"/>
  <c r="O896" i="3" s="1"/>
  <c r="AB897" i="3"/>
  <c r="O897" i="3" s="1"/>
  <c r="AB898" i="3"/>
  <c r="O898" i="3" s="1"/>
  <c r="AB899" i="3"/>
  <c r="O899" i="3" s="1"/>
  <c r="AB900" i="3"/>
  <c r="O900" i="3" s="1"/>
  <c r="AB901" i="3"/>
  <c r="O901" i="3" s="1"/>
  <c r="AB902" i="3"/>
  <c r="O902" i="3" s="1"/>
  <c r="AB903" i="3"/>
  <c r="O903" i="3" s="1"/>
  <c r="AB904" i="3"/>
  <c r="O904" i="3" s="1"/>
  <c r="Y904" i="3" s="1"/>
  <c r="AB905" i="3"/>
  <c r="O905" i="3" s="1"/>
  <c r="AB906" i="3"/>
  <c r="O906" i="3" s="1"/>
  <c r="AB907" i="3"/>
  <c r="O907" i="3" s="1"/>
  <c r="AB908" i="3"/>
  <c r="O908" i="3" s="1"/>
  <c r="AB909" i="3"/>
  <c r="O909" i="3" s="1"/>
  <c r="AB910" i="3"/>
  <c r="O910" i="3" s="1"/>
  <c r="AB911" i="3"/>
  <c r="O911" i="3" s="1"/>
  <c r="AB912" i="3"/>
  <c r="O912" i="3" s="1"/>
  <c r="AB913" i="3"/>
  <c r="O913" i="3" s="1"/>
  <c r="AB914" i="3"/>
  <c r="O914" i="3" s="1"/>
  <c r="AC893" i="3"/>
  <c r="N893" i="3" s="1"/>
  <c r="AC894" i="3"/>
  <c r="N894" i="3" s="1"/>
  <c r="AC895" i="3"/>
  <c r="N895" i="3" s="1"/>
  <c r="AC896" i="3"/>
  <c r="N896" i="3" s="1"/>
  <c r="AC897" i="3"/>
  <c r="N897" i="3" s="1"/>
  <c r="AC898" i="3"/>
  <c r="N898" i="3" s="1"/>
  <c r="AC899" i="3"/>
  <c r="N899" i="3" s="1"/>
  <c r="AC900" i="3"/>
  <c r="N900" i="3" s="1"/>
  <c r="AC901" i="3"/>
  <c r="N901" i="3" s="1"/>
  <c r="AC902" i="3"/>
  <c r="N902" i="3" s="1"/>
  <c r="AC903" i="3"/>
  <c r="N903" i="3" s="1"/>
  <c r="AC904" i="3"/>
  <c r="N904" i="3" s="1"/>
  <c r="S904" i="3" s="1"/>
  <c r="AC905" i="3"/>
  <c r="N905" i="3" s="1"/>
  <c r="AC906" i="3"/>
  <c r="N906" i="3" s="1"/>
  <c r="AC907" i="3"/>
  <c r="N907" i="3" s="1"/>
  <c r="AC908" i="3"/>
  <c r="N908" i="3" s="1"/>
  <c r="AC909" i="3"/>
  <c r="N909" i="3" s="1"/>
  <c r="AC910" i="3"/>
  <c r="N910" i="3" s="1"/>
  <c r="AC911" i="3"/>
  <c r="N911" i="3" s="1"/>
  <c r="AC912" i="3"/>
  <c r="N912" i="3" s="1"/>
  <c r="AC913" i="3"/>
  <c r="N913" i="3" s="1"/>
  <c r="AC914" i="3"/>
  <c r="N914" i="3" s="1"/>
  <c r="AK893" i="3"/>
  <c r="AK894" i="3"/>
  <c r="AK895" i="3"/>
  <c r="AK896" i="3"/>
  <c r="AK897" i="3"/>
  <c r="AK898" i="3"/>
  <c r="AK899" i="3"/>
  <c r="AK900" i="3"/>
  <c r="AK901" i="3"/>
  <c r="AK902" i="3"/>
  <c r="AK903" i="3"/>
  <c r="AK904" i="3"/>
  <c r="AK905" i="3"/>
  <c r="AK906" i="3"/>
  <c r="AK907" i="3"/>
  <c r="AK908" i="3"/>
  <c r="AK909" i="3"/>
  <c r="AK910" i="3"/>
  <c r="AK911" i="3"/>
  <c r="AK912" i="3"/>
  <c r="AK913" i="3"/>
  <c r="AK914" i="3"/>
  <c r="M882" i="3"/>
  <c r="M883" i="3"/>
  <c r="M884" i="3"/>
  <c r="M885" i="3"/>
  <c r="M886" i="3"/>
  <c r="M887" i="3"/>
  <c r="M888" i="3"/>
  <c r="M889" i="3"/>
  <c r="M890" i="3"/>
  <c r="M891" i="3"/>
  <c r="M892" i="3"/>
  <c r="P882" i="3"/>
  <c r="P883" i="3"/>
  <c r="P884" i="3"/>
  <c r="P885" i="3"/>
  <c r="P886" i="3"/>
  <c r="P887" i="3"/>
  <c r="P888" i="3"/>
  <c r="P889" i="3"/>
  <c r="P890" i="3"/>
  <c r="P891" i="3"/>
  <c r="P892" i="3"/>
  <c r="Q882" i="3"/>
  <c r="Q883" i="3"/>
  <c r="Q884" i="3"/>
  <c r="Q885" i="3"/>
  <c r="Q886" i="3"/>
  <c r="Q887" i="3"/>
  <c r="Q888" i="3"/>
  <c r="Q889" i="3"/>
  <c r="Q890" i="3"/>
  <c r="Q891" i="3"/>
  <c r="Q892" i="3"/>
  <c r="R882" i="3"/>
  <c r="R883" i="3"/>
  <c r="R884" i="3"/>
  <c r="R885" i="3"/>
  <c r="R886" i="3"/>
  <c r="R887" i="3"/>
  <c r="R888" i="3"/>
  <c r="R889" i="3"/>
  <c r="R890" i="3"/>
  <c r="R891" i="3"/>
  <c r="R892" i="3"/>
  <c r="S883" i="3"/>
  <c r="S884" i="3"/>
  <c r="S885" i="3"/>
  <c r="S886" i="3"/>
  <c r="S887" i="3"/>
  <c r="S888" i="3"/>
  <c r="S889" i="3"/>
  <c r="S890" i="3"/>
  <c r="S891" i="3"/>
  <c r="S892" i="3"/>
  <c r="T882" i="3"/>
  <c r="U882" i="3"/>
  <c r="V882" i="3"/>
  <c r="W882" i="3"/>
  <c r="X882" i="3"/>
  <c r="AA882" i="3"/>
  <c r="AA883" i="3"/>
  <c r="AA884" i="3"/>
  <c r="AA885" i="3"/>
  <c r="AA886" i="3"/>
  <c r="AA887" i="3"/>
  <c r="AA888" i="3"/>
  <c r="AA889" i="3"/>
  <c r="AA890" i="3"/>
  <c r="AA891" i="3"/>
  <c r="AA892" i="3"/>
  <c r="AB882" i="3"/>
  <c r="O882" i="3" s="1"/>
  <c r="Y882" i="3" s="1"/>
  <c r="AB883" i="3"/>
  <c r="O883" i="3" s="1"/>
  <c r="AB884" i="3"/>
  <c r="O884" i="3" s="1"/>
  <c r="AB885" i="3"/>
  <c r="O885" i="3" s="1"/>
  <c r="AB886" i="3"/>
  <c r="O886" i="3" s="1"/>
  <c r="AB887" i="3"/>
  <c r="O887" i="3" s="1"/>
  <c r="AB888" i="3"/>
  <c r="O888" i="3" s="1"/>
  <c r="AB889" i="3"/>
  <c r="O889" i="3" s="1"/>
  <c r="AB890" i="3"/>
  <c r="O890" i="3" s="1"/>
  <c r="AB891" i="3"/>
  <c r="O891" i="3" s="1"/>
  <c r="AB892" i="3"/>
  <c r="O892" i="3" s="1"/>
  <c r="AC882" i="3"/>
  <c r="N882" i="3" s="1"/>
  <c r="AC883" i="3"/>
  <c r="N883" i="3" s="1"/>
  <c r="AC884" i="3"/>
  <c r="N884" i="3" s="1"/>
  <c r="AC885" i="3"/>
  <c r="N885" i="3" s="1"/>
  <c r="AC886" i="3"/>
  <c r="N886" i="3" s="1"/>
  <c r="AC887" i="3"/>
  <c r="N887" i="3" s="1"/>
  <c r="AC888" i="3"/>
  <c r="N888" i="3" s="1"/>
  <c r="AC889" i="3"/>
  <c r="N889" i="3" s="1"/>
  <c r="AC890" i="3"/>
  <c r="N890" i="3" s="1"/>
  <c r="AC891" i="3"/>
  <c r="N891" i="3" s="1"/>
  <c r="AC892" i="3"/>
  <c r="N892" i="3" s="1"/>
  <c r="AK882" i="3"/>
  <c r="AK883" i="3"/>
  <c r="AK884" i="3"/>
  <c r="AK885" i="3"/>
  <c r="AK886" i="3"/>
  <c r="AK887" i="3"/>
  <c r="AK888" i="3"/>
  <c r="AK889" i="3"/>
  <c r="AK890" i="3"/>
  <c r="AK891" i="3"/>
  <c r="AK892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2" i="3"/>
  <c r="S873" i="3"/>
  <c r="S874" i="3"/>
  <c r="S875" i="3"/>
  <c r="S876" i="3"/>
  <c r="S877" i="3"/>
  <c r="S878" i="3"/>
  <c r="S879" i="3"/>
  <c r="S880" i="3"/>
  <c r="S881" i="3"/>
  <c r="T857" i="3"/>
  <c r="T871" i="3"/>
  <c r="U857" i="3"/>
  <c r="U871" i="3"/>
  <c r="V857" i="3"/>
  <c r="V871" i="3"/>
  <c r="W857" i="3"/>
  <c r="W871" i="3"/>
  <c r="X857" i="3"/>
  <c r="X871" i="3"/>
  <c r="AA857" i="3"/>
  <c r="AA858" i="3"/>
  <c r="AA859" i="3"/>
  <c r="AA860" i="3"/>
  <c r="AA861" i="3"/>
  <c r="AA862" i="3"/>
  <c r="AA863" i="3"/>
  <c r="AA864" i="3"/>
  <c r="AA865" i="3"/>
  <c r="AA866" i="3"/>
  <c r="AA867" i="3"/>
  <c r="AA868" i="3"/>
  <c r="AA869" i="3"/>
  <c r="AA870" i="3"/>
  <c r="AA871" i="3"/>
  <c r="AA872" i="3"/>
  <c r="AA873" i="3"/>
  <c r="AA874" i="3"/>
  <c r="AA875" i="3"/>
  <c r="AA876" i="3"/>
  <c r="AA877" i="3"/>
  <c r="AA878" i="3"/>
  <c r="AA879" i="3"/>
  <c r="AA880" i="3"/>
  <c r="AA881" i="3"/>
  <c r="AB857" i="3"/>
  <c r="O857" i="3" s="1"/>
  <c r="Y857" i="3" s="1"/>
  <c r="AB858" i="3"/>
  <c r="O858" i="3" s="1"/>
  <c r="AB859" i="3"/>
  <c r="O859" i="3" s="1"/>
  <c r="AB860" i="3"/>
  <c r="O860" i="3" s="1"/>
  <c r="AB861" i="3"/>
  <c r="O861" i="3" s="1"/>
  <c r="AB862" i="3"/>
  <c r="O862" i="3" s="1"/>
  <c r="AB863" i="3"/>
  <c r="O863" i="3" s="1"/>
  <c r="AB864" i="3"/>
  <c r="O864" i="3" s="1"/>
  <c r="AB865" i="3"/>
  <c r="O865" i="3" s="1"/>
  <c r="AB866" i="3"/>
  <c r="O866" i="3" s="1"/>
  <c r="AB867" i="3"/>
  <c r="O867" i="3" s="1"/>
  <c r="AB868" i="3"/>
  <c r="O868" i="3" s="1"/>
  <c r="AB869" i="3"/>
  <c r="O869" i="3" s="1"/>
  <c r="AB870" i="3"/>
  <c r="O870" i="3" s="1"/>
  <c r="AB871" i="3"/>
  <c r="O871" i="3" s="1"/>
  <c r="Y871" i="3" s="1"/>
  <c r="AB872" i="3"/>
  <c r="O872" i="3" s="1"/>
  <c r="AB873" i="3"/>
  <c r="O873" i="3" s="1"/>
  <c r="AB874" i="3"/>
  <c r="O874" i="3" s="1"/>
  <c r="AB875" i="3"/>
  <c r="O875" i="3" s="1"/>
  <c r="AB876" i="3"/>
  <c r="O876" i="3" s="1"/>
  <c r="AB877" i="3"/>
  <c r="O877" i="3" s="1"/>
  <c r="AB878" i="3"/>
  <c r="O878" i="3" s="1"/>
  <c r="AB879" i="3"/>
  <c r="O879" i="3" s="1"/>
  <c r="AB880" i="3"/>
  <c r="O880" i="3" s="1"/>
  <c r="AB881" i="3"/>
  <c r="O881" i="3" s="1"/>
  <c r="AC857" i="3"/>
  <c r="N857" i="3" s="1"/>
  <c r="AC858" i="3"/>
  <c r="N858" i="3" s="1"/>
  <c r="AC859" i="3"/>
  <c r="N859" i="3" s="1"/>
  <c r="AC860" i="3"/>
  <c r="N860" i="3" s="1"/>
  <c r="AC861" i="3"/>
  <c r="N861" i="3" s="1"/>
  <c r="AC862" i="3"/>
  <c r="N862" i="3" s="1"/>
  <c r="AC863" i="3"/>
  <c r="N863" i="3" s="1"/>
  <c r="AC864" i="3"/>
  <c r="N864" i="3" s="1"/>
  <c r="AC865" i="3"/>
  <c r="N865" i="3" s="1"/>
  <c r="AC866" i="3"/>
  <c r="N866" i="3" s="1"/>
  <c r="AC867" i="3"/>
  <c r="N867" i="3" s="1"/>
  <c r="AC868" i="3"/>
  <c r="N868" i="3" s="1"/>
  <c r="AC869" i="3"/>
  <c r="N869" i="3" s="1"/>
  <c r="AC870" i="3"/>
  <c r="N870" i="3" s="1"/>
  <c r="AC871" i="3"/>
  <c r="N871" i="3" s="1"/>
  <c r="AC872" i="3"/>
  <c r="N872" i="3" s="1"/>
  <c r="AC873" i="3"/>
  <c r="N873" i="3" s="1"/>
  <c r="AC874" i="3"/>
  <c r="N874" i="3" s="1"/>
  <c r="AC875" i="3"/>
  <c r="N875" i="3" s="1"/>
  <c r="AC876" i="3"/>
  <c r="N876" i="3" s="1"/>
  <c r="AC877" i="3"/>
  <c r="N877" i="3" s="1"/>
  <c r="AC878" i="3"/>
  <c r="N878" i="3" s="1"/>
  <c r="AC879" i="3"/>
  <c r="N879" i="3" s="1"/>
  <c r="AC880" i="3"/>
  <c r="N880" i="3" s="1"/>
  <c r="AC881" i="3"/>
  <c r="N881" i="3" s="1"/>
  <c r="AK857" i="3"/>
  <c r="AK858" i="3"/>
  <c r="AK859" i="3"/>
  <c r="AK860" i="3"/>
  <c r="AK861" i="3"/>
  <c r="AK862" i="3"/>
  <c r="AK863" i="3"/>
  <c r="AK864" i="3"/>
  <c r="AK865" i="3"/>
  <c r="AK866" i="3"/>
  <c r="AK867" i="3"/>
  <c r="AK868" i="3"/>
  <c r="AK869" i="3"/>
  <c r="AK870" i="3"/>
  <c r="AK871" i="3"/>
  <c r="AK872" i="3"/>
  <c r="AK873" i="3"/>
  <c r="AK874" i="3"/>
  <c r="AK875" i="3"/>
  <c r="AK876" i="3"/>
  <c r="AK877" i="3"/>
  <c r="AK878" i="3"/>
  <c r="AK879" i="3"/>
  <c r="AK880" i="3"/>
  <c r="AK881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S835" i="3"/>
  <c r="S836" i="3"/>
  <c r="S837" i="3"/>
  <c r="S838" i="3"/>
  <c r="S839" i="3"/>
  <c r="S840" i="3"/>
  <c r="S841" i="3"/>
  <c r="S842" i="3"/>
  <c r="S843" i="3"/>
  <c r="S844" i="3"/>
  <c r="S846" i="3"/>
  <c r="S847" i="3"/>
  <c r="S848" i="3"/>
  <c r="S849" i="3"/>
  <c r="S850" i="3"/>
  <c r="S851" i="3"/>
  <c r="S852" i="3"/>
  <c r="S853" i="3"/>
  <c r="S854" i="3"/>
  <c r="S855" i="3"/>
  <c r="S856" i="3"/>
  <c r="T834" i="3"/>
  <c r="T845" i="3"/>
  <c r="U834" i="3"/>
  <c r="U845" i="3"/>
  <c r="V834" i="3"/>
  <c r="V845" i="3"/>
  <c r="W834" i="3"/>
  <c r="W845" i="3"/>
  <c r="X834" i="3"/>
  <c r="X845" i="3"/>
  <c r="AA834" i="3"/>
  <c r="AA835" i="3"/>
  <c r="AA836" i="3"/>
  <c r="AA837" i="3"/>
  <c r="AA838" i="3"/>
  <c r="AA839" i="3"/>
  <c r="AA840" i="3"/>
  <c r="AA841" i="3"/>
  <c r="AA842" i="3"/>
  <c r="AA843" i="3"/>
  <c r="AA844" i="3"/>
  <c r="AA845" i="3"/>
  <c r="AA846" i="3"/>
  <c r="AA847" i="3"/>
  <c r="AA848" i="3"/>
  <c r="AA849" i="3"/>
  <c r="AA850" i="3"/>
  <c r="AA851" i="3"/>
  <c r="AA852" i="3"/>
  <c r="AA853" i="3"/>
  <c r="AA854" i="3"/>
  <c r="AA855" i="3"/>
  <c r="AA856" i="3"/>
  <c r="AB834" i="3"/>
  <c r="O834" i="3" s="1"/>
  <c r="Y834" i="3" s="1"/>
  <c r="AB835" i="3"/>
  <c r="O835" i="3" s="1"/>
  <c r="AB836" i="3"/>
  <c r="O836" i="3" s="1"/>
  <c r="AB837" i="3"/>
  <c r="O837" i="3" s="1"/>
  <c r="AB838" i="3"/>
  <c r="O838" i="3" s="1"/>
  <c r="AB839" i="3"/>
  <c r="O839" i="3" s="1"/>
  <c r="AB840" i="3"/>
  <c r="O840" i="3" s="1"/>
  <c r="AB841" i="3"/>
  <c r="O841" i="3" s="1"/>
  <c r="AB842" i="3"/>
  <c r="O842" i="3" s="1"/>
  <c r="AB843" i="3"/>
  <c r="O843" i="3" s="1"/>
  <c r="AB844" i="3"/>
  <c r="O844" i="3" s="1"/>
  <c r="AB845" i="3"/>
  <c r="O845" i="3" s="1"/>
  <c r="AB846" i="3"/>
  <c r="O846" i="3" s="1"/>
  <c r="AB847" i="3"/>
  <c r="O847" i="3" s="1"/>
  <c r="AB848" i="3"/>
  <c r="O848" i="3" s="1"/>
  <c r="AB849" i="3"/>
  <c r="O849" i="3" s="1"/>
  <c r="AB850" i="3"/>
  <c r="O850" i="3" s="1"/>
  <c r="AB851" i="3"/>
  <c r="O851" i="3" s="1"/>
  <c r="AB852" i="3"/>
  <c r="O852" i="3" s="1"/>
  <c r="AB853" i="3"/>
  <c r="O853" i="3" s="1"/>
  <c r="AB854" i="3"/>
  <c r="O854" i="3" s="1"/>
  <c r="AB855" i="3"/>
  <c r="O855" i="3" s="1"/>
  <c r="AB856" i="3"/>
  <c r="O856" i="3" s="1"/>
  <c r="AC834" i="3"/>
  <c r="N834" i="3" s="1"/>
  <c r="AC835" i="3"/>
  <c r="N835" i="3" s="1"/>
  <c r="AC836" i="3"/>
  <c r="N836" i="3" s="1"/>
  <c r="AC837" i="3"/>
  <c r="N837" i="3" s="1"/>
  <c r="AC838" i="3"/>
  <c r="N838" i="3" s="1"/>
  <c r="AC839" i="3"/>
  <c r="N839" i="3" s="1"/>
  <c r="AC840" i="3"/>
  <c r="N840" i="3" s="1"/>
  <c r="AC841" i="3"/>
  <c r="N841" i="3" s="1"/>
  <c r="AC842" i="3"/>
  <c r="N842" i="3" s="1"/>
  <c r="AC843" i="3"/>
  <c r="N843" i="3" s="1"/>
  <c r="AC844" i="3"/>
  <c r="N844" i="3" s="1"/>
  <c r="AC845" i="3"/>
  <c r="N845" i="3" s="1"/>
  <c r="AC846" i="3"/>
  <c r="N846" i="3" s="1"/>
  <c r="AC847" i="3"/>
  <c r="N847" i="3" s="1"/>
  <c r="AC848" i="3"/>
  <c r="N848" i="3" s="1"/>
  <c r="AC849" i="3"/>
  <c r="N849" i="3" s="1"/>
  <c r="AC850" i="3"/>
  <c r="N850" i="3" s="1"/>
  <c r="AC851" i="3"/>
  <c r="N851" i="3" s="1"/>
  <c r="AC852" i="3"/>
  <c r="N852" i="3" s="1"/>
  <c r="AC853" i="3"/>
  <c r="N853" i="3" s="1"/>
  <c r="AC854" i="3"/>
  <c r="N854" i="3" s="1"/>
  <c r="AC855" i="3"/>
  <c r="N855" i="3" s="1"/>
  <c r="AC856" i="3"/>
  <c r="N856" i="3" s="1"/>
  <c r="AK834" i="3"/>
  <c r="AK835" i="3"/>
  <c r="AK836" i="3"/>
  <c r="AK837" i="3"/>
  <c r="AK838" i="3"/>
  <c r="AK839" i="3"/>
  <c r="AK840" i="3"/>
  <c r="AK841" i="3"/>
  <c r="AK842" i="3"/>
  <c r="AK843" i="3"/>
  <c r="AK844" i="3"/>
  <c r="AK845" i="3"/>
  <c r="AK846" i="3"/>
  <c r="AK847" i="3"/>
  <c r="AK848" i="3"/>
  <c r="AK849" i="3"/>
  <c r="AK850" i="3"/>
  <c r="AK851" i="3"/>
  <c r="AK852" i="3"/>
  <c r="AK853" i="3"/>
  <c r="AK854" i="3"/>
  <c r="AK855" i="3"/>
  <c r="AK856" i="3"/>
  <c r="M823" i="3"/>
  <c r="M824" i="3"/>
  <c r="M825" i="3"/>
  <c r="M826" i="3"/>
  <c r="M827" i="3"/>
  <c r="M828" i="3"/>
  <c r="M829" i="3"/>
  <c r="M830" i="3"/>
  <c r="M831" i="3"/>
  <c r="M832" i="3"/>
  <c r="M833" i="3"/>
  <c r="P823" i="3"/>
  <c r="P824" i="3"/>
  <c r="P825" i="3"/>
  <c r="P826" i="3"/>
  <c r="P827" i="3"/>
  <c r="P828" i="3"/>
  <c r="P829" i="3"/>
  <c r="P830" i="3"/>
  <c r="P831" i="3"/>
  <c r="P832" i="3"/>
  <c r="P833" i="3"/>
  <c r="Q823" i="3"/>
  <c r="Q824" i="3"/>
  <c r="Q825" i="3"/>
  <c r="Q826" i="3"/>
  <c r="Q827" i="3"/>
  <c r="Q828" i="3"/>
  <c r="Q829" i="3"/>
  <c r="Q830" i="3"/>
  <c r="Q831" i="3"/>
  <c r="Q832" i="3"/>
  <c r="Q833" i="3"/>
  <c r="R823" i="3"/>
  <c r="R824" i="3"/>
  <c r="R825" i="3"/>
  <c r="R826" i="3"/>
  <c r="R827" i="3"/>
  <c r="R828" i="3"/>
  <c r="R829" i="3"/>
  <c r="R830" i="3"/>
  <c r="R831" i="3"/>
  <c r="R832" i="3"/>
  <c r="R833" i="3"/>
  <c r="S824" i="3"/>
  <c r="S825" i="3"/>
  <c r="S826" i="3"/>
  <c r="S827" i="3"/>
  <c r="S828" i="3"/>
  <c r="S829" i="3"/>
  <c r="S830" i="3"/>
  <c r="S831" i="3"/>
  <c r="S832" i="3"/>
  <c r="S833" i="3"/>
  <c r="T823" i="3"/>
  <c r="U823" i="3"/>
  <c r="V823" i="3"/>
  <c r="W823" i="3"/>
  <c r="X823" i="3"/>
  <c r="AA823" i="3"/>
  <c r="AA824" i="3"/>
  <c r="AA825" i="3"/>
  <c r="AA826" i="3"/>
  <c r="AA827" i="3"/>
  <c r="AA828" i="3"/>
  <c r="AA829" i="3"/>
  <c r="AA830" i="3"/>
  <c r="AA831" i="3"/>
  <c r="AA832" i="3"/>
  <c r="AA833" i="3"/>
  <c r="AB823" i="3"/>
  <c r="O823" i="3" s="1"/>
  <c r="Y823" i="3" s="1"/>
  <c r="AB824" i="3"/>
  <c r="O824" i="3" s="1"/>
  <c r="AB825" i="3"/>
  <c r="O825" i="3" s="1"/>
  <c r="AB826" i="3"/>
  <c r="O826" i="3" s="1"/>
  <c r="AB827" i="3"/>
  <c r="O827" i="3" s="1"/>
  <c r="AB828" i="3"/>
  <c r="O828" i="3" s="1"/>
  <c r="AB829" i="3"/>
  <c r="O829" i="3" s="1"/>
  <c r="AB830" i="3"/>
  <c r="O830" i="3" s="1"/>
  <c r="AB831" i="3"/>
  <c r="O831" i="3" s="1"/>
  <c r="AB832" i="3"/>
  <c r="O832" i="3" s="1"/>
  <c r="AB833" i="3"/>
  <c r="O833" i="3" s="1"/>
  <c r="AC823" i="3"/>
  <c r="N823" i="3" s="1"/>
  <c r="AC824" i="3"/>
  <c r="N824" i="3" s="1"/>
  <c r="AC825" i="3"/>
  <c r="N825" i="3" s="1"/>
  <c r="AC826" i="3"/>
  <c r="N826" i="3" s="1"/>
  <c r="AC827" i="3"/>
  <c r="N827" i="3" s="1"/>
  <c r="AC828" i="3"/>
  <c r="N828" i="3" s="1"/>
  <c r="AC829" i="3"/>
  <c r="N829" i="3" s="1"/>
  <c r="AC830" i="3"/>
  <c r="N830" i="3" s="1"/>
  <c r="AC831" i="3"/>
  <c r="N831" i="3" s="1"/>
  <c r="AC832" i="3"/>
  <c r="N832" i="3" s="1"/>
  <c r="AC833" i="3"/>
  <c r="N833" i="3" s="1"/>
  <c r="AK823" i="3"/>
  <c r="AK824" i="3"/>
  <c r="AK825" i="3"/>
  <c r="AK826" i="3"/>
  <c r="AK827" i="3"/>
  <c r="AK828" i="3"/>
  <c r="AK829" i="3"/>
  <c r="AK830" i="3"/>
  <c r="AK831" i="3"/>
  <c r="AK832" i="3"/>
  <c r="AK833" i="3"/>
  <c r="M812" i="3"/>
  <c r="M813" i="3"/>
  <c r="M814" i="3"/>
  <c r="M815" i="3"/>
  <c r="M816" i="3"/>
  <c r="M817" i="3"/>
  <c r="M818" i="3"/>
  <c r="M819" i="3"/>
  <c r="M820" i="3"/>
  <c r="M821" i="3"/>
  <c r="M822" i="3"/>
  <c r="P812" i="3"/>
  <c r="P813" i="3"/>
  <c r="P814" i="3"/>
  <c r="P815" i="3"/>
  <c r="P816" i="3"/>
  <c r="P817" i="3"/>
  <c r="P818" i="3"/>
  <c r="P819" i="3"/>
  <c r="P820" i="3"/>
  <c r="P821" i="3"/>
  <c r="P822" i="3"/>
  <c r="Q812" i="3"/>
  <c r="Q813" i="3"/>
  <c r="Q814" i="3"/>
  <c r="Q815" i="3"/>
  <c r="Q816" i="3"/>
  <c r="Q817" i="3"/>
  <c r="Q818" i="3"/>
  <c r="Q819" i="3"/>
  <c r="Q820" i="3"/>
  <c r="Q821" i="3"/>
  <c r="Q822" i="3"/>
  <c r="R812" i="3"/>
  <c r="R813" i="3"/>
  <c r="R814" i="3"/>
  <c r="R815" i="3"/>
  <c r="R816" i="3"/>
  <c r="R817" i="3"/>
  <c r="R818" i="3"/>
  <c r="R819" i="3"/>
  <c r="R820" i="3"/>
  <c r="R821" i="3"/>
  <c r="R822" i="3"/>
  <c r="S813" i="3"/>
  <c r="S814" i="3"/>
  <c r="S815" i="3"/>
  <c r="S816" i="3"/>
  <c r="S817" i="3"/>
  <c r="S818" i="3"/>
  <c r="S819" i="3"/>
  <c r="S820" i="3"/>
  <c r="S821" i="3"/>
  <c r="S822" i="3"/>
  <c r="T812" i="3"/>
  <c r="U812" i="3"/>
  <c r="V812" i="3"/>
  <c r="W812" i="3"/>
  <c r="X812" i="3"/>
  <c r="AA812" i="3"/>
  <c r="AA813" i="3"/>
  <c r="AA814" i="3"/>
  <c r="AA815" i="3"/>
  <c r="AA816" i="3"/>
  <c r="AA817" i="3"/>
  <c r="AA818" i="3"/>
  <c r="AA819" i="3"/>
  <c r="AA820" i="3"/>
  <c r="AA821" i="3"/>
  <c r="AA822" i="3"/>
  <c r="AB812" i="3"/>
  <c r="O812" i="3" s="1"/>
  <c r="Y812" i="3" s="1"/>
  <c r="AB813" i="3"/>
  <c r="O813" i="3" s="1"/>
  <c r="AB814" i="3"/>
  <c r="O814" i="3" s="1"/>
  <c r="AB815" i="3"/>
  <c r="O815" i="3" s="1"/>
  <c r="AB816" i="3"/>
  <c r="O816" i="3" s="1"/>
  <c r="AB817" i="3"/>
  <c r="O817" i="3" s="1"/>
  <c r="AB818" i="3"/>
  <c r="O818" i="3" s="1"/>
  <c r="AB819" i="3"/>
  <c r="O819" i="3" s="1"/>
  <c r="AB820" i="3"/>
  <c r="O820" i="3" s="1"/>
  <c r="AB821" i="3"/>
  <c r="O821" i="3" s="1"/>
  <c r="AB822" i="3"/>
  <c r="O822" i="3" s="1"/>
  <c r="AC812" i="3"/>
  <c r="N812" i="3" s="1"/>
  <c r="AC813" i="3"/>
  <c r="N813" i="3" s="1"/>
  <c r="AC814" i="3"/>
  <c r="N814" i="3" s="1"/>
  <c r="AC815" i="3"/>
  <c r="N815" i="3" s="1"/>
  <c r="AC816" i="3"/>
  <c r="N816" i="3" s="1"/>
  <c r="AC817" i="3"/>
  <c r="N817" i="3" s="1"/>
  <c r="AC818" i="3"/>
  <c r="N818" i="3" s="1"/>
  <c r="AC819" i="3"/>
  <c r="N819" i="3" s="1"/>
  <c r="AC820" i="3"/>
  <c r="N820" i="3" s="1"/>
  <c r="AC821" i="3"/>
  <c r="N821" i="3" s="1"/>
  <c r="AC822" i="3"/>
  <c r="N822" i="3" s="1"/>
  <c r="AK812" i="3"/>
  <c r="AK813" i="3"/>
  <c r="AK814" i="3"/>
  <c r="AK815" i="3"/>
  <c r="AK816" i="3"/>
  <c r="AK817" i="3"/>
  <c r="AK818" i="3"/>
  <c r="AK819" i="3"/>
  <c r="AK820" i="3"/>
  <c r="AK821" i="3"/>
  <c r="AK822" i="3"/>
  <c r="Z926" i="3" l="1"/>
  <c r="Z904" i="3"/>
  <c r="Z1011" i="3"/>
  <c r="Z1019" i="3"/>
  <c r="Z1031" i="3"/>
  <c r="Z1252" i="3"/>
  <c r="Z1256" i="3"/>
  <c r="Z1258" i="3"/>
  <c r="Z1262" i="3"/>
  <c r="Z1250" i="3"/>
  <c r="Z1260" i="3"/>
  <c r="Z1266" i="3"/>
  <c r="Z1061" i="3"/>
  <c r="Z1065" i="3"/>
  <c r="Z966" i="3"/>
  <c r="Z968" i="3"/>
  <c r="Z970" i="3"/>
  <c r="Z972" i="3"/>
  <c r="Z974" i="3"/>
  <c r="Z976" i="3"/>
  <c r="Z978" i="3"/>
  <c r="Z980" i="3"/>
  <c r="Z982" i="3"/>
  <c r="Z984" i="3"/>
  <c r="Z988" i="3"/>
  <c r="Z990" i="3"/>
  <c r="Z992" i="3"/>
  <c r="Z996" i="3"/>
  <c r="Z1002" i="3"/>
  <c r="Z1006" i="3"/>
  <c r="Z987" i="3"/>
  <c r="Z989" i="3"/>
  <c r="Z991" i="3"/>
  <c r="Z993" i="3"/>
  <c r="Z995" i="3"/>
  <c r="Z997" i="3"/>
  <c r="Z999" i="3"/>
  <c r="Z1001" i="3"/>
  <c r="Z1003" i="3"/>
  <c r="Z1005" i="3"/>
  <c r="Z1012" i="3"/>
  <c r="Z1016" i="3"/>
  <c r="Z1020" i="3"/>
  <c r="Z1024" i="3"/>
  <c r="Z1028" i="3"/>
  <c r="Z1032" i="3"/>
  <c r="Z1035" i="3"/>
  <c r="Z1037" i="3"/>
  <c r="Z1039" i="3"/>
  <c r="Z1041" i="3"/>
  <c r="Z1043" i="3"/>
  <c r="Z1045" i="3"/>
  <c r="Z1047" i="3"/>
  <c r="Z1049" i="3"/>
  <c r="Z1051" i="3"/>
  <c r="Z1053" i="3"/>
  <c r="Z1040" i="3"/>
  <c r="Z1044" i="3"/>
  <c r="Z1050" i="3"/>
  <c r="Z1054" i="3"/>
  <c r="Z1058" i="3"/>
  <c r="Z1062" i="3"/>
  <c r="Z1066" i="3"/>
  <c r="Z1070" i="3"/>
  <c r="Z1074" i="3"/>
  <c r="Z1078" i="3"/>
  <c r="Z1084" i="3"/>
  <c r="Z1086" i="3"/>
  <c r="Z1088" i="3"/>
  <c r="Z1090" i="3"/>
  <c r="Z1092" i="3"/>
  <c r="Z1095" i="3"/>
  <c r="Z1099" i="3"/>
  <c r="Z1103" i="3"/>
  <c r="Z1111" i="3"/>
  <c r="Z1115" i="3"/>
  <c r="Z1094" i="3"/>
  <c r="Z1096" i="3"/>
  <c r="Z1098" i="3"/>
  <c r="Z1102" i="3"/>
  <c r="Z1106" i="3"/>
  <c r="Z1110" i="3"/>
  <c r="Z1114" i="3"/>
  <c r="Z1119" i="3"/>
  <c r="Z1121" i="3"/>
  <c r="Z1123" i="3"/>
  <c r="Z1125" i="3"/>
  <c r="Z1127" i="3"/>
  <c r="Z1131" i="3"/>
  <c r="Z1133" i="3"/>
  <c r="Z1135" i="3"/>
  <c r="Z1137" i="3"/>
  <c r="Z1139" i="3"/>
  <c r="Z1141" i="3"/>
  <c r="Z1145" i="3"/>
  <c r="Z1149" i="3"/>
  <c r="Z1155" i="3"/>
  <c r="Z1159" i="3"/>
  <c r="Z1163" i="3"/>
  <c r="Z1144" i="3"/>
  <c r="Z1148" i="3"/>
  <c r="Z1152" i="3"/>
  <c r="Z1156" i="3"/>
  <c r="Z1160" i="3"/>
  <c r="Z1164" i="3"/>
  <c r="Z1168" i="3"/>
  <c r="Z1172" i="3"/>
  <c r="Z1182" i="3"/>
  <c r="Z1186" i="3"/>
  <c r="Z1167" i="3"/>
  <c r="Z1169" i="3"/>
  <c r="Z1171" i="3"/>
  <c r="Z1173" i="3"/>
  <c r="Z1175" i="3"/>
  <c r="Z1177" i="3"/>
  <c r="Z1179" i="3"/>
  <c r="Z1181" i="3"/>
  <c r="Z1183" i="3"/>
  <c r="Z1185" i="3"/>
  <c r="Z1187" i="3"/>
  <c r="Z1189" i="3"/>
  <c r="Z1191" i="3"/>
  <c r="Z1193" i="3"/>
  <c r="Z1195" i="3"/>
  <c r="Z1197" i="3"/>
  <c r="Z1201" i="3"/>
  <c r="Z1203" i="3"/>
  <c r="Z1205" i="3"/>
  <c r="Z1207" i="3"/>
  <c r="Z1209" i="3"/>
  <c r="Z1190" i="3"/>
  <c r="Z1192" i="3"/>
  <c r="Z1194" i="3"/>
  <c r="Z1196" i="3"/>
  <c r="Z1198" i="3"/>
  <c r="Z1200" i="3"/>
  <c r="Z1202" i="3"/>
  <c r="Z1204" i="3"/>
  <c r="Z1206" i="3"/>
  <c r="Z1208" i="3"/>
  <c r="Z1230" i="3"/>
  <c r="Z1211" i="3"/>
  <c r="Z1213" i="3"/>
  <c r="Z1215" i="3"/>
  <c r="Z1217" i="3"/>
  <c r="Z1219" i="3"/>
  <c r="Z1223" i="3"/>
  <c r="Z1225" i="3"/>
  <c r="Z1227" i="3"/>
  <c r="Z1229" i="3"/>
  <c r="Z1231" i="3"/>
  <c r="Z1234" i="3"/>
  <c r="Z1236" i="3"/>
  <c r="Z1238" i="3"/>
  <c r="Z1240" i="3"/>
  <c r="Z1242" i="3"/>
  <c r="Z1244" i="3"/>
  <c r="Z1233" i="3"/>
  <c r="Z1235" i="3"/>
  <c r="Z1237" i="3"/>
  <c r="Z1239" i="3"/>
  <c r="Z1241" i="3"/>
  <c r="Z1243" i="3"/>
  <c r="Z1245" i="3"/>
  <c r="Z1254" i="3"/>
  <c r="Z1270" i="3"/>
  <c r="Z965" i="3"/>
  <c r="Z967" i="3"/>
  <c r="Z969" i="3"/>
  <c r="Z971" i="3"/>
  <c r="Z973" i="3"/>
  <c r="Z979" i="3"/>
  <c r="Z985" i="3"/>
  <c r="Z977" i="3"/>
  <c r="Z981" i="3"/>
  <c r="Z983" i="3"/>
  <c r="Z994" i="3"/>
  <c r="Z1000" i="3"/>
  <c r="Z1004" i="3"/>
  <c r="Z1008" i="3"/>
  <c r="Z1007" i="3"/>
  <c r="Z1015" i="3"/>
  <c r="Z1027" i="3"/>
  <c r="Z1010" i="3"/>
  <c r="Z1014" i="3"/>
  <c r="Z1018" i="3"/>
  <c r="Z1022" i="3"/>
  <c r="Z1026" i="3"/>
  <c r="Z1030" i="3"/>
  <c r="Z1013" i="3"/>
  <c r="Z1017" i="3"/>
  <c r="Z1021" i="3"/>
  <c r="Z1025" i="3"/>
  <c r="Z1029" i="3"/>
  <c r="Z1033" i="3"/>
  <c r="Z1055" i="3"/>
  <c r="Z1036" i="3"/>
  <c r="Z1038" i="3"/>
  <c r="Z1042" i="3"/>
  <c r="Z1048" i="3"/>
  <c r="Z1052" i="3"/>
  <c r="Z1056" i="3"/>
  <c r="Z1059" i="3"/>
  <c r="Z1063" i="3"/>
  <c r="Z1067" i="3"/>
  <c r="Z1069" i="3"/>
  <c r="Z1073" i="3"/>
  <c r="Z1075" i="3"/>
  <c r="Z1077" i="3"/>
  <c r="Z1079" i="3"/>
  <c r="Z1081" i="3"/>
  <c r="Z1060" i="3"/>
  <c r="Z1064" i="3"/>
  <c r="Z1068" i="3"/>
  <c r="Z1072" i="3"/>
  <c r="Z1076" i="3"/>
  <c r="Z1080" i="3"/>
  <c r="Z1083" i="3"/>
  <c r="Z1085" i="3"/>
  <c r="Z1087" i="3"/>
  <c r="Z1089" i="3"/>
  <c r="Z1091" i="3"/>
  <c r="Z1097" i="3"/>
  <c r="Z1101" i="3"/>
  <c r="Z1105" i="3"/>
  <c r="Z1109" i="3"/>
  <c r="Z1113" i="3"/>
  <c r="Z1117" i="3"/>
  <c r="Z1100" i="3"/>
  <c r="Z1104" i="3"/>
  <c r="Z1108" i="3"/>
  <c r="Z1112" i="3"/>
  <c r="Z1116" i="3"/>
  <c r="Z1120" i="3"/>
  <c r="Z1122" i="3"/>
  <c r="Z1124" i="3"/>
  <c r="Z1126" i="3"/>
  <c r="Z1128" i="3"/>
  <c r="Z1130" i="3"/>
  <c r="Z1132" i="3"/>
  <c r="Z1134" i="3"/>
  <c r="Z1136" i="3"/>
  <c r="Z1138" i="3"/>
  <c r="Z1143" i="3"/>
  <c r="Z1147" i="3"/>
  <c r="Z1153" i="3"/>
  <c r="Z1157" i="3"/>
  <c r="Z1161" i="3"/>
  <c r="Z1142" i="3"/>
  <c r="Z1146" i="3"/>
  <c r="Z1150" i="3"/>
  <c r="Z1154" i="3"/>
  <c r="Z1158" i="3"/>
  <c r="Z1162" i="3"/>
  <c r="Z1166" i="3"/>
  <c r="Z1170" i="3"/>
  <c r="Z1174" i="3"/>
  <c r="Z1178" i="3"/>
  <c r="Z1180" i="3"/>
  <c r="Z1184" i="3"/>
  <c r="Z1212" i="3"/>
  <c r="Z1214" i="3"/>
  <c r="Z1216" i="3"/>
  <c r="Z1218" i="3"/>
  <c r="Z1220" i="3"/>
  <c r="Z1222" i="3"/>
  <c r="Z1224" i="3"/>
  <c r="Z1226" i="3"/>
  <c r="Z1228" i="3"/>
  <c r="Z1248" i="3"/>
  <c r="Z1264" i="3"/>
  <c r="Z1268" i="3"/>
  <c r="Z1247" i="3"/>
  <c r="Z1249" i="3"/>
  <c r="Z1251" i="3"/>
  <c r="Z1253" i="3"/>
  <c r="Z1255" i="3"/>
  <c r="Z1259" i="3"/>
  <c r="Z1261" i="3"/>
  <c r="Z1263" i="3"/>
  <c r="Z1265" i="3"/>
  <c r="Z1267" i="3"/>
  <c r="Z1269" i="3"/>
  <c r="Y915" i="3"/>
  <c r="Y845" i="3"/>
  <c r="S953" i="3"/>
  <c r="Z953" i="3" s="1"/>
  <c r="S939" i="3"/>
  <c r="Z939" i="3" s="1"/>
  <c r="X962" i="3"/>
  <c r="Y953" i="3"/>
  <c r="Y939" i="3"/>
  <c r="U963" i="3"/>
  <c r="W963" i="3"/>
  <c r="T963" i="3"/>
  <c r="V963" i="3"/>
  <c r="X963" i="3"/>
  <c r="U961" i="3"/>
  <c r="W961" i="3"/>
  <c r="T961" i="3"/>
  <c r="V961" i="3"/>
  <c r="X961" i="3"/>
  <c r="U959" i="3"/>
  <c r="W959" i="3"/>
  <c r="T959" i="3"/>
  <c r="V959" i="3"/>
  <c r="X959" i="3"/>
  <c r="U957" i="3"/>
  <c r="W957" i="3"/>
  <c r="T957" i="3"/>
  <c r="V957" i="3"/>
  <c r="X957" i="3"/>
  <c r="U955" i="3"/>
  <c r="W955" i="3"/>
  <c r="T955" i="3"/>
  <c r="V955" i="3"/>
  <c r="X955" i="3"/>
  <c r="U951" i="3"/>
  <c r="W951" i="3"/>
  <c r="T951" i="3"/>
  <c r="V951" i="3"/>
  <c r="X951" i="3"/>
  <c r="U949" i="3"/>
  <c r="W949" i="3"/>
  <c r="T949" i="3"/>
  <c r="V949" i="3"/>
  <c r="X949" i="3"/>
  <c r="U947" i="3"/>
  <c r="W947" i="3"/>
  <c r="T947" i="3"/>
  <c r="V947" i="3"/>
  <c r="X947" i="3"/>
  <c r="U945" i="3"/>
  <c r="W945" i="3"/>
  <c r="T945" i="3"/>
  <c r="V945" i="3"/>
  <c r="X945" i="3"/>
  <c r="U943" i="3"/>
  <c r="W943" i="3"/>
  <c r="T943" i="3"/>
  <c r="V943" i="3"/>
  <c r="X943" i="3"/>
  <c r="U941" i="3"/>
  <c r="W941" i="3"/>
  <c r="T941" i="3"/>
  <c r="V941" i="3"/>
  <c r="X941" i="3"/>
  <c r="Y963" i="3"/>
  <c r="Y961" i="3"/>
  <c r="Y959" i="3"/>
  <c r="Y957" i="3"/>
  <c r="Y955" i="3"/>
  <c r="Y951" i="3"/>
  <c r="Y949" i="3"/>
  <c r="Y947" i="3"/>
  <c r="Y945" i="3"/>
  <c r="Y941" i="3"/>
  <c r="T962" i="3"/>
  <c r="V962" i="3"/>
  <c r="U962" i="3"/>
  <c r="W962" i="3"/>
  <c r="T960" i="3"/>
  <c r="V960" i="3"/>
  <c r="X960" i="3"/>
  <c r="U960" i="3"/>
  <c r="W960" i="3"/>
  <c r="T958" i="3"/>
  <c r="V958" i="3"/>
  <c r="X958" i="3"/>
  <c r="U958" i="3"/>
  <c r="W958" i="3"/>
  <c r="T956" i="3"/>
  <c r="V956" i="3"/>
  <c r="X956" i="3"/>
  <c r="U956" i="3"/>
  <c r="W956" i="3"/>
  <c r="T954" i="3"/>
  <c r="V954" i="3"/>
  <c r="X954" i="3"/>
  <c r="U954" i="3"/>
  <c r="W954" i="3"/>
  <c r="T952" i="3"/>
  <c r="V952" i="3"/>
  <c r="X952" i="3"/>
  <c r="U952" i="3"/>
  <c r="W952" i="3"/>
  <c r="T950" i="3"/>
  <c r="V950" i="3"/>
  <c r="X950" i="3"/>
  <c r="U950" i="3"/>
  <c r="W950" i="3"/>
  <c r="T948" i="3"/>
  <c r="V948" i="3"/>
  <c r="X948" i="3"/>
  <c r="U948" i="3"/>
  <c r="W948" i="3"/>
  <c r="T946" i="3"/>
  <c r="V946" i="3"/>
  <c r="X946" i="3"/>
  <c r="U946" i="3"/>
  <c r="W946" i="3"/>
  <c r="T944" i="3"/>
  <c r="V944" i="3"/>
  <c r="X944" i="3"/>
  <c r="U944" i="3"/>
  <c r="W944" i="3"/>
  <c r="Y944" i="3"/>
  <c r="T942" i="3"/>
  <c r="V942" i="3"/>
  <c r="X942" i="3"/>
  <c r="U942" i="3"/>
  <c r="W942" i="3"/>
  <c r="Y942" i="3"/>
  <c r="T940" i="3"/>
  <c r="V940" i="3"/>
  <c r="X940" i="3"/>
  <c r="U940" i="3"/>
  <c r="W940" i="3"/>
  <c r="Y940" i="3"/>
  <c r="Y962" i="3"/>
  <c r="Y960" i="3"/>
  <c r="Y958" i="3"/>
  <c r="Y956" i="3"/>
  <c r="Y954" i="3"/>
  <c r="Y952" i="3"/>
  <c r="Y950" i="3"/>
  <c r="Y948" i="3"/>
  <c r="Y946" i="3"/>
  <c r="Y943" i="3"/>
  <c r="S915" i="3"/>
  <c r="Z915" i="3" s="1"/>
  <c r="T937" i="3"/>
  <c r="U937" i="3"/>
  <c r="V937" i="3"/>
  <c r="W937" i="3"/>
  <c r="X937" i="3"/>
  <c r="T935" i="3"/>
  <c r="U935" i="3"/>
  <c r="V935" i="3"/>
  <c r="W935" i="3"/>
  <c r="X935" i="3"/>
  <c r="T933" i="3"/>
  <c r="U933" i="3"/>
  <c r="V933" i="3"/>
  <c r="W933" i="3"/>
  <c r="X933" i="3"/>
  <c r="T931" i="3"/>
  <c r="U931" i="3"/>
  <c r="V931" i="3"/>
  <c r="W931" i="3"/>
  <c r="X931" i="3"/>
  <c r="T929" i="3"/>
  <c r="U929" i="3"/>
  <c r="V929" i="3"/>
  <c r="W929" i="3"/>
  <c r="X929" i="3"/>
  <c r="T927" i="3"/>
  <c r="U927" i="3"/>
  <c r="V927" i="3"/>
  <c r="W927" i="3"/>
  <c r="X927" i="3"/>
  <c r="T925" i="3"/>
  <c r="U925" i="3"/>
  <c r="V925" i="3"/>
  <c r="W925" i="3"/>
  <c r="X925" i="3"/>
  <c r="T923" i="3"/>
  <c r="U923" i="3"/>
  <c r="V923" i="3"/>
  <c r="W923" i="3"/>
  <c r="X923" i="3"/>
  <c r="Y923" i="3"/>
  <c r="T921" i="3"/>
  <c r="U921" i="3"/>
  <c r="V921" i="3"/>
  <c r="W921" i="3"/>
  <c r="X921" i="3"/>
  <c r="Y921" i="3"/>
  <c r="T919" i="3"/>
  <c r="U919" i="3"/>
  <c r="V919" i="3"/>
  <c r="W919" i="3"/>
  <c r="X919" i="3"/>
  <c r="Y919" i="3"/>
  <c r="T917" i="3"/>
  <c r="U917" i="3"/>
  <c r="V917" i="3"/>
  <c r="W917" i="3"/>
  <c r="X917" i="3"/>
  <c r="Y917" i="3"/>
  <c r="Y937" i="3"/>
  <c r="Y935" i="3"/>
  <c r="Y933" i="3"/>
  <c r="Y931" i="3"/>
  <c r="Y929" i="3"/>
  <c r="Y927" i="3"/>
  <c r="Y925" i="3"/>
  <c r="T938" i="3"/>
  <c r="U938" i="3"/>
  <c r="V938" i="3"/>
  <c r="W938" i="3"/>
  <c r="X938" i="3"/>
  <c r="T936" i="3"/>
  <c r="U936" i="3"/>
  <c r="V936" i="3"/>
  <c r="W936" i="3"/>
  <c r="X936" i="3"/>
  <c r="T934" i="3"/>
  <c r="U934" i="3"/>
  <c r="V934" i="3"/>
  <c r="W934" i="3"/>
  <c r="X934" i="3"/>
  <c r="T932" i="3"/>
  <c r="U932" i="3"/>
  <c r="V932" i="3"/>
  <c r="W932" i="3"/>
  <c r="X932" i="3"/>
  <c r="T930" i="3"/>
  <c r="U930" i="3"/>
  <c r="V930" i="3"/>
  <c r="W930" i="3"/>
  <c r="X930" i="3"/>
  <c r="T928" i="3"/>
  <c r="U928" i="3"/>
  <c r="V928" i="3"/>
  <c r="W928" i="3"/>
  <c r="X928" i="3"/>
  <c r="T924" i="3"/>
  <c r="U924" i="3"/>
  <c r="V924" i="3"/>
  <c r="W924" i="3"/>
  <c r="X924" i="3"/>
  <c r="T922" i="3"/>
  <c r="U922" i="3"/>
  <c r="V922" i="3"/>
  <c r="W922" i="3"/>
  <c r="X922" i="3"/>
  <c r="Y922" i="3"/>
  <c r="T920" i="3"/>
  <c r="U920" i="3"/>
  <c r="V920" i="3"/>
  <c r="W920" i="3"/>
  <c r="X920" i="3"/>
  <c r="Y920" i="3"/>
  <c r="T918" i="3"/>
  <c r="U918" i="3"/>
  <c r="V918" i="3"/>
  <c r="W918" i="3"/>
  <c r="X918" i="3"/>
  <c r="Y918" i="3"/>
  <c r="T916" i="3"/>
  <c r="U916" i="3"/>
  <c r="V916" i="3"/>
  <c r="W916" i="3"/>
  <c r="X916" i="3"/>
  <c r="Y916" i="3"/>
  <c r="Y938" i="3"/>
  <c r="Y936" i="3"/>
  <c r="Y934" i="3"/>
  <c r="Y932" i="3"/>
  <c r="Y930" i="3"/>
  <c r="Y928" i="3"/>
  <c r="Y924" i="3"/>
  <c r="S893" i="3"/>
  <c r="Z893" i="3" s="1"/>
  <c r="T913" i="3"/>
  <c r="U913" i="3"/>
  <c r="V913" i="3"/>
  <c r="W913" i="3"/>
  <c r="X913" i="3"/>
  <c r="Y913" i="3"/>
  <c r="T911" i="3"/>
  <c r="U911" i="3"/>
  <c r="V911" i="3"/>
  <c r="W911" i="3"/>
  <c r="X911" i="3"/>
  <c r="Y911" i="3"/>
  <c r="T909" i="3"/>
  <c r="U909" i="3"/>
  <c r="V909" i="3"/>
  <c r="W909" i="3"/>
  <c r="X909" i="3"/>
  <c r="Y909" i="3"/>
  <c r="T907" i="3"/>
  <c r="U907" i="3"/>
  <c r="V907" i="3"/>
  <c r="W907" i="3"/>
  <c r="X907" i="3"/>
  <c r="Y907" i="3"/>
  <c r="T905" i="3"/>
  <c r="U905" i="3"/>
  <c r="V905" i="3"/>
  <c r="W905" i="3"/>
  <c r="X905" i="3"/>
  <c r="Y905" i="3"/>
  <c r="T903" i="3"/>
  <c r="U903" i="3"/>
  <c r="V903" i="3"/>
  <c r="W903" i="3"/>
  <c r="X903" i="3"/>
  <c r="Y903" i="3"/>
  <c r="T901" i="3"/>
  <c r="U901" i="3"/>
  <c r="V901" i="3"/>
  <c r="W901" i="3"/>
  <c r="X901" i="3"/>
  <c r="Y901" i="3"/>
  <c r="T899" i="3"/>
  <c r="U899" i="3"/>
  <c r="V899" i="3"/>
  <c r="W899" i="3"/>
  <c r="X899" i="3"/>
  <c r="Y899" i="3"/>
  <c r="T897" i="3"/>
  <c r="U897" i="3"/>
  <c r="V897" i="3"/>
  <c r="W897" i="3"/>
  <c r="X897" i="3"/>
  <c r="Y897" i="3"/>
  <c r="T895" i="3"/>
  <c r="U895" i="3"/>
  <c r="V895" i="3"/>
  <c r="W895" i="3"/>
  <c r="X895" i="3"/>
  <c r="Y895" i="3"/>
  <c r="T914" i="3"/>
  <c r="U914" i="3"/>
  <c r="V914" i="3"/>
  <c r="W914" i="3"/>
  <c r="X914" i="3"/>
  <c r="Y914" i="3"/>
  <c r="T912" i="3"/>
  <c r="U912" i="3"/>
  <c r="V912" i="3"/>
  <c r="W912" i="3"/>
  <c r="X912" i="3"/>
  <c r="Y912" i="3"/>
  <c r="T910" i="3"/>
  <c r="U910" i="3"/>
  <c r="V910" i="3"/>
  <c r="W910" i="3"/>
  <c r="X910" i="3"/>
  <c r="Y910" i="3"/>
  <c r="T908" i="3"/>
  <c r="U908" i="3"/>
  <c r="V908" i="3"/>
  <c r="W908" i="3"/>
  <c r="X908" i="3"/>
  <c r="Y908" i="3"/>
  <c r="T906" i="3"/>
  <c r="U906" i="3"/>
  <c r="V906" i="3"/>
  <c r="W906" i="3"/>
  <c r="X906" i="3"/>
  <c r="Y906" i="3"/>
  <c r="T902" i="3"/>
  <c r="U902" i="3"/>
  <c r="V902" i="3"/>
  <c r="W902" i="3"/>
  <c r="X902" i="3"/>
  <c r="Y902" i="3"/>
  <c r="T900" i="3"/>
  <c r="U900" i="3"/>
  <c r="V900" i="3"/>
  <c r="W900" i="3"/>
  <c r="X900" i="3"/>
  <c r="Y900" i="3"/>
  <c r="T898" i="3"/>
  <c r="U898" i="3"/>
  <c r="V898" i="3"/>
  <c r="W898" i="3"/>
  <c r="X898" i="3"/>
  <c r="Y898" i="3"/>
  <c r="T896" i="3"/>
  <c r="U896" i="3"/>
  <c r="V896" i="3"/>
  <c r="W896" i="3"/>
  <c r="X896" i="3"/>
  <c r="Y896" i="3"/>
  <c r="T894" i="3"/>
  <c r="U894" i="3"/>
  <c r="V894" i="3"/>
  <c r="W894" i="3"/>
  <c r="X894" i="3"/>
  <c r="Y894" i="3"/>
  <c r="S882" i="3"/>
  <c r="Z882" i="3" s="1"/>
  <c r="U892" i="3"/>
  <c r="W892" i="3"/>
  <c r="Y892" i="3"/>
  <c r="T892" i="3"/>
  <c r="V892" i="3"/>
  <c r="X892" i="3"/>
  <c r="U890" i="3"/>
  <c r="W890" i="3"/>
  <c r="Y890" i="3"/>
  <c r="T890" i="3"/>
  <c r="V890" i="3"/>
  <c r="X890" i="3"/>
  <c r="U888" i="3"/>
  <c r="W888" i="3"/>
  <c r="Y888" i="3"/>
  <c r="T888" i="3"/>
  <c r="V888" i="3"/>
  <c r="X888" i="3"/>
  <c r="U886" i="3"/>
  <c r="W886" i="3"/>
  <c r="Y886" i="3"/>
  <c r="T886" i="3"/>
  <c r="V886" i="3"/>
  <c r="X886" i="3"/>
  <c r="U884" i="3"/>
  <c r="W884" i="3"/>
  <c r="Y884" i="3"/>
  <c r="T884" i="3"/>
  <c r="V884" i="3"/>
  <c r="X884" i="3"/>
  <c r="T891" i="3"/>
  <c r="V891" i="3"/>
  <c r="X891" i="3"/>
  <c r="U891" i="3"/>
  <c r="W891" i="3"/>
  <c r="Y891" i="3"/>
  <c r="T889" i="3"/>
  <c r="V889" i="3"/>
  <c r="X889" i="3"/>
  <c r="U889" i="3"/>
  <c r="W889" i="3"/>
  <c r="Y889" i="3"/>
  <c r="T887" i="3"/>
  <c r="V887" i="3"/>
  <c r="X887" i="3"/>
  <c r="U887" i="3"/>
  <c r="W887" i="3"/>
  <c r="Y887" i="3"/>
  <c r="T885" i="3"/>
  <c r="V885" i="3"/>
  <c r="X885" i="3"/>
  <c r="U885" i="3"/>
  <c r="W885" i="3"/>
  <c r="Y885" i="3"/>
  <c r="T883" i="3"/>
  <c r="V883" i="3"/>
  <c r="X883" i="3"/>
  <c r="U883" i="3"/>
  <c r="W883" i="3"/>
  <c r="Y883" i="3"/>
  <c r="S871" i="3"/>
  <c r="Z871" i="3" s="1"/>
  <c r="Y861" i="3"/>
  <c r="S857" i="3"/>
  <c r="Z857" i="3" s="1"/>
  <c r="T880" i="3"/>
  <c r="V880" i="3"/>
  <c r="X880" i="3"/>
  <c r="U880" i="3"/>
  <c r="W880" i="3"/>
  <c r="T878" i="3"/>
  <c r="V878" i="3"/>
  <c r="X878" i="3"/>
  <c r="U878" i="3"/>
  <c r="W878" i="3"/>
  <c r="T876" i="3"/>
  <c r="V876" i="3"/>
  <c r="X876" i="3"/>
  <c r="U876" i="3"/>
  <c r="W876" i="3"/>
  <c r="T874" i="3"/>
  <c r="V874" i="3"/>
  <c r="X874" i="3"/>
  <c r="U874" i="3"/>
  <c r="W874" i="3"/>
  <c r="T872" i="3"/>
  <c r="V872" i="3"/>
  <c r="X872" i="3"/>
  <c r="U872" i="3"/>
  <c r="W872" i="3"/>
  <c r="T870" i="3"/>
  <c r="V870" i="3"/>
  <c r="X870" i="3"/>
  <c r="U870" i="3"/>
  <c r="W870" i="3"/>
  <c r="T868" i="3"/>
  <c r="V868" i="3"/>
  <c r="X868" i="3"/>
  <c r="U868" i="3"/>
  <c r="W868" i="3"/>
  <c r="T866" i="3"/>
  <c r="V866" i="3"/>
  <c r="X866" i="3"/>
  <c r="U866" i="3"/>
  <c r="W866" i="3"/>
  <c r="T864" i="3"/>
  <c r="V864" i="3"/>
  <c r="X864" i="3"/>
  <c r="U864" i="3"/>
  <c r="W864" i="3"/>
  <c r="T862" i="3"/>
  <c r="V862" i="3"/>
  <c r="X862" i="3"/>
  <c r="U862" i="3"/>
  <c r="W862" i="3"/>
  <c r="Y862" i="3"/>
  <c r="T860" i="3"/>
  <c r="V860" i="3"/>
  <c r="X860" i="3"/>
  <c r="U860" i="3"/>
  <c r="W860" i="3"/>
  <c r="Y860" i="3"/>
  <c r="T858" i="3"/>
  <c r="V858" i="3"/>
  <c r="X858" i="3"/>
  <c r="U858" i="3"/>
  <c r="W858" i="3"/>
  <c r="Y858" i="3"/>
  <c r="Y880" i="3"/>
  <c r="Y878" i="3"/>
  <c r="Y876" i="3"/>
  <c r="Y874" i="3"/>
  <c r="Y872" i="3"/>
  <c r="Y870" i="3"/>
  <c r="Y868" i="3"/>
  <c r="Y866" i="3"/>
  <c r="Y864" i="3"/>
  <c r="U881" i="3"/>
  <c r="W881" i="3"/>
  <c r="T881" i="3"/>
  <c r="V881" i="3"/>
  <c r="X881" i="3"/>
  <c r="U879" i="3"/>
  <c r="W879" i="3"/>
  <c r="T879" i="3"/>
  <c r="V879" i="3"/>
  <c r="X879" i="3"/>
  <c r="U877" i="3"/>
  <c r="W877" i="3"/>
  <c r="T877" i="3"/>
  <c r="V877" i="3"/>
  <c r="X877" i="3"/>
  <c r="U875" i="3"/>
  <c r="W875" i="3"/>
  <c r="T875" i="3"/>
  <c r="V875" i="3"/>
  <c r="X875" i="3"/>
  <c r="U873" i="3"/>
  <c r="W873" i="3"/>
  <c r="T873" i="3"/>
  <c r="V873" i="3"/>
  <c r="X873" i="3"/>
  <c r="U869" i="3"/>
  <c r="W869" i="3"/>
  <c r="T869" i="3"/>
  <c r="V869" i="3"/>
  <c r="X869" i="3"/>
  <c r="U867" i="3"/>
  <c r="W867" i="3"/>
  <c r="T867" i="3"/>
  <c r="V867" i="3"/>
  <c r="X867" i="3"/>
  <c r="U865" i="3"/>
  <c r="W865" i="3"/>
  <c r="T865" i="3"/>
  <c r="V865" i="3"/>
  <c r="X865" i="3"/>
  <c r="U863" i="3"/>
  <c r="W863" i="3"/>
  <c r="T863" i="3"/>
  <c r="V863" i="3"/>
  <c r="X863" i="3"/>
  <c r="U861" i="3"/>
  <c r="W861" i="3"/>
  <c r="T861" i="3"/>
  <c r="V861" i="3"/>
  <c r="X861" i="3"/>
  <c r="U859" i="3"/>
  <c r="W859" i="3"/>
  <c r="T859" i="3"/>
  <c r="V859" i="3"/>
  <c r="X859" i="3"/>
  <c r="Y881" i="3"/>
  <c r="Y879" i="3"/>
  <c r="Y877" i="3"/>
  <c r="Y875" i="3"/>
  <c r="Y873" i="3"/>
  <c r="Y869" i="3"/>
  <c r="Y867" i="3"/>
  <c r="Y865" i="3"/>
  <c r="Y863" i="3"/>
  <c r="Y859" i="3"/>
  <c r="S834" i="3"/>
  <c r="Z834" i="3" s="1"/>
  <c r="S845" i="3"/>
  <c r="Z845" i="3" s="1"/>
  <c r="T855" i="3"/>
  <c r="V855" i="3"/>
  <c r="X855" i="3"/>
  <c r="U855" i="3"/>
  <c r="W855" i="3"/>
  <c r="T853" i="3"/>
  <c r="V853" i="3"/>
  <c r="X853" i="3"/>
  <c r="U853" i="3"/>
  <c r="W853" i="3"/>
  <c r="T851" i="3"/>
  <c r="V851" i="3"/>
  <c r="X851" i="3"/>
  <c r="U851" i="3"/>
  <c r="W851" i="3"/>
  <c r="T849" i="3"/>
  <c r="V849" i="3"/>
  <c r="X849" i="3"/>
  <c r="U849" i="3"/>
  <c r="W849" i="3"/>
  <c r="Y849" i="3"/>
  <c r="T847" i="3"/>
  <c r="V847" i="3"/>
  <c r="X847" i="3"/>
  <c r="U847" i="3"/>
  <c r="W847" i="3"/>
  <c r="Y847" i="3"/>
  <c r="T843" i="3"/>
  <c r="V843" i="3"/>
  <c r="X843" i="3"/>
  <c r="U843" i="3"/>
  <c r="W843" i="3"/>
  <c r="Y843" i="3"/>
  <c r="T841" i="3"/>
  <c r="V841" i="3"/>
  <c r="X841" i="3"/>
  <c r="U841" i="3"/>
  <c r="W841" i="3"/>
  <c r="Y841" i="3"/>
  <c r="T839" i="3"/>
  <c r="V839" i="3"/>
  <c r="X839" i="3"/>
  <c r="U839" i="3"/>
  <c r="W839" i="3"/>
  <c r="Y839" i="3"/>
  <c r="T837" i="3"/>
  <c r="V837" i="3"/>
  <c r="X837" i="3"/>
  <c r="U837" i="3"/>
  <c r="W837" i="3"/>
  <c r="Y837" i="3"/>
  <c r="T835" i="3"/>
  <c r="V835" i="3"/>
  <c r="X835" i="3"/>
  <c r="U835" i="3"/>
  <c r="W835" i="3"/>
  <c r="Y835" i="3"/>
  <c r="Y855" i="3"/>
  <c r="Y853" i="3"/>
  <c r="Y851" i="3"/>
  <c r="U856" i="3"/>
  <c r="W856" i="3"/>
  <c r="T856" i="3"/>
  <c r="V856" i="3"/>
  <c r="X856" i="3"/>
  <c r="U854" i="3"/>
  <c r="W854" i="3"/>
  <c r="T854" i="3"/>
  <c r="V854" i="3"/>
  <c r="X854" i="3"/>
  <c r="U852" i="3"/>
  <c r="W852" i="3"/>
  <c r="T852" i="3"/>
  <c r="V852" i="3"/>
  <c r="X852" i="3"/>
  <c r="U850" i="3"/>
  <c r="W850" i="3"/>
  <c r="Y850" i="3"/>
  <c r="T850" i="3"/>
  <c r="V850" i="3"/>
  <c r="X850" i="3"/>
  <c r="U848" i="3"/>
  <c r="W848" i="3"/>
  <c r="Y848" i="3"/>
  <c r="T848" i="3"/>
  <c r="V848" i="3"/>
  <c r="X848" i="3"/>
  <c r="U846" i="3"/>
  <c r="W846" i="3"/>
  <c r="Y846" i="3"/>
  <c r="T846" i="3"/>
  <c r="V846" i="3"/>
  <c r="X846" i="3"/>
  <c r="U844" i="3"/>
  <c r="W844" i="3"/>
  <c r="Y844" i="3"/>
  <c r="T844" i="3"/>
  <c r="V844" i="3"/>
  <c r="X844" i="3"/>
  <c r="U842" i="3"/>
  <c r="W842" i="3"/>
  <c r="Y842" i="3"/>
  <c r="T842" i="3"/>
  <c r="V842" i="3"/>
  <c r="X842" i="3"/>
  <c r="U840" i="3"/>
  <c r="W840" i="3"/>
  <c r="Y840" i="3"/>
  <c r="T840" i="3"/>
  <c r="V840" i="3"/>
  <c r="X840" i="3"/>
  <c r="U838" i="3"/>
  <c r="W838" i="3"/>
  <c r="Y838" i="3"/>
  <c r="T838" i="3"/>
  <c r="V838" i="3"/>
  <c r="X838" i="3"/>
  <c r="U836" i="3"/>
  <c r="W836" i="3"/>
  <c r="Y836" i="3"/>
  <c r="T836" i="3"/>
  <c r="V836" i="3"/>
  <c r="X836" i="3"/>
  <c r="Y856" i="3"/>
  <c r="Y854" i="3"/>
  <c r="Y852" i="3"/>
  <c r="S823" i="3"/>
  <c r="Z823" i="3" s="1"/>
  <c r="U831" i="3"/>
  <c r="W831" i="3"/>
  <c r="Y831" i="3"/>
  <c r="T831" i="3"/>
  <c r="V831" i="3"/>
  <c r="X831" i="3"/>
  <c r="U827" i="3"/>
  <c r="W827" i="3"/>
  <c r="Y827" i="3"/>
  <c r="T827" i="3"/>
  <c r="V827" i="3"/>
  <c r="X827" i="3"/>
  <c r="U825" i="3"/>
  <c r="W825" i="3"/>
  <c r="Y825" i="3"/>
  <c r="T825" i="3"/>
  <c r="V825" i="3"/>
  <c r="X825" i="3"/>
  <c r="U833" i="3"/>
  <c r="W833" i="3"/>
  <c r="Y833" i="3"/>
  <c r="T833" i="3"/>
  <c r="V833" i="3"/>
  <c r="X833" i="3"/>
  <c r="U829" i="3"/>
  <c r="W829" i="3"/>
  <c r="Y829" i="3"/>
  <c r="T829" i="3"/>
  <c r="V829" i="3"/>
  <c r="X829" i="3"/>
  <c r="T832" i="3"/>
  <c r="V832" i="3"/>
  <c r="X832" i="3"/>
  <c r="U832" i="3"/>
  <c r="W832" i="3"/>
  <c r="Y832" i="3"/>
  <c r="T830" i="3"/>
  <c r="V830" i="3"/>
  <c r="X830" i="3"/>
  <c r="U830" i="3"/>
  <c r="W830" i="3"/>
  <c r="Y830" i="3"/>
  <c r="T828" i="3"/>
  <c r="V828" i="3"/>
  <c r="X828" i="3"/>
  <c r="U828" i="3"/>
  <c r="W828" i="3"/>
  <c r="Y828" i="3"/>
  <c r="T826" i="3"/>
  <c r="V826" i="3"/>
  <c r="X826" i="3"/>
  <c r="U826" i="3"/>
  <c r="W826" i="3"/>
  <c r="Y826" i="3"/>
  <c r="T824" i="3"/>
  <c r="V824" i="3"/>
  <c r="X824" i="3"/>
  <c r="U824" i="3"/>
  <c r="W824" i="3"/>
  <c r="Y824" i="3"/>
  <c r="S812" i="3"/>
  <c r="Z812" i="3" s="1"/>
  <c r="U822" i="3"/>
  <c r="W822" i="3"/>
  <c r="Y822" i="3"/>
  <c r="T822" i="3"/>
  <c r="V822" i="3"/>
  <c r="X822" i="3"/>
  <c r="U820" i="3"/>
  <c r="W820" i="3"/>
  <c r="Y820" i="3"/>
  <c r="T820" i="3"/>
  <c r="V820" i="3"/>
  <c r="X820" i="3"/>
  <c r="U818" i="3"/>
  <c r="W818" i="3"/>
  <c r="Y818" i="3"/>
  <c r="T818" i="3"/>
  <c r="V818" i="3"/>
  <c r="X818" i="3"/>
  <c r="U816" i="3"/>
  <c r="W816" i="3"/>
  <c r="Y816" i="3"/>
  <c r="T816" i="3"/>
  <c r="V816" i="3"/>
  <c r="X816" i="3"/>
  <c r="U814" i="3"/>
  <c r="W814" i="3"/>
  <c r="Y814" i="3"/>
  <c r="T814" i="3"/>
  <c r="V814" i="3"/>
  <c r="X814" i="3"/>
  <c r="T821" i="3"/>
  <c r="V821" i="3"/>
  <c r="X821" i="3"/>
  <c r="U821" i="3"/>
  <c r="W821" i="3"/>
  <c r="Y821" i="3"/>
  <c r="T819" i="3"/>
  <c r="V819" i="3"/>
  <c r="X819" i="3"/>
  <c r="U819" i="3"/>
  <c r="W819" i="3"/>
  <c r="Y819" i="3"/>
  <c r="T817" i="3"/>
  <c r="V817" i="3"/>
  <c r="X817" i="3"/>
  <c r="U817" i="3"/>
  <c r="W817" i="3"/>
  <c r="Y817" i="3"/>
  <c r="T815" i="3"/>
  <c r="V815" i="3"/>
  <c r="X815" i="3"/>
  <c r="U815" i="3"/>
  <c r="W815" i="3"/>
  <c r="Y815" i="3"/>
  <c r="T813" i="3"/>
  <c r="V813" i="3"/>
  <c r="X813" i="3"/>
  <c r="U813" i="3"/>
  <c r="W813" i="3"/>
  <c r="Y813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S801" i="3"/>
  <c r="S802" i="3"/>
  <c r="S803" i="3"/>
  <c r="S804" i="3"/>
  <c r="S805" i="3"/>
  <c r="S806" i="3"/>
  <c r="S807" i="3"/>
  <c r="S808" i="3"/>
  <c r="S809" i="3"/>
  <c r="S810" i="3"/>
  <c r="S811" i="3"/>
  <c r="T800" i="3"/>
  <c r="U800" i="3"/>
  <c r="V800" i="3"/>
  <c r="W800" i="3"/>
  <c r="X800" i="3"/>
  <c r="AA800" i="3"/>
  <c r="AA801" i="3"/>
  <c r="AA802" i="3"/>
  <c r="AA803" i="3"/>
  <c r="AA804" i="3"/>
  <c r="AA805" i="3"/>
  <c r="AA806" i="3"/>
  <c r="AA807" i="3"/>
  <c r="AA808" i="3"/>
  <c r="AA809" i="3"/>
  <c r="AA810" i="3"/>
  <c r="AA811" i="3"/>
  <c r="AB800" i="3"/>
  <c r="O800" i="3" s="1"/>
  <c r="Y800" i="3" s="1"/>
  <c r="AB801" i="3"/>
  <c r="O801" i="3" s="1"/>
  <c r="AB802" i="3"/>
  <c r="O802" i="3" s="1"/>
  <c r="AB803" i="3"/>
  <c r="O803" i="3" s="1"/>
  <c r="AB804" i="3"/>
  <c r="O804" i="3" s="1"/>
  <c r="AB805" i="3"/>
  <c r="O805" i="3" s="1"/>
  <c r="AB806" i="3"/>
  <c r="O806" i="3" s="1"/>
  <c r="AB807" i="3"/>
  <c r="O807" i="3" s="1"/>
  <c r="AB808" i="3"/>
  <c r="O808" i="3" s="1"/>
  <c r="AB809" i="3"/>
  <c r="O809" i="3" s="1"/>
  <c r="AB810" i="3"/>
  <c r="O810" i="3" s="1"/>
  <c r="AB811" i="3"/>
  <c r="O811" i="3" s="1"/>
  <c r="AC800" i="3"/>
  <c r="N800" i="3" s="1"/>
  <c r="AC801" i="3"/>
  <c r="N801" i="3" s="1"/>
  <c r="AC802" i="3"/>
  <c r="N802" i="3" s="1"/>
  <c r="AC803" i="3"/>
  <c r="N803" i="3" s="1"/>
  <c r="AC804" i="3"/>
  <c r="N804" i="3" s="1"/>
  <c r="AC805" i="3"/>
  <c r="N805" i="3" s="1"/>
  <c r="AC806" i="3"/>
  <c r="N806" i="3" s="1"/>
  <c r="AC807" i="3"/>
  <c r="N807" i="3" s="1"/>
  <c r="AC808" i="3"/>
  <c r="N808" i="3" s="1"/>
  <c r="AC809" i="3"/>
  <c r="N809" i="3" s="1"/>
  <c r="AC810" i="3"/>
  <c r="N810" i="3" s="1"/>
  <c r="AC811" i="3"/>
  <c r="N811" i="3" s="1"/>
  <c r="AK800" i="3"/>
  <c r="AK801" i="3"/>
  <c r="AK802" i="3"/>
  <c r="AK803" i="3"/>
  <c r="AK804" i="3"/>
  <c r="AK805" i="3"/>
  <c r="AK806" i="3"/>
  <c r="AK807" i="3"/>
  <c r="AK808" i="3"/>
  <c r="AK809" i="3"/>
  <c r="AK810" i="3"/>
  <c r="AK811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S777" i="3"/>
  <c r="S778" i="3"/>
  <c r="S779" i="3"/>
  <c r="S780" i="3"/>
  <c r="S781" i="3"/>
  <c r="S782" i="3"/>
  <c r="S783" i="3"/>
  <c r="S784" i="3"/>
  <c r="S785" i="3"/>
  <c r="S786" i="3"/>
  <c r="S787" i="3"/>
  <c r="S789" i="3"/>
  <c r="S790" i="3"/>
  <c r="S791" i="3"/>
  <c r="S792" i="3"/>
  <c r="S793" i="3"/>
  <c r="S794" i="3"/>
  <c r="S795" i="3"/>
  <c r="S796" i="3"/>
  <c r="S797" i="3"/>
  <c r="S798" i="3"/>
  <c r="S799" i="3"/>
  <c r="T776" i="3"/>
  <c r="T788" i="3"/>
  <c r="U776" i="3"/>
  <c r="U788" i="3"/>
  <c r="V776" i="3"/>
  <c r="V788" i="3"/>
  <c r="W776" i="3"/>
  <c r="W788" i="3"/>
  <c r="X776" i="3"/>
  <c r="X788" i="3"/>
  <c r="AA776" i="3"/>
  <c r="AA777" i="3"/>
  <c r="AA778" i="3"/>
  <c r="AA779" i="3"/>
  <c r="AA780" i="3"/>
  <c r="AA781" i="3"/>
  <c r="AA782" i="3"/>
  <c r="AA783" i="3"/>
  <c r="AA784" i="3"/>
  <c r="AA785" i="3"/>
  <c r="AA786" i="3"/>
  <c r="AA787" i="3"/>
  <c r="AA788" i="3"/>
  <c r="AA789" i="3"/>
  <c r="AA790" i="3"/>
  <c r="AA791" i="3"/>
  <c r="AA792" i="3"/>
  <c r="AA793" i="3"/>
  <c r="AA794" i="3"/>
  <c r="AA795" i="3"/>
  <c r="AA796" i="3"/>
  <c r="AA797" i="3"/>
  <c r="AA798" i="3"/>
  <c r="AA799" i="3"/>
  <c r="AB776" i="3"/>
  <c r="O776" i="3" s="1"/>
  <c r="AB777" i="3"/>
  <c r="O777" i="3" s="1"/>
  <c r="AB778" i="3"/>
  <c r="O778" i="3" s="1"/>
  <c r="AB779" i="3"/>
  <c r="O779" i="3" s="1"/>
  <c r="AB780" i="3"/>
  <c r="O780" i="3" s="1"/>
  <c r="AB781" i="3"/>
  <c r="O781" i="3" s="1"/>
  <c r="AB782" i="3"/>
  <c r="O782" i="3" s="1"/>
  <c r="AB783" i="3"/>
  <c r="O783" i="3" s="1"/>
  <c r="AB784" i="3"/>
  <c r="O784" i="3" s="1"/>
  <c r="AB785" i="3"/>
  <c r="O785" i="3" s="1"/>
  <c r="AB786" i="3"/>
  <c r="O786" i="3" s="1"/>
  <c r="AB787" i="3"/>
  <c r="O787" i="3" s="1"/>
  <c r="AB788" i="3"/>
  <c r="O788" i="3" s="1"/>
  <c r="Y788" i="3" s="1"/>
  <c r="AB789" i="3"/>
  <c r="O789" i="3" s="1"/>
  <c r="AB790" i="3"/>
  <c r="O790" i="3" s="1"/>
  <c r="AB791" i="3"/>
  <c r="O791" i="3" s="1"/>
  <c r="AB792" i="3"/>
  <c r="O792" i="3" s="1"/>
  <c r="AB793" i="3"/>
  <c r="O793" i="3" s="1"/>
  <c r="AB794" i="3"/>
  <c r="O794" i="3" s="1"/>
  <c r="AB795" i="3"/>
  <c r="O795" i="3" s="1"/>
  <c r="AB796" i="3"/>
  <c r="O796" i="3" s="1"/>
  <c r="AB797" i="3"/>
  <c r="O797" i="3" s="1"/>
  <c r="AB798" i="3"/>
  <c r="O798" i="3" s="1"/>
  <c r="AB799" i="3"/>
  <c r="O799" i="3" s="1"/>
  <c r="AC776" i="3"/>
  <c r="N776" i="3" s="1"/>
  <c r="AC777" i="3"/>
  <c r="N777" i="3" s="1"/>
  <c r="AC778" i="3"/>
  <c r="N778" i="3" s="1"/>
  <c r="AC779" i="3"/>
  <c r="N779" i="3" s="1"/>
  <c r="AC780" i="3"/>
  <c r="N780" i="3" s="1"/>
  <c r="AC781" i="3"/>
  <c r="N781" i="3" s="1"/>
  <c r="AC782" i="3"/>
  <c r="N782" i="3" s="1"/>
  <c r="AC783" i="3"/>
  <c r="N783" i="3" s="1"/>
  <c r="AC784" i="3"/>
  <c r="N784" i="3" s="1"/>
  <c r="AC785" i="3"/>
  <c r="N785" i="3" s="1"/>
  <c r="AC786" i="3"/>
  <c r="N786" i="3" s="1"/>
  <c r="AC787" i="3"/>
  <c r="N787" i="3" s="1"/>
  <c r="AC788" i="3"/>
  <c r="N788" i="3" s="1"/>
  <c r="AC789" i="3"/>
  <c r="N789" i="3" s="1"/>
  <c r="AC790" i="3"/>
  <c r="N790" i="3" s="1"/>
  <c r="AC791" i="3"/>
  <c r="N791" i="3" s="1"/>
  <c r="AC792" i="3"/>
  <c r="N792" i="3" s="1"/>
  <c r="AC793" i="3"/>
  <c r="N793" i="3" s="1"/>
  <c r="AC794" i="3"/>
  <c r="N794" i="3" s="1"/>
  <c r="AC795" i="3"/>
  <c r="N795" i="3" s="1"/>
  <c r="AC796" i="3"/>
  <c r="N796" i="3" s="1"/>
  <c r="AC797" i="3"/>
  <c r="N797" i="3" s="1"/>
  <c r="AC798" i="3"/>
  <c r="N798" i="3" s="1"/>
  <c r="AC799" i="3"/>
  <c r="N799" i="3" s="1"/>
  <c r="AK776" i="3"/>
  <c r="AK777" i="3"/>
  <c r="AK778" i="3"/>
  <c r="AK779" i="3"/>
  <c r="AK780" i="3"/>
  <c r="AK781" i="3"/>
  <c r="AK782" i="3"/>
  <c r="AK783" i="3"/>
  <c r="AK784" i="3"/>
  <c r="AK785" i="3"/>
  <c r="AK786" i="3"/>
  <c r="AK787" i="3"/>
  <c r="AK788" i="3"/>
  <c r="AK789" i="3"/>
  <c r="AK790" i="3"/>
  <c r="AK791" i="3"/>
  <c r="AK792" i="3"/>
  <c r="AK793" i="3"/>
  <c r="AK794" i="3"/>
  <c r="AK795" i="3"/>
  <c r="AK796" i="3"/>
  <c r="AK797" i="3"/>
  <c r="AK798" i="3"/>
  <c r="AK799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S755" i="3"/>
  <c r="S756" i="3"/>
  <c r="S757" i="3"/>
  <c r="S758" i="3"/>
  <c r="S759" i="3"/>
  <c r="S760" i="3"/>
  <c r="S761" i="3"/>
  <c r="S762" i="3"/>
  <c r="S763" i="3"/>
  <c r="S764" i="3"/>
  <c r="S766" i="3"/>
  <c r="S767" i="3"/>
  <c r="S768" i="3"/>
  <c r="S769" i="3"/>
  <c r="S770" i="3"/>
  <c r="S771" i="3"/>
  <c r="S772" i="3"/>
  <c r="S773" i="3"/>
  <c r="S774" i="3"/>
  <c r="S775" i="3"/>
  <c r="T754" i="3"/>
  <c r="T765" i="3"/>
  <c r="U754" i="3"/>
  <c r="U765" i="3"/>
  <c r="V754" i="3"/>
  <c r="V765" i="3"/>
  <c r="W754" i="3"/>
  <c r="W765" i="3"/>
  <c r="X754" i="3"/>
  <c r="X765" i="3"/>
  <c r="AA754" i="3"/>
  <c r="AA755" i="3"/>
  <c r="AA756" i="3"/>
  <c r="AA757" i="3"/>
  <c r="AA758" i="3"/>
  <c r="AA759" i="3"/>
  <c r="AA760" i="3"/>
  <c r="AA761" i="3"/>
  <c r="AA762" i="3"/>
  <c r="AA763" i="3"/>
  <c r="AA764" i="3"/>
  <c r="AA765" i="3"/>
  <c r="AA766" i="3"/>
  <c r="AA767" i="3"/>
  <c r="AA768" i="3"/>
  <c r="AA769" i="3"/>
  <c r="AA770" i="3"/>
  <c r="AA771" i="3"/>
  <c r="AA772" i="3"/>
  <c r="AA773" i="3"/>
  <c r="AA774" i="3"/>
  <c r="AA775" i="3"/>
  <c r="AB754" i="3"/>
  <c r="O754" i="3" s="1"/>
  <c r="Y754" i="3" s="1"/>
  <c r="AB755" i="3"/>
  <c r="O755" i="3" s="1"/>
  <c r="AB756" i="3"/>
  <c r="O756" i="3" s="1"/>
  <c r="AB757" i="3"/>
  <c r="O757" i="3" s="1"/>
  <c r="AB758" i="3"/>
  <c r="O758" i="3" s="1"/>
  <c r="AB759" i="3"/>
  <c r="O759" i="3" s="1"/>
  <c r="AB760" i="3"/>
  <c r="O760" i="3" s="1"/>
  <c r="AB761" i="3"/>
  <c r="O761" i="3" s="1"/>
  <c r="AB762" i="3"/>
  <c r="O762" i="3" s="1"/>
  <c r="AB763" i="3"/>
  <c r="O763" i="3" s="1"/>
  <c r="AB764" i="3"/>
  <c r="O764" i="3" s="1"/>
  <c r="AB765" i="3"/>
  <c r="O765" i="3" s="1"/>
  <c r="Y765" i="3" s="1"/>
  <c r="AB766" i="3"/>
  <c r="O766" i="3" s="1"/>
  <c r="AB767" i="3"/>
  <c r="O767" i="3" s="1"/>
  <c r="AB768" i="3"/>
  <c r="O768" i="3" s="1"/>
  <c r="AB769" i="3"/>
  <c r="O769" i="3" s="1"/>
  <c r="AB770" i="3"/>
  <c r="O770" i="3" s="1"/>
  <c r="AB771" i="3"/>
  <c r="O771" i="3" s="1"/>
  <c r="AB772" i="3"/>
  <c r="O772" i="3" s="1"/>
  <c r="AB773" i="3"/>
  <c r="O773" i="3" s="1"/>
  <c r="AB774" i="3"/>
  <c r="O774" i="3" s="1"/>
  <c r="AB775" i="3"/>
  <c r="O775" i="3" s="1"/>
  <c r="AC754" i="3"/>
  <c r="N754" i="3" s="1"/>
  <c r="AC755" i="3"/>
  <c r="N755" i="3" s="1"/>
  <c r="AC756" i="3"/>
  <c r="N756" i="3" s="1"/>
  <c r="AC757" i="3"/>
  <c r="N757" i="3" s="1"/>
  <c r="AC758" i="3"/>
  <c r="N758" i="3" s="1"/>
  <c r="AC759" i="3"/>
  <c r="N759" i="3" s="1"/>
  <c r="AC760" i="3"/>
  <c r="N760" i="3" s="1"/>
  <c r="AC761" i="3"/>
  <c r="N761" i="3" s="1"/>
  <c r="AC762" i="3"/>
  <c r="N762" i="3" s="1"/>
  <c r="AC763" i="3"/>
  <c r="N763" i="3" s="1"/>
  <c r="AC764" i="3"/>
  <c r="N764" i="3" s="1"/>
  <c r="AC765" i="3"/>
  <c r="N765" i="3" s="1"/>
  <c r="AC766" i="3"/>
  <c r="N766" i="3" s="1"/>
  <c r="AC767" i="3"/>
  <c r="N767" i="3" s="1"/>
  <c r="AC768" i="3"/>
  <c r="N768" i="3" s="1"/>
  <c r="AC769" i="3"/>
  <c r="N769" i="3" s="1"/>
  <c r="AC770" i="3"/>
  <c r="N770" i="3" s="1"/>
  <c r="AC771" i="3"/>
  <c r="N771" i="3" s="1"/>
  <c r="AC772" i="3"/>
  <c r="N772" i="3" s="1"/>
  <c r="AC773" i="3"/>
  <c r="N773" i="3" s="1"/>
  <c r="AC774" i="3"/>
  <c r="N774" i="3" s="1"/>
  <c r="AC775" i="3"/>
  <c r="N775" i="3" s="1"/>
  <c r="AK754" i="3"/>
  <c r="AK755" i="3"/>
  <c r="AK756" i="3"/>
  <c r="AK757" i="3"/>
  <c r="AK758" i="3"/>
  <c r="AK759" i="3"/>
  <c r="AK760" i="3"/>
  <c r="AK761" i="3"/>
  <c r="AK762" i="3"/>
  <c r="AK763" i="3"/>
  <c r="AK764" i="3"/>
  <c r="AK765" i="3"/>
  <c r="AK766" i="3"/>
  <c r="AK767" i="3"/>
  <c r="AK768" i="3"/>
  <c r="AK769" i="3"/>
  <c r="AK770" i="3"/>
  <c r="AK771" i="3"/>
  <c r="AK772" i="3"/>
  <c r="AK773" i="3"/>
  <c r="AK774" i="3"/>
  <c r="AK775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T728" i="3"/>
  <c r="T741" i="3"/>
  <c r="U728" i="3"/>
  <c r="U741" i="3"/>
  <c r="V728" i="3"/>
  <c r="V741" i="3"/>
  <c r="W728" i="3"/>
  <c r="W741" i="3"/>
  <c r="X728" i="3"/>
  <c r="X741" i="3"/>
  <c r="AA728" i="3"/>
  <c r="AA729" i="3"/>
  <c r="AA730" i="3"/>
  <c r="AA731" i="3"/>
  <c r="AA732" i="3"/>
  <c r="AA733" i="3"/>
  <c r="AA734" i="3"/>
  <c r="AA735" i="3"/>
  <c r="AA736" i="3"/>
  <c r="AA737" i="3"/>
  <c r="AA738" i="3"/>
  <c r="AA739" i="3"/>
  <c r="AA740" i="3"/>
  <c r="AA741" i="3"/>
  <c r="AA742" i="3"/>
  <c r="AA743" i="3"/>
  <c r="AA744" i="3"/>
  <c r="AA745" i="3"/>
  <c r="AA746" i="3"/>
  <c r="AA747" i="3"/>
  <c r="AA748" i="3"/>
  <c r="AA749" i="3"/>
  <c r="AA750" i="3"/>
  <c r="AA751" i="3"/>
  <c r="AA752" i="3"/>
  <c r="AA753" i="3"/>
  <c r="AB728" i="3"/>
  <c r="O728" i="3" s="1"/>
  <c r="AB729" i="3"/>
  <c r="O729" i="3" s="1"/>
  <c r="AB730" i="3"/>
  <c r="O730" i="3" s="1"/>
  <c r="AB731" i="3"/>
  <c r="O731" i="3" s="1"/>
  <c r="AB732" i="3"/>
  <c r="O732" i="3" s="1"/>
  <c r="AB733" i="3"/>
  <c r="O733" i="3" s="1"/>
  <c r="AB734" i="3"/>
  <c r="O734" i="3" s="1"/>
  <c r="AB735" i="3"/>
  <c r="O735" i="3" s="1"/>
  <c r="AB736" i="3"/>
  <c r="O736" i="3" s="1"/>
  <c r="AB737" i="3"/>
  <c r="O737" i="3" s="1"/>
  <c r="AB738" i="3"/>
  <c r="O738" i="3" s="1"/>
  <c r="AB739" i="3"/>
  <c r="O739" i="3" s="1"/>
  <c r="AB740" i="3"/>
  <c r="O740" i="3" s="1"/>
  <c r="AB741" i="3"/>
  <c r="O741" i="3" s="1"/>
  <c r="Y741" i="3" s="1"/>
  <c r="AB742" i="3"/>
  <c r="O742" i="3" s="1"/>
  <c r="AB743" i="3"/>
  <c r="O743" i="3" s="1"/>
  <c r="AB744" i="3"/>
  <c r="O744" i="3" s="1"/>
  <c r="AB745" i="3"/>
  <c r="O745" i="3" s="1"/>
  <c r="AB746" i="3"/>
  <c r="O746" i="3" s="1"/>
  <c r="AB747" i="3"/>
  <c r="O747" i="3" s="1"/>
  <c r="AB748" i="3"/>
  <c r="O748" i="3" s="1"/>
  <c r="AB749" i="3"/>
  <c r="O749" i="3" s="1"/>
  <c r="AB750" i="3"/>
  <c r="O750" i="3" s="1"/>
  <c r="AB751" i="3"/>
  <c r="O751" i="3" s="1"/>
  <c r="AB752" i="3"/>
  <c r="O752" i="3" s="1"/>
  <c r="AB753" i="3"/>
  <c r="O753" i="3" s="1"/>
  <c r="AC728" i="3"/>
  <c r="N728" i="3" s="1"/>
  <c r="AC729" i="3"/>
  <c r="N729" i="3" s="1"/>
  <c r="AC730" i="3"/>
  <c r="N730" i="3" s="1"/>
  <c r="AC731" i="3"/>
  <c r="N731" i="3" s="1"/>
  <c r="AC732" i="3"/>
  <c r="N732" i="3" s="1"/>
  <c r="AC733" i="3"/>
  <c r="N733" i="3" s="1"/>
  <c r="AC734" i="3"/>
  <c r="N734" i="3" s="1"/>
  <c r="AC735" i="3"/>
  <c r="N735" i="3" s="1"/>
  <c r="AC736" i="3"/>
  <c r="N736" i="3" s="1"/>
  <c r="AC737" i="3"/>
  <c r="N737" i="3" s="1"/>
  <c r="AC738" i="3"/>
  <c r="N738" i="3" s="1"/>
  <c r="AC739" i="3"/>
  <c r="N739" i="3" s="1"/>
  <c r="AC740" i="3"/>
  <c r="N740" i="3" s="1"/>
  <c r="AC741" i="3"/>
  <c r="N741" i="3" s="1"/>
  <c r="S741" i="3" s="1"/>
  <c r="AC742" i="3"/>
  <c r="N742" i="3" s="1"/>
  <c r="AC743" i="3"/>
  <c r="N743" i="3" s="1"/>
  <c r="AC744" i="3"/>
  <c r="N744" i="3" s="1"/>
  <c r="AC745" i="3"/>
  <c r="N745" i="3" s="1"/>
  <c r="AC746" i="3"/>
  <c r="N746" i="3" s="1"/>
  <c r="AC747" i="3"/>
  <c r="N747" i="3" s="1"/>
  <c r="AC748" i="3"/>
  <c r="N748" i="3" s="1"/>
  <c r="AC749" i="3"/>
  <c r="N749" i="3" s="1"/>
  <c r="AC750" i="3"/>
  <c r="N750" i="3" s="1"/>
  <c r="AC751" i="3"/>
  <c r="N751" i="3" s="1"/>
  <c r="AC752" i="3"/>
  <c r="N752" i="3" s="1"/>
  <c r="AC753" i="3"/>
  <c r="N753" i="3" s="1"/>
  <c r="AK728" i="3"/>
  <c r="AK729" i="3"/>
  <c r="AK730" i="3"/>
  <c r="AK731" i="3"/>
  <c r="AK732" i="3"/>
  <c r="AK733" i="3"/>
  <c r="AK734" i="3"/>
  <c r="AK735" i="3"/>
  <c r="AK736" i="3"/>
  <c r="AK737" i="3"/>
  <c r="AK738" i="3"/>
  <c r="AK739" i="3"/>
  <c r="AK740" i="3"/>
  <c r="AK741" i="3"/>
  <c r="AK742" i="3"/>
  <c r="AK743" i="3"/>
  <c r="AK744" i="3"/>
  <c r="AK745" i="3"/>
  <c r="AK746" i="3"/>
  <c r="AK747" i="3"/>
  <c r="AK748" i="3"/>
  <c r="AK749" i="3"/>
  <c r="AK750" i="3"/>
  <c r="AK751" i="3"/>
  <c r="AK752" i="3"/>
  <c r="AK753" i="3"/>
  <c r="M41" i="10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S707" i="3"/>
  <c r="S708" i="3"/>
  <c r="S709" i="3"/>
  <c r="S710" i="3"/>
  <c r="S711" i="3"/>
  <c r="S712" i="3"/>
  <c r="S713" i="3"/>
  <c r="S714" i="3"/>
  <c r="S715" i="3"/>
  <c r="S716" i="3"/>
  <c r="S718" i="3"/>
  <c r="S719" i="3"/>
  <c r="S720" i="3"/>
  <c r="S721" i="3"/>
  <c r="S722" i="3"/>
  <c r="S723" i="3"/>
  <c r="S724" i="3"/>
  <c r="S725" i="3"/>
  <c r="S726" i="3"/>
  <c r="S727" i="3"/>
  <c r="T706" i="3"/>
  <c r="T717" i="3"/>
  <c r="U706" i="3"/>
  <c r="U717" i="3"/>
  <c r="V706" i="3"/>
  <c r="V717" i="3"/>
  <c r="W706" i="3"/>
  <c r="W717" i="3"/>
  <c r="X706" i="3"/>
  <c r="X717" i="3"/>
  <c r="AA706" i="3"/>
  <c r="AA707" i="3"/>
  <c r="AA708" i="3"/>
  <c r="AA709" i="3"/>
  <c r="AA710" i="3"/>
  <c r="AA711" i="3"/>
  <c r="AA712" i="3"/>
  <c r="AA713" i="3"/>
  <c r="AA714" i="3"/>
  <c r="AA715" i="3"/>
  <c r="AA716" i="3"/>
  <c r="AA717" i="3"/>
  <c r="AA718" i="3"/>
  <c r="AA719" i="3"/>
  <c r="AA720" i="3"/>
  <c r="AA721" i="3"/>
  <c r="AA722" i="3"/>
  <c r="AA723" i="3"/>
  <c r="AA724" i="3"/>
  <c r="AA725" i="3"/>
  <c r="AA726" i="3"/>
  <c r="AA727" i="3"/>
  <c r="AB706" i="3"/>
  <c r="O706" i="3" s="1"/>
  <c r="AB707" i="3"/>
  <c r="O707" i="3" s="1"/>
  <c r="AB708" i="3"/>
  <c r="O708" i="3" s="1"/>
  <c r="AB709" i="3"/>
  <c r="O709" i="3" s="1"/>
  <c r="AB710" i="3"/>
  <c r="O710" i="3" s="1"/>
  <c r="AB711" i="3"/>
  <c r="O711" i="3" s="1"/>
  <c r="AB712" i="3"/>
  <c r="O712" i="3" s="1"/>
  <c r="AB713" i="3"/>
  <c r="O713" i="3" s="1"/>
  <c r="AB714" i="3"/>
  <c r="O714" i="3" s="1"/>
  <c r="AB715" i="3"/>
  <c r="O715" i="3" s="1"/>
  <c r="AB716" i="3"/>
  <c r="O716" i="3" s="1"/>
  <c r="AB717" i="3"/>
  <c r="O717" i="3" s="1"/>
  <c r="Y717" i="3" s="1"/>
  <c r="AB718" i="3"/>
  <c r="O718" i="3" s="1"/>
  <c r="AB719" i="3"/>
  <c r="O719" i="3" s="1"/>
  <c r="AB720" i="3"/>
  <c r="O720" i="3" s="1"/>
  <c r="AB721" i="3"/>
  <c r="O721" i="3" s="1"/>
  <c r="AB722" i="3"/>
  <c r="O722" i="3" s="1"/>
  <c r="AB723" i="3"/>
  <c r="O723" i="3" s="1"/>
  <c r="AB724" i="3"/>
  <c r="O724" i="3" s="1"/>
  <c r="AB725" i="3"/>
  <c r="O725" i="3" s="1"/>
  <c r="AB726" i="3"/>
  <c r="O726" i="3" s="1"/>
  <c r="AB727" i="3"/>
  <c r="O727" i="3" s="1"/>
  <c r="AC706" i="3"/>
  <c r="N706" i="3" s="1"/>
  <c r="AC707" i="3"/>
  <c r="N707" i="3" s="1"/>
  <c r="AC708" i="3"/>
  <c r="N708" i="3" s="1"/>
  <c r="AC709" i="3"/>
  <c r="N709" i="3" s="1"/>
  <c r="AC710" i="3"/>
  <c r="N710" i="3" s="1"/>
  <c r="AC711" i="3"/>
  <c r="N711" i="3" s="1"/>
  <c r="AC712" i="3"/>
  <c r="N712" i="3" s="1"/>
  <c r="AC713" i="3"/>
  <c r="N713" i="3" s="1"/>
  <c r="AC714" i="3"/>
  <c r="N714" i="3" s="1"/>
  <c r="AC715" i="3"/>
  <c r="N715" i="3" s="1"/>
  <c r="AC716" i="3"/>
  <c r="N716" i="3" s="1"/>
  <c r="AC717" i="3"/>
  <c r="N717" i="3" s="1"/>
  <c r="AC718" i="3"/>
  <c r="N718" i="3" s="1"/>
  <c r="AC719" i="3"/>
  <c r="N719" i="3" s="1"/>
  <c r="AC720" i="3"/>
  <c r="N720" i="3" s="1"/>
  <c r="AC721" i="3"/>
  <c r="N721" i="3" s="1"/>
  <c r="AC722" i="3"/>
  <c r="N722" i="3" s="1"/>
  <c r="AC723" i="3"/>
  <c r="N723" i="3" s="1"/>
  <c r="AC724" i="3"/>
  <c r="N724" i="3" s="1"/>
  <c r="AC725" i="3"/>
  <c r="N725" i="3" s="1"/>
  <c r="AC726" i="3"/>
  <c r="N726" i="3" s="1"/>
  <c r="AC727" i="3"/>
  <c r="N727" i="3" s="1"/>
  <c r="AK706" i="3"/>
  <c r="AK707" i="3"/>
  <c r="AK708" i="3"/>
  <c r="AK709" i="3"/>
  <c r="AK710" i="3"/>
  <c r="AK711" i="3"/>
  <c r="AK712" i="3"/>
  <c r="AK713" i="3"/>
  <c r="AK714" i="3"/>
  <c r="AK715" i="3"/>
  <c r="AK716" i="3"/>
  <c r="AK717" i="3"/>
  <c r="AK718" i="3"/>
  <c r="AK719" i="3"/>
  <c r="AK720" i="3"/>
  <c r="AK721" i="3"/>
  <c r="AK722" i="3"/>
  <c r="AK723" i="3"/>
  <c r="AK724" i="3"/>
  <c r="AK725" i="3"/>
  <c r="AK726" i="3"/>
  <c r="AK727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S685" i="3"/>
  <c r="S686" i="3"/>
  <c r="S687" i="3"/>
  <c r="S688" i="3"/>
  <c r="S689" i="3"/>
  <c r="S690" i="3"/>
  <c r="S691" i="3"/>
  <c r="S692" i="3"/>
  <c r="S693" i="3"/>
  <c r="S694" i="3"/>
  <c r="S696" i="3"/>
  <c r="S697" i="3"/>
  <c r="S698" i="3"/>
  <c r="S699" i="3"/>
  <c r="S700" i="3"/>
  <c r="S701" i="3"/>
  <c r="S702" i="3"/>
  <c r="S703" i="3"/>
  <c r="S704" i="3"/>
  <c r="S705" i="3"/>
  <c r="T684" i="3"/>
  <c r="T695" i="3"/>
  <c r="U684" i="3"/>
  <c r="U695" i="3"/>
  <c r="V684" i="3"/>
  <c r="V695" i="3"/>
  <c r="W684" i="3"/>
  <c r="W695" i="3"/>
  <c r="X684" i="3"/>
  <c r="X695" i="3"/>
  <c r="AA684" i="3"/>
  <c r="AA685" i="3"/>
  <c r="AA686" i="3"/>
  <c r="AA687" i="3"/>
  <c r="AA688" i="3"/>
  <c r="AA689" i="3"/>
  <c r="AA690" i="3"/>
  <c r="AA691" i="3"/>
  <c r="AA692" i="3"/>
  <c r="AA693" i="3"/>
  <c r="AA694" i="3"/>
  <c r="AA695" i="3"/>
  <c r="AA696" i="3"/>
  <c r="AA697" i="3"/>
  <c r="AA698" i="3"/>
  <c r="AA699" i="3"/>
  <c r="AA700" i="3"/>
  <c r="AA701" i="3"/>
  <c r="AA702" i="3"/>
  <c r="AA703" i="3"/>
  <c r="AA704" i="3"/>
  <c r="AA705" i="3"/>
  <c r="AB684" i="3"/>
  <c r="O684" i="3" s="1"/>
  <c r="Y684" i="3" s="1"/>
  <c r="AB685" i="3"/>
  <c r="O685" i="3" s="1"/>
  <c r="AB686" i="3"/>
  <c r="O686" i="3" s="1"/>
  <c r="AB687" i="3"/>
  <c r="O687" i="3" s="1"/>
  <c r="AB688" i="3"/>
  <c r="O688" i="3" s="1"/>
  <c r="AB689" i="3"/>
  <c r="O689" i="3" s="1"/>
  <c r="AB690" i="3"/>
  <c r="O690" i="3" s="1"/>
  <c r="AB691" i="3"/>
  <c r="O691" i="3" s="1"/>
  <c r="AB692" i="3"/>
  <c r="O692" i="3" s="1"/>
  <c r="AB693" i="3"/>
  <c r="O693" i="3" s="1"/>
  <c r="AB694" i="3"/>
  <c r="O694" i="3" s="1"/>
  <c r="AB695" i="3"/>
  <c r="O695" i="3" s="1"/>
  <c r="Y695" i="3" s="1"/>
  <c r="AB696" i="3"/>
  <c r="O696" i="3" s="1"/>
  <c r="AB697" i="3"/>
  <c r="O697" i="3" s="1"/>
  <c r="AB698" i="3"/>
  <c r="O698" i="3" s="1"/>
  <c r="AB699" i="3"/>
  <c r="O699" i="3" s="1"/>
  <c r="AB700" i="3"/>
  <c r="O700" i="3" s="1"/>
  <c r="AB701" i="3"/>
  <c r="O701" i="3" s="1"/>
  <c r="AB702" i="3"/>
  <c r="O702" i="3" s="1"/>
  <c r="AB703" i="3"/>
  <c r="O703" i="3" s="1"/>
  <c r="AB704" i="3"/>
  <c r="O704" i="3" s="1"/>
  <c r="AB705" i="3"/>
  <c r="O705" i="3" s="1"/>
  <c r="AC684" i="3"/>
  <c r="N684" i="3" s="1"/>
  <c r="AC685" i="3"/>
  <c r="N685" i="3" s="1"/>
  <c r="AC686" i="3"/>
  <c r="N686" i="3" s="1"/>
  <c r="AC687" i="3"/>
  <c r="N687" i="3" s="1"/>
  <c r="AC688" i="3"/>
  <c r="N688" i="3" s="1"/>
  <c r="AC689" i="3"/>
  <c r="N689" i="3" s="1"/>
  <c r="AC690" i="3"/>
  <c r="N690" i="3" s="1"/>
  <c r="AC691" i="3"/>
  <c r="N691" i="3" s="1"/>
  <c r="AC692" i="3"/>
  <c r="N692" i="3" s="1"/>
  <c r="AC693" i="3"/>
  <c r="N693" i="3" s="1"/>
  <c r="AC694" i="3"/>
  <c r="N694" i="3" s="1"/>
  <c r="AC695" i="3"/>
  <c r="N695" i="3" s="1"/>
  <c r="S695" i="3" s="1"/>
  <c r="Z695" i="3" s="1"/>
  <c r="AC696" i="3"/>
  <c r="N696" i="3" s="1"/>
  <c r="AC697" i="3"/>
  <c r="N697" i="3" s="1"/>
  <c r="AC698" i="3"/>
  <c r="N698" i="3" s="1"/>
  <c r="AC699" i="3"/>
  <c r="N699" i="3" s="1"/>
  <c r="AC700" i="3"/>
  <c r="N700" i="3" s="1"/>
  <c r="AC701" i="3"/>
  <c r="N701" i="3" s="1"/>
  <c r="AC702" i="3"/>
  <c r="N702" i="3" s="1"/>
  <c r="AC703" i="3"/>
  <c r="N703" i="3" s="1"/>
  <c r="AC704" i="3"/>
  <c r="N704" i="3" s="1"/>
  <c r="AC705" i="3"/>
  <c r="N705" i="3" s="1"/>
  <c r="AK684" i="3"/>
  <c r="AK685" i="3"/>
  <c r="AK686" i="3"/>
  <c r="AK687" i="3"/>
  <c r="AK688" i="3"/>
  <c r="AK689" i="3"/>
  <c r="AK690" i="3"/>
  <c r="AK691" i="3"/>
  <c r="AK692" i="3"/>
  <c r="AK693" i="3"/>
  <c r="AK694" i="3"/>
  <c r="AK695" i="3"/>
  <c r="AK696" i="3"/>
  <c r="AK697" i="3"/>
  <c r="AK698" i="3"/>
  <c r="AK699" i="3"/>
  <c r="AK700" i="3"/>
  <c r="AK701" i="3"/>
  <c r="AK702" i="3"/>
  <c r="AK703" i="3"/>
  <c r="AK704" i="3"/>
  <c r="AK705" i="3"/>
  <c r="Z741" i="3" l="1"/>
  <c r="Z822" i="3"/>
  <c r="Z816" i="3"/>
  <c r="Z820" i="3"/>
  <c r="Z824" i="3"/>
  <c r="Z828" i="3"/>
  <c r="Z841" i="3"/>
  <c r="Z849" i="3"/>
  <c r="Z853" i="3"/>
  <c r="Z867" i="3"/>
  <c r="Z872" i="3"/>
  <c r="Z876" i="3"/>
  <c r="Z880" i="3"/>
  <c r="Z884" i="3"/>
  <c r="Z886" i="3"/>
  <c r="Z888" i="3"/>
  <c r="Z890" i="3"/>
  <c r="Z892" i="3"/>
  <c r="Z894" i="3"/>
  <c r="Z896" i="3"/>
  <c r="Z898" i="3"/>
  <c r="Z900" i="3"/>
  <c r="Z902" i="3"/>
  <c r="Z906" i="3"/>
  <c r="Z908" i="3"/>
  <c r="Z910" i="3"/>
  <c r="Z912" i="3"/>
  <c r="Z914" i="3"/>
  <c r="Z895" i="3"/>
  <c r="Z897" i="3"/>
  <c r="Z899" i="3"/>
  <c r="Z901" i="3"/>
  <c r="Z903" i="3"/>
  <c r="Z905" i="3"/>
  <c r="Z907" i="3"/>
  <c r="Z909" i="3"/>
  <c r="Z911" i="3"/>
  <c r="Z913" i="3"/>
  <c r="Z916" i="3"/>
  <c r="Z918" i="3"/>
  <c r="Z920" i="3"/>
  <c r="Z922" i="3"/>
  <c r="Z928" i="3"/>
  <c r="Z932" i="3"/>
  <c r="Z936" i="3"/>
  <c r="Z917" i="3"/>
  <c r="Z919" i="3"/>
  <c r="Z921" i="3"/>
  <c r="Z923" i="3"/>
  <c r="Z927" i="3"/>
  <c r="Z931" i="3"/>
  <c r="Z935" i="3"/>
  <c r="Z940" i="3"/>
  <c r="Z942" i="3"/>
  <c r="Z944" i="3"/>
  <c r="Z948" i="3"/>
  <c r="Z952" i="3"/>
  <c r="Z956" i="3"/>
  <c r="Z960" i="3"/>
  <c r="Z962" i="3"/>
  <c r="Z943" i="3"/>
  <c r="Z947" i="3"/>
  <c r="Z951" i="3"/>
  <c r="Z957" i="3"/>
  <c r="Z961" i="3"/>
  <c r="Z814" i="3"/>
  <c r="Z818" i="3"/>
  <c r="Z826" i="3"/>
  <c r="Z830" i="3"/>
  <c r="Z832" i="3"/>
  <c r="Z854" i="3"/>
  <c r="Z835" i="3"/>
  <c r="Z837" i="3"/>
  <c r="Z839" i="3"/>
  <c r="Z843" i="3"/>
  <c r="Z847" i="3"/>
  <c r="Z859" i="3"/>
  <c r="Z863" i="3"/>
  <c r="Z873" i="3"/>
  <c r="Z877" i="3"/>
  <c r="Z881" i="3"/>
  <c r="Z864" i="3"/>
  <c r="Z868" i="3"/>
  <c r="Z813" i="3"/>
  <c r="Z815" i="3"/>
  <c r="Z817" i="3"/>
  <c r="Z819" i="3"/>
  <c r="Z821" i="3"/>
  <c r="Z829" i="3"/>
  <c r="Z833" i="3"/>
  <c r="Z825" i="3"/>
  <c r="Z827" i="3"/>
  <c r="Z831" i="3"/>
  <c r="Z836" i="3"/>
  <c r="Z838" i="3"/>
  <c r="Z840" i="3"/>
  <c r="Z842" i="3"/>
  <c r="Z844" i="3"/>
  <c r="Z846" i="3"/>
  <c r="Z848" i="3"/>
  <c r="Z850" i="3"/>
  <c r="Z852" i="3"/>
  <c r="Z856" i="3"/>
  <c r="Z851" i="3"/>
  <c r="Z855" i="3"/>
  <c r="Z861" i="3"/>
  <c r="Z865" i="3"/>
  <c r="Z869" i="3"/>
  <c r="Z875" i="3"/>
  <c r="Z879" i="3"/>
  <c r="Z858" i="3"/>
  <c r="Z860" i="3"/>
  <c r="Z862" i="3"/>
  <c r="Z866" i="3"/>
  <c r="Z870" i="3"/>
  <c r="Z874" i="3"/>
  <c r="Z878" i="3"/>
  <c r="Z883" i="3"/>
  <c r="Z885" i="3"/>
  <c r="Z887" i="3"/>
  <c r="Z889" i="3"/>
  <c r="Z891" i="3"/>
  <c r="Z924" i="3"/>
  <c r="Z930" i="3"/>
  <c r="Z934" i="3"/>
  <c r="Z938" i="3"/>
  <c r="Z925" i="3"/>
  <c r="Z929" i="3"/>
  <c r="Z933" i="3"/>
  <c r="Z937" i="3"/>
  <c r="Z946" i="3"/>
  <c r="Z950" i="3"/>
  <c r="Z954" i="3"/>
  <c r="Z958" i="3"/>
  <c r="Z941" i="3"/>
  <c r="Z945" i="3"/>
  <c r="Z949" i="3"/>
  <c r="Z955" i="3"/>
  <c r="Z959" i="3"/>
  <c r="Z963" i="3"/>
  <c r="S706" i="3"/>
  <c r="Z706" i="3" s="1"/>
  <c r="Y706" i="3"/>
  <c r="Y776" i="3"/>
  <c r="S788" i="3"/>
  <c r="Z788" i="3" s="1"/>
  <c r="S684" i="3"/>
  <c r="Z684" i="3" s="1"/>
  <c r="S765" i="3"/>
  <c r="Z765" i="3" s="1"/>
  <c r="S717" i="3"/>
  <c r="Z717" i="3" s="1"/>
  <c r="S728" i="3"/>
  <c r="Z728" i="3" s="1"/>
  <c r="Y728" i="3"/>
  <c r="S800" i="3"/>
  <c r="Z800" i="3" s="1"/>
  <c r="T811" i="3"/>
  <c r="U811" i="3"/>
  <c r="V811" i="3"/>
  <c r="W811" i="3"/>
  <c r="X811" i="3"/>
  <c r="Y811" i="3"/>
  <c r="T809" i="3"/>
  <c r="U809" i="3"/>
  <c r="V809" i="3"/>
  <c r="W809" i="3"/>
  <c r="X809" i="3"/>
  <c r="Y809" i="3"/>
  <c r="T807" i="3"/>
  <c r="U807" i="3"/>
  <c r="V807" i="3"/>
  <c r="W807" i="3"/>
  <c r="X807" i="3"/>
  <c r="Y807" i="3"/>
  <c r="T805" i="3"/>
  <c r="U805" i="3"/>
  <c r="V805" i="3"/>
  <c r="W805" i="3"/>
  <c r="X805" i="3"/>
  <c r="Y805" i="3"/>
  <c r="T803" i="3"/>
  <c r="U803" i="3"/>
  <c r="V803" i="3"/>
  <c r="W803" i="3"/>
  <c r="X803" i="3"/>
  <c r="Y803" i="3"/>
  <c r="T801" i="3"/>
  <c r="U801" i="3"/>
  <c r="V801" i="3"/>
  <c r="W801" i="3"/>
  <c r="X801" i="3"/>
  <c r="Y801" i="3"/>
  <c r="T810" i="3"/>
  <c r="U810" i="3"/>
  <c r="V810" i="3"/>
  <c r="W810" i="3"/>
  <c r="X810" i="3"/>
  <c r="Y810" i="3"/>
  <c r="T808" i="3"/>
  <c r="U808" i="3"/>
  <c r="V808" i="3"/>
  <c r="W808" i="3"/>
  <c r="X808" i="3"/>
  <c r="Y808" i="3"/>
  <c r="T806" i="3"/>
  <c r="U806" i="3"/>
  <c r="V806" i="3"/>
  <c r="W806" i="3"/>
  <c r="X806" i="3"/>
  <c r="Y806" i="3"/>
  <c r="T804" i="3"/>
  <c r="U804" i="3"/>
  <c r="V804" i="3"/>
  <c r="W804" i="3"/>
  <c r="X804" i="3"/>
  <c r="Y804" i="3"/>
  <c r="T802" i="3"/>
  <c r="U802" i="3"/>
  <c r="V802" i="3"/>
  <c r="W802" i="3"/>
  <c r="X802" i="3"/>
  <c r="Y802" i="3"/>
  <c r="S776" i="3"/>
  <c r="Z776" i="3" s="1"/>
  <c r="T799" i="3"/>
  <c r="U799" i="3"/>
  <c r="T797" i="3"/>
  <c r="U797" i="3"/>
  <c r="T795" i="3"/>
  <c r="U795" i="3"/>
  <c r="T793" i="3"/>
  <c r="U793" i="3"/>
  <c r="T791" i="3"/>
  <c r="U791" i="3"/>
  <c r="T789" i="3"/>
  <c r="U789" i="3"/>
  <c r="T787" i="3"/>
  <c r="U787" i="3"/>
  <c r="T785" i="3"/>
  <c r="U785" i="3"/>
  <c r="T783" i="3"/>
  <c r="U783" i="3"/>
  <c r="T781" i="3"/>
  <c r="U781" i="3"/>
  <c r="T779" i="3"/>
  <c r="U779" i="3"/>
  <c r="T777" i="3"/>
  <c r="U777" i="3"/>
  <c r="V777" i="3"/>
  <c r="Y799" i="3"/>
  <c r="Y797" i="3"/>
  <c r="Y795" i="3"/>
  <c r="Y793" i="3"/>
  <c r="Y789" i="3"/>
  <c r="Y785" i="3"/>
  <c r="Y781" i="3"/>
  <c r="Y777" i="3"/>
  <c r="X797" i="3"/>
  <c r="X793" i="3"/>
  <c r="X789" i="3"/>
  <c r="X787" i="3"/>
  <c r="X783" i="3"/>
  <c r="X779" i="3"/>
  <c r="W797" i="3"/>
  <c r="W793" i="3"/>
  <c r="W789" i="3"/>
  <c r="W787" i="3"/>
  <c r="W783" i="3"/>
  <c r="W779" i="3"/>
  <c r="V797" i="3"/>
  <c r="V793" i="3"/>
  <c r="V789" i="3"/>
  <c r="V787" i="3"/>
  <c r="V783" i="3"/>
  <c r="V779" i="3"/>
  <c r="T798" i="3"/>
  <c r="U798" i="3"/>
  <c r="V798" i="3"/>
  <c r="W798" i="3"/>
  <c r="X798" i="3"/>
  <c r="T796" i="3"/>
  <c r="U796" i="3"/>
  <c r="V796" i="3"/>
  <c r="W796" i="3"/>
  <c r="X796" i="3"/>
  <c r="T794" i="3"/>
  <c r="U794" i="3"/>
  <c r="V794" i="3"/>
  <c r="W794" i="3"/>
  <c r="X794" i="3"/>
  <c r="T792" i="3"/>
  <c r="U792" i="3"/>
  <c r="V792" i="3"/>
  <c r="W792" i="3"/>
  <c r="X792" i="3"/>
  <c r="Y792" i="3"/>
  <c r="T790" i="3"/>
  <c r="U790" i="3"/>
  <c r="V790" i="3"/>
  <c r="W790" i="3"/>
  <c r="X790" i="3"/>
  <c r="Y790" i="3"/>
  <c r="T786" i="3"/>
  <c r="U786" i="3"/>
  <c r="V786" i="3"/>
  <c r="W786" i="3"/>
  <c r="X786" i="3"/>
  <c r="Y786" i="3"/>
  <c r="T784" i="3"/>
  <c r="U784" i="3"/>
  <c r="V784" i="3"/>
  <c r="W784" i="3"/>
  <c r="X784" i="3"/>
  <c r="Y784" i="3"/>
  <c r="T782" i="3"/>
  <c r="U782" i="3"/>
  <c r="V782" i="3"/>
  <c r="W782" i="3"/>
  <c r="X782" i="3"/>
  <c r="Y782" i="3"/>
  <c r="T780" i="3"/>
  <c r="U780" i="3"/>
  <c r="V780" i="3"/>
  <c r="W780" i="3"/>
  <c r="X780" i="3"/>
  <c r="Y780" i="3"/>
  <c r="T778" i="3"/>
  <c r="U778" i="3"/>
  <c r="V778" i="3"/>
  <c r="W778" i="3"/>
  <c r="X778" i="3"/>
  <c r="Y778" i="3"/>
  <c r="Y798" i="3"/>
  <c r="Y796" i="3"/>
  <c r="Y794" i="3"/>
  <c r="Y791" i="3"/>
  <c r="Y787" i="3"/>
  <c r="Y783" i="3"/>
  <c r="Y779" i="3"/>
  <c r="X799" i="3"/>
  <c r="X795" i="3"/>
  <c r="X791" i="3"/>
  <c r="X785" i="3"/>
  <c r="X781" i="3"/>
  <c r="X777" i="3"/>
  <c r="W799" i="3"/>
  <c r="W795" i="3"/>
  <c r="W791" i="3"/>
  <c r="W785" i="3"/>
  <c r="W781" i="3"/>
  <c r="W777" i="3"/>
  <c r="V799" i="3"/>
  <c r="V795" i="3"/>
  <c r="V791" i="3"/>
  <c r="V785" i="3"/>
  <c r="V781" i="3"/>
  <c r="S754" i="3"/>
  <c r="Z754" i="3" s="1"/>
  <c r="T775" i="3"/>
  <c r="U775" i="3"/>
  <c r="V775" i="3"/>
  <c r="W775" i="3"/>
  <c r="X775" i="3"/>
  <c r="Y775" i="3"/>
  <c r="T773" i="3"/>
  <c r="U773" i="3"/>
  <c r="V773" i="3"/>
  <c r="W773" i="3"/>
  <c r="X773" i="3"/>
  <c r="Y773" i="3"/>
  <c r="T771" i="3"/>
  <c r="U771" i="3"/>
  <c r="V771" i="3"/>
  <c r="W771" i="3"/>
  <c r="X771" i="3"/>
  <c r="Y771" i="3"/>
  <c r="T769" i="3"/>
  <c r="U769" i="3"/>
  <c r="V769" i="3"/>
  <c r="W769" i="3"/>
  <c r="X769" i="3"/>
  <c r="Y769" i="3"/>
  <c r="T767" i="3"/>
  <c r="U767" i="3"/>
  <c r="V767" i="3"/>
  <c r="W767" i="3"/>
  <c r="X767" i="3"/>
  <c r="Y767" i="3"/>
  <c r="T763" i="3"/>
  <c r="U763" i="3"/>
  <c r="V763" i="3"/>
  <c r="W763" i="3"/>
  <c r="X763" i="3"/>
  <c r="Y763" i="3"/>
  <c r="T761" i="3"/>
  <c r="U761" i="3"/>
  <c r="V761" i="3"/>
  <c r="W761" i="3"/>
  <c r="X761" i="3"/>
  <c r="Y761" i="3"/>
  <c r="T759" i="3"/>
  <c r="U759" i="3"/>
  <c r="V759" i="3"/>
  <c r="W759" i="3"/>
  <c r="X759" i="3"/>
  <c r="Y759" i="3"/>
  <c r="T757" i="3"/>
  <c r="U757" i="3"/>
  <c r="V757" i="3"/>
  <c r="W757" i="3"/>
  <c r="X757" i="3"/>
  <c r="Y757" i="3"/>
  <c r="T755" i="3"/>
  <c r="U755" i="3"/>
  <c r="V755" i="3"/>
  <c r="W755" i="3"/>
  <c r="X755" i="3"/>
  <c r="Y755" i="3"/>
  <c r="T774" i="3"/>
  <c r="U774" i="3"/>
  <c r="V774" i="3"/>
  <c r="W774" i="3"/>
  <c r="X774" i="3"/>
  <c r="Y774" i="3"/>
  <c r="T772" i="3"/>
  <c r="U772" i="3"/>
  <c r="V772" i="3"/>
  <c r="W772" i="3"/>
  <c r="X772" i="3"/>
  <c r="Y772" i="3"/>
  <c r="T770" i="3"/>
  <c r="U770" i="3"/>
  <c r="V770" i="3"/>
  <c r="W770" i="3"/>
  <c r="X770" i="3"/>
  <c r="Y770" i="3"/>
  <c r="T768" i="3"/>
  <c r="U768" i="3"/>
  <c r="V768" i="3"/>
  <c r="W768" i="3"/>
  <c r="X768" i="3"/>
  <c r="Y768" i="3"/>
  <c r="T766" i="3"/>
  <c r="U766" i="3"/>
  <c r="V766" i="3"/>
  <c r="W766" i="3"/>
  <c r="X766" i="3"/>
  <c r="Y766" i="3"/>
  <c r="T764" i="3"/>
  <c r="U764" i="3"/>
  <c r="V764" i="3"/>
  <c r="W764" i="3"/>
  <c r="X764" i="3"/>
  <c r="Y764" i="3"/>
  <c r="T762" i="3"/>
  <c r="U762" i="3"/>
  <c r="V762" i="3"/>
  <c r="W762" i="3"/>
  <c r="X762" i="3"/>
  <c r="Y762" i="3"/>
  <c r="T760" i="3"/>
  <c r="U760" i="3"/>
  <c r="V760" i="3"/>
  <c r="W760" i="3"/>
  <c r="X760" i="3"/>
  <c r="Y760" i="3"/>
  <c r="T758" i="3"/>
  <c r="U758" i="3"/>
  <c r="V758" i="3"/>
  <c r="W758" i="3"/>
  <c r="X758" i="3"/>
  <c r="Y758" i="3"/>
  <c r="T756" i="3"/>
  <c r="U756" i="3"/>
  <c r="V756" i="3"/>
  <c r="W756" i="3"/>
  <c r="X756" i="3"/>
  <c r="Y756" i="3"/>
  <c r="T753" i="3"/>
  <c r="U753" i="3"/>
  <c r="V753" i="3"/>
  <c r="W753" i="3"/>
  <c r="T751" i="3"/>
  <c r="U751" i="3"/>
  <c r="V751" i="3"/>
  <c r="W751" i="3"/>
  <c r="T749" i="3"/>
  <c r="U749" i="3"/>
  <c r="V749" i="3"/>
  <c r="W749" i="3"/>
  <c r="X749" i="3"/>
  <c r="T747" i="3"/>
  <c r="U747" i="3"/>
  <c r="V747" i="3"/>
  <c r="W747" i="3"/>
  <c r="X747" i="3"/>
  <c r="T745" i="3"/>
  <c r="U745" i="3"/>
  <c r="V745" i="3"/>
  <c r="W745" i="3"/>
  <c r="X745" i="3"/>
  <c r="T743" i="3"/>
  <c r="U743" i="3"/>
  <c r="V743" i="3"/>
  <c r="W743" i="3"/>
  <c r="X743" i="3"/>
  <c r="T739" i="3"/>
  <c r="U739" i="3"/>
  <c r="V739" i="3"/>
  <c r="W739" i="3"/>
  <c r="X739" i="3"/>
  <c r="T737" i="3"/>
  <c r="U737" i="3"/>
  <c r="V737" i="3"/>
  <c r="W737" i="3"/>
  <c r="X737" i="3"/>
  <c r="T735" i="3"/>
  <c r="U735" i="3"/>
  <c r="V735" i="3"/>
  <c r="W735" i="3"/>
  <c r="X735" i="3"/>
  <c r="T733" i="3"/>
  <c r="U733" i="3"/>
  <c r="V733" i="3"/>
  <c r="W733" i="3"/>
  <c r="X733" i="3"/>
  <c r="T731" i="3"/>
  <c r="U731" i="3"/>
  <c r="V731" i="3"/>
  <c r="W731" i="3"/>
  <c r="X731" i="3"/>
  <c r="T729" i="3"/>
  <c r="U729" i="3"/>
  <c r="V729" i="3"/>
  <c r="W729" i="3"/>
  <c r="X729" i="3"/>
  <c r="Y753" i="3"/>
  <c r="Y751" i="3"/>
  <c r="Y749" i="3"/>
  <c r="Y747" i="3"/>
  <c r="Y745" i="3"/>
  <c r="Y743" i="3"/>
  <c r="Y739" i="3"/>
  <c r="Y737" i="3"/>
  <c r="Y735" i="3"/>
  <c r="Y733" i="3"/>
  <c r="Y731" i="3"/>
  <c r="Y729" i="3"/>
  <c r="X753" i="3"/>
  <c r="X751" i="3"/>
  <c r="T752" i="3"/>
  <c r="U752" i="3"/>
  <c r="V752" i="3"/>
  <c r="W752" i="3"/>
  <c r="T750" i="3"/>
  <c r="U750" i="3"/>
  <c r="V750" i="3"/>
  <c r="W750" i="3"/>
  <c r="T748" i="3"/>
  <c r="U748" i="3"/>
  <c r="V748" i="3"/>
  <c r="W748" i="3"/>
  <c r="X748" i="3"/>
  <c r="T746" i="3"/>
  <c r="U746" i="3"/>
  <c r="V746" i="3"/>
  <c r="W746" i="3"/>
  <c r="X746" i="3"/>
  <c r="T744" i="3"/>
  <c r="U744" i="3"/>
  <c r="V744" i="3"/>
  <c r="W744" i="3"/>
  <c r="X744" i="3"/>
  <c r="T742" i="3"/>
  <c r="U742" i="3"/>
  <c r="V742" i="3"/>
  <c r="W742" i="3"/>
  <c r="X742" i="3"/>
  <c r="T740" i="3"/>
  <c r="U740" i="3"/>
  <c r="V740" i="3"/>
  <c r="W740" i="3"/>
  <c r="X740" i="3"/>
  <c r="T738" i="3"/>
  <c r="U738" i="3"/>
  <c r="V738" i="3"/>
  <c r="W738" i="3"/>
  <c r="X738" i="3"/>
  <c r="T736" i="3"/>
  <c r="U736" i="3"/>
  <c r="V736" i="3"/>
  <c r="W736" i="3"/>
  <c r="X736" i="3"/>
  <c r="T734" i="3"/>
  <c r="U734" i="3"/>
  <c r="V734" i="3"/>
  <c r="W734" i="3"/>
  <c r="X734" i="3"/>
  <c r="T732" i="3"/>
  <c r="U732" i="3"/>
  <c r="V732" i="3"/>
  <c r="W732" i="3"/>
  <c r="X732" i="3"/>
  <c r="T730" i="3"/>
  <c r="U730" i="3"/>
  <c r="V730" i="3"/>
  <c r="W730" i="3"/>
  <c r="X730" i="3"/>
  <c r="Y752" i="3"/>
  <c r="Y750" i="3"/>
  <c r="Y748" i="3"/>
  <c r="Y746" i="3"/>
  <c r="Y744" i="3"/>
  <c r="Y742" i="3"/>
  <c r="Y740" i="3"/>
  <c r="Y738" i="3"/>
  <c r="Y736" i="3"/>
  <c r="Y734" i="3"/>
  <c r="Y732" i="3"/>
  <c r="Y730" i="3"/>
  <c r="X752" i="3"/>
  <c r="X750" i="3"/>
  <c r="T726" i="3"/>
  <c r="U726" i="3"/>
  <c r="V726" i="3"/>
  <c r="W726" i="3"/>
  <c r="X726" i="3"/>
  <c r="Y726" i="3"/>
  <c r="T724" i="3"/>
  <c r="U724" i="3"/>
  <c r="V724" i="3"/>
  <c r="W724" i="3"/>
  <c r="X724" i="3"/>
  <c r="Y724" i="3"/>
  <c r="T722" i="3"/>
  <c r="U722" i="3"/>
  <c r="V722" i="3"/>
  <c r="W722" i="3"/>
  <c r="X722" i="3"/>
  <c r="Y722" i="3"/>
  <c r="T720" i="3"/>
  <c r="U720" i="3"/>
  <c r="V720" i="3"/>
  <c r="W720" i="3"/>
  <c r="X720" i="3"/>
  <c r="Y720" i="3"/>
  <c r="T718" i="3"/>
  <c r="U718" i="3"/>
  <c r="V718" i="3"/>
  <c r="W718" i="3"/>
  <c r="X718" i="3"/>
  <c r="Y718" i="3"/>
  <c r="T716" i="3"/>
  <c r="U716" i="3"/>
  <c r="V716" i="3"/>
  <c r="W716" i="3"/>
  <c r="X716" i="3"/>
  <c r="Y716" i="3"/>
  <c r="T714" i="3"/>
  <c r="U714" i="3"/>
  <c r="V714" i="3"/>
  <c r="W714" i="3"/>
  <c r="X714" i="3"/>
  <c r="Y714" i="3"/>
  <c r="T712" i="3"/>
  <c r="U712" i="3"/>
  <c r="V712" i="3"/>
  <c r="W712" i="3"/>
  <c r="X712" i="3"/>
  <c r="Y712" i="3"/>
  <c r="T710" i="3"/>
  <c r="U710" i="3"/>
  <c r="V710" i="3"/>
  <c r="W710" i="3"/>
  <c r="X710" i="3"/>
  <c r="Y710" i="3"/>
  <c r="T708" i="3"/>
  <c r="U708" i="3"/>
  <c r="V708" i="3"/>
  <c r="W708" i="3"/>
  <c r="X708" i="3"/>
  <c r="Y708" i="3"/>
  <c r="T727" i="3"/>
  <c r="U727" i="3"/>
  <c r="V727" i="3"/>
  <c r="W727" i="3"/>
  <c r="X727" i="3"/>
  <c r="Y727" i="3"/>
  <c r="T725" i="3"/>
  <c r="U725" i="3"/>
  <c r="V725" i="3"/>
  <c r="W725" i="3"/>
  <c r="X725" i="3"/>
  <c r="Y725" i="3"/>
  <c r="T723" i="3"/>
  <c r="U723" i="3"/>
  <c r="V723" i="3"/>
  <c r="W723" i="3"/>
  <c r="X723" i="3"/>
  <c r="Y723" i="3"/>
  <c r="T721" i="3"/>
  <c r="U721" i="3"/>
  <c r="V721" i="3"/>
  <c r="W721" i="3"/>
  <c r="X721" i="3"/>
  <c r="Y721" i="3"/>
  <c r="T719" i="3"/>
  <c r="U719" i="3"/>
  <c r="V719" i="3"/>
  <c r="W719" i="3"/>
  <c r="X719" i="3"/>
  <c r="Y719" i="3"/>
  <c r="T715" i="3"/>
  <c r="U715" i="3"/>
  <c r="V715" i="3"/>
  <c r="W715" i="3"/>
  <c r="X715" i="3"/>
  <c r="Y715" i="3"/>
  <c r="T713" i="3"/>
  <c r="U713" i="3"/>
  <c r="V713" i="3"/>
  <c r="W713" i="3"/>
  <c r="X713" i="3"/>
  <c r="Y713" i="3"/>
  <c r="T711" i="3"/>
  <c r="U711" i="3"/>
  <c r="V711" i="3"/>
  <c r="W711" i="3"/>
  <c r="X711" i="3"/>
  <c r="Y711" i="3"/>
  <c r="T709" i="3"/>
  <c r="U709" i="3"/>
  <c r="V709" i="3"/>
  <c r="W709" i="3"/>
  <c r="X709" i="3"/>
  <c r="Y709" i="3"/>
  <c r="T707" i="3"/>
  <c r="U707" i="3"/>
  <c r="V707" i="3"/>
  <c r="W707" i="3"/>
  <c r="X707" i="3"/>
  <c r="Y707" i="3"/>
  <c r="T693" i="3"/>
  <c r="U693" i="3"/>
  <c r="V693" i="3"/>
  <c r="W693" i="3"/>
  <c r="X693" i="3"/>
  <c r="Y693" i="3"/>
  <c r="T689" i="3"/>
  <c r="U689" i="3"/>
  <c r="V689" i="3"/>
  <c r="W689" i="3"/>
  <c r="X689" i="3"/>
  <c r="Y689" i="3"/>
  <c r="T685" i="3"/>
  <c r="U685" i="3"/>
  <c r="V685" i="3"/>
  <c r="W685" i="3"/>
  <c r="X685" i="3"/>
  <c r="Y685" i="3"/>
  <c r="T705" i="3"/>
  <c r="U705" i="3"/>
  <c r="V705" i="3"/>
  <c r="W705" i="3"/>
  <c r="X705" i="3"/>
  <c r="Y705" i="3"/>
  <c r="Y703" i="3"/>
  <c r="T703" i="3"/>
  <c r="U703" i="3"/>
  <c r="V703" i="3"/>
  <c r="W703" i="3"/>
  <c r="X703" i="3"/>
  <c r="T701" i="3"/>
  <c r="U701" i="3"/>
  <c r="V701" i="3"/>
  <c r="W701" i="3"/>
  <c r="X701" i="3"/>
  <c r="Y701" i="3"/>
  <c r="Y699" i="3"/>
  <c r="T699" i="3"/>
  <c r="U699" i="3"/>
  <c r="V699" i="3"/>
  <c r="W699" i="3"/>
  <c r="X699" i="3"/>
  <c r="T697" i="3"/>
  <c r="U697" i="3"/>
  <c r="V697" i="3"/>
  <c r="W697" i="3"/>
  <c r="X697" i="3"/>
  <c r="Y697" i="3"/>
  <c r="Y691" i="3"/>
  <c r="T691" i="3"/>
  <c r="U691" i="3"/>
  <c r="V691" i="3"/>
  <c r="W691" i="3"/>
  <c r="X691" i="3"/>
  <c r="Y687" i="3"/>
  <c r="T687" i="3"/>
  <c r="U687" i="3"/>
  <c r="V687" i="3"/>
  <c r="W687" i="3"/>
  <c r="X687" i="3"/>
  <c r="T704" i="3"/>
  <c r="U704" i="3"/>
  <c r="V704" i="3"/>
  <c r="W704" i="3"/>
  <c r="X704" i="3"/>
  <c r="Y704" i="3"/>
  <c r="T702" i="3"/>
  <c r="U702" i="3"/>
  <c r="V702" i="3"/>
  <c r="W702" i="3"/>
  <c r="X702" i="3"/>
  <c r="Y702" i="3"/>
  <c r="T700" i="3"/>
  <c r="U700" i="3"/>
  <c r="V700" i="3"/>
  <c r="W700" i="3"/>
  <c r="X700" i="3"/>
  <c r="Y700" i="3"/>
  <c r="T698" i="3"/>
  <c r="U698" i="3"/>
  <c r="V698" i="3"/>
  <c r="W698" i="3"/>
  <c r="X698" i="3"/>
  <c r="Y698" i="3"/>
  <c r="T696" i="3"/>
  <c r="U696" i="3"/>
  <c r="V696" i="3"/>
  <c r="W696" i="3"/>
  <c r="X696" i="3"/>
  <c r="Y696" i="3"/>
  <c r="T694" i="3"/>
  <c r="U694" i="3"/>
  <c r="V694" i="3"/>
  <c r="W694" i="3"/>
  <c r="X694" i="3"/>
  <c r="Y694" i="3"/>
  <c r="T692" i="3"/>
  <c r="U692" i="3"/>
  <c r="V692" i="3"/>
  <c r="W692" i="3"/>
  <c r="X692" i="3"/>
  <c r="Y692" i="3"/>
  <c r="T690" i="3"/>
  <c r="U690" i="3"/>
  <c r="V690" i="3"/>
  <c r="W690" i="3"/>
  <c r="X690" i="3"/>
  <c r="Y690" i="3"/>
  <c r="T688" i="3"/>
  <c r="U688" i="3"/>
  <c r="V688" i="3"/>
  <c r="W688" i="3"/>
  <c r="X688" i="3"/>
  <c r="Y688" i="3"/>
  <c r="T686" i="3"/>
  <c r="U686" i="3"/>
  <c r="V686" i="3"/>
  <c r="W686" i="3"/>
  <c r="X686" i="3"/>
  <c r="Y686" i="3"/>
  <c r="M673" i="3"/>
  <c r="M674" i="3"/>
  <c r="M675" i="3"/>
  <c r="M676" i="3"/>
  <c r="M677" i="3"/>
  <c r="M678" i="3"/>
  <c r="M679" i="3"/>
  <c r="M680" i="3"/>
  <c r="M681" i="3"/>
  <c r="M682" i="3"/>
  <c r="M683" i="3"/>
  <c r="P673" i="3"/>
  <c r="P674" i="3"/>
  <c r="P675" i="3"/>
  <c r="P676" i="3"/>
  <c r="P677" i="3"/>
  <c r="P678" i="3"/>
  <c r="P679" i="3"/>
  <c r="P680" i="3"/>
  <c r="P681" i="3"/>
  <c r="P682" i="3"/>
  <c r="P683" i="3"/>
  <c r="Q673" i="3"/>
  <c r="Q674" i="3"/>
  <c r="Q675" i="3"/>
  <c r="Q676" i="3"/>
  <c r="Q677" i="3"/>
  <c r="Q678" i="3"/>
  <c r="Q679" i="3"/>
  <c r="Q680" i="3"/>
  <c r="Q681" i="3"/>
  <c r="Q682" i="3"/>
  <c r="Q683" i="3"/>
  <c r="R673" i="3"/>
  <c r="R674" i="3"/>
  <c r="R675" i="3"/>
  <c r="R676" i="3"/>
  <c r="R677" i="3"/>
  <c r="R678" i="3"/>
  <c r="R679" i="3"/>
  <c r="R680" i="3"/>
  <c r="R681" i="3"/>
  <c r="R682" i="3"/>
  <c r="R683" i="3"/>
  <c r="S674" i="3"/>
  <c r="S675" i="3"/>
  <c r="S676" i="3"/>
  <c r="S677" i="3"/>
  <c r="S678" i="3"/>
  <c r="S679" i="3"/>
  <c r="S680" i="3"/>
  <c r="S681" i="3"/>
  <c r="S682" i="3"/>
  <c r="S683" i="3"/>
  <c r="T673" i="3"/>
  <c r="U673" i="3"/>
  <c r="V673" i="3"/>
  <c r="W673" i="3"/>
  <c r="X673" i="3"/>
  <c r="AA673" i="3"/>
  <c r="AA674" i="3"/>
  <c r="AA675" i="3"/>
  <c r="AA676" i="3"/>
  <c r="AA677" i="3"/>
  <c r="AA678" i="3"/>
  <c r="AA679" i="3"/>
  <c r="AA680" i="3"/>
  <c r="AA681" i="3"/>
  <c r="AA682" i="3"/>
  <c r="AA683" i="3"/>
  <c r="AB673" i="3"/>
  <c r="O673" i="3" s="1"/>
  <c r="Y673" i="3" s="1"/>
  <c r="AB674" i="3"/>
  <c r="O674" i="3" s="1"/>
  <c r="AB675" i="3"/>
  <c r="O675" i="3" s="1"/>
  <c r="AB676" i="3"/>
  <c r="O676" i="3" s="1"/>
  <c r="AB677" i="3"/>
  <c r="O677" i="3" s="1"/>
  <c r="AB678" i="3"/>
  <c r="O678" i="3" s="1"/>
  <c r="AB679" i="3"/>
  <c r="O679" i="3" s="1"/>
  <c r="AB680" i="3"/>
  <c r="O680" i="3" s="1"/>
  <c r="AB681" i="3"/>
  <c r="O681" i="3" s="1"/>
  <c r="AB682" i="3"/>
  <c r="O682" i="3" s="1"/>
  <c r="AB683" i="3"/>
  <c r="O683" i="3" s="1"/>
  <c r="AC673" i="3"/>
  <c r="N673" i="3" s="1"/>
  <c r="AC674" i="3"/>
  <c r="N674" i="3" s="1"/>
  <c r="AC675" i="3"/>
  <c r="N675" i="3" s="1"/>
  <c r="AC676" i="3"/>
  <c r="N676" i="3" s="1"/>
  <c r="AC677" i="3"/>
  <c r="N677" i="3" s="1"/>
  <c r="AC678" i="3"/>
  <c r="N678" i="3" s="1"/>
  <c r="AC679" i="3"/>
  <c r="N679" i="3" s="1"/>
  <c r="AC680" i="3"/>
  <c r="N680" i="3" s="1"/>
  <c r="AC681" i="3"/>
  <c r="N681" i="3" s="1"/>
  <c r="AC682" i="3"/>
  <c r="N682" i="3" s="1"/>
  <c r="AC683" i="3"/>
  <c r="N683" i="3" s="1"/>
  <c r="AK673" i="3"/>
  <c r="AK674" i="3"/>
  <c r="AK675" i="3"/>
  <c r="AK676" i="3"/>
  <c r="AK677" i="3"/>
  <c r="AK678" i="3"/>
  <c r="AK679" i="3"/>
  <c r="AK680" i="3"/>
  <c r="AK681" i="3"/>
  <c r="AK682" i="3"/>
  <c r="AK683" i="3"/>
  <c r="M662" i="3"/>
  <c r="M663" i="3"/>
  <c r="M664" i="3"/>
  <c r="M665" i="3"/>
  <c r="M666" i="3"/>
  <c r="M667" i="3"/>
  <c r="M668" i="3"/>
  <c r="M669" i="3"/>
  <c r="M670" i="3"/>
  <c r="M671" i="3"/>
  <c r="M672" i="3"/>
  <c r="P662" i="3"/>
  <c r="P663" i="3"/>
  <c r="P664" i="3"/>
  <c r="P665" i="3"/>
  <c r="P666" i="3"/>
  <c r="P667" i="3"/>
  <c r="P668" i="3"/>
  <c r="P669" i="3"/>
  <c r="P670" i="3"/>
  <c r="P671" i="3"/>
  <c r="P672" i="3"/>
  <c r="Q662" i="3"/>
  <c r="Q663" i="3"/>
  <c r="Q664" i="3"/>
  <c r="Q665" i="3"/>
  <c r="Q666" i="3"/>
  <c r="Q667" i="3"/>
  <c r="Q668" i="3"/>
  <c r="Q669" i="3"/>
  <c r="Q670" i="3"/>
  <c r="Q671" i="3"/>
  <c r="Q672" i="3"/>
  <c r="R662" i="3"/>
  <c r="R663" i="3"/>
  <c r="R664" i="3"/>
  <c r="R665" i="3"/>
  <c r="R666" i="3"/>
  <c r="R667" i="3"/>
  <c r="R668" i="3"/>
  <c r="R669" i="3"/>
  <c r="R670" i="3"/>
  <c r="R671" i="3"/>
  <c r="R672" i="3"/>
  <c r="S663" i="3"/>
  <c r="S664" i="3"/>
  <c r="S665" i="3"/>
  <c r="S666" i="3"/>
  <c r="S667" i="3"/>
  <c r="S668" i="3"/>
  <c r="S669" i="3"/>
  <c r="S670" i="3"/>
  <c r="S671" i="3"/>
  <c r="S672" i="3"/>
  <c r="T662" i="3"/>
  <c r="U662" i="3"/>
  <c r="V662" i="3"/>
  <c r="W662" i="3"/>
  <c r="X662" i="3"/>
  <c r="AA662" i="3"/>
  <c r="AA663" i="3"/>
  <c r="AA664" i="3"/>
  <c r="AA665" i="3"/>
  <c r="AA666" i="3"/>
  <c r="AA667" i="3"/>
  <c r="AA668" i="3"/>
  <c r="AA669" i="3"/>
  <c r="AA670" i="3"/>
  <c r="AA671" i="3"/>
  <c r="AA672" i="3"/>
  <c r="AB662" i="3"/>
  <c r="O662" i="3" s="1"/>
  <c r="Y662" i="3" s="1"/>
  <c r="AB663" i="3"/>
  <c r="O663" i="3" s="1"/>
  <c r="AB664" i="3"/>
  <c r="O664" i="3" s="1"/>
  <c r="AB665" i="3"/>
  <c r="O665" i="3" s="1"/>
  <c r="AB666" i="3"/>
  <c r="O666" i="3" s="1"/>
  <c r="AB667" i="3"/>
  <c r="O667" i="3" s="1"/>
  <c r="AB668" i="3"/>
  <c r="O668" i="3" s="1"/>
  <c r="AB669" i="3"/>
  <c r="O669" i="3" s="1"/>
  <c r="AB670" i="3"/>
  <c r="O670" i="3" s="1"/>
  <c r="AB671" i="3"/>
  <c r="O671" i="3" s="1"/>
  <c r="AB672" i="3"/>
  <c r="O672" i="3" s="1"/>
  <c r="AC662" i="3"/>
  <c r="N662" i="3" s="1"/>
  <c r="AC663" i="3"/>
  <c r="N663" i="3" s="1"/>
  <c r="AC664" i="3"/>
  <c r="N664" i="3" s="1"/>
  <c r="AC665" i="3"/>
  <c r="N665" i="3" s="1"/>
  <c r="AC666" i="3"/>
  <c r="N666" i="3" s="1"/>
  <c r="AC667" i="3"/>
  <c r="N667" i="3" s="1"/>
  <c r="AC668" i="3"/>
  <c r="N668" i="3" s="1"/>
  <c r="AC669" i="3"/>
  <c r="N669" i="3" s="1"/>
  <c r="AC670" i="3"/>
  <c r="N670" i="3" s="1"/>
  <c r="AC671" i="3"/>
  <c r="N671" i="3" s="1"/>
  <c r="AC672" i="3"/>
  <c r="N672" i="3" s="1"/>
  <c r="AK662" i="3"/>
  <c r="AK663" i="3"/>
  <c r="AK664" i="3"/>
  <c r="AK665" i="3"/>
  <c r="AK666" i="3"/>
  <c r="AK667" i="3"/>
  <c r="AK668" i="3"/>
  <c r="AK669" i="3"/>
  <c r="AK670" i="3"/>
  <c r="AK671" i="3"/>
  <c r="AK672" i="3"/>
  <c r="M651" i="3"/>
  <c r="M652" i="3"/>
  <c r="M653" i="3"/>
  <c r="M654" i="3"/>
  <c r="M655" i="3"/>
  <c r="M656" i="3"/>
  <c r="M657" i="3"/>
  <c r="M658" i="3"/>
  <c r="M659" i="3"/>
  <c r="M660" i="3"/>
  <c r="M661" i="3"/>
  <c r="P651" i="3"/>
  <c r="P652" i="3"/>
  <c r="P653" i="3"/>
  <c r="P654" i="3"/>
  <c r="P655" i="3"/>
  <c r="P656" i="3"/>
  <c r="P657" i="3"/>
  <c r="P658" i="3"/>
  <c r="P659" i="3"/>
  <c r="P660" i="3"/>
  <c r="P661" i="3"/>
  <c r="Q651" i="3"/>
  <c r="Q652" i="3"/>
  <c r="Q653" i="3"/>
  <c r="Q654" i="3"/>
  <c r="Q655" i="3"/>
  <c r="Q656" i="3"/>
  <c r="Q657" i="3"/>
  <c r="Q658" i="3"/>
  <c r="Q659" i="3"/>
  <c r="Q660" i="3"/>
  <c r="Q661" i="3"/>
  <c r="R651" i="3"/>
  <c r="R652" i="3"/>
  <c r="R653" i="3"/>
  <c r="R654" i="3"/>
  <c r="R655" i="3"/>
  <c r="R656" i="3"/>
  <c r="R657" i="3"/>
  <c r="R658" i="3"/>
  <c r="R659" i="3"/>
  <c r="R660" i="3"/>
  <c r="R661" i="3"/>
  <c r="S652" i="3"/>
  <c r="S653" i="3"/>
  <c r="S654" i="3"/>
  <c r="S655" i="3"/>
  <c r="S656" i="3"/>
  <c r="S657" i="3"/>
  <c r="S658" i="3"/>
  <c r="S659" i="3"/>
  <c r="S660" i="3"/>
  <c r="S661" i="3"/>
  <c r="T651" i="3"/>
  <c r="U651" i="3"/>
  <c r="V651" i="3"/>
  <c r="W651" i="3"/>
  <c r="X651" i="3"/>
  <c r="AA651" i="3"/>
  <c r="AA652" i="3"/>
  <c r="AA653" i="3"/>
  <c r="AA654" i="3"/>
  <c r="AA655" i="3"/>
  <c r="AA656" i="3"/>
  <c r="AA657" i="3"/>
  <c r="AA658" i="3"/>
  <c r="AA659" i="3"/>
  <c r="AA660" i="3"/>
  <c r="AA661" i="3"/>
  <c r="AB651" i="3"/>
  <c r="O651" i="3" s="1"/>
  <c r="Y651" i="3" s="1"/>
  <c r="AB652" i="3"/>
  <c r="O652" i="3" s="1"/>
  <c r="AB653" i="3"/>
  <c r="O653" i="3" s="1"/>
  <c r="AB654" i="3"/>
  <c r="O654" i="3" s="1"/>
  <c r="AB655" i="3"/>
  <c r="O655" i="3" s="1"/>
  <c r="AB656" i="3"/>
  <c r="O656" i="3" s="1"/>
  <c r="AB657" i="3"/>
  <c r="O657" i="3" s="1"/>
  <c r="AB658" i="3"/>
  <c r="O658" i="3" s="1"/>
  <c r="AB659" i="3"/>
  <c r="O659" i="3" s="1"/>
  <c r="AB660" i="3"/>
  <c r="O660" i="3" s="1"/>
  <c r="AB661" i="3"/>
  <c r="O661" i="3" s="1"/>
  <c r="AC651" i="3"/>
  <c r="N651" i="3" s="1"/>
  <c r="AC652" i="3"/>
  <c r="N652" i="3" s="1"/>
  <c r="AC653" i="3"/>
  <c r="N653" i="3" s="1"/>
  <c r="AC654" i="3"/>
  <c r="N654" i="3" s="1"/>
  <c r="AC655" i="3"/>
  <c r="N655" i="3" s="1"/>
  <c r="AC656" i="3"/>
  <c r="N656" i="3" s="1"/>
  <c r="AC657" i="3"/>
  <c r="N657" i="3" s="1"/>
  <c r="AC658" i="3"/>
  <c r="N658" i="3" s="1"/>
  <c r="AC659" i="3"/>
  <c r="N659" i="3" s="1"/>
  <c r="AC660" i="3"/>
  <c r="N660" i="3" s="1"/>
  <c r="AC661" i="3"/>
  <c r="N661" i="3" s="1"/>
  <c r="AK651" i="3"/>
  <c r="AK652" i="3"/>
  <c r="AK653" i="3"/>
  <c r="AK654" i="3"/>
  <c r="AK655" i="3"/>
  <c r="AK656" i="3"/>
  <c r="AK657" i="3"/>
  <c r="AK658" i="3"/>
  <c r="AK659" i="3"/>
  <c r="AK660" i="3"/>
  <c r="AK661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S630" i="3"/>
  <c r="S631" i="3"/>
  <c r="S632" i="3"/>
  <c r="S633" i="3"/>
  <c r="S634" i="3"/>
  <c r="S635" i="3"/>
  <c r="S636" i="3"/>
  <c r="S637" i="3"/>
  <c r="S638" i="3"/>
  <c r="S639" i="3"/>
  <c r="S641" i="3"/>
  <c r="S642" i="3"/>
  <c r="S643" i="3"/>
  <c r="S644" i="3"/>
  <c r="S645" i="3"/>
  <c r="S646" i="3"/>
  <c r="S647" i="3"/>
  <c r="S648" i="3"/>
  <c r="S649" i="3"/>
  <c r="S650" i="3"/>
  <c r="T629" i="3"/>
  <c r="T640" i="3"/>
  <c r="U629" i="3"/>
  <c r="U640" i="3"/>
  <c r="V629" i="3"/>
  <c r="V640" i="3"/>
  <c r="W629" i="3"/>
  <c r="W640" i="3"/>
  <c r="X629" i="3"/>
  <c r="X640" i="3"/>
  <c r="AA629" i="3"/>
  <c r="AA630" i="3"/>
  <c r="AA631" i="3"/>
  <c r="AA632" i="3"/>
  <c r="AA633" i="3"/>
  <c r="AA634" i="3"/>
  <c r="AA635" i="3"/>
  <c r="AA636" i="3"/>
  <c r="AA637" i="3"/>
  <c r="AA638" i="3"/>
  <c r="AA639" i="3"/>
  <c r="AA640" i="3"/>
  <c r="AA641" i="3"/>
  <c r="AA642" i="3"/>
  <c r="AA643" i="3"/>
  <c r="AA644" i="3"/>
  <c r="AA645" i="3"/>
  <c r="AA646" i="3"/>
  <c r="AA647" i="3"/>
  <c r="AA648" i="3"/>
  <c r="AA649" i="3"/>
  <c r="AA650" i="3"/>
  <c r="AB629" i="3"/>
  <c r="O629" i="3" s="1"/>
  <c r="AB630" i="3"/>
  <c r="O630" i="3" s="1"/>
  <c r="AB631" i="3"/>
  <c r="O631" i="3" s="1"/>
  <c r="AB632" i="3"/>
  <c r="O632" i="3" s="1"/>
  <c r="AB633" i="3"/>
  <c r="O633" i="3" s="1"/>
  <c r="AB634" i="3"/>
  <c r="O634" i="3" s="1"/>
  <c r="AB635" i="3"/>
  <c r="O635" i="3" s="1"/>
  <c r="AB636" i="3"/>
  <c r="O636" i="3" s="1"/>
  <c r="AB637" i="3"/>
  <c r="O637" i="3" s="1"/>
  <c r="AB638" i="3"/>
  <c r="O638" i="3" s="1"/>
  <c r="AB639" i="3"/>
  <c r="O639" i="3" s="1"/>
  <c r="AB640" i="3"/>
  <c r="O640" i="3" s="1"/>
  <c r="Y640" i="3" s="1"/>
  <c r="AB641" i="3"/>
  <c r="O641" i="3" s="1"/>
  <c r="AB642" i="3"/>
  <c r="O642" i="3" s="1"/>
  <c r="AB643" i="3"/>
  <c r="O643" i="3" s="1"/>
  <c r="AB644" i="3"/>
  <c r="O644" i="3" s="1"/>
  <c r="AB645" i="3"/>
  <c r="O645" i="3" s="1"/>
  <c r="AB646" i="3"/>
  <c r="O646" i="3" s="1"/>
  <c r="AB647" i="3"/>
  <c r="O647" i="3" s="1"/>
  <c r="AB648" i="3"/>
  <c r="O648" i="3" s="1"/>
  <c r="AB649" i="3"/>
  <c r="O649" i="3" s="1"/>
  <c r="AB650" i="3"/>
  <c r="O650" i="3" s="1"/>
  <c r="AC629" i="3"/>
  <c r="N629" i="3" s="1"/>
  <c r="AC630" i="3"/>
  <c r="N630" i="3" s="1"/>
  <c r="AC631" i="3"/>
  <c r="N631" i="3" s="1"/>
  <c r="AC632" i="3"/>
  <c r="N632" i="3" s="1"/>
  <c r="AC633" i="3"/>
  <c r="N633" i="3" s="1"/>
  <c r="AC634" i="3"/>
  <c r="N634" i="3" s="1"/>
  <c r="AC635" i="3"/>
  <c r="N635" i="3" s="1"/>
  <c r="AC636" i="3"/>
  <c r="N636" i="3" s="1"/>
  <c r="AC637" i="3"/>
  <c r="N637" i="3" s="1"/>
  <c r="AC638" i="3"/>
  <c r="N638" i="3" s="1"/>
  <c r="AC639" i="3"/>
  <c r="N639" i="3" s="1"/>
  <c r="AC640" i="3"/>
  <c r="N640" i="3" s="1"/>
  <c r="AC641" i="3"/>
  <c r="N641" i="3" s="1"/>
  <c r="AC642" i="3"/>
  <c r="N642" i="3" s="1"/>
  <c r="AC643" i="3"/>
  <c r="N643" i="3" s="1"/>
  <c r="AC644" i="3"/>
  <c r="N644" i="3" s="1"/>
  <c r="AC645" i="3"/>
  <c r="N645" i="3" s="1"/>
  <c r="AC646" i="3"/>
  <c r="N646" i="3" s="1"/>
  <c r="AC647" i="3"/>
  <c r="N647" i="3" s="1"/>
  <c r="AC648" i="3"/>
  <c r="N648" i="3" s="1"/>
  <c r="AC649" i="3"/>
  <c r="N649" i="3" s="1"/>
  <c r="AC650" i="3"/>
  <c r="N650" i="3" s="1"/>
  <c r="AK629" i="3"/>
  <c r="AK630" i="3"/>
  <c r="AK631" i="3"/>
  <c r="AK632" i="3"/>
  <c r="AK633" i="3"/>
  <c r="AK634" i="3"/>
  <c r="AK635" i="3"/>
  <c r="AK636" i="3"/>
  <c r="AK637" i="3"/>
  <c r="AK638" i="3"/>
  <c r="AK639" i="3"/>
  <c r="AK640" i="3"/>
  <c r="AK641" i="3"/>
  <c r="AK642" i="3"/>
  <c r="AK643" i="3"/>
  <c r="AK644" i="3"/>
  <c r="AK645" i="3"/>
  <c r="AK646" i="3"/>
  <c r="AK647" i="3"/>
  <c r="AK648" i="3"/>
  <c r="AK649" i="3"/>
  <c r="AK650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S608" i="3"/>
  <c r="S609" i="3"/>
  <c r="S610" i="3"/>
  <c r="S611" i="3"/>
  <c r="S612" i="3"/>
  <c r="S613" i="3"/>
  <c r="S614" i="3"/>
  <c r="S615" i="3"/>
  <c r="S616" i="3"/>
  <c r="S617" i="3"/>
  <c r="S619" i="3"/>
  <c r="S620" i="3"/>
  <c r="S621" i="3"/>
  <c r="S622" i="3"/>
  <c r="S623" i="3"/>
  <c r="S624" i="3"/>
  <c r="S625" i="3"/>
  <c r="S626" i="3"/>
  <c r="S627" i="3"/>
  <c r="S628" i="3"/>
  <c r="T607" i="3"/>
  <c r="T618" i="3"/>
  <c r="U607" i="3"/>
  <c r="U618" i="3"/>
  <c r="V607" i="3"/>
  <c r="V618" i="3"/>
  <c r="W607" i="3"/>
  <c r="W618" i="3"/>
  <c r="X607" i="3"/>
  <c r="X618" i="3"/>
  <c r="AA607" i="3"/>
  <c r="AA608" i="3"/>
  <c r="AA609" i="3"/>
  <c r="AA610" i="3"/>
  <c r="AA611" i="3"/>
  <c r="AA612" i="3"/>
  <c r="AA613" i="3"/>
  <c r="AA614" i="3"/>
  <c r="AA615" i="3"/>
  <c r="AA616" i="3"/>
  <c r="AA617" i="3"/>
  <c r="AA618" i="3"/>
  <c r="AA619" i="3"/>
  <c r="AA620" i="3"/>
  <c r="AA621" i="3"/>
  <c r="AA622" i="3"/>
  <c r="AA623" i="3"/>
  <c r="AA624" i="3"/>
  <c r="AA625" i="3"/>
  <c r="AA626" i="3"/>
  <c r="AA627" i="3"/>
  <c r="AA628" i="3"/>
  <c r="AB607" i="3"/>
  <c r="O607" i="3" s="1"/>
  <c r="Y607" i="3" s="1"/>
  <c r="AB608" i="3"/>
  <c r="O608" i="3" s="1"/>
  <c r="AB609" i="3"/>
  <c r="O609" i="3" s="1"/>
  <c r="AB610" i="3"/>
  <c r="O610" i="3" s="1"/>
  <c r="AB611" i="3"/>
  <c r="O611" i="3" s="1"/>
  <c r="AB612" i="3"/>
  <c r="O612" i="3" s="1"/>
  <c r="AB613" i="3"/>
  <c r="O613" i="3" s="1"/>
  <c r="AB614" i="3"/>
  <c r="O614" i="3" s="1"/>
  <c r="AB615" i="3"/>
  <c r="O615" i="3" s="1"/>
  <c r="AB616" i="3"/>
  <c r="O616" i="3" s="1"/>
  <c r="AB617" i="3"/>
  <c r="O617" i="3" s="1"/>
  <c r="AB618" i="3"/>
  <c r="O618" i="3" s="1"/>
  <c r="Y618" i="3" s="1"/>
  <c r="AB619" i="3"/>
  <c r="O619" i="3" s="1"/>
  <c r="AB620" i="3"/>
  <c r="O620" i="3" s="1"/>
  <c r="AB621" i="3"/>
  <c r="O621" i="3" s="1"/>
  <c r="AB622" i="3"/>
  <c r="O622" i="3" s="1"/>
  <c r="AB623" i="3"/>
  <c r="O623" i="3" s="1"/>
  <c r="AB624" i="3"/>
  <c r="O624" i="3" s="1"/>
  <c r="AB625" i="3"/>
  <c r="O625" i="3" s="1"/>
  <c r="AB626" i="3"/>
  <c r="O626" i="3" s="1"/>
  <c r="AB627" i="3"/>
  <c r="O627" i="3" s="1"/>
  <c r="AB628" i="3"/>
  <c r="O628" i="3" s="1"/>
  <c r="AC607" i="3"/>
  <c r="N607" i="3" s="1"/>
  <c r="AC608" i="3"/>
  <c r="N608" i="3" s="1"/>
  <c r="AC609" i="3"/>
  <c r="N609" i="3" s="1"/>
  <c r="AC610" i="3"/>
  <c r="N610" i="3" s="1"/>
  <c r="AC611" i="3"/>
  <c r="N611" i="3" s="1"/>
  <c r="AC612" i="3"/>
  <c r="N612" i="3" s="1"/>
  <c r="AC613" i="3"/>
  <c r="N613" i="3" s="1"/>
  <c r="AC614" i="3"/>
  <c r="N614" i="3" s="1"/>
  <c r="AC615" i="3"/>
  <c r="N615" i="3" s="1"/>
  <c r="AC616" i="3"/>
  <c r="N616" i="3" s="1"/>
  <c r="AC617" i="3"/>
  <c r="N617" i="3" s="1"/>
  <c r="AC618" i="3"/>
  <c r="N618" i="3" s="1"/>
  <c r="S618" i="3" s="1"/>
  <c r="AC619" i="3"/>
  <c r="N619" i="3" s="1"/>
  <c r="AC620" i="3"/>
  <c r="N620" i="3" s="1"/>
  <c r="AC621" i="3"/>
  <c r="N621" i="3" s="1"/>
  <c r="AC622" i="3"/>
  <c r="N622" i="3" s="1"/>
  <c r="AC623" i="3"/>
  <c r="N623" i="3" s="1"/>
  <c r="AC624" i="3"/>
  <c r="N624" i="3" s="1"/>
  <c r="AC625" i="3"/>
  <c r="N625" i="3" s="1"/>
  <c r="AC626" i="3"/>
  <c r="N626" i="3" s="1"/>
  <c r="AC627" i="3"/>
  <c r="N627" i="3" s="1"/>
  <c r="AC628" i="3"/>
  <c r="N628" i="3" s="1"/>
  <c r="AK607" i="3"/>
  <c r="AK608" i="3"/>
  <c r="AK609" i="3"/>
  <c r="AK610" i="3"/>
  <c r="AK611" i="3"/>
  <c r="AK612" i="3"/>
  <c r="AK613" i="3"/>
  <c r="AK614" i="3"/>
  <c r="AK615" i="3"/>
  <c r="AK616" i="3"/>
  <c r="AK617" i="3"/>
  <c r="AK618" i="3"/>
  <c r="AK619" i="3"/>
  <c r="AK620" i="3"/>
  <c r="AK621" i="3"/>
  <c r="AK622" i="3"/>
  <c r="AK623" i="3"/>
  <c r="AK624" i="3"/>
  <c r="AK625" i="3"/>
  <c r="AK626" i="3"/>
  <c r="AK627" i="3"/>
  <c r="AK628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S596" i="3"/>
  <c r="S597" i="3"/>
  <c r="S598" i="3"/>
  <c r="S599" i="3"/>
  <c r="S600" i="3"/>
  <c r="S601" i="3"/>
  <c r="S602" i="3"/>
  <c r="S603" i="3"/>
  <c r="S604" i="3"/>
  <c r="S605" i="3"/>
  <c r="S606" i="3"/>
  <c r="T595" i="3"/>
  <c r="U595" i="3"/>
  <c r="V595" i="3"/>
  <c r="W595" i="3"/>
  <c r="X595" i="3"/>
  <c r="AA595" i="3"/>
  <c r="AA596" i="3"/>
  <c r="AA597" i="3"/>
  <c r="AA598" i="3"/>
  <c r="AA599" i="3"/>
  <c r="AA600" i="3"/>
  <c r="AA601" i="3"/>
  <c r="AA602" i="3"/>
  <c r="AA603" i="3"/>
  <c r="AA604" i="3"/>
  <c r="AA605" i="3"/>
  <c r="AA606" i="3"/>
  <c r="AB595" i="3"/>
  <c r="O595" i="3" s="1"/>
  <c r="Y595" i="3" s="1"/>
  <c r="AB596" i="3"/>
  <c r="O596" i="3" s="1"/>
  <c r="AB597" i="3"/>
  <c r="O597" i="3" s="1"/>
  <c r="AB598" i="3"/>
  <c r="O598" i="3" s="1"/>
  <c r="AB599" i="3"/>
  <c r="O599" i="3" s="1"/>
  <c r="AB600" i="3"/>
  <c r="O600" i="3" s="1"/>
  <c r="AB601" i="3"/>
  <c r="O601" i="3" s="1"/>
  <c r="AB602" i="3"/>
  <c r="O602" i="3" s="1"/>
  <c r="AB603" i="3"/>
  <c r="O603" i="3" s="1"/>
  <c r="AB604" i="3"/>
  <c r="O604" i="3" s="1"/>
  <c r="AB605" i="3"/>
  <c r="O605" i="3" s="1"/>
  <c r="AB606" i="3"/>
  <c r="O606" i="3" s="1"/>
  <c r="AC595" i="3"/>
  <c r="N595" i="3" s="1"/>
  <c r="S595" i="3" s="1"/>
  <c r="AC596" i="3"/>
  <c r="N596" i="3" s="1"/>
  <c r="AC597" i="3"/>
  <c r="N597" i="3" s="1"/>
  <c r="AC598" i="3"/>
  <c r="N598" i="3" s="1"/>
  <c r="AC599" i="3"/>
  <c r="N599" i="3" s="1"/>
  <c r="AC600" i="3"/>
  <c r="N600" i="3" s="1"/>
  <c r="AC601" i="3"/>
  <c r="N601" i="3" s="1"/>
  <c r="AC602" i="3"/>
  <c r="N602" i="3" s="1"/>
  <c r="AC603" i="3"/>
  <c r="N603" i="3" s="1"/>
  <c r="AC604" i="3"/>
  <c r="N604" i="3" s="1"/>
  <c r="AC605" i="3"/>
  <c r="N605" i="3" s="1"/>
  <c r="AC606" i="3"/>
  <c r="N606" i="3" s="1"/>
  <c r="AK595" i="3"/>
  <c r="AK596" i="3"/>
  <c r="AK597" i="3"/>
  <c r="AK598" i="3"/>
  <c r="AK599" i="3"/>
  <c r="AK600" i="3"/>
  <c r="AK601" i="3"/>
  <c r="AK602" i="3"/>
  <c r="AK603" i="3"/>
  <c r="AK604" i="3"/>
  <c r="AK605" i="3"/>
  <c r="AK606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5" i="3"/>
  <c r="S586" i="3"/>
  <c r="S587" i="3"/>
  <c r="S588" i="3"/>
  <c r="S589" i="3"/>
  <c r="S590" i="3"/>
  <c r="S591" i="3"/>
  <c r="S592" i="3"/>
  <c r="S593" i="3"/>
  <c r="S594" i="3"/>
  <c r="T571" i="3"/>
  <c r="T584" i="3"/>
  <c r="U571" i="3"/>
  <c r="U584" i="3"/>
  <c r="V571" i="3"/>
  <c r="V584" i="3"/>
  <c r="W571" i="3"/>
  <c r="W584" i="3"/>
  <c r="X571" i="3"/>
  <c r="X584" i="3"/>
  <c r="AA571" i="3"/>
  <c r="AA572" i="3"/>
  <c r="AA573" i="3"/>
  <c r="AA574" i="3"/>
  <c r="AA575" i="3"/>
  <c r="AA576" i="3"/>
  <c r="AA577" i="3"/>
  <c r="AA578" i="3"/>
  <c r="AA579" i="3"/>
  <c r="AA580" i="3"/>
  <c r="AA581" i="3"/>
  <c r="AA582" i="3"/>
  <c r="AA583" i="3"/>
  <c r="AA584" i="3"/>
  <c r="AA585" i="3"/>
  <c r="AA586" i="3"/>
  <c r="AA587" i="3"/>
  <c r="AA588" i="3"/>
  <c r="AA589" i="3"/>
  <c r="AA590" i="3"/>
  <c r="AA591" i="3"/>
  <c r="AA592" i="3"/>
  <c r="AA593" i="3"/>
  <c r="AA594" i="3"/>
  <c r="AB571" i="3"/>
  <c r="O571" i="3" s="1"/>
  <c r="Y571" i="3" s="1"/>
  <c r="AB572" i="3"/>
  <c r="O572" i="3" s="1"/>
  <c r="AB573" i="3"/>
  <c r="O573" i="3" s="1"/>
  <c r="AB574" i="3"/>
  <c r="O574" i="3" s="1"/>
  <c r="AB575" i="3"/>
  <c r="O575" i="3" s="1"/>
  <c r="AB576" i="3"/>
  <c r="O576" i="3" s="1"/>
  <c r="AB577" i="3"/>
  <c r="O577" i="3" s="1"/>
  <c r="AB578" i="3"/>
  <c r="O578" i="3" s="1"/>
  <c r="AB579" i="3"/>
  <c r="O579" i="3" s="1"/>
  <c r="AB580" i="3"/>
  <c r="O580" i="3" s="1"/>
  <c r="AB581" i="3"/>
  <c r="O581" i="3" s="1"/>
  <c r="AB582" i="3"/>
  <c r="O582" i="3" s="1"/>
  <c r="AB583" i="3"/>
  <c r="O583" i="3" s="1"/>
  <c r="AB584" i="3"/>
  <c r="O584" i="3" s="1"/>
  <c r="AB585" i="3"/>
  <c r="O585" i="3" s="1"/>
  <c r="AB586" i="3"/>
  <c r="O586" i="3" s="1"/>
  <c r="AB587" i="3"/>
  <c r="O587" i="3" s="1"/>
  <c r="AB588" i="3"/>
  <c r="O588" i="3" s="1"/>
  <c r="AB589" i="3"/>
  <c r="O589" i="3" s="1"/>
  <c r="AB590" i="3"/>
  <c r="O590" i="3" s="1"/>
  <c r="AB591" i="3"/>
  <c r="O591" i="3" s="1"/>
  <c r="AB592" i="3"/>
  <c r="O592" i="3" s="1"/>
  <c r="AB593" i="3"/>
  <c r="O593" i="3" s="1"/>
  <c r="AB594" i="3"/>
  <c r="O594" i="3" s="1"/>
  <c r="AC571" i="3"/>
  <c r="N571" i="3" s="1"/>
  <c r="AC572" i="3"/>
  <c r="N572" i="3" s="1"/>
  <c r="AC573" i="3"/>
  <c r="N573" i="3" s="1"/>
  <c r="AC574" i="3"/>
  <c r="N574" i="3" s="1"/>
  <c r="AC575" i="3"/>
  <c r="N575" i="3" s="1"/>
  <c r="AC576" i="3"/>
  <c r="N576" i="3" s="1"/>
  <c r="AC577" i="3"/>
  <c r="N577" i="3" s="1"/>
  <c r="AC578" i="3"/>
  <c r="N578" i="3" s="1"/>
  <c r="AC579" i="3"/>
  <c r="N579" i="3" s="1"/>
  <c r="AC580" i="3"/>
  <c r="N580" i="3" s="1"/>
  <c r="AC581" i="3"/>
  <c r="N581" i="3" s="1"/>
  <c r="AC582" i="3"/>
  <c r="N582" i="3" s="1"/>
  <c r="AC583" i="3"/>
  <c r="N583" i="3" s="1"/>
  <c r="AC584" i="3"/>
  <c r="N584" i="3" s="1"/>
  <c r="AC585" i="3"/>
  <c r="N585" i="3" s="1"/>
  <c r="AC586" i="3"/>
  <c r="N586" i="3" s="1"/>
  <c r="AC587" i="3"/>
  <c r="N587" i="3" s="1"/>
  <c r="AC588" i="3"/>
  <c r="N588" i="3" s="1"/>
  <c r="AC589" i="3"/>
  <c r="N589" i="3" s="1"/>
  <c r="AC590" i="3"/>
  <c r="N590" i="3" s="1"/>
  <c r="AC591" i="3"/>
  <c r="N591" i="3" s="1"/>
  <c r="AC592" i="3"/>
  <c r="N592" i="3" s="1"/>
  <c r="AC593" i="3"/>
  <c r="N593" i="3" s="1"/>
  <c r="AC594" i="3"/>
  <c r="N594" i="3" s="1"/>
  <c r="AK571" i="3"/>
  <c r="AK572" i="3"/>
  <c r="AK573" i="3"/>
  <c r="AK574" i="3"/>
  <c r="AK575" i="3"/>
  <c r="AK576" i="3"/>
  <c r="AK577" i="3"/>
  <c r="AK578" i="3"/>
  <c r="AK579" i="3"/>
  <c r="AK580" i="3"/>
  <c r="AK581" i="3"/>
  <c r="AK582" i="3"/>
  <c r="AK583" i="3"/>
  <c r="AK584" i="3"/>
  <c r="AK585" i="3"/>
  <c r="AK586" i="3"/>
  <c r="AK587" i="3"/>
  <c r="AK588" i="3"/>
  <c r="AK589" i="3"/>
  <c r="AK590" i="3"/>
  <c r="AK591" i="3"/>
  <c r="AK592" i="3"/>
  <c r="AK593" i="3"/>
  <c r="AK594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S547" i="3"/>
  <c r="S548" i="3"/>
  <c r="S549" i="3"/>
  <c r="S550" i="3"/>
  <c r="S551" i="3"/>
  <c r="S552" i="3"/>
  <c r="S553" i="3"/>
  <c r="S554" i="3"/>
  <c r="S555" i="3"/>
  <c r="S556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T546" i="3"/>
  <c r="T557" i="3"/>
  <c r="U546" i="3"/>
  <c r="U557" i="3"/>
  <c r="V546" i="3"/>
  <c r="V557" i="3"/>
  <c r="W546" i="3"/>
  <c r="W557" i="3"/>
  <c r="X546" i="3"/>
  <c r="X557" i="3"/>
  <c r="AA546" i="3"/>
  <c r="AA547" i="3"/>
  <c r="AA548" i="3"/>
  <c r="AA549" i="3"/>
  <c r="AA550" i="3"/>
  <c r="AA551" i="3"/>
  <c r="AA552" i="3"/>
  <c r="AA553" i="3"/>
  <c r="AA554" i="3"/>
  <c r="AA555" i="3"/>
  <c r="AA556" i="3"/>
  <c r="AA557" i="3"/>
  <c r="AA558" i="3"/>
  <c r="AA559" i="3"/>
  <c r="AA560" i="3"/>
  <c r="AA561" i="3"/>
  <c r="AA562" i="3"/>
  <c r="AA563" i="3"/>
  <c r="AA564" i="3"/>
  <c r="AA565" i="3"/>
  <c r="AA566" i="3"/>
  <c r="AA567" i="3"/>
  <c r="AA568" i="3"/>
  <c r="AA569" i="3"/>
  <c r="AA570" i="3"/>
  <c r="AB546" i="3"/>
  <c r="O546" i="3" s="1"/>
  <c r="Y546" i="3" s="1"/>
  <c r="AB547" i="3"/>
  <c r="O547" i="3" s="1"/>
  <c r="AB548" i="3"/>
  <c r="O548" i="3" s="1"/>
  <c r="AB549" i="3"/>
  <c r="O549" i="3" s="1"/>
  <c r="AB550" i="3"/>
  <c r="O550" i="3" s="1"/>
  <c r="AB551" i="3"/>
  <c r="O551" i="3" s="1"/>
  <c r="AB552" i="3"/>
  <c r="O552" i="3" s="1"/>
  <c r="AB553" i="3"/>
  <c r="O553" i="3" s="1"/>
  <c r="AB554" i="3"/>
  <c r="O554" i="3" s="1"/>
  <c r="AB555" i="3"/>
  <c r="O555" i="3" s="1"/>
  <c r="AB556" i="3"/>
  <c r="O556" i="3" s="1"/>
  <c r="AB557" i="3"/>
  <c r="O557" i="3" s="1"/>
  <c r="Y557" i="3" s="1"/>
  <c r="AB558" i="3"/>
  <c r="O558" i="3" s="1"/>
  <c r="AB559" i="3"/>
  <c r="O559" i="3" s="1"/>
  <c r="AB560" i="3"/>
  <c r="O560" i="3" s="1"/>
  <c r="AB561" i="3"/>
  <c r="O561" i="3" s="1"/>
  <c r="AB562" i="3"/>
  <c r="O562" i="3" s="1"/>
  <c r="AB563" i="3"/>
  <c r="O563" i="3" s="1"/>
  <c r="AB564" i="3"/>
  <c r="O564" i="3" s="1"/>
  <c r="AB565" i="3"/>
  <c r="O565" i="3" s="1"/>
  <c r="AB566" i="3"/>
  <c r="O566" i="3" s="1"/>
  <c r="AB567" i="3"/>
  <c r="O567" i="3" s="1"/>
  <c r="AB568" i="3"/>
  <c r="O568" i="3" s="1"/>
  <c r="AB569" i="3"/>
  <c r="O569" i="3" s="1"/>
  <c r="AB570" i="3"/>
  <c r="O570" i="3" s="1"/>
  <c r="AC546" i="3"/>
  <c r="N546" i="3" s="1"/>
  <c r="AC547" i="3"/>
  <c r="N547" i="3" s="1"/>
  <c r="AC548" i="3"/>
  <c r="N548" i="3" s="1"/>
  <c r="AC549" i="3"/>
  <c r="N549" i="3" s="1"/>
  <c r="AC550" i="3"/>
  <c r="N550" i="3" s="1"/>
  <c r="AC551" i="3"/>
  <c r="N551" i="3" s="1"/>
  <c r="AC552" i="3"/>
  <c r="N552" i="3" s="1"/>
  <c r="AC553" i="3"/>
  <c r="N553" i="3" s="1"/>
  <c r="AC554" i="3"/>
  <c r="N554" i="3" s="1"/>
  <c r="AC555" i="3"/>
  <c r="N555" i="3" s="1"/>
  <c r="AC556" i="3"/>
  <c r="N556" i="3" s="1"/>
  <c r="AC557" i="3"/>
  <c r="N557" i="3" s="1"/>
  <c r="AC558" i="3"/>
  <c r="N558" i="3" s="1"/>
  <c r="AC559" i="3"/>
  <c r="N559" i="3" s="1"/>
  <c r="AC560" i="3"/>
  <c r="N560" i="3" s="1"/>
  <c r="AC561" i="3"/>
  <c r="N561" i="3" s="1"/>
  <c r="AC562" i="3"/>
  <c r="N562" i="3" s="1"/>
  <c r="AC563" i="3"/>
  <c r="N563" i="3" s="1"/>
  <c r="AC564" i="3"/>
  <c r="N564" i="3" s="1"/>
  <c r="AC565" i="3"/>
  <c r="N565" i="3" s="1"/>
  <c r="AC566" i="3"/>
  <c r="N566" i="3" s="1"/>
  <c r="AC567" i="3"/>
  <c r="N567" i="3" s="1"/>
  <c r="AC568" i="3"/>
  <c r="N568" i="3" s="1"/>
  <c r="AC569" i="3"/>
  <c r="N569" i="3" s="1"/>
  <c r="AC570" i="3"/>
  <c r="N570" i="3" s="1"/>
  <c r="AK546" i="3"/>
  <c r="AK547" i="3"/>
  <c r="AK548" i="3"/>
  <c r="AK549" i="3"/>
  <c r="AK550" i="3"/>
  <c r="AK551" i="3"/>
  <c r="AK552" i="3"/>
  <c r="AK553" i="3"/>
  <c r="AK554" i="3"/>
  <c r="AK555" i="3"/>
  <c r="AK556" i="3"/>
  <c r="AK557" i="3"/>
  <c r="AK558" i="3"/>
  <c r="AK559" i="3"/>
  <c r="AK560" i="3"/>
  <c r="AK561" i="3"/>
  <c r="AK562" i="3"/>
  <c r="AK563" i="3"/>
  <c r="AK564" i="3"/>
  <c r="AK565" i="3"/>
  <c r="AK566" i="3"/>
  <c r="AK567" i="3"/>
  <c r="AK568" i="3"/>
  <c r="AK569" i="3"/>
  <c r="AK570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6" i="3"/>
  <c r="S537" i="3"/>
  <c r="S538" i="3"/>
  <c r="S539" i="3"/>
  <c r="S540" i="3"/>
  <c r="S541" i="3"/>
  <c r="S542" i="3"/>
  <c r="S543" i="3"/>
  <c r="S544" i="3"/>
  <c r="S545" i="3"/>
  <c r="T522" i="3"/>
  <c r="T535" i="3"/>
  <c r="U522" i="3"/>
  <c r="U535" i="3"/>
  <c r="V522" i="3"/>
  <c r="V535" i="3"/>
  <c r="W522" i="3"/>
  <c r="W535" i="3"/>
  <c r="X522" i="3"/>
  <c r="X535" i="3"/>
  <c r="AA522" i="3"/>
  <c r="AA523" i="3"/>
  <c r="AA524" i="3"/>
  <c r="AA525" i="3"/>
  <c r="AA526" i="3"/>
  <c r="AA527" i="3"/>
  <c r="AA528" i="3"/>
  <c r="AA529" i="3"/>
  <c r="AA530" i="3"/>
  <c r="AA531" i="3"/>
  <c r="AA532" i="3"/>
  <c r="AA533" i="3"/>
  <c r="AA534" i="3"/>
  <c r="AA535" i="3"/>
  <c r="AA536" i="3"/>
  <c r="AA537" i="3"/>
  <c r="AA538" i="3"/>
  <c r="AA539" i="3"/>
  <c r="AA540" i="3"/>
  <c r="AA541" i="3"/>
  <c r="AA542" i="3"/>
  <c r="AA543" i="3"/>
  <c r="AA544" i="3"/>
  <c r="AA545" i="3"/>
  <c r="AB522" i="3"/>
  <c r="O522" i="3" s="1"/>
  <c r="Y522" i="3" s="1"/>
  <c r="AB523" i="3"/>
  <c r="O523" i="3" s="1"/>
  <c r="AB524" i="3"/>
  <c r="O524" i="3" s="1"/>
  <c r="AB525" i="3"/>
  <c r="O525" i="3" s="1"/>
  <c r="AB526" i="3"/>
  <c r="O526" i="3" s="1"/>
  <c r="AB527" i="3"/>
  <c r="O527" i="3" s="1"/>
  <c r="AB528" i="3"/>
  <c r="O528" i="3" s="1"/>
  <c r="AB529" i="3"/>
  <c r="O529" i="3" s="1"/>
  <c r="AB530" i="3"/>
  <c r="O530" i="3" s="1"/>
  <c r="AB531" i="3"/>
  <c r="O531" i="3" s="1"/>
  <c r="AB532" i="3"/>
  <c r="O532" i="3" s="1"/>
  <c r="AB533" i="3"/>
  <c r="O533" i="3" s="1"/>
  <c r="AB534" i="3"/>
  <c r="O534" i="3" s="1"/>
  <c r="AB535" i="3"/>
  <c r="O535" i="3" s="1"/>
  <c r="Y535" i="3" s="1"/>
  <c r="AB536" i="3"/>
  <c r="O536" i="3" s="1"/>
  <c r="AB537" i="3"/>
  <c r="O537" i="3" s="1"/>
  <c r="AB538" i="3"/>
  <c r="O538" i="3" s="1"/>
  <c r="AB539" i="3"/>
  <c r="O539" i="3" s="1"/>
  <c r="AB540" i="3"/>
  <c r="O540" i="3" s="1"/>
  <c r="AB541" i="3"/>
  <c r="O541" i="3" s="1"/>
  <c r="AB542" i="3"/>
  <c r="O542" i="3" s="1"/>
  <c r="AB543" i="3"/>
  <c r="O543" i="3" s="1"/>
  <c r="AB544" i="3"/>
  <c r="O544" i="3" s="1"/>
  <c r="AB545" i="3"/>
  <c r="O545" i="3" s="1"/>
  <c r="AC522" i="3"/>
  <c r="N522" i="3" s="1"/>
  <c r="AC523" i="3"/>
  <c r="N523" i="3" s="1"/>
  <c r="AC524" i="3"/>
  <c r="N524" i="3" s="1"/>
  <c r="AC525" i="3"/>
  <c r="N525" i="3" s="1"/>
  <c r="AC526" i="3"/>
  <c r="N526" i="3" s="1"/>
  <c r="AC527" i="3"/>
  <c r="N527" i="3" s="1"/>
  <c r="AC528" i="3"/>
  <c r="N528" i="3" s="1"/>
  <c r="AC529" i="3"/>
  <c r="N529" i="3" s="1"/>
  <c r="AC530" i="3"/>
  <c r="N530" i="3" s="1"/>
  <c r="AC531" i="3"/>
  <c r="N531" i="3" s="1"/>
  <c r="AC532" i="3"/>
  <c r="N532" i="3" s="1"/>
  <c r="AC533" i="3"/>
  <c r="N533" i="3" s="1"/>
  <c r="AC534" i="3"/>
  <c r="N534" i="3" s="1"/>
  <c r="AC535" i="3"/>
  <c r="N535" i="3" s="1"/>
  <c r="AC536" i="3"/>
  <c r="N536" i="3" s="1"/>
  <c r="AC537" i="3"/>
  <c r="N537" i="3" s="1"/>
  <c r="AC538" i="3"/>
  <c r="N538" i="3" s="1"/>
  <c r="AC539" i="3"/>
  <c r="N539" i="3" s="1"/>
  <c r="AC540" i="3"/>
  <c r="N540" i="3" s="1"/>
  <c r="AC541" i="3"/>
  <c r="N541" i="3" s="1"/>
  <c r="AC542" i="3"/>
  <c r="N542" i="3" s="1"/>
  <c r="AC543" i="3"/>
  <c r="N543" i="3" s="1"/>
  <c r="AC544" i="3"/>
  <c r="N544" i="3" s="1"/>
  <c r="AC545" i="3"/>
  <c r="N545" i="3" s="1"/>
  <c r="AK522" i="3"/>
  <c r="AK523" i="3"/>
  <c r="AK524" i="3"/>
  <c r="AK525" i="3"/>
  <c r="AK526" i="3"/>
  <c r="AK527" i="3"/>
  <c r="AK528" i="3"/>
  <c r="AK529" i="3"/>
  <c r="AK530" i="3"/>
  <c r="AK531" i="3"/>
  <c r="AK532" i="3"/>
  <c r="AK533" i="3"/>
  <c r="AK534" i="3"/>
  <c r="AK535" i="3"/>
  <c r="AK536" i="3"/>
  <c r="AK537" i="3"/>
  <c r="AK538" i="3"/>
  <c r="AK539" i="3"/>
  <c r="AK540" i="3"/>
  <c r="AK541" i="3"/>
  <c r="AK542" i="3"/>
  <c r="AK543" i="3"/>
  <c r="AK544" i="3"/>
  <c r="AK545" i="3"/>
  <c r="Z618" i="3" l="1"/>
  <c r="Z686" i="3"/>
  <c r="Z595" i="3"/>
  <c r="Z687" i="3"/>
  <c r="Z691" i="3"/>
  <c r="Z699" i="3"/>
  <c r="Z703" i="3"/>
  <c r="Z730" i="3"/>
  <c r="Z734" i="3"/>
  <c r="Z738" i="3"/>
  <c r="Z742" i="3"/>
  <c r="Z746" i="3"/>
  <c r="Z729" i="3"/>
  <c r="Z733" i="3"/>
  <c r="Z737" i="3"/>
  <c r="Z743" i="3"/>
  <c r="Z747" i="3"/>
  <c r="Z778" i="3"/>
  <c r="Z780" i="3"/>
  <c r="Z782" i="3"/>
  <c r="Z784" i="3"/>
  <c r="Z786" i="3"/>
  <c r="Z790" i="3"/>
  <c r="Z792" i="3"/>
  <c r="Z796" i="3"/>
  <c r="Z777" i="3"/>
  <c r="Z779" i="3"/>
  <c r="Z781" i="3"/>
  <c r="Z783" i="3"/>
  <c r="Z785" i="3"/>
  <c r="Z787" i="3"/>
  <c r="Z789" i="3"/>
  <c r="Z791" i="3"/>
  <c r="Z793" i="3"/>
  <c r="Z795" i="3"/>
  <c r="Z797" i="3"/>
  <c r="Z799" i="3"/>
  <c r="Z688" i="3"/>
  <c r="Z690" i="3"/>
  <c r="Z692" i="3"/>
  <c r="Z694" i="3"/>
  <c r="Z696" i="3"/>
  <c r="Z698" i="3"/>
  <c r="Z700" i="3"/>
  <c r="Z702" i="3"/>
  <c r="Z704" i="3"/>
  <c r="Z697" i="3"/>
  <c r="Z701" i="3"/>
  <c r="Z705" i="3"/>
  <c r="Z685" i="3"/>
  <c r="Z689" i="3"/>
  <c r="Z693" i="3"/>
  <c r="Z707" i="3"/>
  <c r="Z709" i="3"/>
  <c r="Z711" i="3"/>
  <c r="Z713" i="3"/>
  <c r="Z715" i="3"/>
  <c r="Z719" i="3"/>
  <c r="Z721" i="3"/>
  <c r="Z723" i="3"/>
  <c r="Z725" i="3"/>
  <c r="Z727" i="3"/>
  <c r="Z708" i="3"/>
  <c r="Z710" i="3"/>
  <c r="Z712" i="3"/>
  <c r="Z714" i="3"/>
  <c r="Z716" i="3"/>
  <c r="Z718" i="3"/>
  <c r="Z720" i="3"/>
  <c r="Z722" i="3"/>
  <c r="Z724" i="3"/>
  <c r="Z726" i="3"/>
  <c r="Z732" i="3"/>
  <c r="Z736" i="3"/>
  <c r="Z740" i="3"/>
  <c r="Z744" i="3"/>
  <c r="Z748" i="3"/>
  <c r="Z750" i="3"/>
  <c r="Z752" i="3"/>
  <c r="Z731" i="3"/>
  <c r="Z735" i="3"/>
  <c r="Z739" i="3"/>
  <c r="Z745" i="3"/>
  <c r="Z749" i="3"/>
  <c r="Z751" i="3"/>
  <c r="Z753" i="3"/>
  <c r="Z756" i="3"/>
  <c r="Z758" i="3"/>
  <c r="Z760" i="3"/>
  <c r="Z762" i="3"/>
  <c r="Z764" i="3"/>
  <c r="Z766" i="3"/>
  <c r="Z768" i="3"/>
  <c r="Z770" i="3"/>
  <c r="Z772" i="3"/>
  <c r="Z774" i="3"/>
  <c r="Z755" i="3"/>
  <c r="Z757" i="3"/>
  <c r="Z759" i="3"/>
  <c r="Z761" i="3"/>
  <c r="Z763" i="3"/>
  <c r="Z767" i="3"/>
  <c r="Z769" i="3"/>
  <c r="Z771" i="3"/>
  <c r="Z773" i="3"/>
  <c r="Z775" i="3"/>
  <c r="Z794" i="3"/>
  <c r="Z798" i="3"/>
  <c r="Z802" i="3"/>
  <c r="Z804" i="3"/>
  <c r="Z806" i="3"/>
  <c r="Z808" i="3"/>
  <c r="Z810" i="3"/>
  <c r="Z801" i="3"/>
  <c r="Z803" i="3"/>
  <c r="Z805" i="3"/>
  <c r="Z807" i="3"/>
  <c r="Z809" i="3"/>
  <c r="Z811" i="3"/>
  <c r="S535" i="3"/>
  <c r="Z535" i="3" s="1"/>
  <c r="S629" i="3"/>
  <c r="Z629" i="3" s="1"/>
  <c r="Y629" i="3"/>
  <c r="S673" i="3"/>
  <c r="Z673" i="3" s="1"/>
  <c r="U683" i="3"/>
  <c r="W683" i="3"/>
  <c r="Y683" i="3"/>
  <c r="T683" i="3"/>
  <c r="V683" i="3"/>
  <c r="X683" i="3"/>
  <c r="U681" i="3"/>
  <c r="W681" i="3"/>
  <c r="Y681" i="3"/>
  <c r="T681" i="3"/>
  <c r="V681" i="3"/>
  <c r="X681" i="3"/>
  <c r="U679" i="3"/>
  <c r="W679" i="3"/>
  <c r="Y679" i="3"/>
  <c r="T679" i="3"/>
  <c r="V679" i="3"/>
  <c r="X679" i="3"/>
  <c r="U677" i="3"/>
  <c r="W677" i="3"/>
  <c r="Y677" i="3"/>
  <c r="T677" i="3"/>
  <c r="V677" i="3"/>
  <c r="X677" i="3"/>
  <c r="U675" i="3"/>
  <c r="W675" i="3"/>
  <c r="Y675" i="3"/>
  <c r="T675" i="3"/>
  <c r="V675" i="3"/>
  <c r="X675" i="3"/>
  <c r="T682" i="3"/>
  <c r="V682" i="3"/>
  <c r="X682" i="3"/>
  <c r="U682" i="3"/>
  <c r="W682" i="3"/>
  <c r="Y682" i="3"/>
  <c r="T680" i="3"/>
  <c r="V680" i="3"/>
  <c r="X680" i="3"/>
  <c r="U680" i="3"/>
  <c r="W680" i="3"/>
  <c r="Y680" i="3"/>
  <c r="T678" i="3"/>
  <c r="V678" i="3"/>
  <c r="X678" i="3"/>
  <c r="U678" i="3"/>
  <c r="W678" i="3"/>
  <c r="Y678" i="3"/>
  <c r="T676" i="3"/>
  <c r="V676" i="3"/>
  <c r="X676" i="3"/>
  <c r="U676" i="3"/>
  <c r="W676" i="3"/>
  <c r="Y676" i="3"/>
  <c r="T674" i="3"/>
  <c r="V674" i="3"/>
  <c r="X674" i="3"/>
  <c r="U674" i="3"/>
  <c r="W674" i="3"/>
  <c r="Y674" i="3"/>
  <c r="S662" i="3"/>
  <c r="Z662" i="3" s="1"/>
  <c r="U672" i="3"/>
  <c r="W672" i="3"/>
  <c r="Y672" i="3"/>
  <c r="T672" i="3"/>
  <c r="V672" i="3"/>
  <c r="X672" i="3"/>
  <c r="U670" i="3"/>
  <c r="W670" i="3"/>
  <c r="Y670" i="3"/>
  <c r="T670" i="3"/>
  <c r="V670" i="3"/>
  <c r="X670" i="3"/>
  <c r="U668" i="3"/>
  <c r="W668" i="3"/>
  <c r="Y668" i="3"/>
  <c r="T668" i="3"/>
  <c r="V668" i="3"/>
  <c r="X668" i="3"/>
  <c r="U666" i="3"/>
  <c r="W666" i="3"/>
  <c r="Y666" i="3"/>
  <c r="T666" i="3"/>
  <c r="V666" i="3"/>
  <c r="X666" i="3"/>
  <c r="U664" i="3"/>
  <c r="W664" i="3"/>
  <c r="Y664" i="3"/>
  <c r="T664" i="3"/>
  <c r="V664" i="3"/>
  <c r="X664" i="3"/>
  <c r="T671" i="3"/>
  <c r="V671" i="3"/>
  <c r="X671" i="3"/>
  <c r="U671" i="3"/>
  <c r="W671" i="3"/>
  <c r="Y671" i="3"/>
  <c r="T669" i="3"/>
  <c r="V669" i="3"/>
  <c r="X669" i="3"/>
  <c r="U669" i="3"/>
  <c r="W669" i="3"/>
  <c r="Y669" i="3"/>
  <c r="T667" i="3"/>
  <c r="V667" i="3"/>
  <c r="X667" i="3"/>
  <c r="U667" i="3"/>
  <c r="W667" i="3"/>
  <c r="Y667" i="3"/>
  <c r="T665" i="3"/>
  <c r="V665" i="3"/>
  <c r="X665" i="3"/>
  <c r="U665" i="3"/>
  <c r="W665" i="3"/>
  <c r="Y665" i="3"/>
  <c r="T663" i="3"/>
  <c r="V663" i="3"/>
  <c r="X663" i="3"/>
  <c r="U663" i="3"/>
  <c r="W663" i="3"/>
  <c r="Y663" i="3"/>
  <c r="S640" i="3"/>
  <c r="Z640" i="3" s="1"/>
  <c r="S651" i="3"/>
  <c r="Z651" i="3" s="1"/>
  <c r="U661" i="3"/>
  <c r="W661" i="3"/>
  <c r="Y661" i="3"/>
  <c r="T661" i="3"/>
  <c r="V661" i="3"/>
  <c r="X661" i="3"/>
  <c r="U659" i="3"/>
  <c r="W659" i="3"/>
  <c r="Y659" i="3"/>
  <c r="T659" i="3"/>
  <c r="V659" i="3"/>
  <c r="X659" i="3"/>
  <c r="U657" i="3"/>
  <c r="W657" i="3"/>
  <c r="Y657" i="3"/>
  <c r="T657" i="3"/>
  <c r="V657" i="3"/>
  <c r="X657" i="3"/>
  <c r="U655" i="3"/>
  <c r="W655" i="3"/>
  <c r="Y655" i="3"/>
  <c r="T655" i="3"/>
  <c r="V655" i="3"/>
  <c r="X655" i="3"/>
  <c r="U653" i="3"/>
  <c r="W653" i="3"/>
  <c r="Y653" i="3"/>
  <c r="T653" i="3"/>
  <c r="V653" i="3"/>
  <c r="X653" i="3"/>
  <c r="T660" i="3"/>
  <c r="V660" i="3"/>
  <c r="X660" i="3"/>
  <c r="U660" i="3"/>
  <c r="W660" i="3"/>
  <c r="Y660" i="3"/>
  <c r="T658" i="3"/>
  <c r="V658" i="3"/>
  <c r="X658" i="3"/>
  <c r="U658" i="3"/>
  <c r="W658" i="3"/>
  <c r="Y658" i="3"/>
  <c r="T656" i="3"/>
  <c r="V656" i="3"/>
  <c r="X656" i="3"/>
  <c r="U656" i="3"/>
  <c r="W656" i="3"/>
  <c r="Y656" i="3"/>
  <c r="T654" i="3"/>
  <c r="V654" i="3"/>
  <c r="X654" i="3"/>
  <c r="U654" i="3"/>
  <c r="W654" i="3"/>
  <c r="Y654" i="3"/>
  <c r="T652" i="3"/>
  <c r="V652" i="3"/>
  <c r="X652" i="3"/>
  <c r="U652" i="3"/>
  <c r="W652" i="3"/>
  <c r="Y652" i="3"/>
  <c r="T649" i="3"/>
  <c r="U649" i="3"/>
  <c r="V649" i="3"/>
  <c r="W649" i="3"/>
  <c r="X649" i="3"/>
  <c r="Y649" i="3"/>
  <c r="T647" i="3"/>
  <c r="U647" i="3"/>
  <c r="V647" i="3"/>
  <c r="W647" i="3"/>
  <c r="X647" i="3"/>
  <c r="Y647" i="3"/>
  <c r="T645" i="3"/>
  <c r="U645" i="3"/>
  <c r="V645" i="3"/>
  <c r="W645" i="3"/>
  <c r="X645" i="3"/>
  <c r="Y645" i="3"/>
  <c r="T643" i="3"/>
  <c r="U643" i="3"/>
  <c r="V643" i="3"/>
  <c r="W643" i="3"/>
  <c r="X643" i="3"/>
  <c r="Y643" i="3"/>
  <c r="T641" i="3"/>
  <c r="U641" i="3"/>
  <c r="V641" i="3"/>
  <c r="W641" i="3"/>
  <c r="X641" i="3"/>
  <c r="Y641" i="3"/>
  <c r="T639" i="3"/>
  <c r="U639" i="3"/>
  <c r="V639" i="3"/>
  <c r="W639" i="3"/>
  <c r="X639" i="3"/>
  <c r="Y639" i="3"/>
  <c r="T637" i="3"/>
  <c r="U637" i="3"/>
  <c r="V637" i="3"/>
  <c r="W637" i="3"/>
  <c r="X637" i="3"/>
  <c r="Y637" i="3"/>
  <c r="T635" i="3"/>
  <c r="U635" i="3"/>
  <c r="V635" i="3"/>
  <c r="W635" i="3"/>
  <c r="X635" i="3"/>
  <c r="Y635" i="3"/>
  <c r="T633" i="3"/>
  <c r="U633" i="3"/>
  <c r="V633" i="3"/>
  <c r="W633" i="3"/>
  <c r="X633" i="3"/>
  <c r="Y633" i="3"/>
  <c r="T631" i="3"/>
  <c r="U631" i="3"/>
  <c r="V631" i="3"/>
  <c r="W631" i="3"/>
  <c r="X631" i="3"/>
  <c r="Y631" i="3"/>
  <c r="T650" i="3"/>
  <c r="U650" i="3"/>
  <c r="V650" i="3"/>
  <c r="W650" i="3"/>
  <c r="X650" i="3"/>
  <c r="Y650" i="3"/>
  <c r="T648" i="3"/>
  <c r="U648" i="3"/>
  <c r="V648" i="3"/>
  <c r="W648" i="3"/>
  <c r="X648" i="3"/>
  <c r="Y648" i="3"/>
  <c r="T646" i="3"/>
  <c r="U646" i="3"/>
  <c r="V646" i="3"/>
  <c r="W646" i="3"/>
  <c r="X646" i="3"/>
  <c r="Y646" i="3"/>
  <c r="T644" i="3"/>
  <c r="U644" i="3"/>
  <c r="V644" i="3"/>
  <c r="W644" i="3"/>
  <c r="X644" i="3"/>
  <c r="Y644" i="3"/>
  <c r="T642" i="3"/>
  <c r="U642" i="3"/>
  <c r="V642" i="3"/>
  <c r="W642" i="3"/>
  <c r="X642" i="3"/>
  <c r="Y642" i="3"/>
  <c r="T638" i="3"/>
  <c r="U638" i="3"/>
  <c r="V638" i="3"/>
  <c r="W638" i="3"/>
  <c r="X638" i="3"/>
  <c r="Y638" i="3"/>
  <c r="T636" i="3"/>
  <c r="U636" i="3"/>
  <c r="V636" i="3"/>
  <c r="W636" i="3"/>
  <c r="X636" i="3"/>
  <c r="Y636" i="3"/>
  <c r="T634" i="3"/>
  <c r="U634" i="3"/>
  <c r="V634" i="3"/>
  <c r="W634" i="3"/>
  <c r="X634" i="3"/>
  <c r="Y634" i="3"/>
  <c r="T632" i="3"/>
  <c r="U632" i="3"/>
  <c r="V632" i="3"/>
  <c r="W632" i="3"/>
  <c r="X632" i="3"/>
  <c r="Y632" i="3"/>
  <c r="T630" i="3"/>
  <c r="U630" i="3"/>
  <c r="V630" i="3"/>
  <c r="W630" i="3"/>
  <c r="X630" i="3"/>
  <c r="Y630" i="3"/>
  <c r="S607" i="3"/>
  <c r="Z607" i="3" s="1"/>
  <c r="T628" i="3"/>
  <c r="U628" i="3"/>
  <c r="V628" i="3"/>
  <c r="W628" i="3"/>
  <c r="X628" i="3"/>
  <c r="Y628" i="3"/>
  <c r="T626" i="3"/>
  <c r="U626" i="3"/>
  <c r="V626" i="3"/>
  <c r="W626" i="3"/>
  <c r="X626" i="3"/>
  <c r="Y626" i="3"/>
  <c r="T624" i="3"/>
  <c r="U624" i="3"/>
  <c r="V624" i="3"/>
  <c r="W624" i="3"/>
  <c r="X624" i="3"/>
  <c r="Y624" i="3"/>
  <c r="T622" i="3"/>
  <c r="U622" i="3"/>
  <c r="V622" i="3"/>
  <c r="W622" i="3"/>
  <c r="X622" i="3"/>
  <c r="Y622" i="3"/>
  <c r="T620" i="3"/>
  <c r="U620" i="3"/>
  <c r="V620" i="3"/>
  <c r="W620" i="3"/>
  <c r="X620" i="3"/>
  <c r="Y620" i="3"/>
  <c r="T616" i="3"/>
  <c r="U616" i="3"/>
  <c r="V616" i="3"/>
  <c r="W616" i="3"/>
  <c r="X616" i="3"/>
  <c r="Y616" i="3"/>
  <c r="T614" i="3"/>
  <c r="U614" i="3"/>
  <c r="V614" i="3"/>
  <c r="W614" i="3"/>
  <c r="X614" i="3"/>
  <c r="Y614" i="3"/>
  <c r="T612" i="3"/>
  <c r="U612" i="3"/>
  <c r="V612" i="3"/>
  <c r="W612" i="3"/>
  <c r="X612" i="3"/>
  <c r="Y612" i="3"/>
  <c r="T610" i="3"/>
  <c r="U610" i="3"/>
  <c r="V610" i="3"/>
  <c r="W610" i="3"/>
  <c r="X610" i="3"/>
  <c r="Y610" i="3"/>
  <c r="T608" i="3"/>
  <c r="U608" i="3"/>
  <c r="V608" i="3"/>
  <c r="W608" i="3"/>
  <c r="X608" i="3"/>
  <c r="Y608" i="3"/>
  <c r="T627" i="3"/>
  <c r="U627" i="3"/>
  <c r="V627" i="3"/>
  <c r="W627" i="3"/>
  <c r="X627" i="3"/>
  <c r="Y627" i="3"/>
  <c r="T625" i="3"/>
  <c r="U625" i="3"/>
  <c r="V625" i="3"/>
  <c r="W625" i="3"/>
  <c r="X625" i="3"/>
  <c r="Y625" i="3"/>
  <c r="T623" i="3"/>
  <c r="U623" i="3"/>
  <c r="V623" i="3"/>
  <c r="W623" i="3"/>
  <c r="X623" i="3"/>
  <c r="Y623" i="3"/>
  <c r="T621" i="3"/>
  <c r="U621" i="3"/>
  <c r="V621" i="3"/>
  <c r="W621" i="3"/>
  <c r="X621" i="3"/>
  <c r="Y621" i="3"/>
  <c r="T619" i="3"/>
  <c r="U619" i="3"/>
  <c r="V619" i="3"/>
  <c r="W619" i="3"/>
  <c r="X619" i="3"/>
  <c r="Y619" i="3"/>
  <c r="T617" i="3"/>
  <c r="U617" i="3"/>
  <c r="V617" i="3"/>
  <c r="W617" i="3"/>
  <c r="X617" i="3"/>
  <c r="Y617" i="3"/>
  <c r="T615" i="3"/>
  <c r="U615" i="3"/>
  <c r="V615" i="3"/>
  <c r="W615" i="3"/>
  <c r="X615" i="3"/>
  <c r="Y615" i="3"/>
  <c r="T613" i="3"/>
  <c r="U613" i="3"/>
  <c r="V613" i="3"/>
  <c r="W613" i="3"/>
  <c r="X613" i="3"/>
  <c r="Y613" i="3"/>
  <c r="T611" i="3"/>
  <c r="U611" i="3"/>
  <c r="V611" i="3"/>
  <c r="W611" i="3"/>
  <c r="X611" i="3"/>
  <c r="Y611" i="3"/>
  <c r="T609" i="3"/>
  <c r="U609" i="3"/>
  <c r="V609" i="3"/>
  <c r="W609" i="3"/>
  <c r="X609" i="3"/>
  <c r="Y609" i="3"/>
  <c r="T606" i="3"/>
  <c r="U606" i="3"/>
  <c r="V606" i="3"/>
  <c r="W606" i="3"/>
  <c r="X606" i="3"/>
  <c r="Y606" i="3"/>
  <c r="T604" i="3"/>
  <c r="U604" i="3"/>
  <c r="V604" i="3"/>
  <c r="W604" i="3"/>
  <c r="X604" i="3"/>
  <c r="Y604" i="3"/>
  <c r="T602" i="3"/>
  <c r="U602" i="3"/>
  <c r="V602" i="3"/>
  <c r="W602" i="3"/>
  <c r="X602" i="3"/>
  <c r="Y602" i="3"/>
  <c r="T600" i="3"/>
  <c r="U600" i="3"/>
  <c r="V600" i="3"/>
  <c r="W600" i="3"/>
  <c r="X600" i="3"/>
  <c r="Y600" i="3"/>
  <c r="T598" i="3"/>
  <c r="U598" i="3"/>
  <c r="V598" i="3"/>
  <c r="W598" i="3"/>
  <c r="X598" i="3"/>
  <c r="Y598" i="3"/>
  <c r="T596" i="3"/>
  <c r="U596" i="3"/>
  <c r="V596" i="3"/>
  <c r="W596" i="3"/>
  <c r="X596" i="3"/>
  <c r="Y596" i="3"/>
  <c r="T605" i="3"/>
  <c r="U605" i="3"/>
  <c r="V605" i="3"/>
  <c r="W605" i="3"/>
  <c r="X605" i="3"/>
  <c r="Y605" i="3"/>
  <c r="T603" i="3"/>
  <c r="U603" i="3"/>
  <c r="V603" i="3"/>
  <c r="W603" i="3"/>
  <c r="X603" i="3"/>
  <c r="Y603" i="3"/>
  <c r="T601" i="3"/>
  <c r="U601" i="3"/>
  <c r="V601" i="3"/>
  <c r="W601" i="3"/>
  <c r="X601" i="3"/>
  <c r="Y601" i="3"/>
  <c r="T599" i="3"/>
  <c r="U599" i="3"/>
  <c r="V599" i="3"/>
  <c r="W599" i="3"/>
  <c r="X599" i="3"/>
  <c r="Y599" i="3"/>
  <c r="T597" i="3"/>
  <c r="U597" i="3"/>
  <c r="V597" i="3"/>
  <c r="W597" i="3"/>
  <c r="X597" i="3"/>
  <c r="Y597" i="3"/>
  <c r="Y591" i="3"/>
  <c r="Y581" i="3"/>
  <c r="S571" i="3"/>
  <c r="Z571" i="3" s="1"/>
  <c r="T582" i="3"/>
  <c r="T590" i="3"/>
  <c r="X590" i="3"/>
  <c r="V590" i="3"/>
  <c r="T574" i="3"/>
  <c r="Y574" i="3"/>
  <c r="T594" i="3"/>
  <c r="V594" i="3"/>
  <c r="X594" i="3"/>
  <c r="T586" i="3"/>
  <c r="V586" i="3"/>
  <c r="X586" i="3"/>
  <c r="Y578" i="3"/>
  <c r="T578" i="3"/>
  <c r="V578" i="3"/>
  <c r="X578" i="3"/>
  <c r="X582" i="3"/>
  <c r="X574" i="3"/>
  <c r="V582" i="3"/>
  <c r="V574" i="3"/>
  <c r="U594" i="3"/>
  <c r="U590" i="3"/>
  <c r="U586" i="3"/>
  <c r="U582" i="3"/>
  <c r="U578" i="3"/>
  <c r="U574" i="3"/>
  <c r="W592" i="3"/>
  <c r="U592" i="3"/>
  <c r="U572" i="3"/>
  <c r="W572" i="3"/>
  <c r="Y584" i="3"/>
  <c r="T592" i="3"/>
  <c r="T588" i="3"/>
  <c r="S584" i="3"/>
  <c r="Z584" i="3" s="1"/>
  <c r="T580" i="3"/>
  <c r="T576" i="3"/>
  <c r="T572" i="3"/>
  <c r="U588" i="3"/>
  <c r="W588" i="3"/>
  <c r="U580" i="3"/>
  <c r="W580" i="3"/>
  <c r="U576" i="3"/>
  <c r="W576" i="3"/>
  <c r="T593" i="3"/>
  <c r="U593" i="3"/>
  <c r="V593" i="3"/>
  <c r="W593" i="3"/>
  <c r="X593" i="3"/>
  <c r="T589" i="3"/>
  <c r="U589" i="3"/>
  <c r="V589" i="3"/>
  <c r="W589" i="3"/>
  <c r="X589" i="3"/>
  <c r="T587" i="3"/>
  <c r="U587" i="3"/>
  <c r="V587" i="3"/>
  <c r="W587" i="3"/>
  <c r="X587" i="3"/>
  <c r="T583" i="3"/>
  <c r="U583" i="3"/>
  <c r="V583" i="3"/>
  <c r="W583" i="3"/>
  <c r="X583" i="3"/>
  <c r="T579" i="3"/>
  <c r="U579" i="3"/>
  <c r="V579" i="3"/>
  <c r="W579" i="3"/>
  <c r="X579" i="3"/>
  <c r="Y579" i="3"/>
  <c r="T575" i="3"/>
  <c r="U575" i="3"/>
  <c r="V575" i="3"/>
  <c r="W575" i="3"/>
  <c r="X575" i="3"/>
  <c r="Y575" i="3"/>
  <c r="T573" i="3"/>
  <c r="U573" i="3"/>
  <c r="V573" i="3"/>
  <c r="W573" i="3"/>
  <c r="X573" i="3"/>
  <c r="Y573" i="3"/>
  <c r="Y587" i="3"/>
  <c r="T591" i="3"/>
  <c r="U591" i="3"/>
  <c r="V591" i="3"/>
  <c r="W591" i="3"/>
  <c r="X591" i="3"/>
  <c r="T585" i="3"/>
  <c r="U585" i="3"/>
  <c r="V585" i="3"/>
  <c r="W585" i="3"/>
  <c r="X585" i="3"/>
  <c r="T581" i="3"/>
  <c r="U581" i="3"/>
  <c r="V581" i="3"/>
  <c r="W581" i="3"/>
  <c r="X581" i="3"/>
  <c r="T577" i="3"/>
  <c r="U577" i="3"/>
  <c r="V577" i="3"/>
  <c r="W577" i="3"/>
  <c r="X577" i="3"/>
  <c r="Y577" i="3"/>
  <c r="Y593" i="3"/>
  <c r="Y589" i="3"/>
  <c r="Y585" i="3"/>
  <c r="Y583" i="3"/>
  <c r="Y594" i="3"/>
  <c r="Y592" i="3"/>
  <c r="Y590" i="3"/>
  <c r="Y588" i="3"/>
  <c r="Y586" i="3"/>
  <c r="Y582" i="3"/>
  <c r="Y580" i="3"/>
  <c r="Y576" i="3"/>
  <c r="Y572" i="3"/>
  <c r="X592" i="3"/>
  <c r="X588" i="3"/>
  <c r="X580" i="3"/>
  <c r="X576" i="3"/>
  <c r="X572" i="3"/>
  <c r="W594" i="3"/>
  <c r="W590" i="3"/>
  <c r="W586" i="3"/>
  <c r="W582" i="3"/>
  <c r="W578" i="3"/>
  <c r="W574" i="3"/>
  <c r="V592" i="3"/>
  <c r="V588" i="3"/>
  <c r="V580" i="3"/>
  <c r="V576" i="3"/>
  <c r="V572" i="3"/>
  <c r="S546" i="3"/>
  <c r="Z546" i="3" s="1"/>
  <c r="S522" i="3"/>
  <c r="Z522" i="3" s="1"/>
  <c r="S557" i="3"/>
  <c r="Z557" i="3" s="1"/>
  <c r="T569" i="3"/>
  <c r="V569" i="3"/>
  <c r="X569" i="3"/>
  <c r="U569" i="3"/>
  <c r="W569" i="3"/>
  <c r="T567" i="3"/>
  <c r="V567" i="3"/>
  <c r="X567" i="3"/>
  <c r="U567" i="3"/>
  <c r="W567" i="3"/>
  <c r="T565" i="3"/>
  <c r="V565" i="3"/>
  <c r="X565" i="3"/>
  <c r="U565" i="3"/>
  <c r="W565" i="3"/>
  <c r="T563" i="3"/>
  <c r="V563" i="3"/>
  <c r="X563" i="3"/>
  <c r="U563" i="3"/>
  <c r="W563" i="3"/>
  <c r="T561" i="3"/>
  <c r="V561" i="3"/>
  <c r="X561" i="3"/>
  <c r="U561" i="3"/>
  <c r="W561" i="3"/>
  <c r="T559" i="3"/>
  <c r="V559" i="3"/>
  <c r="X559" i="3"/>
  <c r="U559" i="3"/>
  <c r="W559" i="3"/>
  <c r="T555" i="3"/>
  <c r="V555" i="3"/>
  <c r="X555" i="3"/>
  <c r="U555" i="3"/>
  <c r="W555" i="3"/>
  <c r="T553" i="3"/>
  <c r="V553" i="3"/>
  <c r="X553" i="3"/>
  <c r="U553" i="3"/>
  <c r="W553" i="3"/>
  <c r="T551" i="3"/>
  <c r="V551" i="3"/>
  <c r="X551" i="3"/>
  <c r="U551" i="3"/>
  <c r="W551" i="3"/>
  <c r="T549" i="3"/>
  <c r="V549" i="3"/>
  <c r="X549" i="3"/>
  <c r="U549" i="3"/>
  <c r="W549" i="3"/>
  <c r="T547" i="3"/>
  <c r="V547" i="3"/>
  <c r="X547" i="3"/>
  <c r="U547" i="3"/>
  <c r="W547" i="3"/>
  <c r="Y547" i="3"/>
  <c r="Y569" i="3"/>
  <c r="Y567" i="3"/>
  <c r="Y565" i="3"/>
  <c r="Y563" i="3"/>
  <c r="Y561" i="3"/>
  <c r="Y559" i="3"/>
  <c r="Y555" i="3"/>
  <c r="Y553" i="3"/>
  <c r="Y551" i="3"/>
  <c r="Y549" i="3"/>
  <c r="U570" i="3"/>
  <c r="W570" i="3"/>
  <c r="T570" i="3"/>
  <c r="V570" i="3"/>
  <c r="X570" i="3"/>
  <c r="U568" i="3"/>
  <c r="W568" i="3"/>
  <c r="T568" i="3"/>
  <c r="V568" i="3"/>
  <c r="X568" i="3"/>
  <c r="U566" i="3"/>
  <c r="W566" i="3"/>
  <c r="T566" i="3"/>
  <c r="V566" i="3"/>
  <c r="X566" i="3"/>
  <c r="U564" i="3"/>
  <c r="W564" i="3"/>
  <c r="T564" i="3"/>
  <c r="V564" i="3"/>
  <c r="X564" i="3"/>
  <c r="U562" i="3"/>
  <c r="W562" i="3"/>
  <c r="T562" i="3"/>
  <c r="V562" i="3"/>
  <c r="X562" i="3"/>
  <c r="U560" i="3"/>
  <c r="W560" i="3"/>
  <c r="T560" i="3"/>
  <c r="V560" i="3"/>
  <c r="X560" i="3"/>
  <c r="U558" i="3"/>
  <c r="W558" i="3"/>
  <c r="T558" i="3"/>
  <c r="V558" i="3"/>
  <c r="X558" i="3"/>
  <c r="U556" i="3"/>
  <c r="W556" i="3"/>
  <c r="T556" i="3"/>
  <c r="V556" i="3"/>
  <c r="X556" i="3"/>
  <c r="U554" i="3"/>
  <c r="W554" i="3"/>
  <c r="T554" i="3"/>
  <c r="V554" i="3"/>
  <c r="X554" i="3"/>
  <c r="U552" i="3"/>
  <c r="W552" i="3"/>
  <c r="T552" i="3"/>
  <c r="V552" i="3"/>
  <c r="X552" i="3"/>
  <c r="U550" i="3"/>
  <c r="W550" i="3"/>
  <c r="T550" i="3"/>
  <c r="V550" i="3"/>
  <c r="X550" i="3"/>
  <c r="U548" i="3"/>
  <c r="W548" i="3"/>
  <c r="Y548" i="3"/>
  <c r="T548" i="3"/>
  <c r="V548" i="3"/>
  <c r="X548" i="3"/>
  <c r="Y570" i="3"/>
  <c r="Y568" i="3"/>
  <c r="Y566" i="3"/>
  <c r="Y564" i="3"/>
  <c r="Y562" i="3"/>
  <c r="Y560" i="3"/>
  <c r="Y558" i="3"/>
  <c r="Y556" i="3"/>
  <c r="Y554" i="3"/>
  <c r="Y552" i="3"/>
  <c r="Y550" i="3"/>
  <c r="U545" i="3"/>
  <c r="W545" i="3"/>
  <c r="Y545" i="3"/>
  <c r="T545" i="3"/>
  <c r="V545" i="3"/>
  <c r="X545" i="3"/>
  <c r="T543" i="3"/>
  <c r="V543" i="3"/>
  <c r="X543" i="3"/>
  <c r="Y543" i="3"/>
  <c r="U543" i="3"/>
  <c r="W543" i="3"/>
  <c r="U541" i="3"/>
  <c r="W541" i="3"/>
  <c r="Y541" i="3"/>
  <c r="T541" i="3"/>
  <c r="V541" i="3"/>
  <c r="X541" i="3"/>
  <c r="T539" i="3"/>
  <c r="V539" i="3"/>
  <c r="X539" i="3"/>
  <c r="Y539" i="3"/>
  <c r="U539" i="3"/>
  <c r="W539" i="3"/>
  <c r="U537" i="3"/>
  <c r="W537" i="3"/>
  <c r="Y537" i="3"/>
  <c r="T537" i="3"/>
  <c r="V537" i="3"/>
  <c r="X537" i="3"/>
  <c r="U529" i="3"/>
  <c r="W529" i="3"/>
  <c r="T529" i="3"/>
  <c r="V529" i="3"/>
  <c r="X529" i="3"/>
  <c r="Y529" i="3"/>
  <c r="U533" i="3"/>
  <c r="W533" i="3"/>
  <c r="Y533" i="3"/>
  <c r="T533" i="3"/>
  <c r="V533" i="3"/>
  <c r="X533" i="3"/>
  <c r="T531" i="3"/>
  <c r="V531" i="3"/>
  <c r="X531" i="3"/>
  <c r="Y531" i="3"/>
  <c r="U531" i="3"/>
  <c r="W531" i="3"/>
  <c r="T527" i="3"/>
  <c r="V527" i="3"/>
  <c r="X527" i="3"/>
  <c r="Y527" i="3"/>
  <c r="U527" i="3"/>
  <c r="W527" i="3"/>
  <c r="U525" i="3"/>
  <c r="W525" i="3"/>
  <c r="T525" i="3"/>
  <c r="V525" i="3"/>
  <c r="X525" i="3"/>
  <c r="Y525" i="3"/>
  <c r="T523" i="3"/>
  <c r="V523" i="3"/>
  <c r="X523" i="3"/>
  <c r="Y523" i="3"/>
  <c r="U523" i="3"/>
  <c r="W523" i="3"/>
  <c r="T544" i="3"/>
  <c r="U544" i="3"/>
  <c r="V544" i="3"/>
  <c r="W544" i="3"/>
  <c r="X544" i="3"/>
  <c r="T542" i="3"/>
  <c r="U542" i="3"/>
  <c r="V542" i="3"/>
  <c r="W542" i="3"/>
  <c r="X542" i="3"/>
  <c r="T540" i="3"/>
  <c r="U540" i="3"/>
  <c r="V540" i="3"/>
  <c r="W540" i="3"/>
  <c r="X540" i="3"/>
  <c r="T538" i="3"/>
  <c r="U538" i="3"/>
  <c r="V538" i="3"/>
  <c r="W538" i="3"/>
  <c r="X538" i="3"/>
  <c r="T536" i="3"/>
  <c r="U536" i="3"/>
  <c r="V536" i="3"/>
  <c r="W536" i="3"/>
  <c r="X536" i="3"/>
  <c r="T534" i="3"/>
  <c r="U534" i="3"/>
  <c r="V534" i="3"/>
  <c r="W534" i="3"/>
  <c r="X534" i="3"/>
  <c r="T532" i="3"/>
  <c r="U532" i="3"/>
  <c r="V532" i="3"/>
  <c r="W532" i="3"/>
  <c r="X532" i="3"/>
  <c r="T530" i="3"/>
  <c r="U530" i="3"/>
  <c r="V530" i="3"/>
  <c r="W530" i="3"/>
  <c r="X530" i="3"/>
  <c r="Y530" i="3"/>
  <c r="T528" i="3"/>
  <c r="U528" i="3"/>
  <c r="V528" i="3"/>
  <c r="W528" i="3"/>
  <c r="X528" i="3"/>
  <c r="Y528" i="3"/>
  <c r="T526" i="3"/>
  <c r="U526" i="3"/>
  <c r="V526" i="3"/>
  <c r="W526" i="3"/>
  <c r="X526" i="3"/>
  <c r="Y526" i="3"/>
  <c r="T524" i="3"/>
  <c r="U524" i="3"/>
  <c r="V524" i="3"/>
  <c r="W524" i="3"/>
  <c r="X524" i="3"/>
  <c r="Y524" i="3"/>
  <c r="Y544" i="3"/>
  <c r="Y542" i="3"/>
  <c r="Y540" i="3"/>
  <c r="Y538" i="3"/>
  <c r="Y536" i="3"/>
  <c r="Y534" i="3"/>
  <c r="Y532" i="3"/>
  <c r="A22" i="17"/>
  <c r="A23" i="17"/>
  <c r="A24" i="17"/>
  <c r="A25" i="17"/>
  <c r="A26" i="17"/>
  <c r="A27" i="17"/>
  <c r="A28" i="17"/>
  <c r="A29" i="17"/>
  <c r="A30" i="17"/>
  <c r="A31" i="17"/>
  <c r="A32" i="17"/>
  <c r="A33" i="17"/>
  <c r="A34" i="17"/>
  <c r="A35" i="17"/>
  <c r="A36" i="17"/>
  <c r="A37" i="17"/>
  <c r="A38" i="17"/>
  <c r="A39" i="17"/>
  <c r="A40" i="17"/>
  <c r="A21" i="17"/>
  <c r="D40" i="17" l="1"/>
  <c r="H40" i="17"/>
  <c r="C40" i="17"/>
  <c r="G40" i="17"/>
  <c r="K40" i="17"/>
  <c r="F40" i="17"/>
  <c r="J40" i="17"/>
  <c r="E40" i="17"/>
  <c r="I40" i="17"/>
  <c r="Z526" i="3"/>
  <c r="Z542" i="3"/>
  <c r="Z532" i="3"/>
  <c r="Z536" i="3"/>
  <c r="Z540" i="3"/>
  <c r="Z544" i="3"/>
  <c r="Z523" i="3"/>
  <c r="Z525" i="3"/>
  <c r="Z527" i="3"/>
  <c r="Z531" i="3"/>
  <c r="Z529" i="3"/>
  <c r="Z539" i="3"/>
  <c r="Z543" i="3"/>
  <c r="Z548" i="3"/>
  <c r="Z550" i="3"/>
  <c r="Z554" i="3"/>
  <c r="Z558" i="3"/>
  <c r="Z562" i="3"/>
  <c r="Z566" i="3"/>
  <c r="Z570" i="3"/>
  <c r="Z547" i="3"/>
  <c r="Z551" i="3"/>
  <c r="Z555" i="3"/>
  <c r="Z561" i="3"/>
  <c r="Z565" i="3"/>
  <c r="Z569" i="3"/>
  <c r="Z577" i="3"/>
  <c r="Z585" i="3"/>
  <c r="Z573" i="3"/>
  <c r="Z575" i="3"/>
  <c r="Z579" i="3"/>
  <c r="Z587" i="3"/>
  <c r="Z593" i="3"/>
  <c r="Z576" i="3"/>
  <c r="Z592" i="3"/>
  <c r="Z578" i="3"/>
  <c r="Z586" i="3"/>
  <c r="Z590" i="3"/>
  <c r="Z597" i="3"/>
  <c r="Z599" i="3"/>
  <c r="Z601" i="3"/>
  <c r="Z603" i="3"/>
  <c r="Z605" i="3"/>
  <c r="Z596" i="3"/>
  <c r="Z598" i="3"/>
  <c r="Z600" i="3"/>
  <c r="Z602" i="3"/>
  <c r="Z604" i="3"/>
  <c r="Z606" i="3"/>
  <c r="Z609" i="3"/>
  <c r="Z611" i="3"/>
  <c r="Z613" i="3"/>
  <c r="Z615" i="3"/>
  <c r="Z617" i="3"/>
  <c r="Z619" i="3"/>
  <c r="Z621" i="3"/>
  <c r="Z623" i="3"/>
  <c r="Z625" i="3"/>
  <c r="Z627" i="3"/>
  <c r="Z608" i="3"/>
  <c r="Z610" i="3"/>
  <c r="Z612" i="3"/>
  <c r="Z614" i="3"/>
  <c r="Z616" i="3"/>
  <c r="Z620" i="3"/>
  <c r="Z622" i="3"/>
  <c r="Z624" i="3"/>
  <c r="Z626" i="3"/>
  <c r="Z628" i="3"/>
  <c r="Z653" i="3"/>
  <c r="Z655" i="3"/>
  <c r="Z657" i="3"/>
  <c r="Z659" i="3"/>
  <c r="Z661" i="3"/>
  <c r="Z664" i="3"/>
  <c r="Z666" i="3"/>
  <c r="Z668" i="3"/>
  <c r="Z670" i="3"/>
  <c r="Z672" i="3"/>
  <c r="Z674" i="3"/>
  <c r="Z676" i="3"/>
  <c r="Z678" i="3"/>
  <c r="Z680" i="3"/>
  <c r="Z682" i="3"/>
  <c r="Z524" i="3"/>
  <c r="Z528" i="3"/>
  <c r="Z530" i="3"/>
  <c r="Z534" i="3"/>
  <c r="Z538" i="3"/>
  <c r="Z533" i="3"/>
  <c r="Z537" i="3"/>
  <c r="Z541" i="3"/>
  <c r="Z545" i="3"/>
  <c r="Z552" i="3"/>
  <c r="Z556" i="3"/>
  <c r="Z560" i="3"/>
  <c r="Z564" i="3"/>
  <c r="Z568" i="3"/>
  <c r="Z549" i="3"/>
  <c r="Z553" i="3"/>
  <c r="Z559" i="3"/>
  <c r="Z563" i="3"/>
  <c r="Z567" i="3"/>
  <c r="Z581" i="3"/>
  <c r="Z591" i="3"/>
  <c r="Z583" i="3"/>
  <c r="Z589" i="3"/>
  <c r="Z572" i="3"/>
  <c r="Z580" i="3"/>
  <c r="Z588" i="3"/>
  <c r="Z594" i="3"/>
  <c r="Z574" i="3"/>
  <c r="Z582" i="3"/>
  <c r="Z630" i="3"/>
  <c r="Z632" i="3"/>
  <c r="Z634" i="3"/>
  <c r="Z636" i="3"/>
  <c r="Z638" i="3"/>
  <c r="Z642" i="3"/>
  <c r="Z644" i="3"/>
  <c r="Z646" i="3"/>
  <c r="Z648" i="3"/>
  <c r="Z650" i="3"/>
  <c r="Z631" i="3"/>
  <c r="Z633" i="3"/>
  <c r="Z635" i="3"/>
  <c r="Z637" i="3"/>
  <c r="Z639" i="3"/>
  <c r="Z641" i="3"/>
  <c r="Z643" i="3"/>
  <c r="Z645" i="3"/>
  <c r="Z647" i="3"/>
  <c r="Z649" i="3"/>
  <c r="Z652" i="3"/>
  <c r="Z654" i="3"/>
  <c r="Z656" i="3"/>
  <c r="Z658" i="3"/>
  <c r="Z660" i="3"/>
  <c r="Z663" i="3"/>
  <c r="Z665" i="3"/>
  <c r="Z667" i="3"/>
  <c r="Z669" i="3"/>
  <c r="Z671" i="3"/>
  <c r="Z675" i="3"/>
  <c r="Z677" i="3"/>
  <c r="Z679" i="3"/>
  <c r="Z681" i="3"/>
  <c r="Z683" i="3"/>
  <c r="M511" i="3"/>
  <c r="M512" i="3"/>
  <c r="M513" i="3"/>
  <c r="M514" i="3"/>
  <c r="M515" i="3"/>
  <c r="M516" i="3"/>
  <c r="M517" i="3"/>
  <c r="M518" i="3"/>
  <c r="M519" i="3"/>
  <c r="M520" i="3"/>
  <c r="M521" i="3"/>
  <c r="P511" i="3"/>
  <c r="P512" i="3"/>
  <c r="P513" i="3"/>
  <c r="P514" i="3"/>
  <c r="P515" i="3"/>
  <c r="P516" i="3"/>
  <c r="P517" i="3"/>
  <c r="P518" i="3"/>
  <c r="P519" i="3"/>
  <c r="P520" i="3"/>
  <c r="P521" i="3"/>
  <c r="Q511" i="3"/>
  <c r="Q512" i="3"/>
  <c r="Q513" i="3"/>
  <c r="Q514" i="3"/>
  <c r="Q515" i="3"/>
  <c r="Q516" i="3"/>
  <c r="Q517" i="3"/>
  <c r="Q518" i="3"/>
  <c r="Q519" i="3"/>
  <c r="Q520" i="3"/>
  <c r="Q521" i="3"/>
  <c r="R511" i="3"/>
  <c r="R512" i="3"/>
  <c r="R513" i="3"/>
  <c r="R514" i="3"/>
  <c r="R515" i="3"/>
  <c r="R516" i="3"/>
  <c r="R517" i="3"/>
  <c r="R518" i="3"/>
  <c r="R519" i="3"/>
  <c r="R520" i="3"/>
  <c r="R521" i="3"/>
  <c r="S512" i="3"/>
  <c r="S513" i="3"/>
  <c r="S514" i="3"/>
  <c r="S515" i="3"/>
  <c r="S516" i="3"/>
  <c r="S517" i="3"/>
  <c r="S518" i="3"/>
  <c r="S519" i="3"/>
  <c r="S520" i="3"/>
  <c r="S521" i="3"/>
  <c r="T511" i="3"/>
  <c r="U511" i="3"/>
  <c r="V511" i="3"/>
  <c r="W511" i="3"/>
  <c r="X511" i="3"/>
  <c r="AA511" i="3"/>
  <c r="AA512" i="3"/>
  <c r="AA513" i="3"/>
  <c r="AA514" i="3"/>
  <c r="AA515" i="3"/>
  <c r="AA516" i="3"/>
  <c r="AA517" i="3"/>
  <c r="AA518" i="3"/>
  <c r="AA519" i="3"/>
  <c r="AA520" i="3"/>
  <c r="AA521" i="3"/>
  <c r="AB511" i="3"/>
  <c r="O511" i="3" s="1"/>
  <c r="Y511" i="3" s="1"/>
  <c r="AB512" i="3"/>
  <c r="O512" i="3" s="1"/>
  <c r="AB513" i="3"/>
  <c r="O513" i="3" s="1"/>
  <c r="AB514" i="3"/>
  <c r="O514" i="3" s="1"/>
  <c r="AB515" i="3"/>
  <c r="O515" i="3" s="1"/>
  <c r="AB516" i="3"/>
  <c r="O516" i="3" s="1"/>
  <c r="AB517" i="3"/>
  <c r="O517" i="3" s="1"/>
  <c r="AB518" i="3"/>
  <c r="O518" i="3" s="1"/>
  <c r="AB519" i="3"/>
  <c r="O519" i="3" s="1"/>
  <c r="AB520" i="3"/>
  <c r="O520" i="3" s="1"/>
  <c r="AB521" i="3"/>
  <c r="O521" i="3" s="1"/>
  <c r="AC511" i="3"/>
  <c r="N511" i="3" s="1"/>
  <c r="AC512" i="3"/>
  <c r="N512" i="3" s="1"/>
  <c r="AC513" i="3"/>
  <c r="N513" i="3" s="1"/>
  <c r="AC514" i="3"/>
  <c r="N514" i="3" s="1"/>
  <c r="AC515" i="3"/>
  <c r="N515" i="3" s="1"/>
  <c r="AC516" i="3"/>
  <c r="N516" i="3" s="1"/>
  <c r="AC517" i="3"/>
  <c r="N517" i="3" s="1"/>
  <c r="AC518" i="3"/>
  <c r="N518" i="3" s="1"/>
  <c r="AC519" i="3"/>
  <c r="N519" i="3" s="1"/>
  <c r="AC520" i="3"/>
  <c r="N520" i="3" s="1"/>
  <c r="AC521" i="3"/>
  <c r="N521" i="3" s="1"/>
  <c r="AK511" i="3"/>
  <c r="AK512" i="3"/>
  <c r="AK513" i="3"/>
  <c r="AK514" i="3"/>
  <c r="AK515" i="3"/>
  <c r="AK516" i="3"/>
  <c r="AK517" i="3"/>
  <c r="AK518" i="3"/>
  <c r="AK519" i="3"/>
  <c r="AK520" i="3"/>
  <c r="AK521" i="3"/>
  <c r="M500" i="3"/>
  <c r="M501" i="3"/>
  <c r="M502" i="3"/>
  <c r="M503" i="3"/>
  <c r="M504" i="3"/>
  <c r="M505" i="3"/>
  <c r="M506" i="3"/>
  <c r="M507" i="3"/>
  <c r="M508" i="3"/>
  <c r="M509" i="3"/>
  <c r="M510" i="3"/>
  <c r="P500" i="3"/>
  <c r="P501" i="3"/>
  <c r="P502" i="3"/>
  <c r="P503" i="3"/>
  <c r="P504" i="3"/>
  <c r="P505" i="3"/>
  <c r="P506" i="3"/>
  <c r="P507" i="3"/>
  <c r="P508" i="3"/>
  <c r="P509" i="3"/>
  <c r="P510" i="3"/>
  <c r="Q500" i="3"/>
  <c r="Q501" i="3"/>
  <c r="Q502" i="3"/>
  <c r="Q503" i="3"/>
  <c r="Q504" i="3"/>
  <c r="Q505" i="3"/>
  <c r="Q506" i="3"/>
  <c r="Q507" i="3"/>
  <c r="Q508" i="3"/>
  <c r="Q509" i="3"/>
  <c r="Q510" i="3"/>
  <c r="R500" i="3"/>
  <c r="R501" i="3"/>
  <c r="R502" i="3"/>
  <c r="R503" i="3"/>
  <c r="R504" i="3"/>
  <c r="R505" i="3"/>
  <c r="R506" i="3"/>
  <c r="R507" i="3"/>
  <c r="R508" i="3"/>
  <c r="R509" i="3"/>
  <c r="R510" i="3"/>
  <c r="S501" i="3"/>
  <c r="S502" i="3"/>
  <c r="S503" i="3"/>
  <c r="S504" i="3"/>
  <c r="S505" i="3"/>
  <c r="S506" i="3"/>
  <c r="S507" i="3"/>
  <c r="S508" i="3"/>
  <c r="S509" i="3"/>
  <c r="S510" i="3"/>
  <c r="T500" i="3"/>
  <c r="U500" i="3"/>
  <c r="V500" i="3"/>
  <c r="W500" i="3"/>
  <c r="X500" i="3"/>
  <c r="AA500" i="3"/>
  <c r="AA501" i="3"/>
  <c r="AA502" i="3"/>
  <c r="AA503" i="3"/>
  <c r="AA504" i="3"/>
  <c r="AA505" i="3"/>
  <c r="AA506" i="3"/>
  <c r="AA507" i="3"/>
  <c r="AA508" i="3"/>
  <c r="AA509" i="3"/>
  <c r="AA510" i="3"/>
  <c r="AB500" i="3"/>
  <c r="O500" i="3" s="1"/>
  <c r="Y500" i="3" s="1"/>
  <c r="AB501" i="3"/>
  <c r="O501" i="3" s="1"/>
  <c r="AB502" i="3"/>
  <c r="O502" i="3" s="1"/>
  <c r="AB503" i="3"/>
  <c r="O503" i="3" s="1"/>
  <c r="AB504" i="3"/>
  <c r="O504" i="3" s="1"/>
  <c r="AB505" i="3"/>
  <c r="O505" i="3" s="1"/>
  <c r="AB506" i="3"/>
  <c r="O506" i="3" s="1"/>
  <c r="AB507" i="3"/>
  <c r="O507" i="3" s="1"/>
  <c r="AB508" i="3"/>
  <c r="O508" i="3" s="1"/>
  <c r="AB509" i="3"/>
  <c r="O509" i="3" s="1"/>
  <c r="AB510" i="3"/>
  <c r="O510" i="3" s="1"/>
  <c r="AC500" i="3"/>
  <c r="N500" i="3" s="1"/>
  <c r="AC501" i="3"/>
  <c r="N501" i="3" s="1"/>
  <c r="AC502" i="3"/>
  <c r="N502" i="3" s="1"/>
  <c r="AC503" i="3"/>
  <c r="N503" i="3" s="1"/>
  <c r="AC504" i="3"/>
  <c r="N504" i="3" s="1"/>
  <c r="AC505" i="3"/>
  <c r="N505" i="3" s="1"/>
  <c r="AC506" i="3"/>
  <c r="N506" i="3" s="1"/>
  <c r="AC507" i="3"/>
  <c r="N507" i="3" s="1"/>
  <c r="AC508" i="3"/>
  <c r="N508" i="3" s="1"/>
  <c r="AC509" i="3"/>
  <c r="N509" i="3" s="1"/>
  <c r="AC510" i="3"/>
  <c r="N510" i="3" s="1"/>
  <c r="AK500" i="3"/>
  <c r="AK501" i="3"/>
  <c r="AK502" i="3"/>
  <c r="AK503" i="3"/>
  <c r="AK504" i="3"/>
  <c r="AK505" i="3"/>
  <c r="AK506" i="3"/>
  <c r="AK507" i="3"/>
  <c r="AK508" i="3"/>
  <c r="AK509" i="3"/>
  <c r="AK510" i="3"/>
  <c r="S511" i="3" l="1"/>
  <c r="Z511" i="3" s="1"/>
  <c r="U521" i="3"/>
  <c r="W521" i="3"/>
  <c r="Y521" i="3"/>
  <c r="T521" i="3"/>
  <c r="V521" i="3"/>
  <c r="X521" i="3"/>
  <c r="U517" i="3"/>
  <c r="W517" i="3"/>
  <c r="Y517" i="3"/>
  <c r="T517" i="3"/>
  <c r="V517" i="3"/>
  <c r="X517" i="3"/>
  <c r="U513" i="3"/>
  <c r="W513" i="3"/>
  <c r="Y513" i="3"/>
  <c r="T513" i="3"/>
  <c r="V513" i="3"/>
  <c r="X513" i="3"/>
  <c r="U519" i="3"/>
  <c r="W519" i="3"/>
  <c r="Y519" i="3"/>
  <c r="T519" i="3"/>
  <c r="V519" i="3"/>
  <c r="X519" i="3"/>
  <c r="U515" i="3"/>
  <c r="W515" i="3"/>
  <c r="Y515" i="3"/>
  <c r="T515" i="3"/>
  <c r="V515" i="3"/>
  <c r="X515" i="3"/>
  <c r="T520" i="3"/>
  <c r="V520" i="3"/>
  <c r="X520" i="3"/>
  <c r="U520" i="3"/>
  <c r="W520" i="3"/>
  <c r="Y520" i="3"/>
  <c r="T518" i="3"/>
  <c r="V518" i="3"/>
  <c r="X518" i="3"/>
  <c r="U518" i="3"/>
  <c r="W518" i="3"/>
  <c r="Y518" i="3"/>
  <c r="T516" i="3"/>
  <c r="V516" i="3"/>
  <c r="X516" i="3"/>
  <c r="U516" i="3"/>
  <c r="W516" i="3"/>
  <c r="Y516" i="3"/>
  <c r="T514" i="3"/>
  <c r="V514" i="3"/>
  <c r="X514" i="3"/>
  <c r="U514" i="3"/>
  <c r="W514" i="3"/>
  <c r="Y514" i="3"/>
  <c r="T512" i="3"/>
  <c r="V512" i="3"/>
  <c r="X512" i="3"/>
  <c r="U512" i="3"/>
  <c r="W512" i="3"/>
  <c r="Y512" i="3"/>
  <c r="S500" i="3"/>
  <c r="Z500" i="3" s="1"/>
  <c r="U508" i="3"/>
  <c r="W508" i="3"/>
  <c r="Y508" i="3"/>
  <c r="T508" i="3"/>
  <c r="V508" i="3"/>
  <c r="X508" i="3"/>
  <c r="U510" i="3"/>
  <c r="W510" i="3"/>
  <c r="Y510" i="3"/>
  <c r="T510" i="3"/>
  <c r="V510" i="3"/>
  <c r="X510" i="3"/>
  <c r="U506" i="3"/>
  <c r="W506" i="3"/>
  <c r="Y506" i="3"/>
  <c r="T506" i="3"/>
  <c r="V506" i="3"/>
  <c r="X506" i="3"/>
  <c r="U504" i="3"/>
  <c r="W504" i="3"/>
  <c r="Y504" i="3"/>
  <c r="T504" i="3"/>
  <c r="V504" i="3"/>
  <c r="X504" i="3"/>
  <c r="U502" i="3"/>
  <c r="W502" i="3"/>
  <c r="Y502" i="3"/>
  <c r="T502" i="3"/>
  <c r="V502" i="3"/>
  <c r="X502" i="3"/>
  <c r="T509" i="3"/>
  <c r="V509" i="3"/>
  <c r="X509" i="3"/>
  <c r="U509" i="3"/>
  <c r="W509" i="3"/>
  <c r="Y509" i="3"/>
  <c r="T507" i="3"/>
  <c r="V507" i="3"/>
  <c r="X507" i="3"/>
  <c r="U507" i="3"/>
  <c r="W507" i="3"/>
  <c r="Y507" i="3"/>
  <c r="T505" i="3"/>
  <c r="V505" i="3"/>
  <c r="X505" i="3"/>
  <c r="U505" i="3"/>
  <c r="W505" i="3"/>
  <c r="Y505" i="3"/>
  <c r="T503" i="3"/>
  <c r="V503" i="3"/>
  <c r="X503" i="3"/>
  <c r="U503" i="3"/>
  <c r="W503" i="3"/>
  <c r="Y503" i="3"/>
  <c r="T501" i="3"/>
  <c r="V501" i="3"/>
  <c r="X501" i="3"/>
  <c r="U501" i="3"/>
  <c r="W501" i="3"/>
  <c r="Y501" i="3"/>
  <c r="AA3" i="15"/>
  <c r="Z502" i="3" l="1"/>
  <c r="Z504" i="3"/>
  <c r="Z506" i="3"/>
  <c r="Z510" i="3"/>
  <c r="Z508" i="3"/>
  <c r="Z512" i="3"/>
  <c r="Z514" i="3"/>
  <c r="Z516" i="3"/>
  <c r="Z518" i="3"/>
  <c r="Z520" i="3"/>
  <c r="Z501" i="3"/>
  <c r="Z503" i="3"/>
  <c r="Z505" i="3"/>
  <c r="Z507" i="3"/>
  <c r="Z509" i="3"/>
  <c r="Z515" i="3"/>
  <c r="Z519" i="3"/>
  <c r="Z513" i="3"/>
  <c r="Z517" i="3"/>
  <c r="Z521" i="3"/>
  <c r="R10" i="15"/>
  <c r="R8" i="15"/>
  <c r="R3" i="15"/>
  <c r="B3" i="15"/>
  <c r="B10" i="15"/>
  <c r="F2" i="15"/>
  <c r="F1" i="15"/>
  <c r="AA1" i="15"/>
  <c r="K1" i="15"/>
  <c r="M476" i="3" l="1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S477" i="3"/>
  <c r="S478" i="3"/>
  <c r="S479" i="3"/>
  <c r="S480" i="3"/>
  <c r="S481" i="3"/>
  <c r="S482" i="3"/>
  <c r="S483" i="3"/>
  <c r="S484" i="3"/>
  <c r="S485" i="3"/>
  <c r="S486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T476" i="3"/>
  <c r="T487" i="3"/>
  <c r="U476" i="3"/>
  <c r="U487" i="3"/>
  <c r="V476" i="3"/>
  <c r="V487" i="3"/>
  <c r="W476" i="3"/>
  <c r="W487" i="3"/>
  <c r="X476" i="3"/>
  <c r="X487" i="3"/>
  <c r="AA476" i="3"/>
  <c r="AA477" i="3"/>
  <c r="AA478" i="3"/>
  <c r="AA479" i="3"/>
  <c r="AA480" i="3"/>
  <c r="AA481" i="3"/>
  <c r="AA482" i="3"/>
  <c r="AA483" i="3"/>
  <c r="AA484" i="3"/>
  <c r="AA485" i="3"/>
  <c r="AA486" i="3"/>
  <c r="AA487" i="3"/>
  <c r="AA488" i="3"/>
  <c r="AA489" i="3"/>
  <c r="AA490" i="3"/>
  <c r="AA491" i="3"/>
  <c r="AA492" i="3"/>
  <c r="AA493" i="3"/>
  <c r="AA494" i="3"/>
  <c r="AA495" i="3"/>
  <c r="AA496" i="3"/>
  <c r="AA497" i="3"/>
  <c r="AA498" i="3"/>
  <c r="AA499" i="3"/>
  <c r="AB476" i="3"/>
  <c r="O476" i="3" s="1"/>
  <c r="Y476" i="3" s="1"/>
  <c r="AB477" i="3"/>
  <c r="O477" i="3" s="1"/>
  <c r="AB478" i="3"/>
  <c r="O478" i="3" s="1"/>
  <c r="AB479" i="3"/>
  <c r="O479" i="3" s="1"/>
  <c r="AB480" i="3"/>
  <c r="O480" i="3" s="1"/>
  <c r="AB481" i="3"/>
  <c r="O481" i="3" s="1"/>
  <c r="AB482" i="3"/>
  <c r="O482" i="3" s="1"/>
  <c r="AB483" i="3"/>
  <c r="O483" i="3" s="1"/>
  <c r="AB484" i="3"/>
  <c r="O484" i="3" s="1"/>
  <c r="AB485" i="3"/>
  <c r="O485" i="3" s="1"/>
  <c r="AB486" i="3"/>
  <c r="O486" i="3" s="1"/>
  <c r="AB487" i="3"/>
  <c r="O487" i="3" s="1"/>
  <c r="Y487" i="3" s="1"/>
  <c r="AB488" i="3"/>
  <c r="O488" i="3" s="1"/>
  <c r="AB489" i="3"/>
  <c r="O489" i="3" s="1"/>
  <c r="AB490" i="3"/>
  <c r="O490" i="3" s="1"/>
  <c r="AB491" i="3"/>
  <c r="O491" i="3" s="1"/>
  <c r="AB492" i="3"/>
  <c r="O492" i="3" s="1"/>
  <c r="AB493" i="3"/>
  <c r="O493" i="3" s="1"/>
  <c r="AB494" i="3"/>
  <c r="O494" i="3" s="1"/>
  <c r="AB495" i="3"/>
  <c r="O495" i="3" s="1"/>
  <c r="AB496" i="3"/>
  <c r="O496" i="3" s="1"/>
  <c r="AB497" i="3"/>
  <c r="O497" i="3" s="1"/>
  <c r="AB498" i="3"/>
  <c r="O498" i="3" s="1"/>
  <c r="AB499" i="3"/>
  <c r="O499" i="3" s="1"/>
  <c r="AC476" i="3"/>
  <c r="N476" i="3" s="1"/>
  <c r="S476" i="3" s="1"/>
  <c r="AC477" i="3"/>
  <c r="N477" i="3" s="1"/>
  <c r="AC478" i="3"/>
  <c r="N478" i="3" s="1"/>
  <c r="AC479" i="3"/>
  <c r="N479" i="3" s="1"/>
  <c r="AC480" i="3"/>
  <c r="N480" i="3" s="1"/>
  <c r="AC481" i="3"/>
  <c r="N481" i="3" s="1"/>
  <c r="AC482" i="3"/>
  <c r="N482" i="3" s="1"/>
  <c r="AC483" i="3"/>
  <c r="N483" i="3" s="1"/>
  <c r="AC484" i="3"/>
  <c r="N484" i="3" s="1"/>
  <c r="AC485" i="3"/>
  <c r="N485" i="3" s="1"/>
  <c r="AC486" i="3"/>
  <c r="N486" i="3" s="1"/>
  <c r="AC487" i="3"/>
  <c r="N487" i="3" s="1"/>
  <c r="S487" i="3" s="1"/>
  <c r="Z487" i="3" s="1"/>
  <c r="AC488" i="3"/>
  <c r="N488" i="3" s="1"/>
  <c r="AC489" i="3"/>
  <c r="N489" i="3" s="1"/>
  <c r="AC490" i="3"/>
  <c r="N490" i="3" s="1"/>
  <c r="AC491" i="3"/>
  <c r="N491" i="3" s="1"/>
  <c r="AC492" i="3"/>
  <c r="N492" i="3" s="1"/>
  <c r="AC493" i="3"/>
  <c r="N493" i="3" s="1"/>
  <c r="AC494" i="3"/>
  <c r="N494" i="3" s="1"/>
  <c r="AC495" i="3"/>
  <c r="N495" i="3" s="1"/>
  <c r="AC496" i="3"/>
  <c r="N496" i="3" s="1"/>
  <c r="AC497" i="3"/>
  <c r="N497" i="3" s="1"/>
  <c r="AC498" i="3"/>
  <c r="N498" i="3" s="1"/>
  <c r="AC499" i="3"/>
  <c r="N499" i="3" s="1"/>
  <c r="AK476" i="3"/>
  <c r="AK477" i="3"/>
  <c r="AK478" i="3"/>
  <c r="AK479" i="3"/>
  <c r="AK480" i="3"/>
  <c r="AK481" i="3"/>
  <c r="AK482" i="3"/>
  <c r="AK483" i="3"/>
  <c r="AK484" i="3"/>
  <c r="AK485" i="3"/>
  <c r="AK486" i="3"/>
  <c r="AK487" i="3"/>
  <c r="AK488" i="3"/>
  <c r="AK489" i="3"/>
  <c r="AK490" i="3"/>
  <c r="AK491" i="3"/>
  <c r="AK492" i="3"/>
  <c r="AK493" i="3"/>
  <c r="AK494" i="3"/>
  <c r="AK495" i="3"/>
  <c r="AK496" i="3"/>
  <c r="AK497" i="3"/>
  <c r="AK498" i="3"/>
  <c r="AK499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T463" i="3"/>
  <c r="U463" i="3"/>
  <c r="V463" i="3"/>
  <c r="W463" i="3"/>
  <c r="X463" i="3"/>
  <c r="AA463" i="3"/>
  <c r="AA464" i="3"/>
  <c r="AA465" i="3"/>
  <c r="AA466" i="3"/>
  <c r="AA467" i="3"/>
  <c r="AA468" i="3"/>
  <c r="AA469" i="3"/>
  <c r="AA470" i="3"/>
  <c r="AA471" i="3"/>
  <c r="AA472" i="3"/>
  <c r="AA473" i="3"/>
  <c r="AA474" i="3"/>
  <c r="AA475" i="3"/>
  <c r="AB463" i="3"/>
  <c r="O463" i="3" s="1"/>
  <c r="Y463" i="3" s="1"/>
  <c r="AB464" i="3"/>
  <c r="O464" i="3" s="1"/>
  <c r="AB465" i="3"/>
  <c r="O465" i="3" s="1"/>
  <c r="AB466" i="3"/>
  <c r="O466" i="3" s="1"/>
  <c r="AB467" i="3"/>
  <c r="O467" i="3" s="1"/>
  <c r="AB468" i="3"/>
  <c r="O468" i="3" s="1"/>
  <c r="AB469" i="3"/>
  <c r="O469" i="3" s="1"/>
  <c r="AB470" i="3"/>
  <c r="O470" i="3" s="1"/>
  <c r="AB471" i="3"/>
  <c r="O471" i="3" s="1"/>
  <c r="AB472" i="3"/>
  <c r="O472" i="3" s="1"/>
  <c r="AB473" i="3"/>
  <c r="O473" i="3" s="1"/>
  <c r="AB474" i="3"/>
  <c r="O474" i="3" s="1"/>
  <c r="AB475" i="3"/>
  <c r="O475" i="3" s="1"/>
  <c r="AC463" i="3"/>
  <c r="N463" i="3" s="1"/>
  <c r="AC464" i="3"/>
  <c r="N464" i="3" s="1"/>
  <c r="AC465" i="3"/>
  <c r="N465" i="3" s="1"/>
  <c r="AC466" i="3"/>
  <c r="N466" i="3" s="1"/>
  <c r="AC467" i="3"/>
  <c r="N467" i="3" s="1"/>
  <c r="AC468" i="3"/>
  <c r="N468" i="3" s="1"/>
  <c r="AC469" i="3"/>
  <c r="N469" i="3" s="1"/>
  <c r="AC470" i="3"/>
  <c r="N470" i="3" s="1"/>
  <c r="AC471" i="3"/>
  <c r="N471" i="3" s="1"/>
  <c r="AC472" i="3"/>
  <c r="N472" i="3" s="1"/>
  <c r="AC473" i="3"/>
  <c r="N473" i="3" s="1"/>
  <c r="AC474" i="3"/>
  <c r="N474" i="3" s="1"/>
  <c r="AC475" i="3"/>
  <c r="N475" i="3" s="1"/>
  <c r="AK463" i="3"/>
  <c r="AK464" i="3"/>
  <c r="AK465" i="3"/>
  <c r="AK466" i="3"/>
  <c r="AK467" i="3"/>
  <c r="AK468" i="3"/>
  <c r="AK469" i="3"/>
  <c r="AK470" i="3"/>
  <c r="AK471" i="3"/>
  <c r="AK472" i="3"/>
  <c r="AK473" i="3"/>
  <c r="AK474" i="3"/>
  <c r="AK475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T449" i="3"/>
  <c r="U449" i="3"/>
  <c r="V449" i="3"/>
  <c r="W449" i="3"/>
  <c r="X449" i="3"/>
  <c r="AA449" i="3"/>
  <c r="AA450" i="3"/>
  <c r="AA451" i="3"/>
  <c r="AA452" i="3"/>
  <c r="AA453" i="3"/>
  <c r="AA454" i="3"/>
  <c r="AA455" i="3"/>
  <c r="AA456" i="3"/>
  <c r="AA457" i="3"/>
  <c r="AA458" i="3"/>
  <c r="AA459" i="3"/>
  <c r="AA460" i="3"/>
  <c r="AA461" i="3"/>
  <c r="AA462" i="3"/>
  <c r="AB449" i="3"/>
  <c r="O449" i="3" s="1"/>
  <c r="Y449" i="3" s="1"/>
  <c r="AB450" i="3"/>
  <c r="O450" i="3" s="1"/>
  <c r="AB451" i="3"/>
  <c r="O451" i="3" s="1"/>
  <c r="AB452" i="3"/>
  <c r="O452" i="3" s="1"/>
  <c r="AB453" i="3"/>
  <c r="O453" i="3" s="1"/>
  <c r="AB454" i="3"/>
  <c r="O454" i="3" s="1"/>
  <c r="AB455" i="3"/>
  <c r="O455" i="3" s="1"/>
  <c r="AB456" i="3"/>
  <c r="O456" i="3" s="1"/>
  <c r="AB457" i="3"/>
  <c r="O457" i="3" s="1"/>
  <c r="AB458" i="3"/>
  <c r="O458" i="3" s="1"/>
  <c r="AB459" i="3"/>
  <c r="O459" i="3" s="1"/>
  <c r="AB460" i="3"/>
  <c r="O460" i="3" s="1"/>
  <c r="AB461" i="3"/>
  <c r="O461" i="3" s="1"/>
  <c r="AB462" i="3"/>
  <c r="O462" i="3" s="1"/>
  <c r="AC449" i="3"/>
  <c r="N449" i="3" s="1"/>
  <c r="S449" i="3" s="1"/>
  <c r="AC450" i="3"/>
  <c r="N450" i="3" s="1"/>
  <c r="AC451" i="3"/>
  <c r="N451" i="3" s="1"/>
  <c r="AC452" i="3"/>
  <c r="N452" i="3" s="1"/>
  <c r="AC453" i="3"/>
  <c r="N453" i="3" s="1"/>
  <c r="AC454" i="3"/>
  <c r="N454" i="3" s="1"/>
  <c r="AC455" i="3"/>
  <c r="N455" i="3" s="1"/>
  <c r="AC456" i="3"/>
  <c r="N456" i="3" s="1"/>
  <c r="AC457" i="3"/>
  <c r="N457" i="3" s="1"/>
  <c r="AC458" i="3"/>
  <c r="N458" i="3" s="1"/>
  <c r="AC459" i="3"/>
  <c r="N459" i="3" s="1"/>
  <c r="AC460" i="3"/>
  <c r="N460" i="3" s="1"/>
  <c r="AC461" i="3"/>
  <c r="N461" i="3" s="1"/>
  <c r="AC462" i="3"/>
  <c r="N462" i="3" s="1"/>
  <c r="AK449" i="3"/>
  <c r="AK450" i="3"/>
  <c r="AK451" i="3"/>
  <c r="AK452" i="3"/>
  <c r="AK453" i="3"/>
  <c r="AK454" i="3"/>
  <c r="AK455" i="3"/>
  <c r="AK456" i="3"/>
  <c r="AK457" i="3"/>
  <c r="AK458" i="3"/>
  <c r="AK459" i="3"/>
  <c r="AK460" i="3"/>
  <c r="AK461" i="3"/>
  <c r="AK462" i="3"/>
  <c r="M438" i="3"/>
  <c r="M439" i="3"/>
  <c r="M440" i="3"/>
  <c r="M441" i="3"/>
  <c r="M442" i="3"/>
  <c r="M443" i="3"/>
  <c r="M444" i="3"/>
  <c r="M445" i="3"/>
  <c r="M446" i="3"/>
  <c r="M447" i="3"/>
  <c r="M448" i="3"/>
  <c r="P438" i="3"/>
  <c r="P439" i="3"/>
  <c r="P440" i="3"/>
  <c r="P441" i="3"/>
  <c r="P442" i="3"/>
  <c r="P443" i="3"/>
  <c r="P444" i="3"/>
  <c r="P445" i="3"/>
  <c r="P446" i="3"/>
  <c r="P447" i="3"/>
  <c r="P448" i="3"/>
  <c r="Q438" i="3"/>
  <c r="Q439" i="3"/>
  <c r="Q440" i="3"/>
  <c r="Q441" i="3"/>
  <c r="Q442" i="3"/>
  <c r="Q443" i="3"/>
  <c r="Q444" i="3"/>
  <c r="Q445" i="3"/>
  <c r="Q446" i="3"/>
  <c r="Q447" i="3"/>
  <c r="Q448" i="3"/>
  <c r="R438" i="3"/>
  <c r="R439" i="3"/>
  <c r="R440" i="3"/>
  <c r="R441" i="3"/>
  <c r="R442" i="3"/>
  <c r="R443" i="3"/>
  <c r="R444" i="3"/>
  <c r="R445" i="3"/>
  <c r="R446" i="3"/>
  <c r="R447" i="3"/>
  <c r="R448" i="3"/>
  <c r="S439" i="3"/>
  <c r="S440" i="3"/>
  <c r="S441" i="3"/>
  <c r="S442" i="3"/>
  <c r="S443" i="3"/>
  <c r="S444" i="3"/>
  <c r="S445" i="3"/>
  <c r="S446" i="3"/>
  <c r="S447" i="3"/>
  <c r="S448" i="3"/>
  <c r="T438" i="3"/>
  <c r="U438" i="3"/>
  <c r="V438" i="3"/>
  <c r="W438" i="3"/>
  <c r="X438" i="3"/>
  <c r="AA438" i="3"/>
  <c r="AA439" i="3"/>
  <c r="AA440" i="3"/>
  <c r="AA441" i="3"/>
  <c r="AA442" i="3"/>
  <c r="AA443" i="3"/>
  <c r="AA444" i="3"/>
  <c r="AA445" i="3"/>
  <c r="AA446" i="3"/>
  <c r="AA447" i="3"/>
  <c r="AA448" i="3"/>
  <c r="AB438" i="3"/>
  <c r="O438" i="3" s="1"/>
  <c r="Y438" i="3" s="1"/>
  <c r="AB439" i="3"/>
  <c r="O439" i="3" s="1"/>
  <c r="AB440" i="3"/>
  <c r="O440" i="3" s="1"/>
  <c r="AB441" i="3"/>
  <c r="O441" i="3" s="1"/>
  <c r="AB442" i="3"/>
  <c r="O442" i="3" s="1"/>
  <c r="AB443" i="3"/>
  <c r="O443" i="3" s="1"/>
  <c r="AB444" i="3"/>
  <c r="O444" i="3" s="1"/>
  <c r="AB445" i="3"/>
  <c r="O445" i="3" s="1"/>
  <c r="AB446" i="3"/>
  <c r="O446" i="3" s="1"/>
  <c r="AB447" i="3"/>
  <c r="O447" i="3" s="1"/>
  <c r="AB448" i="3"/>
  <c r="O448" i="3" s="1"/>
  <c r="AC438" i="3"/>
  <c r="N438" i="3" s="1"/>
  <c r="AC439" i="3"/>
  <c r="N439" i="3" s="1"/>
  <c r="AC440" i="3"/>
  <c r="N440" i="3" s="1"/>
  <c r="AC441" i="3"/>
  <c r="N441" i="3" s="1"/>
  <c r="AC442" i="3"/>
  <c r="N442" i="3" s="1"/>
  <c r="AC443" i="3"/>
  <c r="N443" i="3" s="1"/>
  <c r="AC444" i="3"/>
  <c r="N444" i="3" s="1"/>
  <c r="AC445" i="3"/>
  <c r="N445" i="3" s="1"/>
  <c r="AC446" i="3"/>
  <c r="N446" i="3" s="1"/>
  <c r="AC447" i="3"/>
  <c r="N447" i="3" s="1"/>
  <c r="AC448" i="3"/>
  <c r="N448" i="3" s="1"/>
  <c r="AK438" i="3"/>
  <c r="AK439" i="3"/>
  <c r="AK440" i="3"/>
  <c r="AK441" i="3"/>
  <c r="AK442" i="3"/>
  <c r="AK443" i="3"/>
  <c r="AK444" i="3"/>
  <c r="AK445" i="3"/>
  <c r="AK446" i="3"/>
  <c r="AK447" i="3"/>
  <c r="AK448" i="3"/>
  <c r="M427" i="3"/>
  <c r="M428" i="3"/>
  <c r="M429" i="3"/>
  <c r="M430" i="3"/>
  <c r="M431" i="3"/>
  <c r="M432" i="3"/>
  <c r="M433" i="3"/>
  <c r="M434" i="3"/>
  <c r="M435" i="3"/>
  <c r="M436" i="3"/>
  <c r="M437" i="3"/>
  <c r="P427" i="3"/>
  <c r="P428" i="3"/>
  <c r="P429" i="3"/>
  <c r="P430" i="3"/>
  <c r="P431" i="3"/>
  <c r="P432" i="3"/>
  <c r="P433" i="3"/>
  <c r="P434" i="3"/>
  <c r="P435" i="3"/>
  <c r="P436" i="3"/>
  <c r="P437" i="3"/>
  <c r="Q427" i="3"/>
  <c r="Q428" i="3"/>
  <c r="Q429" i="3"/>
  <c r="Q430" i="3"/>
  <c r="Q431" i="3"/>
  <c r="Q432" i="3"/>
  <c r="Q433" i="3"/>
  <c r="Q434" i="3"/>
  <c r="Q435" i="3"/>
  <c r="Q436" i="3"/>
  <c r="Q437" i="3"/>
  <c r="R427" i="3"/>
  <c r="R428" i="3"/>
  <c r="R429" i="3"/>
  <c r="R430" i="3"/>
  <c r="R431" i="3"/>
  <c r="R432" i="3"/>
  <c r="R433" i="3"/>
  <c r="R434" i="3"/>
  <c r="R435" i="3"/>
  <c r="R436" i="3"/>
  <c r="R437" i="3"/>
  <c r="S428" i="3"/>
  <c r="S429" i="3"/>
  <c r="S430" i="3"/>
  <c r="S431" i="3"/>
  <c r="S432" i="3"/>
  <c r="S433" i="3"/>
  <c r="S434" i="3"/>
  <c r="S435" i="3"/>
  <c r="S436" i="3"/>
  <c r="S437" i="3"/>
  <c r="T427" i="3"/>
  <c r="U427" i="3"/>
  <c r="V427" i="3"/>
  <c r="W427" i="3"/>
  <c r="X427" i="3"/>
  <c r="AA427" i="3"/>
  <c r="AA428" i="3"/>
  <c r="AA429" i="3"/>
  <c r="AA430" i="3"/>
  <c r="AA431" i="3"/>
  <c r="AA432" i="3"/>
  <c r="AA433" i="3"/>
  <c r="AA434" i="3"/>
  <c r="AA435" i="3"/>
  <c r="AA436" i="3"/>
  <c r="AA437" i="3"/>
  <c r="AB427" i="3"/>
  <c r="O427" i="3" s="1"/>
  <c r="Y427" i="3" s="1"/>
  <c r="AB428" i="3"/>
  <c r="O428" i="3" s="1"/>
  <c r="AB429" i="3"/>
  <c r="O429" i="3" s="1"/>
  <c r="AB430" i="3"/>
  <c r="O430" i="3" s="1"/>
  <c r="AB431" i="3"/>
  <c r="O431" i="3" s="1"/>
  <c r="AB432" i="3"/>
  <c r="O432" i="3" s="1"/>
  <c r="AB433" i="3"/>
  <c r="O433" i="3" s="1"/>
  <c r="AB434" i="3"/>
  <c r="O434" i="3" s="1"/>
  <c r="AB435" i="3"/>
  <c r="O435" i="3" s="1"/>
  <c r="AB436" i="3"/>
  <c r="O436" i="3" s="1"/>
  <c r="AB437" i="3"/>
  <c r="O437" i="3" s="1"/>
  <c r="AC427" i="3"/>
  <c r="N427" i="3" s="1"/>
  <c r="AC428" i="3"/>
  <c r="N428" i="3" s="1"/>
  <c r="AC429" i="3"/>
  <c r="N429" i="3" s="1"/>
  <c r="AC430" i="3"/>
  <c r="N430" i="3" s="1"/>
  <c r="AC431" i="3"/>
  <c r="N431" i="3" s="1"/>
  <c r="AC432" i="3"/>
  <c r="N432" i="3" s="1"/>
  <c r="AC433" i="3"/>
  <c r="N433" i="3" s="1"/>
  <c r="AC434" i="3"/>
  <c r="N434" i="3" s="1"/>
  <c r="AC435" i="3"/>
  <c r="N435" i="3" s="1"/>
  <c r="AC436" i="3"/>
  <c r="N436" i="3" s="1"/>
  <c r="AC437" i="3"/>
  <c r="N437" i="3" s="1"/>
  <c r="AK427" i="3"/>
  <c r="AK428" i="3"/>
  <c r="AK429" i="3"/>
  <c r="AK430" i="3"/>
  <c r="AK431" i="3"/>
  <c r="AK432" i="3"/>
  <c r="AK433" i="3"/>
  <c r="AK434" i="3"/>
  <c r="AK435" i="3"/>
  <c r="AK436" i="3"/>
  <c r="AK437" i="3"/>
  <c r="M416" i="3"/>
  <c r="M417" i="3"/>
  <c r="M418" i="3"/>
  <c r="M419" i="3"/>
  <c r="M420" i="3"/>
  <c r="M421" i="3"/>
  <c r="M422" i="3"/>
  <c r="M423" i="3"/>
  <c r="M424" i="3"/>
  <c r="M425" i="3"/>
  <c r="M426" i="3"/>
  <c r="P416" i="3"/>
  <c r="P417" i="3"/>
  <c r="P418" i="3"/>
  <c r="P419" i="3"/>
  <c r="P420" i="3"/>
  <c r="P421" i="3"/>
  <c r="P422" i="3"/>
  <c r="P423" i="3"/>
  <c r="P424" i="3"/>
  <c r="P425" i="3"/>
  <c r="P426" i="3"/>
  <c r="Q416" i="3"/>
  <c r="Q417" i="3"/>
  <c r="Q418" i="3"/>
  <c r="Q419" i="3"/>
  <c r="Q420" i="3"/>
  <c r="Q421" i="3"/>
  <c r="Q422" i="3"/>
  <c r="Q423" i="3"/>
  <c r="Q424" i="3"/>
  <c r="Q425" i="3"/>
  <c r="Q426" i="3"/>
  <c r="R416" i="3"/>
  <c r="R417" i="3"/>
  <c r="R418" i="3"/>
  <c r="R419" i="3"/>
  <c r="R420" i="3"/>
  <c r="R421" i="3"/>
  <c r="R422" i="3"/>
  <c r="R423" i="3"/>
  <c r="R424" i="3"/>
  <c r="R425" i="3"/>
  <c r="R426" i="3"/>
  <c r="S417" i="3"/>
  <c r="S418" i="3"/>
  <c r="S419" i="3"/>
  <c r="S420" i="3"/>
  <c r="S421" i="3"/>
  <c r="S422" i="3"/>
  <c r="S423" i="3"/>
  <c r="S424" i="3"/>
  <c r="S425" i="3"/>
  <c r="S426" i="3"/>
  <c r="T416" i="3"/>
  <c r="U416" i="3"/>
  <c r="V416" i="3"/>
  <c r="W416" i="3"/>
  <c r="X416" i="3"/>
  <c r="AA416" i="3"/>
  <c r="AA417" i="3"/>
  <c r="AA418" i="3"/>
  <c r="AA419" i="3"/>
  <c r="AA420" i="3"/>
  <c r="AA421" i="3"/>
  <c r="AA422" i="3"/>
  <c r="AA423" i="3"/>
  <c r="AA424" i="3"/>
  <c r="AA425" i="3"/>
  <c r="AA426" i="3"/>
  <c r="AB416" i="3"/>
  <c r="O416" i="3" s="1"/>
  <c r="Y416" i="3" s="1"/>
  <c r="AB417" i="3"/>
  <c r="O417" i="3" s="1"/>
  <c r="AB418" i="3"/>
  <c r="O418" i="3" s="1"/>
  <c r="AB419" i="3"/>
  <c r="O419" i="3" s="1"/>
  <c r="AB420" i="3"/>
  <c r="O420" i="3" s="1"/>
  <c r="AB421" i="3"/>
  <c r="O421" i="3" s="1"/>
  <c r="AB422" i="3"/>
  <c r="O422" i="3" s="1"/>
  <c r="AB423" i="3"/>
  <c r="O423" i="3" s="1"/>
  <c r="AB424" i="3"/>
  <c r="O424" i="3" s="1"/>
  <c r="AB425" i="3"/>
  <c r="O425" i="3" s="1"/>
  <c r="AB426" i="3"/>
  <c r="O426" i="3" s="1"/>
  <c r="AC416" i="3"/>
  <c r="N416" i="3" s="1"/>
  <c r="AC417" i="3"/>
  <c r="N417" i="3" s="1"/>
  <c r="AC418" i="3"/>
  <c r="N418" i="3" s="1"/>
  <c r="AC419" i="3"/>
  <c r="N419" i="3" s="1"/>
  <c r="AC420" i="3"/>
  <c r="N420" i="3" s="1"/>
  <c r="AC421" i="3"/>
  <c r="N421" i="3" s="1"/>
  <c r="AC422" i="3"/>
  <c r="N422" i="3" s="1"/>
  <c r="AC423" i="3"/>
  <c r="N423" i="3" s="1"/>
  <c r="AC424" i="3"/>
  <c r="N424" i="3" s="1"/>
  <c r="AC425" i="3"/>
  <c r="N425" i="3" s="1"/>
  <c r="AC426" i="3"/>
  <c r="N426" i="3" s="1"/>
  <c r="AK416" i="3"/>
  <c r="AK417" i="3"/>
  <c r="AK418" i="3"/>
  <c r="AK419" i="3"/>
  <c r="AK420" i="3"/>
  <c r="AK421" i="3"/>
  <c r="AK422" i="3"/>
  <c r="AK423" i="3"/>
  <c r="AK424" i="3"/>
  <c r="AK425" i="3"/>
  <c r="AK426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S395" i="3"/>
  <c r="S396" i="3"/>
  <c r="S397" i="3"/>
  <c r="S398" i="3"/>
  <c r="S399" i="3"/>
  <c r="S400" i="3"/>
  <c r="S401" i="3"/>
  <c r="S402" i="3"/>
  <c r="S403" i="3"/>
  <c r="S404" i="3"/>
  <c r="S406" i="3"/>
  <c r="S407" i="3"/>
  <c r="S408" i="3"/>
  <c r="S409" i="3"/>
  <c r="S410" i="3"/>
  <c r="S411" i="3"/>
  <c r="S412" i="3"/>
  <c r="S413" i="3"/>
  <c r="S414" i="3"/>
  <c r="S415" i="3"/>
  <c r="T394" i="3"/>
  <c r="T405" i="3"/>
  <c r="U394" i="3"/>
  <c r="U405" i="3"/>
  <c r="V394" i="3"/>
  <c r="V405" i="3"/>
  <c r="W394" i="3"/>
  <c r="W405" i="3"/>
  <c r="X394" i="3"/>
  <c r="X405" i="3"/>
  <c r="AA394" i="3"/>
  <c r="AA395" i="3"/>
  <c r="AA396" i="3"/>
  <c r="AA397" i="3"/>
  <c r="AA398" i="3"/>
  <c r="AA399" i="3"/>
  <c r="AA400" i="3"/>
  <c r="AA401" i="3"/>
  <c r="AA402" i="3"/>
  <c r="AA403" i="3"/>
  <c r="AA404" i="3"/>
  <c r="AA405" i="3"/>
  <c r="AA406" i="3"/>
  <c r="AA407" i="3"/>
  <c r="AA408" i="3"/>
  <c r="AA409" i="3"/>
  <c r="AA410" i="3"/>
  <c r="AA411" i="3"/>
  <c r="AA412" i="3"/>
  <c r="AA413" i="3"/>
  <c r="AA414" i="3"/>
  <c r="AA415" i="3"/>
  <c r="AB394" i="3"/>
  <c r="O394" i="3" s="1"/>
  <c r="Y394" i="3" s="1"/>
  <c r="AB395" i="3"/>
  <c r="O395" i="3" s="1"/>
  <c r="AB396" i="3"/>
  <c r="O396" i="3" s="1"/>
  <c r="AB397" i="3"/>
  <c r="O397" i="3" s="1"/>
  <c r="AB398" i="3"/>
  <c r="O398" i="3" s="1"/>
  <c r="AB399" i="3"/>
  <c r="O399" i="3" s="1"/>
  <c r="AB400" i="3"/>
  <c r="O400" i="3" s="1"/>
  <c r="AB401" i="3"/>
  <c r="O401" i="3" s="1"/>
  <c r="AB402" i="3"/>
  <c r="O402" i="3" s="1"/>
  <c r="AB403" i="3"/>
  <c r="O403" i="3" s="1"/>
  <c r="AB404" i="3"/>
  <c r="O404" i="3" s="1"/>
  <c r="AB405" i="3"/>
  <c r="O405" i="3" s="1"/>
  <c r="Y405" i="3" s="1"/>
  <c r="AB406" i="3"/>
  <c r="O406" i="3" s="1"/>
  <c r="AB407" i="3"/>
  <c r="O407" i="3" s="1"/>
  <c r="AB408" i="3"/>
  <c r="O408" i="3" s="1"/>
  <c r="AB409" i="3"/>
  <c r="O409" i="3" s="1"/>
  <c r="AB410" i="3"/>
  <c r="O410" i="3" s="1"/>
  <c r="AB411" i="3"/>
  <c r="O411" i="3" s="1"/>
  <c r="AB412" i="3"/>
  <c r="O412" i="3" s="1"/>
  <c r="AB413" i="3"/>
  <c r="O413" i="3" s="1"/>
  <c r="AB414" i="3"/>
  <c r="O414" i="3" s="1"/>
  <c r="AB415" i="3"/>
  <c r="O415" i="3" s="1"/>
  <c r="AC394" i="3"/>
  <c r="N394" i="3" s="1"/>
  <c r="S394" i="3" s="1"/>
  <c r="Z394" i="3" s="1"/>
  <c r="AC395" i="3"/>
  <c r="N395" i="3" s="1"/>
  <c r="Y395" i="3" s="1"/>
  <c r="AC396" i="3"/>
  <c r="N396" i="3" s="1"/>
  <c r="AC397" i="3"/>
  <c r="N397" i="3" s="1"/>
  <c r="AC398" i="3"/>
  <c r="N398" i="3" s="1"/>
  <c r="AC399" i="3"/>
  <c r="N399" i="3" s="1"/>
  <c r="AC400" i="3"/>
  <c r="N400" i="3" s="1"/>
  <c r="AC401" i="3"/>
  <c r="N401" i="3" s="1"/>
  <c r="V401" i="3" s="1"/>
  <c r="AC402" i="3"/>
  <c r="N402" i="3" s="1"/>
  <c r="AC403" i="3"/>
  <c r="N403" i="3" s="1"/>
  <c r="Y403" i="3" s="1"/>
  <c r="AC404" i="3"/>
  <c r="N404" i="3" s="1"/>
  <c r="AC405" i="3"/>
  <c r="N405" i="3" s="1"/>
  <c r="S405" i="3" s="1"/>
  <c r="AC406" i="3"/>
  <c r="N406" i="3" s="1"/>
  <c r="AC407" i="3"/>
  <c r="N407" i="3" s="1"/>
  <c r="Y407" i="3" s="1"/>
  <c r="AC408" i="3"/>
  <c r="N408" i="3" s="1"/>
  <c r="AC409" i="3"/>
  <c r="N409" i="3" s="1"/>
  <c r="V409" i="3" s="1"/>
  <c r="AC410" i="3"/>
  <c r="N410" i="3" s="1"/>
  <c r="AC411" i="3"/>
  <c r="N411" i="3" s="1"/>
  <c r="AC412" i="3"/>
  <c r="N412" i="3" s="1"/>
  <c r="AC413" i="3"/>
  <c r="N413" i="3" s="1"/>
  <c r="T413" i="3" s="1"/>
  <c r="AC414" i="3"/>
  <c r="N414" i="3" s="1"/>
  <c r="AC415" i="3"/>
  <c r="N415" i="3" s="1"/>
  <c r="T415" i="3" s="1"/>
  <c r="AK394" i="3"/>
  <c r="AK395" i="3"/>
  <c r="AK396" i="3"/>
  <c r="AK397" i="3"/>
  <c r="AK398" i="3"/>
  <c r="AK399" i="3"/>
  <c r="AK400" i="3"/>
  <c r="AK401" i="3"/>
  <c r="AK402" i="3"/>
  <c r="AK403" i="3"/>
  <c r="AK404" i="3"/>
  <c r="AK405" i="3"/>
  <c r="AK406" i="3"/>
  <c r="AK407" i="3"/>
  <c r="AK408" i="3"/>
  <c r="AK409" i="3"/>
  <c r="AK410" i="3"/>
  <c r="AK411" i="3"/>
  <c r="AK412" i="3"/>
  <c r="AK413" i="3"/>
  <c r="AK414" i="3"/>
  <c r="AK415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S372" i="3"/>
  <c r="S373" i="3"/>
  <c r="S374" i="3"/>
  <c r="S375" i="3"/>
  <c r="S376" i="3"/>
  <c r="S377" i="3"/>
  <c r="S378" i="3"/>
  <c r="S379" i="3"/>
  <c r="S380" i="3"/>
  <c r="S381" i="3"/>
  <c r="S382" i="3"/>
  <c r="S384" i="3"/>
  <c r="S385" i="3"/>
  <c r="S386" i="3"/>
  <c r="S387" i="3"/>
  <c r="S388" i="3"/>
  <c r="S389" i="3"/>
  <c r="S390" i="3"/>
  <c r="S391" i="3"/>
  <c r="S392" i="3"/>
  <c r="S393" i="3"/>
  <c r="T371" i="3"/>
  <c r="T383" i="3"/>
  <c r="U371" i="3"/>
  <c r="U383" i="3"/>
  <c r="V371" i="3"/>
  <c r="V383" i="3"/>
  <c r="W371" i="3"/>
  <c r="W383" i="3"/>
  <c r="X371" i="3"/>
  <c r="X383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4" i="3"/>
  <c r="AA385" i="3"/>
  <c r="AA386" i="3"/>
  <c r="AA387" i="3"/>
  <c r="AA388" i="3"/>
  <c r="AA389" i="3"/>
  <c r="AA390" i="3"/>
  <c r="AA391" i="3"/>
  <c r="AA392" i="3"/>
  <c r="AA393" i="3"/>
  <c r="AB371" i="3"/>
  <c r="O371" i="3" s="1"/>
  <c r="Y371" i="3" s="1"/>
  <c r="AB372" i="3"/>
  <c r="O372" i="3" s="1"/>
  <c r="AB373" i="3"/>
  <c r="O373" i="3" s="1"/>
  <c r="AB374" i="3"/>
  <c r="O374" i="3" s="1"/>
  <c r="AB375" i="3"/>
  <c r="O375" i="3" s="1"/>
  <c r="AB376" i="3"/>
  <c r="O376" i="3" s="1"/>
  <c r="AB377" i="3"/>
  <c r="O377" i="3" s="1"/>
  <c r="AB378" i="3"/>
  <c r="O378" i="3" s="1"/>
  <c r="AB379" i="3"/>
  <c r="O379" i="3" s="1"/>
  <c r="AB380" i="3"/>
  <c r="O380" i="3" s="1"/>
  <c r="AB381" i="3"/>
  <c r="O381" i="3" s="1"/>
  <c r="AB382" i="3"/>
  <c r="O382" i="3" s="1"/>
  <c r="AB383" i="3"/>
  <c r="O383" i="3" s="1"/>
  <c r="Y383" i="3" s="1"/>
  <c r="AB384" i="3"/>
  <c r="O384" i="3" s="1"/>
  <c r="AB385" i="3"/>
  <c r="O385" i="3" s="1"/>
  <c r="AB386" i="3"/>
  <c r="O386" i="3" s="1"/>
  <c r="AB387" i="3"/>
  <c r="O387" i="3" s="1"/>
  <c r="AB388" i="3"/>
  <c r="O388" i="3" s="1"/>
  <c r="AB389" i="3"/>
  <c r="O389" i="3" s="1"/>
  <c r="AB390" i="3"/>
  <c r="O390" i="3" s="1"/>
  <c r="AB391" i="3"/>
  <c r="O391" i="3" s="1"/>
  <c r="AB392" i="3"/>
  <c r="O392" i="3" s="1"/>
  <c r="AB393" i="3"/>
  <c r="O393" i="3" s="1"/>
  <c r="AC371" i="3"/>
  <c r="N371" i="3" s="1"/>
  <c r="AC372" i="3"/>
  <c r="N372" i="3" s="1"/>
  <c r="AC373" i="3"/>
  <c r="N373" i="3" s="1"/>
  <c r="AC374" i="3"/>
  <c r="N374" i="3" s="1"/>
  <c r="AC375" i="3"/>
  <c r="N375" i="3" s="1"/>
  <c r="AC376" i="3"/>
  <c r="N376" i="3" s="1"/>
  <c r="AC377" i="3"/>
  <c r="N377" i="3" s="1"/>
  <c r="AC378" i="3"/>
  <c r="N378" i="3" s="1"/>
  <c r="AC379" i="3"/>
  <c r="N379" i="3" s="1"/>
  <c r="AC380" i="3"/>
  <c r="N380" i="3" s="1"/>
  <c r="AC381" i="3"/>
  <c r="N381" i="3" s="1"/>
  <c r="AC382" i="3"/>
  <c r="N382" i="3" s="1"/>
  <c r="AC383" i="3"/>
  <c r="N383" i="3" s="1"/>
  <c r="AC384" i="3"/>
  <c r="N384" i="3" s="1"/>
  <c r="AC385" i="3"/>
  <c r="N385" i="3" s="1"/>
  <c r="AC386" i="3"/>
  <c r="N386" i="3" s="1"/>
  <c r="AC387" i="3"/>
  <c r="N387" i="3" s="1"/>
  <c r="AC388" i="3"/>
  <c r="N388" i="3" s="1"/>
  <c r="AC389" i="3"/>
  <c r="N389" i="3" s="1"/>
  <c r="AC390" i="3"/>
  <c r="N390" i="3" s="1"/>
  <c r="AC391" i="3"/>
  <c r="N391" i="3" s="1"/>
  <c r="AC392" i="3"/>
  <c r="N392" i="3" s="1"/>
  <c r="AC393" i="3"/>
  <c r="N393" i="3" s="1"/>
  <c r="AK371" i="3"/>
  <c r="AK372" i="3"/>
  <c r="AK373" i="3"/>
  <c r="AK374" i="3"/>
  <c r="AK375" i="3"/>
  <c r="AK376" i="3"/>
  <c r="AK377" i="3"/>
  <c r="AK378" i="3"/>
  <c r="AK379" i="3"/>
  <c r="AK380" i="3"/>
  <c r="AK381" i="3"/>
  <c r="AK382" i="3"/>
  <c r="AK383" i="3"/>
  <c r="AK384" i="3"/>
  <c r="AK385" i="3"/>
  <c r="AK386" i="3"/>
  <c r="AK387" i="3"/>
  <c r="AK388" i="3"/>
  <c r="AK389" i="3"/>
  <c r="AK390" i="3"/>
  <c r="AK391" i="3"/>
  <c r="AK392" i="3"/>
  <c r="AK393" i="3"/>
  <c r="M360" i="3"/>
  <c r="M361" i="3"/>
  <c r="M362" i="3"/>
  <c r="M363" i="3"/>
  <c r="M364" i="3"/>
  <c r="M365" i="3"/>
  <c r="M366" i="3"/>
  <c r="M367" i="3"/>
  <c r="M368" i="3"/>
  <c r="M369" i="3"/>
  <c r="M370" i="3"/>
  <c r="P360" i="3"/>
  <c r="P361" i="3"/>
  <c r="P362" i="3"/>
  <c r="P363" i="3"/>
  <c r="P364" i="3"/>
  <c r="P365" i="3"/>
  <c r="P366" i="3"/>
  <c r="P367" i="3"/>
  <c r="P368" i="3"/>
  <c r="P369" i="3"/>
  <c r="P370" i="3"/>
  <c r="Q360" i="3"/>
  <c r="Q361" i="3"/>
  <c r="Q362" i="3"/>
  <c r="Q363" i="3"/>
  <c r="Q364" i="3"/>
  <c r="Q365" i="3"/>
  <c r="Q366" i="3"/>
  <c r="Q367" i="3"/>
  <c r="Q368" i="3"/>
  <c r="Q369" i="3"/>
  <c r="Q370" i="3"/>
  <c r="R360" i="3"/>
  <c r="R361" i="3"/>
  <c r="R362" i="3"/>
  <c r="R363" i="3"/>
  <c r="R364" i="3"/>
  <c r="R365" i="3"/>
  <c r="R366" i="3"/>
  <c r="R367" i="3"/>
  <c r="R368" i="3"/>
  <c r="R369" i="3"/>
  <c r="R370" i="3"/>
  <c r="S361" i="3"/>
  <c r="S362" i="3"/>
  <c r="S363" i="3"/>
  <c r="S364" i="3"/>
  <c r="S365" i="3"/>
  <c r="S366" i="3"/>
  <c r="S367" i="3"/>
  <c r="S368" i="3"/>
  <c r="S369" i="3"/>
  <c r="S370" i="3"/>
  <c r="T360" i="3"/>
  <c r="U360" i="3"/>
  <c r="V360" i="3"/>
  <c r="W360" i="3"/>
  <c r="X360" i="3"/>
  <c r="AA360" i="3"/>
  <c r="AA361" i="3"/>
  <c r="AA362" i="3"/>
  <c r="AA363" i="3"/>
  <c r="AA364" i="3"/>
  <c r="AA365" i="3"/>
  <c r="AA366" i="3"/>
  <c r="AA367" i="3"/>
  <c r="AA368" i="3"/>
  <c r="AA369" i="3"/>
  <c r="AA370" i="3"/>
  <c r="AB360" i="3"/>
  <c r="O360" i="3" s="1"/>
  <c r="Y360" i="3" s="1"/>
  <c r="AB361" i="3"/>
  <c r="O361" i="3" s="1"/>
  <c r="AB362" i="3"/>
  <c r="O362" i="3" s="1"/>
  <c r="AB363" i="3"/>
  <c r="O363" i="3" s="1"/>
  <c r="AB364" i="3"/>
  <c r="O364" i="3" s="1"/>
  <c r="AB365" i="3"/>
  <c r="O365" i="3" s="1"/>
  <c r="AB366" i="3"/>
  <c r="O366" i="3" s="1"/>
  <c r="AB367" i="3"/>
  <c r="O367" i="3" s="1"/>
  <c r="AB368" i="3"/>
  <c r="O368" i="3" s="1"/>
  <c r="AB369" i="3"/>
  <c r="O369" i="3" s="1"/>
  <c r="AB370" i="3"/>
  <c r="O370" i="3" s="1"/>
  <c r="AC360" i="3"/>
  <c r="N360" i="3" s="1"/>
  <c r="AC361" i="3"/>
  <c r="N361" i="3" s="1"/>
  <c r="AC362" i="3"/>
  <c r="N362" i="3" s="1"/>
  <c r="AC363" i="3"/>
  <c r="N363" i="3" s="1"/>
  <c r="AC364" i="3"/>
  <c r="N364" i="3" s="1"/>
  <c r="AC365" i="3"/>
  <c r="N365" i="3" s="1"/>
  <c r="AC366" i="3"/>
  <c r="N366" i="3" s="1"/>
  <c r="AC367" i="3"/>
  <c r="N367" i="3" s="1"/>
  <c r="AC368" i="3"/>
  <c r="N368" i="3" s="1"/>
  <c r="AC369" i="3"/>
  <c r="N369" i="3" s="1"/>
  <c r="AC370" i="3"/>
  <c r="N370" i="3" s="1"/>
  <c r="AK360" i="3"/>
  <c r="AK361" i="3"/>
  <c r="AK362" i="3"/>
  <c r="AK363" i="3"/>
  <c r="AK364" i="3"/>
  <c r="AK365" i="3"/>
  <c r="AK366" i="3"/>
  <c r="AK367" i="3"/>
  <c r="AK368" i="3"/>
  <c r="AK369" i="3"/>
  <c r="AK370" i="3"/>
  <c r="M349" i="3"/>
  <c r="M350" i="3"/>
  <c r="M351" i="3"/>
  <c r="M352" i="3"/>
  <c r="M353" i="3"/>
  <c r="M354" i="3"/>
  <c r="M355" i="3"/>
  <c r="M356" i="3"/>
  <c r="M357" i="3"/>
  <c r="M358" i="3"/>
  <c r="M359" i="3"/>
  <c r="P349" i="3"/>
  <c r="P350" i="3"/>
  <c r="P351" i="3"/>
  <c r="P352" i="3"/>
  <c r="P353" i="3"/>
  <c r="P354" i="3"/>
  <c r="P355" i="3"/>
  <c r="P356" i="3"/>
  <c r="P357" i="3"/>
  <c r="P358" i="3"/>
  <c r="P359" i="3"/>
  <c r="Q349" i="3"/>
  <c r="Q350" i="3"/>
  <c r="Q351" i="3"/>
  <c r="Q352" i="3"/>
  <c r="Q353" i="3"/>
  <c r="Q354" i="3"/>
  <c r="Q355" i="3"/>
  <c r="Q356" i="3"/>
  <c r="Q357" i="3"/>
  <c r="Q358" i="3"/>
  <c r="Q359" i="3"/>
  <c r="R349" i="3"/>
  <c r="R350" i="3"/>
  <c r="R351" i="3"/>
  <c r="R352" i="3"/>
  <c r="R353" i="3"/>
  <c r="R354" i="3"/>
  <c r="R355" i="3"/>
  <c r="R356" i="3"/>
  <c r="R357" i="3"/>
  <c r="R358" i="3"/>
  <c r="R359" i="3"/>
  <c r="S350" i="3"/>
  <c r="S351" i="3"/>
  <c r="S352" i="3"/>
  <c r="S353" i="3"/>
  <c r="S354" i="3"/>
  <c r="S355" i="3"/>
  <c r="S356" i="3"/>
  <c r="S357" i="3"/>
  <c r="S358" i="3"/>
  <c r="S359" i="3"/>
  <c r="T349" i="3"/>
  <c r="U349" i="3"/>
  <c r="V349" i="3"/>
  <c r="W349" i="3"/>
  <c r="X349" i="3"/>
  <c r="AA349" i="3"/>
  <c r="AA350" i="3"/>
  <c r="AA351" i="3"/>
  <c r="AA352" i="3"/>
  <c r="AA353" i="3"/>
  <c r="AA354" i="3"/>
  <c r="AA355" i="3"/>
  <c r="AA356" i="3"/>
  <c r="AA357" i="3"/>
  <c r="AA358" i="3"/>
  <c r="AA359" i="3"/>
  <c r="AB349" i="3"/>
  <c r="O349" i="3" s="1"/>
  <c r="Y349" i="3" s="1"/>
  <c r="AB350" i="3"/>
  <c r="O350" i="3" s="1"/>
  <c r="AB351" i="3"/>
  <c r="O351" i="3" s="1"/>
  <c r="AB352" i="3"/>
  <c r="O352" i="3" s="1"/>
  <c r="AB353" i="3"/>
  <c r="O353" i="3" s="1"/>
  <c r="AB354" i="3"/>
  <c r="O354" i="3" s="1"/>
  <c r="AB355" i="3"/>
  <c r="O355" i="3" s="1"/>
  <c r="AB356" i="3"/>
  <c r="O356" i="3" s="1"/>
  <c r="AB357" i="3"/>
  <c r="O357" i="3" s="1"/>
  <c r="AB358" i="3"/>
  <c r="O358" i="3" s="1"/>
  <c r="AB359" i="3"/>
  <c r="O359" i="3" s="1"/>
  <c r="AC349" i="3"/>
  <c r="N349" i="3" s="1"/>
  <c r="AC350" i="3"/>
  <c r="N350" i="3" s="1"/>
  <c r="AC351" i="3"/>
  <c r="N351" i="3" s="1"/>
  <c r="AC352" i="3"/>
  <c r="N352" i="3" s="1"/>
  <c r="AC353" i="3"/>
  <c r="N353" i="3" s="1"/>
  <c r="AC354" i="3"/>
  <c r="N354" i="3" s="1"/>
  <c r="AC355" i="3"/>
  <c r="N355" i="3" s="1"/>
  <c r="AC356" i="3"/>
  <c r="N356" i="3" s="1"/>
  <c r="AC357" i="3"/>
  <c r="N357" i="3" s="1"/>
  <c r="AC358" i="3"/>
  <c r="N358" i="3" s="1"/>
  <c r="AC359" i="3"/>
  <c r="N359" i="3" s="1"/>
  <c r="AK349" i="3"/>
  <c r="AK350" i="3"/>
  <c r="AK351" i="3"/>
  <c r="AK352" i="3"/>
  <c r="AK353" i="3"/>
  <c r="AK354" i="3"/>
  <c r="AK355" i="3"/>
  <c r="AK356" i="3"/>
  <c r="AK357" i="3"/>
  <c r="AK358" i="3"/>
  <c r="AK359" i="3"/>
  <c r="M338" i="3"/>
  <c r="M339" i="3"/>
  <c r="M340" i="3"/>
  <c r="M341" i="3"/>
  <c r="M342" i="3"/>
  <c r="M343" i="3"/>
  <c r="M344" i="3"/>
  <c r="M345" i="3"/>
  <c r="M346" i="3"/>
  <c r="M347" i="3"/>
  <c r="M348" i="3"/>
  <c r="P338" i="3"/>
  <c r="P339" i="3"/>
  <c r="P340" i="3"/>
  <c r="P341" i="3"/>
  <c r="P342" i="3"/>
  <c r="P343" i="3"/>
  <c r="P344" i="3"/>
  <c r="P345" i="3"/>
  <c r="P346" i="3"/>
  <c r="P347" i="3"/>
  <c r="P348" i="3"/>
  <c r="Q338" i="3"/>
  <c r="Q339" i="3"/>
  <c r="Q340" i="3"/>
  <c r="Q341" i="3"/>
  <c r="Q342" i="3"/>
  <c r="Q343" i="3"/>
  <c r="Q344" i="3"/>
  <c r="Q345" i="3"/>
  <c r="Q346" i="3"/>
  <c r="Q347" i="3"/>
  <c r="Q348" i="3"/>
  <c r="R338" i="3"/>
  <c r="R339" i="3"/>
  <c r="R340" i="3"/>
  <c r="R341" i="3"/>
  <c r="R342" i="3"/>
  <c r="R343" i="3"/>
  <c r="R344" i="3"/>
  <c r="R345" i="3"/>
  <c r="R346" i="3"/>
  <c r="R347" i="3"/>
  <c r="R348" i="3"/>
  <c r="S339" i="3"/>
  <c r="S340" i="3"/>
  <c r="S341" i="3"/>
  <c r="S342" i="3"/>
  <c r="S343" i="3"/>
  <c r="S344" i="3"/>
  <c r="S345" i="3"/>
  <c r="S346" i="3"/>
  <c r="S347" i="3"/>
  <c r="S348" i="3"/>
  <c r="T338" i="3"/>
  <c r="U338" i="3"/>
  <c r="V338" i="3"/>
  <c r="W338" i="3"/>
  <c r="X338" i="3"/>
  <c r="AA338" i="3"/>
  <c r="AA339" i="3"/>
  <c r="AA340" i="3"/>
  <c r="AA341" i="3"/>
  <c r="AA342" i="3"/>
  <c r="AA343" i="3"/>
  <c r="AA344" i="3"/>
  <c r="AA345" i="3"/>
  <c r="AA346" i="3"/>
  <c r="AA347" i="3"/>
  <c r="AA348" i="3"/>
  <c r="AB338" i="3"/>
  <c r="O338" i="3" s="1"/>
  <c r="Y338" i="3" s="1"/>
  <c r="AB339" i="3"/>
  <c r="O339" i="3" s="1"/>
  <c r="AB340" i="3"/>
  <c r="O340" i="3" s="1"/>
  <c r="AB341" i="3"/>
  <c r="O341" i="3" s="1"/>
  <c r="AB342" i="3"/>
  <c r="O342" i="3" s="1"/>
  <c r="AB343" i="3"/>
  <c r="O343" i="3" s="1"/>
  <c r="AB344" i="3"/>
  <c r="O344" i="3" s="1"/>
  <c r="AB345" i="3"/>
  <c r="O345" i="3" s="1"/>
  <c r="AB346" i="3"/>
  <c r="O346" i="3" s="1"/>
  <c r="AB347" i="3"/>
  <c r="O347" i="3" s="1"/>
  <c r="AB348" i="3"/>
  <c r="O348" i="3" s="1"/>
  <c r="AC338" i="3"/>
  <c r="N338" i="3" s="1"/>
  <c r="AC339" i="3"/>
  <c r="N339" i="3" s="1"/>
  <c r="AC340" i="3"/>
  <c r="N340" i="3" s="1"/>
  <c r="AC341" i="3"/>
  <c r="N341" i="3" s="1"/>
  <c r="AC342" i="3"/>
  <c r="N342" i="3" s="1"/>
  <c r="AC343" i="3"/>
  <c r="N343" i="3" s="1"/>
  <c r="AC344" i="3"/>
  <c r="N344" i="3" s="1"/>
  <c r="AC345" i="3"/>
  <c r="N345" i="3" s="1"/>
  <c r="AC346" i="3"/>
  <c r="N346" i="3" s="1"/>
  <c r="AC347" i="3"/>
  <c r="N347" i="3" s="1"/>
  <c r="AC348" i="3"/>
  <c r="N348" i="3" s="1"/>
  <c r="AK338" i="3"/>
  <c r="AK339" i="3"/>
  <c r="AK340" i="3"/>
  <c r="AK341" i="3"/>
  <c r="AK342" i="3"/>
  <c r="AK343" i="3"/>
  <c r="AK344" i="3"/>
  <c r="AK345" i="3"/>
  <c r="AK346" i="3"/>
  <c r="AK347" i="3"/>
  <c r="AK348" i="3"/>
  <c r="M21" i="10"/>
  <c r="M327" i="3"/>
  <c r="M328" i="3"/>
  <c r="M329" i="3"/>
  <c r="M330" i="3"/>
  <c r="M331" i="3"/>
  <c r="M332" i="3"/>
  <c r="M333" i="3"/>
  <c r="M334" i="3"/>
  <c r="M335" i="3"/>
  <c r="M336" i="3"/>
  <c r="M337" i="3"/>
  <c r="P327" i="3"/>
  <c r="P328" i="3"/>
  <c r="P329" i="3"/>
  <c r="P330" i="3"/>
  <c r="P331" i="3"/>
  <c r="P332" i="3"/>
  <c r="P333" i="3"/>
  <c r="P334" i="3"/>
  <c r="P335" i="3"/>
  <c r="P336" i="3"/>
  <c r="P337" i="3"/>
  <c r="Q327" i="3"/>
  <c r="Q328" i="3"/>
  <c r="Q329" i="3"/>
  <c r="Q330" i="3"/>
  <c r="Q331" i="3"/>
  <c r="Q332" i="3"/>
  <c r="Q333" i="3"/>
  <c r="Q334" i="3"/>
  <c r="Q335" i="3"/>
  <c r="Q336" i="3"/>
  <c r="Q337" i="3"/>
  <c r="R327" i="3"/>
  <c r="R328" i="3"/>
  <c r="R329" i="3"/>
  <c r="R330" i="3"/>
  <c r="R331" i="3"/>
  <c r="R332" i="3"/>
  <c r="R333" i="3"/>
  <c r="R334" i="3"/>
  <c r="R335" i="3"/>
  <c r="R336" i="3"/>
  <c r="R337" i="3"/>
  <c r="S328" i="3"/>
  <c r="S329" i="3"/>
  <c r="S330" i="3"/>
  <c r="S331" i="3"/>
  <c r="S332" i="3"/>
  <c r="S333" i="3"/>
  <c r="S334" i="3"/>
  <c r="S335" i="3"/>
  <c r="S336" i="3"/>
  <c r="S337" i="3"/>
  <c r="T327" i="3"/>
  <c r="U327" i="3"/>
  <c r="V327" i="3"/>
  <c r="W327" i="3"/>
  <c r="X327" i="3"/>
  <c r="AA327" i="3"/>
  <c r="AA328" i="3"/>
  <c r="AA329" i="3"/>
  <c r="AA330" i="3"/>
  <c r="AA331" i="3"/>
  <c r="AA332" i="3"/>
  <c r="AA333" i="3"/>
  <c r="AA334" i="3"/>
  <c r="AA335" i="3"/>
  <c r="AA336" i="3"/>
  <c r="AA337" i="3"/>
  <c r="AB327" i="3"/>
  <c r="O327" i="3" s="1"/>
  <c r="Y327" i="3" s="1"/>
  <c r="AB328" i="3"/>
  <c r="O328" i="3" s="1"/>
  <c r="AB329" i="3"/>
  <c r="O329" i="3" s="1"/>
  <c r="AB330" i="3"/>
  <c r="O330" i="3" s="1"/>
  <c r="AB331" i="3"/>
  <c r="O331" i="3" s="1"/>
  <c r="AB332" i="3"/>
  <c r="O332" i="3" s="1"/>
  <c r="AB333" i="3"/>
  <c r="O333" i="3" s="1"/>
  <c r="AB334" i="3"/>
  <c r="O334" i="3" s="1"/>
  <c r="AB335" i="3"/>
  <c r="O335" i="3" s="1"/>
  <c r="AB336" i="3"/>
  <c r="O336" i="3" s="1"/>
  <c r="AB337" i="3"/>
  <c r="O337" i="3" s="1"/>
  <c r="AC327" i="3"/>
  <c r="N327" i="3" s="1"/>
  <c r="AC328" i="3"/>
  <c r="N328" i="3" s="1"/>
  <c r="AC329" i="3"/>
  <c r="N329" i="3" s="1"/>
  <c r="AC330" i="3"/>
  <c r="N330" i="3" s="1"/>
  <c r="AC331" i="3"/>
  <c r="N331" i="3" s="1"/>
  <c r="AC332" i="3"/>
  <c r="N332" i="3" s="1"/>
  <c r="AC333" i="3"/>
  <c r="N333" i="3" s="1"/>
  <c r="AC334" i="3"/>
  <c r="N334" i="3" s="1"/>
  <c r="AC335" i="3"/>
  <c r="N335" i="3" s="1"/>
  <c r="AC336" i="3"/>
  <c r="N336" i="3" s="1"/>
  <c r="AC337" i="3"/>
  <c r="N337" i="3" s="1"/>
  <c r="AK327" i="3"/>
  <c r="AK328" i="3"/>
  <c r="AK329" i="3"/>
  <c r="AK330" i="3"/>
  <c r="AK331" i="3"/>
  <c r="AK332" i="3"/>
  <c r="AK333" i="3"/>
  <c r="AK334" i="3"/>
  <c r="AK335" i="3"/>
  <c r="AK336" i="3"/>
  <c r="AK337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S305" i="3"/>
  <c r="S306" i="3"/>
  <c r="S307" i="3"/>
  <c r="S308" i="3"/>
  <c r="S309" i="3"/>
  <c r="S310" i="3"/>
  <c r="S311" i="3"/>
  <c r="S312" i="3"/>
  <c r="S313" i="3"/>
  <c r="S314" i="3"/>
  <c r="S316" i="3"/>
  <c r="S317" i="3"/>
  <c r="S318" i="3"/>
  <c r="S319" i="3"/>
  <c r="S320" i="3"/>
  <c r="S321" i="3"/>
  <c r="S322" i="3"/>
  <c r="S323" i="3"/>
  <c r="S324" i="3"/>
  <c r="S325" i="3"/>
  <c r="S326" i="3"/>
  <c r="T304" i="3"/>
  <c r="T315" i="3"/>
  <c r="U304" i="3"/>
  <c r="U315" i="3"/>
  <c r="V304" i="3"/>
  <c r="V315" i="3"/>
  <c r="W304" i="3"/>
  <c r="W315" i="3"/>
  <c r="X304" i="3"/>
  <c r="X315" i="3"/>
  <c r="AA304" i="3"/>
  <c r="AA305" i="3"/>
  <c r="AA306" i="3"/>
  <c r="AA307" i="3"/>
  <c r="AA308" i="3"/>
  <c r="AA309" i="3"/>
  <c r="AA310" i="3"/>
  <c r="AA311" i="3"/>
  <c r="AA312" i="3"/>
  <c r="AA313" i="3"/>
  <c r="AA314" i="3"/>
  <c r="AA315" i="3"/>
  <c r="AA316" i="3"/>
  <c r="AA317" i="3"/>
  <c r="AA318" i="3"/>
  <c r="AA319" i="3"/>
  <c r="AA320" i="3"/>
  <c r="AA321" i="3"/>
  <c r="AA322" i="3"/>
  <c r="AA323" i="3"/>
  <c r="AA324" i="3"/>
  <c r="AA325" i="3"/>
  <c r="AA326" i="3"/>
  <c r="AB304" i="3"/>
  <c r="O304" i="3" s="1"/>
  <c r="Y304" i="3" s="1"/>
  <c r="AB305" i="3"/>
  <c r="O305" i="3" s="1"/>
  <c r="AB306" i="3"/>
  <c r="O306" i="3" s="1"/>
  <c r="AB307" i="3"/>
  <c r="O307" i="3" s="1"/>
  <c r="AB308" i="3"/>
  <c r="O308" i="3" s="1"/>
  <c r="AB309" i="3"/>
  <c r="O309" i="3" s="1"/>
  <c r="AB310" i="3"/>
  <c r="O310" i="3" s="1"/>
  <c r="AB311" i="3"/>
  <c r="O311" i="3" s="1"/>
  <c r="AB312" i="3"/>
  <c r="O312" i="3" s="1"/>
  <c r="AB313" i="3"/>
  <c r="O313" i="3" s="1"/>
  <c r="AB314" i="3"/>
  <c r="O314" i="3" s="1"/>
  <c r="AB315" i="3"/>
  <c r="O315" i="3" s="1"/>
  <c r="Y315" i="3" s="1"/>
  <c r="AB316" i="3"/>
  <c r="O316" i="3" s="1"/>
  <c r="AB317" i="3"/>
  <c r="O317" i="3" s="1"/>
  <c r="AB318" i="3"/>
  <c r="O318" i="3" s="1"/>
  <c r="AB319" i="3"/>
  <c r="O319" i="3" s="1"/>
  <c r="AB320" i="3"/>
  <c r="O320" i="3" s="1"/>
  <c r="AB321" i="3"/>
  <c r="O321" i="3" s="1"/>
  <c r="AB322" i="3"/>
  <c r="O322" i="3" s="1"/>
  <c r="AB323" i="3"/>
  <c r="O323" i="3" s="1"/>
  <c r="AB324" i="3"/>
  <c r="O324" i="3" s="1"/>
  <c r="AB325" i="3"/>
  <c r="O325" i="3" s="1"/>
  <c r="AB326" i="3"/>
  <c r="O326" i="3" s="1"/>
  <c r="AC304" i="3"/>
  <c r="N304" i="3" s="1"/>
  <c r="AC305" i="3"/>
  <c r="N305" i="3" s="1"/>
  <c r="AC306" i="3"/>
  <c r="N306" i="3" s="1"/>
  <c r="AC307" i="3"/>
  <c r="N307" i="3" s="1"/>
  <c r="AC308" i="3"/>
  <c r="N308" i="3" s="1"/>
  <c r="AC309" i="3"/>
  <c r="N309" i="3" s="1"/>
  <c r="AC310" i="3"/>
  <c r="N310" i="3" s="1"/>
  <c r="AC311" i="3"/>
  <c r="N311" i="3" s="1"/>
  <c r="AC312" i="3"/>
  <c r="N312" i="3" s="1"/>
  <c r="AC313" i="3"/>
  <c r="N313" i="3" s="1"/>
  <c r="AC314" i="3"/>
  <c r="N314" i="3" s="1"/>
  <c r="AC315" i="3"/>
  <c r="N315" i="3" s="1"/>
  <c r="AC316" i="3"/>
  <c r="N316" i="3" s="1"/>
  <c r="AC317" i="3"/>
  <c r="N317" i="3" s="1"/>
  <c r="AC318" i="3"/>
  <c r="N318" i="3" s="1"/>
  <c r="AC319" i="3"/>
  <c r="N319" i="3" s="1"/>
  <c r="AC320" i="3"/>
  <c r="N320" i="3" s="1"/>
  <c r="AC321" i="3"/>
  <c r="N321" i="3" s="1"/>
  <c r="AC322" i="3"/>
  <c r="N322" i="3" s="1"/>
  <c r="AC323" i="3"/>
  <c r="N323" i="3" s="1"/>
  <c r="AC324" i="3"/>
  <c r="N324" i="3" s="1"/>
  <c r="AC325" i="3"/>
  <c r="N325" i="3" s="1"/>
  <c r="AC326" i="3"/>
  <c r="N326" i="3" s="1"/>
  <c r="AK304" i="3"/>
  <c r="AK305" i="3"/>
  <c r="AK306" i="3"/>
  <c r="AK307" i="3"/>
  <c r="AK308" i="3"/>
  <c r="AK309" i="3"/>
  <c r="AK310" i="3"/>
  <c r="AK311" i="3"/>
  <c r="AK312" i="3"/>
  <c r="AK313" i="3"/>
  <c r="AK314" i="3"/>
  <c r="AK315" i="3"/>
  <c r="AK316" i="3"/>
  <c r="AK317" i="3"/>
  <c r="AK318" i="3"/>
  <c r="AK319" i="3"/>
  <c r="AK320" i="3"/>
  <c r="AK321" i="3"/>
  <c r="AK322" i="3"/>
  <c r="AK323" i="3"/>
  <c r="AK324" i="3"/>
  <c r="AK325" i="3"/>
  <c r="AK326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S283" i="3"/>
  <c r="S284" i="3"/>
  <c r="S285" i="3"/>
  <c r="S286" i="3"/>
  <c r="S287" i="3"/>
  <c r="S288" i="3"/>
  <c r="S289" i="3"/>
  <c r="S290" i="3"/>
  <c r="S291" i="3"/>
  <c r="S292" i="3"/>
  <c r="S294" i="3"/>
  <c r="S295" i="3"/>
  <c r="S296" i="3"/>
  <c r="S297" i="3"/>
  <c r="S298" i="3"/>
  <c r="S299" i="3"/>
  <c r="S300" i="3"/>
  <c r="S301" i="3"/>
  <c r="S302" i="3"/>
  <c r="S303" i="3"/>
  <c r="T282" i="3"/>
  <c r="T293" i="3"/>
  <c r="U282" i="3"/>
  <c r="U293" i="3"/>
  <c r="V282" i="3"/>
  <c r="V293" i="3"/>
  <c r="W282" i="3"/>
  <c r="W293" i="3"/>
  <c r="X282" i="3"/>
  <c r="X293" i="3"/>
  <c r="AA282" i="3"/>
  <c r="AA283" i="3"/>
  <c r="AA284" i="3"/>
  <c r="AA285" i="3"/>
  <c r="AA286" i="3"/>
  <c r="AA287" i="3"/>
  <c r="AA288" i="3"/>
  <c r="AA289" i="3"/>
  <c r="AA290" i="3"/>
  <c r="AA291" i="3"/>
  <c r="AA292" i="3"/>
  <c r="AA293" i="3"/>
  <c r="AA294" i="3"/>
  <c r="AA295" i="3"/>
  <c r="AA296" i="3"/>
  <c r="AA297" i="3"/>
  <c r="AA298" i="3"/>
  <c r="AA299" i="3"/>
  <c r="AA300" i="3"/>
  <c r="AA301" i="3"/>
  <c r="AA302" i="3"/>
  <c r="AA303" i="3"/>
  <c r="AB282" i="3"/>
  <c r="O282" i="3" s="1"/>
  <c r="Y282" i="3" s="1"/>
  <c r="AB283" i="3"/>
  <c r="O283" i="3" s="1"/>
  <c r="AB284" i="3"/>
  <c r="O284" i="3" s="1"/>
  <c r="AB285" i="3"/>
  <c r="O285" i="3" s="1"/>
  <c r="AB286" i="3"/>
  <c r="O286" i="3" s="1"/>
  <c r="AB287" i="3"/>
  <c r="O287" i="3" s="1"/>
  <c r="AB288" i="3"/>
  <c r="O288" i="3" s="1"/>
  <c r="AB289" i="3"/>
  <c r="O289" i="3" s="1"/>
  <c r="AB290" i="3"/>
  <c r="O290" i="3" s="1"/>
  <c r="AB291" i="3"/>
  <c r="O291" i="3" s="1"/>
  <c r="AB292" i="3"/>
  <c r="O292" i="3" s="1"/>
  <c r="AB293" i="3"/>
  <c r="O293" i="3" s="1"/>
  <c r="Y293" i="3" s="1"/>
  <c r="AB294" i="3"/>
  <c r="O294" i="3" s="1"/>
  <c r="AB295" i="3"/>
  <c r="O295" i="3" s="1"/>
  <c r="AB296" i="3"/>
  <c r="O296" i="3" s="1"/>
  <c r="AB297" i="3"/>
  <c r="O297" i="3" s="1"/>
  <c r="AB298" i="3"/>
  <c r="O298" i="3" s="1"/>
  <c r="AB299" i="3"/>
  <c r="O299" i="3" s="1"/>
  <c r="AB300" i="3"/>
  <c r="O300" i="3" s="1"/>
  <c r="AB301" i="3"/>
  <c r="O301" i="3" s="1"/>
  <c r="AB302" i="3"/>
  <c r="O302" i="3" s="1"/>
  <c r="AB303" i="3"/>
  <c r="O303" i="3" s="1"/>
  <c r="AC282" i="3"/>
  <c r="N282" i="3" s="1"/>
  <c r="AC283" i="3"/>
  <c r="N283" i="3" s="1"/>
  <c r="AC284" i="3"/>
  <c r="N284" i="3" s="1"/>
  <c r="AC285" i="3"/>
  <c r="N285" i="3" s="1"/>
  <c r="AC286" i="3"/>
  <c r="N286" i="3" s="1"/>
  <c r="AC287" i="3"/>
  <c r="N287" i="3" s="1"/>
  <c r="AC288" i="3"/>
  <c r="N288" i="3" s="1"/>
  <c r="AC289" i="3"/>
  <c r="N289" i="3" s="1"/>
  <c r="AC290" i="3"/>
  <c r="N290" i="3" s="1"/>
  <c r="AC291" i="3"/>
  <c r="N291" i="3" s="1"/>
  <c r="AC292" i="3"/>
  <c r="N292" i="3" s="1"/>
  <c r="AC293" i="3"/>
  <c r="N293" i="3" s="1"/>
  <c r="S293" i="3" s="1"/>
  <c r="AC294" i="3"/>
  <c r="N294" i="3" s="1"/>
  <c r="AC295" i="3"/>
  <c r="N295" i="3" s="1"/>
  <c r="AC296" i="3"/>
  <c r="N296" i="3" s="1"/>
  <c r="AC297" i="3"/>
  <c r="N297" i="3" s="1"/>
  <c r="AC298" i="3"/>
  <c r="N298" i="3" s="1"/>
  <c r="AC299" i="3"/>
  <c r="N299" i="3" s="1"/>
  <c r="AC300" i="3"/>
  <c r="N300" i="3" s="1"/>
  <c r="AC301" i="3"/>
  <c r="N301" i="3" s="1"/>
  <c r="AC302" i="3"/>
  <c r="N302" i="3" s="1"/>
  <c r="AC303" i="3"/>
  <c r="N303" i="3" s="1"/>
  <c r="AK282" i="3"/>
  <c r="AK283" i="3"/>
  <c r="AK284" i="3"/>
  <c r="AK285" i="3"/>
  <c r="AK286" i="3"/>
  <c r="AK287" i="3"/>
  <c r="AK288" i="3"/>
  <c r="AK289" i="3"/>
  <c r="AK290" i="3"/>
  <c r="AK291" i="3"/>
  <c r="AK292" i="3"/>
  <c r="AK293" i="3"/>
  <c r="AK294" i="3"/>
  <c r="AK295" i="3"/>
  <c r="AK296" i="3"/>
  <c r="AK297" i="3"/>
  <c r="AK298" i="3"/>
  <c r="AK299" i="3"/>
  <c r="AK300" i="3"/>
  <c r="AK301" i="3"/>
  <c r="AK302" i="3"/>
  <c r="AK303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T268" i="3"/>
  <c r="U268" i="3"/>
  <c r="V268" i="3"/>
  <c r="W268" i="3"/>
  <c r="X268" i="3"/>
  <c r="AA268" i="3"/>
  <c r="AA269" i="3"/>
  <c r="AA270" i="3"/>
  <c r="AA271" i="3"/>
  <c r="AA272" i="3"/>
  <c r="AA273" i="3"/>
  <c r="AA274" i="3"/>
  <c r="AA275" i="3"/>
  <c r="AA276" i="3"/>
  <c r="AA277" i="3"/>
  <c r="AA278" i="3"/>
  <c r="AA279" i="3"/>
  <c r="AA280" i="3"/>
  <c r="AA281" i="3"/>
  <c r="AB268" i="3"/>
  <c r="O268" i="3" s="1"/>
  <c r="Y268" i="3" s="1"/>
  <c r="AB269" i="3"/>
  <c r="O269" i="3" s="1"/>
  <c r="AB270" i="3"/>
  <c r="O270" i="3" s="1"/>
  <c r="AB271" i="3"/>
  <c r="O271" i="3" s="1"/>
  <c r="AB272" i="3"/>
  <c r="O272" i="3" s="1"/>
  <c r="AB273" i="3"/>
  <c r="O273" i="3" s="1"/>
  <c r="AB274" i="3"/>
  <c r="O274" i="3" s="1"/>
  <c r="AB275" i="3"/>
  <c r="O275" i="3" s="1"/>
  <c r="AB276" i="3"/>
  <c r="O276" i="3" s="1"/>
  <c r="AB277" i="3"/>
  <c r="O277" i="3" s="1"/>
  <c r="AB278" i="3"/>
  <c r="O278" i="3" s="1"/>
  <c r="AB279" i="3"/>
  <c r="O279" i="3" s="1"/>
  <c r="AB280" i="3"/>
  <c r="O280" i="3" s="1"/>
  <c r="AB281" i="3"/>
  <c r="O281" i="3" s="1"/>
  <c r="AC268" i="3"/>
  <c r="N268" i="3" s="1"/>
  <c r="AC269" i="3"/>
  <c r="N269" i="3" s="1"/>
  <c r="AC270" i="3"/>
  <c r="N270" i="3" s="1"/>
  <c r="AC271" i="3"/>
  <c r="N271" i="3" s="1"/>
  <c r="AC272" i="3"/>
  <c r="N272" i="3" s="1"/>
  <c r="AC273" i="3"/>
  <c r="N273" i="3" s="1"/>
  <c r="AC274" i="3"/>
  <c r="N274" i="3" s="1"/>
  <c r="AC275" i="3"/>
  <c r="N275" i="3" s="1"/>
  <c r="AC276" i="3"/>
  <c r="N276" i="3" s="1"/>
  <c r="AC277" i="3"/>
  <c r="N277" i="3" s="1"/>
  <c r="AC278" i="3"/>
  <c r="N278" i="3" s="1"/>
  <c r="AC279" i="3"/>
  <c r="N279" i="3" s="1"/>
  <c r="AC280" i="3"/>
  <c r="N280" i="3" s="1"/>
  <c r="AC281" i="3"/>
  <c r="N281" i="3" s="1"/>
  <c r="AK268" i="3"/>
  <c r="AK269" i="3"/>
  <c r="AK270" i="3"/>
  <c r="AK271" i="3"/>
  <c r="AK272" i="3"/>
  <c r="AK273" i="3"/>
  <c r="AK274" i="3"/>
  <c r="AK275" i="3"/>
  <c r="AK276" i="3"/>
  <c r="AK277" i="3"/>
  <c r="AK278" i="3"/>
  <c r="AK279" i="3"/>
  <c r="AK280" i="3"/>
  <c r="AK281" i="3"/>
  <c r="M257" i="3"/>
  <c r="M258" i="3"/>
  <c r="M259" i="3"/>
  <c r="M260" i="3"/>
  <c r="M261" i="3"/>
  <c r="M262" i="3"/>
  <c r="M263" i="3"/>
  <c r="M264" i="3"/>
  <c r="M265" i="3"/>
  <c r="M266" i="3"/>
  <c r="M267" i="3"/>
  <c r="P257" i="3"/>
  <c r="P258" i="3"/>
  <c r="P259" i="3"/>
  <c r="P260" i="3"/>
  <c r="P261" i="3"/>
  <c r="P262" i="3"/>
  <c r="P263" i="3"/>
  <c r="P264" i="3"/>
  <c r="P265" i="3"/>
  <c r="P266" i="3"/>
  <c r="P267" i="3"/>
  <c r="Q257" i="3"/>
  <c r="Q258" i="3"/>
  <c r="Q259" i="3"/>
  <c r="Q260" i="3"/>
  <c r="Q261" i="3"/>
  <c r="Q262" i="3"/>
  <c r="Q263" i="3"/>
  <c r="Q264" i="3"/>
  <c r="Q265" i="3"/>
  <c r="Q266" i="3"/>
  <c r="Q267" i="3"/>
  <c r="R257" i="3"/>
  <c r="R258" i="3"/>
  <c r="R259" i="3"/>
  <c r="R260" i="3"/>
  <c r="R261" i="3"/>
  <c r="R262" i="3"/>
  <c r="R263" i="3"/>
  <c r="R264" i="3"/>
  <c r="R265" i="3"/>
  <c r="R266" i="3"/>
  <c r="R267" i="3"/>
  <c r="S258" i="3"/>
  <c r="S259" i="3"/>
  <c r="S260" i="3"/>
  <c r="S261" i="3"/>
  <c r="S262" i="3"/>
  <c r="S263" i="3"/>
  <c r="S264" i="3"/>
  <c r="S265" i="3"/>
  <c r="S266" i="3"/>
  <c r="S267" i="3"/>
  <c r="T257" i="3"/>
  <c r="U257" i="3"/>
  <c r="V257" i="3"/>
  <c r="W257" i="3"/>
  <c r="X257" i="3"/>
  <c r="AA257" i="3"/>
  <c r="AA258" i="3"/>
  <c r="AA259" i="3"/>
  <c r="AA260" i="3"/>
  <c r="AA261" i="3"/>
  <c r="AA262" i="3"/>
  <c r="AA263" i="3"/>
  <c r="AA264" i="3"/>
  <c r="AA265" i="3"/>
  <c r="AA266" i="3"/>
  <c r="AA267" i="3"/>
  <c r="AB257" i="3"/>
  <c r="O257" i="3" s="1"/>
  <c r="Y257" i="3" s="1"/>
  <c r="AB258" i="3"/>
  <c r="O258" i="3" s="1"/>
  <c r="AB259" i="3"/>
  <c r="O259" i="3" s="1"/>
  <c r="AB260" i="3"/>
  <c r="O260" i="3" s="1"/>
  <c r="AB261" i="3"/>
  <c r="O261" i="3" s="1"/>
  <c r="AB262" i="3"/>
  <c r="O262" i="3" s="1"/>
  <c r="AB263" i="3"/>
  <c r="O263" i="3" s="1"/>
  <c r="AB264" i="3"/>
  <c r="O264" i="3" s="1"/>
  <c r="AB265" i="3"/>
  <c r="O265" i="3" s="1"/>
  <c r="AB266" i="3"/>
  <c r="O266" i="3" s="1"/>
  <c r="AB267" i="3"/>
  <c r="O267" i="3" s="1"/>
  <c r="AC257" i="3"/>
  <c r="N257" i="3" s="1"/>
  <c r="AC258" i="3"/>
  <c r="N258" i="3" s="1"/>
  <c r="AC259" i="3"/>
  <c r="N259" i="3" s="1"/>
  <c r="AC260" i="3"/>
  <c r="N260" i="3" s="1"/>
  <c r="AC261" i="3"/>
  <c r="N261" i="3" s="1"/>
  <c r="AC262" i="3"/>
  <c r="N262" i="3" s="1"/>
  <c r="AC263" i="3"/>
  <c r="N263" i="3" s="1"/>
  <c r="AC264" i="3"/>
  <c r="N264" i="3" s="1"/>
  <c r="AC265" i="3"/>
  <c r="N265" i="3" s="1"/>
  <c r="AC266" i="3"/>
  <c r="N266" i="3" s="1"/>
  <c r="AC267" i="3"/>
  <c r="N267" i="3" s="1"/>
  <c r="AK257" i="3"/>
  <c r="AK258" i="3"/>
  <c r="AK259" i="3"/>
  <c r="AK260" i="3"/>
  <c r="AK261" i="3"/>
  <c r="AK262" i="3"/>
  <c r="AK263" i="3"/>
  <c r="AK264" i="3"/>
  <c r="AK265" i="3"/>
  <c r="AK266" i="3"/>
  <c r="AK267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T243" i="3"/>
  <c r="U243" i="3"/>
  <c r="V243" i="3"/>
  <c r="W243" i="3"/>
  <c r="X243" i="3"/>
  <c r="AA243" i="3"/>
  <c r="AA244" i="3"/>
  <c r="AA245" i="3"/>
  <c r="AA246" i="3"/>
  <c r="AA247" i="3"/>
  <c r="AA248" i="3"/>
  <c r="AA249" i="3"/>
  <c r="AA250" i="3"/>
  <c r="AA251" i="3"/>
  <c r="AA252" i="3"/>
  <c r="AA253" i="3"/>
  <c r="AA254" i="3"/>
  <c r="AA255" i="3"/>
  <c r="AA256" i="3"/>
  <c r="AB243" i="3"/>
  <c r="O243" i="3" s="1"/>
  <c r="Y243" i="3" s="1"/>
  <c r="AB244" i="3"/>
  <c r="O244" i="3" s="1"/>
  <c r="AB245" i="3"/>
  <c r="O245" i="3" s="1"/>
  <c r="AB246" i="3"/>
  <c r="O246" i="3" s="1"/>
  <c r="AB247" i="3"/>
  <c r="O247" i="3" s="1"/>
  <c r="AB248" i="3"/>
  <c r="O248" i="3" s="1"/>
  <c r="AB249" i="3"/>
  <c r="O249" i="3" s="1"/>
  <c r="AB250" i="3"/>
  <c r="O250" i="3" s="1"/>
  <c r="AB251" i="3"/>
  <c r="O251" i="3" s="1"/>
  <c r="AB252" i="3"/>
  <c r="O252" i="3" s="1"/>
  <c r="AB253" i="3"/>
  <c r="O253" i="3" s="1"/>
  <c r="AB254" i="3"/>
  <c r="O254" i="3" s="1"/>
  <c r="AB255" i="3"/>
  <c r="O255" i="3" s="1"/>
  <c r="AB256" i="3"/>
  <c r="O256" i="3" s="1"/>
  <c r="AC243" i="3"/>
  <c r="N243" i="3" s="1"/>
  <c r="S243" i="3" s="1"/>
  <c r="AC244" i="3"/>
  <c r="N244" i="3" s="1"/>
  <c r="AC245" i="3"/>
  <c r="N245" i="3" s="1"/>
  <c r="AC246" i="3"/>
  <c r="N246" i="3" s="1"/>
  <c r="AC247" i="3"/>
  <c r="N247" i="3" s="1"/>
  <c r="AC248" i="3"/>
  <c r="N248" i="3" s="1"/>
  <c r="AC249" i="3"/>
  <c r="N249" i="3" s="1"/>
  <c r="AC250" i="3"/>
  <c r="N250" i="3" s="1"/>
  <c r="AC251" i="3"/>
  <c r="N251" i="3" s="1"/>
  <c r="AC252" i="3"/>
  <c r="N252" i="3" s="1"/>
  <c r="AC253" i="3"/>
  <c r="N253" i="3" s="1"/>
  <c r="AC254" i="3"/>
  <c r="N254" i="3" s="1"/>
  <c r="AC255" i="3"/>
  <c r="N255" i="3" s="1"/>
  <c r="AC256" i="3"/>
  <c r="N256" i="3" s="1"/>
  <c r="AK243" i="3"/>
  <c r="AK244" i="3"/>
  <c r="AK245" i="3"/>
  <c r="AK246" i="3"/>
  <c r="AK247" i="3"/>
  <c r="AK248" i="3"/>
  <c r="AK249" i="3"/>
  <c r="AK250" i="3"/>
  <c r="AK251" i="3"/>
  <c r="AK252" i="3"/>
  <c r="AK253" i="3"/>
  <c r="AK254" i="3"/>
  <c r="AK255" i="3"/>
  <c r="AK256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S222" i="3"/>
  <c r="S223" i="3"/>
  <c r="S224" i="3"/>
  <c r="S225" i="3"/>
  <c r="S226" i="3"/>
  <c r="S227" i="3"/>
  <c r="S228" i="3"/>
  <c r="S229" i="3"/>
  <c r="S230" i="3"/>
  <c r="S231" i="3"/>
  <c r="S233" i="3"/>
  <c r="S234" i="3"/>
  <c r="S235" i="3"/>
  <c r="S236" i="3"/>
  <c r="S237" i="3"/>
  <c r="S238" i="3"/>
  <c r="S239" i="3"/>
  <c r="S240" i="3"/>
  <c r="S241" i="3"/>
  <c r="S242" i="3"/>
  <c r="T221" i="3"/>
  <c r="T232" i="3"/>
  <c r="U221" i="3"/>
  <c r="U232" i="3"/>
  <c r="V221" i="3"/>
  <c r="V232" i="3"/>
  <c r="W221" i="3"/>
  <c r="W232" i="3"/>
  <c r="X221" i="3"/>
  <c r="X232" i="3"/>
  <c r="AA221" i="3"/>
  <c r="AA222" i="3"/>
  <c r="AA223" i="3"/>
  <c r="AA224" i="3"/>
  <c r="AA225" i="3"/>
  <c r="AA226" i="3"/>
  <c r="AA227" i="3"/>
  <c r="AA228" i="3"/>
  <c r="AA229" i="3"/>
  <c r="AA230" i="3"/>
  <c r="AA231" i="3"/>
  <c r="AA232" i="3"/>
  <c r="AA233" i="3"/>
  <c r="AA234" i="3"/>
  <c r="AA235" i="3"/>
  <c r="AA236" i="3"/>
  <c r="AA237" i="3"/>
  <c r="AA238" i="3"/>
  <c r="AA239" i="3"/>
  <c r="AA240" i="3"/>
  <c r="AA241" i="3"/>
  <c r="AA242" i="3"/>
  <c r="AB221" i="3"/>
  <c r="O221" i="3" s="1"/>
  <c r="Y221" i="3" s="1"/>
  <c r="AB222" i="3"/>
  <c r="O222" i="3" s="1"/>
  <c r="AB223" i="3"/>
  <c r="O223" i="3" s="1"/>
  <c r="AB224" i="3"/>
  <c r="O224" i="3" s="1"/>
  <c r="AB225" i="3"/>
  <c r="O225" i="3" s="1"/>
  <c r="AB226" i="3"/>
  <c r="O226" i="3" s="1"/>
  <c r="AB227" i="3"/>
  <c r="O227" i="3" s="1"/>
  <c r="AB228" i="3"/>
  <c r="O228" i="3" s="1"/>
  <c r="AB229" i="3"/>
  <c r="O229" i="3" s="1"/>
  <c r="AB230" i="3"/>
  <c r="O230" i="3" s="1"/>
  <c r="AB231" i="3"/>
  <c r="O231" i="3" s="1"/>
  <c r="AB232" i="3"/>
  <c r="O232" i="3" s="1"/>
  <c r="Y232" i="3" s="1"/>
  <c r="AB233" i="3"/>
  <c r="O233" i="3" s="1"/>
  <c r="AB234" i="3"/>
  <c r="O234" i="3" s="1"/>
  <c r="AB235" i="3"/>
  <c r="O235" i="3" s="1"/>
  <c r="AB236" i="3"/>
  <c r="O236" i="3" s="1"/>
  <c r="AB237" i="3"/>
  <c r="O237" i="3" s="1"/>
  <c r="AB238" i="3"/>
  <c r="O238" i="3" s="1"/>
  <c r="AB239" i="3"/>
  <c r="O239" i="3" s="1"/>
  <c r="AB240" i="3"/>
  <c r="O240" i="3" s="1"/>
  <c r="AB241" i="3"/>
  <c r="O241" i="3" s="1"/>
  <c r="AB242" i="3"/>
  <c r="O242" i="3" s="1"/>
  <c r="AC221" i="3"/>
  <c r="N221" i="3" s="1"/>
  <c r="AC222" i="3"/>
  <c r="N222" i="3" s="1"/>
  <c r="AC223" i="3"/>
  <c r="N223" i="3" s="1"/>
  <c r="AC224" i="3"/>
  <c r="N224" i="3" s="1"/>
  <c r="AC225" i="3"/>
  <c r="N225" i="3" s="1"/>
  <c r="AC226" i="3"/>
  <c r="N226" i="3" s="1"/>
  <c r="AC227" i="3"/>
  <c r="N227" i="3" s="1"/>
  <c r="AC228" i="3"/>
  <c r="N228" i="3" s="1"/>
  <c r="AC229" i="3"/>
  <c r="N229" i="3" s="1"/>
  <c r="AC230" i="3"/>
  <c r="N230" i="3" s="1"/>
  <c r="AC231" i="3"/>
  <c r="N231" i="3" s="1"/>
  <c r="AC232" i="3"/>
  <c r="N232" i="3" s="1"/>
  <c r="S232" i="3" s="1"/>
  <c r="Z232" i="3" s="1"/>
  <c r="AC233" i="3"/>
  <c r="N233" i="3" s="1"/>
  <c r="AC234" i="3"/>
  <c r="N234" i="3" s="1"/>
  <c r="AC235" i="3"/>
  <c r="N235" i="3" s="1"/>
  <c r="AC236" i="3"/>
  <c r="N236" i="3" s="1"/>
  <c r="AC237" i="3"/>
  <c r="N237" i="3" s="1"/>
  <c r="AC238" i="3"/>
  <c r="N238" i="3" s="1"/>
  <c r="AC239" i="3"/>
  <c r="N239" i="3" s="1"/>
  <c r="AC240" i="3"/>
  <c r="N240" i="3" s="1"/>
  <c r="AC241" i="3"/>
  <c r="N241" i="3" s="1"/>
  <c r="AC242" i="3"/>
  <c r="N242" i="3" s="1"/>
  <c r="AK221" i="3"/>
  <c r="AK222" i="3"/>
  <c r="AK223" i="3"/>
  <c r="AK224" i="3"/>
  <c r="AK225" i="3"/>
  <c r="AK226" i="3"/>
  <c r="AK227" i="3"/>
  <c r="AK228" i="3"/>
  <c r="AK229" i="3"/>
  <c r="AK230" i="3"/>
  <c r="AK231" i="3"/>
  <c r="AK232" i="3"/>
  <c r="AK233" i="3"/>
  <c r="AK234" i="3"/>
  <c r="AK235" i="3"/>
  <c r="AK236" i="3"/>
  <c r="AK237" i="3"/>
  <c r="AK238" i="3"/>
  <c r="AK239" i="3"/>
  <c r="AK240" i="3"/>
  <c r="AK241" i="3"/>
  <c r="AK242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1" i="3"/>
  <c r="S212" i="3"/>
  <c r="S213" i="3"/>
  <c r="S214" i="3"/>
  <c r="S215" i="3"/>
  <c r="S216" i="3"/>
  <c r="S217" i="3"/>
  <c r="S218" i="3"/>
  <c r="S219" i="3"/>
  <c r="S220" i="3"/>
  <c r="T197" i="3"/>
  <c r="T210" i="3"/>
  <c r="U197" i="3"/>
  <c r="U210" i="3"/>
  <c r="V197" i="3"/>
  <c r="V210" i="3"/>
  <c r="W197" i="3"/>
  <c r="W210" i="3"/>
  <c r="X197" i="3"/>
  <c r="X210" i="3"/>
  <c r="AA197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1" i="3"/>
  <c r="AA212" i="3"/>
  <c r="AA213" i="3"/>
  <c r="AA214" i="3"/>
  <c r="AA215" i="3"/>
  <c r="AA216" i="3"/>
  <c r="AA217" i="3"/>
  <c r="AA218" i="3"/>
  <c r="AA219" i="3"/>
  <c r="AA220" i="3"/>
  <c r="AB197" i="3"/>
  <c r="O197" i="3" s="1"/>
  <c r="AB198" i="3"/>
  <c r="O198" i="3" s="1"/>
  <c r="AB199" i="3"/>
  <c r="O199" i="3" s="1"/>
  <c r="AB200" i="3"/>
  <c r="O200" i="3" s="1"/>
  <c r="AB201" i="3"/>
  <c r="O201" i="3" s="1"/>
  <c r="AB202" i="3"/>
  <c r="O202" i="3" s="1"/>
  <c r="AB203" i="3"/>
  <c r="O203" i="3" s="1"/>
  <c r="AB204" i="3"/>
  <c r="O204" i="3" s="1"/>
  <c r="AB205" i="3"/>
  <c r="O205" i="3" s="1"/>
  <c r="AB206" i="3"/>
  <c r="O206" i="3" s="1"/>
  <c r="AB207" i="3"/>
  <c r="O207" i="3" s="1"/>
  <c r="AB208" i="3"/>
  <c r="O208" i="3" s="1"/>
  <c r="AB209" i="3"/>
  <c r="O209" i="3" s="1"/>
  <c r="AB210" i="3"/>
  <c r="O210" i="3" s="1"/>
  <c r="Y210" i="3" s="1"/>
  <c r="AB211" i="3"/>
  <c r="O211" i="3" s="1"/>
  <c r="AB212" i="3"/>
  <c r="O212" i="3" s="1"/>
  <c r="AB213" i="3"/>
  <c r="O213" i="3" s="1"/>
  <c r="AB214" i="3"/>
  <c r="O214" i="3" s="1"/>
  <c r="AB215" i="3"/>
  <c r="O215" i="3" s="1"/>
  <c r="AB216" i="3"/>
  <c r="O216" i="3" s="1"/>
  <c r="AB217" i="3"/>
  <c r="O217" i="3" s="1"/>
  <c r="AB218" i="3"/>
  <c r="O218" i="3" s="1"/>
  <c r="AB219" i="3"/>
  <c r="O219" i="3" s="1"/>
  <c r="AB220" i="3"/>
  <c r="O220" i="3" s="1"/>
  <c r="AC197" i="3"/>
  <c r="N197" i="3" s="1"/>
  <c r="AC198" i="3"/>
  <c r="N198" i="3" s="1"/>
  <c r="AC199" i="3"/>
  <c r="N199" i="3" s="1"/>
  <c r="AC200" i="3"/>
  <c r="N200" i="3" s="1"/>
  <c r="AC201" i="3"/>
  <c r="N201" i="3" s="1"/>
  <c r="AC202" i="3"/>
  <c r="N202" i="3" s="1"/>
  <c r="AC203" i="3"/>
  <c r="N203" i="3" s="1"/>
  <c r="AC204" i="3"/>
  <c r="N204" i="3" s="1"/>
  <c r="AC205" i="3"/>
  <c r="N205" i="3" s="1"/>
  <c r="AC206" i="3"/>
  <c r="N206" i="3" s="1"/>
  <c r="AC207" i="3"/>
  <c r="N207" i="3" s="1"/>
  <c r="AC208" i="3"/>
  <c r="N208" i="3" s="1"/>
  <c r="AC209" i="3"/>
  <c r="N209" i="3" s="1"/>
  <c r="AC210" i="3"/>
  <c r="N210" i="3" s="1"/>
  <c r="AC211" i="3"/>
  <c r="N211" i="3" s="1"/>
  <c r="AC212" i="3"/>
  <c r="N212" i="3" s="1"/>
  <c r="AC213" i="3"/>
  <c r="N213" i="3" s="1"/>
  <c r="AC214" i="3"/>
  <c r="N214" i="3" s="1"/>
  <c r="AC215" i="3"/>
  <c r="N215" i="3" s="1"/>
  <c r="AC216" i="3"/>
  <c r="N216" i="3" s="1"/>
  <c r="AC217" i="3"/>
  <c r="N217" i="3" s="1"/>
  <c r="AC218" i="3"/>
  <c r="N218" i="3" s="1"/>
  <c r="AC219" i="3"/>
  <c r="N219" i="3" s="1"/>
  <c r="AC220" i="3"/>
  <c r="N220" i="3" s="1"/>
  <c r="AK197" i="3"/>
  <c r="AK198" i="3"/>
  <c r="AK199" i="3"/>
  <c r="AK200" i="3"/>
  <c r="AK201" i="3"/>
  <c r="AK202" i="3"/>
  <c r="AK203" i="3"/>
  <c r="AK204" i="3"/>
  <c r="AK205" i="3"/>
  <c r="AK206" i="3"/>
  <c r="AK207" i="3"/>
  <c r="AK208" i="3"/>
  <c r="AK209" i="3"/>
  <c r="AK210" i="3"/>
  <c r="AK211" i="3"/>
  <c r="AK212" i="3"/>
  <c r="AK213" i="3"/>
  <c r="AK214" i="3"/>
  <c r="AK215" i="3"/>
  <c r="AK216" i="3"/>
  <c r="AK217" i="3"/>
  <c r="AK218" i="3"/>
  <c r="AK219" i="3"/>
  <c r="AK220" i="3"/>
  <c r="Z405" i="3" l="1"/>
  <c r="Z476" i="3"/>
  <c r="Z293" i="3"/>
  <c r="Z449" i="3"/>
  <c r="Z243" i="3"/>
  <c r="T411" i="3"/>
  <c r="Y399" i="3"/>
  <c r="Y197" i="3"/>
  <c r="S197" i="3"/>
  <c r="Z197" i="3" s="1"/>
  <c r="S210" i="3"/>
  <c r="Z210" i="3" s="1"/>
  <c r="S463" i="3"/>
  <c r="Z463" i="3" s="1"/>
  <c r="T499" i="3"/>
  <c r="U499" i="3"/>
  <c r="V499" i="3"/>
  <c r="W499" i="3"/>
  <c r="X499" i="3"/>
  <c r="T497" i="3"/>
  <c r="U497" i="3"/>
  <c r="V497" i="3"/>
  <c r="W497" i="3"/>
  <c r="X497" i="3"/>
  <c r="T495" i="3"/>
  <c r="U495" i="3"/>
  <c r="V495" i="3"/>
  <c r="W495" i="3"/>
  <c r="X495" i="3"/>
  <c r="T493" i="3"/>
  <c r="U493" i="3"/>
  <c r="V493" i="3"/>
  <c r="W493" i="3"/>
  <c r="X493" i="3"/>
  <c r="T491" i="3"/>
  <c r="U491" i="3"/>
  <c r="V491" i="3"/>
  <c r="W491" i="3"/>
  <c r="X491" i="3"/>
  <c r="T489" i="3"/>
  <c r="U489" i="3"/>
  <c r="V489" i="3"/>
  <c r="W489" i="3"/>
  <c r="X489" i="3"/>
  <c r="T485" i="3"/>
  <c r="U485" i="3"/>
  <c r="V485" i="3"/>
  <c r="W485" i="3"/>
  <c r="X485" i="3"/>
  <c r="Y485" i="3"/>
  <c r="T483" i="3"/>
  <c r="U483" i="3"/>
  <c r="V483" i="3"/>
  <c r="W483" i="3"/>
  <c r="X483" i="3"/>
  <c r="Y483" i="3"/>
  <c r="T481" i="3"/>
  <c r="U481" i="3"/>
  <c r="V481" i="3"/>
  <c r="W481" i="3"/>
  <c r="X481" i="3"/>
  <c r="Y481" i="3"/>
  <c r="T479" i="3"/>
  <c r="U479" i="3"/>
  <c r="V479" i="3"/>
  <c r="W479" i="3"/>
  <c r="X479" i="3"/>
  <c r="Y479" i="3"/>
  <c r="T477" i="3"/>
  <c r="U477" i="3"/>
  <c r="V477" i="3"/>
  <c r="W477" i="3"/>
  <c r="X477" i="3"/>
  <c r="Y477" i="3"/>
  <c r="Y499" i="3"/>
  <c r="Y497" i="3"/>
  <c r="Y495" i="3"/>
  <c r="Y493" i="3"/>
  <c r="Y491" i="3"/>
  <c r="Y489" i="3"/>
  <c r="T498" i="3"/>
  <c r="U498" i="3"/>
  <c r="V498" i="3"/>
  <c r="W498" i="3"/>
  <c r="X498" i="3"/>
  <c r="T496" i="3"/>
  <c r="U496" i="3"/>
  <c r="V496" i="3"/>
  <c r="W496" i="3"/>
  <c r="X496" i="3"/>
  <c r="T494" i="3"/>
  <c r="U494" i="3"/>
  <c r="V494" i="3"/>
  <c r="W494" i="3"/>
  <c r="X494" i="3"/>
  <c r="T492" i="3"/>
  <c r="U492" i="3"/>
  <c r="V492" i="3"/>
  <c r="W492" i="3"/>
  <c r="X492" i="3"/>
  <c r="T490" i="3"/>
  <c r="U490" i="3"/>
  <c r="V490" i="3"/>
  <c r="W490" i="3"/>
  <c r="X490" i="3"/>
  <c r="T488" i="3"/>
  <c r="U488" i="3"/>
  <c r="V488" i="3"/>
  <c r="W488" i="3"/>
  <c r="X488" i="3"/>
  <c r="T486" i="3"/>
  <c r="U486" i="3"/>
  <c r="V486" i="3"/>
  <c r="W486" i="3"/>
  <c r="X486" i="3"/>
  <c r="T484" i="3"/>
  <c r="U484" i="3"/>
  <c r="V484" i="3"/>
  <c r="W484" i="3"/>
  <c r="X484" i="3"/>
  <c r="Y484" i="3"/>
  <c r="T482" i="3"/>
  <c r="U482" i="3"/>
  <c r="V482" i="3"/>
  <c r="W482" i="3"/>
  <c r="X482" i="3"/>
  <c r="Y482" i="3"/>
  <c r="T480" i="3"/>
  <c r="U480" i="3"/>
  <c r="V480" i="3"/>
  <c r="W480" i="3"/>
  <c r="X480" i="3"/>
  <c r="Y480" i="3"/>
  <c r="T478" i="3"/>
  <c r="U478" i="3"/>
  <c r="V478" i="3"/>
  <c r="W478" i="3"/>
  <c r="X478" i="3"/>
  <c r="Y478" i="3"/>
  <c r="Y498" i="3"/>
  <c r="Y496" i="3"/>
  <c r="Y494" i="3"/>
  <c r="Y492" i="3"/>
  <c r="Y490" i="3"/>
  <c r="Y488" i="3"/>
  <c r="Y486" i="3"/>
  <c r="U475" i="3"/>
  <c r="W475" i="3"/>
  <c r="Y475" i="3"/>
  <c r="T475" i="3"/>
  <c r="V475" i="3"/>
  <c r="X475" i="3"/>
  <c r="U473" i="3"/>
  <c r="W473" i="3"/>
  <c r="Y473" i="3"/>
  <c r="T473" i="3"/>
  <c r="V473" i="3"/>
  <c r="X473" i="3"/>
  <c r="U471" i="3"/>
  <c r="W471" i="3"/>
  <c r="Y471" i="3"/>
  <c r="T471" i="3"/>
  <c r="V471" i="3"/>
  <c r="X471" i="3"/>
  <c r="U469" i="3"/>
  <c r="W469" i="3"/>
  <c r="Y469" i="3"/>
  <c r="T469" i="3"/>
  <c r="V469" i="3"/>
  <c r="X469" i="3"/>
  <c r="U467" i="3"/>
  <c r="W467" i="3"/>
  <c r="Y467" i="3"/>
  <c r="T467" i="3"/>
  <c r="V467" i="3"/>
  <c r="X467" i="3"/>
  <c r="U465" i="3"/>
  <c r="W465" i="3"/>
  <c r="Y465" i="3"/>
  <c r="T465" i="3"/>
  <c r="V465" i="3"/>
  <c r="X465" i="3"/>
  <c r="T474" i="3"/>
  <c r="V474" i="3"/>
  <c r="X474" i="3"/>
  <c r="U474" i="3"/>
  <c r="W474" i="3"/>
  <c r="Y474" i="3"/>
  <c r="T472" i="3"/>
  <c r="V472" i="3"/>
  <c r="X472" i="3"/>
  <c r="U472" i="3"/>
  <c r="W472" i="3"/>
  <c r="Y472" i="3"/>
  <c r="T470" i="3"/>
  <c r="V470" i="3"/>
  <c r="X470" i="3"/>
  <c r="U470" i="3"/>
  <c r="W470" i="3"/>
  <c r="Y470" i="3"/>
  <c r="T468" i="3"/>
  <c r="V468" i="3"/>
  <c r="X468" i="3"/>
  <c r="U468" i="3"/>
  <c r="W468" i="3"/>
  <c r="Y468" i="3"/>
  <c r="T466" i="3"/>
  <c r="V466" i="3"/>
  <c r="X466" i="3"/>
  <c r="U466" i="3"/>
  <c r="W466" i="3"/>
  <c r="Y466" i="3"/>
  <c r="T464" i="3"/>
  <c r="V464" i="3"/>
  <c r="X464" i="3"/>
  <c r="U464" i="3"/>
  <c r="W464" i="3"/>
  <c r="Y464" i="3"/>
  <c r="T462" i="3"/>
  <c r="U462" i="3"/>
  <c r="V462" i="3"/>
  <c r="W462" i="3"/>
  <c r="X462" i="3"/>
  <c r="Y462" i="3"/>
  <c r="T460" i="3"/>
  <c r="U460" i="3"/>
  <c r="V460" i="3"/>
  <c r="W460" i="3"/>
  <c r="X460" i="3"/>
  <c r="Y460" i="3"/>
  <c r="T458" i="3"/>
  <c r="U458" i="3"/>
  <c r="V458" i="3"/>
  <c r="W458" i="3"/>
  <c r="X458" i="3"/>
  <c r="Y458" i="3"/>
  <c r="T456" i="3"/>
  <c r="U456" i="3"/>
  <c r="V456" i="3"/>
  <c r="W456" i="3"/>
  <c r="X456" i="3"/>
  <c r="Y456" i="3"/>
  <c r="T454" i="3"/>
  <c r="U454" i="3"/>
  <c r="V454" i="3"/>
  <c r="W454" i="3"/>
  <c r="X454" i="3"/>
  <c r="Y454" i="3"/>
  <c r="T452" i="3"/>
  <c r="U452" i="3"/>
  <c r="V452" i="3"/>
  <c r="W452" i="3"/>
  <c r="X452" i="3"/>
  <c r="Y452" i="3"/>
  <c r="T450" i="3"/>
  <c r="U450" i="3"/>
  <c r="V450" i="3"/>
  <c r="W450" i="3"/>
  <c r="X450" i="3"/>
  <c r="Y450" i="3"/>
  <c r="T461" i="3"/>
  <c r="U461" i="3"/>
  <c r="V461" i="3"/>
  <c r="W461" i="3"/>
  <c r="X461" i="3"/>
  <c r="Y461" i="3"/>
  <c r="T459" i="3"/>
  <c r="U459" i="3"/>
  <c r="V459" i="3"/>
  <c r="W459" i="3"/>
  <c r="X459" i="3"/>
  <c r="Y459" i="3"/>
  <c r="T457" i="3"/>
  <c r="U457" i="3"/>
  <c r="V457" i="3"/>
  <c r="W457" i="3"/>
  <c r="X457" i="3"/>
  <c r="Y457" i="3"/>
  <c r="T455" i="3"/>
  <c r="U455" i="3"/>
  <c r="V455" i="3"/>
  <c r="W455" i="3"/>
  <c r="X455" i="3"/>
  <c r="Y455" i="3"/>
  <c r="T453" i="3"/>
  <c r="U453" i="3"/>
  <c r="V453" i="3"/>
  <c r="W453" i="3"/>
  <c r="X453" i="3"/>
  <c r="Y453" i="3"/>
  <c r="T451" i="3"/>
  <c r="U451" i="3"/>
  <c r="V451" i="3"/>
  <c r="W451" i="3"/>
  <c r="X451" i="3"/>
  <c r="Y451" i="3"/>
  <c r="V397" i="3"/>
  <c r="S416" i="3"/>
  <c r="Z416" i="3" s="1"/>
  <c r="S438" i="3"/>
  <c r="Z438" i="3" s="1"/>
  <c r="S427" i="3"/>
  <c r="Z427" i="3" s="1"/>
  <c r="U448" i="3"/>
  <c r="W448" i="3"/>
  <c r="Y448" i="3"/>
  <c r="T448" i="3"/>
  <c r="V448" i="3"/>
  <c r="X448" i="3"/>
  <c r="U446" i="3"/>
  <c r="W446" i="3"/>
  <c r="Y446" i="3"/>
  <c r="T446" i="3"/>
  <c r="V446" i="3"/>
  <c r="X446" i="3"/>
  <c r="U444" i="3"/>
  <c r="W444" i="3"/>
  <c r="Y444" i="3"/>
  <c r="T444" i="3"/>
  <c r="V444" i="3"/>
  <c r="X444" i="3"/>
  <c r="U442" i="3"/>
  <c r="W442" i="3"/>
  <c r="Y442" i="3"/>
  <c r="T442" i="3"/>
  <c r="V442" i="3"/>
  <c r="X442" i="3"/>
  <c r="U440" i="3"/>
  <c r="W440" i="3"/>
  <c r="Y440" i="3"/>
  <c r="T440" i="3"/>
  <c r="V440" i="3"/>
  <c r="X440" i="3"/>
  <c r="T447" i="3"/>
  <c r="V447" i="3"/>
  <c r="X447" i="3"/>
  <c r="U447" i="3"/>
  <c r="W447" i="3"/>
  <c r="Y447" i="3"/>
  <c r="T445" i="3"/>
  <c r="V445" i="3"/>
  <c r="X445" i="3"/>
  <c r="U445" i="3"/>
  <c r="W445" i="3"/>
  <c r="Y445" i="3"/>
  <c r="T443" i="3"/>
  <c r="V443" i="3"/>
  <c r="X443" i="3"/>
  <c r="U443" i="3"/>
  <c r="W443" i="3"/>
  <c r="Y443" i="3"/>
  <c r="T441" i="3"/>
  <c r="V441" i="3"/>
  <c r="X441" i="3"/>
  <c r="U441" i="3"/>
  <c r="W441" i="3"/>
  <c r="Y441" i="3"/>
  <c r="T439" i="3"/>
  <c r="V439" i="3"/>
  <c r="X439" i="3"/>
  <c r="U439" i="3"/>
  <c r="W439" i="3"/>
  <c r="Y439" i="3"/>
  <c r="U437" i="3"/>
  <c r="W437" i="3"/>
  <c r="Y437" i="3"/>
  <c r="T437" i="3"/>
  <c r="V437" i="3"/>
  <c r="X437" i="3"/>
  <c r="U435" i="3"/>
  <c r="W435" i="3"/>
  <c r="Y435" i="3"/>
  <c r="T435" i="3"/>
  <c r="V435" i="3"/>
  <c r="X435" i="3"/>
  <c r="U433" i="3"/>
  <c r="W433" i="3"/>
  <c r="Y433" i="3"/>
  <c r="T433" i="3"/>
  <c r="V433" i="3"/>
  <c r="X433" i="3"/>
  <c r="U431" i="3"/>
  <c r="W431" i="3"/>
  <c r="Y431" i="3"/>
  <c r="T431" i="3"/>
  <c r="V431" i="3"/>
  <c r="X431" i="3"/>
  <c r="U429" i="3"/>
  <c r="W429" i="3"/>
  <c r="Y429" i="3"/>
  <c r="T429" i="3"/>
  <c r="V429" i="3"/>
  <c r="X429" i="3"/>
  <c r="T436" i="3"/>
  <c r="V436" i="3"/>
  <c r="X436" i="3"/>
  <c r="U436" i="3"/>
  <c r="W436" i="3"/>
  <c r="Y436" i="3"/>
  <c r="T434" i="3"/>
  <c r="V434" i="3"/>
  <c r="X434" i="3"/>
  <c r="U434" i="3"/>
  <c r="W434" i="3"/>
  <c r="Y434" i="3"/>
  <c r="T432" i="3"/>
  <c r="V432" i="3"/>
  <c r="X432" i="3"/>
  <c r="U432" i="3"/>
  <c r="W432" i="3"/>
  <c r="Y432" i="3"/>
  <c r="T430" i="3"/>
  <c r="V430" i="3"/>
  <c r="X430" i="3"/>
  <c r="U430" i="3"/>
  <c r="W430" i="3"/>
  <c r="Y430" i="3"/>
  <c r="T428" i="3"/>
  <c r="V428" i="3"/>
  <c r="X428" i="3"/>
  <c r="U428" i="3"/>
  <c r="W428" i="3"/>
  <c r="Y428" i="3"/>
  <c r="U426" i="3"/>
  <c r="W426" i="3"/>
  <c r="Y426" i="3"/>
  <c r="T426" i="3"/>
  <c r="V426" i="3"/>
  <c r="X426" i="3"/>
  <c r="U424" i="3"/>
  <c r="W424" i="3"/>
  <c r="Y424" i="3"/>
  <c r="T424" i="3"/>
  <c r="V424" i="3"/>
  <c r="X424" i="3"/>
  <c r="U422" i="3"/>
  <c r="W422" i="3"/>
  <c r="Y422" i="3"/>
  <c r="T422" i="3"/>
  <c r="V422" i="3"/>
  <c r="X422" i="3"/>
  <c r="U420" i="3"/>
  <c r="W420" i="3"/>
  <c r="Y420" i="3"/>
  <c r="T420" i="3"/>
  <c r="V420" i="3"/>
  <c r="X420" i="3"/>
  <c r="U418" i="3"/>
  <c r="W418" i="3"/>
  <c r="Y418" i="3"/>
  <c r="T418" i="3"/>
  <c r="V418" i="3"/>
  <c r="X418" i="3"/>
  <c r="T425" i="3"/>
  <c r="V425" i="3"/>
  <c r="X425" i="3"/>
  <c r="U425" i="3"/>
  <c r="W425" i="3"/>
  <c r="Y425" i="3"/>
  <c r="T423" i="3"/>
  <c r="V423" i="3"/>
  <c r="X423" i="3"/>
  <c r="U423" i="3"/>
  <c r="W423" i="3"/>
  <c r="Y423" i="3"/>
  <c r="T421" i="3"/>
  <c r="V421" i="3"/>
  <c r="X421" i="3"/>
  <c r="U421" i="3"/>
  <c r="W421" i="3"/>
  <c r="Y421" i="3"/>
  <c r="T419" i="3"/>
  <c r="V419" i="3"/>
  <c r="X419" i="3"/>
  <c r="U419" i="3"/>
  <c r="W419" i="3"/>
  <c r="Y419" i="3"/>
  <c r="T417" i="3"/>
  <c r="V417" i="3"/>
  <c r="X417" i="3"/>
  <c r="U417" i="3"/>
  <c r="W417" i="3"/>
  <c r="Y417" i="3"/>
  <c r="T414" i="3"/>
  <c r="U414" i="3"/>
  <c r="V414" i="3"/>
  <c r="W414" i="3"/>
  <c r="X414" i="3"/>
  <c r="Y414" i="3"/>
  <c r="T412" i="3"/>
  <c r="U412" i="3"/>
  <c r="V412" i="3"/>
  <c r="W412" i="3"/>
  <c r="X412" i="3"/>
  <c r="Y412" i="3"/>
  <c r="T410" i="3"/>
  <c r="U410" i="3"/>
  <c r="V410" i="3"/>
  <c r="W410" i="3"/>
  <c r="X410" i="3"/>
  <c r="Y410" i="3"/>
  <c r="T408" i="3"/>
  <c r="U408" i="3"/>
  <c r="V408" i="3"/>
  <c r="W408" i="3"/>
  <c r="X408" i="3"/>
  <c r="Y408" i="3"/>
  <c r="T406" i="3"/>
  <c r="U406" i="3"/>
  <c r="V406" i="3"/>
  <c r="W406" i="3"/>
  <c r="X406" i="3"/>
  <c r="Y406" i="3"/>
  <c r="T404" i="3"/>
  <c r="U404" i="3"/>
  <c r="V404" i="3"/>
  <c r="W404" i="3"/>
  <c r="X404" i="3"/>
  <c r="Y404" i="3"/>
  <c r="T402" i="3"/>
  <c r="U402" i="3"/>
  <c r="V402" i="3"/>
  <c r="W402" i="3"/>
  <c r="X402" i="3"/>
  <c r="Y402" i="3"/>
  <c r="T400" i="3"/>
  <c r="U400" i="3"/>
  <c r="V400" i="3"/>
  <c r="W400" i="3"/>
  <c r="X400" i="3"/>
  <c r="Y400" i="3"/>
  <c r="T398" i="3"/>
  <c r="U398" i="3"/>
  <c r="V398" i="3"/>
  <c r="W398" i="3"/>
  <c r="X398" i="3"/>
  <c r="Y398" i="3"/>
  <c r="T396" i="3"/>
  <c r="U396" i="3"/>
  <c r="V396" i="3"/>
  <c r="W396" i="3"/>
  <c r="X396" i="3"/>
  <c r="Y396" i="3"/>
  <c r="Y415" i="3"/>
  <c r="Y411" i="3"/>
  <c r="X413" i="3"/>
  <c r="X409" i="3"/>
  <c r="X401" i="3"/>
  <c r="X397" i="3"/>
  <c r="W413" i="3"/>
  <c r="W409" i="3"/>
  <c r="W401" i="3"/>
  <c r="W397" i="3"/>
  <c r="V413" i="3"/>
  <c r="U413" i="3"/>
  <c r="T409" i="3"/>
  <c r="U409" i="3"/>
  <c r="T407" i="3"/>
  <c r="U407" i="3"/>
  <c r="T403" i="3"/>
  <c r="U403" i="3"/>
  <c r="T401" i="3"/>
  <c r="U401" i="3"/>
  <c r="T399" i="3"/>
  <c r="U399" i="3"/>
  <c r="T397" i="3"/>
  <c r="U397" i="3"/>
  <c r="T395" i="3"/>
  <c r="U395" i="3"/>
  <c r="Y413" i="3"/>
  <c r="Y409" i="3"/>
  <c r="Y401" i="3"/>
  <c r="Y397" i="3"/>
  <c r="X415" i="3"/>
  <c r="X411" i="3"/>
  <c r="X407" i="3"/>
  <c r="X403" i="3"/>
  <c r="X399" i="3"/>
  <c r="X395" i="3"/>
  <c r="W415" i="3"/>
  <c r="W411" i="3"/>
  <c r="W407" i="3"/>
  <c r="W403" i="3"/>
  <c r="W399" i="3"/>
  <c r="W395" i="3"/>
  <c r="V415" i="3"/>
  <c r="V411" i="3"/>
  <c r="V407" i="3"/>
  <c r="V403" i="3"/>
  <c r="V399" i="3"/>
  <c r="V395" i="3"/>
  <c r="U415" i="3"/>
  <c r="Z415" i="3" s="1"/>
  <c r="U411" i="3"/>
  <c r="Y389" i="3"/>
  <c r="Y385" i="3"/>
  <c r="S383" i="3"/>
  <c r="Z383" i="3" s="1"/>
  <c r="S371" i="3"/>
  <c r="Z371" i="3" s="1"/>
  <c r="T392" i="3"/>
  <c r="V392" i="3"/>
  <c r="X392" i="3"/>
  <c r="U392" i="3"/>
  <c r="W392" i="3"/>
  <c r="T390" i="3"/>
  <c r="V390" i="3"/>
  <c r="X390" i="3"/>
  <c r="U390" i="3"/>
  <c r="W390" i="3"/>
  <c r="Y390" i="3"/>
  <c r="T388" i="3"/>
  <c r="V388" i="3"/>
  <c r="X388" i="3"/>
  <c r="U388" i="3"/>
  <c r="W388" i="3"/>
  <c r="Y388" i="3"/>
  <c r="T386" i="3"/>
  <c r="V386" i="3"/>
  <c r="X386" i="3"/>
  <c r="U386" i="3"/>
  <c r="W386" i="3"/>
  <c r="Y386" i="3"/>
  <c r="T384" i="3"/>
  <c r="V384" i="3"/>
  <c r="X384" i="3"/>
  <c r="U384" i="3"/>
  <c r="W384" i="3"/>
  <c r="Y384" i="3"/>
  <c r="T382" i="3"/>
  <c r="V382" i="3"/>
  <c r="X382" i="3"/>
  <c r="U382" i="3"/>
  <c r="W382" i="3"/>
  <c r="Y382" i="3"/>
  <c r="T380" i="3"/>
  <c r="V380" i="3"/>
  <c r="X380" i="3"/>
  <c r="U380" i="3"/>
  <c r="W380" i="3"/>
  <c r="Y380" i="3"/>
  <c r="T378" i="3"/>
  <c r="V378" i="3"/>
  <c r="X378" i="3"/>
  <c r="U378" i="3"/>
  <c r="W378" i="3"/>
  <c r="Y378" i="3"/>
  <c r="T376" i="3"/>
  <c r="V376" i="3"/>
  <c r="X376" i="3"/>
  <c r="U376" i="3"/>
  <c r="W376" i="3"/>
  <c r="Y376" i="3"/>
  <c r="T374" i="3"/>
  <c r="V374" i="3"/>
  <c r="X374" i="3"/>
  <c r="U374" i="3"/>
  <c r="W374" i="3"/>
  <c r="Y374" i="3"/>
  <c r="T372" i="3"/>
  <c r="V372" i="3"/>
  <c r="X372" i="3"/>
  <c r="U372" i="3"/>
  <c r="W372" i="3"/>
  <c r="Y372" i="3"/>
  <c r="Y392" i="3"/>
  <c r="U393" i="3"/>
  <c r="W393" i="3"/>
  <c r="T393" i="3"/>
  <c r="V393" i="3"/>
  <c r="X393" i="3"/>
  <c r="U391" i="3"/>
  <c r="W391" i="3"/>
  <c r="T391" i="3"/>
  <c r="V391" i="3"/>
  <c r="X391" i="3"/>
  <c r="U389" i="3"/>
  <c r="W389" i="3"/>
  <c r="T389" i="3"/>
  <c r="V389" i="3"/>
  <c r="X389" i="3"/>
  <c r="U387" i="3"/>
  <c r="W387" i="3"/>
  <c r="T387" i="3"/>
  <c r="V387" i="3"/>
  <c r="X387" i="3"/>
  <c r="U385" i="3"/>
  <c r="W385" i="3"/>
  <c r="T385" i="3"/>
  <c r="V385" i="3"/>
  <c r="X385" i="3"/>
  <c r="U381" i="3"/>
  <c r="W381" i="3"/>
  <c r="Y381" i="3"/>
  <c r="T381" i="3"/>
  <c r="V381" i="3"/>
  <c r="X381" i="3"/>
  <c r="U379" i="3"/>
  <c r="W379" i="3"/>
  <c r="Y379" i="3"/>
  <c r="T379" i="3"/>
  <c r="V379" i="3"/>
  <c r="X379" i="3"/>
  <c r="U377" i="3"/>
  <c r="W377" i="3"/>
  <c r="Y377" i="3"/>
  <c r="T377" i="3"/>
  <c r="V377" i="3"/>
  <c r="X377" i="3"/>
  <c r="U375" i="3"/>
  <c r="W375" i="3"/>
  <c r="Y375" i="3"/>
  <c r="T375" i="3"/>
  <c r="V375" i="3"/>
  <c r="X375" i="3"/>
  <c r="U373" i="3"/>
  <c r="W373" i="3"/>
  <c r="Y373" i="3"/>
  <c r="T373" i="3"/>
  <c r="V373" i="3"/>
  <c r="X373" i="3"/>
  <c r="Y393" i="3"/>
  <c r="Y391" i="3"/>
  <c r="Y387" i="3"/>
  <c r="S360" i="3"/>
  <c r="Z360" i="3" s="1"/>
  <c r="U370" i="3"/>
  <c r="W370" i="3"/>
  <c r="Y370" i="3"/>
  <c r="T370" i="3"/>
  <c r="V370" i="3"/>
  <c r="X370" i="3"/>
  <c r="U368" i="3"/>
  <c r="W368" i="3"/>
  <c r="Y368" i="3"/>
  <c r="T368" i="3"/>
  <c r="V368" i="3"/>
  <c r="X368" i="3"/>
  <c r="U366" i="3"/>
  <c r="W366" i="3"/>
  <c r="Y366" i="3"/>
  <c r="T366" i="3"/>
  <c r="V366" i="3"/>
  <c r="X366" i="3"/>
  <c r="U364" i="3"/>
  <c r="W364" i="3"/>
  <c r="Y364" i="3"/>
  <c r="T364" i="3"/>
  <c r="V364" i="3"/>
  <c r="X364" i="3"/>
  <c r="U362" i="3"/>
  <c r="W362" i="3"/>
  <c r="Y362" i="3"/>
  <c r="T362" i="3"/>
  <c r="V362" i="3"/>
  <c r="X362" i="3"/>
  <c r="T369" i="3"/>
  <c r="V369" i="3"/>
  <c r="X369" i="3"/>
  <c r="U369" i="3"/>
  <c r="W369" i="3"/>
  <c r="Y369" i="3"/>
  <c r="T367" i="3"/>
  <c r="V367" i="3"/>
  <c r="X367" i="3"/>
  <c r="U367" i="3"/>
  <c r="W367" i="3"/>
  <c r="Y367" i="3"/>
  <c r="T365" i="3"/>
  <c r="V365" i="3"/>
  <c r="X365" i="3"/>
  <c r="U365" i="3"/>
  <c r="W365" i="3"/>
  <c r="Y365" i="3"/>
  <c r="T363" i="3"/>
  <c r="V363" i="3"/>
  <c r="X363" i="3"/>
  <c r="U363" i="3"/>
  <c r="W363" i="3"/>
  <c r="Y363" i="3"/>
  <c r="T361" i="3"/>
  <c r="V361" i="3"/>
  <c r="X361" i="3"/>
  <c r="U361" i="3"/>
  <c r="W361" i="3"/>
  <c r="Y361" i="3"/>
  <c r="S349" i="3"/>
  <c r="Z349" i="3" s="1"/>
  <c r="U359" i="3"/>
  <c r="W359" i="3"/>
  <c r="Y359" i="3"/>
  <c r="T359" i="3"/>
  <c r="V359" i="3"/>
  <c r="X359" i="3"/>
  <c r="U357" i="3"/>
  <c r="W357" i="3"/>
  <c r="Y357" i="3"/>
  <c r="T357" i="3"/>
  <c r="V357" i="3"/>
  <c r="X357" i="3"/>
  <c r="U355" i="3"/>
  <c r="W355" i="3"/>
  <c r="Y355" i="3"/>
  <c r="T355" i="3"/>
  <c r="V355" i="3"/>
  <c r="X355" i="3"/>
  <c r="U353" i="3"/>
  <c r="W353" i="3"/>
  <c r="Y353" i="3"/>
  <c r="T353" i="3"/>
  <c r="V353" i="3"/>
  <c r="X353" i="3"/>
  <c r="U351" i="3"/>
  <c r="W351" i="3"/>
  <c r="Y351" i="3"/>
  <c r="T351" i="3"/>
  <c r="V351" i="3"/>
  <c r="X351" i="3"/>
  <c r="T358" i="3"/>
  <c r="V358" i="3"/>
  <c r="X358" i="3"/>
  <c r="U358" i="3"/>
  <c r="W358" i="3"/>
  <c r="Y358" i="3"/>
  <c r="T356" i="3"/>
  <c r="V356" i="3"/>
  <c r="X356" i="3"/>
  <c r="U356" i="3"/>
  <c r="W356" i="3"/>
  <c r="Y356" i="3"/>
  <c r="T354" i="3"/>
  <c r="V354" i="3"/>
  <c r="X354" i="3"/>
  <c r="U354" i="3"/>
  <c r="W354" i="3"/>
  <c r="Y354" i="3"/>
  <c r="T352" i="3"/>
  <c r="V352" i="3"/>
  <c r="X352" i="3"/>
  <c r="U352" i="3"/>
  <c r="W352" i="3"/>
  <c r="Y352" i="3"/>
  <c r="T350" i="3"/>
  <c r="V350" i="3"/>
  <c r="X350" i="3"/>
  <c r="U350" i="3"/>
  <c r="W350" i="3"/>
  <c r="Y350" i="3"/>
  <c r="S327" i="3"/>
  <c r="Z327" i="3" s="1"/>
  <c r="S338" i="3"/>
  <c r="Z338" i="3" s="1"/>
  <c r="U348" i="3"/>
  <c r="W348" i="3"/>
  <c r="Y348" i="3"/>
  <c r="T348" i="3"/>
  <c r="V348" i="3"/>
  <c r="X348" i="3"/>
  <c r="U346" i="3"/>
  <c r="W346" i="3"/>
  <c r="Y346" i="3"/>
  <c r="T346" i="3"/>
  <c r="V346" i="3"/>
  <c r="X346" i="3"/>
  <c r="U344" i="3"/>
  <c r="W344" i="3"/>
  <c r="Y344" i="3"/>
  <c r="T344" i="3"/>
  <c r="V344" i="3"/>
  <c r="X344" i="3"/>
  <c r="U342" i="3"/>
  <c r="W342" i="3"/>
  <c r="Y342" i="3"/>
  <c r="T342" i="3"/>
  <c r="V342" i="3"/>
  <c r="X342" i="3"/>
  <c r="U340" i="3"/>
  <c r="W340" i="3"/>
  <c r="Y340" i="3"/>
  <c r="T340" i="3"/>
  <c r="V340" i="3"/>
  <c r="X340" i="3"/>
  <c r="T347" i="3"/>
  <c r="V347" i="3"/>
  <c r="X347" i="3"/>
  <c r="U347" i="3"/>
  <c r="W347" i="3"/>
  <c r="Y347" i="3"/>
  <c r="T345" i="3"/>
  <c r="V345" i="3"/>
  <c r="X345" i="3"/>
  <c r="U345" i="3"/>
  <c r="W345" i="3"/>
  <c r="Y345" i="3"/>
  <c r="T343" i="3"/>
  <c r="V343" i="3"/>
  <c r="X343" i="3"/>
  <c r="U343" i="3"/>
  <c r="W343" i="3"/>
  <c r="Y343" i="3"/>
  <c r="T341" i="3"/>
  <c r="V341" i="3"/>
  <c r="X341" i="3"/>
  <c r="U341" i="3"/>
  <c r="W341" i="3"/>
  <c r="Y341" i="3"/>
  <c r="T339" i="3"/>
  <c r="V339" i="3"/>
  <c r="X339" i="3"/>
  <c r="U339" i="3"/>
  <c r="W339" i="3"/>
  <c r="Y339" i="3"/>
  <c r="U337" i="3"/>
  <c r="W337" i="3"/>
  <c r="Y337" i="3"/>
  <c r="T337" i="3"/>
  <c r="V337" i="3"/>
  <c r="X337" i="3"/>
  <c r="U335" i="3"/>
  <c r="W335" i="3"/>
  <c r="Y335" i="3"/>
  <c r="T335" i="3"/>
  <c r="V335" i="3"/>
  <c r="X335" i="3"/>
  <c r="U333" i="3"/>
  <c r="W333" i="3"/>
  <c r="Y333" i="3"/>
  <c r="T333" i="3"/>
  <c r="V333" i="3"/>
  <c r="X333" i="3"/>
  <c r="U331" i="3"/>
  <c r="W331" i="3"/>
  <c r="Y331" i="3"/>
  <c r="T331" i="3"/>
  <c r="V331" i="3"/>
  <c r="X331" i="3"/>
  <c r="U329" i="3"/>
  <c r="W329" i="3"/>
  <c r="Y329" i="3"/>
  <c r="T329" i="3"/>
  <c r="V329" i="3"/>
  <c r="X329" i="3"/>
  <c r="T336" i="3"/>
  <c r="V336" i="3"/>
  <c r="X336" i="3"/>
  <c r="U336" i="3"/>
  <c r="W336" i="3"/>
  <c r="Y336" i="3"/>
  <c r="T334" i="3"/>
  <c r="V334" i="3"/>
  <c r="X334" i="3"/>
  <c r="U334" i="3"/>
  <c r="W334" i="3"/>
  <c r="Y334" i="3"/>
  <c r="T332" i="3"/>
  <c r="V332" i="3"/>
  <c r="X332" i="3"/>
  <c r="U332" i="3"/>
  <c r="W332" i="3"/>
  <c r="Y332" i="3"/>
  <c r="T330" i="3"/>
  <c r="V330" i="3"/>
  <c r="X330" i="3"/>
  <c r="U330" i="3"/>
  <c r="W330" i="3"/>
  <c r="Y330" i="3"/>
  <c r="T328" i="3"/>
  <c r="V328" i="3"/>
  <c r="X328" i="3"/>
  <c r="U328" i="3"/>
  <c r="W328" i="3"/>
  <c r="Y328" i="3"/>
  <c r="S304" i="3"/>
  <c r="Z304" i="3" s="1"/>
  <c r="S315" i="3"/>
  <c r="Z315" i="3" s="1"/>
  <c r="T325" i="3"/>
  <c r="V325" i="3"/>
  <c r="X325" i="3"/>
  <c r="U325" i="3"/>
  <c r="W325" i="3"/>
  <c r="T323" i="3"/>
  <c r="V323" i="3"/>
  <c r="X323" i="3"/>
  <c r="U323" i="3"/>
  <c r="W323" i="3"/>
  <c r="T321" i="3"/>
  <c r="V321" i="3"/>
  <c r="X321" i="3"/>
  <c r="U321" i="3"/>
  <c r="W321" i="3"/>
  <c r="T319" i="3"/>
  <c r="V319" i="3"/>
  <c r="X319" i="3"/>
  <c r="U319" i="3"/>
  <c r="W319" i="3"/>
  <c r="Y319" i="3"/>
  <c r="T317" i="3"/>
  <c r="V317" i="3"/>
  <c r="X317" i="3"/>
  <c r="U317" i="3"/>
  <c r="W317" i="3"/>
  <c r="Y317" i="3"/>
  <c r="T313" i="3"/>
  <c r="V313" i="3"/>
  <c r="X313" i="3"/>
  <c r="U313" i="3"/>
  <c r="W313" i="3"/>
  <c r="Y313" i="3"/>
  <c r="T311" i="3"/>
  <c r="V311" i="3"/>
  <c r="X311" i="3"/>
  <c r="U311" i="3"/>
  <c r="W311" i="3"/>
  <c r="Y311" i="3"/>
  <c r="T309" i="3"/>
  <c r="V309" i="3"/>
  <c r="X309" i="3"/>
  <c r="U309" i="3"/>
  <c r="W309" i="3"/>
  <c r="Y309" i="3"/>
  <c r="T307" i="3"/>
  <c r="V307" i="3"/>
  <c r="X307" i="3"/>
  <c r="U307" i="3"/>
  <c r="W307" i="3"/>
  <c r="Y307" i="3"/>
  <c r="T305" i="3"/>
  <c r="V305" i="3"/>
  <c r="X305" i="3"/>
  <c r="U305" i="3"/>
  <c r="W305" i="3"/>
  <c r="Y305" i="3"/>
  <c r="Y325" i="3"/>
  <c r="Y323" i="3"/>
  <c r="Y321" i="3"/>
  <c r="U326" i="3"/>
  <c r="W326" i="3"/>
  <c r="T326" i="3"/>
  <c r="V326" i="3"/>
  <c r="X326" i="3"/>
  <c r="U324" i="3"/>
  <c r="W324" i="3"/>
  <c r="T324" i="3"/>
  <c r="V324" i="3"/>
  <c r="X324" i="3"/>
  <c r="U322" i="3"/>
  <c r="W322" i="3"/>
  <c r="T322" i="3"/>
  <c r="V322" i="3"/>
  <c r="X322" i="3"/>
  <c r="U320" i="3"/>
  <c r="W320" i="3"/>
  <c r="Y320" i="3"/>
  <c r="T320" i="3"/>
  <c r="V320" i="3"/>
  <c r="X320" i="3"/>
  <c r="U318" i="3"/>
  <c r="W318" i="3"/>
  <c r="Y318" i="3"/>
  <c r="T318" i="3"/>
  <c r="V318" i="3"/>
  <c r="X318" i="3"/>
  <c r="U316" i="3"/>
  <c r="W316" i="3"/>
  <c r="Y316" i="3"/>
  <c r="T316" i="3"/>
  <c r="V316" i="3"/>
  <c r="X316" i="3"/>
  <c r="U314" i="3"/>
  <c r="W314" i="3"/>
  <c r="Y314" i="3"/>
  <c r="T314" i="3"/>
  <c r="V314" i="3"/>
  <c r="X314" i="3"/>
  <c r="U312" i="3"/>
  <c r="W312" i="3"/>
  <c r="Y312" i="3"/>
  <c r="T312" i="3"/>
  <c r="V312" i="3"/>
  <c r="X312" i="3"/>
  <c r="U310" i="3"/>
  <c r="W310" i="3"/>
  <c r="Y310" i="3"/>
  <c r="T310" i="3"/>
  <c r="V310" i="3"/>
  <c r="X310" i="3"/>
  <c r="U308" i="3"/>
  <c r="W308" i="3"/>
  <c r="Y308" i="3"/>
  <c r="T308" i="3"/>
  <c r="V308" i="3"/>
  <c r="X308" i="3"/>
  <c r="U306" i="3"/>
  <c r="W306" i="3"/>
  <c r="Y306" i="3"/>
  <c r="T306" i="3"/>
  <c r="V306" i="3"/>
  <c r="X306" i="3"/>
  <c r="Y326" i="3"/>
  <c r="Y324" i="3"/>
  <c r="Y322" i="3"/>
  <c r="S282" i="3"/>
  <c r="Z282" i="3" s="1"/>
  <c r="T302" i="3"/>
  <c r="U302" i="3"/>
  <c r="V302" i="3"/>
  <c r="W302" i="3"/>
  <c r="X302" i="3"/>
  <c r="Y302" i="3"/>
  <c r="T300" i="3"/>
  <c r="U300" i="3"/>
  <c r="V300" i="3"/>
  <c r="W300" i="3"/>
  <c r="X300" i="3"/>
  <c r="Y300" i="3"/>
  <c r="T298" i="3"/>
  <c r="U298" i="3"/>
  <c r="V298" i="3"/>
  <c r="W298" i="3"/>
  <c r="X298" i="3"/>
  <c r="Y298" i="3"/>
  <c r="T296" i="3"/>
  <c r="U296" i="3"/>
  <c r="V296" i="3"/>
  <c r="W296" i="3"/>
  <c r="X296" i="3"/>
  <c r="Y296" i="3"/>
  <c r="T294" i="3"/>
  <c r="U294" i="3"/>
  <c r="V294" i="3"/>
  <c r="W294" i="3"/>
  <c r="X294" i="3"/>
  <c r="Y294" i="3"/>
  <c r="T292" i="3"/>
  <c r="U292" i="3"/>
  <c r="V292" i="3"/>
  <c r="W292" i="3"/>
  <c r="X292" i="3"/>
  <c r="Y292" i="3"/>
  <c r="T290" i="3"/>
  <c r="U290" i="3"/>
  <c r="V290" i="3"/>
  <c r="W290" i="3"/>
  <c r="X290" i="3"/>
  <c r="Y290" i="3"/>
  <c r="T288" i="3"/>
  <c r="U288" i="3"/>
  <c r="V288" i="3"/>
  <c r="W288" i="3"/>
  <c r="X288" i="3"/>
  <c r="Y288" i="3"/>
  <c r="T286" i="3"/>
  <c r="U286" i="3"/>
  <c r="V286" i="3"/>
  <c r="W286" i="3"/>
  <c r="X286" i="3"/>
  <c r="Y286" i="3"/>
  <c r="T284" i="3"/>
  <c r="U284" i="3"/>
  <c r="V284" i="3"/>
  <c r="W284" i="3"/>
  <c r="X284" i="3"/>
  <c r="Y284" i="3"/>
  <c r="T303" i="3"/>
  <c r="U303" i="3"/>
  <c r="V303" i="3"/>
  <c r="W303" i="3"/>
  <c r="X303" i="3"/>
  <c r="Y303" i="3"/>
  <c r="T301" i="3"/>
  <c r="U301" i="3"/>
  <c r="V301" i="3"/>
  <c r="W301" i="3"/>
  <c r="X301" i="3"/>
  <c r="Y301" i="3"/>
  <c r="T299" i="3"/>
  <c r="U299" i="3"/>
  <c r="V299" i="3"/>
  <c r="W299" i="3"/>
  <c r="X299" i="3"/>
  <c r="Y299" i="3"/>
  <c r="T297" i="3"/>
  <c r="U297" i="3"/>
  <c r="V297" i="3"/>
  <c r="W297" i="3"/>
  <c r="X297" i="3"/>
  <c r="Y297" i="3"/>
  <c r="T295" i="3"/>
  <c r="U295" i="3"/>
  <c r="V295" i="3"/>
  <c r="W295" i="3"/>
  <c r="X295" i="3"/>
  <c r="Y295" i="3"/>
  <c r="T291" i="3"/>
  <c r="U291" i="3"/>
  <c r="V291" i="3"/>
  <c r="W291" i="3"/>
  <c r="X291" i="3"/>
  <c r="Y291" i="3"/>
  <c r="T289" i="3"/>
  <c r="U289" i="3"/>
  <c r="V289" i="3"/>
  <c r="W289" i="3"/>
  <c r="X289" i="3"/>
  <c r="Y289" i="3"/>
  <c r="T287" i="3"/>
  <c r="U287" i="3"/>
  <c r="V287" i="3"/>
  <c r="W287" i="3"/>
  <c r="X287" i="3"/>
  <c r="Y287" i="3"/>
  <c r="T285" i="3"/>
  <c r="U285" i="3"/>
  <c r="V285" i="3"/>
  <c r="W285" i="3"/>
  <c r="X285" i="3"/>
  <c r="Y285" i="3"/>
  <c r="T283" i="3"/>
  <c r="U283" i="3"/>
  <c r="V283" i="3"/>
  <c r="W283" i="3"/>
  <c r="X283" i="3"/>
  <c r="Y283" i="3"/>
  <c r="S268" i="3"/>
  <c r="Z268" i="3" s="1"/>
  <c r="T279" i="3"/>
  <c r="U279" i="3"/>
  <c r="V279" i="3"/>
  <c r="W279" i="3"/>
  <c r="X279" i="3"/>
  <c r="Y279" i="3"/>
  <c r="T277" i="3"/>
  <c r="U277" i="3"/>
  <c r="V277" i="3"/>
  <c r="W277" i="3"/>
  <c r="X277" i="3"/>
  <c r="Y277" i="3"/>
  <c r="T273" i="3"/>
  <c r="U273" i="3"/>
  <c r="V273" i="3"/>
  <c r="W273" i="3"/>
  <c r="X273" i="3"/>
  <c r="Y273" i="3"/>
  <c r="T281" i="3"/>
  <c r="U281" i="3"/>
  <c r="V281" i="3"/>
  <c r="W281" i="3"/>
  <c r="X281" i="3"/>
  <c r="Y281" i="3"/>
  <c r="T275" i="3"/>
  <c r="U275" i="3"/>
  <c r="V275" i="3"/>
  <c r="W275" i="3"/>
  <c r="X275" i="3"/>
  <c r="Y275" i="3"/>
  <c r="T271" i="3"/>
  <c r="U271" i="3"/>
  <c r="V271" i="3"/>
  <c r="W271" i="3"/>
  <c r="X271" i="3"/>
  <c r="Y271" i="3"/>
  <c r="T269" i="3"/>
  <c r="U269" i="3"/>
  <c r="V269" i="3"/>
  <c r="W269" i="3"/>
  <c r="X269" i="3"/>
  <c r="Y269" i="3"/>
  <c r="T280" i="3"/>
  <c r="U280" i="3"/>
  <c r="V280" i="3"/>
  <c r="W280" i="3"/>
  <c r="X280" i="3"/>
  <c r="Y280" i="3"/>
  <c r="T278" i="3"/>
  <c r="U278" i="3"/>
  <c r="V278" i="3"/>
  <c r="W278" i="3"/>
  <c r="X278" i="3"/>
  <c r="Y278" i="3"/>
  <c r="T276" i="3"/>
  <c r="U276" i="3"/>
  <c r="V276" i="3"/>
  <c r="W276" i="3"/>
  <c r="X276" i="3"/>
  <c r="Y276" i="3"/>
  <c r="T274" i="3"/>
  <c r="U274" i="3"/>
  <c r="V274" i="3"/>
  <c r="W274" i="3"/>
  <c r="X274" i="3"/>
  <c r="Y274" i="3"/>
  <c r="T272" i="3"/>
  <c r="U272" i="3"/>
  <c r="V272" i="3"/>
  <c r="W272" i="3"/>
  <c r="X272" i="3"/>
  <c r="Y272" i="3"/>
  <c r="T270" i="3"/>
  <c r="U270" i="3"/>
  <c r="V270" i="3"/>
  <c r="W270" i="3"/>
  <c r="X270" i="3"/>
  <c r="Y270" i="3"/>
  <c r="S257" i="3"/>
  <c r="Z257" i="3" s="1"/>
  <c r="U267" i="3"/>
  <c r="W267" i="3"/>
  <c r="Y267" i="3"/>
  <c r="T267" i="3"/>
  <c r="V267" i="3"/>
  <c r="X267" i="3"/>
  <c r="U265" i="3"/>
  <c r="W265" i="3"/>
  <c r="Y265" i="3"/>
  <c r="T265" i="3"/>
  <c r="V265" i="3"/>
  <c r="X265" i="3"/>
  <c r="U263" i="3"/>
  <c r="W263" i="3"/>
  <c r="Y263" i="3"/>
  <c r="T263" i="3"/>
  <c r="V263" i="3"/>
  <c r="X263" i="3"/>
  <c r="U261" i="3"/>
  <c r="W261" i="3"/>
  <c r="Y261" i="3"/>
  <c r="T261" i="3"/>
  <c r="V261" i="3"/>
  <c r="X261" i="3"/>
  <c r="U259" i="3"/>
  <c r="W259" i="3"/>
  <c r="Y259" i="3"/>
  <c r="T259" i="3"/>
  <c r="V259" i="3"/>
  <c r="X259" i="3"/>
  <c r="T266" i="3"/>
  <c r="V266" i="3"/>
  <c r="X266" i="3"/>
  <c r="U266" i="3"/>
  <c r="W266" i="3"/>
  <c r="Y266" i="3"/>
  <c r="T264" i="3"/>
  <c r="V264" i="3"/>
  <c r="X264" i="3"/>
  <c r="U264" i="3"/>
  <c r="W264" i="3"/>
  <c r="Y264" i="3"/>
  <c r="T262" i="3"/>
  <c r="V262" i="3"/>
  <c r="X262" i="3"/>
  <c r="U262" i="3"/>
  <c r="W262" i="3"/>
  <c r="Y262" i="3"/>
  <c r="T260" i="3"/>
  <c r="V260" i="3"/>
  <c r="X260" i="3"/>
  <c r="U260" i="3"/>
  <c r="W260" i="3"/>
  <c r="Y260" i="3"/>
  <c r="T258" i="3"/>
  <c r="V258" i="3"/>
  <c r="X258" i="3"/>
  <c r="U258" i="3"/>
  <c r="W258" i="3"/>
  <c r="Y258" i="3"/>
  <c r="S221" i="3"/>
  <c r="Z221" i="3" s="1"/>
  <c r="T256" i="3"/>
  <c r="U256" i="3"/>
  <c r="V256" i="3"/>
  <c r="W256" i="3"/>
  <c r="X256" i="3"/>
  <c r="Y256" i="3"/>
  <c r="T254" i="3"/>
  <c r="U254" i="3"/>
  <c r="V254" i="3"/>
  <c r="W254" i="3"/>
  <c r="X254" i="3"/>
  <c r="Y254" i="3"/>
  <c r="T252" i="3"/>
  <c r="U252" i="3"/>
  <c r="V252" i="3"/>
  <c r="W252" i="3"/>
  <c r="X252" i="3"/>
  <c r="Y252" i="3"/>
  <c r="T250" i="3"/>
  <c r="U250" i="3"/>
  <c r="V250" i="3"/>
  <c r="W250" i="3"/>
  <c r="X250" i="3"/>
  <c r="Y250" i="3"/>
  <c r="T248" i="3"/>
  <c r="U248" i="3"/>
  <c r="V248" i="3"/>
  <c r="W248" i="3"/>
  <c r="X248" i="3"/>
  <c r="Y248" i="3"/>
  <c r="T246" i="3"/>
  <c r="U246" i="3"/>
  <c r="V246" i="3"/>
  <c r="W246" i="3"/>
  <c r="X246" i="3"/>
  <c r="Y246" i="3"/>
  <c r="T244" i="3"/>
  <c r="U244" i="3"/>
  <c r="V244" i="3"/>
  <c r="W244" i="3"/>
  <c r="X244" i="3"/>
  <c r="Y244" i="3"/>
  <c r="T255" i="3"/>
  <c r="U255" i="3"/>
  <c r="V255" i="3"/>
  <c r="W255" i="3"/>
  <c r="X255" i="3"/>
  <c r="Y255" i="3"/>
  <c r="T253" i="3"/>
  <c r="U253" i="3"/>
  <c r="V253" i="3"/>
  <c r="W253" i="3"/>
  <c r="X253" i="3"/>
  <c r="Y253" i="3"/>
  <c r="T251" i="3"/>
  <c r="U251" i="3"/>
  <c r="V251" i="3"/>
  <c r="W251" i="3"/>
  <c r="X251" i="3"/>
  <c r="Y251" i="3"/>
  <c r="T249" i="3"/>
  <c r="U249" i="3"/>
  <c r="V249" i="3"/>
  <c r="W249" i="3"/>
  <c r="X249" i="3"/>
  <c r="Y249" i="3"/>
  <c r="T247" i="3"/>
  <c r="U247" i="3"/>
  <c r="V247" i="3"/>
  <c r="W247" i="3"/>
  <c r="X247" i="3"/>
  <c r="Y247" i="3"/>
  <c r="T245" i="3"/>
  <c r="U245" i="3"/>
  <c r="V245" i="3"/>
  <c r="W245" i="3"/>
  <c r="X245" i="3"/>
  <c r="Y245" i="3"/>
  <c r="T241" i="3"/>
  <c r="U241" i="3"/>
  <c r="V241" i="3"/>
  <c r="W241" i="3"/>
  <c r="X241" i="3"/>
  <c r="Y241" i="3"/>
  <c r="T239" i="3"/>
  <c r="U239" i="3"/>
  <c r="V239" i="3"/>
  <c r="W239" i="3"/>
  <c r="X239" i="3"/>
  <c r="Y239" i="3"/>
  <c r="T237" i="3"/>
  <c r="U237" i="3"/>
  <c r="V237" i="3"/>
  <c r="W237" i="3"/>
  <c r="X237" i="3"/>
  <c r="Y237" i="3"/>
  <c r="T235" i="3"/>
  <c r="U235" i="3"/>
  <c r="V235" i="3"/>
  <c r="W235" i="3"/>
  <c r="X235" i="3"/>
  <c r="Y235" i="3"/>
  <c r="T233" i="3"/>
  <c r="U233" i="3"/>
  <c r="V233" i="3"/>
  <c r="W233" i="3"/>
  <c r="X233" i="3"/>
  <c r="Y233" i="3"/>
  <c r="T231" i="3"/>
  <c r="U231" i="3"/>
  <c r="V231" i="3"/>
  <c r="W231" i="3"/>
  <c r="X231" i="3"/>
  <c r="Y231" i="3"/>
  <c r="T229" i="3"/>
  <c r="U229" i="3"/>
  <c r="V229" i="3"/>
  <c r="W229" i="3"/>
  <c r="X229" i="3"/>
  <c r="Y229" i="3"/>
  <c r="T227" i="3"/>
  <c r="U227" i="3"/>
  <c r="V227" i="3"/>
  <c r="W227" i="3"/>
  <c r="X227" i="3"/>
  <c r="Y227" i="3"/>
  <c r="T225" i="3"/>
  <c r="U225" i="3"/>
  <c r="V225" i="3"/>
  <c r="W225" i="3"/>
  <c r="X225" i="3"/>
  <c r="Y225" i="3"/>
  <c r="T223" i="3"/>
  <c r="U223" i="3"/>
  <c r="V223" i="3"/>
  <c r="W223" i="3"/>
  <c r="X223" i="3"/>
  <c r="Y223" i="3"/>
  <c r="T242" i="3"/>
  <c r="U242" i="3"/>
  <c r="V242" i="3"/>
  <c r="W242" i="3"/>
  <c r="X242" i="3"/>
  <c r="Y242" i="3"/>
  <c r="T240" i="3"/>
  <c r="U240" i="3"/>
  <c r="V240" i="3"/>
  <c r="W240" i="3"/>
  <c r="X240" i="3"/>
  <c r="Y240" i="3"/>
  <c r="T238" i="3"/>
  <c r="U238" i="3"/>
  <c r="V238" i="3"/>
  <c r="W238" i="3"/>
  <c r="X238" i="3"/>
  <c r="Y238" i="3"/>
  <c r="T236" i="3"/>
  <c r="U236" i="3"/>
  <c r="V236" i="3"/>
  <c r="W236" i="3"/>
  <c r="X236" i="3"/>
  <c r="Y236" i="3"/>
  <c r="T234" i="3"/>
  <c r="U234" i="3"/>
  <c r="V234" i="3"/>
  <c r="W234" i="3"/>
  <c r="X234" i="3"/>
  <c r="Y234" i="3"/>
  <c r="T230" i="3"/>
  <c r="U230" i="3"/>
  <c r="V230" i="3"/>
  <c r="W230" i="3"/>
  <c r="X230" i="3"/>
  <c r="Y230" i="3"/>
  <c r="T228" i="3"/>
  <c r="U228" i="3"/>
  <c r="V228" i="3"/>
  <c r="W228" i="3"/>
  <c r="X228" i="3"/>
  <c r="Y228" i="3"/>
  <c r="T226" i="3"/>
  <c r="U226" i="3"/>
  <c r="V226" i="3"/>
  <c r="W226" i="3"/>
  <c r="X226" i="3"/>
  <c r="Y226" i="3"/>
  <c r="T224" i="3"/>
  <c r="U224" i="3"/>
  <c r="V224" i="3"/>
  <c r="W224" i="3"/>
  <c r="X224" i="3"/>
  <c r="Y224" i="3"/>
  <c r="T222" i="3"/>
  <c r="U222" i="3"/>
  <c r="V222" i="3"/>
  <c r="W222" i="3"/>
  <c r="X222" i="3"/>
  <c r="Y222" i="3"/>
  <c r="T220" i="3"/>
  <c r="U220" i="3"/>
  <c r="V220" i="3"/>
  <c r="W220" i="3"/>
  <c r="X220" i="3"/>
  <c r="T218" i="3"/>
  <c r="U218" i="3"/>
  <c r="V218" i="3"/>
  <c r="W218" i="3"/>
  <c r="X218" i="3"/>
  <c r="T216" i="3"/>
  <c r="U216" i="3"/>
  <c r="V216" i="3"/>
  <c r="W216" i="3"/>
  <c r="X216" i="3"/>
  <c r="T214" i="3"/>
  <c r="U214" i="3"/>
  <c r="V214" i="3"/>
  <c r="W214" i="3"/>
  <c r="X214" i="3"/>
  <c r="T212" i="3"/>
  <c r="U212" i="3"/>
  <c r="V212" i="3"/>
  <c r="W212" i="3"/>
  <c r="X212" i="3"/>
  <c r="T208" i="3"/>
  <c r="U208" i="3"/>
  <c r="V208" i="3"/>
  <c r="W208" i="3"/>
  <c r="X208" i="3"/>
  <c r="T206" i="3"/>
  <c r="U206" i="3"/>
  <c r="V206" i="3"/>
  <c r="W206" i="3"/>
  <c r="X206" i="3"/>
  <c r="Y206" i="3"/>
  <c r="T204" i="3"/>
  <c r="U204" i="3"/>
  <c r="V204" i="3"/>
  <c r="W204" i="3"/>
  <c r="X204" i="3"/>
  <c r="Y204" i="3"/>
  <c r="T202" i="3"/>
  <c r="U202" i="3"/>
  <c r="V202" i="3"/>
  <c r="W202" i="3"/>
  <c r="X202" i="3"/>
  <c r="Y202" i="3"/>
  <c r="T200" i="3"/>
  <c r="U200" i="3"/>
  <c r="V200" i="3"/>
  <c r="W200" i="3"/>
  <c r="X200" i="3"/>
  <c r="Y200" i="3"/>
  <c r="T198" i="3"/>
  <c r="U198" i="3"/>
  <c r="V198" i="3"/>
  <c r="W198" i="3"/>
  <c r="X198" i="3"/>
  <c r="Y198" i="3"/>
  <c r="Y220" i="3"/>
  <c r="Y218" i="3"/>
  <c r="Y216" i="3"/>
  <c r="Y214" i="3"/>
  <c r="Y212" i="3"/>
  <c r="Y208" i="3"/>
  <c r="T219" i="3"/>
  <c r="U219" i="3"/>
  <c r="V219" i="3"/>
  <c r="W219" i="3"/>
  <c r="X219" i="3"/>
  <c r="T217" i="3"/>
  <c r="U217" i="3"/>
  <c r="V217" i="3"/>
  <c r="W217" i="3"/>
  <c r="X217" i="3"/>
  <c r="T215" i="3"/>
  <c r="U215" i="3"/>
  <c r="V215" i="3"/>
  <c r="W215" i="3"/>
  <c r="X215" i="3"/>
  <c r="T213" i="3"/>
  <c r="U213" i="3"/>
  <c r="V213" i="3"/>
  <c r="W213" i="3"/>
  <c r="X213" i="3"/>
  <c r="T211" i="3"/>
  <c r="U211" i="3"/>
  <c r="V211" i="3"/>
  <c r="W211" i="3"/>
  <c r="X211" i="3"/>
  <c r="T209" i="3"/>
  <c r="U209" i="3"/>
  <c r="V209" i="3"/>
  <c r="W209" i="3"/>
  <c r="X209" i="3"/>
  <c r="T207" i="3"/>
  <c r="U207" i="3"/>
  <c r="V207" i="3"/>
  <c r="W207" i="3"/>
  <c r="X207" i="3"/>
  <c r="T205" i="3"/>
  <c r="U205" i="3"/>
  <c r="V205" i="3"/>
  <c r="W205" i="3"/>
  <c r="X205" i="3"/>
  <c r="Y205" i="3"/>
  <c r="T203" i="3"/>
  <c r="U203" i="3"/>
  <c r="V203" i="3"/>
  <c r="W203" i="3"/>
  <c r="X203" i="3"/>
  <c r="Y203" i="3"/>
  <c r="T201" i="3"/>
  <c r="U201" i="3"/>
  <c r="V201" i="3"/>
  <c r="W201" i="3"/>
  <c r="X201" i="3"/>
  <c r="Y201" i="3"/>
  <c r="T199" i="3"/>
  <c r="U199" i="3"/>
  <c r="V199" i="3"/>
  <c r="W199" i="3"/>
  <c r="X199" i="3"/>
  <c r="Y199" i="3"/>
  <c r="Y219" i="3"/>
  <c r="Y217" i="3"/>
  <c r="Y215" i="3"/>
  <c r="Y213" i="3"/>
  <c r="Y211" i="3"/>
  <c r="Y209" i="3"/>
  <c r="Y207" i="3"/>
  <c r="B8" i="15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3" i="7"/>
  <c r="Z397" i="3" l="1"/>
  <c r="Z401" i="3"/>
  <c r="Z409" i="3"/>
  <c r="Z395" i="3"/>
  <c r="Z403" i="3"/>
  <c r="Z215" i="3"/>
  <c r="Z219" i="3"/>
  <c r="Z204" i="3"/>
  <c r="Z226" i="3"/>
  <c r="Z234" i="3"/>
  <c r="Z223" i="3"/>
  <c r="Z227" i="3"/>
  <c r="Z231" i="3"/>
  <c r="Z199" i="3"/>
  <c r="Z201" i="3"/>
  <c r="Z203" i="3"/>
  <c r="Z205" i="3"/>
  <c r="Z209" i="3"/>
  <c r="Z213" i="3"/>
  <c r="Z217" i="3"/>
  <c r="Z208" i="3"/>
  <c r="Z214" i="3"/>
  <c r="Z218" i="3"/>
  <c r="Z258" i="3"/>
  <c r="Z260" i="3"/>
  <c r="Z262" i="3"/>
  <c r="Z264" i="3"/>
  <c r="Z266" i="3"/>
  <c r="Z283" i="3"/>
  <c r="Z285" i="3"/>
  <c r="Z287" i="3"/>
  <c r="Z289" i="3"/>
  <c r="Z291" i="3"/>
  <c r="Z295" i="3"/>
  <c r="Z297" i="3"/>
  <c r="Z299" i="3"/>
  <c r="Z301" i="3"/>
  <c r="Z303" i="3"/>
  <c r="Z284" i="3"/>
  <c r="Z286" i="3"/>
  <c r="Z288" i="3"/>
  <c r="Z290" i="3"/>
  <c r="Z292" i="3"/>
  <c r="Z294" i="3"/>
  <c r="Z296" i="3"/>
  <c r="Z298" i="3"/>
  <c r="Z300" i="3"/>
  <c r="Z302" i="3"/>
  <c r="Z324" i="3"/>
  <c r="Z305" i="3"/>
  <c r="Z307" i="3"/>
  <c r="Z309" i="3"/>
  <c r="Z311" i="3"/>
  <c r="Z313" i="3"/>
  <c r="Z317" i="3"/>
  <c r="Z319" i="3"/>
  <c r="Z323" i="3"/>
  <c r="Z329" i="3"/>
  <c r="Z331" i="3"/>
  <c r="Z333" i="3"/>
  <c r="Z335" i="3"/>
  <c r="Z337" i="3"/>
  <c r="Z340" i="3"/>
  <c r="Z342" i="3"/>
  <c r="Z344" i="3"/>
  <c r="Z346" i="3"/>
  <c r="Z348" i="3"/>
  <c r="Z351" i="3"/>
  <c r="Z353" i="3"/>
  <c r="Z355" i="3"/>
  <c r="Z357" i="3"/>
  <c r="Z359" i="3"/>
  <c r="Z361" i="3"/>
  <c r="Z363" i="3"/>
  <c r="Z365" i="3"/>
  <c r="Z367" i="3"/>
  <c r="Z369" i="3"/>
  <c r="Z387" i="3"/>
  <c r="Z391" i="3"/>
  <c r="Z372" i="3"/>
  <c r="Z374" i="3"/>
  <c r="Z376" i="3"/>
  <c r="Z378" i="3"/>
  <c r="Z380" i="3"/>
  <c r="Z382" i="3"/>
  <c r="Z384" i="3"/>
  <c r="Z386" i="3"/>
  <c r="Z388" i="3"/>
  <c r="Z390" i="3"/>
  <c r="Z413" i="3"/>
  <c r="Z418" i="3"/>
  <c r="Z420" i="3"/>
  <c r="Z422" i="3"/>
  <c r="Z424" i="3"/>
  <c r="Z426" i="3"/>
  <c r="Z429" i="3"/>
  <c r="Z431" i="3"/>
  <c r="Z433" i="3"/>
  <c r="Z435" i="3"/>
  <c r="Z437" i="3"/>
  <c r="Z440" i="3"/>
  <c r="Z442" i="3"/>
  <c r="Z444" i="3"/>
  <c r="Z446" i="3"/>
  <c r="Z448" i="3"/>
  <c r="Z465" i="3"/>
  <c r="Z467" i="3"/>
  <c r="Z469" i="3"/>
  <c r="Z471" i="3"/>
  <c r="Z473" i="3"/>
  <c r="Z475" i="3"/>
  <c r="Z478" i="3"/>
  <c r="Z480" i="3"/>
  <c r="Z482" i="3"/>
  <c r="Z484" i="3"/>
  <c r="Z488" i="3"/>
  <c r="Z492" i="3"/>
  <c r="Z496" i="3"/>
  <c r="Z489" i="3"/>
  <c r="Z493" i="3"/>
  <c r="Z497" i="3"/>
  <c r="Z207" i="3"/>
  <c r="Z211" i="3"/>
  <c r="Z198" i="3"/>
  <c r="Z200" i="3"/>
  <c r="Z202" i="3"/>
  <c r="Z206" i="3"/>
  <c r="Z212" i="3"/>
  <c r="Z216" i="3"/>
  <c r="Z220" i="3"/>
  <c r="Z222" i="3"/>
  <c r="Z224" i="3"/>
  <c r="Z228" i="3"/>
  <c r="Z230" i="3"/>
  <c r="Z236" i="3"/>
  <c r="Z238" i="3"/>
  <c r="Z240" i="3"/>
  <c r="Z242" i="3"/>
  <c r="Z225" i="3"/>
  <c r="Z229" i="3"/>
  <c r="Z233" i="3"/>
  <c r="Z235" i="3"/>
  <c r="Z237" i="3"/>
  <c r="Z239" i="3"/>
  <c r="Z241" i="3"/>
  <c r="Z245" i="3"/>
  <c r="Z247" i="3"/>
  <c r="Z249" i="3"/>
  <c r="Z251" i="3"/>
  <c r="Z253" i="3"/>
  <c r="Z255" i="3"/>
  <c r="Z244" i="3"/>
  <c r="Z246" i="3"/>
  <c r="Z248" i="3"/>
  <c r="Z250" i="3"/>
  <c r="Z252" i="3"/>
  <c r="Z254" i="3"/>
  <c r="Z256" i="3"/>
  <c r="Z259" i="3"/>
  <c r="Z261" i="3"/>
  <c r="Z263" i="3"/>
  <c r="Z265" i="3"/>
  <c r="Z267" i="3"/>
  <c r="Z270" i="3"/>
  <c r="Z272" i="3"/>
  <c r="Z274" i="3"/>
  <c r="Z276" i="3"/>
  <c r="Z278" i="3"/>
  <c r="Z280" i="3"/>
  <c r="Z269" i="3"/>
  <c r="Z271" i="3"/>
  <c r="Z275" i="3"/>
  <c r="Z281" i="3"/>
  <c r="Z273" i="3"/>
  <c r="Z277" i="3"/>
  <c r="Z279" i="3"/>
  <c r="Z306" i="3"/>
  <c r="Z308" i="3"/>
  <c r="Z310" i="3"/>
  <c r="Z312" i="3"/>
  <c r="Z314" i="3"/>
  <c r="Z316" i="3"/>
  <c r="Z318" i="3"/>
  <c r="Z320" i="3"/>
  <c r="Z322" i="3"/>
  <c r="Z326" i="3"/>
  <c r="Z321" i="3"/>
  <c r="Z325" i="3"/>
  <c r="Z328" i="3"/>
  <c r="Z330" i="3"/>
  <c r="Z332" i="3"/>
  <c r="Z334" i="3"/>
  <c r="Z336" i="3"/>
  <c r="Z339" i="3"/>
  <c r="Z341" i="3"/>
  <c r="Z343" i="3"/>
  <c r="Z345" i="3"/>
  <c r="Z347" i="3"/>
  <c r="Z350" i="3"/>
  <c r="Z352" i="3"/>
  <c r="Z354" i="3"/>
  <c r="Z356" i="3"/>
  <c r="Z358" i="3"/>
  <c r="Z362" i="3"/>
  <c r="Z364" i="3"/>
  <c r="Z366" i="3"/>
  <c r="Z368" i="3"/>
  <c r="Z370" i="3"/>
  <c r="Z373" i="3"/>
  <c r="Z375" i="3"/>
  <c r="Z377" i="3"/>
  <c r="Z379" i="3"/>
  <c r="Z381" i="3"/>
  <c r="Z385" i="3"/>
  <c r="Z389" i="3"/>
  <c r="Z393" i="3"/>
  <c r="Z392" i="3"/>
  <c r="Z399" i="3"/>
  <c r="Z407" i="3"/>
  <c r="Z396" i="3"/>
  <c r="Z398" i="3"/>
  <c r="Z400" i="3"/>
  <c r="Z402" i="3"/>
  <c r="Z404" i="3"/>
  <c r="Z406" i="3"/>
  <c r="Z408" i="3"/>
  <c r="Z410" i="3"/>
  <c r="Z412" i="3"/>
  <c r="Z414" i="3"/>
  <c r="Z417" i="3"/>
  <c r="Z419" i="3"/>
  <c r="Z421" i="3"/>
  <c r="Z423" i="3"/>
  <c r="Z425" i="3"/>
  <c r="Z428" i="3"/>
  <c r="Z430" i="3"/>
  <c r="Z432" i="3"/>
  <c r="Z434" i="3"/>
  <c r="Z436" i="3"/>
  <c r="Z439" i="3"/>
  <c r="Z441" i="3"/>
  <c r="Z443" i="3"/>
  <c r="Z445" i="3"/>
  <c r="Z447" i="3"/>
  <c r="Z451" i="3"/>
  <c r="Z453" i="3"/>
  <c r="Z455" i="3"/>
  <c r="Z457" i="3"/>
  <c r="Z459" i="3"/>
  <c r="Z461" i="3"/>
  <c r="Z450" i="3"/>
  <c r="Z452" i="3"/>
  <c r="Z454" i="3"/>
  <c r="Z456" i="3"/>
  <c r="Z458" i="3"/>
  <c r="Z460" i="3"/>
  <c r="Z462" i="3"/>
  <c r="Z464" i="3"/>
  <c r="Z466" i="3"/>
  <c r="Z468" i="3"/>
  <c r="Z470" i="3"/>
  <c r="Z472" i="3"/>
  <c r="Z474" i="3"/>
  <c r="Z486" i="3"/>
  <c r="Z490" i="3"/>
  <c r="Z494" i="3"/>
  <c r="Z498" i="3"/>
  <c r="Z477" i="3"/>
  <c r="Z479" i="3"/>
  <c r="Z481" i="3"/>
  <c r="Z483" i="3"/>
  <c r="Z485" i="3"/>
  <c r="Z491" i="3"/>
  <c r="Z495" i="3"/>
  <c r="Z499" i="3"/>
  <c r="Z411" i="3"/>
  <c r="B3" i="7"/>
  <c r="B9" i="13"/>
  <c r="B8" i="13"/>
  <c r="B5" i="13"/>
  <c r="B6" i="13"/>
  <c r="B7" i="13"/>
  <c r="B10" i="13"/>
  <c r="B3" i="13"/>
  <c r="B12" i="13"/>
  <c r="B13" i="13"/>
  <c r="B2" i="13"/>
  <c r="B11" i="13"/>
  <c r="B4" i="13"/>
  <c r="B17" i="6"/>
  <c r="N17" i="6"/>
  <c r="O17" i="6"/>
  <c r="P17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8" i="6"/>
  <c r="N3" i="6"/>
  <c r="O3" i="6"/>
  <c r="P3" i="6"/>
  <c r="O3" i="7" s="1"/>
  <c r="P4" i="6"/>
  <c r="P5" i="6"/>
  <c r="O5" i="7" s="1"/>
  <c r="G5" i="7" s="1"/>
  <c r="P6" i="6"/>
  <c r="P7" i="6"/>
  <c r="O7" i="7" s="1"/>
  <c r="K7" i="7" s="1"/>
  <c r="P8" i="6"/>
  <c r="P9" i="6"/>
  <c r="O9" i="7" s="1"/>
  <c r="I9" i="7" s="1"/>
  <c r="P10" i="6"/>
  <c r="P11" i="6"/>
  <c r="O11" i="7" s="1"/>
  <c r="P12" i="6"/>
  <c r="P13" i="6"/>
  <c r="O13" i="7" s="1"/>
  <c r="P14" i="6"/>
  <c r="P15" i="6"/>
  <c r="O15" i="7" s="1"/>
  <c r="P16" i="6"/>
  <c r="O16" i="7" s="1"/>
  <c r="E16" i="7" s="1"/>
  <c r="P18" i="6"/>
  <c r="O18" i="7" s="1"/>
  <c r="D18" i="7" s="1"/>
  <c r="O4" i="6"/>
  <c r="O5" i="6"/>
  <c r="N5" i="7" s="1"/>
  <c r="O6" i="6"/>
  <c r="O7" i="6"/>
  <c r="N7" i="7" s="1"/>
  <c r="O8" i="6"/>
  <c r="O9" i="6"/>
  <c r="N9" i="7" s="1"/>
  <c r="O10" i="6"/>
  <c r="O11" i="6"/>
  <c r="N11" i="7" s="1"/>
  <c r="O12" i="6"/>
  <c r="O13" i="6"/>
  <c r="N13" i="7" s="1"/>
  <c r="O14" i="6"/>
  <c r="O15" i="6"/>
  <c r="N15" i="7" s="1"/>
  <c r="O16" i="6"/>
  <c r="O18" i="6"/>
  <c r="N18" i="7" s="1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3" i="7"/>
  <c r="A4" i="7"/>
  <c r="B18" i="7"/>
  <c r="B3" i="21"/>
  <c r="B4" i="21"/>
  <c r="B5" i="21"/>
  <c r="B6" i="21"/>
  <c r="B7" i="21"/>
  <c r="B8" i="21"/>
  <c r="B9" i="21"/>
  <c r="B10" i="21"/>
  <c r="B11" i="21"/>
  <c r="B12" i="21"/>
  <c r="B13" i="21"/>
  <c r="B14" i="21"/>
  <c r="B2" i="21"/>
  <c r="I18" i="7" l="1"/>
  <c r="D9" i="7"/>
  <c r="D9" i="6" s="1"/>
  <c r="K16" i="7"/>
  <c r="K16" i="6" s="1"/>
  <c r="F13" i="7"/>
  <c r="F13" i="6" s="1"/>
  <c r="J13" i="7"/>
  <c r="J13" i="6" s="1"/>
  <c r="E13" i="7"/>
  <c r="E13" i="6" s="1"/>
  <c r="M13" i="7"/>
  <c r="M13" i="6" s="1"/>
  <c r="L13" i="7"/>
  <c r="L13" i="6" s="1"/>
  <c r="K13" i="7"/>
  <c r="K13" i="6" s="1"/>
  <c r="D13" i="7"/>
  <c r="D13" i="6" s="1"/>
  <c r="H13" i="7"/>
  <c r="H13" i="6" s="1"/>
  <c r="I13" i="7"/>
  <c r="I13" i="6" s="1"/>
  <c r="D11" i="7"/>
  <c r="D11" i="6" s="1"/>
  <c r="H11" i="7"/>
  <c r="H11" i="6" s="1"/>
  <c r="L11" i="7"/>
  <c r="L11" i="6" s="1"/>
  <c r="E11" i="7"/>
  <c r="E11" i="6" s="1"/>
  <c r="M11" i="7"/>
  <c r="M11" i="6" s="1"/>
  <c r="J11" i="7"/>
  <c r="J11" i="6" s="1"/>
  <c r="F11" i="7"/>
  <c r="F11" i="6" s="1"/>
  <c r="D7" i="7"/>
  <c r="D7" i="6" s="1"/>
  <c r="H7" i="7"/>
  <c r="H7" i="6" s="1"/>
  <c r="L7" i="7"/>
  <c r="L7" i="6" s="1"/>
  <c r="G7" i="7"/>
  <c r="G7" i="6" s="1"/>
  <c r="E7" i="7"/>
  <c r="E7" i="6" s="1"/>
  <c r="M7" i="7"/>
  <c r="M7" i="6" s="1"/>
  <c r="F5" i="7"/>
  <c r="F5" i="6" s="1"/>
  <c r="J5" i="7"/>
  <c r="J5" i="6" s="1"/>
  <c r="E5" i="7"/>
  <c r="E5" i="6" s="1"/>
  <c r="M5" i="7"/>
  <c r="M5" i="6" s="1"/>
  <c r="D15" i="7"/>
  <c r="D15" i="6" s="1"/>
  <c r="G15" i="7"/>
  <c r="G15" i="6" s="1"/>
  <c r="G13" i="7"/>
  <c r="G13" i="6" s="1"/>
  <c r="C13" i="7"/>
  <c r="C13" i="6" s="1"/>
  <c r="G3" i="7"/>
  <c r="G3" i="6" s="1"/>
  <c r="I3" i="7"/>
  <c r="I3" i="6" s="1"/>
  <c r="J18" i="7"/>
  <c r="J18" i="6" s="1"/>
  <c r="K5" i="7"/>
  <c r="K5" i="6" s="1"/>
  <c r="I5" i="7"/>
  <c r="I5" i="6" s="1"/>
  <c r="H5" i="7"/>
  <c r="H5" i="6" s="1"/>
  <c r="I7" i="7"/>
  <c r="I7" i="6" s="1"/>
  <c r="C7" i="7"/>
  <c r="C7" i="6" s="1"/>
  <c r="F7" i="7"/>
  <c r="F7" i="6" s="1"/>
  <c r="C9" i="7"/>
  <c r="C9" i="6" s="1"/>
  <c r="L9" i="7"/>
  <c r="L9" i="6" s="1"/>
  <c r="K11" i="7"/>
  <c r="K11" i="6" s="1"/>
  <c r="C18" i="7"/>
  <c r="C18" i="6" s="1"/>
  <c r="C50" i="6" s="1"/>
  <c r="G18" i="7"/>
  <c r="G18" i="6" s="1"/>
  <c r="K18" i="7"/>
  <c r="K18" i="6" s="1"/>
  <c r="F18" i="7"/>
  <c r="F18" i="6" s="1"/>
  <c r="L18" i="7"/>
  <c r="L18" i="6" s="1"/>
  <c r="H15" i="7"/>
  <c r="H15" i="6" s="1"/>
  <c r="L15" i="7"/>
  <c r="L15" i="6" s="1"/>
  <c r="E15" i="7"/>
  <c r="E15" i="6" s="1"/>
  <c r="M15" i="7"/>
  <c r="M15" i="6" s="1"/>
  <c r="F15" i="7"/>
  <c r="F15" i="6" s="1"/>
  <c r="J15" i="7"/>
  <c r="J15" i="6" s="1"/>
  <c r="C15" i="7"/>
  <c r="C15" i="6" s="1"/>
  <c r="K15" i="7"/>
  <c r="K15" i="6" s="1"/>
  <c r="I15" i="7"/>
  <c r="I15" i="6" s="1"/>
  <c r="F9" i="7"/>
  <c r="F9" i="6" s="1"/>
  <c r="J9" i="7"/>
  <c r="J9" i="6" s="1"/>
  <c r="E9" i="7"/>
  <c r="E9" i="6" s="1"/>
  <c r="M9" i="7"/>
  <c r="M9" i="6" s="1"/>
  <c r="G9" i="7"/>
  <c r="G9" i="6" s="1"/>
  <c r="G11" i="7"/>
  <c r="G11" i="6" s="1"/>
  <c r="C11" i="7"/>
  <c r="C11" i="6" s="1"/>
  <c r="H18" i="7"/>
  <c r="H18" i="6" s="1"/>
  <c r="M18" i="7"/>
  <c r="M18" i="6" s="1"/>
  <c r="E18" i="7"/>
  <c r="E18" i="6" s="1"/>
  <c r="C5" i="7"/>
  <c r="C5" i="6" s="1"/>
  <c r="L5" i="7"/>
  <c r="L5" i="6" s="1"/>
  <c r="D5" i="7"/>
  <c r="D5" i="6" s="1"/>
  <c r="J7" i="7"/>
  <c r="J7" i="6" s="1"/>
  <c r="K9" i="7"/>
  <c r="K9" i="6" s="1"/>
  <c r="H9" i="7"/>
  <c r="H9" i="6" s="1"/>
  <c r="I11" i="7"/>
  <c r="I11" i="6" s="1"/>
  <c r="N17" i="7"/>
  <c r="N4" i="7"/>
  <c r="N16" i="7"/>
  <c r="N14" i="7"/>
  <c r="N12" i="7"/>
  <c r="N10" i="7"/>
  <c r="N8" i="7"/>
  <c r="N6" i="7"/>
  <c r="O14" i="7"/>
  <c r="O12" i="7"/>
  <c r="O10" i="7"/>
  <c r="O8" i="7"/>
  <c r="O6" i="7"/>
  <c r="O4" i="7"/>
  <c r="L4" i="7" s="1"/>
  <c r="L4" i="6" s="1"/>
  <c r="N3" i="7"/>
  <c r="O17" i="7"/>
  <c r="L54" i="6"/>
  <c r="L76" i="6"/>
  <c r="J54" i="6"/>
  <c r="D54" i="6"/>
  <c r="D76" i="6"/>
  <c r="J76" i="6"/>
  <c r="E54" i="6"/>
  <c r="G54" i="6"/>
  <c r="I54" i="6"/>
  <c r="H54" i="6"/>
  <c r="M54" i="6"/>
  <c r="K54" i="6"/>
  <c r="C54" i="6"/>
  <c r="F54" i="6"/>
  <c r="E76" i="6"/>
  <c r="G76" i="6"/>
  <c r="I76" i="6"/>
  <c r="H76" i="6"/>
  <c r="M76" i="6"/>
  <c r="K76" i="6"/>
  <c r="C76" i="6"/>
  <c r="F76" i="6"/>
  <c r="G51" i="6"/>
  <c r="G73" i="6"/>
  <c r="D51" i="6"/>
  <c r="C51" i="6"/>
  <c r="D73" i="6"/>
  <c r="C73" i="6"/>
  <c r="H73" i="6"/>
  <c r="M74" i="6"/>
  <c r="M73" i="6"/>
  <c r="L73" i="6"/>
  <c r="L74" i="6"/>
  <c r="K73" i="6"/>
  <c r="K74" i="6"/>
  <c r="J73" i="6"/>
  <c r="J74" i="6"/>
  <c r="I74" i="6"/>
  <c r="I73" i="6"/>
  <c r="H74" i="6"/>
  <c r="G74" i="6"/>
  <c r="F73" i="6"/>
  <c r="F74" i="6"/>
  <c r="E73" i="6"/>
  <c r="E74" i="6"/>
  <c r="D74" i="6"/>
  <c r="C74" i="6"/>
  <c r="M52" i="6"/>
  <c r="M51" i="6"/>
  <c r="L51" i="6"/>
  <c r="L52" i="6"/>
  <c r="K51" i="6"/>
  <c r="K52" i="6"/>
  <c r="J51" i="6"/>
  <c r="J52" i="6"/>
  <c r="I52" i="6"/>
  <c r="I51" i="6"/>
  <c r="H52" i="6"/>
  <c r="G52" i="6"/>
  <c r="F51" i="6"/>
  <c r="F52" i="6"/>
  <c r="E51" i="6"/>
  <c r="E52" i="6"/>
  <c r="D52" i="6"/>
  <c r="C52" i="6"/>
  <c r="H51" i="6"/>
  <c r="I18" i="6"/>
  <c r="G5" i="6"/>
  <c r="B15" i="7"/>
  <c r="B11" i="7"/>
  <c r="B7" i="7"/>
  <c r="B16" i="7"/>
  <c r="E16" i="6"/>
  <c r="B14" i="7"/>
  <c r="B12" i="7"/>
  <c r="B10" i="7"/>
  <c r="B8" i="7"/>
  <c r="B6" i="7"/>
  <c r="B4" i="7"/>
  <c r="D18" i="6"/>
  <c r="I9" i="6"/>
  <c r="K7" i="6"/>
  <c r="B17" i="7"/>
  <c r="B13" i="7"/>
  <c r="B9" i="7"/>
  <c r="B5" i="7"/>
  <c r="C3" i="7"/>
  <c r="C3" i="6" s="1"/>
  <c r="C72" i="6" l="1"/>
  <c r="C4" i="7"/>
  <c r="K3" i="7"/>
  <c r="K3" i="6" s="1"/>
  <c r="D3" i="7"/>
  <c r="D3" i="6" s="1"/>
  <c r="H3" i="7"/>
  <c r="H3" i="6" s="1"/>
  <c r="L3" i="7"/>
  <c r="L3" i="6" s="1"/>
  <c r="E3" i="7"/>
  <c r="E3" i="6" s="1"/>
  <c r="M3" i="7"/>
  <c r="M3" i="6" s="1"/>
  <c r="F3" i="7"/>
  <c r="F3" i="6" s="1"/>
  <c r="J3" i="7"/>
  <c r="J3" i="6" s="1"/>
  <c r="K6" i="7"/>
  <c r="K6" i="6" s="1"/>
  <c r="H6" i="7"/>
  <c r="H6" i="6" s="1"/>
  <c r="M10" i="7"/>
  <c r="M10" i="6" s="1"/>
  <c r="I10" i="7"/>
  <c r="I10" i="6" s="1"/>
  <c r="K14" i="7"/>
  <c r="K14" i="6" s="1"/>
  <c r="I14" i="7"/>
  <c r="I14" i="6" s="1"/>
  <c r="M8" i="7"/>
  <c r="M8" i="6" s="1"/>
  <c r="H8" i="7"/>
  <c r="H8" i="6" s="1"/>
  <c r="F8" i="7"/>
  <c r="F8" i="6" s="1"/>
  <c r="G8" i="7"/>
  <c r="G8" i="6" s="1"/>
  <c r="D8" i="7"/>
  <c r="D8" i="6" s="1"/>
  <c r="J8" i="7"/>
  <c r="J8" i="6" s="1"/>
  <c r="C8" i="7"/>
  <c r="C8" i="6" s="1"/>
  <c r="K8" i="7"/>
  <c r="K8" i="6" s="1"/>
  <c r="L8" i="7"/>
  <c r="L8" i="6" s="1"/>
  <c r="E12" i="7"/>
  <c r="E12" i="6" s="1"/>
  <c r="M12" i="7"/>
  <c r="M12" i="6" s="1"/>
  <c r="H12" i="7"/>
  <c r="H12" i="6" s="1"/>
  <c r="F12" i="7"/>
  <c r="F12" i="6" s="1"/>
  <c r="C12" i="7"/>
  <c r="C12" i="6" s="1"/>
  <c r="K12" i="7"/>
  <c r="K12" i="6" s="1"/>
  <c r="L12" i="7"/>
  <c r="L12" i="6" s="1"/>
  <c r="G12" i="7"/>
  <c r="G12" i="6" s="1"/>
  <c r="J12" i="7"/>
  <c r="J12" i="6" s="1"/>
  <c r="I16" i="7"/>
  <c r="I16" i="6" s="1"/>
  <c r="M16" i="7"/>
  <c r="M16" i="6" s="1"/>
  <c r="H16" i="7"/>
  <c r="H16" i="6" s="1"/>
  <c r="F16" i="7"/>
  <c r="F16" i="6" s="1"/>
  <c r="G16" i="7"/>
  <c r="G16" i="6" s="1"/>
  <c r="D16" i="7"/>
  <c r="D16" i="6" s="1"/>
  <c r="J16" i="7"/>
  <c r="J16" i="6" s="1"/>
  <c r="C16" i="7"/>
  <c r="C16" i="6" s="1"/>
  <c r="L16" i="7"/>
  <c r="L16" i="6" s="1"/>
  <c r="F17" i="7"/>
  <c r="F17" i="6" s="1"/>
  <c r="F71" i="6" s="1"/>
  <c r="J17" i="7"/>
  <c r="J17" i="6" s="1"/>
  <c r="J71" i="6" s="1"/>
  <c r="E17" i="7"/>
  <c r="E17" i="6" s="1"/>
  <c r="E71" i="6" s="1"/>
  <c r="M17" i="7"/>
  <c r="M17" i="6" s="1"/>
  <c r="M71" i="6" s="1"/>
  <c r="G17" i="7"/>
  <c r="G17" i="6" s="1"/>
  <c r="G71" i="6" s="1"/>
  <c r="H17" i="7"/>
  <c r="H17" i="6" s="1"/>
  <c r="H71" i="6" s="1"/>
  <c r="L17" i="7"/>
  <c r="L17" i="6" s="1"/>
  <c r="L71" i="6" s="1"/>
  <c r="I17" i="7"/>
  <c r="I17" i="6" s="1"/>
  <c r="I71" i="6" s="1"/>
  <c r="C17" i="7"/>
  <c r="C17" i="6" s="1"/>
  <c r="C49" i="6" s="1"/>
  <c r="F4" i="7"/>
  <c r="F4" i="6" s="1"/>
  <c r="H4" i="7"/>
  <c r="H4" i="6" s="1"/>
  <c r="M4" i="7"/>
  <c r="M4" i="6" s="1"/>
  <c r="I4" i="7"/>
  <c r="I4" i="6" s="1"/>
  <c r="E4" i="7"/>
  <c r="E4" i="6" s="1"/>
  <c r="D17" i="7"/>
  <c r="D17" i="6" s="1"/>
  <c r="K17" i="7"/>
  <c r="K17" i="6" s="1"/>
  <c r="K71" i="6" s="1"/>
  <c r="E8" i="7"/>
  <c r="E8" i="6" s="1"/>
  <c r="I8" i="7"/>
  <c r="I8" i="6" s="1"/>
  <c r="I12" i="7"/>
  <c r="I12" i="6" s="1"/>
  <c r="D12" i="7"/>
  <c r="D12" i="6" s="1"/>
  <c r="C6" i="7"/>
  <c r="C6" i="6" s="1"/>
  <c r="G6" i="7"/>
  <c r="G6" i="6" s="1"/>
  <c r="F6" i="7"/>
  <c r="F6" i="6" s="1"/>
  <c r="D6" i="7"/>
  <c r="D6" i="6" s="1"/>
  <c r="L6" i="7"/>
  <c r="L6" i="6" s="1"/>
  <c r="I6" i="7"/>
  <c r="I6" i="6" s="1"/>
  <c r="J6" i="7"/>
  <c r="J6" i="6" s="1"/>
  <c r="E6" i="7"/>
  <c r="E6" i="6" s="1"/>
  <c r="M6" i="7"/>
  <c r="M6" i="6" s="1"/>
  <c r="C10" i="7"/>
  <c r="C10" i="6" s="1"/>
  <c r="G10" i="7"/>
  <c r="G10" i="6" s="1"/>
  <c r="K10" i="7"/>
  <c r="K10" i="6" s="1"/>
  <c r="F10" i="7"/>
  <c r="F10" i="6" s="1"/>
  <c r="D10" i="7"/>
  <c r="D10" i="6" s="1"/>
  <c r="L10" i="7"/>
  <c r="L10" i="6" s="1"/>
  <c r="E10" i="7"/>
  <c r="E10" i="6" s="1"/>
  <c r="H10" i="7"/>
  <c r="H10" i="6" s="1"/>
  <c r="J10" i="7"/>
  <c r="J10" i="6" s="1"/>
  <c r="C14" i="7"/>
  <c r="C14" i="6" s="1"/>
  <c r="G14" i="7"/>
  <c r="G14" i="6" s="1"/>
  <c r="F14" i="7"/>
  <c r="F14" i="6" s="1"/>
  <c r="D14" i="7"/>
  <c r="D14" i="6" s="1"/>
  <c r="L14" i="7"/>
  <c r="L14" i="6" s="1"/>
  <c r="J14" i="7"/>
  <c r="J14" i="6" s="1"/>
  <c r="E14" i="7"/>
  <c r="E14" i="6" s="1"/>
  <c r="M14" i="7"/>
  <c r="M14" i="6" s="1"/>
  <c r="H14" i="7"/>
  <c r="H14" i="6" s="1"/>
  <c r="J4" i="7"/>
  <c r="J4" i="6" s="1"/>
  <c r="D4" i="7"/>
  <c r="D4" i="6" s="1"/>
  <c r="K4" i="7"/>
  <c r="K4" i="6" s="1"/>
  <c r="G4" i="7"/>
  <c r="G4" i="6" s="1"/>
  <c r="H87" i="17"/>
  <c r="D87" i="17"/>
  <c r="E87" i="4"/>
  <c r="J87" i="17"/>
  <c r="G87" i="4"/>
  <c r="F87" i="17"/>
  <c r="D87" i="4"/>
  <c r="H87" i="4"/>
  <c r="C87" i="17"/>
  <c r="G87" i="17"/>
  <c r="K87" i="17"/>
  <c r="I87" i="4"/>
  <c r="C87" i="4"/>
  <c r="K87" i="4"/>
  <c r="F87" i="4"/>
  <c r="J87" i="4"/>
  <c r="E87" i="17"/>
  <c r="I87" i="17"/>
  <c r="I63" i="4"/>
  <c r="E63" i="4"/>
  <c r="J63" i="17"/>
  <c r="F63" i="17"/>
  <c r="H63" i="4"/>
  <c r="D63" i="4"/>
  <c r="I63" i="17"/>
  <c r="E63" i="17"/>
  <c r="C63" i="17"/>
  <c r="D63" i="17"/>
  <c r="K63" i="4"/>
  <c r="G63" i="4"/>
  <c r="C63" i="4"/>
  <c r="H63" i="17"/>
  <c r="J63" i="4"/>
  <c r="F63" i="4"/>
  <c r="K63" i="17"/>
  <c r="G63" i="17"/>
  <c r="D60" i="17"/>
  <c r="F60" i="17"/>
  <c r="H60" i="17"/>
  <c r="J60" i="17"/>
  <c r="C60" i="17"/>
  <c r="E60" i="17"/>
  <c r="G60" i="17"/>
  <c r="I60" i="17"/>
  <c r="K60" i="17"/>
  <c r="D60" i="4"/>
  <c r="F60" i="4"/>
  <c r="H60" i="4"/>
  <c r="J60" i="4"/>
  <c r="C60" i="4"/>
  <c r="G60" i="4"/>
  <c r="K60" i="4"/>
  <c r="E60" i="4"/>
  <c r="I60" i="4"/>
  <c r="O76" i="6"/>
  <c r="O54" i="6"/>
  <c r="D84" i="17"/>
  <c r="C84" i="17"/>
  <c r="K84" i="17"/>
  <c r="G84" i="4"/>
  <c r="F84" i="4"/>
  <c r="F84" i="17"/>
  <c r="E84" i="17"/>
  <c r="E84" i="4"/>
  <c r="D84" i="4"/>
  <c r="H84" i="17"/>
  <c r="G84" i="17"/>
  <c r="C84" i="4"/>
  <c r="K84" i="4"/>
  <c r="J84" i="4"/>
  <c r="J84" i="17"/>
  <c r="I84" i="17"/>
  <c r="I84" i="4"/>
  <c r="H84" i="4"/>
  <c r="O74" i="6"/>
  <c r="O73" i="6"/>
  <c r="O51" i="6"/>
  <c r="O52" i="6"/>
  <c r="M50" i="6"/>
  <c r="M72" i="6"/>
  <c r="L50" i="6"/>
  <c r="L72" i="6"/>
  <c r="K50" i="6"/>
  <c r="K72" i="6"/>
  <c r="K49" i="6"/>
  <c r="J50" i="6"/>
  <c r="J72" i="6"/>
  <c r="I50" i="6"/>
  <c r="I72" i="6"/>
  <c r="H50" i="6"/>
  <c r="H72" i="6"/>
  <c r="G50" i="6"/>
  <c r="G72" i="6"/>
  <c r="F50" i="6"/>
  <c r="F72" i="6"/>
  <c r="E50" i="6"/>
  <c r="E72" i="6"/>
  <c r="D50" i="6"/>
  <c r="D59" i="17" s="1"/>
  <c r="D72" i="6"/>
  <c r="D83" i="17" s="1"/>
  <c r="C4" i="6"/>
  <c r="B30" i="16"/>
  <c r="B13" i="16"/>
  <c r="B31" i="16"/>
  <c r="B29" i="16"/>
  <c r="B5" i="16"/>
  <c r="B3" i="16"/>
  <c r="B19" i="16"/>
  <c r="B9" i="16"/>
  <c r="B21" i="16"/>
  <c r="B20" i="16"/>
  <c r="B17" i="16"/>
  <c r="B15" i="16"/>
  <c r="B8" i="16"/>
  <c r="B16" i="16"/>
  <c r="B14" i="16"/>
  <c r="B6" i="16"/>
  <c r="B10" i="16"/>
  <c r="B7" i="16"/>
  <c r="B26" i="16"/>
  <c r="B35" i="16"/>
  <c r="B32" i="16"/>
  <c r="B24" i="16"/>
  <c r="B4" i="16"/>
  <c r="B25" i="16"/>
  <c r="B27" i="16"/>
  <c r="B33" i="16"/>
  <c r="B34" i="16"/>
  <c r="B23" i="16"/>
  <c r="B11" i="16"/>
  <c r="B22" i="16"/>
  <c r="B28" i="16"/>
  <c r="B18" i="16"/>
  <c r="B12" i="16"/>
  <c r="C71" i="6" l="1"/>
  <c r="D49" i="6"/>
  <c r="D71" i="6"/>
  <c r="L49" i="6"/>
  <c r="M49" i="6"/>
  <c r="I49" i="6"/>
  <c r="F49" i="6"/>
  <c r="H49" i="6"/>
  <c r="J49" i="6"/>
  <c r="E49" i="6"/>
  <c r="G49" i="6"/>
  <c r="C59" i="17"/>
  <c r="D59" i="4"/>
  <c r="D59" i="18" s="1"/>
  <c r="E59" i="17"/>
  <c r="I59" i="4"/>
  <c r="I59" i="17"/>
  <c r="F59" i="4"/>
  <c r="E59" i="4"/>
  <c r="K59" i="17"/>
  <c r="G59" i="17"/>
  <c r="H83" i="4"/>
  <c r="I83" i="17"/>
  <c r="J83" i="4"/>
  <c r="C83" i="4"/>
  <c r="H83" i="17"/>
  <c r="E83" i="4"/>
  <c r="F83" i="17"/>
  <c r="G83" i="4"/>
  <c r="C83" i="17"/>
  <c r="I83" i="4"/>
  <c r="J83" i="17"/>
  <c r="K83" i="4"/>
  <c r="G83" i="17"/>
  <c r="D83" i="4"/>
  <c r="E83" i="17"/>
  <c r="F83" i="4"/>
  <c r="K83" i="17"/>
  <c r="H59" i="4"/>
  <c r="J59" i="4"/>
  <c r="K59" i="4"/>
  <c r="G59" i="4"/>
  <c r="C59" i="4"/>
  <c r="J59" i="17"/>
  <c r="H59" i="17"/>
  <c r="F59" i="17"/>
  <c r="J82" i="17"/>
  <c r="C58" i="17"/>
  <c r="E58" i="17"/>
  <c r="G58" i="17"/>
  <c r="I58" i="17"/>
  <c r="K58" i="17"/>
  <c r="D58" i="17"/>
  <c r="F58" i="17"/>
  <c r="H58" i="17"/>
  <c r="J58" i="17"/>
  <c r="D58" i="4"/>
  <c r="F58" i="4"/>
  <c r="H58" i="4"/>
  <c r="J58" i="4"/>
  <c r="E58" i="4"/>
  <c r="I58" i="4"/>
  <c r="C58" i="4"/>
  <c r="G58" i="4"/>
  <c r="K58" i="4"/>
  <c r="J82" i="4"/>
  <c r="K82" i="4"/>
  <c r="C82" i="4"/>
  <c r="G82" i="17"/>
  <c r="H82" i="17"/>
  <c r="D82" i="4"/>
  <c r="E82" i="4"/>
  <c r="E82" i="17"/>
  <c r="F82" i="17"/>
  <c r="F82" i="4"/>
  <c r="G82" i="4"/>
  <c r="K82" i="17"/>
  <c r="C82" i="17"/>
  <c r="D82" i="17"/>
  <c r="H82" i="4"/>
  <c r="I82" i="4"/>
  <c r="I82" i="17"/>
  <c r="E60" i="18"/>
  <c r="F60" i="18"/>
  <c r="I60" i="18"/>
  <c r="J60" i="18"/>
  <c r="K60" i="18"/>
  <c r="C60" i="18"/>
  <c r="D60" i="18"/>
  <c r="G60" i="18"/>
  <c r="H60" i="18"/>
  <c r="O50" i="6"/>
  <c r="O71" i="6"/>
  <c r="O72" i="6"/>
  <c r="C59" i="18" l="1"/>
  <c r="E59" i="18"/>
  <c r="J59" i="18"/>
  <c r="F59" i="18"/>
  <c r="O49" i="6"/>
  <c r="G59" i="18"/>
  <c r="I59" i="18"/>
  <c r="I58" i="18"/>
  <c r="K59" i="18"/>
  <c r="K58" i="18"/>
  <c r="C58" i="18"/>
  <c r="H59" i="18"/>
  <c r="J58" i="18"/>
  <c r="D58" i="18"/>
  <c r="F58" i="18"/>
  <c r="H58" i="18"/>
  <c r="E58" i="18"/>
  <c r="G58" i="18"/>
  <c r="E46" i="1"/>
  <c r="F46" i="1" a="1"/>
  <c r="F46" i="1" s="1"/>
  <c r="C3" i="18"/>
  <c r="D3" i="18"/>
  <c r="E3" i="18"/>
  <c r="F3" i="18"/>
  <c r="G3" i="18"/>
  <c r="H3" i="18"/>
  <c r="I3" i="18"/>
  <c r="J3" i="18"/>
  <c r="K3" i="18"/>
  <c r="C4" i="18"/>
  <c r="D4" i="18"/>
  <c r="E4" i="18"/>
  <c r="F4" i="18"/>
  <c r="G4" i="18"/>
  <c r="H4" i="18"/>
  <c r="I4" i="18"/>
  <c r="J4" i="18"/>
  <c r="K4" i="18"/>
  <c r="C5" i="18"/>
  <c r="D5" i="18"/>
  <c r="E5" i="18"/>
  <c r="F5" i="18"/>
  <c r="G5" i="18"/>
  <c r="H5" i="18"/>
  <c r="I5" i="18"/>
  <c r="J5" i="18"/>
  <c r="K5" i="18"/>
  <c r="C6" i="18"/>
  <c r="D6" i="18"/>
  <c r="E6" i="18"/>
  <c r="F6" i="18"/>
  <c r="G6" i="18"/>
  <c r="H6" i="18"/>
  <c r="I6" i="18"/>
  <c r="J6" i="18"/>
  <c r="K6" i="18"/>
  <c r="C7" i="18"/>
  <c r="D7" i="18"/>
  <c r="E7" i="18"/>
  <c r="F7" i="18"/>
  <c r="G7" i="18"/>
  <c r="H7" i="18"/>
  <c r="I7" i="18"/>
  <c r="J7" i="18"/>
  <c r="K7" i="18"/>
  <c r="C8" i="18"/>
  <c r="D8" i="18"/>
  <c r="E8" i="18"/>
  <c r="F8" i="18"/>
  <c r="G8" i="18"/>
  <c r="H8" i="18"/>
  <c r="I8" i="18"/>
  <c r="J8" i="18"/>
  <c r="K8" i="18"/>
  <c r="C9" i="18"/>
  <c r="D9" i="18"/>
  <c r="E9" i="18"/>
  <c r="F9" i="18"/>
  <c r="G9" i="18"/>
  <c r="H9" i="18"/>
  <c r="I9" i="18"/>
  <c r="J9" i="18"/>
  <c r="K9" i="18"/>
  <c r="C10" i="18"/>
  <c r="D10" i="18"/>
  <c r="E10" i="18"/>
  <c r="F10" i="18"/>
  <c r="G10" i="18"/>
  <c r="H10" i="18"/>
  <c r="I10" i="18"/>
  <c r="J10" i="18"/>
  <c r="K10" i="18"/>
  <c r="C11" i="18"/>
  <c r="D11" i="18"/>
  <c r="E11" i="18"/>
  <c r="F11" i="18"/>
  <c r="G11" i="18"/>
  <c r="H11" i="18"/>
  <c r="I11" i="18"/>
  <c r="J11" i="18"/>
  <c r="K11" i="18"/>
  <c r="C12" i="18"/>
  <c r="D12" i="18"/>
  <c r="E12" i="18"/>
  <c r="F12" i="18"/>
  <c r="G12" i="18"/>
  <c r="H12" i="18"/>
  <c r="I12" i="18"/>
  <c r="J12" i="18"/>
  <c r="K12" i="18"/>
  <c r="C13" i="18"/>
  <c r="D13" i="18"/>
  <c r="E13" i="18"/>
  <c r="F13" i="18"/>
  <c r="G13" i="18"/>
  <c r="H13" i="18"/>
  <c r="I13" i="18"/>
  <c r="J13" i="18"/>
  <c r="K13" i="18"/>
  <c r="D2" i="18"/>
  <c r="E2" i="18"/>
  <c r="F2" i="18"/>
  <c r="G2" i="18"/>
  <c r="H2" i="18"/>
  <c r="I2" i="18"/>
  <c r="J2" i="18"/>
  <c r="K2" i="18"/>
  <c r="C2" i="18"/>
  <c r="C87" i="18" l="1"/>
  <c r="C83" i="18"/>
  <c r="C84" i="18"/>
  <c r="C82" i="18"/>
  <c r="J87" i="18"/>
  <c r="J83" i="18"/>
  <c r="J84" i="18"/>
  <c r="J82" i="18"/>
  <c r="F87" i="18"/>
  <c r="F84" i="18"/>
  <c r="F83" i="18"/>
  <c r="F82" i="18"/>
  <c r="H87" i="18"/>
  <c r="H83" i="18"/>
  <c r="H84" i="18"/>
  <c r="H82" i="18"/>
  <c r="D87" i="18"/>
  <c r="D83" i="18"/>
  <c r="D84" i="18"/>
  <c r="D82" i="18"/>
  <c r="K87" i="18"/>
  <c r="K83" i="18"/>
  <c r="K84" i="18"/>
  <c r="K82" i="18"/>
  <c r="I87" i="18"/>
  <c r="I84" i="18"/>
  <c r="I83" i="18"/>
  <c r="I82" i="18"/>
  <c r="G87" i="18"/>
  <c r="G83" i="18"/>
  <c r="G84" i="18"/>
  <c r="G82" i="18"/>
  <c r="E87" i="18"/>
  <c r="E84" i="18"/>
  <c r="E83" i="18"/>
  <c r="E82" i="18"/>
  <c r="L13" i="18"/>
  <c r="M13" i="18" s="1"/>
  <c r="L11" i="18"/>
  <c r="M11" i="18" s="1"/>
  <c r="L9" i="18"/>
  <c r="M9" i="18" s="1"/>
  <c r="L7" i="18"/>
  <c r="M7" i="18" s="1"/>
  <c r="L5" i="18"/>
  <c r="M5" i="18" s="1"/>
  <c r="L3" i="18"/>
  <c r="M3" i="18" s="1"/>
  <c r="L2" i="18"/>
  <c r="M2" i="18" s="1"/>
  <c r="L12" i="18"/>
  <c r="M12" i="18" s="1"/>
  <c r="L10" i="18"/>
  <c r="M10" i="18" s="1"/>
  <c r="L8" i="18"/>
  <c r="M8" i="18" s="1"/>
  <c r="L6" i="18"/>
  <c r="M6" i="18" s="1"/>
  <c r="L4" i="18"/>
  <c r="M4" i="18" s="1"/>
  <c r="N4" i="18"/>
  <c r="R4" i="15"/>
  <c r="R38" i="1"/>
  <c r="V49" i="1"/>
  <c r="B4" i="15" l="1"/>
  <c r="M186" i="3"/>
  <c r="M187" i="3"/>
  <c r="M188" i="3"/>
  <c r="M189" i="3"/>
  <c r="M190" i="3"/>
  <c r="M191" i="3"/>
  <c r="M192" i="3"/>
  <c r="M193" i="3"/>
  <c r="M194" i="3"/>
  <c r="M195" i="3"/>
  <c r="M196" i="3"/>
  <c r="P186" i="3"/>
  <c r="P187" i="3"/>
  <c r="P188" i="3"/>
  <c r="P189" i="3"/>
  <c r="P190" i="3"/>
  <c r="P191" i="3"/>
  <c r="P192" i="3"/>
  <c r="P193" i="3"/>
  <c r="P194" i="3"/>
  <c r="P195" i="3"/>
  <c r="P196" i="3"/>
  <c r="Q186" i="3"/>
  <c r="Q187" i="3"/>
  <c r="Q188" i="3"/>
  <c r="Q189" i="3"/>
  <c r="Q190" i="3"/>
  <c r="Q191" i="3"/>
  <c r="Q192" i="3"/>
  <c r="Q193" i="3"/>
  <c r="Q194" i="3"/>
  <c r="Q195" i="3"/>
  <c r="Q196" i="3"/>
  <c r="R186" i="3"/>
  <c r="R187" i="3"/>
  <c r="R188" i="3"/>
  <c r="R189" i="3"/>
  <c r="R190" i="3"/>
  <c r="R191" i="3"/>
  <c r="R192" i="3"/>
  <c r="R193" i="3"/>
  <c r="R194" i="3"/>
  <c r="R195" i="3"/>
  <c r="R196" i="3"/>
  <c r="S187" i="3"/>
  <c r="S188" i="3"/>
  <c r="S189" i="3"/>
  <c r="S190" i="3"/>
  <c r="S191" i="3"/>
  <c r="S192" i="3"/>
  <c r="S193" i="3"/>
  <c r="S194" i="3"/>
  <c r="S195" i="3"/>
  <c r="S196" i="3"/>
  <c r="T186" i="3"/>
  <c r="U186" i="3"/>
  <c r="V186" i="3"/>
  <c r="W186" i="3"/>
  <c r="X186" i="3"/>
  <c r="AA186" i="3"/>
  <c r="AA187" i="3"/>
  <c r="AA188" i="3"/>
  <c r="AA189" i="3"/>
  <c r="AA190" i="3"/>
  <c r="AA191" i="3"/>
  <c r="AA192" i="3"/>
  <c r="AA193" i="3"/>
  <c r="AA194" i="3"/>
  <c r="AA195" i="3"/>
  <c r="AA196" i="3"/>
  <c r="AB186" i="3"/>
  <c r="O186" i="3" s="1"/>
  <c r="Y186" i="3" s="1"/>
  <c r="AB187" i="3"/>
  <c r="O187" i="3" s="1"/>
  <c r="AB188" i="3"/>
  <c r="O188" i="3" s="1"/>
  <c r="AB189" i="3"/>
  <c r="O189" i="3" s="1"/>
  <c r="AB190" i="3"/>
  <c r="O190" i="3" s="1"/>
  <c r="AB191" i="3"/>
  <c r="O191" i="3" s="1"/>
  <c r="AB192" i="3"/>
  <c r="O192" i="3" s="1"/>
  <c r="AB193" i="3"/>
  <c r="O193" i="3" s="1"/>
  <c r="AB194" i="3"/>
  <c r="O194" i="3" s="1"/>
  <c r="AB195" i="3"/>
  <c r="O195" i="3" s="1"/>
  <c r="AB196" i="3"/>
  <c r="O196" i="3" s="1"/>
  <c r="AC186" i="3"/>
  <c r="N186" i="3" s="1"/>
  <c r="AC187" i="3"/>
  <c r="N187" i="3" s="1"/>
  <c r="AC188" i="3"/>
  <c r="N188" i="3" s="1"/>
  <c r="AC189" i="3"/>
  <c r="N189" i="3" s="1"/>
  <c r="AC190" i="3"/>
  <c r="N190" i="3" s="1"/>
  <c r="AC191" i="3"/>
  <c r="N191" i="3" s="1"/>
  <c r="AC192" i="3"/>
  <c r="N192" i="3" s="1"/>
  <c r="AC193" i="3"/>
  <c r="N193" i="3" s="1"/>
  <c r="AC194" i="3"/>
  <c r="N194" i="3" s="1"/>
  <c r="AC195" i="3"/>
  <c r="N195" i="3" s="1"/>
  <c r="AC196" i="3"/>
  <c r="N196" i="3" s="1"/>
  <c r="AK186" i="3"/>
  <c r="AK187" i="3"/>
  <c r="AK188" i="3"/>
  <c r="AK189" i="3"/>
  <c r="AK190" i="3"/>
  <c r="AK191" i="3"/>
  <c r="AK192" i="3"/>
  <c r="AK193" i="3"/>
  <c r="AK194" i="3"/>
  <c r="AK195" i="3"/>
  <c r="AK196" i="3"/>
  <c r="M175" i="3"/>
  <c r="M176" i="3"/>
  <c r="M177" i="3"/>
  <c r="M178" i="3"/>
  <c r="M179" i="3"/>
  <c r="M180" i="3"/>
  <c r="M181" i="3"/>
  <c r="M182" i="3"/>
  <c r="M183" i="3"/>
  <c r="M184" i="3"/>
  <c r="M185" i="3"/>
  <c r="P175" i="3"/>
  <c r="P176" i="3"/>
  <c r="P177" i="3"/>
  <c r="P178" i="3"/>
  <c r="P179" i="3"/>
  <c r="P180" i="3"/>
  <c r="P181" i="3"/>
  <c r="P182" i="3"/>
  <c r="P183" i="3"/>
  <c r="P184" i="3"/>
  <c r="P185" i="3"/>
  <c r="Q175" i="3"/>
  <c r="Q176" i="3"/>
  <c r="Q177" i="3"/>
  <c r="Q178" i="3"/>
  <c r="Q179" i="3"/>
  <c r="Q180" i="3"/>
  <c r="Q181" i="3"/>
  <c r="Q182" i="3"/>
  <c r="Q183" i="3"/>
  <c r="Q184" i="3"/>
  <c r="Q185" i="3"/>
  <c r="R175" i="3"/>
  <c r="R176" i="3"/>
  <c r="R177" i="3"/>
  <c r="R178" i="3"/>
  <c r="R179" i="3"/>
  <c r="R180" i="3"/>
  <c r="R181" i="3"/>
  <c r="R182" i="3"/>
  <c r="R183" i="3"/>
  <c r="R184" i="3"/>
  <c r="R185" i="3"/>
  <c r="S176" i="3"/>
  <c r="S177" i="3"/>
  <c r="S178" i="3"/>
  <c r="S179" i="3"/>
  <c r="S180" i="3"/>
  <c r="S181" i="3"/>
  <c r="S182" i="3"/>
  <c r="S183" i="3"/>
  <c r="S184" i="3"/>
  <c r="S185" i="3"/>
  <c r="T175" i="3"/>
  <c r="U175" i="3"/>
  <c r="V175" i="3"/>
  <c r="W175" i="3"/>
  <c r="X175" i="3"/>
  <c r="AA175" i="3"/>
  <c r="AA176" i="3"/>
  <c r="AA177" i="3"/>
  <c r="AA178" i="3"/>
  <c r="AA179" i="3"/>
  <c r="AA180" i="3"/>
  <c r="AA181" i="3"/>
  <c r="AA182" i="3"/>
  <c r="AA183" i="3"/>
  <c r="AA184" i="3"/>
  <c r="AA185" i="3"/>
  <c r="AB175" i="3"/>
  <c r="O175" i="3" s="1"/>
  <c r="Y175" i="3" s="1"/>
  <c r="AB176" i="3"/>
  <c r="O176" i="3" s="1"/>
  <c r="AB177" i="3"/>
  <c r="O177" i="3" s="1"/>
  <c r="AB178" i="3"/>
  <c r="O178" i="3" s="1"/>
  <c r="AB179" i="3"/>
  <c r="O179" i="3" s="1"/>
  <c r="AB180" i="3"/>
  <c r="O180" i="3" s="1"/>
  <c r="AB181" i="3"/>
  <c r="O181" i="3" s="1"/>
  <c r="AB182" i="3"/>
  <c r="O182" i="3" s="1"/>
  <c r="AB183" i="3"/>
  <c r="O183" i="3" s="1"/>
  <c r="AB184" i="3"/>
  <c r="O184" i="3" s="1"/>
  <c r="AB185" i="3"/>
  <c r="O185" i="3" s="1"/>
  <c r="AC175" i="3"/>
  <c r="N175" i="3" s="1"/>
  <c r="AC176" i="3"/>
  <c r="N176" i="3" s="1"/>
  <c r="AC177" i="3"/>
  <c r="N177" i="3" s="1"/>
  <c r="AC178" i="3"/>
  <c r="N178" i="3" s="1"/>
  <c r="AC179" i="3"/>
  <c r="N179" i="3" s="1"/>
  <c r="AC180" i="3"/>
  <c r="N180" i="3" s="1"/>
  <c r="AC181" i="3"/>
  <c r="N181" i="3" s="1"/>
  <c r="AC182" i="3"/>
  <c r="N182" i="3" s="1"/>
  <c r="AC183" i="3"/>
  <c r="N183" i="3" s="1"/>
  <c r="AC184" i="3"/>
  <c r="N184" i="3" s="1"/>
  <c r="AC185" i="3"/>
  <c r="N185" i="3" s="1"/>
  <c r="AK175" i="3"/>
  <c r="AK176" i="3"/>
  <c r="AK177" i="3"/>
  <c r="AK178" i="3"/>
  <c r="AK179" i="3"/>
  <c r="AK180" i="3"/>
  <c r="AK181" i="3"/>
  <c r="AK182" i="3"/>
  <c r="AK183" i="3"/>
  <c r="AK184" i="3"/>
  <c r="AK185" i="3"/>
  <c r="M13" i="10"/>
  <c r="M164" i="3"/>
  <c r="M165" i="3"/>
  <c r="M166" i="3"/>
  <c r="M167" i="3"/>
  <c r="M168" i="3"/>
  <c r="M169" i="3"/>
  <c r="M170" i="3"/>
  <c r="M171" i="3"/>
  <c r="M172" i="3"/>
  <c r="M173" i="3"/>
  <c r="M174" i="3"/>
  <c r="P164" i="3"/>
  <c r="P165" i="3"/>
  <c r="P166" i="3"/>
  <c r="P167" i="3"/>
  <c r="P168" i="3"/>
  <c r="P169" i="3"/>
  <c r="P170" i="3"/>
  <c r="P171" i="3"/>
  <c r="P172" i="3"/>
  <c r="P173" i="3"/>
  <c r="P174" i="3"/>
  <c r="Q164" i="3"/>
  <c r="Q165" i="3"/>
  <c r="Q166" i="3"/>
  <c r="Q167" i="3"/>
  <c r="Q168" i="3"/>
  <c r="Q169" i="3"/>
  <c r="Q170" i="3"/>
  <c r="Q171" i="3"/>
  <c r="Q172" i="3"/>
  <c r="Q173" i="3"/>
  <c r="Q174" i="3"/>
  <c r="R164" i="3"/>
  <c r="R165" i="3"/>
  <c r="R166" i="3"/>
  <c r="R167" i="3"/>
  <c r="R168" i="3"/>
  <c r="R169" i="3"/>
  <c r="R170" i="3"/>
  <c r="R171" i="3"/>
  <c r="R172" i="3"/>
  <c r="R173" i="3"/>
  <c r="R174" i="3"/>
  <c r="S165" i="3"/>
  <c r="S166" i="3"/>
  <c r="S167" i="3"/>
  <c r="S168" i="3"/>
  <c r="S169" i="3"/>
  <c r="S170" i="3"/>
  <c r="S171" i="3"/>
  <c r="S172" i="3"/>
  <c r="S173" i="3"/>
  <c r="S174" i="3"/>
  <c r="T164" i="3"/>
  <c r="U164" i="3"/>
  <c r="V164" i="3"/>
  <c r="W164" i="3"/>
  <c r="X164" i="3"/>
  <c r="AA164" i="3"/>
  <c r="AA165" i="3"/>
  <c r="AA166" i="3"/>
  <c r="AA167" i="3"/>
  <c r="AA168" i="3"/>
  <c r="AA169" i="3"/>
  <c r="AA170" i="3"/>
  <c r="AA171" i="3"/>
  <c r="AA172" i="3"/>
  <c r="AA173" i="3"/>
  <c r="AA174" i="3"/>
  <c r="AB164" i="3"/>
  <c r="O164" i="3" s="1"/>
  <c r="Y164" i="3" s="1"/>
  <c r="AB165" i="3"/>
  <c r="O165" i="3" s="1"/>
  <c r="AB166" i="3"/>
  <c r="O166" i="3" s="1"/>
  <c r="AB167" i="3"/>
  <c r="O167" i="3" s="1"/>
  <c r="AB168" i="3"/>
  <c r="O168" i="3" s="1"/>
  <c r="AB169" i="3"/>
  <c r="O169" i="3" s="1"/>
  <c r="AB170" i="3"/>
  <c r="O170" i="3" s="1"/>
  <c r="AB171" i="3"/>
  <c r="O171" i="3" s="1"/>
  <c r="AB172" i="3"/>
  <c r="O172" i="3" s="1"/>
  <c r="AB173" i="3"/>
  <c r="O173" i="3" s="1"/>
  <c r="AB174" i="3"/>
  <c r="O174" i="3" s="1"/>
  <c r="AC164" i="3"/>
  <c r="N164" i="3" s="1"/>
  <c r="AC165" i="3"/>
  <c r="N165" i="3" s="1"/>
  <c r="AC166" i="3"/>
  <c r="N166" i="3" s="1"/>
  <c r="AC167" i="3"/>
  <c r="N167" i="3" s="1"/>
  <c r="AC168" i="3"/>
  <c r="N168" i="3" s="1"/>
  <c r="AC169" i="3"/>
  <c r="N169" i="3" s="1"/>
  <c r="AC170" i="3"/>
  <c r="N170" i="3" s="1"/>
  <c r="AC171" i="3"/>
  <c r="N171" i="3" s="1"/>
  <c r="AC172" i="3"/>
  <c r="N172" i="3" s="1"/>
  <c r="AC173" i="3"/>
  <c r="N173" i="3" s="1"/>
  <c r="AC174" i="3"/>
  <c r="N174" i="3" s="1"/>
  <c r="AK164" i="3"/>
  <c r="AK165" i="3"/>
  <c r="AK166" i="3"/>
  <c r="AK167" i="3"/>
  <c r="AK168" i="3"/>
  <c r="AK169" i="3"/>
  <c r="AK170" i="3"/>
  <c r="AK171" i="3"/>
  <c r="AK172" i="3"/>
  <c r="AK173" i="3"/>
  <c r="AK174" i="3"/>
  <c r="M153" i="3"/>
  <c r="M154" i="3"/>
  <c r="M155" i="3"/>
  <c r="M156" i="3"/>
  <c r="M157" i="3"/>
  <c r="M158" i="3"/>
  <c r="M159" i="3"/>
  <c r="M160" i="3"/>
  <c r="M161" i="3"/>
  <c r="M162" i="3"/>
  <c r="M163" i="3"/>
  <c r="P153" i="3"/>
  <c r="P154" i="3"/>
  <c r="P155" i="3"/>
  <c r="P156" i="3"/>
  <c r="P157" i="3"/>
  <c r="P158" i="3"/>
  <c r="P159" i="3"/>
  <c r="P160" i="3"/>
  <c r="P161" i="3"/>
  <c r="P162" i="3"/>
  <c r="P163" i="3"/>
  <c r="Q153" i="3"/>
  <c r="Q154" i="3"/>
  <c r="Q155" i="3"/>
  <c r="Q156" i="3"/>
  <c r="Q157" i="3"/>
  <c r="Q158" i="3"/>
  <c r="Q159" i="3"/>
  <c r="Q160" i="3"/>
  <c r="Q161" i="3"/>
  <c r="Q162" i="3"/>
  <c r="Q163" i="3"/>
  <c r="R153" i="3"/>
  <c r="R154" i="3"/>
  <c r="R155" i="3"/>
  <c r="R156" i="3"/>
  <c r="R157" i="3"/>
  <c r="R158" i="3"/>
  <c r="R159" i="3"/>
  <c r="R160" i="3"/>
  <c r="R161" i="3"/>
  <c r="R162" i="3"/>
  <c r="R163" i="3"/>
  <c r="S154" i="3"/>
  <c r="S155" i="3"/>
  <c r="S156" i="3"/>
  <c r="S157" i="3"/>
  <c r="S158" i="3"/>
  <c r="S159" i="3"/>
  <c r="S160" i="3"/>
  <c r="S161" i="3"/>
  <c r="S162" i="3"/>
  <c r="S163" i="3"/>
  <c r="T153" i="3"/>
  <c r="U153" i="3"/>
  <c r="V153" i="3"/>
  <c r="W153" i="3"/>
  <c r="X153" i="3"/>
  <c r="AA153" i="3"/>
  <c r="AA154" i="3"/>
  <c r="AA155" i="3"/>
  <c r="AA156" i="3"/>
  <c r="AA157" i="3"/>
  <c r="AA158" i="3"/>
  <c r="AA159" i="3"/>
  <c r="AA160" i="3"/>
  <c r="AA161" i="3"/>
  <c r="AA162" i="3"/>
  <c r="AA163" i="3"/>
  <c r="AB153" i="3"/>
  <c r="O153" i="3" s="1"/>
  <c r="Y153" i="3" s="1"/>
  <c r="AB154" i="3"/>
  <c r="O154" i="3" s="1"/>
  <c r="AB155" i="3"/>
  <c r="O155" i="3" s="1"/>
  <c r="AB156" i="3"/>
  <c r="O156" i="3" s="1"/>
  <c r="AB157" i="3"/>
  <c r="O157" i="3" s="1"/>
  <c r="AB158" i="3"/>
  <c r="O158" i="3" s="1"/>
  <c r="AB159" i="3"/>
  <c r="O159" i="3" s="1"/>
  <c r="AB160" i="3"/>
  <c r="O160" i="3" s="1"/>
  <c r="AB161" i="3"/>
  <c r="O161" i="3" s="1"/>
  <c r="AB162" i="3"/>
  <c r="O162" i="3" s="1"/>
  <c r="AB163" i="3"/>
  <c r="O163" i="3" s="1"/>
  <c r="AC153" i="3"/>
  <c r="N153" i="3" s="1"/>
  <c r="AC154" i="3"/>
  <c r="N154" i="3" s="1"/>
  <c r="AC155" i="3"/>
  <c r="N155" i="3" s="1"/>
  <c r="AC156" i="3"/>
  <c r="N156" i="3" s="1"/>
  <c r="AC157" i="3"/>
  <c r="N157" i="3" s="1"/>
  <c r="AC158" i="3"/>
  <c r="N158" i="3" s="1"/>
  <c r="AC159" i="3"/>
  <c r="N159" i="3" s="1"/>
  <c r="AC160" i="3"/>
  <c r="N160" i="3" s="1"/>
  <c r="AC161" i="3"/>
  <c r="N161" i="3" s="1"/>
  <c r="AC162" i="3"/>
  <c r="N162" i="3" s="1"/>
  <c r="AC163" i="3"/>
  <c r="N163" i="3" s="1"/>
  <c r="AK153" i="3"/>
  <c r="AK154" i="3"/>
  <c r="AK155" i="3"/>
  <c r="AK156" i="3"/>
  <c r="AK157" i="3"/>
  <c r="AK158" i="3"/>
  <c r="AK159" i="3"/>
  <c r="AK160" i="3"/>
  <c r="AK161" i="3"/>
  <c r="AK162" i="3"/>
  <c r="AK163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S132" i="3"/>
  <c r="S133" i="3"/>
  <c r="S134" i="3"/>
  <c r="S135" i="3"/>
  <c r="S136" i="3"/>
  <c r="S137" i="3"/>
  <c r="S138" i="3"/>
  <c r="S139" i="3"/>
  <c r="S140" i="3"/>
  <c r="S141" i="3"/>
  <c r="S143" i="3"/>
  <c r="S144" i="3"/>
  <c r="S145" i="3"/>
  <c r="S146" i="3"/>
  <c r="S147" i="3"/>
  <c r="S148" i="3"/>
  <c r="S149" i="3"/>
  <c r="S150" i="3"/>
  <c r="S151" i="3"/>
  <c r="S152" i="3"/>
  <c r="T131" i="3"/>
  <c r="T142" i="3"/>
  <c r="U131" i="3"/>
  <c r="U142" i="3"/>
  <c r="V131" i="3"/>
  <c r="V142" i="3"/>
  <c r="W131" i="3"/>
  <c r="W142" i="3"/>
  <c r="X131" i="3"/>
  <c r="X142" i="3"/>
  <c r="AA131" i="3"/>
  <c r="AA132" i="3"/>
  <c r="AA133" i="3"/>
  <c r="AA134" i="3"/>
  <c r="AA135" i="3"/>
  <c r="AA136" i="3"/>
  <c r="AA137" i="3"/>
  <c r="AA138" i="3"/>
  <c r="AA139" i="3"/>
  <c r="AA140" i="3"/>
  <c r="AA141" i="3"/>
  <c r="AA142" i="3"/>
  <c r="AA143" i="3"/>
  <c r="AA144" i="3"/>
  <c r="AA145" i="3"/>
  <c r="AA146" i="3"/>
  <c r="AA147" i="3"/>
  <c r="AA148" i="3"/>
  <c r="AA149" i="3"/>
  <c r="AA150" i="3"/>
  <c r="AA151" i="3"/>
  <c r="AA152" i="3"/>
  <c r="AB131" i="3"/>
  <c r="O131" i="3" s="1"/>
  <c r="Y131" i="3" s="1"/>
  <c r="AB132" i="3"/>
  <c r="O132" i="3" s="1"/>
  <c r="AB133" i="3"/>
  <c r="O133" i="3" s="1"/>
  <c r="AB134" i="3"/>
  <c r="O134" i="3" s="1"/>
  <c r="AB135" i="3"/>
  <c r="O135" i="3" s="1"/>
  <c r="AB136" i="3"/>
  <c r="O136" i="3" s="1"/>
  <c r="AB137" i="3"/>
  <c r="O137" i="3" s="1"/>
  <c r="AB138" i="3"/>
  <c r="O138" i="3" s="1"/>
  <c r="AB139" i="3"/>
  <c r="O139" i="3" s="1"/>
  <c r="AB140" i="3"/>
  <c r="O140" i="3" s="1"/>
  <c r="AB141" i="3"/>
  <c r="O141" i="3" s="1"/>
  <c r="AB142" i="3"/>
  <c r="O142" i="3" s="1"/>
  <c r="Y142" i="3" s="1"/>
  <c r="AB143" i="3"/>
  <c r="O143" i="3" s="1"/>
  <c r="AB144" i="3"/>
  <c r="O144" i="3" s="1"/>
  <c r="AB145" i="3"/>
  <c r="O145" i="3" s="1"/>
  <c r="AB146" i="3"/>
  <c r="O146" i="3" s="1"/>
  <c r="AB147" i="3"/>
  <c r="O147" i="3" s="1"/>
  <c r="AB148" i="3"/>
  <c r="O148" i="3" s="1"/>
  <c r="AB149" i="3"/>
  <c r="O149" i="3" s="1"/>
  <c r="AB150" i="3"/>
  <c r="O150" i="3" s="1"/>
  <c r="AB151" i="3"/>
  <c r="O151" i="3" s="1"/>
  <c r="AB152" i="3"/>
  <c r="O152" i="3" s="1"/>
  <c r="AC131" i="3"/>
  <c r="N131" i="3" s="1"/>
  <c r="S131" i="3" s="1"/>
  <c r="AC132" i="3"/>
  <c r="N132" i="3" s="1"/>
  <c r="AC133" i="3"/>
  <c r="N133" i="3" s="1"/>
  <c r="AC134" i="3"/>
  <c r="N134" i="3" s="1"/>
  <c r="AC135" i="3"/>
  <c r="N135" i="3" s="1"/>
  <c r="AC136" i="3"/>
  <c r="N136" i="3" s="1"/>
  <c r="AC137" i="3"/>
  <c r="N137" i="3" s="1"/>
  <c r="AC138" i="3"/>
  <c r="N138" i="3" s="1"/>
  <c r="AC139" i="3"/>
  <c r="N139" i="3" s="1"/>
  <c r="AC140" i="3"/>
  <c r="N140" i="3" s="1"/>
  <c r="AC141" i="3"/>
  <c r="N141" i="3" s="1"/>
  <c r="AC142" i="3"/>
  <c r="N142" i="3" s="1"/>
  <c r="S142" i="3" s="1"/>
  <c r="Z142" i="3" s="1"/>
  <c r="AC143" i="3"/>
  <c r="N143" i="3" s="1"/>
  <c r="AC144" i="3"/>
  <c r="N144" i="3" s="1"/>
  <c r="AC145" i="3"/>
  <c r="N145" i="3" s="1"/>
  <c r="AC146" i="3"/>
  <c r="N146" i="3" s="1"/>
  <c r="AC147" i="3"/>
  <c r="N147" i="3" s="1"/>
  <c r="AC148" i="3"/>
  <c r="N148" i="3" s="1"/>
  <c r="AC149" i="3"/>
  <c r="N149" i="3" s="1"/>
  <c r="AC150" i="3"/>
  <c r="N150" i="3" s="1"/>
  <c r="AC151" i="3"/>
  <c r="N151" i="3" s="1"/>
  <c r="AC152" i="3"/>
  <c r="N152" i="3" s="1"/>
  <c r="AK131" i="3"/>
  <c r="AK132" i="3"/>
  <c r="AK133" i="3"/>
  <c r="AK134" i="3"/>
  <c r="AK135" i="3"/>
  <c r="AK136" i="3"/>
  <c r="AK137" i="3"/>
  <c r="AK138" i="3"/>
  <c r="AK139" i="3"/>
  <c r="AK140" i="3"/>
  <c r="AK141" i="3"/>
  <c r="AK142" i="3"/>
  <c r="AK143" i="3"/>
  <c r="AK144" i="3"/>
  <c r="AK145" i="3"/>
  <c r="AK146" i="3"/>
  <c r="AK147" i="3"/>
  <c r="AK148" i="3"/>
  <c r="AK149" i="3"/>
  <c r="AK150" i="3"/>
  <c r="AK151" i="3"/>
  <c r="AK152" i="3"/>
  <c r="Z131" i="3" l="1"/>
  <c r="S186" i="3"/>
  <c r="Z186" i="3" s="1"/>
  <c r="U196" i="3"/>
  <c r="W196" i="3"/>
  <c r="Y196" i="3"/>
  <c r="T196" i="3"/>
  <c r="V196" i="3"/>
  <c r="X196" i="3"/>
  <c r="U194" i="3"/>
  <c r="W194" i="3"/>
  <c r="Y194" i="3"/>
  <c r="T194" i="3"/>
  <c r="V194" i="3"/>
  <c r="X194" i="3"/>
  <c r="U192" i="3"/>
  <c r="W192" i="3"/>
  <c r="Y192" i="3"/>
  <c r="T192" i="3"/>
  <c r="V192" i="3"/>
  <c r="X192" i="3"/>
  <c r="U190" i="3"/>
  <c r="W190" i="3"/>
  <c r="Y190" i="3"/>
  <c r="T190" i="3"/>
  <c r="V190" i="3"/>
  <c r="X190" i="3"/>
  <c r="U188" i="3"/>
  <c r="W188" i="3"/>
  <c r="Y188" i="3"/>
  <c r="T188" i="3"/>
  <c r="V188" i="3"/>
  <c r="X188" i="3"/>
  <c r="T195" i="3"/>
  <c r="V195" i="3"/>
  <c r="X195" i="3"/>
  <c r="U195" i="3"/>
  <c r="W195" i="3"/>
  <c r="Y195" i="3"/>
  <c r="T193" i="3"/>
  <c r="V193" i="3"/>
  <c r="X193" i="3"/>
  <c r="U193" i="3"/>
  <c r="W193" i="3"/>
  <c r="Y193" i="3"/>
  <c r="T191" i="3"/>
  <c r="V191" i="3"/>
  <c r="X191" i="3"/>
  <c r="U191" i="3"/>
  <c r="W191" i="3"/>
  <c r="Y191" i="3"/>
  <c r="T189" i="3"/>
  <c r="V189" i="3"/>
  <c r="X189" i="3"/>
  <c r="U189" i="3"/>
  <c r="W189" i="3"/>
  <c r="Y189" i="3"/>
  <c r="T187" i="3"/>
  <c r="V187" i="3"/>
  <c r="X187" i="3"/>
  <c r="U187" i="3"/>
  <c r="W187" i="3"/>
  <c r="Y187" i="3"/>
  <c r="S175" i="3"/>
  <c r="Z175" i="3" s="1"/>
  <c r="U185" i="3"/>
  <c r="W185" i="3"/>
  <c r="Y185" i="3"/>
  <c r="T185" i="3"/>
  <c r="V185" i="3"/>
  <c r="X185" i="3"/>
  <c r="U183" i="3"/>
  <c r="W183" i="3"/>
  <c r="Y183" i="3"/>
  <c r="T183" i="3"/>
  <c r="V183" i="3"/>
  <c r="X183" i="3"/>
  <c r="U181" i="3"/>
  <c r="W181" i="3"/>
  <c r="Y181" i="3"/>
  <c r="T181" i="3"/>
  <c r="V181" i="3"/>
  <c r="X181" i="3"/>
  <c r="U179" i="3"/>
  <c r="W179" i="3"/>
  <c r="Y179" i="3"/>
  <c r="T179" i="3"/>
  <c r="V179" i="3"/>
  <c r="X179" i="3"/>
  <c r="U177" i="3"/>
  <c r="W177" i="3"/>
  <c r="Y177" i="3"/>
  <c r="T177" i="3"/>
  <c r="V177" i="3"/>
  <c r="X177" i="3"/>
  <c r="T184" i="3"/>
  <c r="V184" i="3"/>
  <c r="X184" i="3"/>
  <c r="U184" i="3"/>
  <c r="W184" i="3"/>
  <c r="Y184" i="3"/>
  <c r="T182" i="3"/>
  <c r="V182" i="3"/>
  <c r="X182" i="3"/>
  <c r="U182" i="3"/>
  <c r="W182" i="3"/>
  <c r="Y182" i="3"/>
  <c r="T180" i="3"/>
  <c r="V180" i="3"/>
  <c r="X180" i="3"/>
  <c r="U180" i="3"/>
  <c r="W180" i="3"/>
  <c r="Y180" i="3"/>
  <c r="T178" i="3"/>
  <c r="V178" i="3"/>
  <c r="X178" i="3"/>
  <c r="U178" i="3"/>
  <c r="W178" i="3"/>
  <c r="Y178" i="3"/>
  <c r="T176" i="3"/>
  <c r="V176" i="3"/>
  <c r="X176" i="3"/>
  <c r="U176" i="3"/>
  <c r="W176" i="3"/>
  <c r="Y176" i="3"/>
  <c r="S164" i="3"/>
  <c r="Z164" i="3" s="1"/>
  <c r="U174" i="3"/>
  <c r="W174" i="3"/>
  <c r="Y174" i="3"/>
  <c r="T174" i="3"/>
  <c r="V174" i="3"/>
  <c r="X174" i="3"/>
  <c r="U172" i="3"/>
  <c r="W172" i="3"/>
  <c r="Y172" i="3"/>
  <c r="T172" i="3"/>
  <c r="V172" i="3"/>
  <c r="X172" i="3"/>
  <c r="U170" i="3"/>
  <c r="W170" i="3"/>
  <c r="Y170" i="3"/>
  <c r="T170" i="3"/>
  <c r="V170" i="3"/>
  <c r="X170" i="3"/>
  <c r="U168" i="3"/>
  <c r="W168" i="3"/>
  <c r="Y168" i="3"/>
  <c r="T168" i="3"/>
  <c r="V168" i="3"/>
  <c r="X168" i="3"/>
  <c r="U166" i="3"/>
  <c r="W166" i="3"/>
  <c r="Y166" i="3"/>
  <c r="T166" i="3"/>
  <c r="V166" i="3"/>
  <c r="X166" i="3"/>
  <c r="T173" i="3"/>
  <c r="V173" i="3"/>
  <c r="X173" i="3"/>
  <c r="U173" i="3"/>
  <c r="W173" i="3"/>
  <c r="Y173" i="3"/>
  <c r="T171" i="3"/>
  <c r="V171" i="3"/>
  <c r="X171" i="3"/>
  <c r="U171" i="3"/>
  <c r="W171" i="3"/>
  <c r="Y171" i="3"/>
  <c r="T169" i="3"/>
  <c r="V169" i="3"/>
  <c r="X169" i="3"/>
  <c r="U169" i="3"/>
  <c r="W169" i="3"/>
  <c r="Y169" i="3"/>
  <c r="T167" i="3"/>
  <c r="V167" i="3"/>
  <c r="X167" i="3"/>
  <c r="U167" i="3"/>
  <c r="W167" i="3"/>
  <c r="Y167" i="3"/>
  <c r="T165" i="3"/>
  <c r="V165" i="3"/>
  <c r="X165" i="3"/>
  <c r="U165" i="3"/>
  <c r="W165" i="3"/>
  <c r="Y165" i="3"/>
  <c r="S153" i="3"/>
  <c r="Z153" i="3" s="1"/>
  <c r="U163" i="3"/>
  <c r="W163" i="3"/>
  <c r="Y163" i="3"/>
  <c r="T163" i="3"/>
  <c r="V163" i="3"/>
  <c r="X163" i="3"/>
  <c r="U161" i="3"/>
  <c r="W161" i="3"/>
  <c r="Y161" i="3"/>
  <c r="T161" i="3"/>
  <c r="V161" i="3"/>
  <c r="X161" i="3"/>
  <c r="U159" i="3"/>
  <c r="W159" i="3"/>
  <c r="Y159" i="3"/>
  <c r="T159" i="3"/>
  <c r="V159" i="3"/>
  <c r="X159" i="3"/>
  <c r="U157" i="3"/>
  <c r="W157" i="3"/>
  <c r="Y157" i="3"/>
  <c r="T157" i="3"/>
  <c r="V157" i="3"/>
  <c r="X157" i="3"/>
  <c r="U155" i="3"/>
  <c r="W155" i="3"/>
  <c r="Y155" i="3"/>
  <c r="T155" i="3"/>
  <c r="V155" i="3"/>
  <c r="X155" i="3"/>
  <c r="T162" i="3"/>
  <c r="V162" i="3"/>
  <c r="X162" i="3"/>
  <c r="U162" i="3"/>
  <c r="W162" i="3"/>
  <c r="Y162" i="3"/>
  <c r="T160" i="3"/>
  <c r="V160" i="3"/>
  <c r="X160" i="3"/>
  <c r="U160" i="3"/>
  <c r="W160" i="3"/>
  <c r="Y160" i="3"/>
  <c r="T158" i="3"/>
  <c r="V158" i="3"/>
  <c r="X158" i="3"/>
  <c r="U158" i="3"/>
  <c r="W158" i="3"/>
  <c r="Y158" i="3"/>
  <c r="T156" i="3"/>
  <c r="V156" i="3"/>
  <c r="X156" i="3"/>
  <c r="U156" i="3"/>
  <c r="W156" i="3"/>
  <c r="Y156" i="3"/>
  <c r="T154" i="3"/>
  <c r="V154" i="3"/>
  <c r="X154" i="3"/>
  <c r="U154" i="3"/>
  <c r="W154" i="3"/>
  <c r="Y154" i="3"/>
  <c r="T151" i="3"/>
  <c r="U151" i="3"/>
  <c r="V151" i="3"/>
  <c r="W151" i="3"/>
  <c r="X151" i="3"/>
  <c r="Y151" i="3"/>
  <c r="T149" i="3"/>
  <c r="U149" i="3"/>
  <c r="V149" i="3"/>
  <c r="W149" i="3"/>
  <c r="X149" i="3"/>
  <c r="Y149" i="3"/>
  <c r="T147" i="3"/>
  <c r="U147" i="3"/>
  <c r="V147" i="3"/>
  <c r="W147" i="3"/>
  <c r="X147" i="3"/>
  <c r="Y147" i="3"/>
  <c r="T145" i="3"/>
  <c r="U145" i="3"/>
  <c r="V145" i="3"/>
  <c r="W145" i="3"/>
  <c r="X145" i="3"/>
  <c r="Y145" i="3"/>
  <c r="T143" i="3"/>
  <c r="U143" i="3"/>
  <c r="V143" i="3"/>
  <c r="W143" i="3"/>
  <c r="X143" i="3"/>
  <c r="Y143" i="3"/>
  <c r="T141" i="3"/>
  <c r="U141" i="3"/>
  <c r="V141" i="3"/>
  <c r="W141" i="3"/>
  <c r="X141" i="3"/>
  <c r="Y141" i="3"/>
  <c r="T139" i="3"/>
  <c r="U139" i="3"/>
  <c r="V139" i="3"/>
  <c r="W139" i="3"/>
  <c r="X139" i="3"/>
  <c r="Y139" i="3"/>
  <c r="T137" i="3"/>
  <c r="U137" i="3"/>
  <c r="V137" i="3"/>
  <c r="W137" i="3"/>
  <c r="X137" i="3"/>
  <c r="Y137" i="3"/>
  <c r="T135" i="3"/>
  <c r="U135" i="3"/>
  <c r="V135" i="3"/>
  <c r="W135" i="3"/>
  <c r="X135" i="3"/>
  <c r="Y135" i="3"/>
  <c r="T133" i="3"/>
  <c r="U133" i="3"/>
  <c r="V133" i="3"/>
  <c r="W133" i="3"/>
  <c r="X133" i="3"/>
  <c r="Y133" i="3"/>
  <c r="T152" i="3"/>
  <c r="U152" i="3"/>
  <c r="V152" i="3"/>
  <c r="W152" i="3"/>
  <c r="X152" i="3"/>
  <c r="Y152" i="3"/>
  <c r="T150" i="3"/>
  <c r="U150" i="3"/>
  <c r="V150" i="3"/>
  <c r="W150" i="3"/>
  <c r="X150" i="3"/>
  <c r="Y150" i="3"/>
  <c r="T148" i="3"/>
  <c r="U148" i="3"/>
  <c r="V148" i="3"/>
  <c r="W148" i="3"/>
  <c r="X148" i="3"/>
  <c r="Y148" i="3"/>
  <c r="T146" i="3"/>
  <c r="U146" i="3"/>
  <c r="V146" i="3"/>
  <c r="W146" i="3"/>
  <c r="X146" i="3"/>
  <c r="Y146" i="3"/>
  <c r="T144" i="3"/>
  <c r="U144" i="3"/>
  <c r="V144" i="3"/>
  <c r="W144" i="3"/>
  <c r="X144" i="3"/>
  <c r="Y144" i="3"/>
  <c r="T140" i="3"/>
  <c r="U140" i="3"/>
  <c r="V140" i="3"/>
  <c r="W140" i="3"/>
  <c r="X140" i="3"/>
  <c r="Y140" i="3"/>
  <c r="T138" i="3"/>
  <c r="U138" i="3"/>
  <c r="V138" i="3"/>
  <c r="W138" i="3"/>
  <c r="X138" i="3"/>
  <c r="Y138" i="3"/>
  <c r="T136" i="3"/>
  <c r="U136" i="3"/>
  <c r="V136" i="3"/>
  <c r="W136" i="3"/>
  <c r="X136" i="3"/>
  <c r="Y136" i="3"/>
  <c r="T134" i="3"/>
  <c r="U134" i="3"/>
  <c r="V134" i="3"/>
  <c r="W134" i="3"/>
  <c r="X134" i="3"/>
  <c r="Y134" i="3"/>
  <c r="T132" i="3"/>
  <c r="U132" i="3"/>
  <c r="V132" i="3"/>
  <c r="W132" i="3"/>
  <c r="X132" i="3"/>
  <c r="Y132" i="3"/>
  <c r="M120" i="3"/>
  <c r="M121" i="3"/>
  <c r="M122" i="3"/>
  <c r="M123" i="3"/>
  <c r="M124" i="3"/>
  <c r="M125" i="3"/>
  <c r="M126" i="3"/>
  <c r="M127" i="3"/>
  <c r="M128" i="3"/>
  <c r="M129" i="3"/>
  <c r="M130" i="3"/>
  <c r="P120" i="3"/>
  <c r="P121" i="3"/>
  <c r="P122" i="3"/>
  <c r="P123" i="3"/>
  <c r="P124" i="3"/>
  <c r="P125" i="3"/>
  <c r="P126" i="3"/>
  <c r="P127" i="3"/>
  <c r="P128" i="3"/>
  <c r="P129" i="3"/>
  <c r="P130" i="3"/>
  <c r="Q120" i="3"/>
  <c r="Q121" i="3"/>
  <c r="Q122" i="3"/>
  <c r="Q123" i="3"/>
  <c r="Q124" i="3"/>
  <c r="Q125" i="3"/>
  <c r="Q126" i="3"/>
  <c r="Q127" i="3"/>
  <c r="Q128" i="3"/>
  <c r="Q129" i="3"/>
  <c r="Q130" i="3"/>
  <c r="R120" i="3"/>
  <c r="R121" i="3"/>
  <c r="R122" i="3"/>
  <c r="R123" i="3"/>
  <c r="R124" i="3"/>
  <c r="R125" i="3"/>
  <c r="R126" i="3"/>
  <c r="R127" i="3"/>
  <c r="R128" i="3"/>
  <c r="R129" i="3"/>
  <c r="R130" i="3"/>
  <c r="S121" i="3"/>
  <c r="S122" i="3"/>
  <c r="S123" i="3"/>
  <c r="S124" i="3"/>
  <c r="S125" i="3"/>
  <c r="S126" i="3"/>
  <c r="S127" i="3"/>
  <c r="S128" i="3"/>
  <c r="S129" i="3"/>
  <c r="S130" i="3"/>
  <c r="T120" i="3"/>
  <c r="U120" i="3"/>
  <c r="V120" i="3"/>
  <c r="W120" i="3"/>
  <c r="X120" i="3"/>
  <c r="AA120" i="3"/>
  <c r="AA121" i="3"/>
  <c r="AA122" i="3"/>
  <c r="AA123" i="3"/>
  <c r="AA124" i="3"/>
  <c r="AA125" i="3"/>
  <c r="AA126" i="3"/>
  <c r="AA127" i="3"/>
  <c r="AA128" i="3"/>
  <c r="AA129" i="3"/>
  <c r="AA130" i="3"/>
  <c r="AB120" i="3"/>
  <c r="O120" i="3" s="1"/>
  <c r="Y120" i="3" s="1"/>
  <c r="AB121" i="3"/>
  <c r="O121" i="3" s="1"/>
  <c r="AB122" i="3"/>
  <c r="O122" i="3" s="1"/>
  <c r="AB123" i="3"/>
  <c r="O123" i="3" s="1"/>
  <c r="AB124" i="3"/>
  <c r="O124" i="3" s="1"/>
  <c r="AB125" i="3"/>
  <c r="O125" i="3" s="1"/>
  <c r="AB126" i="3"/>
  <c r="O126" i="3" s="1"/>
  <c r="AB127" i="3"/>
  <c r="O127" i="3" s="1"/>
  <c r="AB128" i="3"/>
  <c r="O128" i="3" s="1"/>
  <c r="AB129" i="3"/>
  <c r="O129" i="3" s="1"/>
  <c r="AB130" i="3"/>
  <c r="O130" i="3" s="1"/>
  <c r="AC120" i="3"/>
  <c r="N120" i="3" s="1"/>
  <c r="AC121" i="3"/>
  <c r="N121" i="3" s="1"/>
  <c r="AC122" i="3"/>
  <c r="N122" i="3" s="1"/>
  <c r="AC123" i="3"/>
  <c r="N123" i="3" s="1"/>
  <c r="AC124" i="3"/>
  <c r="N124" i="3" s="1"/>
  <c r="AC125" i="3"/>
  <c r="N125" i="3" s="1"/>
  <c r="AC126" i="3"/>
  <c r="N126" i="3" s="1"/>
  <c r="AC127" i="3"/>
  <c r="N127" i="3" s="1"/>
  <c r="AC128" i="3"/>
  <c r="N128" i="3" s="1"/>
  <c r="AC129" i="3"/>
  <c r="N129" i="3" s="1"/>
  <c r="AC130" i="3"/>
  <c r="N130" i="3" s="1"/>
  <c r="AK120" i="3"/>
  <c r="AK121" i="3"/>
  <c r="AK122" i="3"/>
  <c r="AK123" i="3"/>
  <c r="AK124" i="3"/>
  <c r="AK125" i="3"/>
  <c r="AK126" i="3"/>
  <c r="AK127" i="3"/>
  <c r="AK128" i="3"/>
  <c r="AK129" i="3"/>
  <c r="AK130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T106" i="3"/>
  <c r="U106" i="3"/>
  <c r="V106" i="3"/>
  <c r="W106" i="3"/>
  <c r="X106" i="3"/>
  <c r="AA106" i="3"/>
  <c r="AA107" i="3"/>
  <c r="AA108" i="3"/>
  <c r="AA109" i="3"/>
  <c r="AA110" i="3"/>
  <c r="AA111" i="3"/>
  <c r="AA112" i="3"/>
  <c r="AA113" i="3"/>
  <c r="AA114" i="3"/>
  <c r="AA115" i="3"/>
  <c r="AA116" i="3"/>
  <c r="AA117" i="3"/>
  <c r="AA118" i="3"/>
  <c r="AA119" i="3"/>
  <c r="AB106" i="3"/>
  <c r="O106" i="3" s="1"/>
  <c r="Y106" i="3" s="1"/>
  <c r="AB107" i="3"/>
  <c r="O107" i="3" s="1"/>
  <c r="AB108" i="3"/>
  <c r="O108" i="3" s="1"/>
  <c r="AB109" i="3"/>
  <c r="O109" i="3" s="1"/>
  <c r="AB110" i="3"/>
  <c r="O110" i="3" s="1"/>
  <c r="AB111" i="3"/>
  <c r="O111" i="3" s="1"/>
  <c r="AB112" i="3"/>
  <c r="O112" i="3" s="1"/>
  <c r="AB113" i="3"/>
  <c r="O113" i="3" s="1"/>
  <c r="AB114" i="3"/>
  <c r="O114" i="3" s="1"/>
  <c r="AB115" i="3"/>
  <c r="O115" i="3" s="1"/>
  <c r="AB116" i="3"/>
  <c r="O116" i="3" s="1"/>
  <c r="AB117" i="3"/>
  <c r="O117" i="3" s="1"/>
  <c r="AB118" i="3"/>
  <c r="O118" i="3" s="1"/>
  <c r="AB119" i="3"/>
  <c r="O119" i="3" s="1"/>
  <c r="AC106" i="3"/>
  <c r="N106" i="3" s="1"/>
  <c r="S106" i="3" s="1"/>
  <c r="AC107" i="3"/>
  <c r="N107" i="3" s="1"/>
  <c r="AC108" i="3"/>
  <c r="N108" i="3" s="1"/>
  <c r="AC109" i="3"/>
  <c r="N109" i="3" s="1"/>
  <c r="AC110" i="3"/>
  <c r="N110" i="3" s="1"/>
  <c r="AC111" i="3"/>
  <c r="N111" i="3" s="1"/>
  <c r="AC112" i="3"/>
  <c r="N112" i="3" s="1"/>
  <c r="AC113" i="3"/>
  <c r="N113" i="3" s="1"/>
  <c r="AC114" i="3"/>
  <c r="N114" i="3" s="1"/>
  <c r="AC115" i="3"/>
  <c r="N115" i="3" s="1"/>
  <c r="AC116" i="3"/>
  <c r="N116" i="3" s="1"/>
  <c r="AC117" i="3"/>
  <c r="N117" i="3" s="1"/>
  <c r="AC118" i="3"/>
  <c r="N118" i="3" s="1"/>
  <c r="AC119" i="3"/>
  <c r="N119" i="3" s="1"/>
  <c r="AK106" i="3"/>
  <c r="AK107" i="3"/>
  <c r="AK108" i="3"/>
  <c r="AK109" i="3"/>
  <c r="AK110" i="3"/>
  <c r="AK111" i="3"/>
  <c r="AK112" i="3"/>
  <c r="AK113" i="3"/>
  <c r="AK114" i="3"/>
  <c r="AK115" i="3"/>
  <c r="AK116" i="3"/>
  <c r="AK117" i="3"/>
  <c r="AK118" i="3"/>
  <c r="AK119" i="3"/>
  <c r="M95" i="3"/>
  <c r="M96" i="3"/>
  <c r="M97" i="3"/>
  <c r="M98" i="3"/>
  <c r="M99" i="3"/>
  <c r="M100" i="3"/>
  <c r="M101" i="3"/>
  <c r="M102" i="3"/>
  <c r="M103" i="3"/>
  <c r="M104" i="3"/>
  <c r="M105" i="3"/>
  <c r="P95" i="3"/>
  <c r="P96" i="3"/>
  <c r="P97" i="3"/>
  <c r="P98" i="3"/>
  <c r="P99" i="3"/>
  <c r="P100" i="3"/>
  <c r="P101" i="3"/>
  <c r="P102" i="3"/>
  <c r="P103" i="3"/>
  <c r="P104" i="3"/>
  <c r="P105" i="3"/>
  <c r="Q95" i="3"/>
  <c r="Q96" i="3"/>
  <c r="Q97" i="3"/>
  <c r="Q98" i="3"/>
  <c r="Q99" i="3"/>
  <c r="Q100" i="3"/>
  <c r="Q101" i="3"/>
  <c r="Q102" i="3"/>
  <c r="Q103" i="3"/>
  <c r="Q104" i="3"/>
  <c r="Q105" i="3"/>
  <c r="R95" i="3"/>
  <c r="R96" i="3"/>
  <c r="R97" i="3"/>
  <c r="R98" i="3"/>
  <c r="R99" i="3"/>
  <c r="R100" i="3"/>
  <c r="R101" i="3"/>
  <c r="R102" i="3"/>
  <c r="R103" i="3"/>
  <c r="R104" i="3"/>
  <c r="R105" i="3"/>
  <c r="S96" i="3"/>
  <c r="S97" i="3"/>
  <c r="S98" i="3"/>
  <c r="S99" i="3"/>
  <c r="S100" i="3"/>
  <c r="S101" i="3"/>
  <c r="S102" i="3"/>
  <c r="S103" i="3"/>
  <c r="S104" i="3"/>
  <c r="S105" i="3"/>
  <c r="T95" i="3"/>
  <c r="U95" i="3"/>
  <c r="V95" i="3"/>
  <c r="W95" i="3"/>
  <c r="X95" i="3"/>
  <c r="AA95" i="3"/>
  <c r="AA96" i="3"/>
  <c r="AA97" i="3"/>
  <c r="AA98" i="3"/>
  <c r="AA99" i="3"/>
  <c r="AA100" i="3"/>
  <c r="AA101" i="3"/>
  <c r="AA102" i="3"/>
  <c r="AA103" i="3"/>
  <c r="AA104" i="3"/>
  <c r="AA105" i="3"/>
  <c r="AB95" i="3"/>
  <c r="O95" i="3" s="1"/>
  <c r="Y95" i="3" s="1"/>
  <c r="AB96" i="3"/>
  <c r="O96" i="3" s="1"/>
  <c r="AB97" i="3"/>
  <c r="O97" i="3" s="1"/>
  <c r="AB98" i="3"/>
  <c r="O98" i="3" s="1"/>
  <c r="AB99" i="3"/>
  <c r="O99" i="3" s="1"/>
  <c r="AB100" i="3"/>
  <c r="O100" i="3" s="1"/>
  <c r="AB101" i="3"/>
  <c r="O101" i="3" s="1"/>
  <c r="AB102" i="3"/>
  <c r="O102" i="3" s="1"/>
  <c r="AB103" i="3"/>
  <c r="O103" i="3" s="1"/>
  <c r="AB104" i="3"/>
  <c r="O104" i="3" s="1"/>
  <c r="AB105" i="3"/>
  <c r="O105" i="3" s="1"/>
  <c r="AC95" i="3"/>
  <c r="N95" i="3" s="1"/>
  <c r="AC96" i="3"/>
  <c r="N96" i="3" s="1"/>
  <c r="AC97" i="3"/>
  <c r="N97" i="3" s="1"/>
  <c r="AC98" i="3"/>
  <c r="N98" i="3" s="1"/>
  <c r="AC99" i="3"/>
  <c r="N99" i="3" s="1"/>
  <c r="AC100" i="3"/>
  <c r="N100" i="3" s="1"/>
  <c r="AC101" i="3"/>
  <c r="N101" i="3" s="1"/>
  <c r="AC102" i="3"/>
  <c r="N102" i="3" s="1"/>
  <c r="AC103" i="3"/>
  <c r="N103" i="3" s="1"/>
  <c r="AC104" i="3"/>
  <c r="N104" i="3" s="1"/>
  <c r="AC105" i="3"/>
  <c r="N105" i="3" s="1"/>
  <c r="AK95" i="3"/>
  <c r="AK96" i="3"/>
  <c r="AK97" i="3"/>
  <c r="AK98" i="3"/>
  <c r="AK99" i="3"/>
  <c r="AK100" i="3"/>
  <c r="AK101" i="3"/>
  <c r="AK102" i="3"/>
  <c r="AK103" i="3"/>
  <c r="AK104" i="3"/>
  <c r="AK105" i="3"/>
  <c r="R91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R81" i="3"/>
  <c r="R82" i="3"/>
  <c r="R83" i="3"/>
  <c r="R84" i="3"/>
  <c r="R85" i="3"/>
  <c r="R86" i="3"/>
  <c r="R87" i="3"/>
  <c r="R88" i="3"/>
  <c r="R89" i="3"/>
  <c r="R90" i="3"/>
  <c r="R92" i="3"/>
  <c r="R93" i="3"/>
  <c r="R94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T81" i="3"/>
  <c r="U81" i="3"/>
  <c r="V81" i="3"/>
  <c r="W81" i="3"/>
  <c r="X81" i="3"/>
  <c r="AA81" i="3"/>
  <c r="AA82" i="3"/>
  <c r="AA83" i="3"/>
  <c r="AA84" i="3"/>
  <c r="AA85" i="3"/>
  <c r="AA86" i="3"/>
  <c r="AA87" i="3"/>
  <c r="AA88" i="3"/>
  <c r="AA89" i="3"/>
  <c r="AA90" i="3"/>
  <c r="AA91" i="3"/>
  <c r="AA92" i="3"/>
  <c r="AA93" i="3"/>
  <c r="AA94" i="3"/>
  <c r="AB81" i="3"/>
  <c r="O81" i="3" s="1"/>
  <c r="AB82" i="3"/>
  <c r="O82" i="3" s="1"/>
  <c r="AB83" i="3"/>
  <c r="O83" i="3" s="1"/>
  <c r="AB84" i="3"/>
  <c r="O84" i="3" s="1"/>
  <c r="AB85" i="3"/>
  <c r="O85" i="3" s="1"/>
  <c r="AB86" i="3"/>
  <c r="O86" i="3" s="1"/>
  <c r="AB87" i="3"/>
  <c r="O87" i="3" s="1"/>
  <c r="AB88" i="3"/>
  <c r="O88" i="3" s="1"/>
  <c r="AB89" i="3"/>
  <c r="O89" i="3" s="1"/>
  <c r="AB90" i="3"/>
  <c r="O90" i="3" s="1"/>
  <c r="AB91" i="3"/>
  <c r="O91" i="3" s="1"/>
  <c r="AB92" i="3"/>
  <c r="O92" i="3" s="1"/>
  <c r="AB93" i="3"/>
  <c r="O93" i="3" s="1"/>
  <c r="AB94" i="3"/>
  <c r="O94" i="3" s="1"/>
  <c r="AC81" i="3"/>
  <c r="N81" i="3" s="1"/>
  <c r="AC82" i="3"/>
  <c r="N82" i="3" s="1"/>
  <c r="AC83" i="3"/>
  <c r="N83" i="3" s="1"/>
  <c r="AC84" i="3"/>
  <c r="N84" i="3" s="1"/>
  <c r="AC85" i="3"/>
  <c r="N85" i="3" s="1"/>
  <c r="AC86" i="3"/>
  <c r="N86" i="3" s="1"/>
  <c r="AC87" i="3"/>
  <c r="N87" i="3" s="1"/>
  <c r="AC88" i="3"/>
  <c r="N88" i="3" s="1"/>
  <c r="AC89" i="3"/>
  <c r="N89" i="3" s="1"/>
  <c r="AC90" i="3"/>
  <c r="N90" i="3" s="1"/>
  <c r="AC91" i="3"/>
  <c r="N91" i="3" s="1"/>
  <c r="AC92" i="3"/>
  <c r="N92" i="3" s="1"/>
  <c r="AC93" i="3"/>
  <c r="N93" i="3" s="1"/>
  <c r="AC94" i="3"/>
  <c r="N94" i="3" s="1"/>
  <c r="AK81" i="3"/>
  <c r="AK82" i="3"/>
  <c r="AK83" i="3"/>
  <c r="AK84" i="3"/>
  <c r="AK85" i="3"/>
  <c r="AK86" i="3"/>
  <c r="AK87" i="3"/>
  <c r="AK88" i="3"/>
  <c r="AK89" i="3"/>
  <c r="AK90" i="3"/>
  <c r="AK91" i="3"/>
  <c r="AK92" i="3"/>
  <c r="AK93" i="3"/>
  <c r="AK94" i="3"/>
  <c r="M70" i="3"/>
  <c r="M71" i="3"/>
  <c r="M72" i="3"/>
  <c r="M73" i="3"/>
  <c r="M74" i="3"/>
  <c r="M75" i="3"/>
  <c r="M76" i="3"/>
  <c r="M77" i="3"/>
  <c r="M78" i="3"/>
  <c r="M79" i="3"/>
  <c r="M80" i="3"/>
  <c r="P70" i="3"/>
  <c r="P71" i="3"/>
  <c r="P72" i="3"/>
  <c r="P73" i="3"/>
  <c r="P74" i="3"/>
  <c r="P75" i="3"/>
  <c r="P76" i="3"/>
  <c r="P77" i="3"/>
  <c r="P78" i="3"/>
  <c r="P79" i="3"/>
  <c r="P80" i="3"/>
  <c r="Q70" i="3"/>
  <c r="Q71" i="3"/>
  <c r="Q72" i="3"/>
  <c r="Q73" i="3"/>
  <c r="Q74" i="3"/>
  <c r="Q75" i="3"/>
  <c r="Q76" i="3"/>
  <c r="Q77" i="3"/>
  <c r="Q78" i="3"/>
  <c r="Q79" i="3"/>
  <c r="Q80" i="3"/>
  <c r="R70" i="3"/>
  <c r="R71" i="3"/>
  <c r="R72" i="3"/>
  <c r="R73" i="3"/>
  <c r="R74" i="3"/>
  <c r="R75" i="3"/>
  <c r="R76" i="3"/>
  <c r="R77" i="3"/>
  <c r="R78" i="3"/>
  <c r="R79" i="3"/>
  <c r="R80" i="3"/>
  <c r="S71" i="3"/>
  <c r="S72" i="3"/>
  <c r="S73" i="3"/>
  <c r="S74" i="3"/>
  <c r="S75" i="3"/>
  <c r="S76" i="3"/>
  <c r="S77" i="3"/>
  <c r="S78" i="3"/>
  <c r="S79" i="3"/>
  <c r="S80" i="3"/>
  <c r="T70" i="3"/>
  <c r="U70" i="3"/>
  <c r="V70" i="3"/>
  <c r="W70" i="3"/>
  <c r="X70" i="3"/>
  <c r="AA70" i="3"/>
  <c r="AA71" i="3"/>
  <c r="AA72" i="3"/>
  <c r="AA73" i="3"/>
  <c r="AA74" i="3"/>
  <c r="AA75" i="3"/>
  <c r="AA76" i="3"/>
  <c r="AA77" i="3"/>
  <c r="AA78" i="3"/>
  <c r="AA79" i="3"/>
  <c r="AA80" i="3"/>
  <c r="AB70" i="3"/>
  <c r="O70" i="3" s="1"/>
  <c r="Y70" i="3" s="1"/>
  <c r="AB71" i="3"/>
  <c r="O71" i="3" s="1"/>
  <c r="AB72" i="3"/>
  <c r="O72" i="3" s="1"/>
  <c r="AB73" i="3"/>
  <c r="O73" i="3" s="1"/>
  <c r="AB74" i="3"/>
  <c r="O74" i="3" s="1"/>
  <c r="AB75" i="3"/>
  <c r="O75" i="3" s="1"/>
  <c r="AB76" i="3"/>
  <c r="O76" i="3" s="1"/>
  <c r="AB77" i="3"/>
  <c r="O77" i="3" s="1"/>
  <c r="AB78" i="3"/>
  <c r="O78" i="3" s="1"/>
  <c r="AB79" i="3"/>
  <c r="O79" i="3" s="1"/>
  <c r="AB80" i="3"/>
  <c r="O80" i="3" s="1"/>
  <c r="AC70" i="3"/>
  <c r="N70" i="3" s="1"/>
  <c r="AC71" i="3"/>
  <c r="N71" i="3" s="1"/>
  <c r="AC72" i="3"/>
  <c r="N72" i="3" s="1"/>
  <c r="AC73" i="3"/>
  <c r="N73" i="3" s="1"/>
  <c r="AC74" i="3"/>
  <c r="N74" i="3" s="1"/>
  <c r="AC75" i="3"/>
  <c r="N75" i="3" s="1"/>
  <c r="AC76" i="3"/>
  <c r="N76" i="3" s="1"/>
  <c r="AC77" i="3"/>
  <c r="N77" i="3" s="1"/>
  <c r="AC78" i="3"/>
  <c r="N78" i="3" s="1"/>
  <c r="AC79" i="3"/>
  <c r="N79" i="3" s="1"/>
  <c r="AC80" i="3"/>
  <c r="N80" i="3" s="1"/>
  <c r="AK70" i="3"/>
  <c r="AK71" i="3"/>
  <c r="AK72" i="3"/>
  <c r="AK73" i="3"/>
  <c r="AK74" i="3"/>
  <c r="AK75" i="3"/>
  <c r="AK76" i="3"/>
  <c r="AK77" i="3"/>
  <c r="AK78" i="3"/>
  <c r="AK79" i="3"/>
  <c r="AK80" i="3"/>
  <c r="Z134" i="3" l="1"/>
  <c r="Z138" i="3"/>
  <c r="Z140" i="3"/>
  <c r="Z144" i="3"/>
  <c r="Z155" i="3"/>
  <c r="Z157" i="3"/>
  <c r="Z159" i="3"/>
  <c r="Z161" i="3"/>
  <c r="Z163" i="3"/>
  <c r="Z165" i="3"/>
  <c r="Z167" i="3"/>
  <c r="Z169" i="3"/>
  <c r="Z171" i="3"/>
  <c r="Z173" i="3"/>
  <c r="Z177" i="3"/>
  <c r="Z179" i="3"/>
  <c r="Z181" i="3"/>
  <c r="Z183" i="3"/>
  <c r="Z185" i="3"/>
  <c r="Z187" i="3"/>
  <c r="Z189" i="3"/>
  <c r="Z191" i="3"/>
  <c r="Z193" i="3"/>
  <c r="Z195" i="3"/>
  <c r="Z132" i="3"/>
  <c r="Z136" i="3"/>
  <c r="Z146" i="3"/>
  <c r="Z148" i="3"/>
  <c r="Z150" i="3"/>
  <c r="Z152" i="3"/>
  <c r="Z133" i="3"/>
  <c r="Z135" i="3"/>
  <c r="Z137" i="3"/>
  <c r="Z139" i="3"/>
  <c r="Z141" i="3"/>
  <c r="Z143" i="3"/>
  <c r="Z145" i="3"/>
  <c r="Z147" i="3"/>
  <c r="Z149" i="3"/>
  <c r="Z151" i="3"/>
  <c r="Z154" i="3"/>
  <c r="Z156" i="3"/>
  <c r="Z158" i="3"/>
  <c r="Z160" i="3"/>
  <c r="Z162" i="3"/>
  <c r="Z166" i="3"/>
  <c r="Z168" i="3"/>
  <c r="Z170" i="3"/>
  <c r="Z172" i="3"/>
  <c r="Z174" i="3"/>
  <c r="Z176" i="3"/>
  <c r="Z178" i="3"/>
  <c r="Z180" i="3"/>
  <c r="Z182" i="3"/>
  <c r="Z184" i="3"/>
  <c r="Z188" i="3"/>
  <c r="Z190" i="3"/>
  <c r="Z192" i="3"/>
  <c r="Z194" i="3"/>
  <c r="Z196" i="3"/>
  <c r="Z106" i="3"/>
  <c r="S95" i="3"/>
  <c r="Z95" i="3" s="1"/>
  <c r="S120" i="3"/>
  <c r="Z120" i="3" s="1"/>
  <c r="U130" i="3"/>
  <c r="W130" i="3"/>
  <c r="Y130" i="3"/>
  <c r="T130" i="3"/>
  <c r="V130" i="3"/>
  <c r="X130" i="3"/>
  <c r="U128" i="3"/>
  <c r="W128" i="3"/>
  <c r="Y128" i="3"/>
  <c r="T128" i="3"/>
  <c r="V128" i="3"/>
  <c r="X128" i="3"/>
  <c r="U126" i="3"/>
  <c r="W126" i="3"/>
  <c r="Y126" i="3"/>
  <c r="T126" i="3"/>
  <c r="V126" i="3"/>
  <c r="X126" i="3"/>
  <c r="U124" i="3"/>
  <c r="W124" i="3"/>
  <c r="Y124" i="3"/>
  <c r="T124" i="3"/>
  <c r="V124" i="3"/>
  <c r="X124" i="3"/>
  <c r="U122" i="3"/>
  <c r="W122" i="3"/>
  <c r="Y122" i="3"/>
  <c r="T122" i="3"/>
  <c r="V122" i="3"/>
  <c r="X122" i="3"/>
  <c r="T129" i="3"/>
  <c r="V129" i="3"/>
  <c r="X129" i="3"/>
  <c r="U129" i="3"/>
  <c r="W129" i="3"/>
  <c r="Y129" i="3"/>
  <c r="T127" i="3"/>
  <c r="V127" i="3"/>
  <c r="X127" i="3"/>
  <c r="U127" i="3"/>
  <c r="W127" i="3"/>
  <c r="Y127" i="3"/>
  <c r="T125" i="3"/>
  <c r="V125" i="3"/>
  <c r="X125" i="3"/>
  <c r="U125" i="3"/>
  <c r="W125" i="3"/>
  <c r="Y125" i="3"/>
  <c r="T123" i="3"/>
  <c r="V123" i="3"/>
  <c r="X123" i="3"/>
  <c r="U123" i="3"/>
  <c r="W123" i="3"/>
  <c r="Y123" i="3"/>
  <c r="T121" i="3"/>
  <c r="V121" i="3"/>
  <c r="X121" i="3"/>
  <c r="U121" i="3"/>
  <c r="W121" i="3"/>
  <c r="Y121" i="3"/>
  <c r="T119" i="3"/>
  <c r="U119" i="3"/>
  <c r="V119" i="3"/>
  <c r="W119" i="3"/>
  <c r="X119" i="3"/>
  <c r="Y119" i="3"/>
  <c r="T117" i="3"/>
  <c r="U117" i="3"/>
  <c r="V117" i="3"/>
  <c r="W117" i="3"/>
  <c r="X117" i="3"/>
  <c r="Y117" i="3"/>
  <c r="T115" i="3"/>
  <c r="U115" i="3"/>
  <c r="V115" i="3"/>
  <c r="W115" i="3"/>
  <c r="X115" i="3"/>
  <c r="Y115" i="3"/>
  <c r="T113" i="3"/>
  <c r="U113" i="3"/>
  <c r="V113" i="3"/>
  <c r="W113" i="3"/>
  <c r="X113" i="3"/>
  <c r="Y113" i="3"/>
  <c r="T111" i="3"/>
  <c r="U111" i="3"/>
  <c r="V111" i="3"/>
  <c r="W111" i="3"/>
  <c r="X111" i="3"/>
  <c r="Y111" i="3"/>
  <c r="T109" i="3"/>
  <c r="U109" i="3"/>
  <c r="V109" i="3"/>
  <c r="W109" i="3"/>
  <c r="X109" i="3"/>
  <c r="Y109" i="3"/>
  <c r="T107" i="3"/>
  <c r="U107" i="3"/>
  <c r="V107" i="3"/>
  <c r="W107" i="3"/>
  <c r="X107" i="3"/>
  <c r="Y107" i="3"/>
  <c r="T118" i="3"/>
  <c r="U118" i="3"/>
  <c r="V118" i="3"/>
  <c r="W118" i="3"/>
  <c r="X118" i="3"/>
  <c r="Y118" i="3"/>
  <c r="T116" i="3"/>
  <c r="U116" i="3"/>
  <c r="V116" i="3"/>
  <c r="W116" i="3"/>
  <c r="X116" i="3"/>
  <c r="Y116" i="3"/>
  <c r="T114" i="3"/>
  <c r="U114" i="3"/>
  <c r="V114" i="3"/>
  <c r="W114" i="3"/>
  <c r="X114" i="3"/>
  <c r="Y114" i="3"/>
  <c r="T112" i="3"/>
  <c r="U112" i="3"/>
  <c r="V112" i="3"/>
  <c r="W112" i="3"/>
  <c r="X112" i="3"/>
  <c r="Y112" i="3"/>
  <c r="T110" i="3"/>
  <c r="U110" i="3"/>
  <c r="V110" i="3"/>
  <c r="W110" i="3"/>
  <c r="X110" i="3"/>
  <c r="Y110" i="3"/>
  <c r="T108" i="3"/>
  <c r="U108" i="3"/>
  <c r="V108" i="3"/>
  <c r="W108" i="3"/>
  <c r="X108" i="3"/>
  <c r="Y108" i="3"/>
  <c r="U105" i="3"/>
  <c r="W105" i="3"/>
  <c r="Y105" i="3"/>
  <c r="T105" i="3"/>
  <c r="V105" i="3"/>
  <c r="X105" i="3"/>
  <c r="U103" i="3"/>
  <c r="W103" i="3"/>
  <c r="Y103" i="3"/>
  <c r="T103" i="3"/>
  <c r="V103" i="3"/>
  <c r="X103" i="3"/>
  <c r="U101" i="3"/>
  <c r="W101" i="3"/>
  <c r="Y101" i="3"/>
  <c r="T101" i="3"/>
  <c r="V101" i="3"/>
  <c r="X101" i="3"/>
  <c r="U99" i="3"/>
  <c r="W99" i="3"/>
  <c r="Y99" i="3"/>
  <c r="T99" i="3"/>
  <c r="V99" i="3"/>
  <c r="X99" i="3"/>
  <c r="U97" i="3"/>
  <c r="W97" i="3"/>
  <c r="Y97" i="3"/>
  <c r="T97" i="3"/>
  <c r="V97" i="3"/>
  <c r="X97" i="3"/>
  <c r="T104" i="3"/>
  <c r="V104" i="3"/>
  <c r="X104" i="3"/>
  <c r="U104" i="3"/>
  <c r="W104" i="3"/>
  <c r="Y104" i="3"/>
  <c r="T102" i="3"/>
  <c r="V102" i="3"/>
  <c r="X102" i="3"/>
  <c r="U102" i="3"/>
  <c r="W102" i="3"/>
  <c r="Y102" i="3"/>
  <c r="T100" i="3"/>
  <c r="V100" i="3"/>
  <c r="X100" i="3"/>
  <c r="U100" i="3"/>
  <c r="W100" i="3"/>
  <c r="Y100" i="3"/>
  <c r="T98" i="3"/>
  <c r="V98" i="3"/>
  <c r="X98" i="3"/>
  <c r="U98" i="3"/>
  <c r="W98" i="3"/>
  <c r="Y98" i="3"/>
  <c r="T96" i="3"/>
  <c r="V96" i="3"/>
  <c r="X96" i="3"/>
  <c r="U96" i="3"/>
  <c r="W96" i="3"/>
  <c r="Y96" i="3"/>
  <c r="S81" i="3"/>
  <c r="Z81" i="3" s="1"/>
  <c r="Y81" i="3"/>
  <c r="T91" i="3"/>
  <c r="U91" i="3"/>
  <c r="V91" i="3"/>
  <c r="W91" i="3"/>
  <c r="X91" i="3"/>
  <c r="Y91" i="3"/>
  <c r="T89" i="3"/>
  <c r="U89" i="3"/>
  <c r="V89" i="3"/>
  <c r="W89" i="3"/>
  <c r="X89" i="3"/>
  <c r="Y89" i="3"/>
  <c r="T94" i="3"/>
  <c r="U94" i="3"/>
  <c r="V94" i="3"/>
  <c r="W94" i="3"/>
  <c r="X94" i="3"/>
  <c r="Y94" i="3"/>
  <c r="T92" i="3"/>
  <c r="U92" i="3"/>
  <c r="V92" i="3"/>
  <c r="W92" i="3"/>
  <c r="X92" i="3"/>
  <c r="Y92" i="3"/>
  <c r="T90" i="3"/>
  <c r="U90" i="3"/>
  <c r="V90" i="3"/>
  <c r="W90" i="3"/>
  <c r="X90" i="3"/>
  <c r="Y90" i="3"/>
  <c r="T88" i="3"/>
  <c r="U88" i="3"/>
  <c r="V88" i="3"/>
  <c r="W88" i="3"/>
  <c r="X88" i="3"/>
  <c r="Y88" i="3"/>
  <c r="T86" i="3"/>
  <c r="U86" i="3"/>
  <c r="V86" i="3"/>
  <c r="W86" i="3"/>
  <c r="X86" i="3"/>
  <c r="Y86" i="3"/>
  <c r="T84" i="3"/>
  <c r="U84" i="3"/>
  <c r="V84" i="3"/>
  <c r="W84" i="3"/>
  <c r="X84" i="3"/>
  <c r="Y84" i="3"/>
  <c r="T82" i="3"/>
  <c r="U82" i="3"/>
  <c r="V82" i="3"/>
  <c r="W82" i="3"/>
  <c r="X82" i="3"/>
  <c r="Y82" i="3"/>
  <c r="T93" i="3"/>
  <c r="U93" i="3"/>
  <c r="V93" i="3"/>
  <c r="W93" i="3"/>
  <c r="X93" i="3"/>
  <c r="Y93" i="3"/>
  <c r="T87" i="3"/>
  <c r="U87" i="3"/>
  <c r="V87" i="3"/>
  <c r="W87" i="3"/>
  <c r="X87" i="3"/>
  <c r="Y87" i="3"/>
  <c r="T85" i="3"/>
  <c r="U85" i="3"/>
  <c r="V85" i="3"/>
  <c r="W85" i="3"/>
  <c r="X85" i="3"/>
  <c r="Y85" i="3"/>
  <c r="T83" i="3"/>
  <c r="U83" i="3"/>
  <c r="V83" i="3"/>
  <c r="W83" i="3"/>
  <c r="X83" i="3"/>
  <c r="Y83" i="3"/>
  <c r="S70" i="3"/>
  <c r="Z70" i="3" s="1"/>
  <c r="U78" i="3"/>
  <c r="W78" i="3"/>
  <c r="Y78" i="3"/>
  <c r="T78" i="3"/>
  <c r="V78" i="3"/>
  <c r="X78" i="3"/>
  <c r="U80" i="3"/>
  <c r="W80" i="3"/>
  <c r="Y80" i="3"/>
  <c r="T80" i="3"/>
  <c r="V80" i="3"/>
  <c r="X80" i="3"/>
  <c r="U76" i="3"/>
  <c r="W76" i="3"/>
  <c r="Y76" i="3"/>
  <c r="T76" i="3"/>
  <c r="V76" i="3"/>
  <c r="X76" i="3"/>
  <c r="U74" i="3"/>
  <c r="W74" i="3"/>
  <c r="Y74" i="3"/>
  <c r="T74" i="3"/>
  <c r="V74" i="3"/>
  <c r="X74" i="3"/>
  <c r="U72" i="3"/>
  <c r="W72" i="3"/>
  <c r="Y72" i="3"/>
  <c r="T72" i="3"/>
  <c r="V72" i="3"/>
  <c r="X72" i="3"/>
  <c r="T79" i="3"/>
  <c r="V79" i="3"/>
  <c r="X79" i="3"/>
  <c r="U79" i="3"/>
  <c r="W79" i="3"/>
  <c r="Y79" i="3"/>
  <c r="T77" i="3"/>
  <c r="V77" i="3"/>
  <c r="X77" i="3"/>
  <c r="U77" i="3"/>
  <c r="W77" i="3"/>
  <c r="Y77" i="3"/>
  <c r="T75" i="3"/>
  <c r="V75" i="3"/>
  <c r="X75" i="3"/>
  <c r="U75" i="3"/>
  <c r="W75" i="3"/>
  <c r="Y75" i="3"/>
  <c r="T73" i="3"/>
  <c r="V73" i="3"/>
  <c r="X73" i="3"/>
  <c r="U73" i="3"/>
  <c r="W73" i="3"/>
  <c r="Y73" i="3"/>
  <c r="T71" i="3"/>
  <c r="V71" i="3"/>
  <c r="X71" i="3"/>
  <c r="U71" i="3"/>
  <c r="W71" i="3"/>
  <c r="Y71" i="3"/>
  <c r="M58" i="3"/>
  <c r="M59" i="3"/>
  <c r="M60" i="3"/>
  <c r="M61" i="3"/>
  <c r="M62" i="3"/>
  <c r="M63" i="3"/>
  <c r="M64" i="3"/>
  <c r="M65" i="3"/>
  <c r="M66" i="3"/>
  <c r="M67" i="3"/>
  <c r="M68" i="3"/>
  <c r="M69" i="3"/>
  <c r="P58" i="3"/>
  <c r="P59" i="3"/>
  <c r="P60" i="3"/>
  <c r="P61" i="3"/>
  <c r="P62" i="3"/>
  <c r="P63" i="3"/>
  <c r="P64" i="3"/>
  <c r="P65" i="3"/>
  <c r="P66" i="3"/>
  <c r="P67" i="3"/>
  <c r="P68" i="3"/>
  <c r="P69" i="3"/>
  <c r="Q58" i="3"/>
  <c r="Q59" i="3"/>
  <c r="Q60" i="3"/>
  <c r="Q61" i="3"/>
  <c r="Q62" i="3"/>
  <c r="Q63" i="3"/>
  <c r="Q64" i="3"/>
  <c r="Q65" i="3"/>
  <c r="Q66" i="3"/>
  <c r="Q67" i="3"/>
  <c r="Q68" i="3"/>
  <c r="Q69" i="3"/>
  <c r="R58" i="3"/>
  <c r="R59" i="3"/>
  <c r="R60" i="3"/>
  <c r="R61" i="3"/>
  <c r="R62" i="3"/>
  <c r="R63" i="3"/>
  <c r="R64" i="3"/>
  <c r="R65" i="3"/>
  <c r="R66" i="3"/>
  <c r="R67" i="3"/>
  <c r="R68" i="3"/>
  <c r="R69" i="3"/>
  <c r="S59" i="3"/>
  <c r="S60" i="3"/>
  <c r="S61" i="3"/>
  <c r="S62" i="3"/>
  <c r="S63" i="3"/>
  <c r="S64" i="3"/>
  <c r="S65" i="3"/>
  <c r="S66" i="3"/>
  <c r="S67" i="3"/>
  <c r="S68" i="3"/>
  <c r="S69" i="3"/>
  <c r="T58" i="3"/>
  <c r="U58" i="3"/>
  <c r="V58" i="3"/>
  <c r="W58" i="3"/>
  <c r="X58" i="3"/>
  <c r="AA58" i="3"/>
  <c r="AA59" i="3"/>
  <c r="AA60" i="3"/>
  <c r="AA61" i="3"/>
  <c r="AA62" i="3"/>
  <c r="AA63" i="3"/>
  <c r="AA64" i="3"/>
  <c r="AA65" i="3"/>
  <c r="AA66" i="3"/>
  <c r="AA67" i="3"/>
  <c r="AA68" i="3"/>
  <c r="AA69" i="3"/>
  <c r="AB58" i="3"/>
  <c r="O58" i="3" s="1"/>
  <c r="Y58" i="3" s="1"/>
  <c r="AB59" i="3"/>
  <c r="O59" i="3" s="1"/>
  <c r="AB60" i="3"/>
  <c r="O60" i="3" s="1"/>
  <c r="AB61" i="3"/>
  <c r="O61" i="3" s="1"/>
  <c r="AB62" i="3"/>
  <c r="O62" i="3" s="1"/>
  <c r="AB63" i="3"/>
  <c r="O63" i="3" s="1"/>
  <c r="AB64" i="3"/>
  <c r="O64" i="3" s="1"/>
  <c r="AB65" i="3"/>
  <c r="O65" i="3" s="1"/>
  <c r="AB66" i="3"/>
  <c r="O66" i="3" s="1"/>
  <c r="AB67" i="3"/>
  <c r="O67" i="3" s="1"/>
  <c r="AB68" i="3"/>
  <c r="O68" i="3" s="1"/>
  <c r="AB69" i="3"/>
  <c r="O69" i="3" s="1"/>
  <c r="AC58" i="3"/>
  <c r="N58" i="3" s="1"/>
  <c r="S58" i="3" s="1"/>
  <c r="AC59" i="3"/>
  <c r="N59" i="3" s="1"/>
  <c r="AC60" i="3"/>
  <c r="N60" i="3" s="1"/>
  <c r="T60" i="3" s="1"/>
  <c r="AC61" i="3"/>
  <c r="N61" i="3" s="1"/>
  <c r="T61" i="3" s="1"/>
  <c r="AC62" i="3"/>
  <c r="N62" i="3" s="1"/>
  <c r="T62" i="3" s="1"/>
  <c r="AC63" i="3"/>
  <c r="N63" i="3" s="1"/>
  <c r="AC64" i="3"/>
  <c r="N64" i="3" s="1"/>
  <c r="Y64" i="3" s="1"/>
  <c r="AC65" i="3"/>
  <c r="N65" i="3" s="1"/>
  <c r="Y65" i="3" s="1"/>
  <c r="AC66" i="3"/>
  <c r="N66" i="3" s="1"/>
  <c r="Y66" i="3" s="1"/>
  <c r="AC67" i="3"/>
  <c r="N67" i="3" s="1"/>
  <c r="AC68" i="3"/>
  <c r="N68" i="3" s="1"/>
  <c r="AC69" i="3"/>
  <c r="N69" i="3" s="1"/>
  <c r="Y69" i="3" s="1"/>
  <c r="AK58" i="3"/>
  <c r="AK59" i="3"/>
  <c r="AK60" i="3"/>
  <c r="AK61" i="3"/>
  <c r="AK62" i="3"/>
  <c r="AK63" i="3"/>
  <c r="AK64" i="3"/>
  <c r="AK65" i="3"/>
  <c r="AK66" i="3"/>
  <c r="AK67" i="3"/>
  <c r="AK68" i="3"/>
  <c r="AK69" i="3"/>
  <c r="M47" i="3"/>
  <c r="M48" i="3"/>
  <c r="M49" i="3"/>
  <c r="M50" i="3"/>
  <c r="M51" i="3"/>
  <c r="M52" i="3"/>
  <c r="M53" i="3"/>
  <c r="M54" i="3"/>
  <c r="M55" i="3"/>
  <c r="M56" i="3"/>
  <c r="M57" i="3"/>
  <c r="P47" i="3"/>
  <c r="P48" i="3"/>
  <c r="P49" i="3"/>
  <c r="P50" i="3"/>
  <c r="P51" i="3"/>
  <c r="P52" i="3"/>
  <c r="P53" i="3"/>
  <c r="P54" i="3"/>
  <c r="P55" i="3"/>
  <c r="P56" i="3"/>
  <c r="P57" i="3"/>
  <c r="Q47" i="3"/>
  <c r="Q48" i="3"/>
  <c r="Q49" i="3"/>
  <c r="Q50" i="3"/>
  <c r="Q51" i="3"/>
  <c r="Q52" i="3"/>
  <c r="Q53" i="3"/>
  <c r="Q54" i="3"/>
  <c r="Q55" i="3"/>
  <c r="Q56" i="3"/>
  <c r="Q57" i="3"/>
  <c r="R47" i="3"/>
  <c r="R48" i="3"/>
  <c r="R49" i="3"/>
  <c r="R50" i="3"/>
  <c r="R51" i="3"/>
  <c r="R52" i="3"/>
  <c r="R53" i="3"/>
  <c r="R54" i="3"/>
  <c r="R55" i="3"/>
  <c r="R56" i="3"/>
  <c r="R57" i="3"/>
  <c r="S48" i="3"/>
  <c r="S49" i="3"/>
  <c r="S50" i="3"/>
  <c r="S51" i="3"/>
  <c r="S52" i="3"/>
  <c r="S53" i="3"/>
  <c r="S54" i="3"/>
  <c r="S55" i="3"/>
  <c r="S56" i="3"/>
  <c r="S57" i="3"/>
  <c r="T47" i="3"/>
  <c r="U47" i="3"/>
  <c r="V47" i="3"/>
  <c r="W47" i="3"/>
  <c r="X47" i="3"/>
  <c r="AA47" i="3"/>
  <c r="AA48" i="3"/>
  <c r="AA49" i="3"/>
  <c r="AA50" i="3"/>
  <c r="AA51" i="3"/>
  <c r="AA52" i="3"/>
  <c r="AA53" i="3"/>
  <c r="AA54" i="3"/>
  <c r="AA55" i="3"/>
  <c r="AA56" i="3"/>
  <c r="AA57" i="3"/>
  <c r="AB47" i="3"/>
  <c r="O47" i="3" s="1"/>
  <c r="Y47" i="3" s="1"/>
  <c r="AB48" i="3"/>
  <c r="O48" i="3" s="1"/>
  <c r="AB49" i="3"/>
  <c r="O49" i="3" s="1"/>
  <c r="AB50" i="3"/>
  <c r="O50" i="3" s="1"/>
  <c r="AB51" i="3"/>
  <c r="O51" i="3" s="1"/>
  <c r="AB52" i="3"/>
  <c r="O52" i="3" s="1"/>
  <c r="AB53" i="3"/>
  <c r="O53" i="3" s="1"/>
  <c r="AB54" i="3"/>
  <c r="O54" i="3" s="1"/>
  <c r="AB55" i="3"/>
  <c r="O55" i="3" s="1"/>
  <c r="AB56" i="3"/>
  <c r="O56" i="3" s="1"/>
  <c r="AB57" i="3"/>
  <c r="O57" i="3" s="1"/>
  <c r="AC47" i="3"/>
  <c r="N47" i="3" s="1"/>
  <c r="AC48" i="3"/>
  <c r="N48" i="3" s="1"/>
  <c r="AC49" i="3"/>
  <c r="N49" i="3" s="1"/>
  <c r="AC50" i="3"/>
  <c r="N50" i="3" s="1"/>
  <c r="AC51" i="3"/>
  <c r="N51" i="3" s="1"/>
  <c r="AC52" i="3"/>
  <c r="N52" i="3" s="1"/>
  <c r="AC53" i="3"/>
  <c r="N53" i="3" s="1"/>
  <c r="AC54" i="3"/>
  <c r="N54" i="3" s="1"/>
  <c r="AC55" i="3"/>
  <c r="N55" i="3" s="1"/>
  <c r="AC56" i="3"/>
  <c r="N56" i="3" s="1"/>
  <c r="AC57" i="3"/>
  <c r="N57" i="3" s="1"/>
  <c r="AK47" i="3"/>
  <c r="AK48" i="3"/>
  <c r="AK49" i="3"/>
  <c r="AK50" i="3"/>
  <c r="AK51" i="3"/>
  <c r="AK52" i="3"/>
  <c r="AK53" i="3"/>
  <c r="AK54" i="3"/>
  <c r="AK55" i="3"/>
  <c r="AK56" i="3"/>
  <c r="AK57" i="3"/>
  <c r="M36" i="3"/>
  <c r="M37" i="3"/>
  <c r="M38" i="3"/>
  <c r="M39" i="3"/>
  <c r="M40" i="3"/>
  <c r="M41" i="3"/>
  <c r="M42" i="3"/>
  <c r="M43" i="3"/>
  <c r="M44" i="3"/>
  <c r="M45" i="3"/>
  <c r="M46" i="3"/>
  <c r="P36" i="3"/>
  <c r="P37" i="3"/>
  <c r="P38" i="3"/>
  <c r="P39" i="3"/>
  <c r="P40" i="3"/>
  <c r="P41" i="3"/>
  <c r="P42" i="3"/>
  <c r="P43" i="3"/>
  <c r="P44" i="3"/>
  <c r="P45" i="3"/>
  <c r="P46" i="3"/>
  <c r="Q36" i="3"/>
  <c r="Q37" i="3"/>
  <c r="Q38" i="3"/>
  <c r="Q39" i="3"/>
  <c r="Q40" i="3"/>
  <c r="Q41" i="3"/>
  <c r="Q42" i="3"/>
  <c r="Q43" i="3"/>
  <c r="Q44" i="3"/>
  <c r="Q45" i="3"/>
  <c r="Q46" i="3"/>
  <c r="R36" i="3"/>
  <c r="R37" i="3"/>
  <c r="R38" i="3"/>
  <c r="R39" i="3"/>
  <c r="R40" i="3"/>
  <c r="R41" i="3"/>
  <c r="R42" i="3"/>
  <c r="R43" i="3"/>
  <c r="R44" i="3"/>
  <c r="R45" i="3"/>
  <c r="R46" i="3"/>
  <c r="S37" i="3"/>
  <c r="S38" i="3"/>
  <c r="S39" i="3"/>
  <c r="S40" i="3"/>
  <c r="S41" i="3"/>
  <c r="S42" i="3"/>
  <c r="S43" i="3"/>
  <c r="S44" i="3"/>
  <c r="S45" i="3"/>
  <c r="S46" i="3"/>
  <c r="T36" i="3"/>
  <c r="U36" i="3"/>
  <c r="V36" i="3"/>
  <c r="W36" i="3"/>
  <c r="X36" i="3"/>
  <c r="AA36" i="3"/>
  <c r="AA37" i="3"/>
  <c r="AA38" i="3"/>
  <c r="AA39" i="3"/>
  <c r="AA40" i="3"/>
  <c r="AA41" i="3"/>
  <c r="AA42" i="3"/>
  <c r="AA43" i="3"/>
  <c r="AA44" i="3"/>
  <c r="AA45" i="3"/>
  <c r="AA46" i="3"/>
  <c r="AB36" i="3"/>
  <c r="O36" i="3" s="1"/>
  <c r="Y36" i="3" s="1"/>
  <c r="AB37" i="3"/>
  <c r="O37" i="3" s="1"/>
  <c r="AB38" i="3"/>
  <c r="O38" i="3" s="1"/>
  <c r="AB39" i="3"/>
  <c r="O39" i="3" s="1"/>
  <c r="AB40" i="3"/>
  <c r="O40" i="3" s="1"/>
  <c r="AB41" i="3"/>
  <c r="O41" i="3" s="1"/>
  <c r="AB42" i="3"/>
  <c r="O42" i="3" s="1"/>
  <c r="AB43" i="3"/>
  <c r="O43" i="3" s="1"/>
  <c r="AB44" i="3"/>
  <c r="O44" i="3" s="1"/>
  <c r="AB45" i="3"/>
  <c r="O45" i="3" s="1"/>
  <c r="AB46" i="3"/>
  <c r="O46" i="3" s="1"/>
  <c r="AC36" i="3"/>
  <c r="N36" i="3" s="1"/>
  <c r="AC37" i="3"/>
  <c r="N37" i="3" s="1"/>
  <c r="AC38" i="3"/>
  <c r="N38" i="3" s="1"/>
  <c r="AC39" i="3"/>
  <c r="N39" i="3" s="1"/>
  <c r="AC40" i="3"/>
  <c r="N40" i="3" s="1"/>
  <c r="AC41" i="3"/>
  <c r="N41" i="3" s="1"/>
  <c r="AC42" i="3"/>
  <c r="N42" i="3" s="1"/>
  <c r="AC43" i="3"/>
  <c r="N43" i="3" s="1"/>
  <c r="AC44" i="3"/>
  <c r="N44" i="3" s="1"/>
  <c r="AC45" i="3"/>
  <c r="N45" i="3" s="1"/>
  <c r="AC46" i="3"/>
  <c r="N46" i="3" s="1"/>
  <c r="AK36" i="3"/>
  <c r="AK37" i="3"/>
  <c r="AK38" i="3"/>
  <c r="AK39" i="3"/>
  <c r="AK40" i="3"/>
  <c r="AK41" i="3"/>
  <c r="AK42" i="3"/>
  <c r="AK43" i="3"/>
  <c r="AK44" i="3"/>
  <c r="AK45" i="3"/>
  <c r="AK46" i="3"/>
  <c r="M24" i="3"/>
  <c r="M25" i="3"/>
  <c r="M26" i="3"/>
  <c r="M27" i="3"/>
  <c r="M28" i="3"/>
  <c r="M29" i="3"/>
  <c r="M30" i="3"/>
  <c r="M31" i="3"/>
  <c r="M32" i="3"/>
  <c r="M33" i="3"/>
  <c r="M34" i="3"/>
  <c r="M35" i="3"/>
  <c r="P24" i="3"/>
  <c r="P25" i="3"/>
  <c r="P26" i="3"/>
  <c r="P27" i="3"/>
  <c r="P28" i="3"/>
  <c r="P29" i="3"/>
  <c r="P30" i="3"/>
  <c r="P31" i="3"/>
  <c r="P32" i="3"/>
  <c r="P33" i="3"/>
  <c r="P34" i="3"/>
  <c r="P35" i="3"/>
  <c r="Q24" i="3"/>
  <c r="Q25" i="3"/>
  <c r="Q26" i="3"/>
  <c r="Q27" i="3"/>
  <c r="Q28" i="3"/>
  <c r="Q29" i="3"/>
  <c r="Q30" i="3"/>
  <c r="Q31" i="3"/>
  <c r="Q32" i="3"/>
  <c r="Q33" i="3"/>
  <c r="Q34" i="3"/>
  <c r="Q35" i="3"/>
  <c r="R24" i="3"/>
  <c r="R25" i="3"/>
  <c r="R26" i="3"/>
  <c r="R27" i="3"/>
  <c r="R28" i="3"/>
  <c r="R29" i="3"/>
  <c r="R30" i="3"/>
  <c r="R31" i="3"/>
  <c r="R32" i="3"/>
  <c r="R33" i="3"/>
  <c r="R34" i="3"/>
  <c r="R35" i="3"/>
  <c r="S25" i="3"/>
  <c r="S26" i="3"/>
  <c r="S27" i="3"/>
  <c r="S28" i="3"/>
  <c r="S29" i="3"/>
  <c r="S30" i="3"/>
  <c r="S31" i="3"/>
  <c r="S32" i="3"/>
  <c r="S33" i="3"/>
  <c r="S34" i="3"/>
  <c r="S35" i="3"/>
  <c r="T24" i="3"/>
  <c r="U24" i="3"/>
  <c r="V24" i="3"/>
  <c r="W24" i="3"/>
  <c r="X24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B24" i="3"/>
  <c r="O24" i="3" s="1"/>
  <c r="Y24" i="3" s="1"/>
  <c r="AB25" i="3"/>
  <c r="O25" i="3" s="1"/>
  <c r="AB26" i="3"/>
  <c r="O26" i="3" s="1"/>
  <c r="AB27" i="3"/>
  <c r="O27" i="3" s="1"/>
  <c r="AB28" i="3"/>
  <c r="O28" i="3" s="1"/>
  <c r="AB29" i="3"/>
  <c r="O29" i="3" s="1"/>
  <c r="AB30" i="3"/>
  <c r="O30" i="3" s="1"/>
  <c r="AB31" i="3"/>
  <c r="O31" i="3" s="1"/>
  <c r="AB32" i="3"/>
  <c r="O32" i="3" s="1"/>
  <c r="AB33" i="3"/>
  <c r="O33" i="3" s="1"/>
  <c r="AB34" i="3"/>
  <c r="O34" i="3" s="1"/>
  <c r="AB35" i="3"/>
  <c r="O35" i="3" s="1"/>
  <c r="AC24" i="3"/>
  <c r="N24" i="3" s="1"/>
  <c r="AC25" i="3"/>
  <c r="N25" i="3" s="1"/>
  <c r="AC26" i="3"/>
  <c r="N26" i="3" s="1"/>
  <c r="AC27" i="3"/>
  <c r="N27" i="3" s="1"/>
  <c r="AC28" i="3"/>
  <c r="N28" i="3" s="1"/>
  <c r="AC29" i="3"/>
  <c r="N29" i="3" s="1"/>
  <c r="AC30" i="3"/>
  <c r="N30" i="3" s="1"/>
  <c r="AC31" i="3"/>
  <c r="N31" i="3" s="1"/>
  <c r="AC32" i="3"/>
  <c r="N32" i="3" s="1"/>
  <c r="AC33" i="3"/>
  <c r="N33" i="3" s="1"/>
  <c r="AC34" i="3"/>
  <c r="N34" i="3" s="1"/>
  <c r="AC35" i="3"/>
  <c r="N35" i="3" s="1"/>
  <c r="AK24" i="3"/>
  <c r="AK25" i="3"/>
  <c r="AK26" i="3"/>
  <c r="AK27" i="3"/>
  <c r="AK28" i="3"/>
  <c r="AK29" i="3"/>
  <c r="AK30" i="3"/>
  <c r="AK31" i="3"/>
  <c r="AK32" i="3"/>
  <c r="AK33" i="3"/>
  <c r="AK34" i="3"/>
  <c r="AK35" i="3"/>
  <c r="M13" i="3"/>
  <c r="M14" i="3"/>
  <c r="M15" i="3"/>
  <c r="M16" i="3"/>
  <c r="M17" i="3"/>
  <c r="M18" i="3"/>
  <c r="M19" i="3"/>
  <c r="M20" i="3"/>
  <c r="M21" i="3"/>
  <c r="M22" i="3"/>
  <c r="M23" i="3"/>
  <c r="P13" i="3"/>
  <c r="P14" i="3"/>
  <c r="P15" i="3"/>
  <c r="P16" i="3"/>
  <c r="P17" i="3"/>
  <c r="P18" i="3"/>
  <c r="P19" i="3"/>
  <c r="P20" i="3"/>
  <c r="P21" i="3"/>
  <c r="P22" i="3"/>
  <c r="P23" i="3"/>
  <c r="Q13" i="3"/>
  <c r="Q14" i="3"/>
  <c r="Q15" i="3"/>
  <c r="Q16" i="3"/>
  <c r="Q17" i="3"/>
  <c r="Q18" i="3"/>
  <c r="Q19" i="3"/>
  <c r="Q20" i="3"/>
  <c r="Q21" i="3"/>
  <c r="Q22" i="3"/>
  <c r="Q23" i="3"/>
  <c r="R13" i="3"/>
  <c r="R14" i="3"/>
  <c r="R15" i="3"/>
  <c r="R16" i="3"/>
  <c r="R17" i="3"/>
  <c r="R18" i="3"/>
  <c r="R19" i="3"/>
  <c r="R20" i="3"/>
  <c r="R21" i="3"/>
  <c r="R22" i="3"/>
  <c r="R23" i="3"/>
  <c r="S14" i="3"/>
  <c r="S15" i="3"/>
  <c r="S16" i="3"/>
  <c r="S17" i="3"/>
  <c r="S18" i="3"/>
  <c r="S19" i="3"/>
  <c r="S20" i="3"/>
  <c r="S21" i="3"/>
  <c r="S22" i="3"/>
  <c r="S23" i="3"/>
  <c r="T13" i="3"/>
  <c r="U13" i="3"/>
  <c r="V13" i="3"/>
  <c r="W13" i="3"/>
  <c r="X13" i="3"/>
  <c r="AA13" i="3"/>
  <c r="AA14" i="3"/>
  <c r="AA15" i="3"/>
  <c r="AA16" i="3"/>
  <c r="AA17" i="3"/>
  <c r="AA18" i="3"/>
  <c r="AA19" i="3"/>
  <c r="AA20" i="3"/>
  <c r="AA21" i="3"/>
  <c r="AA22" i="3"/>
  <c r="AA23" i="3"/>
  <c r="AB13" i="3"/>
  <c r="O13" i="3" s="1"/>
  <c r="Y13" i="3" s="1"/>
  <c r="AB14" i="3"/>
  <c r="O14" i="3" s="1"/>
  <c r="AB15" i="3"/>
  <c r="O15" i="3" s="1"/>
  <c r="AB16" i="3"/>
  <c r="O16" i="3" s="1"/>
  <c r="AB17" i="3"/>
  <c r="O17" i="3" s="1"/>
  <c r="AB18" i="3"/>
  <c r="O18" i="3" s="1"/>
  <c r="AB19" i="3"/>
  <c r="O19" i="3" s="1"/>
  <c r="AB20" i="3"/>
  <c r="O20" i="3" s="1"/>
  <c r="AB21" i="3"/>
  <c r="O21" i="3" s="1"/>
  <c r="AB22" i="3"/>
  <c r="O22" i="3" s="1"/>
  <c r="AB23" i="3"/>
  <c r="O23" i="3" s="1"/>
  <c r="AC13" i="3"/>
  <c r="N13" i="3" s="1"/>
  <c r="AC14" i="3"/>
  <c r="N14" i="3" s="1"/>
  <c r="AC15" i="3"/>
  <c r="N15" i="3" s="1"/>
  <c r="AC16" i="3"/>
  <c r="N16" i="3" s="1"/>
  <c r="AC17" i="3"/>
  <c r="N17" i="3" s="1"/>
  <c r="AC18" i="3"/>
  <c r="N18" i="3" s="1"/>
  <c r="AC19" i="3"/>
  <c r="N19" i="3" s="1"/>
  <c r="AC20" i="3"/>
  <c r="N20" i="3" s="1"/>
  <c r="AC21" i="3"/>
  <c r="N21" i="3" s="1"/>
  <c r="AC22" i="3"/>
  <c r="N22" i="3" s="1"/>
  <c r="AC23" i="3"/>
  <c r="N23" i="3" s="1"/>
  <c r="AK13" i="3"/>
  <c r="AK14" i="3"/>
  <c r="AK15" i="3"/>
  <c r="AK16" i="3"/>
  <c r="AK17" i="3"/>
  <c r="AK18" i="3"/>
  <c r="AK19" i="3"/>
  <c r="AK20" i="3"/>
  <c r="AK21" i="3"/>
  <c r="AK22" i="3"/>
  <c r="AK23" i="3"/>
  <c r="M3" i="3"/>
  <c r="M4" i="3"/>
  <c r="M5" i="3"/>
  <c r="M6" i="3"/>
  <c r="M7" i="3"/>
  <c r="M8" i="3"/>
  <c r="M9" i="3"/>
  <c r="M10" i="3"/>
  <c r="M11" i="3"/>
  <c r="M12" i="3"/>
  <c r="P3" i="3"/>
  <c r="P4" i="3"/>
  <c r="P5" i="3"/>
  <c r="P6" i="3"/>
  <c r="P7" i="3"/>
  <c r="P8" i="3"/>
  <c r="P9" i="3"/>
  <c r="P10" i="3"/>
  <c r="P11" i="3"/>
  <c r="P12" i="3"/>
  <c r="Q3" i="3"/>
  <c r="Q4" i="3"/>
  <c r="Q5" i="3"/>
  <c r="Q6" i="3"/>
  <c r="Q7" i="3"/>
  <c r="Q8" i="3"/>
  <c r="Q9" i="3"/>
  <c r="Q10" i="3"/>
  <c r="Q11" i="3"/>
  <c r="Q12" i="3"/>
  <c r="R3" i="3"/>
  <c r="R4" i="3"/>
  <c r="R5" i="3"/>
  <c r="R6" i="3"/>
  <c r="R7" i="3"/>
  <c r="R8" i="3"/>
  <c r="R9" i="3"/>
  <c r="R10" i="3"/>
  <c r="R11" i="3"/>
  <c r="R12" i="3"/>
  <c r="S3" i="3"/>
  <c r="S4" i="3"/>
  <c r="S5" i="3"/>
  <c r="S6" i="3"/>
  <c r="S7" i="3"/>
  <c r="S8" i="3"/>
  <c r="S9" i="3"/>
  <c r="S10" i="3"/>
  <c r="S11" i="3"/>
  <c r="S12" i="3"/>
  <c r="AA3" i="3"/>
  <c r="AA4" i="3"/>
  <c r="AA5" i="3"/>
  <c r="AA6" i="3"/>
  <c r="AA7" i="3"/>
  <c r="AA8" i="3"/>
  <c r="AA9" i="3"/>
  <c r="AA10" i="3"/>
  <c r="AA11" i="3"/>
  <c r="AA12" i="3"/>
  <c r="AB3" i="3"/>
  <c r="O3" i="3" s="1"/>
  <c r="AB4" i="3"/>
  <c r="O4" i="3" s="1"/>
  <c r="AB5" i="3"/>
  <c r="O5" i="3" s="1"/>
  <c r="AB6" i="3"/>
  <c r="O6" i="3" s="1"/>
  <c r="AB7" i="3"/>
  <c r="O7" i="3" s="1"/>
  <c r="AB8" i="3"/>
  <c r="O8" i="3" s="1"/>
  <c r="AB9" i="3"/>
  <c r="O9" i="3" s="1"/>
  <c r="AB10" i="3"/>
  <c r="O10" i="3" s="1"/>
  <c r="AB11" i="3"/>
  <c r="O11" i="3" s="1"/>
  <c r="AB12" i="3"/>
  <c r="O12" i="3" s="1"/>
  <c r="AC3" i="3"/>
  <c r="N3" i="3" s="1"/>
  <c r="AC4" i="3"/>
  <c r="N4" i="3" s="1"/>
  <c r="AC5" i="3"/>
  <c r="N5" i="3" s="1"/>
  <c r="AC6" i="3"/>
  <c r="N6" i="3" s="1"/>
  <c r="AC7" i="3"/>
  <c r="N7" i="3" s="1"/>
  <c r="Y7" i="3" s="1"/>
  <c r="AC8" i="3"/>
  <c r="N8" i="3" s="1"/>
  <c r="AC9" i="3"/>
  <c r="N9" i="3" s="1"/>
  <c r="AC10" i="3"/>
  <c r="N10" i="3" s="1"/>
  <c r="AC11" i="3"/>
  <c r="N11" i="3" s="1"/>
  <c r="AC12" i="3"/>
  <c r="N12" i="3" s="1"/>
  <c r="AK3" i="3"/>
  <c r="AK4" i="3"/>
  <c r="AK5" i="3"/>
  <c r="AK6" i="3"/>
  <c r="AK7" i="3"/>
  <c r="AK8" i="3"/>
  <c r="AK9" i="3"/>
  <c r="AK10" i="3"/>
  <c r="AK11" i="3"/>
  <c r="AK12" i="3"/>
  <c r="Z72" i="3" l="1"/>
  <c r="Z74" i="3"/>
  <c r="Z76" i="3"/>
  <c r="Z80" i="3"/>
  <c r="Z78" i="3"/>
  <c r="Z83" i="3"/>
  <c r="Z85" i="3"/>
  <c r="Z87" i="3"/>
  <c r="Z93" i="3"/>
  <c r="Z82" i="3"/>
  <c r="Z84" i="3"/>
  <c r="Z86" i="3"/>
  <c r="Z88" i="3"/>
  <c r="Z90" i="3"/>
  <c r="Z92" i="3"/>
  <c r="Z94" i="3"/>
  <c r="Z89" i="3"/>
  <c r="Z91" i="3"/>
  <c r="Z96" i="3"/>
  <c r="Z98" i="3"/>
  <c r="Z100" i="3"/>
  <c r="Z102" i="3"/>
  <c r="Z104" i="3"/>
  <c r="Z108" i="3"/>
  <c r="Z110" i="3"/>
  <c r="Z112" i="3"/>
  <c r="Z114" i="3"/>
  <c r="Z116" i="3"/>
  <c r="Z118" i="3"/>
  <c r="Z107" i="3"/>
  <c r="Z109" i="3"/>
  <c r="Z111" i="3"/>
  <c r="Z113" i="3"/>
  <c r="Z115" i="3"/>
  <c r="Z117" i="3"/>
  <c r="Z119" i="3"/>
  <c r="Z121" i="3"/>
  <c r="Z123" i="3"/>
  <c r="Z125" i="3"/>
  <c r="Z127" i="3"/>
  <c r="Z129" i="3"/>
  <c r="Z58" i="3"/>
  <c r="Z71" i="3"/>
  <c r="Z73" i="3"/>
  <c r="Z75" i="3"/>
  <c r="Z77" i="3"/>
  <c r="Z79" i="3"/>
  <c r="Z97" i="3"/>
  <c r="Z99" i="3"/>
  <c r="Z101" i="3"/>
  <c r="Z103" i="3"/>
  <c r="Z105" i="3"/>
  <c r="Z122" i="3"/>
  <c r="Z124" i="3"/>
  <c r="Z126" i="3"/>
  <c r="Z128" i="3"/>
  <c r="Z130" i="3"/>
  <c r="S24" i="3"/>
  <c r="Z24" i="3" s="1"/>
  <c r="U11" i="3"/>
  <c r="T12" i="3"/>
  <c r="X4" i="3"/>
  <c r="X9" i="3"/>
  <c r="V6" i="3"/>
  <c r="T66" i="3"/>
  <c r="U64" i="3"/>
  <c r="Y62" i="3"/>
  <c r="Y60" i="3"/>
  <c r="X64" i="3"/>
  <c r="W66" i="3"/>
  <c r="V64" i="3"/>
  <c r="U66" i="3"/>
  <c r="T64" i="3"/>
  <c r="S47" i="3"/>
  <c r="Z47" i="3" s="1"/>
  <c r="X66" i="3"/>
  <c r="W64" i="3"/>
  <c r="V66" i="3"/>
  <c r="Y61" i="3"/>
  <c r="T65" i="3"/>
  <c r="T69" i="3"/>
  <c r="X61" i="3"/>
  <c r="W61" i="3"/>
  <c r="V61" i="3"/>
  <c r="U61" i="3"/>
  <c r="X69" i="3"/>
  <c r="X65" i="3"/>
  <c r="X62" i="3"/>
  <c r="X60" i="3"/>
  <c r="W69" i="3"/>
  <c r="W65" i="3"/>
  <c r="W62" i="3"/>
  <c r="W60" i="3"/>
  <c r="V69" i="3"/>
  <c r="V65" i="3"/>
  <c r="V62" i="3"/>
  <c r="V60" i="3"/>
  <c r="U69" i="3"/>
  <c r="U65" i="3"/>
  <c r="U62" i="3"/>
  <c r="U60" i="3"/>
  <c r="T68" i="3"/>
  <c r="U68" i="3"/>
  <c r="V68" i="3"/>
  <c r="W68" i="3"/>
  <c r="X68" i="3"/>
  <c r="Y68" i="3"/>
  <c r="T67" i="3"/>
  <c r="U67" i="3"/>
  <c r="V67" i="3"/>
  <c r="W67" i="3"/>
  <c r="X67" i="3"/>
  <c r="Y67" i="3"/>
  <c r="T63" i="3"/>
  <c r="U63" i="3"/>
  <c r="V63" i="3"/>
  <c r="W63" i="3"/>
  <c r="X63" i="3"/>
  <c r="Y63" i="3"/>
  <c r="T59" i="3"/>
  <c r="U59" i="3"/>
  <c r="V59" i="3"/>
  <c r="W59" i="3"/>
  <c r="X59" i="3"/>
  <c r="Y59" i="3"/>
  <c r="S36" i="3"/>
  <c r="Z36" i="3" s="1"/>
  <c r="U57" i="3"/>
  <c r="W57" i="3"/>
  <c r="Y57" i="3"/>
  <c r="T57" i="3"/>
  <c r="V57" i="3"/>
  <c r="X57" i="3"/>
  <c r="U55" i="3"/>
  <c r="W55" i="3"/>
  <c r="Y55" i="3"/>
  <c r="T55" i="3"/>
  <c r="V55" i="3"/>
  <c r="X55" i="3"/>
  <c r="U53" i="3"/>
  <c r="W53" i="3"/>
  <c r="Y53" i="3"/>
  <c r="T53" i="3"/>
  <c r="V53" i="3"/>
  <c r="X53" i="3"/>
  <c r="U51" i="3"/>
  <c r="W51" i="3"/>
  <c r="Y51" i="3"/>
  <c r="T51" i="3"/>
  <c r="V51" i="3"/>
  <c r="X51" i="3"/>
  <c r="U49" i="3"/>
  <c r="W49" i="3"/>
  <c r="Y49" i="3"/>
  <c r="T49" i="3"/>
  <c r="V49" i="3"/>
  <c r="X49" i="3"/>
  <c r="T56" i="3"/>
  <c r="V56" i="3"/>
  <c r="X56" i="3"/>
  <c r="U56" i="3"/>
  <c r="W56" i="3"/>
  <c r="Y56" i="3"/>
  <c r="T54" i="3"/>
  <c r="V54" i="3"/>
  <c r="X54" i="3"/>
  <c r="U54" i="3"/>
  <c r="W54" i="3"/>
  <c r="Y54" i="3"/>
  <c r="T52" i="3"/>
  <c r="V52" i="3"/>
  <c r="X52" i="3"/>
  <c r="U52" i="3"/>
  <c r="W52" i="3"/>
  <c r="Y52" i="3"/>
  <c r="T50" i="3"/>
  <c r="V50" i="3"/>
  <c r="X50" i="3"/>
  <c r="U50" i="3"/>
  <c r="W50" i="3"/>
  <c r="Y50" i="3"/>
  <c r="T48" i="3"/>
  <c r="V48" i="3"/>
  <c r="X48" i="3"/>
  <c r="U48" i="3"/>
  <c r="W48" i="3"/>
  <c r="Y48" i="3"/>
  <c r="S13" i="3"/>
  <c r="Z13" i="3" s="1"/>
  <c r="U46" i="3"/>
  <c r="W46" i="3"/>
  <c r="Y46" i="3"/>
  <c r="T46" i="3"/>
  <c r="V46" i="3"/>
  <c r="X46" i="3"/>
  <c r="U44" i="3"/>
  <c r="W44" i="3"/>
  <c r="Y44" i="3"/>
  <c r="T44" i="3"/>
  <c r="V44" i="3"/>
  <c r="X44" i="3"/>
  <c r="U42" i="3"/>
  <c r="W42" i="3"/>
  <c r="Y42" i="3"/>
  <c r="T42" i="3"/>
  <c r="V42" i="3"/>
  <c r="X42" i="3"/>
  <c r="U40" i="3"/>
  <c r="W40" i="3"/>
  <c r="Y40" i="3"/>
  <c r="T40" i="3"/>
  <c r="V40" i="3"/>
  <c r="X40" i="3"/>
  <c r="U38" i="3"/>
  <c r="W38" i="3"/>
  <c r="Y38" i="3"/>
  <c r="T38" i="3"/>
  <c r="V38" i="3"/>
  <c r="X38" i="3"/>
  <c r="T45" i="3"/>
  <c r="V45" i="3"/>
  <c r="X45" i="3"/>
  <c r="U45" i="3"/>
  <c r="W45" i="3"/>
  <c r="Y45" i="3"/>
  <c r="T43" i="3"/>
  <c r="V43" i="3"/>
  <c r="X43" i="3"/>
  <c r="U43" i="3"/>
  <c r="W43" i="3"/>
  <c r="Y43" i="3"/>
  <c r="T41" i="3"/>
  <c r="V41" i="3"/>
  <c r="X41" i="3"/>
  <c r="U41" i="3"/>
  <c r="W41" i="3"/>
  <c r="Y41" i="3"/>
  <c r="T39" i="3"/>
  <c r="V39" i="3"/>
  <c r="X39" i="3"/>
  <c r="U39" i="3"/>
  <c r="W39" i="3"/>
  <c r="Y39" i="3"/>
  <c r="T37" i="3"/>
  <c r="V37" i="3"/>
  <c r="X37" i="3"/>
  <c r="U37" i="3"/>
  <c r="W37" i="3"/>
  <c r="Y37" i="3"/>
  <c r="T35" i="3"/>
  <c r="U35" i="3"/>
  <c r="V35" i="3"/>
  <c r="W35" i="3"/>
  <c r="X35" i="3"/>
  <c r="Y35" i="3"/>
  <c r="T31" i="3"/>
  <c r="U31" i="3"/>
  <c r="V31" i="3"/>
  <c r="W31" i="3"/>
  <c r="X31" i="3"/>
  <c r="Y31" i="3"/>
  <c r="T27" i="3"/>
  <c r="U27" i="3"/>
  <c r="V27" i="3"/>
  <c r="W27" i="3"/>
  <c r="X27" i="3"/>
  <c r="Y27" i="3"/>
  <c r="T33" i="3"/>
  <c r="U33" i="3"/>
  <c r="V33" i="3"/>
  <c r="W33" i="3"/>
  <c r="X33" i="3"/>
  <c r="Y33" i="3"/>
  <c r="T29" i="3"/>
  <c r="U29" i="3"/>
  <c r="V29" i="3"/>
  <c r="W29" i="3"/>
  <c r="X29" i="3"/>
  <c r="Y29" i="3"/>
  <c r="T25" i="3"/>
  <c r="U25" i="3"/>
  <c r="V25" i="3"/>
  <c r="W25" i="3"/>
  <c r="X25" i="3"/>
  <c r="Y25" i="3"/>
  <c r="T34" i="3"/>
  <c r="U34" i="3"/>
  <c r="V34" i="3"/>
  <c r="W34" i="3"/>
  <c r="X34" i="3"/>
  <c r="Y34" i="3"/>
  <c r="T32" i="3"/>
  <c r="U32" i="3"/>
  <c r="V32" i="3"/>
  <c r="W32" i="3"/>
  <c r="X32" i="3"/>
  <c r="Y32" i="3"/>
  <c r="T30" i="3"/>
  <c r="U30" i="3"/>
  <c r="V30" i="3"/>
  <c r="W30" i="3"/>
  <c r="X30" i="3"/>
  <c r="Y30" i="3"/>
  <c r="T28" i="3"/>
  <c r="U28" i="3"/>
  <c r="V28" i="3"/>
  <c r="W28" i="3"/>
  <c r="X28" i="3"/>
  <c r="Y28" i="3"/>
  <c r="T26" i="3"/>
  <c r="U26" i="3"/>
  <c r="V26" i="3"/>
  <c r="W26" i="3"/>
  <c r="X26" i="3"/>
  <c r="Y26" i="3"/>
  <c r="U23" i="3"/>
  <c r="W23" i="3"/>
  <c r="Y23" i="3"/>
  <c r="T23" i="3"/>
  <c r="V23" i="3"/>
  <c r="X23" i="3"/>
  <c r="U21" i="3"/>
  <c r="W21" i="3"/>
  <c r="Y21" i="3"/>
  <c r="T21" i="3"/>
  <c r="V21" i="3"/>
  <c r="X21" i="3"/>
  <c r="U19" i="3"/>
  <c r="W19" i="3"/>
  <c r="Y19" i="3"/>
  <c r="T19" i="3"/>
  <c r="V19" i="3"/>
  <c r="X19" i="3"/>
  <c r="U17" i="3"/>
  <c r="W17" i="3"/>
  <c r="Y17" i="3"/>
  <c r="T17" i="3"/>
  <c r="V17" i="3"/>
  <c r="X17" i="3"/>
  <c r="U15" i="3"/>
  <c r="W15" i="3"/>
  <c r="Y15" i="3"/>
  <c r="T15" i="3"/>
  <c r="V15" i="3"/>
  <c r="X15" i="3"/>
  <c r="T22" i="3"/>
  <c r="V22" i="3"/>
  <c r="X22" i="3"/>
  <c r="U22" i="3"/>
  <c r="W22" i="3"/>
  <c r="Y22" i="3"/>
  <c r="T20" i="3"/>
  <c r="V20" i="3"/>
  <c r="X20" i="3"/>
  <c r="U20" i="3"/>
  <c r="W20" i="3"/>
  <c r="Y20" i="3"/>
  <c r="T18" i="3"/>
  <c r="V18" i="3"/>
  <c r="X18" i="3"/>
  <c r="U18" i="3"/>
  <c r="W18" i="3"/>
  <c r="Y18" i="3"/>
  <c r="T16" i="3"/>
  <c r="V16" i="3"/>
  <c r="X16" i="3"/>
  <c r="U16" i="3"/>
  <c r="W16" i="3"/>
  <c r="Y16" i="3"/>
  <c r="T14" i="3"/>
  <c r="V14" i="3"/>
  <c r="X14" i="3"/>
  <c r="U14" i="3"/>
  <c r="W14" i="3"/>
  <c r="Y14" i="3"/>
  <c r="Y11" i="3"/>
  <c r="U9" i="3"/>
  <c r="U7" i="3"/>
  <c r="Y4" i="3"/>
  <c r="W6" i="3"/>
  <c r="W12" i="3"/>
  <c r="T10" i="3"/>
  <c r="T8" i="3"/>
  <c r="X6" i="3"/>
  <c r="T4" i="3"/>
  <c r="W10" i="3"/>
  <c r="V12" i="3"/>
  <c r="U12" i="3"/>
  <c r="U10" i="3"/>
  <c r="U8" i="3"/>
  <c r="U6" i="3"/>
  <c r="T6" i="3"/>
  <c r="T11" i="3"/>
  <c r="V9" i="3"/>
  <c r="T7" i="3"/>
  <c r="T5" i="3"/>
  <c r="T3" i="3"/>
  <c r="Y9" i="3"/>
  <c r="V7" i="3"/>
  <c r="T9" i="3"/>
  <c r="Y12" i="3"/>
  <c r="Y10" i="3"/>
  <c r="Y8" i="3"/>
  <c r="Y6" i="3"/>
  <c r="X12" i="3"/>
  <c r="W8" i="3"/>
  <c r="W4" i="3"/>
  <c r="V4" i="3"/>
  <c r="U4" i="3"/>
  <c r="X7" i="3"/>
  <c r="W11" i="3"/>
  <c r="W9" i="3"/>
  <c r="W7" i="3"/>
  <c r="Y5" i="3"/>
  <c r="Y3" i="3"/>
  <c r="X10" i="3"/>
  <c r="W5" i="3"/>
  <c r="W3" i="3"/>
  <c r="V10" i="3"/>
  <c r="U5" i="3"/>
  <c r="U3" i="3"/>
  <c r="X11" i="3"/>
  <c r="X8" i="3"/>
  <c r="X5" i="3"/>
  <c r="X3" i="3"/>
  <c r="V11" i="3"/>
  <c r="V8" i="3"/>
  <c r="V5" i="3"/>
  <c r="V3" i="3"/>
  <c r="AK2" i="3"/>
  <c r="M104" i="10"/>
  <c r="M103" i="10"/>
  <c r="M102" i="10"/>
  <c r="M101" i="10"/>
  <c r="M100" i="10"/>
  <c r="M99" i="10"/>
  <c r="M98" i="10"/>
  <c r="M97" i="10"/>
  <c r="M96" i="10"/>
  <c r="M95" i="10"/>
  <c r="M94" i="10"/>
  <c r="M93" i="10"/>
  <c r="M92" i="10"/>
  <c r="M91" i="10"/>
  <c r="M90" i="10"/>
  <c r="M89" i="10"/>
  <c r="M88" i="10"/>
  <c r="M87" i="10"/>
  <c r="M86" i="10"/>
  <c r="M85" i="10"/>
  <c r="M84" i="10"/>
  <c r="M83" i="10"/>
  <c r="M82" i="10"/>
  <c r="M81" i="10"/>
  <c r="M80" i="10"/>
  <c r="M79" i="10"/>
  <c r="M78" i="10"/>
  <c r="M77" i="10"/>
  <c r="M76" i="10"/>
  <c r="M75" i="10"/>
  <c r="M74" i="10"/>
  <c r="M73" i="10"/>
  <c r="M72" i="10"/>
  <c r="M71" i="10"/>
  <c r="M70" i="10"/>
  <c r="M69" i="10"/>
  <c r="M68" i="10"/>
  <c r="M67" i="10"/>
  <c r="M66" i="10"/>
  <c r="M65" i="10"/>
  <c r="M64" i="10"/>
  <c r="M63" i="10"/>
  <c r="M62" i="10"/>
  <c r="M61" i="10"/>
  <c r="M60" i="10"/>
  <c r="M59" i="10"/>
  <c r="M58" i="10"/>
  <c r="M57" i="10"/>
  <c r="M56" i="10"/>
  <c r="M55" i="10"/>
  <c r="M54" i="10"/>
  <c r="M53" i="10"/>
  <c r="M52" i="10"/>
  <c r="M51" i="10"/>
  <c r="M50" i="10"/>
  <c r="M49" i="10"/>
  <c r="M48" i="10"/>
  <c r="M47" i="10"/>
  <c r="M46" i="10"/>
  <c r="M45" i="10"/>
  <c r="M44" i="10"/>
  <c r="M43" i="10"/>
  <c r="M42" i="10"/>
  <c r="M40" i="10"/>
  <c r="M39" i="10"/>
  <c r="M38" i="10"/>
  <c r="M37" i="10"/>
  <c r="M36" i="10"/>
  <c r="M35" i="10"/>
  <c r="M34" i="10"/>
  <c r="M33" i="10"/>
  <c r="M32" i="10"/>
  <c r="M31" i="10"/>
  <c r="M30" i="10"/>
  <c r="M29" i="10"/>
  <c r="M28" i="10"/>
  <c r="M27" i="10"/>
  <c r="M26" i="10"/>
  <c r="M25" i="10"/>
  <c r="M24" i="10"/>
  <c r="M23" i="10"/>
  <c r="M22" i="10"/>
  <c r="M20" i="10"/>
  <c r="M19" i="10"/>
  <c r="M18" i="10"/>
  <c r="M17" i="10"/>
  <c r="M16" i="10"/>
  <c r="M15" i="10"/>
  <c r="M14" i="10"/>
  <c r="M12" i="10"/>
  <c r="M11" i="10"/>
  <c r="M10" i="10"/>
  <c r="M9" i="10"/>
  <c r="M8" i="10"/>
  <c r="M7" i="10"/>
  <c r="M6" i="10"/>
  <c r="M5" i="10"/>
  <c r="M4" i="10"/>
  <c r="M3" i="10"/>
  <c r="M2" i="10"/>
  <c r="B36" i="18"/>
  <c r="B37" i="18"/>
  <c r="B38" i="18"/>
  <c r="B39" i="18"/>
  <c r="B40" i="18"/>
  <c r="B36" i="17"/>
  <c r="B37" i="17"/>
  <c r="B38" i="17"/>
  <c r="B39" i="17"/>
  <c r="B40" i="17"/>
  <c r="B36" i="4"/>
  <c r="B37" i="4"/>
  <c r="B38" i="4"/>
  <c r="B39" i="4"/>
  <c r="B40" i="4"/>
  <c r="V17" i="2"/>
  <c r="V18" i="2"/>
  <c r="V19" i="2"/>
  <c r="V20" i="2"/>
  <c r="V21" i="2"/>
  <c r="W17" i="2"/>
  <c r="W18" i="2"/>
  <c r="W19" i="2"/>
  <c r="W20" i="2"/>
  <c r="W21" i="2"/>
  <c r="X17" i="2"/>
  <c r="X18" i="2"/>
  <c r="X19" i="2"/>
  <c r="X20" i="2"/>
  <c r="X21" i="2"/>
  <c r="X31" i="2"/>
  <c r="X32" i="2"/>
  <c r="X33" i="2"/>
  <c r="X34" i="2"/>
  <c r="W31" i="2"/>
  <c r="W32" i="2"/>
  <c r="W33" i="2"/>
  <c r="W34" i="2"/>
  <c r="V31" i="2"/>
  <c r="V32" i="2"/>
  <c r="V33" i="2"/>
  <c r="V34" i="2"/>
  <c r="T31" i="2"/>
  <c r="T32" i="2"/>
  <c r="T33" i="2"/>
  <c r="T34" i="2"/>
  <c r="U31" i="2"/>
  <c r="U32" i="2"/>
  <c r="U33" i="2"/>
  <c r="U34" i="2"/>
  <c r="Y31" i="2"/>
  <c r="Y32" i="2"/>
  <c r="Y33" i="2"/>
  <c r="Y34" i="2"/>
  <c r="T2" i="2"/>
  <c r="T3" i="2"/>
  <c r="T4" i="2"/>
  <c r="T5" i="2"/>
  <c r="T6" i="2"/>
  <c r="T7" i="2"/>
  <c r="T8" i="2"/>
  <c r="T9" i="2"/>
  <c r="V5" i="15" s="1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Z60" i="3" l="1"/>
  <c r="Z62" i="3"/>
  <c r="Z61" i="3"/>
  <c r="Z3" i="3"/>
  <c r="Z7" i="3"/>
  <c r="Z11" i="3"/>
  <c r="Z4" i="3"/>
  <c r="Z8" i="3"/>
  <c r="Z9" i="3"/>
  <c r="Z5" i="3"/>
  <c r="Z6" i="3"/>
  <c r="Z10" i="3"/>
  <c r="Z14" i="3"/>
  <c r="Z16" i="3"/>
  <c r="Z18" i="3"/>
  <c r="Z20" i="3"/>
  <c r="Z22" i="3"/>
  <c r="Z26" i="3"/>
  <c r="Z28" i="3"/>
  <c r="Z30" i="3"/>
  <c r="Z32" i="3"/>
  <c r="Z34" i="3"/>
  <c r="Z25" i="3"/>
  <c r="Z29" i="3"/>
  <c r="Z33" i="3"/>
  <c r="Z27" i="3"/>
  <c r="Z31" i="3"/>
  <c r="Z35" i="3"/>
  <c r="Z37" i="3"/>
  <c r="Z39" i="3"/>
  <c r="Z41" i="3"/>
  <c r="Z43" i="3"/>
  <c r="Z45" i="3"/>
  <c r="Z49" i="3"/>
  <c r="Z51" i="3"/>
  <c r="Z53" i="3"/>
  <c r="Z55" i="3"/>
  <c r="Z57" i="3"/>
  <c r="Z59" i="3"/>
  <c r="Z63" i="3"/>
  <c r="Z67" i="3"/>
  <c r="Z68" i="3"/>
  <c r="Z65" i="3"/>
  <c r="Z64" i="3"/>
  <c r="Z66" i="3"/>
  <c r="Z12" i="3"/>
  <c r="Z15" i="3"/>
  <c r="Z17" i="3"/>
  <c r="Z19" i="3"/>
  <c r="Z21" i="3"/>
  <c r="Z23" i="3"/>
  <c r="Z38" i="3"/>
  <c r="Z40" i="3"/>
  <c r="Z42" i="3"/>
  <c r="Z44" i="3"/>
  <c r="Z46" i="3"/>
  <c r="Z48" i="3"/>
  <c r="Z50" i="3"/>
  <c r="Z52" i="3"/>
  <c r="Z54" i="3"/>
  <c r="Z56" i="3"/>
  <c r="Z69" i="3"/>
  <c r="F5" i="15"/>
  <c r="R22" i="15"/>
  <c r="I32" i="15"/>
  <c r="I27" i="15"/>
  <c r="J32" i="15"/>
  <c r="L27" i="15"/>
  <c r="AC11" i="15"/>
  <c r="AB9" i="15"/>
  <c r="Z12" i="15"/>
  <c r="AA11" i="15"/>
  <c r="AB16" i="15"/>
  <c r="Z17" i="15"/>
  <c r="AC14" i="15"/>
  <c r="AA14" i="15"/>
  <c r="Y22" i="15"/>
  <c r="AC21" i="15"/>
  <c r="Z19" i="15"/>
  <c r="AC12" i="15"/>
  <c r="AB11" i="15"/>
  <c r="Y9" i="15"/>
  <c r="AA9" i="15"/>
  <c r="Y17" i="15"/>
  <c r="AC17" i="15"/>
  <c r="Z14" i="15"/>
  <c r="AB19" i="15"/>
  <c r="AC19" i="15"/>
  <c r="Z21" i="15"/>
  <c r="AA19" i="15"/>
  <c r="AA30" i="15"/>
  <c r="AA31" i="15"/>
  <c r="AB33" i="15"/>
  <c r="AA26" i="15"/>
  <c r="Y24" i="15"/>
  <c r="Z29" i="15"/>
  <c r="AA29" i="15"/>
  <c r="Z31" i="15"/>
  <c r="AC33" i="15"/>
  <c r="AA27" i="15"/>
  <c r="Y26" i="15"/>
  <c r="AA35" i="15"/>
  <c r="Z33" i="15"/>
  <c r="Z24" i="15"/>
  <c r="Y27" i="15"/>
  <c r="AA34" i="15"/>
  <c r="Y29" i="15"/>
  <c r="AB31" i="15"/>
  <c r="Z32" i="15"/>
  <c r="AC24" i="15"/>
  <c r="AB27" i="15"/>
  <c r="R26" i="15"/>
  <c r="R18" i="15"/>
  <c r="R1" i="15"/>
  <c r="R6" i="15" s="1" a="1"/>
  <c r="R6" i="15" s="1"/>
  <c r="B9" i="15"/>
  <c r="R25" i="15"/>
  <c r="R19" i="15"/>
  <c r="R15" i="15"/>
  <c r="R7" i="15"/>
  <c r="L31" i="15"/>
  <c r="M29" i="15"/>
  <c r="I29" i="15"/>
  <c r="K27" i="15"/>
  <c r="M26" i="15"/>
  <c r="K34" i="15"/>
  <c r="M21" i="15"/>
  <c r="K17" i="15"/>
  <c r="K14" i="15"/>
  <c r="I21" i="15"/>
  <c r="I24" i="15"/>
  <c r="I17" i="15"/>
  <c r="M11" i="15"/>
  <c r="M9" i="15"/>
  <c r="I12" i="15"/>
  <c r="B27" i="15"/>
  <c r="B21" i="15"/>
  <c r="B17" i="15"/>
  <c r="B7" i="15"/>
  <c r="M31" i="15"/>
  <c r="I31" i="15"/>
  <c r="J29" i="15"/>
  <c r="K26" i="15"/>
  <c r="K35" i="15"/>
  <c r="L21" i="15"/>
  <c r="M19" i="15"/>
  <c r="K16" i="15"/>
  <c r="L14" i="15"/>
  <c r="J26" i="15"/>
  <c r="B22" i="15"/>
  <c r="L32" i="15"/>
  <c r="I22" i="15"/>
  <c r="M32" i="15"/>
  <c r="L22" i="15"/>
  <c r="AB12" i="15"/>
  <c r="Y11" i="15"/>
  <c r="Z9" i="15"/>
  <c r="AB14" i="15"/>
  <c r="Y16" i="15"/>
  <c r="Z16" i="15"/>
  <c r="AA17" i="15"/>
  <c r="AB21" i="15"/>
  <c r="Y19" i="15"/>
  <c r="Z22" i="15"/>
  <c r="AA21" i="15"/>
  <c r="AC9" i="15"/>
  <c r="Y12" i="15"/>
  <c r="Z11" i="15"/>
  <c r="AB17" i="15"/>
  <c r="Y14" i="15"/>
  <c r="AC16" i="15"/>
  <c r="AA16" i="15"/>
  <c r="Y21" i="15"/>
  <c r="AC22" i="15"/>
  <c r="AA22" i="15"/>
  <c r="AB24" i="15"/>
  <c r="AB29" i="15"/>
  <c r="AC31" i="15"/>
  <c r="AA32" i="15"/>
  <c r="AC26" i="15"/>
  <c r="AB26" i="15"/>
  <c r="Z30" i="15"/>
  <c r="AC29" i="15"/>
  <c r="AA33" i="15"/>
  <c r="AB32" i="15"/>
  <c r="Z26" i="15"/>
  <c r="AC30" i="15"/>
  <c r="Y31" i="15"/>
  <c r="Y32" i="15"/>
  <c r="AC27" i="15"/>
  <c r="Y30" i="15"/>
  <c r="AB30" i="15"/>
  <c r="AA36" i="15"/>
  <c r="Y33" i="15"/>
  <c r="AA24" i="15"/>
  <c r="Z27" i="15"/>
  <c r="R28" i="15"/>
  <c r="R20" i="15"/>
  <c r="R16" i="15"/>
  <c r="R2" i="15"/>
  <c r="R27" i="15"/>
  <c r="R21" i="15"/>
  <c r="R17" i="15"/>
  <c r="R9" i="15"/>
  <c r="J31" i="15"/>
  <c r="K29" i="15"/>
  <c r="L26" i="15"/>
  <c r="K24" i="15"/>
  <c r="K36" i="15"/>
  <c r="K21" i="15"/>
  <c r="L19" i="15"/>
  <c r="L16" i="15"/>
  <c r="M14" i="15"/>
  <c r="J21" i="15"/>
  <c r="J24" i="15"/>
  <c r="M12" i="15"/>
  <c r="K11" i="15"/>
  <c r="K9" i="15"/>
  <c r="I9" i="15"/>
  <c r="B25" i="15"/>
  <c r="B19" i="15"/>
  <c r="B15" i="15"/>
  <c r="B2" i="15"/>
  <c r="K31" i="15"/>
  <c r="L29" i="15"/>
  <c r="L24" i="15"/>
  <c r="M24" i="15"/>
  <c r="K22" i="15"/>
  <c r="K19" i="15"/>
  <c r="L17" i="15"/>
  <c r="M16" i="15"/>
  <c r="I26" i="15"/>
  <c r="AA12" i="15"/>
  <c r="AC32" i="15"/>
  <c r="M22" i="15"/>
  <c r="B1" i="15"/>
  <c r="B6" i="15" s="1" a="1"/>
  <c r="B6" i="15" s="1"/>
  <c r="B28" i="15"/>
  <c r="B20" i="15"/>
  <c r="I11" i="15"/>
  <c r="L9" i="15"/>
  <c r="L11" i="15"/>
  <c r="L12" i="15"/>
  <c r="J19" i="15"/>
  <c r="I16" i="15"/>
  <c r="K32" i="15"/>
  <c r="AB22" i="15"/>
  <c r="B18" i="15"/>
  <c r="B16" i="15"/>
  <c r="B26" i="15"/>
  <c r="J9" i="15"/>
  <c r="J11" i="15"/>
  <c r="J12" i="15"/>
  <c r="I14" i="15"/>
  <c r="I19" i="15"/>
  <c r="M27" i="15"/>
  <c r="J22" i="15"/>
  <c r="M17" i="15"/>
  <c r="J27" i="15"/>
  <c r="R11" i="15"/>
  <c r="B11" i="15"/>
  <c r="K12" i="15"/>
  <c r="N3" i="10"/>
  <c r="N4" i="10" s="1"/>
  <c r="N5" i="10" s="1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N84" i="10" s="1"/>
  <c r="N85" i="10" s="1"/>
  <c r="N86" i="10" s="1"/>
  <c r="N87" i="10" s="1"/>
  <c r="N88" i="10" s="1"/>
  <c r="N89" i="10" s="1"/>
  <c r="N90" i="10" s="1"/>
  <c r="N91" i="10" s="1"/>
  <c r="N92" i="10" s="1"/>
  <c r="N93" i="10" s="1"/>
  <c r="N94" i="10" s="1"/>
  <c r="N95" i="10" s="1"/>
  <c r="N96" i="10" s="1"/>
  <c r="N97" i="10" s="1"/>
  <c r="N98" i="10" s="1"/>
  <c r="N99" i="10" s="1"/>
  <c r="N100" i="10" s="1"/>
  <c r="N101" i="10" s="1"/>
  <c r="N102" i="10" s="1"/>
  <c r="N103" i="10" s="1"/>
  <c r="N104" i="10" s="1"/>
  <c r="N105" i="10" s="1"/>
  <c r="N106" i="10" s="1"/>
  <c r="N107" i="10" s="1"/>
  <c r="N108" i="10" s="1"/>
  <c r="N109" i="10" s="1"/>
  <c r="N110" i="10" s="1"/>
  <c r="N111" i="10" s="1"/>
  <c r="N112" i="10" s="1"/>
  <c r="N113" i="10" s="1"/>
  <c r="N114" i="10" s="1"/>
  <c r="N115" i="10" s="1"/>
  <c r="N116" i="10" s="1"/>
  <c r="N117" i="10" s="1"/>
  <c r="N118" i="10" s="1"/>
  <c r="N119" i="10" s="1"/>
  <c r="N120" i="10" s="1"/>
  <c r="N121" i="10" s="1"/>
  <c r="N122" i="10" s="1"/>
  <c r="N123" i="10" s="1"/>
  <c r="N124" i="10" s="1"/>
  <c r="N125" i="10" s="1"/>
  <c r="N126" i="10" s="1"/>
  <c r="N127" i="10" s="1"/>
  <c r="N128" i="10" s="1"/>
  <c r="N129" i="10" s="1"/>
  <c r="N130" i="10" s="1"/>
  <c r="N131" i="10" s="1"/>
  <c r="N132" i="10" s="1"/>
  <c r="N133" i="10" s="1"/>
  <c r="N134" i="10" s="1"/>
  <c r="N135" i="10" s="1"/>
  <c r="N136" i="10" s="1"/>
  <c r="N137" i="10" s="1"/>
  <c r="N138" i="10" s="1"/>
  <c r="N139" i="10" s="1"/>
  <c r="N140" i="10" s="1"/>
  <c r="N141" i="10" s="1"/>
  <c r="N142" i="10" s="1"/>
  <c r="N143" i="10" s="1"/>
  <c r="N144" i="10" s="1"/>
  <c r="N145" i="10" s="1"/>
  <c r="N146" i="10" s="1"/>
  <c r="N147" i="10" s="1"/>
  <c r="N148" i="10" s="1"/>
  <c r="N149" i="10" s="1"/>
  <c r="N150" i="10" s="1"/>
  <c r="N151" i="10" s="1"/>
  <c r="N152" i="10" s="1"/>
  <c r="N153" i="10" s="1"/>
  <c r="N154" i="10" s="1"/>
  <c r="N155" i="10" s="1"/>
  <c r="N156" i="10" s="1"/>
  <c r="N157" i="10" s="1"/>
  <c r="N158" i="10" s="1"/>
  <c r="N159" i="10" s="1"/>
  <c r="N160" i="10" s="1"/>
  <c r="N161" i="10" s="1"/>
  <c r="N162" i="10" s="1"/>
  <c r="N163" i="10" s="1"/>
  <c r="N164" i="10" s="1"/>
  <c r="N165" i="10" s="1"/>
  <c r="N166" i="10" s="1"/>
  <c r="N167" i="10" s="1"/>
  <c r="N168" i="10" s="1"/>
  <c r="N169" i="10" s="1"/>
  <c r="N170" i="10" s="1"/>
  <c r="N171" i="10" s="1"/>
  <c r="N172" i="10" s="1"/>
  <c r="N173" i="10" s="1"/>
  <c r="N174" i="10" s="1"/>
  <c r="N175" i="10" s="1"/>
  <c r="N176" i="10" s="1"/>
  <c r="N177" i="10" s="1"/>
  <c r="N178" i="10" s="1"/>
  <c r="N179" i="10" s="1"/>
  <c r="N180" i="10" s="1"/>
  <c r="N181" i="10" s="1"/>
  <c r="N182" i="10" s="1"/>
  <c r="N183" i="10" s="1"/>
  <c r="N184" i="10" s="1"/>
  <c r="N185" i="10" s="1"/>
  <c r="N186" i="10" s="1"/>
  <c r="N187" i="10" s="1"/>
  <c r="N188" i="10" s="1"/>
  <c r="N189" i="10" s="1"/>
  <c r="N190" i="10" s="1"/>
  <c r="N191" i="10" s="1"/>
  <c r="N192" i="10" s="1"/>
  <c r="N193" i="10" s="1"/>
  <c r="N194" i="10" s="1"/>
  <c r="N195" i="10" s="1"/>
  <c r="N196" i="10" s="1"/>
  <c r="N197" i="10" s="1"/>
  <c r="N198" i="10" s="1"/>
  <c r="N199" i="10" s="1"/>
  <c r="N200" i="10" s="1"/>
  <c r="N201" i="10" s="1"/>
  <c r="N202" i="10" s="1"/>
  <c r="N203" i="10" s="1"/>
  <c r="N204" i="10" s="1"/>
  <c r="N205" i="10" s="1"/>
  <c r="N206" i="10" s="1"/>
  <c r="N207" i="10" s="1"/>
  <c r="N208" i="10" s="1"/>
  <c r="N209" i="10" s="1"/>
  <c r="N210" i="10" s="1"/>
  <c r="N211" i="10" s="1"/>
  <c r="N212" i="10" s="1"/>
  <c r="N213" i="10" s="1"/>
  <c r="N214" i="10" s="1"/>
  <c r="N215" i="10" s="1"/>
  <c r="N216" i="10" s="1"/>
  <c r="N217" i="10" s="1"/>
  <c r="N218" i="10" s="1"/>
  <c r="N219" i="10" s="1"/>
  <c r="N220" i="10" s="1"/>
  <c r="N221" i="10" s="1"/>
  <c r="N222" i="10" s="1"/>
  <c r="N223" i="10" s="1"/>
  <c r="N224" i="10" s="1"/>
  <c r="K39" i="18"/>
  <c r="K37" i="18"/>
  <c r="J40" i="18"/>
  <c r="J38" i="18"/>
  <c r="J36" i="18"/>
  <c r="I39" i="18"/>
  <c r="I37" i="18"/>
  <c r="H40" i="18"/>
  <c r="H38" i="18"/>
  <c r="H36" i="18"/>
  <c r="G39" i="18"/>
  <c r="G37" i="18"/>
  <c r="F40" i="18"/>
  <c r="F38" i="18"/>
  <c r="F36" i="18"/>
  <c r="E39" i="18"/>
  <c r="E37" i="18"/>
  <c r="D40" i="18"/>
  <c r="D38" i="18"/>
  <c r="D36" i="18"/>
  <c r="C39" i="18"/>
  <c r="C37" i="18"/>
  <c r="K40" i="18"/>
  <c r="K38" i="18"/>
  <c r="K36" i="18"/>
  <c r="J39" i="18"/>
  <c r="J37" i="18"/>
  <c r="I40" i="18"/>
  <c r="I38" i="18"/>
  <c r="I36" i="18"/>
  <c r="H39" i="18"/>
  <c r="H37" i="18"/>
  <c r="G40" i="18"/>
  <c r="G38" i="18"/>
  <c r="G36" i="18"/>
  <c r="F39" i="18"/>
  <c r="F37" i="18"/>
  <c r="E40" i="18"/>
  <c r="E38" i="18"/>
  <c r="E36" i="18"/>
  <c r="D39" i="18"/>
  <c r="D37" i="18"/>
  <c r="C40" i="18"/>
  <c r="C38" i="18"/>
  <c r="C36" i="18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2" i="2"/>
  <c r="X2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22" i="2"/>
  <c r="X23" i="2"/>
  <c r="X24" i="2"/>
  <c r="X25" i="2"/>
  <c r="X26" i="2"/>
  <c r="X27" i="2"/>
  <c r="X28" i="2"/>
  <c r="X29" i="2"/>
  <c r="X30" i="2"/>
  <c r="T10" i="4"/>
  <c r="T10" i="17"/>
  <c r="T5" i="17"/>
  <c r="O2" i="4"/>
  <c r="O3" i="4"/>
  <c r="P4" i="4"/>
  <c r="P7" i="4"/>
  <c r="P10" i="4"/>
  <c r="Q2" i="4"/>
  <c r="Q3" i="4"/>
  <c r="Q4" i="4"/>
  <c r="Q10" i="4"/>
  <c r="R4" i="4"/>
  <c r="R5" i="4"/>
  <c r="R9" i="4"/>
  <c r="S2" i="4"/>
  <c r="S9" i="4"/>
  <c r="S11" i="4"/>
  <c r="T5" i="4"/>
  <c r="T5" i="18" s="1"/>
  <c r="T9" i="4"/>
  <c r="U3" i="4"/>
  <c r="U5" i="4"/>
  <c r="U9" i="4"/>
  <c r="U10" i="4"/>
  <c r="V6" i="4"/>
  <c r="V7" i="4"/>
  <c r="V9" i="4"/>
  <c r="W2" i="4"/>
  <c r="W6" i="4"/>
  <c r="W9" i="4"/>
  <c r="T10" i="18" l="1"/>
  <c r="R12" i="15"/>
  <c r="B12" i="15"/>
  <c r="W9" i="2"/>
  <c r="V9" i="2"/>
  <c r="U9" i="2"/>
  <c r="N2" i="18" l="1"/>
  <c r="N3" i="18"/>
  <c r="N5" i="18"/>
  <c r="N6" i="18"/>
  <c r="N7" i="18"/>
  <c r="N9" i="18"/>
  <c r="N10" i="18"/>
  <c r="N12" i="18"/>
  <c r="N13" i="18"/>
  <c r="O4" i="18"/>
  <c r="O5" i="18"/>
  <c r="O6" i="18"/>
  <c r="O7" i="18"/>
  <c r="O8" i="18"/>
  <c r="O9" i="18"/>
  <c r="O10" i="18"/>
  <c r="O11" i="18"/>
  <c r="O12" i="18"/>
  <c r="O13" i="18"/>
  <c r="P2" i="18"/>
  <c r="P3" i="18"/>
  <c r="P5" i="18"/>
  <c r="P6" i="18"/>
  <c r="P8" i="18"/>
  <c r="P9" i="18"/>
  <c r="P11" i="18"/>
  <c r="P12" i="18"/>
  <c r="P13" i="18"/>
  <c r="Q5" i="18"/>
  <c r="Q6" i="18"/>
  <c r="Q7" i="18"/>
  <c r="Q8" i="18"/>
  <c r="Q9" i="18"/>
  <c r="Q11" i="18"/>
  <c r="Q12" i="18"/>
  <c r="Q13" i="18"/>
  <c r="R2" i="18"/>
  <c r="R3" i="18"/>
  <c r="R6" i="18"/>
  <c r="R7" i="18"/>
  <c r="R8" i="18"/>
  <c r="R10" i="18"/>
  <c r="R11" i="18"/>
  <c r="R12" i="18"/>
  <c r="R13" i="18"/>
  <c r="S3" i="18"/>
  <c r="S4" i="18"/>
  <c r="S5" i="18"/>
  <c r="S6" i="18"/>
  <c r="S7" i="18"/>
  <c r="S8" i="18"/>
  <c r="S10" i="18"/>
  <c r="S12" i="18"/>
  <c r="S13" i="18"/>
  <c r="T2" i="18"/>
  <c r="T3" i="18"/>
  <c r="T4" i="18"/>
  <c r="T6" i="18"/>
  <c r="T7" i="18"/>
  <c r="T8" i="18"/>
  <c r="T11" i="18"/>
  <c r="T12" i="18"/>
  <c r="T13" i="18"/>
  <c r="U2" i="18"/>
  <c r="U4" i="18"/>
  <c r="U6" i="18"/>
  <c r="U7" i="18"/>
  <c r="U8" i="18"/>
  <c r="U11" i="18"/>
  <c r="U12" i="18"/>
  <c r="U13" i="18"/>
  <c r="V2" i="18"/>
  <c r="V3" i="18"/>
  <c r="V4" i="18"/>
  <c r="V5" i="18"/>
  <c r="V8" i="18"/>
  <c r="V10" i="18"/>
  <c r="V11" i="18"/>
  <c r="V12" i="18"/>
  <c r="V13" i="18"/>
  <c r="W3" i="18"/>
  <c r="W4" i="18"/>
  <c r="W5" i="18"/>
  <c r="W7" i="18"/>
  <c r="W8" i="18"/>
  <c r="W10" i="18"/>
  <c r="W11" i="18"/>
  <c r="W12" i="18"/>
  <c r="W13" i="18"/>
  <c r="B87" i="18"/>
  <c r="B80" i="18"/>
  <c r="B79" i="18"/>
  <c r="B78" i="18"/>
  <c r="B77" i="18"/>
  <c r="B76" i="18"/>
  <c r="B75" i="18"/>
  <c r="B74" i="18"/>
  <c r="B73" i="18"/>
  <c r="B72" i="18"/>
  <c r="B71" i="18"/>
  <c r="B70" i="18"/>
  <c r="B69" i="18"/>
  <c r="B68" i="18"/>
  <c r="B67" i="18"/>
  <c r="B63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K14" i="18"/>
  <c r="J14" i="18"/>
  <c r="I14" i="18"/>
  <c r="H14" i="18"/>
  <c r="G14" i="18"/>
  <c r="F14" i="18"/>
  <c r="E14" i="18"/>
  <c r="D14" i="18"/>
  <c r="C14" i="18"/>
  <c r="I2" i="16" l="1"/>
  <c r="L14" i="18"/>
  <c r="M14" i="18" s="1"/>
  <c r="N4" i="17"/>
  <c r="C14" i="17"/>
  <c r="D14" i="17"/>
  <c r="E14" i="17"/>
  <c r="F14" i="17"/>
  <c r="G14" i="17"/>
  <c r="H14" i="17"/>
  <c r="I14" i="17"/>
  <c r="J14" i="17"/>
  <c r="K14" i="17"/>
  <c r="B87" i="17"/>
  <c r="B80" i="17"/>
  <c r="B79" i="17"/>
  <c r="B78" i="17"/>
  <c r="B77" i="17"/>
  <c r="B76" i="17"/>
  <c r="B75" i="17"/>
  <c r="B74" i="17"/>
  <c r="B73" i="17"/>
  <c r="B72" i="17"/>
  <c r="B71" i="17"/>
  <c r="B70" i="17"/>
  <c r="B69" i="17"/>
  <c r="B68" i="17"/>
  <c r="B67" i="17"/>
  <c r="B63" i="17"/>
  <c r="B56" i="17"/>
  <c r="B55" i="17"/>
  <c r="B54" i="17"/>
  <c r="B53" i="17"/>
  <c r="B52" i="17"/>
  <c r="B51" i="17"/>
  <c r="B50" i="17"/>
  <c r="B49" i="17"/>
  <c r="B48" i="17"/>
  <c r="B47" i="17"/>
  <c r="B46" i="17"/>
  <c r="B45" i="17"/>
  <c r="B44" i="17"/>
  <c r="B43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S11" i="17"/>
  <c r="S11" i="18" s="1"/>
  <c r="N11" i="17"/>
  <c r="U10" i="17"/>
  <c r="U10" i="18" s="1"/>
  <c r="Q10" i="17"/>
  <c r="Q10" i="18" s="1"/>
  <c r="P10" i="17"/>
  <c r="P10" i="18" s="1"/>
  <c r="W9" i="17"/>
  <c r="W9" i="18" s="1"/>
  <c r="V9" i="17"/>
  <c r="V9" i="18" s="1"/>
  <c r="U9" i="17"/>
  <c r="U9" i="18" s="1"/>
  <c r="T9" i="17"/>
  <c r="T9" i="18" s="1"/>
  <c r="I29" i="16" s="1"/>
  <c r="S9" i="17"/>
  <c r="S9" i="18" s="1"/>
  <c r="R9" i="17"/>
  <c r="R9" i="18" s="1"/>
  <c r="N8" i="17"/>
  <c r="V7" i="17"/>
  <c r="V7" i="18" s="1"/>
  <c r="P7" i="17"/>
  <c r="P7" i="18" s="1"/>
  <c r="W6" i="17"/>
  <c r="W6" i="18" s="1"/>
  <c r="V6" i="17"/>
  <c r="V6" i="18" s="1"/>
  <c r="K2" i="16" s="1"/>
  <c r="U5" i="17"/>
  <c r="U5" i="18" s="1"/>
  <c r="R5" i="17"/>
  <c r="R5" i="18" s="1"/>
  <c r="R4" i="17"/>
  <c r="R4" i="18" s="1"/>
  <c r="G2" i="16" s="1"/>
  <c r="Q4" i="17"/>
  <c r="Q4" i="18" s="1"/>
  <c r="P4" i="17"/>
  <c r="U3" i="17"/>
  <c r="U3" i="18" s="1"/>
  <c r="J2" i="16" s="1"/>
  <c r="Q3" i="17"/>
  <c r="Q3" i="18" s="1"/>
  <c r="O3" i="17"/>
  <c r="O3" i="18" s="1"/>
  <c r="W2" i="17"/>
  <c r="W2" i="18" s="1"/>
  <c r="L2" i="16" s="1"/>
  <c r="S2" i="17"/>
  <c r="Q2" i="17"/>
  <c r="Q2" i="18" s="1"/>
  <c r="F2" i="16" s="1"/>
  <c r="O2" i="17"/>
  <c r="O2" i="18" s="1"/>
  <c r="D2" i="16" s="1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7" i="4"/>
  <c r="B67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63" i="4"/>
  <c r="B43" i="4"/>
  <c r="F11" i="16" l="1"/>
  <c r="L26" i="16"/>
  <c r="L14" i="17"/>
  <c r="M14" i="17" s="1"/>
  <c r="F5" i="16"/>
  <c r="G19" i="16"/>
  <c r="D25" i="16"/>
  <c r="J30" i="16"/>
  <c r="J3" i="16"/>
  <c r="J10" i="16"/>
  <c r="J31" i="16"/>
  <c r="J32" i="16"/>
  <c r="J27" i="16"/>
  <c r="J11" i="16"/>
  <c r="J18" i="16"/>
  <c r="J33" i="16"/>
  <c r="J8" i="16"/>
  <c r="J4" i="16"/>
  <c r="J35" i="16"/>
  <c r="J15" i="16"/>
  <c r="J29" i="16"/>
  <c r="J14" i="16"/>
  <c r="J19" i="16"/>
  <c r="J13" i="16"/>
  <c r="J5" i="16"/>
  <c r="J21" i="16"/>
  <c r="J7" i="16"/>
  <c r="J16" i="16"/>
  <c r="J25" i="16"/>
  <c r="J23" i="16"/>
  <c r="J28" i="16"/>
  <c r="J20" i="16"/>
  <c r="J22" i="16"/>
  <c r="J12" i="16"/>
  <c r="J24" i="16"/>
  <c r="J34" i="16"/>
  <c r="J6" i="16"/>
  <c r="J9" i="16"/>
  <c r="J26" i="16"/>
  <c r="J17" i="16"/>
  <c r="F4" i="16"/>
  <c r="F22" i="16"/>
  <c r="F6" i="16"/>
  <c r="F18" i="16"/>
  <c r="F27" i="16"/>
  <c r="F26" i="16"/>
  <c r="F29" i="16"/>
  <c r="F20" i="16"/>
  <c r="F31" i="16"/>
  <c r="F34" i="16"/>
  <c r="F19" i="16"/>
  <c r="F28" i="16"/>
  <c r="F25" i="16"/>
  <c r="F7" i="16"/>
  <c r="F10" i="16"/>
  <c r="F21" i="16"/>
  <c r="F30" i="16"/>
  <c r="G20" i="16"/>
  <c r="G7" i="16"/>
  <c r="G29" i="16"/>
  <c r="G15" i="16"/>
  <c r="G35" i="16"/>
  <c r="G28" i="16"/>
  <c r="G30" i="16"/>
  <c r="G23" i="16"/>
  <c r="G32" i="16"/>
  <c r="G34" i="16"/>
  <c r="G4" i="16"/>
  <c r="G10" i="16"/>
  <c r="G5" i="16"/>
  <c r="G14" i="16"/>
  <c r="G17" i="16"/>
  <c r="G31" i="16"/>
  <c r="I23" i="16"/>
  <c r="I32" i="16"/>
  <c r="I30" i="16"/>
  <c r="I28" i="16"/>
  <c r="I35" i="16"/>
  <c r="I10" i="16"/>
  <c r="I5" i="16"/>
  <c r="I34" i="16"/>
  <c r="I4" i="16"/>
  <c r="I6" i="16"/>
  <c r="I26" i="16"/>
  <c r="I16" i="16"/>
  <c r="I15" i="16"/>
  <c r="I20" i="16"/>
  <c r="I19" i="16"/>
  <c r="I13" i="16"/>
  <c r="L6" i="16"/>
  <c r="L24" i="16"/>
  <c r="L32" i="16"/>
  <c r="L7" i="16"/>
  <c r="L8" i="16"/>
  <c r="L14" i="16"/>
  <c r="L27" i="16"/>
  <c r="D5" i="16"/>
  <c r="D32" i="16"/>
  <c r="D7" i="16"/>
  <c r="D13" i="16"/>
  <c r="D29" i="16"/>
  <c r="D26" i="16"/>
  <c r="D6" i="16"/>
  <c r="D4" i="16"/>
  <c r="L13" i="16"/>
  <c r="L10" i="16"/>
  <c r="L31" i="16"/>
  <c r="L19" i="16"/>
  <c r="L33" i="16"/>
  <c r="L20" i="16"/>
  <c r="L25" i="16"/>
  <c r="L21" i="16"/>
  <c r="L16" i="16"/>
  <c r="L35" i="16"/>
  <c r="L34" i="16"/>
  <c r="L11" i="16"/>
  <c r="L22" i="16"/>
  <c r="L15" i="16"/>
  <c r="L23" i="16"/>
  <c r="L17" i="16"/>
  <c r="P4" i="18"/>
  <c r="D30" i="16"/>
  <c r="D23" i="16"/>
  <c r="D12" i="16"/>
  <c r="D33" i="16"/>
  <c r="D35" i="16"/>
  <c r="D15" i="16"/>
  <c r="D31" i="16"/>
  <c r="D14" i="16"/>
  <c r="D19" i="16"/>
  <c r="D27" i="16"/>
  <c r="D18" i="16"/>
  <c r="D24" i="16"/>
  <c r="D16" i="16"/>
  <c r="D3" i="16"/>
  <c r="D10" i="16"/>
  <c r="D21" i="16"/>
  <c r="K30" i="16"/>
  <c r="K10" i="16"/>
  <c r="K26" i="16"/>
  <c r="K31" i="16"/>
  <c r="K28" i="16"/>
  <c r="K23" i="16"/>
  <c r="K25" i="16"/>
  <c r="K14" i="16"/>
  <c r="K3" i="16"/>
  <c r="K6" i="16"/>
  <c r="K18" i="16"/>
  <c r="K11" i="16"/>
  <c r="K27" i="16"/>
  <c r="K32" i="16"/>
  <c r="K19" i="16"/>
  <c r="K35" i="16"/>
  <c r="K29" i="16"/>
  <c r="K20" i="16"/>
  <c r="K21" i="16"/>
  <c r="K7" i="16"/>
  <c r="K17" i="16"/>
  <c r="K12" i="16"/>
  <c r="K22" i="16"/>
  <c r="K33" i="16"/>
  <c r="K24" i="16"/>
  <c r="K8" i="16"/>
  <c r="K13" i="16"/>
  <c r="K9" i="16"/>
  <c r="K34" i="16"/>
  <c r="K4" i="16"/>
  <c r="K16" i="16"/>
  <c r="K5" i="16"/>
  <c r="K15" i="16"/>
  <c r="F17" i="16"/>
  <c r="F33" i="16"/>
  <c r="F13" i="16"/>
  <c r="F32" i="16"/>
  <c r="F14" i="16"/>
  <c r="F16" i="16"/>
  <c r="F9" i="16"/>
  <c r="F8" i="16"/>
  <c r="F24" i="16"/>
  <c r="F12" i="16"/>
  <c r="F23" i="16"/>
  <c r="F35" i="16"/>
  <c r="F3" i="16"/>
  <c r="F15" i="16"/>
  <c r="G3" i="16"/>
  <c r="G16" i="16"/>
  <c r="G12" i="16"/>
  <c r="G9" i="16"/>
  <c r="G6" i="16"/>
  <c r="G18" i="16"/>
  <c r="G25" i="16"/>
  <c r="G11" i="16"/>
  <c r="G27" i="16"/>
  <c r="G13" i="16"/>
  <c r="G22" i="16"/>
  <c r="G33" i="16"/>
  <c r="G24" i="16"/>
  <c r="G21" i="16"/>
  <c r="G26" i="16"/>
  <c r="G8" i="16"/>
  <c r="I11" i="16"/>
  <c r="I27" i="16"/>
  <c r="I3" i="16"/>
  <c r="I18" i="16"/>
  <c r="I25" i="16"/>
  <c r="I7" i="16"/>
  <c r="I21" i="16"/>
  <c r="I12" i="16"/>
  <c r="I22" i="16"/>
  <c r="I33" i="16"/>
  <c r="I24" i="16"/>
  <c r="I31" i="16"/>
  <c r="I14" i="16"/>
  <c r="I8" i="16"/>
  <c r="I17" i="16"/>
  <c r="I9" i="16"/>
  <c r="L29" i="16"/>
  <c r="L3" i="16"/>
  <c r="L18" i="16"/>
  <c r="L9" i="16"/>
  <c r="L30" i="16"/>
  <c r="L28" i="16"/>
  <c r="L12" i="16"/>
  <c r="L4" i="16"/>
  <c r="L5" i="16"/>
  <c r="D8" i="16"/>
  <c r="D20" i="16"/>
  <c r="D34" i="16"/>
  <c r="D11" i="16"/>
  <c r="D17" i="16"/>
  <c r="D9" i="16"/>
  <c r="D22" i="16"/>
  <c r="D28" i="16"/>
  <c r="R39" i="15"/>
  <c r="N14" i="17"/>
  <c r="Q14" i="18"/>
  <c r="W14" i="17"/>
  <c r="U14" i="18"/>
  <c r="R14" i="18"/>
  <c r="O14" i="17"/>
  <c r="S14" i="17"/>
  <c r="S2" i="18"/>
  <c r="V14" i="17"/>
  <c r="T14" i="18"/>
  <c r="T14" i="17"/>
  <c r="Q14" i="17"/>
  <c r="P14" i="17"/>
  <c r="R14" i="17"/>
  <c r="U14" i="17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K21" i="18"/>
  <c r="J21" i="18"/>
  <c r="I21" i="18"/>
  <c r="H21" i="18"/>
  <c r="G21" i="18"/>
  <c r="F21" i="18"/>
  <c r="E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G22" i="18"/>
  <c r="G23" i="18"/>
  <c r="G24" i="18"/>
  <c r="G25" i="18"/>
  <c r="G26" i="18"/>
  <c r="G27" i="18"/>
  <c r="G28" i="18"/>
  <c r="G29" i="18"/>
  <c r="G30" i="18"/>
  <c r="G31" i="18"/>
  <c r="G32" i="18"/>
  <c r="G33" i="18"/>
  <c r="G34" i="18"/>
  <c r="G35" i="18"/>
  <c r="F22" i="18"/>
  <c r="F23" i="18"/>
  <c r="F24" i="18"/>
  <c r="F25" i="18"/>
  <c r="F26" i="18"/>
  <c r="F27" i="18"/>
  <c r="F28" i="18"/>
  <c r="F29" i="18"/>
  <c r="F30" i="18"/>
  <c r="F31" i="18"/>
  <c r="F32" i="18"/>
  <c r="F33" i="18"/>
  <c r="F34" i="18"/>
  <c r="F35" i="18"/>
  <c r="E22" i="18"/>
  <c r="E23" i="18"/>
  <c r="E24" i="18"/>
  <c r="E25" i="18"/>
  <c r="E26" i="18"/>
  <c r="E27" i="18"/>
  <c r="E28" i="18"/>
  <c r="E29" i="18"/>
  <c r="E30" i="18"/>
  <c r="E31" i="18"/>
  <c r="E32" i="18"/>
  <c r="E33" i="18"/>
  <c r="E34" i="18"/>
  <c r="E35" i="18"/>
  <c r="D22" i="18"/>
  <c r="D23" i="18"/>
  <c r="D24" i="18"/>
  <c r="D25" i="18"/>
  <c r="D26" i="18"/>
  <c r="D27" i="18"/>
  <c r="D28" i="18"/>
  <c r="D29" i="18"/>
  <c r="D30" i="18"/>
  <c r="D31" i="18"/>
  <c r="D32" i="18"/>
  <c r="D33" i="18"/>
  <c r="D34" i="18"/>
  <c r="D35" i="18"/>
  <c r="D21" i="4"/>
  <c r="D21" i="18" s="1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5" i="18"/>
  <c r="C21" i="4"/>
  <c r="C21" i="18" s="1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57" i="6"/>
  <c r="B35" i="6"/>
  <c r="H2" i="16" l="1"/>
  <c r="H3" i="16"/>
  <c r="P14" i="18"/>
  <c r="E2" i="16"/>
  <c r="R38" i="15"/>
  <c r="B39" i="15"/>
  <c r="R36" i="15"/>
  <c r="R34" i="15"/>
  <c r="B33" i="15"/>
  <c r="R37" i="15"/>
  <c r="B38" i="15"/>
  <c r="B31" i="15"/>
  <c r="B37" i="15"/>
  <c r="R31" i="15"/>
  <c r="D57" i="6"/>
  <c r="G57" i="6"/>
  <c r="I57" i="6"/>
  <c r="H57" i="6"/>
  <c r="F57" i="6"/>
  <c r="E57" i="6"/>
  <c r="M57" i="6"/>
  <c r="L57" i="6"/>
  <c r="K57" i="6"/>
  <c r="M69" i="6"/>
  <c r="K69" i="6"/>
  <c r="J69" i="6"/>
  <c r="I69" i="6"/>
  <c r="H69" i="6"/>
  <c r="G69" i="6"/>
  <c r="F69" i="6"/>
  <c r="E69" i="6"/>
  <c r="D69" i="6"/>
  <c r="C69" i="6"/>
  <c r="L69" i="6"/>
  <c r="M67" i="6"/>
  <c r="L67" i="6"/>
  <c r="K67" i="6"/>
  <c r="I67" i="6"/>
  <c r="H67" i="6"/>
  <c r="G67" i="6"/>
  <c r="F67" i="6"/>
  <c r="E67" i="6"/>
  <c r="D67" i="6"/>
  <c r="C67" i="6"/>
  <c r="J67" i="6"/>
  <c r="M65" i="6"/>
  <c r="L65" i="6"/>
  <c r="K65" i="6"/>
  <c r="H65" i="6"/>
  <c r="G65" i="6"/>
  <c r="F65" i="6"/>
  <c r="E65" i="6"/>
  <c r="D65" i="6"/>
  <c r="C65" i="6"/>
  <c r="J65" i="6"/>
  <c r="I65" i="6"/>
  <c r="C63" i="6"/>
  <c r="M63" i="6"/>
  <c r="K63" i="6"/>
  <c r="J63" i="6"/>
  <c r="I63" i="6"/>
  <c r="H63" i="6"/>
  <c r="G63" i="6"/>
  <c r="F63" i="6"/>
  <c r="E63" i="6"/>
  <c r="D63" i="6"/>
  <c r="L63" i="6"/>
  <c r="J61" i="6"/>
  <c r="I61" i="6"/>
  <c r="H61" i="6"/>
  <c r="G61" i="6"/>
  <c r="F61" i="6"/>
  <c r="E61" i="6"/>
  <c r="D61" i="6"/>
  <c r="C61" i="6"/>
  <c r="M61" i="6"/>
  <c r="L61" i="6"/>
  <c r="K61" i="6"/>
  <c r="C59" i="6"/>
  <c r="L59" i="6"/>
  <c r="H59" i="6"/>
  <c r="G59" i="6"/>
  <c r="F59" i="6"/>
  <c r="E59" i="6"/>
  <c r="D59" i="6"/>
  <c r="M59" i="6"/>
  <c r="K59" i="6"/>
  <c r="J59" i="6"/>
  <c r="I59" i="6"/>
  <c r="C35" i="6"/>
  <c r="J35" i="6"/>
  <c r="G35" i="6"/>
  <c r="D35" i="6"/>
  <c r="M35" i="6"/>
  <c r="L35" i="6"/>
  <c r="K35" i="6"/>
  <c r="I35" i="6"/>
  <c r="H35" i="6"/>
  <c r="F35" i="6"/>
  <c r="E35" i="6"/>
  <c r="M70" i="6"/>
  <c r="K70" i="6"/>
  <c r="I70" i="6"/>
  <c r="H70" i="6"/>
  <c r="G70" i="6"/>
  <c r="F70" i="6"/>
  <c r="E70" i="6"/>
  <c r="D70" i="6"/>
  <c r="C70" i="6"/>
  <c r="L70" i="6"/>
  <c r="J70" i="6"/>
  <c r="H68" i="6"/>
  <c r="G68" i="6"/>
  <c r="F68" i="6"/>
  <c r="E68" i="6"/>
  <c r="D68" i="6"/>
  <c r="C68" i="6"/>
  <c r="M68" i="6"/>
  <c r="L68" i="6"/>
  <c r="K68" i="6"/>
  <c r="J68" i="6"/>
  <c r="I68" i="6"/>
  <c r="J66" i="6"/>
  <c r="H66" i="6"/>
  <c r="G66" i="6"/>
  <c r="F66" i="6"/>
  <c r="E66" i="6"/>
  <c r="D66" i="6"/>
  <c r="C66" i="6"/>
  <c r="M66" i="6"/>
  <c r="L66" i="6"/>
  <c r="K66" i="6"/>
  <c r="I66" i="6"/>
  <c r="M64" i="6"/>
  <c r="L64" i="6"/>
  <c r="K64" i="6"/>
  <c r="J64" i="6"/>
  <c r="I64" i="6"/>
  <c r="H64" i="6"/>
  <c r="G64" i="6"/>
  <c r="F64" i="6"/>
  <c r="E64" i="6"/>
  <c r="D64" i="6"/>
  <c r="C64" i="6"/>
  <c r="M62" i="6"/>
  <c r="L62" i="6"/>
  <c r="K62" i="6"/>
  <c r="J62" i="6"/>
  <c r="I62" i="6"/>
  <c r="H62" i="6"/>
  <c r="G62" i="6"/>
  <c r="F62" i="6"/>
  <c r="E62" i="6"/>
  <c r="D62" i="6"/>
  <c r="C62" i="6"/>
  <c r="D60" i="6"/>
  <c r="L60" i="6"/>
  <c r="J60" i="6"/>
  <c r="H60" i="6"/>
  <c r="G60" i="6"/>
  <c r="F60" i="6"/>
  <c r="E60" i="6"/>
  <c r="C60" i="6"/>
  <c r="M60" i="6"/>
  <c r="K60" i="6"/>
  <c r="I60" i="6"/>
  <c r="D58" i="6"/>
  <c r="C58" i="6"/>
  <c r="L58" i="6"/>
  <c r="H58" i="6"/>
  <c r="G58" i="6"/>
  <c r="F58" i="6"/>
  <c r="E58" i="6"/>
  <c r="M58" i="6"/>
  <c r="K58" i="6"/>
  <c r="J58" i="6"/>
  <c r="I58" i="6"/>
  <c r="B34" i="15"/>
  <c r="B36" i="15"/>
  <c r="R33" i="15"/>
  <c r="E29" i="16"/>
  <c r="E19" i="16"/>
  <c r="E8" i="16"/>
  <c r="E6" i="16"/>
  <c r="E26" i="16"/>
  <c r="E30" i="16"/>
  <c r="E9" i="16"/>
  <c r="E16" i="16"/>
  <c r="E4" i="16"/>
  <c r="E34" i="16"/>
  <c r="E18" i="16"/>
  <c r="E31" i="16"/>
  <c r="E20" i="16"/>
  <c r="E32" i="16"/>
  <c r="E13" i="16"/>
  <c r="E3" i="16"/>
  <c r="E17" i="16"/>
  <c r="E14" i="16"/>
  <c r="E7" i="16"/>
  <c r="E35" i="16"/>
  <c r="E5" i="16"/>
  <c r="E15" i="16"/>
  <c r="E24" i="16"/>
  <c r="E33" i="16"/>
  <c r="E22" i="16"/>
  <c r="E28" i="16"/>
  <c r="E12" i="16"/>
  <c r="E21" i="16"/>
  <c r="E10" i="16"/>
  <c r="E25" i="16"/>
  <c r="E23" i="16"/>
  <c r="E11" i="16"/>
  <c r="E27" i="16"/>
  <c r="H30" i="16"/>
  <c r="H31" i="16"/>
  <c r="H5" i="16"/>
  <c r="H21" i="16"/>
  <c r="H6" i="16"/>
  <c r="H10" i="16"/>
  <c r="H7" i="16"/>
  <c r="H35" i="16"/>
  <c r="H29" i="16"/>
  <c r="H19" i="16"/>
  <c r="H20" i="16"/>
  <c r="H17" i="16"/>
  <c r="H8" i="16"/>
  <c r="H32" i="16"/>
  <c r="H25" i="16"/>
  <c r="H27" i="16"/>
  <c r="H23" i="16"/>
  <c r="H11" i="16"/>
  <c r="H28" i="16"/>
  <c r="H18" i="16"/>
  <c r="H13" i="16"/>
  <c r="H9" i="16"/>
  <c r="H15" i="16"/>
  <c r="H16" i="16"/>
  <c r="H26" i="16"/>
  <c r="H24" i="16"/>
  <c r="H4" i="16"/>
  <c r="H34" i="16"/>
  <c r="H14" i="16"/>
  <c r="H33" i="16"/>
  <c r="H22" i="16"/>
  <c r="H12" i="16"/>
  <c r="C57" i="6"/>
  <c r="J57" i="6"/>
  <c r="V14" i="18"/>
  <c r="S14" i="18"/>
  <c r="O14" i="18"/>
  <c r="W14" i="18"/>
  <c r="R32" i="15" l="1"/>
  <c r="D81" i="17"/>
  <c r="C81" i="17"/>
  <c r="K81" i="17"/>
  <c r="H81" i="4"/>
  <c r="G81" i="4"/>
  <c r="F81" i="17"/>
  <c r="E81" i="17"/>
  <c r="F81" i="4"/>
  <c r="E81" i="4"/>
  <c r="H81" i="17"/>
  <c r="G81" i="17"/>
  <c r="D81" i="4"/>
  <c r="C81" i="4"/>
  <c r="K81" i="4"/>
  <c r="J81" i="17"/>
  <c r="I81" i="17"/>
  <c r="J81" i="4"/>
  <c r="I81" i="4"/>
  <c r="C81" i="18"/>
  <c r="H81" i="18"/>
  <c r="D81" i="18"/>
  <c r="I81" i="18"/>
  <c r="G81" i="18"/>
  <c r="J81" i="18"/>
  <c r="F81" i="18"/>
  <c r="K81" i="18"/>
  <c r="E81" i="18"/>
  <c r="B32" i="15"/>
  <c r="C43" i="17"/>
  <c r="E43" i="17"/>
  <c r="G43" i="17"/>
  <c r="I43" i="17"/>
  <c r="K43" i="17"/>
  <c r="D43" i="17"/>
  <c r="F43" i="17"/>
  <c r="H43" i="17"/>
  <c r="J43" i="17"/>
  <c r="C43" i="4"/>
  <c r="E43" i="4"/>
  <c r="G43" i="4"/>
  <c r="I43" i="4"/>
  <c r="K43" i="4"/>
  <c r="F43" i="4"/>
  <c r="J43" i="4"/>
  <c r="D43" i="4"/>
  <c r="H43" i="4"/>
  <c r="E67" i="17"/>
  <c r="C67" i="4"/>
  <c r="F67" i="18"/>
  <c r="H67" i="17"/>
  <c r="H67" i="18"/>
  <c r="K67" i="18"/>
  <c r="D67" i="17"/>
  <c r="J67" i="4"/>
  <c r="G67" i="4"/>
  <c r="J67" i="18"/>
  <c r="C67" i="18"/>
  <c r="K67" i="4"/>
  <c r="D67" i="4"/>
  <c r="G67" i="17"/>
  <c r="G67" i="18"/>
  <c r="H67" i="4"/>
  <c r="K67" i="17"/>
  <c r="I67" i="17"/>
  <c r="E67" i="4"/>
  <c r="J67" i="17"/>
  <c r="I67" i="18"/>
  <c r="C67" i="17"/>
  <c r="F67" i="4"/>
  <c r="I67" i="4"/>
  <c r="F67" i="17"/>
  <c r="E67" i="18"/>
  <c r="D67" i="18"/>
  <c r="J70" i="4"/>
  <c r="H70" i="18"/>
  <c r="G70" i="17"/>
  <c r="C70" i="4"/>
  <c r="J70" i="17"/>
  <c r="I70" i="18"/>
  <c r="F70" i="4"/>
  <c r="J70" i="18"/>
  <c r="D70" i="4"/>
  <c r="E70" i="17"/>
  <c r="E70" i="18"/>
  <c r="K70" i="17"/>
  <c r="G70" i="4"/>
  <c r="K70" i="4"/>
  <c r="D70" i="17"/>
  <c r="C70" i="18"/>
  <c r="K70" i="18"/>
  <c r="H70" i="4"/>
  <c r="F70" i="17"/>
  <c r="D70" i="18"/>
  <c r="C70" i="17"/>
  <c r="E70" i="4"/>
  <c r="I70" i="4"/>
  <c r="I70" i="17"/>
  <c r="H70" i="17"/>
  <c r="G70" i="18"/>
  <c r="F70" i="18"/>
  <c r="G68" i="17"/>
  <c r="J68" i="17"/>
  <c r="E68" i="4"/>
  <c r="J68" i="18"/>
  <c r="E68" i="18"/>
  <c r="E68" i="17"/>
  <c r="G68" i="4"/>
  <c r="H68" i="18"/>
  <c r="F68" i="17"/>
  <c r="C68" i="4"/>
  <c r="D68" i="18"/>
  <c r="K68" i="4"/>
  <c r="I68" i="4"/>
  <c r="I68" i="18"/>
  <c r="D68" i="4"/>
  <c r="H68" i="4"/>
  <c r="C68" i="17"/>
  <c r="I68" i="17"/>
  <c r="H68" i="17"/>
  <c r="G68" i="18"/>
  <c r="F68" i="18"/>
  <c r="F68" i="4"/>
  <c r="J68" i="4"/>
  <c r="K68" i="17"/>
  <c r="D68" i="17"/>
  <c r="C68" i="18"/>
  <c r="K68" i="18"/>
  <c r="I74" i="18"/>
  <c r="F74" i="4"/>
  <c r="C74" i="4"/>
  <c r="J74" i="18"/>
  <c r="E74" i="18"/>
  <c r="E74" i="17"/>
  <c r="D74" i="4"/>
  <c r="J74" i="4"/>
  <c r="H74" i="18"/>
  <c r="C74" i="17"/>
  <c r="E74" i="4"/>
  <c r="D74" i="18"/>
  <c r="F74" i="17"/>
  <c r="H74" i="4"/>
  <c r="G74" i="17"/>
  <c r="J74" i="17"/>
  <c r="K74" i="17"/>
  <c r="I74" i="4"/>
  <c r="I74" i="17"/>
  <c r="H74" i="17"/>
  <c r="G74" i="18"/>
  <c r="F74" i="18"/>
  <c r="G74" i="4"/>
  <c r="K74" i="4"/>
  <c r="D74" i="17"/>
  <c r="C74" i="18"/>
  <c r="K74" i="18"/>
  <c r="C75" i="4"/>
  <c r="F75" i="18"/>
  <c r="F75" i="4"/>
  <c r="H75" i="17"/>
  <c r="J75" i="18"/>
  <c r="C75" i="18"/>
  <c r="H75" i="4"/>
  <c r="G75" i="17"/>
  <c r="J75" i="4"/>
  <c r="H75" i="18"/>
  <c r="K75" i="18"/>
  <c r="D75" i="17"/>
  <c r="D75" i="4"/>
  <c r="E75" i="17"/>
  <c r="G75" i="18"/>
  <c r="K75" i="17"/>
  <c r="E75" i="4"/>
  <c r="I75" i="4"/>
  <c r="F75" i="17"/>
  <c r="E75" i="18"/>
  <c r="D75" i="18"/>
  <c r="C75" i="17"/>
  <c r="I75" i="17"/>
  <c r="G75" i="4"/>
  <c r="K75" i="4"/>
  <c r="J75" i="17"/>
  <c r="I75" i="18"/>
  <c r="C77" i="4"/>
  <c r="E77" i="18"/>
  <c r="H77" i="18"/>
  <c r="J77" i="17"/>
  <c r="G77" i="4"/>
  <c r="G77" i="17"/>
  <c r="E77" i="4"/>
  <c r="D77" i="18"/>
  <c r="I77" i="4"/>
  <c r="J77" i="18"/>
  <c r="I77" i="18"/>
  <c r="K77" i="4"/>
  <c r="I77" i="17"/>
  <c r="F77" i="17"/>
  <c r="K77" i="17"/>
  <c r="D77" i="4"/>
  <c r="H77" i="4"/>
  <c r="D77" i="17"/>
  <c r="C77" i="18"/>
  <c r="K77" i="18"/>
  <c r="C77" i="17"/>
  <c r="E77" i="17"/>
  <c r="F77" i="4"/>
  <c r="J77" i="4"/>
  <c r="H77" i="17"/>
  <c r="G77" i="18"/>
  <c r="F77" i="18"/>
  <c r="K72" i="18"/>
  <c r="J72" i="18"/>
  <c r="K72" i="17"/>
  <c r="D72" i="17"/>
  <c r="J72" i="4"/>
  <c r="C72" i="18"/>
  <c r="D72" i="4"/>
  <c r="C72" i="17"/>
  <c r="H72" i="17"/>
  <c r="F72" i="18"/>
  <c r="E72" i="4"/>
  <c r="I72" i="4"/>
  <c r="G72" i="17"/>
  <c r="C72" i="4"/>
  <c r="J72" i="17"/>
  <c r="I72" i="18"/>
  <c r="F72" i="4"/>
  <c r="H72" i="18"/>
  <c r="H72" i="4"/>
  <c r="I72" i="17"/>
  <c r="G72" i="18"/>
  <c r="G72" i="4"/>
  <c r="E72" i="17"/>
  <c r="E72" i="18"/>
  <c r="K72" i="4"/>
  <c r="F72" i="17"/>
  <c r="D72" i="18"/>
  <c r="C76" i="18"/>
  <c r="F76" i="4"/>
  <c r="K76" i="17"/>
  <c r="J76" i="18"/>
  <c r="F76" i="18"/>
  <c r="H76" i="17"/>
  <c r="C76" i="17"/>
  <c r="D76" i="4"/>
  <c r="D76" i="17"/>
  <c r="H76" i="18"/>
  <c r="G76" i="18"/>
  <c r="I76" i="17"/>
  <c r="H76" i="4"/>
  <c r="J76" i="4"/>
  <c r="K76" i="18"/>
  <c r="G76" i="4"/>
  <c r="K76" i="4"/>
  <c r="E76" i="17"/>
  <c r="F76" i="17"/>
  <c r="E76" i="18"/>
  <c r="D76" i="18"/>
  <c r="E76" i="4"/>
  <c r="I76" i="4"/>
  <c r="G76" i="17"/>
  <c r="C76" i="4"/>
  <c r="J76" i="17"/>
  <c r="I76" i="18"/>
  <c r="F78" i="17"/>
  <c r="H78" i="18"/>
  <c r="J78" i="17"/>
  <c r="J78" i="4"/>
  <c r="G78" i="17"/>
  <c r="D78" i="4"/>
  <c r="E78" i="18"/>
  <c r="D78" i="18"/>
  <c r="H78" i="4"/>
  <c r="J78" i="18"/>
  <c r="I78" i="18"/>
  <c r="C78" i="4"/>
  <c r="F78" i="4"/>
  <c r="E78" i="17"/>
  <c r="K78" i="17"/>
  <c r="G78" i="4"/>
  <c r="K78" i="4"/>
  <c r="D78" i="17"/>
  <c r="C78" i="18"/>
  <c r="K78" i="18"/>
  <c r="C78" i="17"/>
  <c r="E78" i="4"/>
  <c r="I78" i="4"/>
  <c r="I78" i="17"/>
  <c r="H78" i="17"/>
  <c r="G78" i="18"/>
  <c r="F78" i="18"/>
  <c r="G80" i="18"/>
  <c r="H80" i="4"/>
  <c r="E80" i="17"/>
  <c r="J80" i="18"/>
  <c r="C80" i="18"/>
  <c r="K80" i="17"/>
  <c r="F80" i="4"/>
  <c r="C80" i="17"/>
  <c r="F80" i="18"/>
  <c r="H80" i="18"/>
  <c r="K80" i="18"/>
  <c r="D80" i="17"/>
  <c r="J80" i="4"/>
  <c r="D80" i="4"/>
  <c r="H80" i="17"/>
  <c r="E80" i="4"/>
  <c r="I80" i="4"/>
  <c r="G80" i="17"/>
  <c r="I80" i="17"/>
  <c r="J80" i="17"/>
  <c r="I80" i="18"/>
  <c r="G80" i="4"/>
  <c r="K80" i="4"/>
  <c r="C80" i="4"/>
  <c r="F80" i="17"/>
  <c r="E80" i="18"/>
  <c r="D80" i="18"/>
  <c r="C69" i="18"/>
  <c r="H69" i="4"/>
  <c r="J69" i="18"/>
  <c r="K69" i="17"/>
  <c r="F69" i="18"/>
  <c r="H69" i="17"/>
  <c r="F69" i="4"/>
  <c r="C69" i="17"/>
  <c r="D69" i="4"/>
  <c r="K69" i="18"/>
  <c r="H69" i="18"/>
  <c r="G69" i="18"/>
  <c r="J69" i="4"/>
  <c r="E69" i="17"/>
  <c r="D69" i="17"/>
  <c r="G69" i="17"/>
  <c r="I69" i="17"/>
  <c r="G69" i="4"/>
  <c r="K69" i="4"/>
  <c r="J69" i="17"/>
  <c r="I69" i="18"/>
  <c r="C69" i="4"/>
  <c r="E69" i="4"/>
  <c r="I69" i="4"/>
  <c r="F69" i="17"/>
  <c r="E69" i="18"/>
  <c r="D69" i="18"/>
  <c r="I71" i="4"/>
  <c r="E71" i="18"/>
  <c r="H71" i="18"/>
  <c r="J71" i="17"/>
  <c r="G71" i="4"/>
  <c r="C71" i="17"/>
  <c r="E71" i="4"/>
  <c r="D71" i="18"/>
  <c r="K71" i="17"/>
  <c r="J71" i="18"/>
  <c r="I71" i="18"/>
  <c r="K71" i="4"/>
  <c r="I71" i="17"/>
  <c r="F71" i="17"/>
  <c r="C71" i="4"/>
  <c r="E71" i="17"/>
  <c r="F71" i="4"/>
  <c r="J71" i="4"/>
  <c r="H71" i="17"/>
  <c r="G71" i="18"/>
  <c r="F71" i="18"/>
  <c r="G71" i="17"/>
  <c r="D71" i="4"/>
  <c r="H71" i="4"/>
  <c r="D71" i="17"/>
  <c r="C71" i="18"/>
  <c r="K71" i="18"/>
  <c r="D73" i="17"/>
  <c r="K73" i="18"/>
  <c r="D73" i="4"/>
  <c r="F73" i="18"/>
  <c r="H73" i="17"/>
  <c r="F73" i="4"/>
  <c r="C73" i="17"/>
  <c r="K73" i="17"/>
  <c r="C73" i="18"/>
  <c r="H73" i="18"/>
  <c r="G73" i="18"/>
  <c r="J73" i="4"/>
  <c r="E73" i="17"/>
  <c r="H73" i="4"/>
  <c r="J73" i="18"/>
  <c r="C73" i="4"/>
  <c r="E73" i="4"/>
  <c r="I73" i="4"/>
  <c r="F73" i="17"/>
  <c r="E73" i="18"/>
  <c r="D73" i="18"/>
  <c r="G73" i="17"/>
  <c r="I73" i="17"/>
  <c r="G73" i="4"/>
  <c r="K73" i="4"/>
  <c r="J73" i="17"/>
  <c r="I73" i="18"/>
  <c r="I79" i="18"/>
  <c r="K79" i="4"/>
  <c r="I79" i="17"/>
  <c r="D79" i="18"/>
  <c r="F79" i="17"/>
  <c r="E79" i="4"/>
  <c r="C79" i="17"/>
  <c r="J79" i="17"/>
  <c r="J79" i="18"/>
  <c r="E79" i="18"/>
  <c r="I79" i="4"/>
  <c r="K79" i="17"/>
  <c r="G79" i="4"/>
  <c r="H79" i="18"/>
  <c r="G79" i="17"/>
  <c r="D79" i="4"/>
  <c r="H79" i="4"/>
  <c r="D79" i="17"/>
  <c r="C79" i="18"/>
  <c r="K79" i="18"/>
  <c r="C79" i="4"/>
  <c r="E79" i="17"/>
  <c r="F79" i="4"/>
  <c r="J79" i="4"/>
  <c r="H79" i="17"/>
  <c r="G79" i="18"/>
  <c r="F79" i="18"/>
  <c r="R35" i="15"/>
  <c r="B35" i="15"/>
  <c r="C63" i="18"/>
  <c r="I63" i="18"/>
  <c r="K63" i="18"/>
  <c r="F63" i="18"/>
  <c r="J63" i="18"/>
  <c r="E63" i="18"/>
  <c r="G63" i="18"/>
  <c r="J43" i="18" l="1"/>
  <c r="G43" i="18"/>
  <c r="F43" i="18"/>
  <c r="D43" i="18"/>
  <c r="I43" i="18"/>
  <c r="K43" i="18"/>
  <c r="C43" i="18"/>
  <c r="H43" i="18"/>
  <c r="E43" i="18"/>
  <c r="B75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8" i="6"/>
  <c r="B3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53" i="6"/>
  <c r="K53" i="6" l="1"/>
  <c r="I53" i="6"/>
  <c r="H53" i="6"/>
  <c r="G53" i="6"/>
  <c r="E53" i="6"/>
  <c r="D53" i="6"/>
  <c r="M53" i="6"/>
  <c r="L53" i="6"/>
  <c r="J53" i="6"/>
  <c r="F53" i="6"/>
  <c r="C53" i="6"/>
  <c r="M47" i="6"/>
  <c r="L47" i="6"/>
  <c r="K47" i="6"/>
  <c r="J47" i="6"/>
  <c r="I47" i="6"/>
  <c r="G47" i="6"/>
  <c r="F47" i="6"/>
  <c r="E47" i="6"/>
  <c r="C47" i="6"/>
  <c r="H47" i="6"/>
  <c r="D47" i="6"/>
  <c r="M45" i="6"/>
  <c r="L45" i="6"/>
  <c r="K45" i="6"/>
  <c r="J45" i="6"/>
  <c r="I45" i="6"/>
  <c r="F45" i="6"/>
  <c r="E45" i="6"/>
  <c r="C45" i="6"/>
  <c r="H45" i="6"/>
  <c r="G45" i="6"/>
  <c r="D45" i="6"/>
  <c r="M43" i="6"/>
  <c r="L43" i="6"/>
  <c r="K43" i="6"/>
  <c r="J43" i="6"/>
  <c r="I43" i="6"/>
  <c r="H43" i="6"/>
  <c r="G43" i="6"/>
  <c r="E43" i="6"/>
  <c r="D43" i="6"/>
  <c r="C43" i="6"/>
  <c r="F43" i="6"/>
  <c r="C41" i="6"/>
  <c r="M41" i="6"/>
  <c r="L41" i="6"/>
  <c r="K41" i="6"/>
  <c r="J41" i="6"/>
  <c r="I41" i="6"/>
  <c r="H41" i="6"/>
  <c r="E41" i="6"/>
  <c r="D41" i="6"/>
  <c r="G41" i="6"/>
  <c r="F41" i="6"/>
  <c r="M39" i="6"/>
  <c r="L39" i="6"/>
  <c r="K39" i="6"/>
  <c r="J39" i="6"/>
  <c r="I39" i="6"/>
  <c r="H39" i="6"/>
  <c r="F39" i="6"/>
  <c r="G39" i="6"/>
  <c r="E39" i="6"/>
  <c r="D39" i="6"/>
  <c r="C39" i="6"/>
  <c r="C37" i="6"/>
  <c r="M37" i="6"/>
  <c r="L37" i="6"/>
  <c r="K37" i="6"/>
  <c r="J37" i="6"/>
  <c r="I37" i="6"/>
  <c r="G37" i="6"/>
  <c r="F37" i="6"/>
  <c r="H37" i="6"/>
  <c r="E37" i="6"/>
  <c r="D37" i="6"/>
  <c r="M48" i="6"/>
  <c r="L48" i="6"/>
  <c r="K48" i="6"/>
  <c r="J48" i="6"/>
  <c r="I48" i="6"/>
  <c r="H48" i="6"/>
  <c r="G48" i="6"/>
  <c r="F48" i="6"/>
  <c r="E48" i="6"/>
  <c r="D48" i="6"/>
  <c r="C48" i="6"/>
  <c r="M46" i="6"/>
  <c r="L46" i="6"/>
  <c r="K46" i="6"/>
  <c r="J46" i="6"/>
  <c r="I46" i="6"/>
  <c r="H46" i="6"/>
  <c r="D46" i="6"/>
  <c r="G46" i="6"/>
  <c r="F46" i="6"/>
  <c r="E46" i="6"/>
  <c r="C46" i="6"/>
  <c r="M44" i="6"/>
  <c r="L44" i="6"/>
  <c r="K44" i="6"/>
  <c r="J44" i="6"/>
  <c r="I44" i="6"/>
  <c r="F44" i="6"/>
  <c r="D44" i="6"/>
  <c r="C44" i="6"/>
  <c r="H44" i="6"/>
  <c r="G44" i="6"/>
  <c r="E44" i="6"/>
  <c r="M42" i="6"/>
  <c r="L42" i="6"/>
  <c r="K42" i="6"/>
  <c r="J42" i="6"/>
  <c r="I42" i="6"/>
  <c r="H42" i="6"/>
  <c r="G42" i="6"/>
  <c r="E42" i="6"/>
  <c r="D42" i="6"/>
  <c r="C42" i="6"/>
  <c r="F42" i="6"/>
  <c r="M40" i="6"/>
  <c r="L40" i="6"/>
  <c r="K40" i="6"/>
  <c r="J40" i="6"/>
  <c r="I40" i="6"/>
  <c r="H40" i="6"/>
  <c r="G40" i="6"/>
  <c r="E40" i="6"/>
  <c r="F40" i="6"/>
  <c r="D40" i="6"/>
  <c r="C40" i="6"/>
  <c r="D38" i="6"/>
  <c r="M38" i="6"/>
  <c r="L38" i="6"/>
  <c r="K38" i="6"/>
  <c r="J38" i="6"/>
  <c r="I38" i="6"/>
  <c r="H38" i="6"/>
  <c r="F38" i="6"/>
  <c r="G38" i="6"/>
  <c r="E38" i="6"/>
  <c r="C38" i="6"/>
  <c r="D36" i="6"/>
  <c r="C36" i="6"/>
  <c r="M36" i="6"/>
  <c r="L36" i="6"/>
  <c r="K36" i="6"/>
  <c r="J36" i="6"/>
  <c r="I36" i="6"/>
  <c r="H36" i="6"/>
  <c r="G36" i="6"/>
  <c r="F36" i="6"/>
  <c r="E36" i="6"/>
  <c r="M75" i="6"/>
  <c r="L75" i="6"/>
  <c r="J75" i="6"/>
  <c r="F75" i="6"/>
  <c r="C75" i="6"/>
  <c r="K75" i="6"/>
  <c r="I75" i="6"/>
  <c r="H75" i="6"/>
  <c r="G75" i="6"/>
  <c r="E75" i="6"/>
  <c r="D75" i="6"/>
  <c r="AC2" i="3"/>
  <c r="AB2" i="3"/>
  <c r="AA2" i="3"/>
  <c r="M2" i="3"/>
  <c r="C57" i="17" l="1"/>
  <c r="E57" i="17"/>
  <c r="G57" i="17"/>
  <c r="I57" i="17"/>
  <c r="K57" i="17"/>
  <c r="C57" i="4"/>
  <c r="G57" i="4"/>
  <c r="K57" i="4"/>
  <c r="H57" i="4"/>
  <c r="J57" i="4"/>
  <c r="D57" i="17"/>
  <c r="F57" i="17"/>
  <c r="H57" i="17"/>
  <c r="J57" i="17"/>
  <c r="E57" i="4"/>
  <c r="I57" i="4"/>
  <c r="I57" i="18" s="1"/>
  <c r="D57" i="4"/>
  <c r="F57" i="4"/>
  <c r="F86" i="17"/>
  <c r="J86" i="17"/>
  <c r="E86" i="17"/>
  <c r="I86" i="17"/>
  <c r="D86" i="4"/>
  <c r="H86" i="4"/>
  <c r="C86" i="4"/>
  <c r="G86" i="4"/>
  <c r="K86" i="4"/>
  <c r="D86" i="17"/>
  <c r="H86" i="17"/>
  <c r="C86" i="17"/>
  <c r="G86" i="17"/>
  <c r="K86" i="17"/>
  <c r="F86" i="4"/>
  <c r="J86" i="4"/>
  <c r="E86" i="4"/>
  <c r="I86" i="4"/>
  <c r="C86" i="18"/>
  <c r="H86" i="18"/>
  <c r="D86" i="18"/>
  <c r="I86" i="18"/>
  <c r="E86" i="18"/>
  <c r="J86" i="18"/>
  <c r="F86" i="18"/>
  <c r="K86" i="18"/>
  <c r="G86" i="18"/>
  <c r="C62" i="17"/>
  <c r="G62" i="17"/>
  <c r="K62" i="17"/>
  <c r="F62" i="17"/>
  <c r="J62" i="17"/>
  <c r="F62" i="4"/>
  <c r="J62" i="4"/>
  <c r="J62" i="18" s="1"/>
  <c r="E62" i="4"/>
  <c r="I62" i="4"/>
  <c r="E62" i="17"/>
  <c r="I62" i="17"/>
  <c r="D62" i="17"/>
  <c r="H62" i="17"/>
  <c r="D62" i="4"/>
  <c r="D62" i="18" s="1"/>
  <c r="H62" i="4"/>
  <c r="C62" i="4"/>
  <c r="G62" i="4"/>
  <c r="K62" i="4"/>
  <c r="C44" i="17"/>
  <c r="D44" i="17"/>
  <c r="F44" i="17"/>
  <c r="H44" i="17"/>
  <c r="J44" i="17"/>
  <c r="E44" i="17"/>
  <c r="G44" i="17"/>
  <c r="I44" i="17"/>
  <c r="K44" i="17"/>
  <c r="C48" i="17"/>
  <c r="D48" i="17"/>
  <c r="F48" i="17"/>
  <c r="H48" i="17"/>
  <c r="J48" i="17"/>
  <c r="E48" i="17"/>
  <c r="G48" i="17"/>
  <c r="I48" i="17"/>
  <c r="K48" i="17"/>
  <c r="C50" i="17"/>
  <c r="E50" i="17"/>
  <c r="G50" i="17"/>
  <c r="I50" i="17"/>
  <c r="K50" i="17"/>
  <c r="D50" i="17"/>
  <c r="F50" i="17"/>
  <c r="H50" i="17"/>
  <c r="J50" i="17"/>
  <c r="D56" i="17"/>
  <c r="F56" i="17"/>
  <c r="H56" i="17"/>
  <c r="J56" i="17"/>
  <c r="C56" i="17"/>
  <c r="E56" i="17"/>
  <c r="G56" i="17"/>
  <c r="I56" i="17"/>
  <c r="K56" i="17"/>
  <c r="C47" i="17"/>
  <c r="D47" i="17"/>
  <c r="E47" i="17"/>
  <c r="F47" i="17"/>
  <c r="G47" i="17"/>
  <c r="H47" i="17"/>
  <c r="I47" i="17"/>
  <c r="J47" i="17"/>
  <c r="K47" i="17"/>
  <c r="C53" i="17"/>
  <c r="D53" i="17"/>
  <c r="E53" i="17"/>
  <c r="F53" i="17"/>
  <c r="G53" i="17"/>
  <c r="H53" i="17"/>
  <c r="I53" i="17"/>
  <c r="J53" i="17"/>
  <c r="K53" i="17"/>
  <c r="C55" i="17"/>
  <c r="D55" i="17"/>
  <c r="E55" i="17"/>
  <c r="F55" i="17"/>
  <c r="G55" i="17"/>
  <c r="H55" i="17"/>
  <c r="I55" i="17"/>
  <c r="J55" i="17"/>
  <c r="K55" i="17"/>
  <c r="C46" i="17"/>
  <c r="E46" i="17"/>
  <c r="G46" i="17"/>
  <c r="I46" i="17"/>
  <c r="K46" i="17"/>
  <c r="D46" i="17"/>
  <c r="F46" i="17"/>
  <c r="H46" i="17"/>
  <c r="J46" i="17"/>
  <c r="D52" i="17"/>
  <c r="F52" i="17"/>
  <c r="H52" i="17"/>
  <c r="J52" i="17"/>
  <c r="C52" i="17"/>
  <c r="E52" i="17"/>
  <c r="G52" i="17"/>
  <c r="I52" i="17"/>
  <c r="K52" i="17"/>
  <c r="C54" i="17"/>
  <c r="E54" i="17"/>
  <c r="G54" i="17"/>
  <c r="I54" i="17"/>
  <c r="K54" i="17"/>
  <c r="D54" i="17"/>
  <c r="F54" i="17"/>
  <c r="H54" i="17"/>
  <c r="J54" i="17"/>
  <c r="C45" i="17"/>
  <c r="D45" i="17"/>
  <c r="E45" i="17"/>
  <c r="F45" i="17"/>
  <c r="G45" i="17"/>
  <c r="H45" i="17"/>
  <c r="I45" i="17"/>
  <c r="J45" i="17"/>
  <c r="K45" i="17"/>
  <c r="C49" i="17"/>
  <c r="D49" i="17"/>
  <c r="E49" i="17"/>
  <c r="F49" i="17"/>
  <c r="G49" i="17"/>
  <c r="H49" i="17"/>
  <c r="I49" i="17"/>
  <c r="J49" i="17"/>
  <c r="K49" i="17"/>
  <c r="C51" i="17"/>
  <c r="D51" i="17"/>
  <c r="E51" i="17"/>
  <c r="F51" i="17"/>
  <c r="G51" i="17"/>
  <c r="H51" i="17"/>
  <c r="I51" i="17"/>
  <c r="J51" i="17"/>
  <c r="K51" i="17"/>
  <c r="C61" i="17"/>
  <c r="D61" i="17"/>
  <c r="E61" i="17"/>
  <c r="F61" i="17"/>
  <c r="G61" i="17"/>
  <c r="H61" i="17"/>
  <c r="I61" i="17"/>
  <c r="J61" i="17"/>
  <c r="K61" i="17"/>
  <c r="D44" i="4"/>
  <c r="F44" i="4"/>
  <c r="H44" i="4"/>
  <c r="J44" i="4"/>
  <c r="C44" i="4"/>
  <c r="G44" i="4"/>
  <c r="K44" i="4"/>
  <c r="E44" i="4"/>
  <c r="I44" i="4"/>
  <c r="D48" i="4"/>
  <c r="F48" i="4"/>
  <c r="H48" i="4"/>
  <c r="J48" i="4"/>
  <c r="C48" i="4"/>
  <c r="G48" i="4"/>
  <c r="K48" i="4"/>
  <c r="E48" i="4"/>
  <c r="I48" i="4"/>
  <c r="D50" i="4"/>
  <c r="F50" i="4"/>
  <c r="H50" i="4"/>
  <c r="J50" i="4"/>
  <c r="E50" i="4"/>
  <c r="I50" i="4"/>
  <c r="C50" i="4"/>
  <c r="G50" i="4"/>
  <c r="K50" i="4"/>
  <c r="D56" i="4"/>
  <c r="F56" i="4"/>
  <c r="H56" i="4"/>
  <c r="J56" i="4"/>
  <c r="C56" i="4"/>
  <c r="G56" i="4"/>
  <c r="K56" i="4"/>
  <c r="E56" i="4"/>
  <c r="I56" i="4"/>
  <c r="C47" i="4"/>
  <c r="E47" i="4"/>
  <c r="G47" i="4"/>
  <c r="I47" i="4"/>
  <c r="K47" i="4"/>
  <c r="F47" i="4"/>
  <c r="J47" i="4"/>
  <c r="D47" i="4"/>
  <c r="H47" i="4"/>
  <c r="C53" i="4"/>
  <c r="C53" i="18" s="1"/>
  <c r="E53" i="4"/>
  <c r="G53" i="4"/>
  <c r="I53" i="4"/>
  <c r="K53" i="4"/>
  <c r="D53" i="4"/>
  <c r="H53" i="4"/>
  <c r="F53" i="4"/>
  <c r="J53" i="4"/>
  <c r="C55" i="4"/>
  <c r="E55" i="4"/>
  <c r="G55" i="4"/>
  <c r="I55" i="4"/>
  <c r="K55" i="4"/>
  <c r="K55" i="18" s="1"/>
  <c r="F55" i="4"/>
  <c r="J55" i="4"/>
  <c r="D55" i="4"/>
  <c r="H55" i="4"/>
  <c r="D46" i="4"/>
  <c r="F46" i="4"/>
  <c r="H46" i="4"/>
  <c r="J46" i="4"/>
  <c r="E46" i="4"/>
  <c r="I46" i="4"/>
  <c r="C46" i="4"/>
  <c r="G46" i="4"/>
  <c r="K46" i="4"/>
  <c r="D52" i="4"/>
  <c r="F52" i="4"/>
  <c r="H52" i="4"/>
  <c r="J52" i="4"/>
  <c r="C52" i="4"/>
  <c r="G52" i="4"/>
  <c r="K52" i="4"/>
  <c r="K52" i="18" s="1"/>
  <c r="E52" i="4"/>
  <c r="I52" i="4"/>
  <c r="D54" i="4"/>
  <c r="F54" i="4"/>
  <c r="H54" i="4"/>
  <c r="J54" i="4"/>
  <c r="E54" i="4"/>
  <c r="I54" i="4"/>
  <c r="I54" i="18" s="1"/>
  <c r="C54" i="4"/>
  <c r="G54" i="4"/>
  <c r="K54" i="4"/>
  <c r="K54" i="18" s="1"/>
  <c r="C45" i="4"/>
  <c r="E45" i="4"/>
  <c r="G45" i="4"/>
  <c r="I45" i="4"/>
  <c r="K45" i="4"/>
  <c r="D45" i="4"/>
  <c r="H45" i="4"/>
  <c r="F45" i="4"/>
  <c r="J45" i="4"/>
  <c r="C49" i="4"/>
  <c r="E49" i="4"/>
  <c r="G49" i="4"/>
  <c r="I49" i="4"/>
  <c r="K49" i="4"/>
  <c r="D49" i="4"/>
  <c r="H49" i="4"/>
  <c r="F49" i="4"/>
  <c r="J49" i="4"/>
  <c r="C51" i="4"/>
  <c r="E51" i="4"/>
  <c r="G51" i="4"/>
  <c r="I51" i="4"/>
  <c r="K51" i="4"/>
  <c r="F51" i="4"/>
  <c r="J51" i="4"/>
  <c r="D51" i="4"/>
  <c r="H51" i="4"/>
  <c r="C61" i="4"/>
  <c r="E61" i="4"/>
  <c r="G61" i="4"/>
  <c r="I61" i="4"/>
  <c r="D61" i="4"/>
  <c r="H61" i="4"/>
  <c r="F61" i="4"/>
  <c r="J61" i="4"/>
  <c r="K61" i="4"/>
  <c r="F85" i="17"/>
  <c r="E85" i="4"/>
  <c r="D85" i="17"/>
  <c r="K85" i="17"/>
  <c r="F85" i="4"/>
  <c r="H85" i="4"/>
  <c r="K85" i="4"/>
  <c r="I85" i="4"/>
  <c r="C85" i="4"/>
  <c r="I85" i="18"/>
  <c r="C85" i="18"/>
  <c r="H85" i="18"/>
  <c r="D85" i="18"/>
  <c r="G85" i="18"/>
  <c r="E85" i="17"/>
  <c r="D85" i="4"/>
  <c r="C85" i="17"/>
  <c r="G85" i="4"/>
  <c r="I85" i="17"/>
  <c r="G85" i="17"/>
  <c r="J85" i="17"/>
  <c r="H85" i="17"/>
  <c r="J85" i="4"/>
  <c r="E85" i="18"/>
  <c r="J85" i="18"/>
  <c r="F85" i="18"/>
  <c r="K85" i="18"/>
  <c r="J16" i="15"/>
  <c r="J14" i="15"/>
  <c r="U2" i="2"/>
  <c r="U3" i="2"/>
  <c r="U4" i="2"/>
  <c r="U5" i="2"/>
  <c r="U6" i="2"/>
  <c r="U7" i="2"/>
  <c r="U8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W3" i="2"/>
  <c r="W4" i="2"/>
  <c r="W5" i="2"/>
  <c r="W6" i="2"/>
  <c r="W7" i="2"/>
  <c r="W8" i="2"/>
  <c r="W10" i="2"/>
  <c r="V4" i="15" s="1"/>
  <c r="W11" i="2"/>
  <c r="W12" i="2"/>
  <c r="W13" i="2"/>
  <c r="W14" i="2"/>
  <c r="W15" i="2"/>
  <c r="W16" i="2"/>
  <c r="W22" i="2"/>
  <c r="W23" i="2"/>
  <c r="W24" i="2"/>
  <c r="W25" i="2"/>
  <c r="W26" i="2"/>
  <c r="W27" i="2"/>
  <c r="W28" i="2"/>
  <c r="W29" i="2"/>
  <c r="W30" i="2"/>
  <c r="W2" i="2"/>
  <c r="V3" i="2"/>
  <c r="V4" i="2"/>
  <c r="V5" i="2"/>
  <c r="V6" i="2"/>
  <c r="V7" i="2"/>
  <c r="V8" i="2"/>
  <c r="V10" i="2"/>
  <c r="V11" i="2"/>
  <c r="V12" i="2"/>
  <c r="V13" i="2"/>
  <c r="V14" i="2"/>
  <c r="V15" i="2"/>
  <c r="V16" i="2"/>
  <c r="V22" i="2"/>
  <c r="V23" i="2"/>
  <c r="V24" i="2"/>
  <c r="V25" i="2"/>
  <c r="V26" i="2"/>
  <c r="V27" i="2"/>
  <c r="V28" i="2"/>
  <c r="V29" i="2"/>
  <c r="V30" i="2"/>
  <c r="V2" i="2"/>
  <c r="C49" i="18" l="1"/>
  <c r="H62" i="18"/>
  <c r="F62" i="18"/>
  <c r="G47" i="18"/>
  <c r="K56" i="18"/>
  <c r="G57" i="18"/>
  <c r="K44" i="18"/>
  <c r="F56" i="18"/>
  <c r="F57" i="18"/>
  <c r="C61" i="18"/>
  <c r="I46" i="18"/>
  <c r="C45" i="18"/>
  <c r="K46" i="18"/>
  <c r="D57" i="18"/>
  <c r="V3" i="15"/>
  <c r="G62" i="18"/>
  <c r="C52" i="18"/>
  <c r="F3" i="15"/>
  <c r="C51" i="18"/>
  <c r="C57" i="18"/>
  <c r="K57" i="18"/>
  <c r="K62" i="18"/>
  <c r="C62" i="18"/>
  <c r="E57" i="18"/>
  <c r="I62" i="18"/>
  <c r="J57" i="18"/>
  <c r="E62" i="18"/>
  <c r="H57" i="18"/>
  <c r="F4" i="15"/>
  <c r="D61" i="18"/>
  <c r="H49" i="18"/>
  <c r="I45" i="18"/>
  <c r="E55" i="18"/>
  <c r="H53" i="18"/>
  <c r="E47" i="18"/>
  <c r="F50" i="18"/>
  <c r="G44" i="18"/>
  <c r="F44" i="18"/>
  <c r="H45" i="18"/>
  <c r="I53" i="18"/>
  <c r="H51" i="18"/>
  <c r="F48" i="18"/>
  <c r="F54" i="18"/>
  <c r="F46" i="18"/>
  <c r="H55" i="18"/>
  <c r="H47" i="18"/>
  <c r="G56" i="18"/>
  <c r="F61" i="18"/>
  <c r="G61" i="18"/>
  <c r="I61" i="18"/>
  <c r="E61" i="18"/>
  <c r="K61" i="18"/>
  <c r="H61" i="18"/>
  <c r="J61" i="18"/>
  <c r="G48" i="18"/>
  <c r="K50" i="18"/>
  <c r="I49" i="18"/>
  <c r="F52" i="18"/>
  <c r="K48" i="18"/>
  <c r="C44" i="18"/>
  <c r="E53" i="18"/>
  <c r="I44" i="18"/>
  <c r="E51" i="18"/>
  <c r="C47" i="18"/>
  <c r="H50" i="18"/>
  <c r="D48" i="18"/>
  <c r="G55" i="18"/>
  <c r="D55" i="18"/>
  <c r="K49" i="18"/>
  <c r="D49" i="18"/>
  <c r="K45" i="18"/>
  <c r="D45" i="18"/>
  <c r="K53" i="18"/>
  <c r="D53" i="18"/>
  <c r="I51" i="18"/>
  <c r="K51" i="18"/>
  <c r="D51" i="18"/>
  <c r="K47" i="18"/>
  <c r="D47" i="18"/>
  <c r="I47" i="18"/>
  <c r="H48" i="18"/>
  <c r="G49" i="18"/>
  <c r="G45" i="18"/>
  <c r="D56" i="18"/>
  <c r="H56" i="18"/>
  <c r="G54" i="18"/>
  <c r="D52" i="18"/>
  <c r="H52" i="18"/>
  <c r="G46" i="18"/>
  <c r="H46" i="18"/>
  <c r="D44" i="18"/>
  <c r="H44" i="18"/>
  <c r="G53" i="18"/>
  <c r="G50" i="18"/>
  <c r="D50" i="18"/>
  <c r="E48" i="18"/>
  <c r="I50" i="18"/>
  <c r="E50" i="18"/>
  <c r="C50" i="18"/>
  <c r="J50" i="18"/>
  <c r="C48" i="18"/>
  <c r="I48" i="18"/>
  <c r="J48" i="18"/>
  <c r="C55" i="18"/>
  <c r="I55" i="18"/>
  <c r="F55" i="18"/>
  <c r="J55" i="18"/>
  <c r="E49" i="18"/>
  <c r="F49" i="18"/>
  <c r="J49" i="18"/>
  <c r="E45" i="18"/>
  <c r="F45" i="18"/>
  <c r="J45" i="18"/>
  <c r="C56" i="18"/>
  <c r="I56" i="18"/>
  <c r="J56" i="18"/>
  <c r="E54" i="18"/>
  <c r="C54" i="18"/>
  <c r="J54" i="18"/>
  <c r="G52" i="18"/>
  <c r="I52" i="18"/>
  <c r="J52" i="18"/>
  <c r="E46" i="18"/>
  <c r="C46" i="18"/>
  <c r="J46" i="18"/>
  <c r="J44" i="18"/>
  <c r="F53" i="18"/>
  <c r="J53" i="18"/>
  <c r="G51" i="18"/>
  <c r="F51" i="18"/>
  <c r="J51" i="18"/>
  <c r="F47" i="18"/>
  <c r="J47" i="18"/>
  <c r="E56" i="18"/>
  <c r="D63" i="18"/>
  <c r="D54" i="18"/>
  <c r="H63" i="18"/>
  <c r="H54" i="18"/>
  <c r="E52" i="18"/>
  <c r="D46" i="18"/>
  <c r="E44" i="18"/>
  <c r="J17" i="15"/>
  <c r="G5" i="15" l="1"/>
  <c r="G4" i="15"/>
  <c r="G3" i="15"/>
  <c r="G2" i="15"/>
  <c r="C39" i="15"/>
  <c r="C38" i="15"/>
  <c r="C37" i="15"/>
  <c r="C36" i="15"/>
  <c r="C35" i="15"/>
  <c r="C34" i="15"/>
  <c r="C33" i="15"/>
  <c r="C32" i="15"/>
  <c r="C31" i="15"/>
  <c r="P14" i="4"/>
  <c r="W5" i="15" l="1"/>
  <c r="G1" i="15"/>
  <c r="W1" i="15"/>
  <c r="W3" i="15"/>
  <c r="S10" i="15"/>
  <c r="S32" i="15"/>
  <c r="S36" i="15"/>
  <c r="W2" i="15"/>
  <c r="W4" i="15"/>
  <c r="S33" i="15"/>
  <c r="S37" i="15"/>
  <c r="C10" i="15"/>
  <c r="S39" i="15"/>
  <c r="S38" i="15"/>
  <c r="N11" i="4"/>
  <c r="N11" i="18" s="1"/>
  <c r="N4" i="4"/>
  <c r="N8" i="4"/>
  <c r="N8" i="18" s="1"/>
  <c r="C2" i="16" s="1"/>
  <c r="C30" i="16" l="1"/>
  <c r="C5" i="16"/>
  <c r="C21" i="16"/>
  <c r="C15" i="16"/>
  <c r="C10" i="16"/>
  <c r="C19" i="16"/>
  <c r="C8" i="16"/>
  <c r="C32" i="16"/>
  <c r="C4" i="16"/>
  <c r="C34" i="16"/>
  <c r="C3" i="16"/>
  <c r="C27" i="16"/>
  <c r="C11" i="16"/>
  <c r="C14" i="16"/>
  <c r="C26" i="16"/>
  <c r="C28" i="16"/>
  <c r="C31" i="16"/>
  <c r="C9" i="16"/>
  <c r="C20" i="16"/>
  <c r="C16" i="16"/>
  <c r="C29" i="16"/>
  <c r="C17" i="16"/>
  <c r="C6" i="16"/>
  <c r="C24" i="16"/>
  <c r="C33" i="16"/>
  <c r="C22" i="16"/>
  <c r="C12" i="16"/>
  <c r="C25" i="16"/>
  <c r="C23" i="16"/>
  <c r="C13" i="16"/>
  <c r="C7" i="16"/>
  <c r="C35" i="16"/>
  <c r="C18" i="16"/>
  <c r="N14" i="4"/>
  <c r="M3" i="4"/>
  <c r="M4" i="4"/>
  <c r="M5" i="4"/>
  <c r="M6" i="4"/>
  <c r="M7" i="4"/>
  <c r="M8" i="4"/>
  <c r="M9" i="4"/>
  <c r="M10" i="4"/>
  <c r="M11" i="4"/>
  <c r="M12" i="4"/>
  <c r="M13" i="4"/>
  <c r="R30" i="15" l="1"/>
  <c r="B30" i="15"/>
  <c r="S34" i="15"/>
  <c r="S31" i="15"/>
  <c r="S35" i="15"/>
  <c r="V14" i="4"/>
  <c r="O14" i="4"/>
  <c r="T14" i="4"/>
  <c r="W14" i="4"/>
  <c r="U14" i="4"/>
  <c r="S14" i="4"/>
  <c r="Q14" i="4"/>
  <c r="R14" i="4"/>
  <c r="M14" i="4"/>
  <c r="L14" i="4"/>
  <c r="B31" i="1"/>
  <c r="C30" i="15" l="1"/>
  <c r="S30" i="15"/>
  <c r="S22" i="15"/>
  <c r="S20" i="15"/>
  <c r="S21" i="15"/>
  <c r="T15" i="15"/>
  <c r="T19" i="15"/>
  <c r="T18" i="15"/>
  <c r="T22" i="15"/>
  <c r="T17" i="15"/>
  <c r="T21" i="15"/>
  <c r="T16" i="15"/>
  <c r="T20" i="15"/>
  <c r="S18" i="15"/>
  <c r="S17" i="15"/>
  <c r="S9" i="15"/>
  <c r="C9" i="15"/>
  <c r="S28" i="15"/>
  <c r="C28" i="15"/>
  <c r="S27" i="15"/>
  <c r="C27" i="15"/>
  <c r="S15" i="15"/>
  <c r="C15" i="15"/>
  <c r="C22" i="15"/>
  <c r="C17" i="15"/>
  <c r="C18" i="15"/>
  <c r="C20" i="15"/>
  <c r="C21" i="15"/>
  <c r="D15" i="15"/>
  <c r="D18" i="15"/>
  <c r="D20" i="15"/>
  <c r="D21" i="15"/>
  <c r="D17" i="15"/>
  <c r="D22" i="15"/>
  <c r="E22" i="15" l="1"/>
  <c r="U22" i="15"/>
  <c r="E21" i="15"/>
  <c r="U21" i="15"/>
  <c r="E20" i="15"/>
  <c r="U20" i="15"/>
  <c r="E18" i="15"/>
  <c r="U18" i="15"/>
  <c r="E17" i="15"/>
  <c r="U17" i="15"/>
  <c r="E15" i="15"/>
  <c r="U15" i="15"/>
  <c r="T28" i="1" l="1"/>
  <c r="T27" i="1"/>
  <c r="T26" i="1"/>
  <c r="T25" i="1"/>
  <c r="T24" i="1"/>
  <c r="T23" i="1"/>
  <c r="K26" i="1"/>
  <c r="R2" i="3"/>
  <c r="Q2" i="3"/>
  <c r="K24" i="1" l="1"/>
  <c r="K25" i="1"/>
  <c r="K27" i="1"/>
  <c r="K28" i="1"/>
  <c r="K23" i="1"/>
  <c r="O75" i="6" l="1"/>
  <c r="O53" i="6"/>
  <c r="B37" i="1" l="1"/>
  <c r="B38" i="1"/>
  <c r="B33" i="1" l="1"/>
  <c r="B36" i="1"/>
  <c r="B35" i="1"/>
  <c r="B34" i="1"/>
  <c r="B32" i="1"/>
  <c r="P2" i="3" l="1"/>
  <c r="O59" i="6" l="1"/>
  <c r="O60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57" i="6"/>
  <c r="O58" i="6"/>
  <c r="O61" i="6"/>
  <c r="O62" i="6"/>
  <c r="O63" i="6"/>
  <c r="O64" i="6"/>
  <c r="O65" i="6"/>
  <c r="O66" i="6"/>
  <c r="O67" i="6"/>
  <c r="O68" i="6"/>
  <c r="O69" i="6"/>
  <c r="O70" i="6"/>
  <c r="N2" i="3" l="1"/>
  <c r="O2" i="3"/>
  <c r="Y2" i="3" l="1"/>
  <c r="X2" i="3"/>
  <c r="V2" i="3"/>
  <c r="T2" i="3"/>
  <c r="W2" i="3"/>
  <c r="U2" i="3"/>
  <c r="S16" i="15"/>
  <c r="S19" i="15"/>
  <c r="S2" i="3"/>
  <c r="J14" i="4"/>
  <c r="D14" i="4"/>
  <c r="E14" i="4"/>
  <c r="F14" i="4"/>
  <c r="G14" i="4"/>
  <c r="H14" i="4"/>
  <c r="I14" i="4"/>
  <c r="K14" i="4"/>
  <c r="C14" i="4"/>
  <c r="Z2" i="3" l="1"/>
  <c r="S11" i="15"/>
  <c r="C11" i="15"/>
  <c r="S26" i="15"/>
  <c r="C26" i="15"/>
  <c r="S25" i="15"/>
  <c r="C25" i="15"/>
  <c r="D19" i="15"/>
  <c r="C19" i="15"/>
  <c r="D16" i="15"/>
  <c r="C16" i="15"/>
  <c r="R14" i="1"/>
  <c r="R15" i="1" s="1"/>
  <c r="R16" i="1" s="1"/>
  <c r="M13" i="1"/>
  <c r="M14" i="1"/>
  <c r="M15" i="1"/>
  <c r="M20" i="1" l="1"/>
  <c r="S12" i="15"/>
  <c r="E16" i="15"/>
  <c r="U16" i="15"/>
  <c r="E19" i="15"/>
  <c r="U19" i="15"/>
  <c r="C12" i="15" l="1"/>
  <c r="N14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tc={558D096D-76FE-4302-A291-E34D4E23263A}</author>
  </authors>
  <commentList>
    <comment ref="Y1" authorId="0" shapeId="0" xr:uid="{558D096D-76FE-4302-A291-E34D4E23263A}">
      <text>
        <t>[Komentarz podzielony na wątki]
Używana wersja programu Excel umożliwia odczytanie tego komentarza podzielonego na wątki, jednak wszelkie wprowadzone w nim zmiany zostaną usunięte po otwarciu pliku w nowszej wersji programu Excel. Dowiedz się więcej: https://go.microsoft.com/fwlink/?linkid=870924
Komentarz:
    stare sposób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118B210-81FF-41FD-9868-F1469D6ED257}" keepAlive="1" name="ThisWorkbookDataModel" description="Model danych" type="5" refreshedVersion="6" minRefreshableVersion="5" background="1" saveData="1">
    <dbPr connection="Data Model Connection" command="Model" commandType="1"/>
    <olapPr sendLocale="1" rowDrillCount="100000"/>
    <extLst>
      <ext xmlns:x15="http://schemas.microsoft.com/office/spreadsheetml/2010/11/main" uri="{DE250136-89BD-433C-8126-D09CA5730AF9}">
        <x15:connection id="" model="1"/>
      </ext>
    </extLst>
  </connection>
  <connection id="2" xr16:uid="{931D208C-3DEE-4B02-A75C-548884EB094E}" name="WorksheetConnection_managerzone74spierdoloza.xlsx!Radar" type="102" refreshedVersion="6" minRefreshableVersion="5">
    <extLst>
      <ext xmlns:x15="http://schemas.microsoft.com/office/spreadsheetml/2010/11/main" uri="{DE250136-89BD-433C-8126-D09CA5730AF9}">
        <x15:connection id="Radar" autoDelete="1">
          <x15:rangePr sourceName="_xlcn.WorksheetConnection_managerzone74spierdoloza.xlsxRadar1"/>
        </x15:connection>
      </ext>
    </extLst>
  </connection>
  <connection id="3" xr16:uid="{8FEAF1E6-7D10-4F07-B0FB-EB882DFBB372}" name="WorksheetConnection_managerzone74testtttt.xlsx!Mecze" type="102" refreshedVersion="6" minRefreshableVersion="5">
    <extLst>
      <ext xmlns:x15="http://schemas.microsoft.com/office/spreadsheetml/2010/11/main" uri="{DE250136-89BD-433C-8126-D09CA5730AF9}">
        <x15:connection id="Mecze">
          <x15:rangePr sourceName="_xlcn.WorksheetConnection_managerzone74testtttt.xlsxMecze1"/>
        </x15:connection>
      </ext>
    </extLst>
  </connection>
  <connection id="4" xr16:uid="{97631DAE-B9B8-423C-82F2-B8D70B81B716}" name="WorksheetConnection_managerzone74testtttt.xlsx!Meczusie" type="102" refreshedVersion="6" minRefreshableVersion="5">
    <extLst>
      <ext xmlns:x15="http://schemas.microsoft.com/office/spreadsheetml/2010/11/main" uri="{DE250136-89BD-433C-8126-D09CA5730AF9}">
        <x15:connection id="Meczusie">
          <x15:rangePr sourceName="_xlcn.WorksheetConnection_managerzone74testtttt.xlsxMeczusie1"/>
        </x15:connection>
      </ext>
    </extLst>
  </connection>
  <connection id="5" xr16:uid="{01D8A347-7FF7-46A0-8900-73ADBAB10B17}" name="WorksheetConnection_managerzone74testtttt.xlsx!Zawodnicy" type="102" refreshedVersion="6" minRefreshableVersion="5">
    <extLst>
      <ext xmlns:x15="http://schemas.microsoft.com/office/spreadsheetml/2010/11/main" uri="{DE250136-89BD-433C-8126-D09CA5730AF9}">
        <x15:connection id="Zawodnicy">
          <x15:rangePr sourceName="_xlcn.WorksheetConnection_managerzone74testtttt.xlsxZawodnicy1"/>
        </x15:connection>
      </ext>
    </extLst>
  </connection>
  <connection id="6" xr16:uid="{209B5FC8-FB1B-47BF-8D5C-DEEE25E23AC1}" name="WorksheetConnection_managerzone75.xlsx!Klubiki" type="102" refreshedVersion="6" minRefreshableVersion="5">
    <extLst>
      <ext xmlns:x15="http://schemas.microsoft.com/office/spreadsheetml/2010/11/main" uri="{DE250136-89BD-433C-8126-D09CA5730AF9}">
        <x15:connection id="Klubiki">
          <x15:rangePr sourceName="_xlcn.WorksheetConnection_managerzone75.xlsxKlubiki1"/>
        </x15:connection>
      </ext>
    </extLst>
  </connection>
  <connection id="7" xr16:uid="{B8D9481F-1051-45A3-97DD-3BE9D758F4A1}" name="WorksheetConnection_managerzone75.xlsx!ZawodnicyLiga" type="102" refreshedVersion="6" minRefreshableVersion="5">
    <extLst>
      <ext xmlns:x15="http://schemas.microsoft.com/office/spreadsheetml/2010/11/main" uri="{DE250136-89BD-433C-8126-D09CA5730AF9}">
        <x15:connection id="ZawodnicyLiga">
          <x15:rangePr sourceName="_xlcn.WorksheetConnection_managerzone75.xlsxZawodnicyLiga1"/>
        </x15:connection>
      </ext>
    </extLst>
  </connection>
  <connection id="8" xr16:uid="{0195DABB-F959-4E89-AFBF-8E369A0A8331}" name="Zapytanie — Kalendarz" description="Połączenie z zapytaniem „Kalendarz” w skoroszycie." type="100" refreshedVersion="6" minRefreshableVersion="5">
    <extLst>
      <ext xmlns:x15="http://schemas.microsoft.com/office/spreadsheetml/2010/11/main" uri="{DE250136-89BD-433C-8126-D09CA5730AF9}">
        <x15:connection id="16399237-6a79-49e7-9735-bc0db3c22d36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Klubiki].[Nazwa].[A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<sst xmlns="http://schemas.openxmlformats.org/spreadsheetml/2006/main" count="13584" uniqueCount="784">
  <si>
    <t>gwiazdki</t>
  </si>
  <si>
    <t>skille</t>
  </si>
  <si>
    <t>Szybkość</t>
  </si>
  <si>
    <t>Kondycja</t>
  </si>
  <si>
    <t>Przegląd</t>
  </si>
  <si>
    <t>PDołem</t>
  </si>
  <si>
    <t>Strzał</t>
  </si>
  <si>
    <t>GGłową</t>
  </si>
  <si>
    <t>GNBramce</t>
  </si>
  <si>
    <t>Panowanie</t>
  </si>
  <si>
    <t>Odbiór</t>
  </si>
  <si>
    <t>PGórą</t>
  </si>
  <si>
    <t>SFragmenty</t>
  </si>
  <si>
    <t>a</t>
  </si>
  <si>
    <t>szybkosc treningu</t>
  </si>
  <si>
    <t>najgorszy</t>
  </si>
  <si>
    <t>najlepszy</t>
  </si>
  <si>
    <t>wspołczynnik</t>
  </si>
  <si>
    <t>Ksawery Skrzypek</t>
  </si>
  <si>
    <t>Ulryk Kaczor</t>
  </si>
  <si>
    <t>Bartosz Bejgier</t>
  </si>
  <si>
    <t>Lukasz Bakes</t>
  </si>
  <si>
    <t>Ignacy Cerocki</t>
  </si>
  <si>
    <t>Cyryl Walec</t>
  </si>
  <si>
    <t>Roman Zakrzewski</t>
  </si>
  <si>
    <t>Ksawery Jurgiel</t>
  </si>
  <si>
    <t>Gustaw Tuliszewski</t>
  </si>
  <si>
    <t>Eugeniusz Huk</t>
  </si>
  <si>
    <t>Jacek Swoboda</t>
  </si>
  <si>
    <t>Daniel Dziewulski</t>
  </si>
  <si>
    <t>Jakub Ludwiczak</t>
  </si>
  <si>
    <t>Ignacy Lato</t>
  </si>
  <si>
    <t>Sylwester Kaszubowski</t>
  </si>
  <si>
    <t>Damazy Pionek</t>
  </si>
  <si>
    <t>Andrzej Polkoski</t>
  </si>
  <si>
    <t>Olaf Skikiewicz</t>
  </si>
  <si>
    <t>Numer</t>
  </si>
  <si>
    <t>Nazwa zawodnika</t>
  </si>
  <si>
    <t>Wiek</t>
  </si>
  <si>
    <t>Bramka</t>
  </si>
  <si>
    <t>BR</t>
  </si>
  <si>
    <t>DP</t>
  </si>
  <si>
    <t>OB</t>
  </si>
  <si>
    <t>OD</t>
  </si>
  <si>
    <t>OP</t>
  </si>
  <si>
    <t>Ocena</t>
  </si>
  <si>
    <t>ST</t>
  </si>
  <si>
    <t>SO</t>
  </si>
  <si>
    <t>Mecz</t>
  </si>
  <si>
    <t>SC</t>
  </si>
  <si>
    <t>PC</t>
  </si>
  <si>
    <t>%PC</t>
  </si>
  <si>
    <t>OU</t>
  </si>
  <si>
    <t>%OU</t>
  </si>
  <si>
    <t>PR</t>
  </si>
  <si>
    <t>PD</t>
  </si>
  <si>
    <t>CZAS</t>
  </si>
  <si>
    <t>Liga</t>
  </si>
  <si>
    <t>KŻ</t>
  </si>
  <si>
    <t>KC</t>
  </si>
  <si>
    <t>Podania dołem</t>
  </si>
  <si>
    <t>Gra głową</t>
  </si>
  <si>
    <t>Gra na bramce</t>
  </si>
  <si>
    <t>Odbiór piłki</t>
  </si>
  <si>
    <t>Podania górą</t>
  </si>
  <si>
    <t>Stałe fragmenty</t>
  </si>
  <si>
    <t>BO</t>
  </si>
  <si>
    <t>SP</t>
  </si>
  <si>
    <t>BP</t>
  </si>
  <si>
    <t>BOP</t>
  </si>
  <si>
    <t>Karne</t>
  </si>
  <si>
    <t>/GC</t>
  </si>
  <si>
    <t>Gwiazdki</t>
  </si>
  <si>
    <t>SZT</t>
  </si>
  <si>
    <t>MAX</t>
  </si>
  <si>
    <t>MIN</t>
  </si>
  <si>
    <t>MARGIN</t>
  </si>
  <si>
    <t>Najgorszy</t>
  </si>
  <si>
    <t>Najlepszy</t>
  </si>
  <si>
    <t>Nazwa</t>
  </si>
  <si>
    <t>Skill</t>
  </si>
  <si>
    <t>Dzień</t>
  </si>
  <si>
    <t>Bramka-1</t>
  </si>
  <si>
    <t>RodzajMeczu</t>
  </si>
  <si>
    <t>GZ</t>
  </si>
  <si>
    <t>GS</t>
  </si>
  <si>
    <t>Godzina</t>
  </si>
  <si>
    <t>Data</t>
  </si>
  <si>
    <t>/PR:90</t>
  </si>
  <si>
    <t>/PC:90</t>
  </si>
  <si>
    <t>/OU:90</t>
  </si>
  <si>
    <t>/SC:90</t>
  </si>
  <si>
    <t>/PI</t>
  </si>
  <si>
    <t>/OB:90</t>
  </si>
  <si>
    <t>/BR:90</t>
  </si>
  <si>
    <t>WB</t>
  </si>
  <si>
    <t>SUMA</t>
  </si>
  <si>
    <t>Janusz Sierocki</t>
  </si>
  <si>
    <t>Rok</t>
  </si>
  <si>
    <t>Miesiąc</t>
  </si>
  <si>
    <t>/BRI</t>
  </si>
  <si>
    <t>/OBI</t>
  </si>
  <si>
    <t>/DPI</t>
  </si>
  <si>
    <t>/OPI</t>
  </si>
  <si>
    <t>/NPI</t>
  </si>
  <si>
    <t>Podania</t>
  </si>
  <si>
    <t>Odbiory</t>
  </si>
  <si>
    <t>Strzały</t>
  </si>
  <si>
    <t>Przejęcia</t>
  </si>
  <si>
    <t>Obrony</t>
  </si>
  <si>
    <t>Gole</t>
  </si>
  <si>
    <t>NP</t>
  </si>
  <si>
    <t>Częstość</t>
  </si>
  <si>
    <t>pozycje</t>
  </si>
  <si>
    <t>/SPI</t>
  </si>
  <si>
    <t>ŚR</t>
  </si>
  <si>
    <t>Bramki</t>
  </si>
  <si>
    <t>Liczba meczy</t>
  </si>
  <si>
    <t>Wszystkie mecze</t>
  </si>
  <si>
    <t>Preferowana strefa</t>
  </si>
  <si>
    <t>Czas gry ogółem</t>
  </si>
  <si>
    <t>Ocena ogółem</t>
  </si>
  <si>
    <t>Strzały celne</t>
  </si>
  <si>
    <t>Podania celne</t>
  </si>
  <si>
    <t>/mecz</t>
  </si>
  <si>
    <t>Efektywność</t>
  </si>
  <si>
    <t>GC Score</t>
  </si>
  <si>
    <t>Motoryka</t>
  </si>
  <si>
    <t>Przechwyt</t>
  </si>
  <si>
    <t>Kreator</t>
  </si>
  <si>
    <t>Strażnik</t>
  </si>
  <si>
    <t>B2B</t>
  </si>
  <si>
    <t>Dziewiątka</t>
  </si>
  <si>
    <t>Snajper</t>
  </si>
  <si>
    <t>Power Index</t>
  </si>
  <si>
    <t>Typ meczu</t>
  </si>
  <si>
    <t>Power Index2</t>
  </si>
  <si>
    <t>/PI2</t>
  </si>
  <si>
    <t>Min</t>
  </si>
  <si>
    <t>PI2</t>
  </si>
  <si>
    <t>Skrzydło</t>
  </si>
  <si>
    <t>#9</t>
  </si>
  <si>
    <t>Motor</t>
  </si>
  <si>
    <t>Tarcza</t>
  </si>
  <si>
    <t>Tarcza (BR)</t>
  </si>
  <si>
    <t>Status</t>
  </si>
  <si>
    <t>OVR</t>
  </si>
  <si>
    <t>Skała</t>
  </si>
  <si>
    <t>Dowodzenie</t>
  </si>
  <si>
    <t>Radko Dochkov</t>
  </si>
  <si>
    <t>Fausto Pelayo</t>
  </si>
  <si>
    <t>Boleslaw Kolbert</t>
  </si>
  <si>
    <t>Benedykt Adamus</t>
  </si>
  <si>
    <t>Iwo Duszenski</t>
  </si>
  <si>
    <t xml:space="preserve"> C. Walec </t>
  </si>
  <si>
    <t>Br</t>
  </si>
  <si>
    <t xml:space="preserve"> K. Skrzypek </t>
  </si>
  <si>
    <t>Obr</t>
  </si>
  <si>
    <t xml:space="preserve"> U. Kaczor </t>
  </si>
  <si>
    <t xml:space="preserve"> I. Cerocki </t>
  </si>
  <si>
    <t>Pom</t>
  </si>
  <si>
    <t xml:space="preserve"> L. Bakes </t>
  </si>
  <si>
    <t xml:space="preserve"> K. Jurgiel </t>
  </si>
  <si>
    <t xml:space="preserve"> R. Zakrzewski </t>
  </si>
  <si>
    <t xml:space="preserve"> G. Tuliszewski </t>
  </si>
  <si>
    <t>Nap</t>
  </si>
  <si>
    <t xml:space="preserve"> E. Huk </t>
  </si>
  <si>
    <t>PSO</t>
  </si>
  <si>
    <t>LSO</t>
  </si>
  <si>
    <t xml:space="preserve"> R. Dochkov </t>
  </si>
  <si>
    <t xml:space="preserve"> F. Pelayo </t>
  </si>
  <si>
    <t>LPO</t>
  </si>
  <si>
    <t>PDP</t>
  </si>
  <si>
    <t>LDP</t>
  </si>
  <si>
    <t>LO</t>
  </si>
  <si>
    <t>PO</t>
  </si>
  <si>
    <t>Liczba meczy - pozycja</t>
  </si>
  <si>
    <t>Kajetan Grabowicz</t>
  </si>
  <si>
    <t>Nazwa Zawodnika</t>
  </si>
  <si>
    <t>Odbiory udane</t>
  </si>
  <si>
    <t>DOM</t>
  </si>
  <si>
    <t>WYJAZD</t>
  </si>
  <si>
    <t>Hieronim Wejta</t>
  </si>
  <si>
    <t>Armando Astudillo</t>
  </si>
  <si>
    <t>Wincenty Zawaski</t>
  </si>
  <si>
    <t>Dobromir Kolacki</t>
  </si>
  <si>
    <t>Ludomil Robak</t>
  </si>
  <si>
    <t>Roland Danisiewicz</t>
  </si>
  <si>
    <t>Cyryl Huratiak</t>
  </si>
  <si>
    <t>Bufor</t>
  </si>
  <si>
    <t xml:space="preserve">11 280 </t>
  </si>
  <si>
    <t xml:space="preserve">9 297 </t>
  </si>
  <si>
    <t xml:space="preserve">7 438 </t>
  </si>
  <si>
    <t xml:space="preserve">11 112 </t>
  </si>
  <si>
    <t xml:space="preserve">10 511 </t>
  </si>
  <si>
    <t xml:space="preserve">10 486 </t>
  </si>
  <si>
    <t xml:space="preserve">10 456 </t>
  </si>
  <si>
    <t xml:space="preserve">10 383 </t>
  </si>
  <si>
    <t xml:space="preserve">11 222 </t>
  </si>
  <si>
    <t xml:space="preserve">10 565 </t>
  </si>
  <si>
    <t xml:space="preserve">10 002 </t>
  </si>
  <si>
    <t xml:space="preserve">7 311 </t>
  </si>
  <si>
    <t xml:space="preserve">8 728 </t>
  </si>
  <si>
    <t xml:space="preserve">10 187 </t>
  </si>
  <si>
    <t xml:space="preserve">4 204 </t>
  </si>
  <si>
    <t xml:space="preserve">5 101 </t>
  </si>
  <si>
    <t xml:space="preserve">5 552 </t>
  </si>
  <si>
    <t xml:space="preserve">5 168 </t>
  </si>
  <si>
    <t xml:space="preserve">35 443 </t>
  </si>
  <si>
    <t xml:space="preserve">19 834 </t>
  </si>
  <si>
    <t>TEAM</t>
  </si>
  <si>
    <t xml:space="preserve"> A. Astudillo </t>
  </si>
  <si>
    <t>Nowielice</t>
  </si>
  <si>
    <t>Towarzyski</t>
  </si>
  <si>
    <t>GD</t>
  </si>
  <si>
    <t>GW</t>
  </si>
  <si>
    <t>Locomotiva grena</t>
  </si>
  <si>
    <t>PPDOM%</t>
  </si>
  <si>
    <t>PPWYJ%</t>
  </si>
  <si>
    <t>SeasonDay</t>
  </si>
  <si>
    <t xml:space="preserve"> F. Armani </t>
  </si>
  <si>
    <t xml:space="preserve"> C. Maciel </t>
  </si>
  <si>
    <t xml:space="preserve"> L. Andrychowski </t>
  </si>
  <si>
    <t xml:space="preserve"> H. Cheng Jie </t>
  </si>
  <si>
    <t xml:space="preserve"> S. Feng Ping </t>
  </si>
  <si>
    <t xml:space="preserve"> M. Pochorylo </t>
  </si>
  <si>
    <t xml:space="preserve"> C. Pirlo </t>
  </si>
  <si>
    <t xml:space="preserve"> B. Tecimen </t>
  </si>
  <si>
    <t xml:space="preserve"> Z. Wozniak </t>
  </si>
  <si>
    <t xml:space="preserve"> E. Amaral </t>
  </si>
  <si>
    <t xml:space="preserve"> J. Niedziela </t>
  </si>
  <si>
    <t xml:space="preserve"> W. Porajewski </t>
  </si>
  <si>
    <t>LS</t>
  </si>
  <si>
    <t>Love me Im famous!</t>
  </si>
  <si>
    <t>DRAGON GARWOLIN</t>
  </si>
  <si>
    <t>BOSS-cy Jasło</t>
  </si>
  <si>
    <t xml:space="preserve"> R. Teofila </t>
  </si>
  <si>
    <t xml:space="preserve"> R. Trenning </t>
  </si>
  <si>
    <t xml:space="preserve"> M. Falkiewicz </t>
  </si>
  <si>
    <t xml:space="preserve"> B. Pankiewicz </t>
  </si>
  <si>
    <t xml:space="preserve"> R. Konieczny </t>
  </si>
  <si>
    <t xml:space="preserve"> T. Pietrowski </t>
  </si>
  <si>
    <t xml:space="preserve"> B. Sebzda </t>
  </si>
  <si>
    <t xml:space="preserve"> F. Mnich </t>
  </si>
  <si>
    <t xml:space="preserve"> W. Bochinski </t>
  </si>
  <si>
    <t xml:space="preserve"> K. Oryl </t>
  </si>
  <si>
    <t xml:space="preserve"> A. Okutman </t>
  </si>
  <si>
    <t xml:space="preserve"> B. Selvang </t>
  </si>
  <si>
    <t xml:space="preserve"> T. Riva </t>
  </si>
  <si>
    <t xml:space="preserve"> S. Gondela </t>
  </si>
  <si>
    <t xml:space="preserve"> T. Sidor </t>
  </si>
  <si>
    <t xml:space="preserve"> K. Giejda </t>
  </si>
  <si>
    <t xml:space="preserve"> M. Andik Motowski </t>
  </si>
  <si>
    <t xml:space="preserve"> J. Cichocki </t>
  </si>
  <si>
    <t xml:space="preserve"> B. Gregorczyk </t>
  </si>
  <si>
    <t xml:space="preserve"> D. Szarmach </t>
  </si>
  <si>
    <t xml:space="preserve"> B. Rozanski </t>
  </si>
  <si>
    <t xml:space="preserve"> N. Bărănescu </t>
  </si>
  <si>
    <t xml:space="preserve"> E. Gizynski </t>
  </si>
  <si>
    <t>Diabolic Team</t>
  </si>
  <si>
    <t>Varsovia</t>
  </si>
  <si>
    <t xml:space="preserve"> M. Budzyn </t>
  </si>
  <si>
    <t xml:space="preserve"> R. Narbut </t>
  </si>
  <si>
    <t xml:space="preserve"> R. Tiadoro </t>
  </si>
  <si>
    <t xml:space="preserve"> B. Pawelczyk </t>
  </si>
  <si>
    <t xml:space="preserve"> W. Lopez </t>
  </si>
  <si>
    <t xml:space="preserve"> S. Şahbender </t>
  </si>
  <si>
    <t xml:space="preserve"> 马耀升 </t>
  </si>
  <si>
    <t xml:space="preserve"> M. Oğuz Tanyol </t>
  </si>
  <si>
    <t xml:space="preserve"> E. Poniewaz </t>
  </si>
  <si>
    <t xml:space="preserve"> 秦博梁 </t>
  </si>
  <si>
    <t xml:space="preserve"> O. Alström </t>
  </si>
  <si>
    <t>PN</t>
  </si>
  <si>
    <t>LN</t>
  </si>
  <si>
    <t xml:space="preserve"> K. Lisewski </t>
  </si>
  <si>
    <t xml:space="preserve"> Z. Zuraw </t>
  </si>
  <si>
    <t xml:space="preserve"> J. Mleczewski </t>
  </si>
  <si>
    <t xml:space="preserve"> N. Treppa </t>
  </si>
  <si>
    <t xml:space="preserve"> L. Fujarczuk </t>
  </si>
  <si>
    <t xml:space="preserve"> B. Marczyniec </t>
  </si>
  <si>
    <t xml:space="preserve"> S. Chrobak </t>
  </si>
  <si>
    <t xml:space="preserve"> A. Japola </t>
  </si>
  <si>
    <t xml:space="preserve"> B. Jakisz </t>
  </si>
  <si>
    <t xml:space="preserve"> K. Witkowski </t>
  </si>
  <si>
    <t xml:space="preserve"> M. Szpakowski </t>
  </si>
  <si>
    <t xml:space="preserve"> M. Kosowski </t>
  </si>
  <si>
    <t xml:space="preserve"> M. Szostak </t>
  </si>
  <si>
    <t xml:space="preserve"> M. Brytan </t>
  </si>
  <si>
    <t xml:space="preserve"> W. Bryk </t>
  </si>
  <si>
    <t xml:space="preserve"> K. Oliszewski </t>
  </si>
  <si>
    <t xml:space="preserve"> W. Szostak </t>
  </si>
  <si>
    <t xml:space="preserve"> P. Jaktorowo </t>
  </si>
  <si>
    <t xml:space="preserve"> N. Barna </t>
  </si>
  <si>
    <t xml:space="preserve"> E. Borczak </t>
  </si>
  <si>
    <t xml:space="preserve"> L. Radzyminski </t>
  </si>
  <si>
    <t xml:space="preserve"> R. Augustyn </t>
  </si>
  <si>
    <t xml:space="preserve"> K. Kosowski </t>
  </si>
  <si>
    <t xml:space="preserve"> K. R. Hansen </t>
  </si>
  <si>
    <t xml:space="preserve"> A. Mrabet </t>
  </si>
  <si>
    <t>PPO</t>
  </si>
  <si>
    <t>Manchester United F.C.</t>
  </si>
  <si>
    <t>WEZE vv KAPUSCIE II</t>
  </si>
  <si>
    <t>Stasin SA</t>
  </si>
  <si>
    <t>Agresor Team</t>
  </si>
  <si>
    <t xml:space="preserve"> D. Olszewski </t>
  </si>
  <si>
    <t xml:space="preserve"> A. Emesto </t>
  </si>
  <si>
    <t xml:space="preserve"> T. Sala </t>
  </si>
  <si>
    <t xml:space="preserve"> D. Osowski </t>
  </si>
  <si>
    <t xml:space="preserve"> 董飞银 </t>
  </si>
  <si>
    <t xml:space="preserve"> D. Jaroszewicz </t>
  </si>
  <si>
    <t xml:space="preserve"> L. Witkowski </t>
  </si>
  <si>
    <t xml:space="preserve"> 邱坤骋 </t>
  </si>
  <si>
    <t xml:space="preserve"> W. Seliga </t>
  </si>
  <si>
    <t xml:space="preserve"> B. Brytan </t>
  </si>
  <si>
    <t xml:space="preserve"> J. Lohitzun </t>
  </si>
  <si>
    <t xml:space="preserve"> S. Fujarczuk </t>
  </si>
  <si>
    <t xml:space="preserve"> B. Zagrodny </t>
  </si>
  <si>
    <t xml:space="preserve"> D. Juszkowski </t>
  </si>
  <si>
    <t>PSP</t>
  </si>
  <si>
    <t>LSP</t>
  </si>
  <si>
    <t xml:space="preserve"> N. Mondrowski </t>
  </si>
  <si>
    <t xml:space="preserve"> W. Cielencki </t>
  </si>
  <si>
    <t xml:space="preserve"> K. Niedzwiecki </t>
  </si>
  <si>
    <t xml:space="preserve"> M. Zgonina </t>
  </si>
  <si>
    <t xml:space="preserve"> C. Borcz </t>
  </si>
  <si>
    <t xml:space="preserve"> M. Czeszejko </t>
  </si>
  <si>
    <t xml:space="preserve"> T. Wolniewicz </t>
  </si>
  <si>
    <t xml:space="preserve"> C. Erland </t>
  </si>
  <si>
    <t xml:space="preserve"> R. Alves </t>
  </si>
  <si>
    <t xml:space="preserve"> M. Jaks </t>
  </si>
  <si>
    <t xml:space="preserve"> R. Niziolek </t>
  </si>
  <si>
    <t>Goral Zywiec</t>
  </si>
  <si>
    <t>FC MARKUS</t>
  </si>
  <si>
    <t xml:space="preserve"> R. Klucznik </t>
  </si>
  <si>
    <t xml:space="preserve"> E. Kosiorek </t>
  </si>
  <si>
    <t xml:space="preserve"> M. Solarek </t>
  </si>
  <si>
    <t xml:space="preserve"> E. Llorca </t>
  </si>
  <si>
    <t xml:space="preserve"> J. Kempka </t>
  </si>
  <si>
    <t xml:space="preserve"> M. Wachna </t>
  </si>
  <si>
    <t xml:space="preserve"> E. Omural </t>
  </si>
  <si>
    <t xml:space="preserve"> Z. Gerlach </t>
  </si>
  <si>
    <t xml:space="preserve"> H. Kasperczak </t>
  </si>
  <si>
    <t xml:space="preserve"> S. Zacharek </t>
  </si>
  <si>
    <t xml:space="preserve"> E. Karp </t>
  </si>
  <si>
    <t xml:space="preserve"> D. Araújo </t>
  </si>
  <si>
    <t xml:space="preserve"> M. Özver </t>
  </si>
  <si>
    <t xml:space="preserve"> R. Glapiak </t>
  </si>
  <si>
    <t xml:space="preserve"> L. Björck </t>
  </si>
  <si>
    <t xml:space="preserve"> M. Laba </t>
  </si>
  <si>
    <t xml:space="preserve"> J. Majkowski </t>
  </si>
  <si>
    <t xml:space="preserve"> M. Weyna </t>
  </si>
  <si>
    <t xml:space="preserve"> G. Onitiu </t>
  </si>
  <si>
    <t xml:space="preserve"> T. Daszkowski </t>
  </si>
  <si>
    <t xml:space="preserve"> J. Iturbide </t>
  </si>
  <si>
    <t xml:space="preserve"> L. Cuber </t>
  </si>
  <si>
    <t>PS</t>
  </si>
  <si>
    <t>台湾省台东县狼蛛俱乐部队</t>
  </si>
  <si>
    <t>WKS Plish</t>
  </si>
  <si>
    <t xml:space="preserve"> D. Kolacki </t>
  </si>
  <si>
    <t xml:space="preserve"> B. Kolbert </t>
  </si>
  <si>
    <t xml:space="preserve"> B. Bejgier </t>
  </si>
  <si>
    <t xml:space="preserve"> O. Skikiewicz </t>
  </si>
  <si>
    <t xml:space="preserve"> J. Wincek </t>
  </si>
  <si>
    <t xml:space="preserve"> D. Dziewulski </t>
  </si>
  <si>
    <t xml:space="preserve"> S. Kaszubowski </t>
  </si>
  <si>
    <t xml:space="preserve"> J. Swoboda </t>
  </si>
  <si>
    <t xml:space="preserve"> J. Ludwiczak </t>
  </si>
  <si>
    <t xml:space="preserve"> L. Kanczuszewski </t>
  </si>
  <si>
    <t xml:space="preserve"> I. Lato </t>
  </si>
  <si>
    <t>ID</t>
  </si>
  <si>
    <t>IDTeam</t>
  </si>
  <si>
    <t xml:space="preserve">863 723 </t>
  </si>
  <si>
    <t xml:space="preserve">27 809 </t>
  </si>
  <si>
    <t xml:space="preserve">21 265 </t>
  </si>
  <si>
    <t xml:space="preserve">157 040 </t>
  </si>
  <si>
    <t xml:space="preserve">891 600 </t>
  </si>
  <si>
    <t xml:space="preserve">134 956 </t>
  </si>
  <si>
    <t>qweter</t>
  </si>
  <si>
    <t>afghdf</t>
  </si>
  <si>
    <t>jkljkjk</t>
  </si>
  <si>
    <t>jk</t>
  </si>
  <si>
    <t>r. dochkov</t>
  </si>
  <si>
    <t>f</t>
  </si>
  <si>
    <t>NR</t>
  </si>
  <si>
    <t>Trening</t>
  </si>
  <si>
    <t>DobryPot</t>
  </si>
  <si>
    <t>SłabyPot</t>
  </si>
  <si>
    <t>DobryPotencjał1</t>
  </si>
  <si>
    <t>DobryPotencjał2</t>
  </si>
  <si>
    <t>SłabyPotencjał1</t>
  </si>
  <si>
    <t>SłabyPotencjał2</t>
  </si>
  <si>
    <t xml:space="preserve"> A. Milko </t>
  </si>
  <si>
    <t xml:space="preserve"> E. Hrabina </t>
  </si>
  <si>
    <t>kRaL SK</t>
  </si>
  <si>
    <t xml:space="preserve"> J. Sierocki </t>
  </si>
  <si>
    <t xml:space="preserve"> I. Duszenski </t>
  </si>
  <si>
    <t>Dragon Garwolin</t>
  </si>
  <si>
    <t>Manchester United FC</t>
  </si>
  <si>
    <t>iks kurwa de</t>
  </si>
  <si>
    <t>?</t>
  </si>
  <si>
    <t>jeżeli zrobie 3 strefy w pom</t>
  </si>
  <si>
    <t>psp</t>
  </si>
  <si>
    <t>lsp</t>
  </si>
  <si>
    <t xml:space="preserve"> L. Parzysz </t>
  </si>
  <si>
    <t xml:space="preserve"> S. Pierz </t>
  </si>
  <si>
    <t xml:space="preserve"> L. Gleba </t>
  </si>
  <si>
    <t>Statystyki</t>
  </si>
  <si>
    <t>Etykiety wierszy</t>
  </si>
  <si>
    <t xml:space="preserve"> R. Danisiewicz </t>
  </si>
  <si>
    <t xml:space="preserve"> R. Bryk </t>
  </si>
  <si>
    <t xml:space="preserve"> H. Bielecki </t>
  </si>
  <si>
    <t xml:space="preserve"> K. Grabowicz </t>
  </si>
  <si>
    <t>Jarheads FC</t>
  </si>
  <si>
    <t xml:space="preserve"> H. Wejta </t>
  </si>
  <si>
    <t xml:space="preserve"> W. Zawaski </t>
  </si>
  <si>
    <t xml:space="preserve"> C. Huratiak </t>
  </si>
  <si>
    <t xml:space="preserve"> Z. Prokowski </t>
  </si>
  <si>
    <t xml:space="preserve"> F. Ryback </t>
  </si>
  <si>
    <t xml:space="preserve"> M. Sokol </t>
  </si>
  <si>
    <t xml:space="preserve"> A. Polkoski </t>
  </si>
  <si>
    <t>skrajne na linii na korzysc sp</t>
  </si>
  <si>
    <t>LN,PN</t>
  </si>
  <si>
    <t>skrajne na lini na korzysc ST</t>
  </si>
  <si>
    <t xml:space="preserve"> S. Nastasio </t>
  </si>
  <si>
    <t xml:space="preserve"> E. Toppi </t>
  </si>
  <si>
    <t xml:space="preserve"> W. Sidor </t>
  </si>
  <si>
    <t>Czas gry - rozgrywki</t>
  </si>
  <si>
    <t>Tienso</t>
  </si>
  <si>
    <t xml:space="preserve"> B. Kolano </t>
  </si>
  <si>
    <t xml:space="preserve"> R. Zarobski </t>
  </si>
  <si>
    <t xml:space="preserve"> R. Zagrodny </t>
  </si>
  <si>
    <t xml:space="preserve"> L. Ramzinski </t>
  </si>
  <si>
    <t xml:space="preserve"> W. Dropinski </t>
  </si>
  <si>
    <t>ПОЛЕСЬЕ</t>
  </si>
  <si>
    <t>Suma CZAS</t>
  </si>
  <si>
    <t>PowerIndex</t>
  </si>
  <si>
    <t xml:space="preserve"> J. Piesciuk </t>
  </si>
  <si>
    <t>All</t>
  </si>
  <si>
    <t>PI</t>
  </si>
  <si>
    <t>Wyniki po kolejce</t>
  </si>
  <si>
    <t>Średnia</t>
  </si>
  <si>
    <t>GC</t>
  </si>
  <si>
    <t xml:space="preserve"> B. Kornatowski </t>
  </si>
  <si>
    <t xml:space="preserve"> E. Henryk </t>
  </si>
  <si>
    <t xml:space="preserve"> M. Wasilewski </t>
  </si>
  <si>
    <t>GSD</t>
  </si>
  <si>
    <t>GZD</t>
  </si>
  <si>
    <t>GZW</t>
  </si>
  <si>
    <t>GSW</t>
  </si>
  <si>
    <t>B</t>
  </si>
  <si>
    <t xml:space="preserve"> D. Pionek </t>
  </si>
  <si>
    <t xml:space="preserve"> B. Jarocewicz </t>
  </si>
  <si>
    <t xml:space="preserve"> W. Janiczek </t>
  </si>
  <si>
    <t xml:space="preserve"> B. Adamus </t>
  </si>
  <si>
    <t xml:space="preserve"> W. Furgal </t>
  </si>
  <si>
    <t xml:space="preserve"> M. Kostrzewski </t>
  </si>
  <si>
    <t xml:space="preserve"> I. Kaszubik </t>
  </si>
  <si>
    <t>Wincent Janiczek</t>
  </si>
  <si>
    <t>Milosz Kostrzewski</t>
  </si>
  <si>
    <t xml:space="preserve">859 497 </t>
  </si>
  <si>
    <t xml:space="preserve">729 720 </t>
  </si>
  <si>
    <t xml:space="preserve">639 613 </t>
  </si>
  <si>
    <t xml:space="preserve">765 573 </t>
  </si>
  <si>
    <t xml:space="preserve">1 021 991 </t>
  </si>
  <si>
    <t xml:space="preserve">776 001 </t>
  </si>
  <si>
    <t xml:space="preserve">738 172 </t>
  </si>
  <si>
    <t xml:space="preserve">835 300 </t>
  </si>
  <si>
    <t xml:space="preserve">760 324 </t>
  </si>
  <si>
    <t xml:space="preserve">601 989 </t>
  </si>
  <si>
    <t xml:space="preserve">608 259 </t>
  </si>
  <si>
    <t xml:space="preserve">819 828 </t>
  </si>
  <si>
    <t xml:space="preserve">550 732 </t>
  </si>
  <si>
    <t xml:space="preserve">9 059 </t>
  </si>
  <si>
    <t xml:space="preserve">364 860 </t>
  </si>
  <si>
    <t xml:space="preserve">507 519 </t>
  </si>
  <si>
    <t xml:space="preserve">506 088 </t>
  </si>
  <si>
    <t xml:space="preserve">425 318 </t>
  </si>
  <si>
    <t xml:space="preserve">427 499 </t>
  </si>
  <si>
    <t xml:space="preserve">88 608 </t>
  </si>
  <si>
    <t xml:space="preserve">163 038 </t>
  </si>
  <si>
    <t xml:space="preserve">233 107 </t>
  </si>
  <si>
    <t xml:space="preserve">59 503 </t>
  </si>
  <si>
    <t xml:space="preserve">74 976 </t>
  </si>
  <si>
    <t xml:space="preserve">148 452 </t>
  </si>
  <si>
    <t xml:space="preserve"> M. Pietrowski </t>
  </si>
  <si>
    <t xml:space="preserve"> P. Sebzda </t>
  </si>
  <si>
    <t xml:space="preserve"> S. Cebula </t>
  </si>
  <si>
    <t xml:space="preserve"> D. Miodek </t>
  </si>
  <si>
    <t xml:space="preserve"> E. Petka </t>
  </si>
  <si>
    <t xml:space="preserve"> M. Zapolski </t>
  </si>
  <si>
    <t xml:space="preserve"> U. Wachna </t>
  </si>
  <si>
    <t xml:space="preserve"> K. Jarek </t>
  </si>
  <si>
    <t xml:space="preserve"> B. Bazan </t>
  </si>
  <si>
    <t xml:space="preserve"> W. Marajda </t>
  </si>
  <si>
    <t xml:space="preserve"> E. Niemojewski </t>
  </si>
  <si>
    <t xml:space="preserve"> M. Abilio </t>
  </si>
  <si>
    <t xml:space="preserve"> L. Robak </t>
  </si>
  <si>
    <t xml:space="preserve"> P. Poling </t>
  </si>
  <si>
    <t xml:space="preserve"> R. Gaszynski </t>
  </si>
  <si>
    <t xml:space="preserve"> A. Raflewski </t>
  </si>
  <si>
    <t xml:space="preserve"> P. Molski </t>
  </si>
  <si>
    <t xml:space="preserve"> R. Trynda </t>
  </si>
  <si>
    <t xml:space="preserve"> F. Zacharczyk </t>
  </si>
  <si>
    <t xml:space="preserve"> L. Golaszewski </t>
  </si>
  <si>
    <t xml:space="preserve"> K. Major </t>
  </si>
  <si>
    <t>Puchar</t>
  </si>
  <si>
    <t>KPO BIZARRO</t>
  </si>
  <si>
    <t>Woodmancote United</t>
  </si>
  <si>
    <t>BEIJO CARNAVAL</t>
  </si>
  <si>
    <t xml:space="preserve"> Z. Byczewski </t>
  </si>
  <si>
    <t xml:space="preserve"> M. Selim Ongul </t>
  </si>
  <si>
    <t xml:space="preserve"> M. Hetman </t>
  </si>
  <si>
    <t xml:space="preserve"> Z. Dupak </t>
  </si>
  <si>
    <t xml:space="preserve"> I. Oborski </t>
  </si>
  <si>
    <t>Black Devils</t>
  </si>
  <si>
    <t xml:space="preserve"> F. Blochowiak </t>
  </si>
  <si>
    <t xml:space="preserve"> L. Walec </t>
  </si>
  <si>
    <t xml:space="preserve"> R. Cichowski </t>
  </si>
  <si>
    <t xml:space="preserve"> D. Quadros </t>
  </si>
  <si>
    <t xml:space="preserve"> L. Tobolev </t>
  </si>
  <si>
    <t>Ocena Ważona</t>
  </si>
  <si>
    <t> L. Andrychowski</t>
  </si>
  <si>
    <t>LP</t>
  </si>
  <si>
    <t>Baraże</t>
  </si>
  <si>
    <t>Chruszczewka SSA</t>
  </si>
  <si>
    <t>ARMIA ŻOŁNIERZY WYKLĘTYCH</t>
  </si>
  <si>
    <t>Tęcza Miłomyn</t>
  </si>
  <si>
    <t>Pogoń Szczecin</t>
  </si>
  <si>
    <t>Odaitye-13</t>
  </si>
  <si>
    <t>FC Benknäckargänget</t>
  </si>
  <si>
    <t>LOS CHELINES</t>
  </si>
  <si>
    <t>Filip Blochowiak</t>
  </si>
  <si>
    <t>Radoslaw Cichowski</t>
  </si>
  <si>
    <t>% Odbiorów</t>
  </si>
  <si>
    <t>% Podań</t>
  </si>
  <si>
    <t>% Strzałów</t>
  </si>
  <si>
    <t> W. Bryk</t>
  </si>
  <si>
    <t> R. Dochkov</t>
  </si>
  <si>
    <t> N. Mondrowski</t>
  </si>
  <si>
    <t> R. Teofila</t>
  </si>
  <si>
    <t> D. Araújo</t>
  </si>
  <si>
    <t> M. Budzyn</t>
  </si>
  <si>
    <t> D. Olszewski</t>
  </si>
  <si>
    <t> R. Klucznik</t>
  </si>
  <si>
    <t> F. Armani</t>
  </si>
  <si>
    <t> F. Ryback</t>
  </si>
  <si>
    <t> J. Piesciuk</t>
  </si>
  <si>
    <t> B. Selvang</t>
  </si>
  <si>
    <t> K. Lisewski</t>
  </si>
  <si>
    <t> A. Astudillo</t>
  </si>
  <si>
    <t> A. Emesto</t>
  </si>
  <si>
    <t> A. Japola</t>
  </si>
  <si>
    <t> A. Milko</t>
  </si>
  <si>
    <t> A. Mrabet</t>
  </si>
  <si>
    <t> A. Okutman</t>
  </si>
  <si>
    <t> A. Polkoski</t>
  </si>
  <si>
    <t> A. Raflewski</t>
  </si>
  <si>
    <t> B. Adamus</t>
  </si>
  <si>
    <t> B. Bazan</t>
  </si>
  <si>
    <t> B. Bejgier</t>
  </si>
  <si>
    <t> B. Brytan</t>
  </si>
  <si>
    <t> B. Gregorczyk</t>
  </si>
  <si>
    <t> B. Jakisz</t>
  </si>
  <si>
    <t> B. Jarocewicz</t>
  </si>
  <si>
    <t> B. Kolano</t>
  </si>
  <si>
    <t> B. Kolbert</t>
  </si>
  <si>
    <t> B. Kornatowski</t>
  </si>
  <si>
    <t> B. Marczyniec</t>
  </si>
  <si>
    <t> B. Pankiewicz</t>
  </si>
  <si>
    <t> B. Pawelczyk</t>
  </si>
  <si>
    <t> B. Rozanski</t>
  </si>
  <si>
    <t> B. Sebzda</t>
  </si>
  <si>
    <t> B. Tecimen</t>
  </si>
  <si>
    <t> B. Zagrodny</t>
  </si>
  <si>
    <t> C. Borcz</t>
  </si>
  <si>
    <t> C. Erland</t>
  </si>
  <si>
    <t> C. Huratiak</t>
  </si>
  <si>
    <t> C. Maciel</t>
  </si>
  <si>
    <t> C. Pirlo</t>
  </si>
  <si>
    <t> C. Walec</t>
  </si>
  <si>
    <t> D. Dziewulski</t>
  </si>
  <si>
    <t> D. Jaroszewicz</t>
  </si>
  <si>
    <t> D. Juszkowski</t>
  </si>
  <si>
    <t> D. Kolacki</t>
  </si>
  <si>
    <t> D. Miodek</t>
  </si>
  <si>
    <t> D. Osowski</t>
  </si>
  <si>
    <t> D. Pionek</t>
  </si>
  <si>
    <t> D. Quadros</t>
  </si>
  <si>
    <t> D. Szarmach</t>
  </si>
  <si>
    <t> E. Amaral</t>
  </si>
  <si>
    <t> E. Borczak</t>
  </si>
  <si>
    <t> E. Gizynski</t>
  </si>
  <si>
    <t> E. Henryk</t>
  </si>
  <si>
    <t> E. Hrabina</t>
  </si>
  <si>
    <t> E. Huk</t>
  </si>
  <si>
    <t> E. Karp</t>
  </si>
  <si>
    <t> E. Kosiorek</t>
  </si>
  <si>
    <t> E. Llorca</t>
  </si>
  <si>
    <t> E. Niemojewski</t>
  </si>
  <si>
    <t> E. Omural</t>
  </si>
  <si>
    <t> E. Petka</t>
  </si>
  <si>
    <t> E. Poniewaz</t>
  </si>
  <si>
    <t> E. Toppi</t>
  </si>
  <si>
    <t> F. Blochowiak</t>
  </si>
  <si>
    <t> F. Mnich</t>
  </si>
  <si>
    <t> F. Pelayo</t>
  </si>
  <si>
    <t> F. Zacharczyk</t>
  </si>
  <si>
    <t> G. Onitiu</t>
  </si>
  <si>
    <t> G. Tuliszewski</t>
  </si>
  <si>
    <t> H. Bielecki</t>
  </si>
  <si>
    <t> H. Cheng Jie</t>
  </si>
  <si>
    <t> H. Kasperczak</t>
  </si>
  <si>
    <t> H. Wejta</t>
  </si>
  <si>
    <t> I. Cerocki</t>
  </si>
  <si>
    <t> I. Duszenski</t>
  </si>
  <si>
    <t> I. Kaszubik</t>
  </si>
  <si>
    <t> I. Lato</t>
  </si>
  <si>
    <t> I. Oborski</t>
  </si>
  <si>
    <t> J. Cichocki</t>
  </si>
  <si>
    <t> J. Iturbide</t>
  </si>
  <si>
    <t> J. Kempka</t>
  </si>
  <si>
    <t> J. Lohitzun</t>
  </si>
  <si>
    <t> J. Ludwiczak</t>
  </si>
  <si>
    <t> J. Majkowski</t>
  </si>
  <si>
    <t> J. Mleczewski</t>
  </si>
  <si>
    <t> J. Niedziela</t>
  </si>
  <si>
    <t> J. Sierocki</t>
  </si>
  <si>
    <t> J. Swoboda</t>
  </si>
  <si>
    <t> J. Wincek</t>
  </si>
  <si>
    <t> K. Giejda</t>
  </si>
  <si>
    <t> K. Grabowicz</t>
  </si>
  <si>
    <t> K. Jarek</t>
  </si>
  <si>
    <t> K. Jurgiel</t>
  </si>
  <si>
    <t> K. Kosowski</t>
  </si>
  <si>
    <t> K. Major</t>
  </si>
  <si>
    <t> K. Niedzwiecki</t>
  </si>
  <si>
    <t> K. Oliszewski</t>
  </si>
  <si>
    <t> K. Oryl</t>
  </si>
  <si>
    <t> K. R. Hansen</t>
  </si>
  <si>
    <t> K. Skrzypek</t>
  </si>
  <si>
    <t> K. Witkowski</t>
  </si>
  <si>
    <t> L. Bakes</t>
  </si>
  <si>
    <t> L. Björck</t>
  </si>
  <si>
    <t> L. Cuber</t>
  </si>
  <si>
    <t> L. Fujarczuk</t>
  </si>
  <si>
    <t> L. Gleba</t>
  </si>
  <si>
    <t> L. Golaszewski</t>
  </si>
  <si>
    <t> L. Kanczuszewski</t>
  </si>
  <si>
    <t> L. Parzysz</t>
  </si>
  <si>
    <t> L. Radzyminski</t>
  </si>
  <si>
    <t> L. Ramzinski</t>
  </si>
  <si>
    <t> L. Robak</t>
  </si>
  <si>
    <t> L. Tobolev</t>
  </si>
  <si>
    <t> L. Walec</t>
  </si>
  <si>
    <t> L. Witkowski</t>
  </si>
  <si>
    <t> M. Abilio</t>
  </si>
  <si>
    <t> M. Andik Motowski</t>
  </si>
  <si>
    <t> M. Brytan</t>
  </si>
  <si>
    <t> M. Czeszejko</t>
  </si>
  <si>
    <t> M. Falkiewicz</t>
  </si>
  <si>
    <t> M. Hetman</t>
  </si>
  <si>
    <t> M. Jaks</t>
  </si>
  <si>
    <t> M. Kosowski</t>
  </si>
  <si>
    <t> M. Kostrzewski</t>
  </si>
  <si>
    <t> M. Laba</t>
  </si>
  <si>
    <t> M. Oğuz Tanyol</t>
  </si>
  <si>
    <t> M. Özver</t>
  </si>
  <si>
    <t> M. Pietrowski</t>
  </si>
  <si>
    <t> M. Pochorylo</t>
  </si>
  <si>
    <t> M. Selim Ongul</t>
  </si>
  <si>
    <t> M. Sokol</t>
  </si>
  <si>
    <t> M. Solarek</t>
  </si>
  <si>
    <t> M. Szostak</t>
  </si>
  <si>
    <t> M. Szpakowski</t>
  </si>
  <si>
    <t> M. Wachna</t>
  </si>
  <si>
    <t> M. Wasilewski</t>
  </si>
  <si>
    <t> M. Weyna</t>
  </si>
  <si>
    <t> M. Zapolski</t>
  </si>
  <si>
    <t> M. Zgonina</t>
  </si>
  <si>
    <t> N. Bărănescu</t>
  </si>
  <si>
    <t> N. Barna</t>
  </si>
  <si>
    <t> N. Treppa</t>
  </si>
  <si>
    <t> O. Alström</t>
  </si>
  <si>
    <t> O. Skikiewicz</t>
  </si>
  <si>
    <t> P. Jaktorowo</t>
  </si>
  <si>
    <t> P. Molski</t>
  </si>
  <si>
    <t> P. Poling</t>
  </si>
  <si>
    <t> P. Sebzda</t>
  </si>
  <si>
    <t> R. Alves</t>
  </si>
  <si>
    <t> R. Augustyn</t>
  </si>
  <si>
    <t> R. Bryk</t>
  </si>
  <si>
    <t> R. Cichowski</t>
  </si>
  <si>
    <t> R. Danisiewicz</t>
  </si>
  <si>
    <t> R. Gaszynski</t>
  </si>
  <si>
    <t> R. Glapiak</t>
  </si>
  <si>
    <t> R. Konieczny</t>
  </si>
  <si>
    <t> R. Narbut</t>
  </si>
  <si>
    <t> R. Niziolek</t>
  </si>
  <si>
    <t> R. Tiadoro</t>
  </si>
  <si>
    <t> R. Trenning</t>
  </si>
  <si>
    <t> R. Trynda</t>
  </si>
  <si>
    <t> R. Zagrodny</t>
  </si>
  <si>
    <t> R. Zakrzewski</t>
  </si>
  <si>
    <t> R. Zarobski</t>
  </si>
  <si>
    <t> S. Cebula</t>
  </si>
  <si>
    <t> S. Chrobak</t>
  </si>
  <si>
    <t> S. Feng Ping</t>
  </si>
  <si>
    <t> S. Fujarczuk</t>
  </si>
  <si>
    <t> S. Gondela</t>
  </si>
  <si>
    <t> S. Kaszubowski</t>
  </si>
  <si>
    <t> S. Nastasio</t>
  </si>
  <si>
    <t> S. Pierz</t>
  </si>
  <si>
    <t> S. Şahbender</t>
  </si>
  <si>
    <t> S. Zacharek</t>
  </si>
  <si>
    <t> T. Daszkowski</t>
  </si>
  <si>
    <t> T. Pietrowski</t>
  </si>
  <si>
    <t> T. Riva</t>
  </si>
  <si>
    <t> T. Sala</t>
  </si>
  <si>
    <t> T. Sidor</t>
  </si>
  <si>
    <t> T. Wolniewicz</t>
  </si>
  <si>
    <t> U. Kaczor</t>
  </si>
  <si>
    <t> U. Wachna</t>
  </si>
  <si>
    <t> W. Bochinski</t>
  </si>
  <si>
    <t> W. Cielencki</t>
  </si>
  <si>
    <t> W. Dropinski</t>
  </si>
  <si>
    <t> W. Furgal</t>
  </si>
  <si>
    <t> W. Janiczek</t>
  </si>
  <si>
    <t> W. Lopez</t>
  </si>
  <si>
    <t> W. Marajda</t>
  </si>
  <si>
    <t> W. Porajewski</t>
  </si>
  <si>
    <t> W. Seliga</t>
  </si>
  <si>
    <t> W. Sidor</t>
  </si>
  <si>
    <t> W. Szostak</t>
  </si>
  <si>
    <t> W. Zawaski</t>
  </si>
  <si>
    <t> Z. Byczewski</t>
  </si>
  <si>
    <t> Z. Dupak</t>
  </si>
  <si>
    <t> Z. Gerlach</t>
  </si>
  <si>
    <t> Z. Prokowski</t>
  </si>
  <si>
    <t> Z. Wozniak</t>
  </si>
  <si>
    <t> Z. Zuraw</t>
  </si>
  <si>
    <t> 秦博梁</t>
  </si>
  <si>
    <t> 董飞银</t>
  </si>
  <si>
    <t> 邱坤骋</t>
  </si>
  <si>
    <t> 马耀升</t>
  </si>
  <si>
    <t>Number</t>
  </si>
  <si>
    <t>Player name</t>
  </si>
  <si>
    <t>Value</t>
  </si>
  <si>
    <t>Age</t>
  </si>
  <si>
    <t>Season Birthday</t>
  </si>
  <si>
    <t>Speed</t>
  </si>
  <si>
    <t>Stamina</t>
  </si>
  <si>
    <t>Passing</t>
  </si>
  <si>
    <t>Shooting</t>
  </si>
  <si>
    <t>Heading</t>
  </si>
  <si>
    <t>Control</t>
  </si>
  <si>
    <t>Tackling</t>
  </si>
  <si>
    <t>Long Passing</t>
  </si>
  <si>
    <t>Experience</t>
  </si>
  <si>
    <t>Overral</t>
  </si>
  <si>
    <t>Overral+EXP</t>
  </si>
  <si>
    <t>Penalty</t>
  </si>
  <si>
    <t>Capitaincy</t>
  </si>
  <si>
    <t>Salary</t>
  </si>
  <si>
    <t>Vision</t>
  </si>
  <si>
    <t>Free Kick Acc</t>
  </si>
  <si>
    <t>FK</t>
  </si>
  <si>
    <t>Team Name</t>
  </si>
  <si>
    <t>SUM</t>
  </si>
  <si>
    <t>Sum</t>
  </si>
  <si>
    <t>Goalkeeping</t>
  </si>
  <si>
    <t>Attributes</t>
  </si>
  <si>
    <t>GK</t>
  </si>
  <si>
    <t>CB</t>
  </si>
  <si>
    <t>SB</t>
  </si>
  <si>
    <t>DM</t>
  </si>
  <si>
    <t>CM</t>
  </si>
  <si>
    <t>SM</t>
  </si>
  <si>
    <t>OM</t>
  </si>
  <si>
    <t>SOM</t>
  </si>
  <si>
    <t>AVG</t>
  </si>
  <si>
    <t>Player Name</t>
  </si>
  <si>
    <t>Position</t>
  </si>
  <si>
    <t>Role</t>
  </si>
  <si>
    <t>Match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</si>
</sst>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0.000"/>
    <numFmt numFmtId="166" formatCode="0.0"/>
    <numFmt numFmtId="167" formatCode="0.00%;\-0.00%;0.00%"/>
  </numFmts>
  <fonts count="9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u/>
      <sz val="11"/>
      <color theme="10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theme="8" tint="0.5999938962981048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theme="7" tint="0.79998168889431442"/>
      </patternFill>
    </fill>
  </fills>
  <borders count="32">
    <border>
      <left/>
      <right/>
      <top/>
      <bottom/>
      <diagonal/>
    </border>
    <border>
      <left style="thin">
        <color theme="8"/>
      </left>
      <right/>
      <top/>
      <bottom/>
      <diagonal/>
    </border>
    <border>
      <left/>
      <right style="thin">
        <color theme="8"/>
      </right>
      <top style="thin">
        <color theme="8"/>
      </top>
      <bottom style="medium">
        <color theme="8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medium">
        <color theme="6"/>
      </bottom>
      <diagonal/>
    </border>
    <border>
      <left style="thin">
        <color theme="6"/>
      </left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6"/>
      </left>
      <right style="thin">
        <color theme="6"/>
      </right>
      <top/>
      <bottom/>
      <diagonal/>
    </border>
    <border>
      <left/>
      <right style="thin">
        <color theme="6"/>
      </right>
      <top style="thin">
        <color theme="6"/>
      </top>
      <bottom style="medium">
        <color theme="6"/>
      </bottom>
      <diagonal/>
    </border>
    <border>
      <left/>
      <right style="thin">
        <color theme="6"/>
      </right>
      <top style="thin">
        <color theme="6"/>
      </top>
      <bottom style="thin">
        <color theme="6"/>
      </bottom>
      <diagonal/>
    </border>
    <border>
      <left style="thin">
        <color theme="4"/>
      </left>
      <right style="thin">
        <color theme="4"/>
      </right>
      <top style="thin">
        <color theme="4"/>
      </top>
      <bottom style="medium">
        <color theme="4"/>
      </bottom>
      <diagonal/>
    </border>
    <border>
      <left style="thin">
        <color theme="8" tint="0.39997558519241921"/>
      </left>
      <right style="thin">
        <color theme="8" tint="0.39997558519241921"/>
      </right>
      <top style="thin">
        <color theme="8" tint="0.39997558519241921"/>
      </top>
      <bottom style="thin">
        <color theme="8" tint="0.39997558519241921"/>
      </bottom>
      <diagonal/>
    </border>
    <border>
      <left style="thin">
        <color theme="8" tint="0.39997558519241921"/>
      </left>
      <right style="thin">
        <color theme="8" tint="0.39997558519241921"/>
      </right>
      <top style="thin">
        <color theme="8" tint="0.3999755851924192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theme="7"/>
      </left>
      <right style="thin">
        <color theme="7"/>
      </right>
      <top style="thin">
        <color theme="7"/>
      </top>
      <bottom/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theme="7"/>
      </bottom>
      <diagonal/>
    </border>
    <border>
      <left style="thin">
        <color theme="6"/>
      </left>
      <right style="thin">
        <color theme="6"/>
      </right>
      <top style="thin">
        <color theme="6"/>
      </top>
      <bottom/>
      <diagonal/>
    </border>
  </borders>
  <cellStyleXfs count="3">
    <xf numFmtId="0" fontId="0" fillId="0" borderId="0"/>
    <xf numFmtId="9" fontId="6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37">
    <xf numFmtId="0" fontId="0" fillId="0" borderId="0" xfId="0"/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center" vertical="center" wrapText="1"/>
    </xf>
    <xf numFmtId="0" fontId="1" fillId="0" borderId="0" xfId="0" applyFont="1"/>
    <xf numFmtId="9" fontId="2" fillId="0" borderId="0" xfId="0" applyNumberFormat="1" applyFont="1" applyAlignment="1">
      <alignment horizontal="right" vertical="center" wrapText="1"/>
    </xf>
    <xf numFmtId="0" fontId="1" fillId="0" borderId="1" xfId="0" applyFont="1" applyBorder="1" applyAlignment="1">
      <alignment horizontal="left" vertical="center"/>
    </xf>
    <xf numFmtId="0" fontId="1" fillId="0" borderId="2" xfId="0" applyFont="1" applyBorder="1"/>
    <xf numFmtId="0" fontId="0" fillId="3" borderId="0" xfId="0" applyFill="1"/>
    <xf numFmtId="0" fontId="0" fillId="4" borderId="0" xfId="0" applyFill="1"/>
    <xf numFmtId="9" fontId="0" fillId="0" borderId="0" xfId="0" applyNumberFormat="1"/>
    <xf numFmtId="9" fontId="0" fillId="0" borderId="0" xfId="0" applyNumberFormat="1" applyAlignment="1">
      <alignment horizontal="right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" fillId="0" borderId="7" xfId="0" applyFont="1" applyBorder="1"/>
    <xf numFmtId="0" fontId="1" fillId="0" borderId="9" xfId="0" applyFont="1" applyBorder="1"/>
    <xf numFmtId="0" fontId="1" fillId="0" borderId="10" xfId="0" applyFont="1" applyBorder="1"/>
    <xf numFmtId="2" fontId="0" fillId="0" borderId="0" xfId="0" applyNumberFormat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1" fillId="0" borderId="8" xfId="0" applyFont="1" applyBorder="1" applyAlignment="1">
      <alignment vertical="center"/>
    </xf>
    <xf numFmtId="0" fontId="1" fillId="9" borderId="7" xfId="0" applyFont="1" applyFill="1" applyBorder="1"/>
    <xf numFmtId="0" fontId="1" fillId="0" borderId="12" xfId="0" applyFont="1" applyBorder="1"/>
    <xf numFmtId="0" fontId="1" fillId="9" borderId="10" xfId="0" applyFont="1" applyFill="1" applyBorder="1"/>
    <xf numFmtId="0" fontId="0" fillId="0" borderId="11" xfId="0" applyBorder="1" applyAlignment="1">
      <alignment vertical="center" wrapText="1"/>
    </xf>
    <xf numFmtId="0" fontId="1" fillId="0" borderId="0" xfId="0" applyFont="1" applyAlignment="1">
      <alignment horizontal="center" vertical="center"/>
    </xf>
    <xf numFmtId="164" fontId="0" fillId="0" borderId="0" xfId="0" applyNumberFormat="1"/>
    <xf numFmtId="0" fontId="0" fillId="10" borderId="0" xfId="0" applyFill="1" applyAlignment="1">
      <alignment horizontal="left" vertical="center"/>
    </xf>
    <xf numFmtId="0" fontId="1" fillId="10" borderId="0" xfId="0" applyFont="1" applyFill="1"/>
    <xf numFmtId="0" fontId="0" fillId="10" borderId="0" xfId="0" applyFill="1" applyAlignment="1">
      <alignment horizontal="right" vertical="center"/>
    </xf>
    <xf numFmtId="165" fontId="0" fillId="7" borderId="0" xfId="0" applyNumberFormat="1" applyFill="1"/>
    <xf numFmtId="165" fontId="0" fillId="7" borderId="0" xfId="0" applyNumberFormat="1" applyFill="1" applyAlignment="1">
      <alignment horizontal="right" vertical="center" wrapText="1"/>
    </xf>
    <xf numFmtId="0" fontId="4" fillId="11" borderId="0" xfId="0" applyFont="1" applyFill="1"/>
    <xf numFmtId="165" fontId="4" fillId="11" borderId="0" xfId="0" applyNumberFormat="1" applyFont="1" applyFill="1"/>
    <xf numFmtId="165" fontId="4" fillId="11" borderId="0" xfId="0" applyNumberFormat="1" applyFont="1" applyFill="1" applyAlignment="1">
      <alignment horizontal="right" vertical="center" wrapText="1"/>
    </xf>
    <xf numFmtId="0" fontId="1" fillId="12" borderId="0" xfId="0" applyFont="1" applyFill="1"/>
    <xf numFmtId="0" fontId="0" fillId="12" borderId="0" xfId="0" applyFill="1"/>
    <xf numFmtId="166" fontId="0" fillId="0" borderId="0" xfId="0" applyNumberFormat="1"/>
    <xf numFmtId="0" fontId="1" fillId="0" borderId="0" xfId="0" applyFont="1" applyAlignment="1">
      <alignment vertical="center"/>
    </xf>
    <xf numFmtId="0" fontId="0" fillId="11" borderId="0" xfId="0" applyFill="1"/>
    <xf numFmtId="0" fontId="1" fillId="12" borderId="13" xfId="0" applyFont="1" applyFill="1" applyBorder="1"/>
    <xf numFmtId="0" fontId="1" fillId="12" borderId="14" xfId="0" applyFont="1" applyFill="1" applyBorder="1"/>
    <xf numFmtId="165" fontId="0" fillId="11" borderId="0" xfId="0" applyNumberFormat="1" applyFill="1"/>
    <xf numFmtId="165" fontId="0" fillId="11" borderId="0" xfId="0" applyNumberFormat="1" applyFill="1" applyAlignment="1">
      <alignment horizontal="right" vertical="center" wrapText="1"/>
    </xf>
    <xf numFmtId="0" fontId="0" fillId="0" borderId="0" xfId="0" applyAlignment="1">
      <alignment horizontal="right"/>
    </xf>
    <xf numFmtId="0" fontId="0" fillId="0" borderId="16" xfId="0" applyBorder="1" applyAlignment="1">
      <alignment horizontal="center" vertical="center"/>
    </xf>
    <xf numFmtId="0" fontId="4" fillId="3" borderId="0" xfId="0" applyFont="1" applyFill="1"/>
    <xf numFmtId="165" fontId="0" fillId="0" borderId="0" xfId="0" applyNumberFormat="1"/>
    <xf numFmtId="2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2" fontId="0" fillId="0" borderId="16" xfId="0" applyNumberForma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2" fontId="0" fillId="0" borderId="0" xfId="1" applyNumberFormat="1" applyFont="1" applyAlignment="1">
      <alignment horizontal="center" vertical="center"/>
    </xf>
    <xf numFmtId="1" fontId="0" fillId="0" borderId="0" xfId="1" applyNumberFormat="1" applyFont="1" applyAlignment="1">
      <alignment horizontal="center" vertical="center"/>
    </xf>
    <xf numFmtId="16" fontId="0" fillId="0" borderId="0" xfId="0" applyNumberFormat="1"/>
    <xf numFmtId="165" fontId="0" fillId="0" borderId="17" xfId="0" applyNumberFormat="1" applyBorder="1" applyAlignment="1">
      <alignment horizontal="center" vertical="center"/>
    </xf>
    <xf numFmtId="0" fontId="0" fillId="12" borderId="0" xfId="0" applyFill="1" applyAlignment="1">
      <alignment horizontal="center"/>
    </xf>
    <xf numFmtId="0" fontId="0" fillId="14" borderId="0" xfId="0" applyFill="1" applyAlignment="1">
      <alignment horizontal="center"/>
    </xf>
    <xf numFmtId="2" fontId="0" fillId="13" borderId="0" xfId="0" applyNumberFormat="1" applyFill="1"/>
    <xf numFmtId="0" fontId="0" fillId="13" borderId="0" xfId="0" applyFill="1"/>
    <xf numFmtId="0" fontId="0" fillId="15" borderId="0" xfId="0" applyFill="1"/>
    <xf numFmtId="10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0" borderId="3" xfId="0" applyBorder="1" applyAlignment="1">
      <alignment horizontal="center" vertical="center"/>
    </xf>
    <xf numFmtId="0" fontId="0" fillId="0" borderId="24" xfId="0" applyBorder="1" applyAlignment="1">
      <alignment horizontal="right" vertical="center"/>
    </xf>
    <xf numFmtId="0" fontId="1" fillId="2" borderId="1" xfId="0" applyFont="1" applyFill="1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7" fillId="0" borderId="0" xfId="2" applyAlignment="1">
      <alignment horizontal="left" vertical="center" wrapText="1"/>
    </xf>
    <xf numFmtId="20" fontId="0" fillId="0" borderId="0" xfId="0" applyNumberFormat="1"/>
    <xf numFmtId="0" fontId="0" fillId="12" borderId="0" xfId="0" applyFill="1" applyAlignment="1">
      <alignment horizontal="right" vertical="center" wrapText="1"/>
    </xf>
    <xf numFmtId="0" fontId="2" fillId="0" borderId="0" xfId="0" applyFont="1" applyAlignment="1">
      <alignment horizontal="right" vertical="center" wrapText="1"/>
    </xf>
    <xf numFmtId="165" fontId="7" fillId="7" borderId="0" xfId="2" applyNumberFormat="1" applyFill="1" applyAlignment="1">
      <alignment horizontal="right" vertical="center" wrapText="1"/>
    </xf>
    <xf numFmtId="165" fontId="7" fillId="11" borderId="0" xfId="2" applyNumberFormat="1" applyFill="1" applyAlignment="1">
      <alignment horizontal="right" vertical="center" wrapText="1"/>
    </xf>
    <xf numFmtId="0" fontId="0" fillId="0" borderId="28" xfId="0" applyBorder="1"/>
    <xf numFmtId="0" fontId="1" fillId="0" borderId="0" xfId="0" applyFont="1" applyAlignment="1">
      <alignment horizontal="left" vertical="center" wrapText="1"/>
    </xf>
    <xf numFmtId="49" fontId="0" fillId="0" borderId="0" xfId="0" applyNumberFormat="1"/>
    <xf numFmtId="2" fontId="1" fillId="2" borderId="29" xfId="0" applyNumberFormat="1" applyFont="1" applyFill="1" applyBorder="1"/>
    <xf numFmtId="2" fontId="1" fillId="0" borderId="29" xfId="0" applyNumberFormat="1" applyFont="1" applyBorder="1"/>
    <xf numFmtId="0" fontId="8" fillId="0" borderId="0" xfId="0" applyFont="1"/>
    <xf numFmtId="0" fontId="0" fillId="6" borderId="0" xfId="0" applyFill="1" applyAlignment="1">
      <alignment horizontal="right"/>
    </xf>
    <xf numFmtId="0" fontId="0" fillId="8" borderId="8" xfId="0" applyFill="1" applyBorder="1" applyAlignment="1">
      <alignment horizontal="right"/>
    </xf>
    <xf numFmtId="0" fontId="1" fillId="0" borderId="8" xfId="0" applyFont="1" applyBorder="1"/>
    <xf numFmtId="0" fontId="1" fillId="7" borderId="0" xfId="0" applyFont="1" applyFill="1" applyAlignment="1">
      <alignment vertical="center"/>
    </xf>
    <xf numFmtId="0" fontId="0" fillId="7" borderId="11" xfId="0" applyFill="1" applyBorder="1" applyAlignment="1">
      <alignment horizontal="right" vertical="center" wrapText="1"/>
    </xf>
    <xf numFmtId="0" fontId="1" fillId="2" borderId="13" xfId="0" applyFont="1" applyFill="1" applyBorder="1" applyAlignment="1">
      <alignment horizontal="left" vertical="center" wrapText="1"/>
    </xf>
    <xf numFmtId="0" fontId="1" fillId="16" borderId="13" xfId="0" applyFont="1" applyFill="1" applyBorder="1" applyAlignment="1">
      <alignment horizontal="left" vertical="center" wrapText="1"/>
    </xf>
    <xf numFmtId="0" fontId="0" fillId="0" borderId="0" xfId="0" pivotButton="1"/>
    <xf numFmtId="0" fontId="0" fillId="0" borderId="30" xfId="0" applyBorder="1"/>
    <xf numFmtId="0" fontId="1" fillId="17" borderId="0" xfId="0" applyFont="1" applyFill="1"/>
    <xf numFmtId="0" fontId="0" fillId="0" borderId="0" xfId="0" applyAlignment="1">
      <alignment horizontal="left"/>
    </xf>
    <xf numFmtId="2" fontId="0" fillId="0" borderId="0" xfId="0" applyNumberFormat="1" applyAlignment="1">
      <alignment horizontal="center"/>
    </xf>
    <xf numFmtId="0" fontId="1" fillId="0" borderId="31" xfId="0" applyFont="1" applyBorder="1"/>
    <xf numFmtId="0" fontId="0" fillId="8" borderId="0" xfId="0" applyFill="1" applyAlignment="1">
      <alignment horizontal="right"/>
    </xf>
    <xf numFmtId="0" fontId="0" fillId="18" borderId="30" xfId="0" applyFill="1" applyBorder="1"/>
    <xf numFmtId="165" fontId="0" fillId="13" borderId="0" xfId="0" applyNumberFormat="1" applyFill="1"/>
    <xf numFmtId="0" fontId="1" fillId="7" borderId="0" xfId="0" applyFont="1" applyFill="1"/>
    <xf numFmtId="0" fontId="1" fillId="16" borderId="13" xfId="0" applyFont="1" applyFill="1" applyBorder="1"/>
    <xf numFmtId="0" fontId="1" fillId="2" borderId="13" xfId="0" applyFont="1" applyFill="1" applyBorder="1"/>
    <xf numFmtId="0" fontId="0" fillId="16" borderId="13" xfId="0" applyFill="1" applyBorder="1"/>
    <xf numFmtId="0" fontId="0" fillId="2" borderId="13" xfId="0" applyFill="1" applyBorder="1"/>
    <xf numFmtId="0" fontId="0" fillId="12" borderId="13" xfId="0" applyFill="1" applyBorder="1"/>
    <xf numFmtId="49" fontId="1" fillId="0" borderId="0" xfId="0" applyNumberFormat="1" applyFont="1"/>
    <xf numFmtId="3" fontId="0" fillId="0" borderId="0" xfId="0" applyNumberFormat="1"/>
    <xf numFmtId="3" fontId="0" fillId="0" borderId="0" xfId="0" applyNumberFormat="1" applyAlignment="1">
      <alignment horizontal="right" vertical="center"/>
    </xf>
    <xf numFmtId="167" fontId="0" fillId="0" borderId="0" xfId="0" applyNumberFormat="1"/>
    <xf numFmtId="0" fontId="1" fillId="13" borderId="0" xfId="0" applyFont="1" applyFill="1" applyAlignment="1">
      <alignment horizontal="right"/>
    </xf>
    <xf numFmtId="0" fontId="0" fillId="0" borderId="5" xfId="0" applyBorder="1" applyAlignment="1">
      <alignment horizontal="center" vertical="center"/>
    </xf>
    <xf numFmtId="165" fontId="0" fillId="0" borderId="19" xfId="0" applyNumberFormat="1" applyBorder="1" applyAlignment="1">
      <alignment horizontal="center" vertical="center"/>
    </xf>
    <xf numFmtId="165" fontId="0" fillId="0" borderId="5" xfId="0" applyNumberFormat="1" applyBorder="1" applyAlignment="1">
      <alignment horizontal="center" vertical="center"/>
    </xf>
    <xf numFmtId="165" fontId="0" fillId="0" borderId="22" xfId="0" applyNumberFormat="1" applyBorder="1" applyAlignment="1">
      <alignment horizontal="center" vertical="center"/>
    </xf>
    <xf numFmtId="165" fontId="0" fillId="0" borderId="23" xfId="0" applyNumberFormat="1" applyBorder="1" applyAlignment="1">
      <alignment horizontal="center" vertical="center"/>
    </xf>
    <xf numFmtId="165" fontId="0" fillId="0" borderId="16" xfId="0" applyNumberFormat="1" applyBorder="1" applyAlignment="1">
      <alignment horizontal="center" vertical="center"/>
    </xf>
    <xf numFmtId="165" fontId="0" fillId="0" borderId="21" xfId="0" applyNumberForma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5" fontId="0" fillId="0" borderId="17" xfId="0" applyNumberForma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1" xfId="0" applyBorder="1" applyAlignment="1">
      <alignment horizontal="center" vertical="center"/>
    </xf>
    <xf numFmtId="2" fontId="0" fillId="0" borderId="19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165" fontId="0" fillId="0" borderId="20" xfId="0" applyNumberFormat="1" applyBorder="1" applyAlignment="1">
      <alignment horizontal="center" vertical="center"/>
    </xf>
    <xf numFmtId="165" fontId="0" fillId="0" borderId="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0" xfId="0" applyAlignment="1">
      <alignment horizontal="left"/>
    </xf>
    <xf numFmtId="0" fontId="5" fillId="13" borderId="0" xfId="0" applyFont="1" applyFill="1" applyAlignment="1">
      <alignment horizontal="right" vertical="center"/>
    </xf>
    <xf numFmtId="0" fontId="0" fillId="3" borderId="0" xfId="0" applyFill="1" applyAlignment="1">
      <alignment horizontal="center"/>
    </xf>
    <xf numFmtId="0" fontId="0" fillId="0" borderId="2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/>
    <xf numFmtId="0" fontId="0" fillId="0" borderId="0" xfId="0" applyBorder="1" applyAlignment="1">
      <alignment horizontal="center" vertical="center"/>
    </xf>
  </cellXfs>
  <cellStyles count="3">
    <cellStyle name="Hiperłącze" xfId="2" builtinId="8"/>
    <cellStyle name="Normalny" xfId="0" builtinId="0"/>
    <cellStyle name="Procentowy" xfId="1" builtinId="5"/>
  </cellStyles>
  <dxfs count="317"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5" tint="0.39994506668294322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font>
        <b/>
      </font>
    </dxf>
    <dxf>
      <font>
        <b/>
      </font>
      <fill>
        <patternFill patternType="solid">
          <fgColor indexed="64"/>
          <bgColor theme="7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border diagonalUp="0" diagonalDown="0" outline="0">
        <left style="thin">
          <color theme="4"/>
        </left>
        <right style="thin">
          <color theme="4"/>
        </right>
        <top/>
        <bottom/>
      </border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font>
        <b/>
      </font>
    </dxf>
    <dxf>
      <font>
        <b/>
      </font>
      <fill>
        <patternFill patternType="solid">
          <fgColor indexed="64"/>
          <bgColor theme="7" tint="0.59999389629810485"/>
        </patternFill>
      </fill>
    </dxf>
    <dxf>
      <border outline="0">
        <left style="thin">
          <color rgb="FFA5A5A5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border diagonalUp="0" diagonalDown="0" outline="0">
        <left style="thin">
          <color theme="4"/>
        </left>
        <right style="thin">
          <color theme="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  <fill>
        <patternFill patternType="solid">
          <fgColor indexed="64"/>
          <bgColor theme="8" tint="0.59999389629810485"/>
        </patternFill>
      </fill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font>
        <b/>
      </font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fill>
        <patternFill patternType="solid">
          <fgColor indexed="64"/>
          <bgColor theme="7" tint="0.5999938962981048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theme="8"/>
        </right>
        <top style="thin">
          <color theme="8"/>
        </top>
        <bottom style="thin">
          <color theme="8"/>
        </bottom>
      </border>
    </dxf>
    <dxf>
      <border outline="0">
        <left style="thin">
          <color rgb="FF5B9BD5"/>
        </left>
      </border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border diagonalUp="0" diagonalDown="0" outline="0">
        <left style="thin">
          <color theme="4"/>
        </left>
        <right style="thin">
          <color theme="4"/>
        </right>
        <top/>
        <bottom/>
      </border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font>
        <b/>
      </font>
    </dxf>
    <dxf>
      <border outline="0">
        <left style="thin">
          <color rgb="FFA5A5A5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border diagonalUp="0" diagonalDown="0" outline="0">
        <left style="thin">
          <color theme="4"/>
        </left>
        <right style="thin">
          <color theme="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  <fill>
        <patternFill patternType="solid">
          <fgColor indexed="64"/>
          <bgColor theme="8" tint="0.59999389629810485"/>
        </patternFill>
      </fill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font>
        <b/>
      </font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8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theme="8"/>
        </right>
        <top style="thin">
          <color theme="8"/>
        </top>
        <bottom style="thin">
          <color theme="8"/>
        </bottom>
      </border>
    </dxf>
    <dxf>
      <border outline="0">
        <left style="thin">
          <color rgb="FF5B9BD5"/>
        </left>
      </border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font>
        <b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border diagonalUp="0" diagonalDown="0" outline="0">
        <left style="thin">
          <color theme="4"/>
        </left>
        <right style="thin">
          <color theme="4"/>
        </right>
        <top/>
        <bottom/>
      </border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font>
        <b/>
      </font>
    </dxf>
    <dxf>
      <border outline="0">
        <left style="thin">
          <color theme="6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border diagonalUp="0" diagonalDown="0" outline="0">
        <left style="thin">
          <color theme="4"/>
        </left>
        <right style="thin">
          <color theme="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  <fill>
        <patternFill patternType="solid">
          <fgColor indexed="64"/>
          <bgColor theme="8" tint="0.59999389629810485"/>
        </patternFill>
      </fill>
    </dxf>
    <dxf>
      <numFmt numFmtId="0" formatCode="General"/>
      <fill>
        <patternFill patternType="solid">
          <fgColor indexed="64"/>
          <bgColor theme="7" tint="0.59999389629810485"/>
        </patternFill>
      </fill>
    </dxf>
    <dxf>
      <font>
        <b/>
      </font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numFmt numFmtId="166" formatCode="0.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numFmt numFmtId="0" formatCode="General"/>
      <fill>
        <patternFill patternType="solid">
          <fgColor theme="8" tint="0.79998168889431442"/>
          <bgColor theme="8" tint="0.79998168889431442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8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fill>
        <patternFill patternType="solid">
          <fgColor theme="8" tint="0.79998168889431442"/>
          <bgColor theme="8" tint="0.79998168889431442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 style="thin">
          <color theme="8"/>
        </right>
        <top style="thin">
          <color theme="8"/>
        </top>
        <bottom style="thin">
          <color theme="8"/>
        </bottom>
      </border>
    </dxf>
    <dxf>
      <border outline="0">
        <left style="thin">
          <color theme="8"/>
        </left>
      </border>
    </dxf>
    <dxf>
      <font>
        <b/>
      </font>
      <alignment horizontal="center" vertical="center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numFmt numFmtId="0" formatCode="General"/>
      <fill>
        <patternFill patternType="solid">
          <fgColor indexed="64"/>
          <bgColor theme="9" tint="0.59999389629810485"/>
        </patternFill>
      </fill>
    </dxf>
    <dxf>
      <font>
        <b/>
      </font>
    </dxf>
    <dxf>
      <font>
        <b/>
      </font>
    </dxf>
    <dxf>
      <border outline="0">
        <left style="thin">
          <color theme="6"/>
        </left>
      </border>
    </dxf>
    <dxf>
      <font>
        <b/>
      </font>
      <alignment horizontal="center" vertical="center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5" tint="0.59999389629810485"/>
        </patternFill>
      </fill>
      <alignment horizontal="center" vertical="bottom" textRotation="0" wrapText="0" indent="0" justifyLastLine="0" shrinkToFit="0" readingOrder="0"/>
    </dxf>
    <dxf>
      <font>
        <b/>
      </font>
      <numFmt numFmtId="0" formatCode="General"/>
    </dxf>
    <dxf>
      <font>
        <b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border diagonalUp="0" diagonalDown="0" outline="0">
        <left style="thin">
          <color theme="6"/>
        </left>
        <right style="thin">
          <color theme="6"/>
        </right>
        <top/>
        <bottom/>
      </border>
    </dxf>
    <dxf>
      <fill>
        <patternFill patternType="solid">
          <fgColor indexed="64"/>
          <bgColor theme="7" tint="0.79998168889431442"/>
        </patternFill>
      </fill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right" vertical="bottom" textRotation="0" wrapText="0" indent="0" justifyLastLine="0" shrinkToFit="0" readingOrder="0"/>
    </dxf>
    <dxf>
      <numFmt numFmtId="0" formatCode="General"/>
      <fill>
        <patternFill patternType="solid">
          <fgColor indexed="64"/>
          <bgColor theme="7" tint="0.79998168889431442"/>
        </patternFill>
      </fill>
      <alignment horizontal="right" vertical="bottom" textRotation="0" wrapText="0" indent="0" justifyLastLine="0" shrinkToFit="0" readingOrder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border diagonalUp="0" diagonalDown="0">
        <left style="thin">
          <color theme="6"/>
        </left>
        <right style="thin">
          <color theme="6"/>
        </right>
        <top style="thin">
          <color theme="6"/>
        </top>
        <bottom style="thin">
          <color theme="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fill>
        <patternFill patternType="solid">
          <fgColor indexed="64"/>
          <bgColor theme="7" tint="0.59999389629810485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theme="6"/>
        </right>
        <top style="thin">
          <color theme="6"/>
        </top>
        <bottom style="thin">
          <color theme="6"/>
        </bottom>
      </border>
    </dxf>
    <dxf>
      <border outline="0">
        <left style="thin">
          <color theme="6"/>
        </left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theme="6"/>
        </left>
        <right style="thin">
          <color theme="6"/>
        </right>
        <top/>
        <bottom/>
      </border>
    </dxf>
    <dxf>
      <fill>
        <patternFill patternType="none">
          <fgColor indexed="64"/>
          <bgColor indexed="65"/>
        </patternFill>
      </fill>
    </dxf>
    <dxf>
      <numFmt numFmtId="0" formatCode="General"/>
    </dxf>
    <dxf>
      <numFmt numFmtId="164" formatCode="[$-F800]dddd\,\ mmmm\ dd\,\ yyyy"/>
    </dxf>
    <dxf>
      <numFmt numFmtId="0" formatCode="General"/>
    </dxf>
    <dxf>
      <numFmt numFmtId="0" formatCode="General"/>
    </dxf>
    <dxf>
      <numFmt numFmtId="0" formatCode="General"/>
    </dxf>
    <dxf>
      <numFmt numFmtId="13" formatCode="0%"/>
    </dxf>
    <dxf>
      <numFmt numFmtId="13" formatCode="0%"/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</dxf>
    <dxf>
      <fill>
        <patternFill patternType="solid">
          <fgColor indexed="64"/>
          <bgColor theme="5" tint="0.59999389629810485"/>
        </patternFill>
      </fill>
      <alignment horizontal="right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238"/>
        <scheme val="minor"/>
      </font>
      <fill>
        <patternFill patternType="solid">
          <fgColor indexed="64"/>
          <bgColor theme="5" tint="0.59999389629810485"/>
        </patternFill>
      </fill>
    </dxf>
    <dxf>
      <font>
        <b/>
      </font>
      <fill>
        <patternFill patternType="solid">
          <fgColor indexed="64"/>
          <bgColor theme="5" tint="0.59999389629810485"/>
        </patternFill>
      </fill>
    </dxf>
    <dxf>
      <numFmt numFmtId="0" formatCode="General"/>
    </dxf>
    <dxf>
      <numFmt numFmtId="0" formatCode="General"/>
    </dxf>
    <dxf>
      <numFmt numFmtId="13" formatCode="0%"/>
      <alignment horizontal="righ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numFmt numFmtId="165" formatCode="0.000"/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charset val="238"/>
        <scheme val="minor"/>
      </font>
      <numFmt numFmtId="165" formatCode="0.000"/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</dxf>
    <dxf>
      <numFmt numFmtId="165" formatCode="0.000"/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</dxf>
    <dxf>
      <numFmt numFmtId="165" formatCode="0.000"/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</dxf>
    <dxf>
      <numFmt numFmtId="165" formatCode="0.000"/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</dxf>
    <dxf>
      <numFmt numFmtId="165" formatCode="0.000"/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</dxf>
    <dxf>
      <numFmt numFmtId="165" formatCode="0.000"/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</dxf>
    <dxf>
      <numFmt numFmtId="165" formatCode="0.000"/>
      <fill>
        <patternFill patternType="solid">
          <fgColor indexed="64"/>
          <bgColor theme="7" tint="0.39997558519241921"/>
        </patternFill>
      </fill>
      <alignment horizontal="right" vertical="center" textRotation="0" wrapText="1" indent="0" justifyLastLine="0" shrinkToFit="0" readingOrder="0"/>
    </dxf>
    <dxf>
      <numFmt numFmtId="165" formatCode="0.000"/>
      <fill>
        <patternFill patternType="solid">
          <fgColor indexed="64"/>
          <bgColor theme="7" tint="0.59999389629810485"/>
        </patternFill>
      </fill>
      <alignment horizontal="right" vertical="center" textRotation="0" wrapText="1" indent="0" justifyLastLine="0" shrinkToFit="0" readingOrder="0"/>
    </dxf>
    <dxf>
      <numFmt numFmtId="165" formatCode="0.000"/>
      <fill>
        <patternFill patternType="solid">
          <fgColor indexed="64"/>
          <bgColor theme="7" tint="0.59999389629810485"/>
        </patternFill>
      </fill>
      <alignment horizontal="right" vertical="center" textRotation="0" wrapText="1" indent="0" justifyLastLine="0" shrinkToFit="0" readingOrder="0"/>
    </dxf>
    <dxf>
      <numFmt numFmtId="165" formatCode="0.000"/>
      <fill>
        <patternFill patternType="solid">
          <fgColor indexed="64"/>
          <bgColor theme="7" tint="0.59999389629810485"/>
        </patternFill>
      </fill>
      <alignment horizontal="right" vertical="center" textRotation="0" wrapText="1" indent="0" justifyLastLine="0" shrinkToFit="0" readingOrder="0"/>
    </dxf>
    <dxf>
      <numFmt numFmtId="165" formatCode="0.000"/>
      <fill>
        <patternFill patternType="solid">
          <fgColor indexed="64"/>
          <bgColor theme="7" tint="0.59999389629810485"/>
        </patternFill>
      </fill>
      <alignment horizontal="right" vertical="center" textRotation="0" wrapText="1" indent="0" justifyLastLine="0" shrinkToFit="0" readingOrder="0"/>
    </dxf>
    <dxf>
      <numFmt numFmtId="165" formatCode="0.000"/>
      <fill>
        <patternFill patternType="solid">
          <fgColor indexed="64"/>
          <bgColor theme="7" tint="0.59999389629810485"/>
        </patternFill>
      </fill>
      <alignment horizontal="right" vertical="center" textRotation="0" wrapText="1" indent="0" justifyLastLine="0" shrinkToFit="0" readingOrder="0"/>
    </dxf>
    <dxf>
      <numFmt numFmtId="165" formatCode="0.000"/>
      <fill>
        <patternFill patternType="solid">
          <fgColor indexed="64"/>
          <bgColor theme="7" tint="0.59999389629810485"/>
        </patternFill>
      </fill>
      <alignment horizontal="right" vertical="center" textRotation="0" wrapText="1" indent="0" justifyLastLine="0" shrinkToFit="0" readingOrder="0"/>
    </dxf>
    <dxf>
      <numFmt numFmtId="13" formatCode="0%"/>
    </dxf>
    <dxf>
      <font>
        <b/>
      </font>
    </dxf>
    <dxf>
      <font>
        <b/>
      </font>
    </dxf>
    <dxf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textRotation="0" wrapText="0" indent="0" justifyLastLine="0" shrinkToFit="0" readingOrder="0"/>
    </dxf>
    <dxf>
      <numFmt numFmtId="0" formatCode="General"/>
      <alignment horizontal="right" vertical="center"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alignment textRotation="0" wrapText="0" indent="0" justifyLastLine="0" shrinkToFit="0" readingOrder="0"/>
    </dxf>
    <dxf>
      <font>
        <b/>
      </font>
      <numFmt numFmtId="30" formatCode="@"/>
      <alignment textRotation="0" wrapText="0" indent="0" justifyLastLine="0" shrinkToFit="0" readingOrder="0"/>
    </dxf>
    <dxf>
      <font>
        <b/>
      </font>
      <alignment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colors>
    <mruColors>
      <color rgb="FFFA50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pivotCacheDefinition" Target="pivotCache/pivotCacheDefinition6.xml"/><Relationship Id="rId21" Type="http://schemas.openxmlformats.org/officeDocument/2006/relationships/pivotCacheDefinition" Target="pivotCache/pivotCacheDefinition1.xml"/><Relationship Id="rId42" Type="http://schemas.openxmlformats.org/officeDocument/2006/relationships/pivotCacheDefinition" Target="pivotCache/pivotCacheDefinition12.xml"/><Relationship Id="rId47" Type="http://schemas.openxmlformats.org/officeDocument/2006/relationships/pivotCacheDefinition" Target="pivotCache/pivotCacheDefinition17.xml"/><Relationship Id="rId63" Type="http://schemas.openxmlformats.org/officeDocument/2006/relationships/pivotTable" Target="pivotTables/pivotTable12.xml"/><Relationship Id="rId68" Type="http://schemas.openxmlformats.org/officeDocument/2006/relationships/styles" Target="styles.xml"/><Relationship Id="rId84" Type="http://schemas.openxmlformats.org/officeDocument/2006/relationships/customXml" Target="../customXml/item11.xml"/><Relationship Id="rId89" Type="http://schemas.openxmlformats.org/officeDocument/2006/relationships/customXml" Target="../customXml/item16.xml"/><Relationship Id="rId7" Type="http://schemas.openxmlformats.org/officeDocument/2006/relationships/worksheet" Target="worksheets/sheet7.xml"/><Relationship Id="rId71" Type="http://schemas.openxmlformats.org/officeDocument/2006/relationships/powerPivotData" Target="model/item.data"/><Relationship Id="rId92" Type="http://schemas.openxmlformats.org/officeDocument/2006/relationships/customXml" Target="../customXml/item19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microsoft.com/office/2007/relationships/slicerCache" Target="slicerCaches/slicerCache2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4.xml"/><Relationship Id="rId32" Type="http://schemas.microsoft.com/office/2007/relationships/slicerCache" Target="slicerCaches/slicerCache5.xml"/><Relationship Id="rId37" Type="http://schemas.microsoft.com/office/2007/relationships/slicerCache" Target="slicerCaches/slicerCache10.xml"/><Relationship Id="rId40" Type="http://schemas.openxmlformats.org/officeDocument/2006/relationships/pivotCacheDefinition" Target="pivotCache/pivotCacheDefinition10.xml"/><Relationship Id="rId45" Type="http://schemas.openxmlformats.org/officeDocument/2006/relationships/pivotCacheDefinition" Target="pivotCache/pivotCacheDefinition15.xml"/><Relationship Id="rId53" Type="http://schemas.openxmlformats.org/officeDocument/2006/relationships/pivotTable" Target="pivotTables/pivotTable2.xml"/><Relationship Id="rId58" Type="http://schemas.openxmlformats.org/officeDocument/2006/relationships/pivotTable" Target="pivotTables/pivotTable7.xml"/><Relationship Id="rId66" Type="http://schemas.openxmlformats.org/officeDocument/2006/relationships/theme" Target="theme/theme1.xml"/><Relationship Id="rId74" Type="http://schemas.openxmlformats.org/officeDocument/2006/relationships/customXml" Target="../customXml/item1.xml"/><Relationship Id="rId79" Type="http://schemas.openxmlformats.org/officeDocument/2006/relationships/customXml" Target="../customXml/item6.xml"/><Relationship Id="rId87" Type="http://schemas.openxmlformats.org/officeDocument/2006/relationships/customXml" Target="../customXml/item14.xml"/><Relationship Id="rId102" Type="http://schemas.openxmlformats.org/officeDocument/2006/relationships/customXml" Target="../customXml/item29.xml"/><Relationship Id="rId5" Type="http://schemas.openxmlformats.org/officeDocument/2006/relationships/worksheet" Target="worksheets/sheet5.xml"/><Relationship Id="rId61" Type="http://schemas.openxmlformats.org/officeDocument/2006/relationships/pivotTable" Target="pivotTables/pivotTable10.xml"/><Relationship Id="rId82" Type="http://schemas.openxmlformats.org/officeDocument/2006/relationships/customXml" Target="../customXml/item9.xml"/><Relationship Id="rId90" Type="http://schemas.openxmlformats.org/officeDocument/2006/relationships/customXml" Target="../customXml/item17.xml"/><Relationship Id="rId95" Type="http://schemas.openxmlformats.org/officeDocument/2006/relationships/customXml" Target="../customXml/item2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7.xml"/><Relationship Id="rId30" Type="http://schemas.microsoft.com/office/2007/relationships/slicerCache" Target="slicerCaches/slicerCache3.xml"/><Relationship Id="rId35" Type="http://schemas.microsoft.com/office/2007/relationships/slicerCache" Target="slicerCaches/slicerCache8.xml"/><Relationship Id="rId43" Type="http://schemas.openxmlformats.org/officeDocument/2006/relationships/pivotCacheDefinition" Target="pivotCache/pivotCacheDefinition13.xml"/><Relationship Id="rId48" Type="http://schemas.openxmlformats.org/officeDocument/2006/relationships/pivotCacheDefinition" Target="pivotCache/pivotCacheDefinition18.xml"/><Relationship Id="rId56" Type="http://schemas.openxmlformats.org/officeDocument/2006/relationships/pivotTable" Target="pivotTables/pivotTable5.xml"/><Relationship Id="rId64" Type="http://schemas.openxmlformats.org/officeDocument/2006/relationships/pivotTable" Target="pivotTables/pivotTable13.xml"/><Relationship Id="rId69" Type="http://schemas.openxmlformats.org/officeDocument/2006/relationships/sharedStrings" Target="sharedStrings.xml"/><Relationship Id="rId77" Type="http://schemas.openxmlformats.org/officeDocument/2006/relationships/customXml" Target="../customXml/item4.xml"/><Relationship Id="rId100" Type="http://schemas.openxmlformats.org/officeDocument/2006/relationships/customXml" Target="../customXml/item27.xml"/><Relationship Id="rId8" Type="http://schemas.openxmlformats.org/officeDocument/2006/relationships/worksheet" Target="worksheets/sheet8.xml"/><Relationship Id="rId51" Type="http://schemas.openxmlformats.org/officeDocument/2006/relationships/pivotCacheDefinition" Target="pivotCache/pivotCacheDefinition21.xml"/><Relationship Id="rId72" Type="http://schemas.microsoft.com/office/2017/10/relationships/person" Target="persons/person.xml"/><Relationship Id="rId80" Type="http://schemas.openxmlformats.org/officeDocument/2006/relationships/customXml" Target="../customXml/item7.xml"/><Relationship Id="rId85" Type="http://schemas.openxmlformats.org/officeDocument/2006/relationships/customXml" Target="../customXml/item12.xml"/><Relationship Id="rId93" Type="http://schemas.openxmlformats.org/officeDocument/2006/relationships/customXml" Target="../customXml/item20.xml"/><Relationship Id="rId98" Type="http://schemas.openxmlformats.org/officeDocument/2006/relationships/customXml" Target="../customXml/item2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5.xml"/><Relationship Id="rId33" Type="http://schemas.microsoft.com/office/2007/relationships/slicerCache" Target="slicerCaches/slicerCache6.xml"/><Relationship Id="rId38" Type="http://schemas.openxmlformats.org/officeDocument/2006/relationships/pivotCacheDefinition" Target="pivotCache/pivotCacheDefinition8.xml"/><Relationship Id="rId46" Type="http://schemas.openxmlformats.org/officeDocument/2006/relationships/pivotCacheDefinition" Target="pivotCache/pivotCacheDefinition16.xml"/><Relationship Id="rId59" Type="http://schemas.openxmlformats.org/officeDocument/2006/relationships/pivotTable" Target="pivotTables/pivotTable8.xml"/><Relationship Id="rId67" Type="http://schemas.openxmlformats.org/officeDocument/2006/relationships/connections" Target="connections.xml"/><Relationship Id="rId103" Type="http://schemas.openxmlformats.org/officeDocument/2006/relationships/customXml" Target="../customXml/item30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11.xml"/><Relationship Id="rId54" Type="http://schemas.openxmlformats.org/officeDocument/2006/relationships/pivotTable" Target="pivotTables/pivotTable3.xml"/><Relationship Id="rId62" Type="http://schemas.openxmlformats.org/officeDocument/2006/relationships/pivotTable" Target="pivotTables/pivotTable11.xml"/><Relationship Id="rId70" Type="http://schemas.openxmlformats.org/officeDocument/2006/relationships/sheetMetadata" Target="metadata.xml"/><Relationship Id="rId75" Type="http://schemas.openxmlformats.org/officeDocument/2006/relationships/customXml" Target="../customXml/item2.xml"/><Relationship Id="rId83" Type="http://schemas.openxmlformats.org/officeDocument/2006/relationships/customXml" Target="../customXml/item10.xml"/><Relationship Id="rId88" Type="http://schemas.openxmlformats.org/officeDocument/2006/relationships/customXml" Target="../customXml/item15.xml"/><Relationship Id="rId91" Type="http://schemas.openxmlformats.org/officeDocument/2006/relationships/customXml" Target="../customXml/item18.xml"/><Relationship Id="rId96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3.xml"/><Relationship Id="rId28" Type="http://schemas.microsoft.com/office/2007/relationships/slicerCache" Target="slicerCaches/slicerCache1.xml"/><Relationship Id="rId36" Type="http://schemas.microsoft.com/office/2007/relationships/slicerCache" Target="slicerCaches/slicerCache9.xml"/><Relationship Id="rId49" Type="http://schemas.openxmlformats.org/officeDocument/2006/relationships/pivotCacheDefinition" Target="pivotCache/pivotCacheDefinition19.xml"/><Relationship Id="rId57" Type="http://schemas.openxmlformats.org/officeDocument/2006/relationships/pivotTable" Target="pivotTables/pivotTable6.xml"/><Relationship Id="rId10" Type="http://schemas.openxmlformats.org/officeDocument/2006/relationships/worksheet" Target="worksheets/sheet10.xml"/><Relationship Id="rId31" Type="http://schemas.microsoft.com/office/2007/relationships/slicerCache" Target="slicerCaches/slicerCache4.xml"/><Relationship Id="rId44" Type="http://schemas.openxmlformats.org/officeDocument/2006/relationships/pivotCacheDefinition" Target="pivotCache/pivotCacheDefinition14.xml"/><Relationship Id="rId52" Type="http://schemas.openxmlformats.org/officeDocument/2006/relationships/pivotTable" Target="pivotTables/pivotTable1.xml"/><Relationship Id="rId60" Type="http://schemas.openxmlformats.org/officeDocument/2006/relationships/pivotTable" Target="pivotTables/pivotTable9.xml"/><Relationship Id="rId65" Type="http://schemas.openxmlformats.org/officeDocument/2006/relationships/pivotTable" Target="pivotTables/pivotTable14.xml"/><Relationship Id="rId73" Type="http://schemas.openxmlformats.org/officeDocument/2006/relationships/calcChain" Target="calcChain.xml"/><Relationship Id="rId78" Type="http://schemas.openxmlformats.org/officeDocument/2006/relationships/customXml" Target="../customXml/item5.xml"/><Relationship Id="rId81" Type="http://schemas.openxmlformats.org/officeDocument/2006/relationships/customXml" Target="../customXml/item8.xml"/><Relationship Id="rId86" Type="http://schemas.openxmlformats.org/officeDocument/2006/relationships/customXml" Target="../customXml/item13.xml"/><Relationship Id="rId94" Type="http://schemas.openxmlformats.org/officeDocument/2006/relationships/customXml" Target="../customXml/item21.xml"/><Relationship Id="rId99" Type="http://schemas.openxmlformats.org/officeDocument/2006/relationships/customXml" Target="../customXml/item26.xml"/><Relationship Id="rId101" Type="http://schemas.openxmlformats.org/officeDocument/2006/relationships/customXml" Target="../customXml/item2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pivotCacheDefinition" Target="pivotCache/pivotCacheDefinition9.xml"/><Relationship Id="rId34" Type="http://schemas.microsoft.com/office/2007/relationships/slicerCache" Target="slicerCaches/slicerCache7.xml"/><Relationship Id="rId50" Type="http://schemas.openxmlformats.org/officeDocument/2006/relationships/pivotCacheDefinition" Target="pivotCache/pivotCacheDefinition20.xml"/><Relationship Id="rId55" Type="http://schemas.openxmlformats.org/officeDocument/2006/relationships/pivotTable" Target="pivotTables/pivotTable4.xml"/><Relationship Id="rId76" Type="http://schemas.openxmlformats.org/officeDocument/2006/relationships/customXml" Target="../customXml/item3.xml"/><Relationship Id="rId97" Type="http://schemas.openxmlformats.org/officeDocument/2006/relationships/customXml" Target="../customXml/item24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b="1" baseline="0">
                <a:solidFill>
                  <a:schemeClr val="bg1">
                    <a:lumMod val="50000"/>
                  </a:schemeClr>
                </a:solidFill>
              </a:rPr>
              <a:t>Ocena Gracza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numFmt formatCode="#,##0.00" sourceLinked="0"/>
          <c:spPr>
            <a:noFill/>
            <a:ln>
              <a:noFill/>
            </a:ln>
            <a:effectLst>
              <a:glow rad="114300">
                <a:schemeClr val="accent1"/>
              </a:glow>
              <a:outerShdw algn="ctr" rotWithShape="0">
                <a:srgbClr val="000000">
                  <a:alpha val="0"/>
                </a:srgbClr>
              </a:outerShdw>
              <a:softEdge rad="0"/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lumMod val="75000"/>
                <a:alpha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12700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>
                <a:alpha val="50000"/>
              </a:schemeClr>
            </a:solidFill>
            <a:round/>
          </a:ln>
          <a:effectLst/>
        </c:spPr>
        <c:marker>
          <c:symbol val="diamond"/>
          <c:size val="9"/>
          <c:spPr>
            <a:solidFill>
              <a:schemeClr val="accent2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ln w="22225" cap="rnd" cmpd="sng" algn="ctr">
            <a:solidFill>
              <a:schemeClr val="accent1">
                <a:alpha val="50000"/>
              </a:schemeClr>
            </a:solidFill>
            <a:round/>
          </a:ln>
          <a:effectLst/>
        </c:spPr>
        <c:marker>
          <c:symbol val="diamond"/>
          <c:size val="9"/>
          <c:spPr>
            <a:solidFill>
              <a:schemeClr val="accent2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v>Suma</c:v>
          </c:tx>
          <c:spPr>
            <a:ln w="22225" cap="rnd" cmpd="sng" algn="ctr">
              <a:solidFill>
                <a:schemeClr val="accent1">
                  <a:alpha val="50000"/>
                </a:schemeClr>
              </a:solidFill>
              <a:round/>
            </a:ln>
            <a:effectLst/>
          </c:spPr>
          <c:marker>
            <c:symbol val="diamond"/>
            <c:size val="9"/>
            <c:spPr>
              <a:solidFill>
                <a:schemeClr val="accent2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Lit>
              <c:ptCount val="19"/>
              <c:pt idx="0">
                <c:v>ST
32</c:v>
              </c:pt>
              <c:pt idx="1">
                <c:v>ST
43</c:v>
              </c:pt>
              <c:pt idx="2">
                <c:v>ST
48</c:v>
              </c:pt>
              <c:pt idx="3">
                <c:v>ST
59</c:v>
              </c:pt>
              <c:pt idx="4">
                <c:v>ST
67</c:v>
              </c:pt>
              <c:pt idx="5">
                <c:v>ST
77</c:v>
              </c:pt>
              <c:pt idx="6">
                <c:v>PN
83</c:v>
              </c:pt>
              <c:pt idx="7">
                <c:v>ST
90</c:v>
              </c:pt>
              <c:pt idx="8">
                <c:v>ST
102</c:v>
              </c:pt>
              <c:pt idx="9">
                <c:v>ST
111</c:v>
              </c:pt>
              <c:pt idx="10">
                <c:v>ST
125</c:v>
              </c:pt>
              <c:pt idx="11">
                <c:v>ST
131</c:v>
              </c:pt>
              <c:pt idx="12">
                <c:v>ST
139</c:v>
              </c:pt>
              <c:pt idx="13">
                <c:v>ST
144</c:v>
              </c:pt>
              <c:pt idx="14">
                <c:v>ST
158</c:v>
              </c:pt>
              <c:pt idx="15">
                <c:v>ST
167</c:v>
              </c:pt>
              <c:pt idx="16">
                <c:v>ST
178</c:v>
              </c:pt>
              <c:pt idx="17">
                <c:v>ST
183</c:v>
              </c:pt>
              <c:pt idx="18">
                <c:v>ST
195</c:v>
              </c:pt>
            </c:strLit>
          </c:cat>
          <c:val>
            <c:numLit>
              <c:formatCode>0.00</c:formatCode>
              <c:ptCount val="19"/>
              <c:pt idx="0">
                <c:v>7.33</c:v>
              </c:pt>
              <c:pt idx="1">
                <c:v>7.11</c:v>
              </c:pt>
              <c:pt idx="2">
                <c:v>5.4000000000000012</c:v>
              </c:pt>
              <c:pt idx="3">
                <c:v>4.4800000000000004</c:v>
              </c:pt>
              <c:pt idx="4">
                <c:v>7.55</c:v>
              </c:pt>
              <c:pt idx="5">
                <c:v>7.88</c:v>
              </c:pt>
              <c:pt idx="6">
                <c:v>3.93</c:v>
              </c:pt>
              <c:pt idx="7">
                <c:v>9.75</c:v>
              </c:pt>
              <c:pt idx="8">
                <c:v>18.96</c:v>
              </c:pt>
              <c:pt idx="9">
                <c:v>4.7</c:v>
              </c:pt>
              <c:pt idx="10">
                <c:v>3.59</c:v>
              </c:pt>
              <c:pt idx="11">
                <c:v>2.71</c:v>
              </c:pt>
              <c:pt idx="12">
                <c:v>3.15</c:v>
              </c:pt>
              <c:pt idx="13">
                <c:v>15.5</c:v>
              </c:pt>
              <c:pt idx="14">
                <c:v>6.78</c:v>
              </c:pt>
              <c:pt idx="15">
                <c:v>2.71</c:v>
              </c:pt>
              <c:pt idx="16">
                <c:v>9.41</c:v>
              </c:pt>
              <c:pt idx="17">
                <c:v>4.26</c:v>
              </c:pt>
              <c:pt idx="18">
                <c:v>10.24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D287-403A-A122-1CE78AC147B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260847960"/>
        <c:axId val="260848288"/>
      </c:lineChart>
      <c:catAx>
        <c:axId val="260847960"/>
        <c:scaling>
          <c:orientation val="minMax"/>
        </c:scaling>
        <c:delete val="0"/>
        <c:axPos val="b"/>
        <c:numFmt formatCode="#,##0.000" sourceLinked="0"/>
        <c:majorTickMark val="none"/>
        <c:minorTickMark val="none"/>
        <c:tickLblPos val="low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60848288"/>
        <c:crosses val="autoZero"/>
        <c:auto val="1"/>
        <c:lblAlgn val="ctr"/>
        <c:lblOffset val="100"/>
        <c:noMultiLvlLbl val="0"/>
        <c:extLst/>
      </c:catAx>
      <c:valAx>
        <c:axId val="260848288"/>
        <c:scaling>
          <c:orientation val="minMax"/>
          <c:min val="-5"/>
        </c:scaling>
        <c:delete val="1"/>
        <c:axPos val="l"/>
        <c:majorGridlines>
          <c:spPr>
            <a:ln cap="flat">
              <a:noFill/>
            </a:ln>
            <a:effectLst/>
          </c:spPr>
        </c:majorGridlines>
        <c:numFmt formatCode="0.00" sourceLinked="0"/>
        <c:majorTickMark val="out"/>
        <c:minorTickMark val="none"/>
        <c:tickLblPos val="nextTo"/>
        <c:crossAx val="260847960"/>
        <c:crossesAt val="0"/>
        <c:crossBetween val="between"/>
        <c:extLst>
          <c:ext xmlns:c15="http://schemas.microsoft.com/office/drawing/2012/chart" uri="{F40574EE-89B7-4290-83BB-5DA773EAF853}">
            <c15:numFmt c:formatCode="0.00" c:sourceLinked="1"/>
          </c:ext>
        </c:extLst>
      </c:valAx>
      <c:spPr>
        <a:gradFill>
          <a:gsLst>
            <a:gs pos="0">
              <a:schemeClr val="accent6">
                <a:lumMod val="40000"/>
                <a:lumOff val="60000"/>
              </a:schemeClr>
            </a:gs>
            <a:gs pos="34000">
              <a:schemeClr val="accent6">
                <a:lumMod val="20000"/>
                <a:lumOff val="80000"/>
              </a:schemeClr>
            </a:gs>
            <a:gs pos="67000">
              <a:schemeClr val="accent2">
                <a:lumMod val="20000"/>
                <a:lumOff val="80000"/>
              </a:schemeClr>
            </a:gs>
            <a:gs pos="100000">
              <a:schemeClr val="accent2">
                <a:lumMod val="40000"/>
                <a:lumOff val="60000"/>
              </a:schemeClr>
            </a:gs>
          </a:gsLst>
          <a:lin ang="5400000" scaled="1"/>
        </a:gradFill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accent5">
        <a:lumMod val="40000"/>
        <a:lumOff val="60000"/>
        <a:alpha val="60000"/>
      </a:schemeClr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pl-PL"/>
    </a:p>
  </c:txPr>
  <c:extLst>
    <c:ext xmlns:c15="http://schemas.microsoft.com/office/drawing/2012/chart" uri="{723BEF56-08C2-4564-9609-F4CBC75E7E54}">
      <c15:pivotSource>
        <c15:name>[managerzone75_ang.xlsx]PivotChartTable1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600" b="1"/>
              <a:t>Ocena Pozycji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PN
 K. Grabowicz</c:v>
              </c:pt>
              <c:pt idx="1">
                <c:v>ST
 K. Grabowicz</c:v>
              </c:pt>
            </c:strLit>
          </c:cat>
          <c:val>
            <c:numLit>
              <c:formatCode>0.00</c:formatCode>
              <c:ptCount val="2"/>
              <c:pt idx="0">
                <c:v>3.93</c:v>
              </c:pt>
              <c:pt idx="1">
                <c:v>7.3158823529411769</c:v>
              </c:pt>
            </c:numLit>
          </c:val>
          <c:extLst>
            <c:ext xmlns:c16="http://schemas.microsoft.com/office/drawing/2014/chart" uri="{C3380CC4-5D6E-409C-BE32-E72D297353CC}">
              <c16:uniqueId val="{00000001-19C1-4E32-B5F5-90AD33C5C11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30537160"/>
        <c:axId val="330540768"/>
      </c:barChart>
      <c:catAx>
        <c:axId val="3305371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30540768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3054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30537160"/>
        <c:crosses val="autoZero"/>
        <c:crossBetween val="between"/>
        <c:extLst>
          <c:ext xmlns:c15="http://schemas.microsoft.com/office/drawing/2012/chart" uri="{F40574EE-89B7-4290-83BB-5DA773EAF853}">
            <c15:numFmt c:formatCode="0.00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extLst>
    <c:ext xmlns:c15="http://schemas.microsoft.com/office/drawing/2012/chart" uri="{723BEF56-08C2-4564-9609-F4CBC75E7E54}">
      <c15:pivotSource>
        <c15:name>[managerzone75_ang.xlsx]PivotChartTable2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 sz="1600"/>
              <a:t>Podania % / Odbiory %</a:t>
            </a:r>
          </a:p>
        </c:rich>
      </c:tx>
      <c:overlay val="0"/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flip="none" rotWithShape="1">
            <a:gsLst>
              <a:gs pos="0">
                <a:schemeClr val="accent6">
                  <a:lumMod val="5000"/>
                  <a:lumOff val="95000"/>
                </a:schemeClr>
              </a:gs>
              <a:gs pos="74000">
                <a:schemeClr val="accent6">
                  <a:lumMod val="45000"/>
                  <a:lumOff val="55000"/>
                </a:schemeClr>
              </a:gs>
              <a:gs pos="83000">
                <a:schemeClr val="accent6">
                  <a:lumMod val="45000"/>
                  <a:lumOff val="55000"/>
                </a:schemeClr>
              </a:gs>
              <a:gs pos="100000">
                <a:schemeClr val="accent6">
                  <a:lumMod val="30000"/>
                  <a:lumOff val="70000"/>
                </a:schemeClr>
              </a:gs>
            </a:gsLst>
            <a:lin ang="5400000" scaled="1"/>
            <a:tileRect/>
          </a:gradFill>
          <a:ln w="12700">
            <a:solidFill>
              <a:schemeClr val="accent1">
                <a:alpha val="50000"/>
              </a:schemeClr>
            </a:solidFill>
          </a:ln>
          <a:scene3d>
            <a:camera prst="orthographicFront"/>
            <a:lightRig rig="threePt" dir="t"/>
          </a:scene3d>
          <a:sp3d prstMaterial="matte"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200" b="1" i="0" baseline="0"/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>
            <a:noFill/>
          </a:ln>
        </c:spPr>
        <c:marker>
          <c:symbol val="diamond"/>
          <c:size val="10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/>
            <a:lstStyle/>
            <a:p>
              <a:pPr>
                <a:defRPr sz="1200" b="1" i="1" baseline="0"/>
              </a:pPr>
              <a:endParaRPr lang="pl-PL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 w="19050">
            <a:solidFill>
              <a:schemeClr val="accent1"/>
            </a:solidFill>
          </a:ln>
          <a:effectLst>
            <a:glow rad="63500">
              <a:schemeClr val="accent5">
                <a:satMod val="175000"/>
                <a:alpha val="40000"/>
              </a:schemeClr>
            </a:glow>
          </a:effectLst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200" b="1" i="0" baseline="0"/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200" b="1" i="1" baseline="0"/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1200" b="1" i="1" baseline="0"/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Średnia %PC</c:v>
          </c:tx>
          <c:spPr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 w="19050">
              <a:solidFill>
                <a:schemeClr val="accent1"/>
              </a:solidFill>
            </a:ln>
            <a:effectLst>
              <a:glow rad="63500">
                <a:schemeClr val="accent5">
                  <a:satMod val="175000"/>
                  <a:alpha val="40000"/>
                </a:schemeClr>
              </a:glow>
            </a:effectLst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 i="0" baseline="0"/>
                </a:pPr>
                <a:endParaRPr lang="pl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2"/>
              <c:pt idx="0">
                <c:v>PN
 K. Grabowicz</c:v>
              </c:pt>
              <c:pt idx="1">
                <c:v>ST
 K. Grabowicz</c:v>
              </c:pt>
            </c:strLit>
          </c:cat>
          <c:val>
            <c:numLit>
              <c:formatCode>General</c:formatCode>
              <c:ptCount val="2"/>
              <c:pt idx="0">
                <c:v>0</c:v>
              </c:pt>
              <c:pt idx="1">
                <c:v>0.62055555555555564</c:v>
              </c:pt>
            </c:numLit>
          </c:val>
          <c:extLst>
            <c:ext xmlns:c16="http://schemas.microsoft.com/office/drawing/2014/chart" uri="{C3380CC4-5D6E-409C-BE32-E72D297353CC}">
              <c16:uniqueId val="{00000002-CE6C-4E5D-8189-A033C4B0D129}"/>
            </c:ext>
          </c:extLst>
        </c:ser>
        <c:ser>
          <c:idx val="1"/>
          <c:order val="1"/>
          <c:tx>
            <c:v>Średnia %OU</c:v>
          </c:tx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1" i="1" baseline="0"/>
                </a:pPr>
                <a:endParaRPr lang="pl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Lit>
              <c:ptCount val="2"/>
              <c:pt idx="0">
                <c:v>PN
 K. Grabowicz</c:v>
              </c:pt>
              <c:pt idx="1">
                <c:v>ST
 K. Grabowicz</c:v>
              </c:pt>
            </c:strLit>
          </c:cat>
          <c:val>
            <c:numLit>
              <c:formatCode>General</c:formatCode>
              <c:ptCount val="2"/>
              <c:pt idx="0">
                <c:v>0</c:v>
              </c:pt>
              <c:pt idx="1">
                <c:v>0.32647058823529418</c:v>
              </c:pt>
            </c:numLit>
          </c:val>
          <c:extLst>
            <c:ext xmlns:c16="http://schemas.microsoft.com/office/drawing/2014/chart" uri="{C3380CC4-5D6E-409C-BE32-E72D297353CC}">
              <c16:uniqueId val="{00000002-C9EE-4391-BEC4-D8C020E4A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9"/>
        <c:axId val="606605264"/>
        <c:axId val="590208464"/>
      </c:barChart>
      <c:valAx>
        <c:axId val="590208464"/>
        <c:scaling>
          <c:orientation val="minMax"/>
          <c:max val="1"/>
        </c:scaling>
        <c:delete val="0"/>
        <c:axPos val="l"/>
        <c:numFmt formatCode="0%" sourceLinked="0"/>
        <c:majorTickMark val="out"/>
        <c:minorTickMark val="none"/>
        <c:tickLblPos val="nextTo"/>
        <c:crossAx val="606605264"/>
        <c:crosses val="autoZero"/>
        <c:crossBetween val="between"/>
      </c:valAx>
      <c:catAx>
        <c:axId val="6066052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59020846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solidFill>
          <a:schemeClr val="accent4">
            <a:lumMod val="20000"/>
            <a:lumOff val="80000"/>
            <a:alpha val="50000"/>
          </a:schemeClr>
        </a:solidFill>
      </c:spPr>
    </c:plotArea>
    <c:plotVisOnly val="1"/>
    <c:dispBlanksAs val="gap"/>
    <c:showDLblsOverMax val="0"/>
    <c:extLst/>
  </c:chart>
  <c:spPr>
    <a:solidFill>
      <a:schemeClr val="accent4">
        <a:lumMod val="20000"/>
        <a:lumOff val="80000"/>
        <a:alpha val="40000"/>
      </a:schemeClr>
    </a:solidFill>
  </c:spPr>
  <c:txPr>
    <a:bodyPr/>
    <a:lstStyle/>
    <a:p>
      <a:pPr>
        <a:defRPr sz="1100" baseline="0">
          <a:solidFill>
            <a:schemeClr val="tx1">
              <a:lumMod val="75000"/>
              <a:lumOff val="25000"/>
            </a:schemeClr>
          </a:solidFill>
        </a:defRPr>
      </a:pPr>
      <a:endParaRPr lang="pl-PL"/>
    </a:p>
  </c:txPr>
  <c:extLst>
    <c:ext xmlns:c15="http://schemas.microsoft.com/office/drawing/2012/chart" uri="{723BEF56-08C2-4564-9609-F4CBC75E7E54}">
      <c15:pivotSource>
        <c15:name>[managerzone75_ang.xlsx]PivotChartTable3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600" b="1"/>
              <a:t>Power</a:t>
            </a:r>
            <a:r>
              <a:rPr lang="pl-PL" sz="1600" b="1" baseline="0"/>
              <a:t> Index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6">
                  <a:lumMod val="75000"/>
                </a:schemeClr>
              </a:gs>
              <a:gs pos="55000">
                <a:schemeClr val="accent6">
                  <a:lumMod val="60000"/>
                  <a:lumOff val="40000"/>
                </a:schemeClr>
              </a:gs>
              <a:gs pos="80000">
                <a:schemeClr val="accent6">
                  <a:lumMod val="40000"/>
                  <a:lumOff val="60000"/>
                </a:schemeClr>
              </a:gs>
              <a:gs pos="100000">
                <a:schemeClr val="accent6">
                  <a:lumMod val="20000"/>
                  <a:lumOff val="80000"/>
                </a:schemeClr>
              </a:gs>
            </a:gsLst>
            <a:lin ang="5400000" scaled="1"/>
            <a:tileRect/>
          </a:gradFill>
          <a:ln cap="rnd">
            <a:solidFill>
              <a:schemeClr val="dk1">
                <a:lumMod val="15000"/>
                <a:lumOff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0" normalizeH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6"/>
        <c:spPr>
          <a:gradFill flip="none" rotWithShape="1">
            <a:gsLst>
              <a:gs pos="0">
                <a:schemeClr val="accent6">
                  <a:lumMod val="75000"/>
                </a:schemeClr>
              </a:gs>
              <a:gs pos="55000">
                <a:schemeClr val="accent6">
                  <a:lumMod val="60000"/>
                  <a:lumOff val="40000"/>
                </a:schemeClr>
              </a:gs>
              <a:gs pos="80000">
                <a:schemeClr val="accent6">
                  <a:lumMod val="40000"/>
                  <a:lumOff val="60000"/>
                </a:schemeClr>
              </a:gs>
              <a:gs pos="100000">
                <a:schemeClr val="accent6">
                  <a:lumMod val="20000"/>
                  <a:lumOff val="80000"/>
                </a:schemeClr>
              </a:gs>
            </a:gsLst>
            <a:lin ang="5400000" scaled="1"/>
            <a:tileRect/>
          </a:gradFill>
          <a:ln cap="rnd">
            <a:solidFill>
              <a:schemeClr val="dk1">
                <a:lumMod val="15000"/>
                <a:lumOff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0" normalizeH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flip="none" rotWithShape="1">
            <a:gsLst>
              <a:gs pos="0">
                <a:schemeClr val="accent6">
                  <a:lumMod val="75000"/>
                </a:schemeClr>
              </a:gs>
              <a:gs pos="55000">
                <a:schemeClr val="accent6">
                  <a:lumMod val="60000"/>
                  <a:lumOff val="40000"/>
                </a:schemeClr>
              </a:gs>
              <a:gs pos="80000">
                <a:schemeClr val="accent6">
                  <a:lumMod val="40000"/>
                  <a:lumOff val="60000"/>
                </a:schemeClr>
              </a:gs>
              <a:gs pos="100000">
                <a:schemeClr val="accent6">
                  <a:lumMod val="20000"/>
                  <a:lumOff val="80000"/>
                </a:schemeClr>
              </a:gs>
            </a:gsLst>
            <a:lin ang="5400000" scaled="1"/>
            <a:tileRect/>
          </a:gradFill>
          <a:ln cap="rnd">
            <a:solidFill>
              <a:schemeClr val="dk1">
                <a:lumMod val="15000"/>
                <a:lumOff val="85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0" normalizeH="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>
            <a:gsLst>
              <a:gs pos="0">
                <a:schemeClr val="accent6">
                  <a:lumMod val="75000"/>
                </a:schemeClr>
              </a:gs>
              <a:gs pos="55000">
                <a:schemeClr val="accent6">
                  <a:lumMod val="60000"/>
                  <a:lumOff val="40000"/>
                </a:schemeClr>
              </a:gs>
              <a:gs pos="80000">
                <a:schemeClr val="accent6">
                  <a:lumMod val="40000"/>
                  <a:lumOff val="60000"/>
                </a:schemeClr>
              </a:gs>
              <a:gs pos="100000">
                <a:schemeClr val="accent6">
                  <a:lumMod val="20000"/>
                  <a:lumOff val="8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Średnia /PI</c:v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PN</c:v>
              </c:pt>
              <c:pt idx="1">
                <c:v>ST</c:v>
              </c:pt>
            </c:strLit>
          </c:cat>
          <c:val>
            <c:numLit>
              <c:formatCode>General</c:formatCode>
              <c:ptCount val="2"/>
              <c:pt idx="0">
                <c:v>0</c:v>
              </c:pt>
              <c:pt idx="1">
                <c:v>0.118044451900763</c:v>
              </c:pt>
            </c:numLit>
          </c:val>
          <c:extLst>
            <c:ext xmlns:c16="http://schemas.microsoft.com/office/drawing/2014/chart" uri="{C3380CC4-5D6E-409C-BE32-E72D297353CC}">
              <c16:uniqueId val="{00000002-108B-4E68-AE42-4985159E8A85}"/>
            </c:ext>
          </c:extLst>
        </c:ser>
        <c:ser>
          <c:idx val="1"/>
          <c:order val="1"/>
          <c:tx>
            <c:v>Średnia /PI2</c:v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PN</c:v>
              </c:pt>
              <c:pt idx="1">
                <c:v>ST</c:v>
              </c:pt>
            </c:strLit>
          </c:cat>
          <c:val>
            <c:numLit>
              <c:formatCode>General</c:formatCode>
              <c:ptCount val="2"/>
              <c:pt idx="0">
                <c:v>0</c:v>
              </c:pt>
              <c:pt idx="1">
                <c:v>0.71665675501759352</c:v>
              </c:pt>
            </c:numLit>
          </c:val>
          <c:extLst>
            <c:ext xmlns:c16="http://schemas.microsoft.com/office/drawing/2014/chart" uri="{C3380CC4-5D6E-409C-BE32-E72D297353CC}">
              <c16:uniqueId val="{00000003-108B-4E68-AE42-4985159E8A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368"/>
        <c:overlap val="-32"/>
        <c:axId val="354735064"/>
        <c:axId val="354739656"/>
      </c:barChart>
      <c:catAx>
        <c:axId val="35473506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5473965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54739656"/>
        <c:scaling>
          <c:orientation val="minMax"/>
        </c:scaling>
        <c:delete val="1"/>
        <c:axPos val="l"/>
        <c:numFmt formatCode="General" sourceLinked="0"/>
        <c:majorTickMark val="none"/>
        <c:minorTickMark val="none"/>
        <c:tickLblPos val="nextTo"/>
        <c:crossAx val="354735064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>
        <a:lumMod val="40000"/>
        <a:lumOff val="60000"/>
        <a:alpha val="3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extLst>
    <c:ext xmlns:c15="http://schemas.microsoft.com/office/drawing/2012/chart" uri="{723BEF56-08C2-4564-9609-F4CBC75E7E54}">
      <c15:pivotSource>
        <c15:name>[managerzone75_ang.xlsx]PivotChartTable9</c15:name>
        <c15:fmtId val="3"/>
      </c15:pivotSource>
      <c15:pivotOptions>
        <c15:dropZoneFilter val="1"/>
        <c15:dropZoneCategories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600" b="1"/>
              <a:t>Podania / Odbiory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gradFill>
            <a:gsLst>
              <a:gs pos="0">
                <a:schemeClr val="accent2">
                  <a:lumMod val="20000"/>
                  <a:lumOff val="80000"/>
                </a:schemeClr>
              </a:gs>
              <a:gs pos="50000">
                <a:schemeClr val="accent2">
                  <a:lumMod val="60000"/>
                  <a:lumOff val="40000"/>
                </a:schemeClr>
              </a:gs>
              <a:gs pos="100000">
                <a:schemeClr val="accent2">
                  <a:lumMod val="20000"/>
                  <a:lumOff val="80000"/>
                </a:schemeClr>
              </a:gs>
            </a:gsLst>
            <a:lin ang="5400000" scaled="1"/>
          </a:gradFill>
          <a:ln>
            <a:solidFill>
              <a:schemeClr val="accent5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horzOverflow="clip" vert="horz" wrap="square" lIns="36576" tIns="18288" rIns="36576" bIns="18288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diamond"/>
          <c:size val="10"/>
          <c:spPr>
            <a:solidFill>
              <a:schemeClr val="tx2">
                <a:lumMod val="60000"/>
                <a:lumOff val="40000"/>
              </a:schemeClr>
            </a:solidFill>
            <a:ln w="9525">
              <a:solidFill>
                <a:schemeClr val="tx1">
                  <a:lumMod val="50000"/>
                  <a:lumOff val="50000"/>
                </a:schemeClr>
              </a:solidFill>
            </a:ln>
            <a:effectLst/>
          </c:spPr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6">
                  <a:lumMod val="5000"/>
                  <a:lumOff val="95000"/>
                </a:schemeClr>
              </a:gs>
              <a:gs pos="74000">
                <a:schemeClr val="accent6">
                  <a:lumMod val="45000"/>
                  <a:lumOff val="55000"/>
                </a:schemeClr>
              </a:gs>
              <a:gs pos="83000">
                <a:schemeClr val="accent6">
                  <a:lumMod val="45000"/>
                  <a:lumOff val="55000"/>
                </a:schemeClr>
              </a:gs>
              <a:gs pos="100000">
                <a:schemeClr val="accent6">
                  <a:lumMod val="30000"/>
                  <a:lumOff val="70000"/>
                </a:schemeClr>
              </a:gs>
            </a:gsLst>
            <a:lin ang="5400000" scaled="1"/>
            <a:tileRect/>
          </a:gradFill>
          <a:ln w="25400"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accent1">
                <a:lumMod val="75000"/>
              </a:schemeClr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Średnia PC</c:v>
          </c:tx>
          <c:spPr>
            <a:gradFill flip="none" rotWithShape="1"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solidFill>
                <a:schemeClr val="accent1">
                  <a:lumMod val="75000"/>
                </a:schemeClr>
              </a:solidFill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PN
 K. Grabowicz</c:v>
              </c:pt>
              <c:pt idx="1">
                <c:v>ST
 K. Grabowicz</c:v>
              </c:pt>
            </c:strLit>
          </c:cat>
          <c:val>
            <c:numLit>
              <c:formatCode>General</c:formatCode>
              <c:ptCount val="2"/>
              <c:pt idx="0">
                <c:v>0</c:v>
              </c:pt>
              <c:pt idx="1">
                <c:v>4.2777777777777777</c:v>
              </c:pt>
            </c:numLit>
          </c:val>
          <c:extLst>
            <c:ext xmlns:c16="http://schemas.microsoft.com/office/drawing/2014/chart" uri="{C3380CC4-5D6E-409C-BE32-E72D297353CC}">
              <c16:uniqueId val="{00000002-0600-403A-8CE6-431958E379C6}"/>
            </c:ext>
          </c:extLst>
        </c:ser>
        <c:ser>
          <c:idx val="1"/>
          <c:order val="1"/>
          <c:tx>
            <c:v>Średnia OU</c:v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PN
 K. Grabowicz</c:v>
              </c:pt>
              <c:pt idx="1">
                <c:v>ST
 K. Grabowicz</c:v>
              </c:pt>
            </c:strLit>
          </c:cat>
          <c:val>
            <c:numLit>
              <c:formatCode>General</c:formatCode>
              <c:ptCount val="2"/>
              <c:pt idx="0">
                <c:v>0</c:v>
              </c:pt>
              <c:pt idx="1">
                <c:v>1.0555555555555556</c:v>
              </c:pt>
            </c:numLit>
          </c:val>
          <c:extLst>
            <c:ext xmlns:c16="http://schemas.microsoft.com/office/drawing/2014/chart" uri="{C3380CC4-5D6E-409C-BE32-E72D297353CC}">
              <c16:uniqueId val="{00000000-3E39-4A72-92E2-FBE7447E7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91081040"/>
        <c:axId val="591080384"/>
      </c:barChart>
      <c:valAx>
        <c:axId val="591080384"/>
        <c:scaling>
          <c:orientation val="minMax"/>
        </c:scaling>
        <c:delete val="0"/>
        <c:axPos val="r"/>
        <c:numFmt formatCode="#,##0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1081040"/>
        <c:crosses val="max"/>
        <c:crossBetween val="between"/>
      </c:valAx>
      <c:catAx>
        <c:axId val="5910810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9108038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solidFill>
          <a:schemeClr val="accent5">
            <a:lumMod val="20000"/>
            <a:lumOff val="80000"/>
            <a:alpha val="40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  <a:alpha val="3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aseline="0">
          <a:solidFill>
            <a:schemeClr val="tx1">
              <a:lumMod val="75000"/>
              <a:lumOff val="25000"/>
            </a:schemeClr>
          </a:solidFill>
        </a:defRPr>
      </a:pPr>
      <a:endParaRPr lang="pl-PL"/>
    </a:p>
  </c:txPr>
  <c:extLst>
    <c:ext xmlns:c15="http://schemas.microsoft.com/office/drawing/2012/chart" uri="{723BEF56-08C2-4564-9609-F4CBC75E7E54}">
      <c15:pivotSource>
        <c15:name>[managerzone75_ang.xlsx]PivotChartTable4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600" b="1" baseline="0"/>
              <a:t>Przejęcia / Obrony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accent1">
                <a:alpha val="50000"/>
              </a:schemeClr>
            </a:solidFill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10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5400"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flip="none" rotWithShape="1">
            <a:gsLst>
              <a:gs pos="0">
                <a:schemeClr val="accent3">
                  <a:lumMod val="5000"/>
                  <a:lumOff val="95000"/>
                </a:schemeClr>
              </a:gs>
              <a:gs pos="74000">
                <a:schemeClr val="accent3">
                  <a:lumMod val="45000"/>
                  <a:lumOff val="55000"/>
                </a:schemeClr>
              </a:gs>
              <a:gs pos="83000">
                <a:schemeClr val="accent3">
                  <a:lumMod val="45000"/>
                  <a:lumOff val="55000"/>
                </a:schemeClr>
              </a:gs>
              <a:gs pos="100000">
                <a:schemeClr val="accent3">
                  <a:lumMod val="30000"/>
                  <a:lumOff val="70000"/>
                </a:schemeClr>
              </a:gs>
            </a:gsLst>
            <a:lin ang="5400000" scaled="1"/>
            <a:tileRect/>
          </a:gradFill>
          <a:ln w="25400"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Średnia PR</c:v>
          </c:tx>
          <c:spPr>
            <a:gradFill flip="none" rotWithShape="1">
              <a:gsLst>
                <a:gs pos="0">
                  <a:schemeClr val="accent3">
                    <a:lumMod val="5000"/>
                    <a:lumOff val="95000"/>
                  </a:schemeClr>
                </a:gs>
                <a:gs pos="74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 w="25400"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PN
 K. Grabowicz</c:v>
              </c:pt>
              <c:pt idx="1">
                <c:v>ST
 K. Grabowicz</c:v>
              </c:pt>
            </c:strLit>
          </c:cat>
          <c:val>
            <c:numLit>
              <c:formatCode>General</c:formatCode>
              <c:ptCount val="2"/>
              <c:pt idx="0">
                <c:v>0</c:v>
              </c:pt>
              <c:pt idx="1">
                <c:v>0.5</c:v>
              </c:pt>
            </c:numLit>
          </c:val>
          <c:extLst>
            <c:ext xmlns:c16="http://schemas.microsoft.com/office/drawing/2014/chart" uri="{C3380CC4-5D6E-409C-BE32-E72D297353CC}">
              <c16:uniqueId val="{00000002-0FFC-4549-A3E7-20C666B156ED}"/>
            </c:ext>
          </c:extLst>
        </c:ser>
        <c:ser>
          <c:idx val="1"/>
          <c:order val="1"/>
          <c:tx>
            <c:v>Średnia OB</c:v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PN
 K. Grabowicz</c:v>
              </c:pt>
              <c:pt idx="1">
                <c:v>ST
 K. Grabowicz</c:v>
              </c:pt>
            </c:strLit>
          </c:cat>
          <c: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3-0FFC-4549-A3E7-20C666B156ED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377827320"/>
        <c:axId val="377827648"/>
      </c:barChart>
      <c:catAx>
        <c:axId val="3778273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77827648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377827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7782732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solidFill>
          <a:schemeClr val="accent6">
            <a:lumMod val="40000"/>
            <a:lumOff val="60000"/>
            <a:alpha val="40000"/>
          </a:schemeClr>
        </a:soli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  <a:alpha val="3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 baseline="0">
          <a:solidFill>
            <a:schemeClr val="tx1">
              <a:lumMod val="75000"/>
              <a:lumOff val="25000"/>
            </a:schemeClr>
          </a:solidFill>
        </a:defRPr>
      </a:pPr>
      <a:endParaRPr lang="pl-PL"/>
    </a:p>
  </c:txPr>
  <c:extLst>
    <c:ext xmlns:c15="http://schemas.microsoft.com/office/drawing/2012/chart" uri="{723BEF56-08C2-4564-9609-F4CBC75E7E54}">
      <c15:pivotSource>
        <c15:name>[managerzone75_ang.xlsx]PivotChartTable5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600" b="1"/>
              <a:t>Goal Conversion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square"/>
          <c:size val="10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4">
                  <a:lumMod val="0"/>
                  <a:lumOff val="100000"/>
                  <a:alpha val="70000"/>
                </a:schemeClr>
              </a:gs>
              <a:gs pos="35000">
                <a:schemeClr val="accent4">
                  <a:lumMod val="0"/>
                  <a:lumOff val="100000"/>
                </a:schemeClr>
              </a:gs>
              <a:gs pos="100000">
                <a:schemeClr val="accent4">
                  <a:lumMod val="100000"/>
                </a:schemeClr>
              </a:gs>
            </a:gsLst>
            <a:path path="circle">
              <a:fillToRect l="50000" t="-80000" r="50000" b="180000"/>
            </a:path>
            <a:tileRect/>
          </a:gradFill>
          <a:ln>
            <a:solidFill>
              <a:schemeClr val="accent2">
                <a:lumMod val="60000"/>
                <a:lumOff val="40000"/>
              </a:schemeClr>
            </a:solidFill>
          </a:ln>
          <a:effectLst/>
        </c:spPr>
        <c:marker>
          <c:symbol val="circle"/>
          <c:size val="8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4">
                  <a:lumMod val="5000"/>
                  <a:lumOff val="95000"/>
                </a:schemeClr>
              </a:gs>
              <a:gs pos="74000">
                <a:schemeClr val="accent4">
                  <a:lumMod val="45000"/>
                  <a:lumOff val="55000"/>
                </a:schemeClr>
              </a:gs>
              <a:gs pos="83000">
                <a:schemeClr val="accent4">
                  <a:lumMod val="45000"/>
                  <a:lumOff val="55000"/>
                </a:schemeClr>
              </a:gs>
              <a:gs pos="100000">
                <a:schemeClr val="accent4">
                  <a:lumMod val="30000"/>
                  <a:lumOff val="70000"/>
                </a:schemeClr>
              </a:gs>
            </a:gsLst>
            <a:lin ang="5400000" scaled="1"/>
            <a:tileRect/>
          </a:gradFill>
          <a:ln w="25400"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noFill/>
            <a:round/>
          </a:ln>
          <a:effectLst/>
        </c:spPr>
        <c:marker>
          <c:symbol val="circle"/>
          <c:size val="10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5400">
            <a:noFill/>
          </a:ln>
          <a:effectLst/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Średnia /GC</c:v>
          </c:tx>
          <c:spPr>
            <a:gradFill flip="none" rotWithShape="1">
              <a:gsLst>
                <a:gs pos="0">
                  <a:schemeClr val="accent4">
                    <a:lumMod val="5000"/>
                    <a:lumOff val="95000"/>
                  </a:schemeClr>
                </a:gs>
                <a:gs pos="74000">
                  <a:schemeClr val="accent4">
                    <a:lumMod val="45000"/>
                    <a:lumOff val="55000"/>
                  </a:schemeClr>
                </a:gs>
                <a:gs pos="83000">
                  <a:schemeClr val="accent4">
                    <a:lumMod val="45000"/>
                    <a:lumOff val="55000"/>
                  </a:schemeClr>
                </a:gs>
                <a:gs pos="100000">
                  <a:schemeClr val="accent4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 w="25400">
              <a:noFill/>
            </a:ln>
            <a:effectLst/>
          </c:spPr>
          <c:invertIfNegative val="0"/>
          <c:dLbls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PN
 K. Grabowicz</c:v>
              </c:pt>
              <c:pt idx="1">
                <c:v>ST
 K. Grabowicz</c:v>
              </c:pt>
            </c:strLit>
          </c:cat>
          <c:val>
            <c:numLit>
              <c:formatCode>General</c:formatCode>
              <c:ptCount val="2"/>
              <c:pt idx="0">
                <c:v>0</c:v>
              </c:pt>
              <c:pt idx="1">
                <c:v>0.14532527657527655</c:v>
              </c:pt>
            </c:numLit>
          </c:val>
          <c:extLst>
            <c:ext xmlns:c16="http://schemas.microsoft.com/office/drawing/2014/chart" uri="{C3380CC4-5D6E-409C-BE32-E72D297353CC}">
              <c16:uniqueId val="{00000002-9426-4048-8F22-64CF2DA6502D}"/>
            </c:ext>
          </c:extLst>
        </c:ser>
        <c:ser>
          <c:idx val="1"/>
          <c:order val="1"/>
          <c:tx>
            <c:v>Średnia BR</c:v>
          </c:tx>
          <c:spPr>
            <a:solidFill>
              <a:schemeClr val="accent2"/>
            </a:solidFill>
            <a:ln w="25400"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PN
 K. Grabowicz</c:v>
              </c:pt>
              <c:pt idx="1">
                <c:v>ST
 K. Grabowicz</c:v>
              </c:pt>
            </c:strLit>
          </c:cat>
          <c:val>
            <c:numLit>
              <c:formatCode>General</c:formatCode>
              <c:ptCount val="2"/>
              <c:pt idx="0">
                <c:v>0</c:v>
              </c:pt>
              <c:pt idx="1">
                <c:v>0.94444444444444442</c:v>
              </c:pt>
            </c:numLit>
          </c:val>
          <c:extLst>
            <c:ext xmlns:c16="http://schemas.microsoft.com/office/drawing/2014/chart" uri="{C3380CC4-5D6E-409C-BE32-E72D297353CC}">
              <c16:uniqueId val="{00000003-9426-4048-8F22-64CF2DA65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581687040"/>
        <c:axId val="581682120"/>
      </c:barChart>
      <c:valAx>
        <c:axId val="581682120"/>
        <c:scaling>
          <c:orientation val="minMax"/>
          <c:max val="0.5"/>
        </c:scaling>
        <c:delete val="0"/>
        <c:axPos val="l"/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1687040"/>
        <c:crosses val="autoZero"/>
        <c:crossBetween val="between"/>
      </c:valAx>
      <c:catAx>
        <c:axId val="58168704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58168212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5">
        <a:lumMod val="20000"/>
        <a:lumOff val="80000"/>
        <a:alpha val="50000"/>
      </a:schemeClr>
    </a:solidFill>
    <a:ln w="9525" cap="flat" cmpd="sng" algn="ctr">
      <a:solidFill>
        <a:schemeClr val="accent5">
          <a:lumMod val="20000"/>
          <a:lumOff val="80000"/>
        </a:schemeClr>
      </a:solidFill>
      <a:round/>
    </a:ln>
    <a:effectLst/>
  </c:spPr>
  <c:txPr>
    <a:bodyPr/>
    <a:lstStyle/>
    <a:p>
      <a:pPr>
        <a:defRPr/>
      </a:pPr>
      <a:endParaRPr lang="pl-PL"/>
    </a:p>
  </c:txPr>
  <c:extLst>
    <c:ext xmlns:c15="http://schemas.microsoft.com/office/drawing/2012/chart" uri="{723BEF56-08C2-4564-9609-F4CBC75E7E54}">
      <c15:pivotSource>
        <c15:name>[managerzone75_ang.xlsx]PivotChartTable6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600" b="1"/>
              <a:t>Średnia ocena</a:t>
            </a:r>
            <a:endParaRPr lang="en-US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0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1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3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4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5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6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7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8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39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0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1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2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9"/>
      </c:pivotFmt>
      <c:pivotFmt>
        <c:idx val="50"/>
      </c:pivotFmt>
      <c:pivotFmt>
        <c:idx val="51"/>
      </c:pivotFmt>
      <c:pivotFmt>
        <c:idx val="52"/>
      </c:pivotFmt>
      <c:pivotFmt>
        <c:idx val="53"/>
      </c:pivotFmt>
      <c:pivotFmt>
        <c:idx val="54"/>
      </c:pivotFmt>
      <c:pivotFmt>
        <c:idx val="55"/>
      </c:pivotFmt>
      <c:pivotFmt>
        <c:idx val="56"/>
      </c:pivotFmt>
      <c:pivotFmt>
        <c:idx val="57"/>
      </c:pivotFmt>
      <c:pivotFmt>
        <c:idx val="58"/>
      </c:pivotFmt>
      <c:pivotFmt>
        <c:idx val="59"/>
      </c:pivotFmt>
      <c:pivotFmt>
        <c:idx val="60"/>
      </c:pivotFmt>
      <c:pivotFmt>
        <c:idx val="61"/>
      </c:pivotFmt>
      <c:pivotFmt>
        <c:idx val="62"/>
      </c:pivotFmt>
      <c:pivotFmt>
        <c:idx val="63"/>
      </c:pivotFmt>
      <c:pivotFmt>
        <c:idx val="64"/>
      </c:pivotFmt>
      <c:pivotFmt>
        <c:idx val="65"/>
      </c:pivotFmt>
      <c:pivotFmt>
        <c:idx val="66"/>
      </c:pivotFmt>
      <c:pivotFmt>
        <c:idx val="67"/>
      </c:pivotFmt>
      <c:pivotFmt>
        <c:idx val="68"/>
      </c:pivotFmt>
      <c:pivotFmt>
        <c:idx val="69"/>
      </c:pivotFmt>
      <c:pivotFmt>
        <c:idx val="70"/>
      </c:pivotFmt>
      <c:pivotFmt>
        <c:idx val="71"/>
      </c:pivotFmt>
      <c:pivotFmt>
        <c:idx val="72"/>
      </c:pivotFmt>
      <c:pivotFmt>
        <c:idx val="73"/>
      </c:pivotFmt>
      <c:pivotFmt>
        <c:idx val="74"/>
      </c:pivotFmt>
      <c:pivotFmt>
        <c:idx val="75"/>
      </c:pivotFmt>
      <c:pivotFmt>
        <c:idx val="76"/>
      </c:pivotFmt>
      <c:pivotFmt>
        <c:idx val="77"/>
      </c:pivotFmt>
      <c:pivotFmt>
        <c:idx val="78"/>
      </c:pivotFmt>
      <c:pivotFmt>
        <c:idx val="79"/>
      </c:pivotFmt>
      <c:pivotFmt>
        <c:idx val="80"/>
      </c:pivotFmt>
      <c:pivotFmt>
        <c:idx val="81"/>
      </c:pivotFmt>
      <c:pivotFmt>
        <c:idx val="82"/>
      </c:pivotFmt>
      <c:pivotFmt>
        <c:idx val="83"/>
      </c:pivotFmt>
      <c:pivotFmt>
        <c:idx val="84"/>
      </c:pivotFmt>
      <c:pivotFmt>
        <c:idx val="85"/>
      </c:pivotFmt>
      <c:pivotFmt>
        <c:idx val="86"/>
      </c:pivotFmt>
      <c:pivotFmt>
        <c:idx val="87"/>
      </c:pivotFmt>
      <c:pivotFmt>
        <c:idx val="88"/>
      </c:pivotFmt>
      <c:pivotFmt>
        <c:idx val="89"/>
      </c:pivotFmt>
      <c:pivotFmt>
        <c:idx val="90"/>
      </c:pivotFmt>
      <c:pivotFmt>
        <c:idx val="91"/>
      </c:pivotFmt>
      <c:pivotFmt>
        <c:idx val="92"/>
      </c:pivotFmt>
      <c:pivotFmt>
        <c:idx val="93"/>
      </c:pivotFmt>
      <c:pivotFmt>
        <c:idx val="94"/>
      </c:pivotFmt>
      <c:pivotFmt>
        <c:idx val="95"/>
      </c:pivotFmt>
      <c:pivotFmt>
        <c:idx val="96"/>
      </c:pivotFmt>
      <c:pivotFmt>
        <c:idx val="97"/>
      </c:pivotFmt>
      <c:pivotFmt>
        <c:idx val="98"/>
      </c:pivotFmt>
      <c:pivotFmt>
        <c:idx val="99"/>
      </c:pivotFmt>
      <c:pivotFmt>
        <c:idx val="100"/>
      </c:pivotFmt>
      <c:pivotFmt>
        <c:idx val="101"/>
      </c:pivotFmt>
      <c:pivotFmt>
        <c:idx val="102"/>
      </c:pivotFmt>
      <c:pivotFmt>
        <c:idx val="103"/>
      </c:pivotFmt>
      <c:pivotFmt>
        <c:idx val="104"/>
      </c:pivotFmt>
      <c:pivotFmt>
        <c:idx val="105"/>
      </c:pivotFmt>
      <c:pivotFmt>
        <c:idx val="106"/>
      </c:pivotFmt>
      <c:pivotFmt>
        <c:idx val="107"/>
      </c:pivotFmt>
      <c:pivotFmt>
        <c:idx val="108"/>
      </c:pivotFmt>
      <c:pivotFmt>
        <c:idx val="109"/>
      </c:pivotFmt>
      <c:pivotFmt>
        <c:idx val="110"/>
      </c:pivotFmt>
      <c:pivotFmt>
        <c:idx val="111"/>
        <c:spPr>
          <a:ln w="28575" cap="rnd">
            <a:solidFill>
              <a:schemeClr val="bg1">
                <a:lumMod val="50000"/>
                <a:alpha val="5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Suma</c:v>
          </c:tx>
          <c:spPr>
            <a:ln w="28575" cap="rnd">
              <a:solidFill>
                <a:schemeClr val="bg1">
                  <a:lumMod val="50000"/>
                  <a:alpha val="5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1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2"/>
              <c:pt idx="0">
                <c:v>Stasin SA
Agresor Team
7</c:v>
              </c:pt>
              <c:pt idx="1">
                <c:v>Agresor Team
Goral Zywiec
17</c:v>
              </c:pt>
              <c:pt idx="2">
                <c:v>Love me Im famous!
Agresor Team
24</c:v>
              </c:pt>
              <c:pt idx="3">
                <c:v>Agresor Team
BOSS-cy Jasło
35</c:v>
              </c:pt>
              <c:pt idx="4">
                <c:v>Diabolic Team
Agresor Team
40</c:v>
              </c:pt>
              <c:pt idx="5">
                <c:v>Agresor Team
Manchester United F.C.
51</c:v>
              </c:pt>
              <c:pt idx="6">
                <c:v>Agresor Team
WEZE vv KAPUSCIE II
60</c:v>
              </c:pt>
              <c:pt idx="7">
                <c:v>Nowielice
Agresor Team
67</c:v>
              </c:pt>
              <c:pt idx="8">
                <c:v>DRAGON GARWOLIN
Agresor Team
75</c:v>
              </c:pt>
              <c:pt idx="9">
                <c:v>Agresor Team
Varsovia
84</c:v>
              </c:pt>
              <c:pt idx="10">
                <c:v>Agresor Team
FC MARKUS
91</c:v>
              </c:pt>
              <c:pt idx="11">
                <c:v>FC MARKUS
Agresor Team
103</c:v>
              </c:pt>
              <c:pt idx="12">
                <c:v>Varsovia
Agresor Team
112</c:v>
              </c:pt>
              <c:pt idx="13">
                <c:v>Agresor Team
DRAGON GARWOLIN
123</c:v>
              </c:pt>
              <c:pt idx="14">
                <c:v>Agresor Team
Nowielice
131</c:v>
              </c:pt>
              <c:pt idx="15">
                <c:v>WEZE vv KAPUSCIE II
Agresor Team
140</c:v>
              </c:pt>
              <c:pt idx="16">
                <c:v>Manchester United F.C.
Agresor Team
147</c:v>
              </c:pt>
              <c:pt idx="17">
                <c:v>Agresor Team
Diabolic Team
155</c:v>
              </c:pt>
              <c:pt idx="18">
                <c:v>BOSS-cy Jasło
Agresor Team
170</c:v>
              </c:pt>
              <c:pt idx="19">
                <c:v>Agresor Team
Love me Im famous!
175</c:v>
              </c:pt>
              <c:pt idx="20">
                <c:v>Goral Zywiec
Agresor Team
186</c:v>
              </c:pt>
              <c:pt idx="21">
                <c:v>Agresor Team
Stasin SA
198</c:v>
              </c:pt>
            </c:strLit>
          </c:cat>
          <c:val>
            <c:numLit>
              <c:formatCode>General</c:formatCode>
              <c:ptCount val="22"/>
              <c:pt idx="0">
                <c:v>4.0445454545454549</c:v>
              </c:pt>
              <c:pt idx="1">
                <c:v>4.2736363636363635</c:v>
              </c:pt>
              <c:pt idx="2">
                <c:v>3.3</c:v>
              </c:pt>
              <c:pt idx="3">
                <c:v>6.2436363636363641</c:v>
              </c:pt>
              <c:pt idx="4">
                <c:v>4.3390909090909089</c:v>
              </c:pt>
              <c:pt idx="5">
                <c:v>6.3654545454545453</c:v>
              </c:pt>
              <c:pt idx="6">
                <c:v>10.352727272727272</c:v>
              </c:pt>
              <c:pt idx="7">
                <c:v>4.622727272727273</c:v>
              </c:pt>
              <c:pt idx="8">
                <c:v>5.0927272727272728</c:v>
              </c:pt>
              <c:pt idx="9">
                <c:v>5.01</c:v>
              </c:pt>
              <c:pt idx="10">
                <c:v>4.9054545454545453</c:v>
              </c:pt>
              <c:pt idx="11">
                <c:v>4.8290909090909091</c:v>
              </c:pt>
              <c:pt idx="12">
                <c:v>4.3836363636363638</c:v>
              </c:pt>
              <c:pt idx="13">
                <c:v>7.1763636363636358</c:v>
              </c:pt>
              <c:pt idx="14">
                <c:v>8.8774999999999995</c:v>
              </c:pt>
              <c:pt idx="15">
                <c:v>10.548181818181819</c:v>
              </c:pt>
              <c:pt idx="16">
                <c:v>5.7772727272727273</c:v>
              </c:pt>
              <c:pt idx="17">
                <c:v>6.6390909090909096</c:v>
              </c:pt>
              <c:pt idx="18">
                <c:v>6.51</c:v>
              </c:pt>
              <c:pt idx="19">
                <c:v>11.067272727272726</c:v>
              </c:pt>
              <c:pt idx="20">
                <c:v>8.9172727272727279</c:v>
              </c:pt>
              <c:pt idx="21">
                <c:v>6.8299999999999992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829F-4C7D-8E3B-3D5BEE598599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75586880"/>
        <c:axId val="275586552"/>
      </c:lineChart>
      <c:catAx>
        <c:axId val="2755868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75586552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275586552"/>
        <c:scaling>
          <c:orientation val="minMax"/>
        </c:scaling>
        <c:delete val="1"/>
        <c:axPos val="l"/>
        <c:numFmt formatCode="General" sourceLinked="0"/>
        <c:majorTickMark val="none"/>
        <c:minorTickMark val="none"/>
        <c:tickLblPos val="nextTo"/>
        <c:crossAx val="27558688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gradFill flip="none" rotWithShape="1">
          <a:gsLst>
            <a:gs pos="0">
              <a:schemeClr val="accent6">
                <a:lumMod val="60000"/>
                <a:lumOff val="40000"/>
              </a:schemeClr>
            </a:gs>
            <a:gs pos="33000">
              <a:schemeClr val="accent6">
                <a:lumMod val="20000"/>
                <a:lumOff val="80000"/>
              </a:schemeClr>
            </a:gs>
            <a:gs pos="66000">
              <a:schemeClr val="accent2">
                <a:lumMod val="20000"/>
                <a:lumOff val="80000"/>
              </a:schemeClr>
            </a:gs>
            <a:gs pos="100000">
              <a:schemeClr val="accent2">
                <a:lumMod val="60000"/>
                <a:lumOff val="40000"/>
              </a:schemeClr>
            </a:gs>
          </a:gsLst>
          <a:lin ang="5400000" scaled="1"/>
          <a:tileRect/>
        </a:gradFill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bg1">
          <a:lumMod val="50000"/>
        </a:schemeClr>
      </a:solidFill>
      <a:round/>
    </a:ln>
    <a:effectLst/>
  </c:spPr>
  <c:txPr>
    <a:bodyPr/>
    <a:lstStyle/>
    <a:p>
      <a:pPr>
        <a:defRPr/>
      </a:pPr>
      <a:endParaRPr lang="pl-PL"/>
    </a:p>
  </c:txPr>
  <c:extLst>
    <c:ext xmlns:c15="http://schemas.microsoft.com/office/drawing/2012/chart" uri="{723BEF56-08C2-4564-9609-F4CBC75E7E54}">
      <c15:pivotSource>
        <c15:name>[managerzone75_ang.xlsx]PivotChartTable7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Pozycje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gradFill flip="none" rotWithShape="1">
            <a:gsLst>
              <a:gs pos="0">
                <a:schemeClr val="accent6">
                  <a:lumMod val="5000"/>
                  <a:lumOff val="95000"/>
                </a:schemeClr>
              </a:gs>
              <a:gs pos="74000">
                <a:schemeClr val="accent6">
                  <a:lumMod val="45000"/>
                  <a:lumOff val="55000"/>
                </a:schemeClr>
              </a:gs>
              <a:gs pos="83000">
                <a:schemeClr val="accent6">
                  <a:lumMod val="45000"/>
                  <a:lumOff val="55000"/>
                </a:schemeClr>
              </a:gs>
              <a:gs pos="100000">
                <a:schemeClr val="accent6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accent4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6">
                  <a:lumMod val="5000"/>
                  <a:lumOff val="95000"/>
                </a:schemeClr>
              </a:gs>
              <a:gs pos="74000">
                <a:schemeClr val="accent6">
                  <a:lumMod val="45000"/>
                  <a:lumOff val="55000"/>
                </a:schemeClr>
              </a:gs>
              <a:gs pos="83000">
                <a:schemeClr val="accent6">
                  <a:lumMod val="45000"/>
                  <a:lumOff val="55000"/>
                </a:schemeClr>
              </a:gs>
              <a:gs pos="100000">
                <a:schemeClr val="accent6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accent4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2"/>
      </c:pivotFmt>
      <c:pivotFmt>
        <c:idx val="3"/>
        <c:spPr>
          <a:gradFill flip="none" rotWithShape="1">
            <a:gsLst>
              <a:gs pos="0">
                <a:schemeClr val="accent6">
                  <a:lumMod val="5000"/>
                  <a:lumOff val="95000"/>
                </a:schemeClr>
              </a:gs>
              <a:gs pos="74000">
                <a:schemeClr val="accent6">
                  <a:lumMod val="45000"/>
                  <a:lumOff val="55000"/>
                </a:schemeClr>
              </a:gs>
              <a:gs pos="83000">
                <a:schemeClr val="accent6">
                  <a:lumMod val="45000"/>
                  <a:lumOff val="55000"/>
                </a:schemeClr>
              </a:gs>
              <a:gs pos="100000">
                <a:schemeClr val="accent6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accent4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4"/>
        <c:spPr>
          <a:gradFill flip="none" rotWithShape="1">
            <a:gsLst>
              <a:gs pos="0">
                <a:schemeClr val="accent6">
                  <a:lumMod val="5000"/>
                  <a:lumOff val="95000"/>
                </a:schemeClr>
              </a:gs>
              <a:gs pos="74000">
                <a:schemeClr val="accent6">
                  <a:lumMod val="45000"/>
                  <a:lumOff val="55000"/>
                </a:schemeClr>
              </a:gs>
              <a:gs pos="83000">
                <a:schemeClr val="accent6">
                  <a:lumMod val="45000"/>
                  <a:lumOff val="55000"/>
                </a:schemeClr>
              </a:gs>
              <a:gs pos="100000">
                <a:schemeClr val="accent6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accent4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5"/>
        <c:spPr>
          <a:gradFill flip="none" rotWithShape="1">
            <a:gsLst>
              <a:gs pos="0">
                <a:schemeClr val="accent6">
                  <a:lumMod val="5000"/>
                  <a:lumOff val="95000"/>
                </a:schemeClr>
              </a:gs>
              <a:gs pos="74000">
                <a:schemeClr val="accent6">
                  <a:lumMod val="45000"/>
                  <a:lumOff val="55000"/>
                </a:schemeClr>
              </a:gs>
              <a:gs pos="83000">
                <a:schemeClr val="accent6">
                  <a:lumMod val="45000"/>
                  <a:lumOff val="55000"/>
                </a:schemeClr>
              </a:gs>
              <a:gs pos="100000">
                <a:schemeClr val="accent6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accent4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6"/>
        <c:spPr>
          <a:gradFill flip="none" rotWithShape="1">
            <a:gsLst>
              <a:gs pos="0">
                <a:schemeClr val="accent6">
                  <a:lumMod val="5000"/>
                  <a:lumOff val="95000"/>
                </a:schemeClr>
              </a:gs>
              <a:gs pos="74000">
                <a:schemeClr val="accent6">
                  <a:lumMod val="45000"/>
                  <a:lumOff val="55000"/>
                </a:schemeClr>
              </a:gs>
              <a:gs pos="83000">
                <a:schemeClr val="accent6">
                  <a:lumMod val="45000"/>
                  <a:lumOff val="55000"/>
                </a:schemeClr>
              </a:gs>
              <a:gs pos="100000">
                <a:schemeClr val="accent6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accent4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7"/>
        <c:spPr>
          <a:gradFill flip="none" rotWithShape="1">
            <a:gsLst>
              <a:gs pos="0">
                <a:schemeClr val="accent6">
                  <a:lumMod val="5000"/>
                  <a:lumOff val="95000"/>
                </a:schemeClr>
              </a:gs>
              <a:gs pos="74000">
                <a:schemeClr val="accent6">
                  <a:lumMod val="45000"/>
                  <a:lumOff val="55000"/>
                </a:schemeClr>
              </a:gs>
              <a:gs pos="83000">
                <a:schemeClr val="accent6">
                  <a:lumMod val="45000"/>
                  <a:lumOff val="55000"/>
                </a:schemeClr>
              </a:gs>
              <a:gs pos="100000">
                <a:schemeClr val="accent6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accent4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8"/>
        <c:spPr>
          <a:gradFill flip="none" rotWithShape="1">
            <a:gsLst>
              <a:gs pos="0">
                <a:schemeClr val="accent6">
                  <a:lumMod val="5000"/>
                  <a:lumOff val="95000"/>
                </a:schemeClr>
              </a:gs>
              <a:gs pos="74000">
                <a:schemeClr val="accent6">
                  <a:lumMod val="45000"/>
                  <a:lumOff val="55000"/>
                </a:schemeClr>
              </a:gs>
              <a:gs pos="83000">
                <a:schemeClr val="accent6">
                  <a:lumMod val="45000"/>
                  <a:lumOff val="55000"/>
                </a:schemeClr>
              </a:gs>
              <a:gs pos="100000">
                <a:schemeClr val="accent6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accent4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9"/>
        <c:spPr>
          <a:gradFill flip="none" rotWithShape="1">
            <a:gsLst>
              <a:gs pos="0">
                <a:schemeClr val="accent6">
                  <a:lumMod val="5000"/>
                  <a:lumOff val="95000"/>
                </a:schemeClr>
              </a:gs>
              <a:gs pos="74000">
                <a:schemeClr val="accent6">
                  <a:lumMod val="45000"/>
                  <a:lumOff val="55000"/>
                </a:schemeClr>
              </a:gs>
              <a:gs pos="83000">
                <a:schemeClr val="accent6">
                  <a:lumMod val="45000"/>
                  <a:lumOff val="55000"/>
                </a:schemeClr>
              </a:gs>
              <a:gs pos="100000">
                <a:schemeClr val="accent6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accent4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0"/>
      </c:pivotFmt>
      <c:pivotFmt>
        <c:idx val="11"/>
      </c:pivotFmt>
      <c:pivotFmt>
        <c:idx val="12"/>
        <c:spPr>
          <a:gradFill flip="none" rotWithShape="1">
            <a:gsLst>
              <a:gs pos="0">
                <a:schemeClr val="accent6">
                  <a:lumMod val="5000"/>
                  <a:lumOff val="95000"/>
                </a:schemeClr>
              </a:gs>
              <a:gs pos="74000">
                <a:schemeClr val="accent6">
                  <a:lumMod val="45000"/>
                  <a:lumOff val="55000"/>
                </a:schemeClr>
              </a:gs>
              <a:gs pos="83000">
                <a:schemeClr val="accent6">
                  <a:lumMod val="45000"/>
                  <a:lumOff val="55000"/>
                </a:schemeClr>
              </a:gs>
              <a:gs pos="100000">
                <a:schemeClr val="accent6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accent4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3"/>
        <c:spPr>
          <a:gradFill flip="none" rotWithShape="1">
            <a:gsLst>
              <a:gs pos="0">
                <a:schemeClr val="accent6">
                  <a:lumMod val="5000"/>
                  <a:lumOff val="95000"/>
                </a:schemeClr>
              </a:gs>
              <a:gs pos="74000">
                <a:schemeClr val="accent6">
                  <a:lumMod val="45000"/>
                  <a:lumOff val="55000"/>
                </a:schemeClr>
              </a:gs>
              <a:gs pos="83000">
                <a:schemeClr val="accent6">
                  <a:lumMod val="45000"/>
                  <a:lumOff val="55000"/>
                </a:schemeClr>
              </a:gs>
              <a:gs pos="100000">
                <a:schemeClr val="accent6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accent4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4"/>
      </c:pivotFmt>
      <c:pivotFmt>
        <c:idx val="15"/>
      </c:pivotFmt>
      <c:pivotFmt>
        <c:idx val="16"/>
        <c:spPr>
          <a:gradFill flip="none" rotWithShape="1">
            <a:gsLst>
              <a:gs pos="0">
                <a:schemeClr val="accent6">
                  <a:lumMod val="5000"/>
                  <a:lumOff val="95000"/>
                </a:schemeClr>
              </a:gs>
              <a:gs pos="74000">
                <a:schemeClr val="accent6">
                  <a:lumMod val="45000"/>
                  <a:lumOff val="55000"/>
                </a:schemeClr>
              </a:gs>
              <a:gs pos="83000">
                <a:schemeClr val="accent6">
                  <a:lumMod val="45000"/>
                  <a:lumOff val="55000"/>
                </a:schemeClr>
              </a:gs>
              <a:gs pos="100000">
                <a:schemeClr val="accent6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accent4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flip="none" rotWithShape="1">
            <a:gsLst>
              <a:gs pos="0">
                <a:schemeClr val="accent6">
                  <a:lumMod val="5000"/>
                  <a:lumOff val="95000"/>
                </a:schemeClr>
              </a:gs>
              <a:gs pos="74000">
                <a:schemeClr val="accent6">
                  <a:lumMod val="45000"/>
                  <a:lumOff val="55000"/>
                </a:schemeClr>
              </a:gs>
              <a:gs pos="83000">
                <a:schemeClr val="accent6">
                  <a:lumMod val="45000"/>
                  <a:lumOff val="55000"/>
                </a:schemeClr>
              </a:gs>
              <a:gs pos="100000">
                <a:schemeClr val="accent6">
                  <a:lumMod val="30000"/>
                  <a:lumOff val="70000"/>
                </a:schemeClr>
              </a:gs>
            </a:gsLst>
            <a:lin ang="5400000" scaled="1"/>
            <a:tileRect/>
          </a:gradFill>
          <a:ln>
            <a:solidFill>
              <a:schemeClr val="accent4">
                <a:lumMod val="20000"/>
                <a:lumOff val="80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2">
              <a:lumMod val="60000"/>
              <a:lumOff val="40000"/>
            </a:schemeClr>
          </a:solidFill>
          <a:ln w="12700" cap="rnd">
            <a:solidFill>
              <a:schemeClr val="accent2">
                <a:lumMod val="75000"/>
              </a:schemeClr>
            </a:solidFill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Suma</c:v>
          </c:tx>
          <c:spPr>
            <a:solidFill>
              <a:schemeClr val="accent2">
                <a:lumMod val="60000"/>
                <a:lumOff val="40000"/>
              </a:schemeClr>
            </a:solidFill>
            <a:ln w="12700" cap="rnd">
              <a:solidFill>
                <a:schemeClr val="accent2">
                  <a:lumMod val="75000"/>
                </a:schemeClr>
              </a:solidFill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1"/>
              <c:pt idx="0">
                <c:v>BR
Br</c:v>
              </c:pt>
              <c:pt idx="1">
                <c:v>LN
Nap</c:v>
              </c:pt>
              <c:pt idx="2">
                <c:v>PN
Nap</c:v>
              </c:pt>
              <c:pt idx="3">
                <c:v>PS
Nap</c:v>
              </c:pt>
              <c:pt idx="4">
                <c:v>ST
Nap</c:v>
              </c:pt>
              <c:pt idx="5">
                <c:v>LO
Obr</c:v>
              </c:pt>
              <c:pt idx="6">
                <c:v>PO
Obr</c:v>
              </c:pt>
              <c:pt idx="7">
                <c:v>SO
Obr</c:v>
              </c:pt>
              <c:pt idx="8">
                <c:v>DP
Pom</c:v>
              </c:pt>
              <c:pt idx="9">
                <c:v>OP
Pom</c:v>
              </c:pt>
              <c:pt idx="10">
                <c:v>PSP
Pom</c:v>
              </c:pt>
            </c:strLit>
          </c:cat>
          <c:val>
            <c:numLit>
              <c:formatCode>General</c:formatCode>
              <c:ptCount val="11"/>
              <c:pt idx="0">
                <c:v>7.9745454545454546</c:v>
              </c:pt>
              <c:pt idx="1">
                <c:v>6.8123809523809529</c:v>
              </c:pt>
              <c:pt idx="2">
                <c:v>7.3586363636363634</c:v>
              </c:pt>
              <c:pt idx="3">
                <c:v>5.18</c:v>
              </c:pt>
              <c:pt idx="4">
                <c:v>7.2977272727272728</c:v>
              </c:pt>
              <c:pt idx="5">
                <c:v>4.8447826086956525</c:v>
              </c:pt>
              <c:pt idx="6">
                <c:v>4.4245454545454548</c:v>
              </c:pt>
              <c:pt idx="7">
                <c:v>5.4109090909090911</c:v>
              </c:pt>
              <c:pt idx="8">
                <c:v>6.875</c:v>
              </c:pt>
              <c:pt idx="9">
                <c:v>7.2100000000000009</c:v>
              </c:pt>
              <c:pt idx="10">
                <c:v>6.6661904761904767</c:v>
              </c:pt>
            </c:numLit>
          </c:val>
          <c:extLst>
            <c:ext xmlns:c16="http://schemas.microsoft.com/office/drawing/2014/chart" uri="{C3380CC4-5D6E-409C-BE32-E72D297353CC}">
              <c16:uniqueId val="{00000000-CB92-4C3E-B3FB-C64BB53730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32381336"/>
        <c:axId val="632383304"/>
      </c:barChart>
      <c:catAx>
        <c:axId val="6323813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3238330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632383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32381336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5">
            <a:lumMod val="5000"/>
            <a:lumOff val="95000"/>
          </a:schemeClr>
        </a:gs>
        <a:gs pos="74000">
          <a:schemeClr val="accent5">
            <a:lumMod val="45000"/>
            <a:lumOff val="55000"/>
          </a:schemeClr>
        </a:gs>
        <a:gs pos="83000">
          <a:schemeClr val="accent5">
            <a:lumMod val="45000"/>
            <a:lumOff val="55000"/>
          </a:schemeClr>
        </a:gs>
        <a:gs pos="100000">
          <a:schemeClr val="accent5">
            <a:lumMod val="30000"/>
            <a:lumOff val="70000"/>
          </a:schemeClr>
        </a:gs>
      </a:gsLst>
      <a:lin ang="5400000" scaled="1"/>
      <a:tileRect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extLst>
    <c:ext xmlns:c15="http://schemas.microsoft.com/office/drawing/2012/chart" uri="{723BEF56-08C2-4564-9609-F4CBC75E7E54}">
      <c15:pivotSource>
        <c15:name>[managerzone75_ang.xlsx]PivotChartTable8</c15:name>
        <c15:fmtId val="2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PowerIndex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#,##0.0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1"/>
              <c:pt idx="0">
                <c:v>Diabolic Team</c:v>
              </c:pt>
              <c:pt idx="1">
                <c:v>Varsovia</c:v>
              </c:pt>
              <c:pt idx="2">
                <c:v>Goral Zywiec</c:v>
              </c:pt>
              <c:pt idx="3">
                <c:v>FC MARKUS</c:v>
              </c:pt>
              <c:pt idx="4">
                <c:v>Agresor Team</c:v>
              </c:pt>
              <c:pt idx="5">
                <c:v>DRAGON GARWOLIN</c:v>
              </c:pt>
              <c:pt idx="6">
                <c:v>Stasin SA</c:v>
              </c:pt>
              <c:pt idx="7">
                <c:v>Manchester United F.C.</c:v>
              </c:pt>
              <c:pt idx="8">
                <c:v>Nowielice</c:v>
              </c:pt>
              <c:pt idx="9">
                <c:v>BOSS-cy Jasło</c:v>
              </c:pt>
              <c:pt idx="10">
                <c:v>Love me Im famous!</c:v>
              </c:pt>
            </c:strLit>
          </c:cat>
          <c:val>
            <c:numLit>
              <c:formatCode>General</c:formatCode>
              <c:ptCount val="11"/>
              <c:pt idx="0">
                <c:v>0.81449599347566237</c:v>
              </c:pt>
              <c:pt idx="1">
                <c:v>0.78355000039653844</c:v>
              </c:pt>
              <c:pt idx="2">
                <c:v>0.75240382656315319</c:v>
              </c:pt>
              <c:pt idx="3">
                <c:v>0.74773362715543823</c:v>
              </c:pt>
              <c:pt idx="4">
                <c:v>0.7373304875805321</c:v>
              </c:pt>
              <c:pt idx="5">
                <c:v>0.69970115084733941</c:v>
              </c:pt>
              <c:pt idx="6">
                <c:v>0.68560165371688653</c:v>
              </c:pt>
              <c:pt idx="7">
                <c:v>0.66905678254548284</c:v>
              </c:pt>
              <c:pt idx="8">
                <c:v>0.64244293728094815</c:v>
              </c:pt>
              <c:pt idx="9">
                <c:v>0.63565740497340051</c:v>
              </c:pt>
              <c:pt idx="10">
                <c:v>0.60613788864094287</c:v>
              </c:pt>
            </c:numLit>
          </c:val>
          <c:extLst>
            <c:ext xmlns:c16="http://schemas.microsoft.com/office/drawing/2014/chart" uri="{C3380CC4-5D6E-409C-BE32-E72D297353CC}">
              <c16:uniqueId val="{00000000-4FBF-4AD9-9BC6-AA9E4D856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00346560"/>
        <c:axId val="1766811264"/>
      </c:barChart>
      <c:catAx>
        <c:axId val="180034656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66811264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76681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80034656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extLst>
    <c:ext xmlns:c15="http://schemas.microsoft.com/office/drawing/2012/chart" uri="{723BEF56-08C2-4564-9609-F4CBC75E7E54}">
      <c15:pivotSource>
        <c15:name>[managerzone75_ang.xlsx]PivotChartTable10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Passing</a:t>
            </a:r>
            <a:r>
              <a:rPr lang="pl-PL" baseline="0"/>
              <a:t> Accuracy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109713137709635E-2"/>
          <c:y val="0.17171296296296296"/>
          <c:w val="0.92431612715077283"/>
          <c:h val="0.45344706911636046"/>
        </c:manualLayout>
      </c:layout>
      <c:barChart>
        <c:barDir val="col"/>
        <c:grouping val="clustered"/>
        <c:varyColors val="0"/>
        <c:ser>
          <c:idx val="0"/>
          <c:order val="0"/>
          <c:tx>
            <c:v>Suma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1"/>
              <c:pt idx="0">
                <c:v>Varsovia</c:v>
              </c:pt>
              <c:pt idx="1">
                <c:v>Diabolic Team</c:v>
              </c:pt>
              <c:pt idx="2">
                <c:v>Agresor Team</c:v>
              </c:pt>
              <c:pt idx="3">
                <c:v>Manchester United F.C.</c:v>
              </c:pt>
              <c:pt idx="4">
                <c:v>Goral Zywiec</c:v>
              </c:pt>
              <c:pt idx="5">
                <c:v>DRAGON GARWOLIN</c:v>
              </c:pt>
              <c:pt idx="6">
                <c:v>Stasin SA</c:v>
              </c:pt>
              <c:pt idx="7">
                <c:v>FC MARKUS</c:v>
              </c:pt>
              <c:pt idx="8">
                <c:v>Nowielice</c:v>
              </c:pt>
              <c:pt idx="9">
                <c:v>Love me Im famous!</c:v>
              </c:pt>
              <c:pt idx="10">
                <c:v>BOSS-cy Jasło</c:v>
              </c:pt>
            </c:strLit>
          </c:cat>
          <c:val>
            <c:numLit>
              <c:formatCode>0.00%;\-0.00%;0.00%</c:formatCode>
              <c:ptCount val="11"/>
              <c:pt idx="0">
                <c:v>0.75809935205183587</c:v>
              </c:pt>
              <c:pt idx="1">
                <c:v>0.73376623376623373</c:v>
              </c:pt>
              <c:pt idx="2">
                <c:v>0.71533477321814254</c:v>
              </c:pt>
              <c:pt idx="3">
                <c:v>0.69170865781035273</c:v>
              </c:pt>
              <c:pt idx="4">
                <c:v>0.68458933107535991</c:v>
              </c:pt>
              <c:pt idx="5">
                <c:v>0.67710371819960857</c:v>
              </c:pt>
              <c:pt idx="6">
                <c:v>0.66945400885391049</c:v>
              </c:pt>
              <c:pt idx="7">
                <c:v>0.66784452296819785</c:v>
              </c:pt>
              <c:pt idx="8">
                <c:v>0.62</c:v>
              </c:pt>
              <c:pt idx="9">
                <c:v>0.61326530612244901</c:v>
              </c:pt>
              <c:pt idx="10">
                <c:v>0.59332688588007731</c:v>
              </c:pt>
            </c:numLit>
          </c:val>
          <c:extLst>
            <c:ext xmlns:c16="http://schemas.microsoft.com/office/drawing/2014/chart" uri="{C3380CC4-5D6E-409C-BE32-E72D297353CC}">
              <c16:uniqueId val="{00000000-6203-4D0C-B0E5-8EE72FBDA4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3"/>
        <c:overlap val="-27"/>
        <c:axId val="317093936"/>
        <c:axId val="1067031680"/>
      </c:barChart>
      <c:catAx>
        <c:axId val="3170939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6703168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067031680"/>
        <c:scaling>
          <c:orientation val="minMax"/>
        </c:scaling>
        <c:delete val="1"/>
        <c:axPos val="l"/>
        <c:numFmt formatCode="0.00%;\-0.00%;0.00%" sourceLinked="0"/>
        <c:majorTickMark val="none"/>
        <c:minorTickMark val="none"/>
        <c:tickLblPos val="nextTo"/>
        <c:crossAx val="317093936"/>
        <c:crosses val="autoZero"/>
        <c:crossBetween val="between"/>
        <c:extLst>
          <c:ext xmlns:c15="http://schemas.microsoft.com/office/drawing/2012/chart" uri="{F40574EE-89B7-4290-83BB-5DA773EAF853}">
            <c15:numFmt c:formatCode="0.00%;\-0.00%;0.00%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extLst>
    <c:ext xmlns:c15="http://schemas.microsoft.com/office/drawing/2012/chart" uri="{723BEF56-08C2-4564-9609-F4CBC75E7E54}">
      <c15:pivotSource>
        <c15:name>[managerzone75_ang.xlsx]PivotChartTable11</c15:name>
        <c15:fmtId val="0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Shooting Accuracy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109713137709635E-2"/>
          <c:y val="0.17171296296296296"/>
          <c:w val="0.92431612715077283"/>
          <c:h val="0.45344706911636046"/>
        </c:manualLayout>
      </c:layout>
      <c:barChart>
        <c:barDir val="col"/>
        <c:grouping val="clustered"/>
        <c:varyColors val="0"/>
        <c:ser>
          <c:idx val="0"/>
          <c:order val="0"/>
          <c:tx>
            <c:v>Suma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1"/>
              <c:pt idx="0">
                <c:v>Diabolic Team</c:v>
              </c:pt>
              <c:pt idx="1">
                <c:v>FC MARKUS</c:v>
              </c:pt>
              <c:pt idx="2">
                <c:v>BOSS-cy Jasło</c:v>
              </c:pt>
              <c:pt idx="3">
                <c:v>Nowielice</c:v>
              </c:pt>
              <c:pt idx="4">
                <c:v>DRAGON GARWOLIN</c:v>
              </c:pt>
              <c:pt idx="5">
                <c:v>Stasin SA</c:v>
              </c:pt>
              <c:pt idx="6">
                <c:v>Agresor Team</c:v>
              </c:pt>
              <c:pt idx="7">
                <c:v>Love me Im famous!</c:v>
              </c:pt>
              <c:pt idx="8">
                <c:v>Varsovia</c:v>
              </c:pt>
              <c:pt idx="9">
                <c:v>Goral Zywiec</c:v>
              </c:pt>
              <c:pt idx="10">
                <c:v>Manchester United F.C.</c:v>
              </c:pt>
            </c:strLit>
          </c:cat>
          <c:val>
            <c:numLit>
              <c:formatCode>0.00%;\-0.00%;0.00%</c:formatCode>
              <c:ptCount val="11"/>
              <c:pt idx="0">
                <c:v>0.907258064516129</c:v>
              </c:pt>
              <c:pt idx="1">
                <c:v>0.88997555012224938</c:v>
              </c:pt>
              <c:pt idx="2">
                <c:v>0.87072243346007605</c:v>
              </c:pt>
              <c:pt idx="3">
                <c:v>0.86816720257234725</c:v>
              </c:pt>
              <c:pt idx="4">
                <c:v>0.86602870813397126</c:v>
              </c:pt>
              <c:pt idx="5">
                <c:v>0.86243386243386244</c:v>
              </c:pt>
              <c:pt idx="6">
                <c:v>0.8595505617977528</c:v>
              </c:pt>
              <c:pt idx="7">
                <c:v>0.85171102661596954</c:v>
              </c:pt>
              <c:pt idx="8">
                <c:v>0.841796875</c:v>
              </c:pt>
              <c:pt idx="9">
                <c:v>0.83333333333333337</c:v>
              </c:pt>
              <c:pt idx="10">
                <c:v>0.74121405750798719</c:v>
              </c:pt>
            </c:numLit>
          </c:val>
          <c:extLst>
            <c:ext xmlns:c16="http://schemas.microsoft.com/office/drawing/2014/chart" uri="{C3380CC4-5D6E-409C-BE32-E72D297353CC}">
              <c16:uniqueId val="{00000001-D548-4558-A63C-32DC240AC0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3"/>
        <c:overlap val="-27"/>
        <c:axId val="317093936"/>
        <c:axId val="1067031680"/>
      </c:barChart>
      <c:catAx>
        <c:axId val="3170939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6703168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067031680"/>
        <c:scaling>
          <c:orientation val="minMax"/>
        </c:scaling>
        <c:delete val="1"/>
        <c:axPos val="l"/>
        <c:numFmt formatCode="0.00%;\-0.00%;0.00%" sourceLinked="0"/>
        <c:majorTickMark val="none"/>
        <c:minorTickMark val="none"/>
        <c:tickLblPos val="nextTo"/>
        <c:crossAx val="317093936"/>
        <c:crosses val="autoZero"/>
        <c:crossBetween val="between"/>
        <c:extLst>
          <c:ext xmlns:c15="http://schemas.microsoft.com/office/drawing/2012/chart" uri="{F40574EE-89B7-4290-83BB-5DA773EAF853}">
            <c15:numFmt c:formatCode="0.00%;\-0.00%;0.00%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extLst>
    <c:ext xmlns:c15="http://schemas.microsoft.com/office/drawing/2012/chart" uri="{723BEF56-08C2-4564-9609-F4CBC75E7E54}">
      <c15:pivotSource>
        <c15:name>[managerzone75_ang.xlsx]PivotChartTable12</c15:name>
        <c15:fmtId val="2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Successful</a:t>
            </a:r>
            <a:r>
              <a:rPr lang="pl-PL" baseline="0"/>
              <a:t> Tackling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109713137709635E-2"/>
          <c:y val="0.17171296296296296"/>
          <c:w val="0.92431612715077283"/>
          <c:h val="0.45344706911636046"/>
        </c:manualLayout>
      </c:layout>
      <c:barChart>
        <c:barDir val="col"/>
        <c:grouping val="clustered"/>
        <c:varyColors val="0"/>
        <c:ser>
          <c:idx val="0"/>
          <c:order val="0"/>
          <c:tx>
            <c:v>Suma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1"/>
              <c:pt idx="0">
                <c:v>Varsovia</c:v>
              </c:pt>
              <c:pt idx="1">
                <c:v>FC MARKUS</c:v>
              </c:pt>
              <c:pt idx="2">
                <c:v>Diabolic Team</c:v>
              </c:pt>
              <c:pt idx="3">
                <c:v>Agresor Team</c:v>
              </c:pt>
              <c:pt idx="4">
                <c:v>Stasin SA</c:v>
              </c:pt>
              <c:pt idx="5">
                <c:v>DRAGON GARWOLIN</c:v>
              </c:pt>
              <c:pt idx="6">
                <c:v>Goral Zywiec</c:v>
              </c:pt>
              <c:pt idx="7">
                <c:v>Manchester United F.C.</c:v>
              </c:pt>
              <c:pt idx="8">
                <c:v>Nowielice</c:v>
              </c:pt>
              <c:pt idx="9">
                <c:v>BOSS-cy Jasło</c:v>
              </c:pt>
              <c:pt idx="10">
                <c:v>Love me Im famous!</c:v>
              </c:pt>
            </c:strLit>
          </c:cat>
          <c:val>
            <c:numLit>
              <c:formatCode>0.00%;\-0.00%;0.00%</c:formatCode>
              <c:ptCount val="11"/>
              <c:pt idx="0">
                <c:v>0.55065554231227654</c:v>
              </c:pt>
              <c:pt idx="1">
                <c:v>0.5176093916755603</c:v>
              </c:pt>
              <c:pt idx="2">
                <c:v>0.51282051282051277</c:v>
              </c:pt>
              <c:pt idx="3">
                <c:v>0.50881316098707408</c:v>
              </c:pt>
              <c:pt idx="4">
                <c:v>0.50106837606837606</c:v>
              </c:pt>
              <c:pt idx="5">
                <c:v>0.49649649649649652</c:v>
              </c:pt>
              <c:pt idx="6">
                <c:v>0.47166186359269935</c:v>
              </c:pt>
              <c:pt idx="7">
                <c:v>0.45610278372591007</c:v>
              </c:pt>
              <c:pt idx="8">
                <c:v>0.45378927911275418</c:v>
              </c:pt>
              <c:pt idx="9">
                <c:v>0.44762845849802374</c:v>
              </c:pt>
              <c:pt idx="10">
                <c:v>0.40787949015063729</c:v>
              </c:pt>
            </c:numLit>
          </c:val>
          <c:extLst>
            <c:ext xmlns:c16="http://schemas.microsoft.com/office/drawing/2014/chart" uri="{C3380CC4-5D6E-409C-BE32-E72D297353CC}">
              <c16:uniqueId val="{00000001-AD42-4638-B4AE-E3E654727A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3"/>
        <c:overlap val="-27"/>
        <c:axId val="317093936"/>
        <c:axId val="1067031680"/>
      </c:barChart>
      <c:catAx>
        <c:axId val="3170939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6703168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067031680"/>
        <c:scaling>
          <c:orientation val="minMax"/>
        </c:scaling>
        <c:delete val="1"/>
        <c:axPos val="l"/>
        <c:numFmt formatCode="0.00%;\-0.00%;0.00%" sourceLinked="0"/>
        <c:majorTickMark val="none"/>
        <c:minorTickMark val="none"/>
        <c:tickLblPos val="nextTo"/>
        <c:crossAx val="317093936"/>
        <c:crosses val="autoZero"/>
        <c:crossBetween val="between"/>
        <c:extLst>
          <c:ext xmlns:c15="http://schemas.microsoft.com/office/drawing/2012/chart" uri="{F40574EE-89B7-4290-83BB-5DA773EAF853}">
            <c15:numFmt c:formatCode="0.00%;\-0.00%;0.00%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extLst>
    <c:ext xmlns:c15="http://schemas.microsoft.com/office/drawing/2012/chart" uri="{723BEF56-08C2-4564-9609-F4CBC75E7E54}">
      <c15:pivotSource>
        <c15:name>[managerzone75_ang.xlsx]PivotChartTable13</c15:name>
        <c15:fmtId val="4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Goal Conversion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0.00%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7109713137709635E-2"/>
          <c:y val="0.17171296296296296"/>
          <c:w val="0.92431612715077283"/>
          <c:h val="0.45344706911636046"/>
        </c:manualLayout>
      </c:layout>
      <c:barChart>
        <c:barDir val="col"/>
        <c:grouping val="clustered"/>
        <c:varyColors val="0"/>
        <c:ser>
          <c:idx val="0"/>
          <c:order val="0"/>
          <c:tx>
            <c:v>Suma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1"/>
              <c:pt idx="0">
                <c:v>Goral Zywiec</c:v>
              </c:pt>
              <c:pt idx="1">
                <c:v>Manchester United F.C.</c:v>
              </c:pt>
              <c:pt idx="2">
                <c:v>Love me Im famous!</c:v>
              </c:pt>
              <c:pt idx="3">
                <c:v>Agresor Team</c:v>
              </c:pt>
              <c:pt idx="4">
                <c:v>Stasin SA</c:v>
              </c:pt>
              <c:pt idx="5">
                <c:v>FC MARKUS</c:v>
              </c:pt>
              <c:pt idx="6">
                <c:v>Varsovia</c:v>
              </c:pt>
              <c:pt idx="7">
                <c:v>DRAGON GARWOLIN</c:v>
              </c:pt>
              <c:pt idx="8">
                <c:v>BOSS-cy Jasło</c:v>
              </c:pt>
              <c:pt idx="9">
                <c:v>Diabolic Team</c:v>
              </c:pt>
              <c:pt idx="10">
                <c:v>Nowielice</c:v>
              </c:pt>
            </c:strLit>
          </c:cat>
          <c:val>
            <c:numLit>
              <c:formatCode>0.00%;\-0.00%;0.00%</c:formatCode>
              <c:ptCount val="11"/>
              <c:pt idx="0">
                <c:v>0.29836065573770493</c:v>
              </c:pt>
              <c:pt idx="1">
                <c:v>0.28448275862068967</c:v>
              </c:pt>
              <c:pt idx="2">
                <c:v>0.24107142857142858</c:v>
              </c:pt>
              <c:pt idx="3">
                <c:v>0.22549019607843138</c:v>
              </c:pt>
              <c:pt idx="4">
                <c:v>0.22392638036809817</c:v>
              </c:pt>
              <c:pt idx="5">
                <c:v>0.21153846153846154</c:v>
              </c:pt>
              <c:pt idx="6">
                <c:v>0.19721577726218098</c:v>
              </c:pt>
              <c:pt idx="7">
                <c:v>0.19337016574585636</c:v>
              </c:pt>
              <c:pt idx="8">
                <c:v>0.18777292576419213</c:v>
              </c:pt>
              <c:pt idx="9">
                <c:v>0.17555555555555555</c:v>
              </c:pt>
              <c:pt idx="10">
                <c:v>0.16296296296296298</c:v>
              </c:pt>
            </c:numLit>
          </c:val>
          <c:extLst>
            <c:ext xmlns:c16="http://schemas.microsoft.com/office/drawing/2014/chart" uri="{C3380CC4-5D6E-409C-BE32-E72D297353CC}">
              <c16:uniqueId val="{00000001-DEAE-4496-BBA4-71B402080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3"/>
        <c:overlap val="-27"/>
        <c:axId val="317093936"/>
        <c:axId val="1067031680"/>
      </c:barChart>
      <c:catAx>
        <c:axId val="317093936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06703168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1067031680"/>
        <c:scaling>
          <c:orientation val="minMax"/>
        </c:scaling>
        <c:delete val="1"/>
        <c:axPos val="l"/>
        <c:numFmt formatCode="0.00%;\-0.00%;0.00%" sourceLinked="0"/>
        <c:majorTickMark val="none"/>
        <c:minorTickMark val="none"/>
        <c:tickLblPos val="nextTo"/>
        <c:crossAx val="317093936"/>
        <c:crosses val="autoZero"/>
        <c:crossBetween val="between"/>
        <c:extLst>
          <c:ext xmlns:c15="http://schemas.microsoft.com/office/drawing/2012/chart" uri="{F40574EE-89B7-4290-83BB-5DA773EAF853}">
            <c15:numFmt c:formatCode="0.00%;\-0.00%;0.00%" c:sourceLinked="1"/>
          </c:ext>
        </c:extLst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extLst>
    <c:ext xmlns:c15="http://schemas.microsoft.com/office/drawing/2012/chart" uri="{723BEF56-08C2-4564-9609-F4CBC75E7E54}">
      <c15:pivotSource>
        <c15:name>[managerzone75_ang.xlsx]PivotChartTable14</c15:name>
        <c15:fmtId val="6"/>
      </c15:pivotSource>
      <c15:pivotOptions>
        <c15:dropZoneFilter val="1"/>
        <c15:dropZoneCategories val="1"/>
        <c15:dropZoneData val="1"/>
      </c15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0</xdr:rowOff>
    </xdr:from>
    <xdr:to>
      <xdr:col>0</xdr:col>
      <xdr:colOff>9525</xdr:colOff>
      <xdr:row>7</xdr:row>
      <xdr:rowOff>0</xdr:rowOff>
    </xdr:to>
    <xdr:pic>
      <xdr:nvPicPr>
        <xdr:cNvPr id="5" name="Obraz 4" descr="https://www.managerzone.com/img/trans.gif">
          <a:extLst>
            <a:ext uri="{FF2B5EF4-FFF2-40B4-BE49-F238E27FC236}">
              <a16:creationId xmlns:a16="http://schemas.microsoft.com/office/drawing/2014/main" id="{F519EC81-755B-426E-BC75-43F7FB95D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9525</xdr:colOff>
      <xdr:row>9</xdr:row>
      <xdr:rowOff>0</xdr:rowOff>
    </xdr:to>
    <xdr:pic>
      <xdr:nvPicPr>
        <xdr:cNvPr id="6" name="Obraz 5" descr="https://www.managerzone.com/img/trans.gif">
          <a:extLst>
            <a:ext uri="{FF2B5EF4-FFF2-40B4-BE49-F238E27FC236}">
              <a16:creationId xmlns:a16="http://schemas.microsoft.com/office/drawing/2014/main" id="{AFF95D2D-EC7C-4292-8E09-58366B159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0</xdr:rowOff>
    </xdr:to>
    <xdr:pic>
      <xdr:nvPicPr>
        <xdr:cNvPr id="7" name="Obraz 6" descr="https://www.managerzone.com/img/trans.gif">
          <a:extLst>
            <a:ext uri="{FF2B5EF4-FFF2-40B4-BE49-F238E27FC236}">
              <a16:creationId xmlns:a16="http://schemas.microsoft.com/office/drawing/2014/main" id="{AC3F07E8-08CA-495D-8A9B-5E0512E3E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9525</xdr:colOff>
      <xdr:row>7</xdr:row>
      <xdr:rowOff>0</xdr:rowOff>
    </xdr:to>
    <xdr:pic>
      <xdr:nvPicPr>
        <xdr:cNvPr id="8" name="Obraz 7" descr="https://www.managerzone.com/img/trans.gif">
          <a:extLst>
            <a:ext uri="{FF2B5EF4-FFF2-40B4-BE49-F238E27FC236}">
              <a16:creationId xmlns:a16="http://schemas.microsoft.com/office/drawing/2014/main" id="{E3BBBA4E-20C0-4E76-BF14-7A24996B8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9525</xdr:colOff>
      <xdr:row>9</xdr:row>
      <xdr:rowOff>0</xdr:rowOff>
    </xdr:to>
    <xdr:pic>
      <xdr:nvPicPr>
        <xdr:cNvPr id="9" name="Obraz 8" descr="https://www.managerzone.com/img/trans.gif">
          <a:extLst>
            <a:ext uri="{FF2B5EF4-FFF2-40B4-BE49-F238E27FC236}">
              <a16:creationId xmlns:a16="http://schemas.microsoft.com/office/drawing/2014/main" id="{A4C4A60C-9CF7-417C-8469-9F5C3EFC9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0</xdr:rowOff>
    </xdr:to>
    <xdr:pic>
      <xdr:nvPicPr>
        <xdr:cNvPr id="10" name="Obraz 9" descr="https://www.managerzone.com/img/trans.gif">
          <a:extLst>
            <a:ext uri="{FF2B5EF4-FFF2-40B4-BE49-F238E27FC236}">
              <a16:creationId xmlns:a16="http://schemas.microsoft.com/office/drawing/2014/main" id="{0AA31BAD-E1DA-4AD8-8FC6-E9897164B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9525</xdr:colOff>
      <xdr:row>12</xdr:row>
      <xdr:rowOff>0</xdr:rowOff>
    </xdr:to>
    <xdr:pic>
      <xdr:nvPicPr>
        <xdr:cNvPr id="11" name="Obraz 10" descr="https://www.managerzone.com/img/trans.gif">
          <a:extLst>
            <a:ext uri="{FF2B5EF4-FFF2-40B4-BE49-F238E27FC236}">
              <a16:creationId xmlns:a16="http://schemas.microsoft.com/office/drawing/2014/main" id="{96C90EE8-4C4A-4EBC-82BC-FD97450623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9525</xdr:colOff>
      <xdr:row>12</xdr:row>
      <xdr:rowOff>0</xdr:rowOff>
    </xdr:to>
    <xdr:pic>
      <xdr:nvPicPr>
        <xdr:cNvPr id="12" name="Obraz 11" descr="https://www.managerzone.com/img/trans.gif">
          <a:extLst>
            <a:ext uri="{FF2B5EF4-FFF2-40B4-BE49-F238E27FC236}">
              <a16:creationId xmlns:a16="http://schemas.microsoft.com/office/drawing/2014/main" id="{D0DDED2A-82D7-4355-ADE3-A7BC935AA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9525</xdr:colOff>
      <xdr:row>12</xdr:row>
      <xdr:rowOff>0</xdr:rowOff>
    </xdr:to>
    <xdr:pic>
      <xdr:nvPicPr>
        <xdr:cNvPr id="13" name="Obraz 12" descr="https://www.managerzone.com/img/trans.gif">
          <a:extLst>
            <a:ext uri="{FF2B5EF4-FFF2-40B4-BE49-F238E27FC236}">
              <a16:creationId xmlns:a16="http://schemas.microsoft.com/office/drawing/2014/main" id="{F46C2FDD-0811-470A-B1EB-791ACAF04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0</xdr:rowOff>
    </xdr:to>
    <xdr:pic>
      <xdr:nvPicPr>
        <xdr:cNvPr id="14" name="Obraz 13" descr="https://www.managerzone.com/img/trans.gif">
          <a:extLst>
            <a:ext uri="{FF2B5EF4-FFF2-40B4-BE49-F238E27FC236}">
              <a16:creationId xmlns:a16="http://schemas.microsoft.com/office/drawing/2014/main" id="{C823215D-4436-4A63-AA14-81B52D11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0</xdr:rowOff>
    </xdr:to>
    <xdr:pic>
      <xdr:nvPicPr>
        <xdr:cNvPr id="15" name="Obraz 14" descr="https://www.managerzone.com/img/trans.gif">
          <a:extLst>
            <a:ext uri="{FF2B5EF4-FFF2-40B4-BE49-F238E27FC236}">
              <a16:creationId xmlns:a16="http://schemas.microsoft.com/office/drawing/2014/main" id="{CDF06F2D-D366-452B-A45B-7AB6CAD86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9525</xdr:colOff>
      <xdr:row>18</xdr:row>
      <xdr:rowOff>0</xdr:rowOff>
    </xdr:to>
    <xdr:pic>
      <xdr:nvPicPr>
        <xdr:cNvPr id="16" name="Obraz 15" descr="https://www.managerzone.com/img/trans.gif">
          <a:extLst>
            <a:ext uri="{FF2B5EF4-FFF2-40B4-BE49-F238E27FC236}">
              <a16:creationId xmlns:a16="http://schemas.microsoft.com/office/drawing/2014/main" id="{ACFA2F12-2DA9-4DE5-99DE-3B372E7DB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</xdr:colOff>
      <xdr:row>20</xdr:row>
      <xdr:rowOff>0</xdr:rowOff>
    </xdr:to>
    <xdr:pic>
      <xdr:nvPicPr>
        <xdr:cNvPr id="20" name="Obraz 19" descr="https://www.managerzone.com/img/trans.gif">
          <a:extLst>
            <a:ext uri="{FF2B5EF4-FFF2-40B4-BE49-F238E27FC236}">
              <a16:creationId xmlns:a16="http://schemas.microsoft.com/office/drawing/2014/main" id="{7368E730-046E-41AD-A576-EDD7606816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9525</xdr:colOff>
      <xdr:row>21</xdr:row>
      <xdr:rowOff>0</xdr:rowOff>
    </xdr:to>
    <xdr:pic>
      <xdr:nvPicPr>
        <xdr:cNvPr id="21" name="Obraz 20" descr="https://www.managerzone.com/img/trans.gif">
          <a:extLst>
            <a:ext uri="{FF2B5EF4-FFF2-40B4-BE49-F238E27FC236}">
              <a16:creationId xmlns:a16="http://schemas.microsoft.com/office/drawing/2014/main" id="{3C6D4E14-5E78-4ACC-9576-C3072C397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9525</xdr:colOff>
      <xdr:row>24</xdr:row>
      <xdr:rowOff>0</xdr:rowOff>
    </xdr:to>
    <xdr:pic>
      <xdr:nvPicPr>
        <xdr:cNvPr id="22" name="Obraz 21" descr="https://www.managerzone.com/img/trans.gif">
          <a:extLst>
            <a:ext uri="{FF2B5EF4-FFF2-40B4-BE49-F238E27FC236}">
              <a16:creationId xmlns:a16="http://schemas.microsoft.com/office/drawing/2014/main" id="{DB98C94B-9FFE-46A2-B998-4E147057C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9525</xdr:colOff>
      <xdr:row>27</xdr:row>
      <xdr:rowOff>0</xdr:rowOff>
    </xdr:to>
    <xdr:pic>
      <xdr:nvPicPr>
        <xdr:cNvPr id="23" name="Obraz 22" descr="https://www.managerzone.com/img/trans.gif">
          <a:extLst>
            <a:ext uri="{FF2B5EF4-FFF2-40B4-BE49-F238E27FC236}">
              <a16:creationId xmlns:a16="http://schemas.microsoft.com/office/drawing/2014/main" id="{64F39B4E-AE85-45D3-B838-54DCA9A45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9525</xdr:colOff>
      <xdr:row>28</xdr:row>
      <xdr:rowOff>0</xdr:rowOff>
    </xdr:to>
    <xdr:pic>
      <xdr:nvPicPr>
        <xdr:cNvPr id="24" name="Obraz 23" descr="https://www.managerzone.com/img/trans.gif">
          <a:extLst>
            <a:ext uri="{FF2B5EF4-FFF2-40B4-BE49-F238E27FC236}">
              <a16:creationId xmlns:a16="http://schemas.microsoft.com/office/drawing/2014/main" id="{483906F8-B7ED-4B33-B248-F5F972FEA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9525</xdr:colOff>
      <xdr:row>30</xdr:row>
      <xdr:rowOff>0</xdr:rowOff>
    </xdr:to>
    <xdr:pic>
      <xdr:nvPicPr>
        <xdr:cNvPr id="25" name="Obraz 24" descr="https://www.managerzone.com/img/trans.gif">
          <a:extLst>
            <a:ext uri="{FF2B5EF4-FFF2-40B4-BE49-F238E27FC236}">
              <a16:creationId xmlns:a16="http://schemas.microsoft.com/office/drawing/2014/main" id="{23231C28-6821-44DB-AED8-C35196D74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9525</xdr:colOff>
      <xdr:row>33</xdr:row>
      <xdr:rowOff>0</xdr:rowOff>
    </xdr:to>
    <xdr:pic>
      <xdr:nvPicPr>
        <xdr:cNvPr id="26" name="Obraz 25" descr="https://www.managerzone.com/img/trans.gif">
          <a:extLst>
            <a:ext uri="{FF2B5EF4-FFF2-40B4-BE49-F238E27FC236}">
              <a16:creationId xmlns:a16="http://schemas.microsoft.com/office/drawing/2014/main" id="{E0676FA3-90FC-4887-A779-6391D2D56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9525</xdr:colOff>
      <xdr:row>36</xdr:row>
      <xdr:rowOff>0</xdr:rowOff>
    </xdr:to>
    <xdr:pic>
      <xdr:nvPicPr>
        <xdr:cNvPr id="27" name="Obraz 26" descr="https://www.managerzone.com/img/trans.gif">
          <a:extLst>
            <a:ext uri="{FF2B5EF4-FFF2-40B4-BE49-F238E27FC236}">
              <a16:creationId xmlns:a16="http://schemas.microsoft.com/office/drawing/2014/main" id="{D504360E-9B77-4CA7-809C-E88A987F4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9525</xdr:colOff>
      <xdr:row>39</xdr:row>
      <xdr:rowOff>0</xdr:rowOff>
    </xdr:to>
    <xdr:pic>
      <xdr:nvPicPr>
        <xdr:cNvPr id="28" name="Obraz 27" descr="https://www.managerzone.com/img/trans.gif">
          <a:extLst>
            <a:ext uri="{FF2B5EF4-FFF2-40B4-BE49-F238E27FC236}">
              <a16:creationId xmlns:a16="http://schemas.microsoft.com/office/drawing/2014/main" id="{653BDDB8-34C2-4016-869B-96D7D0AB3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9525</xdr:colOff>
      <xdr:row>40</xdr:row>
      <xdr:rowOff>0</xdr:rowOff>
    </xdr:to>
    <xdr:pic>
      <xdr:nvPicPr>
        <xdr:cNvPr id="29" name="Obraz 28" descr="https://www.managerzone.com/img/trans.gif">
          <a:extLst>
            <a:ext uri="{FF2B5EF4-FFF2-40B4-BE49-F238E27FC236}">
              <a16:creationId xmlns:a16="http://schemas.microsoft.com/office/drawing/2014/main" id="{4BF89970-C8A0-40AA-AFD8-C9F5A83A6C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9525</xdr:colOff>
      <xdr:row>43</xdr:row>
      <xdr:rowOff>0</xdr:rowOff>
    </xdr:to>
    <xdr:pic>
      <xdr:nvPicPr>
        <xdr:cNvPr id="30" name="Obraz 29" descr="https://www.managerzone.com/img/trans.gif">
          <a:extLst>
            <a:ext uri="{FF2B5EF4-FFF2-40B4-BE49-F238E27FC236}">
              <a16:creationId xmlns:a16="http://schemas.microsoft.com/office/drawing/2014/main" id="{EE9F971D-FC22-46E3-BD15-C6A2781AD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7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9525</xdr:colOff>
      <xdr:row>45</xdr:row>
      <xdr:rowOff>0</xdr:rowOff>
    </xdr:to>
    <xdr:pic>
      <xdr:nvPicPr>
        <xdr:cNvPr id="31" name="Obraz 30" descr="https://www.managerzone.com/img/trans.gif">
          <a:extLst>
            <a:ext uri="{FF2B5EF4-FFF2-40B4-BE49-F238E27FC236}">
              <a16:creationId xmlns:a16="http://schemas.microsoft.com/office/drawing/2014/main" id="{1B240B14-84AB-4A4A-9438-FDB4C2BA9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9525</xdr:colOff>
      <xdr:row>47</xdr:row>
      <xdr:rowOff>0</xdr:rowOff>
    </xdr:to>
    <xdr:pic>
      <xdr:nvPicPr>
        <xdr:cNvPr id="32" name="Obraz 31" descr="https://www.managerzone.com/img/trans.gif">
          <a:extLst>
            <a:ext uri="{FF2B5EF4-FFF2-40B4-BE49-F238E27FC236}">
              <a16:creationId xmlns:a16="http://schemas.microsoft.com/office/drawing/2014/main" id="{A9A9BB02-CAA8-465E-AEC1-0A9803CCE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0</xdr:col>
      <xdr:colOff>9525</xdr:colOff>
      <xdr:row>49</xdr:row>
      <xdr:rowOff>0</xdr:rowOff>
    </xdr:to>
    <xdr:pic>
      <xdr:nvPicPr>
        <xdr:cNvPr id="33" name="Obraz 32" descr="https://www.managerzone.com/img/trans.gif">
          <a:extLst>
            <a:ext uri="{FF2B5EF4-FFF2-40B4-BE49-F238E27FC236}">
              <a16:creationId xmlns:a16="http://schemas.microsoft.com/office/drawing/2014/main" id="{9171D0F9-7EF0-4DB1-829B-F9887F85E1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9525</xdr:colOff>
      <xdr:row>52</xdr:row>
      <xdr:rowOff>0</xdr:rowOff>
    </xdr:to>
    <xdr:pic>
      <xdr:nvPicPr>
        <xdr:cNvPr id="34" name="Obraz 33" descr="https://www.managerzone.com/img/trans.gif">
          <a:extLst>
            <a:ext uri="{FF2B5EF4-FFF2-40B4-BE49-F238E27FC236}">
              <a16:creationId xmlns:a16="http://schemas.microsoft.com/office/drawing/2014/main" id="{2FB5CD39-6675-4A00-8372-C1AFC0CD5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0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9525</xdr:colOff>
      <xdr:row>54</xdr:row>
      <xdr:rowOff>0</xdr:rowOff>
    </xdr:to>
    <xdr:pic>
      <xdr:nvPicPr>
        <xdr:cNvPr id="35" name="Obraz 34" descr="https://www.managerzone.com/img/trans.gif">
          <a:extLst>
            <a:ext uri="{FF2B5EF4-FFF2-40B4-BE49-F238E27FC236}">
              <a16:creationId xmlns:a16="http://schemas.microsoft.com/office/drawing/2014/main" id="{75C4E0B8-0753-498D-91FE-93C0D644C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9525</xdr:colOff>
      <xdr:row>56</xdr:row>
      <xdr:rowOff>0</xdr:rowOff>
    </xdr:to>
    <xdr:pic>
      <xdr:nvPicPr>
        <xdr:cNvPr id="36" name="Obraz 35" descr="https://www.managerzone.com/img/trans.gif">
          <a:extLst>
            <a:ext uri="{FF2B5EF4-FFF2-40B4-BE49-F238E27FC236}">
              <a16:creationId xmlns:a16="http://schemas.microsoft.com/office/drawing/2014/main" id="{7D99A730-136B-41F2-B99B-DDB1921CF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9525</xdr:colOff>
      <xdr:row>59</xdr:row>
      <xdr:rowOff>0</xdr:rowOff>
    </xdr:to>
    <xdr:pic>
      <xdr:nvPicPr>
        <xdr:cNvPr id="37" name="Obraz 36" descr="https://www.managerzone.com/img/trans.gif">
          <a:extLst>
            <a:ext uri="{FF2B5EF4-FFF2-40B4-BE49-F238E27FC236}">
              <a16:creationId xmlns:a16="http://schemas.microsoft.com/office/drawing/2014/main" id="{681BA522-4008-456D-BBB0-A625222EA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9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9525</xdr:colOff>
      <xdr:row>61</xdr:row>
      <xdr:rowOff>0</xdr:rowOff>
    </xdr:to>
    <xdr:pic>
      <xdr:nvPicPr>
        <xdr:cNvPr id="41" name="Obraz 40" descr="https://www.managerzone.com/img/trans.gif">
          <a:extLst>
            <a:ext uri="{FF2B5EF4-FFF2-40B4-BE49-F238E27FC236}">
              <a16:creationId xmlns:a16="http://schemas.microsoft.com/office/drawing/2014/main" id="{CB41DAD2-A70D-4FAD-B3BF-4D1F13309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5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9525</xdr:colOff>
      <xdr:row>62</xdr:row>
      <xdr:rowOff>0</xdr:rowOff>
    </xdr:to>
    <xdr:pic>
      <xdr:nvPicPr>
        <xdr:cNvPr id="42" name="Obraz 41" descr="https://www.managerzone.com/img/trans.gif">
          <a:extLst>
            <a:ext uri="{FF2B5EF4-FFF2-40B4-BE49-F238E27FC236}">
              <a16:creationId xmlns:a16="http://schemas.microsoft.com/office/drawing/2014/main" id="{887509C6-E123-4378-B89E-53F325D00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9525</xdr:colOff>
      <xdr:row>64</xdr:row>
      <xdr:rowOff>0</xdr:rowOff>
    </xdr:to>
    <xdr:pic>
      <xdr:nvPicPr>
        <xdr:cNvPr id="43" name="Obraz 42" descr="https://www.managerzone.com/img/trans.gif">
          <a:extLst>
            <a:ext uri="{FF2B5EF4-FFF2-40B4-BE49-F238E27FC236}">
              <a16:creationId xmlns:a16="http://schemas.microsoft.com/office/drawing/2014/main" id="{DB2D855E-E49E-4F7B-9442-E9198C777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7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9525</xdr:colOff>
      <xdr:row>61</xdr:row>
      <xdr:rowOff>0</xdr:rowOff>
    </xdr:to>
    <xdr:pic>
      <xdr:nvPicPr>
        <xdr:cNvPr id="44" name="Obraz 43" descr="https://www.managerzone.com/img/trans.gif">
          <a:extLst>
            <a:ext uri="{FF2B5EF4-FFF2-40B4-BE49-F238E27FC236}">
              <a16:creationId xmlns:a16="http://schemas.microsoft.com/office/drawing/2014/main" id="{93FD8F96-1C77-40E1-BE69-6D26ABCF8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5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9525</xdr:colOff>
      <xdr:row>62</xdr:row>
      <xdr:rowOff>0</xdr:rowOff>
    </xdr:to>
    <xdr:pic>
      <xdr:nvPicPr>
        <xdr:cNvPr id="45" name="Obraz 44" descr="https://www.managerzone.com/img/trans.gif">
          <a:extLst>
            <a:ext uri="{FF2B5EF4-FFF2-40B4-BE49-F238E27FC236}">
              <a16:creationId xmlns:a16="http://schemas.microsoft.com/office/drawing/2014/main" id="{2C589A9C-7F3F-43CF-AB83-447602109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9525</xdr:colOff>
      <xdr:row>65</xdr:row>
      <xdr:rowOff>0</xdr:rowOff>
    </xdr:to>
    <xdr:pic>
      <xdr:nvPicPr>
        <xdr:cNvPr id="46" name="Obraz 45" descr="https://www.managerzone.com/img/trans.gif">
          <a:extLst>
            <a:ext uri="{FF2B5EF4-FFF2-40B4-BE49-F238E27FC236}">
              <a16:creationId xmlns:a16="http://schemas.microsoft.com/office/drawing/2014/main" id="{5CBC5364-6EFF-47CD-8E82-308072325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7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9525</xdr:colOff>
      <xdr:row>68</xdr:row>
      <xdr:rowOff>0</xdr:rowOff>
    </xdr:to>
    <xdr:pic>
      <xdr:nvPicPr>
        <xdr:cNvPr id="38" name="Obraz 37" descr="https://www.managerzone.com/img/trans.gif">
          <a:extLst>
            <a:ext uri="{FF2B5EF4-FFF2-40B4-BE49-F238E27FC236}">
              <a16:creationId xmlns:a16="http://schemas.microsoft.com/office/drawing/2014/main" id="{826CB830-CCDD-491A-9E80-893BBA3B9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9525</xdr:colOff>
      <xdr:row>68</xdr:row>
      <xdr:rowOff>0</xdr:rowOff>
    </xdr:to>
    <xdr:pic>
      <xdr:nvPicPr>
        <xdr:cNvPr id="39" name="Obraz 38" descr="https://www.managerzone.com/img/trans.gif">
          <a:extLst>
            <a:ext uri="{FF2B5EF4-FFF2-40B4-BE49-F238E27FC236}">
              <a16:creationId xmlns:a16="http://schemas.microsoft.com/office/drawing/2014/main" id="{AA563E79-2FF6-4168-B107-3D0E770C6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1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9525</xdr:colOff>
      <xdr:row>68</xdr:row>
      <xdr:rowOff>0</xdr:rowOff>
    </xdr:to>
    <xdr:pic>
      <xdr:nvPicPr>
        <xdr:cNvPr id="40" name="Obraz 39" descr="https://www.managerzone.com/img/trans.gif">
          <a:extLst>
            <a:ext uri="{FF2B5EF4-FFF2-40B4-BE49-F238E27FC236}">
              <a16:creationId xmlns:a16="http://schemas.microsoft.com/office/drawing/2014/main" id="{1F038454-2B1E-4F83-B9AB-3A28A986D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6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9525</xdr:colOff>
      <xdr:row>70</xdr:row>
      <xdr:rowOff>0</xdr:rowOff>
    </xdr:to>
    <xdr:pic>
      <xdr:nvPicPr>
        <xdr:cNvPr id="47" name="Obraz 46" descr="https://www.managerzone.com/img/trans.gif">
          <a:extLst>
            <a:ext uri="{FF2B5EF4-FFF2-40B4-BE49-F238E27FC236}">
              <a16:creationId xmlns:a16="http://schemas.microsoft.com/office/drawing/2014/main" id="{E8E183EE-EFE3-409C-92C9-1B8752FA4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0</xdr:col>
      <xdr:colOff>9525</xdr:colOff>
      <xdr:row>73</xdr:row>
      <xdr:rowOff>0</xdr:rowOff>
    </xdr:to>
    <xdr:pic>
      <xdr:nvPicPr>
        <xdr:cNvPr id="48" name="Obraz 47" descr="https://www.managerzone.com/img/trans.gif">
          <a:extLst>
            <a:ext uri="{FF2B5EF4-FFF2-40B4-BE49-F238E27FC236}">
              <a16:creationId xmlns:a16="http://schemas.microsoft.com/office/drawing/2014/main" id="{68909CCD-585B-4806-960D-4A8A25D8A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9525</xdr:colOff>
      <xdr:row>76</xdr:row>
      <xdr:rowOff>0</xdr:rowOff>
    </xdr:to>
    <xdr:pic>
      <xdr:nvPicPr>
        <xdr:cNvPr id="49" name="Obraz 48" descr="https://www.managerzone.com/img/trans.gif">
          <a:extLst>
            <a:ext uri="{FF2B5EF4-FFF2-40B4-BE49-F238E27FC236}">
              <a16:creationId xmlns:a16="http://schemas.microsoft.com/office/drawing/2014/main" id="{A453F3B5-56C3-42D2-BBF6-F75A50F36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9525</xdr:colOff>
      <xdr:row>77</xdr:row>
      <xdr:rowOff>0</xdr:rowOff>
    </xdr:to>
    <xdr:pic>
      <xdr:nvPicPr>
        <xdr:cNvPr id="50" name="Obraz 49">
          <a:extLst>
            <a:ext uri="{FF2B5EF4-FFF2-40B4-BE49-F238E27FC236}">
              <a16:creationId xmlns:a16="http://schemas.microsoft.com/office/drawing/2014/main" id="{9D3146EB-AE72-4C83-A721-2EE1FDB02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4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9525</xdr:colOff>
      <xdr:row>79</xdr:row>
      <xdr:rowOff>0</xdr:rowOff>
    </xdr:to>
    <xdr:pic>
      <xdr:nvPicPr>
        <xdr:cNvPr id="51" name="Obraz 50">
          <a:extLst>
            <a:ext uri="{FF2B5EF4-FFF2-40B4-BE49-F238E27FC236}">
              <a16:creationId xmlns:a16="http://schemas.microsoft.com/office/drawing/2014/main" id="{2C72EAB9-2F01-40A3-940A-5A2DD3483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9525</xdr:colOff>
      <xdr:row>82</xdr:row>
      <xdr:rowOff>0</xdr:rowOff>
    </xdr:to>
    <xdr:pic>
      <xdr:nvPicPr>
        <xdr:cNvPr id="52" name="Obraz 51">
          <a:extLst>
            <a:ext uri="{FF2B5EF4-FFF2-40B4-BE49-F238E27FC236}">
              <a16:creationId xmlns:a16="http://schemas.microsoft.com/office/drawing/2014/main" id="{A8ACE01F-373C-4CF4-BF54-CB6423DC1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9525</xdr:colOff>
      <xdr:row>84</xdr:row>
      <xdr:rowOff>0</xdr:rowOff>
    </xdr:to>
    <xdr:pic>
      <xdr:nvPicPr>
        <xdr:cNvPr id="53" name="Obraz 52">
          <a:extLst>
            <a:ext uri="{FF2B5EF4-FFF2-40B4-BE49-F238E27FC236}">
              <a16:creationId xmlns:a16="http://schemas.microsoft.com/office/drawing/2014/main" id="{F2E48056-2F3B-4DAA-A6B1-C25D9E741A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4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9525</xdr:colOff>
      <xdr:row>86</xdr:row>
      <xdr:rowOff>0</xdr:rowOff>
    </xdr:to>
    <xdr:pic>
      <xdr:nvPicPr>
        <xdr:cNvPr id="54" name="Obraz 53">
          <a:extLst>
            <a:ext uri="{FF2B5EF4-FFF2-40B4-BE49-F238E27FC236}">
              <a16:creationId xmlns:a16="http://schemas.microsoft.com/office/drawing/2014/main" id="{309E7C62-E3D1-470D-8984-E649DE01B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0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9525</xdr:colOff>
      <xdr:row>88</xdr:row>
      <xdr:rowOff>0</xdr:rowOff>
    </xdr:to>
    <xdr:pic>
      <xdr:nvPicPr>
        <xdr:cNvPr id="55" name="Obraz 54">
          <a:extLst>
            <a:ext uri="{FF2B5EF4-FFF2-40B4-BE49-F238E27FC236}">
              <a16:creationId xmlns:a16="http://schemas.microsoft.com/office/drawing/2014/main" id="{1582BAFC-0BEA-407F-A5CB-18CEEB9C1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5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9525</xdr:colOff>
      <xdr:row>91</xdr:row>
      <xdr:rowOff>0</xdr:rowOff>
    </xdr:to>
    <xdr:pic>
      <xdr:nvPicPr>
        <xdr:cNvPr id="56" name="Obraz 55">
          <a:extLst>
            <a:ext uri="{FF2B5EF4-FFF2-40B4-BE49-F238E27FC236}">
              <a16:creationId xmlns:a16="http://schemas.microsoft.com/office/drawing/2014/main" id="{72AE19F4-FB83-487C-932D-DD1DF1D98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3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9525</xdr:colOff>
      <xdr:row>92</xdr:row>
      <xdr:rowOff>0</xdr:rowOff>
    </xdr:to>
    <xdr:pic>
      <xdr:nvPicPr>
        <xdr:cNvPr id="57" name="Obraz 56">
          <a:extLst>
            <a:ext uri="{FF2B5EF4-FFF2-40B4-BE49-F238E27FC236}">
              <a16:creationId xmlns:a16="http://schemas.microsoft.com/office/drawing/2014/main" id="{3CDB8469-BA2D-4339-8862-C54A6180F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9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9525</xdr:colOff>
      <xdr:row>94</xdr:row>
      <xdr:rowOff>0</xdr:rowOff>
    </xdr:to>
    <xdr:pic>
      <xdr:nvPicPr>
        <xdr:cNvPr id="58" name="Obraz 57">
          <a:extLst>
            <a:ext uri="{FF2B5EF4-FFF2-40B4-BE49-F238E27FC236}">
              <a16:creationId xmlns:a16="http://schemas.microsoft.com/office/drawing/2014/main" id="{6B7B2472-606C-4D58-92F4-C21F2F749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4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9525</xdr:colOff>
      <xdr:row>96</xdr:row>
      <xdr:rowOff>0</xdr:rowOff>
    </xdr:to>
    <xdr:pic>
      <xdr:nvPicPr>
        <xdr:cNvPr id="59" name="Obraz 58">
          <a:extLst>
            <a:ext uri="{FF2B5EF4-FFF2-40B4-BE49-F238E27FC236}">
              <a16:creationId xmlns:a16="http://schemas.microsoft.com/office/drawing/2014/main" id="{9329FF6B-0B70-42C3-8C10-CD1480626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3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9525</xdr:colOff>
      <xdr:row>98</xdr:row>
      <xdr:rowOff>0</xdr:rowOff>
    </xdr:to>
    <xdr:pic>
      <xdr:nvPicPr>
        <xdr:cNvPr id="60" name="Obraz 59">
          <a:extLst>
            <a:ext uri="{FF2B5EF4-FFF2-40B4-BE49-F238E27FC236}">
              <a16:creationId xmlns:a16="http://schemas.microsoft.com/office/drawing/2014/main" id="{CB7D647C-3C26-4230-A0F5-D8A37EB98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9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9525</xdr:colOff>
      <xdr:row>100</xdr:row>
      <xdr:rowOff>0</xdr:rowOff>
    </xdr:to>
    <xdr:pic>
      <xdr:nvPicPr>
        <xdr:cNvPr id="61" name="Obraz 60">
          <a:extLst>
            <a:ext uri="{FF2B5EF4-FFF2-40B4-BE49-F238E27FC236}">
              <a16:creationId xmlns:a16="http://schemas.microsoft.com/office/drawing/2014/main" id="{A3B1CBC5-9419-49C6-A5E7-46A426351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4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9525</xdr:colOff>
      <xdr:row>103</xdr:row>
      <xdr:rowOff>0</xdr:rowOff>
    </xdr:to>
    <xdr:pic>
      <xdr:nvPicPr>
        <xdr:cNvPr id="62" name="Obraz 61">
          <a:extLst>
            <a:ext uri="{FF2B5EF4-FFF2-40B4-BE49-F238E27FC236}">
              <a16:creationId xmlns:a16="http://schemas.microsoft.com/office/drawing/2014/main" id="{CBEF64CB-96E3-4B37-B334-8C80C9C15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</xdr:row>
      <xdr:rowOff>0</xdr:rowOff>
    </xdr:from>
    <xdr:to>
      <xdr:col>0</xdr:col>
      <xdr:colOff>9525</xdr:colOff>
      <xdr:row>105</xdr:row>
      <xdr:rowOff>0</xdr:rowOff>
    </xdr:to>
    <xdr:pic>
      <xdr:nvPicPr>
        <xdr:cNvPr id="63" name="Obraz 62">
          <a:extLst>
            <a:ext uri="{FF2B5EF4-FFF2-40B4-BE49-F238E27FC236}">
              <a16:creationId xmlns:a16="http://schemas.microsoft.com/office/drawing/2014/main" id="{B96B2DB0-FED1-4B5F-9B16-AE1FFBA29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9525</xdr:colOff>
      <xdr:row>107</xdr:row>
      <xdr:rowOff>0</xdr:rowOff>
    </xdr:to>
    <xdr:pic>
      <xdr:nvPicPr>
        <xdr:cNvPr id="64" name="Obraz 63">
          <a:extLst>
            <a:ext uri="{FF2B5EF4-FFF2-40B4-BE49-F238E27FC236}">
              <a16:creationId xmlns:a16="http://schemas.microsoft.com/office/drawing/2014/main" id="{B2113288-44FE-4A6E-8DCF-9AE4D5D6E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4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9525</xdr:colOff>
      <xdr:row>109</xdr:row>
      <xdr:rowOff>0</xdr:rowOff>
    </xdr:to>
    <xdr:pic>
      <xdr:nvPicPr>
        <xdr:cNvPr id="65" name="Obraz 64">
          <a:extLst>
            <a:ext uri="{FF2B5EF4-FFF2-40B4-BE49-F238E27FC236}">
              <a16:creationId xmlns:a16="http://schemas.microsoft.com/office/drawing/2014/main" id="{9DD1FF56-BE8E-4CED-95BE-B8B0101D9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2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9525</xdr:colOff>
      <xdr:row>111</xdr:row>
      <xdr:rowOff>0</xdr:rowOff>
    </xdr:to>
    <xdr:pic>
      <xdr:nvPicPr>
        <xdr:cNvPr id="66" name="Obraz 65">
          <a:extLst>
            <a:ext uri="{FF2B5EF4-FFF2-40B4-BE49-F238E27FC236}">
              <a16:creationId xmlns:a16="http://schemas.microsoft.com/office/drawing/2014/main" id="{78D0914A-4CEF-44BD-BAC1-E60CE93EC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8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9525</xdr:colOff>
      <xdr:row>115</xdr:row>
      <xdr:rowOff>0</xdr:rowOff>
    </xdr:to>
    <xdr:pic>
      <xdr:nvPicPr>
        <xdr:cNvPr id="67" name="Obraz 66">
          <a:extLst>
            <a:ext uri="{FF2B5EF4-FFF2-40B4-BE49-F238E27FC236}">
              <a16:creationId xmlns:a16="http://schemas.microsoft.com/office/drawing/2014/main" id="{21B4FB92-1F9A-45AA-AA42-7D0967F56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2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9525</xdr:colOff>
      <xdr:row>116</xdr:row>
      <xdr:rowOff>0</xdr:rowOff>
    </xdr:to>
    <xdr:pic>
      <xdr:nvPicPr>
        <xdr:cNvPr id="68" name="Obraz 67">
          <a:extLst>
            <a:ext uri="{FF2B5EF4-FFF2-40B4-BE49-F238E27FC236}">
              <a16:creationId xmlns:a16="http://schemas.microsoft.com/office/drawing/2014/main" id="{912A3B6F-4055-4CC2-93A9-3639FCFEE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1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9525</xdr:colOff>
      <xdr:row>117</xdr:row>
      <xdr:rowOff>0</xdr:rowOff>
    </xdr:to>
    <xdr:pic>
      <xdr:nvPicPr>
        <xdr:cNvPr id="69" name="Obraz 68">
          <a:extLst>
            <a:ext uri="{FF2B5EF4-FFF2-40B4-BE49-F238E27FC236}">
              <a16:creationId xmlns:a16="http://schemas.microsoft.com/office/drawing/2014/main" id="{CF624018-BE68-4818-8D3A-B1158D823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8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9525</xdr:colOff>
      <xdr:row>118</xdr:row>
      <xdr:rowOff>0</xdr:rowOff>
    </xdr:to>
    <xdr:pic>
      <xdr:nvPicPr>
        <xdr:cNvPr id="70" name="Obraz 69">
          <a:extLst>
            <a:ext uri="{FF2B5EF4-FFF2-40B4-BE49-F238E27FC236}">
              <a16:creationId xmlns:a16="http://schemas.microsoft.com/office/drawing/2014/main" id="{11738650-F304-4006-AA5A-43F34C9EEF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3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9525</xdr:colOff>
      <xdr:row>120</xdr:row>
      <xdr:rowOff>9525</xdr:rowOff>
    </xdr:to>
    <xdr:pic>
      <xdr:nvPicPr>
        <xdr:cNvPr id="71" name="Obraz 70">
          <a:extLst>
            <a:ext uri="{FF2B5EF4-FFF2-40B4-BE49-F238E27FC236}">
              <a16:creationId xmlns:a16="http://schemas.microsoft.com/office/drawing/2014/main" id="{1516F24C-376E-421D-AB9C-590631976D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1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</xdr:row>
      <xdr:rowOff>0</xdr:rowOff>
    </xdr:from>
    <xdr:to>
      <xdr:col>0</xdr:col>
      <xdr:colOff>9525</xdr:colOff>
      <xdr:row>122</xdr:row>
      <xdr:rowOff>9525</xdr:rowOff>
    </xdr:to>
    <xdr:pic>
      <xdr:nvPicPr>
        <xdr:cNvPr id="72" name="Obraz 71">
          <a:extLst>
            <a:ext uri="{FF2B5EF4-FFF2-40B4-BE49-F238E27FC236}">
              <a16:creationId xmlns:a16="http://schemas.microsoft.com/office/drawing/2014/main" id="{B7C07174-BC3C-451D-B5E2-B1F3546EF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7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9525</xdr:colOff>
      <xdr:row>125</xdr:row>
      <xdr:rowOff>9525</xdr:rowOff>
    </xdr:to>
    <xdr:pic>
      <xdr:nvPicPr>
        <xdr:cNvPr id="73" name="Obraz 72">
          <a:extLst>
            <a:ext uri="{FF2B5EF4-FFF2-40B4-BE49-F238E27FC236}">
              <a16:creationId xmlns:a16="http://schemas.microsoft.com/office/drawing/2014/main" id="{8E58DF5E-02EB-4350-9623-0F3878774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1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9525</xdr:colOff>
      <xdr:row>127</xdr:row>
      <xdr:rowOff>9525</xdr:rowOff>
    </xdr:to>
    <xdr:pic>
      <xdr:nvPicPr>
        <xdr:cNvPr id="74" name="Obraz 73">
          <a:extLst>
            <a:ext uri="{FF2B5EF4-FFF2-40B4-BE49-F238E27FC236}">
              <a16:creationId xmlns:a16="http://schemas.microsoft.com/office/drawing/2014/main" id="{1A913A9A-97DB-492C-870A-7EF24A73A9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9525</xdr:colOff>
      <xdr:row>129</xdr:row>
      <xdr:rowOff>9525</xdr:rowOff>
    </xdr:to>
    <xdr:pic>
      <xdr:nvPicPr>
        <xdr:cNvPr id="75" name="Obraz 74">
          <a:extLst>
            <a:ext uri="{FF2B5EF4-FFF2-40B4-BE49-F238E27FC236}">
              <a16:creationId xmlns:a16="http://schemas.microsoft.com/office/drawing/2014/main" id="{ACBF53BD-3F83-49E9-9022-F59545BB9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7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9525</xdr:colOff>
      <xdr:row>131</xdr:row>
      <xdr:rowOff>9525</xdr:rowOff>
    </xdr:to>
    <xdr:pic>
      <xdr:nvPicPr>
        <xdr:cNvPr id="76" name="Obraz 75">
          <a:extLst>
            <a:ext uri="{FF2B5EF4-FFF2-40B4-BE49-F238E27FC236}">
              <a16:creationId xmlns:a16="http://schemas.microsoft.com/office/drawing/2014/main" id="{E0BE9FAF-1D3A-4DD3-9BD8-41FDB03F1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2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9525</xdr:colOff>
      <xdr:row>134</xdr:row>
      <xdr:rowOff>9525</xdr:rowOff>
    </xdr:to>
    <xdr:pic>
      <xdr:nvPicPr>
        <xdr:cNvPr id="77" name="Obraz 76">
          <a:extLst>
            <a:ext uri="{FF2B5EF4-FFF2-40B4-BE49-F238E27FC236}">
              <a16:creationId xmlns:a16="http://schemas.microsoft.com/office/drawing/2014/main" id="{F88566E3-E641-4271-A946-7AB4B7DB3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0</xdr:col>
      <xdr:colOff>9525</xdr:colOff>
      <xdr:row>135</xdr:row>
      <xdr:rowOff>9525</xdr:rowOff>
    </xdr:to>
    <xdr:pic>
      <xdr:nvPicPr>
        <xdr:cNvPr id="78" name="Obraz 77">
          <a:extLst>
            <a:ext uri="{FF2B5EF4-FFF2-40B4-BE49-F238E27FC236}">
              <a16:creationId xmlns:a16="http://schemas.microsoft.com/office/drawing/2014/main" id="{C17AF81D-1C76-4B02-8775-ED7CE6B77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6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9525</xdr:colOff>
      <xdr:row>139</xdr:row>
      <xdr:rowOff>9525</xdr:rowOff>
    </xdr:to>
    <xdr:pic>
      <xdr:nvPicPr>
        <xdr:cNvPr id="79" name="Obraz 78">
          <a:extLst>
            <a:ext uri="{FF2B5EF4-FFF2-40B4-BE49-F238E27FC236}">
              <a16:creationId xmlns:a16="http://schemas.microsoft.com/office/drawing/2014/main" id="{440BCB2C-45F9-4451-AF40-C80C687D2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9525</xdr:colOff>
      <xdr:row>140</xdr:row>
      <xdr:rowOff>9525</xdr:rowOff>
    </xdr:to>
    <xdr:pic>
      <xdr:nvPicPr>
        <xdr:cNvPr id="80" name="Obraz 79">
          <a:extLst>
            <a:ext uri="{FF2B5EF4-FFF2-40B4-BE49-F238E27FC236}">
              <a16:creationId xmlns:a16="http://schemas.microsoft.com/office/drawing/2014/main" id="{CA1BFBC9-7358-4765-97F8-75E5CB673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8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9525</xdr:colOff>
      <xdr:row>140</xdr:row>
      <xdr:rowOff>9525</xdr:rowOff>
    </xdr:to>
    <xdr:pic>
      <xdr:nvPicPr>
        <xdr:cNvPr id="81" name="Obraz 80">
          <a:extLst>
            <a:ext uri="{FF2B5EF4-FFF2-40B4-BE49-F238E27FC236}">
              <a16:creationId xmlns:a16="http://schemas.microsoft.com/office/drawing/2014/main" id="{5C9DDE27-8493-481D-A638-F6AD4AC60C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0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9525</xdr:colOff>
      <xdr:row>142</xdr:row>
      <xdr:rowOff>9525</xdr:rowOff>
    </xdr:to>
    <xdr:pic>
      <xdr:nvPicPr>
        <xdr:cNvPr id="82" name="Obraz 81">
          <a:extLst>
            <a:ext uri="{FF2B5EF4-FFF2-40B4-BE49-F238E27FC236}">
              <a16:creationId xmlns:a16="http://schemas.microsoft.com/office/drawing/2014/main" id="{6D2FE457-F072-4AD0-929F-4FF8E260F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6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9525</xdr:colOff>
      <xdr:row>146</xdr:row>
      <xdr:rowOff>9525</xdr:rowOff>
    </xdr:to>
    <xdr:pic>
      <xdr:nvPicPr>
        <xdr:cNvPr id="83" name="Obraz 82">
          <a:extLst>
            <a:ext uri="{FF2B5EF4-FFF2-40B4-BE49-F238E27FC236}">
              <a16:creationId xmlns:a16="http://schemas.microsoft.com/office/drawing/2014/main" id="{B5F21E7D-2FA5-4E72-8BDE-4F332470B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</xdr:row>
      <xdr:rowOff>0</xdr:rowOff>
    </xdr:from>
    <xdr:to>
      <xdr:col>0</xdr:col>
      <xdr:colOff>9525</xdr:colOff>
      <xdr:row>147</xdr:row>
      <xdr:rowOff>9525</xdr:rowOff>
    </xdr:to>
    <xdr:pic>
      <xdr:nvPicPr>
        <xdr:cNvPr id="84" name="Obraz 83">
          <a:extLst>
            <a:ext uri="{FF2B5EF4-FFF2-40B4-BE49-F238E27FC236}">
              <a16:creationId xmlns:a16="http://schemas.microsoft.com/office/drawing/2014/main" id="{E9DC3696-F6F8-4E6A-AC9A-89A3A7FD7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9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9525</xdr:colOff>
      <xdr:row>149</xdr:row>
      <xdr:rowOff>9525</xdr:rowOff>
    </xdr:to>
    <xdr:pic>
      <xdr:nvPicPr>
        <xdr:cNvPr id="85" name="Obraz 84">
          <a:extLst>
            <a:ext uri="{FF2B5EF4-FFF2-40B4-BE49-F238E27FC236}">
              <a16:creationId xmlns:a16="http://schemas.microsoft.com/office/drawing/2014/main" id="{B8BB62D0-D8B8-49E2-84F9-0A464EAC8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0</xdr:col>
      <xdr:colOff>9525</xdr:colOff>
      <xdr:row>152</xdr:row>
      <xdr:rowOff>9525</xdr:rowOff>
    </xdr:to>
    <xdr:pic>
      <xdr:nvPicPr>
        <xdr:cNvPr id="86" name="Obraz 85">
          <a:extLst>
            <a:ext uri="{FF2B5EF4-FFF2-40B4-BE49-F238E27FC236}">
              <a16:creationId xmlns:a16="http://schemas.microsoft.com/office/drawing/2014/main" id="{FEC74B6C-D55C-428A-A6FD-64E9E5CE8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0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9525</xdr:colOff>
      <xdr:row>154</xdr:row>
      <xdr:rowOff>9525</xdr:rowOff>
    </xdr:to>
    <xdr:pic>
      <xdr:nvPicPr>
        <xdr:cNvPr id="87" name="Obraz 86">
          <a:extLst>
            <a:ext uri="{FF2B5EF4-FFF2-40B4-BE49-F238E27FC236}">
              <a16:creationId xmlns:a16="http://schemas.microsoft.com/office/drawing/2014/main" id="{B74212BE-8FE1-4DEB-9790-4F82D5ADE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9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0</xdr:col>
      <xdr:colOff>9525</xdr:colOff>
      <xdr:row>156</xdr:row>
      <xdr:rowOff>9525</xdr:rowOff>
    </xdr:to>
    <xdr:pic>
      <xdr:nvPicPr>
        <xdr:cNvPr id="88" name="Obraz 87">
          <a:extLst>
            <a:ext uri="{FF2B5EF4-FFF2-40B4-BE49-F238E27FC236}">
              <a16:creationId xmlns:a16="http://schemas.microsoft.com/office/drawing/2014/main" id="{5F5292CC-748E-4753-8282-13764BBC1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5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0</xdr:rowOff>
    </xdr:from>
    <xdr:to>
      <xdr:col>0</xdr:col>
      <xdr:colOff>9525</xdr:colOff>
      <xdr:row>159</xdr:row>
      <xdr:rowOff>9525</xdr:rowOff>
    </xdr:to>
    <xdr:pic>
      <xdr:nvPicPr>
        <xdr:cNvPr id="89" name="Obraz 88">
          <a:extLst>
            <a:ext uri="{FF2B5EF4-FFF2-40B4-BE49-F238E27FC236}">
              <a16:creationId xmlns:a16="http://schemas.microsoft.com/office/drawing/2014/main" id="{24467573-B175-4B89-85EA-029427D3E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9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9525</xdr:colOff>
      <xdr:row>160</xdr:row>
      <xdr:rowOff>9525</xdr:rowOff>
    </xdr:to>
    <xdr:pic>
      <xdr:nvPicPr>
        <xdr:cNvPr id="90" name="Obraz 89">
          <a:extLst>
            <a:ext uri="{FF2B5EF4-FFF2-40B4-BE49-F238E27FC236}">
              <a16:creationId xmlns:a16="http://schemas.microsoft.com/office/drawing/2014/main" id="{927A1FE0-B3DB-4718-92BC-5BAF252AF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8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</xdr:row>
      <xdr:rowOff>0</xdr:rowOff>
    </xdr:from>
    <xdr:to>
      <xdr:col>0</xdr:col>
      <xdr:colOff>9525</xdr:colOff>
      <xdr:row>163</xdr:row>
      <xdr:rowOff>9525</xdr:rowOff>
    </xdr:to>
    <xdr:pic>
      <xdr:nvPicPr>
        <xdr:cNvPr id="91" name="Obraz 90">
          <a:extLst>
            <a:ext uri="{FF2B5EF4-FFF2-40B4-BE49-F238E27FC236}">
              <a16:creationId xmlns:a16="http://schemas.microsoft.com/office/drawing/2014/main" id="{C112B129-AECB-4EAC-B987-3F04E80BE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4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</xdr:row>
      <xdr:rowOff>0</xdr:rowOff>
    </xdr:from>
    <xdr:to>
      <xdr:col>0</xdr:col>
      <xdr:colOff>9525</xdr:colOff>
      <xdr:row>165</xdr:row>
      <xdr:rowOff>9525</xdr:rowOff>
    </xdr:to>
    <xdr:pic>
      <xdr:nvPicPr>
        <xdr:cNvPr id="92" name="Obraz 91">
          <a:extLst>
            <a:ext uri="{FF2B5EF4-FFF2-40B4-BE49-F238E27FC236}">
              <a16:creationId xmlns:a16="http://schemas.microsoft.com/office/drawing/2014/main" id="{79D0B3A8-D7BD-474D-9D8E-13F4A2A99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0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9525</xdr:colOff>
      <xdr:row>167</xdr:row>
      <xdr:rowOff>9525</xdr:rowOff>
    </xdr:to>
    <xdr:pic>
      <xdr:nvPicPr>
        <xdr:cNvPr id="93" name="Obraz 92">
          <a:extLst>
            <a:ext uri="{FF2B5EF4-FFF2-40B4-BE49-F238E27FC236}">
              <a16:creationId xmlns:a16="http://schemas.microsoft.com/office/drawing/2014/main" id="{D325D665-F918-4618-9F90-944C7C748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8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9525</xdr:colOff>
      <xdr:row>169</xdr:row>
      <xdr:rowOff>9525</xdr:rowOff>
    </xdr:to>
    <xdr:pic>
      <xdr:nvPicPr>
        <xdr:cNvPr id="94" name="Obraz 93">
          <a:extLst>
            <a:ext uri="{FF2B5EF4-FFF2-40B4-BE49-F238E27FC236}">
              <a16:creationId xmlns:a16="http://schemas.microsoft.com/office/drawing/2014/main" id="{D452EE1A-6E09-4668-AB2B-0523B1DF0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9525</xdr:colOff>
      <xdr:row>172</xdr:row>
      <xdr:rowOff>9525</xdr:rowOff>
    </xdr:to>
    <xdr:pic>
      <xdr:nvPicPr>
        <xdr:cNvPr id="95" name="Obraz 94">
          <a:extLst>
            <a:ext uri="{FF2B5EF4-FFF2-40B4-BE49-F238E27FC236}">
              <a16:creationId xmlns:a16="http://schemas.microsoft.com/office/drawing/2014/main" id="{E690F3F4-03F2-4B18-B056-A50EDF485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9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9525</xdr:colOff>
      <xdr:row>175</xdr:row>
      <xdr:rowOff>9525</xdr:rowOff>
    </xdr:to>
    <xdr:pic>
      <xdr:nvPicPr>
        <xdr:cNvPr id="96" name="Obraz 95">
          <a:extLst>
            <a:ext uri="{FF2B5EF4-FFF2-40B4-BE49-F238E27FC236}">
              <a16:creationId xmlns:a16="http://schemas.microsoft.com/office/drawing/2014/main" id="{4836B947-EAED-46AC-8F6F-28870FEEB4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7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</xdr:row>
      <xdr:rowOff>0</xdr:rowOff>
    </xdr:from>
    <xdr:to>
      <xdr:col>0</xdr:col>
      <xdr:colOff>9525</xdr:colOff>
      <xdr:row>176</xdr:row>
      <xdr:rowOff>9525</xdr:rowOff>
    </xdr:to>
    <xdr:pic>
      <xdr:nvPicPr>
        <xdr:cNvPr id="97" name="Obraz 96">
          <a:extLst>
            <a:ext uri="{FF2B5EF4-FFF2-40B4-BE49-F238E27FC236}">
              <a16:creationId xmlns:a16="http://schemas.microsoft.com/office/drawing/2014/main" id="{2A8FD036-F010-4D6D-AD3E-726D1B661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9525</xdr:colOff>
      <xdr:row>179</xdr:row>
      <xdr:rowOff>9525</xdr:rowOff>
    </xdr:to>
    <xdr:pic>
      <xdr:nvPicPr>
        <xdr:cNvPr id="98" name="Obraz 97">
          <a:extLst>
            <a:ext uri="{FF2B5EF4-FFF2-40B4-BE49-F238E27FC236}">
              <a16:creationId xmlns:a16="http://schemas.microsoft.com/office/drawing/2014/main" id="{556C2403-A4A5-49D0-91DB-03CE8E53D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8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0</xdr:col>
      <xdr:colOff>9525</xdr:colOff>
      <xdr:row>181</xdr:row>
      <xdr:rowOff>9525</xdr:rowOff>
    </xdr:to>
    <xdr:pic>
      <xdr:nvPicPr>
        <xdr:cNvPr id="99" name="Obraz 98">
          <a:extLst>
            <a:ext uri="{FF2B5EF4-FFF2-40B4-BE49-F238E27FC236}">
              <a16:creationId xmlns:a16="http://schemas.microsoft.com/office/drawing/2014/main" id="{7CD2F41B-92B9-4A9B-A876-9BAE19AAD4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7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9525</xdr:colOff>
      <xdr:row>183</xdr:row>
      <xdr:rowOff>9525</xdr:rowOff>
    </xdr:to>
    <xdr:pic>
      <xdr:nvPicPr>
        <xdr:cNvPr id="100" name="Obraz 99">
          <a:extLst>
            <a:ext uri="{FF2B5EF4-FFF2-40B4-BE49-F238E27FC236}">
              <a16:creationId xmlns:a16="http://schemas.microsoft.com/office/drawing/2014/main" id="{E4942818-803C-45B3-B52B-3F604D1AE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3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9525</xdr:colOff>
      <xdr:row>186</xdr:row>
      <xdr:rowOff>9525</xdr:rowOff>
    </xdr:to>
    <xdr:pic>
      <xdr:nvPicPr>
        <xdr:cNvPr id="101" name="Obraz 100">
          <a:extLst>
            <a:ext uri="{FF2B5EF4-FFF2-40B4-BE49-F238E27FC236}">
              <a16:creationId xmlns:a16="http://schemas.microsoft.com/office/drawing/2014/main" id="{B9331633-A204-411D-8B9D-7AB351DA9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7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</xdr:row>
      <xdr:rowOff>0</xdr:rowOff>
    </xdr:from>
    <xdr:to>
      <xdr:col>0</xdr:col>
      <xdr:colOff>9525</xdr:colOff>
      <xdr:row>188</xdr:row>
      <xdr:rowOff>9525</xdr:rowOff>
    </xdr:to>
    <xdr:pic>
      <xdr:nvPicPr>
        <xdr:cNvPr id="102" name="Obraz 101">
          <a:extLst>
            <a:ext uri="{FF2B5EF4-FFF2-40B4-BE49-F238E27FC236}">
              <a16:creationId xmlns:a16="http://schemas.microsoft.com/office/drawing/2014/main" id="{D0D8EB14-E676-4E33-B541-FD296B117C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6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9525</xdr:colOff>
      <xdr:row>189</xdr:row>
      <xdr:rowOff>9525</xdr:rowOff>
    </xdr:to>
    <xdr:pic>
      <xdr:nvPicPr>
        <xdr:cNvPr id="103" name="Obraz 102">
          <a:extLst>
            <a:ext uri="{FF2B5EF4-FFF2-40B4-BE49-F238E27FC236}">
              <a16:creationId xmlns:a16="http://schemas.microsoft.com/office/drawing/2014/main" id="{58933957-3BA2-4BC6-BE26-3ABC5AE29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3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9525</xdr:colOff>
      <xdr:row>192</xdr:row>
      <xdr:rowOff>9525</xdr:rowOff>
    </xdr:to>
    <xdr:pic>
      <xdr:nvPicPr>
        <xdr:cNvPr id="104" name="Obraz 103">
          <a:extLst>
            <a:ext uri="{FF2B5EF4-FFF2-40B4-BE49-F238E27FC236}">
              <a16:creationId xmlns:a16="http://schemas.microsoft.com/office/drawing/2014/main" id="{E6DB4505-2F73-4C8E-906F-E025A4A4A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8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9525</xdr:colOff>
      <xdr:row>194</xdr:row>
      <xdr:rowOff>9525</xdr:rowOff>
    </xdr:to>
    <xdr:pic>
      <xdr:nvPicPr>
        <xdr:cNvPr id="105" name="Obraz 104">
          <a:extLst>
            <a:ext uri="{FF2B5EF4-FFF2-40B4-BE49-F238E27FC236}">
              <a16:creationId xmlns:a16="http://schemas.microsoft.com/office/drawing/2014/main" id="{A5128946-B2FB-4E8A-8FCE-08183F8FC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9525</xdr:colOff>
      <xdr:row>197</xdr:row>
      <xdr:rowOff>9525</xdr:rowOff>
    </xdr:to>
    <xdr:pic>
      <xdr:nvPicPr>
        <xdr:cNvPr id="106" name="Obraz 105">
          <a:extLst>
            <a:ext uri="{FF2B5EF4-FFF2-40B4-BE49-F238E27FC236}">
              <a16:creationId xmlns:a16="http://schemas.microsoft.com/office/drawing/2014/main" id="{307AAAB1-396A-4E20-BA60-BF805B599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2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9525</xdr:colOff>
      <xdr:row>200</xdr:row>
      <xdr:rowOff>9525</xdr:rowOff>
    </xdr:to>
    <xdr:pic>
      <xdr:nvPicPr>
        <xdr:cNvPr id="107" name="Obraz 106">
          <a:extLst>
            <a:ext uri="{FF2B5EF4-FFF2-40B4-BE49-F238E27FC236}">
              <a16:creationId xmlns:a16="http://schemas.microsoft.com/office/drawing/2014/main" id="{C789C193-4593-4228-BFD3-ADAC91411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9525</xdr:colOff>
      <xdr:row>201</xdr:row>
      <xdr:rowOff>9525</xdr:rowOff>
    </xdr:to>
    <xdr:pic>
      <xdr:nvPicPr>
        <xdr:cNvPr id="108" name="Obraz 107">
          <a:extLst>
            <a:ext uri="{FF2B5EF4-FFF2-40B4-BE49-F238E27FC236}">
              <a16:creationId xmlns:a16="http://schemas.microsoft.com/office/drawing/2014/main" id="{A7BBF75A-E79F-4CDE-B477-7E723A546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9525</xdr:colOff>
      <xdr:row>203</xdr:row>
      <xdr:rowOff>9525</xdr:rowOff>
    </xdr:to>
    <xdr:pic>
      <xdr:nvPicPr>
        <xdr:cNvPr id="109" name="Obraz 108">
          <a:extLst>
            <a:ext uri="{FF2B5EF4-FFF2-40B4-BE49-F238E27FC236}">
              <a16:creationId xmlns:a16="http://schemas.microsoft.com/office/drawing/2014/main" id="{28C595CE-B2A5-485B-BA2E-26ECD9432C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1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</xdr:row>
      <xdr:rowOff>0</xdr:rowOff>
    </xdr:from>
    <xdr:to>
      <xdr:col>0</xdr:col>
      <xdr:colOff>9525</xdr:colOff>
      <xdr:row>201</xdr:row>
      <xdr:rowOff>9525</xdr:rowOff>
    </xdr:to>
    <xdr:pic>
      <xdr:nvPicPr>
        <xdr:cNvPr id="110" name="Obraz 109">
          <a:extLst>
            <a:ext uri="{FF2B5EF4-FFF2-40B4-BE49-F238E27FC236}">
              <a16:creationId xmlns:a16="http://schemas.microsoft.com/office/drawing/2014/main" id="{AFFD6C0C-8FFA-4C84-AA02-6E9D847F8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6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9525</xdr:colOff>
      <xdr:row>204</xdr:row>
      <xdr:rowOff>9525</xdr:rowOff>
    </xdr:to>
    <xdr:pic>
      <xdr:nvPicPr>
        <xdr:cNvPr id="111" name="Obraz 110">
          <a:extLst>
            <a:ext uri="{FF2B5EF4-FFF2-40B4-BE49-F238E27FC236}">
              <a16:creationId xmlns:a16="http://schemas.microsoft.com/office/drawing/2014/main" id="{3754233B-6850-4A9C-AA0D-400D5F743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1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9525</xdr:colOff>
      <xdr:row>206</xdr:row>
      <xdr:rowOff>9525</xdr:rowOff>
    </xdr:to>
    <xdr:pic>
      <xdr:nvPicPr>
        <xdr:cNvPr id="112" name="Obraz 111">
          <a:extLst>
            <a:ext uri="{FF2B5EF4-FFF2-40B4-BE49-F238E27FC236}">
              <a16:creationId xmlns:a16="http://schemas.microsoft.com/office/drawing/2014/main" id="{31E9C322-5D7B-4A81-B1B1-D8513D132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6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9525</xdr:colOff>
      <xdr:row>208</xdr:row>
      <xdr:rowOff>9525</xdr:rowOff>
    </xdr:to>
    <xdr:pic>
      <xdr:nvPicPr>
        <xdr:cNvPr id="113" name="Obraz 112">
          <a:extLst>
            <a:ext uri="{FF2B5EF4-FFF2-40B4-BE49-F238E27FC236}">
              <a16:creationId xmlns:a16="http://schemas.microsoft.com/office/drawing/2014/main" id="{61DC1D89-AE63-4807-A217-BD1030046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5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0</xdr:col>
      <xdr:colOff>9525</xdr:colOff>
      <xdr:row>209</xdr:row>
      <xdr:rowOff>9525</xdr:rowOff>
    </xdr:to>
    <xdr:pic>
      <xdr:nvPicPr>
        <xdr:cNvPr id="114" name="Obraz 113">
          <a:extLst>
            <a:ext uri="{FF2B5EF4-FFF2-40B4-BE49-F238E27FC236}">
              <a16:creationId xmlns:a16="http://schemas.microsoft.com/office/drawing/2014/main" id="{CB7CD7BF-EE3F-428B-8F03-C21EAC2C6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0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</xdr:row>
      <xdr:rowOff>0</xdr:rowOff>
    </xdr:from>
    <xdr:to>
      <xdr:col>0</xdr:col>
      <xdr:colOff>9525</xdr:colOff>
      <xdr:row>211</xdr:row>
      <xdr:rowOff>9525</xdr:rowOff>
    </xdr:to>
    <xdr:pic>
      <xdr:nvPicPr>
        <xdr:cNvPr id="115" name="Obraz 114">
          <a:extLst>
            <a:ext uri="{FF2B5EF4-FFF2-40B4-BE49-F238E27FC236}">
              <a16:creationId xmlns:a16="http://schemas.microsoft.com/office/drawing/2014/main" id="{97E4A518-21EE-41A7-BE1B-6516251BF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6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9525</xdr:colOff>
      <xdr:row>214</xdr:row>
      <xdr:rowOff>9525</xdr:rowOff>
    </xdr:to>
    <xdr:pic>
      <xdr:nvPicPr>
        <xdr:cNvPr id="116" name="Obraz 115">
          <a:extLst>
            <a:ext uri="{FF2B5EF4-FFF2-40B4-BE49-F238E27FC236}">
              <a16:creationId xmlns:a16="http://schemas.microsoft.com/office/drawing/2014/main" id="{E4234B51-BA1F-4522-B45A-D8C6B4F60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5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9525</xdr:colOff>
      <xdr:row>216</xdr:row>
      <xdr:rowOff>9525</xdr:rowOff>
    </xdr:to>
    <xdr:pic>
      <xdr:nvPicPr>
        <xdr:cNvPr id="117" name="Obraz 116">
          <a:extLst>
            <a:ext uri="{FF2B5EF4-FFF2-40B4-BE49-F238E27FC236}">
              <a16:creationId xmlns:a16="http://schemas.microsoft.com/office/drawing/2014/main" id="{CD88C485-0E9F-46FA-8F63-C42E270BC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0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9525</xdr:colOff>
      <xdr:row>218</xdr:row>
      <xdr:rowOff>9525</xdr:rowOff>
    </xdr:to>
    <xdr:pic>
      <xdr:nvPicPr>
        <xdr:cNvPr id="118" name="Obraz 117">
          <a:extLst>
            <a:ext uri="{FF2B5EF4-FFF2-40B4-BE49-F238E27FC236}">
              <a16:creationId xmlns:a16="http://schemas.microsoft.com/office/drawing/2014/main" id="{5F5D662B-AE22-439E-8AB0-D9BDE222F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5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0</xdr:col>
      <xdr:colOff>9525</xdr:colOff>
      <xdr:row>220</xdr:row>
      <xdr:rowOff>9525</xdr:rowOff>
    </xdr:to>
    <xdr:pic>
      <xdr:nvPicPr>
        <xdr:cNvPr id="119" name="Obraz 118">
          <a:extLst>
            <a:ext uri="{FF2B5EF4-FFF2-40B4-BE49-F238E27FC236}">
              <a16:creationId xmlns:a16="http://schemas.microsoft.com/office/drawing/2014/main" id="{0A4AF855-8A2B-4778-99F2-77E5C18AB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4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9525</xdr:colOff>
      <xdr:row>222</xdr:row>
      <xdr:rowOff>9525</xdr:rowOff>
    </xdr:to>
    <xdr:pic>
      <xdr:nvPicPr>
        <xdr:cNvPr id="120" name="Obraz 119">
          <a:extLst>
            <a:ext uri="{FF2B5EF4-FFF2-40B4-BE49-F238E27FC236}">
              <a16:creationId xmlns:a16="http://schemas.microsoft.com/office/drawing/2014/main" id="{FF28BAF3-0336-4481-B30F-F7E30D99A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9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9525</xdr:colOff>
      <xdr:row>225</xdr:row>
      <xdr:rowOff>9525</xdr:rowOff>
    </xdr:to>
    <xdr:pic>
      <xdr:nvPicPr>
        <xdr:cNvPr id="121" name="Obraz 120">
          <a:extLst>
            <a:ext uri="{FF2B5EF4-FFF2-40B4-BE49-F238E27FC236}">
              <a16:creationId xmlns:a16="http://schemas.microsoft.com/office/drawing/2014/main" id="{DD252397-4336-427A-96CE-40D5641BE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9525</xdr:colOff>
      <xdr:row>227</xdr:row>
      <xdr:rowOff>9525</xdr:rowOff>
    </xdr:to>
    <xdr:pic>
      <xdr:nvPicPr>
        <xdr:cNvPr id="122" name="Obraz 121">
          <a:extLst>
            <a:ext uri="{FF2B5EF4-FFF2-40B4-BE49-F238E27FC236}">
              <a16:creationId xmlns:a16="http://schemas.microsoft.com/office/drawing/2014/main" id="{B9F9C5B6-C82E-420C-ADD6-8FE6C8DE5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4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0</xdr:col>
      <xdr:colOff>9525</xdr:colOff>
      <xdr:row>229</xdr:row>
      <xdr:rowOff>9525</xdr:rowOff>
    </xdr:to>
    <xdr:pic>
      <xdr:nvPicPr>
        <xdr:cNvPr id="123" name="Obraz 122">
          <a:extLst>
            <a:ext uri="{FF2B5EF4-FFF2-40B4-BE49-F238E27FC236}">
              <a16:creationId xmlns:a16="http://schemas.microsoft.com/office/drawing/2014/main" id="{CA128CC0-323E-4A27-A14A-9CE7A8F2A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9525</xdr:colOff>
      <xdr:row>232</xdr:row>
      <xdr:rowOff>9525</xdr:rowOff>
    </xdr:to>
    <xdr:pic>
      <xdr:nvPicPr>
        <xdr:cNvPr id="124" name="Obraz 123">
          <a:extLst>
            <a:ext uri="{FF2B5EF4-FFF2-40B4-BE49-F238E27FC236}">
              <a16:creationId xmlns:a16="http://schemas.microsoft.com/office/drawing/2014/main" id="{94AB29C2-DE3D-4B4C-9C9A-6FB36C308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24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9525</xdr:colOff>
      <xdr:row>233</xdr:row>
      <xdr:rowOff>9525</xdr:rowOff>
    </xdr:to>
    <xdr:pic>
      <xdr:nvPicPr>
        <xdr:cNvPr id="125" name="Obraz 124">
          <a:extLst>
            <a:ext uri="{FF2B5EF4-FFF2-40B4-BE49-F238E27FC236}">
              <a16:creationId xmlns:a16="http://schemas.microsoft.com/office/drawing/2014/main" id="{C766973C-F4A7-40A2-8B63-5EBBE7FD16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43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9525</xdr:colOff>
      <xdr:row>236</xdr:row>
      <xdr:rowOff>9525</xdr:rowOff>
    </xdr:to>
    <xdr:pic>
      <xdr:nvPicPr>
        <xdr:cNvPr id="126" name="Obraz 125">
          <a:extLst>
            <a:ext uri="{FF2B5EF4-FFF2-40B4-BE49-F238E27FC236}">
              <a16:creationId xmlns:a16="http://schemas.microsoft.com/office/drawing/2014/main" id="{31F60693-40CD-4946-A925-90B40C1E7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20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9525</xdr:colOff>
      <xdr:row>239</xdr:row>
      <xdr:rowOff>9525</xdr:rowOff>
    </xdr:to>
    <xdr:pic>
      <xdr:nvPicPr>
        <xdr:cNvPr id="127" name="Obraz 126">
          <a:extLst>
            <a:ext uri="{FF2B5EF4-FFF2-40B4-BE49-F238E27FC236}">
              <a16:creationId xmlns:a16="http://schemas.microsoft.com/office/drawing/2014/main" id="{400BBB8B-1DB5-4EA3-9A14-5EC935D96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34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</xdr:row>
      <xdr:rowOff>0</xdr:rowOff>
    </xdr:from>
    <xdr:to>
      <xdr:col>0</xdr:col>
      <xdr:colOff>9525</xdr:colOff>
      <xdr:row>240</xdr:row>
      <xdr:rowOff>9525</xdr:rowOff>
    </xdr:to>
    <xdr:pic>
      <xdr:nvPicPr>
        <xdr:cNvPr id="128" name="Obraz 127">
          <a:extLst>
            <a:ext uri="{FF2B5EF4-FFF2-40B4-BE49-F238E27FC236}">
              <a16:creationId xmlns:a16="http://schemas.microsoft.com/office/drawing/2014/main" id="{A5220239-289E-4D05-9FA7-C9B9E3B28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53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9525</xdr:colOff>
      <xdr:row>243</xdr:row>
      <xdr:rowOff>9525</xdr:rowOff>
    </xdr:to>
    <xdr:pic>
      <xdr:nvPicPr>
        <xdr:cNvPr id="129" name="Obraz 128">
          <a:extLst>
            <a:ext uri="{FF2B5EF4-FFF2-40B4-BE49-F238E27FC236}">
              <a16:creationId xmlns:a16="http://schemas.microsoft.com/office/drawing/2014/main" id="{96509C75-FA0E-40B1-8E4D-4D6C5D9413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48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0</xdr:col>
      <xdr:colOff>9525</xdr:colOff>
      <xdr:row>245</xdr:row>
      <xdr:rowOff>9525</xdr:rowOff>
    </xdr:to>
    <xdr:pic>
      <xdr:nvPicPr>
        <xdr:cNvPr id="130" name="Obraz 129">
          <a:extLst>
            <a:ext uri="{FF2B5EF4-FFF2-40B4-BE49-F238E27FC236}">
              <a16:creationId xmlns:a16="http://schemas.microsoft.com/office/drawing/2014/main" id="{A9AB8287-F0FB-4D18-B4ED-6F3772888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43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0</xdr:col>
      <xdr:colOff>9525</xdr:colOff>
      <xdr:row>247</xdr:row>
      <xdr:rowOff>9525</xdr:rowOff>
    </xdr:to>
    <xdr:pic>
      <xdr:nvPicPr>
        <xdr:cNvPr id="131" name="Obraz 130">
          <a:extLst>
            <a:ext uri="{FF2B5EF4-FFF2-40B4-BE49-F238E27FC236}">
              <a16:creationId xmlns:a16="http://schemas.microsoft.com/office/drawing/2014/main" id="{7664DCC1-F026-4599-9531-200AFEBB2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62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9525</xdr:colOff>
      <xdr:row>250</xdr:row>
      <xdr:rowOff>9525</xdr:rowOff>
    </xdr:to>
    <xdr:pic>
      <xdr:nvPicPr>
        <xdr:cNvPr id="132" name="Obraz 131">
          <a:extLst>
            <a:ext uri="{FF2B5EF4-FFF2-40B4-BE49-F238E27FC236}">
              <a16:creationId xmlns:a16="http://schemas.microsoft.com/office/drawing/2014/main" id="{1E8AEAD4-ADB9-4F97-A065-C5D5F1D87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58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9525</xdr:colOff>
      <xdr:row>251</xdr:row>
      <xdr:rowOff>9525</xdr:rowOff>
    </xdr:to>
    <xdr:pic>
      <xdr:nvPicPr>
        <xdr:cNvPr id="133" name="Obraz 132">
          <a:extLst>
            <a:ext uri="{FF2B5EF4-FFF2-40B4-BE49-F238E27FC236}">
              <a16:creationId xmlns:a16="http://schemas.microsoft.com/office/drawing/2014/main" id="{5998E803-F815-4AB5-8873-62225DA28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53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9525</xdr:colOff>
      <xdr:row>253</xdr:row>
      <xdr:rowOff>9525</xdr:rowOff>
    </xdr:to>
    <xdr:pic>
      <xdr:nvPicPr>
        <xdr:cNvPr id="134" name="Obraz 133">
          <a:extLst>
            <a:ext uri="{FF2B5EF4-FFF2-40B4-BE49-F238E27FC236}">
              <a16:creationId xmlns:a16="http://schemas.microsoft.com/office/drawing/2014/main" id="{6A41FA7D-AC57-4630-8F82-A36FBBC1D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72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9525</xdr:colOff>
      <xdr:row>255</xdr:row>
      <xdr:rowOff>9525</xdr:rowOff>
    </xdr:to>
    <xdr:pic>
      <xdr:nvPicPr>
        <xdr:cNvPr id="135" name="Obraz 134">
          <a:extLst>
            <a:ext uri="{FF2B5EF4-FFF2-40B4-BE49-F238E27FC236}">
              <a16:creationId xmlns:a16="http://schemas.microsoft.com/office/drawing/2014/main" id="{C59E7DC2-562C-4E2B-B59F-CC3C52C58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67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9525</xdr:colOff>
      <xdr:row>257</xdr:row>
      <xdr:rowOff>9525</xdr:rowOff>
    </xdr:to>
    <xdr:pic>
      <xdr:nvPicPr>
        <xdr:cNvPr id="136" name="Obraz 135">
          <a:extLst>
            <a:ext uri="{FF2B5EF4-FFF2-40B4-BE49-F238E27FC236}">
              <a16:creationId xmlns:a16="http://schemas.microsoft.com/office/drawing/2014/main" id="{3964113E-69DB-425F-869B-5FC26FE89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62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</xdr:row>
      <xdr:rowOff>0</xdr:rowOff>
    </xdr:from>
    <xdr:to>
      <xdr:col>0</xdr:col>
      <xdr:colOff>9525</xdr:colOff>
      <xdr:row>258</xdr:row>
      <xdr:rowOff>9525</xdr:rowOff>
    </xdr:to>
    <xdr:pic>
      <xdr:nvPicPr>
        <xdr:cNvPr id="137" name="Obraz 136">
          <a:extLst>
            <a:ext uri="{FF2B5EF4-FFF2-40B4-BE49-F238E27FC236}">
              <a16:creationId xmlns:a16="http://schemas.microsoft.com/office/drawing/2014/main" id="{F08C64E4-C865-4864-B774-E38854FDF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9525</xdr:colOff>
      <xdr:row>260</xdr:row>
      <xdr:rowOff>9525</xdr:rowOff>
    </xdr:to>
    <xdr:pic>
      <xdr:nvPicPr>
        <xdr:cNvPr id="138" name="Obraz 137">
          <a:extLst>
            <a:ext uri="{FF2B5EF4-FFF2-40B4-BE49-F238E27FC236}">
              <a16:creationId xmlns:a16="http://schemas.microsoft.com/office/drawing/2014/main" id="{19255CB0-FD2C-48FA-B530-921DDB60C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77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9525</xdr:colOff>
      <xdr:row>264</xdr:row>
      <xdr:rowOff>9525</xdr:rowOff>
    </xdr:to>
    <xdr:pic>
      <xdr:nvPicPr>
        <xdr:cNvPr id="139" name="Obraz 138">
          <a:extLst>
            <a:ext uri="{FF2B5EF4-FFF2-40B4-BE49-F238E27FC236}">
              <a16:creationId xmlns:a16="http://schemas.microsoft.com/office/drawing/2014/main" id="{ED93C9FD-1896-4DC6-9CC8-2B32DD722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9525</xdr:colOff>
      <xdr:row>265</xdr:row>
      <xdr:rowOff>9525</xdr:rowOff>
    </xdr:to>
    <xdr:pic>
      <xdr:nvPicPr>
        <xdr:cNvPr id="140" name="Obraz 139">
          <a:extLst>
            <a:ext uri="{FF2B5EF4-FFF2-40B4-BE49-F238E27FC236}">
              <a16:creationId xmlns:a16="http://schemas.microsoft.com/office/drawing/2014/main" id="{039B4EB6-5CA1-4CA7-9EFB-A30CE91C2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91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9525</xdr:colOff>
      <xdr:row>266</xdr:row>
      <xdr:rowOff>9525</xdr:rowOff>
    </xdr:to>
    <xdr:pic>
      <xdr:nvPicPr>
        <xdr:cNvPr id="141" name="Obraz 140">
          <a:extLst>
            <a:ext uri="{FF2B5EF4-FFF2-40B4-BE49-F238E27FC236}">
              <a16:creationId xmlns:a16="http://schemas.microsoft.com/office/drawing/2014/main" id="{F9536D3C-CBB3-442F-AEEA-D5753E6C1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67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9525</xdr:colOff>
      <xdr:row>268</xdr:row>
      <xdr:rowOff>9525</xdr:rowOff>
    </xdr:to>
    <xdr:pic>
      <xdr:nvPicPr>
        <xdr:cNvPr id="142" name="Obraz 141">
          <a:extLst>
            <a:ext uri="{FF2B5EF4-FFF2-40B4-BE49-F238E27FC236}">
              <a16:creationId xmlns:a16="http://schemas.microsoft.com/office/drawing/2014/main" id="{F348288C-2765-4F54-B093-194ED6BE4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9525</xdr:colOff>
      <xdr:row>271</xdr:row>
      <xdr:rowOff>9525</xdr:rowOff>
    </xdr:to>
    <xdr:pic>
      <xdr:nvPicPr>
        <xdr:cNvPr id="143" name="Obraz 142">
          <a:extLst>
            <a:ext uri="{FF2B5EF4-FFF2-40B4-BE49-F238E27FC236}">
              <a16:creationId xmlns:a16="http://schemas.microsoft.com/office/drawing/2014/main" id="{F83C4095-B2E3-4757-BD23-2F63E5BCB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1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9525</xdr:colOff>
      <xdr:row>273</xdr:row>
      <xdr:rowOff>9525</xdr:rowOff>
    </xdr:to>
    <xdr:pic>
      <xdr:nvPicPr>
        <xdr:cNvPr id="144" name="Obraz 143">
          <a:extLst>
            <a:ext uri="{FF2B5EF4-FFF2-40B4-BE49-F238E27FC236}">
              <a16:creationId xmlns:a16="http://schemas.microsoft.com/office/drawing/2014/main" id="{842A382B-7136-432A-927D-128ACDE3A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77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9525</xdr:colOff>
      <xdr:row>276</xdr:row>
      <xdr:rowOff>9525</xdr:rowOff>
    </xdr:to>
    <xdr:pic>
      <xdr:nvPicPr>
        <xdr:cNvPr id="145" name="Obraz 144">
          <a:extLst>
            <a:ext uri="{FF2B5EF4-FFF2-40B4-BE49-F238E27FC236}">
              <a16:creationId xmlns:a16="http://schemas.microsoft.com/office/drawing/2014/main" id="{F88AB40A-2882-4C37-9F68-20150B197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1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</xdr:row>
      <xdr:rowOff>0</xdr:rowOff>
    </xdr:from>
    <xdr:to>
      <xdr:col>0</xdr:col>
      <xdr:colOff>9525</xdr:colOff>
      <xdr:row>278</xdr:row>
      <xdr:rowOff>9525</xdr:rowOff>
    </xdr:to>
    <xdr:pic>
      <xdr:nvPicPr>
        <xdr:cNvPr id="146" name="Obraz 145">
          <a:extLst>
            <a:ext uri="{FF2B5EF4-FFF2-40B4-BE49-F238E27FC236}">
              <a16:creationId xmlns:a16="http://schemas.microsoft.com/office/drawing/2014/main" id="{1F107655-1F4A-4F25-B347-5C82E5936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10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9525</xdr:colOff>
      <xdr:row>279</xdr:row>
      <xdr:rowOff>9525</xdr:rowOff>
    </xdr:to>
    <xdr:pic>
      <xdr:nvPicPr>
        <xdr:cNvPr id="147" name="Obraz 146">
          <a:extLst>
            <a:ext uri="{FF2B5EF4-FFF2-40B4-BE49-F238E27FC236}">
              <a16:creationId xmlns:a16="http://schemas.microsoft.com/office/drawing/2014/main" id="{F2523E53-C63F-494A-9885-E02530408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86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9525</xdr:colOff>
      <xdr:row>281</xdr:row>
      <xdr:rowOff>9525</xdr:rowOff>
    </xdr:to>
    <xdr:pic>
      <xdr:nvPicPr>
        <xdr:cNvPr id="148" name="Obraz 147">
          <a:extLst>
            <a:ext uri="{FF2B5EF4-FFF2-40B4-BE49-F238E27FC236}">
              <a16:creationId xmlns:a16="http://schemas.microsoft.com/office/drawing/2014/main" id="{A6A400F7-505C-4605-9FF9-2D2C70A98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1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9525</xdr:colOff>
      <xdr:row>281</xdr:row>
      <xdr:rowOff>9525</xdr:rowOff>
    </xdr:to>
    <xdr:pic>
      <xdr:nvPicPr>
        <xdr:cNvPr id="149" name="Obraz 148">
          <a:extLst>
            <a:ext uri="{FF2B5EF4-FFF2-40B4-BE49-F238E27FC236}">
              <a16:creationId xmlns:a16="http://schemas.microsoft.com/office/drawing/2014/main" id="{36FE38C7-17B4-41F3-A625-72FCB4FA4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20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</xdr:row>
      <xdr:rowOff>0</xdr:rowOff>
    </xdr:from>
    <xdr:to>
      <xdr:col>0</xdr:col>
      <xdr:colOff>9525</xdr:colOff>
      <xdr:row>283</xdr:row>
      <xdr:rowOff>9525</xdr:rowOff>
    </xdr:to>
    <xdr:pic>
      <xdr:nvPicPr>
        <xdr:cNvPr id="150" name="Obraz 149">
          <a:extLst>
            <a:ext uri="{FF2B5EF4-FFF2-40B4-BE49-F238E27FC236}">
              <a16:creationId xmlns:a16="http://schemas.microsoft.com/office/drawing/2014/main" id="{4C9638DB-911C-4D4B-B5BD-4110DACE2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15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9525</xdr:colOff>
      <xdr:row>286</xdr:row>
      <xdr:rowOff>9525</xdr:rowOff>
    </xdr:to>
    <xdr:pic>
      <xdr:nvPicPr>
        <xdr:cNvPr id="151" name="Obraz 150">
          <a:extLst>
            <a:ext uri="{FF2B5EF4-FFF2-40B4-BE49-F238E27FC236}">
              <a16:creationId xmlns:a16="http://schemas.microsoft.com/office/drawing/2014/main" id="{BC675B06-2D13-476C-9324-61F0E20C3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91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9525</xdr:colOff>
      <xdr:row>288</xdr:row>
      <xdr:rowOff>9525</xdr:rowOff>
    </xdr:to>
    <xdr:pic>
      <xdr:nvPicPr>
        <xdr:cNvPr id="152" name="Obraz 151">
          <a:extLst>
            <a:ext uri="{FF2B5EF4-FFF2-40B4-BE49-F238E27FC236}">
              <a16:creationId xmlns:a16="http://schemas.microsoft.com/office/drawing/2014/main" id="{83B5482E-04C3-434F-80E7-BDBD8AEE8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29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9525</xdr:colOff>
      <xdr:row>290</xdr:row>
      <xdr:rowOff>9525</xdr:rowOff>
    </xdr:to>
    <xdr:pic>
      <xdr:nvPicPr>
        <xdr:cNvPr id="153" name="Obraz 152">
          <a:extLst>
            <a:ext uri="{FF2B5EF4-FFF2-40B4-BE49-F238E27FC236}">
              <a16:creationId xmlns:a16="http://schemas.microsoft.com/office/drawing/2014/main" id="{97012304-E941-48E9-8877-F31E55604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9525</xdr:colOff>
      <xdr:row>292</xdr:row>
      <xdr:rowOff>9525</xdr:rowOff>
    </xdr:to>
    <xdr:pic>
      <xdr:nvPicPr>
        <xdr:cNvPr id="154" name="Obraz 153">
          <a:extLst>
            <a:ext uri="{FF2B5EF4-FFF2-40B4-BE49-F238E27FC236}">
              <a16:creationId xmlns:a16="http://schemas.microsoft.com/office/drawing/2014/main" id="{03E57D96-0778-48DB-B6F7-A22D71FB4E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1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9525</xdr:colOff>
      <xdr:row>293</xdr:row>
      <xdr:rowOff>9525</xdr:rowOff>
    </xdr:to>
    <xdr:pic>
      <xdr:nvPicPr>
        <xdr:cNvPr id="155" name="Obraz 154">
          <a:extLst>
            <a:ext uri="{FF2B5EF4-FFF2-40B4-BE49-F238E27FC236}">
              <a16:creationId xmlns:a16="http://schemas.microsoft.com/office/drawing/2014/main" id="{BC4F9D83-6207-4B66-A270-AAA60AF40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39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9525</xdr:colOff>
      <xdr:row>296</xdr:row>
      <xdr:rowOff>9525</xdr:rowOff>
    </xdr:to>
    <xdr:pic>
      <xdr:nvPicPr>
        <xdr:cNvPr id="156" name="Obraz 155">
          <a:extLst>
            <a:ext uri="{FF2B5EF4-FFF2-40B4-BE49-F238E27FC236}">
              <a16:creationId xmlns:a16="http://schemas.microsoft.com/office/drawing/2014/main" id="{525394AE-5CA1-4746-84AF-DE1097A02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9525</xdr:colOff>
      <xdr:row>298</xdr:row>
      <xdr:rowOff>9525</xdr:rowOff>
    </xdr:to>
    <xdr:pic>
      <xdr:nvPicPr>
        <xdr:cNvPr id="157" name="Obraz 156">
          <a:extLst>
            <a:ext uri="{FF2B5EF4-FFF2-40B4-BE49-F238E27FC236}">
              <a16:creationId xmlns:a16="http://schemas.microsoft.com/office/drawing/2014/main" id="{CB28346C-9204-4AC5-A2C3-E016A3D50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29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9525</xdr:colOff>
      <xdr:row>301</xdr:row>
      <xdr:rowOff>9525</xdr:rowOff>
    </xdr:to>
    <xdr:pic>
      <xdr:nvPicPr>
        <xdr:cNvPr id="158" name="Obraz 157">
          <a:extLst>
            <a:ext uri="{FF2B5EF4-FFF2-40B4-BE49-F238E27FC236}">
              <a16:creationId xmlns:a16="http://schemas.microsoft.com/office/drawing/2014/main" id="{1B019B6E-9BEF-4BDE-BB81-80463E3C7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48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9525</xdr:colOff>
      <xdr:row>302</xdr:row>
      <xdr:rowOff>9525</xdr:rowOff>
    </xdr:to>
    <xdr:pic>
      <xdr:nvPicPr>
        <xdr:cNvPr id="159" name="Obraz 158">
          <a:extLst>
            <a:ext uri="{FF2B5EF4-FFF2-40B4-BE49-F238E27FC236}">
              <a16:creationId xmlns:a16="http://schemas.microsoft.com/office/drawing/2014/main" id="{B44A40D6-233E-44C8-B8AC-E2DAFEF75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25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0</xdr:col>
      <xdr:colOff>9525</xdr:colOff>
      <xdr:row>305</xdr:row>
      <xdr:rowOff>9525</xdr:rowOff>
    </xdr:to>
    <xdr:pic>
      <xdr:nvPicPr>
        <xdr:cNvPr id="160" name="Obraz 159">
          <a:extLst>
            <a:ext uri="{FF2B5EF4-FFF2-40B4-BE49-F238E27FC236}">
              <a16:creationId xmlns:a16="http://schemas.microsoft.com/office/drawing/2014/main" id="{6DC42DD4-00B8-47FA-A055-48519572A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39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9525</xdr:colOff>
      <xdr:row>307</xdr:row>
      <xdr:rowOff>9525</xdr:rowOff>
    </xdr:to>
    <xdr:pic>
      <xdr:nvPicPr>
        <xdr:cNvPr id="161" name="Obraz 160">
          <a:extLst>
            <a:ext uri="{FF2B5EF4-FFF2-40B4-BE49-F238E27FC236}">
              <a16:creationId xmlns:a16="http://schemas.microsoft.com/office/drawing/2014/main" id="{613E4AE3-7106-448D-88AB-7E2E58249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58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9525</xdr:colOff>
      <xdr:row>309</xdr:row>
      <xdr:rowOff>9525</xdr:rowOff>
    </xdr:to>
    <xdr:pic>
      <xdr:nvPicPr>
        <xdr:cNvPr id="162" name="Obraz 161">
          <a:extLst>
            <a:ext uri="{FF2B5EF4-FFF2-40B4-BE49-F238E27FC236}">
              <a16:creationId xmlns:a16="http://schemas.microsoft.com/office/drawing/2014/main" id="{5ABA30D5-E5C8-45E0-9318-10A5AF1B7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34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9525</xdr:colOff>
      <xdr:row>312</xdr:row>
      <xdr:rowOff>9525</xdr:rowOff>
    </xdr:to>
    <xdr:pic>
      <xdr:nvPicPr>
        <xdr:cNvPr id="163" name="Obraz 162">
          <a:extLst>
            <a:ext uri="{FF2B5EF4-FFF2-40B4-BE49-F238E27FC236}">
              <a16:creationId xmlns:a16="http://schemas.microsoft.com/office/drawing/2014/main" id="{85D382DA-7624-49AC-B213-692F6C0D9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48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0</xdr:col>
      <xdr:colOff>9525</xdr:colOff>
      <xdr:row>314</xdr:row>
      <xdr:rowOff>9525</xdr:rowOff>
    </xdr:to>
    <xdr:pic>
      <xdr:nvPicPr>
        <xdr:cNvPr id="164" name="Obraz 163">
          <a:extLst>
            <a:ext uri="{FF2B5EF4-FFF2-40B4-BE49-F238E27FC236}">
              <a16:creationId xmlns:a16="http://schemas.microsoft.com/office/drawing/2014/main" id="{DF2F78CD-E759-4E07-BD52-A3BFC94703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7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9525</xdr:colOff>
      <xdr:row>315</xdr:row>
      <xdr:rowOff>9525</xdr:rowOff>
    </xdr:to>
    <xdr:pic>
      <xdr:nvPicPr>
        <xdr:cNvPr id="165" name="Obraz 164">
          <a:extLst>
            <a:ext uri="{FF2B5EF4-FFF2-40B4-BE49-F238E27FC236}">
              <a16:creationId xmlns:a16="http://schemas.microsoft.com/office/drawing/2014/main" id="{BB1747B9-40DB-4BC0-A830-CD129E317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4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9525</xdr:colOff>
      <xdr:row>319</xdr:row>
      <xdr:rowOff>9525</xdr:rowOff>
    </xdr:to>
    <xdr:pic>
      <xdr:nvPicPr>
        <xdr:cNvPr id="166" name="Obraz 165">
          <a:extLst>
            <a:ext uri="{FF2B5EF4-FFF2-40B4-BE49-F238E27FC236}">
              <a16:creationId xmlns:a16="http://schemas.microsoft.com/office/drawing/2014/main" id="{17EF3C90-5B38-4153-A933-1F17FF7E7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58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0</xdr:col>
      <xdr:colOff>9525</xdr:colOff>
      <xdr:row>321</xdr:row>
      <xdr:rowOff>9525</xdr:rowOff>
    </xdr:to>
    <xdr:pic>
      <xdr:nvPicPr>
        <xdr:cNvPr id="170" name="Obraz 169">
          <a:extLst>
            <a:ext uri="{FF2B5EF4-FFF2-40B4-BE49-F238E27FC236}">
              <a16:creationId xmlns:a16="http://schemas.microsoft.com/office/drawing/2014/main" id="{27A79406-E9D9-4C66-AC1A-389CC3E95F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7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9525</xdr:colOff>
      <xdr:row>323</xdr:row>
      <xdr:rowOff>9525</xdr:rowOff>
    </xdr:to>
    <xdr:pic>
      <xdr:nvPicPr>
        <xdr:cNvPr id="171" name="Obraz 170">
          <a:extLst>
            <a:ext uri="{FF2B5EF4-FFF2-40B4-BE49-F238E27FC236}">
              <a16:creationId xmlns:a16="http://schemas.microsoft.com/office/drawing/2014/main" id="{638E676F-36AF-459D-BE8F-74DDA367A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53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</xdr:row>
      <xdr:rowOff>0</xdr:rowOff>
    </xdr:from>
    <xdr:to>
      <xdr:col>0</xdr:col>
      <xdr:colOff>9525</xdr:colOff>
      <xdr:row>326</xdr:row>
      <xdr:rowOff>9525</xdr:rowOff>
    </xdr:to>
    <xdr:pic>
      <xdr:nvPicPr>
        <xdr:cNvPr id="172" name="Obraz 171">
          <a:extLst>
            <a:ext uri="{FF2B5EF4-FFF2-40B4-BE49-F238E27FC236}">
              <a16:creationId xmlns:a16="http://schemas.microsoft.com/office/drawing/2014/main" id="{AD05AD6F-EA43-4B51-BC1A-757EDA3C6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9525</xdr:colOff>
      <xdr:row>328</xdr:row>
      <xdr:rowOff>9525</xdr:rowOff>
    </xdr:to>
    <xdr:pic>
      <xdr:nvPicPr>
        <xdr:cNvPr id="167" name="Obraz 166">
          <a:extLst>
            <a:ext uri="{FF2B5EF4-FFF2-40B4-BE49-F238E27FC236}">
              <a16:creationId xmlns:a16="http://schemas.microsoft.com/office/drawing/2014/main" id="{534A145D-165C-4DF8-84CF-CA24E05AD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9525</xdr:colOff>
      <xdr:row>330</xdr:row>
      <xdr:rowOff>9525</xdr:rowOff>
    </xdr:to>
    <xdr:pic>
      <xdr:nvPicPr>
        <xdr:cNvPr id="168" name="Obraz 167">
          <a:extLst>
            <a:ext uri="{FF2B5EF4-FFF2-40B4-BE49-F238E27FC236}">
              <a16:creationId xmlns:a16="http://schemas.microsoft.com/office/drawing/2014/main" id="{10C82B25-2731-4859-A07E-537A97167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63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9525</xdr:colOff>
      <xdr:row>332</xdr:row>
      <xdr:rowOff>9525</xdr:rowOff>
    </xdr:to>
    <xdr:pic>
      <xdr:nvPicPr>
        <xdr:cNvPr id="169" name="Obraz 168">
          <a:extLst>
            <a:ext uri="{FF2B5EF4-FFF2-40B4-BE49-F238E27FC236}">
              <a16:creationId xmlns:a16="http://schemas.microsoft.com/office/drawing/2014/main" id="{1097251A-2468-4C23-ACA0-26B1C8EF5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9525</xdr:colOff>
      <xdr:row>334</xdr:row>
      <xdr:rowOff>9525</xdr:rowOff>
    </xdr:to>
    <xdr:pic>
      <xdr:nvPicPr>
        <xdr:cNvPr id="173" name="Obraz 172">
          <a:extLst>
            <a:ext uri="{FF2B5EF4-FFF2-40B4-BE49-F238E27FC236}">
              <a16:creationId xmlns:a16="http://schemas.microsoft.com/office/drawing/2014/main" id="{E0E05AC0-D9B8-4E5F-8875-C43018A486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</xdr:row>
      <xdr:rowOff>0</xdr:rowOff>
    </xdr:from>
    <xdr:to>
      <xdr:col>0</xdr:col>
      <xdr:colOff>9525</xdr:colOff>
      <xdr:row>336</xdr:row>
      <xdr:rowOff>9525</xdr:rowOff>
    </xdr:to>
    <xdr:pic>
      <xdr:nvPicPr>
        <xdr:cNvPr id="174" name="Obraz 173">
          <a:extLst>
            <a:ext uri="{FF2B5EF4-FFF2-40B4-BE49-F238E27FC236}">
              <a16:creationId xmlns:a16="http://schemas.microsoft.com/office/drawing/2014/main" id="{1094F9F8-4AD9-416B-9E21-43E223713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3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9525</xdr:colOff>
      <xdr:row>339</xdr:row>
      <xdr:rowOff>9525</xdr:rowOff>
    </xdr:to>
    <xdr:pic>
      <xdr:nvPicPr>
        <xdr:cNvPr id="175" name="Obraz 174">
          <a:extLst>
            <a:ext uri="{FF2B5EF4-FFF2-40B4-BE49-F238E27FC236}">
              <a16:creationId xmlns:a16="http://schemas.microsoft.com/office/drawing/2014/main" id="{401C18C1-2D5E-4474-82A6-043342F55C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68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</xdr:row>
      <xdr:rowOff>0</xdr:rowOff>
    </xdr:from>
    <xdr:to>
      <xdr:col>0</xdr:col>
      <xdr:colOff>9525</xdr:colOff>
      <xdr:row>341</xdr:row>
      <xdr:rowOff>9525</xdr:rowOff>
    </xdr:to>
    <xdr:pic>
      <xdr:nvPicPr>
        <xdr:cNvPr id="176" name="Obraz 175">
          <a:extLst>
            <a:ext uri="{FF2B5EF4-FFF2-40B4-BE49-F238E27FC236}">
              <a16:creationId xmlns:a16="http://schemas.microsoft.com/office/drawing/2014/main" id="{5A56218E-7C5F-430A-8E61-A45F4702A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87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9525</xdr:colOff>
      <xdr:row>342</xdr:row>
      <xdr:rowOff>9525</xdr:rowOff>
    </xdr:to>
    <xdr:pic>
      <xdr:nvPicPr>
        <xdr:cNvPr id="177" name="Obraz 176">
          <a:extLst>
            <a:ext uri="{FF2B5EF4-FFF2-40B4-BE49-F238E27FC236}">
              <a16:creationId xmlns:a16="http://schemas.microsoft.com/office/drawing/2014/main" id="{20AAF59A-51E5-481C-A658-A92B8E62E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63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9525</xdr:colOff>
      <xdr:row>345</xdr:row>
      <xdr:rowOff>9525</xdr:rowOff>
    </xdr:to>
    <xdr:pic>
      <xdr:nvPicPr>
        <xdr:cNvPr id="178" name="Obraz 177">
          <a:extLst>
            <a:ext uri="{FF2B5EF4-FFF2-40B4-BE49-F238E27FC236}">
              <a16:creationId xmlns:a16="http://schemas.microsoft.com/office/drawing/2014/main" id="{64E61929-89EB-48A7-A386-E67BE566D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77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9525</xdr:colOff>
      <xdr:row>348</xdr:row>
      <xdr:rowOff>9525</xdr:rowOff>
    </xdr:to>
    <xdr:pic>
      <xdr:nvPicPr>
        <xdr:cNvPr id="179" name="Obraz 178">
          <a:extLst>
            <a:ext uri="{FF2B5EF4-FFF2-40B4-BE49-F238E27FC236}">
              <a16:creationId xmlns:a16="http://schemas.microsoft.com/office/drawing/2014/main" id="{2F47E5AD-5FA5-44DE-9304-8CF23DC13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96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9525</xdr:colOff>
      <xdr:row>349</xdr:row>
      <xdr:rowOff>9525</xdr:rowOff>
    </xdr:to>
    <xdr:pic>
      <xdr:nvPicPr>
        <xdr:cNvPr id="180" name="Obraz 179">
          <a:extLst>
            <a:ext uri="{FF2B5EF4-FFF2-40B4-BE49-F238E27FC236}">
              <a16:creationId xmlns:a16="http://schemas.microsoft.com/office/drawing/2014/main" id="{94708015-0AC3-48EB-8D9E-491D9D404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2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9525</xdr:colOff>
      <xdr:row>352</xdr:row>
      <xdr:rowOff>9525</xdr:rowOff>
    </xdr:to>
    <xdr:pic>
      <xdr:nvPicPr>
        <xdr:cNvPr id="181" name="Obraz 180">
          <a:extLst>
            <a:ext uri="{FF2B5EF4-FFF2-40B4-BE49-F238E27FC236}">
              <a16:creationId xmlns:a16="http://schemas.microsoft.com/office/drawing/2014/main" id="{D28A6A60-3828-405E-B366-95FC85B5E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8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9525</xdr:colOff>
      <xdr:row>354</xdr:row>
      <xdr:rowOff>9525</xdr:rowOff>
    </xdr:to>
    <xdr:pic>
      <xdr:nvPicPr>
        <xdr:cNvPr id="182" name="Obraz 181">
          <a:extLst>
            <a:ext uri="{FF2B5EF4-FFF2-40B4-BE49-F238E27FC236}">
              <a16:creationId xmlns:a16="http://schemas.microsoft.com/office/drawing/2014/main" id="{B6752FC0-0C43-4199-85FB-C9A874538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06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9525</xdr:colOff>
      <xdr:row>357</xdr:row>
      <xdr:rowOff>9525</xdr:rowOff>
    </xdr:to>
    <xdr:pic>
      <xdr:nvPicPr>
        <xdr:cNvPr id="183" name="Obraz 182">
          <a:extLst>
            <a:ext uri="{FF2B5EF4-FFF2-40B4-BE49-F238E27FC236}">
              <a16:creationId xmlns:a16="http://schemas.microsoft.com/office/drawing/2014/main" id="{B046ABD1-909C-48CD-AEB7-9B6BEF820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1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9525</xdr:colOff>
      <xdr:row>359</xdr:row>
      <xdr:rowOff>9525</xdr:rowOff>
    </xdr:to>
    <xdr:pic>
      <xdr:nvPicPr>
        <xdr:cNvPr id="184" name="Obraz 183">
          <a:extLst>
            <a:ext uri="{FF2B5EF4-FFF2-40B4-BE49-F238E27FC236}">
              <a16:creationId xmlns:a16="http://schemas.microsoft.com/office/drawing/2014/main" id="{CBF6AED3-1C1A-4EE1-8C84-CE71144A0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96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0</xdr:col>
      <xdr:colOff>9525</xdr:colOff>
      <xdr:row>361</xdr:row>
      <xdr:rowOff>9525</xdr:rowOff>
    </xdr:to>
    <xdr:pic>
      <xdr:nvPicPr>
        <xdr:cNvPr id="185" name="Obraz 184">
          <a:extLst>
            <a:ext uri="{FF2B5EF4-FFF2-40B4-BE49-F238E27FC236}">
              <a16:creationId xmlns:a16="http://schemas.microsoft.com/office/drawing/2014/main" id="{78BA1980-2A80-4E1A-9DC0-B72CC591A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15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9525</xdr:colOff>
      <xdr:row>363</xdr:row>
      <xdr:rowOff>9525</xdr:rowOff>
    </xdr:to>
    <xdr:pic>
      <xdr:nvPicPr>
        <xdr:cNvPr id="186" name="Obraz 185">
          <a:extLst>
            <a:ext uri="{FF2B5EF4-FFF2-40B4-BE49-F238E27FC236}">
              <a16:creationId xmlns:a16="http://schemas.microsoft.com/office/drawing/2014/main" id="{5CF92FE1-EDFC-4A2A-9170-AAE5E9E32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91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0</xdr:col>
      <xdr:colOff>9525</xdr:colOff>
      <xdr:row>366</xdr:row>
      <xdr:rowOff>9525</xdr:rowOff>
    </xdr:to>
    <xdr:pic>
      <xdr:nvPicPr>
        <xdr:cNvPr id="187" name="Obraz 186">
          <a:extLst>
            <a:ext uri="{FF2B5EF4-FFF2-40B4-BE49-F238E27FC236}">
              <a16:creationId xmlns:a16="http://schemas.microsoft.com/office/drawing/2014/main" id="{2C17A681-F1E8-4A1B-8C96-3BBF160E2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06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9525</xdr:colOff>
      <xdr:row>368</xdr:row>
      <xdr:rowOff>9525</xdr:rowOff>
    </xdr:to>
    <xdr:pic>
      <xdr:nvPicPr>
        <xdr:cNvPr id="188" name="Obraz 187">
          <a:extLst>
            <a:ext uri="{FF2B5EF4-FFF2-40B4-BE49-F238E27FC236}">
              <a16:creationId xmlns:a16="http://schemas.microsoft.com/office/drawing/2014/main" id="{69B0A4FF-B389-472C-868B-32680A3A6E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25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9525</xdr:colOff>
      <xdr:row>371</xdr:row>
      <xdr:rowOff>9525</xdr:rowOff>
    </xdr:to>
    <xdr:pic>
      <xdr:nvPicPr>
        <xdr:cNvPr id="189" name="Obraz 188">
          <a:extLst>
            <a:ext uri="{FF2B5EF4-FFF2-40B4-BE49-F238E27FC236}">
              <a16:creationId xmlns:a16="http://schemas.microsoft.com/office/drawing/2014/main" id="{EDAD3793-D83F-4A08-B1D0-86DAC90DC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9525</xdr:colOff>
      <xdr:row>373</xdr:row>
      <xdr:rowOff>9525</xdr:rowOff>
    </xdr:to>
    <xdr:pic>
      <xdr:nvPicPr>
        <xdr:cNvPr id="190" name="Obraz 189">
          <a:extLst>
            <a:ext uri="{FF2B5EF4-FFF2-40B4-BE49-F238E27FC236}">
              <a16:creationId xmlns:a16="http://schemas.microsoft.com/office/drawing/2014/main" id="{4473FFCD-50F0-42DB-BD01-0843FC413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15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9525</xdr:colOff>
      <xdr:row>375</xdr:row>
      <xdr:rowOff>9525</xdr:rowOff>
    </xdr:to>
    <xdr:pic>
      <xdr:nvPicPr>
        <xdr:cNvPr id="191" name="Obraz 190">
          <a:extLst>
            <a:ext uri="{FF2B5EF4-FFF2-40B4-BE49-F238E27FC236}">
              <a16:creationId xmlns:a16="http://schemas.microsoft.com/office/drawing/2014/main" id="{2BD1C9D3-344F-4531-946A-DE31D8606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34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0</xdr:col>
      <xdr:colOff>9525</xdr:colOff>
      <xdr:row>377</xdr:row>
      <xdr:rowOff>9525</xdr:rowOff>
    </xdr:to>
    <xdr:pic>
      <xdr:nvPicPr>
        <xdr:cNvPr id="192" name="Obraz 191">
          <a:extLst>
            <a:ext uri="{FF2B5EF4-FFF2-40B4-BE49-F238E27FC236}">
              <a16:creationId xmlns:a16="http://schemas.microsoft.com/office/drawing/2014/main" id="{95DE3D96-79B3-4961-AAD9-EFF2E6CEA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0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9525</xdr:colOff>
      <xdr:row>380</xdr:row>
      <xdr:rowOff>9525</xdr:rowOff>
    </xdr:to>
    <xdr:pic>
      <xdr:nvPicPr>
        <xdr:cNvPr id="193" name="Obraz 192">
          <a:extLst>
            <a:ext uri="{FF2B5EF4-FFF2-40B4-BE49-F238E27FC236}">
              <a16:creationId xmlns:a16="http://schemas.microsoft.com/office/drawing/2014/main" id="{3FDFF11B-A423-4311-B542-8E1B1609C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25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9525</xdr:colOff>
      <xdr:row>381</xdr:row>
      <xdr:rowOff>9525</xdr:rowOff>
    </xdr:to>
    <xdr:pic>
      <xdr:nvPicPr>
        <xdr:cNvPr id="194" name="Obraz 193">
          <a:extLst>
            <a:ext uri="{FF2B5EF4-FFF2-40B4-BE49-F238E27FC236}">
              <a16:creationId xmlns:a16="http://schemas.microsoft.com/office/drawing/2014/main" id="{8B6F029E-779D-4E73-8838-C977B5FB0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44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9525</xdr:colOff>
      <xdr:row>384</xdr:row>
      <xdr:rowOff>9525</xdr:rowOff>
    </xdr:to>
    <xdr:pic>
      <xdr:nvPicPr>
        <xdr:cNvPr id="196" name="Obraz 195">
          <a:extLst>
            <a:ext uri="{FF2B5EF4-FFF2-40B4-BE49-F238E27FC236}">
              <a16:creationId xmlns:a16="http://schemas.microsoft.com/office/drawing/2014/main" id="{10EE6199-E547-48A8-8CEA-E50927953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34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9525</xdr:colOff>
      <xdr:row>387</xdr:row>
      <xdr:rowOff>9525</xdr:rowOff>
    </xdr:to>
    <xdr:pic>
      <xdr:nvPicPr>
        <xdr:cNvPr id="197" name="Obraz 196">
          <a:extLst>
            <a:ext uri="{FF2B5EF4-FFF2-40B4-BE49-F238E27FC236}">
              <a16:creationId xmlns:a16="http://schemas.microsoft.com/office/drawing/2014/main" id="{902DD419-69CA-4F1D-9CB6-B2BC30422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53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9525</xdr:colOff>
      <xdr:row>388</xdr:row>
      <xdr:rowOff>9525</xdr:rowOff>
    </xdr:to>
    <xdr:pic>
      <xdr:nvPicPr>
        <xdr:cNvPr id="198" name="Obraz 197">
          <a:extLst>
            <a:ext uri="{FF2B5EF4-FFF2-40B4-BE49-F238E27FC236}">
              <a16:creationId xmlns:a16="http://schemas.microsoft.com/office/drawing/2014/main" id="{51F7D69A-0604-419F-913D-9B05D8A76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30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9525</xdr:colOff>
      <xdr:row>391</xdr:row>
      <xdr:rowOff>9525</xdr:rowOff>
    </xdr:to>
    <xdr:pic>
      <xdr:nvPicPr>
        <xdr:cNvPr id="199" name="Obraz 198">
          <a:extLst>
            <a:ext uri="{FF2B5EF4-FFF2-40B4-BE49-F238E27FC236}">
              <a16:creationId xmlns:a16="http://schemas.microsoft.com/office/drawing/2014/main" id="{CA7E36D8-2B66-4F90-B071-FAEE3DD9D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4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9525</xdr:colOff>
      <xdr:row>393</xdr:row>
      <xdr:rowOff>9525</xdr:rowOff>
    </xdr:to>
    <xdr:pic>
      <xdr:nvPicPr>
        <xdr:cNvPr id="200" name="Obraz 199">
          <a:extLst>
            <a:ext uri="{FF2B5EF4-FFF2-40B4-BE49-F238E27FC236}">
              <a16:creationId xmlns:a16="http://schemas.microsoft.com/office/drawing/2014/main" id="{1C3826B9-723C-4CB3-BDA1-1A40F6A0C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9525</xdr:colOff>
      <xdr:row>395</xdr:row>
      <xdr:rowOff>9525</xdr:rowOff>
    </xdr:to>
    <xdr:pic>
      <xdr:nvPicPr>
        <xdr:cNvPr id="201" name="Obraz 200">
          <a:extLst>
            <a:ext uri="{FF2B5EF4-FFF2-40B4-BE49-F238E27FC236}">
              <a16:creationId xmlns:a16="http://schemas.microsoft.com/office/drawing/2014/main" id="{BAF3D508-FACC-418D-AAF8-5D4609FA1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39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9525</xdr:colOff>
      <xdr:row>398</xdr:row>
      <xdr:rowOff>9525</xdr:rowOff>
    </xdr:to>
    <xdr:pic>
      <xdr:nvPicPr>
        <xdr:cNvPr id="202" name="Obraz 201">
          <a:extLst>
            <a:ext uri="{FF2B5EF4-FFF2-40B4-BE49-F238E27FC236}">
              <a16:creationId xmlns:a16="http://schemas.microsoft.com/office/drawing/2014/main" id="{9EFE2EDF-3B26-4024-BCD8-554CFF6FE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9525</xdr:colOff>
      <xdr:row>399</xdr:row>
      <xdr:rowOff>9525</xdr:rowOff>
    </xdr:to>
    <xdr:pic>
      <xdr:nvPicPr>
        <xdr:cNvPr id="203" name="Obraz 202">
          <a:extLst>
            <a:ext uri="{FF2B5EF4-FFF2-40B4-BE49-F238E27FC236}">
              <a16:creationId xmlns:a16="http://schemas.microsoft.com/office/drawing/2014/main" id="{95DB7441-E5EB-4C80-AB10-055B6E25D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73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9525</xdr:colOff>
      <xdr:row>400</xdr:row>
      <xdr:rowOff>9525</xdr:rowOff>
    </xdr:to>
    <xdr:pic>
      <xdr:nvPicPr>
        <xdr:cNvPr id="204" name="Obraz 203">
          <a:extLst>
            <a:ext uri="{FF2B5EF4-FFF2-40B4-BE49-F238E27FC236}">
              <a16:creationId xmlns:a16="http://schemas.microsoft.com/office/drawing/2014/main" id="{CB3C9DF9-DA14-4E47-B017-003F7BC60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49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9525</xdr:colOff>
      <xdr:row>402</xdr:row>
      <xdr:rowOff>9525</xdr:rowOff>
    </xdr:to>
    <xdr:pic>
      <xdr:nvPicPr>
        <xdr:cNvPr id="205" name="Obraz 204">
          <a:extLst>
            <a:ext uri="{FF2B5EF4-FFF2-40B4-BE49-F238E27FC236}">
              <a16:creationId xmlns:a16="http://schemas.microsoft.com/office/drawing/2014/main" id="{BA9D388C-803F-4491-956D-60CB711A0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44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9525</xdr:colOff>
      <xdr:row>405</xdr:row>
      <xdr:rowOff>9525</xdr:rowOff>
    </xdr:to>
    <xdr:pic>
      <xdr:nvPicPr>
        <xdr:cNvPr id="206" name="Obraz 205">
          <a:extLst>
            <a:ext uri="{FF2B5EF4-FFF2-40B4-BE49-F238E27FC236}">
              <a16:creationId xmlns:a16="http://schemas.microsoft.com/office/drawing/2014/main" id="{6C3B6970-7AF7-429C-B30E-077FF3BF2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82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9525</xdr:colOff>
      <xdr:row>407</xdr:row>
      <xdr:rowOff>9525</xdr:rowOff>
    </xdr:to>
    <xdr:pic>
      <xdr:nvPicPr>
        <xdr:cNvPr id="207" name="Obraz 206">
          <a:extLst>
            <a:ext uri="{FF2B5EF4-FFF2-40B4-BE49-F238E27FC236}">
              <a16:creationId xmlns:a16="http://schemas.microsoft.com/office/drawing/2014/main" id="{97119F3C-F204-47AC-BF68-85C4015F1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77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9525</xdr:colOff>
      <xdr:row>409</xdr:row>
      <xdr:rowOff>9525</xdr:rowOff>
    </xdr:to>
    <xdr:pic>
      <xdr:nvPicPr>
        <xdr:cNvPr id="208" name="Obraz 207">
          <a:extLst>
            <a:ext uri="{FF2B5EF4-FFF2-40B4-BE49-F238E27FC236}">
              <a16:creationId xmlns:a16="http://schemas.microsoft.com/office/drawing/2014/main" id="{135818CD-2833-4D81-9A3F-1DE715380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73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9525</xdr:colOff>
      <xdr:row>412</xdr:row>
      <xdr:rowOff>9525</xdr:rowOff>
    </xdr:to>
    <xdr:pic>
      <xdr:nvPicPr>
        <xdr:cNvPr id="209" name="Obraz 208">
          <a:extLst>
            <a:ext uri="{FF2B5EF4-FFF2-40B4-BE49-F238E27FC236}">
              <a16:creationId xmlns:a16="http://schemas.microsoft.com/office/drawing/2014/main" id="{B4A4DB6A-2443-414E-B86F-DB964F281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92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9525</xdr:colOff>
      <xdr:row>414</xdr:row>
      <xdr:rowOff>9525</xdr:rowOff>
    </xdr:to>
    <xdr:pic>
      <xdr:nvPicPr>
        <xdr:cNvPr id="210" name="Obraz 209">
          <a:extLst>
            <a:ext uri="{FF2B5EF4-FFF2-40B4-BE49-F238E27FC236}">
              <a16:creationId xmlns:a16="http://schemas.microsoft.com/office/drawing/2014/main" id="{F5E8D802-7DB8-4102-8D01-8FE6ADD53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87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9525</xdr:colOff>
      <xdr:row>416</xdr:row>
      <xdr:rowOff>9525</xdr:rowOff>
    </xdr:to>
    <xdr:pic>
      <xdr:nvPicPr>
        <xdr:cNvPr id="211" name="Obraz 210">
          <a:extLst>
            <a:ext uri="{FF2B5EF4-FFF2-40B4-BE49-F238E27FC236}">
              <a16:creationId xmlns:a16="http://schemas.microsoft.com/office/drawing/2014/main" id="{B2A5CFF9-2DDA-46F6-AE8C-C3BFCA3FD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82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0</xdr:col>
      <xdr:colOff>9525</xdr:colOff>
      <xdr:row>418</xdr:row>
      <xdr:rowOff>9525</xdr:rowOff>
    </xdr:to>
    <xdr:pic>
      <xdr:nvPicPr>
        <xdr:cNvPr id="212" name="Obraz 211">
          <a:extLst>
            <a:ext uri="{FF2B5EF4-FFF2-40B4-BE49-F238E27FC236}">
              <a16:creationId xmlns:a16="http://schemas.microsoft.com/office/drawing/2014/main" id="{F09CA869-9EBD-41A3-8279-ED4060ECC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1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0</xdr:col>
      <xdr:colOff>9525</xdr:colOff>
      <xdr:row>420</xdr:row>
      <xdr:rowOff>9525</xdr:rowOff>
    </xdr:to>
    <xdr:pic>
      <xdr:nvPicPr>
        <xdr:cNvPr id="213" name="Obraz 212">
          <a:extLst>
            <a:ext uri="{FF2B5EF4-FFF2-40B4-BE49-F238E27FC236}">
              <a16:creationId xmlns:a16="http://schemas.microsoft.com/office/drawing/2014/main" id="{88D3EAAD-DEE6-4DF1-94FE-AFED23DC9C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77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9525</xdr:colOff>
      <xdr:row>424</xdr:row>
      <xdr:rowOff>9525</xdr:rowOff>
    </xdr:to>
    <xdr:pic>
      <xdr:nvPicPr>
        <xdr:cNvPr id="214" name="Obraz 213">
          <a:extLst>
            <a:ext uri="{FF2B5EF4-FFF2-40B4-BE49-F238E27FC236}">
              <a16:creationId xmlns:a16="http://schemas.microsoft.com/office/drawing/2014/main" id="{3A04E9E0-9C1D-4136-B4DE-3416E61AF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2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425</xdr:row>
      <xdr:rowOff>0</xdr:rowOff>
    </xdr:from>
    <xdr:to>
      <xdr:col>0</xdr:col>
      <xdr:colOff>9525</xdr:colOff>
      <xdr:row>425</xdr:row>
      <xdr:rowOff>9525</xdr:rowOff>
    </xdr:to>
    <xdr:pic>
      <xdr:nvPicPr>
        <xdr:cNvPr id="215" name="Obraz 214">
          <a:extLst>
            <a:ext uri="{FF2B5EF4-FFF2-40B4-BE49-F238E27FC236}">
              <a16:creationId xmlns:a16="http://schemas.microsoft.com/office/drawing/2014/main" id="{AA91E027-BC98-4096-AACD-C726CC826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1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9525</xdr:colOff>
      <xdr:row>427</xdr:row>
      <xdr:rowOff>9525</xdr:rowOff>
    </xdr:to>
    <xdr:pic>
      <xdr:nvPicPr>
        <xdr:cNvPr id="216" name="Obraz 215">
          <a:extLst>
            <a:ext uri="{FF2B5EF4-FFF2-40B4-BE49-F238E27FC236}">
              <a16:creationId xmlns:a16="http://schemas.microsoft.com/office/drawing/2014/main" id="{DDCB12B5-07E2-4893-AE8E-11D1D1A07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7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9525</xdr:colOff>
      <xdr:row>430</xdr:row>
      <xdr:rowOff>9525</xdr:rowOff>
    </xdr:to>
    <xdr:pic>
      <xdr:nvPicPr>
        <xdr:cNvPr id="217" name="Obraz 216">
          <a:extLst>
            <a:ext uri="{FF2B5EF4-FFF2-40B4-BE49-F238E27FC236}">
              <a16:creationId xmlns:a16="http://schemas.microsoft.com/office/drawing/2014/main" id="{5C487F74-DD06-409C-90EC-073DA6611A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1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432</xdr:row>
      <xdr:rowOff>0</xdr:rowOff>
    </xdr:from>
    <xdr:to>
      <xdr:col>0</xdr:col>
      <xdr:colOff>9525</xdr:colOff>
      <xdr:row>432</xdr:row>
      <xdr:rowOff>9525</xdr:rowOff>
    </xdr:to>
    <xdr:pic>
      <xdr:nvPicPr>
        <xdr:cNvPr id="218" name="Obraz 217">
          <a:extLst>
            <a:ext uri="{FF2B5EF4-FFF2-40B4-BE49-F238E27FC236}">
              <a16:creationId xmlns:a16="http://schemas.microsoft.com/office/drawing/2014/main" id="{3F3980B4-AF4E-419E-A699-AC973943C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39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9525</xdr:colOff>
      <xdr:row>434</xdr:row>
      <xdr:rowOff>9525</xdr:rowOff>
    </xdr:to>
    <xdr:pic>
      <xdr:nvPicPr>
        <xdr:cNvPr id="219" name="Obraz 218">
          <a:extLst>
            <a:ext uri="{FF2B5EF4-FFF2-40B4-BE49-F238E27FC236}">
              <a16:creationId xmlns:a16="http://schemas.microsoft.com/office/drawing/2014/main" id="{EF484E72-6A29-49C8-93C4-67213E626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9525</xdr:colOff>
      <xdr:row>439</xdr:row>
      <xdr:rowOff>9525</xdr:rowOff>
    </xdr:to>
    <xdr:pic>
      <xdr:nvPicPr>
        <xdr:cNvPr id="221" name="Obraz 220">
          <a:extLst>
            <a:ext uri="{FF2B5EF4-FFF2-40B4-BE49-F238E27FC236}">
              <a16:creationId xmlns:a16="http://schemas.microsoft.com/office/drawing/2014/main" id="{21C4E211-89E9-49F1-A46E-A1DE9C111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49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9525</xdr:colOff>
      <xdr:row>441</xdr:row>
      <xdr:rowOff>9525</xdr:rowOff>
    </xdr:to>
    <xdr:pic>
      <xdr:nvPicPr>
        <xdr:cNvPr id="222" name="Obraz 221">
          <a:extLst>
            <a:ext uri="{FF2B5EF4-FFF2-40B4-BE49-F238E27FC236}">
              <a16:creationId xmlns:a16="http://schemas.microsoft.com/office/drawing/2014/main" id="{A9237FD3-B967-4C62-BBB6-26BB07D196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25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0</xdr:col>
      <xdr:colOff>9525</xdr:colOff>
      <xdr:row>444</xdr:row>
      <xdr:rowOff>9525</xdr:rowOff>
    </xdr:to>
    <xdr:pic>
      <xdr:nvPicPr>
        <xdr:cNvPr id="223" name="Obraz 222">
          <a:extLst>
            <a:ext uri="{FF2B5EF4-FFF2-40B4-BE49-F238E27FC236}">
              <a16:creationId xmlns:a16="http://schemas.microsoft.com/office/drawing/2014/main" id="{AB57D5B2-B167-4CD5-8C86-DF069E965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39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9525</xdr:colOff>
      <xdr:row>445</xdr:row>
      <xdr:rowOff>9525</xdr:rowOff>
    </xdr:to>
    <xdr:pic>
      <xdr:nvPicPr>
        <xdr:cNvPr id="224" name="Obraz 223">
          <a:extLst>
            <a:ext uri="{FF2B5EF4-FFF2-40B4-BE49-F238E27FC236}">
              <a16:creationId xmlns:a16="http://schemas.microsoft.com/office/drawing/2014/main" id="{AEC5E589-4151-472C-AC37-400410A93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58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448</xdr:row>
      <xdr:rowOff>0</xdr:rowOff>
    </xdr:from>
    <xdr:to>
      <xdr:col>0</xdr:col>
      <xdr:colOff>9525</xdr:colOff>
      <xdr:row>448</xdr:row>
      <xdr:rowOff>9525</xdr:rowOff>
    </xdr:to>
    <xdr:pic>
      <xdr:nvPicPr>
        <xdr:cNvPr id="225" name="Obraz 224">
          <a:extLst>
            <a:ext uri="{FF2B5EF4-FFF2-40B4-BE49-F238E27FC236}">
              <a16:creationId xmlns:a16="http://schemas.microsoft.com/office/drawing/2014/main" id="{E252FA9D-08FB-4DD4-9B62-345EE4C20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35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9525</xdr:colOff>
      <xdr:row>451</xdr:row>
      <xdr:rowOff>9525</xdr:rowOff>
    </xdr:to>
    <xdr:pic>
      <xdr:nvPicPr>
        <xdr:cNvPr id="226" name="Obraz 225">
          <a:extLst>
            <a:ext uri="{FF2B5EF4-FFF2-40B4-BE49-F238E27FC236}">
              <a16:creationId xmlns:a16="http://schemas.microsoft.com/office/drawing/2014/main" id="{67797431-6BC5-4118-9F94-1D8DE2F3C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49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9525</xdr:colOff>
      <xdr:row>452</xdr:row>
      <xdr:rowOff>9525</xdr:rowOff>
    </xdr:to>
    <xdr:pic>
      <xdr:nvPicPr>
        <xdr:cNvPr id="227" name="Obraz 226">
          <a:extLst>
            <a:ext uri="{FF2B5EF4-FFF2-40B4-BE49-F238E27FC236}">
              <a16:creationId xmlns:a16="http://schemas.microsoft.com/office/drawing/2014/main" id="{E899CDAA-9EA0-45E9-9F4E-6E7193D18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68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9525</xdr:colOff>
      <xdr:row>454</xdr:row>
      <xdr:rowOff>9525</xdr:rowOff>
    </xdr:to>
    <xdr:pic>
      <xdr:nvPicPr>
        <xdr:cNvPr id="228" name="Obraz 227">
          <a:extLst>
            <a:ext uri="{FF2B5EF4-FFF2-40B4-BE49-F238E27FC236}">
              <a16:creationId xmlns:a16="http://schemas.microsoft.com/office/drawing/2014/main" id="{F81C4628-E23D-422C-A761-B1716E4E05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44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9525</xdr:colOff>
      <xdr:row>457</xdr:row>
      <xdr:rowOff>9525</xdr:rowOff>
    </xdr:to>
    <xdr:pic>
      <xdr:nvPicPr>
        <xdr:cNvPr id="229" name="Obraz 228">
          <a:extLst>
            <a:ext uri="{FF2B5EF4-FFF2-40B4-BE49-F238E27FC236}">
              <a16:creationId xmlns:a16="http://schemas.microsoft.com/office/drawing/2014/main" id="{0CBAC548-F083-4758-BEA5-A15A8A0B43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9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9525</xdr:colOff>
      <xdr:row>460</xdr:row>
      <xdr:rowOff>9525</xdr:rowOff>
    </xdr:to>
    <xdr:pic>
      <xdr:nvPicPr>
        <xdr:cNvPr id="230" name="Obraz 229">
          <a:extLst>
            <a:ext uri="{FF2B5EF4-FFF2-40B4-BE49-F238E27FC236}">
              <a16:creationId xmlns:a16="http://schemas.microsoft.com/office/drawing/2014/main" id="{B930FF7F-9788-4440-AC26-B97775ABF8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9525</xdr:colOff>
      <xdr:row>461</xdr:row>
      <xdr:rowOff>9525</xdr:rowOff>
    </xdr:to>
    <xdr:pic>
      <xdr:nvPicPr>
        <xdr:cNvPr id="231" name="Obraz 230">
          <a:extLst>
            <a:ext uri="{FF2B5EF4-FFF2-40B4-BE49-F238E27FC236}">
              <a16:creationId xmlns:a16="http://schemas.microsoft.com/office/drawing/2014/main" id="{132AA105-F071-4E57-9240-8A8BDF1BA8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54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9525</xdr:colOff>
      <xdr:row>463</xdr:row>
      <xdr:rowOff>9525</xdr:rowOff>
    </xdr:to>
    <xdr:pic>
      <xdr:nvPicPr>
        <xdr:cNvPr id="232" name="Obraz 231">
          <a:extLst>
            <a:ext uri="{FF2B5EF4-FFF2-40B4-BE49-F238E27FC236}">
              <a16:creationId xmlns:a16="http://schemas.microsoft.com/office/drawing/2014/main" id="{F20023B4-900D-4E0D-A9C8-234F09C57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68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9525</xdr:colOff>
      <xdr:row>465</xdr:row>
      <xdr:rowOff>9525</xdr:rowOff>
    </xdr:to>
    <xdr:pic>
      <xdr:nvPicPr>
        <xdr:cNvPr id="233" name="Obraz 232">
          <a:extLst>
            <a:ext uri="{FF2B5EF4-FFF2-40B4-BE49-F238E27FC236}">
              <a16:creationId xmlns:a16="http://schemas.microsoft.com/office/drawing/2014/main" id="{83268158-7F3C-4DD5-8D19-B4A1562ED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7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9525</xdr:colOff>
      <xdr:row>467</xdr:row>
      <xdr:rowOff>9525</xdr:rowOff>
    </xdr:to>
    <xdr:pic>
      <xdr:nvPicPr>
        <xdr:cNvPr id="234" name="Obraz 233">
          <a:extLst>
            <a:ext uri="{FF2B5EF4-FFF2-40B4-BE49-F238E27FC236}">
              <a16:creationId xmlns:a16="http://schemas.microsoft.com/office/drawing/2014/main" id="{ED12B2A9-089E-47DD-8AB3-384A5E9A1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63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9525</xdr:colOff>
      <xdr:row>470</xdr:row>
      <xdr:rowOff>9525</xdr:rowOff>
    </xdr:to>
    <xdr:pic>
      <xdr:nvPicPr>
        <xdr:cNvPr id="235" name="Obraz 234">
          <a:extLst>
            <a:ext uri="{FF2B5EF4-FFF2-40B4-BE49-F238E27FC236}">
              <a16:creationId xmlns:a16="http://schemas.microsoft.com/office/drawing/2014/main" id="{DF1EB8C7-125E-4B82-B0A4-CA8B4316A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78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472</xdr:row>
      <xdr:rowOff>0</xdr:rowOff>
    </xdr:from>
    <xdr:to>
      <xdr:col>0</xdr:col>
      <xdr:colOff>9525</xdr:colOff>
      <xdr:row>472</xdr:row>
      <xdr:rowOff>9525</xdr:rowOff>
    </xdr:to>
    <xdr:pic>
      <xdr:nvPicPr>
        <xdr:cNvPr id="236" name="Obraz 235">
          <a:extLst>
            <a:ext uri="{FF2B5EF4-FFF2-40B4-BE49-F238E27FC236}">
              <a16:creationId xmlns:a16="http://schemas.microsoft.com/office/drawing/2014/main" id="{5A87B983-128F-4A4D-A959-3A7F7D8A2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9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9525</xdr:colOff>
      <xdr:row>473</xdr:row>
      <xdr:rowOff>9525</xdr:rowOff>
    </xdr:to>
    <xdr:pic>
      <xdr:nvPicPr>
        <xdr:cNvPr id="237" name="Obraz 236">
          <a:extLst>
            <a:ext uri="{FF2B5EF4-FFF2-40B4-BE49-F238E27FC236}">
              <a16:creationId xmlns:a16="http://schemas.microsoft.com/office/drawing/2014/main" id="{CB2416CE-C26C-4D19-AAEF-B137B773A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73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9525</xdr:colOff>
      <xdr:row>476</xdr:row>
      <xdr:rowOff>9525</xdr:rowOff>
    </xdr:to>
    <xdr:pic>
      <xdr:nvPicPr>
        <xdr:cNvPr id="238" name="Obraz 237">
          <a:extLst>
            <a:ext uri="{FF2B5EF4-FFF2-40B4-BE49-F238E27FC236}">
              <a16:creationId xmlns:a16="http://schemas.microsoft.com/office/drawing/2014/main" id="{BFF879D4-543A-4C7F-9A1A-51D4931CD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87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9525</xdr:colOff>
      <xdr:row>477</xdr:row>
      <xdr:rowOff>9525</xdr:rowOff>
    </xdr:to>
    <xdr:pic>
      <xdr:nvPicPr>
        <xdr:cNvPr id="239" name="Obraz 238">
          <a:extLst>
            <a:ext uri="{FF2B5EF4-FFF2-40B4-BE49-F238E27FC236}">
              <a16:creationId xmlns:a16="http://schemas.microsoft.com/office/drawing/2014/main" id="{51D142B6-480F-4084-A01F-D02FBD2519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06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9525</xdr:colOff>
      <xdr:row>480</xdr:row>
      <xdr:rowOff>9525</xdr:rowOff>
    </xdr:to>
    <xdr:pic>
      <xdr:nvPicPr>
        <xdr:cNvPr id="240" name="Obraz 239">
          <a:extLst>
            <a:ext uri="{FF2B5EF4-FFF2-40B4-BE49-F238E27FC236}">
              <a16:creationId xmlns:a16="http://schemas.microsoft.com/office/drawing/2014/main" id="{6C619FAB-1AE4-4A47-9DBB-D409095A3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82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9525</xdr:colOff>
      <xdr:row>483</xdr:row>
      <xdr:rowOff>9525</xdr:rowOff>
    </xdr:to>
    <xdr:pic>
      <xdr:nvPicPr>
        <xdr:cNvPr id="241" name="Obraz 240">
          <a:extLst>
            <a:ext uri="{FF2B5EF4-FFF2-40B4-BE49-F238E27FC236}">
              <a16:creationId xmlns:a16="http://schemas.microsoft.com/office/drawing/2014/main" id="{4A8DDC20-83BD-4BB5-A99D-1D19B6408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97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9525</xdr:colOff>
      <xdr:row>483</xdr:row>
      <xdr:rowOff>9525</xdr:rowOff>
    </xdr:to>
    <xdr:pic>
      <xdr:nvPicPr>
        <xdr:cNvPr id="242" name="Obraz 241">
          <a:extLst>
            <a:ext uri="{FF2B5EF4-FFF2-40B4-BE49-F238E27FC236}">
              <a16:creationId xmlns:a16="http://schemas.microsoft.com/office/drawing/2014/main" id="{B39F51AE-4B30-41E2-BE2A-52A7BEC5D9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16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9525</xdr:colOff>
      <xdr:row>485</xdr:row>
      <xdr:rowOff>9525</xdr:rowOff>
    </xdr:to>
    <xdr:pic>
      <xdr:nvPicPr>
        <xdr:cNvPr id="243" name="Obraz 242">
          <a:extLst>
            <a:ext uri="{FF2B5EF4-FFF2-40B4-BE49-F238E27FC236}">
              <a16:creationId xmlns:a16="http://schemas.microsoft.com/office/drawing/2014/main" id="{DACE5BCC-713D-4A72-805D-70EBB0A0B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92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9525</xdr:colOff>
      <xdr:row>488</xdr:row>
      <xdr:rowOff>9525</xdr:rowOff>
    </xdr:to>
    <xdr:pic>
      <xdr:nvPicPr>
        <xdr:cNvPr id="244" name="Obraz 243">
          <a:extLst>
            <a:ext uri="{FF2B5EF4-FFF2-40B4-BE49-F238E27FC236}">
              <a16:creationId xmlns:a16="http://schemas.microsoft.com/office/drawing/2014/main" id="{E3E24B6B-D10D-4ED7-B00A-4B00E8FFA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06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9525</xdr:colOff>
      <xdr:row>489</xdr:row>
      <xdr:rowOff>9525</xdr:rowOff>
    </xdr:to>
    <xdr:pic>
      <xdr:nvPicPr>
        <xdr:cNvPr id="245" name="Obraz 244">
          <a:extLst>
            <a:ext uri="{FF2B5EF4-FFF2-40B4-BE49-F238E27FC236}">
              <a16:creationId xmlns:a16="http://schemas.microsoft.com/office/drawing/2014/main" id="{9CF0F6E8-F88B-4630-BCE4-1216668FC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25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0</xdr:col>
      <xdr:colOff>9525</xdr:colOff>
      <xdr:row>491</xdr:row>
      <xdr:rowOff>9525</xdr:rowOff>
    </xdr:to>
    <xdr:pic>
      <xdr:nvPicPr>
        <xdr:cNvPr id="246" name="Obraz 245">
          <a:extLst>
            <a:ext uri="{FF2B5EF4-FFF2-40B4-BE49-F238E27FC236}">
              <a16:creationId xmlns:a16="http://schemas.microsoft.com/office/drawing/2014/main" id="{2EF00F10-5BF3-425C-B047-55C51ED33D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9525</xdr:colOff>
      <xdr:row>494</xdr:row>
      <xdr:rowOff>9525</xdr:rowOff>
    </xdr:to>
    <xdr:pic>
      <xdr:nvPicPr>
        <xdr:cNvPr id="247" name="Obraz 246">
          <a:extLst>
            <a:ext uri="{FF2B5EF4-FFF2-40B4-BE49-F238E27FC236}">
              <a16:creationId xmlns:a16="http://schemas.microsoft.com/office/drawing/2014/main" id="{2B4EF87C-C067-46E7-B056-6CD9440C0E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16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0</xdr:col>
      <xdr:colOff>9525</xdr:colOff>
      <xdr:row>496</xdr:row>
      <xdr:rowOff>9525</xdr:rowOff>
    </xdr:to>
    <xdr:pic>
      <xdr:nvPicPr>
        <xdr:cNvPr id="248" name="Obraz 247">
          <a:extLst>
            <a:ext uri="{FF2B5EF4-FFF2-40B4-BE49-F238E27FC236}">
              <a16:creationId xmlns:a16="http://schemas.microsoft.com/office/drawing/2014/main" id="{E0100E90-BCF9-4E01-97B2-81FC6EA85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35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9525</xdr:colOff>
      <xdr:row>498</xdr:row>
      <xdr:rowOff>9525</xdr:rowOff>
    </xdr:to>
    <xdr:pic>
      <xdr:nvPicPr>
        <xdr:cNvPr id="249" name="Obraz 248">
          <a:extLst>
            <a:ext uri="{FF2B5EF4-FFF2-40B4-BE49-F238E27FC236}">
              <a16:creationId xmlns:a16="http://schemas.microsoft.com/office/drawing/2014/main" id="{6CB9B3BB-C51C-4B20-98CF-35147142E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30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9525</xdr:colOff>
      <xdr:row>499</xdr:row>
      <xdr:rowOff>0</xdr:rowOff>
    </xdr:to>
    <xdr:pic>
      <xdr:nvPicPr>
        <xdr:cNvPr id="250" name="Obraz 249">
          <a:extLst>
            <a:ext uri="{FF2B5EF4-FFF2-40B4-BE49-F238E27FC236}">
              <a16:creationId xmlns:a16="http://schemas.microsoft.com/office/drawing/2014/main" id="{25DC36C5-F51D-4CE4-A27E-8F3B37B5B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25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9525</xdr:colOff>
      <xdr:row>500</xdr:row>
      <xdr:rowOff>9525</xdr:rowOff>
    </xdr:to>
    <xdr:pic>
      <xdr:nvPicPr>
        <xdr:cNvPr id="251" name="Obraz 250">
          <a:extLst>
            <a:ext uri="{FF2B5EF4-FFF2-40B4-BE49-F238E27FC236}">
              <a16:creationId xmlns:a16="http://schemas.microsoft.com/office/drawing/2014/main" id="{33F00A47-F894-451D-9D35-95A5B6089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4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9525</xdr:colOff>
      <xdr:row>502</xdr:row>
      <xdr:rowOff>9525</xdr:rowOff>
    </xdr:to>
    <xdr:pic>
      <xdr:nvPicPr>
        <xdr:cNvPr id="252" name="Obraz 251">
          <a:extLst>
            <a:ext uri="{FF2B5EF4-FFF2-40B4-BE49-F238E27FC236}">
              <a16:creationId xmlns:a16="http://schemas.microsoft.com/office/drawing/2014/main" id="{C0778931-903F-48D8-BF87-81E894CF88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40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504</xdr:row>
      <xdr:rowOff>0</xdr:rowOff>
    </xdr:from>
    <xdr:to>
      <xdr:col>0</xdr:col>
      <xdr:colOff>9525</xdr:colOff>
      <xdr:row>504</xdr:row>
      <xdr:rowOff>9525</xdr:rowOff>
    </xdr:to>
    <xdr:pic>
      <xdr:nvPicPr>
        <xdr:cNvPr id="253" name="Obraz 252">
          <a:extLst>
            <a:ext uri="{FF2B5EF4-FFF2-40B4-BE49-F238E27FC236}">
              <a16:creationId xmlns:a16="http://schemas.microsoft.com/office/drawing/2014/main" id="{DC5E0831-2D62-411C-8C2D-D575A787AE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35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9525</xdr:colOff>
      <xdr:row>506</xdr:row>
      <xdr:rowOff>9525</xdr:rowOff>
    </xdr:to>
    <xdr:pic>
      <xdr:nvPicPr>
        <xdr:cNvPr id="254" name="Obraz 253">
          <a:extLst>
            <a:ext uri="{FF2B5EF4-FFF2-40B4-BE49-F238E27FC236}">
              <a16:creationId xmlns:a16="http://schemas.microsoft.com/office/drawing/2014/main" id="{91969DED-8414-4412-AFF6-157A1644B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54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509</xdr:row>
      <xdr:rowOff>0</xdr:rowOff>
    </xdr:from>
    <xdr:to>
      <xdr:col>0</xdr:col>
      <xdr:colOff>9525</xdr:colOff>
      <xdr:row>509</xdr:row>
      <xdr:rowOff>9525</xdr:rowOff>
    </xdr:to>
    <xdr:pic>
      <xdr:nvPicPr>
        <xdr:cNvPr id="255" name="Obraz 254">
          <a:extLst>
            <a:ext uri="{FF2B5EF4-FFF2-40B4-BE49-F238E27FC236}">
              <a16:creationId xmlns:a16="http://schemas.microsoft.com/office/drawing/2014/main" id="{EC9E2131-C2C7-41D1-9F57-C8458526C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9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9525</xdr:colOff>
      <xdr:row>511</xdr:row>
      <xdr:rowOff>9525</xdr:rowOff>
    </xdr:to>
    <xdr:pic>
      <xdr:nvPicPr>
        <xdr:cNvPr id="256" name="Obraz 255">
          <a:extLst>
            <a:ext uri="{FF2B5EF4-FFF2-40B4-BE49-F238E27FC236}">
              <a16:creationId xmlns:a16="http://schemas.microsoft.com/office/drawing/2014/main" id="{C04165CE-93D3-4CA8-8E15-D50763F88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4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513</xdr:row>
      <xdr:rowOff>0</xdr:rowOff>
    </xdr:from>
    <xdr:to>
      <xdr:col>0</xdr:col>
      <xdr:colOff>9525</xdr:colOff>
      <xdr:row>513</xdr:row>
      <xdr:rowOff>9525</xdr:rowOff>
    </xdr:to>
    <xdr:pic>
      <xdr:nvPicPr>
        <xdr:cNvPr id="257" name="Obraz 256">
          <a:extLst>
            <a:ext uri="{FF2B5EF4-FFF2-40B4-BE49-F238E27FC236}">
              <a16:creationId xmlns:a16="http://schemas.microsoft.com/office/drawing/2014/main" id="{3B6591E9-3633-47E3-AD9D-8B383BFEB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4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9525</xdr:colOff>
      <xdr:row>516</xdr:row>
      <xdr:rowOff>9525</xdr:rowOff>
    </xdr:to>
    <xdr:pic>
      <xdr:nvPicPr>
        <xdr:cNvPr id="258" name="Obraz 257">
          <a:extLst>
            <a:ext uri="{FF2B5EF4-FFF2-40B4-BE49-F238E27FC236}">
              <a16:creationId xmlns:a16="http://schemas.microsoft.com/office/drawing/2014/main" id="{E0307501-CFA0-4E37-B847-97160CED0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59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9525</xdr:colOff>
      <xdr:row>518</xdr:row>
      <xdr:rowOff>9525</xdr:rowOff>
    </xdr:to>
    <xdr:pic>
      <xdr:nvPicPr>
        <xdr:cNvPr id="259" name="Obraz 258">
          <a:extLst>
            <a:ext uri="{FF2B5EF4-FFF2-40B4-BE49-F238E27FC236}">
              <a16:creationId xmlns:a16="http://schemas.microsoft.com/office/drawing/2014/main" id="{4FA311AE-0304-4A69-8C9D-19B5BD782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54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520</xdr:row>
      <xdr:rowOff>0</xdr:rowOff>
    </xdr:from>
    <xdr:to>
      <xdr:col>0</xdr:col>
      <xdr:colOff>9525</xdr:colOff>
      <xdr:row>520</xdr:row>
      <xdr:rowOff>9525</xdr:rowOff>
    </xdr:to>
    <xdr:pic>
      <xdr:nvPicPr>
        <xdr:cNvPr id="260" name="Obraz 259">
          <a:extLst>
            <a:ext uri="{FF2B5EF4-FFF2-40B4-BE49-F238E27FC236}">
              <a16:creationId xmlns:a16="http://schemas.microsoft.com/office/drawing/2014/main" id="{0EA8B302-8FDF-40FC-9776-75363491AC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9525</xdr:colOff>
      <xdr:row>522</xdr:row>
      <xdr:rowOff>9525</xdr:rowOff>
    </xdr:to>
    <xdr:pic>
      <xdr:nvPicPr>
        <xdr:cNvPr id="261" name="Obraz 260">
          <a:extLst>
            <a:ext uri="{FF2B5EF4-FFF2-40B4-BE49-F238E27FC236}">
              <a16:creationId xmlns:a16="http://schemas.microsoft.com/office/drawing/2014/main" id="{46DE646D-6BD5-46BF-BFCC-E06BED90B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68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9525</xdr:colOff>
      <xdr:row>525</xdr:row>
      <xdr:rowOff>9525</xdr:rowOff>
    </xdr:to>
    <xdr:pic>
      <xdr:nvPicPr>
        <xdr:cNvPr id="262" name="Obraz 261">
          <a:extLst>
            <a:ext uri="{FF2B5EF4-FFF2-40B4-BE49-F238E27FC236}">
              <a16:creationId xmlns:a16="http://schemas.microsoft.com/office/drawing/2014/main" id="{28310F48-D9E3-4FBF-A8F5-155C7A4F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64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527</xdr:row>
      <xdr:rowOff>0</xdr:rowOff>
    </xdr:from>
    <xdr:to>
      <xdr:col>0</xdr:col>
      <xdr:colOff>9525</xdr:colOff>
      <xdr:row>527</xdr:row>
      <xdr:rowOff>9525</xdr:rowOff>
    </xdr:to>
    <xdr:pic>
      <xdr:nvPicPr>
        <xdr:cNvPr id="263" name="Obraz 262">
          <a:extLst>
            <a:ext uri="{FF2B5EF4-FFF2-40B4-BE49-F238E27FC236}">
              <a16:creationId xmlns:a16="http://schemas.microsoft.com/office/drawing/2014/main" id="{FF6838DF-A7F3-4C8D-A92B-DD4671D9B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83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9525</xdr:colOff>
      <xdr:row>529</xdr:row>
      <xdr:rowOff>9525</xdr:rowOff>
    </xdr:to>
    <xdr:pic>
      <xdr:nvPicPr>
        <xdr:cNvPr id="264" name="Obraz 263">
          <a:extLst>
            <a:ext uri="{FF2B5EF4-FFF2-40B4-BE49-F238E27FC236}">
              <a16:creationId xmlns:a16="http://schemas.microsoft.com/office/drawing/2014/main" id="{F6634EE6-62B0-40DC-8CD8-32133408D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8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9525</xdr:colOff>
      <xdr:row>532</xdr:row>
      <xdr:rowOff>9525</xdr:rowOff>
    </xdr:to>
    <xdr:pic>
      <xdr:nvPicPr>
        <xdr:cNvPr id="265" name="Obraz 264">
          <a:extLst>
            <a:ext uri="{FF2B5EF4-FFF2-40B4-BE49-F238E27FC236}">
              <a16:creationId xmlns:a16="http://schemas.microsoft.com/office/drawing/2014/main" id="{E7A9B083-FB7B-41A6-8949-B87241035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73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9525</xdr:colOff>
      <xdr:row>533</xdr:row>
      <xdr:rowOff>9525</xdr:rowOff>
    </xdr:to>
    <xdr:pic>
      <xdr:nvPicPr>
        <xdr:cNvPr id="266" name="Obraz 265">
          <a:extLst>
            <a:ext uri="{FF2B5EF4-FFF2-40B4-BE49-F238E27FC236}">
              <a16:creationId xmlns:a16="http://schemas.microsoft.com/office/drawing/2014/main" id="{7D7C3C37-20AF-4FB8-B185-A196C5379E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92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9525</xdr:colOff>
      <xdr:row>533</xdr:row>
      <xdr:rowOff>9525</xdr:rowOff>
    </xdr:to>
    <xdr:pic>
      <xdr:nvPicPr>
        <xdr:cNvPr id="267" name="Obraz 266">
          <a:extLst>
            <a:ext uri="{FF2B5EF4-FFF2-40B4-BE49-F238E27FC236}">
              <a16:creationId xmlns:a16="http://schemas.microsoft.com/office/drawing/2014/main" id="{80F53BB8-9FE9-42BB-88F6-2C48CD1C1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68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9525</xdr:colOff>
      <xdr:row>535</xdr:row>
      <xdr:rowOff>9525</xdr:rowOff>
    </xdr:to>
    <xdr:pic>
      <xdr:nvPicPr>
        <xdr:cNvPr id="268" name="Obraz 267">
          <a:extLst>
            <a:ext uri="{FF2B5EF4-FFF2-40B4-BE49-F238E27FC236}">
              <a16:creationId xmlns:a16="http://schemas.microsoft.com/office/drawing/2014/main" id="{753C8E25-24EF-49C7-9EAD-886ACDF32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83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537</xdr:row>
      <xdr:rowOff>0</xdr:rowOff>
    </xdr:from>
    <xdr:to>
      <xdr:col>0</xdr:col>
      <xdr:colOff>9525</xdr:colOff>
      <xdr:row>537</xdr:row>
      <xdr:rowOff>9525</xdr:rowOff>
    </xdr:to>
    <xdr:pic>
      <xdr:nvPicPr>
        <xdr:cNvPr id="269" name="Obraz 268">
          <a:extLst>
            <a:ext uri="{FF2B5EF4-FFF2-40B4-BE49-F238E27FC236}">
              <a16:creationId xmlns:a16="http://schemas.microsoft.com/office/drawing/2014/main" id="{8DDA48D5-0005-4424-905D-F175760D47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02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9525</xdr:colOff>
      <xdr:row>539</xdr:row>
      <xdr:rowOff>9525</xdr:rowOff>
    </xdr:to>
    <xdr:pic>
      <xdr:nvPicPr>
        <xdr:cNvPr id="270" name="Obraz 269">
          <a:extLst>
            <a:ext uri="{FF2B5EF4-FFF2-40B4-BE49-F238E27FC236}">
              <a16:creationId xmlns:a16="http://schemas.microsoft.com/office/drawing/2014/main" id="{3C28F315-871C-4FFF-B6BC-C6DFD7937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78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9525</xdr:colOff>
      <xdr:row>541</xdr:row>
      <xdr:rowOff>9525</xdr:rowOff>
    </xdr:to>
    <xdr:pic>
      <xdr:nvPicPr>
        <xdr:cNvPr id="271" name="Obraz 270">
          <a:extLst>
            <a:ext uri="{FF2B5EF4-FFF2-40B4-BE49-F238E27FC236}">
              <a16:creationId xmlns:a16="http://schemas.microsoft.com/office/drawing/2014/main" id="{451E5BEC-3C91-4461-B4FF-6463E4DC6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92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9525</xdr:colOff>
      <xdr:row>543</xdr:row>
      <xdr:rowOff>9525</xdr:rowOff>
    </xdr:to>
    <xdr:pic>
      <xdr:nvPicPr>
        <xdr:cNvPr id="272" name="Obraz 271">
          <a:extLst>
            <a:ext uri="{FF2B5EF4-FFF2-40B4-BE49-F238E27FC236}">
              <a16:creationId xmlns:a16="http://schemas.microsoft.com/office/drawing/2014/main" id="{F97503DC-55D2-44A2-BCBF-71F01B6AF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11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544</xdr:row>
      <xdr:rowOff>0</xdr:rowOff>
    </xdr:from>
    <xdr:to>
      <xdr:col>0</xdr:col>
      <xdr:colOff>9525</xdr:colOff>
      <xdr:row>544</xdr:row>
      <xdr:rowOff>9525</xdr:rowOff>
    </xdr:to>
    <xdr:pic>
      <xdr:nvPicPr>
        <xdr:cNvPr id="273" name="Obraz 272">
          <a:extLst>
            <a:ext uri="{FF2B5EF4-FFF2-40B4-BE49-F238E27FC236}">
              <a16:creationId xmlns:a16="http://schemas.microsoft.com/office/drawing/2014/main" id="{BB3C4BC4-ECA4-4CC9-9E2E-4EBCE3F09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7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547</xdr:row>
      <xdr:rowOff>0</xdr:rowOff>
    </xdr:from>
    <xdr:to>
      <xdr:col>0</xdr:col>
      <xdr:colOff>9525</xdr:colOff>
      <xdr:row>547</xdr:row>
      <xdr:rowOff>9525</xdr:rowOff>
    </xdr:to>
    <xdr:pic>
      <xdr:nvPicPr>
        <xdr:cNvPr id="274" name="Obraz 273">
          <a:extLst>
            <a:ext uri="{FF2B5EF4-FFF2-40B4-BE49-F238E27FC236}">
              <a16:creationId xmlns:a16="http://schemas.microsoft.com/office/drawing/2014/main" id="{9DE53FFA-9846-4323-8AB3-7C2F1A51E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02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9525</xdr:colOff>
      <xdr:row>549</xdr:row>
      <xdr:rowOff>9525</xdr:rowOff>
    </xdr:to>
    <xdr:pic>
      <xdr:nvPicPr>
        <xdr:cNvPr id="275" name="Obraz 274">
          <a:extLst>
            <a:ext uri="{FF2B5EF4-FFF2-40B4-BE49-F238E27FC236}">
              <a16:creationId xmlns:a16="http://schemas.microsoft.com/office/drawing/2014/main" id="{14A04E79-87AC-4F86-BFFF-E8401F2BDD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21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9525</xdr:colOff>
      <xdr:row>551</xdr:row>
      <xdr:rowOff>9525</xdr:rowOff>
    </xdr:to>
    <xdr:pic>
      <xdr:nvPicPr>
        <xdr:cNvPr id="276" name="Obraz 275">
          <a:extLst>
            <a:ext uri="{FF2B5EF4-FFF2-40B4-BE49-F238E27FC236}">
              <a16:creationId xmlns:a16="http://schemas.microsoft.com/office/drawing/2014/main" id="{4A2DA903-F29F-456C-9FB0-2C59A5C19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9525</xdr:colOff>
      <xdr:row>554</xdr:row>
      <xdr:rowOff>9525</xdr:rowOff>
    </xdr:to>
    <xdr:pic>
      <xdr:nvPicPr>
        <xdr:cNvPr id="277" name="Obraz 276">
          <a:extLst>
            <a:ext uri="{FF2B5EF4-FFF2-40B4-BE49-F238E27FC236}">
              <a16:creationId xmlns:a16="http://schemas.microsoft.com/office/drawing/2014/main" id="{A1CC78C4-307D-4716-A24D-5EB16767B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11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556</xdr:row>
      <xdr:rowOff>0</xdr:rowOff>
    </xdr:from>
    <xdr:to>
      <xdr:col>0</xdr:col>
      <xdr:colOff>9525</xdr:colOff>
      <xdr:row>556</xdr:row>
      <xdr:rowOff>9525</xdr:rowOff>
    </xdr:to>
    <xdr:pic>
      <xdr:nvPicPr>
        <xdr:cNvPr id="278" name="Obraz 277">
          <a:extLst>
            <a:ext uri="{FF2B5EF4-FFF2-40B4-BE49-F238E27FC236}">
              <a16:creationId xmlns:a16="http://schemas.microsoft.com/office/drawing/2014/main" id="{37413967-54C4-4A44-B0B8-056D6B6E5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30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9525</xdr:colOff>
      <xdr:row>557</xdr:row>
      <xdr:rowOff>9525</xdr:rowOff>
    </xdr:to>
    <xdr:pic>
      <xdr:nvPicPr>
        <xdr:cNvPr id="279" name="Obraz 278">
          <a:extLst>
            <a:ext uri="{FF2B5EF4-FFF2-40B4-BE49-F238E27FC236}">
              <a16:creationId xmlns:a16="http://schemas.microsoft.com/office/drawing/2014/main" id="{B9A25268-0687-4526-AF4D-762BA844C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07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9525</xdr:colOff>
      <xdr:row>560</xdr:row>
      <xdr:rowOff>9525</xdr:rowOff>
    </xdr:to>
    <xdr:pic>
      <xdr:nvPicPr>
        <xdr:cNvPr id="280" name="Obraz 279">
          <a:extLst>
            <a:ext uri="{FF2B5EF4-FFF2-40B4-BE49-F238E27FC236}">
              <a16:creationId xmlns:a16="http://schemas.microsoft.com/office/drawing/2014/main" id="{329BED4D-51E5-4AF7-92F0-810FFE43B6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2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9525</xdr:colOff>
      <xdr:row>562</xdr:row>
      <xdr:rowOff>9525</xdr:rowOff>
    </xdr:to>
    <xdr:pic>
      <xdr:nvPicPr>
        <xdr:cNvPr id="281" name="Obraz 280">
          <a:extLst>
            <a:ext uri="{FF2B5EF4-FFF2-40B4-BE49-F238E27FC236}">
              <a16:creationId xmlns:a16="http://schemas.microsoft.com/office/drawing/2014/main" id="{C405AFC0-6C59-400C-91F1-25EA82782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40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9525</xdr:colOff>
      <xdr:row>564</xdr:row>
      <xdr:rowOff>9525</xdr:rowOff>
    </xdr:to>
    <xdr:pic>
      <xdr:nvPicPr>
        <xdr:cNvPr id="282" name="Obraz 281">
          <a:extLst>
            <a:ext uri="{FF2B5EF4-FFF2-40B4-BE49-F238E27FC236}">
              <a16:creationId xmlns:a16="http://schemas.microsoft.com/office/drawing/2014/main" id="{5FC5456D-B830-4356-A2C3-988B04E82B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16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567</xdr:row>
      <xdr:rowOff>0</xdr:rowOff>
    </xdr:from>
    <xdr:to>
      <xdr:col>0</xdr:col>
      <xdr:colOff>9525</xdr:colOff>
      <xdr:row>567</xdr:row>
      <xdr:rowOff>9525</xdr:rowOff>
    </xdr:to>
    <xdr:pic>
      <xdr:nvPicPr>
        <xdr:cNvPr id="283" name="Obraz 282">
          <a:extLst>
            <a:ext uri="{FF2B5EF4-FFF2-40B4-BE49-F238E27FC236}">
              <a16:creationId xmlns:a16="http://schemas.microsoft.com/office/drawing/2014/main" id="{5676E906-9102-4B36-9A02-BB6B58CBB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11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9525</xdr:colOff>
      <xdr:row>569</xdr:row>
      <xdr:rowOff>9525</xdr:rowOff>
    </xdr:to>
    <xdr:pic>
      <xdr:nvPicPr>
        <xdr:cNvPr id="284" name="Obraz 283">
          <a:extLst>
            <a:ext uri="{FF2B5EF4-FFF2-40B4-BE49-F238E27FC236}">
              <a16:creationId xmlns:a16="http://schemas.microsoft.com/office/drawing/2014/main" id="{A5FAAADB-447F-4883-9125-E32A0E627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9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9525</xdr:colOff>
      <xdr:row>570</xdr:row>
      <xdr:rowOff>9525</xdr:rowOff>
    </xdr:to>
    <xdr:pic>
      <xdr:nvPicPr>
        <xdr:cNvPr id="285" name="Obraz 284">
          <a:extLst>
            <a:ext uri="{FF2B5EF4-FFF2-40B4-BE49-F238E27FC236}">
              <a16:creationId xmlns:a16="http://schemas.microsoft.com/office/drawing/2014/main" id="{1013AE1A-F49A-4DE8-A09C-6F34F9E2D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26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0</xdr:col>
      <xdr:colOff>9525</xdr:colOff>
      <xdr:row>573</xdr:row>
      <xdr:rowOff>9525</xdr:rowOff>
    </xdr:to>
    <xdr:pic>
      <xdr:nvPicPr>
        <xdr:cNvPr id="286" name="Obraz 285">
          <a:extLst>
            <a:ext uri="{FF2B5EF4-FFF2-40B4-BE49-F238E27FC236}">
              <a16:creationId xmlns:a16="http://schemas.microsoft.com/office/drawing/2014/main" id="{D1F4FCE6-6E07-4F5D-83E4-6755C1795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21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575</xdr:row>
      <xdr:rowOff>0</xdr:rowOff>
    </xdr:from>
    <xdr:to>
      <xdr:col>0</xdr:col>
      <xdr:colOff>9525</xdr:colOff>
      <xdr:row>575</xdr:row>
      <xdr:rowOff>9525</xdr:rowOff>
    </xdr:to>
    <xdr:pic>
      <xdr:nvPicPr>
        <xdr:cNvPr id="287" name="Obraz 286">
          <a:extLst>
            <a:ext uri="{FF2B5EF4-FFF2-40B4-BE49-F238E27FC236}">
              <a16:creationId xmlns:a16="http://schemas.microsoft.com/office/drawing/2014/main" id="{A6457751-B204-4498-9F74-3192C6886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59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577</xdr:row>
      <xdr:rowOff>0</xdr:rowOff>
    </xdr:from>
    <xdr:to>
      <xdr:col>0</xdr:col>
      <xdr:colOff>9525</xdr:colOff>
      <xdr:row>577</xdr:row>
      <xdr:rowOff>9525</xdr:rowOff>
    </xdr:to>
    <xdr:pic>
      <xdr:nvPicPr>
        <xdr:cNvPr id="288" name="Obraz 287">
          <a:extLst>
            <a:ext uri="{FF2B5EF4-FFF2-40B4-BE49-F238E27FC236}">
              <a16:creationId xmlns:a16="http://schemas.microsoft.com/office/drawing/2014/main" id="{791FEFC4-721F-4D3A-ACAF-4932FAF76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35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580</xdr:row>
      <xdr:rowOff>0</xdr:rowOff>
    </xdr:from>
    <xdr:to>
      <xdr:col>0</xdr:col>
      <xdr:colOff>9525</xdr:colOff>
      <xdr:row>580</xdr:row>
      <xdr:rowOff>9525</xdr:rowOff>
    </xdr:to>
    <xdr:pic>
      <xdr:nvPicPr>
        <xdr:cNvPr id="289" name="Obraz 288">
          <a:extLst>
            <a:ext uri="{FF2B5EF4-FFF2-40B4-BE49-F238E27FC236}">
              <a16:creationId xmlns:a16="http://schemas.microsoft.com/office/drawing/2014/main" id="{D74360DA-8057-4D4B-AF3E-98E5901D08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9525</xdr:colOff>
      <xdr:row>2</xdr:row>
      <xdr:rowOff>9525</xdr:rowOff>
    </xdr:to>
    <xdr:pic>
      <xdr:nvPicPr>
        <xdr:cNvPr id="290" name="Obraz 289">
          <a:extLst>
            <a:ext uri="{FF2B5EF4-FFF2-40B4-BE49-F238E27FC236}">
              <a16:creationId xmlns:a16="http://schemas.microsoft.com/office/drawing/2014/main" id="{7DB4E037-83CB-42CF-90A8-D716C8367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9525</xdr:colOff>
      <xdr:row>4</xdr:row>
      <xdr:rowOff>9525</xdr:rowOff>
    </xdr:to>
    <xdr:pic>
      <xdr:nvPicPr>
        <xdr:cNvPr id="291" name="Obraz 290">
          <a:extLst>
            <a:ext uri="{FF2B5EF4-FFF2-40B4-BE49-F238E27FC236}">
              <a16:creationId xmlns:a16="http://schemas.microsoft.com/office/drawing/2014/main" id="{7FE3073B-1337-4AF8-8CE6-F8432EE29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9525</xdr:colOff>
      <xdr:row>7</xdr:row>
      <xdr:rowOff>9525</xdr:rowOff>
    </xdr:to>
    <xdr:pic>
      <xdr:nvPicPr>
        <xdr:cNvPr id="292" name="Obraz 291">
          <a:extLst>
            <a:ext uri="{FF2B5EF4-FFF2-40B4-BE49-F238E27FC236}">
              <a16:creationId xmlns:a16="http://schemas.microsoft.com/office/drawing/2014/main" id="{7C8D3BD7-1034-4BDB-8F90-C1B8182CD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9525</xdr:colOff>
      <xdr:row>10</xdr:row>
      <xdr:rowOff>9525</xdr:rowOff>
    </xdr:to>
    <xdr:pic>
      <xdr:nvPicPr>
        <xdr:cNvPr id="293" name="Obraz 292">
          <a:extLst>
            <a:ext uri="{FF2B5EF4-FFF2-40B4-BE49-F238E27FC236}">
              <a16:creationId xmlns:a16="http://schemas.microsoft.com/office/drawing/2014/main" id="{804315FA-B1AD-423D-9935-2C747A0E4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>
      <xdr:nvPicPr>
        <xdr:cNvPr id="294" name="Obraz 293">
          <a:extLst>
            <a:ext uri="{FF2B5EF4-FFF2-40B4-BE49-F238E27FC236}">
              <a16:creationId xmlns:a16="http://schemas.microsoft.com/office/drawing/2014/main" id="{2454F131-2A47-4BE0-B57B-9A886E0FD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>
      <xdr:nvPicPr>
        <xdr:cNvPr id="295" name="Obraz 294">
          <a:extLst>
            <a:ext uri="{FF2B5EF4-FFF2-40B4-BE49-F238E27FC236}">
              <a16:creationId xmlns:a16="http://schemas.microsoft.com/office/drawing/2014/main" id="{D130D8C7-3AAC-4907-823C-80727601A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9525</xdr:colOff>
      <xdr:row>19</xdr:row>
      <xdr:rowOff>9525</xdr:rowOff>
    </xdr:to>
    <xdr:pic>
      <xdr:nvPicPr>
        <xdr:cNvPr id="296" name="Obraz 295">
          <a:extLst>
            <a:ext uri="{FF2B5EF4-FFF2-40B4-BE49-F238E27FC236}">
              <a16:creationId xmlns:a16="http://schemas.microsoft.com/office/drawing/2014/main" id="{AC1EEB45-E7B6-4895-81BE-56BFCBF22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9525</xdr:colOff>
      <xdr:row>21</xdr:row>
      <xdr:rowOff>9525</xdr:rowOff>
    </xdr:to>
    <xdr:pic>
      <xdr:nvPicPr>
        <xdr:cNvPr id="297" name="Obraz 296">
          <a:extLst>
            <a:ext uri="{FF2B5EF4-FFF2-40B4-BE49-F238E27FC236}">
              <a16:creationId xmlns:a16="http://schemas.microsoft.com/office/drawing/2014/main" id="{94FF88C3-DE7E-4A15-A899-1EA7B294A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9525</xdr:colOff>
      <xdr:row>24</xdr:row>
      <xdr:rowOff>0</xdr:rowOff>
    </xdr:to>
    <xdr:pic>
      <xdr:nvPicPr>
        <xdr:cNvPr id="298" name="Obraz 297">
          <a:extLst>
            <a:ext uri="{FF2B5EF4-FFF2-40B4-BE49-F238E27FC236}">
              <a16:creationId xmlns:a16="http://schemas.microsoft.com/office/drawing/2014/main" id="{92F46710-D74F-484F-8995-6B26A3A82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9525</xdr:colOff>
      <xdr:row>28</xdr:row>
      <xdr:rowOff>9525</xdr:rowOff>
    </xdr:to>
    <xdr:pic>
      <xdr:nvPicPr>
        <xdr:cNvPr id="299" name="Obraz 298">
          <a:extLst>
            <a:ext uri="{FF2B5EF4-FFF2-40B4-BE49-F238E27FC236}">
              <a16:creationId xmlns:a16="http://schemas.microsoft.com/office/drawing/2014/main" id="{85EDD786-D1EE-4962-8CEB-533461B2C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0</xdr:col>
      <xdr:colOff>9525</xdr:colOff>
      <xdr:row>30</xdr:row>
      <xdr:rowOff>9525</xdr:rowOff>
    </xdr:to>
    <xdr:pic>
      <xdr:nvPicPr>
        <xdr:cNvPr id="300" name="Obraz 299">
          <a:extLst>
            <a:ext uri="{FF2B5EF4-FFF2-40B4-BE49-F238E27FC236}">
              <a16:creationId xmlns:a16="http://schemas.microsoft.com/office/drawing/2014/main" id="{61D56829-A9A2-4FD5-899D-62D3B12B8E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2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0</xdr:col>
      <xdr:colOff>9525</xdr:colOff>
      <xdr:row>33</xdr:row>
      <xdr:rowOff>9525</xdr:rowOff>
    </xdr:to>
    <xdr:pic>
      <xdr:nvPicPr>
        <xdr:cNvPr id="301" name="Obraz 300">
          <a:extLst>
            <a:ext uri="{FF2B5EF4-FFF2-40B4-BE49-F238E27FC236}">
              <a16:creationId xmlns:a16="http://schemas.microsoft.com/office/drawing/2014/main" id="{C847CF4B-725A-4AF1-B9A6-E60ABEE888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8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9525</xdr:colOff>
      <xdr:row>36</xdr:row>
      <xdr:rowOff>9525</xdr:rowOff>
    </xdr:to>
    <xdr:pic>
      <xdr:nvPicPr>
        <xdr:cNvPr id="302" name="Obraz 301">
          <a:extLst>
            <a:ext uri="{FF2B5EF4-FFF2-40B4-BE49-F238E27FC236}">
              <a16:creationId xmlns:a16="http://schemas.microsoft.com/office/drawing/2014/main" id="{5C1FD333-A43A-4A4B-9E66-C3254617D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6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9525</xdr:colOff>
      <xdr:row>39</xdr:row>
      <xdr:rowOff>9525</xdr:rowOff>
    </xdr:to>
    <xdr:pic>
      <xdr:nvPicPr>
        <xdr:cNvPr id="303" name="Obraz 302">
          <a:extLst>
            <a:ext uri="{FF2B5EF4-FFF2-40B4-BE49-F238E27FC236}">
              <a16:creationId xmlns:a16="http://schemas.microsoft.com/office/drawing/2014/main" id="{4D8AB020-0C39-4B52-ADFB-7321BC63D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9525</xdr:colOff>
      <xdr:row>43</xdr:row>
      <xdr:rowOff>9525</xdr:rowOff>
    </xdr:to>
    <xdr:pic>
      <xdr:nvPicPr>
        <xdr:cNvPr id="304" name="Obraz 303">
          <a:extLst>
            <a:ext uri="{FF2B5EF4-FFF2-40B4-BE49-F238E27FC236}">
              <a16:creationId xmlns:a16="http://schemas.microsoft.com/office/drawing/2014/main" id="{994967E8-F856-4A5C-B61A-9225C9CDC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9525</xdr:colOff>
      <xdr:row>45</xdr:row>
      <xdr:rowOff>9525</xdr:rowOff>
    </xdr:to>
    <xdr:pic>
      <xdr:nvPicPr>
        <xdr:cNvPr id="305" name="Obraz 304">
          <a:extLst>
            <a:ext uri="{FF2B5EF4-FFF2-40B4-BE49-F238E27FC236}">
              <a16:creationId xmlns:a16="http://schemas.microsoft.com/office/drawing/2014/main" id="{35E16BB3-0D83-4F45-BAA3-D2E36E4C3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5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9525</xdr:colOff>
      <xdr:row>47</xdr:row>
      <xdr:rowOff>9525</xdr:rowOff>
    </xdr:to>
    <xdr:pic>
      <xdr:nvPicPr>
        <xdr:cNvPr id="306" name="Obraz 305">
          <a:extLst>
            <a:ext uri="{FF2B5EF4-FFF2-40B4-BE49-F238E27FC236}">
              <a16:creationId xmlns:a16="http://schemas.microsoft.com/office/drawing/2014/main" id="{EFF56D69-0A88-44D5-A2BD-E180FDE99D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2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9525</xdr:colOff>
      <xdr:row>51</xdr:row>
      <xdr:rowOff>9525</xdr:rowOff>
    </xdr:to>
    <xdr:pic>
      <xdr:nvPicPr>
        <xdr:cNvPr id="307" name="Obraz 306">
          <a:extLst>
            <a:ext uri="{FF2B5EF4-FFF2-40B4-BE49-F238E27FC236}">
              <a16:creationId xmlns:a16="http://schemas.microsoft.com/office/drawing/2014/main" id="{C02F195D-88AA-4A4C-9C69-3B65F9CF31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7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9525</xdr:colOff>
      <xdr:row>54</xdr:row>
      <xdr:rowOff>9525</xdr:rowOff>
    </xdr:to>
    <xdr:pic>
      <xdr:nvPicPr>
        <xdr:cNvPr id="308" name="Obraz 307">
          <a:extLst>
            <a:ext uri="{FF2B5EF4-FFF2-40B4-BE49-F238E27FC236}">
              <a16:creationId xmlns:a16="http://schemas.microsoft.com/office/drawing/2014/main" id="{7A6413FE-744F-4F0D-8B2C-DBC144681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5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9525</xdr:colOff>
      <xdr:row>56</xdr:row>
      <xdr:rowOff>9525</xdr:rowOff>
    </xdr:to>
    <xdr:pic>
      <xdr:nvPicPr>
        <xdr:cNvPr id="309" name="Obraz 308">
          <a:extLst>
            <a:ext uri="{FF2B5EF4-FFF2-40B4-BE49-F238E27FC236}">
              <a16:creationId xmlns:a16="http://schemas.microsoft.com/office/drawing/2014/main" id="{DE75013B-3908-4516-A180-5FF837989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9525</xdr:colOff>
      <xdr:row>60</xdr:row>
      <xdr:rowOff>9525</xdr:rowOff>
    </xdr:to>
    <xdr:pic>
      <xdr:nvPicPr>
        <xdr:cNvPr id="310" name="Obraz 309">
          <a:extLst>
            <a:ext uri="{FF2B5EF4-FFF2-40B4-BE49-F238E27FC236}">
              <a16:creationId xmlns:a16="http://schemas.microsoft.com/office/drawing/2014/main" id="{2CB5FA8B-A310-4AA0-AFBF-91CA14551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5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9525</xdr:colOff>
      <xdr:row>62</xdr:row>
      <xdr:rowOff>9525</xdr:rowOff>
    </xdr:to>
    <xdr:pic>
      <xdr:nvPicPr>
        <xdr:cNvPr id="323" name="Obraz 322">
          <a:extLst>
            <a:ext uri="{FF2B5EF4-FFF2-40B4-BE49-F238E27FC236}">
              <a16:creationId xmlns:a16="http://schemas.microsoft.com/office/drawing/2014/main" id="{36F39BCE-5950-4A83-8763-B74F87EC4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9525</xdr:colOff>
      <xdr:row>65</xdr:row>
      <xdr:rowOff>9525</xdr:rowOff>
    </xdr:to>
    <xdr:pic>
      <xdr:nvPicPr>
        <xdr:cNvPr id="324" name="Obraz 323">
          <a:extLst>
            <a:ext uri="{FF2B5EF4-FFF2-40B4-BE49-F238E27FC236}">
              <a16:creationId xmlns:a16="http://schemas.microsoft.com/office/drawing/2014/main" id="{FA2205A7-3D8F-40F5-A6E8-3BA40E724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1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9525</xdr:colOff>
      <xdr:row>68</xdr:row>
      <xdr:rowOff>9525</xdr:rowOff>
    </xdr:to>
    <xdr:pic>
      <xdr:nvPicPr>
        <xdr:cNvPr id="325" name="Obraz 324">
          <a:extLst>
            <a:ext uri="{FF2B5EF4-FFF2-40B4-BE49-F238E27FC236}">
              <a16:creationId xmlns:a16="http://schemas.microsoft.com/office/drawing/2014/main" id="{C3B1233B-D473-499F-87D9-EA5339D01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9525</xdr:colOff>
      <xdr:row>68</xdr:row>
      <xdr:rowOff>9525</xdr:rowOff>
    </xdr:to>
    <xdr:pic>
      <xdr:nvPicPr>
        <xdr:cNvPr id="326" name="Obraz 325">
          <a:extLst>
            <a:ext uri="{FF2B5EF4-FFF2-40B4-BE49-F238E27FC236}">
              <a16:creationId xmlns:a16="http://schemas.microsoft.com/office/drawing/2014/main" id="{D96FC85D-7914-4EDD-B65D-90E60DF36B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9525</xdr:colOff>
      <xdr:row>70</xdr:row>
      <xdr:rowOff>9525</xdr:rowOff>
    </xdr:to>
    <xdr:pic>
      <xdr:nvPicPr>
        <xdr:cNvPr id="327" name="Obraz 326">
          <a:extLst>
            <a:ext uri="{FF2B5EF4-FFF2-40B4-BE49-F238E27FC236}">
              <a16:creationId xmlns:a16="http://schemas.microsoft.com/office/drawing/2014/main" id="{FE77A57E-18AC-4D14-923C-100D02521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0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9525</xdr:colOff>
      <xdr:row>74</xdr:row>
      <xdr:rowOff>9525</xdr:rowOff>
    </xdr:to>
    <xdr:pic>
      <xdr:nvPicPr>
        <xdr:cNvPr id="328" name="Obraz 327">
          <a:extLst>
            <a:ext uri="{FF2B5EF4-FFF2-40B4-BE49-F238E27FC236}">
              <a16:creationId xmlns:a16="http://schemas.microsoft.com/office/drawing/2014/main" id="{2DC1CB51-D823-4FDA-91E2-0F32A1FC3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9525</xdr:colOff>
      <xdr:row>76</xdr:row>
      <xdr:rowOff>9525</xdr:rowOff>
    </xdr:to>
    <xdr:pic>
      <xdr:nvPicPr>
        <xdr:cNvPr id="329" name="Obraz 328">
          <a:extLst>
            <a:ext uri="{FF2B5EF4-FFF2-40B4-BE49-F238E27FC236}">
              <a16:creationId xmlns:a16="http://schemas.microsoft.com/office/drawing/2014/main" id="{3CA55417-9273-4D14-9698-D1DAAFF17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9525</xdr:colOff>
      <xdr:row>78</xdr:row>
      <xdr:rowOff>9525</xdr:rowOff>
    </xdr:to>
    <xdr:pic>
      <xdr:nvPicPr>
        <xdr:cNvPr id="330" name="Obraz 329">
          <a:extLst>
            <a:ext uri="{FF2B5EF4-FFF2-40B4-BE49-F238E27FC236}">
              <a16:creationId xmlns:a16="http://schemas.microsoft.com/office/drawing/2014/main" id="{345765F0-9DF4-43EA-9AF4-60E3F8EEF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9525</xdr:colOff>
      <xdr:row>82</xdr:row>
      <xdr:rowOff>9525</xdr:rowOff>
    </xdr:to>
    <xdr:pic>
      <xdr:nvPicPr>
        <xdr:cNvPr id="331" name="Obraz 330">
          <a:extLst>
            <a:ext uri="{FF2B5EF4-FFF2-40B4-BE49-F238E27FC236}">
              <a16:creationId xmlns:a16="http://schemas.microsoft.com/office/drawing/2014/main" id="{EA9EDD47-1DE5-41F2-A7E6-2E6F22642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9525</xdr:colOff>
      <xdr:row>84</xdr:row>
      <xdr:rowOff>9525</xdr:rowOff>
    </xdr:to>
    <xdr:pic>
      <xdr:nvPicPr>
        <xdr:cNvPr id="314" name="Obraz 313">
          <a:extLst>
            <a:ext uri="{FF2B5EF4-FFF2-40B4-BE49-F238E27FC236}">
              <a16:creationId xmlns:a16="http://schemas.microsoft.com/office/drawing/2014/main" id="{89EBF16F-159B-4BA8-8B26-B6B90905C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9525</xdr:colOff>
      <xdr:row>87</xdr:row>
      <xdr:rowOff>9525</xdr:rowOff>
    </xdr:to>
    <xdr:pic>
      <xdr:nvPicPr>
        <xdr:cNvPr id="315" name="Obraz 314">
          <a:extLst>
            <a:ext uri="{FF2B5EF4-FFF2-40B4-BE49-F238E27FC236}">
              <a16:creationId xmlns:a16="http://schemas.microsoft.com/office/drawing/2014/main" id="{59E5C14D-BDA1-4A6E-9B36-7987E8672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9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9525</xdr:colOff>
      <xdr:row>91</xdr:row>
      <xdr:rowOff>9525</xdr:rowOff>
    </xdr:to>
    <xdr:pic>
      <xdr:nvPicPr>
        <xdr:cNvPr id="316" name="Obraz 315">
          <a:extLst>
            <a:ext uri="{FF2B5EF4-FFF2-40B4-BE49-F238E27FC236}">
              <a16:creationId xmlns:a16="http://schemas.microsoft.com/office/drawing/2014/main" id="{5BF575FE-594A-4E87-8B28-E52D34DC9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4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9525</xdr:colOff>
      <xdr:row>92</xdr:row>
      <xdr:rowOff>9525</xdr:rowOff>
    </xdr:to>
    <xdr:pic>
      <xdr:nvPicPr>
        <xdr:cNvPr id="317" name="Obraz 316">
          <a:extLst>
            <a:ext uri="{FF2B5EF4-FFF2-40B4-BE49-F238E27FC236}">
              <a16:creationId xmlns:a16="http://schemas.microsoft.com/office/drawing/2014/main" id="{8117E1B2-2F91-42DA-B82C-C0704A9E9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3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</xdr:row>
      <xdr:rowOff>0</xdr:rowOff>
    </xdr:from>
    <xdr:to>
      <xdr:col>0</xdr:col>
      <xdr:colOff>9525</xdr:colOff>
      <xdr:row>94</xdr:row>
      <xdr:rowOff>9525</xdr:rowOff>
    </xdr:to>
    <xdr:pic>
      <xdr:nvPicPr>
        <xdr:cNvPr id="318" name="Obraz 317">
          <a:extLst>
            <a:ext uri="{FF2B5EF4-FFF2-40B4-BE49-F238E27FC236}">
              <a16:creationId xmlns:a16="http://schemas.microsoft.com/office/drawing/2014/main" id="{30B780D4-343A-40C5-A727-36D2F1F68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9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9525</xdr:colOff>
      <xdr:row>98</xdr:row>
      <xdr:rowOff>9525</xdr:rowOff>
    </xdr:to>
    <xdr:pic>
      <xdr:nvPicPr>
        <xdr:cNvPr id="319" name="Obraz 318">
          <a:extLst>
            <a:ext uri="{FF2B5EF4-FFF2-40B4-BE49-F238E27FC236}">
              <a16:creationId xmlns:a16="http://schemas.microsoft.com/office/drawing/2014/main" id="{34B26E1C-596F-4793-A309-152D5DF5F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3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9525</xdr:colOff>
      <xdr:row>100</xdr:row>
      <xdr:rowOff>9525</xdr:rowOff>
    </xdr:to>
    <xdr:pic>
      <xdr:nvPicPr>
        <xdr:cNvPr id="320" name="Obraz 319">
          <a:extLst>
            <a:ext uri="{FF2B5EF4-FFF2-40B4-BE49-F238E27FC236}">
              <a16:creationId xmlns:a16="http://schemas.microsoft.com/office/drawing/2014/main" id="{45B6E007-362D-4589-848B-106A72DCE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2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9525</xdr:colOff>
      <xdr:row>103</xdr:row>
      <xdr:rowOff>9525</xdr:rowOff>
    </xdr:to>
    <xdr:pic>
      <xdr:nvPicPr>
        <xdr:cNvPr id="321" name="Obraz 320">
          <a:extLst>
            <a:ext uri="{FF2B5EF4-FFF2-40B4-BE49-F238E27FC236}">
              <a16:creationId xmlns:a16="http://schemas.microsoft.com/office/drawing/2014/main" id="{471F7296-0978-49A0-8D02-80459D50C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8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9525</xdr:colOff>
      <xdr:row>106</xdr:row>
      <xdr:rowOff>9525</xdr:rowOff>
    </xdr:to>
    <xdr:pic>
      <xdr:nvPicPr>
        <xdr:cNvPr id="322" name="Obraz 321">
          <a:extLst>
            <a:ext uri="{FF2B5EF4-FFF2-40B4-BE49-F238E27FC236}">
              <a16:creationId xmlns:a16="http://schemas.microsoft.com/office/drawing/2014/main" id="{9D2342CA-CBE0-4363-B3F5-7A7333283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3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9525</xdr:colOff>
      <xdr:row>109</xdr:row>
      <xdr:rowOff>9525</xdr:rowOff>
    </xdr:to>
    <xdr:pic>
      <xdr:nvPicPr>
        <xdr:cNvPr id="332" name="Obraz 331">
          <a:extLst>
            <a:ext uri="{FF2B5EF4-FFF2-40B4-BE49-F238E27FC236}">
              <a16:creationId xmlns:a16="http://schemas.microsoft.com/office/drawing/2014/main" id="{215C7EFD-5626-4D76-9A72-E8D0D07799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2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9525</xdr:colOff>
      <xdr:row>111</xdr:row>
      <xdr:rowOff>9525</xdr:rowOff>
    </xdr:to>
    <xdr:pic>
      <xdr:nvPicPr>
        <xdr:cNvPr id="333" name="Obraz 332">
          <a:extLst>
            <a:ext uri="{FF2B5EF4-FFF2-40B4-BE49-F238E27FC236}">
              <a16:creationId xmlns:a16="http://schemas.microsoft.com/office/drawing/2014/main" id="{5E57930B-0F66-48A2-93AA-A885C59B0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8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9525</xdr:colOff>
      <xdr:row>115</xdr:row>
      <xdr:rowOff>9525</xdr:rowOff>
    </xdr:to>
    <xdr:pic>
      <xdr:nvPicPr>
        <xdr:cNvPr id="334" name="Obraz 333">
          <a:extLst>
            <a:ext uri="{FF2B5EF4-FFF2-40B4-BE49-F238E27FC236}">
              <a16:creationId xmlns:a16="http://schemas.microsoft.com/office/drawing/2014/main" id="{37E69061-5B0E-413B-962A-45D2C1A79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2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9525</xdr:colOff>
      <xdr:row>117</xdr:row>
      <xdr:rowOff>9525</xdr:rowOff>
    </xdr:to>
    <xdr:pic>
      <xdr:nvPicPr>
        <xdr:cNvPr id="335" name="Obraz 334">
          <a:extLst>
            <a:ext uri="{FF2B5EF4-FFF2-40B4-BE49-F238E27FC236}">
              <a16:creationId xmlns:a16="http://schemas.microsoft.com/office/drawing/2014/main" id="{939E9C4C-2063-4F18-BBB5-31DC085EA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1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9525</xdr:colOff>
      <xdr:row>118</xdr:row>
      <xdr:rowOff>9525</xdr:rowOff>
    </xdr:to>
    <xdr:pic>
      <xdr:nvPicPr>
        <xdr:cNvPr id="336" name="Obraz 335">
          <a:extLst>
            <a:ext uri="{FF2B5EF4-FFF2-40B4-BE49-F238E27FC236}">
              <a16:creationId xmlns:a16="http://schemas.microsoft.com/office/drawing/2014/main" id="{78FF70AB-6DFF-49E8-BA1E-AFCFE0912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9525</xdr:colOff>
      <xdr:row>120</xdr:row>
      <xdr:rowOff>9525</xdr:rowOff>
    </xdr:to>
    <xdr:pic>
      <xdr:nvPicPr>
        <xdr:cNvPr id="337" name="Obraz 336">
          <a:extLst>
            <a:ext uri="{FF2B5EF4-FFF2-40B4-BE49-F238E27FC236}">
              <a16:creationId xmlns:a16="http://schemas.microsoft.com/office/drawing/2014/main" id="{02D8516A-1BF8-466E-B946-5694EC99F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2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0</xdr:col>
      <xdr:colOff>9525</xdr:colOff>
      <xdr:row>123</xdr:row>
      <xdr:rowOff>9525</xdr:rowOff>
    </xdr:to>
    <xdr:pic>
      <xdr:nvPicPr>
        <xdr:cNvPr id="338" name="Obraz 337">
          <a:extLst>
            <a:ext uri="{FF2B5EF4-FFF2-40B4-BE49-F238E27FC236}">
              <a16:creationId xmlns:a16="http://schemas.microsoft.com/office/drawing/2014/main" id="{1E6CFA3F-E817-499A-92CC-AAAAEE709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1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0</xdr:col>
      <xdr:colOff>9525</xdr:colOff>
      <xdr:row>125</xdr:row>
      <xdr:rowOff>9525</xdr:rowOff>
    </xdr:to>
    <xdr:pic>
      <xdr:nvPicPr>
        <xdr:cNvPr id="339" name="Obraz 338">
          <a:extLst>
            <a:ext uri="{FF2B5EF4-FFF2-40B4-BE49-F238E27FC236}">
              <a16:creationId xmlns:a16="http://schemas.microsoft.com/office/drawing/2014/main" id="{6559BD94-B49D-490B-9EC4-C0C750E67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7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9525</xdr:colOff>
      <xdr:row>129</xdr:row>
      <xdr:rowOff>9525</xdr:rowOff>
    </xdr:to>
    <xdr:pic>
      <xdr:nvPicPr>
        <xdr:cNvPr id="340" name="Obraz 339">
          <a:extLst>
            <a:ext uri="{FF2B5EF4-FFF2-40B4-BE49-F238E27FC236}">
              <a16:creationId xmlns:a16="http://schemas.microsoft.com/office/drawing/2014/main" id="{516ACE90-0CC3-4152-AC46-FA121B0537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1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9525</xdr:colOff>
      <xdr:row>131</xdr:row>
      <xdr:rowOff>9525</xdr:rowOff>
    </xdr:to>
    <xdr:pic>
      <xdr:nvPicPr>
        <xdr:cNvPr id="341" name="Obraz 340">
          <a:extLst>
            <a:ext uri="{FF2B5EF4-FFF2-40B4-BE49-F238E27FC236}">
              <a16:creationId xmlns:a16="http://schemas.microsoft.com/office/drawing/2014/main" id="{668F255C-8CE3-406A-A87C-5DDC501C8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0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9525</xdr:colOff>
      <xdr:row>134</xdr:row>
      <xdr:rowOff>9525</xdr:rowOff>
    </xdr:to>
    <xdr:pic>
      <xdr:nvPicPr>
        <xdr:cNvPr id="342" name="Obraz 341">
          <a:extLst>
            <a:ext uri="{FF2B5EF4-FFF2-40B4-BE49-F238E27FC236}">
              <a16:creationId xmlns:a16="http://schemas.microsoft.com/office/drawing/2014/main" id="{535871D1-DA51-48E9-9F20-070DEF1BC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7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</xdr:row>
      <xdr:rowOff>0</xdr:rowOff>
    </xdr:from>
    <xdr:to>
      <xdr:col>0</xdr:col>
      <xdr:colOff>9525</xdr:colOff>
      <xdr:row>138</xdr:row>
      <xdr:rowOff>9525</xdr:rowOff>
    </xdr:to>
    <xdr:pic>
      <xdr:nvPicPr>
        <xdr:cNvPr id="343" name="Obraz 342">
          <a:extLst>
            <a:ext uri="{FF2B5EF4-FFF2-40B4-BE49-F238E27FC236}">
              <a16:creationId xmlns:a16="http://schemas.microsoft.com/office/drawing/2014/main" id="{1B04821C-78B3-4940-B4EF-635BCD8C9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1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9525</xdr:colOff>
      <xdr:row>140</xdr:row>
      <xdr:rowOff>9525</xdr:rowOff>
    </xdr:to>
    <xdr:pic>
      <xdr:nvPicPr>
        <xdr:cNvPr id="344" name="Obraz 343">
          <a:extLst>
            <a:ext uri="{FF2B5EF4-FFF2-40B4-BE49-F238E27FC236}">
              <a16:creationId xmlns:a16="http://schemas.microsoft.com/office/drawing/2014/main" id="{31183A47-E591-4703-AC77-440CCA6DD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0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9525</xdr:colOff>
      <xdr:row>142</xdr:row>
      <xdr:rowOff>9525</xdr:rowOff>
    </xdr:to>
    <xdr:pic>
      <xdr:nvPicPr>
        <xdr:cNvPr id="345" name="Obraz 344">
          <a:extLst>
            <a:ext uri="{FF2B5EF4-FFF2-40B4-BE49-F238E27FC236}">
              <a16:creationId xmlns:a16="http://schemas.microsoft.com/office/drawing/2014/main" id="{CDD5A921-0735-426B-9EAB-C0206B870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6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9525</xdr:colOff>
      <xdr:row>146</xdr:row>
      <xdr:rowOff>9525</xdr:rowOff>
    </xdr:to>
    <xdr:pic>
      <xdr:nvPicPr>
        <xdr:cNvPr id="346" name="Obraz 345">
          <a:extLst>
            <a:ext uri="{FF2B5EF4-FFF2-40B4-BE49-F238E27FC236}">
              <a16:creationId xmlns:a16="http://schemas.microsoft.com/office/drawing/2014/main" id="{3E5C31E8-3174-4393-8820-0EC8A734D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0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9525</xdr:colOff>
      <xdr:row>149</xdr:row>
      <xdr:rowOff>9525</xdr:rowOff>
    </xdr:to>
    <xdr:pic>
      <xdr:nvPicPr>
        <xdr:cNvPr id="347" name="Obraz 346">
          <a:extLst>
            <a:ext uri="{FF2B5EF4-FFF2-40B4-BE49-F238E27FC236}">
              <a16:creationId xmlns:a16="http://schemas.microsoft.com/office/drawing/2014/main" id="{C50A7BD7-4813-4008-8F76-45638D416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9525</xdr:colOff>
      <xdr:row>151</xdr:row>
      <xdr:rowOff>9525</xdr:rowOff>
    </xdr:to>
    <xdr:pic>
      <xdr:nvPicPr>
        <xdr:cNvPr id="348" name="Obraz 347">
          <a:extLst>
            <a:ext uri="{FF2B5EF4-FFF2-40B4-BE49-F238E27FC236}">
              <a16:creationId xmlns:a16="http://schemas.microsoft.com/office/drawing/2014/main" id="{065160B0-8EAB-40F2-B4B6-5DCD7033E4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6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0</xdr:col>
      <xdr:colOff>9525</xdr:colOff>
      <xdr:row>155</xdr:row>
      <xdr:rowOff>9525</xdr:rowOff>
    </xdr:to>
    <xdr:pic>
      <xdr:nvPicPr>
        <xdr:cNvPr id="349" name="Obraz 348">
          <a:extLst>
            <a:ext uri="{FF2B5EF4-FFF2-40B4-BE49-F238E27FC236}">
              <a16:creationId xmlns:a16="http://schemas.microsoft.com/office/drawing/2014/main" id="{FE77439E-121F-48F0-8437-8858ADC5EE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9525</xdr:colOff>
      <xdr:row>157</xdr:row>
      <xdr:rowOff>9525</xdr:rowOff>
    </xdr:to>
    <xdr:pic>
      <xdr:nvPicPr>
        <xdr:cNvPr id="350" name="Obraz 349">
          <a:extLst>
            <a:ext uri="{FF2B5EF4-FFF2-40B4-BE49-F238E27FC236}">
              <a16:creationId xmlns:a16="http://schemas.microsoft.com/office/drawing/2014/main" id="{7089FB44-5D3A-4C22-82A4-AF30EF291A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9525</xdr:colOff>
      <xdr:row>160</xdr:row>
      <xdr:rowOff>9525</xdr:rowOff>
    </xdr:to>
    <xdr:pic>
      <xdr:nvPicPr>
        <xdr:cNvPr id="351" name="Obraz 350">
          <a:extLst>
            <a:ext uri="{FF2B5EF4-FFF2-40B4-BE49-F238E27FC236}">
              <a16:creationId xmlns:a16="http://schemas.microsoft.com/office/drawing/2014/main" id="{D07B6B2D-44B3-4B5B-9390-C3A6CB822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5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9525</xdr:colOff>
      <xdr:row>164</xdr:row>
      <xdr:rowOff>9525</xdr:rowOff>
    </xdr:to>
    <xdr:pic>
      <xdr:nvPicPr>
        <xdr:cNvPr id="352" name="Obraz 351">
          <a:extLst>
            <a:ext uri="{FF2B5EF4-FFF2-40B4-BE49-F238E27FC236}">
              <a16:creationId xmlns:a16="http://schemas.microsoft.com/office/drawing/2014/main" id="{FF9E27EA-0270-47BB-84C9-609AED6BB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9525</xdr:colOff>
      <xdr:row>166</xdr:row>
      <xdr:rowOff>9525</xdr:rowOff>
    </xdr:to>
    <xdr:pic>
      <xdr:nvPicPr>
        <xdr:cNvPr id="353" name="Obraz 352">
          <a:extLst>
            <a:ext uri="{FF2B5EF4-FFF2-40B4-BE49-F238E27FC236}">
              <a16:creationId xmlns:a16="http://schemas.microsoft.com/office/drawing/2014/main" id="{6B675493-2FE9-4D56-985B-C474E5ECDF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9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9525</xdr:colOff>
      <xdr:row>168</xdr:row>
      <xdr:rowOff>9525</xdr:rowOff>
    </xdr:to>
    <xdr:pic>
      <xdr:nvPicPr>
        <xdr:cNvPr id="354" name="Obraz 353">
          <a:extLst>
            <a:ext uri="{FF2B5EF4-FFF2-40B4-BE49-F238E27FC236}">
              <a16:creationId xmlns:a16="http://schemas.microsoft.com/office/drawing/2014/main" id="{A1A0706F-D7C5-454C-8DD8-01F0DCA442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5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9525</xdr:colOff>
      <xdr:row>172</xdr:row>
      <xdr:rowOff>9525</xdr:rowOff>
    </xdr:to>
    <xdr:pic>
      <xdr:nvPicPr>
        <xdr:cNvPr id="355" name="Obraz 354">
          <a:extLst>
            <a:ext uri="{FF2B5EF4-FFF2-40B4-BE49-F238E27FC236}">
              <a16:creationId xmlns:a16="http://schemas.microsoft.com/office/drawing/2014/main" id="{83A5C89D-FFA2-4553-AF23-93F95907D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9525</xdr:colOff>
      <xdr:row>175</xdr:row>
      <xdr:rowOff>9525</xdr:rowOff>
    </xdr:to>
    <xdr:pic>
      <xdr:nvPicPr>
        <xdr:cNvPr id="356" name="Obraz 355">
          <a:extLst>
            <a:ext uri="{FF2B5EF4-FFF2-40B4-BE49-F238E27FC236}">
              <a16:creationId xmlns:a16="http://schemas.microsoft.com/office/drawing/2014/main" id="{28B879DA-120E-4B30-9C07-5696413EEF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0</xdr:col>
      <xdr:colOff>9525</xdr:colOff>
      <xdr:row>177</xdr:row>
      <xdr:rowOff>9525</xdr:rowOff>
    </xdr:to>
    <xdr:pic>
      <xdr:nvPicPr>
        <xdr:cNvPr id="357" name="Obraz 356">
          <a:extLst>
            <a:ext uri="{FF2B5EF4-FFF2-40B4-BE49-F238E27FC236}">
              <a16:creationId xmlns:a16="http://schemas.microsoft.com/office/drawing/2014/main" id="{19A592AA-6A70-4171-8D4B-F9B7C79BC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4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0</xdr:col>
      <xdr:colOff>9525</xdr:colOff>
      <xdr:row>180</xdr:row>
      <xdr:rowOff>9525</xdr:rowOff>
    </xdr:to>
    <xdr:pic>
      <xdr:nvPicPr>
        <xdr:cNvPr id="358" name="Obraz 357">
          <a:extLst>
            <a:ext uri="{FF2B5EF4-FFF2-40B4-BE49-F238E27FC236}">
              <a16:creationId xmlns:a16="http://schemas.microsoft.com/office/drawing/2014/main" id="{022100D1-2A80-4452-8437-37B128878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0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9525</xdr:colOff>
      <xdr:row>183</xdr:row>
      <xdr:rowOff>9525</xdr:rowOff>
    </xdr:to>
    <xdr:pic>
      <xdr:nvPicPr>
        <xdr:cNvPr id="359" name="Obraz 358">
          <a:extLst>
            <a:ext uri="{FF2B5EF4-FFF2-40B4-BE49-F238E27FC236}">
              <a16:creationId xmlns:a16="http://schemas.microsoft.com/office/drawing/2014/main" id="{5B561DF9-BFCB-46F4-B242-1FE6D4A24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8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9525</xdr:colOff>
      <xdr:row>186</xdr:row>
      <xdr:rowOff>9525</xdr:rowOff>
    </xdr:to>
    <xdr:pic>
      <xdr:nvPicPr>
        <xdr:cNvPr id="360" name="Obraz 359">
          <a:extLst>
            <a:ext uri="{FF2B5EF4-FFF2-40B4-BE49-F238E27FC236}">
              <a16:creationId xmlns:a16="http://schemas.microsoft.com/office/drawing/2014/main" id="{79722695-6DF6-4554-962D-27A316C32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4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9525</xdr:colOff>
      <xdr:row>189</xdr:row>
      <xdr:rowOff>9525</xdr:rowOff>
    </xdr:to>
    <xdr:pic>
      <xdr:nvPicPr>
        <xdr:cNvPr id="361" name="Obraz 360">
          <a:extLst>
            <a:ext uri="{FF2B5EF4-FFF2-40B4-BE49-F238E27FC236}">
              <a16:creationId xmlns:a16="http://schemas.microsoft.com/office/drawing/2014/main" id="{370B71B4-3292-4DBB-BF81-E9A565B26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9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9525</xdr:colOff>
      <xdr:row>192</xdr:row>
      <xdr:rowOff>9525</xdr:rowOff>
    </xdr:to>
    <xdr:pic>
      <xdr:nvPicPr>
        <xdr:cNvPr id="362" name="Obraz 361">
          <a:extLst>
            <a:ext uri="{FF2B5EF4-FFF2-40B4-BE49-F238E27FC236}">
              <a16:creationId xmlns:a16="http://schemas.microsoft.com/office/drawing/2014/main" id="{04EF2645-280E-421D-9C60-346E46194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7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9525</xdr:colOff>
      <xdr:row>194</xdr:row>
      <xdr:rowOff>9525</xdr:rowOff>
    </xdr:to>
    <xdr:pic>
      <xdr:nvPicPr>
        <xdr:cNvPr id="363" name="Obraz 362">
          <a:extLst>
            <a:ext uri="{FF2B5EF4-FFF2-40B4-BE49-F238E27FC236}">
              <a16:creationId xmlns:a16="http://schemas.microsoft.com/office/drawing/2014/main" id="{2C95C225-C2D6-49E3-9420-328163596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3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9525</xdr:colOff>
      <xdr:row>197</xdr:row>
      <xdr:rowOff>9525</xdr:rowOff>
    </xdr:to>
    <xdr:pic>
      <xdr:nvPicPr>
        <xdr:cNvPr id="364" name="Obraz 363">
          <a:extLst>
            <a:ext uri="{FF2B5EF4-FFF2-40B4-BE49-F238E27FC236}">
              <a16:creationId xmlns:a16="http://schemas.microsoft.com/office/drawing/2014/main" id="{562D3D26-D589-44A1-B9A4-8D659676A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9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9525</xdr:colOff>
      <xdr:row>200</xdr:row>
      <xdr:rowOff>9525</xdr:rowOff>
    </xdr:to>
    <xdr:pic>
      <xdr:nvPicPr>
        <xdr:cNvPr id="365" name="Obraz 364">
          <a:extLst>
            <a:ext uri="{FF2B5EF4-FFF2-40B4-BE49-F238E27FC236}">
              <a16:creationId xmlns:a16="http://schemas.microsoft.com/office/drawing/2014/main" id="{9E837959-B5F5-4127-900E-91CBA39A69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7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0</xdr:col>
      <xdr:colOff>9525</xdr:colOff>
      <xdr:row>203</xdr:row>
      <xdr:rowOff>9525</xdr:rowOff>
    </xdr:to>
    <xdr:pic>
      <xdr:nvPicPr>
        <xdr:cNvPr id="366" name="Obraz 365">
          <a:extLst>
            <a:ext uri="{FF2B5EF4-FFF2-40B4-BE49-F238E27FC236}">
              <a16:creationId xmlns:a16="http://schemas.microsoft.com/office/drawing/2014/main" id="{34F27269-1CEA-4E18-A380-123FD890A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3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0</xdr:col>
      <xdr:colOff>9525</xdr:colOff>
      <xdr:row>206</xdr:row>
      <xdr:rowOff>9525</xdr:rowOff>
    </xdr:to>
    <xdr:pic>
      <xdr:nvPicPr>
        <xdr:cNvPr id="367" name="Obraz 366">
          <a:extLst>
            <a:ext uri="{FF2B5EF4-FFF2-40B4-BE49-F238E27FC236}">
              <a16:creationId xmlns:a16="http://schemas.microsoft.com/office/drawing/2014/main" id="{29B3D4CE-C320-49F5-BEF5-03548990A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8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9525</xdr:colOff>
      <xdr:row>208</xdr:row>
      <xdr:rowOff>9525</xdr:rowOff>
    </xdr:to>
    <xdr:pic>
      <xdr:nvPicPr>
        <xdr:cNvPr id="368" name="Obraz 367">
          <a:extLst>
            <a:ext uri="{FF2B5EF4-FFF2-40B4-BE49-F238E27FC236}">
              <a16:creationId xmlns:a16="http://schemas.microsoft.com/office/drawing/2014/main" id="{B05AE697-D037-4167-BD91-DC3960A4E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6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9525</xdr:colOff>
      <xdr:row>210</xdr:row>
      <xdr:rowOff>9525</xdr:rowOff>
    </xdr:to>
    <xdr:pic>
      <xdr:nvPicPr>
        <xdr:cNvPr id="369" name="Obraz 368">
          <a:extLst>
            <a:ext uri="{FF2B5EF4-FFF2-40B4-BE49-F238E27FC236}">
              <a16:creationId xmlns:a16="http://schemas.microsoft.com/office/drawing/2014/main" id="{8292B4EF-D77C-43B1-837F-149655B39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9525</xdr:colOff>
      <xdr:row>214</xdr:row>
      <xdr:rowOff>9525</xdr:rowOff>
    </xdr:to>
    <xdr:pic>
      <xdr:nvPicPr>
        <xdr:cNvPr id="370" name="Obraz 369">
          <a:extLst>
            <a:ext uri="{FF2B5EF4-FFF2-40B4-BE49-F238E27FC236}">
              <a16:creationId xmlns:a16="http://schemas.microsoft.com/office/drawing/2014/main" id="{B9CEADDD-350C-4E6F-A2A7-02AF75A574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7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9525</xdr:colOff>
      <xdr:row>216</xdr:row>
      <xdr:rowOff>9525</xdr:rowOff>
    </xdr:to>
    <xdr:pic>
      <xdr:nvPicPr>
        <xdr:cNvPr id="371" name="Obraz 370">
          <a:extLst>
            <a:ext uri="{FF2B5EF4-FFF2-40B4-BE49-F238E27FC236}">
              <a16:creationId xmlns:a16="http://schemas.microsoft.com/office/drawing/2014/main" id="{F7642A2C-33D7-4076-A1C0-23E745BFB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</xdr:row>
      <xdr:rowOff>0</xdr:rowOff>
    </xdr:from>
    <xdr:to>
      <xdr:col>0</xdr:col>
      <xdr:colOff>9525</xdr:colOff>
      <xdr:row>218</xdr:row>
      <xdr:rowOff>9525</xdr:rowOff>
    </xdr:to>
    <xdr:pic>
      <xdr:nvPicPr>
        <xdr:cNvPr id="372" name="Obraz 371">
          <a:extLst>
            <a:ext uri="{FF2B5EF4-FFF2-40B4-BE49-F238E27FC236}">
              <a16:creationId xmlns:a16="http://schemas.microsoft.com/office/drawing/2014/main" id="{886DAD39-E403-4996-AE7E-CA6EFE4FE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2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0</xdr:rowOff>
    </xdr:from>
    <xdr:to>
      <xdr:col>0</xdr:col>
      <xdr:colOff>9525</xdr:colOff>
      <xdr:row>222</xdr:row>
      <xdr:rowOff>9525</xdr:rowOff>
    </xdr:to>
    <xdr:pic>
      <xdr:nvPicPr>
        <xdr:cNvPr id="373" name="Obraz 372">
          <a:extLst>
            <a:ext uri="{FF2B5EF4-FFF2-40B4-BE49-F238E27FC236}">
              <a16:creationId xmlns:a16="http://schemas.microsoft.com/office/drawing/2014/main" id="{50070539-AEFE-456C-A2FF-035BAFBF4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6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9525</xdr:colOff>
      <xdr:row>225</xdr:row>
      <xdr:rowOff>9525</xdr:rowOff>
    </xdr:to>
    <xdr:pic>
      <xdr:nvPicPr>
        <xdr:cNvPr id="374" name="Obraz 373">
          <a:extLst>
            <a:ext uri="{FF2B5EF4-FFF2-40B4-BE49-F238E27FC236}">
              <a16:creationId xmlns:a16="http://schemas.microsoft.com/office/drawing/2014/main" id="{411F48C0-6ED4-468B-A63C-3A864C375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5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0</xdr:col>
      <xdr:colOff>9525</xdr:colOff>
      <xdr:row>227</xdr:row>
      <xdr:rowOff>9525</xdr:rowOff>
    </xdr:to>
    <xdr:pic>
      <xdr:nvPicPr>
        <xdr:cNvPr id="375" name="Obraz 374">
          <a:extLst>
            <a:ext uri="{FF2B5EF4-FFF2-40B4-BE49-F238E27FC236}">
              <a16:creationId xmlns:a16="http://schemas.microsoft.com/office/drawing/2014/main" id="{8D7FAFE9-BE3C-4861-987D-D9F9F43654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2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0</xdr:col>
      <xdr:colOff>9525</xdr:colOff>
      <xdr:row>230</xdr:row>
      <xdr:rowOff>9525</xdr:rowOff>
    </xdr:to>
    <xdr:pic>
      <xdr:nvPicPr>
        <xdr:cNvPr id="376" name="Obraz 375">
          <a:extLst>
            <a:ext uri="{FF2B5EF4-FFF2-40B4-BE49-F238E27FC236}">
              <a16:creationId xmlns:a16="http://schemas.microsoft.com/office/drawing/2014/main" id="{133DB50C-B1B7-4356-B149-32E52C6E2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7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0</xdr:col>
      <xdr:colOff>9525</xdr:colOff>
      <xdr:row>233</xdr:row>
      <xdr:rowOff>9525</xdr:rowOff>
    </xdr:to>
    <xdr:pic>
      <xdr:nvPicPr>
        <xdr:cNvPr id="377" name="Obraz 376">
          <a:extLst>
            <a:ext uri="{FF2B5EF4-FFF2-40B4-BE49-F238E27FC236}">
              <a16:creationId xmlns:a16="http://schemas.microsoft.com/office/drawing/2014/main" id="{A9901354-E923-41DF-B81C-A8CD7510E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9525</xdr:colOff>
      <xdr:row>236</xdr:row>
      <xdr:rowOff>9525</xdr:rowOff>
    </xdr:to>
    <xdr:pic>
      <xdr:nvPicPr>
        <xdr:cNvPr id="378" name="Obraz 377">
          <a:extLst>
            <a:ext uri="{FF2B5EF4-FFF2-40B4-BE49-F238E27FC236}">
              <a16:creationId xmlns:a16="http://schemas.microsoft.com/office/drawing/2014/main" id="{D84B189D-95F4-426E-A7EB-722A93B2A9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1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9525</xdr:colOff>
      <xdr:row>239</xdr:row>
      <xdr:rowOff>9525</xdr:rowOff>
    </xdr:to>
    <xdr:pic>
      <xdr:nvPicPr>
        <xdr:cNvPr id="379" name="Obraz 378">
          <a:extLst>
            <a:ext uri="{FF2B5EF4-FFF2-40B4-BE49-F238E27FC236}">
              <a16:creationId xmlns:a16="http://schemas.microsoft.com/office/drawing/2014/main" id="{CFD445DD-C9B9-41D2-8943-093E87B6E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</xdr:row>
      <xdr:rowOff>0</xdr:rowOff>
    </xdr:from>
    <xdr:to>
      <xdr:col>0</xdr:col>
      <xdr:colOff>9525</xdr:colOff>
      <xdr:row>242</xdr:row>
      <xdr:rowOff>9525</xdr:rowOff>
    </xdr:to>
    <xdr:pic>
      <xdr:nvPicPr>
        <xdr:cNvPr id="380" name="Obraz 379">
          <a:extLst>
            <a:ext uri="{FF2B5EF4-FFF2-40B4-BE49-F238E27FC236}">
              <a16:creationId xmlns:a16="http://schemas.microsoft.com/office/drawing/2014/main" id="{23B106D1-3E63-46E9-B819-A788542027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0</xdr:col>
      <xdr:colOff>9525</xdr:colOff>
      <xdr:row>244</xdr:row>
      <xdr:rowOff>9525</xdr:rowOff>
    </xdr:to>
    <xdr:pic>
      <xdr:nvPicPr>
        <xdr:cNvPr id="381" name="Obraz 380">
          <a:extLst>
            <a:ext uri="{FF2B5EF4-FFF2-40B4-BE49-F238E27FC236}">
              <a16:creationId xmlns:a16="http://schemas.microsoft.com/office/drawing/2014/main" id="{15A3A437-8D55-4E8F-8680-2831B295D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9525</xdr:colOff>
      <xdr:row>248</xdr:row>
      <xdr:rowOff>9525</xdr:rowOff>
    </xdr:to>
    <xdr:pic>
      <xdr:nvPicPr>
        <xdr:cNvPr id="382" name="Obraz 381">
          <a:extLst>
            <a:ext uri="{FF2B5EF4-FFF2-40B4-BE49-F238E27FC236}">
              <a16:creationId xmlns:a16="http://schemas.microsoft.com/office/drawing/2014/main" id="{3EFA9369-B2A9-43C3-8486-5F0867635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5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9525</xdr:colOff>
      <xdr:row>250</xdr:row>
      <xdr:rowOff>9525</xdr:rowOff>
    </xdr:to>
    <xdr:pic>
      <xdr:nvPicPr>
        <xdr:cNvPr id="383" name="Obraz 382">
          <a:extLst>
            <a:ext uri="{FF2B5EF4-FFF2-40B4-BE49-F238E27FC236}">
              <a16:creationId xmlns:a16="http://schemas.microsoft.com/office/drawing/2014/main" id="{EB47CC63-D1C5-4197-A0FA-63FDC9989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2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9525</xdr:colOff>
      <xdr:row>250</xdr:row>
      <xdr:rowOff>9525</xdr:rowOff>
    </xdr:to>
    <xdr:pic>
      <xdr:nvPicPr>
        <xdr:cNvPr id="384" name="Obraz 383">
          <a:extLst>
            <a:ext uri="{FF2B5EF4-FFF2-40B4-BE49-F238E27FC236}">
              <a16:creationId xmlns:a16="http://schemas.microsoft.com/office/drawing/2014/main" id="{3F4386D8-9C4E-4E89-B4BF-840F999F2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4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9525</xdr:colOff>
      <xdr:row>253</xdr:row>
      <xdr:rowOff>9525</xdr:rowOff>
    </xdr:to>
    <xdr:pic>
      <xdr:nvPicPr>
        <xdr:cNvPr id="385" name="Obraz 384">
          <a:extLst>
            <a:ext uri="{FF2B5EF4-FFF2-40B4-BE49-F238E27FC236}">
              <a16:creationId xmlns:a16="http://schemas.microsoft.com/office/drawing/2014/main" id="{B9A2D03D-659F-4ADE-A9BE-FB5AE2DA1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9525</xdr:colOff>
      <xdr:row>255</xdr:row>
      <xdr:rowOff>9525</xdr:rowOff>
    </xdr:to>
    <xdr:pic>
      <xdr:nvPicPr>
        <xdr:cNvPr id="386" name="Obraz 385">
          <a:extLst>
            <a:ext uri="{FF2B5EF4-FFF2-40B4-BE49-F238E27FC236}">
              <a16:creationId xmlns:a16="http://schemas.microsoft.com/office/drawing/2014/main" id="{0BA06862-7F48-4B73-BAE8-3D2BF0B34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5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9525</xdr:colOff>
      <xdr:row>257</xdr:row>
      <xdr:rowOff>9525</xdr:rowOff>
    </xdr:to>
    <xdr:pic>
      <xdr:nvPicPr>
        <xdr:cNvPr id="387" name="Obraz 386">
          <a:extLst>
            <a:ext uri="{FF2B5EF4-FFF2-40B4-BE49-F238E27FC236}">
              <a16:creationId xmlns:a16="http://schemas.microsoft.com/office/drawing/2014/main" id="{4B01D820-0D4A-4CEB-8F75-97B0CC331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4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9525</xdr:colOff>
      <xdr:row>260</xdr:row>
      <xdr:rowOff>9525</xdr:rowOff>
    </xdr:to>
    <xdr:pic>
      <xdr:nvPicPr>
        <xdr:cNvPr id="388" name="Obraz 387">
          <a:extLst>
            <a:ext uri="{FF2B5EF4-FFF2-40B4-BE49-F238E27FC236}">
              <a16:creationId xmlns:a16="http://schemas.microsoft.com/office/drawing/2014/main" id="{9E50C79A-9B96-410B-AC9B-E7769BD8F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0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</xdr:row>
      <xdr:rowOff>0</xdr:rowOff>
    </xdr:from>
    <xdr:to>
      <xdr:col>0</xdr:col>
      <xdr:colOff>9525</xdr:colOff>
      <xdr:row>264</xdr:row>
      <xdr:rowOff>9525</xdr:rowOff>
    </xdr:to>
    <xdr:pic>
      <xdr:nvPicPr>
        <xdr:cNvPr id="389" name="Obraz 388">
          <a:extLst>
            <a:ext uri="{FF2B5EF4-FFF2-40B4-BE49-F238E27FC236}">
              <a16:creationId xmlns:a16="http://schemas.microsoft.com/office/drawing/2014/main" id="{33F40460-78FE-4412-9107-BB9B0D952C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4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9525</xdr:colOff>
      <xdr:row>265</xdr:row>
      <xdr:rowOff>9525</xdr:rowOff>
    </xdr:to>
    <xdr:pic>
      <xdr:nvPicPr>
        <xdr:cNvPr id="390" name="Obraz 389">
          <a:extLst>
            <a:ext uri="{FF2B5EF4-FFF2-40B4-BE49-F238E27FC236}">
              <a16:creationId xmlns:a16="http://schemas.microsoft.com/office/drawing/2014/main" id="{8C669522-B6B5-4AF5-97F1-106315158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1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9525</xdr:colOff>
      <xdr:row>266</xdr:row>
      <xdr:rowOff>9525</xdr:rowOff>
    </xdr:to>
    <xdr:pic>
      <xdr:nvPicPr>
        <xdr:cNvPr id="391" name="Obraz 390">
          <a:extLst>
            <a:ext uri="{FF2B5EF4-FFF2-40B4-BE49-F238E27FC236}">
              <a16:creationId xmlns:a16="http://schemas.microsoft.com/office/drawing/2014/main" id="{00A7FD9F-1E7E-4F1C-A48E-46487CD31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3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9525</xdr:colOff>
      <xdr:row>268</xdr:row>
      <xdr:rowOff>9525</xdr:rowOff>
    </xdr:to>
    <xdr:pic>
      <xdr:nvPicPr>
        <xdr:cNvPr id="392" name="Obraz 391">
          <a:extLst>
            <a:ext uri="{FF2B5EF4-FFF2-40B4-BE49-F238E27FC236}">
              <a16:creationId xmlns:a16="http://schemas.microsoft.com/office/drawing/2014/main" id="{5A503158-DD3E-487D-8A25-4577FBA8F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9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</xdr:row>
      <xdr:rowOff>0</xdr:rowOff>
    </xdr:from>
    <xdr:to>
      <xdr:col>0</xdr:col>
      <xdr:colOff>9525</xdr:colOff>
      <xdr:row>272</xdr:row>
      <xdr:rowOff>9525</xdr:rowOff>
    </xdr:to>
    <xdr:pic>
      <xdr:nvPicPr>
        <xdr:cNvPr id="393" name="Obraz 392">
          <a:extLst>
            <a:ext uri="{FF2B5EF4-FFF2-40B4-BE49-F238E27FC236}">
              <a16:creationId xmlns:a16="http://schemas.microsoft.com/office/drawing/2014/main" id="{5748DBE0-5662-498E-BA21-E7618AE75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4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9525</xdr:colOff>
      <xdr:row>275</xdr:row>
      <xdr:rowOff>9525</xdr:rowOff>
    </xdr:to>
    <xdr:pic>
      <xdr:nvPicPr>
        <xdr:cNvPr id="394" name="Obraz 393">
          <a:extLst>
            <a:ext uri="{FF2B5EF4-FFF2-40B4-BE49-F238E27FC236}">
              <a16:creationId xmlns:a16="http://schemas.microsoft.com/office/drawing/2014/main" id="{EB5F748F-3EB2-4CA9-A243-88FA67816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3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9525</xdr:colOff>
      <xdr:row>277</xdr:row>
      <xdr:rowOff>9525</xdr:rowOff>
    </xdr:to>
    <xdr:pic>
      <xdr:nvPicPr>
        <xdr:cNvPr id="395" name="Obraz 394">
          <a:extLst>
            <a:ext uri="{FF2B5EF4-FFF2-40B4-BE49-F238E27FC236}">
              <a16:creationId xmlns:a16="http://schemas.microsoft.com/office/drawing/2014/main" id="{E2F0EE68-7A7A-4F35-A89C-FB2E6EEFAA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9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9525</xdr:colOff>
      <xdr:row>279</xdr:row>
      <xdr:rowOff>9525</xdr:rowOff>
    </xdr:to>
    <xdr:pic>
      <xdr:nvPicPr>
        <xdr:cNvPr id="396" name="Obraz 395">
          <a:extLst>
            <a:ext uri="{FF2B5EF4-FFF2-40B4-BE49-F238E27FC236}">
              <a16:creationId xmlns:a16="http://schemas.microsoft.com/office/drawing/2014/main" id="{8F9ADA27-87EE-449B-B195-9DFA8390B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3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9525</xdr:colOff>
      <xdr:row>281</xdr:row>
      <xdr:rowOff>9525</xdr:rowOff>
    </xdr:to>
    <xdr:pic>
      <xdr:nvPicPr>
        <xdr:cNvPr id="397" name="Obraz 396">
          <a:extLst>
            <a:ext uri="{FF2B5EF4-FFF2-40B4-BE49-F238E27FC236}">
              <a16:creationId xmlns:a16="http://schemas.microsoft.com/office/drawing/2014/main" id="{4E9164B4-80B0-426C-A43F-AD29DCD7A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2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9525</xdr:colOff>
      <xdr:row>282</xdr:row>
      <xdr:rowOff>9525</xdr:rowOff>
    </xdr:to>
    <xdr:pic>
      <xdr:nvPicPr>
        <xdr:cNvPr id="398" name="Obraz 397">
          <a:extLst>
            <a:ext uri="{FF2B5EF4-FFF2-40B4-BE49-F238E27FC236}">
              <a16:creationId xmlns:a16="http://schemas.microsoft.com/office/drawing/2014/main" id="{0C8F3D50-AC46-4A85-B6F8-F63D6D6A2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9525</xdr:colOff>
      <xdr:row>286</xdr:row>
      <xdr:rowOff>9525</xdr:rowOff>
    </xdr:to>
    <xdr:pic>
      <xdr:nvPicPr>
        <xdr:cNvPr id="399" name="Obraz 398">
          <a:extLst>
            <a:ext uri="{FF2B5EF4-FFF2-40B4-BE49-F238E27FC236}">
              <a16:creationId xmlns:a16="http://schemas.microsoft.com/office/drawing/2014/main" id="{8A618640-1009-4A4D-B205-51D17B0C1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0</xdr:col>
      <xdr:colOff>9525</xdr:colOff>
      <xdr:row>288</xdr:row>
      <xdr:rowOff>9525</xdr:rowOff>
    </xdr:to>
    <xdr:pic>
      <xdr:nvPicPr>
        <xdr:cNvPr id="400" name="Obraz 399">
          <a:extLst>
            <a:ext uri="{FF2B5EF4-FFF2-40B4-BE49-F238E27FC236}">
              <a16:creationId xmlns:a16="http://schemas.microsoft.com/office/drawing/2014/main" id="{74CE09BA-D5A7-4A6D-820A-307E619A10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72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0</xdr:col>
      <xdr:colOff>9525</xdr:colOff>
      <xdr:row>290</xdr:row>
      <xdr:rowOff>9525</xdr:rowOff>
    </xdr:to>
    <xdr:pic>
      <xdr:nvPicPr>
        <xdr:cNvPr id="401" name="Obraz 400">
          <a:extLst>
            <a:ext uri="{FF2B5EF4-FFF2-40B4-BE49-F238E27FC236}">
              <a16:creationId xmlns:a16="http://schemas.microsoft.com/office/drawing/2014/main" id="{9FF50793-AB78-44F8-870E-874DA201C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48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9525</xdr:colOff>
      <xdr:row>293</xdr:row>
      <xdr:rowOff>9525</xdr:rowOff>
    </xdr:to>
    <xdr:pic>
      <xdr:nvPicPr>
        <xdr:cNvPr id="402" name="Obraz 401">
          <a:extLst>
            <a:ext uri="{FF2B5EF4-FFF2-40B4-BE49-F238E27FC236}">
              <a16:creationId xmlns:a16="http://schemas.microsoft.com/office/drawing/2014/main" id="{5B948CCD-4109-4BFF-A9FD-A588AEDCB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62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9525</xdr:colOff>
      <xdr:row>296</xdr:row>
      <xdr:rowOff>9525</xdr:rowOff>
    </xdr:to>
    <xdr:pic>
      <xdr:nvPicPr>
        <xdr:cNvPr id="403" name="Obraz 402">
          <a:extLst>
            <a:ext uri="{FF2B5EF4-FFF2-40B4-BE49-F238E27FC236}">
              <a16:creationId xmlns:a16="http://schemas.microsoft.com/office/drawing/2014/main" id="{579A1F3F-9628-454B-B9AF-26F10940C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81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</xdr:row>
      <xdr:rowOff>0</xdr:rowOff>
    </xdr:from>
    <xdr:to>
      <xdr:col>0</xdr:col>
      <xdr:colOff>9525</xdr:colOff>
      <xdr:row>298</xdr:row>
      <xdr:rowOff>9525</xdr:rowOff>
    </xdr:to>
    <xdr:pic>
      <xdr:nvPicPr>
        <xdr:cNvPr id="404" name="Obraz 403">
          <a:extLst>
            <a:ext uri="{FF2B5EF4-FFF2-40B4-BE49-F238E27FC236}">
              <a16:creationId xmlns:a16="http://schemas.microsoft.com/office/drawing/2014/main" id="{3BB25ADD-B211-448E-A875-7332AAEDA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58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</xdr:row>
      <xdr:rowOff>0</xdr:rowOff>
    </xdr:from>
    <xdr:to>
      <xdr:col>0</xdr:col>
      <xdr:colOff>9525</xdr:colOff>
      <xdr:row>302</xdr:row>
      <xdr:rowOff>9525</xdr:rowOff>
    </xdr:to>
    <xdr:pic>
      <xdr:nvPicPr>
        <xdr:cNvPr id="405" name="Obraz 404">
          <a:extLst>
            <a:ext uri="{FF2B5EF4-FFF2-40B4-BE49-F238E27FC236}">
              <a16:creationId xmlns:a16="http://schemas.microsoft.com/office/drawing/2014/main" id="{78F36FB2-011F-4B7F-A57E-65A6C364C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72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9525</xdr:colOff>
      <xdr:row>304</xdr:row>
      <xdr:rowOff>9525</xdr:rowOff>
    </xdr:to>
    <xdr:pic>
      <xdr:nvPicPr>
        <xdr:cNvPr id="406" name="Obraz 405">
          <a:extLst>
            <a:ext uri="{FF2B5EF4-FFF2-40B4-BE49-F238E27FC236}">
              <a16:creationId xmlns:a16="http://schemas.microsoft.com/office/drawing/2014/main" id="{DCAEEC77-F61C-4038-A2C6-8051F7A87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91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</xdr:row>
      <xdr:rowOff>0</xdr:rowOff>
    </xdr:from>
    <xdr:to>
      <xdr:col>0</xdr:col>
      <xdr:colOff>9525</xdr:colOff>
      <xdr:row>307</xdr:row>
      <xdr:rowOff>9525</xdr:rowOff>
    </xdr:to>
    <xdr:pic>
      <xdr:nvPicPr>
        <xdr:cNvPr id="407" name="Obraz 406">
          <a:extLst>
            <a:ext uri="{FF2B5EF4-FFF2-40B4-BE49-F238E27FC236}">
              <a16:creationId xmlns:a16="http://schemas.microsoft.com/office/drawing/2014/main" id="{CCD711D6-630C-4A6D-B99D-8D0A0BC8E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67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9525</xdr:colOff>
      <xdr:row>311</xdr:row>
      <xdr:rowOff>9525</xdr:rowOff>
    </xdr:to>
    <xdr:pic>
      <xdr:nvPicPr>
        <xdr:cNvPr id="408" name="Obraz 407">
          <a:extLst>
            <a:ext uri="{FF2B5EF4-FFF2-40B4-BE49-F238E27FC236}">
              <a16:creationId xmlns:a16="http://schemas.microsoft.com/office/drawing/2014/main" id="{7A53C7FE-D631-45CD-9A9F-2A7AE0146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81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9525</xdr:colOff>
      <xdr:row>313</xdr:row>
      <xdr:rowOff>9525</xdr:rowOff>
    </xdr:to>
    <xdr:pic>
      <xdr:nvPicPr>
        <xdr:cNvPr id="409" name="Obraz 408">
          <a:extLst>
            <a:ext uri="{FF2B5EF4-FFF2-40B4-BE49-F238E27FC236}">
              <a16:creationId xmlns:a16="http://schemas.microsoft.com/office/drawing/2014/main" id="{31C20B79-61BE-40B8-9AAB-FDBA700AE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9525</xdr:colOff>
      <xdr:row>315</xdr:row>
      <xdr:rowOff>9525</xdr:rowOff>
    </xdr:to>
    <xdr:pic>
      <xdr:nvPicPr>
        <xdr:cNvPr id="410" name="Obraz 409">
          <a:extLst>
            <a:ext uri="{FF2B5EF4-FFF2-40B4-BE49-F238E27FC236}">
              <a16:creationId xmlns:a16="http://schemas.microsoft.com/office/drawing/2014/main" id="{F66E7E12-E7B0-431C-A835-E7122A425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77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9525</xdr:colOff>
      <xdr:row>319</xdr:row>
      <xdr:rowOff>9525</xdr:rowOff>
    </xdr:to>
    <xdr:pic>
      <xdr:nvPicPr>
        <xdr:cNvPr id="411" name="Obraz 410">
          <a:extLst>
            <a:ext uri="{FF2B5EF4-FFF2-40B4-BE49-F238E27FC236}">
              <a16:creationId xmlns:a16="http://schemas.microsoft.com/office/drawing/2014/main" id="{C78D0C91-3997-46E0-92C0-3E0EAAA1FF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91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</xdr:row>
      <xdr:rowOff>0</xdr:rowOff>
    </xdr:from>
    <xdr:to>
      <xdr:col>0</xdr:col>
      <xdr:colOff>9525</xdr:colOff>
      <xdr:row>322</xdr:row>
      <xdr:rowOff>9525</xdr:rowOff>
    </xdr:to>
    <xdr:pic>
      <xdr:nvPicPr>
        <xdr:cNvPr id="412" name="Obraz 411">
          <a:extLst>
            <a:ext uri="{FF2B5EF4-FFF2-40B4-BE49-F238E27FC236}">
              <a16:creationId xmlns:a16="http://schemas.microsoft.com/office/drawing/2014/main" id="{83FD95D0-7FC1-494E-A196-F84D02DBD5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9525</xdr:colOff>
      <xdr:row>324</xdr:row>
      <xdr:rowOff>9525</xdr:rowOff>
    </xdr:to>
    <xdr:pic>
      <xdr:nvPicPr>
        <xdr:cNvPr id="413" name="Obraz 412">
          <a:extLst>
            <a:ext uri="{FF2B5EF4-FFF2-40B4-BE49-F238E27FC236}">
              <a16:creationId xmlns:a16="http://schemas.microsoft.com/office/drawing/2014/main" id="{AA2E1A99-18FE-456A-BAA6-0FDDF4472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86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9525</xdr:colOff>
      <xdr:row>328</xdr:row>
      <xdr:rowOff>9525</xdr:rowOff>
    </xdr:to>
    <xdr:pic>
      <xdr:nvPicPr>
        <xdr:cNvPr id="414" name="Obraz 413">
          <a:extLst>
            <a:ext uri="{FF2B5EF4-FFF2-40B4-BE49-F238E27FC236}">
              <a16:creationId xmlns:a16="http://schemas.microsoft.com/office/drawing/2014/main" id="{77589E5C-B1BA-445F-A6D0-32489EED1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9525</xdr:colOff>
      <xdr:row>331</xdr:row>
      <xdr:rowOff>9525</xdr:rowOff>
    </xdr:to>
    <xdr:pic>
      <xdr:nvPicPr>
        <xdr:cNvPr id="415" name="Obraz 414">
          <a:extLst>
            <a:ext uri="{FF2B5EF4-FFF2-40B4-BE49-F238E27FC236}">
              <a16:creationId xmlns:a16="http://schemas.microsoft.com/office/drawing/2014/main" id="{092E8E1F-9575-4F5A-A18A-D62F7EC16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20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9525</xdr:colOff>
      <xdr:row>333</xdr:row>
      <xdr:rowOff>9525</xdr:rowOff>
    </xdr:to>
    <xdr:pic>
      <xdr:nvPicPr>
        <xdr:cNvPr id="416" name="Obraz 415">
          <a:extLst>
            <a:ext uri="{FF2B5EF4-FFF2-40B4-BE49-F238E27FC236}">
              <a16:creationId xmlns:a16="http://schemas.microsoft.com/office/drawing/2014/main" id="{778D1032-C2DA-4E92-9B39-863C8EE036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96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0</xdr:col>
      <xdr:colOff>9525</xdr:colOff>
      <xdr:row>337</xdr:row>
      <xdr:rowOff>9525</xdr:rowOff>
    </xdr:to>
    <xdr:pic>
      <xdr:nvPicPr>
        <xdr:cNvPr id="417" name="Obraz 416">
          <a:extLst>
            <a:ext uri="{FF2B5EF4-FFF2-40B4-BE49-F238E27FC236}">
              <a16:creationId xmlns:a16="http://schemas.microsoft.com/office/drawing/2014/main" id="{B9DE1FAD-2791-4C9B-8A78-E673B2010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10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0</xdr:col>
      <xdr:colOff>9525</xdr:colOff>
      <xdr:row>339</xdr:row>
      <xdr:rowOff>9525</xdr:rowOff>
    </xdr:to>
    <xdr:pic>
      <xdr:nvPicPr>
        <xdr:cNvPr id="418" name="Obraz 417">
          <a:extLst>
            <a:ext uri="{FF2B5EF4-FFF2-40B4-BE49-F238E27FC236}">
              <a16:creationId xmlns:a16="http://schemas.microsoft.com/office/drawing/2014/main" id="{39110674-89F3-47FA-BA0A-0699FF2BB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9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9525</xdr:colOff>
      <xdr:row>342</xdr:row>
      <xdr:rowOff>9525</xdr:rowOff>
    </xdr:to>
    <xdr:pic>
      <xdr:nvPicPr>
        <xdr:cNvPr id="419" name="Obraz 418">
          <a:extLst>
            <a:ext uri="{FF2B5EF4-FFF2-40B4-BE49-F238E27FC236}">
              <a16:creationId xmlns:a16="http://schemas.microsoft.com/office/drawing/2014/main" id="{5BC92BC1-45B7-4150-A354-2D5FDEBE6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05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9525</xdr:colOff>
      <xdr:row>345</xdr:row>
      <xdr:rowOff>9525</xdr:rowOff>
    </xdr:to>
    <xdr:pic>
      <xdr:nvPicPr>
        <xdr:cNvPr id="420" name="Obraz 419">
          <a:extLst>
            <a:ext uri="{FF2B5EF4-FFF2-40B4-BE49-F238E27FC236}">
              <a16:creationId xmlns:a16="http://schemas.microsoft.com/office/drawing/2014/main" id="{0A6F7C68-657D-450C-9BB2-59B5EBADB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</xdr:row>
      <xdr:rowOff>0</xdr:rowOff>
    </xdr:from>
    <xdr:to>
      <xdr:col>0</xdr:col>
      <xdr:colOff>9525</xdr:colOff>
      <xdr:row>348</xdr:row>
      <xdr:rowOff>9525</xdr:rowOff>
    </xdr:to>
    <xdr:pic>
      <xdr:nvPicPr>
        <xdr:cNvPr id="421" name="Obraz 420">
          <a:extLst>
            <a:ext uri="{FF2B5EF4-FFF2-40B4-BE49-F238E27FC236}">
              <a16:creationId xmlns:a16="http://schemas.microsoft.com/office/drawing/2014/main" id="{34E868A9-9C1A-4EB5-8038-7A1B8569C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39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</xdr:row>
      <xdr:rowOff>0</xdr:rowOff>
    </xdr:from>
    <xdr:to>
      <xdr:col>0</xdr:col>
      <xdr:colOff>9525</xdr:colOff>
      <xdr:row>350</xdr:row>
      <xdr:rowOff>9525</xdr:rowOff>
    </xdr:to>
    <xdr:pic>
      <xdr:nvPicPr>
        <xdr:cNvPr id="422" name="Obraz 421">
          <a:extLst>
            <a:ext uri="{FF2B5EF4-FFF2-40B4-BE49-F238E27FC236}">
              <a16:creationId xmlns:a16="http://schemas.microsoft.com/office/drawing/2014/main" id="{9571040E-CD34-4AB1-90AF-A33CE87A7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15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</xdr:row>
      <xdr:rowOff>0</xdr:rowOff>
    </xdr:from>
    <xdr:to>
      <xdr:col>0</xdr:col>
      <xdr:colOff>9525</xdr:colOff>
      <xdr:row>354</xdr:row>
      <xdr:rowOff>9525</xdr:rowOff>
    </xdr:to>
    <xdr:pic>
      <xdr:nvPicPr>
        <xdr:cNvPr id="423" name="Obraz 422">
          <a:extLst>
            <a:ext uri="{FF2B5EF4-FFF2-40B4-BE49-F238E27FC236}">
              <a16:creationId xmlns:a16="http://schemas.microsoft.com/office/drawing/2014/main" id="{DB901C27-72A9-44BD-A6FE-409B6160F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29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9525</xdr:colOff>
      <xdr:row>357</xdr:row>
      <xdr:rowOff>9525</xdr:rowOff>
    </xdr:to>
    <xdr:pic>
      <xdr:nvPicPr>
        <xdr:cNvPr id="424" name="Obraz 423">
          <a:extLst>
            <a:ext uri="{FF2B5EF4-FFF2-40B4-BE49-F238E27FC236}">
              <a16:creationId xmlns:a16="http://schemas.microsoft.com/office/drawing/2014/main" id="{0866C15C-4BF6-4A1E-9839-7E65D2647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48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</xdr:row>
      <xdr:rowOff>0</xdr:rowOff>
    </xdr:from>
    <xdr:to>
      <xdr:col>0</xdr:col>
      <xdr:colOff>9525</xdr:colOff>
      <xdr:row>359</xdr:row>
      <xdr:rowOff>9525</xdr:rowOff>
    </xdr:to>
    <xdr:pic>
      <xdr:nvPicPr>
        <xdr:cNvPr id="425" name="Obraz 424">
          <a:extLst>
            <a:ext uri="{FF2B5EF4-FFF2-40B4-BE49-F238E27FC236}">
              <a16:creationId xmlns:a16="http://schemas.microsoft.com/office/drawing/2014/main" id="{38DDECB5-2C79-4EE3-9D69-719E406C7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24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9525</xdr:colOff>
      <xdr:row>363</xdr:row>
      <xdr:rowOff>9525</xdr:rowOff>
    </xdr:to>
    <xdr:pic>
      <xdr:nvPicPr>
        <xdr:cNvPr id="426" name="Obraz 425">
          <a:extLst>
            <a:ext uri="{FF2B5EF4-FFF2-40B4-BE49-F238E27FC236}">
              <a16:creationId xmlns:a16="http://schemas.microsoft.com/office/drawing/2014/main" id="{652FFD39-9037-4DD4-8A54-2CF7B20C5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</xdr:row>
      <xdr:rowOff>0</xdr:rowOff>
    </xdr:from>
    <xdr:to>
      <xdr:col>0</xdr:col>
      <xdr:colOff>9525</xdr:colOff>
      <xdr:row>365</xdr:row>
      <xdr:rowOff>9525</xdr:rowOff>
    </xdr:to>
    <xdr:pic>
      <xdr:nvPicPr>
        <xdr:cNvPr id="427" name="Obraz 426">
          <a:extLst>
            <a:ext uri="{FF2B5EF4-FFF2-40B4-BE49-F238E27FC236}">
              <a16:creationId xmlns:a16="http://schemas.microsoft.com/office/drawing/2014/main" id="{FF85B9F1-94E6-45A3-8581-ACD3B38A2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58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9525</xdr:colOff>
      <xdr:row>368</xdr:row>
      <xdr:rowOff>9525</xdr:rowOff>
    </xdr:to>
    <xdr:pic>
      <xdr:nvPicPr>
        <xdr:cNvPr id="428" name="Obraz 427">
          <a:extLst>
            <a:ext uri="{FF2B5EF4-FFF2-40B4-BE49-F238E27FC236}">
              <a16:creationId xmlns:a16="http://schemas.microsoft.com/office/drawing/2014/main" id="{66CB2099-F3AE-46E6-B832-C67A8154B1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34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9525</xdr:colOff>
      <xdr:row>371</xdr:row>
      <xdr:rowOff>9525</xdr:rowOff>
    </xdr:to>
    <xdr:pic>
      <xdr:nvPicPr>
        <xdr:cNvPr id="429" name="Obraz 428">
          <a:extLst>
            <a:ext uri="{FF2B5EF4-FFF2-40B4-BE49-F238E27FC236}">
              <a16:creationId xmlns:a16="http://schemas.microsoft.com/office/drawing/2014/main" id="{9A6BB789-8D60-4B76-A85C-107865C35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8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9525</xdr:colOff>
      <xdr:row>374</xdr:row>
      <xdr:rowOff>9525</xdr:rowOff>
    </xdr:to>
    <xdr:pic>
      <xdr:nvPicPr>
        <xdr:cNvPr id="430" name="Obraz 429">
          <a:extLst>
            <a:ext uri="{FF2B5EF4-FFF2-40B4-BE49-F238E27FC236}">
              <a16:creationId xmlns:a16="http://schemas.microsoft.com/office/drawing/2014/main" id="{164F72B0-8583-40BB-9A7F-C1870B73B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67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0</xdr:col>
      <xdr:colOff>9525</xdr:colOff>
      <xdr:row>376</xdr:row>
      <xdr:rowOff>9525</xdr:rowOff>
    </xdr:to>
    <xdr:pic>
      <xdr:nvPicPr>
        <xdr:cNvPr id="431" name="Obraz 430">
          <a:extLst>
            <a:ext uri="{FF2B5EF4-FFF2-40B4-BE49-F238E27FC236}">
              <a16:creationId xmlns:a16="http://schemas.microsoft.com/office/drawing/2014/main" id="{7D96D291-41F1-4383-AAB6-DCBF5C9368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9525</xdr:colOff>
      <xdr:row>380</xdr:row>
      <xdr:rowOff>9525</xdr:rowOff>
    </xdr:to>
    <xdr:pic>
      <xdr:nvPicPr>
        <xdr:cNvPr id="432" name="Obraz 431">
          <a:extLst>
            <a:ext uri="{FF2B5EF4-FFF2-40B4-BE49-F238E27FC236}">
              <a16:creationId xmlns:a16="http://schemas.microsoft.com/office/drawing/2014/main" id="{B10F9FBC-8EB4-487C-BC4E-CD72E7E89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9525</xdr:colOff>
      <xdr:row>381</xdr:row>
      <xdr:rowOff>9525</xdr:rowOff>
    </xdr:to>
    <xdr:pic>
      <xdr:nvPicPr>
        <xdr:cNvPr id="433" name="Obraz 432">
          <a:extLst>
            <a:ext uri="{FF2B5EF4-FFF2-40B4-BE49-F238E27FC236}">
              <a16:creationId xmlns:a16="http://schemas.microsoft.com/office/drawing/2014/main" id="{AF5829A6-C748-401B-BA28-143E5B952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77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9525</xdr:colOff>
      <xdr:row>383</xdr:row>
      <xdr:rowOff>9525</xdr:rowOff>
    </xdr:to>
    <xdr:pic>
      <xdr:nvPicPr>
        <xdr:cNvPr id="434" name="Obraz 433">
          <a:extLst>
            <a:ext uri="{FF2B5EF4-FFF2-40B4-BE49-F238E27FC236}">
              <a16:creationId xmlns:a16="http://schemas.microsoft.com/office/drawing/2014/main" id="{8293DA78-4280-4938-88D3-552D46340A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53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9525</xdr:colOff>
      <xdr:row>387</xdr:row>
      <xdr:rowOff>9525</xdr:rowOff>
    </xdr:to>
    <xdr:pic>
      <xdr:nvPicPr>
        <xdr:cNvPr id="435" name="Obraz 434">
          <a:extLst>
            <a:ext uri="{FF2B5EF4-FFF2-40B4-BE49-F238E27FC236}">
              <a16:creationId xmlns:a16="http://schemas.microsoft.com/office/drawing/2014/main" id="{3CCF45D0-262B-420D-8404-B0DD9AE90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67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389</xdr:row>
      <xdr:rowOff>0</xdr:rowOff>
    </xdr:from>
    <xdr:to>
      <xdr:col>0</xdr:col>
      <xdr:colOff>9525</xdr:colOff>
      <xdr:row>389</xdr:row>
      <xdr:rowOff>9525</xdr:rowOff>
    </xdr:to>
    <xdr:pic>
      <xdr:nvPicPr>
        <xdr:cNvPr id="436" name="Obraz 435">
          <a:extLst>
            <a:ext uri="{FF2B5EF4-FFF2-40B4-BE49-F238E27FC236}">
              <a16:creationId xmlns:a16="http://schemas.microsoft.com/office/drawing/2014/main" id="{3CF27030-08DA-4466-BA23-F09987993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86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0</xdr:col>
      <xdr:colOff>9525</xdr:colOff>
      <xdr:row>391</xdr:row>
      <xdr:rowOff>9525</xdr:rowOff>
    </xdr:to>
    <xdr:pic>
      <xdr:nvPicPr>
        <xdr:cNvPr id="437" name="Obraz 436">
          <a:extLst>
            <a:ext uri="{FF2B5EF4-FFF2-40B4-BE49-F238E27FC236}">
              <a16:creationId xmlns:a16="http://schemas.microsoft.com/office/drawing/2014/main" id="{61CAB5A0-5EBF-423D-8DBF-2E03134AF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63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395</xdr:row>
      <xdr:rowOff>0</xdr:rowOff>
    </xdr:from>
    <xdr:to>
      <xdr:col>0</xdr:col>
      <xdr:colOff>9525</xdr:colOff>
      <xdr:row>395</xdr:row>
      <xdr:rowOff>9525</xdr:rowOff>
    </xdr:to>
    <xdr:pic>
      <xdr:nvPicPr>
        <xdr:cNvPr id="438" name="Obraz 437">
          <a:extLst>
            <a:ext uri="{FF2B5EF4-FFF2-40B4-BE49-F238E27FC236}">
              <a16:creationId xmlns:a16="http://schemas.microsoft.com/office/drawing/2014/main" id="{A6CC5EC0-8700-43AC-A7EA-5DCB976FE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77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9525</xdr:colOff>
      <xdr:row>398</xdr:row>
      <xdr:rowOff>9525</xdr:rowOff>
    </xdr:to>
    <xdr:pic>
      <xdr:nvPicPr>
        <xdr:cNvPr id="439" name="Obraz 438">
          <a:extLst>
            <a:ext uri="{FF2B5EF4-FFF2-40B4-BE49-F238E27FC236}">
              <a16:creationId xmlns:a16="http://schemas.microsoft.com/office/drawing/2014/main" id="{F2986FE6-6BD8-4B60-B1E3-A3F79831D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6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399</xdr:row>
      <xdr:rowOff>0</xdr:rowOff>
    </xdr:from>
    <xdr:to>
      <xdr:col>0</xdr:col>
      <xdr:colOff>9525</xdr:colOff>
      <xdr:row>399</xdr:row>
      <xdr:rowOff>9525</xdr:rowOff>
    </xdr:to>
    <xdr:pic>
      <xdr:nvPicPr>
        <xdr:cNvPr id="440" name="Obraz 439">
          <a:extLst>
            <a:ext uri="{FF2B5EF4-FFF2-40B4-BE49-F238E27FC236}">
              <a16:creationId xmlns:a16="http://schemas.microsoft.com/office/drawing/2014/main" id="{30BE9CAB-2542-4239-B8A6-0804856C7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2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9525</xdr:colOff>
      <xdr:row>402</xdr:row>
      <xdr:rowOff>9525</xdr:rowOff>
    </xdr:to>
    <xdr:pic>
      <xdr:nvPicPr>
        <xdr:cNvPr id="441" name="Obraz 440">
          <a:extLst>
            <a:ext uri="{FF2B5EF4-FFF2-40B4-BE49-F238E27FC236}">
              <a16:creationId xmlns:a16="http://schemas.microsoft.com/office/drawing/2014/main" id="{F6250B53-CDBD-4509-973D-846D2B43D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67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9525</xdr:colOff>
      <xdr:row>398</xdr:row>
      <xdr:rowOff>9525</xdr:rowOff>
    </xdr:to>
    <xdr:pic>
      <xdr:nvPicPr>
        <xdr:cNvPr id="442" name="Obraz 441">
          <a:extLst>
            <a:ext uri="{FF2B5EF4-FFF2-40B4-BE49-F238E27FC236}">
              <a16:creationId xmlns:a16="http://schemas.microsoft.com/office/drawing/2014/main" id="{2D731FD6-B00A-4EDD-9804-9348360CA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96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400</xdr:row>
      <xdr:rowOff>0</xdr:rowOff>
    </xdr:from>
    <xdr:to>
      <xdr:col>0</xdr:col>
      <xdr:colOff>9525</xdr:colOff>
      <xdr:row>400</xdr:row>
      <xdr:rowOff>9525</xdr:rowOff>
    </xdr:to>
    <xdr:pic>
      <xdr:nvPicPr>
        <xdr:cNvPr id="443" name="Obraz 442">
          <a:extLst>
            <a:ext uri="{FF2B5EF4-FFF2-40B4-BE49-F238E27FC236}">
              <a16:creationId xmlns:a16="http://schemas.microsoft.com/office/drawing/2014/main" id="{818BF45F-7AE5-4C47-9B8D-BDEBBCCCB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72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404</xdr:row>
      <xdr:rowOff>0</xdr:rowOff>
    </xdr:from>
    <xdr:to>
      <xdr:col>0</xdr:col>
      <xdr:colOff>9525</xdr:colOff>
      <xdr:row>404</xdr:row>
      <xdr:rowOff>9525</xdr:rowOff>
    </xdr:to>
    <xdr:pic>
      <xdr:nvPicPr>
        <xdr:cNvPr id="444" name="Obraz 443">
          <a:extLst>
            <a:ext uri="{FF2B5EF4-FFF2-40B4-BE49-F238E27FC236}">
              <a16:creationId xmlns:a16="http://schemas.microsoft.com/office/drawing/2014/main" id="{DA8283BA-28A5-4085-B7DD-B65A4EAAD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7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9525</xdr:colOff>
      <xdr:row>406</xdr:row>
      <xdr:rowOff>9525</xdr:rowOff>
    </xdr:to>
    <xdr:pic>
      <xdr:nvPicPr>
        <xdr:cNvPr id="445" name="Obraz 444">
          <a:extLst>
            <a:ext uri="{FF2B5EF4-FFF2-40B4-BE49-F238E27FC236}">
              <a16:creationId xmlns:a16="http://schemas.microsoft.com/office/drawing/2014/main" id="{713A3055-58CD-4861-A13A-E67989AC4F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06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9525</xdr:colOff>
      <xdr:row>409</xdr:row>
      <xdr:rowOff>9525</xdr:rowOff>
    </xdr:to>
    <xdr:pic>
      <xdr:nvPicPr>
        <xdr:cNvPr id="446" name="Obraz 445">
          <a:extLst>
            <a:ext uri="{FF2B5EF4-FFF2-40B4-BE49-F238E27FC236}">
              <a16:creationId xmlns:a16="http://schemas.microsoft.com/office/drawing/2014/main" id="{11CCB165-5292-42C3-9AF4-180EEC767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82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9525</xdr:colOff>
      <xdr:row>412</xdr:row>
      <xdr:rowOff>9525</xdr:rowOff>
    </xdr:to>
    <xdr:pic>
      <xdr:nvPicPr>
        <xdr:cNvPr id="447" name="Obraz 446">
          <a:extLst>
            <a:ext uri="{FF2B5EF4-FFF2-40B4-BE49-F238E27FC236}">
              <a16:creationId xmlns:a16="http://schemas.microsoft.com/office/drawing/2014/main" id="{2456A4E5-A3A6-499C-9AD2-98602F3F1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96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415</xdr:row>
      <xdr:rowOff>0</xdr:rowOff>
    </xdr:from>
    <xdr:to>
      <xdr:col>0</xdr:col>
      <xdr:colOff>9525</xdr:colOff>
      <xdr:row>415</xdr:row>
      <xdr:rowOff>9525</xdr:rowOff>
    </xdr:to>
    <xdr:pic>
      <xdr:nvPicPr>
        <xdr:cNvPr id="448" name="Obraz 447">
          <a:extLst>
            <a:ext uri="{FF2B5EF4-FFF2-40B4-BE49-F238E27FC236}">
              <a16:creationId xmlns:a16="http://schemas.microsoft.com/office/drawing/2014/main" id="{FF16D6E9-0F6A-48F3-A521-1655C34B1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15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9525</xdr:colOff>
      <xdr:row>417</xdr:row>
      <xdr:rowOff>9525</xdr:rowOff>
    </xdr:to>
    <xdr:pic>
      <xdr:nvPicPr>
        <xdr:cNvPr id="449" name="Obraz 448">
          <a:extLst>
            <a:ext uri="{FF2B5EF4-FFF2-40B4-BE49-F238E27FC236}">
              <a16:creationId xmlns:a16="http://schemas.microsoft.com/office/drawing/2014/main" id="{3F26CF4E-473E-47C5-A880-AA59D0C92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91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421</xdr:row>
      <xdr:rowOff>0</xdr:rowOff>
    </xdr:from>
    <xdr:to>
      <xdr:col>0</xdr:col>
      <xdr:colOff>9525</xdr:colOff>
      <xdr:row>421</xdr:row>
      <xdr:rowOff>9525</xdr:rowOff>
    </xdr:to>
    <xdr:pic>
      <xdr:nvPicPr>
        <xdr:cNvPr id="450" name="Obraz 449">
          <a:extLst>
            <a:ext uri="{FF2B5EF4-FFF2-40B4-BE49-F238E27FC236}">
              <a16:creationId xmlns:a16="http://schemas.microsoft.com/office/drawing/2014/main" id="{A9D14CA9-DB36-4DAB-B7B0-A0BED15A3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06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9525</xdr:colOff>
      <xdr:row>424</xdr:row>
      <xdr:rowOff>9525</xdr:rowOff>
    </xdr:to>
    <xdr:pic>
      <xdr:nvPicPr>
        <xdr:cNvPr id="451" name="Obraz 450">
          <a:extLst>
            <a:ext uri="{FF2B5EF4-FFF2-40B4-BE49-F238E27FC236}">
              <a16:creationId xmlns:a16="http://schemas.microsoft.com/office/drawing/2014/main" id="{84A2F060-C0CC-4B26-B7A1-005640A3F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25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9525</xdr:colOff>
      <xdr:row>426</xdr:row>
      <xdr:rowOff>9525</xdr:rowOff>
    </xdr:to>
    <xdr:pic>
      <xdr:nvPicPr>
        <xdr:cNvPr id="452" name="Obraz 451">
          <a:extLst>
            <a:ext uri="{FF2B5EF4-FFF2-40B4-BE49-F238E27FC236}">
              <a16:creationId xmlns:a16="http://schemas.microsoft.com/office/drawing/2014/main" id="{8C5731E8-F73E-4B74-8C04-A8E3994F4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1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9525</xdr:colOff>
      <xdr:row>430</xdr:row>
      <xdr:rowOff>9525</xdr:rowOff>
    </xdr:to>
    <xdr:pic>
      <xdr:nvPicPr>
        <xdr:cNvPr id="453" name="Obraz 452">
          <a:extLst>
            <a:ext uri="{FF2B5EF4-FFF2-40B4-BE49-F238E27FC236}">
              <a16:creationId xmlns:a16="http://schemas.microsoft.com/office/drawing/2014/main" id="{BDB6CEC5-1E00-4D3F-929F-CAFE9B405D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15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0</xdr:col>
      <xdr:colOff>9525</xdr:colOff>
      <xdr:row>431</xdr:row>
      <xdr:rowOff>9525</xdr:rowOff>
    </xdr:to>
    <xdr:pic>
      <xdr:nvPicPr>
        <xdr:cNvPr id="454" name="Obraz 453">
          <a:extLst>
            <a:ext uri="{FF2B5EF4-FFF2-40B4-BE49-F238E27FC236}">
              <a16:creationId xmlns:a16="http://schemas.microsoft.com/office/drawing/2014/main" id="{0E944828-7420-4270-9950-C181EA497D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9525</xdr:colOff>
      <xdr:row>434</xdr:row>
      <xdr:rowOff>9525</xdr:rowOff>
    </xdr:to>
    <xdr:pic>
      <xdr:nvPicPr>
        <xdr:cNvPr id="455" name="Obraz 454">
          <a:extLst>
            <a:ext uri="{FF2B5EF4-FFF2-40B4-BE49-F238E27FC236}">
              <a16:creationId xmlns:a16="http://schemas.microsoft.com/office/drawing/2014/main" id="{8C5A155D-C807-41B1-8F1D-AE580B80B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0</xdr:col>
      <xdr:colOff>9525</xdr:colOff>
      <xdr:row>436</xdr:row>
      <xdr:rowOff>9525</xdr:rowOff>
    </xdr:to>
    <xdr:pic>
      <xdr:nvPicPr>
        <xdr:cNvPr id="456" name="Obraz 455">
          <a:extLst>
            <a:ext uri="{FF2B5EF4-FFF2-40B4-BE49-F238E27FC236}">
              <a16:creationId xmlns:a16="http://schemas.microsoft.com/office/drawing/2014/main" id="{6C54B6CE-D97C-4FEB-86A7-14A2352E1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439</xdr:row>
      <xdr:rowOff>0</xdr:rowOff>
    </xdr:from>
    <xdr:to>
      <xdr:col>0</xdr:col>
      <xdr:colOff>9525</xdr:colOff>
      <xdr:row>439</xdr:row>
      <xdr:rowOff>9525</xdr:rowOff>
    </xdr:to>
    <xdr:pic>
      <xdr:nvPicPr>
        <xdr:cNvPr id="457" name="Obraz 456">
          <a:extLst>
            <a:ext uri="{FF2B5EF4-FFF2-40B4-BE49-F238E27FC236}">
              <a16:creationId xmlns:a16="http://schemas.microsoft.com/office/drawing/2014/main" id="{900BAA70-6219-4DAE-AC33-ED2F8F636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44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9525</xdr:colOff>
      <xdr:row>442</xdr:row>
      <xdr:rowOff>9525</xdr:rowOff>
    </xdr:to>
    <xdr:pic>
      <xdr:nvPicPr>
        <xdr:cNvPr id="458" name="Obraz 457">
          <a:extLst>
            <a:ext uri="{FF2B5EF4-FFF2-40B4-BE49-F238E27FC236}">
              <a16:creationId xmlns:a16="http://schemas.microsoft.com/office/drawing/2014/main" id="{46635C7A-C46E-483D-83F1-EC9D85D8C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9525</xdr:colOff>
      <xdr:row>445</xdr:row>
      <xdr:rowOff>9525</xdr:rowOff>
    </xdr:to>
    <xdr:pic>
      <xdr:nvPicPr>
        <xdr:cNvPr id="459" name="Obraz 458">
          <a:extLst>
            <a:ext uri="{FF2B5EF4-FFF2-40B4-BE49-F238E27FC236}">
              <a16:creationId xmlns:a16="http://schemas.microsoft.com/office/drawing/2014/main" id="{AF258675-75D4-4F04-B7FB-9DE565DA2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9525</xdr:colOff>
      <xdr:row>449</xdr:row>
      <xdr:rowOff>9525</xdr:rowOff>
    </xdr:to>
    <xdr:pic>
      <xdr:nvPicPr>
        <xdr:cNvPr id="460" name="Obraz 459">
          <a:extLst>
            <a:ext uri="{FF2B5EF4-FFF2-40B4-BE49-F238E27FC236}">
              <a16:creationId xmlns:a16="http://schemas.microsoft.com/office/drawing/2014/main" id="{A29A6691-DEEC-43B8-85D3-9920234579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72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451</xdr:row>
      <xdr:rowOff>0</xdr:rowOff>
    </xdr:from>
    <xdr:to>
      <xdr:col>0</xdr:col>
      <xdr:colOff>9525</xdr:colOff>
      <xdr:row>451</xdr:row>
      <xdr:rowOff>9525</xdr:rowOff>
    </xdr:to>
    <xdr:pic>
      <xdr:nvPicPr>
        <xdr:cNvPr id="461" name="Obraz 460">
          <a:extLst>
            <a:ext uri="{FF2B5EF4-FFF2-40B4-BE49-F238E27FC236}">
              <a16:creationId xmlns:a16="http://schemas.microsoft.com/office/drawing/2014/main" id="{55B5DA85-533B-49D6-A5FE-B9F524B64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91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0</xdr:col>
      <xdr:colOff>9525</xdr:colOff>
      <xdr:row>453</xdr:row>
      <xdr:rowOff>9525</xdr:rowOff>
    </xdr:to>
    <xdr:pic>
      <xdr:nvPicPr>
        <xdr:cNvPr id="462" name="Obraz 461">
          <a:extLst>
            <a:ext uri="{FF2B5EF4-FFF2-40B4-BE49-F238E27FC236}">
              <a16:creationId xmlns:a16="http://schemas.microsoft.com/office/drawing/2014/main" id="{C5AC7C8E-F738-4283-98BE-84E9E8F54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68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457</xdr:row>
      <xdr:rowOff>0</xdr:rowOff>
    </xdr:from>
    <xdr:to>
      <xdr:col>0</xdr:col>
      <xdr:colOff>9525</xdr:colOff>
      <xdr:row>457</xdr:row>
      <xdr:rowOff>9525</xdr:rowOff>
    </xdr:to>
    <xdr:pic>
      <xdr:nvPicPr>
        <xdr:cNvPr id="463" name="Obraz 462">
          <a:extLst>
            <a:ext uri="{FF2B5EF4-FFF2-40B4-BE49-F238E27FC236}">
              <a16:creationId xmlns:a16="http://schemas.microsoft.com/office/drawing/2014/main" id="{C57C0DDD-D3DF-4520-B2B3-7A29744CA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82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9525</xdr:colOff>
      <xdr:row>460</xdr:row>
      <xdr:rowOff>9525</xdr:rowOff>
    </xdr:to>
    <xdr:pic>
      <xdr:nvPicPr>
        <xdr:cNvPr id="464" name="Obraz 463">
          <a:extLst>
            <a:ext uri="{FF2B5EF4-FFF2-40B4-BE49-F238E27FC236}">
              <a16:creationId xmlns:a16="http://schemas.microsoft.com/office/drawing/2014/main" id="{F1FC86E8-32BD-4C64-A7B6-FCB86EF09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1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9525</xdr:colOff>
      <xdr:row>461</xdr:row>
      <xdr:rowOff>9525</xdr:rowOff>
    </xdr:to>
    <xdr:pic>
      <xdr:nvPicPr>
        <xdr:cNvPr id="465" name="Obraz 464">
          <a:extLst>
            <a:ext uri="{FF2B5EF4-FFF2-40B4-BE49-F238E27FC236}">
              <a16:creationId xmlns:a16="http://schemas.microsoft.com/office/drawing/2014/main" id="{6903C564-982F-49D9-9471-D47555F67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77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464</xdr:row>
      <xdr:rowOff>0</xdr:rowOff>
    </xdr:from>
    <xdr:to>
      <xdr:col>0</xdr:col>
      <xdr:colOff>9525</xdr:colOff>
      <xdr:row>464</xdr:row>
      <xdr:rowOff>9525</xdr:rowOff>
    </xdr:to>
    <xdr:pic>
      <xdr:nvPicPr>
        <xdr:cNvPr id="466" name="Obraz 465">
          <a:extLst>
            <a:ext uri="{FF2B5EF4-FFF2-40B4-BE49-F238E27FC236}">
              <a16:creationId xmlns:a16="http://schemas.microsoft.com/office/drawing/2014/main" id="{86AD8506-BD3F-4DDD-809A-16016E7190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2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0</xdr:col>
      <xdr:colOff>9525</xdr:colOff>
      <xdr:row>467</xdr:row>
      <xdr:rowOff>9525</xdr:rowOff>
    </xdr:to>
    <xdr:pic>
      <xdr:nvPicPr>
        <xdr:cNvPr id="467" name="Obraz 466">
          <a:extLst>
            <a:ext uri="{FF2B5EF4-FFF2-40B4-BE49-F238E27FC236}">
              <a16:creationId xmlns:a16="http://schemas.microsoft.com/office/drawing/2014/main" id="{6045CFCC-3411-4697-AF7E-487A4E55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1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9525</xdr:colOff>
      <xdr:row>470</xdr:row>
      <xdr:rowOff>9525</xdr:rowOff>
    </xdr:to>
    <xdr:pic>
      <xdr:nvPicPr>
        <xdr:cNvPr id="468" name="Obraz 467">
          <a:extLst>
            <a:ext uri="{FF2B5EF4-FFF2-40B4-BE49-F238E27FC236}">
              <a16:creationId xmlns:a16="http://schemas.microsoft.com/office/drawing/2014/main" id="{DD3AEDDE-EED4-40D2-B42E-5D263806D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87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9525</xdr:colOff>
      <xdr:row>473</xdr:row>
      <xdr:rowOff>9525</xdr:rowOff>
    </xdr:to>
    <xdr:pic>
      <xdr:nvPicPr>
        <xdr:cNvPr id="469" name="Obraz 468">
          <a:extLst>
            <a:ext uri="{FF2B5EF4-FFF2-40B4-BE49-F238E27FC236}">
              <a16:creationId xmlns:a16="http://schemas.microsoft.com/office/drawing/2014/main" id="{0D9815C8-6FD5-43CE-9438-C4989DA2C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2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475</xdr:row>
      <xdr:rowOff>0</xdr:rowOff>
    </xdr:from>
    <xdr:to>
      <xdr:col>0</xdr:col>
      <xdr:colOff>9525</xdr:colOff>
      <xdr:row>475</xdr:row>
      <xdr:rowOff>9525</xdr:rowOff>
    </xdr:to>
    <xdr:pic>
      <xdr:nvPicPr>
        <xdr:cNvPr id="470" name="Obraz 469">
          <a:extLst>
            <a:ext uri="{FF2B5EF4-FFF2-40B4-BE49-F238E27FC236}">
              <a16:creationId xmlns:a16="http://schemas.microsoft.com/office/drawing/2014/main" id="{A59C5991-A82A-476D-953B-0ECC82EC9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20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477</xdr:row>
      <xdr:rowOff>0</xdr:rowOff>
    </xdr:from>
    <xdr:to>
      <xdr:col>0</xdr:col>
      <xdr:colOff>9525</xdr:colOff>
      <xdr:row>477</xdr:row>
      <xdr:rowOff>9525</xdr:rowOff>
    </xdr:to>
    <xdr:pic>
      <xdr:nvPicPr>
        <xdr:cNvPr id="471" name="Obraz 470">
          <a:extLst>
            <a:ext uri="{FF2B5EF4-FFF2-40B4-BE49-F238E27FC236}">
              <a16:creationId xmlns:a16="http://schemas.microsoft.com/office/drawing/2014/main" id="{227B44D8-D04D-4A7E-80FF-8444D56D3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96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0</xdr:col>
      <xdr:colOff>9525</xdr:colOff>
      <xdr:row>481</xdr:row>
      <xdr:rowOff>9525</xdr:rowOff>
    </xdr:to>
    <xdr:pic>
      <xdr:nvPicPr>
        <xdr:cNvPr id="472" name="Obraz 471">
          <a:extLst>
            <a:ext uri="{FF2B5EF4-FFF2-40B4-BE49-F238E27FC236}">
              <a16:creationId xmlns:a16="http://schemas.microsoft.com/office/drawing/2014/main" id="{4291747D-CF58-45FA-8A1F-EF7E5885C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11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9525</xdr:colOff>
      <xdr:row>483</xdr:row>
      <xdr:rowOff>9525</xdr:rowOff>
    </xdr:to>
    <xdr:pic>
      <xdr:nvPicPr>
        <xdr:cNvPr id="473" name="Obraz 472">
          <a:extLst>
            <a:ext uri="{FF2B5EF4-FFF2-40B4-BE49-F238E27FC236}">
              <a16:creationId xmlns:a16="http://schemas.microsoft.com/office/drawing/2014/main" id="{AB9FE362-E4EA-4D3F-88C4-F97BDFDB30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0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485</xdr:row>
      <xdr:rowOff>0</xdr:rowOff>
    </xdr:from>
    <xdr:to>
      <xdr:col>0</xdr:col>
      <xdr:colOff>9525</xdr:colOff>
      <xdr:row>485</xdr:row>
      <xdr:rowOff>9525</xdr:rowOff>
    </xdr:to>
    <xdr:pic>
      <xdr:nvPicPr>
        <xdr:cNvPr id="474" name="Obraz 473">
          <a:extLst>
            <a:ext uri="{FF2B5EF4-FFF2-40B4-BE49-F238E27FC236}">
              <a16:creationId xmlns:a16="http://schemas.microsoft.com/office/drawing/2014/main" id="{E20B9A23-F379-4D60-9676-9204BE340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6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488</xdr:row>
      <xdr:rowOff>0</xdr:rowOff>
    </xdr:from>
    <xdr:to>
      <xdr:col>0</xdr:col>
      <xdr:colOff>9525</xdr:colOff>
      <xdr:row>488</xdr:row>
      <xdr:rowOff>9525</xdr:rowOff>
    </xdr:to>
    <xdr:pic>
      <xdr:nvPicPr>
        <xdr:cNvPr id="475" name="Obraz 474">
          <a:extLst>
            <a:ext uri="{FF2B5EF4-FFF2-40B4-BE49-F238E27FC236}">
              <a16:creationId xmlns:a16="http://schemas.microsoft.com/office/drawing/2014/main" id="{D1E7F614-25AE-4AF8-AA19-27EA698CC7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20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9525</xdr:colOff>
      <xdr:row>483</xdr:row>
      <xdr:rowOff>9525</xdr:rowOff>
    </xdr:to>
    <xdr:pic>
      <xdr:nvPicPr>
        <xdr:cNvPr id="476" name="Obraz 475">
          <a:extLst>
            <a:ext uri="{FF2B5EF4-FFF2-40B4-BE49-F238E27FC236}">
              <a16:creationId xmlns:a16="http://schemas.microsoft.com/office/drawing/2014/main" id="{673AFEDE-E7B8-459C-9770-064580131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30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486</xdr:row>
      <xdr:rowOff>0</xdr:rowOff>
    </xdr:from>
    <xdr:to>
      <xdr:col>0</xdr:col>
      <xdr:colOff>9525</xdr:colOff>
      <xdr:row>486</xdr:row>
      <xdr:rowOff>9525</xdr:rowOff>
    </xdr:to>
    <xdr:pic>
      <xdr:nvPicPr>
        <xdr:cNvPr id="477" name="Obraz 476">
          <a:extLst>
            <a:ext uri="{FF2B5EF4-FFF2-40B4-BE49-F238E27FC236}">
              <a16:creationId xmlns:a16="http://schemas.microsoft.com/office/drawing/2014/main" id="{4BCA640F-36F6-434D-BA65-C6511A412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06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0</xdr:col>
      <xdr:colOff>9525</xdr:colOff>
      <xdr:row>489</xdr:row>
      <xdr:rowOff>9525</xdr:rowOff>
    </xdr:to>
    <xdr:pic>
      <xdr:nvPicPr>
        <xdr:cNvPr id="478" name="Obraz 477">
          <a:extLst>
            <a:ext uri="{FF2B5EF4-FFF2-40B4-BE49-F238E27FC236}">
              <a16:creationId xmlns:a16="http://schemas.microsoft.com/office/drawing/2014/main" id="{D2FC189D-BABC-4342-A143-1A5E2664C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0</xdr:col>
      <xdr:colOff>9525</xdr:colOff>
      <xdr:row>493</xdr:row>
      <xdr:rowOff>9525</xdr:rowOff>
    </xdr:to>
    <xdr:pic>
      <xdr:nvPicPr>
        <xdr:cNvPr id="479" name="Obraz 478">
          <a:extLst>
            <a:ext uri="{FF2B5EF4-FFF2-40B4-BE49-F238E27FC236}">
              <a16:creationId xmlns:a16="http://schemas.microsoft.com/office/drawing/2014/main" id="{C1F08B4A-1FC0-49A0-A571-F63E77C45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58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495</xdr:row>
      <xdr:rowOff>0</xdr:rowOff>
    </xdr:from>
    <xdr:to>
      <xdr:col>0</xdr:col>
      <xdr:colOff>9525</xdr:colOff>
      <xdr:row>495</xdr:row>
      <xdr:rowOff>9525</xdr:rowOff>
    </xdr:to>
    <xdr:pic>
      <xdr:nvPicPr>
        <xdr:cNvPr id="480" name="Obraz 479">
          <a:extLst>
            <a:ext uri="{FF2B5EF4-FFF2-40B4-BE49-F238E27FC236}">
              <a16:creationId xmlns:a16="http://schemas.microsoft.com/office/drawing/2014/main" id="{941EB24D-0015-460F-AA10-C12D98BF2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34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9525</xdr:colOff>
      <xdr:row>498</xdr:row>
      <xdr:rowOff>9525</xdr:rowOff>
    </xdr:to>
    <xdr:pic>
      <xdr:nvPicPr>
        <xdr:cNvPr id="481" name="Obraz 480">
          <a:extLst>
            <a:ext uri="{FF2B5EF4-FFF2-40B4-BE49-F238E27FC236}">
              <a16:creationId xmlns:a16="http://schemas.microsoft.com/office/drawing/2014/main" id="{E45EA787-EB4A-4ECD-A418-5F304E1EF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49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9525</xdr:colOff>
      <xdr:row>499</xdr:row>
      <xdr:rowOff>0</xdr:rowOff>
    </xdr:to>
    <xdr:pic>
      <xdr:nvPicPr>
        <xdr:cNvPr id="482" name="Obraz 481">
          <a:extLst>
            <a:ext uri="{FF2B5EF4-FFF2-40B4-BE49-F238E27FC236}">
              <a16:creationId xmlns:a16="http://schemas.microsoft.com/office/drawing/2014/main" id="{D47A64AB-3C1D-4C3A-8E24-85BC0F838F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06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499</xdr:row>
      <xdr:rowOff>0</xdr:rowOff>
    </xdr:from>
    <xdr:to>
      <xdr:col>0</xdr:col>
      <xdr:colOff>9525</xdr:colOff>
      <xdr:row>499</xdr:row>
      <xdr:rowOff>0</xdr:rowOff>
    </xdr:to>
    <xdr:pic>
      <xdr:nvPicPr>
        <xdr:cNvPr id="483" name="Obraz 482">
          <a:extLst>
            <a:ext uri="{FF2B5EF4-FFF2-40B4-BE49-F238E27FC236}">
              <a16:creationId xmlns:a16="http://schemas.microsoft.com/office/drawing/2014/main" id="{2FD05412-910F-4C77-97CF-29C7580CC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44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9525</xdr:colOff>
      <xdr:row>500</xdr:row>
      <xdr:rowOff>9525</xdr:rowOff>
    </xdr:to>
    <xdr:pic>
      <xdr:nvPicPr>
        <xdr:cNvPr id="484" name="Obraz 483">
          <a:extLst>
            <a:ext uri="{FF2B5EF4-FFF2-40B4-BE49-F238E27FC236}">
              <a16:creationId xmlns:a16="http://schemas.microsoft.com/office/drawing/2014/main" id="{839C76DE-4FE0-4F37-BD03-CD8C44034C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7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9525</xdr:colOff>
      <xdr:row>503</xdr:row>
      <xdr:rowOff>9525</xdr:rowOff>
    </xdr:to>
    <xdr:pic>
      <xdr:nvPicPr>
        <xdr:cNvPr id="485" name="Obraz 484">
          <a:extLst>
            <a:ext uri="{FF2B5EF4-FFF2-40B4-BE49-F238E27FC236}">
              <a16:creationId xmlns:a16="http://schemas.microsoft.com/office/drawing/2014/main" id="{288076E3-7814-47AB-AF66-212BF4D8A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0</xdr:col>
      <xdr:colOff>9525</xdr:colOff>
      <xdr:row>506</xdr:row>
      <xdr:rowOff>9525</xdr:rowOff>
    </xdr:to>
    <xdr:pic>
      <xdr:nvPicPr>
        <xdr:cNvPr id="486" name="Obraz 485">
          <a:extLst>
            <a:ext uri="{FF2B5EF4-FFF2-40B4-BE49-F238E27FC236}">
              <a16:creationId xmlns:a16="http://schemas.microsoft.com/office/drawing/2014/main" id="{F47F3080-C623-4F76-86F6-E8C834AF7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58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510</xdr:row>
      <xdr:rowOff>0</xdr:rowOff>
    </xdr:from>
    <xdr:to>
      <xdr:col>0</xdr:col>
      <xdr:colOff>9525</xdr:colOff>
      <xdr:row>510</xdr:row>
      <xdr:rowOff>9525</xdr:rowOff>
    </xdr:to>
    <xdr:pic>
      <xdr:nvPicPr>
        <xdr:cNvPr id="487" name="Obraz 486">
          <a:extLst>
            <a:ext uri="{FF2B5EF4-FFF2-40B4-BE49-F238E27FC236}">
              <a16:creationId xmlns:a16="http://schemas.microsoft.com/office/drawing/2014/main" id="{AD63FD7D-E434-4FA6-9A23-5C9E83B3E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15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512</xdr:row>
      <xdr:rowOff>0</xdr:rowOff>
    </xdr:from>
    <xdr:to>
      <xdr:col>0</xdr:col>
      <xdr:colOff>9525</xdr:colOff>
      <xdr:row>512</xdr:row>
      <xdr:rowOff>9525</xdr:rowOff>
    </xdr:to>
    <xdr:pic>
      <xdr:nvPicPr>
        <xdr:cNvPr id="488" name="Obraz 487">
          <a:extLst>
            <a:ext uri="{FF2B5EF4-FFF2-40B4-BE49-F238E27FC236}">
              <a16:creationId xmlns:a16="http://schemas.microsoft.com/office/drawing/2014/main" id="{6CDE4A01-4B6C-4097-8C9D-69C68FA03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2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516</xdr:row>
      <xdr:rowOff>0</xdr:rowOff>
    </xdr:from>
    <xdr:to>
      <xdr:col>0</xdr:col>
      <xdr:colOff>9525</xdr:colOff>
      <xdr:row>516</xdr:row>
      <xdr:rowOff>9525</xdr:rowOff>
    </xdr:to>
    <xdr:pic>
      <xdr:nvPicPr>
        <xdr:cNvPr id="489" name="Obraz 488">
          <a:extLst>
            <a:ext uri="{FF2B5EF4-FFF2-40B4-BE49-F238E27FC236}">
              <a16:creationId xmlns:a16="http://schemas.microsoft.com/office/drawing/2014/main" id="{2C3DF488-CE5F-4889-A130-48D09C58A1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06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9525</xdr:colOff>
      <xdr:row>518</xdr:row>
      <xdr:rowOff>9525</xdr:rowOff>
    </xdr:to>
    <xdr:pic>
      <xdr:nvPicPr>
        <xdr:cNvPr id="490" name="Obraz 489">
          <a:extLst>
            <a:ext uri="{FF2B5EF4-FFF2-40B4-BE49-F238E27FC236}">
              <a16:creationId xmlns:a16="http://schemas.microsoft.com/office/drawing/2014/main" id="{AB588748-27C0-45C0-8B2C-61436367D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5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521</xdr:row>
      <xdr:rowOff>0</xdr:rowOff>
    </xdr:from>
    <xdr:to>
      <xdr:col>0</xdr:col>
      <xdr:colOff>9525</xdr:colOff>
      <xdr:row>521</xdr:row>
      <xdr:rowOff>9525</xdr:rowOff>
    </xdr:to>
    <xdr:pic>
      <xdr:nvPicPr>
        <xdr:cNvPr id="491" name="Obraz 490">
          <a:extLst>
            <a:ext uri="{FF2B5EF4-FFF2-40B4-BE49-F238E27FC236}">
              <a16:creationId xmlns:a16="http://schemas.microsoft.com/office/drawing/2014/main" id="{958F1C7D-FBEC-408C-978E-50F44B10B4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1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524</xdr:row>
      <xdr:rowOff>0</xdr:rowOff>
    </xdr:from>
    <xdr:to>
      <xdr:col>0</xdr:col>
      <xdr:colOff>9525</xdr:colOff>
      <xdr:row>524</xdr:row>
      <xdr:rowOff>9525</xdr:rowOff>
    </xdr:to>
    <xdr:pic>
      <xdr:nvPicPr>
        <xdr:cNvPr id="492" name="Obraz 491">
          <a:extLst>
            <a:ext uri="{FF2B5EF4-FFF2-40B4-BE49-F238E27FC236}">
              <a16:creationId xmlns:a16="http://schemas.microsoft.com/office/drawing/2014/main" id="{130711CB-8212-4A0F-B41C-0B20032742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96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528</xdr:row>
      <xdr:rowOff>0</xdr:rowOff>
    </xdr:from>
    <xdr:to>
      <xdr:col>0</xdr:col>
      <xdr:colOff>9525</xdr:colOff>
      <xdr:row>528</xdr:row>
      <xdr:rowOff>9525</xdr:rowOff>
    </xdr:to>
    <xdr:pic>
      <xdr:nvPicPr>
        <xdr:cNvPr id="493" name="Obraz 492">
          <a:extLst>
            <a:ext uri="{FF2B5EF4-FFF2-40B4-BE49-F238E27FC236}">
              <a16:creationId xmlns:a16="http://schemas.microsoft.com/office/drawing/2014/main" id="{8C2F0D33-43D8-4576-AE3C-726312A43E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54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530</xdr:row>
      <xdr:rowOff>0</xdr:rowOff>
    </xdr:from>
    <xdr:to>
      <xdr:col>0</xdr:col>
      <xdr:colOff>9525</xdr:colOff>
      <xdr:row>530</xdr:row>
      <xdr:rowOff>9525</xdr:rowOff>
    </xdr:to>
    <xdr:pic>
      <xdr:nvPicPr>
        <xdr:cNvPr id="494" name="Obraz 493">
          <a:extLst>
            <a:ext uri="{FF2B5EF4-FFF2-40B4-BE49-F238E27FC236}">
              <a16:creationId xmlns:a16="http://schemas.microsoft.com/office/drawing/2014/main" id="{A712A246-2D18-472C-A9A2-B0B5203163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30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9525</xdr:colOff>
      <xdr:row>533</xdr:row>
      <xdr:rowOff>9525</xdr:rowOff>
    </xdr:to>
    <xdr:pic>
      <xdr:nvPicPr>
        <xdr:cNvPr id="495" name="Obraz 494">
          <a:extLst>
            <a:ext uri="{FF2B5EF4-FFF2-40B4-BE49-F238E27FC236}">
              <a16:creationId xmlns:a16="http://schemas.microsoft.com/office/drawing/2014/main" id="{5E045B67-0ECE-4E1B-9BDB-B2CEB1E39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44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9525</xdr:colOff>
      <xdr:row>533</xdr:row>
      <xdr:rowOff>9525</xdr:rowOff>
    </xdr:to>
    <xdr:pic>
      <xdr:nvPicPr>
        <xdr:cNvPr id="496" name="Obraz 495">
          <a:extLst>
            <a:ext uri="{FF2B5EF4-FFF2-40B4-BE49-F238E27FC236}">
              <a16:creationId xmlns:a16="http://schemas.microsoft.com/office/drawing/2014/main" id="{B9B51E17-7BAD-4372-98D7-F7D2049E3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63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9525</xdr:colOff>
      <xdr:row>535</xdr:row>
      <xdr:rowOff>9525</xdr:rowOff>
    </xdr:to>
    <xdr:pic>
      <xdr:nvPicPr>
        <xdr:cNvPr id="497" name="Obraz 496">
          <a:extLst>
            <a:ext uri="{FF2B5EF4-FFF2-40B4-BE49-F238E27FC236}">
              <a16:creationId xmlns:a16="http://schemas.microsoft.com/office/drawing/2014/main" id="{98871731-39DD-4518-86E6-C60B334BA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0</xdr:col>
      <xdr:colOff>9525</xdr:colOff>
      <xdr:row>539</xdr:row>
      <xdr:rowOff>9525</xdr:rowOff>
    </xdr:to>
    <xdr:pic>
      <xdr:nvPicPr>
        <xdr:cNvPr id="498" name="Obraz 497">
          <a:extLst>
            <a:ext uri="{FF2B5EF4-FFF2-40B4-BE49-F238E27FC236}">
              <a16:creationId xmlns:a16="http://schemas.microsoft.com/office/drawing/2014/main" id="{697BAD55-EA9D-4C8E-8526-76CDF7075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54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9525</xdr:colOff>
      <xdr:row>541</xdr:row>
      <xdr:rowOff>9525</xdr:rowOff>
    </xdr:to>
    <xdr:pic>
      <xdr:nvPicPr>
        <xdr:cNvPr id="499" name="Obraz 498">
          <a:extLst>
            <a:ext uri="{FF2B5EF4-FFF2-40B4-BE49-F238E27FC236}">
              <a16:creationId xmlns:a16="http://schemas.microsoft.com/office/drawing/2014/main" id="{5C58A5A6-2E4D-45C2-A778-F2B370AF05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1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0</xdr:col>
      <xdr:colOff>9525</xdr:colOff>
      <xdr:row>541</xdr:row>
      <xdr:rowOff>9525</xdr:rowOff>
    </xdr:to>
    <xdr:pic>
      <xdr:nvPicPr>
        <xdr:cNvPr id="500" name="Obraz 499">
          <a:extLst>
            <a:ext uri="{FF2B5EF4-FFF2-40B4-BE49-F238E27FC236}">
              <a16:creationId xmlns:a16="http://schemas.microsoft.com/office/drawing/2014/main" id="{17E4F593-84A4-4129-A50B-6317B302B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49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9525</xdr:colOff>
      <xdr:row>543</xdr:row>
      <xdr:rowOff>9525</xdr:rowOff>
    </xdr:to>
    <xdr:pic>
      <xdr:nvPicPr>
        <xdr:cNvPr id="501" name="Obraz 500">
          <a:extLst>
            <a:ext uri="{FF2B5EF4-FFF2-40B4-BE49-F238E27FC236}">
              <a16:creationId xmlns:a16="http://schemas.microsoft.com/office/drawing/2014/main" id="{5EB47000-19CF-40FD-901E-5B33909C8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92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545</xdr:row>
      <xdr:rowOff>0</xdr:rowOff>
    </xdr:from>
    <xdr:to>
      <xdr:col>0</xdr:col>
      <xdr:colOff>9525</xdr:colOff>
      <xdr:row>545</xdr:row>
      <xdr:rowOff>9525</xdr:rowOff>
    </xdr:to>
    <xdr:pic>
      <xdr:nvPicPr>
        <xdr:cNvPr id="502" name="Obraz 501">
          <a:extLst>
            <a:ext uri="{FF2B5EF4-FFF2-40B4-BE49-F238E27FC236}">
              <a16:creationId xmlns:a16="http://schemas.microsoft.com/office/drawing/2014/main" id="{CEC44579-4F8A-4898-B50C-B57F3AED2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68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0</xdr:col>
      <xdr:colOff>9525</xdr:colOff>
      <xdr:row>548</xdr:row>
      <xdr:rowOff>9525</xdr:rowOff>
    </xdr:to>
    <xdr:pic>
      <xdr:nvPicPr>
        <xdr:cNvPr id="503" name="Obraz 502">
          <a:extLst>
            <a:ext uri="{FF2B5EF4-FFF2-40B4-BE49-F238E27FC236}">
              <a16:creationId xmlns:a16="http://schemas.microsoft.com/office/drawing/2014/main" id="{B867273B-4EEE-4EEA-A550-F0E644131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63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0</xdr:col>
      <xdr:colOff>9525</xdr:colOff>
      <xdr:row>551</xdr:row>
      <xdr:rowOff>9525</xdr:rowOff>
    </xdr:to>
    <xdr:pic>
      <xdr:nvPicPr>
        <xdr:cNvPr id="504" name="Obraz 503">
          <a:extLst>
            <a:ext uri="{FF2B5EF4-FFF2-40B4-BE49-F238E27FC236}">
              <a16:creationId xmlns:a16="http://schemas.microsoft.com/office/drawing/2014/main" id="{B7B804D1-71A0-41F0-88E7-7484114BE7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1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9525</xdr:colOff>
      <xdr:row>554</xdr:row>
      <xdr:rowOff>9525</xdr:rowOff>
    </xdr:to>
    <xdr:pic>
      <xdr:nvPicPr>
        <xdr:cNvPr id="505" name="Obraz 504">
          <a:extLst>
            <a:ext uri="{FF2B5EF4-FFF2-40B4-BE49-F238E27FC236}">
              <a16:creationId xmlns:a16="http://schemas.microsoft.com/office/drawing/2014/main" id="{ECDBED1B-2691-4062-A11B-35CD30B51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77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9525</xdr:colOff>
      <xdr:row>557</xdr:row>
      <xdr:rowOff>9525</xdr:rowOff>
    </xdr:to>
    <xdr:pic>
      <xdr:nvPicPr>
        <xdr:cNvPr id="506" name="Obraz 505">
          <a:extLst>
            <a:ext uri="{FF2B5EF4-FFF2-40B4-BE49-F238E27FC236}">
              <a16:creationId xmlns:a16="http://schemas.microsoft.com/office/drawing/2014/main" id="{F3ABD4AC-990E-4C7B-BE35-168A3A83DA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73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9525</xdr:colOff>
      <xdr:row>560</xdr:row>
      <xdr:rowOff>9525</xdr:rowOff>
    </xdr:to>
    <xdr:pic>
      <xdr:nvPicPr>
        <xdr:cNvPr id="507" name="Obraz 506">
          <a:extLst>
            <a:ext uri="{FF2B5EF4-FFF2-40B4-BE49-F238E27FC236}">
              <a16:creationId xmlns:a16="http://schemas.microsoft.com/office/drawing/2014/main" id="{18161E5A-E5B6-4B31-A375-F91B4632A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11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562</xdr:row>
      <xdr:rowOff>0</xdr:rowOff>
    </xdr:from>
    <xdr:to>
      <xdr:col>0</xdr:col>
      <xdr:colOff>9525</xdr:colOff>
      <xdr:row>562</xdr:row>
      <xdr:rowOff>9525</xdr:rowOff>
    </xdr:to>
    <xdr:pic>
      <xdr:nvPicPr>
        <xdr:cNvPr id="508" name="Obraz 507">
          <a:extLst>
            <a:ext uri="{FF2B5EF4-FFF2-40B4-BE49-F238E27FC236}">
              <a16:creationId xmlns:a16="http://schemas.microsoft.com/office/drawing/2014/main" id="{5BB39D1E-F602-40C3-9A70-EC27DD8AB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566</xdr:row>
      <xdr:rowOff>0</xdr:rowOff>
    </xdr:from>
    <xdr:to>
      <xdr:col>0</xdr:col>
      <xdr:colOff>9525</xdr:colOff>
      <xdr:row>566</xdr:row>
      <xdr:rowOff>9525</xdr:rowOff>
    </xdr:to>
    <xdr:pic>
      <xdr:nvPicPr>
        <xdr:cNvPr id="509" name="Obraz 508">
          <a:extLst>
            <a:ext uri="{FF2B5EF4-FFF2-40B4-BE49-F238E27FC236}">
              <a16:creationId xmlns:a16="http://schemas.microsoft.com/office/drawing/2014/main" id="{4D6606B2-D7D6-4DA6-A95C-4AD92BEB1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1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9525</xdr:colOff>
      <xdr:row>568</xdr:row>
      <xdr:rowOff>9525</xdr:rowOff>
    </xdr:to>
    <xdr:pic>
      <xdr:nvPicPr>
        <xdr:cNvPr id="510" name="Obraz 509">
          <a:extLst>
            <a:ext uri="{FF2B5EF4-FFF2-40B4-BE49-F238E27FC236}">
              <a16:creationId xmlns:a16="http://schemas.microsoft.com/office/drawing/2014/main" id="{FCF1171B-A66C-4112-8BBE-034555FB8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20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570</xdr:row>
      <xdr:rowOff>0</xdr:rowOff>
    </xdr:from>
    <xdr:to>
      <xdr:col>0</xdr:col>
      <xdr:colOff>9525</xdr:colOff>
      <xdr:row>570</xdr:row>
      <xdr:rowOff>9525</xdr:rowOff>
    </xdr:to>
    <xdr:pic>
      <xdr:nvPicPr>
        <xdr:cNvPr id="511" name="Obraz 510">
          <a:extLst>
            <a:ext uri="{FF2B5EF4-FFF2-40B4-BE49-F238E27FC236}">
              <a16:creationId xmlns:a16="http://schemas.microsoft.com/office/drawing/2014/main" id="{596126A8-7331-4E05-8C2F-190C19218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97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9525</xdr:colOff>
      <xdr:row>574</xdr:row>
      <xdr:rowOff>9525</xdr:rowOff>
    </xdr:to>
    <xdr:pic>
      <xdr:nvPicPr>
        <xdr:cNvPr id="512" name="Obraz 511">
          <a:extLst>
            <a:ext uri="{FF2B5EF4-FFF2-40B4-BE49-F238E27FC236}">
              <a16:creationId xmlns:a16="http://schemas.microsoft.com/office/drawing/2014/main" id="{E1DEBD09-8FAB-4A28-AE33-B12345A711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0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576</xdr:row>
      <xdr:rowOff>0</xdr:rowOff>
    </xdr:from>
    <xdr:to>
      <xdr:col>0</xdr:col>
      <xdr:colOff>9525</xdr:colOff>
      <xdr:row>576</xdr:row>
      <xdr:rowOff>9525</xdr:rowOff>
    </xdr:to>
    <xdr:pic>
      <xdr:nvPicPr>
        <xdr:cNvPr id="513" name="Obraz 512">
          <a:extLst>
            <a:ext uri="{FF2B5EF4-FFF2-40B4-BE49-F238E27FC236}">
              <a16:creationId xmlns:a16="http://schemas.microsoft.com/office/drawing/2014/main" id="{82B23FB0-6E00-478D-B257-C051523077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30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9525</xdr:colOff>
      <xdr:row>578</xdr:row>
      <xdr:rowOff>9525</xdr:rowOff>
    </xdr:to>
    <xdr:pic>
      <xdr:nvPicPr>
        <xdr:cNvPr id="514" name="Obraz 513">
          <a:extLst>
            <a:ext uri="{FF2B5EF4-FFF2-40B4-BE49-F238E27FC236}">
              <a16:creationId xmlns:a16="http://schemas.microsoft.com/office/drawing/2014/main" id="{40104496-77FE-4848-B262-BCDBE7A30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06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9525</xdr:colOff>
      <xdr:row>581</xdr:row>
      <xdr:rowOff>9525</xdr:rowOff>
    </xdr:to>
    <xdr:pic>
      <xdr:nvPicPr>
        <xdr:cNvPr id="515" name="Obraz 514">
          <a:extLst>
            <a:ext uri="{FF2B5EF4-FFF2-40B4-BE49-F238E27FC236}">
              <a16:creationId xmlns:a16="http://schemas.microsoft.com/office/drawing/2014/main" id="{32CA39BA-7A72-4016-97A7-534920757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20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9525</xdr:colOff>
      <xdr:row>582</xdr:row>
      <xdr:rowOff>9525</xdr:rowOff>
    </xdr:to>
    <xdr:pic>
      <xdr:nvPicPr>
        <xdr:cNvPr id="516" name="Obraz 515">
          <a:extLst>
            <a:ext uri="{FF2B5EF4-FFF2-40B4-BE49-F238E27FC236}">
              <a16:creationId xmlns:a16="http://schemas.microsoft.com/office/drawing/2014/main" id="{5D1102AC-F6BA-4810-95B5-C6C07557C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39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9525</xdr:colOff>
      <xdr:row>584</xdr:row>
      <xdr:rowOff>9525</xdr:rowOff>
    </xdr:to>
    <xdr:pic>
      <xdr:nvPicPr>
        <xdr:cNvPr id="517" name="Obraz 516">
          <a:extLst>
            <a:ext uri="{FF2B5EF4-FFF2-40B4-BE49-F238E27FC236}">
              <a16:creationId xmlns:a16="http://schemas.microsoft.com/office/drawing/2014/main" id="{4430E913-75F0-4D3A-A70C-F9238A0EE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16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588</xdr:row>
      <xdr:rowOff>0</xdr:rowOff>
    </xdr:from>
    <xdr:to>
      <xdr:col>0</xdr:col>
      <xdr:colOff>9525</xdr:colOff>
      <xdr:row>588</xdr:row>
      <xdr:rowOff>9525</xdr:rowOff>
    </xdr:to>
    <xdr:pic>
      <xdr:nvPicPr>
        <xdr:cNvPr id="518" name="Obraz 517">
          <a:extLst>
            <a:ext uri="{FF2B5EF4-FFF2-40B4-BE49-F238E27FC236}">
              <a16:creationId xmlns:a16="http://schemas.microsoft.com/office/drawing/2014/main" id="{DD505CE3-D246-4F5D-A38A-B7D24FF55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30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591</xdr:row>
      <xdr:rowOff>0</xdr:rowOff>
    </xdr:from>
    <xdr:to>
      <xdr:col>0</xdr:col>
      <xdr:colOff>9525</xdr:colOff>
      <xdr:row>591</xdr:row>
      <xdr:rowOff>9525</xdr:rowOff>
    </xdr:to>
    <xdr:pic>
      <xdr:nvPicPr>
        <xdr:cNvPr id="519" name="Obraz 518">
          <a:extLst>
            <a:ext uri="{FF2B5EF4-FFF2-40B4-BE49-F238E27FC236}">
              <a16:creationId xmlns:a16="http://schemas.microsoft.com/office/drawing/2014/main" id="{921F1BC2-4B6A-4127-B07E-CB82A73A4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0</xdr:col>
      <xdr:colOff>9525</xdr:colOff>
      <xdr:row>593</xdr:row>
      <xdr:rowOff>9525</xdr:rowOff>
    </xdr:to>
    <xdr:pic>
      <xdr:nvPicPr>
        <xdr:cNvPr id="520" name="Obraz 519">
          <a:extLst>
            <a:ext uri="{FF2B5EF4-FFF2-40B4-BE49-F238E27FC236}">
              <a16:creationId xmlns:a16="http://schemas.microsoft.com/office/drawing/2014/main" id="{180AB3EF-3696-4EF9-8EA8-1AD92B248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25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597</xdr:row>
      <xdr:rowOff>0</xdr:rowOff>
    </xdr:from>
    <xdr:to>
      <xdr:col>0</xdr:col>
      <xdr:colOff>9525</xdr:colOff>
      <xdr:row>597</xdr:row>
      <xdr:rowOff>9525</xdr:rowOff>
    </xdr:to>
    <xdr:pic>
      <xdr:nvPicPr>
        <xdr:cNvPr id="521" name="Obraz 520">
          <a:extLst>
            <a:ext uri="{FF2B5EF4-FFF2-40B4-BE49-F238E27FC236}">
              <a16:creationId xmlns:a16="http://schemas.microsoft.com/office/drawing/2014/main" id="{ED49866C-D1CE-44A9-A8DF-4EA3BAC1F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9525</xdr:colOff>
      <xdr:row>599</xdr:row>
      <xdr:rowOff>9525</xdr:rowOff>
    </xdr:to>
    <xdr:pic>
      <xdr:nvPicPr>
        <xdr:cNvPr id="522" name="Obraz 521">
          <a:extLst>
            <a:ext uri="{FF2B5EF4-FFF2-40B4-BE49-F238E27FC236}">
              <a16:creationId xmlns:a16="http://schemas.microsoft.com/office/drawing/2014/main" id="{CF9D6711-434A-4C5E-B909-96F88A399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0</xdr:col>
      <xdr:colOff>9525</xdr:colOff>
      <xdr:row>602</xdr:row>
      <xdr:rowOff>9525</xdr:rowOff>
    </xdr:to>
    <xdr:pic>
      <xdr:nvPicPr>
        <xdr:cNvPr id="523" name="Obraz 522">
          <a:extLst>
            <a:ext uri="{FF2B5EF4-FFF2-40B4-BE49-F238E27FC236}">
              <a16:creationId xmlns:a16="http://schemas.microsoft.com/office/drawing/2014/main" id="{411338C5-7144-4137-A1D6-864B3003B2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35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606</xdr:row>
      <xdr:rowOff>0</xdr:rowOff>
    </xdr:from>
    <xdr:to>
      <xdr:col>0</xdr:col>
      <xdr:colOff>9525</xdr:colOff>
      <xdr:row>606</xdr:row>
      <xdr:rowOff>9525</xdr:rowOff>
    </xdr:to>
    <xdr:pic>
      <xdr:nvPicPr>
        <xdr:cNvPr id="524" name="Obraz 523">
          <a:extLst>
            <a:ext uri="{FF2B5EF4-FFF2-40B4-BE49-F238E27FC236}">
              <a16:creationId xmlns:a16="http://schemas.microsoft.com/office/drawing/2014/main" id="{ABE48065-A75F-4E54-A06A-CF361FA05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4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608</xdr:row>
      <xdr:rowOff>0</xdr:rowOff>
    </xdr:from>
    <xdr:to>
      <xdr:col>0</xdr:col>
      <xdr:colOff>9525</xdr:colOff>
      <xdr:row>608</xdr:row>
      <xdr:rowOff>9525</xdr:rowOff>
    </xdr:to>
    <xdr:pic>
      <xdr:nvPicPr>
        <xdr:cNvPr id="525" name="Obraz 524">
          <a:extLst>
            <a:ext uri="{FF2B5EF4-FFF2-40B4-BE49-F238E27FC236}">
              <a16:creationId xmlns:a16="http://schemas.microsoft.com/office/drawing/2014/main" id="{76470A2F-3D5B-4B53-952B-EE0611E827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68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9525</xdr:colOff>
      <xdr:row>611</xdr:row>
      <xdr:rowOff>9525</xdr:rowOff>
    </xdr:to>
    <xdr:pic>
      <xdr:nvPicPr>
        <xdr:cNvPr id="526" name="Obraz 525">
          <a:extLst>
            <a:ext uri="{FF2B5EF4-FFF2-40B4-BE49-F238E27FC236}">
              <a16:creationId xmlns:a16="http://schemas.microsoft.com/office/drawing/2014/main" id="{54E6BA1D-2ECE-4E64-BFF8-AABEEE01F8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44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9525</xdr:colOff>
      <xdr:row>614</xdr:row>
      <xdr:rowOff>9525</xdr:rowOff>
    </xdr:to>
    <xdr:pic>
      <xdr:nvPicPr>
        <xdr:cNvPr id="527" name="Obraz 526">
          <a:extLst>
            <a:ext uri="{FF2B5EF4-FFF2-40B4-BE49-F238E27FC236}">
              <a16:creationId xmlns:a16="http://schemas.microsoft.com/office/drawing/2014/main" id="{5C62C52C-63E1-435C-B461-3828AEF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59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617</xdr:row>
      <xdr:rowOff>0</xdr:rowOff>
    </xdr:from>
    <xdr:to>
      <xdr:col>0</xdr:col>
      <xdr:colOff>9525</xdr:colOff>
      <xdr:row>617</xdr:row>
      <xdr:rowOff>9525</xdr:rowOff>
    </xdr:to>
    <xdr:pic>
      <xdr:nvPicPr>
        <xdr:cNvPr id="528" name="Obraz 527">
          <a:extLst>
            <a:ext uri="{FF2B5EF4-FFF2-40B4-BE49-F238E27FC236}">
              <a16:creationId xmlns:a16="http://schemas.microsoft.com/office/drawing/2014/main" id="{8B4B5844-8247-4DC6-8A05-227A6FC7E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78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619</xdr:row>
      <xdr:rowOff>0</xdr:rowOff>
    </xdr:from>
    <xdr:to>
      <xdr:col>0</xdr:col>
      <xdr:colOff>9525</xdr:colOff>
      <xdr:row>619</xdr:row>
      <xdr:rowOff>9525</xdr:rowOff>
    </xdr:to>
    <xdr:pic>
      <xdr:nvPicPr>
        <xdr:cNvPr id="529" name="Obraz 528">
          <a:extLst>
            <a:ext uri="{FF2B5EF4-FFF2-40B4-BE49-F238E27FC236}">
              <a16:creationId xmlns:a16="http://schemas.microsoft.com/office/drawing/2014/main" id="{BCA22323-4C2B-455D-AECD-18FDBD9F9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54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623</xdr:row>
      <xdr:rowOff>0</xdr:rowOff>
    </xdr:from>
    <xdr:to>
      <xdr:col>0</xdr:col>
      <xdr:colOff>9525</xdr:colOff>
      <xdr:row>623</xdr:row>
      <xdr:rowOff>9525</xdr:rowOff>
    </xdr:to>
    <xdr:pic>
      <xdr:nvPicPr>
        <xdr:cNvPr id="530" name="Obraz 529">
          <a:extLst>
            <a:ext uri="{FF2B5EF4-FFF2-40B4-BE49-F238E27FC236}">
              <a16:creationId xmlns:a16="http://schemas.microsoft.com/office/drawing/2014/main" id="{9300B1D1-5879-4AEF-A4A0-3E32A358B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68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9525</xdr:colOff>
      <xdr:row>625</xdr:row>
      <xdr:rowOff>9525</xdr:rowOff>
    </xdr:to>
    <xdr:pic>
      <xdr:nvPicPr>
        <xdr:cNvPr id="531" name="Obraz 530">
          <a:extLst>
            <a:ext uri="{FF2B5EF4-FFF2-40B4-BE49-F238E27FC236}">
              <a16:creationId xmlns:a16="http://schemas.microsoft.com/office/drawing/2014/main" id="{40007A61-89F2-46D2-A2C1-830DD3622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87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628</xdr:row>
      <xdr:rowOff>0</xdr:rowOff>
    </xdr:from>
    <xdr:to>
      <xdr:col>0</xdr:col>
      <xdr:colOff>9525</xdr:colOff>
      <xdr:row>628</xdr:row>
      <xdr:rowOff>9525</xdr:rowOff>
    </xdr:to>
    <xdr:pic>
      <xdr:nvPicPr>
        <xdr:cNvPr id="532" name="Obraz 531">
          <a:extLst>
            <a:ext uri="{FF2B5EF4-FFF2-40B4-BE49-F238E27FC236}">
              <a16:creationId xmlns:a16="http://schemas.microsoft.com/office/drawing/2014/main" id="{911651AA-15C5-418B-9D23-4AE63D0EA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63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0</xdr:col>
      <xdr:colOff>9525</xdr:colOff>
      <xdr:row>632</xdr:row>
      <xdr:rowOff>9525</xdr:rowOff>
    </xdr:to>
    <xdr:pic>
      <xdr:nvPicPr>
        <xdr:cNvPr id="533" name="Obraz 532">
          <a:extLst>
            <a:ext uri="{FF2B5EF4-FFF2-40B4-BE49-F238E27FC236}">
              <a16:creationId xmlns:a16="http://schemas.microsoft.com/office/drawing/2014/main" id="{FECC35AF-1A90-4254-BC3C-FD8C0026A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78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634</xdr:row>
      <xdr:rowOff>0</xdr:rowOff>
    </xdr:from>
    <xdr:to>
      <xdr:col>0</xdr:col>
      <xdr:colOff>9525</xdr:colOff>
      <xdr:row>634</xdr:row>
      <xdr:rowOff>9525</xdr:rowOff>
    </xdr:to>
    <xdr:pic>
      <xdr:nvPicPr>
        <xdr:cNvPr id="534" name="Obraz 533">
          <a:extLst>
            <a:ext uri="{FF2B5EF4-FFF2-40B4-BE49-F238E27FC236}">
              <a16:creationId xmlns:a16="http://schemas.microsoft.com/office/drawing/2014/main" id="{4AB3043C-D16E-4B9C-8357-C89E4F973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97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9525</xdr:colOff>
      <xdr:row>636</xdr:row>
      <xdr:rowOff>9525</xdr:rowOff>
    </xdr:to>
    <xdr:pic>
      <xdr:nvPicPr>
        <xdr:cNvPr id="535" name="Obraz 534">
          <a:extLst>
            <a:ext uri="{FF2B5EF4-FFF2-40B4-BE49-F238E27FC236}">
              <a16:creationId xmlns:a16="http://schemas.microsoft.com/office/drawing/2014/main" id="{D3AD69D3-81F5-46BA-9B15-906D5E4C4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73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9525</xdr:colOff>
      <xdr:row>640</xdr:row>
      <xdr:rowOff>9525</xdr:rowOff>
    </xdr:to>
    <xdr:pic>
      <xdr:nvPicPr>
        <xdr:cNvPr id="536" name="Obraz 535">
          <a:extLst>
            <a:ext uri="{FF2B5EF4-FFF2-40B4-BE49-F238E27FC236}">
              <a16:creationId xmlns:a16="http://schemas.microsoft.com/office/drawing/2014/main" id="{7D31D1D0-F596-49B2-AEF0-87E9FA13A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7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643</xdr:row>
      <xdr:rowOff>0</xdr:rowOff>
    </xdr:from>
    <xdr:to>
      <xdr:col>0</xdr:col>
      <xdr:colOff>9525</xdr:colOff>
      <xdr:row>643</xdr:row>
      <xdr:rowOff>9525</xdr:rowOff>
    </xdr:to>
    <xdr:pic>
      <xdr:nvPicPr>
        <xdr:cNvPr id="537" name="Obraz 536">
          <a:extLst>
            <a:ext uri="{FF2B5EF4-FFF2-40B4-BE49-F238E27FC236}">
              <a16:creationId xmlns:a16="http://schemas.microsoft.com/office/drawing/2014/main" id="{3768C2A1-BCA5-460C-87E2-8518ABE1A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06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645</xdr:row>
      <xdr:rowOff>0</xdr:rowOff>
    </xdr:from>
    <xdr:to>
      <xdr:col>0</xdr:col>
      <xdr:colOff>9525</xdr:colOff>
      <xdr:row>645</xdr:row>
      <xdr:rowOff>9525</xdr:rowOff>
    </xdr:to>
    <xdr:pic>
      <xdr:nvPicPr>
        <xdr:cNvPr id="538" name="Obraz 537">
          <a:extLst>
            <a:ext uri="{FF2B5EF4-FFF2-40B4-BE49-F238E27FC236}">
              <a16:creationId xmlns:a16="http://schemas.microsoft.com/office/drawing/2014/main" id="{74E48BED-87BD-44EE-A64D-8A1C6279C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649</xdr:row>
      <xdr:rowOff>0</xdr:rowOff>
    </xdr:from>
    <xdr:to>
      <xdr:col>0</xdr:col>
      <xdr:colOff>9525</xdr:colOff>
      <xdr:row>649</xdr:row>
      <xdr:rowOff>9525</xdr:rowOff>
    </xdr:to>
    <xdr:pic>
      <xdr:nvPicPr>
        <xdr:cNvPr id="539" name="Obraz 538">
          <a:extLst>
            <a:ext uri="{FF2B5EF4-FFF2-40B4-BE49-F238E27FC236}">
              <a16:creationId xmlns:a16="http://schemas.microsoft.com/office/drawing/2014/main" id="{737EA3E2-5365-4AB9-9628-6A1ACE7C4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97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9525</xdr:colOff>
      <xdr:row>651</xdr:row>
      <xdr:rowOff>9525</xdr:rowOff>
    </xdr:to>
    <xdr:pic>
      <xdr:nvPicPr>
        <xdr:cNvPr id="540" name="Obraz 539">
          <a:extLst>
            <a:ext uri="{FF2B5EF4-FFF2-40B4-BE49-F238E27FC236}">
              <a16:creationId xmlns:a16="http://schemas.microsoft.com/office/drawing/2014/main" id="{98AA4CC2-7B25-49D0-9624-895262079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16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9525</xdr:colOff>
      <xdr:row>654</xdr:row>
      <xdr:rowOff>9525</xdr:rowOff>
    </xdr:to>
    <xdr:pic>
      <xdr:nvPicPr>
        <xdr:cNvPr id="541" name="Obraz 540">
          <a:extLst>
            <a:ext uri="{FF2B5EF4-FFF2-40B4-BE49-F238E27FC236}">
              <a16:creationId xmlns:a16="http://schemas.microsoft.com/office/drawing/2014/main" id="{3F59254F-7403-47BE-91BD-15C839599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658</xdr:row>
      <xdr:rowOff>0</xdr:rowOff>
    </xdr:from>
    <xdr:to>
      <xdr:col>0</xdr:col>
      <xdr:colOff>9525</xdr:colOff>
      <xdr:row>658</xdr:row>
      <xdr:rowOff>9525</xdr:rowOff>
    </xdr:to>
    <xdr:pic>
      <xdr:nvPicPr>
        <xdr:cNvPr id="542" name="Obraz 541">
          <a:extLst>
            <a:ext uri="{FF2B5EF4-FFF2-40B4-BE49-F238E27FC236}">
              <a16:creationId xmlns:a16="http://schemas.microsoft.com/office/drawing/2014/main" id="{5C215A7F-C194-4EE4-A66B-22C00936E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06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9525</xdr:colOff>
      <xdr:row>659</xdr:row>
      <xdr:rowOff>9525</xdr:rowOff>
    </xdr:to>
    <xdr:pic>
      <xdr:nvPicPr>
        <xdr:cNvPr id="543" name="Obraz 542">
          <a:extLst>
            <a:ext uri="{FF2B5EF4-FFF2-40B4-BE49-F238E27FC236}">
              <a16:creationId xmlns:a16="http://schemas.microsoft.com/office/drawing/2014/main" id="{277D8BC6-DA70-4399-862F-E35A077103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4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660</xdr:row>
      <xdr:rowOff>0</xdr:rowOff>
    </xdr:from>
    <xdr:to>
      <xdr:col>0</xdr:col>
      <xdr:colOff>9525</xdr:colOff>
      <xdr:row>660</xdr:row>
      <xdr:rowOff>9525</xdr:rowOff>
    </xdr:to>
    <xdr:pic>
      <xdr:nvPicPr>
        <xdr:cNvPr id="544" name="Obraz 543">
          <a:extLst>
            <a:ext uri="{FF2B5EF4-FFF2-40B4-BE49-F238E27FC236}">
              <a16:creationId xmlns:a16="http://schemas.microsoft.com/office/drawing/2014/main" id="{18DEE096-FC2D-4FB7-9C6F-AFFA604C4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25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9525</xdr:colOff>
      <xdr:row>662</xdr:row>
      <xdr:rowOff>9525</xdr:rowOff>
    </xdr:to>
    <xdr:pic>
      <xdr:nvPicPr>
        <xdr:cNvPr id="545" name="Obraz 544">
          <a:extLst>
            <a:ext uri="{FF2B5EF4-FFF2-40B4-BE49-F238E27FC236}">
              <a16:creationId xmlns:a16="http://schemas.microsoft.com/office/drawing/2014/main" id="{3DF318EB-E7FA-4058-8107-2E5875BF9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02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666</xdr:row>
      <xdr:rowOff>0</xdr:rowOff>
    </xdr:from>
    <xdr:to>
      <xdr:col>0</xdr:col>
      <xdr:colOff>9525</xdr:colOff>
      <xdr:row>666</xdr:row>
      <xdr:rowOff>9525</xdr:rowOff>
    </xdr:to>
    <xdr:pic>
      <xdr:nvPicPr>
        <xdr:cNvPr id="546" name="Obraz 545">
          <a:extLst>
            <a:ext uri="{FF2B5EF4-FFF2-40B4-BE49-F238E27FC236}">
              <a16:creationId xmlns:a16="http://schemas.microsoft.com/office/drawing/2014/main" id="{214ACDC5-06B8-4962-9669-781A97379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16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669</xdr:row>
      <xdr:rowOff>0</xdr:rowOff>
    </xdr:from>
    <xdr:to>
      <xdr:col>0</xdr:col>
      <xdr:colOff>9525</xdr:colOff>
      <xdr:row>669</xdr:row>
      <xdr:rowOff>9525</xdr:rowOff>
    </xdr:to>
    <xdr:pic>
      <xdr:nvPicPr>
        <xdr:cNvPr id="547" name="Obraz 546">
          <a:extLst>
            <a:ext uri="{FF2B5EF4-FFF2-40B4-BE49-F238E27FC236}">
              <a16:creationId xmlns:a16="http://schemas.microsoft.com/office/drawing/2014/main" id="{BEEDF2D8-3E3F-4C42-B609-61ABB2BE7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35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671</xdr:row>
      <xdr:rowOff>0</xdr:rowOff>
    </xdr:from>
    <xdr:to>
      <xdr:col>0</xdr:col>
      <xdr:colOff>9525</xdr:colOff>
      <xdr:row>671</xdr:row>
      <xdr:rowOff>9525</xdr:rowOff>
    </xdr:to>
    <xdr:pic>
      <xdr:nvPicPr>
        <xdr:cNvPr id="548" name="Obraz 547">
          <a:extLst>
            <a:ext uri="{FF2B5EF4-FFF2-40B4-BE49-F238E27FC236}">
              <a16:creationId xmlns:a16="http://schemas.microsoft.com/office/drawing/2014/main" id="{3F234837-F1AC-4810-ACD5-8F5ECC464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11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675</xdr:row>
      <xdr:rowOff>0</xdr:rowOff>
    </xdr:from>
    <xdr:to>
      <xdr:col>0</xdr:col>
      <xdr:colOff>9525</xdr:colOff>
      <xdr:row>675</xdr:row>
      <xdr:rowOff>9525</xdr:rowOff>
    </xdr:to>
    <xdr:pic>
      <xdr:nvPicPr>
        <xdr:cNvPr id="549" name="Obraz 548">
          <a:extLst>
            <a:ext uri="{FF2B5EF4-FFF2-40B4-BE49-F238E27FC236}">
              <a16:creationId xmlns:a16="http://schemas.microsoft.com/office/drawing/2014/main" id="{60B23707-81D4-42EB-8F82-01C901D46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25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677</xdr:row>
      <xdr:rowOff>0</xdr:rowOff>
    </xdr:from>
    <xdr:to>
      <xdr:col>0</xdr:col>
      <xdr:colOff>9525</xdr:colOff>
      <xdr:row>677</xdr:row>
      <xdr:rowOff>9525</xdr:rowOff>
    </xdr:to>
    <xdr:pic>
      <xdr:nvPicPr>
        <xdr:cNvPr id="550" name="Obraz 549">
          <a:extLst>
            <a:ext uri="{FF2B5EF4-FFF2-40B4-BE49-F238E27FC236}">
              <a16:creationId xmlns:a16="http://schemas.microsoft.com/office/drawing/2014/main" id="{E76C286E-8D16-493F-8B7D-9BFC1E4FC8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9525</xdr:colOff>
      <xdr:row>680</xdr:row>
      <xdr:rowOff>9525</xdr:rowOff>
    </xdr:to>
    <xdr:pic>
      <xdr:nvPicPr>
        <xdr:cNvPr id="551" name="Obraz 550">
          <a:extLst>
            <a:ext uri="{FF2B5EF4-FFF2-40B4-BE49-F238E27FC236}">
              <a16:creationId xmlns:a16="http://schemas.microsoft.com/office/drawing/2014/main" id="{75523BCC-410E-45CC-8F1F-CEB1EDF02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21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9525</xdr:colOff>
      <xdr:row>684</xdr:row>
      <xdr:rowOff>9525</xdr:rowOff>
    </xdr:to>
    <xdr:pic>
      <xdr:nvPicPr>
        <xdr:cNvPr id="552" name="Obraz 551">
          <a:extLst>
            <a:ext uri="{FF2B5EF4-FFF2-40B4-BE49-F238E27FC236}">
              <a16:creationId xmlns:a16="http://schemas.microsoft.com/office/drawing/2014/main" id="{5CE875F7-7876-4AEC-BA84-3AB01EBBE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35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686</xdr:row>
      <xdr:rowOff>0</xdr:rowOff>
    </xdr:from>
    <xdr:to>
      <xdr:col>0</xdr:col>
      <xdr:colOff>9525</xdr:colOff>
      <xdr:row>686</xdr:row>
      <xdr:rowOff>9525</xdr:rowOff>
    </xdr:to>
    <xdr:pic>
      <xdr:nvPicPr>
        <xdr:cNvPr id="553" name="Obraz 552">
          <a:extLst>
            <a:ext uri="{FF2B5EF4-FFF2-40B4-BE49-F238E27FC236}">
              <a16:creationId xmlns:a16="http://schemas.microsoft.com/office/drawing/2014/main" id="{55F1D25D-D6B0-4F5C-BBBE-7AE489DA33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689</xdr:row>
      <xdr:rowOff>0</xdr:rowOff>
    </xdr:from>
    <xdr:to>
      <xdr:col>0</xdr:col>
      <xdr:colOff>9525</xdr:colOff>
      <xdr:row>689</xdr:row>
      <xdr:rowOff>9525</xdr:rowOff>
    </xdr:to>
    <xdr:pic>
      <xdr:nvPicPr>
        <xdr:cNvPr id="554" name="Obraz 553">
          <a:extLst>
            <a:ext uri="{FF2B5EF4-FFF2-40B4-BE49-F238E27FC236}">
              <a16:creationId xmlns:a16="http://schemas.microsoft.com/office/drawing/2014/main" id="{6EACE421-C79E-499C-936E-0F1BB9B2D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49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9525</xdr:colOff>
      <xdr:row>691</xdr:row>
      <xdr:rowOff>9525</xdr:rowOff>
    </xdr:to>
    <xdr:pic>
      <xdr:nvPicPr>
        <xdr:cNvPr id="555" name="Obraz 554">
          <a:extLst>
            <a:ext uri="{FF2B5EF4-FFF2-40B4-BE49-F238E27FC236}">
              <a16:creationId xmlns:a16="http://schemas.microsoft.com/office/drawing/2014/main" id="{3C20D3D5-8F2C-4C89-B1D4-79DB73C84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26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9525</xdr:colOff>
      <xdr:row>695</xdr:row>
      <xdr:rowOff>9525</xdr:rowOff>
    </xdr:to>
    <xdr:pic>
      <xdr:nvPicPr>
        <xdr:cNvPr id="556" name="Obraz 555">
          <a:extLst>
            <a:ext uri="{FF2B5EF4-FFF2-40B4-BE49-F238E27FC236}">
              <a16:creationId xmlns:a16="http://schemas.microsoft.com/office/drawing/2014/main" id="{3407DF9C-8A79-436A-BF7E-7C9D31E22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64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0</xdr:col>
      <xdr:colOff>9525</xdr:colOff>
      <xdr:row>697</xdr:row>
      <xdr:rowOff>9525</xdr:rowOff>
    </xdr:to>
    <xdr:pic>
      <xdr:nvPicPr>
        <xdr:cNvPr id="557" name="Obraz 556">
          <a:extLst>
            <a:ext uri="{FF2B5EF4-FFF2-40B4-BE49-F238E27FC236}">
              <a16:creationId xmlns:a16="http://schemas.microsoft.com/office/drawing/2014/main" id="{7E9E0B6D-4EA4-404E-A1B7-42A193AB2A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40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701</xdr:row>
      <xdr:rowOff>0</xdr:rowOff>
    </xdr:from>
    <xdr:to>
      <xdr:col>0</xdr:col>
      <xdr:colOff>9525</xdr:colOff>
      <xdr:row>701</xdr:row>
      <xdr:rowOff>9525</xdr:rowOff>
    </xdr:to>
    <xdr:pic>
      <xdr:nvPicPr>
        <xdr:cNvPr id="558" name="Obraz 557">
          <a:extLst>
            <a:ext uri="{FF2B5EF4-FFF2-40B4-BE49-F238E27FC236}">
              <a16:creationId xmlns:a16="http://schemas.microsoft.com/office/drawing/2014/main" id="{2DE3FE3C-7421-4F92-AE50-78E69FC15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54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703</xdr:row>
      <xdr:rowOff>0</xdr:rowOff>
    </xdr:from>
    <xdr:to>
      <xdr:col>0</xdr:col>
      <xdr:colOff>9525</xdr:colOff>
      <xdr:row>703</xdr:row>
      <xdr:rowOff>9525</xdr:rowOff>
    </xdr:to>
    <xdr:pic>
      <xdr:nvPicPr>
        <xdr:cNvPr id="559" name="Obraz 558">
          <a:extLst>
            <a:ext uri="{FF2B5EF4-FFF2-40B4-BE49-F238E27FC236}">
              <a16:creationId xmlns:a16="http://schemas.microsoft.com/office/drawing/2014/main" id="{89B27E87-F4A7-469D-8697-8A7182C09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73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9525</xdr:colOff>
      <xdr:row>706</xdr:row>
      <xdr:rowOff>9525</xdr:rowOff>
    </xdr:to>
    <xdr:pic>
      <xdr:nvPicPr>
        <xdr:cNvPr id="560" name="Obraz 559">
          <a:extLst>
            <a:ext uri="{FF2B5EF4-FFF2-40B4-BE49-F238E27FC236}">
              <a16:creationId xmlns:a16="http://schemas.microsoft.com/office/drawing/2014/main" id="{8DEA3CEA-5D62-4721-B64B-D5834275A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49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9525</xdr:colOff>
      <xdr:row>709</xdr:row>
      <xdr:rowOff>9525</xdr:rowOff>
    </xdr:to>
    <xdr:pic>
      <xdr:nvPicPr>
        <xdr:cNvPr id="561" name="Obraz 560">
          <a:extLst>
            <a:ext uri="{FF2B5EF4-FFF2-40B4-BE49-F238E27FC236}">
              <a16:creationId xmlns:a16="http://schemas.microsoft.com/office/drawing/2014/main" id="{718B91D5-262C-4CD3-BD85-D42BD279E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64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9525</xdr:colOff>
      <xdr:row>712</xdr:row>
      <xdr:rowOff>9525</xdr:rowOff>
    </xdr:to>
    <xdr:pic>
      <xdr:nvPicPr>
        <xdr:cNvPr id="562" name="Obraz 561">
          <a:extLst>
            <a:ext uri="{FF2B5EF4-FFF2-40B4-BE49-F238E27FC236}">
              <a16:creationId xmlns:a16="http://schemas.microsoft.com/office/drawing/2014/main" id="{BE0296C1-FE45-49FF-BED1-E075A4025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83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9525</xdr:colOff>
      <xdr:row>714</xdr:row>
      <xdr:rowOff>9525</xdr:rowOff>
    </xdr:to>
    <xdr:pic>
      <xdr:nvPicPr>
        <xdr:cNvPr id="563" name="Obraz 562">
          <a:extLst>
            <a:ext uri="{FF2B5EF4-FFF2-40B4-BE49-F238E27FC236}">
              <a16:creationId xmlns:a16="http://schemas.microsoft.com/office/drawing/2014/main" id="{A2BF455B-61A7-4227-8BA6-04ECB773D4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59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718</xdr:row>
      <xdr:rowOff>0</xdr:rowOff>
    </xdr:from>
    <xdr:to>
      <xdr:col>0</xdr:col>
      <xdr:colOff>9525</xdr:colOff>
      <xdr:row>718</xdr:row>
      <xdr:rowOff>9525</xdr:rowOff>
    </xdr:to>
    <xdr:pic>
      <xdr:nvPicPr>
        <xdr:cNvPr id="564" name="Obraz 563">
          <a:extLst>
            <a:ext uri="{FF2B5EF4-FFF2-40B4-BE49-F238E27FC236}">
              <a16:creationId xmlns:a16="http://schemas.microsoft.com/office/drawing/2014/main" id="{D306E4C3-FF65-4CAD-9D7E-0BB1B2DD3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73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9525</xdr:colOff>
      <xdr:row>721</xdr:row>
      <xdr:rowOff>9525</xdr:rowOff>
    </xdr:to>
    <xdr:pic>
      <xdr:nvPicPr>
        <xdr:cNvPr id="565" name="Obraz 564">
          <a:extLst>
            <a:ext uri="{FF2B5EF4-FFF2-40B4-BE49-F238E27FC236}">
              <a16:creationId xmlns:a16="http://schemas.microsoft.com/office/drawing/2014/main" id="{BD928B2F-2533-4B1E-BE72-1DBA7153B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92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723</xdr:row>
      <xdr:rowOff>0</xdr:rowOff>
    </xdr:from>
    <xdr:to>
      <xdr:col>0</xdr:col>
      <xdr:colOff>9525</xdr:colOff>
      <xdr:row>723</xdr:row>
      <xdr:rowOff>9525</xdr:rowOff>
    </xdr:to>
    <xdr:pic>
      <xdr:nvPicPr>
        <xdr:cNvPr id="566" name="Obraz 565">
          <a:extLst>
            <a:ext uri="{FF2B5EF4-FFF2-40B4-BE49-F238E27FC236}">
              <a16:creationId xmlns:a16="http://schemas.microsoft.com/office/drawing/2014/main" id="{4AC2B09D-48DE-43D2-9584-9365493E9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68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727</xdr:row>
      <xdr:rowOff>0</xdr:rowOff>
    </xdr:from>
    <xdr:to>
      <xdr:col>0</xdr:col>
      <xdr:colOff>9525</xdr:colOff>
      <xdr:row>727</xdr:row>
      <xdr:rowOff>9525</xdr:rowOff>
    </xdr:to>
    <xdr:pic>
      <xdr:nvPicPr>
        <xdr:cNvPr id="567" name="Obraz 566">
          <a:extLst>
            <a:ext uri="{FF2B5EF4-FFF2-40B4-BE49-F238E27FC236}">
              <a16:creationId xmlns:a16="http://schemas.microsoft.com/office/drawing/2014/main" id="{88FC50C2-E043-4668-A24A-5597FA1A2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83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729</xdr:row>
      <xdr:rowOff>0</xdr:rowOff>
    </xdr:from>
    <xdr:to>
      <xdr:col>0</xdr:col>
      <xdr:colOff>9525</xdr:colOff>
      <xdr:row>729</xdr:row>
      <xdr:rowOff>9525</xdr:rowOff>
    </xdr:to>
    <xdr:pic>
      <xdr:nvPicPr>
        <xdr:cNvPr id="568" name="Obraz 567">
          <a:extLst>
            <a:ext uri="{FF2B5EF4-FFF2-40B4-BE49-F238E27FC236}">
              <a16:creationId xmlns:a16="http://schemas.microsoft.com/office/drawing/2014/main" id="{12DD9ABC-2036-442D-9D09-1B331081A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2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9525</xdr:colOff>
      <xdr:row>731</xdr:row>
      <xdr:rowOff>9525</xdr:rowOff>
    </xdr:to>
    <xdr:pic>
      <xdr:nvPicPr>
        <xdr:cNvPr id="569" name="Obraz 568">
          <a:extLst>
            <a:ext uri="{FF2B5EF4-FFF2-40B4-BE49-F238E27FC236}">
              <a16:creationId xmlns:a16="http://schemas.microsoft.com/office/drawing/2014/main" id="{5F1F8F4C-C9B5-4C36-8D24-64575C6B74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78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9525</xdr:colOff>
      <xdr:row>735</xdr:row>
      <xdr:rowOff>9525</xdr:rowOff>
    </xdr:to>
    <xdr:pic>
      <xdr:nvPicPr>
        <xdr:cNvPr id="570" name="Obraz 569">
          <a:extLst>
            <a:ext uri="{FF2B5EF4-FFF2-40B4-BE49-F238E27FC236}">
              <a16:creationId xmlns:a16="http://schemas.microsoft.com/office/drawing/2014/main" id="{C04CBF1E-AB7E-45B7-9A92-25ADDBF6E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92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738</xdr:row>
      <xdr:rowOff>0</xdr:rowOff>
    </xdr:from>
    <xdr:to>
      <xdr:col>0</xdr:col>
      <xdr:colOff>9525</xdr:colOff>
      <xdr:row>738</xdr:row>
      <xdr:rowOff>9525</xdr:rowOff>
    </xdr:to>
    <xdr:pic>
      <xdr:nvPicPr>
        <xdr:cNvPr id="571" name="Obraz 570">
          <a:extLst>
            <a:ext uri="{FF2B5EF4-FFF2-40B4-BE49-F238E27FC236}">
              <a16:creationId xmlns:a16="http://schemas.microsoft.com/office/drawing/2014/main" id="{35879B8B-E3D3-4D25-8800-658A50B52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11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9525</xdr:colOff>
      <xdr:row>739</xdr:row>
      <xdr:rowOff>9525</xdr:rowOff>
    </xdr:to>
    <xdr:pic>
      <xdr:nvPicPr>
        <xdr:cNvPr id="572" name="Obraz 571">
          <a:extLst>
            <a:ext uri="{FF2B5EF4-FFF2-40B4-BE49-F238E27FC236}">
              <a16:creationId xmlns:a16="http://schemas.microsoft.com/office/drawing/2014/main" id="{B462591E-7E86-47F8-8F99-123D88880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07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9525</xdr:colOff>
      <xdr:row>741</xdr:row>
      <xdr:rowOff>9525</xdr:rowOff>
    </xdr:to>
    <xdr:pic>
      <xdr:nvPicPr>
        <xdr:cNvPr id="573" name="Obraz 572">
          <a:extLst>
            <a:ext uri="{FF2B5EF4-FFF2-40B4-BE49-F238E27FC236}">
              <a16:creationId xmlns:a16="http://schemas.microsoft.com/office/drawing/2014/main" id="{7FC5D5E4-6B95-4EEB-A734-D232B0FB2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9525</xdr:colOff>
      <xdr:row>744</xdr:row>
      <xdr:rowOff>9525</xdr:rowOff>
    </xdr:to>
    <xdr:pic>
      <xdr:nvPicPr>
        <xdr:cNvPr id="574" name="Obraz 573">
          <a:extLst>
            <a:ext uri="{FF2B5EF4-FFF2-40B4-BE49-F238E27FC236}">
              <a16:creationId xmlns:a16="http://schemas.microsoft.com/office/drawing/2014/main" id="{AAF7E9F9-BE5B-4C63-8BA1-D9CDC4530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21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747</xdr:row>
      <xdr:rowOff>0</xdr:rowOff>
    </xdr:from>
    <xdr:to>
      <xdr:col>0</xdr:col>
      <xdr:colOff>9525</xdr:colOff>
      <xdr:row>747</xdr:row>
      <xdr:rowOff>9525</xdr:rowOff>
    </xdr:to>
    <xdr:pic>
      <xdr:nvPicPr>
        <xdr:cNvPr id="575" name="Obraz 574">
          <a:extLst>
            <a:ext uri="{FF2B5EF4-FFF2-40B4-BE49-F238E27FC236}">
              <a16:creationId xmlns:a16="http://schemas.microsoft.com/office/drawing/2014/main" id="{D44BB649-2563-4D9D-98C8-AB767C839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16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749</xdr:row>
      <xdr:rowOff>0</xdr:rowOff>
    </xdr:from>
    <xdr:to>
      <xdr:col>0</xdr:col>
      <xdr:colOff>9525</xdr:colOff>
      <xdr:row>749</xdr:row>
      <xdr:rowOff>9525</xdr:rowOff>
    </xdr:to>
    <xdr:pic>
      <xdr:nvPicPr>
        <xdr:cNvPr id="576" name="Obraz 575">
          <a:extLst>
            <a:ext uri="{FF2B5EF4-FFF2-40B4-BE49-F238E27FC236}">
              <a16:creationId xmlns:a16="http://schemas.microsoft.com/office/drawing/2014/main" id="{C346D8F0-93C2-4181-85D6-D2ADA1957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92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9525</xdr:colOff>
      <xdr:row>752</xdr:row>
      <xdr:rowOff>9525</xdr:rowOff>
    </xdr:to>
    <xdr:pic>
      <xdr:nvPicPr>
        <xdr:cNvPr id="577" name="Obraz 576">
          <a:extLst>
            <a:ext uri="{FF2B5EF4-FFF2-40B4-BE49-F238E27FC236}">
              <a16:creationId xmlns:a16="http://schemas.microsoft.com/office/drawing/2014/main" id="{DB4AB9CC-0F51-4773-B24B-32C1F7C84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30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755</xdr:row>
      <xdr:rowOff>0</xdr:rowOff>
    </xdr:from>
    <xdr:to>
      <xdr:col>0</xdr:col>
      <xdr:colOff>9525</xdr:colOff>
      <xdr:row>755</xdr:row>
      <xdr:rowOff>9525</xdr:rowOff>
    </xdr:to>
    <xdr:pic>
      <xdr:nvPicPr>
        <xdr:cNvPr id="578" name="Obraz 577">
          <a:extLst>
            <a:ext uri="{FF2B5EF4-FFF2-40B4-BE49-F238E27FC236}">
              <a16:creationId xmlns:a16="http://schemas.microsoft.com/office/drawing/2014/main" id="{F71DC9A6-7016-46DA-9CAA-3B6105ACF9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26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9525</xdr:colOff>
      <xdr:row>757</xdr:row>
      <xdr:rowOff>9525</xdr:rowOff>
    </xdr:to>
    <xdr:pic>
      <xdr:nvPicPr>
        <xdr:cNvPr id="579" name="Obraz 578">
          <a:extLst>
            <a:ext uri="{FF2B5EF4-FFF2-40B4-BE49-F238E27FC236}">
              <a16:creationId xmlns:a16="http://schemas.microsoft.com/office/drawing/2014/main" id="{281EF8F3-6C83-4FC6-869D-B7EE11BD0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02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761</xdr:row>
      <xdr:rowOff>0</xdr:rowOff>
    </xdr:from>
    <xdr:to>
      <xdr:col>0</xdr:col>
      <xdr:colOff>9525</xdr:colOff>
      <xdr:row>761</xdr:row>
      <xdr:rowOff>9525</xdr:rowOff>
    </xdr:to>
    <xdr:pic>
      <xdr:nvPicPr>
        <xdr:cNvPr id="580" name="Obraz 579">
          <a:extLst>
            <a:ext uri="{FF2B5EF4-FFF2-40B4-BE49-F238E27FC236}">
              <a16:creationId xmlns:a16="http://schemas.microsoft.com/office/drawing/2014/main" id="{66D18727-7796-43AE-9565-3CF0171BD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40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764</xdr:row>
      <xdr:rowOff>0</xdr:rowOff>
    </xdr:from>
    <xdr:to>
      <xdr:col>0</xdr:col>
      <xdr:colOff>9525</xdr:colOff>
      <xdr:row>764</xdr:row>
      <xdr:rowOff>9525</xdr:rowOff>
    </xdr:to>
    <xdr:pic>
      <xdr:nvPicPr>
        <xdr:cNvPr id="581" name="Obraz 580">
          <a:extLst>
            <a:ext uri="{FF2B5EF4-FFF2-40B4-BE49-F238E27FC236}">
              <a16:creationId xmlns:a16="http://schemas.microsoft.com/office/drawing/2014/main" id="{93AEDD73-2731-4A92-B9C0-7A979B6C8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335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766</xdr:row>
      <xdr:rowOff>0</xdr:rowOff>
    </xdr:from>
    <xdr:to>
      <xdr:col>0</xdr:col>
      <xdr:colOff>9525</xdr:colOff>
      <xdr:row>766</xdr:row>
      <xdr:rowOff>9525</xdr:rowOff>
    </xdr:to>
    <xdr:pic>
      <xdr:nvPicPr>
        <xdr:cNvPr id="582" name="Obraz 581">
          <a:extLst>
            <a:ext uri="{FF2B5EF4-FFF2-40B4-BE49-F238E27FC236}">
              <a16:creationId xmlns:a16="http://schemas.microsoft.com/office/drawing/2014/main" id="{9494245D-CE18-4EFD-B70F-17FE6AE64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11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769</xdr:row>
      <xdr:rowOff>0</xdr:rowOff>
    </xdr:from>
    <xdr:to>
      <xdr:col>0</xdr:col>
      <xdr:colOff>9525</xdr:colOff>
      <xdr:row>769</xdr:row>
      <xdr:rowOff>9525</xdr:rowOff>
    </xdr:to>
    <xdr:pic>
      <xdr:nvPicPr>
        <xdr:cNvPr id="583" name="Obraz 582">
          <a:extLst>
            <a:ext uri="{FF2B5EF4-FFF2-40B4-BE49-F238E27FC236}">
              <a16:creationId xmlns:a16="http://schemas.microsoft.com/office/drawing/2014/main" id="{6EE20F45-68F4-4190-A3AB-D59D66AC5C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50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772</xdr:row>
      <xdr:rowOff>0</xdr:rowOff>
    </xdr:from>
    <xdr:to>
      <xdr:col>0</xdr:col>
      <xdr:colOff>9525</xdr:colOff>
      <xdr:row>772</xdr:row>
      <xdr:rowOff>9525</xdr:rowOff>
    </xdr:to>
    <xdr:pic>
      <xdr:nvPicPr>
        <xdr:cNvPr id="584" name="Obraz 583">
          <a:extLst>
            <a:ext uri="{FF2B5EF4-FFF2-40B4-BE49-F238E27FC236}">
              <a16:creationId xmlns:a16="http://schemas.microsoft.com/office/drawing/2014/main" id="{54491130-BC67-47C0-889E-8741BEACD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26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9525</xdr:colOff>
      <xdr:row>776</xdr:row>
      <xdr:rowOff>9525</xdr:rowOff>
    </xdr:to>
    <xdr:pic>
      <xdr:nvPicPr>
        <xdr:cNvPr id="585" name="Obraz 584">
          <a:extLst>
            <a:ext uri="{FF2B5EF4-FFF2-40B4-BE49-F238E27FC236}">
              <a16:creationId xmlns:a16="http://schemas.microsoft.com/office/drawing/2014/main" id="{9AAA6EFD-FD93-40DD-97C2-D5FA08849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40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778</xdr:row>
      <xdr:rowOff>0</xdr:rowOff>
    </xdr:from>
    <xdr:to>
      <xdr:col>0</xdr:col>
      <xdr:colOff>9525</xdr:colOff>
      <xdr:row>778</xdr:row>
      <xdr:rowOff>9525</xdr:rowOff>
    </xdr:to>
    <xdr:pic>
      <xdr:nvPicPr>
        <xdr:cNvPr id="586" name="Obraz 585">
          <a:extLst>
            <a:ext uri="{FF2B5EF4-FFF2-40B4-BE49-F238E27FC236}">
              <a16:creationId xmlns:a16="http://schemas.microsoft.com/office/drawing/2014/main" id="{068EEE8E-7575-40BD-8986-D35EF737C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59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9525</xdr:colOff>
      <xdr:row>780</xdr:row>
      <xdr:rowOff>9525</xdr:rowOff>
    </xdr:to>
    <xdr:pic>
      <xdr:nvPicPr>
        <xdr:cNvPr id="587" name="Obraz 586">
          <a:extLst>
            <a:ext uri="{FF2B5EF4-FFF2-40B4-BE49-F238E27FC236}">
              <a16:creationId xmlns:a16="http://schemas.microsoft.com/office/drawing/2014/main" id="{750352F6-6BA2-41BA-93BD-8B7C42AAA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35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9525</xdr:colOff>
      <xdr:row>784</xdr:row>
      <xdr:rowOff>9525</xdr:rowOff>
    </xdr:to>
    <xdr:pic>
      <xdr:nvPicPr>
        <xdr:cNvPr id="588" name="Obraz 587">
          <a:extLst>
            <a:ext uri="{FF2B5EF4-FFF2-40B4-BE49-F238E27FC236}">
              <a16:creationId xmlns:a16="http://schemas.microsoft.com/office/drawing/2014/main" id="{34A7A17B-5787-4C83-8D80-471EABCBD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50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787</xdr:row>
      <xdr:rowOff>0</xdr:rowOff>
    </xdr:from>
    <xdr:to>
      <xdr:col>0</xdr:col>
      <xdr:colOff>9525</xdr:colOff>
      <xdr:row>787</xdr:row>
      <xdr:rowOff>9525</xdr:rowOff>
    </xdr:to>
    <xdr:pic>
      <xdr:nvPicPr>
        <xdr:cNvPr id="589" name="Obraz 588">
          <a:extLst>
            <a:ext uri="{FF2B5EF4-FFF2-40B4-BE49-F238E27FC236}">
              <a16:creationId xmlns:a16="http://schemas.microsoft.com/office/drawing/2014/main" id="{7F1229CE-431C-436D-BB6C-75580EF52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69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790</xdr:row>
      <xdr:rowOff>0</xdr:rowOff>
    </xdr:from>
    <xdr:to>
      <xdr:col>0</xdr:col>
      <xdr:colOff>9525</xdr:colOff>
      <xdr:row>790</xdr:row>
      <xdr:rowOff>9525</xdr:rowOff>
    </xdr:to>
    <xdr:pic>
      <xdr:nvPicPr>
        <xdr:cNvPr id="590" name="Obraz 589">
          <a:extLst>
            <a:ext uri="{FF2B5EF4-FFF2-40B4-BE49-F238E27FC236}">
              <a16:creationId xmlns:a16="http://schemas.microsoft.com/office/drawing/2014/main" id="{7E28B22C-E29F-4DCC-9790-6403DC8CA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64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793</xdr:row>
      <xdr:rowOff>0</xdr:rowOff>
    </xdr:from>
    <xdr:to>
      <xdr:col>0</xdr:col>
      <xdr:colOff>9525</xdr:colOff>
      <xdr:row>793</xdr:row>
      <xdr:rowOff>9525</xdr:rowOff>
    </xdr:to>
    <xdr:pic>
      <xdr:nvPicPr>
        <xdr:cNvPr id="591" name="Obraz 590">
          <a:extLst>
            <a:ext uri="{FF2B5EF4-FFF2-40B4-BE49-F238E27FC236}">
              <a16:creationId xmlns:a16="http://schemas.microsoft.com/office/drawing/2014/main" id="{FBAC8586-11B7-4536-A246-BCF0E2F07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59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9525</xdr:colOff>
      <xdr:row>795</xdr:row>
      <xdr:rowOff>9525</xdr:rowOff>
    </xdr:to>
    <xdr:pic>
      <xdr:nvPicPr>
        <xdr:cNvPr id="592" name="Obraz 591">
          <a:extLst>
            <a:ext uri="{FF2B5EF4-FFF2-40B4-BE49-F238E27FC236}">
              <a16:creationId xmlns:a16="http://schemas.microsoft.com/office/drawing/2014/main" id="{D5E4C07F-18BE-400F-B091-45E717737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78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9525</xdr:colOff>
      <xdr:row>798</xdr:row>
      <xdr:rowOff>9525</xdr:rowOff>
    </xdr:to>
    <xdr:pic>
      <xdr:nvPicPr>
        <xdr:cNvPr id="593" name="Obraz 592">
          <a:extLst>
            <a:ext uri="{FF2B5EF4-FFF2-40B4-BE49-F238E27FC236}">
              <a16:creationId xmlns:a16="http://schemas.microsoft.com/office/drawing/2014/main" id="{52EEB485-0496-4080-99D9-77932457D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73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9525</xdr:colOff>
      <xdr:row>800</xdr:row>
      <xdr:rowOff>9525</xdr:rowOff>
    </xdr:to>
    <xdr:pic>
      <xdr:nvPicPr>
        <xdr:cNvPr id="594" name="Obraz 593">
          <a:extLst>
            <a:ext uri="{FF2B5EF4-FFF2-40B4-BE49-F238E27FC236}">
              <a16:creationId xmlns:a16="http://schemas.microsoft.com/office/drawing/2014/main" id="{8560B0A9-6745-43D0-ACA2-5406F9916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88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9525</xdr:colOff>
      <xdr:row>801</xdr:row>
      <xdr:rowOff>9525</xdr:rowOff>
    </xdr:to>
    <xdr:pic>
      <xdr:nvPicPr>
        <xdr:cNvPr id="595" name="Obraz 594">
          <a:extLst>
            <a:ext uri="{FF2B5EF4-FFF2-40B4-BE49-F238E27FC236}">
              <a16:creationId xmlns:a16="http://schemas.microsoft.com/office/drawing/2014/main" id="{BB9635B1-9352-4089-AF70-D25BB0FAE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88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9525</xdr:colOff>
      <xdr:row>804</xdr:row>
      <xdr:rowOff>9525</xdr:rowOff>
    </xdr:to>
    <xdr:pic>
      <xdr:nvPicPr>
        <xdr:cNvPr id="596" name="Obraz 595">
          <a:extLst>
            <a:ext uri="{FF2B5EF4-FFF2-40B4-BE49-F238E27FC236}">
              <a16:creationId xmlns:a16="http://schemas.microsoft.com/office/drawing/2014/main" id="{0CCE2D5E-B7E2-4D9D-9522-FFA0CD2A9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64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9525</xdr:colOff>
      <xdr:row>807</xdr:row>
      <xdr:rowOff>9525</xdr:rowOff>
    </xdr:to>
    <xdr:pic>
      <xdr:nvPicPr>
        <xdr:cNvPr id="597" name="Obraz 596">
          <a:extLst>
            <a:ext uri="{FF2B5EF4-FFF2-40B4-BE49-F238E27FC236}">
              <a16:creationId xmlns:a16="http://schemas.microsoft.com/office/drawing/2014/main" id="{A053689B-1AAF-4A39-9AF4-791A5D4FA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78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9525</xdr:colOff>
      <xdr:row>810</xdr:row>
      <xdr:rowOff>9525</xdr:rowOff>
    </xdr:to>
    <xdr:pic>
      <xdr:nvPicPr>
        <xdr:cNvPr id="598" name="Obraz 597">
          <a:extLst>
            <a:ext uri="{FF2B5EF4-FFF2-40B4-BE49-F238E27FC236}">
              <a16:creationId xmlns:a16="http://schemas.microsoft.com/office/drawing/2014/main" id="{43860B46-1AD6-44A4-B192-70460C450E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97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9525</xdr:colOff>
      <xdr:row>810</xdr:row>
      <xdr:rowOff>9525</xdr:rowOff>
    </xdr:to>
    <xdr:pic>
      <xdr:nvPicPr>
        <xdr:cNvPr id="599" name="Obraz 598">
          <a:extLst>
            <a:ext uri="{FF2B5EF4-FFF2-40B4-BE49-F238E27FC236}">
              <a16:creationId xmlns:a16="http://schemas.microsoft.com/office/drawing/2014/main" id="{4077DA15-AB61-45CA-A20B-D758BF53A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74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814</xdr:row>
      <xdr:rowOff>0</xdr:rowOff>
    </xdr:from>
    <xdr:to>
      <xdr:col>0</xdr:col>
      <xdr:colOff>9525</xdr:colOff>
      <xdr:row>814</xdr:row>
      <xdr:rowOff>9525</xdr:rowOff>
    </xdr:to>
    <xdr:pic>
      <xdr:nvPicPr>
        <xdr:cNvPr id="600" name="Obraz 599">
          <a:extLst>
            <a:ext uri="{FF2B5EF4-FFF2-40B4-BE49-F238E27FC236}">
              <a16:creationId xmlns:a16="http://schemas.microsoft.com/office/drawing/2014/main" id="{CF668EAC-A541-4585-91F1-8F0939DB8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88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816</xdr:row>
      <xdr:rowOff>0</xdr:rowOff>
    </xdr:from>
    <xdr:to>
      <xdr:col>0</xdr:col>
      <xdr:colOff>9525</xdr:colOff>
      <xdr:row>816</xdr:row>
      <xdr:rowOff>9525</xdr:rowOff>
    </xdr:to>
    <xdr:pic>
      <xdr:nvPicPr>
        <xdr:cNvPr id="601" name="Obraz 600">
          <a:extLst>
            <a:ext uri="{FF2B5EF4-FFF2-40B4-BE49-F238E27FC236}">
              <a16:creationId xmlns:a16="http://schemas.microsoft.com/office/drawing/2014/main" id="{05F100AD-7DD6-47C0-9357-8A3F8003D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07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9525</xdr:colOff>
      <xdr:row>819</xdr:row>
      <xdr:rowOff>9525</xdr:rowOff>
    </xdr:to>
    <xdr:pic>
      <xdr:nvPicPr>
        <xdr:cNvPr id="602" name="Obraz 601">
          <a:extLst>
            <a:ext uri="{FF2B5EF4-FFF2-40B4-BE49-F238E27FC236}">
              <a16:creationId xmlns:a16="http://schemas.microsoft.com/office/drawing/2014/main" id="{D49DF2AB-AFE9-42AA-8597-F1E14746B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02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9525</xdr:colOff>
      <xdr:row>823</xdr:row>
      <xdr:rowOff>9525</xdr:rowOff>
    </xdr:to>
    <xdr:pic>
      <xdr:nvPicPr>
        <xdr:cNvPr id="603" name="Obraz 602">
          <a:extLst>
            <a:ext uri="{FF2B5EF4-FFF2-40B4-BE49-F238E27FC236}">
              <a16:creationId xmlns:a16="http://schemas.microsoft.com/office/drawing/2014/main" id="{083F70D8-64A2-470D-BB87-983333974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97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825</xdr:row>
      <xdr:rowOff>0</xdr:rowOff>
    </xdr:from>
    <xdr:to>
      <xdr:col>0</xdr:col>
      <xdr:colOff>9525</xdr:colOff>
      <xdr:row>825</xdr:row>
      <xdr:rowOff>9525</xdr:rowOff>
    </xdr:to>
    <xdr:pic>
      <xdr:nvPicPr>
        <xdr:cNvPr id="604" name="Obraz 603">
          <a:extLst>
            <a:ext uri="{FF2B5EF4-FFF2-40B4-BE49-F238E27FC236}">
              <a16:creationId xmlns:a16="http://schemas.microsoft.com/office/drawing/2014/main" id="{38D6087A-D2AF-491D-BCC7-06795FB117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16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827</xdr:row>
      <xdr:rowOff>0</xdr:rowOff>
    </xdr:from>
    <xdr:to>
      <xdr:col>0</xdr:col>
      <xdr:colOff>9525</xdr:colOff>
      <xdr:row>827</xdr:row>
      <xdr:rowOff>9525</xdr:rowOff>
    </xdr:to>
    <xdr:pic>
      <xdr:nvPicPr>
        <xdr:cNvPr id="605" name="Obraz 604">
          <a:extLst>
            <a:ext uri="{FF2B5EF4-FFF2-40B4-BE49-F238E27FC236}">
              <a16:creationId xmlns:a16="http://schemas.microsoft.com/office/drawing/2014/main" id="{978B90B6-8AEA-4DE4-B8CB-0978EDCFB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93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831</xdr:row>
      <xdr:rowOff>0</xdr:rowOff>
    </xdr:from>
    <xdr:to>
      <xdr:col>0</xdr:col>
      <xdr:colOff>9525</xdr:colOff>
      <xdr:row>831</xdr:row>
      <xdr:rowOff>9525</xdr:rowOff>
    </xdr:to>
    <xdr:pic>
      <xdr:nvPicPr>
        <xdr:cNvPr id="606" name="Obraz 605">
          <a:extLst>
            <a:ext uri="{FF2B5EF4-FFF2-40B4-BE49-F238E27FC236}">
              <a16:creationId xmlns:a16="http://schemas.microsoft.com/office/drawing/2014/main" id="{3775A8D3-5FAF-4C0B-941B-E9B54447E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07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9525</xdr:colOff>
      <xdr:row>834</xdr:row>
      <xdr:rowOff>9525</xdr:rowOff>
    </xdr:to>
    <xdr:pic>
      <xdr:nvPicPr>
        <xdr:cNvPr id="607" name="Obraz 606">
          <a:extLst>
            <a:ext uri="{FF2B5EF4-FFF2-40B4-BE49-F238E27FC236}">
              <a16:creationId xmlns:a16="http://schemas.microsoft.com/office/drawing/2014/main" id="{B4CFF7FC-B695-4419-B7E7-0C5E22CD8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26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836</xdr:row>
      <xdr:rowOff>0</xdr:rowOff>
    </xdr:from>
    <xdr:to>
      <xdr:col>0</xdr:col>
      <xdr:colOff>9525</xdr:colOff>
      <xdr:row>836</xdr:row>
      <xdr:rowOff>9525</xdr:rowOff>
    </xdr:to>
    <xdr:pic>
      <xdr:nvPicPr>
        <xdr:cNvPr id="608" name="Obraz 607">
          <a:extLst>
            <a:ext uri="{FF2B5EF4-FFF2-40B4-BE49-F238E27FC236}">
              <a16:creationId xmlns:a16="http://schemas.microsoft.com/office/drawing/2014/main" id="{183492EB-E5D2-4171-B8C5-47657D519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02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840</xdr:row>
      <xdr:rowOff>0</xdr:rowOff>
    </xdr:from>
    <xdr:to>
      <xdr:col>0</xdr:col>
      <xdr:colOff>9525</xdr:colOff>
      <xdr:row>840</xdr:row>
      <xdr:rowOff>9525</xdr:rowOff>
    </xdr:to>
    <xdr:pic>
      <xdr:nvPicPr>
        <xdr:cNvPr id="609" name="Obraz 608">
          <a:extLst>
            <a:ext uri="{FF2B5EF4-FFF2-40B4-BE49-F238E27FC236}">
              <a16:creationId xmlns:a16="http://schemas.microsoft.com/office/drawing/2014/main" id="{218E42CA-C03E-4BC6-9ED9-68ED8616B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16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9525</xdr:colOff>
      <xdr:row>842</xdr:row>
      <xdr:rowOff>9525</xdr:rowOff>
    </xdr:to>
    <xdr:pic>
      <xdr:nvPicPr>
        <xdr:cNvPr id="610" name="Obraz 609">
          <a:extLst>
            <a:ext uri="{FF2B5EF4-FFF2-40B4-BE49-F238E27FC236}">
              <a16:creationId xmlns:a16="http://schemas.microsoft.com/office/drawing/2014/main" id="{DC277E43-9209-4930-B85A-4C36A590A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36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9525</xdr:colOff>
      <xdr:row>845</xdr:row>
      <xdr:rowOff>9525</xdr:rowOff>
    </xdr:to>
    <xdr:pic>
      <xdr:nvPicPr>
        <xdr:cNvPr id="611" name="Obraz 610">
          <a:extLst>
            <a:ext uri="{FF2B5EF4-FFF2-40B4-BE49-F238E27FC236}">
              <a16:creationId xmlns:a16="http://schemas.microsoft.com/office/drawing/2014/main" id="{934046D2-7666-43E6-A9D9-BB2295BE1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12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9525</xdr:colOff>
      <xdr:row>849</xdr:row>
      <xdr:rowOff>9525</xdr:rowOff>
    </xdr:to>
    <xdr:pic>
      <xdr:nvPicPr>
        <xdr:cNvPr id="612" name="Obraz 611">
          <a:extLst>
            <a:ext uri="{FF2B5EF4-FFF2-40B4-BE49-F238E27FC236}">
              <a16:creationId xmlns:a16="http://schemas.microsoft.com/office/drawing/2014/main" id="{0D8F8778-9772-48C1-9FE2-F8AEA258D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26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9525</xdr:colOff>
      <xdr:row>2</xdr:row>
      <xdr:rowOff>9525</xdr:rowOff>
    </xdr:to>
    <xdr:pic>
      <xdr:nvPicPr>
        <xdr:cNvPr id="617" name="Obraz 616">
          <a:extLst>
            <a:ext uri="{FF2B5EF4-FFF2-40B4-BE49-F238E27FC236}">
              <a16:creationId xmlns:a16="http://schemas.microsoft.com/office/drawing/2014/main" id="{885CE7E3-E68B-4047-A0F0-DED15B38C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9525</xdr:colOff>
      <xdr:row>6</xdr:row>
      <xdr:rowOff>9525</xdr:rowOff>
    </xdr:to>
    <xdr:pic>
      <xdr:nvPicPr>
        <xdr:cNvPr id="618" name="Obraz 617">
          <a:extLst>
            <a:ext uri="{FF2B5EF4-FFF2-40B4-BE49-F238E27FC236}">
              <a16:creationId xmlns:a16="http://schemas.microsoft.com/office/drawing/2014/main" id="{2E6CB2C9-F99B-4C8F-9708-B9E91D873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9525</xdr:colOff>
      <xdr:row>9</xdr:row>
      <xdr:rowOff>9525</xdr:rowOff>
    </xdr:to>
    <xdr:pic>
      <xdr:nvPicPr>
        <xdr:cNvPr id="619" name="Obraz 618">
          <a:extLst>
            <a:ext uri="{FF2B5EF4-FFF2-40B4-BE49-F238E27FC236}">
              <a16:creationId xmlns:a16="http://schemas.microsoft.com/office/drawing/2014/main" id="{416D95F9-6235-4867-B778-340AC1E5B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</xdr:row>
      <xdr:rowOff>0</xdr:rowOff>
    </xdr:from>
    <xdr:to>
      <xdr:col>0</xdr:col>
      <xdr:colOff>9525</xdr:colOff>
      <xdr:row>13</xdr:row>
      <xdr:rowOff>9525</xdr:rowOff>
    </xdr:to>
    <xdr:pic>
      <xdr:nvPicPr>
        <xdr:cNvPr id="630" name="Obraz 629">
          <a:extLst>
            <a:ext uri="{FF2B5EF4-FFF2-40B4-BE49-F238E27FC236}">
              <a16:creationId xmlns:a16="http://schemas.microsoft.com/office/drawing/2014/main" id="{959665B0-A76E-4209-B682-D737AB0292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>
      <xdr:nvPicPr>
        <xdr:cNvPr id="631" name="Obraz 630">
          <a:extLst>
            <a:ext uri="{FF2B5EF4-FFF2-40B4-BE49-F238E27FC236}">
              <a16:creationId xmlns:a16="http://schemas.microsoft.com/office/drawing/2014/main" id="{58BD81AC-08C0-4E5D-981E-0E9335BA6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9525</xdr:colOff>
      <xdr:row>21</xdr:row>
      <xdr:rowOff>9525</xdr:rowOff>
    </xdr:to>
    <xdr:pic>
      <xdr:nvPicPr>
        <xdr:cNvPr id="632" name="Obraz 631">
          <a:extLst>
            <a:ext uri="{FF2B5EF4-FFF2-40B4-BE49-F238E27FC236}">
              <a16:creationId xmlns:a16="http://schemas.microsoft.com/office/drawing/2014/main" id="{97FF7377-4BE6-49DA-9639-DA95862A9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9525</xdr:colOff>
      <xdr:row>24</xdr:row>
      <xdr:rowOff>9525</xdr:rowOff>
    </xdr:to>
    <xdr:pic>
      <xdr:nvPicPr>
        <xdr:cNvPr id="640" name="Obraz 639">
          <a:extLst>
            <a:ext uri="{FF2B5EF4-FFF2-40B4-BE49-F238E27FC236}">
              <a16:creationId xmlns:a16="http://schemas.microsoft.com/office/drawing/2014/main" id="{3585E73A-34B4-42C4-977D-6475693B2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9525</xdr:colOff>
      <xdr:row>28</xdr:row>
      <xdr:rowOff>9525</xdr:rowOff>
    </xdr:to>
    <xdr:pic>
      <xdr:nvPicPr>
        <xdr:cNvPr id="641" name="Obraz 640">
          <a:extLst>
            <a:ext uri="{FF2B5EF4-FFF2-40B4-BE49-F238E27FC236}">
              <a16:creationId xmlns:a16="http://schemas.microsoft.com/office/drawing/2014/main" id="{3AE52193-E30B-40F9-B77B-59878DD29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0</xdr:col>
      <xdr:colOff>9525</xdr:colOff>
      <xdr:row>32</xdr:row>
      <xdr:rowOff>9525</xdr:rowOff>
    </xdr:to>
    <xdr:pic>
      <xdr:nvPicPr>
        <xdr:cNvPr id="642" name="Obraz 641">
          <a:extLst>
            <a:ext uri="{FF2B5EF4-FFF2-40B4-BE49-F238E27FC236}">
              <a16:creationId xmlns:a16="http://schemas.microsoft.com/office/drawing/2014/main" id="{C5C8B91B-1CBD-474E-8886-321D4C76C9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0</xdr:col>
      <xdr:colOff>9525</xdr:colOff>
      <xdr:row>36</xdr:row>
      <xdr:rowOff>9525</xdr:rowOff>
    </xdr:to>
    <xdr:pic>
      <xdr:nvPicPr>
        <xdr:cNvPr id="645" name="Obraz 644">
          <a:extLst>
            <a:ext uri="{FF2B5EF4-FFF2-40B4-BE49-F238E27FC236}">
              <a16:creationId xmlns:a16="http://schemas.microsoft.com/office/drawing/2014/main" id="{E4C43FD6-9186-4F63-ACD3-445289E64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9525</xdr:colOff>
      <xdr:row>40</xdr:row>
      <xdr:rowOff>9525</xdr:rowOff>
    </xdr:to>
    <xdr:pic>
      <xdr:nvPicPr>
        <xdr:cNvPr id="646" name="Obraz 645">
          <a:extLst>
            <a:ext uri="{FF2B5EF4-FFF2-40B4-BE49-F238E27FC236}">
              <a16:creationId xmlns:a16="http://schemas.microsoft.com/office/drawing/2014/main" id="{9439B791-AD67-4857-8BD5-9D1C92A94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0</xdr:col>
      <xdr:colOff>9525</xdr:colOff>
      <xdr:row>43</xdr:row>
      <xdr:rowOff>9525</xdr:rowOff>
    </xdr:to>
    <xdr:pic>
      <xdr:nvPicPr>
        <xdr:cNvPr id="647" name="Obraz 646">
          <a:extLst>
            <a:ext uri="{FF2B5EF4-FFF2-40B4-BE49-F238E27FC236}">
              <a16:creationId xmlns:a16="http://schemas.microsoft.com/office/drawing/2014/main" id="{04A09E61-FB8F-4625-9DF3-52044FDE8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7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9525</xdr:colOff>
      <xdr:row>47</xdr:row>
      <xdr:rowOff>9525</xdr:rowOff>
    </xdr:to>
    <xdr:pic>
      <xdr:nvPicPr>
        <xdr:cNvPr id="650" name="Obraz 649">
          <a:extLst>
            <a:ext uri="{FF2B5EF4-FFF2-40B4-BE49-F238E27FC236}">
              <a16:creationId xmlns:a16="http://schemas.microsoft.com/office/drawing/2014/main" id="{86FF59A8-C9E6-486C-B83E-EA1ECBBCF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5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9525</xdr:colOff>
      <xdr:row>51</xdr:row>
      <xdr:rowOff>9525</xdr:rowOff>
    </xdr:to>
    <xdr:pic>
      <xdr:nvPicPr>
        <xdr:cNvPr id="651" name="Obraz 650">
          <a:extLst>
            <a:ext uri="{FF2B5EF4-FFF2-40B4-BE49-F238E27FC236}">
              <a16:creationId xmlns:a16="http://schemas.microsoft.com/office/drawing/2014/main" id="{08C92D15-9D93-4785-BA5E-D54DCDCD7A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9525</xdr:colOff>
      <xdr:row>54</xdr:row>
      <xdr:rowOff>9525</xdr:rowOff>
    </xdr:to>
    <xdr:pic>
      <xdr:nvPicPr>
        <xdr:cNvPr id="652" name="Obraz 651">
          <a:extLst>
            <a:ext uri="{FF2B5EF4-FFF2-40B4-BE49-F238E27FC236}">
              <a16:creationId xmlns:a16="http://schemas.microsoft.com/office/drawing/2014/main" id="{445E7610-1158-42B8-B871-36C9F83A3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</xdr:row>
      <xdr:rowOff>0</xdr:rowOff>
    </xdr:from>
    <xdr:to>
      <xdr:col>0</xdr:col>
      <xdr:colOff>9525</xdr:colOff>
      <xdr:row>58</xdr:row>
      <xdr:rowOff>9525</xdr:rowOff>
    </xdr:to>
    <xdr:pic>
      <xdr:nvPicPr>
        <xdr:cNvPr id="657" name="Obraz 656">
          <a:extLst>
            <a:ext uri="{FF2B5EF4-FFF2-40B4-BE49-F238E27FC236}">
              <a16:creationId xmlns:a16="http://schemas.microsoft.com/office/drawing/2014/main" id="{20A079B0-AE97-40A8-A667-A9EE88D84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9525</xdr:colOff>
      <xdr:row>61</xdr:row>
      <xdr:rowOff>9525</xdr:rowOff>
    </xdr:to>
    <xdr:pic>
      <xdr:nvPicPr>
        <xdr:cNvPr id="658" name="Obraz 657">
          <a:extLst>
            <a:ext uri="{FF2B5EF4-FFF2-40B4-BE49-F238E27FC236}">
              <a16:creationId xmlns:a16="http://schemas.microsoft.com/office/drawing/2014/main" id="{DC91D04A-864E-4EA1-9DD3-B9D16CD58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1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0</xdr:col>
      <xdr:colOff>9525</xdr:colOff>
      <xdr:row>65</xdr:row>
      <xdr:rowOff>9525</xdr:rowOff>
    </xdr:to>
    <xdr:pic>
      <xdr:nvPicPr>
        <xdr:cNvPr id="659" name="Obraz 658">
          <a:extLst>
            <a:ext uri="{FF2B5EF4-FFF2-40B4-BE49-F238E27FC236}">
              <a16:creationId xmlns:a16="http://schemas.microsoft.com/office/drawing/2014/main" id="{1744B685-6129-4EB7-8B33-952B6651B5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76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9525</xdr:colOff>
      <xdr:row>68</xdr:row>
      <xdr:rowOff>9525</xdr:rowOff>
    </xdr:to>
    <xdr:pic>
      <xdr:nvPicPr>
        <xdr:cNvPr id="660" name="Obraz 659">
          <a:extLst>
            <a:ext uri="{FF2B5EF4-FFF2-40B4-BE49-F238E27FC236}">
              <a16:creationId xmlns:a16="http://schemas.microsoft.com/office/drawing/2014/main" id="{A43E832F-ACD3-487D-BC2A-5AC03B918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9525</xdr:colOff>
      <xdr:row>68</xdr:row>
      <xdr:rowOff>9525</xdr:rowOff>
    </xdr:to>
    <xdr:pic>
      <xdr:nvPicPr>
        <xdr:cNvPr id="661" name="Obraz 660">
          <a:extLst>
            <a:ext uri="{FF2B5EF4-FFF2-40B4-BE49-F238E27FC236}">
              <a16:creationId xmlns:a16="http://schemas.microsoft.com/office/drawing/2014/main" id="{F7F191F6-D47F-4425-B635-BA992D891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9525</xdr:colOff>
      <xdr:row>70</xdr:row>
      <xdr:rowOff>9525</xdr:rowOff>
    </xdr:to>
    <xdr:pic>
      <xdr:nvPicPr>
        <xdr:cNvPr id="623" name="Obraz 622">
          <a:extLst>
            <a:ext uri="{FF2B5EF4-FFF2-40B4-BE49-F238E27FC236}">
              <a16:creationId xmlns:a16="http://schemas.microsoft.com/office/drawing/2014/main" id="{8BCE1F05-84A9-4178-90ED-864C9D2DA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9525</xdr:colOff>
      <xdr:row>74</xdr:row>
      <xdr:rowOff>9525</xdr:rowOff>
    </xdr:to>
    <xdr:pic>
      <xdr:nvPicPr>
        <xdr:cNvPr id="624" name="Obraz 623">
          <a:extLst>
            <a:ext uri="{FF2B5EF4-FFF2-40B4-BE49-F238E27FC236}">
              <a16:creationId xmlns:a16="http://schemas.microsoft.com/office/drawing/2014/main" id="{D84B33C5-47E4-414B-835B-3C61494E4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9525</xdr:colOff>
      <xdr:row>77</xdr:row>
      <xdr:rowOff>9525</xdr:rowOff>
    </xdr:to>
    <xdr:pic>
      <xdr:nvPicPr>
        <xdr:cNvPr id="625" name="Obraz 624">
          <a:extLst>
            <a:ext uri="{FF2B5EF4-FFF2-40B4-BE49-F238E27FC236}">
              <a16:creationId xmlns:a16="http://schemas.microsoft.com/office/drawing/2014/main" id="{36E6FAEF-D4CB-467A-8FE8-46334B625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9525</xdr:colOff>
      <xdr:row>81</xdr:row>
      <xdr:rowOff>9525</xdr:rowOff>
    </xdr:to>
    <xdr:pic>
      <xdr:nvPicPr>
        <xdr:cNvPr id="627" name="Obraz 626">
          <a:extLst>
            <a:ext uri="{FF2B5EF4-FFF2-40B4-BE49-F238E27FC236}">
              <a16:creationId xmlns:a16="http://schemas.microsoft.com/office/drawing/2014/main" id="{64792E73-842C-4A7A-A4BC-BEC5726BC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9525</xdr:colOff>
      <xdr:row>84</xdr:row>
      <xdr:rowOff>9525</xdr:rowOff>
    </xdr:to>
    <xdr:pic>
      <xdr:nvPicPr>
        <xdr:cNvPr id="628" name="Obraz 627">
          <a:extLst>
            <a:ext uri="{FF2B5EF4-FFF2-40B4-BE49-F238E27FC236}">
              <a16:creationId xmlns:a16="http://schemas.microsoft.com/office/drawing/2014/main" id="{C653257E-F2C3-4D0F-9883-C922F7C8C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9525</xdr:colOff>
      <xdr:row>88</xdr:row>
      <xdr:rowOff>9525</xdr:rowOff>
    </xdr:to>
    <xdr:pic>
      <xdr:nvPicPr>
        <xdr:cNvPr id="629" name="Obraz 628">
          <a:extLst>
            <a:ext uri="{FF2B5EF4-FFF2-40B4-BE49-F238E27FC236}">
              <a16:creationId xmlns:a16="http://schemas.microsoft.com/office/drawing/2014/main" id="{B899DDF8-166C-4AB9-AA9B-B50EFE3900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4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0</xdr:col>
      <xdr:colOff>9525</xdr:colOff>
      <xdr:row>91</xdr:row>
      <xdr:rowOff>9525</xdr:rowOff>
    </xdr:to>
    <xdr:pic>
      <xdr:nvPicPr>
        <xdr:cNvPr id="633" name="Obraz 632">
          <a:extLst>
            <a:ext uri="{FF2B5EF4-FFF2-40B4-BE49-F238E27FC236}">
              <a16:creationId xmlns:a16="http://schemas.microsoft.com/office/drawing/2014/main" id="{2F9557D1-44A6-4205-A2BD-A863A2C28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0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9525</xdr:colOff>
      <xdr:row>92</xdr:row>
      <xdr:rowOff>9525</xdr:rowOff>
    </xdr:to>
    <xdr:pic>
      <xdr:nvPicPr>
        <xdr:cNvPr id="634" name="Obraz 633">
          <a:extLst>
            <a:ext uri="{FF2B5EF4-FFF2-40B4-BE49-F238E27FC236}">
              <a16:creationId xmlns:a16="http://schemas.microsoft.com/office/drawing/2014/main" id="{CA9E82DC-3F68-48C7-9ADB-9D7C6368A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0</xdr:col>
      <xdr:colOff>9525</xdr:colOff>
      <xdr:row>93</xdr:row>
      <xdr:rowOff>9525</xdr:rowOff>
    </xdr:to>
    <xdr:pic>
      <xdr:nvPicPr>
        <xdr:cNvPr id="635" name="Obraz 634">
          <a:extLst>
            <a:ext uri="{FF2B5EF4-FFF2-40B4-BE49-F238E27FC236}">
              <a16:creationId xmlns:a16="http://schemas.microsoft.com/office/drawing/2014/main" id="{ECF2DE94-B7C5-4163-A140-D7C674974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6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9525</xdr:rowOff>
    </xdr:to>
    <xdr:pic>
      <xdr:nvPicPr>
        <xdr:cNvPr id="638" name="Obraz 637">
          <a:extLst>
            <a:ext uri="{FF2B5EF4-FFF2-40B4-BE49-F238E27FC236}">
              <a16:creationId xmlns:a16="http://schemas.microsoft.com/office/drawing/2014/main" id="{B0F38391-8D3A-4652-8385-2EF87D41C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0</xdr:col>
      <xdr:colOff>9525</xdr:colOff>
      <xdr:row>98</xdr:row>
      <xdr:rowOff>9525</xdr:rowOff>
    </xdr:to>
    <xdr:pic>
      <xdr:nvPicPr>
        <xdr:cNvPr id="639" name="Obraz 638">
          <a:extLst>
            <a:ext uri="{FF2B5EF4-FFF2-40B4-BE49-F238E27FC236}">
              <a16:creationId xmlns:a16="http://schemas.microsoft.com/office/drawing/2014/main" id="{650B5834-239E-4B89-A34E-0A15F1EAE0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5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9525</xdr:colOff>
      <xdr:row>103</xdr:row>
      <xdr:rowOff>9525</xdr:rowOff>
    </xdr:to>
    <xdr:pic>
      <xdr:nvPicPr>
        <xdr:cNvPr id="643" name="Obraz 642">
          <a:extLst>
            <a:ext uri="{FF2B5EF4-FFF2-40B4-BE49-F238E27FC236}">
              <a16:creationId xmlns:a16="http://schemas.microsoft.com/office/drawing/2014/main" id="{559679A6-F6E9-427D-850C-8852B4CED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9525</xdr:colOff>
      <xdr:row>106</xdr:row>
      <xdr:rowOff>9525</xdr:rowOff>
    </xdr:to>
    <xdr:pic>
      <xdr:nvPicPr>
        <xdr:cNvPr id="653" name="Obraz 652">
          <a:extLst>
            <a:ext uri="{FF2B5EF4-FFF2-40B4-BE49-F238E27FC236}">
              <a16:creationId xmlns:a16="http://schemas.microsoft.com/office/drawing/2014/main" id="{BDE8760E-73D1-4078-B108-31E1B7CF0E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9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9525</xdr:colOff>
      <xdr:row>109</xdr:row>
      <xdr:rowOff>9525</xdr:rowOff>
    </xdr:to>
    <xdr:pic>
      <xdr:nvPicPr>
        <xdr:cNvPr id="654" name="Obraz 653">
          <a:extLst>
            <a:ext uri="{FF2B5EF4-FFF2-40B4-BE49-F238E27FC236}">
              <a16:creationId xmlns:a16="http://schemas.microsoft.com/office/drawing/2014/main" id="{C325D227-F067-4FC9-B3FC-6A8D7AA1C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9525</xdr:colOff>
      <xdr:row>113</xdr:row>
      <xdr:rowOff>9525</xdr:rowOff>
    </xdr:to>
    <xdr:pic>
      <xdr:nvPicPr>
        <xdr:cNvPr id="655" name="Obraz 654">
          <a:extLst>
            <a:ext uri="{FF2B5EF4-FFF2-40B4-BE49-F238E27FC236}">
              <a16:creationId xmlns:a16="http://schemas.microsoft.com/office/drawing/2014/main" id="{DD78722A-8EDA-468E-B72B-89ED2B128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0</xdr:col>
      <xdr:colOff>9525</xdr:colOff>
      <xdr:row>116</xdr:row>
      <xdr:rowOff>9525</xdr:rowOff>
    </xdr:to>
    <xdr:pic>
      <xdr:nvPicPr>
        <xdr:cNvPr id="656" name="Obraz 655">
          <a:extLst>
            <a:ext uri="{FF2B5EF4-FFF2-40B4-BE49-F238E27FC236}">
              <a16:creationId xmlns:a16="http://schemas.microsoft.com/office/drawing/2014/main" id="{FCD2EFE9-41B3-4CC4-9113-5C652AB3F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6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9525</xdr:colOff>
      <xdr:row>117</xdr:row>
      <xdr:rowOff>9525</xdr:rowOff>
    </xdr:to>
    <xdr:pic>
      <xdr:nvPicPr>
        <xdr:cNvPr id="662" name="Obraz 661">
          <a:extLst>
            <a:ext uri="{FF2B5EF4-FFF2-40B4-BE49-F238E27FC236}">
              <a16:creationId xmlns:a16="http://schemas.microsoft.com/office/drawing/2014/main" id="{829E5C11-62ED-4B56-85FE-0769836C9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9525</xdr:colOff>
      <xdr:row>118</xdr:row>
      <xdr:rowOff>9525</xdr:rowOff>
    </xdr:to>
    <xdr:pic>
      <xdr:nvPicPr>
        <xdr:cNvPr id="663" name="Obraz 662">
          <a:extLst>
            <a:ext uri="{FF2B5EF4-FFF2-40B4-BE49-F238E27FC236}">
              <a16:creationId xmlns:a16="http://schemas.microsoft.com/office/drawing/2014/main" id="{8CE05EA7-D0BB-4921-BBF9-E5F08F9DE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3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9525</xdr:colOff>
      <xdr:row>118</xdr:row>
      <xdr:rowOff>9525</xdr:rowOff>
    </xdr:to>
    <xdr:pic>
      <xdr:nvPicPr>
        <xdr:cNvPr id="664" name="Obraz 663">
          <a:extLst>
            <a:ext uri="{FF2B5EF4-FFF2-40B4-BE49-F238E27FC236}">
              <a16:creationId xmlns:a16="http://schemas.microsoft.com/office/drawing/2014/main" id="{C522D28C-9856-4CF4-BE22-E0E0823B47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9525</xdr:colOff>
      <xdr:row>120</xdr:row>
      <xdr:rowOff>9525</xdr:rowOff>
    </xdr:to>
    <xdr:pic>
      <xdr:nvPicPr>
        <xdr:cNvPr id="668" name="Obraz 667">
          <a:extLst>
            <a:ext uri="{FF2B5EF4-FFF2-40B4-BE49-F238E27FC236}">
              <a16:creationId xmlns:a16="http://schemas.microsoft.com/office/drawing/2014/main" id="{8F499737-5919-4795-A42E-D508DA911A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6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9525</xdr:colOff>
      <xdr:row>124</xdr:row>
      <xdr:rowOff>9525</xdr:rowOff>
    </xdr:to>
    <xdr:pic>
      <xdr:nvPicPr>
        <xdr:cNvPr id="669" name="Obraz 668">
          <a:extLst>
            <a:ext uri="{FF2B5EF4-FFF2-40B4-BE49-F238E27FC236}">
              <a16:creationId xmlns:a16="http://schemas.microsoft.com/office/drawing/2014/main" id="{C88883A0-D8D2-406C-9330-8FB5D5788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0</xdr:col>
      <xdr:colOff>9525</xdr:colOff>
      <xdr:row>127</xdr:row>
      <xdr:rowOff>9525</xdr:rowOff>
    </xdr:to>
    <xdr:pic>
      <xdr:nvPicPr>
        <xdr:cNvPr id="670" name="Obraz 669">
          <a:extLst>
            <a:ext uri="{FF2B5EF4-FFF2-40B4-BE49-F238E27FC236}">
              <a16:creationId xmlns:a16="http://schemas.microsoft.com/office/drawing/2014/main" id="{5943E2AC-87A2-4F7C-A9DA-899003D94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7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9525</xdr:colOff>
      <xdr:row>131</xdr:row>
      <xdr:rowOff>9525</xdr:rowOff>
    </xdr:to>
    <xdr:pic>
      <xdr:nvPicPr>
        <xdr:cNvPr id="673" name="Obraz 672">
          <a:extLst>
            <a:ext uri="{FF2B5EF4-FFF2-40B4-BE49-F238E27FC236}">
              <a16:creationId xmlns:a16="http://schemas.microsoft.com/office/drawing/2014/main" id="{A7B68672-DEB0-4946-B0E7-8593F8281E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</xdr:row>
      <xdr:rowOff>0</xdr:rowOff>
    </xdr:from>
    <xdr:to>
      <xdr:col>0</xdr:col>
      <xdr:colOff>9525</xdr:colOff>
      <xdr:row>134</xdr:row>
      <xdr:rowOff>9525</xdr:rowOff>
    </xdr:to>
    <xdr:pic>
      <xdr:nvPicPr>
        <xdr:cNvPr id="674" name="Obraz 673">
          <a:extLst>
            <a:ext uri="{FF2B5EF4-FFF2-40B4-BE49-F238E27FC236}">
              <a16:creationId xmlns:a16="http://schemas.microsoft.com/office/drawing/2014/main" id="{00A60FF2-6A72-4878-BA82-675EEBE47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1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9525</xdr:colOff>
      <xdr:row>139</xdr:row>
      <xdr:rowOff>9525</xdr:rowOff>
    </xdr:to>
    <xdr:pic>
      <xdr:nvPicPr>
        <xdr:cNvPr id="675" name="Obraz 674">
          <a:extLst>
            <a:ext uri="{FF2B5EF4-FFF2-40B4-BE49-F238E27FC236}">
              <a16:creationId xmlns:a16="http://schemas.microsoft.com/office/drawing/2014/main" id="{C60991FF-A060-4B6F-BFA3-F136DCEADF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6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0</xdr:col>
      <xdr:colOff>9525</xdr:colOff>
      <xdr:row>142</xdr:row>
      <xdr:rowOff>9525</xdr:rowOff>
    </xdr:to>
    <xdr:pic>
      <xdr:nvPicPr>
        <xdr:cNvPr id="676" name="Obraz 675">
          <a:extLst>
            <a:ext uri="{FF2B5EF4-FFF2-40B4-BE49-F238E27FC236}">
              <a16:creationId xmlns:a16="http://schemas.microsoft.com/office/drawing/2014/main" id="{4A5C6CCB-8B3A-4951-ADB7-32462B29A4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5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0</xdr:col>
      <xdr:colOff>9525</xdr:colOff>
      <xdr:row>146</xdr:row>
      <xdr:rowOff>9525</xdr:rowOff>
    </xdr:to>
    <xdr:pic>
      <xdr:nvPicPr>
        <xdr:cNvPr id="677" name="Obraz 676">
          <a:extLst>
            <a:ext uri="{FF2B5EF4-FFF2-40B4-BE49-F238E27FC236}">
              <a16:creationId xmlns:a16="http://schemas.microsoft.com/office/drawing/2014/main" id="{EB8D3254-CA7A-4E8F-AC1D-05E27EFC8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0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9525</xdr:colOff>
      <xdr:row>149</xdr:row>
      <xdr:rowOff>9525</xdr:rowOff>
    </xdr:to>
    <xdr:pic>
      <xdr:nvPicPr>
        <xdr:cNvPr id="678" name="Obraz 677">
          <a:extLst>
            <a:ext uri="{FF2B5EF4-FFF2-40B4-BE49-F238E27FC236}">
              <a16:creationId xmlns:a16="http://schemas.microsoft.com/office/drawing/2014/main" id="{5C307ACC-7C0E-4EFE-8CE7-1857B0A687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6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9525</xdr:colOff>
      <xdr:row>153</xdr:row>
      <xdr:rowOff>9525</xdr:rowOff>
    </xdr:to>
    <xdr:pic>
      <xdr:nvPicPr>
        <xdr:cNvPr id="679" name="Obraz 678">
          <a:extLst>
            <a:ext uri="{FF2B5EF4-FFF2-40B4-BE49-F238E27FC236}">
              <a16:creationId xmlns:a16="http://schemas.microsoft.com/office/drawing/2014/main" id="{EC8231F4-E0AC-4C39-B96D-7C3AB980C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0</xdr:col>
      <xdr:colOff>9525</xdr:colOff>
      <xdr:row>157</xdr:row>
      <xdr:rowOff>9525</xdr:rowOff>
    </xdr:to>
    <xdr:pic>
      <xdr:nvPicPr>
        <xdr:cNvPr id="680" name="Obraz 679">
          <a:extLst>
            <a:ext uri="{FF2B5EF4-FFF2-40B4-BE49-F238E27FC236}">
              <a16:creationId xmlns:a16="http://schemas.microsoft.com/office/drawing/2014/main" id="{9C643F1A-75E5-4E25-AA77-69B36A7E6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9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</xdr:row>
      <xdr:rowOff>0</xdr:rowOff>
    </xdr:from>
    <xdr:to>
      <xdr:col>0</xdr:col>
      <xdr:colOff>9525</xdr:colOff>
      <xdr:row>160</xdr:row>
      <xdr:rowOff>9525</xdr:rowOff>
    </xdr:to>
    <xdr:pic>
      <xdr:nvPicPr>
        <xdr:cNvPr id="681" name="Obraz 680">
          <a:extLst>
            <a:ext uri="{FF2B5EF4-FFF2-40B4-BE49-F238E27FC236}">
              <a16:creationId xmlns:a16="http://schemas.microsoft.com/office/drawing/2014/main" id="{FD013627-A5BD-450B-A9A8-E8E7776CA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6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</xdr:row>
      <xdr:rowOff>0</xdr:rowOff>
    </xdr:from>
    <xdr:to>
      <xdr:col>0</xdr:col>
      <xdr:colOff>9525</xdr:colOff>
      <xdr:row>164</xdr:row>
      <xdr:rowOff>9525</xdr:rowOff>
    </xdr:to>
    <xdr:pic>
      <xdr:nvPicPr>
        <xdr:cNvPr id="682" name="Obraz 681">
          <a:extLst>
            <a:ext uri="{FF2B5EF4-FFF2-40B4-BE49-F238E27FC236}">
              <a16:creationId xmlns:a16="http://schemas.microsoft.com/office/drawing/2014/main" id="{726AE9AF-77C5-4B78-A253-B1C75A4F7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4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0</xdr:col>
      <xdr:colOff>9525</xdr:colOff>
      <xdr:row>167</xdr:row>
      <xdr:rowOff>9525</xdr:rowOff>
    </xdr:to>
    <xdr:pic>
      <xdr:nvPicPr>
        <xdr:cNvPr id="683" name="Obraz 682">
          <a:extLst>
            <a:ext uri="{FF2B5EF4-FFF2-40B4-BE49-F238E27FC236}">
              <a16:creationId xmlns:a16="http://schemas.microsoft.com/office/drawing/2014/main" id="{3C52DB7F-7D08-4698-9A25-832C547D37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0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0</xdr:col>
      <xdr:colOff>9525</xdr:colOff>
      <xdr:row>172</xdr:row>
      <xdr:rowOff>9525</xdr:rowOff>
    </xdr:to>
    <xdr:pic>
      <xdr:nvPicPr>
        <xdr:cNvPr id="684" name="Obraz 683">
          <a:extLst>
            <a:ext uri="{FF2B5EF4-FFF2-40B4-BE49-F238E27FC236}">
              <a16:creationId xmlns:a16="http://schemas.microsoft.com/office/drawing/2014/main" id="{EA1FF084-BFE9-4E69-B869-2EC1FC29B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4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0</xdr:col>
      <xdr:colOff>9525</xdr:colOff>
      <xdr:row>175</xdr:row>
      <xdr:rowOff>9525</xdr:rowOff>
    </xdr:to>
    <xdr:pic>
      <xdr:nvPicPr>
        <xdr:cNvPr id="685" name="Obraz 684">
          <a:extLst>
            <a:ext uri="{FF2B5EF4-FFF2-40B4-BE49-F238E27FC236}">
              <a16:creationId xmlns:a16="http://schemas.microsoft.com/office/drawing/2014/main" id="{32CBE492-F305-46DB-808C-E3F12C46E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3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0</xdr:col>
      <xdr:colOff>9525</xdr:colOff>
      <xdr:row>178</xdr:row>
      <xdr:rowOff>9525</xdr:rowOff>
    </xdr:to>
    <xdr:pic>
      <xdr:nvPicPr>
        <xdr:cNvPr id="686" name="Obraz 685">
          <a:extLst>
            <a:ext uri="{FF2B5EF4-FFF2-40B4-BE49-F238E27FC236}">
              <a16:creationId xmlns:a16="http://schemas.microsoft.com/office/drawing/2014/main" id="{8D0DB1E2-79CD-4DB2-BAB3-ECACF64EE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9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9525</xdr:colOff>
      <xdr:row>183</xdr:row>
      <xdr:rowOff>9525</xdr:rowOff>
    </xdr:to>
    <xdr:pic>
      <xdr:nvPicPr>
        <xdr:cNvPr id="687" name="Obraz 686">
          <a:extLst>
            <a:ext uri="{FF2B5EF4-FFF2-40B4-BE49-F238E27FC236}">
              <a16:creationId xmlns:a16="http://schemas.microsoft.com/office/drawing/2014/main" id="{BB3549CB-8EDC-4552-8922-D5AC255D1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4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9525</xdr:colOff>
      <xdr:row>186</xdr:row>
      <xdr:rowOff>9525</xdr:rowOff>
    </xdr:to>
    <xdr:pic>
      <xdr:nvPicPr>
        <xdr:cNvPr id="688" name="Obraz 687">
          <a:extLst>
            <a:ext uri="{FF2B5EF4-FFF2-40B4-BE49-F238E27FC236}">
              <a16:creationId xmlns:a16="http://schemas.microsoft.com/office/drawing/2014/main" id="{8E16196A-5356-4E76-8C42-12CFD0739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3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</xdr:row>
      <xdr:rowOff>0</xdr:rowOff>
    </xdr:from>
    <xdr:to>
      <xdr:col>0</xdr:col>
      <xdr:colOff>9525</xdr:colOff>
      <xdr:row>189</xdr:row>
      <xdr:rowOff>9525</xdr:rowOff>
    </xdr:to>
    <xdr:pic>
      <xdr:nvPicPr>
        <xdr:cNvPr id="689" name="Obraz 688">
          <a:extLst>
            <a:ext uri="{FF2B5EF4-FFF2-40B4-BE49-F238E27FC236}">
              <a16:creationId xmlns:a16="http://schemas.microsoft.com/office/drawing/2014/main" id="{9527EDD7-2FE5-408B-8838-31B6DA28F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9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0</xdr:col>
      <xdr:colOff>9525</xdr:colOff>
      <xdr:row>194</xdr:row>
      <xdr:rowOff>9525</xdr:rowOff>
    </xdr:to>
    <xdr:pic>
      <xdr:nvPicPr>
        <xdr:cNvPr id="690" name="Obraz 689">
          <a:extLst>
            <a:ext uri="{FF2B5EF4-FFF2-40B4-BE49-F238E27FC236}">
              <a16:creationId xmlns:a16="http://schemas.microsoft.com/office/drawing/2014/main" id="{B8AB2160-753A-4EEB-804B-57AA60E626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3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</xdr:row>
      <xdr:rowOff>0</xdr:rowOff>
    </xdr:from>
    <xdr:to>
      <xdr:col>0</xdr:col>
      <xdr:colOff>9525</xdr:colOff>
      <xdr:row>197</xdr:row>
      <xdr:rowOff>9525</xdr:rowOff>
    </xdr:to>
    <xdr:pic>
      <xdr:nvPicPr>
        <xdr:cNvPr id="665" name="Obraz 664">
          <a:extLst>
            <a:ext uri="{FF2B5EF4-FFF2-40B4-BE49-F238E27FC236}">
              <a16:creationId xmlns:a16="http://schemas.microsoft.com/office/drawing/2014/main" id="{19BAEC52-1317-4DF8-8339-A8156374A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2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</xdr:row>
      <xdr:rowOff>0</xdr:rowOff>
    </xdr:from>
    <xdr:to>
      <xdr:col>0</xdr:col>
      <xdr:colOff>9525</xdr:colOff>
      <xdr:row>200</xdr:row>
      <xdr:rowOff>9525</xdr:rowOff>
    </xdr:to>
    <xdr:pic>
      <xdr:nvPicPr>
        <xdr:cNvPr id="666" name="Obraz 665">
          <a:extLst>
            <a:ext uri="{FF2B5EF4-FFF2-40B4-BE49-F238E27FC236}">
              <a16:creationId xmlns:a16="http://schemas.microsoft.com/office/drawing/2014/main" id="{BD201A4A-A580-4CA2-881C-4FA391450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0</xdr:col>
      <xdr:colOff>9525</xdr:colOff>
      <xdr:row>204</xdr:row>
      <xdr:rowOff>9525</xdr:rowOff>
    </xdr:to>
    <xdr:pic>
      <xdr:nvPicPr>
        <xdr:cNvPr id="667" name="Obraz 666">
          <a:extLst>
            <a:ext uri="{FF2B5EF4-FFF2-40B4-BE49-F238E27FC236}">
              <a16:creationId xmlns:a16="http://schemas.microsoft.com/office/drawing/2014/main" id="{8910FBCF-405C-4348-92DB-F4E6DE23D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4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9525</xdr:colOff>
      <xdr:row>208</xdr:row>
      <xdr:rowOff>9525</xdr:rowOff>
    </xdr:to>
    <xdr:pic>
      <xdr:nvPicPr>
        <xdr:cNvPr id="671" name="Obraz 670">
          <a:extLst>
            <a:ext uri="{FF2B5EF4-FFF2-40B4-BE49-F238E27FC236}">
              <a16:creationId xmlns:a16="http://schemas.microsoft.com/office/drawing/2014/main" id="{660BFA6B-445A-497E-8EC6-3DB3BB582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0</xdr:col>
      <xdr:colOff>9525</xdr:colOff>
      <xdr:row>208</xdr:row>
      <xdr:rowOff>9525</xdr:rowOff>
    </xdr:to>
    <xdr:pic>
      <xdr:nvPicPr>
        <xdr:cNvPr id="672" name="Obraz 671">
          <a:extLst>
            <a:ext uri="{FF2B5EF4-FFF2-40B4-BE49-F238E27FC236}">
              <a16:creationId xmlns:a16="http://schemas.microsoft.com/office/drawing/2014/main" id="{DFF0879E-71F4-4BA0-AB42-7E8703627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7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0</xdr:col>
      <xdr:colOff>9525</xdr:colOff>
      <xdr:row>210</xdr:row>
      <xdr:rowOff>9525</xdr:rowOff>
    </xdr:to>
    <xdr:pic>
      <xdr:nvPicPr>
        <xdr:cNvPr id="691" name="Obraz 690">
          <a:extLst>
            <a:ext uri="{FF2B5EF4-FFF2-40B4-BE49-F238E27FC236}">
              <a16:creationId xmlns:a16="http://schemas.microsoft.com/office/drawing/2014/main" id="{344CA36A-2768-49B5-9E23-DA84B3CDE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0</xdr:col>
      <xdr:colOff>9525</xdr:colOff>
      <xdr:row>214</xdr:row>
      <xdr:rowOff>9525</xdr:rowOff>
    </xdr:to>
    <xdr:pic>
      <xdr:nvPicPr>
        <xdr:cNvPr id="692" name="Obraz 691">
          <a:extLst>
            <a:ext uri="{FF2B5EF4-FFF2-40B4-BE49-F238E27FC236}">
              <a16:creationId xmlns:a16="http://schemas.microsoft.com/office/drawing/2014/main" id="{F5F424C4-29C9-40DB-9ADF-6C28A2BD4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5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0</xdr:col>
      <xdr:colOff>9525</xdr:colOff>
      <xdr:row>217</xdr:row>
      <xdr:rowOff>9525</xdr:rowOff>
    </xdr:to>
    <xdr:pic>
      <xdr:nvPicPr>
        <xdr:cNvPr id="693" name="Obraz 692">
          <a:extLst>
            <a:ext uri="{FF2B5EF4-FFF2-40B4-BE49-F238E27FC236}">
              <a16:creationId xmlns:a16="http://schemas.microsoft.com/office/drawing/2014/main" id="{745C8E5B-46A9-4338-BCB4-C70206A8B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1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</xdr:row>
      <xdr:rowOff>0</xdr:rowOff>
    </xdr:from>
    <xdr:to>
      <xdr:col>0</xdr:col>
      <xdr:colOff>9525</xdr:colOff>
      <xdr:row>221</xdr:row>
      <xdr:rowOff>9525</xdr:rowOff>
    </xdr:to>
    <xdr:pic>
      <xdr:nvPicPr>
        <xdr:cNvPr id="694" name="Obraz 693">
          <a:extLst>
            <a:ext uri="{FF2B5EF4-FFF2-40B4-BE49-F238E27FC236}">
              <a16:creationId xmlns:a16="http://schemas.microsoft.com/office/drawing/2014/main" id="{79A9A249-4BBE-4A6C-BA72-B02A01768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0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9525</xdr:colOff>
      <xdr:row>225</xdr:row>
      <xdr:rowOff>9525</xdr:rowOff>
    </xdr:to>
    <xdr:pic>
      <xdr:nvPicPr>
        <xdr:cNvPr id="695" name="Obraz 694">
          <a:extLst>
            <a:ext uri="{FF2B5EF4-FFF2-40B4-BE49-F238E27FC236}">
              <a16:creationId xmlns:a16="http://schemas.microsoft.com/office/drawing/2014/main" id="{A3C6089D-7D57-49F7-B518-EBBF1AB1A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5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0</xdr:col>
      <xdr:colOff>9525</xdr:colOff>
      <xdr:row>228</xdr:row>
      <xdr:rowOff>9525</xdr:rowOff>
    </xdr:to>
    <xdr:pic>
      <xdr:nvPicPr>
        <xdr:cNvPr id="696" name="Obraz 695">
          <a:extLst>
            <a:ext uri="{FF2B5EF4-FFF2-40B4-BE49-F238E27FC236}">
              <a16:creationId xmlns:a16="http://schemas.microsoft.com/office/drawing/2014/main" id="{322A8821-C779-47F3-8FF3-7AED86082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0</xdr:col>
      <xdr:colOff>9525</xdr:colOff>
      <xdr:row>232</xdr:row>
      <xdr:rowOff>9525</xdr:rowOff>
    </xdr:to>
    <xdr:pic>
      <xdr:nvPicPr>
        <xdr:cNvPr id="697" name="Obraz 696">
          <a:extLst>
            <a:ext uri="{FF2B5EF4-FFF2-40B4-BE49-F238E27FC236}">
              <a16:creationId xmlns:a16="http://schemas.microsoft.com/office/drawing/2014/main" id="{69C20F46-E22A-49D2-9A0A-EA55F77CB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9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0</xdr:col>
      <xdr:colOff>9525</xdr:colOff>
      <xdr:row>236</xdr:row>
      <xdr:rowOff>9525</xdr:rowOff>
    </xdr:to>
    <xdr:pic>
      <xdr:nvPicPr>
        <xdr:cNvPr id="698" name="Obraz 697">
          <a:extLst>
            <a:ext uri="{FF2B5EF4-FFF2-40B4-BE49-F238E27FC236}">
              <a16:creationId xmlns:a16="http://schemas.microsoft.com/office/drawing/2014/main" id="{F35AF6DB-CA07-449C-8664-28CBA79BE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4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9525</xdr:colOff>
      <xdr:row>239</xdr:row>
      <xdr:rowOff>9525</xdr:rowOff>
    </xdr:to>
    <xdr:pic>
      <xdr:nvPicPr>
        <xdr:cNvPr id="699" name="Obraz 698">
          <a:extLst>
            <a:ext uri="{FF2B5EF4-FFF2-40B4-BE49-F238E27FC236}">
              <a16:creationId xmlns:a16="http://schemas.microsoft.com/office/drawing/2014/main" id="{5B796973-04FC-4D83-B35D-F77693379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1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</xdr:row>
      <xdr:rowOff>0</xdr:rowOff>
    </xdr:from>
    <xdr:to>
      <xdr:col>0</xdr:col>
      <xdr:colOff>9525</xdr:colOff>
      <xdr:row>243</xdr:row>
      <xdr:rowOff>9525</xdr:rowOff>
    </xdr:to>
    <xdr:pic>
      <xdr:nvPicPr>
        <xdr:cNvPr id="700" name="Obraz 699">
          <a:extLst>
            <a:ext uri="{FF2B5EF4-FFF2-40B4-BE49-F238E27FC236}">
              <a16:creationId xmlns:a16="http://schemas.microsoft.com/office/drawing/2014/main" id="{C48ED283-CB18-45C4-80E8-AB398B0CD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9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0</xdr:col>
      <xdr:colOff>9525</xdr:colOff>
      <xdr:row>246</xdr:row>
      <xdr:rowOff>9525</xdr:rowOff>
    </xdr:to>
    <xdr:pic>
      <xdr:nvPicPr>
        <xdr:cNvPr id="701" name="Obraz 700">
          <a:extLst>
            <a:ext uri="{FF2B5EF4-FFF2-40B4-BE49-F238E27FC236}">
              <a16:creationId xmlns:a16="http://schemas.microsoft.com/office/drawing/2014/main" id="{B3744550-D084-46F0-9914-106522A82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5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9525</xdr:colOff>
      <xdr:row>250</xdr:row>
      <xdr:rowOff>9525</xdr:rowOff>
    </xdr:to>
    <xdr:pic>
      <xdr:nvPicPr>
        <xdr:cNvPr id="702" name="Obraz 701">
          <a:extLst>
            <a:ext uri="{FF2B5EF4-FFF2-40B4-BE49-F238E27FC236}">
              <a16:creationId xmlns:a16="http://schemas.microsoft.com/office/drawing/2014/main" id="{B3680583-7AA4-4C39-A5E4-9BCACE0E7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0</xdr:col>
      <xdr:colOff>9525</xdr:colOff>
      <xdr:row>253</xdr:row>
      <xdr:rowOff>9525</xdr:rowOff>
    </xdr:to>
    <xdr:pic>
      <xdr:nvPicPr>
        <xdr:cNvPr id="703" name="Obraz 702">
          <a:extLst>
            <a:ext uri="{FF2B5EF4-FFF2-40B4-BE49-F238E27FC236}">
              <a16:creationId xmlns:a16="http://schemas.microsoft.com/office/drawing/2014/main" id="{99B5B196-F26D-4889-B58F-19FE1DA92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6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9525</xdr:colOff>
      <xdr:row>254</xdr:row>
      <xdr:rowOff>9525</xdr:rowOff>
    </xdr:to>
    <xdr:pic>
      <xdr:nvPicPr>
        <xdr:cNvPr id="704" name="Obraz 703">
          <a:extLst>
            <a:ext uri="{FF2B5EF4-FFF2-40B4-BE49-F238E27FC236}">
              <a16:creationId xmlns:a16="http://schemas.microsoft.com/office/drawing/2014/main" id="{FC58CF30-C322-4769-9E4F-FB3301E50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4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0</xdr:col>
      <xdr:colOff>9525</xdr:colOff>
      <xdr:row>255</xdr:row>
      <xdr:rowOff>9525</xdr:rowOff>
    </xdr:to>
    <xdr:pic>
      <xdr:nvPicPr>
        <xdr:cNvPr id="705" name="Obraz 704">
          <a:extLst>
            <a:ext uri="{FF2B5EF4-FFF2-40B4-BE49-F238E27FC236}">
              <a16:creationId xmlns:a16="http://schemas.microsoft.com/office/drawing/2014/main" id="{6B41B210-F71E-448E-8953-BE9CB99D0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3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0</xdr:col>
      <xdr:colOff>9525</xdr:colOff>
      <xdr:row>257</xdr:row>
      <xdr:rowOff>9525</xdr:rowOff>
    </xdr:to>
    <xdr:pic>
      <xdr:nvPicPr>
        <xdr:cNvPr id="706" name="Obraz 705">
          <a:extLst>
            <a:ext uri="{FF2B5EF4-FFF2-40B4-BE49-F238E27FC236}">
              <a16:creationId xmlns:a16="http://schemas.microsoft.com/office/drawing/2014/main" id="{F9E1579F-7A7B-4C65-83E9-076D6A3B7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</xdr:row>
      <xdr:rowOff>0</xdr:rowOff>
    </xdr:from>
    <xdr:to>
      <xdr:col>0</xdr:col>
      <xdr:colOff>9525</xdr:colOff>
      <xdr:row>260</xdr:row>
      <xdr:rowOff>9525</xdr:rowOff>
    </xdr:to>
    <xdr:pic>
      <xdr:nvPicPr>
        <xdr:cNvPr id="707" name="Obraz 706">
          <a:extLst>
            <a:ext uri="{FF2B5EF4-FFF2-40B4-BE49-F238E27FC236}">
              <a16:creationId xmlns:a16="http://schemas.microsoft.com/office/drawing/2014/main" id="{EBEA6D94-4932-4D1C-A1D3-43F81692C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9525</xdr:colOff>
      <xdr:row>265</xdr:row>
      <xdr:rowOff>9525</xdr:rowOff>
    </xdr:to>
    <xdr:pic>
      <xdr:nvPicPr>
        <xdr:cNvPr id="708" name="Obraz 707">
          <a:extLst>
            <a:ext uri="{FF2B5EF4-FFF2-40B4-BE49-F238E27FC236}">
              <a16:creationId xmlns:a16="http://schemas.microsoft.com/office/drawing/2014/main" id="{A50F7D39-4F6E-4B6C-B722-8FB5C2A50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6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</xdr:row>
      <xdr:rowOff>0</xdr:rowOff>
    </xdr:from>
    <xdr:to>
      <xdr:col>0</xdr:col>
      <xdr:colOff>9525</xdr:colOff>
      <xdr:row>268</xdr:row>
      <xdr:rowOff>9525</xdr:rowOff>
    </xdr:to>
    <xdr:pic>
      <xdr:nvPicPr>
        <xdr:cNvPr id="709" name="Obraz 708">
          <a:extLst>
            <a:ext uri="{FF2B5EF4-FFF2-40B4-BE49-F238E27FC236}">
              <a16:creationId xmlns:a16="http://schemas.microsoft.com/office/drawing/2014/main" id="{3290535A-8EBA-4815-B7DD-F7E1D4986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5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</xdr:row>
      <xdr:rowOff>0</xdr:rowOff>
    </xdr:from>
    <xdr:to>
      <xdr:col>0</xdr:col>
      <xdr:colOff>9525</xdr:colOff>
      <xdr:row>271</xdr:row>
      <xdr:rowOff>9525</xdr:rowOff>
    </xdr:to>
    <xdr:pic>
      <xdr:nvPicPr>
        <xdr:cNvPr id="710" name="Obraz 709">
          <a:extLst>
            <a:ext uri="{FF2B5EF4-FFF2-40B4-BE49-F238E27FC236}">
              <a16:creationId xmlns:a16="http://schemas.microsoft.com/office/drawing/2014/main" id="{7254ABD4-1780-4980-942E-75AE748DA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1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0</xdr:col>
      <xdr:colOff>9525</xdr:colOff>
      <xdr:row>275</xdr:row>
      <xdr:rowOff>9525</xdr:rowOff>
    </xdr:to>
    <xdr:pic>
      <xdr:nvPicPr>
        <xdr:cNvPr id="711" name="Obraz 710">
          <a:extLst>
            <a:ext uri="{FF2B5EF4-FFF2-40B4-BE49-F238E27FC236}">
              <a16:creationId xmlns:a16="http://schemas.microsoft.com/office/drawing/2014/main" id="{6221CE02-9232-4BDA-AF1C-DAFF1267A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6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9525</xdr:colOff>
      <xdr:row>279</xdr:row>
      <xdr:rowOff>9525</xdr:rowOff>
    </xdr:to>
    <xdr:pic>
      <xdr:nvPicPr>
        <xdr:cNvPr id="712" name="Obraz 711">
          <a:extLst>
            <a:ext uri="{FF2B5EF4-FFF2-40B4-BE49-F238E27FC236}">
              <a16:creationId xmlns:a16="http://schemas.microsoft.com/office/drawing/2014/main" id="{5BEE976A-A95E-4AF4-BA1B-55204C3A0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2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9525</xdr:colOff>
      <xdr:row>279</xdr:row>
      <xdr:rowOff>9525</xdr:rowOff>
    </xdr:to>
    <xdr:pic>
      <xdr:nvPicPr>
        <xdr:cNvPr id="713" name="Obraz 712">
          <a:extLst>
            <a:ext uri="{FF2B5EF4-FFF2-40B4-BE49-F238E27FC236}">
              <a16:creationId xmlns:a16="http://schemas.microsoft.com/office/drawing/2014/main" id="{18BBC396-A909-4E67-9B9D-3C1353D3F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0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9525</xdr:colOff>
      <xdr:row>280</xdr:row>
      <xdr:rowOff>9525</xdr:rowOff>
    </xdr:to>
    <xdr:pic>
      <xdr:nvPicPr>
        <xdr:cNvPr id="714" name="Obraz 713">
          <a:extLst>
            <a:ext uri="{FF2B5EF4-FFF2-40B4-BE49-F238E27FC236}">
              <a16:creationId xmlns:a16="http://schemas.microsoft.com/office/drawing/2014/main" id="{377AE137-6F97-4B63-840E-C6D212EF0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8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9525</xdr:colOff>
      <xdr:row>281</xdr:row>
      <xdr:rowOff>9525</xdr:rowOff>
    </xdr:to>
    <xdr:pic>
      <xdr:nvPicPr>
        <xdr:cNvPr id="715" name="Obraz 714">
          <a:extLst>
            <a:ext uri="{FF2B5EF4-FFF2-40B4-BE49-F238E27FC236}">
              <a16:creationId xmlns:a16="http://schemas.microsoft.com/office/drawing/2014/main" id="{9FB351F6-C7F4-49DF-8EA3-15631E953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</xdr:row>
      <xdr:rowOff>0</xdr:rowOff>
    </xdr:from>
    <xdr:to>
      <xdr:col>0</xdr:col>
      <xdr:colOff>9525</xdr:colOff>
      <xdr:row>282</xdr:row>
      <xdr:rowOff>9525</xdr:rowOff>
    </xdr:to>
    <xdr:pic>
      <xdr:nvPicPr>
        <xdr:cNvPr id="716" name="Obraz 715">
          <a:extLst>
            <a:ext uri="{FF2B5EF4-FFF2-40B4-BE49-F238E27FC236}">
              <a16:creationId xmlns:a16="http://schemas.microsoft.com/office/drawing/2014/main" id="{7D27C33E-E10C-4C9F-AA9D-3E5C84D5A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2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9525</xdr:colOff>
      <xdr:row>286</xdr:row>
      <xdr:rowOff>9525</xdr:rowOff>
    </xdr:to>
    <xdr:pic>
      <xdr:nvPicPr>
        <xdr:cNvPr id="717" name="Obraz 716">
          <a:extLst>
            <a:ext uri="{FF2B5EF4-FFF2-40B4-BE49-F238E27FC236}">
              <a16:creationId xmlns:a16="http://schemas.microsoft.com/office/drawing/2014/main" id="{9AAD7FAC-A1CE-4551-8A65-84A473EBB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7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</xdr:row>
      <xdr:rowOff>0</xdr:rowOff>
    </xdr:from>
    <xdr:to>
      <xdr:col>0</xdr:col>
      <xdr:colOff>9525</xdr:colOff>
      <xdr:row>289</xdr:row>
      <xdr:rowOff>9525</xdr:rowOff>
    </xdr:to>
    <xdr:pic>
      <xdr:nvPicPr>
        <xdr:cNvPr id="718" name="Obraz 717">
          <a:extLst>
            <a:ext uri="{FF2B5EF4-FFF2-40B4-BE49-F238E27FC236}">
              <a16:creationId xmlns:a16="http://schemas.microsoft.com/office/drawing/2014/main" id="{13B49A02-955B-48C8-BDAC-4CEB34E22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3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9525</xdr:colOff>
      <xdr:row>292</xdr:row>
      <xdr:rowOff>9525</xdr:rowOff>
    </xdr:to>
    <xdr:pic>
      <xdr:nvPicPr>
        <xdr:cNvPr id="719" name="Obraz 718">
          <a:extLst>
            <a:ext uri="{FF2B5EF4-FFF2-40B4-BE49-F238E27FC236}">
              <a16:creationId xmlns:a16="http://schemas.microsoft.com/office/drawing/2014/main" id="{DF76549D-31C3-496A-B559-07297F2DF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9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0</xdr:col>
      <xdr:colOff>9525</xdr:colOff>
      <xdr:row>293</xdr:row>
      <xdr:rowOff>9525</xdr:rowOff>
    </xdr:to>
    <xdr:pic>
      <xdr:nvPicPr>
        <xdr:cNvPr id="720" name="Obraz 719">
          <a:extLst>
            <a:ext uri="{FF2B5EF4-FFF2-40B4-BE49-F238E27FC236}">
              <a16:creationId xmlns:a16="http://schemas.microsoft.com/office/drawing/2014/main" id="{06AECE30-8BCB-4A54-AE35-3BEA7C203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1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0</xdr:col>
      <xdr:colOff>9525</xdr:colOff>
      <xdr:row>296</xdr:row>
      <xdr:rowOff>9525</xdr:rowOff>
    </xdr:to>
    <xdr:pic>
      <xdr:nvPicPr>
        <xdr:cNvPr id="721" name="Obraz 720">
          <a:extLst>
            <a:ext uri="{FF2B5EF4-FFF2-40B4-BE49-F238E27FC236}">
              <a16:creationId xmlns:a16="http://schemas.microsoft.com/office/drawing/2014/main" id="{5EE889BA-AEEB-46C1-A9A2-77BE07095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7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9525</xdr:colOff>
      <xdr:row>301</xdr:row>
      <xdr:rowOff>9525</xdr:rowOff>
    </xdr:to>
    <xdr:pic>
      <xdr:nvPicPr>
        <xdr:cNvPr id="722" name="Obraz 721">
          <a:extLst>
            <a:ext uri="{FF2B5EF4-FFF2-40B4-BE49-F238E27FC236}">
              <a16:creationId xmlns:a16="http://schemas.microsoft.com/office/drawing/2014/main" id="{6CCF7E01-F5A5-490F-9BFA-8321615CF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2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9525</xdr:colOff>
      <xdr:row>304</xdr:row>
      <xdr:rowOff>9525</xdr:rowOff>
    </xdr:to>
    <xdr:pic>
      <xdr:nvPicPr>
        <xdr:cNvPr id="723" name="Obraz 722">
          <a:extLst>
            <a:ext uri="{FF2B5EF4-FFF2-40B4-BE49-F238E27FC236}">
              <a16:creationId xmlns:a16="http://schemas.microsoft.com/office/drawing/2014/main" id="{A56508A7-0E33-455B-AFF1-3B92CAFE8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9525</xdr:colOff>
      <xdr:row>308</xdr:row>
      <xdr:rowOff>9525</xdr:rowOff>
    </xdr:to>
    <xdr:pic>
      <xdr:nvPicPr>
        <xdr:cNvPr id="724" name="Obraz 723">
          <a:extLst>
            <a:ext uri="{FF2B5EF4-FFF2-40B4-BE49-F238E27FC236}">
              <a16:creationId xmlns:a16="http://schemas.microsoft.com/office/drawing/2014/main" id="{02A1B2C0-8586-4F2A-BE9A-FA9048A73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6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9525</xdr:colOff>
      <xdr:row>311</xdr:row>
      <xdr:rowOff>9525</xdr:rowOff>
    </xdr:to>
    <xdr:pic>
      <xdr:nvPicPr>
        <xdr:cNvPr id="725" name="Obraz 724">
          <a:extLst>
            <a:ext uri="{FF2B5EF4-FFF2-40B4-BE49-F238E27FC236}">
              <a16:creationId xmlns:a16="http://schemas.microsoft.com/office/drawing/2014/main" id="{86C2F9CC-508F-4030-940A-E76FA5663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2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0</xdr:col>
      <xdr:colOff>9525</xdr:colOff>
      <xdr:row>315</xdr:row>
      <xdr:rowOff>9525</xdr:rowOff>
    </xdr:to>
    <xdr:pic>
      <xdr:nvPicPr>
        <xdr:cNvPr id="726" name="Obraz 725">
          <a:extLst>
            <a:ext uri="{FF2B5EF4-FFF2-40B4-BE49-F238E27FC236}">
              <a16:creationId xmlns:a16="http://schemas.microsoft.com/office/drawing/2014/main" id="{5653F556-6CC3-41F2-8437-ED23981AC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0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0</xdr:col>
      <xdr:colOff>9525</xdr:colOff>
      <xdr:row>319</xdr:row>
      <xdr:rowOff>9525</xdr:rowOff>
    </xdr:to>
    <xdr:pic>
      <xdr:nvPicPr>
        <xdr:cNvPr id="727" name="Obraz 726">
          <a:extLst>
            <a:ext uri="{FF2B5EF4-FFF2-40B4-BE49-F238E27FC236}">
              <a16:creationId xmlns:a16="http://schemas.microsoft.com/office/drawing/2014/main" id="{2AD0D9EE-7C28-4BD8-9851-64E246A5B6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6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</xdr:row>
      <xdr:rowOff>0</xdr:rowOff>
    </xdr:from>
    <xdr:to>
      <xdr:col>0</xdr:col>
      <xdr:colOff>9525</xdr:colOff>
      <xdr:row>323</xdr:row>
      <xdr:rowOff>9525</xdr:rowOff>
    </xdr:to>
    <xdr:pic>
      <xdr:nvPicPr>
        <xdr:cNvPr id="728" name="Obraz 727">
          <a:extLst>
            <a:ext uri="{FF2B5EF4-FFF2-40B4-BE49-F238E27FC236}">
              <a16:creationId xmlns:a16="http://schemas.microsoft.com/office/drawing/2014/main" id="{459DFAED-3BD1-4AF0-A60D-81BDE6F64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1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0</xdr:col>
      <xdr:colOff>9525</xdr:colOff>
      <xdr:row>327</xdr:row>
      <xdr:rowOff>9525</xdr:rowOff>
    </xdr:to>
    <xdr:pic>
      <xdr:nvPicPr>
        <xdr:cNvPr id="729" name="Obraz 728">
          <a:extLst>
            <a:ext uri="{FF2B5EF4-FFF2-40B4-BE49-F238E27FC236}">
              <a16:creationId xmlns:a16="http://schemas.microsoft.com/office/drawing/2014/main" id="{30128D65-11D2-4446-973D-F60947F540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9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9525</xdr:colOff>
      <xdr:row>331</xdr:row>
      <xdr:rowOff>9525</xdr:rowOff>
    </xdr:to>
    <xdr:pic>
      <xdr:nvPicPr>
        <xdr:cNvPr id="730" name="Obraz 729">
          <a:extLst>
            <a:ext uri="{FF2B5EF4-FFF2-40B4-BE49-F238E27FC236}">
              <a16:creationId xmlns:a16="http://schemas.microsoft.com/office/drawing/2014/main" id="{0D27E369-5432-4523-B3D7-A23557A43A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4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9525</xdr:colOff>
      <xdr:row>334</xdr:row>
      <xdr:rowOff>9525</xdr:rowOff>
    </xdr:to>
    <xdr:pic>
      <xdr:nvPicPr>
        <xdr:cNvPr id="731" name="Obraz 730">
          <a:extLst>
            <a:ext uri="{FF2B5EF4-FFF2-40B4-BE49-F238E27FC236}">
              <a16:creationId xmlns:a16="http://schemas.microsoft.com/office/drawing/2014/main" id="{446B37FE-A0CB-436D-B216-76225DE62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9525</xdr:colOff>
      <xdr:row>338</xdr:row>
      <xdr:rowOff>9525</xdr:rowOff>
    </xdr:to>
    <xdr:pic>
      <xdr:nvPicPr>
        <xdr:cNvPr id="732" name="Obraz 731">
          <a:extLst>
            <a:ext uri="{FF2B5EF4-FFF2-40B4-BE49-F238E27FC236}">
              <a16:creationId xmlns:a16="http://schemas.microsoft.com/office/drawing/2014/main" id="{F285B004-AFAE-4290-B9E9-9897D9FE7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8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9525</xdr:colOff>
      <xdr:row>342</xdr:row>
      <xdr:rowOff>9525</xdr:rowOff>
    </xdr:to>
    <xdr:pic>
      <xdr:nvPicPr>
        <xdr:cNvPr id="733" name="Obraz 732">
          <a:extLst>
            <a:ext uri="{FF2B5EF4-FFF2-40B4-BE49-F238E27FC236}">
              <a16:creationId xmlns:a16="http://schemas.microsoft.com/office/drawing/2014/main" id="{3C7C679A-E81D-47BD-B8B8-0BC800725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4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9525</xdr:colOff>
      <xdr:row>345</xdr:row>
      <xdr:rowOff>9525</xdr:rowOff>
    </xdr:to>
    <xdr:pic>
      <xdr:nvPicPr>
        <xdr:cNvPr id="734" name="Obraz 733">
          <a:extLst>
            <a:ext uri="{FF2B5EF4-FFF2-40B4-BE49-F238E27FC236}">
              <a16:creationId xmlns:a16="http://schemas.microsoft.com/office/drawing/2014/main" id="{1124B3EF-E04A-42E4-84DA-BBA204F37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0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0</xdr:col>
      <xdr:colOff>9525</xdr:colOff>
      <xdr:row>349</xdr:row>
      <xdr:rowOff>9525</xdr:rowOff>
    </xdr:to>
    <xdr:pic>
      <xdr:nvPicPr>
        <xdr:cNvPr id="735" name="Obraz 734">
          <a:extLst>
            <a:ext uri="{FF2B5EF4-FFF2-40B4-BE49-F238E27FC236}">
              <a16:creationId xmlns:a16="http://schemas.microsoft.com/office/drawing/2014/main" id="{F6EEDC83-5CD5-4FA8-97FD-D8A789A5B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8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</xdr:row>
      <xdr:rowOff>0</xdr:rowOff>
    </xdr:from>
    <xdr:to>
      <xdr:col>0</xdr:col>
      <xdr:colOff>9525</xdr:colOff>
      <xdr:row>352</xdr:row>
      <xdr:rowOff>9525</xdr:rowOff>
    </xdr:to>
    <xdr:pic>
      <xdr:nvPicPr>
        <xdr:cNvPr id="736" name="Obraz 735">
          <a:extLst>
            <a:ext uri="{FF2B5EF4-FFF2-40B4-BE49-F238E27FC236}">
              <a16:creationId xmlns:a16="http://schemas.microsoft.com/office/drawing/2014/main" id="{057E5144-2A27-493F-8448-BA3033260D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4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</xdr:row>
      <xdr:rowOff>0</xdr:rowOff>
    </xdr:from>
    <xdr:to>
      <xdr:col>0</xdr:col>
      <xdr:colOff>9525</xdr:colOff>
      <xdr:row>357</xdr:row>
      <xdr:rowOff>9525</xdr:rowOff>
    </xdr:to>
    <xdr:pic>
      <xdr:nvPicPr>
        <xdr:cNvPr id="737" name="Obraz 736">
          <a:extLst>
            <a:ext uri="{FF2B5EF4-FFF2-40B4-BE49-F238E27FC236}">
              <a16:creationId xmlns:a16="http://schemas.microsoft.com/office/drawing/2014/main" id="{75A29C8C-E427-471F-9A3C-084C79A70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38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9525</xdr:colOff>
      <xdr:row>360</xdr:row>
      <xdr:rowOff>9525</xdr:rowOff>
    </xdr:to>
    <xdr:pic>
      <xdr:nvPicPr>
        <xdr:cNvPr id="738" name="Obraz 737">
          <a:extLst>
            <a:ext uri="{FF2B5EF4-FFF2-40B4-BE49-F238E27FC236}">
              <a16:creationId xmlns:a16="http://schemas.microsoft.com/office/drawing/2014/main" id="{E6E68E54-B340-4976-87C6-8B78DAFA9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8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</xdr:row>
      <xdr:rowOff>0</xdr:rowOff>
    </xdr:from>
    <xdr:to>
      <xdr:col>0</xdr:col>
      <xdr:colOff>9525</xdr:colOff>
      <xdr:row>363</xdr:row>
      <xdr:rowOff>9525</xdr:rowOff>
    </xdr:to>
    <xdr:pic>
      <xdr:nvPicPr>
        <xdr:cNvPr id="739" name="Obraz 738">
          <a:extLst>
            <a:ext uri="{FF2B5EF4-FFF2-40B4-BE49-F238E27FC236}">
              <a16:creationId xmlns:a16="http://schemas.microsoft.com/office/drawing/2014/main" id="{1727DBC7-03A5-4174-80CC-F0B8F29D6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4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9525</xdr:colOff>
      <xdr:row>368</xdr:row>
      <xdr:rowOff>9525</xdr:rowOff>
    </xdr:to>
    <xdr:pic>
      <xdr:nvPicPr>
        <xdr:cNvPr id="740" name="Obraz 739">
          <a:extLst>
            <a:ext uri="{FF2B5EF4-FFF2-40B4-BE49-F238E27FC236}">
              <a16:creationId xmlns:a16="http://schemas.microsoft.com/office/drawing/2014/main" id="{88DCBB91-83D6-4BEA-9D73-6E304938B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8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9525</xdr:colOff>
      <xdr:row>371</xdr:row>
      <xdr:rowOff>9525</xdr:rowOff>
    </xdr:to>
    <xdr:pic>
      <xdr:nvPicPr>
        <xdr:cNvPr id="741" name="Obraz 740">
          <a:extLst>
            <a:ext uri="{FF2B5EF4-FFF2-40B4-BE49-F238E27FC236}">
              <a16:creationId xmlns:a16="http://schemas.microsoft.com/office/drawing/2014/main" id="{AADDF596-FD05-4606-B81C-83774B727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0</xdr:col>
      <xdr:colOff>9525</xdr:colOff>
      <xdr:row>375</xdr:row>
      <xdr:rowOff>9525</xdr:rowOff>
    </xdr:to>
    <xdr:pic>
      <xdr:nvPicPr>
        <xdr:cNvPr id="742" name="Obraz 741">
          <a:extLst>
            <a:ext uri="{FF2B5EF4-FFF2-40B4-BE49-F238E27FC236}">
              <a16:creationId xmlns:a16="http://schemas.microsoft.com/office/drawing/2014/main" id="{A4798382-4415-485A-9A4C-4B2CA1CA8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2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0</xdr:col>
      <xdr:colOff>9525</xdr:colOff>
      <xdr:row>378</xdr:row>
      <xdr:rowOff>9525</xdr:rowOff>
    </xdr:to>
    <xdr:pic>
      <xdr:nvPicPr>
        <xdr:cNvPr id="743" name="Obraz 742">
          <a:extLst>
            <a:ext uri="{FF2B5EF4-FFF2-40B4-BE49-F238E27FC236}">
              <a16:creationId xmlns:a16="http://schemas.microsoft.com/office/drawing/2014/main" id="{E9A34342-2C16-4245-AE35-DF2D975AF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9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9525</xdr:colOff>
      <xdr:row>381</xdr:row>
      <xdr:rowOff>9525</xdr:rowOff>
    </xdr:to>
    <xdr:pic>
      <xdr:nvPicPr>
        <xdr:cNvPr id="744" name="Obraz 743">
          <a:extLst>
            <a:ext uri="{FF2B5EF4-FFF2-40B4-BE49-F238E27FC236}">
              <a16:creationId xmlns:a16="http://schemas.microsoft.com/office/drawing/2014/main" id="{49134076-3413-4DC4-BB78-D14CFFFD07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5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9525</xdr:colOff>
      <xdr:row>381</xdr:row>
      <xdr:rowOff>9525</xdr:rowOff>
    </xdr:to>
    <xdr:pic>
      <xdr:nvPicPr>
        <xdr:cNvPr id="745" name="Obraz 744">
          <a:extLst>
            <a:ext uri="{FF2B5EF4-FFF2-40B4-BE49-F238E27FC236}">
              <a16:creationId xmlns:a16="http://schemas.microsoft.com/office/drawing/2014/main" id="{261370F7-E02A-4304-AF29-B56647958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53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9525</xdr:colOff>
      <xdr:row>383</xdr:row>
      <xdr:rowOff>9525</xdr:rowOff>
    </xdr:to>
    <xdr:pic>
      <xdr:nvPicPr>
        <xdr:cNvPr id="746" name="Obraz 745">
          <a:extLst>
            <a:ext uri="{FF2B5EF4-FFF2-40B4-BE49-F238E27FC236}">
              <a16:creationId xmlns:a16="http://schemas.microsoft.com/office/drawing/2014/main" id="{C81AA19F-59E8-408A-8DE1-2CB8D0554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6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9525</xdr:colOff>
      <xdr:row>387</xdr:row>
      <xdr:rowOff>9525</xdr:rowOff>
    </xdr:to>
    <xdr:pic>
      <xdr:nvPicPr>
        <xdr:cNvPr id="747" name="Obraz 746">
          <a:extLst>
            <a:ext uri="{FF2B5EF4-FFF2-40B4-BE49-F238E27FC236}">
              <a16:creationId xmlns:a16="http://schemas.microsoft.com/office/drawing/2014/main" id="{1630DA60-4DB1-43DF-9229-CA5B1D86B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91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0</xdr:col>
      <xdr:colOff>9525</xdr:colOff>
      <xdr:row>390</xdr:row>
      <xdr:rowOff>9525</xdr:rowOff>
    </xdr:to>
    <xdr:pic>
      <xdr:nvPicPr>
        <xdr:cNvPr id="748" name="Obraz 747">
          <a:extLst>
            <a:ext uri="{FF2B5EF4-FFF2-40B4-BE49-F238E27FC236}">
              <a16:creationId xmlns:a16="http://schemas.microsoft.com/office/drawing/2014/main" id="{93C0E149-010A-4960-8894-54CDCFD1E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67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0</xdr:col>
      <xdr:colOff>9525</xdr:colOff>
      <xdr:row>394</xdr:row>
      <xdr:rowOff>9525</xdr:rowOff>
    </xdr:to>
    <xdr:pic>
      <xdr:nvPicPr>
        <xdr:cNvPr id="749" name="Obraz 748">
          <a:extLst>
            <a:ext uri="{FF2B5EF4-FFF2-40B4-BE49-F238E27FC236}">
              <a16:creationId xmlns:a16="http://schemas.microsoft.com/office/drawing/2014/main" id="{C6788013-2040-4DF5-BD1A-A0A900353C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505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9525</xdr:colOff>
      <xdr:row>398</xdr:row>
      <xdr:rowOff>9525</xdr:rowOff>
    </xdr:to>
    <xdr:pic>
      <xdr:nvPicPr>
        <xdr:cNvPr id="750" name="Obraz 749">
          <a:extLst>
            <a:ext uri="{FF2B5EF4-FFF2-40B4-BE49-F238E27FC236}">
              <a16:creationId xmlns:a16="http://schemas.microsoft.com/office/drawing/2014/main" id="{E2E1947E-8443-48A9-9ECF-1A0568291E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0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0</xdr:col>
      <xdr:colOff>9525</xdr:colOff>
      <xdr:row>402</xdr:row>
      <xdr:rowOff>9525</xdr:rowOff>
    </xdr:to>
    <xdr:pic>
      <xdr:nvPicPr>
        <xdr:cNvPr id="751" name="Obraz 750">
          <a:extLst>
            <a:ext uri="{FF2B5EF4-FFF2-40B4-BE49-F238E27FC236}">
              <a16:creationId xmlns:a16="http://schemas.microsoft.com/office/drawing/2014/main" id="{DF3A92D0-7609-424D-B8BE-88F530004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96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405</xdr:row>
      <xdr:rowOff>0</xdr:rowOff>
    </xdr:from>
    <xdr:to>
      <xdr:col>0</xdr:col>
      <xdr:colOff>9525</xdr:colOff>
      <xdr:row>405</xdr:row>
      <xdr:rowOff>9525</xdr:rowOff>
    </xdr:to>
    <xdr:pic>
      <xdr:nvPicPr>
        <xdr:cNvPr id="752" name="Obraz 751">
          <a:extLst>
            <a:ext uri="{FF2B5EF4-FFF2-40B4-BE49-F238E27FC236}">
              <a16:creationId xmlns:a16="http://schemas.microsoft.com/office/drawing/2014/main" id="{24D1DD4A-B201-4FC2-A2CC-FFDEFD11E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15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0</xdr:col>
      <xdr:colOff>9525</xdr:colOff>
      <xdr:row>409</xdr:row>
      <xdr:rowOff>9525</xdr:rowOff>
    </xdr:to>
    <xdr:pic>
      <xdr:nvPicPr>
        <xdr:cNvPr id="753" name="Obraz 752">
          <a:extLst>
            <a:ext uri="{FF2B5EF4-FFF2-40B4-BE49-F238E27FC236}">
              <a16:creationId xmlns:a16="http://schemas.microsoft.com/office/drawing/2014/main" id="{1FFC4030-E438-409D-9D19-580A9C5E3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10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412</xdr:row>
      <xdr:rowOff>0</xdr:rowOff>
    </xdr:from>
    <xdr:to>
      <xdr:col>0</xdr:col>
      <xdr:colOff>9525</xdr:colOff>
      <xdr:row>412</xdr:row>
      <xdr:rowOff>9525</xdr:rowOff>
    </xdr:to>
    <xdr:pic>
      <xdr:nvPicPr>
        <xdr:cNvPr id="754" name="Obraz 753">
          <a:extLst>
            <a:ext uri="{FF2B5EF4-FFF2-40B4-BE49-F238E27FC236}">
              <a16:creationId xmlns:a16="http://schemas.microsoft.com/office/drawing/2014/main" id="{1EBCC7DC-278B-4578-B692-A126EF03C6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86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9525</xdr:colOff>
      <xdr:row>416</xdr:row>
      <xdr:rowOff>9525</xdr:rowOff>
    </xdr:to>
    <xdr:pic>
      <xdr:nvPicPr>
        <xdr:cNvPr id="755" name="Obraz 754">
          <a:extLst>
            <a:ext uri="{FF2B5EF4-FFF2-40B4-BE49-F238E27FC236}">
              <a16:creationId xmlns:a16="http://schemas.microsoft.com/office/drawing/2014/main" id="{3B8814BE-3D54-47BF-98C0-CD3727D7A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924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9525</xdr:colOff>
      <xdr:row>419</xdr:row>
      <xdr:rowOff>9525</xdr:rowOff>
    </xdr:to>
    <xdr:pic>
      <xdr:nvPicPr>
        <xdr:cNvPr id="756" name="Obraz 755">
          <a:extLst>
            <a:ext uri="{FF2B5EF4-FFF2-40B4-BE49-F238E27FC236}">
              <a16:creationId xmlns:a16="http://schemas.microsoft.com/office/drawing/2014/main" id="{F3A61CB3-C264-4F83-B221-F44B899FA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424</xdr:row>
      <xdr:rowOff>0</xdr:rowOff>
    </xdr:from>
    <xdr:to>
      <xdr:col>0</xdr:col>
      <xdr:colOff>9525</xdr:colOff>
      <xdr:row>424</xdr:row>
      <xdr:rowOff>9525</xdr:rowOff>
    </xdr:to>
    <xdr:pic>
      <xdr:nvPicPr>
        <xdr:cNvPr id="757" name="Obraz 756">
          <a:extLst>
            <a:ext uri="{FF2B5EF4-FFF2-40B4-BE49-F238E27FC236}">
              <a16:creationId xmlns:a16="http://schemas.microsoft.com/office/drawing/2014/main" id="{48BE5E74-3A3B-4F9B-8747-16B51C633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15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427</xdr:row>
      <xdr:rowOff>0</xdr:rowOff>
    </xdr:from>
    <xdr:to>
      <xdr:col>0</xdr:col>
      <xdr:colOff>9525</xdr:colOff>
      <xdr:row>427</xdr:row>
      <xdr:rowOff>9525</xdr:rowOff>
    </xdr:to>
    <xdr:pic>
      <xdr:nvPicPr>
        <xdr:cNvPr id="758" name="Obraz 757">
          <a:extLst>
            <a:ext uri="{FF2B5EF4-FFF2-40B4-BE49-F238E27FC236}">
              <a16:creationId xmlns:a16="http://schemas.microsoft.com/office/drawing/2014/main" id="{2129ED83-6E3E-4497-B1C9-496132517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134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430</xdr:row>
      <xdr:rowOff>0</xdr:rowOff>
    </xdr:from>
    <xdr:to>
      <xdr:col>0</xdr:col>
      <xdr:colOff>9525</xdr:colOff>
      <xdr:row>430</xdr:row>
      <xdr:rowOff>9525</xdr:rowOff>
    </xdr:to>
    <xdr:pic>
      <xdr:nvPicPr>
        <xdr:cNvPr id="759" name="Obraz 758">
          <a:extLst>
            <a:ext uri="{FF2B5EF4-FFF2-40B4-BE49-F238E27FC236}">
              <a16:creationId xmlns:a16="http://schemas.microsoft.com/office/drawing/2014/main" id="{A3B15215-5615-4C75-95B3-4B1D8F270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10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0</xdr:col>
      <xdr:colOff>9525</xdr:colOff>
      <xdr:row>435</xdr:row>
      <xdr:rowOff>9525</xdr:rowOff>
    </xdr:to>
    <xdr:pic>
      <xdr:nvPicPr>
        <xdr:cNvPr id="760" name="Obraz 759">
          <a:extLst>
            <a:ext uri="{FF2B5EF4-FFF2-40B4-BE49-F238E27FC236}">
              <a16:creationId xmlns:a16="http://schemas.microsoft.com/office/drawing/2014/main" id="{1A9F3827-E2FE-4264-AFCA-6F1755C3D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24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0</xdr:col>
      <xdr:colOff>9525</xdr:colOff>
      <xdr:row>438</xdr:row>
      <xdr:rowOff>9525</xdr:rowOff>
    </xdr:to>
    <xdr:pic>
      <xdr:nvPicPr>
        <xdr:cNvPr id="761" name="Obraz 760">
          <a:extLst>
            <a:ext uri="{FF2B5EF4-FFF2-40B4-BE49-F238E27FC236}">
              <a16:creationId xmlns:a16="http://schemas.microsoft.com/office/drawing/2014/main" id="{A6F963A4-434F-48C4-9451-38A59ED75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43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442</xdr:row>
      <xdr:rowOff>0</xdr:rowOff>
    </xdr:from>
    <xdr:to>
      <xdr:col>0</xdr:col>
      <xdr:colOff>9525</xdr:colOff>
      <xdr:row>442</xdr:row>
      <xdr:rowOff>9525</xdr:rowOff>
    </xdr:to>
    <xdr:pic>
      <xdr:nvPicPr>
        <xdr:cNvPr id="762" name="Obraz 761">
          <a:extLst>
            <a:ext uri="{FF2B5EF4-FFF2-40B4-BE49-F238E27FC236}">
              <a16:creationId xmlns:a16="http://schemas.microsoft.com/office/drawing/2014/main" id="{8BCEE825-D718-42C7-9206-2D7E8D5BA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39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445</xdr:row>
      <xdr:rowOff>0</xdr:rowOff>
    </xdr:from>
    <xdr:to>
      <xdr:col>0</xdr:col>
      <xdr:colOff>9525</xdr:colOff>
      <xdr:row>445</xdr:row>
      <xdr:rowOff>9525</xdr:rowOff>
    </xdr:to>
    <xdr:pic>
      <xdr:nvPicPr>
        <xdr:cNvPr id="763" name="Obraz 762">
          <a:extLst>
            <a:ext uri="{FF2B5EF4-FFF2-40B4-BE49-F238E27FC236}">
              <a16:creationId xmlns:a16="http://schemas.microsoft.com/office/drawing/2014/main" id="{6056813F-C74A-40B2-93D0-539484A42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15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0</xdr:col>
      <xdr:colOff>9525</xdr:colOff>
      <xdr:row>449</xdr:row>
      <xdr:rowOff>9525</xdr:rowOff>
    </xdr:to>
    <xdr:pic>
      <xdr:nvPicPr>
        <xdr:cNvPr id="764" name="Obraz 763">
          <a:extLst>
            <a:ext uri="{FF2B5EF4-FFF2-40B4-BE49-F238E27FC236}">
              <a16:creationId xmlns:a16="http://schemas.microsoft.com/office/drawing/2014/main" id="{30BCC9AA-4F3C-49BE-9BDC-2978E411F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553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452</xdr:row>
      <xdr:rowOff>0</xdr:rowOff>
    </xdr:from>
    <xdr:to>
      <xdr:col>0</xdr:col>
      <xdr:colOff>9525</xdr:colOff>
      <xdr:row>452</xdr:row>
      <xdr:rowOff>9525</xdr:rowOff>
    </xdr:to>
    <xdr:pic>
      <xdr:nvPicPr>
        <xdr:cNvPr id="765" name="Obraz 764">
          <a:extLst>
            <a:ext uri="{FF2B5EF4-FFF2-40B4-BE49-F238E27FC236}">
              <a16:creationId xmlns:a16="http://schemas.microsoft.com/office/drawing/2014/main" id="{30C630B6-6E5D-4BDE-8D83-CDE24D547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29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0</xdr:col>
      <xdr:colOff>9525</xdr:colOff>
      <xdr:row>456</xdr:row>
      <xdr:rowOff>9525</xdr:rowOff>
    </xdr:to>
    <xdr:pic>
      <xdr:nvPicPr>
        <xdr:cNvPr id="766" name="Obraz 765">
          <a:extLst>
            <a:ext uri="{FF2B5EF4-FFF2-40B4-BE49-F238E27FC236}">
              <a16:creationId xmlns:a16="http://schemas.microsoft.com/office/drawing/2014/main" id="{C78F7FBF-F237-44E4-B345-5B894A6A2E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724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460</xdr:row>
      <xdr:rowOff>0</xdr:rowOff>
    </xdr:from>
    <xdr:to>
      <xdr:col>0</xdr:col>
      <xdr:colOff>9525</xdr:colOff>
      <xdr:row>460</xdr:row>
      <xdr:rowOff>9525</xdr:rowOff>
    </xdr:to>
    <xdr:pic>
      <xdr:nvPicPr>
        <xdr:cNvPr id="767" name="Obraz 766">
          <a:extLst>
            <a:ext uri="{FF2B5EF4-FFF2-40B4-BE49-F238E27FC236}">
              <a16:creationId xmlns:a16="http://schemas.microsoft.com/office/drawing/2014/main" id="{A9224142-3265-423D-8673-C5DC5B58DB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0</xdr:col>
      <xdr:colOff>9525</xdr:colOff>
      <xdr:row>461</xdr:row>
      <xdr:rowOff>9525</xdr:rowOff>
    </xdr:to>
    <xdr:pic>
      <xdr:nvPicPr>
        <xdr:cNvPr id="768" name="Obraz 767">
          <a:extLst>
            <a:ext uri="{FF2B5EF4-FFF2-40B4-BE49-F238E27FC236}">
              <a16:creationId xmlns:a16="http://schemas.microsoft.com/office/drawing/2014/main" id="{CF9D3E91-F4B4-45B4-A3B5-87D71F001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58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463</xdr:row>
      <xdr:rowOff>0</xdr:rowOff>
    </xdr:from>
    <xdr:to>
      <xdr:col>0</xdr:col>
      <xdr:colOff>9525</xdr:colOff>
      <xdr:row>463</xdr:row>
      <xdr:rowOff>9525</xdr:rowOff>
    </xdr:to>
    <xdr:pic>
      <xdr:nvPicPr>
        <xdr:cNvPr id="769" name="Obraz 768">
          <a:extLst>
            <a:ext uri="{FF2B5EF4-FFF2-40B4-BE49-F238E27FC236}">
              <a16:creationId xmlns:a16="http://schemas.microsoft.com/office/drawing/2014/main" id="{784581B9-7932-4D4A-AF2B-F18225BEF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20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466</xdr:row>
      <xdr:rowOff>0</xdr:rowOff>
    </xdr:from>
    <xdr:to>
      <xdr:col>0</xdr:col>
      <xdr:colOff>9525</xdr:colOff>
      <xdr:row>466</xdr:row>
      <xdr:rowOff>9525</xdr:rowOff>
    </xdr:to>
    <xdr:pic>
      <xdr:nvPicPr>
        <xdr:cNvPr id="770" name="Obraz 769">
          <a:extLst>
            <a:ext uri="{FF2B5EF4-FFF2-40B4-BE49-F238E27FC236}">
              <a16:creationId xmlns:a16="http://schemas.microsoft.com/office/drawing/2014/main" id="{8B2C118B-C760-41A1-A9C5-6A758F0BF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96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470</xdr:row>
      <xdr:rowOff>0</xdr:rowOff>
    </xdr:from>
    <xdr:to>
      <xdr:col>0</xdr:col>
      <xdr:colOff>9525</xdr:colOff>
      <xdr:row>470</xdr:row>
      <xdr:rowOff>9525</xdr:rowOff>
    </xdr:to>
    <xdr:pic>
      <xdr:nvPicPr>
        <xdr:cNvPr id="771" name="Obraz 770">
          <a:extLst>
            <a:ext uri="{FF2B5EF4-FFF2-40B4-BE49-F238E27FC236}">
              <a16:creationId xmlns:a16="http://schemas.microsoft.com/office/drawing/2014/main" id="{6421A06B-1933-4EF1-BEB6-DAAED3496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991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473</xdr:row>
      <xdr:rowOff>0</xdr:rowOff>
    </xdr:from>
    <xdr:to>
      <xdr:col>0</xdr:col>
      <xdr:colOff>9525</xdr:colOff>
      <xdr:row>473</xdr:row>
      <xdr:rowOff>9525</xdr:rowOff>
    </xdr:to>
    <xdr:pic>
      <xdr:nvPicPr>
        <xdr:cNvPr id="772" name="Obraz 771">
          <a:extLst>
            <a:ext uri="{FF2B5EF4-FFF2-40B4-BE49-F238E27FC236}">
              <a16:creationId xmlns:a16="http://schemas.microsoft.com/office/drawing/2014/main" id="{7CF91973-DBAC-4148-B37F-C43B827DB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7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9525</xdr:colOff>
      <xdr:row>474</xdr:row>
      <xdr:rowOff>9525</xdr:rowOff>
    </xdr:to>
    <xdr:pic>
      <xdr:nvPicPr>
        <xdr:cNvPr id="773" name="Obraz 772">
          <a:extLst>
            <a:ext uri="{FF2B5EF4-FFF2-40B4-BE49-F238E27FC236}">
              <a16:creationId xmlns:a16="http://schemas.microsoft.com/office/drawing/2014/main" id="{1B2AA631-91F3-4021-B189-1FCD2C327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5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476</xdr:row>
      <xdr:rowOff>0</xdr:rowOff>
    </xdr:from>
    <xdr:to>
      <xdr:col>0</xdr:col>
      <xdr:colOff>9525</xdr:colOff>
      <xdr:row>476</xdr:row>
      <xdr:rowOff>9525</xdr:rowOff>
    </xdr:to>
    <xdr:pic>
      <xdr:nvPicPr>
        <xdr:cNvPr id="774" name="Obraz 773">
          <a:extLst>
            <a:ext uri="{FF2B5EF4-FFF2-40B4-BE49-F238E27FC236}">
              <a16:creationId xmlns:a16="http://schemas.microsoft.com/office/drawing/2014/main" id="{85EAA47B-6DFA-4250-A3B9-90D12E611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67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480</xdr:row>
      <xdr:rowOff>0</xdr:rowOff>
    </xdr:from>
    <xdr:to>
      <xdr:col>0</xdr:col>
      <xdr:colOff>9525</xdr:colOff>
      <xdr:row>480</xdr:row>
      <xdr:rowOff>9525</xdr:rowOff>
    </xdr:to>
    <xdr:pic>
      <xdr:nvPicPr>
        <xdr:cNvPr id="775" name="Obraz 774">
          <a:extLst>
            <a:ext uri="{FF2B5EF4-FFF2-40B4-BE49-F238E27FC236}">
              <a16:creationId xmlns:a16="http://schemas.microsoft.com/office/drawing/2014/main" id="{C77DB6F8-8444-40DA-8E5F-E37E0B090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63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0</xdr:col>
      <xdr:colOff>9525</xdr:colOff>
      <xdr:row>483</xdr:row>
      <xdr:rowOff>9525</xdr:rowOff>
    </xdr:to>
    <xdr:pic>
      <xdr:nvPicPr>
        <xdr:cNvPr id="776" name="Obraz 775">
          <a:extLst>
            <a:ext uri="{FF2B5EF4-FFF2-40B4-BE49-F238E27FC236}">
              <a16:creationId xmlns:a16="http://schemas.microsoft.com/office/drawing/2014/main" id="{DCE6EFAA-DA2D-43F2-9141-08704F32D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39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0</xdr:col>
      <xdr:colOff>9525</xdr:colOff>
      <xdr:row>487</xdr:row>
      <xdr:rowOff>9525</xdr:rowOff>
    </xdr:to>
    <xdr:pic>
      <xdr:nvPicPr>
        <xdr:cNvPr id="777" name="Obraz 776">
          <a:extLst>
            <a:ext uri="{FF2B5EF4-FFF2-40B4-BE49-F238E27FC236}">
              <a16:creationId xmlns:a16="http://schemas.microsoft.com/office/drawing/2014/main" id="{8984F383-8A37-4080-8B00-8FEC5A2E1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77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490</xdr:row>
      <xdr:rowOff>0</xdr:rowOff>
    </xdr:from>
    <xdr:to>
      <xdr:col>0</xdr:col>
      <xdr:colOff>9525</xdr:colOff>
      <xdr:row>490</xdr:row>
      <xdr:rowOff>9525</xdr:rowOff>
    </xdr:to>
    <xdr:pic>
      <xdr:nvPicPr>
        <xdr:cNvPr id="778" name="Obraz 777">
          <a:extLst>
            <a:ext uri="{FF2B5EF4-FFF2-40B4-BE49-F238E27FC236}">
              <a16:creationId xmlns:a16="http://schemas.microsoft.com/office/drawing/2014/main" id="{1CF17ABA-6D2F-462F-BEF8-B2F26475DD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3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494</xdr:row>
      <xdr:rowOff>0</xdr:rowOff>
    </xdr:from>
    <xdr:to>
      <xdr:col>0</xdr:col>
      <xdr:colOff>9525</xdr:colOff>
      <xdr:row>494</xdr:row>
      <xdr:rowOff>9525</xdr:rowOff>
    </xdr:to>
    <xdr:pic>
      <xdr:nvPicPr>
        <xdr:cNvPr id="779" name="Obraz 778">
          <a:extLst>
            <a:ext uri="{FF2B5EF4-FFF2-40B4-BE49-F238E27FC236}">
              <a16:creationId xmlns:a16="http://schemas.microsoft.com/office/drawing/2014/main" id="{9D7BAB4B-2BDC-44A4-88FF-53755EBF6E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48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9525</xdr:colOff>
      <xdr:row>498</xdr:row>
      <xdr:rowOff>9525</xdr:rowOff>
    </xdr:to>
    <xdr:pic>
      <xdr:nvPicPr>
        <xdr:cNvPr id="780" name="Obraz 779">
          <a:extLst>
            <a:ext uri="{FF2B5EF4-FFF2-40B4-BE49-F238E27FC236}">
              <a16:creationId xmlns:a16="http://schemas.microsoft.com/office/drawing/2014/main" id="{081AB42A-BA52-419D-940E-4099E7DFE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44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498</xdr:row>
      <xdr:rowOff>0</xdr:rowOff>
    </xdr:from>
    <xdr:to>
      <xdr:col>0</xdr:col>
      <xdr:colOff>9525</xdr:colOff>
      <xdr:row>498</xdr:row>
      <xdr:rowOff>9525</xdr:rowOff>
    </xdr:to>
    <xdr:pic>
      <xdr:nvPicPr>
        <xdr:cNvPr id="781" name="Obraz 780">
          <a:extLst>
            <a:ext uri="{FF2B5EF4-FFF2-40B4-BE49-F238E27FC236}">
              <a16:creationId xmlns:a16="http://schemas.microsoft.com/office/drawing/2014/main" id="{128DBE2C-5778-4B46-A9B6-6C68F3A7D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82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500</xdr:row>
      <xdr:rowOff>0</xdr:rowOff>
    </xdr:from>
    <xdr:to>
      <xdr:col>0</xdr:col>
      <xdr:colOff>9525</xdr:colOff>
      <xdr:row>500</xdr:row>
      <xdr:rowOff>9525</xdr:rowOff>
    </xdr:to>
    <xdr:pic>
      <xdr:nvPicPr>
        <xdr:cNvPr id="782" name="Obraz 781">
          <a:extLst>
            <a:ext uri="{FF2B5EF4-FFF2-40B4-BE49-F238E27FC236}">
              <a16:creationId xmlns:a16="http://schemas.microsoft.com/office/drawing/2014/main" id="{A61195F7-217A-43EE-BAFA-B56004B76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525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503</xdr:row>
      <xdr:rowOff>0</xdr:rowOff>
    </xdr:from>
    <xdr:to>
      <xdr:col>0</xdr:col>
      <xdr:colOff>9525</xdr:colOff>
      <xdr:row>503</xdr:row>
      <xdr:rowOff>9525</xdr:rowOff>
    </xdr:to>
    <xdr:pic>
      <xdr:nvPicPr>
        <xdr:cNvPr id="783" name="Obraz 782">
          <a:extLst>
            <a:ext uri="{FF2B5EF4-FFF2-40B4-BE49-F238E27FC236}">
              <a16:creationId xmlns:a16="http://schemas.microsoft.com/office/drawing/2014/main" id="{F54C0FAC-68D4-4D3B-9F26-DC005EEE5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1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508</xdr:row>
      <xdr:rowOff>0</xdr:rowOff>
    </xdr:from>
    <xdr:to>
      <xdr:col>0</xdr:col>
      <xdr:colOff>9525</xdr:colOff>
      <xdr:row>508</xdr:row>
      <xdr:rowOff>9525</xdr:rowOff>
    </xdr:to>
    <xdr:pic>
      <xdr:nvPicPr>
        <xdr:cNvPr id="784" name="Obraz 783">
          <a:extLst>
            <a:ext uri="{FF2B5EF4-FFF2-40B4-BE49-F238E27FC236}">
              <a16:creationId xmlns:a16="http://schemas.microsoft.com/office/drawing/2014/main" id="{D1086087-9909-4E81-9BD1-6189DECC6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511</xdr:row>
      <xdr:rowOff>0</xdr:rowOff>
    </xdr:from>
    <xdr:to>
      <xdr:col>0</xdr:col>
      <xdr:colOff>9525</xdr:colOff>
      <xdr:row>511</xdr:row>
      <xdr:rowOff>9525</xdr:rowOff>
    </xdr:to>
    <xdr:pic>
      <xdr:nvPicPr>
        <xdr:cNvPr id="785" name="Obraz 784">
          <a:extLst>
            <a:ext uri="{FF2B5EF4-FFF2-40B4-BE49-F238E27FC236}">
              <a16:creationId xmlns:a16="http://schemas.microsoft.com/office/drawing/2014/main" id="{969B0C06-E132-4DB9-A98F-7BBF47EE5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34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0</xdr:col>
      <xdr:colOff>9525</xdr:colOff>
      <xdr:row>514</xdr:row>
      <xdr:rowOff>9525</xdr:rowOff>
    </xdr:to>
    <xdr:pic>
      <xdr:nvPicPr>
        <xdr:cNvPr id="786" name="Obraz 785">
          <a:extLst>
            <a:ext uri="{FF2B5EF4-FFF2-40B4-BE49-F238E27FC236}">
              <a16:creationId xmlns:a16="http://schemas.microsoft.com/office/drawing/2014/main" id="{6E3ADAF2-A0B9-41AE-9A90-4FFAE298A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0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518</xdr:row>
      <xdr:rowOff>0</xdr:rowOff>
    </xdr:from>
    <xdr:to>
      <xdr:col>0</xdr:col>
      <xdr:colOff>9525</xdr:colOff>
      <xdr:row>518</xdr:row>
      <xdr:rowOff>9525</xdr:rowOff>
    </xdr:to>
    <xdr:pic>
      <xdr:nvPicPr>
        <xdr:cNvPr id="787" name="Obraz 786">
          <a:extLst>
            <a:ext uri="{FF2B5EF4-FFF2-40B4-BE49-F238E27FC236}">
              <a16:creationId xmlns:a16="http://schemas.microsoft.com/office/drawing/2014/main" id="{7260D4DA-1091-4439-A2A8-161EEA69A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06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9525</xdr:colOff>
      <xdr:row>522</xdr:row>
      <xdr:rowOff>9525</xdr:rowOff>
    </xdr:to>
    <xdr:pic>
      <xdr:nvPicPr>
        <xdr:cNvPr id="788" name="Obraz 787">
          <a:extLst>
            <a:ext uri="{FF2B5EF4-FFF2-40B4-BE49-F238E27FC236}">
              <a16:creationId xmlns:a16="http://schemas.microsoft.com/office/drawing/2014/main" id="{1244DDAD-EEBC-4DD1-844A-0B7B9010E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944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525</xdr:row>
      <xdr:rowOff>0</xdr:rowOff>
    </xdr:from>
    <xdr:to>
      <xdr:col>0</xdr:col>
      <xdr:colOff>9525</xdr:colOff>
      <xdr:row>525</xdr:row>
      <xdr:rowOff>9525</xdr:rowOff>
    </xdr:to>
    <xdr:pic>
      <xdr:nvPicPr>
        <xdr:cNvPr id="789" name="Obraz 788">
          <a:extLst>
            <a:ext uri="{FF2B5EF4-FFF2-40B4-BE49-F238E27FC236}">
              <a16:creationId xmlns:a16="http://schemas.microsoft.com/office/drawing/2014/main" id="{8DF7CBD3-AA78-47CE-85FF-86679AF65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20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529</xdr:row>
      <xdr:rowOff>0</xdr:rowOff>
    </xdr:from>
    <xdr:to>
      <xdr:col>0</xdr:col>
      <xdr:colOff>9525</xdr:colOff>
      <xdr:row>529</xdr:row>
      <xdr:rowOff>9525</xdr:rowOff>
    </xdr:to>
    <xdr:pic>
      <xdr:nvPicPr>
        <xdr:cNvPr id="790" name="Obraz 789">
          <a:extLst>
            <a:ext uri="{FF2B5EF4-FFF2-40B4-BE49-F238E27FC236}">
              <a16:creationId xmlns:a16="http://schemas.microsoft.com/office/drawing/2014/main" id="{E6406435-BC99-4171-853D-A5C49E700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15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532</xdr:row>
      <xdr:rowOff>0</xdr:rowOff>
    </xdr:from>
    <xdr:to>
      <xdr:col>0</xdr:col>
      <xdr:colOff>9525</xdr:colOff>
      <xdr:row>532</xdr:row>
      <xdr:rowOff>9525</xdr:rowOff>
    </xdr:to>
    <xdr:pic>
      <xdr:nvPicPr>
        <xdr:cNvPr id="791" name="Obraz 790">
          <a:extLst>
            <a:ext uri="{FF2B5EF4-FFF2-40B4-BE49-F238E27FC236}">
              <a16:creationId xmlns:a16="http://schemas.microsoft.com/office/drawing/2014/main" id="{D60B8DFC-14E7-46AD-BB4F-525029321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191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9525</xdr:colOff>
      <xdr:row>533</xdr:row>
      <xdr:rowOff>9525</xdr:rowOff>
    </xdr:to>
    <xdr:pic>
      <xdr:nvPicPr>
        <xdr:cNvPr id="792" name="Obraz 791">
          <a:extLst>
            <a:ext uri="{FF2B5EF4-FFF2-40B4-BE49-F238E27FC236}">
              <a16:creationId xmlns:a16="http://schemas.microsoft.com/office/drawing/2014/main" id="{BE2D6C62-83CF-4530-85B5-D74B9B39EF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29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0</xdr:col>
      <xdr:colOff>9525</xdr:colOff>
      <xdr:row>533</xdr:row>
      <xdr:rowOff>9525</xdr:rowOff>
    </xdr:to>
    <xdr:pic>
      <xdr:nvPicPr>
        <xdr:cNvPr id="793" name="Obraz 792">
          <a:extLst>
            <a:ext uri="{FF2B5EF4-FFF2-40B4-BE49-F238E27FC236}">
              <a16:creationId xmlns:a16="http://schemas.microsoft.com/office/drawing/2014/main" id="{8C06D7EB-68F7-45B1-BF68-0AF3521BE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87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0</xdr:col>
      <xdr:colOff>9525</xdr:colOff>
      <xdr:row>535</xdr:row>
      <xdr:rowOff>9525</xdr:rowOff>
    </xdr:to>
    <xdr:pic>
      <xdr:nvPicPr>
        <xdr:cNvPr id="794" name="Obraz 793">
          <a:extLst>
            <a:ext uri="{FF2B5EF4-FFF2-40B4-BE49-F238E27FC236}">
              <a16:creationId xmlns:a16="http://schemas.microsoft.com/office/drawing/2014/main" id="{7D68184C-D54E-4DA8-9434-72C90002A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344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538</xdr:row>
      <xdr:rowOff>0</xdr:rowOff>
    </xdr:from>
    <xdr:to>
      <xdr:col>0</xdr:col>
      <xdr:colOff>9525</xdr:colOff>
      <xdr:row>538</xdr:row>
      <xdr:rowOff>9525</xdr:rowOff>
    </xdr:to>
    <xdr:pic>
      <xdr:nvPicPr>
        <xdr:cNvPr id="795" name="Obraz 794">
          <a:extLst>
            <a:ext uri="{FF2B5EF4-FFF2-40B4-BE49-F238E27FC236}">
              <a16:creationId xmlns:a16="http://schemas.microsoft.com/office/drawing/2014/main" id="{2C40A31F-BEA6-4C83-AB14-F4487EA1C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20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543</xdr:row>
      <xdr:rowOff>0</xdr:rowOff>
    </xdr:from>
    <xdr:to>
      <xdr:col>0</xdr:col>
      <xdr:colOff>9525</xdr:colOff>
      <xdr:row>543</xdr:row>
      <xdr:rowOff>9525</xdr:rowOff>
    </xdr:to>
    <xdr:pic>
      <xdr:nvPicPr>
        <xdr:cNvPr id="796" name="Obraz 795">
          <a:extLst>
            <a:ext uri="{FF2B5EF4-FFF2-40B4-BE49-F238E27FC236}">
              <a16:creationId xmlns:a16="http://schemas.microsoft.com/office/drawing/2014/main" id="{69104C01-8348-4CDA-A441-E761EA5FE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34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546</xdr:row>
      <xdr:rowOff>0</xdr:rowOff>
    </xdr:from>
    <xdr:to>
      <xdr:col>0</xdr:col>
      <xdr:colOff>9525</xdr:colOff>
      <xdr:row>546</xdr:row>
      <xdr:rowOff>9525</xdr:rowOff>
    </xdr:to>
    <xdr:pic>
      <xdr:nvPicPr>
        <xdr:cNvPr id="797" name="Obraz 796">
          <a:extLst>
            <a:ext uri="{FF2B5EF4-FFF2-40B4-BE49-F238E27FC236}">
              <a16:creationId xmlns:a16="http://schemas.microsoft.com/office/drawing/2014/main" id="{F9A4DE71-FD95-4FA8-8150-57509AF29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1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0</xdr:col>
      <xdr:colOff>9525</xdr:colOff>
      <xdr:row>549</xdr:row>
      <xdr:rowOff>9525</xdr:rowOff>
    </xdr:to>
    <xdr:pic>
      <xdr:nvPicPr>
        <xdr:cNvPr id="798" name="Obraz 797">
          <a:extLst>
            <a:ext uri="{FF2B5EF4-FFF2-40B4-BE49-F238E27FC236}">
              <a16:creationId xmlns:a16="http://schemas.microsoft.com/office/drawing/2014/main" id="{14CFB11E-C1DF-4656-BC0A-41C2A12FB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77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554</xdr:row>
      <xdr:rowOff>0</xdr:rowOff>
    </xdr:from>
    <xdr:to>
      <xdr:col>0</xdr:col>
      <xdr:colOff>9525</xdr:colOff>
      <xdr:row>554</xdr:row>
      <xdr:rowOff>9525</xdr:rowOff>
    </xdr:to>
    <xdr:pic>
      <xdr:nvPicPr>
        <xdr:cNvPr id="799" name="Obraz 798">
          <a:extLst>
            <a:ext uri="{FF2B5EF4-FFF2-40B4-BE49-F238E27FC236}">
              <a16:creationId xmlns:a16="http://schemas.microsoft.com/office/drawing/2014/main" id="{2C79BAC0-4D35-4A22-A040-B5743D6A4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91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557</xdr:row>
      <xdr:rowOff>0</xdr:rowOff>
    </xdr:from>
    <xdr:to>
      <xdr:col>0</xdr:col>
      <xdr:colOff>9525</xdr:colOff>
      <xdr:row>557</xdr:row>
      <xdr:rowOff>9525</xdr:rowOff>
    </xdr:to>
    <xdr:pic>
      <xdr:nvPicPr>
        <xdr:cNvPr id="800" name="Obraz 799">
          <a:extLst>
            <a:ext uri="{FF2B5EF4-FFF2-40B4-BE49-F238E27FC236}">
              <a16:creationId xmlns:a16="http://schemas.microsoft.com/office/drawing/2014/main" id="{0643E432-A759-4395-93A8-0AA849A494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68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560</xdr:row>
      <xdr:rowOff>0</xdr:rowOff>
    </xdr:from>
    <xdr:to>
      <xdr:col>0</xdr:col>
      <xdr:colOff>9525</xdr:colOff>
      <xdr:row>560</xdr:row>
      <xdr:rowOff>9525</xdr:rowOff>
    </xdr:to>
    <xdr:pic>
      <xdr:nvPicPr>
        <xdr:cNvPr id="801" name="Obraz 800">
          <a:extLst>
            <a:ext uri="{FF2B5EF4-FFF2-40B4-BE49-F238E27FC236}">
              <a16:creationId xmlns:a16="http://schemas.microsoft.com/office/drawing/2014/main" id="{13DF2F24-9AC1-43A4-8FA8-8F39AFB43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44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564</xdr:row>
      <xdr:rowOff>0</xdr:rowOff>
    </xdr:from>
    <xdr:to>
      <xdr:col>0</xdr:col>
      <xdr:colOff>9525</xdr:colOff>
      <xdr:row>564</xdr:row>
      <xdr:rowOff>9525</xdr:rowOff>
    </xdr:to>
    <xdr:pic>
      <xdr:nvPicPr>
        <xdr:cNvPr id="802" name="Obraz 801">
          <a:extLst>
            <a:ext uri="{FF2B5EF4-FFF2-40B4-BE49-F238E27FC236}">
              <a16:creationId xmlns:a16="http://schemas.microsoft.com/office/drawing/2014/main" id="{E37E1AC7-93E8-4044-9D21-2F93C684A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39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9525</xdr:colOff>
      <xdr:row>568</xdr:row>
      <xdr:rowOff>9525</xdr:rowOff>
    </xdr:to>
    <xdr:pic>
      <xdr:nvPicPr>
        <xdr:cNvPr id="803" name="Obraz 802">
          <a:extLst>
            <a:ext uri="{FF2B5EF4-FFF2-40B4-BE49-F238E27FC236}">
              <a16:creationId xmlns:a16="http://schemas.microsoft.com/office/drawing/2014/main" id="{E9377294-BF4D-4D80-A80A-0F2EC53A20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34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0</xdr:col>
      <xdr:colOff>9525</xdr:colOff>
      <xdr:row>569</xdr:row>
      <xdr:rowOff>9525</xdr:rowOff>
    </xdr:to>
    <xdr:pic>
      <xdr:nvPicPr>
        <xdr:cNvPr id="804" name="Obraz 803">
          <a:extLst>
            <a:ext uri="{FF2B5EF4-FFF2-40B4-BE49-F238E27FC236}">
              <a16:creationId xmlns:a16="http://schemas.microsoft.com/office/drawing/2014/main" id="{9ED0B48C-8759-473D-A7E9-EA7C6F213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72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571</xdr:row>
      <xdr:rowOff>0</xdr:rowOff>
    </xdr:from>
    <xdr:to>
      <xdr:col>0</xdr:col>
      <xdr:colOff>9525</xdr:colOff>
      <xdr:row>571</xdr:row>
      <xdr:rowOff>9525</xdr:rowOff>
    </xdr:to>
    <xdr:pic>
      <xdr:nvPicPr>
        <xdr:cNvPr id="805" name="Obraz 804">
          <a:extLst>
            <a:ext uri="{FF2B5EF4-FFF2-40B4-BE49-F238E27FC236}">
              <a16:creationId xmlns:a16="http://schemas.microsoft.com/office/drawing/2014/main" id="{C7A8F519-EA5F-4642-88BA-E14F174324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77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574</xdr:row>
      <xdr:rowOff>0</xdr:rowOff>
    </xdr:from>
    <xdr:to>
      <xdr:col>0</xdr:col>
      <xdr:colOff>9525</xdr:colOff>
      <xdr:row>574</xdr:row>
      <xdr:rowOff>9525</xdr:rowOff>
    </xdr:to>
    <xdr:pic>
      <xdr:nvPicPr>
        <xdr:cNvPr id="806" name="Obraz 805">
          <a:extLst>
            <a:ext uri="{FF2B5EF4-FFF2-40B4-BE49-F238E27FC236}">
              <a16:creationId xmlns:a16="http://schemas.microsoft.com/office/drawing/2014/main" id="{0C90C0D8-3D34-411C-8561-4E3775604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953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578</xdr:row>
      <xdr:rowOff>0</xdr:rowOff>
    </xdr:from>
    <xdr:to>
      <xdr:col>0</xdr:col>
      <xdr:colOff>9525</xdr:colOff>
      <xdr:row>578</xdr:row>
      <xdr:rowOff>9525</xdr:rowOff>
    </xdr:to>
    <xdr:pic>
      <xdr:nvPicPr>
        <xdr:cNvPr id="807" name="Obraz 806">
          <a:extLst>
            <a:ext uri="{FF2B5EF4-FFF2-40B4-BE49-F238E27FC236}">
              <a16:creationId xmlns:a16="http://schemas.microsoft.com/office/drawing/2014/main" id="{AA344E0C-05C9-474E-B9D9-0697D13B4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49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581</xdr:row>
      <xdr:rowOff>0</xdr:rowOff>
    </xdr:from>
    <xdr:to>
      <xdr:col>0</xdr:col>
      <xdr:colOff>9525</xdr:colOff>
      <xdr:row>581</xdr:row>
      <xdr:rowOff>9525</xdr:rowOff>
    </xdr:to>
    <xdr:pic>
      <xdr:nvPicPr>
        <xdr:cNvPr id="808" name="Obraz 807">
          <a:extLst>
            <a:ext uri="{FF2B5EF4-FFF2-40B4-BE49-F238E27FC236}">
              <a16:creationId xmlns:a16="http://schemas.microsoft.com/office/drawing/2014/main" id="{46A62CF0-4AAC-416D-913E-D4B05AE60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5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582</xdr:row>
      <xdr:rowOff>0</xdr:rowOff>
    </xdr:from>
    <xdr:to>
      <xdr:col>0</xdr:col>
      <xdr:colOff>9525</xdr:colOff>
      <xdr:row>582</xdr:row>
      <xdr:rowOff>9525</xdr:rowOff>
    </xdr:to>
    <xdr:pic>
      <xdr:nvPicPr>
        <xdr:cNvPr id="809" name="Obraz 808">
          <a:extLst>
            <a:ext uri="{FF2B5EF4-FFF2-40B4-BE49-F238E27FC236}">
              <a16:creationId xmlns:a16="http://schemas.microsoft.com/office/drawing/2014/main" id="{61A1BC47-86F0-49E2-9624-0CC883171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1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584</xdr:row>
      <xdr:rowOff>0</xdr:rowOff>
    </xdr:from>
    <xdr:to>
      <xdr:col>0</xdr:col>
      <xdr:colOff>9525</xdr:colOff>
      <xdr:row>584</xdr:row>
      <xdr:rowOff>9525</xdr:rowOff>
    </xdr:to>
    <xdr:pic>
      <xdr:nvPicPr>
        <xdr:cNvPr id="810" name="Obraz 809">
          <a:extLst>
            <a:ext uri="{FF2B5EF4-FFF2-40B4-BE49-F238E27FC236}">
              <a16:creationId xmlns:a16="http://schemas.microsoft.com/office/drawing/2014/main" id="{8B9D8502-50B0-42FA-B036-427005C776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25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587</xdr:row>
      <xdr:rowOff>0</xdr:rowOff>
    </xdr:from>
    <xdr:to>
      <xdr:col>0</xdr:col>
      <xdr:colOff>9525</xdr:colOff>
      <xdr:row>587</xdr:row>
      <xdr:rowOff>9525</xdr:rowOff>
    </xdr:to>
    <xdr:pic>
      <xdr:nvPicPr>
        <xdr:cNvPr id="811" name="Obraz 810">
          <a:extLst>
            <a:ext uri="{FF2B5EF4-FFF2-40B4-BE49-F238E27FC236}">
              <a16:creationId xmlns:a16="http://schemas.microsoft.com/office/drawing/2014/main" id="{620E5318-324E-459F-94C8-629F092BB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1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592</xdr:row>
      <xdr:rowOff>0</xdr:rowOff>
    </xdr:from>
    <xdr:to>
      <xdr:col>0</xdr:col>
      <xdr:colOff>9525</xdr:colOff>
      <xdr:row>592</xdr:row>
      <xdr:rowOff>9525</xdr:rowOff>
    </xdr:to>
    <xdr:pic>
      <xdr:nvPicPr>
        <xdr:cNvPr id="812" name="Obraz 811">
          <a:extLst>
            <a:ext uri="{FF2B5EF4-FFF2-40B4-BE49-F238E27FC236}">
              <a16:creationId xmlns:a16="http://schemas.microsoft.com/office/drawing/2014/main" id="{9BF65539-3E13-4CDF-9F56-F19C467745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15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595</xdr:row>
      <xdr:rowOff>0</xdr:rowOff>
    </xdr:from>
    <xdr:to>
      <xdr:col>0</xdr:col>
      <xdr:colOff>9525</xdr:colOff>
      <xdr:row>595</xdr:row>
      <xdr:rowOff>9525</xdr:rowOff>
    </xdr:to>
    <xdr:pic>
      <xdr:nvPicPr>
        <xdr:cNvPr id="813" name="Obraz 812">
          <a:extLst>
            <a:ext uri="{FF2B5EF4-FFF2-40B4-BE49-F238E27FC236}">
              <a16:creationId xmlns:a16="http://schemas.microsoft.com/office/drawing/2014/main" id="{25FD84F8-B98B-4E28-BD93-BD83B6766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334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599</xdr:row>
      <xdr:rowOff>0</xdr:rowOff>
    </xdr:from>
    <xdr:to>
      <xdr:col>0</xdr:col>
      <xdr:colOff>9525</xdr:colOff>
      <xdr:row>599</xdr:row>
      <xdr:rowOff>9525</xdr:rowOff>
    </xdr:to>
    <xdr:pic>
      <xdr:nvPicPr>
        <xdr:cNvPr id="814" name="Obraz 813">
          <a:extLst>
            <a:ext uri="{FF2B5EF4-FFF2-40B4-BE49-F238E27FC236}">
              <a16:creationId xmlns:a16="http://schemas.microsoft.com/office/drawing/2014/main" id="{74E18392-C0E4-44E2-AD22-AF47DBAA5F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30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603</xdr:row>
      <xdr:rowOff>0</xdr:rowOff>
    </xdr:from>
    <xdr:to>
      <xdr:col>0</xdr:col>
      <xdr:colOff>9525</xdr:colOff>
      <xdr:row>603</xdr:row>
      <xdr:rowOff>9525</xdr:rowOff>
    </xdr:to>
    <xdr:pic>
      <xdr:nvPicPr>
        <xdr:cNvPr id="815" name="Obraz 814">
          <a:extLst>
            <a:ext uri="{FF2B5EF4-FFF2-40B4-BE49-F238E27FC236}">
              <a16:creationId xmlns:a16="http://schemas.microsoft.com/office/drawing/2014/main" id="{65FEE146-72B0-4309-9EFB-B10BEDA1A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25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607</xdr:row>
      <xdr:rowOff>0</xdr:rowOff>
    </xdr:from>
    <xdr:to>
      <xdr:col>0</xdr:col>
      <xdr:colOff>9525</xdr:colOff>
      <xdr:row>607</xdr:row>
      <xdr:rowOff>9525</xdr:rowOff>
    </xdr:to>
    <xdr:pic>
      <xdr:nvPicPr>
        <xdr:cNvPr id="816" name="Obraz 815">
          <a:extLst>
            <a:ext uri="{FF2B5EF4-FFF2-40B4-BE49-F238E27FC236}">
              <a16:creationId xmlns:a16="http://schemas.microsoft.com/office/drawing/2014/main" id="{925F9F8B-48AF-4904-A46F-72DF3CDBA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563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611</xdr:row>
      <xdr:rowOff>0</xdr:rowOff>
    </xdr:from>
    <xdr:to>
      <xdr:col>0</xdr:col>
      <xdr:colOff>9525</xdr:colOff>
      <xdr:row>611</xdr:row>
      <xdr:rowOff>9525</xdr:rowOff>
    </xdr:to>
    <xdr:pic>
      <xdr:nvPicPr>
        <xdr:cNvPr id="817" name="Obraz 816">
          <a:extLst>
            <a:ext uri="{FF2B5EF4-FFF2-40B4-BE49-F238E27FC236}">
              <a16:creationId xmlns:a16="http://schemas.microsoft.com/office/drawing/2014/main" id="{F841A540-0166-471B-A2A8-E105F498EA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58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614</xdr:row>
      <xdr:rowOff>0</xdr:rowOff>
    </xdr:from>
    <xdr:to>
      <xdr:col>0</xdr:col>
      <xdr:colOff>9525</xdr:colOff>
      <xdr:row>614</xdr:row>
      <xdr:rowOff>9525</xdr:rowOff>
    </xdr:to>
    <xdr:pic>
      <xdr:nvPicPr>
        <xdr:cNvPr id="818" name="Obraz 817">
          <a:extLst>
            <a:ext uri="{FF2B5EF4-FFF2-40B4-BE49-F238E27FC236}">
              <a16:creationId xmlns:a16="http://schemas.microsoft.com/office/drawing/2014/main" id="{0A480B62-E4D5-422F-AF0F-A02ED1A9B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34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618</xdr:row>
      <xdr:rowOff>0</xdr:rowOff>
    </xdr:from>
    <xdr:to>
      <xdr:col>0</xdr:col>
      <xdr:colOff>9525</xdr:colOff>
      <xdr:row>618</xdr:row>
      <xdr:rowOff>9525</xdr:rowOff>
    </xdr:to>
    <xdr:pic>
      <xdr:nvPicPr>
        <xdr:cNvPr id="819" name="Obraz 818">
          <a:extLst>
            <a:ext uri="{FF2B5EF4-FFF2-40B4-BE49-F238E27FC236}">
              <a16:creationId xmlns:a16="http://schemas.microsoft.com/office/drawing/2014/main" id="{46B9510B-661E-489E-85A1-C56ED9CC5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772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622</xdr:row>
      <xdr:rowOff>0</xdr:rowOff>
    </xdr:from>
    <xdr:to>
      <xdr:col>0</xdr:col>
      <xdr:colOff>9525</xdr:colOff>
      <xdr:row>622</xdr:row>
      <xdr:rowOff>9525</xdr:rowOff>
    </xdr:to>
    <xdr:pic>
      <xdr:nvPicPr>
        <xdr:cNvPr id="820" name="Obraz 819">
          <a:extLst>
            <a:ext uri="{FF2B5EF4-FFF2-40B4-BE49-F238E27FC236}">
              <a16:creationId xmlns:a16="http://schemas.microsoft.com/office/drawing/2014/main" id="{75F74D65-E19E-4523-B495-44BE0C58F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68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625</xdr:row>
      <xdr:rowOff>0</xdr:rowOff>
    </xdr:from>
    <xdr:to>
      <xdr:col>0</xdr:col>
      <xdr:colOff>9525</xdr:colOff>
      <xdr:row>625</xdr:row>
      <xdr:rowOff>9525</xdr:rowOff>
    </xdr:to>
    <xdr:pic>
      <xdr:nvPicPr>
        <xdr:cNvPr id="821" name="Obraz 820">
          <a:extLst>
            <a:ext uri="{FF2B5EF4-FFF2-40B4-BE49-F238E27FC236}">
              <a16:creationId xmlns:a16="http://schemas.microsoft.com/office/drawing/2014/main" id="{707124EF-B08A-4945-B46D-F80C7EBB8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44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629</xdr:row>
      <xdr:rowOff>0</xdr:rowOff>
    </xdr:from>
    <xdr:to>
      <xdr:col>0</xdr:col>
      <xdr:colOff>9525</xdr:colOff>
      <xdr:row>629</xdr:row>
      <xdr:rowOff>9525</xdr:rowOff>
    </xdr:to>
    <xdr:pic>
      <xdr:nvPicPr>
        <xdr:cNvPr id="822" name="Obraz 821">
          <a:extLst>
            <a:ext uri="{FF2B5EF4-FFF2-40B4-BE49-F238E27FC236}">
              <a16:creationId xmlns:a16="http://schemas.microsoft.com/office/drawing/2014/main" id="{6379C9C1-7C0E-4BAA-9CA9-C7C3FB45A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82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9525</xdr:colOff>
      <xdr:row>633</xdr:row>
      <xdr:rowOff>9525</xdr:rowOff>
    </xdr:to>
    <xdr:pic>
      <xdr:nvPicPr>
        <xdr:cNvPr id="823" name="Obraz 822">
          <a:extLst>
            <a:ext uri="{FF2B5EF4-FFF2-40B4-BE49-F238E27FC236}">
              <a16:creationId xmlns:a16="http://schemas.microsoft.com/office/drawing/2014/main" id="{71D2CDD8-08A1-4996-BB41-0AD9A6FC8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77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636</xdr:row>
      <xdr:rowOff>0</xdr:rowOff>
    </xdr:from>
    <xdr:to>
      <xdr:col>0</xdr:col>
      <xdr:colOff>9525</xdr:colOff>
      <xdr:row>636</xdr:row>
      <xdr:rowOff>9525</xdr:rowOff>
    </xdr:to>
    <xdr:pic>
      <xdr:nvPicPr>
        <xdr:cNvPr id="824" name="Obraz 823">
          <a:extLst>
            <a:ext uri="{FF2B5EF4-FFF2-40B4-BE49-F238E27FC236}">
              <a16:creationId xmlns:a16="http://schemas.microsoft.com/office/drawing/2014/main" id="{2B78C0DA-B76F-46CF-B0CD-1C3A2C445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53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640</xdr:row>
      <xdr:rowOff>0</xdr:rowOff>
    </xdr:from>
    <xdr:to>
      <xdr:col>0</xdr:col>
      <xdr:colOff>9525</xdr:colOff>
      <xdr:row>640</xdr:row>
      <xdr:rowOff>9525</xdr:rowOff>
    </xdr:to>
    <xdr:pic>
      <xdr:nvPicPr>
        <xdr:cNvPr id="825" name="Obraz 824">
          <a:extLst>
            <a:ext uri="{FF2B5EF4-FFF2-40B4-BE49-F238E27FC236}">
              <a16:creationId xmlns:a16="http://schemas.microsoft.com/office/drawing/2014/main" id="{11C93706-DB3F-4076-A3DD-6D168E67D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192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644</xdr:row>
      <xdr:rowOff>0</xdr:rowOff>
    </xdr:from>
    <xdr:to>
      <xdr:col>0</xdr:col>
      <xdr:colOff>9525</xdr:colOff>
      <xdr:row>644</xdr:row>
      <xdr:rowOff>9525</xdr:rowOff>
    </xdr:to>
    <xdr:pic>
      <xdr:nvPicPr>
        <xdr:cNvPr id="826" name="Obraz 825">
          <a:extLst>
            <a:ext uri="{FF2B5EF4-FFF2-40B4-BE49-F238E27FC236}">
              <a16:creationId xmlns:a16="http://schemas.microsoft.com/office/drawing/2014/main" id="{4BEE6559-5507-4252-9107-5C8ABA2EF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87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647</xdr:row>
      <xdr:rowOff>0</xdr:rowOff>
    </xdr:from>
    <xdr:to>
      <xdr:col>0</xdr:col>
      <xdr:colOff>9525</xdr:colOff>
      <xdr:row>647</xdr:row>
      <xdr:rowOff>9525</xdr:rowOff>
    </xdr:to>
    <xdr:pic>
      <xdr:nvPicPr>
        <xdr:cNvPr id="827" name="Obraz 826">
          <a:extLst>
            <a:ext uri="{FF2B5EF4-FFF2-40B4-BE49-F238E27FC236}">
              <a16:creationId xmlns:a16="http://schemas.microsoft.com/office/drawing/2014/main" id="{10754EF8-5AD9-4038-A939-0E51B27A4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363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651</xdr:row>
      <xdr:rowOff>0</xdr:rowOff>
    </xdr:from>
    <xdr:to>
      <xdr:col>0</xdr:col>
      <xdr:colOff>9525</xdr:colOff>
      <xdr:row>651</xdr:row>
      <xdr:rowOff>9525</xdr:rowOff>
    </xdr:to>
    <xdr:pic>
      <xdr:nvPicPr>
        <xdr:cNvPr id="828" name="Obraz 827">
          <a:extLst>
            <a:ext uri="{FF2B5EF4-FFF2-40B4-BE49-F238E27FC236}">
              <a16:creationId xmlns:a16="http://schemas.microsoft.com/office/drawing/2014/main" id="{1C46F853-BF52-46C4-9729-26F73FC76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654</xdr:row>
      <xdr:rowOff>0</xdr:rowOff>
    </xdr:from>
    <xdr:to>
      <xdr:col>0</xdr:col>
      <xdr:colOff>9525</xdr:colOff>
      <xdr:row>654</xdr:row>
      <xdr:rowOff>9525</xdr:rowOff>
    </xdr:to>
    <xdr:pic>
      <xdr:nvPicPr>
        <xdr:cNvPr id="829" name="Obraz 828">
          <a:extLst>
            <a:ext uri="{FF2B5EF4-FFF2-40B4-BE49-F238E27FC236}">
              <a16:creationId xmlns:a16="http://schemas.microsoft.com/office/drawing/2014/main" id="{D357A1C8-AD98-402D-B1EF-37D4C6B3F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77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659</xdr:row>
      <xdr:rowOff>0</xdr:rowOff>
    </xdr:from>
    <xdr:to>
      <xdr:col>0</xdr:col>
      <xdr:colOff>9525</xdr:colOff>
      <xdr:row>659</xdr:row>
      <xdr:rowOff>9525</xdr:rowOff>
    </xdr:to>
    <xdr:pic>
      <xdr:nvPicPr>
        <xdr:cNvPr id="830" name="Obraz 829">
          <a:extLst>
            <a:ext uri="{FF2B5EF4-FFF2-40B4-BE49-F238E27FC236}">
              <a16:creationId xmlns:a16="http://schemas.microsoft.com/office/drawing/2014/main" id="{804BF3B5-38FD-40D3-A2E0-8DCCBB373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592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662</xdr:row>
      <xdr:rowOff>0</xdr:rowOff>
    </xdr:from>
    <xdr:to>
      <xdr:col>0</xdr:col>
      <xdr:colOff>9525</xdr:colOff>
      <xdr:row>662</xdr:row>
      <xdr:rowOff>9525</xdr:rowOff>
    </xdr:to>
    <xdr:pic>
      <xdr:nvPicPr>
        <xdr:cNvPr id="831" name="Obraz 830">
          <a:extLst>
            <a:ext uri="{FF2B5EF4-FFF2-40B4-BE49-F238E27FC236}">
              <a16:creationId xmlns:a16="http://schemas.microsoft.com/office/drawing/2014/main" id="{E4F3E1E3-51FF-4B57-9BA7-B3F941209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11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665</xdr:row>
      <xdr:rowOff>0</xdr:rowOff>
    </xdr:from>
    <xdr:to>
      <xdr:col>0</xdr:col>
      <xdr:colOff>9525</xdr:colOff>
      <xdr:row>665</xdr:row>
      <xdr:rowOff>9525</xdr:rowOff>
    </xdr:to>
    <xdr:pic>
      <xdr:nvPicPr>
        <xdr:cNvPr id="832" name="Obraz 831">
          <a:extLst>
            <a:ext uri="{FF2B5EF4-FFF2-40B4-BE49-F238E27FC236}">
              <a16:creationId xmlns:a16="http://schemas.microsoft.com/office/drawing/2014/main" id="{FBF2C769-3ADF-4AD0-8708-F1B8613AAF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87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670</xdr:row>
      <xdr:rowOff>0</xdr:rowOff>
    </xdr:from>
    <xdr:to>
      <xdr:col>0</xdr:col>
      <xdr:colOff>9525</xdr:colOff>
      <xdr:row>670</xdr:row>
      <xdr:rowOff>9525</xdr:rowOff>
    </xdr:to>
    <xdr:pic>
      <xdr:nvPicPr>
        <xdr:cNvPr id="833" name="Obraz 832">
          <a:extLst>
            <a:ext uri="{FF2B5EF4-FFF2-40B4-BE49-F238E27FC236}">
              <a16:creationId xmlns:a16="http://schemas.microsoft.com/office/drawing/2014/main" id="{F7C7C327-8D7D-470F-A9E7-B1C3AE731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0</xdr:col>
      <xdr:colOff>9525</xdr:colOff>
      <xdr:row>673</xdr:row>
      <xdr:rowOff>9525</xdr:rowOff>
    </xdr:to>
    <xdr:pic>
      <xdr:nvPicPr>
        <xdr:cNvPr id="834" name="Obraz 833">
          <a:extLst>
            <a:ext uri="{FF2B5EF4-FFF2-40B4-BE49-F238E27FC236}">
              <a16:creationId xmlns:a16="http://schemas.microsoft.com/office/drawing/2014/main" id="{3E69E636-6BE5-46EA-BD91-2FB16C7EB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20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676</xdr:row>
      <xdr:rowOff>0</xdr:rowOff>
    </xdr:from>
    <xdr:to>
      <xdr:col>0</xdr:col>
      <xdr:colOff>9525</xdr:colOff>
      <xdr:row>676</xdr:row>
      <xdr:rowOff>9525</xdr:rowOff>
    </xdr:to>
    <xdr:pic>
      <xdr:nvPicPr>
        <xdr:cNvPr id="835" name="Obraz 834">
          <a:extLst>
            <a:ext uri="{FF2B5EF4-FFF2-40B4-BE49-F238E27FC236}">
              <a16:creationId xmlns:a16="http://schemas.microsoft.com/office/drawing/2014/main" id="{D96B8D3E-211E-4EB1-8A22-E9A47C85D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6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680</xdr:row>
      <xdr:rowOff>0</xdr:rowOff>
    </xdr:from>
    <xdr:to>
      <xdr:col>0</xdr:col>
      <xdr:colOff>9525</xdr:colOff>
      <xdr:row>680</xdr:row>
      <xdr:rowOff>9525</xdr:rowOff>
    </xdr:to>
    <xdr:pic>
      <xdr:nvPicPr>
        <xdr:cNvPr id="836" name="Obraz 835">
          <a:extLst>
            <a:ext uri="{FF2B5EF4-FFF2-40B4-BE49-F238E27FC236}">
              <a16:creationId xmlns:a16="http://schemas.microsoft.com/office/drawing/2014/main" id="{7B94C9CB-E733-44A6-9905-DC4F9B849B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992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684</xdr:row>
      <xdr:rowOff>0</xdr:rowOff>
    </xdr:from>
    <xdr:to>
      <xdr:col>0</xdr:col>
      <xdr:colOff>9525</xdr:colOff>
      <xdr:row>684</xdr:row>
      <xdr:rowOff>9525</xdr:rowOff>
    </xdr:to>
    <xdr:pic>
      <xdr:nvPicPr>
        <xdr:cNvPr id="837" name="Obraz 836">
          <a:extLst>
            <a:ext uri="{FF2B5EF4-FFF2-40B4-BE49-F238E27FC236}">
              <a16:creationId xmlns:a16="http://schemas.microsoft.com/office/drawing/2014/main" id="{2361D885-7EBC-46DA-A59B-5F93CB792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30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688</xdr:row>
      <xdr:rowOff>0</xdr:rowOff>
    </xdr:from>
    <xdr:to>
      <xdr:col>0</xdr:col>
      <xdr:colOff>9525</xdr:colOff>
      <xdr:row>688</xdr:row>
      <xdr:rowOff>9525</xdr:rowOff>
    </xdr:to>
    <xdr:pic>
      <xdr:nvPicPr>
        <xdr:cNvPr id="838" name="Obraz 837">
          <a:extLst>
            <a:ext uri="{FF2B5EF4-FFF2-40B4-BE49-F238E27FC236}">
              <a16:creationId xmlns:a16="http://schemas.microsoft.com/office/drawing/2014/main" id="{C263C4C1-3BC4-42CB-A432-3095F8C8F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125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9525</xdr:colOff>
      <xdr:row>691</xdr:row>
      <xdr:rowOff>9525</xdr:rowOff>
    </xdr:to>
    <xdr:pic>
      <xdr:nvPicPr>
        <xdr:cNvPr id="839" name="Obraz 838">
          <a:extLst>
            <a:ext uri="{FF2B5EF4-FFF2-40B4-BE49-F238E27FC236}">
              <a16:creationId xmlns:a16="http://schemas.microsoft.com/office/drawing/2014/main" id="{6A7934EC-69FC-425E-9431-8BF92B3CA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1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695</xdr:row>
      <xdr:rowOff>0</xdr:rowOff>
    </xdr:from>
    <xdr:to>
      <xdr:col>0</xdr:col>
      <xdr:colOff>9525</xdr:colOff>
      <xdr:row>695</xdr:row>
      <xdr:rowOff>9525</xdr:rowOff>
    </xdr:to>
    <xdr:pic>
      <xdr:nvPicPr>
        <xdr:cNvPr id="840" name="Obraz 839">
          <a:extLst>
            <a:ext uri="{FF2B5EF4-FFF2-40B4-BE49-F238E27FC236}">
              <a16:creationId xmlns:a16="http://schemas.microsoft.com/office/drawing/2014/main" id="{887DB636-DD6F-4C48-8457-8FF0BAEC0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39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699</xdr:row>
      <xdr:rowOff>0</xdr:rowOff>
    </xdr:from>
    <xdr:to>
      <xdr:col>0</xdr:col>
      <xdr:colOff>9525</xdr:colOff>
      <xdr:row>699</xdr:row>
      <xdr:rowOff>9525</xdr:rowOff>
    </xdr:to>
    <xdr:pic>
      <xdr:nvPicPr>
        <xdr:cNvPr id="841" name="Obraz 840">
          <a:extLst>
            <a:ext uri="{FF2B5EF4-FFF2-40B4-BE49-F238E27FC236}">
              <a16:creationId xmlns:a16="http://schemas.microsoft.com/office/drawing/2014/main" id="{E47BF2AB-94D0-497F-99D2-4AE8CC862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5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702</xdr:row>
      <xdr:rowOff>0</xdr:rowOff>
    </xdr:from>
    <xdr:to>
      <xdr:col>0</xdr:col>
      <xdr:colOff>9525</xdr:colOff>
      <xdr:row>702</xdr:row>
      <xdr:rowOff>9525</xdr:rowOff>
    </xdr:to>
    <xdr:pic>
      <xdr:nvPicPr>
        <xdr:cNvPr id="842" name="Obraz 841">
          <a:extLst>
            <a:ext uri="{FF2B5EF4-FFF2-40B4-BE49-F238E27FC236}">
              <a16:creationId xmlns:a16="http://schemas.microsoft.com/office/drawing/2014/main" id="{C684CB88-F79E-4344-B258-2A4692E60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11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706</xdr:row>
      <xdr:rowOff>0</xdr:rowOff>
    </xdr:from>
    <xdr:to>
      <xdr:col>0</xdr:col>
      <xdr:colOff>9525</xdr:colOff>
      <xdr:row>706</xdr:row>
      <xdr:rowOff>9525</xdr:rowOff>
    </xdr:to>
    <xdr:pic>
      <xdr:nvPicPr>
        <xdr:cNvPr id="843" name="Obraz 842">
          <a:extLst>
            <a:ext uri="{FF2B5EF4-FFF2-40B4-BE49-F238E27FC236}">
              <a16:creationId xmlns:a16="http://schemas.microsoft.com/office/drawing/2014/main" id="{AB915F80-957B-48F1-B7B1-A18E549AD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49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709</xdr:row>
      <xdr:rowOff>0</xdr:rowOff>
    </xdr:from>
    <xdr:to>
      <xdr:col>0</xdr:col>
      <xdr:colOff>9525</xdr:colOff>
      <xdr:row>709</xdr:row>
      <xdr:rowOff>9525</xdr:rowOff>
    </xdr:to>
    <xdr:pic>
      <xdr:nvPicPr>
        <xdr:cNvPr id="844" name="Obraz 843">
          <a:extLst>
            <a:ext uri="{FF2B5EF4-FFF2-40B4-BE49-F238E27FC236}">
              <a16:creationId xmlns:a16="http://schemas.microsoft.com/office/drawing/2014/main" id="{88567F84-9EF8-4052-84D2-24DEA9C94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525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714</xdr:row>
      <xdr:rowOff>0</xdr:rowOff>
    </xdr:from>
    <xdr:to>
      <xdr:col>0</xdr:col>
      <xdr:colOff>9525</xdr:colOff>
      <xdr:row>714</xdr:row>
      <xdr:rowOff>9525</xdr:rowOff>
    </xdr:to>
    <xdr:pic>
      <xdr:nvPicPr>
        <xdr:cNvPr id="845" name="Obraz 844">
          <a:extLst>
            <a:ext uri="{FF2B5EF4-FFF2-40B4-BE49-F238E27FC236}">
              <a16:creationId xmlns:a16="http://schemas.microsoft.com/office/drawing/2014/main" id="{71C9F5A9-0D37-4DB0-BD34-F57014BB1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39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717</xdr:row>
      <xdr:rowOff>0</xdr:rowOff>
    </xdr:from>
    <xdr:to>
      <xdr:col>0</xdr:col>
      <xdr:colOff>9525</xdr:colOff>
      <xdr:row>717</xdr:row>
      <xdr:rowOff>9525</xdr:rowOff>
    </xdr:to>
    <xdr:pic>
      <xdr:nvPicPr>
        <xdr:cNvPr id="846" name="Obraz 845">
          <a:extLst>
            <a:ext uri="{FF2B5EF4-FFF2-40B4-BE49-F238E27FC236}">
              <a16:creationId xmlns:a16="http://schemas.microsoft.com/office/drawing/2014/main" id="{1ADF5E73-BB41-426D-A350-7A06C4894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716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0</xdr:col>
      <xdr:colOff>9525</xdr:colOff>
      <xdr:row>721</xdr:row>
      <xdr:rowOff>9525</xdr:rowOff>
    </xdr:to>
    <xdr:pic>
      <xdr:nvPicPr>
        <xdr:cNvPr id="847" name="Obraz 846">
          <a:extLst>
            <a:ext uri="{FF2B5EF4-FFF2-40B4-BE49-F238E27FC236}">
              <a16:creationId xmlns:a16="http://schemas.microsoft.com/office/drawing/2014/main" id="{07AC8952-17A7-4702-A62F-43887A116C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11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724</xdr:row>
      <xdr:rowOff>0</xdr:rowOff>
    </xdr:from>
    <xdr:to>
      <xdr:col>0</xdr:col>
      <xdr:colOff>9525</xdr:colOff>
      <xdr:row>724</xdr:row>
      <xdr:rowOff>9525</xdr:rowOff>
    </xdr:to>
    <xdr:pic>
      <xdr:nvPicPr>
        <xdr:cNvPr id="848" name="Obraz 847">
          <a:extLst>
            <a:ext uri="{FF2B5EF4-FFF2-40B4-BE49-F238E27FC236}">
              <a16:creationId xmlns:a16="http://schemas.microsoft.com/office/drawing/2014/main" id="{FC1F5724-A179-4441-8C0D-6F001073C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87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728</xdr:row>
      <xdr:rowOff>0</xdr:rowOff>
    </xdr:from>
    <xdr:to>
      <xdr:col>0</xdr:col>
      <xdr:colOff>9525</xdr:colOff>
      <xdr:row>728</xdr:row>
      <xdr:rowOff>9525</xdr:rowOff>
    </xdr:to>
    <xdr:pic>
      <xdr:nvPicPr>
        <xdr:cNvPr id="849" name="Obraz 848">
          <a:extLst>
            <a:ext uri="{FF2B5EF4-FFF2-40B4-BE49-F238E27FC236}">
              <a16:creationId xmlns:a16="http://schemas.microsoft.com/office/drawing/2014/main" id="{38C9E70D-BFF4-4A46-9699-F07FF29B8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68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731</xdr:row>
      <xdr:rowOff>0</xdr:rowOff>
    </xdr:from>
    <xdr:to>
      <xdr:col>0</xdr:col>
      <xdr:colOff>9525</xdr:colOff>
      <xdr:row>731</xdr:row>
      <xdr:rowOff>9525</xdr:rowOff>
    </xdr:to>
    <xdr:pic>
      <xdr:nvPicPr>
        <xdr:cNvPr id="850" name="Obraz 849">
          <a:extLst>
            <a:ext uri="{FF2B5EF4-FFF2-40B4-BE49-F238E27FC236}">
              <a16:creationId xmlns:a16="http://schemas.microsoft.com/office/drawing/2014/main" id="{06030BAF-DB86-49D7-8E4E-869F82F90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944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735</xdr:row>
      <xdr:rowOff>0</xdr:rowOff>
    </xdr:from>
    <xdr:to>
      <xdr:col>0</xdr:col>
      <xdr:colOff>9525</xdr:colOff>
      <xdr:row>735</xdr:row>
      <xdr:rowOff>9525</xdr:rowOff>
    </xdr:to>
    <xdr:pic>
      <xdr:nvPicPr>
        <xdr:cNvPr id="851" name="Obraz 850">
          <a:extLst>
            <a:ext uri="{FF2B5EF4-FFF2-40B4-BE49-F238E27FC236}">
              <a16:creationId xmlns:a16="http://schemas.microsoft.com/office/drawing/2014/main" id="{FF68AB17-B8CF-4C66-94BB-394B753CD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39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9525</xdr:colOff>
      <xdr:row>739</xdr:row>
      <xdr:rowOff>9525</xdr:rowOff>
    </xdr:to>
    <xdr:pic>
      <xdr:nvPicPr>
        <xdr:cNvPr id="852" name="Obraz 851">
          <a:extLst>
            <a:ext uri="{FF2B5EF4-FFF2-40B4-BE49-F238E27FC236}">
              <a16:creationId xmlns:a16="http://schemas.microsoft.com/office/drawing/2014/main" id="{DCD4ABCC-2729-41D7-9F3C-9C64598DC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35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739</xdr:row>
      <xdr:rowOff>0</xdr:rowOff>
    </xdr:from>
    <xdr:to>
      <xdr:col>0</xdr:col>
      <xdr:colOff>9525</xdr:colOff>
      <xdr:row>739</xdr:row>
      <xdr:rowOff>9525</xdr:rowOff>
    </xdr:to>
    <xdr:pic>
      <xdr:nvPicPr>
        <xdr:cNvPr id="853" name="Obraz 852">
          <a:extLst>
            <a:ext uri="{FF2B5EF4-FFF2-40B4-BE49-F238E27FC236}">
              <a16:creationId xmlns:a16="http://schemas.microsoft.com/office/drawing/2014/main" id="{7343E35A-D657-4502-BE98-3BCCE4ABF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92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741</xdr:row>
      <xdr:rowOff>0</xdr:rowOff>
    </xdr:from>
    <xdr:to>
      <xdr:col>0</xdr:col>
      <xdr:colOff>9525</xdr:colOff>
      <xdr:row>741</xdr:row>
      <xdr:rowOff>9525</xdr:rowOff>
    </xdr:to>
    <xdr:pic>
      <xdr:nvPicPr>
        <xdr:cNvPr id="854" name="Obraz 853">
          <a:extLst>
            <a:ext uri="{FF2B5EF4-FFF2-40B4-BE49-F238E27FC236}">
              <a16:creationId xmlns:a16="http://schemas.microsoft.com/office/drawing/2014/main" id="{D4065316-ADA0-420D-A0FB-3B32C50EB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16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744</xdr:row>
      <xdr:rowOff>0</xdr:rowOff>
    </xdr:from>
    <xdr:to>
      <xdr:col>0</xdr:col>
      <xdr:colOff>9525</xdr:colOff>
      <xdr:row>744</xdr:row>
      <xdr:rowOff>9525</xdr:rowOff>
    </xdr:to>
    <xdr:pic>
      <xdr:nvPicPr>
        <xdr:cNvPr id="855" name="Obraz 854">
          <a:extLst>
            <a:ext uri="{FF2B5EF4-FFF2-40B4-BE49-F238E27FC236}">
              <a16:creationId xmlns:a16="http://schemas.microsoft.com/office/drawing/2014/main" id="{F4779F99-00A2-4998-AD49-789A21F35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92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748</xdr:row>
      <xdr:rowOff>0</xdr:rowOff>
    </xdr:from>
    <xdr:to>
      <xdr:col>0</xdr:col>
      <xdr:colOff>9525</xdr:colOff>
      <xdr:row>748</xdr:row>
      <xdr:rowOff>9525</xdr:rowOff>
    </xdr:to>
    <xdr:pic>
      <xdr:nvPicPr>
        <xdr:cNvPr id="856" name="Obraz 855">
          <a:extLst>
            <a:ext uri="{FF2B5EF4-FFF2-40B4-BE49-F238E27FC236}">
              <a16:creationId xmlns:a16="http://schemas.microsoft.com/office/drawing/2014/main" id="{4F640EE0-1E2D-49EC-B89A-870F4E8E5F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87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752</xdr:row>
      <xdr:rowOff>0</xdr:rowOff>
    </xdr:from>
    <xdr:to>
      <xdr:col>0</xdr:col>
      <xdr:colOff>9525</xdr:colOff>
      <xdr:row>752</xdr:row>
      <xdr:rowOff>9525</xdr:rowOff>
    </xdr:to>
    <xdr:pic>
      <xdr:nvPicPr>
        <xdr:cNvPr id="857" name="Obraz 856">
          <a:extLst>
            <a:ext uri="{FF2B5EF4-FFF2-40B4-BE49-F238E27FC236}">
              <a16:creationId xmlns:a16="http://schemas.microsoft.com/office/drawing/2014/main" id="{36D7C6D3-C092-4342-A184-E1A40EA0B4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82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0</xdr:col>
      <xdr:colOff>9525</xdr:colOff>
      <xdr:row>754</xdr:row>
      <xdr:rowOff>9525</xdr:rowOff>
    </xdr:to>
    <xdr:pic>
      <xdr:nvPicPr>
        <xdr:cNvPr id="858" name="Obraz 857">
          <a:extLst>
            <a:ext uri="{FF2B5EF4-FFF2-40B4-BE49-F238E27FC236}">
              <a16:creationId xmlns:a16="http://schemas.microsoft.com/office/drawing/2014/main" id="{B885D348-C3E1-4317-9B5E-14125A176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63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757</xdr:row>
      <xdr:rowOff>0</xdr:rowOff>
    </xdr:from>
    <xdr:to>
      <xdr:col>0</xdr:col>
      <xdr:colOff>9525</xdr:colOff>
      <xdr:row>757</xdr:row>
      <xdr:rowOff>9525</xdr:rowOff>
    </xdr:to>
    <xdr:pic>
      <xdr:nvPicPr>
        <xdr:cNvPr id="859" name="Obraz 858">
          <a:extLst>
            <a:ext uri="{FF2B5EF4-FFF2-40B4-BE49-F238E27FC236}">
              <a16:creationId xmlns:a16="http://schemas.microsoft.com/office/drawing/2014/main" id="{7055AB4F-51CA-476A-BD38-F4E2DCF956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39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762</xdr:row>
      <xdr:rowOff>0</xdr:rowOff>
    </xdr:from>
    <xdr:to>
      <xdr:col>0</xdr:col>
      <xdr:colOff>9525</xdr:colOff>
      <xdr:row>762</xdr:row>
      <xdr:rowOff>9525</xdr:rowOff>
    </xdr:to>
    <xdr:pic>
      <xdr:nvPicPr>
        <xdr:cNvPr id="860" name="Obraz 859">
          <a:extLst>
            <a:ext uri="{FF2B5EF4-FFF2-40B4-BE49-F238E27FC236}">
              <a16:creationId xmlns:a16="http://schemas.microsoft.com/office/drawing/2014/main" id="{C05D0E71-D4E5-4C5E-B1E4-DFF39BD64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54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765</xdr:row>
      <xdr:rowOff>0</xdr:rowOff>
    </xdr:from>
    <xdr:to>
      <xdr:col>0</xdr:col>
      <xdr:colOff>9525</xdr:colOff>
      <xdr:row>765</xdr:row>
      <xdr:rowOff>9525</xdr:rowOff>
    </xdr:to>
    <xdr:pic>
      <xdr:nvPicPr>
        <xdr:cNvPr id="861" name="Obraz 860">
          <a:extLst>
            <a:ext uri="{FF2B5EF4-FFF2-40B4-BE49-F238E27FC236}">
              <a16:creationId xmlns:a16="http://schemas.microsoft.com/office/drawing/2014/main" id="{880F4B19-3237-4272-A21C-8F08D22498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573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0</xdr:col>
      <xdr:colOff>9525</xdr:colOff>
      <xdr:row>768</xdr:row>
      <xdr:rowOff>9525</xdr:rowOff>
    </xdr:to>
    <xdr:pic>
      <xdr:nvPicPr>
        <xdr:cNvPr id="862" name="Obraz 861">
          <a:extLst>
            <a:ext uri="{FF2B5EF4-FFF2-40B4-BE49-F238E27FC236}">
              <a16:creationId xmlns:a16="http://schemas.microsoft.com/office/drawing/2014/main" id="{AE49873D-8A81-4A21-A74D-44DF7B658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49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773</xdr:row>
      <xdr:rowOff>0</xdr:rowOff>
    </xdr:from>
    <xdr:to>
      <xdr:col>0</xdr:col>
      <xdr:colOff>9525</xdr:colOff>
      <xdr:row>773</xdr:row>
      <xdr:rowOff>9525</xdr:rowOff>
    </xdr:to>
    <xdr:pic>
      <xdr:nvPicPr>
        <xdr:cNvPr id="863" name="Obraz 862">
          <a:extLst>
            <a:ext uri="{FF2B5EF4-FFF2-40B4-BE49-F238E27FC236}">
              <a16:creationId xmlns:a16="http://schemas.microsoft.com/office/drawing/2014/main" id="{C6E4C8A6-2766-4884-98D4-86C00F7E3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63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776</xdr:row>
      <xdr:rowOff>0</xdr:rowOff>
    </xdr:from>
    <xdr:to>
      <xdr:col>0</xdr:col>
      <xdr:colOff>9525</xdr:colOff>
      <xdr:row>776</xdr:row>
      <xdr:rowOff>9525</xdr:rowOff>
    </xdr:to>
    <xdr:pic>
      <xdr:nvPicPr>
        <xdr:cNvPr id="864" name="Obraz 863">
          <a:extLst>
            <a:ext uri="{FF2B5EF4-FFF2-40B4-BE49-F238E27FC236}">
              <a16:creationId xmlns:a16="http://schemas.microsoft.com/office/drawing/2014/main" id="{BDC1AED0-CA1C-43F6-BFB3-26DE26D18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82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780</xdr:row>
      <xdr:rowOff>0</xdr:rowOff>
    </xdr:from>
    <xdr:to>
      <xdr:col>0</xdr:col>
      <xdr:colOff>9525</xdr:colOff>
      <xdr:row>780</xdr:row>
      <xdr:rowOff>9525</xdr:rowOff>
    </xdr:to>
    <xdr:pic>
      <xdr:nvPicPr>
        <xdr:cNvPr id="865" name="Obraz 864">
          <a:extLst>
            <a:ext uri="{FF2B5EF4-FFF2-40B4-BE49-F238E27FC236}">
              <a16:creationId xmlns:a16="http://schemas.microsoft.com/office/drawing/2014/main" id="{12FBF7D2-5558-4752-ABF0-7C88CE294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78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784</xdr:row>
      <xdr:rowOff>0</xdr:rowOff>
    </xdr:from>
    <xdr:to>
      <xdr:col>0</xdr:col>
      <xdr:colOff>9525</xdr:colOff>
      <xdr:row>784</xdr:row>
      <xdr:rowOff>9525</xdr:rowOff>
    </xdr:to>
    <xdr:pic>
      <xdr:nvPicPr>
        <xdr:cNvPr id="866" name="Obraz 865">
          <a:extLst>
            <a:ext uri="{FF2B5EF4-FFF2-40B4-BE49-F238E27FC236}">
              <a16:creationId xmlns:a16="http://schemas.microsoft.com/office/drawing/2014/main" id="{C0744DE3-31D2-459E-AF35-9BB421685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973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788</xdr:row>
      <xdr:rowOff>0</xdr:rowOff>
    </xdr:from>
    <xdr:to>
      <xdr:col>0</xdr:col>
      <xdr:colOff>9525</xdr:colOff>
      <xdr:row>788</xdr:row>
      <xdr:rowOff>9525</xdr:rowOff>
    </xdr:to>
    <xdr:pic>
      <xdr:nvPicPr>
        <xdr:cNvPr id="867" name="Obraz 866">
          <a:extLst>
            <a:ext uri="{FF2B5EF4-FFF2-40B4-BE49-F238E27FC236}">
              <a16:creationId xmlns:a16="http://schemas.microsoft.com/office/drawing/2014/main" id="{94048D67-B408-48BA-B08F-73AEC49C17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11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791</xdr:row>
      <xdr:rowOff>0</xdr:rowOff>
    </xdr:from>
    <xdr:to>
      <xdr:col>0</xdr:col>
      <xdr:colOff>9525</xdr:colOff>
      <xdr:row>791</xdr:row>
      <xdr:rowOff>9525</xdr:rowOff>
    </xdr:to>
    <xdr:pic>
      <xdr:nvPicPr>
        <xdr:cNvPr id="868" name="Obraz 867">
          <a:extLst>
            <a:ext uri="{FF2B5EF4-FFF2-40B4-BE49-F238E27FC236}">
              <a16:creationId xmlns:a16="http://schemas.microsoft.com/office/drawing/2014/main" id="{16826237-5895-4676-848F-485B54874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87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795</xdr:row>
      <xdr:rowOff>0</xdr:rowOff>
    </xdr:from>
    <xdr:to>
      <xdr:col>0</xdr:col>
      <xdr:colOff>9525</xdr:colOff>
      <xdr:row>795</xdr:row>
      <xdr:rowOff>9525</xdr:rowOff>
    </xdr:to>
    <xdr:pic>
      <xdr:nvPicPr>
        <xdr:cNvPr id="869" name="Obraz 868">
          <a:extLst>
            <a:ext uri="{FF2B5EF4-FFF2-40B4-BE49-F238E27FC236}">
              <a16:creationId xmlns:a16="http://schemas.microsoft.com/office/drawing/2014/main" id="{92212FAD-7C18-43F4-8873-CA01D3AC2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182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9525</xdr:colOff>
      <xdr:row>798</xdr:row>
      <xdr:rowOff>9525</xdr:rowOff>
    </xdr:to>
    <xdr:pic>
      <xdr:nvPicPr>
        <xdr:cNvPr id="870" name="Obraz 869">
          <a:extLst>
            <a:ext uri="{FF2B5EF4-FFF2-40B4-BE49-F238E27FC236}">
              <a16:creationId xmlns:a16="http://schemas.microsoft.com/office/drawing/2014/main" id="{466A177C-7BEA-4C01-9397-217576265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59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798</xdr:row>
      <xdr:rowOff>0</xdr:rowOff>
    </xdr:from>
    <xdr:to>
      <xdr:col>0</xdr:col>
      <xdr:colOff>9525</xdr:colOff>
      <xdr:row>798</xdr:row>
      <xdr:rowOff>9525</xdr:rowOff>
    </xdr:to>
    <xdr:pic>
      <xdr:nvPicPr>
        <xdr:cNvPr id="871" name="Obraz 870">
          <a:extLst>
            <a:ext uri="{FF2B5EF4-FFF2-40B4-BE49-F238E27FC236}">
              <a16:creationId xmlns:a16="http://schemas.microsoft.com/office/drawing/2014/main" id="{BF37489E-B81F-4AFF-B650-B0419F850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16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800</xdr:row>
      <xdr:rowOff>0</xdr:rowOff>
    </xdr:from>
    <xdr:to>
      <xdr:col>0</xdr:col>
      <xdr:colOff>9525</xdr:colOff>
      <xdr:row>800</xdr:row>
      <xdr:rowOff>9525</xdr:rowOff>
    </xdr:to>
    <xdr:pic>
      <xdr:nvPicPr>
        <xdr:cNvPr id="872" name="Obraz 871">
          <a:extLst>
            <a:ext uri="{FF2B5EF4-FFF2-40B4-BE49-F238E27FC236}">
              <a16:creationId xmlns:a16="http://schemas.microsoft.com/office/drawing/2014/main" id="{8098463F-41A2-4CE5-86F8-F98210FFD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40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804</xdr:row>
      <xdr:rowOff>0</xdr:rowOff>
    </xdr:from>
    <xdr:to>
      <xdr:col>0</xdr:col>
      <xdr:colOff>9525</xdr:colOff>
      <xdr:row>804</xdr:row>
      <xdr:rowOff>9525</xdr:rowOff>
    </xdr:to>
    <xdr:pic>
      <xdr:nvPicPr>
        <xdr:cNvPr id="873" name="Obraz 872">
          <a:extLst>
            <a:ext uri="{FF2B5EF4-FFF2-40B4-BE49-F238E27FC236}">
              <a16:creationId xmlns:a16="http://schemas.microsoft.com/office/drawing/2014/main" id="{103E1632-CE1B-4A36-884F-263371218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335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807</xdr:row>
      <xdr:rowOff>0</xdr:rowOff>
    </xdr:from>
    <xdr:to>
      <xdr:col>0</xdr:col>
      <xdr:colOff>9525</xdr:colOff>
      <xdr:row>807</xdr:row>
      <xdr:rowOff>9525</xdr:rowOff>
    </xdr:to>
    <xdr:pic>
      <xdr:nvPicPr>
        <xdr:cNvPr id="874" name="Obraz 873">
          <a:extLst>
            <a:ext uri="{FF2B5EF4-FFF2-40B4-BE49-F238E27FC236}">
              <a16:creationId xmlns:a16="http://schemas.microsoft.com/office/drawing/2014/main" id="{01278A70-D59F-4ABF-BD90-806A2AB00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11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9525</xdr:colOff>
      <xdr:row>810</xdr:row>
      <xdr:rowOff>9525</xdr:rowOff>
    </xdr:to>
    <xdr:pic>
      <xdr:nvPicPr>
        <xdr:cNvPr id="875" name="Obraz 874">
          <a:extLst>
            <a:ext uri="{FF2B5EF4-FFF2-40B4-BE49-F238E27FC236}">
              <a16:creationId xmlns:a16="http://schemas.microsoft.com/office/drawing/2014/main" id="{13D424C5-A892-49DC-B487-1F0D90DA6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87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810</xdr:row>
      <xdr:rowOff>0</xdr:rowOff>
    </xdr:from>
    <xdr:to>
      <xdr:col>0</xdr:col>
      <xdr:colOff>9525</xdr:colOff>
      <xdr:row>810</xdr:row>
      <xdr:rowOff>9525</xdr:rowOff>
    </xdr:to>
    <xdr:pic>
      <xdr:nvPicPr>
        <xdr:cNvPr id="876" name="Obraz 875">
          <a:extLst>
            <a:ext uri="{FF2B5EF4-FFF2-40B4-BE49-F238E27FC236}">
              <a16:creationId xmlns:a16="http://schemas.microsoft.com/office/drawing/2014/main" id="{D44566B8-E35B-463A-9487-68D0E72CA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25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812</xdr:row>
      <xdr:rowOff>0</xdr:rowOff>
    </xdr:from>
    <xdr:to>
      <xdr:col>0</xdr:col>
      <xdr:colOff>9525</xdr:colOff>
      <xdr:row>812</xdr:row>
      <xdr:rowOff>9525</xdr:rowOff>
    </xdr:to>
    <xdr:pic>
      <xdr:nvPicPr>
        <xdr:cNvPr id="877" name="Obraz 876">
          <a:extLst>
            <a:ext uri="{FF2B5EF4-FFF2-40B4-BE49-F238E27FC236}">
              <a16:creationId xmlns:a16="http://schemas.microsoft.com/office/drawing/2014/main" id="{672BE4C8-02C1-4A55-96DF-C837B03BF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68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815</xdr:row>
      <xdr:rowOff>0</xdr:rowOff>
    </xdr:from>
    <xdr:to>
      <xdr:col>0</xdr:col>
      <xdr:colOff>9525</xdr:colOff>
      <xdr:row>815</xdr:row>
      <xdr:rowOff>9525</xdr:rowOff>
    </xdr:to>
    <xdr:pic>
      <xdr:nvPicPr>
        <xdr:cNvPr id="878" name="Obraz 877">
          <a:extLst>
            <a:ext uri="{FF2B5EF4-FFF2-40B4-BE49-F238E27FC236}">
              <a16:creationId xmlns:a16="http://schemas.microsoft.com/office/drawing/2014/main" id="{A7901904-275E-473A-AA41-ADA76620B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544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0</xdr:col>
      <xdr:colOff>9525</xdr:colOff>
      <xdr:row>819</xdr:row>
      <xdr:rowOff>9525</xdr:rowOff>
    </xdr:to>
    <xdr:pic>
      <xdr:nvPicPr>
        <xdr:cNvPr id="879" name="Obraz 878">
          <a:extLst>
            <a:ext uri="{FF2B5EF4-FFF2-40B4-BE49-F238E27FC236}">
              <a16:creationId xmlns:a16="http://schemas.microsoft.com/office/drawing/2014/main" id="{67560B53-540F-408F-A2DE-0FAA5BF47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40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823</xdr:row>
      <xdr:rowOff>0</xdr:rowOff>
    </xdr:from>
    <xdr:to>
      <xdr:col>0</xdr:col>
      <xdr:colOff>9525</xdr:colOff>
      <xdr:row>823</xdr:row>
      <xdr:rowOff>9525</xdr:rowOff>
    </xdr:to>
    <xdr:pic>
      <xdr:nvPicPr>
        <xdr:cNvPr id="880" name="Obraz 879">
          <a:extLst>
            <a:ext uri="{FF2B5EF4-FFF2-40B4-BE49-F238E27FC236}">
              <a16:creationId xmlns:a16="http://schemas.microsoft.com/office/drawing/2014/main" id="{02D0871A-CAE7-40FC-A399-72FA2C104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78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826</xdr:row>
      <xdr:rowOff>0</xdr:rowOff>
    </xdr:from>
    <xdr:to>
      <xdr:col>0</xdr:col>
      <xdr:colOff>9525</xdr:colOff>
      <xdr:row>826</xdr:row>
      <xdr:rowOff>9525</xdr:rowOff>
    </xdr:to>
    <xdr:pic>
      <xdr:nvPicPr>
        <xdr:cNvPr id="881" name="Obraz 880">
          <a:extLst>
            <a:ext uri="{FF2B5EF4-FFF2-40B4-BE49-F238E27FC236}">
              <a16:creationId xmlns:a16="http://schemas.microsoft.com/office/drawing/2014/main" id="{F5E92157-85F2-4A6D-B2B0-065B06DCCD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754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0</xdr:col>
      <xdr:colOff>9525</xdr:colOff>
      <xdr:row>830</xdr:row>
      <xdr:rowOff>9525</xdr:rowOff>
    </xdr:to>
    <xdr:pic>
      <xdr:nvPicPr>
        <xdr:cNvPr id="882" name="Obraz 881">
          <a:extLst>
            <a:ext uri="{FF2B5EF4-FFF2-40B4-BE49-F238E27FC236}">
              <a16:creationId xmlns:a16="http://schemas.microsoft.com/office/drawing/2014/main" id="{768BE302-334E-4EAC-816B-AD8D011B2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49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834</xdr:row>
      <xdr:rowOff>0</xdr:rowOff>
    </xdr:from>
    <xdr:to>
      <xdr:col>0</xdr:col>
      <xdr:colOff>9525</xdr:colOff>
      <xdr:row>834</xdr:row>
      <xdr:rowOff>9525</xdr:rowOff>
    </xdr:to>
    <xdr:pic>
      <xdr:nvPicPr>
        <xdr:cNvPr id="883" name="Obraz 882">
          <a:extLst>
            <a:ext uri="{FF2B5EF4-FFF2-40B4-BE49-F238E27FC236}">
              <a16:creationId xmlns:a16="http://schemas.microsoft.com/office/drawing/2014/main" id="{3014C157-562E-49CE-B350-51639C390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87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837</xdr:row>
      <xdr:rowOff>0</xdr:rowOff>
    </xdr:from>
    <xdr:to>
      <xdr:col>0</xdr:col>
      <xdr:colOff>9525</xdr:colOff>
      <xdr:row>837</xdr:row>
      <xdr:rowOff>9525</xdr:rowOff>
    </xdr:to>
    <xdr:pic>
      <xdr:nvPicPr>
        <xdr:cNvPr id="884" name="Obraz 883">
          <a:extLst>
            <a:ext uri="{FF2B5EF4-FFF2-40B4-BE49-F238E27FC236}">
              <a16:creationId xmlns:a16="http://schemas.microsoft.com/office/drawing/2014/main" id="{B8C3F24D-8380-4934-8B77-DDE783FBA3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963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842</xdr:row>
      <xdr:rowOff>0</xdr:rowOff>
    </xdr:from>
    <xdr:to>
      <xdr:col>0</xdr:col>
      <xdr:colOff>9525</xdr:colOff>
      <xdr:row>842</xdr:row>
      <xdr:rowOff>9525</xdr:rowOff>
    </xdr:to>
    <xdr:pic>
      <xdr:nvPicPr>
        <xdr:cNvPr id="885" name="Obraz 884">
          <a:extLst>
            <a:ext uri="{FF2B5EF4-FFF2-40B4-BE49-F238E27FC236}">
              <a16:creationId xmlns:a16="http://schemas.microsoft.com/office/drawing/2014/main" id="{97AAA2BA-CDAB-4339-A516-BCCA3440E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78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9525</xdr:colOff>
      <xdr:row>845</xdr:row>
      <xdr:rowOff>9525</xdr:rowOff>
    </xdr:to>
    <xdr:pic>
      <xdr:nvPicPr>
        <xdr:cNvPr id="886" name="Obraz 885">
          <a:extLst>
            <a:ext uri="{FF2B5EF4-FFF2-40B4-BE49-F238E27FC236}">
              <a16:creationId xmlns:a16="http://schemas.microsoft.com/office/drawing/2014/main" id="{12F7CA11-2029-4BC7-866C-FC8DC0DFE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97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849</xdr:row>
      <xdr:rowOff>0</xdr:rowOff>
    </xdr:from>
    <xdr:to>
      <xdr:col>0</xdr:col>
      <xdr:colOff>9525</xdr:colOff>
      <xdr:row>849</xdr:row>
      <xdr:rowOff>9525</xdr:rowOff>
    </xdr:to>
    <xdr:pic>
      <xdr:nvPicPr>
        <xdr:cNvPr id="887" name="Obraz 886">
          <a:extLst>
            <a:ext uri="{FF2B5EF4-FFF2-40B4-BE49-F238E27FC236}">
              <a16:creationId xmlns:a16="http://schemas.microsoft.com/office/drawing/2014/main" id="{30968070-FC0B-4EF7-90EF-301F1E77D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92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853</xdr:row>
      <xdr:rowOff>0</xdr:rowOff>
    </xdr:from>
    <xdr:to>
      <xdr:col>0</xdr:col>
      <xdr:colOff>9525</xdr:colOff>
      <xdr:row>853</xdr:row>
      <xdr:rowOff>9525</xdr:rowOff>
    </xdr:to>
    <xdr:pic>
      <xdr:nvPicPr>
        <xdr:cNvPr id="888" name="Obraz 887">
          <a:extLst>
            <a:ext uri="{FF2B5EF4-FFF2-40B4-BE49-F238E27FC236}">
              <a16:creationId xmlns:a16="http://schemas.microsoft.com/office/drawing/2014/main" id="{7079C4FC-3B5E-41FB-8A4C-BD13A9B5C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87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855</xdr:row>
      <xdr:rowOff>0</xdr:rowOff>
    </xdr:from>
    <xdr:to>
      <xdr:col>0</xdr:col>
      <xdr:colOff>9525</xdr:colOff>
      <xdr:row>855</xdr:row>
      <xdr:rowOff>9525</xdr:rowOff>
    </xdr:to>
    <xdr:pic>
      <xdr:nvPicPr>
        <xdr:cNvPr id="889" name="Obraz 888">
          <a:extLst>
            <a:ext uri="{FF2B5EF4-FFF2-40B4-BE49-F238E27FC236}">
              <a16:creationId xmlns:a16="http://schemas.microsoft.com/office/drawing/2014/main" id="{CA20B57D-B1DD-4550-BF9C-7671D83EE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44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857</xdr:row>
      <xdr:rowOff>0</xdr:rowOff>
    </xdr:from>
    <xdr:to>
      <xdr:col>0</xdr:col>
      <xdr:colOff>9525</xdr:colOff>
      <xdr:row>857</xdr:row>
      <xdr:rowOff>9525</xdr:rowOff>
    </xdr:to>
    <xdr:pic>
      <xdr:nvPicPr>
        <xdr:cNvPr id="890" name="Obraz 889">
          <a:extLst>
            <a:ext uri="{FF2B5EF4-FFF2-40B4-BE49-F238E27FC236}">
              <a16:creationId xmlns:a16="http://schemas.microsoft.com/office/drawing/2014/main" id="{60D557A4-A1A9-4F39-AE04-EBDCE2729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25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860</xdr:row>
      <xdr:rowOff>0</xdr:rowOff>
    </xdr:from>
    <xdr:to>
      <xdr:col>0</xdr:col>
      <xdr:colOff>9525</xdr:colOff>
      <xdr:row>860</xdr:row>
      <xdr:rowOff>9525</xdr:rowOff>
    </xdr:to>
    <xdr:pic>
      <xdr:nvPicPr>
        <xdr:cNvPr id="891" name="Obraz 890">
          <a:extLst>
            <a:ext uri="{FF2B5EF4-FFF2-40B4-BE49-F238E27FC236}">
              <a16:creationId xmlns:a16="http://schemas.microsoft.com/office/drawing/2014/main" id="{DA669B26-BA28-4E42-BDFC-61CB5CB2F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864</xdr:row>
      <xdr:rowOff>0</xdr:rowOff>
    </xdr:from>
    <xdr:to>
      <xdr:col>0</xdr:col>
      <xdr:colOff>9525</xdr:colOff>
      <xdr:row>864</xdr:row>
      <xdr:rowOff>9525</xdr:rowOff>
    </xdr:to>
    <xdr:pic>
      <xdr:nvPicPr>
        <xdr:cNvPr id="892" name="Obraz 891">
          <a:extLst>
            <a:ext uri="{FF2B5EF4-FFF2-40B4-BE49-F238E27FC236}">
              <a16:creationId xmlns:a16="http://schemas.microsoft.com/office/drawing/2014/main" id="{2509197F-389B-4311-8362-B861DB996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97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867</xdr:row>
      <xdr:rowOff>0</xdr:rowOff>
    </xdr:from>
    <xdr:to>
      <xdr:col>0</xdr:col>
      <xdr:colOff>9525</xdr:colOff>
      <xdr:row>867</xdr:row>
      <xdr:rowOff>9525</xdr:rowOff>
    </xdr:to>
    <xdr:pic>
      <xdr:nvPicPr>
        <xdr:cNvPr id="893" name="Obraz 892">
          <a:extLst>
            <a:ext uri="{FF2B5EF4-FFF2-40B4-BE49-F238E27FC236}">
              <a16:creationId xmlns:a16="http://schemas.microsoft.com/office/drawing/2014/main" id="{C6C37F97-B16A-4D74-BBEC-1436580F7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3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9525</xdr:colOff>
      <xdr:row>868</xdr:row>
      <xdr:rowOff>9525</xdr:rowOff>
    </xdr:to>
    <xdr:pic>
      <xdr:nvPicPr>
        <xdr:cNvPr id="894" name="Obraz 893">
          <a:extLst>
            <a:ext uri="{FF2B5EF4-FFF2-40B4-BE49-F238E27FC236}">
              <a16:creationId xmlns:a16="http://schemas.microsoft.com/office/drawing/2014/main" id="{1383F3CF-D109-4173-8E54-13C1BF8AA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11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868</xdr:row>
      <xdr:rowOff>0</xdr:rowOff>
    </xdr:from>
    <xdr:to>
      <xdr:col>0</xdr:col>
      <xdr:colOff>9525</xdr:colOff>
      <xdr:row>868</xdr:row>
      <xdr:rowOff>9525</xdr:rowOff>
    </xdr:to>
    <xdr:pic>
      <xdr:nvPicPr>
        <xdr:cNvPr id="895" name="Obraz 894">
          <a:extLst>
            <a:ext uri="{FF2B5EF4-FFF2-40B4-BE49-F238E27FC236}">
              <a16:creationId xmlns:a16="http://schemas.microsoft.com/office/drawing/2014/main" id="{0034FAAE-42C2-4121-BC20-F02E74643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49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869</xdr:row>
      <xdr:rowOff>0</xdr:rowOff>
    </xdr:from>
    <xdr:to>
      <xdr:col>0</xdr:col>
      <xdr:colOff>9525</xdr:colOff>
      <xdr:row>869</xdr:row>
      <xdr:rowOff>9525</xdr:rowOff>
    </xdr:to>
    <xdr:pic>
      <xdr:nvPicPr>
        <xdr:cNvPr id="896" name="Obraz 895">
          <a:extLst>
            <a:ext uri="{FF2B5EF4-FFF2-40B4-BE49-F238E27FC236}">
              <a16:creationId xmlns:a16="http://schemas.microsoft.com/office/drawing/2014/main" id="{729E2BC0-CFE1-4DAF-B42E-5FF2852A1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87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871</xdr:row>
      <xdr:rowOff>0</xdr:rowOff>
    </xdr:from>
    <xdr:to>
      <xdr:col>0</xdr:col>
      <xdr:colOff>9525</xdr:colOff>
      <xdr:row>871</xdr:row>
      <xdr:rowOff>9525</xdr:rowOff>
    </xdr:to>
    <xdr:pic>
      <xdr:nvPicPr>
        <xdr:cNvPr id="897" name="Obraz 896">
          <a:extLst>
            <a:ext uri="{FF2B5EF4-FFF2-40B4-BE49-F238E27FC236}">
              <a16:creationId xmlns:a16="http://schemas.microsoft.com/office/drawing/2014/main" id="{88278699-A5FC-4BE1-BCAE-748E0DE0E1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44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875</xdr:row>
      <xdr:rowOff>0</xdr:rowOff>
    </xdr:from>
    <xdr:to>
      <xdr:col>0</xdr:col>
      <xdr:colOff>9525</xdr:colOff>
      <xdr:row>875</xdr:row>
      <xdr:rowOff>9525</xdr:rowOff>
    </xdr:to>
    <xdr:pic>
      <xdr:nvPicPr>
        <xdr:cNvPr id="898" name="Obraz 897">
          <a:extLst>
            <a:ext uri="{FF2B5EF4-FFF2-40B4-BE49-F238E27FC236}">
              <a16:creationId xmlns:a16="http://schemas.microsoft.com/office/drawing/2014/main" id="{7E770984-C2DC-4064-A4FF-ECC143744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40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878</xdr:row>
      <xdr:rowOff>0</xdr:rowOff>
    </xdr:from>
    <xdr:to>
      <xdr:col>0</xdr:col>
      <xdr:colOff>9525</xdr:colOff>
      <xdr:row>878</xdr:row>
      <xdr:rowOff>9525</xdr:rowOff>
    </xdr:to>
    <xdr:pic>
      <xdr:nvPicPr>
        <xdr:cNvPr id="899" name="Obraz 898">
          <a:extLst>
            <a:ext uri="{FF2B5EF4-FFF2-40B4-BE49-F238E27FC236}">
              <a16:creationId xmlns:a16="http://schemas.microsoft.com/office/drawing/2014/main" id="{57CE1747-161C-40D8-A936-B46060990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16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882</xdr:row>
      <xdr:rowOff>0</xdr:rowOff>
    </xdr:from>
    <xdr:to>
      <xdr:col>0</xdr:col>
      <xdr:colOff>9525</xdr:colOff>
      <xdr:row>882</xdr:row>
      <xdr:rowOff>9525</xdr:rowOff>
    </xdr:to>
    <xdr:pic>
      <xdr:nvPicPr>
        <xdr:cNvPr id="900" name="Obraz 899">
          <a:extLst>
            <a:ext uri="{FF2B5EF4-FFF2-40B4-BE49-F238E27FC236}">
              <a16:creationId xmlns:a16="http://schemas.microsoft.com/office/drawing/2014/main" id="{87BE188A-15A3-40F2-AAAE-7DF339AD5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02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886</xdr:row>
      <xdr:rowOff>0</xdr:rowOff>
    </xdr:from>
    <xdr:to>
      <xdr:col>0</xdr:col>
      <xdr:colOff>9525</xdr:colOff>
      <xdr:row>886</xdr:row>
      <xdr:rowOff>9525</xdr:rowOff>
    </xdr:to>
    <xdr:pic>
      <xdr:nvPicPr>
        <xdr:cNvPr id="901" name="Obraz 900">
          <a:extLst>
            <a:ext uri="{FF2B5EF4-FFF2-40B4-BE49-F238E27FC236}">
              <a16:creationId xmlns:a16="http://schemas.microsoft.com/office/drawing/2014/main" id="{0B429CCE-65BF-4E65-B564-2541728EF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97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889</xdr:row>
      <xdr:rowOff>0</xdr:rowOff>
    </xdr:from>
    <xdr:to>
      <xdr:col>0</xdr:col>
      <xdr:colOff>9525</xdr:colOff>
      <xdr:row>889</xdr:row>
      <xdr:rowOff>9525</xdr:rowOff>
    </xdr:to>
    <xdr:pic>
      <xdr:nvPicPr>
        <xdr:cNvPr id="902" name="Obraz 901">
          <a:extLst>
            <a:ext uri="{FF2B5EF4-FFF2-40B4-BE49-F238E27FC236}">
              <a16:creationId xmlns:a16="http://schemas.microsoft.com/office/drawing/2014/main" id="{295F54E5-0B52-4CEE-96E5-F9B0059355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973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893</xdr:row>
      <xdr:rowOff>0</xdr:rowOff>
    </xdr:from>
    <xdr:to>
      <xdr:col>0</xdr:col>
      <xdr:colOff>9525</xdr:colOff>
      <xdr:row>893</xdr:row>
      <xdr:rowOff>9525</xdr:rowOff>
    </xdr:to>
    <xdr:pic>
      <xdr:nvPicPr>
        <xdr:cNvPr id="903" name="Obraz 902">
          <a:extLst>
            <a:ext uri="{FF2B5EF4-FFF2-40B4-BE49-F238E27FC236}">
              <a16:creationId xmlns:a16="http://schemas.microsoft.com/office/drawing/2014/main" id="{D600B552-30A6-4B8E-A8EC-212D2BE8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11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897</xdr:row>
      <xdr:rowOff>0</xdr:rowOff>
    </xdr:from>
    <xdr:to>
      <xdr:col>0</xdr:col>
      <xdr:colOff>9525</xdr:colOff>
      <xdr:row>897</xdr:row>
      <xdr:rowOff>9525</xdr:rowOff>
    </xdr:to>
    <xdr:pic>
      <xdr:nvPicPr>
        <xdr:cNvPr id="904" name="Obraz 903">
          <a:extLst>
            <a:ext uri="{FF2B5EF4-FFF2-40B4-BE49-F238E27FC236}">
              <a16:creationId xmlns:a16="http://schemas.microsoft.com/office/drawing/2014/main" id="{17C5C90E-E7DF-4F2A-B09A-B8BB8EEF6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06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900</xdr:row>
      <xdr:rowOff>0</xdr:rowOff>
    </xdr:from>
    <xdr:to>
      <xdr:col>0</xdr:col>
      <xdr:colOff>9525</xdr:colOff>
      <xdr:row>900</xdr:row>
      <xdr:rowOff>9525</xdr:rowOff>
    </xdr:to>
    <xdr:pic>
      <xdr:nvPicPr>
        <xdr:cNvPr id="905" name="Obraz 904">
          <a:extLst>
            <a:ext uri="{FF2B5EF4-FFF2-40B4-BE49-F238E27FC236}">
              <a16:creationId xmlns:a16="http://schemas.microsoft.com/office/drawing/2014/main" id="{7D82E603-A91E-46E2-AEDA-97BBC0DAD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183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904</xdr:row>
      <xdr:rowOff>0</xdr:rowOff>
    </xdr:from>
    <xdr:to>
      <xdr:col>0</xdr:col>
      <xdr:colOff>9525</xdr:colOff>
      <xdr:row>904</xdr:row>
      <xdr:rowOff>9525</xdr:rowOff>
    </xdr:to>
    <xdr:pic>
      <xdr:nvPicPr>
        <xdr:cNvPr id="906" name="Obraz 905">
          <a:extLst>
            <a:ext uri="{FF2B5EF4-FFF2-40B4-BE49-F238E27FC236}">
              <a16:creationId xmlns:a16="http://schemas.microsoft.com/office/drawing/2014/main" id="{CA0CCE18-33CA-4D32-8267-B11F37DCB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78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907</xdr:row>
      <xdr:rowOff>0</xdr:rowOff>
    </xdr:from>
    <xdr:to>
      <xdr:col>0</xdr:col>
      <xdr:colOff>9525</xdr:colOff>
      <xdr:row>907</xdr:row>
      <xdr:rowOff>9525</xdr:rowOff>
    </xdr:to>
    <xdr:pic>
      <xdr:nvPicPr>
        <xdr:cNvPr id="907" name="Obraz 906">
          <a:extLst>
            <a:ext uri="{FF2B5EF4-FFF2-40B4-BE49-F238E27FC236}">
              <a16:creationId xmlns:a16="http://schemas.microsoft.com/office/drawing/2014/main" id="{FB2576E5-1C0E-408A-ADFF-82CB6A79C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354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912</xdr:row>
      <xdr:rowOff>0</xdr:rowOff>
    </xdr:from>
    <xdr:to>
      <xdr:col>0</xdr:col>
      <xdr:colOff>9525</xdr:colOff>
      <xdr:row>912</xdr:row>
      <xdr:rowOff>9525</xdr:rowOff>
    </xdr:to>
    <xdr:pic>
      <xdr:nvPicPr>
        <xdr:cNvPr id="908" name="Obraz 907">
          <a:extLst>
            <a:ext uri="{FF2B5EF4-FFF2-40B4-BE49-F238E27FC236}">
              <a16:creationId xmlns:a16="http://schemas.microsoft.com/office/drawing/2014/main" id="{0BD97C08-D34C-4D48-9862-C4598269E7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68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915</xdr:row>
      <xdr:rowOff>0</xdr:rowOff>
    </xdr:from>
    <xdr:to>
      <xdr:col>0</xdr:col>
      <xdr:colOff>9525</xdr:colOff>
      <xdr:row>915</xdr:row>
      <xdr:rowOff>9525</xdr:rowOff>
    </xdr:to>
    <xdr:pic>
      <xdr:nvPicPr>
        <xdr:cNvPr id="909" name="Obraz 908">
          <a:extLst>
            <a:ext uri="{FF2B5EF4-FFF2-40B4-BE49-F238E27FC236}">
              <a16:creationId xmlns:a16="http://schemas.microsoft.com/office/drawing/2014/main" id="{4FF5ACEC-4E4C-4587-959C-0F904D7FC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30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919</xdr:row>
      <xdr:rowOff>0</xdr:rowOff>
    </xdr:from>
    <xdr:to>
      <xdr:col>0</xdr:col>
      <xdr:colOff>9525</xdr:colOff>
      <xdr:row>919</xdr:row>
      <xdr:rowOff>9525</xdr:rowOff>
    </xdr:to>
    <xdr:pic>
      <xdr:nvPicPr>
        <xdr:cNvPr id="910" name="Obraz 909">
          <a:extLst>
            <a:ext uri="{FF2B5EF4-FFF2-40B4-BE49-F238E27FC236}">
              <a16:creationId xmlns:a16="http://schemas.microsoft.com/office/drawing/2014/main" id="{E6B666E0-7E25-41EC-81F9-81545B89B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26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922</xdr:row>
      <xdr:rowOff>0</xdr:rowOff>
    </xdr:from>
    <xdr:to>
      <xdr:col>0</xdr:col>
      <xdr:colOff>9525</xdr:colOff>
      <xdr:row>922</xdr:row>
      <xdr:rowOff>9525</xdr:rowOff>
    </xdr:to>
    <xdr:pic>
      <xdr:nvPicPr>
        <xdr:cNvPr id="911" name="Obraz 910">
          <a:extLst>
            <a:ext uri="{FF2B5EF4-FFF2-40B4-BE49-F238E27FC236}">
              <a16:creationId xmlns:a16="http://schemas.microsoft.com/office/drawing/2014/main" id="{5FDCC5FC-B79C-4C11-BE85-C6930917D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02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0</xdr:col>
      <xdr:colOff>9525</xdr:colOff>
      <xdr:row>926</xdr:row>
      <xdr:rowOff>9525</xdr:rowOff>
    </xdr:to>
    <xdr:pic>
      <xdr:nvPicPr>
        <xdr:cNvPr id="912" name="Obraz 911">
          <a:extLst>
            <a:ext uri="{FF2B5EF4-FFF2-40B4-BE49-F238E27FC236}">
              <a16:creationId xmlns:a16="http://schemas.microsoft.com/office/drawing/2014/main" id="{B2BCEFE8-7CA5-4970-BDA0-820A91E83D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40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929</xdr:row>
      <xdr:rowOff>0</xdr:rowOff>
    </xdr:from>
    <xdr:to>
      <xdr:col>0</xdr:col>
      <xdr:colOff>9525</xdr:colOff>
      <xdr:row>929</xdr:row>
      <xdr:rowOff>9525</xdr:rowOff>
    </xdr:to>
    <xdr:pic>
      <xdr:nvPicPr>
        <xdr:cNvPr id="913" name="Obraz 912">
          <a:extLst>
            <a:ext uri="{FF2B5EF4-FFF2-40B4-BE49-F238E27FC236}">
              <a16:creationId xmlns:a16="http://schemas.microsoft.com/office/drawing/2014/main" id="{0B3E09E2-C73D-4206-990E-78061CC9D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716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933</xdr:row>
      <xdr:rowOff>0</xdr:rowOff>
    </xdr:from>
    <xdr:to>
      <xdr:col>0</xdr:col>
      <xdr:colOff>9525</xdr:colOff>
      <xdr:row>933</xdr:row>
      <xdr:rowOff>9525</xdr:rowOff>
    </xdr:to>
    <xdr:pic>
      <xdr:nvPicPr>
        <xdr:cNvPr id="914" name="Obraz 913">
          <a:extLst>
            <a:ext uri="{FF2B5EF4-FFF2-40B4-BE49-F238E27FC236}">
              <a16:creationId xmlns:a16="http://schemas.microsoft.com/office/drawing/2014/main" id="{054C22C1-B653-4E68-BB2C-DCDC75046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11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9525</xdr:colOff>
      <xdr:row>936</xdr:row>
      <xdr:rowOff>9525</xdr:rowOff>
    </xdr:to>
    <xdr:pic>
      <xdr:nvPicPr>
        <xdr:cNvPr id="915" name="Obraz 914">
          <a:extLst>
            <a:ext uri="{FF2B5EF4-FFF2-40B4-BE49-F238E27FC236}">
              <a16:creationId xmlns:a16="http://schemas.microsoft.com/office/drawing/2014/main" id="{A4B37BF4-0C1F-488D-90C6-26367F06D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7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936</xdr:row>
      <xdr:rowOff>0</xdr:rowOff>
    </xdr:from>
    <xdr:to>
      <xdr:col>0</xdr:col>
      <xdr:colOff>9525</xdr:colOff>
      <xdr:row>936</xdr:row>
      <xdr:rowOff>9525</xdr:rowOff>
    </xdr:to>
    <xdr:pic>
      <xdr:nvPicPr>
        <xdr:cNvPr id="916" name="Obraz 915">
          <a:extLst>
            <a:ext uri="{FF2B5EF4-FFF2-40B4-BE49-F238E27FC236}">
              <a16:creationId xmlns:a16="http://schemas.microsoft.com/office/drawing/2014/main" id="{5525380E-C7FF-48AD-AC55-9CEB412B4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26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9525</xdr:colOff>
      <xdr:row>937</xdr:row>
      <xdr:rowOff>9525</xdr:rowOff>
    </xdr:to>
    <xdr:pic>
      <xdr:nvPicPr>
        <xdr:cNvPr id="917" name="Obraz 916">
          <a:extLst>
            <a:ext uri="{FF2B5EF4-FFF2-40B4-BE49-F238E27FC236}">
              <a16:creationId xmlns:a16="http://schemas.microsoft.com/office/drawing/2014/main" id="{F52FD66C-815A-41FC-A341-EC99763E1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64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937</xdr:row>
      <xdr:rowOff>0</xdr:rowOff>
    </xdr:from>
    <xdr:to>
      <xdr:col>0</xdr:col>
      <xdr:colOff>9525</xdr:colOff>
      <xdr:row>937</xdr:row>
      <xdr:rowOff>9525</xdr:rowOff>
    </xdr:to>
    <xdr:pic>
      <xdr:nvPicPr>
        <xdr:cNvPr id="918" name="Obraz 917">
          <a:extLst>
            <a:ext uri="{FF2B5EF4-FFF2-40B4-BE49-F238E27FC236}">
              <a16:creationId xmlns:a16="http://schemas.microsoft.com/office/drawing/2014/main" id="{313A0CCE-9ACA-4472-938B-7C627AAF19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21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939</xdr:row>
      <xdr:rowOff>0</xdr:rowOff>
    </xdr:from>
    <xdr:to>
      <xdr:col>0</xdr:col>
      <xdr:colOff>9525</xdr:colOff>
      <xdr:row>939</xdr:row>
      <xdr:rowOff>9525</xdr:rowOff>
    </xdr:to>
    <xdr:pic>
      <xdr:nvPicPr>
        <xdr:cNvPr id="919" name="Obraz 918">
          <a:extLst>
            <a:ext uri="{FF2B5EF4-FFF2-40B4-BE49-F238E27FC236}">
              <a16:creationId xmlns:a16="http://schemas.microsoft.com/office/drawing/2014/main" id="{3D5C321E-10EC-4F30-85EA-1CA055B08C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87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0</xdr:col>
      <xdr:colOff>9525</xdr:colOff>
      <xdr:row>944</xdr:row>
      <xdr:rowOff>9525</xdr:rowOff>
    </xdr:to>
    <xdr:pic>
      <xdr:nvPicPr>
        <xdr:cNvPr id="920" name="Obraz 919">
          <a:extLst>
            <a:ext uri="{FF2B5EF4-FFF2-40B4-BE49-F238E27FC236}">
              <a16:creationId xmlns:a16="http://schemas.microsoft.com/office/drawing/2014/main" id="{C697A674-FB53-4DE6-AC0B-CBC9246B1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02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947</xdr:row>
      <xdr:rowOff>0</xdr:rowOff>
    </xdr:from>
    <xdr:to>
      <xdr:col>0</xdr:col>
      <xdr:colOff>9525</xdr:colOff>
      <xdr:row>947</xdr:row>
      <xdr:rowOff>9525</xdr:rowOff>
    </xdr:to>
    <xdr:pic>
      <xdr:nvPicPr>
        <xdr:cNvPr id="921" name="Obraz 920">
          <a:extLst>
            <a:ext uri="{FF2B5EF4-FFF2-40B4-BE49-F238E27FC236}">
              <a16:creationId xmlns:a16="http://schemas.microsoft.com/office/drawing/2014/main" id="{43E6A7FC-7D1B-44E5-98A1-60B5F54E5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78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9525</xdr:colOff>
      <xdr:row>950</xdr:row>
      <xdr:rowOff>9525</xdr:rowOff>
    </xdr:to>
    <xdr:pic>
      <xdr:nvPicPr>
        <xdr:cNvPr id="922" name="Obraz 921">
          <a:extLst>
            <a:ext uri="{FF2B5EF4-FFF2-40B4-BE49-F238E27FC236}">
              <a16:creationId xmlns:a16="http://schemas.microsoft.com/office/drawing/2014/main" id="{3F95278A-3C41-4CC5-A23D-A5C0B2D7F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54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950</xdr:row>
      <xdr:rowOff>0</xdr:rowOff>
    </xdr:from>
    <xdr:to>
      <xdr:col>0</xdr:col>
      <xdr:colOff>9525</xdr:colOff>
      <xdr:row>950</xdr:row>
      <xdr:rowOff>9525</xdr:rowOff>
    </xdr:to>
    <xdr:pic>
      <xdr:nvPicPr>
        <xdr:cNvPr id="923" name="Obraz 922">
          <a:extLst>
            <a:ext uri="{FF2B5EF4-FFF2-40B4-BE49-F238E27FC236}">
              <a16:creationId xmlns:a16="http://schemas.microsoft.com/office/drawing/2014/main" id="{0ED59F99-3E3B-446E-ADC3-7CED5565A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92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951</xdr:row>
      <xdr:rowOff>0</xdr:rowOff>
    </xdr:from>
    <xdr:to>
      <xdr:col>0</xdr:col>
      <xdr:colOff>9525</xdr:colOff>
      <xdr:row>951</xdr:row>
      <xdr:rowOff>9525</xdr:rowOff>
    </xdr:to>
    <xdr:pic>
      <xdr:nvPicPr>
        <xdr:cNvPr id="924" name="Obraz 923">
          <a:extLst>
            <a:ext uri="{FF2B5EF4-FFF2-40B4-BE49-F238E27FC236}">
              <a16:creationId xmlns:a16="http://schemas.microsoft.com/office/drawing/2014/main" id="{5C63B653-D270-4290-8CE7-B92494490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30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953</xdr:row>
      <xdr:rowOff>0</xdr:rowOff>
    </xdr:from>
    <xdr:to>
      <xdr:col>0</xdr:col>
      <xdr:colOff>9525</xdr:colOff>
      <xdr:row>953</xdr:row>
      <xdr:rowOff>9525</xdr:rowOff>
    </xdr:to>
    <xdr:pic>
      <xdr:nvPicPr>
        <xdr:cNvPr id="925" name="Obraz 924">
          <a:extLst>
            <a:ext uri="{FF2B5EF4-FFF2-40B4-BE49-F238E27FC236}">
              <a16:creationId xmlns:a16="http://schemas.microsoft.com/office/drawing/2014/main" id="{27CC2041-81B2-497C-BEF3-6279CC920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154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958</xdr:row>
      <xdr:rowOff>0</xdr:rowOff>
    </xdr:from>
    <xdr:to>
      <xdr:col>0</xdr:col>
      <xdr:colOff>9525</xdr:colOff>
      <xdr:row>958</xdr:row>
      <xdr:rowOff>9525</xdr:rowOff>
    </xdr:to>
    <xdr:pic>
      <xdr:nvPicPr>
        <xdr:cNvPr id="926" name="Obraz 925">
          <a:extLst>
            <a:ext uri="{FF2B5EF4-FFF2-40B4-BE49-F238E27FC236}">
              <a16:creationId xmlns:a16="http://schemas.microsoft.com/office/drawing/2014/main" id="{5C10D605-48A5-4006-9FB9-22D551C96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68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961</xdr:row>
      <xdr:rowOff>0</xdr:rowOff>
    </xdr:from>
    <xdr:to>
      <xdr:col>0</xdr:col>
      <xdr:colOff>9525</xdr:colOff>
      <xdr:row>961</xdr:row>
      <xdr:rowOff>9525</xdr:rowOff>
    </xdr:to>
    <xdr:pic>
      <xdr:nvPicPr>
        <xdr:cNvPr id="927" name="Obraz 926">
          <a:extLst>
            <a:ext uri="{FF2B5EF4-FFF2-40B4-BE49-F238E27FC236}">
              <a16:creationId xmlns:a16="http://schemas.microsoft.com/office/drawing/2014/main" id="{B07C5793-8F18-4A5B-91D1-80B138A15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45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964</xdr:row>
      <xdr:rowOff>0</xdr:rowOff>
    </xdr:from>
    <xdr:to>
      <xdr:col>0</xdr:col>
      <xdr:colOff>9525</xdr:colOff>
      <xdr:row>964</xdr:row>
      <xdr:rowOff>9525</xdr:rowOff>
    </xdr:to>
    <xdr:pic>
      <xdr:nvPicPr>
        <xdr:cNvPr id="928" name="Obraz 927">
          <a:extLst>
            <a:ext uri="{FF2B5EF4-FFF2-40B4-BE49-F238E27FC236}">
              <a16:creationId xmlns:a16="http://schemas.microsoft.com/office/drawing/2014/main" id="{A6E2958E-095A-47F3-8717-A344EB35A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364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967</xdr:row>
      <xdr:rowOff>0</xdr:rowOff>
    </xdr:from>
    <xdr:to>
      <xdr:col>0</xdr:col>
      <xdr:colOff>9525</xdr:colOff>
      <xdr:row>967</xdr:row>
      <xdr:rowOff>9525</xdr:rowOff>
    </xdr:to>
    <xdr:pic>
      <xdr:nvPicPr>
        <xdr:cNvPr id="929" name="Obraz 928">
          <a:extLst>
            <a:ext uri="{FF2B5EF4-FFF2-40B4-BE49-F238E27FC236}">
              <a16:creationId xmlns:a16="http://schemas.microsoft.com/office/drawing/2014/main" id="{A52E0D62-14ED-4952-B73D-4F842D74C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40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971</xdr:row>
      <xdr:rowOff>0</xdr:rowOff>
    </xdr:from>
    <xdr:to>
      <xdr:col>0</xdr:col>
      <xdr:colOff>9525</xdr:colOff>
      <xdr:row>971</xdr:row>
      <xdr:rowOff>9525</xdr:rowOff>
    </xdr:to>
    <xdr:pic>
      <xdr:nvPicPr>
        <xdr:cNvPr id="930" name="Obraz 929">
          <a:extLst>
            <a:ext uri="{FF2B5EF4-FFF2-40B4-BE49-F238E27FC236}">
              <a16:creationId xmlns:a16="http://schemas.microsoft.com/office/drawing/2014/main" id="{E660854B-C61A-4CB6-BC1C-91EA994D4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35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0</xdr:col>
      <xdr:colOff>9525</xdr:colOff>
      <xdr:row>975</xdr:row>
      <xdr:rowOff>9525</xdr:rowOff>
    </xdr:to>
    <xdr:pic>
      <xdr:nvPicPr>
        <xdr:cNvPr id="931" name="Obraz 930">
          <a:extLst>
            <a:ext uri="{FF2B5EF4-FFF2-40B4-BE49-F238E27FC236}">
              <a16:creationId xmlns:a16="http://schemas.microsoft.com/office/drawing/2014/main" id="{1AB5961E-5A67-495F-90ED-459F04008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573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978</xdr:row>
      <xdr:rowOff>0</xdr:rowOff>
    </xdr:from>
    <xdr:to>
      <xdr:col>0</xdr:col>
      <xdr:colOff>9525</xdr:colOff>
      <xdr:row>978</xdr:row>
      <xdr:rowOff>9525</xdr:rowOff>
    </xdr:to>
    <xdr:pic>
      <xdr:nvPicPr>
        <xdr:cNvPr id="932" name="Obraz 931">
          <a:extLst>
            <a:ext uri="{FF2B5EF4-FFF2-40B4-BE49-F238E27FC236}">
              <a16:creationId xmlns:a16="http://schemas.microsoft.com/office/drawing/2014/main" id="{E1BD0C5C-9E76-4884-BBEF-13EBFA2F3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49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982</xdr:row>
      <xdr:rowOff>0</xdr:rowOff>
    </xdr:from>
    <xdr:to>
      <xdr:col>0</xdr:col>
      <xdr:colOff>9525</xdr:colOff>
      <xdr:row>982</xdr:row>
      <xdr:rowOff>9525</xdr:rowOff>
    </xdr:to>
    <xdr:pic>
      <xdr:nvPicPr>
        <xdr:cNvPr id="933" name="Obraz 932">
          <a:extLst>
            <a:ext uri="{FF2B5EF4-FFF2-40B4-BE49-F238E27FC236}">
              <a16:creationId xmlns:a16="http://schemas.microsoft.com/office/drawing/2014/main" id="{E01CEEED-643F-4CD9-8DFC-2514E258B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45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986</xdr:row>
      <xdr:rowOff>0</xdr:rowOff>
    </xdr:from>
    <xdr:to>
      <xdr:col>0</xdr:col>
      <xdr:colOff>9525</xdr:colOff>
      <xdr:row>986</xdr:row>
      <xdr:rowOff>9525</xdr:rowOff>
    </xdr:to>
    <xdr:pic>
      <xdr:nvPicPr>
        <xdr:cNvPr id="934" name="Obraz 933">
          <a:extLst>
            <a:ext uri="{FF2B5EF4-FFF2-40B4-BE49-F238E27FC236}">
              <a16:creationId xmlns:a16="http://schemas.microsoft.com/office/drawing/2014/main" id="{333E63A0-2422-487C-9247-58DF1F353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783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990</xdr:row>
      <xdr:rowOff>0</xdr:rowOff>
    </xdr:from>
    <xdr:to>
      <xdr:col>0</xdr:col>
      <xdr:colOff>9525</xdr:colOff>
      <xdr:row>990</xdr:row>
      <xdr:rowOff>9525</xdr:rowOff>
    </xdr:to>
    <xdr:pic>
      <xdr:nvPicPr>
        <xdr:cNvPr id="935" name="Obraz 934">
          <a:extLst>
            <a:ext uri="{FF2B5EF4-FFF2-40B4-BE49-F238E27FC236}">
              <a16:creationId xmlns:a16="http://schemas.microsoft.com/office/drawing/2014/main" id="{93145E43-DA84-4A0F-B9A6-DEA17186E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78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993</xdr:row>
      <xdr:rowOff>0</xdr:rowOff>
    </xdr:from>
    <xdr:to>
      <xdr:col>0</xdr:col>
      <xdr:colOff>9525</xdr:colOff>
      <xdr:row>993</xdr:row>
      <xdr:rowOff>9525</xdr:rowOff>
    </xdr:to>
    <xdr:pic>
      <xdr:nvPicPr>
        <xdr:cNvPr id="936" name="Obraz 935">
          <a:extLst>
            <a:ext uri="{FF2B5EF4-FFF2-40B4-BE49-F238E27FC236}">
              <a16:creationId xmlns:a16="http://schemas.microsoft.com/office/drawing/2014/main" id="{F283B78E-6478-4ABD-84E4-EC71353D32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54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996</xdr:row>
      <xdr:rowOff>0</xdr:rowOff>
    </xdr:from>
    <xdr:to>
      <xdr:col>0</xdr:col>
      <xdr:colOff>9525</xdr:colOff>
      <xdr:row>996</xdr:row>
      <xdr:rowOff>9525</xdr:rowOff>
    </xdr:to>
    <xdr:pic>
      <xdr:nvPicPr>
        <xdr:cNvPr id="937" name="Obraz 936">
          <a:extLst>
            <a:ext uri="{FF2B5EF4-FFF2-40B4-BE49-F238E27FC236}">
              <a16:creationId xmlns:a16="http://schemas.microsoft.com/office/drawing/2014/main" id="{D54EC412-7597-4AC1-8B79-2B20C5F9D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30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998</xdr:row>
      <xdr:rowOff>0</xdr:rowOff>
    </xdr:from>
    <xdr:to>
      <xdr:col>0</xdr:col>
      <xdr:colOff>9525</xdr:colOff>
      <xdr:row>998</xdr:row>
      <xdr:rowOff>9525</xdr:rowOff>
    </xdr:to>
    <xdr:pic>
      <xdr:nvPicPr>
        <xdr:cNvPr id="938" name="Obraz 937">
          <a:extLst>
            <a:ext uri="{FF2B5EF4-FFF2-40B4-BE49-F238E27FC236}">
              <a16:creationId xmlns:a16="http://schemas.microsoft.com/office/drawing/2014/main" id="{D0875AC4-30FC-44EE-A626-084A94CD75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88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1002</xdr:row>
      <xdr:rowOff>0</xdr:rowOff>
    </xdr:from>
    <xdr:to>
      <xdr:col>0</xdr:col>
      <xdr:colOff>9525</xdr:colOff>
      <xdr:row>1002</xdr:row>
      <xdr:rowOff>9525</xdr:rowOff>
    </xdr:to>
    <xdr:pic>
      <xdr:nvPicPr>
        <xdr:cNvPr id="939" name="Obraz 938">
          <a:extLst>
            <a:ext uri="{FF2B5EF4-FFF2-40B4-BE49-F238E27FC236}">
              <a16:creationId xmlns:a16="http://schemas.microsoft.com/office/drawing/2014/main" id="{F7D997C1-CBD5-4FDA-94FC-74D794452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183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1005</xdr:row>
      <xdr:rowOff>0</xdr:rowOff>
    </xdr:from>
    <xdr:to>
      <xdr:col>0</xdr:col>
      <xdr:colOff>9525</xdr:colOff>
      <xdr:row>1005</xdr:row>
      <xdr:rowOff>9525</xdr:rowOff>
    </xdr:to>
    <xdr:pic>
      <xdr:nvPicPr>
        <xdr:cNvPr id="940" name="Obraz 939">
          <a:extLst>
            <a:ext uri="{FF2B5EF4-FFF2-40B4-BE49-F238E27FC236}">
              <a16:creationId xmlns:a16="http://schemas.microsoft.com/office/drawing/2014/main" id="{922210D4-3036-43D0-8A91-2837D0685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5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1009</xdr:row>
      <xdr:rowOff>0</xdr:rowOff>
    </xdr:from>
    <xdr:to>
      <xdr:col>0</xdr:col>
      <xdr:colOff>9525</xdr:colOff>
      <xdr:row>1009</xdr:row>
      <xdr:rowOff>9525</xdr:rowOff>
    </xdr:to>
    <xdr:pic>
      <xdr:nvPicPr>
        <xdr:cNvPr id="941" name="Obraz 940">
          <a:extLst>
            <a:ext uri="{FF2B5EF4-FFF2-40B4-BE49-F238E27FC236}">
              <a16:creationId xmlns:a16="http://schemas.microsoft.com/office/drawing/2014/main" id="{95B6683D-C9C8-48FE-A645-5D7071555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21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1012</xdr:row>
      <xdr:rowOff>0</xdr:rowOff>
    </xdr:from>
    <xdr:to>
      <xdr:col>0</xdr:col>
      <xdr:colOff>9525</xdr:colOff>
      <xdr:row>1012</xdr:row>
      <xdr:rowOff>9525</xdr:rowOff>
    </xdr:to>
    <xdr:pic>
      <xdr:nvPicPr>
        <xdr:cNvPr id="942" name="Obraz 941">
          <a:extLst>
            <a:ext uri="{FF2B5EF4-FFF2-40B4-BE49-F238E27FC236}">
              <a16:creationId xmlns:a16="http://schemas.microsoft.com/office/drawing/2014/main" id="{C418DB22-D314-453D-B70B-DDC5C2AF0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97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1017</xdr:row>
      <xdr:rowOff>0</xdr:rowOff>
    </xdr:from>
    <xdr:to>
      <xdr:col>0</xdr:col>
      <xdr:colOff>9525</xdr:colOff>
      <xdr:row>1017</xdr:row>
      <xdr:rowOff>9525</xdr:rowOff>
    </xdr:to>
    <xdr:pic>
      <xdr:nvPicPr>
        <xdr:cNvPr id="943" name="Obraz 942">
          <a:extLst>
            <a:ext uri="{FF2B5EF4-FFF2-40B4-BE49-F238E27FC236}">
              <a16:creationId xmlns:a16="http://schemas.microsoft.com/office/drawing/2014/main" id="{94BE1D8B-FE3A-4F4D-9A2F-5A1ECDF4C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11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0</xdr:col>
      <xdr:colOff>9525</xdr:colOff>
      <xdr:row>1019</xdr:row>
      <xdr:rowOff>9525</xdr:rowOff>
    </xdr:to>
    <xdr:pic>
      <xdr:nvPicPr>
        <xdr:cNvPr id="944" name="Obraz 943">
          <a:extLst>
            <a:ext uri="{FF2B5EF4-FFF2-40B4-BE49-F238E27FC236}">
              <a16:creationId xmlns:a16="http://schemas.microsoft.com/office/drawing/2014/main" id="{356DA545-4CEB-4B54-94AD-BE94CBDBA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69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1019</xdr:row>
      <xdr:rowOff>0</xdr:rowOff>
    </xdr:from>
    <xdr:to>
      <xdr:col>0</xdr:col>
      <xdr:colOff>9525</xdr:colOff>
      <xdr:row>1019</xdr:row>
      <xdr:rowOff>9525</xdr:rowOff>
    </xdr:to>
    <xdr:pic>
      <xdr:nvPicPr>
        <xdr:cNvPr id="945" name="Obraz 944">
          <a:extLst>
            <a:ext uri="{FF2B5EF4-FFF2-40B4-BE49-F238E27FC236}">
              <a16:creationId xmlns:a16="http://schemas.microsoft.com/office/drawing/2014/main" id="{B593456F-6C07-431D-B5A3-920AD377C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07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9525</xdr:colOff>
      <xdr:row>1020</xdr:row>
      <xdr:rowOff>9525</xdr:rowOff>
    </xdr:to>
    <xdr:pic>
      <xdr:nvPicPr>
        <xdr:cNvPr id="946" name="Obraz 945">
          <a:extLst>
            <a:ext uri="{FF2B5EF4-FFF2-40B4-BE49-F238E27FC236}">
              <a16:creationId xmlns:a16="http://schemas.microsoft.com/office/drawing/2014/main" id="{C61D7CC8-9D9E-45BF-8890-61C1711CE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45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1020</xdr:row>
      <xdr:rowOff>0</xdr:rowOff>
    </xdr:from>
    <xdr:to>
      <xdr:col>0</xdr:col>
      <xdr:colOff>9525</xdr:colOff>
      <xdr:row>1020</xdr:row>
      <xdr:rowOff>9525</xdr:rowOff>
    </xdr:to>
    <xdr:pic>
      <xdr:nvPicPr>
        <xdr:cNvPr id="947" name="Obraz 946">
          <a:extLst>
            <a:ext uri="{FF2B5EF4-FFF2-40B4-BE49-F238E27FC236}">
              <a16:creationId xmlns:a16="http://schemas.microsoft.com/office/drawing/2014/main" id="{B1781657-A48D-4FA9-B036-8ED5EEB32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83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1023</xdr:row>
      <xdr:rowOff>0</xdr:rowOff>
    </xdr:from>
    <xdr:to>
      <xdr:col>0</xdr:col>
      <xdr:colOff>9525</xdr:colOff>
      <xdr:row>1023</xdr:row>
      <xdr:rowOff>9525</xdr:rowOff>
    </xdr:to>
    <xdr:pic>
      <xdr:nvPicPr>
        <xdr:cNvPr id="948" name="Obraz 947">
          <a:extLst>
            <a:ext uri="{FF2B5EF4-FFF2-40B4-BE49-F238E27FC236}">
              <a16:creationId xmlns:a16="http://schemas.microsoft.com/office/drawing/2014/main" id="{5756B7B7-A6E0-4C74-98D2-6A7439858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88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1026</xdr:row>
      <xdr:rowOff>0</xdr:rowOff>
    </xdr:from>
    <xdr:to>
      <xdr:col>0</xdr:col>
      <xdr:colOff>9525</xdr:colOff>
      <xdr:row>1026</xdr:row>
      <xdr:rowOff>9525</xdr:rowOff>
    </xdr:to>
    <xdr:pic>
      <xdr:nvPicPr>
        <xdr:cNvPr id="949" name="Obraz 948">
          <a:extLst>
            <a:ext uri="{FF2B5EF4-FFF2-40B4-BE49-F238E27FC236}">
              <a16:creationId xmlns:a16="http://schemas.microsoft.com/office/drawing/2014/main" id="{E58559B5-780C-40BE-93C5-DE420D48E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564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9525</xdr:colOff>
      <xdr:row>1031</xdr:row>
      <xdr:rowOff>9525</xdr:rowOff>
    </xdr:to>
    <xdr:pic>
      <xdr:nvPicPr>
        <xdr:cNvPr id="950" name="Obraz 949">
          <a:extLst>
            <a:ext uri="{FF2B5EF4-FFF2-40B4-BE49-F238E27FC236}">
              <a16:creationId xmlns:a16="http://schemas.microsoft.com/office/drawing/2014/main" id="{3012EA93-EAE8-4C61-93EE-A7338B5E0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78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1034</xdr:row>
      <xdr:rowOff>0</xdr:rowOff>
    </xdr:from>
    <xdr:to>
      <xdr:col>0</xdr:col>
      <xdr:colOff>9525</xdr:colOff>
      <xdr:row>1034</xdr:row>
      <xdr:rowOff>9525</xdr:rowOff>
    </xdr:to>
    <xdr:pic>
      <xdr:nvPicPr>
        <xdr:cNvPr id="951" name="Obraz 950">
          <a:extLst>
            <a:ext uri="{FF2B5EF4-FFF2-40B4-BE49-F238E27FC236}">
              <a16:creationId xmlns:a16="http://schemas.microsoft.com/office/drawing/2014/main" id="{6A386241-E848-4CE4-8142-84C0F2887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97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1038</xdr:row>
      <xdr:rowOff>0</xdr:rowOff>
    </xdr:from>
    <xdr:to>
      <xdr:col>0</xdr:col>
      <xdr:colOff>9525</xdr:colOff>
      <xdr:row>1038</xdr:row>
      <xdr:rowOff>9525</xdr:rowOff>
    </xdr:to>
    <xdr:pic>
      <xdr:nvPicPr>
        <xdr:cNvPr id="952" name="Obraz 951">
          <a:extLst>
            <a:ext uri="{FF2B5EF4-FFF2-40B4-BE49-F238E27FC236}">
              <a16:creationId xmlns:a16="http://schemas.microsoft.com/office/drawing/2014/main" id="{DCF3D483-11C2-421B-8FC0-A5ECBAE075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92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1042</xdr:row>
      <xdr:rowOff>0</xdr:rowOff>
    </xdr:from>
    <xdr:to>
      <xdr:col>0</xdr:col>
      <xdr:colOff>9525</xdr:colOff>
      <xdr:row>1042</xdr:row>
      <xdr:rowOff>9525</xdr:rowOff>
    </xdr:to>
    <xdr:pic>
      <xdr:nvPicPr>
        <xdr:cNvPr id="953" name="Obraz 952">
          <a:extLst>
            <a:ext uri="{FF2B5EF4-FFF2-40B4-BE49-F238E27FC236}">
              <a16:creationId xmlns:a16="http://schemas.microsoft.com/office/drawing/2014/main" id="{79A23809-04E9-4BF3-8156-4CA5DA582C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88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1046</xdr:row>
      <xdr:rowOff>0</xdr:rowOff>
    </xdr:from>
    <xdr:to>
      <xdr:col>0</xdr:col>
      <xdr:colOff>9525</xdr:colOff>
      <xdr:row>1046</xdr:row>
      <xdr:rowOff>9525</xdr:rowOff>
    </xdr:to>
    <xdr:pic>
      <xdr:nvPicPr>
        <xdr:cNvPr id="954" name="Obraz 953">
          <a:extLst>
            <a:ext uri="{FF2B5EF4-FFF2-40B4-BE49-F238E27FC236}">
              <a16:creationId xmlns:a16="http://schemas.microsoft.com/office/drawing/2014/main" id="{7BB1CD87-152A-4205-9B03-CFDF11CD08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983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1051</xdr:row>
      <xdr:rowOff>0</xdr:rowOff>
    </xdr:from>
    <xdr:to>
      <xdr:col>0</xdr:col>
      <xdr:colOff>9525</xdr:colOff>
      <xdr:row>1051</xdr:row>
      <xdr:rowOff>9525</xdr:rowOff>
    </xdr:to>
    <xdr:pic>
      <xdr:nvPicPr>
        <xdr:cNvPr id="955" name="Obraz 954">
          <a:extLst>
            <a:ext uri="{FF2B5EF4-FFF2-40B4-BE49-F238E27FC236}">
              <a16:creationId xmlns:a16="http://schemas.microsoft.com/office/drawing/2014/main" id="{EB221C19-F2BF-4258-8279-53EE90F62D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97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1054</xdr:row>
      <xdr:rowOff>0</xdr:rowOff>
    </xdr:from>
    <xdr:to>
      <xdr:col>0</xdr:col>
      <xdr:colOff>9525</xdr:colOff>
      <xdr:row>1054</xdr:row>
      <xdr:rowOff>9525</xdr:rowOff>
    </xdr:to>
    <xdr:pic>
      <xdr:nvPicPr>
        <xdr:cNvPr id="956" name="Obraz 955">
          <a:extLst>
            <a:ext uri="{FF2B5EF4-FFF2-40B4-BE49-F238E27FC236}">
              <a16:creationId xmlns:a16="http://schemas.microsoft.com/office/drawing/2014/main" id="{F79875A9-036B-49CF-945F-D52CD1CC3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73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0</xdr:col>
      <xdr:colOff>9525</xdr:colOff>
      <xdr:row>1057</xdr:row>
      <xdr:rowOff>9525</xdr:rowOff>
    </xdr:to>
    <xdr:pic>
      <xdr:nvPicPr>
        <xdr:cNvPr id="957" name="Obraz 956">
          <a:extLst>
            <a:ext uri="{FF2B5EF4-FFF2-40B4-BE49-F238E27FC236}">
              <a16:creationId xmlns:a16="http://schemas.microsoft.com/office/drawing/2014/main" id="{79F2787C-58A2-4E2F-A98B-8B6626A36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35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1060</xdr:row>
      <xdr:rowOff>0</xdr:rowOff>
    </xdr:from>
    <xdr:to>
      <xdr:col>0</xdr:col>
      <xdr:colOff>9525</xdr:colOff>
      <xdr:row>1060</xdr:row>
      <xdr:rowOff>9525</xdr:rowOff>
    </xdr:to>
    <xdr:pic>
      <xdr:nvPicPr>
        <xdr:cNvPr id="958" name="Obraz 957">
          <a:extLst>
            <a:ext uri="{FF2B5EF4-FFF2-40B4-BE49-F238E27FC236}">
              <a16:creationId xmlns:a16="http://schemas.microsoft.com/office/drawing/2014/main" id="{983BF429-87AE-4566-BC60-A63700696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12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1064</xdr:row>
      <xdr:rowOff>0</xdr:rowOff>
    </xdr:from>
    <xdr:to>
      <xdr:col>0</xdr:col>
      <xdr:colOff>9525</xdr:colOff>
      <xdr:row>1064</xdr:row>
      <xdr:rowOff>9525</xdr:rowOff>
    </xdr:to>
    <xdr:pic>
      <xdr:nvPicPr>
        <xdr:cNvPr id="959" name="Obraz 958">
          <a:extLst>
            <a:ext uri="{FF2B5EF4-FFF2-40B4-BE49-F238E27FC236}">
              <a16:creationId xmlns:a16="http://schemas.microsoft.com/office/drawing/2014/main" id="{1A8C6CC3-D6DE-4F97-A135-6B84600DB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07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1067</xdr:row>
      <xdr:rowOff>0</xdr:rowOff>
    </xdr:from>
    <xdr:to>
      <xdr:col>0</xdr:col>
      <xdr:colOff>9525</xdr:colOff>
      <xdr:row>1067</xdr:row>
      <xdr:rowOff>9525</xdr:rowOff>
    </xdr:to>
    <xdr:pic>
      <xdr:nvPicPr>
        <xdr:cNvPr id="960" name="Obraz 959">
          <a:extLst>
            <a:ext uri="{FF2B5EF4-FFF2-40B4-BE49-F238E27FC236}">
              <a16:creationId xmlns:a16="http://schemas.microsoft.com/office/drawing/2014/main" id="{438F4A2D-774C-4D6A-9B1F-0132E41C84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83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9525</xdr:colOff>
      <xdr:row>1068</xdr:row>
      <xdr:rowOff>9525</xdr:rowOff>
    </xdr:to>
    <xdr:pic>
      <xdr:nvPicPr>
        <xdr:cNvPr id="961" name="Obraz 960">
          <a:extLst>
            <a:ext uri="{FF2B5EF4-FFF2-40B4-BE49-F238E27FC236}">
              <a16:creationId xmlns:a16="http://schemas.microsoft.com/office/drawing/2014/main" id="{CF963CB3-FF47-4AC7-9A0B-4C07E53D0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21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1068</xdr:row>
      <xdr:rowOff>0</xdr:rowOff>
    </xdr:from>
    <xdr:to>
      <xdr:col>0</xdr:col>
      <xdr:colOff>9525</xdr:colOff>
      <xdr:row>1068</xdr:row>
      <xdr:rowOff>9525</xdr:rowOff>
    </xdr:to>
    <xdr:pic>
      <xdr:nvPicPr>
        <xdr:cNvPr id="962" name="Obraz 961">
          <a:extLst>
            <a:ext uri="{FF2B5EF4-FFF2-40B4-BE49-F238E27FC236}">
              <a16:creationId xmlns:a16="http://schemas.microsoft.com/office/drawing/2014/main" id="{3A93B856-76FF-449B-A160-C1499028D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59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1069</xdr:row>
      <xdr:rowOff>0</xdr:rowOff>
    </xdr:from>
    <xdr:to>
      <xdr:col>0</xdr:col>
      <xdr:colOff>9525</xdr:colOff>
      <xdr:row>1069</xdr:row>
      <xdr:rowOff>9525</xdr:rowOff>
    </xdr:to>
    <xdr:pic>
      <xdr:nvPicPr>
        <xdr:cNvPr id="963" name="Obraz 962">
          <a:extLst>
            <a:ext uri="{FF2B5EF4-FFF2-40B4-BE49-F238E27FC236}">
              <a16:creationId xmlns:a16="http://schemas.microsoft.com/office/drawing/2014/main" id="{4818878F-3D23-45BB-8955-35E94BFDF7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97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0</xdr:col>
      <xdr:colOff>9525</xdr:colOff>
      <xdr:row>1071</xdr:row>
      <xdr:rowOff>9525</xdr:rowOff>
    </xdr:to>
    <xdr:pic>
      <xdr:nvPicPr>
        <xdr:cNvPr id="964" name="Obraz 963">
          <a:extLst>
            <a:ext uri="{FF2B5EF4-FFF2-40B4-BE49-F238E27FC236}">
              <a16:creationId xmlns:a16="http://schemas.microsoft.com/office/drawing/2014/main" id="{181838DC-6851-44F0-A95F-299769650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554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1074</xdr:row>
      <xdr:rowOff>0</xdr:rowOff>
    </xdr:from>
    <xdr:to>
      <xdr:col>0</xdr:col>
      <xdr:colOff>9525</xdr:colOff>
      <xdr:row>1074</xdr:row>
      <xdr:rowOff>9525</xdr:rowOff>
    </xdr:to>
    <xdr:pic>
      <xdr:nvPicPr>
        <xdr:cNvPr id="965" name="Obraz 964">
          <a:extLst>
            <a:ext uri="{FF2B5EF4-FFF2-40B4-BE49-F238E27FC236}">
              <a16:creationId xmlns:a16="http://schemas.microsoft.com/office/drawing/2014/main" id="{26B91B6D-5E11-430D-BFC6-D076068F5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31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1079</xdr:row>
      <xdr:rowOff>0</xdr:rowOff>
    </xdr:from>
    <xdr:to>
      <xdr:col>0</xdr:col>
      <xdr:colOff>9525</xdr:colOff>
      <xdr:row>1079</xdr:row>
      <xdr:rowOff>9525</xdr:rowOff>
    </xdr:to>
    <xdr:pic>
      <xdr:nvPicPr>
        <xdr:cNvPr id="966" name="Obraz 965">
          <a:extLst>
            <a:ext uri="{FF2B5EF4-FFF2-40B4-BE49-F238E27FC236}">
              <a16:creationId xmlns:a16="http://schemas.microsoft.com/office/drawing/2014/main" id="{4E9F1EEE-CE11-4993-8077-1DD89F530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45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1082</xdr:row>
      <xdr:rowOff>0</xdr:rowOff>
    </xdr:from>
    <xdr:to>
      <xdr:col>0</xdr:col>
      <xdr:colOff>9525</xdr:colOff>
      <xdr:row>1082</xdr:row>
      <xdr:rowOff>9525</xdr:rowOff>
    </xdr:to>
    <xdr:pic>
      <xdr:nvPicPr>
        <xdr:cNvPr id="967" name="Obraz 966">
          <a:extLst>
            <a:ext uri="{FF2B5EF4-FFF2-40B4-BE49-F238E27FC236}">
              <a16:creationId xmlns:a16="http://schemas.microsoft.com/office/drawing/2014/main" id="{0279625F-EE30-401D-A7CA-699CBFBEB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12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1086</xdr:row>
      <xdr:rowOff>0</xdr:rowOff>
    </xdr:from>
    <xdr:to>
      <xdr:col>0</xdr:col>
      <xdr:colOff>9525</xdr:colOff>
      <xdr:row>1086</xdr:row>
      <xdr:rowOff>9525</xdr:rowOff>
    </xdr:to>
    <xdr:pic>
      <xdr:nvPicPr>
        <xdr:cNvPr id="968" name="Obraz 967">
          <a:extLst>
            <a:ext uri="{FF2B5EF4-FFF2-40B4-BE49-F238E27FC236}">
              <a16:creationId xmlns:a16="http://schemas.microsoft.com/office/drawing/2014/main" id="{05EA3C7E-6AC4-4315-B02A-0BD9180E0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07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1089</xdr:row>
      <xdr:rowOff>0</xdr:rowOff>
    </xdr:from>
    <xdr:to>
      <xdr:col>0</xdr:col>
      <xdr:colOff>9525</xdr:colOff>
      <xdr:row>1089</xdr:row>
      <xdr:rowOff>9525</xdr:rowOff>
    </xdr:to>
    <xdr:pic>
      <xdr:nvPicPr>
        <xdr:cNvPr id="969" name="Obraz 968">
          <a:extLst>
            <a:ext uri="{FF2B5EF4-FFF2-40B4-BE49-F238E27FC236}">
              <a16:creationId xmlns:a16="http://schemas.microsoft.com/office/drawing/2014/main" id="{B9B85911-86BE-47F9-8C6E-DD44090C7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83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1093</xdr:row>
      <xdr:rowOff>0</xdr:rowOff>
    </xdr:from>
    <xdr:to>
      <xdr:col>0</xdr:col>
      <xdr:colOff>9525</xdr:colOff>
      <xdr:row>1093</xdr:row>
      <xdr:rowOff>9525</xdr:rowOff>
    </xdr:to>
    <xdr:pic>
      <xdr:nvPicPr>
        <xdr:cNvPr id="970" name="Obraz 969">
          <a:extLst>
            <a:ext uri="{FF2B5EF4-FFF2-40B4-BE49-F238E27FC236}">
              <a16:creationId xmlns:a16="http://schemas.microsoft.com/office/drawing/2014/main" id="{787932E0-CEE4-4A65-9D8F-DF8A34AB8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21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1096</xdr:row>
      <xdr:rowOff>0</xdr:rowOff>
    </xdr:from>
    <xdr:to>
      <xdr:col>0</xdr:col>
      <xdr:colOff>9525</xdr:colOff>
      <xdr:row>1096</xdr:row>
      <xdr:rowOff>9525</xdr:rowOff>
    </xdr:to>
    <xdr:pic>
      <xdr:nvPicPr>
        <xdr:cNvPr id="971" name="Obraz 970">
          <a:extLst>
            <a:ext uri="{FF2B5EF4-FFF2-40B4-BE49-F238E27FC236}">
              <a16:creationId xmlns:a16="http://schemas.microsoft.com/office/drawing/2014/main" id="{0EA415A7-8C98-407B-B242-870155C0D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97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1100</xdr:row>
      <xdr:rowOff>0</xdr:rowOff>
    </xdr:from>
    <xdr:to>
      <xdr:col>0</xdr:col>
      <xdr:colOff>9525</xdr:colOff>
      <xdr:row>1100</xdr:row>
      <xdr:rowOff>9525</xdr:rowOff>
    </xdr:to>
    <xdr:pic>
      <xdr:nvPicPr>
        <xdr:cNvPr id="972" name="Obraz 971">
          <a:extLst>
            <a:ext uri="{FF2B5EF4-FFF2-40B4-BE49-F238E27FC236}">
              <a16:creationId xmlns:a16="http://schemas.microsoft.com/office/drawing/2014/main" id="{5E32C863-5AFD-4D3F-AC24-2A7E088CE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93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1103</xdr:row>
      <xdr:rowOff>0</xdr:rowOff>
    </xdr:from>
    <xdr:to>
      <xdr:col>0</xdr:col>
      <xdr:colOff>9525</xdr:colOff>
      <xdr:row>1103</xdr:row>
      <xdr:rowOff>9525</xdr:rowOff>
    </xdr:to>
    <xdr:pic>
      <xdr:nvPicPr>
        <xdr:cNvPr id="973" name="Obraz 972">
          <a:extLst>
            <a:ext uri="{FF2B5EF4-FFF2-40B4-BE49-F238E27FC236}">
              <a16:creationId xmlns:a16="http://schemas.microsoft.com/office/drawing/2014/main" id="{F737BF50-B324-4C4E-AE52-7AFAB7A59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69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1104</xdr:row>
      <xdr:rowOff>0</xdr:rowOff>
    </xdr:from>
    <xdr:to>
      <xdr:col>0</xdr:col>
      <xdr:colOff>9525</xdr:colOff>
      <xdr:row>1104</xdr:row>
      <xdr:rowOff>9525</xdr:rowOff>
    </xdr:to>
    <xdr:pic>
      <xdr:nvPicPr>
        <xdr:cNvPr id="974" name="Obraz 973">
          <a:extLst>
            <a:ext uri="{FF2B5EF4-FFF2-40B4-BE49-F238E27FC236}">
              <a16:creationId xmlns:a16="http://schemas.microsoft.com/office/drawing/2014/main" id="{7BB882C9-84F0-4B05-A8FB-760F94B6D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07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1105</xdr:row>
      <xdr:rowOff>0</xdr:rowOff>
    </xdr:from>
    <xdr:to>
      <xdr:col>0</xdr:col>
      <xdr:colOff>9525</xdr:colOff>
      <xdr:row>1105</xdr:row>
      <xdr:rowOff>9525</xdr:rowOff>
    </xdr:to>
    <xdr:pic>
      <xdr:nvPicPr>
        <xdr:cNvPr id="975" name="Obraz 974">
          <a:extLst>
            <a:ext uri="{FF2B5EF4-FFF2-40B4-BE49-F238E27FC236}">
              <a16:creationId xmlns:a16="http://schemas.microsoft.com/office/drawing/2014/main" id="{EE825DEB-AA49-4D9C-8DF2-33E770FDC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1107</xdr:row>
      <xdr:rowOff>0</xdr:rowOff>
    </xdr:from>
    <xdr:to>
      <xdr:col>0</xdr:col>
      <xdr:colOff>9525</xdr:colOff>
      <xdr:row>1107</xdr:row>
      <xdr:rowOff>9525</xdr:rowOff>
    </xdr:to>
    <xdr:pic>
      <xdr:nvPicPr>
        <xdr:cNvPr id="976" name="Obraz 975">
          <a:extLst>
            <a:ext uri="{FF2B5EF4-FFF2-40B4-BE49-F238E27FC236}">
              <a16:creationId xmlns:a16="http://schemas.microsoft.com/office/drawing/2014/main" id="{D9E8AC0C-88F6-464B-A9E6-25A64E3EC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02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1111</xdr:row>
      <xdr:rowOff>0</xdr:rowOff>
    </xdr:from>
    <xdr:to>
      <xdr:col>0</xdr:col>
      <xdr:colOff>9525</xdr:colOff>
      <xdr:row>1111</xdr:row>
      <xdr:rowOff>9525</xdr:rowOff>
    </xdr:to>
    <xdr:pic>
      <xdr:nvPicPr>
        <xdr:cNvPr id="977" name="Obraz 976">
          <a:extLst>
            <a:ext uri="{FF2B5EF4-FFF2-40B4-BE49-F238E27FC236}">
              <a16:creationId xmlns:a16="http://schemas.microsoft.com/office/drawing/2014/main" id="{3046292E-2F8A-4FB1-BBE1-30295E100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97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1114</xdr:row>
      <xdr:rowOff>0</xdr:rowOff>
    </xdr:from>
    <xdr:to>
      <xdr:col>0</xdr:col>
      <xdr:colOff>9525</xdr:colOff>
      <xdr:row>1114</xdr:row>
      <xdr:rowOff>9525</xdr:rowOff>
    </xdr:to>
    <xdr:pic>
      <xdr:nvPicPr>
        <xdr:cNvPr id="978" name="Obraz 977">
          <a:extLst>
            <a:ext uri="{FF2B5EF4-FFF2-40B4-BE49-F238E27FC236}">
              <a16:creationId xmlns:a16="http://schemas.microsoft.com/office/drawing/2014/main" id="{E9D58503-26A0-4097-9C9F-BDC703833E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74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1118</xdr:row>
      <xdr:rowOff>0</xdr:rowOff>
    </xdr:from>
    <xdr:to>
      <xdr:col>0</xdr:col>
      <xdr:colOff>9525</xdr:colOff>
      <xdr:row>1118</xdr:row>
      <xdr:rowOff>9525</xdr:rowOff>
    </xdr:to>
    <xdr:pic>
      <xdr:nvPicPr>
        <xdr:cNvPr id="979" name="Obraz 978">
          <a:extLst>
            <a:ext uri="{FF2B5EF4-FFF2-40B4-BE49-F238E27FC236}">
              <a16:creationId xmlns:a16="http://schemas.microsoft.com/office/drawing/2014/main" id="{B1E33E6B-2564-4176-9AFA-08025DE1B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97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1121</xdr:row>
      <xdr:rowOff>0</xdr:rowOff>
    </xdr:from>
    <xdr:to>
      <xdr:col>0</xdr:col>
      <xdr:colOff>9525</xdr:colOff>
      <xdr:row>1121</xdr:row>
      <xdr:rowOff>9525</xdr:rowOff>
    </xdr:to>
    <xdr:pic>
      <xdr:nvPicPr>
        <xdr:cNvPr id="980" name="Obraz 979">
          <a:extLst>
            <a:ext uri="{FF2B5EF4-FFF2-40B4-BE49-F238E27FC236}">
              <a16:creationId xmlns:a16="http://schemas.microsoft.com/office/drawing/2014/main" id="{9007AE23-1D9C-420D-8384-4FB70D49F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374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1125</xdr:row>
      <xdr:rowOff>0</xdr:rowOff>
    </xdr:from>
    <xdr:to>
      <xdr:col>0</xdr:col>
      <xdr:colOff>9525</xdr:colOff>
      <xdr:row>1125</xdr:row>
      <xdr:rowOff>9525</xdr:rowOff>
    </xdr:to>
    <xdr:pic>
      <xdr:nvPicPr>
        <xdr:cNvPr id="981" name="Obraz 980">
          <a:extLst>
            <a:ext uri="{FF2B5EF4-FFF2-40B4-BE49-F238E27FC236}">
              <a16:creationId xmlns:a16="http://schemas.microsoft.com/office/drawing/2014/main" id="{6F485D4F-6CF5-44EF-A867-FD07CE991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69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1129</xdr:row>
      <xdr:rowOff>0</xdr:rowOff>
    </xdr:from>
    <xdr:to>
      <xdr:col>0</xdr:col>
      <xdr:colOff>9525</xdr:colOff>
      <xdr:row>1129</xdr:row>
      <xdr:rowOff>9525</xdr:rowOff>
    </xdr:to>
    <xdr:pic>
      <xdr:nvPicPr>
        <xdr:cNvPr id="982" name="Obraz 981">
          <a:extLst>
            <a:ext uri="{FF2B5EF4-FFF2-40B4-BE49-F238E27FC236}">
              <a16:creationId xmlns:a16="http://schemas.microsoft.com/office/drawing/2014/main" id="{41C9FB20-F791-4B79-AE68-EF3927619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07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1132</xdr:row>
      <xdr:rowOff>0</xdr:rowOff>
    </xdr:from>
    <xdr:to>
      <xdr:col>0</xdr:col>
      <xdr:colOff>9525</xdr:colOff>
      <xdr:row>1132</xdr:row>
      <xdr:rowOff>9525</xdr:rowOff>
    </xdr:to>
    <xdr:pic>
      <xdr:nvPicPr>
        <xdr:cNvPr id="983" name="Obraz 982">
          <a:extLst>
            <a:ext uri="{FF2B5EF4-FFF2-40B4-BE49-F238E27FC236}">
              <a16:creationId xmlns:a16="http://schemas.microsoft.com/office/drawing/2014/main" id="{96F0EA86-ECD6-4C32-891B-4D74BF858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83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1136</xdr:row>
      <xdr:rowOff>0</xdr:rowOff>
    </xdr:from>
    <xdr:to>
      <xdr:col>0</xdr:col>
      <xdr:colOff>9525</xdr:colOff>
      <xdr:row>1136</xdr:row>
      <xdr:rowOff>9525</xdr:rowOff>
    </xdr:to>
    <xdr:pic>
      <xdr:nvPicPr>
        <xdr:cNvPr id="984" name="Obraz 983">
          <a:extLst>
            <a:ext uri="{FF2B5EF4-FFF2-40B4-BE49-F238E27FC236}">
              <a16:creationId xmlns:a16="http://schemas.microsoft.com/office/drawing/2014/main" id="{4BC954B8-761C-4128-AB79-F511FD8F9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78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1140</xdr:row>
      <xdr:rowOff>0</xdr:rowOff>
    </xdr:from>
    <xdr:to>
      <xdr:col>0</xdr:col>
      <xdr:colOff>9525</xdr:colOff>
      <xdr:row>1140</xdr:row>
      <xdr:rowOff>9525</xdr:rowOff>
    </xdr:to>
    <xdr:pic>
      <xdr:nvPicPr>
        <xdr:cNvPr id="985" name="Obraz 984">
          <a:extLst>
            <a:ext uri="{FF2B5EF4-FFF2-40B4-BE49-F238E27FC236}">
              <a16:creationId xmlns:a16="http://schemas.microsoft.com/office/drawing/2014/main" id="{3109FA33-77E2-4FC4-AEE3-B87B3A0D4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717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1144</xdr:row>
      <xdr:rowOff>0</xdr:rowOff>
    </xdr:from>
    <xdr:to>
      <xdr:col>0</xdr:col>
      <xdr:colOff>9525</xdr:colOff>
      <xdr:row>1144</xdr:row>
      <xdr:rowOff>9525</xdr:rowOff>
    </xdr:to>
    <xdr:pic>
      <xdr:nvPicPr>
        <xdr:cNvPr id="986" name="Obraz 985">
          <a:extLst>
            <a:ext uri="{FF2B5EF4-FFF2-40B4-BE49-F238E27FC236}">
              <a16:creationId xmlns:a16="http://schemas.microsoft.com/office/drawing/2014/main" id="{B58ECCAC-FE2B-4BD7-9874-B0A48F6A6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12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9525</xdr:colOff>
      <xdr:row>1147</xdr:row>
      <xdr:rowOff>9525</xdr:rowOff>
    </xdr:to>
    <xdr:pic>
      <xdr:nvPicPr>
        <xdr:cNvPr id="987" name="Obraz 986">
          <a:extLst>
            <a:ext uri="{FF2B5EF4-FFF2-40B4-BE49-F238E27FC236}">
              <a16:creationId xmlns:a16="http://schemas.microsoft.com/office/drawing/2014/main" id="{857C6944-0DAF-447A-95FA-D0A9C8A44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88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1151</xdr:row>
      <xdr:rowOff>0</xdr:rowOff>
    </xdr:from>
    <xdr:to>
      <xdr:col>0</xdr:col>
      <xdr:colOff>9525</xdr:colOff>
      <xdr:row>1151</xdr:row>
      <xdr:rowOff>9525</xdr:rowOff>
    </xdr:to>
    <xdr:pic>
      <xdr:nvPicPr>
        <xdr:cNvPr id="988" name="Obraz 987">
          <a:extLst>
            <a:ext uri="{FF2B5EF4-FFF2-40B4-BE49-F238E27FC236}">
              <a16:creationId xmlns:a16="http://schemas.microsoft.com/office/drawing/2014/main" id="{E0BEA5A2-B5B8-44B3-93EE-DA37EE81A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64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1154</xdr:row>
      <xdr:rowOff>0</xdr:rowOff>
    </xdr:from>
    <xdr:to>
      <xdr:col>0</xdr:col>
      <xdr:colOff>9525</xdr:colOff>
      <xdr:row>1154</xdr:row>
      <xdr:rowOff>9525</xdr:rowOff>
    </xdr:to>
    <xdr:pic>
      <xdr:nvPicPr>
        <xdr:cNvPr id="989" name="Obraz 988">
          <a:extLst>
            <a:ext uri="{FF2B5EF4-FFF2-40B4-BE49-F238E27FC236}">
              <a16:creationId xmlns:a16="http://schemas.microsoft.com/office/drawing/2014/main" id="{17229CAC-DAB1-44EE-A30A-65768DD80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40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1158</xdr:row>
      <xdr:rowOff>0</xdr:rowOff>
    </xdr:from>
    <xdr:to>
      <xdr:col>0</xdr:col>
      <xdr:colOff>9525</xdr:colOff>
      <xdr:row>1158</xdr:row>
      <xdr:rowOff>9525</xdr:rowOff>
    </xdr:to>
    <xdr:pic>
      <xdr:nvPicPr>
        <xdr:cNvPr id="990" name="Obraz 989">
          <a:extLst>
            <a:ext uri="{FF2B5EF4-FFF2-40B4-BE49-F238E27FC236}">
              <a16:creationId xmlns:a16="http://schemas.microsoft.com/office/drawing/2014/main" id="{76108603-CFF3-4FC5-8EB4-C291E29209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36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1162</xdr:row>
      <xdr:rowOff>0</xdr:rowOff>
    </xdr:from>
    <xdr:to>
      <xdr:col>0</xdr:col>
      <xdr:colOff>9525</xdr:colOff>
      <xdr:row>1162</xdr:row>
      <xdr:rowOff>9525</xdr:rowOff>
    </xdr:to>
    <xdr:pic>
      <xdr:nvPicPr>
        <xdr:cNvPr id="991" name="Obraz 990">
          <a:extLst>
            <a:ext uri="{FF2B5EF4-FFF2-40B4-BE49-F238E27FC236}">
              <a16:creationId xmlns:a16="http://schemas.microsoft.com/office/drawing/2014/main" id="{3FF3DF4F-1910-480D-AA77-B7F590654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31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1163</xdr:row>
      <xdr:rowOff>0</xdr:rowOff>
    </xdr:from>
    <xdr:to>
      <xdr:col>0</xdr:col>
      <xdr:colOff>9525</xdr:colOff>
      <xdr:row>1163</xdr:row>
      <xdr:rowOff>9525</xdr:rowOff>
    </xdr:to>
    <xdr:pic>
      <xdr:nvPicPr>
        <xdr:cNvPr id="992" name="Obraz 991">
          <a:extLst>
            <a:ext uri="{FF2B5EF4-FFF2-40B4-BE49-F238E27FC236}">
              <a16:creationId xmlns:a16="http://schemas.microsoft.com/office/drawing/2014/main" id="{4FB8A823-B5B8-4DCC-A29B-A62B9C342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69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1165</xdr:row>
      <xdr:rowOff>0</xdr:rowOff>
    </xdr:from>
    <xdr:to>
      <xdr:col>0</xdr:col>
      <xdr:colOff>9525</xdr:colOff>
      <xdr:row>1165</xdr:row>
      <xdr:rowOff>9525</xdr:rowOff>
    </xdr:to>
    <xdr:pic>
      <xdr:nvPicPr>
        <xdr:cNvPr id="993" name="Obraz 992">
          <a:extLst>
            <a:ext uri="{FF2B5EF4-FFF2-40B4-BE49-F238E27FC236}">
              <a16:creationId xmlns:a16="http://schemas.microsoft.com/office/drawing/2014/main" id="{7A4DDDE0-A359-4ECC-A515-26C3BE140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193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1168</xdr:row>
      <xdr:rowOff>0</xdr:rowOff>
    </xdr:from>
    <xdr:to>
      <xdr:col>0</xdr:col>
      <xdr:colOff>9525</xdr:colOff>
      <xdr:row>1168</xdr:row>
      <xdr:rowOff>9525</xdr:rowOff>
    </xdr:to>
    <xdr:pic>
      <xdr:nvPicPr>
        <xdr:cNvPr id="994" name="Obraz 993">
          <a:extLst>
            <a:ext uri="{FF2B5EF4-FFF2-40B4-BE49-F238E27FC236}">
              <a16:creationId xmlns:a16="http://schemas.microsoft.com/office/drawing/2014/main" id="{750D141F-4934-41FB-B334-67832A2BB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69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1173</xdr:row>
      <xdr:rowOff>0</xdr:rowOff>
    </xdr:from>
    <xdr:to>
      <xdr:col>0</xdr:col>
      <xdr:colOff>9525</xdr:colOff>
      <xdr:row>1173</xdr:row>
      <xdr:rowOff>9525</xdr:rowOff>
    </xdr:to>
    <xdr:pic>
      <xdr:nvPicPr>
        <xdr:cNvPr id="995" name="Obraz 994">
          <a:extLst>
            <a:ext uri="{FF2B5EF4-FFF2-40B4-BE49-F238E27FC236}">
              <a16:creationId xmlns:a16="http://schemas.microsoft.com/office/drawing/2014/main" id="{FEBEEF76-A2A0-4078-8211-6461310E46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383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1176</xdr:row>
      <xdr:rowOff>0</xdr:rowOff>
    </xdr:from>
    <xdr:to>
      <xdr:col>0</xdr:col>
      <xdr:colOff>9525</xdr:colOff>
      <xdr:row>1176</xdr:row>
      <xdr:rowOff>9525</xdr:rowOff>
    </xdr:to>
    <xdr:pic>
      <xdr:nvPicPr>
        <xdr:cNvPr id="996" name="Obraz 995">
          <a:extLst>
            <a:ext uri="{FF2B5EF4-FFF2-40B4-BE49-F238E27FC236}">
              <a16:creationId xmlns:a16="http://schemas.microsoft.com/office/drawing/2014/main" id="{AD0307A6-CE0E-4CD5-A385-C41FCF6AB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59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1180</xdr:row>
      <xdr:rowOff>0</xdr:rowOff>
    </xdr:from>
    <xdr:to>
      <xdr:col>0</xdr:col>
      <xdr:colOff>9525</xdr:colOff>
      <xdr:row>1180</xdr:row>
      <xdr:rowOff>9525</xdr:rowOff>
    </xdr:to>
    <xdr:pic>
      <xdr:nvPicPr>
        <xdr:cNvPr id="997" name="Obraz 996">
          <a:extLst>
            <a:ext uri="{FF2B5EF4-FFF2-40B4-BE49-F238E27FC236}">
              <a16:creationId xmlns:a16="http://schemas.microsoft.com/office/drawing/2014/main" id="{0EC18330-AE14-4568-8766-5832C7111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555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1184</xdr:row>
      <xdr:rowOff>0</xdr:rowOff>
    </xdr:from>
    <xdr:to>
      <xdr:col>0</xdr:col>
      <xdr:colOff>9525</xdr:colOff>
      <xdr:row>1184</xdr:row>
      <xdr:rowOff>9525</xdr:rowOff>
    </xdr:to>
    <xdr:pic>
      <xdr:nvPicPr>
        <xdr:cNvPr id="998" name="Obraz 997">
          <a:extLst>
            <a:ext uri="{FF2B5EF4-FFF2-40B4-BE49-F238E27FC236}">
              <a16:creationId xmlns:a16="http://schemas.microsoft.com/office/drawing/2014/main" id="{FCD2335A-14B3-4B77-949E-2A66AFE2D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50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1188</xdr:row>
      <xdr:rowOff>0</xdr:rowOff>
    </xdr:from>
    <xdr:to>
      <xdr:col>0</xdr:col>
      <xdr:colOff>9525</xdr:colOff>
      <xdr:row>1188</xdr:row>
      <xdr:rowOff>9525</xdr:rowOff>
    </xdr:to>
    <xdr:pic>
      <xdr:nvPicPr>
        <xdr:cNvPr id="999" name="Obraz 998">
          <a:extLst>
            <a:ext uri="{FF2B5EF4-FFF2-40B4-BE49-F238E27FC236}">
              <a16:creationId xmlns:a16="http://schemas.microsoft.com/office/drawing/2014/main" id="{C317A15F-06B6-4928-9CB6-FB0364709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31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1191</xdr:row>
      <xdr:rowOff>0</xdr:rowOff>
    </xdr:from>
    <xdr:to>
      <xdr:col>0</xdr:col>
      <xdr:colOff>9525</xdr:colOff>
      <xdr:row>1191</xdr:row>
      <xdr:rowOff>9525</xdr:rowOff>
    </xdr:to>
    <xdr:pic>
      <xdr:nvPicPr>
        <xdr:cNvPr id="1000" name="Obraz 999">
          <a:extLst>
            <a:ext uri="{FF2B5EF4-FFF2-40B4-BE49-F238E27FC236}">
              <a16:creationId xmlns:a16="http://schemas.microsoft.com/office/drawing/2014/main" id="{3EB76001-8043-461C-90AA-1AA3D8D82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707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1196</xdr:row>
      <xdr:rowOff>0</xdr:rowOff>
    </xdr:from>
    <xdr:to>
      <xdr:col>0</xdr:col>
      <xdr:colOff>9525</xdr:colOff>
      <xdr:row>1196</xdr:row>
      <xdr:rowOff>9525</xdr:rowOff>
    </xdr:to>
    <xdr:pic>
      <xdr:nvPicPr>
        <xdr:cNvPr id="1001" name="Obraz 1000">
          <a:extLst>
            <a:ext uri="{FF2B5EF4-FFF2-40B4-BE49-F238E27FC236}">
              <a16:creationId xmlns:a16="http://schemas.microsoft.com/office/drawing/2014/main" id="{26E312D9-275A-45C3-81E3-C263DA5FE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21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1199</xdr:row>
      <xdr:rowOff>0</xdr:rowOff>
    </xdr:from>
    <xdr:to>
      <xdr:col>0</xdr:col>
      <xdr:colOff>9525</xdr:colOff>
      <xdr:row>1199</xdr:row>
      <xdr:rowOff>9525</xdr:rowOff>
    </xdr:to>
    <xdr:pic>
      <xdr:nvPicPr>
        <xdr:cNvPr id="1002" name="Obraz 1001">
          <a:extLst>
            <a:ext uri="{FF2B5EF4-FFF2-40B4-BE49-F238E27FC236}">
              <a16:creationId xmlns:a16="http://schemas.microsoft.com/office/drawing/2014/main" id="{EDC3AF3F-DBCE-48AD-980B-039F6E41E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40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1203</xdr:row>
      <xdr:rowOff>0</xdr:rowOff>
    </xdr:from>
    <xdr:to>
      <xdr:col>0</xdr:col>
      <xdr:colOff>9525</xdr:colOff>
      <xdr:row>1203</xdr:row>
      <xdr:rowOff>9525</xdr:rowOff>
    </xdr:to>
    <xdr:pic>
      <xdr:nvPicPr>
        <xdr:cNvPr id="1003" name="Obraz 1002">
          <a:extLst>
            <a:ext uri="{FF2B5EF4-FFF2-40B4-BE49-F238E27FC236}">
              <a16:creationId xmlns:a16="http://schemas.microsoft.com/office/drawing/2014/main" id="{BD50216A-385C-4462-A874-71AF08408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936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1206</xdr:row>
      <xdr:rowOff>0</xdr:rowOff>
    </xdr:from>
    <xdr:to>
      <xdr:col>0</xdr:col>
      <xdr:colOff>9525</xdr:colOff>
      <xdr:row>1206</xdr:row>
      <xdr:rowOff>9525</xdr:rowOff>
    </xdr:to>
    <xdr:pic>
      <xdr:nvPicPr>
        <xdr:cNvPr id="1004" name="Obraz 1003">
          <a:extLst>
            <a:ext uri="{FF2B5EF4-FFF2-40B4-BE49-F238E27FC236}">
              <a16:creationId xmlns:a16="http://schemas.microsoft.com/office/drawing/2014/main" id="{1711A5F9-C37A-4032-BFF3-5A6999AD4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12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0</xdr:col>
      <xdr:colOff>9525</xdr:colOff>
      <xdr:row>1210</xdr:row>
      <xdr:rowOff>9525</xdr:rowOff>
    </xdr:to>
    <xdr:pic>
      <xdr:nvPicPr>
        <xdr:cNvPr id="1005" name="Obraz 1004">
          <a:extLst>
            <a:ext uri="{FF2B5EF4-FFF2-40B4-BE49-F238E27FC236}">
              <a16:creationId xmlns:a16="http://schemas.microsoft.com/office/drawing/2014/main" id="{03B6F8A8-D542-4008-87F3-DB1C07EC1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50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1213</xdr:row>
      <xdr:rowOff>0</xdr:rowOff>
    </xdr:from>
    <xdr:to>
      <xdr:col>0</xdr:col>
      <xdr:colOff>9525</xdr:colOff>
      <xdr:row>1213</xdr:row>
      <xdr:rowOff>9525</xdr:rowOff>
    </xdr:to>
    <xdr:pic>
      <xdr:nvPicPr>
        <xdr:cNvPr id="1006" name="Obraz 1005">
          <a:extLst>
            <a:ext uri="{FF2B5EF4-FFF2-40B4-BE49-F238E27FC236}">
              <a16:creationId xmlns:a16="http://schemas.microsoft.com/office/drawing/2014/main" id="{26653117-BCD4-4295-9501-5B969561D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126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0</xdr:col>
      <xdr:colOff>9525</xdr:colOff>
      <xdr:row>1218</xdr:row>
      <xdr:rowOff>9525</xdr:rowOff>
    </xdr:to>
    <xdr:pic>
      <xdr:nvPicPr>
        <xdr:cNvPr id="1007" name="Obraz 1006">
          <a:extLst>
            <a:ext uri="{FF2B5EF4-FFF2-40B4-BE49-F238E27FC236}">
              <a16:creationId xmlns:a16="http://schemas.microsoft.com/office/drawing/2014/main" id="{9D65B222-6D97-44E1-9FAE-8D94AD9F5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41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1221</xdr:row>
      <xdr:rowOff>0</xdr:rowOff>
    </xdr:from>
    <xdr:to>
      <xdr:col>0</xdr:col>
      <xdr:colOff>9525</xdr:colOff>
      <xdr:row>1221</xdr:row>
      <xdr:rowOff>9525</xdr:rowOff>
    </xdr:to>
    <xdr:pic>
      <xdr:nvPicPr>
        <xdr:cNvPr id="1008" name="Obraz 1007">
          <a:extLst>
            <a:ext uri="{FF2B5EF4-FFF2-40B4-BE49-F238E27FC236}">
              <a16:creationId xmlns:a16="http://schemas.microsoft.com/office/drawing/2014/main" id="{47F1FBA7-8BD6-4B42-8099-60F3BEF6E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317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1225</xdr:row>
      <xdr:rowOff>0</xdr:rowOff>
    </xdr:from>
    <xdr:to>
      <xdr:col>0</xdr:col>
      <xdr:colOff>9525</xdr:colOff>
      <xdr:row>1225</xdr:row>
      <xdr:rowOff>9525</xdr:rowOff>
    </xdr:to>
    <xdr:pic>
      <xdr:nvPicPr>
        <xdr:cNvPr id="1009" name="Obraz 1008">
          <a:extLst>
            <a:ext uri="{FF2B5EF4-FFF2-40B4-BE49-F238E27FC236}">
              <a16:creationId xmlns:a16="http://schemas.microsoft.com/office/drawing/2014/main" id="{6B41B465-2829-4B27-98F4-05F47E504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12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1228</xdr:row>
      <xdr:rowOff>0</xdr:rowOff>
    </xdr:from>
    <xdr:to>
      <xdr:col>0</xdr:col>
      <xdr:colOff>9525</xdr:colOff>
      <xdr:row>1228</xdr:row>
      <xdr:rowOff>9525</xdr:rowOff>
    </xdr:to>
    <xdr:pic>
      <xdr:nvPicPr>
        <xdr:cNvPr id="1010" name="Obraz 1009">
          <a:extLst>
            <a:ext uri="{FF2B5EF4-FFF2-40B4-BE49-F238E27FC236}">
              <a16:creationId xmlns:a16="http://schemas.microsoft.com/office/drawing/2014/main" id="{F117F13E-A2C6-4F74-B1C3-188A24265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88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9525</xdr:colOff>
      <xdr:row>1231</xdr:row>
      <xdr:rowOff>9525</xdr:rowOff>
    </xdr:to>
    <xdr:pic>
      <xdr:nvPicPr>
        <xdr:cNvPr id="1011" name="Obraz 1010">
          <a:extLst>
            <a:ext uri="{FF2B5EF4-FFF2-40B4-BE49-F238E27FC236}">
              <a16:creationId xmlns:a16="http://schemas.microsoft.com/office/drawing/2014/main" id="{AF69B0B3-C48E-4578-BA3E-9E492F219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69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9525</xdr:colOff>
      <xdr:row>1231</xdr:row>
      <xdr:rowOff>9525</xdr:rowOff>
    </xdr:to>
    <xdr:pic>
      <xdr:nvPicPr>
        <xdr:cNvPr id="1012" name="Obraz 1011">
          <a:extLst>
            <a:ext uri="{FF2B5EF4-FFF2-40B4-BE49-F238E27FC236}">
              <a16:creationId xmlns:a16="http://schemas.microsoft.com/office/drawing/2014/main" id="{29923D64-2EC4-4410-8051-B5E92A032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564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1231</xdr:row>
      <xdr:rowOff>0</xdr:rowOff>
    </xdr:from>
    <xdr:to>
      <xdr:col>0</xdr:col>
      <xdr:colOff>9525</xdr:colOff>
      <xdr:row>1231</xdr:row>
      <xdr:rowOff>9525</xdr:rowOff>
    </xdr:to>
    <xdr:pic>
      <xdr:nvPicPr>
        <xdr:cNvPr id="1013" name="Obraz 1012">
          <a:extLst>
            <a:ext uri="{FF2B5EF4-FFF2-40B4-BE49-F238E27FC236}">
              <a16:creationId xmlns:a16="http://schemas.microsoft.com/office/drawing/2014/main" id="{CB4C0E57-5C88-4EF0-9120-83096C9D7E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60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1232</xdr:row>
      <xdr:rowOff>0</xdr:rowOff>
    </xdr:from>
    <xdr:to>
      <xdr:col>0</xdr:col>
      <xdr:colOff>9525</xdr:colOff>
      <xdr:row>1232</xdr:row>
      <xdr:rowOff>9525</xdr:rowOff>
    </xdr:to>
    <xdr:pic>
      <xdr:nvPicPr>
        <xdr:cNvPr id="1014" name="Obraz 1013">
          <a:extLst>
            <a:ext uri="{FF2B5EF4-FFF2-40B4-BE49-F238E27FC236}">
              <a16:creationId xmlns:a16="http://schemas.microsoft.com/office/drawing/2014/main" id="{C7680201-67C3-4FD7-B0C5-CCAC56696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36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1235</xdr:row>
      <xdr:rowOff>0</xdr:rowOff>
    </xdr:from>
    <xdr:to>
      <xdr:col>0</xdr:col>
      <xdr:colOff>9525</xdr:colOff>
      <xdr:row>1235</xdr:row>
      <xdr:rowOff>9525</xdr:rowOff>
    </xdr:to>
    <xdr:pic>
      <xdr:nvPicPr>
        <xdr:cNvPr id="1015" name="Obraz 1014">
          <a:extLst>
            <a:ext uri="{FF2B5EF4-FFF2-40B4-BE49-F238E27FC236}">
              <a16:creationId xmlns:a16="http://schemas.microsoft.com/office/drawing/2014/main" id="{824BF4D7-9F76-4ED5-B7C0-ED1C37766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12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1239</xdr:row>
      <xdr:rowOff>0</xdr:rowOff>
    </xdr:from>
    <xdr:to>
      <xdr:col>0</xdr:col>
      <xdr:colOff>9525</xdr:colOff>
      <xdr:row>1239</xdr:row>
      <xdr:rowOff>9525</xdr:rowOff>
    </xdr:to>
    <xdr:pic>
      <xdr:nvPicPr>
        <xdr:cNvPr id="1016" name="Obraz 1015">
          <a:extLst>
            <a:ext uri="{FF2B5EF4-FFF2-40B4-BE49-F238E27FC236}">
              <a16:creationId xmlns:a16="http://schemas.microsoft.com/office/drawing/2014/main" id="{857437BC-8DD0-4031-AA64-339C13C39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07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1242</xdr:row>
      <xdr:rowOff>0</xdr:rowOff>
    </xdr:from>
    <xdr:to>
      <xdr:col>0</xdr:col>
      <xdr:colOff>9525</xdr:colOff>
      <xdr:row>1242</xdr:row>
      <xdr:rowOff>9525</xdr:rowOff>
    </xdr:to>
    <xdr:pic>
      <xdr:nvPicPr>
        <xdr:cNvPr id="1017" name="Obraz 1016">
          <a:extLst>
            <a:ext uri="{FF2B5EF4-FFF2-40B4-BE49-F238E27FC236}">
              <a16:creationId xmlns:a16="http://schemas.microsoft.com/office/drawing/2014/main" id="{AD1CA685-22D2-4B6B-892F-4ADADFD94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83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1243</xdr:row>
      <xdr:rowOff>0</xdr:rowOff>
    </xdr:from>
    <xdr:to>
      <xdr:col>0</xdr:col>
      <xdr:colOff>9525</xdr:colOff>
      <xdr:row>1243</xdr:row>
      <xdr:rowOff>9525</xdr:rowOff>
    </xdr:to>
    <xdr:pic>
      <xdr:nvPicPr>
        <xdr:cNvPr id="1018" name="Obraz 1017">
          <a:extLst>
            <a:ext uri="{FF2B5EF4-FFF2-40B4-BE49-F238E27FC236}">
              <a16:creationId xmlns:a16="http://schemas.microsoft.com/office/drawing/2014/main" id="{1A0E0AA6-DB63-48A1-B573-1BCA55829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22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1244</xdr:row>
      <xdr:rowOff>0</xdr:rowOff>
    </xdr:from>
    <xdr:to>
      <xdr:col>0</xdr:col>
      <xdr:colOff>9525</xdr:colOff>
      <xdr:row>1244</xdr:row>
      <xdr:rowOff>9525</xdr:rowOff>
    </xdr:to>
    <xdr:pic>
      <xdr:nvPicPr>
        <xdr:cNvPr id="1019" name="Obraz 1018">
          <a:extLst>
            <a:ext uri="{FF2B5EF4-FFF2-40B4-BE49-F238E27FC236}">
              <a16:creationId xmlns:a16="http://schemas.microsoft.com/office/drawing/2014/main" id="{996A02A6-23AB-4537-A3ED-461C051AF5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60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1246</xdr:row>
      <xdr:rowOff>0</xdr:rowOff>
    </xdr:from>
    <xdr:to>
      <xdr:col>0</xdr:col>
      <xdr:colOff>9525</xdr:colOff>
      <xdr:row>1246</xdr:row>
      <xdr:rowOff>9525</xdr:rowOff>
    </xdr:to>
    <xdr:pic>
      <xdr:nvPicPr>
        <xdr:cNvPr id="1020" name="Obraz 1019">
          <a:extLst>
            <a:ext uri="{FF2B5EF4-FFF2-40B4-BE49-F238E27FC236}">
              <a16:creationId xmlns:a16="http://schemas.microsoft.com/office/drawing/2014/main" id="{E0B82114-09CA-47E2-9965-1B073C1B3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736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1250</xdr:row>
      <xdr:rowOff>0</xdr:rowOff>
    </xdr:from>
    <xdr:to>
      <xdr:col>0</xdr:col>
      <xdr:colOff>9525</xdr:colOff>
      <xdr:row>1250</xdr:row>
      <xdr:rowOff>9525</xdr:rowOff>
    </xdr:to>
    <xdr:pic>
      <xdr:nvPicPr>
        <xdr:cNvPr id="1021" name="Obraz 1020">
          <a:extLst>
            <a:ext uri="{FF2B5EF4-FFF2-40B4-BE49-F238E27FC236}">
              <a16:creationId xmlns:a16="http://schemas.microsoft.com/office/drawing/2014/main" id="{CFD79AB9-F9D9-4C1A-870A-6741F76BFD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31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1253</xdr:row>
      <xdr:rowOff>0</xdr:rowOff>
    </xdr:from>
    <xdr:to>
      <xdr:col>0</xdr:col>
      <xdr:colOff>9525</xdr:colOff>
      <xdr:row>1253</xdr:row>
      <xdr:rowOff>9525</xdr:rowOff>
    </xdr:to>
    <xdr:pic>
      <xdr:nvPicPr>
        <xdr:cNvPr id="1022" name="Obraz 1021">
          <a:extLst>
            <a:ext uri="{FF2B5EF4-FFF2-40B4-BE49-F238E27FC236}">
              <a16:creationId xmlns:a16="http://schemas.microsoft.com/office/drawing/2014/main" id="{1CD1B6E8-12DA-40E6-8E40-F44C37B6E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907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1257</xdr:row>
      <xdr:rowOff>0</xdr:rowOff>
    </xdr:from>
    <xdr:to>
      <xdr:col>0</xdr:col>
      <xdr:colOff>9525</xdr:colOff>
      <xdr:row>1257</xdr:row>
      <xdr:rowOff>9525</xdr:rowOff>
    </xdr:to>
    <xdr:pic>
      <xdr:nvPicPr>
        <xdr:cNvPr id="1023" name="Obraz 1022">
          <a:extLst>
            <a:ext uri="{FF2B5EF4-FFF2-40B4-BE49-F238E27FC236}">
              <a16:creationId xmlns:a16="http://schemas.microsoft.com/office/drawing/2014/main" id="{F80B35FB-4036-48D3-8180-BEE744CEB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03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1260</xdr:row>
      <xdr:rowOff>0</xdr:rowOff>
    </xdr:from>
    <xdr:to>
      <xdr:col>0</xdr:col>
      <xdr:colOff>9525</xdr:colOff>
      <xdr:row>1260</xdr:row>
      <xdr:rowOff>9525</xdr:rowOff>
    </xdr:to>
    <xdr:pic>
      <xdr:nvPicPr>
        <xdr:cNvPr id="1024" name="Obraz 1023">
          <a:extLst>
            <a:ext uri="{FF2B5EF4-FFF2-40B4-BE49-F238E27FC236}">
              <a16:creationId xmlns:a16="http://schemas.microsoft.com/office/drawing/2014/main" id="{3B39C4F5-913B-4490-9A80-AFFD1C78C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79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1264</xdr:row>
      <xdr:rowOff>0</xdr:rowOff>
    </xdr:from>
    <xdr:to>
      <xdr:col>0</xdr:col>
      <xdr:colOff>9525</xdr:colOff>
      <xdr:row>1264</xdr:row>
      <xdr:rowOff>9525</xdr:rowOff>
    </xdr:to>
    <xdr:pic>
      <xdr:nvPicPr>
        <xdr:cNvPr id="1025" name="Obraz 1024">
          <a:extLst>
            <a:ext uri="{FF2B5EF4-FFF2-40B4-BE49-F238E27FC236}">
              <a16:creationId xmlns:a16="http://schemas.microsoft.com/office/drawing/2014/main" id="{19DC3BF6-B288-4608-ABBE-DA68FC18C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174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1267</xdr:row>
      <xdr:rowOff>0</xdr:rowOff>
    </xdr:from>
    <xdr:to>
      <xdr:col>0</xdr:col>
      <xdr:colOff>9525</xdr:colOff>
      <xdr:row>1267</xdr:row>
      <xdr:rowOff>9525</xdr:rowOff>
    </xdr:to>
    <xdr:pic>
      <xdr:nvPicPr>
        <xdr:cNvPr id="1026" name="Obraz 1025">
          <a:extLst>
            <a:ext uri="{FF2B5EF4-FFF2-40B4-BE49-F238E27FC236}">
              <a16:creationId xmlns:a16="http://schemas.microsoft.com/office/drawing/2014/main" id="{2BCD844C-A8DD-4896-8651-7D9FCA898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50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0</xdr:col>
      <xdr:colOff>9525</xdr:colOff>
      <xdr:row>1268</xdr:row>
      <xdr:rowOff>9525</xdr:rowOff>
    </xdr:to>
    <xdr:pic>
      <xdr:nvPicPr>
        <xdr:cNvPr id="1027" name="Obraz 1026">
          <a:extLst>
            <a:ext uri="{FF2B5EF4-FFF2-40B4-BE49-F238E27FC236}">
              <a16:creationId xmlns:a16="http://schemas.microsoft.com/office/drawing/2014/main" id="{AF9B1162-3DE7-4533-8DC5-CD792084B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88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1268</xdr:row>
      <xdr:rowOff>0</xdr:rowOff>
    </xdr:from>
    <xdr:to>
      <xdr:col>0</xdr:col>
      <xdr:colOff>9525</xdr:colOff>
      <xdr:row>1268</xdr:row>
      <xdr:rowOff>9525</xdr:rowOff>
    </xdr:to>
    <xdr:pic>
      <xdr:nvPicPr>
        <xdr:cNvPr id="1028" name="Obraz 1027">
          <a:extLst>
            <a:ext uri="{FF2B5EF4-FFF2-40B4-BE49-F238E27FC236}">
              <a16:creationId xmlns:a16="http://schemas.microsoft.com/office/drawing/2014/main" id="{10993423-3BA3-4284-BCF9-AD36B4079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26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1269</xdr:row>
      <xdr:rowOff>0</xdr:rowOff>
    </xdr:from>
    <xdr:to>
      <xdr:col>0</xdr:col>
      <xdr:colOff>9525</xdr:colOff>
      <xdr:row>1269</xdr:row>
      <xdr:rowOff>9525</xdr:rowOff>
    </xdr:to>
    <xdr:pic>
      <xdr:nvPicPr>
        <xdr:cNvPr id="1029" name="Obraz 1028">
          <a:extLst>
            <a:ext uri="{FF2B5EF4-FFF2-40B4-BE49-F238E27FC236}">
              <a16:creationId xmlns:a16="http://schemas.microsoft.com/office/drawing/2014/main" id="{E89A914A-131B-4420-B006-6BA7D78359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64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1271</xdr:row>
      <xdr:rowOff>0</xdr:rowOff>
    </xdr:from>
    <xdr:to>
      <xdr:col>0</xdr:col>
      <xdr:colOff>9525</xdr:colOff>
      <xdr:row>1271</xdr:row>
      <xdr:rowOff>9525</xdr:rowOff>
    </xdr:to>
    <xdr:pic>
      <xdr:nvPicPr>
        <xdr:cNvPr id="1030" name="Obraz 1029">
          <a:extLst>
            <a:ext uri="{FF2B5EF4-FFF2-40B4-BE49-F238E27FC236}">
              <a16:creationId xmlns:a16="http://schemas.microsoft.com/office/drawing/2014/main" id="{CEA02CB5-C593-4B5F-8035-C5EBFCD89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12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1274</xdr:row>
      <xdr:rowOff>0</xdr:rowOff>
    </xdr:from>
    <xdr:to>
      <xdr:col>0</xdr:col>
      <xdr:colOff>9525</xdr:colOff>
      <xdr:row>1274</xdr:row>
      <xdr:rowOff>9525</xdr:rowOff>
    </xdr:to>
    <xdr:pic>
      <xdr:nvPicPr>
        <xdr:cNvPr id="1031" name="Obraz 1030">
          <a:extLst>
            <a:ext uri="{FF2B5EF4-FFF2-40B4-BE49-F238E27FC236}">
              <a16:creationId xmlns:a16="http://schemas.microsoft.com/office/drawing/2014/main" id="{21C72FC8-2B3C-4D2A-ABDE-296630DDA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88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1278</xdr:row>
      <xdr:rowOff>0</xdr:rowOff>
    </xdr:from>
    <xdr:to>
      <xdr:col>0</xdr:col>
      <xdr:colOff>9525</xdr:colOff>
      <xdr:row>1278</xdr:row>
      <xdr:rowOff>9525</xdr:rowOff>
    </xdr:to>
    <xdr:pic>
      <xdr:nvPicPr>
        <xdr:cNvPr id="1032" name="Obraz 1031">
          <a:extLst>
            <a:ext uri="{FF2B5EF4-FFF2-40B4-BE49-F238E27FC236}">
              <a16:creationId xmlns:a16="http://schemas.microsoft.com/office/drawing/2014/main" id="{51A2E7F6-CD0F-4F24-9464-1D642A6BEF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384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1282</xdr:row>
      <xdr:rowOff>0</xdr:rowOff>
    </xdr:from>
    <xdr:to>
      <xdr:col>0</xdr:col>
      <xdr:colOff>9525</xdr:colOff>
      <xdr:row>1282</xdr:row>
      <xdr:rowOff>9525</xdr:rowOff>
    </xdr:to>
    <xdr:pic>
      <xdr:nvPicPr>
        <xdr:cNvPr id="1033" name="Obraz 1032">
          <a:extLst>
            <a:ext uri="{FF2B5EF4-FFF2-40B4-BE49-F238E27FC236}">
              <a16:creationId xmlns:a16="http://schemas.microsoft.com/office/drawing/2014/main" id="{C52C83B1-D68A-487D-9D3C-DA7600F2C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22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1285</xdr:row>
      <xdr:rowOff>0</xdr:rowOff>
    </xdr:from>
    <xdr:to>
      <xdr:col>0</xdr:col>
      <xdr:colOff>9525</xdr:colOff>
      <xdr:row>1285</xdr:row>
      <xdr:rowOff>9525</xdr:rowOff>
    </xdr:to>
    <xdr:pic>
      <xdr:nvPicPr>
        <xdr:cNvPr id="1034" name="Obraz 1033">
          <a:extLst>
            <a:ext uri="{FF2B5EF4-FFF2-40B4-BE49-F238E27FC236}">
              <a16:creationId xmlns:a16="http://schemas.microsoft.com/office/drawing/2014/main" id="{3ACE85FA-9E1F-4800-BC20-62DD06160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98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1289</xdr:row>
      <xdr:rowOff>0</xdr:rowOff>
    </xdr:from>
    <xdr:to>
      <xdr:col>0</xdr:col>
      <xdr:colOff>9525</xdr:colOff>
      <xdr:row>1289</xdr:row>
      <xdr:rowOff>9525</xdr:rowOff>
    </xdr:to>
    <xdr:pic>
      <xdr:nvPicPr>
        <xdr:cNvPr id="1035" name="Obraz 1034">
          <a:extLst>
            <a:ext uri="{FF2B5EF4-FFF2-40B4-BE49-F238E27FC236}">
              <a16:creationId xmlns:a16="http://schemas.microsoft.com/office/drawing/2014/main" id="{388E522F-CEA6-4417-A398-A3C8A8559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593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1293</xdr:row>
      <xdr:rowOff>0</xdr:rowOff>
    </xdr:from>
    <xdr:to>
      <xdr:col>0</xdr:col>
      <xdr:colOff>9525</xdr:colOff>
      <xdr:row>1293</xdr:row>
      <xdr:rowOff>9525</xdr:rowOff>
    </xdr:to>
    <xdr:pic>
      <xdr:nvPicPr>
        <xdr:cNvPr id="1036" name="Obraz 1035">
          <a:extLst>
            <a:ext uri="{FF2B5EF4-FFF2-40B4-BE49-F238E27FC236}">
              <a16:creationId xmlns:a16="http://schemas.microsoft.com/office/drawing/2014/main" id="{9CC95DBE-80F6-41C0-83F0-44936D69C1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31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1297</xdr:row>
      <xdr:rowOff>0</xdr:rowOff>
    </xdr:from>
    <xdr:to>
      <xdr:col>0</xdr:col>
      <xdr:colOff>9525</xdr:colOff>
      <xdr:row>1297</xdr:row>
      <xdr:rowOff>9525</xdr:rowOff>
    </xdr:to>
    <xdr:pic>
      <xdr:nvPicPr>
        <xdr:cNvPr id="1037" name="Obraz 1036">
          <a:extLst>
            <a:ext uri="{FF2B5EF4-FFF2-40B4-BE49-F238E27FC236}">
              <a16:creationId xmlns:a16="http://schemas.microsoft.com/office/drawing/2014/main" id="{00783FFF-88F4-4720-A481-8ECAD483A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726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1301</xdr:row>
      <xdr:rowOff>0</xdr:rowOff>
    </xdr:from>
    <xdr:to>
      <xdr:col>0</xdr:col>
      <xdr:colOff>9525</xdr:colOff>
      <xdr:row>1301</xdr:row>
      <xdr:rowOff>9525</xdr:rowOff>
    </xdr:to>
    <xdr:pic>
      <xdr:nvPicPr>
        <xdr:cNvPr id="1038" name="Obraz 1037">
          <a:extLst>
            <a:ext uri="{FF2B5EF4-FFF2-40B4-BE49-F238E27FC236}">
              <a16:creationId xmlns:a16="http://schemas.microsoft.com/office/drawing/2014/main" id="{068DB5A5-4F73-45F6-AE43-D1D135785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22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1305</xdr:row>
      <xdr:rowOff>0</xdr:rowOff>
    </xdr:from>
    <xdr:to>
      <xdr:col>0</xdr:col>
      <xdr:colOff>9525</xdr:colOff>
      <xdr:row>1305</xdr:row>
      <xdr:rowOff>9525</xdr:rowOff>
    </xdr:to>
    <xdr:pic>
      <xdr:nvPicPr>
        <xdr:cNvPr id="1039" name="Obraz 1038">
          <a:extLst>
            <a:ext uri="{FF2B5EF4-FFF2-40B4-BE49-F238E27FC236}">
              <a16:creationId xmlns:a16="http://schemas.microsoft.com/office/drawing/2014/main" id="{065C51D7-A145-4B57-8A4A-11AE58BC0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60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1309</xdr:row>
      <xdr:rowOff>0</xdr:rowOff>
    </xdr:from>
    <xdr:to>
      <xdr:col>0</xdr:col>
      <xdr:colOff>9525</xdr:colOff>
      <xdr:row>1309</xdr:row>
      <xdr:rowOff>9525</xdr:rowOff>
    </xdr:to>
    <xdr:pic>
      <xdr:nvPicPr>
        <xdr:cNvPr id="1040" name="Obraz 1039">
          <a:extLst>
            <a:ext uri="{FF2B5EF4-FFF2-40B4-BE49-F238E27FC236}">
              <a16:creationId xmlns:a16="http://schemas.microsoft.com/office/drawing/2014/main" id="{D36E15E2-3F77-4077-927D-099165B932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955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1312</xdr:row>
      <xdr:rowOff>0</xdr:rowOff>
    </xdr:from>
    <xdr:to>
      <xdr:col>0</xdr:col>
      <xdr:colOff>9525</xdr:colOff>
      <xdr:row>1312</xdr:row>
      <xdr:rowOff>9525</xdr:rowOff>
    </xdr:to>
    <xdr:pic>
      <xdr:nvPicPr>
        <xdr:cNvPr id="1041" name="Obraz 1040">
          <a:extLst>
            <a:ext uri="{FF2B5EF4-FFF2-40B4-BE49-F238E27FC236}">
              <a16:creationId xmlns:a16="http://schemas.microsoft.com/office/drawing/2014/main" id="{F0821115-BD8C-46F5-BCB9-A4D8AD804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31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0</xdr:col>
      <xdr:colOff>9525</xdr:colOff>
      <xdr:row>1316</xdr:row>
      <xdr:rowOff>9525</xdr:rowOff>
    </xdr:to>
    <xdr:pic>
      <xdr:nvPicPr>
        <xdr:cNvPr id="1042" name="Obraz 1041">
          <a:extLst>
            <a:ext uri="{FF2B5EF4-FFF2-40B4-BE49-F238E27FC236}">
              <a16:creationId xmlns:a16="http://schemas.microsoft.com/office/drawing/2014/main" id="{55CB96A3-76C6-441C-BCFA-AC4800187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26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1316</xdr:row>
      <xdr:rowOff>0</xdr:rowOff>
    </xdr:from>
    <xdr:to>
      <xdr:col>0</xdr:col>
      <xdr:colOff>9525</xdr:colOff>
      <xdr:row>1316</xdr:row>
      <xdr:rowOff>9525</xdr:rowOff>
    </xdr:to>
    <xdr:pic>
      <xdr:nvPicPr>
        <xdr:cNvPr id="1043" name="Obraz 1042">
          <a:extLst>
            <a:ext uri="{FF2B5EF4-FFF2-40B4-BE49-F238E27FC236}">
              <a16:creationId xmlns:a16="http://schemas.microsoft.com/office/drawing/2014/main" id="{4F38A7BC-33DE-4980-89DF-9AE425F1E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65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1317</xdr:row>
      <xdr:rowOff>0</xdr:rowOff>
    </xdr:from>
    <xdr:to>
      <xdr:col>0</xdr:col>
      <xdr:colOff>9525</xdr:colOff>
      <xdr:row>1317</xdr:row>
      <xdr:rowOff>9525</xdr:rowOff>
    </xdr:to>
    <xdr:pic>
      <xdr:nvPicPr>
        <xdr:cNvPr id="1044" name="Obraz 1043">
          <a:extLst>
            <a:ext uri="{FF2B5EF4-FFF2-40B4-BE49-F238E27FC236}">
              <a16:creationId xmlns:a16="http://schemas.microsoft.com/office/drawing/2014/main" id="{41F23334-0EED-4259-8B36-8CD96AC94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03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1319</xdr:row>
      <xdr:rowOff>0</xdr:rowOff>
    </xdr:from>
    <xdr:to>
      <xdr:col>0</xdr:col>
      <xdr:colOff>9525</xdr:colOff>
      <xdr:row>1319</xdr:row>
      <xdr:rowOff>9525</xdr:rowOff>
    </xdr:to>
    <xdr:pic>
      <xdr:nvPicPr>
        <xdr:cNvPr id="1045" name="Obraz 1044">
          <a:extLst>
            <a:ext uri="{FF2B5EF4-FFF2-40B4-BE49-F238E27FC236}">
              <a16:creationId xmlns:a16="http://schemas.microsoft.com/office/drawing/2014/main" id="{5823CE0D-F860-4582-98DC-009C89525F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126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1323</xdr:row>
      <xdr:rowOff>0</xdr:rowOff>
    </xdr:from>
    <xdr:to>
      <xdr:col>0</xdr:col>
      <xdr:colOff>9525</xdr:colOff>
      <xdr:row>1323</xdr:row>
      <xdr:rowOff>9525</xdr:rowOff>
    </xdr:to>
    <xdr:pic>
      <xdr:nvPicPr>
        <xdr:cNvPr id="1046" name="Obraz 1045">
          <a:extLst>
            <a:ext uri="{FF2B5EF4-FFF2-40B4-BE49-F238E27FC236}">
              <a16:creationId xmlns:a16="http://schemas.microsoft.com/office/drawing/2014/main" id="{EBF35A9C-5C35-4AEE-B173-401BCE214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22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1326</xdr:row>
      <xdr:rowOff>0</xdr:rowOff>
    </xdr:from>
    <xdr:to>
      <xdr:col>0</xdr:col>
      <xdr:colOff>9525</xdr:colOff>
      <xdr:row>1326</xdr:row>
      <xdr:rowOff>9525</xdr:rowOff>
    </xdr:to>
    <xdr:pic>
      <xdr:nvPicPr>
        <xdr:cNvPr id="1047" name="Obraz 1046">
          <a:extLst>
            <a:ext uri="{FF2B5EF4-FFF2-40B4-BE49-F238E27FC236}">
              <a16:creationId xmlns:a16="http://schemas.microsoft.com/office/drawing/2014/main" id="{B0B49F2F-544A-4836-997D-218F77327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98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1330</xdr:row>
      <xdr:rowOff>0</xdr:rowOff>
    </xdr:from>
    <xdr:to>
      <xdr:col>0</xdr:col>
      <xdr:colOff>9525</xdr:colOff>
      <xdr:row>1330</xdr:row>
      <xdr:rowOff>9525</xdr:rowOff>
    </xdr:to>
    <xdr:pic>
      <xdr:nvPicPr>
        <xdr:cNvPr id="1048" name="Obraz 1047">
          <a:extLst>
            <a:ext uri="{FF2B5EF4-FFF2-40B4-BE49-F238E27FC236}">
              <a16:creationId xmlns:a16="http://schemas.microsoft.com/office/drawing/2014/main" id="{31F00725-C981-43F3-A2BD-BF1B86E0E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393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1333</xdr:row>
      <xdr:rowOff>0</xdr:rowOff>
    </xdr:from>
    <xdr:to>
      <xdr:col>0</xdr:col>
      <xdr:colOff>9525</xdr:colOff>
      <xdr:row>1333</xdr:row>
      <xdr:rowOff>9525</xdr:rowOff>
    </xdr:to>
    <xdr:pic>
      <xdr:nvPicPr>
        <xdr:cNvPr id="1049" name="Obraz 1048">
          <a:extLst>
            <a:ext uri="{FF2B5EF4-FFF2-40B4-BE49-F238E27FC236}">
              <a16:creationId xmlns:a16="http://schemas.microsoft.com/office/drawing/2014/main" id="{5D326953-89A5-4582-BD1C-F786F38230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69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1338</xdr:row>
      <xdr:rowOff>0</xdr:rowOff>
    </xdr:from>
    <xdr:to>
      <xdr:col>0</xdr:col>
      <xdr:colOff>9525</xdr:colOff>
      <xdr:row>1338</xdr:row>
      <xdr:rowOff>9525</xdr:rowOff>
    </xdr:to>
    <xdr:pic>
      <xdr:nvPicPr>
        <xdr:cNvPr id="1050" name="Obraz 1049">
          <a:extLst>
            <a:ext uri="{FF2B5EF4-FFF2-40B4-BE49-F238E27FC236}">
              <a16:creationId xmlns:a16="http://schemas.microsoft.com/office/drawing/2014/main" id="{3B3EB00F-E93A-45A2-BF79-13128460F1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84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1341</xdr:row>
      <xdr:rowOff>0</xdr:rowOff>
    </xdr:from>
    <xdr:to>
      <xdr:col>0</xdr:col>
      <xdr:colOff>9525</xdr:colOff>
      <xdr:row>1341</xdr:row>
      <xdr:rowOff>9525</xdr:rowOff>
    </xdr:to>
    <xdr:pic>
      <xdr:nvPicPr>
        <xdr:cNvPr id="1051" name="Obraz 1050">
          <a:extLst>
            <a:ext uri="{FF2B5EF4-FFF2-40B4-BE49-F238E27FC236}">
              <a16:creationId xmlns:a16="http://schemas.microsoft.com/office/drawing/2014/main" id="{2CAF7E9F-2724-4DE7-B7A2-A4C75D343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546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1344</xdr:row>
      <xdr:rowOff>0</xdr:rowOff>
    </xdr:from>
    <xdr:to>
      <xdr:col>0</xdr:col>
      <xdr:colOff>9525</xdr:colOff>
      <xdr:row>1344</xdr:row>
      <xdr:rowOff>9525</xdr:rowOff>
    </xdr:to>
    <xdr:pic>
      <xdr:nvPicPr>
        <xdr:cNvPr id="1052" name="Obraz 1051">
          <a:extLst>
            <a:ext uri="{FF2B5EF4-FFF2-40B4-BE49-F238E27FC236}">
              <a16:creationId xmlns:a16="http://schemas.microsoft.com/office/drawing/2014/main" id="{8C66E1BD-15CE-4F65-B50E-EF1156467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22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1349</xdr:row>
      <xdr:rowOff>0</xdr:rowOff>
    </xdr:from>
    <xdr:to>
      <xdr:col>0</xdr:col>
      <xdr:colOff>9525</xdr:colOff>
      <xdr:row>1349</xdr:row>
      <xdr:rowOff>9525</xdr:rowOff>
    </xdr:to>
    <xdr:pic>
      <xdr:nvPicPr>
        <xdr:cNvPr id="1053" name="Obraz 1052">
          <a:extLst>
            <a:ext uri="{FF2B5EF4-FFF2-40B4-BE49-F238E27FC236}">
              <a16:creationId xmlns:a16="http://schemas.microsoft.com/office/drawing/2014/main" id="{0F82FA2A-1ACD-43EE-8655-11A509892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736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1352</xdr:row>
      <xdr:rowOff>0</xdr:rowOff>
    </xdr:from>
    <xdr:to>
      <xdr:col>0</xdr:col>
      <xdr:colOff>9525</xdr:colOff>
      <xdr:row>1352</xdr:row>
      <xdr:rowOff>9525</xdr:rowOff>
    </xdr:to>
    <xdr:pic>
      <xdr:nvPicPr>
        <xdr:cNvPr id="1054" name="Obraz 1053">
          <a:extLst>
            <a:ext uri="{FF2B5EF4-FFF2-40B4-BE49-F238E27FC236}">
              <a16:creationId xmlns:a16="http://schemas.microsoft.com/office/drawing/2014/main" id="{27AA3D8B-CF6F-481C-8559-8C955665CD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12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1356</xdr:row>
      <xdr:rowOff>0</xdr:rowOff>
    </xdr:from>
    <xdr:to>
      <xdr:col>0</xdr:col>
      <xdr:colOff>9525</xdr:colOff>
      <xdr:row>1356</xdr:row>
      <xdr:rowOff>9525</xdr:rowOff>
    </xdr:to>
    <xdr:pic>
      <xdr:nvPicPr>
        <xdr:cNvPr id="1055" name="Obraz 1054">
          <a:extLst>
            <a:ext uri="{FF2B5EF4-FFF2-40B4-BE49-F238E27FC236}">
              <a16:creationId xmlns:a16="http://schemas.microsoft.com/office/drawing/2014/main" id="{CDD524FF-49F8-4E08-873F-44CD81BE6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08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1359</xdr:row>
      <xdr:rowOff>0</xdr:rowOff>
    </xdr:from>
    <xdr:to>
      <xdr:col>0</xdr:col>
      <xdr:colOff>9525</xdr:colOff>
      <xdr:row>1359</xdr:row>
      <xdr:rowOff>9525</xdr:rowOff>
    </xdr:to>
    <xdr:pic>
      <xdr:nvPicPr>
        <xdr:cNvPr id="1056" name="Obraz 1055">
          <a:extLst>
            <a:ext uri="{FF2B5EF4-FFF2-40B4-BE49-F238E27FC236}">
              <a16:creationId xmlns:a16="http://schemas.microsoft.com/office/drawing/2014/main" id="{F6185C95-2FA5-4264-940F-7CE286D0D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84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1363</xdr:row>
      <xdr:rowOff>0</xdr:rowOff>
    </xdr:from>
    <xdr:to>
      <xdr:col>0</xdr:col>
      <xdr:colOff>9525</xdr:colOff>
      <xdr:row>1363</xdr:row>
      <xdr:rowOff>9525</xdr:rowOff>
    </xdr:to>
    <xdr:pic>
      <xdr:nvPicPr>
        <xdr:cNvPr id="1057" name="Obraz 1056">
          <a:extLst>
            <a:ext uri="{FF2B5EF4-FFF2-40B4-BE49-F238E27FC236}">
              <a16:creationId xmlns:a16="http://schemas.microsoft.com/office/drawing/2014/main" id="{B2A1C17F-6B1C-45CC-B2A8-02AE97E539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965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1366</xdr:row>
      <xdr:rowOff>0</xdr:rowOff>
    </xdr:from>
    <xdr:to>
      <xdr:col>0</xdr:col>
      <xdr:colOff>9525</xdr:colOff>
      <xdr:row>1366</xdr:row>
      <xdr:rowOff>9525</xdr:rowOff>
    </xdr:to>
    <xdr:pic>
      <xdr:nvPicPr>
        <xdr:cNvPr id="1058" name="Obraz 1057">
          <a:extLst>
            <a:ext uri="{FF2B5EF4-FFF2-40B4-BE49-F238E27FC236}">
              <a16:creationId xmlns:a16="http://schemas.microsoft.com/office/drawing/2014/main" id="{46329FD4-0801-476C-90D6-82394DEAC1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41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1370</xdr:row>
      <xdr:rowOff>0</xdr:rowOff>
    </xdr:from>
    <xdr:to>
      <xdr:col>0</xdr:col>
      <xdr:colOff>9525</xdr:colOff>
      <xdr:row>1370</xdr:row>
      <xdr:rowOff>9525</xdr:rowOff>
    </xdr:to>
    <xdr:pic>
      <xdr:nvPicPr>
        <xdr:cNvPr id="1059" name="Obraz 1058">
          <a:extLst>
            <a:ext uri="{FF2B5EF4-FFF2-40B4-BE49-F238E27FC236}">
              <a16:creationId xmlns:a16="http://schemas.microsoft.com/office/drawing/2014/main" id="{1B44AB07-6B27-4A0F-B871-6CE4CC7794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136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1374</xdr:row>
      <xdr:rowOff>0</xdr:rowOff>
    </xdr:from>
    <xdr:to>
      <xdr:col>0</xdr:col>
      <xdr:colOff>9525</xdr:colOff>
      <xdr:row>1374</xdr:row>
      <xdr:rowOff>9525</xdr:rowOff>
    </xdr:to>
    <xdr:pic>
      <xdr:nvPicPr>
        <xdr:cNvPr id="1060" name="Obraz 1059">
          <a:extLst>
            <a:ext uri="{FF2B5EF4-FFF2-40B4-BE49-F238E27FC236}">
              <a16:creationId xmlns:a16="http://schemas.microsoft.com/office/drawing/2014/main" id="{78C79974-52C7-442D-B146-9D62E5154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31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1375</xdr:row>
      <xdr:rowOff>0</xdr:rowOff>
    </xdr:from>
    <xdr:to>
      <xdr:col>0</xdr:col>
      <xdr:colOff>9525</xdr:colOff>
      <xdr:row>1375</xdr:row>
      <xdr:rowOff>9525</xdr:rowOff>
    </xdr:to>
    <xdr:pic>
      <xdr:nvPicPr>
        <xdr:cNvPr id="1061" name="Obraz 1060">
          <a:extLst>
            <a:ext uri="{FF2B5EF4-FFF2-40B4-BE49-F238E27FC236}">
              <a16:creationId xmlns:a16="http://schemas.microsoft.com/office/drawing/2014/main" id="{50BE4252-0340-46DE-A427-1B4B173759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69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1377</xdr:row>
      <xdr:rowOff>0</xdr:rowOff>
    </xdr:from>
    <xdr:to>
      <xdr:col>0</xdr:col>
      <xdr:colOff>9525</xdr:colOff>
      <xdr:row>1377</xdr:row>
      <xdr:rowOff>9525</xdr:rowOff>
    </xdr:to>
    <xdr:pic>
      <xdr:nvPicPr>
        <xdr:cNvPr id="1062" name="Obraz 1061">
          <a:extLst>
            <a:ext uri="{FF2B5EF4-FFF2-40B4-BE49-F238E27FC236}">
              <a16:creationId xmlns:a16="http://schemas.microsoft.com/office/drawing/2014/main" id="{8B916487-7722-4E7D-9288-90DBE6989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327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1381</xdr:row>
      <xdr:rowOff>0</xdr:rowOff>
    </xdr:from>
    <xdr:to>
      <xdr:col>0</xdr:col>
      <xdr:colOff>9525</xdr:colOff>
      <xdr:row>1381</xdr:row>
      <xdr:rowOff>9525</xdr:rowOff>
    </xdr:to>
    <xdr:pic>
      <xdr:nvPicPr>
        <xdr:cNvPr id="1063" name="Obraz 1062">
          <a:extLst>
            <a:ext uri="{FF2B5EF4-FFF2-40B4-BE49-F238E27FC236}">
              <a16:creationId xmlns:a16="http://schemas.microsoft.com/office/drawing/2014/main" id="{9670C114-9B97-489E-A95C-8959E129A8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22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1384</xdr:row>
      <xdr:rowOff>0</xdr:rowOff>
    </xdr:from>
    <xdr:to>
      <xdr:col>0</xdr:col>
      <xdr:colOff>9525</xdr:colOff>
      <xdr:row>1384</xdr:row>
      <xdr:rowOff>9525</xdr:rowOff>
    </xdr:to>
    <xdr:pic>
      <xdr:nvPicPr>
        <xdr:cNvPr id="1064" name="Obraz 1063">
          <a:extLst>
            <a:ext uri="{FF2B5EF4-FFF2-40B4-BE49-F238E27FC236}">
              <a16:creationId xmlns:a16="http://schemas.microsoft.com/office/drawing/2014/main" id="{C2DBCE2C-EA88-4A59-8222-0AA65ACBC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98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1388</xdr:row>
      <xdr:rowOff>0</xdr:rowOff>
    </xdr:from>
    <xdr:to>
      <xdr:col>0</xdr:col>
      <xdr:colOff>9525</xdr:colOff>
      <xdr:row>1388</xdr:row>
      <xdr:rowOff>9525</xdr:rowOff>
    </xdr:to>
    <xdr:pic>
      <xdr:nvPicPr>
        <xdr:cNvPr id="1065" name="Obraz 1064">
          <a:extLst>
            <a:ext uri="{FF2B5EF4-FFF2-40B4-BE49-F238E27FC236}">
              <a16:creationId xmlns:a16="http://schemas.microsoft.com/office/drawing/2014/main" id="{63A3E751-D1FE-4E52-85DE-51C306DDD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41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1391</xdr:row>
      <xdr:rowOff>0</xdr:rowOff>
    </xdr:from>
    <xdr:to>
      <xdr:col>0</xdr:col>
      <xdr:colOff>9525</xdr:colOff>
      <xdr:row>1391</xdr:row>
      <xdr:rowOff>9525</xdr:rowOff>
    </xdr:to>
    <xdr:pic>
      <xdr:nvPicPr>
        <xdr:cNvPr id="1066" name="Obraz 1065">
          <a:extLst>
            <a:ext uri="{FF2B5EF4-FFF2-40B4-BE49-F238E27FC236}">
              <a16:creationId xmlns:a16="http://schemas.microsoft.com/office/drawing/2014/main" id="{88976252-49F3-4AF9-90A5-635411089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517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1395</xdr:row>
      <xdr:rowOff>0</xdr:rowOff>
    </xdr:from>
    <xdr:to>
      <xdr:col>0</xdr:col>
      <xdr:colOff>9525</xdr:colOff>
      <xdr:row>1395</xdr:row>
      <xdr:rowOff>9525</xdr:rowOff>
    </xdr:to>
    <xdr:pic>
      <xdr:nvPicPr>
        <xdr:cNvPr id="1067" name="Obraz 1066">
          <a:extLst>
            <a:ext uri="{FF2B5EF4-FFF2-40B4-BE49-F238E27FC236}">
              <a16:creationId xmlns:a16="http://schemas.microsoft.com/office/drawing/2014/main" id="{C66539B2-2156-477A-9B1D-4A18A30CA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12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1398</xdr:row>
      <xdr:rowOff>0</xdr:rowOff>
    </xdr:from>
    <xdr:to>
      <xdr:col>0</xdr:col>
      <xdr:colOff>9525</xdr:colOff>
      <xdr:row>1398</xdr:row>
      <xdr:rowOff>9525</xdr:rowOff>
    </xdr:to>
    <xdr:pic>
      <xdr:nvPicPr>
        <xdr:cNvPr id="1068" name="Obraz 1067">
          <a:extLst>
            <a:ext uri="{FF2B5EF4-FFF2-40B4-BE49-F238E27FC236}">
              <a16:creationId xmlns:a16="http://schemas.microsoft.com/office/drawing/2014/main" id="{FC2266CC-07CD-40C1-B4A9-83C17088A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89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1399</xdr:row>
      <xdr:rowOff>0</xdr:rowOff>
    </xdr:from>
    <xdr:to>
      <xdr:col>0</xdr:col>
      <xdr:colOff>9525</xdr:colOff>
      <xdr:row>1399</xdr:row>
      <xdr:rowOff>9525</xdr:rowOff>
    </xdr:to>
    <xdr:pic>
      <xdr:nvPicPr>
        <xdr:cNvPr id="1069" name="Obraz 1068">
          <a:extLst>
            <a:ext uri="{FF2B5EF4-FFF2-40B4-BE49-F238E27FC236}">
              <a16:creationId xmlns:a16="http://schemas.microsoft.com/office/drawing/2014/main" id="{6FA43C61-1E89-409A-8B94-9C486A0CE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2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1399</xdr:row>
      <xdr:rowOff>0</xdr:rowOff>
    </xdr:from>
    <xdr:to>
      <xdr:col>0</xdr:col>
      <xdr:colOff>9525</xdr:colOff>
      <xdr:row>1399</xdr:row>
      <xdr:rowOff>9525</xdr:rowOff>
    </xdr:to>
    <xdr:pic>
      <xdr:nvPicPr>
        <xdr:cNvPr id="1070" name="Obraz 1069">
          <a:extLst>
            <a:ext uri="{FF2B5EF4-FFF2-40B4-BE49-F238E27FC236}">
              <a16:creationId xmlns:a16="http://schemas.microsoft.com/office/drawing/2014/main" id="{A6DD8CA2-FB9A-467A-BFD8-FAA79C56C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65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1400</xdr:row>
      <xdr:rowOff>0</xdr:rowOff>
    </xdr:from>
    <xdr:to>
      <xdr:col>0</xdr:col>
      <xdr:colOff>9525</xdr:colOff>
      <xdr:row>1400</xdr:row>
      <xdr:rowOff>9525</xdr:rowOff>
    </xdr:to>
    <xdr:pic>
      <xdr:nvPicPr>
        <xdr:cNvPr id="1071" name="Obraz 1070">
          <a:extLst>
            <a:ext uri="{FF2B5EF4-FFF2-40B4-BE49-F238E27FC236}">
              <a16:creationId xmlns:a16="http://schemas.microsoft.com/office/drawing/2014/main" id="{924CFF23-60EC-4558-BD26-32AA3F011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03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1402</xdr:row>
      <xdr:rowOff>0</xdr:rowOff>
    </xdr:from>
    <xdr:to>
      <xdr:col>0</xdr:col>
      <xdr:colOff>9525</xdr:colOff>
      <xdr:row>1402</xdr:row>
      <xdr:rowOff>9525</xdr:rowOff>
    </xdr:to>
    <xdr:pic>
      <xdr:nvPicPr>
        <xdr:cNvPr id="1072" name="Obraz 1071">
          <a:extLst>
            <a:ext uri="{FF2B5EF4-FFF2-40B4-BE49-F238E27FC236}">
              <a16:creationId xmlns:a16="http://schemas.microsoft.com/office/drawing/2014/main" id="{D4B7EA4C-C363-471F-BA80-95754664F8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708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1406</xdr:row>
      <xdr:rowOff>0</xdr:rowOff>
    </xdr:from>
    <xdr:to>
      <xdr:col>0</xdr:col>
      <xdr:colOff>9525</xdr:colOff>
      <xdr:row>1406</xdr:row>
      <xdr:rowOff>9525</xdr:rowOff>
    </xdr:to>
    <xdr:pic>
      <xdr:nvPicPr>
        <xdr:cNvPr id="1073" name="Obraz 1072">
          <a:extLst>
            <a:ext uri="{FF2B5EF4-FFF2-40B4-BE49-F238E27FC236}">
              <a16:creationId xmlns:a16="http://schemas.microsoft.com/office/drawing/2014/main" id="{36ED22DC-9D39-4B82-B114-26BE253CE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03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1409</xdr:row>
      <xdr:rowOff>0</xdr:rowOff>
    </xdr:from>
    <xdr:to>
      <xdr:col>0</xdr:col>
      <xdr:colOff>9525</xdr:colOff>
      <xdr:row>1409</xdr:row>
      <xdr:rowOff>9525</xdr:rowOff>
    </xdr:to>
    <xdr:pic>
      <xdr:nvPicPr>
        <xdr:cNvPr id="1074" name="Obraz 1073">
          <a:extLst>
            <a:ext uri="{FF2B5EF4-FFF2-40B4-BE49-F238E27FC236}">
              <a16:creationId xmlns:a16="http://schemas.microsoft.com/office/drawing/2014/main" id="{EE73FDD7-36D4-433B-99B4-B7C40D1AC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7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1413</xdr:row>
      <xdr:rowOff>0</xdr:rowOff>
    </xdr:from>
    <xdr:to>
      <xdr:col>0</xdr:col>
      <xdr:colOff>9525</xdr:colOff>
      <xdr:row>1413</xdr:row>
      <xdr:rowOff>9525</xdr:rowOff>
    </xdr:to>
    <xdr:pic>
      <xdr:nvPicPr>
        <xdr:cNvPr id="1075" name="Obraz 1074">
          <a:extLst>
            <a:ext uri="{FF2B5EF4-FFF2-40B4-BE49-F238E27FC236}">
              <a16:creationId xmlns:a16="http://schemas.microsoft.com/office/drawing/2014/main" id="{E73721D8-CCF7-4FC7-A339-2A7A2C1A4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17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1416</xdr:row>
      <xdr:rowOff>0</xdr:rowOff>
    </xdr:from>
    <xdr:to>
      <xdr:col>0</xdr:col>
      <xdr:colOff>9525</xdr:colOff>
      <xdr:row>1416</xdr:row>
      <xdr:rowOff>9525</xdr:rowOff>
    </xdr:to>
    <xdr:pic>
      <xdr:nvPicPr>
        <xdr:cNvPr id="1076" name="Obraz 1075">
          <a:extLst>
            <a:ext uri="{FF2B5EF4-FFF2-40B4-BE49-F238E27FC236}">
              <a16:creationId xmlns:a16="http://schemas.microsoft.com/office/drawing/2014/main" id="{9395EE01-38A8-48FF-BB15-00CA37286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993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1421</xdr:row>
      <xdr:rowOff>0</xdr:rowOff>
    </xdr:from>
    <xdr:to>
      <xdr:col>0</xdr:col>
      <xdr:colOff>9525</xdr:colOff>
      <xdr:row>1421</xdr:row>
      <xdr:rowOff>9525</xdr:rowOff>
    </xdr:to>
    <xdr:pic>
      <xdr:nvPicPr>
        <xdr:cNvPr id="1077" name="Obraz 1076">
          <a:extLst>
            <a:ext uri="{FF2B5EF4-FFF2-40B4-BE49-F238E27FC236}">
              <a16:creationId xmlns:a16="http://schemas.microsoft.com/office/drawing/2014/main" id="{071BF790-3848-4345-8CC5-FAFA9B4AD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08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1424</xdr:row>
      <xdr:rowOff>0</xdr:rowOff>
    </xdr:from>
    <xdr:to>
      <xdr:col>0</xdr:col>
      <xdr:colOff>9525</xdr:colOff>
      <xdr:row>1424</xdr:row>
      <xdr:rowOff>9525</xdr:rowOff>
    </xdr:to>
    <xdr:pic>
      <xdr:nvPicPr>
        <xdr:cNvPr id="1078" name="Obraz 1077">
          <a:extLst>
            <a:ext uri="{FF2B5EF4-FFF2-40B4-BE49-F238E27FC236}">
              <a16:creationId xmlns:a16="http://schemas.microsoft.com/office/drawing/2014/main" id="{2A4B7D52-368C-44D1-AF10-3571C8BDA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127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1427</xdr:row>
      <xdr:rowOff>0</xdr:rowOff>
    </xdr:from>
    <xdr:to>
      <xdr:col>0</xdr:col>
      <xdr:colOff>9525</xdr:colOff>
      <xdr:row>1427</xdr:row>
      <xdr:rowOff>9525</xdr:rowOff>
    </xdr:to>
    <xdr:pic>
      <xdr:nvPicPr>
        <xdr:cNvPr id="1079" name="Obraz 1078">
          <a:extLst>
            <a:ext uri="{FF2B5EF4-FFF2-40B4-BE49-F238E27FC236}">
              <a16:creationId xmlns:a16="http://schemas.microsoft.com/office/drawing/2014/main" id="{33EC8226-D27C-490D-8492-9370CDBBA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03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1431</xdr:row>
      <xdr:rowOff>0</xdr:rowOff>
    </xdr:from>
    <xdr:to>
      <xdr:col>0</xdr:col>
      <xdr:colOff>9525</xdr:colOff>
      <xdr:row>1431</xdr:row>
      <xdr:rowOff>9525</xdr:rowOff>
    </xdr:to>
    <xdr:pic>
      <xdr:nvPicPr>
        <xdr:cNvPr id="1080" name="Obraz 1079">
          <a:extLst>
            <a:ext uri="{FF2B5EF4-FFF2-40B4-BE49-F238E27FC236}">
              <a16:creationId xmlns:a16="http://schemas.microsoft.com/office/drawing/2014/main" id="{A31D5AB0-C067-4314-8EC6-A70CCE884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98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1435</xdr:row>
      <xdr:rowOff>0</xdr:rowOff>
    </xdr:from>
    <xdr:to>
      <xdr:col>0</xdr:col>
      <xdr:colOff>9525</xdr:colOff>
      <xdr:row>1435</xdr:row>
      <xdr:rowOff>9525</xdr:rowOff>
    </xdr:to>
    <xdr:pic>
      <xdr:nvPicPr>
        <xdr:cNvPr id="1081" name="Obraz 1080">
          <a:extLst>
            <a:ext uri="{FF2B5EF4-FFF2-40B4-BE49-F238E27FC236}">
              <a16:creationId xmlns:a16="http://schemas.microsoft.com/office/drawing/2014/main" id="{1DA92FDF-1426-40BA-8334-D627A4E21B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336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1438</xdr:row>
      <xdr:rowOff>0</xdr:rowOff>
    </xdr:from>
    <xdr:to>
      <xdr:col>0</xdr:col>
      <xdr:colOff>9525</xdr:colOff>
      <xdr:row>1438</xdr:row>
      <xdr:rowOff>9525</xdr:rowOff>
    </xdr:to>
    <xdr:pic>
      <xdr:nvPicPr>
        <xdr:cNvPr id="1082" name="Obraz 1081">
          <a:extLst>
            <a:ext uri="{FF2B5EF4-FFF2-40B4-BE49-F238E27FC236}">
              <a16:creationId xmlns:a16="http://schemas.microsoft.com/office/drawing/2014/main" id="{9FAA2E42-1929-48DF-ACE1-481910F0A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12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1442</xdr:row>
      <xdr:rowOff>0</xdr:rowOff>
    </xdr:from>
    <xdr:to>
      <xdr:col>0</xdr:col>
      <xdr:colOff>9525</xdr:colOff>
      <xdr:row>1442</xdr:row>
      <xdr:rowOff>9525</xdr:rowOff>
    </xdr:to>
    <xdr:pic>
      <xdr:nvPicPr>
        <xdr:cNvPr id="1083" name="Obraz 1082">
          <a:extLst>
            <a:ext uri="{FF2B5EF4-FFF2-40B4-BE49-F238E27FC236}">
              <a16:creationId xmlns:a16="http://schemas.microsoft.com/office/drawing/2014/main" id="{3358F107-CE35-491D-A88B-045CF92F9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08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1446</xdr:row>
      <xdr:rowOff>0</xdr:rowOff>
    </xdr:from>
    <xdr:to>
      <xdr:col>0</xdr:col>
      <xdr:colOff>9525</xdr:colOff>
      <xdr:row>1446</xdr:row>
      <xdr:rowOff>9525</xdr:rowOff>
    </xdr:to>
    <xdr:pic>
      <xdr:nvPicPr>
        <xdr:cNvPr id="1084" name="Obraz 1083">
          <a:extLst>
            <a:ext uri="{FF2B5EF4-FFF2-40B4-BE49-F238E27FC236}">
              <a16:creationId xmlns:a16="http://schemas.microsoft.com/office/drawing/2014/main" id="{A90BE54C-749D-4CF0-B812-DD8FC1A8FA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546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1450</xdr:row>
      <xdr:rowOff>0</xdr:rowOff>
    </xdr:from>
    <xdr:to>
      <xdr:col>0</xdr:col>
      <xdr:colOff>9525</xdr:colOff>
      <xdr:row>1450</xdr:row>
      <xdr:rowOff>9525</xdr:rowOff>
    </xdr:to>
    <xdr:pic>
      <xdr:nvPicPr>
        <xdr:cNvPr id="1085" name="Obraz 1084">
          <a:extLst>
            <a:ext uri="{FF2B5EF4-FFF2-40B4-BE49-F238E27FC236}">
              <a16:creationId xmlns:a16="http://schemas.microsoft.com/office/drawing/2014/main" id="{57D29224-B32C-45CE-94F1-8676B3BBF8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41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1453</xdr:row>
      <xdr:rowOff>0</xdr:rowOff>
    </xdr:from>
    <xdr:to>
      <xdr:col>0</xdr:col>
      <xdr:colOff>9525</xdr:colOff>
      <xdr:row>1453</xdr:row>
      <xdr:rowOff>9525</xdr:rowOff>
    </xdr:to>
    <xdr:pic>
      <xdr:nvPicPr>
        <xdr:cNvPr id="1086" name="Obraz 1085">
          <a:extLst>
            <a:ext uri="{FF2B5EF4-FFF2-40B4-BE49-F238E27FC236}">
              <a16:creationId xmlns:a16="http://schemas.microsoft.com/office/drawing/2014/main" id="{4B15E73E-F7F0-4F5B-91BA-9C3128AB8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717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1457</xdr:row>
      <xdr:rowOff>0</xdr:rowOff>
    </xdr:from>
    <xdr:to>
      <xdr:col>0</xdr:col>
      <xdr:colOff>9525</xdr:colOff>
      <xdr:row>1457</xdr:row>
      <xdr:rowOff>9525</xdr:rowOff>
    </xdr:to>
    <xdr:pic>
      <xdr:nvPicPr>
        <xdr:cNvPr id="1087" name="Obraz 1086">
          <a:extLst>
            <a:ext uri="{FF2B5EF4-FFF2-40B4-BE49-F238E27FC236}">
              <a16:creationId xmlns:a16="http://schemas.microsoft.com/office/drawing/2014/main" id="{9304D385-7D33-4EC7-BEC6-D858FA99A2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13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1461</xdr:row>
      <xdr:rowOff>0</xdr:rowOff>
    </xdr:from>
    <xdr:to>
      <xdr:col>0</xdr:col>
      <xdr:colOff>9525</xdr:colOff>
      <xdr:row>1461</xdr:row>
      <xdr:rowOff>9525</xdr:rowOff>
    </xdr:to>
    <xdr:pic>
      <xdr:nvPicPr>
        <xdr:cNvPr id="1088" name="Obraz 1087">
          <a:extLst>
            <a:ext uri="{FF2B5EF4-FFF2-40B4-BE49-F238E27FC236}">
              <a16:creationId xmlns:a16="http://schemas.microsoft.com/office/drawing/2014/main" id="{AF22BBB2-84F9-4A2E-BE23-8B212A70F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08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1465</xdr:row>
      <xdr:rowOff>0</xdr:rowOff>
    </xdr:from>
    <xdr:to>
      <xdr:col>0</xdr:col>
      <xdr:colOff>9525</xdr:colOff>
      <xdr:row>1465</xdr:row>
      <xdr:rowOff>9525</xdr:rowOff>
    </xdr:to>
    <xdr:pic>
      <xdr:nvPicPr>
        <xdr:cNvPr id="1089" name="Obraz 1088">
          <a:extLst>
            <a:ext uri="{FF2B5EF4-FFF2-40B4-BE49-F238E27FC236}">
              <a16:creationId xmlns:a16="http://schemas.microsoft.com/office/drawing/2014/main" id="{BECF5040-91E4-4A5C-90DE-EE7CABE14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03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1469</xdr:row>
      <xdr:rowOff>0</xdr:rowOff>
    </xdr:from>
    <xdr:to>
      <xdr:col>0</xdr:col>
      <xdr:colOff>9525</xdr:colOff>
      <xdr:row>1469</xdr:row>
      <xdr:rowOff>9525</xdr:rowOff>
    </xdr:to>
    <xdr:pic>
      <xdr:nvPicPr>
        <xdr:cNvPr id="1090" name="Obraz 1089">
          <a:extLst>
            <a:ext uri="{FF2B5EF4-FFF2-40B4-BE49-F238E27FC236}">
              <a16:creationId xmlns:a16="http://schemas.microsoft.com/office/drawing/2014/main" id="{DBE9A8B9-B432-4CB9-8B64-78AAA8D1F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984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1472</xdr:row>
      <xdr:rowOff>0</xdr:rowOff>
    </xdr:from>
    <xdr:to>
      <xdr:col>0</xdr:col>
      <xdr:colOff>9525</xdr:colOff>
      <xdr:row>1472</xdr:row>
      <xdr:rowOff>9525</xdr:rowOff>
    </xdr:to>
    <xdr:pic>
      <xdr:nvPicPr>
        <xdr:cNvPr id="1091" name="Obraz 1090">
          <a:extLst>
            <a:ext uri="{FF2B5EF4-FFF2-40B4-BE49-F238E27FC236}">
              <a16:creationId xmlns:a16="http://schemas.microsoft.com/office/drawing/2014/main" id="{4DAE5A5B-DDEC-42BC-B1DB-2912FDEA36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60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1476</xdr:row>
      <xdr:rowOff>0</xdr:rowOff>
    </xdr:from>
    <xdr:to>
      <xdr:col>0</xdr:col>
      <xdr:colOff>9525</xdr:colOff>
      <xdr:row>1476</xdr:row>
      <xdr:rowOff>9525</xdr:rowOff>
    </xdr:to>
    <xdr:pic>
      <xdr:nvPicPr>
        <xdr:cNvPr id="1092" name="Obraz 1091">
          <a:extLst>
            <a:ext uri="{FF2B5EF4-FFF2-40B4-BE49-F238E27FC236}">
              <a16:creationId xmlns:a16="http://schemas.microsoft.com/office/drawing/2014/main" id="{BDD7364E-5509-49DE-ACC6-86B50B421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155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1480</xdr:row>
      <xdr:rowOff>0</xdr:rowOff>
    </xdr:from>
    <xdr:to>
      <xdr:col>0</xdr:col>
      <xdr:colOff>9525</xdr:colOff>
      <xdr:row>1480</xdr:row>
      <xdr:rowOff>9525</xdr:rowOff>
    </xdr:to>
    <xdr:pic>
      <xdr:nvPicPr>
        <xdr:cNvPr id="1093" name="Obraz 1092">
          <a:extLst>
            <a:ext uri="{FF2B5EF4-FFF2-40B4-BE49-F238E27FC236}">
              <a16:creationId xmlns:a16="http://schemas.microsoft.com/office/drawing/2014/main" id="{D7F5DE19-EF8E-41D3-80E3-8102DAEFB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51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1481</xdr:row>
      <xdr:rowOff>0</xdr:rowOff>
    </xdr:from>
    <xdr:to>
      <xdr:col>0</xdr:col>
      <xdr:colOff>9525</xdr:colOff>
      <xdr:row>1481</xdr:row>
      <xdr:rowOff>9525</xdr:rowOff>
    </xdr:to>
    <xdr:pic>
      <xdr:nvPicPr>
        <xdr:cNvPr id="1094" name="Obraz 1093">
          <a:extLst>
            <a:ext uri="{FF2B5EF4-FFF2-40B4-BE49-F238E27FC236}">
              <a16:creationId xmlns:a16="http://schemas.microsoft.com/office/drawing/2014/main" id="{1D9F19A9-E77D-4C34-9502-D01A46ECA5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89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1481</xdr:row>
      <xdr:rowOff>0</xdr:rowOff>
    </xdr:from>
    <xdr:to>
      <xdr:col>0</xdr:col>
      <xdr:colOff>9525</xdr:colOff>
      <xdr:row>1481</xdr:row>
      <xdr:rowOff>9525</xdr:rowOff>
    </xdr:to>
    <xdr:pic>
      <xdr:nvPicPr>
        <xdr:cNvPr id="1095" name="Obraz 1094">
          <a:extLst>
            <a:ext uri="{FF2B5EF4-FFF2-40B4-BE49-F238E27FC236}">
              <a16:creationId xmlns:a16="http://schemas.microsoft.com/office/drawing/2014/main" id="{4D213067-F0E7-4E45-905B-8691C65C76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27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1483</xdr:row>
      <xdr:rowOff>0</xdr:rowOff>
    </xdr:from>
    <xdr:to>
      <xdr:col>0</xdr:col>
      <xdr:colOff>9525</xdr:colOff>
      <xdr:row>1483</xdr:row>
      <xdr:rowOff>9525</xdr:rowOff>
    </xdr:to>
    <xdr:pic>
      <xdr:nvPicPr>
        <xdr:cNvPr id="1096" name="Obraz 1095">
          <a:extLst>
            <a:ext uri="{FF2B5EF4-FFF2-40B4-BE49-F238E27FC236}">
              <a16:creationId xmlns:a16="http://schemas.microsoft.com/office/drawing/2014/main" id="{FEF898E5-EE6A-4358-8972-69B9D5F2E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384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1487</xdr:row>
      <xdr:rowOff>0</xdr:rowOff>
    </xdr:from>
    <xdr:to>
      <xdr:col>0</xdr:col>
      <xdr:colOff>9525</xdr:colOff>
      <xdr:row>1487</xdr:row>
      <xdr:rowOff>9525</xdr:rowOff>
    </xdr:to>
    <xdr:pic>
      <xdr:nvPicPr>
        <xdr:cNvPr id="1097" name="Obraz 1096">
          <a:extLst>
            <a:ext uri="{FF2B5EF4-FFF2-40B4-BE49-F238E27FC236}">
              <a16:creationId xmlns:a16="http://schemas.microsoft.com/office/drawing/2014/main" id="{C318D305-AD44-4C9A-911E-2F113B6362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79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1490</xdr:row>
      <xdr:rowOff>0</xdr:rowOff>
    </xdr:from>
    <xdr:to>
      <xdr:col>0</xdr:col>
      <xdr:colOff>9525</xdr:colOff>
      <xdr:row>1490</xdr:row>
      <xdr:rowOff>9525</xdr:rowOff>
    </xdr:to>
    <xdr:pic>
      <xdr:nvPicPr>
        <xdr:cNvPr id="1098" name="Obraz 1097">
          <a:extLst>
            <a:ext uri="{FF2B5EF4-FFF2-40B4-BE49-F238E27FC236}">
              <a16:creationId xmlns:a16="http://schemas.microsoft.com/office/drawing/2014/main" id="{A86A7B83-ABBD-462C-A0AB-4BA8FD5E5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55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1493</xdr:row>
      <xdr:rowOff>0</xdr:rowOff>
    </xdr:from>
    <xdr:to>
      <xdr:col>0</xdr:col>
      <xdr:colOff>9525</xdr:colOff>
      <xdr:row>1493</xdr:row>
      <xdr:rowOff>9525</xdr:rowOff>
    </xdr:to>
    <xdr:pic>
      <xdr:nvPicPr>
        <xdr:cNvPr id="1099" name="Obraz 1098">
          <a:extLst>
            <a:ext uri="{FF2B5EF4-FFF2-40B4-BE49-F238E27FC236}">
              <a16:creationId xmlns:a16="http://schemas.microsoft.com/office/drawing/2014/main" id="{E94F98F8-378C-438A-9230-7B8664BA2A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32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1494</xdr:row>
      <xdr:rowOff>0</xdr:rowOff>
    </xdr:from>
    <xdr:to>
      <xdr:col>0</xdr:col>
      <xdr:colOff>9525</xdr:colOff>
      <xdr:row>1494</xdr:row>
      <xdr:rowOff>9525</xdr:rowOff>
    </xdr:to>
    <xdr:pic>
      <xdr:nvPicPr>
        <xdr:cNvPr id="1100" name="Obraz 1099">
          <a:extLst>
            <a:ext uri="{FF2B5EF4-FFF2-40B4-BE49-F238E27FC236}">
              <a16:creationId xmlns:a16="http://schemas.microsoft.com/office/drawing/2014/main" id="{94F705C7-183F-4AF0-9220-8EC7F10E67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60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1497</xdr:row>
      <xdr:rowOff>0</xdr:rowOff>
    </xdr:from>
    <xdr:to>
      <xdr:col>0</xdr:col>
      <xdr:colOff>9525</xdr:colOff>
      <xdr:row>1497</xdr:row>
      <xdr:rowOff>9525</xdr:rowOff>
    </xdr:to>
    <xdr:pic>
      <xdr:nvPicPr>
        <xdr:cNvPr id="1101" name="Obraz 1100">
          <a:extLst>
            <a:ext uri="{FF2B5EF4-FFF2-40B4-BE49-F238E27FC236}">
              <a16:creationId xmlns:a16="http://schemas.microsoft.com/office/drawing/2014/main" id="{DE1E56D9-B1F1-4707-8A75-1E87B8824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536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1502</xdr:row>
      <xdr:rowOff>0</xdr:rowOff>
    </xdr:from>
    <xdr:to>
      <xdr:col>0</xdr:col>
      <xdr:colOff>9525</xdr:colOff>
      <xdr:row>1502</xdr:row>
      <xdr:rowOff>9525</xdr:rowOff>
    </xdr:to>
    <xdr:pic>
      <xdr:nvPicPr>
        <xdr:cNvPr id="1102" name="Obraz 1101">
          <a:extLst>
            <a:ext uri="{FF2B5EF4-FFF2-40B4-BE49-F238E27FC236}">
              <a16:creationId xmlns:a16="http://schemas.microsoft.com/office/drawing/2014/main" id="{84F382A5-37F9-4E4D-85F1-83EDC268C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51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1505</xdr:row>
      <xdr:rowOff>0</xdr:rowOff>
    </xdr:from>
    <xdr:to>
      <xdr:col>0</xdr:col>
      <xdr:colOff>9525</xdr:colOff>
      <xdr:row>1505</xdr:row>
      <xdr:rowOff>9525</xdr:rowOff>
    </xdr:to>
    <xdr:pic>
      <xdr:nvPicPr>
        <xdr:cNvPr id="1103" name="Obraz 1102">
          <a:extLst>
            <a:ext uri="{FF2B5EF4-FFF2-40B4-BE49-F238E27FC236}">
              <a16:creationId xmlns:a16="http://schemas.microsoft.com/office/drawing/2014/main" id="{34312C0B-C34D-4490-9294-9009E8685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727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1508</xdr:row>
      <xdr:rowOff>0</xdr:rowOff>
    </xdr:from>
    <xdr:to>
      <xdr:col>0</xdr:col>
      <xdr:colOff>9525</xdr:colOff>
      <xdr:row>1508</xdr:row>
      <xdr:rowOff>9525</xdr:rowOff>
    </xdr:to>
    <xdr:pic>
      <xdr:nvPicPr>
        <xdr:cNvPr id="1104" name="Obraz 1103">
          <a:extLst>
            <a:ext uri="{FF2B5EF4-FFF2-40B4-BE49-F238E27FC236}">
              <a16:creationId xmlns:a16="http://schemas.microsoft.com/office/drawing/2014/main" id="{9A2E90F2-F286-4F42-808D-A1F01ED71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03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1513</xdr:row>
      <xdr:rowOff>0</xdr:rowOff>
    </xdr:from>
    <xdr:to>
      <xdr:col>0</xdr:col>
      <xdr:colOff>9525</xdr:colOff>
      <xdr:row>1513</xdr:row>
      <xdr:rowOff>9525</xdr:rowOff>
    </xdr:to>
    <xdr:pic>
      <xdr:nvPicPr>
        <xdr:cNvPr id="1105" name="Obraz 1104">
          <a:extLst>
            <a:ext uri="{FF2B5EF4-FFF2-40B4-BE49-F238E27FC236}">
              <a16:creationId xmlns:a16="http://schemas.microsoft.com/office/drawing/2014/main" id="{BDC8554E-D06F-4AD1-824D-740437944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17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1516</xdr:row>
      <xdr:rowOff>0</xdr:rowOff>
    </xdr:from>
    <xdr:to>
      <xdr:col>0</xdr:col>
      <xdr:colOff>9525</xdr:colOff>
      <xdr:row>1516</xdr:row>
      <xdr:rowOff>9525</xdr:rowOff>
    </xdr:to>
    <xdr:pic>
      <xdr:nvPicPr>
        <xdr:cNvPr id="1106" name="Obraz 1105">
          <a:extLst>
            <a:ext uri="{FF2B5EF4-FFF2-40B4-BE49-F238E27FC236}">
              <a16:creationId xmlns:a16="http://schemas.microsoft.com/office/drawing/2014/main" id="{3AD80172-A329-4D5B-8613-4C9CBD091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79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1519</xdr:row>
      <xdr:rowOff>0</xdr:rowOff>
    </xdr:from>
    <xdr:to>
      <xdr:col>0</xdr:col>
      <xdr:colOff>9525</xdr:colOff>
      <xdr:row>1519</xdr:row>
      <xdr:rowOff>9525</xdr:rowOff>
    </xdr:to>
    <xdr:pic>
      <xdr:nvPicPr>
        <xdr:cNvPr id="1107" name="Obraz 1106">
          <a:extLst>
            <a:ext uri="{FF2B5EF4-FFF2-40B4-BE49-F238E27FC236}">
              <a16:creationId xmlns:a16="http://schemas.microsoft.com/office/drawing/2014/main" id="{23BBE9CE-2B22-4029-A49B-7252693EA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956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1523</xdr:row>
      <xdr:rowOff>0</xdr:rowOff>
    </xdr:from>
    <xdr:to>
      <xdr:col>0</xdr:col>
      <xdr:colOff>9525</xdr:colOff>
      <xdr:row>1523</xdr:row>
      <xdr:rowOff>9525</xdr:rowOff>
    </xdr:to>
    <xdr:pic>
      <xdr:nvPicPr>
        <xdr:cNvPr id="1108" name="Obraz 1107">
          <a:extLst>
            <a:ext uri="{FF2B5EF4-FFF2-40B4-BE49-F238E27FC236}">
              <a16:creationId xmlns:a16="http://schemas.microsoft.com/office/drawing/2014/main" id="{D10E2062-D528-4116-820A-9776C73F6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51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1527</xdr:row>
      <xdr:rowOff>0</xdr:rowOff>
    </xdr:from>
    <xdr:to>
      <xdr:col>0</xdr:col>
      <xdr:colOff>9525</xdr:colOff>
      <xdr:row>1527</xdr:row>
      <xdr:rowOff>9525</xdr:rowOff>
    </xdr:to>
    <xdr:pic>
      <xdr:nvPicPr>
        <xdr:cNvPr id="1109" name="Obraz 1108">
          <a:extLst>
            <a:ext uri="{FF2B5EF4-FFF2-40B4-BE49-F238E27FC236}">
              <a16:creationId xmlns:a16="http://schemas.microsoft.com/office/drawing/2014/main" id="{7EC844B7-F1DF-4CCC-A5DF-BF147BD52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146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1530</xdr:row>
      <xdr:rowOff>0</xdr:rowOff>
    </xdr:from>
    <xdr:to>
      <xdr:col>0</xdr:col>
      <xdr:colOff>9525</xdr:colOff>
      <xdr:row>1530</xdr:row>
      <xdr:rowOff>9525</xdr:rowOff>
    </xdr:to>
    <xdr:pic>
      <xdr:nvPicPr>
        <xdr:cNvPr id="1110" name="Obraz 1109">
          <a:extLst>
            <a:ext uri="{FF2B5EF4-FFF2-40B4-BE49-F238E27FC236}">
              <a16:creationId xmlns:a16="http://schemas.microsoft.com/office/drawing/2014/main" id="{47D3E5CF-4C37-44FB-AA9D-F13A04C06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22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1534</xdr:row>
      <xdr:rowOff>0</xdr:rowOff>
    </xdr:from>
    <xdr:to>
      <xdr:col>0</xdr:col>
      <xdr:colOff>9525</xdr:colOff>
      <xdr:row>1534</xdr:row>
      <xdr:rowOff>9525</xdr:rowOff>
    </xdr:to>
    <xdr:pic>
      <xdr:nvPicPr>
        <xdr:cNvPr id="1111" name="Obraz 1110">
          <a:extLst>
            <a:ext uri="{FF2B5EF4-FFF2-40B4-BE49-F238E27FC236}">
              <a16:creationId xmlns:a16="http://schemas.microsoft.com/office/drawing/2014/main" id="{1489A9FB-2A6E-4DDF-A814-CDE7C53FD9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17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1538</xdr:row>
      <xdr:rowOff>0</xdr:rowOff>
    </xdr:from>
    <xdr:to>
      <xdr:col>0</xdr:col>
      <xdr:colOff>9525</xdr:colOff>
      <xdr:row>1538</xdr:row>
      <xdr:rowOff>9525</xdr:rowOff>
    </xdr:to>
    <xdr:pic>
      <xdr:nvPicPr>
        <xdr:cNvPr id="1112" name="Obraz 1111">
          <a:extLst>
            <a:ext uri="{FF2B5EF4-FFF2-40B4-BE49-F238E27FC236}">
              <a16:creationId xmlns:a16="http://schemas.microsoft.com/office/drawing/2014/main" id="{20C01CB8-AFF1-4BE4-B51D-F21658DDE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13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1539</xdr:row>
      <xdr:rowOff>0</xdr:rowOff>
    </xdr:from>
    <xdr:to>
      <xdr:col>0</xdr:col>
      <xdr:colOff>9525</xdr:colOff>
      <xdr:row>1539</xdr:row>
      <xdr:rowOff>9525</xdr:rowOff>
    </xdr:to>
    <xdr:pic>
      <xdr:nvPicPr>
        <xdr:cNvPr id="1113" name="Obraz 1112">
          <a:extLst>
            <a:ext uri="{FF2B5EF4-FFF2-40B4-BE49-F238E27FC236}">
              <a16:creationId xmlns:a16="http://schemas.microsoft.com/office/drawing/2014/main" id="{BD213C4D-9CA5-4E84-943F-1948A04DA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51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1541</xdr:row>
      <xdr:rowOff>0</xdr:rowOff>
    </xdr:from>
    <xdr:to>
      <xdr:col>0</xdr:col>
      <xdr:colOff>9525</xdr:colOff>
      <xdr:row>1541</xdr:row>
      <xdr:rowOff>9525</xdr:rowOff>
    </xdr:to>
    <xdr:pic>
      <xdr:nvPicPr>
        <xdr:cNvPr id="1114" name="Obraz 1113">
          <a:extLst>
            <a:ext uri="{FF2B5EF4-FFF2-40B4-BE49-F238E27FC236}">
              <a16:creationId xmlns:a16="http://schemas.microsoft.com/office/drawing/2014/main" id="{BDA4C55F-2E45-46A3-9AA2-76FFB796E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356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1545</xdr:row>
      <xdr:rowOff>0</xdr:rowOff>
    </xdr:from>
    <xdr:to>
      <xdr:col>0</xdr:col>
      <xdr:colOff>9525</xdr:colOff>
      <xdr:row>1545</xdr:row>
      <xdr:rowOff>9525</xdr:rowOff>
    </xdr:to>
    <xdr:pic>
      <xdr:nvPicPr>
        <xdr:cNvPr id="1115" name="Obraz 1114">
          <a:extLst>
            <a:ext uri="{FF2B5EF4-FFF2-40B4-BE49-F238E27FC236}">
              <a16:creationId xmlns:a16="http://schemas.microsoft.com/office/drawing/2014/main" id="{1A115681-CC22-4DC2-922F-3653B12A70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51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1548</xdr:row>
      <xdr:rowOff>0</xdr:rowOff>
    </xdr:from>
    <xdr:to>
      <xdr:col>0</xdr:col>
      <xdr:colOff>9525</xdr:colOff>
      <xdr:row>1548</xdr:row>
      <xdr:rowOff>9525</xdr:rowOff>
    </xdr:to>
    <xdr:pic>
      <xdr:nvPicPr>
        <xdr:cNvPr id="1116" name="Obraz 1115">
          <a:extLst>
            <a:ext uri="{FF2B5EF4-FFF2-40B4-BE49-F238E27FC236}">
              <a16:creationId xmlns:a16="http://schemas.microsoft.com/office/drawing/2014/main" id="{D972556D-49B1-4104-BFD7-A38E5D6C8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527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1552</xdr:row>
      <xdr:rowOff>0</xdr:rowOff>
    </xdr:from>
    <xdr:to>
      <xdr:col>0</xdr:col>
      <xdr:colOff>9525</xdr:colOff>
      <xdr:row>1552</xdr:row>
      <xdr:rowOff>9525</xdr:rowOff>
    </xdr:to>
    <xdr:pic>
      <xdr:nvPicPr>
        <xdr:cNvPr id="1117" name="Obraz 1116">
          <a:extLst>
            <a:ext uri="{FF2B5EF4-FFF2-40B4-BE49-F238E27FC236}">
              <a16:creationId xmlns:a16="http://schemas.microsoft.com/office/drawing/2014/main" id="{3AF1743B-B3FC-46B8-91C4-EED0837E3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22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1555</xdr:row>
      <xdr:rowOff>0</xdr:rowOff>
    </xdr:from>
    <xdr:to>
      <xdr:col>0</xdr:col>
      <xdr:colOff>9525</xdr:colOff>
      <xdr:row>1555</xdr:row>
      <xdr:rowOff>9525</xdr:rowOff>
    </xdr:to>
    <xdr:pic>
      <xdr:nvPicPr>
        <xdr:cNvPr id="1118" name="Obraz 1117">
          <a:extLst>
            <a:ext uri="{FF2B5EF4-FFF2-40B4-BE49-F238E27FC236}">
              <a16:creationId xmlns:a16="http://schemas.microsoft.com/office/drawing/2014/main" id="{32D481CD-B548-4B04-A2D7-35EDE6CB9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98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1559</xdr:row>
      <xdr:rowOff>0</xdr:rowOff>
    </xdr:from>
    <xdr:to>
      <xdr:col>0</xdr:col>
      <xdr:colOff>9525</xdr:colOff>
      <xdr:row>1559</xdr:row>
      <xdr:rowOff>9525</xdr:rowOff>
    </xdr:to>
    <xdr:pic>
      <xdr:nvPicPr>
        <xdr:cNvPr id="1119" name="Obraz 1118">
          <a:extLst>
            <a:ext uri="{FF2B5EF4-FFF2-40B4-BE49-F238E27FC236}">
              <a16:creationId xmlns:a16="http://schemas.microsoft.com/office/drawing/2014/main" id="{5EEEAD5F-3393-4C4E-8185-31F7E76D4A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794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1562</xdr:row>
      <xdr:rowOff>0</xdr:rowOff>
    </xdr:from>
    <xdr:to>
      <xdr:col>0</xdr:col>
      <xdr:colOff>9525</xdr:colOff>
      <xdr:row>1562</xdr:row>
      <xdr:rowOff>9525</xdr:rowOff>
    </xdr:to>
    <xdr:pic>
      <xdr:nvPicPr>
        <xdr:cNvPr id="1120" name="Obraz 1119">
          <a:extLst>
            <a:ext uri="{FF2B5EF4-FFF2-40B4-BE49-F238E27FC236}">
              <a16:creationId xmlns:a16="http://schemas.microsoft.com/office/drawing/2014/main" id="{D60CEC4A-F6B9-47A0-9338-AE43A26B5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70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1563</xdr:row>
      <xdr:rowOff>0</xdr:rowOff>
    </xdr:from>
    <xdr:to>
      <xdr:col>0</xdr:col>
      <xdr:colOff>9525</xdr:colOff>
      <xdr:row>1563</xdr:row>
      <xdr:rowOff>9525</xdr:rowOff>
    </xdr:to>
    <xdr:pic>
      <xdr:nvPicPr>
        <xdr:cNvPr id="1121" name="Obraz 1120">
          <a:extLst>
            <a:ext uri="{FF2B5EF4-FFF2-40B4-BE49-F238E27FC236}">
              <a16:creationId xmlns:a16="http://schemas.microsoft.com/office/drawing/2014/main" id="{E7175F28-850C-4E11-9702-08D79854F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08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1564</xdr:row>
      <xdr:rowOff>0</xdr:rowOff>
    </xdr:from>
    <xdr:to>
      <xdr:col>0</xdr:col>
      <xdr:colOff>9525</xdr:colOff>
      <xdr:row>1564</xdr:row>
      <xdr:rowOff>9525</xdr:rowOff>
    </xdr:to>
    <xdr:pic>
      <xdr:nvPicPr>
        <xdr:cNvPr id="1122" name="Obraz 1121">
          <a:extLst>
            <a:ext uri="{FF2B5EF4-FFF2-40B4-BE49-F238E27FC236}">
              <a16:creationId xmlns:a16="http://schemas.microsoft.com/office/drawing/2014/main" id="{2685C4D6-893C-45F8-97D0-5D9D97608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46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1566</xdr:row>
      <xdr:rowOff>0</xdr:rowOff>
    </xdr:from>
    <xdr:to>
      <xdr:col>0</xdr:col>
      <xdr:colOff>9525</xdr:colOff>
      <xdr:row>1566</xdr:row>
      <xdr:rowOff>9525</xdr:rowOff>
    </xdr:to>
    <xdr:pic>
      <xdr:nvPicPr>
        <xdr:cNvPr id="1123" name="Obraz 1122">
          <a:extLst>
            <a:ext uri="{FF2B5EF4-FFF2-40B4-BE49-F238E27FC236}">
              <a16:creationId xmlns:a16="http://schemas.microsoft.com/office/drawing/2014/main" id="{1D79A17F-B2F2-46B8-B1F8-5E78FC411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32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1570</xdr:row>
      <xdr:rowOff>0</xdr:rowOff>
    </xdr:from>
    <xdr:to>
      <xdr:col>0</xdr:col>
      <xdr:colOff>9525</xdr:colOff>
      <xdr:row>1570</xdr:row>
      <xdr:rowOff>9525</xdr:rowOff>
    </xdr:to>
    <xdr:pic>
      <xdr:nvPicPr>
        <xdr:cNvPr id="1124" name="Obraz 1123">
          <a:extLst>
            <a:ext uri="{FF2B5EF4-FFF2-40B4-BE49-F238E27FC236}">
              <a16:creationId xmlns:a16="http://schemas.microsoft.com/office/drawing/2014/main" id="{21D82DAC-CCFF-4D09-990F-088D9BA47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927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1573</xdr:row>
      <xdr:rowOff>0</xdr:rowOff>
    </xdr:from>
    <xdr:to>
      <xdr:col>0</xdr:col>
      <xdr:colOff>9525</xdr:colOff>
      <xdr:row>1573</xdr:row>
      <xdr:rowOff>9525</xdr:rowOff>
    </xdr:to>
    <xdr:pic>
      <xdr:nvPicPr>
        <xdr:cNvPr id="1125" name="Obraz 1124">
          <a:extLst>
            <a:ext uri="{FF2B5EF4-FFF2-40B4-BE49-F238E27FC236}">
              <a16:creationId xmlns:a16="http://schemas.microsoft.com/office/drawing/2014/main" id="{49A4CF98-43C1-4C90-9311-393A4F6A4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03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1577</xdr:row>
      <xdr:rowOff>0</xdr:rowOff>
    </xdr:from>
    <xdr:to>
      <xdr:col>0</xdr:col>
      <xdr:colOff>9525</xdr:colOff>
      <xdr:row>1577</xdr:row>
      <xdr:rowOff>9525</xdr:rowOff>
    </xdr:to>
    <xdr:pic>
      <xdr:nvPicPr>
        <xdr:cNvPr id="1126" name="Obraz 1125">
          <a:extLst>
            <a:ext uri="{FF2B5EF4-FFF2-40B4-BE49-F238E27FC236}">
              <a16:creationId xmlns:a16="http://schemas.microsoft.com/office/drawing/2014/main" id="{E152B6B9-FD77-4893-87E2-5A81CCB67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41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1581</xdr:row>
      <xdr:rowOff>0</xdr:rowOff>
    </xdr:from>
    <xdr:to>
      <xdr:col>0</xdr:col>
      <xdr:colOff>9525</xdr:colOff>
      <xdr:row>1581</xdr:row>
      <xdr:rowOff>9525</xdr:rowOff>
    </xdr:to>
    <xdr:pic>
      <xdr:nvPicPr>
        <xdr:cNvPr id="1127" name="Obraz 1126">
          <a:extLst>
            <a:ext uri="{FF2B5EF4-FFF2-40B4-BE49-F238E27FC236}">
              <a16:creationId xmlns:a16="http://schemas.microsoft.com/office/drawing/2014/main" id="{65F03B37-9342-42B9-B6E4-C7BF78D4A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137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1584</xdr:row>
      <xdr:rowOff>0</xdr:rowOff>
    </xdr:from>
    <xdr:to>
      <xdr:col>0</xdr:col>
      <xdr:colOff>9525</xdr:colOff>
      <xdr:row>1584</xdr:row>
      <xdr:rowOff>9525</xdr:rowOff>
    </xdr:to>
    <xdr:pic>
      <xdr:nvPicPr>
        <xdr:cNvPr id="1128" name="Obraz 1127">
          <a:extLst>
            <a:ext uri="{FF2B5EF4-FFF2-40B4-BE49-F238E27FC236}">
              <a16:creationId xmlns:a16="http://schemas.microsoft.com/office/drawing/2014/main" id="{9B6AEFFB-8BCE-411F-8259-5383A5701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13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1588</xdr:row>
      <xdr:rowOff>0</xdr:rowOff>
    </xdr:from>
    <xdr:to>
      <xdr:col>0</xdr:col>
      <xdr:colOff>9525</xdr:colOff>
      <xdr:row>1588</xdr:row>
      <xdr:rowOff>9525</xdr:rowOff>
    </xdr:to>
    <xdr:pic>
      <xdr:nvPicPr>
        <xdr:cNvPr id="1129" name="Obraz 1128">
          <a:extLst>
            <a:ext uri="{FF2B5EF4-FFF2-40B4-BE49-F238E27FC236}">
              <a16:creationId xmlns:a16="http://schemas.microsoft.com/office/drawing/2014/main" id="{C600E27E-C08B-40EE-91BA-3BFDBF82C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51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1592</xdr:row>
      <xdr:rowOff>0</xdr:rowOff>
    </xdr:from>
    <xdr:to>
      <xdr:col>0</xdr:col>
      <xdr:colOff>9525</xdr:colOff>
      <xdr:row>1592</xdr:row>
      <xdr:rowOff>9525</xdr:rowOff>
    </xdr:to>
    <xdr:pic>
      <xdr:nvPicPr>
        <xdr:cNvPr id="1130" name="Obraz 1129">
          <a:extLst>
            <a:ext uri="{FF2B5EF4-FFF2-40B4-BE49-F238E27FC236}">
              <a16:creationId xmlns:a16="http://schemas.microsoft.com/office/drawing/2014/main" id="{F29B2BB3-5C19-429A-B7CA-E3D2035BA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346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1596</xdr:row>
      <xdr:rowOff>0</xdr:rowOff>
    </xdr:from>
    <xdr:to>
      <xdr:col>0</xdr:col>
      <xdr:colOff>9525</xdr:colOff>
      <xdr:row>1596</xdr:row>
      <xdr:rowOff>9525</xdr:rowOff>
    </xdr:to>
    <xdr:pic>
      <xdr:nvPicPr>
        <xdr:cNvPr id="1131" name="Obraz 1130">
          <a:extLst>
            <a:ext uri="{FF2B5EF4-FFF2-40B4-BE49-F238E27FC236}">
              <a16:creationId xmlns:a16="http://schemas.microsoft.com/office/drawing/2014/main" id="{2E426BDD-A8C5-4420-A672-FE682BE31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41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1600</xdr:row>
      <xdr:rowOff>0</xdr:rowOff>
    </xdr:from>
    <xdr:to>
      <xdr:col>0</xdr:col>
      <xdr:colOff>9525</xdr:colOff>
      <xdr:row>1600</xdr:row>
      <xdr:rowOff>9525</xdr:rowOff>
    </xdr:to>
    <xdr:pic>
      <xdr:nvPicPr>
        <xdr:cNvPr id="1132" name="Obraz 1131">
          <a:extLst>
            <a:ext uri="{FF2B5EF4-FFF2-40B4-BE49-F238E27FC236}">
              <a16:creationId xmlns:a16="http://schemas.microsoft.com/office/drawing/2014/main" id="{18BBDF33-BC85-4A95-8736-7EC8CAE1C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80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1604</xdr:row>
      <xdr:rowOff>0</xdr:rowOff>
    </xdr:from>
    <xdr:to>
      <xdr:col>0</xdr:col>
      <xdr:colOff>9525</xdr:colOff>
      <xdr:row>1604</xdr:row>
      <xdr:rowOff>9525</xdr:rowOff>
    </xdr:to>
    <xdr:pic>
      <xdr:nvPicPr>
        <xdr:cNvPr id="1133" name="Obraz 1132">
          <a:extLst>
            <a:ext uri="{FF2B5EF4-FFF2-40B4-BE49-F238E27FC236}">
              <a16:creationId xmlns:a16="http://schemas.microsoft.com/office/drawing/2014/main" id="{D1BCFB09-2B7A-4B7E-87C8-87686CB33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575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1607</xdr:row>
      <xdr:rowOff>0</xdr:rowOff>
    </xdr:from>
    <xdr:to>
      <xdr:col>0</xdr:col>
      <xdr:colOff>9525</xdr:colOff>
      <xdr:row>1607</xdr:row>
      <xdr:rowOff>9525</xdr:rowOff>
    </xdr:to>
    <xdr:pic>
      <xdr:nvPicPr>
        <xdr:cNvPr id="1134" name="Obraz 1133">
          <a:extLst>
            <a:ext uri="{FF2B5EF4-FFF2-40B4-BE49-F238E27FC236}">
              <a16:creationId xmlns:a16="http://schemas.microsoft.com/office/drawing/2014/main" id="{08C0BA84-D4CD-492C-8119-70DF5104F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51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1611</xdr:row>
      <xdr:rowOff>0</xdr:rowOff>
    </xdr:from>
    <xdr:to>
      <xdr:col>0</xdr:col>
      <xdr:colOff>9525</xdr:colOff>
      <xdr:row>1611</xdr:row>
      <xdr:rowOff>9525</xdr:rowOff>
    </xdr:to>
    <xdr:pic>
      <xdr:nvPicPr>
        <xdr:cNvPr id="1135" name="Obraz 1134">
          <a:extLst>
            <a:ext uri="{FF2B5EF4-FFF2-40B4-BE49-F238E27FC236}">
              <a16:creationId xmlns:a16="http://schemas.microsoft.com/office/drawing/2014/main" id="{5CA11784-83F2-44CA-98A9-0689BDA7D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746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1614</xdr:row>
      <xdr:rowOff>0</xdr:rowOff>
    </xdr:from>
    <xdr:to>
      <xdr:col>0</xdr:col>
      <xdr:colOff>9525</xdr:colOff>
      <xdr:row>1614</xdr:row>
      <xdr:rowOff>9525</xdr:rowOff>
    </xdr:to>
    <xdr:pic>
      <xdr:nvPicPr>
        <xdr:cNvPr id="1136" name="Obraz 1135">
          <a:extLst>
            <a:ext uri="{FF2B5EF4-FFF2-40B4-BE49-F238E27FC236}">
              <a16:creationId xmlns:a16="http://schemas.microsoft.com/office/drawing/2014/main" id="{B7370F17-583A-4092-97DF-B03AF93527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22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1619</xdr:row>
      <xdr:rowOff>0</xdr:rowOff>
    </xdr:from>
    <xdr:to>
      <xdr:col>0</xdr:col>
      <xdr:colOff>9525</xdr:colOff>
      <xdr:row>1619</xdr:row>
      <xdr:rowOff>9525</xdr:rowOff>
    </xdr:to>
    <xdr:pic>
      <xdr:nvPicPr>
        <xdr:cNvPr id="1137" name="Obraz 1136">
          <a:extLst>
            <a:ext uri="{FF2B5EF4-FFF2-40B4-BE49-F238E27FC236}">
              <a16:creationId xmlns:a16="http://schemas.microsoft.com/office/drawing/2014/main" id="{8E32DAD2-C69C-4B78-93A7-9A975E359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37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1622</xdr:row>
      <xdr:rowOff>0</xdr:rowOff>
    </xdr:from>
    <xdr:to>
      <xdr:col>0</xdr:col>
      <xdr:colOff>9525</xdr:colOff>
      <xdr:row>1622</xdr:row>
      <xdr:rowOff>9525</xdr:rowOff>
    </xdr:to>
    <xdr:pic>
      <xdr:nvPicPr>
        <xdr:cNvPr id="1138" name="Obraz 1137">
          <a:extLst>
            <a:ext uri="{FF2B5EF4-FFF2-40B4-BE49-F238E27FC236}">
              <a16:creationId xmlns:a16="http://schemas.microsoft.com/office/drawing/2014/main" id="{E54D210C-FBF7-484A-BD56-A75F98F67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99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1625</xdr:row>
      <xdr:rowOff>0</xdr:rowOff>
    </xdr:from>
    <xdr:to>
      <xdr:col>0</xdr:col>
      <xdr:colOff>9525</xdr:colOff>
      <xdr:row>1625</xdr:row>
      <xdr:rowOff>9525</xdr:rowOff>
    </xdr:to>
    <xdr:pic>
      <xdr:nvPicPr>
        <xdr:cNvPr id="1139" name="Obraz 1138">
          <a:extLst>
            <a:ext uri="{FF2B5EF4-FFF2-40B4-BE49-F238E27FC236}">
              <a16:creationId xmlns:a16="http://schemas.microsoft.com/office/drawing/2014/main" id="{1A98AA91-D8BC-4094-B57B-98A8BC8B5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975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1629</xdr:row>
      <xdr:rowOff>0</xdr:rowOff>
    </xdr:from>
    <xdr:to>
      <xdr:col>0</xdr:col>
      <xdr:colOff>9525</xdr:colOff>
      <xdr:row>1629</xdr:row>
      <xdr:rowOff>9525</xdr:rowOff>
    </xdr:to>
    <xdr:pic>
      <xdr:nvPicPr>
        <xdr:cNvPr id="1140" name="Obraz 1139">
          <a:extLst>
            <a:ext uri="{FF2B5EF4-FFF2-40B4-BE49-F238E27FC236}">
              <a16:creationId xmlns:a16="http://schemas.microsoft.com/office/drawing/2014/main" id="{015747DA-5368-4C43-8C98-F4FD631BA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70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1633</xdr:row>
      <xdr:rowOff>0</xdr:rowOff>
    </xdr:from>
    <xdr:to>
      <xdr:col>0</xdr:col>
      <xdr:colOff>9525</xdr:colOff>
      <xdr:row>1633</xdr:row>
      <xdr:rowOff>9525</xdr:rowOff>
    </xdr:to>
    <xdr:pic>
      <xdr:nvPicPr>
        <xdr:cNvPr id="1141" name="Obraz 1140">
          <a:extLst>
            <a:ext uri="{FF2B5EF4-FFF2-40B4-BE49-F238E27FC236}">
              <a16:creationId xmlns:a16="http://schemas.microsoft.com/office/drawing/2014/main" id="{37C3A3E0-B319-499B-A2C8-BD466885B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165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1634</xdr:row>
      <xdr:rowOff>0</xdr:rowOff>
    </xdr:from>
    <xdr:to>
      <xdr:col>0</xdr:col>
      <xdr:colOff>9525</xdr:colOff>
      <xdr:row>1634</xdr:row>
      <xdr:rowOff>9525</xdr:rowOff>
    </xdr:to>
    <xdr:pic>
      <xdr:nvPicPr>
        <xdr:cNvPr id="1142" name="Obraz 1141">
          <a:extLst>
            <a:ext uri="{FF2B5EF4-FFF2-40B4-BE49-F238E27FC236}">
              <a16:creationId xmlns:a16="http://schemas.microsoft.com/office/drawing/2014/main" id="{086FBD8F-86E8-4032-A218-C1D2EF790A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03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1634</xdr:row>
      <xdr:rowOff>0</xdr:rowOff>
    </xdr:from>
    <xdr:to>
      <xdr:col>0</xdr:col>
      <xdr:colOff>9525</xdr:colOff>
      <xdr:row>1634</xdr:row>
      <xdr:rowOff>9525</xdr:rowOff>
    </xdr:to>
    <xdr:pic>
      <xdr:nvPicPr>
        <xdr:cNvPr id="1143" name="Obraz 1142">
          <a:extLst>
            <a:ext uri="{FF2B5EF4-FFF2-40B4-BE49-F238E27FC236}">
              <a16:creationId xmlns:a16="http://schemas.microsoft.com/office/drawing/2014/main" id="{7CC18C9E-1632-47C4-8509-C32141E8EB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61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1636</xdr:row>
      <xdr:rowOff>0</xdr:rowOff>
    </xdr:from>
    <xdr:to>
      <xdr:col>0</xdr:col>
      <xdr:colOff>9525</xdr:colOff>
      <xdr:row>1636</xdr:row>
      <xdr:rowOff>9525</xdr:rowOff>
    </xdr:to>
    <xdr:pic>
      <xdr:nvPicPr>
        <xdr:cNvPr id="1144" name="Obraz 1143">
          <a:extLst>
            <a:ext uri="{FF2B5EF4-FFF2-40B4-BE49-F238E27FC236}">
              <a16:creationId xmlns:a16="http://schemas.microsoft.com/office/drawing/2014/main" id="{8EDCEC34-64C1-4C80-8E35-2A0B45450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18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1639</xdr:row>
      <xdr:rowOff>0</xdr:rowOff>
    </xdr:from>
    <xdr:to>
      <xdr:col>0</xdr:col>
      <xdr:colOff>9525</xdr:colOff>
      <xdr:row>1639</xdr:row>
      <xdr:rowOff>9525</xdr:rowOff>
    </xdr:to>
    <xdr:pic>
      <xdr:nvPicPr>
        <xdr:cNvPr id="1145" name="Obraz 1144">
          <a:extLst>
            <a:ext uri="{FF2B5EF4-FFF2-40B4-BE49-F238E27FC236}">
              <a16:creationId xmlns:a16="http://schemas.microsoft.com/office/drawing/2014/main" id="{8AE3FB6C-5E59-4F83-87F4-EA27BCC2E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94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1644</xdr:row>
      <xdr:rowOff>0</xdr:rowOff>
    </xdr:from>
    <xdr:to>
      <xdr:col>0</xdr:col>
      <xdr:colOff>9525</xdr:colOff>
      <xdr:row>1644</xdr:row>
      <xdr:rowOff>9525</xdr:rowOff>
    </xdr:to>
    <xdr:pic>
      <xdr:nvPicPr>
        <xdr:cNvPr id="1146" name="Obraz 1145">
          <a:extLst>
            <a:ext uri="{FF2B5EF4-FFF2-40B4-BE49-F238E27FC236}">
              <a16:creationId xmlns:a16="http://schemas.microsoft.com/office/drawing/2014/main" id="{D0753C42-187A-49E3-9D3D-330CFEEFC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08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1647</xdr:row>
      <xdr:rowOff>0</xdr:rowOff>
    </xdr:from>
    <xdr:to>
      <xdr:col>0</xdr:col>
      <xdr:colOff>9525</xdr:colOff>
      <xdr:row>1647</xdr:row>
      <xdr:rowOff>9525</xdr:rowOff>
    </xdr:to>
    <xdr:pic>
      <xdr:nvPicPr>
        <xdr:cNvPr id="1147" name="Obraz 1146">
          <a:extLst>
            <a:ext uri="{FF2B5EF4-FFF2-40B4-BE49-F238E27FC236}">
              <a16:creationId xmlns:a16="http://schemas.microsoft.com/office/drawing/2014/main" id="{3FC9383B-2F46-4BA7-BC26-8B7C4B917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375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1650</xdr:row>
      <xdr:rowOff>0</xdr:rowOff>
    </xdr:from>
    <xdr:to>
      <xdr:col>0</xdr:col>
      <xdr:colOff>9525</xdr:colOff>
      <xdr:row>1650</xdr:row>
      <xdr:rowOff>9525</xdr:rowOff>
    </xdr:to>
    <xdr:pic>
      <xdr:nvPicPr>
        <xdr:cNvPr id="1148" name="Obraz 1147">
          <a:extLst>
            <a:ext uri="{FF2B5EF4-FFF2-40B4-BE49-F238E27FC236}">
              <a16:creationId xmlns:a16="http://schemas.microsoft.com/office/drawing/2014/main" id="{0A2824C4-4A10-48F4-9953-0955BD451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51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1654</xdr:row>
      <xdr:rowOff>0</xdr:rowOff>
    </xdr:from>
    <xdr:to>
      <xdr:col>0</xdr:col>
      <xdr:colOff>9525</xdr:colOff>
      <xdr:row>1654</xdr:row>
      <xdr:rowOff>9525</xdr:rowOff>
    </xdr:to>
    <xdr:pic>
      <xdr:nvPicPr>
        <xdr:cNvPr id="1149" name="Obraz 1148">
          <a:extLst>
            <a:ext uri="{FF2B5EF4-FFF2-40B4-BE49-F238E27FC236}">
              <a16:creationId xmlns:a16="http://schemas.microsoft.com/office/drawing/2014/main" id="{4E14789C-9285-4596-B459-F1DAC681AD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546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1657</xdr:row>
      <xdr:rowOff>0</xdr:rowOff>
    </xdr:from>
    <xdr:to>
      <xdr:col>0</xdr:col>
      <xdr:colOff>9525</xdr:colOff>
      <xdr:row>1657</xdr:row>
      <xdr:rowOff>9525</xdr:rowOff>
    </xdr:to>
    <xdr:pic>
      <xdr:nvPicPr>
        <xdr:cNvPr id="1150" name="Obraz 1149">
          <a:extLst>
            <a:ext uri="{FF2B5EF4-FFF2-40B4-BE49-F238E27FC236}">
              <a16:creationId xmlns:a16="http://schemas.microsoft.com/office/drawing/2014/main" id="{F038BFB3-C6A0-44FE-A7C5-B21951B40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23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1657</xdr:row>
      <xdr:rowOff>0</xdr:rowOff>
    </xdr:from>
    <xdr:to>
      <xdr:col>0</xdr:col>
      <xdr:colOff>9525</xdr:colOff>
      <xdr:row>1657</xdr:row>
      <xdr:rowOff>9525</xdr:rowOff>
    </xdr:to>
    <xdr:pic>
      <xdr:nvPicPr>
        <xdr:cNvPr id="1151" name="Obraz 1150">
          <a:extLst>
            <a:ext uri="{FF2B5EF4-FFF2-40B4-BE49-F238E27FC236}">
              <a16:creationId xmlns:a16="http://schemas.microsoft.com/office/drawing/2014/main" id="{34EB5455-ADB9-433F-8BA7-C185B7CF3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61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1658</xdr:row>
      <xdr:rowOff>0</xdr:rowOff>
    </xdr:from>
    <xdr:to>
      <xdr:col>0</xdr:col>
      <xdr:colOff>9525</xdr:colOff>
      <xdr:row>1658</xdr:row>
      <xdr:rowOff>9525</xdr:rowOff>
    </xdr:to>
    <xdr:pic>
      <xdr:nvPicPr>
        <xdr:cNvPr id="1152" name="Obraz 1151">
          <a:extLst>
            <a:ext uri="{FF2B5EF4-FFF2-40B4-BE49-F238E27FC236}">
              <a16:creationId xmlns:a16="http://schemas.microsoft.com/office/drawing/2014/main" id="{0C68DB18-9009-4E87-9509-4C0D80EA2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1660</xdr:row>
      <xdr:rowOff>0</xdr:rowOff>
    </xdr:from>
    <xdr:to>
      <xdr:col>0</xdr:col>
      <xdr:colOff>9525</xdr:colOff>
      <xdr:row>1660</xdr:row>
      <xdr:rowOff>9525</xdr:rowOff>
    </xdr:to>
    <xdr:pic>
      <xdr:nvPicPr>
        <xdr:cNvPr id="1153" name="Obraz 1152">
          <a:extLst>
            <a:ext uri="{FF2B5EF4-FFF2-40B4-BE49-F238E27FC236}">
              <a16:creationId xmlns:a16="http://schemas.microsoft.com/office/drawing/2014/main" id="{87C94DE9-E07B-4A39-B21B-26BCEB5E9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23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1663</xdr:row>
      <xdr:rowOff>0</xdr:rowOff>
    </xdr:from>
    <xdr:to>
      <xdr:col>0</xdr:col>
      <xdr:colOff>9525</xdr:colOff>
      <xdr:row>1663</xdr:row>
      <xdr:rowOff>9525</xdr:rowOff>
    </xdr:to>
    <xdr:pic>
      <xdr:nvPicPr>
        <xdr:cNvPr id="1154" name="Obraz 1153">
          <a:extLst>
            <a:ext uri="{FF2B5EF4-FFF2-40B4-BE49-F238E27FC236}">
              <a16:creationId xmlns:a16="http://schemas.microsoft.com/office/drawing/2014/main" id="{FFF487B2-4B89-4E0C-80BB-D67C3C8C1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99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1667</xdr:row>
      <xdr:rowOff>0</xdr:rowOff>
    </xdr:from>
    <xdr:to>
      <xdr:col>0</xdr:col>
      <xdr:colOff>9525</xdr:colOff>
      <xdr:row>1667</xdr:row>
      <xdr:rowOff>9525</xdr:rowOff>
    </xdr:to>
    <xdr:pic>
      <xdr:nvPicPr>
        <xdr:cNvPr id="1155" name="Obraz 1154">
          <a:extLst>
            <a:ext uri="{FF2B5EF4-FFF2-40B4-BE49-F238E27FC236}">
              <a16:creationId xmlns:a16="http://schemas.microsoft.com/office/drawing/2014/main" id="{853CBA66-8D5A-4B58-8A42-DADC8BBDF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794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1671</xdr:row>
      <xdr:rowOff>0</xdr:rowOff>
    </xdr:from>
    <xdr:to>
      <xdr:col>0</xdr:col>
      <xdr:colOff>9525</xdr:colOff>
      <xdr:row>1671</xdr:row>
      <xdr:rowOff>9525</xdr:rowOff>
    </xdr:to>
    <xdr:pic>
      <xdr:nvPicPr>
        <xdr:cNvPr id="1156" name="Obraz 1155">
          <a:extLst>
            <a:ext uri="{FF2B5EF4-FFF2-40B4-BE49-F238E27FC236}">
              <a16:creationId xmlns:a16="http://schemas.microsoft.com/office/drawing/2014/main" id="{67B301EC-5B01-4C5D-981A-81D65FEAC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89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1672</xdr:row>
      <xdr:rowOff>0</xdr:rowOff>
    </xdr:from>
    <xdr:to>
      <xdr:col>0</xdr:col>
      <xdr:colOff>9525</xdr:colOff>
      <xdr:row>1672</xdr:row>
      <xdr:rowOff>9525</xdr:rowOff>
    </xdr:to>
    <xdr:pic>
      <xdr:nvPicPr>
        <xdr:cNvPr id="1157" name="Obraz 1156">
          <a:extLst>
            <a:ext uri="{FF2B5EF4-FFF2-40B4-BE49-F238E27FC236}">
              <a16:creationId xmlns:a16="http://schemas.microsoft.com/office/drawing/2014/main" id="{24EA7A7F-DB2C-4C73-9E28-5ABDA07DD1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27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1674</xdr:row>
      <xdr:rowOff>0</xdr:rowOff>
    </xdr:from>
    <xdr:to>
      <xdr:col>0</xdr:col>
      <xdr:colOff>9525</xdr:colOff>
      <xdr:row>1674</xdr:row>
      <xdr:rowOff>9525</xdr:rowOff>
    </xdr:to>
    <xdr:pic>
      <xdr:nvPicPr>
        <xdr:cNvPr id="1158" name="Obraz 1157">
          <a:extLst>
            <a:ext uri="{FF2B5EF4-FFF2-40B4-BE49-F238E27FC236}">
              <a16:creationId xmlns:a16="http://schemas.microsoft.com/office/drawing/2014/main" id="{5D6E46B5-F883-4EB2-9673-242990FE6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89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1677</xdr:row>
      <xdr:rowOff>0</xdr:rowOff>
    </xdr:from>
    <xdr:to>
      <xdr:col>0</xdr:col>
      <xdr:colOff>9525</xdr:colOff>
      <xdr:row>1677</xdr:row>
      <xdr:rowOff>9525</xdr:rowOff>
    </xdr:to>
    <xdr:pic>
      <xdr:nvPicPr>
        <xdr:cNvPr id="1159" name="Obraz 1158">
          <a:extLst>
            <a:ext uri="{FF2B5EF4-FFF2-40B4-BE49-F238E27FC236}">
              <a16:creationId xmlns:a16="http://schemas.microsoft.com/office/drawing/2014/main" id="{BB786408-30D6-43B7-9BBF-BB14354FE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965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1681</xdr:row>
      <xdr:rowOff>0</xdr:rowOff>
    </xdr:from>
    <xdr:to>
      <xdr:col>0</xdr:col>
      <xdr:colOff>9525</xdr:colOff>
      <xdr:row>1681</xdr:row>
      <xdr:rowOff>9525</xdr:rowOff>
    </xdr:to>
    <xdr:pic>
      <xdr:nvPicPr>
        <xdr:cNvPr id="1160" name="Obraz 1159">
          <a:extLst>
            <a:ext uri="{FF2B5EF4-FFF2-40B4-BE49-F238E27FC236}">
              <a16:creationId xmlns:a16="http://schemas.microsoft.com/office/drawing/2014/main" id="{3750707B-4518-4EB2-8030-9012FCF19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61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1685</xdr:row>
      <xdr:rowOff>0</xdr:rowOff>
    </xdr:from>
    <xdr:to>
      <xdr:col>0</xdr:col>
      <xdr:colOff>9525</xdr:colOff>
      <xdr:row>1685</xdr:row>
      <xdr:rowOff>9525</xdr:rowOff>
    </xdr:to>
    <xdr:pic>
      <xdr:nvPicPr>
        <xdr:cNvPr id="1161" name="Obraz 1160">
          <a:extLst>
            <a:ext uri="{FF2B5EF4-FFF2-40B4-BE49-F238E27FC236}">
              <a16:creationId xmlns:a16="http://schemas.microsoft.com/office/drawing/2014/main" id="{55106E7D-3E77-4898-B2AB-42CDCBF9A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99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1689</xdr:row>
      <xdr:rowOff>0</xdr:rowOff>
    </xdr:from>
    <xdr:to>
      <xdr:col>0</xdr:col>
      <xdr:colOff>9525</xdr:colOff>
      <xdr:row>1689</xdr:row>
      <xdr:rowOff>9525</xdr:rowOff>
    </xdr:to>
    <xdr:pic>
      <xdr:nvPicPr>
        <xdr:cNvPr id="1162" name="Obraz 1161">
          <a:extLst>
            <a:ext uri="{FF2B5EF4-FFF2-40B4-BE49-F238E27FC236}">
              <a16:creationId xmlns:a16="http://schemas.microsoft.com/office/drawing/2014/main" id="{C9229189-64C2-4386-A17C-D2B7110CB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194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1692</xdr:row>
      <xdr:rowOff>0</xdr:rowOff>
    </xdr:from>
    <xdr:to>
      <xdr:col>0</xdr:col>
      <xdr:colOff>9525</xdr:colOff>
      <xdr:row>1692</xdr:row>
      <xdr:rowOff>9525</xdr:rowOff>
    </xdr:to>
    <xdr:pic>
      <xdr:nvPicPr>
        <xdr:cNvPr id="1163" name="Obraz 1162">
          <a:extLst>
            <a:ext uri="{FF2B5EF4-FFF2-40B4-BE49-F238E27FC236}">
              <a16:creationId xmlns:a16="http://schemas.microsoft.com/office/drawing/2014/main" id="{45A8A661-E759-4F80-BE32-B518C5F58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70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1696</xdr:row>
      <xdr:rowOff>0</xdr:rowOff>
    </xdr:from>
    <xdr:to>
      <xdr:col>0</xdr:col>
      <xdr:colOff>9525</xdr:colOff>
      <xdr:row>1696</xdr:row>
      <xdr:rowOff>9525</xdr:rowOff>
    </xdr:to>
    <xdr:pic>
      <xdr:nvPicPr>
        <xdr:cNvPr id="1164" name="Obraz 1163">
          <a:extLst>
            <a:ext uri="{FF2B5EF4-FFF2-40B4-BE49-F238E27FC236}">
              <a16:creationId xmlns:a16="http://schemas.microsoft.com/office/drawing/2014/main" id="{69B0BBD6-3F8E-4DE3-97BF-F08A5BAA5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365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1700</xdr:row>
      <xdr:rowOff>0</xdr:rowOff>
    </xdr:from>
    <xdr:to>
      <xdr:col>0</xdr:col>
      <xdr:colOff>9525</xdr:colOff>
      <xdr:row>1700</xdr:row>
      <xdr:rowOff>9525</xdr:rowOff>
    </xdr:to>
    <xdr:pic>
      <xdr:nvPicPr>
        <xdr:cNvPr id="1165" name="Obraz 1164">
          <a:extLst>
            <a:ext uri="{FF2B5EF4-FFF2-40B4-BE49-F238E27FC236}">
              <a16:creationId xmlns:a16="http://schemas.microsoft.com/office/drawing/2014/main" id="{5F2B39C7-4DE8-41A4-82E2-EE0D962CF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61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1703</xdr:row>
      <xdr:rowOff>0</xdr:rowOff>
    </xdr:from>
    <xdr:to>
      <xdr:col>0</xdr:col>
      <xdr:colOff>9525</xdr:colOff>
      <xdr:row>1703</xdr:row>
      <xdr:rowOff>9525</xdr:rowOff>
    </xdr:to>
    <xdr:pic>
      <xdr:nvPicPr>
        <xdr:cNvPr id="1166" name="Obraz 1165">
          <a:extLst>
            <a:ext uri="{FF2B5EF4-FFF2-40B4-BE49-F238E27FC236}">
              <a16:creationId xmlns:a16="http://schemas.microsoft.com/office/drawing/2014/main" id="{0B122E2B-E815-41EA-8585-6783797CA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37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1707</xdr:row>
      <xdr:rowOff>0</xdr:rowOff>
    </xdr:from>
    <xdr:to>
      <xdr:col>0</xdr:col>
      <xdr:colOff>9525</xdr:colOff>
      <xdr:row>1707</xdr:row>
      <xdr:rowOff>9525</xdr:rowOff>
    </xdr:to>
    <xdr:pic>
      <xdr:nvPicPr>
        <xdr:cNvPr id="1167" name="Obraz 1166">
          <a:extLst>
            <a:ext uri="{FF2B5EF4-FFF2-40B4-BE49-F238E27FC236}">
              <a16:creationId xmlns:a16="http://schemas.microsoft.com/office/drawing/2014/main" id="{527843A8-BE72-46DC-91D0-9AD3F0A91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18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1710</xdr:row>
      <xdr:rowOff>0</xdr:rowOff>
    </xdr:from>
    <xdr:to>
      <xdr:col>0</xdr:col>
      <xdr:colOff>9525</xdr:colOff>
      <xdr:row>1710</xdr:row>
      <xdr:rowOff>9525</xdr:rowOff>
    </xdr:to>
    <xdr:pic>
      <xdr:nvPicPr>
        <xdr:cNvPr id="1168" name="Obraz 1167">
          <a:extLst>
            <a:ext uri="{FF2B5EF4-FFF2-40B4-BE49-F238E27FC236}">
              <a16:creationId xmlns:a16="http://schemas.microsoft.com/office/drawing/2014/main" id="{959514E5-3759-437B-B369-07B8D2265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594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1714</xdr:row>
      <xdr:rowOff>0</xdr:rowOff>
    </xdr:from>
    <xdr:to>
      <xdr:col>0</xdr:col>
      <xdr:colOff>9525</xdr:colOff>
      <xdr:row>1714</xdr:row>
      <xdr:rowOff>9525</xdr:rowOff>
    </xdr:to>
    <xdr:pic>
      <xdr:nvPicPr>
        <xdr:cNvPr id="1169" name="Obraz 1168">
          <a:extLst>
            <a:ext uri="{FF2B5EF4-FFF2-40B4-BE49-F238E27FC236}">
              <a16:creationId xmlns:a16="http://schemas.microsoft.com/office/drawing/2014/main" id="{9C7C3639-598F-4936-A666-B29AE7E57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89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1718</xdr:row>
      <xdr:rowOff>0</xdr:rowOff>
    </xdr:from>
    <xdr:to>
      <xdr:col>0</xdr:col>
      <xdr:colOff>9525</xdr:colOff>
      <xdr:row>1718</xdr:row>
      <xdr:rowOff>9525</xdr:rowOff>
    </xdr:to>
    <xdr:pic>
      <xdr:nvPicPr>
        <xdr:cNvPr id="1170" name="Obraz 1169">
          <a:extLst>
            <a:ext uri="{FF2B5EF4-FFF2-40B4-BE49-F238E27FC236}">
              <a16:creationId xmlns:a16="http://schemas.microsoft.com/office/drawing/2014/main" id="{958401F6-2241-4405-ACFD-C7FFEF3F3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727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1721</xdr:row>
      <xdr:rowOff>0</xdr:rowOff>
    </xdr:from>
    <xdr:to>
      <xdr:col>0</xdr:col>
      <xdr:colOff>9525</xdr:colOff>
      <xdr:row>1721</xdr:row>
      <xdr:rowOff>9525</xdr:rowOff>
    </xdr:to>
    <xdr:pic>
      <xdr:nvPicPr>
        <xdr:cNvPr id="1171" name="Obraz 1170">
          <a:extLst>
            <a:ext uri="{FF2B5EF4-FFF2-40B4-BE49-F238E27FC236}">
              <a16:creationId xmlns:a16="http://schemas.microsoft.com/office/drawing/2014/main" id="{77E34C79-33F9-405F-A086-4BE7E292F7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04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1725</xdr:row>
      <xdr:rowOff>0</xdr:rowOff>
    </xdr:from>
    <xdr:to>
      <xdr:col>0</xdr:col>
      <xdr:colOff>9525</xdr:colOff>
      <xdr:row>1725</xdr:row>
      <xdr:rowOff>9525</xdr:rowOff>
    </xdr:to>
    <xdr:pic>
      <xdr:nvPicPr>
        <xdr:cNvPr id="1172" name="Obraz 1171">
          <a:extLst>
            <a:ext uri="{FF2B5EF4-FFF2-40B4-BE49-F238E27FC236}">
              <a16:creationId xmlns:a16="http://schemas.microsoft.com/office/drawing/2014/main" id="{FB5D6F51-FE2B-409F-A986-EAE5222BD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99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1729</xdr:row>
      <xdr:rowOff>0</xdr:rowOff>
    </xdr:from>
    <xdr:to>
      <xdr:col>0</xdr:col>
      <xdr:colOff>9525</xdr:colOff>
      <xdr:row>1729</xdr:row>
      <xdr:rowOff>9525</xdr:rowOff>
    </xdr:to>
    <xdr:pic>
      <xdr:nvPicPr>
        <xdr:cNvPr id="1173" name="Obraz 1172">
          <a:extLst>
            <a:ext uri="{FF2B5EF4-FFF2-40B4-BE49-F238E27FC236}">
              <a16:creationId xmlns:a16="http://schemas.microsoft.com/office/drawing/2014/main" id="{6B01C332-32C0-4F0E-A146-EE3626435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937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1732</xdr:row>
      <xdr:rowOff>0</xdr:rowOff>
    </xdr:from>
    <xdr:to>
      <xdr:col>0</xdr:col>
      <xdr:colOff>9525</xdr:colOff>
      <xdr:row>1732</xdr:row>
      <xdr:rowOff>9525</xdr:rowOff>
    </xdr:to>
    <xdr:pic>
      <xdr:nvPicPr>
        <xdr:cNvPr id="1174" name="Obraz 1173">
          <a:extLst>
            <a:ext uri="{FF2B5EF4-FFF2-40B4-BE49-F238E27FC236}">
              <a16:creationId xmlns:a16="http://schemas.microsoft.com/office/drawing/2014/main" id="{75741201-E3C0-47E3-A577-98E26C0FB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13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1736</xdr:row>
      <xdr:rowOff>0</xdr:rowOff>
    </xdr:from>
    <xdr:to>
      <xdr:col>0</xdr:col>
      <xdr:colOff>9525</xdr:colOff>
      <xdr:row>1736</xdr:row>
      <xdr:rowOff>9525</xdr:rowOff>
    </xdr:to>
    <xdr:pic>
      <xdr:nvPicPr>
        <xdr:cNvPr id="1175" name="Obraz 1174">
          <a:extLst>
            <a:ext uri="{FF2B5EF4-FFF2-40B4-BE49-F238E27FC236}">
              <a16:creationId xmlns:a16="http://schemas.microsoft.com/office/drawing/2014/main" id="{23386EA5-520F-4610-AE17-28F1EC51A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08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1740</xdr:row>
      <xdr:rowOff>0</xdr:rowOff>
    </xdr:from>
    <xdr:to>
      <xdr:col>0</xdr:col>
      <xdr:colOff>9525</xdr:colOff>
      <xdr:row>1740</xdr:row>
      <xdr:rowOff>9525</xdr:rowOff>
    </xdr:to>
    <xdr:pic>
      <xdr:nvPicPr>
        <xdr:cNvPr id="1176" name="Obraz 1175">
          <a:extLst>
            <a:ext uri="{FF2B5EF4-FFF2-40B4-BE49-F238E27FC236}">
              <a16:creationId xmlns:a16="http://schemas.microsoft.com/office/drawing/2014/main" id="{FDD7D5AE-4898-4830-91AC-8CECAF167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147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1743</xdr:row>
      <xdr:rowOff>0</xdr:rowOff>
    </xdr:from>
    <xdr:to>
      <xdr:col>0</xdr:col>
      <xdr:colOff>9525</xdr:colOff>
      <xdr:row>1743</xdr:row>
      <xdr:rowOff>9525</xdr:rowOff>
    </xdr:to>
    <xdr:pic>
      <xdr:nvPicPr>
        <xdr:cNvPr id="1177" name="Obraz 1176">
          <a:extLst>
            <a:ext uri="{FF2B5EF4-FFF2-40B4-BE49-F238E27FC236}">
              <a16:creationId xmlns:a16="http://schemas.microsoft.com/office/drawing/2014/main" id="{F8DC907E-AF0F-4076-B503-08D5CFB81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23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1747</xdr:row>
      <xdr:rowOff>0</xdr:rowOff>
    </xdr:from>
    <xdr:to>
      <xdr:col>0</xdr:col>
      <xdr:colOff>9525</xdr:colOff>
      <xdr:row>1747</xdr:row>
      <xdr:rowOff>9525</xdr:rowOff>
    </xdr:to>
    <xdr:pic>
      <xdr:nvPicPr>
        <xdr:cNvPr id="1178" name="Obraz 1177">
          <a:extLst>
            <a:ext uri="{FF2B5EF4-FFF2-40B4-BE49-F238E27FC236}">
              <a16:creationId xmlns:a16="http://schemas.microsoft.com/office/drawing/2014/main" id="{DB737AF0-E5BE-4101-9FA8-1BAEBF69A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18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1751</xdr:row>
      <xdr:rowOff>0</xdr:rowOff>
    </xdr:from>
    <xdr:to>
      <xdr:col>0</xdr:col>
      <xdr:colOff>9525</xdr:colOff>
      <xdr:row>1751</xdr:row>
      <xdr:rowOff>9525</xdr:rowOff>
    </xdr:to>
    <xdr:pic>
      <xdr:nvPicPr>
        <xdr:cNvPr id="1179" name="Obraz 1178">
          <a:extLst>
            <a:ext uri="{FF2B5EF4-FFF2-40B4-BE49-F238E27FC236}">
              <a16:creationId xmlns:a16="http://schemas.microsoft.com/office/drawing/2014/main" id="{AD4525AE-4CEB-4F23-BF8C-D41316C54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356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1754</xdr:row>
      <xdr:rowOff>0</xdr:rowOff>
    </xdr:from>
    <xdr:to>
      <xdr:col>0</xdr:col>
      <xdr:colOff>9525</xdr:colOff>
      <xdr:row>1754</xdr:row>
      <xdr:rowOff>9525</xdr:rowOff>
    </xdr:to>
    <xdr:pic>
      <xdr:nvPicPr>
        <xdr:cNvPr id="1180" name="Obraz 1179">
          <a:extLst>
            <a:ext uri="{FF2B5EF4-FFF2-40B4-BE49-F238E27FC236}">
              <a16:creationId xmlns:a16="http://schemas.microsoft.com/office/drawing/2014/main" id="{99310CEF-B470-4F18-833A-6AA7034FB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32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1758</xdr:row>
      <xdr:rowOff>0</xdr:rowOff>
    </xdr:from>
    <xdr:to>
      <xdr:col>0</xdr:col>
      <xdr:colOff>9525</xdr:colOff>
      <xdr:row>1758</xdr:row>
      <xdr:rowOff>9525</xdr:rowOff>
    </xdr:to>
    <xdr:pic>
      <xdr:nvPicPr>
        <xdr:cNvPr id="1181" name="Obraz 1180">
          <a:extLst>
            <a:ext uri="{FF2B5EF4-FFF2-40B4-BE49-F238E27FC236}">
              <a16:creationId xmlns:a16="http://schemas.microsoft.com/office/drawing/2014/main" id="{AD28F526-423E-4D27-B2A2-921C48B71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28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1762</xdr:row>
      <xdr:rowOff>0</xdr:rowOff>
    </xdr:from>
    <xdr:to>
      <xdr:col>0</xdr:col>
      <xdr:colOff>9525</xdr:colOff>
      <xdr:row>1762</xdr:row>
      <xdr:rowOff>9525</xdr:rowOff>
    </xdr:to>
    <xdr:pic>
      <xdr:nvPicPr>
        <xdr:cNvPr id="1182" name="Obraz 1181">
          <a:extLst>
            <a:ext uri="{FF2B5EF4-FFF2-40B4-BE49-F238E27FC236}">
              <a16:creationId xmlns:a16="http://schemas.microsoft.com/office/drawing/2014/main" id="{5233DB09-DD4D-40D3-A51D-22D2B34CFA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566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1765</xdr:row>
      <xdr:rowOff>0</xdr:rowOff>
    </xdr:from>
    <xdr:to>
      <xdr:col>0</xdr:col>
      <xdr:colOff>9525</xdr:colOff>
      <xdr:row>1765</xdr:row>
      <xdr:rowOff>9525</xdr:rowOff>
    </xdr:to>
    <xdr:pic>
      <xdr:nvPicPr>
        <xdr:cNvPr id="1183" name="Obraz 1182">
          <a:extLst>
            <a:ext uri="{FF2B5EF4-FFF2-40B4-BE49-F238E27FC236}">
              <a16:creationId xmlns:a16="http://schemas.microsoft.com/office/drawing/2014/main" id="{97CC72DC-9F52-43C2-84AA-BE0FC7E895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42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1769</xdr:row>
      <xdr:rowOff>0</xdr:rowOff>
    </xdr:from>
    <xdr:to>
      <xdr:col>0</xdr:col>
      <xdr:colOff>9525</xdr:colOff>
      <xdr:row>1769</xdr:row>
      <xdr:rowOff>9525</xdr:rowOff>
    </xdr:to>
    <xdr:pic>
      <xdr:nvPicPr>
        <xdr:cNvPr id="1184" name="Obraz 1183">
          <a:extLst>
            <a:ext uri="{FF2B5EF4-FFF2-40B4-BE49-F238E27FC236}">
              <a16:creationId xmlns:a16="http://schemas.microsoft.com/office/drawing/2014/main" id="{FBE2449C-8732-44E8-A759-3103BA8BC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37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1773</xdr:row>
      <xdr:rowOff>0</xdr:rowOff>
    </xdr:from>
    <xdr:to>
      <xdr:col>0</xdr:col>
      <xdr:colOff>9525</xdr:colOff>
      <xdr:row>1773</xdr:row>
      <xdr:rowOff>9525</xdr:rowOff>
    </xdr:to>
    <xdr:pic>
      <xdr:nvPicPr>
        <xdr:cNvPr id="1185" name="Obraz 1184">
          <a:extLst>
            <a:ext uri="{FF2B5EF4-FFF2-40B4-BE49-F238E27FC236}">
              <a16:creationId xmlns:a16="http://schemas.microsoft.com/office/drawing/2014/main" id="{F78F6859-D27F-4D6D-82B5-128878ED9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775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1777</xdr:row>
      <xdr:rowOff>0</xdr:rowOff>
    </xdr:from>
    <xdr:to>
      <xdr:col>0</xdr:col>
      <xdr:colOff>9525</xdr:colOff>
      <xdr:row>1777</xdr:row>
      <xdr:rowOff>9525</xdr:rowOff>
    </xdr:to>
    <xdr:pic>
      <xdr:nvPicPr>
        <xdr:cNvPr id="1186" name="Obraz 1185">
          <a:extLst>
            <a:ext uri="{FF2B5EF4-FFF2-40B4-BE49-F238E27FC236}">
              <a16:creationId xmlns:a16="http://schemas.microsoft.com/office/drawing/2014/main" id="{416CBAD9-C68D-40F1-A61A-3F9787F324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70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1781</xdr:row>
      <xdr:rowOff>0</xdr:rowOff>
    </xdr:from>
    <xdr:to>
      <xdr:col>0</xdr:col>
      <xdr:colOff>9525</xdr:colOff>
      <xdr:row>1781</xdr:row>
      <xdr:rowOff>9525</xdr:rowOff>
    </xdr:to>
    <xdr:pic>
      <xdr:nvPicPr>
        <xdr:cNvPr id="1187" name="Obraz 1186">
          <a:extLst>
            <a:ext uri="{FF2B5EF4-FFF2-40B4-BE49-F238E27FC236}">
              <a16:creationId xmlns:a16="http://schemas.microsoft.com/office/drawing/2014/main" id="{5C75F8D0-48C2-4F48-9FA0-5A218C8A1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966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1785</xdr:row>
      <xdr:rowOff>0</xdr:rowOff>
    </xdr:from>
    <xdr:to>
      <xdr:col>0</xdr:col>
      <xdr:colOff>9525</xdr:colOff>
      <xdr:row>1785</xdr:row>
      <xdr:rowOff>9525</xdr:rowOff>
    </xdr:to>
    <xdr:pic>
      <xdr:nvPicPr>
        <xdr:cNvPr id="1188" name="Obraz 1187">
          <a:extLst>
            <a:ext uri="{FF2B5EF4-FFF2-40B4-BE49-F238E27FC236}">
              <a16:creationId xmlns:a16="http://schemas.microsoft.com/office/drawing/2014/main" id="{4E19C32F-053A-4C56-8E3B-1E73D2B38B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61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1789</xdr:row>
      <xdr:rowOff>0</xdr:rowOff>
    </xdr:from>
    <xdr:to>
      <xdr:col>0</xdr:col>
      <xdr:colOff>9525</xdr:colOff>
      <xdr:row>1789</xdr:row>
      <xdr:rowOff>9525</xdr:rowOff>
    </xdr:to>
    <xdr:pic>
      <xdr:nvPicPr>
        <xdr:cNvPr id="1189" name="Obraz 1188">
          <a:extLst>
            <a:ext uri="{FF2B5EF4-FFF2-40B4-BE49-F238E27FC236}">
              <a16:creationId xmlns:a16="http://schemas.microsoft.com/office/drawing/2014/main" id="{0EBC3E53-16C2-4826-897E-B16D706E8B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156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1792</xdr:row>
      <xdr:rowOff>0</xdr:rowOff>
    </xdr:from>
    <xdr:to>
      <xdr:col>0</xdr:col>
      <xdr:colOff>9525</xdr:colOff>
      <xdr:row>1792</xdr:row>
      <xdr:rowOff>9525</xdr:rowOff>
    </xdr:to>
    <xdr:pic>
      <xdr:nvPicPr>
        <xdr:cNvPr id="1190" name="Obraz 1189">
          <a:extLst>
            <a:ext uri="{FF2B5EF4-FFF2-40B4-BE49-F238E27FC236}">
              <a16:creationId xmlns:a16="http://schemas.microsoft.com/office/drawing/2014/main" id="{26022A73-F9E1-49C4-9D62-CB7AEDD94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32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1796</xdr:row>
      <xdr:rowOff>0</xdr:rowOff>
    </xdr:from>
    <xdr:to>
      <xdr:col>0</xdr:col>
      <xdr:colOff>9525</xdr:colOff>
      <xdr:row>1796</xdr:row>
      <xdr:rowOff>9525</xdr:rowOff>
    </xdr:to>
    <xdr:pic>
      <xdr:nvPicPr>
        <xdr:cNvPr id="1191" name="Obraz 1190">
          <a:extLst>
            <a:ext uri="{FF2B5EF4-FFF2-40B4-BE49-F238E27FC236}">
              <a16:creationId xmlns:a16="http://schemas.microsoft.com/office/drawing/2014/main" id="{09671891-D5DC-405E-BE73-741F443EA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13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1799</xdr:row>
      <xdr:rowOff>0</xdr:rowOff>
    </xdr:from>
    <xdr:to>
      <xdr:col>0</xdr:col>
      <xdr:colOff>9525</xdr:colOff>
      <xdr:row>1799</xdr:row>
      <xdr:rowOff>9525</xdr:rowOff>
    </xdr:to>
    <xdr:pic>
      <xdr:nvPicPr>
        <xdr:cNvPr id="1192" name="Obraz 1191">
          <a:extLst>
            <a:ext uri="{FF2B5EF4-FFF2-40B4-BE49-F238E27FC236}">
              <a16:creationId xmlns:a16="http://schemas.microsoft.com/office/drawing/2014/main" id="{47F31ED2-09DD-45E7-BC70-1520E5405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90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1804</xdr:row>
      <xdr:rowOff>0</xdr:rowOff>
    </xdr:from>
    <xdr:to>
      <xdr:col>0</xdr:col>
      <xdr:colOff>9525</xdr:colOff>
      <xdr:row>1804</xdr:row>
      <xdr:rowOff>9525</xdr:rowOff>
    </xdr:to>
    <xdr:pic>
      <xdr:nvPicPr>
        <xdr:cNvPr id="1193" name="Obraz 1192">
          <a:extLst>
            <a:ext uri="{FF2B5EF4-FFF2-40B4-BE49-F238E27FC236}">
              <a16:creationId xmlns:a16="http://schemas.microsoft.com/office/drawing/2014/main" id="{57FBDA0D-698E-4455-94ED-9DAFAEAB8A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04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1807</xdr:row>
      <xdr:rowOff>0</xdr:rowOff>
    </xdr:from>
    <xdr:to>
      <xdr:col>0</xdr:col>
      <xdr:colOff>9525</xdr:colOff>
      <xdr:row>1807</xdr:row>
      <xdr:rowOff>9525</xdr:rowOff>
    </xdr:to>
    <xdr:pic>
      <xdr:nvPicPr>
        <xdr:cNvPr id="1194" name="Obraz 1193">
          <a:extLst>
            <a:ext uri="{FF2B5EF4-FFF2-40B4-BE49-F238E27FC236}">
              <a16:creationId xmlns:a16="http://schemas.microsoft.com/office/drawing/2014/main" id="{FF9E40A7-877F-474D-8B12-41A4B0143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80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1811</xdr:row>
      <xdr:rowOff>0</xdr:rowOff>
    </xdr:from>
    <xdr:to>
      <xdr:col>0</xdr:col>
      <xdr:colOff>9525</xdr:colOff>
      <xdr:row>1811</xdr:row>
      <xdr:rowOff>9525</xdr:rowOff>
    </xdr:to>
    <xdr:pic>
      <xdr:nvPicPr>
        <xdr:cNvPr id="1195" name="Obraz 1194">
          <a:extLst>
            <a:ext uri="{FF2B5EF4-FFF2-40B4-BE49-F238E27FC236}">
              <a16:creationId xmlns:a16="http://schemas.microsoft.com/office/drawing/2014/main" id="{62640181-76B9-44BF-A5AA-FE94F8516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575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1814</xdr:row>
      <xdr:rowOff>0</xdr:rowOff>
    </xdr:from>
    <xdr:to>
      <xdr:col>0</xdr:col>
      <xdr:colOff>9525</xdr:colOff>
      <xdr:row>1814</xdr:row>
      <xdr:rowOff>9525</xdr:rowOff>
    </xdr:to>
    <xdr:pic>
      <xdr:nvPicPr>
        <xdr:cNvPr id="1196" name="Obraz 1195">
          <a:extLst>
            <a:ext uri="{FF2B5EF4-FFF2-40B4-BE49-F238E27FC236}">
              <a16:creationId xmlns:a16="http://schemas.microsoft.com/office/drawing/2014/main" id="{5C4DBD9D-15BF-4596-898E-411A0B7F4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51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1818</xdr:row>
      <xdr:rowOff>0</xdr:rowOff>
    </xdr:from>
    <xdr:to>
      <xdr:col>0</xdr:col>
      <xdr:colOff>9525</xdr:colOff>
      <xdr:row>1818</xdr:row>
      <xdr:rowOff>9525</xdr:rowOff>
    </xdr:to>
    <xdr:pic>
      <xdr:nvPicPr>
        <xdr:cNvPr id="1197" name="Obraz 1196">
          <a:extLst>
            <a:ext uri="{FF2B5EF4-FFF2-40B4-BE49-F238E27FC236}">
              <a16:creationId xmlns:a16="http://schemas.microsoft.com/office/drawing/2014/main" id="{E7AABACB-FBA0-410A-87BD-F02BC2A5D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32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1821</xdr:row>
      <xdr:rowOff>0</xdr:rowOff>
    </xdr:from>
    <xdr:to>
      <xdr:col>0</xdr:col>
      <xdr:colOff>9525</xdr:colOff>
      <xdr:row>1821</xdr:row>
      <xdr:rowOff>9525</xdr:rowOff>
    </xdr:to>
    <xdr:pic>
      <xdr:nvPicPr>
        <xdr:cNvPr id="1198" name="Obraz 1197">
          <a:extLst>
            <a:ext uri="{FF2B5EF4-FFF2-40B4-BE49-F238E27FC236}">
              <a16:creationId xmlns:a16="http://schemas.microsoft.com/office/drawing/2014/main" id="{0A3A2408-4B29-45E0-A48C-3EB97E468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709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1826</xdr:row>
      <xdr:rowOff>0</xdr:rowOff>
    </xdr:from>
    <xdr:to>
      <xdr:col>0</xdr:col>
      <xdr:colOff>9525</xdr:colOff>
      <xdr:row>1826</xdr:row>
      <xdr:rowOff>9525</xdr:rowOff>
    </xdr:to>
    <xdr:pic>
      <xdr:nvPicPr>
        <xdr:cNvPr id="1199" name="Obraz 1198">
          <a:extLst>
            <a:ext uri="{FF2B5EF4-FFF2-40B4-BE49-F238E27FC236}">
              <a16:creationId xmlns:a16="http://schemas.microsoft.com/office/drawing/2014/main" id="{1C584AEF-F910-4053-98AE-46857E4CD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23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1829</xdr:row>
      <xdr:rowOff>0</xdr:rowOff>
    </xdr:from>
    <xdr:to>
      <xdr:col>0</xdr:col>
      <xdr:colOff>9525</xdr:colOff>
      <xdr:row>1829</xdr:row>
      <xdr:rowOff>9525</xdr:rowOff>
    </xdr:to>
    <xdr:pic>
      <xdr:nvPicPr>
        <xdr:cNvPr id="1200" name="Obraz 1199">
          <a:extLst>
            <a:ext uri="{FF2B5EF4-FFF2-40B4-BE49-F238E27FC236}">
              <a16:creationId xmlns:a16="http://schemas.microsoft.com/office/drawing/2014/main" id="{2FA4B616-57B9-4AF1-8712-D11E6CB18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80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1834</xdr:row>
      <xdr:rowOff>0</xdr:rowOff>
    </xdr:from>
    <xdr:to>
      <xdr:col>0</xdr:col>
      <xdr:colOff>9525</xdr:colOff>
      <xdr:row>1834</xdr:row>
      <xdr:rowOff>9525</xdr:rowOff>
    </xdr:to>
    <xdr:pic>
      <xdr:nvPicPr>
        <xdr:cNvPr id="1201" name="Obraz 1200">
          <a:extLst>
            <a:ext uri="{FF2B5EF4-FFF2-40B4-BE49-F238E27FC236}">
              <a16:creationId xmlns:a16="http://schemas.microsoft.com/office/drawing/2014/main" id="{741ECE23-A6A2-49CC-8DA0-A7808E73B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994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1836</xdr:row>
      <xdr:rowOff>0</xdr:rowOff>
    </xdr:from>
    <xdr:to>
      <xdr:col>0</xdr:col>
      <xdr:colOff>9525</xdr:colOff>
      <xdr:row>1836</xdr:row>
      <xdr:rowOff>9525</xdr:rowOff>
    </xdr:to>
    <xdr:pic>
      <xdr:nvPicPr>
        <xdr:cNvPr id="1202" name="Obraz 1201">
          <a:extLst>
            <a:ext uri="{FF2B5EF4-FFF2-40B4-BE49-F238E27FC236}">
              <a16:creationId xmlns:a16="http://schemas.microsoft.com/office/drawing/2014/main" id="{E81BC108-F126-487E-B09E-4D4AA94D5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52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1840</xdr:row>
      <xdr:rowOff>0</xdr:rowOff>
    </xdr:from>
    <xdr:to>
      <xdr:col>0</xdr:col>
      <xdr:colOff>9525</xdr:colOff>
      <xdr:row>1840</xdr:row>
      <xdr:rowOff>9525</xdr:rowOff>
    </xdr:to>
    <xdr:pic>
      <xdr:nvPicPr>
        <xdr:cNvPr id="1203" name="Obraz 1202">
          <a:extLst>
            <a:ext uri="{FF2B5EF4-FFF2-40B4-BE49-F238E27FC236}">
              <a16:creationId xmlns:a16="http://schemas.microsoft.com/office/drawing/2014/main" id="{3AD44FA3-D17D-4950-B96D-1995F638A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47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1840</xdr:row>
      <xdr:rowOff>0</xdr:rowOff>
    </xdr:from>
    <xdr:to>
      <xdr:col>0</xdr:col>
      <xdr:colOff>9525</xdr:colOff>
      <xdr:row>1840</xdr:row>
      <xdr:rowOff>9525</xdr:rowOff>
    </xdr:to>
    <xdr:pic>
      <xdr:nvPicPr>
        <xdr:cNvPr id="1204" name="Obraz 1203">
          <a:extLst>
            <a:ext uri="{FF2B5EF4-FFF2-40B4-BE49-F238E27FC236}">
              <a16:creationId xmlns:a16="http://schemas.microsoft.com/office/drawing/2014/main" id="{C3C4D118-7CDD-47E8-B442-E59214CC1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85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1841</xdr:row>
      <xdr:rowOff>0</xdr:rowOff>
    </xdr:from>
    <xdr:to>
      <xdr:col>0</xdr:col>
      <xdr:colOff>9525</xdr:colOff>
      <xdr:row>1841</xdr:row>
      <xdr:rowOff>9525</xdr:rowOff>
    </xdr:to>
    <xdr:pic>
      <xdr:nvPicPr>
        <xdr:cNvPr id="1205" name="Obraz 1204">
          <a:extLst>
            <a:ext uri="{FF2B5EF4-FFF2-40B4-BE49-F238E27FC236}">
              <a16:creationId xmlns:a16="http://schemas.microsoft.com/office/drawing/2014/main" id="{D032F3A6-DA19-4A49-AF2E-474AB493B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23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1842</xdr:row>
      <xdr:rowOff>0</xdr:rowOff>
    </xdr:from>
    <xdr:to>
      <xdr:col>0</xdr:col>
      <xdr:colOff>9525</xdr:colOff>
      <xdr:row>1842</xdr:row>
      <xdr:rowOff>9525</xdr:rowOff>
    </xdr:to>
    <xdr:pic>
      <xdr:nvPicPr>
        <xdr:cNvPr id="1206" name="Obraz 1205">
          <a:extLst>
            <a:ext uri="{FF2B5EF4-FFF2-40B4-BE49-F238E27FC236}">
              <a16:creationId xmlns:a16="http://schemas.microsoft.com/office/drawing/2014/main" id="{20DBE962-4E9A-45AF-9502-A997A2B84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61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1843</xdr:row>
      <xdr:rowOff>0</xdr:rowOff>
    </xdr:from>
    <xdr:to>
      <xdr:col>0</xdr:col>
      <xdr:colOff>9525</xdr:colOff>
      <xdr:row>1843</xdr:row>
      <xdr:rowOff>9525</xdr:rowOff>
    </xdr:to>
    <xdr:pic>
      <xdr:nvPicPr>
        <xdr:cNvPr id="1207" name="Obraz 1206">
          <a:extLst>
            <a:ext uri="{FF2B5EF4-FFF2-40B4-BE49-F238E27FC236}">
              <a16:creationId xmlns:a16="http://schemas.microsoft.com/office/drawing/2014/main" id="{C4B09948-6845-4E86-B653-1762EF9FC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09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1846</xdr:row>
      <xdr:rowOff>0</xdr:rowOff>
    </xdr:from>
    <xdr:to>
      <xdr:col>0</xdr:col>
      <xdr:colOff>9525</xdr:colOff>
      <xdr:row>1846</xdr:row>
      <xdr:rowOff>9525</xdr:rowOff>
    </xdr:to>
    <xdr:pic>
      <xdr:nvPicPr>
        <xdr:cNvPr id="1208" name="Obraz 1207">
          <a:extLst>
            <a:ext uri="{FF2B5EF4-FFF2-40B4-BE49-F238E27FC236}">
              <a16:creationId xmlns:a16="http://schemas.microsoft.com/office/drawing/2014/main" id="{E5F49DA3-6016-4FBD-9AB8-465D6629D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85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1850</xdr:row>
      <xdr:rowOff>0</xdr:rowOff>
    </xdr:from>
    <xdr:to>
      <xdr:col>0</xdr:col>
      <xdr:colOff>9525</xdr:colOff>
      <xdr:row>1850</xdr:row>
      <xdr:rowOff>9525</xdr:rowOff>
    </xdr:to>
    <xdr:pic>
      <xdr:nvPicPr>
        <xdr:cNvPr id="1209" name="Obraz 1208">
          <a:extLst>
            <a:ext uri="{FF2B5EF4-FFF2-40B4-BE49-F238E27FC236}">
              <a16:creationId xmlns:a16="http://schemas.microsoft.com/office/drawing/2014/main" id="{25FECD86-642C-4C1E-A90B-010C85114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80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1854</xdr:row>
      <xdr:rowOff>0</xdr:rowOff>
    </xdr:from>
    <xdr:to>
      <xdr:col>0</xdr:col>
      <xdr:colOff>9525</xdr:colOff>
      <xdr:row>1854</xdr:row>
      <xdr:rowOff>9525</xdr:rowOff>
    </xdr:to>
    <xdr:pic>
      <xdr:nvPicPr>
        <xdr:cNvPr id="1210" name="Obraz 1209">
          <a:extLst>
            <a:ext uri="{FF2B5EF4-FFF2-40B4-BE49-F238E27FC236}">
              <a16:creationId xmlns:a16="http://schemas.microsoft.com/office/drawing/2014/main" id="{11875E15-C82D-4648-A4C3-33A63D7A91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375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1855</xdr:row>
      <xdr:rowOff>0</xdr:rowOff>
    </xdr:from>
    <xdr:to>
      <xdr:col>0</xdr:col>
      <xdr:colOff>9525</xdr:colOff>
      <xdr:row>1855</xdr:row>
      <xdr:rowOff>9525</xdr:rowOff>
    </xdr:to>
    <xdr:pic>
      <xdr:nvPicPr>
        <xdr:cNvPr id="1211" name="Obraz 1210">
          <a:extLst>
            <a:ext uri="{FF2B5EF4-FFF2-40B4-BE49-F238E27FC236}">
              <a16:creationId xmlns:a16="http://schemas.microsoft.com/office/drawing/2014/main" id="{100510DF-7015-4C0D-8E3F-131755BF40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13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1857</xdr:row>
      <xdr:rowOff>0</xdr:rowOff>
    </xdr:from>
    <xdr:to>
      <xdr:col>0</xdr:col>
      <xdr:colOff>9525</xdr:colOff>
      <xdr:row>1857</xdr:row>
      <xdr:rowOff>9525</xdr:rowOff>
    </xdr:to>
    <xdr:pic>
      <xdr:nvPicPr>
        <xdr:cNvPr id="1212" name="Obraz 1211">
          <a:extLst>
            <a:ext uri="{FF2B5EF4-FFF2-40B4-BE49-F238E27FC236}">
              <a16:creationId xmlns:a16="http://schemas.microsoft.com/office/drawing/2014/main" id="{87E03481-FE57-48BE-932A-EC03E0F9C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71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1860</xdr:row>
      <xdr:rowOff>0</xdr:rowOff>
    </xdr:from>
    <xdr:to>
      <xdr:col>0</xdr:col>
      <xdr:colOff>9525</xdr:colOff>
      <xdr:row>1860</xdr:row>
      <xdr:rowOff>9525</xdr:rowOff>
    </xdr:to>
    <xdr:pic>
      <xdr:nvPicPr>
        <xdr:cNvPr id="1213" name="Obraz 1212">
          <a:extLst>
            <a:ext uri="{FF2B5EF4-FFF2-40B4-BE49-F238E27FC236}">
              <a16:creationId xmlns:a16="http://schemas.microsoft.com/office/drawing/2014/main" id="{9C2EAD1D-C009-434D-9621-B9A72EA49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547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1864</xdr:row>
      <xdr:rowOff>0</xdr:rowOff>
    </xdr:from>
    <xdr:to>
      <xdr:col>0</xdr:col>
      <xdr:colOff>9525</xdr:colOff>
      <xdr:row>1864</xdr:row>
      <xdr:rowOff>9525</xdr:rowOff>
    </xdr:to>
    <xdr:pic>
      <xdr:nvPicPr>
        <xdr:cNvPr id="1214" name="Obraz 1213">
          <a:extLst>
            <a:ext uri="{FF2B5EF4-FFF2-40B4-BE49-F238E27FC236}">
              <a16:creationId xmlns:a16="http://schemas.microsoft.com/office/drawing/2014/main" id="{EE01190A-1149-47A7-8164-A337AB3B8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42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1867</xdr:row>
      <xdr:rowOff>0</xdr:rowOff>
    </xdr:from>
    <xdr:to>
      <xdr:col>0</xdr:col>
      <xdr:colOff>9525</xdr:colOff>
      <xdr:row>1867</xdr:row>
      <xdr:rowOff>9525</xdr:rowOff>
    </xdr:to>
    <xdr:pic>
      <xdr:nvPicPr>
        <xdr:cNvPr id="1215" name="Obraz 1214">
          <a:extLst>
            <a:ext uri="{FF2B5EF4-FFF2-40B4-BE49-F238E27FC236}">
              <a16:creationId xmlns:a16="http://schemas.microsoft.com/office/drawing/2014/main" id="{2E36D1B6-2D36-4354-B720-21A3FCDA3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18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1867</xdr:row>
      <xdr:rowOff>0</xdr:rowOff>
    </xdr:from>
    <xdr:to>
      <xdr:col>0</xdr:col>
      <xdr:colOff>9525</xdr:colOff>
      <xdr:row>1867</xdr:row>
      <xdr:rowOff>9525</xdr:rowOff>
    </xdr:to>
    <xdr:pic>
      <xdr:nvPicPr>
        <xdr:cNvPr id="1216" name="Obraz 1215">
          <a:extLst>
            <a:ext uri="{FF2B5EF4-FFF2-40B4-BE49-F238E27FC236}">
              <a16:creationId xmlns:a16="http://schemas.microsoft.com/office/drawing/2014/main" id="{32AF8810-6CC1-4E19-A888-7F685ABFA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56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1869</xdr:row>
      <xdr:rowOff>0</xdr:rowOff>
    </xdr:from>
    <xdr:to>
      <xdr:col>0</xdr:col>
      <xdr:colOff>9525</xdr:colOff>
      <xdr:row>1869</xdr:row>
      <xdr:rowOff>9525</xdr:rowOff>
    </xdr:to>
    <xdr:pic>
      <xdr:nvPicPr>
        <xdr:cNvPr id="1217" name="Obraz 1216">
          <a:extLst>
            <a:ext uri="{FF2B5EF4-FFF2-40B4-BE49-F238E27FC236}">
              <a16:creationId xmlns:a16="http://schemas.microsoft.com/office/drawing/2014/main" id="{53C0904F-8F15-4A09-8CFD-16344AF81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04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1872</xdr:row>
      <xdr:rowOff>0</xdr:rowOff>
    </xdr:from>
    <xdr:to>
      <xdr:col>0</xdr:col>
      <xdr:colOff>9525</xdr:colOff>
      <xdr:row>1872</xdr:row>
      <xdr:rowOff>9525</xdr:rowOff>
    </xdr:to>
    <xdr:pic>
      <xdr:nvPicPr>
        <xdr:cNvPr id="1218" name="Obraz 1217">
          <a:extLst>
            <a:ext uri="{FF2B5EF4-FFF2-40B4-BE49-F238E27FC236}">
              <a16:creationId xmlns:a16="http://schemas.microsoft.com/office/drawing/2014/main" id="{EF8C4160-88A4-4581-9B71-DE4446914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80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1876</xdr:row>
      <xdr:rowOff>0</xdr:rowOff>
    </xdr:from>
    <xdr:to>
      <xdr:col>0</xdr:col>
      <xdr:colOff>9525</xdr:colOff>
      <xdr:row>1876</xdr:row>
      <xdr:rowOff>9525</xdr:rowOff>
    </xdr:to>
    <xdr:pic>
      <xdr:nvPicPr>
        <xdr:cNvPr id="1219" name="Obraz 1218">
          <a:extLst>
            <a:ext uri="{FF2B5EF4-FFF2-40B4-BE49-F238E27FC236}">
              <a16:creationId xmlns:a16="http://schemas.microsoft.com/office/drawing/2014/main" id="{482F8027-BC06-4A04-8AAB-662E6E797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775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1880</xdr:row>
      <xdr:rowOff>0</xdr:rowOff>
    </xdr:from>
    <xdr:to>
      <xdr:col>0</xdr:col>
      <xdr:colOff>9525</xdr:colOff>
      <xdr:row>1880</xdr:row>
      <xdr:rowOff>9525</xdr:rowOff>
    </xdr:to>
    <xdr:pic>
      <xdr:nvPicPr>
        <xdr:cNvPr id="1220" name="Obraz 1219">
          <a:extLst>
            <a:ext uri="{FF2B5EF4-FFF2-40B4-BE49-F238E27FC236}">
              <a16:creationId xmlns:a16="http://schemas.microsoft.com/office/drawing/2014/main" id="{A1A6B05F-0521-46B8-B4A6-23F5E62E4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14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1884</xdr:row>
      <xdr:rowOff>0</xdr:rowOff>
    </xdr:from>
    <xdr:to>
      <xdr:col>0</xdr:col>
      <xdr:colOff>9525</xdr:colOff>
      <xdr:row>1884</xdr:row>
      <xdr:rowOff>9525</xdr:rowOff>
    </xdr:to>
    <xdr:pic>
      <xdr:nvPicPr>
        <xdr:cNvPr id="1221" name="Obraz 1220">
          <a:extLst>
            <a:ext uri="{FF2B5EF4-FFF2-40B4-BE49-F238E27FC236}">
              <a16:creationId xmlns:a16="http://schemas.microsoft.com/office/drawing/2014/main" id="{47E74A02-015D-4BFC-9AF9-26CCAA9F4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09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1887</xdr:row>
      <xdr:rowOff>0</xdr:rowOff>
    </xdr:from>
    <xdr:to>
      <xdr:col>0</xdr:col>
      <xdr:colOff>9525</xdr:colOff>
      <xdr:row>1887</xdr:row>
      <xdr:rowOff>9525</xdr:rowOff>
    </xdr:to>
    <xdr:pic>
      <xdr:nvPicPr>
        <xdr:cNvPr id="1222" name="Obraz 1221">
          <a:extLst>
            <a:ext uri="{FF2B5EF4-FFF2-40B4-BE49-F238E27FC236}">
              <a16:creationId xmlns:a16="http://schemas.microsoft.com/office/drawing/2014/main" id="{546808D5-DCB8-4831-B841-F2DF5C9F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985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1891</xdr:row>
      <xdr:rowOff>0</xdr:rowOff>
    </xdr:from>
    <xdr:to>
      <xdr:col>0</xdr:col>
      <xdr:colOff>9525</xdr:colOff>
      <xdr:row>1891</xdr:row>
      <xdr:rowOff>9525</xdr:rowOff>
    </xdr:to>
    <xdr:pic>
      <xdr:nvPicPr>
        <xdr:cNvPr id="1223" name="Obraz 1222">
          <a:extLst>
            <a:ext uri="{FF2B5EF4-FFF2-40B4-BE49-F238E27FC236}">
              <a16:creationId xmlns:a16="http://schemas.microsoft.com/office/drawing/2014/main" id="{82783FCF-ABE9-4D49-B35F-89EC3475F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80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1895</xdr:row>
      <xdr:rowOff>0</xdr:rowOff>
    </xdr:from>
    <xdr:to>
      <xdr:col>0</xdr:col>
      <xdr:colOff>9525</xdr:colOff>
      <xdr:row>1895</xdr:row>
      <xdr:rowOff>9525</xdr:rowOff>
    </xdr:to>
    <xdr:pic>
      <xdr:nvPicPr>
        <xdr:cNvPr id="1224" name="Obraz 1223">
          <a:extLst>
            <a:ext uri="{FF2B5EF4-FFF2-40B4-BE49-F238E27FC236}">
              <a16:creationId xmlns:a16="http://schemas.microsoft.com/office/drawing/2014/main" id="{D621EE82-E1F8-41D9-AFEF-D6F52B90A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175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1898</xdr:row>
      <xdr:rowOff>0</xdr:rowOff>
    </xdr:from>
    <xdr:to>
      <xdr:col>0</xdr:col>
      <xdr:colOff>9525</xdr:colOff>
      <xdr:row>1898</xdr:row>
      <xdr:rowOff>9525</xdr:rowOff>
    </xdr:to>
    <xdr:pic>
      <xdr:nvPicPr>
        <xdr:cNvPr id="1225" name="Obraz 1224">
          <a:extLst>
            <a:ext uri="{FF2B5EF4-FFF2-40B4-BE49-F238E27FC236}">
              <a16:creationId xmlns:a16="http://schemas.microsoft.com/office/drawing/2014/main" id="{0C298F4E-DB42-454E-8B3E-B84215873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52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1902</xdr:row>
      <xdr:rowOff>0</xdr:rowOff>
    </xdr:from>
    <xdr:to>
      <xdr:col>0</xdr:col>
      <xdr:colOff>9525</xdr:colOff>
      <xdr:row>1902</xdr:row>
      <xdr:rowOff>9525</xdr:rowOff>
    </xdr:to>
    <xdr:pic>
      <xdr:nvPicPr>
        <xdr:cNvPr id="1226" name="Obraz 1225">
          <a:extLst>
            <a:ext uri="{FF2B5EF4-FFF2-40B4-BE49-F238E27FC236}">
              <a16:creationId xmlns:a16="http://schemas.microsoft.com/office/drawing/2014/main" id="{82C1E9A1-790B-4A1C-ACF6-9A788350F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33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1905</xdr:row>
      <xdr:rowOff>0</xdr:rowOff>
    </xdr:from>
    <xdr:to>
      <xdr:col>0</xdr:col>
      <xdr:colOff>9525</xdr:colOff>
      <xdr:row>1905</xdr:row>
      <xdr:rowOff>9525</xdr:rowOff>
    </xdr:to>
    <xdr:pic>
      <xdr:nvPicPr>
        <xdr:cNvPr id="1227" name="Obraz 1226">
          <a:extLst>
            <a:ext uri="{FF2B5EF4-FFF2-40B4-BE49-F238E27FC236}">
              <a16:creationId xmlns:a16="http://schemas.microsoft.com/office/drawing/2014/main" id="{09AE0DDB-8CD2-4031-993B-BDB5E355B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309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1909</xdr:row>
      <xdr:rowOff>0</xdr:rowOff>
    </xdr:from>
    <xdr:to>
      <xdr:col>0</xdr:col>
      <xdr:colOff>9525</xdr:colOff>
      <xdr:row>1909</xdr:row>
      <xdr:rowOff>9525</xdr:rowOff>
    </xdr:to>
    <xdr:pic>
      <xdr:nvPicPr>
        <xdr:cNvPr id="1228" name="Obraz 1227">
          <a:extLst>
            <a:ext uri="{FF2B5EF4-FFF2-40B4-BE49-F238E27FC236}">
              <a16:creationId xmlns:a16="http://schemas.microsoft.com/office/drawing/2014/main" id="{D9E4D522-46D4-4C70-B3B2-885E78B65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04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1913</xdr:row>
      <xdr:rowOff>0</xdr:rowOff>
    </xdr:from>
    <xdr:to>
      <xdr:col>0</xdr:col>
      <xdr:colOff>9525</xdr:colOff>
      <xdr:row>1913</xdr:row>
      <xdr:rowOff>9525</xdr:rowOff>
    </xdr:to>
    <xdr:pic>
      <xdr:nvPicPr>
        <xdr:cNvPr id="1229" name="Obraz 1228">
          <a:extLst>
            <a:ext uri="{FF2B5EF4-FFF2-40B4-BE49-F238E27FC236}">
              <a16:creationId xmlns:a16="http://schemas.microsoft.com/office/drawing/2014/main" id="{1D444EA7-3751-454C-9203-20C273A0F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42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1916</xdr:row>
      <xdr:rowOff>0</xdr:rowOff>
    </xdr:from>
    <xdr:to>
      <xdr:col>0</xdr:col>
      <xdr:colOff>9525</xdr:colOff>
      <xdr:row>1916</xdr:row>
      <xdr:rowOff>9525</xdr:rowOff>
    </xdr:to>
    <xdr:pic>
      <xdr:nvPicPr>
        <xdr:cNvPr id="1230" name="Obraz 1229">
          <a:extLst>
            <a:ext uri="{FF2B5EF4-FFF2-40B4-BE49-F238E27FC236}">
              <a16:creationId xmlns:a16="http://schemas.microsoft.com/office/drawing/2014/main" id="{DC916FFE-0C24-48A5-AAE3-80D789AE88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518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1920</xdr:row>
      <xdr:rowOff>0</xdr:rowOff>
    </xdr:from>
    <xdr:to>
      <xdr:col>0</xdr:col>
      <xdr:colOff>9525</xdr:colOff>
      <xdr:row>1920</xdr:row>
      <xdr:rowOff>9525</xdr:rowOff>
    </xdr:to>
    <xdr:pic>
      <xdr:nvPicPr>
        <xdr:cNvPr id="1231" name="Obraz 1230">
          <a:extLst>
            <a:ext uri="{FF2B5EF4-FFF2-40B4-BE49-F238E27FC236}">
              <a16:creationId xmlns:a16="http://schemas.microsoft.com/office/drawing/2014/main" id="{57A64DCC-77C7-4F78-8309-6F833C4CF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14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1924</xdr:row>
      <xdr:rowOff>0</xdr:rowOff>
    </xdr:from>
    <xdr:to>
      <xdr:col>0</xdr:col>
      <xdr:colOff>9525</xdr:colOff>
      <xdr:row>1924</xdr:row>
      <xdr:rowOff>9525</xdr:rowOff>
    </xdr:to>
    <xdr:pic>
      <xdr:nvPicPr>
        <xdr:cNvPr id="1232" name="Obraz 1231">
          <a:extLst>
            <a:ext uri="{FF2B5EF4-FFF2-40B4-BE49-F238E27FC236}">
              <a16:creationId xmlns:a16="http://schemas.microsoft.com/office/drawing/2014/main" id="{B37EAAC0-DE4F-448E-A0C2-765F2A397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52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1927</xdr:row>
      <xdr:rowOff>0</xdr:rowOff>
    </xdr:from>
    <xdr:to>
      <xdr:col>0</xdr:col>
      <xdr:colOff>9525</xdr:colOff>
      <xdr:row>1927</xdr:row>
      <xdr:rowOff>9525</xdr:rowOff>
    </xdr:to>
    <xdr:pic>
      <xdr:nvPicPr>
        <xdr:cNvPr id="1233" name="Obraz 1232">
          <a:extLst>
            <a:ext uri="{FF2B5EF4-FFF2-40B4-BE49-F238E27FC236}">
              <a16:creationId xmlns:a16="http://schemas.microsoft.com/office/drawing/2014/main" id="{BFBD1056-75D1-47D5-A51B-4C473AF83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728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1931</xdr:row>
      <xdr:rowOff>0</xdr:rowOff>
    </xdr:from>
    <xdr:to>
      <xdr:col>0</xdr:col>
      <xdr:colOff>9525</xdr:colOff>
      <xdr:row>1931</xdr:row>
      <xdr:rowOff>9525</xdr:rowOff>
    </xdr:to>
    <xdr:pic>
      <xdr:nvPicPr>
        <xdr:cNvPr id="1234" name="Obraz 1233">
          <a:extLst>
            <a:ext uri="{FF2B5EF4-FFF2-40B4-BE49-F238E27FC236}">
              <a16:creationId xmlns:a16="http://schemas.microsoft.com/office/drawing/2014/main" id="{70A56BF8-BEBB-4A3C-B698-95DBF42F9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23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1935</xdr:row>
      <xdr:rowOff>0</xdr:rowOff>
    </xdr:from>
    <xdr:to>
      <xdr:col>0</xdr:col>
      <xdr:colOff>9525</xdr:colOff>
      <xdr:row>1935</xdr:row>
      <xdr:rowOff>9525</xdr:rowOff>
    </xdr:to>
    <xdr:pic>
      <xdr:nvPicPr>
        <xdr:cNvPr id="1235" name="Obraz 1234">
          <a:extLst>
            <a:ext uri="{FF2B5EF4-FFF2-40B4-BE49-F238E27FC236}">
              <a16:creationId xmlns:a16="http://schemas.microsoft.com/office/drawing/2014/main" id="{4C6E0F7B-16EC-485D-B349-6CD391514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61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1938</xdr:row>
      <xdr:rowOff>0</xdr:rowOff>
    </xdr:from>
    <xdr:to>
      <xdr:col>0</xdr:col>
      <xdr:colOff>9525</xdr:colOff>
      <xdr:row>1938</xdr:row>
      <xdr:rowOff>9525</xdr:rowOff>
    </xdr:to>
    <xdr:pic>
      <xdr:nvPicPr>
        <xdr:cNvPr id="1236" name="Obraz 1235">
          <a:extLst>
            <a:ext uri="{FF2B5EF4-FFF2-40B4-BE49-F238E27FC236}">
              <a16:creationId xmlns:a16="http://schemas.microsoft.com/office/drawing/2014/main" id="{BF8EA05C-A061-4F02-809B-30F34DA07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937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1942</xdr:row>
      <xdr:rowOff>0</xdr:rowOff>
    </xdr:from>
    <xdr:to>
      <xdr:col>0</xdr:col>
      <xdr:colOff>9525</xdr:colOff>
      <xdr:row>1942</xdr:row>
      <xdr:rowOff>9525</xdr:rowOff>
    </xdr:to>
    <xdr:pic>
      <xdr:nvPicPr>
        <xdr:cNvPr id="1237" name="Obraz 1236">
          <a:extLst>
            <a:ext uri="{FF2B5EF4-FFF2-40B4-BE49-F238E27FC236}">
              <a16:creationId xmlns:a16="http://schemas.microsoft.com/office/drawing/2014/main" id="{A9E15A8B-2674-4393-BD04-A95155CEAE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33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1946</xdr:row>
      <xdr:rowOff>0</xdr:rowOff>
    </xdr:from>
    <xdr:to>
      <xdr:col>0</xdr:col>
      <xdr:colOff>9525</xdr:colOff>
      <xdr:row>1946</xdr:row>
      <xdr:rowOff>9525</xdr:rowOff>
    </xdr:to>
    <xdr:pic>
      <xdr:nvPicPr>
        <xdr:cNvPr id="1238" name="Obraz 1237">
          <a:extLst>
            <a:ext uri="{FF2B5EF4-FFF2-40B4-BE49-F238E27FC236}">
              <a16:creationId xmlns:a16="http://schemas.microsoft.com/office/drawing/2014/main" id="{73FA9804-D2FC-4832-A29B-A9C765268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71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1950</xdr:row>
      <xdr:rowOff>0</xdr:rowOff>
    </xdr:from>
    <xdr:to>
      <xdr:col>0</xdr:col>
      <xdr:colOff>9525</xdr:colOff>
      <xdr:row>1950</xdr:row>
      <xdr:rowOff>9525</xdr:rowOff>
    </xdr:to>
    <xdr:pic>
      <xdr:nvPicPr>
        <xdr:cNvPr id="1239" name="Obraz 1238">
          <a:extLst>
            <a:ext uri="{FF2B5EF4-FFF2-40B4-BE49-F238E27FC236}">
              <a16:creationId xmlns:a16="http://schemas.microsoft.com/office/drawing/2014/main" id="{B8577E39-A868-47D9-AB6D-EFA1AF0569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166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1953</xdr:row>
      <xdr:rowOff>0</xdr:rowOff>
    </xdr:from>
    <xdr:to>
      <xdr:col>0</xdr:col>
      <xdr:colOff>9525</xdr:colOff>
      <xdr:row>1953</xdr:row>
      <xdr:rowOff>9525</xdr:rowOff>
    </xdr:to>
    <xdr:pic>
      <xdr:nvPicPr>
        <xdr:cNvPr id="1240" name="Obraz 1239">
          <a:extLst>
            <a:ext uri="{FF2B5EF4-FFF2-40B4-BE49-F238E27FC236}">
              <a16:creationId xmlns:a16="http://schemas.microsoft.com/office/drawing/2014/main" id="{A0340541-A8A1-4FF6-A743-1F7C706608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42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1957</xdr:row>
      <xdr:rowOff>0</xdr:rowOff>
    </xdr:from>
    <xdr:to>
      <xdr:col>0</xdr:col>
      <xdr:colOff>9525</xdr:colOff>
      <xdr:row>1957</xdr:row>
      <xdr:rowOff>9525</xdr:rowOff>
    </xdr:to>
    <xdr:pic>
      <xdr:nvPicPr>
        <xdr:cNvPr id="1241" name="Obraz 1240">
          <a:extLst>
            <a:ext uri="{FF2B5EF4-FFF2-40B4-BE49-F238E27FC236}">
              <a16:creationId xmlns:a16="http://schemas.microsoft.com/office/drawing/2014/main" id="{87D9E4DA-48E2-4FC5-885F-7F2BC0E17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338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1960</xdr:row>
      <xdr:rowOff>0</xdr:rowOff>
    </xdr:from>
    <xdr:to>
      <xdr:col>0</xdr:col>
      <xdr:colOff>9525</xdr:colOff>
      <xdr:row>1960</xdr:row>
      <xdr:rowOff>9525</xdr:rowOff>
    </xdr:to>
    <xdr:pic>
      <xdr:nvPicPr>
        <xdr:cNvPr id="1242" name="Obraz 1241">
          <a:extLst>
            <a:ext uri="{FF2B5EF4-FFF2-40B4-BE49-F238E27FC236}">
              <a16:creationId xmlns:a16="http://schemas.microsoft.com/office/drawing/2014/main" id="{E7D86297-9869-4C60-9EBD-F65C0AFD1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14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1964</xdr:row>
      <xdr:rowOff>0</xdr:rowOff>
    </xdr:from>
    <xdr:to>
      <xdr:col>0</xdr:col>
      <xdr:colOff>9525</xdr:colOff>
      <xdr:row>1964</xdr:row>
      <xdr:rowOff>9525</xdr:rowOff>
    </xdr:to>
    <xdr:pic>
      <xdr:nvPicPr>
        <xdr:cNvPr id="1243" name="Obraz 1242">
          <a:extLst>
            <a:ext uri="{FF2B5EF4-FFF2-40B4-BE49-F238E27FC236}">
              <a16:creationId xmlns:a16="http://schemas.microsoft.com/office/drawing/2014/main" id="{D4E75A3C-8AED-44C7-87CF-DC67FC915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09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1967</xdr:row>
      <xdr:rowOff>0</xdr:rowOff>
    </xdr:from>
    <xdr:to>
      <xdr:col>0</xdr:col>
      <xdr:colOff>9525</xdr:colOff>
      <xdr:row>1967</xdr:row>
      <xdr:rowOff>9525</xdr:rowOff>
    </xdr:to>
    <xdr:pic>
      <xdr:nvPicPr>
        <xdr:cNvPr id="1244" name="Obraz 1243">
          <a:extLst>
            <a:ext uri="{FF2B5EF4-FFF2-40B4-BE49-F238E27FC236}">
              <a16:creationId xmlns:a16="http://schemas.microsoft.com/office/drawing/2014/main" id="{032A45BE-ADFB-49B5-881B-8DC360B4D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85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1969</xdr:row>
      <xdr:rowOff>0</xdr:rowOff>
    </xdr:from>
    <xdr:to>
      <xdr:col>0</xdr:col>
      <xdr:colOff>9525</xdr:colOff>
      <xdr:row>1969</xdr:row>
      <xdr:rowOff>9525</xdr:rowOff>
    </xdr:to>
    <xdr:pic>
      <xdr:nvPicPr>
        <xdr:cNvPr id="1245" name="Obraz 1244">
          <a:extLst>
            <a:ext uri="{FF2B5EF4-FFF2-40B4-BE49-F238E27FC236}">
              <a16:creationId xmlns:a16="http://schemas.microsoft.com/office/drawing/2014/main" id="{D63C8720-4E41-4F2A-959F-4C509CF741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42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1971</xdr:row>
      <xdr:rowOff>0</xdr:rowOff>
    </xdr:from>
    <xdr:to>
      <xdr:col>0</xdr:col>
      <xdr:colOff>9525</xdr:colOff>
      <xdr:row>1971</xdr:row>
      <xdr:rowOff>9525</xdr:rowOff>
    </xdr:to>
    <xdr:pic>
      <xdr:nvPicPr>
        <xdr:cNvPr id="1246" name="Obraz 1245">
          <a:extLst>
            <a:ext uri="{FF2B5EF4-FFF2-40B4-BE49-F238E27FC236}">
              <a16:creationId xmlns:a16="http://schemas.microsoft.com/office/drawing/2014/main" id="{DFCB9291-0C31-4489-BBDC-FA2D5A3B77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47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1975</xdr:row>
      <xdr:rowOff>0</xdr:rowOff>
    </xdr:from>
    <xdr:to>
      <xdr:col>0</xdr:col>
      <xdr:colOff>9525</xdr:colOff>
      <xdr:row>1975</xdr:row>
      <xdr:rowOff>9525</xdr:rowOff>
    </xdr:to>
    <xdr:pic>
      <xdr:nvPicPr>
        <xdr:cNvPr id="1247" name="Obraz 1246">
          <a:extLst>
            <a:ext uri="{FF2B5EF4-FFF2-40B4-BE49-F238E27FC236}">
              <a16:creationId xmlns:a16="http://schemas.microsoft.com/office/drawing/2014/main" id="{31B2A67E-945C-48F8-B26D-234D15828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42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1979</xdr:row>
      <xdr:rowOff>0</xdr:rowOff>
    </xdr:from>
    <xdr:to>
      <xdr:col>0</xdr:col>
      <xdr:colOff>9525</xdr:colOff>
      <xdr:row>1979</xdr:row>
      <xdr:rowOff>9525</xdr:rowOff>
    </xdr:to>
    <xdr:pic>
      <xdr:nvPicPr>
        <xdr:cNvPr id="1248" name="Obraz 1247">
          <a:extLst>
            <a:ext uri="{FF2B5EF4-FFF2-40B4-BE49-F238E27FC236}">
              <a16:creationId xmlns:a16="http://schemas.microsoft.com/office/drawing/2014/main" id="{3AE9393D-3F75-4AF9-A1AA-24A219831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38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1983</xdr:row>
      <xdr:rowOff>0</xdr:rowOff>
    </xdr:from>
    <xdr:to>
      <xdr:col>0</xdr:col>
      <xdr:colOff>9525</xdr:colOff>
      <xdr:row>1983</xdr:row>
      <xdr:rowOff>9525</xdr:rowOff>
    </xdr:to>
    <xdr:pic>
      <xdr:nvPicPr>
        <xdr:cNvPr id="1249" name="Obraz 1248">
          <a:extLst>
            <a:ext uri="{FF2B5EF4-FFF2-40B4-BE49-F238E27FC236}">
              <a16:creationId xmlns:a16="http://schemas.microsoft.com/office/drawing/2014/main" id="{8645FA71-0C57-4EEF-8753-89D7F2AFF4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776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1986</xdr:row>
      <xdr:rowOff>0</xdr:rowOff>
    </xdr:from>
    <xdr:to>
      <xdr:col>0</xdr:col>
      <xdr:colOff>9525</xdr:colOff>
      <xdr:row>1986</xdr:row>
      <xdr:rowOff>9525</xdr:rowOff>
    </xdr:to>
    <xdr:pic>
      <xdr:nvPicPr>
        <xdr:cNvPr id="1250" name="Obraz 1249">
          <a:extLst>
            <a:ext uri="{FF2B5EF4-FFF2-40B4-BE49-F238E27FC236}">
              <a16:creationId xmlns:a16="http://schemas.microsoft.com/office/drawing/2014/main" id="{D2889DE4-005A-42CB-B8DD-4C0C3EF27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52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1991</xdr:row>
      <xdr:rowOff>0</xdr:rowOff>
    </xdr:from>
    <xdr:to>
      <xdr:col>0</xdr:col>
      <xdr:colOff>9525</xdr:colOff>
      <xdr:row>1991</xdr:row>
      <xdr:rowOff>9525</xdr:rowOff>
    </xdr:to>
    <xdr:pic>
      <xdr:nvPicPr>
        <xdr:cNvPr id="1251" name="Obraz 1250">
          <a:extLst>
            <a:ext uri="{FF2B5EF4-FFF2-40B4-BE49-F238E27FC236}">
              <a16:creationId xmlns:a16="http://schemas.microsoft.com/office/drawing/2014/main" id="{C948D062-D8A2-4696-931D-85223295B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66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1994</xdr:row>
      <xdr:rowOff>0</xdr:rowOff>
    </xdr:from>
    <xdr:to>
      <xdr:col>0</xdr:col>
      <xdr:colOff>9525</xdr:colOff>
      <xdr:row>1994</xdr:row>
      <xdr:rowOff>9525</xdr:rowOff>
    </xdr:to>
    <xdr:pic>
      <xdr:nvPicPr>
        <xdr:cNvPr id="1252" name="Obraz 1251">
          <a:extLst>
            <a:ext uri="{FF2B5EF4-FFF2-40B4-BE49-F238E27FC236}">
              <a16:creationId xmlns:a16="http://schemas.microsoft.com/office/drawing/2014/main" id="{89D8D498-0004-4A0D-A837-6CA355C28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985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1997</xdr:row>
      <xdr:rowOff>0</xdr:rowOff>
    </xdr:from>
    <xdr:to>
      <xdr:col>0</xdr:col>
      <xdr:colOff>9525</xdr:colOff>
      <xdr:row>1997</xdr:row>
      <xdr:rowOff>9525</xdr:rowOff>
    </xdr:to>
    <xdr:pic>
      <xdr:nvPicPr>
        <xdr:cNvPr id="1253" name="Obraz 1252">
          <a:extLst>
            <a:ext uri="{FF2B5EF4-FFF2-40B4-BE49-F238E27FC236}">
              <a16:creationId xmlns:a16="http://schemas.microsoft.com/office/drawing/2014/main" id="{756DA84E-26AF-4BF5-9772-33F387950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61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2001</xdr:row>
      <xdr:rowOff>0</xdr:rowOff>
    </xdr:from>
    <xdr:to>
      <xdr:col>0</xdr:col>
      <xdr:colOff>9525</xdr:colOff>
      <xdr:row>2001</xdr:row>
      <xdr:rowOff>9525</xdr:rowOff>
    </xdr:to>
    <xdr:pic>
      <xdr:nvPicPr>
        <xdr:cNvPr id="1254" name="Obraz 1253">
          <a:extLst>
            <a:ext uri="{FF2B5EF4-FFF2-40B4-BE49-F238E27FC236}">
              <a16:creationId xmlns:a16="http://schemas.microsoft.com/office/drawing/2014/main" id="{F7BD86AC-85E7-461A-A713-7A58108831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5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2004</xdr:row>
      <xdr:rowOff>0</xdr:rowOff>
    </xdr:from>
    <xdr:to>
      <xdr:col>0</xdr:col>
      <xdr:colOff>9525</xdr:colOff>
      <xdr:row>2004</xdr:row>
      <xdr:rowOff>9525</xdr:rowOff>
    </xdr:to>
    <xdr:pic>
      <xdr:nvPicPr>
        <xdr:cNvPr id="1255" name="Obraz 1254">
          <a:extLst>
            <a:ext uri="{FF2B5EF4-FFF2-40B4-BE49-F238E27FC236}">
              <a16:creationId xmlns:a16="http://schemas.microsoft.com/office/drawing/2014/main" id="{E4E7DA4A-2A4D-4033-AC77-BEB2DDBEE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33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2004</xdr:row>
      <xdr:rowOff>0</xdr:rowOff>
    </xdr:from>
    <xdr:to>
      <xdr:col>0</xdr:col>
      <xdr:colOff>9525</xdr:colOff>
      <xdr:row>2004</xdr:row>
      <xdr:rowOff>9525</xdr:rowOff>
    </xdr:to>
    <xdr:pic>
      <xdr:nvPicPr>
        <xdr:cNvPr id="1256" name="Obraz 1255">
          <a:extLst>
            <a:ext uri="{FF2B5EF4-FFF2-40B4-BE49-F238E27FC236}">
              <a16:creationId xmlns:a16="http://schemas.microsoft.com/office/drawing/2014/main" id="{C61A6F59-88E8-447B-909E-E7A1DE6C8C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71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2006</xdr:row>
      <xdr:rowOff>0</xdr:rowOff>
    </xdr:from>
    <xdr:to>
      <xdr:col>0</xdr:col>
      <xdr:colOff>9525</xdr:colOff>
      <xdr:row>2006</xdr:row>
      <xdr:rowOff>9525</xdr:rowOff>
    </xdr:to>
    <xdr:pic>
      <xdr:nvPicPr>
        <xdr:cNvPr id="1257" name="Obraz 1256">
          <a:extLst>
            <a:ext uri="{FF2B5EF4-FFF2-40B4-BE49-F238E27FC236}">
              <a16:creationId xmlns:a16="http://schemas.microsoft.com/office/drawing/2014/main" id="{CD59C5E3-B2B2-4470-8F34-44786EDAE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14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2009</xdr:row>
      <xdr:rowOff>0</xdr:rowOff>
    </xdr:from>
    <xdr:to>
      <xdr:col>0</xdr:col>
      <xdr:colOff>9525</xdr:colOff>
      <xdr:row>2009</xdr:row>
      <xdr:rowOff>9525</xdr:rowOff>
    </xdr:to>
    <xdr:pic>
      <xdr:nvPicPr>
        <xdr:cNvPr id="1258" name="Obraz 1257">
          <a:extLst>
            <a:ext uri="{FF2B5EF4-FFF2-40B4-BE49-F238E27FC236}">
              <a16:creationId xmlns:a16="http://schemas.microsoft.com/office/drawing/2014/main" id="{EFC9A362-2590-48B2-9521-5BCD5FC97C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2013</xdr:row>
      <xdr:rowOff>0</xdr:rowOff>
    </xdr:from>
    <xdr:to>
      <xdr:col>0</xdr:col>
      <xdr:colOff>9525</xdr:colOff>
      <xdr:row>2013</xdr:row>
      <xdr:rowOff>9525</xdr:rowOff>
    </xdr:to>
    <xdr:pic>
      <xdr:nvPicPr>
        <xdr:cNvPr id="1259" name="Obraz 1258">
          <a:extLst>
            <a:ext uri="{FF2B5EF4-FFF2-40B4-BE49-F238E27FC236}">
              <a16:creationId xmlns:a16="http://schemas.microsoft.com/office/drawing/2014/main" id="{E288DB06-5BA3-42EC-8CF3-C19179504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385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2017</xdr:row>
      <xdr:rowOff>0</xdr:rowOff>
    </xdr:from>
    <xdr:to>
      <xdr:col>0</xdr:col>
      <xdr:colOff>9525</xdr:colOff>
      <xdr:row>2017</xdr:row>
      <xdr:rowOff>9525</xdr:rowOff>
    </xdr:to>
    <xdr:pic>
      <xdr:nvPicPr>
        <xdr:cNvPr id="1260" name="Obraz 1259">
          <a:extLst>
            <a:ext uri="{FF2B5EF4-FFF2-40B4-BE49-F238E27FC236}">
              <a16:creationId xmlns:a16="http://schemas.microsoft.com/office/drawing/2014/main" id="{D4350941-B035-4C87-B0FE-A4AF3AA10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23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2020</xdr:row>
      <xdr:rowOff>0</xdr:rowOff>
    </xdr:from>
    <xdr:to>
      <xdr:col>0</xdr:col>
      <xdr:colOff>9525</xdr:colOff>
      <xdr:row>2020</xdr:row>
      <xdr:rowOff>9525</xdr:rowOff>
    </xdr:to>
    <xdr:pic>
      <xdr:nvPicPr>
        <xdr:cNvPr id="1261" name="Obraz 1260">
          <a:extLst>
            <a:ext uri="{FF2B5EF4-FFF2-40B4-BE49-F238E27FC236}">
              <a16:creationId xmlns:a16="http://schemas.microsoft.com/office/drawing/2014/main" id="{409DCB8B-1B70-4B64-A642-3C7750902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00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2024</xdr:row>
      <xdr:rowOff>0</xdr:rowOff>
    </xdr:from>
    <xdr:to>
      <xdr:col>0</xdr:col>
      <xdr:colOff>9525</xdr:colOff>
      <xdr:row>2024</xdr:row>
      <xdr:rowOff>9525</xdr:rowOff>
    </xdr:to>
    <xdr:pic>
      <xdr:nvPicPr>
        <xdr:cNvPr id="1262" name="Obraz 1261">
          <a:extLst>
            <a:ext uri="{FF2B5EF4-FFF2-40B4-BE49-F238E27FC236}">
              <a16:creationId xmlns:a16="http://schemas.microsoft.com/office/drawing/2014/main" id="{FBD02403-0B26-439B-94C6-A2878C768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595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2027</xdr:row>
      <xdr:rowOff>0</xdr:rowOff>
    </xdr:from>
    <xdr:to>
      <xdr:col>0</xdr:col>
      <xdr:colOff>9525</xdr:colOff>
      <xdr:row>2027</xdr:row>
      <xdr:rowOff>9525</xdr:rowOff>
    </xdr:to>
    <xdr:pic>
      <xdr:nvPicPr>
        <xdr:cNvPr id="1263" name="Obraz 1262">
          <a:extLst>
            <a:ext uri="{FF2B5EF4-FFF2-40B4-BE49-F238E27FC236}">
              <a16:creationId xmlns:a16="http://schemas.microsoft.com/office/drawing/2014/main" id="{84DB6687-EBCC-49D1-B742-01D3F9E858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71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2028</xdr:row>
      <xdr:rowOff>0</xdr:rowOff>
    </xdr:from>
    <xdr:to>
      <xdr:col>0</xdr:col>
      <xdr:colOff>9525</xdr:colOff>
      <xdr:row>2028</xdr:row>
      <xdr:rowOff>9525</xdr:rowOff>
    </xdr:to>
    <xdr:pic>
      <xdr:nvPicPr>
        <xdr:cNvPr id="1264" name="Obraz 1263">
          <a:extLst>
            <a:ext uri="{FF2B5EF4-FFF2-40B4-BE49-F238E27FC236}">
              <a16:creationId xmlns:a16="http://schemas.microsoft.com/office/drawing/2014/main" id="{E7FA13A3-0CD6-4BC7-8149-CD308E2D88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09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2029</xdr:row>
      <xdr:rowOff>0</xdr:rowOff>
    </xdr:from>
    <xdr:to>
      <xdr:col>0</xdr:col>
      <xdr:colOff>9525</xdr:colOff>
      <xdr:row>2029</xdr:row>
      <xdr:rowOff>9525</xdr:rowOff>
    </xdr:to>
    <xdr:pic>
      <xdr:nvPicPr>
        <xdr:cNvPr id="1265" name="Obraz 1264">
          <a:extLst>
            <a:ext uri="{FF2B5EF4-FFF2-40B4-BE49-F238E27FC236}">
              <a16:creationId xmlns:a16="http://schemas.microsoft.com/office/drawing/2014/main" id="{9A74FF35-1149-4FD2-ACCB-C42948F7F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47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2031</xdr:row>
      <xdr:rowOff>0</xdr:rowOff>
    </xdr:from>
    <xdr:to>
      <xdr:col>0</xdr:col>
      <xdr:colOff>9525</xdr:colOff>
      <xdr:row>2031</xdr:row>
      <xdr:rowOff>9525</xdr:rowOff>
    </xdr:to>
    <xdr:pic>
      <xdr:nvPicPr>
        <xdr:cNvPr id="1266" name="Obraz 1265">
          <a:extLst>
            <a:ext uri="{FF2B5EF4-FFF2-40B4-BE49-F238E27FC236}">
              <a16:creationId xmlns:a16="http://schemas.microsoft.com/office/drawing/2014/main" id="{C9D324D6-B6A6-4527-B88A-704972C03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90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2035</xdr:row>
      <xdr:rowOff>0</xdr:rowOff>
    </xdr:from>
    <xdr:to>
      <xdr:col>0</xdr:col>
      <xdr:colOff>9525</xdr:colOff>
      <xdr:row>2035</xdr:row>
      <xdr:rowOff>9525</xdr:rowOff>
    </xdr:to>
    <xdr:pic>
      <xdr:nvPicPr>
        <xdr:cNvPr id="1267" name="Obraz 1266">
          <a:extLst>
            <a:ext uri="{FF2B5EF4-FFF2-40B4-BE49-F238E27FC236}">
              <a16:creationId xmlns:a16="http://schemas.microsoft.com/office/drawing/2014/main" id="{C64B1A55-D105-4C03-82C4-F31D7A6B4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785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2038</xdr:row>
      <xdr:rowOff>0</xdr:rowOff>
    </xdr:from>
    <xdr:to>
      <xdr:col>0</xdr:col>
      <xdr:colOff>9525</xdr:colOff>
      <xdr:row>2038</xdr:row>
      <xdr:rowOff>9525</xdr:rowOff>
    </xdr:to>
    <xdr:pic>
      <xdr:nvPicPr>
        <xdr:cNvPr id="1268" name="Obraz 1267">
          <a:extLst>
            <a:ext uri="{FF2B5EF4-FFF2-40B4-BE49-F238E27FC236}">
              <a16:creationId xmlns:a16="http://schemas.microsoft.com/office/drawing/2014/main" id="{BF6674AC-FC4A-49B1-847E-6A3CA9C6E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62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2042</xdr:row>
      <xdr:rowOff>0</xdr:rowOff>
    </xdr:from>
    <xdr:to>
      <xdr:col>0</xdr:col>
      <xdr:colOff>9525</xdr:colOff>
      <xdr:row>2042</xdr:row>
      <xdr:rowOff>9525</xdr:rowOff>
    </xdr:to>
    <xdr:pic>
      <xdr:nvPicPr>
        <xdr:cNvPr id="1269" name="Obraz 1268">
          <a:extLst>
            <a:ext uri="{FF2B5EF4-FFF2-40B4-BE49-F238E27FC236}">
              <a16:creationId xmlns:a16="http://schemas.microsoft.com/office/drawing/2014/main" id="{3E881B8A-1B8D-4670-938A-5911537B3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00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2046</xdr:row>
      <xdr:rowOff>0</xdr:rowOff>
    </xdr:from>
    <xdr:to>
      <xdr:col>0</xdr:col>
      <xdr:colOff>9525</xdr:colOff>
      <xdr:row>2046</xdr:row>
      <xdr:rowOff>9525</xdr:rowOff>
    </xdr:to>
    <xdr:pic>
      <xdr:nvPicPr>
        <xdr:cNvPr id="1270" name="Obraz 1269">
          <a:extLst>
            <a:ext uri="{FF2B5EF4-FFF2-40B4-BE49-F238E27FC236}">
              <a16:creationId xmlns:a16="http://schemas.microsoft.com/office/drawing/2014/main" id="{1C78792E-6F4C-4CAD-8B16-3B249634B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995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2049</xdr:row>
      <xdr:rowOff>0</xdr:rowOff>
    </xdr:from>
    <xdr:to>
      <xdr:col>0</xdr:col>
      <xdr:colOff>9525</xdr:colOff>
      <xdr:row>2049</xdr:row>
      <xdr:rowOff>9525</xdr:rowOff>
    </xdr:to>
    <xdr:pic>
      <xdr:nvPicPr>
        <xdr:cNvPr id="1271" name="Obraz 1270">
          <a:extLst>
            <a:ext uri="{FF2B5EF4-FFF2-40B4-BE49-F238E27FC236}">
              <a16:creationId xmlns:a16="http://schemas.microsoft.com/office/drawing/2014/main" id="{98070B39-2B59-4DA6-BD49-3BFDB7E8BB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71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2053</xdr:row>
      <xdr:rowOff>0</xdr:rowOff>
    </xdr:from>
    <xdr:to>
      <xdr:col>0</xdr:col>
      <xdr:colOff>9525</xdr:colOff>
      <xdr:row>2053</xdr:row>
      <xdr:rowOff>9525</xdr:rowOff>
    </xdr:to>
    <xdr:pic>
      <xdr:nvPicPr>
        <xdr:cNvPr id="1272" name="Obraz 1271">
          <a:extLst>
            <a:ext uri="{FF2B5EF4-FFF2-40B4-BE49-F238E27FC236}">
              <a16:creationId xmlns:a16="http://schemas.microsoft.com/office/drawing/2014/main" id="{46ED7273-CDAB-4A15-A728-D3C1DF1FD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09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2056</xdr:row>
      <xdr:rowOff>0</xdr:rowOff>
    </xdr:from>
    <xdr:to>
      <xdr:col>0</xdr:col>
      <xdr:colOff>9525</xdr:colOff>
      <xdr:row>2056</xdr:row>
      <xdr:rowOff>9525</xdr:rowOff>
    </xdr:to>
    <xdr:pic>
      <xdr:nvPicPr>
        <xdr:cNvPr id="1273" name="Obraz 1272">
          <a:extLst>
            <a:ext uri="{FF2B5EF4-FFF2-40B4-BE49-F238E27FC236}">
              <a16:creationId xmlns:a16="http://schemas.microsoft.com/office/drawing/2014/main" id="{629DEAFE-4E82-490C-ABB8-1128055C3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185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2060</xdr:row>
      <xdr:rowOff>0</xdr:rowOff>
    </xdr:from>
    <xdr:to>
      <xdr:col>0</xdr:col>
      <xdr:colOff>9525</xdr:colOff>
      <xdr:row>2060</xdr:row>
      <xdr:rowOff>9525</xdr:rowOff>
    </xdr:to>
    <xdr:pic>
      <xdr:nvPicPr>
        <xdr:cNvPr id="1274" name="Obraz 1273">
          <a:extLst>
            <a:ext uri="{FF2B5EF4-FFF2-40B4-BE49-F238E27FC236}">
              <a16:creationId xmlns:a16="http://schemas.microsoft.com/office/drawing/2014/main" id="{E14B3675-6677-4753-96EF-B1DB10AA26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81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2064</xdr:row>
      <xdr:rowOff>0</xdr:rowOff>
    </xdr:from>
    <xdr:to>
      <xdr:col>0</xdr:col>
      <xdr:colOff>9525</xdr:colOff>
      <xdr:row>2064</xdr:row>
      <xdr:rowOff>9525</xdr:rowOff>
    </xdr:to>
    <xdr:pic>
      <xdr:nvPicPr>
        <xdr:cNvPr id="1275" name="Obraz 1274">
          <a:extLst>
            <a:ext uri="{FF2B5EF4-FFF2-40B4-BE49-F238E27FC236}">
              <a16:creationId xmlns:a16="http://schemas.microsoft.com/office/drawing/2014/main" id="{F0FC6181-200D-4392-B41E-B450CEE4D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19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2067</xdr:row>
      <xdr:rowOff>0</xdr:rowOff>
    </xdr:from>
    <xdr:to>
      <xdr:col>0</xdr:col>
      <xdr:colOff>9525</xdr:colOff>
      <xdr:row>2067</xdr:row>
      <xdr:rowOff>9525</xdr:rowOff>
    </xdr:to>
    <xdr:pic>
      <xdr:nvPicPr>
        <xdr:cNvPr id="1276" name="Obraz 1275">
          <a:extLst>
            <a:ext uri="{FF2B5EF4-FFF2-40B4-BE49-F238E27FC236}">
              <a16:creationId xmlns:a16="http://schemas.microsoft.com/office/drawing/2014/main" id="{220E7BEB-8385-4A9A-B863-53C0E5B51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395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2071</xdr:row>
      <xdr:rowOff>0</xdr:rowOff>
    </xdr:from>
    <xdr:to>
      <xdr:col>0</xdr:col>
      <xdr:colOff>9525</xdr:colOff>
      <xdr:row>2071</xdr:row>
      <xdr:rowOff>9525</xdr:rowOff>
    </xdr:to>
    <xdr:pic>
      <xdr:nvPicPr>
        <xdr:cNvPr id="1277" name="Obraz 1276">
          <a:extLst>
            <a:ext uri="{FF2B5EF4-FFF2-40B4-BE49-F238E27FC236}">
              <a16:creationId xmlns:a16="http://schemas.microsoft.com/office/drawing/2014/main" id="{F53CCFC1-3153-4459-A3F7-87EEADD9E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90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2075</xdr:row>
      <xdr:rowOff>0</xdr:rowOff>
    </xdr:from>
    <xdr:to>
      <xdr:col>0</xdr:col>
      <xdr:colOff>9525</xdr:colOff>
      <xdr:row>2075</xdr:row>
      <xdr:rowOff>9525</xdr:rowOff>
    </xdr:to>
    <xdr:pic>
      <xdr:nvPicPr>
        <xdr:cNvPr id="1278" name="Obraz 1277">
          <a:extLst>
            <a:ext uri="{FF2B5EF4-FFF2-40B4-BE49-F238E27FC236}">
              <a16:creationId xmlns:a16="http://schemas.microsoft.com/office/drawing/2014/main" id="{15E50769-8C40-4858-9C52-38547B278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528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2078</xdr:row>
      <xdr:rowOff>0</xdr:rowOff>
    </xdr:from>
    <xdr:to>
      <xdr:col>0</xdr:col>
      <xdr:colOff>9525</xdr:colOff>
      <xdr:row>2078</xdr:row>
      <xdr:rowOff>9525</xdr:rowOff>
    </xdr:to>
    <xdr:pic>
      <xdr:nvPicPr>
        <xdr:cNvPr id="1279" name="Obraz 1278">
          <a:extLst>
            <a:ext uri="{FF2B5EF4-FFF2-40B4-BE49-F238E27FC236}">
              <a16:creationId xmlns:a16="http://schemas.microsoft.com/office/drawing/2014/main" id="{F38F6760-CB27-4793-B368-087B05957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04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2082</xdr:row>
      <xdr:rowOff>0</xdr:rowOff>
    </xdr:from>
    <xdr:to>
      <xdr:col>0</xdr:col>
      <xdr:colOff>9525</xdr:colOff>
      <xdr:row>2082</xdr:row>
      <xdr:rowOff>9525</xdr:rowOff>
    </xdr:to>
    <xdr:pic>
      <xdr:nvPicPr>
        <xdr:cNvPr id="1280" name="Obraz 1279">
          <a:extLst>
            <a:ext uri="{FF2B5EF4-FFF2-40B4-BE49-F238E27FC236}">
              <a16:creationId xmlns:a16="http://schemas.microsoft.com/office/drawing/2014/main" id="{D328CE5B-0D3E-4E89-81B2-E5390866A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00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2086</xdr:row>
      <xdr:rowOff>0</xdr:rowOff>
    </xdr:from>
    <xdr:to>
      <xdr:col>0</xdr:col>
      <xdr:colOff>9525</xdr:colOff>
      <xdr:row>2086</xdr:row>
      <xdr:rowOff>9525</xdr:rowOff>
    </xdr:to>
    <xdr:pic>
      <xdr:nvPicPr>
        <xdr:cNvPr id="1281" name="Obraz 1280">
          <a:extLst>
            <a:ext uri="{FF2B5EF4-FFF2-40B4-BE49-F238E27FC236}">
              <a16:creationId xmlns:a16="http://schemas.microsoft.com/office/drawing/2014/main" id="{39021510-EC6C-4555-9EB2-E1ADAF4C7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738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2089</xdr:row>
      <xdr:rowOff>0</xdr:rowOff>
    </xdr:from>
    <xdr:to>
      <xdr:col>0</xdr:col>
      <xdr:colOff>9525</xdr:colOff>
      <xdr:row>2089</xdr:row>
      <xdr:rowOff>9525</xdr:rowOff>
    </xdr:to>
    <xdr:pic>
      <xdr:nvPicPr>
        <xdr:cNvPr id="1282" name="Obraz 1281">
          <a:extLst>
            <a:ext uri="{FF2B5EF4-FFF2-40B4-BE49-F238E27FC236}">
              <a16:creationId xmlns:a16="http://schemas.microsoft.com/office/drawing/2014/main" id="{23CD9A4B-C3EE-454B-963D-E66643EE4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14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2093</xdr:row>
      <xdr:rowOff>0</xdr:rowOff>
    </xdr:from>
    <xdr:to>
      <xdr:col>0</xdr:col>
      <xdr:colOff>9525</xdr:colOff>
      <xdr:row>2093</xdr:row>
      <xdr:rowOff>9525</xdr:rowOff>
    </xdr:to>
    <xdr:pic>
      <xdr:nvPicPr>
        <xdr:cNvPr id="1283" name="Obraz 1282">
          <a:extLst>
            <a:ext uri="{FF2B5EF4-FFF2-40B4-BE49-F238E27FC236}">
              <a16:creationId xmlns:a16="http://schemas.microsoft.com/office/drawing/2014/main" id="{F87AEC80-5C42-456E-A689-C92AA41ED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09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2097</xdr:row>
      <xdr:rowOff>0</xdr:rowOff>
    </xdr:from>
    <xdr:to>
      <xdr:col>0</xdr:col>
      <xdr:colOff>9525</xdr:colOff>
      <xdr:row>2097</xdr:row>
      <xdr:rowOff>9525</xdr:rowOff>
    </xdr:to>
    <xdr:pic>
      <xdr:nvPicPr>
        <xdr:cNvPr id="1284" name="Obraz 1283">
          <a:extLst>
            <a:ext uri="{FF2B5EF4-FFF2-40B4-BE49-F238E27FC236}">
              <a16:creationId xmlns:a16="http://schemas.microsoft.com/office/drawing/2014/main" id="{59435602-0E94-4AE2-B080-DF2A36054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947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2100</xdr:row>
      <xdr:rowOff>0</xdr:rowOff>
    </xdr:from>
    <xdr:to>
      <xdr:col>0</xdr:col>
      <xdr:colOff>9525</xdr:colOff>
      <xdr:row>2100</xdr:row>
      <xdr:rowOff>9525</xdr:rowOff>
    </xdr:to>
    <xdr:pic>
      <xdr:nvPicPr>
        <xdr:cNvPr id="1285" name="Obraz 1284">
          <a:extLst>
            <a:ext uri="{FF2B5EF4-FFF2-40B4-BE49-F238E27FC236}">
              <a16:creationId xmlns:a16="http://schemas.microsoft.com/office/drawing/2014/main" id="{42BE029F-88B7-4B7B-8121-E2B4B1DB9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24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2104</xdr:row>
      <xdr:rowOff>0</xdr:rowOff>
    </xdr:from>
    <xdr:to>
      <xdr:col>0</xdr:col>
      <xdr:colOff>9525</xdr:colOff>
      <xdr:row>2104</xdr:row>
      <xdr:rowOff>9525</xdr:rowOff>
    </xdr:to>
    <xdr:pic>
      <xdr:nvPicPr>
        <xdr:cNvPr id="1286" name="Obraz 1285">
          <a:extLst>
            <a:ext uri="{FF2B5EF4-FFF2-40B4-BE49-F238E27FC236}">
              <a16:creationId xmlns:a16="http://schemas.microsoft.com/office/drawing/2014/main" id="{F34C5B97-7125-4181-A533-4920AAAD9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19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2108</xdr:row>
      <xdr:rowOff>0</xdr:rowOff>
    </xdr:from>
    <xdr:to>
      <xdr:col>0</xdr:col>
      <xdr:colOff>9525</xdr:colOff>
      <xdr:row>2108</xdr:row>
      <xdr:rowOff>9525</xdr:rowOff>
    </xdr:to>
    <xdr:pic>
      <xdr:nvPicPr>
        <xdr:cNvPr id="1287" name="Obraz 1286">
          <a:extLst>
            <a:ext uri="{FF2B5EF4-FFF2-40B4-BE49-F238E27FC236}">
              <a16:creationId xmlns:a16="http://schemas.microsoft.com/office/drawing/2014/main" id="{D85D9277-6B3F-4450-8A25-7C83E2F72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157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2111</xdr:row>
      <xdr:rowOff>0</xdr:rowOff>
    </xdr:from>
    <xdr:to>
      <xdr:col>0</xdr:col>
      <xdr:colOff>9525</xdr:colOff>
      <xdr:row>2111</xdr:row>
      <xdr:rowOff>9525</xdr:rowOff>
    </xdr:to>
    <xdr:pic>
      <xdr:nvPicPr>
        <xdr:cNvPr id="1288" name="Obraz 1287">
          <a:extLst>
            <a:ext uri="{FF2B5EF4-FFF2-40B4-BE49-F238E27FC236}">
              <a16:creationId xmlns:a16="http://schemas.microsoft.com/office/drawing/2014/main" id="{324F8E91-EAB8-40D0-81C6-48E38DBC5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33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2115</xdr:row>
      <xdr:rowOff>0</xdr:rowOff>
    </xdr:from>
    <xdr:to>
      <xdr:col>0</xdr:col>
      <xdr:colOff>9525</xdr:colOff>
      <xdr:row>2115</xdr:row>
      <xdr:rowOff>9525</xdr:rowOff>
    </xdr:to>
    <xdr:pic>
      <xdr:nvPicPr>
        <xdr:cNvPr id="1289" name="Obraz 1288">
          <a:extLst>
            <a:ext uri="{FF2B5EF4-FFF2-40B4-BE49-F238E27FC236}">
              <a16:creationId xmlns:a16="http://schemas.microsoft.com/office/drawing/2014/main" id="{6D376076-FB12-4C41-8347-7CEA9A675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28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2119</xdr:row>
      <xdr:rowOff>0</xdr:rowOff>
    </xdr:from>
    <xdr:to>
      <xdr:col>0</xdr:col>
      <xdr:colOff>9525</xdr:colOff>
      <xdr:row>2119</xdr:row>
      <xdr:rowOff>9525</xdr:rowOff>
    </xdr:to>
    <xdr:pic>
      <xdr:nvPicPr>
        <xdr:cNvPr id="1290" name="Obraz 1289">
          <a:extLst>
            <a:ext uri="{FF2B5EF4-FFF2-40B4-BE49-F238E27FC236}">
              <a16:creationId xmlns:a16="http://schemas.microsoft.com/office/drawing/2014/main" id="{E9AE9AD3-48F4-4BB4-B293-E55A0C98F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366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2122</xdr:row>
      <xdr:rowOff>0</xdr:rowOff>
    </xdr:from>
    <xdr:to>
      <xdr:col>0</xdr:col>
      <xdr:colOff>9525</xdr:colOff>
      <xdr:row>2122</xdr:row>
      <xdr:rowOff>9525</xdr:rowOff>
    </xdr:to>
    <xdr:pic>
      <xdr:nvPicPr>
        <xdr:cNvPr id="1291" name="Obraz 1290">
          <a:extLst>
            <a:ext uri="{FF2B5EF4-FFF2-40B4-BE49-F238E27FC236}">
              <a16:creationId xmlns:a16="http://schemas.microsoft.com/office/drawing/2014/main" id="{F51F53D1-EC77-4D30-8CF7-85FAC3C612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43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2126</xdr:row>
      <xdr:rowOff>0</xdr:rowOff>
    </xdr:from>
    <xdr:to>
      <xdr:col>0</xdr:col>
      <xdr:colOff>9525</xdr:colOff>
      <xdr:row>2126</xdr:row>
      <xdr:rowOff>9525</xdr:rowOff>
    </xdr:to>
    <xdr:pic>
      <xdr:nvPicPr>
        <xdr:cNvPr id="1292" name="Obraz 1291">
          <a:extLst>
            <a:ext uri="{FF2B5EF4-FFF2-40B4-BE49-F238E27FC236}">
              <a16:creationId xmlns:a16="http://schemas.microsoft.com/office/drawing/2014/main" id="{9CD7682A-05FC-48AA-B2FE-163DC0F25A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538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2129</xdr:row>
      <xdr:rowOff>0</xdr:rowOff>
    </xdr:from>
    <xdr:to>
      <xdr:col>0</xdr:col>
      <xdr:colOff>9525</xdr:colOff>
      <xdr:row>2129</xdr:row>
      <xdr:rowOff>9525</xdr:rowOff>
    </xdr:to>
    <xdr:pic>
      <xdr:nvPicPr>
        <xdr:cNvPr id="1293" name="Obraz 1292">
          <a:extLst>
            <a:ext uri="{FF2B5EF4-FFF2-40B4-BE49-F238E27FC236}">
              <a16:creationId xmlns:a16="http://schemas.microsoft.com/office/drawing/2014/main" id="{07D69BE5-E9FD-41EE-B157-50C2E1746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14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2130</xdr:row>
      <xdr:rowOff>0</xdr:rowOff>
    </xdr:from>
    <xdr:to>
      <xdr:col>0</xdr:col>
      <xdr:colOff>9525</xdr:colOff>
      <xdr:row>2130</xdr:row>
      <xdr:rowOff>9525</xdr:rowOff>
    </xdr:to>
    <xdr:pic>
      <xdr:nvPicPr>
        <xdr:cNvPr id="1294" name="Obraz 1293">
          <a:extLst>
            <a:ext uri="{FF2B5EF4-FFF2-40B4-BE49-F238E27FC236}">
              <a16:creationId xmlns:a16="http://schemas.microsoft.com/office/drawing/2014/main" id="{EEF62B4D-A1F6-4A1C-A628-6D1FF662D2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52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2131</xdr:row>
      <xdr:rowOff>0</xdr:rowOff>
    </xdr:from>
    <xdr:to>
      <xdr:col>0</xdr:col>
      <xdr:colOff>9525</xdr:colOff>
      <xdr:row>2131</xdr:row>
      <xdr:rowOff>9525</xdr:rowOff>
    </xdr:to>
    <xdr:pic>
      <xdr:nvPicPr>
        <xdr:cNvPr id="1295" name="Obraz 1294">
          <a:extLst>
            <a:ext uri="{FF2B5EF4-FFF2-40B4-BE49-F238E27FC236}">
              <a16:creationId xmlns:a16="http://schemas.microsoft.com/office/drawing/2014/main" id="{56A6ECAB-856A-4B41-BE21-3168D9F34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90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2131</xdr:row>
      <xdr:rowOff>0</xdr:rowOff>
    </xdr:from>
    <xdr:to>
      <xdr:col>0</xdr:col>
      <xdr:colOff>9525</xdr:colOff>
      <xdr:row>2131</xdr:row>
      <xdr:rowOff>9525</xdr:rowOff>
    </xdr:to>
    <xdr:pic>
      <xdr:nvPicPr>
        <xdr:cNvPr id="1296" name="Obraz 1295">
          <a:extLst>
            <a:ext uri="{FF2B5EF4-FFF2-40B4-BE49-F238E27FC236}">
              <a16:creationId xmlns:a16="http://schemas.microsoft.com/office/drawing/2014/main" id="{8D9529E6-C029-44CA-9E8C-C1F0909B4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28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2133</xdr:row>
      <xdr:rowOff>0</xdr:rowOff>
    </xdr:from>
    <xdr:to>
      <xdr:col>0</xdr:col>
      <xdr:colOff>9525</xdr:colOff>
      <xdr:row>2133</xdr:row>
      <xdr:rowOff>9525</xdr:rowOff>
    </xdr:to>
    <xdr:pic>
      <xdr:nvPicPr>
        <xdr:cNvPr id="1297" name="Obraz 1296">
          <a:extLst>
            <a:ext uri="{FF2B5EF4-FFF2-40B4-BE49-F238E27FC236}">
              <a16:creationId xmlns:a16="http://schemas.microsoft.com/office/drawing/2014/main" id="{9D70D67C-DFB7-4757-827E-4A2E361E1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786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2137</xdr:row>
      <xdr:rowOff>0</xdr:rowOff>
    </xdr:from>
    <xdr:to>
      <xdr:col>0</xdr:col>
      <xdr:colOff>9525</xdr:colOff>
      <xdr:row>2137</xdr:row>
      <xdr:rowOff>9525</xdr:rowOff>
    </xdr:to>
    <xdr:pic>
      <xdr:nvPicPr>
        <xdr:cNvPr id="1298" name="Obraz 1297">
          <a:extLst>
            <a:ext uri="{FF2B5EF4-FFF2-40B4-BE49-F238E27FC236}">
              <a16:creationId xmlns:a16="http://schemas.microsoft.com/office/drawing/2014/main" id="{3AC0E198-71CB-4B2F-B54C-6348F6031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81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2141</xdr:row>
      <xdr:rowOff>0</xdr:rowOff>
    </xdr:from>
    <xdr:to>
      <xdr:col>0</xdr:col>
      <xdr:colOff>9525</xdr:colOff>
      <xdr:row>2141</xdr:row>
      <xdr:rowOff>9525</xdr:rowOff>
    </xdr:to>
    <xdr:pic>
      <xdr:nvPicPr>
        <xdr:cNvPr id="1299" name="Obraz 1298">
          <a:extLst>
            <a:ext uri="{FF2B5EF4-FFF2-40B4-BE49-F238E27FC236}">
              <a16:creationId xmlns:a16="http://schemas.microsoft.com/office/drawing/2014/main" id="{8C178A8A-459A-4C05-BE7B-8E7895365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76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2144</xdr:row>
      <xdr:rowOff>0</xdr:rowOff>
    </xdr:from>
    <xdr:to>
      <xdr:col>0</xdr:col>
      <xdr:colOff>9525</xdr:colOff>
      <xdr:row>2144</xdr:row>
      <xdr:rowOff>9525</xdr:rowOff>
    </xdr:to>
    <xdr:pic>
      <xdr:nvPicPr>
        <xdr:cNvPr id="1300" name="Obraz 1299">
          <a:extLst>
            <a:ext uri="{FF2B5EF4-FFF2-40B4-BE49-F238E27FC236}">
              <a16:creationId xmlns:a16="http://schemas.microsoft.com/office/drawing/2014/main" id="{BF080373-AB9B-4BF6-8349-D9ED95335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43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2147</xdr:row>
      <xdr:rowOff>0</xdr:rowOff>
    </xdr:from>
    <xdr:to>
      <xdr:col>0</xdr:col>
      <xdr:colOff>9525</xdr:colOff>
      <xdr:row>2147</xdr:row>
      <xdr:rowOff>9525</xdr:rowOff>
    </xdr:to>
    <xdr:pic>
      <xdr:nvPicPr>
        <xdr:cNvPr id="1301" name="Obraz 1300">
          <a:extLst>
            <a:ext uri="{FF2B5EF4-FFF2-40B4-BE49-F238E27FC236}">
              <a16:creationId xmlns:a16="http://schemas.microsoft.com/office/drawing/2014/main" id="{EF7379A7-53FD-470E-94E0-5FD72B43D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919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2152</xdr:row>
      <xdr:rowOff>0</xdr:rowOff>
    </xdr:from>
    <xdr:to>
      <xdr:col>0</xdr:col>
      <xdr:colOff>9525</xdr:colOff>
      <xdr:row>2152</xdr:row>
      <xdr:rowOff>9525</xdr:rowOff>
    </xdr:to>
    <xdr:pic>
      <xdr:nvPicPr>
        <xdr:cNvPr id="1302" name="Obraz 1301">
          <a:extLst>
            <a:ext uri="{FF2B5EF4-FFF2-40B4-BE49-F238E27FC236}">
              <a16:creationId xmlns:a16="http://schemas.microsoft.com/office/drawing/2014/main" id="{4A9AF104-BAA2-4C8F-9475-CB2A1BFE3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33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2155</xdr:row>
      <xdr:rowOff>0</xdr:rowOff>
    </xdr:from>
    <xdr:to>
      <xdr:col>0</xdr:col>
      <xdr:colOff>9525</xdr:colOff>
      <xdr:row>2155</xdr:row>
      <xdr:rowOff>9525</xdr:rowOff>
    </xdr:to>
    <xdr:pic>
      <xdr:nvPicPr>
        <xdr:cNvPr id="1303" name="Obraz 1302">
          <a:extLst>
            <a:ext uri="{FF2B5EF4-FFF2-40B4-BE49-F238E27FC236}">
              <a16:creationId xmlns:a16="http://schemas.microsoft.com/office/drawing/2014/main" id="{AE6EC92E-AA5E-40F6-8FE1-40FA93DC9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52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2159</xdr:row>
      <xdr:rowOff>0</xdr:rowOff>
    </xdr:from>
    <xdr:to>
      <xdr:col>0</xdr:col>
      <xdr:colOff>9525</xdr:colOff>
      <xdr:row>2159</xdr:row>
      <xdr:rowOff>9525</xdr:rowOff>
    </xdr:to>
    <xdr:pic>
      <xdr:nvPicPr>
        <xdr:cNvPr id="1304" name="Obraz 1303">
          <a:extLst>
            <a:ext uri="{FF2B5EF4-FFF2-40B4-BE49-F238E27FC236}">
              <a16:creationId xmlns:a16="http://schemas.microsoft.com/office/drawing/2014/main" id="{6E36C372-7BF2-4DBB-BE49-554D24289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148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2162</xdr:row>
      <xdr:rowOff>0</xdr:rowOff>
    </xdr:from>
    <xdr:to>
      <xdr:col>0</xdr:col>
      <xdr:colOff>9525</xdr:colOff>
      <xdr:row>2162</xdr:row>
      <xdr:rowOff>9525</xdr:rowOff>
    </xdr:to>
    <xdr:pic>
      <xdr:nvPicPr>
        <xdr:cNvPr id="1305" name="Obraz 1304">
          <a:extLst>
            <a:ext uri="{FF2B5EF4-FFF2-40B4-BE49-F238E27FC236}">
              <a16:creationId xmlns:a16="http://schemas.microsoft.com/office/drawing/2014/main" id="{3DBBA560-AFF4-4655-8D5C-30FE8C1EA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24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2166</xdr:row>
      <xdr:rowOff>0</xdr:rowOff>
    </xdr:from>
    <xdr:to>
      <xdr:col>0</xdr:col>
      <xdr:colOff>9525</xdr:colOff>
      <xdr:row>2166</xdr:row>
      <xdr:rowOff>9525</xdr:rowOff>
    </xdr:to>
    <xdr:pic>
      <xdr:nvPicPr>
        <xdr:cNvPr id="1306" name="Obraz 1305">
          <a:extLst>
            <a:ext uri="{FF2B5EF4-FFF2-40B4-BE49-F238E27FC236}">
              <a16:creationId xmlns:a16="http://schemas.microsoft.com/office/drawing/2014/main" id="{06D83A87-4E46-4E1E-B094-C3219FE469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62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2170</xdr:row>
      <xdr:rowOff>0</xdr:rowOff>
    </xdr:from>
    <xdr:to>
      <xdr:col>0</xdr:col>
      <xdr:colOff>9525</xdr:colOff>
      <xdr:row>2170</xdr:row>
      <xdr:rowOff>9525</xdr:rowOff>
    </xdr:to>
    <xdr:pic>
      <xdr:nvPicPr>
        <xdr:cNvPr id="1307" name="Obraz 1306">
          <a:extLst>
            <a:ext uri="{FF2B5EF4-FFF2-40B4-BE49-F238E27FC236}">
              <a16:creationId xmlns:a16="http://schemas.microsoft.com/office/drawing/2014/main" id="{EB70648D-6D0D-4D33-A6E0-872DB57CD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357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2173</xdr:row>
      <xdr:rowOff>0</xdr:rowOff>
    </xdr:from>
    <xdr:to>
      <xdr:col>0</xdr:col>
      <xdr:colOff>9525</xdr:colOff>
      <xdr:row>2173</xdr:row>
      <xdr:rowOff>9525</xdr:rowOff>
    </xdr:to>
    <xdr:pic>
      <xdr:nvPicPr>
        <xdr:cNvPr id="1308" name="Obraz 1307">
          <a:extLst>
            <a:ext uri="{FF2B5EF4-FFF2-40B4-BE49-F238E27FC236}">
              <a16:creationId xmlns:a16="http://schemas.microsoft.com/office/drawing/2014/main" id="{29F3906E-2260-48CD-A21F-90299CF85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33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2177</xdr:row>
      <xdr:rowOff>0</xdr:rowOff>
    </xdr:from>
    <xdr:to>
      <xdr:col>0</xdr:col>
      <xdr:colOff>9525</xdr:colOff>
      <xdr:row>2177</xdr:row>
      <xdr:rowOff>9525</xdr:rowOff>
    </xdr:to>
    <xdr:pic>
      <xdr:nvPicPr>
        <xdr:cNvPr id="1309" name="Obraz 1308">
          <a:extLst>
            <a:ext uri="{FF2B5EF4-FFF2-40B4-BE49-F238E27FC236}">
              <a16:creationId xmlns:a16="http://schemas.microsoft.com/office/drawing/2014/main" id="{3EF89DFF-8C24-4530-B72E-94208FC32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529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2180</xdr:row>
      <xdr:rowOff>0</xdr:rowOff>
    </xdr:from>
    <xdr:to>
      <xdr:col>0</xdr:col>
      <xdr:colOff>9525</xdr:colOff>
      <xdr:row>2180</xdr:row>
      <xdr:rowOff>9525</xdr:rowOff>
    </xdr:to>
    <xdr:pic>
      <xdr:nvPicPr>
        <xdr:cNvPr id="1310" name="Obraz 1309">
          <a:extLst>
            <a:ext uri="{FF2B5EF4-FFF2-40B4-BE49-F238E27FC236}">
              <a16:creationId xmlns:a16="http://schemas.microsoft.com/office/drawing/2014/main" id="{DD22F250-47BC-487D-B586-2203A968A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05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2185</xdr:row>
      <xdr:rowOff>0</xdr:rowOff>
    </xdr:from>
    <xdr:to>
      <xdr:col>0</xdr:col>
      <xdr:colOff>9525</xdr:colOff>
      <xdr:row>2185</xdr:row>
      <xdr:rowOff>9525</xdr:rowOff>
    </xdr:to>
    <xdr:pic>
      <xdr:nvPicPr>
        <xdr:cNvPr id="1311" name="Obraz 1310">
          <a:extLst>
            <a:ext uri="{FF2B5EF4-FFF2-40B4-BE49-F238E27FC236}">
              <a16:creationId xmlns:a16="http://schemas.microsoft.com/office/drawing/2014/main" id="{B78A95A7-5212-46C8-877A-5322FC0BC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19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2188</xdr:row>
      <xdr:rowOff>0</xdr:rowOff>
    </xdr:from>
    <xdr:to>
      <xdr:col>0</xdr:col>
      <xdr:colOff>9525</xdr:colOff>
      <xdr:row>2188</xdr:row>
      <xdr:rowOff>9525</xdr:rowOff>
    </xdr:to>
    <xdr:pic>
      <xdr:nvPicPr>
        <xdr:cNvPr id="1312" name="Obraz 1311">
          <a:extLst>
            <a:ext uri="{FF2B5EF4-FFF2-40B4-BE49-F238E27FC236}">
              <a16:creationId xmlns:a16="http://schemas.microsoft.com/office/drawing/2014/main" id="{42736F0D-B07E-4FFB-88B1-595F649028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81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2192</xdr:row>
      <xdr:rowOff>0</xdr:rowOff>
    </xdr:from>
    <xdr:to>
      <xdr:col>0</xdr:col>
      <xdr:colOff>9525</xdr:colOff>
      <xdr:row>2192</xdr:row>
      <xdr:rowOff>9525</xdr:rowOff>
    </xdr:to>
    <xdr:pic>
      <xdr:nvPicPr>
        <xdr:cNvPr id="1313" name="Obraz 1312">
          <a:extLst>
            <a:ext uri="{FF2B5EF4-FFF2-40B4-BE49-F238E27FC236}">
              <a16:creationId xmlns:a16="http://schemas.microsoft.com/office/drawing/2014/main" id="{CF0C410C-8052-494C-8CBA-563646DD8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776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2195</xdr:row>
      <xdr:rowOff>0</xdr:rowOff>
    </xdr:from>
    <xdr:to>
      <xdr:col>0</xdr:col>
      <xdr:colOff>9525</xdr:colOff>
      <xdr:row>2195</xdr:row>
      <xdr:rowOff>9525</xdr:rowOff>
    </xdr:to>
    <xdr:pic>
      <xdr:nvPicPr>
        <xdr:cNvPr id="1314" name="Obraz 1313">
          <a:extLst>
            <a:ext uri="{FF2B5EF4-FFF2-40B4-BE49-F238E27FC236}">
              <a16:creationId xmlns:a16="http://schemas.microsoft.com/office/drawing/2014/main" id="{03A6CF10-DE20-41E0-9D61-EE14C64BB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52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2199</xdr:row>
      <xdr:rowOff>0</xdr:rowOff>
    </xdr:from>
    <xdr:to>
      <xdr:col>0</xdr:col>
      <xdr:colOff>9525</xdr:colOff>
      <xdr:row>2199</xdr:row>
      <xdr:rowOff>9525</xdr:rowOff>
    </xdr:to>
    <xdr:pic>
      <xdr:nvPicPr>
        <xdr:cNvPr id="1315" name="Obraz 1314">
          <a:extLst>
            <a:ext uri="{FF2B5EF4-FFF2-40B4-BE49-F238E27FC236}">
              <a16:creationId xmlns:a16="http://schemas.microsoft.com/office/drawing/2014/main" id="{6ED74208-B164-4D99-A72E-D035ACD1A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948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2202</xdr:row>
      <xdr:rowOff>0</xdr:rowOff>
    </xdr:from>
    <xdr:to>
      <xdr:col>0</xdr:col>
      <xdr:colOff>9525</xdr:colOff>
      <xdr:row>2202</xdr:row>
      <xdr:rowOff>9525</xdr:rowOff>
    </xdr:to>
    <xdr:pic>
      <xdr:nvPicPr>
        <xdr:cNvPr id="1316" name="Obraz 1315">
          <a:extLst>
            <a:ext uri="{FF2B5EF4-FFF2-40B4-BE49-F238E27FC236}">
              <a16:creationId xmlns:a16="http://schemas.microsoft.com/office/drawing/2014/main" id="{FA4B8D84-2EAF-45AB-9F6F-9E17F0C11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24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2206</xdr:row>
      <xdr:rowOff>0</xdr:rowOff>
    </xdr:from>
    <xdr:to>
      <xdr:col>0</xdr:col>
      <xdr:colOff>9525</xdr:colOff>
      <xdr:row>2206</xdr:row>
      <xdr:rowOff>9525</xdr:rowOff>
    </xdr:to>
    <xdr:pic>
      <xdr:nvPicPr>
        <xdr:cNvPr id="1317" name="Obraz 1316">
          <a:extLst>
            <a:ext uri="{FF2B5EF4-FFF2-40B4-BE49-F238E27FC236}">
              <a16:creationId xmlns:a16="http://schemas.microsoft.com/office/drawing/2014/main" id="{A5BF779D-B3E2-4706-A2B9-B8C06DD03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1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2209</xdr:row>
      <xdr:rowOff>0</xdr:rowOff>
    </xdr:from>
    <xdr:to>
      <xdr:col>0</xdr:col>
      <xdr:colOff>9525</xdr:colOff>
      <xdr:row>2209</xdr:row>
      <xdr:rowOff>9525</xdr:rowOff>
    </xdr:to>
    <xdr:pic>
      <xdr:nvPicPr>
        <xdr:cNvPr id="1318" name="Obraz 1317">
          <a:extLst>
            <a:ext uri="{FF2B5EF4-FFF2-40B4-BE49-F238E27FC236}">
              <a16:creationId xmlns:a16="http://schemas.microsoft.com/office/drawing/2014/main" id="{914C0E89-4EF9-4E22-8714-849D5C30E9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95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2209</xdr:row>
      <xdr:rowOff>0</xdr:rowOff>
    </xdr:from>
    <xdr:to>
      <xdr:col>0</xdr:col>
      <xdr:colOff>9525</xdr:colOff>
      <xdr:row>2209</xdr:row>
      <xdr:rowOff>9525</xdr:rowOff>
    </xdr:to>
    <xdr:pic>
      <xdr:nvPicPr>
        <xdr:cNvPr id="1319" name="Obraz 1318">
          <a:extLst>
            <a:ext uri="{FF2B5EF4-FFF2-40B4-BE49-F238E27FC236}">
              <a16:creationId xmlns:a16="http://schemas.microsoft.com/office/drawing/2014/main" id="{C8A39670-5598-43EF-B4B3-B467EB0EB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33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2210</xdr:row>
      <xdr:rowOff>0</xdr:rowOff>
    </xdr:from>
    <xdr:to>
      <xdr:col>0</xdr:col>
      <xdr:colOff>9525</xdr:colOff>
      <xdr:row>2210</xdr:row>
      <xdr:rowOff>9525</xdr:rowOff>
    </xdr:to>
    <xdr:pic>
      <xdr:nvPicPr>
        <xdr:cNvPr id="1320" name="Obraz 1319">
          <a:extLst>
            <a:ext uri="{FF2B5EF4-FFF2-40B4-BE49-F238E27FC236}">
              <a16:creationId xmlns:a16="http://schemas.microsoft.com/office/drawing/2014/main" id="{3E077B74-EAA9-40C9-8961-1D60D9F3C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71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2212</xdr:row>
      <xdr:rowOff>0</xdr:rowOff>
    </xdr:from>
    <xdr:to>
      <xdr:col>0</xdr:col>
      <xdr:colOff>9525</xdr:colOff>
      <xdr:row>2212</xdr:row>
      <xdr:rowOff>9525</xdr:rowOff>
    </xdr:to>
    <xdr:pic>
      <xdr:nvPicPr>
        <xdr:cNvPr id="1321" name="Obraz 1320">
          <a:extLst>
            <a:ext uri="{FF2B5EF4-FFF2-40B4-BE49-F238E27FC236}">
              <a16:creationId xmlns:a16="http://schemas.microsoft.com/office/drawing/2014/main" id="{7886CF74-7810-410A-9915-C3E8B99C6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138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2215</xdr:row>
      <xdr:rowOff>0</xdr:rowOff>
    </xdr:from>
    <xdr:to>
      <xdr:col>0</xdr:col>
      <xdr:colOff>9525</xdr:colOff>
      <xdr:row>2215</xdr:row>
      <xdr:rowOff>9525</xdr:rowOff>
    </xdr:to>
    <xdr:pic>
      <xdr:nvPicPr>
        <xdr:cNvPr id="1322" name="Obraz 1321">
          <a:extLst>
            <a:ext uri="{FF2B5EF4-FFF2-40B4-BE49-F238E27FC236}">
              <a16:creationId xmlns:a16="http://schemas.microsoft.com/office/drawing/2014/main" id="{EC48AEEC-4A34-4F83-A94A-EEDA9930F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14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2219</xdr:row>
      <xdr:rowOff>0</xdr:rowOff>
    </xdr:from>
    <xdr:to>
      <xdr:col>0</xdr:col>
      <xdr:colOff>9525</xdr:colOff>
      <xdr:row>2219</xdr:row>
      <xdr:rowOff>9525</xdr:rowOff>
    </xdr:to>
    <xdr:pic>
      <xdr:nvPicPr>
        <xdr:cNvPr id="1323" name="Obraz 1322">
          <a:extLst>
            <a:ext uri="{FF2B5EF4-FFF2-40B4-BE49-F238E27FC236}">
              <a16:creationId xmlns:a16="http://schemas.microsoft.com/office/drawing/2014/main" id="{FE5173D5-1B3F-45AF-8327-7DB065E52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10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2222</xdr:row>
      <xdr:rowOff>0</xdr:rowOff>
    </xdr:from>
    <xdr:to>
      <xdr:col>0</xdr:col>
      <xdr:colOff>9525</xdr:colOff>
      <xdr:row>2222</xdr:row>
      <xdr:rowOff>9525</xdr:rowOff>
    </xdr:to>
    <xdr:pic>
      <xdr:nvPicPr>
        <xdr:cNvPr id="1324" name="Obraz 1323">
          <a:extLst>
            <a:ext uri="{FF2B5EF4-FFF2-40B4-BE49-F238E27FC236}">
              <a16:creationId xmlns:a16="http://schemas.microsoft.com/office/drawing/2014/main" id="{5C95E109-F9C2-4612-BC36-8772FBAF4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86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2223</xdr:row>
      <xdr:rowOff>0</xdr:rowOff>
    </xdr:from>
    <xdr:to>
      <xdr:col>0</xdr:col>
      <xdr:colOff>9525</xdr:colOff>
      <xdr:row>2223</xdr:row>
      <xdr:rowOff>9525</xdr:rowOff>
    </xdr:to>
    <xdr:pic>
      <xdr:nvPicPr>
        <xdr:cNvPr id="1325" name="Obraz 1324">
          <a:extLst>
            <a:ext uri="{FF2B5EF4-FFF2-40B4-BE49-F238E27FC236}">
              <a16:creationId xmlns:a16="http://schemas.microsoft.com/office/drawing/2014/main" id="{40D7DD87-BAD7-4446-8F0B-2FF8D2983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24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2223</xdr:row>
      <xdr:rowOff>0</xdr:rowOff>
    </xdr:from>
    <xdr:to>
      <xdr:col>0</xdr:col>
      <xdr:colOff>9525</xdr:colOff>
      <xdr:row>2223</xdr:row>
      <xdr:rowOff>9525</xdr:rowOff>
    </xdr:to>
    <xdr:pic>
      <xdr:nvPicPr>
        <xdr:cNvPr id="1326" name="Obraz 1325">
          <a:extLst>
            <a:ext uri="{FF2B5EF4-FFF2-40B4-BE49-F238E27FC236}">
              <a16:creationId xmlns:a16="http://schemas.microsoft.com/office/drawing/2014/main" id="{D584F89A-21D9-41D8-8D9B-17285F0F4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81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2225</xdr:row>
      <xdr:rowOff>0</xdr:rowOff>
    </xdr:from>
    <xdr:to>
      <xdr:col>0</xdr:col>
      <xdr:colOff>9525</xdr:colOff>
      <xdr:row>2225</xdr:row>
      <xdr:rowOff>9525</xdr:rowOff>
    </xdr:to>
    <xdr:pic>
      <xdr:nvPicPr>
        <xdr:cNvPr id="1327" name="Obraz 1326">
          <a:extLst>
            <a:ext uri="{FF2B5EF4-FFF2-40B4-BE49-F238E27FC236}">
              <a16:creationId xmlns:a16="http://schemas.microsoft.com/office/drawing/2014/main" id="{2DDF7B0B-66EA-43B7-8BAC-321245B2E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386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2228</xdr:row>
      <xdr:rowOff>0</xdr:rowOff>
    </xdr:from>
    <xdr:to>
      <xdr:col>0</xdr:col>
      <xdr:colOff>9525</xdr:colOff>
      <xdr:row>2228</xdr:row>
      <xdr:rowOff>9525</xdr:rowOff>
    </xdr:to>
    <xdr:pic>
      <xdr:nvPicPr>
        <xdr:cNvPr id="1328" name="Obraz 1327">
          <a:extLst>
            <a:ext uri="{FF2B5EF4-FFF2-40B4-BE49-F238E27FC236}">
              <a16:creationId xmlns:a16="http://schemas.microsoft.com/office/drawing/2014/main" id="{B420A242-AA19-456D-9976-B837F5260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62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2232</xdr:row>
      <xdr:rowOff>0</xdr:rowOff>
    </xdr:from>
    <xdr:to>
      <xdr:col>0</xdr:col>
      <xdr:colOff>9525</xdr:colOff>
      <xdr:row>2232</xdr:row>
      <xdr:rowOff>9525</xdr:rowOff>
    </xdr:to>
    <xdr:pic>
      <xdr:nvPicPr>
        <xdr:cNvPr id="1329" name="Obraz 1328">
          <a:extLst>
            <a:ext uri="{FF2B5EF4-FFF2-40B4-BE49-F238E27FC236}">
              <a16:creationId xmlns:a16="http://schemas.microsoft.com/office/drawing/2014/main" id="{2766124B-5546-4148-A73E-62D591B695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57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2236</xdr:row>
      <xdr:rowOff>0</xdr:rowOff>
    </xdr:from>
    <xdr:to>
      <xdr:col>0</xdr:col>
      <xdr:colOff>9525</xdr:colOff>
      <xdr:row>2236</xdr:row>
      <xdr:rowOff>9525</xdr:rowOff>
    </xdr:to>
    <xdr:pic>
      <xdr:nvPicPr>
        <xdr:cNvPr id="1330" name="Obraz 1329">
          <a:extLst>
            <a:ext uri="{FF2B5EF4-FFF2-40B4-BE49-F238E27FC236}">
              <a16:creationId xmlns:a16="http://schemas.microsoft.com/office/drawing/2014/main" id="{051A6ADA-3C76-4D1B-8E07-3E574ED8F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595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2240</xdr:row>
      <xdr:rowOff>0</xdr:rowOff>
    </xdr:from>
    <xdr:to>
      <xdr:col>0</xdr:col>
      <xdr:colOff>9525</xdr:colOff>
      <xdr:row>2240</xdr:row>
      <xdr:rowOff>9525</xdr:rowOff>
    </xdr:to>
    <xdr:pic>
      <xdr:nvPicPr>
        <xdr:cNvPr id="1331" name="Obraz 1330">
          <a:extLst>
            <a:ext uri="{FF2B5EF4-FFF2-40B4-BE49-F238E27FC236}">
              <a16:creationId xmlns:a16="http://schemas.microsoft.com/office/drawing/2014/main" id="{030E2257-B2FB-495E-A3B4-9A3F9009C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91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2243</xdr:row>
      <xdr:rowOff>0</xdr:rowOff>
    </xdr:from>
    <xdr:to>
      <xdr:col>0</xdr:col>
      <xdr:colOff>9525</xdr:colOff>
      <xdr:row>2243</xdr:row>
      <xdr:rowOff>9525</xdr:rowOff>
    </xdr:to>
    <xdr:pic>
      <xdr:nvPicPr>
        <xdr:cNvPr id="1332" name="Obraz 1331">
          <a:extLst>
            <a:ext uri="{FF2B5EF4-FFF2-40B4-BE49-F238E27FC236}">
              <a16:creationId xmlns:a16="http://schemas.microsoft.com/office/drawing/2014/main" id="{DA49D498-FDBB-4FB9-913A-D072F8624C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767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2247</xdr:row>
      <xdr:rowOff>0</xdr:rowOff>
    </xdr:from>
    <xdr:to>
      <xdr:col>0</xdr:col>
      <xdr:colOff>9525</xdr:colOff>
      <xdr:row>2247</xdr:row>
      <xdr:rowOff>9525</xdr:rowOff>
    </xdr:to>
    <xdr:pic>
      <xdr:nvPicPr>
        <xdr:cNvPr id="1333" name="Obraz 1332">
          <a:extLst>
            <a:ext uri="{FF2B5EF4-FFF2-40B4-BE49-F238E27FC236}">
              <a16:creationId xmlns:a16="http://schemas.microsoft.com/office/drawing/2014/main" id="{B111E4B3-88D4-4363-8625-6FDF5B2D7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05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2250</xdr:row>
      <xdr:rowOff>0</xdr:rowOff>
    </xdr:from>
    <xdr:to>
      <xdr:col>0</xdr:col>
      <xdr:colOff>9525</xdr:colOff>
      <xdr:row>2250</xdr:row>
      <xdr:rowOff>9525</xdr:rowOff>
    </xdr:to>
    <xdr:pic>
      <xdr:nvPicPr>
        <xdr:cNvPr id="1334" name="Obraz 1333">
          <a:extLst>
            <a:ext uri="{FF2B5EF4-FFF2-40B4-BE49-F238E27FC236}">
              <a16:creationId xmlns:a16="http://schemas.microsoft.com/office/drawing/2014/main" id="{04CE691E-52FD-4D6E-827D-47855D41B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81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2254</xdr:row>
      <xdr:rowOff>0</xdr:rowOff>
    </xdr:from>
    <xdr:to>
      <xdr:col>0</xdr:col>
      <xdr:colOff>9525</xdr:colOff>
      <xdr:row>2254</xdr:row>
      <xdr:rowOff>9525</xdr:rowOff>
    </xdr:to>
    <xdr:pic>
      <xdr:nvPicPr>
        <xdr:cNvPr id="1335" name="Obraz 1334">
          <a:extLst>
            <a:ext uri="{FF2B5EF4-FFF2-40B4-BE49-F238E27FC236}">
              <a16:creationId xmlns:a16="http://schemas.microsoft.com/office/drawing/2014/main" id="{6829DE61-4670-4822-81F0-C3A5670EE4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976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2258</xdr:row>
      <xdr:rowOff>0</xdr:rowOff>
    </xdr:from>
    <xdr:to>
      <xdr:col>0</xdr:col>
      <xdr:colOff>9525</xdr:colOff>
      <xdr:row>2258</xdr:row>
      <xdr:rowOff>9525</xdr:rowOff>
    </xdr:to>
    <xdr:pic>
      <xdr:nvPicPr>
        <xdr:cNvPr id="1336" name="Obraz 1335">
          <a:extLst>
            <a:ext uri="{FF2B5EF4-FFF2-40B4-BE49-F238E27FC236}">
              <a16:creationId xmlns:a16="http://schemas.microsoft.com/office/drawing/2014/main" id="{2DA3E59F-96B0-4497-AF32-10D9104D18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14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2261</xdr:row>
      <xdr:rowOff>0</xdr:rowOff>
    </xdr:from>
    <xdr:to>
      <xdr:col>0</xdr:col>
      <xdr:colOff>9525</xdr:colOff>
      <xdr:row>2261</xdr:row>
      <xdr:rowOff>9525</xdr:rowOff>
    </xdr:to>
    <xdr:pic>
      <xdr:nvPicPr>
        <xdr:cNvPr id="1337" name="Obraz 1336">
          <a:extLst>
            <a:ext uri="{FF2B5EF4-FFF2-40B4-BE49-F238E27FC236}">
              <a16:creationId xmlns:a16="http://schemas.microsoft.com/office/drawing/2014/main" id="{FFA1FB4F-4B38-4DAF-99B8-9803B3721B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91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2265</xdr:row>
      <xdr:rowOff>0</xdr:rowOff>
    </xdr:from>
    <xdr:to>
      <xdr:col>0</xdr:col>
      <xdr:colOff>9525</xdr:colOff>
      <xdr:row>2265</xdr:row>
      <xdr:rowOff>9525</xdr:rowOff>
    </xdr:to>
    <xdr:pic>
      <xdr:nvPicPr>
        <xdr:cNvPr id="1338" name="Obraz 1337">
          <a:extLst>
            <a:ext uri="{FF2B5EF4-FFF2-40B4-BE49-F238E27FC236}">
              <a16:creationId xmlns:a16="http://schemas.microsoft.com/office/drawing/2014/main" id="{A0F107F7-0D84-4B4C-97E2-029CF8C4C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186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2269</xdr:row>
      <xdr:rowOff>0</xdr:rowOff>
    </xdr:from>
    <xdr:to>
      <xdr:col>0</xdr:col>
      <xdr:colOff>9525</xdr:colOff>
      <xdr:row>2269</xdr:row>
      <xdr:rowOff>9525</xdr:rowOff>
    </xdr:to>
    <xdr:pic>
      <xdr:nvPicPr>
        <xdr:cNvPr id="1339" name="Obraz 1338">
          <a:extLst>
            <a:ext uri="{FF2B5EF4-FFF2-40B4-BE49-F238E27FC236}">
              <a16:creationId xmlns:a16="http://schemas.microsoft.com/office/drawing/2014/main" id="{7F1BB2B4-67F0-4CF3-990A-EB3131659D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24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2272</xdr:row>
      <xdr:rowOff>0</xdr:rowOff>
    </xdr:from>
    <xdr:to>
      <xdr:col>0</xdr:col>
      <xdr:colOff>9525</xdr:colOff>
      <xdr:row>2272</xdr:row>
      <xdr:rowOff>9525</xdr:rowOff>
    </xdr:to>
    <xdr:pic>
      <xdr:nvPicPr>
        <xdr:cNvPr id="1340" name="Obraz 1339">
          <a:extLst>
            <a:ext uri="{FF2B5EF4-FFF2-40B4-BE49-F238E27FC236}">
              <a16:creationId xmlns:a16="http://schemas.microsoft.com/office/drawing/2014/main" id="{FFF2CC33-7D39-4667-AC49-6D6991A96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00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2276</xdr:row>
      <xdr:rowOff>0</xdr:rowOff>
    </xdr:from>
    <xdr:to>
      <xdr:col>0</xdr:col>
      <xdr:colOff>9525</xdr:colOff>
      <xdr:row>2276</xdr:row>
      <xdr:rowOff>9525</xdr:rowOff>
    </xdr:to>
    <xdr:pic>
      <xdr:nvPicPr>
        <xdr:cNvPr id="1341" name="Obraz 1340">
          <a:extLst>
            <a:ext uri="{FF2B5EF4-FFF2-40B4-BE49-F238E27FC236}">
              <a16:creationId xmlns:a16="http://schemas.microsoft.com/office/drawing/2014/main" id="{00A45173-4417-4189-825E-B3DF763118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395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2279</xdr:row>
      <xdr:rowOff>0</xdr:rowOff>
    </xdr:from>
    <xdr:to>
      <xdr:col>0</xdr:col>
      <xdr:colOff>9525</xdr:colOff>
      <xdr:row>2279</xdr:row>
      <xdr:rowOff>9525</xdr:rowOff>
    </xdr:to>
    <xdr:pic>
      <xdr:nvPicPr>
        <xdr:cNvPr id="1342" name="Obraz 1341">
          <a:extLst>
            <a:ext uri="{FF2B5EF4-FFF2-40B4-BE49-F238E27FC236}">
              <a16:creationId xmlns:a16="http://schemas.microsoft.com/office/drawing/2014/main" id="{58CD3EB9-28D7-4D4C-972C-B9E695D9B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72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2280</xdr:row>
      <xdr:rowOff>0</xdr:rowOff>
    </xdr:from>
    <xdr:to>
      <xdr:col>0</xdr:col>
      <xdr:colOff>9525</xdr:colOff>
      <xdr:row>2280</xdr:row>
      <xdr:rowOff>9525</xdr:rowOff>
    </xdr:to>
    <xdr:pic>
      <xdr:nvPicPr>
        <xdr:cNvPr id="1343" name="Obraz 1342">
          <a:extLst>
            <a:ext uri="{FF2B5EF4-FFF2-40B4-BE49-F238E27FC236}">
              <a16:creationId xmlns:a16="http://schemas.microsoft.com/office/drawing/2014/main" id="{04ED05DD-B344-4526-B1EF-34D61F127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10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2280</xdr:row>
      <xdr:rowOff>0</xdr:rowOff>
    </xdr:from>
    <xdr:to>
      <xdr:col>0</xdr:col>
      <xdr:colOff>9525</xdr:colOff>
      <xdr:row>2280</xdr:row>
      <xdr:rowOff>9525</xdr:rowOff>
    </xdr:to>
    <xdr:pic>
      <xdr:nvPicPr>
        <xdr:cNvPr id="1344" name="Obraz 1343">
          <a:extLst>
            <a:ext uri="{FF2B5EF4-FFF2-40B4-BE49-F238E27FC236}">
              <a16:creationId xmlns:a16="http://schemas.microsoft.com/office/drawing/2014/main" id="{F46E6A22-1ADC-4D13-8DD0-AB3643DC3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48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2281</xdr:row>
      <xdr:rowOff>0</xdr:rowOff>
    </xdr:from>
    <xdr:to>
      <xdr:col>0</xdr:col>
      <xdr:colOff>9525</xdr:colOff>
      <xdr:row>2281</xdr:row>
      <xdr:rowOff>9525</xdr:rowOff>
    </xdr:to>
    <xdr:pic>
      <xdr:nvPicPr>
        <xdr:cNvPr id="1345" name="Obraz 1344">
          <a:extLst>
            <a:ext uri="{FF2B5EF4-FFF2-40B4-BE49-F238E27FC236}">
              <a16:creationId xmlns:a16="http://schemas.microsoft.com/office/drawing/2014/main" id="{785338A0-B706-497A-9035-8135D1FD5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586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2283</xdr:row>
      <xdr:rowOff>0</xdr:rowOff>
    </xdr:from>
    <xdr:to>
      <xdr:col>0</xdr:col>
      <xdr:colOff>9525</xdr:colOff>
      <xdr:row>2283</xdr:row>
      <xdr:rowOff>9525</xdr:rowOff>
    </xdr:to>
    <xdr:pic>
      <xdr:nvPicPr>
        <xdr:cNvPr id="1346" name="Obraz 1345">
          <a:extLst>
            <a:ext uri="{FF2B5EF4-FFF2-40B4-BE49-F238E27FC236}">
              <a16:creationId xmlns:a16="http://schemas.microsoft.com/office/drawing/2014/main" id="{F98CB29A-EC81-4E77-8D3F-83E5C3287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43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2287</xdr:row>
      <xdr:rowOff>0</xdr:rowOff>
    </xdr:from>
    <xdr:to>
      <xdr:col>0</xdr:col>
      <xdr:colOff>9525</xdr:colOff>
      <xdr:row>2287</xdr:row>
      <xdr:rowOff>9525</xdr:rowOff>
    </xdr:to>
    <xdr:pic>
      <xdr:nvPicPr>
        <xdr:cNvPr id="1347" name="Obraz 1346">
          <a:extLst>
            <a:ext uri="{FF2B5EF4-FFF2-40B4-BE49-F238E27FC236}">
              <a16:creationId xmlns:a16="http://schemas.microsoft.com/office/drawing/2014/main" id="{89607FC7-10A7-4DE5-9B5B-732F6A6A5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38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2290</xdr:row>
      <xdr:rowOff>0</xdr:rowOff>
    </xdr:from>
    <xdr:to>
      <xdr:col>0</xdr:col>
      <xdr:colOff>9525</xdr:colOff>
      <xdr:row>2290</xdr:row>
      <xdr:rowOff>9525</xdr:rowOff>
    </xdr:to>
    <xdr:pic>
      <xdr:nvPicPr>
        <xdr:cNvPr id="1348" name="Obraz 1347">
          <a:extLst>
            <a:ext uri="{FF2B5EF4-FFF2-40B4-BE49-F238E27FC236}">
              <a16:creationId xmlns:a16="http://schemas.microsoft.com/office/drawing/2014/main" id="{10DA1685-8470-430C-9B0C-251FFEAFD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15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2294</xdr:row>
      <xdr:rowOff>0</xdr:rowOff>
    </xdr:from>
    <xdr:to>
      <xdr:col>0</xdr:col>
      <xdr:colOff>9525</xdr:colOff>
      <xdr:row>2294</xdr:row>
      <xdr:rowOff>9525</xdr:rowOff>
    </xdr:to>
    <xdr:pic>
      <xdr:nvPicPr>
        <xdr:cNvPr id="1349" name="Obraz 1348">
          <a:extLst>
            <a:ext uri="{FF2B5EF4-FFF2-40B4-BE49-F238E27FC236}">
              <a16:creationId xmlns:a16="http://schemas.microsoft.com/office/drawing/2014/main" id="{B5AFD728-308E-4825-8AC8-5190924D4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00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2298</xdr:row>
      <xdr:rowOff>0</xdr:rowOff>
    </xdr:from>
    <xdr:to>
      <xdr:col>0</xdr:col>
      <xdr:colOff>9525</xdr:colOff>
      <xdr:row>2298</xdr:row>
      <xdr:rowOff>9525</xdr:rowOff>
    </xdr:to>
    <xdr:pic>
      <xdr:nvPicPr>
        <xdr:cNvPr id="1350" name="Obraz 1349">
          <a:extLst>
            <a:ext uri="{FF2B5EF4-FFF2-40B4-BE49-F238E27FC236}">
              <a16:creationId xmlns:a16="http://schemas.microsoft.com/office/drawing/2014/main" id="{24266F52-F4A7-48F3-86E1-6B9A92A41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795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2302</xdr:row>
      <xdr:rowOff>0</xdr:rowOff>
    </xdr:from>
    <xdr:to>
      <xdr:col>0</xdr:col>
      <xdr:colOff>9525</xdr:colOff>
      <xdr:row>2302</xdr:row>
      <xdr:rowOff>9525</xdr:rowOff>
    </xdr:to>
    <xdr:pic>
      <xdr:nvPicPr>
        <xdr:cNvPr id="1351" name="Obraz 1350">
          <a:extLst>
            <a:ext uri="{FF2B5EF4-FFF2-40B4-BE49-F238E27FC236}">
              <a16:creationId xmlns:a16="http://schemas.microsoft.com/office/drawing/2014/main" id="{394A100E-7BA5-4947-A96C-466913EE1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91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2305</xdr:row>
      <xdr:rowOff>0</xdr:rowOff>
    </xdr:from>
    <xdr:to>
      <xdr:col>0</xdr:col>
      <xdr:colOff>9525</xdr:colOff>
      <xdr:row>2305</xdr:row>
      <xdr:rowOff>9525</xdr:rowOff>
    </xdr:to>
    <xdr:pic>
      <xdr:nvPicPr>
        <xdr:cNvPr id="1352" name="Obraz 1351">
          <a:extLst>
            <a:ext uri="{FF2B5EF4-FFF2-40B4-BE49-F238E27FC236}">
              <a16:creationId xmlns:a16="http://schemas.microsoft.com/office/drawing/2014/main" id="{40C904DA-8238-43D1-B46D-D3031917A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967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2308</xdr:row>
      <xdr:rowOff>0</xdr:rowOff>
    </xdr:from>
    <xdr:to>
      <xdr:col>0</xdr:col>
      <xdr:colOff>9525</xdr:colOff>
      <xdr:row>2308</xdr:row>
      <xdr:rowOff>9525</xdr:rowOff>
    </xdr:to>
    <xdr:pic>
      <xdr:nvPicPr>
        <xdr:cNvPr id="1353" name="Obraz 1352">
          <a:extLst>
            <a:ext uri="{FF2B5EF4-FFF2-40B4-BE49-F238E27FC236}">
              <a16:creationId xmlns:a16="http://schemas.microsoft.com/office/drawing/2014/main" id="{4CB243A9-FD3D-41A4-928F-97326F2CDC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43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2313</xdr:row>
      <xdr:rowOff>0</xdr:rowOff>
    </xdr:from>
    <xdr:to>
      <xdr:col>0</xdr:col>
      <xdr:colOff>9525</xdr:colOff>
      <xdr:row>2313</xdr:row>
      <xdr:rowOff>9525</xdr:rowOff>
    </xdr:to>
    <xdr:pic>
      <xdr:nvPicPr>
        <xdr:cNvPr id="1354" name="Obraz 1353">
          <a:extLst>
            <a:ext uri="{FF2B5EF4-FFF2-40B4-BE49-F238E27FC236}">
              <a16:creationId xmlns:a16="http://schemas.microsoft.com/office/drawing/2014/main" id="{AC2059AE-614A-4180-80AC-098F5EB17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57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2316</xdr:row>
      <xdr:rowOff>0</xdr:rowOff>
    </xdr:from>
    <xdr:to>
      <xdr:col>0</xdr:col>
      <xdr:colOff>9525</xdr:colOff>
      <xdr:row>2316</xdr:row>
      <xdr:rowOff>9525</xdr:rowOff>
    </xdr:to>
    <xdr:pic>
      <xdr:nvPicPr>
        <xdr:cNvPr id="1355" name="Obraz 1354">
          <a:extLst>
            <a:ext uri="{FF2B5EF4-FFF2-40B4-BE49-F238E27FC236}">
              <a16:creationId xmlns:a16="http://schemas.microsoft.com/office/drawing/2014/main" id="{1286BB91-3DD3-407A-8692-12BC2F4CD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19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2320</xdr:row>
      <xdr:rowOff>0</xdr:rowOff>
    </xdr:from>
    <xdr:to>
      <xdr:col>0</xdr:col>
      <xdr:colOff>9525</xdr:colOff>
      <xdr:row>2320</xdr:row>
      <xdr:rowOff>9525</xdr:rowOff>
    </xdr:to>
    <xdr:pic>
      <xdr:nvPicPr>
        <xdr:cNvPr id="1356" name="Obraz 1355">
          <a:extLst>
            <a:ext uri="{FF2B5EF4-FFF2-40B4-BE49-F238E27FC236}">
              <a16:creationId xmlns:a16="http://schemas.microsoft.com/office/drawing/2014/main" id="{C907E09C-2D0B-44DF-B53B-4D2727FBE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15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2323</xdr:row>
      <xdr:rowOff>0</xdr:rowOff>
    </xdr:from>
    <xdr:to>
      <xdr:col>0</xdr:col>
      <xdr:colOff>9525</xdr:colOff>
      <xdr:row>2323</xdr:row>
      <xdr:rowOff>9525</xdr:rowOff>
    </xdr:to>
    <xdr:pic>
      <xdr:nvPicPr>
        <xdr:cNvPr id="1357" name="Obraz 1356">
          <a:extLst>
            <a:ext uri="{FF2B5EF4-FFF2-40B4-BE49-F238E27FC236}">
              <a16:creationId xmlns:a16="http://schemas.microsoft.com/office/drawing/2014/main" id="{7EDFBAB3-9B78-4B43-B23F-FCBEA86A7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91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2327</xdr:row>
      <xdr:rowOff>0</xdr:rowOff>
    </xdr:from>
    <xdr:to>
      <xdr:col>0</xdr:col>
      <xdr:colOff>9525</xdr:colOff>
      <xdr:row>2327</xdr:row>
      <xdr:rowOff>9525</xdr:rowOff>
    </xdr:to>
    <xdr:pic>
      <xdr:nvPicPr>
        <xdr:cNvPr id="1358" name="Obraz 1357">
          <a:extLst>
            <a:ext uri="{FF2B5EF4-FFF2-40B4-BE49-F238E27FC236}">
              <a16:creationId xmlns:a16="http://schemas.microsoft.com/office/drawing/2014/main" id="{57AEB587-273F-4E6F-8480-3EEF7439FE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2330</xdr:row>
      <xdr:rowOff>0</xdr:rowOff>
    </xdr:from>
    <xdr:to>
      <xdr:col>0</xdr:col>
      <xdr:colOff>9525</xdr:colOff>
      <xdr:row>2330</xdr:row>
      <xdr:rowOff>9525</xdr:rowOff>
    </xdr:to>
    <xdr:pic>
      <xdr:nvPicPr>
        <xdr:cNvPr id="1359" name="Obraz 1358">
          <a:extLst>
            <a:ext uri="{FF2B5EF4-FFF2-40B4-BE49-F238E27FC236}">
              <a16:creationId xmlns:a16="http://schemas.microsoft.com/office/drawing/2014/main" id="{CFF91635-8F39-455C-82BD-3E39F35F2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62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2335</xdr:row>
      <xdr:rowOff>0</xdr:rowOff>
    </xdr:from>
    <xdr:to>
      <xdr:col>0</xdr:col>
      <xdr:colOff>9525</xdr:colOff>
      <xdr:row>2335</xdr:row>
      <xdr:rowOff>9525</xdr:rowOff>
    </xdr:to>
    <xdr:pic>
      <xdr:nvPicPr>
        <xdr:cNvPr id="1360" name="Obraz 1359">
          <a:extLst>
            <a:ext uri="{FF2B5EF4-FFF2-40B4-BE49-F238E27FC236}">
              <a16:creationId xmlns:a16="http://schemas.microsoft.com/office/drawing/2014/main" id="{6E482D9E-3EE4-4F49-A0AE-5BCCFFF81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77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2338</xdr:row>
      <xdr:rowOff>0</xdr:rowOff>
    </xdr:from>
    <xdr:to>
      <xdr:col>0</xdr:col>
      <xdr:colOff>9525</xdr:colOff>
      <xdr:row>2338</xdr:row>
      <xdr:rowOff>9525</xdr:rowOff>
    </xdr:to>
    <xdr:pic>
      <xdr:nvPicPr>
        <xdr:cNvPr id="1361" name="Obraz 1360">
          <a:extLst>
            <a:ext uri="{FF2B5EF4-FFF2-40B4-BE49-F238E27FC236}">
              <a16:creationId xmlns:a16="http://schemas.microsoft.com/office/drawing/2014/main" id="{BBA63818-4F3B-4749-B62A-08D96D35A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538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2342</xdr:row>
      <xdr:rowOff>0</xdr:rowOff>
    </xdr:from>
    <xdr:to>
      <xdr:col>0</xdr:col>
      <xdr:colOff>9525</xdr:colOff>
      <xdr:row>2342</xdr:row>
      <xdr:rowOff>9525</xdr:rowOff>
    </xdr:to>
    <xdr:pic>
      <xdr:nvPicPr>
        <xdr:cNvPr id="1362" name="Obraz 1361">
          <a:extLst>
            <a:ext uri="{FF2B5EF4-FFF2-40B4-BE49-F238E27FC236}">
              <a16:creationId xmlns:a16="http://schemas.microsoft.com/office/drawing/2014/main" id="{524E45A6-5672-4310-A122-411937E91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34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2345</xdr:row>
      <xdr:rowOff>0</xdr:rowOff>
    </xdr:from>
    <xdr:to>
      <xdr:col>0</xdr:col>
      <xdr:colOff>9525</xdr:colOff>
      <xdr:row>2345</xdr:row>
      <xdr:rowOff>9525</xdr:rowOff>
    </xdr:to>
    <xdr:pic>
      <xdr:nvPicPr>
        <xdr:cNvPr id="1363" name="Obraz 1362">
          <a:extLst>
            <a:ext uri="{FF2B5EF4-FFF2-40B4-BE49-F238E27FC236}">
              <a16:creationId xmlns:a16="http://schemas.microsoft.com/office/drawing/2014/main" id="{89680F5F-9690-4EE2-A257-415AE4915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10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2348</xdr:row>
      <xdr:rowOff>0</xdr:rowOff>
    </xdr:from>
    <xdr:to>
      <xdr:col>0</xdr:col>
      <xdr:colOff>9525</xdr:colOff>
      <xdr:row>2348</xdr:row>
      <xdr:rowOff>9525</xdr:rowOff>
    </xdr:to>
    <xdr:pic>
      <xdr:nvPicPr>
        <xdr:cNvPr id="1364" name="Obraz 1363">
          <a:extLst>
            <a:ext uri="{FF2B5EF4-FFF2-40B4-BE49-F238E27FC236}">
              <a16:creationId xmlns:a16="http://schemas.microsoft.com/office/drawing/2014/main" id="{89293FF9-D169-404F-98C5-2BE978DEA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786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2348</xdr:row>
      <xdr:rowOff>0</xdr:rowOff>
    </xdr:from>
    <xdr:to>
      <xdr:col>0</xdr:col>
      <xdr:colOff>9525</xdr:colOff>
      <xdr:row>2348</xdr:row>
      <xdr:rowOff>9525</xdr:rowOff>
    </xdr:to>
    <xdr:pic>
      <xdr:nvPicPr>
        <xdr:cNvPr id="1365" name="Obraz 1364">
          <a:extLst>
            <a:ext uri="{FF2B5EF4-FFF2-40B4-BE49-F238E27FC236}">
              <a16:creationId xmlns:a16="http://schemas.microsoft.com/office/drawing/2014/main" id="{211CC95B-C816-4F4A-B6C5-565C19732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24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2350</xdr:row>
      <xdr:rowOff>0</xdr:rowOff>
    </xdr:from>
    <xdr:to>
      <xdr:col>0</xdr:col>
      <xdr:colOff>9525</xdr:colOff>
      <xdr:row>2350</xdr:row>
      <xdr:rowOff>9525</xdr:rowOff>
    </xdr:to>
    <xdr:pic>
      <xdr:nvPicPr>
        <xdr:cNvPr id="1366" name="Obraz 1365">
          <a:extLst>
            <a:ext uri="{FF2B5EF4-FFF2-40B4-BE49-F238E27FC236}">
              <a16:creationId xmlns:a16="http://schemas.microsoft.com/office/drawing/2014/main" id="{D765799F-9DB3-405D-89FE-F87C5E606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81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2353</xdr:row>
      <xdr:rowOff>0</xdr:rowOff>
    </xdr:from>
    <xdr:to>
      <xdr:col>0</xdr:col>
      <xdr:colOff>9525</xdr:colOff>
      <xdr:row>2353</xdr:row>
      <xdr:rowOff>9525</xdr:rowOff>
    </xdr:to>
    <xdr:pic>
      <xdr:nvPicPr>
        <xdr:cNvPr id="1367" name="Obraz 1366">
          <a:extLst>
            <a:ext uri="{FF2B5EF4-FFF2-40B4-BE49-F238E27FC236}">
              <a16:creationId xmlns:a16="http://schemas.microsoft.com/office/drawing/2014/main" id="{4851AD45-7A3E-4C8D-AD91-1C7F5BF45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2358</xdr:row>
      <xdr:rowOff>0</xdr:rowOff>
    </xdr:from>
    <xdr:to>
      <xdr:col>0</xdr:col>
      <xdr:colOff>9525</xdr:colOff>
      <xdr:row>2358</xdr:row>
      <xdr:rowOff>9525</xdr:rowOff>
    </xdr:to>
    <xdr:pic>
      <xdr:nvPicPr>
        <xdr:cNvPr id="1368" name="Obraz 1367">
          <a:extLst>
            <a:ext uri="{FF2B5EF4-FFF2-40B4-BE49-F238E27FC236}">
              <a16:creationId xmlns:a16="http://schemas.microsoft.com/office/drawing/2014/main" id="{A21F66EF-E65F-4954-A401-4B069FBAF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72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2361</xdr:row>
      <xdr:rowOff>0</xdr:rowOff>
    </xdr:from>
    <xdr:to>
      <xdr:col>0</xdr:col>
      <xdr:colOff>9525</xdr:colOff>
      <xdr:row>2361</xdr:row>
      <xdr:rowOff>9525</xdr:rowOff>
    </xdr:to>
    <xdr:pic>
      <xdr:nvPicPr>
        <xdr:cNvPr id="1369" name="Obraz 1368">
          <a:extLst>
            <a:ext uri="{FF2B5EF4-FFF2-40B4-BE49-F238E27FC236}">
              <a16:creationId xmlns:a16="http://schemas.microsoft.com/office/drawing/2014/main" id="{9DC1D154-14B5-4183-B6F9-5578BFC69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77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2364</xdr:row>
      <xdr:rowOff>0</xdr:rowOff>
    </xdr:from>
    <xdr:to>
      <xdr:col>0</xdr:col>
      <xdr:colOff>9525</xdr:colOff>
      <xdr:row>2364</xdr:row>
      <xdr:rowOff>9525</xdr:rowOff>
    </xdr:to>
    <xdr:pic>
      <xdr:nvPicPr>
        <xdr:cNvPr id="1370" name="Obraz 1369">
          <a:extLst>
            <a:ext uri="{FF2B5EF4-FFF2-40B4-BE49-F238E27FC236}">
              <a16:creationId xmlns:a16="http://schemas.microsoft.com/office/drawing/2014/main" id="{8D55DC3E-A22F-40EC-A800-0E7BDDECC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53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2368</xdr:row>
      <xdr:rowOff>0</xdr:rowOff>
    </xdr:from>
    <xdr:to>
      <xdr:col>0</xdr:col>
      <xdr:colOff>9525</xdr:colOff>
      <xdr:row>2368</xdr:row>
      <xdr:rowOff>9525</xdr:rowOff>
    </xdr:to>
    <xdr:pic>
      <xdr:nvPicPr>
        <xdr:cNvPr id="1371" name="Obraz 1370">
          <a:extLst>
            <a:ext uri="{FF2B5EF4-FFF2-40B4-BE49-F238E27FC236}">
              <a16:creationId xmlns:a16="http://schemas.microsoft.com/office/drawing/2014/main" id="{BB34ED5F-8846-41B8-811E-E2A7CF9DD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148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2371</xdr:row>
      <xdr:rowOff>0</xdr:rowOff>
    </xdr:from>
    <xdr:to>
      <xdr:col>0</xdr:col>
      <xdr:colOff>9525</xdr:colOff>
      <xdr:row>2371</xdr:row>
      <xdr:rowOff>9525</xdr:rowOff>
    </xdr:to>
    <xdr:pic>
      <xdr:nvPicPr>
        <xdr:cNvPr id="1372" name="Obraz 1371">
          <a:extLst>
            <a:ext uri="{FF2B5EF4-FFF2-40B4-BE49-F238E27FC236}">
              <a16:creationId xmlns:a16="http://schemas.microsoft.com/office/drawing/2014/main" id="{34ACF9EE-B8F6-4543-A0DD-FD53FB16F9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24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2371</xdr:row>
      <xdr:rowOff>0</xdr:rowOff>
    </xdr:from>
    <xdr:to>
      <xdr:col>0</xdr:col>
      <xdr:colOff>9525</xdr:colOff>
      <xdr:row>2371</xdr:row>
      <xdr:rowOff>9525</xdr:rowOff>
    </xdr:to>
    <xdr:pic>
      <xdr:nvPicPr>
        <xdr:cNvPr id="1373" name="Obraz 1372">
          <a:extLst>
            <a:ext uri="{FF2B5EF4-FFF2-40B4-BE49-F238E27FC236}">
              <a16:creationId xmlns:a16="http://schemas.microsoft.com/office/drawing/2014/main" id="{9B4CDA4A-78DD-48E7-BCC4-189284F49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62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2372</xdr:row>
      <xdr:rowOff>0</xdr:rowOff>
    </xdr:from>
    <xdr:to>
      <xdr:col>0</xdr:col>
      <xdr:colOff>9525</xdr:colOff>
      <xdr:row>2372</xdr:row>
      <xdr:rowOff>9525</xdr:rowOff>
    </xdr:to>
    <xdr:pic>
      <xdr:nvPicPr>
        <xdr:cNvPr id="1374" name="Obraz 1373">
          <a:extLst>
            <a:ext uri="{FF2B5EF4-FFF2-40B4-BE49-F238E27FC236}">
              <a16:creationId xmlns:a16="http://schemas.microsoft.com/office/drawing/2014/main" id="{B0AA6FBD-B718-47DC-8FF9-A8FE3BB10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00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2374</xdr:row>
      <xdr:rowOff>0</xdr:rowOff>
    </xdr:from>
    <xdr:to>
      <xdr:col>0</xdr:col>
      <xdr:colOff>9525</xdr:colOff>
      <xdr:row>2374</xdr:row>
      <xdr:rowOff>9525</xdr:rowOff>
    </xdr:to>
    <xdr:pic>
      <xdr:nvPicPr>
        <xdr:cNvPr id="1375" name="Obraz 1374">
          <a:extLst>
            <a:ext uri="{FF2B5EF4-FFF2-40B4-BE49-F238E27FC236}">
              <a16:creationId xmlns:a16="http://schemas.microsoft.com/office/drawing/2014/main" id="{653FE4B8-EC2E-4658-9EE4-21864E4E2D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24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2377</xdr:row>
      <xdr:rowOff>0</xdr:rowOff>
    </xdr:from>
    <xdr:to>
      <xdr:col>0</xdr:col>
      <xdr:colOff>9525</xdr:colOff>
      <xdr:row>2377</xdr:row>
      <xdr:rowOff>9525</xdr:rowOff>
    </xdr:to>
    <xdr:pic>
      <xdr:nvPicPr>
        <xdr:cNvPr id="1376" name="Obraz 1375">
          <a:extLst>
            <a:ext uri="{FF2B5EF4-FFF2-40B4-BE49-F238E27FC236}">
              <a16:creationId xmlns:a16="http://schemas.microsoft.com/office/drawing/2014/main" id="{C03C0D49-80E5-4D79-BD06-89C585594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00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2381</xdr:row>
      <xdr:rowOff>0</xdr:rowOff>
    </xdr:from>
    <xdr:to>
      <xdr:col>0</xdr:col>
      <xdr:colOff>9525</xdr:colOff>
      <xdr:row>2381</xdr:row>
      <xdr:rowOff>9525</xdr:rowOff>
    </xdr:to>
    <xdr:pic>
      <xdr:nvPicPr>
        <xdr:cNvPr id="1377" name="Obraz 1376">
          <a:extLst>
            <a:ext uri="{FF2B5EF4-FFF2-40B4-BE49-F238E27FC236}">
              <a16:creationId xmlns:a16="http://schemas.microsoft.com/office/drawing/2014/main" id="{4FD577C9-AD27-4FA2-8B11-8E45A005C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396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2384</xdr:row>
      <xdr:rowOff>0</xdr:rowOff>
    </xdr:from>
    <xdr:to>
      <xdr:col>0</xdr:col>
      <xdr:colOff>9525</xdr:colOff>
      <xdr:row>2384</xdr:row>
      <xdr:rowOff>9525</xdr:rowOff>
    </xdr:to>
    <xdr:pic>
      <xdr:nvPicPr>
        <xdr:cNvPr id="1378" name="Obraz 1377">
          <a:extLst>
            <a:ext uri="{FF2B5EF4-FFF2-40B4-BE49-F238E27FC236}">
              <a16:creationId xmlns:a16="http://schemas.microsoft.com/office/drawing/2014/main" id="{D4599C32-1800-47A8-B21C-17317D050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72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2385</xdr:row>
      <xdr:rowOff>0</xdr:rowOff>
    </xdr:from>
    <xdr:to>
      <xdr:col>0</xdr:col>
      <xdr:colOff>9525</xdr:colOff>
      <xdr:row>2385</xdr:row>
      <xdr:rowOff>9525</xdr:rowOff>
    </xdr:to>
    <xdr:pic>
      <xdr:nvPicPr>
        <xdr:cNvPr id="1379" name="Obraz 1378">
          <a:extLst>
            <a:ext uri="{FF2B5EF4-FFF2-40B4-BE49-F238E27FC236}">
              <a16:creationId xmlns:a16="http://schemas.microsoft.com/office/drawing/2014/main" id="{AF7B6EFF-51DB-459A-A792-5E30F78BD5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10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2387</xdr:row>
      <xdr:rowOff>0</xdr:rowOff>
    </xdr:from>
    <xdr:to>
      <xdr:col>0</xdr:col>
      <xdr:colOff>9525</xdr:colOff>
      <xdr:row>2387</xdr:row>
      <xdr:rowOff>9525</xdr:rowOff>
    </xdr:to>
    <xdr:pic>
      <xdr:nvPicPr>
        <xdr:cNvPr id="1380" name="Obraz 1379">
          <a:extLst>
            <a:ext uri="{FF2B5EF4-FFF2-40B4-BE49-F238E27FC236}">
              <a16:creationId xmlns:a16="http://schemas.microsoft.com/office/drawing/2014/main" id="{1BEA6E2B-2174-4075-89B9-844B3F674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67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2391</xdr:row>
      <xdr:rowOff>0</xdr:rowOff>
    </xdr:from>
    <xdr:to>
      <xdr:col>0</xdr:col>
      <xdr:colOff>9525</xdr:colOff>
      <xdr:row>2391</xdr:row>
      <xdr:rowOff>9525</xdr:rowOff>
    </xdr:to>
    <xdr:pic>
      <xdr:nvPicPr>
        <xdr:cNvPr id="1381" name="Obraz 1380">
          <a:extLst>
            <a:ext uri="{FF2B5EF4-FFF2-40B4-BE49-F238E27FC236}">
              <a16:creationId xmlns:a16="http://schemas.microsoft.com/office/drawing/2014/main" id="{E8BD06BD-F3D8-4407-9E20-7B1275CBC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62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2394</xdr:row>
      <xdr:rowOff>0</xdr:rowOff>
    </xdr:from>
    <xdr:to>
      <xdr:col>0</xdr:col>
      <xdr:colOff>9525</xdr:colOff>
      <xdr:row>2394</xdr:row>
      <xdr:rowOff>9525</xdr:rowOff>
    </xdr:to>
    <xdr:pic>
      <xdr:nvPicPr>
        <xdr:cNvPr id="1382" name="Obraz 1381">
          <a:extLst>
            <a:ext uri="{FF2B5EF4-FFF2-40B4-BE49-F238E27FC236}">
              <a16:creationId xmlns:a16="http://schemas.microsoft.com/office/drawing/2014/main" id="{513772CD-4E10-4D65-BDB3-93D8F441C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39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2398</xdr:row>
      <xdr:rowOff>0</xdr:rowOff>
    </xdr:from>
    <xdr:to>
      <xdr:col>0</xdr:col>
      <xdr:colOff>9525</xdr:colOff>
      <xdr:row>2398</xdr:row>
      <xdr:rowOff>9525</xdr:rowOff>
    </xdr:to>
    <xdr:pic>
      <xdr:nvPicPr>
        <xdr:cNvPr id="1383" name="Obraz 1382">
          <a:extLst>
            <a:ext uri="{FF2B5EF4-FFF2-40B4-BE49-F238E27FC236}">
              <a16:creationId xmlns:a16="http://schemas.microsoft.com/office/drawing/2014/main" id="{B6D1A36E-9B90-4E96-8BB9-2BDD4D1776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81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2401</xdr:row>
      <xdr:rowOff>0</xdr:rowOff>
    </xdr:from>
    <xdr:to>
      <xdr:col>0</xdr:col>
      <xdr:colOff>9525</xdr:colOff>
      <xdr:row>2401</xdr:row>
      <xdr:rowOff>9525</xdr:rowOff>
    </xdr:to>
    <xdr:pic>
      <xdr:nvPicPr>
        <xdr:cNvPr id="1384" name="Obraz 1383">
          <a:extLst>
            <a:ext uri="{FF2B5EF4-FFF2-40B4-BE49-F238E27FC236}">
              <a16:creationId xmlns:a16="http://schemas.microsoft.com/office/drawing/2014/main" id="{AEFDB32C-9E96-4269-BAB4-6C635A3FF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58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2405</xdr:row>
      <xdr:rowOff>0</xdr:rowOff>
    </xdr:from>
    <xdr:to>
      <xdr:col>0</xdr:col>
      <xdr:colOff>9525</xdr:colOff>
      <xdr:row>2405</xdr:row>
      <xdr:rowOff>9525</xdr:rowOff>
    </xdr:to>
    <xdr:pic>
      <xdr:nvPicPr>
        <xdr:cNvPr id="1385" name="Obraz 1384">
          <a:extLst>
            <a:ext uri="{FF2B5EF4-FFF2-40B4-BE49-F238E27FC236}">
              <a16:creationId xmlns:a16="http://schemas.microsoft.com/office/drawing/2014/main" id="{FCE2E6CD-FD9D-4165-B6C2-2B60941AC3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53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2409</xdr:row>
      <xdr:rowOff>0</xdr:rowOff>
    </xdr:from>
    <xdr:to>
      <xdr:col>0</xdr:col>
      <xdr:colOff>9525</xdr:colOff>
      <xdr:row>2409</xdr:row>
      <xdr:rowOff>9525</xdr:rowOff>
    </xdr:to>
    <xdr:pic>
      <xdr:nvPicPr>
        <xdr:cNvPr id="1386" name="Obraz 1385">
          <a:extLst>
            <a:ext uri="{FF2B5EF4-FFF2-40B4-BE49-F238E27FC236}">
              <a16:creationId xmlns:a16="http://schemas.microsoft.com/office/drawing/2014/main" id="{FEC2515A-548B-45BC-9A39-5B109BDD7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91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2412</xdr:row>
      <xdr:rowOff>0</xdr:rowOff>
    </xdr:from>
    <xdr:to>
      <xdr:col>0</xdr:col>
      <xdr:colOff>9525</xdr:colOff>
      <xdr:row>2412</xdr:row>
      <xdr:rowOff>9525</xdr:rowOff>
    </xdr:to>
    <xdr:pic>
      <xdr:nvPicPr>
        <xdr:cNvPr id="1387" name="Obraz 1386">
          <a:extLst>
            <a:ext uri="{FF2B5EF4-FFF2-40B4-BE49-F238E27FC236}">
              <a16:creationId xmlns:a16="http://schemas.microsoft.com/office/drawing/2014/main" id="{2056E545-763D-4917-9912-C339F1050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967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2416</xdr:row>
      <xdr:rowOff>0</xdr:rowOff>
    </xdr:from>
    <xdr:to>
      <xdr:col>0</xdr:col>
      <xdr:colOff>9525</xdr:colOff>
      <xdr:row>2416</xdr:row>
      <xdr:rowOff>9525</xdr:rowOff>
    </xdr:to>
    <xdr:pic>
      <xdr:nvPicPr>
        <xdr:cNvPr id="1388" name="Obraz 1387">
          <a:extLst>
            <a:ext uri="{FF2B5EF4-FFF2-40B4-BE49-F238E27FC236}">
              <a16:creationId xmlns:a16="http://schemas.microsoft.com/office/drawing/2014/main" id="{B402BA17-DB8B-4B65-911E-E706B46B8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62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2420</xdr:row>
      <xdr:rowOff>0</xdr:rowOff>
    </xdr:from>
    <xdr:to>
      <xdr:col>0</xdr:col>
      <xdr:colOff>9525</xdr:colOff>
      <xdr:row>2420</xdr:row>
      <xdr:rowOff>9525</xdr:rowOff>
    </xdr:to>
    <xdr:pic>
      <xdr:nvPicPr>
        <xdr:cNvPr id="1389" name="Obraz 1388">
          <a:extLst>
            <a:ext uri="{FF2B5EF4-FFF2-40B4-BE49-F238E27FC236}">
              <a16:creationId xmlns:a16="http://schemas.microsoft.com/office/drawing/2014/main" id="{307EAF16-9196-4945-AE27-054AACC26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01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2424</xdr:row>
      <xdr:rowOff>0</xdr:rowOff>
    </xdr:from>
    <xdr:to>
      <xdr:col>0</xdr:col>
      <xdr:colOff>9525</xdr:colOff>
      <xdr:row>2424</xdr:row>
      <xdr:rowOff>9525</xdr:rowOff>
    </xdr:to>
    <xdr:pic>
      <xdr:nvPicPr>
        <xdr:cNvPr id="1390" name="Obraz 1389">
          <a:extLst>
            <a:ext uri="{FF2B5EF4-FFF2-40B4-BE49-F238E27FC236}">
              <a16:creationId xmlns:a16="http://schemas.microsoft.com/office/drawing/2014/main" id="{F2BEA149-1696-4821-9654-AB7BF6B5F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196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2427</xdr:row>
      <xdr:rowOff>0</xdr:rowOff>
    </xdr:from>
    <xdr:to>
      <xdr:col>0</xdr:col>
      <xdr:colOff>9525</xdr:colOff>
      <xdr:row>2427</xdr:row>
      <xdr:rowOff>9525</xdr:rowOff>
    </xdr:to>
    <xdr:pic>
      <xdr:nvPicPr>
        <xdr:cNvPr id="1391" name="Obraz 1390">
          <a:extLst>
            <a:ext uri="{FF2B5EF4-FFF2-40B4-BE49-F238E27FC236}">
              <a16:creationId xmlns:a16="http://schemas.microsoft.com/office/drawing/2014/main" id="{F0782465-94B3-4457-8D1E-6BC0DB14C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72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2431</xdr:row>
      <xdr:rowOff>0</xdr:rowOff>
    </xdr:from>
    <xdr:to>
      <xdr:col>0</xdr:col>
      <xdr:colOff>9525</xdr:colOff>
      <xdr:row>2431</xdr:row>
      <xdr:rowOff>9525</xdr:rowOff>
    </xdr:to>
    <xdr:pic>
      <xdr:nvPicPr>
        <xdr:cNvPr id="1392" name="Obraz 1391">
          <a:extLst>
            <a:ext uri="{FF2B5EF4-FFF2-40B4-BE49-F238E27FC236}">
              <a16:creationId xmlns:a16="http://schemas.microsoft.com/office/drawing/2014/main" id="{338C639A-4F69-481C-9E7E-BA3B54E76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367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2435</xdr:row>
      <xdr:rowOff>0</xdr:rowOff>
    </xdr:from>
    <xdr:to>
      <xdr:col>0</xdr:col>
      <xdr:colOff>9525</xdr:colOff>
      <xdr:row>2435</xdr:row>
      <xdr:rowOff>9525</xdr:rowOff>
    </xdr:to>
    <xdr:pic>
      <xdr:nvPicPr>
        <xdr:cNvPr id="1393" name="Obraz 1392">
          <a:extLst>
            <a:ext uri="{FF2B5EF4-FFF2-40B4-BE49-F238E27FC236}">
              <a16:creationId xmlns:a16="http://schemas.microsoft.com/office/drawing/2014/main" id="{1E57A1C7-36F1-4D4D-B897-4D6C98C6D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62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2438</xdr:row>
      <xdr:rowOff>0</xdr:rowOff>
    </xdr:from>
    <xdr:to>
      <xdr:col>0</xdr:col>
      <xdr:colOff>9525</xdr:colOff>
      <xdr:row>2438</xdr:row>
      <xdr:rowOff>9525</xdr:rowOff>
    </xdr:to>
    <xdr:pic>
      <xdr:nvPicPr>
        <xdr:cNvPr id="1394" name="Obraz 1393">
          <a:extLst>
            <a:ext uri="{FF2B5EF4-FFF2-40B4-BE49-F238E27FC236}">
              <a16:creationId xmlns:a16="http://schemas.microsoft.com/office/drawing/2014/main" id="{05046604-0BBA-4A90-9C87-46F64F6E5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39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2442</xdr:row>
      <xdr:rowOff>0</xdr:rowOff>
    </xdr:from>
    <xdr:to>
      <xdr:col>0</xdr:col>
      <xdr:colOff>9525</xdr:colOff>
      <xdr:row>2442</xdr:row>
      <xdr:rowOff>9525</xdr:rowOff>
    </xdr:to>
    <xdr:pic>
      <xdr:nvPicPr>
        <xdr:cNvPr id="1395" name="Obraz 1394">
          <a:extLst>
            <a:ext uri="{FF2B5EF4-FFF2-40B4-BE49-F238E27FC236}">
              <a16:creationId xmlns:a16="http://schemas.microsoft.com/office/drawing/2014/main" id="{A14C1879-221D-415C-8782-0CFD0D75F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20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2445</xdr:row>
      <xdr:rowOff>0</xdr:rowOff>
    </xdr:from>
    <xdr:to>
      <xdr:col>0</xdr:col>
      <xdr:colOff>9525</xdr:colOff>
      <xdr:row>2445</xdr:row>
      <xdr:rowOff>9525</xdr:rowOff>
    </xdr:to>
    <xdr:pic>
      <xdr:nvPicPr>
        <xdr:cNvPr id="1396" name="Obraz 1395">
          <a:extLst>
            <a:ext uri="{FF2B5EF4-FFF2-40B4-BE49-F238E27FC236}">
              <a16:creationId xmlns:a16="http://schemas.microsoft.com/office/drawing/2014/main" id="{AEDE79EB-39C3-4764-B59B-4585DFB16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596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2450</xdr:row>
      <xdr:rowOff>0</xdr:rowOff>
    </xdr:from>
    <xdr:to>
      <xdr:col>0</xdr:col>
      <xdr:colOff>9525</xdr:colOff>
      <xdr:row>2450</xdr:row>
      <xdr:rowOff>9525</xdr:rowOff>
    </xdr:to>
    <xdr:pic>
      <xdr:nvPicPr>
        <xdr:cNvPr id="1397" name="Obraz 1396">
          <a:extLst>
            <a:ext uri="{FF2B5EF4-FFF2-40B4-BE49-F238E27FC236}">
              <a16:creationId xmlns:a16="http://schemas.microsoft.com/office/drawing/2014/main" id="{D33A7A6E-F2DB-46F8-82B9-45ED62521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10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2453</xdr:row>
      <xdr:rowOff>0</xdr:rowOff>
    </xdr:from>
    <xdr:to>
      <xdr:col>0</xdr:col>
      <xdr:colOff>9525</xdr:colOff>
      <xdr:row>2453</xdr:row>
      <xdr:rowOff>9525</xdr:rowOff>
    </xdr:to>
    <xdr:pic>
      <xdr:nvPicPr>
        <xdr:cNvPr id="1398" name="Obraz 1397">
          <a:extLst>
            <a:ext uri="{FF2B5EF4-FFF2-40B4-BE49-F238E27FC236}">
              <a16:creationId xmlns:a16="http://schemas.microsoft.com/office/drawing/2014/main" id="{79A99F0E-8906-4684-91B5-F03F51F9F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786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2456</xdr:row>
      <xdr:rowOff>0</xdr:rowOff>
    </xdr:from>
    <xdr:to>
      <xdr:col>0</xdr:col>
      <xdr:colOff>9525</xdr:colOff>
      <xdr:row>2456</xdr:row>
      <xdr:rowOff>9525</xdr:rowOff>
    </xdr:to>
    <xdr:pic>
      <xdr:nvPicPr>
        <xdr:cNvPr id="1399" name="Obraz 1398">
          <a:extLst>
            <a:ext uri="{FF2B5EF4-FFF2-40B4-BE49-F238E27FC236}">
              <a16:creationId xmlns:a16="http://schemas.microsoft.com/office/drawing/2014/main" id="{A1B2B67A-86FA-40EB-9D64-186C7C36D5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63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2460</xdr:row>
      <xdr:rowOff>0</xdr:rowOff>
    </xdr:from>
    <xdr:to>
      <xdr:col>0</xdr:col>
      <xdr:colOff>9525</xdr:colOff>
      <xdr:row>2460</xdr:row>
      <xdr:rowOff>9525</xdr:rowOff>
    </xdr:to>
    <xdr:pic>
      <xdr:nvPicPr>
        <xdr:cNvPr id="1400" name="Obraz 1399">
          <a:extLst>
            <a:ext uri="{FF2B5EF4-FFF2-40B4-BE49-F238E27FC236}">
              <a16:creationId xmlns:a16="http://schemas.microsoft.com/office/drawing/2014/main" id="{7844662D-C3E2-493B-B42D-076AA75451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58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2463</xdr:row>
      <xdr:rowOff>0</xdr:rowOff>
    </xdr:from>
    <xdr:to>
      <xdr:col>0</xdr:col>
      <xdr:colOff>9525</xdr:colOff>
      <xdr:row>2463</xdr:row>
      <xdr:rowOff>9525</xdr:rowOff>
    </xdr:to>
    <xdr:pic>
      <xdr:nvPicPr>
        <xdr:cNvPr id="1401" name="Obraz 1400">
          <a:extLst>
            <a:ext uri="{FF2B5EF4-FFF2-40B4-BE49-F238E27FC236}">
              <a16:creationId xmlns:a16="http://schemas.microsoft.com/office/drawing/2014/main" id="{10D8F862-D5BA-49B0-BBE4-3AB79F1B6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34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2464</xdr:row>
      <xdr:rowOff>0</xdr:rowOff>
    </xdr:from>
    <xdr:to>
      <xdr:col>0</xdr:col>
      <xdr:colOff>9525</xdr:colOff>
      <xdr:row>2464</xdr:row>
      <xdr:rowOff>9525</xdr:rowOff>
    </xdr:to>
    <xdr:pic>
      <xdr:nvPicPr>
        <xdr:cNvPr id="1402" name="Obraz 1401">
          <a:extLst>
            <a:ext uri="{FF2B5EF4-FFF2-40B4-BE49-F238E27FC236}">
              <a16:creationId xmlns:a16="http://schemas.microsoft.com/office/drawing/2014/main" id="{CF2C27E2-1D39-49C2-B5A8-572652A37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72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2464</xdr:row>
      <xdr:rowOff>0</xdr:rowOff>
    </xdr:from>
    <xdr:to>
      <xdr:col>0</xdr:col>
      <xdr:colOff>9525</xdr:colOff>
      <xdr:row>2464</xdr:row>
      <xdr:rowOff>9525</xdr:rowOff>
    </xdr:to>
    <xdr:pic>
      <xdr:nvPicPr>
        <xdr:cNvPr id="1403" name="Obraz 1402">
          <a:extLst>
            <a:ext uri="{FF2B5EF4-FFF2-40B4-BE49-F238E27FC236}">
              <a16:creationId xmlns:a16="http://schemas.microsoft.com/office/drawing/2014/main" id="{6416612D-DB0D-4FDF-84BF-F9CF275CB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10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2465</xdr:row>
      <xdr:rowOff>0</xdr:rowOff>
    </xdr:from>
    <xdr:to>
      <xdr:col>0</xdr:col>
      <xdr:colOff>9525</xdr:colOff>
      <xdr:row>2465</xdr:row>
      <xdr:rowOff>9525</xdr:rowOff>
    </xdr:to>
    <xdr:pic>
      <xdr:nvPicPr>
        <xdr:cNvPr id="1404" name="Obraz 1403">
          <a:extLst>
            <a:ext uri="{FF2B5EF4-FFF2-40B4-BE49-F238E27FC236}">
              <a16:creationId xmlns:a16="http://schemas.microsoft.com/office/drawing/2014/main" id="{88F5B2ED-0D1C-4B9E-AB5B-06F72B930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48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2467</xdr:row>
      <xdr:rowOff>0</xdr:rowOff>
    </xdr:from>
    <xdr:to>
      <xdr:col>0</xdr:col>
      <xdr:colOff>9525</xdr:colOff>
      <xdr:row>2467</xdr:row>
      <xdr:rowOff>9525</xdr:rowOff>
    </xdr:to>
    <xdr:pic>
      <xdr:nvPicPr>
        <xdr:cNvPr id="1405" name="Obraz 1404">
          <a:extLst>
            <a:ext uri="{FF2B5EF4-FFF2-40B4-BE49-F238E27FC236}">
              <a16:creationId xmlns:a16="http://schemas.microsoft.com/office/drawing/2014/main" id="{6EC8E0D5-864D-4FFA-8DD8-598604189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996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2470</xdr:row>
      <xdr:rowOff>0</xdr:rowOff>
    </xdr:from>
    <xdr:to>
      <xdr:col>0</xdr:col>
      <xdr:colOff>9525</xdr:colOff>
      <xdr:row>2470</xdr:row>
      <xdr:rowOff>9525</xdr:rowOff>
    </xdr:to>
    <xdr:pic>
      <xdr:nvPicPr>
        <xdr:cNvPr id="1406" name="Obraz 1405">
          <a:extLst>
            <a:ext uri="{FF2B5EF4-FFF2-40B4-BE49-F238E27FC236}">
              <a16:creationId xmlns:a16="http://schemas.microsoft.com/office/drawing/2014/main" id="{60758B0E-FD23-4D28-A855-519855AC1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72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2475</xdr:row>
      <xdr:rowOff>0</xdr:rowOff>
    </xdr:from>
    <xdr:to>
      <xdr:col>0</xdr:col>
      <xdr:colOff>9525</xdr:colOff>
      <xdr:row>2475</xdr:row>
      <xdr:rowOff>9525</xdr:rowOff>
    </xdr:to>
    <xdr:pic>
      <xdr:nvPicPr>
        <xdr:cNvPr id="1407" name="Obraz 1406">
          <a:extLst>
            <a:ext uri="{FF2B5EF4-FFF2-40B4-BE49-F238E27FC236}">
              <a16:creationId xmlns:a16="http://schemas.microsoft.com/office/drawing/2014/main" id="{085A88FC-948C-4574-9C68-9CFA088A6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186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2478</xdr:row>
      <xdr:rowOff>0</xdr:rowOff>
    </xdr:from>
    <xdr:to>
      <xdr:col>0</xdr:col>
      <xdr:colOff>9525</xdr:colOff>
      <xdr:row>2478</xdr:row>
      <xdr:rowOff>9525</xdr:rowOff>
    </xdr:to>
    <xdr:pic>
      <xdr:nvPicPr>
        <xdr:cNvPr id="1408" name="Obraz 1407">
          <a:extLst>
            <a:ext uri="{FF2B5EF4-FFF2-40B4-BE49-F238E27FC236}">
              <a16:creationId xmlns:a16="http://schemas.microsoft.com/office/drawing/2014/main" id="{66DBD3F4-092E-4A8D-8685-339DE7734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63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2482</xdr:row>
      <xdr:rowOff>0</xdr:rowOff>
    </xdr:from>
    <xdr:to>
      <xdr:col>0</xdr:col>
      <xdr:colOff>9525</xdr:colOff>
      <xdr:row>2482</xdr:row>
      <xdr:rowOff>9525</xdr:rowOff>
    </xdr:to>
    <xdr:pic>
      <xdr:nvPicPr>
        <xdr:cNvPr id="1409" name="Obraz 1408">
          <a:extLst>
            <a:ext uri="{FF2B5EF4-FFF2-40B4-BE49-F238E27FC236}">
              <a16:creationId xmlns:a16="http://schemas.microsoft.com/office/drawing/2014/main" id="{781A05F9-694E-48A5-A8BB-EE1D8C7A62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358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2486</xdr:row>
      <xdr:rowOff>0</xdr:rowOff>
    </xdr:from>
    <xdr:to>
      <xdr:col>0</xdr:col>
      <xdr:colOff>9525</xdr:colOff>
      <xdr:row>2486</xdr:row>
      <xdr:rowOff>9525</xdr:rowOff>
    </xdr:to>
    <xdr:pic>
      <xdr:nvPicPr>
        <xdr:cNvPr id="1410" name="Obraz 1409">
          <a:extLst>
            <a:ext uri="{FF2B5EF4-FFF2-40B4-BE49-F238E27FC236}">
              <a16:creationId xmlns:a16="http://schemas.microsoft.com/office/drawing/2014/main" id="{A27E89B0-9585-4FC2-9AEC-A16804C9C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53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2489</xdr:row>
      <xdr:rowOff>0</xdr:rowOff>
    </xdr:from>
    <xdr:to>
      <xdr:col>0</xdr:col>
      <xdr:colOff>9525</xdr:colOff>
      <xdr:row>2489</xdr:row>
      <xdr:rowOff>9525</xdr:rowOff>
    </xdr:to>
    <xdr:pic>
      <xdr:nvPicPr>
        <xdr:cNvPr id="1411" name="Obraz 1410">
          <a:extLst>
            <a:ext uri="{FF2B5EF4-FFF2-40B4-BE49-F238E27FC236}">
              <a16:creationId xmlns:a16="http://schemas.microsoft.com/office/drawing/2014/main" id="{08CBA13F-76B0-4DFD-93AB-710AC7083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15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2492</xdr:row>
      <xdr:rowOff>0</xdr:rowOff>
    </xdr:from>
    <xdr:to>
      <xdr:col>0</xdr:col>
      <xdr:colOff>9525</xdr:colOff>
      <xdr:row>2492</xdr:row>
      <xdr:rowOff>9525</xdr:rowOff>
    </xdr:to>
    <xdr:pic>
      <xdr:nvPicPr>
        <xdr:cNvPr id="1412" name="Obraz 1411">
          <a:extLst>
            <a:ext uri="{FF2B5EF4-FFF2-40B4-BE49-F238E27FC236}">
              <a16:creationId xmlns:a16="http://schemas.microsoft.com/office/drawing/2014/main" id="{402E2370-D84D-4E87-B72F-DA9C3707A6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91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2497</xdr:row>
      <xdr:rowOff>0</xdr:rowOff>
    </xdr:from>
    <xdr:to>
      <xdr:col>0</xdr:col>
      <xdr:colOff>9525</xdr:colOff>
      <xdr:row>2497</xdr:row>
      <xdr:rowOff>9525</xdr:rowOff>
    </xdr:to>
    <xdr:pic>
      <xdr:nvPicPr>
        <xdr:cNvPr id="1413" name="Obraz 1412">
          <a:extLst>
            <a:ext uri="{FF2B5EF4-FFF2-40B4-BE49-F238E27FC236}">
              <a16:creationId xmlns:a16="http://schemas.microsoft.com/office/drawing/2014/main" id="{3444D863-981F-4EE0-85BA-3FE5F6EFC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05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2500</xdr:row>
      <xdr:rowOff>0</xdr:rowOff>
    </xdr:from>
    <xdr:to>
      <xdr:col>0</xdr:col>
      <xdr:colOff>9525</xdr:colOff>
      <xdr:row>2500</xdr:row>
      <xdr:rowOff>9525</xdr:rowOff>
    </xdr:to>
    <xdr:pic>
      <xdr:nvPicPr>
        <xdr:cNvPr id="1414" name="Obraz 1413">
          <a:extLst>
            <a:ext uri="{FF2B5EF4-FFF2-40B4-BE49-F238E27FC236}">
              <a16:creationId xmlns:a16="http://schemas.microsoft.com/office/drawing/2014/main" id="{43D96BBD-1F2B-42E5-B15C-066D4806C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82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2503</xdr:row>
      <xdr:rowOff>0</xdr:rowOff>
    </xdr:from>
    <xdr:to>
      <xdr:col>0</xdr:col>
      <xdr:colOff>9525</xdr:colOff>
      <xdr:row>2503</xdr:row>
      <xdr:rowOff>9525</xdr:rowOff>
    </xdr:to>
    <xdr:pic>
      <xdr:nvPicPr>
        <xdr:cNvPr id="1415" name="Obraz 1414">
          <a:extLst>
            <a:ext uri="{FF2B5EF4-FFF2-40B4-BE49-F238E27FC236}">
              <a16:creationId xmlns:a16="http://schemas.microsoft.com/office/drawing/2014/main" id="{35AA7298-8490-4E8A-BA9E-0C716BBCA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758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2507</xdr:row>
      <xdr:rowOff>0</xdr:rowOff>
    </xdr:from>
    <xdr:to>
      <xdr:col>0</xdr:col>
      <xdr:colOff>9525</xdr:colOff>
      <xdr:row>2507</xdr:row>
      <xdr:rowOff>9525</xdr:rowOff>
    </xdr:to>
    <xdr:pic>
      <xdr:nvPicPr>
        <xdr:cNvPr id="1416" name="Obraz 1415">
          <a:extLst>
            <a:ext uri="{FF2B5EF4-FFF2-40B4-BE49-F238E27FC236}">
              <a16:creationId xmlns:a16="http://schemas.microsoft.com/office/drawing/2014/main" id="{3212A6B0-262E-49A8-8FF4-156C14E98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53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2510</xdr:row>
      <xdr:rowOff>0</xdr:rowOff>
    </xdr:from>
    <xdr:to>
      <xdr:col>0</xdr:col>
      <xdr:colOff>9525</xdr:colOff>
      <xdr:row>2510</xdr:row>
      <xdr:rowOff>9525</xdr:rowOff>
    </xdr:to>
    <xdr:pic>
      <xdr:nvPicPr>
        <xdr:cNvPr id="1417" name="Obraz 1416">
          <a:extLst>
            <a:ext uri="{FF2B5EF4-FFF2-40B4-BE49-F238E27FC236}">
              <a16:creationId xmlns:a16="http://schemas.microsoft.com/office/drawing/2014/main" id="{D2D0B604-8B18-4350-A771-BB4E0B979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29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2511</xdr:row>
      <xdr:rowOff>0</xdr:rowOff>
    </xdr:from>
    <xdr:to>
      <xdr:col>0</xdr:col>
      <xdr:colOff>9525</xdr:colOff>
      <xdr:row>2511</xdr:row>
      <xdr:rowOff>9525</xdr:rowOff>
    </xdr:to>
    <xdr:pic>
      <xdr:nvPicPr>
        <xdr:cNvPr id="1418" name="Obraz 1417">
          <a:extLst>
            <a:ext uri="{FF2B5EF4-FFF2-40B4-BE49-F238E27FC236}">
              <a16:creationId xmlns:a16="http://schemas.microsoft.com/office/drawing/2014/main" id="{846A9E24-AD7F-4B1C-B64D-E4646EE92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67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2513</xdr:row>
      <xdr:rowOff>0</xdr:rowOff>
    </xdr:from>
    <xdr:to>
      <xdr:col>0</xdr:col>
      <xdr:colOff>9525</xdr:colOff>
      <xdr:row>2513</xdr:row>
      <xdr:rowOff>9525</xdr:rowOff>
    </xdr:to>
    <xdr:pic>
      <xdr:nvPicPr>
        <xdr:cNvPr id="1419" name="Obraz 1418">
          <a:extLst>
            <a:ext uri="{FF2B5EF4-FFF2-40B4-BE49-F238E27FC236}">
              <a16:creationId xmlns:a16="http://schemas.microsoft.com/office/drawing/2014/main" id="{995849B8-25BF-4872-9F95-E90B62EF5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72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2517</xdr:row>
      <xdr:rowOff>0</xdr:rowOff>
    </xdr:from>
    <xdr:to>
      <xdr:col>0</xdr:col>
      <xdr:colOff>9525</xdr:colOff>
      <xdr:row>2517</xdr:row>
      <xdr:rowOff>9525</xdr:rowOff>
    </xdr:to>
    <xdr:pic>
      <xdr:nvPicPr>
        <xdr:cNvPr id="1420" name="Obraz 1419">
          <a:extLst>
            <a:ext uri="{FF2B5EF4-FFF2-40B4-BE49-F238E27FC236}">
              <a16:creationId xmlns:a16="http://schemas.microsoft.com/office/drawing/2014/main" id="{69C2B603-A79B-413D-91BF-520B35634A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967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2520</xdr:row>
      <xdr:rowOff>0</xdr:rowOff>
    </xdr:from>
    <xdr:to>
      <xdr:col>0</xdr:col>
      <xdr:colOff>9525</xdr:colOff>
      <xdr:row>2520</xdr:row>
      <xdr:rowOff>9525</xdr:rowOff>
    </xdr:to>
    <xdr:pic>
      <xdr:nvPicPr>
        <xdr:cNvPr id="1421" name="Obraz 1420">
          <a:extLst>
            <a:ext uri="{FF2B5EF4-FFF2-40B4-BE49-F238E27FC236}">
              <a16:creationId xmlns:a16="http://schemas.microsoft.com/office/drawing/2014/main" id="{1CFFFB96-2489-4911-A48E-2F6ACE769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44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2524</xdr:row>
      <xdr:rowOff>0</xdr:rowOff>
    </xdr:from>
    <xdr:to>
      <xdr:col>0</xdr:col>
      <xdr:colOff>9525</xdr:colOff>
      <xdr:row>2524</xdr:row>
      <xdr:rowOff>9525</xdr:rowOff>
    </xdr:to>
    <xdr:pic>
      <xdr:nvPicPr>
        <xdr:cNvPr id="1422" name="Obraz 1421">
          <a:extLst>
            <a:ext uri="{FF2B5EF4-FFF2-40B4-BE49-F238E27FC236}">
              <a16:creationId xmlns:a16="http://schemas.microsoft.com/office/drawing/2014/main" id="{96030BAF-A2C1-4FCB-98B6-FCB2828AE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82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2528</xdr:row>
      <xdr:rowOff>0</xdr:rowOff>
    </xdr:from>
    <xdr:to>
      <xdr:col>0</xdr:col>
      <xdr:colOff>9525</xdr:colOff>
      <xdr:row>2528</xdr:row>
      <xdr:rowOff>9525</xdr:rowOff>
    </xdr:to>
    <xdr:pic>
      <xdr:nvPicPr>
        <xdr:cNvPr id="1423" name="Obraz 1422">
          <a:extLst>
            <a:ext uri="{FF2B5EF4-FFF2-40B4-BE49-F238E27FC236}">
              <a16:creationId xmlns:a16="http://schemas.microsoft.com/office/drawing/2014/main" id="{31AE7191-51B3-4800-BEFC-25430D9AA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177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2531</xdr:row>
      <xdr:rowOff>0</xdr:rowOff>
    </xdr:from>
    <xdr:to>
      <xdr:col>0</xdr:col>
      <xdr:colOff>9525</xdr:colOff>
      <xdr:row>2531</xdr:row>
      <xdr:rowOff>9525</xdr:rowOff>
    </xdr:to>
    <xdr:pic>
      <xdr:nvPicPr>
        <xdr:cNvPr id="1424" name="Obraz 1423">
          <a:extLst>
            <a:ext uri="{FF2B5EF4-FFF2-40B4-BE49-F238E27FC236}">
              <a16:creationId xmlns:a16="http://schemas.microsoft.com/office/drawing/2014/main" id="{C3528A7D-6B11-4BA0-8901-DFB0CE7A6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53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2535</xdr:row>
      <xdr:rowOff>0</xdr:rowOff>
    </xdr:from>
    <xdr:to>
      <xdr:col>0</xdr:col>
      <xdr:colOff>9525</xdr:colOff>
      <xdr:row>2535</xdr:row>
      <xdr:rowOff>9525</xdr:rowOff>
    </xdr:to>
    <xdr:pic>
      <xdr:nvPicPr>
        <xdr:cNvPr id="1425" name="Obraz 1424">
          <a:extLst>
            <a:ext uri="{FF2B5EF4-FFF2-40B4-BE49-F238E27FC236}">
              <a16:creationId xmlns:a16="http://schemas.microsoft.com/office/drawing/2014/main" id="{5643DDE5-2AE3-4A49-BA31-33B8D3F1C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348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2538</xdr:row>
      <xdr:rowOff>0</xdr:rowOff>
    </xdr:from>
    <xdr:to>
      <xdr:col>0</xdr:col>
      <xdr:colOff>9525</xdr:colOff>
      <xdr:row>2538</xdr:row>
      <xdr:rowOff>9525</xdr:rowOff>
    </xdr:to>
    <xdr:pic>
      <xdr:nvPicPr>
        <xdr:cNvPr id="1426" name="Obraz 1425">
          <a:extLst>
            <a:ext uri="{FF2B5EF4-FFF2-40B4-BE49-F238E27FC236}">
              <a16:creationId xmlns:a16="http://schemas.microsoft.com/office/drawing/2014/main" id="{BECF1032-E1EC-42F6-90BD-7BE026F29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25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2542</xdr:row>
      <xdr:rowOff>0</xdr:rowOff>
    </xdr:from>
    <xdr:to>
      <xdr:col>0</xdr:col>
      <xdr:colOff>9525</xdr:colOff>
      <xdr:row>2542</xdr:row>
      <xdr:rowOff>9525</xdr:rowOff>
    </xdr:to>
    <xdr:pic>
      <xdr:nvPicPr>
        <xdr:cNvPr id="1427" name="Obraz 1426">
          <a:extLst>
            <a:ext uri="{FF2B5EF4-FFF2-40B4-BE49-F238E27FC236}">
              <a16:creationId xmlns:a16="http://schemas.microsoft.com/office/drawing/2014/main" id="{F0E0301E-0F5B-47BD-B0D3-02CD1BD9C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20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2545</xdr:row>
      <xdr:rowOff>0</xdr:rowOff>
    </xdr:from>
    <xdr:to>
      <xdr:col>0</xdr:col>
      <xdr:colOff>9525</xdr:colOff>
      <xdr:row>2545</xdr:row>
      <xdr:rowOff>9525</xdr:rowOff>
    </xdr:to>
    <xdr:pic>
      <xdr:nvPicPr>
        <xdr:cNvPr id="1428" name="Obraz 1427">
          <a:extLst>
            <a:ext uri="{FF2B5EF4-FFF2-40B4-BE49-F238E27FC236}">
              <a16:creationId xmlns:a16="http://schemas.microsoft.com/office/drawing/2014/main" id="{EDD1FABE-3E59-4616-A41A-D13091AD1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596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2545</xdr:row>
      <xdr:rowOff>0</xdr:rowOff>
    </xdr:from>
    <xdr:to>
      <xdr:col>0</xdr:col>
      <xdr:colOff>9525</xdr:colOff>
      <xdr:row>2545</xdr:row>
      <xdr:rowOff>9525</xdr:rowOff>
    </xdr:to>
    <xdr:pic>
      <xdr:nvPicPr>
        <xdr:cNvPr id="1429" name="Obraz 1428">
          <a:extLst>
            <a:ext uri="{FF2B5EF4-FFF2-40B4-BE49-F238E27FC236}">
              <a16:creationId xmlns:a16="http://schemas.microsoft.com/office/drawing/2014/main" id="{8F79396A-D52C-4DA7-97C5-C78C09BC14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34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2546</xdr:row>
      <xdr:rowOff>0</xdr:rowOff>
    </xdr:from>
    <xdr:to>
      <xdr:col>0</xdr:col>
      <xdr:colOff>9525</xdr:colOff>
      <xdr:row>2546</xdr:row>
      <xdr:rowOff>9525</xdr:rowOff>
    </xdr:to>
    <xdr:pic>
      <xdr:nvPicPr>
        <xdr:cNvPr id="1430" name="Obraz 1429">
          <a:extLst>
            <a:ext uri="{FF2B5EF4-FFF2-40B4-BE49-F238E27FC236}">
              <a16:creationId xmlns:a16="http://schemas.microsoft.com/office/drawing/2014/main" id="{CCA513DB-3D44-446E-888B-7EE1CB88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72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2548</xdr:row>
      <xdr:rowOff>0</xdr:rowOff>
    </xdr:from>
    <xdr:to>
      <xdr:col>0</xdr:col>
      <xdr:colOff>9525</xdr:colOff>
      <xdr:row>2548</xdr:row>
      <xdr:rowOff>9525</xdr:rowOff>
    </xdr:to>
    <xdr:sp macro="" textlink="">
      <xdr:nvSpPr>
        <xdr:cNvPr id="2" name="AutoShape 2">
          <a:extLst>
            <a:ext uri="{FF2B5EF4-FFF2-40B4-BE49-F238E27FC236}">
              <a16:creationId xmlns:a16="http://schemas.microsoft.com/office/drawing/2014/main" id="{FE8822BE-92AF-4DA1-A53B-0AF219E87685}"/>
            </a:ext>
          </a:extLst>
        </xdr:cNvPr>
        <xdr:cNvSpPr>
          <a:spLocks noChangeAspect="1" noChangeArrowheads="1"/>
        </xdr:cNvSpPr>
      </xdr:nvSpPr>
      <xdr:spPr bwMode="auto">
        <a:xfrm>
          <a:off x="0" y="48539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2551</xdr:row>
      <xdr:rowOff>0</xdr:rowOff>
    </xdr:from>
    <xdr:to>
      <xdr:col>0</xdr:col>
      <xdr:colOff>9525</xdr:colOff>
      <xdr:row>2551</xdr:row>
      <xdr:rowOff>9525</xdr:rowOff>
    </xdr:to>
    <xdr:pic>
      <xdr:nvPicPr>
        <xdr:cNvPr id="1431" name="Obraz 1430">
          <a:extLst>
            <a:ext uri="{FF2B5EF4-FFF2-40B4-BE49-F238E27FC236}">
              <a16:creationId xmlns:a16="http://schemas.microsoft.com/office/drawing/2014/main" id="{10345E6E-43FE-4C17-B4BB-FF9EE869DB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15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2555</xdr:row>
      <xdr:rowOff>0</xdr:rowOff>
    </xdr:from>
    <xdr:to>
      <xdr:col>0</xdr:col>
      <xdr:colOff>9525</xdr:colOff>
      <xdr:row>2555</xdr:row>
      <xdr:rowOff>9525</xdr:rowOff>
    </xdr:to>
    <xdr:pic>
      <xdr:nvPicPr>
        <xdr:cNvPr id="1432" name="Obraz 1431">
          <a:extLst>
            <a:ext uri="{FF2B5EF4-FFF2-40B4-BE49-F238E27FC236}">
              <a16:creationId xmlns:a16="http://schemas.microsoft.com/office/drawing/2014/main" id="{0525004F-5664-4245-B16E-E043ABF9EB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10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2559</xdr:row>
      <xdr:rowOff>0</xdr:rowOff>
    </xdr:from>
    <xdr:to>
      <xdr:col>0</xdr:col>
      <xdr:colOff>9525</xdr:colOff>
      <xdr:row>2559</xdr:row>
      <xdr:rowOff>9525</xdr:rowOff>
    </xdr:to>
    <xdr:pic>
      <xdr:nvPicPr>
        <xdr:cNvPr id="1433" name="Obraz 1432">
          <a:extLst>
            <a:ext uri="{FF2B5EF4-FFF2-40B4-BE49-F238E27FC236}">
              <a16:creationId xmlns:a16="http://schemas.microsoft.com/office/drawing/2014/main" id="{5BA28529-1DDD-401F-9C07-1E59FEDCD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748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2562</xdr:row>
      <xdr:rowOff>0</xdr:rowOff>
    </xdr:from>
    <xdr:to>
      <xdr:col>0</xdr:col>
      <xdr:colOff>9525</xdr:colOff>
      <xdr:row>2562</xdr:row>
      <xdr:rowOff>9525</xdr:rowOff>
    </xdr:to>
    <xdr:pic>
      <xdr:nvPicPr>
        <xdr:cNvPr id="1434" name="Obraz 1433">
          <a:extLst>
            <a:ext uri="{FF2B5EF4-FFF2-40B4-BE49-F238E27FC236}">
              <a16:creationId xmlns:a16="http://schemas.microsoft.com/office/drawing/2014/main" id="{12A35BA2-E102-4948-9BFE-DDE75B5DB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25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2566</xdr:row>
      <xdr:rowOff>0</xdr:rowOff>
    </xdr:from>
    <xdr:to>
      <xdr:col>0</xdr:col>
      <xdr:colOff>9525</xdr:colOff>
      <xdr:row>2566</xdr:row>
      <xdr:rowOff>9525</xdr:rowOff>
    </xdr:to>
    <xdr:pic>
      <xdr:nvPicPr>
        <xdr:cNvPr id="1435" name="Obraz 1434">
          <a:extLst>
            <a:ext uri="{FF2B5EF4-FFF2-40B4-BE49-F238E27FC236}">
              <a16:creationId xmlns:a16="http://schemas.microsoft.com/office/drawing/2014/main" id="{513BEE50-7954-4F77-A44E-B7310FA25A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20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2570</xdr:row>
      <xdr:rowOff>0</xdr:rowOff>
    </xdr:from>
    <xdr:to>
      <xdr:col>0</xdr:col>
      <xdr:colOff>9525</xdr:colOff>
      <xdr:row>2570</xdr:row>
      <xdr:rowOff>9525</xdr:rowOff>
    </xdr:to>
    <xdr:pic>
      <xdr:nvPicPr>
        <xdr:cNvPr id="1436" name="Obraz 1435">
          <a:extLst>
            <a:ext uri="{FF2B5EF4-FFF2-40B4-BE49-F238E27FC236}">
              <a16:creationId xmlns:a16="http://schemas.microsoft.com/office/drawing/2014/main" id="{A782936C-4871-4096-84E1-116012355E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8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2572</xdr:row>
      <xdr:rowOff>0</xdr:rowOff>
    </xdr:from>
    <xdr:to>
      <xdr:col>0</xdr:col>
      <xdr:colOff>9525</xdr:colOff>
      <xdr:row>2572</xdr:row>
      <xdr:rowOff>9525</xdr:rowOff>
    </xdr:to>
    <xdr:pic>
      <xdr:nvPicPr>
        <xdr:cNvPr id="1437" name="Obraz 1436">
          <a:extLst>
            <a:ext uri="{FF2B5EF4-FFF2-40B4-BE49-F238E27FC236}">
              <a16:creationId xmlns:a16="http://schemas.microsoft.com/office/drawing/2014/main" id="{FE2019E1-C1AE-4878-8DF2-48CB658760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34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2575</xdr:row>
      <xdr:rowOff>0</xdr:rowOff>
    </xdr:from>
    <xdr:to>
      <xdr:col>0</xdr:col>
      <xdr:colOff>9525</xdr:colOff>
      <xdr:row>2575</xdr:row>
      <xdr:rowOff>9525</xdr:rowOff>
    </xdr:to>
    <xdr:pic>
      <xdr:nvPicPr>
        <xdr:cNvPr id="1438" name="Obraz 1437">
          <a:extLst>
            <a:ext uri="{FF2B5EF4-FFF2-40B4-BE49-F238E27FC236}">
              <a16:creationId xmlns:a16="http://schemas.microsoft.com/office/drawing/2014/main" id="{010349D9-4D32-4AE2-B012-8D293706C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29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2570</xdr:row>
      <xdr:rowOff>0</xdr:rowOff>
    </xdr:from>
    <xdr:to>
      <xdr:col>0</xdr:col>
      <xdr:colOff>9525</xdr:colOff>
      <xdr:row>2570</xdr:row>
      <xdr:rowOff>9525</xdr:rowOff>
    </xdr:to>
    <xdr:pic>
      <xdr:nvPicPr>
        <xdr:cNvPr id="1439" name="Obraz 1438">
          <a:extLst>
            <a:ext uri="{FF2B5EF4-FFF2-40B4-BE49-F238E27FC236}">
              <a16:creationId xmlns:a16="http://schemas.microsoft.com/office/drawing/2014/main" id="{C6D2932A-61A5-448B-80B2-7B1A99E35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958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2574</xdr:row>
      <xdr:rowOff>0</xdr:rowOff>
    </xdr:from>
    <xdr:to>
      <xdr:col>0</xdr:col>
      <xdr:colOff>9525</xdr:colOff>
      <xdr:row>2574</xdr:row>
      <xdr:rowOff>9525</xdr:rowOff>
    </xdr:to>
    <xdr:pic>
      <xdr:nvPicPr>
        <xdr:cNvPr id="1440" name="Obraz 1439">
          <a:extLst>
            <a:ext uri="{FF2B5EF4-FFF2-40B4-BE49-F238E27FC236}">
              <a16:creationId xmlns:a16="http://schemas.microsoft.com/office/drawing/2014/main" id="{E9F155A3-EEDE-48CE-9002-54EA16B6D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53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2578</xdr:row>
      <xdr:rowOff>0</xdr:rowOff>
    </xdr:from>
    <xdr:to>
      <xdr:col>0</xdr:col>
      <xdr:colOff>9525</xdr:colOff>
      <xdr:row>2578</xdr:row>
      <xdr:rowOff>9525</xdr:rowOff>
    </xdr:to>
    <xdr:pic>
      <xdr:nvPicPr>
        <xdr:cNvPr id="1441" name="Obraz 1440">
          <a:extLst>
            <a:ext uri="{FF2B5EF4-FFF2-40B4-BE49-F238E27FC236}">
              <a16:creationId xmlns:a16="http://schemas.microsoft.com/office/drawing/2014/main" id="{D807FFE6-80AC-4367-9B1C-E8BAA9D09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149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2581</xdr:row>
      <xdr:rowOff>0</xdr:rowOff>
    </xdr:from>
    <xdr:to>
      <xdr:col>0</xdr:col>
      <xdr:colOff>9525</xdr:colOff>
      <xdr:row>2581</xdr:row>
      <xdr:rowOff>9525</xdr:rowOff>
    </xdr:to>
    <xdr:pic>
      <xdr:nvPicPr>
        <xdr:cNvPr id="1442" name="Obraz 1441">
          <a:extLst>
            <a:ext uri="{FF2B5EF4-FFF2-40B4-BE49-F238E27FC236}">
              <a16:creationId xmlns:a16="http://schemas.microsoft.com/office/drawing/2014/main" id="{86962E76-E3BF-4DB2-A427-65C2F7062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25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2584</xdr:row>
      <xdr:rowOff>0</xdr:rowOff>
    </xdr:from>
    <xdr:to>
      <xdr:col>0</xdr:col>
      <xdr:colOff>9525</xdr:colOff>
      <xdr:row>2584</xdr:row>
      <xdr:rowOff>9525</xdr:rowOff>
    </xdr:to>
    <xdr:pic>
      <xdr:nvPicPr>
        <xdr:cNvPr id="1443" name="Obraz 1442">
          <a:extLst>
            <a:ext uri="{FF2B5EF4-FFF2-40B4-BE49-F238E27FC236}">
              <a16:creationId xmlns:a16="http://schemas.microsoft.com/office/drawing/2014/main" id="{58174617-D2C1-43E6-8F1F-5E3E3448A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01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2588</xdr:row>
      <xdr:rowOff>0</xdr:rowOff>
    </xdr:from>
    <xdr:to>
      <xdr:col>0</xdr:col>
      <xdr:colOff>9525</xdr:colOff>
      <xdr:row>2588</xdr:row>
      <xdr:rowOff>9525</xdr:rowOff>
    </xdr:to>
    <xdr:pic>
      <xdr:nvPicPr>
        <xdr:cNvPr id="1444" name="Obraz 1443">
          <a:extLst>
            <a:ext uri="{FF2B5EF4-FFF2-40B4-BE49-F238E27FC236}">
              <a16:creationId xmlns:a16="http://schemas.microsoft.com/office/drawing/2014/main" id="{6557A6C3-09A0-4438-BF7C-5A8942A96D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96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2592</xdr:row>
      <xdr:rowOff>0</xdr:rowOff>
    </xdr:from>
    <xdr:to>
      <xdr:col>0</xdr:col>
      <xdr:colOff>9525</xdr:colOff>
      <xdr:row>2592</xdr:row>
      <xdr:rowOff>9525</xdr:rowOff>
    </xdr:to>
    <xdr:pic>
      <xdr:nvPicPr>
        <xdr:cNvPr id="1445" name="Obraz 1444">
          <a:extLst>
            <a:ext uri="{FF2B5EF4-FFF2-40B4-BE49-F238E27FC236}">
              <a16:creationId xmlns:a16="http://schemas.microsoft.com/office/drawing/2014/main" id="{1322AD08-A45F-41D4-B25B-AD6715569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77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2596</xdr:row>
      <xdr:rowOff>0</xdr:rowOff>
    </xdr:from>
    <xdr:to>
      <xdr:col>0</xdr:col>
      <xdr:colOff>9525</xdr:colOff>
      <xdr:row>2596</xdr:row>
      <xdr:rowOff>9525</xdr:rowOff>
    </xdr:to>
    <xdr:pic>
      <xdr:nvPicPr>
        <xdr:cNvPr id="1446" name="Obraz 1445">
          <a:extLst>
            <a:ext uri="{FF2B5EF4-FFF2-40B4-BE49-F238E27FC236}">
              <a16:creationId xmlns:a16="http://schemas.microsoft.com/office/drawing/2014/main" id="{ED8B2158-F18F-4C7A-8B63-ADCB8818F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72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2599</xdr:row>
      <xdr:rowOff>0</xdr:rowOff>
    </xdr:from>
    <xdr:to>
      <xdr:col>0</xdr:col>
      <xdr:colOff>9525</xdr:colOff>
      <xdr:row>2599</xdr:row>
      <xdr:rowOff>9525</xdr:rowOff>
    </xdr:to>
    <xdr:pic>
      <xdr:nvPicPr>
        <xdr:cNvPr id="1447" name="Obraz 1446">
          <a:extLst>
            <a:ext uri="{FF2B5EF4-FFF2-40B4-BE49-F238E27FC236}">
              <a16:creationId xmlns:a16="http://schemas.microsoft.com/office/drawing/2014/main" id="{15C50836-28C9-45E7-8A8B-B415417E3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549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2603</xdr:row>
      <xdr:rowOff>0</xdr:rowOff>
    </xdr:from>
    <xdr:to>
      <xdr:col>0</xdr:col>
      <xdr:colOff>9525</xdr:colOff>
      <xdr:row>2603</xdr:row>
      <xdr:rowOff>9525</xdr:rowOff>
    </xdr:to>
    <xdr:pic>
      <xdr:nvPicPr>
        <xdr:cNvPr id="1448" name="Obraz 1447">
          <a:extLst>
            <a:ext uri="{FF2B5EF4-FFF2-40B4-BE49-F238E27FC236}">
              <a16:creationId xmlns:a16="http://schemas.microsoft.com/office/drawing/2014/main" id="{C0C5B830-7C70-4C5E-9CF4-C51220A3B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44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2606</xdr:row>
      <xdr:rowOff>0</xdr:rowOff>
    </xdr:from>
    <xdr:to>
      <xdr:col>0</xdr:col>
      <xdr:colOff>9525</xdr:colOff>
      <xdr:row>2606</xdr:row>
      <xdr:rowOff>9525</xdr:rowOff>
    </xdr:to>
    <xdr:pic>
      <xdr:nvPicPr>
        <xdr:cNvPr id="1449" name="Obraz 1448">
          <a:extLst>
            <a:ext uri="{FF2B5EF4-FFF2-40B4-BE49-F238E27FC236}">
              <a16:creationId xmlns:a16="http://schemas.microsoft.com/office/drawing/2014/main" id="{C531DB10-5342-43DC-8760-58F6847106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720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2610</xdr:row>
      <xdr:rowOff>0</xdr:rowOff>
    </xdr:from>
    <xdr:to>
      <xdr:col>0</xdr:col>
      <xdr:colOff>9525</xdr:colOff>
      <xdr:row>2610</xdr:row>
      <xdr:rowOff>9525</xdr:rowOff>
    </xdr:to>
    <xdr:pic>
      <xdr:nvPicPr>
        <xdr:cNvPr id="1450" name="Obraz 1449">
          <a:extLst>
            <a:ext uri="{FF2B5EF4-FFF2-40B4-BE49-F238E27FC236}">
              <a16:creationId xmlns:a16="http://schemas.microsoft.com/office/drawing/2014/main" id="{9391866F-0180-4D07-929B-08004CDF39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15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2613</xdr:row>
      <xdr:rowOff>0</xdr:rowOff>
    </xdr:from>
    <xdr:to>
      <xdr:col>0</xdr:col>
      <xdr:colOff>9525</xdr:colOff>
      <xdr:row>2613</xdr:row>
      <xdr:rowOff>9525</xdr:rowOff>
    </xdr:to>
    <xdr:pic>
      <xdr:nvPicPr>
        <xdr:cNvPr id="1451" name="Obraz 1450">
          <a:extLst>
            <a:ext uri="{FF2B5EF4-FFF2-40B4-BE49-F238E27FC236}">
              <a16:creationId xmlns:a16="http://schemas.microsoft.com/office/drawing/2014/main" id="{5544AA9A-3585-4B76-85FF-FC8BE102C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91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2613</xdr:row>
      <xdr:rowOff>0</xdr:rowOff>
    </xdr:from>
    <xdr:to>
      <xdr:col>0</xdr:col>
      <xdr:colOff>9525</xdr:colOff>
      <xdr:row>2613</xdr:row>
      <xdr:rowOff>9525</xdr:rowOff>
    </xdr:to>
    <xdr:pic>
      <xdr:nvPicPr>
        <xdr:cNvPr id="1452" name="Obraz 1451">
          <a:extLst>
            <a:ext uri="{FF2B5EF4-FFF2-40B4-BE49-F238E27FC236}">
              <a16:creationId xmlns:a16="http://schemas.microsoft.com/office/drawing/2014/main" id="{5BDE9BDD-0EE9-494E-BA35-E7FB3685A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49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2614</xdr:row>
      <xdr:rowOff>0</xdr:rowOff>
    </xdr:from>
    <xdr:to>
      <xdr:col>0</xdr:col>
      <xdr:colOff>9525</xdr:colOff>
      <xdr:row>2614</xdr:row>
      <xdr:rowOff>9525</xdr:rowOff>
    </xdr:to>
    <xdr:pic>
      <xdr:nvPicPr>
        <xdr:cNvPr id="1453" name="Obraz 1452">
          <a:extLst>
            <a:ext uri="{FF2B5EF4-FFF2-40B4-BE49-F238E27FC236}">
              <a16:creationId xmlns:a16="http://schemas.microsoft.com/office/drawing/2014/main" id="{2DAD46E4-2A53-4301-A987-D3DF2B1FF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87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2616</xdr:row>
      <xdr:rowOff>0</xdr:rowOff>
    </xdr:from>
    <xdr:to>
      <xdr:col>0</xdr:col>
      <xdr:colOff>9525</xdr:colOff>
      <xdr:row>2616</xdr:row>
      <xdr:rowOff>9525</xdr:rowOff>
    </xdr:to>
    <xdr:pic>
      <xdr:nvPicPr>
        <xdr:cNvPr id="1461" name="Obraz 1460">
          <a:extLst>
            <a:ext uri="{FF2B5EF4-FFF2-40B4-BE49-F238E27FC236}">
              <a16:creationId xmlns:a16="http://schemas.microsoft.com/office/drawing/2014/main" id="{8908552E-1A85-44C7-ADD7-67924AE57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34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2620</xdr:row>
      <xdr:rowOff>0</xdr:rowOff>
    </xdr:from>
    <xdr:to>
      <xdr:col>0</xdr:col>
      <xdr:colOff>9525</xdr:colOff>
      <xdr:row>2620</xdr:row>
      <xdr:rowOff>9525</xdr:rowOff>
    </xdr:to>
    <xdr:pic>
      <xdr:nvPicPr>
        <xdr:cNvPr id="1462" name="Obraz 1461">
          <a:extLst>
            <a:ext uri="{FF2B5EF4-FFF2-40B4-BE49-F238E27FC236}">
              <a16:creationId xmlns:a16="http://schemas.microsoft.com/office/drawing/2014/main" id="{19CD3CB1-7175-4552-9518-5C4EB7ED8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930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2623</xdr:row>
      <xdr:rowOff>0</xdr:rowOff>
    </xdr:from>
    <xdr:to>
      <xdr:col>0</xdr:col>
      <xdr:colOff>9525</xdr:colOff>
      <xdr:row>2623</xdr:row>
      <xdr:rowOff>9525</xdr:rowOff>
    </xdr:to>
    <xdr:pic>
      <xdr:nvPicPr>
        <xdr:cNvPr id="1463" name="Obraz 1462">
          <a:extLst>
            <a:ext uri="{FF2B5EF4-FFF2-40B4-BE49-F238E27FC236}">
              <a16:creationId xmlns:a16="http://schemas.microsoft.com/office/drawing/2014/main" id="{0FD79F51-1588-43DD-B4E5-6634CA644A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06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2627</xdr:row>
      <xdr:rowOff>0</xdr:rowOff>
    </xdr:from>
    <xdr:to>
      <xdr:col>0</xdr:col>
      <xdr:colOff>9525</xdr:colOff>
      <xdr:row>2627</xdr:row>
      <xdr:rowOff>9525</xdr:rowOff>
    </xdr:to>
    <xdr:pic>
      <xdr:nvPicPr>
        <xdr:cNvPr id="1464" name="Obraz 1463">
          <a:extLst>
            <a:ext uri="{FF2B5EF4-FFF2-40B4-BE49-F238E27FC236}">
              <a16:creationId xmlns:a16="http://schemas.microsoft.com/office/drawing/2014/main" id="{F2230CA7-F198-4C03-8056-C72039957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44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2630</xdr:row>
      <xdr:rowOff>0</xdr:rowOff>
    </xdr:from>
    <xdr:to>
      <xdr:col>0</xdr:col>
      <xdr:colOff>9525</xdr:colOff>
      <xdr:row>2630</xdr:row>
      <xdr:rowOff>9525</xdr:rowOff>
    </xdr:to>
    <xdr:pic>
      <xdr:nvPicPr>
        <xdr:cNvPr id="1465" name="Obraz 1464">
          <a:extLst>
            <a:ext uri="{FF2B5EF4-FFF2-40B4-BE49-F238E27FC236}">
              <a16:creationId xmlns:a16="http://schemas.microsoft.com/office/drawing/2014/main" id="{F91A76A5-6253-409E-AFAA-6D9186CC8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120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2635</xdr:row>
      <xdr:rowOff>0</xdr:rowOff>
    </xdr:from>
    <xdr:to>
      <xdr:col>0</xdr:col>
      <xdr:colOff>9525</xdr:colOff>
      <xdr:row>2635</xdr:row>
      <xdr:rowOff>9525</xdr:rowOff>
    </xdr:to>
    <xdr:pic>
      <xdr:nvPicPr>
        <xdr:cNvPr id="1466" name="Obraz 1465">
          <a:extLst>
            <a:ext uri="{FF2B5EF4-FFF2-40B4-BE49-F238E27FC236}">
              <a16:creationId xmlns:a16="http://schemas.microsoft.com/office/drawing/2014/main" id="{B83BE3E1-3B97-4BFF-B7CD-D39C36DD8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34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2638</xdr:row>
      <xdr:rowOff>0</xdr:rowOff>
    </xdr:from>
    <xdr:to>
      <xdr:col>0</xdr:col>
      <xdr:colOff>9525</xdr:colOff>
      <xdr:row>2638</xdr:row>
      <xdr:rowOff>9525</xdr:rowOff>
    </xdr:to>
    <xdr:pic>
      <xdr:nvPicPr>
        <xdr:cNvPr id="1467" name="Obraz 1466">
          <a:extLst>
            <a:ext uri="{FF2B5EF4-FFF2-40B4-BE49-F238E27FC236}">
              <a16:creationId xmlns:a16="http://schemas.microsoft.com/office/drawing/2014/main" id="{808FBEB5-0FCE-4CCC-BB6C-2222B88ED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311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2642</xdr:row>
      <xdr:rowOff>0</xdr:rowOff>
    </xdr:from>
    <xdr:to>
      <xdr:col>0</xdr:col>
      <xdr:colOff>9525</xdr:colOff>
      <xdr:row>2642</xdr:row>
      <xdr:rowOff>9525</xdr:rowOff>
    </xdr:to>
    <xdr:pic>
      <xdr:nvPicPr>
        <xdr:cNvPr id="1468" name="Obraz 1467">
          <a:extLst>
            <a:ext uri="{FF2B5EF4-FFF2-40B4-BE49-F238E27FC236}">
              <a16:creationId xmlns:a16="http://schemas.microsoft.com/office/drawing/2014/main" id="{977C500C-0CA1-42DE-AF46-BD3BF33E5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06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2645</xdr:row>
      <xdr:rowOff>0</xdr:rowOff>
    </xdr:from>
    <xdr:to>
      <xdr:col>0</xdr:col>
      <xdr:colOff>9525</xdr:colOff>
      <xdr:row>2645</xdr:row>
      <xdr:rowOff>9525</xdr:rowOff>
    </xdr:to>
    <xdr:pic>
      <xdr:nvPicPr>
        <xdr:cNvPr id="1469" name="Obraz 1468">
          <a:extLst>
            <a:ext uri="{FF2B5EF4-FFF2-40B4-BE49-F238E27FC236}">
              <a16:creationId xmlns:a16="http://schemas.microsoft.com/office/drawing/2014/main" id="{8470F394-0E90-47A8-A1B7-7AB26D8D4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82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2649</xdr:row>
      <xdr:rowOff>0</xdr:rowOff>
    </xdr:from>
    <xdr:to>
      <xdr:col>0</xdr:col>
      <xdr:colOff>9525</xdr:colOff>
      <xdr:row>2649</xdr:row>
      <xdr:rowOff>9525</xdr:rowOff>
    </xdr:to>
    <xdr:pic>
      <xdr:nvPicPr>
        <xdr:cNvPr id="1470" name="Obraz 1469">
          <a:extLst>
            <a:ext uri="{FF2B5EF4-FFF2-40B4-BE49-F238E27FC236}">
              <a16:creationId xmlns:a16="http://schemas.microsoft.com/office/drawing/2014/main" id="{5890739F-FF9C-4920-910D-32C5D1B5F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63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2652</xdr:row>
      <xdr:rowOff>0</xdr:rowOff>
    </xdr:from>
    <xdr:to>
      <xdr:col>0</xdr:col>
      <xdr:colOff>9525</xdr:colOff>
      <xdr:row>2652</xdr:row>
      <xdr:rowOff>9525</xdr:rowOff>
    </xdr:to>
    <xdr:pic>
      <xdr:nvPicPr>
        <xdr:cNvPr id="1471" name="Obraz 1470">
          <a:extLst>
            <a:ext uri="{FF2B5EF4-FFF2-40B4-BE49-F238E27FC236}">
              <a16:creationId xmlns:a16="http://schemas.microsoft.com/office/drawing/2014/main" id="{B05DC79A-3317-44CA-926D-596BBD4FD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539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2656</xdr:row>
      <xdr:rowOff>0</xdr:rowOff>
    </xdr:from>
    <xdr:to>
      <xdr:col>0</xdr:col>
      <xdr:colOff>9525</xdr:colOff>
      <xdr:row>2656</xdr:row>
      <xdr:rowOff>9525</xdr:rowOff>
    </xdr:to>
    <xdr:pic>
      <xdr:nvPicPr>
        <xdr:cNvPr id="1472" name="Obraz 1471">
          <a:extLst>
            <a:ext uri="{FF2B5EF4-FFF2-40B4-BE49-F238E27FC236}">
              <a16:creationId xmlns:a16="http://schemas.microsoft.com/office/drawing/2014/main" id="{3963B5F7-1B27-4917-BE35-E366F4850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34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2659</xdr:row>
      <xdr:rowOff>0</xdr:rowOff>
    </xdr:from>
    <xdr:to>
      <xdr:col>0</xdr:col>
      <xdr:colOff>9525</xdr:colOff>
      <xdr:row>2659</xdr:row>
      <xdr:rowOff>9525</xdr:rowOff>
    </xdr:to>
    <xdr:pic>
      <xdr:nvPicPr>
        <xdr:cNvPr id="1473" name="Obraz 1472">
          <a:extLst>
            <a:ext uri="{FF2B5EF4-FFF2-40B4-BE49-F238E27FC236}">
              <a16:creationId xmlns:a16="http://schemas.microsoft.com/office/drawing/2014/main" id="{0D45DCB7-3987-4886-BDE3-BA75F2633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11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2660</xdr:row>
      <xdr:rowOff>0</xdr:rowOff>
    </xdr:from>
    <xdr:to>
      <xdr:col>0</xdr:col>
      <xdr:colOff>9525</xdr:colOff>
      <xdr:row>2660</xdr:row>
      <xdr:rowOff>9525</xdr:rowOff>
    </xdr:to>
    <xdr:pic>
      <xdr:nvPicPr>
        <xdr:cNvPr id="1474" name="Obraz 1473">
          <a:extLst>
            <a:ext uri="{FF2B5EF4-FFF2-40B4-BE49-F238E27FC236}">
              <a16:creationId xmlns:a16="http://schemas.microsoft.com/office/drawing/2014/main" id="{6C3D38AA-8131-4C0F-9727-59B4AF8FB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49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2660</xdr:row>
      <xdr:rowOff>0</xdr:rowOff>
    </xdr:from>
    <xdr:to>
      <xdr:col>0</xdr:col>
      <xdr:colOff>9525</xdr:colOff>
      <xdr:row>2660</xdr:row>
      <xdr:rowOff>9525</xdr:rowOff>
    </xdr:to>
    <xdr:pic>
      <xdr:nvPicPr>
        <xdr:cNvPr id="1475" name="Obraz 1474">
          <a:extLst>
            <a:ext uri="{FF2B5EF4-FFF2-40B4-BE49-F238E27FC236}">
              <a16:creationId xmlns:a16="http://schemas.microsoft.com/office/drawing/2014/main" id="{070F6863-FB75-4C91-BF44-655AC0389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787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2661</xdr:row>
      <xdr:rowOff>0</xdr:rowOff>
    </xdr:from>
    <xdr:to>
      <xdr:col>0</xdr:col>
      <xdr:colOff>9525</xdr:colOff>
      <xdr:row>2661</xdr:row>
      <xdr:rowOff>9525</xdr:rowOff>
    </xdr:to>
    <xdr:pic>
      <xdr:nvPicPr>
        <xdr:cNvPr id="1476" name="Obraz 1475">
          <a:extLst>
            <a:ext uri="{FF2B5EF4-FFF2-40B4-BE49-F238E27FC236}">
              <a16:creationId xmlns:a16="http://schemas.microsoft.com/office/drawing/2014/main" id="{FEDCB5A0-8F24-46B4-8914-265399271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25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2663</xdr:row>
      <xdr:rowOff>0</xdr:rowOff>
    </xdr:from>
    <xdr:to>
      <xdr:col>0</xdr:col>
      <xdr:colOff>9525</xdr:colOff>
      <xdr:row>2663</xdr:row>
      <xdr:rowOff>9525</xdr:rowOff>
    </xdr:to>
    <xdr:pic>
      <xdr:nvPicPr>
        <xdr:cNvPr id="1477" name="Obraz 1476">
          <a:extLst>
            <a:ext uri="{FF2B5EF4-FFF2-40B4-BE49-F238E27FC236}">
              <a16:creationId xmlns:a16="http://schemas.microsoft.com/office/drawing/2014/main" id="{C20258B1-FFCE-498D-9E6A-91392B22E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82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2667</xdr:row>
      <xdr:rowOff>0</xdr:rowOff>
    </xdr:from>
    <xdr:to>
      <xdr:col>0</xdr:col>
      <xdr:colOff>9525</xdr:colOff>
      <xdr:row>2667</xdr:row>
      <xdr:rowOff>9525</xdr:rowOff>
    </xdr:to>
    <xdr:pic>
      <xdr:nvPicPr>
        <xdr:cNvPr id="1478" name="Obraz 1477">
          <a:extLst>
            <a:ext uri="{FF2B5EF4-FFF2-40B4-BE49-F238E27FC236}">
              <a16:creationId xmlns:a16="http://schemas.microsoft.com/office/drawing/2014/main" id="{930B61A7-3EE2-4A7A-8E3A-769F10B11C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77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2670</xdr:row>
      <xdr:rowOff>0</xdr:rowOff>
    </xdr:from>
    <xdr:to>
      <xdr:col>0</xdr:col>
      <xdr:colOff>9525</xdr:colOff>
      <xdr:row>2670</xdr:row>
      <xdr:rowOff>9525</xdr:rowOff>
    </xdr:to>
    <xdr:pic>
      <xdr:nvPicPr>
        <xdr:cNvPr id="1479" name="Obraz 1478">
          <a:extLst>
            <a:ext uri="{FF2B5EF4-FFF2-40B4-BE49-F238E27FC236}">
              <a16:creationId xmlns:a16="http://schemas.microsoft.com/office/drawing/2014/main" id="{0FCD1381-12BC-4032-A7C4-8359E39D5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54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2673</xdr:row>
      <xdr:rowOff>0</xdr:rowOff>
    </xdr:from>
    <xdr:to>
      <xdr:col>0</xdr:col>
      <xdr:colOff>9525</xdr:colOff>
      <xdr:row>2673</xdr:row>
      <xdr:rowOff>9525</xdr:rowOff>
    </xdr:to>
    <xdr:pic>
      <xdr:nvPicPr>
        <xdr:cNvPr id="1480" name="Obraz 1479">
          <a:extLst>
            <a:ext uri="{FF2B5EF4-FFF2-40B4-BE49-F238E27FC236}">
              <a16:creationId xmlns:a16="http://schemas.microsoft.com/office/drawing/2014/main" id="{E9C325BC-7A0D-4794-B00B-3AEDF1DB7C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30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2674</xdr:row>
      <xdr:rowOff>0</xdr:rowOff>
    </xdr:from>
    <xdr:to>
      <xdr:col>0</xdr:col>
      <xdr:colOff>9525</xdr:colOff>
      <xdr:row>2674</xdr:row>
      <xdr:rowOff>9525</xdr:rowOff>
    </xdr:to>
    <xdr:pic>
      <xdr:nvPicPr>
        <xdr:cNvPr id="1481" name="Obraz 1480">
          <a:extLst>
            <a:ext uri="{FF2B5EF4-FFF2-40B4-BE49-F238E27FC236}">
              <a16:creationId xmlns:a16="http://schemas.microsoft.com/office/drawing/2014/main" id="{41F785EC-83E9-4633-9D80-EF937B9810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939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2679</xdr:row>
      <xdr:rowOff>0</xdr:rowOff>
    </xdr:from>
    <xdr:to>
      <xdr:col>0</xdr:col>
      <xdr:colOff>9525</xdr:colOff>
      <xdr:row>2679</xdr:row>
      <xdr:rowOff>9525</xdr:rowOff>
    </xdr:to>
    <xdr:pic>
      <xdr:nvPicPr>
        <xdr:cNvPr id="1482" name="Obraz 1481">
          <a:extLst>
            <a:ext uri="{FF2B5EF4-FFF2-40B4-BE49-F238E27FC236}">
              <a16:creationId xmlns:a16="http://schemas.microsoft.com/office/drawing/2014/main" id="{EEB010EA-07E4-4A06-B330-BE2620B9D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54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2682</xdr:row>
      <xdr:rowOff>0</xdr:rowOff>
    </xdr:from>
    <xdr:to>
      <xdr:col>0</xdr:col>
      <xdr:colOff>9525</xdr:colOff>
      <xdr:row>2682</xdr:row>
      <xdr:rowOff>9525</xdr:rowOff>
    </xdr:to>
    <xdr:pic>
      <xdr:nvPicPr>
        <xdr:cNvPr id="1483" name="Obraz 1482">
          <a:extLst>
            <a:ext uri="{FF2B5EF4-FFF2-40B4-BE49-F238E27FC236}">
              <a16:creationId xmlns:a16="http://schemas.microsoft.com/office/drawing/2014/main" id="{2EA8D9E4-0B22-4C7A-A974-2F2F2D436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130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2685</xdr:row>
      <xdr:rowOff>0</xdr:rowOff>
    </xdr:from>
    <xdr:to>
      <xdr:col>0</xdr:col>
      <xdr:colOff>9525</xdr:colOff>
      <xdr:row>2685</xdr:row>
      <xdr:rowOff>9525</xdr:rowOff>
    </xdr:to>
    <xdr:pic>
      <xdr:nvPicPr>
        <xdr:cNvPr id="1484" name="Obraz 1483">
          <a:extLst>
            <a:ext uri="{FF2B5EF4-FFF2-40B4-BE49-F238E27FC236}">
              <a16:creationId xmlns:a16="http://schemas.microsoft.com/office/drawing/2014/main" id="{9D174BFA-EE2C-4689-A4C2-FCCAB686C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06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2685</xdr:row>
      <xdr:rowOff>0</xdr:rowOff>
    </xdr:from>
    <xdr:to>
      <xdr:col>0</xdr:col>
      <xdr:colOff>9525</xdr:colOff>
      <xdr:row>2685</xdr:row>
      <xdr:rowOff>9525</xdr:rowOff>
    </xdr:to>
    <xdr:pic>
      <xdr:nvPicPr>
        <xdr:cNvPr id="1485" name="Obraz 1484">
          <a:extLst>
            <a:ext uri="{FF2B5EF4-FFF2-40B4-BE49-F238E27FC236}">
              <a16:creationId xmlns:a16="http://schemas.microsoft.com/office/drawing/2014/main" id="{327F2C47-B0D0-4949-AE3F-D9C816451D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44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2687</xdr:row>
      <xdr:rowOff>0</xdr:rowOff>
    </xdr:from>
    <xdr:to>
      <xdr:col>0</xdr:col>
      <xdr:colOff>9525</xdr:colOff>
      <xdr:row>2687</xdr:row>
      <xdr:rowOff>9525</xdr:rowOff>
    </xdr:to>
    <xdr:pic>
      <xdr:nvPicPr>
        <xdr:cNvPr id="1486" name="Obraz 1485">
          <a:extLst>
            <a:ext uri="{FF2B5EF4-FFF2-40B4-BE49-F238E27FC236}">
              <a16:creationId xmlns:a16="http://schemas.microsoft.com/office/drawing/2014/main" id="{B7672E69-A3FA-4CA4-B4F0-B1234E680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01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2690</xdr:row>
      <xdr:rowOff>0</xdr:rowOff>
    </xdr:from>
    <xdr:to>
      <xdr:col>0</xdr:col>
      <xdr:colOff>9525</xdr:colOff>
      <xdr:row>2690</xdr:row>
      <xdr:rowOff>9525</xdr:rowOff>
    </xdr:to>
    <xdr:pic>
      <xdr:nvPicPr>
        <xdr:cNvPr id="1487" name="Obraz 1486">
          <a:extLst>
            <a:ext uri="{FF2B5EF4-FFF2-40B4-BE49-F238E27FC236}">
              <a16:creationId xmlns:a16="http://schemas.microsoft.com/office/drawing/2014/main" id="{AD54B35A-D1FA-49B9-AAF0-DEED0CAA0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377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2694</xdr:row>
      <xdr:rowOff>0</xdr:rowOff>
    </xdr:from>
    <xdr:to>
      <xdr:col>0</xdr:col>
      <xdr:colOff>9525</xdr:colOff>
      <xdr:row>2694</xdr:row>
      <xdr:rowOff>9525</xdr:rowOff>
    </xdr:to>
    <xdr:pic>
      <xdr:nvPicPr>
        <xdr:cNvPr id="1488" name="Obraz 1487">
          <a:extLst>
            <a:ext uri="{FF2B5EF4-FFF2-40B4-BE49-F238E27FC236}">
              <a16:creationId xmlns:a16="http://schemas.microsoft.com/office/drawing/2014/main" id="{A1CED88B-D221-4B87-8CB3-CE0434C55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73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2697</xdr:row>
      <xdr:rowOff>0</xdr:rowOff>
    </xdr:from>
    <xdr:to>
      <xdr:col>0</xdr:col>
      <xdr:colOff>9525</xdr:colOff>
      <xdr:row>2697</xdr:row>
      <xdr:rowOff>9525</xdr:rowOff>
    </xdr:to>
    <xdr:pic>
      <xdr:nvPicPr>
        <xdr:cNvPr id="1489" name="Obraz 1488">
          <a:extLst>
            <a:ext uri="{FF2B5EF4-FFF2-40B4-BE49-F238E27FC236}">
              <a16:creationId xmlns:a16="http://schemas.microsoft.com/office/drawing/2014/main" id="{B0658355-D358-4E2D-877A-04E71C8F6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49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2699</xdr:row>
      <xdr:rowOff>0</xdr:rowOff>
    </xdr:from>
    <xdr:to>
      <xdr:col>0</xdr:col>
      <xdr:colOff>9525</xdr:colOff>
      <xdr:row>2699</xdr:row>
      <xdr:rowOff>9525</xdr:rowOff>
    </xdr:to>
    <xdr:pic>
      <xdr:nvPicPr>
        <xdr:cNvPr id="1460" name="Obraz 1459">
          <a:extLst>
            <a:ext uri="{FF2B5EF4-FFF2-40B4-BE49-F238E27FC236}">
              <a16:creationId xmlns:a16="http://schemas.microsoft.com/office/drawing/2014/main" id="{199DE10E-A8C9-43F0-94F9-1A6BE818C6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15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2702</xdr:row>
      <xdr:rowOff>0</xdr:rowOff>
    </xdr:from>
    <xdr:to>
      <xdr:col>0</xdr:col>
      <xdr:colOff>9525</xdr:colOff>
      <xdr:row>2702</xdr:row>
      <xdr:rowOff>9525</xdr:rowOff>
    </xdr:to>
    <xdr:pic>
      <xdr:nvPicPr>
        <xdr:cNvPr id="1490" name="Obraz 1489">
          <a:extLst>
            <a:ext uri="{FF2B5EF4-FFF2-40B4-BE49-F238E27FC236}">
              <a16:creationId xmlns:a16="http://schemas.microsoft.com/office/drawing/2014/main" id="{C87BB9CB-3B7A-4051-9475-2B15696BC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92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2706</xdr:row>
      <xdr:rowOff>0</xdr:rowOff>
    </xdr:from>
    <xdr:to>
      <xdr:col>0</xdr:col>
      <xdr:colOff>9525</xdr:colOff>
      <xdr:row>2706</xdr:row>
      <xdr:rowOff>9525</xdr:rowOff>
    </xdr:to>
    <xdr:pic>
      <xdr:nvPicPr>
        <xdr:cNvPr id="1491" name="Obraz 1490">
          <a:extLst>
            <a:ext uri="{FF2B5EF4-FFF2-40B4-BE49-F238E27FC236}">
              <a16:creationId xmlns:a16="http://schemas.microsoft.com/office/drawing/2014/main" id="{05801AF5-2465-4FFE-9B01-750187ECD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587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2710</xdr:row>
      <xdr:rowOff>0</xdr:rowOff>
    </xdr:from>
    <xdr:to>
      <xdr:col>0</xdr:col>
      <xdr:colOff>9525</xdr:colOff>
      <xdr:row>2710</xdr:row>
      <xdr:rowOff>9525</xdr:rowOff>
    </xdr:to>
    <xdr:pic>
      <xdr:nvPicPr>
        <xdr:cNvPr id="1492" name="Obraz 1491">
          <a:extLst>
            <a:ext uri="{FF2B5EF4-FFF2-40B4-BE49-F238E27FC236}">
              <a16:creationId xmlns:a16="http://schemas.microsoft.com/office/drawing/2014/main" id="{AC8008F6-8258-457D-B53C-084250D8E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25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2713</xdr:row>
      <xdr:rowOff>0</xdr:rowOff>
    </xdr:from>
    <xdr:to>
      <xdr:col>0</xdr:col>
      <xdr:colOff>9525</xdr:colOff>
      <xdr:row>2713</xdr:row>
      <xdr:rowOff>9525</xdr:rowOff>
    </xdr:to>
    <xdr:pic>
      <xdr:nvPicPr>
        <xdr:cNvPr id="1493" name="Obraz 1492">
          <a:extLst>
            <a:ext uri="{FF2B5EF4-FFF2-40B4-BE49-F238E27FC236}">
              <a16:creationId xmlns:a16="http://schemas.microsoft.com/office/drawing/2014/main" id="{4ECF4BDF-2CC6-4447-8326-EAD6D9424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01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2717</xdr:row>
      <xdr:rowOff>0</xdr:rowOff>
    </xdr:from>
    <xdr:to>
      <xdr:col>0</xdr:col>
      <xdr:colOff>9525</xdr:colOff>
      <xdr:row>2717</xdr:row>
      <xdr:rowOff>9525</xdr:rowOff>
    </xdr:to>
    <xdr:pic>
      <xdr:nvPicPr>
        <xdr:cNvPr id="1494" name="Obraz 1493">
          <a:extLst>
            <a:ext uri="{FF2B5EF4-FFF2-40B4-BE49-F238E27FC236}">
              <a16:creationId xmlns:a16="http://schemas.microsoft.com/office/drawing/2014/main" id="{97833BA8-953D-4A38-B8E3-EC288BEBC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796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2721</xdr:row>
      <xdr:rowOff>0</xdr:rowOff>
    </xdr:from>
    <xdr:to>
      <xdr:col>0</xdr:col>
      <xdr:colOff>9525</xdr:colOff>
      <xdr:row>2721</xdr:row>
      <xdr:rowOff>9525</xdr:rowOff>
    </xdr:to>
    <xdr:pic>
      <xdr:nvPicPr>
        <xdr:cNvPr id="1495" name="Obraz 1494">
          <a:extLst>
            <a:ext uri="{FF2B5EF4-FFF2-40B4-BE49-F238E27FC236}">
              <a16:creationId xmlns:a16="http://schemas.microsoft.com/office/drawing/2014/main" id="{3BF4DC42-2CC4-4353-A303-5FEC90C484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35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2724</xdr:row>
      <xdr:rowOff>0</xdr:rowOff>
    </xdr:from>
    <xdr:to>
      <xdr:col>0</xdr:col>
      <xdr:colOff>9525</xdr:colOff>
      <xdr:row>2724</xdr:row>
      <xdr:rowOff>9525</xdr:rowOff>
    </xdr:to>
    <xdr:pic>
      <xdr:nvPicPr>
        <xdr:cNvPr id="1496" name="Obraz 1495">
          <a:extLst>
            <a:ext uri="{FF2B5EF4-FFF2-40B4-BE49-F238E27FC236}">
              <a16:creationId xmlns:a16="http://schemas.microsoft.com/office/drawing/2014/main" id="{6A282487-A969-4D6F-9F04-3FBCC96DA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11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2728</xdr:row>
      <xdr:rowOff>0</xdr:rowOff>
    </xdr:from>
    <xdr:to>
      <xdr:col>0</xdr:col>
      <xdr:colOff>9525</xdr:colOff>
      <xdr:row>2728</xdr:row>
      <xdr:rowOff>9525</xdr:rowOff>
    </xdr:to>
    <xdr:pic>
      <xdr:nvPicPr>
        <xdr:cNvPr id="1497" name="Obraz 1496">
          <a:extLst>
            <a:ext uri="{FF2B5EF4-FFF2-40B4-BE49-F238E27FC236}">
              <a16:creationId xmlns:a16="http://schemas.microsoft.com/office/drawing/2014/main" id="{2B0AAF5C-B25A-41BD-8B3B-25EB35B25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06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2732</xdr:row>
      <xdr:rowOff>0</xdr:rowOff>
    </xdr:from>
    <xdr:to>
      <xdr:col>0</xdr:col>
      <xdr:colOff>9525</xdr:colOff>
      <xdr:row>2732</xdr:row>
      <xdr:rowOff>9525</xdr:rowOff>
    </xdr:to>
    <xdr:pic>
      <xdr:nvPicPr>
        <xdr:cNvPr id="1498" name="Obraz 1497">
          <a:extLst>
            <a:ext uri="{FF2B5EF4-FFF2-40B4-BE49-F238E27FC236}">
              <a16:creationId xmlns:a16="http://schemas.microsoft.com/office/drawing/2014/main" id="{2FF3A4A3-A27F-49F2-98EC-693C075EF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44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2735</xdr:row>
      <xdr:rowOff>0</xdr:rowOff>
    </xdr:from>
    <xdr:to>
      <xdr:col>0</xdr:col>
      <xdr:colOff>9525</xdr:colOff>
      <xdr:row>2735</xdr:row>
      <xdr:rowOff>9525</xdr:rowOff>
    </xdr:to>
    <xdr:pic>
      <xdr:nvPicPr>
        <xdr:cNvPr id="1499" name="Obraz 1498">
          <a:extLst>
            <a:ext uri="{FF2B5EF4-FFF2-40B4-BE49-F238E27FC236}">
              <a16:creationId xmlns:a16="http://schemas.microsoft.com/office/drawing/2014/main" id="{CADB9CE1-4F2C-4BD9-86C6-E11E007F4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120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2739</xdr:row>
      <xdr:rowOff>0</xdr:rowOff>
    </xdr:from>
    <xdr:to>
      <xdr:col>0</xdr:col>
      <xdr:colOff>9525</xdr:colOff>
      <xdr:row>2739</xdr:row>
      <xdr:rowOff>9525</xdr:rowOff>
    </xdr:to>
    <xdr:pic>
      <xdr:nvPicPr>
        <xdr:cNvPr id="1500" name="Obraz 1499">
          <a:extLst>
            <a:ext uri="{FF2B5EF4-FFF2-40B4-BE49-F238E27FC236}">
              <a16:creationId xmlns:a16="http://schemas.microsoft.com/office/drawing/2014/main" id="{9FDA4868-8DE5-4531-AB15-ED7224EAF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16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2743</xdr:row>
      <xdr:rowOff>0</xdr:rowOff>
    </xdr:from>
    <xdr:to>
      <xdr:col>0</xdr:col>
      <xdr:colOff>9525</xdr:colOff>
      <xdr:row>2743</xdr:row>
      <xdr:rowOff>9525</xdr:rowOff>
    </xdr:to>
    <xdr:pic>
      <xdr:nvPicPr>
        <xdr:cNvPr id="1501" name="Obraz 1500">
          <a:extLst>
            <a:ext uri="{FF2B5EF4-FFF2-40B4-BE49-F238E27FC236}">
              <a16:creationId xmlns:a16="http://schemas.microsoft.com/office/drawing/2014/main" id="{212B5C67-438A-4F9B-8392-06B0AE016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54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2746</xdr:row>
      <xdr:rowOff>0</xdr:rowOff>
    </xdr:from>
    <xdr:to>
      <xdr:col>0</xdr:col>
      <xdr:colOff>9525</xdr:colOff>
      <xdr:row>2746</xdr:row>
      <xdr:rowOff>9525</xdr:rowOff>
    </xdr:to>
    <xdr:pic>
      <xdr:nvPicPr>
        <xdr:cNvPr id="1502" name="Obraz 1501">
          <a:extLst>
            <a:ext uri="{FF2B5EF4-FFF2-40B4-BE49-F238E27FC236}">
              <a16:creationId xmlns:a16="http://schemas.microsoft.com/office/drawing/2014/main" id="{B0C1A639-773D-4331-884D-CB3CBF74EB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330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2750</xdr:row>
      <xdr:rowOff>0</xdr:rowOff>
    </xdr:from>
    <xdr:to>
      <xdr:col>0</xdr:col>
      <xdr:colOff>9525</xdr:colOff>
      <xdr:row>2750</xdr:row>
      <xdr:rowOff>9525</xdr:rowOff>
    </xdr:to>
    <xdr:pic>
      <xdr:nvPicPr>
        <xdr:cNvPr id="1503" name="Obraz 1502">
          <a:extLst>
            <a:ext uri="{FF2B5EF4-FFF2-40B4-BE49-F238E27FC236}">
              <a16:creationId xmlns:a16="http://schemas.microsoft.com/office/drawing/2014/main" id="{89150A1F-E7CB-4848-8B32-C6D0D8BB1D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25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2754</xdr:row>
      <xdr:rowOff>0</xdr:rowOff>
    </xdr:from>
    <xdr:to>
      <xdr:col>0</xdr:col>
      <xdr:colOff>9525</xdr:colOff>
      <xdr:row>2754</xdr:row>
      <xdr:rowOff>9525</xdr:rowOff>
    </xdr:to>
    <xdr:pic>
      <xdr:nvPicPr>
        <xdr:cNvPr id="1504" name="Obraz 1503">
          <a:extLst>
            <a:ext uri="{FF2B5EF4-FFF2-40B4-BE49-F238E27FC236}">
              <a16:creationId xmlns:a16="http://schemas.microsoft.com/office/drawing/2014/main" id="{F2506A5C-A3A8-49FF-8AB8-98C903E5D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63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2758</xdr:row>
      <xdr:rowOff>0</xdr:rowOff>
    </xdr:from>
    <xdr:to>
      <xdr:col>0</xdr:col>
      <xdr:colOff>9525</xdr:colOff>
      <xdr:row>2758</xdr:row>
      <xdr:rowOff>9525</xdr:rowOff>
    </xdr:to>
    <xdr:pic>
      <xdr:nvPicPr>
        <xdr:cNvPr id="1505" name="Obraz 1504">
          <a:extLst>
            <a:ext uri="{FF2B5EF4-FFF2-40B4-BE49-F238E27FC236}">
              <a16:creationId xmlns:a16="http://schemas.microsoft.com/office/drawing/2014/main" id="{86B4745C-DC5A-40BA-AFA1-8B7DE7A05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558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2761</xdr:row>
      <xdr:rowOff>0</xdr:rowOff>
    </xdr:from>
    <xdr:to>
      <xdr:col>0</xdr:col>
      <xdr:colOff>9525</xdr:colOff>
      <xdr:row>2761</xdr:row>
      <xdr:rowOff>9525</xdr:rowOff>
    </xdr:to>
    <xdr:pic>
      <xdr:nvPicPr>
        <xdr:cNvPr id="1506" name="Obraz 1505">
          <a:extLst>
            <a:ext uri="{FF2B5EF4-FFF2-40B4-BE49-F238E27FC236}">
              <a16:creationId xmlns:a16="http://schemas.microsoft.com/office/drawing/2014/main" id="{681E963F-FAE9-4CFA-97C1-CEB1A6E44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35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2765</xdr:row>
      <xdr:rowOff>0</xdr:rowOff>
    </xdr:from>
    <xdr:to>
      <xdr:col>0</xdr:col>
      <xdr:colOff>9525</xdr:colOff>
      <xdr:row>2765</xdr:row>
      <xdr:rowOff>9525</xdr:rowOff>
    </xdr:to>
    <xdr:pic>
      <xdr:nvPicPr>
        <xdr:cNvPr id="1507" name="Obraz 1506">
          <a:extLst>
            <a:ext uri="{FF2B5EF4-FFF2-40B4-BE49-F238E27FC236}">
              <a16:creationId xmlns:a16="http://schemas.microsoft.com/office/drawing/2014/main" id="{76612E4C-4DA7-4EB9-BD5E-4BF7012DF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730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2769</xdr:row>
      <xdr:rowOff>0</xdr:rowOff>
    </xdr:from>
    <xdr:to>
      <xdr:col>0</xdr:col>
      <xdr:colOff>9525</xdr:colOff>
      <xdr:row>2769</xdr:row>
      <xdr:rowOff>9525</xdr:rowOff>
    </xdr:to>
    <xdr:pic>
      <xdr:nvPicPr>
        <xdr:cNvPr id="1508" name="Obraz 1507">
          <a:extLst>
            <a:ext uri="{FF2B5EF4-FFF2-40B4-BE49-F238E27FC236}">
              <a16:creationId xmlns:a16="http://schemas.microsoft.com/office/drawing/2014/main" id="{574B9930-C6C2-4B6D-AC14-8A0B358BD2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25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2772</xdr:row>
      <xdr:rowOff>0</xdr:rowOff>
    </xdr:from>
    <xdr:to>
      <xdr:col>0</xdr:col>
      <xdr:colOff>9525</xdr:colOff>
      <xdr:row>2772</xdr:row>
      <xdr:rowOff>9525</xdr:rowOff>
    </xdr:to>
    <xdr:pic>
      <xdr:nvPicPr>
        <xdr:cNvPr id="1509" name="Obraz 1508">
          <a:extLst>
            <a:ext uri="{FF2B5EF4-FFF2-40B4-BE49-F238E27FC236}">
              <a16:creationId xmlns:a16="http://schemas.microsoft.com/office/drawing/2014/main" id="{0A5A0F16-6007-46EC-BDAA-47E59954CF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01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2776</xdr:row>
      <xdr:rowOff>0</xdr:rowOff>
    </xdr:from>
    <xdr:to>
      <xdr:col>0</xdr:col>
      <xdr:colOff>9525</xdr:colOff>
      <xdr:row>2776</xdr:row>
      <xdr:rowOff>9525</xdr:rowOff>
    </xdr:to>
    <xdr:pic>
      <xdr:nvPicPr>
        <xdr:cNvPr id="1510" name="Obraz 1509">
          <a:extLst>
            <a:ext uri="{FF2B5EF4-FFF2-40B4-BE49-F238E27FC236}">
              <a16:creationId xmlns:a16="http://schemas.microsoft.com/office/drawing/2014/main" id="{6C1D547B-AA1A-4542-AD2C-ADE07A36F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82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2780</xdr:row>
      <xdr:rowOff>0</xdr:rowOff>
    </xdr:from>
    <xdr:to>
      <xdr:col>0</xdr:col>
      <xdr:colOff>9525</xdr:colOff>
      <xdr:row>2780</xdr:row>
      <xdr:rowOff>9525</xdr:rowOff>
    </xdr:to>
    <xdr:pic>
      <xdr:nvPicPr>
        <xdr:cNvPr id="1511" name="Obraz 1510">
          <a:extLst>
            <a:ext uri="{FF2B5EF4-FFF2-40B4-BE49-F238E27FC236}">
              <a16:creationId xmlns:a16="http://schemas.microsoft.com/office/drawing/2014/main" id="{E1826F5B-D2B3-4675-BC9E-E31F3107D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978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2783</xdr:row>
      <xdr:rowOff>0</xdr:rowOff>
    </xdr:from>
    <xdr:to>
      <xdr:col>0</xdr:col>
      <xdr:colOff>9525</xdr:colOff>
      <xdr:row>2783</xdr:row>
      <xdr:rowOff>9525</xdr:rowOff>
    </xdr:to>
    <xdr:pic>
      <xdr:nvPicPr>
        <xdr:cNvPr id="1512" name="Obraz 1511">
          <a:extLst>
            <a:ext uri="{FF2B5EF4-FFF2-40B4-BE49-F238E27FC236}">
              <a16:creationId xmlns:a16="http://schemas.microsoft.com/office/drawing/2014/main" id="{94E3D459-9576-4578-A594-393333B69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54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2786</xdr:row>
      <xdr:rowOff>0</xdr:rowOff>
    </xdr:from>
    <xdr:to>
      <xdr:col>0</xdr:col>
      <xdr:colOff>9525</xdr:colOff>
      <xdr:row>2786</xdr:row>
      <xdr:rowOff>9525</xdr:rowOff>
    </xdr:to>
    <xdr:pic>
      <xdr:nvPicPr>
        <xdr:cNvPr id="1513" name="Obraz 1512">
          <a:extLst>
            <a:ext uri="{FF2B5EF4-FFF2-40B4-BE49-F238E27FC236}">
              <a16:creationId xmlns:a16="http://schemas.microsoft.com/office/drawing/2014/main" id="{34FDCC52-511F-4B58-9DD2-02CED2F14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30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2786</xdr:row>
      <xdr:rowOff>0</xdr:rowOff>
    </xdr:from>
    <xdr:to>
      <xdr:col>0</xdr:col>
      <xdr:colOff>9525</xdr:colOff>
      <xdr:row>2786</xdr:row>
      <xdr:rowOff>9525</xdr:rowOff>
    </xdr:to>
    <xdr:pic>
      <xdr:nvPicPr>
        <xdr:cNvPr id="1514" name="Obraz 1513">
          <a:extLst>
            <a:ext uri="{FF2B5EF4-FFF2-40B4-BE49-F238E27FC236}">
              <a16:creationId xmlns:a16="http://schemas.microsoft.com/office/drawing/2014/main" id="{346287BA-CF7D-4AD3-BAC2-7D783356A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168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2788</xdr:row>
      <xdr:rowOff>0</xdr:rowOff>
    </xdr:from>
    <xdr:to>
      <xdr:col>0</xdr:col>
      <xdr:colOff>9525</xdr:colOff>
      <xdr:row>2788</xdr:row>
      <xdr:rowOff>9525</xdr:rowOff>
    </xdr:to>
    <xdr:pic>
      <xdr:nvPicPr>
        <xdr:cNvPr id="1515" name="Obraz 1514">
          <a:extLst>
            <a:ext uri="{FF2B5EF4-FFF2-40B4-BE49-F238E27FC236}">
              <a16:creationId xmlns:a16="http://schemas.microsoft.com/office/drawing/2014/main" id="{BD66B40E-75EC-48CE-A4AF-62CF2DCE4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25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2791</xdr:row>
      <xdr:rowOff>0</xdr:rowOff>
    </xdr:from>
    <xdr:to>
      <xdr:col>0</xdr:col>
      <xdr:colOff>9525</xdr:colOff>
      <xdr:row>2791</xdr:row>
      <xdr:rowOff>9525</xdr:rowOff>
    </xdr:to>
    <xdr:pic>
      <xdr:nvPicPr>
        <xdr:cNvPr id="1516" name="Obraz 1515">
          <a:extLst>
            <a:ext uri="{FF2B5EF4-FFF2-40B4-BE49-F238E27FC236}">
              <a16:creationId xmlns:a16="http://schemas.microsoft.com/office/drawing/2014/main" id="{CD7C91F3-5656-468E-816C-243BCE9DE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01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2796</xdr:row>
      <xdr:rowOff>0</xdr:rowOff>
    </xdr:from>
    <xdr:to>
      <xdr:col>0</xdr:col>
      <xdr:colOff>9525</xdr:colOff>
      <xdr:row>2796</xdr:row>
      <xdr:rowOff>9525</xdr:rowOff>
    </xdr:to>
    <xdr:pic>
      <xdr:nvPicPr>
        <xdr:cNvPr id="1517" name="Obraz 1516">
          <a:extLst>
            <a:ext uri="{FF2B5EF4-FFF2-40B4-BE49-F238E27FC236}">
              <a16:creationId xmlns:a16="http://schemas.microsoft.com/office/drawing/2014/main" id="{5307C036-1961-4F79-BED0-C7E806BB6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16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2798</xdr:row>
      <xdr:rowOff>0</xdr:rowOff>
    </xdr:from>
    <xdr:to>
      <xdr:col>0</xdr:col>
      <xdr:colOff>9525</xdr:colOff>
      <xdr:row>2798</xdr:row>
      <xdr:rowOff>9525</xdr:rowOff>
    </xdr:to>
    <xdr:pic>
      <xdr:nvPicPr>
        <xdr:cNvPr id="1518" name="Obraz 1517">
          <a:extLst>
            <a:ext uri="{FF2B5EF4-FFF2-40B4-BE49-F238E27FC236}">
              <a16:creationId xmlns:a16="http://schemas.microsoft.com/office/drawing/2014/main" id="{6D27AD2B-0E78-4020-9ADA-6C8F88B8E1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73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2799</xdr:row>
      <xdr:rowOff>0</xdr:rowOff>
    </xdr:from>
    <xdr:to>
      <xdr:col>0</xdr:col>
      <xdr:colOff>9525</xdr:colOff>
      <xdr:row>2799</xdr:row>
      <xdr:rowOff>9525</xdr:rowOff>
    </xdr:to>
    <xdr:pic>
      <xdr:nvPicPr>
        <xdr:cNvPr id="1519" name="Obraz 1518">
          <a:extLst>
            <a:ext uri="{FF2B5EF4-FFF2-40B4-BE49-F238E27FC236}">
              <a16:creationId xmlns:a16="http://schemas.microsoft.com/office/drawing/2014/main" id="{D7363AAC-B28A-4C30-9AE4-3C572B8DD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20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2802</xdr:row>
      <xdr:rowOff>0</xdr:rowOff>
    </xdr:from>
    <xdr:to>
      <xdr:col>0</xdr:col>
      <xdr:colOff>9525</xdr:colOff>
      <xdr:row>2802</xdr:row>
      <xdr:rowOff>9525</xdr:rowOff>
    </xdr:to>
    <xdr:pic>
      <xdr:nvPicPr>
        <xdr:cNvPr id="1520" name="Obraz 1519">
          <a:extLst>
            <a:ext uri="{FF2B5EF4-FFF2-40B4-BE49-F238E27FC236}">
              <a16:creationId xmlns:a16="http://schemas.microsoft.com/office/drawing/2014/main" id="{1FA28014-B4BD-4F58-B97F-A92BBA339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39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2806</xdr:row>
      <xdr:rowOff>0</xdr:rowOff>
    </xdr:from>
    <xdr:to>
      <xdr:col>0</xdr:col>
      <xdr:colOff>9525</xdr:colOff>
      <xdr:row>2806</xdr:row>
      <xdr:rowOff>9525</xdr:rowOff>
    </xdr:to>
    <xdr:pic>
      <xdr:nvPicPr>
        <xdr:cNvPr id="1521" name="Obraz 1520">
          <a:extLst>
            <a:ext uri="{FF2B5EF4-FFF2-40B4-BE49-F238E27FC236}">
              <a16:creationId xmlns:a16="http://schemas.microsoft.com/office/drawing/2014/main" id="{30E01B14-46F4-4712-8D25-8046E2623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92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2809</xdr:row>
      <xdr:rowOff>0</xdr:rowOff>
    </xdr:from>
    <xdr:to>
      <xdr:col>0</xdr:col>
      <xdr:colOff>9525</xdr:colOff>
      <xdr:row>2809</xdr:row>
      <xdr:rowOff>9525</xdr:rowOff>
    </xdr:to>
    <xdr:pic>
      <xdr:nvPicPr>
        <xdr:cNvPr id="1522" name="Obraz 1521">
          <a:extLst>
            <a:ext uri="{FF2B5EF4-FFF2-40B4-BE49-F238E27FC236}">
              <a16:creationId xmlns:a16="http://schemas.microsoft.com/office/drawing/2014/main" id="{44521018-BD19-4468-B72F-E042D2B23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68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2809</xdr:row>
      <xdr:rowOff>0</xdr:rowOff>
    </xdr:from>
    <xdr:to>
      <xdr:col>0</xdr:col>
      <xdr:colOff>9525</xdr:colOff>
      <xdr:row>2809</xdr:row>
      <xdr:rowOff>9525</xdr:rowOff>
    </xdr:to>
    <xdr:pic>
      <xdr:nvPicPr>
        <xdr:cNvPr id="1523" name="Obraz 1522">
          <a:extLst>
            <a:ext uri="{FF2B5EF4-FFF2-40B4-BE49-F238E27FC236}">
              <a16:creationId xmlns:a16="http://schemas.microsoft.com/office/drawing/2014/main" id="{5FF7BBEB-8540-46E7-8B2E-54EAE1C56A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06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2811</xdr:row>
      <xdr:rowOff>0</xdr:rowOff>
    </xdr:from>
    <xdr:to>
      <xdr:col>0</xdr:col>
      <xdr:colOff>9525</xdr:colOff>
      <xdr:row>2811</xdr:row>
      <xdr:rowOff>9525</xdr:rowOff>
    </xdr:to>
    <xdr:pic>
      <xdr:nvPicPr>
        <xdr:cNvPr id="1524" name="Obraz 1523">
          <a:extLst>
            <a:ext uri="{FF2B5EF4-FFF2-40B4-BE49-F238E27FC236}">
              <a16:creationId xmlns:a16="http://schemas.microsoft.com/office/drawing/2014/main" id="{BA66E542-D629-43F5-B168-880DA4340B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63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2815</xdr:row>
      <xdr:rowOff>0</xdr:rowOff>
    </xdr:from>
    <xdr:to>
      <xdr:col>0</xdr:col>
      <xdr:colOff>9525</xdr:colOff>
      <xdr:row>2815</xdr:row>
      <xdr:rowOff>9525</xdr:rowOff>
    </xdr:to>
    <xdr:pic>
      <xdr:nvPicPr>
        <xdr:cNvPr id="1525" name="Obraz 1524">
          <a:extLst>
            <a:ext uri="{FF2B5EF4-FFF2-40B4-BE49-F238E27FC236}">
              <a16:creationId xmlns:a16="http://schemas.microsoft.com/office/drawing/2014/main" id="{E9F63EFA-85AA-4649-A861-69406B679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59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2818</xdr:row>
      <xdr:rowOff>0</xdr:rowOff>
    </xdr:from>
    <xdr:to>
      <xdr:col>0</xdr:col>
      <xdr:colOff>9525</xdr:colOff>
      <xdr:row>2818</xdr:row>
      <xdr:rowOff>9525</xdr:rowOff>
    </xdr:to>
    <xdr:pic>
      <xdr:nvPicPr>
        <xdr:cNvPr id="1526" name="Obraz 1525">
          <a:extLst>
            <a:ext uri="{FF2B5EF4-FFF2-40B4-BE49-F238E27FC236}">
              <a16:creationId xmlns:a16="http://schemas.microsoft.com/office/drawing/2014/main" id="{39D2F3D0-A82E-4B0A-A7FA-1D4C496B04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35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2821</xdr:row>
      <xdr:rowOff>0</xdr:rowOff>
    </xdr:from>
    <xdr:to>
      <xdr:col>0</xdr:col>
      <xdr:colOff>9525</xdr:colOff>
      <xdr:row>2821</xdr:row>
      <xdr:rowOff>9525</xdr:rowOff>
    </xdr:to>
    <xdr:pic>
      <xdr:nvPicPr>
        <xdr:cNvPr id="1527" name="Obraz 1526">
          <a:extLst>
            <a:ext uri="{FF2B5EF4-FFF2-40B4-BE49-F238E27FC236}">
              <a16:creationId xmlns:a16="http://schemas.microsoft.com/office/drawing/2014/main" id="{7808A5B0-6DD1-4A15-9AF6-13AEB499A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11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2822</xdr:row>
      <xdr:rowOff>0</xdr:rowOff>
    </xdr:from>
    <xdr:to>
      <xdr:col>0</xdr:col>
      <xdr:colOff>9525</xdr:colOff>
      <xdr:row>2822</xdr:row>
      <xdr:rowOff>9525</xdr:rowOff>
    </xdr:to>
    <xdr:pic>
      <xdr:nvPicPr>
        <xdr:cNvPr id="1528" name="Obraz 1527">
          <a:extLst>
            <a:ext uri="{FF2B5EF4-FFF2-40B4-BE49-F238E27FC236}">
              <a16:creationId xmlns:a16="http://schemas.microsoft.com/office/drawing/2014/main" id="{E58F80C8-EA25-484C-85D1-8E5444584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49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2822</xdr:row>
      <xdr:rowOff>0</xdr:rowOff>
    </xdr:from>
    <xdr:to>
      <xdr:col>0</xdr:col>
      <xdr:colOff>9525</xdr:colOff>
      <xdr:row>2822</xdr:row>
      <xdr:rowOff>9525</xdr:rowOff>
    </xdr:to>
    <xdr:pic>
      <xdr:nvPicPr>
        <xdr:cNvPr id="1529" name="Obraz 1528">
          <a:extLst>
            <a:ext uri="{FF2B5EF4-FFF2-40B4-BE49-F238E27FC236}">
              <a16:creationId xmlns:a16="http://schemas.microsoft.com/office/drawing/2014/main" id="{E5910EA3-9A14-493B-9DEB-E0BEF996D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87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2823</xdr:row>
      <xdr:rowOff>0</xdr:rowOff>
    </xdr:from>
    <xdr:to>
      <xdr:col>0</xdr:col>
      <xdr:colOff>9525</xdr:colOff>
      <xdr:row>2823</xdr:row>
      <xdr:rowOff>9525</xdr:rowOff>
    </xdr:to>
    <xdr:pic>
      <xdr:nvPicPr>
        <xdr:cNvPr id="1530" name="Obraz 1529">
          <a:extLst>
            <a:ext uri="{FF2B5EF4-FFF2-40B4-BE49-F238E27FC236}">
              <a16:creationId xmlns:a16="http://schemas.microsoft.com/office/drawing/2014/main" id="{5072EA7A-D208-4E2C-97D2-7BBEB9072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25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2825</xdr:row>
      <xdr:rowOff>0</xdr:rowOff>
    </xdr:from>
    <xdr:to>
      <xdr:col>0</xdr:col>
      <xdr:colOff>9525</xdr:colOff>
      <xdr:row>2825</xdr:row>
      <xdr:rowOff>9525</xdr:rowOff>
    </xdr:to>
    <xdr:pic>
      <xdr:nvPicPr>
        <xdr:cNvPr id="1531" name="Obraz 1530">
          <a:extLst>
            <a:ext uri="{FF2B5EF4-FFF2-40B4-BE49-F238E27FC236}">
              <a16:creationId xmlns:a16="http://schemas.microsoft.com/office/drawing/2014/main" id="{0FECACA2-23E7-4850-A239-29E4A492B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16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2828</xdr:row>
      <xdr:rowOff>0</xdr:rowOff>
    </xdr:from>
    <xdr:to>
      <xdr:col>0</xdr:col>
      <xdr:colOff>9525</xdr:colOff>
      <xdr:row>2828</xdr:row>
      <xdr:rowOff>9525</xdr:rowOff>
    </xdr:to>
    <xdr:pic>
      <xdr:nvPicPr>
        <xdr:cNvPr id="1532" name="Obraz 1531">
          <a:extLst>
            <a:ext uri="{FF2B5EF4-FFF2-40B4-BE49-F238E27FC236}">
              <a16:creationId xmlns:a16="http://schemas.microsoft.com/office/drawing/2014/main" id="{2A0236C8-1E9F-4282-B194-EBFE277B94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92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2832</xdr:row>
      <xdr:rowOff>0</xdr:rowOff>
    </xdr:from>
    <xdr:to>
      <xdr:col>0</xdr:col>
      <xdr:colOff>9525</xdr:colOff>
      <xdr:row>2832</xdr:row>
      <xdr:rowOff>9525</xdr:rowOff>
    </xdr:to>
    <xdr:pic>
      <xdr:nvPicPr>
        <xdr:cNvPr id="1533" name="Obraz 1532">
          <a:extLst>
            <a:ext uri="{FF2B5EF4-FFF2-40B4-BE49-F238E27FC236}">
              <a16:creationId xmlns:a16="http://schemas.microsoft.com/office/drawing/2014/main" id="{779B0208-BEEE-4BCB-9646-B0AAFF8E51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87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2836</xdr:row>
      <xdr:rowOff>0</xdr:rowOff>
    </xdr:from>
    <xdr:to>
      <xdr:col>0</xdr:col>
      <xdr:colOff>9525</xdr:colOff>
      <xdr:row>2836</xdr:row>
      <xdr:rowOff>9525</xdr:rowOff>
    </xdr:to>
    <xdr:pic>
      <xdr:nvPicPr>
        <xdr:cNvPr id="1534" name="Obraz 1533">
          <a:extLst>
            <a:ext uri="{FF2B5EF4-FFF2-40B4-BE49-F238E27FC236}">
              <a16:creationId xmlns:a16="http://schemas.microsoft.com/office/drawing/2014/main" id="{D8B2E745-8D75-445F-B04E-18C6CA2A5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82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2839</xdr:row>
      <xdr:rowOff>0</xdr:rowOff>
    </xdr:from>
    <xdr:to>
      <xdr:col>0</xdr:col>
      <xdr:colOff>9525</xdr:colOff>
      <xdr:row>2839</xdr:row>
      <xdr:rowOff>9525</xdr:rowOff>
    </xdr:to>
    <xdr:pic>
      <xdr:nvPicPr>
        <xdr:cNvPr id="1535" name="Obraz 1534">
          <a:extLst>
            <a:ext uri="{FF2B5EF4-FFF2-40B4-BE49-F238E27FC236}">
              <a16:creationId xmlns:a16="http://schemas.microsoft.com/office/drawing/2014/main" id="{580BC627-B152-4958-A606-91F9F279C1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159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2844</xdr:row>
      <xdr:rowOff>0</xdr:rowOff>
    </xdr:from>
    <xdr:to>
      <xdr:col>0</xdr:col>
      <xdr:colOff>9525</xdr:colOff>
      <xdr:row>2844</xdr:row>
      <xdr:rowOff>9525</xdr:rowOff>
    </xdr:to>
    <xdr:pic>
      <xdr:nvPicPr>
        <xdr:cNvPr id="1536" name="Obraz 1535">
          <a:extLst>
            <a:ext uri="{FF2B5EF4-FFF2-40B4-BE49-F238E27FC236}">
              <a16:creationId xmlns:a16="http://schemas.microsoft.com/office/drawing/2014/main" id="{5DAE215A-A52D-4E82-8836-43746BF04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73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2846</xdr:row>
      <xdr:rowOff>0</xdr:rowOff>
    </xdr:from>
    <xdr:to>
      <xdr:col>0</xdr:col>
      <xdr:colOff>9525</xdr:colOff>
      <xdr:row>2846</xdr:row>
      <xdr:rowOff>9525</xdr:rowOff>
    </xdr:to>
    <xdr:pic>
      <xdr:nvPicPr>
        <xdr:cNvPr id="1537" name="Obraz 1536">
          <a:extLst>
            <a:ext uri="{FF2B5EF4-FFF2-40B4-BE49-F238E27FC236}">
              <a16:creationId xmlns:a16="http://schemas.microsoft.com/office/drawing/2014/main" id="{9B478C06-6865-4179-95A3-102E6AF7A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30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2846</xdr:row>
      <xdr:rowOff>0</xdr:rowOff>
    </xdr:from>
    <xdr:to>
      <xdr:col>0</xdr:col>
      <xdr:colOff>9525</xdr:colOff>
      <xdr:row>2846</xdr:row>
      <xdr:rowOff>9525</xdr:rowOff>
    </xdr:to>
    <xdr:pic>
      <xdr:nvPicPr>
        <xdr:cNvPr id="1538" name="Obraz 1537">
          <a:extLst>
            <a:ext uri="{FF2B5EF4-FFF2-40B4-BE49-F238E27FC236}">
              <a16:creationId xmlns:a16="http://schemas.microsoft.com/office/drawing/2014/main" id="{1690EE0B-0BAB-45AA-8A1D-A3921D2EDF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25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2848</xdr:row>
      <xdr:rowOff>0</xdr:rowOff>
    </xdr:from>
    <xdr:to>
      <xdr:col>0</xdr:col>
      <xdr:colOff>9525</xdr:colOff>
      <xdr:row>2848</xdr:row>
      <xdr:rowOff>9525</xdr:rowOff>
    </xdr:to>
    <xdr:pic>
      <xdr:nvPicPr>
        <xdr:cNvPr id="1539" name="Obraz 1538">
          <a:extLst>
            <a:ext uri="{FF2B5EF4-FFF2-40B4-BE49-F238E27FC236}">
              <a16:creationId xmlns:a16="http://schemas.microsoft.com/office/drawing/2014/main" id="{86CCE1FC-318D-4431-9107-B0862FBD7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54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2851</xdr:row>
      <xdr:rowOff>0</xdr:rowOff>
    </xdr:from>
    <xdr:to>
      <xdr:col>0</xdr:col>
      <xdr:colOff>9525</xdr:colOff>
      <xdr:row>2851</xdr:row>
      <xdr:rowOff>9525</xdr:rowOff>
    </xdr:to>
    <xdr:pic>
      <xdr:nvPicPr>
        <xdr:cNvPr id="1540" name="Obraz 1539">
          <a:extLst>
            <a:ext uri="{FF2B5EF4-FFF2-40B4-BE49-F238E27FC236}">
              <a16:creationId xmlns:a16="http://schemas.microsoft.com/office/drawing/2014/main" id="{48B439DD-C56C-476A-90EE-37BDFA193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330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2855</xdr:row>
      <xdr:rowOff>0</xdr:rowOff>
    </xdr:from>
    <xdr:to>
      <xdr:col>0</xdr:col>
      <xdr:colOff>9525</xdr:colOff>
      <xdr:row>2855</xdr:row>
      <xdr:rowOff>9525</xdr:rowOff>
    </xdr:to>
    <xdr:pic>
      <xdr:nvPicPr>
        <xdr:cNvPr id="1541" name="Obraz 1540">
          <a:extLst>
            <a:ext uri="{FF2B5EF4-FFF2-40B4-BE49-F238E27FC236}">
              <a16:creationId xmlns:a16="http://schemas.microsoft.com/office/drawing/2014/main" id="{56D963B2-6149-4B70-907E-47BEC30DB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25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2858</xdr:row>
      <xdr:rowOff>0</xdr:rowOff>
    </xdr:from>
    <xdr:to>
      <xdr:col>0</xdr:col>
      <xdr:colOff>9525</xdr:colOff>
      <xdr:row>2858</xdr:row>
      <xdr:rowOff>9525</xdr:rowOff>
    </xdr:to>
    <xdr:pic>
      <xdr:nvPicPr>
        <xdr:cNvPr id="1542" name="Obraz 1541">
          <a:extLst>
            <a:ext uri="{FF2B5EF4-FFF2-40B4-BE49-F238E27FC236}">
              <a16:creationId xmlns:a16="http://schemas.microsoft.com/office/drawing/2014/main" id="{C9006450-262B-42FD-B3FD-1E83A385C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02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2859</xdr:row>
      <xdr:rowOff>0</xdr:rowOff>
    </xdr:from>
    <xdr:to>
      <xdr:col>0</xdr:col>
      <xdr:colOff>9525</xdr:colOff>
      <xdr:row>2859</xdr:row>
      <xdr:rowOff>9525</xdr:rowOff>
    </xdr:to>
    <xdr:pic>
      <xdr:nvPicPr>
        <xdr:cNvPr id="1543" name="Obraz 1542">
          <a:extLst>
            <a:ext uri="{FF2B5EF4-FFF2-40B4-BE49-F238E27FC236}">
              <a16:creationId xmlns:a16="http://schemas.microsoft.com/office/drawing/2014/main" id="{66FB6031-2B22-43CE-B8FA-2B564CD37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40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2860</xdr:row>
      <xdr:rowOff>0</xdr:rowOff>
    </xdr:from>
    <xdr:to>
      <xdr:col>0</xdr:col>
      <xdr:colOff>9525</xdr:colOff>
      <xdr:row>2860</xdr:row>
      <xdr:rowOff>9525</xdr:rowOff>
    </xdr:to>
    <xdr:pic>
      <xdr:nvPicPr>
        <xdr:cNvPr id="1544" name="Obraz 1543">
          <a:extLst>
            <a:ext uri="{FF2B5EF4-FFF2-40B4-BE49-F238E27FC236}">
              <a16:creationId xmlns:a16="http://schemas.microsoft.com/office/drawing/2014/main" id="{219F7CE1-14D6-47D9-A001-6F91A6459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578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2862</xdr:row>
      <xdr:rowOff>0</xdr:rowOff>
    </xdr:from>
    <xdr:to>
      <xdr:col>0</xdr:col>
      <xdr:colOff>9525</xdr:colOff>
      <xdr:row>2862</xdr:row>
      <xdr:rowOff>9525</xdr:rowOff>
    </xdr:to>
    <xdr:pic>
      <xdr:nvPicPr>
        <xdr:cNvPr id="1545" name="Obraz 1544">
          <a:extLst>
            <a:ext uri="{FF2B5EF4-FFF2-40B4-BE49-F238E27FC236}">
              <a16:creationId xmlns:a16="http://schemas.microsoft.com/office/drawing/2014/main" id="{A8313B18-7D2E-4CDE-A8AD-80B657E8DC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35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0</xdr:col>
      <xdr:colOff>9525</xdr:colOff>
      <xdr:row>2866</xdr:row>
      <xdr:rowOff>9525</xdr:rowOff>
    </xdr:to>
    <xdr:pic>
      <xdr:nvPicPr>
        <xdr:cNvPr id="1546" name="Obraz 1545">
          <a:extLst>
            <a:ext uri="{FF2B5EF4-FFF2-40B4-BE49-F238E27FC236}">
              <a16:creationId xmlns:a16="http://schemas.microsoft.com/office/drawing/2014/main" id="{41B12AB2-5373-4470-90A2-630557626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30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2870</xdr:row>
      <xdr:rowOff>0</xdr:rowOff>
    </xdr:from>
    <xdr:to>
      <xdr:col>0</xdr:col>
      <xdr:colOff>9525</xdr:colOff>
      <xdr:row>2870</xdr:row>
      <xdr:rowOff>9525</xdr:rowOff>
    </xdr:to>
    <xdr:pic>
      <xdr:nvPicPr>
        <xdr:cNvPr id="1547" name="Obraz 1546">
          <a:extLst>
            <a:ext uri="{FF2B5EF4-FFF2-40B4-BE49-F238E27FC236}">
              <a16:creationId xmlns:a16="http://schemas.microsoft.com/office/drawing/2014/main" id="{19177DA0-D854-4AB8-8C97-93E56BD214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25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2873</xdr:row>
      <xdr:rowOff>0</xdr:rowOff>
    </xdr:from>
    <xdr:to>
      <xdr:col>0</xdr:col>
      <xdr:colOff>9525</xdr:colOff>
      <xdr:row>2873</xdr:row>
      <xdr:rowOff>9525</xdr:rowOff>
    </xdr:to>
    <xdr:pic>
      <xdr:nvPicPr>
        <xdr:cNvPr id="1548" name="Obraz 1547">
          <a:extLst>
            <a:ext uri="{FF2B5EF4-FFF2-40B4-BE49-F238E27FC236}">
              <a16:creationId xmlns:a16="http://schemas.microsoft.com/office/drawing/2014/main" id="{A4792202-2E95-4F95-9C32-600A1A5CE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730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2877</xdr:row>
      <xdr:rowOff>0</xdr:rowOff>
    </xdr:from>
    <xdr:to>
      <xdr:col>0</xdr:col>
      <xdr:colOff>9525</xdr:colOff>
      <xdr:row>2877</xdr:row>
      <xdr:rowOff>9525</xdr:rowOff>
    </xdr:to>
    <xdr:pic>
      <xdr:nvPicPr>
        <xdr:cNvPr id="1549" name="Obraz 1548">
          <a:extLst>
            <a:ext uri="{FF2B5EF4-FFF2-40B4-BE49-F238E27FC236}">
              <a16:creationId xmlns:a16="http://schemas.microsoft.com/office/drawing/2014/main" id="{E7DA0E97-C0FF-4F03-BC4C-0B05A3FCA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25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2880</xdr:row>
      <xdr:rowOff>0</xdr:rowOff>
    </xdr:from>
    <xdr:to>
      <xdr:col>0</xdr:col>
      <xdr:colOff>9525</xdr:colOff>
      <xdr:row>2880</xdr:row>
      <xdr:rowOff>9525</xdr:rowOff>
    </xdr:to>
    <xdr:pic>
      <xdr:nvPicPr>
        <xdr:cNvPr id="1550" name="Obraz 1549">
          <a:extLst>
            <a:ext uri="{FF2B5EF4-FFF2-40B4-BE49-F238E27FC236}">
              <a16:creationId xmlns:a16="http://schemas.microsoft.com/office/drawing/2014/main" id="{3049A503-2909-4B25-AECA-76A5312BC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02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2885</xdr:row>
      <xdr:rowOff>0</xdr:rowOff>
    </xdr:from>
    <xdr:to>
      <xdr:col>0</xdr:col>
      <xdr:colOff>9525</xdr:colOff>
      <xdr:row>2885</xdr:row>
      <xdr:rowOff>9525</xdr:rowOff>
    </xdr:to>
    <xdr:pic>
      <xdr:nvPicPr>
        <xdr:cNvPr id="1551" name="Obraz 1550">
          <a:extLst>
            <a:ext uri="{FF2B5EF4-FFF2-40B4-BE49-F238E27FC236}">
              <a16:creationId xmlns:a16="http://schemas.microsoft.com/office/drawing/2014/main" id="{0FBB3844-3094-4E41-9328-99DC90C287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959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2888</xdr:row>
      <xdr:rowOff>0</xdr:rowOff>
    </xdr:from>
    <xdr:to>
      <xdr:col>0</xdr:col>
      <xdr:colOff>9525</xdr:colOff>
      <xdr:row>2888</xdr:row>
      <xdr:rowOff>9525</xdr:rowOff>
    </xdr:to>
    <xdr:pic>
      <xdr:nvPicPr>
        <xdr:cNvPr id="1552" name="Obraz 1551">
          <a:extLst>
            <a:ext uri="{FF2B5EF4-FFF2-40B4-BE49-F238E27FC236}">
              <a16:creationId xmlns:a16="http://schemas.microsoft.com/office/drawing/2014/main" id="{6A8978E9-7973-42E8-93D8-D9544EF3D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35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2893</xdr:row>
      <xdr:rowOff>0</xdr:rowOff>
    </xdr:from>
    <xdr:to>
      <xdr:col>0</xdr:col>
      <xdr:colOff>9525</xdr:colOff>
      <xdr:row>2893</xdr:row>
      <xdr:rowOff>9525</xdr:rowOff>
    </xdr:to>
    <xdr:pic>
      <xdr:nvPicPr>
        <xdr:cNvPr id="1553" name="Obraz 1552">
          <a:extLst>
            <a:ext uri="{FF2B5EF4-FFF2-40B4-BE49-F238E27FC236}">
              <a16:creationId xmlns:a16="http://schemas.microsoft.com/office/drawing/2014/main" id="{4FB242D4-841C-4545-8289-F224899B9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49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2896</xdr:row>
      <xdr:rowOff>0</xdr:rowOff>
    </xdr:from>
    <xdr:to>
      <xdr:col>0</xdr:col>
      <xdr:colOff>9525</xdr:colOff>
      <xdr:row>2896</xdr:row>
      <xdr:rowOff>9525</xdr:rowOff>
    </xdr:to>
    <xdr:pic>
      <xdr:nvPicPr>
        <xdr:cNvPr id="1554" name="Obraz 1553">
          <a:extLst>
            <a:ext uri="{FF2B5EF4-FFF2-40B4-BE49-F238E27FC236}">
              <a16:creationId xmlns:a16="http://schemas.microsoft.com/office/drawing/2014/main" id="{18D75C37-9223-4296-AD45-0B99517F74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168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2900</xdr:row>
      <xdr:rowOff>0</xdr:rowOff>
    </xdr:from>
    <xdr:to>
      <xdr:col>0</xdr:col>
      <xdr:colOff>9525</xdr:colOff>
      <xdr:row>2900</xdr:row>
      <xdr:rowOff>9525</xdr:rowOff>
    </xdr:to>
    <xdr:pic>
      <xdr:nvPicPr>
        <xdr:cNvPr id="1555" name="Obraz 1554">
          <a:extLst>
            <a:ext uri="{FF2B5EF4-FFF2-40B4-BE49-F238E27FC236}">
              <a16:creationId xmlns:a16="http://schemas.microsoft.com/office/drawing/2014/main" id="{975FE662-072B-431D-AA30-5039B35F8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64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2903</xdr:row>
      <xdr:rowOff>0</xdr:rowOff>
    </xdr:from>
    <xdr:to>
      <xdr:col>0</xdr:col>
      <xdr:colOff>9525</xdr:colOff>
      <xdr:row>2903</xdr:row>
      <xdr:rowOff>9525</xdr:rowOff>
    </xdr:to>
    <xdr:pic>
      <xdr:nvPicPr>
        <xdr:cNvPr id="1556" name="Obraz 1555">
          <a:extLst>
            <a:ext uri="{FF2B5EF4-FFF2-40B4-BE49-F238E27FC236}">
              <a16:creationId xmlns:a16="http://schemas.microsoft.com/office/drawing/2014/main" id="{ACC594A5-8C3A-4967-96EE-76A004FF1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40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2907</xdr:row>
      <xdr:rowOff>0</xdr:rowOff>
    </xdr:from>
    <xdr:to>
      <xdr:col>0</xdr:col>
      <xdr:colOff>9525</xdr:colOff>
      <xdr:row>2907</xdr:row>
      <xdr:rowOff>9525</xdr:rowOff>
    </xdr:to>
    <xdr:pic>
      <xdr:nvPicPr>
        <xdr:cNvPr id="1557" name="Obraz 1556">
          <a:extLst>
            <a:ext uri="{FF2B5EF4-FFF2-40B4-BE49-F238E27FC236}">
              <a16:creationId xmlns:a16="http://schemas.microsoft.com/office/drawing/2014/main" id="{CA2F90F9-380E-42BE-B8B4-590CF05A4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378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2910</xdr:row>
      <xdr:rowOff>0</xdr:rowOff>
    </xdr:from>
    <xdr:to>
      <xdr:col>0</xdr:col>
      <xdr:colOff>9525</xdr:colOff>
      <xdr:row>2910</xdr:row>
      <xdr:rowOff>9525</xdr:rowOff>
    </xdr:to>
    <xdr:pic>
      <xdr:nvPicPr>
        <xdr:cNvPr id="1558" name="Obraz 1557">
          <a:extLst>
            <a:ext uri="{FF2B5EF4-FFF2-40B4-BE49-F238E27FC236}">
              <a16:creationId xmlns:a16="http://schemas.microsoft.com/office/drawing/2014/main" id="{798B8EBC-8623-4E28-B628-747389E181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54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2914</xdr:row>
      <xdr:rowOff>0</xdr:rowOff>
    </xdr:from>
    <xdr:to>
      <xdr:col>0</xdr:col>
      <xdr:colOff>9525</xdr:colOff>
      <xdr:row>2914</xdr:row>
      <xdr:rowOff>9525</xdr:rowOff>
    </xdr:to>
    <xdr:pic>
      <xdr:nvPicPr>
        <xdr:cNvPr id="1559" name="Obraz 1558">
          <a:extLst>
            <a:ext uri="{FF2B5EF4-FFF2-40B4-BE49-F238E27FC236}">
              <a16:creationId xmlns:a16="http://schemas.microsoft.com/office/drawing/2014/main" id="{2DD6264A-87D5-4B09-B383-8415151FC3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49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2918</xdr:row>
      <xdr:rowOff>0</xdr:rowOff>
    </xdr:from>
    <xdr:to>
      <xdr:col>0</xdr:col>
      <xdr:colOff>9525</xdr:colOff>
      <xdr:row>2918</xdr:row>
      <xdr:rowOff>9525</xdr:rowOff>
    </xdr:to>
    <xdr:pic>
      <xdr:nvPicPr>
        <xdr:cNvPr id="1560" name="Obraz 1559">
          <a:extLst>
            <a:ext uri="{FF2B5EF4-FFF2-40B4-BE49-F238E27FC236}">
              <a16:creationId xmlns:a16="http://schemas.microsoft.com/office/drawing/2014/main" id="{C214E0C8-93D5-4A54-9257-ACCED24C6A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587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2921</xdr:row>
      <xdr:rowOff>0</xdr:rowOff>
    </xdr:from>
    <xdr:to>
      <xdr:col>0</xdr:col>
      <xdr:colOff>9525</xdr:colOff>
      <xdr:row>2921</xdr:row>
      <xdr:rowOff>9525</xdr:rowOff>
    </xdr:to>
    <xdr:pic>
      <xdr:nvPicPr>
        <xdr:cNvPr id="1561" name="Obraz 1560">
          <a:extLst>
            <a:ext uri="{FF2B5EF4-FFF2-40B4-BE49-F238E27FC236}">
              <a16:creationId xmlns:a16="http://schemas.microsoft.com/office/drawing/2014/main" id="{69208D7D-F615-4ACC-8A54-8C0D97488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64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2925</xdr:row>
      <xdr:rowOff>0</xdr:rowOff>
    </xdr:from>
    <xdr:to>
      <xdr:col>0</xdr:col>
      <xdr:colOff>9525</xdr:colOff>
      <xdr:row>2925</xdr:row>
      <xdr:rowOff>9525</xdr:rowOff>
    </xdr:to>
    <xdr:pic>
      <xdr:nvPicPr>
        <xdr:cNvPr id="1562" name="Obraz 1561">
          <a:extLst>
            <a:ext uri="{FF2B5EF4-FFF2-40B4-BE49-F238E27FC236}">
              <a16:creationId xmlns:a16="http://schemas.microsoft.com/office/drawing/2014/main" id="{C61A7754-A33E-4FF3-86AE-99810A56F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59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2929</xdr:row>
      <xdr:rowOff>0</xdr:rowOff>
    </xdr:from>
    <xdr:to>
      <xdr:col>0</xdr:col>
      <xdr:colOff>9525</xdr:colOff>
      <xdr:row>2929</xdr:row>
      <xdr:rowOff>9525</xdr:rowOff>
    </xdr:to>
    <xdr:pic>
      <xdr:nvPicPr>
        <xdr:cNvPr id="1563" name="Obraz 1562">
          <a:extLst>
            <a:ext uri="{FF2B5EF4-FFF2-40B4-BE49-F238E27FC236}">
              <a16:creationId xmlns:a16="http://schemas.microsoft.com/office/drawing/2014/main" id="{DDC2EF37-5700-42B0-A778-E30A608F6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797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2933</xdr:row>
      <xdr:rowOff>0</xdr:rowOff>
    </xdr:from>
    <xdr:to>
      <xdr:col>0</xdr:col>
      <xdr:colOff>9525</xdr:colOff>
      <xdr:row>2933</xdr:row>
      <xdr:rowOff>9525</xdr:rowOff>
    </xdr:to>
    <xdr:pic>
      <xdr:nvPicPr>
        <xdr:cNvPr id="1564" name="Obraz 1563">
          <a:extLst>
            <a:ext uri="{FF2B5EF4-FFF2-40B4-BE49-F238E27FC236}">
              <a16:creationId xmlns:a16="http://schemas.microsoft.com/office/drawing/2014/main" id="{C87B5AE4-CA68-4D7C-A121-E2F16CB68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92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2936</xdr:row>
      <xdr:rowOff>0</xdr:rowOff>
    </xdr:from>
    <xdr:to>
      <xdr:col>0</xdr:col>
      <xdr:colOff>9525</xdr:colOff>
      <xdr:row>2936</xdr:row>
      <xdr:rowOff>9525</xdr:rowOff>
    </xdr:to>
    <xdr:pic>
      <xdr:nvPicPr>
        <xdr:cNvPr id="1565" name="Obraz 1564">
          <a:extLst>
            <a:ext uri="{FF2B5EF4-FFF2-40B4-BE49-F238E27FC236}">
              <a16:creationId xmlns:a16="http://schemas.microsoft.com/office/drawing/2014/main" id="{E9304246-8BAE-4199-80CE-8D58C16F03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968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2940</xdr:row>
      <xdr:rowOff>0</xdr:rowOff>
    </xdr:from>
    <xdr:to>
      <xdr:col>0</xdr:col>
      <xdr:colOff>9525</xdr:colOff>
      <xdr:row>2940</xdr:row>
      <xdr:rowOff>9525</xdr:rowOff>
    </xdr:to>
    <xdr:pic>
      <xdr:nvPicPr>
        <xdr:cNvPr id="1566" name="Obraz 1565">
          <a:extLst>
            <a:ext uri="{FF2B5EF4-FFF2-40B4-BE49-F238E27FC236}">
              <a16:creationId xmlns:a16="http://schemas.microsoft.com/office/drawing/2014/main" id="{A2F744BA-71C7-4157-A726-C85CB5658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07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2943</xdr:row>
      <xdr:rowOff>0</xdr:rowOff>
    </xdr:from>
    <xdr:to>
      <xdr:col>0</xdr:col>
      <xdr:colOff>9525</xdr:colOff>
      <xdr:row>2943</xdr:row>
      <xdr:rowOff>9525</xdr:rowOff>
    </xdr:to>
    <xdr:pic>
      <xdr:nvPicPr>
        <xdr:cNvPr id="1567" name="Obraz 1566">
          <a:extLst>
            <a:ext uri="{FF2B5EF4-FFF2-40B4-BE49-F238E27FC236}">
              <a16:creationId xmlns:a16="http://schemas.microsoft.com/office/drawing/2014/main" id="{9DC6D962-77C5-4CC0-B05D-0E594A09DA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83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2948</xdr:row>
      <xdr:rowOff>0</xdr:rowOff>
    </xdr:from>
    <xdr:to>
      <xdr:col>0</xdr:col>
      <xdr:colOff>9525</xdr:colOff>
      <xdr:row>2948</xdr:row>
      <xdr:rowOff>9525</xdr:rowOff>
    </xdr:to>
    <xdr:pic>
      <xdr:nvPicPr>
        <xdr:cNvPr id="1568" name="Obraz 1567">
          <a:extLst>
            <a:ext uri="{FF2B5EF4-FFF2-40B4-BE49-F238E27FC236}">
              <a16:creationId xmlns:a16="http://schemas.microsoft.com/office/drawing/2014/main" id="{149E78AE-60BF-4167-BBB1-94829BBEE5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197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2951</xdr:row>
      <xdr:rowOff>0</xdr:rowOff>
    </xdr:from>
    <xdr:to>
      <xdr:col>0</xdr:col>
      <xdr:colOff>9525</xdr:colOff>
      <xdr:row>2951</xdr:row>
      <xdr:rowOff>9525</xdr:rowOff>
    </xdr:to>
    <xdr:pic>
      <xdr:nvPicPr>
        <xdr:cNvPr id="1569" name="Obraz 1568">
          <a:extLst>
            <a:ext uri="{FF2B5EF4-FFF2-40B4-BE49-F238E27FC236}">
              <a16:creationId xmlns:a16="http://schemas.microsoft.com/office/drawing/2014/main" id="{666A10D2-EE2C-4B07-9B23-0A5CC93FF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73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2954</xdr:row>
      <xdr:rowOff>0</xdr:rowOff>
    </xdr:from>
    <xdr:to>
      <xdr:col>0</xdr:col>
      <xdr:colOff>9525</xdr:colOff>
      <xdr:row>2954</xdr:row>
      <xdr:rowOff>9525</xdr:rowOff>
    </xdr:to>
    <xdr:pic>
      <xdr:nvPicPr>
        <xdr:cNvPr id="1570" name="Obraz 1569">
          <a:extLst>
            <a:ext uri="{FF2B5EF4-FFF2-40B4-BE49-F238E27FC236}">
              <a16:creationId xmlns:a16="http://schemas.microsoft.com/office/drawing/2014/main" id="{27787D13-045E-4341-883F-DD5CF2AD7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49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2958</xdr:row>
      <xdr:rowOff>0</xdr:rowOff>
    </xdr:from>
    <xdr:to>
      <xdr:col>0</xdr:col>
      <xdr:colOff>9525</xdr:colOff>
      <xdr:row>2958</xdr:row>
      <xdr:rowOff>9525</xdr:rowOff>
    </xdr:to>
    <xdr:pic>
      <xdr:nvPicPr>
        <xdr:cNvPr id="1571" name="Obraz 1570">
          <a:extLst>
            <a:ext uri="{FF2B5EF4-FFF2-40B4-BE49-F238E27FC236}">
              <a16:creationId xmlns:a16="http://schemas.microsoft.com/office/drawing/2014/main" id="{EFEDC048-01A1-4D1A-8201-B7F8A11A3D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45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2961</xdr:row>
      <xdr:rowOff>0</xdr:rowOff>
    </xdr:from>
    <xdr:to>
      <xdr:col>0</xdr:col>
      <xdr:colOff>9525</xdr:colOff>
      <xdr:row>2961</xdr:row>
      <xdr:rowOff>9525</xdr:rowOff>
    </xdr:to>
    <xdr:pic>
      <xdr:nvPicPr>
        <xdr:cNvPr id="1572" name="Obraz 1571">
          <a:extLst>
            <a:ext uri="{FF2B5EF4-FFF2-40B4-BE49-F238E27FC236}">
              <a16:creationId xmlns:a16="http://schemas.microsoft.com/office/drawing/2014/main" id="{C186ACD5-B50E-4F60-B2C5-D547278CB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21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2961</xdr:row>
      <xdr:rowOff>0</xdr:rowOff>
    </xdr:from>
    <xdr:to>
      <xdr:col>0</xdr:col>
      <xdr:colOff>9525</xdr:colOff>
      <xdr:row>2961</xdr:row>
      <xdr:rowOff>9525</xdr:rowOff>
    </xdr:to>
    <xdr:pic>
      <xdr:nvPicPr>
        <xdr:cNvPr id="1573" name="Obraz 1572">
          <a:extLst>
            <a:ext uri="{FF2B5EF4-FFF2-40B4-BE49-F238E27FC236}">
              <a16:creationId xmlns:a16="http://schemas.microsoft.com/office/drawing/2014/main" id="{C660FCA2-65AE-4B93-95F6-0768F95DB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59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2962</xdr:row>
      <xdr:rowOff>0</xdr:rowOff>
    </xdr:from>
    <xdr:to>
      <xdr:col>0</xdr:col>
      <xdr:colOff>9525</xdr:colOff>
      <xdr:row>2962</xdr:row>
      <xdr:rowOff>9525</xdr:rowOff>
    </xdr:to>
    <xdr:pic>
      <xdr:nvPicPr>
        <xdr:cNvPr id="1574" name="Obraz 1573">
          <a:extLst>
            <a:ext uri="{FF2B5EF4-FFF2-40B4-BE49-F238E27FC236}">
              <a16:creationId xmlns:a16="http://schemas.microsoft.com/office/drawing/2014/main" id="{748C5BFB-F960-4098-A754-3D40D5532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97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2964</xdr:row>
      <xdr:rowOff>0</xdr:rowOff>
    </xdr:from>
    <xdr:to>
      <xdr:col>0</xdr:col>
      <xdr:colOff>9525</xdr:colOff>
      <xdr:row>2964</xdr:row>
      <xdr:rowOff>9525</xdr:rowOff>
    </xdr:to>
    <xdr:pic>
      <xdr:nvPicPr>
        <xdr:cNvPr id="1575" name="Obraz 1574">
          <a:extLst>
            <a:ext uri="{FF2B5EF4-FFF2-40B4-BE49-F238E27FC236}">
              <a16:creationId xmlns:a16="http://schemas.microsoft.com/office/drawing/2014/main" id="{8B149F85-18EA-4A19-9580-F372A6BC7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64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2967</xdr:row>
      <xdr:rowOff>0</xdr:rowOff>
    </xdr:from>
    <xdr:to>
      <xdr:col>0</xdr:col>
      <xdr:colOff>9525</xdr:colOff>
      <xdr:row>2967</xdr:row>
      <xdr:rowOff>9525</xdr:rowOff>
    </xdr:to>
    <xdr:pic>
      <xdr:nvPicPr>
        <xdr:cNvPr id="1576" name="Obraz 1575">
          <a:extLst>
            <a:ext uri="{FF2B5EF4-FFF2-40B4-BE49-F238E27FC236}">
              <a16:creationId xmlns:a16="http://schemas.microsoft.com/office/drawing/2014/main" id="{9283DF37-8DBE-4417-956F-56E262E7F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540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2971</xdr:row>
      <xdr:rowOff>0</xdr:rowOff>
    </xdr:from>
    <xdr:to>
      <xdr:col>0</xdr:col>
      <xdr:colOff>9525</xdr:colOff>
      <xdr:row>2971</xdr:row>
      <xdr:rowOff>9525</xdr:rowOff>
    </xdr:to>
    <xdr:pic>
      <xdr:nvPicPr>
        <xdr:cNvPr id="1577" name="Obraz 1576">
          <a:extLst>
            <a:ext uri="{FF2B5EF4-FFF2-40B4-BE49-F238E27FC236}">
              <a16:creationId xmlns:a16="http://schemas.microsoft.com/office/drawing/2014/main" id="{8D551FF7-F1B1-4943-A8B7-DE813A0CB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35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2974</xdr:row>
      <xdr:rowOff>0</xdr:rowOff>
    </xdr:from>
    <xdr:to>
      <xdr:col>0</xdr:col>
      <xdr:colOff>9525</xdr:colOff>
      <xdr:row>2974</xdr:row>
      <xdr:rowOff>9525</xdr:rowOff>
    </xdr:to>
    <xdr:pic>
      <xdr:nvPicPr>
        <xdr:cNvPr id="1578" name="Obraz 1577">
          <a:extLst>
            <a:ext uri="{FF2B5EF4-FFF2-40B4-BE49-F238E27FC236}">
              <a16:creationId xmlns:a16="http://schemas.microsoft.com/office/drawing/2014/main" id="{2C3482DB-B8BC-4304-9176-CD053DF794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11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2976</xdr:row>
      <xdr:rowOff>0</xdr:rowOff>
    </xdr:from>
    <xdr:to>
      <xdr:col>0</xdr:col>
      <xdr:colOff>9525</xdr:colOff>
      <xdr:row>2976</xdr:row>
      <xdr:rowOff>9525</xdr:rowOff>
    </xdr:to>
    <xdr:pic>
      <xdr:nvPicPr>
        <xdr:cNvPr id="1579" name="Obraz 1578">
          <a:extLst>
            <a:ext uri="{FF2B5EF4-FFF2-40B4-BE49-F238E27FC236}">
              <a16:creationId xmlns:a16="http://schemas.microsoft.com/office/drawing/2014/main" id="{EC49BCA2-EEA5-4A0F-842B-9E539B7844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69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2976</xdr:row>
      <xdr:rowOff>0</xdr:rowOff>
    </xdr:from>
    <xdr:to>
      <xdr:col>0</xdr:col>
      <xdr:colOff>9525</xdr:colOff>
      <xdr:row>2976</xdr:row>
      <xdr:rowOff>9525</xdr:rowOff>
    </xdr:to>
    <xdr:pic>
      <xdr:nvPicPr>
        <xdr:cNvPr id="1580" name="Obraz 1579">
          <a:extLst>
            <a:ext uri="{FF2B5EF4-FFF2-40B4-BE49-F238E27FC236}">
              <a16:creationId xmlns:a16="http://schemas.microsoft.com/office/drawing/2014/main" id="{49EED8E7-4836-44B8-8A27-485C0FDAC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07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2978</xdr:row>
      <xdr:rowOff>0</xdr:rowOff>
    </xdr:from>
    <xdr:to>
      <xdr:col>0</xdr:col>
      <xdr:colOff>9525</xdr:colOff>
      <xdr:row>2978</xdr:row>
      <xdr:rowOff>9525</xdr:rowOff>
    </xdr:to>
    <xdr:pic>
      <xdr:nvPicPr>
        <xdr:cNvPr id="1581" name="Obraz 1580">
          <a:extLst>
            <a:ext uri="{FF2B5EF4-FFF2-40B4-BE49-F238E27FC236}">
              <a16:creationId xmlns:a16="http://schemas.microsoft.com/office/drawing/2014/main" id="{A3370197-0D2A-43BD-B1BB-AD23329F40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07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2981</xdr:row>
      <xdr:rowOff>0</xdr:rowOff>
    </xdr:from>
    <xdr:to>
      <xdr:col>0</xdr:col>
      <xdr:colOff>9525</xdr:colOff>
      <xdr:row>2981</xdr:row>
      <xdr:rowOff>9525</xdr:rowOff>
    </xdr:to>
    <xdr:pic>
      <xdr:nvPicPr>
        <xdr:cNvPr id="1582" name="Obraz 1581">
          <a:extLst>
            <a:ext uri="{FF2B5EF4-FFF2-40B4-BE49-F238E27FC236}">
              <a16:creationId xmlns:a16="http://schemas.microsoft.com/office/drawing/2014/main" id="{42C143C0-398A-4CC8-8AA4-2985A649D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83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2985</xdr:row>
      <xdr:rowOff>0</xdr:rowOff>
    </xdr:from>
    <xdr:to>
      <xdr:col>0</xdr:col>
      <xdr:colOff>9525</xdr:colOff>
      <xdr:row>2985</xdr:row>
      <xdr:rowOff>9525</xdr:rowOff>
    </xdr:to>
    <xdr:pic>
      <xdr:nvPicPr>
        <xdr:cNvPr id="1583" name="Obraz 1582">
          <a:extLst>
            <a:ext uri="{FF2B5EF4-FFF2-40B4-BE49-F238E27FC236}">
              <a16:creationId xmlns:a16="http://schemas.microsoft.com/office/drawing/2014/main" id="{A5791D3E-0081-4103-9A4E-167EC0C51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78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2989</xdr:row>
      <xdr:rowOff>0</xdr:rowOff>
    </xdr:from>
    <xdr:to>
      <xdr:col>0</xdr:col>
      <xdr:colOff>9525</xdr:colOff>
      <xdr:row>2989</xdr:row>
      <xdr:rowOff>9525</xdr:rowOff>
    </xdr:to>
    <xdr:pic>
      <xdr:nvPicPr>
        <xdr:cNvPr id="1584" name="Obraz 1583">
          <a:extLst>
            <a:ext uri="{FF2B5EF4-FFF2-40B4-BE49-F238E27FC236}">
              <a16:creationId xmlns:a16="http://schemas.microsoft.com/office/drawing/2014/main" id="{B42C3A2B-025C-4AB9-81FF-C04B188D7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940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2993</xdr:row>
      <xdr:rowOff>0</xdr:rowOff>
    </xdr:from>
    <xdr:to>
      <xdr:col>0</xdr:col>
      <xdr:colOff>9525</xdr:colOff>
      <xdr:row>2993</xdr:row>
      <xdr:rowOff>9525</xdr:rowOff>
    </xdr:to>
    <xdr:pic>
      <xdr:nvPicPr>
        <xdr:cNvPr id="1585" name="Obraz 1584">
          <a:extLst>
            <a:ext uri="{FF2B5EF4-FFF2-40B4-BE49-F238E27FC236}">
              <a16:creationId xmlns:a16="http://schemas.microsoft.com/office/drawing/2014/main" id="{A1C122B7-73AD-4ADC-90B2-FAEAA4DDDF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35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2997</xdr:row>
      <xdr:rowOff>0</xdr:rowOff>
    </xdr:from>
    <xdr:to>
      <xdr:col>0</xdr:col>
      <xdr:colOff>9525</xdr:colOff>
      <xdr:row>2997</xdr:row>
      <xdr:rowOff>9525</xdr:rowOff>
    </xdr:to>
    <xdr:pic>
      <xdr:nvPicPr>
        <xdr:cNvPr id="1586" name="Obraz 1585">
          <a:extLst>
            <a:ext uri="{FF2B5EF4-FFF2-40B4-BE49-F238E27FC236}">
              <a16:creationId xmlns:a16="http://schemas.microsoft.com/office/drawing/2014/main" id="{6C3E8386-893B-4ADD-B8FB-EFB832E7F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130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3000</xdr:row>
      <xdr:rowOff>0</xdr:rowOff>
    </xdr:from>
    <xdr:to>
      <xdr:col>0</xdr:col>
      <xdr:colOff>9525</xdr:colOff>
      <xdr:row>3000</xdr:row>
      <xdr:rowOff>9525</xdr:rowOff>
    </xdr:to>
    <xdr:pic>
      <xdr:nvPicPr>
        <xdr:cNvPr id="1587" name="Obraz 1586">
          <a:extLst>
            <a:ext uri="{FF2B5EF4-FFF2-40B4-BE49-F238E27FC236}">
              <a16:creationId xmlns:a16="http://schemas.microsoft.com/office/drawing/2014/main" id="{5B2C74A3-D314-4558-B826-5663D786CC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0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3000</xdr:row>
      <xdr:rowOff>0</xdr:rowOff>
    </xdr:from>
    <xdr:to>
      <xdr:col>0</xdr:col>
      <xdr:colOff>9525</xdr:colOff>
      <xdr:row>3000</xdr:row>
      <xdr:rowOff>9525</xdr:rowOff>
    </xdr:to>
    <xdr:pic>
      <xdr:nvPicPr>
        <xdr:cNvPr id="1588" name="Obraz 1587">
          <a:extLst>
            <a:ext uri="{FF2B5EF4-FFF2-40B4-BE49-F238E27FC236}">
              <a16:creationId xmlns:a16="http://schemas.microsoft.com/office/drawing/2014/main" id="{4921C94D-B6E6-4206-AFDB-EFF828BD5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83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3002</xdr:row>
      <xdr:rowOff>0</xdr:rowOff>
    </xdr:from>
    <xdr:to>
      <xdr:col>0</xdr:col>
      <xdr:colOff>9525</xdr:colOff>
      <xdr:row>3002</xdr:row>
      <xdr:rowOff>9525</xdr:rowOff>
    </xdr:to>
    <xdr:pic>
      <xdr:nvPicPr>
        <xdr:cNvPr id="1589" name="Obraz 1588">
          <a:extLst>
            <a:ext uri="{FF2B5EF4-FFF2-40B4-BE49-F238E27FC236}">
              <a16:creationId xmlns:a16="http://schemas.microsoft.com/office/drawing/2014/main" id="{DD93E076-695C-4743-BDB2-5F64AFDC0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3005</xdr:row>
      <xdr:rowOff>0</xdr:rowOff>
    </xdr:from>
    <xdr:to>
      <xdr:col>0</xdr:col>
      <xdr:colOff>9525</xdr:colOff>
      <xdr:row>3005</xdr:row>
      <xdr:rowOff>9525</xdr:rowOff>
    </xdr:to>
    <xdr:pic>
      <xdr:nvPicPr>
        <xdr:cNvPr id="1590" name="Obraz 1589">
          <a:extLst>
            <a:ext uri="{FF2B5EF4-FFF2-40B4-BE49-F238E27FC236}">
              <a16:creationId xmlns:a16="http://schemas.microsoft.com/office/drawing/2014/main" id="{4D5E05DB-F448-4B78-9D8F-A1EA5889C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16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3009</xdr:row>
      <xdr:rowOff>0</xdr:rowOff>
    </xdr:from>
    <xdr:to>
      <xdr:col>0</xdr:col>
      <xdr:colOff>9525</xdr:colOff>
      <xdr:row>3009</xdr:row>
      <xdr:rowOff>9525</xdr:rowOff>
    </xdr:to>
    <xdr:pic>
      <xdr:nvPicPr>
        <xdr:cNvPr id="1591" name="Obraz 1590">
          <a:extLst>
            <a:ext uri="{FF2B5EF4-FFF2-40B4-BE49-F238E27FC236}">
              <a16:creationId xmlns:a16="http://schemas.microsoft.com/office/drawing/2014/main" id="{419A495E-5355-4613-BFCD-4C60B34C9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11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3012</xdr:row>
      <xdr:rowOff>0</xdr:rowOff>
    </xdr:from>
    <xdr:to>
      <xdr:col>0</xdr:col>
      <xdr:colOff>9525</xdr:colOff>
      <xdr:row>3012</xdr:row>
      <xdr:rowOff>9525</xdr:rowOff>
    </xdr:to>
    <xdr:pic>
      <xdr:nvPicPr>
        <xdr:cNvPr id="1592" name="Obraz 1591">
          <a:extLst>
            <a:ext uri="{FF2B5EF4-FFF2-40B4-BE49-F238E27FC236}">
              <a16:creationId xmlns:a16="http://schemas.microsoft.com/office/drawing/2014/main" id="{2F483BD1-183D-4937-89C8-BD32076A7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88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3013</xdr:row>
      <xdr:rowOff>0</xdr:rowOff>
    </xdr:from>
    <xdr:to>
      <xdr:col>0</xdr:col>
      <xdr:colOff>9525</xdr:colOff>
      <xdr:row>3013</xdr:row>
      <xdr:rowOff>9525</xdr:rowOff>
    </xdr:to>
    <xdr:pic>
      <xdr:nvPicPr>
        <xdr:cNvPr id="1593" name="Obraz 1592">
          <a:extLst>
            <a:ext uri="{FF2B5EF4-FFF2-40B4-BE49-F238E27FC236}">
              <a16:creationId xmlns:a16="http://schemas.microsoft.com/office/drawing/2014/main" id="{31977A99-56BF-4D31-9559-D7803D8AE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26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3013</xdr:row>
      <xdr:rowOff>0</xdr:rowOff>
    </xdr:from>
    <xdr:to>
      <xdr:col>0</xdr:col>
      <xdr:colOff>9525</xdr:colOff>
      <xdr:row>3013</xdr:row>
      <xdr:rowOff>9525</xdr:rowOff>
    </xdr:to>
    <xdr:pic>
      <xdr:nvPicPr>
        <xdr:cNvPr id="1594" name="Obraz 1593">
          <a:extLst>
            <a:ext uri="{FF2B5EF4-FFF2-40B4-BE49-F238E27FC236}">
              <a16:creationId xmlns:a16="http://schemas.microsoft.com/office/drawing/2014/main" id="{D60F2D60-3062-4856-BECB-004274759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64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3014</xdr:row>
      <xdr:rowOff>0</xdr:rowOff>
    </xdr:from>
    <xdr:to>
      <xdr:col>0</xdr:col>
      <xdr:colOff>9525</xdr:colOff>
      <xdr:row>3014</xdr:row>
      <xdr:rowOff>9525</xdr:rowOff>
    </xdr:to>
    <xdr:pic>
      <xdr:nvPicPr>
        <xdr:cNvPr id="1595" name="Obraz 1594">
          <a:extLst>
            <a:ext uri="{FF2B5EF4-FFF2-40B4-BE49-F238E27FC236}">
              <a16:creationId xmlns:a16="http://schemas.microsoft.com/office/drawing/2014/main" id="{369C9E3D-D9FD-43D2-AD1E-24F857CB5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02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3016</xdr:row>
      <xdr:rowOff>0</xdr:rowOff>
    </xdr:from>
    <xdr:to>
      <xdr:col>0</xdr:col>
      <xdr:colOff>9525</xdr:colOff>
      <xdr:row>3016</xdr:row>
      <xdr:rowOff>9525</xdr:rowOff>
    </xdr:to>
    <xdr:pic>
      <xdr:nvPicPr>
        <xdr:cNvPr id="1596" name="Obraz 1595">
          <a:extLst>
            <a:ext uri="{FF2B5EF4-FFF2-40B4-BE49-F238E27FC236}">
              <a16:creationId xmlns:a16="http://schemas.microsoft.com/office/drawing/2014/main" id="{DD8C97C5-359F-4232-9751-AFAFFB138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54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3020</xdr:row>
      <xdr:rowOff>0</xdr:rowOff>
    </xdr:from>
    <xdr:to>
      <xdr:col>0</xdr:col>
      <xdr:colOff>9525</xdr:colOff>
      <xdr:row>3020</xdr:row>
      <xdr:rowOff>9525</xdr:rowOff>
    </xdr:to>
    <xdr:pic>
      <xdr:nvPicPr>
        <xdr:cNvPr id="1597" name="Obraz 1596">
          <a:extLst>
            <a:ext uri="{FF2B5EF4-FFF2-40B4-BE49-F238E27FC236}">
              <a16:creationId xmlns:a16="http://schemas.microsoft.com/office/drawing/2014/main" id="{C6B2D22E-C181-4F87-9ED5-3C3455DA36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50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3024</xdr:row>
      <xdr:rowOff>0</xdr:rowOff>
    </xdr:from>
    <xdr:to>
      <xdr:col>0</xdr:col>
      <xdr:colOff>9525</xdr:colOff>
      <xdr:row>3024</xdr:row>
      <xdr:rowOff>9525</xdr:rowOff>
    </xdr:to>
    <xdr:pic>
      <xdr:nvPicPr>
        <xdr:cNvPr id="1598" name="Obraz 1597">
          <a:extLst>
            <a:ext uri="{FF2B5EF4-FFF2-40B4-BE49-F238E27FC236}">
              <a16:creationId xmlns:a16="http://schemas.microsoft.com/office/drawing/2014/main" id="{6F42B7E2-8D4C-4433-993A-A5811C2CF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45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3027</xdr:row>
      <xdr:rowOff>0</xdr:rowOff>
    </xdr:from>
    <xdr:to>
      <xdr:col>0</xdr:col>
      <xdr:colOff>9525</xdr:colOff>
      <xdr:row>3027</xdr:row>
      <xdr:rowOff>9525</xdr:rowOff>
    </xdr:to>
    <xdr:pic>
      <xdr:nvPicPr>
        <xdr:cNvPr id="1599" name="Obraz 1598">
          <a:extLst>
            <a:ext uri="{FF2B5EF4-FFF2-40B4-BE49-F238E27FC236}">
              <a16:creationId xmlns:a16="http://schemas.microsoft.com/office/drawing/2014/main" id="{21966894-428A-45D7-8455-9416FACDC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64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3031</xdr:row>
      <xdr:rowOff>0</xdr:rowOff>
    </xdr:from>
    <xdr:to>
      <xdr:col>0</xdr:col>
      <xdr:colOff>9525</xdr:colOff>
      <xdr:row>3031</xdr:row>
      <xdr:rowOff>9525</xdr:rowOff>
    </xdr:to>
    <xdr:pic>
      <xdr:nvPicPr>
        <xdr:cNvPr id="1600" name="Obraz 1599">
          <a:extLst>
            <a:ext uri="{FF2B5EF4-FFF2-40B4-BE49-F238E27FC236}">
              <a16:creationId xmlns:a16="http://schemas.microsoft.com/office/drawing/2014/main" id="{88F21067-4012-4790-9E5E-AE81CC644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759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3034</xdr:row>
      <xdr:rowOff>0</xdr:rowOff>
    </xdr:from>
    <xdr:to>
      <xdr:col>0</xdr:col>
      <xdr:colOff>9525</xdr:colOff>
      <xdr:row>3034</xdr:row>
      <xdr:rowOff>9525</xdr:rowOff>
    </xdr:to>
    <xdr:pic>
      <xdr:nvPicPr>
        <xdr:cNvPr id="1601" name="Obraz 1600">
          <a:extLst>
            <a:ext uri="{FF2B5EF4-FFF2-40B4-BE49-F238E27FC236}">
              <a16:creationId xmlns:a16="http://schemas.microsoft.com/office/drawing/2014/main" id="{90D33AC8-354E-45EB-BBDF-953D4CAAF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35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3038</xdr:row>
      <xdr:rowOff>0</xdr:rowOff>
    </xdr:from>
    <xdr:to>
      <xdr:col>0</xdr:col>
      <xdr:colOff>9525</xdr:colOff>
      <xdr:row>3038</xdr:row>
      <xdr:rowOff>9525</xdr:rowOff>
    </xdr:to>
    <xdr:pic>
      <xdr:nvPicPr>
        <xdr:cNvPr id="1602" name="Obraz 1601">
          <a:extLst>
            <a:ext uri="{FF2B5EF4-FFF2-40B4-BE49-F238E27FC236}">
              <a16:creationId xmlns:a16="http://schemas.microsoft.com/office/drawing/2014/main" id="{ECC16637-BC44-409A-B5E8-1008E41CB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31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3042</xdr:row>
      <xdr:rowOff>0</xdr:rowOff>
    </xdr:from>
    <xdr:to>
      <xdr:col>0</xdr:col>
      <xdr:colOff>9525</xdr:colOff>
      <xdr:row>3042</xdr:row>
      <xdr:rowOff>9525</xdr:rowOff>
    </xdr:to>
    <xdr:pic>
      <xdr:nvPicPr>
        <xdr:cNvPr id="1603" name="Obraz 1602">
          <a:extLst>
            <a:ext uri="{FF2B5EF4-FFF2-40B4-BE49-F238E27FC236}">
              <a16:creationId xmlns:a16="http://schemas.microsoft.com/office/drawing/2014/main" id="{3F17BE74-4C00-41F8-839E-FA126612F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26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3045</xdr:row>
      <xdr:rowOff>0</xdr:rowOff>
    </xdr:from>
    <xdr:to>
      <xdr:col>0</xdr:col>
      <xdr:colOff>9525</xdr:colOff>
      <xdr:row>3045</xdr:row>
      <xdr:rowOff>9525</xdr:rowOff>
    </xdr:to>
    <xdr:pic>
      <xdr:nvPicPr>
        <xdr:cNvPr id="1604" name="Obraz 1603">
          <a:extLst>
            <a:ext uri="{FF2B5EF4-FFF2-40B4-BE49-F238E27FC236}">
              <a16:creationId xmlns:a16="http://schemas.microsoft.com/office/drawing/2014/main" id="{7076BC9A-6F8B-48F6-86DD-A67EE1AF4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02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3048</xdr:row>
      <xdr:rowOff>0</xdr:rowOff>
    </xdr:from>
    <xdr:to>
      <xdr:col>0</xdr:col>
      <xdr:colOff>9525</xdr:colOff>
      <xdr:row>3048</xdr:row>
      <xdr:rowOff>9525</xdr:rowOff>
    </xdr:to>
    <xdr:pic>
      <xdr:nvPicPr>
        <xdr:cNvPr id="1605" name="Obraz 1604">
          <a:extLst>
            <a:ext uri="{FF2B5EF4-FFF2-40B4-BE49-F238E27FC236}">
              <a16:creationId xmlns:a16="http://schemas.microsoft.com/office/drawing/2014/main" id="{732601F1-C68D-4A67-A24C-0A199C913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78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3049</xdr:row>
      <xdr:rowOff>0</xdr:rowOff>
    </xdr:from>
    <xdr:to>
      <xdr:col>0</xdr:col>
      <xdr:colOff>9525</xdr:colOff>
      <xdr:row>3049</xdr:row>
      <xdr:rowOff>9525</xdr:rowOff>
    </xdr:to>
    <xdr:pic>
      <xdr:nvPicPr>
        <xdr:cNvPr id="1606" name="Obraz 1605">
          <a:extLst>
            <a:ext uri="{FF2B5EF4-FFF2-40B4-BE49-F238E27FC236}">
              <a16:creationId xmlns:a16="http://schemas.microsoft.com/office/drawing/2014/main" id="{D67951FC-8EC1-44D4-91C9-45D42ECD6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83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3052</xdr:row>
      <xdr:rowOff>0</xdr:rowOff>
    </xdr:from>
    <xdr:to>
      <xdr:col>0</xdr:col>
      <xdr:colOff>9525</xdr:colOff>
      <xdr:row>3052</xdr:row>
      <xdr:rowOff>9525</xdr:rowOff>
    </xdr:to>
    <xdr:pic>
      <xdr:nvPicPr>
        <xdr:cNvPr id="1607" name="Obraz 1606">
          <a:extLst>
            <a:ext uri="{FF2B5EF4-FFF2-40B4-BE49-F238E27FC236}">
              <a16:creationId xmlns:a16="http://schemas.microsoft.com/office/drawing/2014/main" id="{C1F2389A-28C9-4E86-A3F0-89AB30A5E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59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3055</xdr:row>
      <xdr:rowOff>0</xdr:rowOff>
    </xdr:from>
    <xdr:to>
      <xdr:col>0</xdr:col>
      <xdr:colOff>9525</xdr:colOff>
      <xdr:row>3055</xdr:row>
      <xdr:rowOff>9525</xdr:rowOff>
    </xdr:to>
    <xdr:pic>
      <xdr:nvPicPr>
        <xdr:cNvPr id="1608" name="Obraz 1607">
          <a:extLst>
            <a:ext uri="{FF2B5EF4-FFF2-40B4-BE49-F238E27FC236}">
              <a16:creationId xmlns:a16="http://schemas.microsoft.com/office/drawing/2014/main" id="{81C95C08-66ED-494C-B06B-3960F86603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35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3059</xdr:row>
      <xdr:rowOff>0</xdr:rowOff>
    </xdr:from>
    <xdr:to>
      <xdr:col>0</xdr:col>
      <xdr:colOff>9525</xdr:colOff>
      <xdr:row>3059</xdr:row>
      <xdr:rowOff>9525</xdr:rowOff>
    </xdr:to>
    <xdr:pic>
      <xdr:nvPicPr>
        <xdr:cNvPr id="1609" name="Obraz 1608">
          <a:extLst>
            <a:ext uri="{FF2B5EF4-FFF2-40B4-BE49-F238E27FC236}">
              <a16:creationId xmlns:a16="http://schemas.microsoft.com/office/drawing/2014/main" id="{0B4D84BF-7B6D-45F2-B238-1C66B9868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331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3063</xdr:row>
      <xdr:rowOff>0</xdr:rowOff>
    </xdr:from>
    <xdr:to>
      <xdr:col>0</xdr:col>
      <xdr:colOff>9525</xdr:colOff>
      <xdr:row>3063</xdr:row>
      <xdr:rowOff>9525</xdr:rowOff>
    </xdr:to>
    <xdr:pic>
      <xdr:nvPicPr>
        <xdr:cNvPr id="1610" name="Obraz 1609">
          <a:extLst>
            <a:ext uri="{FF2B5EF4-FFF2-40B4-BE49-F238E27FC236}">
              <a16:creationId xmlns:a16="http://schemas.microsoft.com/office/drawing/2014/main" id="{FC6F4C55-F727-447D-AEA5-8584FDF267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26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3066</xdr:row>
      <xdr:rowOff>0</xdr:rowOff>
    </xdr:from>
    <xdr:to>
      <xdr:col>0</xdr:col>
      <xdr:colOff>9525</xdr:colOff>
      <xdr:row>3066</xdr:row>
      <xdr:rowOff>9525</xdr:rowOff>
    </xdr:to>
    <xdr:pic>
      <xdr:nvPicPr>
        <xdr:cNvPr id="1611" name="Obraz 1610">
          <a:extLst>
            <a:ext uri="{FF2B5EF4-FFF2-40B4-BE49-F238E27FC236}">
              <a16:creationId xmlns:a16="http://schemas.microsoft.com/office/drawing/2014/main" id="{CAA053F4-442B-494B-8ECD-D96A297CA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02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3070</xdr:row>
      <xdr:rowOff>0</xdr:rowOff>
    </xdr:from>
    <xdr:to>
      <xdr:col>0</xdr:col>
      <xdr:colOff>9525</xdr:colOff>
      <xdr:row>3070</xdr:row>
      <xdr:rowOff>9525</xdr:rowOff>
    </xdr:to>
    <xdr:pic>
      <xdr:nvPicPr>
        <xdr:cNvPr id="1612" name="Obraz 1611">
          <a:extLst>
            <a:ext uri="{FF2B5EF4-FFF2-40B4-BE49-F238E27FC236}">
              <a16:creationId xmlns:a16="http://schemas.microsoft.com/office/drawing/2014/main" id="{5677F3A4-8246-4404-A63E-EC05E3B0C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83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3073</xdr:row>
      <xdr:rowOff>0</xdr:rowOff>
    </xdr:from>
    <xdr:to>
      <xdr:col>0</xdr:col>
      <xdr:colOff>9525</xdr:colOff>
      <xdr:row>3073</xdr:row>
      <xdr:rowOff>9525</xdr:rowOff>
    </xdr:to>
    <xdr:pic>
      <xdr:nvPicPr>
        <xdr:cNvPr id="1613" name="Obraz 1612">
          <a:extLst>
            <a:ext uri="{FF2B5EF4-FFF2-40B4-BE49-F238E27FC236}">
              <a16:creationId xmlns:a16="http://schemas.microsoft.com/office/drawing/2014/main" id="{5DED7675-F0B6-4C72-8386-19DD243A9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559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3077</xdr:row>
      <xdr:rowOff>0</xdr:rowOff>
    </xdr:from>
    <xdr:to>
      <xdr:col>0</xdr:col>
      <xdr:colOff>9525</xdr:colOff>
      <xdr:row>3077</xdr:row>
      <xdr:rowOff>9525</xdr:rowOff>
    </xdr:to>
    <xdr:pic>
      <xdr:nvPicPr>
        <xdr:cNvPr id="1614" name="Obraz 1613">
          <a:extLst>
            <a:ext uri="{FF2B5EF4-FFF2-40B4-BE49-F238E27FC236}">
              <a16:creationId xmlns:a16="http://schemas.microsoft.com/office/drawing/2014/main" id="{E8F62488-6B8D-45F3-A2E3-ECBFFAD54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54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3081</xdr:row>
      <xdr:rowOff>0</xdr:rowOff>
    </xdr:from>
    <xdr:to>
      <xdr:col>0</xdr:col>
      <xdr:colOff>9525</xdr:colOff>
      <xdr:row>3081</xdr:row>
      <xdr:rowOff>9525</xdr:rowOff>
    </xdr:to>
    <xdr:pic>
      <xdr:nvPicPr>
        <xdr:cNvPr id="1615" name="Obraz 1614">
          <a:extLst>
            <a:ext uri="{FF2B5EF4-FFF2-40B4-BE49-F238E27FC236}">
              <a16:creationId xmlns:a16="http://schemas.microsoft.com/office/drawing/2014/main" id="{81D8833D-A73C-4536-901F-9DA83A1E18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93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3084</xdr:row>
      <xdr:rowOff>0</xdr:rowOff>
    </xdr:from>
    <xdr:to>
      <xdr:col>0</xdr:col>
      <xdr:colOff>9525</xdr:colOff>
      <xdr:row>3084</xdr:row>
      <xdr:rowOff>9525</xdr:rowOff>
    </xdr:to>
    <xdr:pic>
      <xdr:nvPicPr>
        <xdr:cNvPr id="1616" name="Obraz 1615">
          <a:extLst>
            <a:ext uri="{FF2B5EF4-FFF2-40B4-BE49-F238E27FC236}">
              <a16:creationId xmlns:a16="http://schemas.microsoft.com/office/drawing/2014/main" id="{F582302F-5B89-4D26-9CCB-1603C6DB1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769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3088</xdr:row>
      <xdr:rowOff>0</xdr:rowOff>
    </xdr:from>
    <xdr:to>
      <xdr:col>0</xdr:col>
      <xdr:colOff>9525</xdr:colOff>
      <xdr:row>3088</xdr:row>
      <xdr:rowOff>9525</xdr:rowOff>
    </xdr:to>
    <xdr:pic>
      <xdr:nvPicPr>
        <xdr:cNvPr id="1617" name="Obraz 1616">
          <a:extLst>
            <a:ext uri="{FF2B5EF4-FFF2-40B4-BE49-F238E27FC236}">
              <a16:creationId xmlns:a16="http://schemas.microsoft.com/office/drawing/2014/main" id="{3ADC0504-DFDD-4B7B-8E3F-E1208A178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64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3092</xdr:row>
      <xdr:rowOff>0</xdr:rowOff>
    </xdr:from>
    <xdr:to>
      <xdr:col>0</xdr:col>
      <xdr:colOff>9525</xdr:colOff>
      <xdr:row>3092</xdr:row>
      <xdr:rowOff>9525</xdr:rowOff>
    </xdr:to>
    <xdr:pic>
      <xdr:nvPicPr>
        <xdr:cNvPr id="1618" name="Obraz 1617">
          <a:extLst>
            <a:ext uri="{FF2B5EF4-FFF2-40B4-BE49-F238E27FC236}">
              <a16:creationId xmlns:a16="http://schemas.microsoft.com/office/drawing/2014/main" id="{25BF489A-08CB-42AA-9E04-1B7704969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02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3096</xdr:row>
      <xdr:rowOff>0</xdr:rowOff>
    </xdr:from>
    <xdr:to>
      <xdr:col>0</xdr:col>
      <xdr:colOff>9525</xdr:colOff>
      <xdr:row>3096</xdr:row>
      <xdr:rowOff>9525</xdr:rowOff>
    </xdr:to>
    <xdr:pic>
      <xdr:nvPicPr>
        <xdr:cNvPr id="1619" name="Obraz 1618">
          <a:extLst>
            <a:ext uri="{FF2B5EF4-FFF2-40B4-BE49-F238E27FC236}">
              <a16:creationId xmlns:a16="http://schemas.microsoft.com/office/drawing/2014/main" id="{D8583BF6-E219-48F6-A441-945C203BB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997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3099</xdr:row>
      <xdr:rowOff>0</xdr:rowOff>
    </xdr:from>
    <xdr:to>
      <xdr:col>0</xdr:col>
      <xdr:colOff>9525</xdr:colOff>
      <xdr:row>3099</xdr:row>
      <xdr:rowOff>9525</xdr:rowOff>
    </xdr:to>
    <xdr:pic>
      <xdr:nvPicPr>
        <xdr:cNvPr id="1620" name="Obraz 1619">
          <a:extLst>
            <a:ext uri="{FF2B5EF4-FFF2-40B4-BE49-F238E27FC236}">
              <a16:creationId xmlns:a16="http://schemas.microsoft.com/office/drawing/2014/main" id="{A9479627-18D9-448F-89BB-B6D23CB845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74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0</xdr:col>
      <xdr:colOff>9525</xdr:colOff>
      <xdr:row>3103</xdr:row>
      <xdr:rowOff>9525</xdr:rowOff>
    </xdr:to>
    <xdr:pic>
      <xdr:nvPicPr>
        <xdr:cNvPr id="1621" name="Obraz 1620">
          <a:extLst>
            <a:ext uri="{FF2B5EF4-FFF2-40B4-BE49-F238E27FC236}">
              <a16:creationId xmlns:a16="http://schemas.microsoft.com/office/drawing/2014/main" id="{83A282DF-83E9-40B5-8FE7-2B65701D2F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169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3107</xdr:row>
      <xdr:rowOff>0</xdr:rowOff>
    </xdr:from>
    <xdr:to>
      <xdr:col>0</xdr:col>
      <xdr:colOff>9525</xdr:colOff>
      <xdr:row>3107</xdr:row>
      <xdr:rowOff>9525</xdr:rowOff>
    </xdr:to>
    <xdr:pic>
      <xdr:nvPicPr>
        <xdr:cNvPr id="1622" name="Obraz 1621">
          <a:extLst>
            <a:ext uri="{FF2B5EF4-FFF2-40B4-BE49-F238E27FC236}">
              <a16:creationId xmlns:a16="http://schemas.microsoft.com/office/drawing/2014/main" id="{6050CD5D-537E-40E7-B833-32DD1BF4D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64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3110</xdr:row>
      <xdr:rowOff>0</xdr:rowOff>
    </xdr:from>
    <xdr:to>
      <xdr:col>0</xdr:col>
      <xdr:colOff>9525</xdr:colOff>
      <xdr:row>3110</xdr:row>
      <xdr:rowOff>9525</xdr:rowOff>
    </xdr:to>
    <xdr:pic>
      <xdr:nvPicPr>
        <xdr:cNvPr id="1623" name="Obraz 1622">
          <a:extLst>
            <a:ext uri="{FF2B5EF4-FFF2-40B4-BE49-F238E27FC236}">
              <a16:creationId xmlns:a16="http://schemas.microsoft.com/office/drawing/2014/main" id="{C17E0193-A915-4DFB-82A7-7374D2F25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40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3114</xdr:row>
      <xdr:rowOff>0</xdr:rowOff>
    </xdr:from>
    <xdr:to>
      <xdr:col>0</xdr:col>
      <xdr:colOff>9525</xdr:colOff>
      <xdr:row>3114</xdr:row>
      <xdr:rowOff>9525</xdr:rowOff>
    </xdr:to>
    <xdr:pic>
      <xdr:nvPicPr>
        <xdr:cNvPr id="1624" name="Obraz 1623">
          <a:extLst>
            <a:ext uri="{FF2B5EF4-FFF2-40B4-BE49-F238E27FC236}">
              <a16:creationId xmlns:a16="http://schemas.microsoft.com/office/drawing/2014/main" id="{4B0F36B8-78F7-45BF-97EE-05DEEFB2D0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321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3118</xdr:row>
      <xdr:rowOff>0</xdr:rowOff>
    </xdr:from>
    <xdr:to>
      <xdr:col>0</xdr:col>
      <xdr:colOff>9525</xdr:colOff>
      <xdr:row>3118</xdr:row>
      <xdr:rowOff>9525</xdr:rowOff>
    </xdr:to>
    <xdr:pic>
      <xdr:nvPicPr>
        <xdr:cNvPr id="1625" name="Obraz 1624">
          <a:extLst>
            <a:ext uri="{FF2B5EF4-FFF2-40B4-BE49-F238E27FC236}">
              <a16:creationId xmlns:a16="http://schemas.microsoft.com/office/drawing/2014/main" id="{96649A08-1B02-45CE-B6B4-D1DD0DC5C9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16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3121</xdr:row>
      <xdr:rowOff>0</xdr:rowOff>
    </xdr:from>
    <xdr:to>
      <xdr:col>0</xdr:col>
      <xdr:colOff>9525</xdr:colOff>
      <xdr:row>3121</xdr:row>
      <xdr:rowOff>9525</xdr:rowOff>
    </xdr:to>
    <xdr:pic>
      <xdr:nvPicPr>
        <xdr:cNvPr id="1626" name="Obraz 1625">
          <a:extLst>
            <a:ext uri="{FF2B5EF4-FFF2-40B4-BE49-F238E27FC236}">
              <a16:creationId xmlns:a16="http://schemas.microsoft.com/office/drawing/2014/main" id="{E76527A1-14FB-4675-BDE7-EDAA2A65D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93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3125</xdr:row>
      <xdr:rowOff>0</xdr:rowOff>
    </xdr:from>
    <xdr:to>
      <xdr:col>0</xdr:col>
      <xdr:colOff>9525</xdr:colOff>
      <xdr:row>3125</xdr:row>
      <xdr:rowOff>9525</xdr:rowOff>
    </xdr:to>
    <xdr:pic>
      <xdr:nvPicPr>
        <xdr:cNvPr id="1627" name="Obraz 1626">
          <a:extLst>
            <a:ext uri="{FF2B5EF4-FFF2-40B4-BE49-F238E27FC236}">
              <a16:creationId xmlns:a16="http://schemas.microsoft.com/office/drawing/2014/main" id="{6EC6756F-4B2F-41B1-821C-B1E6EE2C2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588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3129</xdr:row>
      <xdr:rowOff>0</xdr:rowOff>
    </xdr:from>
    <xdr:to>
      <xdr:col>0</xdr:col>
      <xdr:colOff>9525</xdr:colOff>
      <xdr:row>3129</xdr:row>
      <xdr:rowOff>9525</xdr:rowOff>
    </xdr:to>
    <xdr:pic>
      <xdr:nvPicPr>
        <xdr:cNvPr id="1628" name="Obraz 1627">
          <a:extLst>
            <a:ext uri="{FF2B5EF4-FFF2-40B4-BE49-F238E27FC236}">
              <a16:creationId xmlns:a16="http://schemas.microsoft.com/office/drawing/2014/main" id="{FA760B3D-3533-4B28-AC68-EC46B7821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83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3133</xdr:row>
      <xdr:rowOff>0</xdr:rowOff>
    </xdr:from>
    <xdr:to>
      <xdr:col>0</xdr:col>
      <xdr:colOff>9525</xdr:colOff>
      <xdr:row>3133</xdr:row>
      <xdr:rowOff>9525</xdr:rowOff>
    </xdr:to>
    <xdr:pic>
      <xdr:nvPicPr>
        <xdr:cNvPr id="1629" name="Obraz 1628">
          <a:extLst>
            <a:ext uri="{FF2B5EF4-FFF2-40B4-BE49-F238E27FC236}">
              <a16:creationId xmlns:a16="http://schemas.microsoft.com/office/drawing/2014/main" id="{D4B0B7F2-5CD3-4946-9B1F-70AC13581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78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3136</xdr:row>
      <xdr:rowOff>0</xdr:rowOff>
    </xdr:from>
    <xdr:to>
      <xdr:col>0</xdr:col>
      <xdr:colOff>9525</xdr:colOff>
      <xdr:row>3136</xdr:row>
      <xdr:rowOff>9525</xdr:rowOff>
    </xdr:to>
    <xdr:pic>
      <xdr:nvPicPr>
        <xdr:cNvPr id="1630" name="Obraz 1629">
          <a:extLst>
            <a:ext uri="{FF2B5EF4-FFF2-40B4-BE49-F238E27FC236}">
              <a16:creationId xmlns:a16="http://schemas.microsoft.com/office/drawing/2014/main" id="{7019A83A-D502-4742-B9D6-323F9D7F1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740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3141</xdr:row>
      <xdr:rowOff>0</xdr:rowOff>
    </xdr:from>
    <xdr:to>
      <xdr:col>0</xdr:col>
      <xdr:colOff>9525</xdr:colOff>
      <xdr:row>3141</xdr:row>
      <xdr:rowOff>9525</xdr:rowOff>
    </xdr:to>
    <xdr:pic>
      <xdr:nvPicPr>
        <xdr:cNvPr id="1631" name="Obraz 1630">
          <a:extLst>
            <a:ext uri="{FF2B5EF4-FFF2-40B4-BE49-F238E27FC236}">
              <a16:creationId xmlns:a16="http://schemas.microsoft.com/office/drawing/2014/main" id="{BB3DB074-2A7F-45AA-9D06-AA40CDA31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55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3144</xdr:row>
      <xdr:rowOff>0</xdr:rowOff>
    </xdr:from>
    <xdr:to>
      <xdr:col>0</xdr:col>
      <xdr:colOff>9525</xdr:colOff>
      <xdr:row>3144</xdr:row>
      <xdr:rowOff>9525</xdr:rowOff>
    </xdr:to>
    <xdr:pic>
      <xdr:nvPicPr>
        <xdr:cNvPr id="1632" name="Obraz 1631">
          <a:extLst>
            <a:ext uri="{FF2B5EF4-FFF2-40B4-BE49-F238E27FC236}">
              <a16:creationId xmlns:a16="http://schemas.microsoft.com/office/drawing/2014/main" id="{FA3708C3-B56A-4D00-B53E-95BB40A2E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31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3147</xdr:row>
      <xdr:rowOff>0</xdr:rowOff>
    </xdr:from>
    <xdr:to>
      <xdr:col>0</xdr:col>
      <xdr:colOff>9525</xdr:colOff>
      <xdr:row>3147</xdr:row>
      <xdr:rowOff>9525</xdr:rowOff>
    </xdr:to>
    <xdr:pic>
      <xdr:nvPicPr>
        <xdr:cNvPr id="1633" name="Obraz 1632">
          <a:extLst>
            <a:ext uri="{FF2B5EF4-FFF2-40B4-BE49-F238E27FC236}">
              <a16:creationId xmlns:a16="http://schemas.microsoft.com/office/drawing/2014/main" id="{479AC4A2-0F06-480F-9D69-0A08D504D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07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3147</xdr:row>
      <xdr:rowOff>0</xdr:rowOff>
    </xdr:from>
    <xdr:to>
      <xdr:col>0</xdr:col>
      <xdr:colOff>9525</xdr:colOff>
      <xdr:row>3147</xdr:row>
      <xdr:rowOff>9525</xdr:rowOff>
    </xdr:to>
    <xdr:pic>
      <xdr:nvPicPr>
        <xdr:cNvPr id="1634" name="Obraz 1633">
          <a:extLst>
            <a:ext uri="{FF2B5EF4-FFF2-40B4-BE49-F238E27FC236}">
              <a16:creationId xmlns:a16="http://schemas.microsoft.com/office/drawing/2014/main" id="{B9A2B0E3-CC5D-423F-910E-04AAE4E29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45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3149</xdr:row>
      <xdr:rowOff>0</xdr:rowOff>
    </xdr:from>
    <xdr:to>
      <xdr:col>0</xdr:col>
      <xdr:colOff>9525</xdr:colOff>
      <xdr:row>3149</xdr:row>
      <xdr:rowOff>9525</xdr:rowOff>
    </xdr:to>
    <xdr:pic>
      <xdr:nvPicPr>
        <xdr:cNvPr id="1635" name="Obraz 1634">
          <a:extLst>
            <a:ext uri="{FF2B5EF4-FFF2-40B4-BE49-F238E27FC236}">
              <a16:creationId xmlns:a16="http://schemas.microsoft.com/office/drawing/2014/main" id="{82731727-F4A6-470B-B312-CE1271925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988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3152</xdr:row>
      <xdr:rowOff>0</xdr:rowOff>
    </xdr:from>
    <xdr:to>
      <xdr:col>0</xdr:col>
      <xdr:colOff>9525</xdr:colOff>
      <xdr:row>3152</xdr:row>
      <xdr:rowOff>9525</xdr:rowOff>
    </xdr:to>
    <xdr:pic>
      <xdr:nvPicPr>
        <xdr:cNvPr id="1636" name="Obraz 1635">
          <a:extLst>
            <a:ext uri="{FF2B5EF4-FFF2-40B4-BE49-F238E27FC236}">
              <a16:creationId xmlns:a16="http://schemas.microsoft.com/office/drawing/2014/main" id="{219C23AF-C852-42F6-BF05-B2221B19B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64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3156</xdr:row>
      <xdr:rowOff>0</xdr:rowOff>
    </xdr:from>
    <xdr:to>
      <xdr:col>0</xdr:col>
      <xdr:colOff>9525</xdr:colOff>
      <xdr:row>3156</xdr:row>
      <xdr:rowOff>9525</xdr:rowOff>
    </xdr:to>
    <xdr:pic>
      <xdr:nvPicPr>
        <xdr:cNvPr id="1637" name="Obraz 1636">
          <a:extLst>
            <a:ext uri="{FF2B5EF4-FFF2-40B4-BE49-F238E27FC236}">
              <a16:creationId xmlns:a16="http://schemas.microsoft.com/office/drawing/2014/main" id="{C771E0DC-B383-4A1A-810C-F4E8F8A56B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159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3159</xdr:row>
      <xdr:rowOff>0</xdr:rowOff>
    </xdr:from>
    <xdr:to>
      <xdr:col>0</xdr:col>
      <xdr:colOff>9525</xdr:colOff>
      <xdr:row>3159</xdr:row>
      <xdr:rowOff>9525</xdr:rowOff>
    </xdr:to>
    <xdr:pic>
      <xdr:nvPicPr>
        <xdr:cNvPr id="1638" name="Obraz 1637">
          <a:extLst>
            <a:ext uri="{FF2B5EF4-FFF2-40B4-BE49-F238E27FC236}">
              <a16:creationId xmlns:a16="http://schemas.microsoft.com/office/drawing/2014/main" id="{64C92D40-20F3-4061-B944-3E418ADC0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36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3160</xdr:row>
      <xdr:rowOff>0</xdr:rowOff>
    </xdr:from>
    <xdr:to>
      <xdr:col>0</xdr:col>
      <xdr:colOff>9525</xdr:colOff>
      <xdr:row>3160</xdr:row>
      <xdr:rowOff>9525</xdr:rowOff>
    </xdr:to>
    <xdr:pic>
      <xdr:nvPicPr>
        <xdr:cNvPr id="1639" name="Obraz 1638">
          <a:extLst>
            <a:ext uri="{FF2B5EF4-FFF2-40B4-BE49-F238E27FC236}">
              <a16:creationId xmlns:a16="http://schemas.microsoft.com/office/drawing/2014/main" id="{610604D6-0043-4147-9C8F-B18AA1C97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74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3160</xdr:row>
      <xdr:rowOff>0</xdr:rowOff>
    </xdr:from>
    <xdr:to>
      <xdr:col>0</xdr:col>
      <xdr:colOff>9525</xdr:colOff>
      <xdr:row>3160</xdr:row>
      <xdr:rowOff>9525</xdr:rowOff>
    </xdr:to>
    <xdr:pic>
      <xdr:nvPicPr>
        <xdr:cNvPr id="1640" name="Obraz 1639">
          <a:extLst>
            <a:ext uri="{FF2B5EF4-FFF2-40B4-BE49-F238E27FC236}">
              <a16:creationId xmlns:a16="http://schemas.microsoft.com/office/drawing/2014/main" id="{132567E6-1A5A-4831-BDA7-7548112C62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12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3161</xdr:row>
      <xdr:rowOff>0</xdr:rowOff>
    </xdr:from>
    <xdr:to>
      <xdr:col>0</xdr:col>
      <xdr:colOff>9525</xdr:colOff>
      <xdr:row>3161</xdr:row>
      <xdr:rowOff>9525</xdr:rowOff>
    </xdr:to>
    <xdr:pic>
      <xdr:nvPicPr>
        <xdr:cNvPr id="1641" name="Obraz 1640">
          <a:extLst>
            <a:ext uri="{FF2B5EF4-FFF2-40B4-BE49-F238E27FC236}">
              <a16:creationId xmlns:a16="http://schemas.microsoft.com/office/drawing/2014/main" id="{ABA0FFAC-8A9D-477C-B19F-53B93EA22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350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3163</xdr:row>
      <xdr:rowOff>0</xdr:rowOff>
    </xdr:from>
    <xdr:to>
      <xdr:col>0</xdr:col>
      <xdr:colOff>9525</xdr:colOff>
      <xdr:row>3163</xdr:row>
      <xdr:rowOff>9525</xdr:rowOff>
    </xdr:to>
    <xdr:pic>
      <xdr:nvPicPr>
        <xdr:cNvPr id="1642" name="Obraz 1641">
          <a:extLst>
            <a:ext uri="{FF2B5EF4-FFF2-40B4-BE49-F238E27FC236}">
              <a16:creationId xmlns:a16="http://schemas.microsoft.com/office/drawing/2014/main" id="{F20F0656-782D-4C21-9B03-91F2F864B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07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3166</xdr:row>
      <xdr:rowOff>0</xdr:rowOff>
    </xdr:from>
    <xdr:to>
      <xdr:col>0</xdr:col>
      <xdr:colOff>9525</xdr:colOff>
      <xdr:row>3166</xdr:row>
      <xdr:rowOff>9525</xdr:rowOff>
    </xdr:to>
    <xdr:pic>
      <xdr:nvPicPr>
        <xdr:cNvPr id="1643" name="Obraz 1642">
          <a:extLst>
            <a:ext uri="{FF2B5EF4-FFF2-40B4-BE49-F238E27FC236}">
              <a16:creationId xmlns:a16="http://schemas.microsoft.com/office/drawing/2014/main" id="{A57A7F4D-03A1-426D-8BBB-3DE69D52EF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83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3170</xdr:row>
      <xdr:rowOff>0</xdr:rowOff>
    </xdr:from>
    <xdr:to>
      <xdr:col>0</xdr:col>
      <xdr:colOff>9525</xdr:colOff>
      <xdr:row>3170</xdr:row>
      <xdr:rowOff>9525</xdr:rowOff>
    </xdr:to>
    <xdr:pic>
      <xdr:nvPicPr>
        <xdr:cNvPr id="1644" name="Obraz 1643">
          <a:extLst>
            <a:ext uri="{FF2B5EF4-FFF2-40B4-BE49-F238E27FC236}">
              <a16:creationId xmlns:a16="http://schemas.microsoft.com/office/drawing/2014/main" id="{DC25E30B-6724-4E0C-A941-CDE4220A7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79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3173</xdr:row>
      <xdr:rowOff>0</xdr:rowOff>
    </xdr:from>
    <xdr:to>
      <xdr:col>0</xdr:col>
      <xdr:colOff>9525</xdr:colOff>
      <xdr:row>3173</xdr:row>
      <xdr:rowOff>9525</xdr:rowOff>
    </xdr:to>
    <xdr:pic>
      <xdr:nvPicPr>
        <xdr:cNvPr id="1645" name="Obraz 1644">
          <a:extLst>
            <a:ext uri="{FF2B5EF4-FFF2-40B4-BE49-F238E27FC236}">
              <a16:creationId xmlns:a16="http://schemas.microsoft.com/office/drawing/2014/main" id="{22511225-8D63-46C8-BC6A-3853DA90E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55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3174</xdr:row>
      <xdr:rowOff>0</xdr:rowOff>
    </xdr:from>
    <xdr:to>
      <xdr:col>0</xdr:col>
      <xdr:colOff>9525</xdr:colOff>
      <xdr:row>3174</xdr:row>
      <xdr:rowOff>9525</xdr:rowOff>
    </xdr:to>
    <xdr:pic>
      <xdr:nvPicPr>
        <xdr:cNvPr id="1646" name="Obraz 1645">
          <a:extLst>
            <a:ext uri="{FF2B5EF4-FFF2-40B4-BE49-F238E27FC236}">
              <a16:creationId xmlns:a16="http://schemas.microsoft.com/office/drawing/2014/main" id="{D2E2CDA1-9FB4-41F6-8174-EE4A69B57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93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3175</xdr:row>
      <xdr:rowOff>0</xdr:rowOff>
    </xdr:from>
    <xdr:to>
      <xdr:col>0</xdr:col>
      <xdr:colOff>9525</xdr:colOff>
      <xdr:row>3175</xdr:row>
      <xdr:rowOff>9525</xdr:rowOff>
    </xdr:to>
    <xdr:pic>
      <xdr:nvPicPr>
        <xdr:cNvPr id="1647" name="Obraz 1646">
          <a:extLst>
            <a:ext uri="{FF2B5EF4-FFF2-40B4-BE49-F238E27FC236}">
              <a16:creationId xmlns:a16="http://schemas.microsoft.com/office/drawing/2014/main" id="{3242FEB2-CAB1-4BFA-8AB4-0392772BC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31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3175</xdr:row>
      <xdr:rowOff>0</xdr:rowOff>
    </xdr:from>
    <xdr:to>
      <xdr:col>0</xdr:col>
      <xdr:colOff>9525</xdr:colOff>
      <xdr:row>3175</xdr:row>
      <xdr:rowOff>9525</xdr:rowOff>
    </xdr:to>
    <xdr:pic>
      <xdr:nvPicPr>
        <xdr:cNvPr id="1648" name="Obraz 1647">
          <a:extLst>
            <a:ext uri="{FF2B5EF4-FFF2-40B4-BE49-F238E27FC236}">
              <a16:creationId xmlns:a16="http://schemas.microsoft.com/office/drawing/2014/main" id="{F9D2CECA-001A-474B-8B53-AF17BE17D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69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3177</xdr:row>
      <xdr:rowOff>0</xdr:rowOff>
    </xdr:from>
    <xdr:to>
      <xdr:col>0</xdr:col>
      <xdr:colOff>9525</xdr:colOff>
      <xdr:row>3177</xdr:row>
      <xdr:rowOff>9525</xdr:rowOff>
    </xdr:to>
    <xdr:pic>
      <xdr:nvPicPr>
        <xdr:cNvPr id="1649" name="Obraz 1648">
          <a:extLst>
            <a:ext uri="{FF2B5EF4-FFF2-40B4-BE49-F238E27FC236}">
              <a16:creationId xmlns:a16="http://schemas.microsoft.com/office/drawing/2014/main" id="{BDF4AD0B-568E-4D84-BDE4-2549A0B24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521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3181</xdr:row>
      <xdr:rowOff>0</xdr:rowOff>
    </xdr:from>
    <xdr:to>
      <xdr:col>0</xdr:col>
      <xdr:colOff>9525</xdr:colOff>
      <xdr:row>3181</xdr:row>
      <xdr:rowOff>9525</xdr:rowOff>
    </xdr:to>
    <xdr:pic>
      <xdr:nvPicPr>
        <xdr:cNvPr id="1650" name="Obraz 1649">
          <a:extLst>
            <a:ext uri="{FF2B5EF4-FFF2-40B4-BE49-F238E27FC236}">
              <a16:creationId xmlns:a16="http://schemas.microsoft.com/office/drawing/2014/main" id="{7F6A4815-E5B7-4F3E-9D7D-8E8DCB6BB4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17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3184</xdr:row>
      <xdr:rowOff>0</xdr:rowOff>
    </xdr:from>
    <xdr:to>
      <xdr:col>0</xdr:col>
      <xdr:colOff>9525</xdr:colOff>
      <xdr:row>3184</xdr:row>
      <xdr:rowOff>9525</xdr:rowOff>
    </xdr:to>
    <xdr:pic>
      <xdr:nvPicPr>
        <xdr:cNvPr id="1651" name="Obraz 1650">
          <a:extLst>
            <a:ext uri="{FF2B5EF4-FFF2-40B4-BE49-F238E27FC236}">
              <a16:creationId xmlns:a16="http://schemas.microsoft.com/office/drawing/2014/main" id="{A02B9225-AE66-4529-AD34-04479B53D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93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3188</xdr:row>
      <xdr:rowOff>0</xdr:rowOff>
    </xdr:from>
    <xdr:to>
      <xdr:col>0</xdr:col>
      <xdr:colOff>9525</xdr:colOff>
      <xdr:row>3188</xdr:row>
      <xdr:rowOff>9525</xdr:rowOff>
    </xdr:to>
    <xdr:pic>
      <xdr:nvPicPr>
        <xdr:cNvPr id="1652" name="Obraz 1651">
          <a:extLst>
            <a:ext uri="{FF2B5EF4-FFF2-40B4-BE49-F238E27FC236}">
              <a16:creationId xmlns:a16="http://schemas.microsoft.com/office/drawing/2014/main" id="{72F70EDA-CA49-4201-AD05-FA38758DB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88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3191</xdr:row>
      <xdr:rowOff>0</xdr:rowOff>
    </xdr:from>
    <xdr:to>
      <xdr:col>0</xdr:col>
      <xdr:colOff>9525</xdr:colOff>
      <xdr:row>3191</xdr:row>
      <xdr:rowOff>9525</xdr:rowOff>
    </xdr:to>
    <xdr:pic>
      <xdr:nvPicPr>
        <xdr:cNvPr id="1653" name="Obraz 1652">
          <a:extLst>
            <a:ext uri="{FF2B5EF4-FFF2-40B4-BE49-F238E27FC236}">
              <a16:creationId xmlns:a16="http://schemas.microsoft.com/office/drawing/2014/main" id="{BD9FCB0E-4079-4F4A-AA59-AFB999FE3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64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3196</xdr:row>
      <xdr:rowOff>0</xdr:rowOff>
    </xdr:from>
    <xdr:to>
      <xdr:col>0</xdr:col>
      <xdr:colOff>9525</xdr:colOff>
      <xdr:row>3196</xdr:row>
      <xdr:rowOff>9525</xdr:rowOff>
    </xdr:to>
    <xdr:pic>
      <xdr:nvPicPr>
        <xdr:cNvPr id="1654" name="Obraz 1653">
          <a:extLst>
            <a:ext uri="{FF2B5EF4-FFF2-40B4-BE49-F238E27FC236}">
              <a16:creationId xmlns:a16="http://schemas.microsoft.com/office/drawing/2014/main" id="{45D151F1-A2BE-41BA-938E-6456DEB43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79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3199</xdr:row>
      <xdr:rowOff>0</xdr:rowOff>
    </xdr:from>
    <xdr:to>
      <xdr:col>0</xdr:col>
      <xdr:colOff>9525</xdr:colOff>
      <xdr:row>3199</xdr:row>
      <xdr:rowOff>9525</xdr:rowOff>
    </xdr:to>
    <xdr:pic>
      <xdr:nvPicPr>
        <xdr:cNvPr id="1655" name="Obraz 1654">
          <a:extLst>
            <a:ext uri="{FF2B5EF4-FFF2-40B4-BE49-F238E27FC236}">
              <a16:creationId xmlns:a16="http://schemas.microsoft.com/office/drawing/2014/main" id="{7DB20E28-7148-4B20-A1DD-7E807049D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940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3202</xdr:row>
      <xdr:rowOff>0</xdr:rowOff>
    </xdr:from>
    <xdr:to>
      <xdr:col>0</xdr:col>
      <xdr:colOff>9525</xdr:colOff>
      <xdr:row>3202</xdr:row>
      <xdr:rowOff>9525</xdr:rowOff>
    </xdr:to>
    <xdr:pic>
      <xdr:nvPicPr>
        <xdr:cNvPr id="1656" name="Obraz 1655">
          <a:extLst>
            <a:ext uri="{FF2B5EF4-FFF2-40B4-BE49-F238E27FC236}">
              <a16:creationId xmlns:a16="http://schemas.microsoft.com/office/drawing/2014/main" id="{3583D74B-3B5A-4343-8143-19AED619C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1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3206</xdr:row>
      <xdr:rowOff>0</xdr:rowOff>
    </xdr:from>
    <xdr:to>
      <xdr:col>0</xdr:col>
      <xdr:colOff>9525</xdr:colOff>
      <xdr:row>3206</xdr:row>
      <xdr:rowOff>9525</xdr:rowOff>
    </xdr:to>
    <xdr:pic>
      <xdr:nvPicPr>
        <xdr:cNvPr id="1657" name="Obraz 1656">
          <a:extLst>
            <a:ext uri="{FF2B5EF4-FFF2-40B4-BE49-F238E27FC236}">
              <a16:creationId xmlns:a16="http://schemas.microsoft.com/office/drawing/2014/main" id="{EC626BB3-5988-4854-8B04-A73BD6865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12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3209</xdr:row>
      <xdr:rowOff>0</xdr:rowOff>
    </xdr:from>
    <xdr:to>
      <xdr:col>0</xdr:col>
      <xdr:colOff>9525</xdr:colOff>
      <xdr:row>3209</xdr:row>
      <xdr:rowOff>9525</xdr:rowOff>
    </xdr:to>
    <xdr:pic>
      <xdr:nvPicPr>
        <xdr:cNvPr id="1658" name="Obraz 1657">
          <a:extLst>
            <a:ext uri="{FF2B5EF4-FFF2-40B4-BE49-F238E27FC236}">
              <a16:creationId xmlns:a16="http://schemas.microsoft.com/office/drawing/2014/main" id="{49BFD815-7706-41A3-874C-156923B32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88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3209</xdr:row>
      <xdr:rowOff>0</xdr:rowOff>
    </xdr:from>
    <xdr:to>
      <xdr:col>0</xdr:col>
      <xdr:colOff>9525</xdr:colOff>
      <xdr:row>3209</xdr:row>
      <xdr:rowOff>9525</xdr:rowOff>
    </xdr:to>
    <xdr:pic>
      <xdr:nvPicPr>
        <xdr:cNvPr id="1659" name="Obraz 1658">
          <a:extLst>
            <a:ext uri="{FF2B5EF4-FFF2-40B4-BE49-F238E27FC236}">
              <a16:creationId xmlns:a16="http://schemas.microsoft.com/office/drawing/2014/main" id="{B0BAA31D-0F16-4B69-AE92-B8BA3471C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26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3210</xdr:row>
      <xdr:rowOff>0</xdr:rowOff>
    </xdr:from>
    <xdr:to>
      <xdr:col>0</xdr:col>
      <xdr:colOff>9525</xdr:colOff>
      <xdr:row>3210</xdr:row>
      <xdr:rowOff>9525</xdr:rowOff>
    </xdr:to>
    <xdr:pic>
      <xdr:nvPicPr>
        <xdr:cNvPr id="1660" name="Obraz 1659">
          <a:extLst>
            <a:ext uri="{FF2B5EF4-FFF2-40B4-BE49-F238E27FC236}">
              <a16:creationId xmlns:a16="http://schemas.microsoft.com/office/drawing/2014/main" id="{B0D15079-6CF4-44B5-849E-93C377802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64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3212</xdr:row>
      <xdr:rowOff>0</xdr:rowOff>
    </xdr:from>
    <xdr:to>
      <xdr:col>0</xdr:col>
      <xdr:colOff>9525</xdr:colOff>
      <xdr:row>3212</xdr:row>
      <xdr:rowOff>9525</xdr:rowOff>
    </xdr:to>
    <xdr:pic>
      <xdr:nvPicPr>
        <xdr:cNvPr id="1661" name="Obraz 1660">
          <a:extLst>
            <a:ext uri="{FF2B5EF4-FFF2-40B4-BE49-F238E27FC236}">
              <a16:creationId xmlns:a16="http://schemas.microsoft.com/office/drawing/2014/main" id="{6DB8FEF3-2E1E-4E10-A0DA-EFFBEC312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21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3215</xdr:row>
      <xdr:rowOff>0</xdr:rowOff>
    </xdr:from>
    <xdr:to>
      <xdr:col>0</xdr:col>
      <xdr:colOff>9525</xdr:colOff>
      <xdr:row>3215</xdr:row>
      <xdr:rowOff>9525</xdr:rowOff>
    </xdr:to>
    <xdr:pic>
      <xdr:nvPicPr>
        <xdr:cNvPr id="1662" name="Obraz 1661">
          <a:extLst>
            <a:ext uri="{FF2B5EF4-FFF2-40B4-BE49-F238E27FC236}">
              <a16:creationId xmlns:a16="http://schemas.microsoft.com/office/drawing/2014/main" id="{5FE85491-98A3-4AC3-A8D3-2FC23D56C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98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3218</xdr:row>
      <xdr:rowOff>0</xdr:rowOff>
    </xdr:from>
    <xdr:to>
      <xdr:col>0</xdr:col>
      <xdr:colOff>9525</xdr:colOff>
      <xdr:row>3218</xdr:row>
      <xdr:rowOff>9525</xdr:rowOff>
    </xdr:to>
    <xdr:pic>
      <xdr:nvPicPr>
        <xdr:cNvPr id="1663" name="Obraz 1662">
          <a:extLst>
            <a:ext uri="{FF2B5EF4-FFF2-40B4-BE49-F238E27FC236}">
              <a16:creationId xmlns:a16="http://schemas.microsoft.com/office/drawing/2014/main" id="{00E7AC13-F04B-48C6-AF75-3AB360439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74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3222</xdr:row>
      <xdr:rowOff>0</xdr:rowOff>
    </xdr:from>
    <xdr:to>
      <xdr:col>0</xdr:col>
      <xdr:colOff>9525</xdr:colOff>
      <xdr:row>3222</xdr:row>
      <xdr:rowOff>9525</xdr:rowOff>
    </xdr:to>
    <xdr:pic>
      <xdr:nvPicPr>
        <xdr:cNvPr id="1664" name="Obraz 1663">
          <a:extLst>
            <a:ext uri="{FF2B5EF4-FFF2-40B4-BE49-F238E27FC236}">
              <a16:creationId xmlns:a16="http://schemas.microsoft.com/office/drawing/2014/main" id="{074CE0AB-ECDB-41F5-B491-B44DDF6DE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79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3225</xdr:row>
      <xdr:rowOff>0</xdr:rowOff>
    </xdr:from>
    <xdr:to>
      <xdr:col>0</xdr:col>
      <xdr:colOff>9525</xdr:colOff>
      <xdr:row>3225</xdr:row>
      <xdr:rowOff>9525</xdr:rowOff>
    </xdr:to>
    <xdr:pic>
      <xdr:nvPicPr>
        <xdr:cNvPr id="1665" name="Obraz 1664">
          <a:extLst>
            <a:ext uri="{FF2B5EF4-FFF2-40B4-BE49-F238E27FC236}">
              <a16:creationId xmlns:a16="http://schemas.microsoft.com/office/drawing/2014/main" id="{4DA663D0-A6CB-454B-A6D7-AD8D9D72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55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3230</xdr:row>
      <xdr:rowOff>0</xdr:rowOff>
    </xdr:from>
    <xdr:to>
      <xdr:col>0</xdr:col>
      <xdr:colOff>9525</xdr:colOff>
      <xdr:row>3230</xdr:row>
      <xdr:rowOff>9525</xdr:rowOff>
    </xdr:to>
    <xdr:pic>
      <xdr:nvPicPr>
        <xdr:cNvPr id="1666" name="Obraz 1665">
          <a:extLst>
            <a:ext uri="{FF2B5EF4-FFF2-40B4-BE49-F238E27FC236}">
              <a16:creationId xmlns:a16="http://schemas.microsoft.com/office/drawing/2014/main" id="{46239D1D-10FA-4550-A878-ACBAA8964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69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3233</xdr:row>
      <xdr:rowOff>0</xdr:rowOff>
    </xdr:from>
    <xdr:to>
      <xdr:col>0</xdr:col>
      <xdr:colOff>9525</xdr:colOff>
      <xdr:row>3233</xdr:row>
      <xdr:rowOff>9525</xdr:rowOff>
    </xdr:to>
    <xdr:pic>
      <xdr:nvPicPr>
        <xdr:cNvPr id="1667" name="Obraz 1666">
          <a:extLst>
            <a:ext uri="{FF2B5EF4-FFF2-40B4-BE49-F238E27FC236}">
              <a16:creationId xmlns:a16="http://schemas.microsoft.com/office/drawing/2014/main" id="{B9333F66-79BA-4704-8055-63C88E7ED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88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3237</xdr:row>
      <xdr:rowOff>0</xdr:rowOff>
    </xdr:from>
    <xdr:to>
      <xdr:col>0</xdr:col>
      <xdr:colOff>9525</xdr:colOff>
      <xdr:row>3237</xdr:row>
      <xdr:rowOff>9525</xdr:rowOff>
    </xdr:to>
    <xdr:pic>
      <xdr:nvPicPr>
        <xdr:cNvPr id="1668" name="Obraz 1667">
          <a:extLst>
            <a:ext uri="{FF2B5EF4-FFF2-40B4-BE49-F238E27FC236}">
              <a16:creationId xmlns:a16="http://schemas.microsoft.com/office/drawing/2014/main" id="{56028404-F451-4E0B-846D-1A43A2E84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83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3240</xdr:row>
      <xdr:rowOff>0</xdr:rowOff>
    </xdr:from>
    <xdr:to>
      <xdr:col>0</xdr:col>
      <xdr:colOff>9525</xdr:colOff>
      <xdr:row>3240</xdr:row>
      <xdr:rowOff>9525</xdr:rowOff>
    </xdr:to>
    <xdr:pic>
      <xdr:nvPicPr>
        <xdr:cNvPr id="1669" name="Obraz 1668">
          <a:extLst>
            <a:ext uri="{FF2B5EF4-FFF2-40B4-BE49-F238E27FC236}">
              <a16:creationId xmlns:a16="http://schemas.microsoft.com/office/drawing/2014/main" id="{ED714845-EA83-4E6A-B921-39C84E0CD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60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3244</xdr:row>
      <xdr:rowOff>0</xdr:rowOff>
    </xdr:from>
    <xdr:to>
      <xdr:col>0</xdr:col>
      <xdr:colOff>9525</xdr:colOff>
      <xdr:row>3244</xdr:row>
      <xdr:rowOff>9525</xdr:rowOff>
    </xdr:to>
    <xdr:pic>
      <xdr:nvPicPr>
        <xdr:cNvPr id="1670" name="Obraz 1669">
          <a:extLst>
            <a:ext uri="{FF2B5EF4-FFF2-40B4-BE49-F238E27FC236}">
              <a16:creationId xmlns:a16="http://schemas.microsoft.com/office/drawing/2014/main" id="{736E6D61-6D36-4360-90A3-CD54547D8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98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3248</xdr:row>
      <xdr:rowOff>0</xdr:rowOff>
    </xdr:from>
    <xdr:to>
      <xdr:col>0</xdr:col>
      <xdr:colOff>9525</xdr:colOff>
      <xdr:row>3248</xdr:row>
      <xdr:rowOff>9525</xdr:rowOff>
    </xdr:to>
    <xdr:pic>
      <xdr:nvPicPr>
        <xdr:cNvPr id="1671" name="Obraz 1670">
          <a:extLst>
            <a:ext uri="{FF2B5EF4-FFF2-40B4-BE49-F238E27FC236}">
              <a16:creationId xmlns:a16="http://schemas.microsoft.com/office/drawing/2014/main" id="{26B186D1-EB1E-4362-85E7-FB817B792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93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3251</xdr:row>
      <xdr:rowOff>0</xdr:rowOff>
    </xdr:from>
    <xdr:to>
      <xdr:col>0</xdr:col>
      <xdr:colOff>9525</xdr:colOff>
      <xdr:row>3251</xdr:row>
      <xdr:rowOff>9525</xdr:rowOff>
    </xdr:to>
    <xdr:pic>
      <xdr:nvPicPr>
        <xdr:cNvPr id="1672" name="Obraz 1671">
          <a:extLst>
            <a:ext uri="{FF2B5EF4-FFF2-40B4-BE49-F238E27FC236}">
              <a16:creationId xmlns:a16="http://schemas.microsoft.com/office/drawing/2014/main" id="{ADC24886-D31C-49BF-B215-73DB41D440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969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3255</xdr:row>
      <xdr:rowOff>0</xdr:rowOff>
    </xdr:from>
    <xdr:to>
      <xdr:col>0</xdr:col>
      <xdr:colOff>9525</xdr:colOff>
      <xdr:row>3255</xdr:row>
      <xdr:rowOff>9525</xdr:rowOff>
    </xdr:to>
    <xdr:pic>
      <xdr:nvPicPr>
        <xdr:cNvPr id="1673" name="Obraz 1672">
          <a:extLst>
            <a:ext uri="{FF2B5EF4-FFF2-40B4-BE49-F238E27FC236}">
              <a16:creationId xmlns:a16="http://schemas.microsoft.com/office/drawing/2014/main" id="{B8378906-FF2E-47E6-8FFE-DFD7924C9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07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3258</xdr:row>
      <xdr:rowOff>0</xdr:rowOff>
    </xdr:from>
    <xdr:to>
      <xdr:col>0</xdr:col>
      <xdr:colOff>9525</xdr:colOff>
      <xdr:row>3258</xdr:row>
      <xdr:rowOff>9525</xdr:rowOff>
    </xdr:to>
    <xdr:pic>
      <xdr:nvPicPr>
        <xdr:cNvPr id="1674" name="Obraz 1673">
          <a:extLst>
            <a:ext uri="{FF2B5EF4-FFF2-40B4-BE49-F238E27FC236}">
              <a16:creationId xmlns:a16="http://schemas.microsoft.com/office/drawing/2014/main" id="{AD6DCA97-60B5-4B78-A8B3-FF018B868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83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3262</xdr:row>
      <xdr:rowOff>0</xdr:rowOff>
    </xdr:from>
    <xdr:to>
      <xdr:col>0</xdr:col>
      <xdr:colOff>9525</xdr:colOff>
      <xdr:row>3262</xdr:row>
      <xdr:rowOff>9525</xdr:rowOff>
    </xdr:to>
    <xdr:pic>
      <xdr:nvPicPr>
        <xdr:cNvPr id="1675" name="Obraz 1674">
          <a:extLst>
            <a:ext uri="{FF2B5EF4-FFF2-40B4-BE49-F238E27FC236}">
              <a16:creationId xmlns:a16="http://schemas.microsoft.com/office/drawing/2014/main" id="{0DE521E5-E030-490C-A2E9-C0774C985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179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3265</xdr:row>
      <xdr:rowOff>0</xdr:rowOff>
    </xdr:from>
    <xdr:to>
      <xdr:col>0</xdr:col>
      <xdr:colOff>9525</xdr:colOff>
      <xdr:row>3265</xdr:row>
      <xdr:rowOff>9525</xdr:rowOff>
    </xdr:to>
    <xdr:pic>
      <xdr:nvPicPr>
        <xdr:cNvPr id="1676" name="Obraz 1675">
          <a:extLst>
            <a:ext uri="{FF2B5EF4-FFF2-40B4-BE49-F238E27FC236}">
              <a16:creationId xmlns:a16="http://schemas.microsoft.com/office/drawing/2014/main" id="{21A9D2BC-CA2B-4236-AD90-E2F59E356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55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3265</xdr:row>
      <xdr:rowOff>0</xdr:rowOff>
    </xdr:from>
    <xdr:to>
      <xdr:col>0</xdr:col>
      <xdr:colOff>9525</xdr:colOff>
      <xdr:row>3265</xdr:row>
      <xdr:rowOff>9525</xdr:rowOff>
    </xdr:to>
    <xdr:pic>
      <xdr:nvPicPr>
        <xdr:cNvPr id="1677" name="Obraz 1676">
          <a:extLst>
            <a:ext uri="{FF2B5EF4-FFF2-40B4-BE49-F238E27FC236}">
              <a16:creationId xmlns:a16="http://schemas.microsoft.com/office/drawing/2014/main" id="{3E8AB2F2-BA58-4E19-8987-5CF045A72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93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3266</xdr:row>
      <xdr:rowOff>0</xdr:rowOff>
    </xdr:from>
    <xdr:to>
      <xdr:col>0</xdr:col>
      <xdr:colOff>9525</xdr:colOff>
      <xdr:row>3266</xdr:row>
      <xdr:rowOff>9525</xdr:rowOff>
    </xdr:to>
    <xdr:pic>
      <xdr:nvPicPr>
        <xdr:cNvPr id="1678" name="Obraz 1677">
          <a:extLst>
            <a:ext uri="{FF2B5EF4-FFF2-40B4-BE49-F238E27FC236}">
              <a16:creationId xmlns:a16="http://schemas.microsoft.com/office/drawing/2014/main" id="{5355C6A4-4E81-4AFB-AD64-F47B6D196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31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3268</xdr:row>
      <xdr:rowOff>0</xdr:rowOff>
    </xdr:from>
    <xdr:to>
      <xdr:col>0</xdr:col>
      <xdr:colOff>9525</xdr:colOff>
      <xdr:row>3268</xdr:row>
      <xdr:rowOff>9525</xdr:rowOff>
    </xdr:to>
    <xdr:pic>
      <xdr:nvPicPr>
        <xdr:cNvPr id="1679" name="Obraz 1678">
          <a:extLst>
            <a:ext uri="{FF2B5EF4-FFF2-40B4-BE49-F238E27FC236}">
              <a16:creationId xmlns:a16="http://schemas.microsoft.com/office/drawing/2014/main" id="{31EC9752-E468-4F8F-8C34-FE8E2D0C50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55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3272</xdr:row>
      <xdr:rowOff>0</xdr:rowOff>
    </xdr:from>
    <xdr:to>
      <xdr:col>0</xdr:col>
      <xdr:colOff>9525</xdr:colOff>
      <xdr:row>3272</xdr:row>
      <xdr:rowOff>9525</xdr:rowOff>
    </xdr:to>
    <xdr:pic>
      <xdr:nvPicPr>
        <xdr:cNvPr id="1680" name="Obraz 1679">
          <a:extLst>
            <a:ext uri="{FF2B5EF4-FFF2-40B4-BE49-F238E27FC236}">
              <a16:creationId xmlns:a16="http://schemas.microsoft.com/office/drawing/2014/main" id="{B7CC00B0-6BA5-4E4A-88F0-64CC1D39B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350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3275</xdr:row>
      <xdr:rowOff>0</xdr:rowOff>
    </xdr:from>
    <xdr:to>
      <xdr:col>0</xdr:col>
      <xdr:colOff>9525</xdr:colOff>
      <xdr:row>3275</xdr:row>
      <xdr:rowOff>9525</xdr:rowOff>
    </xdr:to>
    <xdr:pic>
      <xdr:nvPicPr>
        <xdr:cNvPr id="1681" name="Obraz 1680">
          <a:extLst>
            <a:ext uri="{FF2B5EF4-FFF2-40B4-BE49-F238E27FC236}">
              <a16:creationId xmlns:a16="http://schemas.microsoft.com/office/drawing/2014/main" id="{FFAE7B12-6084-4FD4-BB63-CF2B6182B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26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3279</xdr:row>
      <xdr:rowOff>0</xdr:rowOff>
    </xdr:from>
    <xdr:to>
      <xdr:col>0</xdr:col>
      <xdr:colOff>9525</xdr:colOff>
      <xdr:row>3279</xdr:row>
      <xdr:rowOff>9525</xdr:rowOff>
    </xdr:to>
    <xdr:pic>
      <xdr:nvPicPr>
        <xdr:cNvPr id="1682" name="Obraz 1681">
          <a:extLst>
            <a:ext uri="{FF2B5EF4-FFF2-40B4-BE49-F238E27FC236}">
              <a16:creationId xmlns:a16="http://schemas.microsoft.com/office/drawing/2014/main" id="{34654F89-EF53-4600-A5D0-7AB8DC890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522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3283</xdr:row>
      <xdr:rowOff>0</xdr:rowOff>
    </xdr:from>
    <xdr:to>
      <xdr:col>0</xdr:col>
      <xdr:colOff>9525</xdr:colOff>
      <xdr:row>3283</xdr:row>
      <xdr:rowOff>9525</xdr:rowOff>
    </xdr:to>
    <xdr:pic>
      <xdr:nvPicPr>
        <xdr:cNvPr id="1683" name="Obraz 1682">
          <a:extLst>
            <a:ext uri="{FF2B5EF4-FFF2-40B4-BE49-F238E27FC236}">
              <a16:creationId xmlns:a16="http://schemas.microsoft.com/office/drawing/2014/main" id="{A697116C-BA77-41C2-A423-79B0997B4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17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3286</xdr:row>
      <xdr:rowOff>0</xdr:rowOff>
    </xdr:from>
    <xdr:to>
      <xdr:col>0</xdr:col>
      <xdr:colOff>9525</xdr:colOff>
      <xdr:row>3286</xdr:row>
      <xdr:rowOff>9525</xdr:rowOff>
    </xdr:to>
    <xdr:pic>
      <xdr:nvPicPr>
        <xdr:cNvPr id="1684" name="Obraz 1683">
          <a:extLst>
            <a:ext uri="{FF2B5EF4-FFF2-40B4-BE49-F238E27FC236}">
              <a16:creationId xmlns:a16="http://schemas.microsoft.com/office/drawing/2014/main" id="{FAD745C6-6FCC-434A-A012-8C6B659C7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93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3290</xdr:row>
      <xdr:rowOff>0</xdr:rowOff>
    </xdr:from>
    <xdr:to>
      <xdr:col>0</xdr:col>
      <xdr:colOff>9525</xdr:colOff>
      <xdr:row>3290</xdr:row>
      <xdr:rowOff>9525</xdr:rowOff>
    </xdr:to>
    <xdr:pic>
      <xdr:nvPicPr>
        <xdr:cNvPr id="1685" name="Obraz 1684">
          <a:extLst>
            <a:ext uri="{FF2B5EF4-FFF2-40B4-BE49-F238E27FC236}">
              <a16:creationId xmlns:a16="http://schemas.microsoft.com/office/drawing/2014/main" id="{96009888-A89C-4145-BE39-91E0905F7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74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3293</xdr:row>
      <xdr:rowOff>0</xdr:rowOff>
    </xdr:from>
    <xdr:to>
      <xdr:col>0</xdr:col>
      <xdr:colOff>9525</xdr:colOff>
      <xdr:row>3293</xdr:row>
      <xdr:rowOff>9525</xdr:rowOff>
    </xdr:to>
    <xdr:pic>
      <xdr:nvPicPr>
        <xdr:cNvPr id="1686" name="Obraz 1685">
          <a:extLst>
            <a:ext uri="{FF2B5EF4-FFF2-40B4-BE49-F238E27FC236}">
              <a16:creationId xmlns:a16="http://schemas.microsoft.com/office/drawing/2014/main" id="{A38A903A-41D0-4E51-B82A-E91CEC0FB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750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3298</xdr:row>
      <xdr:rowOff>0</xdr:rowOff>
    </xdr:from>
    <xdr:to>
      <xdr:col>0</xdr:col>
      <xdr:colOff>9525</xdr:colOff>
      <xdr:row>3298</xdr:row>
      <xdr:rowOff>9525</xdr:rowOff>
    </xdr:to>
    <xdr:pic>
      <xdr:nvPicPr>
        <xdr:cNvPr id="1687" name="Obraz 1686">
          <a:extLst>
            <a:ext uri="{FF2B5EF4-FFF2-40B4-BE49-F238E27FC236}">
              <a16:creationId xmlns:a16="http://schemas.microsoft.com/office/drawing/2014/main" id="{A6F60D83-BDDC-4578-8E2C-A33C0722BD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65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3301</xdr:row>
      <xdr:rowOff>0</xdr:rowOff>
    </xdr:from>
    <xdr:to>
      <xdr:col>0</xdr:col>
      <xdr:colOff>9525</xdr:colOff>
      <xdr:row>3301</xdr:row>
      <xdr:rowOff>9525</xdr:rowOff>
    </xdr:to>
    <xdr:pic>
      <xdr:nvPicPr>
        <xdr:cNvPr id="1688" name="Obraz 1687">
          <a:extLst>
            <a:ext uri="{FF2B5EF4-FFF2-40B4-BE49-F238E27FC236}">
              <a16:creationId xmlns:a16="http://schemas.microsoft.com/office/drawing/2014/main" id="{8C540204-B8B9-4360-883D-C564C57D0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941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3304</xdr:row>
      <xdr:rowOff>0</xdr:rowOff>
    </xdr:from>
    <xdr:to>
      <xdr:col>0</xdr:col>
      <xdr:colOff>9525</xdr:colOff>
      <xdr:row>3304</xdr:row>
      <xdr:rowOff>9525</xdr:rowOff>
    </xdr:to>
    <xdr:pic>
      <xdr:nvPicPr>
        <xdr:cNvPr id="1689" name="Obraz 1688">
          <a:extLst>
            <a:ext uri="{FF2B5EF4-FFF2-40B4-BE49-F238E27FC236}">
              <a16:creationId xmlns:a16="http://schemas.microsoft.com/office/drawing/2014/main" id="{78437716-76EB-4F63-9F31-E54C92FECB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17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3308</xdr:row>
      <xdr:rowOff>0</xdr:rowOff>
    </xdr:from>
    <xdr:to>
      <xdr:col>0</xdr:col>
      <xdr:colOff>9525</xdr:colOff>
      <xdr:row>3308</xdr:row>
      <xdr:rowOff>9525</xdr:rowOff>
    </xdr:to>
    <xdr:pic>
      <xdr:nvPicPr>
        <xdr:cNvPr id="1690" name="Obraz 1689">
          <a:extLst>
            <a:ext uri="{FF2B5EF4-FFF2-40B4-BE49-F238E27FC236}">
              <a16:creationId xmlns:a16="http://schemas.microsoft.com/office/drawing/2014/main" id="{E4BB0389-FB1D-4696-80F0-747BE44AB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12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3311</xdr:row>
      <xdr:rowOff>0</xdr:rowOff>
    </xdr:from>
    <xdr:to>
      <xdr:col>0</xdr:col>
      <xdr:colOff>9525</xdr:colOff>
      <xdr:row>3311</xdr:row>
      <xdr:rowOff>9525</xdr:rowOff>
    </xdr:to>
    <xdr:pic>
      <xdr:nvPicPr>
        <xdr:cNvPr id="1691" name="Obraz 1690">
          <a:extLst>
            <a:ext uri="{FF2B5EF4-FFF2-40B4-BE49-F238E27FC236}">
              <a16:creationId xmlns:a16="http://schemas.microsoft.com/office/drawing/2014/main" id="{D960B154-DE44-423E-9F59-298504D97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88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3312</xdr:row>
      <xdr:rowOff>0</xdr:rowOff>
    </xdr:from>
    <xdr:to>
      <xdr:col>0</xdr:col>
      <xdr:colOff>9525</xdr:colOff>
      <xdr:row>3312</xdr:row>
      <xdr:rowOff>9525</xdr:rowOff>
    </xdr:to>
    <xdr:pic>
      <xdr:nvPicPr>
        <xdr:cNvPr id="1692" name="Obraz 1691">
          <a:extLst>
            <a:ext uri="{FF2B5EF4-FFF2-40B4-BE49-F238E27FC236}">
              <a16:creationId xmlns:a16="http://schemas.microsoft.com/office/drawing/2014/main" id="{9A5E9053-1AD2-424D-8B1E-0394E0618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26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3313</xdr:row>
      <xdr:rowOff>0</xdr:rowOff>
    </xdr:from>
    <xdr:to>
      <xdr:col>0</xdr:col>
      <xdr:colOff>9525</xdr:colOff>
      <xdr:row>3313</xdr:row>
      <xdr:rowOff>9525</xdr:rowOff>
    </xdr:to>
    <xdr:pic>
      <xdr:nvPicPr>
        <xdr:cNvPr id="1693" name="Obraz 1692">
          <a:extLst>
            <a:ext uri="{FF2B5EF4-FFF2-40B4-BE49-F238E27FC236}">
              <a16:creationId xmlns:a16="http://schemas.microsoft.com/office/drawing/2014/main" id="{406F1150-215B-4D93-9647-27C4BDFEF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65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3313</xdr:row>
      <xdr:rowOff>0</xdr:rowOff>
    </xdr:from>
    <xdr:to>
      <xdr:col>0</xdr:col>
      <xdr:colOff>9525</xdr:colOff>
      <xdr:row>3313</xdr:row>
      <xdr:rowOff>9525</xdr:rowOff>
    </xdr:to>
    <xdr:pic>
      <xdr:nvPicPr>
        <xdr:cNvPr id="1694" name="Obraz 1693">
          <a:extLst>
            <a:ext uri="{FF2B5EF4-FFF2-40B4-BE49-F238E27FC236}">
              <a16:creationId xmlns:a16="http://schemas.microsoft.com/office/drawing/2014/main" id="{3251CE98-E59A-4CA9-81AF-5DBBA8660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03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3315</xdr:row>
      <xdr:rowOff>0</xdr:rowOff>
    </xdr:from>
    <xdr:to>
      <xdr:col>0</xdr:col>
      <xdr:colOff>9525</xdr:colOff>
      <xdr:row>3315</xdr:row>
      <xdr:rowOff>9525</xdr:rowOff>
    </xdr:to>
    <xdr:pic>
      <xdr:nvPicPr>
        <xdr:cNvPr id="1695" name="Obraz 1694">
          <a:extLst>
            <a:ext uri="{FF2B5EF4-FFF2-40B4-BE49-F238E27FC236}">
              <a16:creationId xmlns:a16="http://schemas.microsoft.com/office/drawing/2014/main" id="{0E6A1A82-78E2-416E-AEFD-A235A859A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50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3318</xdr:row>
      <xdr:rowOff>0</xdr:rowOff>
    </xdr:from>
    <xdr:to>
      <xdr:col>0</xdr:col>
      <xdr:colOff>9525</xdr:colOff>
      <xdr:row>3318</xdr:row>
      <xdr:rowOff>9525</xdr:rowOff>
    </xdr:to>
    <xdr:pic>
      <xdr:nvPicPr>
        <xdr:cNvPr id="1696" name="Obraz 1695">
          <a:extLst>
            <a:ext uri="{FF2B5EF4-FFF2-40B4-BE49-F238E27FC236}">
              <a16:creationId xmlns:a16="http://schemas.microsoft.com/office/drawing/2014/main" id="{5E9D8CE5-94D3-41DF-A1E5-E0F6376150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26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3322</xdr:row>
      <xdr:rowOff>0</xdr:rowOff>
    </xdr:from>
    <xdr:to>
      <xdr:col>0</xdr:col>
      <xdr:colOff>9525</xdr:colOff>
      <xdr:row>3322</xdr:row>
      <xdr:rowOff>9525</xdr:rowOff>
    </xdr:to>
    <xdr:pic>
      <xdr:nvPicPr>
        <xdr:cNvPr id="1697" name="Obraz 1696">
          <a:extLst>
            <a:ext uri="{FF2B5EF4-FFF2-40B4-BE49-F238E27FC236}">
              <a16:creationId xmlns:a16="http://schemas.microsoft.com/office/drawing/2014/main" id="{980D98E6-5DC3-42C5-B787-8A7C5E3F1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322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3326</xdr:row>
      <xdr:rowOff>0</xdr:rowOff>
    </xdr:from>
    <xdr:to>
      <xdr:col>0</xdr:col>
      <xdr:colOff>9525</xdr:colOff>
      <xdr:row>3326</xdr:row>
      <xdr:rowOff>9525</xdr:rowOff>
    </xdr:to>
    <xdr:pic>
      <xdr:nvPicPr>
        <xdr:cNvPr id="1698" name="Obraz 1697">
          <a:extLst>
            <a:ext uri="{FF2B5EF4-FFF2-40B4-BE49-F238E27FC236}">
              <a16:creationId xmlns:a16="http://schemas.microsoft.com/office/drawing/2014/main" id="{C4F8F22C-89D7-4534-9D14-198D5DBDD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17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3326</xdr:row>
      <xdr:rowOff>0</xdr:rowOff>
    </xdr:from>
    <xdr:to>
      <xdr:col>0</xdr:col>
      <xdr:colOff>9525</xdr:colOff>
      <xdr:row>3326</xdr:row>
      <xdr:rowOff>9525</xdr:rowOff>
    </xdr:to>
    <xdr:pic>
      <xdr:nvPicPr>
        <xdr:cNvPr id="1699" name="Obraz 1698">
          <a:extLst>
            <a:ext uri="{FF2B5EF4-FFF2-40B4-BE49-F238E27FC236}">
              <a16:creationId xmlns:a16="http://schemas.microsoft.com/office/drawing/2014/main" id="{5BAA4F2A-E68B-4020-9367-4C49FF41AA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55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3327</xdr:row>
      <xdr:rowOff>0</xdr:rowOff>
    </xdr:from>
    <xdr:to>
      <xdr:col>0</xdr:col>
      <xdr:colOff>9525</xdr:colOff>
      <xdr:row>3327</xdr:row>
      <xdr:rowOff>9525</xdr:rowOff>
    </xdr:to>
    <xdr:pic>
      <xdr:nvPicPr>
        <xdr:cNvPr id="1700" name="Obraz 1699">
          <a:extLst>
            <a:ext uri="{FF2B5EF4-FFF2-40B4-BE49-F238E27FC236}">
              <a16:creationId xmlns:a16="http://schemas.microsoft.com/office/drawing/2014/main" id="{A7978F06-B600-4917-989F-04E55628F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93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3329</xdr:row>
      <xdr:rowOff>0</xdr:rowOff>
    </xdr:from>
    <xdr:to>
      <xdr:col>0</xdr:col>
      <xdr:colOff>9525</xdr:colOff>
      <xdr:row>3329</xdr:row>
      <xdr:rowOff>9525</xdr:rowOff>
    </xdr:to>
    <xdr:pic>
      <xdr:nvPicPr>
        <xdr:cNvPr id="1701" name="Obraz 1700">
          <a:extLst>
            <a:ext uri="{FF2B5EF4-FFF2-40B4-BE49-F238E27FC236}">
              <a16:creationId xmlns:a16="http://schemas.microsoft.com/office/drawing/2014/main" id="{C1A5C922-DA00-4C99-8CB6-F28F46A5C7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17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3332</xdr:row>
      <xdr:rowOff>0</xdr:rowOff>
    </xdr:from>
    <xdr:to>
      <xdr:col>0</xdr:col>
      <xdr:colOff>9525</xdr:colOff>
      <xdr:row>3332</xdr:row>
      <xdr:rowOff>9525</xdr:rowOff>
    </xdr:to>
    <xdr:pic>
      <xdr:nvPicPr>
        <xdr:cNvPr id="1702" name="Obraz 1701">
          <a:extLst>
            <a:ext uri="{FF2B5EF4-FFF2-40B4-BE49-F238E27FC236}">
              <a16:creationId xmlns:a16="http://schemas.microsoft.com/office/drawing/2014/main" id="{FCC757AD-A0A7-4243-ACAE-3C348C5B6F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93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3337</xdr:row>
      <xdr:rowOff>0</xdr:rowOff>
    </xdr:from>
    <xdr:to>
      <xdr:col>0</xdr:col>
      <xdr:colOff>9525</xdr:colOff>
      <xdr:row>3337</xdr:row>
      <xdr:rowOff>9525</xdr:rowOff>
    </xdr:to>
    <xdr:pic>
      <xdr:nvPicPr>
        <xdr:cNvPr id="1703" name="Obraz 1702">
          <a:extLst>
            <a:ext uri="{FF2B5EF4-FFF2-40B4-BE49-F238E27FC236}">
              <a16:creationId xmlns:a16="http://schemas.microsoft.com/office/drawing/2014/main" id="{EE830BC5-F674-4AC0-BD60-CEE880BE04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07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3339</xdr:row>
      <xdr:rowOff>0</xdr:rowOff>
    </xdr:from>
    <xdr:to>
      <xdr:col>0</xdr:col>
      <xdr:colOff>9525</xdr:colOff>
      <xdr:row>3339</xdr:row>
      <xdr:rowOff>9525</xdr:rowOff>
    </xdr:to>
    <xdr:pic>
      <xdr:nvPicPr>
        <xdr:cNvPr id="1704" name="Obraz 1703">
          <a:extLst>
            <a:ext uri="{FF2B5EF4-FFF2-40B4-BE49-F238E27FC236}">
              <a16:creationId xmlns:a16="http://schemas.microsoft.com/office/drawing/2014/main" id="{D98457BC-5E3C-4941-B869-9AA695C93F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65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3339</xdr:row>
      <xdr:rowOff>0</xdr:rowOff>
    </xdr:from>
    <xdr:to>
      <xdr:col>0</xdr:col>
      <xdr:colOff>9525</xdr:colOff>
      <xdr:row>3339</xdr:row>
      <xdr:rowOff>9525</xdr:rowOff>
    </xdr:to>
    <xdr:pic>
      <xdr:nvPicPr>
        <xdr:cNvPr id="1705" name="Obraz 1704">
          <a:extLst>
            <a:ext uri="{FF2B5EF4-FFF2-40B4-BE49-F238E27FC236}">
              <a16:creationId xmlns:a16="http://schemas.microsoft.com/office/drawing/2014/main" id="{CF1DE7A0-68A3-4983-83CF-88C43F9B0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760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3341</xdr:row>
      <xdr:rowOff>0</xdr:rowOff>
    </xdr:from>
    <xdr:to>
      <xdr:col>0</xdr:col>
      <xdr:colOff>9525</xdr:colOff>
      <xdr:row>3341</xdr:row>
      <xdr:rowOff>9525</xdr:rowOff>
    </xdr:to>
    <xdr:pic>
      <xdr:nvPicPr>
        <xdr:cNvPr id="1706" name="Obraz 1705">
          <a:extLst>
            <a:ext uri="{FF2B5EF4-FFF2-40B4-BE49-F238E27FC236}">
              <a16:creationId xmlns:a16="http://schemas.microsoft.com/office/drawing/2014/main" id="{A491BEDB-2436-4861-8128-B1D515D524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17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3345</xdr:row>
      <xdr:rowOff>0</xdr:rowOff>
    </xdr:from>
    <xdr:to>
      <xdr:col>0</xdr:col>
      <xdr:colOff>9525</xdr:colOff>
      <xdr:row>3345</xdr:row>
      <xdr:rowOff>9525</xdr:rowOff>
    </xdr:to>
    <xdr:pic>
      <xdr:nvPicPr>
        <xdr:cNvPr id="1707" name="Obraz 1706">
          <a:extLst>
            <a:ext uri="{FF2B5EF4-FFF2-40B4-BE49-F238E27FC236}">
              <a16:creationId xmlns:a16="http://schemas.microsoft.com/office/drawing/2014/main" id="{20BEC948-17E9-4B42-A7B1-177DF77CB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12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3348</xdr:row>
      <xdr:rowOff>0</xdr:rowOff>
    </xdr:from>
    <xdr:to>
      <xdr:col>0</xdr:col>
      <xdr:colOff>9525</xdr:colOff>
      <xdr:row>3348</xdr:row>
      <xdr:rowOff>9525</xdr:rowOff>
    </xdr:to>
    <xdr:pic>
      <xdr:nvPicPr>
        <xdr:cNvPr id="1708" name="Obraz 1707">
          <a:extLst>
            <a:ext uri="{FF2B5EF4-FFF2-40B4-BE49-F238E27FC236}">
              <a16:creationId xmlns:a16="http://schemas.microsoft.com/office/drawing/2014/main" id="{7655A315-E724-45F7-8AA3-5787AE7E9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88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3352</xdr:row>
      <xdr:rowOff>0</xdr:rowOff>
    </xdr:from>
    <xdr:to>
      <xdr:col>0</xdr:col>
      <xdr:colOff>9525</xdr:colOff>
      <xdr:row>3352</xdr:row>
      <xdr:rowOff>9525</xdr:rowOff>
    </xdr:to>
    <xdr:pic>
      <xdr:nvPicPr>
        <xdr:cNvPr id="1709" name="Obraz 1708">
          <a:extLst>
            <a:ext uri="{FF2B5EF4-FFF2-40B4-BE49-F238E27FC236}">
              <a16:creationId xmlns:a16="http://schemas.microsoft.com/office/drawing/2014/main" id="{D784E4B1-37AE-471A-98F8-312F8C8E2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55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3356</xdr:row>
      <xdr:rowOff>0</xdr:rowOff>
    </xdr:from>
    <xdr:to>
      <xdr:col>0</xdr:col>
      <xdr:colOff>9525</xdr:colOff>
      <xdr:row>3356</xdr:row>
      <xdr:rowOff>9525</xdr:rowOff>
    </xdr:to>
    <xdr:pic>
      <xdr:nvPicPr>
        <xdr:cNvPr id="1710" name="Obraz 1709">
          <a:extLst>
            <a:ext uri="{FF2B5EF4-FFF2-40B4-BE49-F238E27FC236}">
              <a16:creationId xmlns:a16="http://schemas.microsoft.com/office/drawing/2014/main" id="{53392E64-DA2C-4ACB-925D-40EA2ADB3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950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3360</xdr:row>
      <xdr:rowOff>0</xdr:rowOff>
    </xdr:from>
    <xdr:to>
      <xdr:col>0</xdr:col>
      <xdr:colOff>9525</xdr:colOff>
      <xdr:row>3360</xdr:row>
      <xdr:rowOff>9525</xdr:rowOff>
    </xdr:to>
    <xdr:pic>
      <xdr:nvPicPr>
        <xdr:cNvPr id="1711" name="Obraz 1710">
          <a:extLst>
            <a:ext uri="{FF2B5EF4-FFF2-40B4-BE49-F238E27FC236}">
              <a16:creationId xmlns:a16="http://schemas.microsoft.com/office/drawing/2014/main" id="{28CC55EE-6019-4F35-B11D-F3810C3A4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46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3363</xdr:row>
      <xdr:rowOff>0</xdr:rowOff>
    </xdr:from>
    <xdr:to>
      <xdr:col>0</xdr:col>
      <xdr:colOff>9525</xdr:colOff>
      <xdr:row>3363</xdr:row>
      <xdr:rowOff>9525</xdr:rowOff>
    </xdr:to>
    <xdr:pic>
      <xdr:nvPicPr>
        <xdr:cNvPr id="1712" name="Obraz 1711">
          <a:extLst>
            <a:ext uri="{FF2B5EF4-FFF2-40B4-BE49-F238E27FC236}">
              <a16:creationId xmlns:a16="http://schemas.microsoft.com/office/drawing/2014/main" id="{0186A95E-E607-48B9-A726-138298673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122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3367</xdr:row>
      <xdr:rowOff>0</xdr:rowOff>
    </xdr:from>
    <xdr:to>
      <xdr:col>0</xdr:col>
      <xdr:colOff>9525</xdr:colOff>
      <xdr:row>3367</xdr:row>
      <xdr:rowOff>9525</xdr:rowOff>
    </xdr:to>
    <xdr:pic>
      <xdr:nvPicPr>
        <xdr:cNvPr id="1713" name="Obraz 1712">
          <a:extLst>
            <a:ext uri="{FF2B5EF4-FFF2-40B4-BE49-F238E27FC236}">
              <a16:creationId xmlns:a16="http://schemas.microsoft.com/office/drawing/2014/main" id="{3CCBCE70-AE0B-4C88-9B35-DA74D2F5A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17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3370</xdr:row>
      <xdr:rowOff>0</xdr:rowOff>
    </xdr:from>
    <xdr:to>
      <xdr:col>0</xdr:col>
      <xdr:colOff>9525</xdr:colOff>
      <xdr:row>3370</xdr:row>
      <xdr:rowOff>9525</xdr:rowOff>
    </xdr:to>
    <xdr:pic>
      <xdr:nvPicPr>
        <xdr:cNvPr id="1714" name="Obraz 1713">
          <a:extLst>
            <a:ext uri="{FF2B5EF4-FFF2-40B4-BE49-F238E27FC236}">
              <a16:creationId xmlns:a16="http://schemas.microsoft.com/office/drawing/2014/main" id="{395AAFD6-AA57-444E-924F-2E5374E5C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93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3374</xdr:row>
      <xdr:rowOff>0</xdr:rowOff>
    </xdr:from>
    <xdr:to>
      <xdr:col>0</xdr:col>
      <xdr:colOff>9525</xdr:colOff>
      <xdr:row>3374</xdr:row>
      <xdr:rowOff>9525</xdr:rowOff>
    </xdr:to>
    <xdr:pic>
      <xdr:nvPicPr>
        <xdr:cNvPr id="1715" name="Obraz 1714">
          <a:extLst>
            <a:ext uri="{FF2B5EF4-FFF2-40B4-BE49-F238E27FC236}">
              <a16:creationId xmlns:a16="http://schemas.microsoft.com/office/drawing/2014/main" id="{570045D7-9DFA-4A2F-BFF4-9A8D4DF75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74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3377</xdr:row>
      <xdr:rowOff>0</xdr:rowOff>
    </xdr:from>
    <xdr:to>
      <xdr:col>0</xdr:col>
      <xdr:colOff>9525</xdr:colOff>
      <xdr:row>3377</xdr:row>
      <xdr:rowOff>9525</xdr:rowOff>
    </xdr:to>
    <xdr:pic>
      <xdr:nvPicPr>
        <xdr:cNvPr id="1716" name="Obraz 1715">
          <a:extLst>
            <a:ext uri="{FF2B5EF4-FFF2-40B4-BE49-F238E27FC236}">
              <a16:creationId xmlns:a16="http://schemas.microsoft.com/office/drawing/2014/main" id="{C6D2F820-2DFC-4D29-B709-87E6D956C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350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3381</xdr:row>
      <xdr:rowOff>0</xdr:rowOff>
    </xdr:from>
    <xdr:to>
      <xdr:col>0</xdr:col>
      <xdr:colOff>9525</xdr:colOff>
      <xdr:row>3381</xdr:row>
      <xdr:rowOff>9525</xdr:rowOff>
    </xdr:to>
    <xdr:pic>
      <xdr:nvPicPr>
        <xdr:cNvPr id="1717" name="Obraz 1716">
          <a:extLst>
            <a:ext uri="{FF2B5EF4-FFF2-40B4-BE49-F238E27FC236}">
              <a16:creationId xmlns:a16="http://schemas.microsoft.com/office/drawing/2014/main" id="{391718CD-802B-4490-BEB6-809AA0534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46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3385</xdr:row>
      <xdr:rowOff>0</xdr:rowOff>
    </xdr:from>
    <xdr:to>
      <xdr:col>0</xdr:col>
      <xdr:colOff>9525</xdr:colOff>
      <xdr:row>3385</xdr:row>
      <xdr:rowOff>9525</xdr:rowOff>
    </xdr:to>
    <xdr:pic>
      <xdr:nvPicPr>
        <xdr:cNvPr id="1718" name="Obraz 1717">
          <a:extLst>
            <a:ext uri="{FF2B5EF4-FFF2-40B4-BE49-F238E27FC236}">
              <a16:creationId xmlns:a16="http://schemas.microsoft.com/office/drawing/2014/main" id="{65B0A383-99B8-4943-B88A-D7AC03A1A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84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3388</xdr:row>
      <xdr:rowOff>0</xdr:rowOff>
    </xdr:from>
    <xdr:to>
      <xdr:col>0</xdr:col>
      <xdr:colOff>9525</xdr:colOff>
      <xdr:row>3388</xdr:row>
      <xdr:rowOff>9525</xdr:rowOff>
    </xdr:to>
    <xdr:pic>
      <xdr:nvPicPr>
        <xdr:cNvPr id="1719" name="Obraz 1718">
          <a:extLst>
            <a:ext uri="{FF2B5EF4-FFF2-40B4-BE49-F238E27FC236}">
              <a16:creationId xmlns:a16="http://schemas.microsoft.com/office/drawing/2014/main" id="{06894A10-130D-46CD-B4E4-D8370006B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560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3392</xdr:row>
      <xdr:rowOff>0</xdr:rowOff>
    </xdr:from>
    <xdr:to>
      <xdr:col>0</xdr:col>
      <xdr:colOff>9525</xdr:colOff>
      <xdr:row>3392</xdr:row>
      <xdr:rowOff>9525</xdr:rowOff>
    </xdr:to>
    <xdr:pic>
      <xdr:nvPicPr>
        <xdr:cNvPr id="1720" name="Obraz 1719">
          <a:extLst>
            <a:ext uri="{FF2B5EF4-FFF2-40B4-BE49-F238E27FC236}">
              <a16:creationId xmlns:a16="http://schemas.microsoft.com/office/drawing/2014/main" id="{8FE3E683-45F4-47C7-A81E-820A0C619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55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3396</xdr:row>
      <xdr:rowOff>0</xdr:rowOff>
    </xdr:from>
    <xdr:to>
      <xdr:col>0</xdr:col>
      <xdr:colOff>9525</xdr:colOff>
      <xdr:row>3396</xdr:row>
      <xdr:rowOff>9525</xdr:rowOff>
    </xdr:to>
    <xdr:pic>
      <xdr:nvPicPr>
        <xdr:cNvPr id="1721" name="Obraz 1720">
          <a:extLst>
            <a:ext uri="{FF2B5EF4-FFF2-40B4-BE49-F238E27FC236}">
              <a16:creationId xmlns:a16="http://schemas.microsoft.com/office/drawing/2014/main" id="{D4C81736-62F4-482D-8C78-A9573C077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93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3399</xdr:row>
      <xdr:rowOff>0</xdr:rowOff>
    </xdr:from>
    <xdr:to>
      <xdr:col>0</xdr:col>
      <xdr:colOff>9525</xdr:colOff>
      <xdr:row>3399</xdr:row>
      <xdr:rowOff>9525</xdr:rowOff>
    </xdr:to>
    <xdr:pic>
      <xdr:nvPicPr>
        <xdr:cNvPr id="1722" name="Obraz 1721">
          <a:extLst>
            <a:ext uri="{FF2B5EF4-FFF2-40B4-BE49-F238E27FC236}">
              <a16:creationId xmlns:a16="http://schemas.microsoft.com/office/drawing/2014/main" id="{92910F1F-B441-4FC8-B4B1-0091D144D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770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3403</xdr:row>
      <xdr:rowOff>0</xdr:rowOff>
    </xdr:from>
    <xdr:to>
      <xdr:col>0</xdr:col>
      <xdr:colOff>9525</xdr:colOff>
      <xdr:row>3403</xdr:row>
      <xdr:rowOff>9525</xdr:rowOff>
    </xdr:to>
    <xdr:pic>
      <xdr:nvPicPr>
        <xdr:cNvPr id="1723" name="Obraz 1722">
          <a:extLst>
            <a:ext uri="{FF2B5EF4-FFF2-40B4-BE49-F238E27FC236}">
              <a16:creationId xmlns:a16="http://schemas.microsoft.com/office/drawing/2014/main" id="{8578972E-EAF2-48F1-A072-6F699E852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65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3407</xdr:row>
      <xdr:rowOff>0</xdr:rowOff>
    </xdr:from>
    <xdr:to>
      <xdr:col>0</xdr:col>
      <xdr:colOff>9525</xdr:colOff>
      <xdr:row>3407</xdr:row>
      <xdr:rowOff>9525</xdr:rowOff>
    </xdr:to>
    <xdr:pic>
      <xdr:nvPicPr>
        <xdr:cNvPr id="1724" name="Obraz 1723">
          <a:extLst>
            <a:ext uri="{FF2B5EF4-FFF2-40B4-BE49-F238E27FC236}">
              <a16:creationId xmlns:a16="http://schemas.microsoft.com/office/drawing/2014/main" id="{D6265382-759A-472C-8525-2AC1B47E5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03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3410</xdr:row>
      <xdr:rowOff>0</xdr:rowOff>
    </xdr:from>
    <xdr:to>
      <xdr:col>0</xdr:col>
      <xdr:colOff>9525</xdr:colOff>
      <xdr:row>3410</xdr:row>
      <xdr:rowOff>9525</xdr:rowOff>
    </xdr:to>
    <xdr:pic>
      <xdr:nvPicPr>
        <xdr:cNvPr id="1725" name="Obraz 1724">
          <a:extLst>
            <a:ext uri="{FF2B5EF4-FFF2-40B4-BE49-F238E27FC236}">
              <a16:creationId xmlns:a16="http://schemas.microsoft.com/office/drawing/2014/main" id="{497B29A0-996D-4B35-901C-497DCF3F5D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979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3414</xdr:row>
      <xdr:rowOff>0</xdr:rowOff>
    </xdr:from>
    <xdr:to>
      <xdr:col>0</xdr:col>
      <xdr:colOff>9525</xdr:colOff>
      <xdr:row>3414</xdr:row>
      <xdr:rowOff>9525</xdr:rowOff>
    </xdr:to>
    <xdr:pic>
      <xdr:nvPicPr>
        <xdr:cNvPr id="1726" name="Obraz 1725">
          <a:extLst>
            <a:ext uri="{FF2B5EF4-FFF2-40B4-BE49-F238E27FC236}">
              <a16:creationId xmlns:a16="http://schemas.microsoft.com/office/drawing/2014/main" id="{BF5BD11D-04BA-4DF0-8381-A02DB8EB75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74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3418</xdr:row>
      <xdr:rowOff>0</xdr:rowOff>
    </xdr:from>
    <xdr:to>
      <xdr:col>0</xdr:col>
      <xdr:colOff>9525</xdr:colOff>
      <xdr:row>3418</xdr:row>
      <xdr:rowOff>9525</xdr:rowOff>
    </xdr:to>
    <xdr:pic>
      <xdr:nvPicPr>
        <xdr:cNvPr id="1727" name="Obraz 1726">
          <a:extLst>
            <a:ext uri="{FF2B5EF4-FFF2-40B4-BE49-F238E27FC236}">
              <a16:creationId xmlns:a16="http://schemas.microsoft.com/office/drawing/2014/main" id="{5D379207-D7DE-4BE1-835F-97D02E3932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12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3421</xdr:row>
      <xdr:rowOff>0</xdr:rowOff>
    </xdr:from>
    <xdr:to>
      <xdr:col>0</xdr:col>
      <xdr:colOff>9525</xdr:colOff>
      <xdr:row>3421</xdr:row>
      <xdr:rowOff>9525</xdr:rowOff>
    </xdr:to>
    <xdr:pic>
      <xdr:nvPicPr>
        <xdr:cNvPr id="1728" name="Obraz 1727">
          <a:extLst>
            <a:ext uri="{FF2B5EF4-FFF2-40B4-BE49-F238E27FC236}">
              <a16:creationId xmlns:a16="http://schemas.microsoft.com/office/drawing/2014/main" id="{A25F2C69-A7B9-4ACE-907D-4D6CD3ECE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189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3425</xdr:row>
      <xdr:rowOff>0</xdr:rowOff>
    </xdr:from>
    <xdr:to>
      <xdr:col>0</xdr:col>
      <xdr:colOff>9525</xdr:colOff>
      <xdr:row>3425</xdr:row>
      <xdr:rowOff>9525</xdr:rowOff>
    </xdr:to>
    <xdr:pic>
      <xdr:nvPicPr>
        <xdr:cNvPr id="1729" name="Obraz 1728">
          <a:extLst>
            <a:ext uri="{FF2B5EF4-FFF2-40B4-BE49-F238E27FC236}">
              <a16:creationId xmlns:a16="http://schemas.microsoft.com/office/drawing/2014/main" id="{59CA3B48-E6FB-4677-8934-86A7B29B99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84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3429</xdr:row>
      <xdr:rowOff>0</xdr:rowOff>
    </xdr:from>
    <xdr:to>
      <xdr:col>0</xdr:col>
      <xdr:colOff>9525</xdr:colOff>
      <xdr:row>3429</xdr:row>
      <xdr:rowOff>9525</xdr:rowOff>
    </xdr:to>
    <xdr:pic>
      <xdr:nvPicPr>
        <xdr:cNvPr id="1730" name="Obraz 1729">
          <a:extLst>
            <a:ext uri="{FF2B5EF4-FFF2-40B4-BE49-F238E27FC236}">
              <a16:creationId xmlns:a16="http://schemas.microsoft.com/office/drawing/2014/main" id="{BE827D44-7B78-49EA-B640-B22469CC6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22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3432</xdr:row>
      <xdr:rowOff>0</xdr:rowOff>
    </xdr:from>
    <xdr:to>
      <xdr:col>0</xdr:col>
      <xdr:colOff>9525</xdr:colOff>
      <xdr:row>3432</xdr:row>
      <xdr:rowOff>9525</xdr:rowOff>
    </xdr:to>
    <xdr:pic>
      <xdr:nvPicPr>
        <xdr:cNvPr id="1731" name="Obraz 1730">
          <a:extLst>
            <a:ext uri="{FF2B5EF4-FFF2-40B4-BE49-F238E27FC236}">
              <a16:creationId xmlns:a16="http://schemas.microsoft.com/office/drawing/2014/main" id="{F16D6B56-67ED-4D6F-9F19-F1D99450AD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398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3436</xdr:row>
      <xdr:rowOff>0</xdr:rowOff>
    </xdr:from>
    <xdr:to>
      <xdr:col>0</xdr:col>
      <xdr:colOff>9525</xdr:colOff>
      <xdr:row>3436</xdr:row>
      <xdr:rowOff>9525</xdr:rowOff>
    </xdr:to>
    <xdr:pic>
      <xdr:nvPicPr>
        <xdr:cNvPr id="1732" name="Obraz 1731">
          <a:extLst>
            <a:ext uri="{FF2B5EF4-FFF2-40B4-BE49-F238E27FC236}">
              <a16:creationId xmlns:a16="http://schemas.microsoft.com/office/drawing/2014/main" id="{6386FAE7-9BD3-4612-BCA0-2CEE4BECD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93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3440</xdr:row>
      <xdr:rowOff>0</xdr:rowOff>
    </xdr:from>
    <xdr:to>
      <xdr:col>0</xdr:col>
      <xdr:colOff>9525</xdr:colOff>
      <xdr:row>3440</xdr:row>
      <xdr:rowOff>9525</xdr:rowOff>
    </xdr:to>
    <xdr:pic>
      <xdr:nvPicPr>
        <xdr:cNvPr id="1733" name="Obraz 1732">
          <a:extLst>
            <a:ext uri="{FF2B5EF4-FFF2-40B4-BE49-F238E27FC236}">
              <a16:creationId xmlns:a16="http://schemas.microsoft.com/office/drawing/2014/main" id="{E9E28C1D-9777-4E2A-9006-F6D5B2205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532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3443</xdr:row>
      <xdr:rowOff>0</xdr:rowOff>
    </xdr:from>
    <xdr:to>
      <xdr:col>0</xdr:col>
      <xdr:colOff>9525</xdr:colOff>
      <xdr:row>3443</xdr:row>
      <xdr:rowOff>9525</xdr:rowOff>
    </xdr:to>
    <xdr:pic>
      <xdr:nvPicPr>
        <xdr:cNvPr id="1734" name="Obraz 1733">
          <a:extLst>
            <a:ext uri="{FF2B5EF4-FFF2-40B4-BE49-F238E27FC236}">
              <a16:creationId xmlns:a16="http://schemas.microsoft.com/office/drawing/2014/main" id="{015C2219-3736-4CAE-B340-DD5781BEBD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08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3447</xdr:row>
      <xdr:rowOff>0</xdr:rowOff>
    </xdr:from>
    <xdr:to>
      <xdr:col>0</xdr:col>
      <xdr:colOff>9525</xdr:colOff>
      <xdr:row>3447</xdr:row>
      <xdr:rowOff>9525</xdr:rowOff>
    </xdr:to>
    <xdr:pic>
      <xdr:nvPicPr>
        <xdr:cNvPr id="1735" name="Obraz 1734">
          <a:extLst>
            <a:ext uri="{FF2B5EF4-FFF2-40B4-BE49-F238E27FC236}">
              <a16:creationId xmlns:a16="http://schemas.microsoft.com/office/drawing/2014/main" id="{50254B21-26A9-43B1-AF38-0D0C377C5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03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3451</xdr:row>
      <xdr:rowOff>0</xdr:rowOff>
    </xdr:from>
    <xdr:to>
      <xdr:col>0</xdr:col>
      <xdr:colOff>9525</xdr:colOff>
      <xdr:row>3451</xdr:row>
      <xdr:rowOff>9525</xdr:rowOff>
    </xdr:to>
    <xdr:pic>
      <xdr:nvPicPr>
        <xdr:cNvPr id="1736" name="Obraz 1735">
          <a:extLst>
            <a:ext uri="{FF2B5EF4-FFF2-40B4-BE49-F238E27FC236}">
              <a16:creationId xmlns:a16="http://schemas.microsoft.com/office/drawing/2014/main" id="{46F7D82C-FEA5-46E7-9585-1F1B9FF94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798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3455</xdr:row>
      <xdr:rowOff>0</xdr:rowOff>
    </xdr:from>
    <xdr:to>
      <xdr:col>0</xdr:col>
      <xdr:colOff>9525</xdr:colOff>
      <xdr:row>3455</xdr:row>
      <xdr:rowOff>9525</xdr:rowOff>
    </xdr:to>
    <xdr:pic>
      <xdr:nvPicPr>
        <xdr:cNvPr id="1737" name="Obraz 1736">
          <a:extLst>
            <a:ext uri="{FF2B5EF4-FFF2-40B4-BE49-F238E27FC236}">
              <a16:creationId xmlns:a16="http://schemas.microsoft.com/office/drawing/2014/main" id="{4F0E058F-ADD0-4934-BE47-7C2998DD7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93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3459</xdr:row>
      <xdr:rowOff>0</xdr:rowOff>
    </xdr:from>
    <xdr:to>
      <xdr:col>0</xdr:col>
      <xdr:colOff>9525</xdr:colOff>
      <xdr:row>3459</xdr:row>
      <xdr:rowOff>9525</xdr:rowOff>
    </xdr:to>
    <xdr:pic>
      <xdr:nvPicPr>
        <xdr:cNvPr id="1738" name="Obraz 1737">
          <a:extLst>
            <a:ext uri="{FF2B5EF4-FFF2-40B4-BE49-F238E27FC236}">
              <a16:creationId xmlns:a16="http://schemas.microsoft.com/office/drawing/2014/main" id="{3D874444-2FC1-49E6-B9E6-97295457D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89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3462</xdr:row>
      <xdr:rowOff>0</xdr:rowOff>
    </xdr:from>
    <xdr:to>
      <xdr:col>0</xdr:col>
      <xdr:colOff>9525</xdr:colOff>
      <xdr:row>3462</xdr:row>
      <xdr:rowOff>9525</xdr:rowOff>
    </xdr:to>
    <xdr:pic>
      <xdr:nvPicPr>
        <xdr:cNvPr id="1739" name="Obraz 1738">
          <a:extLst>
            <a:ext uri="{FF2B5EF4-FFF2-40B4-BE49-F238E27FC236}">
              <a16:creationId xmlns:a16="http://schemas.microsoft.com/office/drawing/2014/main" id="{19D259C4-2970-4C1D-94A2-C33680044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951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3465</xdr:row>
      <xdr:rowOff>0</xdr:rowOff>
    </xdr:from>
    <xdr:to>
      <xdr:col>0</xdr:col>
      <xdr:colOff>9525</xdr:colOff>
      <xdr:row>3465</xdr:row>
      <xdr:rowOff>9525</xdr:rowOff>
    </xdr:to>
    <xdr:pic>
      <xdr:nvPicPr>
        <xdr:cNvPr id="1740" name="Obraz 1739">
          <a:extLst>
            <a:ext uri="{FF2B5EF4-FFF2-40B4-BE49-F238E27FC236}">
              <a16:creationId xmlns:a16="http://schemas.microsoft.com/office/drawing/2014/main" id="{C756C265-9EA7-42AE-835C-7B485DC81B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27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3470</xdr:row>
      <xdr:rowOff>0</xdr:rowOff>
    </xdr:from>
    <xdr:to>
      <xdr:col>0</xdr:col>
      <xdr:colOff>9525</xdr:colOff>
      <xdr:row>3470</xdr:row>
      <xdr:rowOff>9525</xdr:rowOff>
    </xdr:to>
    <xdr:pic>
      <xdr:nvPicPr>
        <xdr:cNvPr id="1741" name="Obraz 1740">
          <a:extLst>
            <a:ext uri="{FF2B5EF4-FFF2-40B4-BE49-F238E27FC236}">
              <a16:creationId xmlns:a16="http://schemas.microsoft.com/office/drawing/2014/main" id="{F12DD887-4138-41EF-ACA7-34209F8D9B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41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3472</xdr:row>
      <xdr:rowOff>0</xdr:rowOff>
    </xdr:from>
    <xdr:to>
      <xdr:col>0</xdr:col>
      <xdr:colOff>9525</xdr:colOff>
      <xdr:row>3472</xdr:row>
      <xdr:rowOff>9525</xdr:rowOff>
    </xdr:to>
    <xdr:pic>
      <xdr:nvPicPr>
        <xdr:cNvPr id="1742" name="Obraz 1741">
          <a:extLst>
            <a:ext uri="{FF2B5EF4-FFF2-40B4-BE49-F238E27FC236}">
              <a16:creationId xmlns:a16="http://schemas.microsoft.com/office/drawing/2014/main" id="{8C1742D4-DAAA-4081-B3F9-DFCFFCC61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198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3473</xdr:row>
      <xdr:rowOff>0</xdr:rowOff>
    </xdr:from>
    <xdr:to>
      <xdr:col>0</xdr:col>
      <xdr:colOff>9525</xdr:colOff>
      <xdr:row>3473</xdr:row>
      <xdr:rowOff>9525</xdr:rowOff>
    </xdr:to>
    <xdr:pic>
      <xdr:nvPicPr>
        <xdr:cNvPr id="1743" name="Obraz 1742">
          <a:extLst>
            <a:ext uri="{FF2B5EF4-FFF2-40B4-BE49-F238E27FC236}">
              <a16:creationId xmlns:a16="http://schemas.microsoft.com/office/drawing/2014/main" id="{6BEE27A5-10EF-4299-971B-4BD3611A6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36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3473</xdr:row>
      <xdr:rowOff>0</xdr:rowOff>
    </xdr:from>
    <xdr:to>
      <xdr:col>0</xdr:col>
      <xdr:colOff>9525</xdr:colOff>
      <xdr:row>3473</xdr:row>
      <xdr:rowOff>9525</xdr:rowOff>
    </xdr:to>
    <xdr:pic>
      <xdr:nvPicPr>
        <xdr:cNvPr id="1744" name="Obraz 1743">
          <a:extLst>
            <a:ext uri="{FF2B5EF4-FFF2-40B4-BE49-F238E27FC236}">
              <a16:creationId xmlns:a16="http://schemas.microsoft.com/office/drawing/2014/main" id="{9AD7E715-4411-4BCF-90EF-F4376CCF1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74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3475</xdr:row>
      <xdr:rowOff>0</xdr:rowOff>
    </xdr:from>
    <xdr:to>
      <xdr:col>0</xdr:col>
      <xdr:colOff>9525</xdr:colOff>
      <xdr:row>3475</xdr:row>
      <xdr:rowOff>9525</xdr:rowOff>
    </xdr:to>
    <xdr:pic>
      <xdr:nvPicPr>
        <xdr:cNvPr id="1745" name="Obraz 1744">
          <a:extLst>
            <a:ext uri="{FF2B5EF4-FFF2-40B4-BE49-F238E27FC236}">
              <a16:creationId xmlns:a16="http://schemas.microsoft.com/office/drawing/2014/main" id="{2F9706D6-6226-4D47-85F8-8CC48E1EE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332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3479</xdr:row>
      <xdr:rowOff>0</xdr:rowOff>
    </xdr:from>
    <xdr:to>
      <xdr:col>0</xdr:col>
      <xdr:colOff>9525</xdr:colOff>
      <xdr:row>3479</xdr:row>
      <xdr:rowOff>9525</xdr:rowOff>
    </xdr:to>
    <xdr:pic>
      <xdr:nvPicPr>
        <xdr:cNvPr id="1746" name="Obraz 1745">
          <a:extLst>
            <a:ext uri="{FF2B5EF4-FFF2-40B4-BE49-F238E27FC236}">
              <a16:creationId xmlns:a16="http://schemas.microsoft.com/office/drawing/2014/main" id="{E5C52C55-14AE-4ACC-8400-D8811D624C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27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3482</xdr:row>
      <xdr:rowOff>0</xdr:rowOff>
    </xdr:from>
    <xdr:to>
      <xdr:col>0</xdr:col>
      <xdr:colOff>9525</xdr:colOff>
      <xdr:row>3482</xdr:row>
      <xdr:rowOff>9525</xdr:rowOff>
    </xdr:to>
    <xdr:pic>
      <xdr:nvPicPr>
        <xdr:cNvPr id="1747" name="Obraz 1746">
          <a:extLst>
            <a:ext uri="{FF2B5EF4-FFF2-40B4-BE49-F238E27FC236}">
              <a16:creationId xmlns:a16="http://schemas.microsoft.com/office/drawing/2014/main" id="{D478F2AF-8A0F-4D62-95AA-7EA5F8E31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03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3486</xdr:row>
      <xdr:rowOff>0</xdr:rowOff>
    </xdr:from>
    <xdr:to>
      <xdr:col>0</xdr:col>
      <xdr:colOff>9525</xdr:colOff>
      <xdr:row>3486</xdr:row>
      <xdr:rowOff>9525</xdr:rowOff>
    </xdr:to>
    <xdr:pic>
      <xdr:nvPicPr>
        <xdr:cNvPr id="1748" name="Obraz 1747">
          <a:extLst>
            <a:ext uri="{FF2B5EF4-FFF2-40B4-BE49-F238E27FC236}">
              <a16:creationId xmlns:a16="http://schemas.microsoft.com/office/drawing/2014/main" id="{D40B79D4-8AFF-4039-8DDE-6995B3E5E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08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3489</xdr:row>
      <xdr:rowOff>0</xdr:rowOff>
    </xdr:from>
    <xdr:to>
      <xdr:col>0</xdr:col>
      <xdr:colOff>9525</xdr:colOff>
      <xdr:row>3489</xdr:row>
      <xdr:rowOff>9525</xdr:rowOff>
    </xdr:to>
    <xdr:pic>
      <xdr:nvPicPr>
        <xdr:cNvPr id="1749" name="Obraz 1748">
          <a:extLst>
            <a:ext uri="{FF2B5EF4-FFF2-40B4-BE49-F238E27FC236}">
              <a16:creationId xmlns:a16="http://schemas.microsoft.com/office/drawing/2014/main" id="{472AF7A0-3263-400E-9FCA-C0243508E0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84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3493</xdr:row>
      <xdr:rowOff>0</xdr:rowOff>
    </xdr:from>
    <xdr:to>
      <xdr:col>0</xdr:col>
      <xdr:colOff>9525</xdr:colOff>
      <xdr:row>3493</xdr:row>
      <xdr:rowOff>9525</xdr:rowOff>
    </xdr:to>
    <xdr:pic>
      <xdr:nvPicPr>
        <xdr:cNvPr id="1750" name="Obraz 1749">
          <a:extLst>
            <a:ext uri="{FF2B5EF4-FFF2-40B4-BE49-F238E27FC236}">
              <a16:creationId xmlns:a16="http://schemas.microsoft.com/office/drawing/2014/main" id="{3981412A-8C2E-4AB7-BF29-D5D8E36E4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579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3496</xdr:row>
      <xdr:rowOff>0</xdr:rowOff>
    </xdr:from>
    <xdr:to>
      <xdr:col>0</xdr:col>
      <xdr:colOff>9525</xdr:colOff>
      <xdr:row>3496</xdr:row>
      <xdr:rowOff>9525</xdr:rowOff>
    </xdr:to>
    <xdr:pic>
      <xdr:nvPicPr>
        <xdr:cNvPr id="1751" name="Obraz 1750">
          <a:extLst>
            <a:ext uri="{FF2B5EF4-FFF2-40B4-BE49-F238E27FC236}">
              <a16:creationId xmlns:a16="http://schemas.microsoft.com/office/drawing/2014/main" id="{54970ECE-5190-4DBD-BC6F-7EDFB3C3D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55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3497</xdr:row>
      <xdr:rowOff>0</xdr:rowOff>
    </xdr:from>
    <xdr:to>
      <xdr:col>0</xdr:col>
      <xdr:colOff>9525</xdr:colOff>
      <xdr:row>3497</xdr:row>
      <xdr:rowOff>9525</xdr:rowOff>
    </xdr:to>
    <xdr:pic>
      <xdr:nvPicPr>
        <xdr:cNvPr id="1752" name="Obraz 1751">
          <a:extLst>
            <a:ext uri="{FF2B5EF4-FFF2-40B4-BE49-F238E27FC236}">
              <a16:creationId xmlns:a16="http://schemas.microsoft.com/office/drawing/2014/main" id="{3CB01C3F-BD0C-4A75-BAF2-10ABBF778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94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3498</xdr:row>
      <xdr:rowOff>0</xdr:rowOff>
    </xdr:from>
    <xdr:to>
      <xdr:col>0</xdr:col>
      <xdr:colOff>9525</xdr:colOff>
      <xdr:row>3498</xdr:row>
      <xdr:rowOff>9525</xdr:rowOff>
    </xdr:to>
    <xdr:pic>
      <xdr:nvPicPr>
        <xdr:cNvPr id="1753" name="Obraz 1752">
          <a:extLst>
            <a:ext uri="{FF2B5EF4-FFF2-40B4-BE49-F238E27FC236}">
              <a16:creationId xmlns:a16="http://schemas.microsoft.com/office/drawing/2014/main" id="{878E28C4-F5AB-4588-B2B9-3D07321D10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32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3500</xdr:row>
      <xdr:rowOff>0</xdr:rowOff>
    </xdr:from>
    <xdr:to>
      <xdr:col>0</xdr:col>
      <xdr:colOff>9525</xdr:colOff>
      <xdr:row>3500</xdr:row>
      <xdr:rowOff>9525</xdr:rowOff>
    </xdr:to>
    <xdr:pic>
      <xdr:nvPicPr>
        <xdr:cNvPr id="1754" name="Obraz 1753">
          <a:extLst>
            <a:ext uri="{FF2B5EF4-FFF2-40B4-BE49-F238E27FC236}">
              <a16:creationId xmlns:a16="http://schemas.microsoft.com/office/drawing/2014/main" id="{1E439D27-7FFE-42A3-80A2-32E214EF9D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789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3504</xdr:row>
      <xdr:rowOff>0</xdr:rowOff>
    </xdr:from>
    <xdr:to>
      <xdr:col>0</xdr:col>
      <xdr:colOff>9525</xdr:colOff>
      <xdr:row>3504</xdr:row>
      <xdr:rowOff>9525</xdr:rowOff>
    </xdr:to>
    <xdr:pic>
      <xdr:nvPicPr>
        <xdr:cNvPr id="1755" name="Obraz 1754">
          <a:extLst>
            <a:ext uri="{FF2B5EF4-FFF2-40B4-BE49-F238E27FC236}">
              <a16:creationId xmlns:a16="http://schemas.microsoft.com/office/drawing/2014/main" id="{D3088317-92AD-4A3C-83F9-2369816403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84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3507</xdr:row>
      <xdr:rowOff>0</xdr:rowOff>
    </xdr:from>
    <xdr:to>
      <xdr:col>0</xdr:col>
      <xdr:colOff>9525</xdr:colOff>
      <xdr:row>3507</xdr:row>
      <xdr:rowOff>9525</xdr:rowOff>
    </xdr:to>
    <xdr:pic>
      <xdr:nvPicPr>
        <xdr:cNvPr id="1756" name="Obraz 1755">
          <a:extLst>
            <a:ext uri="{FF2B5EF4-FFF2-40B4-BE49-F238E27FC236}">
              <a16:creationId xmlns:a16="http://schemas.microsoft.com/office/drawing/2014/main" id="{A3C35401-F437-4FF9-95A6-3F07F26B7D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60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3510</xdr:row>
      <xdr:rowOff>0</xdr:rowOff>
    </xdr:from>
    <xdr:to>
      <xdr:col>0</xdr:col>
      <xdr:colOff>9525</xdr:colOff>
      <xdr:row>3510</xdr:row>
      <xdr:rowOff>9525</xdr:rowOff>
    </xdr:to>
    <xdr:pic>
      <xdr:nvPicPr>
        <xdr:cNvPr id="1757" name="Obraz 1756">
          <a:extLst>
            <a:ext uri="{FF2B5EF4-FFF2-40B4-BE49-F238E27FC236}">
              <a16:creationId xmlns:a16="http://schemas.microsoft.com/office/drawing/2014/main" id="{D8FE3793-D343-4F80-9DAA-038D35F2F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84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3510</xdr:row>
      <xdr:rowOff>0</xdr:rowOff>
    </xdr:from>
    <xdr:to>
      <xdr:col>0</xdr:col>
      <xdr:colOff>9525</xdr:colOff>
      <xdr:row>3510</xdr:row>
      <xdr:rowOff>9525</xdr:rowOff>
    </xdr:to>
    <xdr:pic>
      <xdr:nvPicPr>
        <xdr:cNvPr id="1758" name="Obraz 1757">
          <a:extLst>
            <a:ext uri="{FF2B5EF4-FFF2-40B4-BE49-F238E27FC236}">
              <a16:creationId xmlns:a16="http://schemas.microsoft.com/office/drawing/2014/main" id="{9BCD855E-388D-4045-ACDB-10A2AD136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979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3510</xdr:row>
      <xdr:rowOff>0</xdr:rowOff>
    </xdr:from>
    <xdr:to>
      <xdr:col>0</xdr:col>
      <xdr:colOff>9525</xdr:colOff>
      <xdr:row>3510</xdr:row>
      <xdr:rowOff>9525</xdr:rowOff>
    </xdr:to>
    <xdr:pic>
      <xdr:nvPicPr>
        <xdr:cNvPr id="1759" name="Obraz 1758">
          <a:extLst>
            <a:ext uri="{FF2B5EF4-FFF2-40B4-BE49-F238E27FC236}">
              <a16:creationId xmlns:a16="http://schemas.microsoft.com/office/drawing/2014/main" id="{8C9ABCFC-6344-4306-B400-68FB3190B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75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3511</xdr:row>
      <xdr:rowOff>0</xdr:rowOff>
    </xdr:from>
    <xdr:to>
      <xdr:col>0</xdr:col>
      <xdr:colOff>9525</xdr:colOff>
      <xdr:row>3511</xdr:row>
      <xdr:rowOff>9525</xdr:rowOff>
    </xdr:to>
    <xdr:pic>
      <xdr:nvPicPr>
        <xdr:cNvPr id="1760" name="Obraz 1759">
          <a:extLst>
            <a:ext uri="{FF2B5EF4-FFF2-40B4-BE49-F238E27FC236}">
              <a16:creationId xmlns:a16="http://schemas.microsoft.com/office/drawing/2014/main" id="{22E31CC2-CD47-4528-9112-B924E4CD4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51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3514</xdr:row>
      <xdr:rowOff>0</xdr:rowOff>
    </xdr:from>
    <xdr:to>
      <xdr:col>0</xdr:col>
      <xdr:colOff>9525</xdr:colOff>
      <xdr:row>3514</xdr:row>
      <xdr:rowOff>9525</xdr:rowOff>
    </xdr:to>
    <xdr:pic>
      <xdr:nvPicPr>
        <xdr:cNvPr id="1761" name="Obraz 1760">
          <a:extLst>
            <a:ext uri="{FF2B5EF4-FFF2-40B4-BE49-F238E27FC236}">
              <a16:creationId xmlns:a16="http://schemas.microsoft.com/office/drawing/2014/main" id="{29758C4E-E31B-46B4-835A-8E6BC06393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27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3519</xdr:row>
      <xdr:rowOff>0</xdr:rowOff>
    </xdr:from>
    <xdr:to>
      <xdr:col>0</xdr:col>
      <xdr:colOff>9525</xdr:colOff>
      <xdr:row>3519</xdr:row>
      <xdr:rowOff>9525</xdr:rowOff>
    </xdr:to>
    <xdr:pic>
      <xdr:nvPicPr>
        <xdr:cNvPr id="1762" name="Obraz 1761">
          <a:extLst>
            <a:ext uri="{FF2B5EF4-FFF2-40B4-BE49-F238E27FC236}">
              <a16:creationId xmlns:a16="http://schemas.microsoft.com/office/drawing/2014/main" id="{E8822A6C-B515-4C5A-B5AC-A0FDDB997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41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3521</xdr:row>
      <xdr:rowOff>0</xdr:rowOff>
    </xdr:from>
    <xdr:to>
      <xdr:col>0</xdr:col>
      <xdr:colOff>9525</xdr:colOff>
      <xdr:row>3521</xdr:row>
      <xdr:rowOff>9525</xdr:rowOff>
    </xdr:to>
    <xdr:pic>
      <xdr:nvPicPr>
        <xdr:cNvPr id="1763" name="Obraz 1762">
          <a:extLst>
            <a:ext uri="{FF2B5EF4-FFF2-40B4-BE49-F238E27FC236}">
              <a16:creationId xmlns:a16="http://schemas.microsoft.com/office/drawing/2014/main" id="{2926C015-31E7-449C-B721-3B4E8550E9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98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3522</xdr:row>
      <xdr:rowOff>0</xdr:rowOff>
    </xdr:from>
    <xdr:to>
      <xdr:col>0</xdr:col>
      <xdr:colOff>9525</xdr:colOff>
      <xdr:row>3522</xdr:row>
      <xdr:rowOff>9525</xdr:rowOff>
    </xdr:to>
    <xdr:pic>
      <xdr:nvPicPr>
        <xdr:cNvPr id="1764" name="Obraz 1763">
          <a:extLst>
            <a:ext uri="{FF2B5EF4-FFF2-40B4-BE49-F238E27FC236}">
              <a16:creationId xmlns:a16="http://schemas.microsoft.com/office/drawing/2014/main" id="{963D7D23-7EE2-4FCE-8C39-1E43B4BE5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94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3526</xdr:row>
      <xdr:rowOff>0</xdr:rowOff>
    </xdr:from>
    <xdr:to>
      <xdr:col>0</xdr:col>
      <xdr:colOff>9525</xdr:colOff>
      <xdr:row>3526</xdr:row>
      <xdr:rowOff>9525</xdr:rowOff>
    </xdr:to>
    <xdr:pic>
      <xdr:nvPicPr>
        <xdr:cNvPr id="1765" name="Obraz 1764">
          <a:extLst>
            <a:ext uri="{FF2B5EF4-FFF2-40B4-BE49-F238E27FC236}">
              <a16:creationId xmlns:a16="http://schemas.microsoft.com/office/drawing/2014/main" id="{C611C2CA-6665-4EE9-8C2F-46B4A1608A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189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3529</xdr:row>
      <xdr:rowOff>0</xdr:rowOff>
    </xdr:from>
    <xdr:to>
      <xdr:col>0</xdr:col>
      <xdr:colOff>9525</xdr:colOff>
      <xdr:row>3529</xdr:row>
      <xdr:rowOff>9525</xdr:rowOff>
    </xdr:to>
    <xdr:pic>
      <xdr:nvPicPr>
        <xdr:cNvPr id="1766" name="Obraz 1765">
          <a:extLst>
            <a:ext uri="{FF2B5EF4-FFF2-40B4-BE49-F238E27FC236}">
              <a16:creationId xmlns:a16="http://schemas.microsoft.com/office/drawing/2014/main" id="{2C4D3D06-B65D-4F87-A0D1-6A627ED39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65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3533</xdr:row>
      <xdr:rowOff>0</xdr:rowOff>
    </xdr:from>
    <xdr:to>
      <xdr:col>0</xdr:col>
      <xdr:colOff>9525</xdr:colOff>
      <xdr:row>3533</xdr:row>
      <xdr:rowOff>9525</xdr:rowOff>
    </xdr:to>
    <xdr:pic>
      <xdr:nvPicPr>
        <xdr:cNvPr id="1767" name="Obraz 1766">
          <a:extLst>
            <a:ext uri="{FF2B5EF4-FFF2-40B4-BE49-F238E27FC236}">
              <a16:creationId xmlns:a16="http://schemas.microsoft.com/office/drawing/2014/main" id="{1697DA74-E662-4278-84A9-1A81267AB1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360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3536</xdr:row>
      <xdr:rowOff>0</xdr:rowOff>
    </xdr:from>
    <xdr:to>
      <xdr:col>0</xdr:col>
      <xdr:colOff>9525</xdr:colOff>
      <xdr:row>3536</xdr:row>
      <xdr:rowOff>9525</xdr:rowOff>
    </xdr:to>
    <xdr:pic>
      <xdr:nvPicPr>
        <xdr:cNvPr id="1768" name="Obraz 1767">
          <a:extLst>
            <a:ext uri="{FF2B5EF4-FFF2-40B4-BE49-F238E27FC236}">
              <a16:creationId xmlns:a16="http://schemas.microsoft.com/office/drawing/2014/main" id="{76236396-AEFB-4116-90A5-FA42357E0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37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3540</xdr:row>
      <xdr:rowOff>0</xdr:rowOff>
    </xdr:from>
    <xdr:to>
      <xdr:col>0</xdr:col>
      <xdr:colOff>9525</xdr:colOff>
      <xdr:row>3540</xdr:row>
      <xdr:rowOff>9525</xdr:rowOff>
    </xdr:to>
    <xdr:pic>
      <xdr:nvPicPr>
        <xdr:cNvPr id="1769" name="Obraz 1768">
          <a:extLst>
            <a:ext uri="{FF2B5EF4-FFF2-40B4-BE49-F238E27FC236}">
              <a16:creationId xmlns:a16="http://schemas.microsoft.com/office/drawing/2014/main" id="{DAA1274A-5EF5-4C8D-9B46-22135AA31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32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3544</xdr:row>
      <xdr:rowOff>0</xdr:rowOff>
    </xdr:from>
    <xdr:to>
      <xdr:col>0</xdr:col>
      <xdr:colOff>9525</xdr:colOff>
      <xdr:row>3544</xdr:row>
      <xdr:rowOff>9525</xdr:rowOff>
    </xdr:to>
    <xdr:pic>
      <xdr:nvPicPr>
        <xdr:cNvPr id="1770" name="Obraz 1769">
          <a:extLst>
            <a:ext uri="{FF2B5EF4-FFF2-40B4-BE49-F238E27FC236}">
              <a16:creationId xmlns:a16="http://schemas.microsoft.com/office/drawing/2014/main" id="{8D8C8FBF-315A-4767-857B-525F8AAFC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27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3545</xdr:row>
      <xdr:rowOff>0</xdr:rowOff>
    </xdr:from>
    <xdr:to>
      <xdr:col>0</xdr:col>
      <xdr:colOff>9525</xdr:colOff>
      <xdr:row>3545</xdr:row>
      <xdr:rowOff>9525</xdr:rowOff>
    </xdr:to>
    <xdr:pic>
      <xdr:nvPicPr>
        <xdr:cNvPr id="1771" name="Obraz 1770">
          <a:extLst>
            <a:ext uri="{FF2B5EF4-FFF2-40B4-BE49-F238E27FC236}">
              <a16:creationId xmlns:a16="http://schemas.microsoft.com/office/drawing/2014/main" id="{BED16004-B9F8-4033-A37D-7023909794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65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3545</xdr:row>
      <xdr:rowOff>0</xdr:rowOff>
    </xdr:from>
    <xdr:to>
      <xdr:col>0</xdr:col>
      <xdr:colOff>9525</xdr:colOff>
      <xdr:row>3545</xdr:row>
      <xdr:rowOff>9525</xdr:rowOff>
    </xdr:to>
    <xdr:pic>
      <xdr:nvPicPr>
        <xdr:cNvPr id="1772" name="Obraz 1771">
          <a:extLst>
            <a:ext uri="{FF2B5EF4-FFF2-40B4-BE49-F238E27FC236}">
              <a16:creationId xmlns:a16="http://schemas.microsoft.com/office/drawing/2014/main" id="{6234C23D-70B3-4025-8749-2B3AE947E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03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3547</xdr:row>
      <xdr:rowOff>0</xdr:rowOff>
    </xdr:from>
    <xdr:to>
      <xdr:col>0</xdr:col>
      <xdr:colOff>9525</xdr:colOff>
      <xdr:row>3547</xdr:row>
      <xdr:rowOff>9525</xdr:rowOff>
    </xdr:to>
    <xdr:pic>
      <xdr:nvPicPr>
        <xdr:cNvPr id="1773" name="Obraz 1772">
          <a:extLst>
            <a:ext uri="{FF2B5EF4-FFF2-40B4-BE49-F238E27FC236}">
              <a16:creationId xmlns:a16="http://schemas.microsoft.com/office/drawing/2014/main" id="{4B41E2C8-B39A-49E0-921D-3159592B7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570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3551</xdr:row>
      <xdr:rowOff>0</xdr:rowOff>
    </xdr:from>
    <xdr:to>
      <xdr:col>0</xdr:col>
      <xdr:colOff>9525</xdr:colOff>
      <xdr:row>3551</xdr:row>
      <xdr:rowOff>9525</xdr:rowOff>
    </xdr:to>
    <xdr:pic>
      <xdr:nvPicPr>
        <xdr:cNvPr id="1774" name="Obraz 1773">
          <a:extLst>
            <a:ext uri="{FF2B5EF4-FFF2-40B4-BE49-F238E27FC236}">
              <a16:creationId xmlns:a16="http://schemas.microsoft.com/office/drawing/2014/main" id="{841AD431-0754-46A7-9818-40C89C874A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65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3554</xdr:row>
      <xdr:rowOff>0</xdr:rowOff>
    </xdr:from>
    <xdr:to>
      <xdr:col>0</xdr:col>
      <xdr:colOff>9525</xdr:colOff>
      <xdr:row>3554</xdr:row>
      <xdr:rowOff>9525</xdr:rowOff>
    </xdr:to>
    <xdr:pic>
      <xdr:nvPicPr>
        <xdr:cNvPr id="1775" name="Obraz 1774">
          <a:extLst>
            <a:ext uri="{FF2B5EF4-FFF2-40B4-BE49-F238E27FC236}">
              <a16:creationId xmlns:a16="http://schemas.microsoft.com/office/drawing/2014/main" id="{BB15E7E7-603A-414C-9913-A0B2BE32A0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741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3558</xdr:row>
      <xdr:rowOff>0</xdr:rowOff>
    </xdr:from>
    <xdr:to>
      <xdr:col>0</xdr:col>
      <xdr:colOff>9525</xdr:colOff>
      <xdr:row>3558</xdr:row>
      <xdr:rowOff>9525</xdr:rowOff>
    </xdr:to>
    <xdr:pic>
      <xdr:nvPicPr>
        <xdr:cNvPr id="1776" name="Obraz 1775">
          <a:extLst>
            <a:ext uri="{FF2B5EF4-FFF2-40B4-BE49-F238E27FC236}">
              <a16:creationId xmlns:a16="http://schemas.microsoft.com/office/drawing/2014/main" id="{02F51357-897E-4965-A238-5CF7A1C4F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37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3561</xdr:row>
      <xdr:rowOff>0</xdr:rowOff>
    </xdr:from>
    <xdr:to>
      <xdr:col>0</xdr:col>
      <xdr:colOff>9525</xdr:colOff>
      <xdr:row>3561</xdr:row>
      <xdr:rowOff>9525</xdr:rowOff>
    </xdr:to>
    <xdr:pic>
      <xdr:nvPicPr>
        <xdr:cNvPr id="1777" name="Obraz 1776">
          <a:extLst>
            <a:ext uri="{FF2B5EF4-FFF2-40B4-BE49-F238E27FC236}">
              <a16:creationId xmlns:a16="http://schemas.microsoft.com/office/drawing/2014/main" id="{0199A61E-6011-4172-9F40-0EE3552A7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913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3566</xdr:row>
      <xdr:rowOff>0</xdr:rowOff>
    </xdr:from>
    <xdr:to>
      <xdr:col>0</xdr:col>
      <xdr:colOff>9525</xdr:colOff>
      <xdr:row>3566</xdr:row>
      <xdr:rowOff>9525</xdr:rowOff>
    </xdr:to>
    <xdr:pic>
      <xdr:nvPicPr>
        <xdr:cNvPr id="1778" name="Obraz 1777">
          <a:extLst>
            <a:ext uri="{FF2B5EF4-FFF2-40B4-BE49-F238E27FC236}">
              <a16:creationId xmlns:a16="http://schemas.microsoft.com/office/drawing/2014/main" id="{DF25567B-B515-48C0-82C3-9F32DED28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27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3568</xdr:row>
      <xdr:rowOff>0</xdr:rowOff>
    </xdr:from>
    <xdr:to>
      <xdr:col>0</xdr:col>
      <xdr:colOff>9525</xdr:colOff>
      <xdr:row>3568</xdr:row>
      <xdr:rowOff>9525</xdr:rowOff>
    </xdr:to>
    <xdr:pic>
      <xdr:nvPicPr>
        <xdr:cNvPr id="1779" name="Obraz 1778">
          <a:extLst>
            <a:ext uri="{FF2B5EF4-FFF2-40B4-BE49-F238E27FC236}">
              <a16:creationId xmlns:a16="http://schemas.microsoft.com/office/drawing/2014/main" id="{3789EE13-FE01-4E18-AF0B-158C25276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84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3568</xdr:row>
      <xdr:rowOff>0</xdr:rowOff>
    </xdr:from>
    <xdr:to>
      <xdr:col>0</xdr:col>
      <xdr:colOff>9525</xdr:colOff>
      <xdr:row>3568</xdr:row>
      <xdr:rowOff>9525</xdr:rowOff>
    </xdr:to>
    <xdr:pic>
      <xdr:nvPicPr>
        <xdr:cNvPr id="1780" name="Obraz 1779">
          <a:extLst>
            <a:ext uri="{FF2B5EF4-FFF2-40B4-BE49-F238E27FC236}">
              <a16:creationId xmlns:a16="http://schemas.microsoft.com/office/drawing/2014/main" id="{76859555-9781-4A94-A4FF-A617BB5A55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79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3570</xdr:row>
      <xdr:rowOff>0</xdr:rowOff>
    </xdr:from>
    <xdr:to>
      <xdr:col>0</xdr:col>
      <xdr:colOff>9525</xdr:colOff>
      <xdr:row>3570</xdr:row>
      <xdr:rowOff>9525</xdr:rowOff>
    </xdr:to>
    <xdr:pic>
      <xdr:nvPicPr>
        <xdr:cNvPr id="1781" name="Obraz 1780">
          <a:extLst>
            <a:ext uri="{FF2B5EF4-FFF2-40B4-BE49-F238E27FC236}">
              <a16:creationId xmlns:a16="http://schemas.microsoft.com/office/drawing/2014/main" id="{E8903DB5-7356-406E-8F46-6B8162DAB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08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3573</xdr:row>
      <xdr:rowOff>0</xdr:rowOff>
    </xdr:from>
    <xdr:to>
      <xdr:col>0</xdr:col>
      <xdr:colOff>9525</xdr:colOff>
      <xdr:row>3573</xdr:row>
      <xdr:rowOff>9525</xdr:rowOff>
    </xdr:to>
    <xdr:pic>
      <xdr:nvPicPr>
        <xdr:cNvPr id="1782" name="Obraz 1781">
          <a:extLst>
            <a:ext uri="{FF2B5EF4-FFF2-40B4-BE49-F238E27FC236}">
              <a16:creationId xmlns:a16="http://schemas.microsoft.com/office/drawing/2014/main" id="{DB547713-8F59-4545-A5D9-5383E5FAE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84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3577</xdr:row>
      <xdr:rowOff>0</xdr:rowOff>
    </xdr:from>
    <xdr:to>
      <xdr:col>0</xdr:col>
      <xdr:colOff>9525</xdr:colOff>
      <xdr:row>3577</xdr:row>
      <xdr:rowOff>9525</xdr:rowOff>
    </xdr:to>
    <xdr:pic>
      <xdr:nvPicPr>
        <xdr:cNvPr id="1783" name="Obraz 1782">
          <a:extLst>
            <a:ext uri="{FF2B5EF4-FFF2-40B4-BE49-F238E27FC236}">
              <a16:creationId xmlns:a16="http://schemas.microsoft.com/office/drawing/2014/main" id="{27207BED-E987-47CA-A510-0040E10E7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179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3581</xdr:row>
      <xdr:rowOff>0</xdr:rowOff>
    </xdr:from>
    <xdr:to>
      <xdr:col>0</xdr:col>
      <xdr:colOff>9525</xdr:colOff>
      <xdr:row>3581</xdr:row>
      <xdr:rowOff>9525</xdr:rowOff>
    </xdr:to>
    <xdr:pic>
      <xdr:nvPicPr>
        <xdr:cNvPr id="1784" name="Obraz 1783">
          <a:extLst>
            <a:ext uri="{FF2B5EF4-FFF2-40B4-BE49-F238E27FC236}">
              <a16:creationId xmlns:a16="http://schemas.microsoft.com/office/drawing/2014/main" id="{3C7A3960-37C6-4B90-8632-8A198E8251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18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3584</xdr:row>
      <xdr:rowOff>0</xdr:rowOff>
    </xdr:from>
    <xdr:to>
      <xdr:col>0</xdr:col>
      <xdr:colOff>9525</xdr:colOff>
      <xdr:row>3584</xdr:row>
      <xdr:rowOff>9525</xdr:rowOff>
    </xdr:to>
    <xdr:pic>
      <xdr:nvPicPr>
        <xdr:cNvPr id="1785" name="Obraz 1784">
          <a:extLst>
            <a:ext uri="{FF2B5EF4-FFF2-40B4-BE49-F238E27FC236}">
              <a16:creationId xmlns:a16="http://schemas.microsoft.com/office/drawing/2014/main" id="{16D775DF-1532-4EC9-98A0-4DD414F70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94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3589</xdr:row>
      <xdr:rowOff>0</xdr:rowOff>
    </xdr:from>
    <xdr:to>
      <xdr:col>0</xdr:col>
      <xdr:colOff>9525</xdr:colOff>
      <xdr:row>3589</xdr:row>
      <xdr:rowOff>9525</xdr:rowOff>
    </xdr:to>
    <xdr:pic>
      <xdr:nvPicPr>
        <xdr:cNvPr id="1786" name="Obraz 1785">
          <a:extLst>
            <a:ext uri="{FF2B5EF4-FFF2-40B4-BE49-F238E27FC236}">
              <a16:creationId xmlns:a16="http://schemas.microsoft.com/office/drawing/2014/main" id="{49945751-28DB-4749-B1A0-415E35326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08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3592</xdr:row>
      <xdr:rowOff>0</xdr:rowOff>
    </xdr:from>
    <xdr:to>
      <xdr:col>0</xdr:col>
      <xdr:colOff>9525</xdr:colOff>
      <xdr:row>3592</xdr:row>
      <xdr:rowOff>9525</xdr:rowOff>
    </xdr:to>
    <xdr:pic>
      <xdr:nvPicPr>
        <xdr:cNvPr id="1787" name="Obraz 1786">
          <a:extLst>
            <a:ext uri="{FF2B5EF4-FFF2-40B4-BE49-F238E27FC236}">
              <a16:creationId xmlns:a16="http://schemas.microsoft.com/office/drawing/2014/main" id="{54EA202A-C120-47F8-8C83-16D3B10E2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27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3595</xdr:row>
      <xdr:rowOff>0</xdr:rowOff>
    </xdr:from>
    <xdr:to>
      <xdr:col>0</xdr:col>
      <xdr:colOff>9525</xdr:colOff>
      <xdr:row>3595</xdr:row>
      <xdr:rowOff>9525</xdr:rowOff>
    </xdr:to>
    <xdr:pic>
      <xdr:nvPicPr>
        <xdr:cNvPr id="1788" name="Obraz 1787">
          <a:extLst>
            <a:ext uri="{FF2B5EF4-FFF2-40B4-BE49-F238E27FC236}">
              <a16:creationId xmlns:a16="http://schemas.microsoft.com/office/drawing/2014/main" id="{84979997-740F-4A41-8DF7-49F437F8FA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503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3600</xdr:row>
      <xdr:rowOff>0</xdr:rowOff>
    </xdr:from>
    <xdr:to>
      <xdr:col>0</xdr:col>
      <xdr:colOff>9525</xdr:colOff>
      <xdr:row>3600</xdr:row>
      <xdr:rowOff>9525</xdr:rowOff>
    </xdr:to>
    <xdr:pic>
      <xdr:nvPicPr>
        <xdr:cNvPr id="1789" name="Obraz 1788">
          <a:extLst>
            <a:ext uri="{FF2B5EF4-FFF2-40B4-BE49-F238E27FC236}">
              <a16:creationId xmlns:a16="http://schemas.microsoft.com/office/drawing/2014/main" id="{9504ADDE-BA19-47A4-B8BB-34754BE8CB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18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3603</xdr:row>
      <xdr:rowOff>0</xdr:rowOff>
    </xdr:from>
    <xdr:to>
      <xdr:col>0</xdr:col>
      <xdr:colOff>9525</xdr:colOff>
      <xdr:row>3603</xdr:row>
      <xdr:rowOff>9525</xdr:rowOff>
    </xdr:to>
    <xdr:pic>
      <xdr:nvPicPr>
        <xdr:cNvPr id="1790" name="Obraz 1789">
          <a:extLst>
            <a:ext uri="{FF2B5EF4-FFF2-40B4-BE49-F238E27FC236}">
              <a16:creationId xmlns:a16="http://schemas.microsoft.com/office/drawing/2014/main" id="{1AE1B1AC-66F8-42C0-B47D-BE19003E6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3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3607</xdr:row>
      <xdr:rowOff>0</xdr:rowOff>
    </xdr:from>
    <xdr:to>
      <xdr:col>0</xdr:col>
      <xdr:colOff>9525</xdr:colOff>
      <xdr:row>3607</xdr:row>
      <xdr:rowOff>9525</xdr:rowOff>
    </xdr:to>
    <xdr:pic>
      <xdr:nvPicPr>
        <xdr:cNvPr id="1791" name="Obraz 1790">
          <a:extLst>
            <a:ext uri="{FF2B5EF4-FFF2-40B4-BE49-F238E27FC236}">
              <a16:creationId xmlns:a16="http://schemas.microsoft.com/office/drawing/2014/main" id="{740036B5-A0F9-4248-9F93-432EAF1B7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732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3612</xdr:row>
      <xdr:rowOff>0</xdr:rowOff>
    </xdr:from>
    <xdr:to>
      <xdr:col>0</xdr:col>
      <xdr:colOff>9525</xdr:colOff>
      <xdr:row>3612</xdr:row>
      <xdr:rowOff>9525</xdr:rowOff>
    </xdr:to>
    <xdr:pic>
      <xdr:nvPicPr>
        <xdr:cNvPr id="1792" name="Obraz 1791">
          <a:extLst>
            <a:ext uri="{FF2B5EF4-FFF2-40B4-BE49-F238E27FC236}">
              <a16:creationId xmlns:a16="http://schemas.microsoft.com/office/drawing/2014/main" id="{D201359C-1897-4513-A605-E6514DE3D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46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3614</xdr:row>
      <xdr:rowOff>0</xdr:rowOff>
    </xdr:from>
    <xdr:to>
      <xdr:col>0</xdr:col>
      <xdr:colOff>9525</xdr:colOff>
      <xdr:row>3614</xdr:row>
      <xdr:rowOff>9525</xdr:rowOff>
    </xdr:to>
    <xdr:pic>
      <xdr:nvPicPr>
        <xdr:cNvPr id="1793" name="Obraz 1792">
          <a:extLst>
            <a:ext uri="{FF2B5EF4-FFF2-40B4-BE49-F238E27FC236}">
              <a16:creationId xmlns:a16="http://schemas.microsoft.com/office/drawing/2014/main" id="{A963421A-F441-4BFD-8D00-7D01E645D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46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3617</xdr:row>
      <xdr:rowOff>0</xdr:rowOff>
    </xdr:from>
    <xdr:to>
      <xdr:col>0</xdr:col>
      <xdr:colOff>9525</xdr:colOff>
      <xdr:row>3617</xdr:row>
      <xdr:rowOff>9525</xdr:rowOff>
    </xdr:to>
    <xdr:pic>
      <xdr:nvPicPr>
        <xdr:cNvPr id="1794" name="Obraz 1793">
          <a:extLst>
            <a:ext uri="{FF2B5EF4-FFF2-40B4-BE49-F238E27FC236}">
              <a16:creationId xmlns:a16="http://schemas.microsoft.com/office/drawing/2014/main" id="{2C4D5B8C-5909-4E69-AA05-F083F3B1F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922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3622</xdr:row>
      <xdr:rowOff>0</xdr:rowOff>
    </xdr:from>
    <xdr:to>
      <xdr:col>0</xdr:col>
      <xdr:colOff>9525</xdr:colOff>
      <xdr:row>3622</xdr:row>
      <xdr:rowOff>9525</xdr:rowOff>
    </xdr:to>
    <xdr:pic>
      <xdr:nvPicPr>
        <xdr:cNvPr id="1795" name="Obraz 1794">
          <a:extLst>
            <a:ext uri="{FF2B5EF4-FFF2-40B4-BE49-F238E27FC236}">
              <a16:creationId xmlns:a16="http://schemas.microsoft.com/office/drawing/2014/main" id="{D810832D-651B-493D-9428-84A4CADCA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37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3624</xdr:row>
      <xdr:rowOff>0</xdr:rowOff>
    </xdr:from>
    <xdr:to>
      <xdr:col>0</xdr:col>
      <xdr:colOff>9525</xdr:colOff>
      <xdr:row>3624</xdr:row>
      <xdr:rowOff>9525</xdr:rowOff>
    </xdr:to>
    <xdr:pic>
      <xdr:nvPicPr>
        <xdr:cNvPr id="1796" name="Obraz 1795">
          <a:extLst>
            <a:ext uri="{FF2B5EF4-FFF2-40B4-BE49-F238E27FC236}">
              <a16:creationId xmlns:a16="http://schemas.microsoft.com/office/drawing/2014/main" id="{0A383C63-5A86-4B74-81FE-3871AC70E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94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3624</xdr:row>
      <xdr:rowOff>0</xdr:rowOff>
    </xdr:from>
    <xdr:to>
      <xdr:col>0</xdr:col>
      <xdr:colOff>9525</xdr:colOff>
      <xdr:row>3624</xdr:row>
      <xdr:rowOff>9525</xdr:rowOff>
    </xdr:to>
    <xdr:pic>
      <xdr:nvPicPr>
        <xdr:cNvPr id="1797" name="Obraz 1796">
          <a:extLst>
            <a:ext uri="{FF2B5EF4-FFF2-40B4-BE49-F238E27FC236}">
              <a16:creationId xmlns:a16="http://schemas.microsoft.com/office/drawing/2014/main" id="{5557282F-C685-4ABD-982B-1B7892C6A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32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3627</xdr:row>
      <xdr:rowOff>0</xdr:rowOff>
    </xdr:from>
    <xdr:to>
      <xdr:col>0</xdr:col>
      <xdr:colOff>9525</xdr:colOff>
      <xdr:row>3627</xdr:row>
      <xdr:rowOff>9525</xdr:rowOff>
    </xdr:to>
    <xdr:pic>
      <xdr:nvPicPr>
        <xdr:cNvPr id="1798" name="Obraz 1797">
          <a:extLst>
            <a:ext uri="{FF2B5EF4-FFF2-40B4-BE49-F238E27FC236}">
              <a16:creationId xmlns:a16="http://schemas.microsoft.com/office/drawing/2014/main" id="{E06B9A50-EA1C-44E2-B413-B3A900148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94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3631</xdr:row>
      <xdr:rowOff>0</xdr:rowOff>
    </xdr:from>
    <xdr:to>
      <xdr:col>0</xdr:col>
      <xdr:colOff>9525</xdr:colOff>
      <xdr:row>3631</xdr:row>
      <xdr:rowOff>9525</xdr:rowOff>
    </xdr:to>
    <xdr:pic>
      <xdr:nvPicPr>
        <xdr:cNvPr id="1799" name="Obraz 1798">
          <a:extLst>
            <a:ext uri="{FF2B5EF4-FFF2-40B4-BE49-F238E27FC236}">
              <a16:creationId xmlns:a16="http://schemas.microsoft.com/office/drawing/2014/main" id="{F83B79DF-1899-4FEC-A1A1-3CE7CAA80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189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3634</xdr:row>
      <xdr:rowOff>0</xdr:rowOff>
    </xdr:from>
    <xdr:to>
      <xdr:col>0</xdr:col>
      <xdr:colOff>9525</xdr:colOff>
      <xdr:row>3634</xdr:row>
      <xdr:rowOff>9525</xdr:rowOff>
    </xdr:to>
    <xdr:pic>
      <xdr:nvPicPr>
        <xdr:cNvPr id="1800" name="Obraz 1799">
          <a:extLst>
            <a:ext uri="{FF2B5EF4-FFF2-40B4-BE49-F238E27FC236}">
              <a16:creationId xmlns:a16="http://schemas.microsoft.com/office/drawing/2014/main" id="{14C932E0-596E-4EE0-8A9A-30A113A8E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65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3638</xdr:row>
      <xdr:rowOff>0</xdr:rowOff>
    </xdr:from>
    <xdr:to>
      <xdr:col>0</xdr:col>
      <xdr:colOff>9525</xdr:colOff>
      <xdr:row>3638</xdr:row>
      <xdr:rowOff>9525</xdr:rowOff>
    </xdr:to>
    <xdr:pic>
      <xdr:nvPicPr>
        <xdr:cNvPr id="1801" name="Obraz 1800">
          <a:extLst>
            <a:ext uri="{FF2B5EF4-FFF2-40B4-BE49-F238E27FC236}">
              <a16:creationId xmlns:a16="http://schemas.microsoft.com/office/drawing/2014/main" id="{0A821D64-97DA-40F4-BB3B-CF79ABED2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03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3641</xdr:row>
      <xdr:rowOff>0</xdr:rowOff>
    </xdr:from>
    <xdr:to>
      <xdr:col>0</xdr:col>
      <xdr:colOff>9525</xdr:colOff>
      <xdr:row>3641</xdr:row>
      <xdr:rowOff>9525</xdr:rowOff>
    </xdr:to>
    <xdr:pic>
      <xdr:nvPicPr>
        <xdr:cNvPr id="1802" name="Obraz 1801">
          <a:extLst>
            <a:ext uri="{FF2B5EF4-FFF2-40B4-BE49-F238E27FC236}">
              <a16:creationId xmlns:a16="http://schemas.microsoft.com/office/drawing/2014/main" id="{80444E89-EE0E-4D71-B417-6F80DA4FD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380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3646</xdr:row>
      <xdr:rowOff>0</xdr:rowOff>
    </xdr:from>
    <xdr:to>
      <xdr:col>0</xdr:col>
      <xdr:colOff>9525</xdr:colOff>
      <xdr:row>3646</xdr:row>
      <xdr:rowOff>9525</xdr:rowOff>
    </xdr:to>
    <xdr:pic>
      <xdr:nvPicPr>
        <xdr:cNvPr id="1803" name="Obraz 1802">
          <a:extLst>
            <a:ext uri="{FF2B5EF4-FFF2-40B4-BE49-F238E27FC236}">
              <a16:creationId xmlns:a16="http://schemas.microsoft.com/office/drawing/2014/main" id="{533063AF-5505-4368-BC3B-8DAFE0A01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94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3648</xdr:row>
      <xdr:rowOff>0</xdr:rowOff>
    </xdr:from>
    <xdr:to>
      <xdr:col>0</xdr:col>
      <xdr:colOff>9525</xdr:colOff>
      <xdr:row>3648</xdr:row>
      <xdr:rowOff>9525</xdr:rowOff>
    </xdr:to>
    <xdr:pic>
      <xdr:nvPicPr>
        <xdr:cNvPr id="1804" name="Obraz 1803">
          <a:extLst>
            <a:ext uri="{FF2B5EF4-FFF2-40B4-BE49-F238E27FC236}">
              <a16:creationId xmlns:a16="http://schemas.microsoft.com/office/drawing/2014/main" id="{C6E2EC1E-86B9-41C9-83AB-20DCD8AC5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51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3648</xdr:row>
      <xdr:rowOff>0</xdr:rowOff>
    </xdr:from>
    <xdr:to>
      <xdr:col>0</xdr:col>
      <xdr:colOff>9525</xdr:colOff>
      <xdr:row>3648</xdr:row>
      <xdr:rowOff>9525</xdr:rowOff>
    </xdr:to>
    <xdr:pic>
      <xdr:nvPicPr>
        <xdr:cNvPr id="1805" name="Obraz 1804">
          <a:extLst>
            <a:ext uri="{FF2B5EF4-FFF2-40B4-BE49-F238E27FC236}">
              <a16:creationId xmlns:a16="http://schemas.microsoft.com/office/drawing/2014/main" id="{0C8CE105-C3D4-4E86-81BD-21D57041C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89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3651</xdr:row>
      <xdr:rowOff>0</xdr:rowOff>
    </xdr:from>
    <xdr:to>
      <xdr:col>0</xdr:col>
      <xdr:colOff>9525</xdr:colOff>
      <xdr:row>3651</xdr:row>
      <xdr:rowOff>9525</xdr:rowOff>
    </xdr:to>
    <xdr:pic>
      <xdr:nvPicPr>
        <xdr:cNvPr id="1806" name="Obraz 1805">
          <a:extLst>
            <a:ext uri="{FF2B5EF4-FFF2-40B4-BE49-F238E27FC236}">
              <a16:creationId xmlns:a16="http://schemas.microsoft.com/office/drawing/2014/main" id="{9F1AFD6C-B703-4CD5-B6EA-CA6BC2E036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551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3654</xdr:row>
      <xdr:rowOff>0</xdr:rowOff>
    </xdr:from>
    <xdr:to>
      <xdr:col>0</xdr:col>
      <xdr:colOff>9525</xdr:colOff>
      <xdr:row>3654</xdr:row>
      <xdr:rowOff>9525</xdr:rowOff>
    </xdr:to>
    <xdr:pic>
      <xdr:nvPicPr>
        <xdr:cNvPr id="1807" name="Obraz 1806">
          <a:extLst>
            <a:ext uri="{FF2B5EF4-FFF2-40B4-BE49-F238E27FC236}">
              <a16:creationId xmlns:a16="http://schemas.microsoft.com/office/drawing/2014/main" id="{FE2604F7-BDE6-4909-B11E-AE1F9E778E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27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3658</xdr:row>
      <xdr:rowOff>0</xdr:rowOff>
    </xdr:from>
    <xdr:to>
      <xdr:col>0</xdr:col>
      <xdr:colOff>9525</xdr:colOff>
      <xdr:row>3658</xdr:row>
      <xdr:rowOff>9525</xdr:rowOff>
    </xdr:to>
    <xdr:pic>
      <xdr:nvPicPr>
        <xdr:cNvPr id="1808" name="Obraz 1807">
          <a:extLst>
            <a:ext uri="{FF2B5EF4-FFF2-40B4-BE49-F238E27FC236}">
              <a16:creationId xmlns:a16="http://schemas.microsoft.com/office/drawing/2014/main" id="{20882A91-25D8-4D07-B154-FD2714CFC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23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3662</xdr:row>
      <xdr:rowOff>0</xdr:rowOff>
    </xdr:from>
    <xdr:to>
      <xdr:col>0</xdr:col>
      <xdr:colOff>9525</xdr:colOff>
      <xdr:row>3662</xdr:row>
      <xdr:rowOff>9525</xdr:rowOff>
    </xdr:to>
    <xdr:pic>
      <xdr:nvPicPr>
        <xdr:cNvPr id="1809" name="Obraz 1808">
          <a:extLst>
            <a:ext uri="{FF2B5EF4-FFF2-40B4-BE49-F238E27FC236}">
              <a16:creationId xmlns:a16="http://schemas.microsoft.com/office/drawing/2014/main" id="{5F6C5002-838E-4EC9-BDEC-D68E75B26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761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3665</xdr:row>
      <xdr:rowOff>0</xdr:rowOff>
    </xdr:from>
    <xdr:to>
      <xdr:col>0</xdr:col>
      <xdr:colOff>9525</xdr:colOff>
      <xdr:row>3665</xdr:row>
      <xdr:rowOff>9525</xdr:rowOff>
    </xdr:to>
    <xdr:pic>
      <xdr:nvPicPr>
        <xdr:cNvPr id="1810" name="Obraz 1809">
          <a:extLst>
            <a:ext uri="{FF2B5EF4-FFF2-40B4-BE49-F238E27FC236}">
              <a16:creationId xmlns:a16="http://schemas.microsoft.com/office/drawing/2014/main" id="{95380322-67C8-4CD2-921A-AACF36E18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37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3669</xdr:row>
      <xdr:rowOff>0</xdr:rowOff>
    </xdr:from>
    <xdr:to>
      <xdr:col>0</xdr:col>
      <xdr:colOff>9525</xdr:colOff>
      <xdr:row>3669</xdr:row>
      <xdr:rowOff>9525</xdr:rowOff>
    </xdr:to>
    <xdr:pic>
      <xdr:nvPicPr>
        <xdr:cNvPr id="1811" name="Obraz 1810">
          <a:extLst>
            <a:ext uri="{FF2B5EF4-FFF2-40B4-BE49-F238E27FC236}">
              <a16:creationId xmlns:a16="http://schemas.microsoft.com/office/drawing/2014/main" id="{CB43A512-4C26-426C-919E-912ABE4A4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32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3673</xdr:row>
      <xdr:rowOff>0</xdr:rowOff>
    </xdr:from>
    <xdr:to>
      <xdr:col>0</xdr:col>
      <xdr:colOff>9525</xdr:colOff>
      <xdr:row>3673</xdr:row>
      <xdr:rowOff>9525</xdr:rowOff>
    </xdr:to>
    <xdr:pic>
      <xdr:nvPicPr>
        <xdr:cNvPr id="1812" name="Obraz 1811">
          <a:extLst>
            <a:ext uri="{FF2B5EF4-FFF2-40B4-BE49-F238E27FC236}">
              <a16:creationId xmlns:a16="http://schemas.microsoft.com/office/drawing/2014/main" id="{08B13D88-EC03-4FB6-8F97-82C8D7C6D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970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3676</xdr:row>
      <xdr:rowOff>0</xdr:rowOff>
    </xdr:from>
    <xdr:to>
      <xdr:col>0</xdr:col>
      <xdr:colOff>9525</xdr:colOff>
      <xdr:row>3676</xdr:row>
      <xdr:rowOff>9525</xdr:rowOff>
    </xdr:to>
    <xdr:pic>
      <xdr:nvPicPr>
        <xdr:cNvPr id="1813" name="Obraz 1812">
          <a:extLst>
            <a:ext uri="{FF2B5EF4-FFF2-40B4-BE49-F238E27FC236}">
              <a16:creationId xmlns:a16="http://schemas.microsoft.com/office/drawing/2014/main" id="{207973BB-BEF0-40AB-9A68-3525969CD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46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3681</xdr:row>
      <xdr:rowOff>0</xdr:rowOff>
    </xdr:from>
    <xdr:to>
      <xdr:col>0</xdr:col>
      <xdr:colOff>9525</xdr:colOff>
      <xdr:row>3681</xdr:row>
      <xdr:rowOff>9525</xdr:rowOff>
    </xdr:to>
    <xdr:pic>
      <xdr:nvPicPr>
        <xdr:cNvPr id="1814" name="Obraz 1813">
          <a:extLst>
            <a:ext uri="{FF2B5EF4-FFF2-40B4-BE49-F238E27FC236}">
              <a16:creationId xmlns:a16="http://schemas.microsoft.com/office/drawing/2014/main" id="{E6DBC95B-A73A-44B9-874A-F14B02968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61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3684</xdr:row>
      <xdr:rowOff>0</xdr:rowOff>
    </xdr:from>
    <xdr:to>
      <xdr:col>0</xdr:col>
      <xdr:colOff>9525</xdr:colOff>
      <xdr:row>3684</xdr:row>
      <xdr:rowOff>9525</xdr:rowOff>
    </xdr:to>
    <xdr:pic>
      <xdr:nvPicPr>
        <xdr:cNvPr id="1815" name="Obraz 1814">
          <a:extLst>
            <a:ext uri="{FF2B5EF4-FFF2-40B4-BE49-F238E27FC236}">
              <a16:creationId xmlns:a16="http://schemas.microsoft.com/office/drawing/2014/main" id="{36CD4BB7-A8D3-4317-8EC1-7C3535BA5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80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3688</xdr:row>
      <xdr:rowOff>0</xdr:rowOff>
    </xdr:from>
    <xdr:to>
      <xdr:col>0</xdr:col>
      <xdr:colOff>9525</xdr:colOff>
      <xdr:row>3688</xdr:row>
      <xdr:rowOff>9525</xdr:rowOff>
    </xdr:to>
    <xdr:pic>
      <xdr:nvPicPr>
        <xdr:cNvPr id="1816" name="Obraz 1815">
          <a:extLst>
            <a:ext uri="{FF2B5EF4-FFF2-40B4-BE49-F238E27FC236}">
              <a16:creationId xmlns:a16="http://schemas.microsoft.com/office/drawing/2014/main" id="{973407E8-F082-4D43-A3A9-9EBD6DC87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75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3691</xdr:row>
      <xdr:rowOff>0</xdr:rowOff>
    </xdr:from>
    <xdr:to>
      <xdr:col>0</xdr:col>
      <xdr:colOff>9525</xdr:colOff>
      <xdr:row>3691</xdr:row>
      <xdr:rowOff>9525</xdr:rowOff>
    </xdr:to>
    <xdr:pic>
      <xdr:nvPicPr>
        <xdr:cNvPr id="1817" name="Obraz 1816">
          <a:extLst>
            <a:ext uri="{FF2B5EF4-FFF2-40B4-BE49-F238E27FC236}">
              <a16:creationId xmlns:a16="http://schemas.microsoft.com/office/drawing/2014/main" id="{CCF7B8E8-FB1D-4A07-B884-43E7AD113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51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3695</xdr:row>
      <xdr:rowOff>0</xdr:rowOff>
    </xdr:from>
    <xdr:to>
      <xdr:col>0</xdr:col>
      <xdr:colOff>9525</xdr:colOff>
      <xdr:row>3695</xdr:row>
      <xdr:rowOff>9525</xdr:rowOff>
    </xdr:to>
    <xdr:pic>
      <xdr:nvPicPr>
        <xdr:cNvPr id="1818" name="Obraz 1817">
          <a:extLst>
            <a:ext uri="{FF2B5EF4-FFF2-40B4-BE49-F238E27FC236}">
              <a16:creationId xmlns:a16="http://schemas.microsoft.com/office/drawing/2014/main" id="{3800C614-E3EE-47C3-B03D-0C8E364E3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389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3698</xdr:row>
      <xdr:rowOff>0</xdr:rowOff>
    </xdr:from>
    <xdr:to>
      <xdr:col>0</xdr:col>
      <xdr:colOff>9525</xdr:colOff>
      <xdr:row>3698</xdr:row>
      <xdr:rowOff>9525</xdr:rowOff>
    </xdr:to>
    <xdr:pic>
      <xdr:nvPicPr>
        <xdr:cNvPr id="1819" name="Obraz 1818">
          <a:extLst>
            <a:ext uri="{FF2B5EF4-FFF2-40B4-BE49-F238E27FC236}">
              <a16:creationId xmlns:a16="http://schemas.microsoft.com/office/drawing/2014/main" id="{3EDDA998-4F56-4C52-A054-D2A58EF8A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65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3703</xdr:row>
      <xdr:rowOff>0</xdr:rowOff>
    </xdr:from>
    <xdr:to>
      <xdr:col>0</xdr:col>
      <xdr:colOff>9525</xdr:colOff>
      <xdr:row>3703</xdr:row>
      <xdr:rowOff>9525</xdr:rowOff>
    </xdr:to>
    <xdr:pic>
      <xdr:nvPicPr>
        <xdr:cNvPr id="1820" name="Obraz 1819">
          <a:extLst>
            <a:ext uri="{FF2B5EF4-FFF2-40B4-BE49-F238E27FC236}">
              <a16:creationId xmlns:a16="http://schemas.microsoft.com/office/drawing/2014/main" id="{B30A7942-F61E-4257-9CBC-65E16572C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80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3706</xdr:row>
      <xdr:rowOff>0</xdr:rowOff>
    </xdr:from>
    <xdr:to>
      <xdr:col>0</xdr:col>
      <xdr:colOff>9525</xdr:colOff>
      <xdr:row>3706</xdr:row>
      <xdr:rowOff>9525</xdr:rowOff>
    </xdr:to>
    <xdr:pic>
      <xdr:nvPicPr>
        <xdr:cNvPr id="1821" name="Obraz 1820">
          <a:extLst>
            <a:ext uri="{FF2B5EF4-FFF2-40B4-BE49-F238E27FC236}">
              <a16:creationId xmlns:a16="http://schemas.microsoft.com/office/drawing/2014/main" id="{9DD3CE25-CB1F-45A6-8B15-00323AFF7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599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3709</xdr:row>
      <xdr:rowOff>0</xdr:rowOff>
    </xdr:from>
    <xdr:to>
      <xdr:col>0</xdr:col>
      <xdr:colOff>9525</xdr:colOff>
      <xdr:row>3709</xdr:row>
      <xdr:rowOff>9525</xdr:rowOff>
    </xdr:to>
    <xdr:pic>
      <xdr:nvPicPr>
        <xdr:cNvPr id="1822" name="Obraz 1821">
          <a:extLst>
            <a:ext uri="{FF2B5EF4-FFF2-40B4-BE49-F238E27FC236}">
              <a16:creationId xmlns:a16="http://schemas.microsoft.com/office/drawing/2014/main" id="{BA469FCF-44C1-4FD0-964B-DB6F6F169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75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3714</xdr:row>
      <xdr:rowOff>0</xdr:rowOff>
    </xdr:from>
    <xdr:to>
      <xdr:col>0</xdr:col>
      <xdr:colOff>9525</xdr:colOff>
      <xdr:row>3714</xdr:row>
      <xdr:rowOff>9525</xdr:rowOff>
    </xdr:to>
    <xdr:pic>
      <xdr:nvPicPr>
        <xdr:cNvPr id="1823" name="Obraz 1822">
          <a:extLst>
            <a:ext uri="{FF2B5EF4-FFF2-40B4-BE49-F238E27FC236}">
              <a16:creationId xmlns:a16="http://schemas.microsoft.com/office/drawing/2014/main" id="{75F00A2D-3604-4982-8447-8C7D79415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89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3717</xdr:row>
      <xdr:rowOff>0</xdr:rowOff>
    </xdr:from>
    <xdr:to>
      <xdr:col>0</xdr:col>
      <xdr:colOff>9525</xdr:colOff>
      <xdr:row>3717</xdr:row>
      <xdr:rowOff>9525</xdr:rowOff>
    </xdr:to>
    <xdr:pic>
      <xdr:nvPicPr>
        <xdr:cNvPr id="1824" name="Obraz 1823">
          <a:extLst>
            <a:ext uri="{FF2B5EF4-FFF2-40B4-BE49-F238E27FC236}">
              <a16:creationId xmlns:a16="http://schemas.microsoft.com/office/drawing/2014/main" id="{19F388EC-8A1B-4B8C-9EC8-1922269E36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08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3721</xdr:row>
      <xdr:rowOff>0</xdr:rowOff>
    </xdr:from>
    <xdr:to>
      <xdr:col>0</xdr:col>
      <xdr:colOff>9525</xdr:colOff>
      <xdr:row>3721</xdr:row>
      <xdr:rowOff>9525</xdr:rowOff>
    </xdr:to>
    <xdr:pic>
      <xdr:nvPicPr>
        <xdr:cNvPr id="1825" name="Obraz 1824">
          <a:extLst>
            <a:ext uri="{FF2B5EF4-FFF2-40B4-BE49-F238E27FC236}">
              <a16:creationId xmlns:a16="http://schemas.microsoft.com/office/drawing/2014/main" id="{2D0D42FC-7AF9-4F4D-8AF0-C5F4B408E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04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3725</xdr:row>
      <xdr:rowOff>0</xdr:rowOff>
    </xdr:from>
    <xdr:to>
      <xdr:col>0</xdr:col>
      <xdr:colOff>9525</xdr:colOff>
      <xdr:row>3725</xdr:row>
      <xdr:rowOff>9525</xdr:rowOff>
    </xdr:to>
    <xdr:pic>
      <xdr:nvPicPr>
        <xdr:cNvPr id="1826" name="Obraz 1825">
          <a:extLst>
            <a:ext uri="{FF2B5EF4-FFF2-40B4-BE49-F238E27FC236}">
              <a16:creationId xmlns:a16="http://schemas.microsoft.com/office/drawing/2014/main" id="{A537BF9F-BF25-4AF0-90FC-65E59B018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999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3728</xdr:row>
      <xdr:rowOff>0</xdr:rowOff>
    </xdr:from>
    <xdr:to>
      <xdr:col>0</xdr:col>
      <xdr:colOff>9525</xdr:colOff>
      <xdr:row>3728</xdr:row>
      <xdr:rowOff>9525</xdr:rowOff>
    </xdr:to>
    <xdr:pic>
      <xdr:nvPicPr>
        <xdr:cNvPr id="1827" name="Obraz 1826">
          <a:extLst>
            <a:ext uri="{FF2B5EF4-FFF2-40B4-BE49-F238E27FC236}">
              <a16:creationId xmlns:a16="http://schemas.microsoft.com/office/drawing/2014/main" id="{A18F1360-BD99-4A53-A3EF-6B71ADDE9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18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3732</xdr:row>
      <xdr:rowOff>0</xdr:rowOff>
    </xdr:from>
    <xdr:to>
      <xdr:col>0</xdr:col>
      <xdr:colOff>9525</xdr:colOff>
      <xdr:row>3732</xdr:row>
      <xdr:rowOff>9525</xdr:rowOff>
    </xdr:to>
    <xdr:pic>
      <xdr:nvPicPr>
        <xdr:cNvPr id="1828" name="Obraz 1827">
          <a:extLst>
            <a:ext uri="{FF2B5EF4-FFF2-40B4-BE49-F238E27FC236}">
              <a16:creationId xmlns:a16="http://schemas.microsoft.com/office/drawing/2014/main" id="{27FC9BD8-1CD0-4F20-B602-4E34D81C0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113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3736</xdr:row>
      <xdr:rowOff>0</xdr:rowOff>
    </xdr:from>
    <xdr:to>
      <xdr:col>0</xdr:col>
      <xdr:colOff>9525</xdr:colOff>
      <xdr:row>3736</xdr:row>
      <xdr:rowOff>9525</xdr:rowOff>
    </xdr:to>
    <xdr:pic>
      <xdr:nvPicPr>
        <xdr:cNvPr id="1829" name="Obraz 1828">
          <a:extLst>
            <a:ext uri="{FF2B5EF4-FFF2-40B4-BE49-F238E27FC236}">
              <a16:creationId xmlns:a16="http://schemas.microsoft.com/office/drawing/2014/main" id="{A3AF8A45-31E4-4B8E-BE52-D8A944C8EA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08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3739</xdr:row>
      <xdr:rowOff>0</xdr:rowOff>
    </xdr:from>
    <xdr:to>
      <xdr:col>0</xdr:col>
      <xdr:colOff>9525</xdr:colOff>
      <xdr:row>3739</xdr:row>
      <xdr:rowOff>9525</xdr:rowOff>
    </xdr:to>
    <xdr:pic>
      <xdr:nvPicPr>
        <xdr:cNvPr id="1830" name="Obraz 1829">
          <a:extLst>
            <a:ext uri="{FF2B5EF4-FFF2-40B4-BE49-F238E27FC236}">
              <a16:creationId xmlns:a16="http://schemas.microsoft.com/office/drawing/2014/main" id="{6755F29A-40AC-4970-876C-54B6EF5AB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27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3742</xdr:row>
      <xdr:rowOff>0</xdr:rowOff>
    </xdr:from>
    <xdr:to>
      <xdr:col>0</xdr:col>
      <xdr:colOff>9525</xdr:colOff>
      <xdr:row>3742</xdr:row>
      <xdr:rowOff>9525</xdr:rowOff>
    </xdr:to>
    <xdr:pic>
      <xdr:nvPicPr>
        <xdr:cNvPr id="1831" name="Obraz 1830">
          <a:extLst>
            <a:ext uri="{FF2B5EF4-FFF2-40B4-BE49-F238E27FC236}">
              <a16:creationId xmlns:a16="http://schemas.microsoft.com/office/drawing/2014/main" id="{7860A6D2-6A34-42CB-9E9E-56BAED757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304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3747</xdr:row>
      <xdr:rowOff>0</xdr:rowOff>
    </xdr:from>
    <xdr:to>
      <xdr:col>0</xdr:col>
      <xdr:colOff>9525</xdr:colOff>
      <xdr:row>3747</xdr:row>
      <xdr:rowOff>9525</xdr:rowOff>
    </xdr:to>
    <xdr:pic>
      <xdr:nvPicPr>
        <xdr:cNvPr id="1832" name="Obraz 1831">
          <a:extLst>
            <a:ext uri="{FF2B5EF4-FFF2-40B4-BE49-F238E27FC236}">
              <a16:creationId xmlns:a16="http://schemas.microsoft.com/office/drawing/2014/main" id="{E191D1F5-8D3D-4832-BC5E-7D0CE247C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18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3750</xdr:row>
      <xdr:rowOff>0</xdr:rowOff>
    </xdr:from>
    <xdr:to>
      <xdr:col>0</xdr:col>
      <xdr:colOff>9525</xdr:colOff>
      <xdr:row>3750</xdr:row>
      <xdr:rowOff>9525</xdr:rowOff>
    </xdr:to>
    <xdr:pic>
      <xdr:nvPicPr>
        <xdr:cNvPr id="1833" name="Obraz 1832">
          <a:extLst>
            <a:ext uri="{FF2B5EF4-FFF2-40B4-BE49-F238E27FC236}">
              <a16:creationId xmlns:a16="http://schemas.microsoft.com/office/drawing/2014/main" id="{D092531F-0543-40B6-B23A-747394511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37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3754</xdr:row>
      <xdr:rowOff>0</xdr:rowOff>
    </xdr:from>
    <xdr:to>
      <xdr:col>0</xdr:col>
      <xdr:colOff>9525</xdr:colOff>
      <xdr:row>3754</xdr:row>
      <xdr:rowOff>9525</xdr:rowOff>
    </xdr:to>
    <xdr:pic>
      <xdr:nvPicPr>
        <xdr:cNvPr id="1834" name="Obraz 1833">
          <a:extLst>
            <a:ext uri="{FF2B5EF4-FFF2-40B4-BE49-F238E27FC236}">
              <a16:creationId xmlns:a16="http://schemas.microsoft.com/office/drawing/2014/main" id="{0413610C-3180-432B-8D91-83B6BB9AA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532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3759</xdr:row>
      <xdr:rowOff>0</xdr:rowOff>
    </xdr:from>
    <xdr:to>
      <xdr:col>0</xdr:col>
      <xdr:colOff>9525</xdr:colOff>
      <xdr:row>3759</xdr:row>
      <xdr:rowOff>9525</xdr:rowOff>
    </xdr:to>
    <xdr:pic>
      <xdr:nvPicPr>
        <xdr:cNvPr id="1835" name="Obraz 1834">
          <a:extLst>
            <a:ext uri="{FF2B5EF4-FFF2-40B4-BE49-F238E27FC236}">
              <a16:creationId xmlns:a16="http://schemas.microsoft.com/office/drawing/2014/main" id="{39A26E32-6C94-46C6-90F0-1E6B83FF8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47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3761</xdr:row>
      <xdr:rowOff>0</xdr:rowOff>
    </xdr:from>
    <xdr:to>
      <xdr:col>0</xdr:col>
      <xdr:colOff>9525</xdr:colOff>
      <xdr:row>3761</xdr:row>
      <xdr:rowOff>9525</xdr:rowOff>
    </xdr:to>
    <xdr:pic>
      <xdr:nvPicPr>
        <xdr:cNvPr id="1836" name="Obraz 1835">
          <a:extLst>
            <a:ext uri="{FF2B5EF4-FFF2-40B4-BE49-F238E27FC236}">
              <a16:creationId xmlns:a16="http://schemas.microsoft.com/office/drawing/2014/main" id="{5DB7E204-6130-496D-974C-DF6F0B26E9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47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3764</xdr:row>
      <xdr:rowOff>0</xdr:rowOff>
    </xdr:from>
    <xdr:to>
      <xdr:col>0</xdr:col>
      <xdr:colOff>9525</xdr:colOff>
      <xdr:row>3764</xdr:row>
      <xdr:rowOff>9525</xdr:rowOff>
    </xdr:to>
    <xdr:pic>
      <xdr:nvPicPr>
        <xdr:cNvPr id="1837" name="Obraz 1836">
          <a:extLst>
            <a:ext uri="{FF2B5EF4-FFF2-40B4-BE49-F238E27FC236}">
              <a16:creationId xmlns:a16="http://schemas.microsoft.com/office/drawing/2014/main" id="{25DB9397-7575-44CF-84FB-8647714B7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723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3769</xdr:row>
      <xdr:rowOff>0</xdr:rowOff>
    </xdr:from>
    <xdr:to>
      <xdr:col>0</xdr:col>
      <xdr:colOff>9525</xdr:colOff>
      <xdr:row>3769</xdr:row>
      <xdr:rowOff>9525</xdr:rowOff>
    </xdr:to>
    <xdr:pic>
      <xdr:nvPicPr>
        <xdr:cNvPr id="1838" name="Obraz 1837">
          <a:extLst>
            <a:ext uri="{FF2B5EF4-FFF2-40B4-BE49-F238E27FC236}">
              <a16:creationId xmlns:a16="http://schemas.microsoft.com/office/drawing/2014/main" id="{1BBEE0B5-7DC6-4EE8-B4A5-A1F336D81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37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3772</xdr:row>
      <xdr:rowOff>0</xdr:rowOff>
    </xdr:from>
    <xdr:to>
      <xdr:col>0</xdr:col>
      <xdr:colOff>9525</xdr:colOff>
      <xdr:row>3772</xdr:row>
      <xdr:rowOff>9525</xdr:rowOff>
    </xdr:to>
    <xdr:pic>
      <xdr:nvPicPr>
        <xdr:cNvPr id="1839" name="Obraz 1838">
          <a:extLst>
            <a:ext uri="{FF2B5EF4-FFF2-40B4-BE49-F238E27FC236}">
              <a16:creationId xmlns:a16="http://schemas.microsoft.com/office/drawing/2014/main" id="{BB43D61F-B728-45E2-AAF1-60F93524B6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56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3776</xdr:row>
      <xdr:rowOff>0</xdr:rowOff>
    </xdr:from>
    <xdr:to>
      <xdr:col>0</xdr:col>
      <xdr:colOff>9525</xdr:colOff>
      <xdr:row>3776</xdr:row>
      <xdr:rowOff>9525</xdr:rowOff>
    </xdr:to>
    <xdr:pic>
      <xdr:nvPicPr>
        <xdr:cNvPr id="1840" name="Obraz 1839">
          <a:extLst>
            <a:ext uri="{FF2B5EF4-FFF2-40B4-BE49-F238E27FC236}">
              <a16:creationId xmlns:a16="http://schemas.microsoft.com/office/drawing/2014/main" id="{FFE31DFB-1A5E-448E-8743-F95A0B6AB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951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3781</xdr:row>
      <xdr:rowOff>0</xdr:rowOff>
    </xdr:from>
    <xdr:to>
      <xdr:col>0</xdr:col>
      <xdr:colOff>9525</xdr:colOff>
      <xdr:row>3781</xdr:row>
      <xdr:rowOff>9525</xdr:rowOff>
    </xdr:to>
    <xdr:pic>
      <xdr:nvPicPr>
        <xdr:cNvPr id="1841" name="Obraz 1840">
          <a:extLst>
            <a:ext uri="{FF2B5EF4-FFF2-40B4-BE49-F238E27FC236}">
              <a16:creationId xmlns:a16="http://schemas.microsoft.com/office/drawing/2014/main" id="{1EE6DDD2-72AD-4D8D-A28F-C9387BC42B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66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3783</xdr:row>
      <xdr:rowOff>0</xdr:rowOff>
    </xdr:from>
    <xdr:to>
      <xdr:col>0</xdr:col>
      <xdr:colOff>9525</xdr:colOff>
      <xdr:row>3783</xdr:row>
      <xdr:rowOff>9525</xdr:rowOff>
    </xdr:to>
    <xdr:pic>
      <xdr:nvPicPr>
        <xdr:cNvPr id="1842" name="Obraz 1841">
          <a:extLst>
            <a:ext uri="{FF2B5EF4-FFF2-40B4-BE49-F238E27FC236}">
              <a16:creationId xmlns:a16="http://schemas.microsoft.com/office/drawing/2014/main" id="{399FDAD8-741B-4B56-86C7-7E405DEB75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66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3786</xdr:row>
      <xdr:rowOff>0</xdr:rowOff>
    </xdr:from>
    <xdr:to>
      <xdr:col>0</xdr:col>
      <xdr:colOff>9525</xdr:colOff>
      <xdr:row>3786</xdr:row>
      <xdr:rowOff>9525</xdr:rowOff>
    </xdr:to>
    <xdr:pic>
      <xdr:nvPicPr>
        <xdr:cNvPr id="1843" name="Obraz 1842">
          <a:extLst>
            <a:ext uri="{FF2B5EF4-FFF2-40B4-BE49-F238E27FC236}">
              <a16:creationId xmlns:a16="http://schemas.microsoft.com/office/drawing/2014/main" id="{A4B3799F-2D7D-49B5-9305-F76803FEC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142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3790</xdr:row>
      <xdr:rowOff>0</xdr:rowOff>
    </xdr:from>
    <xdr:to>
      <xdr:col>0</xdr:col>
      <xdr:colOff>9525</xdr:colOff>
      <xdr:row>3790</xdr:row>
      <xdr:rowOff>9525</xdr:rowOff>
    </xdr:to>
    <xdr:pic>
      <xdr:nvPicPr>
        <xdr:cNvPr id="1844" name="Obraz 1843">
          <a:extLst>
            <a:ext uri="{FF2B5EF4-FFF2-40B4-BE49-F238E27FC236}">
              <a16:creationId xmlns:a16="http://schemas.microsoft.com/office/drawing/2014/main" id="{B00B591E-4C81-42D0-8884-619985817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37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3794</xdr:row>
      <xdr:rowOff>0</xdr:rowOff>
    </xdr:from>
    <xdr:to>
      <xdr:col>0</xdr:col>
      <xdr:colOff>9525</xdr:colOff>
      <xdr:row>3794</xdr:row>
      <xdr:rowOff>9525</xdr:rowOff>
    </xdr:to>
    <xdr:pic>
      <xdr:nvPicPr>
        <xdr:cNvPr id="1845" name="Obraz 1844">
          <a:extLst>
            <a:ext uri="{FF2B5EF4-FFF2-40B4-BE49-F238E27FC236}">
              <a16:creationId xmlns:a16="http://schemas.microsoft.com/office/drawing/2014/main" id="{7FC3AC2D-81E2-4052-A02E-5DDCDD710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275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3797</xdr:row>
      <xdr:rowOff>0</xdr:rowOff>
    </xdr:from>
    <xdr:to>
      <xdr:col>0</xdr:col>
      <xdr:colOff>9525</xdr:colOff>
      <xdr:row>3797</xdr:row>
      <xdr:rowOff>9525</xdr:rowOff>
    </xdr:to>
    <xdr:pic>
      <xdr:nvPicPr>
        <xdr:cNvPr id="1846" name="Obraz 1845">
          <a:extLst>
            <a:ext uri="{FF2B5EF4-FFF2-40B4-BE49-F238E27FC236}">
              <a16:creationId xmlns:a16="http://schemas.microsoft.com/office/drawing/2014/main" id="{AA9CADFC-BAA0-4D58-B2EF-207AD8A09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351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3801</xdr:row>
      <xdr:rowOff>0</xdr:rowOff>
    </xdr:from>
    <xdr:to>
      <xdr:col>0</xdr:col>
      <xdr:colOff>9525</xdr:colOff>
      <xdr:row>3801</xdr:row>
      <xdr:rowOff>9525</xdr:rowOff>
    </xdr:to>
    <xdr:pic>
      <xdr:nvPicPr>
        <xdr:cNvPr id="1847" name="Obraz 1846">
          <a:extLst>
            <a:ext uri="{FF2B5EF4-FFF2-40B4-BE49-F238E27FC236}">
              <a16:creationId xmlns:a16="http://schemas.microsoft.com/office/drawing/2014/main" id="{921E2C08-5E8B-4190-8F72-3EBB864F4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4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3805</xdr:row>
      <xdr:rowOff>0</xdr:rowOff>
    </xdr:from>
    <xdr:to>
      <xdr:col>0</xdr:col>
      <xdr:colOff>9525</xdr:colOff>
      <xdr:row>3805</xdr:row>
      <xdr:rowOff>9525</xdr:rowOff>
    </xdr:to>
    <xdr:pic>
      <xdr:nvPicPr>
        <xdr:cNvPr id="1848" name="Obraz 1847">
          <a:extLst>
            <a:ext uri="{FF2B5EF4-FFF2-40B4-BE49-F238E27FC236}">
              <a16:creationId xmlns:a16="http://schemas.microsoft.com/office/drawing/2014/main" id="{32A738B3-3111-4516-AB19-F24CD30597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485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3808</xdr:row>
      <xdr:rowOff>0</xdr:rowOff>
    </xdr:from>
    <xdr:to>
      <xdr:col>0</xdr:col>
      <xdr:colOff>9525</xdr:colOff>
      <xdr:row>3808</xdr:row>
      <xdr:rowOff>9525</xdr:rowOff>
    </xdr:to>
    <xdr:pic>
      <xdr:nvPicPr>
        <xdr:cNvPr id="1849" name="Obraz 1848">
          <a:extLst>
            <a:ext uri="{FF2B5EF4-FFF2-40B4-BE49-F238E27FC236}">
              <a16:creationId xmlns:a16="http://schemas.microsoft.com/office/drawing/2014/main" id="{5C7C2B1D-7158-4C56-9129-06D921069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561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3813</xdr:row>
      <xdr:rowOff>0</xdr:rowOff>
    </xdr:from>
    <xdr:to>
      <xdr:col>0</xdr:col>
      <xdr:colOff>9525</xdr:colOff>
      <xdr:row>3813</xdr:row>
      <xdr:rowOff>9525</xdr:rowOff>
    </xdr:to>
    <xdr:pic>
      <xdr:nvPicPr>
        <xdr:cNvPr id="1850" name="Obraz 1849">
          <a:extLst>
            <a:ext uri="{FF2B5EF4-FFF2-40B4-BE49-F238E27FC236}">
              <a16:creationId xmlns:a16="http://schemas.microsoft.com/office/drawing/2014/main" id="{B05DF4E9-8BE2-4F83-9A35-3E0F51B408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675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3816</xdr:row>
      <xdr:rowOff>0</xdr:rowOff>
    </xdr:from>
    <xdr:to>
      <xdr:col>0</xdr:col>
      <xdr:colOff>9525</xdr:colOff>
      <xdr:row>3816</xdr:row>
      <xdr:rowOff>9525</xdr:rowOff>
    </xdr:to>
    <xdr:pic>
      <xdr:nvPicPr>
        <xdr:cNvPr id="1851" name="Obraz 1850">
          <a:extLst>
            <a:ext uri="{FF2B5EF4-FFF2-40B4-BE49-F238E27FC236}">
              <a16:creationId xmlns:a16="http://schemas.microsoft.com/office/drawing/2014/main" id="{DCDCC24D-9485-46E4-8475-E6210E4A2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694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3820</xdr:row>
      <xdr:rowOff>0</xdr:rowOff>
    </xdr:from>
    <xdr:to>
      <xdr:col>0</xdr:col>
      <xdr:colOff>9525</xdr:colOff>
      <xdr:row>3820</xdr:row>
      <xdr:rowOff>9525</xdr:rowOff>
    </xdr:to>
    <xdr:pic>
      <xdr:nvPicPr>
        <xdr:cNvPr id="1852" name="Obraz 1851">
          <a:extLst>
            <a:ext uri="{FF2B5EF4-FFF2-40B4-BE49-F238E27FC236}">
              <a16:creationId xmlns:a16="http://schemas.microsoft.com/office/drawing/2014/main" id="{1D30CC90-4DEF-4752-BC7B-DB29AA1C8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790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3825</xdr:row>
      <xdr:rowOff>0</xdr:rowOff>
    </xdr:from>
    <xdr:to>
      <xdr:col>0</xdr:col>
      <xdr:colOff>9525</xdr:colOff>
      <xdr:row>3825</xdr:row>
      <xdr:rowOff>9525</xdr:rowOff>
    </xdr:to>
    <xdr:pic>
      <xdr:nvPicPr>
        <xdr:cNvPr id="1853" name="Obraz 1852">
          <a:extLst>
            <a:ext uri="{FF2B5EF4-FFF2-40B4-BE49-F238E27FC236}">
              <a16:creationId xmlns:a16="http://schemas.microsoft.com/office/drawing/2014/main" id="{9AB21C77-DAD2-413F-9A62-A8DFDA60A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04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3827</xdr:row>
      <xdr:rowOff>0</xdr:rowOff>
    </xdr:from>
    <xdr:to>
      <xdr:col>0</xdr:col>
      <xdr:colOff>9525</xdr:colOff>
      <xdr:row>3827</xdr:row>
      <xdr:rowOff>9525</xdr:rowOff>
    </xdr:to>
    <xdr:pic>
      <xdr:nvPicPr>
        <xdr:cNvPr id="1854" name="Obraz 1853">
          <a:extLst>
            <a:ext uri="{FF2B5EF4-FFF2-40B4-BE49-F238E27FC236}">
              <a16:creationId xmlns:a16="http://schemas.microsoft.com/office/drawing/2014/main" id="{56F20974-2A9B-4E61-BA4A-D4008046E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04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3830</xdr:row>
      <xdr:rowOff>0</xdr:rowOff>
    </xdr:from>
    <xdr:to>
      <xdr:col>0</xdr:col>
      <xdr:colOff>9525</xdr:colOff>
      <xdr:row>3830</xdr:row>
      <xdr:rowOff>9525</xdr:rowOff>
    </xdr:to>
    <xdr:pic>
      <xdr:nvPicPr>
        <xdr:cNvPr id="1855" name="Obraz 1854">
          <a:extLst>
            <a:ext uri="{FF2B5EF4-FFF2-40B4-BE49-F238E27FC236}">
              <a16:creationId xmlns:a16="http://schemas.microsoft.com/office/drawing/2014/main" id="{B0B47B21-464C-48F7-80C9-B8BE74D4E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980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3835</xdr:row>
      <xdr:rowOff>0</xdr:rowOff>
    </xdr:from>
    <xdr:to>
      <xdr:col>0</xdr:col>
      <xdr:colOff>9525</xdr:colOff>
      <xdr:row>3835</xdr:row>
      <xdr:rowOff>9525</xdr:rowOff>
    </xdr:to>
    <xdr:pic>
      <xdr:nvPicPr>
        <xdr:cNvPr id="1856" name="Obraz 1855">
          <a:extLst>
            <a:ext uri="{FF2B5EF4-FFF2-40B4-BE49-F238E27FC236}">
              <a16:creationId xmlns:a16="http://schemas.microsoft.com/office/drawing/2014/main" id="{35D45672-A081-4975-B53E-95E5440E43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094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3838</xdr:row>
      <xdr:rowOff>0</xdr:rowOff>
    </xdr:from>
    <xdr:to>
      <xdr:col>0</xdr:col>
      <xdr:colOff>9525</xdr:colOff>
      <xdr:row>3838</xdr:row>
      <xdr:rowOff>9525</xdr:rowOff>
    </xdr:to>
    <xdr:pic>
      <xdr:nvPicPr>
        <xdr:cNvPr id="1860" name="Obraz 1859">
          <a:extLst>
            <a:ext uri="{FF2B5EF4-FFF2-40B4-BE49-F238E27FC236}">
              <a16:creationId xmlns:a16="http://schemas.microsoft.com/office/drawing/2014/main" id="{58193F9C-8B69-439B-82C7-E4AACD06D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113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3842</xdr:row>
      <xdr:rowOff>0</xdr:rowOff>
    </xdr:from>
    <xdr:to>
      <xdr:col>0</xdr:col>
      <xdr:colOff>9525</xdr:colOff>
      <xdr:row>3842</xdr:row>
      <xdr:rowOff>9525</xdr:rowOff>
    </xdr:to>
    <xdr:pic>
      <xdr:nvPicPr>
        <xdr:cNvPr id="1861" name="Obraz 1860">
          <a:extLst>
            <a:ext uri="{FF2B5EF4-FFF2-40B4-BE49-F238E27FC236}">
              <a16:creationId xmlns:a16="http://schemas.microsoft.com/office/drawing/2014/main" id="{8AEF498F-3223-409A-A1A2-8FF4401E5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209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3847</xdr:row>
      <xdr:rowOff>0</xdr:rowOff>
    </xdr:from>
    <xdr:to>
      <xdr:col>0</xdr:col>
      <xdr:colOff>9525</xdr:colOff>
      <xdr:row>3847</xdr:row>
      <xdr:rowOff>9525</xdr:rowOff>
    </xdr:to>
    <xdr:pic>
      <xdr:nvPicPr>
        <xdr:cNvPr id="1862" name="Obraz 1861">
          <a:extLst>
            <a:ext uri="{FF2B5EF4-FFF2-40B4-BE49-F238E27FC236}">
              <a16:creationId xmlns:a16="http://schemas.microsoft.com/office/drawing/2014/main" id="{C71DC951-4D59-4FC8-ADAD-FD3AC9546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3323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9525</xdr:colOff>
      <xdr:row>2</xdr:row>
      <xdr:rowOff>9525</xdr:rowOff>
    </xdr:to>
    <xdr:pic>
      <xdr:nvPicPr>
        <xdr:cNvPr id="2" name="Obraz 1">
          <a:extLst>
            <a:ext uri="{FF2B5EF4-FFF2-40B4-BE49-F238E27FC236}">
              <a16:creationId xmlns:a16="http://schemas.microsoft.com/office/drawing/2014/main" id="{22B99681-2E96-4A9D-9ADE-B6F08BD71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2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</xdr:colOff>
      <xdr:row>5</xdr:row>
      <xdr:rowOff>9525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27E001FA-D0B2-42E6-88C0-B0E2DD4AC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9525</xdr:colOff>
      <xdr:row>6</xdr:row>
      <xdr:rowOff>9525</xdr:rowOff>
    </xdr:to>
    <xdr:pic>
      <xdr:nvPicPr>
        <xdr:cNvPr id="4" name="Obraz 3">
          <a:extLst>
            <a:ext uri="{FF2B5EF4-FFF2-40B4-BE49-F238E27FC236}">
              <a16:creationId xmlns:a16="http://schemas.microsoft.com/office/drawing/2014/main" id="{81E29B32-437C-45F2-A71C-08B8614F4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9525</xdr:colOff>
      <xdr:row>8</xdr:row>
      <xdr:rowOff>9525</xdr:rowOff>
    </xdr:to>
    <xdr:pic>
      <xdr:nvPicPr>
        <xdr:cNvPr id="5" name="Obraz 4">
          <a:extLst>
            <a:ext uri="{FF2B5EF4-FFF2-40B4-BE49-F238E27FC236}">
              <a16:creationId xmlns:a16="http://schemas.microsoft.com/office/drawing/2014/main" id="{19FD29EC-62AC-433C-A38F-741A85FE92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</xdr:row>
      <xdr:rowOff>0</xdr:rowOff>
    </xdr:from>
    <xdr:to>
      <xdr:col>0</xdr:col>
      <xdr:colOff>9525</xdr:colOff>
      <xdr:row>6</xdr:row>
      <xdr:rowOff>9525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14DAF9C7-DFDE-4000-86B6-5A1A762B3E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9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9525</xdr:colOff>
      <xdr:row>9</xdr:row>
      <xdr:rowOff>9525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729F81A3-E0BD-47EC-84DF-AEE418470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6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DBC6B23D-0B69-4CF1-ACA0-0DB472BBFF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4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9525</xdr:colOff>
      <xdr:row>2</xdr:row>
      <xdr:rowOff>9525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2563BBF5-6A24-404F-B020-1A3E2201E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2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</xdr:colOff>
      <xdr:row>5</xdr:row>
      <xdr:rowOff>9525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68460D5E-D47B-44BF-84F0-88FB7A9CC9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9525</xdr:colOff>
      <xdr:row>8</xdr:row>
      <xdr:rowOff>9525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35C4D51B-2EE3-4530-8B17-8B2EA2CDD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7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</xdr:colOff>
      <xdr:row>11</xdr:row>
      <xdr:rowOff>9525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AD23D03B-7B29-4FF4-9E52-00D70D80D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4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9525</xdr:colOff>
      <xdr:row>2</xdr:row>
      <xdr:rowOff>9525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6783366E-5181-40DB-BC6A-7B5D67F08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528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</xdr:colOff>
      <xdr:row>5</xdr:row>
      <xdr:rowOff>9525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176064CD-4CBE-46CD-93C9-82B07B450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10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9525</xdr:colOff>
      <xdr:row>9</xdr:row>
      <xdr:rowOff>9525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129D91D2-33AA-443E-8218-316D4F388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6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9525</xdr:colOff>
      <xdr:row>14</xdr:row>
      <xdr:rowOff>9525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id="{9A7DC3A1-6A0D-445F-B82E-D12400851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9525</xdr:colOff>
      <xdr:row>14</xdr:row>
      <xdr:rowOff>9525</xdr:rowOff>
    </xdr:to>
    <xdr:pic>
      <xdr:nvPicPr>
        <xdr:cNvPr id="17" name="Obraz 16">
          <a:extLst>
            <a:ext uri="{FF2B5EF4-FFF2-40B4-BE49-F238E27FC236}">
              <a16:creationId xmlns:a16="http://schemas.microsoft.com/office/drawing/2014/main" id="{8415AAD6-07FE-42C5-BE78-1A40FB072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9525</xdr:colOff>
      <xdr:row>16</xdr:row>
      <xdr:rowOff>9525</xdr:rowOff>
    </xdr:to>
    <xdr:pic>
      <xdr:nvPicPr>
        <xdr:cNvPr id="18" name="Obraz 17">
          <a:extLst>
            <a:ext uri="{FF2B5EF4-FFF2-40B4-BE49-F238E27FC236}">
              <a16:creationId xmlns:a16="http://schemas.microsoft.com/office/drawing/2014/main" id="{8FCDE41B-0D71-42EB-8AC5-5A947ACE2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1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9525</xdr:colOff>
      <xdr:row>19</xdr:row>
      <xdr:rowOff>9525</xdr:rowOff>
    </xdr:to>
    <xdr:pic>
      <xdr:nvPicPr>
        <xdr:cNvPr id="19" name="Obraz 18">
          <a:extLst>
            <a:ext uri="{FF2B5EF4-FFF2-40B4-BE49-F238E27FC236}">
              <a16:creationId xmlns:a16="http://schemas.microsoft.com/office/drawing/2014/main" id="{BAFD25F2-A61F-45A7-96ED-C361DEB22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8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9525</xdr:colOff>
      <xdr:row>21</xdr:row>
      <xdr:rowOff>9525</xdr:rowOff>
    </xdr:to>
    <xdr:pic>
      <xdr:nvPicPr>
        <xdr:cNvPr id="20" name="Obraz 19">
          <a:extLst>
            <a:ext uri="{FF2B5EF4-FFF2-40B4-BE49-F238E27FC236}">
              <a16:creationId xmlns:a16="http://schemas.microsoft.com/office/drawing/2014/main" id="{8116D66B-4090-4B68-B3E9-D6C7D95B09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9525</xdr:colOff>
      <xdr:row>23</xdr:row>
      <xdr:rowOff>9525</xdr:rowOff>
    </xdr:to>
    <xdr:pic>
      <xdr:nvPicPr>
        <xdr:cNvPr id="21" name="Obraz 20">
          <a:extLst>
            <a:ext uri="{FF2B5EF4-FFF2-40B4-BE49-F238E27FC236}">
              <a16:creationId xmlns:a16="http://schemas.microsoft.com/office/drawing/2014/main" id="{8EE41ACE-52E2-4676-8817-2E8AFA6DD8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9525</xdr:colOff>
      <xdr:row>14</xdr:row>
      <xdr:rowOff>9525</xdr:rowOff>
    </xdr:to>
    <xdr:pic>
      <xdr:nvPicPr>
        <xdr:cNvPr id="22" name="Obraz 21">
          <a:extLst>
            <a:ext uri="{FF2B5EF4-FFF2-40B4-BE49-F238E27FC236}">
              <a16:creationId xmlns:a16="http://schemas.microsoft.com/office/drawing/2014/main" id="{3117FB47-1595-4898-852D-128F8496F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>
      <xdr:nvPicPr>
        <xdr:cNvPr id="23" name="Obraz 22">
          <a:extLst>
            <a:ext uri="{FF2B5EF4-FFF2-40B4-BE49-F238E27FC236}">
              <a16:creationId xmlns:a16="http://schemas.microsoft.com/office/drawing/2014/main" id="{4012B833-CE3A-4E96-AD2B-EC172DB57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2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9525</xdr:colOff>
      <xdr:row>19</xdr:row>
      <xdr:rowOff>9525</xdr:rowOff>
    </xdr:to>
    <xdr:pic>
      <xdr:nvPicPr>
        <xdr:cNvPr id="24" name="Obraz 23">
          <a:extLst>
            <a:ext uri="{FF2B5EF4-FFF2-40B4-BE49-F238E27FC236}">
              <a16:creationId xmlns:a16="http://schemas.microsoft.com/office/drawing/2014/main" id="{25A7E2CF-7345-4A2E-86A2-69FCA2E3C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8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9525</xdr:colOff>
      <xdr:row>21</xdr:row>
      <xdr:rowOff>9525</xdr:rowOff>
    </xdr:to>
    <xdr:pic>
      <xdr:nvPicPr>
        <xdr:cNvPr id="25" name="Obraz 24">
          <a:extLst>
            <a:ext uri="{FF2B5EF4-FFF2-40B4-BE49-F238E27FC236}">
              <a16:creationId xmlns:a16="http://schemas.microsoft.com/office/drawing/2014/main" id="{CFE9EC02-6C80-4479-89A2-B787999FD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0</xdr:col>
      <xdr:colOff>9525</xdr:colOff>
      <xdr:row>23</xdr:row>
      <xdr:rowOff>9525</xdr:rowOff>
    </xdr:to>
    <xdr:pic>
      <xdr:nvPicPr>
        <xdr:cNvPr id="26" name="Obraz 25">
          <a:extLst>
            <a:ext uri="{FF2B5EF4-FFF2-40B4-BE49-F238E27FC236}">
              <a16:creationId xmlns:a16="http://schemas.microsoft.com/office/drawing/2014/main" id="{10B81288-04B8-45E2-BDCE-06BDA856FA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9525</xdr:colOff>
      <xdr:row>14</xdr:row>
      <xdr:rowOff>9525</xdr:rowOff>
    </xdr:to>
    <xdr:pic>
      <xdr:nvPicPr>
        <xdr:cNvPr id="27" name="Obraz 26">
          <a:extLst>
            <a:ext uri="{FF2B5EF4-FFF2-40B4-BE49-F238E27FC236}">
              <a16:creationId xmlns:a16="http://schemas.microsoft.com/office/drawing/2014/main" id="{6E391530-4EA9-45C3-944D-654845160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0</xdr:col>
      <xdr:colOff>9525</xdr:colOff>
      <xdr:row>15</xdr:row>
      <xdr:rowOff>9525</xdr:rowOff>
    </xdr:to>
    <xdr:pic>
      <xdr:nvPicPr>
        <xdr:cNvPr id="28" name="Obraz 27">
          <a:extLst>
            <a:ext uri="{FF2B5EF4-FFF2-40B4-BE49-F238E27FC236}">
              <a16:creationId xmlns:a16="http://schemas.microsoft.com/office/drawing/2014/main" id="{0C5BB196-5795-485D-8CEE-8D6507E46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2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0</xdr:col>
      <xdr:colOff>9525</xdr:colOff>
      <xdr:row>19</xdr:row>
      <xdr:rowOff>9525</xdr:rowOff>
    </xdr:to>
    <xdr:pic>
      <xdr:nvPicPr>
        <xdr:cNvPr id="29" name="Obraz 28">
          <a:extLst>
            <a:ext uri="{FF2B5EF4-FFF2-40B4-BE49-F238E27FC236}">
              <a16:creationId xmlns:a16="http://schemas.microsoft.com/office/drawing/2014/main" id="{9EF3E7D7-3417-4A99-B937-DE51D3EF2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8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9525</xdr:colOff>
      <xdr:row>22</xdr:row>
      <xdr:rowOff>9525</xdr:rowOff>
    </xdr:to>
    <xdr:pic>
      <xdr:nvPicPr>
        <xdr:cNvPr id="30" name="Obraz 29">
          <a:extLst>
            <a:ext uri="{FF2B5EF4-FFF2-40B4-BE49-F238E27FC236}">
              <a16:creationId xmlns:a16="http://schemas.microsoft.com/office/drawing/2014/main" id="{9768F1B5-17F4-437C-B2AD-D23B060E1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5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9525</xdr:colOff>
      <xdr:row>27</xdr:row>
      <xdr:rowOff>9525</xdr:rowOff>
    </xdr:to>
    <xdr:pic>
      <xdr:nvPicPr>
        <xdr:cNvPr id="31" name="Obraz 30">
          <a:extLst>
            <a:ext uri="{FF2B5EF4-FFF2-40B4-BE49-F238E27FC236}">
              <a16:creationId xmlns:a16="http://schemas.microsoft.com/office/drawing/2014/main" id="{FA339A84-831E-4D46-B55A-81BE46E15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9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9525</xdr:colOff>
      <xdr:row>28</xdr:row>
      <xdr:rowOff>9525</xdr:rowOff>
    </xdr:to>
    <xdr:pic>
      <xdr:nvPicPr>
        <xdr:cNvPr id="32" name="Obraz 31">
          <a:extLst>
            <a:ext uri="{FF2B5EF4-FFF2-40B4-BE49-F238E27FC236}">
              <a16:creationId xmlns:a16="http://schemas.microsoft.com/office/drawing/2014/main" id="{FE0BCF37-F861-43E6-9106-E81C79801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9525</xdr:colOff>
      <xdr:row>31</xdr:row>
      <xdr:rowOff>9525</xdr:rowOff>
    </xdr:to>
    <xdr:pic>
      <xdr:nvPicPr>
        <xdr:cNvPr id="33" name="Obraz 32">
          <a:extLst>
            <a:ext uri="{FF2B5EF4-FFF2-40B4-BE49-F238E27FC236}">
              <a16:creationId xmlns:a16="http://schemas.microsoft.com/office/drawing/2014/main" id="{C30AB7F5-6038-4742-A551-A0A27FF7D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9525</xdr:colOff>
      <xdr:row>34</xdr:row>
      <xdr:rowOff>9525</xdr:rowOff>
    </xdr:to>
    <xdr:pic>
      <xdr:nvPicPr>
        <xdr:cNvPr id="34" name="Obraz 33">
          <a:extLst>
            <a:ext uri="{FF2B5EF4-FFF2-40B4-BE49-F238E27FC236}">
              <a16:creationId xmlns:a16="http://schemas.microsoft.com/office/drawing/2014/main" id="{78A954F7-6B1E-464A-8EC7-4AAD0B3DF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2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0</xdr:col>
      <xdr:colOff>9525</xdr:colOff>
      <xdr:row>35</xdr:row>
      <xdr:rowOff>9525</xdr:rowOff>
    </xdr:to>
    <xdr:pic>
      <xdr:nvPicPr>
        <xdr:cNvPr id="35" name="Obraz 34">
          <a:extLst>
            <a:ext uri="{FF2B5EF4-FFF2-40B4-BE49-F238E27FC236}">
              <a16:creationId xmlns:a16="http://schemas.microsoft.com/office/drawing/2014/main" id="{8A099D81-D14E-49D8-8182-3B9AA7B90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72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0</xdr:col>
      <xdr:colOff>9525</xdr:colOff>
      <xdr:row>28</xdr:row>
      <xdr:rowOff>9525</xdr:rowOff>
    </xdr:to>
    <xdr:pic>
      <xdr:nvPicPr>
        <xdr:cNvPr id="36" name="Obraz 35">
          <a:extLst>
            <a:ext uri="{FF2B5EF4-FFF2-40B4-BE49-F238E27FC236}">
              <a16:creationId xmlns:a16="http://schemas.microsoft.com/office/drawing/2014/main" id="{94B87BBE-5AB4-4111-9D11-2B7A974FB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38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9525</xdr:colOff>
      <xdr:row>31</xdr:row>
      <xdr:rowOff>9525</xdr:rowOff>
    </xdr:to>
    <xdr:pic>
      <xdr:nvPicPr>
        <xdr:cNvPr id="37" name="Obraz 36">
          <a:extLst>
            <a:ext uri="{FF2B5EF4-FFF2-40B4-BE49-F238E27FC236}">
              <a16:creationId xmlns:a16="http://schemas.microsoft.com/office/drawing/2014/main" id="{1E3587FC-86F3-493F-B826-DBCF4F57F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9525</xdr:colOff>
      <xdr:row>34</xdr:row>
      <xdr:rowOff>9525</xdr:rowOff>
    </xdr:to>
    <xdr:pic>
      <xdr:nvPicPr>
        <xdr:cNvPr id="38" name="Obraz 37">
          <a:extLst>
            <a:ext uri="{FF2B5EF4-FFF2-40B4-BE49-F238E27FC236}">
              <a16:creationId xmlns:a16="http://schemas.microsoft.com/office/drawing/2014/main" id="{F934B578-C11E-472A-855C-9425C0C97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2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0</xdr:col>
      <xdr:colOff>9525</xdr:colOff>
      <xdr:row>27</xdr:row>
      <xdr:rowOff>9525</xdr:rowOff>
    </xdr:to>
    <xdr:pic>
      <xdr:nvPicPr>
        <xdr:cNvPr id="39" name="Obraz 38">
          <a:extLst>
            <a:ext uri="{FF2B5EF4-FFF2-40B4-BE49-F238E27FC236}">
              <a16:creationId xmlns:a16="http://schemas.microsoft.com/office/drawing/2014/main" id="{D65C0AE2-9001-448D-A94F-1F71920FD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19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</xdr:row>
      <xdr:rowOff>0</xdr:rowOff>
    </xdr:from>
    <xdr:to>
      <xdr:col>0</xdr:col>
      <xdr:colOff>9525</xdr:colOff>
      <xdr:row>31</xdr:row>
      <xdr:rowOff>9525</xdr:rowOff>
    </xdr:to>
    <xdr:pic>
      <xdr:nvPicPr>
        <xdr:cNvPr id="40" name="Obraz 39">
          <a:extLst>
            <a:ext uri="{FF2B5EF4-FFF2-40B4-BE49-F238E27FC236}">
              <a16:creationId xmlns:a16="http://schemas.microsoft.com/office/drawing/2014/main" id="{4321FE94-B5CB-477C-B600-6A00E2000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95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</xdr:row>
      <xdr:rowOff>0</xdr:rowOff>
    </xdr:from>
    <xdr:to>
      <xdr:col>0</xdr:col>
      <xdr:colOff>9525</xdr:colOff>
      <xdr:row>34</xdr:row>
      <xdr:rowOff>9525</xdr:rowOff>
    </xdr:to>
    <xdr:pic>
      <xdr:nvPicPr>
        <xdr:cNvPr id="41" name="Obraz 40">
          <a:extLst>
            <a:ext uri="{FF2B5EF4-FFF2-40B4-BE49-F238E27FC236}">
              <a16:creationId xmlns:a16="http://schemas.microsoft.com/office/drawing/2014/main" id="{470CF91E-451F-4DEE-8FA3-DDF088407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52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9525</xdr:colOff>
      <xdr:row>40</xdr:row>
      <xdr:rowOff>0</xdr:rowOff>
    </xdr:to>
    <xdr:pic>
      <xdr:nvPicPr>
        <xdr:cNvPr id="42" name="Obraz 41">
          <a:extLst>
            <a:ext uri="{FF2B5EF4-FFF2-40B4-BE49-F238E27FC236}">
              <a16:creationId xmlns:a16="http://schemas.microsoft.com/office/drawing/2014/main" id="{CAA5E4DE-55EF-49E4-B1EF-0DA6CA10D4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210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9525</xdr:colOff>
      <xdr:row>42</xdr:row>
      <xdr:rowOff>0</xdr:rowOff>
    </xdr:to>
    <xdr:pic>
      <xdr:nvPicPr>
        <xdr:cNvPr id="43" name="Obraz 42">
          <a:extLst>
            <a:ext uri="{FF2B5EF4-FFF2-40B4-BE49-F238E27FC236}">
              <a16:creationId xmlns:a16="http://schemas.microsoft.com/office/drawing/2014/main" id="{355DE512-8F07-405C-8F18-8EE6A3ABB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</xdr:row>
      <xdr:rowOff>0</xdr:rowOff>
    </xdr:from>
    <xdr:to>
      <xdr:col>0</xdr:col>
      <xdr:colOff>9525</xdr:colOff>
      <xdr:row>44</xdr:row>
      <xdr:rowOff>0</xdr:rowOff>
    </xdr:to>
    <xdr:pic>
      <xdr:nvPicPr>
        <xdr:cNvPr id="44" name="Obraz 43">
          <a:extLst>
            <a:ext uri="{FF2B5EF4-FFF2-40B4-BE49-F238E27FC236}">
              <a16:creationId xmlns:a16="http://schemas.microsoft.com/office/drawing/2014/main" id="{07507AEA-69CD-4DED-BCE4-323EDF8955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3830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9525</xdr:colOff>
      <xdr:row>46</xdr:row>
      <xdr:rowOff>0</xdr:rowOff>
    </xdr:to>
    <xdr:pic>
      <xdr:nvPicPr>
        <xdr:cNvPr id="45" name="Obraz 44">
          <a:extLst>
            <a:ext uri="{FF2B5EF4-FFF2-40B4-BE49-F238E27FC236}">
              <a16:creationId xmlns:a16="http://schemas.microsoft.com/office/drawing/2014/main" id="{02C63815-7416-4364-9F07-65CCA1C4C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40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0</xdr:col>
      <xdr:colOff>9525</xdr:colOff>
      <xdr:row>40</xdr:row>
      <xdr:rowOff>9525</xdr:rowOff>
    </xdr:to>
    <xdr:pic>
      <xdr:nvPicPr>
        <xdr:cNvPr id="46" name="Obraz 45">
          <a:extLst>
            <a:ext uri="{FF2B5EF4-FFF2-40B4-BE49-F238E27FC236}">
              <a16:creationId xmlns:a16="http://schemas.microsoft.com/office/drawing/2014/main" id="{E9790942-6E72-41DC-8508-5AD8D9AA1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2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9525</xdr:colOff>
      <xdr:row>42</xdr:row>
      <xdr:rowOff>9525</xdr:rowOff>
    </xdr:to>
    <xdr:pic>
      <xdr:nvPicPr>
        <xdr:cNvPr id="47" name="Obraz 46">
          <a:extLst>
            <a:ext uri="{FF2B5EF4-FFF2-40B4-BE49-F238E27FC236}">
              <a16:creationId xmlns:a16="http://schemas.microsoft.com/office/drawing/2014/main" id="{B092C965-69B8-435D-9EF4-F7E608ADC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9525</xdr:colOff>
      <xdr:row>45</xdr:row>
      <xdr:rowOff>9525</xdr:rowOff>
    </xdr:to>
    <xdr:pic>
      <xdr:nvPicPr>
        <xdr:cNvPr id="48" name="Obraz 47">
          <a:extLst>
            <a:ext uri="{FF2B5EF4-FFF2-40B4-BE49-F238E27FC236}">
              <a16:creationId xmlns:a16="http://schemas.microsoft.com/office/drawing/2014/main" id="{612D998F-382C-4340-A37D-2814917C84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9525</xdr:colOff>
      <xdr:row>39</xdr:row>
      <xdr:rowOff>9525</xdr:rowOff>
    </xdr:to>
    <xdr:pic>
      <xdr:nvPicPr>
        <xdr:cNvPr id="49" name="Obraz 48">
          <a:extLst>
            <a:ext uri="{FF2B5EF4-FFF2-40B4-BE49-F238E27FC236}">
              <a16:creationId xmlns:a16="http://schemas.microsoft.com/office/drawing/2014/main" id="{E470F07E-C8D4-44BE-B970-F6E99E2C8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3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0</xdr:col>
      <xdr:colOff>9525</xdr:colOff>
      <xdr:row>42</xdr:row>
      <xdr:rowOff>9525</xdr:rowOff>
    </xdr:to>
    <xdr:pic>
      <xdr:nvPicPr>
        <xdr:cNvPr id="50" name="Obraz 49">
          <a:extLst>
            <a:ext uri="{FF2B5EF4-FFF2-40B4-BE49-F238E27FC236}">
              <a16:creationId xmlns:a16="http://schemas.microsoft.com/office/drawing/2014/main" id="{D1C52F47-135D-4CA2-AB8E-1FCA3451A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9525</xdr:colOff>
      <xdr:row>46</xdr:row>
      <xdr:rowOff>9525</xdr:rowOff>
    </xdr:to>
    <xdr:pic>
      <xdr:nvPicPr>
        <xdr:cNvPr id="51" name="Obraz 50">
          <a:extLst>
            <a:ext uri="{FF2B5EF4-FFF2-40B4-BE49-F238E27FC236}">
              <a16:creationId xmlns:a16="http://schemas.microsoft.com/office/drawing/2014/main" id="{68CBFCC1-B7DF-4A8E-BDF9-BDEA87741F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76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52</xdr:row>
      <xdr:rowOff>0</xdr:rowOff>
    </xdr:from>
    <xdr:to>
      <xdr:col>0</xdr:col>
      <xdr:colOff>9525</xdr:colOff>
      <xdr:row>52</xdr:row>
      <xdr:rowOff>0</xdr:rowOff>
    </xdr:to>
    <xdr:pic>
      <xdr:nvPicPr>
        <xdr:cNvPr id="52" name="Obraz 51">
          <a:extLst>
            <a:ext uri="{FF2B5EF4-FFF2-40B4-BE49-F238E27FC236}">
              <a16:creationId xmlns:a16="http://schemas.microsoft.com/office/drawing/2014/main" id="{83E86AA8-52B5-4BE7-976E-433FCD8A0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9525</xdr:colOff>
      <xdr:row>54</xdr:row>
      <xdr:rowOff>0</xdr:rowOff>
    </xdr:to>
    <xdr:pic>
      <xdr:nvPicPr>
        <xdr:cNvPr id="53" name="Obraz 52">
          <a:extLst>
            <a:ext uri="{FF2B5EF4-FFF2-40B4-BE49-F238E27FC236}">
              <a16:creationId xmlns:a16="http://schemas.microsoft.com/office/drawing/2014/main" id="{B0B2A496-6D65-405B-A93D-612BCC259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690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9525</xdr:colOff>
      <xdr:row>56</xdr:row>
      <xdr:rowOff>0</xdr:rowOff>
    </xdr:to>
    <xdr:pic>
      <xdr:nvPicPr>
        <xdr:cNvPr id="54" name="Obraz 53">
          <a:extLst>
            <a:ext uri="{FF2B5EF4-FFF2-40B4-BE49-F238E27FC236}">
              <a16:creationId xmlns:a16="http://schemas.microsoft.com/office/drawing/2014/main" id="{0B100B5B-3571-4046-A157-F2B851B5F5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9525</xdr:colOff>
      <xdr:row>59</xdr:row>
      <xdr:rowOff>0</xdr:rowOff>
    </xdr:to>
    <xdr:pic>
      <xdr:nvPicPr>
        <xdr:cNvPr id="55" name="Obraz 54">
          <a:extLst>
            <a:ext uri="{FF2B5EF4-FFF2-40B4-BE49-F238E27FC236}">
              <a16:creationId xmlns:a16="http://schemas.microsoft.com/office/drawing/2014/main" id="{BA0AD730-E155-4EB6-8A3D-7FE50D245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1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50</xdr:row>
      <xdr:rowOff>0</xdr:rowOff>
    </xdr:from>
    <xdr:to>
      <xdr:col>0</xdr:col>
      <xdr:colOff>9525</xdr:colOff>
      <xdr:row>50</xdr:row>
      <xdr:rowOff>9525</xdr:rowOff>
    </xdr:to>
    <xdr:pic>
      <xdr:nvPicPr>
        <xdr:cNvPr id="56" name="Obraz 55">
          <a:extLst>
            <a:ext uri="{FF2B5EF4-FFF2-40B4-BE49-F238E27FC236}">
              <a16:creationId xmlns:a16="http://schemas.microsoft.com/office/drawing/2014/main" id="{CB44351B-C86A-4250-8C87-00852A3DC9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90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9525</xdr:colOff>
      <xdr:row>54</xdr:row>
      <xdr:rowOff>9525</xdr:rowOff>
    </xdr:to>
    <xdr:pic>
      <xdr:nvPicPr>
        <xdr:cNvPr id="57" name="Obraz 56">
          <a:extLst>
            <a:ext uri="{FF2B5EF4-FFF2-40B4-BE49-F238E27FC236}">
              <a16:creationId xmlns:a16="http://schemas.microsoft.com/office/drawing/2014/main" id="{18AFFEB4-BF32-4DCF-A11F-E925D4209B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6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0</xdr:col>
      <xdr:colOff>9525</xdr:colOff>
      <xdr:row>56</xdr:row>
      <xdr:rowOff>9525</xdr:rowOff>
    </xdr:to>
    <xdr:pic>
      <xdr:nvPicPr>
        <xdr:cNvPr id="58" name="Obraz 57">
          <a:extLst>
            <a:ext uri="{FF2B5EF4-FFF2-40B4-BE49-F238E27FC236}">
              <a16:creationId xmlns:a16="http://schemas.microsoft.com/office/drawing/2014/main" id="{8326FB3E-88DB-4D48-81AB-7113C4B69E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50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9525</xdr:colOff>
      <xdr:row>59</xdr:row>
      <xdr:rowOff>9525</xdr:rowOff>
    </xdr:to>
    <xdr:pic>
      <xdr:nvPicPr>
        <xdr:cNvPr id="59" name="Obraz 58">
          <a:extLst>
            <a:ext uri="{FF2B5EF4-FFF2-40B4-BE49-F238E27FC236}">
              <a16:creationId xmlns:a16="http://schemas.microsoft.com/office/drawing/2014/main" id="{9F2B0672-EA66-4D9E-8181-485D962BE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0</xdr:col>
      <xdr:colOff>9525</xdr:colOff>
      <xdr:row>51</xdr:row>
      <xdr:rowOff>9525</xdr:rowOff>
    </xdr:to>
    <xdr:pic>
      <xdr:nvPicPr>
        <xdr:cNvPr id="60" name="Obraz 59">
          <a:extLst>
            <a:ext uri="{FF2B5EF4-FFF2-40B4-BE49-F238E27FC236}">
              <a16:creationId xmlns:a16="http://schemas.microsoft.com/office/drawing/2014/main" id="{22733C39-D37E-453B-B41C-B030BDD10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9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0</xdr:col>
      <xdr:colOff>9525</xdr:colOff>
      <xdr:row>54</xdr:row>
      <xdr:rowOff>9525</xdr:rowOff>
    </xdr:to>
    <xdr:pic>
      <xdr:nvPicPr>
        <xdr:cNvPr id="61" name="Obraz 60">
          <a:extLst>
            <a:ext uri="{FF2B5EF4-FFF2-40B4-BE49-F238E27FC236}">
              <a16:creationId xmlns:a16="http://schemas.microsoft.com/office/drawing/2014/main" id="{B8287B4F-F426-40F1-968F-154F24BD2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6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0</xdr:col>
      <xdr:colOff>9525</xdr:colOff>
      <xdr:row>59</xdr:row>
      <xdr:rowOff>9525</xdr:rowOff>
    </xdr:to>
    <xdr:pic>
      <xdr:nvPicPr>
        <xdr:cNvPr id="62" name="Obraz 61">
          <a:extLst>
            <a:ext uri="{FF2B5EF4-FFF2-40B4-BE49-F238E27FC236}">
              <a16:creationId xmlns:a16="http://schemas.microsoft.com/office/drawing/2014/main" id="{FCCDAF9B-55F0-4228-979A-A6A20CA5F1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2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9525</xdr:colOff>
      <xdr:row>64</xdr:row>
      <xdr:rowOff>0</xdr:rowOff>
    </xdr:to>
    <xdr:pic>
      <xdr:nvPicPr>
        <xdr:cNvPr id="63" name="Obraz 62">
          <a:extLst>
            <a:ext uri="{FF2B5EF4-FFF2-40B4-BE49-F238E27FC236}">
              <a16:creationId xmlns:a16="http://schemas.microsoft.com/office/drawing/2014/main" id="{9FED568F-FC4B-4FC4-91B8-9EEE703CE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383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9525</xdr:colOff>
      <xdr:row>66</xdr:row>
      <xdr:rowOff>0</xdr:rowOff>
    </xdr:to>
    <xdr:pic>
      <xdr:nvPicPr>
        <xdr:cNvPr id="64" name="Obraz 63">
          <a:extLst>
            <a:ext uri="{FF2B5EF4-FFF2-40B4-BE49-F238E27FC236}">
              <a16:creationId xmlns:a16="http://schemas.microsoft.com/office/drawing/2014/main" id="{9E8EBC37-B1C3-4555-87F4-531C5A193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64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9525</xdr:colOff>
      <xdr:row>68</xdr:row>
      <xdr:rowOff>0</xdr:rowOff>
    </xdr:to>
    <xdr:pic>
      <xdr:nvPicPr>
        <xdr:cNvPr id="65" name="Obraz 64">
          <a:extLst>
            <a:ext uri="{FF2B5EF4-FFF2-40B4-BE49-F238E27FC236}">
              <a16:creationId xmlns:a16="http://schemas.microsoft.com/office/drawing/2014/main" id="{1875FC1B-A3A3-4B64-90E2-861BB25DB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9525</xdr:colOff>
      <xdr:row>72</xdr:row>
      <xdr:rowOff>0</xdr:rowOff>
    </xdr:to>
    <xdr:pic>
      <xdr:nvPicPr>
        <xdr:cNvPr id="66" name="Obraz 65">
          <a:extLst>
            <a:ext uri="{FF2B5EF4-FFF2-40B4-BE49-F238E27FC236}">
              <a16:creationId xmlns:a16="http://schemas.microsoft.com/office/drawing/2014/main" id="{67330467-1B6B-4377-9E62-BE21F7C2E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00"/>
          <a:ext cx="9525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9525</xdr:colOff>
      <xdr:row>63</xdr:row>
      <xdr:rowOff>9525</xdr:rowOff>
    </xdr:to>
    <xdr:pic>
      <xdr:nvPicPr>
        <xdr:cNvPr id="67" name="Obraz 66">
          <a:extLst>
            <a:ext uri="{FF2B5EF4-FFF2-40B4-BE49-F238E27FC236}">
              <a16:creationId xmlns:a16="http://schemas.microsoft.com/office/drawing/2014/main" id="{B9FF90CB-D2D3-40AD-9E7B-B0A983766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9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9525</xdr:colOff>
      <xdr:row>66</xdr:row>
      <xdr:rowOff>9525</xdr:rowOff>
    </xdr:to>
    <xdr:pic>
      <xdr:nvPicPr>
        <xdr:cNvPr id="68" name="Obraz 67">
          <a:extLst>
            <a:ext uri="{FF2B5EF4-FFF2-40B4-BE49-F238E27FC236}">
              <a16:creationId xmlns:a16="http://schemas.microsoft.com/office/drawing/2014/main" id="{32B9F465-46A8-471C-9644-1C473B252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6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0</xdr:col>
      <xdr:colOff>9525</xdr:colOff>
      <xdr:row>68</xdr:row>
      <xdr:rowOff>9525</xdr:rowOff>
    </xdr:to>
    <xdr:pic>
      <xdr:nvPicPr>
        <xdr:cNvPr id="69" name="Obraz 68">
          <a:extLst>
            <a:ext uri="{FF2B5EF4-FFF2-40B4-BE49-F238E27FC236}">
              <a16:creationId xmlns:a16="http://schemas.microsoft.com/office/drawing/2014/main" id="{C9AF5201-5135-4871-96AA-BC043D3D4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14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0</xdr:col>
      <xdr:colOff>9525</xdr:colOff>
      <xdr:row>72</xdr:row>
      <xdr:rowOff>9525</xdr:rowOff>
    </xdr:to>
    <xdr:pic>
      <xdr:nvPicPr>
        <xdr:cNvPr id="70" name="Obraz 69">
          <a:extLst>
            <a:ext uri="{FF2B5EF4-FFF2-40B4-BE49-F238E27FC236}">
              <a16:creationId xmlns:a16="http://schemas.microsoft.com/office/drawing/2014/main" id="{B41115E1-7478-48ED-94EF-F19B30133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9525</xdr:colOff>
      <xdr:row>63</xdr:row>
      <xdr:rowOff>9525</xdr:rowOff>
    </xdr:to>
    <xdr:pic>
      <xdr:nvPicPr>
        <xdr:cNvPr id="71" name="Obraz 70">
          <a:extLst>
            <a:ext uri="{FF2B5EF4-FFF2-40B4-BE49-F238E27FC236}">
              <a16:creationId xmlns:a16="http://schemas.microsoft.com/office/drawing/2014/main" id="{9F7E03E7-A8D2-4CB1-AD99-6C74F376F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19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66</xdr:row>
      <xdr:rowOff>0</xdr:rowOff>
    </xdr:from>
    <xdr:to>
      <xdr:col>0</xdr:col>
      <xdr:colOff>9525</xdr:colOff>
      <xdr:row>66</xdr:row>
      <xdr:rowOff>9525</xdr:rowOff>
    </xdr:to>
    <xdr:pic>
      <xdr:nvPicPr>
        <xdr:cNvPr id="72" name="Obraz 71">
          <a:extLst>
            <a:ext uri="{FF2B5EF4-FFF2-40B4-BE49-F238E27FC236}">
              <a16:creationId xmlns:a16="http://schemas.microsoft.com/office/drawing/2014/main" id="{87FD39FB-7E9E-4D29-B587-757680DB1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76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0</xdr:col>
      <xdr:colOff>9525</xdr:colOff>
      <xdr:row>70</xdr:row>
      <xdr:rowOff>9525</xdr:rowOff>
    </xdr:to>
    <xdr:pic>
      <xdr:nvPicPr>
        <xdr:cNvPr id="73" name="Obraz 72">
          <a:extLst>
            <a:ext uri="{FF2B5EF4-FFF2-40B4-BE49-F238E27FC236}">
              <a16:creationId xmlns:a16="http://schemas.microsoft.com/office/drawing/2014/main" id="{3CE8996B-C385-4A91-8A77-FFF13A8E6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52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9525</xdr:colOff>
      <xdr:row>74</xdr:row>
      <xdr:rowOff>9525</xdr:rowOff>
    </xdr:to>
    <xdr:pic>
      <xdr:nvPicPr>
        <xdr:cNvPr id="74" name="Obraz 73">
          <a:extLst>
            <a:ext uri="{FF2B5EF4-FFF2-40B4-BE49-F238E27FC236}">
              <a16:creationId xmlns:a16="http://schemas.microsoft.com/office/drawing/2014/main" id="{42290E4F-6A57-402A-A577-D93C2573A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9525</xdr:colOff>
      <xdr:row>74</xdr:row>
      <xdr:rowOff>9525</xdr:rowOff>
    </xdr:to>
    <xdr:pic>
      <xdr:nvPicPr>
        <xdr:cNvPr id="75" name="Obraz 74">
          <a:extLst>
            <a:ext uri="{FF2B5EF4-FFF2-40B4-BE49-F238E27FC236}">
              <a16:creationId xmlns:a16="http://schemas.microsoft.com/office/drawing/2014/main" id="{5CE9B99F-B09B-44D0-BBC6-B5D3C8C09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0</xdr:col>
      <xdr:colOff>9525</xdr:colOff>
      <xdr:row>76</xdr:row>
      <xdr:rowOff>9525</xdr:rowOff>
    </xdr:to>
    <xdr:pic>
      <xdr:nvPicPr>
        <xdr:cNvPr id="76" name="Obraz 75">
          <a:extLst>
            <a:ext uri="{FF2B5EF4-FFF2-40B4-BE49-F238E27FC236}">
              <a16:creationId xmlns:a16="http://schemas.microsoft.com/office/drawing/2014/main" id="{11104DE5-CC36-4CFD-90A1-8D8A30607B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91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9525</xdr:colOff>
      <xdr:row>79</xdr:row>
      <xdr:rowOff>9525</xdr:rowOff>
    </xdr:to>
    <xdr:pic>
      <xdr:nvPicPr>
        <xdr:cNvPr id="77" name="Obraz 76">
          <a:extLst>
            <a:ext uri="{FF2B5EF4-FFF2-40B4-BE49-F238E27FC236}">
              <a16:creationId xmlns:a16="http://schemas.microsoft.com/office/drawing/2014/main" id="{0BE8FAA6-B0F4-462D-8D86-DB1E50DCB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8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9525</xdr:colOff>
      <xdr:row>81</xdr:row>
      <xdr:rowOff>9525</xdr:rowOff>
    </xdr:to>
    <xdr:pic>
      <xdr:nvPicPr>
        <xdr:cNvPr id="78" name="Obraz 77">
          <a:extLst>
            <a:ext uri="{FF2B5EF4-FFF2-40B4-BE49-F238E27FC236}">
              <a16:creationId xmlns:a16="http://schemas.microsoft.com/office/drawing/2014/main" id="{49F1E5BC-8CC2-4920-A6C1-9DB5E0033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9525</xdr:colOff>
      <xdr:row>83</xdr:row>
      <xdr:rowOff>9525</xdr:rowOff>
    </xdr:to>
    <xdr:pic>
      <xdr:nvPicPr>
        <xdr:cNvPr id="79" name="Obraz 78">
          <a:extLst>
            <a:ext uri="{FF2B5EF4-FFF2-40B4-BE49-F238E27FC236}">
              <a16:creationId xmlns:a16="http://schemas.microsoft.com/office/drawing/2014/main" id="{D7220859-908C-47BA-9B17-567E0AFB8A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9525</xdr:colOff>
      <xdr:row>74</xdr:row>
      <xdr:rowOff>9525</xdr:rowOff>
    </xdr:to>
    <xdr:pic>
      <xdr:nvPicPr>
        <xdr:cNvPr id="80" name="Obraz 79">
          <a:extLst>
            <a:ext uri="{FF2B5EF4-FFF2-40B4-BE49-F238E27FC236}">
              <a16:creationId xmlns:a16="http://schemas.microsoft.com/office/drawing/2014/main" id="{44CC829E-F798-48F8-A9BA-7D53AC6F6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9525</xdr:colOff>
      <xdr:row>75</xdr:row>
      <xdr:rowOff>9525</xdr:rowOff>
    </xdr:to>
    <xdr:pic>
      <xdr:nvPicPr>
        <xdr:cNvPr id="81" name="Obraz 80">
          <a:extLst>
            <a:ext uri="{FF2B5EF4-FFF2-40B4-BE49-F238E27FC236}">
              <a16:creationId xmlns:a16="http://schemas.microsoft.com/office/drawing/2014/main" id="{DBCDEEB5-3231-4449-92A7-403D946D2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2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9525</xdr:colOff>
      <xdr:row>79</xdr:row>
      <xdr:rowOff>9525</xdr:rowOff>
    </xdr:to>
    <xdr:pic>
      <xdr:nvPicPr>
        <xdr:cNvPr id="82" name="Obraz 81">
          <a:extLst>
            <a:ext uri="{FF2B5EF4-FFF2-40B4-BE49-F238E27FC236}">
              <a16:creationId xmlns:a16="http://schemas.microsoft.com/office/drawing/2014/main" id="{CCB4C5E3-BF9E-4E89-AE9F-0B7E9F164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8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9525</xdr:colOff>
      <xdr:row>81</xdr:row>
      <xdr:rowOff>9525</xdr:rowOff>
    </xdr:to>
    <xdr:pic>
      <xdr:nvPicPr>
        <xdr:cNvPr id="83" name="Obraz 82">
          <a:extLst>
            <a:ext uri="{FF2B5EF4-FFF2-40B4-BE49-F238E27FC236}">
              <a16:creationId xmlns:a16="http://schemas.microsoft.com/office/drawing/2014/main" id="{40321F35-A00E-4C3D-B642-8B6935B569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6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9525</xdr:colOff>
      <xdr:row>83</xdr:row>
      <xdr:rowOff>9525</xdr:rowOff>
    </xdr:to>
    <xdr:pic>
      <xdr:nvPicPr>
        <xdr:cNvPr id="84" name="Obraz 83">
          <a:extLst>
            <a:ext uri="{FF2B5EF4-FFF2-40B4-BE49-F238E27FC236}">
              <a16:creationId xmlns:a16="http://schemas.microsoft.com/office/drawing/2014/main" id="{5921694C-B69E-4C52-9277-28397108D3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45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0</xdr:col>
      <xdr:colOff>9525</xdr:colOff>
      <xdr:row>74</xdr:row>
      <xdr:rowOff>9525</xdr:rowOff>
    </xdr:to>
    <xdr:pic>
      <xdr:nvPicPr>
        <xdr:cNvPr id="85" name="Obraz 84">
          <a:extLst>
            <a:ext uri="{FF2B5EF4-FFF2-40B4-BE49-F238E27FC236}">
              <a16:creationId xmlns:a16="http://schemas.microsoft.com/office/drawing/2014/main" id="{72544195-C9FB-4399-A6F3-3FDD5909C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53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75</xdr:row>
      <xdr:rowOff>0</xdr:rowOff>
    </xdr:from>
    <xdr:to>
      <xdr:col>0</xdr:col>
      <xdr:colOff>9525</xdr:colOff>
      <xdr:row>75</xdr:row>
      <xdr:rowOff>9525</xdr:rowOff>
    </xdr:to>
    <xdr:pic>
      <xdr:nvPicPr>
        <xdr:cNvPr id="86" name="Obraz 85">
          <a:extLst>
            <a:ext uri="{FF2B5EF4-FFF2-40B4-BE49-F238E27FC236}">
              <a16:creationId xmlns:a16="http://schemas.microsoft.com/office/drawing/2014/main" id="{A4C1F50E-1562-4F97-9399-A844D636E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72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9525</xdr:colOff>
      <xdr:row>79</xdr:row>
      <xdr:rowOff>9525</xdr:rowOff>
    </xdr:to>
    <xdr:pic>
      <xdr:nvPicPr>
        <xdr:cNvPr id="87" name="Obraz 86">
          <a:extLst>
            <a:ext uri="{FF2B5EF4-FFF2-40B4-BE49-F238E27FC236}">
              <a16:creationId xmlns:a16="http://schemas.microsoft.com/office/drawing/2014/main" id="{43ACA90D-AEAA-4B28-9D96-E3E897913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83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9525</xdr:colOff>
      <xdr:row>82</xdr:row>
      <xdr:rowOff>9525</xdr:rowOff>
    </xdr:to>
    <xdr:pic>
      <xdr:nvPicPr>
        <xdr:cNvPr id="88" name="Obraz 87">
          <a:extLst>
            <a:ext uri="{FF2B5EF4-FFF2-40B4-BE49-F238E27FC236}">
              <a16:creationId xmlns:a16="http://schemas.microsoft.com/office/drawing/2014/main" id="{34DF67FB-F757-4096-96AC-CD290899D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5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9525</xdr:colOff>
      <xdr:row>86</xdr:row>
      <xdr:rowOff>9525</xdr:rowOff>
    </xdr:to>
    <xdr:pic>
      <xdr:nvPicPr>
        <xdr:cNvPr id="89" name="Obraz 88">
          <a:extLst>
            <a:ext uri="{FF2B5EF4-FFF2-40B4-BE49-F238E27FC236}">
              <a16:creationId xmlns:a16="http://schemas.microsoft.com/office/drawing/2014/main" id="{3BA86DD0-6CBE-4FEA-9150-0316E6388E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2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9525</xdr:colOff>
      <xdr:row>87</xdr:row>
      <xdr:rowOff>9525</xdr:rowOff>
    </xdr:to>
    <xdr:pic>
      <xdr:nvPicPr>
        <xdr:cNvPr id="90" name="Obraz 89">
          <a:extLst>
            <a:ext uri="{FF2B5EF4-FFF2-40B4-BE49-F238E27FC236}">
              <a16:creationId xmlns:a16="http://schemas.microsoft.com/office/drawing/2014/main" id="{438108A0-356C-47DE-BBDB-14B0767FF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1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9525</xdr:colOff>
      <xdr:row>90</xdr:row>
      <xdr:rowOff>9525</xdr:rowOff>
    </xdr:to>
    <xdr:pic>
      <xdr:nvPicPr>
        <xdr:cNvPr id="91" name="Obraz 90">
          <a:extLst>
            <a:ext uri="{FF2B5EF4-FFF2-40B4-BE49-F238E27FC236}">
              <a16:creationId xmlns:a16="http://schemas.microsoft.com/office/drawing/2014/main" id="{5A3F130A-C030-474D-8168-8B3811A44D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8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9525</xdr:colOff>
      <xdr:row>92</xdr:row>
      <xdr:rowOff>9525</xdr:rowOff>
    </xdr:to>
    <xdr:pic>
      <xdr:nvPicPr>
        <xdr:cNvPr id="92" name="Obraz 91">
          <a:extLst>
            <a:ext uri="{FF2B5EF4-FFF2-40B4-BE49-F238E27FC236}">
              <a16:creationId xmlns:a16="http://schemas.microsoft.com/office/drawing/2014/main" id="{DDBAA2AE-EA17-4D5B-A054-2639321BF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6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9525</xdr:rowOff>
    </xdr:to>
    <xdr:pic>
      <xdr:nvPicPr>
        <xdr:cNvPr id="93" name="Obraz 92">
          <a:extLst>
            <a:ext uri="{FF2B5EF4-FFF2-40B4-BE49-F238E27FC236}">
              <a16:creationId xmlns:a16="http://schemas.microsoft.com/office/drawing/2014/main" id="{81A4E2E6-A1F7-48D2-B864-0530759E2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9525</xdr:colOff>
      <xdr:row>96</xdr:row>
      <xdr:rowOff>9525</xdr:rowOff>
    </xdr:to>
    <xdr:pic>
      <xdr:nvPicPr>
        <xdr:cNvPr id="94" name="Obraz 93">
          <a:extLst>
            <a:ext uri="{FF2B5EF4-FFF2-40B4-BE49-F238E27FC236}">
              <a16:creationId xmlns:a16="http://schemas.microsoft.com/office/drawing/2014/main" id="{13F4F695-303F-4C8B-B982-B904EB7C0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3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9525</xdr:colOff>
      <xdr:row>87</xdr:row>
      <xdr:rowOff>9525</xdr:rowOff>
    </xdr:to>
    <xdr:pic>
      <xdr:nvPicPr>
        <xdr:cNvPr id="95" name="Obraz 94">
          <a:extLst>
            <a:ext uri="{FF2B5EF4-FFF2-40B4-BE49-F238E27FC236}">
              <a16:creationId xmlns:a16="http://schemas.microsoft.com/office/drawing/2014/main" id="{AD5D7412-7B4A-4060-9E27-2DF05330EC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1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9525</xdr:colOff>
      <xdr:row>90</xdr:row>
      <xdr:rowOff>9525</xdr:rowOff>
    </xdr:to>
    <xdr:pic>
      <xdr:nvPicPr>
        <xdr:cNvPr id="96" name="Obraz 95">
          <a:extLst>
            <a:ext uri="{FF2B5EF4-FFF2-40B4-BE49-F238E27FC236}">
              <a16:creationId xmlns:a16="http://schemas.microsoft.com/office/drawing/2014/main" id="{12AA30F5-3127-49CC-BEDB-CEC2C5E73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8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0</xdr:col>
      <xdr:colOff>9525</xdr:colOff>
      <xdr:row>92</xdr:row>
      <xdr:rowOff>9525</xdr:rowOff>
    </xdr:to>
    <xdr:pic>
      <xdr:nvPicPr>
        <xdr:cNvPr id="97" name="Obraz 96">
          <a:extLst>
            <a:ext uri="{FF2B5EF4-FFF2-40B4-BE49-F238E27FC236}">
              <a16:creationId xmlns:a16="http://schemas.microsoft.com/office/drawing/2014/main" id="{B546EC76-078F-47A6-AFC6-44499639A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769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0</xdr:col>
      <xdr:colOff>9525</xdr:colOff>
      <xdr:row>96</xdr:row>
      <xdr:rowOff>9525</xdr:rowOff>
    </xdr:to>
    <xdr:pic>
      <xdr:nvPicPr>
        <xdr:cNvPr id="98" name="Obraz 97">
          <a:extLst>
            <a:ext uri="{FF2B5EF4-FFF2-40B4-BE49-F238E27FC236}">
              <a16:creationId xmlns:a16="http://schemas.microsoft.com/office/drawing/2014/main" id="{24741F1C-E25A-41B5-8A2C-CF8C854D7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53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9525</xdr:colOff>
      <xdr:row>86</xdr:row>
      <xdr:rowOff>9525</xdr:rowOff>
    </xdr:to>
    <xdr:pic>
      <xdr:nvPicPr>
        <xdr:cNvPr id="99" name="Obraz 98">
          <a:extLst>
            <a:ext uri="{FF2B5EF4-FFF2-40B4-BE49-F238E27FC236}">
              <a16:creationId xmlns:a16="http://schemas.microsoft.com/office/drawing/2014/main" id="{EC699A1A-7E73-4EA8-ACD1-75DAEE140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2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0</xdr:col>
      <xdr:colOff>9525</xdr:colOff>
      <xdr:row>87</xdr:row>
      <xdr:rowOff>9525</xdr:rowOff>
    </xdr:to>
    <xdr:pic>
      <xdr:nvPicPr>
        <xdr:cNvPr id="100" name="Obraz 99">
          <a:extLst>
            <a:ext uri="{FF2B5EF4-FFF2-40B4-BE49-F238E27FC236}">
              <a16:creationId xmlns:a16="http://schemas.microsoft.com/office/drawing/2014/main" id="{796A522E-4592-408C-947B-66D08F0DA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1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0</xdr:col>
      <xdr:colOff>9525</xdr:colOff>
      <xdr:row>90</xdr:row>
      <xdr:rowOff>9525</xdr:rowOff>
    </xdr:to>
    <xdr:pic>
      <xdr:nvPicPr>
        <xdr:cNvPr id="101" name="Obraz 100">
          <a:extLst>
            <a:ext uri="{FF2B5EF4-FFF2-40B4-BE49-F238E27FC236}">
              <a16:creationId xmlns:a16="http://schemas.microsoft.com/office/drawing/2014/main" id="{3C58214E-3FCC-4912-851D-0E386CCE89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88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95</xdr:row>
      <xdr:rowOff>0</xdr:rowOff>
    </xdr:from>
    <xdr:to>
      <xdr:col>0</xdr:col>
      <xdr:colOff>9525</xdr:colOff>
      <xdr:row>95</xdr:row>
      <xdr:rowOff>9525</xdr:rowOff>
    </xdr:to>
    <xdr:pic>
      <xdr:nvPicPr>
        <xdr:cNvPr id="102" name="Obraz 101">
          <a:extLst>
            <a:ext uri="{FF2B5EF4-FFF2-40B4-BE49-F238E27FC236}">
              <a16:creationId xmlns:a16="http://schemas.microsoft.com/office/drawing/2014/main" id="{EEC2F256-F6F0-4B4A-BE95-29EEA0F593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34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100</xdr:row>
      <xdr:rowOff>0</xdr:rowOff>
    </xdr:from>
    <xdr:to>
      <xdr:col>0</xdr:col>
      <xdr:colOff>9525</xdr:colOff>
      <xdr:row>100</xdr:row>
      <xdr:rowOff>9525</xdr:rowOff>
    </xdr:to>
    <xdr:pic>
      <xdr:nvPicPr>
        <xdr:cNvPr id="103" name="Obraz 102">
          <a:extLst>
            <a:ext uri="{FF2B5EF4-FFF2-40B4-BE49-F238E27FC236}">
              <a16:creationId xmlns:a16="http://schemas.microsoft.com/office/drawing/2014/main" id="{D95B84DD-4D92-4D66-B00F-28DA3B69E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102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9525</xdr:colOff>
      <xdr:row>102</xdr:row>
      <xdr:rowOff>9525</xdr:rowOff>
    </xdr:to>
    <xdr:pic>
      <xdr:nvPicPr>
        <xdr:cNvPr id="104" name="Obraz 103">
          <a:extLst>
            <a:ext uri="{FF2B5EF4-FFF2-40B4-BE49-F238E27FC236}">
              <a16:creationId xmlns:a16="http://schemas.microsoft.com/office/drawing/2014/main" id="{AF78F04E-0784-407B-8DC8-D294243D3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8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104</xdr:row>
      <xdr:rowOff>0</xdr:rowOff>
    </xdr:from>
    <xdr:to>
      <xdr:col>0</xdr:col>
      <xdr:colOff>9525</xdr:colOff>
      <xdr:row>104</xdr:row>
      <xdr:rowOff>9525</xdr:rowOff>
    </xdr:to>
    <xdr:pic>
      <xdr:nvPicPr>
        <xdr:cNvPr id="105" name="Obraz 104">
          <a:extLst>
            <a:ext uri="{FF2B5EF4-FFF2-40B4-BE49-F238E27FC236}">
              <a16:creationId xmlns:a16="http://schemas.microsoft.com/office/drawing/2014/main" id="{7A324BAA-4D10-48F3-9233-3F7C95CB6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64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0</xdr:col>
      <xdr:colOff>9525</xdr:colOff>
      <xdr:row>107</xdr:row>
      <xdr:rowOff>9525</xdr:rowOff>
    </xdr:to>
    <xdr:pic>
      <xdr:nvPicPr>
        <xdr:cNvPr id="106" name="Obraz 105">
          <a:extLst>
            <a:ext uri="{FF2B5EF4-FFF2-40B4-BE49-F238E27FC236}">
              <a16:creationId xmlns:a16="http://schemas.microsoft.com/office/drawing/2014/main" id="{AB197040-9609-4442-A0FD-EFDA4C004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36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9525</xdr:colOff>
      <xdr:row>99</xdr:row>
      <xdr:rowOff>9525</xdr:rowOff>
    </xdr:to>
    <xdr:pic>
      <xdr:nvPicPr>
        <xdr:cNvPr id="107" name="Obraz 106">
          <a:extLst>
            <a:ext uri="{FF2B5EF4-FFF2-40B4-BE49-F238E27FC236}">
              <a16:creationId xmlns:a16="http://schemas.microsoft.com/office/drawing/2014/main" id="{446C30C0-B67F-4E26-9A70-E0C640D38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0</xdr:col>
      <xdr:colOff>9525</xdr:colOff>
      <xdr:row>102</xdr:row>
      <xdr:rowOff>9525</xdr:rowOff>
    </xdr:to>
    <xdr:pic>
      <xdr:nvPicPr>
        <xdr:cNvPr id="108" name="Obraz 107">
          <a:extLst>
            <a:ext uri="{FF2B5EF4-FFF2-40B4-BE49-F238E27FC236}">
              <a16:creationId xmlns:a16="http://schemas.microsoft.com/office/drawing/2014/main" id="{72E74C63-E48D-4CB6-9214-B31BB9229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83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9525</xdr:colOff>
      <xdr:row>106</xdr:row>
      <xdr:rowOff>9525</xdr:rowOff>
    </xdr:to>
    <xdr:pic>
      <xdr:nvPicPr>
        <xdr:cNvPr id="109" name="Obraz 108">
          <a:extLst>
            <a:ext uri="{FF2B5EF4-FFF2-40B4-BE49-F238E27FC236}">
              <a16:creationId xmlns:a16="http://schemas.microsoft.com/office/drawing/2014/main" id="{4E658B94-C37A-4E05-9CDD-8A0C75F96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0</xdr:col>
      <xdr:colOff>9525</xdr:colOff>
      <xdr:row>108</xdr:row>
      <xdr:rowOff>9525</xdr:rowOff>
    </xdr:to>
    <xdr:pic>
      <xdr:nvPicPr>
        <xdr:cNvPr id="110" name="Obraz 109">
          <a:extLst>
            <a:ext uri="{FF2B5EF4-FFF2-40B4-BE49-F238E27FC236}">
              <a16:creationId xmlns:a16="http://schemas.microsoft.com/office/drawing/2014/main" id="{8B1728F1-4A40-4DE3-9D5B-F4A8E063C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26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0</xdr:col>
      <xdr:colOff>9525</xdr:colOff>
      <xdr:row>99</xdr:row>
      <xdr:rowOff>9525</xdr:rowOff>
    </xdr:to>
    <xdr:pic>
      <xdr:nvPicPr>
        <xdr:cNvPr id="111" name="Obraz 110">
          <a:extLst>
            <a:ext uri="{FF2B5EF4-FFF2-40B4-BE49-F238E27FC236}">
              <a16:creationId xmlns:a16="http://schemas.microsoft.com/office/drawing/2014/main" id="{E9A18681-EBAF-43F3-8552-85380BDA4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91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103</xdr:row>
      <xdr:rowOff>0</xdr:rowOff>
    </xdr:from>
    <xdr:to>
      <xdr:col>0</xdr:col>
      <xdr:colOff>9525</xdr:colOff>
      <xdr:row>103</xdr:row>
      <xdr:rowOff>9525</xdr:rowOff>
    </xdr:to>
    <xdr:pic>
      <xdr:nvPicPr>
        <xdr:cNvPr id="112" name="Obraz 111">
          <a:extLst>
            <a:ext uri="{FF2B5EF4-FFF2-40B4-BE49-F238E27FC236}">
              <a16:creationId xmlns:a16="http://schemas.microsoft.com/office/drawing/2014/main" id="{9E9E52CB-43A0-47F4-9BC6-598A6A1F7E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74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106</xdr:row>
      <xdr:rowOff>0</xdr:rowOff>
    </xdr:from>
    <xdr:to>
      <xdr:col>0</xdr:col>
      <xdr:colOff>9525</xdr:colOff>
      <xdr:row>106</xdr:row>
      <xdr:rowOff>9525</xdr:rowOff>
    </xdr:to>
    <xdr:pic>
      <xdr:nvPicPr>
        <xdr:cNvPr id="113" name="Obraz 112">
          <a:extLst>
            <a:ext uri="{FF2B5EF4-FFF2-40B4-BE49-F238E27FC236}">
              <a16:creationId xmlns:a16="http://schemas.microsoft.com/office/drawing/2014/main" id="{C790BC40-B445-4B21-AEDB-4A5F38238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45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9525</xdr:colOff>
      <xdr:row>110</xdr:row>
      <xdr:rowOff>9525</xdr:rowOff>
    </xdr:to>
    <xdr:pic>
      <xdr:nvPicPr>
        <xdr:cNvPr id="114" name="Obraz 113">
          <a:extLst>
            <a:ext uri="{FF2B5EF4-FFF2-40B4-BE49-F238E27FC236}">
              <a16:creationId xmlns:a16="http://schemas.microsoft.com/office/drawing/2014/main" id="{4DC2A4CA-0722-400E-AB4A-FB346B7B9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17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9525</xdr:colOff>
      <xdr:row>111</xdr:row>
      <xdr:rowOff>9525</xdr:rowOff>
    </xdr:to>
    <xdr:pic>
      <xdr:nvPicPr>
        <xdr:cNvPr id="115" name="Obraz 114">
          <a:extLst>
            <a:ext uri="{FF2B5EF4-FFF2-40B4-BE49-F238E27FC236}">
              <a16:creationId xmlns:a16="http://schemas.microsoft.com/office/drawing/2014/main" id="{22A10A76-2DBD-4B8B-89E8-240556052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0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9525</xdr:colOff>
      <xdr:row>115</xdr:row>
      <xdr:rowOff>9525</xdr:rowOff>
    </xdr:to>
    <xdr:pic>
      <xdr:nvPicPr>
        <xdr:cNvPr id="116" name="Obraz 115">
          <a:extLst>
            <a:ext uri="{FF2B5EF4-FFF2-40B4-BE49-F238E27FC236}">
              <a16:creationId xmlns:a16="http://schemas.microsoft.com/office/drawing/2014/main" id="{11F84316-AF7F-4FDF-9F1E-3BF2677DF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6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117</xdr:row>
      <xdr:rowOff>0</xdr:rowOff>
    </xdr:from>
    <xdr:to>
      <xdr:col>0</xdr:col>
      <xdr:colOff>9525</xdr:colOff>
      <xdr:row>117</xdr:row>
      <xdr:rowOff>9525</xdr:rowOff>
    </xdr:to>
    <xdr:pic>
      <xdr:nvPicPr>
        <xdr:cNvPr id="117" name="Obraz 116">
          <a:extLst>
            <a:ext uri="{FF2B5EF4-FFF2-40B4-BE49-F238E27FC236}">
              <a16:creationId xmlns:a16="http://schemas.microsoft.com/office/drawing/2014/main" id="{2E49BDBA-D994-447E-AF68-1A70110AF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150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9525</xdr:colOff>
      <xdr:row>119</xdr:row>
      <xdr:rowOff>9525</xdr:rowOff>
    </xdr:to>
    <xdr:pic>
      <xdr:nvPicPr>
        <xdr:cNvPr id="118" name="Obraz 117">
          <a:extLst>
            <a:ext uri="{FF2B5EF4-FFF2-40B4-BE49-F238E27FC236}">
              <a16:creationId xmlns:a16="http://schemas.microsoft.com/office/drawing/2014/main" id="{95F912FA-10EE-4F71-87CD-980EBD200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3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9525</xdr:colOff>
      <xdr:row>111</xdr:row>
      <xdr:rowOff>9525</xdr:rowOff>
    </xdr:to>
    <xdr:pic>
      <xdr:nvPicPr>
        <xdr:cNvPr id="119" name="Obraz 118">
          <a:extLst>
            <a:ext uri="{FF2B5EF4-FFF2-40B4-BE49-F238E27FC236}">
              <a16:creationId xmlns:a16="http://schemas.microsoft.com/office/drawing/2014/main" id="{ABD6AD79-9628-4046-B8A2-FF08C0E47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0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9525</xdr:colOff>
      <xdr:row>115</xdr:row>
      <xdr:rowOff>9525</xdr:rowOff>
    </xdr:to>
    <xdr:pic>
      <xdr:nvPicPr>
        <xdr:cNvPr id="120" name="Obraz 119">
          <a:extLst>
            <a:ext uri="{FF2B5EF4-FFF2-40B4-BE49-F238E27FC236}">
              <a16:creationId xmlns:a16="http://schemas.microsoft.com/office/drawing/2014/main" id="{B5574624-57AE-47C0-A4AA-BC9A959AC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6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118</xdr:row>
      <xdr:rowOff>0</xdr:rowOff>
    </xdr:from>
    <xdr:to>
      <xdr:col>0</xdr:col>
      <xdr:colOff>9525</xdr:colOff>
      <xdr:row>118</xdr:row>
      <xdr:rowOff>9525</xdr:rowOff>
    </xdr:to>
    <xdr:pic>
      <xdr:nvPicPr>
        <xdr:cNvPr id="121" name="Obraz 120">
          <a:extLst>
            <a:ext uri="{FF2B5EF4-FFF2-40B4-BE49-F238E27FC236}">
              <a16:creationId xmlns:a16="http://schemas.microsoft.com/office/drawing/2014/main" id="{ABC7C2EC-0AF2-45DF-B11B-DB152986E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341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0</xdr:col>
      <xdr:colOff>9525</xdr:colOff>
      <xdr:row>120</xdr:row>
      <xdr:rowOff>9525</xdr:rowOff>
    </xdr:to>
    <xdr:pic>
      <xdr:nvPicPr>
        <xdr:cNvPr id="122" name="Obraz 121">
          <a:extLst>
            <a:ext uri="{FF2B5EF4-FFF2-40B4-BE49-F238E27FC236}">
              <a16:creationId xmlns:a16="http://schemas.microsoft.com/office/drawing/2014/main" id="{8AE62DAF-CB7F-4ACA-8270-5A6936DF39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7220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0</xdr:col>
      <xdr:colOff>9525</xdr:colOff>
      <xdr:row>111</xdr:row>
      <xdr:rowOff>9525</xdr:rowOff>
    </xdr:to>
    <xdr:pic>
      <xdr:nvPicPr>
        <xdr:cNvPr id="123" name="Obraz 122">
          <a:extLst>
            <a:ext uri="{FF2B5EF4-FFF2-40B4-BE49-F238E27FC236}">
              <a16:creationId xmlns:a16="http://schemas.microsoft.com/office/drawing/2014/main" id="{1F870BF0-531E-421B-87FE-A47ABF064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07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9525</xdr:colOff>
      <xdr:row>115</xdr:row>
      <xdr:rowOff>9525</xdr:rowOff>
    </xdr:to>
    <xdr:pic>
      <xdr:nvPicPr>
        <xdr:cNvPr id="124" name="Obraz 123">
          <a:extLst>
            <a:ext uri="{FF2B5EF4-FFF2-40B4-BE49-F238E27FC236}">
              <a16:creationId xmlns:a16="http://schemas.microsoft.com/office/drawing/2014/main" id="{B5CE8459-2A96-4F92-A706-145D9D6F1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769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0</xdr:col>
      <xdr:colOff>9525</xdr:colOff>
      <xdr:row>119</xdr:row>
      <xdr:rowOff>9525</xdr:rowOff>
    </xdr:to>
    <xdr:pic>
      <xdr:nvPicPr>
        <xdr:cNvPr id="125" name="Obraz 124">
          <a:extLst>
            <a:ext uri="{FF2B5EF4-FFF2-40B4-BE49-F238E27FC236}">
              <a16:creationId xmlns:a16="http://schemas.microsoft.com/office/drawing/2014/main" id="{8956E602-70DB-443F-B5C0-F3B8C8A93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5315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136069</xdr:colOff>
      <xdr:row>0</xdr:row>
      <xdr:rowOff>122464</xdr:rowOff>
    </xdr:from>
    <xdr:to>
      <xdr:col>27</xdr:col>
      <xdr:colOff>122463</xdr:colOff>
      <xdr:row>27</xdr:row>
      <xdr:rowOff>95249</xdr:rowOff>
    </xdr:to>
    <xdr:graphicFrame macro="">
      <xdr:nvGraphicFramePr>
        <xdr:cNvPr id="2" name="Ocena">
          <a:extLst>
            <a:ext uri="{FF2B5EF4-FFF2-40B4-BE49-F238E27FC236}">
              <a16:creationId xmlns:a16="http://schemas.microsoft.com/office/drawing/2014/main" id="{7004B98C-E68E-4653-9854-AA35405191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</xdr:col>
      <xdr:colOff>326571</xdr:colOff>
      <xdr:row>0</xdr:row>
      <xdr:rowOff>181414</xdr:rowOff>
    </xdr:from>
    <xdr:to>
      <xdr:col>38</xdr:col>
      <xdr:colOff>54429</xdr:colOff>
      <xdr:row>16</xdr:row>
      <xdr:rowOff>13607</xdr:rowOff>
    </xdr:to>
    <xdr:graphicFrame macro="">
      <xdr:nvGraphicFramePr>
        <xdr:cNvPr id="5" name="Ocena all">
          <a:extLst>
            <a:ext uri="{FF2B5EF4-FFF2-40B4-BE49-F238E27FC236}">
              <a16:creationId xmlns:a16="http://schemas.microsoft.com/office/drawing/2014/main" id="{702E0270-B6C1-42BF-B308-177DA9C8B0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155283</xdr:colOff>
      <xdr:row>28</xdr:row>
      <xdr:rowOff>40821</xdr:rowOff>
    </xdr:from>
    <xdr:to>
      <xdr:col>9</xdr:col>
      <xdr:colOff>204107</xdr:colOff>
      <xdr:row>47</xdr:row>
      <xdr:rowOff>27214</xdr:rowOff>
    </xdr:to>
    <xdr:graphicFrame macro="">
      <xdr:nvGraphicFramePr>
        <xdr:cNvPr id="6" name="Celne Podania">
          <a:extLst>
            <a:ext uri="{FF2B5EF4-FFF2-40B4-BE49-F238E27FC236}">
              <a16:creationId xmlns:a16="http://schemas.microsoft.com/office/drawing/2014/main" id="{F64D5C48-0494-4545-BDCE-EA0D868C2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326571</xdr:colOff>
      <xdr:row>16</xdr:row>
      <xdr:rowOff>122465</xdr:rowOff>
    </xdr:from>
    <xdr:to>
      <xdr:col>35</xdr:col>
      <xdr:colOff>92050</xdr:colOff>
      <xdr:row>30</xdr:row>
      <xdr:rowOff>163286</xdr:rowOff>
    </xdr:to>
    <xdr:graphicFrame macro="">
      <xdr:nvGraphicFramePr>
        <xdr:cNvPr id="13" name="PI2">
          <a:extLst>
            <a:ext uri="{FF2B5EF4-FFF2-40B4-BE49-F238E27FC236}">
              <a16:creationId xmlns:a16="http://schemas.microsoft.com/office/drawing/2014/main" id="{412E8686-0460-4E95-AD85-BDB13EA9A4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476249</xdr:colOff>
      <xdr:row>28</xdr:row>
      <xdr:rowOff>36738</xdr:rowOff>
    </xdr:from>
    <xdr:to>
      <xdr:col>18</xdr:col>
      <xdr:colOff>544285</xdr:colOff>
      <xdr:row>47</xdr:row>
      <xdr:rowOff>40822</xdr:rowOff>
    </xdr:to>
    <xdr:graphicFrame macro="">
      <xdr:nvGraphicFramePr>
        <xdr:cNvPr id="8" name="Odbiory udane">
          <a:extLst>
            <a:ext uri="{FF2B5EF4-FFF2-40B4-BE49-F238E27FC236}">
              <a16:creationId xmlns:a16="http://schemas.microsoft.com/office/drawing/2014/main" id="{17C9DF6C-2000-44C9-B09E-1CA6417EDB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108858</xdr:colOff>
      <xdr:row>28</xdr:row>
      <xdr:rowOff>54429</xdr:rowOff>
    </xdr:from>
    <xdr:to>
      <xdr:col>27</xdr:col>
      <xdr:colOff>149678</xdr:colOff>
      <xdr:row>47</xdr:row>
      <xdr:rowOff>54428</xdr:rowOff>
    </xdr:to>
    <xdr:graphicFrame macro="">
      <xdr:nvGraphicFramePr>
        <xdr:cNvPr id="9" name="Przejęcia / Obrony">
          <a:extLst>
            <a:ext uri="{FF2B5EF4-FFF2-40B4-BE49-F238E27FC236}">
              <a16:creationId xmlns:a16="http://schemas.microsoft.com/office/drawing/2014/main" id="{50208DF0-1925-431E-A8DF-5026D025DB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27</xdr:col>
      <xdr:colOff>326570</xdr:colOff>
      <xdr:row>31</xdr:row>
      <xdr:rowOff>54426</xdr:rowOff>
    </xdr:from>
    <xdr:to>
      <xdr:col>35</xdr:col>
      <xdr:colOff>81642</xdr:colOff>
      <xdr:row>47</xdr:row>
      <xdr:rowOff>54429</xdr:rowOff>
    </xdr:to>
    <xdr:graphicFrame macro="">
      <xdr:nvGraphicFramePr>
        <xdr:cNvPr id="10" name="Strzały celne">
          <a:extLst>
            <a:ext uri="{FF2B5EF4-FFF2-40B4-BE49-F238E27FC236}">
              <a16:creationId xmlns:a16="http://schemas.microsoft.com/office/drawing/2014/main" id="{5FB20D92-3FD1-4C6A-AB82-A6E171038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35</xdr:col>
      <xdr:colOff>194582</xdr:colOff>
      <xdr:row>40</xdr:row>
      <xdr:rowOff>127908</xdr:rowOff>
    </xdr:from>
    <xdr:to>
      <xdr:col>38</xdr:col>
      <xdr:colOff>186418</xdr:colOff>
      <xdr:row>47</xdr:row>
      <xdr:rowOff>40822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RodzajMeczu">
              <a:extLst>
                <a:ext uri="{FF2B5EF4-FFF2-40B4-BE49-F238E27FC236}">
                  <a16:creationId xmlns:a16="http://schemas.microsoft.com/office/drawing/2014/main" id="{50CD148F-CEE3-4666-A24A-CACC826D9C0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dzajMeczu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625832" y="7747908"/>
              <a:ext cx="1828800" cy="124641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38</xdr:col>
      <xdr:colOff>323850</xdr:colOff>
      <xdr:row>33</xdr:row>
      <xdr:rowOff>175532</xdr:rowOff>
    </xdr:from>
    <xdr:to>
      <xdr:col>41</xdr:col>
      <xdr:colOff>315685</xdr:colOff>
      <xdr:row>47</xdr:row>
      <xdr:rowOff>32657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Mecz">
              <a:extLst>
                <a:ext uri="{FF2B5EF4-FFF2-40B4-BE49-F238E27FC236}">
                  <a16:creationId xmlns:a16="http://schemas.microsoft.com/office/drawing/2014/main" id="{7E59C170-5C03-4916-9B2B-52E71AE6E0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cz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592064" y="6462032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38</xdr:col>
      <xdr:colOff>330654</xdr:colOff>
      <xdr:row>0</xdr:row>
      <xdr:rowOff>175531</xdr:rowOff>
    </xdr:from>
    <xdr:to>
      <xdr:col>43</xdr:col>
      <xdr:colOff>113731</xdr:colOff>
      <xdr:row>32</xdr:row>
      <xdr:rowOff>176892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Nazwa zawodnika">
              <a:extLst>
                <a:ext uri="{FF2B5EF4-FFF2-40B4-BE49-F238E27FC236}">
                  <a16:creationId xmlns:a16="http://schemas.microsoft.com/office/drawing/2014/main" id="{D31F2563-6C74-43D3-AE52-7896BA13480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zwa zawodnik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598868" y="175531"/>
              <a:ext cx="1828800" cy="609736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35</xdr:col>
      <xdr:colOff>167368</xdr:colOff>
      <xdr:row>17</xdr:row>
      <xdr:rowOff>39462</xdr:rowOff>
    </xdr:from>
    <xdr:to>
      <xdr:col>38</xdr:col>
      <xdr:colOff>159204</xdr:colOff>
      <xdr:row>35</xdr:row>
      <xdr:rowOff>40822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Nazwa">
              <a:extLst>
                <a:ext uri="{FF2B5EF4-FFF2-40B4-BE49-F238E27FC236}">
                  <a16:creationId xmlns:a16="http://schemas.microsoft.com/office/drawing/2014/main" id="{0847F82E-CF28-4A4A-98D5-D13242A28B9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zw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598618" y="3277962"/>
              <a:ext cx="1828800" cy="3430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0</xdr:row>
      <xdr:rowOff>185736</xdr:rowOff>
    </xdr:from>
    <xdr:to>
      <xdr:col>34</xdr:col>
      <xdr:colOff>0</xdr:colOff>
      <xdr:row>24</xdr:row>
      <xdr:rowOff>57149</xdr:rowOff>
    </xdr:to>
    <xdr:graphicFrame macro="">
      <xdr:nvGraphicFramePr>
        <xdr:cNvPr id="2" name="SredniaZespołu">
          <a:extLst>
            <a:ext uri="{FF2B5EF4-FFF2-40B4-BE49-F238E27FC236}">
              <a16:creationId xmlns:a16="http://schemas.microsoft.com/office/drawing/2014/main" id="{965455A1-389E-4B38-9ADE-94BC6616DC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25</xdr:row>
      <xdr:rowOff>11206</xdr:rowOff>
    </xdr:from>
    <xdr:to>
      <xdr:col>17</xdr:col>
      <xdr:colOff>168088</xdr:colOff>
      <xdr:row>38</xdr:row>
      <xdr:rowOff>89647</xdr:rowOff>
    </xdr:to>
    <xdr:graphicFrame macro="">
      <xdr:nvGraphicFramePr>
        <xdr:cNvPr id="6" name="Średnia pozycji">
          <a:extLst>
            <a:ext uri="{FF2B5EF4-FFF2-40B4-BE49-F238E27FC236}">
              <a16:creationId xmlns:a16="http://schemas.microsoft.com/office/drawing/2014/main" id="{963443F7-17A4-443E-B9A1-424FF8F89D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0</xdr:col>
      <xdr:colOff>280147</xdr:colOff>
      <xdr:row>25</xdr:row>
      <xdr:rowOff>57151</xdr:rowOff>
    </xdr:from>
    <xdr:to>
      <xdr:col>3</xdr:col>
      <xdr:colOff>293594</xdr:colOff>
      <xdr:row>31</xdr:row>
      <xdr:rowOff>156883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RodzajMeczu 1">
              <a:extLst>
                <a:ext uri="{FF2B5EF4-FFF2-40B4-BE49-F238E27FC236}">
                  <a16:creationId xmlns:a16="http://schemas.microsoft.com/office/drawing/2014/main" id="{099F5A5B-C31E-448F-A787-F3F57F8C7E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dzajMecz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0147" y="4819651"/>
              <a:ext cx="1828800" cy="12427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4</xdr:col>
      <xdr:colOff>11205</xdr:colOff>
      <xdr:row>25</xdr:row>
      <xdr:rowOff>25774</xdr:rowOff>
    </xdr:from>
    <xdr:to>
      <xdr:col>7</xdr:col>
      <xdr:colOff>24652</xdr:colOff>
      <xdr:row>38</xdr:row>
      <xdr:rowOff>73399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Nazwa 1">
              <a:extLst>
                <a:ext uri="{FF2B5EF4-FFF2-40B4-BE49-F238E27FC236}">
                  <a16:creationId xmlns:a16="http://schemas.microsoft.com/office/drawing/2014/main" id="{DDA6CAB5-6D19-4A8A-BD21-E30E7FD6CA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zwa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31676" y="4788274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133350</xdr:colOff>
      <xdr:row>2</xdr:row>
      <xdr:rowOff>152400</xdr:rowOff>
    </xdr:from>
    <xdr:to>
      <xdr:col>11</xdr:col>
      <xdr:colOff>133350</xdr:colOff>
      <xdr:row>16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ola">
              <a:extLst>
                <a:ext uri="{FF2B5EF4-FFF2-40B4-BE49-F238E27FC236}">
                  <a16:creationId xmlns:a16="http://schemas.microsoft.com/office/drawing/2014/main" id="{D3074B60-5F51-419F-8EC6-5000634FD8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l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00725" y="5334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228600</xdr:colOff>
      <xdr:row>2</xdr:row>
      <xdr:rowOff>142875</xdr:rowOff>
    </xdr:from>
    <xdr:to>
      <xdr:col>14</xdr:col>
      <xdr:colOff>228600</xdr:colOff>
      <xdr:row>9</xdr:row>
      <xdr:rowOff>28574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Typ meczu">
              <a:extLst>
                <a:ext uri="{FF2B5EF4-FFF2-40B4-BE49-F238E27FC236}">
                  <a16:creationId xmlns:a16="http://schemas.microsoft.com/office/drawing/2014/main" id="{DA16DA39-08ED-4AFA-9D61-BD4C23D03E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 mecz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24775" y="523875"/>
              <a:ext cx="1828800" cy="121919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17</xdr:row>
      <xdr:rowOff>61912</xdr:rowOff>
    </xdr:from>
    <xdr:to>
      <xdr:col>12</xdr:col>
      <xdr:colOff>190500</xdr:colOff>
      <xdr:row>30</xdr:row>
      <xdr:rowOff>161925</xdr:rowOff>
    </xdr:to>
    <xdr:graphicFrame macro="">
      <xdr:nvGraphicFramePr>
        <xdr:cNvPr id="2" name="Teamy - PI">
          <a:extLst>
            <a:ext uri="{FF2B5EF4-FFF2-40B4-BE49-F238E27FC236}">
              <a16:creationId xmlns:a16="http://schemas.microsoft.com/office/drawing/2014/main" id="{39148149-779E-4A0F-8EFE-3E204DFD3A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47625</xdr:colOff>
      <xdr:row>0</xdr:row>
      <xdr:rowOff>57150</xdr:rowOff>
    </xdr:from>
    <xdr:to>
      <xdr:col>3</xdr:col>
      <xdr:colOff>47625</xdr:colOff>
      <xdr:row>18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azwa 2">
              <a:extLst>
                <a:ext uri="{FF2B5EF4-FFF2-40B4-BE49-F238E27FC236}">
                  <a16:creationId xmlns:a16="http://schemas.microsoft.com/office/drawing/2014/main" id="{B5F184A8-D770-4DA2-BD2F-570E96665D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azw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57150"/>
              <a:ext cx="1828800" cy="3381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47626</xdr:colOff>
      <xdr:row>18</xdr:row>
      <xdr:rowOff>161926</xdr:rowOff>
    </xdr:from>
    <xdr:to>
      <xdr:col>3</xdr:col>
      <xdr:colOff>19050</xdr:colOff>
      <xdr:row>26</xdr:row>
      <xdr:rowOff>161926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RodzajMeczu 2">
              <a:extLst>
                <a:ext uri="{FF2B5EF4-FFF2-40B4-BE49-F238E27FC236}">
                  <a16:creationId xmlns:a16="http://schemas.microsoft.com/office/drawing/2014/main" id="{9ADAB3C3-23C6-4886-B000-2EA77884F9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odzajMeczu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6" y="3590926"/>
              <a:ext cx="1800224" cy="1524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l-PL" sz="1100"/>
                <a:t>Ten kształt odzwierciedla fragmentator. Fragmentatory są obsługiwane w programie Excel 2010 i nowszych wersjach.
Jeśli kształt został zmodyfikowany w starszej wersji programu Excel lub jeśli skoroszyt został zapisany w programie Excel 2003 albo starszej wersji, korzystanie z fragmentatora jest niemożliwe.</a:t>
              </a:r>
            </a:p>
          </xdr:txBody>
        </xdr:sp>
      </mc:Fallback>
    </mc:AlternateContent>
    <xdr:clientData/>
  </xdr:twoCellAnchor>
  <xdr:twoCellAnchor>
    <xdr:from>
      <xdr:col>3</xdr:col>
      <xdr:colOff>142873</xdr:colOff>
      <xdr:row>0</xdr:row>
      <xdr:rowOff>100010</xdr:rowOff>
    </xdr:from>
    <xdr:to>
      <xdr:col>11</xdr:col>
      <xdr:colOff>200024</xdr:colOff>
      <xdr:row>16</xdr:row>
      <xdr:rowOff>95249</xdr:rowOff>
    </xdr:to>
    <xdr:graphicFrame macro="">
      <xdr:nvGraphicFramePr>
        <xdr:cNvPr id="5" name="Teamy - Podania %">
          <a:extLst>
            <a:ext uri="{FF2B5EF4-FFF2-40B4-BE49-F238E27FC236}">
              <a16:creationId xmlns:a16="http://schemas.microsoft.com/office/drawing/2014/main" id="{0D6AFD31-43ED-4B66-974F-04BA943B9B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533401</xdr:colOff>
      <xdr:row>0</xdr:row>
      <xdr:rowOff>114299</xdr:rowOff>
    </xdr:from>
    <xdr:to>
      <xdr:col>27</xdr:col>
      <xdr:colOff>438151</xdr:colOff>
      <xdr:row>16</xdr:row>
      <xdr:rowOff>114300</xdr:rowOff>
    </xdr:to>
    <xdr:graphicFrame macro="">
      <xdr:nvGraphicFramePr>
        <xdr:cNvPr id="6" name="Wykres 6">
          <a:extLst>
            <a:ext uri="{FF2B5EF4-FFF2-40B4-BE49-F238E27FC236}">
              <a16:creationId xmlns:a16="http://schemas.microsoft.com/office/drawing/2014/main" id="{DA9FEBAE-B63C-46A0-86CD-07515AAD84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304801</xdr:colOff>
      <xdr:row>0</xdr:row>
      <xdr:rowOff>133350</xdr:rowOff>
    </xdr:from>
    <xdr:to>
      <xdr:col>19</xdr:col>
      <xdr:colOff>438151</xdr:colOff>
      <xdr:row>16</xdr:row>
      <xdr:rowOff>95250</xdr:rowOff>
    </xdr:to>
    <xdr:graphicFrame macro="">
      <xdr:nvGraphicFramePr>
        <xdr:cNvPr id="7" name="Wykres 7">
          <a:extLst>
            <a:ext uri="{FF2B5EF4-FFF2-40B4-BE49-F238E27FC236}">
              <a16:creationId xmlns:a16="http://schemas.microsoft.com/office/drawing/2014/main" id="{2DA3D516-7512-44E6-9980-AAC94148A8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171450</xdr:colOff>
      <xdr:row>17</xdr:row>
      <xdr:rowOff>9524</xdr:rowOff>
    </xdr:from>
    <xdr:to>
      <xdr:col>20</xdr:col>
      <xdr:colOff>581025</xdr:colOff>
      <xdr:row>30</xdr:row>
      <xdr:rowOff>19049</xdr:rowOff>
    </xdr:to>
    <xdr:graphicFrame macro="">
      <xdr:nvGraphicFramePr>
        <xdr:cNvPr id="8" name="Wykres 8">
          <a:extLst>
            <a:ext uri="{FF2B5EF4-FFF2-40B4-BE49-F238E27FC236}">
              <a16:creationId xmlns:a16="http://schemas.microsoft.com/office/drawing/2014/main" id="{E132B4E6-965F-4805-84C4-0512444A5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tudent 220196" id="{17DCE64E-8F53-4C9C-BDD0-92FBAA9AB219}" userId="Student 220196" providerId="None"/>
</personList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" refreshedDate="44115.84854791667" backgroundQuery="1" createdVersion="6" refreshedVersion="6" minRefreshableVersion="3" recordCount="0" supportSubquery="1" supportAdvancedDrill="1" xr:uid="{D5E96E2A-A967-40F9-8DBB-E89323F71C06}">
  <cacheSource type="external" connectionId="1"/>
  <cacheFields count="16">
    <cacheField name="[Klubiki].[Nazwa].[Nazwa]" caption="Nazwa" numFmtId="0" hierarchy="7" level="1">
      <sharedItems count="11">
        <s v="Agresor Team"/>
        <s v="BOSS-cy Jasło"/>
        <s v="Diabolic Team"/>
        <s v="DRAGON GARWOLIN"/>
        <s v="FC MARKUS"/>
        <s v="Goral Zywiec"/>
        <s v="Love me Im famous!"/>
        <s v="Manchester United F.C."/>
        <s v="Nowielice"/>
        <s v="Stasin SA"/>
        <s v="Varsovia"/>
      </sharedItems>
    </cacheField>
    <cacheField name="[Measures].[Średnia Ocena]" caption="Średnia Ocena" numFmtId="0" hierarchy="121" level="32767"/>
    <cacheField name="[Measures].[Średnia /PI2]" caption="Średnia /PI2" numFmtId="0" hierarchy="138" level="32767"/>
    <cacheField name="[Measures].[Suma OB]" caption="Suma OB" numFmtId="0" hierarchy="132" level="32767"/>
    <cacheField name="[Measures].[Suma SC]" caption="Suma SC" numFmtId="0" hierarchy="139" level="32767"/>
    <cacheField name="[Measures].[Suma BR]" caption="Suma BR" numFmtId="0" hierarchy="141" level="32767"/>
    <cacheField name="[Measures].[Suma PR]" caption="Suma PR" numFmtId="0" hierarchy="131" level="32767"/>
    <cacheField name="[Measures].[Suma OU]" caption="Suma OU" numFmtId="0" hierarchy="128" level="32767"/>
    <cacheField name="[Measures].[Suma PC]" caption="Suma PC" numFmtId="0" hierarchy="124" level="32767"/>
    <cacheField name="[Measures].[Suma PD]" caption="Suma PD" numFmtId="0" hierarchy="164" level="32767"/>
    <cacheField name="[Measures].[Suma OD]" caption="Suma OD" numFmtId="0" hierarchy="126" level="32767"/>
    <cacheField name="[Measures].[% Odbiorów]" caption="% Odbiorów" numFmtId="0" hierarchy="169" level="32767"/>
    <cacheField name="[Measures].[GC]" caption="GC" numFmtId="0" hierarchy="170" level="32767"/>
    <cacheField name="[Measures].[% Podań]" caption="% Podań" numFmtId="0" hierarchy="172" level="32767"/>
    <cacheField name="[Measures].[% Strzałów]" caption="% Strzałów" numFmtId="0" hierarchy="171" level="32767"/>
    <cacheField name="[Mecze].[Typ meczu].[Typ meczu]" caption="Typ meczu" numFmtId="0" hierarchy="44" level="1">
      <sharedItems containsSemiMixedTypes="0" containsNonDate="0" containsString="0"/>
    </cacheField>
  </cacheFields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2" memberValueDatatype="130" unbalanced="0">
      <fieldsUsage count="2">
        <fieldUsage x="-1"/>
        <fieldUsage x="0"/>
      </fieldsUsage>
    </cacheHierarchy>
    <cacheHierarchy uniqueName="[Mecze].[Numer]" caption="Numer" attribute="1" defaultMemberUniqueName="[Mecze].[Numer].[All]" allUniqueName="[Mecze].[Numer].[All]" dimensionUniqueName="[Mecze]" displayFolder="" count="0" memberValueDatatype="20" unbalanced="0"/>
    <cacheHierarchy uniqueName="[Mecze].[Nazwa zawodnika]" caption="Nazwa zawodnika" attribute="1" defaultMemberUniqueName="[Mecze].[Nazwa zawodnika].[All]" allUniqueName="[Mecze].[Nazwa zawodnika].[All]" dimensionUniqueName="[Mecze]" displayFolder="" count="0" memberValueDatatype="130" unbalanced="0"/>
    <cacheHierarchy uniqueName="[Mecze].[Pozycja]" caption="Pozycja" attribute="1" defaultMemberUniqueName="[Mecze].[Pozycja].[All]" allUniqueName="[Mecze].[Pozycja].[All]" dimensionUniqueName="[Mecze]" displayFolder="" count="0" memberValueDatatype="130" unbalanced="0"/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0" memberValueDatatype="130" unbalanced="0"/>
    <cacheHierarchy uniqueName="[Mecze].[Mecz]" caption="Mecz" attribute="1" defaultMemberUniqueName="[Mecze].[Mecz].[All]" allUniqueName="[Mecze].[Mecz].[All]" dimensionUniqueName="[Mecze]" displayFolder="" count="0" memberValueDatatype="20" unbalanced="0"/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0" memberValueDatatype="20" unbalanced="0"/>
    <cacheHierarchy uniqueName="[Mecze].[Typ meczu]" caption="Typ meczu" attribute="1" defaultMemberUniqueName="[Mecze].[Typ meczu].[All]" allUniqueName="[Mecze].[Typ meczu].[All]" dimensionUniqueName="[Mecze]" displayFolder="" count="2" memberValueDatatype="130" unbalanced="0">
      <fieldsUsage count="2">
        <fieldUsage x="-1"/>
        <fieldUsage x="15"/>
      </fieldsUsage>
    </cacheHierarchy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0" memberValueDatatype="20" unbalanced="0"/>
    <cacheHierarchy uniqueName="[Meczusie].[RodzajMeczu]" caption="RodzajMeczu" attribute="1" defaultMemberUniqueName="[Meczusie].[RodzajMeczu].[All]" allUniqueName="[Meczusie].[RodzajMeczu].[All]" dimensionUniqueName="[Meczusie]" displayFolder="" count="0" memberValueDatatype="130" unbalanced="0"/>
    <cacheHierarchy uniqueName="[Meczusie].[DOM]" caption="DOM" attribute="1" defaultMemberUniqueName="[Meczusie].[DOM].[All]" allUniqueName="[Meczusie].[DOM].[All]" dimensionUniqueName="[Meczusie]" displayFolder="" count="0" memberValueDatatype="130" unbalanced="0"/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0" memberValueDatatype="130" unbalanced="0"/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0" memberValueDatatype="130" unbalanced="0"/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 oneField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 oneField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 oneField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/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 oneField="1">
      <fieldsUsage count="1">
        <fieldUsage x="11"/>
      </fieldsUsage>
    </cacheHierarchy>
    <cacheHierarchy uniqueName="[Measures].[GC]" caption="GC" measure="1" displayFolder="" measureGroup="Mecze" count="0" oneField="1">
      <fieldsUsage count="1">
        <fieldUsage x="12"/>
      </fieldsUsage>
    </cacheHierarchy>
    <cacheHierarchy uniqueName="[Measures].[% Strzałów]" caption="% Strzałów" measure="1" displayFolder="" measureGroup="Mecze" count="0" oneField="1">
      <fieldsUsage count="1">
        <fieldUsage x="14"/>
      </fieldsUsage>
    </cacheHierarchy>
    <cacheHierarchy uniqueName="[Measures].[% Podań]" caption="% Podań" measure="1" displayFolder="" measureGroup="Mecze" count="0" oneField="1">
      <fieldsUsage count="1">
        <fieldUsage x="13"/>
      </fieldsUsage>
    </cacheHierarchy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dimensions count="8">
    <dimension name="Kalendarz" uniqueName="[Kalendarz]" caption="Kalendarz"/>
    <dimension name="Klubiki" uniqueName="[Klubiki]" caption="Klubiki"/>
    <dimension measure="1" name="Measures" uniqueName="[Measures]" caption="Measures"/>
    <dimension name="Mecze" uniqueName="[Mecze]" caption="Mecze"/>
    <dimension name="Meczusie" uniqueName="[Meczusie]" caption="Meczusie"/>
    <dimension name="Radar" uniqueName="[Radar]" caption="Radar"/>
    <dimension name="Zawodnicy" uniqueName="[Zawodnicy]" caption="Zawodnicy"/>
    <dimension name="ZawodnicyLiga" uniqueName="[ZawodnicyLiga]" caption="ZawodnicyLiga"/>
  </dimensions>
  <measureGroups count="7">
    <measureGroup name="Kalendarz" caption="Kalendarz"/>
    <measureGroup name="Klubiki" caption="Klubiki"/>
    <measureGroup name="Mecze" caption="Mecze"/>
    <measureGroup name="Meczusie" caption="Meczusie"/>
    <measureGroup name="Radar" caption="Radar"/>
    <measureGroup name="Zawodnicy" caption="Zawodnicy"/>
    <measureGroup name="ZawodnicyLiga" caption="ZawodnicyLiga"/>
  </measureGroups>
  <maps count="11">
    <map measureGroup="0" dimension="0"/>
    <map measureGroup="1" dimension="1"/>
    <map measureGroup="2" dimension="1"/>
    <map measureGroup="2" dimension="3"/>
    <map measureGroup="2" dimension="4"/>
    <map measureGroup="3" dimension="4"/>
    <map measureGroup="4" dimension="5"/>
    <map measureGroup="4" dimension="6"/>
    <map measureGroup="5" dimension="6"/>
    <map measureGroup="6" dimension="1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" refreshedDate="44115.848552083335" backgroundQuery="1" createdVersion="6" refreshedVersion="6" minRefreshableVersion="3" recordCount="0" supportSubquery="1" supportAdvancedDrill="1" xr:uid="{6CE34860-D344-442E-BB79-3341294847AE}">
  <cacheSource type="external" connectionId="1"/>
  <cacheFields count="10">
    <cacheField name="[Measures].[Średnia /PI2]" caption="Średnia /PI2" numFmtId="0" hierarchy="138" level="32767"/>
    <cacheField name="[Measures].[Średnia Ocena]" caption="Średnia Ocena" numFmtId="0" hierarchy="121" level="32767"/>
    <cacheField name="[Measures].[Suma CZAS]" caption="Suma CZAS" numFmtId="0" hierarchy="143" level="32767"/>
    <cacheField name="[Klubiki].[Nazwa].[Nazwa]" caption="Nazwa" numFmtId="0" hierarchy="7" level="1">
      <sharedItems containsSemiMixedTypes="0" containsNonDate="0" containsString="0"/>
    </cacheField>
    <cacheField name="[Mecze].[Nazwa zawodnika].[Nazwa zawodnika]" caption="Nazwa zawodnika" numFmtId="0" hierarchy="9" level="1">
      <sharedItems count="14">
        <s v=" B. Selvang"/>
        <s v=" D. Araújo"/>
        <s v=" D. Olszewski"/>
        <s v=" F. Armani"/>
        <s v=" F. Ryback"/>
        <s v=" J. Piesciuk"/>
        <s v=" K. Lisewski"/>
        <s v=" L. Andrychowski"/>
        <s v=" M. Budzyn"/>
        <s v=" N. Mondrowski"/>
        <s v=" R. Dochkov"/>
        <s v=" R. Klucznik"/>
        <s v=" R. Teofila"/>
        <s v=" W. Bryk"/>
      </sharedItems>
    </cacheField>
    <cacheField name="[Measures].[Średnia TEAM]" caption="Średnia TEAM" numFmtId="0" hierarchy="154" level="32767"/>
    <cacheField name="[Measures].[Średnia Numer]" caption="Średnia Numer" numFmtId="0" hierarchy="156" level="32767"/>
    <cacheField name="[Measures].[Ocena Ważona]" caption="Ocena Ważona" numFmtId="0" hierarchy="166" level="32767"/>
    <cacheField name="[Mecze].[Rola].[Rola]" caption="Rola" numFmtId="0" hierarchy="37" level="1">
      <sharedItems containsSemiMixedTypes="0" containsNonDate="0" containsString="0"/>
    </cacheField>
    <cacheField name="[Mecze].[Typ meczu].[Typ meczu]" caption="Typ meczu" numFmtId="0" hierarchy="44" level="1">
      <sharedItems containsSemiMixedTypes="0" containsNonDate="0" containsString="0"/>
    </cacheField>
  </cacheFields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2" memberValueDatatype="130" unbalanced="0">
      <fieldsUsage count="2">
        <fieldUsage x="-1"/>
        <fieldUsage x="3"/>
      </fieldsUsage>
    </cacheHierarchy>
    <cacheHierarchy uniqueName="[Mecze].[Numer]" caption="Numer" attribute="1" defaultMemberUniqueName="[Mecze].[Numer].[All]" allUniqueName="[Mecze].[Numer].[All]" dimensionUniqueName="[Mecze]" displayFolder="" count="0" memberValueDatatype="20" unbalanced="0"/>
    <cacheHierarchy uniqueName="[Mecze].[Nazwa zawodnika]" caption="Nazwa zawodnika" attribute="1" defaultMemberUniqueName="[Mecze].[Nazwa zawodnika].[All]" allUniqueName="[Mecze].[Nazwa zawodnika].[All]" dimensionUniqueName="[Mecze]" displayFolder="" count="2" memberValueDatatype="130" unbalanced="0">
      <fieldsUsage count="2">
        <fieldUsage x="-1"/>
        <fieldUsage x="4"/>
      </fieldsUsage>
    </cacheHierarchy>
    <cacheHierarchy uniqueName="[Mecze].[Pozycja]" caption="Pozycja" attribute="1" defaultMemberUniqueName="[Mecze].[Pozycja].[All]" allUniqueName="[Mecze].[Pozycja].[All]" dimensionUniqueName="[Mecze]" displayFolder="" count="0" memberValueDatatype="130" unbalanced="0"/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2" memberValueDatatype="130" unbalanced="0">
      <fieldsUsage count="2">
        <fieldUsage x="-1"/>
        <fieldUsage x="8"/>
      </fieldsUsage>
    </cacheHierarchy>
    <cacheHierarchy uniqueName="[Mecze].[Mecz]" caption="Mecz" attribute="1" defaultMemberUniqueName="[Mecze].[Mecz].[All]" allUniqueName="[Mecze].[Mecz].[All]" dimensionUniqueName="[Mecze]" displayFolder="" count="0" memberValueDatatype="20" unbalanced="0"/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0" memberValueDatatype="20" unbalanced="0"/>
    <cacheHierarchy uniqueName="[Mecze].[Typ meczu]" caption="Typ meczu" attribute="1" defaultMemberUniqueName="[Mecze].[Typ meczu].[All]" allUniqueName="[Mecze].[Typ meczu].[All]" dimensionUniqueName="[Mecze]" displayFolder="" count="2" memberValueDatatype="130" unbalanced="0">
      <fieldsUsage count="2">
        <fieldUsage x="-1"/>
        <fieldUsage x="9"/>
      </fieldsUsage>
    </cacheHierarchy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0" memberValueDatatype="20" unbalanced="0"/>
    <cacheHierarchy uniqueName="[Meczusie].[RodzajMeczu]" caption="RodzajMeczu" attribute="1" defaultMemberUniqueName="[Meczusie].[RodzajMeczu].[All]" allUniqueName="[Meczusie].[RodzajMeczu].[All]" dimensionUniqueName="[Meczusie]" displayFolder="" count="0" memberValueDatatype="130" unbalanced="0"/>
    <cacheHierarchy uniqueName="[Meczusie].[DOM]" caption="DOM" attribute="1" defaultMemberUniqueName="[Meczusie].[DOM].[All]" allUniqueName="[Meczusie].[DOM].[All]" dimensionUniqueName="[Meczusie]" displayFolder="" count="0" memberValueDatatype="130" unbalanced="0"/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0" memberValueDatatype="130" unbalanced="0"/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0" memberValueDatatype="130" unbalanced="0"/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 oneField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 oneField="1">
      <fieldsUsage count="1">
        <fieldUsage x="7"/>
      </fieldsUsage>
    </cacheHierarchy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/>
    <cacheHierarchy uniqueName="[Measures].[GC]" caption="GC" measure="1" displayFolder="" measureGroup="Mecze" count="0"/>
    <cacheHierarchy uniqueName="[Measures].[% Strzałów]" caption="% Strzałów" measure="1" displayFolder="" measureGroup="Mecze" count="0"/>
    <cacheHierarchy uniqueName="[Measures].[% Podań]" caption="% Podań" measure="1" displayFolder="" measureGroup="Mecze" count="0"/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dimensions count="8">
    <dimension name="Kalendarz" uniqueName="[Kalendarz]" caption="Kalendarz"/>
    <dimension name="Klubiki" uniqueName="[Klubiki]" caption="Klubiki"/>
    <dimension measure="1" name="Measures" uniqueName="[Measures]" caption="Measures"/>
    <dimension name="Mecze" uniqueName="[Mecze]" caption="Mecze"/>
    <dimension name="Meczusie" uniqueName="[Meczusie]" caption="Meczusie"/>
    <dimension name="Radar" uniqueName="[Radar]" caption="Radar"/>
    <dimension name="Zawodnicy" uniqueName="[Zawodnicy]" caption="Zawodnicy"/>
    <dimension name="ZawodnicyLiga" uniqueName="[ZawodnicyLiga]" caption="ZawodnicyLiga"/>
  </dimensions>
  <measureGroups count="7">
    <measureGroup name="Kalendarz" caption="Kalendarz"/>
    <measureGroup name="Klubiki" caption="Klubiki"/>
    <measureGroup name="Mecze" caption="Mecze"/>
    <measureGroup name="Meczusie" caption="Meczusie"/>
    <measureGroup name="Radar" caption="Radar"/>
    <measureGroup name="Zawodnicy" caption="Zawodnicy"/>
    <measureGroup name="ZawodnicyLiga" caption="ZawodnicyLiga"/>
  </measureGroups>
  <maps count="11">
    <map measureGroup="0" dimension="0"/>
    <map measureGroup="1" dimension="1"/>
    <map measureGroup="2" dimension="1"/>
    <map measureGroup="2" dimension="3"/>
    <map measureGroup="2" dimension="4"/>
    <map measureGroup="3" dimension="4"/>
    <map measureGroup="4" dimension="5"/>
    <map measureGroup="4" dimension="6"/>
    <map measureGroup="5" dimension="6"/>
    <map measureGroup="6" dimension="1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" refreshedDate="44115.848607291664" backgroundQuery="1" createdVersion="6" refreshedVersion="6" minRefreshableVersion="3" recordCount="0" supportSubquery="1" supportAdvancedDrill="1" xr:uid="{3869842A-74F6-4D49-A2B4-0F9605CDD7F5}">
  <cacheSource type="external" connectionId="1"/>
  <cacheFields count="3">
    <cacheField name="[Mecze].[Nazwa zawodnika].[Nazwa zawodnika]" caption="Nazwa zawodnika" numFmtId="0" hierarchy="9" level="1">
      <sharedItems count="209">
        <s v=" R. Dochkov"/>
        <s v=" K. Skrzypek"/>
        <s v=" U. Kaczor"/>
        <s v=" B. Bejgier"/>
        <s v=" L. Bakes"/>
        <s v=" I. Cerocki"/>
        <s v=" C. Walec"/>
        <s v=" K. Grabowicz"/>
        <s v=" R. Zakrzewski"/>
        <s v=" K. Jurgiel"/>
        <s v=" G. Tuliszewski"/>
        <s v=" F. Pelayo"/>
        <s v=" H. Wejta"/>
        <s v=" A. Astudillo"/>
        <s v=" E. Huk"/>
        <s v=" W. Janiczek"/>
        <s v=" D. Dziewulski"/>
        <s v=" J. Ludwiczak"/>
        <s v=" I. Lato"/>
        <s v=" S. Kaszubowski"/>
        <s v=" A. Polkoski"/>
        <s v=" L. Kanczuszewski"/>
        <s v=" J. Swoboda"/>
        <s v=" J. Wincek"/>
        <s v=" B. Kolbert"/>
        <s v=" D. Pionek"/>
        <s v=" B. Adamus"/>
        <s v=" O. Skikiewicz"/>
        <s v=" J. Sierocki"/>
        <s v=" I. Duszenski"/>
        <s v=" W. Zawaski"/>
        <s v=" D. Kolacki"/>
        <s v=" L. Robak"/>
        <s v=" R. Cichowski"/>
        <s v=" R. Danisiewicz"/>
        <s v=" C. Huratiak"/>
        <s v=" M. Kostrzewski"/>
        <s v=" F. Blochowiak"/>
        <s v=" W. Furgal"/>
        <s v=" F. Armani"/>
        <s v=" S. Feng Ping"/>
        <s v=" L. Andrychowski"/>
        <s v=" C. Maciel"/>
        <s v=" H. Cheng Jie"/>
        <s v=" M. Pochorylo"/>
        <s v=" C. Pirlo"/>
        <s v=" Z. Wozniak"/>
        <s v=" B. Tecimen"/>
        <s v=" J. Niedziela"/>
        <s v=" E. Amaral"/>
        <s v=" W. Porajewski"/>
        <s v=" R. Trynda"/>
        <s v=" D. Miodek"/>
        <s v=" P. Molski"/>
        <s v=" A. Raflewski"/>
        <s v=" M. Hetman"/>
        <s v=" R. Gaszynski"/>
        <s v=" P. Poling"/>
        <s v=" L. Golaszewski"/>
        <s v=" B. Bazan"/>
        <s v=" F. Zacharczyk"/>
        <s v=" S. Cebula"/>
        <s v=" U. Wachna"/>
        <s v=" E. Niemojewski"/>
        <s v=" K. Jarek"/>
        <s v=" P. Sebzda"/>
        <s v=" W. Marajda"/>
        <s v=" M. Zapolski"/>
        <s v=" E. Petka"/>
        <s v=" I. Oborski"/>
        <s v=" M. Budzyn"/>
        <s v=" W. Lopez"/>
        <s v=" M. Oğuz Tanyol"/>
        <s v=" B. Pawelczyk"/>
        <s v=" 马耀升"/>
        <s v=" R. Tiadoro"/>
        <s v=" Z. Byczewski"/>
        <s v=" E. Poniewaz"/>
        <s v=" D. Quadros"/>
        <s v=" S. Şahbender"/>
        <s v=" O. Alström"/>
        <s v=" 秦博梁"/>
        <s v=" R. Narbut"/>
        <s v=" B. Kolano"/>
        <s v=" L. Walec"/>
        <s v=" L. Tobolev"/>
        <s v=" K. Lisewski"/>
        <s v=" M. Kosowski"/>
        <s v=" M. Abilio"/>
        <s v=" J. Mleczewski"/>
        <s v=" N. Treppa"/>
        <s v=" S. Chrobak"/>
        <s v=" B. Marczyniec"/>
        <s v=" K. Witkowski"/>
        <s v=" Z. Zuraw"/>
        <s v=" M. Szpakowski"/>
        <s v=" B. Jakisz"/>
        <s v=" L. Fujarczuk"/>
        <s v=" M. Brytan"/>
        <s v=" A. Japola"/>
        <s v=" M. Szostak"/>
        <s v=" D. Araújo"/>
        <s v=" M. Özver"/>
        <s v=" M. Laba"/>
        <s v=" R. Glapiak"/>
        <s v=" L. Björck"/>
        <s v=" J. Majkowski"/>
        <s v=" M. Weyna"/>
        <s v=" G. Onitiu"/>
        <s v=" L. Cuber"/>
        <s v=" T. Daszkowski"/>
        <s v=" J. Iturbide"/>
        <s v=" M. Selim Ongul"/>
        <s v=" B. Selvang"/>
        <s v=" S. Gondela"/>
        <s v=" J. Cichocki"/>
        <s v=" B. Rozanski"/>
        <s v=" D. Szarmach"/>
        <s v=" K. Giejda"/>
        <s v=" B. Gregorczyk"/>
        <s v=" E. Gizynski"/>
        <s v=" M. Andik Motowski"/>
        <s v=" T. Sidor"/>
        <s v=" A. Milko"/>
        <s v=" R. Bryk"/>
        <s v=" N. Bărănescu"/>
        <s v=" T. Riva"/>
        <s v=" F. Ryback"/>
        <s v=" S. Nastasio"/>
        <s v=" E. Toppi"/>
        <s v=" H. Kasperczak"/>
        <s v=" E. Llorca"/>
        <s v=" M. Wasilewski"/>
        <s v=" E. Karp"/>
        <s v=" S. Pierz"/>
        <s v=" R. Klucznik"/>
        <s v=" W. Sidor"/>
        <s v=" M. Solarek"/>
        <s v=" J. Kempka"/>
        <s v=" W. Dropinski"/>
        <s v=" E. Henryk"/>
        <s v=" Z. Dupak"/>
        <s v=" M. Wachna"/>
        <s v=" M. Sokol"/>
        <s v=" E. Omural"/>
        <s v=" I. Kaszubik"/>
        <s v=" Z. Gerlach"/>
        <s v=" S. Zacharek"/>
        <s v=" E. Kosiorek"/>
        <s v=" J. Piesciuk"/>
        <s v=" D. Olszewski"/>
        <s v=" D. Osowski"/>
        <s v=" B. Zagrodny"/>
        <s v=" A. Emesto"/>
        <s v=" 董飞银"/>
        <s v=" 邱坤骋"/>
        <s v=" J. Lohitzun"/>
        <s v=" S. Fujarczuk"/>
        <s v=" B. Brytan"/>
        <s v=" W. Seliga"/>
        <s v=" L. Witkowski"/>
        <s v=" D. Jaroszewicz"/>
        <s v=" D. Juszkowski"/>
        <s v=" M. Pietrowski"/>
        <s v=" T. Sala"/>
        <s v=" Z. Prokowski"/>
        <s v=" R. Zarobski"/>
        <s v=" L. Ramzinski"/>
        <s v=" B. Kornatowski"/>
        <s v=" W. Bryk"/>
        <s v=" W. Szostak"/>
        <s v=" N. Barna"/>
        <s v=" K. Oliszewski"/>
        <s v=" P. Jaktorowo"/>
        <s v=" K. R. Hansen"/>
        <s v=" L. Radzyminski"/>
        <s v=" K. Kosowski"/>
        <s v=" A. Mrabet"/>
        <s v=" H. Bielecki"/>
        <s v=" R. Augustyn"/>
        <s v=" E. Borczak"/>
        <s v=" R. Zagrodny"/>
        <s v=" L. Gleba"/>
        <s v=" R. Teofila"/>
        <s v=" R. Konieczny"/>
        <s v=" R. Trenning"/>
        <s v=" M. Falkiewicz"/>
        <s v=" B. Sebzda"/>
        <s v=" T. Pietrowski"/>
        <s v=" K. Oryl"/>
        <s v=" B. Jarocewicz"/>
        <s v=" A. Okutman"/>
        <s v=" F. Mnich"/>
        <s v=" B. Pankiewicz"/>
        <s v=" L. Parzysz"/>
        <s v=" W. Bochinski"/>
        <s v=" K. Major"/>
        <s v=" N. Mondrowski"/>
        <s v=" E. Hrabina"/>
        <s v=" W. Cielencki"/>
        <s v=" M. Czeszejko"/>
        <s v=" C. Borcz"/>
        <s v=" K. Niedzwiecki"/>
        <s v=" T. Wolniewicz"/>
        <s v=" C. Erland"/>
        <s v=" R. Alves"/>
        <s v=" M. Jaks"/>
        <s v=" R. Niziolek"/>
        <s v=" M. Zgonina"/>
      </sharedItems>
    </cacheField>
    <cacheField name="[Mecze].[TEAM].[TEAM]" caption="TEAM" numFmtId="0" hierarchy="43" level="1">
      <sharedItems containsSemiMixedTypes="0" containsString="0" containsNumber="1" containsInteger="1" minValue="1" maxValue="11" count="11">
        <n v="1"/>
        <n v="2"/>
        <n v="3"/>
        <n v="4"/>
        <n v="5"/>
        <n v="6"/>
        <n v="7"/>
        <n v="8"/>
        <n v="9"/>
        <n v="10"/>
        <n v="11"/>
      </sharedItems>
      <extLst>
        <ext xmlns:x15="http://schemas.microsoft.com/office/spreadsheetml/2010/11/main" uri="{4F2E5C28-24EA-4eb8-9CBF-B6C8F9C3D259}">
          <x15:cachedUniqueNames>
            <x15:cachedUniqueName index="0" name="[Mecze].[TEAM].&amp;[1]"/>
            <x15:cachedUniqueName index="1" name="[Mecze].[TEAM].&amp;[2]"/>
            <x15:cachedUniqueName index="2" name="[Mecze].[TEAM].&amp;[3]"/>
            <x15:cachedUniqueName index="3" name="[Mecze].[TEAM].&amp;[4]"/>
            <x15:cachedUniqueName index="4" name="[Mecze].[TEAM].&amp;[5]"/>
            <x15:cachedUniqueName index="5" name="[Mecze].[TEAM].&amp;[6]"/>
            <x15:cachedUniqueName index="6" name="[Mecze].[TEAM].&amp;[7]"/>
            <x15:cachedUniqueName index="7" name="[Mecze].[TEAM].&amp;[8]"/>
            <x15:cachedUniqueName index="8" name="[Mecze].[TEAM].&amp;[9]"/>
            <x15:cachedUniqueName index="9" name="[Mecze].[TEAM].&amp;[10]"/>
            <x15:cachedUniqueName index="10" name="[Mecze].[TEAM].&amp;[11]"/>
          </x15:cachedUniqueNames>
        </ext>
      </extLst>
    </cacheField>
    <cacheField name="[Mecze].[Numer].[Numer]" caption="Numer" numFmtId="0" hierarchy="8" level="1">
      <sharedItems containsSemiMixedTypes="0" containsString="0" containsNumber="1" containsInteger="1" minValue="1" maxValue="208" count="84">
        <n v="1"/>
        <n v="2"/>
        <n v="3"/>
        <n v="4"/>
        <n v="5"/>
        <n v="6"/>
        <n v="8"/>
        <n v="9"/>
        <n v="11"/>
        <n v="13"/>
        <n v="14"/>
        <n v="15"/>
        <n v="17"/>
        <n v="18"/>
        <n v="19"/>
        <n v="20"/>
        <n v="22"/>
        <n v="25"/>
        <n v="26"/>
        <n v="27"/>
        <n v="28"/>
        <n v="29"/>
        <n v="31"/>
        <n v="33"/>
        <n v="38"/>
        <n v="39"/>
        <n v="40"/>
        <n v="42"/>
        <n v="45"/>
        <n v="46"/>
        <n v="48"/>
        <n v="49"/>
        <n v="50"/>
        <n v="51"/>
        <n v="52"/>
        <n v="53"/>
        <n v="59"/>
        <n v="60"/>
        <n v="61"/>
        <n v="7"/>
        <n v="10"/>
        <n v="12"/>
        <n v="34"/>
        <n v="37"/>
        <n v="43"/>
        <n v="47"/>
        <n v="66"/>
        <n v="67"/>
        <n v="68"/>
        <n v="69"/>
        <n v="70"/>
        <n v="71"/>
        <n v="72"/>
        <n v="99"/>
        <n v="57"/>
        <n v="79"/>
        <n v="24"/>
        <n v="100"/>
        <n v="101"/>
        <n v="102"/>
        <n v="105"/>
        <n v="106"/>
        <n v="76"/>
        <n v="104"/>
        <n v="109"/>
        <n v="110"/>
        <n v="116"/>
        <n v="150"/>
        <n v="151"/>
        <n v="153"/>
        <n v="156"/>
        <n v="157"/>
        <n v="159"/>
        <n v="161"/>
        <n v="200"/>
        <n v="201"/>
        <n v="202"/>
        <n v="203"/>
        <n v="204"/>
        <n v="208"/>
        <n v="16"/>
        <n v="23"/>
        <n v="73"/>
        <n v="74"/>
      </sharedItems>
      <extLst>
        <ext xmlns:x15="http://schemas.microsoft.com/office/spreadsheetml/2010/11/main" uri="{4F2E5C28-24EA-4eb8-9CBF-B6C8F9C3D259}">
          <x15:cachedUniqueNames>
            <x15:cachedUniqueName index="0" name="[Mecze].[Numer].&amp;[1]"/>
            <x15:cachedUniqueName index="1" name="[Mecze].[Numer].&amp;[2]"/>
            <x15:cachedUniqueName index="2" name="[Mecze].[Numer].&amp;[3]"/>
            <x15:cachedUniqueName index="3" name="[Mecze].[Numer].&amp;[4]"/>
            <x15:cachedUniqueName index="4" name="[Mecze].[Numer].&amp;[5]"/>
            <x15:cachedUniqueName index="5" name="[Mecze].[Numer].&amp;[6]"/>
            <x15:cachedUniqueName index="6" name="[Mecze].[Numer].&amp;[8]"/>
            <x15:cachedUniqueName index="7" name="[Mecze].[Numer].&amp;[9]"/>
            <x15:cachedUniqueName index="8" name="[Mecze].[Numer].&amp;[11]"/>
            <x15:cachedUniqueName index="9" name="[Mecze].[Numer].&amp;[13]"/>
            <x15:cachedUniqueName index="10" name="[Mecze].[Numer].&amp;[14]"/>
            <x15:cachedUniqueName index="11" name="[Mecze].[Numer].&amp;[15]"/>
            <x15:cachedUniqueName index="12" name="[Mecze].[Numer].&amp;[17]"/>
            <x15:cachedUniqueName index="13" name="[Mecze].[Numer].&amp;[18]"/>
            <x15:cachedUniqueName index="14" name="[Mecze].[Numer].&amp;[19]"/>
            <x15:cachedUniqueName index="15" name="[Mecze].[Numer].&amp;[20]"/>
            <x15:cachedUniqueName index="16" name="[Mecze].[Numer].&amp;[22]"/>
            <x15:cachedUniqueName index="17" name="[Mecze].[Numer].&amp;[25]"/>
            <x15:cachedUniqueName index="18" name="[Mecze].[Numer].&amp;[26]"/>
            <x15:cachedUniqueName index="19" name="[Mecze].[Numer].&amp;[27]"/>
            <x15:cachedUniqueName index="20" name="[Mecze].[Numer].&amp;[28]"/>
            <x15:cachedUniqueName index="21" name="[Mecze].[Numer].&amp;[29]"/>
            <x15:cachedUniqueName index="22" name="[Mecze].[Numer].&amp;[31]"/>
            <x15:cachedUniqueName index="23" name="[Mecze].[Numer].&amp;[33]"/>
            <x15:cachedUniqueName index="24" name="[Mecze].[Numer].&amp;[38]"/>
            <x15:cachedUniqueName index="25" name="[Mecze].[Numer].&amp;[39]"/>
            <x15:cachedUniqueName index="26" name="[Mecze].[Numer].&amp;[40]"/>
            <x15:cachedUniqueName index="27" name="[Mecze].[Numer].&amp;[42]"/>
            <x15:cachedUniqueName index="28" name="[Mecze].[Numer].&amp;[45]"/>
            <x15:cachedUniqueName index="29" name="[Mecze].[Numer].&amp;[46]"/>
            <x15:cachedUniqueName index="30" name="[Mecze].[Numer].&amp;[48]"/>
            <x15:cachedUniqueName index="31" name="[Mecze].[Numer].&amp;[49]"/>
            <x15:cachedUniqueName index="32" name="[Mecze].[Numer].&amp;[50]"/>
            <x15:cachedUniqueName index="33" name="[Mecze].[Numer].&amp;[51]"/>
            <x15:cachedUniqueName index="34" name="[Mecze].[Numer].&amp;[52]"/>
            <x15:cachedUniqueName index="35" name="[Mecze].[Numer].&amp;[53]"/>
            <x15:cachedUniqueName index="36" name="[Mecze].[Numer].&amp;[59]"/>
            <x15:cachedUniqueName index="37" name="[Mecze].[Numer].&amp;[60]"/>
            <x15:cachedUniqueName index="38" name="[Mecze].[Numer].&amp;[61]"/>
            <x15:cachedUniqueName index="39" name="[Mecze].[Numer].&amp;[7]"/>
            <x15:cachedUniqueName index="40" name="[Mecze].[Numer].&amp;[10]"/>
            <x15:cachedUniqueName index="41" name="[Mecze].[Numer].&amp;[12]"/>
            <x15:cachedUniqueName index="42" name="[Mecze].[Numer].&amp;[34]"/>
            <x15:cachedUniqueName index="43" name="[Mecze].[Numer].&amp;[37]"/>
            <x15:cachedUniqueName index="44" name="[Mecze].[Numer].&amp;[43]"/>
            <x15:cachedUniqueName index="45" name="[Mecze].[Numer].&amp;[47]"/>
            <x15:cachedUniqueName index="46" name="[Mecze].[Numer].&amp;[66]"/>
            <x15:cachedUniqueName index="47" name="[Mecze].[Numer].&amp;[67]"/>
            <x15:cachedUniqueName index="48" name="[Mecze].[Numer].&amp;[68]"/>
            <x15:cachedUniqueName index="49" name="[Mecze].[Numer].&amp;[69]"/>
            <x15:cachedUniqueName index="50" name="[Mecze].[Numer].&amp;[70]"/>
            <x15:cachedUniqueName index="51" name="[Mecze].[Numer].&amp;[71]"/>
            <x15:cachedUniqueName index="52" name="[Mecze].[Numer].&amp;[72]"/>
            <x15:cachedUniqueName index="53" name="[Mecze].[Numer].&amp;[99]"/>
            <x15:cachedUniqueName index="54" name="[Mecze].[Numer].&amp;[57]"/>
            <x15:cachedUniqueName index="55" name="[Mecze].[Numer].&amp;[79]"/>
            <x15:cachedUniqueName index="56" name="[Mecze].[Numer].&amp;[24]"/>
            <x15:cachedUniqueName index="57" name="[Mecze].[Numer].&amp;[100]"/>
            <x15:cachedUniqueName index="58" name="[Mecze].[Numer].&amp;[101]"/>
            <x15:cachedUniqueName index="59" name="[Mecze].[Numer].&amp;[102]"/>
            <x15:cachedUniqueName index="60" name="[Mecze].[Numer].&amp;[105]"/>
            <x15:cachedUniqueName index="61" name="[Mecze].[Numer].&amp;[106]"/>
            <x15:cachedUniqueName index="62" name="[Mecze].[Numer].&amp;[76]"/>
            <x15:cachedUniqueName index="63" name="[Mecze].[Numer].&amp;[104]"/>
            <x15:cachedUniqueName index="64" name="[Mecze].[Numer].&amp;[109]"/>
            <x15:cachedUniqueName index="65" name="[Mecze].[Numer].&amp;[110]"/>
            <x15:cachedUniqueName index="66" name="[Mecze].[Numer].&amp;[116]"/>
            <x15:cachedUniqueName index="67" name="[Mecze].[Numer].&amp;[150]"/>
            <x15:cachedUniqueName index="68" name="[Mecze].[Numer].&amp;[151]"/>
            <x15:cachedUniqueName index="69" name="[Mecze].[Numer].&amp;[153]"/>
            <x15:cachedUniqueName index="70" name="[Mecze].[Numer].&amp;[156]"/>
            <x15:cachedUniqueName index="71" name="[Mecze].[Numer].&amp;[157]"/>
            <x15:cachedUniqueName index="72" name="[Mecze].[Numer].&amp;[159]"/>
            <x15:cachedUniqueName index="73" name="[Mecze].[Numer].&amp;[161]"/>
            <x15:cachedUniqueName index="74" name="[Mecze].[Numer].&amp;[200]"/>
            <x15:cachedUniqueName index="75" name="[Mecze].[Numer].&amp;[201]"/>
            <x15:cachedUniqueName index="76" name="[Mecze].[Numer].&amp;[202]"/>
            <x15:cachedUniqueName index="77" name="[Mecze].[Numer].&amp;[203]"/>
            <x15:cachedUniqueName index="78" name="[Mecze].[Numer].&amp;[204]"/>
            <x15:cachedUniqueName index="79" name="[Mecze].[Numer].&amp;[208]"/>
            <x15:cachedUniqueName index="80" name="[Mecze].[Numer].&amp;[16]"/>
            <x15:cachedUniqueName index="81" name="[Mecze].[Numer].&amp;[23]"/>
            <x15:cachedUniqueName index="82" name="[Mecze].[Numer].&amp;[73]"/>
            <x15:cachedUniqueName index="83" name="[Mecze].[Numer].&amp;[74]"/>
          </x15:cachedUniqueNames>
        </ext>
      </extLst>
    </cacheField>
  </cacheFields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0" memberValueDatatype="130" unbalanced="0"/>
    <cacheHierarchy uniqueName="[Mecze].[Numer]" caption="Numer" attribute="1" defaultMemberUniqueName="[Mecze].[Numer].[All]" allUniqueName="[Mecze].[Numer].[All]" dimensionUniqueName="[Mecze]" displayFolder="" count="2" memberValueDatatype="20" unbalanced="0">
      <fieldsUsage count="2">
        <fieldUsage x="-1"/>
        <fieldUsage x="2"/>
      </fieldsUsage>
    </cacheHierarchy>
    <cacheHierarchy uniqueName="[Mecze].[Nazwa zawodnika]" caption="Nazwa zawodnika" attribute="1" defaultMemberUniqueName="[Mecze].[Nazwa zawodnika].[All]" allUniqueName="[Mecze].[Nazwa zawodnika].[All]" dimensionUniqueName="[Mecze]" displayFolder="" count="2" memberValueDatatype="130" unbalanced="0">
      <fieldsUsage count="2">
        <fieldUsage x="-1"/>
        <fieldUsage x="0"/>
      </fieldsUsage>
    </cacheHierarchy>
    <cacheHierarchy uniqueName="[Mecze].[Pozycja]" caption="Pozycja" attribute="1" defaultMemberUniqueName="[Mecze].[Pozycja].[All]" allUniqueName="[Mecze].[Pozycja].[All]" dimensionUniqueName="[Mecze]" displayFolder="" count="0" memberValueDatatype="130" unbalanced="0"/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0" memberValueDatatype="130" unbalanced="0"/>
    <cacheHierarchy uniqueName="[Mecze].[Mecz]" caption="Mecz" attribute="1" defaultMemberUniqueName="[Mecze].[Mecz].[All]" allUniqueName="[Mecze].[Mecz].[All]" dimensionUniqueName="[Mecze]" displayFolder="" count="0" memberValueDatatype="20" unbalanced="0"/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2" memberValueDatatype="20" unbalanced="0">
      <fieldsUsage count="2">
        <fieldUsage x="-1"/>
        <fieldUsage x="1"/>
      </fieldsUsage>
    </cacheHierarchy>
    <cacheHierarchy uniqueName="[Mecze].[Typ meczu]" caption="Typ meczu" attribute="1" defaultMemberUniqueName="[Mecze].[Typ meczu].[All]" allUniqueName="[Mecze].[Typ meczu].[All]" dimensionUniqueName="[Mecze]" displayFolder="" count="0" memberValueDatatype="130" unbalanced="0"/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0" memberValueDatatype="20" unbalanced="0"/>
    <cacheHierarchy uniqueName="[Meczusie].[RodzajMeczu]" caption="RodzajMeczu" attribute="1" defaultMemberUniqueName="[Meczusie].[RodzajMeczu].[All]" allUniqueName="[Meczusie].[RodzajMeczu].[All]" dimensionUniqueName="[Meczusie]" displayFolder="" count="0" memberValueDatatype="130" unbalanced="0"/>
    <cacheHierarchy uniqueName="[Meczusie].[DOM]" caption="DOM" attribute="1" defaultMemberUniqueName="[Meczusie].[DOM].[All]" allUniqueName="[Meczusie].[DOM].[All]" dimensionUniqueName="[Meczusie]" displayFolder="" count="0" memberValueDatatype="130" unbalanced="0"/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0" memberValueDatatype="130" unbalanced="0"/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0" memberValueDatatype="130" unbalanced="0"/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/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/>
    <cacheHierarchy uniqueName="[Measures].[GC]" caption="GC" measure="1" displayFolder="" measureGroup="Mecze" count="0"/>
    <cacheHierarchy uniqueName="[Measures].[% Strzałów]" caption="% Strzałów" measure="1" displayFolder="" measureGroup="Mecze" count="0"/>
    <cacheHierarchy uniqueName="[Measures].[% Podań]" caption="% Podań" measure="1" displayFolder="" measureGroup="Mecze" count="0"/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dimensions count="8">
    <dimension name="Kalendarz" uniqueName="[Kalendarz]" caption="Kalendarz"/>
    <dimension name="Klubiki" uniqueName="[Klubiki]" caption="Klubiki"/>
    <dimension measure="1" name="Measures" uniqueName="[Measures]" caption="Measures"/>
    <dimension name="Mecze" uniqueName="[Mecze]" caption="Mecze"/>
    <dimension name="Meczusie" uniqueName="[Meczusie]" caption="Meczusie"/>
    <dimension name="Radar" uniqueName="[Radar]" caption="Radar"/>
    <dimension name="Zawodnicy" uniqueName="[Zawodnicy]" caption="Zawodnicy"/>
    <dimension name="ZawodnicyLiga" uniqueName="[ZawodnicyLiga]" caption="ZawodnicyLiga"/>
  </dimensions>
  <measureGroups count="7">
    <measureGroup name="Kalendarz" caption="Kalendarz"/>
    <measureGroup name="Klubiki" caption="Klubiki"/>
    <measureGroup name="Mecze" caption="Mecze"/>
    <measureGroup name="Meczusie" caption="Meczusie"/>
    <measureGroup name="Radar" caption="Radar"/>
    <measureGroup name="Zawodnicy" caption="Zawodnicy"/>
    <measureGroup name="ZawodnicyLiga" caption="ZawodnicyLiga"/>
  </measureGroups>
  <maps count="11">
    <map measureGroup="0" dimension="0"/>
    <map measureGroup="1" dimension="1"/>
    <map measureGroup="2" dimension="1"/>
    <map measureGroup="2" dimension="3"/>
    <map measureGroup="2" dimension="4"/>
    <map measureGroup="3" dimension="4"/>
    <map measureGroup="4" dimension="5"/>
    <map measureGroup="4" dimension="6"/>
    <map measureGroup="5" dimension="6"/>
    <map measureGroup="6" dimension="1"/>
    <map measureGroup="6" dimension="7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" refreshedDate="44115.848542129628" backgroundQuery="1" createdVersion="3" refreshedVersion="6" minRefreshableVersion="3" recordCount="0" supportSubquery="1" supportAdvancedDrill="1" xr:uid="{295AB5CD-D17A-4D38-AA4F-FEC2CEBEA890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0" memberValueDatatype="130" unbalanced="0"/>
    <cacheHierarchy uniqueName="[Mecze].[Numer]" caption="Numer" attribute="1" defaultMemberUniqueName="[Mecze].[Numer].[All]" allUniqueName="[Mecze].[Numer].[All]" dimensionUniqueName="[Mecze]" displayFolder="" count="0" memberValueDatatype="20" unbalanced="0"/>
    <cacheHierarchy uniqueName="[Mecze].[Nazwa zawodnika]" caption="Nazwa zawodnika" attribute="1" defaultMemberUniqueName="[Mecze].[Nazwa zawodnika].[All]" allUniqueName="[Mecze].[Nazwa zawodnika].[All]" dimensionUniqueName="[Mecze]" displayFolder="" count="0" memberValueDatatype="130" unbalanced="0"/>
    <cacheHierarchy uniqueName="[Mecze].[Pozycja]" caption="Pozycja" attribute="1" defaultMemberUniqueName="[Mecze].[Pozycja].[All]" allUniqueName="[Mecze].[Pozycja].[All]" dimensionUniqueName="[Mecze]" displayFolder="" count="0" memberValueDatatype="130" unbalanced="0"/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2" memberValueDatatype="130" unbalanced="0"/>
    <cacheHierarchy uniqueName="[Mecze].[Mecz]" caption="Mecz" attribute="1" defaultMemberUniqueName="[Mecze].[Mecz].[All]" allUniqueName="[Mecze].[Mecz].[All]" dimensionUniqueName="[Mecze]" displayFolder="" count="0" memberValueDatatype="20" unbalanced="0"/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0" memberValueDatatype="20" unbalanced="0"/>
    <cacheHierarchy uniqueName="[Mecze].[Typ meczu]" caption="Typ meczu" attribute="1" defaultMemberUniqueName="[Mecze].[Typ meczu].[All]" allUniqueName="[Mecze].[Typ meczu].[All]" dimensionUniqueName="[Mecze]" displayFolder="" count="2" memberValueDatatype="130" unbalanced="0"/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0" memberValueDatatype="20" unbalanced="0"/>
    <cacheHierarchy uniqueName="[Meczusie].[RodzajMeczu]" caption="RodzajMeczu" attribute="1" defaultMemberUniqueName="[Meczusie].[RodzajMeczu].[All]" allUniqueName="[Meczusie].[RodzajMeczu].[All]" dimensionUniqueName="[Meczusie]" displayFolder="" count="0" memberValueDatatype="130" unbalanced="0"/>
    <cacheHierarchy uniqueName="[Meczusie].[DOM]" caption="DOM" attribute="1" defaultMemberUniqueName="[Meczusie].[DOM].[All]" allUniqueName="[Meczusie].[DOM].[All]" dimensionUniqueName="[Meczusie]" displayFolder="" count="0" memberValueDatatype="130" unbalanced="0"/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0" memberValueDatatype="130" unbalanced="0"/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0" memberValueDatatype="130" unbalanced="0"/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/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/>
    <cacheHierarchy uniqueName="[Measures].[GC]" caption="GC" measure="1" displayFolder="" measureGroup="Mecze" count="0"/>
    <cacheHierarchy uniqueName="[Measures].[% Strzałów]" caption="% Strzałów" measure="1" displayFolder="" measureGroup="Mecze" count="0"/>
    <cacheHierarchy uniqueName="[Measures].[% Podań]" caption="% Podań" measure="1" displayFolder="" measureGroup="Mecze" count="0"/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107643604"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" refreshedDate="44115.848555324075" backgroundQuery="1" createdVersion="3" refreshedVersion="6" minRefreshableVersion="3" recordCount="0" supportSubquery="1" supportAdvancedDrill="1" xr:uid="{1F426A02-05B1-4203-8790-2512D020BF2A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2" memberValueDatatype="130" unbalanced="0"/>
    <cacheHierarchy uniqueName="[Mecze].[Numer]" caption="Numer" attribute="1" defaultMemberUniqueName="[Mecze].[Numer].[All]" allUniqueName="[Mecze].[Numer].[All]" dimensionUniqueName="[Mecze]" displayFolder="" count="0" memberValueDatatype="20" unbalanced="0"/>
    <cacheHierarchy uniqueName="[Mecze].[Nazwa zawodnika]" caption="Nazwa zawodnika" attribute="1" defaultMemberUniqueName="[Mecze].[Nazwa zawodnika].[All]" allUniqueName="[Mecze].[Nazwa zawodnika].[All]" dimensionUniqueName="[Mecze]" displayFolder="" count="0" memberValueDatatype="130" unbalanced="0"/>
    <cacheHierarchy uniqueName="[Mecze].[Pozycja]" caption="Pozycja" attribute="1" defaultMemberUniqueName="[Mecze].[Pozycja].[All]" allUniqueName="[Mecze].[Pozycja].[All]" dimensionUniqueName="[Mecze]" displayFolder="" count="0" memberValueDatatype="130" unbalanced="0"/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0" memberValueDatatype="130" unbalanced="0"/>
    <cacheHierarchy uniqueName="[Mecze].[Mecz]" caption="Mecz" attribute="1" defaultMemberUniqueName="[Mecze].[Mecz].[All]" allUniqueName="[Mecze].[Mecz].[All]" dimensionUniqueName="[Mecze]" displayFolder="" count="0" memberValueDatatype="20" unbalanced="0"/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0" memberValueDatatype="20" unbalanced="0"/>
    <cacheHierarchy uniqueName="[Mecze].[Typ meczu]" caption="Typ meczu" attribute="1" defaultMemberUniqueName="[Mecze].[Typ meczu].[All]" allUniqueName="[Mecze].[Typ meczu].[All]" dimensionUniqueName="[Mecze]" displayFolder="" count="0" memberValueDatatype="130" unbalanced="0"/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0" memberValueDatatype="20" unbalanced="0"/>
    <cacheHierarchy uniqueName="[Meczusie].[RodzajMeczu]" caption="RodzajMeczu" attribute="1" defaultMemberUniqueName="[Meczusie].[RodzajMeczu].[All]" allUniqueName="[Meczusie].[RodzajMeczu].[All]" dimensionUniqueName="[Meczusie]" displayFolder="" count="2" memberValueDatatype="130" unbalanced="0"/>
    <cacheHierarchy uniqueName="[Meczusie].[DOM]" caption="DOM" attribute="1" defaultMemberUniqueName="[Meczusie].[DOM].[All]" allUniqueName="[Meczusie].[DOM].[All]" dimensionUniqueName="[Meczusie]" displayFolder="" count="0" memberValueDatatype="130" unbalanced="0"/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0" memberValueDatatype="130" unbalanced="0"/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0" memberValueDatatype="130" unbalanced="0"/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/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/>
    <cacheHierarchy uniqueName="[Measures].[GC]" caption="GC" measure="1" displayFolder="" measureGroup="Mecze" count="0"/>
    <cacheHierarchy uniqueName="[Measures].[% Strzałów]" caption="% Strzałów" measure="1" displayFolder="" measureGroup="Mecze" count="0"/>
    <cacheHierarchy uniqueName="[Measures].[% Podań]" caption="% Podań" measure="1" displayFolder="" measureGroup="Mecze" count="0"/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235801891"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" refreshedDate="44115.848566319444" backgroundQuery="1" createdVersion="3" refreshedVersion="6" minRefreshableVersion="3" recordCount="0" supportSubquery="1" supportAdvancedDrill="1" xr:uid="{9ECE3DAA-6633-470B-BA6B-D14B5C23E28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2" memberValueDatatype="130" unbalanced="0"/>
    <cacheHierarchy uniqueName="[Mecze].[Numer]" caption="Numer" attribute="1" defaultMemberUniqueName="[Mecze].[Numer].[All]" allUniqueName="[Mecze].[Numer].[All]" dimensionUniqueName="[Mecze]" displayFolder="" count="0" memberValueDatatype="20" unbalanced="0"/>
    <cacheHierarchy uniqueName="[Mecze].[Nazwa zawodnika]" caption="Nazwa zawodnika" attribute="1" defaultMemberUniqueName="[Mecze].[Nazwa zawodnika].[All]" allUniqueName="[Mecze].[Nazwa zawodnika].[All]" dimensionUniqueName="[Mecze]" displayFolder="" count="2" memberValueDatatype="130" unbalanced="0"/>
    <cacheHierarchy uniqueName="[Mecze].[Pozycja]" caption="Pozycja" attribute="1" defaultMemberUniqueName="[Mecze].[Pozycja].[All]" allUniqueName="[Mecze].[Pozycja].[All]" dimensionUniqueName="[Mecze]" displayFolder="" count="0" memberValueDatatype="130" unbalanced="0"/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0" memberValueDatatype="130" unbalanced="0"/>
    <cacheHierarchy uniqueName="[Mecze].[Mecz]" caption="Mecz" attribute="1" defaultMemberUniqueName="[Mecze].[Mecz].[All]" allUniqueName="[Mecze].[Mecz].[All]" dimensionUniqueName="[Mecze]" displayFolder="" count="0" memberValueDatatype="20" unbalanced="0"/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0" memberValueDatatype="20" unbalanced="0"/>
    <cacheHierarchy uniqueName="[Mecze].[Typ meczu]" caption="Typ meczu" attribute="1" defaultMemberUniqueName="[Mecze].[Typ meczu].[All]" allUniqueName="[Mecze].[Typ meczu].[All]" dimensionUniqueName="[Mecze]" displayFolder="" count="0" memberValueDatatype="130" unbalanced="0"/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2" memberValueDatatype="20" unbalanced="0"/>
    <cacheHierarchy uniqueName="[Meczusie].[RodzajMeczu]" caption="RodzajMeczu" attribute="1" defaultMemberUniqueName="[Meczusie].[RodzajMeczu].[All]" allUniqueName="[Meczusie].[RodzajMeczu].[All]" dimensionUniqueName="[Meczusie]" displayFolder="" count="2" memberValueDatatype="130" unbalanced="0"/>
    <cacheHierarchy uniqueName="[Meczusie].[DOM]" caption="DOM" attribute="1" defaultMemberUniqueName="[Meczusie].[DOM].[All]" allUniqueName="[Meczusie].[DOM].[All]" dimensionUniqueName="[Meczusie]" displayFolder="" count="0" memberValueDatatype="130" unbalanced="0"/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0" memberValueDatatype="130" unbalanced="0"/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0" memberValueDatatype="130" unbalanced="0"/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/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/>
    <cacheHierarchy uniqueName="[Measures].[GC]" caption="GC" measure="1" displayFolder="" measureGroup="Mecze" count="0"/>
    <cacheHierarchy uniqueName="[Measures].[% Strzałów]" caption="% Strzałów" measure="1" displayFolder="" measureGroup="Mecze" count="0"/>
    <cacheHierarchy uniqueName="[Measures].[% Podań]" caption="% Podań" measure="1" displayFolder="" measureGroup="Mecze" count="0"/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653685090"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" refreshedDate="44115.848592361108" backgroundQuery="1" createdVersion="3" refreshedVersion="6" minRefreshableVersion="3" recordCount="0" supportSubquery="1" supportAdvancedDrill="1" xr:uid="{94A30BB2-D1D7-4FAF-BDB2-D9597E3FBB9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2" memberValueDatatype="130" unbalanced="0"/>
    <cacheHierarchy uniqueName="[Mecze].[Numer]" caption="Numer" attribute="1" defaultMemberUniqueName="[Mecze].[Numer].[All]" allUniqueName="[Mecze].[Numer].[All]" dimensionUniqueName="[Mecze]" displayFolder="" count="0" memberValueDatatype="20" unbalanced="0"/>
    <cacheHierarchy uniqueName="[Mecze].[Nazwa zawodnika]" caption="Nazwa zawodnika" attribute="1" defaultMemberUniqueName="[Mecze].[Nazwa zawodnika].[All]" allUniqueName="[Mecze].[Nazwa zawodnika].[All]" dimensionUniqueName="[Mecze]" displayFolder="" count="0" memberValueDatatype="130" unbalanced="0"/>
    <cacheHierarchy uniqueName="[Mecze].[Pozycja]" caption="Pozycja" attribute="1" defaultMemberUniqueName="[Mecze].[Pozycja].[All]" allUniqueName="[Mecze].[Pozycja].[All]" dimensionUniqueName="[Mecze]" displayFolder="" count="0" memberValueDatatype="130" unbalanced="0"/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0" memberValueDatatype="130" unbalanced="0"/>
    <cacheHierarchy uniqueName="[Mecze].[Mecz]" caption="Mecz" attribute="1" defaultMemberUniqueName="[Mecze].[Mecz].[All]" allUniqueName="[Mecze].[Mecz].[All]" dimensionUniqueName="[Mecze]" displayFolder="" count="0" memberValueDatatype="20" unbalanced="0"/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0" memberValueDatatype="20" unbalanced="0"/>
    <cacheHierarchy uniqueName="[Mecze].[Typ meczu]" caption="Typ meczu" attribute="1" defaultMemberUniqueName="[Mecze].[Typ meczu].[All]" allUniqueName="[Mecze].[Typ meczu].[All]" dimensionUniqueName="[Mecze]" displayFolder="" count="0" memberValueDatatype="130" unbalanced="0"/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0" memberValueDatatype="20" unbalanced="0"/>
    <cacheHierarchy uniqueName="[Meczusie].[RodzajMeczu]" caption="RodzajMeczu" attribute="1" defaultMemberUniqueName="[Meczusie].[RodzajMeczu].[All]" allUniqueName="[Meczusie].[RodzajMeczu].[All]" dimensionUniqueName="[Meczusie]" displayFolder="" count="2" memberValueDatatype="130" unbalanced="0"/>
    <cacheHierarchy uniqueName="[Meczusie].[DOM]" caption="DOM" attribute="1" defaultMemberUniqueName="[Meczusie].[DOM].[All]" allUniqueName="[Meczusie].[DOM].[All]" dimensionUniqueName="[Meczusie]" displayFolder="" count="0" memberValueDatatype="130" unbalanced="0"/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0" memberValueDatatype="130" unbalanced="0"/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0" memberValueDatatype="130" unbalanced="0"/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/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/>
    <cacheHierarchy uniqueName="[Measures].[GC]" caption="GC" measure="1" displayFolder="" measureGroup="Mecze" count="0"/>
    <cacheHierarchy uniqueName="[Measures].[% Strzałów]" caption="% Strzałów" measure="1" displayFolder="" measureGroup="Mecze" count="0"/>
    <cacheHierarchy uniqueName="[Measures].[% Podań]" caption="% Podań" measure="1" displayFolder="" measureGroup="Mecze" count="0"/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extLst>
    <ext xmlns:x14="http://schemas.microsoft.com/office/spreadsheetml/2009/9/main" uri="{725AE2AE-9491-48be-B2B4-4EB974FC3084}">
      <x14:pivotCacheDefinition slicerData="1" pivotCacheId="367824193"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 Gulaj" refreshedDate="45371.970010532408" backgroundQuery="1" createdVersion="6" refreshedVersion="8" minRefreshableVersion="3" recordCount="0" supportSubquery="1" supportAdvancedDrill="1" xr:uid="{C611D971-B257-42AC-8008-A3106136C9B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6">
    <cacheField name="[Measures].[Średnia Ocena]" caption="Średnia Ocena" numFmtId="0" hierarchy="121" level="32767"/>
    <cacheField name="[Meczusie].[Mecz].[Mecz]" caption="Mecz" numFmtId="0" hierarchy="46" level="1">
      <sharedItems containsSemiMixedTypes="0" containsString="0" containsNumber="1" containsInteger="1" minValue="7" maxValue="198" count="22">
        <n v="7"/>
        <n v="17"/>
        <n v="24"/>
        <n v="35"/>
        <n v="40"/>
        <n v="51"/>
        <n v="60"/>
        <n v="67"/>
        <n v="75"/>
        <n v="84"/>
        <n v="91"/>
        <n v="103"/>
        <n v="112"/>
        <n v="123"/>
        <n v="131"/>
        <n v="140"/>
        <n v="147"/>
        <n v="155"/>
        <n v="170"/>
        <n v="175"/>
        <n v="186"/>
        <n v="198"/>
      </sharedItems>
      <extLst>
        <ext xmlns:x15="http://schemas.microsoft.com/office/spreadsheetml/2010/11/main" uri="{4F2E5C28-24EA-4eb8-9CBF-B6C8F9C3D259}">
          <x15:cachedUniqueNames>
            <x15:cachedUniqueName index="0" name="[Meczusie].[Mecz].&amp;[7]"/>
            <x15:cachedUniqueName index="1" name="[Meczusie].[Mecz].&amp;[17]"/>
            <x15:cachedUniqueName index="2" name="[Meczusie].[Mecz].&amp;[24]"/>
            <x15:cachedUniqueName index="3" name="[Meczusie].[Mecz].&amp;[35]"/>
            <x15:cachedUniqueName index="4" name="[Meczusie].[Mecz].&amp;[40]"/>
            <x15:cachedUniqueName index="5" name="[Meczusie].[Mecz].&amp;[51]"/>
            <x15:cachedUniqueName index="6" name="[Meczusie].[Mecz].&amp;[60]"/>
            <x15:cachedUniqueName index="7" name="[Meczusie].[Mecz].&amp;[67]"/>
            <x15:cachedUniqueName index="8" name="[Meczusie].[Mecz].&amp;[75]"/>
            <x15:cachedUniqueName index="9" name="[Meczusie].[Mecz].&amp;[84]"/>
            <x15:cachedUniqueName index="10" name="[Meczusie].[Mecz].&amp;[91]"/>
            <x15:cachedUniqueName index="11" name="[Meczusie].[Mecz].&amp;[103]"/>
            <x15:cachedUniqueName index="12" name="[Meczusie].[Mecz].&amp;[112]"/>
            <x15:cachedUniqueName index="13" name="[Meczusie].[Mecz].&amp;[123]"/>
            <x15:cachedUniqueName index="14" name="[Meczusie].[Mecz].&amp;[131]"/>
            <x15:cachedUniqueName index="15" name="[Meczusie].[Mecz].&amp;[140]"/>
            <x15:cachedUniqueName index="16" name="[Meczusie].[Mecz].&amp;[147]"/>
            <x15:cachedUniqueName index="17" name="[Meczusie].[Mecz].&amp;[155]"/>
            <x15:cachedUniqueName index="18" name="[Meczusie].[Mecz].&amp;[170]"/>
            <x15:cachedUniqueName index="19" name="[Meczusie].[Mecz].&amp;[175]"/>
            <x15:cachedUniqueName index="20" name="[Meczusie].[Mecz].&amp;[186]"/>
            <x15:cachedUniqueName index="21" name="[Meczusie].[Mecz].&amp;[198]"/>
          </x15:cachedUniqueNames>
        </ext>
      </extLst>
    </cacheField>
    <cacheField name="[Meczusie].[RodzajMeczu].[RodzajMeczu]" caption="RodzajMeczu" numFmtId="0" hierarchy="47" level="1">
      <sharedItems containsSemiMixedTypes="0" containsNonDate="0" containsString="0"/>
    </cacheField>
    <cacheField name="[Klubiki].[Nazwa].[Nazwa]" caption="Nazwa" numFmtId="0" hierarchy="7" level="1">
      <sharedItems containsSemiMixedTypes="0" containsNonDate="0" containsString="0"/>
    </cacheField>
    <cacheField name="[Meczusie].[DOM].[DOM]" caption="DOM" numFmtId="0" hierarchy="48" level="1">
      <sharedItems count="12">
        <s v="Stasin SA"/>
        <s v="Agresor Team"/>
        <s v="Love me Im famous!"/>
        <s v="Diabolic Team"/>
        <s v="Nowielice"/>
        <s v="DRAGON GARWOLIN"/>
        <s v="FC MARKUS"/>
        <s v="Varsovia"/>
        <s v="WEZE vv KAPUSCIE II"/>
        <s v="Manchester United F.C."/>
        <s v="BOSS-cy Jasło"/>
        <s v="Goral Zywiec"/>
      </sharedItems>
    </cacheField>
    <cacheField name="[Meczusie].[WYJAZD].[WYJAZD]" caption="WYJAZD" numFmtId="0" hierarchy="51" level="1">
      <sharedItems count="12">
        <s v="Agresor Team"/>
        <s v="Goral Zywiec"/>
        <s v="BOSS-cy Jasło"/>
        <s v="Manchester United F.C."/>
        <s v="WEZE vv KAPUSCIE II"/>
        <s v="Varsovia"/>
        <s v="FC MARKUS"/>
        <s v="DRAGON GARWOLIN"/>
        <s v="Nowielice"/>
        <s v="Diabolic Team"/>
        <s v="Love me Im famous!"/>
        <s v="Stasin SA"/>
      </sharedItems>
    </cacheField>
  </cacheFields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2" memberValueDatatype="130" unbalanced="0">
      <fieldsUsage count="2">
        <fieldUsage x="-1"/>
        <fieldUsage x="3"/>
      </fieldsUsage>
    </cacheHierarchy>
    <cacheHierarchy uniqueName="[Mecze].[Numer]" caption="Numer" attribute="1" defaultMemberUniqueName="[Mecze].[Numer].[All]" allUniqueName="[Mecze].[Numer].[All]" dimensionUniqueName="[Mecze]" displayFolder="" count="0" memberValueDatatype="20" unbalanced="0"/>
    <cacheHierarchy uniqueName="[Mecze].[Nazwa zawodnika]" caption="Nazwa zawodnika" attribute="1" defaultMemberUniqueName="[Mecze].[Nazwa zawodnika].[All]" allUniqueName="[Mecze].[Nazwa zawodnika].[All]" dimensionUniqueName="[Mecze]" displayFolder="" count="0" memberValueDatatype="130" unbalanced="0"/>
    <cacheHierarchy uniqueName="[Mecze].[Pozycja]" caption="Pozycja" attribute="1" defaultMemberUniqueName="[Mecze].[Pozycja].[All]" allUniqueName="[Mecze].[Pozycja].[All]" dimensionUniqueName="[Mecze]" displayFolder="" count="0" memberValueDatatype="130" unbalanced="0"/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0" memberValueDatatype="130" unbalanced="0"/>
    <cacheHierarchy uniqueName="[Mecze].[Mecz]" caption="Mecz" attribute="1" defaultMemberUniqueName="[Mecze].[Mecz].[All]" allUniqueName="[Mecze].[Mecz].[All]" dimensionUniqueName="[Mecze]" displayFolder="" count="0" memberValueDatatype="20" unbalanced="0"/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0" memberValueDatatype="20" unbalanced="0"/>
    <cacheHierarchy uniqueName="[Mecze].[Typ meczu]" caption="Typ meczu" attribute="1" defaultMemberUniqueName="[Mecze].[Typ meczu].[All]" allUniqueName="[Mecze].[Typ meczu].[All]" dimensionUniqueName="[Mecze]" displayFolder="" count="0" memberValueDatatype="130" unbalanced="0"/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2" memberValueDatatype="20" unbalanced="0">
      <fieldsUsage count="2">
        <fieldUsage x="-1"/>
        <fieldUsage x="1"/>
      </fieldsUsage>
    </cacheHierarchy>
    <cacheHierarchy uniqueName="[Meczusie].[RodzajMeczu]" caption="RodzajMeczu" attribute="1" defaultMemberUniqueName="[Meczusie].[RodzajMeczu].[All]" allUniqueName="[Meczusie].[RodzajMeczu].[All]" dimensionUniqueName="[Meczusie]" displayFolder="" count="2" memberValueDatatype="130" unbalanced="0">
      <fieldsUsage count="2">
        <fieldUsage x="-1"/>
        <fieldUsage x="2"/>
      </fieldsUsage>
    </cacheHierarchy>
    <cacheHierarchy uniqueName="[Meczusie].[DOM]" caption="DOM" attribute="1" defaultMemberUniqueName="[Meczusie].[DOM].[All]" allUniqueName="[Meczusie].[DOM].[All]" dimensionUniqueName="[Meczusie]" displayFolder="" count="2" memberValueDatatype="130" unbalanced="0">
      <fieldsUsage count="2">
        <fieldUsage x="-1"/>
        <fieldUsage x="4"/>
      </fieldsUsage>
    </cacheHierarchy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2" memberValueDatatype="130" unbalanced="0">
      <fieldsUsage count="2">
        <fieldUsage x="-1"/>
        <fieldUsage x="5"/>
      </fieldsUsage>
    </cacheHierarchy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0" memberValueDatatype="130" unbalanced="0"/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/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/>
    <cacheHierarchy uniqueName="[Measures].[GC]" caption="GC" measure="1" displayFolder="" measureGroup="Mecze" count="0"/>
    <cacheHierarchy uniqueName="[Measures].[% Strzałów]" caption="% Strzałów" measure="1" displayFolder="" measureGroup="Mecze" count="0"/>
    <cacheHierarchy uniqueName="[Measures].[% Podań]" caption="% Podań" measure="1" displayFolder="" measureGroup="Mecze" count="0"/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dimensions count="8">
    <dimension name="Kalendarz" uniqueName="[Kalendarz]" caption="Kalendarz"/>
    <dimension name="Klubiki" uniqueName="[Klubiki]" caption="Klubiki"/>
    <dimension measure="1" name="Measures" uniqueName="[Measures]" caption="Measures"/>
    <dimension name="Mecze" uniqueName="[Mecze]" caption="Mecze"/>
    <dimension name="Meczusie" uniqueName="[Meczusie]" caption="Meczusie"/>
    <dimension name="Radar" uniqueName="[Radar]" caption="Radar"/>
    <dimension name="Zawodnicy" uniqueName="[Zawodnicy]" caption="Zawodnicy"/>
    <dimension name="ZawodnicyLiga" uniqueName="[ZawodnicyLiga]" caption="ZawodnicyLiga"/>
  </dimensions>
  <measureGroups count="7">
    <measureGroup name="Kalendarz" caption="Kalendarz"/>
    <measureGroup name="Klubiki" caption="Klubiki"/>
    <measureGroup name="Mecze" caption="Mecze"/>
    <measureGroup name="Meczusie" caption="Meczusie"/>
    <measureGroup name="Radar" caption="Radar"/>
    <measureGroup name="Zawodnicy" caption="Zawodnicy"/>
    <measureGroup name="ZawodnicyLiga" caption="ZawodnicyLiga"/>
  </measureGroups>
  <maps count="11">
    <map measureGroup="0" dimension="0"/>
    <map measureGroup="1" dimension="1"/>
    <map measureGroup="2" dimension="1"/>
    <map measureGroup="2" dimension="3"/>
    <map measureGroup="2" dimension="4"/>
    <map measureGroup="3" dimension="4"/>
    <map measureGroup="4" dimension="5"/>
    <map measureGroup="4" dimension="6"/>
    <map measureGroup="5" dimension="6"/>
    <map measureGroup="6" dimension="1"/>
    <map measureGroup="6" dimension="7"/>
  </maps>
  <extLst>
    <ext xmlns:x14="http://schemas.microsoft.com/office/spreadsheetml/2009/9/main" uri="{725AE2AE-9491-48be-B2B4-4EB974FC3084}">
      <x14:pivotCacheDefinition pivotCacheId="113911138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 Gulaj" refreshedDate="45371.970013078702" backgroundQuery="1" createdVersion="6" refreshedVersion="8" minRefreshableVersion="3" recordCount="0" supportSubquery="1" supportAdvancedDrill="1" xr:uid="{D5B49528-93F6-4DF1-8EE1-64788799233B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5">
    <cacheField name="[Meczusie].[RodzajMeczu].[RodzajMeczu]" caption="RodzajMeczu" numFmtId="0" hierarchy="47" level="1">
      <sharedItems containsSemiMixedTypes="0" containsNonDate="0" containsString="0"/>
    </cacheField>
    <cacheField name="[Mecze].[Pozycja].[Pozycja]" caption="Pozycja" numFmtId="0" hierarchy="10" level="1">
      <sharedItems count="4">
        <s v="Br"/>
        <s v="Nap"/>
        <s v="Obr"/>
        <s v="Pom"/>
      </sharedItems>
    </cacheField>
    <cacheField name="[Mecze].[Rola].[Rola]" caption="Rola" numFmtId="0" hierarchy="37" level="1">
      <sharedItems count="11">
        <s v="BR"/>
        <s v="LN"/>
        <s v="PN"/>
        <s v="PS"/>
        <s v="ST"/>
        <s v="LO"/>
        <s v="PO"/>
        <s v="SO"/>
        <s v="DP"/>
        <s v="OP"/>
        <s v="PSP"/>
      </sharedItems>
    </cacheField>
    <cacheField name="[Measures].[Średnia Ocena]" caption="Średnia Ocena" numFmtId="0" hierarchy="121" level="32767"/>
    <cacheField name="[Klubiki].[Nazwa].[Nazwa]" caption="Nazwa" numFmtId="0" hierarchy="7" level="1">
      <sharedItems containsSemiMixedTypes="0" containsNonDate="0" containsString="0"/>
    </cacheField>
  </cacheFields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2" memberValueDatatype="130" unbalanced="0">
      <fieldsUsage count="2">
        <fieldUsage x="-1"/>
        <fieldUsage x="4"/>
      </fieldsUsage>
    </cacheHierarchy>
    <cacheHierarchy uniqueName="[Mecze].[Numer]" caption="Numer" attribute="1" defaultMemberUniqueName="[Mecze].[Numer].[All]" allUniqueName="[Mecze].[Numer].[All]" dimensionUniqueName="[Mecze]" displayFolder="" count="0" memberValueDatatype="20" unbalanced="0"/>
    <cacheHierarchy uniqueName="[Mecze].[Nazwa zawodnika]" caption="Nazwa zawodnika" attribute="1" defaultMemberUniqueName="[Mecze].[Nazwa zawodnika].[All]" allUniqueName="[Mecze].[Nazwa zawodnika].[All]" dimensionUniqueName="[Mecze]" displayFolder="" count="0" memberValueDatatype="130" unbalanced="0"/>
    <cacheHierarchy uniqueName="[Mecze].[Pozycja]" caption="Pozycja" attribute="1" defaultMemberUniqueName="[Mecze].[Pozycja].[All]" allUniqueName="[Mecze].[Pozycja].[All]" dimensionUniqueName="[Mecze]" displayFolder="" count="2" memberValueDatatype="130" unbalanced="0">
      <fieldsUsage count="2">
        <fieldUsage x="-1"/>
        <fieldUsage x="1"/>
      </fieldsUsage>
    </cacheHierarchy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2" memberValueDatatype="130" unbalanced="0">
      <fieldsUsage count="2">
        <fieldUsage x="-1"/>
        <fieldUsage x="2"/>
      </fieldsUsage>
    </cacheHierarchy>
    <cacheHierarchy uniqueName="[Mecze].[Mecz]" caption="Mecz" attribute="1" defaultMemberUniqueName="[Mecze].[Mecz].[All]" allUniqueName="[Mecze].[Mecz].[All]" dimensionUniqueName="[Mecze]" displayFolder="" count="0" memberValueDatatype="20" unbalanced="0"/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0" memberValueDatatype="20" unbalanced="0"/>
    <cacheHierarchy uniqueName="[Mecze].[Typ meczu]" caption="Typ meczu" attribute="1" defaultMemberUniqueName="[Mecze].[Typ meczu].[All]" allUniqueName="[Mecze].[Typ meczu].[All]" dimensionUniqueName="[Mecze]" displayFolder="" count="0" memberValueDatatype="130" unbalanced="0"/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0" memberValueDatatype="20" unbalanced="0"/>
    <cacheHierarchy uniqueName="[Meczusie].[RodzajMeczu]" caption="RodzajMeczu" attribute="1" defaultMemberUniqueName="[Meczusie].[RodzajMeczu].[All]" allUniqueName="[Meczusie].[RodzajMeczu].[All]" dimensionUniqueName="[Meczusie]" displayFolder="" count="2" memberValueDatatype="130" unbalanced="0">
      <fieldsUsage count="2">
        <fieldUsage x="-1"/>
        <fieldUsage x="0"/>
      </fieldsUsage>
    </cacheHierarchy>
    <cacheHierarchy uniqueName="[Meczusie].[DOM]" caption="DOM" attribute="1" defaultMemberUniqueName="[Meczusie].[DOM].[All]" allUniqueName="[Meczusie].[DOM].[All]" dimensionUniqueName="[Meczusie]" displayFolder="" count="0" memberValueDatatype="130" unbalanced="0"/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0" memberValueDatatype="130" unbalanced="0"/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0" memberValueDatatype="130" unbalanced="0"/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/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/>
    <cacheHierarchy uniqueName="[Measures].[GC]" caption="GC" measure="1" displayFolder="" measureGroup="Mecze" count="0"/>
    <cacheHierarchy uniqueName="[Measures].[% Strzałów]" caption="% Strzałów" measure="1" displayFolder="" measureGroup="Mecze" count="0"/>
    <cacheHierarchy uniqueName="[Measures].[% Podań]" caption="% Podań" measure="1" displayFolder="" measureGroup="Mecze" count="0"/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dimensions count="8">
    <dimension name="Kalendarz" uniqueName="[Kalendarz]" caption="Kalendarz"/>
    <dimension name="Klubiki" uniqueName="[Klubiki]" caption="Klubiki"/>
    <dimension measure="1" name="Measures" uniqueName="[Measures]" caption="Measures"/>
    <dimension name="Mecze" uniqueName="[Mecze]" caption="Mecze"/>
    <dimension name="Meczusie" uniqueName="[Meczusie]" caption="Meczusie"/>
    <dimension name="Radar" uniqueName="[Radar]" caption="Radar"/>
    <dimension name="Zawodnicy" uniqueName="[Zawodnicy]" caption="Zawodnicy"/>
    <dimension name="ZawodnicyLiga" uniqueName="[ZawodnicyLiga]" caption="ZawodnicyLiga"/>
  </dimensions>
  <measureGroups count="7">
    <measureGroup name="Kalendarz" caption="Kalendarz"/>
    <measureGroup name="Klubiki" caption="Klubiki"/>
    <measureGroup name="Mecze" caption="Mecze"/>
    <measureGroup name="Meczusie" caption="Meczusie"/>
    <measureGroup name="Radar" caption="Radar"/>
    <measureGroup name="Zawodnicy" caption="Zawodnicy"/>
    <measureGroup name="ZawodnicyLiga" caption="ZawodnicyLiga"/>
  </measureGroups>
  <maps count="11">
    <map measureGroup="0" dimension="0"/>
    <map measureGroup="1" dimension="1"/>
    <map measureGroup="2" dimension="1"/>
    <map measureGroup="2" dimension="3"/>
    <map measureGroup="2" dimension="4"/>
    <map measureGroup="3" dimension="4"/>
    <map measureGroup="4" dimension="5"/>
    <map measureGroup="4" dimension="6"/>
    <map measureGroup="5" dimension="6"/>
    <map measureGroup="6" dimension="1"/>
    <map measureGroup="6" dimension="7"/>
  </maps>
  <extLst>
    <ext xmlns:x14="http://schemas.microsoft.com/office/spreadsheetml/2009/9/main" uri="{725AE2AE-9491-48be-B2B4-4EB974FC3084}">
      <x14:pivotCacheDefinition pivotCacheId="16311528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 Gulaj" refreshedDate="45371.978491782407" backgroundQuery="1" createdVersion="6" refreshedVersion="8" minRefreshableVersion="3" recordCount="0" supportSubquery="1" supportAdvancedDrill="1" xr:uid="{6A13237F-49AE-4333-A764-2613FFA9B742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lubiki].[Nazwa].[Nazwa]" caption="Nazwa" numFmtId="0" hierarchy="7" level="1">
      <sharedItems count="11">
        <s v="Agresor Team"/>
        <s v="BOSS-cy Jasło"/>
        <s v="Diabolic Team"/>
        <s v="DRAGON GARWOLIN"/>
        <s v="FC MARKUS"/>
        <s v="Goral Zywiec"/>
        <s v="Love me Im famous!"/>
        <s v="Manchester United F.C."/>
        <s v="Nowielice"/>
        <s v="Stasin SA"/>
        <s v="Varsovia"/>
      </sharedItems>
    </cacheField>
    <cacheField name="[Meczusie].[RodzajMeczu].[RodzajMeczu]" caption="RodzajMeczu" numFmtId="0" hierarchy="47" level="1">
      <sharedItems containsSemiMixedTypes="0" containsNonDate="0" containsString="0"/>
    </cacheField>
    <cacheField name="[Measures].[% Podań]" caption="% Podań" numFmtId="0" hierarchy="172" level="32767"/>
  </cacheFields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2" memberValueDatatype="130" unbalanced="0">
      <fieldsUsage count="2">
        <fieldUsage x="-1"/>
        <fieldUsage x="0"/>
      </fieldsUsage>
    </cacheHierarchy>
    <cacheHierarchy uniqueName="[Mecze].[Numer]" caption="Numer" attribute="1" defaultMemberUniqueName="[Mecze].[Numer].[All]" allUniqueName="[Mecze].[Numer].[All]" dimensionUniqueName="[Mecze]" displayFolder="" count="0" memberValueDatatype="20" unbalanced="0"/>
    <cacheHierarchy uniqueName="[Mecze].[Nazwa zawodnika]" caption="Nazwa zawodnika" attribute="1" defaultMemberUniqueName="[Mecze].[Nazwa zawodnika].[All]" allUniqueName="[Mecze].[Nazwa zawodnika].[All]" dimensionUniqueName="[Mecze]" displayFolder="" count="0" memberValueDatatype="130" unbalanced="0"/>
    <cacheHierarchy uniqueName="[Mecze].[Pozycja]" caption="Pozycja" attribute="1" defaultMemberUniqueName="[Mecze].[Pozycja].[All]" allUniqueName="[Mecze].[Pozycja].[All]" dimensionUniqueName="[Mecze]" displayFolder="" count="0" memberValueDatatype="130" unbalanced="0"/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0" memberValueDatatype="130" unbalanced="0"/>
    <cacheHierarchy uniqueName="[Mecze].[Mecz]" caption="Mecz" attribute="1" defaultMemberUniqueName="[Mecze].[Mecz].[All]" allUniqueName="[Mecze].[Mecz].[All]" dimensionUniqueName="[Mecze]" displayFolder="" count="0" memberValueDatatype="20" unbalanced="0"/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0" memberValueDatatype="20" unbalanced="0"/>
    <cacheHierarchy uniqueName="[Mecze].[Typ meczu]" caption="Typ meczu" attribute="1" defaultMemberUniqueName="[Mecze].[Typ meczu].[All]" allUniqueName="[Mecze].[Typ meczu].[All]" dimensionUniqueName="[Mecze]" displayFolder="" count="0" memberValueDatatype="130" unbalanced="0"/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0" memberValueDatatype="20" unbalanced="0"/>
    <cacheHierarchy uniqueName="[Meczusie].[RodzajMeczu]" caption="RodzajMeczu" attribute="1" defaultMemberUniqueName="[Meczusie].[RodzajMeczu].[All]" allUniqueName="[Meczusie].[RodzajMeczu].[All]" dimensionUniqueName="[Meczusie]" displayFolder="" count="2" memberValueDatatype="130" unbalanced="0">
      <fieldsUsage count="2">
        <fieldUsage x="-1"/>
        <fieldUsage x="1"/>
      </fieldsUsage>
    </cacheHierarchy>
    <cacheHierarchy uniqueName="[Meczusie].[DOM]" caption="DOM" attribute="1" defaultMemberUniqueName="[Meczusie].[DOM].[All]" allUniqueName="[Meczusie].[DOM].[All]" dimensionUniqueName="[Meczusie]" displayFolder="" count="0" memberValueDatatype="130" unbalanced="0"/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0" memberValueDatatype="130" unbalanced="0"/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0" memberValueDatatype="130" unbalanced="0"/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/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/>
    <cacheHierarchy uniqueName="[Measures].[GC]" caption="GC" measure="1" displayFolder="" measureGroup="Mecze" count="0"/>
    <cacheHierarchy uniqueName="[Measures].[% Strzałów]" caption="% Strzałów" measure="1" displayFolder="" measureGroup="Mecze" count="0"/>
    <cacheHierarchy uniqueName="[Measures].[% Podań]" caption="% Podań" measure="1" displayFolder="" measureGroup="Mecze" count="0" oneField="1">
      <fieldsUsage count="1">
        <fieldUsage x="2"/>
      </fieldsUsage>
    </cacheHierarchy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dimensions count="8">
    <dimension name="Kalendarz" uniqueName="[Kalendarz]" caption="Kalendarz"/>
    <dimension name="Klubiki" uniqueName="[Klubiki]" caption="Klubiki"/>
    <dimension measure="1" name="Measures" uniqueName="[Measures]" caption="Measures"/>
    <dimension name="Mecze" uniqueName="[Mecze]" caption="Mecze"/>
    <dimension name="Meczusie" uniqueName="[Meczusie]" caption="Meczusie"/>
    <dimension name="Radar" uniqueName="[Radar]" caption="Radar"/>
    <dimension name="Zawodnicy" uniqueName="[Zawodnicy]" caption="Zawodnicy"/>
    <dimension name="ZawodnicyLiga" uniqueName="[ZawodnicyLiga]" caption="ZawodnicyLiga"/>
  </dimensions>
  <measureGroups count="7">
    <measureGroup name="Kalendarz" caption="Kalendarz"/>
    <measureGroup name="Klubiki" caption="Klubiki"/>
    <measureGroup name="Mecze" caption="Mecze"/>
    <measureGroup name="Meczusie" caption="Meczusie"/>
    <measureGroup name="Radar" caption="Radar"/>
    <measureGroup name="Zawodnicy" caption="Zawodnicy"/>
    <measureGroup name="ZawodnicyLiga" caption="ZawodnicyLiga"/>
  </measureGroups>
  <maps count="11">
    <map measureGroup="0" dimension="0"/>
    <map measureGroup="1" dimension="1"/>
    <map measureGroup="2" dimension="1"/>
    <map measureGroup="2" dimension="3"/>
    <map measureGroup="2" dimension="4"/>
    <map measureGroup="3" dimension="4"/>
    <map measureGroup="4" dimension="5"/>
    <map measureGroup="4" dimension="6"/>
    <map measureGroup="5" dimension="6"/>
    <map measureGroup="6" dimension="1"/>
    <map measureGroup="6" dimension="7"/>
  </maps>
  <extLst>
    <ext xmlns:x14="http://schemas.microsoft.com/office/spreadsheetml/2009/9/main" uri="{725AE2AE-9491-48be-B2B4-4EB974FC3084}">
      <x14:pivotCacheDefinition pivotCacheId="8615201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 Gulaj" refreshedDate="45371.978565277779" backgroundQuery="1" createdVersion="6" refreshedVersion="8" minRefreshableVersion="3" recordCount="0" supportSubquery="1" supportAdvancedDrill="1" xr:uid="{AEC67DA8-6A67-4024-93B6-5837126D5666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lubiki].[Nazwa].[Nazwa]" caption="Nazwa" numFmtId="0" hierarchy="7" level="1">
      <sharedItems count="11">
        <s v="Agresor Team"/>
        <s v="BOSS-cy Jasło"/>
        <s v="Diabolic Team"/>
        <s v="DRAGON GARWOLIN"/>
        <s v="FC MARKUS"/>
        <s v="Goral Zywiec"/>
        <s v="Love me Im famous!"/>
        <s v="Manchester United F.C."/>
        <s v="Nowielice"/>
        <s v="Stasin SA"/>
        <s v="Varsovia"/>
      </sharedItems>
    </cacheField>
    <cacheField name="[Meczusie].[RodzajMeczu].[RodzajMeczu]" caption="RodzajMeczu" numFmtId="0" hierarchy="47" level="1">
      <sharedItems containsSemiMixedTypes="0" containsNonDate="0" containsString="0"/>
    </cacheField>
    <cacheField name="[Measures].[% Odbiorów]" caption="% Odbiorów" numFmtId="0" hierarchy="169" level="32767"/>
  </cacheFields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2" memberValueDatatype="130" unbalanced="0">
      <fieldsUsage count="2">
        <fieldUsage x="-1"/>
        <fieldUsage x="0"/>
      </fieldsUsage>
    </cacheHierarchy>
    <cacheHierarchy uniqueName="[Mecze].[Numer]" caption="Numer" attribute="1" defaultMemberUniqueName="[Mecze].[Numer].[All]" allUniqueName="[Mecze].[Numer].[All]" dimensionUniqueName="[Mecze]" displayFolder="" count="0" memberValueDatatype="20" unbalanced="0"/>
    <cacheHierarchy uniqueName="[Mecze].[Nazwa zawodnika]" caption="Nazwa zawodnika" attribute="1" defaultMemberUniqueName="[Mecze].[Nazwa zawodnika].[All]" allUniqueName="[Mecze].[Nazwa zawodnika].[All]" dimensionUniqueName="[Mecze]" displayFolder="" count="0" memberValueDatatype="130" unbalanced="0"/>
    <cacheHierarchy uniqueName="[Mecze].[Pozycja]" caption="Pozycja" attribute="1" defaultMemberUniqueName="[Mecze].[Pozycja].[All]" allUniqueName="[Mecze].[Pozycja].[All]" dimensionUniqueName="[Mecze]" displayFolder="" count="0" memberValueDatatype="130" unbalanced="0"/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0" memberValueDatatype="130" unbalanced="0"/>
    <cacheHierarchy uniqueName="[Mecze].[Mecz]" caption="Mecz" attribute="1" defaultMemberUniqueName="[Mecze].[Mecz].[All]" allUniqueName="[Mecze].[Mecz].[All]" dimensionUniqueName="[Mecze]" displayFolder="" count="0" memberValueDatatype="20" unbalanced="0"/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0" memberValueDatatype="20" unbalanced="0"/>
    <cacheHierarchy uniqueName="[Mecze].[Typ meczu]" caption="Typ meczu" attribute="1" defaultMemberUniqueName="[Mecze].[Typ meczu].[All]" allUniqueName="[Mecze].[Typ meczu].[All]" dimensionUniqueName="[Mecze]" displayFolder="" count="0" memberValueDatatype="130" unbalanced="0"/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0" memberValueDatatype="20" unbalanced="0"/>
    <cacheHierarchy uniqueName="[Meczusie].[RodzajMeczu]" caption="RodzajMeczu" attribute="1" defaultMemberUniqueName="[Meczusie].[RodzajMeczu].[All]" allUniqueName="[Meczusie].[RodzajMeczu].[All]" dimensionUniqueName="[Meczusie]" displayFolder="" count="2" memberValueDatatype="130" unbalanced="0">
      <fieldsUsage count="2">
        <fieldUsage x="-1"/>
        <fieldUsage x="1"/>
      </fieldsUsage>
    </cacheHierarchy>
    <cacheHierarchy uniqueName="[Meczusie].[DOM]" caption="DOM" attribute="1" defaultMemberUniqueName="[Meczusie].[DOM].[All]" allUniqueName="[Meczusie].[DOM].[All]" dimensionUniqueName="[Meczusie]" displayFolder="" count="0" memberValueDatatype="130" unbalanced="0"/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0" memberValueDatatype="130" unbalanced="0"/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0" memberValueDatatype="130" unbalanced="0"/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/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 oneField="1">
      <fieldsUsage count="1">
        <fieldUsage x="2"/>
      </fieldsUsage>
    </cacheHierarchy>
    <cacheHierarchy uniqueName="[Measures].[GC]" caption="GC" measure="1" displayFolder="" measureGroup="Mecze" count="0"/>
    <cacheHierarchy uniqueName="[Measures].[% Strzałów]" caption="% Strzałów" measure="1" displayFolder="" measureGroup="Mecze" count="0"/>
    <cacheHierarchy uniqueName="[Measures].[% Podań]" caption="% Podań" measure="1" displayFolder="" measureGroup="Mecze" count="0"/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dimensions count="8">
    <dimension name="Kalendarz" uniqueName="[Kalendarz]" caption="Kalendarz"/>
    <dimension name="Klubiki" uniqueName="[Klubiki]" caption="Klubiki"/>
    <dimension measure="1" name="Measures" uniqueName="[Measures]" caption="Measures"/>
    <dimension name="Mecze" uniqueName="[Mecze]" caption="Mecze"/>
    <dimension name="Meczusie" uniqueName="[Meczusie]" caption="Meczusie"/>
    <dimension name="Radar" uniqueName="[Radar]" caption="Radar"/>
    <dimension name="Zawodnicy" uniqueName="[Zawodnicy]" caption="Zawodnicy"/>
    <dimension name="ZawodnicyLiga" uniqueName="[ZawodnicyLiga]" caption="ZawodnicyLiga"/>
  </dimensions>
  <measureGroups count="7">
    <measureGroup name="Kalendarz" caption="Kalendarz"/>
    <measureGroup name="Klubiki" caption="Klubiki"/>
    <measureGroup name="Mecze" caption="Mecze"/>
    <measureGroup name="Meczusie" caption="Meczusie"/>
    <measureGroup name="Radar" caption="Radar"/>
    <measureGroup name="Zawodnicy" caption="Zawodnicy"/>
    <measureGroup name="ZawodnicyLiga" caption="ZawodnicyLiga"/>
  </measureGroups>
  <maps count="11">
    <map measureGroup="0" dimension="0"/>
    <map measureGroup="1" dimension="1"/>
    <map measureGroup="2" dimension="1"/>
    <map measureGroup="2" dimension="3"/>
    <map measureGroup="2" dimension="4"/>
    <map measureGroup="3" dimension="4"/>
    <map measureGroup="4" dimension="5"/>
    <map measureGroup="4" dimension="6"/>
    <map measureGroup="5" dimension="6"/>
    <map measureGroup="6" dimension="1"/>
    <map measureGroup="6" dimension="7"/>
  </maps>
  <extLst>
    <ext xmlns:x14="http://schemas.microsoft.com/office/spreadsheetml/2009/9/main" uri="{725AE2AE-9491-48be-B2B4-4EB974FC3084}">
      <x14:pivotCacheDefinition pivotCacheId="1527551324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 Gulaj" refreshedDate="45371.978610532409" backgroundQuery="1" createdVersion="6" refreshedVersion="8" minRefreshableVersion="3" recordCount="0" supportSubquery="1" supportAdvancedDrill="1" xr:uid="{9F64374B-E9AA-4B31-B7F6-D29925C2F6CB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lubiki].[Nazwa].[Nazwa]" caption="Nazwa" numFmtId="0" hierarchy="7" level="1">
      <sharedItems count="11">
        <s v="Agresor Team"/>
        <s v="BOSS-cy Jasło"/>
        <s v="Diabolic Team"/>
        <s v="DRAGON GARWOLIN"/>
        <s v="FC MARKUS"/>
        <s v="Goral Zywiec"/>
        <s v="Love me Im famous!"/>
        <s v="Manchester United F.C."/>
        <s v="Nowielice"/>
        <s v="Stasin SA"/>
        <s v="Varsovia"/>
      </sharedItems>
    </cacheField>
    <cacheField name="[Meczusie].[RodzajMeczu].[RodzajMeczu]" caption="RodzajMeczu" numFmtId="0" hierarchy="47" level="1">
      <sharedItems containsSemiMixedTypes="0" containsNonDate="0" containsString="0"/>
    </cacheField>
    <cacheField name="[Measures].[% Strzałów]" caption="% Strzałów" numFmtId="0" hierarchy="171" level="32767"/>
  </cacheFields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2" memberValueDatatype="130" unbalanced="0">
      <fieldsUsage count="2">
        <fieldUsage x="-1"/>
        <fieldUsage x="0"/>
      </fieldsUsage>
    </cacheHierarchy>
    <cacheHierarchy uniqueName="[Mecze].[Numer]" caption="Numer" attribute="1" defaultMemberUniqueName="[Mecze].[Numer].[All]" allUniqueName="[Mecze].[Numer].[All]" dimensionUniqueName="[Mecze]" displayFolder="" count="0" memberValueDatatype="20" unbalanced="0"/>
    <cacheHierarchy uniqueName="[Mecze].[Nazwa zawodnika]" caption="Nazwa zawodnika" attribute="1" defaultMemberUniqueName="[Mecze].[Nazwa zawodnika].[All]" allUniqueName="[Mecze].[Nazwa zawodnika].[All]" dimensionUniqueName="[Mecze]" displayFolder="" count="0" memberValueDatatype="130" unbalanced="0"/>
    <cacheHierarchy uniqueName="[Mecze].[Pozycja]" caption="Pozycja" attribute="1" defaultMemberUniqueName="[Mecze].[Pozycja].[All]" allUniqueName="[Mecze].[Pozycja].[All]" dimensionUniqueName="[Mecze]" displayFolder="" count="0" memberValueDatatype="130" unbalanced="0"/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0" memberValueDatatype="130" unbalanced="0"/>
    <cacheHierarchy uniqueName="[Mecze].[Mecz]" caption="Mecz" attribute="1" defaultMemberUniqueName="[Mecze].[Mecz].[All]" allUniqueName="[Mecze].[Mecz].[All]" dimensionUniqueName="[Mecze]" displayFolder="" count="0" memberValueDatatype="20" unbalanced="0"/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0" memberValueDatatype="20" unbalanced="0"/>
    <cacheHierarchy uniqueName="[Mecze].[Typ meczu]" caption="Typ meczu" attribute="1" defaultMemberUniqueName="[Mecze].[Typ meczu].[All]" allUniqueName="[Mecze].[Typ meczu].[All]" dimensionUniqueName="[Mecze]" displayFolder="" count="0" memberValueDatatype="130" unbalanced="0"/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0" memberValueDatatype="20" unbalanced="0"/>
    <cacheHierarchy uniqueName="[Meczusie].[RodzajMeczu]" caption="RodzajMeczu" attribute="1" defaultMemberUniqueName="[Meczusie].[RodzajMeczu].[All]" allUniqueName="[Meczusie].[RodzajMeczu].[All]" dimensionUniqueName="[Meczusie]" displayFolder="" count="2" memberValueDatatype="130" unbalanced="0">
      <fieldsUsage count="2">
        <fieldUsage x="-1"/>
        <fieldUsage x="1"/>
      </fieldsUsage>
    </cacheHierarchy>
    <cacheHierarchy uniqueName="[Meczusie].[DOM]" caption="DOM" attribute="1" defaultMemberUniqueName="[Meczusie].[DOM].[All]" allUniqueName="[Meczusie].[DOM].[All]" dimensionUniqueName="[Meczusie]" displayFolder="" count="0" memberValueDatatype="130" unbalanced="0"/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0" memberValueDatatype="130" unbalanced="0"/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0" memberValueDatatype="130" unbalanced="0"/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/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/>
    <cacheHierarchy uniqueName="[Measures].[GC]" caption="GC" measure="1" displayFolder="" measureGroup="Mecze" count="0"/>
    <cacheHierarchy uniqueName="[Measures].[% Strzałów]" caption="% Strzałów" measure="1" displayFolder="" measureGroup="Mecze" count="0" oneField="1">
      <fieldsUsage count="1">
        <fieldUsage x="2"/>
      </fieldsUsage>
    </cacheHierarchy>
    <cacheHierarchy uniqueName="[Measures].[% Podań]" caption="% Podań" measure="1" displayFolder="" measureGroup="Mecze" count="0"/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dimensions count="8">
    <dimension name="Kalendarz" uniqueName="[Kalendarz]" caption="Kalendarz"/>
    <dimension name="Klubiki" uniqueName="[Klubiki]" caption="Klubiki"/>
    <dimension measure="1" name="Measures" uniqueName="[Measures]" caption="Measures"/>
    <dimension name="Mecze" uniqueName="[Mecze]" caption="Mecze"/>
    <dimension name="Meczusie" uniqueName="[Meczusie]" caption="Meczusie"/>
    <dimension name="Radar" uniqueName="[Radar]" caption="Radar"/>
    <dimension name="Zawodnicy" uniqueName="[Zawodnicy]" caption="Zawodnicy"/>
    <dimension name="ZawodnicyLiga" uniqueName="[ZawodnicyLiga]" caption="ZawodnicyLiga"/>
  </dimensions>
  <measureGroups count="7">
    <measureGroup name="Kalendarz" caption="Kalendarz"/>
    <measureGroup name="Klubiki" caption="Klubiki"/>
    <measureGroup name="Mecze" caption="Mecze"/>
    <measureGroup name="Meczusie" caption="Meczusie"/>
    <measureGroup name="Radar" caption="Radar"/>
    <measureGroup name="Zawodnicy" caption="Zawodnicy"/>
    <measureGroup name="ZawodnicyLiga" caption="ZawodnicyLiga"/>
  </measureGroups>
  <maps count="11">
    <map measureGroup="0" dimension="0"/>
    <map measureGroup="1" dimension="1"/>
    <map measureGroup="2" dimension="1"/>
    <map measureGroup="2" dimension="3"/>
    <map measureGroup="2" dimension="4"/>
    <map measureGroup="3" dimension="4"/>
    <map measureGroup="4" dimension="5"/>
    <map measureGroup="4" dimension="6"/>
    <map measureGroup="5" dimension="6"/>
    <map measureGroup="6" dimension="1"/>
    <map measureGroup="6" dimension="7"/>
  </maps>
  <extLst>
    <ext xmlns:x14="http://schemas.microsoft.com/office/spreadsheetml/2009/9/main" uri="{725AE2AE-9491-48be-B2B4-4EB974FC3084}">
      <x14:pivotCacheDefinition pivotCacheId="87280425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 Gulaj" refreshedDate="45371.97866400463" backgroundQuery="1" createdVersion="6" refreshedVersion="8" minRefreshableVersion="3" recordCount="0" supportSubquery="1" supportAdvancedDrill="1" xr:uid="{B80BD5BA-4C86-4201-B09C-43C986220C69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lubiki].[Nazwa].[Nazwa]" caption="Nazwa" numFmtId="0" hierarchy="7" level="1">
      <sharedItems count="11">
        <s v="Agresor Team"/>
        <s v="BOSS-cy Jasło"/>
        <s v="Diabolic Team"/>
        <s v="DRAGON GARWOLIN"/>
        <s v="FC MARKUS"/>
        <s v="Goral Zywiec"/>
        <s v="Love me Im famous!"/>
        <s v="Manchester United F.C."/>
        <s v="Nowielice"/>
        <s v="Stasin SA"/>
        <s v="Varsovia"/>
      </sharedItems>
    </cacheField>
    <cacheField name="[Measures].[Średnia /PI2]" caption="Średnia /PI2" numFmtId="0" hierarchy="138" level="32767"/>
    <cacheField name="[Meczusie].[RodzajMeczu].[RodzajMeczu]" caption="RodzajMeczu" numFmtId="0" hierarchy="47" level="1">
      <sharedItems containsSemiMixedTypes="0" containsNonDate="0" containsString="0"/>
    </cacheField>
  </cacheFields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2" memberValueDatatype="130" unbalanced="0">
      <fieldsUsage count="2">
        <fieldUsage x="-1"/>
        <fieldUsage x="0"/>
      </fieldsUsage>
    </cacheHierarchy>
    <cacheHierarchy uniqueName="[Mecze].[Numer]" caption="Numer" attribute="1" defaultMemberUniqueName="[Mecze].[Numer].[All]" allUniqueName="[Mecze].[Numer].[All]" dimensionUniqueName="[Mecze]" displayFolder="" count="0" memberValueDatatype="20" unbalanced="0"/>
    <cacheHierarchy uniqueName="[Mecze].[Nazwa zawodnika]" caption="Nazwa zawodnika" attribute="1" defaultMemberUniqueName="[Mecze].[Nazwa zawodnika].[All]" allUniqueName="[Mecze].[Nazwa zawodnika].[All]" dimensionUniqueName="[Mecze]" displayFolder="" count="0" memberValueDatatype="130" unbalanced="0"/>
    <cacheHierarchy uniqueName="[Mecze].[Pozycja]" caption="Pozycja" attribute="1" defaultMemberUniqueName="[Mecze].[Pozycja].[All]" allUniqueName="[Mecze].[Pozycja].[All]" dimensionUniqueName="[Mecze]" displayFolder="" count="0" memberValueDatatype="130" unbalanced="0"/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0" memberValueDatatype="130" unbalanced="0"/>
    <cacheHierarchy uniqueName="[Mecze].[Mecz]" caption="Mecz" attribute="1" defaultMemberUniqueName="[Mecze].[Mecz].[All]" allUniqueName="[Mecze].[Mecz].[All]" dimensionUniqueName="[Mecze]" displayFolder="" count="0" memberValueDatatype="20" unbalanced="0"/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0" memberValueDatatype="20" unbalanced="0"/>
    <cacheHierarchy uniqueName="[Mecze].[Typ meczu]" caption="Typ meczu" attribute="1" defaultMemberUniqueName="[Mecze].[Typ meczu].[All]" allUniqueName="[Mecze].[Typ meczu].[All]" dimensionUniqueName="[Mecze]" displayFolder="" count="0" memberValueDatatype="130" unbalanced="0"/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0" memberValueDatatype="20" unbalanced="0"/>
    <cacheHierarchy uniqueName="[Meczusie].[RodzajMeczu]" caption="RodzajMeczu" attribute="1" defaultMemberUniqueName="[Meczusie].[RodzajMeczu].[All]" allUniqueName="[Meczusie].[RodzajMeczu].[All]" dimensionUniqueName="[Meczusie]" displayFolder="" count="2" memberValueDatatype="130" unbalanced="0">
      <fieldsUsage count="2">
        <fieldUsage x="-1"/>
        <fieldUsage x="2"/>
      </fieldsUsage>
    </cacheHierarchy>
    <cacheHierarchy uniqueName="[Meczusie].[DOM]" caption="DOM" attribute="1" defaultMemberUniqueName="[Meczusie].[DOM].[All]" allUniqueName="[Meczusie].[DOM].[All]" dimensionUniqueName="[Meczusie]" displayFolder="" count="0" memberValueDatatype="130" unbalanced="0"/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0" memberValueDatatype="130" unbalanced="0"/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0" memberValueDatatype="130" unbalanced="0"/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/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/>
    <cacheHierarchy uniqueName="[Measures].[GC]" caption="GC" measure="1" displayFolder="" measureGroup="Mecze" count="0"/>
    <cacheHierarchy uniqueName="[Measures].[% Strzałów]" caption="% Strzałów" measure="1" displayFolder="" measureGroup="Mecze" count="0"/>
    <cacheHierarchy uniqueName="[Measures].[% Podań]" caption="% Podań" measure="1" displayFolder="" measureGroup="Mecze" count="0"/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dimensions count="8">
    <dimension name="Kalendarz" uniqueName="[Kalendarz]" caption="Kalendarz"/>
    <dimension name="Klubiki" uniqueName="[Klubiki]" caption="Klubiki"/>
    <dimension measure="1" name="Measures" uniqueName="[Measures]" caption="Measures"/>
    <dimension name="Mecze" uniqueName="[Mecze]" caption="Mecze"/>
    <dimension name="Meczusie" uniqueName="[Meczusie]" caption="Meczusie"/>
    <dimension name="Radar" uniqueName="[Radar]" caption="Radar"/>
    <dimension name="Zawodnicy" uniqueName="[Zawodnicy]" caption="Zawodnicy"/>
    <dimension name="ZawodnicyLiga" uniqueName="[ZawodnicyLiga]" caption="ZawodnicyLiga"/>
  </dimensions>
  <measureGroups count="7">
    <measureGroup name="Kalendarz" caption="Kalendarz"/>
    <measureGroup name="Klubiki" caption="Klubiki"/>
    <measureGroup name="Mecze" caption="Mecze"/>
    <measureGroup name="Meczusie" caption="Meczusie"/>
    <measureGroup name="Radar" caption="Radar"/>
    <measureGroup name="Zawodnicy" caption="Zawodnicy"/>
    <measureGroup name="ZawodnicyLiga" caption="ZawodnicyLiga"/>
  </measureGroups>
  <maps count="11">
    <map measureGroup="0" dimension="0"/>
    <map measureGroup="1" dimension="1"/>
    <map measureGroup="2" dimension="1"/>
    <map measureGroup="2" dimension="3"/>
    <map measureGroup="2" dimension="4"/>
    <map measureGroup="3" dimension="4"/>
    <map measureGroup="4" dimension="5"/>
    <map measureGroup="4" dimension="6"/>
    <map measureGroup="5" dimension="6"/>
    <map measureGroup="6" dimension="1"/>
    <map measureGroup="6" dimension="7"/>
  </maps>
  <extLst>
    <ext xmlns:x14="http://schemas.microsoft.com/office/spreadsheetml/2009/9/main" uri="{725AE2AE-9491-48be-B2B4-4EB974FC3084}">
      <x14:pivotCacheDefinition pivotCacheId="130686636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 Gulaj" refreshedDate="45371.978703356479" backgroundQuery="1" createdVersion="6" refreshedVersion="8" minRefreshableVersion="3" recordCount="0" supportSubquery="1" supportAdvancedDrill="1" xr:uid="{F0FC574A-E49B-4E26-AA5B-3C9AA6BE65D0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Klubiki].[Nazwa].[Nazwa]" caption="Nazwa" numFmtId="0" hierarchy="7" level="1">
      <sharedItems count="11">
        <s v="Agresor Team"/>
        <s v="BOSS-cy Jasło"/>
        <s v="Diabolic Team"/>
        <s v="DRAGON GARWOLIN"/>
        <s v="FC MARKUS"/>
        <s v="Goral Zywiec"/>
        <s v="Love me Im famous!"/>
        <s v="Manchester United F.C."/>
        <s v="Nowielice"/>
        <s v="Stasin SA"/>
        <s v="Varsovia"/>
      </sharedItems>
    </cacheField>
    <cacheField name="[Meczusie].[RodzajMeczu].[RodzajMeczu]" caption="RodzajMeczu" numFmtId="0" hierarchy="47" level="1">
      <sharedItems containsSemiMixedTypes="0" containsNonDate="0" containsString="0"/>
    </cacheField>
    <cacheField name="[Measures].[GC]" caption="GC" numFmtId="0" hierarchy="170" level="32767"/>
  </cacheFields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2" memberValueDatatype="130" unbalanced="0">
      <fieldsUsage count="2">
        <fieldUsage x="-1"/>
        <fieldUsage x="0"/>
      </fieldsUsage>
    </cacheHierarchy>
    <cacheHierarchy uniqueName="[Mecze].[Numer]" caption="Numer" attribute="1" defaultMemberUniqueName="[Mecze].[Numer].[All]" allUniqueName="[Mecze].[Numer].[All]" dimensionUniqueName="[Mecze]" displayFolder="" count="0" memberValueDatatype="20" unbalanced="0"/>
    <cacheHierarchy uniqueName="[Mecze].[Nazwa zawodnika]" caption="Nazwa zawodnika" attribute="1" defaultMemberUniqueName="[Mecze].[Nazwa zawodnika].[All]" allUniqueName="[Mecze].[Nazwa zawodnika].[All]" dimensionUniqueName="[Mecze]" displayFolder="" count="0" memberValueDatatype="130" unbalanced="0"/>
    <cacheHierarchy uniqueName="[Mecze].[Pozycja]" caption="Pozycja" attribute="1" defaultMemberUniqueName="[Mecze].[Pozycja].[All]" allUniqueName="[Mecze].[Pozycja].[All]" dimensionUniqueName="[Mecze]" displayFolder="" count="0" memberValueDatatype="130" unbalanced="0"/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0" memberValueDatatype="130" unbalanced="0"/>
    <cacheHierarchy uniqueName="[Mecze].[Mecz]" caption="Mecz" attribute="1" defaultMemberUniqueName="[Mecze].[Mecz].[All]" allUniqueName="[Mecze].[Mecz].[All]" dimensionUniqueName="[Mecze]" displayFolder="" count="0" memberValueDatatype="20" unbalanced="0"/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0" memberValueDatatype="20" unbalanced="0"/>
    <cacheHierarchy uniqueName="[Mecze].[Typ meczu]" caption="Typ meczu" attribute="1" defaultMemberUniqueName="[Mecze].[Typ meczu].[All]" allUniqueName="[Mecze].[Typ meczu].[All]" dimensionUniqueName="[Mecze]" displayFolder="" count="0" memberValueDatatype="130" unbalanced="0"/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0" memberValueDatatype="20" unbalanced="0"/>
    <cacheHierarchy uniqueName="[Meczusie].[RodzajMeczu]" caption="RodzajMeczu" attribute="1" defaultMemberUniqueName="[Meczusie].[RodzajMeczu].[All]" allUniqueName="[Meczusie].[RodzajMeczu].[All]" dimensionUniqueName="[Meczusie]" displayFolder="" count="2" memberValueDatatype="130" unbalanced="0">
      <fieldsUsage count="2">
        <fieldUsage x="-1"/>
        <fieldUsage x="1"/>
      </fieldsUsage>
    </cacheHierarchy>
    <cacheHierarchy uniqueName="[Meczusie].[DOM]" caption="DOM" attribute="1" defaultMemberUniqueName="[Meczusie].[DOM].[All]" allUniqueName="[Meczusie].[DOM].[All]" dimensionUniqueName="[Meczusie]" displayFolder="" count="0" memberValueDatatype="130" unbalanced="0"/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0" memberValueDatatype="130" unbalanced="0"/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0" memberValueDatatype="130" unbalanced="0"/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/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/>
    <cacheHierarchy uniqueName="[Measures].[GC]" caption="GC" measure="1" displayFolder="" measureGroup="Mecze" count="0" oneField="1">
      <fieldsUsage count="1">
        <fieldUsage x="2"/>
      </fieldsUsage>
    </cacheHierarchy>
    <cacheHierarchy uniqueName="[Measures].[% Strzałów]" caption="% Strzałów" measure="1" displayFolder="" measureGroup="Mecze" count="0"/>
    <cacheHierarchy uniqueName="[Measures].[% Podań]" caption="% Podań" measure="1" displayFolder="" measureGroup="Mecze" count="0"/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dimensions count="8">
    <dimension name="Kalendarz" uniqueName="[Kalendarz]" caption="Kalendarz"/>
    <dimension name="Klubiki" uniqueName="[Klubiki]" caption="Klubiki"/>
    <dimension measure="1" name="Measures" uniqueName="[Measures]" caption="Measures"/>
    <dimension name="Mecze" uniqueName="[Mecze]" caption="Mecze"/>
    <dimension name="Meczusie" uniqueName="[Meczusie]" caption="Meczusie"/>
    <dimension name="Radar" uniqueName="[Radar]" caption="Radar"/>
    <dimension name="Zawodnicy" uniqueName="[Zawodnicy]" caption="Zawodnicy"/>
    <dimension name="ZawodnicyLiga" uniqueName="[ZawodnicyLiga]" caption="ZawodnicyLiga"/>
  </dimensions>
  <measureGroups count="7">
    <measureGroup name="Kalendarz" caption="Kalendarz"/>
    <measureGroup name="Klubiki" caption="Klubiki"/>
    <measureGroup name="Mecze" caption="Mecze"/>
    <measureGroup name="Meczusie" caption="Meczusie"/>
    <measureGroup name="Radar" caption="Radar"/>
    <measureGroup name="Zawodnicy" caption="Zawodnicy"/>
    <measureGroup name="ZawodnicyLiga" caption="ZawodnicyLiga"/>
  </measureGroups>
  <maps count="11">
    <map measureGroup="0" dimension="0"/>
    <map measureGroup="1" dimension="1"/>
    <map measureGroup="2" dimension="1"/>
    <map measureGroup="2" dimension="3"/>
    <map measureGroup="2" dimension="4"/>
    <map measureGroup="3" dimension="4"/>
    <map measureGroup="4" dimension="5"/>
    <map measureGroup="4" dimension="6"/>
    <map measureGroup="5" dimension="6"/>
    <map measureGroup="6" dimension="1"/>
    <map measureGroup="6" dimension="7"/>
  </maps>
  <extLst>
    <ext xmlns:x14="http://schemas.microsoft.com/office/spreadsheetml/2009/9/main" uri="{725AE2AE-9491-48be-B2B4-4EB974FC3084}">
      <x14:pivotCacheDefinition pivotCacheId="1343795738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 Gulaj" refreshedDate="45371.982719907406" backgroundQuery="1" createdVersion="6" refreshedVersion="8" minRefreshableVersion="3" recordCount="0" supportSubquery="1" supportAdvancedDrill="1" xr:uid="{24C1A211-4872-4278-BE3E-60F8E598BED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9">
    <cacheField name="[Zawodnicy].[Nazwa zawodnika].[Nazwa zawodnika]" caption="Nazwa zawodnika" numFmtId="0" hierarchy="73" level="1">
      <sharedItems containsSemiMixedTypes="0" containsNonDate="0" containsString="0"/>
    </cacheField>
    <cacheField name="[Mecze].[Numer].[Numer]" caption="Numer" numFmtId="0" hierarchy="8" level="1">
      <sharedItems containsSemiMixedTypes="0" containsNonDate="0" containsString="0"/>
    </cacheField>
    <cacheField name="[Measures].[Średnia %PC]" caption="Średnia %PC" numFmtId="0" hierarchy="123" level="32767"/>
    <cacheField name="[Mecze].[Nazwa zawodnika].[Nazwa zawodnika]" caption="Nazwa zawodnika" numFmtId="0" hierarchy="9" level="1">
      <sharedItems count="1">
        <s v=" K. Grabowicz"/>
      </sharedItems>
    </cacheField>
    <cacheField name="[Mecze].[Rola].[Rola]" caption="Rola" numFmtId="0" hierarchy="37" level="1">
      <sharedItems count="2">
        <s v="PN"/>
        <s v="ST"/>
      </sharedItems>
    </cacheField>
    <cacheField name="[Meczusie].[RodzajMeczu].[RodzajMeczu]" caption="RodzajMeczu" numFmtId="0" hierarchy="47" level="1">
      <sharedItems containsSemiMixedTypes="0" containsNonDate="0" containsString="0"/>
    </cacheField>
    <cacheField name="[Meczusie].[DOM].[DOM]" caption="DOM" numFmtId="0" hierarchy="48" level="1">
      <sharedItems containsSemiMixedTypes="0" containsNonDate="0" containsString="0"/>
    </cacheField>
    <cacheField name="[Klubiki].[Nazwa].[Nazwa]" caption="Nazwa" numFmtId="0" hierarchy="7" level="1">
      <sharedItems containsSemiMixedTypes="0" containsNonDate="0" containsString="0"/>
    </cacheField>
    <cacheField name="[Measures].[Średnia %OU]" caption="Średnia %OU" numFmtId="0" hierarchy="129" level="32767"/>
  </cacheFields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2" memberValueDatatype="130" unbalanced="0">
      <fieldsUsage count="2">
        <fieldUsage x="-1"/>
        <fieldUsage x="7"/>
      </fieldsUsage>
    </cacheHierarchy>
    <cacheHierarchy uniqueName="[Mecze].[Numer]" caption="Numer" attribute="1" defaultMemberUniqueName="[Mecze].[Numer].[All]" allUniqueName="[Mecze].[Numer].[All]" dimensionUniqueName="[Mecze]" displayFolder="" count="2" memberValueDatatype="20" unbalanced="0">
      <fieldsUsage count="2">
        <fieldUsage x="-1"/>
        <fieldUsage x="1"/>
      </fieldsUsage>
    </cacheHierarchy>
    <cacheHierarchy uniqueName="[Mecze].[Nazwa zawodnika]" caption="Nazwa zawodnika" attribute="1" defaultMemberUniqueName="[Mecze].[Nazwa zawodnika].[All]" allUniqueName="[Mecze].[Nazwa zawodnika].[All]" dimensionUniqueName="[Mecze]" displayFolder="" count="2" memberValueDatatype="130" unbalanced="0">
      <fieldsUsage count="2">
        <fieldUsage x="-1"/>
        <fieldUsage x="3"/>
      </fieldsUsage>
    </cacheHierarchy>
    <cacheHierarchy uniqueName="[Mecze].[Pozycja]" caption="Pozycja" attribute="1" defaultMemberUniqueName="[Mecze].[Pozycja].[All]" allUniqueName="[Mecze].[Pozycja].[All]" dimensionUniqueName="[Mecze]" displayFolder="" count="0" memberValueDatatype="130" unbalanced="0"/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2" memberValueDatatype="130" unbalanced="0">
      <fieldsUsage count="2">
        <fieldUsage x="-1"/>
        <fieldUsage x="4"/>
      </fieldsUsage>
    </cacheHierarchy>
    <cacheHierarchy uniqueName="[Mecze].[Mecz]" caption="Mecz" attribute="1" defaultMemberUniqueName="[Mecze].[Mecz].[All]" allUniqueName="[Mecze].[Mecz].[All]" dimensionUniqueName="[Mecze]" displayFolder="" count="0" memberValueDatatype="20" unbalanced="0"/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0" memberValueDatatype="20" unbalanced="0"/>
    <cacheHierarchy uniqueName="[Mecze].[Typ meczu]" caption="Typ meczu" attribute="1" defaultMemberUniqueName="[Mecze].[Typ meczu].[All]" allUniqueName="[Mecze].[Typ meczu].[All]" dimensionUniqueName="[Mecze]" displayFolder="" count="0" memberValueDatatype="130" unbalanced="0"/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2" memberValueDatatype="20" unbalanced="0"/>
    <cacheHierarchy uniqueName="[Meczusie].[RodzajMeczu]" caption="RodzajMeczu" attribute="1" defaultMemberUniqueName="[Meczusie].[RodzajMeczu].[All]" allUniqueName="[Meczusie].[RodzajMeczu].[All]" dimensionUniqueName="[Meczusie]" displayFolder="" count="2" memberValueDatatype="130" unbalanced="0">
      <fieldsUsage count="2">
        <fieldUsage x="-1"/>
        <fieldUsage x="5"/>
      </fieldsUsage>
    </cacheHierarchy>
    <cacheHierarchy uniqueName="[Meczusie].[DOM]" caption="DOM" attribute="1" defaultMemberUniqueName="[Meczusie].[DOM].[All]" allUniqueName="[Meczusie].[DOM].[All]" dimensionUniqueName="[Meczusie]" displayFolder="" count="2" memberValueDatatype="130" unbalanced="0">
      <fieldsUsage count="2">
        <fieldUsage x="-1"/>
        <fieldUsage x="6"/>
      </fieldsUsage>
    </cacheHierarchy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0" memberValueDatatype="130" unbalanced="0"/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2" memberValueDatatype="130" unbalanced="0">
      <fieldsUsage count="2">
        <fieldUsage x="-1"/>
        <fieldUsage x="0"/>
      </fieldsUsage>
    </cacheHierarchy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/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/>
    <cacheHierarchy uniqueName="[Measures].[GC]" caption="GC" measure="1" displayFolder="" measureGroup="Mecze" count="0"/>
    <cacheHierarchy uniqueName="[Measures].[% Strzałów]" caption="% Strzałów" measure="1" displayFolder="" measureGroup="Mecze" count="0"/>
    <cacheHierarchy uniqueName="[Measures].[% Podań]" caption="% Podań" measure="1" displayFolder="" measureGroup="Mecze" count="0"/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dimensions count="8">
    <dimension name="Kalendarz" uniqueName="[Kalendarz]" caption="Kalendarz"/>
    <dimension name="Klubiki" uniqueName="[Klubiki]" caption="Klubiki"/>
    <dimension measure="1" name="Measures" uniqueName="[Measures]" caption="Measures"/>
    <dimension name="Mecze" uniqueName="[Mecze]" caption="Mecze"/>
    <dimension name="Meczusie" uniqueName="[Meczusie]" caption="Meczusie"/>
    <dimension name="Radar" uniqueName="[Radar]" caption="Radar"/>
    <dimension name="Zawodnicy" uniqueName="[Zawodnicy]" caption="Zawodnicy"/>
    <dimension name="ZawodnicyLiga" uniqueName="[ZawodnicyLiga]" caption="ZawodnicyLiga"/>
  </dimensions>
  <measureGroups count="7">
    <measureGroup name="Kalendarz" caption="Kalendarz"/>
    <measureGroup name="Klubiki" caption="Klubiki"/>
    <measureGroup name="Mecze" caption="Mecze"/>
    <measureGroup name="Meczusie" caption="Meczusie"/>
    <measureGroup name="Radar" caption="Radar"/>
    <measureGroup name="Zawodnicy" caption="Zawodnicy"/>
    <measureGroup name="ZawodnicyLiga" caption="ZawodnicyLiga"/>
  </measureGroups>
  <maps count="11">
    <map measureGroup="0" dimension="0"/>
    <map measureGroup="1" dimension="1"/>
    <map measureGroup="2" dimension="1"/>
    <map measureGroup="2" dimension="3"/>
    <map measureGroup="2" dimension="4"/>
    <map measureGroup="3" dimension="4"/>
    <map measureGroup="4" dimension="5"/>
    <map measureGroup="4" dimension="6"/>
    <map measureGroup="5" dimension="6"/>
    <map measureGroup="6" dimension="1"/>
    <map measureGroup="6" dimension="7"/>
  </maps>
  <extLst>
    <ext xmlns:x14="http://schemas.microsoft.com/office/spreadsheetml/2009/9/main" uri="{725AE2AE-9491-48be-B2B4-4EB974FC3084}">
      <x14:pivotCacheDefinition pivotCacheId="94722917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 Gulaj" refreshedDate="45371.982724189817" backgroundQuery="1" createdVersion="6" refreshedVersion="8" minRefreshableVersion="3" recordCount="0" supportSubquery="1" supportAdvancedDrill="1" xr:uid="{26C4F4BD-AB52-4ED9-B66B-CD93FEE1E02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9">
    <cacheField name="[Mecze].[Mecz].[Mecz]" caption="Mecz" numFmtId="0" hierarchy="38" level="1">
      <sharedItems containsSemiMixedTypes="0" containsString="0" containsNumber="1" containsInteger="1" minValue="32" maxValue="195" count="19">
        <n v="32"/>
        <n v="43"/>
        <n v="48"/>
        <n v="59"/>
        <n v="67"/>
        <n v="77"/>
        <n v="83"/>
        <n v="90"/>
        <n v="102"/>
        <n v="111"/>
        <n v="125"/>
        <n v="131"/>
        <n v="139"/>
        <n v="144"/>
        <n v="158"/>
        <n v="167"/>
        <n v="178"/>
        <n v="183"/>
        <n v="195"/>
      </sharedItems>
      <extLst>
        <ext xmlns:x15="http://schemas.microsoft.com/office/spreadsheetml/2010/11/main" uri="{4F2E5C28-24EA-4eb8-9CBF-B6C8F9C3D259}">
          <x15:cachedUniqueNames>
            <x15:cachedUniqueName index="0" name="[Mecze].[Mecz].&amp;[32]"/>
            <x15:cachedUniqueName index="1" name="[Mecze].[Mecz].&amp;[43]"/>
            <x15:cachedUniqueName index="2" name="[Mecze].[Mecz].&amp;[48]"/>
            <x15:cachedUniqueName index="3" name="[Mecze].[Mecz].&amp;[59]"/>
            <x15:cachedUniqueName index="4" name="[Mecze].[Mecz].&amp;[67]"/>
            <x15:cachedUniqueName index="5" name="[Mecze].[Mecz].&amp;[77]"/>
            <x15:cachedUniqueName index="6" name="[Mecze].[Mecz].&amp;[83]"/>
            <x15:cachedUniqueName index="7" name="[Mecze].[Mecz].&amp;[90]"/>
            <x15:cachedUniqueName index="8" name="[Mecze].[Mecz].&amp;[102]"/>
            <x15:cachedUniqueName index="9" name="[Mecze].[Mecz].&amp;[111]"/>
            <x15:cachedUniqueName index="10" name="[Mecze].[Mecz].&amp;[125]"/>
            <x15:cachedUniqueName index="11" name="[Mecze].[Mecz].&amp;[131]"/>
            <x15:cachedUniqueName index="12" name="[Mecze].[Mecz].&amp;[139]"/>
            <x15:cachedUniqueName index="13" name="[Mecze].[Mecz].&amp;[144]"/>
            <x15:cachedUniqueName index="14" name="[Mecze].[Mecz].&amp;[158]"/>
            <x15:cachedUniqueName index="15" name="[Mecze].[Mecz].&amp;[167]"/>
            <x15:cachedUniqueName index="16" name="[Mecze].[Mecz].&amp;[178]"/>
            <x15:cachedUniqueName index="17" name="[Mecze].[Mecz].&amp;[183]"/>
            <x15:cachedUniqueName index="18" name="[Mecze].[Mecz].&amp;[195]"/>
          </x15:cachedUniqueNames>
        </ext>
      </extLst>
    </cacheField>
    <cacheField name="[Mecze].[Rola].[Rola]" caption="Rola" numFmtId="0" hierarchy="37" level="1">
      <sharedItems count="2">
        <s v="ST"/>
        <s v="PN"/>
      </sharedItems>
    </cacheField>
    <cacheField name="[Zawodnicy].[Nazwa zawodnika].[Nazwa zawodnika]" caption="Nazwa zawodnika" numFmtId="0" hierarchy="73" level="1">
      <sharedItems containsSemiMixedTypes="0" containsNonDate="0" containsString="0"/>
    </cacheField>
    <cacheField name="[Mecze].[Numer].[Numer]" caption="Numer" numFmtId="0" hierarchy="8" level="1">
      <sharedItems containsSemiMixedTypes="0" containsNonDate="0" containsString="0"/>
    </cacheField>
    <cacheField name="[Meczusie].[RodzajMeczu].[RodzajMeczu]" caption="RodzajMeczu" numFmtId="0" hierarchy="47" level="1">
      <sharedItems containsSemiMixedTypes="0" containsNonDate="0" containsString="0"/>
    </cacheField>
    <cacheField name="[Meczusie].[DOM].[DOM]" caption="DOM" numFmtId="0" hierarchy="48" level="1">
      <sharedItems containsSemiMixedTypes="0" containsNonDate="0" containsString="0"/>
    </cacheField>
    <cacheField name="[Klubiki].[Nazwa].[Nazwa]" caption="Nazwa" numFmtId="0" hierarchy="7" level="1">
      <sharedItems containsSemiMixedTypes="0" containsNonDate="0" containsString="0"/>
    </cacheField>
    <cacheField name="[Measures].[Ocena Ważona]" caption="Ocena Ważona" numFmtId="0" hierarchy="166" level="32767"/>
    <cacheField name="[Mecze].[Nazwa zawodnika].[Nazwa zawodnika]" caption="Nazwa zawodnika" numFmtId="0" hierarchy="9" level="1">
      <sharedItems containsSemiMixedTypes="0" containsNonDate="0" containsString="0"/>
    </cacheField>
  </cacheFields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2" memberValueDatatype="130" unbalanced="0">
      <fieldsUsage count="2">
        <fieldUsage x="-1"/>
        <fieldUsage x="6"/>
      </fieldsUsage>
    </cacheHierarchy>
    <cacheHierarchy uniqueName="[Mecze].[Numer]" caption="Numer" attribute="1" defaultMemberUniqueName="[Mecze].[Numer].[All]" allUniqueName="[Mecze].[Numer].[All]" dimensionUniqueName="[Mecze]" displayFolder="" count="2" memberValueDatatype="20" unbalanced="0">
      <fieldsUsage count="2">
        <fieldUsage x="-1"/>
        <fieldUsage x="3"/>
      </fieldsUsage>
    </cacheHierarchy>
    <cacheHierarchy uniqueName="[Mecze].[Nazwa zawodnika]" caption="Nazwa zawodnika" attribute="1" defaultMemberUniqueName="[Mecze].[Nazwa zawodnika].[All]" allUniqueName="[Mecze].[Nazwa zawodnika].[All]" dimensionUniqueName="[Mecze]" displayFolder="" count="2" memberValueDatatype="130" unbalanced="0">
      <fieldsUsage count="2">
        <fieldUsage x="-1"/>
        <fieldUsage x="8"/>
      </fieldsUsage>
    </cacheHierarchy>
    <cacheHierarchy uniqueName="[Mecze].[Pozycja]" caption="Pozycja" attribute="1" defaultMemberUniqueName="[Mecze].[Pozycja].[All]" allUniqueName="[Mecze].[Pozycja].[All]" dimensionUniqueName="[Mecze]" displayFolder="" count="0" memberValueDatatype="130" unbalanced="0"/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2" memberValueDatatype="130" unbalanced="0">
      <fieldsUsage count="2">
        <fieldUsage x="-1"/>
        <fieldUsage x="1"/>
      </fieldsUsage>
    </cacheHierarchy>
    <cacheHierarchy uniqueName="[Mecze].[Mecz]" caption="Mecz" attribute="1" defaultMemberUniqueName="[Mecze].[Mecz].[All]" allUniqueName="[Mecze].[Mecz].[All]" dimensionUniqueName="[Mecze]" displayFolder="" count="2" memberValueDatatype="20" unbalanced="0">
      <fieldsUsage count="2">
        <fieldUsage x="-1"/>
        <fieldUsage x="0"/>
      </fieldsUsage>
    </cacheHierarchy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0" memberValueDatatype="20" unbalanced="0"/>
    <cacheHierarchy uniqueName="[Mecze].[Typ meczu]" caption="Typ meczu" attribute="1" defaultMemberUniqueName="[Mecze].[Typ meczu].[All]" allUniqueName="[Mecze].[Typ meczu].[All]" dimensionUniqueName="[Mecze]" displayFolder="" count="0" memberValueDatatype="130" unbalanced="0"/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2" memberValueDatatype="20" unbalanced="0"/>
    <cacheHierarchy uniqueName="[Meczusie].[RodzajMeczu]" caption="RodzajMeczu" attribute="1" defaultMemberUniqueName="[Meczusie].[RodzajMeczu].[All]" allUniqueName="[Meczusie].[RodzajMeczu].[All]" dimensionUniqueName="[Meczusie]" displayFolder="" count="2" memberValueDatatype="130" unbalanced="0">
      <fieldsUsage count="2">
        <fieldUsage x="-1"/>
        <fieldUsage x="4"/>
      </fieldsUsage>
    </cacheHierarchy>
    <cacheHierarchy uniqueName="[Meczusie].[DOM]" caption="DOM" attribute="1" defaultMemberUniqueName="[Meczusie].[DOM].[All]" allUniqueName="[Meczusie].[DOM].[All]" dimensionUniqueName="[Meczusie]" displayFolder="" count="2" memberValueDatatype="130" unbalanced="0">
      <fieldsUsage count="2">
        <fieldUsage x="-1"/>
        <fieldUsage x="5"/>
      </fieldsUsage>
    </cacheHierarchy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0" memberValueDatatype="130" unbalanced="0"/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2" memberValueDatatype="130" unbalanced="0">
      <fieldsUsage count="2">
        <fieldUsage x="-1"/>
        <fieldUsage x="2"/>
      </fieldsUsage>
    </cacheHierarchy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 oneField="1">
      <fieldsUsage count="1">
        <fieldUsage x="7"/>
      </fieldsUsage>
    </cacheHierarchy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/>
    <cacheHierarchy uniqueName="[Measures].[GC]" caption="GC" measure="1" displayFolder="" measureGroup="Mecze" count="0"/>
    <cacheHierarchy uniqueName="[Measures].[% Strzałów]" caption="% Strzałów" measure="1" displayFolder="" measureGroup="Mecze" count="0"/>
    <cacheHierarchy uniqueName="[Measures].[% Podań]" caption="% Podań" measure="1" displayFolder="" measureGroup="Mecze" count="0"/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dimensions count="8">
    <dimension name="Kalendarz" uniqueName="[Kalendarz]" caption="Kalendarz"/>
    <dimension name="Klubiki" uniqueName="[Klubiki]" caption="Klubiki"/>
    <dimension measure="1" name="Measures" uniqueName="[Measures]" caption="Measures"/>
    <dimension name="Mecze" uniqueName="[Mecze]" caption="Mecze"/>
    <dimension name="Meczusie" uniqueName="[Meczusie]" caption="Meczusie"/>
    <dimension name="Radar" uniqueName="[Radar]" caption="Radar"/>
    <dimension name="Zawodnicy" uniqueName="[Zawodnicy]" caption="Zawodnicy"/>
    <dimension name="ZawodnicyLiga" uniqueName="[ZawodnicyLiga]" caption="ZawodnicyLiga"/>
  </dimensions>
  <measureGroups count="7">
    <measureGroup name="Kalendarz" caption="Kalendarz"/>
    <measureGroup name="Klubiki" caption="Klubiki"/>
    <measureGroup name="Mecze" caption="Mecze"/>
    <measureGroup name="Meczusie" caption="Meczusie"/>
    <measureGroup name="Radar" caption="Radar"/>
    <measureGroup name="Zawodnicy" caption="Zawodnicy"/>
    <measureGroup name="ZawodnicyLiga" caption="ZawodnicyLiga"/>
  </measureGroups>
  <maps count="11">
    <map measureGroup="0" dimension="0"/>
    <map measureGroup="1" dimension="1"/>
    <map measureGroup="2" dimension="1"/>
    <map measureGroup="2" dimension="3"/>
    <map measureGroup="2" dimension="4"/>
    <map measureGroup="3" dimension="4"/>
    <map measureGroup="4" dimension="5"/>
    <map measureGroup="4" dimension="6"/>
    <map measureGroup="5" dimension="6"/>
    <map measureGroup="6" dimension="1"/>
    <map measureGroup="6" dimension="7"/>
  </maps>
  <extLst>
    <ext xmlns:x14="http://schemas.microsoft.com/office/spreadsheetml/2009/9/main" uri="{725AE2AE-9491-48be-B2B4-4EB974FC3084}">
      <x14:pivotCacheDefinition pivotCacheId="44765137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 Gulaj" refreshedDate="45371.982725810187" backgroundQuery="1" createdVersion="6" refreshedVersion="8" minRefreshableVersion="3" recordCount="0" supportSubquery="1" supportAdvancedDrill="1" xr:uid="{B8D9A6F7-F52D-41B0-8FA0-AB83ECF77931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8">
    <cacheField name="[Zawodnicy].[Nazwa zawodnika].[Nazwa zawodnika]" caption="Nazwa zawodnika" numFmtId="0" hierarchy="73" level="1">
      <sharedItems containsSemiMixedTypes="0" containsNonDate="0" containsString="0"/>
    </cacheField>
    <cacheField name="[Mecze].[Numer].[Numer]" caption="Numer" numFmtId="0" hierarchy="8" level="1">
      <sharedItems containsSemiMixedTypes="0" containsNonDate="0" containsString="0"/>
    </cacheField>
    <cacheField name="[Mecze].[Nazwa zawodnika].[Nazwa zawodnika]" caption="Nazwa zawodnika" numFmtId="0" hierarchy="9" level="1">
      <sharedItems count="1">
        <s v=" K. Grabowicz"/>
      </sharedItems>
    </cacheField>
    <cacheField name="[Mecze].[Rola].[Rola]" caption="Rola" numFmtId="0" hierarchy="37" level="1">
      <sharedItems count="2">
        <s v="PN"/>
        <s v="ST"/>
      </sharedItems>
    </cacheField>
    <cacheField name="[Meczusie].[RodzajMeczu].[RodzajMeczu]" caption="RodzajMeczu" numFmtId="0" hierarchy="47" level="1">
      <sharedItems containsSemiMixedTypes="0" containsNonDate="0" containsString="0"/>
    </cacheField>
    <cacheField name="[Meczusie].[DOM].[DOM]" caption="DOM" numFmtId="0" hierarchy="48" level="1">
      <sharedItems containsSemiMixedTypes="0" containsNonDate="0" containsString="0"/>
    </cacheField>
    <cacheField name="[Klubiki].[Nazwa].[Nazwa]" caption="Nazwa" numFmtId="0" hierarchy="7" level="1">
      <sharedItems containsSemiMixedTypes="0" containsNonDate="0" containsString="0"/>
    </cacheField>
    <cacheField name="[Measures].[Ocena Ważona]" caption="Ocena Ważona" numFmtId="0" hierarchy="166" level="32767"/>
  </cacheFields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2" memberValueDatatype="130" unbalanced="0">
      <fieldsUsage count="2">
        <fieldUsage x="-1"/>
        <fieldUsage x="6"/>
      </fieldsUsage>
    </cacheHierarchy>
    <cacheHierarchy uniqueName="[Mecze].[Numer]" caption="Numer" attribute="1" defaultMemberUniqueName="[Mecze].[Numer].[All]" allUniqueName="[Mecze].[Numer].[All]" dimensionUniqueName="[Mecze]" displayFolder="" count="2" memberValueDatatype="20" unbalanced="0">
      <fieldsUsage count="2">
        <fieldUsage x="-1"/>
        <fieldUsage x="1"/>
      </fieldsUsage>
    </cacheHierarchy>
    <cacheHierarchy uniqueName="[Mecze].[Nazwa zawodnika]" caption="Nazwa zawodnika" attribute="1" defaultMemberUniqueName="[Mecze].[Nazwa zawodnika].[All]" allUniqueName="[Mecze].[Nazwa zawodnika].[All]" dimensionUniqueName="[Mecze]" displayFolder="" count="2" memberValueDatatype="130" unbalanced="0">
      <fieldsUsage count="2">
        <fieldUsage x="-1"/>
        <fieldUsage x="2"/>
      </fieldsUsage>
    </cacheHierarchy>
    <cacheHierarchy uniqueName="[Mecze].[Pozycja]" caption="Pozycja" attribute="1" defaultMemberUniqueName="[Mecze].[Pozycja].[All]" allUniqueName="[Mecze].[Pozycja].[All]" dimensionUniqueName="[Mecze]" displayFolder="" count="0" memberValueDatatype="130" unbalanced="0"/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2" memberValueDatatype="130" unbalanced="0">
      <fieldsUsage count="2">
        <fieldUsage x="-1"/>
        <fieldUsage x="3"/>
      </fieldsUsage>
    </cacheHierarchy>
    <cacheHierarchy uniqueName="[Mecze].[Mecz]" caption="Mecz" attribute="1" defaultMemberUniqueName="[Mecze].[Mecz].[All]" allUniqueName="[Mecze].[Mecz].[All]" dimensionUniqueName="[Mecze]" displayFolder="" count="0" memberValueDatatype="20" unbalanced="0"/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0" memberValueDatatype="20" unbalanced="0"/>
    <cacheHierarchy uniqueName="[Mecze].[Typ meczu]" caption="Typ meczu" attribute="1" defaultMemberUniqueName="[Mecze].[Typ meczu].[All]" allUniqueName="[Mecze].[Typ meczu].[All]" dimensionUniqueName="[Mecze]" displayFolder="" count="0" memberValueDatatype="130" unbalanced="0"/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2" memberValueDatatype="20" unbalanced="0"/>
    <cacheHierarchy uniqueName="[Meczusie].[RodzajMeczu]" caption="RodzajMeczu" attribute="1" defaultMemberUniqueName="[Meczusie].[RodzajMeczu].[All]" allUniqueName="[Meczusie].[RodzajMeczu].[All]" dimensionUniqueName="[Meczusie]" displayFolder="" count="2" memberValueDatatype="130" unbalanced="0">
      <fieldsUsage count="2">
        <fieldUsage x="-1"/>
        <fieldUsage x="4"/>
      </fieldsUsage>
    </cacheHierarchy>
    <cacheHierarchy uniqueName="[Meczusie].[DOM]" caption="DOM" attribute="1" defaultMemberUniqueName="[Meczusie].[DOM].[All]" allUniqueName="[Meczusie].[DOM].[All]" dimensionUniqueName="[Meczusie]" displayFolder="" count="2" memberValueDatatype="130" unbalanced="0">
      <fieldsUsage count="2">
        <fieldUsage x="-1"/>
        <fieldUsage x="5"/>
      </fieldsUsage>
    </cacheHierarchy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0" memberValueDatatype="130" unbalanced="0"/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2" memberValueDatatype="130" unbalanced="0">
      <fieldsUsage count="2">
        <fieldUsage x="-1"/>
        <fieldUsage x="0"/>
      </fieldsUsage>
    </cacheHierarchy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 oneField="1">
      <fieldsUsage count="1">
        <fieldUsage x="7"/>
      </fieldsUsage>
    </cacheHierarchy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/>
    <cacheHierarchy uniqueName="[Measures].[GC]" caption="GC" measure="1" displayFolder="" measureGroup="Mecze" count="0"/>
    <cacheHierarchy uniqueName="[Measures].[% Strzałów]" caption="% Strzałów" measure="1" displayFolder="" measureGroup="Mecze" count="0"/>
    <cacheHierarchy uniqueName="[Measures].[% Podań]" caption="% Podań" measure="1" displayFolder="" measureGroup="Mecze" count="0"/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dimensions count="8">
    <dimension name="Kalendarz" uniqueName="[Kalendarz]" caption="Kalendarz"/>
    <dimension name="Klubiki" uniqueName="[Klubiki]" caption="Klubiki"/>
    <dimension measure="1" name="Measures" uniqueName="[Measures]" caption="Measures"/>
    <dimension name="Mecze" uniqueName="[Mecze]" caption="Mecze"/>
    <dimension name="Meczusie" uniqueName="[Meczusie]" caption="Meczusie"/>
    <dimension name="Radar" uniqueName="[Radar]" caption="Radar"/>
    <dimension name="Zawodnicy" uniqueName="[Zawodnicy]" caption="Zawodnicy"/>
    <dimension name="ZawodnicyLiga" uniqueName="[ZawodnicyLiga]" caption="ZawodnicyLiga"/>
  </dimensions>
  <measureGroups count="7">
    <measureGroup name="Kalendarz" caption="Kalendarz"/>
    <measureGroup name="Klubiki" caption="Klubiki"/>
    <measureGroup name="Mecze" caption="Mecze"/>
    <measureGroup name="Meczusie" caption="Meczusie"/>
    <measureGroup name="Radar" caption="Radar"/>
    <measureGroup name="Zawodnicy" caption="Zawodnicy"/>
    <measureGroup name="ZawodnicyLiga" caption="ZawodnicyLiga"/>
  </measureGroups>
  <maps count="11">
    <map measureGroup="0" dimension="0"/>
    <map measureGroup="1" dimension="1"/>
    <map measureGroup="2" dimension="1"/>
    <map measureGroup="2" dimension="3"/>
    <map measureGroup="2" dimension="4"/>
    <map measureGroup="3" dimension="4"/>
    <map measureGroup="4" dimension="5"/>
    <map measureGroup="4" dimension="6"/>
    <map measureGroup="5" dimension="6"/>
    <map measureGroup="6" dimension="1"/>
    <map measureGroup="6" dimension="7"/>
  </maps>
  <extLst>
    <ext xmlns:x14="http://schemas.microsoft.com/office/spreadsheetml/2009/9/main" uri="{725AE2AE-9491-48be-B2B4-4EB974FC3084}">
      <x14:pivotCacheDefinition pivotCacheId="2094703980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 Gulaj" refreshedDate="45371.98273009259" backgroundQuery="1" createdVersion="6" refreshedVersion="8" minRefreshableVersion="3" recordCount="0" supportSubquery="1" supportAdvancedDrill="1" xr:uid="{B7AA8742-E8AE-4EFC-BFF8-89BB5A57A09D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9">
    <cacheField name="[Zawodnicy].[Nazwa zawodnika].[Nazwa zawodnika]" caption="Nazwa zawodnika" numFmtId="0" hierarchy="73" level="1">
      <sharedItems containsSemiMixedTypes="0" containsNonDate="0" containsString="0"/>
    </cacheField>
    <cacheField name="[Mecze].[Numer].[Numer]" caption="Numer" numFmtId="0" hierarchy="8" level="1">
      <sharedItems containsSemiMixedTypes="0" containsNonDate="0" containsString="0"/>
    </cacheField>
    <cacheField name="[Measures].[Średnia OU]" caption="Średnia OU" numFmtId="0" hierarchy="130" level="32767"/>
    <cacheField name="[Mecze].[Rola].[Rola]" caption="Rola" numFmtId="0" hierarchy="37" level="1">
      <sharedItems count="2">
        <s v="PN"/>
        <s v="ST"/>
      </sharedItems>
    </cacheField>
    <cacheField name="[Mecze].[Nazwa zawodnika].[Nazwa zawodnika]" caption="Nazwa zawodnika" numFmtId="0" hierarchy="9" level="1">
      <sharedItems count="1">
        <s v=" K. Grabowicz"/>
      </sharedItems>
    </cacheField>
    <cacheField name="[Meczusie].[RodzajMeczu].[RodzajMeczu]" caption="RodzajMeczu" numFmtId="0" hierarchy="47" level="1">
      <sharedItems containsSemiMixedTypes="0" containsNonDate="0" containsString="0"/>
    </cacheField>
    <cacheField name="[Meczusie].[DOM].[DOM]" caption="DOM" numFmtId="0" hierarchy="48" level="1">
      <sharedItems containsSemiMixedTypes="0" containsNonDate="0" containsString="0"/>
    </cacheField>
    <cacheField name="[Klubiki].[Nazwa].[Nazwa]" caption="Nazwa" numFmtId="0" hierarchy="7" level="1">
      <sharedItems containsSemiMixedTypes="0" containsNonDate="0" containsString="0"/>
    </cacheField>
    <cacheField name="[Measures].[Średnia PC]" caption="Średnia PC" numFmtId="0" hierarchy="125" level="32767"/>
  </cacheFields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2" memberValueDatatype="130" unbalanced="0">
      <fieldsUsage count="2">
        <fieldUsage x="-1"/>
        <fieldUsage x="7"/>
      </fieldsUsage>
    </cacheHierarchy>
    <cacheHierarchy uniqueName="[Mecze].[Numer]" caption="Numer" attribute="1" defaultMemberUniqueName="[Mecze].[Numer].[All]" allUniqueName="[Mecze].[Numer].[All]" dimensionUniqueName="[Mecze]" displayFolder="" count="2" memberValueDatatype="20" unbalanced="0">
      <fieldsUsage count="2">
        <fieldUsage x="-1"/>
        <fieldUsage x="1"/>
      </fieldsUsage>
    </cacheHierarchy>
    <cacheHierarchy uniqueName="[Mecze].[Nazwa zawodnika]" caption="Nazwa zawodnika" attribute="1" defaultMemberUniqueName="[Mecze].[Nazwa zawodnika].[All]" allUniqueName="[Mecze].[Nazwa zawodnika].[All]" dimensionUniqueName="[Mecze]" displayFolder="" count="2" memberValueDatatype="130" unbalanced="0">
      <fieldsUsage count="2">
        <fieldUsage x="-1"/>
        <fieldUsage x="4"/>
      </fieldsUsage>
    </cacheHierarchy>
    <cacheHierarchy uniqueName="[Mecze].[Pozycja]" caption="Pozycja" attribute="1" defaultMemberUniqueName="[Mecze].[Pozycja].[All]" allUniqueName="[Mecze].[Pozycja].[All]" dimensionUniqueName="[Mecze]" displayFolder="" count="0" memberValueDatatype="130" unbalanced="0"/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2" memberValueDatatype="130" unbalanced="0">
      <fieldsUsage count="2">
        <fieldUsage x="-1"/>
        <fieldUsage x="3"/>
      </fieldsUsage>
    </cacheHierarchy>
    <cacheHierarchy uniqueName="[Mecze].[Mecz]" caption="Mecz" attribute="1" defaultMemberUniqueName="[Mecze].[Mecz].[All]" allUniqueName="[Mecze].[Mecz].[All]" dimensionUniqueName="[Mecze]" displayFolder="" count="0" memberValueDatatype="20" unbalanced="0"/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0" memberValueDatatype="20" unbalanced="0"/>
    <cacheHierarchy uniqueName="[Mecze].[Typ meczu]" caption="Typ meczu" attribute="1" defaultMemberUniqueName="[Mecze].[Typ meczu].[All]" allUniqueName="[Mecze].[Typ meczu].[All]" dimensionUniqueName="[Mecze]" displayFolder="" count="0" memberValueDatatype="130" unbalanced="0"/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2" memberValueDatatype="20" unbalanced="0"/>
    <cacheHierarchy uniqueName="[Meczusie].[RodzajMeczu]" caption="RodzajMeczu" attribute="1" defaultMemberUniqueName="[Meczusie].[RodzajMeczu].[All]" allUniqueName="[Meczusie].[RodzajMeczu].[All]" dimensionUniqueName="[Meczusie]" displayFolder="" count="2" memberValueDatatype="130" unbalanced="0">
      <fieldsUsage count="2">
        <fieldUsage x="-1"/>
        <fieldUsage x="5"/>
      </fieldsUsage>
    </cacheHierarchy>
    <cacheHierarchy uniqueName="[Meczusie].[DOM]" caption="DOM" attribute="1" defaultMemberUniqueName="[Meczusie].[DOM].[All]" allUniqueName="[Meczusie].[DOM].[All]" dimensionUniqueName="[Meczusie]" displayFolder="" count="2" memberValueDatatype="130" unbalanced="0">
      <fieldsUsage count="2">
        <fieldUsage x="-1"/>
        <fieldUsage x="6"/>
      </fieldsUsage>
    </cacheHierarchy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0" memberValueDatatype="130" unbalanced="0"/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2" memberValueDatatype="130" unbalanced="0">
      <fieldsUsage count="2">
        <fieldUsage x="-1"/>
        <fieldUsage x="0"/>
      </fieldsUsage>
    </cacheHierarchy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 oneField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/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/>
    <cacheHierarchy uniqueName="[Measures].[GC]" caption="GC" measure="1" displayFolder="" measureGroup="Mecze" count="0"/>
    <cacheHierarchy uniqueName="[Measures].[% Strzałów]" caption="% Strzałów" measure="1" displayFolder="" measureGroup="Mecze" count="0"/>
    <cacheHierarchy uniqueName="[Measures].[% Podań]" caption="% Podań" measure="1" displayFolder="" measureGroup="Mecze" count="0"/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dimensions count="8">
    <dimension name="Kalendarz" uniqueName="[Kalendarz]" caption="Kalendarz"/>
    <dimension name="Klubiki" uniqueName="[Klubiki]" caption="Klubiki"/>
    <dimension measure="1" name="Measures" uniqueName="[Measures]" caption="Measures"/>
    <dimension name="Mecze" uniqueName="[Mecze]" caption="Mecze"/>
    <dimension name="Meczusie" uniqueName="[Meczusie]" caption="Meczusie"/>
    <dimension name="Radar" uniqueName="[Radar]" caption="Radar"/>
    <dimension name="Zawodnicy" uniqueName="[Zawodnicy]" caption="Zawodnicy"/>
    <dimension name="ZawodnicyLiga" uniqueName="[ZawodnicyLiga]" caption="ZawodnicyLiga"/>
  </dimensions>
  <measureGroups count="7">
    <measureGroup name="Kalendarz" caption="Kalendarz"/>
    <measureGroup name="Klubiki" caption="Klubiki"/>
    <measureGroup name="Mecze" caption="Mecze"/>
    <measureGroup name="Meczusie" caption="Meczusie"/>
    <measureGroup name="Radar" caption="Radar"/>
    <measureGroup name="Zawodnicy" caption="Zawodnicy"/>
    <measureGroup name="ZawodnicyLiga" caption="ZawodnicyLiga"/>
  </measureGroups>
  <maps count="11">
    <map measureGroup="0" dimension="0"/>
    <map measureGroup="1" dimension="1"/>
    <map measureGroup="2" dimension="1"/>
    <map measureGroup="2" dimension="3"/>
    <map measureGroup="2" dimension="4"/>
    <map measureGroup="3" dimension="4"/>
    <map measureGroup="4" dimension="5"/>
    <map measureGroup="4" dimension="6"/>
    <map measureGroup="5" dimension="6"/>
    <map measureGroup="6" dimension="1"/>
    <map measureGroup="6" dimension="7"/>
  </maps>
  <extLst>
    <ext xmlns:x14="http://schemas.microsoft.com/office/spreadsheetml/2009/9/main" uri="{725AE2AE-9491-48be-B2B4-4EB974FC3084}">
      <x14:pivotCacheDefinition pivotCacheId="1590557747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 Gulaj" refreshedDate="45371.982734259262" backgroundQuery="1" createdVersion="6" refreshedVersion="8" minRefreshableVersion="3" recordCount="0" supportSubquery="1" supportAdvancedDrill="1" xr:uid="{887747F9-BBF9-471A-8FB6-FDDCFE3EEE7F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9">
    <cacheField name="[Zawodnicy].[Nazwa zawodnika].[Nazwa zawodnika]" caption="Nazwa zawodnika" numFmtId="0" hierarchy="73" level="1">
      <sharedItems containsSemiMixedTypes="0" containsNonDate="0" containsString="0"/>
    </cacheField>
    <cacheField name="[Mecze].[Numer].[Numer]" caption="Numer" numFmtId="0" hierarchy="8" level="1">
      <sharedItems containsSemiMixedTypes="0" containsNonDate="0" containsString="0"/>
    </cacheField>
    <cacheField name="[Mecze].[Rola].[Rola]" caption="Rola" numFmtId="0" hierarchy="37" level="1">
      <sharedItems count="2">
        <s v="PN"/>
        <s v="ST"/>
      </sharedItems>
    </cacheField>
    <cacheField name="[Measures].[Średnia /PI]" caption="Średnia /PI" numFmtId="0" hierarchy="137" level="32767"/>
    <cacheField name="[Measures].[Średnia /PI2]" caption="Średnia /PI2" numFmtId="0" hierarchy="138" level="32767"/>
    <cacheField name="[Meczusie].[RodzajMeczu].[RodzajMeczu]" caption="RodzajMeczu" numFmtId="0" hierarchy="47" level="1">
      <sharedItems containsSemiMixedTypes="0" containsNonDate="0" containsString="0"/>
    </cacheField>
    <cacheField name="[Meczusie].[DOM].[DOM]" caption="DOM" numFmtId="0" hierarchy="48" level="1">
      <sharedItems containsSemiMixedTypes="0" containsNonDate="0" containsString="0"/>
    </cacheField>
    <cacheField name="[Klubiki].[Nazwa].[Nazwa]" caption="Nazwa" numFmtId="0" hierarchy="7" level="1">
      <sharedItems containsSemiMixedTypes="0" containsNonDate="0" containsString="0"/>
    </cacheField>
    <cacheField name="[Mecze].[Nazwa zawodnika].[Nazwa zawodnika]" caption="Nazwa zawodnika" numFmtId="0" hierarchy="9" level="1">
      <sharedItems containsSemiMixedTypes="0" containsNonDate="0" containsString="0"/>
    </cacheField>
  </cacheFields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2" memberValueDatatype="130" unbalanced="0">
      <fieldsUsage count="2">
        <fieldUsage x="-1"/>
        <fieldUsage x="7"/>
      </fieldsUsage>
    </cacheHierarchy>
    <cacheHierarchy uniqueName="[Mecze].[Numer]" caption="Numer" attribute="1" defaultMemberUniqueName="[Mecze].[Numer].[All]" allUniqueName="[Mecze].[Numer].[All]" dimensionUniqueName="[Mecze]" displayFolder="" count="2" memberValueDatatype="20" unbalanced="0">
      <fieldsUsage count="2">
        <fieldUsage x="-1"/>
        <fieldUsage x="1"/>
      </fieldsUsage>
    </cacheHierarchy>
    <cacheHierarchy uniqueName="[Mecze].[Nazwa zawodnika]" caption="Nazwa zawodnika" attribute="1" defaultMemberUniqueName="[Mecze].[Nazwa zawodnika].[All]" allUniqueName="[Mecze].[Nazwa zawodnika].[All]" dimensionUniqueName="[Mecze]" displayFolder="" count="2" memberValueDatatype="130" unbalanced="0">
      <fieldsUsage count="2">
        <fieldUsage x="-1"/>
        <fieldUsage x="8"/>
      </fieldsUsage>
    </cacheHierarchy>
    <cacheHierarchy uniqueName="[Mecze].[Pozycja]" caption="Pozycja" attribute="1" defaultMemberUniqueName="[Mecze].[Pozycja].[All]" allUniqueName="[Mecze].[Pozycja].[All]" dimensionUniqueName="[Mecze]" displayFolder="" count="0" memberValueDatatype="130" unbalanced="0"/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2" memberValueDatatype="130" unbalanced="0">
      <fieldsUsage count="2">
        <fieldUsage x="-1"/>
        <fieldUsage x="2"/>
      </fieldsUsage>
    </cacheHierarchy>
    <cacheHierarchy uniqueName="[Mecze].[Mecz]" caption="Mecz" attribute="1" defaultMemberUniqueName="[Mecze].[Mecz].[All]" allUniqueName="[Mecze].[Mecz].[All]" dimensionUniqueName="[Mecze]" displayFolder="" count="0" memberValueDatatype="20" unbalanced="0"/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0" memberValueDatatype="20" unbalanced="0"/>
    <cacheHierarchy uniqueName="[Mecze].[Typ meczu]" caption="Typ meczu" attribute="1" defaultMemberUniqueName="[Mecze].[Typ meczu].[All]" allUniqueName="[Mecze].[Typ meczu].[All]" dimensionUniqueName="[Mecze]" displayFolder="" count="0" memberValueDatatype="130" unbalanced="0"/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2" memberValueDatatype="20" unbalanced="0"/>
    <cacheHierarchy uniqueName="[Meczusie].[RodzajMeczu]" caption="RodzajMeczu" attribute="1" defaultMemberUniqueName="[Meczusie].[RodzajMeczu].[All]" allUniqueName="[Meczusie].[RodzajMeczu].[All]" dimensionUniqueName="[Meczusie]" displayFolder="" count="2" memberValueDatatype="130" unbalanced="0">
      <fieldsUsage count="2">
        <fieldUsage x="-1"/>
        <fieldUsage x="5"/>
      </fieldsUsage>
    </cacheHierarchy>
    <cacheHierarchy uniqueName="[Meczusie].[DOM]" caption="DOM" attribute="1" defaultMemberUniqueName="[Meczusie].[DOM].[All]" allUniqueName="[Meczusie].[DOM].[All]" dimensionUniqueName="[Meczusie]" displayFolder="" count="2" memberValueDatatype="130" unbalanced="0">
      <fieldsUsage count="2">
        <fieldUsage x="-1"/>
        <fieldUsage x="6"/>
      </fieldsUsage>
    </cacheHierarchy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0" memberValueDatatype="130" unbalanced="0"/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2" memberValueDatatype="130" unbalanced="0">
      <fieldsUsage count="2">
        <fieldUsage x="-1"/>
        <fieldUsage x="0"/>
      </fieldsUsage>
    </cacheHierarchy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 oneField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/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/>
    <cacheHierarchy uniqueName="[Measures].[GC]" caption="GC" measure="1" displayFolder="" measureGroup="Mecze" count="0"/>
    <cacheHierarchy uniqueName="[Measures].[% Strzałów]" caption="% Strzałów" measure="1" displayFolder="" measureGroup="Mecze" count="0"/>
    <cacheHierarchy uniqueName="[Measures].[% Podań]" caption="% Podań" measure="1" displayFolder="" measureGroup="Mecze" count="0"/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dimensions count="8">
    <dimension name="Kalendarz" uniqueName="[Kalendarz]" caption="Kalendarz"/>
    <dimension name="Klubiki" uniqueName="[Klubiki]" caption="Klubiki"/>
    <dimension measure="1" name="Measures" uniqueName="[Measures]" caption="Measures"/>
    <dimension name="Mecze" uniqueName="[Mecze]" caption="Mecze"/>
    <dimension name="Meczusie" uniqueName="[Meczusie]" caption="Meczusie"/>
    <dimension name="Radar" uniqueName="[Radar]" caption="Radar"/>
    <dimension name="Zawodnicy" uniqueName="[Zawodnicy]" caption="Zawodnicy"/>
    <dimension name="ZawodnicyLiga" uniqueName="[ZawodnicyLiga]" caption="ZawodnicyLiga"/>
  </dimensions>
  <measureGroups count="7">
    <measureGroup name="Kalendarz" caption="Kalendarz"/>
    <measureGroup name="Klubiki" caption="Klubiki"/>
    <measureGroup name="Mecze" caption="Mecze"/>
    <measureGroup name="Meczusie" caption="Meczusie"/>
    <measureGroup name="Radar" caption="Radar"/>
    <measureGroup name="Zawodnicy" caption="Zawodnicy"/>
    <measureGroup name="ZawodnicyLiga" caption="ZawodnicyLiga"/>
  </measureGroups>
  <maps count="11">
    <map measureGroup="0" dimension="0"/>
    <map measureGroup="1" dimension="1"/>
    <map measureGroup="2" dimension="1"/>
    <map measureGroup="2" dimension="3"/>
    <map measureGroup="2" dimension="4"/>
    <map measureGroup="3" dimension="4"/>
    <map measureGroup="4" dimension="5"/>
    <map measureGroup="4" dimension="6"/>
    <map measureGroup="5" dimension="6"/>
    <map measureGroup="6" dimension="1"/>
    <map measureGroup="6" dimension="7"/>
  </maps>
  <extLst>
    <ext xmlns:x14="http://schemas.microsoft.com/office/spreadsheetml/2009/9/main" uri="{725AE2AE-9491-48be-B2B4-4EB974FC3084}">
      <x14:pivotCacheDefinition pivotCacheId="1198439885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 Gulaj" refreshedDate="45371.982736226855" backgroundQuery="1" createdVersion="6" refreshedVersion="8" minRefreshableVersion="3" recordCount="0" supportSubquery="1" supportAdvancedDrill="1" xr:uid="{289341CC-AF47-4C7C-B2C0-0F8CFE074F14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9">
    <cacheField name="[Zawodnicy].[Nazwa zawodnika].[Nazwa zawodnika]" caption="Nazwa zawodnika" numFmtId="0" hierarchy="73" level="1">
      <sharedItems containsSemiMixedTypes="0" containsNonDate="0" containsString="0"/>
    </cacheField>
    <cacheField name="[Mecze].[Numer].[Numer]" caption="Numer" numFmtId="0" hierarchy="8" level="1">
      <sharedItems containsSemiMixedTypes="0" containsNonDate="0" containsString="0"/>
    </cacheField>
    <cacheField name="[Measures].[Średnia PR]" caption="Średnia PR" numFmtId="0" hierarchy="133" level="32767"/>
    <cacheField name="[Measures].[Średnia OB]" caption="Średnia OB" numFmtId="0" hierarchy="134" level="32767"/>
    <cacheField name="[Mecze].[Nazwa zawodnika].[Nazwa zawodnika]" caption="Nazwa zawodnika" numFmtId="0" hierarchy="9" level="1">
      <sharedItems count="1">
        <s v=" K. Grabowicz"/>
      </sharedItems>
    </cacheField>
    <cacheField name="[Mecze].[Rola].[Rola]" caption="Rola" numFmtId="0" hierarchy="37" level="1">
      <sharedItems count="2">
        <s v="PN"/>
        <s v="ST"/>
      </sharedItems>
    </cacheField>
    <cacheField name="[Meczusie].[RodzajMeczu].[RodzajMeczu]" caption="RodzajMeczu" numFmtId="0" hierarchy="47" level="1">
      <sharedItems containsSemiMixedTypes="0" containsNonDate="0" containsString="0"/>
    </cacheField>
    <cacheField name="[Meczusie].[DOM].[DOM]" caption="DOM" numFmtId="0" hierarchy="48" level="1">
      <sharedItems containsSemiMixedTypes="0" containsNonDate="0" containsString="0"/>
    </cacheField>
    <cacheField name="[Klubiki].[Nazwa].[Nazwa]" caption="Nazwa" numFmtId="0" hierarchy="7" level="1">
      <sharedItems containsSemiMixedTypes="0" containsNonDate="0" containsString="0"/>
    </cacheField>
  </cacheFields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2" memberValueDatatype="130" unbalanced="0">
      <fieldsUsage count="2">
        <fieldUsage x="-1"/>
        <fieldUsage x="8"/>
      </fieldsUsage>
    </cacheHierarchy>
    <cacheHierarchy uniqueName="[Mecze].[Numer]" caption="Numer" attribute="1" defaultMemberUniqueName="[Mecze].[Numer].[All]" allUniqueName="[Mecze].[Numer].[All]" dimensionUniqueName="[Mecze]" displayFolder="" count="2" memberValueDatatype="20" unbalanced="0">
      <fieldsUsage count="2">
        <fieldUsage x="-1"/>
        <fieldUsage x="1"/>
      </fieldsUsage>
    </cacheHierarchy>
    <cacheHierarchy uniqueName="[Mecze].[Nazwa zawodnika]" caption="Nazwa zawodnika" attribute="1" defaultMemberUniqueName="[Mecze].[Nazwa zawodnika].[All]" allUniqueName="[Mecze].[Nazwa zawodnika].[All]" dimensionUniqueName="[Mecze]" displayFolder="" count="2" memberValueDatatype="130" unbalanced="0">
      <fieldsUsage count="2">
        <fieldUsage x="-1"/>
        <fieldUsage x="4"/>
      </fieldsUsage>
    </cacheHierarchy>
    <cacheHierarchy uniqueName="[Mecze].[Pozycja]" caption="Pozycja" attribute="1" defaultMemberUniqueName="[Mecze].[Pozycja].[All]" allUniqueName="[Mecze].[Pozycja].[All]" dimensionUniqueName="[Mecze]" displayFolder="" count="0" memberValueDatatype="130" unbalanced="0"/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2" memberValueDatatype="130" unbalanced="0">
      <fieldsUsage count="2">
        <fieldUsage x="-1"/>
        <fieldUsage x="5"/>
      </fieldsUsage>
    </cacheHierarchy>
    <cacheHierarchy uniqueName="[Mecze].[Mecz]" caption="Mecz" attribute="1" defaultMemberUniqueName="[Mecze].[Mecz].[All]" allUniqueName="[Mecze].[Mecz].[All]" dimensionUniqueName="[Mecze]" displayFolder="" count="0" memberValueDatatype="20" unbalanced="0"/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0" memberValueDatatype="20" unbalanced="0"/>
    <cacheHierarchy uniqueName="[Mecze].[Typ meczu]" caption="Typ meczu" attribute="1" defaultMemberUniqueName="[Mecze].[Typ meczu].[All]" allUniqueName="[Mecze].[Typ meczu].[All]" dimensionUniqueName="[Mecze]" displayFolder="" count="0" memberValueDatatype="130" unbalanced="0"/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2" memberValueDatatype="20" unbalanced="0"/>
    <cacheHierarchy uniqueName="[Meczusie].[RodzajMeczu]" caption="RodzajMeczu" attribute="1" defaultMemberUniqueName="[Meczusie].[RodzajMeczu].[All]" allUniqueName="[Meczusie].[RodzajMeczu].[All]" dimensionUniqueName="[Meczusie]" displayFolder="" count="2" memberValueDatatype="130" unbalanced="0">
      <fieldsUsage count="2">
        <fieldUsage x="-1"/>
        <fieldUsage x="6"/>
      </fieldsUsage>
    </cacheHierarchy>
    <cacheHierarchy uniqueName="[Meczusie].[DOM]" caption="DOM" attribute="1" defaultMemberUniqueName="[Meczusie].[DOM].[All]" allUniqueName="[Meczusie].[DOM].[All]" dimensionUniqueName="[Meczusie]" displayFolder="" count="2" memberValueDatatype="130" unbalanced="0">
      <fieldsUsage count="2">
        <fieldUsage x="-1"/>
        <fieldUsage x="7"/>
      </fieldsUsage>
    </cacheHierarchy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0" memberValueDatatype="130" unbalanced="0"/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2" memberValueDatatype="130" unbalanced="0">
      <fieldsUsage count="2">
        <fieldUsage x="-1"/>
        <fieldUsage x="0"/>
      </fieldsUsage>
    </cacheHierarchy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 oneField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/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/>
    <cacheHierarchy uniqueName="[Measures].[GC]" caption="GC" measure="1" displayFolder="" measureGroup="Mecze" count="0"/>
    <cacheHierarchy uniqueName="[Measures].[% Strzałów]" caption="% Strzałów" measure="1" displayFolder="" measureGroup="Mecze" count="0"/>
    <cacheHierarchy uniqueName="[Measures].[% Podań]" caption="% Podań" measure="1" displayFolder="" measureGroup="Mecze" count="0"/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dimensions count="8">
    <dimension name="Kalendarz" uniqueName="[Kalendarz]" caption="Kalendarz"/>
    <dimension name="Klubiki" uniqueName="[Klubiki]" caption="Klubiki"/>
    <dimension measure="1" name="Measures" uniqueName="[Measures]" caption="Measures"/>
    <dimension name="Mecze" uniqueName="[Mecze]" caption="Mecze"/>
    <dimension name="Meczusie" uniqueName="[Meczusie]" caption="Meczusie"/>
    <dimension name="Radar" uniqueName="[Radar]" caption="Radar"/>
    <dimension name="Zawodnicy" uniqueName="[Zawodnicy]" caption="Zawodnicy"/>
    <dimension name="ZawodnicyLiga" uniqueName="[ZawodnicyLiga]" caption="ZawodnicyLiga"/>
  </dimensions>
  <measureGroups count="7">
    <measureGroup name="Kalendarz" caption="Kalendarz"/>
    <measureGroup name="Klubiki" caption="Klubiki"/>
    <measureGroup name="Mecze" caption="Mecze"/>
    <measureGroup name="Meczusie" caption="Meczusie"/>
    <measureGroup name="Radar" caption="Radar"/>
    <measureGroup name="Zawodnicy" caption="Zawodnicy"/>
    <measureGroup name="ZawodnicyLiga" caption="ZawodnicyLiga"/>
  </measureGroups>
  <maps count="11">
    <map measureGroup="0" dimension="0"/>
    <map measureGroup="1" dimension="1"/>
    <map measureGroup="2" dimension="1"/>
    <map measureGroup="2" dimension="3"/>
    <map measureGroup="2" dimension="4"/>
    <map measureGroup="3" dimension="4"/>
    <map measureGroup="4" dimension="5"/>
    <map measureGroup="4" dimension="6"/>
    <map measureGroup="5" dimension="6"/>
    <map measureGroup="6" dimension="1"/>
    <map measureGroup="6" dimension="7"/>
  </maps>
  <extLst>
    <ext xmlns:x14="http://schemas.microsoft.com/office/spreadsheetml/2009/9/main" uri="{725AE2AE-9491-48be-B2B4-4EB974FC3084}">
      <x14:pivotCacheDefinition pivotCacheId="488059426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ciej Gulaj" refreshedDate="45371.98274039352" backgroundQuery="1" createdVersion="6" refreshedVersion="8" minRefreshableVersion="3" recordCount="0" supportSubquery="1" supportAdvancedDrill="1" xr:uid="{E63E6572-3B6A-4DA8-8494-08BFD38B021B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9">
    <cacheField name="[Zawodnicy].[Nazwa zawodnika].[Nazwa zawodnika]" caption="Nazwa zawodnika" numFmtId="0" hierarchy="73" level="1">
      <sharedItems containsSemiMixedTypes="0" containsNonDate="0" containsString="0"/>
    </cacheField>
    <cacheField name="[Mecze].[Numer].[Numer]" caption="Numer" numFmtId="0" hierarchy="8" level="1">
      <sharedItems containsSemiMixedTypes="0" containsNonDate="0" containsString="0"/>
    </cacheField>
    <cacheField name="[Measures].[Średnia /GC]" caption="Średnia /GC" numFmtId="0" hierarchy="136" level="32767"/>
    <cacheField name="[Mecze].[Nazwa zawodnika].[Nazwa zawodnika]" caption="Nazwa zawodnika" numFmtId="0" hierarchy="9" level="1">
      <sharedItems count="1">
        <s v=" K. Grabowicz"/>
      </sharedItems>
    </cacheField>
    <cacheField name="[Mecze].[Rola].[Rola]" caption="Rola" numFmtId="0" hierarchy="37" level="1">
      <sharedItems count="2">
        <s v="PN"/>
        <s v="ST"/>
      </sharedItems>
    </cacheField>
    <cacheField name="[Measures].[Średnia BR]" caption="Średnia BR" numFmtId="0" hierarchy="142" level="32767"/>
    <cacheField name="[Meczusie].[RodzajMeczu].[RodzajMeczu]" caption="RodzajMeczu" numFmtId="0" hierarchy="47" level="1">
      <sharedItems containsSemiMixedTypes="0" containsNonDate="0" containsString="0"/>
    </cacheField>
    <cacheField name="[Meczusie].[DOM].[DOM]" caption="DOM" numFmtId="0" hierarchy="48" level="1">
      <sharedItems containsSemiMixedTypes="0" containsNonDate="0" containsString="0"/>
    </cacheField>
    <cacheField name="[Klubiki].[Nazwa].[Nazwa]" caption="Nazwa" numFmtId="0" hierarchy="7" level="1">
      <sharedItems containsSemiMixedTypes="0" containsNonDate="0" containsString="0"/>
    </cacheField>
  </cacheFields>
  <cacheHierarchies count="181">
    <cacheHierarchy uniqueName="[Kalendarz].[Data]" caption="Data" attribute="1" time="1" defaultMemberUniqueName="[Kalendarz].[Data].[All]" allUniqueName="[Kalendarz].[Data].[All]" dimensionUniqueName="[Kalendarz]" displayFolder="" count="0" memberValueDatatype="7" unbalanced="0"/>
    <cacheHierarchy uniqueName="[Kalendarz].[Rok]" caption="Rok" attribute="1" defaultMemberUniqueName="[Kalendarz].[Rok].[All]" allUniqueName="[Kalendarz].[Rok].[All]" dimensionUniqueName="[Kalendarz]" displayFolder="" count="0" memberValueDatatype="20" unbalanced="0"/>
    <cacheHierarchy uniqueName="[Kalendarz].[Miesiąc]" caption="Miesiąc" attribute="1" defaultMemberUniqueName="[Kalendarz].[Miesiąc].[All]" allUniqueName="[Kalendarz].[Miesiąc].[All]" dimensionUniqueName="[Kalendarz]" displayFolder="" count="0" memberValueDatatype="20" unbalanced="0"/>
    <cacheHierarchy uniqueName="[Kalendarz].[Dzień]" caption="Dzień" attribute="1" defaultMemberUniqueName="[Kalendarz].[Dzień].[All]" allUniqueName="[Kalendarz].[Dzień].[All]" dimensionUniqueName="[Kalendarz]" displayFolder="" count="0" memberValueDatatype="20" unbalanced="0"/>
    <cacheHierarchy uniqueName="[Kalendarz].[Dzień tygodnia]" caption="Dzień tygodnia" attribute="1" defaultMemberUniqueName="[Kalendarz].[Dzień tygodnia].[All]" allUniqueName="[Kalendarz].[Dzień tygodnia].[All]" dimensionUniqueName="[Kalendarz]" displayFolder="" count="0" memberValueDatatype="20" unbalanced="0"/>
    <cacheHierarchy uniqueName="[Kalendarz].[Nazwa dnia]" caption="Nazwa dnia" attribute="1" defaultMemberUniqueName="[Kalendarz].[Nazwa dnia].[All]" allUniqueName="[Kalendarz].[Nazwa dnia].[All]" dimensionUniqueName="[Kalendarz]" displayFolder="" count="0" memberValueDatatype="130" unbalanced="0"/>
    <cacheHierarchy uniqueName="[Klubiki].[ID]" caption="ID" attribute="1" defaultMemberUniqueName="[Klubiki].[ID].[All]" allUniqueName="[Klubiki].[ID].[All]" dimensionUniqueName="[Klubiki]" displayFolder="" count="0" memberValueDatatype="20" unbalanced="0"/>
    <cacheHierarchy uniqueName="[Klubiki].[Nazwa]" caption="Nazwa" attribute="1" defaultMemberUniqueName="[Klubiki].[Nazwa].[All]" allUniqueName="[Klubiki].[Nazwa].[All]" dimensionUniqueName="[Klubiki]" displayFolder="" count="2" memberValueDatatype="130" unbalanced="0">
      <fieldsUsage count="2">
        <fieldUsage x="-1"/>
        <fieldUsage x="8"/>
      </fieldsUsage>
    </cacheHierarchy>
    <cacheHierarchy uniqueName="[Mecze].[Numer]" caption="Numer" attribute="1" defaultMemberUniqueName="[Mecze].[Numer].[All]" allUniqueName="[Mecze].[Numer].[All]" dimensionUniqueName="[Mecze]" displayFolder="" count="2" memberValueDatatype="20" unbalanced="0">
      <fieldsUsage count="2">
        <fieldUsage x="-1"/>
        <fieldUsage x="1"/>
      </fieldsUsage>
    </cacheHierarchy>
    <cacheHierarchy uniqueName="[Mecze].[Nazwa zawodnika]" caption="Nazwa zawodnika" attribute="1" defaultMemberUniqueName="[Mecze].[Nazwa zawodnika].[All]" allUniqueName="[Mecze].[Nazwa zawodnika].[All]" dimensionUniqueName="[Mecze]" displayFolder="" count="2" memberValueDatatype="130" unbalanced="0">
      <fieldsUsage count="2">
        <fieldUsage x="-1"/>
        <fieldUsage x="3"/>
      </fieldsUsage>
    </cacheHierarchy>
    <cacheHierarchy uniqueName="[Mecze].[Pozycja]" caption="Pozycja" attribute="1" defaultMemberUniqueName="[Mecze].[Pozycja].[All]" allUniqueName="[Mecze].[Pozycja].[All]" dimensionUniqueName="[Mecze]" displayFolder="" count="0" memberValueDatatype="130" unbalanced="0"/>
    <cacheHierarchy uniqueName="[Mecze].[BR]" caption="BR" attribute="1" defaultMemberUniqueName="[Mecze].[BR].[All]" allUniqueName="[Mecze].[BR].[All]" dimensionUniqueName="[Mecze]" displayFolder="" count="0" memberValueDatatype="20" unbalanced="0"/>
    <cacheHierarchy uniqueName="[Mecze].[ST]" caption="ST" attribute="1" defaultMemberUniqueName="[Mecze].[ST].[All]" allUniqueName="[Mecze].[ST].[All]" dimensionUniqueName="[Mecze]" displayFolder="" count="0" memberValueDatatype="20" unbalanced="0"/>
    <cacheHierarchy uniqueName="[Mecze].[SC]" caption="SC" attribute="1" defaultMemberUniqueName="[Mecze].[SC].[All]" allUniqueName="[Mecze].[SC].[All]" dimensionUniqueName="[Mecze]" displayFolder="" count="0" memberValueDatatype="20" unbalanced="0"/>
    <cacheHierarchy uniqueName="[Mecze].[PD]" caption="PD" attribute="1" defaultMemberUniqueName="[Mecze].[PD].[All]" allUniqueName="[Mecze].[PD].[All]" dimensionUniqueName="[Mecze]" displayFolder="" count="0" memberValueDatatype="20" unbalanced="0"/>
    <cacheHierarchy uniqueName="[Mecze].[%PC]" caption="%PC" attribute="1" defaultMemberUniqueName="[Mecze].[%PC].[All]" allUniqueName="[Mecze].[%PC].[All]" dimensionUniqueName="[Mecze]" displayFolder="" count="0" memberValueDatatype="5" unbalanced="0"/>
    <cacheHierarchy uniqueName="[Mecze].[OD]" caption="OD" attribute="1" defaultMemberUniqueName="[Mecze].[OD].[All]" allUniqueName="[Mecze].[OD].[All]" dimensionUniqueName="[Mecze]" displayFolder="" count="0" memberValueDatatype="20" unbalanced="0"/>
    <cacheHierarchy uniqueName="[Mecze].[%OU]" caption="%OU" attribute="1" defaultMemberUniqueName="[Mecze].[%OU].[All]" allUniqueName="[Mecze].[%OU].[All]" dimensionUniqueName="[Mecze]" displayFolder="" count="0" memberValueDatatype="5" unbalanced="0"/>
    <cacheHierarchy uniqueName="[Mecze].[OB]" caption="OB" attribute="1" defaultMemberUniqueName="[Mecze].[OB].[All]" allUniqueName="[Mecze].[OB].[All]" dimensionUniqueName="[Mecze]" displayFolder="" count="0" memberValueDatatype="20" unbalanced="0"/>
    <cacheHierarchy uniqueName="[Mecze].[PR]" caption="PR" attribute="1" defaultMemberUniqueName="[Mecze].[PR].[All]" allUniqueName="[Mecze].[PR].[All]" dimensionUniqueName="[Mecze]" displayFolder="" count="0" memberValueDatatype="20" unbalanced="0"/>
    <cacheHierarchy uniqueName="[Mecze].[/PR:90]" caption="/PR:90" attribute="1" defaultMemberUniqueName="[Mecze].[/PR:90].[All]" allUniqueName="[Mecze].[/PR:90].[All]" dimensionUniqueName="[Mecze]" displayFolder="" count="0" memberValueDatatype="5" unbalanced="0"/>
    <cacheHierarchy uniqueName="[Mecze].[/OU:90]" caption="/OU:90" attribute="1" defaultMemberUniqueName="[Mecze].[/OU:90].[All]" allUniqueName="[Mecze].[/OU:90].[All]" dimensionUniqueName="[Mecze]" displayFolder="" count="0" memberValueDatatype="5" unbalanced="0"/>
    <cacheHierarchy uniqueName="[Mecze].[/PC:90]" caption="/PC:90" attribute="1" defaultMemberUniqueName="[Mecze].[/PC:90].[All]" allUniqueName="[Mecze].[/PC:90].[All]" dimensionUniqueName="[Mecze]" displayFolder="" count="0" memberValueDatatype="5" unbalanced="0"/>
    <cacheHierarchy uniqueName="[Mecze].[/SC:90]" caption="/SC:90" attribute="1" defaultMemberUniqueName="[Mecze].[/SC:90].[All]" allUniqueName="[Mecze].[/SC:90].[All]" dimensionUniqueName="[Mecze]" displayFolder="" count="0" memberValueDatatype="5" unbalanced="0"/>
    <cacheHierarchy uniqueName="[Mecze].[/OB:90]" caption="/OB:90" attribute="1" defaultMemberUniqueName="[Mecze].[/OB:90].[All]" allUniqueName="[Mecze].[/OB:90].[All]" dimensionUniqueName="[Mecze]" displayFolder="" count="0" memberValueDatatype="5" unbalanced="0"/>
    <cacheHierarchy uniqueName="[Mecze].[/BR:90]" caption="/BR:90" attribute="1" defaultMemberUniqueName="[Mecze].[/BR:90].[All]" allUniqueName="[Mecze].[/BR:90].[All]" dimensionUniqueName="[Mecze]" displayFolder="" count="0" memberValueDatatype="5" unbalanced="0"/>
    <cacheHierarchy uniqueName="[Mecze].[/BRI]" caption="/BRI" attribute="1" defaultMemberUniqueName="[Mecze].[/BRI].[All]" allUniqueName="[Mecze].[/BRI].[All]" dimensionUniqueName="[Mecze]" displayFolder="" count="0" memberValueDatatype="5" unbalanced="0"/>
    <cacheHierarchy uniqueName="[Mecze].[/OBI]" caption="/OBI" attribute="1" defaultMemberUniqueName="[Mecze].[/OBI].[All]" allUniqueName="[Mecze].[/OBI].[All]" dimensionUniqueName="[Mecze]" displayFolder="" count="0" memberValueDatatype="5" unbalanced="0"/>
    <cacheHierarchy uniqueName="[Mecze].[/DPI]" caption="/DPI" attribute="1" defaultMemberUniqueName="[Mecze].[/DPI].[All]" allUniqueName="[Mecze].[/DPI].[All]" dimensionUniqueName="[Mecze]" displayFolder="" count="0" memberValueDatatype="5" unbalanced="0"/>
    <cacheHierarchy uniqueName="[Mecze].[/SPI]" caption="/SPI" attribute="1" defaultMemberUniqueName="[Mecze].[/SPI].[All]" allUniqueName="[Mecze].[/SPI].[All]" dimensionUniqueName="[Mecze]" displayFolder="" count="0" memberValueDatatype="5" unbalanced="0"/>
    <cacheHierarchy uniqueName="[Mecze].[/OPI]" caption="/OPI" attribute="1" defaultMemberUniqueName="[Mecze].[/OPI].[All]" allUniqueName="[Mecze].[/OPI].[All]" dimensionUniqueName="[Mecze]" displayFolder="" count="0" memberValueDatatype="5" unbalanced="0"/>
    <cacheHierarchy uniqueName="[Mecze].[/NPI]" caption="/NPI" attribute="1" defaultMemberUniqueName="[Mecze].[/NPI].[All]" allUniqueName="[Mecze].[/NPI].[All]" dimensionUniqueName="[Mecze]" displayFolder="" count="0" memberValueDatatype="5" unbalanced="0"/>
    <cacheHierarchy uniqueName="[Mecze].[/PI]" caption="/PI" attribute="1" defaultMemberUniqueName="[Mecze].[/PI].[All]" allUniqueName="[Mecze].[/PI].[All]" dimensionUniqueName="[Mecze]" displayFolder="" count="0" memberValueDatatype="5" unbalanced="0"/>
    <cacheHierarchy uniqueName="[Mecze].[/PI2]" caption="/PI2" attribute="1" defaultMemberUniqueName="[Mecze].[/PI2].[All]" allUniqueName="[Mecze].[/PI2].[All]" dimensionUniqueName="[Mecze]" displayFolder="" count="0" memberValueDatatype="5" unbalanced="0"/>
    <cacheHierarchy uniqueName="[Mecze].[/GC]" caption="/GC" attribute="1" defaultMemberUniqueName="[Mecze].[/GC].[All]" allUniqueName="[Mecze].[/GC].[All]" dimensionUniqueName="[Mecze]" displayFolder="" count="0" memberValueDatatype="5" unbalanced="0"/>
    <cacheHierarchy uniqueName="[Mecze].[PC]" caption="PC" attribute="1" defaultMemberUniqueName="[Mecze].[PC].[All]" allUniqueName="[Mecze].[PC].[All]" dimensionUniqueName="[Mecze]" displayFolder="" count="0" memberValueDatatype="20" unbalanced="0"/>
    <cacheHierarchy uniqueName="[Mecze].[OU]" caption="OU" attribute="1" defaultMemberUniqueName="[Mecze].[OU].[All]" allUniqueName="[Mecze].[OU].[All]" dimensionUniqueName="[Mecze]" displayFolder="" count="0" memberValueDatatype="20" unbalanced="0"/>
    <cacheHierarchy uniqueName="[Mecze].[Rola]" caption="Rola" attribute="1" defaultMemberUniqueName="[Mecze].[Rola].[All]" allUniqueName="[Mecze].[Rola].[All]" dimensionUniqueName="[Mecze]" displayFolder="" count="2" memberValueDatatype="130" unbalanced="0">
      <fieldsUsage count="2">
        <fieldUsage x="-1"/>
        <fieldUsage x="4"/>
      </fieldsUsage>
    </cacheHierarchy>
    <cacheHierarchy uniqueName="[Mecze].[Mecz]" caption="Mecz" attribute="1" defaultMemberUniqueName="[Mecze].[Mecz].[All]" allUniqueName="[Mecze].[Mecz].[All]" dimensionUniqueName="[Mecze]" displayFolder="" count="0" memberValueDatatype="20" unbalanced="0"/>
    <cacheHierarchy uniqueName="[Mecze].[Ocena]" caption="Ocena" attribute="1" defaultMemberUniqueName="[Mecze].[Ocena].[All]" allUniqueName="[Mecze].[Ocena].[All]" dimensionUniqueName="[Mecze]" displayFolder="" count="0" memberValueDatatype="5" unbalanced="0"/>
    <cacheHierarchy uniqueName="[Mecze].[KŻ]" caption="KŻ" attribute="1" defaultMemberUniqueName="[Mecze].[KŻ].[All]" allUniqueName="[Mecze].[KŻ].[All]" dimensionUniqueName="[Mecze]" displayFolder="" count="0" memberValueDatatype="20" unbalanced="0"/>
    <cacheHierarchy uniqueName="[Mecze].[KC]" caption="KC" attribute="1" defaultMemberUniqueName="[Mecze].[KC].[All]" allUniqueName="[Mecze].[KC].[All]" dimensionUniqueName="[Mecze]" displayFolder="" count="0" memberValueDatatype="20" unbalanced="0"/>
    <cacheHierarchy uniqueName="[Mecze].[CZAS]" caption="CZAS" attribute="1" defaultMemberUniqueName="[Mecze].[CZAS].[All]" allUniqueName="[Mecze].[CZAS].[All]" dimensionUniqueName="[Mecze]" displayFolder="" count="0" memberValueDatatype="20" unbalanced="0"/>
    <cacheHierarchy uniqueName="[Mecze].[TEAM]" caption="TEAM" attribute="1" defaultMemberUniqueName="[Mecze].[TEAM].[All]" allUniqueName="[Mecze].[TEAM].[All]" dimensionUniqueName="[Mecze]" displayFolder="" count="0" memberValueDatatype="20" unbalanced="0"/>
    <cacheHierarchy uniqueName="[Mecze].[Typ meczu]" caption="Typ meczu" attribute="1" defaultMemberUniqueName="[Mecze].[Typ meczu].[All]" allUniqueName="[Mecze].[Typ meczu].[All]" dimensionUniqueName="[Mecze]" displayFolder="" count="0" memberValueDatatype="130" unbalanced="0"/>
    <cacheHierarchy uniqueName="[Mecze].[Ocena*Czas]" caption="Ocena*Czas" attribute="1" defaultMemberUniqueName="[Mecze].[Ocena*Czas].[All]" allUniqueName="[Mecze].[Ocena*Czas].[All]" dimensionUniqueName="[Mecze]" displayFolder="" count="0" memberValueDatatype="5" unbalanced="0"/>
    <cacheHierarchy uniqueName="[Meczusie].[Mecz]" caption="Mecz" attribute="1" defaultMemberUniqueName="[Meczusie].[Mecz].[All]" allUniqueName="[Meczusie].[Mecz].[All]" dimensionUniqueName="[Meczusie]" displayFolder="" count="2" memberValueDatatype="20" unbalanced="0"/>
    <cacheHierarchy uniqueName="[Meczusie].[RodzajMeczu]" caption="RodzajMeczu" attribute="1" defaultMemberUniqueName="[Meczusie].[RodzajMeczu].[All]" allUniqueName="[Meczusie].[RodzajMeczu].[All]" dimensionUniqueName="[Meczusie]" displayFolder="" count="2" memberValueDatatype="130" unbalanced="0">
      <fieldsUsage count="2">
        <fieldUsage x="-1"/>
        <fieldUsage x="6"/>
      </fieldsUsage>
    </cacheHierarchy>
    <cacheHierarchy uniqueName="[Meczusie].[DOM]" caption="DOM" attribute="1" defaultMemberUniqueName="[Meczusie].[DOM].[All]" allUniqueName="[Meczusie].[DOM].[All]" dimensionUniqueName="[Meczusie]" displayFolder="" count="2" memberValueDatatype="130" unbalanced="0">
      <fieldsUsage count="2">
        <fieldUsage x="-1"/>
        <fieldUsage x="7"/>
      </fieldsUsage>
    </cacheHierarchy>
    <cacheHierarchy uniqueName="[Meczusie].[GD]" caption="GD" attribute="1" defaultMemberUniqueName="[Meczusie].[GD].[All]" allUniqueName="[Meczusie].[GD].[All]" dimensionUniqueName="[Meczusie]" displayFolder="" count="0" memberValueDatatype="20" unbalanced="0"/>
    <cacheHierarchy uniqueName="[Meczusie].[GW]" caption="GW" attribute="1" defaultMemberUniqueName="[Meczusie].[GW].[All]" allUniqueName="[Meczusie].[GW].[All]" dimensionUniqueName="[Meczusie]" displayFolder="" count="0" memberValueDatatype="20" unbalanced="0"/>
    <cacheHierarchy uniqueName="[Meczusie].[WYJAZD]" caption="WYJAZD" attribute="1" defaultMemberUniqueName="[Meczusie].[WYJAZD].[All]" allUniqueName="[Meczusie].[WYJAZD].[All]" dimensionUniqueName="[Meczusie]" displayFolder="" count="0" memberValueDatatype="130" unbalanced="0"/>
    <cacheHierarchy uniqueName="[Meczusie].[PPDOM%]" caption="PPDOM%" attribute="1" defaultMemberUniqueName="[Meczusie].[PPDOM%].[All]" allUniqueName="[Meczusie].[PPDOM%].[All]" dimensionUniqueName="[Meczusie]" displayFolder="" count="0" memberValueDatatype="5" unbalanced="0"/>
    <cacheHierarchy uniqueName="[Meczusie].[PPWYJ%]" caption="PPWYJ%" attribute="1" defaultMemberUniqueName="[Meczusie].[PPWYJ%].[All]" allUniqueName="[Meczusie].[PPWYJ%].[All]" dimensionUniqueName="[Meczusie]" displayFolder="" count="0" memberValueDatatype="5" unbalanced="0"/>
    <cacheHierarchy uniqueName="[Meczusie].[Godzina]" caption="Godzina" attribute="1" time="1" defaultMemberUniqueName="[Meczusie].[Godzina].[All]" allUniqueName="[Meczusie].[Godzina].[All]" dimensionUniqueName="[Meczusie]" displayFolder="" count="0" memberValueDatatype="7" unbalanced="0"/>
    <cacheHierarchy uniqueName="[Meczusie].[Rok]" caption="Rok" attribute="1" defaultMemberUniqueName="[Meczusie].[Rok].[All]" allUniqueName="[Meczusie].[Rok].[All]" dimensionUniqueName="[Meczusie]" displayFolder="" count="0" memberValueDatatype="20" unbalanced="0"/>
    <cacheHierarchy uniqueName="[Meczusie].[Miesiąc]" caption="Miesiąc" attribute="1" defaultMemberUniqueName="[Meczusie].[Miesiąc].[All]" allUniqueName="[Meczusie].[Miesiąc].[All]" dimensionUniqueName="[Meczusie]" displayFolder="" count="0" memberValueDatatype="20" unbalanced="0"/>
    <cacheHierarchy uniqueName="[Meczusie].[Dzień]" caption="Dzień" attribute="1" defaultMemberUniqueName="[Meczusie].[Dzień].[All]" allUniqueName="[Meczusie].[Dzień].[All]" dimensionUniqueName="[Meczusie]" displayFolder="" count="0" memberValueDatatype="20" unbalanced="0"/>
    <cacheHierarchy uniqueName="[Meczusie].[Data]" caption="Data" attribute="1" time="1" defaultMemberUniqueName="[Meczusie].[Data].[All]" allUniqueName="[Meczusie].[Data].[All]" dimensionUniqueName="[Meczusie]" displayFolder="" count="0" memberValueDatatype="7" unbalanced="0"/>
    <cacheHierarchy uniqueName="[Meczusie].[SeasonDay]" caption="SeasonDay" attribute="1" defaultMemberUniqueName="[Meczusie].[SeasonDay].[All]" allUniqueName="[Meczusie].[SeasonDay].[All]" dimensionUniqueName="[Meczusie]" displayFolder="" count="0" memberValueDatatype="20" unbalanced="0"/>
    <cacheHierarchy uniqueName="[Radar].[Numer]" caption="Numer" attribute="1" defaultMemberUniqueName="[Radar].[Numer].[All]" allUniqueName="[Radar].[Numer].[All]" dimensionUniqueName="[Radar]" displayFolder="" count="0" memberValueDatatype="20" unbalanced="0"/>
    <cacheHierarchy uniqueName="[Radar].[Nazwa Zawodnika]" caption="Nazwa Zawodnika" attribute="1" defaultMemberUniqueName="[Radar].[Nazwa Zawodnika].[All]" allUniqueName="[Radar].[Nazwa Zawodnika].[All]" dimensionUniqueName="[Radar]" displayFolder="" count="0" memberValueDatatype="130" unbalanced="0"/>
    <cacheHierarchy uniqueName="[Radar].[Tarcza]" caption="Tarcza" attribute="1" defaultMemberUniqueName="[Radar].[Tarcza].[All]" allUniqueName="[Radar].[Tarcza].[All]" dimensionUniqueName="[Radar]" displayFolder="" count="0" memberValueDatatype="5" unbalanced="0"/>
    <cacheHierarchy uniqueName="[Radar].[Motor]" caption="Motor" attribute="1" defaultMemberUniqueName="[Radar].[Motor].[All]" allUniqueName="[Radar].[Motor].[All]" dimensionUniqueName="[Radar]" displayFolder="" count="0" memberValueDatatype="5" unbalanced="0"/>
    <cacheHierarchy uniqueName="[Radar].[Skała]" caption="Skała" attribute="1" defaultMemberUniqueName="[Radar].[Skała].[All]" allUniqueName="[Radar].[Skała].[All]" dimensionUniqueName="[Radar]" displayFolder="" count="0" memberValueDatatype="5" unbalanced="0"/>
    <cacheHierarchy uniqueName="[Radar].[Przechwyt]" caption="Przechwyt" attribute="1" defaultMemberUniqueName="[Radar].[Przechwyt].[All]" allUniqueName="[Radar].[Przechwyt].[All]" dimensionUniqueName="[Radar]" displayFolder="" count="0" memberValueDatatype="5" unbalanced="0"/>
    <cacheHierarchy uniqueName="[Radar].[Kreator]" caption="Kreator" attribute="1" defaultMemberUniqueName="[Radar].[Kreator].[All]" allUniqueName="[Radar].[Kreator].[All]" dimensionUniqueName="[Radar]" displayFolder="" count="0" memberValueDatatype="5" unbalanced="0"/>
    <cacheHierarchy uniqueName="[Radar].[Skrzydło]" caption="Skrzydło" attribute="1" defaultMemberUniqueName="[Radar].[Skrzydło].[All]" allUniqueName="[Radar].[Skrzydło].[All]" dimensionUniqueName="[Radar]" displayFolder="" count="0" memberValueDatatype="5" unbalanced="0"/>
    <cacheHierarchy uniqueName="[Radar].[Strażnik]" caption="Strażnik" attribute="1" defaultMemberUniqueName="[Radar].[Strażnik].[All]" allUniqueName="[Radar].[Strażnik].[All]" dimensionUniqueName="[Radar]" displayFolder="" count="0" memberValueDatatype="5" unbalanced="0"/>
    <cacheHierarchy uniqueName="[Radar].[B2B]" caption="B2B" attribute="1" defaultMemberUniqueName="[Radar].[B2B].[All]" allUniqueName="[Radar].[B2B].[All]" dimensionUniqueName="[Radar]" displayFolder="" count="0" memberValueDatatype="5" unbalanced="0"/>
    <cacheHierarchy uniqueName="[Radar].[#9]" caption="#9" attribute="1" defaultMemberUniqueName="[Radar].[#9].[All]" allUniqueName="[Radar].[#9].[All]" dimensionUniqueName="[Radar]" displayFolder="" count="0" memberValueDatatype="5" unbalanced="0"/>
    <cacheHierarchy uniqueName="[Radar].[Snajper]" caption="Snajper" attribute="1" defaultMemberUniqueName="[Radar].[Snajper].[All]" allUniqueName="[Radar].[Snajper].[All]" dimensionUniqueName="[Radar]" displayFolder="" count="0" memberValueDatatype="5" unbalanced="0"/>
    <cacheHierarchy uniqueName="[Zawodnicy].[Numer]" caption="Numer" attribute="1" defaultMemberUniqueName="[Zawodnicy].[Numer].[All]" allUniqueName="[Zawodnicy].[Numer].[All]" dimensionUniqueName="[Zawodnicy]" displayFolder="" count="0" memberValueDatatype="20" unbalanced="0"/>
    <cacheHierarchy uniqueName="[Zawodnicy].[Nazwa zawodnika]" caption="Nazwa zawodnika" attribute="1" defaultMemberUniqueName="[Zawodnicy].[Nazwa zawodnika].[All]" allUniqueName="[Zawodnicy].[Nazwa zawodnika].[All]" dimensionUniqueName="[Zawodnicy]" displayFolder="" count="2" memberValueDatatype="130" unbalanced="0">
      <fieldsUsage count="2">
        <fieldUsage x="-1"/>
        <fieldUsage x="0"/>
      </fieldsUsage>
    </cacheHierarchy>
    <cacheHierarchy uniqueName="[Zawodnicy].[Wartość]" caption="Wartość" attribute="1" defaultMemberUniqueName="[Zawodnicy].[Wartość].[All]" allUniqueName="[Zawodnicy].[Wartość].[All]" dimensionUniqueName="[Zawodnicy]" displayFolder="" count="0" memberValueDatatype="130" unbalanced="0"/>
    <cacheHierarchy uniqueName="[Zawodnicy].[Pensja]" caption="Pensja" attribute="1" defaultMemberUniqueName="[Zawodnicy].[Pensja].[All]" allUniqueName="[Zawodnicy].[Pensja].[All]" dimensionUniqueName="[Zawodnicy]" displayFolder="" count="0" memberValueDatatype="130" unbalanced="0"/>
    <cacheHierarchy uniqueName="[Zawodnicy].[Wiek]" caption="Wiek" attribute="1" defaultMemberUniqueName="[Zawodnicy].[Wiek].[All]" allUniqueName="[Zawodnicy].[Wiek].[All]" dimensionUniqueName="[Zawodnicy]" displayFolder="" count="0" memberValueDatatype="20" unbalanced="0"/>
    <cacheHierarchy uniqueName="[Zawodnicy].[Urodzony]" caption="Urodzony" attribute="1" defaultMemberUniqueName="[Zawodnicy].[Urodzony].[All]" allUniqueName="[Zawodnicy].[Urodzony].[All]" dimensionUniqueName="[Zawodnicy]" displayFolder="" count="0" memberValueDatatype="20" unbalanced="0"/>
    <cacheHierarchy uniqueName="[Zawodnicy].[Szybkość]" caption="Szybkość" attribute="1" defaultMemberUniqueName="[Zawodnicy].[Szybkość].[All]" allUniqueName="[Zawodnicy].[Szybkość].[All]" dimensionUniqueName="[Zawodnicy]" displayFolder="" count="0" memberValueDatatype="20" unbalanced="0"/>
    <cacheHierarchy uniqueName="[Zawodnicy].[Kondycja]" caption="Kondycja" attribute="1" defaultMemberUniqueName="[Zawodnicy].[Kondycja].[All]" allUniqueName="[Zawodnicy].[Kondycja].[All]" dimensionUniqueName="[Zawodnicy]" displayFolder="" count="0" memberValueDatatype="20" unbalanced="0"/>
    <cacheHierarchy uniqueName="[Zawodnicy].[Przegląd]" caption="Przegląd" attribute="1" defaultMemberUniqueName="[Zawodnicy].[Przegląd].[All]" allUniqueName="[Zawodnicy].[Przegląd].[All]" dimensionUniqueName="[Zawodnicy]" displayFolder="" count="0" memberValueDatatype="20" unbalanced="0"/>
    <cacheHierarchy uniqueName="[Zawodnicy].[Podania dołem]" caption="Podania dołem" attribute="1" defaultMemberUniqueName="[Zawodnicy].[Podania dołem].[All]" allUniqueName="[Zawodnicy].[Podania dołem].[All]" dimensionUniqueName="[Zawodnicy]" displayFolder="" count="0" memberValueDatatype="20" unbalanced="0"/>
    <cacheHierarchy uniqueName="[Zawodnicy].[Strzał]" caption="Strzał" attribute="1" defaultMemberUniqueName="[Zawodnicy].[Strzał].[All]" allUniqueName="[Zawodnicy].[Strzał].[All]" dimensionUniqueName="[Zawodnicy]" displayFolder="" count="0" memberValueDatatype="20" unbalanced="0"/>
    <cacheHierarchy uniqueName="[Zawodnicy].[Gra głową]" caption="Gra głową" attribute="1" defaultMemberUniqueName="[Zawodnicy].[Gra głową].[All]" allUniqueName="[Zawodnicy].[Gra głową].[All]" dimensionUniqueName="[Zawodnicy]" displayFolder="" count="0" memberValueDatatype="20" unbalanced="0"/>
    <cacheHierarchy uniqueName="[Zawodnicy].[Gra na bramce]" caption="Gra na bramce" attribute="1" defaultMemberUniqueName="[Zawodnicy].[Gra na bramce].[All]" allUniqueName="[Zawodnicy].[Gra na bramce].[All]" dimensionUniqueName="[Zawodnicy]" displayFolder="" count="0" memberValueDatatype="20" unbalanced="0"/>
    <cacheHierarchy uniqueName="[Zawodnicy].[Panowanie]" caption="Panowanie" attribute="1" defaultMemberUniqueName="[Zawodnicy].[Panowanie].[All]" allUniqueName="[Zawodnicy].[Panowanie].[All]" dimensionUniqueName="[Zawodnicy]" displayFolder="" count="0" memberValueDatatype="20" unbalanced="0"/>
    <cacheHierarchy uniqueName="[Zawodnicy].[Odbiór piłki]" caption="Odbiór piłki" attribute="1" defaultMemberUniqueName="[Zawodnicy].[Odbiór piłki].[All]" allUniqueName="[Zawodnicy].[Odbiór piłki].[All]" dimensionUniqueName="[Zawodnicy]" displayFolder="" count="0" memberValueDatatype="20" unbalanced="0"/>
    <cacheHierarchy uniqueName="[Zawodnicy].[Podania górą]" caption="Podania górą" attribute="1" defaultMemberUniqueName="[Zawodnicy].[Podania górą].[All]" allUniqueName="[Zawodnicy].[Podania górą].[All]" dimensionUniqueName="[Zawodnicy]" displayFolder="" count="0" memberValueDatatype="20" unbalanced="0"/>
    <cacheHierarchy uniqueName="[Zawodnicy].[Stałe fragmenty]" caption="Stałe fragmenty" attribute="1" defaultMemberUniqueName="[Zawodnicy].[Stałe fragmenty].[All]" allUniqueName="[Zawodnicy].[Stałe fragmenty].[All]" dimensionUniqueName="[Zawodnicy]" displayFolder="" count="0" memberValueDatatype="20" unbalanced="0"/>
    <cacheHierarchy uniqueName="[Zawodnicy].[Doświadczenie]" caption="Doświadczenie" attribute="1" defaultMemberUniqueName="[Zawodnicy].[Doświadczenie].[All]" allUniqueName="[Zawodnicy].[Doświadczenie].[All]" dimensionUniqueName="[Zawodnicy]" displayFolder="" count="0" memberValueDatatype="20" unbalanced="0"/>
    <cacheHierarchy uniqueName="[Zawodnicy].[Bufor]" caption="Bufor" attribute="1" defaultMemberUniqueName="[Zawodnicy].[Bufor].[All]" allUniqueName="[Zawodnicy].[Bufor].[All]" dimensionUniqueName="[Zawodnicy]" displayFolder="" count="0" memberValueDatatype="20" unbalanced="0"/>
    <cacheHierarchy uniqueName="[Zawodnicy].[SUMA]" caption="SUMA" attribute="1" defaultMemberUniqueName="[Zawodnicy].[SUMA].[All]" allUniqueName="[Zawodnicy].[SUMA].[All]" dimensionUniqueName="[Zawodnicy]" displayFolder="" count="0" memberValueDatatype="20" unbalanced="0"/>
    <cacheHierarchy uniqueName="[Zawodnicy].[SUMAD]" caption="SUMAD" attribute="1" defaultMemberUniqueName="[Zawodnicy].[SUMAD].[All]" allUniqueName="[Zawodnicy].[SUMAD].[All]" dimensionUniqueName="[Zawodnicy]" displayFolder="" count="0" memberValueDatatype="20" unbalanced="0"/>
    <cacheHierarchy uniqueName="[Zawodnicy].[Karne]" caption="Karne" attribute="1" defaultMemberUniqueName="[Zawodnicy].[Karne].[All]" allUniqueName="[Zawodnicy].[Karne].[All]" dimensionUniqueName="[Zawodnicy]" displayFolder="" count="0" memberValueDatatype="20" unbalanced="0"/>
    <cacheHierarchy uniqueName="[Zawodnicy].[Kapitan]" caption="Kapitan" attribute="1" defaultMemberUniqueName="[Zawodnicy].[Kapitan].[All]" allUniqueName="[Zawodnicy].[Kapitan].[All]" dimensionUniqueName="[Zawodnicy]" displayFolder="" count="0" memberValueDatatype="20" unbalanced="0"/>
    <cacheHierarchy uniqueName="[Zawodnicy].[WST]" caption="WST" attribute="1" defaultMemberUniqueName="[Zawodnicy].[WST].[All]" allUniqueName="[Zawodnicy].[WST].[All]" dimensionUniqueName="[Zawodnicy]" displayFolder="" count="0" memberValueDatatype="20" unbalanced="0"/>
    <cacheHierarchy uniqueName="[Zawodnicy].[Status]" caption="Status" attribute="1" defaultMemberUniqueName="[Zawodnicy].[Status].[All]" allUniqueName="[Zawodnicy].[Status].[All]" dimensionUniqueName="[Zawodnicy]" displayFolder="" count="0" memberValueDatatype="130" unbalanced="0"/>
    <cacheHierarchy uniqueName="[ZawodnicyLiga].[Numer]" caption="Numer" attribute="1" defaultMemberUniqueName="[ZawodnicyLiga].[Numer].[All]" allUniqueName="[ZawodnicyLiga].[Numer].[All]" dimensionUniqueName="[ZawodnicyLiga]" displayFolder="" count="0" memberValueDatatype="20" unbalanced="0"/>
    <cacheHierarchy uniqueName="[ZawodnicyLiga].[Nazwa zawodnika]" caption="Nazwa zawodnika" attribute="1" defaultMemberUniqueName="[ZawodnicyLiga].[Nazwa zawodnika].[All]" allUniqueName="[ZawodnicyLiga].[Nazwa zawodnika].[All]" dimensionUniqueName="[ZawodnicyLiga]" displayFolder="" count="0" memberValueDatatype="130" unbalanced="0"/>
    <cacheHierarchy uniqueName="[ZawodnicyLiga].[Wartość]" caption="Wartość" attribute="1" defaultMemberUniqueName="[ZawodnicyLiga].[Wartość].[All]" allUniqueName="[ZawodnicyLiga].[Wartość].[All]" dimensionUniqueName="[ZawodnicyLiga]" displayFolder="" count="0" memberValueDatatype="130" unbalanced="0"/>
    <cacheHierarchy uniqueName="[ZawodnicyLiga].[Pensja]" caption="Pensja" attribute="1" defaultMemberUniqueName="[ZawodnicyLiga].[Pensja].[All]" allUniqueName="[ZawodnicyLiga].[Pensja].[All]" dimensionUniqueName="[ZawodnicyLiga]" displayFolder="" count="0" memberValueDatatype="130" unbalanced="0"/>
    <cacheHierarchy uniqueName="[ZawodnicyLiga].[Wiek]" caption="Wiek" attribute="1" defaultMemberUniqueName="[ZawodnicyLiga].[Wiek].[All]" allUniqueName="[ZawodnicyLiga].[Wiek].[All]" dimensionUniqueName="[ZawodnicyLiga]" displayFolder="" count="0" memberValueDatatype="20" unbalanced="0"/>
    <cacheHierarchy uniqueName="[ZawodnicyLiga].[Urodzony]" caption="Urodzony" attribute="1" defaultMemberUniqueName="[ZawodnicyLiga].[Urodzony].[All]" allUniqueName="[ZawodnicyLiga].[Urodzony].[All]" dimensionUniqueName="[ZawodnicyLiga]" displayFolder="" count="0" memberValueDatatype="20" unbalanced="0"/>
    <cacheHierarchy uniqueName="[ZawodnicyLiga].[Szybkość]" caption="Szybkość" attribute="1" defaultMemberUniqueName="[ZawodnicyLiga].[Szybkość].[All]" allUniqueName="[ZawodnicyLiga].[Szybkość].[All]" dimensionUniqueName="[ZawodnicyLiga]" displayFolder="" count="0" memberValueDatatype="20" unbalanced="0"/>
    <cacheHierarchy uniqueName="[ZawodnicyLiga].[Kondycja]" caption="Kondycja" attribute="1" defaultMemberUniqueName="[ZawodnicyLiga].[Kondycja].[All]" allUniqueName="[ZawodnicyLiga].[Kondycja].[All]" dimensionUniqueName="[ZawodnicyLiga]" displayFolder="" count="0" memberValueDatatype="20" unbalanced="0"/>
    <cacheHierarchy uniqueName="[ZawodnicyLiga].[Przegląd]" caption="Przegląd" attribute="1" defaultMemberUniqueName="[ZawodnicyLiga].[Przegląd].[All]" allUniqueName="[ZawodnicyLiga].[Przegląd].[All]" dimensionUniqueName="[ZawodnicyLiga]" displayFolder="" count="0" memberValueDatatype="20" unbalanced="0"/>
    <cacheHierarchy uniqueName="[ZawodnicyLiga].[Podania dołem]" caption="Podania dołem" attribute="1" defaultMemberUniqueName="[ZawodnicyLiga].[Podania dołem].[All]" allUniqueName="[ZawodnicyLiga].[Podania dołem].[All]" dimensionUniqueName="[ZawodnicyLiga]" displayFolder="" count="0" memberValueDatatype="20" unbalanced="0"/>
    <cacheHierarchy uniqueName="[ZawodnicyLiga].[Strzał]" caption="Strzał" attribute="1" defaultMemberUniqueName="[ZawodnicyLiga].[Strzał].[All]" allUniqueName="[ZawodnicyLiga].[Strzał].[All]" dimensionUniqueName="[ZawodnicyLiga]" displayFolder="" count="0" memberValueDatatype="20" unbalanced="0"/>
    <cacheHierarchy uniqueName="[ZawodnicyLiga].[Gra głową]" caption="Gra głową" attribute="1" defaultMemberUniqueName="[ZawodnicyLiga].[Gra głową].[All]" allUniqueName="[ZawodnicyLiga].[Gra głową].[All]" dimensionUniqueName="[ZawodnicyLiga]" displayFolder="" count="0" memberValueDatatype="20" unbalanced="0"/>
    <cacheHierarchy uniqueName="[ZawodnicyLiga].[Gra na bramce]" caption="Gra na bramce" attribute="1" defaultMemberUniqueName="[ZawodnicyLiga].[Gra na bramce].[All]" allUniqueName="[ZawodnicyLiga].[Gra na bramce].[All]" dimensionUniqueName="[ZawodnicyLiga]" displayFolder="" count="0" memberValueDatatype="20" unbalanced="0"/>
    <cacheHierarchy uniqueName="[ZawodnicyLiga].[Panowanie]" caption="Panowanie" attribute="1" defaultMemberUniqueName="[ZawodnicyLiga].[Panowanie].[All]" allUniqueName="[ZawodnicyLiga].[Panowanie].[All]" dimensionUniqueName="[ZawodnicyLiga]" displayFolder="" count="0" memberValueDatatype="20" unbalanced="0"/>
    <cacheHierarchy uniqueName="[ZawodnicyLiga].[Odbiór piłki]" caption="Odbiór piłki" attribute="1" defaultMemberUniqueName="[ZawodnicyLiga].[Odbiór piłki].[All]" allUniqueName="[ZawodnicyLiga].[Odbiór piłki].[All]" dimensionUniqueName="[ZawodnicyLiga]" displayFolder="" count="0" memberValueDatatype="20" unbalanced="0"/>
    <cacheHierarchy uniqueName="[ZawodnicyLiga].[Podania górą]" caption="Podania górą" attribute="1" defaultMemberUniqueName="[ZawodnicyLiga].[Podania górą].[All]" allUniqueName="[ZawodnicyLiga].[Podania górą].[All]" dimensionUniqueName="[ZawodnicyLiga]" displayFolder="" count="0" memberValueDatatype="20" unbalanced="0"/>
    <cacheHierarchy uniqueName="[ZawodnicyLiga].[Stałe fragmenty]" caption="Stałe fragmenty" attribute="1" defaultMemberUniqueName="[ZawodnicyLiga].[Stałe fragmenty].[All]" allUniqueName="[ZawodnicyLiga].[Stałe fragmenty].[All]" dimensionUniqueName="[ZawodnicyLiga]" displayFolder="" count="0" memberValueDatatype="20" unbalanced="0"/>
    <cacheHierarchy uniqueName="[ZawodnicyLiga].[Doświadczenie]" caption="Doświadczenie" attribute="1" defaultMemberUniqueName="[ZawodnicyLiga].[Doświadczenie].[All]" allUniqueName="[ZawodnicyLiga].[Doświadczenie].[All]" dimensionUniqueName="[ZawodnicyLiga]" displayFolder="" count="0" memberValueDatatype="20" unbalanced="0"/>
    <cacheHierarchy uniqueName="[ZawodnicyLiga].[Bufor]" caption="Bufor" attribute="1" defaultMemberUniqueName="[ZawodnicyLiga].[Bufor].[All]" allUniqueName="[ZawodnicyLiga].[Bufor].[All]" dimensionUniqueName="[ZawodnicyLiga]" displayFolder="" count="0" memberValueDatatype="20" unbalanced="0"/>
    <cacheHierarchy uniqueName="[ZawodnicyLiga].[Status]" caption="Status" attribute="1" defaultMemberUniqueName="[ZawodnicyLiga].[Status].[All]" allUniqueName="[ZawodnicyLiga].[Status].[All]" dimensionUniqueName="[ZawodnicyLiga]" displayFolder="" count="0" memberValueDatatype="130" unbalanced="0"/>
    <cacheHierarchy uniqueName="[ZawodnicyLiga].[IDTeam]" caption="IDTeam" attribute="1" defaultMemberUniqueName="[ZawodnicyLiga].[IDTeam].[All]" allUniqueName="[ZawodnicyLiga].[IDTeam].[All]" dimensionUniqueName="[ZawodnicyLiga]" displayFolder="" count="0" memberValueDatatype="20" unbalanced="0"/>
    <cacheHierarchy uniqueName="[Measures].[Suma /PI2]" caption="Sum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/PI]" caption="Sum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Suma Ocena]" caption="Sum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Średnia Ocena]" caption="Średnia Ocena" measure="1" displayFolder="" measureGroup="Mecze" count="0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a %PC]" caption="Sum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Średnia %PC]" caption="Średnia %PC" measure="1" displayFolder="" measureGroup="Mecze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Suma PC]" caption="Sum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Średnia PC]" caption="Średnia PC" measure="1" displayFolder="" measureGroup="Mecze" count="0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OD]" caption="Suma OD" measure="1" displayFolder="" measureGroup="Mecze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Suma %OU]" caption="Sum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a OU]" caption="Sum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Średnia %OU]" caption="Średnia %OU" measure="1" displayFolder="" measureGroup="Mecze" count="0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Średnia OU]" caption="Średnia OU" measure="1" displayFolder="" measureGroup="Mecze" count="0">
      <extLst>
        <ext xmlns:x15="http://schemas.microsoft.com/office/spreadsheetml/2010/11/main" uri="{B97F6D7D-B522-45F9-BDA1-12C45D357490}">
          <x15:cacheHierarchy aggregatedColumn="36"/>
        </ext>
      </extLst>
    </cacheHierarchy>
    <cacheHierarchy uniqueName="[Measures].[Suma PR]" caption="Sum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a OB]" caption="Sum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Średnia PR]" caption="Średnia PR" measure="1" displayFolder="" measureGroup="Mecze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Średnia OB]" caption="Średnia OB" measure="1" displayFolder="" measureGroup="Mecze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a /GC]" caption="Suma /GC" measure="1" displayFolder="" measureGroup="Mecze" count="0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GC]" caption="Średnia /GC" measure="1" displayFolder="" measureGroup="Mecze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Średnia /PI]" caption="Średnia /PI" measure="1" displayFolder="" measureGroup="Mecze" count="0">
      <extLst>
        <ext xmlns:x15="http://schemas.microsoft.com/office/spreadsheetml/2010/11/main" uri="{B97F6D7D-B522-45F9-BDA1-12C45D357490}">
          <x15:cacheHierarchy aggregatedColumn="32"/>
        </ext>
      </extLst>
    </cacheHierarchy>
    <cacheHierarchy uniqueName="[Measures].[Średnia /PI2]" caption="Średni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SC]" caption="Sum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Średnia SC]" caption="Średnia SC" measure="1" displayFolder="" measureGroup="Mecze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Suma BR]" caption="Suma BR" measure="1" displayFolder="" measureGroup="Mecze" count="0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Średnia BR]" caption="Średnia BR" measure="1" displayFolder="" measureGroup="Mecze" count="0" oneField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a CZAS]" caption="Suma CZAS" measure="1" displayFolder="" measureGroup="Mecze" count="0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Suma KC]" caption="Suma KC" measure="1" displayFolder="" measureGroup="Mecze" count="0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a KŻ]" caption="Suma KŻ" measure="1" displayFolder="" measureGroup="Mecze" count="0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a TEAM]" caption="Sum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Liczba Nazwa]" caption="Liczba Nazwa" measure="1" displayFolder="" measureGroup="Klubiki" count="0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a /BRI]" caption="Sum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Średnia /BRI]" caption="Średni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Liczba /BRI]" caption="Liczba /BRI" measure="1" displayFolder="" measureGroup="Mecze" count="0">
      <extLst>
        <ext xmlns:x15="http://schemas.microsoft.com/office/spreadsheetml/2010/11/main" uri="{B97F6D7D-B522-45F9-BDA1-12C45D357490}">
          <x15:cacheHierarchy aggregatedColumn="26"/>
        </ext>
      </extLst>
    </cacheHierarchy>
    <cacheHierarchy uniqueName="[Measures].[Suma Mecz]" caption="Sum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Mecz]" caption="Liczb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TEAM]" caption="Liczb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Średnia TEAM]" caption="Średnia TEAM" measure="1" displayFolder="" measureGroup="Mecze" count="0">
      <extLst>
        <ext xmlns:x15="http://schemas.microsoft.com/office/spreadsheetml/2010/11/main" uri="{B97F6D7D-B522-45F9-BDA1-12C45D357490}">
          <x15:cacheHierarchy aggregatedColumn="43"/>
        </ext>
      </extLst>
    </cacheHierarchy>
    <cacheHierarchy uniqueName="[Measures].[Suma Numer]" caption="Sum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Średnia Numer]" caption="Średni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ID]" caption="Suma ID" measure="1" displayFolder="" measureGroup="Klubiki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Liczba Nazwa zawodnika]" caption="Liczba Nazwa zawodnika" measure="1" displayFolder="" measureGroup="Mecze" count="0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a Mecz 2]" caption="Sum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Mecz 2]" caption="Liczba Mecz 2" measure="1" displayFolder="" measureGroup="Meczusie" count="0">
      <extLst>
        <ext xmlns:x15="http://schemas.microsoft.com/office/spreadsheetml/2010/11/main" uri="{B97F6D7D-B522-45F9-BDA1-12C45D357490}">
          <x15:cacheHierarchy aggregatedColumn="46"/>
        </ext>
      </extLst>
    </cacheHierarchy>
    <cacheHierarchy uniqueName="[Measures].[Liczba /PI2]" caption="Liczba /PI2" measure="1" displayFolder="" measureGroup="Mecze" count="0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Średnia Mecz]" caption="Średnia Mecz" measure="1" displayFolder="" measureGroup="Mecze" count="0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Liczba Numer]" caption="Liczba Numer" measure="1" displayFolder="" measureGroup="Mecze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Suma PD]" caption="Suma PD" measure="1" displayFolder="" measureGroup="Mecze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Liczba Rola]" caption="Liczba Rola" measure="1" displayFolder="" measureGroup="Mecze" count="0">
      <extLst>
        <ext xmlns:x15="http://schemas.microsoft.com/office/spreadsheetml/2010/11/main" uri="{B97F6D7D-B522-45F9-BDA1-12C45D357490}">
          <x15:cacheHierarchy aggregatedColumn="37"/>
        </ext>
      </extLst>
    </cacheHierarchy>
    <cacheHierarchy uniqueName="[Measures].[Ocena Ważona]" caption="Ocena Ważona" measure="1" displayFolder="" measureGroup="Mecze" count="0"/>
    <cacheHierarchy uniqueName="[Measures].[Celne Podania / Minutę]" caption="Celne Podania / Minutę" measure="1" displayFolder="" measureGroup="Mecze" count="0"/>
    <cacheHierarchy uniqueName="[Measures].[Udane Odbiory na Minutę]" caption="Udane Odbiory na Minutę" measure="1" displayFolder="" measureGroup="Mecze" count="0"/>
    <cacheHierarchy uniqueName="[Measures].[% Odbiorów]" caption="% Odbiorów" measure="1" displayFolder="" measureGroup="Mecze" count="0"/>
    <cacheHierarchy uniqueName="[Measures].[GC]" caption="GC" measure="1" displayFolder="" measureGroup="Mecze" count="0"/>
    <cacheHierarchy uniqueName="[Measures].[% Strzałów]" caption="% Strzałów" measure="1" displayFolder="" measureGroup="Mecze" count="0"/>
    <cacheHierarchy uniqueName="[Measures].[% Podań]" caption="% Podań" measure="1" displayFolder="" measureGroup="Mecze" count="0"/>
    <cacheHierarchy uniqueName="[Measures].[__XL_Count Mecze]" caption="__XL_Count Mecze" measure="1" displayFolder="" measureGroup="Mecze" count="0" hidden="1"/>
    <cacheHierarchy uniqueName="[Measures].[__XL_Count Meczusie]" caption="__XL_Count Meczusie" measure="1" displayFolder="" measureGroup="Meczusie" count="0" hidden="1"/>
    <cacheHierarchy uniqueName="[Measures].[__XL_Count Zawodnicy]" caption="__XL_Count Zawodnicy" measure="1" displayFolder="" measureGroup="Zawodnicy" count="0" hidden="1"/>
    <cacheHierarchy uniqueName="[Measures].[__XL_Count Radar]" caption="__XL_Count Radar" measure="1" displayFolder="" measureGroup="Radar" count="0" hidden="1"/>
    <cacheHierarchy uniqueName="[Measures].[__XL_Count Klubiki]" caption="__XL_Count Klubiki" measure="1" displayFolder="" measureGroup="Klubiki" count="0" hidden="1"/>
    <cacheHierarchy uniqueName="[Measures].[__XL_Count ZawodnicyLiga]" caption="__XL_Count ZawodnicyLiga" measure="1" displayFolder="" measureGroup="ZawodnicyLiga" count="0" hidden="1"/>
    <cacheHierarchy uniqueName="[Measures].[__XL_Count Kalendarz]" caption="__XL_Count Kalendarz" measure="1" displayFolder="" measureGroup="Kalendarz" count="0" hidden="1"/>
    <cacheHierarchy uniqueName="[Measures].[__No measures defined]" caption="__No measures defined" measure="1" displayFolder="" count="0" hidden="1"/>
  </cacheHierarchies>
  <kpis count="0"/>
  <dimensions count="8">
    <dimension name="Kalendarz" uniqueName="[Kalendarz]" caption="Kalendarz"/>
    <dimension name="Klubiki" uniqueName="[Klubiki]" caption="Klubiki"/>
    <dimension measure="1" name="Measures" uniqueName="[Measures]" caption="Measures"/>
    <dimension name="Mecze" uniqueName="[Mecze]" caption="Mecze"/>
    <dimension name="Meczusie" uniqueName="[Meczusie]" caption="Meczusie"/>
    <dimension name="Radar" uniqueName="[Radar]" caption="Radar"/>
    <dimension name="Zawodnicy" uniqueName="[Zawodnicy]" caption="Zawodnicy"/>
    <dimension name="ZawodnicyLiga" uniqueName="[ZawodnicyLiga]" caption="ZawodnicyLiga"/>
  </dimensions>
  <measureGroups count="7">
    <measureGroup name="Kalendarz" caption="Kalendarz"/>
    <measureGroup name="Klubiki" caption="Klubiki"/>
    <measureGroup name="Mecze" caption="Mecze"/>
    <measureGroup name="Meczusie" caption="Meczusie"/>
    <measureGroup name="Radar" caption="Radar"/>
    <measureGroup name="Zawodnicy" caption="Zawodnicy"/>
    <measureGroup name="ZawodnicyLiga" caption="ZawodnicyLiga"/>
  </measureGroups>
  <maps count="11">
    <map measureGroup="0" dimension="0"/>
    <map measureGroup="1" dimension="1"/>
    <map measureGroup="2" dimension="1"/>
    <map measureGroup="2" dimension="3"/>
    <map measureGroup="2" dimension="4"/>
    <map measureGroup="3" dimension="4"/>
    <map measureGroup="4" dimension="5"/>
    <map measureGroup="4" dimension="6"/>
    <map measureGroup="5" dimension="6"/>
    <map measureGroup="6" dimension="1"/>
    <map measureGroup="6" dimension="7"/>
  </maps>
  <extLst>
    <ext xmlns:x14="http://schemas.microsoft.com/office/spreadsheetml/2009/9/main" uri="{725AE2AE-9491-48be-B2B4-4EB974FC3084}">
      <x14:pivotCacheDefinition pivotCacheId="187866913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E6EBF2-158B-46CA-BD39-DB3EC58E96AF}" name="PivotChartTable8" cacheId="26" applyNumberFormats="0" applyBorderFormats="0" applyFontFormats="0" applyPatternFormats="0" applyAlignmentFormats="0" applyWidthHeightFormats="1" dataCaption="Wartości" updatedVersion="8" minRefreshableVersion="3" useAutoFormatting="1" subtotalHiddenItems="1" itemPrintTitles="1" createdVersion="6" indent="0" outline="1" outlineData="1" multipleFieldFilters="0" chartFormat="3">
  <location ref="A1:B17" firstHeaderRow="1" firstDataRow="1" firstDataCol="1"/>
  <pivotFields count="5"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dataField="1" subtotalTop="0" showAll="0" defaultSubtotal="0"/>
    <pivotField allDrilled="1" subtotalTop="0" showAll="0" dataSourceSort="1" defaultSubtotal="0" defaultAttributeDrillState="1"/>
  </pivotFields>
  <rowFields count="2">
    <field x="1"/>
    <field x="2"/>
  </rowFields>
  <rowItems count="16">
    <i>
      <x/>
    </i>
    <i r="1">
      <x/>
    </i>
    <i>
      <x v="1"/>
    </i>
    <i r="1">
      <x v="1"/>
    </i>
    <i r="1">
      <x v="2"/>
    </i>
    <i r="1">
      <x v="3"/>
    </i>
    <i r="1">
      <x v="4"/>
    </i>
    <i>
      <x v="2"/>
    </i>
    <i r="1">
      <x v="5"/>
    </i>
    <i r="1">
      <x v="6"/>
    </i>
    <i r="1">
      <x v="7"/>
    </i>
    <i>
      <x v="3"/>
    </i>
    <i r="1">
      <x v="8"/>
    </i>
    <i r="1">
      <x v="9"/>
    </i>
    <i r="1">
      <x v="10"/>
    </i>
    <i t="grand">
      <x/>
    </i>
  </rowItems>
  <colItems count="1">
    <i/>
  </colItems>
  <dataFields count="1">
    <dataField name="Średnia Ocena" fld="3" subtotal="average" baseField="0" baseItem="0"/>
  </dataFields>
  <chartFormats count="1">
    <chartFormat chart="2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Klubiki].[Nazwa].&amp;[Agresor Team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eczusie].[RodzajMeczu].&amp;[Lig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Ocena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2">
    <rowHierarchyUsage hierarchyUsage="10"/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6" columnCount="1" cacheId="1631152823">
        <x15:pivotRow count="1">
          <x15:c t="e">
            <x15:v/>
          </x15:c>
        </x15:pivotRow>
        <x15:pivotRow count="1">
          <x15:c>
            <x15:v>7.9745454545454546</x15:v>
          </x15:c>
        </x15:pivotRow>
        <x15:pivotRow count="1">
          <x15:c t="e">
            <x15:v/>
          </x15:c>
        </x15:pivotRow>
        <x15:pivotRow count="1">
          <x15:c>
            <x15:v>6.8123809523809529</x15:v>
          </x15:c>
        </x15:pivotRow>
        <x15:pivotRow count="1">
          <x15:c>
            <x15:v>7.3586363636363634</x15:v>
          </x15:c>
        </x15:pivotRow>
        <x15:pivotRow count="1">
          <x15:c>
            <x15:v>5.18</x15:v>
          </x15:c>
        </x15:pivotRow>
        <x15:pivotRow count="1">
          <x15:c>
            <x15:v>7.2977272727272728</x15:v>
          </x15:c>
        </x15:pivotRow>
        <x15:pivotRow count="1">
          <x15:c t="e">
            <x15:v/>
          </x15:c>
        </x15:pivotRow>
        <x15:pivotRow count="1">
          <x15:c>
            <x15:v>4.8447826086956525</x15:v>
          </x15:c>
        </x15:pivotRow>
        <x15:pivotRow count="1">
          <x15:c>
            <x15:v>4.4245454545454548</x15:v>
          </x15:c>
        </x15:pivotRow>
        <x15:pivotRow count="1">
          <x15:c>
            <x15:v>5.4109090909090911</x15:v>
          </x15:c>
        </x15:pivotRow>
        <x15:pivotRow count="1">
          <x15:c t="e">
            <x15:v/>
          </x15:c>
        </x15:pivotRow>
        <x15:pivotRow count="1">
          <x15:c>
            <x15:v>6.875</x15:v>
          </x15:c>
        </x15:pivotRow>
        <x15:pivotRow count="1">
          <x15:c>
            <x15:v>7.2100000000000009</x15:v>
          </x15:c>
        </x15:pivotRow>
        <x15:pivotRow count="1">
          <x15:c>
            <x15:v>6.6661904761904767</x15:v>
          </x15:c>
        </x15:pivotRow>
        <x15:pivotRow count="1">
          <x15:c>
            <x15:v>6.3787654320987652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Meczusie]"/>
        <x15:activeTabTopLevelEntity name="[Mecz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9B8A2D-B9EC-40AE-BC94-FC49A02AF99F}" name="PivotChartTable7" cacheId="23" applyNumberFormats="0" applyBorderFormats="0" applyFontFormats="0" applyPatternFormats="0" applyAlignmentFormats="0" applyWidthHeightFormats="1" dataCaption="Wartości" updatedVersion="8" minRefreshableVersion="3" useAutoFormatting="1" subtotalHiddenItems="1" itemPrintTitles="1" createdVersion="6" indent="0" outline="1" outlineData="1" multipleFieldFilters="0" chartFormat="1">
  <location ref="A1:B68" firstHeaderRow="1" firstDataRow="1" firstDataCol="1"/>
  <pivotFields count="6">
    <pivotField dataField="1" subtotalTop="0" showAll="0" defaultSubtotal="0"/>
    <pivotField axis="axisRow" allDrilled="1" subtotalTop="0" showAll="0" dataSourceSort="1" defaultSubtotal="0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3">
    <field x="1"/>
    <field x="5"/>
    <field x="4"/>
  </rowFields>
  <rowItems count="67">
    <i>
      <x/>
    </i>
    <i r="1">
      <x/>
    </i>
    <i r="2">
      <x/>
    </i>
    <i>
      <x v="1"/>
    </i>
    <i r="1">
      <x v="1"/>
    </i>
    <i r="2">
      <x v="1"/>
    </i>
    <i>
      <x v="2"/>
    </i>
    <i r="1">
      <x/>
    </i>
    <i r="2">
      <x v="2"/>
    </i>
    <i>
      <x v="3"/>
    </i>
    <i r="1">
      <x v="2"/>
    </i>
    <i r="2">
      <x v="1"/>
    </i>
    <i>
      <x v="4"/>
    </i>
    <i r="1">
      <x/>
    </i>
    <i r="2">
      <x v="3"/>
    </i>
    <i>
      <x v="5"/>
    </i>
    <i r="1">
      <x v="3"/>
    </i>
    <i r="2">
      <x v="1"/>
    </i>
    <i>
      <x v="6"/>
    </i>
    <i r="1">
      <x v="4"/>
    </i>
    <i r="2">
      <x v="1"/>
    </i>
    <i>
      <x v="7"/>
    </i>
    <i r="1">
      <x/>
    </i>
    <i r="2">
      <x v="4"/>
    </i>
    <i>
      <x v="8"/>
    </i>
    <i r="1">
      <x/>
    </i>
    <i r="2">
      <x v="5"/>
    </i>
    <i>
      <x v="9"/>
    </i>
    <i r="1">
      <x v="5"/>
    </i>
    <i r="2">
      <x v="1"/>
    </i>
    <i>
      <x v="10"/>
    </i>
    <i r="1">
      <x v="6"/>
    </i>
    <i r="2">
      <x v="1"/>
    </i>
    <i>
      <x v="11"/>
    </i>
    <i r="1">
      <x/>
    </i>
    <i r="2">
      <x v="6"/>
    </i>
    <i>
      <x v="12"/>
    </i>
    <i r="1">
      <x/>
    </i>
    <i r="2">
      <x v="7"/>
    </i>
    <i>
      <x v="13"/>
    </i>
    <i r="1">
      <x v="7"/>
    </i>
    <i r="2">
      <x v="1"/>
    </i>
    <i>
      <x v="14"/>
    </i>
    <i r="1">
      <x v="8"/>
    </i>
    <i r="2">
      <x v="1"/>
    </i>
    <i>
      <x v="15"/>
    </i>
    <i r="1">
      <x/>
    </i>
    <i r="2">
      <x v="8"/>
    </i>
    <i>
      <x v="16"/>
    </i>
    <i r="1">
      <x/>
    </i>
    <i r="2">
      <x v="9"/>
    </i>
    <i>
      <x v="17"/>
    </i>
    <i r="1">
      <x v="9"/>
    </i>
    <i r="2">
      <x v="1"/>
    </i>
    <i>
      <x v="18"/>
    </i>
    <i r="1">
      <x/>
    </i>
    <i r="2">
      <x v="10"/>
    </i>
    <i>
      <x v="19"/>
    </i>
    <i r="1">
      <x v="10"/>
    </i>
    <i r="2">
      <x v="1"/>
    </i>
    <i>
      <x v="20"/>
    </i>
    <i r="1">
      <x/>
    </i>
    <i r="2">
      <x v="11"/>
    </i>
    <i>
      <x v="21"/>
    </i>
    <i r="1">
      <x v="11"/>
    </i>
    <i r="2">
      <x v="1"/>
    </i>
    <i t="grand">
      <x/>
    </i>
  </rowItems>
  <colItems count="1">
    <i/>
  </colItems>
  <dataFields count="1">
    <dataField name="Średnia Ocena" fld="0" subtotal="average" baseField="0" baseItem="0"/>
  </dataFields>
  <chartFormats count="1">
    <chartFormat chart="0" format="1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Klubiki].[Nazwa].&amp;[Agresor Team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eczusie].[RodzajMeczu].&amp;[Lig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Ocena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3">
    <rowHierarchyUsage hierarchyUsage="46"/>
    <rowHierarchyUsage hierarchyUsage="51"/>
    <rowHierarchyUsage hierarchyUsage="4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67" columnCount="1" cacheId="1139111387"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4.0445454545454549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4.2736363636363635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3.3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6.2436363636363641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4.3390909090909089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6.3654545454545453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10.352727272727272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4.622727272727273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5.0927272727272728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5.01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4.9054545454545453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4.8290909090909091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4.3836363636363638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7.1763636363636358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8.8774999999999995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10.548181818181819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5.7772727272727273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6.6390909090909096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6.51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11.067272727272726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8.9172727272727279</x15:v>
          </x15:c>
        </x15:pivotRow>
        <x15:pivotRow count="1">
          <x15:c t="e">
            <x15:v/>
          </x15:c>
        </x15:pivotRow>
        <x15:pivotRow count="1">
          <x15:c t="e">
            <x15:v/>
          </x15:c>
        </x15:pivotRow>
        <x15:pivotRow count="1">
          <x15:c>
            <x15:v>6.8299999999999992</x15:v>
          </x15:c>
        </x15:pivotRow>
        <x15:pivotRow count="1">
          <x15:c>
            <x15:v>6.3787654320987652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Meczusie]"/>
        <x15:activeTabTopLevelEntity name="[Mecze]"/>
        <x15:activeTabTopLevelEntity name="[Klubik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7B2DA6-A8FD-4E47-BF3C-FDBCC6169D91}" name="PivotChartTable9" cacheId="56" applyNumberFormats="0" applyBorderFormats="0" applyFontFormats="0" applyPatternFormats="0" applyAlignmentFormats="0" applyWidthHeightFormats="1" dataCaption="Wartości" updatedVersion="8" minRefreshableVersion="3" useAutoFormatting="1" subtotalHiddenItems="1" itemPrintTitles="1" createdVersion="6" indent="0" outline="1" outlineData="1" multipleFieldFilters="0" chartFormat="4">
  <location ref="A1:C4" firstHeaderRow="0" firstDataRow="1" firstDataCol="1"/>
  <pivotFields count="9"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Średnia /PI" fld="3" subtotal="average" baseField="0" baseItem="0"/>
    <dataField name="Średnia /PI2" fld="4" subtotal="average" baseField="0" baseItem="0"/>
  </dataFields>
  <chartFormats count="2">
    <chartFormat chart="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Klubiki].[Nazwa].&amp;[Nowielice]"/>
      </members>
    </pivotHierarchy>
    <pivotHierarchy multipleItemSelectionAllowed="1" dragToData="1">
      <members count="1" level="1">
        <member name="[Mecze].[Numer].&amp;[8]"/>
      </members>
    </pivotHierarchy>
    <pivotHierarchy multipleItemSelectionAllowed="1" dragToData="1">
      <members count="1" level="1">
        <member name="[Mecze].[Nazwa zawodnika].&amp;[ K. Grabowicz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>
      <members count="1" level="1">
        <member name="[Meczusie].[RodzajMeczu].&amp;[Liga]"/>
      </members>
    </pivotHierarchy>
    <pivotHierarchy multipleItemSelectionAllowed="1" dragToData="1">
      <members count="1" level="1">
        <member name="[Meczusie].[DOM].&amp;[Manchester United F.C.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Zawodnicy].[Nazwa zawodnika].&amp;[Gustaw Tuliszewski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/PI"/>
    <pivotHierarchy dragToData="1" caption="Średnia /PI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3" columnCount="2" cacheId="1198439885">
        <x15:pivotRow count="2">
          <x15:c>
            <x15:v>0</x15:v>
            <x15:x in="0"/>
          </x15:c>
          <x15:c>
            <x15:v>0</x15:v>
            <x15:x in="0"/>
          </x15:c>
        </x15:pivotRow>
        <x15:pivotRow count="2">
          <x15:c>
            <x15:v>0.118044451900763</x15:v>
            <x15:x in="0"/>
          </x15:c>
          <x15:c>
            <x15:v>0.71665675501759352</x15:v>
            <x15:x in="0"/>
          </x15:c>
        </x15:pivotRow>
        <x15:pivotRow count="2">
          <x15:c>
            <x15:v>0.11183158601124915</x15:v>
            <x15:x in="0"/>
          </x15:c>
          <x15:c>
            <x15:v>0.6789379784377203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Meczusie]"/>
        <x15:activeTabTopLevelEntity name="[Mecze]"/>
        <x15:activeTabTopLevelEntity name="[Zawodnicy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F5846C-B9DA-44B4-9495-74495BDDDD4D}" name="PivotChartTable3" cacheId="44" applyNumberFormats="0" applyBorderFormats="0" applyFontFormats="0" applyPatternFormats="0" applyAlignmentFormats="0" applyWidthHeightFormats="1" dataCaption="Wartości" updatedVersion="8" minRefreshableVersion="3" useAutoFormatting="1" subtotalHiddenItems="1" itemPrintTitles="1" createdVersion="6" indent="0" outline="1" outlineData="1" multipleFieldFilters="0" chartFormat="2">
  <location ref="A1:C5" firstHeaderRow="0" firstDataRow="1" firstDataCol="1"/>
  <pivotFields count="9"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</pivotFields>
  <rowFields count="2">
    <field x="3"/>
    <field x="4"/>
  </rowFields>
  <rowItems count="4">
    <i>
      <x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Średnia %PC" fld="2" subtotal="average" baseField="0" baseItem="0"/>
    <dataField name="Średnia %OU" fld="8" subtotal="average" baseField="0" baseItem="0"/>
  </dataFields>
  <chartFormats count="2">
    <chartFormat chart="0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8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Klubiki].[Nazwa].&amp;[Nowielice]"/>
      </members>
    </pivotHierarchy>
    <pivotHierarchy multipleItemSelectionAllowed="1" dragToData="1">
      <members count="1" level="1">
        <member name="[Mecze].[Numer].&amp;[8]"/>
      </members>
    </pivotHierarchy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>
      <members count="1" level="1">
        <member name="[Meczusie].[RodzajMeczu].&amp;[Liga]"/>
      </members>
    </pivotHierarchy>
    <pivotHierarchy multipleItemSelectionAllowed="1" dragToData="1">
      <members count="1" level="1">
        <member name="[Meczusie].[DOM].&amp;[Manchester United F.C.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Zawodnicy].[Nazwa zawodnika].&amp;[Gustaw Tuliszewski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%PC"/>
    <pivotHierarchy dragToData="1"/>
    <pivotHierarchy dragToData="1" caption="Średnia PC"/>
    <pivotHierarchy dragToData="1"/>
    <pivotHierarchy dragToData="1"/>
    <pivotHierarchy dragToData="1"/>
    <pivotHierarchy dragToData="1" caption="Średnia %OU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2">
    <rowHierarchyUsage hierarchyUsage="9"/>
    <rowHierarchyUsage hierarchyUsage="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4" columnCount="2" cacheId="947229172">
        <x15:pivotRow count="2">
          <x15:c t="e">
            <x15:v/>
          </x15:c>
          <x15:c t="e">
            <x15:v/>
          </x15:c>
        </x15:pivotRow>
        <x15:pivotRow count="2">
          <x15:c>
            <x15:v>0</x15:v>
            <x15:x in="0"/>
          </x15:c>
          <x15:c>
            <x15:v>0</x15:v>
            <x15:x in="0"/>
          </x15:c>
        </x15:pivotRow>
        <x15:pivotRow count="2">
          <x15:c>
            <x15:v>0.62055555555555564</x15:v>
            <x15:x in="0"/>
          </x15:c>
          <x15:c>
            <x15:v>0.32647058823529418</x15:v>
            <x15:x in="0"/>
          </x15:c>
        </x15:pivotRow>
        <x15:pivotRow count="2">
          <x15:c>
            <x15:v>0.58789473684210536</x15:v>
            <x15:x in="0"/>
          </x15:c>
          <x15:c>
            <x15:v>0.30833333333333335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Meczusie]"/>
        <x15:activeTabTopLevelEntity name="[Zawodnicy]"/>
        <x15:activeTabTopLevelEntity name="[Mecze]"/>
        <x15:activeTabTopLevelEntity name="[Klubik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096262-516A-40A3-9A96-B69918B07899}" name="PivotChartTable2" cacheId="50" applyNumberFormats="0" applyBorderFormats="0" applyFontFormats="0" applyPatternFormats="0" applyAlignmentFormats="0" applyWidthHeightFormats="1" dataCaption="Wartości" updatedVersion="8" minRefreshableVersion="3" useAutoFormatting="1" subtotalHiddenItems="1" itemPrintTitles="1" createdVersion="6" indent="0" outline="1" outlineData="1" multipleFieldFilters="0" chartFormat="1">
  <location ref="A1:B5" firstHeaderRow="1" firstDataRow="1" firstDataCol="1"/>
  <pivotFields count="8"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</pivotFields>
  <rowFields count="2">
    <field x="2"/>
    <field x="3"/>
  </rowFields>
  <rowItems count="4">
    <i>
      <x/>
    </i>
    <i r="1">
      <x/>
    </i>
    <i r="1">
      <x v="1"/>
    </i>
    <i t="grand">
      <x/>
    </i>
  </rowItems>
  <colItems count="1">
    <i/>
  </colItems>
  <dataFields count="1">
    <dataField fld="7" subtotal="count" baseField="0" baseItem="0"/>
  </dataFields>
  <chartFormats count="1"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Klubiki].[Nazwa].&amp;[Nowielice]"/>
      </members>
    </pivotHierarchy>
    <pivotHierarchy multipleItemSelectionAllowed="1" dragToData="1">
      <members count="1" level="1">
        <member name="[Mecze].[Numer].&amp;[8]"/>
      </members>
    </pivotHierarchy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>
      <members count="1" level="1">
        <member name="[Meczusie].[RodzajMeczu].&amp;[Liga]"/>
      </members>
    </pivotHierarchy>
    <pivotHierarchy multipleItemSelectionAllowed="1" dragToData="1">
      <members count="1" level="1">
        <member name="[Meczusie].[DOM].&amp;[Manchester United F.C.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Zawodnicy].[Nazwa zawodnika].&amp;[Gustaw Tuliszewski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Ocena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2">
    <rowHierarchyUsage hierarchyUsage="9"/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0.00"/>
      </x15:pivotTableServerFormats>
    </ext>
    <ext xmlns:x15="http://schemas.microsoft.com/office/spreadsheetml/2010/11/main" uri="{44433962-1CF7-4059-B4EE-95C3D5FFCF73}">
      <x15:pivotTableData rowCount="4" columnCount="1" cacheId="2094703980">
        <x15:pivotRow count="1">
          <x15:c t="e">
            <x15:v/>
          </x15:c>
        </x15:pivotRow>
        <x15:pivotRow count="1">
          <x15:c>
            <x15:v>3.93</x15:v>
            <x15:x in="0"/>
          </x15:c>
        </x15:pivotRow>
        <x15:pivotRow count="1">
          <x15:c>
            <x15:v>7.3158823529411769</x15:v>
            <x15:x in="0"/>
          </x15:c>
        </x15:pivotRow>
        <x15:pivotRow count="1">
          <x15:c>
            <x15:v>7.1381601731601743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Zawodnicy]"/>
        <x15:activeTabTopLevelEntity name="[Mecze]"/>
        <x15:activeTabTopLevelEntity name="[Meczusie]"/>
        <x15:activeTabTopLevelEntity name="[Klubik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F7EA3B-D5E0-4604-A378-BBD248D9519A}" name="PivotChartTable1" cacheId="47" applyNumberFormats="0" applyBorderFormats="0" applyFontFormats="0" applyPatternFormats="0" applyAlignmentFormats="0" applyWidthHeightFormats="1" dataCaption="Wartości" updatedVersion="8" minRefreshableVersion="3" useAutoFormatting="1" subtotalHiddenItems="1" itemPrintTitles="1" createdVersion="6" indent="0" outline="1" outlineData="1" multipleFieldFilters="0" chartFormat="1">
  <location ref="A1:B40" firstHeaderRow="1" firstDataRow="1" firstDataCol="1"/>
  <pivotFields count="9">
    <pivotField axis="axisRow" allDrilled="1" subtotalTop="0" showAll="0" dataSourceSort="1" defaultSubtotal="0" defaultAttributeDrillState="1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  <pivotField allDrilled="1" subtotalTop="0" showAll="0" dataSourceSort="1" defaultSubtotal="0" defaultAttributeDrillState="1"/>
  </pivotFields>
  <rowFields count="2">
    <field x="0"/>
    <field x="1"/>
  </rowFields>
  <rowItems count="39">
    <i>
      <x/>
    </i>
    <i r="1">
      <x/>
    </i>
    <i>
      <x v="1"/>
    </i>
    <i r="1">
      <x/>
    </i>
    <i>
      <x v="2"/>
    </i>
    <i r="1">
      <x/>
    </i>
    <i>
      <x v="3"/>
    </i>
    <i r="1">
      <x/>
    </i>
    <i>
      <x v="4"/>
    </i>
    <i r="1">
      <x/>
    </i>
    <i>
      <x v="5"/>
    </i>
    <i r="1">
      <x/>
    </i>
    <i>
      <x v="6"/>
    </i>
    <i r="1">
      <x v="1"/>
    </i>
    <i>
      <x v="7"/>
    </i>
    <i r="1">
      <x/>
    </i>
    <i>
      <x v="8"/>
    </i>
    <i r="1">
      <x/>
    </i>
    <i>
      <x v="9"/>
    </i>
    <i r="1">
      <x/>
    </i>
    <i>
      <x v="10"/>
    </i>
    <i r="1">
      <x/>
    </i>
    <i>
      <x v="11"/>
    </i>
    <i r="1">
      <x/>
    </i>
    <i>
      <x v="12"/>
    </i>
    <i r="1">
      <x/>
    </i>
    <i>
      <x v="13"/>
    </i>
    <i r="1">
      <x/>
    </i>
    <i>
      <x v="14"/>
    </i>
    <i r="1">
      <x/>
    </i>
    <i>
      <x v="15"/>
    </i>
    <i r="1">
      <x/>
    </i>
    <i>
      <x v="16"/>
    </i>
    <i r="1">
      <x/>
    </i>
    <i>
      <x v="17"/>
    </i>
    <i r="1">
      <x/>
    </i>
    <i>
      <x v="18"/>
    </i>
    <i r="1">
      <x/>
    </i>
    <i t="grand">
      <x/>
    </i>
  </rowItems>
  <colItems count="1">
    <i/>
  </colItems>
  <dataFields count="1">
    <dataField fld="7" subtotal="count" baseField="0" baseItem="0"/>
  </dataFields>
  <chartFormats count="1">
    <chartFormat chart="0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Klubiki].[Nazwa].&amp;[Nowielice]"/>
      </members>
    </pivotHierarchy>
    <pivotHierarchy multipleItemSelectionAllowed="1" dragToData="1">
      <members count="1" level="1">
        <member name="[Mecze].[Numer].&amp;[8]"/>
      </members>
    </pivotHierarchy>
    <pivotHierarchy multipleItemSelectionAllowed="1" dragToData="1">
      <members count="1" level="1">
        <member name="[Mecze].[Nazwa zawodnika].&amp;[ K. Grabowicz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>
      <members count="1" level="1">
        <member name="[Meczusie].[RodzajMeczu].&amp;[Liga]"/>
      </members>
    </pivotHierarchy>
    <pivotHierarchy multipleItemSelectionAllowed="1" dragToData="1">
      <members count="1" level="1">
        <member name="[Meczusie].[DOM].&amp;[Manchester United F.C.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Zawodnicy].[Nazwa zawodnika].&amp;[Gustaw Tuliszewski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2">
    <rowHierarchyUsage hierarchyUsage="38"/>
    <rowHierarchyUsage hierarchyUsage="3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0.00"/>
      </x15:pivotTableServerFormats>
    </ext>
    <ext xmlns:x15="http://schemas.microsoft.com/office/spreadsheetml/2010/11/main" uri="{44433962-1CF7-4059-B4EE-95C3D5FFCF73}">
      <x15:pivotTableData rowCount="39" columnCount="1" cacheId="447651376">
        <x15:pivotRow count="1">
          <x15:c t="e">
            <x15:v/>
          </x15:c>
        </x15:pivotRow>
        <x15:pivotRow count="1">
          <x15:c>
            <x15:v>7.33</x15:v>
            <x15:x in="0"/>
          </x15:c>
        </x15:pivotRow>
        <x15:pivotRow count="1">
          <x15:c t="e">
            <x15:v/>
          </x15:c>
        </x15:pivotRow>
        <x15:pivotRow count="1">
          <x15:c>
            <x15:v>7.11</x15:v>
            <x15:x in="0"/>
          </x15:c>
        </x15:pivotRow>
        <x15:pivotRow count="1">
          <x15:c t="e">
            <x15:v/>
          </x15:c>
        </x15:pivotRow>
        <x15:pivotRow count="1">
          <x15:c>
            <x15:v>5.4000000000000012</x15:v>
            <x15:x in="0"/>
          </x15:c>
        </x15:pivotRow>
        <x15:pivotRow count="1">
          <x15:c t="e">
            <x15:v/>
          </x15:c>
        </x15:pivotRow>
        <x15:pivotRow count="1">
          <x15:c>
            <x15:v>4.4800000000000004</x15:v>
            <x15:x in="0"/>
          </x15:c>
        </x15:pivotRow>
        <x15:pivotRow count="1">
          <x15:c t="e">
            <x15:v/>
          </x15:c>
        </x15:pivotRow>
        <x15:pivotRow count="1">
          <x15:c>
            <x15:v>7.55</x15:v>
            <x15:x in="0"/>
          </x15:c>
        </x15:pivotRow>
        <x15:pivotRow count="1">
          <x15:c t="e">
            <x15:v/>
          </x15:c>
        </x15:pivotRow>
        <x15:pivotRow count="1">
          <x15:c>
            <x15:v>7.88</x15:v>
            <x15:x in="0"/>
          </x15:c>
        </x15:pivotRow>
        <x15:pivotRow count="1">
          <x15:c t="e">
            <x15:v/>
          </x15:c>
        </x15:pivotRow>
        <x15:pivotRow count="1">
          <x15:c>
            <x15:v>3.93</x15:v>
            <x15:x in="0"/>
          </x15:c>
        </x15:pivotRow>
        <x15:pivotRow count="1">
          <x15:c t="e">
            <x15:v/>
          </x15:c>
        </x15:pivotRow>
        <x15:pivotRow count="1">
          <x15:c>
            <x15:v>9.75</x15:v>
            <x15:x in="0"/>
          </x15:c>
        </x15:pivotRow>
        <x15:pivotRow count="1">
          <x15:c t="e">
            <x15:v/>
          </x15:c>
        </x15:pivotRow>
        <x15:pivotRow count="1">
          <x15:c>
            <x15:v>18.96</x15:v>
            <x15:x in="0"/>
          </x15:c>
        </x15:pivotRow>
        <x15:pivotRow count="1">
          <x15:c t="e">
            <x15:v/>
          </x15:c>
        </x15:pivotRow>
        <x15:pivotRow count="1">
          <x15:c>
            <x15:v>4.7</x15:v>
            <x15:x in="0"/>
          </x15:c>
        </x15:pivotRow>
        <x15:pivotRow count="1">
          <x15:c t="e">
            <x15:v/>
          </x15:c>
        </x15:pivotRow>
        <x15:pivotRow count="1">
          <x15:c>
            <x15:v>3.59</x15:v>
            <x15:x in="0"/>
          </x15:c>
        </x15:pivotRow>
        <x15:pivotRow count="1">
          <x15:c t="e">
            <x15:v/>
          </x15:c>
        </x15:pivotRow>
        <x15:pivotRow count="1">
          <x15:c>
            <x15:v>2.71</x15:v>
            <x15:x in="0"/>
          </x15:c>
        </x15:pivotRow>
        <x15:pivotRow count="1">
          <x15:c t="e">
            <x15:v/>
          </x15:c>
        </x15:pivotRow>
        <x15:pivotRow count="1">
          <x15:c>
            <x15:v>3.15</x15:v>
            <x15:x in="0"/>
          </x15:c>
        </x15:pivotRow>
        <x15:pivotRow count="1">
          <x15:c t="e">
            <x15:v/>
          </x15:c>
        </x15:pivotRow>
        <x15:pivotRow count="1">
          <x15:c>
            <x15:v>15.5</x15:v>
            <x15:x in="0"/>
          </x15:c>
        </x15:pivotRow>
        <x15:pivotRow count="1">
          <x15:c t="e">
            <x15:v/>
          </x15:c>
        </x15:pivotRow>
        <x15:pivotRow count="1">
          <x15:c>
            <x15:v>6.78</x15:v>
            <x15:x in="0"/>
          </x15:c>
        </x15:pivotRow>
        <x15:pivotRow count="1">
          <x15:c t="e">
            <x15:v/>
          </x15:c>
        </x15:pivotRow>
        <x15:pivotRow count="1">
          <x15:c>
            <x15:v>2.71</x15:v>
            <x15:x in="0"/>
          </x15:c>
        </x15:pivotRow>
        <x15:pivotRow count="1">
          <x15:c t="e">
            <x15:v/>
          </x15:c>
        </x15:pivotRow>
        <x15:pivotRow count="1">
          <x15:c>
            <x15:v>9.41</x15:v>
            <x15:x in="0"/>
          </x15:c>
        </x15:pivotRow>
        <x15:pivotRow count="1">
          <x15:c t="e">
            <x15:v/>
          </x15:c>
        </x15:pivotRow>
        <x15:pivotRow count="1">
          <x15:c>
            <x15:v>4.26</x15:v>
            <x15:x in="0"/>
          </x15:c>
        </x15:pivotRow>
        <x15:pivotRow count="1">
          <x15:c t="e">
            <x15:v/>
          </x15:c>
        </x15:pivotRow>
        <x15:pivotRow count="1">
          <x15:c>
            <x15:v>10.24</x15:v>
            <x15:x in="0"/>
          </x15:c>
        </x15:pivotRow>
        <x15:pivotRow count="1">
          <x15:c>
            <x15:v>7.1381601731601743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Meczusie]"/>
        <x15:activeTabTopLevelEntity name="[Mecze]"/>
        <x15:activeTabTopLevelEntity name="[Zawodnicy]"/>
        <x15:activeTabTopLevelEntity name="[Klubik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EDFB4C-3DA5-4DB1-B88F-9ECBE4DDC88C}" name="PivotChartTable4" cacheId="53" applyNumberFormats="0" applyBorderFormats="0" applyFontFormats="0" applyPatternFormats="0" applyAlignmentFormats="0" applyWidthHeightFormats="1" dataCaption="Wartości" updatedVersion="8" minRefreshableVersion="3" useAutoFormatting="1" subtotalHiddenItems="1" itemPrintTitles="1" createdVersion="6" indent="0" outline="1" outlineData="1" multipleFieldFilters="0" chartFormat="1">
  <location ref="A1:C5" firstHeaderRow="0" firstDataRow="1" firstDataCol="1"/>
  <pivotFields count="9"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1">
        <item s="1" x="0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</pivotFields>
  <rowFields count="2">
    <field x="4"/>
    <field x="3"/>
  </rowFields>
  <rowItems count="4">
    <i>
      <x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Średnia PC" fld="8" subtotal="average" baseField="0" baseItem="0"/>
    <dataField name="Średnia OU" fld="2" subtotal="average" baseField="0" baseItem="0"/>
  </dataFields>
  <chartFormats count="2">
    <chartFormat chart="0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Klubiki].[Nazwa].&amp;[Nowielice]"/>
      </members>
    </pivotHierarchy>
    <pivotHierarchy multipleItemSelectionAllowed="1" dragToData="1">
      <members count="1" level="1">
        <member name="[Mecze].[Numer].&amp;[8]"/>
      </members>
    </pivotHierarchy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>
      <members count="1" level="1">
        <member name="[Meczusie].[RodzajMeczu].&amp;[Liga]"/>
      </members>
    </pivotHierarchy>
    <pivotHierarchy multipleItemSelectionAllowed="1" dragToData="1">
      <members count="1" level="1">
        <member name="[Meczusie].[DOM].&amp;[Manchester United F.C.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Zawodnicy].[Nazwa zawodnika].&amp;[Gustaw Tuliszewski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PC"/>
    <pivotHierarchy dragToData="1"/>
    <pivotHierarchy dragToData="1"/>
    <pivotHierarchy dragToData="1"/>
    <pivotHierarchy dragToData="1" caption="Średnia %OU"/>
    <pivotHierarchy dragToData="1" caption="Średnia OU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2">
    <rowHierarchyUsage hierarchyUsage="9"/>
    <rowHierarchyUsage hierarchyUsage="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4" columnCount="2" cacheId="1590557747">
        <x15:pivotRow count="2">
          <x15:c t="e">
            <x15:v/>
          </x15:c>
          <x15:c t="e">
            <x15:v/>
          </x15:c>
        </x15:pivotRow>
        <x15:pivotRow count="2">
          <x15:c>
            <x15:v>0</x15:v>
            <x15:x in="0"/>
          </x15:c>
          <x15:c>
            <x15:v>0</x15:v>
            <x15:x in="0"/>
          </x15:c>
        </x15:pivotRow>
        <x15:pivotRow count="2">
          <x15:c>
            <x15:v>4.2777777777777777</x15:v>
            <x15:x in="0"/>
          </x15:c>
          <x15:c>
            <x15:v>1.0555555555555556</x15:v>
            <x15:x in="0"/>
          </x15:c>
        </x15:pivotRow>
        <x15:pivotRow count="2">
          <x15:c>
            <x15:v>4.0526315789473681</x15:v>
            <x15:x in="0"/>
          </x15:c>
          <x15:c>
            <x15:v>1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Meczusie]"/>
        <x15:activeTabTopLevelEntity name="[Zawodnicy]"/>
        <x15:activeTabTopLevelEntity name="[Mecze]"/>
        <x15:activeTabTopLevelEntity name="[Klubik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F2C4-C93E-4E35-A3F3-DC1D13D9FEBF}" name="PivotChartTable5" cacheId="59" applyNumberFormats="0" applyBorderFormats="0" applyFontFormats="0" applyPatternFormats="0" applyAlignmentFormats="0" applyWidthHeightFormats="1" dataCaption="Wartości" updatedVersion="8" minRefreshableVersion="3" useAutoFormatting="1" subtotalHiddenItems="1" itemPrintTitles="1" createdVersion="6" indent="0" outline="1" outlineData="1" multipleFieldFilters="0" chartFormat="1">
  <location ref="A1:C5" firstHeaderRow="0" firstDataRow="1" firstDataCol="1"/>
  <pivotFields count="9"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2">
    <field x="4"/>
    <field x="5"/>
  </rowFields>
  <rowItems count="4">
    <i>
      <x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Średnia PR" fld="2" subtotal="average" baseField="0" baseItem="0"/>
    <dataField name="Średnia OB" fld="3" subtotal="average" baseField="0" baseItem="0"/>
  </dataFields>
  <chartFormats count="2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Klubiki].[Nazwa].&amp;[Nowielice]"/>
      </members>
    </pivotHierarchy>
    <pivotHierarchy multipleItemSelectionAllowed="1" dragToData="1">
      <members count="1" level="1">
        <member name="[Mecze].[Numer].&amp;[8]"/>
      </members>
    </pivotHierarchy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>
      <members count="1" level="1">
        <member name="[Meczusie].[RodzajMeczu].&amp;[Liga]"/>
      </members>
    </pivotHierarchy>
    <pivotHierarchy multipleItemSelectionAllowed="1" dragToData="1">
      <members count="1" level="1">
        <member name="[Meczusie].[DOM].&amp;[Manchester United F.C.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Zawodnicy].[Nazwa zawodnika].&amp;[Gustaw Tuliszewski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PR"/>
    <pivotHierarchy dragToData="1" caption="Średnia OB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2">
    <rowHierarchyUsage hierarchyUsage="9"/>
    <rowHierarchyUsage hierarchyUsage="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4" columnCount="2" cacheId="488059426">
        <x15:pivotRow count="2">
          <x15:c t="e">
            <x15:v/>
          </x15:c>
          <x15:c t="e">
            <x15:v/>
          </x15:c>
        </x15:pivotRow>
        <x15:pivotRow count="2">
          <x15:c>
            <x15:v>0</x15:v>
            <x15:x in="0"/>
          </x15:c>
          <x15:c>
            <x15:v>0</x15:v>
            <x15:x in="0"/>
          </x15:c>
        </x15:pivotRow>
        <x15:pivotRow count="2">
          <x15:c>
            <x15:v>0.5</x15:v>
            <x15:x in="0"/>
          </x15:c>
          <x15:c>
            <x15:v>0</x15:v>
            <x15:x in="0"/>
          </x15:c>
        </x15:pivotRow>
        <x15:pivotRow count="2">
          <x15:c>
            <x15:v>0.47368421052631576</x15:v>
            <x15:x in="0"/>
          </x15:c>
          <x15:c>
            <x15:v>0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Meczusie]"/>
        <x15:activeTabTopLevelEntity name="[Zawodnicy]"/>
        <x15:activeTabTopLevelEntity name="[Mecz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85556A-CD4A-46BD-9A9C-9928F0FC9E69}" name="PivotChartTable6" cacheId="62" applyNumberFormats="0" applyBorderFormats="0" applyFontFormats="0" applyPatternFormats="0" applyAlignmentFormats="0" applyWidthHeightFormats="1" dataCaption="Wartości" updatedVersion="8" minRefreshableVersion="3" useAutoFormatting="1" subtotalHiddenItems="1" itemPrintTitles="1" createdVersion="6" indent="0" outline="1" outlineData="1" multipleFieldFilters="0" chartFormat="1">
  <location ref="A1:C5" firstHeaderRow="0" firstDataRow="1" firstDataCol="1"/>
  <pivotFields count="9"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subtotalTop="0" showAll="0" defaultSubtotal="0"/>
    <pivotField axis="axisRow" allDrilled="1" subtotalTop="0" showAll="0" dataSourceSort="1" defaultSubtotal="0" defaultAttributeDrillState="1">
      <items count="1">
        <item s="1"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allDrilled="1" subtotalTop="0" showAll="0" dataSourceSort="1" defaultSubtotal="0" defaultAttributeDrillState="1"/>
  </pivotFields>
  <rowFields count="2">
    <field x="3"/>
    <field x="4"/>
  </rowFields>
  <rowItems count="4">
    <i>
      <x/>
    </i>
    <i r="1">
      <x/>
    </i>
    <i r="1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Średnia /GC" fld="2" subtotal="average" baseField="0" baseItem="0"/>
    <dataField name="Średnia BR" fld="5" subtotal="average" baseField="0" baseItem="0"/>
  </dataFields>
  <chartFormats count="2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1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Klubiki].[Nazwa].&amp;[Nowielice]"/>
      </members>
    </pivotHierarchy>
    <pivotHierarchy multipleItemSelectionAllowed="1" dragToData="1">
      <members count="1" level="1">
        <member name="[Mecze].[Numer].&amp;[8]"/>
      </members>
    </pivotHierarchy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>
      <members count="1" level="1">
        <member name="[Meczusie].[RodzajMeczu].&amp;[Liga]"/>
      </members>
    </pivotHierarchy>
    <pivotHierarchy multipleItemSelectionAllowed="1" dragToData="1">
      <members count="1" level="1">
        <member name="[Meczusie].[DOM].&amp;[Manchester United F.C.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Zawodnicy].[Nazwa zawodnika].&amp;[Gustaw Tuliszewski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/GC"/>
    <pivotHierarchy dragToData="1"/>
    <pivotHierarchy dragToData="1"/>
    <pivotHierarchy dragToData="1"/>
    <pivotHierarchy dragToData="1" caption="Średnia SC"/>
    <pivotHierarchy dragToData="1"/>
    <pivotHierarchy dragToData="1" caption="Średnia B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2">
    <rowHierarchyUsage hierarchyUsage="9"/>
    <rowHierarchyUsage hierarchyUsage="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"/>
      </x15:pivotTableServerFormats>
    </ext>
    <ext xmlns:x15="http://schemas.microsoft.com/office/spreadsheetml/2010/11/main" uri="{44433962-1CF7-4059-B4EE-95C3D5FFCF73}">
      <x15:pivotTableData rowCount="4" columnCount="2" cacheId="1878669132">
        <x15:pivotRow count="2">
          <x15:c t="e">
            <x15:v/>
          </x15:c>
          <x15:c t="e">
            <x15:v/>
          </x15:c>
        </x15:pivotRow>
        <x15:pivotRow count="2">
          <x15:c>
            <x15:v>0</x15:v>
            <x15:x in="0"/>
          </x15:c>
          <x15:c>
            <x15:v>0</x15:v>
            <x15:x in="0"/>
          </x15:c>
        </x15:pivotRow>
        <x15:pivotRow count="2">
          <x15:c>
            <x15:v>0.14532527657527655</x15:v>
            <x15:x in="0"/>
          </x15:c>
          <x15:c>
            <x15:v>0.94444444444444442</x15:v>
            <x15:x in="0"/>
          </x15:c>
        </x15:pivotRow>
        <x15:pivotRow count="2">
          <x15:c>
            <x15:v>0.13767657780815673</x15:v>
            <x15:x in="0"/>
          </x15:c>
          <x15:c>
            <x15:v>0.89473684210526316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Meczusie]"/>
        <x15:activeTabTopLevelEntity name="[Zawodnicy]"/>
        <x15:activeTabTopLevelEntity name="[Mecz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C04084-460A-47FE-8A87-37DE8C6A32CD}" name="PivotChartTable10" cacheId="38" applyNumberFormats="0" applyBorderFormats="0" applyFontFormats="0" applyPatternFormats="0" applyAlignmentFormats="0" applyWidthHeightFormats="1" dataCaption="Wartości" updatedVersion="8" minRefreshableVersion="3" useAutoFormatting="1" itemPrintTitles="1" createdVersion="6" indent="0" outline="1" outlineData="1" multipleFieldFilters="0" chartFormat="1">
  <location ref="A1:B13" firstHeaderRow="1" firstDataRow="1" firstDataCol="1"/>
  <pivotFields count="3">
    <pivotField axis="axisRow" allDrilled="1" subtotalTop="0" showAll="0" sortType="descending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2">
    <i>
      <x v="2"/>
    </i>
    <i>
      <x v="10"/>
    </i>
    <i>
      <x v="5"/>
    </i>
    <i>
      <x v="4"/>
    </i>
    <i>
      <x/>
    </i>
    <i>
      <x v="3"/>
    </i>
    <i>
      <x v="9"/>
    </i>
    <i>
      <x v="7"/>
    </i>
    <i>
      <x v="8"/>
    </i>
    <i>
      <x v="1"/>
    </i>
    <i>
      <x v="6"/>
    </i>
    <i t="grand">
      <x/>
    </i>
  </rowItems>
  <colItems count="1">
    <i/>
  </colItems>
  <dataFields count="1">
    <dataField name="Średnia /PI2" fld="1" subtotal="average" baseField="0" baseItem="3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eczusie].[RodzajMeczu].&amp;[Lig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/PI2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2" columnCount="1" cacheId="1306866368">
        <x15:pivotRow count="1">
          <x15:c>
            <x15:v>0.81449599347566237</x15:v>
          </x15:c>
        </x15:pivotRow>
        <x15:pivotRow count="1">
          <x15:c>
            <x15:v>0.78355000039653844</x15:v>
          </x15:c>
        </x15:pivotRow>
        <x15:pivotRow count="1">
          <x15:c>
            <x15:v>0.75240382656315319</x15:v>
          </x15:c>
        </x15:pivotRow>
        <x15:pivotRow count="1">
          <x15:c>
            <x15:v>0.74773362715543823</x15:v>
          </x15:c>
        </x15:pivotRow>
        <x15:pivotRow count="1">
          <x15:c>
            <x15:v>0.7373304875805321</x15:v>
          </x15:c>
        </x15:pivotRow>
        <x15:pivotRow count="1">
          <x15:c>
            <x15:v>0.69970115084733941</x15:v>
          </x15:c>
        </x15:pivotRow>
        <x15:pivotRow count="1">
          <x15:c>
            <x15:v>0.68560165371688653</x15:v>
          </x15:c>
        </x15:pivotRow>
        <x15:pivotRow count="1">
          <x15:c>
            <x15:v>0.66905678254548284</x15:v>
          </x15:c>
        </x15:pivotRow>
        <x15:pivotRow count="1">
          <x15:c>
            <x15:v>0.64244293728094815</x15:v>
          </x15:c>
        </x15:pivotRow>
        <x15:pivotRow count="1">
          <x15:c>
            <x15:v>0.63565740497340051</x15:v>
          </x15:c>
        </x15:pivotRow>
        <x15:pivotRow count="1">
          <x15:c>
            <x15:v>0.60613788864094287</x15:v>
          </x15:c>
        </x15:pivotRow>
        <x15:pivotRow count="1">
          <x15:c>
            <x15:v>0.7079440427192335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Klubiki]"/>
        <x15:activeTabTopLevelEntity name="[Mecze]"/>
        <x15:activeTabTopLevelEntity name="[Meczusi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9B367-DB3C-4AB7-A4A2-FC5704BC67A1}" name="PivotChartTable11" cacheId="29" applyNumberFormats="0" applyBorderFormats="0" applyFontFormats="0" applyPatternFormats="0" applyAlignmentFormats="0" applyWidthHeightFormats="1" dataCaption="Wartości" updatedVersion="8" minRefreshableVersion="3" useAutoFormatting="1" itemPrintTitles="1" createdVersion="6" indent="0" outline="1" outlineData="1" multipleFieldFilters="0" chartFormat="2">
  <location ref="A1:B13" firstHeaderRow="1" firstDataRow="1" firstDataCol="1"/>
  <pivotFields count="3">
    <pivotField axis="axisRow" allDrilled="1" subtotalTop="0" showAll="0" sortType="descending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2">
    <i>
      <x v="10"/>
    </i>
    <i>
      <x v="2"/>
    </i>
    <i>
      <x/>
    </i>
    <i>
      <x v="7"/>
    </i>
    <i>
      <x v="5"/>
    </i>
    <i>
      <x v="3"/>
    </i>
    <i>
      <x v="9"/>
    </i>
    <i>
      <x v="4"/>
    </i>
    <i>
      <x v="8"/>
    </i>
    <i>
      <x v="6"/>
    </i>
    <i>
      <x v="1"/>
    </i>
    <i t="grand">
      <x/>
    </i>
  </rowItems>
  <colItems count="1">
    <i/>
  </colItems>
  <dataFields count="1">
    <dataField fld="2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eczusie].[RodzajMeczu].&amp;[Lig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%PC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0.00%;-0.00%;0.00%"/>
      </x15:pivotTableServerFormats>
    </ext>
    <ext xmlns:x15="http://schemas.microsoft.com/office/spreadsheetml/2010/11/main" uri="{44433962-1CF7-4059-B4EE-95C3D5FFCF73}">
      <x15:pivotTableData rowCount="12" columnCount="1" cacheId="86152013">
        <x15:pivotRow count="1">
          <x15:c>
            <x15:v>0.75809935205183587</x15:v>
            <x15:x in="0"/>
          </x15:c>
        </x15:pivotRow>
        <x15:pivotRow count="1">
          <x15:c>
            <x15:v>0.73376623376623373</x15:v>
            <x15:x in="0"/>
          </x15:c>
        </x15:pivotRow>
        <x15:pivotRow count="1">
          <x15:c>
            <x15:v>0.71533477321814254</x15:v>
            <x15:x in="0"/>
          </x15:c>
        </x15:pivotRow>
        <x15:pivotRow count="1">
          <x15:c>
            <x15:v>0.69170865781035273</x15:v>
            <x15:x in="0"/>
          </x15:c>
        </x15:pivotRow>
        <x15:pivotRow count="1">
          <x15:c>
            <x15:v>0.68458933107535991</x15:v>
            <x15:x in="0"/>
          </x15:c>
        </x15:pivotRow>
        <x15:pivotRow count="1">
          <x15:c>
            <x15:v>0.67710371819960857</x15:v>
            <x15:x in="0"/>
          </x15:c>
        </x15:pivotRow>
        <x15:pivotRow count="1">
          <x15:c>
            <x15:v>0.66945400885391049</x15:v>
            <x15:x in="0"/>
          </x15:c>
        </x15:pivotRow>
        <x15:pivotRow count="1">
          <x15:c>
            <x15:v>0.66784452296819785</x15:v>
            <x15:x in="0"/>
          </x15:c>
        </x15:pivotRow>
        <x15:pivotRow count="1">
          <x15:c>
            <x15:v>0.62</x15:v>
            <x15:x in="0"/>
          </x15:c>
        </x15:pivotRow>
        <x15:pivotRow count="1">
          <x15:c>
            <x15:v>0.61326530612244901</x15:v>
            <x15:x in="0"/>
          </x15:c>
        </x15:pivotRow>
        <x15:pivotRow count="1">
          <x15:c>
            <x15:v>0.59332688588007731</x15:v>
            <x15:x in="0"/>
          </x15:c>
        </x15:pivotRow>
        <x15:pivotRow count="1">
          <x15:c>
            <x15:v>0.6772925033467202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Mecze]"/>
        <x15:activeTabTopLevelEntity name="[Klubiki]"/>
        <x15:activeTabTopLevelEntity name="[Meczusi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9B367-DB3C-4AB7-A4A2-FC5704BC67A1}" name="PivotChartTable12" cacheId="35" applyNumberFormats="0" applyBorderFormats="0" applyFontFormats="0" applyPatternFormats="0" applyAlignmentFormats="0" applyWidthHeightFormats="1" dataCaption="Wartości" updatedVersion="8" minRefreshableVersion="3" useAutoFormatting="1" itemPrintTitles="1" createdVersion="6" indent="0" outline="1" outlineData="1" multipleFieldFilters="0" chartFormat="3">
  <location ref="A1:B13" firstHeaderRow="1" firstDataRow="1" firstDataCol="1"/>
  <pivotFields count="3">
    <pivotField axis="axisRow" allDrilled="1" subtotalTop="0" showAll="0" sortType="descending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2">
    <i>
      <x v="2"/>
    </i>
    <i>
      <x v="4"/>
    </i>
    <i>
      <x v="1"/>
    </i>
    <i>
      <x v="8"/>
    </i>
    <i>
      <x v="3"/>
    </i>
    <i>
      <x v="9"/>
    </i>
    <i>
      <x/>
    </i>
    <i>
      <x v="6"/>
    </i>
    <i>
      <x v="10"/>
    </i>
    <i>
      <x v="5"/>
    </i>
    <i>
      <x v="7"/>
    </i>
    <i t="grand">
      <x/>
    </i>
  </rowItems>
  <colItems count="1">
    <i/>
  </colItems>
  <dataFields count="1">
    <dataField fld="2" subtotal="count" baseField="0" baseItem="0"/>
  </dataFields>
  <chartFormats count="1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eczusie].[RodzajMeczu].&amp;[Lig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%PC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0.00%;-0.00%;0.00%"/>
      </x15:pivotTableServerFormats>
    </ext>
    <ext xmlns:x15="http://schemas.microsoft.com/office/spreadsheetml/2010/11/main" uri="{44433962-1CF7-4059-B4EE-95C3D5FFCF73}">
      <x15:pivotTableData rowCount="12" columnCount="1" cacheId="872804252">
        <x15:pivotRow count="1">
          <x15:c>
            <x15:v>0.907258064516129</x15:v>
            <x15:x in="0"/>
          </x15:c>
        </x15:pivotRow>
        <x15:pivotRow count="1">
          <x15:c>
            <x15:v>0.88997555012224938</x15:v>
            <x15:x in="0"/>
          </x15:c>
        </x15:pivotRow>
        <x15:pivotRow count="1">
          <x15:c>
            <x15:v>0.87072243346007605</x15:v>
            <x15:x in="0"/>
          </x15:c>
        </x15:pivotRow>
        <x15:pivotRow count="1">
          <x15:c>
            <x15:v>0.86816720257234725</x15:v>
            <x15:x in="0"/>
          </x15:c>
        </x15:pivotRow>
        <x15:pivotRow count="1">
          <x15:c>
            <x15:v>0.86602870813397126</x15:v>
            <x15:x in="0"/>
          </x15:c>
        </x15:pivotRow>
        <x15:pivotRow count="1">
          <x15:c>
            <x15:v>0.86243386243386244</x15:v>
            <x15:x in="0"/>
          </x15:c>
        </x15:pivotRow>
        <x15:pivotRow count="1">
          <x15:c>
            <x15:v>0.8595505617977528</x15:v>
            <x15:x in="0"/>
          </x15:c>
        </x15:pivotRow>
        <x15:pivotRow count="1">
          <x15:c>
            <x15:v>0.85171102661596954</x15:v>
            <x15:x in="0"/>
          </x15:c>
        </x15:pivotRow>
        <x15:pivotRow count="1">
          <x15:c>
            <x15:v>0.841796875</x15:v>
            <x15:x in="0"/>
          </x15:c>
        </x15:pivotRow>
        <x15:pivotRow count="1">
          <x15:c>
            <x15:v>0.83333333333333337</x15:v>
            <x15:x in="0"/>
          </x15:c>
        </x15:pivotRow>
        <x15:pivotRow count="1">
          <x15:c>
            <x15:v>0.74121405750798719</x15:v>
            <x15:x in="0"/>
          </x15:c>
        </x15:pivotRow>
        <x15:pivotRow count="1">
          <x15:c>
            <x15:v>0.85654834761321907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Mecze]"/>
        <x15:activeTabTopLevelEntity name="[Klubiki]"/>
        <x15:activeTabTopLevelEntity name="[Meczusi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9B367-DB3C-4AB7-A4A2-FC5704BC67A1}" name="PivotChartTable13" cacheId="32" applyNumberFormats="0" applyBorderFormats="0" applyFontFormats="0" applyPatternFormats="0" applyAlignmentFormats="0" applyWidthHeightFormats="1" dataCaption="Wartości" updatedVersion="8" minRefreshableVersion="3" useAutoFormatting="1" itemPrintTitles="1" createdVersion="6" indent="0" outline="1" outlineData="1" multipleFieldFilters="0" chartFormat="5">
  <location ref="A1:B13" firstHeaderRow="1" firstDataRow="1" firstDataCol="1"/>
  <pivotFields count="3">
    <pivotField axis="axisRow" allDrilled="1" subtotalTop="0" showAll="0" sortType="descending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2">
    <i>
      <x v="10"/>
    </i>
    <i>
      <x v="4"/>
    </i>
    <i>
      <x v="2"/>
    </i>
    <i>
      <x/>
    </i>
    <i>
      <x v="9"/>
    </i>
    <i>
      <x v="3"/>
    </i>
    <i>
      <x v="5"/>
    </i>
    <i>
      <x v="7"/>
    </i>
    <i>
      <x v="8"/>
    </i>
    <i>
      <x v="1"/>
    </i>
    <i>
      <x v="6"/>
    </i>
    <i t="grand">
      <x/>
    </i>
  </rowItems>
  <colItems count="1">
    <i/>
  </colItems>
  <dataFields count="1">
    <dataField fld="2" subtotal="count" baseField="0" baseItem="0"/>
  </dataFields>
  <chartFormats count="1">
    <chartFormat chart="4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eczusie].[RodzajMeczu].&amp;[Lig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%PC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0.00%;-0.00%;0.00%"/>
      </x15:pivotTableServerFormats>
    </ext>
    <ext xmlns:x15="http://schemas.microsoft.com/office/spreadsheetml/2010/11/main" uri="{44433962-1CF7-4059-B4EE-95C3D5FFCF73}">
      <x15:pivotTableData rowCount="12" columnCount="1" cacheId="1527551324">
        <x15:pivotRow count="1">
          <x15:c>
            <x15:v>0.55065554231227654</x15:v>
            <x15:x in="0"/>
          </x15:c>
        </x15:pivotRow>
        <x15:pivotRow count="1">
          <x15:c>
            <x15:v>0.5176093916755603</x15:v>
            <x15:x in="0"/>
          </x15:c>
        </x15:pivotRow>
        <x15:pivotRow count="1">
          <x15:c>
            <x15:v>0.51282051282051277</x15:v>
            <x15:x in="0"/>
          </x15:c>
        </x15:pivotRow>
        <x15:pivotRow count="1">
          <x15:c>
            <x15:v>0.50881316098707408</x15:v>
            <x15:x in="0"/>
          </x15:c>
        </x15:pivotRow>
        <x15:pivotRow count="1">
          <x15:c>
            <x15:v>0.50106837606837606</x15:v>
            <x15:x in="0"/>
          </x15:c>
        </x15:pivotRow>
        <x15:pivotRow count="1">
          <x15:c>
            <x15:v>0.49649649649649652</x15:v>
            <x15:x in="0"/>
          </x15:c>
        </x15:pivotRow>
        <x15:pivotRow count="1">
          <x15:c>
            <x15:v>0.47166186359269935</x15:v>
            <x15:x in="0"/>
          </x15:c>
        </x15:pivotRow>
        <x15:pivotRow count="1">
          <x15:c>
            <x15:v>0.45610278372591007</x15:v>
            <x15:x in="0"/>
          </x15:c>
        </x15:pivotRow>
        <x15:pivotRow count="1">
          <x15:c>
            <x15:v>0.45378927911275418</x15:v>
            <x15:x in="0"/>
          </x15:c>
        </x15:pivotRow>
        <x15:pivotRow count="1">
          <x15:c>
            <x15:v>0.44762845849802374</x15:v>
            <x15:x in="0"/>
          </x15:c>
        </x15:pivotRow>
        <x15:pivotRow count="1">
          <x15:c>
            <x15:v>0.40787949015063729</x15:v>
            <x15:x in="0"/>
          </x15:c>
        </x15:pivotRow>
        <x15:pivotRow count="1">
          <x15:c>
            <x15:v>0.48291790972957366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Mecze]"/>
        <x15:activeTabTopLevelEntity name="[Klubiki]"/>
        <x15:activeTabTopLevelEntity name="[Meczusi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A9B367-DB3C-4AB7-A4A2-FC5704BC67A1}" name="PivotChartTable14" cacheId="41" applyNumberFormats="0" applyBorderFormats="0" applyFontFormats="0" applyPatternFormats="0" applyAlignmentFormats="0" applyWidthHeightFormats="1" dataCaption="Wartości" updatedVersion="8" minRefreshableVersion="3" useAutoFormatting="1" itemPrintTitles="1" createdVersion="6" indent="0" outline="1" outlineData="1" multipleFieldFilters="0" chartFormat="7">
  <location ref="A1:B13" firstHeaderRow="1" firstDataRow="1" firstDataCol="1"/>
  <pivotFields count="3">
    <pivotField axis="axisRow" allDrilled="1" subtotalTop="0" showAll="0" sortType="descending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llDrilled="1" subtotalTop="0" showAll="0" dataSourceSort="1" defaultSubtotal="0" defaultAttributeDrillState="1"/>
    <pivotField dataField="1" subtotalTop="0" showAll="0" defaultSubtotal="0"/>
  </pivotFields>
  <rowFields count="1">
    <field x="0"/>
  </rowFields>
  <rowItems count="12">
    <i>
      <x v="5"/>
    </i>
    <i>
      <x v="7"/>
    </i>
    <i>
      <x v="6"/>
    </i>
    <i>
      <x/>
    </i>
    <i>
      <x v="9"/>
    </i>
    <i>
      <x v="4"/>
    </i>
    <i>
      <x v="10"/>
    </i>
    <i>
      <x v="3"/>
    </i>
    <i>
      <x v="1"/>
    </i>
    <i>
      <x v="2"/>
    </i>
    <i>
      <x v="8"/>
    </i>
    <i t="grand">
      <x/>
    </i>
  </rowItems>
  <colItems count="1">
    <i/>
  </colItems>
  <dataFields count="1">
    <dataField fld="2" subtotal="count" baseField="0" baseItem="0"/>
  </dataFields>
  <chartFormats count="1">
    <chartFormat chart="6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eczusie].[RodzajMeczu].&amp;[Lig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%PC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C510F80B-63DE-4267-81D5-13C33094786E}">
      <x15:pivotTableServerFormats count="1">
        <x15:serverFormat format="0.00%;-0.00%;0.00%"/>
      </x15:pivotTableServerFormats>
    </ext>
    <ext xmlns:x15="http://schemas.microsoft.com/office/spreadsheetml/2010/11/main" uri="{44433962-1CF7-4059-B4EE-95C3D5FFCF73}">
      <x15:pivotTableData rowCount="12" columnCount="1" cacheId="1343795738">
        <x15:pivotRow count="1">
          <x15:c>
            <x15:v>0.29836065573770493</x15:v>
            <x15:x in="0"/>
          </x15:c>
        </x15:pivotRow>
        <x15:pivotRow count="1">
          <x15:c>
            <x15:v>0.28448275862068967</x15:v>
            <x15:x in="0"/>
          </x15:c>
        </x15:pivotRow>
        <x15:pivotRow count="1">
          <x15:c>
            <x15:v>0.24107142857142858</x15:v>
            <x15:x in="0"/>
          </x15:c>
        </x15:pivotRow>
        <x15:pivotRow count="1">
          <x15:c>
            <x15:v>0.22549019607843138</x15:v>
            <x15:x in="0"/>
          </x15:c>
        </x15:pivotRow>
        <x15:pivotRow count="1">
          <x15:c>
            <x15:v>0.22392638036809817</x15:v>
            <x15:x in="0"/>
          </x15:c>
        </x15:pivotRow>
        <x15:pivotRow count="1">
          <x15:c>
            <x15:v>0.21153846153846154</x15:v>
            <x15:x in="0"/>
          </x15:c>
        </x15:pivotRow>
        <x15:pivotRow count="1">
          <x15:c>
            <x15:v>0.19721577726218098</x15:v>
            <x15:x in="0"/>
          </x15:c>
        </x15:pivotRow>
        <x15:pivotRow count="1">
          <x15:c>
            <x15:v>0.19337016574585636</x15:v>
            <x15:x in="0"/>
          </x15:c>
        </x15:pivotRow>
        <x15:pivotRow count="1">
          <x15:c>
            <x15:v>0.18777292576419213</x15:v>
            <x15:x in="0"/>
          </x15:c>
        </x15:pivotRow>
        <x15:pivotRow count="1">
          <x15:c>
            <x15:v>0.17555555555555555</x15:v>
            <x15:x in="0"/>
          </x15:c>
        </x15:pivotRow>
        <x15:pivotRow count="1">
          <x15:c>
            <x15:v>0.16296296296296298</x15:v>
            <x15:x in="0"/>
          </x15:c>
        </x15:pivotRow>
        <x15:pivotRow count="1">
          <x15:c>
            <x15:v>0.21463275221491854</x15:v>
            <x15:x in="0"/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Mecze]"/>
        <x15:activeTabTopLevelEntity name="[Klubiki]"/>
        <x15:activeTabTopLevelEntity name="[Meczusi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459B2C-F8BE-481E-A637-DF4886682661}" name="ZawodnicyLliga2" cacheId="2" applyNumberFormats="0" applyBorderFormats="0" applyFontFormats="0" applyPatternFormats="0" applyAlignmentFormats="0" applyWidthHeightFormats="1" dataCaption="Wartości" tag="f0810d24-29bf-4275-bf12-dab78cc10e5e" updatedVersion="6" minRefreshableVersion="3" useAutoFormatting="1" rowGrandTotals="0" colGrandTotals="0" itemPrintTitles="1" createdVersion="6" indent="0" compact="0" compactData="0" multipleFieldFilters="0">
  <location ref="A1:C212" firstHeaderRow="1" firstDataRow="1" firstDataCol="3"/>
  <pivotFields count="3">
    <pivotField axis="axisRow" compact="0" allDrilled="1" outline="0" showAll="0" dataSourceSort="1" defaultSubtotal="0" defaultAttributeDrillState="1">
      <items count="20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</items>
    </pivotField>
    <pivotField axis="axisRow" compact="0" allDrilled="1" outline="0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allDrilled="1" outline="0" subtotalTop="0" showAll="0" sortType="ascending" defaultSubtotal="0" defaultAttributeDrillState="1">
      <items count="84">
        <item x="0"/>
        <item x="1"/>
        <item x="2"/>
        <item x="3"/>
        <item x="4"/>
        <item x="5"/>
        <item x="39"/>
        <item x="6"/>
        <item x="7"/>
        <item x="40"/>
        <item x="8"/>
        <item x="41"/>
        <item x="9"/>
        <item x="10"/>
        <item x="11"/>
        <item x="80"/>
        <item x="12"/>
        <item x="13"/>
        <item x="14"/>
        <item x="15"/>
        <item x="16"/>
        <item x="81"/>
        <item x="56"/>
        <item x="17"/>
        <item x="18"/>
        <item x="19"/>
        <item x="20"/>
        <item x="21"/>
        <item x="22"/>
        <item x="23"/>
        <item x="42"/>
        <item x="43"/>
        <item x="24"/>
        <item x="25"/>
        <item x="26"/>
        <item x="27"/>
        <item x="44"/>
        <item x="28"/>
        <item x="29"/>
        <item x="45"/>
        <item x="30"/>
        <item x="31"/>
        <item x="32"/>
        <item x="33"/>
        <item x="34"/>
        <item x="35"/>
        <item x="54"/>
        <item x="36"/>
        <item x="37"/>
        <item x="38"/>
        <item x="46"/>
        <item x="47"/>
        <item x="48"/>
        <item x="49"/>
        <item x="50"/>
        <item x="51"/>
        <item x="52"/>
        <item x="82"/>
        <item x="83"/>
        <item x="62"/>
        <item x="55"/>
        <item x="53"/>
        <item x="57"/>
        <item x="58"/>
        <item x="59"/>
        <item x="63"/>
        <item x="60"/>
        <item x="6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</items>
    </pivotField>
  </pivotFields>
  <rowFields count="3">
    <field x="1"/>
    <field x="2"/>
    <field x="0"/>
  </rowFields>
  <rowItems count="211">
    <i>
      <x/>
      <x/>
      <x/>
    </i>
    <i r="1">
      <x v="1"/>
      <x v="1"/>
    </i>
    <i r="1">
      <x v="2"/>
      <x v="2"/>
    </i>
    <i r="1">
      <x v="3"/>
      <x v="3"/>
    </i>
    <i r="1">
      <x v="4"/>
      <x v="4"/>
    </i>
    <i r="1">
      <x v="5"/>
      <x v="5"/>
    </i>
    <i r="1">
      <x v="7"/>
      <x v="6"/>
    </i>
    <i r="1">
      <x v="8"/>
      <x v="7"/>
    </i>
    <i r="1">
      <x v="10"/>
      <x v="8"/>
    </i>
    <i r="1">
      <x v="12"/>
      <x v="9"/>
    </i>
    <i r="1">
      <x v="13"/>
      <x v="10"/>
    </i>
    <i r="1">
      <x v="14"/>
      <x v="11"/>
    </i>
    <i r="1">
      <x v="16"/>
      <x v="12"/>
    </i>
    <i r="1">
      <x v="17"/>
      <x v="13"/>
    </i>
    <i r="1">
      <x v="18"/>
      <x v="14"/>
    </i>
    <i r="1">
      <x v="19"/>
      <x v="15"/>
    </i>
    <i r="1">
      <x v="20"/>
      <x v="16"/>
    </i>
    <i r="1">
      <x v="23"/>
      <x v="17"/>
    </i>
    <i r="1">
      <x v="24"/>
      <x v="18"/>
    </i>
    <i r="1">
      <x v="25"/>
      <x v="19"/>
    </i>
    <i r="1">
      <x v="26"/>
      <x v="20"/>
    </i>
    <i r="1">
      <x v="27"/>
      <x v="21"/>
    </i>
    <i r="1">
      <x v="28"/>
      <x v="22"/>
    </i>
    <i r="1">
      <x v="29"/>
      <x v="23"/>
    </i>
    <i r="1">
      <x v="32"/>
      <x v="24"/>
    </i>
    <i r="1">
      <x v="33"/>
      <x v="25"/>
    </i>
    <i r="1">
      <x v="34"/>
      <x v="26"/>
    </i>
    <i r="1">
      <x v="35"/>
      <x v="27"/>
    </i>
    <i r="1">
      <x v="37"/>
      <x v="28"/>
    </i>
    <i r="1">
      <x v="38"/>
      <x v="29"/>
    </i>
    <i r="1">
      <x v="40"/>
      <x v="30"/>
    </i>
    <i r="1">
      <x v="41"/>
      <x v="31"/>
    </i>
    <i r="1">
      <x v="42"/>
      <x v="32"/>
    </i>
    <i r="1">
      <x v="43"/>
      <x v="33"/>
    </i>
    <i r="1">
      <x v="44"/>
      <x v="34"/>
    </i>
    <i r="1">
      <x v="45"/>
      <x v="35"/>
    </i>
    <i r="1">
      <x v="47"/>
      <x v="36"/>
    </i>
    <i r="1">
      <x v="48"/>
      <x v="37"/>
    </i>
    <i r="1">
      <x v="49"/>
      <x v="38"/>
    </i>
    <i>
      <x v="1"/>
      <x/>
      <x v="39"/>
    </i>
    <i r="1">
      <x v="1"/>
      <x v="40"/>
    </i>
    <i r="1">
      <x v="2"/>
      <x v="41"/>
    </i>
    <i r="1">
      <x v="3"/>
      <x v="42"/>
    </i>
    <i r="1">
      <x v="4"/>
      <x v="43"/>
    </i>
    <i r="1">
      <x v="5"/>
      <x v="44"/>
    </i>
    <i r="1">
      <x v="6"/>
      <x v="45"/>
    </i>
    <i r="1">
      <x v="7"/>
      <x v="46"/>
    </i>
    <i r="1">
      <x v="8"/>
      <x v="47"/>
    </i>
    <i r="1">
      <x v="9"/>
      <x v="48"/>
    </i>
    <i r="1">
      <x v="10"/>
      <x v="49"/>
    </i>
    <i r="1">
      <x v="11"/>
      <x v="50"/>
    </i>
    <i r="1">
      <x v="28"/>
      <x v="51"/>
    </i>
    <i r="1">
      <x v="29"/>
      <x v="52"/>
    </i>
    <i r="1">
      <x v="30"/>
      <x v="53"/>
    </i>
    <i r="1">
      <x v="31"/>
      <x v="54"/>
    </i>
    <i r="1">
      <x v="33"/>
      <x v="55"/>
    </i>
    <i r="1">
      <x v="34"/>
      <x v="56"/>
    </i>
    <i r="1">
      <x v="35"/>
      <x v="57"/>
    </i>
    <i r="1">
      <x v="36"/>
      <x v="58"/>
    </i>
    <i r="1">
      <x v="38"/>
      <x v="59"/>
    </i>
    <i r="1">
      <x v="39"/>
      <x v="60"/>
    </i>
    <i r="1">
      <x v="40"/>
      <x v="61"/>
    </i>
    <i r="1">
      <x v="50"/>
      <x v="62"/>
    </i>
    <i r="1">
      <x v="51"/>
      <x v="63"/>
    </i>
    <i r="1">
      <x v="52"/>
      <x v="64"/>
    </i>
    <i r="1">
      <x v="53"/>
      <x v="65"/>
    </i>
    <i r="1">
      <x v="54"/>
      <x v="22"/>
    </i>
    <i r="2">
      <x v="66"/>
    </i>
    <i r="1">
      <x v="55"/>
      <x v="67"/>
    </i>
    <i r="1">
      <x v="56"/>
      <x v="68"/>
    </i>
    <i r="1">
      <x v="61"/>
      <x v="69"/>
    </i>
    <i>
      <x v="2"/>
      <x/>
      <x v="70"/>
    </i>
    <i r="1">
      <x v="1"/>
      <x v="71"/>
    </i>
    <i r="1">
      <x v="2"/>
      <x v="72"/>
    </i>
    <i r="1">
      <x v="3"/>
      <x v="73"/>
    </i>
    <i r="1">
      <x v="4"/>
      <x v="74"/>
    </i>
    <i r="1">
      <x v="5"/>
      <x v="75"/>
    </i>
    <i r="1">
      <x v="6"/>
      <x v="76"/>
    </i>
    <i r="1">
      <x v="7"/>
      <x v="77"/>
    </i>
    <i r="1">
      <x v="8"/>
      <x v="78"/>
    </i>
    <i r="2">
      <x v="79"/>
    </i>
    <i r="1">
      <x v="9"/>
      <x v="80"/>
    </i>
    <i r="1">
      <x v="10"/>
      <x v="81"/>
    </i>
    <i r="1">
      <x v="12"/>
      <x v="82"/>
    </i>
    <i r="1">
      <x v="29"/>
      <x v="83"/>
    </i>
    <i r="1">
      <x v="46"/>
      <x v="84"/>
    </i>
    <i r="1">
      <x v="60"/>
      <x v="85"/>
    </i>
    <i>
      <x v="3"/>
      <x/>
      <x v="86"/>
    </i>
    <i r="1">
      <x v="1"/>
      <x v="87"/>
    </i>
    <i r="1">
      <x v="2"/>
      <x v="88"/>
    </i>
    <i r="1">
      <x v="3"/>
      <x v="89"/>
    </i>
    <i r="1">
      <x v="4"/>
      <x v="90"/>
    </i>
    <i r="1">
      <x v="5"/>
      <x v="91"/>
    </i>
    <i r="1">
      <x v="6"/>
      <x v="92"/>
    </i>
    <i r="1">
      <x v="7"/>
      <x v="93"/>
    </i>
    <i r="1">
      <x v="8"/>
      <x v="94"/>
    </i>
    <i r="1">
      <x v="9"/>
      <x v="95"/>
    </i>
    <i r="1">
      <x v="10"/>
      <x v="96"/>
    </i>
    <i r="1">
      <x v="11"/>
      <x v="97"/>
    </i>
    <i r="1">
      <x v="12"/>
      <x v="98"/>
    </i>
    <i r="1">
      <x v="13"/>
      <x v="99"/>
    </i>
    <i r="1">
      <x v="14"/>
      <x v="100"/>
    </i>
    <i>
      <x v="4"/>
      <x/>
      <x v="101"/>
    </i>
    <i r="1">
      <x v="1"/>
      <x v="102"/>
    </i>
    <i r="1">
      <x v="2"/>
      <x v="103"/>
    </i>
    <i r="1">
      <x v="3"/>
      <x v="104"/>
    </i>
    <i r="1">
      <x v="4"/>
      <x v="105"/>
    </i>
    <i r="1">
      <x v="5"/>
      <x v="106"/>
    </i>
    <i r="1">
      <x v="6"/>
      <x v="107"/>
    </i>
    <i r="1">
      <x v="7"/>
      <x v="108"/>
    </i>
    <i r="1">
      <x v="8"/>
      <x v="109"/>
    </i>
    <i r="1">
      <x v="9"/>
      <x v="110"/>
    </i>
    <i r="1">
      <x v="10"/>
      <x v="111"/>
    </i>
    <i r="1">
      <x v="14"/>
      <x v="112"/>
    </i>
    <i>
      <x v="5"/>
      <x/>
      <x v="113"/>
    </i>
    <i r="1">
      <x v="1"/>
      <x v="114"/>
    </i>
    <i r="1">
      <x v="2"/>
      <x v="115"/>
    </i>
    <i r="1">
      <x v="4"/>
      <x v="116"/>
    </i>
    <i r="1">
      <x v="5"/>
      <x v="117"/>
    </i>
    <i r="1">
      <x v="6"/>
      <x v="118"/>
    </i>
    <i r="1">
      <x v="7"/>
      <x v="119"/>
    </i>
    <i r="1">
      <x v="8"/>
      <x v="120"/>
    </i>
    <i r="1">
      <x v="9"/>
      <x v="121"/>
    </i>
    <i r="1">
      <x v="10"/>
      <x v="122"/>
    </i>
    <i r="1">
      <x v="19"/>
      <x v="123"/>
    </i>
    <i r="1">
      <x v="22"/>
      <x v="124"/>
    </i>
    <i r="1">
      <x v="62"/>
      <x v="125"/>
    </i>
    <i r="1">
      <x v="63"/>
      <x v="126"/>
    </i>
    <i r="1">
      <x v="64"/>
      <x v="127"/>
    </i>
    <i r="1">
      <x v="66"/>
      <x v="128"/>
    </i>
    <i r="1">
      <x v="67"/>
      <x v="129"/>
    </i>
    <i>
      <x v="6"/>
      <x v="54"/>
      <x v="130"/>
    </i>
    <i r="1">
      <x v="59"/>
      <x v="131"/>
    </i>
    <i r="1">
      <x v="63"/>
      <x v="132"/>
    </i>
    <i r="1">
      <x v="65"/>
      <x v="133"/>
    </i>
    <i r="1">
      <x v="68"/>
      <x v="134"/>
    </i>
    <i r="1">
      <x v="69"/>
      <x v="135"/>
    </i>
    <i r="1">
      <x v="70"/>
      <x v="136"/>
    </i>
    <i r="1">
      <x v="71"/>
      <x v="137"/>
    </i>
    <i r="1">
      <x v="72"/>
      <x v="138"/>
    </i>
    <i r="1">
      <x v="73"/>
      <x v="139"/>
    </i>
    <i r="1">
      <x v="74"/>
      <x v="140"/>
    </i>
    <i r="1">
      <x v="75"/>
      <x v="141"/>
    </i>
    <i r="1">
      <x v="76"/>
      <x v="142"/>
    </i>
    <i r="1">
      <x v="77"/>
      <x v="143"/>
    </i>
    <i r="1">
      <x v="78"/>
      <x v="144"/>
    </i>
    <i r="1">
      <x v="79"/>
      <x v="145"/>
    </i>
    <i r="1">
      <x v="80"/>
      <x v="146"/>
    </i>
    <i r="1">
      <x v="81"/>
      <x v="147"/>
    </i>
    <i r="1">
      <x v="82"/>
      <x v="148"/>
    </i>
    <i r="1">
      <x v="83"/>
      <x v="149"/>
    </i>
    <i>
      <x v="7"/>
      <x/>
      <x v="150"/>
    </i>
    <i r="1">
      <x v="1"/>
      <x v="151"/>
    </i>
    <i r="1">
      <x v="3"/>
      <x v="152"/>
    </i>
    <i r="1">
      <x v="4"/>
      <x v="153"/>
    </i>
    <i r="1">
      <x v="5"/>
      <x v="154"/>
    </i>
    <i r="1">
      <x v="6"/>
      <x v="155"/>
    </i>
    <i r="1">
      <x v="7"/>
      <x v="156"/>
    </i>
    <i r="1">
      <x v="11"/>
      <x v="157"/>
    </i>
    <i r="1">
      <x v="12"/>
      <x v="158"/>
    </i>
    <i r="1">
      <x v="13"/>
      <x v="159"/>
    </i>
    <i r="1">
      <x v="14"/>
      <x v="160"/>
    </i>
    <i r="1">
      <x v="15"/>
      <x v="161"/>
    </i>
    <i r="1">
      <x v="16"/>
      <x v="162"/>
    </i>
    <i r="1">
      <x v="19"/>
      <x v="163"/>
    </i>
    <i r="1">
      <x v="21"/>
      <x v="164"/>
    </i>
    <i r="1">
      <x v="52"/>
      <x v="165"/>
    </i>
    <i r="1">
      <x v="55"/>
      <x v="166"/>
    </i>
    <i r="1">
      <x v="57"/>
      <x v="167"/>
    </i>
    <i r="1">
      <x v="58"/>
      <x v="168"/>
    </i>
    <i>
      <x v="8"/>
      <x/>
      <x v="169"/>
    </i>
    <i r="1">
      <x v="1"/>
      <x v="170"/>
    </i>
    <i r="1">
      <x v="2"/>
      <x v="171"/>
    </i>
    <i r="1">
      <x v="3"/>
      <x v="172"/>
    </i>
    <i r="1">
      <x v="4"/>
      <x v="173"/>
    </i>
    <i r="1">
      <x v="5"/>
      <x v="174"/>
    </i>
    <i r="1">
      <x v="7"/>
      <x v="175"/>
    </i>
    <i r="1">
      <x v="8"/>
      <x v="176"/>
    </i>
    <i r="1">
      <x v="9"/>
      <x v="177"/>
    </i>
    <i r="1">
      <x v="10"/>
      <x v="178"/>
    </i>
    <i r="1">
      <x v="12"/>
      <x v="179"/>
    </i>
    <i r="1">
      <x v="13"/>
      <x v="180"/>
    </i>
    <i r="1">
      <x v="14"/>
      <x v="181"/>
    </i>
    <i r="1">
      <x v="15"/>
      <x v="182"/>
    </i>
    <i>
      <x v="9"/>
      <x/>
      <x v="183"/>
    </i>
    <i r="1">
      <x v="1"/>
      <x v="184"/>
    </i>
    <i r="1">
      <x v="2"/>
      <x v="185"/>
    </i>
    <i r="1">
      <x v="3"/>
      <x v="186"/>
    </i>
    <i r="1">
      <x v="4"/>
      <x v="187"/>
    </i>
    <i r="1">
      <x v="6"/>
      <x v="188"/>
    </i>
    <i r="1">
      <x v="7"/>
      <x v="189"/>
    </i>
    <i r="1">
      <x v="8"/>
      <x v="190"/>
    </i>
    <i r="1">
      <x v="9"/>
      <x v="191"/>
    </i>
    <i r="1">
      <x v="10"/>
      <x v="192"/>
    </i>
    <i r="1">
      <x v="11"/>
      <x v="193"/>
    </i>
    <i r="1">
      <x v="12"/>
      <x v="194"/>
    </i>
    <i r="1">
      <x v="13"/>
      <x v="195"/>
    </i>
    <i r="1">
      <x v="14"/>
      <x v="196"/>
    </i>
    <i>
      <x v="10"/>
      <x/>
      <x v="197"/>
    </i>
    <i r="1">
      <x v="1"/>
      <x v="198"/>
    </i>
    <i r="1">
      <x v="3"/>
      <x v="199"/>
    </i>
    <i r="1">
      <x v="4"/>
      <x v="200"/>
    </i>
    <i r="1">
      <x v="5"/>
      <x v="201"/>
    </i>
    <i r="1">
      <x v="6"/>
      <x v="202"/>
    </i>
    <i r="1">
      <x v="7"/>
      <x v="203"/>
    </i>
    <i r="1">
      <x v="8"/>
      <x v="204"/>
    </i>
    <i r="1">
      <x v="9"/>
      <x v="205"/>
    </i>
    <i r="1">
      <x v="10"/>
      <x v="206"/>
    </i>
    <i r="1">
      <x v="12"/>
      <x v="26"/>
    </i>
    <i r="1">
      <x v="13"/>
      <x v="207"/>
    </i>
    <i r="1">
      <x v="14"/>
      <x v="208"/>
    </i>
  </rowItems>
  <pivotHierarchies count="1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Liczba Numer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43"/>
    <rowHierarchyUsage hierarchyUsage="8"/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cz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3B34B9-D8C5-46AA-9C85-BB45D7A7E9EB}" name="RankingTeam" cacheId="0" applyNumberFormats="0" applyBorderFormats="0" applyFontFormats="0" applyPatternFormats="0" applyAlignmentFormats="0" applyWidthHeightFormats="1" dataCaption="Wartości" tag="61289726-d472-455f-8485-b8a53127e9a2" updatedVersion="6" minRefreshableVersion="3" useAutoFormatting="1" subtotalHiddenItems="1" rowGrandTotals="0" itemPrintTitles="1" createdVersion="6" indent="0" outline="1" outlineData="1" multipleFieldFilters="0">
  <location ref="Q4:AE15" firstHeaderRow="0" firstDataRow="1" firstDataCol="1"/>
  <pivotFields count="16">
    <pivotField axis="axisRow" allDrilled="1" subtotalTop="0" showAll="0" sortType="descending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  <autoSortScope>
        <pivotArea dataOnly="0" outline="0" fieldPosition="0">
          <references count="1">
            <reference field="4294967294" count="1" selected="0">
              <x v="10"/>
            </reference>
          </references>
        </pivotArea>
      </autoSortScope>
    </pivotField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dataField="1" subtotalTop="0" showAll="0" defaultSubtotal="0"/>
    <pivotField allDrilled="1" subtotalTop="0" showAll="0" dataSourceSort="1" defaultSubtotal="0" defaultAttributeDrillState="1"/>
  </pivotFields>
  <rowFields count="1">
    <field x="0"/>
  </rowFields>
  <rowItems count="11">
    <i>
      <x v="10"/>
    </i>
    <i>
      <x v="4"/>
    </i>
    <i>
      <x v="2"/>
    </i>
    <i>
      <x/>
    </i>
    <i>
      <x v="9"/>
    </i>
    <i>
      <x v="3"/>
    </i>
    <i>
      <x v="5"/>
    </i>
    <i>
      <x v="7"/>
    </i>
    <i>
      <x v="8"/>
    </i>
    <i>
      <x v="1"/>
    </i>
    <i>
      <x v="6"/>
    </i>
  </rowItems>
  <colFields count="1">
    <field x="-2"/>
  </colFields>
  <colItems count="14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</colItems>
  <dataFields count="14">
    <dataField name="Ocena" fld="1" subtotal="average" baseField="0" baseItem="0" numFmtId="2"/>
    <dataField name="PI" fld="2" subtotal="average" baseField="0" baseItem="0" numFmtId="165"/>
    <dataField name="PD" fld="9" baseField="0" baseItem="10"/>
    <dataField name="PC" fld="8" baseField="0" baseItem="2"/>
    <dataField name="OD" fld="10" baseField="0" baseItem="2"/>
    <dataField name="OU" fld="7" baseField="0" baseItem="4"/>
    <dataField name="PR" fld="6" baseField="0" baseItem="2"/>
    <dataField name="OB" fld="3" baseField="0" baseItem="5"/>
    <dataField name="BR" fld="5" baseField="0" baseItem="2"/>
    <dataField name="SC" fld="4" baseField="0" baseItem="7"/>
    <dataField fld="11" subtotal="count" baseField="0" baseItem="0"/>
    <dataField fld="12" subtotal="count" baseField="0" baseItem="0"/>
    <dataField fld="13" subtotal="count" baseField="0" baseItem="0"/>
    <dataField fld="14" subtotal="count" baseField="0" baseItem="0"/>
  </dataFields>
  <pivotHierarchies count="1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ecze].[Typ meczu].&amp;[Lig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Ocena"/>
    <pivotHierarchy dragToData="1"/>
    <pivotHierarchy dragToData="1"/>
    <pivotHierarchy dragToData="1" caption="PC"/>
    <pivotHierarchy dragToData="1" caption="PC"/>
    <pivotHierarchy dragToData="1" caption="OD"/>
    <pivotHierarchy dragToData="1"/>
    <pivotHierarchy dragToData="1" caption="OU"/>
    <pivotHierarchy dragToData="1" caption="Średnia %OU"/>
    <pivotHierarchy dragToData="1" caption="OU"/>
    <pivotHierarchy dragToData="1" caption="PR"/>
    <pivotHierarchy dragToData="1" caption="OB"/>
    <pivotHierarchy dragToData="1" caption="PR"/>
    <pivotHierarchy dragToData="1" caption="Średnia OB"/>
    <pivotHierarchy dragToData="1"/>
    <pivotHierarchy dragToData="1" caption="Średnia /GC"/>
    <pivotHierarchy dragToData="1"/>
    <pivotHierarchy dragToData="1" caption="PI"/>
    <pivotHierarchy dragToData="1" caption="SC"/>
    <pivotHierarchy dragToData="1" caption="SC"/>
    <pivotHierarchy dragToData="1" caption="BR"/>
    <pivotHierarchy dragToData="1" caption="B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Liczba Mecz"/>
    <pivotHierarchy dragToData="1" caption="Liczba TEAM"/>
    <pivotHierarchy dragToData="1" caption="TEAM"/>
    <pivotHierarchy dragToData="1"/>
    <pivotHierarchy dragToData="1" caption="Średnia Numer"/>
    <pivotHierarchy dragToData="1"/>
    <pivotHierarchy dragToData="1"/>
    <pivotHierarchy dragToData="1"/>
    <pivotHierarchy dragToData="1" caption="Liczba Mecz"/>
    <pivotHierarchy dragToData="1"/>
    <pivotHierarchy dragToData="1" caption="Średnia Mecz"/>
    <pivotHierarchy dragToData="1" caption="Liczba Numer"/>
    <pivotHierarchy dragToData="1" caption="PD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Dark2" showRowHeaders="1" showColHeaders="1" showRowStripes="0" showColStripes="0" showLastColumn="1"/>
  <rowHierarchiesUsage count="1">
    <rowHierarchyUsage hierarchyUsage="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cze]"/>
        <x15:activeTabTopLevelEntity name="[Klubiki]"/>
        <x15:activeTabTopLevelEntity name="[Meczusi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E21B66-EDF1-443E-944E-8F596DD8F8F8}" name="RankingPlayer" cacheId="1" applyNumberFormats="0" applyBorderFormats="0" applyFontFormats="0" applyPatternFormats="0" applyAlignmentFormats="0" applyWidthHeightFormats="1" dataCaption="Wartości" tag="a81a3d69-2d3e-4333-8806-9671d8ea20de" updatedVersion="6" minRefreshableVersion="3" useAutoFormatting="1" subtotalHiddenItems="1" rowGrandTotals="0" colGrandTotals="0" itemPrintTitles="1" createdVersion="6" indent="0" outline="1" outlineData="1" multipleFieldFilters="0">
  <location ref="B4:H18" firstHeaderRow="0" firstDataRow="1" firstDataCol="1" rowPageCount="1" colPageCount="1"/>
  <pivotFields count="10">
    <pivotField dataFiel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allDrilled="1" showAll="0" sortType="descending" defaultSubtotal="0" defaultAttributeDrillState="1">
      <autoSortScope>
        <pivotArea dataOnly="0" outline="0" fieldPosition="0">
          <references count="1">
            <reference field="4294967294" count="1" selected="0">
              <x v="3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showAll="0" sortType="descending" defaultSubtotal="0" defaultAttributeDrillState="1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llDrilled="1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  <pivotField allDrilled="1" subtotalTop="0" showAll="0" dataSourceSort="1" defaultSubtotal="0" defaultAttributeDrillState="1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4"/>
  </rowFields>
  <rowItems count="14">
    <i>
      <x v="13"/>
    </i>
    <i>
      <x v="7"/>
    </i>
    <i>
      <x v="10"/>
    </i>
    <i>
      <x v="9"/>
    </i>
    <i>
      <x v="12"/>
    </i>
    <i>
      <x v="1"/>
    </i>
    <i>
      <x v="8"/>
    </i>
    <i>
      <x v="2"/>
    </i>
    <i>
      <x v="11"/>
    </i>
    <i>
      <x v="3"/>
    </i>
    <i>
      <x v="4"/>
    </i>
    <i>
      <x v="5"/>
    </i>
    <i>
      <x/>
    </i>
    <i>
      <x v="6"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3" hier="7" name="[Klubiki].[Nazwa].[All]" cap="All"/>
  </pageFields>
  <dataFields count="6">
    <dataField name="Numer" fld="6" subtotal="average" baseField="4" baseItem="8"/>
    <dataField name="IDTeam" fld="5" subtotal="average" baseField="4" baseItem="22"/>
    <dataField name="PowerIndex" fld="0" subtotal="average" baseField="3" baseItem="2" numFmtId="165"/>
    <dataField name="Ocena" fld="1" subtotal="average" baseField="0" baseItem="0" numFmtId="2"/>
    <dataField name="Suma CZAS" fld="2" baseField="0" baseItem="0"/>
    <dataField fld="7" subtotal="count" baseField="0" baseItem="0"/>
  </dataFields>
  <pivotHierarchies count="181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ecze].[Rola].&amp;[BR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1" level="1">
        <member name="[Mecze].[Typ meczu].&amp;[Liga]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Ocena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owerIndex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Średnia /BRI"/>
    <pivotHierarchy dragToData="1"/>
    <pivotHierarchy dragToData="1"/>
    <pivotHierarchy dragToData="1" caption="Liczba Mecz"/>
    <pivotHierarchy dragToData="1" caption="Liczba TEAM"/>
    <pivotHierarchy dragToData="1" caption="IDTeam"/>
    <pivotHierarchy dragToData="1"/>
    <pivotHierarchy dragToData="1" caption="Numer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Dark3" showRowHeaders="1" showColHeaders="1" showRowStripes="0" showColStripes="0" showLastColumn="1"/>
  <rowHierarchiesUsage count="1">
    <rowHierarchyUsage hierarchyUsage="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fillDownLabelsDefault="1" calculatedMembersInFilters="1" hideValuesRow="1"/>
    </ext>
    <ext xmlns:x15="http://schemas.microsoft.com/office/spreadsheetml/2010/11/main" uri="{E67621CE-5B39-4880-91FE-76760E9C1902}">
      <x15:pivotTableUISettings>
        <x15:activeTabTopLevelEntity name="[Mecze]"/>
        <x15:activeTabTopLevelEntity name="[Klubik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RodzajMeczu" xr10:uid="{8698DE93-EFB5-46CB-906B-6951E4AFA4DB}" sourceName="[Meczusie].[RodzajMeczu]">
  <data>
    <olap pivotCacheId="653685090">
      <levels count="2">
        <level uniqueName="[Meczusie].[RodzajMeczu].[(All)]" sourceCaption="(All)" count="0"/>
        <level uniqueName="[Meczusie].[RodzajMeczu].[RodzajMeczu]" sourceCaption="RodzajMeczu" count="4">
          <ranges>
            <range startItem="0">
              <i n="[Meczusie].[RodzajMeczu].&amp;[Baraże]" c="Baraże"/>
              <i n="[Meczusie].[RodzajMeczu].&amp;[Liga]" c="Liga"/>
              <i n="[Meczusie].[RodzajMeczu].&amp;[Puchar]" c="Puchar"/>
              <i n="[Meczusie].[RodzajMeczu].&amp;[Towarzyski]" c="Towarzyski"/>
            </range>
          </ranges>
        </level>
      </levels>
      <selections count="1">
        <selection n="[Meczusie].[RodzajMeczu].&amp;[Liga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2"/>
        <pivotTable tabId="4294967295" name="PivotChartTable4"/>
        <pivotTable tabId="4294967295" name="PivotChartTable9"/>
        <pivotTable tabId="4294967295" name="PivotChartTable5"/>
        <pivotTable tabId="4294967295" name="PivotChartTable6"/>
      </x15:slicerCachePivotTables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Mecz" xr10:uid="{5AE50BBF-750E-4CED-B038-D42B3A7C07D8}" sourceName="[Meczusie].[Mecz]">
  <data>
    <olap pivotCacheId="653685090">
      <levels count="2">
        <level uniqueName="[Meczusie].[Mecz].[(All)]" sourceCaption="(All)" count="0"/>
        <level uniqueName="[Meczusie].[Mecz].[Mecz]" sourceCaption="Mecz" count="224">
          <ranges>
            <range startItem="0">
              <i n="[Meczusie].[Mecz].&amp;[32]" c="32"/>
              <i n="[Meczusie].[Mecz].&amp;[43]" c="43"/>
              <i n="[Meczusie].[Mecz].&amp;[48]" c="48"/>
              <i n="[Meczusie].[Mecz].&amp;[59]" c="59"/>
              <i n="[Meczusie].[Mecz].&amp;[67]" c="67"/>
              <i n="[Meczusie].[Mecz].&amp;[77]" c="77"/>
              <i n="[Meczusie].[Mecz].&amp;[83]" c="83"/>
              <i n="[Meczusie].[Mecz].&amp;[90]" c="90"/>
              <i n="[Meczusie].[Mecz].&amp;[102]" c="102"/>
              <i n="[Meczusie].[Mecz].&amp;[111]" c="111"/>
              <i n="[Meczusie].[Mecz].&amp;[125]" c="125"/>
              <i n="[Meczusie].[Mecz].&amp;[131]" c="131"/>
              <i n="[Meczusie].[Mecz].&amp;[139]" c="139"/>
              <i n="[Meczusie].[Mecz].&amp;[144]" c="144"/>
              <i n="[Meczusie].[Mecz].&amp;[158]" c="158"/>
              <i n="[Meczusie].[Mecz].&amp;[167]" c="167"/>
              <i n="[Meczusie].[Mecz].&amp;[178]" c="178"/>
              <i n="[Meczusie].[Mecz].&amp;[183]" c="183"/>
              <i n="[Meczusie].[Mecz].&amp;[195]" c="195"/>
              <i n="[Meczusie].[Mecz].&amp;[1]" c="1" nd="1"/>
              <i n="[Meczusie].[Mecz].&amp;[2]" c="2" nd="1"/>
              <i n="[Meczusie].[Mecz].&amp;[3]" c="3" nd="1"/>
              <i n="[Meczusie].[Mecz].&amp;[4]" c="4" nd="1"/>
              <i n="[Meczusie].[Mecz].&amp;[5]" c="5" nd="1"/>
              <i n="[Meczusie].[Mecz].&amp;[6]" c="6" nd="1"/>
              <i n="[Meczusie].[Mecz].&amp;[7]" c="7" nd="1"/>
              <i n="[Meczusie].[Mecz].&amp;[8]" c="8" nd="1"/>
              <i n="[Meczusie].[Mecz].&amp;[9]" c="9" nd="1"/>
              <i n="[Meczusie].[Mecz].&amp;[10]" c="10" nd="1"/>
              <i n="[Meczusie].[Mecz].&amp;[11]" c="11" nd="1"/>
              <i n="[Meczusie].[Mecz].&amp;[12]" c="12" nd="1"/>
              <i n="[Meczusie].[Mecz].&amp;[13]" c="13" nd="1"/>
              <i n="[Meczusie].[Mecz].&amp;[14]" c="14" nd="1"/>
              <i n="[Meczusie].[Mecz].&amp;[15]" c="15" nd="1"/>
              <i n="[Meczusie].[Mecz].&amp;[16]" c="16" nd="1"/>
              <i n="[Meczusie].[Mecz].&amp;[17]" c="17" nd="1"/>
              <i n="[Meczusie].[Mecz].&amp;[18]" c="18" nd="1"/>
              <i n="[Meczusie].[Mecz].&amp;[19]" c="19" nd="1"/>
              <i n="[Meczusie].[Mecz].&amp;[20]" c="20" nd="1"/>
              <i n="[Meczusie].[Mecz].&amp;[21]" c="21" nd="1"/>
              <i n="[Meczusie].[Mecz].&amp;[22]" c="22" nd="1"/>
              <i n="[Meczusie].[Mecz].&amp;[23]" c="23" nd="1"/>
              <i n="[Meczusie].[Mecz].&amp;[24]" c="24" nd="1"/>
              <i n="[Meczusie].[Mecz].&amp;[25]" c="25" nd="1"/>
              <i n="[Meczusie].[Mecz].&amp;[26]" c="26" nd="1"/>
              <i n="[Meczusie].[Mecz].&amp;[27]" c="27" nd="1"/>
              <i n="[Meczusie].[Mecz].&amp;[28]" c="28" nd="1"/>
              <i n="[Meczusie].[Mecz].&amp;[29]" c="29" nd="1"/>
              <i n="[Meczusie].[Mecz].&amp;[30]" c="30" nd="1"/>
              <i n="[Meczusie].[Mecz].&amp;[31]" c="31" nd="1"/>
              <i n="[Meczusie].[Mecz].&amp;[33]" c="33" nd="1"/>
              <i n="[Meczusie].[Mecz].&amp;[34]" c="34" nd="1"/>
              <i n="[Meczusie].[Mecz].&amp;[35]" c="35" nd="1"/>
              <i n="[Meczusie].[Mecz].&amp;[36]" c="36" nd="1"/>
              <i n="[Meczusie].[Mecz].&amp;[37]" c="37" nd="1"/>
              <i n="[Meczusie].[Mecz].&amp;[38]" c="38" nd="1"/>
              <i n="[Meczusie].[Mecz].&amp;[39]" c="39" nd="1"/>
              <i n="[Meczusie].[Mecz].&amp;[40]" c="40" nd="1"/>
              <i n="[Meczusie].[Mecz].&amp;[41]" c="41" nd="1"/>
              <i n="[Meczusie].[Mecz].&amp;[42]" c="42" nd="1"/>
              <i n="[Meczusie].[Mecz].&amp;[44]" c="44" nd="1"/>
              <i n="[Meczusie].[Mecz].&amp;[45]" c="45" nd="1"/>
              <i n="[Meczusie].[Mecz].&amp;[46]" c="46" nd="1"/>
              <i n="[Meczusie].[Mecz].&amp;[47]" c="47" nd="1"/>
              <i n="[Meczusie].[Mecz].&amp;[49]" c="49" nd="1"/>
              <i n="[Meczusie].[Mecz].&amp;[50]" c="50" nd="1"/>
              <i n="[Meczusie].[Mecz].&amp;[51]" c="51" nd="1"/>
              <i n="[Meczusie].[Mecz].&amp;[52]" c="52" nd="1"/>
              <i n="[Meczusie].[Mecz].&amp;[53]" c="53" nd="1"/>
              <i n="[Meczusie].[Mecz].&amp;[54]" c="54" nd="1"/>
              <i n="[Meczusie].[Mecz].&amp;[55]" c="55" nd="1"/>
              <i n="[Meczusie].[Mecz].&amp;[56]" c="56" nd="1"/>
              <i n="[Meczusie].[Mecz].&amp;[57]" c="57" nd="1"/>
              <i n="[Meczusie].[Mecz].&amp;[58]" c="58" nd="1"/>
              <i n="[Meczusie].[Mecz].&amp;[60]" c="60" nd="1"/>
              <i n="[Meczusie].[Mecz].&amp;[61]" c="61" nd="1"/>
              <i n="[Meczusie].[Mecz].&amp;[62]" c="62" nd="1"/>
              <i n="[Meczusie].[Mecz].&amp;[63]" c="63" nd="1"/>
              <i n="[Meczusie].[Mecz].&amp;[64]" c="64" nd="1"/>
              <i n="[Meczusie].[Mecz].&amp;[65]" c="65" nd="1"/>
              <i n="[Meczusie].[Mecz].&amp;[66]" c="66" nd="1"/>
              <i n="[Meczusie].[Mecz].&amp;[68]" c="68" nd="1"/>
              <i n="[Meczusie].[Mecz].&amp;[69]" c="69" nd="1"/>
              <i n="[Meczusie].[Mecz].&amp;[70]" c="70" nd="1"/>
              <i n="[Meczusie].[Mecz].&amp;[71]" c="71" nd="1"/>
              <i n="[Meczusie].[Mecz].&amp;[72]" c="72" nd="1"/>
              <i n="[Meczusie].[Mecz].&amp;[73]" c="73" nd="1"/>
              <i n="[Meczusie].[Mecz].&amp;[74]" c="74" nd="1"/>
              <i n="[Meczusie].[Mecz].&amp;[75]" c="75" nd="1"/>
              <i n="[Meczusie].[Mecz].&amp;[76]" c="76" nd="1"/>
              <i n="[Meczusie].[Mecz].&amp;[78]" c="78" nd="1"/>
              <i n="[Meczusie].[Mecz].&amp;[79]" c="79" nd="1"/>
              <i n="[Meczusie].[Mecz].&amp;[80]" c="80" nd="1"/>
              <i n="[Meczusie].[Mecz].&amp;[81]" c="81" nd="1"/>
              <i n="[Meczusie].[Mecz].&amp;[82]" c="82" nd="1"/>
              <i n="[Meczusie].[Mecz].&amp;[84]" c="84" nd="1"/>
              <i n="[Meczusie].[Mecz].&amp;[85]" c="85" nd="1"/>
              <i n="[Meczusie].[Mecz].&amp;[86]" c="86" nd="1"/>
              <i n="[Meczusie].[Mecz].&amp;[87]" c="87" nd="1"/>
              <i n="[Meczusie].[Mecz].&amp;[88]" c="88" nd="1"/>
              <i n="[Meczusie].[Mecz].&amp;[89]" c="89" nd="1"/>
              <i n="[Meczusie].[Mecz].&amp;[91]" c="91" nd="1"/>
              <i n="[Meczusie].[Mecz].&amp;[92]" c="92" nd="1"/>
              <i n="[Meczusie].[Mecz].&amp;[93]" c="93" nd="1"/>
              <i n="[Meczusie].[Mecz].&amp;[94]" c="94" nd="1"/>
              <i n="[Meczusie].[Mecz].&amp;[95]" c="95" nd="1"/>
              <i n="[Meczusie].[Mecz].&amp;[96]" c="96" nd="1"/>
              <i n="[Meczusie].[Mecz].&amp;[97]" c="97" nd="1"/>
              <i n="[Meczusie].[Mecz].&amp;[98]" c="98" nd="1"/>
              <i n="[Meczusie].[Mecz].&amp;[99]" c="99" nd="1"/>
              <i n="[Meczusie].[Mecz].&amp;[100]" c="100" nd="1"/>
              <i n="[Meczusie].[Mecz].&amp;[101]" c="101" nd="1"/>
              <i n="[Meczusie].[Mecz].&amp;[103]" c="103" nd="1"/>
              <i n="[Meczusie].[Mecz].&amp;[104]" c="104" nd="1"/>
              <i n="[Meczusie].[Mecz].&amp;[105]" c="105" nd="1"/>
              <i n="[Meczusie].[Mecz].&amp;[106]" c="106" nd="1"/>
              <i n="[Meczusie].[Mecz].&amp;[107]" c="107" nd="1"/>
              <i n="[Meczusie].[Mecz].&amp;[108]" c="108" nd="1"/>
              <i n="[Meczusie].[Mecz].&amp;[109]" c="109" nd="1"/>
              <i n="[Meczusie].[Mecz].&amp;[110]" c="110" nd="1"/>
              <i n="[Meczusie].[Mecz].&amp;[112]" c="112" nd="1"/>
              <i n="[Meczusie].[Mecz].&amp;[113]" c="113" nd="1"/>
              <i n="[Meczusie].[Mecz].&amp;[114]" c="114" nd="1"/>
              <i n="[Meczusie].[Mecz].&amp;[115]" c="115" nd="1"/>
              <i n="[Meczusie].[Mecz].&amp;[116]" c="116" nd="1"/>
              <i n="[Meczusie].[Mecz].&amp;[117]" c="117" nd="1"/>
              <i n="[Meczusie].[Mecz].&amp;[118]" c="118" nd="1"/>
              <i n="[Meczusie].[Mecz].&amp;[119]" c="119" nd="1"/>
              <i n="[Meczusie].[Mecz].&amp;[120]" c="120" nd="1"/>
              <i n="[Meczusie].[Mecz].&amp;[121]" c="121" nd="1"/>
              <i n="[Meczusie].[Mecz].&amp;[122]" c="122" nd="1"/>
              <i n="[Meczusie].[Mecz].&amp;[123]" c="123" nd="1"/>
              <i n="[Meczusie].[Mecz].&amp;[124]" c="124" nd="1"/>
              <i n="[Meczusie].[Mecz].&amp;[126]" c="126" nd="1"/>
              <i n="[Meczusie].[Mecz].&amp;[127]" c="127" nd="1"/>
              <i n="[Meczusie].[Mecz].&amp;[128]" c="128" nd="1"/>
              <i n="[Meczusie].[Mecz].&amp;[129]" c="129" nd="1"/>
              <i n="[Meczusie].[Mecz].&amp;[130]" c="130" nd="1"/>
              <i n="[Meczusie].[Mecz].&amp;[132]" c="132" nd="1"/>
              <i n="[Meczusie].[Mecz].&amp;[133]" c="133" nd="1"/>
              <i n="[Meczusie].[Mecz].&amp;[134]" c="134" nd="1"/>
              <i n="[Meczusie].[Mecz].&amp;[135]" c="135" nd="1"/>
              <i n="[Meczusie].[Mecz].&amp;[136]" c="136" nd="1"/>
              <i n="[Meczusie].[Mecz].&amp;[137]" c="137" nd="1"/>
              <i n="[Meczusie].[Mecz].&amp;[138]" c="138" nd="1"/>
              <i n="[Meczusie].[Mecz].&amp;[140]" c="140" nd="1"/>
              <i n="[Meczusie].[Mecz].&amp;[141]" c="141" nd="1"/>
              <i n="[Meczusie].[Mecz].&amp;[142]" c="142" nd="1"/>
              <i n="[Meczusie].[Mecz].&amp;[143]" c="143" nd="1"/>
              <i n="[Meczusie].[Mecz].&amp;[145]" c="145" nd="1"/>
              <i n="[Meczusie].[Mecz].&amp;[146]" c="146" nd="1"/>
              <i n="[Meczusie].[Mecz].&amp;[147]" c="147" nd="1"/>
              <i n="[Meczusie].[Mecz].&amp;[148]" c="148" nd="1"/>
              <i n="[Meczusie].[Mecz].&amp;[149]" c="149" nd="1"/>
              <i n="[Meczusie].[Mecz].&amp;[150]" c="150" nd="1"/>
              <i n="[Meczusie].[Mecz].&amp;[151]" c="151" nd="1"/>
              <i n="[Meczusie].[Mecz].&amp;[152]" c="152" nd="1"/>
              <i n="[Meczusie].[Mecz].&amp;[153]" c="153" nd="1"/>
              <i n="[Meczusie].[Mecz].&amp;[154]" c="154" nd="1"/>
              <i n="[Meczusie].[Mecz].&amp;[155]" c="155" nd="1"/>
              <i n="[Meczusie].[Mecz].&amp;[156]" c="156" nd="1"/>
              <i n="[Meczusie].[Mecz].&amp;[157]" c="157" nd="1"/>
              <i n="[Meczusie].[Mecz].&amp;[159]" c="159" nd="1"/>
              <i n="[Meczusie].[Mecz].&amp;[160]" c="160" nd="1"/>
              <i n="[Meczusie].[Mecz].&amp;[161]" c="161" nd="1"/>
              <i n="[Meczusie].[Mecz].&amp;[162]" c="162" nd="1"/>
              <i n="[Meczusie].[Mecz].&amp;[163]" c="163" nd="1"/>
              <i n="[Meczusie].[Mecz].&amp;[164]" c="164" nd="1"/>
              <i n="[Meczusie].[Mecz].&amp;[165]" c="165" nd="1"/>
              <i n="[Meczusie].[Mecz].&amp;[166]" c="166" nd="1"/>
              <i n="[Meczusie].[Mecz].&amp;[168]" c="168" nd="1"/>
              <i n="[Meczusie].[Mecz].&amp;[169]" c="169" nd="1"/>
              <i n="[Meczusie].[Mecz].&amp;[170]" c="170" nd="1"/>
              <i n="[Meczusie].[Mecz].&amp;[171]" c="171" nd="1"/>
              <i n="[Meczusie].[Mecz].&amp;[172]" c="172" nd="1"/>
              <i n="[Meczusie].[Mecz].&amp;[173]" c="173" nd="1"/>
              <i n="[Meczusie].[Mecz].&amp;[174]" c="174" nd="1"/>
              <i n="[Meczusie].[Mecz].&amp;[175]" c="175" nd="1"/>
              <i n="[Meczusie].[Mecz].&amp;[176]" c="176" nd="1"/>
              <i n="[Meczusie].[Mecz].&amp;[177]" c="177" nd="1"/>
              <i n="[Meczusie].[Mecz].&amp;[179]" c="179" nd="1"/>
              <i n="[Meczusie].[Mecz].&amp;[180]" c="180" nd="1"/>
              <i n="[Meczusie].[Mecz].&amp;[181]" c="181" nd="1"/>
              <i n="[Meczusie].[Mecz].&amp;[182]" c="182" nd="1"/>
              <i n="[Meczusie].[Mecz].&amp;[184]" c="184" nd="1"/>
              <i n="[Meczusie].[Mecz].&amp;[185]" c="185" nd="1"/>
              <i n="[Meczusie].[Mecz].&amp;[186]" c="186" nd="1"/>
              <i n="[Meczusie].[Mecz].&amp;[187]" c="187" nd="1"/>
              <i n="[Meczusie].[Mecz].&amp;[188]" c="188" nd="1"/>
              <i n="[Meczusie].[Mecz].&amp;[189]" c="189" nd="1"/>
              <i n="[Meczusie].[Mecz].&amp;[190]" c="190" nd="1"/>
              <i n="[Meczusie].[Mecz].&amp;[191]" c="191" nd="1"/>
              <i n="[Meczusie].[Mecz].&amp;[192]" c="192" nd="1"/>
              <i n="[Meczusie].[Mecz].&amp;[193]" c="193" nd="1"/>
              <i n="[Meczusie].[Mecz].&amp;[194]" c="194" nd="1"/>
              <i n="[Meczusie].[Mecz].&amp;[196]" c="196" nd="1"/>
              <i n="[Meczusie].[Mecz].&amp;[197]" c="197" nd="1"/>
              <i n="[Meczusie].[Mecz].&amp;[198]" c="198" nd="1"/>
              <i n="[Meczusie].[Mecz].&amp;[199]" c="199" nd="1"/>
              <i n="[Meczusie].[Mecz].&amp;[200]" c="200" nd="1"/>
              <i n="[Meczusie].[Mecz].&amp;[201]" c="201" nd="1"/>
              <i n="[Meczusie].[Mecz].&amp;[202]" c="202" nd="1"/>
              <i n="[Meczusie].[Mecz].&amp;[203]" c="203" nd="1"/>
              <i n="[Meczusie].[Mecz].&amp;[204]" c="204" nd="1"/>
              <i n="[Meczusie].[Mecz].&amp;[205]" c="205" nd="1"/>
              <i n="[Meczusie].[Mecz].&amp;[206]" c="206" nd="1"/>
              <i n="[Meczusie].[Mecz].&amp;[207]" c="207" nd="1"/>
              <i n="[Meczusie].[Mecz].&amp;[208]" c="208" nd="1"/>
              <i n="[Meczusie].[Mecz].&amp;[209]" c="209" nd="1"/>
              <i n="[Meczusie].[Mecz].&amp;[210]" c="210" nd="1"/>
              <i n="[Meczusie].[Mecz].&amp;[211]" c="211" nd="1"/>
              <i n="[Meczusie].[Mecz].&amp;[212]" c="212" nd="1"/>
              <i n="[Meczusie].[Mecz].&amp;[213]" c="213" nd="1"/>
              <i n="[Meczusie].[Mecz].&amp;[214]" c="214" nd="1"/>
              <i n="[Meczusie].[Mecz].&amp;[215]" c="215" nd="1"/>
              <i n="[Meczusie].[Mecz].&amp;[216]" c="216" nd="1"/>
              <i n="[Meczusie].[Mecz].&amp;[217]" c="217" nd="1"/>
              <i n="[Meczusie].[Mecz].&amp;[218]" c="218" nd="1"/>
              <i n="[Meczusie].[Mecz].&amp;[219]" c="219" nd="1"/>
              <i n="[Meczusie].[Mecz].&amp;[220]" c="220" nd="1"/>
              <i n="[Meczusie].[Mecz].&amp;[221]" c="221" nd="1"/>
              <i n="[Meczusie].[Mecz].&amp;[222]" c="222" nd="1"/>
              <i n="[Meczusie].[Mecz].&amp;[223]" c="223" nd="1"/>
              <i n="[Meczusie].[Mecz].&amp;[224]" c="224" nd="1"/>
            </range>
          </ranges>
        </level>
      </levels>
      <selections count="1">
        <selection n="[Meczusie].[Mecz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2"/>
        <pivotTable tabId="4294967295" name="PivotChartTable4"/>
        <pivotTable tabId="4294967295" name="PivotChartTable9"/>
        <pivotTable tabId="4294967295" name="PivotChartTable5"/>
        <pivotTable tabId="4294967295" name="PivotChartTable6"/>
      </x15:slicerCachePivotTables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RodzajMeczu1" xr10:uid="{9E218BE6-47EA-47B9-B559-6E2D24DFED91}" sourceName="[Meczusie].[RodzajMeczu]">
  <data>
    <olap pivotCacheId="235801891">
      <levels count="2">
        <level uniqueName="[Meczusie].[RodzajMeczu].[(All)]" sourceCaption="(All)" count="0"/>
        <level uniqueName="[Meczusie].[RodzajMeczu].[RodzajMeczu]" sourceCaption="RodzajMeczu" count="4">
          <ranges>
            <range startItem="0">
              <i n="[Meczusie].[RodzajMeczu].&amp;[Liga]" c="Liga"/>
              <i n="[Meczusie].[RodzajMeczu].&amp;[Baraże]" c="Baraże" nd="1"/>
              <i n="[Meczusie].[RodzajMeczu].&amp;[Puchar]" c="Puchar" nd="1"/>
              <i n="[Meczusie].[RodzajMeczu].&amp;[Towarzyski]" c="Towarzyski" nd="1"/>
            </range>
          </ranges>
        </level>
      </levels>
      <selections count="1">
        <selection n="[Meczusie].[RodzajMeczu].&amp;[Liga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7"/>
        <pivotTable tabId="4294967295" name="PivotChartTable8"/>
      </x15:slicerCachePivotTables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Rola" xr10:uid="{5F14C95A-C6A6-4C88-96D4-F8C73E5A56A5}" sourceName="[Mecze].[Rola]">
  <pivotTables>
    <pivotTable tabId="23" name="RankingPlayer"/>
  </pivotTables>
  <data>
    <olap pivotCacheId="107643604">
      <levels count="2">
        <level uniqueName="[Mecze].[Rola].[(All)]" sourceCaption="(All)" count="0"/>
        <level uniqueName="[Mecze].[Rola].[Rola]" sourceCaption="Rola" count="21" crossFilter="none">
          <ranges>
            <range startItem="0">
              <i n="[Mecze].[Rola].&amp;[BR]" c="BR"/>
              <i n="[Mecze].[Rola].&amp;[DP]" c="DP"/>
              <i n="[Mecze].[Rola].&amp;[LDP]" c="LDP"/>
              <i n="[Mecze].[Rola].&amp;[LN]" c="LN"/>
              <i n="[Mecze].[Rola].&amp;[LO]" c="LO"/>
              <i n="[Mecze].[Rola].&amp;[LP]" c="LP"/>
              <i n="[Mecze].[Rola].&amp;[LPO]" c="LPO"/>
              <i n="[Mecze].[Rola].&amp;[LS]" c="LS"/>
              <i n="[Mecze].[Rola].&amp;[LSO]" c="LSO"/>
              <i n="[Mecze].[Rola].&amp;[LSP]" c="LSP"/>
              <i n="[Mecze].[Rola].&amp;[OP]" c="OP"/>
              <i n="[Mecze].[Rola].&amp;[PDP]" c="PDP"/>
              <i n="[Mecze].[Rola].&amp;[PN]" c="PN"/>
              <i n="[Mecze].[Rola].&amp;[PO]" c="PO"/>
              <i n="[Mecze].[Rola].&amp;[PPO]" c="PPO"/>
              <i n="[Mecze].[Rola].&amp;[PS]" c="PS"/>
              <i n="[Mecze].[Rola].&amp;[PSO]" c="PSO"/>
              <i n="[Mecze].[Rola].&amp;[PSP]" c="PSP"/>
              <i n="[Mecze].[Rola].&amp;[SO]" c="SO"/>
              <i n="[Mecze].[Rola].&amp;[SP]" c="SP"/>
              <i n="[Mecze].[Rola].&amp;[ST]" c="ST"/>
            </range>
          </ranges>
        </level>
      </levels>
      <selections count="1">
        <selection n="[Mecze].[Rola].&amp;[BR]"/>
      </selections>
    </olap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Typ_meczu" xr10:uid="{E1E2D97B-E179-4B86-BA80-8D20313E7599}" sourceName="[Mecze].[Typ meczu]">
  <pivotTables>
    <pivotTable tabId="23" name="RankingPlayer"/>
    <pivotTable tabId="23" name="RankingTeam"/>
  </pivotTables>
  <data>
    <olap pivotCacheId="107643604">
      <levels count="2">
        <level uniqueName="[Mecze].[Typ meczu].[(All)]" sourceCaption="(All)" count="0"/>
        <level uniqueName="[Mecze].[Typ meczu].[Typ meczu]" sourceCaption="Typ meczu" count="4" crossFilter="none">
          <ranges>
            <range startItem="0">
              <i n="[Mecze].[Typ meczu].&amp;[Baraże]" c="Baraże"/>
              <i n="[Mecze].[Typ meczu].&amp;[Liga]" c="Liga"/>
              <i n="[Mecze].[Typ meczu].&amp;[Puchar]" c="Puchar"/>
              <i n="[Mecze].[Typ meczu].&amp;[Towarzyski]" c="Towarzyski"/>
            </range>
          </ranges>
        </level>
      </levels>
      <selections count="1">
        <selection n="[Mecze].[Typ meczu].&amp;[Liga]"/>
      </selections>
    </olap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Nazwa_zawodnika" xr10:uid="{14564076-8D02-42D3-905D-D7B9F77E860F}" sourceName="[Mecze].[Nazwa zawodnika]">
  <data>
    <olap pivotCacheId="653685090">
      <levels count="2">
        <level uniqueName="[Mecze].[Nazwa zawodnika].[(All)]" sourceCaption="(All)" count="0"/>
        <level uniqueName="[Mecze].[Nazwa zawodnika].[Nazwa zawodnika]" sourceCaption="Nazwa zawodnika" count="209">
          <ranges>
            <range startItem="0">
              <i n="[Mecze].[Nazwa zawodnika].&amp;[ A. Astudillo]" c=" A. Astudillo"/>
              <i n="[Mecze].[Nazwa zawodnika].&amp;[ B. Bejgier]" c=" B. Bejgier"/>
              <i n="[Mecze].[Nazwa zawodnika].&amp;[ C. Walec]" c=" C. Walec"/>
              <i n="[Mecze].[Nazwa zawodnika].&amp;[ E. Huk]" c=" E. Huk"/>
              <i n="[Mecze].[Nazwa zawodnika].&amp;[ F. Blochowiak]" c=" F. Blochowiak"/>
              <i n="[Mecze].[Nazwa zawodnika].&amp;[ F. Pelayo]" c=" F. Pelayo"/>
              <i n="[Mecze].[Nazwa zawodnika].&amp;[ G. Tuliszewski]" c=" G. Tuliszewski"/>
              <i n="[Mecze].[Nazwa zawodnika].&amp;[ H. Wejta]" c=" H. Wejta"/>
              <i n="[Mecze].[Nazwa zawodnika].&amp;[ I. Cerocki]" c=" I. Cerocki"/>
              <i n="[Mecze].[Nazwa zawodnika].&amp;[ I. Lato]" c=" I. Lato"/>
              <i n="[Mecze].[Nazwa zawodnika].&amp;[ J. Ludwiczak]" c=" J. Ludwiczak"/>
              <i n="[Mecze].[Nazwa zawodnika].&amp;[ K. Grabowicz]" c=" K. Grabowicz"/>
              <i n="[Mecze].[Nazwa zawodnika].&amp;[ K. Jurgiel]" c=" K. Jurgiel"/>
              <i n="[Mecze].[Nazwa zawodnika].&amp;[ K. Skrzypek]" c=" K. Skrzypek"/>
              <i n="[Mecze].[Nazwa zawodnika].&amp;[ L. Bakes]" c=" L. Bakes"/>
              <i n="[Mecze].[Nazwa zawodnika].&amp;[ R. Dochkov]" c=" R. Dochkov"/>
              <i n="[Mecze].[Nazwa zawodnika].&amp;[ R. Zakrzewski]" c=" R. Zakrzewski"/>
              <i n="[Mecze].[Nazwa zawodnika].&amp;[ U. Kaczor]" c=" U. Kaczor"/>
              <i n="[Mecze].[Nazwa zawodnika].&amp;[ W. Janiczek]" c=" W. Janiczek"/>
              <i n="[Mecze].[Nazwa zawodnika].&amp;[ A. Emesto]" c=" A. Emesto" nd="1"/>
              <i n="[Mecze].[Nazwa zawodnika].&amp;[ A. Japola]" c=" A. Japola" nd="1"/>
              <i n="[Mecze].[Nazwa zawodnika].&amp;[ A. Milko]" c=" A. Milko" nd="1"/>
              <i n="[Mecze].[Nazwa zawodnika].&amp;[ A. Mrabet]" c=" A. Mrabet" nd="1"/>
              <i n="[Mecze].[Nazwa zawodnika].&amp;[ A. Okutman]" c=" A. Okutman" nd="1"/>
              <i n="[Mecze].[Nazwa zawodnika].&amp;[ A. Polkoski]" c=" A. Polkoski" nd="1"/>
              <i n="[Mecze].[Nazwa zawodnika].&amp;[ A. Raflewski]" c=" A. Raflewski" nd="1"/>
              <i n="[Mecze].[Nazwa zawodnika].&amp;[ B. Adamus]" c=" B. Adamus" nd="1"/>
              <i n="[Mecze].[Nazwa zawodnika].&amp;[ B. Bazan]" c=" B. Bazan" nd="1"/>
              <i n="[Mecze].[Nazwa zawodnika].&amp;[ B. Brytan]" c=" B. Brytan" nd="1"/>
              <i n="[Mecze].[Nazwa zawodnika].&amp;[ B. Gregorczyk]" c=" B. Gregorczyk" nd="1"/>
              <i n="[Mecze].[Nazwa zawodnika].&amp;[ B. Jakisz]" c=" B. Jakisz" nd="1"/>
              <i n="[Mecze].[Nazwa zawodnika].&amp;[ B. Jarocewicz]" c=" B. Jarocewicz" nd="1"/>
              <i n="[Mecze].[Nazwa zawodnika].&amp;[ B. Kolano]" c=" B. Kolano" nd="1"/>
              <i n="[Mecze].[Nazwa zawodnika].&amp;[ B. Kolbert]" c=" B. Kolbert" nd="1"/>
              <i n="[Mecze].[Nazwa zawodnika].&amp;[ B. Kornatowski]" c=" B. Kornatowski" nd="1"/>
              <i n="[Mecze].[Nazwa zawodnika].&amp;[ B. Marczyniec]" c=" B. Marczyniec" nd="1"/>
              <i n="[Mecze].[Nazwa zawodnika].&amp;[ B. Pankiewicz]" c=" B. Pankiewicz" nd="1"/>
              <i n="[Mecze].[Nazwa zawodnika].&amp;[ B. Pawelczyk]" c=" B. Pawelczyk" nd="1"/>
              <i n="[Mecze].[Nazwa zawodnika].&amp;[ B. Rozanski]" c=" B. Rozanski" nd="1"/>
              <i n="[Mecze].[Nazwa zawodnika].&amp;[ B. Sebzda]" c=" B. Sebzda" nd="1"/>
              <i n="[Mecze].[Nazwa zawodnika].&amp;[ B. Selvang]" c=" B. Selvang" nd="1"/>
              <i n="[Mecze].[Nazwa zawodnika].&amp;[ B. Tecimen]" c=" B. Tecimen" nd="1"/>
              <i n="[Mecze].[Nazwa zawodnika].&amp;[ B. Zagrodny]" c=" B. Zagrodny" nd="1"/>
              <i n="[Mecze].[Nazwa zawodnika].&amp;[ C. Borcz]" c=" C. Borcz" nd="1"/>
              <i n="[Mecze].[Nazwa zawodnika].&amp;[ C. Erland]" c=" C. Erland" nd="1"/>
              <i n="[Mecze].[Nazwa zawodnika].&amp;[ C. Huratiak]" c=" C. Huratiak" nd="1"/>
              <i n="[Mecze].[Nazwa zawodnika].&amp;[ C. Maciel]" c=" C. Maciel" nd="1"/>
              <i n="[Mecze].[Nazwa zawodnika].&amp;[ C. Pirlo]" c=" C. Pirlo" nd="1"/>
              <i n="[Mecze].[Nazwa zawodnika].&amp;[ D. Araújo]" c=" D. Araújo" nd="1"/>
              <i n="[Mecze].[Nazwa zawodnika].&amp;[ D. Dziewulski]" c=" D. Dziewulski" nd="1"/>
              <i n="[Mecze].[Nazwa zawodnika].&amp;[ D. Jaroszewicz]" c=" D. Jaroszewicz" nd="1"/>
              <i n="[Mecze].[Nazwa zawodnika].&amp;[ D. Juszkowski]" c=" D. Juszkowski" nd="1"/>
              <i n="[Mecze].[Nazwa zawodnika].&amp;[ D. Kolacki]" c=" D. Kolacki" nd="1"/>
              <i n="[Mecze].[Nazwa zawodnika].&amp;[ D. Miodek]" c=" D. Miodek" nd="1"/>
              <i n="[Mecze].[Nazwa zawodnika].&amp;[ D. Olszewski]" c=" D. Olszewski" nd="1"/>
              <i n="[Mecze].[Nazwa zawodnika].&amp;[ D. Osowski]" c=" D. Osowski" nd="1"/>
              <i n="[Mecze].[Nazwa zawodnika].&amp;[ D. Pionek]" c=" D. Pionek" nd="1"/>
              <i n="[Mecze].[Nazwa zawodnika].&amp;[ D. Quadros]" c=" D. Quadros" nd="1"/>
              <i n="[Mecze].[Nazwa zawodnika].&amp;[ D. Szarmach]" c=" D. Szarmach" nd="1"/>
              <i n="[Mecze].[Nazwa zawodnika].&amp;[ E. Amaral]" c=" E. Amaral" nd="1"/>
              <i n="[Mecze].[Nazwa zawodnika].&amp;[ E. Borczak]" c=" E. Borczak" nd="1"/>
              <i n="[Mecze].[Nazwa zawodnika].&amp;[ E. Gizynski]" c=" E. Gizynski" nd="1"/>
              <i n="[Mecze].[Nazwa zawodnika].&amp;[ E. Henryk]" c=" E. Henryk" nd="1"/>
              <i n="[Mecze].[Nazwa zawodnika].&amp;[ E. Hrabina]" c=" E. Hrabina" nd="1"/>
              <i n="[Mecze].[Nazwa zawodnika].&amp;[ E. Karp]" c=" E. Karp" nd="1"/>
              <i n="[Mecze].[Nazwa zawodnika].&amp;[ E. Kosiorek]" c=" E. Kosiorek" nd="1"/>
              <i n="[Mecze].[Nazwa zawodnika].&amp;[ E. Llorca]" c=" E. Llorca" nd="1"/>
              <i n="[Mecze].[Nazwa zawodnika].&amp;[ E. Niemojewski]" c=" E. Niemojewski" nd="1"/>
              <i n="[Mecze].[Nazwa zawodnika].&amp;[ E. Omural]" c=" E. Omural" nd="1"/>
              <i n="[Mecze].[Nazwa zawodnika].&amp;[ E. Petka]" c=" E. Petka" nd="1"/>
              <i n="[Mecze].[Nazwa zawodnika].&amp;[ E. Poniewaz]" c=" E. Poniewaz" nd="1"/>
              <i n="[Mecze].[Nazwa zawodnika].&amp;[ E. Toppi]" c=" E. Toppi" nd="1"/>
              <i n="[Mecze].[Nazwa zawodnika].&amp;[ F. Armani]" c=" F. Armani" nd="1"/>
              <i n="[Mecze].[Nazwa zawodnika].&amp;[ F. Mnich]" c=" F. Mnich" nd="1"/>
              <i n="[Mecze].[Nazwa zawodnika].&amp;[ F. Ryback]" c=" F. Ryback" nd="1"/>
              <i n="[Mecze].[Nazwa zawodnika].&amp;[ F. Zacharczyk]" c=" F. Zacharczyk" nd="1"/>
              <i n="[Mecze].[Nazwa zawodnika].&amp;[ G. Onitiu]" c=" G. Onitiu" nd="1"/>
              <i n="[Mecze].[Nazwa zawodnika].&amp;[ H. Bielecki]" c=" H. Bielecki" nd="1"/>
              <i n="[Mecze].[Nazwa zawodnika].&amp;[ H. Cheng Jie]" c=" H. Cheng Jie" nd="1"/>
              <i n="[Mecze].[Nazwa zawodnika].&amp;[ H. Kasperczak]" c=" H. Kasperczak" nd="1"/>
              <i n="[Mecze].[Nazwa zawodnika].&amp;[ I. Duszenski]" c=" I. Duszenski" nd="1"/>
              <i n="[Mecze].[Nazwa zawodnika].&amp;[ I. Kaszubik]" c=" I. Kaszubik" nd="1"/>
              <i n="[Mecze].[Nazwa zawodnika].&amp;[ I. Oborski]" c=" I. Oborski" nd="1"/>
              <i n="[Mecze].[Nazwa zawodnika].&amp;[ J. Cichocki]" c=" J. Cichocki" nd="1"/>
              <i n="[Mecze].[Nazwa zawodnika].&amp;[ J. Iturbide]" c=" J. Iturbide" nd="1"/>
              <i n="[Mecze].[Nazwa zawodnika].&amp;[ J. Kempka]" c=" J. Kempka" nd="1"/>
              <i n="[Mecze].[Nazwa zawodnika].&amp;[ J. Lohitzun]" c=" J. Lohitzun" nd="1"/>
              <i n="[Mecze].[Nazwa zawodnika].&amp;[ J. Majkowski]" c=" J. Majkowski" nd="1"/>
              <i n="[Mecze].[Nazwa zawodnika].&amp;[ J. Mleczewski]" c=" J. Mleczewski" nd="1"/>
              <i n="[Mecze].[Nazwa zawodnika].&amp;[ J. Niedziela]" c=" J. Niedziela" nd="1"/>
              <i n="[Mecze].[Nazwa zawodnika].&amp;[ J. Piesciuk]" c=" J. Piesciuk" nd="1"/>
              <i n="[Mecze].[Nazwa zawodnika].&amp;[ J. Sierocki]" c=" J. Sierocki" nd="1"/>
              <i n="[Mecze].[Nazwa zawodnika].&amp;[ J. Swoboda]" c=" J. Swoboda" nd="1"/>
              <i n="[Mecze].[Nazwa zawodnika].&amp;[ J. Wincek]" c=" J. Wincek" nd="1"/>
              <i n="[Mecze].[Nazwa zawodnika].&amp;[ K. Giejda]" c=" K. Giejda" nd="1"/>
              <i n="[Mecze].[Nazwa zawodnika].&amp;[ K. Jarek]" c=" K. Jarek" nd="1"/>
              <i n="[Mecze].[Nazwa zawodnika].&amp;[ K. Kosowski]" c=" K. Kosowski" nd="1"/>
              <i n="[Mecze].[Nazwa zawodnika].&amp;[ K. Lisewski]" c=" K. Lisewski" nd="1"/>
              <i n="[Mecze].[Nazwa zawodnika].&amp;[ K. Major]" c=" K. Major" nd="1"/>
              <i n="[Mecze].[Nazwa zawodnika].&amp;[ K. Niedzwiecki]" c=" K. Niedzwiecki" nd="1"/>
              <i n="[Mecze].[Nazwa zawodnika].&amp;[ K. Oliszewski]" c=" K. Oliszewski" nd="1"/>
              <i n="[Mecze].[Nazwa zawodnika].&amp;[ K. Oryl]" c=" K. Oryl" nd="1"/>
              <i n="[Mecze].[Nazwa zawodnika].&amp;[ K. R. Hansen]" c=" K. R. Hansen" nd="1"/>
              <i n="[Mecze].[Nazwa zawodnika].&amp;[ K. Witkowski]" c=" K. Witkowski" nd="1"/>
              <i n="[Mecze].[Nazwa zawodnika].&amp;[ L. Andrychowski]" c=" L. Andrychowski" nd="1"/>
              <i n="[Mecze].[Nazwa zawodnika].&amp;[ L. Björck]" c=" L. Björck" nd="1"/>
              <i n="[Mecze].[Nazwa zawodnika].&amp;[ L. Cuber]" c=" L. Cuber" nd="1"/>
              <i n="[Mecze].[Nazwa zawodnika].&amp;[ L. Fujarczuk]" c=" L. Fujarczuk" nd="1"/>
              <i n="[Mecze].[Nazwa zawodnika].&amp;[ L. Gleba]" c=" L. Gleba" nd="1"/>
              <i n="[Mecze].[Nazwa zawodnika].&amp;[ L. Golaszewski]" c=" L. Golaszewski" nd="1"/>
              <i n="[Mecze].[Nazwa zawodnika].&amp;[ L. Kanczuszewski]" c=" L. Kanczuszewski" nd="1"/>
              <i n="[Mecze].[Nazwa zawodnika].&amp;[ L. Parzysz]" c=" L. Parzysz" nd="1"/>
              <i n="[Mecze].[Nazwa zawodnika].&amp;[ L. Radzyminski]" c=" L. Radzyminski" nd="1"/>
              <i n="[Mecze].[Nazwa zawodnika].&amp;[ L. Ramzinski]" c=" L. Ramzinski" nd="1"/>
              <i n="[Mecze].[Nazwa zawodnika].&amp;[ L. Robak]" c=" L. Robak" nd="1"/>
              <i n="[Mecze].[Nazwa zawodnika].&amp;[ L. Tobolev]" c=" L. Tobolev" nd="1"/>
              <i n="[Mecze].[Nazwa zawodnika].&amp;[ L. Walec]" c=" L. Walec" nd="1"/>
              <i n="[Mecze].[Nazwa zawodnika].&amp;[ L. Witkowski]" c=" L. Witkowski" nd="1"/>
              <i n="[Mecze].[Nazwa zawodnika].&amp;[ M. Abilio]" c=" M. Abilio" nd="1"/>
              <i n="[Mecze].[Nazwa zawodnika].&amp;[ M. Andik Motowski]" c=" M. Andik Motowski" nd="1"/>
              <i n="[Mecze].[Nazwa zawodnika].&amp;[ M. Brytan]" c=" M. Brytan" nd="1"/>
              <i n="[Mecze].[Nazwa zawodnika].&amp;[ M. Budzyn]" c=" M. Budzyn" nd="1"/>
              <i n="[Mecze].[Nazwa zawodnika].&amp;[ M. Czeszejko]" c=" M. Czeszejko" nd="1"/>
              <i n="[Mecze].[Nazwa zawodnika].&amp;[ M. Falkiewicz]" c=" M. Falkiewicz" nd="1"/>
              <i n="[Mecze].[Nazwa zawodnika].&amp;[ M. Hetman]" c=" M. Hetman" nd="1"/>
              <i n="[Mecze].[Nazwa zawodnika].&amp;[ M. Jaks]" c=" M. Jaks" nd="1"/>
              <i n="[Mecze].[Nazwa zawodnika].&amp;[ M. Kosowski]" c=" M. Kosowski" nd="1"/>
              <i n="[Mecze].[Nazwa zawodnika].&amp;[ M. Kostrzewski]" c=" M. Kostrzewski" nd="1"/>
              <i n="[Mecze].[Nazwa zawodnika].&amp;[ M. Laba]" c=" M. Laba" nd="1"/>
              <i n="[Mecze].[Nazwa zawodnika].&amp;[ M. Oğuz Tanyol]" c=" M. Oğuz Tanyol" nd="1"/>
              <i n="[Mecze].[Nazwa zawodnika].&amp;[ M. Özver]" c=" M. Özver" nd="1"/>
              <i n="[Mecze].[Nazwa zawodnika].&amp;[ M. Pietrowski]" c=" M. Pietrowski" nd="1"/>
              <i n="[Mecze].[Nazwa zawodnika].&amp;[ M. Pochorylo]" c=" M. Pochorylo" nd="1"/>
              <i n="[Mecze].[Nazwa zawodnika].&amp;[ M. Selim Ongul]" c=" M. Selim Ongul" nd="1"/>
              <i n="[Mecze].[Nazwa zawodnika].&amp;[ M. Sokol]" c=" M. Sokol" nd="1"/>
              <i n="[Mecze].[Nazwa zawodnika].&amp;[ M. Solarek]" c=" M. Solarek" nd="1"/>
              <i n="[Mecze].[Nazwa zawodnika].&amp;[ M. Szostak]" c=" M. Szostak" nd="1"/>
              <i n="[Mecze].[Nazwa zawodnika].&amp;[ M. Szpakowski]" c=" M. Szpakowski" nd="1"/>
              <i n="[Mecze].[Nazwa zawodnika].&amp;[ M. Wachna]" c=" M. Wachna" nd="1"/>
              <i n="[Mecze].[Nazwa zawodnika].&amp;[ M. Wasilewski]" c=" M. Wasilewski" nd="1"/>
              <i n="[Mecze].[Nazwa zawodnika].&amp;[ M. Weyna]" c=" M. Weyna" nd="1"/>
              <i n="[Mecze].[Nazwa zawodnika].&amp;[ M. Zapolski]" c=" M. Zapolski" nd="1"/>
              <i n="[Mecze].[Nazwa zawodnika].&amp;[ M. Zgonina]" c=" M. Zgonina" nd="1"/>
              <i n="[Mecze].[Nazwa zawodnika].&amp;[ N. Bărănescu]" c=" N. Bărănescu" nd="1"/>
              <i n="[Mecze].[Nazwa zawodnika].&amp;[ N. Barna]" c=" N. Barna" nd="1"/>
              <i n="[Mecze].[Nazwa zawodnika].&amp;[ N. Mondrowski]" c=" N. Mondrowski" nd="1"/>
              <i n="[Mecze].[Nazwa zawodnika].&amp;[ N. Treppa]" c=" N. Treppa" nd="1"/>
              <i n="[Mecze].[Nazwa zawodnika].&amp;[ O. Alström]" c=" O. Alström" nd="1"/>
              <i n="[Mecze].[Nazwa zawodnika].&amp;[ O. Skikiewicz]" c=" O. Skikiewicz" nd="1"/>
              <i n="[Mecze].[Nazwa zawodnika].&amp;[ P. Jaktorowo]" c=" P. Jaktorowo" nd="1"/>
              <i n="[Mecze].[Nazwa zawodnika].&amp;[ P. Molski]" c=" P. Molski" nd="1"/>
              <i n="[Mecze].[Nazwa zawodnika].&amp;[ P. Poling]" c=" P. Poling" nd="1"/>
              <i n="[Mecze].[Nazwa zawodnika].&amp;[ P. Sebzda]" c=" P. Sebzda" nd="1"/>
              <i n="[Mecze].[Nazwa zawodnika].&amp;[ R. Alves]" c=" R. Alves" nd="1"/>
              <i n="[Mecze].[Nazwa zawodnika].&amp;[ R. Augustyn]" c=" R. Augustyn" nd="1"/>
              <i n="[Mecze].[Nazwa zawodnika].&amp;[ R. Bryk]" c=" R. Bryk" nd="1"/>
              <i n="[Mecze].[Nazwa zawodnika].&amp;[ R. Cichowski]" c=" R. Cichowski" nd="1"/>
              <i n="[Mecze].[Nazwa zawodnika].&amp;[ R. Danisiewicz]" c=" R. Danisiewicz" nd="1"/>
              <i n="[Mecze].[Nazwa zawodnika].&amp;[ R. Gaszynski]" c=" R. Gaszynski" nd="1"/>
              <i n="[Mecze].[Nazwa zawodnika].&amp;[ R. Glapiak]" c=" R. Glapiak" nd="1"/>
              <i n="[Mecze].[Nazwa zawodnika].&amp;[ R. Klucznik]" c=" R. Klucznik" nd="1"/>
              <i n="[Mecze].[Nazwa zawodnika].&amp;[ R. Konieczny]" c=" R. Konieczny" nd="1"/>
              <i n="[Mecze].[Nazwa zawodnika].&amp;[ R. Narbut]" c=" R. Narbut" nd="1"/>
              <i n="[Mecze].[Nazwa zawodnika].&amp;[ R. Niziolek]" c=" R. Niziolek" nd="1"/>
              <i n="[Mecze].[Nazwa zawodnika].&amp;[ R. Teofila]" c=" R. Teofila" nd="1"/>
              <i n="[Mecze].[Nazwa zawodnika].&amp;[ R. Tiadoro]" c=" R. Tiadoro" nd="1"/>
              <i n="[Mecze].[Nazwa zawodnika].&amp;[ R. Trenning]" c=" R. Trenning" nd="1"/>
              <i n="[Mecze].[Nazwa zawodnika].&amp;[ R. Trynda]" c=" R. Trynda" nd="1"/>
              <i n="[Mecze].[Nazwa zawodnika].&amp;[ R. Zagrodny]" c=" R. Zagrodny" nd="1"/>
              <i n="[Mecze].[Nazwa zawodnika].&amp;[ R. Zarobski]" c=" R. Zarobski" nd="1"/>
              <i n="[Mecze].[Nazwa zawodnika].&amp;[ S. Cebula]" c=" S. Cebula" nd="1"/>
              <i n="[Mecze].[Nazwa zawodnika].&amp;[ S. Chrobak]" c=" S. Chrobak" nd="1"/>
              <i n="[Mecze].[Nazwa zawodnika].&amp;[ S. Feng Ping]" c=" S. Feng Ping" nd="1"/>
              <i n="[Mecze].[Nazwa zawodnika].&amp;[ S. Fujarczuk]" c=" S. Fujarczuk" nd="1"/>
              <i n="[Mecze].[Nazwa zawodnika].&amp;[ S. Gondela]" c=" S. Gondela" nd="1"/>
              <i n="[Mecze].[Nazwa zawodnika].&amp;[ S. Kaszubowski]" c=" S. Kaszubowski" nd="1"/>
              <i n="[Mecze].[Nazwa zawodnika].&amp;[ S. Nastasio]" c=" S. Nastasio" nd="1"/>
              <i n="[Mecze].[Nazwa zawodnika].&amp;[ S. Pierz]" c=" S. Pierz" nd="1"/>
              <i n="[Mecze].[Nazwa zawodnika].&amp;[ S. Şahbender]" c=" S. Şahbender" nd="1"/>
              <i n="[Mecze].[Nazwa zawodnika].&amp;[ S. Zacharek]" c=" S. Zacharek" nd="1"/>
              <i n="[Mecze].[Nazwa zawodnika].&amp;[ T. Daszkowski]" c=" T. Daszkowski" nd="1"/>
              <i n="[Mecze].[Nazwa zawodnika].&amp;[ T. Pietrowski]" c=" T. Pietrowski" nd="1"/>
              <i n="[Mecze].[Nazwa zawodnika].&amp;[ T. Riva]" c=" T. Riva" nd="1"/>
              <i n="[Mecze].[Nazwa zawodnika].&amp;[ T. Sala]" c=" T. Sala" nd="1"/>
              <i n="[Mecze].[Nazwa zawodnika].&amp;[ T. Sidor]" c=" T. Sidor" nd="1"/>
              <i n="[Mecze].[Nazwa zawodnika].&amp;[ T. Wolniewicz]" c=" T. Wolniewicz" nd="1"/>
              <i n="[Mecze].[Nazwa zawodnika].&amp;[ U. Wachna]" c=" U. Wachna" nd="1"/>
              <i n="[Mecze].[Nazwa zawodnika].&amp;[ W. Bochinski]" c=" W. Bochinski" nd="1"/>
              <i n="[Mecze].[Nazwa zawodnika].&amp;[ W. Bryk]" c=" W. Bryk" nd="1"/>
              <i n="[Mecze].[Nazwa zawodnika].&amp;[ W. Cielencki]" c=" W. Cielencki" nd="1"/>
              <i n="[Mecze].[Nazwa zawodnika].&amp;[ W. Dropinski]" c=" W. Dropinski" nd="1"/>
              <i n="[Mecze].[Nazwa zawodnika].&amp;[ W. Furgal]" c=" W. Furgal" nd="1"/>
              <i n="[Mecze].[Nazwa zawodnika].&amp;[ W. Lopez]" c=" W. Lopez" nd="1"/>
              <i n="[Mecze].[Nazwa zawodnika].&amp;[ W. Marajda]" c=" W. Marajda" nd="1"/>
              <i n="[Mecze].[Nazwa zawodnika].&amp;[ W. Porajewski]" c=" W. Porajewski" nd="1"/>
              <i n="[Mecze].[Nazwa zawodnika].&amp;[ W. Seliga]" c=" W. Seliga" nd="1"/>
              <i n="[Mecze].[Nazwa zawodnika].&amp;[ W. Sidor]" c=" W. Sidor" nd="1"/>
              <i n="[Mecze].[Nazwa zawodnika].&amp;[ W. Szostak]" c=" W. Szostak" nd="1"/>
              <i n="[Mecze].[Nazwa zawodnika].&amp;[ W. Zawaski]" c=" W. Zawaski" nd="1"/>
              <i n="[Mecze].[Nazwa zawodnika].&amp;[ Z. Byczewski]" c=" Z. Byczewski" nd="1"/>
              <i n="[Mecze].[Nazwa zawodnika].&amp;[ Z. Dupak]" c=" Z. Dupak" nd="1"/>
              <i n="[Mecze].[Nazwa zawodnika].&amp;[ Z. Gerlach]" c=" Z. Gerlach" nd="1"/>
              <i n="[Mecze].[Nazwa zawodnika].&amp;[ Z. Prokowski]" c=" Z. Prokowski" nd="1"/>
              <i n="[Mecze].[Nazwa zawodnika].&amp;[ Z. Wozniak]" c=" Z. Wozniak" nd="1"/>
              <i n="[Mecze].[Nazwa zawodnika].&amp;[ Z. Zuraw]" c=" Z. Zuraw" nd="1"/>
              <i n="[Mecze].[Nazwa zawodnika].&amp;[ 秦博梁]" c=" 秦博梁" nd="1"/>
              <i n="[Mecze].[Nazwa zawodnika].&amp;[ 董飞银]" c=" 董飞银" nd="1"/>
              <i n="[Mecze].[Nazwa zawodnika].&amp;[ 邱坤骋]" c=" 邱坤骋" nd="1"/>
              <i n="[Mecze].[Nazwa zawodnika].&amp;[ 马耀升]" c=" 马耀升" nd="1"/>
            </range>
          </ranges>
        </level>
      </levels>
      <selections count="1">
        <selection n="[Mecze].[Nazwa zawodnika].&amp;[ K. Grabowicz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2"/>
        <pivotTable tabId="4294967295" name="PivotChartTable4"/>
        <pivotTable tabId="4294967295" name="PivotChartTable9"/>
        <pivotTable tabId="4294967295" name="PivotChartTable5"/>
        <pivotTable tabId="4294967295" name="PivotChartTable6"/>
      </x15:slicerCachePivotTables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Nazwa" xr10:uid="{D677B717-13A0-41D7-9700-C28676121FEF}" sourceName="[Klubiki].[Nazwa]">
  <data>
    <olap pivotCacheId="653685090">
      <levels count="2">
        <level uniqueName="[Klubiki].[Nazwa].[(All)]" sourceCaption="(All)" count="0"/>
        <level uniqueName="[Klubiki].[Nazwa].[Nazwa]" sourceCaption="Nazwa" count="11">
          <ranges>
            <range startItem="0">
              <i n="[Klubiki].[Nazwa].&amp;[Nowielice]" c="Nowielice"/>
              <i n="[Klubiki].[Nazwa].&amp;[Agresor Team]" c="Agresor Team" nd="1"/>
              <i n="[Klubiki].[Nazwa].&amp;[BOSS-cy Jasło]" c="BOSS-cy Jasło" nd="1"/>
              <i n="[Klubiki].[Nazwa].&amp;[Diabolic Team]" c="Diabolic Team" nd="1"/>
              <i n="[Klubiki].[Nazwa].&amp;[DRAGON GARWOLIN]" c="DRAGON GARWOLIN" nd="1"/>
              <i n="[Klubiki].[Nazwa].&amp;[FC MARKUS]" c="FC MARKUS" nd="1"/>
              <i n="[Klubiki].[Nazwa].&amp;[Goral Zywiec]" c="Goral Zywiec" nd="1"/>
              <i n="[Klubiki].[Nazwa].&amp;[Love me Im famous!]" c="Love me Im famous!" nd="1"/>
              <i n="[Klubiki].[Nazwa].&amp;[Manchester United F.C.]" c="Manchester United F.C." nd="1"/>
              <i n="[Klubiki].[Nazwa].&amp;[Stasin SA]" c="Stasin SA" nd="1"/>
              <i n="[Klubiki].[Nazwa].&amp;[Varsovia]" c="Varsovia" nd="1"/>
            </range>
          </ranges>
        </level>
      </levels>
      <selections count="1">
        <selection n="[Klubiki].[Nazwa].&amp;[Nowielice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3"/>
        <pivotTable tabId="4294967295" name="PivotChartTable1"/>
        <pivotTable tabId="4294967295" name="PivotChartTable2"/>
        <pivotTable tabId="4294967295" name="PivotChartTable4"/>
        <pivotTable tabId="4294967295" name="PivotChartTable9"/>
        <pivotTable tabId="4294967295" name="PivotChartTable5"/>
        <pivotTable tabId="4294967295" name="PivotChartTable6"/>
      </x15:slicerCachePivotTables>
    </x:ext>
  </extLst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Nazwa1" xr10:uid="{662662C4-8529-4E87-8B85-54F17BF954B1}" sourceName="[Klubiki].[Nazwa]">
  <data>
    <olap pivotCacheId="235801891">
      <levels count="2">
        <level uniqueName="[Klubiki].[Nazwa].[(All)]" sourceCaption="(All)" count="0"/>
        <level uniqueName="[Klubiki].[Nazwa].[Nazwa]" sourceCaption="Nazwa" count="11">
          <ranges>
            <range startItem="0">
              <i n="[Klubiki].[Nazwa].&amp;[Agresor Team]" c="Agresor Team"/>
              <i n="[Klubiki].[Nazwa].&amp;[BOSS-cy Jasło]" c="BOSS-cy Jasło"/>
              <i n="[Klubiki].[Nazwa].&amp;[Diabolic Team]" c="Diabolic Team"/>
              <i n="[Klubiki].[Nazwa].&amp;[DRAGON GARWOLIN]" c="DRAGON GARWOLIN"/>
              <i n="[Klubiki].[Nazwa].&amp;[FC MARKUS]" c="FC MARKUS"/>
              <i n="[Klubiki].[Nazwa].&amp;[Goral Zywiec]" c="Goral Zywiec"/>
              <i n="[Klubiki].[Nazwa].&amp;[Love me Im famous!]" c="Love me Im famous!"/>
              <i n="[Klubiki].[Nazwa].&amp;[Manchester United F.C.]" c="Manchester United F.C."/>
              <i n="[Klubiki].[Nazwa].&amp;[Nowielice]" c="Nowielice"/>
              <i n="[Klubiki].[Nazwa].&amp;[Stasin SA]" c="Stasin SA"/>
              <i n="[Klubiki].[Nazwa].&amp;[Varsovia]" c="Varsovia"/>
            </range>
          </ranges>
        </level>
      </levels>
      <selections count="1">
        <selection n="[Klubiki].[Nazwa].&amp;[Agresor Team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7"/>
        <pivotTable tabId="4294967295" name="PivotChartTable8"/>
      </x15:slicerCachePivotTables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Nazwa2" xr10:uid="{93CEF5ED-9123-4B1B-850A-FE5C1A85456F}" sourceName="[Klubiki].[Nazwa]">
  <data>
    <olap pivotCacheId="367824193">
      <levels count="2">
        <level uniqueName="[Klubiki].[Nazwa].[(All)]" sourceCaption="(All)" count="0"/>
        <level uniqueName="[Klubiki].[Nazwa].[Nazwa]" sourceCaption="Nazwa" count="11">
          <ranges>
            <range startItem="0">
              <i n="[Klubiki].[Nazwa].&amp;[Agresor Team]" c="Agresor Team"/>
              <i n="[Klubiki].[Nazwa].&amp;[BOSS-cy Jasło]" c="BOSS-cy Jasło"/>
              <i n="[Klubiki].[Nazwa].&amp;[Diabolic Team]" c="Diabolic Team"/>
              <i n="[Klubiki].[Nazwa].&amp;[DRAGON GARWOLIN]" c="DRAGON GARWOLIN"/>
              <i n="[Klubiki].[Nazwa].&amp;[FC MARKUS]" c="FC MARKUS"/>
              <i n="[Klubiki].[Nazwa].&amp;[Goral Zywiec]" c="Goral Zywiec"/>
              <i n="[Klubiki].[Nazwa].&amp;[Love me Im famous!]" c="Love me Im famous!"/>
              <i n="[Klubiki].[Nazwa].&amp;[Manchester United F.C.]" c="Manchester United F.C."/>
              <i n="[Klubiki].[Nazwa].&amp;[Nowielice]" c="Nowielice"/>
              <i n="[Klubiki].[Nazwa].&amp;[Stasin SA]" c="Stasin SA"/>
              <i n="[Klubiki].[Nazwa].&amp;[Varsovia]" c="Varsovia"/>
            </range>
          </ranges>
        </level>
      </levels>
      <selections count="1">
        <selection n="[Klubiki].[Nazwa].[All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4"/>
        <pivotTable tabId="4294967295" name="PivotChartTable13"/>
        <pivotTable tabId="4294967295" name="PivotChartTable12"/>
        <pivotTable tabId="4294967295" name="PivotChartTable11"/>
        <pivotTable tabId="4294967295" name="PivotChartTable10"/>
      </x15:slicerCachePivotTables>
    </x:ext>
  </extLst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ragmentator_RodzajMeczu2" xr10:uid="{AABFF6EB-CAE3-475F-921E-C7F1A7789EBD}" sourceName="[Meczusie].[RodzajMeczu]">
  <data>
    <olap pivotCacheId="367824193">
      <levels count="2">
        <level uniqueName="[Meczusie].[RodzajMeczu].[(All)]" sourceCaption="(All)" count="0"/>
        <level uniqueName="[Meczusie].[RodzajMeczu].[RodzajMeczu]" sourceCaption="RodzajMeczu" count="4">
          <ranges>
            <range startItem="0">
              <i n="[Meczusie].[RodzajMeczu].&amp;[Baraże]" c="Baraże"/>
              <i n="[Meczusie].[RodzajMeczu].&amp;[Liga]" c="Liga"/>
              <i n="[Meczusie].[RodzajMeczu].&amp;[Puchar]" c="Puchar"/>
              <i n="[Meczusie].[RodzajMeczu].&amp;[Towarzyski]" c="Towarzyski"/>
            </range>
          </ranges>
        </level>
      </levels>
      <selections count="1">
        <selection n="[Meczusie].[RodzajMeczu].&amp;[Liga]"/>
      </selections>
    </olap>
  </data>
  <extLst>
    <x:ext xmlns:x15="http://schemas.microsoft.com/office/spreadsheetml/2010/11/main" uri="{03082B11-2C62-411c-B77F-237D8FCFBE4C}">
      <x15:slicerCachePivotTables>
        <pivotTable tabId="4294967295" name="PivotChartTable14"/>
        <pivotTable tabId="4294967295" name="PivotChartTable13"/>
        <pivotTable tabId="4294967295" name="PivotChartTable12"/>
        <pivotTable tabId="4294967295" name="PivotChartTable11"/>
        <pivotTable tabId="4294967295" name="PivotChartTable10"/>
      </x15:slicerCachePivotTables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odzajMeczu" xr10:uid="{D987044F-F2CB-4225-979D-EF6A44594C62}" cache="Fragmentator_RodzajMeczu" caption="RodzajMeczu" level="1" rowHeight="241300"/>
  <slicer name="Mecz" xr10:uid="{CF871CFF-2B1C-4521-A9C3-E4F170EA3A46}" cache="Fragmentator_Mecz" caption="Mecz" level="1" rowHeight="241300"/>
  <slicer name="Nazwa zawodnika" xr10:uid="{F7EB3972-CD72-47B2-A26A-57724D278A6B}" cache="Fragmentator_Nazwa_zawodnika" caption="Nazwa zawodnika" level="1" rowHeight="241300"/>
  <slicer name="Nazwa" xr10:uid="{2C2DC275-CF9B-4A45-A93B-FCDEBA925DCA}" cache="Fragmentator_Nazwa" caption="Nazwa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odzajMeczu 1" xr10:uid="{B8BE05E8-6855-4781-AF5E-20508E0D27D3}" cache="Fragmentator_RodzajMeczu1" caption="RodzajMeczu" level="1" rowHeight="241300"/>
  <slicer name="Nazwa 1" xr10:uid="{27EE9D42-5B3F-49AC-919C-D03B7931DB4C}" cache="Fragmentator_Nazwa1" caption="Nazwa" level="1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ola" xr10:uid="{EE66F0CF-F576-41C8-AE0F-940F13E7F295}" cache="Fragmentator_Rola" caption="Rola" level="1" rowHeight="241300"/>
  <slicer name="Typ meczu" xr10:uid="{BAE721DB-6CCB-49FA-A9AF-E234DEBC9493}" cache="Fragmentator_Typ_meczu" caption="Typ meczu" level="1" rowHeight="241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azwa 2" xr10:uid="{3CF80AA0-38BB-4610-993F-1FB9C483A203}" cache="Fragmentator_Nazwa2" caption="Nazwa" level="1" style="SlicerStyleLight2" rowHeight="241300"/>
  <slicer name="RodzajMeczu 2" xr10:uid="{3F90B3DA-7757-4EBD-BEC5-E1859F91BD1D}" cache="Fragmentator_RodzajMeczu2" caption="RodzajMeczu" level="1" style="SlicerStyleDark6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68484D6-388F-46BC-99C1-401D666EB3F1}" name="Zawodnicy" displayName="Zawodnicy" ref="A1:Y35" totalsRowShown="0" dataDxfId="316">
  <autoFilter ref="A1:Y35" xr:uid="{6CCF6617-F5EB-42F9-891F-DB29898EF4E6}"/>
  <sortState xmlns:xlrd2="http://schemas.microsoft.com/office/spreadsheetml/2017/richdata2" ref="A2:W16">
    <sortCondition ref="A1:A16"/>
  </sortState>
  <tableColumns count="25">
    <tableColumn id="1" xr3:uid="{EF35DDA5-E0ED-42BF-9F2C-73F251FB83E7}" name="Number" dataDxfId="315"/>
    <tableColumn id="2" xr3:uid="{B08E488F-7FAE-4BA1-AEC9-49574A291F9C}" name="Player name" dataDxfId="314"/>
    <tableColumn id="3" xr3:uid="{E0BD3FF5-0D06-4BC2-846C-35C9915CD775}" name="Value" dataDxfId="313"/>
    <tableColumn id="4" xr3:uid="{246CC81D-C9DC-4BF7-9113-0412997AF3CB}" name="Salary" dataDxfId="312"/>
    <tableColumn id="5" xr3:uid="{351F23A6-78A9-4E7C-9410-D5C2AC2ACB48}" name="Age" dataDxfId="311"/>
    <tableColumn id="23" xr3:uid="{98BC976B-3B6E-4E6E-9DFC-D302D8F7D6EB}" name="Season Birthday" dataDxfId="310"/>
    <tableColumn id="6" xr3:uid="{9EA3EEBA-9F90-48A9-88C9-5F1BFE1DA88B}" name="Speed" dataDxfId="309"/>
    <tableColumn id="7" xr3:uid="{9BEDFB5D-4F9F-4E94-B725-2CEB5359D749}" name="Stamina" dataDxfId="308"/>
    <tableColumn id="8" xr3:uid="{5EBB08BE-DEA0-4AA3-8490-674135F31D79}" name="Vision" dataDxfId="307"/>
    <tableColumn id="9" xr3:uid="{DDFD2A4E-01E3-4CFB-9933-60122AB8E78A}" name="Passing" dataDxfId="306"/>
    <tableColumn id="10" xr3:uid="{0B7B5A81-FD02-4118-A8F3-86EB1E0B6B9D}" name="Shooting" dataDxfId="305"/>
    <tableColumn id="11" xr3:uid="{542E2F42-659F-4A27-B9AF-17EBF98FEA20}" name="Heading" dataDxfId="304"/>
    <tableColumn id="12" xr3:uid="{74C89304-7D6B-477E-A8FD-832F7EF86CCA}" name="Goalkeeping" dataDxfId="303"/>
    <tableColumn id="13" xr3:uid="{8C4448F0-C86D-450A-AFB2-F8953C2C6DB4}" name="Control" dataDxfId="302"/>
    <tableColumn id="14" xr3:uid="{B234A383-D89B-4358-A76B-FD2B65681259}" name="Tackling" dataDxfId="301"/>
    <tableColumn id="15" xr3:uid="{9037BBBB-9E92-49B8-9B91-8ACA3A51029F}" name="Long Passing" dataDxfId="300"/>
    <tableColumn id="16" xr3:uid="{0D658842-577A-4FCE-B1A7-BEA967ACFA6D}" name="Free Kick Acc" dataDxfId="299"/>
    <tableColumn id="17" xr3:uid="{D1538C78-5ED6-451F-A699-0ED0865DF8F0}" name="Experience" dataDxfId="298"/>
    <tableColumn id="25" xr3:uid="{348017CE-AE9B-42D6-917F-175855139823}" name="Bufor" dataDxfId="297"/>
    <tableColumn id="20" xr3:uid="{7839D25E-BC10-4B63-B5E5-253340CE8E66}" name="Overral" dataDxfId="296">
      <calculatedColumnFormula>SUM(Zawodnicy[[#This Row],[Speed]:[Free Kick Acc]])</calculatedColumnFormula>
    </tableColumn>
    <tableColumn id="21" xr3:uid="{516C3B49-C6EE-46A5-8CB9-4BD0B6A1309F}" name="Overral+EXP" dataDxfId="295">
      <calculatedColumnFormula>SUM(Zawodnicy[[#This Row],[Speed]:[Experience]])</calculatedColumnFormula>
    </tableColumn>
    <tableColumn id="18" xr3:uid="{0D6C6FC6-7A33-4B27-8C88-3BF2811F8B43}" name="Penalty" dataDxfId="294"/>
    <tableColumn id="19" xr3:uid="{13FE4857-6F81-4783-8446-8F46A91B16A0}" name="Capitaincy" dataDxfId="293"/>
    <tableColumn id="24" xr3:uid="{28E2BC68-8682-4981-A689-BCEB79B4FF36}" name="FK" dataDxfId="292">
      <calculatedColumnFormula>Zawodnicy[[#This Row],[Free Kick Acc]]*7+Zawodnicy[[#This Row],[Long Passing]]*3</calculatedColumnFormula>
    </tableColumn>
    <tableColumn id="22" xr3:uid="{D474EEE6-2705-46E3-BA1D-3C9804F46371}" name="Status" dataDxfId="291">
      <calculatedColumnFormula>IF(Zawodnicy[[#This Row],[Age]]&gt;=19,"Senior","Junior")</calculatedColumnFormula>
    </tableColumn>
  </tableColumns>
  <tableStyleInfo name="TableStyleLight2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05FFEFC-A20C-4CD1-9EA7-26DC123CC823}" name="Mecze" displayName="Mecze" ref="A1:AK3848" totalsRowShown="0">
  <autoFilter ref="A1:AK3848" xr:uid="{72443B10-4E69-4B74-AFE2-744FD32DFE92}"/>
  <tableColumns count="37">
    <tableColumn id="1" xr3:uid="{EEF425C5-2729-47BC-8E44-83B2DDA417D5}" name="Number" dataDxfId="290"/>
    <tableColumn id="2" xr3:uid="{A39AB038-D770-4112-A49C-2C350C22BF45}" name="Player Name" dataDxfId="289"/>
    <tableColumn id="3" xr3:uid="{62B6896C-6206-465D-A1CA-20E614F7CFAC}" name="Position"/>
    <tableColumn id="4" xr3:uid="{941ADFE0-1087-4400-94FD-F79AEF12D83A}" name="BR"/>
    <tableColumn id="5" xr3:uid="{481F8BE6-C1BA-4A9C-808F-A85539907519}" name="ST"/>
    <tableColumn id="6" xr3:uid="{9EA76D6F-E75D-4DB6-B30A-73D5A5A29DE4}" name="SC"/>
    <tableColumn id="7" xr3:uid="{9BD6D1CF-AF8C-4997-B30A-C0DCF1CE4180}" name="PD"/>
    <tableColumn id="8" xr3:uid="{BDD8F668-125D-4AC7-A823-06D9367FCA81}" name="%PC"/>
    <tableColumn id="9" xr3:uid="{C5DFD9A5-1FFD-4611-8EBF-4CDC7881387A}" name="OD"/>
    <tableColumn id="10" xr3:uid="{2911FBCB-5246-413D-9DF4-EA5857A41B76}" name="%OU" dataDxfId="288"/>
    <tableColumn id="11" xr3:uid="{686CD388-8D99-4D53-9032-D9AD8C75F9BD}" name="OB"/>
    <tableColumn id="12" xr3:uid="{32E7A7B1-F5F4-47EB-B207-E17E1DE40148}" name="PR"/>
    <tableColumn id="22" xr3:uid="{D31D5A38-E809-4DB1-A10D-EB5923EB7775}" name="/PR:90" dataDxfId="287">
      <calculatedColumnFormula>IF(Mecze[[#This Row],[PR]]=0,0,Mecze[[#This Row],[PR]]/Mecze[[#This Row],[CZAS]])</calculatedColumnFormula>
    </tableColumn>
    <tableColumn id="24" xr3:uid="{5001AB5F-6E4D-417B-BDAE-D49CFCD58358}" name="/OU:90" dataDxfId="286">
      <calculatedColumnFormula>IF(Mecze[[#This Row],[OU]]=0,0,Mecze[[#This Row],[OU]]/Mecze[[#This Row],[CZAS]])</calculatedColumnFormula>
    </tableColumn>
    <tableColumn id="25" xr3:uid="{B32747D3-489E-4BC6-B4E4-BA24F6028C14}" name="/PC:90" dataDxfId="285">
      <calculatedColumnFormula>IF(Mecze[[#This Row],[PC]]=0,0,Mecze[[#This Row],[PC]]/Mecze[[#This Row],[CZAS]])</calculatedColumnFormula>
    </tableColumn>
    <tableColumn id="26" xr3:uid="{624E52B5-246E-4072-BB60-677B0D91B891}" name="/SC:90" dataDxfId="284">
      <calculatedColumnFormula>IF(Mecze[[#This Row],[SC]]=0,0,Mecze[[#This Row],[SC]]/Mecze[[#This Row],[CZAS]])</calculatedColumnFormula>
    </tableColumn>
    <tableColumn id="28" xr3:uid="{481964AA-612C-4386-A682-A124CDDE5ECA}" name="/OB:90" dataDxfId="283">
      <calculatedColumnFormula>IF(Mecze[[#This Row],[OB]]=0,0,Mecze[[#This Row],[OB]]/Mecze[[#This Row],[CZAS]])</calculatedColumnFormula>
    </tableColumn>
    <tableColumn id="29" xr3:uid="{5C049C00-3C50-44B0-8D95-88CC10D61BFC}" name="/BR:90" dataDxfId="282">
      <calculatedColumnFormula>IF(Mecze[[#This Row],[BR]]=0,0,Mecze[[#This Row],[BR]]/Mecze[[#This Row],[CZAS]])</calculatedColumnFormula>
    </tableColumn>
    <tableColumn id="30" xr3:uid="{946D6F68-5929-417F-AEE8-6F14E159C1D2}" name="/BRI" dataDxfId="281">
      <calculatedColumnFormula>IF(Mecze[[#This Row],[Role]]="BR",SUMPRODUCT(Mecze[[#This Row],[/PR:90]:[/BR:90]],Brudnopis!$E$23:$J$23),0)</calculatedColumnFormula>
    </tableColumn>
    <tableColumn id="31" xr3:uid="{F28B11E0-889C-4188-A699-FDF90841B95A}" name="/OBI" dataDxfId="280">
      <calculatedColumnFormula>IF(Mecze[[#This Row],[Role]]&lt;&gt;"BR",SUMPRODUCT(Mecze[[#This Row],[/PR:90]:[/BR:90]],Brudnopis!$E$24:$J$24),0)</calculatedColumnFormula>
    </tableColumn>
    <tableColumn id="32" xr3:uid="{670692A7-3EBC-4BA4-8C49-B5D4309553F3}" name="/DPI" dataDxfId="279">
      <calculatedColumnFormula>IF(Mecze[[#This Row],[Role]]&lt;&gt;"BR",SUMPRODUCT(Mecze[[#This Row],[/PR:90]:[/BR:90]],Brudnopis!$E$25:$J$25),0)</calculatedColumnFormula>
    </tableColumn>
    <tableColumn id="35" xr3:uid="{ACC7551B-45C4-4064-9575-84D3C3B49103}" name="/SPI" dataDxfId="278">
      <calculatedColumnFormula>IF(Mecze[[#This Row],[Role]]&lt;&gt;"BR",SUMPRODUCT(Mecze[[#This Row],[/PR:90]:[/BR:90]],Brudnopis!$E$26:$J$26),0)</calculatedColumnFormula>
    </tableColumn>
    <tableColumn id="33" xr3:uid="{4D8C5D72-EEB2-49E7-9C67-186B0454B370}" name="/OPI" dataDxfId="277">
      <calculatedColumnFormula>IF(Mecze[[#This Row],[Role]]&lt;&gt;"BR",SUMPRODUCT(Mecze[[#This Row],[/PR:90]:[/BR:90]],Brudnopis!$E$27:$J$27),0)</calculatedColumnFormula>
    </tableColumn>
    <tableColumn id="34" xr3:uid="{5EA3B831-5250-47AD-9755-1264EF7EB192}" name="/NPI" dataDxfId="276">
      <calculatedColumnFormula>IF(Mecze[[#This Row],[Role]]&lt;&gt;"BR",SUMPRODUCT(Mecze[[#This Row],[/PR:90]:[/BR:90]],Brudnopis!$E$28:$J$28),0)</calculatedColumnFormula>
    </tableColumn>
    <tableColumn id="27" xr3:uid="{8DB0DADE-3419-41D6-8CA7-DCAF1018C20D}" name="/PI" dataDxfId="275">
      <calculatedColumnFormula>IF(Mecze[[#This Row],[Role]]="BR",Mecze[[#This Row],[/OB:90]]+Mecze[[#This Row],[/PC:90]],SUM(Mecze[[#This Row],[/PR:90]:[/BR:90]]))</calculatedColumnFormula>
    </tableColumn>
    <tableColumn id="37" xr3:uid="{DF635CC2-52AD-4E13-A77D-72CDAEA9FD55}" name="/PI2" dataDxfId="274">
      <calculatedColumnFormula>IF(Mecze[[#This Row],[KC]]=0,SUM(Mecze[[#This Row],[/BRI]:[/NPI]]),SUM(Mecze[[#This Row],[/BRI]:[/NPI]])*0.6)</calculatedColumnFormula>
    </tableColumn>
    <tableColumn id="23" xr3:uid="{47A8F1FC-E0CB-4A7D-889D-DB67732F3D15}" name="/GC" dataDxfId="273">
      <calculatedColumnFormula>IFERROR(Mecze[[#This Row],[BR]]/Mecze[[#This Row],[ST]],0)</calculatedColumnFormula>
    </tableColumn>
    <tableColumn id="13" xr3:uid="{F0C47CFC-022A-4D3B-A2E5-3A2EA650B90B}" name="PC" dataDxfId="272">
      <calculatedColumnFormula>ROUND(Mecze[[#This Row],[PD]]*Mecze[[#This Row],[%PC]],0)</calculatedColumnFormula>
    </tableColumn>
    <tableColumn id="14" xr3:uid="{29256AF0-65F6-44FE-83A6-C78374BA5F6E}" name="OU" dataDxfId="271">
      <calculatedColumnFormula>ROUND(Mecze[[#This Row],[OD]]*Mecze[[#This Row],[%OU]],0)</calculatedColumnFormula>
    </tableColumn>
    <tableColumn id="15" xr3:uid="{56F5692D-4E4F-46B8-B2E9-FCD4644725B8}" name="Role" dataDxfId="270"/>
    <tableColumn id="16" xr3:uid="{97A7B3CA-C712-49E6-A1DB-35C00ADCF77C}" name="Match ID" dataDxfId="269"/>
    <tableColumn id="18" xr3:uid="{F7E589D2-210A-4C66-AB73-2AEB8C0DEC6B}" name="Ocena" dataDxfId="268"/>
    <tableColumn id="19" xr3:uid="{100E5053-70DE-4E64-AF2A-0E1E7262B8CE}" name="KŻ" dataDxfId="267"/>
    <tableColumn id="20" xr3:uid="{9FCF2B04-D6C4-49A6-8BD2-AE032C6AC449}" name="KC" dataDxfId="266"/>
    <tableColumn id="21" xr3:uid="{0E9D4582-BA0D-4D58-B539-8C7F2416CE61}" name="CZAS" dataDxfId="265"/>
    <tableColumn id="39" xr3:uid="{DF8879BD-12BE-43D6-897F-2B5CA8DC8BF0}" name="TEAM" dataDxfId="264"/>
    <tableColumn id="36" xr3:uid="{72C6714A-5CC8-41E8-A210-BCDA8FF56C7E}" name="Typ meczu" dataDxfId="263">
      <calculatedColumnFormula>VLOOKUP(Mecze[[#This Row],[Match ID]],Meczusie[Mecz]:Meczusie[RodzajMeczu],2,FALSE)</calculatedColumnFormula>
    </tableColumn>
  </tableColumns>
  <tableStyleInfo name="TableStyleMedium2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FA78304B-8FBB-4A7A-8863-ADA1F186066F}" name="Meczusie" displayName="Meczusie" ref="A1:N225" totalsRowShown="0">
  <autoFilter ref="A1:N225" xr:uid="{8F691A92-5A36-4558-A888-618C1F38E2B6}"/>
  <tableColumns count="14">
    <tableColumn id="1" xr3:uid="{D0BB2501-5812-4A90-A572-0ACDE10EF407}" name="Mecz"/>
    <tableColumn id="2" xr3:uid="{969C8DC5-F5AF-4B6B-8BD9-23B8900568B1}" name="RodzajMeczu"/>
    <tableColumn id="3" xr3:uid="{B29E03F3-889E-4442-B872-F5AD21B098EB}" name="DOM" dataDxfId="262"/>
    <tableColumn id="6" xr3:uid="{73E76B3F-986A-4480-BD0A-3624986A83CD}" name="GD"/>
    <tableColumn id="7" xr3:uid="{851F938D-F711-495B-951F-5693F2CAD684}" name="GW"/>
    <tableColumn id="4" xr3:uid="{2BC2E58E-38EF-4D9A-A627-C864A6CF1994}" name="WYJAZD"/>
    <tableColumn id="8" xr3:uid="{4C757FF5-2B98-4E3B-948C-873FE0C5A7D8}" name="PPDOM%" dataDxfId="261"/>
    <tableColumn id="10" xr3:uid="{BD4CDFA7-C4BE-46F2-88A1-579B9D4A46F7}" name="PPWYJ%" dataDxfId="260"/>
    <tableColumn id="9" xr3:uid="{421CBEE2-7628-47D0-9D20-8FDAA01958AC}" name="Godzina"/>
    <tableColumn id="13" xr3:uid="{53B94094-B66A-4953-9399-4EAF49B4E427}" name="Rok" dataDxfId="259"/>
    <tableColumn id="15" xr3:uid="{9DB1E8F5-5A09-4A21-846A-F26F8DC789ED}" name="Miesiąc" dataDxfId="258"/>
    <tableColumn id="14" xr3:uid="{9B5C865F-D153-4AF2-AFB7-BE93775B23E1}" name="Dzień" dataDxfId="257"/>
    <tableColumn id="5" xr3:uid="{217149F1-AE69-4095-8EDE-94342BC50A58}" name="Data" dataDxfId="256">
      <calculatedColumnFormula>IFERROR(DATE(Meczusie[[#This Row],[Rok]],Meczusie[[#This Row],[Miesiąc]],Meczusie[[#This Row],[Dzień]]),"")</calculatedColumnFormula>
    </tableColumn>
    <tableColumn id="11" xr3:uid="{E1B87AD7-A22C-46AD-AD11-EC23277E32A8}" name="SeasonDay" dataDxfId="255"/>
  </tableColumns>
  <tableStyleInfo name="TableStyleLight1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7484349B-C270-4BD1-AE97-7AF130C8213E}" name="Klubiki" displayName="Klubiki" ref="A1:B12" totalsRowShown="0">
  <autoFilter ref="A1:B12" xr:uid="{5BAA6797-3965-495B-8F29-0644C3F971F7}"/>
  <tableColumns count="2">
    <tableColumn id="1" xr3:uid="{EFFA22C3-1BC9-444C-B236-9DA6B501B9EB}" name="ID"/>
    <tableColumn id="2" xr3:uid="{1573A403-6E5B-4C20-833D-6FDAB6AF1117}" name="Team Name" dataDxfId="254"/>
  </tableColumns>
  <tableStyleInfo name="TableStyleLight1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524F9C21-4884-4E82-B0E9-6FB6C9EB78DC}" name="Juniores" displayName="Juniores" ref="A1:I20" totalsRowShown="0">
  <autoFilter ref="A1:I20" xr:uid="{25B42758-489E-4437-8B5F-EA92263738B2}"/>
  <tableColumns count="9">
    <tableColumn id="1" xr3:uid="{6899FC41-E125-45BD-824D-C0A72391E846}" name="NR"/>
    <tableColumn id="2" xr3:uid="{FEB1FD30-ED75-4CF9-9525-979009B092CD}" name="Nazwa zawodnika">
      <calculatedColumnFormula>VLOOKUP(A2,Zawodnicy[],2,FALSE)</calculatedColumnFormula>
    </tableColumn>
    <tableColumn id="3" xr3:uid="{C0BEA0A0-7A68-4A97-BF46-E75A22CBFFBD}" name="DobryPotencjał1"/>
    <tableColumn id="4" xr3:uid="{B0361A9E-6FF1-423F-B3B7-33E05908B4F6}" name="DobryPotencjał2"/>
    <tableColumn id="5" xr3:uid="{773F9A93-BD9F-46C1-AAEA-16E7707DD4E0}" name="SłabyPotencjał1"/>
    <tableColumn id="6" xr3:uid="{35E32855-848D-46B8-9447-916328EC2CE8}" name="SłabyPotencjał2"/>
    <tableColumn id="7" xr3:uid="{613B5385-DFD7-4644-98A4-982B53FB6B44}" name="DobryPot"/>
    <tableColumn id="8" xr3:uid="{04E8C481-6E67-4427-B882-C7C810D29C8B}" name="SłabyPot"/>
    <tableColumn id="9" xr3:uid="{C4B98BCA-3944-4FE2-B338-B550C1167C9E}" name="Trening"/>
  </tableColumns>
  <tableStyleInfo name="TableStyleMedium2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759CE19-D924-4625-9320-068079BBF642}" name="JuniorstwoRandom" displayName="JuniorstwoRandom" ref="A2:Q23" totalsRowShown="0" headerRowDxfId="253" tableBorderDxfId="252">
  <autoFilter ref="A2:Q23" xr:uid="{4502703E-4E02-43A5-8F57-92FA1B3A31C1}"/>
  <tableColumns count="17">
    <tableColumn id="1" xr3:uid="{072599BE-4011-49D7-A644-CB52D618EA8B}" name="Number" dataDxfId="251"/>
    <tableColumn id="2" xr3:uid="{35C790B0-73BB-48EA-B5DB-B598868E7AFF}" name="Player Name" dataDxfId="250">
      <calculatedColumnFormula>IFERROR(VLOOKUP(JuniorstwoRandom[[#This Row],[Number]],Zawodnicy[],2,FALSE),"-")</calculatedColumnFormula>
    </tableColumn>
    <tableColumn id="3" xr3:uid="{4269C2C4-CBB8-4CCF-9CBA-EFE49EB4F09C}" name="Speed" dataDxfId="249">
      <calculatedColumnFormula>Randabaut!C3</calculatedColumnFormula>
    </tableColumn>
    <tableColumn id="4" xr3:uid="{D3A4DCD8-9F3B-4B29-ABFB-0987D1FAF0FC}" name="Stamina">
      <calculatedColumnFormula>Randabaut!D3</calculatedColumnFormula>
    </tableColumn>
    <tableColumn id="5" xr3:uid="{A9980918-8670-4D4B-8F87-E90FF9DDE490}" name="Vision">
      <calculatedColumnFormula>Randabaut!E3</calculatedColumnFormula>
    </tableColumn>
    <tableColumn id="6" xr3:uid="{CFAE5C93-AF79-48AB-85B6-095C904C2471}" name="Passing">
      <calculatedColumnFormula>Randabaut!F3</calculatedColumnFormula>
    </tableColumn>
    <tableColumn id="7" xr3:uid="{693C90F0-6E5C-42A2-B107-F235E526C9EB}" name="Shooting">
      <calculatedColumnFormula>Randabaut!G3</calculatedColumnFormula>
    </tableColumn>
    <tableColumn id="8" xr3:uid="{B00E16A4-3D8B-4C4C-858C-45DF565C7E02}" name="Heading">
      <calculatedColumnFormula>Randabaut!H3</calculatedColumnFormula>
    </tableColumn>
    <tableColumn id="9" xr3:uid="{C0589C21-66C3-4CD8-9B52-97192BC88494}" name="Goalkeeping">
      <calculatedColumnFormula>Randabaut!I3</calculatedColumnFormula>
    </tableColumn>
    <tableColumn id="10" xr3:uid="{A646AACC-9866-48BC-B374-44836BE43A17}" name="Control">
      <calculatedColumnFormula>Randabaut!J3</calculatedColumnFormula>
    </tableColumn>
    <tableColumn id="11" xr3:uid="{FC82565A-19B2-4FDC-968C-8E4EB7414228}" name="Tackling">
      <calculatedColumnFormula>Randabaut!K3</calculatedColumnFormula>
    </tableColumn>
    <tableColumn id="12" xr3:uid="{7820A6D5-79C4-4B7F-AB2B-B8452B65F125}" name="Long Passing">
      <calculatedColumnFormula>Randabaut!L3</calculatedColumnFormula>
    </tableColumn>
    <tableColumn id="13" xr3:uid="{44E41C6F-8B5B-4BFF-9FB5-26F3735CA045}" name="Free Kick Acc">
      <calculatedColumnFormula>Randabaut!M3</calculatedColumnFormula>
    </tableColumn>
    <tableColumn id="14" xr3:uid="{FBB7CFEA-4FD5-4CBF-9E4F-8759AE413E2D}" name="SZT">
      <calculatedColumnFormula>IFERROR(INDEX(Juniores[],MATCH($A3,Juniores[NR],0),MATCH(Juniores[[#Headers],[Trening]],Juniores[#Headers],0)),"-")</calculatedColumnFormula>
    </tableColumn>
    <tableColumn id="15" xr3:uid="{B4BB0783-4155-4FA2-9AD7-301FCE2E8346}" name="MAX" dataDxfId="248">
      <calculatedColumnFormula>IFERROR(INDEX(Juniores[],MATCH($A3,Juniores[NR],0),MATCH(Juniores[[#Headers],[DobryPot]],Juniores[#Headers],0)),"-")</calculatedColumnFormula>
    </tableColumn>
    <tableColumn id="16" xr3:uid="{A4BBC0FD-7E7E-4F26-B635-12C225834F31}" name="MIN" dataDxfId="247">
      <calculatedColumnFormula>IFERROR(INDEX(Juniores[],MATCH($A3,Juniores[NR],0),MATCH(Juniores[[#Headers],[SłabyPot]],Juniores[#Headers],0)),"-")</calculatedColumnFormula>
    </tableColumn>
    <tableColumn id="17" xr3:uid="{D82A07B1-00A5-43E2-B30A-25D94855B0FD}" name="MARGIN" dataDxfId="246"/>
  </tableColumns>
  <tableStyleInfo name="TableStyleLight18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76C569B-DD8D-434B-8BEB-8E1E27D3121B}" name="JuniorzyNegatyw" displayName="JuniorzyNegatyw" ref="A34:O54" totalsRowShown="0" headerRowDxfId="245" tableBorderDxfId="244">
  <autoFilter ref="A34:O54" xr:uid="{572FF8F6-2DC9-4B2D-A493-C7F4D709A1F3}"/>
  <tableColumns count="15">
    <tableColumn id="1" xr3:uid="{4FA44BFB-F6B1-4A74-BE1C-4B3E3FE25256}" name="Numer" dataDxfId="243">
      <calculatedColumnFormula>A3</calculatedColumnFormula>
    </tableColumn>
    <tableColumn id="2" xr3:uid="{2FE85BF1-D079-417D-BB3E-295D35FA627D}" name="Nazwa zawodnika" dataDxfId="242">
      <calculatedColumnFormula>IFERROR(VLOOKUP(JuniorzyNegatyw[[#This Row],[Numer]],Zawodnicy[],2,FALSE),"-")</calculatedColumnFormula>
    </tableColumn>
    <tableColumn id="3" xr3:uid="{6D4DF11A-C178-42BC-B21A-FBBD71E313BF}" name="Speed" dataDxfId="241">
      <calculatedColumnFormula>IFERROR(IF(SUMIFS(Bloki1[WB],Bloki1[Nazwa zawodnika],$B35,Bloki1[Skill],C$34)&gt;0,AVERAGEIFS(Bloki1[WB],Bloki1[Nazwa zawodnika],$B35,Bloki1[Skill],C$34),VLOOKUP(INDEX(JuniorstwoRandom[],MATCH($A35,$A$3:$A$23,0),COLUMN(C$2)),Szacunki[],2,FALSE)),"-")</calculatedColumnFormula>
    </tableColumn>
    <tableColumn id="4" xr3:uid="{98C860DA-ADE7-43EA-9890-8B25D2820CD6}" name="Stamina" dataDxfId="240">
      <calculatedColumnFormula>IFERROR(IF(SUMIFS(Bloki1[WB],Bloki1[Nazwa zawodnika],$B35,Bloki1[Skill],D$34)&gt;0,AVERAGEIFS(Bloki1[WB],Bloki1[Nazwa zawodnika],$B35,Bloki1[Skill],D$34),VLOOKUP(INDEX(JuniorstwoRandom[],MATCH($A35,$A$3:$A$23,0),COLUMN(D$2)),Szacunki[],2,FALSE)),"-")</calculatedColumnFormula>
    </tableColumn>
    <tableColumn id="5" xr3:uid="{8C61C981-C181-47D8-906F-794769CDE86B}" name="Vision" dataDxfId="239">
      <calculatedColumnFormula>IFERROR(IF(SUMIFS(Bloki1[WB],Bloki1[Nazwa zawodnika],$B35,Bloki1[Skill],E$34)&gt;0,AVERAGEIFS(Bloki1[WB],Bloki1[Nazwa zawodnika],$B35,Bloki1[Skill],E$34),VLOOKUP(INDEX(JuniorstwoRandom[],MATCH($A35,$A$3:$A$23,0),COLUMN(E$2)),Szacunki[],2,FALSE)),"-")</calculatedColumnFormula>
    </tableColumn>
    <tableColumn id="6" xr3:uid="{D016E392-BA13-456F-BEE6-D1FAABA824D3}" name="Passing" dataDxfId="238">
      <calculatedColumnFormula>IFERROR(IF(SUMIFS(Bloki1[WB],Bloki1[Nazwa zawodnika],$B35,Bloki1[Skill],F$34)&gt;0,AVERAGEIFS(Bloki1[WB],Bloki1[Nazwa zawodnika],$B35,Bloki1[Skill],F$34),VLOOKUP(INDEX(JuniorstwoRandom[],MATCH($A35,$A$3:$A$23,0),COLUMN(F$2)),Szacunki[],2,FALSE)),"-")</calculatedColumnFormula>
    </tableColumn>
    <tableColumn id="7" xr3:uid="{76D9E69D-5581-4723-8921-A641CD10E118}" name="Shooting" dataDxfId="237">
      <calculatedColumnFormula>IFERROR(IF(SUMIFS(Bloki1[WB],Bloki1[Nazwa zawodnika],$B35,Bloki1[Skill],G$34)&gt;0,AVERAGEIFS(Bloki1[WB],Bloki1[Nazwa zawodnika],$B35,Bloki1[Skill],G$34),VLOOKUP(INDEX(JuniorstwoRandom[],MATCH($A35,$A$3:$A$23,0),COLUMN(G$2)),Szacunki[],2,FALSE)),"-")</calculatedColumnFormula>
    </tableColumn>
    <tableColumn id="8" xr3:uid="{615DD417-B37D-443B-B45B-1F31C04A4BB3}" name="Heading" dataDxfId="236">
      <calculatedColumnFormula>IFERROR(IF(SUMIFS(Bloki1[WB],Bloki1[Nazwa zawodnika],$B35,Bloki1[Skill],H$34)&gt;0,AVERAGEIFS(Bloki1[WB],Bloki1[Nazwa zawodnika],$B35,Bloki1[Skill],H$34),VLOOKUP(INDEX(JuniorstwoRandom[],MATCH($A35,$A$3:$A$23,0),COLUMN(H$2)),Szacunki[],2,FALSE)),"-")</calculatedColumnFormula>
    </tableColumn>
    <tableColumn id="9" xr3:uid="{630C3701-C56F-455F-BF2D-F2890841D36F}" name="Goalkeeping" dataDxfId="235">
      <calculatedColumnFormula>IFERROR(IF(SUMIFS(Bloki1[WB],Bloki1[Nazwa zawodnika],$B35,Bloki1[Skill],I$34)&gt;0,AVERAGEIFS(Bloki1[WB],Bloki1[Nazwa zawodnika],$B35,Bloki1[Skill],I$34),VLOOKUP(INDEX(JuniorstwoRandom[],MATCH($A35,$A$3:$A$23,0),COLUMN(I$2)),Szacunki[],4,FALSE)),"-")</calculatedColumnFormula>
    </tableColumn>
    <tableColumn id="10" xr3:uid="{ECABB692-C69E-4B5F-956F-589E907182EC}" name="Control" dataDxfId="234">
      <calculatedColumnFormula>IFERROR(IF(SUMIFS(Bloki1[WB],Bloki1[Nazwa zawodnika],$B35,Bloki1[Skill],J$34)&gt;0,AVERAGEIFS(Bloki1[WB],Bloki1[Nazwa zawodnika],$B35,Bloki1[Skill],J$34),VLOOKUP(INDEX(JuniorstwoRandom[],MATCH($A35,$A$3:$A$23,0),COLUMN(J$2)),Szacunki[],2,FALSE)),"-")</calculatedColumnFormula>
    </tableColumn>
    <tableColumn id="11" xr3:uid="{34763624-4897-4403-9230-078271E1D012}" name="Tackling" dataDxfId="233">
      <calculatedColumnFormula>IFERROR(IF(SUMIFS(Bloki1[WB],Bloki1[Nazwa zawodnika],$B35,Bloki1[Skill],K$34)&gt;0,AVERAGEIFS(Bloki1[WB],Bloki1[Nazwa zawodnika],$B35,Bloki1[Skill],K$34),VLOOKUP(INDEX(JuniorstwoRandom[],MATCH($A35,$A$3:$A$23,0),COLUMN(K$2)),Szacunki[],2,FALSE)),"-")</calculatedColumnFormula>
    </tableColumn>
    <tableColumn id="12" xr3:uid="{F7A00CE8-48A4-47EE-898C-0FFF5A43BE9C}" name="Long Passing" dataDxfId="232">
      <calculatedColumnFormula>IFERROR(IF(SUMIFS(Bloki1[WB],Bloki1[Nazwa zawodnika],$B35,Bloki1[Skill],L$34)&gt;0,AVERAGEIFS(Bloki1[WB],Bloki1[Nazwa zawodnika],$B35,Bloki1[Skill],L$34),VLOOKUP(INDEX(JuniorstwoRandom[],MATCH($A35,$A$3:$A$23,0),COLUMN(L$2)),Szacunki[],2,FALSE)),"-")</calculatedColumnFormula>
    </tableColumn>
    <tableColumn id="13" xr3:uid="{E8F74669-5306-4E4B-9F10-B3B3383AE720}" name="Free Kick Acc" dataDxfId="231">
      <calculatedColumnFormula>IFERROR(IF(SUMIFS(Bloki1[WB],Bloki1[Nazwa zawodnika],$B35,Bloki1[Skill],M$34)&gt;0,AVERAGEIFS(Bloki1[WB],Bloki1[Nazwa zawodnika],$B35,Bloki1[Skill],M$34),VLOOKUP(INDEX(JuniorstwoRandom[],MATCH($A35,$A$3:$A$23,0),COLUMN(M$2)),Szacunki[],2,FALSE)),"-")</calculatedColumnFormula>
    </tableColumn>
    <tableColumn id="17" xr3:uid="{39E24E21-8AF2-4AC8-897E-A835E06B2BC4}" name="Experience"/>
    <tableColumn id="14" xr3:uid="{D9A3DED7-9EEF-4C9B-B746-66C05A7E195C}" name="SP" dataDxfId="230">
      <calculatedColumnFormula>SUM(C35:M35)</calculatedColumnFormula>
    </tableColumn>
  </tableColumns>
  <tableStyleInfo name="TableStyleMedium2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4DCEB56-9EC4-4F50-81AB-F5D5D7369444}" name="JuniorzyPozytyw" displayName="JuniorzyPozytyw" ref="A56:O76" totalsRowShown="0" tableBorderDxfId="229">
  <autoFilter ref="A56:O76" xr:uid="{508988AD-77E6-4AF1-AF08-32FD513176E6}"/>
  <tableColumns count="15">
    <tableColumn id="1" xr3:uid="{5050A20C-D617-4195-8D80-7B0F12EEBEEB}" name="Numer" dataDxfId="228">
      <calculatedColumnFormula>A3</calculatedColumnFormula>
    </tableColumn>
    <tableColumn id="2" xr3:uid="{4998018C-0369-47AA-AACB-3D6CEB4211BA}" name="Nazwa zawodnika" dataDxfId="227">
      <calculatedColumnFormula>IFERROR(VLOOKUP(JuniorzyPozytyw[[#This Row],[Numer]],Zawodnicy[],2,FALSE),"-")</calculatedColumnFormula>
    </tableColumn>
    <tableColumn id="3" xr3:uid="{B5CC907C-01A5-4471-BC25-70609A396F18}" name="Speed" dataDxfId="226">
      <calculatedColumnFormula>IFERROR(IF(SUMIFS(Bloki1[WB],Bloki1[Nazwa zawodnika],$B57,Bloki1[Skill],C$56)&gt;0,AVERAGEIFS(Bloki1[WB],Bloki1[Nazwa zawodnika],$B57,Bloki1[Skill],C$56),VLOOKUP(INDEX(JuniorstwoRandom[],MATCH($A57,$A$3:$A$23,0),COLUMN(C$2)),Szacunki[],3,FALSE)),"-")</calculatedColumnFormula>
    </tableColumn>
    <tableColumn id="4" xr3:uid="{FAC7D577-2D09-4ECF-AAFC-6ACAEE73A8D6}" name="Stamina" dataDxfId="225">
      <calculatedColumnFormula>IFERROR(IF(SUMIFS(Bloki1[WB],Bloki1[Nazwa zawodnika],$B57,Bloki1[Skill],D$56)&gt;0,AVERAGEIFS(Bloki1[WB],Bloki1[Nazwa zawodnika],$B57,Bloki1[Skill],D$56),VLOOKUP(INDEX(JuniorstwoRandom[],MATCH($A57,$A$3:$A$23,0),COLUMN(D$2)),Szacunki[],3,FALSE)),"-")</calculatedColumnFormula>
    </tableColumn>
    <tableColumn id="5" xr3:uid="{BFA420F2-A518-4031-8E4E-5FED59237CB5}" name="Vision" dataDxfId="224">
      <calculatedColumnFormula>IFERROR(IF(SUMIFS(Bloki1[WB],Bloki1[Nazwa zawodnika],$B57,Bloki1[Skill],E$56)&gt;0,AVERAGEIFS(Bloki1[WB],Bloki1[Nazwa zawodnika],$B57,Bloki1[Skill],E$56),VLOOKUP(INDEX(JuniorstwoRandom[],MATCH($A57,$A$3:$A$23,0),COLUMN(E$2)),Szacunki[],3,FALSE)),"-")</calculatedColumnFormula>
    </tableColumn>
    <tableColumn id="6" xr3:uid="{BE2752B5-12C2-42FB-AEBD-1DDD218DA5A2}" name="Passing" dataDxfId="223">
      <calculatedColumnFormula>IFERROR(IF(SUMIFS(Bloki1[WB],Bloki1[Nazwa zawodnika],$B57,Bloki1[Skill],F$56)&gt;0,AVERAGEIFS(Bloki1[WB],Bloki1[Nazwa zawodnika],$B57,Bloki1[Skill],F$56),VLOOKUP(INDEX(JuniorstwoRandom[],MATCH($A57,$A$3:$A$23,0),COLUMN(F$2)),Szacunki[],3,FALSE)),"-")</calculatedColumnFormula>
    </tableColumn>
    <tableColumn id="7" xr3:uid="{A53DB9AE-FF5D-4A75-8EDE-B5BE6E63C51C}" name="Shooting" dataDxfId="222">
      <calculatedColumnFormula>IFERROR(IF(SUMIFS(Bloki1[WB],Bloki1[Nazwa zawodnika],$B57,Bloki1[Skill],G$56)&gt;0,AVERAGEIFS(Bloki1[WB],Bloki1[Nazwa zawodnika],$B57,Bloki1[Skill],G$56),VLOOKUP(INDEX(JuniorstwoRandom[],MATCH($A57,$A$3:$A$23,0),COLUMN(G$2)),Szacunki[],3,FALSE)),"-")</calculatedColumnFormula>
    </tableColumn>
    <tableColumn id="8" xr3:uid="{5AAA4CD3-54EB-4EF4-89C8-6C13B9BCCE89}" name="Heading" dataDxfId="221">
      <calculatedColumnFormula>IFERROR(IF(SUMIFS(Bloki1[WB],Bloki1[Nazwa zawodnika],$B57,Bloki1[Skill],H$56)&gt;0,AVERAGEIFS(Bloki1[WB],Bloki1[Nazwa zawodnika],$B57,Bloki1[Skill],H$56),VLOOKUP(INDEX(JuniorstwoRandom[],MATCH($A57,$A$3:$A$23,0),COLUMN(H$2)),Szacunki[],3,FALSE)),"-")</calculatedColumnFormula>
    </tableColumn>
    <tableColumn id="9" xr3:uid="{6040ABC6-E447-4430-B14B-0CFEDAD60987}" name="Goalkeeping" dataDxfId="220">
      <calculatedColumnFormula>IFERROR(IF(SUMIFS(Bloki1[WB],Bloki1[Nazwa zawodnika],$B57,Bloki1[Skill],I$56)&gt;0,AVERAGEIFS(Bloki1[WB],Bloki1[Nazwa zawodnika],$B57,Bloki1[Skill],I$56),VLOOKUP(INDEX(JuniorstwoRandom[],MATCH($A57,$A$3:$A$23,0),COLUMN(I$2)),Szacunki[],5,FALSE)),"-")</calculatedColumnFormula>
    </tableColumn>
    <tableColumn id="10" xr3:uid="{F7AF85E5-6917-4C2C-95C9-9CA044963F05}" name="Control" dataDxfId="219">
      <calculatedColumnFormula>IFERROR(IF(SUMIFS(Bloki1[WB],Bloki1[Nazwa zawodnika],$B57,Bloki1[Skill],J$56)&gt;0,AVERAGEIFS(Bloki1[WB],Bloki1[Nazwa zawodnika],$B57,Bloki1[Skill],J$56),VLOOKUP(INDEX(JuniorstwoRandom[],MATCH($A57,$A$3:$A$23,0),COLUMN(J$2)),Szacunki[],3,FALSE)),"-")</calculatedColumnFormula>
    </tableColumn>
    <tableColumn id="11" xr3:uid="{E573CC1E-C197-4209-8281-07F5868B370D}" name="Tackling" dataDxfId="218">
      <calculatedColumnFormula>IFERROR(IF(SUMIFS(Bloki1[WB],Bloki1[Nazwa zawodnika],$B57,Bloki1[Skill],K$56)&gt;0,AVERAGEIFS(Bloki1[WB],Bloki1[Nazwa zawodnika],$B57,Bloki1[Skill],K$56),VLOOKUP(INDEX(JuniorstwoRandom[],MATCH($A57,$A$3:$A$23,0),COLUMN(K$2)),Szacunki[],3,FALSE)),"-")</calculatedColumnFormula>
    </tableColumn>
    <tableColumn id="12" xr3:uid="{6ED91B9D-77DE-41AB-BACA-C0585A6E4804}" name="Long Passing" dataDxfId="217">
      <calculatedColumnFormula>IFERROR(IF(SUMIFS(Bloki1[WB],Bloki1[Nazwa zawodnika],$B57,Bloki1[Skill],L$56)&gt;0,AVERAGEIFS(Bloki1[WB],Bloki1[Nazwa zawodnika],$B57,Bloki1[Skill],L$56),VLOOKUP(INDEX(JuniorstwoRandom[],MATCH($A57,$A$3:$A$23,0),COLUMN(L$2)),Szacunki[],3,FALSE)),"-")</calculatedColumnFormula>
    </tableColumn>
    <tableColumn id="13" xr3:uid="{47955BD6-72B2-4443-8D14-1275BF883CF2}" name="Free Kick Acc" dataDxfId="216">
      <calculatedColumnFormula>IFERROR(IF(SUMIFS(Bloki1[WB],Bloki1[Nazwa zawodnika],$B57,Bloki1[Skill],M$56)&gt;0,AVERAGEIFS(Bloki1[WB],Bloki1[Nazwa zawodnika],$B57,Bloki1[Skill],M$56),VLOOKUP(INDEX(JuniorstwoRandom[],MATCH($A57,$A$3:$A$23,0),COLUMN(M$2)),Szacunki[],3,FALSE)),"-")</calculatedColumnFormula>
    </tableColumn>
    <tableColumn id="17" xr3:uid="{219B36DD-4D56-4B97-8E01-C397F769101E}" name="Experience"/>
    <tableColumn id="14" xr3:uid="{689AD39D-A562-484B-8552-BAEF065BC7D1}" name="SP" dataDxfId="215">
      <calculatedColumnFormula>SUM(C57:M57)</calculatedColumnFormula>
    </tableColumn>
  </tableColumns>
  <tableStyleInfo name="TableStyleMedium28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389066B-3BD1-48E2-90ED-3D4968EB5131}" name="Szacunki" displayName="Szacunki" ref="A25:E32" totalsRowShown="0">
  <autoFilter ref="A25:E32" xr:uid="{C7D3B78F-1FB3-492C-B5B5-050E353C8CC1}"/>
  <tableColumns count="5">
    <tableColumn id="1" xr3:uid="{1BE381BC-4427-433D-A2EF-6D8892F1CE31}" name="Gwiazdki"/>
    <tableColumn id="2" xr3:uid="{21D1330C-EF92-488A-9A59-5305E998C827}" name="Najgorszy"/>
    <tableColumn id="3" xr3:uid="{7FBE34DE-545F-4D99-993D-ABE552D9F6D7}" name="Najlepszy"/>
    <tableColumn id="4" xr3:uid="{3C413807-4536-4134-A886-9D31BBAFE249}" name="Bramka-1"/>
    <tableColumn id="5" xr3:uid="{3085C3E3-2B91-4FE4-84AA-48BB5732F130}" name="Bramka"/>
  </tableColumns>
  <tableStyleInfo name="TableStyleLight2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6E7662A-4DDF-470F-A60D-EDA32BBBB91E}" name="Bloki1" displayName="Bloki1" ref="A1:D24" totalsRowShown="0">
  <autoFilter ref="A1:D24" xr:uid="{21EEDB90-DBCF-472B-A6A7-78118EE8AFE3}"/>
  <sortState xmlns:xlrd2="http://schemas.microsoft.com/office/spreadsheetml/2017/richdata2" ref="A2:D13">
    <sortCondition ref="A1:A13"/>
  </sortState>
  <tableColumns count="4">
    <tableColumn id="2" xr3:uid="{1257F3AF-69D8-4BB9-A80A-19A940BC13B6}" name="NR"/>
    <tableColumn id="3" xr3:uid="{97F21EEC-2FE0-44E7-B1B1-150A6D30DD5A}" name="Nazwa zawodnika">
      <calculatedColumnFormula>VLOOKUP(Bloki1[[#This Row],[NR]],Zawodnicy[],2,FALSE)</calculatedColumnFormula>
    </tableColumn>
    <tableColumn id="4" xr3:uid="{64EDF1FD-96E7-46A4-8D27-D6BC13B3FE7F}" name="Skill"/>
    <tableColumn id="5" xr3:uid="{7D4C6378-544C-4DAE-8F4C-29388E07C3A2}" name="WB"/>
  </tableColumns>
  <tableStyleInfo name="TableStyleLight1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6474D44-8EF0-400E-BB49-16BFBB0EB373}" name="WagiPozycji" displayName="WagiPozycji" ref="D22:J28" totalsRowShown="0">
  <autoFilter ref="D22:J28" xr:uid="{C9B8F8A3-4F68-4D3D-AB36-438DA28E257C}"/>
  <tableColumns count="7">
    <tableColumn id="1" xr3:uid="{D793799A-CE9D-42E9-B6B9-1A5E44AE2971}" name="pozycje"/>
    <tableColumn id="2" xr3:uid="{05BC975B-7995-4560-B381-BD2F51597CB2}" name="Przejęcia"/>
    <tableColumn id="3" xr3:uid="{24452E7D-3391-4D8C-9827-6625002B7F41}" name="Odbiory"/>
    <tableColumn id="4" xr3:uid="{774CB27A-4D1E-4BF2-AF53-46622439F941}" name="Podania"/>
    <tableColumn id="5" xr3:uid="{D71C13C5-C346-4E25-8BFD-DF87E34CEDBF}" name="Strzały"/>
    <tableColumn id="6" xr3:uid="{EC751A65-C582-4E7D-B048-14E6023D3A7F}" name="Obrony"/>
    <tableColumn id="7" xr3:uid="{7761F45C-BD70-406C-ACF2-3AE36152FBD5}" name="Gole"/>
  </tableColumns>
  <tableStyleInfo name="TableStyleLight1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87ABA70-FAB1-4DF5-8A5F-69C2C5577368}" name="PozycjeMG" displayName="PozycjeMG" ref="A20:K40" totalsRowShown="0" tableBorderDxfId="214">
  <autoFilter ref="A20:K40" xr:uid="{7FA3AF5C-2E94-4437-A5B6-6B460DB97FDD}"/>
  <tableColumns count="11">
    <tableColumn id="1" xr3:uid="{B5184539-CCE3-4BB2-9118-9DF5A1959909}" name="Numer" dataDxfId="213">
      <calculatedColumnFormula>PozycjeŚr[[#This Row],[Numer]]</calculatedColumnFormula>
    </tableColumn>
    <tableColumn id="2" xr3:uid="{ED11C03A-E7F2-45F4-A03D-E0274F038050}" name="Nazwa zawodnika" dataDxfId="212">
      <calculatedColumnFormula>IFERROR(VLOOKUP(PozycjeMG[[#This Row],[Numer]],Zawodnicy[[Number]:[Player name]],2,FALSE),"-")</calculatedColumnFormula>
    </tableColumn>
    <tableColumn id="4" xr3:uid="{6BE82CB7-FC9A-4D91-B4BB-12AB1EBD0F90}" name="BR" dataDxfId="211">
      <calculatedColumnFormula>IFERROR(INDEX(Zawodnicy[],MATCH($A21,Players!$A$2:$A$35,0),MATCH($B$2,Players!$A$1:$Y$1,0))*C$2+INDEX(Zawodnicy[],MATCH($A21,Players!$A$2:$A$35,0),MATCH($B$3,Players!$A$1:$Y$1,0))*C$3+INDEX(Zawodnicy[],MATCH($A21,Players!$A$2:$A$35,0),MATCH($B$4,Players!$A$1:$Y$1,0))*C$4+INDEX(Zawodnicy[],MATCH($A21,Players!$A$2:$A$35,0),MATCH($B$5,Players!$A$1:$Y$1,0))*C$5+INDEX(Zawodnicy[],MATCH($A21,Players!$A$2:$A$35,0),MATCH($B$6,Players!$A$1:$Y$1,0))*C$6+INDEX(Zawodnicy[],MATCH($A21,Players!$A$2:$A$35,0),MATCH($B$7,Players!$A$1:$Y$1,0))*C$7+INDEX(Zawodnicy[],MATCH($A21,Players!$A$2:$A$35,0),MATCH($B$8,Players!$A$1:$Y$1,0))*C$8+INDEX(Zawodnicy[],MATCH($A21,Players!$A$2:$A$35,0),MATCH($B$9,Players!$A$1:$Y$1,0))*C$9+INDEX(Zawodnicy[],MATCH($A21,Players!$A$2:$A$35,0),MATCH($B$10,Players!$A$1:$Y$1,0))*C$10+INDEX(Zawodnicy[],MATCH($A21,Players!$A$2:$A$35,0),MATCH($B$11,Players!$A$1:$Y$1,0))*C$11+INDEX(Zawodnicy[],MATCH($A21,Players!$A$2:$A$35,0),MATCH($B$12,Players!$A$1:$Y$1,0))*C$12+INDEX(Zawodnicy[],MATCH($A21,Players!$A$2:$A$35,0),MATCH($B$13,Players!$A$1:$Y$1,0))*C$13,"-")</calculatedColumnFormula>
    </tableColumn>
    <tableColumn id="5" xr3:uid="{DCBF4A3A-1773-4CF1-9C24-BFA406349DBD}" name="SO" dataDxfId="210">
      <calculatedColumnFormula>IFERROR(INDEX(Zawodnicy[],MATCH($A21,Players!$A$2:$A$35,0),MATCH($B$2,Players!$A$1:$Y$1,0))*D$2+INDEX(Zawodnicy[],MATCH($A21,Players!$A$2:$A$35,0),MATCH($B$3,Players!$A$1:$Y$1,0))*D$3+INDEX(Zawodnicy[],MATCH($A21,Players!$A$2:$A$35,0),MATCH($B$4,Players!$A$1:$Y$1,0))*D$4+INDEX(Zawodnicy[],MATCH($A21,Players!$A$2:$A$35,0),MATCH($B$5,Players!$A$1:$Y$1,0))*D$5+INDEX(Zawodnicy[],MATCH($A21,Players!$A$2:$A$35,0),MATCH($B$6,Players!$A$1:$Y$1,0))*D$6+INDEX(Zawodnicy[],MATCH($A21,Players!$A$2:$A$35,0),MATCH($B$7,Players!$A$1:$Y$1,0))*D$7+INDEX(Zawodnicy[],MATCH($A21,Players!$A$2:$A$35,0),MATCH($B$8,Players!$A$1:$Y$1,0))*D$8+INDEX(Zawodnicy[],MATCH($A21,Players!$A$2:$A$35,0),MATCH($B$9,Players!$A$1:$Y$1,0))*D$9+INDEX(Zawodnicy[],MATCH($A21,Players!$A$2:$A$35,0),MATCH($B$10,Players!$A$1:$Y$1,0))*D$10+INDEX(Zawodnicy[],MATCH($A21,Players!$A$2:$A$35,0),MATCH($B$11,Players!$A$1:$Y$1,0))*D$11+INDEX(Zawodnicy[],MATCH($A21,Players!$A$2:$A$35,0),MATCH($B$12,Players!$A$1:$Y$1,0))*D$12+INDEX(Zawodnicy[],MATCH($A21,Players!$A$2:$A$35,0),MATCH($B$13,Players!$A$1:$Y$1,0))*D$13,"-")</calculatedColumnFormula>
    </tableColumn>
    <tableColumn id="6" xr3:uid="{B519ADE8-4F92-4014-A9F7-C6CD130AEA69}" name="BO" dataDxfId="209">
      <calculatedColumnFormula>IFERROR(INDEX(Zawodnicy[],MATCH($A21,Players!$A$2:$A$35,0),MATCH($B$2,Players!$A$1:$Y$1,0))*E$2+INDEX(Zawodnicy[],MATCH($A21,Players!$A$2:$A$35,0),MATCH($B$3,Players!$A$1:$Y$1,0))*E$3+INDEX(Zawodnicy[],MATCH($A21,Players!$A$2:$A$35,0),MATCH($B$4,Players!$A$1:$Y$1,0))*E$4+INDEX(Zawodnicy[],MATCH($A21,Players!$A$2:$A$35,0),MATCH($B$5,Players!$A$1:$Y$1,0))*E$5+INDEX(Zawodnicy[],MATCH($A21,Players!$A$2:$A$35,0),MATCH($B$6,Players!$A$1:$Y$1,0))*E$6+INDEX(Zawodnicy[],MATCH($A21,Players!$A$2:$A$35,0),MATCH($B$7,Players!$A$1:$Y$1,0))*E$7+INDEX(Zawodnicy[],MATCH($A21,Players!$A$2:$A$35,0),MATCH($B$8,Players!$A$1:$Y$1,0))*E$8+INDEX(Zawodnicy[],MATCH($A21,Players!$A$2:$A$35,0),MATCH($B$9,Players!$A$1:$Y$1,0))*E$9+INDEX(Zawodnicy[],MATCH($A21,Players!$A$2:$A$35,0),MATCH($B$10,Players!$A$1:$Y$1,0))*E$10+INDEX(Zawodnicy[],MATCH($A21,Players!$A$2:$A$35,0),MATCH($B$11,Players!$A$1:$Y$1,0))*E$11+INDEX(Zawodnicy[],MATCH($A21,Players!$A$2:$A$35,0),MATCH($B$12,Players!$A$1:$Y$1,0))*E$12+INDEX(Zawodnicy[],MATCH($A21,Players!$A$2:$A$35,0),MATCH($B$13,Players!$A$1:$Y$1,0))*E$13,"-")</calculatedColumnFormula>
    </tableColumn>
    <tableColumn id="7" xr3:uid="{379EC702-018C-473E-BBBB-122314B2376E}" name="DP" dataDxfId="208">
      <calculatedColumnFormula>IFERROR(INDEX(Zawodnicy[],MATCH($A21,Players!$A$2:$A$35,0),MATCH($B$2,Players!$A$1:$Y$1,0))*F$2+INDEX(Zawodnicy[],MATCH($A21,Players!$A$2:$A$35,0),MATCH($B$3,Players!$A$1:$Y$1,0))*F$3+INDEX(Zawodnicy[],MATCH($A21,Players!$A$2:$A$35,0),MATCH($B$4,Players!$A$1:$Y$1,0))*F$4+INDEX(Zawodnicy[],MATCH($A21,Players!$A$2:$A$35,0),MATCH($B$5,Players!$A$1:$Y$1,0))*F$5+INDEX(Zawodnicy[],MATCH($A21,Players!$A$2:$A$35,0),MATCH($B$6,Players!$A$1:$Y$1,0))*F$6+INDEX(Zawodnicy[],MATCH($A21,Players!$A$2:$A$35,0),MATCH($B$7,Players!$A$1:$Y$1,0))*F$7+INDEX(Zawodnicy[],MATCH($A21,Players!$A$2:$A$35,0),MATCH($B$8,Players!$A$1:$Y$1,0))*F$8+INDEX(Zawodnicy[],MATCH($A21,Players!$A$2:$A$35,0),MATCH($B$9,Players!$A$1:$Y$1,0))*F$9+INDEX(Zawodnicy[],MATCH($A21,Players!$A$2:$A$35,0),MATCH($B$10,Players!$A$1:$Y$1,0))*F$10+INDEX(Zawodnicy[],MATCH($A21,Players!$A$2:$A$35,0),MATCH($B$11,Players!$A$1:$Y$1,0))*F$11+INDEX(Zawodnicy[],MATCH($A21,Players!$A$2:$A$35,0),MATCH($B$12,Players!$A$1:$Y$1,0))*F$12+INDEX(Zawodnicy[],MATCH($A21,Players!$A$2:$A$35,0),MATCH($B$13,Players!$A$1:$Y$1,0))*F$13,"-")</calculatedColumnFormula>
    </tableColumn>
    <tableColumn id="8" xr3:uid="{F3E88D99-170A-4A18-8CA4-9E555599938A}" name="SP" dataDxfId="207">
      <calculatedColumnFormula>IFERROR(INDEX(Zawodnicy[],MATCH($A21,Players!$A$2:$A$35,0),MATCH($B$2,Players!$A$1:$Y$1,0))*G$2+INDEX(Zawodnicy[],MATCH($A21,Players!$A$2:$A$35,0),MATCH($B$3,Players!$A$1:$Y$1,0))*G$3+INDEX(Zawodnicy[],MATCH($A21,Players!$A$2:$A$35,0),MATCH($B$4,Players!$A$1:$Y$1,0))*G$4+INDEX(Zawodnicy[],MATCH($A21,Players!$A$2:$A$35,0),MATCH($B$5,Players!$A$1:$Y$1,0))*G$5+INDEX(Zawodnicy[],MATCH($A21,Players!$A$2:$A$35,0),MATCH($B$6,Players!$A$1:$Y$1,0))*G$6+INDEX(Zawodnicy[],MATCH($A21,Players!$A$2:$A$35,0),MATCH($B$7,Players!$A$1:$Y$1,0))*G$7+INDEX(Zawodnicy[],MATCH($A21,Players!$A$2:$A$35,0),MATCH($B$8,Players!$A$1:$Y$1,0))*G$8+INDEX(Zawodnicy[],MATCH($A21,Players!$A$2:$A$35,0),MATCH($B$9,Players!$A$1:$Y$1,0))*G$9+INDEX(Zawodnicy[],MATCH($A21,Players!$A$2:$A$35,0),MATCH($B$10,Players!$A$1:$Y$1,0))*G$10+INDEX(Zawodnicy[],MATCH($A21,Players!$A$2:$A$35,0),MATCH($B$11,Players!$A$1:$Y$1,0))*G$11+INDEX(Zawodnicy[],MATCH($A21,Players!$A$2:$A$35,0),MATCH($B$12,Players!$A$1:$Y$1,0))*G$12+INDEX(Zawodnicy[],MATCH($A21,Players!$A$2:$A$35,0),MATCH($B$13,Players!$A$1:$Y$1,0))*G$13,"-")</calculatedColumnFormula>
    </tableColumn>
    <tableColumn id="9" xr3:uid="{541B34FA-291B-4D3C-8C47-2730792B1ABC}" name="BP" dataDxfId="206">
      <calculatedColumnFormula>IFERROR(INDEX(Zawodnicy[],MATCH($A21,Players!$A$2:$A$35,0),MATCH($B$2,Players!$A$1:$Y$1,0))*H$2+INDEX(Zawodnicy[],MATCH($A21,Players!$A$2:$A$35,0),MATCH($B$3,Players!$A$1:$Y$1,0))*H$3+INDEX(Zawodnicy[],MATCH($A21,Players!$A$2:$A$35,0),MATCH($B$4,Players!$A$1:$Y$1,0))*H$4+INDEX(Zawodnicy[],MATCH($A21,Players!$A$2:$A$35,0),MATCH($B$5,Players!$A$1:$Y$1,0))*H$5+INDEX(Zawodnicy[],MATCH($A21,Players!$A$2:$A$35,0),MATCH($B$6,Players!$A$1:$Y$1,0))*H$6+INDEX(Zawodnicy[],MATCH($A21,Players!$A$2:$A$35,0),MATCH($B$7,Players!$A$1:$Y$1,0))*H$7+INDEX(Zawodnicy[],MATCH($A21,Players!$A$2:$A$35,0),MATCH($B$8,Players!$A$1:$Y$1,0))*H$8+INDEX(Zawodnicy[],MATCH($A21,Players!$A$2:$A$35,0),MATCH($B$9,Players!$A$1:$Y$1,0))*H$9+INDEX(Zawodnicy[],MATCH($A21,Players!$A$2:$A$35,0),MATCH($B$10,Players!$A$1:$Y$1,0))*H$10+INDEX(Zawodnicy[],MATCH($A21,Players!$A$2:$A$35,0),MATCH($B$11,Players!$A$1:$Y$1,0))*H$11+INDEX(Zawodnicy[],MATCH($A21,Players!$A$2:$A$35,0),MATCH($B$12,Players!$A$1:$Y$1,0))*H$12+INDEX(Zawodnicy[],MATCH($A21,Players!$A$2:$A$35,0),MATCH($B$13,Players!$A$1:$Y$1,0))*H$13,"-")</calculatedColumnFormula>
    </tableColumn>
    <tableColumn id="10" xr3:uid="{BD16FC6F-8E6D-401B-A1E7-2B5180158E26}" name="OP" dataDxfId="205">
      <calculatedColumnFormula>IFERROR(INDEX(Zawodnicy[],MATCH($A21,Players!$A$2:$A$35,0),MATCH($B$2,Players!$A$1:$Y$1,0))*I$2+INDEX(Zawodnicy[],MATCH($A21,Players!$A$2:$A$35,0),MATCH($B$3,Players!$A$1:$Y$1,0))*I$3+INDEX(Zawodnicy[],MATCH($A21,Players!$A$2:$A$35,0),MATCH($B$4,Players!$A$1:$Y$1,0))*I$4+INDEX(Zawodnicy[],MATCH($A21,Players!$A$2:$A$35,0),MATCH($B$5,Players!$A$1:$Y$1,0))*I$5+INDEX(Zawodnicy[],MATCH($A21,Players!$A$2:$A$35,0),MATCH($B$6,Players!$A$1:$Y$1,0))*I$6+INDEX(Zawodnicy[],MATCH($A21,Players!$A$2:$A$35,0),MATCH($B$7,Players!$A$1:$Y$1,0))*I$7+INDEX(Zawodnicy[],MATCH($A21,Players!$A$2:$A$35,0),MATCH($B$8,Players!$A$1:$Y$1,0))*I$8+INDEX(Zawodnicy[],MATCH($A21,Players!$A$2:$A$35,0),MATCH($B$9,Players!$A$1:$Y$1,0))*I$9+INDEX(Zawodnicy[],MATCH($A21,Players!$A$2:$A$35,0),MATCH($B$10,Players!$A$1:$Y$1,0))*I$10+INDEX(Zawodnicy[],MATCH($A21,Players!$A$2:$A$35,0),MATCH($B$11,Players!$A$1:$Y$1,0))*I$11+INDEX(Zawodnicy[],MATCH($A21,Players!$A$2:$A$35,0),MATCH($B$12,Players!$A$1:$Y$1,0))*I$12+INDEX(Zawodnicy[],MATCH($A21,Players!$A$2:$A$35,0),MATCH($B$13,Players!$A$1:$Y$1,0))*I$13,"-")</calculatedColumnFormula>
    </tableColumn>
    <tableColumn id="11" xr3:uid="{B48B0A48-44E9-4FAD-AC3F-59B05E885846}" name="BOP" dataDxfId="204">
      <calculatedColumnFormula>IFERROR(INDEX(Zawodnicy[],MATCH($A21,Players!$A$2:$A$35,0),MATCH($B$2,Players!$A$1:$Y$1,0))*J$2+INDEX(Zawodnicy[],MATCH($A21,Players!$A$2:$A$35,0),MATCH($B$3,Players!$A$1:$Y$1,0))*J$3+INDEX(Zawodnicy[],MATCH($A21,Players!$A$2:$A$35,0),MATCH($B$4,Players!$A$1:$Y$1,0))*J$4+INDEX(Zawodnicy[],MATCH($A21,Players!$A$2:$A$35,0),MATCH($B$5,Players!$A$1:$Y$1,0))*J$5+INDEX(Zawodnicy[],MATCH($A21,Players!$A$2:$A$35,0),MATCH($B$6,Players!$A$1:$Y$1,0))*J$6+INDEX(Zawodnicy[],MATCH($A21,Players!$A$2:$A$35,0),MATCH($B$7,Players!$A$1:$Y$1,0))*J$7+INDEX(Zawodnicy[],MATCH($A21,Players!$A$2:$A$35,0),MATCH($B$8,Players!$A$1:$Y$1,0))*J$8+INDEX(Zawodnicy[],MATCH($A21,Players!$A$2:$A$35,0),MATCH($B$9,Players!$A$1:$Y$1,0))*J$9+INDEX(Zawodnicy[],MATCH($A21,Players!$A$2:$A$35,0),MATCH($B$10,Players!$A$1:$Y$1,0))*J$10+INDEX(Zawodnicy[],MATCH($A21,Players!$A$2:$A$35,0),MATCH($B$11,Players!$A$1:$Y$1,0))*J$11+INDEX(Zawodnicy[],MATCH($A21,Players!$A$2:$A$35,0),MATCH($B$12,Players!$A$1:$Y$1,0))*J$12+INDEX(Zawodnicy[],MATCH($A21,Players!$A$2:$A$35,0),MATCH($B$13,Players!$A$1:$Y$1,0))*J$13,"-")</calculatedColumnFormula>
    </tableColumn>
    <tableColumn id="12" xr3:uid="{7ACE8F3B-D26C-4119-B20F-D0572484849B}" name="ST" dataDxfId="203">
      <calculatedColumnFormula>IFERROR(INDEX(Zawodnicy[],MATCH($A21,Players!$A$2:$A$35,0),MATCH($B$2,Players!$A$1:$Y$1,0))*K$2+INDEX(Zawodnicy[],MATCH($A21,Players!$A$2:$A$35,0),MATCH($B$3,Players!$A$1:$Y$1,0))*K$3+INDEX(Zawodnicy[],MATCH($A21,Players!$A$2:$A$35,0),MATCH($B$4,Players!$A$1:$Y$1,0))*K$4+INDEX(Zawodnicy[],MATCH($A21,Players!$A$2:$A$35,0),MATCH($B$5,Players!$A$1:$Y$1,0))*K$5+INDEX(Zawodnicy[],MATCH($A21,Players!$A$2:$A$35,0),MATCH($B$6,Players!$A$1:$Y$1,0))*K$6+INDEX(Zawodnicy[],MATCH($A21,Players!$A$2:$A$35,0),MATCH($B$7,Players!$A$1:$Y$1,0))*K$7+INDEX(Zawodnicy[],MATCH($A21,Players!$A$2:$A$35,0),MATCH($B$8,Players!$A$1:$Y$1,0))*K$8+INDEX(Zawodnicy[],MATCH($A21,Players!$A$2:$A$35,0),MATCH($B$9,Players!$A$1:$Y$1,0))*K$9+INDEX(Zawodnicy[],MATCH($A21,Players!$A$2:$A$35,0),MATCH($B$10,Players!$A$1:$Y$1,0))*K$10+INDEX(Zawodnicy[],MATCH($A21,Players!$A$2:$A$35,0),MATCH($B$11,Players!$A$1:$Y$1,0))*K$11+INDEX(Zawodnicy[],MATCH($A21,Players!$A$2:$A$35,0),MATCH($B$12,Players!$A$1:$Y$1,0))*K$12+INDEX(Zawodnicy[],MATCH($A21,Players!$A$2:$A$35,0),MATCH($B$13,Players!$A$1:$Y$1,0))*K$13,"-")</calculatedColumnFormula>
    </tableColumn>
  </tableColumns>
  <tableStyleInfo name="TableStyleLight16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4CD3DC5-F0F7-4BD1-94FF-6CF450796A19}" name="AtrybutyMG" displayName="AtrybutyMG" ref="B1:W14" totalsRowShown="0">
  <autoFilter ref="B1:W14" xr:uid="{5A80CC65-E2FA-47AC-993E-C46540CDC2DF}"/>
  <tableColumns count="22">
    <tableColumn id="1" xr3:uid="{667E0383-E4CB-447F-A769-B1D3DF521487}" name="Attributes" dataDxfId="202"/>
    <tableColumn id="2" xr3:uid="{078E96A4-CDE0-44CE-B165-C07FF5117B86}" name="BR"/>
    <tableColumn id="3" xr3:uid="{350628C0-8523-4567-94FE-35CB652E5064}" name="SO"/>
    <tableColumn id="4" xr3:uid="{4699E803-E5B5-49A6-A8E6-5B05B8573D4C}" name="BO"/>
    <tableColumn id="5" xr3:uid="{D351F5B1-D700-4D00-BA97-751EBE442662}" name="DP"/>
    <tableColumn id="6" xr3:uid="{7E3CC16A-D582-47A1-8868-00BBF814A73D}" name="SP"/>
    <tableColumn id="7" xr3:uid="{CE0E3CC4-55F7-4B12-884C-80B22EFF4B6E}" name="BP"/>
    <tableColumn id="8" xr3:uid="{945B41B6-6A67-4A15-A97B-B8AAA14257F5}" name="OP"/>
    <tableColumn id="9" xr3:uid="{D3FDBE28-3C5A-4354-8CA8-53913F77E9DE}" name="BOP"/>
    <tableColumn id="10" xr3:uid="{C07CC52E-E4AC-4DC1-A330-1333505C7F09}" name="ST"/>
    <tableColumn id="11" xr3:uid="{0FA36C79-C362-4F62-B215-AF327FBE8408}" name="SUMA" dataDxfId="201">
      <calculatedColumnFormula>SUM(AtrybutyMG[[#This Row],[SO]:[ST]])</calculatedColumnFormula>
    </tableColumn>
    <tableColumn id="12" xr3:uid="{1204B7D6-B34E-4B51-AE20-AAFA60FC0630}" name="ŚR" dataDxfId="200">
      <calculatedColumnFormula>AtrybutyMG[[#This Row],[SUMA]]/COLUMNS(AtrybutyMG[[#Headers],[SO]:[ST]])</calculatedColumnFormula>
    </tableColumn>
    <tableColumn id="21" xr3:uid="{63E26289-8275-4D90-859C-24AC3873486F}" name="Tarcza" dataDxfId="199">
      <calculatedColumnFormula>AtrybutyMG[[#This Row],[BR]]</calculatedColumnFormula>
    </tableColumn>
    <tableColumn id="20" xr3:uid="{59AA4546-9D12-4A9A-B9AD-F518DEB15EBD}" name="Motor" dataDxfId="198">
      <calculatedColumnFormula>SUM(AtrybutyMG[[#This Row],[SO]:[ST]])</calculatedColumnFormula>
    </tableColumn>
    <tableColumn id="23" xr3:uid="{E8B19C36-FA3C-4404-BAE5-D5203CABCBAE}" name="Skała" dataDxfId="197">
      <calculatedColumnFormula>AVERAGE(AtrybutyMG[[#This Row],[SO]],AtrybutyMG[[#This Row],[DP]])</calculatedColumnFormula>
    </tableColumn>
    <tableColumn id="13" xr3:uid="{B446143A-C5FB-4BB2-82A3-8328FFC1C832}" name="Przechwyt" dataDxfId="196">
      <calculatedColumnFormula>SUM(AtrybutyMG[[#This Row],[SO]]: AtrybutyMG[[#This Row],[DP]:[SP]])</calculatedColumnFormula>
    </tableColumn>
    <tableColumn id="14" xr3:uid="{99F49A93-3CA7-4C7A-8A50-ABA315A82FA1}" name="Kreator" dataDxfId="195">
      <calculatedColumnFormula>AtrybutyMG[[#This Row],[SP]]+AtrybutyMG[[#This Row],[OP]]</calculatedColumnFormula>
    </tableColumn>
    <tableColumn id="15" xr3:uid="{2F6F219F-53F2-45B0-BCDC-8C9A9FE5F545}" name="Skrzydło" dataDxfId="194">
      <calculatedColumnFormula>AtrybutyMG[[#This Row],[BP]]+AtrybutyMG[[#This Row],[BOP]]</calculatedColumnFormula>
    </tableColumn>
    <tableColumn id="16" xr3:uid="{1613BDA9-E063-4B2F-AC36-6C2871EBB40D}" name="Strażnik" dataDxfId="193">
      <calculatedColumnFormula>AtrybutyMG[[#This Row],[SO]]+AtrybutyMG[[#This Row],[DP]]+AtrybutyMG[[#This Row],[SP]]</calculatedColumnFormula>
    </tableColumn>
    <tableColumn id="17" xr3:uid="{B2EC9669-6EA7-4E7A-A5FD-5214E3E94D6F}" name="B2B" dataDxfId="192">
      <calculatedColumnFormula>AtrybutyMG[[#This Row],[DP]]+AtrybutyMG[[#This Row],[SP]]+AtrybutyMG[[#This Row],[BO]]</calculatedColumnFormula>
    </tableColumn>
    <tableColumn id="18" xr3:uid="{660CCC1E-9015-4777-82D4-F54BA3E13C08}" name="#9" dataDxfId="191">
      <calculatedColumnFormula>AtrybutyMG[[#This Row],[ST]]</calculatedColumnFormula>
    </tableColumn>
    <tableColumn id="19" xr3:uid="{F6320CA2-C700-4AC9-8878-356A567E7EB0}" name="Snajper" dataDxfId="190">
      <calculatedColumnFormula>AtrybutyMG[[#This Row],[ST]]+AtrybutyMG[[#This Row],[OP]]</calculatedColumnFormula>
    </tableColumn>
  </tableColumns>
  <tableStyleInfo name="TableStyleLight16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089CDD1-2EB8-432E-BA61-8DA472C945D5}" name="PozJunNMG" displayName="PozJunNMG" ref="A42:K63" totalsRowShown="0" headerRowDxfId="189" tableBorderDxfId="188">
  <autoFilter ref="A42:K63" xr:uid="{63707AF7-ED65-4649-959E-240B031C0F32}"/>
  <tableColumns count="11">
    <tableColumn id="1" xr3:uid="{9C0645F5-EE33-4C0F-BE66-D68248949122}" name="Numer">
      <calculatedColumnFormula>IFERROR(PozJunNŚr[[#This Row],[Numer]],"-")</calculatedColumnFormula>
    </tableColumn>
    <tableColumn id="2" xr3:uid="{A45BABBD-3BF8-4A76-8D80-0689AD61E09A}" name="Nazwa zawodnika" dataDxfId="187">
      <calculatedColumnFormula>IFERROR(VLOOKUP(PozJunNMG[[#This Row],[Numer]],Zawodnicy[[Number]:[Player name]],2,FALSE),"-")</calculatedColumnFormula>
    </tableColumn>
    <tableColumn id="3" xr3:uid="{56F4CD87-B772-4A8A-881E-45FFEE1527B9}" name="BR" dataDxfId="186">
      <calculatedColumnFormula>IFERROR(INDEX(JuniorzyNegatyw[],MATCH($A43,Juniorstwo!$A$35:$A$54,0),MATCH($B$2,Juniorstwo!$A$34:$N$34,0))*C$2+INDEX(JuniorzyNegatyw[],MATCH($A43,Juniorstwo!$A$35:$A$54,0),MATCH($B$3,Juniorstwo!$A$34:$N$34,0))*C$3+INDEX(JuniorzyNegatyw[],MATCH($A43,Juniorstwo!$A$35:$A$54,0),MATCH($B$4,Juniorstwo!$A$34:$N$34,0))*C$4+INDEX(JuniorzyNegatyw[],MATCH($A43,Juniorstwo!$A$35:$A$54,0),MATCH($B$5,Juniorstwo!$A$34:$N$34,0))*C$5+INDEX(JuniorzyNegatyw[],MATCH($A43,Juniorstwo!$A$35:$A$54,0),MATCH($B$6,Juniorstwo!$A$34:$N$34,0))*C$6+INDEX(JuniorzyNegatyw[],MATCH($A43,Juniorstwo!$A$35:$A$54,0),MATCH($B$7,Juniorstwo!$A$34:$N$34,0))*C$7+INDEX(JuniorzyNegatyw[],MATCH($A43,Juniorstwo!$A$35:$A$54,0),MATCH($B$8,Juniorstwo!$A$34:$N$34,0))*C$8+INDEX(JuniorzyNegatyw[],MATCH($A43,Juniorstwo!$A$35:$A$54,0),MATCH($B$9,Juniorstwo!$A$34:$N$34,0))*C$9+INDEX(JuniorzyNegatyw[],MATCH($A43,Juniorstwo!$A$35:$A$54,0),MATCH($B$10,Juniorstwo!$A$34:$N$34,0))*C$10+INDEX(JuniorzyNegatyw[],MATCH($A43,Juniorstwo!$A$35:$A$54,0),MATCH($B$11,Juniorstwo!$A$34:$N$34,0))*C$11+INDEX(JuniorzyNegatyw[],MATCH($A43,Juniorstwo!$A$35:$A$54,0),MATCH($B$12,Juniorstwo!$A$34:$N$34,0))*C$12+INDEX(JuniorzyNegatyw[],MATCH($A43,Juniorstwo!$A$35:$A$54,0),MATCH($B$13,Juniorstwo!$A$34:$N$34,0))*C$13,"-")</calculatedColumnFormula>
    </tableColumn>
    <tableColumn id="4" xr3:uid="{B0885B4D-367B-49BF-9B10-3130B72D304F}" name="SO" dataDxfId="185">
      <calculatedColumnFormula>IFERROR(INDEX(JuniorzyNegatyw[],MATCH($A43,Juniorstwo!$A$35:$A$54,0),MATCH($B$2,Juniorstwo!$A$34:$N$34,0))*D$2+INDEX(JuniorzyNegatyw[],MATCH($A43,Juniorstwo!$A$35:$A$54,0),MATCH($B$3,Juniorstwo!$A$34:$N$34,0))*D$3+INDEX(JuniorzyNegatyw[],MATCH($A43,Juniorstwo!$A$35:$A$54,0),MATCH($B$4,Juniorstwo!$A$34:$N$34,0))*D$4+INDEX(JuniorzyNegatyw[],MATCH($A43,Juniorstwo!$A$35:$A$54,0),MATCH($B$5,Juniorstwo!$A$34:$N$34,0))*D$5+INDEX(JuniorzyNegatyw[],MATCH($A43,Juniorstwo!$A$35:$A$54,0),MATCH($B$6,Juniorstwo!$A$34:$N$34,0))*D$6+INDEX(JuniorzyNegatyw[],MATCH($A43,Juniorstwo!$A$35:$A$54,0),MATCH($B$7,Juniorstwo!$A$34:$N$34,0))*D$7+INDEX(JuniorzyNegatyw[],MATCH($A43,Juniorstwo!$A$35:$A$54,0),MATCH($B$8,Juniorstwo!$A$34:$N$34,0))*D$8+INDEX(JuniorzyNegatyw[],MATCH($A43,Juniorstwo!$A$35:$A$54,0),MATCH($B$9,Juniorstwo!$A$34:$N$34,0))*D$9+INDEX(JuniorzyNegatyw[],MATCH($A43,Juniorstwo!$A$35:$A$54,0),MATCH($B$10,Juniorstwo!$A$34:$N$34,0))*D$10+INDEX(JuniorzyNegatyw[],MATCH($A43,Juniorstwo!$A$35:$A$54,0),MATCH($B$11,Juniorstwo!$A$34:$N$34,0))*D$11+INDEX(JuniorzyNegatyw[],MATCH($A43,Juniorstwo!$A$35:$A$54,0),MATCH($B$12,Juniorstwo!$A$34:$N$34,0))*D$12+INDEX(JuniorzyNegatyw[],MATCH($A43,Juniorstwo!$A$35:$A$54,0),MATCH($B$13,Juniorstwo!$A$34:$N$34,0))*D$13,"-")</calculatedColumnFormula>
    </tableColumn>
    <tableColumn id="5" xr3:uid="{3ECCCCCF-4D73-42EB-B4AD-3273F00B3A7B}" name="BO" dataDxfId="184">
      <calculatedColumnFormula>IFERROR(INDEX(JuniorzyNegatyw[],MATCH($A43,Juniorstwo!$A$35:$A$54,0),MATCH($B$2,Juniorstwo!$A$34:$N$34,0))*E$2+INDEX(JuniorzyNegatyw[],MATCH($A43,Juniorstwo!$A$35:$A$54,0),MATCH($B$3,Juniorstwo!$A$34:$N$34,0))*E$3+INDEX(JuniorzyNegatyw[],MATCH($A43,Juniorstwo!$A$35:$A$54,0),MATCH($B$4,Juniorstwo!$A$34:$N$34,0))*E$4+INDEX(JuniorzyNegatyw[],MATCH($A43,Juniorstwo!$A$35:$A$54,0),MATCH($B$5,Juniorstwo!$A$34:$N$34,0))*E$5+INDEX(JuniorzyNegatyw[],MATCH($A43,Juniorstwo!$A$35:$A$54,0),MATCH($B$6,Juniorstwo!$A$34:$N$34,0))*E$6+INDEX(JuniorzyNegatyw[],MATCH($A43,Juniorstwo!$A$35:$A$54,0),MATCH($B$7,Juniorstwo!$A$34:$N$34,0))*E$7+INDEX(JuniorzyNegatyw[],MATCH($A43,Juniorstwo!$A$35:$A$54,0),MATCH($B$8,Juniorstwo!$A$34:$N$34,0))*E$8+INDEX(JuniorzyNegatyw[],MATCH($A43,Juniorstwo!$A$35:$A$54,0),MATCH($B$9,Juniorstwo!$A$34:$N$34,0))*E$9+INDEX(JuniorzyNegatyw[],MATCH($A43,Juniorstwo!$A$35:$A$54,0),MATCH($B$10,Juniorstwo!$A$34:$N$34,0))*E$10+INDEX(JuniorzyNegatyw[],MATCH($A43,Juniorstwo!$A$35:$A$54,0),MATCH($B$11,Juniorstwo!$A$34:$N$34,0))*E$11+INDEX(JuniorzyNegatyw[],MATCH($A43,Juniorstwo!$A$35:$A$54,0),MATCH($B$12,Juniorstwo!$A$34:$N$34,0))*E$12+INDEX(JuniorzyNegatyw[],MATCH($A43,Juniorstwo!$A$35:$A$54,0),MATCH($B$13,Juniorstwo!$A$34:$N$34,0))*E$13,"-")</calculatedColumnFormula>
    </tableColumn>
    <tableColumn id="6" xr3:uid="{756BAFA2-7490-45AC-A6B6-75FC6CB233B0}" name="DP" dataDxfId="183">
      <calculatedColumnFormula>IFERROR(INDEX(JuniorzyNegatyw[],MATCH($A43,Juniorstwo!$A$35:$A$54,0),MATCH($B$2,Juniorstwo!$A$34:$N$34,0))*F$2+INDEX(JuniorzyNegatyw[],MATCH($A43,Juniorstwo!$A$35:$A$54,0),MATCH($B$3,Juniorstwo!$A$34:$N$34,0))*F$3+INDEX(JuniorzyNegatyw[],MATCH($A43,Juniorstwo!$A$35:$A$54,0),MATCH($B$4,Juniorstwo!$A$34:$N$34,0))*F$4+INDEX(JuniorzyNegatyw[],MATCH($A43,Juniorstwo!$A$35:$A$54,0),MATCH($B$5,Juniorstwo!$A$34:$N$34,0))*F$5+INDEX(JuniorzyNegatyw[],MATCH($A43,Juniorstwo!$A$35:$A$54,0),MATCH($B$6,Juniorstwo!$A$34:$N$34,0))*F$6+INDEX(JuniorzyNegatyw[],MATCH($A43,Juniorstwo!$A$35:$A$54,0),MATCH($B$7,Juniorstwo!$A$34:$N$34,0))*F$7+INDEX(JuniorzyNegatyw[],MATCH($A43,Juniorstwo!$A$35:$A$54,0),MATCH($B$8,Juniorstwo!$A$34:$N$34,0))*F$8+INDEX(JuniorzyNegatyw[],MATCH($A43,Juniorstwo!$A$35:$A$54,0),MATCH($B$9,Juniorstwo!$A$34:$N$34,0))*F$9+INDEX(JuniorzyNegatyw[],MATCH($A43,Juniorstwo!$A$35:$A$54,0),MATCH($B$10,Juniorstwo!$A$34:$N$34,0))*F$10+INDEX(JuniorzyNegatyw[],MATCH($A43,Juniorstwo!$A$35:$A$54,0),MATCH($B$11,Juniorstwo!$A$34:$N$34,0))*F$11+INDEX(JuniorzyNegatyw[],MATCH($A43,Juniorstwo!$A$35:$A$54,0),MATCH($B$12,Juniorstwo!$A$34:$N$34,0))*F$12+INDEX(JuniorzyNegatyw[],MATCH($A43,Juniorstwo!$A$35:$A$54,0),MATCH($B$13,Juniorstwo!$A$34:$N$34,0))*F$13,"-")</calculatedColumnFormula>
    </tableColumn>
    <tableColumn id="7" xr3:uid="{103C04EE-1A08-41F9-B0C6-D04186A1860F}" name="SP" dataDxfId="182">
      <calculatedColumnFormula>IFERROR(INDEX(JuniorzyNegatyw[],MATCH($A43,Juniorstwo!$A$35:$A$54,0),MATCH($B$2,Juniorstwo!$A$34:$N$34,0))*G$2+INDEX(JuniorzyNegatyw[],MATCH($A43,Juniorstwo!$A$35:$A$54,0),MATCH($B$3,Juniorstwo!$A$34:$N$34,0))*G$3+INDEX(JuniorzyNegatyw[],MATCH($A43,Juniorstwo!$A$35:$A$54,0),MATCH($B$4,Juniorstwo!$A$34:$N$34,0))*G$4+INDEX(JuniorzyNegatyw[],MATCH($A43,Juniorstwo!$A$35:$A$54,0),MATCH($B$5,Juniorstwo!$A$34:$N$34,0))*G$5+INDEX(JuniorzyNegatyw[],MATCH($A43,Juniorstwo!$A$35:$A$54,0),MATCH($B$6,Juniorstwo!$A$34:$N$34,0))*G$6+INDEX(JuniorzyNegatyw[],MATCH($A43,Juniorstwo!$A$35:$A$54,0),MATCH($B$7,Juniorstwo!$A$34:$N$34,0))*G$7+INDEX(JuniorzyNegatyw[],MATCH($A43,Juniorstwo!$A$35:$A$54,0),MATCH($B$8,Juniorstwo!$A$34:$N$34,0))*G$8+INDEX(JuniorzyNegatyw[],MATCH($A43,Juniorstwo!$A$35:$A$54,0),MATCH($B$9,Juniorstwo!$A$34:$N$34,0))*G$9+INDEX(JuniorzyNegatyw[],MATCH($A43,Juniorstwo!$A$35:$A$54,0),MATCH($B$10,Juniorstwo!$A$34:$N$34,0))*G$10+INDEX(JuniorzyNegatyw[],MATCH($A43,Juniorstwo!$A$35:$A$54,0),MATCH($B$11,Juniorstwo!$A$34:$N$34,0))*G$11+INDEX(JuniorzyNegatyw[],MATCH($A43,Juniorstwo!$A$35:$A$54,0),MATCH($B$12,Juniorstwo!$A$34:$N$34,0))*G$12+INDEX(JuniorzyNegatyw[],MATCH($A43,Juniorstwo!$A$35:$A$54,0),MATCH($B$13,Juniorstwo!$A$34:$N$34,0))*G$13,"-")</calculatedColumnFormula>
    </tableColumn>
    <tableColumn id="8" xr3:uid="{B7FAD78C-32F3-4294-B3FF-258918DD2052}" name="BP" dataDxfId="181">
      <calculatedColumnFormula>IFERROR(INDEX(JuniorzyNegatyw[],MATCH($A43,Juniorstwo!$A$35:$A$54,0),MATCH($B$2,Juniorstwo!$A$34:$N$34,0))*H$2+INDEX(JuniorzyNegatyw[],MATCH($A43,Juniorstwo!$A$35:$A$54,0),MATCH($B$3,Juniorstwo!$A$34:$N$34,0))*H$3+INDEX(JuniorzyNegatyw[],MATCH($A43,Juniorstwo!$A$35:$A$54,0),MATCH($B$4,Juniorstwo!$A$34:$N$34,0))*H$4+INDEX(JuniorzyNegatyw[],MATCH($A43,Juniorstwo!$A$35:$A$54,0),MATCH($B$5,Juniorstwo!$A$34:$N$34,0))*H$5+INDEX(JuniorzyNegatyw[],MATCH($A43,Juniorstwo!$A$35:$A$54,0),MATCH($B$6,Juniorstwo!$A$34:$N$34,0))*H$6+INDEX(JuniorzyNegatyw[],MATCH($A43,Juniorstwo!$A$35:$A$54,0),MATCH($B$7,Juniorstwo!$A$34:$N$34,0))*H$7+INDEX(JuniorzyNegatyw[],MATCH($A43,Juniorstwo!$A$35:$A$54,0),MATCH($B$8,Juniorstwo!$A$34:$N$34,0))*H$8+INDEX(JuniorzyNegatyw[],MATCH($A43,Juniorstwo!$A$35:$A$54,0),MATCH($B$9,Juniorstwo!$A$34:$N$34,0))*H$9+INDEX(JuniorzyNegatyw[],MATCH($A43,Juniorstwo!$A$35:$A$54,0),MATCH($B$10,Juniorstwo!$A$34:$N$34,0))*H$10+INDEX(JuniorzyNegatyw[],MATCH($A43,Juniorstwo!$A$35:$A$54,0),MATCH($B$11,Juniorstwo!$A$34:$N$34,0))*H$11+INDEX(JuniorzyNegatyw[],MATCH($A43,Juniorstwo!$A$35:$A$54,0),MATCH($B$12,Juniorstwo!$A$34:$N$34,0))*H$12+INDEX(JuniorzyNegatyw[],MATCH($A43,Juniorstwo!$A$35:$A$54,0),MATCH($B$13,Juniorstwo!$A$34:$N$34,0))*H$13,"-")</calculatedColumnFormula>
    </tableColumn>
    <tableColumn id="9" xr3:uid="{004868D9-5A13-4816-A80D-1402F6EE07CA}" name="OP" dataDxfId="180">
      <calculatedColumnFormula>IFERROR(INDEX(JuniorzyNegatyw[],MATCH($A43,Juniorstwo!$A$35:$A$54,0),MATCH($B$2,Juniorstwo!$A$34:$N$34,0))*I$2+INDEX(JuniorzyNegatyw[],MATCH($A43,Juniorstwo!$A$35:$A$54,0),MATCH($B$3,Juniorstwo!$A$34:$N$34,0))*I$3+INDEX(JuniorzyNegatyw[],MATCH($A43,Juniorstwo!$A$35:$A$54,0),MATCH($B$4,Juniorstwo!$A$34:$N$34,0))*I$4+INDEX(JuniorzyNegatyw[],MATCH($A43,Juniorstwo!$A$35:$A$54,0),MATCH($B$5,Juniorstwo!$A$34:$N$34,0))*I$5+INDEX(JuniorzyNegatyw[],MATCH($A43,Juniorstwo!$A$35:$A$54,0),MATCH($B$6,Juniorstwo!$A$34:$N$34,0))*I$6+INDEX(JuniorzyNegatyw[],MATCH($A43,Juniorstwo!$A$35:$A$54,0),MATCH($B$7,Juniorstwo!$A$34:$N$34,0))*I$7+INDEX(JuniorzyNegatyw[],MATCH($A43,Juniorstwo!$A$35:$A$54,0),MATCH($B$8,Juniorstwo!$A$34:$N$34,0))*I$8+INDEX(JuniorzyNegatyw[],MATCH($A43,Juniorstwo!$A$35:$A$54,0),MATCH($B$9,Juniorstwo!$A$34:$N$34,0))*I$9+INDEX(JuniorzyNegatyw[],MATCH($A43,Juniorstwo!$A$35:$A$54,0),MATCH($B$10,Juniorstwo!$A$34:$N$34,0))*I$10+INDEX(JuniorzyNegatyw[],MATCH($A43,Juniorstwo!$A$35:$A$54,0),MATCH($B$11,Juniorstwo!$A$34:$N$34,0))*I$11+INDEX(JuniorzyNegatyw[],MATCH($A43,Juniorstwo!$A$35:$A$54,0),MATCH($B$12,Juniorstwo!$A$34:$N$34,0))*I$12+INDEX(JuniorzyNegatyw[],MATCH($A43,Juniorstwo!$A$35:$A$54,0),MATCH($B$13,Juniorstwo!$A$34:$N$34,0))*I$13,"-")</calculatedColumnFormula>
    </tableColumn>
    <tableColumn id="10" xr3:uid="{4D0B57AA-74D1-44F8-A201-19BA90603B5E}" name="BOP" dataDxfId="179">
      <calculatedColumnFormula>IFERROR(INDEX(JuniorzyNegatyw[],MATCH($A43,Juniorstwo!$A$35:$A$54,0),MATCH($B$2,Juniorstwo!$A$34:$N$34,0))*J$2+INDEX(JuniorzyNegatyw[],MATCH($A43,Juniorstwo!$A$35:$A$54,0),MATCH($B$3,Juniorstwo!$A$34:$N$34,0))*J$3+INDEX(JuniorzyNegatyw[],MATCH($A43,Juniorstwo!$A$35:$A$54,0),MATCH($B$4,Juniorstwo!$A$34:$N$34,0))*J$4+INDEX(JuniorzyNegatyw[],MATCH($A43,Juniorstwo!$A$35:$A$54,0),MATCH($B$5,Juniorstwo!$A$34:$N$34,0))*J$5+INDEX(JuniorzyNegatyw[],MATCH($A43,Juniorstwo!$A$35:$A$54,0),MATCH($B$6,Juniorstwo!$A$34:$N$34,0))*J$6+INDEX(JuniorzyNegatyw[],MATCH($A43,Juniorstwo!$A$35:$A$54,0),MATCH($B$7,Juniorstwo!$A$34:$N$34,0))*J$7+INDEX(JuniorzyNegatyw[],MATCH($A43,Juniorstwo!$A$35:$A$54,0),MATCH($B$8,Juniorstwo!$A$34:$N$34,0))*J$8+INDEX(JuniorzyNegatyw[],MATCH($A43,Juniorstwo!$A$35:$A$54,0),MATCH($B$9,Juniorstwo!$A$34:$N$34,0))*J$9+INDEX(JuniorzyNegatyw[],MATCH($A43,Juniorstwo!$A$35:$A$54,0),MATCH($B$10,Juniorstwo!$A$34:$N$34,0))*J$10+INDEX(JuniorzyNegatyw[],MATCH($A43,Juniorstwo!$A$35:$A$54,0),MATCH($B$11,Juniorstwo!$A$34:$N$34,0))*J$11+INDEX(JuniorzyNegatyw[],MATCH($A43,Juniorstwo!$A$35:$A$54,0),MATCH($B$12,Juniorstwo!$A$34:$N$34,0))*J$12+INDEX(JuniorzyNegatyw[],MATCH($A43,Juniorstwo!$A$35:$A$54,0),MATCH($B$13,Juniorstwo!$A$34:$N$34,0))*J$13,"-")</calculatedColumnFormula>
    </tableColumn>
    <tableColumn id="11" xr3:uid="{AE32A9FF-4F9E-4173-94C6-270C5AA78D27}" name="ST" dataDxfId="178">
      <calculatedColumnFormula>IFERROR(INDEX(JuniorzyNegatyw[],MATCH($A43,Juniorstwo!$A$35:$A$54,0),MATCH($B$2,Juniorstwo!$A$34:$N$34,0))*K$2+INDEX(JuniorzyNegatyw[],MATCH($A43,Juniorstwo!$A$35:$A$54,0),MATCH($B$3,Juniorstwo!$A$34:$N$34,0))*K$3+INDEX(JuniorzyNegatyw[],MATCH($A43,Juniorstwo!$A$35:$A$54,0),MATCH($B$4,Juniorstwo!$A$34:$N$34,0))*K$4+INDEX(JuniorzyNegatyw[],MATCH($A43,Juniorstwo!$A$35:$A$54,0),MATCH($B$5,Juniorstwo!$A$34:$N$34,0))*K$5+INDEX(JuniorzyNegatyw[],MATCH($A43,Juniorstwo!$A$35:$A$54,0),MATCH($B$6,Juniorstwo!$A$34:$N$34,0))*K$6+INDEX(JuniorzyNegatyw[],MATCH($A43,Juniorstwo!$A$35:$A$54,0),MATCH($B$7,Juniorstwo!$A$34:$N$34,0))*K$7+INDEX(JuniorzyNegatyw[],MATCH($A43,Juniorstwo!$A$35:$A$54,0),MATCH($B$8,Juniorstwo!$A$34:$N$34,0))*K$8+INDEX(JuniorzyNegatyw[],MATCH($A43,Juniorstwo!$A$35:$A$54,0),MATCH($B$9,Juniorstwo!$A$34:$N$34,0))*K$9+INDEX(JuniorzyNegatyw[],MATCH($A43,Juniorstwo!$A$35:$A$54,0),MATCH($B$10,Juniorstwo!$A$34:$N$34,0))*K$10+INDEX(JuniorzyNegatyw[],MATCH($A43,Juniorstwo!$A$35:$A$54,0),MATCH($B$11,Juniorstwo!$A$34:$N$34,0))*K$11+INDEX(JuniorzyNegatyw[],MATCH($A43,Juniorstwo!$A$35:$A$54,0),MATCH($B$12,Juniorstwo!$A$34:$N$34,0))*K$12+INDEX(JuniorzyNegatyw[],MATCH($A43,Juniorstwo!$A$35:$A$54,0),MATCH($B$13,Juniorstwo!$A$34:$N$34,0))*K$13,"-")</calculatedColumnFormula>
    </tableColumn>
  </tableColumns>
  <tableStyleInfo name="TableStyleLight1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D0B45062-0814-4042-BA74-09DE2412FF9F}" name="PozJunPMG" displayName="PozJunPMG" ref="A66:K87" totalsRowShown="0" headerRowDxfId="177">
  <autoFilter ref="A66:K87" xr:uid="{6BB4951D-590E-43D3-A98F-CE9763BB3F63}"/>
  <tableColumns count="11">
    <tableColumn id="1" xr3:uid="{AA9300E4-4FE4-4E03-9475-E690AE05904A}" name="Numer">
      <calculatedColumnFormula>IFERROR(PozycjeŚr!A43,"-")</calculatedColumnFormula>
    </tableColumn>
    <tableColumn id="2" xr3:uid="{1031605F-F978-480E-9BA1-B77C3FC2F078}" name="Nazwa zawodnika" dataDxfId="176">
      <calculatedColumnFormula>IFERROR(VLOOKUP(PozJunPMG[[#This Row],[Numer]],Zawodnicy[[Number]:[Player name]],2,FALSE),"-")</calculatedColumnFormula>
    </tableColumn>
    <tableColumn id="3" xr3:uid="{538E5942-B917-4459-84B8-B7C7E4B0ACC8}" name="BR" dataDxfId="175">
      <calculatedColumnFormula>IFERROR(INDEX(JuniorzyPozytyw[],MATCH($A67,Juniorstwo!$A$57:$A$76,0),MATCH($B$2,Juniorstwo!$A$56:$N$56,0))*C$2+INDEX(JuniorzyPozytyw[],MATCH($A67,Juniorstwo!$A$57:$A$76,0),MATCH($B$3,Juniorstwo!$A$56:$N$56,0))*C$3+INDEX(JuniorzyPozytyw[],MATCH($A67,Juniorstwo!$A$57:$A$76,0),MATCH($B$4,Juniorstwo!$A$56:$N$56,0))*C$4+INDEX(JuniorzyPozytyw[],MATCH($A67,Juniorstwo!$A$57:$A$76,0),MATCH($B$5,Juniorstwo!$A$56:$N$56,0))*C$5+INDEX(JuniorzyPozytyw[],MATCH($A67,Juniorstwo!$A$57:$A$76,0),MATCH($B$6,Juniorstwo!$A$56:$N$56,0))*C$6+INDEX(JuniorzyPozytyw[],MATCH($A67,Juniorstwo!$A$57:$A$76,0),MATCH($B$7,Juniorstwo!$A$56:$N$56,0))*C$7+INDEX(JuniorzyPozytyw[],MATCH($A67,Juniorstwo!$A$57:$A$76,0),MATCH($B$8,Juniorstwo!$A$56:$N$56,0))*C$8+INDEX(JuniorzyPozytyw[],MATCH($A67,Juniorstwo!$A$57:$A$76,0),MATCH($B$9,Juniorstwo!$A$56:$N$56,0))*C$9+INDEX(JuniorzyPozytyw[],MATCH($A67,Juniorstwo!$A$57:$A$76,0),MATCH($B$10,Juniorstwo!$A$56:$N$56,0))*C$10+INDEX(JuniorzyPozytyw[],MATCH($A67,Juniorstwo!$A$57:$A$76,0),MATCH($B$11,Juniorstwo!$A$56:$N$56,0))*C$11+INDEX(JuniorzyPozytyw[],MATCH($A67,Juniorstwo!$A$57:$A$76,0),MATCH($B$12,Juniorstwo!$A$56:$N$56,0))*C$12+INDEX(JuniorzyPozytyw[],MATCH($A67,Juniorstwo!$A$57:$A$76,0),MATCH($B$13,Juniorstwo!$A$56:$N$56,0))*C$13,"-")</calculatedColumnFormula>
    </tableColumn>
    <tableColumn id="4" xr3:uid="{71FFF30F-4B8D-43B2-88C0-0BC51A5EFE00}" name="SO" dataDxfId="174">
      <calculatedColumnFormula>IFERROR(INDEX(JuniorzyPozytyw[],MATCH($A67,Juniorstwo!$A$57:$A$76,0),MATCH($B$2,Juniorstwo!$A$56:$N$56,0))*D$2+INDEX(JuniorzyPozytyw[],MATCH($A67,Juniorstwo!$A$57:$A$76,0),MATCH($B$3,Juniorstwo!$A$56:$N$56,0))*D$3+INDEX(JuniorzyPozytyw[],MATCH($A67,Juniorstwo!$A$57:$A$76,0),MATCH($B$4,Juniorstwo!$A$56:$N$56,0))*D$4+INDEX(JuniorzyPozytyw[],MATCH($A67,Juniorstwo!$A$57:$A$76,0),MATCH($B$5,Juniorstwo!$A$56:$N$56,0))*D$5+INDEX(JuniorzyPozytyw[],MATCH($A67,Juniorstwo!$A$57:$A$76,0),MATCH($B$6,Juniorstwo!$A$56:$N$56,0))*D$6+INDEX(JuniorzyPozytyw[],MATCH($A67,Juniorstwo!$A$57:$A$76,0),MATCH($B$7,Juniorstwo!$A$56:$N$56,0))*D$7+INDEX(JuniorzyPozytyw[],MATCH($A67,Juniorstwo!$A$57:$A$76,0),MATCH($B$8,Juniorstwo!$A$56:$N$56,0))*D$8+INDEX(JuniorzyPozytyw[],MATCH($A67,Juniorstwo!$A$57:$A$76,0),MATCH($B$9,Juniorstwo!$A$56:$N$56,0))*D$9+INDEX(JuniorzyPozytyw[],MATCH($A67,Juniorstwo!$A$57:$A$76,0),MATCH($B$10,Juniorstwo!$A$56:$N$56,0))*D$10+INDEX(JuniorzyPozytyw[],MATCH($A67,Juniorstwo!$A$57:$A$76,0),MATCH($B$11,Juniorstwo!$A$56:$N$56,0))*D$11+INDEX(JuniorzyPozytyw[],MATCH($A67,Juniorstwo!$A$57:$A$76,0),MATCH($B$12,Juniorstwo!$A$56:$N$56,0))*D$12+INDEX(JuniorzyPozytyw[],MATCH($A67,Juniorstwo!$A$57:$A$76,0),MATCH($B$13,Juniorstwo!$A$56:$N$56,0))*D$13,"-")</calculatedColumnFormula>
    </tableColumn>
    <tableColumn id="5" xr3:uid="{113E0F30-3A13-4E98-A232-01EA67210906}" name="BO" dataDxfId="173">
      <calculatedColumnFormula>IFERROR(INDEX(JuniorzyPozytyw[],MATCH($A67,Juniorstwo!$A$57:$A$76,0),MATCH($B$2,Juniorstwo!$A$56:$N$56,0))*E$2+INDEX(JuniorzyPozytyw[],MATCH($A67,Juniorstwo!$A$57:$A$76,0),MATCH($B$3,Juniorstwo!$A$56:$N$56,0))*E$3+INDEX(JuniorzyPozytyw[],MATCH($A67,Juniorstwo!$A$57:$A$76,0),MATCH($B$4,Juniorstwo!$A$56:$N$56,0))*E$4+INDEX(JuniorzyPozytyw[],MATCH($A67,Juniorstwo!$A$57:$A$76,0),MATCH($B$5,Juniorstwo!$A$56:$N$56,0))*E$5+INDEX(JuniorzyPozytyw[],MATCH($A67,Juniorstwo!$A$57:$A$76,0),MATCH($B$6,Juniorstwo!$A$56:$N$56,0))*E$6+INDEX(JuniorzyPozytyw[],MATCH($A67,Juniorstwo!$A$57:$A$76,0),MATCH($B$7,Juniorstwo!$A$56:$N$56,0))*E$7+INDEX(JuniorzyPozytyw[],MATCH($A67,Juniorstwo!$A$57:$A$76,0),MATCH($B$8,Juniorstwo!$A$56:$N$56,0))*E$8+INDEX(JuniorzyPozytyw[],MATCH($A67,Juniorstwo!$A$57:$A$76,0),MATCH($B$9,Juniorstwo!$A$56:$N$56,0))*E$9+INDEX(JuniorzyPozytyw[],MATCH($A67,Juniorstwo!$A$57:$A$76,0),MATCH($B$10,Juniorstwo!$A$56:$N$56,0))*E$10+INDEX(JuniorzyPozytyw[],MATCH($A67,Juniorstwo!$A$57:$A$76,0),MATCH($B$11,Juniorstwo!$A$56:$N$56,0))*E$11+INDEX(JuniorzyPozytyw[],MATCH($A67,Juniorstwo!$A$57:$A$76,0),MATCH($B$12,Juniorstwo!$A$56:$N$56,0))*E$12+INDEX(JuniorzyPozytyw[],MATCH($A67,Juniorstwo!$A$57:$A$76,0),MATCH($B$13,Juniorstwo!$A$56:$N$56,0))*E$13,"-")</calculatedColumnFormula>
    </tableColumn>
    <tableColumn id="6" xr3:uid="{229AD8A9-1CEC-414E-B9A0-B560C9D60EE4}" name="DP" dataDxfId="172">
      <calculatedColumnFormula>IFERROR(INDEX(JuniorzyPozytyw[],MATCH($A67,Juniorstwo!$A$57:$A$76,0),MATCH($B$2,Juniorstwo!$A$56:$N$56,0))*F$2+INDEX(JuniorzyPozytyw[],MATCH($A67,Juniorstwo!$A$57:$A$76,0),MATCH($B$3,Juniorstwo!$A$56:$N$56,0))*F$3+INDEX(JuniorzyPozytyw[],MATCH($A67,Juniorstwo!$A$57:$A$76,0),MATCH($B$4,Juniorstwo!$A$56:$N$56,0))*F$4+INDEX(JuniorzyPozytyw[],MATCH($A67,Juniorstwo!$A$57:$A$76,0),MATCH($B$5,Juniorstwo!$A$56:$N$56,0))*F$5+INDEX(JuniorzyPozytyw[],MATCH($A67,Juniorstwo!$A$57:$A$76,0),MATCH($B$6,Juniorstwo!$A$56:$N$56,0))*F$6+INDEX(JuniorzyPozytyw[],MATCH($A67,Juniorstwo!$A$57:$A$76,0),MATCH($B$7,Juniorstwo!$A$56:$N$56,0))*F$7+INDEX(JuniorzyPozytyw[],MATCH($A67,Juniorstwo!$A$57:$A$76,0),MATCH($B$8,Juniorstwo!$A$56:$N$56,0))*F$8+INDEX(JuniorzyPozytyw[],MATCH($A67,Juniorstwo!$A$57:$A$76,0),MATCH($B$9,Juniorstwo!$A$56:$N$56,0))*F$9+INDEX(JuniorzyPozytyw[],MATCH($A67,Juniorstwo!$A$57:$A$76,0),MATCH($B$10,Juniorstwo!$A$56:$N$56,0))*F$10+INDEX(JuniorzyPozytyw[],MATCH($A67,Juniorstwo!$A$57:$A$76,0),MATCH($B$11,Juniorstwo!$A$56:$N$56,0))*F$11+INDEX(JuniorzyPozytyw[],MATCH($A67,Juniorstwo!$A$57:$A$76,0),MATCH($B$12,Juniorstwo!$A$56:$N$56,0))*F$12+INDEX(JuniorzyPozytyw[],MATCH($A67,Juniorstwo!$A$57:$A$76,0),MATCH($B$13,Juniorstwo!$A$56:$N$56,0))*F$13,"-")</calculatedColumnFormula>
    </tableColumn>
    <tableColumn id="7" xr3:uid="{C8228DDA-8A5D-4BD6-A7C7-6503B452ACA6}" name="SP" dataDxfId="171">
      <calculatedColumnFormula>IFERROR(INDEX(JuniorzyPozytyw[],MATCH($A67,Juniorstwo!$A$57:$A$76,0),MATCH($B$2,Juniorstwo!$A$56:$N$56,0))*G$2+INDEX(JuniorzyPozytyw[],MATCH($A67,Juniorstwo!$A$57:$A$76,0),MATCH($B$3,Juniorstwo!$A$56:$N$56,0))*G$3+INDEX(JuniorzyPozytyw[],MATCH($A67,Juniorstwo!$A$57:$A$76,0),MATCH($B$4,Juniorstwo!$A$56:$N$56,0))*G$4+INDEX(JuniorzyPozytyw[],MATCH($A67,Juniorstwo!$A$57:$A$76,0),MATCH($B$5,Juniorstwo!$A$56:$N$56,0))*G$5+INDEX(JuniorzyPozytyw[],MATCH($A67,Juniorstwo!$A$57:$A$76,0),MATCH($B$6,Juniorstwo!$A$56:$N$56,0))*G$6+INDEX(JuniorzyPozytyw[],MATCH($A67,Juniorstwo!$A$57:$A$76,0),MATCH($B$7,Juniorstwo!$A$56:$N$56,0))*G$7+INDEX(JuniorzyPozytyw[],MATCH($A67,Juniorstwo!$A$57:$A$76,0),MATCH($B$8,Juniorstwo!$A$56:$N$56,0))*G$8+INDEX(JuniorzyPozytyw[],MATCH($A67,Juniorstwo!$A$57:$A$76,0),MATCH($B$9,Juniorstwo!$A$56:$N$56,0))*G$9+INDEX(JuniorzyPozytyw[],MATCH($A67,Juniorstwo!$A$57:$A$76,0),MATCH($B$10,Juniorstwo!$A$56:$N$56,0))*G$10+INDEX(JuniorzyPozytyw[],MATCH($A67,Juniorstwo!$A$57:$A$76,0),MATCH($B$11,Juniorstwo!$A$56:$N$56,0))*G$11+INDEX(JuniorzyPozytyw[],MATCH($A67,Juniorstwo!$A$57:$A$76,0),MATCH($B$12,Juniorstwo!$A$56:$N$56,0))*G$12+INDEX(JuniorzyPozytyw[],MATCH($A67,Juniorstwo!$A$57:$A$76,0),MATCH($B$13,Juniorstwo!$A$56:$N$56,0))*G$13,"-")</calculatedColumnFormula>
    </tableColumn>
    <tableColumn id="8" xr3:uid="{492EDF6F-B967-4E67-8CF2-34ED62560DC9}" name="BP" dataDxfId="170">
      <calculatedColumnFormula>IFERROR(INDEX(JuniorzyPozytyw[],MATCH($A67,Juniorstwo!$A$57:$A$76,0),MATCH($B$2,Juniorstwo!$A$56:$N$56,0))*H$2+INDEX(JuniorzyPozytyw[],MATCH($A67,Juniorstwo!$A$57:$A$76,0),MATCH($B$3,Juniorstwo!$A$56:$N$56,0))*H$3+INDEX(JuniorzyPozytyw[],MATCH($A67,Juniorstwo!$A$57:$A$76,0),MATCH($B$4,Juniorstwo!$A$56:$N$56,0))*H$4+INDEX(JuniorzyPozytyw[],MATCH($A67,Juniorstwo!$A$57:$A$76,0),MATCH($B$5,Juniorstwo!$A$56:$N$56,0))*H$5+INDEX(JuniorzyPozytyw[],MATCH($A67,Juniorstwo!$A$57:$A$76,0),MATCH($B$6,Juniorstwo!$A$56:$N$56,0))*H$6+INDEX(JuniorzyPozytyw[],MATCH($A67,Juniorstwo!$A$57:$A$76,0),MATCH($B$7,Juniorstwo!$A$56:$N$56,0))*H$7+INDEX(JuniorzyPozytyw[],MATCH($A67,Juniorstwo!$A$57:$A$76,0),MATCH($B$8,Juniorstwo!$A$56:$N$56,0))*H$8+INDEX(JuniorzyPozytyw[],MATCH($A67,Juniorstwo!$A$57:$A$76,0),MATCH($B$9,Juniorstwo!$A$56:$N$56,0))*H$9+INDEX(JuniorzyPozytyw[],MATCH($A67,Juniorstwo!$A$57:$A$76,0),MATCH($B$10,Juniorstwo!$A$56:$N$56,0))*H$10+INDEX(JuniorzyPozytyw[],MATCH($A67,Juniorstwo!$A$57:$A$76,0),MATCH($B$11,Juniorstwo!$A$56:$N$56,0))*H$11+INDEX(JuniorzyPozytyw[],MATCH($A67,Juniorstwo!$A$57:$A$76,0),MATCH($B$12,Juniorstwo!$A$56:$N$56,0))*H$12+INDEX(JuniorzyPozytyw[],MATCH($A67,Juniorstwo!$A$57:$A$76,0),MATCH($B$13,Juniorstwo!$A$56:$N$56,0))*H$13,"-")</calculatedColumnFormula>
    </tableColumn>
    <tableColumn id="9" xr3:uid="{0F830B7C-66CC-4515-B6F0-9300B947E2D7}" name="OP" dataDxfId="169">
      <calculatedColumnFormula>IFERROR(INDEX(JuniorzyPozytyw[],MATCH($A67,Juniorstwo!$A$57:$A$76,0),MATCH($B$2,Juniorstwo!$A$56:$N$56,0))*I$2+INDEX(JuniorzyPozytyw[],MATCH($A67,Juniorstwo!$A$57:$A$76,0),MATCH($B$3,Juniorstwo!$A$56:$N$56,0))*I$3+INDEX(JuniorzyPozytyw[],MATCH($A67,Juniorstwo!$A$57:$A$76,0),MATCH($B$4,Juniorstwo!$A$56:$N$56,0))*I$4+INDEX(JuniorzyPozytyw[],MATCH($A67,Juniorstwo!$A$57:$A$76,0),MATCH($B$5,Juniorstwo!$A$56:$N$56,0))*I$5+INDEX(JuniorzyPozytyw[],MATCH($A67,Juniorstwo!$A$57:$A$76,0),MATCH($B$6,Juniorstwo!$A$56:$N$56,0))*I$6+INDEX(JuniorzyPozytyw[],MATCH($A67,Juniorstwo!$A$57:$A$76,0),MATCH($B$7,Juniorstwo!$A$56:$N$56,0))*I$7+INDEX(JuniorzyPozytyw[],MATCH($A67,Juniorstwo!$A$57:$A$76,0),MATCH($B$8,Juniorstwo!$A$56:$N$56,0))*I$8+INDEX(JuniorzyPozytyw[],MATCH($A67,Juniorstwo!$A$57:$A$76,0),MATCH($B$9,Juniorstwo!$A$56:$N$56,0))*I$9+INDEX(JuniorzyPozytyw[],MATCH($A67,Juniorstwo!$A$57:$A$76,0),MATCH($B$10,Juniorstwo!$A$56:$N$56,0))*I$10+INDEX(JuniorzyPozytyw[],MATCH($A67,Juniorstwo!$A$57:$A$76,0),MATCH($B$11,Juniorstwo!$A$56:$N$56,0))*I$11+INDEX(JuniorzyPozytyw[],MATCH($A67,Juniorstwo!$A$57:$A$76,0),MATCH($B$12,Juniorstwo!$A$56:$N$56,0))*I$12+INDEX(JuniorzyPozytyw[],MATCH($A67,Juniorstwo!$A$57:$A$76,0),MATCH($B$13,Juniorstwo!$A$56:$N$56,0))*I$13,"-")</calculatedColumnFormula>
    </tableColumn>
    <tableColumn id="10" xr3:uid="{BD96BF26-11DF-44A8-9A2D-E248A067E7D6}" name="BOP" dataDxfId="168">
      <calculatedColumnFormula>IFERROR(INDEX(JuniorzyPozytyw[],MATCH($A67,Juniorstwo!$A$57:$A$76,0),MATCH($B$2,Juniorstwo!$A$56:$N$56,0))*J$2+INDEX(JuniorzyPozytyw[],MATCH($A67,Juniorstwo!$A$57:$A$76,0),MATCH($B$3,Juniorstwo!$A$56:$N$56,0))*J$3+INDEX(JuniorzyPozytyw[],MATCH($A67,Juniorstwo!$A$57:$A$76,0),MATCH($B$4,Juniorstwo!$A$56:$N$56,0))*J$4+INDEX(JuniorzyPozytyw[],MATCH($A67,Juniorstwo!$A$57:$A$76,0),MATCH($B$5,Juniorstwo!$A$56:$N$56,0))*J$5+INDEX(JuniorzyPozytyw[],MATCH($A67,Juniorstwo!$A$57:$A$76,0),MATCH($B$6,Juniorstwo!$A$56:$N$56,0))*J$6+INDEX(JuniorzyPozytyw[],MATCH($A67,Juniorstwo!$A$57:$A$76,0),MATCH($B$7,Juniorstwo!$A$56:$N$56,0))*J$7+INDEX(JuniorzyPozytyw[],MATCH($A67,Juniorstwo!$A$57:$A$76,0),MATCH($B$8,Juniorstwo!$A$56:$N$56,0))*J$8+INDEX(JuniorzyPozytyw[],MATCH($A67,Juniorstwo!$A$57:$A$76,0),MATCH($B$9,Juniorstwo!$A$56:$N$56,0))*J$9+INDEX(JuniorzyPozytyw[],MATCH($A67,Juniorstwo!$A$57:$A$76,0),MATCH($B$10,Juniorstwo!$A$56:$N$56,0))*J$10+INDEX(JuniorzyPozytyw[],MATCH($A67,Juniorstwo!$A$57:$A$76,0),MATCH($B$11,Juniorstwo!$A$56:$N$56,0))*J$11+INDEX(JuniorzyPozytyw[],MATCH($A67,Juniorstwo!$A$57:$A$76,0),MATCH($B$12,Juniorstwo!$A$56:$N$56,0))*J$12+INDEX(JuniorzyPozytyw[],MATCH($A67,Juniorstwo!$A$57:$A$76,0),MATCH($B$13,Juniorstwo!$A$56:$N$56,0))*J$13,"-")</calculatedColumnFormula>
    </tableColumn>
    <tableColumn id="11" xr3:uid="{894B7D0E-3C83-4934-B657-57B12AF3049E}" name="ST" dataDxfId="167">
      <calculatedColumnFormula>IFERROR(INDEX(JuniorzyPozytyw[],MATCH($A67,Juniorstwo!$A$57:$A$76,0),MATCH($B$2,Juniorstwo!$A$56:$N$56,0))*K$2+INDEX(JuniorzyPozytyw[],MATCH($A67,Juniorstwo!$A$57:$A$76,0),MATCH($B$3,Juniorstwo!$A$56:$N$56,0))*K$3+INDEX(JuniorzyPozytyw[],MATCH($A67,Juniorstwo!$A$57:$A$76,0),MATCH($B$4,Juniorstwo!$A$56:$N$56,0))*K$4+INDEX(JuniorzyPozytyw[],MATCH($A67,Juniorstwo!$A$57:$A$76,0),MATCH($B$5,Juniorstwo!$A$56:$N$56,0))*K$5+INDEX(JuniorzyPozytyw[],MATCH($A67,Juniorstwo!$A$57:$A$76,0),MATCH($B$6,Juniorstwo!$A$56:$N$56,0))*K$6+INDEX(JuniorzyPozytyw[],MATCH($A67,Juniorstwo!$A$57:$A$76,0),MATCH($B$7,Juniorstwo!$A$56:$N$56,0))*K$7+INDEX(JuniorzyPozytyw[],MATCH($A67,Juniorstwo!$A$57:$A$76,0),MATCH($B$8,Juniorstwo!$A$56:$N$56,0))*K$8+INDEX(JuniorzyPozytyw[],MATCH($A67,Juniorstwo!$A$57:$A$76,0),MATCH($B$9,Juniorstwo!$A$56:$N$56,0))*K$9+INDEX(JuniorzyPozytyw[],MATCH($A67,Juniorstwo!$A$57:$A$76,0),MATCH($B$10,Juniorstwo!$A$56:$N$56,0))*K$10+INDEX(JuniorzyPozytyw[],MATCH($A67,Juniorstwo!$A$57:$A$76,0),MATCH($B$11,Juniorstwo!$A$56:$N$56,0))*K$11+INDEX(JuniorzyPozytyw[],MATCH($A67,Juniorstwo!$A$57:$A$76,0),MATCH($B$12,Juniorstwo!$A$56:$N$56,0))*K$12+INDEX(JuniorzyPozytyw[],MATCH($A67,Juniorstwo!$A$57:$A$76,0),MATCH($B$13,Juniorstwo!$A$56:$N$56,0))*K$13,"-")</calculatedColumnFormula>
    </tableColumn>
  </tableColumns>
  <tableStyleInfo name="TableStyleMedium28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E0D67E7-1909-461C-A7DF-4004FF19FB0A}" name="PozycjeMM" displayName="PozycjeMM" ref="A20:K40" totalsRowShown="0" tableBorderDxfId="166">
  <autoFilter ref="A20:K40" xr:uid="{7FA3AF5C-2E94-4437-A5B6-6B460DB97FDD}"/>
  <tableColumns count="11">
    <tableColumn id="1" xr3:uid="{BE1D034D-5C8E-4C52-8571-C4FB2541024D}" name="Numer" dataDxfId="165">
      <calculatedColumnFormula>PozycjeŚr[[#This Row],[Numer]]</calculatedColumnFormula>
    </tableColumn>
    <tableColumn id="2" xr3:uid="{8BC68349-C0B6-44AD-B513-C78A84D50EF5}" name="Nazwa zawodnika" dataDxfId="164">
      <calculatedColumnFormula>IFERROR(VLOOKUP(PozycjeMM[[#This Row],[Numer]],Zawodnicy[[Number]:[Player name]],2,FALSE),"-")</calculatedColumnFormula>
    </tableColumn>
    <tableColumn id="4" xr3:uid="{A8BDDF42-026B-474D-8DF8-A7B9327838E5}" name="BR" dataDxfId="163">
      <calculatedColumnFormula>IFERROR(INDEX(Zawodnicy[],MATCH($A21,Players!$A$2:$A$35,0),MATCH($B$2,Players!$A$1:$Y$1,0))*C$2+INDEX(Zawodnicy[],MATCH($A21,Players!$A$2:$A$35,0),MATCH($B$3,Players!$A$1:$Y$1,0))*C$3+INDEX(Zawodnicy[],MATCH($A21,Players!$A$2:$A$35,0),MATCH($B$4,Players!$A$1:$Y$1,0))*C$4+INDEX(Zawodnicy[],MATCH($A21,Players!$A$2:$A$35,0),MATCH($B$5,Players!$A$1:$Y$1,0))*C$5+INDEX(Zawodnicy[],MATCH($A21,Players!$A$2:$A$35,0),MATCH($B$6,Players!$A$1:$Y$1,0))*C$6+INDEX(Zawodnicy[],MATCH($A21,Players!$A$2:$A$35,0),MATCH($B$7,Players!$A$1:$Y$1,0))*C$7+INDEX(Zawodnicy[],MATCH($A21,Players!$A$2:$A$35,0),MATCH($B$8,Players!$A$1:$Y$1,0))*C$8+INDEX(Zawodnicy[],MATCH($A21,Players!$A$2:$A$35,0),MATCH($B$9,Players!$A$1:$Y$1,0))*C$9+INDEX(Zawodnicy[],MATCH($A21,Players!$A$2:$A$35,0),MATCH($B$10,Players!$A$1:$Y$1,0))*C$10+INDEX(Zawodnicy[],MATCH($A21,Players!$A$2:$A$35,0),MATCH($B$11,Players!$A$1:$Y$1,0))*C$11+INDEX(Zawodnicy[],MATCH($A21,Players!$A$2:$A$35,0),MATCH($B$12,Players!$A$1:$Y$1,0))*C$12+INDEX(Zawodnicy[],MATCH($A21,Players!$A$2:$A$35,0),MATCH($B$13,Players!$A$1:$Y$1,0))*C$13,"-")</calculatedColumnFormula>
    </tableColumn>
    <tableColumn id="5" xr3:uid="{AFBDD9DD-3966-40CC-A37E-A685A27748AA}" name="SO" dataDxfId="162">
      <calculatedColumnFormula>IFERROR(INDEX(Zawodnicy[],MATCH($A21,Players!$A$2:$A$35,0),MATCH($B$2,Players!$A$1:$Y$1,0))*D$2+INDEX(Zawodnicy[],MATCH($A21,Players!$A$2:$A$35,0),MATCH($B$3,Players!$A$1:$Y$1,0))*D$3+INDEX(Zawodnicy[],MATCH($A21,Players!$A$2:$A$35,0),MATCH($B$4,Players!$A$1:$Y$1,0))*D$4+INDEX(Zawodnicy[],MATCH($A21,Players!$A$2:$A$35,0),MATCH($B$5,Players!$A$1:$Y$1,0))*D$5+INDEX(Zawodnicy[],MATCH($A21,Players!$A$2:$A$35,0),MATCH($B$6,Players!$A$1:$Y$1,0))*D$6+INDEX(Zawodnicy[],MATCH($A21,Players!$A$2:$A$35,0),MATCH($B$7,Players!$A$1:$Y$1,0))*D$7+INDEX(Zawodnicy[],MATCH($A21,Players!$A$2:$A$35,0),MATCH($B$8,Players!$A$1:$Y$1,0))*D$8+INDEX(Zawodnicy[],MATCH($A21,Players!$A$2:$A$35,0),MATCH($B$9,Players!$A$1:$Y$1,0))*D$9+INDEX(Zawodnicy[],MATCH($A21,Players!$A$2:$A$35,0),MATCH($B$10,Players!$A$1:$Y$1,0))*D$10+INDEX(Zawodnicy[],MATCH($A21,Players!$A$2:$A$35,0),MATCH($B$11,Players!$A$1:$Y$1,0))*D$11+INDEX(Zawodnicy[],MATCH($A21,Players!$A$2:$A$35,0),MATCH($B$12,Players!$A$1:$Y$1,0))*D$12+INDEX(Zawodnicy[],MATCH($A21,Players!$A$2:$A$35,0),MATCH($B$13,Players!$A$1:$Y$1,0))*D$13,"-")</calculatedColumnFormula>
    </tableColumn>
    <tableColumn id="6" xr3:uid="{638B4647-E1EB-48A5-8F30-3108159ABB7F}" name="BO" dataDxfId="161">
      <calculatedColumnFormula>IFERROR(INDEX(Zawodnicy[],MATCH($A21,Players!$A$2:$A$35,0),MATCH($B$2,Players!$A$1:$Y$1,0))*E$2+INDEX(Zawodnicy[],MATCH($A21,Players!$A$2:$A$35,0),MATCH($B$3,Players!$A$1:$Y$1,0))*E$3+INDEX(Zawodnicy[],MATCH($A21,Players!$A$2:$A$35,0),MATCH($B$4,Players!$A$1:$Y$1,0))*E$4+INDEX(Zawodnicy[],MATCH($A21,Players!$A$2:$A$35,0),MATCH($B$5,Players!$A$1:$Y$1,0))*E$5+INDEX(Zawodnicy[],MATCH($A21,Players!$A$2:$A$35,0),MATCH($B$6,Players!$A$1:$Y$1,0))*E$6+INDEX(Zawodnicy[],MATCH($A21,Players!$A$2:$A$35,0),MATCH($B$7,Players!$A$1:$Y$1,0))*E$7+INDEX(Zawodnicy[],MATCH($A21,Players!$A$2:$A$35,0),MATCH($B$8,Players!$A$1:$Y$1,0))*E$8+INDEX(Zawodnicy[],MATCH($A21,Players!$A$2:$A$35,0),MATCH($B$9,Players!$A$1:$Y$1,0))*E$9+INDEX(Zawodnicy[],MATCH($A21,Players!$A$2:$A$35,0),MATCH($B$10,Players!$A$1:$Y$1,0))*E$10+INDEX(Zawodnicy[],MATCH($A21,Players!$A$2:$A$35,0),MATCH($B$11,Players!$A$1:$Y$1,0))*E$11+INDEX(Zawodnicy[],MATCH($A21,Players!$A$2:$A$35,0),MATCH($B$12,Players!$A$1:$Y$1,0))*E$12+INDEX(Zawodnicy[],MATCH($A21,Players!$A$2:$A$35,0),MATCH($B$13,Players!$A$1:$Y$1,0))*E$13,"-")</calculatedColumnFormula>
    </tableColumn>
    <tableColumn id="7" xr3:uid="{64295080-4607-432C-BB73-1749338FC08C}" name="DP" dataDxfId="160">
      <calculatedColumnFormula>IFERROR(INDEX(Zawodnicy[],MATCH($A21,Players!$A$2:$A$35,0),MATCH($B$2,Players!$A$1:$Y$1,0))*F$2+INDEX(Zawodnicy[],MATCH($A21,Players!$A$2:$A$35,0),MATCH($B$3,Players!$A$1:$Y$1,0))*F$3+INDEX(Zawodnicy[],MATCH($A21,Players!$A$2:$A$35,0),MATCH($B$4,Players!$A$1:$Y$1,0))*F$4+INDEX(Zawodnicy[],MATCH($A21,Players!$A$2:$A$35,0),MATCH($B$5,Players!$A$1:$Y$1,0))*F$5+INDEX(Zawodnicy[],MATCH($A21,Players!$A$2:$A$35,0),MATCH($B$6,Players!$A$1:$Y$1,0))*F$6+INDEX(Zawodnicy[],MATCH($A21,Players!$A$2:$A$35,0),MATCH($B$7,Players!$A$1:$Y$1,0))*F$7+INDEX(Zawodnicy[],MATCH($A21,Players!$A$2:$A$35,0),MATCH($B$8,Players!$A$1:$Y$1,0))*F$8+INDEX(Zawodnicy[],MATCH($A21,Players!$A$2:$A$35,0),MATCH($B$9,Players!$A$1:$Y$1,0))*F$9+INDEX(Zawodnicy[],MATCH($A21,Players!$A$2:$A$35,0),MATCH($B$10,Players!$A$1:$Y$1,0))*F$10+INDEX(Zawodnicy[],MATCH($A21,Players!$A$2:$A$35,0),MATCH($B$11,Players!$A$1:$Y$1,0))*F$11+INDEX(Zawodnicy[],MATCH($A21,Players!$A$2:$A$35,0),MATCH($B$12,Players!$A$1:$Y$1,0))*F$12+INDEX(Zawodnicy[],MATCH($A21,Players!$A$2:$A$35,0),MATCH($B$13,Players!$A$1:$Y$1,0))*F$13,"-")</calculatedColumnFormula>
    </tableColumn>
    <tableColumn id="8" xr3:uid="{0CDFAEF7-30A9-42AB-B5C3-45165CC387D8}" name="SP" dataDxfId="159">
      <calculatedColumnFormula>IFERROR(INDEX(Zawodnicy[],MATCH($A21,Players!$A$2:$A$35,0),MATCH($B$2,Players!$A$1:$Y$1,0))*G$2+INDEX(Zawodnicy[],MATCH($A21,Players!$A$2:$A$35,0),MATCH($B$3,Players!$A$1:$Y$1,0))*G$3+INDEX(Zawodnicy[],MATCH($A21,Players!$A$2:$A$35,0),MATCH($B$4,Players!$A$1:$Y$1,0))*G$4+INDEX(Zawodnicy[],MATCH($A21,Players!$A$2:$A$35,0),MATCH($B$5,Players!$A$1:$Y$1,0))*G$5+INDEX(Zawodnicy[],MATCH($A21,Players!$A$2:$A$35,0),MATCH($B$6,Players!$A$1:$Y$1,0))*G$6+INDEX(Zawodnicy[],MATCH($A21,Players!$A$2:$A$35,0),MATCH($B$7,Players!$A$1:$Y$1,0))*G$7+INDEX(Zawodnicy[],MATCH($A21,Players!$A$2:$A$35,0),MATCH($B$8,Players!$A$1:$Y$1,0))*G$8+INDEX(Zawodnicy[],MATCH($A21,Players!$A$2:$A$35,0),MATCH($B$9,Players!$A$1:$Y$1,0))*G$9+INDEX(Zawodnicy[],MATCH($A21,Players!$A$2:$A$35,0),MATCH($B$10,Players!$A$1:$Y$1,0))*G$10+INDEX(Zawodnicy[],MATCH($A21,Players!$A$2:$A$35,0),MATCH($B$11,Players!$A$1:$Y$1,0))*G$11+INDEX(Zawodnicy[],MATCH($A21,Players!$A$2:$A$35,0),MATCH($B$12,Players!$A$1:$Y$1,0))*G$12+INDEX(Zawodnicy[],MATCH($A21,Players!$A$2:$A$35,0),MATCH($B$13,Players!$A$1:$Y$1,0))*G$13,"-")</calculatedColumnFormula>
    </tableColumn>
    <tableColumn id="9" xr3:uid="{05C50C0F-0EC2-476B-98DC-AE12F0F4D506}" name="BP" dataDxfId="158">
      <calculatedColumnFormula>IFERROR(INDEX(Zawodnicy[],MATCH($A21,Players!$A$2:$A$35,0),MATCH($B$2,Players!$A$1:$Y$1,0))*H$2+INDEX(Zawodnicy[],MATCH($A21,Players!$A$2:$A$35,0),MATCH($B$3,Players!$A$1:$Y$1,0))*H$3+INDEX(Zawodnicy[],MATCH($A21,Players!$A$2:$A$35,0),MATCH($B$4,Players!$A$1:$Y$1,0))*H$4+INDEX(Zawodnicy[],MATCH($A21,Players!$A$2:$A$35,0),MATCH($B$5,Players!$A$1:$Y$1,0))*H$5+INDEX(Zawodnicy[],MATCH($A21,Players!$A$2:$A$35,0),MATCH($B$6,Players!$A$1:$Y$1,0))*H$6+INDEX(Zawodnicy[],MATCH($A21,Players!$A$2:$A$35,0),MATCH($B$7,Players!$A$1:$Y$1,0))*H$7+INDEX(Zawodnicy[],MATCH($A21,Players!$A$2:$A$35,0),MATCH($B$8,Players!$A$1:$Y$1,0))*H$8+INDEX(Zawodnicy[],MATCH($A21,Players!$A$2:$A$35,0),MATCH($B$9,Players!$A$1:$Y$1,0))*H$9+INDEX(Zawodnicy[],MATCH($A21,Players!$A$2:$A$35,0),MATCH($B$10,Players!$A$1:$Y$1,0))*H$10+INDEX(Zawodnicy[],MATCH($A21,Players!$A$2:$A$35,0),MATCH($B$11,Players!$A$1:$Y$1,0))*H$11+INDEX(Zawodnicy[],MATCH($A21,Players!$A$2:$A$35,0),MATCH($B$12,Players!$A$1:$Y$1,0))*H$12+INDEX(Zawodnicy[],MATCH($A21,Players!$A$2:$A$35,0),MATCH($B$13,Players!$A$1:$Y$1,0))*H$13,"-")</calculatedColumnFormula>
    </tableColumn>
    <tableColumn id="10" xr3:uid="{E7186D47-D50C-4064-8D34-4E3A06A5831A}" name="OP" dataDxfId="157">
      <calculatedColumnFormula>IFERROR(INDEX(Zawodnicy[],MATCH($A21,Players!$A$2:$A$35,0),MATCH($B$2,Players!$A$1:$Y$1,0))*I$2+INDEX(Zawodnicy[],MATCH($A21,Players!$A$2:$A$35,0),MATCH($B$3,Players!$A$1:$Y$1,0))*I$3+INDEX(Zawodnicy[],MATCH($A21,Players!$A$2:$A$35,0),MATCH($B$4,Players!$A$1:$Y$1,0))*I$4+INDEX(Zawodnicy[],MATCH($A21,Players!$A$2:$A$35,0),MATCH($B$5,Players!$A$1:$Y$1,0))*I$5+INDEX(Zawodnicy[],MATCH($A21,Players!$A$2:$A$35,0),MATCH($B$6,Players!$A$1:$Y$1,0))*I$6+INDEX(Zawodnicy[],MATCH($A21,Players!$A$2:$A$35,0),MATCH($B$7,Players!$A$1:$Y$1,0))*I$7+INDEX(Zawodnicy[],MATCH($A21,Players!$A$2:$A$35,0),MATCH($B$8,Players!$A$1:$Y$1,0))*I$8+INDEX(Zawodnicy[],MATCH($A21,Players!$A$2:$A$35,0),MATCH($B$9,Players!$A$1:$Y$1,0))*I$9+INDEX(Zawodnicy[],MATCH($A21,Players!$A$2:$A$35,0),MATCH($B$10,Players!$A$1:$Y$1,0))*I$10+INDEX(Zawodnicy[],MATCH($A21,Players!$A$2:$A$35,0),MATCH($B$11,Players!$A$1:$Y$1,0))*I$11+INDEX(Zawodnicy[],MATCH($A21,Players!$A$2:$A$35,0),MATCH($B$12,Players!$A$1:$Y$1,0))*I$12+INDEX(Zawodnicy[],MATCH($A21,Players!$A$2:$A$35,0),MATCH($B$13,Players!$A$1:$Y$1,0))*I$13,"-")</calculatedColumnFormula>
    </tableColumn>
    <tableColumn id="11" xr3:uid="{193A8706-EC8E-4FF8-A2AF-474A97C6726C}" name="BOP" dataDxfId="156">
      <calculatedColumnFormula>IFERROR(INDEX(Zawodnicy[],MATCH($A21,Players!$A$2:$A$35,0),MATCH($B$2,Players!$A$1:$Y$1,0))*J$2+INDEX(Zawodnicy[],MATCH($A21,Players!$A$2:$A$35,0),MATCH($B$3,Players!$A$1:$Y$1,0))*J$3+INDEX(Zawodnicy[],MATCH($A21,Players!$A$2:$A$35,0),MATCH($B$4,Players!$A$1:$Y$1,0))*J$4+INDEX(Zawodnicy[],MATCH($A21,Players!$A$2:$A$35,0),MATCH($B$5,Players!$A$1:$Y$1,0))*J$5+INDEX(Zawodnicy[],MATCH($A21,Players!$A$2:$A$35,0),MATCH($B$6,Players!$A$1:$Y$1,0))*J$6+INDEX(Zawodnicy[],MATCH($A21,Players!$A$2:$A$35,0),MATCH($B$7,Players!$A$1:$Y$1,0))*J$7+INDEX(Zawodnicy[],MATCH($A21,Players!$A$2:$A$35,0),MATCH($B$8,Players!$A$1:$Y$1,0))*J$8+INDEX(Zawodnicy[],MATCH($A21,Players!$A$2:$A$35,0),MATCH($B$9,Players!$A$1:$Y$1,0))*J$9+INDEX(Zawodnicy[],MATCH($A21,Players!$A$2:$A$35,0),MATCH($B$10,Players!$A$1:$Y$1,0))*J$10+INDEX(Zawodnicy[],MATCH($A21,Players!$A$2:$A$35,0),MATCH($B$11,Players!$A$1:$Y$1,0))*J$11+INDEX(Zawodnicy[],MATCH($A21,Players!$A$2:$A$35,0),MATCH($B$12,Players!$A$1:$Y$1,0))*J$12+INDEX(Zawodnicy[],MATCH($A21,Players!$A$2:$A$35,0),MATCH($B$13,Players!$A$1:$Y$1,0))*J$13,"-")</calculatedColumnFormula>
    </tableColumn>
    <tableColumn id="12" xr3:uid="{FB861F9C-07B9-4F6C-9EF6-5915FF1BCDAB}" name="ST" dataDxfId="155">
      <calculatedColumnFormula>IFERROR(INDEX(Zawodnicy[],MATCH($A21,Players!$A$2:$A$35,0),MATCH($B$2,Players!$A$1:$Y$1,0))*K$2+INDEX(Zawodnicy[],MATCH($A21,Players!$A$2:$A$35,0),MATCH($B$3,Players!$A$1:$Y$1,0))*K$3+INDEX(Zawodnicy[],MATCH($A21,Players!$A$2:$A$35,0),MATCH($B$4,Players!$A$1:$Y$1,0))*K$4+INDEX(Zawodnicy[],MATCH($A21,Players!$A$2:$A$35,0),MATCH($B$5,Players!$A$1:$Y$1,0))*K$5+INDEX(Zawodnicy[],MATCH($A21,Players!$A$2:$A$35,0),MATCH($B$6,Players!$A$1:$Y$1,0))*K$6+INDEX(Zawodnicy[],MATCH($A21,Players!$A$2:$A$35,0),MATCH($B$7,Players!$A$1:$Y$1,0))*K$7+INDEX(Zawodnicy[],MATCH($A21,Players!$A$2:$A$35,0),MATCH($B$8,Players!$A$1:$Y$1,0))*K$8+INDEX(Zawodnicy[],MATCH($A21,Players!$A$2:$A$35,0),MATCH($B$9,Players!$A$1:$Y$1,0))*K$9+INDEX(Zawodnicy[],MATCH($A21,Players!$A$2:$A$35,0),MATCH($B$10,Players!$A$1:$Y$1,0))*K$10+INDEX(Zawodnicy[],MATCH($A21,Players!$A$2:$A$35,0),MATCH($B$11,Players!$A$1:$Y$1,0))*K$11+INDEX(Zawodnicy[],MATCH($A21,Players!$A$2:$A$35,0),MATCH($B$12,Players!$A$1:$Y$1,0))*K$12+INDEX(Zawodnicy[],MATCH($A21,Players!$A$2:$A$35,0),MATCH($B$13,Players!$A$1:$Y$1,0))*K$13,"-")</calculatedColumnFormula>
    </tableColumn>
  </tableColumns>
  <tableStyleInfo name="TableStyleLight16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4DA7513-29F6-4376-871F-D5F17ECD85E1}" name="AtrybutyMM" displayName="AtrybutyMM" ref="B1:W14" totalsRowShown="0">
  <autoFilter ref="B1:W14" xr:uid="{5A80CC65-E2FA-47AC-993E-C46540CDC2DF}"/>
  <tableColumns count="22">
    <tableColumn id="1" xr3:uid="{AFC17EEB-3C98-42A8-AB71-F97E0E47FDD7}" name="Attributes" dataDxfId="154"/>
    <tableColumn id="2" xr3:uid="{831C9468-AA78-4D79-855E-F1DA94FA3923}" name="BR"/>
    <tableColumn id="3" xr3:uid="{1C9BF0F2-0EE5-4782-8B1B-DC3771EC3767}" name="SO"/>
    <tableColumn id="4" xr3:uid="{62473EF8-1998-4A76-AF25-5693298E33F1}" name="BO"/>
    <tableColumn id="5" xr3:uid="{5C73CD7B-69DE-4499-A3A8-4DFC154183C8}" name="DP"/>
    <tableColumn id="6" xr3:uid="{F4762A29-AAC4-42CE-907E-332BB780C319}" name="SP"/>
    <tableColumn id="7" xr3:uid="{3D3A8880-8E6B-4094-B9AD-0C9B4E6E17CA}" name="BP"/>
    <tableColumn id="8" xr3:uid="{7415F4D8-A58C-41C3-B218-28B03B22D8B8}" name="OP"/>
    <tableColumn id="9" xr3:uid="{7EA57A32-B26C-4C8C-9427-CDE20E03BF55}" name="BOP"/>
    <tableColumn id="10" xr3:uid="{7392282F-2E41-47D8-A617-ECEAFE9D249D}" name="ST"/>
    <tableColumn id="11" xr3:uid="{C587A972-7B8C-405F-B1D3-11499241FAD9}" name="SUMA" dataDxfId="153">
      <calculatedColumnFormula>SUM(AtrybutyMM[[#This Row],[BR]:[ST]])</calculatedColumnFormula>
    </tableColumn>
    <tableColumn id="12" xr3:uid="{5BF390AD-4A58-4A4C-90CB-FF83F5598DD7}" name="ŚR" dataDxfId="152">
      <calculatedColumnFormula>AtrybutyMM[[#This Row],[SUMA]]/COLUMNS(AtrybutyMM[[#Headers],[BR]:[ST]])</calculatedColumnFormula>
    </tableColumn>
    <tableColumn id="21" xr3:uid="{EF5E3A81-20B7-47B0-BD6C-9731768885AA}" name="Tarcza" dataDxfId="151">
      <calculatedColumnFormula>AtrybutyMM[[#This Row],[BR]]</calculatedColumnFormula>
    </tableColumn>
    <tableColumn id="20" xr3:uid="{96B0E639-EBCB-448E-823D-5A7796A14F18}" name="Motor" dataDxfId="150">
      <calculatedColumnFormula>SUM(AtrybutyMM[[#This Row],[SO]:[ST]])</calculatedColumnFormula>
    </tableColumn>
    <tableColumn id="23" xr3:uid="{2CED5C42-062F-4249-9C42-AAE670973390}" name="Skała" dataDxfId="149">
      <calculatedColumnFormula>AVERAGE(AtrybutyMM[[#This Row],[SO]],AtrybutyMM[[#This Row],[DP]])</calculatedColumnFormula>
    </tableColumn>
    <tableColumn id="13" xr3:uid="{76AAB6EE-BB83-44A0-B036-3CABCCAEF705}" name="Przechwyt" dataDxfId="148">
      <calculatedColumnFormula>SUM(AtrybutyMM[[#This Row],[SO]]: AtrybutyMM[[#This Row],[DP]:[SP]])</calculatedColumnFormula>
    </tableColumn>
    <tableColumn id="14" xr3:uid="{2D13D4ED-66AE-424C-A87F-010DEA26716D}" name="Kreator" dataDxfId="147">
      <calculatedColumnFormula>AtrybutyMM[[#This Row],[SP]]+AtrybutyMM[[#This Row],[OP]]</calculatedColumnFormula>
    </tableColumn>
    <tableColumn id="15" xr3:uid="{D01C01AB-7EC0-413D-8F56-B39DE556847F}" name="Skrzydło" dataDxfId="146">
      <calculatedColumnFormula>AtrybutyMM[[#This Row],[BP]]+AtrybutyMM[[#This Row],[BOP]]</calculatedColumnFormula>
    </tableColumn>
    <tableColumn id="16" xr3:uid="{A5F31B8D-5D31-4449-9276-293AF3EC7904}" name="Strażnik" dataDxfId="145">
      <calculatedColumnFormula>AtrybutyMM[[#This Row],[SO]]+AtrybutyMM[[#This Row],[DP]]+AtrybutyMM[[#This Row],[SP]]</calculatedColumnFormula>
    </tableColumn>
    <tableColumn id="17" xr3:uid="{533FC13D-D2EE-41B9-B50A-3AEE63942B85}" name="B2B" dataDxfId="144">
      <calculatedColumnFormula>AtrybutyMM[[#This Row],[DP]]+AtrybutyMM[[#This Row],[SP]]+AtrybutyMM[[#This Row],[BO]]</calculatedColumnFormula>
    </tableColumn>
    <tableColumn id="18" xr3:uid="{7D8DBDD5-721A-4FAA-A63F-918A9186F8AB}" name="#9" dataDxfId="143">
      <calculatedColumnFormula>AtrybutyMM[[#This Row],[ST]]</calculatedColumnFormula>
    </tableColumn>
    <tableColumn id="19" xr3:uid="{440E378A-8EDA-46BC-B6ED-B2030293EE42}" name="Snajper" dataDxfId="142">
      <calculatedColumnFormula>AtrybutyMM[[#This Row],[ST]]+AtrybutyMM[[#This Row],[OP]]</calculatedColumnFormula>
    </tableColumn>
  </tableColumns>
  <tableStyleInfo name="TableStyleLight16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AE34508E-015D-48D0-900C-ADFC7DB72ED2}" name="PozJunNMM" displayName="PozJunNMM" ref="A42:K63" totalsRowShown="0" headerRowDxfId="141" tableBorderDxfId="140">
  <autoFilter ref="A42:K63" xr:uid="{63707AF7-ED65-4649-959E-240B031C0F32}"/>
  <tableColumns count="11">
    <tableColumn id="1" xr3:uid="{2CD447E7-AEDA-476A-8BBA-38E5132BCA77}" name="Numer">
      <calculatedColumnFormula>IFERROR(PozJunNŚr[[#This Row],[Numer]],"-")</calculatedColumnFormula>
    </tableColumn>
    <tableColumn id="2" xr3:uid="{7E319621-C913-49C1-B373-EE8B38924913}" name="Nazwa zawodnika" dataDxfId="139">
      <calculatedColumnFormula>IFERROR(VLOOKUP(PozJunNMM[[#This Row],[Numer]],Zawodnicy[[Number]:[Player name]],2,FALSE),"-")</calculatedColumnFormula>
    </tableColumn>
    <tableColumn id="3" xr3:uid="{9410E24E-E787-49B9-A168-8B56A7D43FA0}" name="BR" dataDxfId="138">
      <calculatedColumnFormula>IFERROR(INDEX(JuniorzyNegatyw[],MATCH($A43,Juniorstwo!$A$35:$A$54,0),MATCH($B$2,Juniorstwo!$A$34:$N$34,0))*C$2+INDEX(JuniorzyNegatyw[],MATCH($A43,Juniorstwo!$A$35:$A$54,0),MATCH($B$3,Juniorstwo!$A$34:$N$34,0))*C$3+INDEX(JuniorzyNegatyw[],MATCH($A43,Juniorstwo!$A$35:$A$54,0),MATCH($B$4,Juniorstwo!$A$34:$N$34,0))*C$4+INDEX(JuniorzyNegatyw[],MATCH($A43,Juniorstwo!$A$35:$A$54,0),MATCH($B$5,Juniorstwo!$A$34:$N$34,0))*C$5+INDEX(JuniorzyNegatyw[],MATCH($A43,Juniorstwo!$A$35:$A$54,0),MATCH($B$6,Juniorstwo!$A$34:$N$34,0))*C$6+INDEX(JuniorzyNegatyw[],MATCH($A43,Juniorstwo!$A$35:$A$54,0),MATCH($B$7,Juniorstwo!$A$34:$N$34,0))*C$7+INDEX(JuniorzyNegatyw[],MATCH($A43,Juniorstwo!$A$35:$A$54,0),MATCH($B$8,Juniorstwo!$A$34:$N$34,0))*C$8+INDEX(JuniorzyNegatyw[],MATCH($A43,Juniorstwo!$A$35:$A$54,0),MATCH($B$9,Juniorstwo!$A$34:$N$34,0))*C$9+INDEX(JuniorzyNegatyw[],MATCH($A43,Juniorstwo!$A$35:$A$54,0),MATCH($B$10,Juniorstwo!$A$34:$N$34,0))*C$10+INDEX(JuniorzyNegatyw[],MATCH($A43,Juniorstwo!$A$35:$A$54,0),MATCH($B$11,Juniorstwo!$A$34:$N$34,0))*C$11+INDEX(JuniorzyNegatyw[],MATCH($A43,Juniorstwo!$A$35:$A$54,0),MATCH($B$12,Juniorstwo!$A$34:$N$34,0))*C$12+INDEX(JuniorzyNegatyw[],MATCH($A43,Juniorstwo!$A$35:$A$54,0),MATCH($B$13,Juniorstwo!$A$34:$N$34,0))*C$13,"-")</calculatedColumnFormula>
    </tableColumn>
    <tableColumn id="4" xr3:uid="{C574379C-5F67-481C-AAAE-4F56A69A0072}" name="SO" dataDxfId="137">
      <calculatedColumnFormula>IFERROR(INDEX(JuniorzyNegatyw[],MATCH($A43,Juniorstwo!$A$35:$A$54,0),MATCH($B$2,Juniorstwo!$A$34:$N$34,0))*D$2+INDEX(JuniorzyNegatyw[],MATCH($A43,Juniorstwo!$A$35:$A$54,0),MATCH($B$3,Juniorstwo!$A$34:$N$34,0))*D$3+INDEX(JuniorzyNegatyw[],MATCH($A43,Juniorstwo!$A$35:$A$54,0),MATCH($B$4,Juniorstwo!$A$34:$N$34,0))*D$4+INDEX(JuniorzyNegatyw[],MATCH($A43,Juniorstwo!$A$35:$A$54,0),MATCH($B$5,Juniorstwo!$A$34:$N$34,0))*D$5+INDEX(JuniorzyNegatyw[],MATCH($A43,Juniorstwo!$A$35:$A$54,0),MATCH($B$6,Juniorstwo!$A$34:$N$34,0))*D$6+INDEX(JuniorzyNegatyw[],MATCH($A43,Juniorstwo!$A$35:$A$54,0),MATCH($B$7,Juniorstwo!$A$34:$N$34,0))*D$7+INDEX(JuniorzyNegatyw[],MATCH($A43,Juniorstwo!$A$35:$A$54,0),MATCH($B$8,Juniorstwo!$A$34:$N$34,0))*D$8+INDEX(JuniorzyNegatyw[],MATCH($A43,Juniorstwo!$A$35:$A$54,0),MATCH($B$9,Juniorstwo!$A$34:$N$34,0))*D$9+INDEX(JuniorzyNegatyw[],MATCH($A43,Juniorstwo!$A$35:$A$54,0),MATCH($B$10,Juniorstwo!$A$34:$N$34,0))*D$10+INDEX(JuniorzyNegatyw[],MATCH($A43,Juniorstwo!$A$35:$A$54,0),MATCH($B$11,Juniorstwo!$A$34:$N$34,0))*D$11+INDEX(JuniorzyNegatyw[],MATCH($A43,Juniorstwo!$A$35:$A$54,0),MATCH($B$12,Juniorstwo!$A$34:$N$34,0))*D$12+INDEX(JuniorzyNegatyw[],MATCH($A43,Juniorstwo!$A$35:$A$54,0),MATCH($B$13,Juniorstwo!$A$34:$N$34,0))*D$13,"-")</calculatedColumnFormula>
    </tableColumn>
    <tableColumn id="5" xr3:uid="{FD83C6D7-ECBE-438B-8ECF-3DA241EC46BE}" name="BO" dataDxfId="136">
      <calculatedColumnFormula>IFERROR(INDEX(JuniorzyNegatyw[],MATCH($A43,Juniorstwo!$A$35:$A$54,0),MATCH($B$2,Juniorstwo!$A$34:$N$34,0))*E$2+INDEX(JuniorzyNegatyw[],MATCH($A43,Juniorstwo!$A$35:$A$54,0),MATCH($B$3,Juniorstwo!$A$34:$N$34,0))*E$3+INDEX(JuniorzyNegatyw[],MATCH($A43,Juniorstwo!$A$35:$A$54,0),MATCH($B$4,Juniorstwo!$A$34:$N$34,0))*E$4+INDEX(JuniorzyNegatyw[],MATCH($A43,Juniorstwo!$A$35:$A$54,0),MATCH($B$5,Juniorstwo!$A$34:$N$34,0))*E$5+INDEX(JuniorzyNegatyw[],MATCH($A43,Juniorstwo!$A$35:$A$54,0),MATCH($B$6,Juniorstwo!$A$34:$N$34,0))*E$6+INDEX(JuniorzyNegatyw[],MATCH($A43,Juniorstwo!$A$35:$A$54,0),MATCH($B$7,Juniorstwo!$A$34:$N$34,0))*E$7+INDEX(JuniorzyNegatyw[],MATCH($A43,Juniorstwo!$A$35:$A$54,0),MATCH($B$8,Juniorstwo!$A$34:$N$34,0))*E$8+INDEX(JuniorzyNegatyw[],MATCH($A43,Juniorstwo!$A$35:$A$54,0),MATCH($B$9,Juniorstwo!$A$34:$N$34,0))*E$9+INDEX(JuniorzyNegatyw[],MATCH($A43,Juniorstwo!$A$35:$A$54,0),MATCH($B$10,Juniorstwo!$A$34:$N$34,0))*E$10+INDEX(JuniorzyNegatyw[],MATCH($A43,Juniorstwo!$A$35:$A$54,0),MATCH($B$11,Juniorstwo!$A$34:$N$34,0))*E$11+INDEX(JuniorzyNegatyw[],MATCH($A43,Juniorstwo!$A$35:$A$54,0),MATCH($B$12,Juniorstwo!$A$34:$N$34,0))*E$12+INDEX(JuniorzyNegatyw[],MATCH($A43,Juniorstwo!$A$35:$A$54,0),MATCH($B$13,Juniorstwo!$A$34:$N$34,0))*E$13,"-")</calculatedColumnFormula>
    </tableColumn>
    <tableColumn id="6" xr3:uid="{DDAFAA71-5EA8-43A8-AAAA-1316EC9ABCC5}" name="DP" dataDxfId="135">
      <calculatedColumnFormula>IFERROR(INDEX(JuniorzyNegatyw[],MATCH($A43,Juniorstwo!$A$35:$A$54,0),MATCH($B$2,Juniorstwo!$A$34:$N$34,0))*F$2+INDEX(JuniorzyNegatyw[],MATCH($A43,Juniorstwo!$A$35:$A$54,0),MATCH($B$3,Juniorstwo!$A$34:$N$34,0))*F$3+INDEX(JuniorzyNegatyw[],MATCH($A43,Juniorstwo!$A$35:$A$54,0),MATCH($B$4,Juniorstwo!$A$34:$N$34,0))*F$4+INDEX(JuniorzyNegatyw[],MATCH($A43,Juniorstwo!$A$35:$A$54,0),MATCH($B$5,Juniorstwo!$A$34:$N$34,0))*F$5+INDEX(JuniorzyNegatyw[],MATCH($A43,Juniorstwo!$A$35:$A$54,0),MATCH($B$6,Juniorstwo!$A$34:$N$34,0))*F$6+INDEX(JuniorzyNegatyw[],MATCH($A43,Juniorstwo!$A$35:$A$54,0),MATCH($B$7,Juniorstwo!$A$34:$N$34,0))*F$7+INDEX(JuniorzyNegatyw[],MATCH($A43,Juniorstwo!$A$35:$A$54,0),MATCH($B$8,Juniorstwo!$A$34:$N$34,0))*F$8+INDEX(JuniorzyNegatyw[],MATCH($A43,Juniorstwo!$A$35:$A$54,0),MATCH($B$9,Juniorstwo!$A$34:$N$34,0))*F$9+INDEX(JuniorzyNegatyw[],MATCH($A43,Juniorstwo!$A$35:$A$54,0),MATCH($B$10,Juniorstwo!$A$34:$N$34,0))*F$10+INDEX(JuniorzyNegatyw[],MATCH($A43,Juniorstwo!$A$35:$A$54,0),MATCH($B$11,Juniorstwo!$A$34:$N$34,0))*F$11+INDEX(JuniorzyNegatyw[],MATCH($A43,Juniorstwo!$A$35:$A$54,0),MATCH($B$12,Juniorstwo!$A$34:$N$34,0))*F$12+INDEX(JuniorzyNegatyw[],MATCH($A43,Juniorstwo!$A$35:$A$54,0),MATCH($B$13,Juniorstwo!$A$34:$N$34,0))*F$13,"-")</calculatedColumnFormula>
    </tableColumn>
    <tableColumn id="7" xr3:uid="{CE4E9930-841F-4FAB-907E-77CABDC747D6}" name="SP" dataDxfId="134">
      <calculatedColumnFormula>IFERROR(INDEX(JuniorzyNegatyw[],MATCH($A43,Juniorstwo!$A$35:$A$54,0),MATCH($B$2,Juniorstwo!$A$34:$N$34,0))*G$2+INDEX(JuniorzyNegatyw[],MATCH($A43,Juniorstwo!$A$35:$A$54,0),MATCH($B$3,Juniorstwo!$A$34:$N$34,0))*G$3+INDEX(JuniorzyNegatyw[],MATCH($A43,Juniorstwo!$A$35:$A$54,0),MATCH($B$4,Juniorstwo!$A$34:$N$34,0))*G$4+INDEX(JuniorzyNegatyw[],MATCH($A43,Juniorstwo!$A$35:$A$54,0),MATCH($B$5,Juniorstwo!$A$34:$N$34,0))*G$5+INDEX(JuniorzyNegatyw[],MATCH($A43,Juniorstwo!$A$35:$A$54,0),MATCH($B$6,Juniorstwo!$A$34:$N$34,0))*G$6+INDEX(JuniorzyNegatyw[],MATCH($A43,Juniorstwo!$A$35:$A$54,0),MATCH($B$7,Juniorstwo!$A$34:$N$34,0))*G$7+INDEX(JuniorzyNegatyw[],MATCH($A43,Juniorstwo!$A$35:$A$54,0),MATCH($B$8,Juniorstwo!$A$34:$N$34,0))*G$8+INDEX(JuniorzyNegatyw[],MATCH($A43,Juniorstwo!$A$35:$A$54,0),MATCH($B$9,Juniorstwo!$A$34:$N$34,0))*G$9+INDEX(JuniorzyNegatyw[],MATCH($A43,Juniorstwo!$A$35:$A$54,0),MATCH($B$10,Juniorstwo!$A$34:$N$34,0))*G$10+INDEX(JuniorzyNegatyw[],MATCH($A43,Juniorstwo!$A$35:$A$54,0),MATCH($B$11,Juniorstwo!$A$34:$N$34,0))*G$11+INDEX(JuniorzyNegatyw[],MATCH($A43,Juniorstwo!$A$35:$A$54,0),MATCH($B$12,Juniorstwo!$A$34:$N$34,0))*G$12+INDEX(JuniorzyNegatyw[],MATCH($A43,Juniorstwo!$A$35:$A$54,0),MATCH($B$13,Juniorstwo!$A$34:$N$34,0))*G$13,"-")</calculatedColumnFormula>
    </tableColumn>
    <tableColumn id="8" xr3:uid="{1533F2F0-0958-4D2E-AA87-50FA1B8958AE}" name="BP" dataDxfId="133">
      <calculatedColumnFormula>IFERROR(INDEX(JuniorzyNegatyw[],MATCH($A43,Juniorstwo!$A$35:$A$54,0),MATCH($B$2,Juniorstwo!$A$34:$N$34,0))*H$2+INDEX(JuniorzyNegatyw[],MATCH($A43,Juniorstwo!$A$35:$A$54,0),MATCH($B$3,Juniorstwo!$A$34:$N$34,0))*H$3+INDEX(JuniorzyNegatyw[],MATCH($A43,Juniorstwo!$A$35:$A$54,0),MATCH($B$4,Juniorstwo!$A$34:$N$34,0))*H$4+INDEX(JuniorzyNegatyw[],MATCH($A43,Juniorstwo!$A$35:$A$54,0),MATCH($B$5,Juniorstwo!$A$34:$N$34,0))*H$5+INDEX(JuniorzyNegatyw[],MATCH($A43,Juniorstwo!$A$35:$A$54,0),MATCH($B$6,Juniorstwo!$A$34:$N$34,0))*H$6+INDEX(JuniorzyNegatyw[],MATCH($A43,Juniorstwo!$A$35:$A$54,0),MATCH($B$7,Juniorstwo!$A$34:$N$34,0))*H$7+INDEX(JuniorzyNegatyw[],MATCH($A43,Juniorstwo!$A$35:$A$54,0),MATCH($B$8,Juniorstwo!$A$34:$N$34,0))*H$8+INDEX(JuniorzyNegatyw[],MATCH($A43,Juniorstwo!$A$35:$A$54,0),MATCH($B$9,Juniorstwo!$A$34:$N$34,0))*H$9+INDEX(JuniorzyNegatyw[],MATCH($A43,Juniorstwo!$A$35:$A$54,0),MATCH($B$10,Juniorstwo!$A$34:$N$34,0))*H$10+INDEX(JuniorzyNegatyw[],MATCH($A43,Juniorstwo!$A$35:$A$54,0),MATCH($B$11,Juniorstwo!$A$34:$N$34,0))*H$11+INDEX(JuniorzyNegatyw[],MATCH($A43,Juniorstwo!$A$35:$A$54,0),MATCH($B$12,Juniorstwo!$A$34:$N$34,0))*H$12+INDEX(JuniorzyNegatyw[],MATCH($A43,Juniorstwo!$A$35:$A$54,0),MATCH($B$13,Juniorstwo!$A$34:$N$34,0))*H$13,"-")</calculatedColumnFormula>
    </tableColumn>
    <tableColumn id="9" xr3:uid="{86418373-5126-48AA-AA2E-3CCF96273C96}" name="OP" dataDxfId="132">
      <calculatedColumnFormula>IFERROR(INDEX(JuniorzyNegatyw[],MATCH($A43,Juniorstwo!$A$35:$A$54,0),MATCH($B$2,Juniorstwo!$A$34:$N$34,0))*I$2+INDEX(JuniorzyNegatyw[],MATCH($A43,Juniorstwo!$A$35:$A$54,0),MATCH($B$3,Juniorstwo!$A$34:$N$34,0))*I$3+INDEX(JuniorzyNegatyw[],MATCH($A43,Juniorstwo!$A$35:$A$54,0),MATCH($B$4,Juniorstwo!$A$34:$N$34,0))*I$4+INDEX(JuniorzyNegatyw[],MATCH($A43,Juniorstwo!$A$35:$A$54,0),MATCH($B$5,Juniorstwo!$A$34:$N$34,0))*I$5+INDEX(JuniorzyNegatyw[],MATCH($A43,Juniorstwo!$A$35:$A$54,0),MATCH($B$6,Juniorstwo!$A$34:$N$34,0))*I$6+INDEX(JuniorzyNegatyw[],MATCH($A43,Juniorstwo!$A$35:$A$54,0),MATCH($B$7,Juniorstwo!$A$34:$N$34,0))*I$7+INDEX(JuniorzyNegatyw[],MATCH($A43,Juniorstwo!$A$35:$A$54,0),MATCH($B$8,Juniorstwo!$A$34:$N$34,0))*I$8+INDEX(JuniorzyNegatyw[],MATCH($A43,Juniorstwo!$A$35:$A$54,0),MATCH($B$9,Juniorstwo!$A$34:$N$34,0))*I$9+INDEX(JuniorzyNegatyw[],MATCH($A43,Juniorstwo!$A$35:$A$54,0),MATCH($B$10,Juniorstwo!$A$34:$N$34,0))*I$10+INDEX(JuniorzyNegatyw[],MATCH($A43,Juniorstwo!$A$35:$A$54,0),MATCH($B$11,Juniorstwo!$A$34:$N$34,0))*I$11+INDEX(JuniorzyNegatyw[],MATCH($A43,Juniorstwo!$A$35:$A$54,0),MATCH($B$12,Juniorstwo!$A$34:$N$34,0))*I$12+INDEX(JuniorzyNegatyw[],MATCH($A43,Juniorstwo!$A$35:$A$54,0),MATCH($B$13,Juniorstwo!$A$34:$N$34,0))*I$13,"-")</calculatedColumnFormula>
    </tableColumn>
    <tableColumn id="10" xr3:uid="{6EE4AAC6-2335-492A-95D1-291C4268CD70}" name="BOP" dataDxfId="131">
      <calculatedColumnFormula>IFERROR(INDEX(JuniorzyNegatyw[],MATCH($A43,Juniorstwo!$A$35:$A$54,0),MATCH($B$2,Juniorstwo!$A$34:$N$34,0))*J$2+INDEX(JuniorzyNegatyw[],MATCH($A43,Juniorstwo!$A$35:$A$54,0),MATCH($B$3,Juniorstwo!$A$34:$N$34,0))*J$3+INDEX(JuniorzyNegatyw[],MATCH($A43,Juniorstwo!$A$35:$A$54,0),MATCH($B$4,Juniorstwo!$A$34:$N$34,0))*J$4+INDEX(JuniorzyNegatyw[],MATCH($A43,Juniorstwo!$A$35:$A$54,0),MATCH($B$5,Juniorstwo!$A$34:$N$34,0))*J$5+INDEX(JuniorzyNegatyw[],MATCH($A43,Juniorstwo!$A$35:$A$54,0),MATCH($B$6,Juniorstwo!$A$34:$N$34,0))*J$6+INDEX(JuniorzyNegatyw[],MATCH($A43,Juniorstwo!$A$35:$A$54,0),MATCH($B$7,Juniorstwo!$A$34:$N$34,0))*J$7+INDEX(JuniorzyNegatyw[],MATCH($A43,Juniorstwo!$A$35:$A$54,0),MATCH($B$8,Juniorstwo!$A$34:$N$34,0))*J$8+INDEX(JuniorzyNegatyw[],MATCH($A43,Juniorstwo!$A$35:$A$54,0),MATCH($B$9,Juniorstwo!$A$34:$N$34,0))*J$9+INDEX(JuniorzyNegatyw[],MATCH($A43,Juniorstwo!$A$35:$A$54,0),MATCH($B$10,Juniorstwo!$A$34:$N$34,0))*J$10+INDEX(JuniorzyNegatyw[],MATCH($A43,Juniorstwo!$A$35:$A$54,0),MATCH($B$11,Juniorstwo!$A$34:$N$34,0))*J$11+INDEX(JuniorzyNegatyw[],MATCH($A43,Juniorstwo!$A$35:$A$54,0),MATCH($B$12,Juniorstwo!$A$34:$N$34,0))*J$12+INDEX(JuniorzyNegatyw[],MATCH($A43,Juniorstwo!$A$35:$A$54,0),MATCH($B$13,Juniorstwo!$A$34:$N$34,0))*J$13,"-")</calculatedColumnFormula>
    </tableColumn>
    <tableColumn id="11" xr3:uid="{E16E7B4A-3AAC-47F8-B449-643471C5E613}" name="ST" dataDxfId="130">
      <calculatedColumnFormula>IFERROR(INDEX(JuniorzyNegatyw[],MATCH($A43,Juniorstwo!$A$35:$A$54,0),MATCH($B$2,Juniorstwo!$A$34:$N$34,0))*K$2+INDEX(JuniorzyNegatyw[],MATCH($A43,Juniorstwo!$A$35:$A$54,0),MATCH($B$3,Juniorstwo!$A$34:$N$34,0))*K$3+INDEX(JuniorzyNegatyw[],MATCH($A43,Juniorstwo!$A$35:$A$54,0),MATCH($B$4,Juniorstwo!$A$34:$N$34,0))*K$4+INDEX(JuniorzyNegatyw[],MATCH($A43,Juniorstwo!$A$35:$A$54,0),MATCH($B$5,Juniorstwo!$A$34:$N$34,0))*K$5+INDEX(JuniorzyNegatyw[],MATCH($A43,Juniorstwo!$A$35:$A$54,0),MATCH($B$6,Juniorstwo!$A$34:$N$34,0))*K$6+INDEX(JuniorzyNegatyw[],MATCH($A43,Juniorstwo!$A$35:$A$54,0),MATCH($B$7,Juniorstwo!$A$34:$N$34,0))*K$7+INDEX(JuniorzyNegatyw[],MATCH($A43,Juniorstwo!$A$35:$A$54,0),MATCH($B$8,Juniorstwo!$A$34:$N$34,0))*K$8+INDEX(JuniorzyNegatyw[],MATCH($A43,Juniorstwo!$A$35:$A$54,0),MATCH($B$9,Juniorstwo!$A$34:$N$34,0))*K$9+INDEX(JuniorzyNegatyw[],MATCH($A43,Juniorstwo!$A$35:$A$54,0),MATCH($B$10,Juniorstwo!$A$34:$N$34,0))*K$10+INDEX(JuniorzyNegatyw[],MATCH($A43,Juniorstwo!$A$35:$A$54,0),MATCH($B$11,Juniorstwo!$A$34:$N$34,0))*K$11+INDEX(JuniorzyNegatyw[],MATCH($A43,Juniorstwo!$A$35:$A$54,0),MATCH($B$12,Juniorstwo!$A$34:$N$34,0))*K$12+INDEX(JuniorzyNegatyw[],MATCH($A43,Juniorstwo!$A$35:$A$54,0),MATCH($B$13,Juniorstwo!$A$34:$N$34,0))*K$13,"-")</calculatedColumnFormula>
    </tableColumn>
  </tableColumns>
  <tableStyleInfo name="TableStyleLight1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1B6C06EC-D05F-4013-A6FF-4EB3A76F9C2B}" name="PozJunPMM" displayName="PozJunPMM" ref="A66:K87" totalsRowShown="0" headerRowDxfId="129">
  <autoFilter ref="A66:K87" xr:uid="{6BB4951D-590E-43D3-A98F-CE9763BB3F63}"/>
  <tableColumns count="11">
    <tableColumn id="1" xr3:uid="{5B663579-F583-4866-8D7E-6703EE8DC678}" name="Numer">
      <calculatedColumnFormula>IFERROR(PozJunPŚr[[#This Row],[Numer]],"-")</calculatedColumnFormula>
    </tableColumn>
    <tableColumn id="2" xr3:uid="{05DE1B3B-EF95-4BF3-9A56-524507454ED2}" name="Nazwa zawodnika" dataDxfId="128">
      <calculatedColumnFormula>IFERROR(VLOOKUP(PozJunPMM[[#This Row],[Numer]],Zawodnicy[[Number]:[Player name]],2,FALSE),"-")</calculatedColumnFormula>
    </tableColumn>
    <tableColumn id="3" xr3:uid="{CEBB0346-4905-497B-B2FA-60C04296A0E3}" name="BR" dataDxfId="127">
      <calculatedColumnFormula>IFERROR(INDEX(JuniorzyPozytyw[],MATCH($A67,Juniorstwo!$A$57:$A$76,0),MATCH($B$2,Juniorstwo!$A$56:$N$56,0))*C$2+INDEX(JuniorzyPozytyw[],MATCH($A67,Juniorstwo!$A$57:$A$76,0),MATCH($B$3,Juniorstwo!$A$56:$N$56,0))*C$3+INDEX(JuniorzyPozytyw[],MATCH($A67,Juniorstwo!$A$57:$A$76,0),MATCH($B$4,Juniorstwo!$A$56:$N$56,0))*C$4+INDEX(JuniorzyPozytyw[],MATCH($A67,Juniorstwo!$A$57:$A$76,0),MATCH($B$5,Juniorstwo!$A$56:$N$56,0))*C$5+INDEX(JuniorzyPozytyw[],MATCH($A67,Juniorstwo!$A$57:$A$76,0),MATCH($B$6,Juniorstwo!$A$56:$N$56,0))*C$6+INDEX(JuniorzyPozytyw[],MATCH($A67,Juniorstwo!$A$57:$A$76,0),MATCH($B$7,Juniorstwo!$A$56:$N$56,0))*C$7+INDEX(JuniorzyPozytyw[],MATCH($A67,Juniorstwo!$A$57:$A$76,0),MATCH($B$8,Juniorstwo!$A$56:$N$56,0))*C$8+INDEX(JuniorzyPozytyw[],MATCH($A67,Juniorstwo!$A$57:$A$76,0),MATCH($B$9,Juniorstwo!$A$56:$N$56,0))*C$9+INDEX(JuniorzyPozytyw[],MATCH($A67,Juniorstwo!$A$57:$A$76,0),MATCH($B$10,Juniorstwo!$A$56:$N$56,0))*C$10+INDEX(JuniorzyPozytyw[],MATCH($A67,Juniorstwo!$A$57:$A$76,0),MATCH($B$11,Juniorstwo!$A$56:$N$56,0))*C$11+INDEX(JuniorzyPozytyw[],MATCH($A67,Juniorstwo!$A$57:$A$76,0),MATCH($B$12,Juniorstwo!$A$56:$N$56,0))*C$12+INDEX(JuniorzyPozytyw[],MATCH($A67,Juniorstwo!$A$57:$A$76,0),MATCH($B$13,Juniorstwo!$A$56:$N$56,0))*C$13,"-")</calculatedColumnFormula>
    </tableColumn>
    <tableColumn id="4" xr3:uid="{97408259-94D8-4AD2-BAF0-9CBAFDE20B9E}" name="SO" dataDxfId="126">
      <calculatedColumnFormula>IFERROR(INDEX(JuniorzyPozytyw[],MATCH($A67,Juniorstwo!$A$57:$A$76,0),MATCH($B$2,Juniorstwo!$A$56:$N$56,0))*D$2+INDEX(JuniorzyPozytyw[],MATCH($A67,Juniorstwo!$A$57:$A$76,0),MATCH($B$3,Juniorstwo!$A$56:$N$56,0))*D$3+INDEX(JuniorzyPozytyw[],MATCH($A67,Juniorstwo!$A$57:$A$76,0),MATCH($B$4,Juniorstwo!$A$56:$N$56,0))*D$4+INDEX(JuniorzyPozytyw[],MATCH($A67,Juniorstwo!$A$57:$A$76,0),MATCH($B$5,Juniorstwo!$A$56:$N$56,0))*D$5+INDEX(JuniorzyPozytyw[],MATCH($A67,Juniorstwo!$A$57:$A$76,0),MATCH($B$6,Juniorstwo!$A$56:$N$56,0))*D$6+INDEX(JuniorzyPozytyw[],MATCH($A67,Juniorstwo!$A$57:$A$76,0),MATCH($B$7,Juniorstwo!$A$56:$N$56,0))*D$7+INDEX(JuniorzyPozytyw[],MATCH($A67,Juniorstwo!$A$57:$A$76,0),MATCH($B$8,Juniorstwo!$A$56:$N$56,0))*D$8+INDEX(JuniorzyPozytyw[],MATCH($A67,Juniorstwo!$A$57:$A$76,0),MATCH($B$9,Juniorstwo!$A$56:$N$56,0))*D$9+INDEX(JuniorzyPozytyw[],MATCH($A67,Juniorstwo!$A$57:$A$76,0),MATCH($B$10,Juniorstwo!$A$56:$N$56,0))*D$10+INDEX(JuniorzyPozytyw[],MATCH($A67,Juniorstwo!$A$57:$A$76,0),MATCH($B$11,Juniorstwo!$A$56:$N$56,0))*D$11+INDEX(JuniorzyPozytyw[],MATCH($A67,Juniorstwo!$A$57:$A$76,0),MATCH($B$12,Juniorstwo!$A$56:$N$56,0))*D$12+INDEX(JuniorzyPozytyw[],MATCH($A67,Juniorstwo!$A$57:$A$76,0),MATCH($B$13,Juniorstwo!$A$56:$N$56,0))*D$13,"-")</calculatedColumnFormula>
    </tableColumn>
    <tableColumn id="5" xr3:uid="{1F15F28B-BA77-48C4-9F8A-2444E5157D46}" name="BO" dataDxfId="125">
      <calculatedColumnFormula>IFERROR(INDEX(JuniorzyPozytyw[],MATCH($A67,Juniorstwo!$A$57:$A$76,0),MATCH($B$2,Juniorstwo!$A$56:$N$56,0))*E$2+INDEX(JuniorzyPozytyw[],MATCH($A67,Juniorstwo!$A$57:$A$76,0),MATCH($B$3,Juniorstwo!$A$56:$N$56,0))*E$3+INDEX(JuniorzyPozytyw[],MATCH($A67,Juniorstwo!$A$57:$A$76,0),MATCH($B$4,Juniorstwo!$A$56:$N$56,0))*E$4+INDEX(JuniorzyPozytyw[],MATCH($A67,Juniorstwo!$A$57:$A$76,0),MATCH($B$5,Juniorstwo!$A$56:$N$56,0))*E$5+INDEX(JuniorzyPozytyw[],MATCH($A67,Juniorstwo!$A$57:$A$76,0),MATCH($B$6,Juniorstwo!$A$56:$N$56,0))*E$6+INDEX(JuniorzyPozytyw[],MATCH($A67,Juniorstwo!$A$57:$A$76,0),MATCH($B$7,Juniorstwo!$A$56:$N$56,0))*E$7+INDEX(JuniorzyPozytyw[],MATCH($A67,Juniorstwo!$A$57:$A$76,0),MATCH($B$8,Juniorstwo!$A$56:$N$56,0))*E$8+INDEX(JuniorzyPozytyw[],MATCH($A67,Juniorstwo!$A$57:$A$76,0),MATCH($B$9,Juniorstwo!$A$56:$N$56,0))*E$9+INDEX(JuniorzyPozytyw[],MATCH($A67,Juniorstwo!$A$57:$A$76,0),MATCH($B$10,Juniorstwo!$A$56:$N$56,0))*E$10+INDEX(JuniorzyPozytyw[],MATCH($A67,Juniorstwo!$A$57:$A$76,0),MATCH($B$11,Juniorstwo!$A$56:$N$56,0))*E$11+INDEX(JuniorzyPozytyw[],MATCH($A67,Juniorstwo!$A$57:$A$76,0),MATCH($B$12,Juniorstwo!$A$56:$N$56,0))*E$12+INDEX(JuniorzyPozytyw[],MATCH($A67,Juniorstwo!$A$57:$A$76,0),MATCH($B$13,Juniorstwo!$A$56:$N$56,0))*E$13,"-")</calculatedColumnFormula>
    </tableColumn>
    <tableColumn id="6" xr3:uid="{1AC9A774-E884-412B-9E32-4B7D4F432ED6}" name="DP" dataDxfId="124">
      <calculatedColumnFormula>IFERROR(INDEX(JuniorzyPozytyw[],MATCH($A67,Juniorstwo!$A$57:$A$76,0),MATCH($B$2,Juniorstwo!$A$56:$N$56,0))*F$2+INDEX(JuniorzyPozytyw[],MATCH($A67,Juniorstwo!$A$57:$A$76,0),MATCH($B$3,Juniorstwo!$A$56:$N$56,0))*F$3+INDEX(JuniorzyPozytyw[],MATCH($A67,Juniorstwo!$A$57:$A$76,0),MATCH($B$4,Juniorstwo!$A$56:$N$56,0))*F$4+INDEX(JuniorzyPozytyw[],MATCH($A67,Juniorstwo!$A$57:$A$76,0),MATCH($B$5,Juniorstwo!$A$56:$N$56,0))*F$5+INDEX(JuniorzyPozytyw[],MATCH($A67,Juniorstwo!$A$57:$A$76,0),MATCH($B$6,Juniorstwo!$A$56:$N$56,0))*F$6+INDEX(JuniorzyPozytyw[],MATCH($A67,Juniorstwo!$A$57:$A$76,0),MATCH($B$7,Juniorstwo!$A$56:$N$56,0))*F$7+INDEX(JuniorzyPozytyw[],MATCH($A67,Juniorstwo!$A$57:$A$76,0),MATCH($B$8,Juniorstwo!$A$56:$N$56,0))*F$8+INDEX(JuniorzyPozytyw[],MATCH($A67,Juniorstwo!$A$57:$A$76,0),MATCH($B$9,Juniorstwo!$A$56:$N$56,0))*F$9+INDEX(JuniorzyPozytyw[],MATCH($A67,Juniorstwo!$A$57:$A$76,0),MATCH($B$10,Juniorstwo!$A$56:$N$56,0))*F$10+INDEX(JuniorzyPozytyw[],MATCH($A67,Juniorstwo!$A$57:$A$76,0),MATCH($B$11,Juniorstwo!$A$56:$N$56,0))*F$11+INDEX(JuniorzyPozytyw[],MATCH($A67,Juniorstwo!$A$57:$A$76,0),MATCH($B$12,Juniorstwo!$A$56:$N$56,0))*F$12+INDEX(JuniorzyPozytyw[],MATCH($A67,Juniorstwo!$A$57:$A$76,0),MATCH($B$13,Juniorstwo!$A$56:$N$56,0))*F$13,"-")</calculatedColumnFormula>
    </tableColumn>
    <tableColumn id="7" xr3:uid="{55298EF7-47FA-41FB-A369-F0D9DA57FDED}" name="SP" dataDxfId="123">
      <calculatedColumnFormula>IFERROR(INDEX(JuniorzyPozytyw[],MATCH($A67,Juniorstwo!$A$57:$A$76,0),MATCH($B$2,Juniorstwo!$A$56:$N$56,0))*G$2+INDEX(JuniorzyPozytyw[],MATCH($A67,Juniorstwo!$A$57:$A$76,0),MATCH($B$3,Juniorstwo!$A$56:$N$56,0))*G$3+INDEX(JuniorzyPozytyw[],MATCH($A67,Juniorstwo!$A$57:$A$76,0),MATCH($B$4,Juniorstwo!$A$56:$N$56,0))*G$4+INDEX(JuniorzyPozytyw[],MATCH($A67,Juniorstwo!$A$57:$A$76,0),MATCH($B$5,Juniorstwo!$A$56:$N$56,0))*G$5+INDEX(JuniorzyPozytyw[],MATCH($A67,Juniorstwo!$A$57:$A$76,0),MATCH($B$6,Juniorstwo!$A$56:$N$56,0))*G$6+INDEX(JuniorzyPozytyw[],MATCH($A67,Juniorstwo!$A$57:$A$76,0),MATCH($B$7,Juniorstwo!$A$56:$N$56,0))*G$7+INDEX(JuniorzyPozytyw[],MATCH($A67,Juniorstwo!$A$57:$A$76,0),MATCH($B$8,Juniorstwo!$A$56:$N$56,0))*G$8+INDEX(JuniorzyPozytyw[],MATCH($A67,Juniorstwo!$A$57:$A$76,0),MATCH($B$9,Juniorstwo!$A$56:$N$56,0))*G$9+INDEX(JuniorzyPozytyw[],MATCH($A67,Juniorstwo!$A$57:$A$76,0),MATCH($B$10,Juniorstwo!$A$56:$N$56,0))*G$10+INDEX(JuniorzyPozytyw[],MATCH($A67,Juniorstwo!$A$57:$A$76,0),MATCH($B$11,Juniorstwo!$A$56:$N$56,0))*G$11+INDEX(JuniorzyPozytyw[],MATCH($A67,Juniorstwo!$A$57:$A$76,0),MATCH($B$12,Juniorstwo!$A$56:$N$56,0))*G$12+INDEX(JuniorzyPozytyw[],MATCH($A67,Juniorstwo!$A$57:$A$76,0),MATCH($B$13,Juniorstwo!$A$56:$N$56,0))*G$13,"-")</calculatedColumnFormula>
    </tableColumn>
    <tableColumn id="8" xr3:uid="{635DEB8C-657D-4E5F-BF84-A95ED751845D}" name="BP" dataDxfId="122">
      <calculatedColumnFormula>IFERROR(INDEX(JuniorzyPozytyw[],MATCH($A67,Juniorstwo!$A$57:$A$76,0),MATCH($B$2,Juniorstwo!$A$56:$N$56,0))*H$2+INDEX(JuniorzyPozytyw[],MATCH($A67,Juniorstwo!$A$57:$A$76,0),MATCH($B$3,Juniorstwo!$A$56:$N$56,0))*H$3+INDEX(JuniorzyPozytyw[],MATCH($A67,Juniorstwo!$A$57:$A$76,0),MATCH($B$4,Juniorstwo!$A$56:$N$56,0))*H$4+INDEX(JuniorzyPozytyw[],MATCH($A67,Juniorstwo!$A$57:$A$76,0),MATCH($B$5,Juniorstwo!$A$56:$N$56,0))*H$5+INDEX(JuniorzyPozytyw[],MATCH($A67,Juniorstwo!$A$57:$A$76,0),MATCH($B$6,Juniorstwo!$A$56:$N$56,0))*H$6+INDEX(JuniorzyPozytyw[],MATCH($A67,Juniorstwo!$A$57:$A$76,0),MATCH($B$7,Juniorstwo!$A$56:$N$56,0))*H$7+INDEX(JuniorzyPozytyw[],MATCH($A67,Juniorstwo!$A$57:$A$76,0),MATCH($B$8,Juniorstwo!$A$56:$N$56,0))*H$8+INDEX(JuniorzyPozytyw[],MATCH($A67,Juniorstwo!$A$57:$A$76,0),MATCH($B$9,Juniorstwo!$A$56:$N$56,0))*H$9+INDEX(JuniorzyPozytyw[],MATCH($A67,Juniorstwo!$A$57:$A$76,0),MATCH($B$10,Juniorstwo!$A$56:$N$56,0))*H$10+INDEX(JuniorzyPozytyw[],MATCH($A67,Juniorstwo!$A$57:$A$76,0),MATCH($B$11,Juniorstwo!$A$56:$N$56,0))*H$11+INDEX(JuniorzyPozytyw[],MATCH($A67,Juniorstwo!$A$57:$A$76,0),MATCH($B$12,Juniorstwo!$A$56:$N$56,0))*H$12+INDEX(JuniorzyPozytyw[],MATCH($A67,Juniorstwo!$A$57:$A$76,0),MATCH($B$13,Juniorstwo!$A$56:$N$56,0))*H$13,"-")</calculatedColumnFormula>
    </tableColumn>
    <tableColumn id="9" xr3:uid="{60B1E262-5459-4540-BF1A-53DB7A976F11}" name="OP" dataDxfId="121">
      <calculatedColumnFormula>IFERROR(INDEX(JuniorzyPozytyw[],MATCH($A67,Juniorstwo!$A$57:$A$76,0),MATCH($B$2,Juniorstwo!$A$56:$N$56,0))*I$2+INDEX(JuniorzyPozytyw[],MATCH($A67,Juniorstwo!$A$57:$A$76,0),MATCH($B$3,Juniorstwo!$A$56:$N$56,0))*I$3+INDEX(JuniorzyPozytyw[],MATCH($A67,Juniorstwo!$A$57:$A$76,0),MATCH($B$4,Juniorstwo!$A$56:$N$56,0))*I$4+INDEX(JuniorzyPozytyw[],MATCH($A67,Juniorstwo!$A$57:$A$76,0),MATCH($B$5,Juniorstwo!$A$56:$N$56,0))*I$5+INDEX(JuniorzyPozytyw[],MATCH($A67,Juniorstwo!$A$57:$A$76,0),MATCH($B$6,Juniorstwo!$A$56:$N$56,0))*I$6+INDEX(JuniorzyPozytyw[],MATCH($A67,Juniorstwo!$A$57:$A$76,0),MATCH($B$7,Juniorstwo!$A$56:$N$56,0))*I$7+INDEX(JuniorzyPozytyw[],MATCH($A67,Juniorstwo!$A$57:$A$76,0),MATCH($B$8,Juniorstwo!$A$56:$N$56,0))*I$8+INDEX(JuniorzyPozytyw[],MATCH($A67,Juniorstwo!$A$57:$A$76,0),MATCH($B$9,Juniorstwo!$A$56:$N$56,0))*I$9+INDEX(JuniorzyPozytyw[],MATCH($A67,Juniorstwo!$A$57:$A$76,0),MATCH($B$10,Juniorstwo!$A$56:$N$56,0))*I$10+INDEX(JuniorzyPozytyw[],MATCH($A67,Juniorstwo!$A$57:$A$76,0),MATCH($B$11,Juniorstwo!$A$56:$N$56,0))*I$11+INDEX(JuniorzyPozytyw[],MATCH($A67,Juniorstwo!$A$57:$A$76,0),MATCH($B$12,Juniorstwo!$A$56:$N$56,0))*I$12+INDEX(JuniorzyPozytyw[],MATCH($A67,Juniorstwo!$A$57:$A$76,0),MATCH($B$13,Juniorstwo!$A$56:$N$56,0))*I$13,"-")</calculatedColumnFormula>
    </tableColumn>
    <tableColumn id="10" xr3:uid="{DEE241E8-D272-434E-AC7F-BA03B3383AB4}" name="BOP" dataDxfId="120">
      <calculatedColumnFormula>IFERROR(INDEX(JuniorzyPozytyw[],MATCH($A67,Juniorstwo!$A$57:$A$76,0),MATCH($B$2,Juniorstwo!$A$56:$N$56,0))*J$2+INDEX(JuniorzyPozytyw[],MATCH($A67,Juniorstwo!$A$57:$A$76,0),MATCH($B$3,Juniorstwo!$A$56:$N$56,0))*J$3+INDEX(JuniorzyPozytyw[],MATCH($A67,Juniorstwo!$A$57:$A$76,0),MATCH($B$4,Juniorstwo!$A$56:$N$56,0))*J$4+INDEX(JuniorzyPozytyw[],MATCH($A67,Juniorstwo!$A$57:$A$76,0),MATCH($B$5,Juniorstwo!$A$56:$N$56,0))*J$5+INDEX(JuniorzyPozytyw[],MATCH($A67,Juniorstwo!$A$57:$A$76,0),MATCH($B$6,Juniorstwo!$A$56:$N$56,0))*J$6+INDEX(JuniorzyPozytyw[],MATCH($A67,Juniorstwo!$A$57:$A$76,0),MATCH($B$7,Juniorstwo!$A$56:$N$56,0))*J$7+INDEX(JuniorzyPozytyw[],MATCH($A67,Juniorstwo!$A$57:$A$76,0),MATCH($B$8,Juniorstwo!$A$56:$N$56,0))*J$8+INDEX(JuniorzyPozytyw[],MATCH($A67,Juniorstwo!$A$57:$A$76,0),MATCH($B$9,Juniorstwo!$A$56:$N$56,0))*J$9+INDEX(JuniorzyPozytyw[],MATCH($A67,Juniorstwo!$A$57:$A$76,0),MATCH($B$10,Juniorstwo!$A$56:$N$56,0))*J$10+INDEX(JuniorzyPozytyw[],MATCH($A67,Juniorstwo!$A$57:$A$76,0),MATCH($B$11,Juniorstwo!$A$56:$N$56,0))*J$11+INDEX(JuniorzyPozytyw[],MATCH($A67,Juniorstwo!$A$57:$A$76,0),MATCH($B$12,Juniorstwo!$A$56:$N$56,0))*J$12+INDEX(JuniorzyPozytyw[],MATCH($A67,Juniorstwo!$A$57:$A$76,0),MATCH($B$13,Juniorstwo!$A$56:$N$56,0))*J$13,"-")</calculatedColumnFormula>
    </tableColumn>
    <tableColumn id="11" xr3:uid="{89722554-9DFB-445E-8390-E76C3F695495}" name="ST" dataDxfId="119">
      <calculatedColumnFormula>IFERROR(INDEX(JuniorzyPozytyw[],MATCH($A67,Juniorstwo!$A$57:$A$76,0),MATCH($B$2,Juniorstwo!$A$56:$N$56,0))*K$2+INDEX(JuniorzyPozytyw[],MATCH($A67,Juniorstwo!$A$57:$A$76,0),MATCH($B$3,Juniorstwo!$A$56:$N$56,0))*K$3+INDEX(JuniorzyPozytyw[],MATCH($A67,Juniorstwo!$A$57:$A$76,0),MATCH($B$4,Juniorstwo!$A$56:$N$56,0))*K$4+INDEX(JuniorzyPozytyw[],MATCH($A67,Juniorstwo!$A$57:$A$76,0),MATCH($B$5,Juniorstwo!$A$56:$N$56,0))*K$5+INDEX(JuniorzyPozytyw[],MATCH($A67,Juniorstwo!$A$57:$A$76,0),MATCH($B$6,Juniorstwo!$A$56:$N$56,0))*K$6+INDEX(JuniorzyPozytyw[],MATCH($A67,Juniorstwo!$A$57:$A$76,0),MATCH($B$7,Juniorstwo!$A$56:$N$56,0))*K$7+INDEX(JuniorzyPozytyw[],MATCH($A67,Juniorstwo!$A$57:$A$76,0),MATCH($B$8,Juniorstwo!$A$56:$N$56,0))*K$8+INDEX(JuniorzyPozytyw[],MATCH($A67,Juniorstwo!$A$57:$A$76,0),MATCH($B$9,Juniorstwo!$A$56:$N$56,0))*K$9+INDEX(JuniorzyPozytyw[],MATCH($A67,Juniorstwo!$A$57:$A$76,0),MATCH($B$10,Juniorstwo!$A$56:$N$56,0))*K$10+INDEX(JuniorzyPozytyw[],MATCH($A67,Juniorstwo!$A$57:$A$76,0),MATCH($B$11,Juniorstwo!$A$56:$N$56,0))*K$11+INDEX(JuniorzyPozytyw[],MATCH($A67,Juniorstwo!$A$57:$A$76,0),MATCH($B$12,Juniorstwo!$A$56:$N$56,0))*K$12+INDEX(JuniorzyPozytyw[],MATCH($A67,Juniorstwo!$A$57:$A$76,0),MATCH($B$13,Juniorstwo!$A$56:$N$56,0))*K$13,"-")</calculatedColumnFormula>
    </tableColumn>
  </tableColumns>
  <tableStyleInfo name="TableStyleMedium28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DF6912E-D34F-4503-9261-81AC5523C981}" name="PozycjeŚr" displayName="PozycjeŚr" ref="A20:K40" totalsRowShown="0" tableBorderDxfId="118">
  <autoFilter ref="A20:K40" xr:uid="{7FA3AF5C-2E94-4437-A5B6-6B460DB97FDD}"/>
  <tableColumns count="11">
    <tableColumn id="1" xr3:uid="{8F92A150-C1F3-438E-AB3C-DB118B46D7A3}" name="Numer" dataDxfId="117"/>
    <tableColumn id="2" xr3:uid="{01711407-C6DF-4A8C-B7B1-A5700AD872BA}" name="Nazwa zawodnika" dataDxfId="116">
      <calculatedColumnFormula>IFERROR(VLOOKUP(PozycjeŚr[[#This Row],[Numer]],Zawodnicy[[Number]:[Player name]],2,FALSE),"-")</calculatedColumnFormula>
    </tableColumn>
    <tableColumn id="4" xr3:uid="{90D512F0-3F02-4317-AFA2-A9E1EC42AE8F}" name="GK" dataDxfId="115">
      <calculatedColumnFormula>IFERROR((PozycjeMG[]+PozycjeMM[])/2,"-")</calculatedColumnFormula>
    </tableColumn>
    <tableColumn id="5" xr3:uid="{D70C5CA9-ACD9-4DBD-BE07-288A6A9D01B6}" name="CB" dataDxfId="114">
      <calculatedColumnFormula>IFERROR((PozycjeMG[]+PozycjeMM[])/2,"-")</calculatedColumnFormula>
    </tableColumn>
    <tableColumn id="6" xr3:uid="{F164BB2C-271D-41EC-A686-AA1025BBBB0B}" name="SB" dataDxfId="113">
      <calculatedColumnFormula>IFERROR((PozycjeMG[]+PozycjeMM[])/2,"-")</calculatedColumnFormula>
    </tableColumn>
    <tableColumn id="7" xr3:uid="{CF926AF0-F6BA-43DA-80E7-45F0A4474C61}" name="DM" dataDxfId="112">
      <calculatedColumnFormula>IFERROR((PozycjeMG[]+PozycjeMM[])/2,"-")</calculatedColumnFormula>
    </tableColumn>
    <tableColumn id="8" xr3:uid="{BCA99F8D-1D4D-4FB1-B1E0-608D644A7FA8}" name="CM" dataDxfId="111">
      <calculatedColumnFormula>IFERROR((PozycjeMG[]+PozycjeMM[])/2,"-")</calculatedColumnFormula>
    </tableColumn>
    <tableColumn id="9" xr3:uid="{8F320DE0-35AA-41D7-A7CF-81E99C4E1C51}" name="SM" dataDxfId="110">
      <calculatedColumnFormula>IFERROR((PozycjeMG[]+PozycjeMM[])/2,"-")</calculatedColumnFormula>
    </tableColumn>
    <tableColumn id="10" xr3:uid="{6338CF20-6C23-4931-A2CE-1707EDDF4C72}" name="OM" dataDxfId="109">
      <calculatedColumnFormula>IFERROR((PozycjeMG[]+PozycjeMM[])/2,"-")</calculatedColumnFormula>
    </tableColumn>
    <tableColumn id="11" xr3:uid="{233D33C0-5191-45A3-AE4B-8ECBA226DB38}" name="SOM" dataDxfId="108">
      <calculatedColumnFormula>IFERROR((PozycjeMG[]+PozycjeMM[])/2,"-")</calculatedColumnFormula>
    </tableColumn>
    <tableColumn id="12" xr3:uid="{AA718FFF-10E0-47CA-BC86-70A6F90A6854}" name="ST" dataDxfId="107">
      <calculatedColumnFormula>IFERROR((PozycjeMG[]+PozycjeMM[])/2,"-")</calculatedColumnFormula>
    </tableColumn>
  </tableColumns>
  <tableStyleInfo name="TableStyleLight16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A2559119-155F-4811-9D11-10DDAA634F7E}" name="AtrybutyŚr" displayName="AtrybutyŚr" ref="B1:W14" totalsRowShown="0">
  <autoFilter ref="B1:W14" xr:uid="{5A80CC65-E2FA-47AC-993E-C46540CDC2DF}"/>
  <tableColumns count="22">
    <tableColumn id="1" xr3:uid="{901C8769-058C-44C6-B922-E4651A722EEA}" name="Attributes" dataDxfId="106"/>
    <tableColumn id="2" xr3:uid="{7631719D-49DD-4C98-BD96-8CCD71A26215}" name="GK"/>
    <tableColumn id="3" xr3:uid="{5103F8E7-8852-4A54-BA61-34631108888E}" name="CB"/>
    <tableColumn id="4" xr3:uid="{DE336B05-A051-479D-9D45-594A38683CA1}" name="SB"/>
    <tableColumn id="5" xr3:uid="{4F328565-D2A3-4A4C-BCAB-1D8A287B5D8B}" name="DM"/>
    <tableColumn id="6" xr3:uid="{B2519FF3-D2CB-4164-B598-D278AA41136A}" name="CM"/>
    <tableColumn id="7" xr3:uid="{9E44B305-1427-40E6-9DAA-ACFD18E544B0}" name="SM"/>
    <tableColumn id="8" xr3:uid="{8E826C8E-7C8B-4168-81D2-F69B92A73ED9}" name="OM"/>
    <tableColumn id="9" xr3:uid="{1F0F940C-D23D-47BD-9F57-EC1F9FF670F1}" name="SOM"/>
    <tableColumn id="10" xr3:uid="{E0F4415C-3C22-4014-ABCB-290204995476}" name="ST"/>
    <tableColumn id="11" xr3:uid="{79BCF3C5-5915-42E8-B8B6-2E8BC7A9793A}" name="SUM" dataDxfId="105">
      <calculatedColumnFormula>SUM(AtrybutyŚr[[#This Row],[GK]:[ST]])</calculatedColumnFormula>
    </tableColumn>
    <tableColumn id="12" xr3:uid="{825448DF-5992-47A4-95C2-BA601C58DE55}" name="AVG" dataDxfId="104">
      <calculatedColumnFormula>AtrybutyŚr[[#This Row],[SUM]]/COLUMNS(AtrybutyŚr[[#Headers],[GK]:[ST]])</calculatedColumnFormula>
    </tableColumn>
    <tableColumn id="21" xr3:uid="{805A5794-D47F-4391-9B6B-254958B6FE1B}" name="Tarcza" dataDxfId="103">
      <calculatedColumnFormula>AtrybutyŚr[[#This Row],[GK]]</calculatedColumnFormula>
    </tableColumn>
    <tableColumn id="20" xr3:uid="{F4CFC707-E7CB-45E5-8BE3-B99880DB6D78}" name="Motor" dataDxfId="102">
      <calculatedColumnFormula>SUM(AtrybutyŚr[[#This Row],[CB]:[ST]])</calculatedColumnFormula>
    </tableColumn>
    <tableColumn id="23" xr3:uid="{857F215F-B60E-44B0-AEBC-E67D73E4878C}" name="Skała" dataDxfId="101">
      <calculatedColumnFormula>AVERAGE(AtrybutyŚr[[#This Row],[CB]],AtrybutyŚr[[#This Row],[DM]])</calculatedColumnFormula>
    </tableColumn>
    <tableColumn id="13" xr3:uid="{D40C07B2-63DA-481E-A317-1C99E5E49194}" name="Przechwyt" dataDxfId="100">
      <calculatedColumnFormula>SUM(AtrybutyŚr[[#This Row],[CB]]: AtrybutyŚr[[#This Row],[DM]:[CM]])</calculatedColumnFormula>
    </tableColumn>
    <tableColumn id="14" xr3:uid="{C2C10A5A-2580-45FD-8C38-91F1D9FA58DB}" name="Kreator" dataDxfId="99">
      <calculatedColumnFormula>AtrybutyŚr[[#This Row],[CM]]+AtrybutyŚr[[#This Row],[OM]]</calculatedColumnFormula>
    </tableColumn>
    <tableColumn id="15" xr3:uid="{160A7850-AE66-438A-AD72-ABC6D8C965CC}" name="Skrzydło" dataDxfId="98">
      <calculatedColumnFormula>AtrybutyŚr[[#This Row],[SM]]+AtrybutyŚr[[#This Row],[SOM]]</calculatedColumnFormula>
    </tableColumn>
    <tableColumn id="16" xr3:uid="{5287823A-AECE-421A-BA53-A665623F0FCD}" name="Strażnik" dataDxfId="97">
      <calculatedColumnFormula>AtrybutyŚr[[#This Row],[CB]]+AtrybutyŚr[[#This Row],[DM]]+AtrybutyŚr[[#This Row],[CM]]</calculatedColumnFormula>
    </tableColumn>
    <tableColumn id="17" xr3:uid="{F9215664-2ED5-4089-B850-4B0FEF491210}" name="B2B" dataDxfId="96">
      <calculatedColumnFormula>AtrybutyŚr[[#This Row],[DM]]+AtrybutyŚr[[#This Row],[CM]]+AtrybutyŚr[[#This Row],[SB]]</calculatedColumnFormula>
    </tableColumn>
    <tableColumn id="18" xr3:uid="{7A479E41-25A1-462D-8203-1BB1D76CA4AF}" name="#9" dataDxfId="95">
      <calculatedColumnFormula>AtrybutyŚr[[#This Row],[ST]]</calculatedColumnFormula>
    </tableColumn>
    <tableColumn id="19" xr3:uid="{F605ACB7-07E7-4EB2-8C9E-146AE9DF2B7D}" name="Snajper" dataDxfId="94">
      <calculatedColumnFormula>AtrybutyŚr[[#This Row],[ST]]+AtrybutyŚr[[#This Row],[OM]]</calculatedColumnFormula>
    </tableColumn>
  </tableColumns>
  <tableStyleInfo name="TableStyleLight16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E7B8FD5E-08F1-4ED4-909D-398F4271E2F8}" name="PozJunNŚr" displayName="PozJunNŚr" ref="A42:K63" totalsRowShown="0" headerRowDxfId="93" tableBorderDxfId="92">
  <autoFilter ref="A42:K63" xr:uid="{63707AF7-ED65-4649-959E-240B031C0F32}"/>
  <tableColumns count="11">
    <tableColumn id="1" xr3:uid="{9577A98B-72A2-495F-A48E-15BA00040D51}" name="Numer" dataDxfId="91"/>
    <tableColumn id="2" xr3:uid="{5C4B4EDC-CF6A-46C8-BF2A-57F3E3A1E01C}" name="Nazwa zawodnika" dataDxfId="90">
      <calculatedColumnFormula>IFERROR(VLOOKUP(PozJunNŚr[[#This Row],[Numer]],Zawodnicy[[Number]:[Player name]],2,FALSE),"-")</calculatedColumnFormula>
    </tableColumn>
    <tableColumn id="3" xr3:uid="{E270F568-C715-4100-BF4A-11AA7DD7CCB7}" name="GK" dataDxfId="89">
      <calculatedColumnFormula>IFERROR((PozJunNMG[]+PozJunNMM[])/2,"-")</calculatedColumnFormula>
    </tableColumn>
    <tableColumn id="4" xr3:uid="{5BCDD8F2-9E2B-42CB-9E12-291E5161336F}" name="CB" dataDxfId="88">
      <calculatedColumnFormula>IFERROR((PozJunNMG[]+PozJunNMM[])/2,"-")</calculatedColumnFormula>
    </tableColumn>
    <tableColumn id="5" xr3:uid="{78185047-14D7-4A85-BA0E-632C7EF44B24}" name="SB" dataDxfId="87">
      <calculatedColumnFormula>IFERROR((PozJunNMG[]+PozJunNMM[])/2,"-")</calculatedColumnFormula>
    </tableColumn>
    <tableColumn id="6" xr3:uid="{0782CABD-B155-40FA-AA0D-8B1B83900781}" name="DM" dataDxfId="86">
      <calculatedColumnFormula>IFERROR((PozJunNMG[]+PozJunNMM[])/2,"-")</calculatedColumnFormula>
    </tableColumn>
    <tableColumn id="7" xr3:uid="{8237EA5A-3B72-489F-A500-6EC083D2FDB9}" name="CM" dataDxfId="85">
      <calculatedColumnFormula>IFERROR((PozJunNMG[]+PozJunNMM[])/2,"-")</calculatedColumnFormula>
    </tableColumn>
    <tableColumn id="8" xr3:uid="{FB4642CA-3B9C-4651-85E9-6AFB6F0FA150}" name="SM" dataDxfId="84">
      <calculatedColumnFormula>IFERROR((PozJunNMG[]+PozJunNMM[])/2,"-")</calculatedColumnFormula>
    </tableColumn>
    <tableColumn id="9" xr3:uid="{E272E9B6-BC4D-4D0C-92AD-982F5A7B036B}" name="OM" dataDxfId="83">
      <calculatedColumnFormula>IFERROR((PozJunNMG[]+PozJunNMM[])/2,"-")</calculatedColumnFormula>
    </tableColumn>
    <tableColumn id="10" xr3:uid="{2510F062-EA1A-4A3A-A983-9737645D160E}" name="SOM" dataDxfId="82">
      <calculatedColumnFormula>IFERROR((PozJunNMG[]+PozJunNMM[])/2,"-")</calculatedColumnFormula>
    </tableColumn>
    <tableColumn id="11" xr3:uid="{64E4944D-11B9-46B6-801C-CB841C683E16}" name="ST" dataDxfId="81">
      <calculatedColumnFormula>IFERROR((PozJunNMG[]+PozJunNMM[])/2,"-")</calculatedColumnFormula>
    </tableColumn>
  </tableColumns>
  <tableStyleInfo name="TableStyleLight1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04E54F3A-9145-48C1-A3E8-5C4B937B7CB0}" name="PozJunPŚr" displayName="PozJunPŚr" ref="A66:K87" totalsRowShown="0" headerRowDxfId="80">
  <autoFilter ref="A66:K87" xr:uid="{6BB4951D-590E-43D3-A98F-CE9763BB3F63}"/>
  <tableColumns count="11">
    <tableColumn id="1" xr3:uid="{DDABA2A3-5DD1-4013-84C4-56ED9F6C143B}" name="Numer" dataDxfId="79"/>
    <tableColumn id="2" xr3:uid="{24A9A695-0202-4BAE-80CD-5DBCCE05B57F}" name="Nazwa zawodnika" dataDxfId="78">
      <calculatedColumnFormula>IFERROR(VLOOKUP(PozJunPŚr[[#This Row],[Numer]],Zawodnicy[[Number]:[Player name]],2,FALSE),"-")</calculatedColumnFormula>
    </tableColumn>
    <tableColumn id="3" xr3:uid="{ECF5FDC5-1911-4832-8CF0-44E7C133848C}" name="GK" dataDxfId="77">
      <calculatedColumnFormula>IFERROR(INDEX(JuniorzyPozytyw[],MATCH($A67,Juniorstwo!$A$57:$A$76,0),MATCH($B$2,Juniorstwo!$A$56:$N$56,0))*C$2+INDEX(JuniorzyPozytyw[],MATCH($A67,Juniorstwo!$A$57:$A$76,0),MATCH($B$3,Juniorstwo!$A$56:$N$56,0))*C$3+INDEX(JuniorzyPozytyw[],MATCH($A67,Juniorstwo!$A$57:$A$76,0),MATCH($B$4,Juniorstwo!$A$56:$N$56,0))*C$4+INDEX(JuniorzyPozytyw[],MATCH($A67,Juniorstwo!$A$57:$A$76,0),MATCH($B$5,Juniorstwo!$A$56:$N$56,0))*C$5+INDEX(JuniorzyPozytyw[],MATCH($A67,Juniorstwo!$A$57:$A$76,0),MATCH($B$6,Juniorstwo!$A$56:$N$56,0))*C$6+INDEX(JuniorzyPozytyw[],MATCH($A67,Juniorstwo!$A$57:$A$76,0),MATCH($B$7,Juniorstwo!$A$56:$N$56,0))*C$7+INDEX(JuniorzyPozytyw[],MATCH($A67,Juniorstwo!$A$57:$A$76,0),MATCH($B$8,Juniorstwo!$A$56:$N$56,0))*C$8+INDEX(JuniorzyPozytyw[],MATCH($A67,Juniorstwo!$A$57:$A$76,0),MATCH($B$9,Juniorstwo!$A$56:$N$56,0))*C$9+INDEX(JuniorzyPozytyw[],MATCH($A67,Juniorstwo!$A$57:$A$76,0),MATCH($B$10,Juniorstwo!$A$56:$N$56,0))*C$10+INDEX(JuniorzyPozytyw[],MATCH($A67,Juniorstwo!$A$57:$A$76,0),MATCH($B$11,Juniorstwo!$A$56:$N$56,0))*C$11+INDEX(JuniorzyPozytyw[],MATCH($A67,Juniorstwo!$A$57:$A$76,0),MATCH($B$12,Juniorstwo!$A$56:$N$56,0))*C$12+INDEX(JuniorzyPozytyw[],MATCH($A67,Juniorstwo!$A$57:$A$76,0),MATCH($B$13,Juniorstwo!$A$56:$N$56,0))*C$13,"-")</calculatedColumnFormula>
    </tableColumn>
    <tableColumn id="4" xr3:uid="{25D75B2E-DF42-425D-A612-7C6C773CAA79}" name="CB" dataDxfId="76">
      <calculatedColumnFormula>IFERROR(INDEX(JuniorzyPozytyw[],MATCH($A67,Juniorstwo!$A$57:$A$76,0),MATCH($B$2,Juniorstwo!$A$56:$N$56,0))*D$2+INDEX(JuniorzyPozytyw[],MATCH($A67,Juniorstwo!$A$57:$A$76,0),MATCH($B$3,Juniorstwo!$A$56:$N$56,0))*D$3+INDEX(JuniorzyPozytyw[],MATCH($A67,Juniorstwo!$A$57:$A$76,0),MATCH($B$4,Juniorstwo!$A$56:$N$56,0))*D$4+INDEX(JuniorzyPozytyw[],MATCH($A67,Juniorstwo!$A$57:$A$76,0),MATCH($B$5,Juniorstwo!$A$56:$N$56,0))*D$5+INDEX(JuniorzyPozytyw[],MATCH($A67,Juniorstwo!$A$57:$A$76,0),MATCH($B$6,Juniorstwo!$A$56:$N$56,0))*D$6+INDEX(JuniorzyPozytyw[],MATCH($A67,Juniorstwo!$A$57:$A$76,0),MATCH($B$7,Juniorstwo!$A$56:$N$56,0))*D$7+INDEX(JuniorzyPozytyw[],MATCH($A67,Juniorstwo!$A$57:$A$76,0),MATCH($B$8,Juniorstwo!$A$56:$N$56,0))*D$8+INDEX(JuniorzyPozytyw[],MATCH($A67,Juniorstwo!$A$57:$A$76,0),MATCH($B$9,Juniorstwo!$A$56:$N$56,0))*D$9+INDEX(JuniorzyPozytyw[],MATCH($A67,Juniorstwo!$A$57:$A$76,0),MATCH($B$10,Juniorstwo!$A$56:$N$56,0))*D$10+INDEX(JuniorzyPozytyw[],MATCH($A67,Juniorstwo!$A$57:$A$76,0),MATCH($B$11,Juniorstwo!$A$56:$N$56,0))*D$11+INDEX(JuniorzyPozytyw[],MATCH($A67,Juniorstwo!$A$57:$A$76,0),MATCH($B$12,Juniorstwo!$A$56:$N$56,0))*D$12+INDEX(JuniorzyPozytyw[],MATCH($A67,Juniorstwo!$A$57:$A$76,0),MATCH($B$13,Juniorstwo!$A$56:$N$56,0))*D$13,"-")</calculatedColumnFormula>
    </tableColumn>
    <tableColumn id="5" xr3:uid="{05F1F5FC-4AFF-4BE1-B77F-C30BBE3531F9}" name="SB" dataDxfId="75">
      <calculatedColumnFormula>IFERROR(INDEX(JuniorzyPozytyw[],MATCH($A67,Juniorstwo!$A$57:$A$76,0),MATCH($B$2,Juniorstwo!$A$56:$N$56,0))*E$2+INDEX(JuniorzyPozytyw[],MATCH($A67,Juniorstwo!$A$57:$A$76,0),MATCH($B$3,Juniorstwo!$A$56:$N$56,0))*E$3+INDEX(JuniorzyPozytyw[],MATCH($A67,Juniorstwo!$A$57:$A$76,0),MATCH($B$4,Juniorstwo!$A$56:$N$56,0))*E$4+INDEX(JuniorzyPozytyw[],MATCH($A67,Juniorstwo!$A$57:$A$76,0),MATCH($B$5,Juniorstwo!$A$56:$N$56,0))*E$5+INDEX(JuniorzyPozytyw[],MATCH($A67,Juniorstwo!$A$57:$A$76,0),MATCH($B$6,Juniorstwo!$A$56:$N$56,0))*E$6+INDEX(JuniorzyPozytyw[],MATCH($A67,Juniorstwo!$A$57:$A$76,0),MATCH($B$7,Juniorstwo!$A$56:$N$56,0))*E$7+INDEX(JuniorzyPozytyw[],MATCH($A67,Juniorstwo!$A$57:$A$76,0),MATCH($B$8,Juniorstwo!$A$56:$N$56,0))*E$8+INDEX(JuniorzyPozytyw[],MATCH($A67,Juniorstwo!$A$57:$A$76,0),MATCH($B$9,Juniorstwo!$A$56:$N$56,0))*E$9+INDEX(JuniorzyPozytyw[],MATCH($A67,Juniorstwo!$A$57:$A$76,0),MATCH($B$10,Juniorstwo!$A$56:$N$56,0))*E$10+INDEX(JuniorzyPozytyw[],MATCH($A67,Juniorstwo!$A$57:$A$76,0),MATCH($B$11,Juniorstwo!$A$56:$N$56,0))*E$11+INDEX(JuniorzyPozytyw[],MATCH($A67,Juniorstwo!$A$57:$A$76,0),MATCH($B$12,Juniorstwo!$A$56:$N$56,0))*E$12+INDEX(JuniorzyPozytyw[],MATCH($A67,Juniorstwo!$A$57:$A$76,0),MATCH($B$13,Juniorstwo!$A$56:$N$56,0))*E$13,"-")</calculatedColumnFormula>
    </tableColumn>
    <tableColumn id="6" xr3:uid="{8B0FB6F4-6F60-4A90-9BF1-C4BA6D22CC7E}" name="DM" dataDxfId="74">
      <calculatedColumnFormula>IFERROR(INDEX(JuniorzyPozytyw[],MATCH($A67,Juniorstwo!$A$57:$A$76,0),MATCH($B$2,Juniorstwo!$A$56:$N$56,0))*F$2+INDEX(JuniorzyPozytyw[],MATCH($A67,Juniorstwo!$A$57:$A$76,0),MATCH($B$3,Juniorstwo!$A$56:$N$56,0))*F$3+INDEX(JuniorzyPozytyw[],MATCH($A67,Juniorstwo!$A$57:$A$76,0),MATCH($B$4,Juniorstwo!$A$56:$N$56,0))*F$4+INDEX(JuniorzyPozytyw[],MATCH($A67,Juniorstwo!$A$57:$A$76,0),MATCH($B$5,Juniorstwo!$A$56:$N$56,0))*F$5+INDEX(JuniorzyPozytyw[],MATCH($A67,Juniorstwo!$A$57:$A$76,0),MATCH($B$6,Juniorstwo!$A$56:$N$56,0))*F$6+INDEX(JuniorzyPozytyw[],MATCH($A67,Juniorstwo!$A$57:$A$76,0),MATCH($B$7,Juniorstwo!$A$56:$N$56,0))*F$7+INDEX(JuniorzyPozytyw[],MATCH($A67,Juniorstwo!$A$57:$A$76,0),MATCH($B$8,Juniorstwo!$A$56:$N$56,0))*F$8+INDEX(JuniorzyPozytyw[],MATCH($A67,Juniorstwo!$A$57:$A$76,0),MATCH($B$9,Juniorstwo!$A$56:$N$56,0))*F$9+INDEX(JuniorzyPozytyw[],MATCH($A67,Juniorstwo!$A$57:$A$76,0),MATCH($B$10,Juniorstwo!$A$56:$N$56,0))*F$10+INDEX(JuniorzyPozytyw[],MATCH($A67,Juniorstwo!$A$57:$A$76,0),MATCH($B$11,Juniorstwo!$A$56:$N$56,0))*F$11+INDEX(JuniorzyPozytyw[],MATCH($A67,Juniorstwo!$A$57:$A$76,0),MATCH($B$12,Juniorstwo!$A$56:$N$56,0))*F$12+INDEX(JuniorzyPozytyw[],MATCH($A67,Juniorstwo!$A$57:$A$76,0),MATCH($B$13,Juniorstwo!$A$56:$N$56,0))*F$13,"-")</calculatedColumnFormula>
    </tableColumn>
    <tableColumn id="7" xr3:uid="{9F598591-604C-4049-9BA6-0AA3E1258D1C}" name="CM" dataDxfId="73">
      <calculatedColumnFormula>IFERROR(INDEX(JuniorzyPozytyw[],MATCH($A67,Juniorstwo!$A$57:$A$76,0),MATCH($B$2,Juniorstwo!$A$56:$N$56,0))*G$2+INDEX(JuniorzyPozytyw[],MATCH($A67,Juniorstwo!$A$57:$A$76,0),MATCH($B$3,Juniorstwo!$A$56:$N$56,0))*G$3+INDEX(JuniorzyPozytyw[],MATCH($A67,Juniorstwo!$A$57:$A$76,0),MATCH($B$4,Juniorstwo!$A$56:$N$56,0))*G$4+INDEX(JuniorzyPozytyw[],MATCH($A67,Juniorstwo!$A$57:$A$76,0),MATCH($B$5,Juniorstwo!$A$56:$N$56,0))*G$5+INDEX(JuniorzyPozytyw[],MATCH($A67,Juniorstwo!$A$57:$A$76,0),MATCH($B$6,Juniorstwo!$A$56:$N$56,0))*G$6+INDEX(JuniorzyPozytyw[],MATCH($A67,Juniorstwo!$A$57:$A$76,0),MATCH($B$7,Juniorstwo!$A$56:$N$56,0))*G$7+INDEX(JuniorzyPozytyw[],MATCH($A67,Juniorstwo!$A$57:$A$76,0),MATCH($B$8,Juniorstwo!$A$56:$N$56,0))*G$8+INDEX(JuniorzyPozytyw[],MATCH($A67,Juniorstwo!$A$57:$A$76,0),MATCH($B$9,Juniorstwo!$A$56:$N$56,0))*G$9+INDEX(JuniorzyPozytyw[],MATCH($A67,Juniorstwo!$A$57:$A$76,0),MATCH($B$10,Juniorstwo!$A$56:$N$56,0))*G$10+INDEX(JuniorzyPozytyw[],MATCH($A67,Juniorstwo!$A$57:$A$76,0),MATCH($B$11,Juniorstwo!$A$56:$N$56,0))*G$11+INDEX(JuniorzyPozytyw[],MATCH($A67,Juniorstwo!$A$57:$A$76,0),MATCH($B$12,Juniorstwo!$A$56:$N$56,0))*G$12+INDEX(JuniorzyPozytyw[],MATCH($A67,Juniorstwo!$A$57:$A$76,0),MATCH($B$13,Juniorstwo!$A$56:$N$56,0))*G$13,"-")</calculatedColumnFormula>
    </tableColumn>
    <tableColumn id="8" xr3:uid="{045999EB-EC4A-4DF4-8F4F-058FC3833DD1}" name="SM" dataDxfId="72">
      <calculatedColumnFormula>IFERROR(INDEX(JuniorzyPozytyw[],MATCH($A67,Juniorstwo!$A$57:$A$76,0),MATCH($B$2,Juniorstwo!$A$56:$N$56,0))*H$2+INDEX(JuniorzyPozytyw[],MATCH($A67,Juniorstwo!$A$57:$A$76,0),MATCH($B$3,Juniorstwo!$A$56:$N$56,0))*H$3+INDEX(JuniorzyPozytyw[],MATCH($A67,Juniorstwo!$A$57:$A$76,0),MATCH($B$4,Juniorstwo!$A$56:$N$56,0))*H$4+INDEX(JuniorzyPozytyw[],MATCH($A67,Juniorstwo!$A$57:$A$76,0),MATCH($B$5,Juniorstwo!$A$56:$N$56,0))*H$5+INDEX(JuniorzyPozytyw[],MATCH($A67,Juniorstwo!$A$57:$A$76,0),MATCH($B$6,Juniorstwo!$A$56:$N$56,0))*H$6+INDEX(JuniorzyPozytyw[],MATCH($A67,Juniorstwo!$A$57:$A$76,0),MATCH($B$7,Juniorstwo!$A$56:$N$56,0))*H$7+INDEX(JuniorzyPozytyw[],MATCH($A67,Juniorstwo!$A$57:$A$76,0),MATCH($B$8,Juniorstwo!$A$56:$N$56,0))*H$8+INDEX(JuniorzyPozytyw[],MATCH($A67,Juniorstwo!$A$57:$A$76,0),MATCH($B$9,Juniorstwo!$A$56:$N$56,0))*H$9+INDEX(JuniorzyPozytyw[],MATCH($A67,Juniorstwo!$A$57:$A$76,0),MATCH($B$10,Juniorstwo!$A$56:$N$56,0))*H$10+INDEX(JuniorzyPozytyw[],MATCH($A67,Juniorstwo!$A$57:$A$76,0),MATCH($B$11,Juniorstwo!$A$56:$N$56,0))*H$11+INDEX(JuniorzyPozytyw[],MATCH($A67,Juniorstwo!$A$57:$A$76,0),MATCH($B$12,Juniorstwo!$A$56:$N$56,0))*H$12+INDEX(JuniorzyPozytyw[],MATCH($A67,Juniorstwo!$A$57:$A$76,0),MATCH($B$13,Juniorstwo!$A$56:$N$56,0))*H$13,"-")</calculatedColumnFormula>
    </tableColumn>
    <tableColumn id="9" xr3:uid="{33DDB011-5E81-4600-BEE1-4F9ABF6A15BD}" name="OM" dataDxfId="71">
      <calculatedColumnFormula>IFERROR(INDEX(JuniorzyPozytyw[],MATCH($A67,Juniorstwo!$A$57:$A$76,0),MATCH($B$2,Juniorstwo!$A$56:$N$56,0))*I$2+INDEX(JuniorzyPozytyw[],MATCH($A67,Juniorstwo!$A$57:$A$76,0),MATCH($B$3,Juniorstwo!$A$56:$N$56,0))*I$3+INDEX(JuniorzyPozytyw[],MATCH($A67,Juniorstwo!$A$57:$A$76,0),MATCH($B$4,Juniorstwo!$A$56:$N$56,0))*I$4+INDEX(JuniorzyPozytyw[],MATCH($A67,Juniorstwo!$A$57:$A$76,0),MATCH($B$5,Juniorstwo!$A$56:$N$56,0))*I$5+INDEX(JuniorzyPozytyw[],MATCH($A67,Juniorstwo!$A$57:$A$76,0),MATCH($B$6,Juniorstwo!$A$56:$N$56,0))*I$6+INDEX(JuniorzyPozytyw[],MATCH($A67,Juniorstwo!$A$57:$A$76,0),MATCH($B$7,Juniorstwo!$A$56:$N$56,0))*I$7+INDEX(JuniorzyPozytyw[],MATCH($A67,Juniorstwo!$A$57:$A$76,0),MATCH($B$8,Juniorstwo!$A$56:$N$56,0))*I$8+INDEX(JuniorzyPozytyw[],MATCH($A67,Juniorstwo!$A$57:$A$76,0),MATCH($B$9,Juniorstwo!$A$56:$N$56,0))*I$9+INDEX(JuniorzyPozytyw[],MATCH($A67,Juniorstwo!$A$57:$A$76,0),MATCH($B$10,Juniorstwo!$A$56:$N$56,0))*I$10+INDEX(JuniorzyPozytyw[],MATCH($A67,Juniorstwo!$A$57:$A$76,0),MATCH($B$11,Juniorstwo!$A$56:$N$56,0))*I$11+INDEX(JuniorzyPozytyw[],MATCH($A67,Juniorstwo!$A$57:$A$76,0),MATCH($B$12,Juniorstwo!$A$56:$N$56,0))*I$12+INDEX(JuniorzyPozytyw[],MATCH($A67,Juniorstwo!$A$57:$A$76,0),MATCH($B$13,Juniorstwo!$A$56:$N$56,0))*I$13,"-")</calculatedColumnFormula>
    </tableColumn>
    <tableColumn id="10" xr3:uid="{6C809C5A-E51C-4885-8816-38644C1AB79D}" name="SOM" dataDxfId="70">
      <calculatedColumnFormula>IFERROR(INDEX(JuniorzyPozytyw[],MATCH($A67,Juniorstwo!$A$57:$A$76,0),MATCH($B$2,Juniorstwo!$A$56:$N$56,0))*J$2+INDEX(JuniorzyPozytyw[],MATCH($A67,Juniorstwo!$A$57:$A$76,0),MATCH($B$3,Juniorstwo!$A$56:$N$56,0))*J$3+INDEX(JuniorzyPozytyw[],MATCH($A67,Juniorstwo!$A$57:$A$76,0),MATCH($B$4,Juniorstwo!$A$56:$N$56,0))*J$4+INDEX(JuniorzyPozytyw[],MATCH($A67,Juniorstwo!$A$57:$A$76,0),MATCH($B$5,Juniorstwo!$A$56:$N$56,0))*J$5+INDEX(JuniorzyPozytyw[],MATCH($A67,Juniorstwo!$A$57:$A$76,0),MATCH($B$6,Juniorstwo!$A$56:$N$56,0))*J$6+INDEX(JuniorzyPozytyw[],MATCH($A67,Juniorstwo!$A$57:$A$76,0),MATCH($B$7,Juniorstwo!$A$56:$N$56,0))*J$7+INDEX(JuniorzyPozytyw[],MATCH($A67,Juniorstwo!$A$57:$A$76,0),MATCH($B$8,Juniorstwo!$A$56:$N$56,0))*J$8+INDEX(JuniorzyPozytyw[],MATCH($A67,Juniorstwo!$A$57:$A$76,0),MATCH($B$9,Juniorstwo!$A$56:$N$56,0))*J$9+INDEX(JuniorzyPozytyw[],MATCH($A67,Juniorstwo!$A$57:$A$76,0),MATCH($B$10,Juniorstwo!$A$56:$N$56,0))*J$10+INDEX(JuniorzyPozytyw[],MATCH($A67,Juniorstwo!$A$57:$A$76,0),MATCH($B$11,Juniorstwo!$A$56:$N$56,0))*J$11+INDEX(JuniorzyPozytyw[],MATCH($A67,Juniorstwo!$A$57:$A$76,0),MATCH($B$12,Juniorstwo!$A$56:$N$56,0))*J$12+INDEX(JuniorzyPozytyw[],MATCH($A67,Juniorstwo!$A$57:$A$76,0),MATCH($B$13,Juniorstwo!$A$56:$N$56,0))*J$13,"-")</calculatedColumnFormula>
    </tableColumn>
    <tableColumn id="11" xr3:uid="{08990067-6E65-484E-8845-791C5E55EEEC}" name="ST" dataDxfId="69">
      <calculatedColumnFormula>IFERROR(INDEX(JuniorzyPozytyw[],MATCH($A67,Juniorstwo!$A$57:$A$76,0),MATCH($B$2,Juniorstwo!$A$56:$N$56,0))*K$2+INDEX(JuniorzyPozytyw[],MATCH($A67,Juniorstwo!$A$57:$A$76,0),MATCH($B$3,Juniorstwo!$A$56:$N$56,0))*K$3+INDEX(JuniorzyPozytyw[],MATCH($A67,Juniorstwo!$A$57:$A$76,0),MATCH($B$4,Juniorstwo!$A$56:$N$56,0))*K$4+INDEX(JuniorzyPozytyw[],MATCH($A67,Juniorstwo!$A$57:$A$76,0),MATCH($B$5,Juniorstwo!$A$56:$N$56,0))*K$5+INDEX(JuniorzyPozytyw[],MATCH($A67,Juniorstwo!$A$57:$A$76,0),MATCH($B$6,Juniorstwo!$A$56:$N$56,0))*K$6+INDEX(JuniorzyPozytyw[],MATCH($A67,Juniorstwo!$A$57:$A$76,0),MATCH($B$7,Juniorstwo!$A$56:$N$56,0))*K$7+INDEX(JuniorzyPozytyw[],MATCH($A67,Juniorstwo!$A$57:$A$76,0),MATCH($B$8,Juniorstwo!$A$56:$N$56,0))*K$8+INDEX(JuniorzyPozytyw[],MATCH($A67,Juniorstwo!$A$57:$A$76,0),MATCH($B$9,Juniorstwo!$A$56:$N$56,0))*K$9+INDEX(JuniorzyPozytyw[],MATCH($A67,Juniorstwo!$A$57:$A$76,0),MATCH($B$10,Juniorstwo!$A$56:$N$56,0))*K$10+INDEX(JuniorzyPozytyw[],MATCH($A67,Juniorstwo!$A$57:$A$76,0),MATCH($B$11,Juniorstwo!$A$56:$N$56,0))*K$11+INDEX(JuniorzyPozytyw[],MATCH($A67,Juniorstwo!$A$57:$A$76,0),MATCH($B$12,Juniorstwo!$A$56:$N$56,0))*K$12+INDEX(JuniorzyPozytyw[],MATCH($A67,Juniorstwo!$A$57:$A$76,0),MATCH($B$13,Juniorstwo!$A$56:$N$56,0))*K$13,"-")</calculatedColumnFormula>
    </tableColumn>
  </tableColumns>
  <tableStyleInfo name="TableStyleMedium28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9CFDE78-3B2E-45C7-8937-49CB8617D9B6}" name="Radar" displayName="Radar" ref="A1:L35" totalsRowShown="0">
  <autoFilter ref="A1:L35" xr:uid="{E6D38029-7FE4-49B9-87A3-C5B16D20E171}"/>
  <tableColumns count="12">
    <tableColumn id="1" xr3:uid="{461EA9CA-5C20-4861-B49A-2B65F63851E8}" name="Numer" dataDxfId="68">
      <calculatedColumnFormula>IFERROR(Zawodnicy[[#This Row],[Number]],"-")</calculatedColumnFormula>
    </tableColumn>
    <tableColumn id="2" xr3:uid="{3E7C316D-E867-40D8-83B3-1F34DDC41CB3}" name="Nazwa Zawodnika">
      <calculatedColumnFormula>VLOOKUP(Radar[[#This Row],[Numer]],Zawodnicy[],2,FALSE)</calculatedColumnFormula>
    </tableColumn>
    <tableColumn id="3" xr3:uid="{F8270BCC-8819-4DA9-91A7-CE294E3918A2}" name="Tarcza" dataDxfId="67">
      <calculatedColumnFormula>PozycjeŚr!N$2*INDEX(Zawodnicy[],MATCH($A2,Players!$A$2:$A$100,0),MATCH("Szybkość",Players!$A$1:$R$1,0))+PozycjeŚr!N$3*INDEX(Zawodnicy[],MATCH($A2,Players!$A$2:$A$100,0),MATCH("Kondycja",Players!$A$1:$R$1,0))+PozycjeŚr!N$4*INDEX(Zawodnicy[],MATCH($A2,Players!$A$2:$A$100,0),MATCH("Przegląd",Players!$A$1:$R$1,0))+PozycjeŚr!N$5*INDEX(Zawodnicy[],MATCH($A2,Players!$A$2:$A$100,0),MATCH("Podania dołem",Players!$A$1:$R$1,0))+PozycjeŚr!N$6*INDEX(Zawodnicy[],MATCH($A2,Players!$A$2:$A$100,0),MATCH("Strzał",Players!$A$1:$R$1,0))+PozycjeŚr!N$7*INDEX(Zawodnicy[],MATCH($A2,Players!$A$2:$A$100,0),MATCH("Gra głową",Players!$A$1:$R$1,0))+PozycjeŚr!N$8*INDEX(Zawodnicy[],MATCH($A2,Players!$A$2:$A$100,0),MATCH("Gra na bramce",Players!$A$1:$R$1,0))+PozycjeŚr!N$9*INDEX(Zawodnicy[],MATCH($A2,Players!$A$2:$A$100,0),MATCH("Panowanie",Players!$A$1:$R$1,0))+PozycjeŚr!N$10*INDEX(Zawodnicy[],MATCH($A2,Players!$A$2:$A$100,0),MATCH("Odbiór piłki",Players!$A$1:$R$1,0))+PozycjeŚr!N$11*INDEX(Zawodnicy[],MATCH($A2,Players!$A$2:$A$100,0),MATCH("Podania górą",Players!$A$1:$R$1,0))</calculatedColumnFormula>
    </tableColumn>
    <tableColumn id="4" xr3:uid="{2B995245-E1D2-4750-8E30-BA08669C97C6}" name="Motor" dataDxfId="66">
      <calculatedColumnFormula>PozycjeŚr!O$2*INDEX(Zawodnicy[],MATCH($A2,Players!$A$2:$A$100,0),MATCH("Szybkość",Players!$A$1:$R$1,0))+PozycjeŚr!O$3*INDEX(Zawodnicy[],MATCH($A2,Players!$A$2:$A$100,0),MATCH("Kondycja",Players!$A$1:$R$1,0))+PozycjeŚr!O$4*INDEX(Zawodnicy[],MATCH($A2,Players!$A$2:$A$100,0),MATCH("Przegląd",Players!$A$1:$R$1,0))+PozycjeŚr!O$5*INDEX(Zawodnicy[],MATCH($A2,Players!$A$2:$A$100,0),MATCH("Podania dołem",Players!$A$1:$R$1,0))+PozycjeŚr!O$6*INDEX(Zawodnicy[],MATCH($A2,Players!$A$2:$A$100,0),MATCH("Strzał",Players!$A$1:$R$1,0))+PozycjeŚr!O$7*INDEX(Zawodnicy[],MATCH($A2,Players!$A$2:$A$100,0),MATCH("Gra głową",Players!$A$1:$R$1,0))+PozycjeŚr!O$8*INDEX(Zawodnicy[],MATCH($A2,Players!$A$2:$A$100,0),MATCH("Gra na bramce",Players!$A$1:$R$1,0))+PozycjeŚr!O$9*INDEX(Zawodnicy[],MATCH($A2,Players!$A$2:$A$100,0),MATCH("Panowanie",Players!$A$1:$R$1,0))+PozycjeŚr!O$10*INDEX(Zawodnicy[],MATCH($A2,Players!$A$2:$A$100,0),MATCH("Odbiór piłki",Players!$A$1:$R$1,0))+PozycjeŚr!O$11*INDEX(Zawodnicy[],MATCH($A2,Players!$A$2:$A$100,0),MATCH("Podania górą",Players!$A$1:$R$1,0))</calculatedColumnFormula>
    </tableColumn>
    <tableColumn id="5" xr3:uid="{4E09A296-D691-467A-8004-1D1FCA44992A}" name="Skała" dataDxfId="65">
      <calculatedColumnFormula>PozycjeŚr!P$2*INDEX(Zawodnicy[],MATCH($A2,Players!$A$2:$A$100,0),MATCH("Szybkość",Players!$A$1:$R$1,0))+PozycjeŚr!P$3*INDEX(Zawodnicy[],MATCH($A2,Players!$A$2:$A$100,0),MATCH("Kondycja",Players!$A$1:$R$1,0))+PozycjeŚr!P$4*INDEX(Zawodnicy[],MATCH($A2,Players!$A$2:$A$100,0),MATCH("Przegląd",Players!$A$1:$R$1,0))+PozycjeŚr!P$5*INDEX(Zawodnicy[],MATCH($A2,Players!$A$2:$A$100,0),MATCH("Podania dołem",Players!$A$1:$R$1,0))+PozycjeŚr!P$6*INDEX(Zawodnicy[],MATCH($A2,Players!$A$2:$A$100,0),MATCH("Strzał",Players!$A$1:$R$1,0))+PozycjeŚr!P$7*INDEX(Zawodnicy[],MATCH($A2,Players!$A$2:$A$100,0),MATCH("Gra głową",Players!$A$1:$R$1,0))+PozycjeŚr!P$8*INDEX(Zawodnicy[],MATCH($A2,Players!$A$2:$A$100,0),MATCH("Gra na bramce",Players!$A$1:$R$1,0))+PozycjeŚr!P$9*INDEX(Zawodnicy[],MATCH($A2,Players!$A$2:$A$100,0),MATCH("Panowanie",Players!$A$1:$R$1,0))+PozycjeŚr!P$10*INDEX(Zawodnicy[],MATCH($A2,Players!$A$2:$A$100,0),MATCH("Odbiór piłki",Players!$A$1:$R$1,0))+PozycjeŚr!P$11*INDEX(Zawodnicy[],MATCH($A2,Players!$A$2:$A$100,0),MATCH("Podania górą",Players!$A$1:$R$1,0))</calculatedColumnFormula>
    </tableColumn>
    <tableColumn id="6" xr3:uid="{424B5E50-3441-439C-B383-E948B82E50C7}" name="Przechwyt" dataDxfId="64">
      <calculatedColumnFormula>PozycjeŚr!Q$2*INDEX(Zawodnicy[],MATCH($A2,Players!$A$2:$A$100,0),MATCH("Szybkość",Players!$A$1:$R$1,0))+PozycjeŚr!Q$3*INDEX(Zawodnicy[],MATCH($A2,Players!$A$2:$A$100,0),MATCH("Kondycja",Players!$A$1:$R$1,0))+PozycjeŚr!Q$4*INDEX(Zawodnicy[],MATCH($A2,Players!$A$2:$A$100,0),MATCH("Przegląd",Players!$A$1:$R$1,0))+PozycjeŚr!Q$5*INDEX(Zawodnicy[],MATCH($A2,Players!$A$2:$A$100,0),MATCH("Podania dołem",Players!$A$1:$R$1,0))+PozycjeŚr!Q$6*INDEX(Zawodnicy[],MATCH($A2,Players!$A$2:$A$100,0),MATCH("Strzał",Players!$A$1:$R$1,0))+PozycjeŚr!Q$7*INDEX(Zawodnicy[],MATCH($A2,Players!$A$2:$A$100,0),MATCH("Gra głową",Players!$A$1:$R$1,0))+PozycjeŚr!Q$8*INDEX(Zawodnicy[],MATCH($A2,Players!$A$2:$A$100,0),MATCH("Gra na bramce",Players!$A$1:$R$1,0))+PozycjeŚr!Q$9*INDEX(Zawodnicy[],MATCH($A2,Players!$A$2:$A$100,0),MATCH("Panowanie",Players!$A$1:$R$1,0))+PozycjeŚr!Q$10*INDEX(Zawodnicy[],MATCH($A2,Players!$A$2:$A$100,0),MATCH("Odbiór piłki",Players!$A$1:$R$1,0))+PozycjeŚr!Q$11*INDEX(Zawodnicy[],MATCH($A2,Players!$A$2:$A$100,0),MATCH("Podania górą",Players!$A$1:$R$1,0))</calculatedColumnFormula>
    </tableColumn>
    <tableColumn id="7" xr3:uid="{7885E012-C383-4677-ABF6-5AAC5795F22A}" name="Kreator" dataDxfId="63">
      <calculatedColumnFormula>PozycjeŚr!R$2*INDEX(Zawodnicy[],MATCH($A2,Players!$A$2:$A$100,0),MATCH("Szybkość",Players!$A$1:$R$1,0))+PozycjeŚr!R$3*INDEX(Zawodnicy[],MATCH($A2,Players!$A$2:$A$100,0),MATCH("Kondycja",Players!$A$1:$R$1,0))+PozycjeŚr!R$4*INDEX(Zawodnicy[],MATCH($A2,Players!$A$2:$A$100,0),MATCH("Przegląd",Players!$A$1:$R$1,0))+PozycjeŚr!R$5*INDEX(Zawodnicy[],MATCH($A2,Players!$A$2:$A$100,0),MATCH("Podania dołem",Players!$A$1:$R$1,0))+PozycjeŚr!R$6*INDEX(Zawodnicy[],MATCH($A2,Players!$A$2:$A$100,0),MATCH("Strzał",Players!$A$1:$R$1,0))+PozycjeŚr!R$7*INDEX(Zawodnicy[],MATCH($A2,Players!$A$2:$A$100,0),MATCH("Gra głową",Players!$A$1:$R$1,0))+PozycjeŚr!R$8*INDEX(Zawodnicy[],MATCH($A2,Players!$A$2:$A$100,0),MATCH("Gra na bramce",Players!$A$1:$R$1,0))+PozycjeŚr!R$9*INDEX(Zawodnicy[],MATCH($A2,Players!$A$2:$A$100,0),MATCH("Panowanie",Players!$A$1:$R$1,0))+PozycjeŚr!R$10*INDEX(Zawodnicy[],MATCH($A2,Players!$A$2:$A$100,0),MATCH("Odbiór piłki",Players!$A$1:$R$1,0))+PozycjeŚr!R$11*INDEX(Zawodnicy[],MATCH($A2,Players!$A$2:$A$100,0),MATCH("Podania górą",Players!$A$1:$R$1,0))</calculatedColumnFormula>
    </tableColumn>
    <tableColumn id="8" xr3:uid="{84ADF6C7-7DAB-4A5D-8F50-6A7E47827EAE}" name="Skrzydło" dataDxfId="62">
      <calculatedColumnFormula>PozycjeŚr!S$2*INDEX(Zawodnicy[],MATCH($A2,Players!$A$2:$A$100,0),MATCH("Szybkość",Players!$A$1:$R$1,0))+PozycjeŚr!S$3*INDEX(Zawodnicy[],MATCH($A2,Players!$A$2:$A$100,0),MATCH("Kondycja",Players!$A$1:$R$1,0))+PozycjeŚr!S$4*INDEX(Zawodnicy[],MATCH($A2,Players!$A$2:$A$100,0),MATCH("Przegląd",Players!$A$1:$R$1,0))+PozycjeŚr!S$5*INDEX(Zawodnicy[],MATCH($A2,Players!$A$2:$A$100,0),MATCH("Podania dołem",Players!$A$1:$R$1,0))+PozycjeŚr!S$6*INDEX(Zawodnicy[],MATCH($A2,Players!$A$2:$A$100,0),MATCH("Strzał",Players!$A$1:$R$1,0))+PozycjeŚr!S$7*INDEX(Zawodnicy[],MATCH($A2,Players!$A$2:$A$100,0),MATCH("Gra głową",Players!$A$1:$R$1,0))+PozycjeŚr!S$8*INDEX(Zawodnicy[],MATCH($A2,Players!$A$2:$A$100,0),MATCH("Gra na bramce",Players!$A$1:$R$1,0))+PozycjeŚr!S$9*INDEX(Zawodnicy[],MATCH($A2,Players!$A$2:$A$100,0),MATCH("Panowanie",Players!$A$1:$R$1,0))+PozycjeŚr!S$10*INDEX(Zawodnicy[],MATCH($A2,Players!$A$2:$A$100,0),MATCH("Odbiór piłki",Players!$A$1:$R$1,0))+PozycjeŚr!S$11*INDEX(Zawodnicy[],MATCH($A2,Players!$A$2:$A$100,0),MATCH("Podania górą",Players!$A$1:$R$1,0))</calculatedColumnFormula>
    </tableColumn>
    <tableColumn id="9" xr3:uid="{D8C74044-27F6-496F-A693-9AA4DF588200}" name="Strażnik" dataDxfId="61">
      <calculatedColumnFormula>PozycjeŚr!T$2*INDEX(Zawodnicy[],MATCH($A2,Players!$A$2:$A$100,0),MATCH("Szybkość",Players!$A$1:$R$1,0))+PozycjeŚr!T$3*INDEX(Zawodnicy[],MATCH($A2,Players!$A$2:$A$100,0),MATCH("Kondycja",Players!$A$1:$R$1,0))+PozycjeŚr!T$4*INDEX(Zawodnicy[],MATCH($A2,Players!$A$2:$A$100,0),MATCH("Przegląd",Players!$A$1:$R$1,0))+PozycjeŚr!T$5*INDEX(Zawodnicy[],MATCH($A2,Players!$A$2:$A$100,0),MATCH("Podania dołem",Players!$A$1:$R$1,0))+PozycjeŚr!T$6*INDEX(Zawodnicy[],MATCH($A2,Players!$A$2:$A$100,0),MATCH("Strzał",Players!$A$1:$R$1,0))+PozycjeŚr!T$7*INDEX(Zawodnicy[],MATCH($A2,Players!$A$2:$A$100,0),MATCH("Gra głową",Players!$A$1:$R$1,0))+PozycjeŚr!T$8*INDEX(Zawodnicy[],MATCH($A2,Players!$A$2:$A$100,0),MATCH("Gra na bramce",Players!$A$1:$R$1,0))+PozycjeŚr!T$9*INDEX(Zawodnicy[],MATCH($A2,Players!$A$2:$A$100,0),MATCH("Panowanie",Players!$A$1:$R$1,0))+PozycjeŚr!T$10*INDEX(Zawodnicy[],MATCH($A2,Players!$A$2:$A$100,0),MATCH("Odbiór piłki",Players!$A$1:$R$1,0))+PozycjeŚr!T$11*INDEX(Zawodnicy[],MATCH($A2,Players!$A$2:$A$100,0),MATCH("Podania górą",Players!$A$1:$R$1,0))</calculatedColumnFormula>
    </tableColumn>
    <tableColumn id="10" xr3:uid="{4C59D985-2A1D-48BE-BE15-2FBA3F41F2CF}" name="B2B" dataDxfId="60">
      <calculatedColumnFormula>PozycjeŚr!U$2*INDEX(Zawodnicy[],MATCH($A2,Players!$A$2:$A$100,0),MATCH("Szybkość",Players!$A$1:$R$1,0))+PozycjeŚr!U$3*INDEX(Zawodnicy[],MATCH($A2,Players!$A$2:$A$100,0),MATCH("Kondycja",Players!$A$1:$R$1,0))+PozycjeŚr!U$4*INDEX(Zawodnicy[],MATCH($A2,Players!$A$2:$A$100,0),MATCH("Przegląd",Players!$A$1:$R$1,0))+PozycjeŚr!U$5*INDEX(Zawodnicy[],MATCH($A2,Players!$A$2:$A$100,0),MATCH("Podania dołem",Players!$A$1:$R$1,0))+PozycjeŚr!U$6*INDEX(Zawodnicy[],MATCH($A2,Players!$A$2:$A$100,0),MATCH("Strzał",Players!$A$1:$R$1,0))+PozycjeŚr!U$7*INDEX(Zawodnicy[],MATCH($A2,Players!$A$2:$A$100,0),MATCH("Gra głową",Players!$A$1:$R$1,0))+PozycjeŚr!U$8*INDEX(Zawodnicy[],MATCH($A2,Players!$A$2:$A$100,0),MATCH("Gra na bramce",Players!$A$1:$R$1,0))+PozycjeŚr!U$9*INDEX(Zawodnicy[],MATCH($A2,Players!$A$2:$A$100,0),MATCH("Panowanie",Players!$A$1:$R$1,0))+PozycjeŚr!U$10*INDEX(Zawodnicy[],MATCH($A2,Players!$A$2:$A$100,0),MATCH("Odbiór piłki",Players!$A$1:$R$1,0))+PozycjeŚr!U$11*INDEX(Zawodnicy[],MATCH($A2,Players!$A$2:$A$100,0),MATCH("Podania górą",Players!$A$1:$R$1,0))</calculatedColumnFormula>
    </tableColumn>
    <tableColumn id="11" xr3:uid="{CD541DF3-E021-4D0C-8809-9EBD8115247A}" name="#9" dataDxfId="59">
      <calculatedColumnFormula>PozycjeŚr!V$2*INDEX(Zawodnicy[],MATCH($A2,Players!$A$2:$A$100,0),MATCH("Szybkość",Players!$A$1:$R$1,0))+PozycjeŚr!V$3*INDEX(Zawodnicy[],MATCH($A2,Players!$A$2:$A$100,0),MATCH("Kondycja",Players!$A$1:$R$1,0))+PozycjeŚr!V$4*INDEX(Zawodnicy[],MATCH($A2,Players!$A$2:$A$100,0),MATCH("Przegląd",Players!$A$1:$R$1,0))+PozycjeŚr!V$5*INDEX(Zawodnicy[],MATCH($A2,Players!$A$2:$A$100,0),MATCH("Podania dołem",Players!$A$1:$R$1,0))+PozycjeŚr!V$6*INDEX(Zawodnicy[],MATCH($A2,Players!$A$2:$A$100,0),MATCH("Strzał",Players!$A$1:$R$1,0))+PozycjeŚr!V$7*INDEX(Zawodnicy[],MATCH($A2,Players!$A$2:$A$100,0),MATCH("Gra głową",Players!$A$1:$R$1,0))+PozycjeŚr!V$8*INDEX(Zawodnicy[],MATCH($A2,Players!$A$2:$A$100,0),MATCH("Gra na bramce",Players!$A$1:$R$1,0))+PozycjeŚr!V$9*INDEX(Zawodnicy[],MATCH($A2,Players!$A$2:$A$100,0),MATCH("Panowanie",Players!$A$1:$R$1,0))+PozycjeŚr!V$10*INDEX(Zawodnicy[],MATCH($A2,Players!$A$2:$A$100,0),MATCH("Odbiór piłki",Players!$A$1:$R$1,0))+PozycjeŚr!V$11*INDEX(Zawodnicy[],MATCH($A2,Players!$A$2:$A$100,0),MATCH("Podania górą",Players!$A$1:$R$1,0))</calculatedColumnFormula>
    </tableColumn>
    <tableColumn id="12" xr3:uid="{E5B1CAD6-2357-47E7-8012-CC6BCFC3B6DF}" name="Snajper" dataDxfId="58">
      <calculatedColumnFormula>PozycjeŚr!W$2*INDEX(Zawodnicy[],MATCH($A2,Players!$A$2:$A$100,0),MATCH("Szybkość",Players!$A$1:$R$1,0))+PozycjeŚr!W$3*INDEX(Zawodnicy[],MATCH($A2,Players!$A$2:$A$100,0),MATCH("Kondycja",Players!$A$1:$R$1,0))+PozycjeŚr!W$4*INDEX(Zawodnicy[],MATCH($A2,Players!$A$2:$A$100,0),MATCH("Przegląd",Players!$A$1:$R$1,0))+PozycjeŚr!W$5*INDEX(Zawodnicy[],MATCH($A2,Players!$A$2:$A$100,0),MATCH("Podania dołem",Players!$A$1:$R$1,0))+PozycjeŚr!W$6*INDEX(Zawodnicy[],MATCH($A2,Players!$A$2:$A$100,0),MATCH("Strzał",Players!$A$1:$R$1,0))+PozycjeŚr!W$7*INDEX(Zawodnicy[],MATCH($A2,Players!$A$2:$A$100,0),MATCH("Gra głową",Players!$A$1:$R$1,0))+PozycjeŚr!W$8*INDEX(Zawodnicy[],MATCH($A2,Players!$A$2:$A$100,0),MATCH("Gra na bramce",Players!$A$1:$R$1,0))+PozycjeŚr!W$9*INDEX(Zawodnicy[],MATCH($A2,Players!$A$2:$A$100,0),MATCH("Panowanie",Players!$A$1:$R$1,0))+PozycjeŚr!W$10*INDEX(Zawodnicy[],MATCH($A2,Players!$A$2:$A$100,0),MATCH("Odbiór piłki",Players!$A$1:$R$1,0))+PozycjeŚr!W$11*INDEX(Zawodnicy[],MATCH($A2,Players!$A$2:$A$100,0),MATCH("Podania górą",Players!$A$1:$R$1,0))</calculatedColumnFormula>
    </tableColumn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Pakiet 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akiet 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Pakiet 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Y1" dT="2020-04-04T20:51:47.88" personId="{17DCE64E-8F53-4C9C-BDD0-92FBAA9AB219}" id="{558D096D-76FE-4302-A291-E34D4E23263A}">
    <text>stare sposób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Relationship Id="rId5" Type="http://schemas.openxmlformats.org/officeDocument/2006/relationships/table" Target="../tables/table9.xml"/><Relationship Id="rId4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table" Target="../tables/table12.xml"/><Relationship Id="rId4" Type="http://schemas.openxmlformats.org/officeDocument/2006/relationships/table" Target="../tables/table1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8.xml"/><Relationship Id="rId2" Type="http://schemas.openxmlformats.org/officeDocument/2006/relationships/table" Target="../tables/table17.xml"/><Relationship Id="rId1" Type="http://schemas.openxmlformats.org/officeDocument/2006/relationships/table" Target="../tables/table16.xml"/><Relationship Id="rId4" Type="http://schemas.openxmlformats.org/officeDocument/2006/relationships/table" Target="../tables/table19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2.xml"/><Relationship Id="rId2" Type="http://schemas.openxmlformats.org/officeDocument/2006/relationships/table" Target="../tables/table21.xml"/><Relationship Id="rId1" Type="http://schemas.openxmlformats.org/officeDocument/2006/relationships/table" Target="../tables/table20.xml"/><Relationship Id="rId4" Type="http://schemas.openxmlformats.org/officeDocument/2006/relationships/table" Target="../tables/table23.xml"/></Relationships>
</file>

<file path=xl/worksheets/_rels/sheet14.xml.rels><?xml version="1.0" encoding="UTF-8" standalone="yes"?>
<Relationships xmlns="http://schemas.openxmlformats.org/package/2006/relationships"><Relationship Id="rId2" Type="http://schemas.microsoft.com/office/2007/relationships/slicer" Target="../slicers/slicer1.xml"/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6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17.xml"/><Relationship Id="rId1" Type="http://schemas.openxmlformats.org/officeDocument/2006/relationships/pivotTable" Target="../pivotTables/pivotTable16.xml"/><Relationship Id="rId5" Type="http://schemas.microsoft.com/office/2007/relationships/slicer" Target="../slicers/slicer3.xml"/><Relationship Id="rId4" Type="http://schemas.openxmlformats.org/officeDocument/2006/relationships/drawing" Target="../drawings/drawing5.xml"/></Relationships>
</file>

<file path=xl/worksheets/_rels/sheet20.xml.rels><?xml version="1.0" encoding="UTF-8" standalone="yes"?>
<Relationships xmlns="http://schemas.openxmlformats.org/package/2006/relationships"><Relationship Id="rId2" Type="http://schemas.microsoft.com/office/2007/relationships/slicer" Target="../slicers/slicer4.xml"/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9ECFD-AA7C-4DF7-A63A-F98955B51E14}">
  <dimension ref="A1:Y495"/>
  <sheetViews>
    <sheetView workbookViewId="0">
      <selection activeCell="S1" sqref="S1"/>
    </sheetView>
  </sheetViews>
  <sheetFormatPr defaultRowHeight="15" x14ac:dyDescent="0.25"/>
  <cols>
    <col min="1" max="1" width="9.28515625" customWidth="1"/>
    <col min="2" max="2" width="22.85546875" customWidth="1"/>
    <col min="3" max="3" width="10.42578125" customWidth="1"/>
    <col min="6" max="6" width="9.7109375" customWidth="1"/>
    <col min="7" max="7" width="11" customWidth="1"/>
    <col min="8" max="8" width="11.140625" customWidth="1"/>
    <col min="9" max="9" width="10.7109375" customWidth="1"/>
    <col min="10" max="10" width="10.140625" customWidth="1"/>
    <col min="12" max="12" width="9.42578125" customWidth="1"/>
    <col min="13" max="13" width="9.7109375" customWidth="1"/>
    <col min="15" max="15" width="9.28515625" customWidth="1"/>
    <col min="25" max="25" width="9.85546875" bestFit="1" customWidth="1"/>
  </cols>
  <sheetData>
    <row r="1" spans="1:25" x14ac:dyDescent="0.25">
      <c r="A1" t="s">
        <v>744</v>
      </c>
      <c r="B1" t="s">
        <v>745</v>
      </c>
      <c r="C1" t="s">
        <v>746</v>
      </c>
      <c r="D1" t="s">
        <v>762</v>
      </c>
      <c r="E1" t="s">
        <v>747</v>
      </c>
      <c r="F1" t="s">
        <v>748</v>
      </c>
      <c r="G1" t="s">
        <v>749</v>
      </c>
      <c r="H1" t="s">
        <v>750</v>
      </c>
      <c r="I1" t="s">
        <v>763</v>
      </c>
      <c r="J1" t="s">
        <v>751</v>
      </c>
      <c r="K1" t="s">
        <v>752</v>
      </c>
      <c r="L1" t="s">
        <v>753</v>
      </c>
      <c r="M1" t="s">
        <v>769</v>
      </c>
      <c r="N1" t="s">
        <v>754</v>
      </c>
      <c r="O1" t="s">
        <v>755</v>
      </c>
      <c r="P1" t="s">
        <v>756</v>
      </c>
      <c r="Q1" t="s">
        <v>764</v>
      </c>
      <c r="R1" t="s">
        <v>757</v>
      </c>
      <c r="S1" t="s">
        <v>189</v>
      </c>
      <c r="T1" t="s">
        <v>758</v>
      </c>
      <c r="U1" t="s">
        <v>759</v>
      </c>
      <c r="V1" s="8" t="s">
        <v>760</v>
      </c>
      <c r="W1" s="7" t="s">
        <v>761</v>
      </c>
      <c r="X1" s="61" t="s">
        <v>765</v>
      </c>
      <c r="Y1" t="s">
        <v>145</v>
      </c>
    </row>
    <row r="2" spans="1:25" x14ac:dyDescent="0.25">
      <c r="A2" s="39">
        <v>1</v>
      </c>
      <c r="B2" s="3" t="s">
        <v>149</v>
      </c>
      <c r="C2" s="64" t="s">
        <v>459</v>
      </c>
      <c r="D2" s="64" t="s">
        <v>190</v>
      </c>
      <c r="E2" s="64">
        <v>25</v>
      </c>
      <c r="F2" s="64">
        <v>50</v>
      </c>
      <c r="G2" s="64">
        <v>8</v>
      </c>
      <c r="H2" s="64">
        <v>7</v>
      </c>
      <c r="I2" s="64">
        <v>10</v>
      </c>
      <c r="J2" s="64">
        <v>4</v>
      </c>
      <c r="K2" s="64">
        <v>2</v>
      </c>
      <c r="L2" s="64">
        <v>3</v>
      </c>
      <c r="M2" s="64">
        <v>9</v>
      </c>
      <c r="N2" s="64">
        <v>4</v>
      </c>
      <c r="O2" s="64">
        <v>1</v>
      </c>
      <c r="P2" s="64">
        <v>8</v>
      </c>
      <c r="Q2" s="64">
        <v>4</v>
      </c>
      <c r="R2" s="64">
        <v>9</v>
      </c>
      <c r="S2" s="64">
        <v>0</v>
      </c>
      <c r="T2" s="64">
        <f>SUM(Zawodnicy[[#This Row],[Speed]:[Free Kick Acc]])</f>
        <v>60</v>
      </c>
      <c r="U2" s="64">
        <f>SUM(Zawodnicy[[#This Row],[Speed]:[Experience]])</f>
        <v>69</v>
      </c>
      <c r="V2" s="65">
        <f>Zawodnicy[[#This Row],[Shooting]]+Zawodnicy[[#This Row],[Experience]]</f>
        <v>11</v>
      </c>
      <c r="W2" s="68">
        <f>2*Zawodnicy[[#This Row],[Experience]]+Zawodnicy[[#This Row],[Vision]]</f>
        <v>28</v>
      </c>
      <c r="X2" s="11">
        <f>Zawodnicy[[#This Row],[Free Kick Acc]]*7+Zawodnicy[[#This Row],[Long Passing]]*3</f>
        <v>52</v>
      </c>
      <c r="Y2" s="11" t="str">
        <f>IF(Zawodnicy[[#This Row],[Age]]&gt;=19,"Senior","Junior")</f>
        <v>Senior</v>
      </c>
    </row>
    <row r="3" spans="1:25" x14ac:dyDescent="0.25">
      <c r="A3" s="39">
        <v>3</v>
      </c>
      <c r="B3" s="3" t="s">
        <v>19</v>
      </c>
      <c r="C3" s="64" t="s">
        <v>460</v>
      </c>
      <c r="D3" s="64" t="s">
        <v>191</v>
      </c>
      <c r="E3" s="64">
        <v>23</v>
      </c>
      <c r="F3" s="64">
        <v>52</v>
      </c>
      <c r="G3" s="64">
        <v>7</v>
      </c>
      <c r="H3" s="64">
        <v>7</v>
      </c>
      <c r="I3" s="64">
        <v>6</v>
      </c>
      <c r="J3" s="64">
        <v>5</v>
      </c>
      <c r="K3" s="64">
        <v>2</v>
      </c>
      <c r="L3" s="64">
        <v>5</v>
      </c>
      <c r="M3" s="64">
        <v>3</v>
      </c>
      <c r="N3" s="64">
        <v>8</v>
      </c>
      <c r="O3" s="64">
        <v>9</v>
      </c>
      <c r="P3" s="64">
        <v>2</v>
      </c>
      <c r="Q3" s="64">
        <v>0</v>
      </c>
      <c r="R3" s="64">
        <v>7</v>
      </c>
      <c r="S3" s="64">
        <v>2</v>
      </c>
      <c r="T3" s="64">
        <f>SUM(Zawodnicy[[#This Row],[Speed]:[Free Kick Acc]])</f>
        <v>54</v>
      </c>
      <c r="U3" s="64">
        <f>SUM(Zawodnicy[[#This Row],[Speed]:[Experience]])</f>
        <v>61</v>
      </c>
      <c r="V3" s="65">
        <f>Zawodnicy[[#This Row],[Shooting]]+Zawodnicy[[#This Row],[Experience]]</f>
        <v>9</v>
      </c>
      <c r="W3" s="68">
        <f>2*Zawodnicy[[#This Row],[Experience]]+Zawodnicy[[#This Row],[Vision]]</f>
        <v>20</v>
      </c>
      <c r="X3" s="11">
        <f>Zawodnicy[[#This Row],[Free Kick Acc]]*7+Zawodnicy[[#This Row],[Long Passing]]*3</f>
        <v>6</v>
      </c>
      <c r="Y3" s="11" t="str">
        <f>IF(Zawodnicy[[#This Row],[Age]]&gt;=19,"Senior","Junior")</f>
        <v>Senior</v>
      </c>
    </row>
    <row r="4" spans="1:25" x14ac:dyDescent="0.25">
      <c r="A4" s="39">
        <v>4</v>
      </c>
      <c r="B4" s="3" t="s">
        <v>20</v>
      </c>
      <c r="C4" s="64" t="s">
        <v>461</v>
      </c>
      <c r="D4" s="64" t="s">
        <v>192</v>
      </c>
      <c r="E4" s="64">
        <v>21</v>
      </c>
      <c r="F4" s="64">
        <v>54</v>
      </c>
      <c r="G4" s="64">
        <v>8</v>
      </c>
      <c r="H4" s="64">
        <v>8</v>
      </c>
      <c r="I4" s="64">
        <v>5</v>
      </c>
      <c r="J4" s="64">
        <v>6</v>
      </c>
      <c r="K4" s="64">
        <v>1</v>
      </c>
      <c r="L4" s="64">
        <v>1</v>
      </c>
      <c r="M4" s="64">
        <v>2</v>
      </c>
      <c r="N4" s="64">
        <v>4</v>
      </c>
      <c r="O4" s="64">
        <v>9</v>
      </c>
      <c r="P4" s="64">
        <v>3</v>
      </c>
      <c r="Q4" s="64">
        <v>3</v>
      </c>
      <c r="R4" s="64">
        <v>4</v>
      </c>
      <c r="S4" s="64">
        <v>0</v>
      </c>
      <c r="T4" s="64">
        <f>SUM(Zawodnicy[[#This Row],[Speed]:[Free Kick Acc]])</f>
        <v>50</v>
      </c>
      <c r="U4" s="64">
        <f>SUM(Zawodnicy[[#This Row],[Speed]:[Experience]])</f>
        <v>54</v>
      </c>
      <c r="V4" s="65">
        <f>Zawodnicy[[#This Row],[Shooting]]+Zawodnicy[[#This Row],[Experience]]</f>
        <v>5</v>
      </c>
      <c r="W4" s="68">
        <f>2*Zawodnicy[[#This Row],[Experience]]+Zawodnicy[[#This Row],[Vision]]</f>
        <v>13</v>
      </c>
      <c r="X4" s="11">
        <f>Zawodnicy[[#This Row],[Free Kick Acc]]*7+Zawodnicy[[#This Row],[Long Passing]]*3</f>
        <v>30</v>
      </c>
      <c r="Y4" s="11" t="str">
        <f>IF(Zawodnicy[[#This Row],[Age]]&gt;=19,"Senior","Junior")</f>
        <v>Senior</v>
      </c>
    </row>
    <row r="5" spans="1:25" x14ac:dyDescent="0.25">
      <c r="A5" s="39">
        <v>5</v>
      </c>
      <c r="B5" s="3" t="s">
        <v>21</v>
      </c>
      <c r="C5" s="64" t="s">
        <v>371</v>
      </c>
      <c r="D5" s="64" t="s">
        <v>193</v>
      </c>
      <c r="E5" s="64">
        <v>25</v>
      </c>
      <c r="F5" s="64">
        <v>50</v>
      </c>
      <c r="G5" s="64">
        <v>8</v>
      </c>
      <c r="H5" s="64">
        <v>8</v>
      </c>
      <c r="I5" s="64">
        <v>9</v>
      </c>
      <c r="J5" s="64">
        <v>7</v>
      </c>
      <c r="K5" s="64">
        <v>4</v>
      </c>
      <c r="L5" s="64">
        <v>5</v>
      </c>
      <c r="M5" s="64">
        <v>3</v>
      </c>
      <c r="N5" s="64">
        <v>6</v>
      </c>
      <c r="O5" s="64">
        <v>9</v>
      </c>
      <c r="P5" s="64">
        <v>1</v>
      </c>
      <c r="Q5" s="64">
        <v>3</v>
      </c>
      <c r="R5" s="64">
        <v>8</v>
      </c>
      <c r="S5" s="64">
        <v>0</v>
      </c>
      <c r="T5" s="64">
        <f>SUM(Zawodnicy[[#This Row],[Speed]:[Free Kick Acc]])</f>
        <v>63</v>
      </c>
      <c r="U5" s="64">
        <f>SUM(Zawodnicy[[#This Row],[Speed]:[Experience]])</f>
        <v>71</v>
      </c>
      <c r="V5" s="65">
        <f>Zawodnicy[[#This Row],[Shooting]]+Zawodnicy[[#This Row],[Experience]]</f>
        <v>12</v>
      </c>
      <c r="W5" s="68">
        <f>2*Zawodnicy[[#This Row],[Experience]]+Zawodnicy[[#This Row],[Vision]]</f>
        <v>25</v>
      </c>
      <c r="X5" s="11">
        <f>Zawodnicy[[#This Row],[Free Kick Acc]]*7+Zawodnicy[[#This Row],[Long Passing]]*3</f>
        <v>24</v>
      </c>
      <c r="Y5" s="11" t="str">
        <f>IF(Zawodnicy[[#This Row],[Age]]&gt;=19,"Senior","Junior")</f>
        <v>Senior</v>
      </c>
    </row>
    <row r="6" spans="1:25" x14ac:dyDescent="0.25">
      <c r="A6" s="39">
        <v>6</v>
      </c>
      <c r="B6" s="3" t="s">
        <v>22</v>
      </c>
      <c r="C6" s="64" t="s">
        <v>462</v>
      </c>
      <c r="D6" s="64" t="s">
        <v>194</v>
      </c>
      <c r="E6" s="64">
        <v>27</v>
      </c>
      <c r="F6" s="64">
        <v>48</v>
      </c>
      <c r="G6" s="64">
        <v>7</v>
      </c>
      <c r="H6" s="64">
        <v>7</v>
      </c>
      <c r="I6" s="64">
        <v>6</v>
      </c>
      <c r="J6" s="64">
        <v>5</v>
      </c>
      <c r="K6" s="64">
        <v>1</v>
      </c>
      <c r="L6" s="64">
        <v>7</v>
      </c>
      <c r="M6" s="64">
        <v>1</v>
      </c>
      <c r="N6" s="64">
        <v>8</v>
      </c>
      <c r="O6" s="64">
        <v>9</v>
      </c>
      <c r="P6" s="64">
        <v>3</v>
      </c>
      <c r="Q6" s="64">
        <v>4</v>
      </c>
      <c r="R6" s="64">
        <v>9</v>
      </c>
      <c r="S6" s="64">
        <v>0</v>
      </c>
      <c r="T6" s="64">
        <f>SUM(Zawodnicy[[#This Row],[Speed]:[Free Kick Acc]])</f>
        <v>58</v>
      </c>
      <c r="U6" s="64">
        <f>SUM(Zawodnicy[[#This Row],[Speed]:[Experience]])</f>
        <v>67</v>
      </c>
      <c r="V6" s="65">
        <f>Zawodnicy[[#This Row],[Shooting]]+Zawodnicy[[#This Row],[Experience]]</f>
        <v>10</v>
      </c>
      <c r="W6" s="68">
        <f>2*Zawodnicy[[#This Row],[Experience]]+Zawodnicy[[#This Row],[Vision]]</f>
        <v>24</v>
      </c>
      <c r="X6" s="11">
        <f>Zawodnicy[[#This Row],[Free Kick Acc]]*7+Zawodnicy[[#This Row],[Long Passing]]*3</f>
        <v>37</v>
      </c>
      <c r="Y6" s="11" t="str">
        <f>IF(Zawodnicy[[#This Row],[Age]]&gt;=19,"Senior","Junior")</f>
        <v>Senior</v>
      </c>
    </row>
    <row r="7" spans="1:25" x14ac:dyDescent="0.25">
      <c r="A7" s="39">
        <v>8</v>
      </c>
      <c r="B7" s="3" t="s">
        <v>23</v>
      </c>
      <c r="C7" s="64" t="s">
        <v>463</v>
      </c>
      <c r="D7" s="64" t="s">
        <v>195</v>
      </c>
      <c r="E7" s="64">
        <v>25</v>
      </c>
      <c r="F7" s="64">
        <v>50</v>
      </c>
      <c r="G7" s="64">
        <v>6</v>
      </c>
      <c r="H7" s="64">
        <v>5</v>
      </c>
      <c r="I7" s="64">
        <v>8</v>
      </c>
      <c r="J7" s="64">
        <v>7</v>
      </c>
      <c r="K7" s="64">
        <v>6</v>
      </c>
      <c r="L7" s="64">
        <v>3</v>
      </c>
      <c r="M7" s="64">
        <v>5</v>
      </c>
      <c r="N7" s="64">
        <v>8</v>
      </c>
      <c r="O7" s="64">
        <v>7</v>
      </c>
      <c r="P7" s="64">
        <v>2</v>
      </c>
      <c r="Q7" s="64">
        <v>0</v>
      </c>
      <c r="R7" s="64">
        <v>9</v>
      </c>
      <c r="S7" s="64">
        <v>0</v>
      </c>
      <c r="T7" s="64">
        <f>SUM(Zawodnicy[[#This Row],[Speed]:[Free Kick Acc]])</f>
        <v>57</v>
      </c>
      <c r="U7" s="64">
        <f>SUM(Zawodnicy[[#This Row],[Speed]:[Experience]])</f>
        <v>66</v>
      </c>
      <c r="V7" s="65">
        <f>Zawodnicy[[#This Row],[Shooting]]+Zawodnicy[[#This Row],[Experience]]</f>
        <v>15</v>
      </c>
      <c r="W7" s="68">
        <f>2*Zawodnicy[[#This Row],[Experience]]+Zawodnicy[[#This Row],[Vision]]</f>
        <v>26</v>
      </c>
      <c r="X7" s="11">
        <f>Zawodnicy[[#This Row],[Free Kick Acc]]*7+Zawodnicy[[#This Row],[Long Passing]]*3</f>
        <v>6</v>
      </c>
      <c r="Y7" s="11" t="str">
        <f>IF(Zawodnicy[[#This Row],[Age]]&gt;=19,"Senior","Junior")</f>
        <v>Senior</v>
      </c>
    </row>
    <row r="8" spans="1:25" x14ac:dyDescent="0.25">
      <c r="A8" s="39">
        <v>9</v>
      </c>
      <c r="B8" s="3" t="s">
        <v>177</v>
      </c>
      <c r="C8" s="64" t="s">
        <v>464</v>
      </c>
      <c r="D8" s="64" t="s">
        <v>196</v>
      </c>
      <c r="E8" s="64">
        <v>24</v>
      </c>
      <c r="F8" s="64">
        <v>51</v>
      </c>
      <c r="G8" s="64">
        <v>7</v>
      </c>
      <c r="H8" s="64">
        <v>7</v>
      </c>
      <c r="I8" s="64">
        <v>6</v>
      </c>
      <c r="J8" s="64">
        <v>4</v>
      </c>
      <c r="K8" s="64">
        <v>10</v>
      </c>
      <c r="L8" s="64">
        <v>6</v>
      </c>
      <c r="M8" s="64">
        <v>1</v>
      </c>
      <c r="N8" s="64">
        <v>9</v>
      </c>
      <c r="O8" s="64">
        <v>2</v>
      </c>
      <c r="P8" s="64">
        <v>1</v>
      </c>
      <c r="Q8" s="64">
        <v>3</v>
      </c>
      <c r="R8" s="64">
        <v>7</v>
      </c>
      <c r="S8" s="64">
        <v>0</v>
      </c>
      <c r="T8" s="64">
        <f>SUM(Zawodnicy[[#This Row],[Speed]:[Free Kick Acc]])</f>
        <v>56</v>
      </c>
      <c r="U8" s="64">
        <f>SUM(Zawodnicy[[#This Row],[Speed]:[Experience]])</f>
        <v>63</v>
      </c>
      <c r="V8" s="65">
        <f>Zawodnicy[[#This Row],[Shooting]]+Zawodnicy[[#This Row],[Experience]]</f>
        <v>17</v>
      </c>
      <c r="W8" s="68">
        <f>2*Zawodnicy[[#This Row],[Experience]]+Zawodnicy[[#This Row],[Vision]]</f>
        <v>20</v>
      </c>
      <c r="X8" s="11">
        <f>Zawodnicy[[#This Row],[Free Kick Acc]]*7+Zawodnicy[[#This Row],[Long Passing]]*3</f>
        <v>24</v>
      </c>
      <c r="Y8" s="11" t="str">
        <f>IF(Zawodnicy[[#This Row],[Age]]&gt;=19,"Senior","Junior")</f>
        <v>Senior</v>
      </c>
    </row>
    <row r="9" spans="1:25" x14ac:dyDescent="0.25">
      <c r="A9" s="39">
        <v>11</v>
      </c>
      <c r="B9" s="3" t="s">
        <v>24</v>
      </c>
      <c r="C9" s="64" t="s">
        <v>465</v>
      </c>
      <c r="D9" s="64" t="s">
        <v>197</v>
      </c>
      <c r="E9" s="64">
        <v>25</v>
      </c>
      <c r="F9" s="64">
        <v>50</v>
      </c>
      <c r="G9" s="64">
        <v>8</v>
      </c>
      <c r="H9" s="64">
        <v>7</v>
      </c>
      <c r="I9" s="64">
        <v>8</v>
      </c>
      <c r="J9" s="64">
        <v>10</v>
      </c>
      <c r="K9" s="64">
        <v>7</v>
      </c>
      <c r="L9" s="64">
        <v>1</v>
      </c>
      <c r="M9" s="64">
        <v>1</v>
      </c>
      <c r="N9" s="64">
        <v>5</v>
      </c>
      <c r="O9" s="64">
        <v>3</v>
      </c>
      <c r="P9" s="64">
        <v>2</v>
      </c>
      <c r="Q9" s="64">
        <v>0</v>
      </c>
      <c r="R9" s="64">
        <v>8</v>
      </c>
      <c r="S9" s="64">
        <v>3</v>
      </c>
      <c r="T9" s="64">
        <f>SUM(Zawodnicy[[#This Row],[Speed]:[Free Kick Acc]])</f>
        <v>52</v>
      </c>
      <c r="U9" s="64">
        <f>SUM(Zawodnicy[[#This Row],[Speed]:[Experience]])</f>
        <v>60</v>
      </c>
      <c r="V9" s="65">
        <f>Zawodnicy[[#This Row],[Shooting]]+Zawodnicy[[#This Row],[Experience]]</f>
        <v>15</v>
      </c>
      <c r="W9" s="68">
        <f>2*Zawodnicy[[#This Row],[Experience]]+Zawodnicy[[#This Row],[Vision]]</f>
        <v>24</v>
      </c>
      <c r="X9" s="11">
        <f>Zawodnicy[[#This Row],[Free Kick Acc]]*7+Zawodnicy[[#This Row],[Long Passing]]*3</f>
        <v>6</v>
      </c>
      <c r="Y9" s="11" t="str">
        <f>IF(Zawodnicy[[#This Row],[Age]]&gt;=19,"Senior","Junior")</f>
        <v>Senior</v>
      </c>
    </row>
    <row r="10" spans="1:25" x14ac:dyDescent="0.25">
      <c r="A10" s="39">
        <v>13</v>
      </c>
      <c r="B10" s="3" t="s">
        <v>25</v>
      </c>
      <c r="C10" s="64" t="s">
        <v>375</v>
      </c>
      <c r="D10" s="64" t="s">
        <v>198</v>
      </c>
      <c r="E10" s="64">
        <v>25</v>
      </c>
      <c r="F10" s="64">
        <v>50</v>
      </c>
      <c r="G10" s="64">
        <v>8</v>
      </c>
      <c r="H10" s="64">
        <v>10</v>
      </c>
      <c r="I10" s="64">
        <v>6</v>
      </c>
      <c r="J10" s="64">
        <v>8</v>
      </c>
      <c r="K10" s="64">
        <v>3</v>
      </c>
      <c r="L10" s="64">
        <v>2</v>
      </c>
      <c r="M10" s="64">
        <v>0</v>
      </c>
      <c r="N10" s="64">
        <v>7</v>
      </c>
      <c r="O10" s="64">
        <v>7</v>
      </c>
      <c r="P10" s="64">
        <v>8</v>
      </c>
      <c r="Q10" s="64">
        <v>1</v>
      </c>
      <c r="R10" s="64">
        <v>8</v>
      </c>
      <c r="S10" s="64">
        <v>0</v>
      </c>
      <c r="T10" s="64">
        <f>SUM(Zawodnicy[[#This Row],[Speed]:[Free Kick Acc]])</f>
        <v>60</v>
      </c>
      <c r="U10" s="64">
        <f>SUM(Zawodnicy[[#This Row],[Speed]:[Experience]])</f>
        <v>68</v>
      </c>
      <c r="V10" s="65">
        <f>Zawodnicy[[#This Row],[Shooting]]+Zawodnicy[[#This Row],[Experience]]</f>
        <v>11</v>
      </c>
      <c r="W10" s="68">
        <f>2*Zawodnicy[[#This Row],[Experience]]+Zawodnicy[[#This Row],[Vision]]</f>
        <v>22</v>
      </c>
      <c r="X10" s="11">
        <f>Zawodnicy[[#This Row],[Free Kick Acc]]*7+Zawodnicy[[#This Row],[Long Passing]]*3</f>
        <v>31</v>
      </c>
      <c r="Y10" s="11" t="str">
        <f>IF(Zawodnicy[[#This Row],[Age]]&gt;=19,"Senior","Junior")</f>
        <v>Senior</v>
      </c>
    </row>
    <row r="11" spans="1:25" x14ac:dyDescent="0.25">
      <c r="A11" s="39">
        <v>14</v>
      </c>
      <c r="B11" s="3" t="s">
        <v>26</v>
      </c>
      <c r="C11" s="64" t="s">
        <v>466</v>
      </c>
      <c r="D11" s="64" t="s">
        <v>199</v>
      </c>
      <c r="E11" s="64">
        <v>24</v>
      </c>
      <c r="F11" s="64">
        <v>51</v>
      </c>
      <c r="G11" s="64">
        <v>9</v>
      </c>
      <c r="H11" s="64">
        <v>8</v>
      </c>
      <c r="I11" s="64">
        <v>7</v>
      </c>
      <c r="J11" s="64">
        <v>6</v>
      </c>
      <c r="K11" s="64">
        <v>8</v>
      </c>
      <c r="L11" s="64">
        <v>3</v>
      </c>
      <c r="M11" s="64">
        <v>3</v>
      </c>
      <c r="N11" s="64">
        <v>7</v>
      </c>
      <c r="O11" s="64">
        <v>6</v>
      </c>
      <c r="P11" s="64">
        <v>5</v>
      </c>
      <c r="Q11" s="64">
        <v>1</v>
      </c>
      <c r="R11" s="64">
        <v>8</v>
      </c>
      <c r="S11" s="64">
        <v>2</v>
      </c>
      <c r="T11" s="64">
        <f>SUM(Zawodnicy[[#This Row],[Speed]:[Free Kick Acc]])</f>
        <v>63</v>
      </c>
      <c r="U11" s="64">
        <f>SUM(Zawodnicy[[#This Row],[Speed]:[Experience]])</f>
        <v>71</v>
      </c>
      <c r="V11" s="65">
        <f>Zawodnicy[[#This Row],[Shooting]]+Zawodnicy[[#This Row],[Experience]]</f>
        <v>16</v>
      </c>
      <c r="W11" s="68">
        <f>2*Zawodnicy[[#This Row],[Experience]]+Zawodnicy[[#This Row],[Vision]]</f>
        <v>23</v>
      </c>
      <c r="X11" s="11">
        <f>Zawodnicy[[#This Row],[Free Kick Acc]]*7+Zawodnicy[[#This Row],[Long Passing]]*3</f>
        <v>22</v>
      </c>
      <c r="Y11" s="11" t="str">
        <f>IF(Zawodnicy[[#This Row],[Age]]&gt;=19,"Senior","Junior")</f>
        <v>Senior</v>
      </c>
    </row>
    <row r="12" spans="1:25" x14ac:dyDescent="0.25">
      <c r="A12" s="39">
        <v>15</v>
      </c>
      <c r="B12" s="3" t="s">
        <v>150</v>
      </c>
      <c r="C12" s="64" t="s">
        <v>467</v>
      </c>
      <c r="D12" s="64" t="s">
        <v>200</v>
      </c>
      <c r="E12" s="64">
        <v>23</v>
      </c>
      <c r="F12" s="64">
        <v>52</v>
      </c>
      <c r="G12" s="64">
        <v>6</v>
      </c>
      <c r="H12" s="64">
        <v>8</v>
      </c>
      <c r="I12" s="64">
        <v>7</v>
      </c>
      <c r="J12" s="64">
        <v>10</v>
      </c>
      <c r="K12" s="64">
        <v>3</v>
      </c>
      <c r="L12" s="64">
        <v>1</v>
      </c>
      <c r="M12" s="64">
        <v>1</v>
      </c>
      <c r="N12" s="64">
        <v>8</v>
      </c>
      <c r="O12" s="64">
        <v>6</v>
      </c>
      <c r="P12" s="64">
        <v>3</v>
      </c>
      <c r="Q12" s="64">
        <v>3</v>
      </c>
      <c r="R12" s="64">
        <v>6</v>
      </c>
      <c r="S12" s="64">
        <v>1</v>
      </c>
      <c r="T12" s="64">
        <f>SUM(Zawodnicy[[#This Row],[Speed]:[Free Kick Acc]])</f>
        <v>56</v>
      </c>
      <c r="U12" s="64">
        <f>SUM(Zawodnicy[[#This Row],[Speed]:[Experience]])</f>
        <v>62</v>
      </c>
      <c r="V12" s="65">
        <f>Zawodnicy[[#This Row],[Shooting]]+Zawodnicy[[#This Row],[Experience]]</f>
        <v>9</v>
      </c>
      <c r="W12" s="68">
        <f>2*Zawodnicy[[#This Row],[Experience]]+Zawodnicy[[#This Row],[Vision]]</f>
        <v>19</v>
      </c>
      <c r="X12" s="11">
        <f>Zawodnicy[[#This Row],[Free Kick Acc]]*7+Zawodnicy[[#This Row],[Long Passing]]*3</f>
        <v>30</v>
      </c>
      <c r="Y12" s="11" t="str">
        <f>IF(Zawodnicy[[#This Row],[Age]]&gt;=19,"Senior","Junior")</f>
        <v>Senior</v>
      </c>
    </row>
    <row r="13" spans="1:25" x14ac:dyDescent="0.25">
      <c r="A13" s="39">
        <v>17</v>
      </c>
      <c r="B13" s="3" t="s">
        <v>182</v>
      </c>
      <c r="C13" s="64" t="s">
        <v>468</v>
      </c>
      <c r="D13" s="64" t="s">
        <v>201</v>
      </c>
      <c r="E13" s="64">
        <v>21</v>
      </c>
      <c r="F13" s="64">
        <v>54</v>
      </c>
      <c r="G13" s="64">
        <v>6</v>
      </c>
      <c r="H13" s="64">
        <v>9</v>
      </c>
      <c r="I13" s="64">
        <v>3</v>
      </c>
      <c r="J13" s="64">
        <v>7</v>
      </c>
      <c r="K13" s="64">
        <v>0</v>
      </c>
      <c r="L13" s="64">
        <v>3</v>
      </c>
      <c r="M13" s="64">
        <v>1</v>
      </c>
      <c r="N13" s="64">
        <v>5</v>
      </c>
      <c r="O13" s="64">
        <v>8</v>
      </c>
      <c r="P13" s="64">
        <v>4</v>
      </c>
      <c r="Q13" s="64">
        <v>2</v>
      </c>
      <c r="R13" s="64">
        <v>5</v>
      </c>
      <c r="S13" s="64">
        <v>6</v>
      </c>
      <c r="T13" s="64">
        <f>SUM(Zawodnicy[[#This Row],[Speed]:[Free Kick Acc]])</f>
        <v>48</v>
      </c>
      <c r="U13" s="64">
        <f>SUM(Zawodnicy[[#This Row],[Speed]:[Experience]])</f>
        <v>53</v>
      </c>
      <c r="V13" s="65">
        <f>Zawodnicy[[#This Row],[Shooting]]+Zawodnicy[[#This Row],[Experience]]</f>
        <v>5</v>
      </c>
      <c r="W13" s="68">
        <f>2*Zawodnicy[[#This Row],[Experience]]+Zawodnicy[[#This Row],[Vision]]</f>
        <v>13</v>
      </c>
      <c r="X13" s="11">
        <f>Zawodnicy[[#This Row],[Free Kick Acc]]*7+Zawodnicy[[#This Row],[Long Passing]]*3</f>
        <v>26</v>
      </c>
      <c r="Y13" s="11" t="str">
        <f>IF(Zawodnicy[[#This Row],[Age]]&gt;=19,"Senior","Junior")</f>
        <v>Senior</v>
      </c>
    </row>
    <row r="14" spans="1:25" x14ac:dyDescent="0.25">
      <c r="A14" s="39">
        <v>18</v>
      </c>
      <c r="B14" s="3" t="s">
        <v>183</v>
      </c>
      <c r="C14" s="64" t="s">
        <v>469</v>
      </c>
      <c r="D14" s="64" t="s">
        <v>202</v>
      </c>
      <c r="E14" s="64">
        <v>22</v>
      </c>
      <c r="F14" s="64">
        <v>53</v>
      </c>
      <c r="G14" s="64">
        <v>9</v>
      </c>
      <c r="H14" s="64">
        <v>7</v>
      </c>
      <c r="I14" s="64">
        <v>6</v>
      </c>
      <c r="J14" s="64">
        <v>3</v>
      </c>
      <c r="K14" s="64">
        <v>3</v>
      </c>
      <c r="L14" s="64">
        <v>4</v>
      </c>
      <c r="M14" s="64">
        <v>1</v>
      </c>
      <c r="N14" s="64">
        <v>6</v>
      </c>
      <c r="O14" s="64">
        <v>10</v>
      </c>
      <c r="P14" s="64">
        <v>3</v>
      </c>
      <c r="Q14" s="64">
        <v>0</v>
      </c>
      <c r="R14" s="64">
        <v>6</v>
      </c>
      <c r="S14" s="64">
        <v>6</v>
      </c>
      <c r="T14" s="64">
        <f>SUM(Zawodnicy[[#This Row],[Speed]:[Free Kick Acc]])</f>
        <v>52</v>
      </c>
      <c r="U14" s="64">
        <f>SUM(Zawodnicy[[#This Row],[Speed]:[Experience]])</f>
        <v>58</v>
      </c>
      <c r="V14" s="65">
        <f>Zawodnicy[[#This Row],[Shooting]]+Zawodnicy[[#This Row],[Experience]]</f>
        <v>9</v>
      </c>
      <c r="W14" s="68">
        <f>2*Zawodnicy[[#This Row],[Experience]]+Zawodnicy[[#This Row],[Vision]]</f>
        <v>18</v>
      </c>
      <c r="X14" s="11">
        <f>Zawodnicy[[#This Row],[Free Kick Acc]]*7+Zawodnicy[[#This Row],[Long Passing]]*3</f>
        <v>9</v>
      </c>
      <c r="Y14" s="11" t="str">
        <f>IF(Zawodnicy[[#This Row],[Age]]&gt;=19,"Senior","Junior")</f>
        <v>Senior</v>
      </c>
    </row>
    <row r="15" spans="1:25" x14ac:dyDescent="0.25">
      <c r="A15" s="39">
        <v>19</v>
      </c>
      <c r="B15" s="3" t="s">
        <v>27</v>
      </c>
      <c r="C15" s="64" t="s">
        <v>470</v>
      </c>
      <c r="D15" s="64" t="s">
        <v>203</v>
      </c>
      <c r="E15" s="64">
        <v>24</v>
      </c>
      <c r="F15" s="64">
        <v>51</v>
      </c>
      <c r="G15" s="64">
        <v>7</v>
      </c>
      <c r="H15" s="64">
        <v>8</v>
      </c>
      <c r="I15" s="64">
        <v>6</v>
      </c>
      <c r="J15" s="64">
        <v>8</v>
      </c>
      <c r="K15" s="64">
        <v>10</v>
      </c>
      <c r="L15" s="64">
        <v>8</v>
      </c>
      <c r="M15" s="64">
        <v>1</v>
      </c>
      <c r="N15" s="64">
        <v>6</v>
      </c>
      <c r="O15" s="64">
        <v>1</v>
      </c>
      <c r="P15" s="64">
        <v>1</v>
      </c>
      <c r="Q15" s="64">
        <v>2</v>
      </c>
      <c r="R15" s="64">
        <v>7</v>
      </c>
      <c r="S15" s="64">
        <v>0</v>
      </c>
      <c r="T15" s="64">
        <f>SUM(Zawodnicy[[#This Row],[Speed]:[Free Kick Acc]])</f>
        <v>58</v>
      </c>
      <c r="U15" s="64">
        <f>SUM(Zawodnicy[[#This Row],[Speed]:[Experience]])</f>
        <v>65</v>
      </c>
      <c r="V15" s="65">
        <f>Zawodnicy[[#This Row],[Shooting]]+Zawodnicy[[#This Row],[Experience]]</f>
        <v>17</v>
      </c>
      <c r="W15" s="68">
        <f>2*Zawodnicy[[#This Row],[Experience]]+Zawodnicy[[#This Row],[Vision]]</f>
        <v>20</v>
      </c>
      <c r="X15" s="11">
        <f>Zawodnicy[[#This Row],[Free Kick Acc]]*7+Zawodnicy[[#This Row],[Long Passing]]*3</f>
        <v>17</v>
      </c>
      <c r="Y15" s="11" t="str">
        <f>IF(Zawodnicy[[#This Row],[Age]]&gt;=19,"Senior","Junior")</f>
        <v>Senior</v>
      </c>
    </row>
    <row r="16" spans="1:25" x14ac:dyDescent="0.25">
      <c r="A16" s="39">
        <v>20</v>
      </c>
      <c r="B16" s="3" t="s">
        <v>457</v>
      </c>
      <c r="C16" s="64" t="s">
        <v>471</v>
      </c>
      <c r="D16" s="64" t="s">
        <v>472</v>
      </c>
      <c r="E16" s="64">
        <v>20</v>
      </c>
      <c r="F16" s="64">
        <v>55</v>
      </c>
      <c r="G16" s="64">
        <v>8</v>
      </c>
      <c r="H16" s="64">
        <v>6</v>
      </c>
      <c r="I16" s="64">
        <v>3</v>
      </c>
      <c r="J16" s="64">
        <v>2</v>
      </c>
      <c r="K16" s="64">
        <v>4</v>
      </c>
      <c r="L16" s="64">
        <v>2</v>
      </c>
      <c r="M16" s="64">
        <v>1</v>
      </c>
      <c r="N16" s="64">
        <v>10</v>
      </c>
      <c r="O16" s="64">
        <v>4</v>
      </c>
      <c r="P16" s="64">
        <v>4</v>
      </c>
      <c r="Q16" s="64">
        <v>3</v>
      </c>
      <c r="R16" s="64">
        <v>3</v>
      </c>
      <c r="S16" s="64">
        <v>8</v>
      </c>
      <c r="T16" s="64">
        <f>SUM(Zawodnicy[[#This Row],[Speed]:[Free Kick Acc]])</f>
        <v>47</v>
      </c>
      <c r="U16" s="64">
        <f>SUM(Zawodnicy[[#This Row],[Speed]:[Experience]])</f>
        <v>50</v>
      </c>
      <c r="V16" s="65">
        <f>Zawodnicy[[#This Row],[Shooting]]+Zawodnicy[[#This Row],[Experience]]</f>
        <v>7</v>
      </c>
      <c r="W16" s="68">
        <f>2*Zawodnicy[[#This Row],[Experience]]+Zawodnicy[[#This Row],[Vision]]</f>
        <v>9</v>
      </c>
      <c r="X16" s="11">
        <f>Zawodnicy[[#This Row],[Free Kick Acc]]*7+Zawodnicy[[#This Row],[Long Passing]]*3</f>
        <v>33</v>
      </c>
      <c r="Y16" s="11" t="str">
        <f>IF(Zawodnicy[[#This Row],[Age]]&gt;=19,"Senior","Junior")</f>
        <v>Senior</v>
      </c>
    </row>
    <row r="17" spans="1:25" x14ac:dyDescent="0.25">
      <c r="A17" s="39">
        <v>22</v>
      </c>
      <c r="B17" s="3" t="s">
        <v>29</v>
      </c>
      <c r="C17" s="64" t="s">
        <v>473</v>
      </c>
      <c r="D17" s="64" t="s">
        <v>204</v>
      </c>
      <c r="E17" s="64">
        <v>19</v>
      </c>
      <c r="F17" s="64">
        <v>56</v>
      </c>
      <c r="G17" s="64">
        <v>9</v>
      </c>
      <c r="H17" s="64">
        <v>5</v>
      </c>
      <c r="I17" s="64">
        <v>4</v>
      </c>
      <c r="J17" s="64">
        <v>6</v>
      </c>
      <c r="K17" s="64">
        <v>1</v>
      </c>
      <c r="L17" s="64">
        <v>2</v>
      </c>
      <c r="M17" s="64">
        <v>1</v>
      </c>
      <c r="N17" s="64">
        <v>6</v>
      </c>
      <c r="O17" s="64">
        <v>1</v>
      </c>
      <c r="P17" s="64">
        <v>2</v>
      </c>
      <c r="Q17" s="64">
        <v>1</v>
      </c>
      <c r="R17" s="64">
        <v>2</v>
      </c>
      <c r="S17" s="64">
        <v>7</v>
      </c>
      <c r="T17" s="64">
        <f>SUM(Zawodnicy[[#This Row],[Speed]:[Free Kick Acc]])</f>
        <v>38</v>
      </c>
      <c r="U17" s="64">
        <f>SUM(Zawodnicy[[#This Row],[Speed]:[Experience]])</f>
        <v>40</v>
      </c>
      <c r="V17" s="65">
        <f>Zawodnicy[[#This Row],[Shooting]]+Zawodnicy[[#This Row],[Experience]]</f>
        <v>3</v>
      </c>
      <c r="W17" s="68">
        <f>2*Zawodnicy[[#This Row],[Experience]]+Zawodnicy[[#This Row],[Vision]]</f>
        <v>8</v>
      </c>
      <c r="X17" s="11">
        <f>Zawodnicy[[#This Row],[Free Kick Acc]]*7+Zawodnicy[[#This Row],[Long Passing]]*3</f>
        <v>13</v>
      </c>
      <c r="Y17" s="11" t="str">
        <f>IF(Zawodnicy[[#This Row],[Age]]&gt;=19,"Senior","Junior")</f>
        <v>Senior</v>
      </c>
    </row>
    <row r="18" spans="1:25" x14ac:dyDescent="0.25">
      <c r="A18" s="39">
        <v>25</v>
      </c>
      <c r="B18" s="3" t="s">
        <v>30</v>
      </c>
      <c r="C18" s="64" t="s">
        <v>474</v>
      </c>
      <c r="D18" s="64" t="s">
        <v>205</v>
      </c>
      <c r="E18" s="64">
        <v>19</v>
      </c>
      <c r="F18" s="64">
        <v>56</v>
      </c>
      <c r="G18" s="64">
        <v>7</v>
      </c>
      <c r="H18" s="64">
        <v>6</v>
      </c>
      <c r="I18" s="64">
        <v>3</v>
      </c>
      <c r="J18" s="64">
        <v>7</v>
      </c>
      <c r="K18" s="64">
        <v>2</v>
      </c>
      <c r="L18" s="64">
        <v>2</v>
      </c>
      <c r="M18" s="64">
        <v>1</v>
      </c>
      <c r="N18" s="64">
        <v>9</v>
      </c>
      <c r="O18" s="64">
        <v>1</v>
      </c>
      <c r="P18" s="64">
        <v>3</v>
      </c>
      <c r="Q18" s="64">
        <v>1</v>
      </c>
      <c r="R18" s="64">
        <v>2</v>
      </c>
      <c r="S18" s="64">
        <v>7</v>
      </c>
      <c r="T18" s="64">
        <f>SUM(Zawodnicy[[#This Row],[Speed]:[Free Kick Acc]])</f>
        <v>42</v>
      </c>
      <c r="U18" s="64">
        <f>SUM(Zawodnicy[[#This Row],[Speed]:[Experience]])</f>
        <v>44</v>
      </c>
      <c r="V18" s="65">
        <f>Zawodnicy[[#This Row],[Shooting]]+Zawodnicy[[#This Row],[Experience]]</f>
        <v>4</v>
      </c>
      <c r="W18" s="68">
        <f>2*Zawodnicy[[#This Row],[Experience]]+Zawodnicy[[#This Row],[Vision]]</f>
        <v>7</v>
      </c>
      <c r="X18" s="11">
        <f>Zawodnicy[[#This Row],[Free Kick Acc]]*7+Zawodnicy[[#This Row],[Long Passing]]*3</f>
        <v>16</v>
      </c>
      <c r="Y18" s="11" t="str">
        <f>IF(Zawodnicy[[#This Row],[Age]]&gt;=19,"Senior","Junior")</f>
        <v>Senior</v>
      </c>
    </row>
    <row r="19" spans="1:25" x14ac:dyDescent="0.25">
      <c r="A19" s="39">
        <v>26</v>
      </c>
      <c r="B19" s="3" t="s">
        <v>31</v>
      </c>
      <c r="C19" s="64" t="s">
        <v>475</v>
      </c>
      <c r="D19" s="64" t="s">
        <v>206</v>
      </c>
      <c r="E19" s="64">
        <v>19</v>
      </c>
      <c r="F19" s="64">
        <v>56</v>
      </c>
      <c r="G19" s="64">
        <v>8</v>
      </c>
      <c r="H19" s="64">
        <v>6</v>
      </c>
      <c r="I19" s="64">
        <v>1</v>
      </c>
      <c r="J19" s="64">
        <v>3</v>
      </c>
      <c r="K19" s="64">
        <v>6</v>
      </c>
      <c r="L19" s="64">
        <v>2</v>
      </c>
      <c r="M19" s="64">
        <v>0</v>
      </c>
      <c r="N19" s="64">
        <v>9</v>
      </c>
      <c r="O19" s="64">
        <v>0</v>
      </c>
      <c r="P19" s="64">
        <v>2</v>
      </c>
      <c r="Q19" s="64">
        <v>1</v>
      </c>
      <c r="R19" s="64">
        <v>2</v>
      </c>
      <c r="S19" s="64">
        <v>9</v>
      </c>
      <c r="T19" s="64">
        <f>SUM(Zawodnicy[[#This Row],[Speed]:[Free Kick Acc]])</f>
        <v>38</v>
      </c>
      <c r="U19" s="64">
        <f>SUM(Zawodnicy[[#This Row],[Speed]:[Experience]])</f>
        <v>40</v>
      </c>
      <c r="V19" s="65">
        <f>Zawodnicy[[#This Row],[Shooting]]+Zawodnicy[[#This Row],[Experience]]</f>
        <v>8</v>
      </c>
      <c r="W19" s="68">
        <f>2*Zawodnicy[[#This Row],[Experience]]+Zawodnicy[[#This Row],[Vision]]</f>
        <v>5</v>
      </c>
      <c r="X19" s="11">
        <f>Zawodnicy[[#This Row],[Free Kick Acc]]*7+Zawodnicy[[#This Row],[Long Passing]]*3</f>
        <v>13</v>
      </c>
      <c r="Y19" s="11" t="str">
        <f>IF(Zawodnicy[[#This Row],[Age]]&gt;=19,"Senior","Junior")</f>
        <v>Senior</v>
      </c>
    </row>
    <row r="20" spans="1:25" x14ac:dyDescent="0.25">
      <c r="A20" s="39">
        <v>27</v>
      </c>
      <c r="B20" s="3" t="s">
        <v>32</v>
      </c>
      <c r="C20" s="64" t="s">
        <v>476</v>
      </c>
      <c r="D20" s="64" t="s">
        <v>207</v>
      </c>
      <c r="E20" s="64">
        <v>19</v>
      </c>
      <c r="F20" s="64">
        <v>56</v>
      </c>
      <c r="G20" s="64">
        <v>8</v>
      </c>
      <c r="H20" s="64">
        <v>8</v>
      </c>
      <c r="I20" s="64">
        <v>3</v>
      </c>
      <c r="J20" s="64">
        <v>4</v>
      </c>
      <c r="K20" s="64">
        <v>1</v>
      </c>
      <c r="L20" s="64">
        <v>1</v>
      </c>
      <c r="M20" s="64">
        <v>1</v>
      </c>
      <c r="N20" s="64">
        <v>8</v>
      </c>
      <c r="O20" s="64">
        <v>1</v>
      </c>
      <c r="P20" s="64">
        <v>0</v>
      </c>
      <c r="Q20" s="64">
        <v>2</v>
      </c>
      <c r="R20" s="64">
        <v>2</v>
      </c>
      <c r="S20" s="64">
        <v>7</v>
      </c>
      <c r="T20" s="64">
        <f>SUM(Zawodnicy[[#This Row],[Speed]:[Free Kick Acc]])</f>
        <v>37</v>
      </c>
      <c r="U20" s="64">
        <f>SUM(Zawodnicy[[#This Row],[Speed]:[Experience]])</f>
        <v>39</v>
      </c>
      <c r="V20" s="65">
        <f>Zawodnicy[[#This Row],[Shooting]]+Zawodnicy[[#This Row],[Experience]]</f>
        <v>3</v>
      </c>
      <c r="W20" s="68">
        <f>2*Zawodnicy[[#This Row],[Experience]]+Zawodnicy[[#This Row],[Vision]]</f>
        <v>7</v>
      </c>
      <c r="X20" s="11">
        <f>Zawodnicy[[#This Row],[Free Kick Acc]]*7+Zawodnicy[[#This Row],[Long Passing]]*3</f>
        <v>14</v>
      </c>
      <c r="Y20" s="11" t="str">
        <f>IF(Zawodnicy[[#This Row],[Age]]&gt;=19,"Senior","Junior")</f>
        <v>Senior</v>
      </c>
    </row>
    <row r="21" spans="1:25" x14ac:dyDescent="0.25">
      <c r="A21" s="39">
        <v>31</v>
      </c>
      <c r="B21" s="3" t="s">
        <v>28</v>
      </c>
      <c r="C21" s="64" t="s">
        <v>477</v>
      </c>
      <c r="D21" s="64">
        <v>0</v>
      </c>
      <c r="E21" s="64">
        <v>18</v>
      </c>
      <c r="F21" s="64">
        <v>57</v>
      </c>
      <c r="G21" s="64">
        <v>6</v>
      </c>
      <c r="H21" s="64">
        <v>7</v>
      </c>
      <c r="I21" s="64">
        <v>1</v>
      </c>
      <c r="J21" s="64">
        <v>6</v>
      </c>
      <c r="K21" s="64">
        <v>4</v>
      </c>
      <c r="L21" s="64">
        <v>2</v>
      </c>
      <c r="M21" s="64">
        <v>1</v>
      </c>
      <c r="N21" s="64">
        <v>8</v>
      </c>
      <c r="O21" s="64">
        <v>0</v>
      </c>
      <c r="P21" s="64">
        <v>0</v>
      </c>
      <c r="Q21" s="64">
        <v>1</v>
      </c>
      <c r="R21" s="64">
        <v>1</v>
      </c>
      <c r="S21" s="64">
        <v>6</v>
      </c>
      <c r="T21" s="64">
        <f>SUM(Zawodnicy[[#This Row],[Speed]:[Free Kick Acc]])</f>
        <v>36</v>
      </c>
      <c r="U21" s="64">
        <f>SUM(Zawodnicy[[#This Row],[Speed]:[Experience]])</f>
        <v>37</v>
      </c>
      <c r="V21" s="65">
        <f>Zawodnicy[[#This Row],[Shooting]]+Zawodnicy[[#This Row],[Experience]]</f>
        <v>5</v>
      </c>
      <c r="W21" s="68">
        <f>2*Zawodnicy[[#This Row],[Experience]]+Zawodnicy[[#This Row],[Vision]]</f>
        <v>3</v>
      </c>
      <c r="X21" s="11">
        <f>Zawodnicy[[#This Row],[Free Kick Acc]]*7+Zawodnicy[[#This Row],[Long Passing]]*3</f>
        <v>7</v>
      </c>
      <c r="Y21" s="11" t="str">
        <f>IF(Zawodnicy[[#This Row],[Age]]&gt;=19,"Senior","Junior")</f>
        <v>Junior</v>
      </c>
    </row>
    <row r="22" spans="1:25" x14ac:dyDescent="0.25">
      <c r="A22" s="39">
        <v>38</v>
      </c>
      <c r="B22" s="3" t="s">
        <v>151</v>
      </c>
      <c r="C22" s="64" t="s">
        <v>374</v>
      </c>
      <c r="D22" s="64">
        <v>0</v>
      </c>
      <c r="E22" s="64">
        <v>17</v>
      </c>
      <c r="F22" s="64">
        <v>58</v>
      </c>
      <c r="G22" s="64">
        <v>5</v>
      </c>
      <c r="H22" s="64">
        <v>7</v>
      </c>
      <c r="I22" s="64">
        <v>2</v>
      </c>
      <c r="J22" s="64">
        <v>3</v>
      </c>
      <c r="K22" s="64">
        <v>1</v>
      </c>
      <c r="L22" s="64">
        <v>3</v>
      </c>
      <c r="M22" s="64">
        <v>1</v>
      </c>
      <c r="N22" s="64">
        <v>1</v>
      </c>
      <c r="O22" s="64">
        <v>5</v>
      </c>
      <c r="P22" s="64">
        <v>2</v>
      </c>
      <c r="Q22" s="64">
        <v>2</v>
      </c>
      <c r="R22" s="64">
        <v>1</v>
      </c>
      <c r="S22" s="64">
        <v>5</v>
      </c>
      <c r="T22" s="64">
        <f>SUM(Zawodnicy[[#This Row],[Speed]:[Free Kick Acc]])</f>
        <v>32</v>
      </c>
      <c r="U22" s="64">
        <f>SUM(Zawodnicy[[#This Row],[Speed]:[Experience]])</f>
        <v>33</v>
      </c>
      <c r="V22" s="65">
        <f>Zawodnicy[[#This Row],[Shooting]]+Zawodnicy[[#This Row],[Experience]]</f>
        <v>2</v>
      </c>
      <c r="W22" s="68">
        <f>2*Zawodnicy[[#This Row],[Experience]]+Zawodnicy[[#This Row],[Vision]]</f>
        <v>4</v>
      </c>
      <c r="X22" s="11">
        <f>Zawodnicy[[#This Row],[Free Kick Acc]]*7+Zawodnicy[[#This Row],[Long Passing]]*3</f>
        <v>20</v>
      </c>
      <c r="Y22" s="11" t="str">
        <f>IF(Zawodnicy[[#This Row],[Age]]&gt;=19,"Senior","Junior")</f>
        <v>Junior</v>
      </c>
    </row>
    <row r="23" spans="1:25" x14ac:dyDescent="0.25">
      <c r="A23" s="39">
        <v>39</v>
      </c>
      <c r="B23" s="3" t="s">
        <v>33</v>
      </c>
      <c r="C23" s="64" t="s">
        <v>376</v>
      </c>
      <c r="D23" s="64">
        <v>0</v>
      </c>
      <c r="E23" s="64">
        <v>18</v>
      </c>
      <c r="F23" s="64">
        <v>57</v>
      </c>
      <c r="G23" s="64">
        <v>6</v>
      </c>
      <c r="H23" s="64">
        <v>4</v>
      </c>
      <c r="I23" s="64">
        <v>3</v>
      </c>
      <c r="J23" s="64">
        <v>2</v>
      </c>
      <c r="K23" s="64">
        <v>1</v>
      </c>
      <c r="L23" s="64">
        <v>2</v>
      </c>
      <c r="M23" s="64">
        <v>4</v>
      </c>
      <c r="N23" s="64">
        <v>2</v>
      </c>
      <c r="O23" s="64">
        <v>1</v>
      </c>
      <c r="P23" s="64">
        <v>3</v>
      </c>
      <c r="Q23" s="64">
        <v>2</v>
      </c>
      <c r="R23" s="64">
        <v>1</v>
      </c>
      <c r="S23" s="64">
        <v>6</v>
      </c>
      <c r="T23" s="64">
        <f>SUM(Zawodnicy[[#This Row],[Speed]:[Free Kick Acc]])</f>
        <v>30</v>
      </c>
      <c r="U23" s="64">
        <f>SUM(Zawodnicy[[#This Row],[Speed]:[Experience]])</f>
        <v>31</v>
      </c>
      <c r="V23" s="65">
        <f>Zawodnicy[[#This Row],[Shooting]]+Zawodnicy[[#This Row],[Experience]]</f>
        <v>2</v>
      </c>
      <c r="W23" s="68">
        <f>2*Zawodnicy[[#This Row],[Experience]]+Zawodnicy[[#This Row],[Vision]]</f>
        <v>5</v>
      </c>
      <c r="X23" s="11">
        <f>Zawodnicy[[#This Row],[Free Kick Acc]]*7+Zawodnicy[[#This Row],[Long Passing]]*3</f>
        <v>23</v>
      </c>
      <c r="Y23" s="11" t="str">
        <f>IF(Zawodnicy[[#This Row],[Age]]&gt;=19,"Senior","Junior")</f>
        <v>Junior</v>
      </c>
    </row>
    <row r="24" spans="1:25" x14ac:dyDescent="0.25">
      <c r="A24" s="39">
        <v>40</v>
      </c>
      <c r="B24" s="3" t="s">
        <v>152</v>
      </c>
      <c r="C24" s="64" t="s">
        <v>478</v>
      </c>
      <c r="D24" s="64">
        <v>0</v>
      </c>
      <c r="E24" s="64">
        <v>17</v>
      </c>
      <c r="F24" s="64">
        <v>58</v>
      </c>
      <c r="G24" s="64">
        <v>7</v>
      </c>
      <c r="H24" s="64">
        <v>6</v>
      </c>
      <c r="I24" s="64">
        <v>3</v>
      </c>
      <c r="J24" s="64">
        <v>3</v>
      </c>
      <c r="K24" s="64">
        <v>0</v>
      </c>
      <c r="L24" s="64">
        <v>2</v>
      </c>
      <c r="M24" s="64">
        <v>1</v>
      </c>
      <c r="N24" s="64">
        <v>2</v>
      </c>
      <c r="O24" s="64">
        <v>1</v>
      </c>
      <c r="P24" s="64">
        <v>1</v>
      </c>
      <c r="Q24" s="64">
        <v>1</v>
      </c>
      <c r="R24" s="64">
        <v>1</v>
      </c>
      <c r="S24" s="64">
        <v>8</v>
      </c>
      <c r="T24" s="64">
        <f>SUM(Zawodnicy[[#This Row],[Speed]:[Free Kick Acc]])</f>
        <v>27</v>
      </c>
      <c r="U24" s="64">
        <f>SUM(Zawodnicy[[#This Row],[Speed]:[Experience]])</f>
        <v>28</v>
      </c>
      <c r="V24" s="65">
        <f>Zawodnicy[[#This Row],[Shooting]]+Zawodnicy[[#This Row],[Experience]]</f>
        <v>1</v>
      </c>
      <c r="W24" s="68">
        <f>2*Zawodnicy[[#This Row],[Experience]]+Zawodnicy[[#This Row],[Vision]]</f>
        <v>5</v>
      </c>
      <c r="X24" s="11">
        <f>Zawodnicy[[#This Row],[Free Kick Acc]]*7+Zawodnicy[[#This Row],[Long Passing]]*3</f>
        <v>10</v>
      </c>
      <c r="Y24" s="11" t="str">
        <f>IF(Zawodnicy[[#This Row],[Age]]&gt;=19,"Senior","Junior")</f>
        <v>Junior</v>
      </c>
    </row>
    <row r="25" spans="1:25" x14ac:dyDescent="0.25">
      <c r="A25" s="39">
        <v>42</v>
      </c>
      <c r="B25" s="3" t="s">
        <v>35</v>
      </c>
      <c r="C25" s="64" t="s">
        <v>479</v>
      </c>
      <c r="D25" s="64">
        <v>0</v>
      </c>
      <c r="E25" s="64">
        <v>18</v>
      </c>
      <c r="F25" s="64">
        <v>57</v>
      </c>
      <c r="G25" s="64">
        <v>9</v>
      </c>
      <c r="H25" s="64">
        <v>5</v>
      </c>
      <c r="I25" s="64">
        <v>0</v>
      </c>
      <c r="J25" s="64">
        <v>2</v>
      </c>
      <c r="K25" s="64">
        <v>1</v>
      </c>
      <c r="L25" s="64">
        <v>1</v>
      </c>
      <c r="M25" s="64">
        <v>0</v>
      </c>
      <c r="N25" s="64">
        <v>3</v>
      </c>
      <c r="O25" s="64">
        <v>2</v>
      </c>
      <c r="P25" s="64">
        <v>6</v>
      </c>
      <c r="Q25" s="64">
        <v>1</v>
      </c>
      <c r="R25" s="64">
        <v>1</v>
      </c>
      <c r="S25" s="64">
        <v>9</v>
      </c>
      <c r="T25" s="64">
        <f>SUM(Zawodnicy[[#This Row],[Speed]:[Free Kick Acc]])</f>
        <v>30</v>
      </c>
      <c r="U25" s="64">
        <f>SUM(Zawodnicy[[#This Row],[Speed]:[Experience]])</f>
        <v>31</v>
      </c>
      <c r="V25" s="65">
        <f>Zawodnicy[[#This Row],[Shooting]]+Zawodnicy[[#This Row],[Experience]]</f>
        <v>2</v>
      </c>
      <c r="W25" s="68">
        <f>2*Zawodnicy[[#This Row],[Experience]]+Zawodnicy[[#This Row],[Vision]]</f>
        <v>2</v>
      </c>
      <c r="X25" s="11">
        <f>Zawodnicy[[#This Row],[Free Kick Acc]]*7+Zawodnicy[[#This Row],[Long Passing]]*3</f>
        <v>25</v>
      </c>
      <c r="Y25" s="11" t="str">
        <f>IF(Zawodnicy[[#This Row],[Age]]&gt;=19,"Senior","Junior")</f>
        <v>Junior</v>
      </c>
    </row>
    <row r="26" spans="1:25" x14ac:dyDescent="0.25">
      <c r="A26" s="39">
        <v>45</v>
      </c>
      <c r="B26" s="3" t="s">
        <v>97</v>
      </c>
      <c r="C26" s="64" t="s">
        <v>480</v>
      </c>
      <c r="D26" s="64">
        <v>0</v>
      </c>
      <c r="E26" s="64">
        <v>18</v>
      </c>
      <c r="F26" s="64">
        <v>57</v>
      </c>
      <c r="G26" s="64">
        <v>7</v>
      </c>
      <c r="H26" s="64">
        <v>8</v>
      </c>
      <c r="I26" s="64">
        <v>3</v>
      </c>
      <c r="J26" s="64">
        <v>5</v>
      </c>
      <c r="K26" s="64">
        <v>4</v>
      </c>
      <c r="L26" s="64">
        <v>2</v>
      </c>
      <c r="M26" s="64">
        <v>1</v>
      </c>
      <c r="N26" s="64">
        <v>3</v>
      </c>
      <c r="O26" s="64">
        <v>2</v>
      </c>
      <c r="P26" s="64">
        <v>3</v>
      </c>
      <c r="Q26" s="64">
        <v>0</v>
      </c>
      <c r="R26" s="64">
        <v>1</v>
      </c>
      <c r="S26" s="64">
        <v>8</v>
      </c>
      <c r="T26" s="64">
        <f>SUM(Zawodnicy[[#This Row],[Speed]:[Free Kick Acc]])</f>
        <v>38</v>
      </c>
      <c r="U26" s="64">
        <f>SUM(Zawodnicy[[#This Row],[Speed]:[Experience]])</f>
        <v>39</v>
      </c>
      <c r="V26" s="65">
        <f>Zawodnicy[[#This Row],[Shooting]]+Zawodnicy[[#This Row],[Experience]]</f>
        <v>5</v>
      </c>
      <c r="W26" s="68">
        <f>2*Zawodnicy[[#This Row],[Experience]]+Zawodnicy[[#This Row],[Vision]]</f>
        <v>5</v>
      </c>
      <c r="X26" s="11">
        <f>Zawodnicy[[#This Row],[Free Kick Acc]]*7+Zawodnicy[[#This Row],[Long Passing]]*3</f>
        <v>9</v>
      </c>
      <c r="Y26" s="11" t="str">
        <f>IF(Zawodnicy[[#This Row],[Age]]&gt;=19,"Senior","Junior")</f>
        <v>Junior</v>
      </c>
    </row>
    <row r="27" spans="1:25" x14ac:dyDescent="0.25">
      <c r="A27" s="39">
        <v>46</v>
      </c>
      <c r="B27" s="3" t="s">
        <v>153</v>
      </c>
      <c r="C27" s="64" t="s">
        <v>481</v>
      </c>
      <c r="D27" s="64">
        <v>0</v>
      </c>
      <c r="E27" s="64">
        <v>17</v>
      </c>
      <c r="F27" s="64">
        <v>58</v>
      </c>
      <c r="G27" s="64">
        <v>6</v>
      </c>
      <c r="H27" s="64">
        <v>3</v>
      </c>
      <c r="I27" s="64">
        <v>1</v>
      </c>
      <c r="J27" s="64">
        <v>1</v>
      </c>
      <c r="K27" s="64">
        <v>3</v>
      </c>
      <c r="L27" s="64">
        <v>3</v>
      </c>
      <c r="M27" s="64">
        <v>1</v>
      </c>
      <c r="N27" s="64">
        <v>3</v>
      </c>
      <c r="O27" s="64">
        <v>1</v>
      </c>
      <c r="P27" s="64">
        <v>1</v>
      </c>
      <c r="Q27" s="64">
        <v>2</v>
      </c>
      <c r="R27" s="64">
        <v>1</v>
      </c>
      <c r="S27" s="64">
        <v>2</v>
      </c>
      <c r="T27" s="64">
        <f>SUM(Zawodnicy[[#This Row],[Speed]:[Free Kick Acc]])</f>
        <v>25</v>
      </c>
      <c r="U27" s="64">
        <f>SUM(Zawodnicy[[#This Row],[Speed]:[Experience]])</f>
        <v>26</v>
      </c>
      <c r="V27" s="65">
        <f>Zawodnicy[[#This Row],[Shooting]]+Zawodnicy[[#This Row],[Experience]]</f>
        <v>4</v>
      </c>
      <c r="W27" s="68">
        <f>2*Zawodnicy[[#This Row],[Experience]]+Zawodnicy[[#This Row],[Vision]]</f>
        <v>3</v>
      </c>
      <c r="X27" s="11">
        <f>Zawodnicy[[#This Row],[Free Kick Acc]]*7+Zawodnicy[[#This Row],[Long Passing]]*3</f>
        <v>17</v>
      </c>
      <c r="Y27" s="11" t="str">
        <f>IF(Zawodnicy[[#This Row],[Age]]&gt;=19,"Senior","Junior")</f>
        <v>Junior</v>
      </c>
    </row>
    <row r="28" spans="1:25" x14ac:dyDescent="0.25">
      <c r="A28" s="39">
        <v>48</v>
      </c>
      <c r="B28" s="3" t="s">
        <v>184</v>
      </c>
      <c r="C28" s="64" t="s">
        <v>373</v>
      </c>
      <c r="D28" s="64">
        <v>0</v>
      </c>
      <c r="E28" s="64">
        <v>16</v>
      </c>
      <c r="F28" s="64">
        <v>59</v>
      </c>
      <c r="G28" s="64">
        <v>1</v>
      </c>
      <c r="H28" s="64">
        <v>2</v>
      </c>
      <c r="I28" s="64">
        <v>1</v>
      </c>
      <c r="J28" s="64">
        <v>1</v>
      </c>
      <c r="K28" s="64">
        <v>2</v>
      </c>
      <c r="L28" s="64">
        <v>2</v>
      </c>
      <c r="M28" s="64">
        <v>1</v>
      </c>
      <c r="N28" s="64">
        <v>3</v>
      </c>
      <c r="O28" s="64">
        <v>0</v>
      </c>
      <c r="P28" s="64">
        <v>3</v>
      </c>
      <c r="Q28" s="64">
        <v>1</v>
      </c>
      <c r="R28" s="64">
        <v>0</v>
      </c>
      <c r="S28" s="64">
        <v>5</v>
      </c>
      <c r="T28" s="64">
        <f>SUM(Zawodnicy[[#This Row],[Speed]:[Free Kick Acc]])</f>
        <v>17</v>
      </c>
      <c r="U28" s="64">
        <f>SUM(Zawodnicy[[#This Row],[Speed]:[Experience]])</f>
        <v>17</v>
      </c>
      <c r="V28" s="65">
        <f>Zawodnicy[[#This Row],[Shooting]]+Zawodnicy[[#This Row],[Experience]]</f>
        <v>2</v>
      </c>
      <c r="W28" s="68">
        <f>2*Zawodnicy[[#This Row],[Experience]]+Zawodnicy[[#This Row],[Vision]]</f>
        <v>1</v>
      </c>
      <c r="X28" s="11">
        <f>Zawodnicy[[#This Row],[Free Kick Acc]]*7+Zawodnicy[[#This Row],[Long Passing]]*3</f>
        <v>16</v>
      </c>
      <c r="Y28" s="11" t="str">
        <f>IF(Zawodnicy[[#This Row],[Age]]&gt;=19,"Senior","Junior")</f>
        <v>Junior</v>
      </c>
    </row>
    <row r="29" spans="1:25" x14ac:dyDescent="0.25">
      <c r="A29" s="39">
        <v>49</v>
      </c>
      <c r="B29" s="3" t="s">
        <v>185</v>
      </c>
      <c r="C29" s="64" t="s">
        <v>482</v>
      </c>
      <c r="D29" s="64">
        <v>0</v>
      </c>
      <c r="E29" s="64">
        <v>16</v>
      </c>
      <c r="F29" s="64">
        <v>59</v>
      </c>
      <c r="G29" s="64">
        <v>3</v>
      </c>
      <c r="H29" s="64">
        <v>1</v>
      </c>
      <c r="I29" s="64">
        <v>1</v>
      </c>
      <c r="J29" s="64">
        <v>0</v>
      </c>
      <c r="K29" s="64">
        <v>0</v>
      </c>
      <c r="L29" s="64">
        <v>1</v>
      </c>
      <c r="M29" s="64">
        <v>4</v>
      </c>
      <c r="N29" s="64">
        <v>1</v>
      </c>
      <c r="O29" s="64">
        <v>1</v>
      </c>
      <c r="P29" s="64">
        <v>2</v>
      </c>
      <c r="Q29" s="64">
        <v>1</v>
      </c>
      <c r="R29" s="64">
        <v>0</v>
      </c>
      <c r="S29" s="64">
        <v>8</v>
      </c>
      <c r="T29" s="64">
        <f>SUM(Zawodnicy[[#This Row],[Speed]:[Free Kick Acc]])</f>
        <v>15</v>
      </c>
      <c r="U29" s="64">
        <f>SUM(Zawodnicy[[#This Row],[Speed]:[Experience]])</f>
        <v>15</v>
      </c>
      <c r="V29" s="65">
        <f>Zawodnicy[[#This Row],[Shooting]]+Zawodnicy[[#This Row],[Experience]]</f>
        <v>0</v>
      </c>
      <c r="W29" s="68">
        <f>2*Zawodnicy[[#This Row],[Experience]]+Zawodnicy[[#This Row],[Vision]]</f>
        <v>1</v>
      </c>
      <c r="X29" s="11">
        <f>Zawodnicy[[#This Row],[Free Kick Acc]]*7+Zawodnicy[[#This Row],[Long Passing]]*3</f>
        <v>13</v>
      </c>
      <c r="Y29" s="11" t="str">
        <f>IF(Zawodnicy[[#This Row],[Age]]&gt;=19,"Senior","Junior")</f>
        <v>Junior</v>
      </c>
    </row>
    <row r="30" spans="1:25" x14ac:dyDescent="0.25">
      <c r="A30" s="39">
        <v>50</v>
      </c>
      <c r="B30" s="3" t="s">
        <v>186</v>
      </c>
      <c r="C30" s="64" t="s">
        <v>208</v>
      </c>
      <c r="D30" s="64">
        <v>0</v>
      </c>
      <c r="E30" s="64">
        <v>16</v>
      </c>
      <c r="F30" s="64">
        <v>59</v>
      </c>
      <c r="G30" s="64">
        <v>2</v>
      </c>
      <c r="H30" s="64">
        <v>1</v>
      </c>
      <c r="I30" s="64">
        <v>1</v>
      </c>
      <c r="J30" s="64">
        <v>1</v>
      </c>
      <c r="K30" s="64">
        <v>1</v>
      </c>
      <c r="L30" s="64">
        <v>2</v>
      </c>
      <c r="M30" s="64">
        <v>2</v>
      </c>
      <c r="N30" s="64">
        <v>3</v>
      </c>
      <c r="O30" s="64">
        <v>3</v>
      </c>
      <c r="P30" s="64">
        <v>0</v>
      </c>
      <c r="Q30" s="64">
        <v>1</v>
      </c>
      <c r="R30" s="64">
        <v>0</v>
      </c>
      <c r="S30" s="64">
        <v>7</v>
      </c>
      <c r="T30" s="66">
        <f>SUM(Zawodnicy[[#This Row],[Speed]:[Free Kick Acc]])</f>
        <v>17</v>
      </c>
      <c r="U30" s="66">
        <f>SUM(Zawodnicy[[#This Row],[Speed]:[Experience]])</f>
        <v>17</v>
      </c>
      <c r="V30" s="65">
        <f>Zawodnicy[[#This Row],[Shooting]]+Zawodnicy[[#This Row],[Experience]]</f>
        <v>1</v>
      </c>
      <c r="W30" s="68">
        <f>2*Zawodnicy[[#This Row],[Experience]]+Zawodnicy[[#This Row],[Vision]]</f>
        <v>1</v>
      </c>
      <c r="X30" s="11">
        <f>Zawodnicy[[#This Row],[Free Kick Acc]]*7+Zawodnicy[[#This Row],[Long Passing]]*3</f>
        <v>7</v>
      </c>
      <c r="Y30" s="11" t="str">
        <f>IF(Zawodnicy[[#This Row],[Age]]&gt;=19,"Senior","Junior")</f>
        <v>Junior</v>
      </c>
    </row>
    <row r="31" spans="1:25" x14ac:dyDescent="0.25">
      <c r="A31" s="39">
        <v>51</v>
      </c>
      <c r="B31" s="3" t="s">
        <v>532</v>
      </c>
      <c r="C31" s="105">
        <v>20039</v>
      </c>
      <c r="D31" s="64">
        <v>0</v>
      </c>
      <c r="E31" s="64">
        <v>16</v>
      </c>
      <c r="F31" s="64">
        <v>59</v>
      </c>
      <c r="G31" s="64">
        <v>2</v>
      </c>
      <c r="H31" s="64">
        <v>1</v>
      </c>
      <c r="I31" s="64">
        <v>2</v>
      </c>
      <c r="J31" s="64">
        <v>0</v>
      </c>
      <c r="K31" s="64">
        <v>2</v>
      </c>
      <c r="L31" s="64">
        <v>2</v>
      </c>
      <c r="M31" s="64">
        <v>2</v>
      </c>
      <c r="N31" s="64">
        <v>0</v>
      </c>
      <c r="O31" s="64">
        <v>2</v>
      </c>
      <c r="P31" s="64">
        <v>1</v>
      </c>
      <c r="Q31" s="64">
        <v>1</v>
      </c>
      <c r="R31" s="64">
        <v>0</v>
      </c>
      <c r="S31" s="64">
        <v>5</v>
      </c>
      <c r="T31" s="64">
        <f>SUM(Zawodnicy[[#This Row],[Speed]:[Free Kick Acc]])</f>
        <v>15</v>
      </c>
      <c r="U31">
        <f>SUM(Zawodnicy[[#This Row],[Speed]:[Experience]])</f>
        <v>15</v>
      </c>
      <c r="V31" s="65">
        <f>Zawodnicy[[#This Row],[Shooting]]+Zawodnicy[[#This Row],[Experience]]</f>
        <v>2</v>
      </c>
      <c r="W31" s="68">
        <f>2*Zawodnicy[[#This Row],[Experience]]+Zawodnicy[[#This Row],[Vision]]</f>
        <v>2</v>
      </c>
      <c r="X31" s="11">
        <f>Zawodnicy[[#This Row],[Free Kick Acc]]*7+Zawodnicy[[#This Row],[Long Passing]]*3</f>
        <v>10</v>
      </c>
      <c r="Y31" s="11" t="str">
        <f>IF(Zawodnicy[[#This Row],[Age]]&gt;=19,"Senior","Junior")</f>
        <v>Junior</v>
      </c>
    </row>
    <row r="32" spans="1:25" x14ac:dyDescent="0.25">
      <c r="A32" s="39">
        <v>52</v>
      </c>
      <c r="B32" s="3" t="s">
        <v>187</v>
      </c>
      <c r="C32" s="64" t="s">
        <v>483</v>
      </c>
      <c r="D32" s="64">
        <v>0</v>
      </c>
      <c r="E32" s="64">
        <v>16</v>
      </c>
      <c r="F32" s="64">
        <v>59</v>
      </c>
      <c r="G32" s="64">
        <v>0</v>
      </c>
      <c r="H32" s="64">
        <v>2</v>
      </c>
      <c r="I32" s="64">
        <v>0</v>
      </c>
      <c r="J32" s="64">
        <v>1</v>
      </c>
      <c r="K32" s="64">
        <v>4</v>
      </c>
      <c r="L32" s="64">
        <v>1</v>
      </c>
      <c r="M32" s="64">
        <v>2</v>
      </c>
      <c r="N32" s="64">
        <v>5</v>
      </c>
      <c r="O32" s="64">
        <v>1</v>
      </c>
      <c r="P32" s="64">
        <v>3</v>
      </c>
      <c r="Q32" s="64">
        <v>3</v>
      </c>
      <c r="R32" s="64">
        <v>0</v>
      </c>
      <c r="S32" s="64">
        <v>3</v>
      </c>
      <c r="T32" s="64">
        <f>SUM(Zawodnicy[[#This Row],[Speed]:[Free Kick Acc]])</f>
        <v>22</v>
      </c>
      <c r="U32">
        <f>SUM(Zawodnicy[[#This Row],[Speed]:[Experience]])</f>
        <v>22</v>
      </c>
      <c r="V32" s="65">
        <f>Zawodnicy[[#This Row],[Shooting]]+Zawodnicy[[#This Row],[Experience]]</f>
        <v>4</v>
      </c>
      <c r="W32" s="68">
        <f>2*Zawodnicy[[#This Row],[Experience]]+Zawodnicy[[#This Row],[Vision]]</f>
        <v>0</v>
      </c>
      <c r="X32" s="11">
        <f>Zawodnicy[[#This Row],[Free Kick Acc]]*7+Zawodnicy[[#This Row],[Long Passing]]*3</f>
        <v>30</v>
      </c>
      <c r="Y32" s="11" t="str">
        <f>IF(Zawodnicy[[#This Row],[Age]]&gt;=19,"Senior","Junior")</f>
        <v>Junior</v>
      </c>
    </row>
    <row r="33" spans="1:25" x14ac:dyDescent="0.25">
      <c r="A33" s="39">
        <v>53</v>
      </c>
      <c r="B33" s="3" t="s">
        <v>188</v>
      </c>
      <c r="C33" s="64" t="s">
        <v>209</v>
      </c>
      <c r="D33" s="64">
        <v>0</v>
      </c>
      <c r="E33" s="64">
        <v>16</v>
      </c>
      <c r="F33" s="64">
        <v>59</v>
      </c>
      <c r="G33" s="64">
        <v>0</v>
      </c>
      <c r="H33" s="64">
        <v>3</v>
      </c>
      <c r="I33" s="64">
        <v>2</v>
      </c>
      <c r="J33" s="64">
        <v>1</v>
      </c>
      <c r="K33" s="64">
        <v>2</v>
      </c>
      <c r="L33" s="64">
        <v>1</v>
      </c>
      <c r="M33" s="64">
        <v>1</v>
      </c>
      <c r="N33" s="64">
        <v>2</v>
      </c>
      <c r="O33" s="64">
        <v>1</v>
      </c>
      <c r="P33" s="64">
        <v>2</v>
      </c>
      <c r="Q33" s="64">
        <v>1</v>
      </c>
      <c r="R33" s="64">
        <v>0</v>
      </c>
      <c r="S33" s="64">
        <v>4</v>
      </c>
      <c r="T33" s="64">
        <f>SUM(Zawodnicy[[#This Row],[Speed]:[Free Kick Acc]])</f>
        <v>16</v>
      </c>
      <c r="U33">
        <f>SUM(Zawodnicy[[#This Row],[Speed]:[Experience]])</f>
        <v>16</v>
      </c>
      <c r="V33" s="65">
        <f>Zawodnicy[[#This Row],[Shooting]]+Zawodnicy[[#This Row],[Experience]]</f>
        <v>2</v>
      </c>
      <c r="W33" s="68">
        <f>2*Zawodnicy[[#This Row],[Experience]]+Zawodnicy[[#This Row],[Vision]]</f>
        <v>2</v>
      </c>
      <c r="X33" s="11">
        <f>Zawodnicy[[#This Row],[Free Kick Acc]]*7+Zawodnicy[[#This Row],[Long Passing]]*3</f>
        <v>13</v>
      </c>
      <c r="Y33" s="11" t="str">
        <f>IF(Zawodnicy[[#This Row],[Age]]&gt;=19,"Senior","Junior")</f>
        <v>Junior</v>
      </c>
    </row>
    <row r="34" spans="1:25" x14ac:dyDescent="0.25">
      <c r="A34" s="39">
        <v>59</v>
      </c>
      <c r="B34" s="3" t="s">
        <v>458</v>
      </c>
      <c r="C34" s="64" t="s">
        <v>372</v>
      </c>
      <c r="D34" s="64">
        <v>0</v>
      </c>
      <c r="E34" s="64">
        <v>16</v>
      </c>
      <c r="F34" s="64">
        <v>59</v>
      </c>
      <c r="G34" s="64">
        <v>1</v>
      </c>
      <c r="H34" s="64">
        <v>3</v>
      </c>
      <c r="I34" s="64">
        <v>2</v>
      </c>
      <c r="J34" s="64">
        <v>2</v>
      </c>
      <c r="K34" s="64">
        <v>0</v>
      </c>
      <c r="L34" s="64">
        <v>2</v>
      </c>
      <c r="M34" s="64">
        <v>1</v>
      </c>
      <c r="N34" s="64">
        <v>2</v>
      </c>
      <c r="O34" s="64">
        <v>2</v>
      </c>
      <c r="P34" s="64">
        <v>1</v>
      </c>
      <c r="Q34" s="64">
        <v>0</v>
      </c>
      <c r="R34" s="64">
        <v>0</v>
      </c>
      <c r="S34" s="64">
        <v>8</v>
      </c>
      <c r="T34" s="64">
        <f>SUM(Zawodnicy[[#This Row],[Speed]:[Free Kick Acc]])</f>
        <v>16</v>
      </c>
      <c r="U34">
        <f>SUM(Zawodnicy[[#This Row],[Speed]:[Experience]])</f>
        <v>16</v>
      </c>
      <c r="V34" s="65">
        <f>Zawodnicy[[#This Row],[Shooting]]+Zawodnicy[[#This Row],[Experience]]</f>
        <v>0</v>
      </c>
      <c r="W34" s="68">
        <f>2*Zawodnicy[[#This Row],[Experience]]+Zawodnicy[[#This Row],[Vision]]</f>
        <v>2</v>
      </c>
      <c r="X34" s="11">
        <f>Zawodnicy[[#This Row],[Free Kick Acc]]*7+Zawodnicy[[#This Row],[Long Passing]]*3</f>
        <v>3</v>
      </c>
      <c r="Y34" s="11" t="str">
        <f>IF(Zawodnicy[[#This Row],[Age]]&gt;=19,"Senior","Junior")</f>
        <v>Junior</v>
      </c>
    </row>
    <row r="35" spans="1:25" x14ac:dyDescent="0.25">
      <c r="A35" s="3">
        <v>60</v>
      </c>
      <c r="B35" s="103" t="s">
        <v>531</v>
      </c>
      <c r="C35" s="104">
        <v>813216</v>
      </c>
      <c r="D35" s="104">
        <v>12948</v>
      </c>
      <c r="E35">
        <v>33</v>
      </c>
      <c r="F35">
        <v>42</v>
      </c>
      <c r="G35">
        <v>8</v>
      </c>
      <c r="H35">
        <v>6</v>
      </c>
      <c r="I35">
        <v>8</v>
      </c>
      <c r="J35">
        <v>6</v>
      </c>
      <c r="K35">
        <v>3</v>
      </c>
      <c r="L35">
        <v>7</v>
      </c>
      <c r="M35">
        <v>0</v>
      </c>
      <c r="N35">
        <v>7</v>
      </c>
      <c r="O35">
        <v>9</v>
      </c>
      <c r="P35">
        <v>5</v>
      </c>
      <c r="Q35">
        <v>6</v>
      </c>
      <c r="R35">
        <v>10</v>
      </c>
      <c r="S35">
        <v>8</v>
      </c>
      <c r="T35" s="64">
        <f>SUM(Zawodnicy[[#This Row],[Speed]:[Free Kick Acc]])</f>
        <v>65</v>
      </c>
      <c r="U35">
        <f>SUM(Zawodnicy[[#This Row],[Speed]:[Experience]])</f>
        <v>75</v>
      </c>
      <c r="V35" s="65">
        <f>Zawodnicy[[#This Row],[Shooting]]+Zawodnicy[[#This Row],[Experience]]</f>
        <v>13</v>
      </c>
      <c r="W35" s="68">
        <f>2*Zawodnicy[[#This Row],[Experience]]+Zawodnicy[[#This Row],[Vision]]</f>
        <v>28</v>
      </c>
      <c r="X35" s="11">
        <f>Zawodnicy[[#This Row],[Free Kick Acc]]*7+Zawodnicy[[#This Row],[Long Passing]]*3</f>
        <v>57</v>
      </c>
      <c r="Y35" s="11" t="str">
        <f>IF(Zawodnicy[[#This Row],[Age]]&gt;=19,"Senior","Junior")</f>
        <v>Senior</v>
      </c>
    </row>
    <row r="36" spans="1:25" x14ac:dyDescent="0.25">
      <c r="A36" s="39"/>
      <c r="B36" s="77"/>
      <c r="C36" s="64"/>
      <c r="D36" s="64"/>
      <c r="E36" s="64"/>
      <c r="F36" s="64"/>
      <c r="T36" s="64"/>
      <c r="V36" s="11"/>
      <c r="W36" s="52"/>
      <c r="X36" s="11"/>
      <c r="Y36" s="11"/>
    </row>
    <row r="37" spans="1:25" x14ac:dyDescent="0.25">
      <c r="A37" s="39"/>
      <c r="B37" s="77"/>
      <c r="C37" s="64"/>
      <c r="D37" s="64"/>
      <c r="E37" s="64"/>
      <c r="F37" s="64"/>
      <c r="T37" s="64"/>
      <c r="V37" s="65"/>
      <c r="W37" s="68"/>
      <c r="X37" s="11"/>
      <c r="Y37" s="11"/>
    </row>
    <row r="38" spans="1:25" x14ac:dyDescent="0.25">
      <c r="A38" s="39"/>
      <c r="B38" s="77"/>
      <c r="C38" s="64"/>
      <c r="D38" s="64"/>
      <c r="E38" s="64"/>
      <c r="F38" s="64"/>
      <c r="T38" s="64"/>
      <c r="V38" s="65"/>
      <c r="W38" s="68"/>
      <c r="X38" s="11"/>
      <c r="Y38" s="11"/>
    </row>
    <row r="39" spans="1:25" x14ac:dyDescent="0.25">
      <c r="A39" s="39"/>
      <c r="B39" s="77"/>
      <c r="C39" s="64"/>
      <c r="D39" s="64"/>
      <c r="E39" s="64"/>
      <c r="F39" s="64"/>
      <c r="T39" s="64"/>
      <c r="V39" s="65"/>
      <c r="W39" s="68"/>
      <c r="X39" s="11"/>
      <c r="Y39" s="11"/>
    </row>
    <row r="40" spans="1:25" x14ac:dyDescent="0.25">
      <c r="A40" s="39"/>
      <c r="B40" s="77"/>
      <c r="C40" s="64"/>
      <c r="D40" s="64"/>
      <c r="E40" s="64"/>
      <c r="F40" s="64"/>
      <c r="T40" s="64"/>
      <c r="V40" s="65"/>
      <c r="W40" s="68"/>
      <c r="X40" s="11"/>
      <c r="Y40" s="11"/>
    </row>
    <row r="41" spans="1:25" x14ac:dyDescent="0.25">
      <c r="A41" s="39"/>
      <c r="B41" s="77"/>
      <c r="C41" s="64"/>
      <c r="D41" s="64"/>
      <c r="E41" s="64"/>
      <c r="F41" s="64"/>
      <c r="T41" s="64"/>
      <c r="V41" s="65"/>
      <c r="W41" s="68"/>
      <c r="X41" s="11"/>
      <c r="Y41" s="11"/>
    </row>
    <row r="42" spans="1:25" x14ac:dyDescent="0.25">
      <c r="A42" s="39"/>
      <c r="B42" s="77"/>
      <c r="C42" s="64"/>
      <c r="D42" s="64"/>
      <c r="E42" s="64"/>
      <c r="F42" s="64"/>
      <c r="T42" s="64"/>
      <c r="V42" s="65"/>
      <c r="W42" s="68"/>
      <c r="X42" s="11"/>
      <c r="Y42" s="11"/>
    </row>
    <row r="43" spans="1:25" x14ac:dyDescent="0.25">
      <c r="A43" s="39"/>
      <c r="B43" s="77"/>
      <c r="C43" s="64"/>
      <c r="D43" s="64"/>
      <c r="E43" s="64"/>
      <c r="F43" s="64"/>
      <c r="T43" s="64"/>
      <c r="V43" s="65"/>
      <c r="W43" s="68"/>
      <c r="X43" s="11"/>
      <c r="Y43" s="11"/>
    </row>
    <row r="44" spans="1:25" x14ac:dyDescent="0.25">
      <c r="A44" s="39"/>
      <c r="B44" s="77"/>
      <c r="C44" s="64"/>
      <c r="D44" s="64"/>
      <c r="E44" s="64"/>
      <c r="F44" s="64"/>
      <c r="T44" s="64"/>
      <c r="V44" s="65"/>
      <c r="W44" s="68"/>
      <c r="X44" s="11"/>
      <c r="Y44" s="11"/>
    </row>
    <row r="45" spans="1:25" x14ac:dyDescent="0.25">
      <c r="A45" s="39"/>
      <c r="B45" s="77"/>
      <c r="C45" s="64"/>
      <c r="D45" s="64"/>
      <c r="E45" s="64"/>
      <c r="F45" s="64"/>
      <c r="T45" s="64"/>
      <c r="V45" s="65"/>
      <c r="W45" s="68"/>
      <c r="X45" s="11"/>
      <c r="Y45" s="11"/>
    </row>
    <row r="46" spans="1:25" x14ac:dyDescent="0.25">
      <c r="A46" s="39"/>
      <c r="B46" s="77"/>
      <c r="C46" s="64"/>
      <c r="D46" s="64"/>
      <c r="E46" s="64"/>
      <c r="F46" s="64"/>
      <c r="T46" s="64"/>
      <c r="V46" s="65"/>
      <c r="W46" s="68"/>
      <c r="X46" s="11"/>
      <c r="Y46" s="11"/>
    </row>
    <row r="47" spans="1:25" x14ac:dyDescent="0.25">
      <c r="A47" s="39"/>
      <c r="B47" s="77"/>
      <c r="C47" s="64"/>
      <c r="D47" s="64"/>
      <c r="E47" s="64"/>
      <c r="F47" s="64"/>
      <c r="T47" s="64"/>
      <c r="V47" s="65"/>
      <c r="W47" s="68"/>
      <c r="X47" s="11"/>
      <c r="Y47" s="11"/>
    </row>
    <row r="48" spans="1:25" x14ac:dyDescent="0.25">
      <c r="A48" s="39"/>
      <c r="B48" s="77"/>
      <c r="C48" s="64"/>
      <c r="D48" s="64"/>
      <c r="E48" s="64"/>
      <c r="F48" s="64"/>
      <c r="T48" s="64"/>
      <c r="V48" s="65"/>
      <c r="W48" s="68"/>
      <c r="X48" s="11"/>
      <c r="Y48" s="11"/>
    </row>
    <row r="49" spans="1:25" x14ac:dyDescent="0.25">
      <c r="A49" s="39"/>
      <c r="B49" s="77"/>
      <c r="C49" s="64"/>
      <c r="D49" s="64"/>
      <c r="E49" s="64"/>
      <c r="F49" s="64"/>
      <c r="T49" s="64"/>
      <c r="V49" s="65"/>
      <c r="W49" s="68"/>
      <c r="X49" s="11"/>
      <c r="Y49" s="11"/>
    </row>
    <row r="50" spans="1:25" x14ac:dyDescent="0.25">
      <c r="A50" s="39"/>
      <c r="B50" s="77"/>
      <c r="C50" s="64"/>
      <c r="D50" s="64"/>
      <c r="E50" s="64"/>
      <c r="F50" s="64"/>
      <c r="T50" s="64"/>
      <c r="V50" s="65"/>
      <c r="W50" s="68"/>
      <c r="X50" s="11"/>
      <c r="Y50" s="11"/>
    </row>
    <row r="51" spans="1:25" x14ac:dyDescent="0.25">
      <c r="A51" s="39"/>
      <c r="B51" s="77"/>
      <c r="C51" s="64"/>
      <c r="D51" s="64"/>
      <c r="E51" s="64"/>
      <c r="F51" s="64"/>
      <c r="T51" s="64"/>
      <c r="V51" s="65"/>
      <c r="W51" s="68"/>
      <c r="X51" s="11"/>
      <c r="Y51" s="11"/>
    </row>
    <row r="52" spans="1:25" x14ac:dyDescent="0.25">
      <c r="A52" s="39"/>
      <c r="B52" s="77"/>
      <c r="C52" s="64"/>
      <c r="D52" s="64"/>
      <c r="E52" s="64"/>
      <c r="F52" s="64"/>
      <c r="T52" s="64"/>
      <c r="V52" s="65"/>
      <c r="W52" s="68"/>
      <c r="X52" s="11"/>
      <c r="Y52" s="11"/>
    </row>
    <row r="53" spans="1:25" x14ac:dyDescent="0.25">
      <c r="A53" s="39"/>
      <c r="B53" s="77"/>
      <c r="C53" s="64"/>
      <c r="D53" s="64"/>
      <c r="E53" s="64"/>
      <c r="F53" s="64"/>
      <c r="T53" s="64"/>
      <c r="V53" s="65"/>
      <c r="W53" s="68"/>
      <c r="X53" s="11"/>
      <c r="Y53" s="11"/>
    </row>
    <row r="54" spans="1:25" x14ac:dyDescent="0.25">
      <c r="A54" s="39"/>
      <c r="B54" s="77"/>
      <c r="C54" s="64"/>
      <c r="D54" s="64"/>
      <c r="E54" s="64"/>
      <c r="F54" s="64"/>
      <c r="T54" s="64"/>
      <c r="V54" s="65"/>
      <c r="W54" s="68"/>
      <c r="X54" s="11"/>
      <c r="Y54" s="11"/>
    </row>
    <row r="55" spans="1:25" x14ac:dyDescent="0.25">
      <c r="A55" s="39"/>
      <c r="B55" s="77"/>
      <c r="C55" s="64"/>
      <c r="D55" s="64"/>
      <c r="E55" s="64"/>
      <c r="F55" s="64"/>
      <c r="T55" s="64"/>
      <c r="V55" s="65"/>
      <c r="W55" s="68"/>
      <c r="X55" s="11"/>
      <c r="Y55" s="11"/>
    </row>
    <row r="56" spans="1:25" x14ac:dyDescent="0.25">
      <c r="A56" s="39"/>
      <c r="B56" s="77"/>
      <c r="C56" s="64"/>
      <c r="D56" s="64"/>
      <c r="E56" s="64"/>
      <c r="F56" s="64"/>
      <c r="T56" s="64"/>
      <c r="V56" s="65"/>
      <c r="W56" s="68"/>
      <c r="X56" s="11"/>
      <c r="Y56" s="11"/>
    </row>
    <row r="57" spans="1:25" x14ac:dyDescent="0.25">
      <c r="A57" s="39"/>
      <c r="B57" s="77"/>
      <c r="C57" s="64"/>
      <c r="D57" s="64"/>
      <c r="E57" s="64"/>
      <c r="F57" s="64"/>
      <c r="T57" s="64"/>
      <c r="V57" s="65"/>
      <c r="W57" s="68"/>
      <c r="X57" s="11"/>
      <c r="Y57" s="11"/>
    </row>
    <row r="58" spans="1:25" x14ac:dyDescent="0.25">
      <c r="A58" s="39"/>
      <c r="B58" s="77"/>
      <c r="C58" s="64"/>
      <c r="D58" s="64"/>
      <c r="E58" s="64"/>
      <c r="F58" s="64"/>
      <c r="T58" s="64"/>
      <c r="V58" s="65"/>
      <c r="W58" s="68"/>
      <c r="X58" s="11"/>
      <c r="Y58" s="11"/>
    </row>
    <row r="59" spans="1:25" x14ac:dyDescent="0.25">
      <c r="A59" s="39"/>
      <c r="B59" s="77"/>
      <c r="C59" s="64"/>
      <c r="D59" s="64"/>
      <c r="E59" s="64"/>
      <c r="F59" s="64"/>
      <c r="T59" s="64"/>
      <c r="V59" s="65"/>
      <c r="W59" s="68"/>
      <c r="X59" s="11"/>
      <c r="Y59" s="11"/>
    </row>
    <row r="60" spans="1:25" x14ac:dyDescent="0.25">
      <c r="A60" s="39"/>
      <c r="B60" s="77"/>
      <c r="C60" s="64"/>
      <c r="D60" s="64"/>
      <c r="E60" s="64"/>
      <c r="F60" s="64"/>
      <c r="T60" s="64"/>
      <c r="V60" s="65"/>
      <c r="W60" s="68"/>
      <c r="X60" s="11"/>
      <c r="Y60" s="11"/>
    </row>
    <row r="61" spans="1:25" x14ac:dyDescent="0.25">
      <c r="A61" s="39"/>
      <c r="B61" s="77"/>
      <c r="C61" s="64"/>
      <c r="D61" s="64"/>
      <c r="E61" s="64"/>
      <c r="F61" s="64"/>
      <c r="T61" s="64"/>
      <c r="V61" s="65"/>
      <c r="W61" s="68"/>
      <c r="X61" s="11"/>
      <c r="Y61" s="11"/>
    </row>
    <row r="62" spans="1:25" x14ac:dyDescent="0.25">
      <c r="A62" s="39"/>
      <c r="B62" s="77"/>
      <c r="C62" s="64"/>
      <c r="D62" s="64"/>
      <c r="E62" s="64"/>
      <c r="F62" s="64"/>
      <c r="T62" s="64"/>
      <c r="V62" s="65"/>
      <c r="W62" s="68"/>
      <c r="X62" s="11"/>
      <c r="Y62" s="11"/>
    </row>
    <row r="63" spans="1:25" x14ac:dyDescent="0.25">
      <c r="A63" s="39"/>
      <c r="B63" s="77"/>
      <c r="C63" s="64"/>
      <c r="D63" s="64"/>
      <c r="E63" s="64"/>
      <c r="F63" s="64"/>
      <c r="T63" s="64"/>
      <c r="V63" s="65"/>
      <c r="W63" s="68"/>
      <c r="X63" s="11"/>
      <c r="Y63" s="11"/>
    </row>
    <row r="64" spans="1:25" x14ac:dyDescent="0.25">
      <c r="A64" s="39"/>
      <c r="B64" s="77"/>
      <c r="C64" s="64"/>
      <c r="D64" s="64"/>
      <c r="E64" s="64"/>
      <c r="F64" s="64"/>
      <c r="T64" s="64"/>
      <c r="V64" s="65"/>
      <c r="W64" s="68"/>
      <c r="X64" s="11"/>
      <c r="Y64" s="11"/>
    </row>
    <row r="65" spans="1:25" x14ac:dyDescent="0.25">
      <c r="A65" s="39"/>
      <c r="B65" s="77"/>
      <c r="C65" s="64"/>
      <c r="D65" s="64"/>
      <c r="E65" s="64"/>
      <c r="F65" s="64"/>
      <c r="T65" s="64"/>
      <c r="V65" s="65"/>
      <c r="W65" s="68"/>
      <c r="X65" s="11"/>
      <c r="Y65" s="11"/>
    </row>
    <row r="66" spans="1:25" x14ac:dyDescent="0.25">
      <c r="A66" s="39"/>
      <c r="B66" s="77"/>
      <c r="C66" s="64"/>
      <c r="D66" s="64"/>
      <c r="E66" s="64"/>
      <c r="F66" s="64"/>
      <c r="T66" s="64"/>
      <c r="V66" s="65"/>
      <c r="W66" s="68"/>
      <c r="X66" s="11"/>
      <c r="Y66" s="11"/>
    </row>
    <row r="67" spans="1:25" x14ac:dyDescent="0.25">
      <c r="A67" s="39"/>
      <c r="B67" s="77"/>
      <c r="C67" s="64"/>
      <c r="D67" s="64"/>
      <c r="E67" s="64"/>
      <c r="F67" s="64"/>
      <c r="T67" s="64"/>
      <c r="V67" s="65"/>
      <c r="W67" s="68"/>
      <c r="X67" s="11"/>
      <c r="Y67" s="11"/>
    </row>
    <row r="68" spans="1:25" x14ac:dyDescent="0.25">
      <c r="A68" s="39"/>
      <c r="B68" s="77"/>
      <c r="C68" s="64"/>
      <c r="D68" s="64"/>
      <c r="E68" s="64"/>
      <c r="F68" s="64"/>
      <c r="T68" s="64"/>
      <c r="V68" s="65"/>
      <c r="W68" s="68"/>
      <c r="X68" s="11"/>
      <c r="Y68" s="11"/>
    </row>
    <row r="69" spans="1:25" x14ac:dyDescent="0.25">
      <c r="A69" s="39"/>
      <c r="B69" s="77"/>
      <c r="C69" s="64"/>
      <c r="D69" s="64"/>
      <c r="E69" s="64"/>
      <c r="F69" s="64"/>
      <c r="T69" s="64"/>
      <c r="V69" s="65"/>
      <c r="W69" s="68"/>
      <c r="X69" s="11"/>
      <c r="Y69" s="11"/>
    </row>
    <row r="70" spans="1:25" x14ac:dyDescent="0.25">
      <c r="A70" s="39"/>
      <c r="B70" s="77"/>
      <c r="C70" s="64"/>
      <c r="D70" s="64"/>
      <c r="E70" s="64"/>
      <c r="F70" s="64"/>
      <c r="T70" s="64"/>
      <c r="V70" s="65"/>
      <c r="W70" s="68"/>
      <c r="X70" s="11"/>
      <c r="Y70" s="11"/>
    </row>
    <row r="71" spans="1:25" x14ac:dyDescent="0.25">
      <c r="A71" s="39"/>
      <c r="B71" s="77"/>
      <c r="C71" s="64"/>
      <c r="D71" s="64"/>
      <c r="E71" s="64"/>
      <c r="F71" s="64"/>
      <c r="T71" s="64"/>
      <c r="V71" s="65"/>
      <c r="W71" s="68"/>
      <c r="X71" s="11"/>
      <c r="Y71" s="11"/>
    </row>
    <row r="72" spans="1:25" x14ac:dyDescent="0.25">
      <c r="A72" s="39"/>
      <c r="B72" s="77"/>
      <c r="C72" s="64"/>
      <c r="D72" s="64"/>
      <c r="E72" s="64"/>
      <c r="F72" s="64"/>
      <c r="T72" s="64"/>
      <c r="V72" s="65"/>
      <c r="W72" s="68"/>
      <c r="X72" s="11"/>
      <c r="Y72" s="11"/>
    </row>
    <row r="73" spans="1:25" x14ac:dyDescent="0.25">
      <c r="A73" s="39"/>
      <c r="B73" s="77"/>
      <c r="C73" s="64"/>
      <c r="D73" s="64"/>
      <c r="E73" s="64"/>
      <c r="F73" s="64"/>
      <c r="T73" s="64"/>
      <c r="V73" s="65"/>
      <c r="W73" s="68"/>
      <c r="X73" s="11"/>
      <c r="Y73" s="11"/>
    </row>
    <row r="74" spans="1:25" x14ac:dyDescent="0.25">
      <c r="A74" s="39"/>
      <c r="B74" s="77"/>
      <c r="C74" s="64"/>
      <c r="D74" s="64"/>
      <c r="E74" s="64"/>
      <c r="F74" s="64"/>
      <c r="T74" s="64"/>
      <c r="V74" s="65"/>
      <c r="W74" s="68"/>
      <c r="X74" s="11"/>
      <c r="Y74" s="11"/>
    </row>
    <row r="75" spans="1:25" x14ac:dyDescent="0.25">
      <c r="A75" s="39"/>
      <c r="B75" s="77"/>
      <c r="C75" s="64"/>
      <c r="D75" s="64"/>
      <c r="E75" s="64"/>
      <c r="F75" s="64"/>
      <c r="T75" s="64"/>
      <c r="V75" s="65"/>
      <c r="W75" s="68"/>
      <c r="X75" s="11"/>
      <c r="Y75" s="11"/>
    </row>
    <row r="76" spans="1:25" x14ac:dyDescent="0.25">
      <c r="A76" s="39"/>
      <c r="B76" s="77"/>
      <c r="C76" s="64"/>
      <c r="D76" s="64"/>
      <c r="E76" s="64"/>
      <c r="F76" s="64"/>
      <c r="T76" s="64"/>
      <c r="V76" s="65"/>
      <c r="W76" s="68"/>
      <c r="X76" s="11"/>
      <c r="Y76" s="11"/>
    </row>
    <row r="77" spans="1:25" x14ac:dyDescent="0.25">
      <c r="A77" s="39"/>
      <c r="B77" s="77"/>
      <c r="C77" s="64"/>
      <c r="D77" s="64"/>
      <c r="E77" s="64"/>
      <c r="F77" s="64"/>
      <c r="T77" s="64"/>
      <c r="V77" s="65"/>
      <c r="W77" s="68"/>
      <c r="X77" s="11"/>
      <c r="Y77" s="11"/>
    </row>
    <row r="78" spans="1:25" x14ac:dyDescent="0.25">
      <c r="A78" s="39"/>
      <c r="B78" s="77"/>
      <c r="C78" s="64"/>
      <c r="D78" s="64"/>
      <c r="E78" s="64"/>
      <c r="F78" s="64"/>
      <c r="T78" s="64"/>
      <c r="V78" s="65"/>
      <c r="W78" s="68"/>
      <c r="X78" s="11"/>
      <c r="Y78" s="11"/>
    </row>
    <row r="79" spans="1:25" x14ac:dyDescent="0.25">
      <c r="A79" s="39"/>
      <c r="B79" s="77"/>
      <c r="C79" s="64"/>
      <c r="D79" s="64"/>
      <c r="E79" s="64"/>
      <c r="F79" s="64"/>
      <c r="T79" s="64"/>
      <c r="V79" s="65"/>
      <c r="W79" s="68"/>
      <c r="X79" s="11"/>
      <c r="Y79" s="11"/>
    </row>
    <row r="80" spans="1:25" x14ac:dyDescent="0.25">
      <c r="A80" s="39"/>
      <c r="B80" s="77"/>
      <c r="C80" s="64"/>
      <c r="D80" s="64"/>
      <c r="E80" s="64"/>
      <c r="F80" s="64"/>
      <c r="T80" s="64"/>
      <c r="V80" s="65"/>
      <c r="W80" s="68"/>
      <c r="X80" s="11"/>
      <c r="Y80" s="11"/>
    </row>
    <row r="81" spans="1:25" x14ac:dyDescent="0.25">
      <c r="A81" s="39"/>
      <c r="B81" s="77"/>
      <c r="C81" s="64"/>
      <c r="D81" s="64"/>
      <c r="E81" s="64"/>
      <c r="F81" s="64"/>
      <c r="T81" s="64"/>
      <c r="V81" s="65"/>
      <c r="W81" s="68"/>
      <c r="X81" s="11"/>
      <c r="Y81" s="11"/>
    </row>
    <row r="82" spans="1:25" x14ac:dyDescent="0.25">
      <c r="A82" s="39"/>
      <c r="B82" s="77"/>
      <c r="C82" s="64"/>
      <c r="D82" s="64"/>
      <c r="E82" s="64"/>
      <c r="F82" s="64"/>
      <c r="T82" s="64"/>
      <c r="V82" s="65"/>
      <c r="W82" s="68"/>
      <c r="X82" s="11"/>
      <c r="Y82" s="11"/>
    </row>
    <row r="83" spans="1:25" x14ac:dyDescent="0.25">
      <c r="A83" s="39"/>
      <c r="B83" s="77"/>
      <c r="C83" s="64"/>
      <c r="D83" s="64"/>
      <c r="E83" s="64"/>
      <c r="F83" s="64"/>
      <c r="T83" s="64"/>
      <c r="V83" s="65"/>
      <c r="W83" s="68"/>
      <c r="X83" s="11"/>
      <c r="Y83" s="11"/>
    </row>
    <row r="84" spans="1:25" x14ac:dyDescent="0.25">
      <c r="A84" s="39"/>
      <c r="B84" s="77"/>
      <c r="C84" s="64"/>
      <c r="D84" s="64"/>
      <c r="E84" s="64"/>
      <c r="F84" s="64"/>
      <c r="T84" s="64"/>
      <c r="V84" s="65"/>
      <c r="W84" s="68"/>
      <c r="X84" s="11"/>
      <c r="Y84" s="11"/>
    </row>
    <row r="85" spans="1:25" x14ac:dyDescent="0.25">
      <c r="A85" s="39"/>
      <c r="B85" s="77"/>
      <c r="C85" s="64"/>
      <c r="D85" s="64"/>
      <c r="E85" s="64"/>
      <c r="F85" s="64"/>
      <c r="T85" s="64"/>
      <c r="V85" s="65"/>
      <c r="W85" s="68"/>
      <c r="X85" s="11"/>
      <c r="Y85" s="11"/>
    </row>
    <row r="86" spans="1:25" x14ac:dyDescent="0.25">
      <c r="A86" s="39"/>
      <c r="B86" s="77"/>
      <c r="C86" s="64"/>
      <c r="D86" s="64"/>
      <c r="E86" s="64"/>
      <c r="F86" s="64"/>
      <c r="T86" s="64"/>
      <c r="V86" s="65"/>
      <c r="W86" s="68"/>
      <c r="X86" s="11"/>
      <c r="Y86" s="11"/>
    </row>
    <row r="87" spans="1:25" x14ac:dyDescent="0.25">
      <c r="A87" s="39"/>
      <c r="B87" s="77"/>
      <c r="C87" s="64"/>
      <c r="D87" s="64"/>
      <c r="E87" s="64"/>
      <c r="F87" s="64"/>
      <c r="T87" s="64"/>
      <c r="V87" s="65"/>
      <c r="W87" s="68"/>
      <c r="X87" s="11"/>
      <c r="Y87" s="11"/>
    </row>
    <row r="88" spans="1:25" x14ac:dyDescent="0.25">
      <c r="A88" s="39"/>
      <c r="B88" s="77"/>
      <c r="C88" s="64"/>
      <c r="D88" s="64"/>
      <c r="E88" s="64"/>
      <c r="F88" s="64"/>
      <c r="T88" s="64"/>
      <c r="V88" s="65"/>
      <c r="W88" s="68"/>
      <c r="X88" s="11"/>
      <c r="Y88" s="11"/>
    </row>
    <row r="89" spans="1:25" x14ac:dyDescent="0.25">
      <c r="A89" s="39"/>
      <c r="B89" s="77"/>
      <c r="C89" s="64"/>
      <c r="D89" s="64"/>
      <c r="E89" s="64"/>
      <c r="F89" s="64"/>
      <c r="T89" s="64"/>
      <c r="V89" s="65"/>
      <c r="W89" s="68"/>
      <c r="X89" s="11"/>
      <c r="Y89" s="11"/>
    </row>
    <row r="90" spans="1:25" x14ac:dyDescent="0.25">
      <c r="A90" s="39"/>
      <c r="B90" s="77"/>
      <c r="C90" s="64"/>
      <c r="D90" s="64"/>
      <c r="E90" s="64"/>
      <c r="F90" s="64"/>
      <c r="T90" s="64"/>
      <c r="V90" s="65"/>
      <c r="W90" s="68"/>
      <c r="X90" s="11"/>
      <c r="Y90" s="11"/>
    </row>
    <row r="91" spans="1:25" x14ac:dyDescent="0.25">
      <c r="A91" s="39"/>
      <c r="B91" s="77"/>
      <c r="C91" s="64"/>
      <c r="D91" s="64"/>
      <c r="E91" s="64"/>
      <c r="F91" s="64"/>
      <c r="T91" s="64"/>
      <c r="V91" s="65"/>
      <c r="W91" s="68"/>
      <c r="X91" s="11"/>
      <c r="Y91" s="11"/>
    </row>
    <row r="92" spans="1:25" x14ac:dyDescent="0.25">
      <c r="A92" s="39"/>
      <c r="B92" s="77"/>
      <c r="C92" s="64"/>
      <c r="D92" s="64"/>
      <c r="E92" s="64"/>
      <c r="F92" s="64"/>
      <c r="T92" s="64"/>
      <c r="V92" s="65"/>
      <c r="W92" s="68"/>
      <c r="X92" s="11"/>
      <c r="Y92" s="11"/>
    </row>
    <row r="93" spans="1:25" x14ac:dyDescent="0.25">
      <c r="A93" s="39"/>
      <c r="B93" s="77"/>
      <c r="C93" s="64"/>
      <c r="D93" s="64"/>
      <c r="E93" s="64"/>
      <c r="F93" s="64"/>
      <c r="T93" s="64"/>
      <c r="V93" s="65"/>
      <c r="W93" s="68"/>
      <c r="X93" s="11"/>
      <c r="Y93" s="11"/>
    </row>
    <row r="94" spans="1:25" x14ac:dyDescent="0.25">
      <c r="A94" s="39"/>
      <c r="B94" s="77"/>
      <c r="C94" s="64"/>
      <c r="D94" s="64"/>
      <c r="E94" s="64"/>
      <c r="F94" s="64"/>
      <c r="T94" s="64"/>
      <c r="V94" s="65"/>
      <c r="W94" s="68"/>
      <c r="X94" s="11"/>
      <c r="Y94" s="11"/>
    </row>
    <row r="95" spans="1:25" x14ac:dyDescent="0.25">
      <c r="A95" s="39"/>
      <c r="B95" s="77"/>
      <c r="C95" s="64"/>
      <c r="D95" s="64"/>
      <c r="E95" s="64"/>
      <c r="F95" s="64"/>
      <c r="T95" s="64"/>
      <c r="V95" s="65"/>
      <c r="W95" s="68"/>
      <c r="X95" s="11"/>
      <c r="Y95" s="11"/>
    </row>
    <row r="96" spans="1:25" x14ac:dyDescent="0.25">
      <c r="A96" s="39"/>
      <c r="B96" s="77"/>
      <c r="C96" s="64"/>
      <c r="D96" s="64"/>
      <c r="E96" s="64"/>
      <c r="F96" s="64"/>
      <c r="T96" s="64"/>
      <c r="V96" s="65"/>
      <c r="W96" s="68"/>
      <c r="X96" s="11"/>
      <c r="Y96" s="11"/>
    </row>
    <row r="97" spans="1:25" x14ac:dyDescent="0.25">
      <c r="A97" s="39"/>
      <c r="B97" s="77"/>
      <c r="C97" s="64"/>
      <c r="D97" s="64"/>
      <c r="E97" s="64"/>
      <c r="F97" s="64"/>
      <c r="T97" s="64"/>
      <c r="V97" s="65"/>
      <c r="W97" s="68"/>
      <c r="X97" s="11"/>
      <c r="Y97" s="11"/>
    </row>
    <row r="98" spans="1:25" x14ac:dyDescent="0.25">
      <c r="A98" s="39"/>
      <c r="B98" s="77"/>
      <c r="C98" s="64"/>
      <c r="D98" s="64"/>
      <c r="E98" s="64"/>
      <c r="F98" s="64"/>
      <c r="T98" s="64"/>
      <c r="V98" s="65"/>
      <c r="W98" s="68"/>
      <c r="X98" s="11"/>
      <c r="Y98" s="11"/>
    </row>
    <row r="99" spans="1:25" x14ac:dyDescent="0.25">
      <c r="A99" s="39"/>
      <c r="B99" s="77"/>
      <c r="C99" s="64"/>
      <c r="D99" s="64"/>
      <c r="E99" s="64"/>
      <c r="F99" s="64"/>
      <c r="T99" s="64"/>
      <c r="V99" s="65"/>
      <c r="W99" s="68"/>
      <c r="X99" s="11"/>
      <c r="Y99" s="11"/>
    </row>
    <row r="100" spans="1:25" x14ac:dyDescent="0.25">
      <c r="A100" s="39"/>
      <c r="B100" s="77"/>
      <c r="C100" s="64"/>
      <c r="D100" s="64"/>
      <c r="E100" s="64"/>
      <c r="F100" s="64"/>
      <c r="T100" s="64"/>
      <c r="V100" s="65"/>
      <c r="W100" s="68"/>
      <c r="X100" s="11"/>
      <c r="Y100" s="11"/>
    </row>
    <row r="101" spans="1:25" x14ac:dyDescent="0.25">
      <c r="A101" s="39"/>
      <c r="B101" s="77"/>
      <c r="C101" s="64"/>
      <c r="D101" s="64"/>
      <c r="E101" s="64"/>
      <c r="F101" s="64"/>
      <c r="T101" s="64"/>
      <c r="V101" s="65"/>
      <c r="W101" s="68"/>
      <c r="X101" s="11"/>
      <c r="Y101" s="11"/>
    </row>
    <row r="102" spans="1:25" x14ac:dyDescent="0.25">
      <c r="A102" s="39"/>
      <c r="B102" s="77"/>
      <c r="C102" s="64"/>
      <c r="D102" s="64"/>
      <c r="E102" s="64"/>
      <c r="F102" s="64"/>
      <c r="T102" s="64"/>
      <c r="V102" s="65"/>
      <c r="W102" s="68"/>
      <c r="X102" s="11"/>
      <c r="Y102" s="11"/>
    </row>
    <row r="103" spans="1:25" x14ac:dyDescent="0.25">
      <c r="A103" s="39"/>
      <c r="B103" s="77"/>
      <c r="C103" s="64"/>
      <c r="D103" s="64"/>
      <c r="E103" s="64"/>
      <c r="F103" s="64"/>
      <c r="T103" s="64"/>
      <c r="V103" s="65"/>
      <c r="W103" s="68"/>
      <c r="X103" s="11"/>
      <c r="Y103" s="11"/>
    </row>
    <row r="104" spans="1:25" x14ac:dyDescent="0.25">
      <c r="A104" s="39"/>
      <c r="B104" s="77"/>
      <c r="C104" s="64"/>
      <c r="D104" s="64"/>
      <c r="E104" s="64"/>
      <c r="F104" s="64"/>
      <c r="T104" s="64"/>
      <c r="V104" s="65"/>
      <c r="W104" s="68"/>
      <c r="X104" s="11"/>
      <c r="Y104" s="11"/>
    </row>
    <row r="105" spans="1:25" x14ac:dyDescent="0.25">
      <c r="A105" s="39"/>
      <c r="B105" s="77"/>
      <c r="C105" s="64"/>
      <c r="D105" s="64"/>
      <c r="E105" s="64"/>
      <c r="F105" s="64"/>
      <c r="T105" s="64"/>
      <c r="V105" s="65"/>
      <c r="W105" s="68"/>
      <c r="X105" s="11"/>
      <c r="Y105" s="11"/>
    </row>
    <row r="106" spans="1:25" x14ac:dyDescent="0.25">
      <c r="A106" s="39"/>
      <c r="B106" s="77"/>
      <c r="C106" s="64"/>
      <c r="D106" s="64"/>
      <c r="E106" s="64"/>
      <c r="F106" s="64"/>
      <c r="T106" s="64"/>
      <c r="V106" s="65"/>
      <c r="W106" s="68"/>
      <c r="X106" s="11"/>
      <c r="Y106" s="11"/>
    </row>
    <row r="107" spans="1:25" x14ac:dyDescent="0.25">
      <c r="A107" s="39"/>
      <c r="B107" s="77"/>
      <c r="C107" s="64"/>
      <c r="D107" s="64"/>
      <c r="E107" s="64"/>
      <c r="F107" s="64"/>
      <c r="T107" s="64"/>
      <c r="V107" s="65"/>
      <c r="W107" s="68"/>
      <c r="X107" s="11"/>
      <c r="Y107" s="11"/>
    </row>
    <row r="108" spans="1:25" x14ac:dyDescent="0.25">
      <c r="A108" s="39"/>
      <c r="B108" s="77"/>
      <c r="C108" s="64"/>
      <c r="D108" s="64"/>
      <c r="E108" s="64"/>
      <c r="F108" s="64"/>
      <c r="T108" s="64"/>
      <c r="V108" s="65"/>
      <c r="W108" s="68"/>
      <c r="X108" s="11"/>
      <c r="Y108" s="11"/>
    </row>
    <row r="109" spans="1:25" x14ac:dyDescent="0.25">
      <c r="A109" s="39"/>
      <c r="B109" s="77"/>
      <c r="C109" s="64"/>
      <c r="D109" s="64"/>
      <c r="E109" s="64"/>
      <c r="F109" s="64"/>
      <c r="T109" s="64"/>
      <c r="V109" s="65"/>
      <c r="W109" s="68"/>
      <c r="X109" s="11"/>
      <c r="Y109" s="11"/>
    </row>
    <row r="110" spans="1:25" x14ac:dyDescent="0.25">
      <c r="A110" s="39"/>
      <c r="B110" s="77"/>
      <c r="C110" s="64"/>
      <c r="D110" s="64"/>
      <c r="E110" s="64"/>
      <c r="F110" s="64"/>
      <c r="T110" s="64"/>
      <c r="V110" s="65"/>
      <c r="W110" s="68"/>
      <c r="X110" s="11"/>
      <c r="Y110" s="11"/>
    </row>
    <row r="111" spans="1:25" x14ac:dyDescent="0.25">
      <c r="A111" s="39"/>
      <c r="B111" s="77"/>
      <c r="C111" s="64"/>
      <c r="D111" s="64"/>
      <c r="E111" s="64"/>
      <c r="F111" s="64"/>
      <c r="T111" s="64"/>
      <c r="V111" s="65"/>
      <c r="W111" s="68"/>
      <c r="X111" s="11"/>
      <c r="Y111" s="11"/>
    </row>
    <row r="112" spans="1:25" x14ac:dyDescent="0.25">
      <c r="A112" s="39"/>
      <c r="B112" s="77"/>
      <c r="C112" s="64"/>
      <c r="D112" s="64"/>
      <c r="E112" s="64"/>
      <c r="F112" s="64"/>
      <c r="T112" s="64"/>
      <c r="V112" s="65"/>
      <c r="W112" s="68"/>
      <c r="X112" s="11"/>
      <c r="Y112" s="11"/>
    </row>
    <row r="113" spans="1:25" x14ac:dyDescent="0.25">
      <c r="A113" s="39"/>
      <c r="B113" s="77"/>
      <c r="C113" s="64"/>
      <c r="D113" s="64"/>
      <c r="E113" s="64"/>
      <c r="F113" s="64"/>
      <c r="T113" s="64"/>
      <c r="V113" s="65"/>
      <c r="W113" s="68"/>
      <c r="X113" s="11"/>
      <c r="Y113" s="11"/>
    </row>
    <row r="114" spans="1:25" x14ac:dyDescent="0.25">
      <c r="A114" s="39"/>
      <c r="B114" s="77"/>
      <c r="C114" s="64"/>
      <c r="D114" s="64"/>
      <c r="E114" s="64"/>
      <c r="F114" s="64"/>
      <c r="T114" s="64"/>
      <c r="V114" s="65"/>
      <c r="W114" s="68"/>
      <c r="X114" s="11"/>
      <c r="Y114" s="11"/>
    </row>
    <row r="115" spans="1:25" x14ac:dyDescent="0.25">
      <c r="A115" s="39"/>
      <c r="B115" s="77"/>
      <c r="C115" s="64"/>
      <c r="D115" s="64"/>
      <c r="E115" s="64"/>
      <c r="F115" s="64"/>
      <c r="T115" s="64"/>
      <c r="V115" s="65"/>
      <c r="W115" s="68"/>
      <c r="X115" s="11"/>
      <c r="Y115" s="11"/>
    </row>
    <row r="116" spans="1:25" x14ac:dyDescent="0.25">
      <c r="A116" s="39"/>
      <c r="B116" s="77"/>
      <c r="C116" s="64"/>
      <c r="D116" s="64"/>
      <c r="E116" s="64"/>
      <c r="F116" s="64"/>
      <c r="T116" s="64"/>
      <c r="V116" s="65"/>
      <c r="W116" s="68"/>
      <c r="X116" s="11"/>
      <c r="Y116" s="11"/>
    </row>
    <row r="117" spans="1:25" x14ac:dyDescent="0.25">
      <c r="A117" s="39"/>
      <c r="B117" s="77"/>
      <c r="C117" s="64"/>
      <c r="D117" s="64"/>
      <c r="E117" s="64"/>
      <c r="F117" s="64"/>
      <c r="T117" s="64"/>
      <c r="V117" s="65"/>
      <c r="W117" s="68"/>
      <c r="X117" s="11"/>
      <c r="Y117" s="11"/>
    </row>
    <row r="118" spans="1:25" x14ac:dyDescent="0.25">
      <c r="A118" s="39"/>
      <c r="B118" s="77"/>
      <c r="C118" s="64"/>
      <c r="D118" s="64"/>
      <c r="E118" s="64"/>
      <c r="F118" s="64"/>
      <c r="T118" s="64"/>
      <c r="V118" s="65"/>
      <c r="W118" s="68"/>
      <c r="X118" s="11"/>
      <c r="Y118" s="11"/>
    </row>
    <row r="119" spans="1:25" x14ac:dyDescent="0.25">
      <c r="A119" s="39"/>
      <c r="B119" s="77"/>
      <c r="C119" s="64"/>
      <c r="D119" s="64"/>
      <c r="E119" s="64"/>
      <c r="F119" s="64"/>
      <c r="T119" s="64"/>
      <c r="V119" s="65"/>
      <c r="W119" s="68"/>
      <c r="X119" s="11"/>
      <c r="Y119" s="11"/>
    </row>
    <row r="120" spans="1:25" x14ac:dyDescent="0.25">
      <c r="A120" s="39"/>
      <c r="B120" s="77"/>
      <c r="C120" s="64"/>
      <c r="D120" s="64"/>
      <c r="E120" s="64"/>
      <c r="F120" s="64"/>
      <c r="T120" s="64"/>
      <c r="V120" s="65"/>
      <c r="W120" s="68"/>
      <c r="X120" s="11"/>
      <c r="Y120" s="11"/>
    </row>
    <row r="121" spans="1:25" x14ac:dyDescent="0.25">
      <c r="A121" s="39"/>
      <c r="B121" s="77"/>
      <c r="C121" s="64"/>
      <c r="D121" s="64"/>
      <c r="E121" s="64"/>
      <c r="F121" s="64"/>
      <c r="T121" s="64"/>
      <c r="V121" s="65"/>
      <c r="W121" s="68"/>
      <c r="X121" s="11"/>
      <c r="Y121" s="11"/>
    </row>
    <row r="122" spans="1:25" x14ac:dyDescent="0.25">
      <c r="A122" s="39"/>
      <c r="B122" s="77"/>
      <c r="C122" s="64"/>
      <c r="D122" s="64"/>
      <c r="E122" s="64"/>
      <c r="F122" s="64"/>
      <c r="T122" s="64"/>
      <c r="V122" s="65"/>
      <c r="W122" s="68"/>
      <c r="X122" s="11"/>
      <c r="Y122" s="11"/>
    </row>
    <row r="123" spans="1:25" x14ac:dyDescent="0.25">
      <c r="A123" s="39"/>
      <c r="B123" s="77"/>
      <c r="C123" s="64"/>
      <c r="D123" s="64"/>
      <c r="E123" s="64"/>
      <c r="F123" s="64"/>
      <c r="T123" s="64"/>
      <c r="V123" s="65"/>
      <c r="W123" s="68"/>
      <c r="X123" s="11"/>
      <c r="Y123" s="11"/>
    </row>
    <row r="124" spans="1:25" x14ac:dyDescent="0.25">
      <c r="A124" s="39"/>
      <c r="B124" s="77"/>
      <c r="C124" s="64"/>
      <c r="D124" s="64"/>
      <c r="E124" s="64"/>
      <c r="F124" s="64"/>
      <c r="T124" s="64"/>
      <c r="V124" s="65"/>
      <c r="W124" s="68"/>
      <c r="X124" s="11"/>
      <c r="Y124" s="11"/>
    </row>
    <row r="125" spans="1:25" x14ac:dyDescent="0.25">
      <c r="A125" s="39"/>
      <c r="B125" s="77"/>
      <c r="C125" s="64"/>
      <c r="D125" s="64"/>
      <c r="E125" s="64"/>
      <c r="F125" s="64"/>
      <c r="T125" s="64"/>
      <c r="V125" s="65"/>
      <c r="W125" s="68"/>
      <c r="X125" s="11"/>
      <c r="Y125" s="11"/>
    </row>
    <row r="126" spans="1:25" x14ac:dyDescent="0.25">
      <c r="A126" s="39"/>
      <c r="B126" s="77"/>
      <c r="C126" s="64"/>
      <c r="D126" s="64"/>
      <c r="E126" s="64"/>
      <c r="F126" s="64"/>
      <c r="T126" s="64"/>
      <c r="V126" s="65"/>
      <c r="W126" s="68"/>
      <c r="X126" s="11"/>
      <c r="Y126" s="11"/>
    </row>
    <row r="127" spans="1:25" x14ac:dyDescent="0.25">
      <c r="A127" s="39"/>
      <c r="B127" s="77"/>
      <c r="C127" s="64"/>
      <c r="D127" s="64"/>
      <c r="E127" s="64"/>
      <c r="F127" s="64"/>
      <c r="T127" s="64"/>
      <c r="V127" s="65"/>
      <c r="W127" s="68"/>
      <c r="X127" s="11"/>
      <c r="Y127" s="11"/>
    </row>
    <row r="128" spans="1:25" x14ac:dyDescent="0.25">
      <c r="A128" s="39"/>
      <c r="B128" s="77"/>
      <c r="C128" s="64"/>
      <c r="D128" s="64"/>
      <c r="E128" s="64"/>
      <c r="F128" s="64"/>
      <c r="T128" s="64"/>
      <c r="V128" s="65"/>
      <c r="W128" s="68"/>
      <c r="X128" s="11"/>
      <c r="Y128" s="11"/>
    </row>
    <row r="129" spans="1:25" x14ac:dyDescent="0.25">
      <c r="A129" s="39"/>
      <c r="B129" s="77"/>
      <c r="C129" s="64"/>
      <c r="D129" s="64"/>
      <c r="E129" s="64"/>
      <c r="F129" s="64"/>
      <c r="T129" s="64"/>
      <c r="V129" s="65"/>
      <c r="W129" s="68"/>
      <c r="X129" s="11"/>
      <c r="Y129" s="11"/>
    </row>
    <row r="130" spans="1:25" x14ac:dyDescent="0.25">
      <c r="A130" s="39"/>
      <c r="B130" s="77"/>
      <c r="C130" s="64"/>
      <c r="D130" s="64"/>
      <c r="E130" s="64"/>
      <c r="F130" s="64"/>
      <c r="T130" s="64"/>
      <c r="V130" s="65"/>
      <c r="W130" s="68"/>
      <c r="X130" s="11"/>
      <c r="Y130" s="11"/>
    </row>
    <row r="131" spans="1:25" x14ac:dyDescent="0.25">
      <c r="A131" s="39"/>
      <c r="B131" s="77"/>
      <c r="C131" s="64"/>
      <c r="D131" s="64"/>
      <c r="E131" s="64"/>
      <c r="F131" s="64"/>
      <c r="T131" s="64"/>
      <c r="V131" s="65"/>
      <c r="W131" s="68"/>
      <c r="X131" s="11"/>
      <c r="Y131" s="11"/>
    </row>
    <row r="132" spans="1:25" x14ac:dyDescent="0.25">
      <c r="A132" s="39"/>
      <c r="B132" s="77"/>
      <c r="C132" s="64"/>
      <c r="D132" s="64"/>
      <c r="E132" s="64"/>
      <c r="F132" s="64"/>
      <c r="T132" s="64"/>
      <c r="V132" s="65"/>
      <c r="W132" s="68"/>
      <c r="X132" s="11"/>
      <c r="Y132" s="11"/>
    </row>
    <row r="133" spans="1:25" x14ac:dyDescent="0.25">
      <c r="A133" s="39"/>
      <c r="B133" s="77"/>
      <c r="C133" s="64"/>
      <c r="D133" s="64"/>
      <c r="E133" s="64"/>
      <c r="F133" s="64"/>
      <c r="T133" s="64"/>
      <c r="V133" s="65"/>
      <c r="W133" s="68"/>
      <c r="X133" s="11"/>
      <c r="Y133" s="11"/>
    </row>
    <row r="134" spans="1:25" x14ac:dyDescent="0.25">
      <c r="A134" s="39"/>
      <c r="B134" s="77"/>
      <c r="C134" s="64"/>
      <c r="D134" s="64"/>
      <c r="E134" s="64"/>
      <c r="F134" s="64"/>
      <c r="T134" s="64"/>
      <c r="V134" s="65"/>
      <c r="W134" s="68"/>
      <c r="X134" s="11"/>
      <c r="Y134" s="11"/>
    </row>
    <row r="135" spans="1:25" x14ac:dyDescent="0.25">
      <c r="A135" s="39"/>
      <c r="B135" s="77"/>
      <c r="C135" s="64"/>
      <c r="D135" s="64"/>
      <c r="E135" s="64"/>
      <c r="F135" s="64"/>
      <c r="T135" s="64"/>
      <c r="V135" s="65"/>
      <c r="W135" s="68"/>
      <c r="X135" s="11"/>
      <c r="Y135" s="11"/>
    </row>
    <row r="136" spans="1:25" x14ac:dyDescent="0.25">
      <c r="A136" s="39"/>
      <c r="B136" s="77"/>
      <c r="C136" s="64"/>
      <c r="D136" s="64"/>
      <c r="E136" s="64"/>
      <c r="F136" s="64"/>
      <c r="T136" s="64"/>
      <c r="V136" s="65"/>
      <c r="W136" s="68"/>
      <c r="X136" s="11"/>
      <c r="Y136" s="11"/>
    </row>
    <row r="137" spans="1:25" x14ac:dyDescent="0.25">
      <c r="A137" s="39"/>
      <c r="B137" s="77"/>
      <c r="C137" s="64"/>
      <c r="D137" s="64"/>
      <c r="E137" s="64"/>
      <c r="F137" s="64"/>
      <c r="T137" s="64"/>
      <c r="V137" s="65"/>
      <c r="W137" s="68"/>
      <c r="X137" s="11"/>
      <c r="Y137" s="11"/>
    </row>
    <row r="138" spans="1:25" x14ac:dyDescent="0.25">
      <c r="A138" s="39"/>
      <c r="B138" s="77"/>
      <c r="C138" s="64"/>
      <c r="D138" s="64"/>
      <c r="E138" s="64"/>
      <c r="F138" s="64"/>
      <c r="T138" s="64"/>
      <c r="V138" s="65"/>
      <c r="W138" s="68"/>
      <c r="X138" s="11"/>
      <c r="Y138" s="11"/>
    </row>
    <row r="139" spans="1:25" x14ac:dyDescent="0.25">
      <c r="A139" s="39"/>
      <c r="B139" s="77"/>
      <c r="C139" s="64"/>
      <c r="D139" s="64"/>
      <c r="E139" s="64"/>
      <c r="F139" s="64"/>
      <c r="T139" s="64"/>
      <c r="V139" s="65"/>
      <c r="W139" s="68"/>
      <c r="X139" s="11"/>
      <c r="Y139" s="11"/>
    </row>
    <row r="140" spans="1:25" x14ac:dyDescent="0.25">
      <c r="A140" s="39"/>
      <c r="B140" s="77"/>
      <c r="C140" s="64"/>
      <c r="D140" s="64"/>
      <c r="E140" s="64"/>
      <c r="F140" s="64"/>
      <c r="T140" s="64"/>
      <c r="V140" s="65"/>
      <c r="W140" s="68"/>
      <c r="X140" s="11"/>
      <c r="Y140" s="11"/>
    </row>
    <row r="141" spans="1:25" x14ac:dyDescent="0.25">
      <c r="A141" s="39"/>
      <c r="B141" s="77"/>
      <c r="C141" s="64"/>
      <c r="D141" s="64"/>
      <c r="E141" s="64"/>
      <c r="F141" s="64"/>
      <c r="T141" s="64"/>
      <c r="V141" s="65"/>
      <c r="W141" s="68"/>
      <c r="X141" s="11"/>
      <c r="Y141" s="11"/>
    </row>
    <row r="142" spans="1:25" x14ac:dyDescent="0.25">
      <c r="A142" s="39"/>
      <c r="B142" s="77"/>
      <c r="C142" s="64"/>
      <c r="D142" s="64"/>
      <c r="E142" s="64"/>
      <c r="F142" s="64"/>
      <c r="T142" s="64"/>
      <c r="V142" s="65"/>
      <c r="W142" s="68"/>
      <c r="X142" s="11"/>
      <c r="Y142" s="11"/>
    </row>
    <row r="143" spans="1:25" x14ac:dyDescent="0.25">
      <c r="A143" s="39"/>
      <c r="B143" s="77"/>
      <c r="C143" s="64"/>
      <c r="D143" s="64"/>
      <c r="E143" s="64"/>
      <c r="F143" s="64"/>
      <c r="T143" s="64"/>
      <c r="V143" s="65"/>
      <c r="W143" s="68"/>
      <c r="X143" s="11"/>
      <c r="Y143" s="11"/>
    </row>
    <row r="144" spans="1:25" x14ac:dyDescent="0.25">
      <c r="A144" s="39"/>
      <c r="B144" s="77"/>
      <c r="C144" s="64"/>
      <c r="D144" s="64"/>
      <c r="E144" s="64"/>
      <c r="F144" s="64"/>
      <c r="T144" s="64"/>
      <c r="V144" s="65"/>
      <c r="W144" s="68"/>
      <c r="X144" s="11"/>
      <c r="Y144" s="11"/>
    </row>
    <row r="145" spans="1:25" x14ac:dyDescent="0.25">
      <c r="A145" s="39"/>
      <c r="B145" s="77"/>
      <c r="C145" s="64"/>
      <c r="D145" s="64"/>
      <c r="E145" s="64"/>
      <c r="F145" s="64"/>
      <c r="T145" s="64"/>
      <c r="V145" s="65"/>
      <c r="W145" s="68"/>
      <c r="X145" s="11"/>
      <c r="Y145" s="11"/>
    </row>
    <row r="146" spans="1:25" x14ac:dyDescent="0.25">
      <c r="A146" s="39"/>
      <c r="B146" s="77"/>
      <c r="C146" s="64"/>
      <c r="D146" s="64"/>
      <c r="E146" s="64"/>
      <c r="F146" s="64"/>
      <c r="T146" s="64"/>
      <c r="V146" s="65"/>
      <c r="W146" s="68"/>
      <c r="X146" s="11"/>
      <c r="Y146" s="11"/>
    </row>
    <row r="147" spans="1:25" x14ac:dyDescent="0.25">
      <c r="A147" s="39"/>
      <c r="B147" s="77"/>
      <c r="C147" s="64"/>
      <c r="D147" s="64"/>
      <c r="E147" s="64"/>
      <c r="F147" s="64"/>
      <c r="T147" s="64"/>
      <c r="V147" s="65"/>
      <c r="W147" s="68"/>
      <c r="X147" s="11"/>
      <c r="Y147" s="11"/>
    </row>
    <row r="148" spans="1:25" x14ac:dyDescent="0.25">
      <c r="A148" s="39"/>
      <c r="B148" s="77"/>
      <c r="C148" s="64"/>
      <c r="D148" s="64"/>
      <c r="E148" s="64"/>
      <c r="F148" s="64"/>
      <c r="T148" s="64"/>
      <c r="V148" s="65"/>
      <c r="W148" s="68"/>
      <c r="X148" s="11"/>
      <c r="Y148" s="11"/>
    </row>
    <row r="149" spans="1:25" x14ac:dyDescent="0.25">
      <c r="A149" s="39"/>
      <c r="B149" s="77"/>
      <c r="C149" s="64"/>
      <c r="D149" s="64"/>
      <c r="E149" s="64"/>
      <c r="F149" s="64"/>
      <c r="T149" s="64"/>
      <c r="V149" s="65"/>
      <c r="W149" s="68"/>
      <c r="X149" s="11"/>
      <c r="Y149" s="11"/>
    </row>
    <row r="150" spans="1:25" x14ac:dyDescent="0.25">
      <c r="A150" s="39"/>
      <c r="B150" s="77"/>
      <c r="C150" s="64"/>
      <c r="D150" s="64"/>
      <c r="E150" s="64"/>
      <c r="F150" s="64"/>
      <c r="T150" s="64"/>
      <c r="V150" s="65"/>
      <c r="W150" s="68"/>
      <c r="X150" s="11"/>
      <c r="Y150" s="11"/>
    </row>
    <row r="151" spans="1:25" x14ac:dyDescent="0.25">
      <c r="A151" s="39"/>
      <c r="B151" s="77"/>
      <c r="C151" s="64"/>
      <c r="D151" s="64"/>
      <c r="E151" s="64"/>
      <c r="F151" s="64"/>
      <c r="T151" s="64"/>
      <c r="V151" s="65"/>
      <c r="W151" s="68"/>
      <c r="X151" s="11"/>
      <c r="Y151" s="11"/>
    </row>
    <row r="152" spans="1:25" x14ac:dyDescent="0.25">
      <c r="A152" s="39"/>
      <c r="B152" s="77"/>
      <c r="C152" s="64"/>
      <c r="D152" s="64"/>
      <c r="E152" s="64"/>
      <c r="F152" s="64"/>
      <c r="T152" s="64"/>
      <c r="V152" s="65"/>
      <c r="W152" s="68"/>
      <c r="X152" s="11"/>
      <c r="Y152" s="11"/>
    </row>
    <row r="153" spans="1:25" x14ac:dyDescent="0.25">
      <c r="A153" s="39"/>
      <c r="B153" s="77"/>
      <c r="C153" s="64"/>
      <c r="D153" s="64"/>
      <c r="E153" s="64"/>
      <c r="F153" s="64"/>
      <c r="T153" s="64"/>
      <c r="V153" s="65"/>
      <c r="W153" s="68"/>
      <c r="X153" s="11"/>
      <c r="Y153" s="11"/>
    </row>
    <row r="154" spans="1:25" x14ac:dyDescent="0.25">
      <c r="A154" s="39"/>
      <c r="B154" s="77"/>
      <c r="C154" s="64"/>
      <c r="D154" s="64"/>
      <c r="E154" s="64"/>
      <c r="F154" s="64"/>
      <c r="T154" s="64"/>
      <c r="V154" s="65"/>
      <c r="W154" s="68"/>
      <c r="X154" s="11"/>
      <c r="Y154" s="11"/>
    </row>
    <row r="155" spans="1:25" x14ac:dyDescent="0.25">
      <c r="A155" s="39"/>
      <c r="B155" s="77"/>
      <c r="C155" s="64"/>
      <c r="D155" s="64"/>
      <c r="E155" s="64"/>
      <c r="F155" s="64"/>
      <c r="T155" s="64"/>
      <c r="V155" s="65"/>
      <c r="W155" s="68"/>
      <c r="X155" s="11"/>
      <c r="Y155" s="11"/>
    </row>
    <row r="156" spans="1:25" x14ac:dyDescent="0.25">
      <c r="A156" s="39"/>
      <c r="B156" s="77"/>
      <c r="C156" s="64"/>
      <c r="D156" s="64"/>
      <c r="E156" s="64"/>
      <c r="F156" s="64"/>
      <c r="T156" s="64"/>
      <c r="V156" s="65"/>
      <c r="W156" s="68"/>
      <c r="X156" s="11"/>
      <c r="Y156" s="11"/>
    </row>
    <row r="157" spans="1:25" x14ac:dyDescent="0.25">
      <c r="A157" s="39"/>
      <c r="B157" s="77"/>
      <c r="C157" s="64"/>
      <c r="D157" s="64"/>
      <c r="E157" s="64"/>
      <c r="F157" s="64"/>
      <c r="T157" s="64"/>
      <c r="V157" s="65"/>
      <c r="W157" s="68"/>
      <c r="X157" s="11"/>
      <c r="Y157" s="11"/>
    </row>
    <row r="158" spans="1:25" x14ac:dyDescent="0.25">
      <c r="A158" s="39"/>
      <c r="B158" s="77"/>
      <c r="C158" s="64"/>
      <c r="D158" s="64"/>
      <c r="E158" s="64"/>
      <c r="F158" s="64"/>
      <c r="T158" s="64"/>
      <c r="V158" s="65"/>
      <c r="W158" s="68"/>
      <c r="X158" s="11"/>
      <c r="Y158" s="11"/>
    </row>
    <row r="159" spans="1:25" x14ac:dyDescent="0.25">
      <c r="A159" s="39"/>
      <c r="B159" s="77"/>
      <c r="C159" s="64"/>
      <c r="D159" s="64"/>
      <c r="E159" s="64"/>
      <c r="F159" s="64"/>
      <c r="T159" s="64"/>
      <c r="V159" s="65"/>
      <c r="W159" s="68"/>
      <c r="X159" s="11"/>
      <c r="Y159" s="11"/>
    </row>
    <row r="160" spans="1:25" x14ac:dyDescent="0.25">
      <c r="A160" s="39"/>
      <c r="B160" s="77"/>
      <c r="C160" s="64"/>
      <c r="D160" s="64"/>
      <c r="E160" s="64"/>
      <c r="F160" s="64"/>
      <c r="T160" s="64"/>
      <c r="V160" s="65"/>
      <c r="W160" s="68"/>
      <c r="X160" s="11"/>
      <c r="Y160" s="11"/>
    </row>
    <row r="161" spans="1:25" x14ac:dyDescent="0.25">
      <c r="A161" s="39"/>
      <c r="B161" s="77"/>
      <c r="C161" s="64"/>
      <c r="D161" s="64"/>
      <c r="E161" s="64"/>
      <c r="F161" s="64"/>
      <c r="T161" s="64"/>
      <c r="V161" s="65"/>
      <c r="W161" s="68"/>
      <c r="X161" s="11"/>
      <c r="Y161" s="11"/>
    </row>
    <row r="162" spans="1:25" x14ac:dyDescent="0.25">
      <c r="A162" s="39"/>
      <c r="B162" s="77"/>
      <c r="C162" s="64"/>
      <c r="D162" s="64"/>
      <c r="E162" s="64"/>
      <c r="F162" s="64"/>
      <c r="T162" s="64"/>
      <c r="V162" s="65"/>
      <c r="W162" s="68"/>
      <c r="X162" s="11"/>
      <c r="Y162" s="11"/>
    </row>
    <row r="163" spans="1:25" x14ac:dyDescent="0.25">
      <c r="A163" s="39"/>
      <c r="B163" s="77"/>
      <c r="C163" s="64"/>
      <c r="D163" s="64"/>
      <c r="E163" s="64"/>
      <c r="F163" s="64"/>
      <c r="T163" s="64"/>
      <c r="V163" s="65"/>
      <c r="W163" s="68"/>
      <c r="X163" s="11"/>
      <c r="Y163" s="11"/>
    </row>
    <row r="164" spans="1:25" x14ac:dyDescent="0.25">
      <c r="A164" s="39"/>
      <c r="B164" s="77"/>
      <c r="C164" s="64"/>
      <c r="D164" s="64"/>
      <c r="E164" s="64"/>
      <c r="F164" s="64"/>
      <c r="T164" s="64"/>
      <c r="V164" s="65"/>
      <c r="W164" s="68"/>
      <c r="X164" s="11"/>
      <c r="Y164" s="11"/>
    </row>
    <row r="165" spans="1:25" x14ac:dyDescent="0.25">
      <c r="A165" s="39"/>
      <c r="B165" s="77"/>
      <c r="C165" s="64"/>
      <c r="D165" s="64"/>
      <c r="E165" s="64"/>
      <c r="F165" s="64"/>
      <c r="T165" s="64"/>
      <c r="V165" s="65"/>
      <c r="W165" s="68"/>
      <c r="X165" s="11"/>
      <c r="Y165" s="11"/>
    </row>
    <row r="166" spans="1:25" x14ac:dyDescent="0.25">
      <c r="A166" s="39"/>
      <c r="B166" s="77"/>
      <c r="C166" s="64"/>
      <c r="D166" s="64"/>
      <c r="E166" s="64"/>
      <c r="F166" s="64"/>
      <c r="T166" s="64"/>
      <c r="V166" s="65"/>
      <c r="W166" s="68"/>
      <c r="X166" s="11"/>
      <c r="Y166" s="11"/>
    </row>
    <row r="167" spans="1:25" x14ac:dyDescent="0.25">
      <c r="A167" s="39"/>
      <c r="B167" s="77"/>
      <c r="C167" s="64"/>
      <c r="D167" s="64"/>
      <c r="E167" s="64"/>
      <c r="F167" s="64"/>
      <c r="T167" s="64"/>
      <c r="V167" s="65"/>
      <c r="W167" s="68"/>
      <c r="X167" s="11"/>
      <c r="Y167" s="11"/>
    </row>
    <row r="168" spans="1:25" x14ac:dyDescent="0.25">
      <c r="A168" s="39"/>
      <c r="B168" s="77"/>
      <c r="C168" s="64"/>
      <c r="D168" s="64"/>
      <c r="E168" s="64"/>
      <c r="F168" s="64"/>
      <c r="T168" s="64"/>
      <c r="V168" s="65"/>
      <c r="W168" s="68"/>
      <c r="X168" s="11"/>
      <c r="Y168" s="11"/>
    </row>
    <row r="169" spans="1:25" x14ac:dyDescent="0.25">
      <c r="A169" s="39"/>
      <c r="B169" s="77"/>
      <c r="C169" s="64"/>
      <c r="D169" s="64"/>
      <c r="E169" s="64"/>
      <c r="F169" s="64"/>
      <c r="T169" s="64"/>
      <c r="V169" s="65"/>
      <c r="W169" s="68"/>
      <c r="X169" s="11"/>
      <c r="Y169" s="11"/>
    </row>
    <row r="170" spans="1:25" x14ac:dyDescent="0.25">
      <c r="A170" s="39"/>
      <c r="B170" s="77"/>
      <c r="C170" s="64"/>
      <c r="D170" s="64"/>
      <c r="E170" s="64"/>
      <c r="F170" s="64"/>
      <c r="T170" s="64"/>
      <c r="V170" s="65"/>
      <c r="W170" s="68"/>
      <c r="X170" s="11"/>
      <c r="Y170" s="11"/>
    </row>
    <row r="171" spans="1:25" x14ac:dyDescent="0.25">
      <c r="A171" s="39"/>
      <c r="B171" s="77"/>
      <c r="C171" s="64"/>
      <c r="D171" s="64"/>
      <c r="E171" s="64"/>
      <c r="F171" s="64"/>
      <c r="T171" s="64"/>
      <c r="V171" s="65"/>
      <c r="W171" s="68"/>
      <c r="X171" s="11"/>
      <c r="Y171" s="11"/>
    </row>
    <row r="172" spans="1:25" x14ac:dyDescent="0.25">
      <c r="A172" s="39"/>
      <c r="B172" s="77"/>
      <c r="C172" s="64"/>
      <c r="D172" s="64"/>
      <c r="E172" s="64"/>
      <c r="F172" s="64"/>
      <c r="T172" s="64"/>
      <c r="V172" s="65"/>
      <c r="W172" s="68"/>
      <c r="X172" s="11"/>
      <c r="Y172" s="11"/>
    </row>
    <row r="173" spans="1:25" x14ac:dyDescent="0.25">
      <c r="A173" s="39"/>
      <c r="B173" s="77"/>
      <c r="C173" s="64"/>
      <c r="D173" s="64"/>
      <c r="E173" s="64"/>
      <c r="F173" s="64"/>
      <c r="T173" s="64"/>
      <c r="V173" s="65"/>
      <c r="W173" s="68"/>
      <c r="X173" s="11"/>
      <c r="Y173" s="11"/>
    </row>
    <row r="174" spans="1:25" x14ac:dyDescent="0.25">
      <c r="A174" s="39"/>
      <c r="B174" s="77"/>
      <c r="C174" s="64"/>
      <c r="D174" s="64"/>
      <c r="E174" s="64"/>
      <c r="F174" s="64"/>
      <c r="T174" s="64"/>
      <c r="V174" s="65"/>
      <c r="W174" s="68"/>
      <c r="X174" s="11"/>
      <c r="Y174" s="11"/>
    </row>
    <row r="175" spans="1:25" x14ac:dyDescent="0.25">
      <c r="A175" s="39"/>
      <c r="B175" s="77"/>
      <c r="C175" s="64"/>
      <c r="D175" s="64"/>
      <c r="E175" s="64"/>
      <c r="F175" s="64"/>
      <c r="T175" s="64"/>
      <c r="V175" s="65"/>
      <c r="W175" s="68"/>
      <c r="X175" s="11"/>
      <c r="Y175" s="11"/>
    </row>
    <row r="176" spans="1:25" x14ac:dyDescent="0.25">
      <c r="A176" s="39"/>
      <c r="B176" s="77"/>
      <c r="C176" s="64"/>
      <c r="D176" s="64"/>
      <c r="E176" s="64"/>
      <c r="F176" s="64"/>
      <c r="T176" s="64"/>
      <c r="V176" s="65"/>
      <c r="W176" s="68"/>
      <c r="X176" s="11"/>
      <c r="Y176" s="11"/>
    </row>
    <row r="177" spans="1:25" x14ac:dyDescent="0.25">
      <c r="A177" s="39"/>
      <c r="B177" s="77"/>
      <c r="C177" s="64"/>
      <c r="D177" s="64"/>
      <c r="E177" s="64"/>
      <c r="F177" s="64"/>
      <c r="T177" s="64"/>
      <c r="V177" s="65"/>
      <c r="W177" s="68"/>
      <c r="X177" s="11"/>
      <c r="Y177" s="11"/>
    </row>
    <row r="178" spans="1:25" x14ac:dyDescent="0.25">
      <c r="A178" s="39"/>
      <c r="B178" s="77"/>
      <c r="C178" s="64"/>
      <c r="D178" s="64"/>
      <c r="E178" s="64"/>
      <c r="F178" s="64"/>
      <c r="T178" s="64"/>
      <c r="V178" s="65"/>
      <c r="W178" s="68"/>
      <c r="X178" s="11"/>
      <c r="Y178" s="11"/>
    </row>
    <row r="179" spans="1:25" x14ac:dyDescent="0.25">
      <c r="A179" s="39"/>
      <c r="B179" s="77"/>
      <c r="C179" s="64"/>
      <c r="D179" s="64"/>
      <c r="E179" s="64"/>
      <c r="F179" s="64"/>
      <c r="T179" s="64"/>
      <c r="V179" s="65"/>
      <c r="W179" s="68"/>
      <c r="X179" s="11"/>
      <c r="Y179" s="11"/>
    </row>
    <row r="180" spans="1:25" x14ac:dyDescent="0.25">
      <c r="A180" s="39"/>
      <c r="B180" s="77"/>
      <c r="C180" s="64"/>
      <c r="D180" s="64"/>
      <c r="E180" s="64"/>
      <c r="F180" s="64"/>
      <c r="T180" s="64"/>
      <c r="V180" s="65"/>
      <c r="W180" s="68"/>
      <c r="X180" s="11"/>
      <c r="Y180" s="11"/>
    </row>
    <row r="181" spans="1:25" x14ac:dyDescent="0.25">
      <c r="A181" s="39"/>
      <c r="B181" s="77"/>
      <c r="C181" s="64"/>
      <c r="D181" s="64"/>
      <c r="E181" s="64"/>
      <c r="F181" s="64"/>
      <c r="T181" s="64"/>
      <c r="V181" s="65"/>
      <c r="W181" s="68"/>
      <c r="X181" s="11"/>
      <c r="Y181" s="11"/>
    </row>
    <row r="182" spans="1:25" x14ac:dyDescent="0.25">
      <c r="A182" s="39"/>
      <c r="B182" s="77"/>
      <c r="C182" s="64"/>
      <c r="D182" s="64"/>
      <c r="E182" s="64"/>
      <c r="F182" s="64"/>
      <c r="T182" s="64"/>
      <c r="V182" s="65"/>
      <c r="W182" s="68"/>
      <c r="X182" s="11"/>
      <c r="Y182" s="11"/>
    </row>
    <row r="183" spans="1:25" x14ac:dyDescent="0.25">
      <c r="A183" s="39"/>
      <c r="B183" s="77"/>
      <c r="C183" s="64"/>
      <c r="D183" s="64"/>
      <c r="E183" s="64"/>
      <c r="F183" s="64"/>
      <c r="T183" s="64"/>
      <c r="V183" s="65"/>
      <c r="W183" s="68"/>
      <c r="X183" s="11"/>
      <c r="Y183" s="11"/>
    </row>
    <row r="184" spans="1:25" x14ac:dyDescent="0.25">
      <c r="A184" s="39"/>
      <c r="B184" s="77"/>
      <c r="C184" s="64"/>
      <c r="D184" s="64"/>
      <c r="E184" s="64"/>
      <c r="F184" s="64"/>
      <c r="T184" s="64"/>
      <c r="V184" s="65"/>
      <c r="W184" s="68"/>
      <c r="X184" s="11"/>
      <c r="Y184" s="11"/>
    </row>
    <row r="185" spans="1:25" x14ac:dyDescent="0.25">
      <c r="A185" s="39"/>
      <c r="B185" s="77"/>
      <c r="C185" s="64"/>
      <c r="D185" s="64"/>
      <c r="E185" s="64"/>
      <c r="F185" s="64"/>
      <c r="T185" s="64"/>
      <c r="V185" s="65"/>
      <c r="W185" s="68"/>
      <c r="X185" s="11"/>
      <c r="Y185" s="11"/>
    </row>
    <row r="186" spans="1:25" x14ac:dyDescent="0.25">
      <c r="A186" s="39"/>
      <c r="B186" s="77"/>
      <c r="C186" s="64"/>
      <c r="D186" s="64"/>
      <c r="E186" s="64"/>
      <c r="F186" s="64"/>
      <c r="T186" s="64"/>
      <c r="V186" s="65"/>
      <c r="W186" s="68"/>
      <c r="X186" s="11"/>
      <c r="Y186" s="11"/>
    </row>
    <row r="187" spans="1:25" x14ac:dyDescent="0.25">
      <c r="A187" s="39"/>
      <c r="B187" s="77"/>
      <c r="C187" s="64"/>
      <c r="D187" s="64"/>
      <c r="E187" s="64"/>
      <c r="F187" s="64"/>
      <c r="T187" s="64"/>
      <c r="V187" s="65"/>
      <c r="W187" s="68"/>
      <c r="X187" s="11"/>
      <c r="Y187" s="11"/>
    </row>
    <row r="188" spans="1:25" x14ac:dyDescent="0.25">
      <c r="A188" s="39"/>
      <c r="B188" s="77"/>
      <c r="C188" s="64"/>
      <c r="D188" s="64"/>
      <c r="E188" s="64"/>
      <c r="F188" s="64"/>
      <c r="T188" s="64"/>
      <c r="V188" s="65"/>
      <c r="W188" s="68"/>
      <c r="X188" s="11"/>
      <c r="Y188" s="11"/>
    </row>
    <row r="189" spans="1:25" x14ac:dyDescent="0.25">
      <c r="A189" s="39"/>
      <c r="B189" s="77"/>
      <c r="C189" s="64"/>
      <c r="D189" s="64"/>
      <c r="E189" s="64"/>
      <c r="F189" s="64"/>
      <c r="T189" s="64"/>
      <c r="V189" s="65"/>
      <c r="W189" s="68"/>
      <c r="X189" s="11"/>
      <c r="Y189" s="11"/>
    </row>
    <row r="190" spans="1:25" x14ac:dyDescent="0.25">
      <c r="A190" s="39"/>
      <c r="B190" s="77"/>
      <c r="C190" s="64"/>
      <c r="D190" s="64"/>
      <c r="E190" s="64"/>
      <c r="F190" s="64"/>
      <c r="T190" s="64"/>
      <c r="V190" s="65"/>
      <c r="W190" s="68"/>
      <c r="X190" s="11"/>
      <c r="Y190" s="11"/>
    </row>
    <row r="191" spans="1:25" x14ac:dyDescent="0.25">
      <c r="A191" s="39"/>
      <c r="B191" s="77"/>
      <c r="C191" s="64"/>
      <c r="D191" s="64"/>
      <c r="E191" s="64"/>
      <c r="F191" s="64"/>
      <c r="T191" s="64"/>
      <c r="V191" s="65"/>
      <c r="W191" s="68"/>
      <c r="X191" s="11"/>
      <c r="Y191" s="11"/>
    </row>
    <row r="192" spans="1:25" x14ac:dyDescent="0.25">
      <c r="A192" s="39"/>
      <c r="B192" s="77"/>
      <c r="C192" s="64"/>
      <c r="D192" s="64"/>
      <c r="E192" s="64"/>
      <c r="F192" s="64"/>
      <c r="T192" s="64"/>
      <c r="V192" s="65"/>
      <c r="W192" s="68"/>
      <c r="X192" s="11"/>
      <c r="Y192" s="11"/>
    </row>
    <row r="193" spans="1:25" x14ac:dyDescent="0.25">
      <c r="A193" s="39"/>
      <c r="B193" s="77"/>
      <c r="C193" s="64"/>
      <c r="D193" s="64"/>
      <c r="E193" s="64"/>
      <c r="F193" s="64"/>
      <c r="T193" s="64"/>
      <c r="V193" s="65"/>
      <c r="W193" s="68"/>
      <c r="X193" s="11"/>
      <c r="Y193" s="11"/>
    </row>
    <row r="194" spans="1:25" x14ac:dyDescent="0.25">
      <c r="A194" s="39"/>
      <c r="B194" s="77"/>
      <c r="C194" s="64"/>
      <c r="D194" s="64"/>
      <c r="E194" s="64"/>
      <c r="F194" s="64"/>
      <c r="T194" s="64"/>
      <c r="V194" s="65"/>
      <c r="W194" s="68"/>
      <c r="X194" s="11"/>
      <c r="Y194" s="11"/>
    </row>
    <row r="195" spans="1:25" x14ac:dyDescent="0.25">
      <c r="A195" s="39"/>
      <c r="B195" s="77"/>
      <c r="C195" s="64"/>
      <c r="D195" s="64"/>
      <c r="E195" s="64"/>
      <c r="F195" s="64"/>
      <c r="T195" s="64"/>
      <c r="V195" s="65"/>
      <c r="W195" s="68"/>
      <c r="X195" s="11"/>
      <c r="Y195" s="11"/>
    </row>
    <row r="196" spans="1:25" x14ac:dyDescent="0.25">
      <c r="A196" s="39"/>
      <c r="B196" s="77"/>
      <c r="C196" s="64"/>
      <c r="D196" s="64"/>
      <c r="E196" s="64"/>
      <c r="F196" s="64"/>
      <c r="T196" s="64"/>
      <c r="V196" s="65"/>
      <c r="W196" s="68"/>
      <c r="X196" s="11"/>
      <c r="Y196" s="11"/>
    </row>
    <row r="197" spans="1:25" x14ac:dyDescent="0.25">
      <c r="A197" s="39"/>
      <c r="B197" s="77"/>
      <c r="C197" s="64"/>
      <c r="D197" s="64"/>
      <c r="E197" s="64"/>
      <c r="F197" s="64"/>
      <c r="T197" s="64"/>
      <c r="V197" s="65"/>
      <c r="W197" s="68"/>
      <c r="X197" s="11"/>
      <c r="Y197" s="11"/>
    </row>
    <row r="198" spans="1:25" x14ac:dyDescent="0.25">
      <c r="A198" s="39"/>
      <c r="B198" s="77"/>
      <c r="C198" s="64"/>
      <c r="D198" s="64"/>
      <c r="E198" s="64"/>
      <c r="F198" s="64"/>
      <c r="T198" s="64"/>
      <c r="V198" s="65"/>
      <c r="W198" s="68"/>
      <c r="X198" s="11"/>
      <c r="Y198" s="11"/>
    </row>
    <row r="199" spans="1:25" x14ac:dyDescent="0.25">
      <c r="A199" s="39"/>
      <c r="B199" s="77"/>
      <c r="C199" s="64"/>
      <c r="D199" s="64"/>
      <c r="E199" s="64"/>
      <c r="F199" s="64"/>
      <c r="T199" s="64"/>
      <c r="V199" s="65"/>
      <c r="W199" s="68"/>
      <c r="X199" s="11"/>
      <c r="Y199" s="11"/>
    </row>
    <row r="200" spans="1:25" x14ac:dyDescent="0.25">
      <c r="A200" s="39"/>
      <c r="B200" s="77"/>
      <c r="C200" s="64"/>
      <c r="D200" s="64"/>
      <c r="E200" s="64"/>
      <c r="F200" s="64"/>
      <c r="T200" s="64"/>
      <c r="V200" s="65"/>
      <c r="W200" s="68"/>
      <c r="X200" s="11"/>
      <c r="Y200" s="11"/>
    </row>
    <row r="201" spans="1:25" x14ac:dyDescent="0.25">
      <c r="A201" s="39"/>
      <c r="B201" s="77"/>
      <c r="C201" s="64"/>
      <c r="D201" s="64"/>
      <c r="E201" s="64"/>
      <c r="F201" s="64"/>
      <c r="T201" s="64"/>
      <c r="V201" s="65"/>
      <c r="W201" s="68"/>
      <c r="X201" s="11"/>
      <c r="Y201" s="11"/>
    </row>
    <row r="202" spans="1:25" x14ac:dyDescent="0.25">
      <c r="A202" s="39"/>
      <c r="B202" s="77"/>
      <c r="C202" s="64"/>
      <c r="D202" s="64"/>
      <c r="E202" s="64"/>
      <c r="F202" s="64"/>
      <c r="T202" s="64"/>
      <c r="V202" s="65"/>
      <c r="W202" s="68"/>
      <c r="X202" s="11"/>
      <c r="Y202" s="11"/>
    </row>
    <row r="203" spans="1:25" x14ac:dyDescent="0.25">
      <c r="A203" s="39"/>
      <c r="B203" s="77"/>
      <c r="C203" s="64"/>
      <c r="D203" s="64"/>
      <c r="E203" s="64"/>
      <c r="F203" s="64"/>
      <c r="T203" s="64"/>
      <c r="V203" s="65"/>
      <c r="W203" s="68"/>
      <c r="X203" s="11"/>
      <c r="Y203" s="11"/>
    </row>
    <row r="204" spans="1:25" x14ac:dyDescent="0.25">
      <c r="A204" s="39"/>
      <c r="B204" s="77"/>
      <c r="C204" s="64"/>
      <c r="D204" s="64"/>
      <c r="E204" s="64"/>
      <c r="F204" s="64"/>
      <c r="T204" s="64"/>
      <c r="V204" s="65"/>
      <c r="W204" s="68"/>
      <c r="X204" s="11"/>
      <c r="Y204" s="11"/>
    </row>
    <row r="205" spans="1:25" x14ac:dyDescent="0.25">
      <c r="A205" s="39"/>
      <c r="B205" s="77"/>
      <c r="C205" s="64"/>
      <c r="D205" s="64"/>
      <c r="E205" s="64"/>
      <c r="F205" s="64"/>
      <c r="T205" s="64"/>
      <c r="V205" s="65"/>
      <c r="W205" s="68"/>
      <c r="X205" s="11"/>
      <c r="Y205" s="11"/>
    </row>
    <row r="206" spans="1:25" x14ac:dyDescent="0.25">
      <c r="A206" s="39"/>
      <c r="B206" s="77"/>
      <c r="C206" s="64"/>
      <c r="D206" s="64"/>
      <c r="E206" s="64"/>
      <c r="F206" s="64"/>
      <c r="T206" s="64"/>
      <c r="V206" s="65"/>
      <c r="W206" s="68"/>
      <c r="X206" s="11"/>
      <c r="Y206" s="11"/>
    </row>
    <row r="207" spans="1:25" x14ac:dyDescent="0.25">
      <c r="A207" s="39"/>
      <c r="B207" s="77"/>
      <c r="C207" s="64"/>
      <c r="D207" s="64"/>
      <c r="E207" s="64"/>
      <c r="F207" s="64"/>
      <c r="T207" s="64"/>
      <c r="V207" s="65"/>
      <c r="W207" s="68"/>
      <c r="X207" s="11"/>
      <c r="Y207" s="11"/>
    </row>
    <row r="208" spans="1:25" x14ac:dyDescent="0.25">
      <c r="A208" s="39"/>
      <c r="B208" s="77"/>
      <c r="C208" s="64"/>
      <c r="D208" s="64"/>
      <c r="E208" s="64"/>
      <c r="F208" s="64"/>
      <c r="T208" s="64"/>
      <c r="V208" s="65"/>
      <c r="W208" s="68"/>
      <c r="X208" s="11"/>
      <c r="Y208" s="11"/>
    </row>
    <row r="209" spans="1:25" x14ac:dyDescent="0.25">
      <c r="A209" s="39"/>
      <c r="B209" s="77"/>
      <c r="C209" s="64"/>
      <c r="D209" s="64"/>
      <c r="E209" s="64"/>
      <c r="F209" s="64"/>
      <c r="T209" s="64"/>
      <c r="V209" s="65"/>
      <c r="W209" s="68"/>
      <c r="X209" s="11"/>
      <c r="Y209" s="11"/>
    </row>
    <row r="210" spans="1:25" x14ac:dyDescent="0.25">
      <c r="A210" s="39"/>
      <c r="B210" s="77"/>
      <c r="C210" s="64"/>
      <c r="D210" s="64"/>
      <c r="E210" s="64"/>
      <c r="F210" s="64"/>
      <c r="T210" s="64"/>
      <c r="V210" s="65"/>
      <c r="W210" s="68"/>
      <c r="X210" s="11"/>
      <c r="Y210" s="11"/>
    </row>
    <row r="211" spans="1:25" x14ac:dyDescent="0.25">
      <c r="A211" s="39"/>
      <c r="B211" s="77"/>
      <c r="C211" s="64"/>
      <c r="D211" s="64"/>
      <c r="E211" s="64"/>
      <c r="F211" s="64"/>
      <c r="T211" s="64"/>
      <c r="V211" s="65"/>
      <c r="W211" s="68"/>
      <c r="X211" s="11"/>
      <c r="Y211" s="11"/>
    </row>
    <row r="212" spans="1:25" x14ac:dyDescent="0.25">
      <c r="A212" s="39"/>
      <c r="B212" s="77"/>
      <c r="C212" s="64"/>
      <c r="D212" s="64"/>
      <c r="E212" s="64"/>
      <c r="F212" s="64"/>
      <c r="T212" s="64"/>
      <c r="V212" s="65"/>
      <c r="W212" s="68"/>
      <c r="X212" s="11"/>
      <c r="Y212" s="11"/>
    </row>
    <row r="213" spans="1:25" x14ac:dyDescent="0.25">
      <c r="A213" s="39"/>
      <c r="B213" s="77"/>
      <c r="C213" s="64"/>
      <c r="D213" s="64"/>
      <c r="E213" s="64"/>
      <c r="F213" s="64"/>
      <c r="T213" s="64"/>
      <c r="V213" s="65"/>
      <c r="W213" s="68"/>
      <c r="X213" s="11"/>
      <c r="Y213" s="11"/>
    </row>
    <row r="214" spans="1:25" x14ac:dyDescent="0.25">
      <c r="A214" s="39"/>
      <c r="B214" s="77"/>
      <c r="C214" s="64"/>
      <c r="D214" s="64"/>
      <c r="E214" s="64"/>
      <c r="F214" s="64"/>
      <c r="T214" s="64"/>
      <c r="V214" s="65"/>
      <c r="W214" s="68"/>
      <c r="X214" s="11"/>
      <c r="Y214" s="11"/>
    </row>
    <row r="215" spans="1:25" x14ac:dyDescent="0.25">
      <c r="A215" s="39"/>
      <c r="B215" s="77"/>
      <c r="C215" s="64"/>
      <c r="D215" s="64"/>
      <c r="E215" s="64"/>
      <c r="F215" s="64"/>
      <c r="T215" s="64"/>
      <c r="V215" s="65"/>
      <c r="W215" s="68"/>
      <c r="X215" s="11"/>
      <c r="Y215" s="11"/>
    </row>
    <row r="216" spans="1:25" x14ac:dyDescent="0.25">
      <c r="A216" s="39"/>
      <c r="B216" s="77"/>
      <c r="C216" s="64"/>
      <c r="D216" s="64"/>
      <c r="E216" s="64"/>
      <c r="F216" s="64"/>
      <c r="T216" s="64"/>
      <c r="V216" s="65"/>
      <c r="W216" s="68"/>
      <c r="X216" s="11"/>
      <c r="Y216" s="11"/>
    </row>
    <row r="217" spans="1:25" x14ac:dyDescent="0.25">
      <c r="A217" s="39"/>
      <c r="B217" s="77"/>
      <c r="C217" s="64"/>
      <c r="D217" s="64"/>
      <c r="E217" s="64"/>
      <c r="F217" s="64"/>
      <c r="T217" s="64"/>
      <c r="V217" s="65"/>
      <c r="W217" s="68"/>
      <c r="X217" s="11"/>
      <c r="Y217" s="11"/>
    </row>
    <row r="218" spans="1:25" x14ac:dyDescent="0.25">
      <c r="A218" s="39"/>
      <c r="B218" s="77"/>
      <c r="C218" s="64"/>
      <c r="D218" s="64"/>
      <c r="E218" s="64"/>
      <c r="F218" s="64"/>
      <c r="T218" s="64"/>
      <c r="V218" s="65"/>
      <c r="W218" s="68"/>
      <c r="X218" s="11"/>
      <c r="Y218" s="11"/>
    </row>
    <row r="219" spans="1:25" x14ac:dyDescent="0.25">
      <c r="A219" s="39"/>
      <c r="B219" s="77"/>
      <c r="C219" s="64"/>
      <c r="D219" s="64"/>
      <c r="E219" s="64"/>
      <c r="F219" s="64"/>
      <c r="T219" s="64"/>
      <c r="V219" s="65"/>
      <c r="W219" s="68"/>
      <c r="X219" s="11"/>
      <c r="Y219" s="11"/>
    </row>
    <row r="220" spans="1:25" x14ac:dyDescent="0.25">
      <c r="A220" s="39"/>
      <c r="B220" s="77"/>
      <c r="C220" s="64"/>
      <c r="D220" s="64"/>
      <c r="E220" s="64"/>
      <c r="F220" s="64"/>
      <c r="T220" s="64"/>
      <c r="V220" s="65"/>
      <c r="W220" s="68"/>
      <c r="X220" s="11"/>
      <c r="Y220" s="11"/>
    </row>
    <row r="221" spans="1:25" x14ac:dyDescent="0.25">
      <c r="A221" s="39"/>
      <c r="B221" s="77"/>
      <c r="C221" s="64"/>
      <c r="D221" s="64"/>
      <c r="E221" s="64"/>
      <c r="F221" s="64"/>
      <c r="T221" s="64"/>
      <c r="V221" s="65"/>
      <c r="W221" s="68"/>
      <c r="X221" s="11"/>
      <c r="Y221" s="11"/>
    </row>
    <row r="222" spans="1:25" x14ac:dyDescent="0.25">
      <c r="A222" s="39"/>
      <c r="B222" s="77"/>
      <c r="C222" s="64"/>
      <c r="D222" s="64"/>
      <c r="E222" s="64"/>
      <c r="F222" s="64"/>
      <c r="T222" s="64"/>
      <c r="V222" s="65"/>
      <c r="W222" s="68"/>
      <c r="X222" s="11"/>
      <c r="Y222" s="11"/>
    </row>
    <row r="223" spans="1:25" x14ac:dyDescent="0.25">
      <c r="A223" s="39"/>
      <c r="B223" s="77"/>
      <c r="C223" s="64"/>
      <c r="D223" s="64"/>
      <c r="E223" s="64"/>
      <c r="F223" s="64"/>
      <c r="T223" s="64"/>
      <c r="V223" s="65"/>
      <c r="W223" s="68"/>
      <c r="X223" s="11"/>
      <c r="Y223" s="11"/>
    </row>
    <row r="224" spans="1:25" x14ac:dyDescent="0.25">
      <c r="A224" s="39"/>
      <c r="B224" s="77"/>
      <c r="C224" s="64"/>
      <c r="D224" s="64"/>
      <c r="E224" s="64"/>
      <c r="F224" s="64"/>
      <c r="T224" s="64"/>
      <c r="V224" s="65"/>
      <c r="W224" s="68"/>
      <c r="X224" s="11"/>
      <c r="Y224" s="11"/>
    </row>
    <row r="225" spans="1:25" x14ac:dyDescent="0.25">
      <c r="A225" s="39"/>
      <c r="B225" s="77"/>
      <c r="C225" s="64"/>
      <c r="D225" s="64"/>
      <c r="E225" s="64"/>
      <c r="F225" s="64"/>
      <c r="T225" s="64"/>
      <c r="V225" s="65"/>
      <c r="W225" s="68"/>
      <c r="X225" s="11"/>
      <c r="Y225" s="11"/>
    </row>
    <row r="226" spans="1:25" x14ac:dyDescent="0.25">
      <c r="A226" s="39"/>
      <c r="B226" s="77"/>
      <c r="C226" s="64"/>
      <c r="D226" s="64"/>
      <c r="E226" s="64"/>
      <c r="F226" s="64"/>
      <c r="T226" s="64"/>
      <c r="V226" s="65"/>
      <c r="W226" s="68"/>
      <c r="X226" s="11"/>
      <c r="Y226" s="11"/>
    </row>
    <row r="227" spans="1:25" x14ac:dyDescent="0.25">
      <c r="A227" s="39"/>
      <c r="B227" s="77"/>
      <c r="C227" s="64"/>
      <c r="D227" s="64"/>
      <c r="E227" s="64"/>
      <c r="F227" s="64"/>
      <c r="T227" s="64"/>
      <c r="V227" s="65"/>
      <c r="W227" s="68"/>
      <c r="X227" s="11"/>
      <c r="Y227" s="11"/>
    </row>
    <row r="228" spans="1:25" x14ac:dyDescent="0.25">
      <c r="A228" s="39"/>
      <c r="B228" s="77"/>
      <c r="C228" s="64"/>
      <c r="D228" s="64"/>
      <c r="E228" s="64"/>
      <c r="F228" s="64"/>
      <c r="T228" s="64"/>
      <c r="V228" s="65"/>
      <c r="W228" s="68"/>
      <c r="X228" s="11"/>
      <c r="Y228" s="11"/>
    </row>
    <row r="229" spans="1:25" x14ac:dyDescent="0.25">
      <c r="A229" s="39"/>
      <c r="B229" s="77"/>
      <c r="C229" s="64"/>
      <c r="D229" s="64"/>
      <c r="E229" s="64"/>
      <c r="F229" s="64"/>
      <c r="T229" s="64"/>
      <c r="V229" s="65"/>
      <c r="W229" s="68"/>
      <c r="X229" s="11"/>
      <c r="Y229" s="11"/>
    </row>
    <row r="230" spans="1:25" x14ac:dyDescent="0.25">
      <c r="A230" s="39"/>
      <c r="B230" s="77"/>
      <c r="C230" s="64"/>
      <c r="D230" s="64"/>
      <c r="E230" s="64"/>
      <c r="F230" s="64"/>
      <c r="T230" s="64"/>
      <c r="V230" s="65"/>
      <c r="W230" s="68"/>
      <c r="X230" s="11"/>
      <c r="Y230" s="11"/>
    </row>
    <row r="231" spans="1:25" x14ac:dyDescent="0.25">
      <c r="A231" s="39"/>
      <c r="B231" s="77"/>
      <c r="C231" s="64"/>
      <c r="D231" s="64"/>
      <c r="E231" s="64"/>
      <c r="F231" s="64"/>
      <c r="T231" s="64"/>
      <c r="V231" s="65"/>
      <c r="W231" s="68"/>
      <c r="X231" s="11"/>
      <c r="Y231" s="11"/>
    </row>
    <row r="232" spans="1:25" x14ac:dyDescent="0.25">
      <c r="A232" s="39"/>
      <c r="B232" s="77"/>
      <c r="C232" s="64"/>
      <c r="D232" s="64"/>
      <c r="E232" s="64"/>
      <c r="F232" s="64"/>
      <c r="T232" s="64"/>
      <c r="V232" s="65"/>
      <c r="W232" s="68"/>
      <c r="X232" s="11"/>
      <c r="Y232" s="11"/>
    </row>
    <row r="233" spans="1:25" x14ac:dyDescent="0.25">
      <c r="A233" s="39"/>
      <c r="B233" s="77"/>
      <c r="C233" s="64"/>
      <c r="D233" s="64"/>
      <c r="E233" s="64"/>
      <c r="F233" s="64"/>
      <c r="T233" s="64"/>
      <c r="V233" s="65"/>
      <c r="W233" s="68"/>
      <c r="X233" s="11"/>
      <c r="Y233" s="11"/>
    </row>
    <row r="234" spans="1:25" x14ac:dyDescent="0.25">
      <c r="A234" s="39"/>
      <c r="B234" s="77"/>
      <c r="C234" s="64"/>
      <c r="D234" s="64"/>
      <c r="E234" s="64"/>
      <c r="F234" s="64"/>
      <c r="T234" s="64"/>
      <c r="V234" s="65"/>
      <c r="W234" s="68"/>
      <c r="X234" s="11"/>
      <c r="Y234" s="11"/>
    </row>
    <row r="235" spans="1:25" x14ac:dyDescent="0.25">
      <c r="A235" s="39"/>
      <c r="B235" s="77"/>
      <c r="C235" s="64"/>
      <c r="D235" s="64"/>
      <c r="E235" s="64"/>
      <c r="F235" s="64"/>
      <c r="T235" s="64"/>
      <c r="V235" s="65"/>
      <c r="W235" s="68"/>
      <c r="X235" s="11"/>
      <c r="Y235" s="11"/>
    </row>
    <row r="236" spans="1:25" x14ac:dyDescent="0.25">
      <c r="A236" s="39"/>
      <c r="B236" s="77"/>
      <c r="C236" s="64"/>
      <c r="D236" s="64"/>
      <c r="E236" s="64"/>
      <c r="F236" s="64"/>
      <c r="T236" s="64"/>
      <c r="V236" s="65"/>
      <c r="W236" s="68"/>
      <c r="X236" s="11"/>
      <c r="Y236" s="11"/>
    </row>
    <row r="237" spans="1:25" x14ac:dyDescent="0.25">
      <c r="A237" s="39"/>
      <c r="B237" s="77"/>
      <c r="C237" s="64"/>
      <c r="D237" s="64"/>
      <c r="E237" s="64"/>
      <c r="F237" s="64"/>
      <c r="T237" s="64"/>
      <c r="V237" s="65"/>
      <c r="W237" s="68"/>
      <c r="X237" s="11"/>
      <c r="Y237" s="11"/>
    </row>
    <row r="238" spans="1:25" x14ac:dyDescent="0.25">
      <c r="A238" s="39"/>
      <c r="B238" s="77"/>
      <c r="C238" s="64"/>
      <c r="D238" s="64"/>
      <c r="E238" s="64"/>
      <c r="F238" s="64"/>
      <c r="T238" s="64"/>
      <c r="V238" s="65"/>
      <c r="W238" s="68"/>
      <c r="X238" s="11"/>
      <c r="Y238" s="11"/>
    </row>
    <row r="239" spans="1:25" x14ac:dyDescent="0.25">
      <c r="A239" s="39"/>
      <c r="B239" s="77"/>
      <c r="C239" s="64"/>
      <c r="D239" s="64"/>
      <c r="E239" s="64"/>
      <c r="F239" s="64"/>
      <c r="T239" s="64"/>
      <c r="V239" s="65"/>
      <c r="W239" s="68"/>
      <c r="X239" s="11"/>
      <c r="Y239" s="11"/>
    </row>
    <row r="240" spans="1:25" x14ac:dyDescent="0.25">
      <c r="A240" s="39"/>
      <c r="B240" s="77"/>
      <c r="C240" s="64"/>
      <c r="D240" s="64"/>
      <c r="E240" s="64"/>
      <c r="F240" s="64"/>
      <c r="T240" s="64"/>
      <c r="V240" s="65"/>
      <c r="W240" s="68"/>
      <c r="X240" s="11"/>
      <c r="Y240" s="11"/>
    </row>
    <row r="241" spans="1:25" x14ac:dyDescent="0.25">
      <c r="A241" s="39"/>
      <c r="B241" s="77"/>
      <c r="C241" s="64"/>
      <c r="D241" s="64"/>
      <c r="E241" s="64"/>
      <c r="F241" s="64"/>
      <c r="T241" s="64"/>
      <c r="V241" s="65"/>
      <c r="W241" s="68"/>
      <c r="X241" s="11"/>
      <c r="Y241" s="11"/>
    </row>
    <row r="242" spans="1:25" x14ac:dyDescent="0.25">
      <c r="A242" s="39"/>
      <c r="B242" s="77"/>
      <c r="C242" s="64"/>
      <c r="D242" s="64"/>
      <c r="E242" s="64"/>
      <c r="F242" s="64"/>
      <c r="T242" s="64"/>
      <c r="V242" s="65"/>
      <c r="W242" s="68"/>
      <c r="X242" s="11"/>
      <c r="Y242" s="11"/>
    </row>
    <row r="243" spans="1:25" x14ac:dyDescent="0.25">
      <c r="A243" s="39"/>
      <c r="B243" s="77"/>
      <c r="C243" s="64"/>
      <c r="D243" s="64"/>
      <c r="E243" s="64"/>
      <c r="F243" s="64"/>
      <c r="T243" s="64"/>
      <c r="V243" s="65"/>
      <c r="W243" s="68"/>
      <c r="X243" s="11"/>
      <c r="Y243" s="11"/>
    </row>
    <row r="244" spans="1:25" x14ac:dyDescent="0.25">
      <c r="A244" s="39"/>
      <c r="B244" s="77"/>
      <c r="C244" s="64"/>
      <c r="D244" s="64"/>
      <c r="E244" s="64"/>
      <c r="F244" s="64"/>
      <c r="T244" s="64"/>
      <c r="V244" s="65"/>
      <c r="W244" s="68"/>
      <c r="X244" s="11"/>
      <c r="Y244" s="11"/>
    </row>
    <row r="245" spans="1:25" x14ac:dyDescent="0.25">
      <c r="A245" s="39"/>
      <c r="B245" s="77"/>
      <c r="C245" s="64"/>
      <c r="D245" s="64"/>
      <c r="E245" s="64"/>
      <c r="F245" s="64"/>
      <c r="T245" s="64"/>
      <c r="V245" s="65"/>
      <c r="W245" s="68"/>
      <c r="X245" s="11"/>
      <c r="Y245" s="11"/>
    </row>
    <row r="246" spans="1:25" x14ac:dyDescent="0.25">
      <c r="A246" s="39"/>
      <c r="B246" s="77"/>
      <c r="C246" s="64"/>
      <c r="D246" s="64"/>
      <c r="E246" s="64"/>
      <c r="F246" s="64"/>
      <c r="T246" s="64"/>
      <c r="V246" s="65"/>
      <c r="W246" s="68"/>
      <c r="X246" s="11"/>
      <c r="Y246" s="11"/>
    </row>
    <row r="247" spans="1:25" x14ac:dyDescent="0.25">
      <c r="A247" s="39"/>
      <c r="B247" s="77"/>
      <c r="C247" s="64"/>
      <c r="D247" s="64"/>
      <c r="E247" s="64"/>
      <c r="F247" s="64"/>
      <c r="T247" s="64"/>
      <c r="V247" s="65"/>
      <c r="W247" s="68"/>
      <c r="X247" s="11"/>
      <c r="Y247" s="11"/>
    </row>
    <row r="248" spans="1:25" x14ac:dyDescent="0.25">
      <c r="A248" s="39"/>
      <c r="B248" s="77"/>
      <c r="C248" s="64"/>
      <c r="D248" s="64"/>
      <c r="E248" s="64"/>
      <c r="F248" s="64"/>
      <c r="T248" s="64"/>
      <c r="V248" s="65"/>
      <c r="W248" s="68"/>
      <c r="X248" s="11"/>
      <c r="Y248" s="11"/>
    </row>
    <row r="249" spans="1:25" x14ac:dyDescent="0.25">
      <c r="A249" s="39"/>
      <c r="B249" s="77"/>
      <c r="C249" s="64"/>
      <c r="D249" s="64"/>
      <c r="E249" s="64"/>
      <c r="F249" s="64"/>
      <c r="T249" s="64"/>
      <c r="V249" s="65"/>
      <c r="W249" s="68"/>
      <c r="X249" s="11"/>
      <c r="Y249" s="11"/>
    </row>
    <row r="250" spans="1:25" x14ac:dyDescent="0.25">
      <c r="A250" s="39"/>
      <c r="B250" s="77"/>
      <c r="C250" s="64"/>
      <c r="D250" s="64"/>
      <c r="E250" s="64"/>
      <c r="F250" s="64"/>
      <c r="T250" s="64"/>
      <c r="V250" s="65"/>
      <c r="W250" s="68"/>
      <c r="X250" s="11"/>
      <c r="Y250" s="11"/>
    </row>
    <row r="251" spans="1:25" x14ac:dyDescent="0.25">
      <c r="A251" s="39"/>
      <c r="B251" s="77"/>
      <c r="C251" s="64"/>
      <c r="D251" s="64"/>
      <c r="E251" s="64"/>
      <c r="F251" s="64"/>
      <c r="T251" s="64"/>
      <c r="V251" s="65"/>
      <c r="W251" s="68"/>
      <c r="X251" s="11"/>
      <c r="Y251" s="11"/>
    </row>
    <row r="252" spans="1:25" x14ac:dyDescent="0.25">
      <c r="A252" s="39"/>
      <c r="B252" s="77"/>
      <c r="C252" s="64"/>
      <c r="D252" s="64"/>
      <c r="E252" s="64"/>
      <c r="F252" s="64"/>
      <c r="T252" s="64"/>
      <c r="V252" s="65"/>
      <c r="W252" s="68"/>
      <c r="X252" s="11"/>
      <c r="Y252" s="11"/>
    </row>
    <row r="253" spans="1:25" x14ac:dyDescent="0.25">
      <c r="A253" s="39"/>
      <c r="B253" s="77"/>
      <c r="C253" s="64"/>
      <c r="D253" s="64"/>
      <c r="E253" s="64"/>
      <c r="F253" s="64"/>
      <c r="T253" s="64"/>
      <c r="V253" s="65"/>
      <c r="W253" s="68"/>
      <c r="X253" s="11"/>
      <c r="Y253" s="11"/>
    </row>
    <row r="254" spans="1:25" x14ac:dyDescent="0.25">
      <c r="A254" s="39"/>
      <c r="B254" s="77"/>
      <c r="C254" s="64"/>
      <c r="D254" s="64"/>
      <c r="E254" s="64"/>
      <c r="F254" s="64"/>
      <c r="T254" s="64"/>
      <c r="V254" s="65"/>
      <c r="W254" s="68"/>
      <c r="X254" s="11"/>
      <c r="Y254" s="11"/>
    </row>
    <row r="255" spans="1:25" x14ac:dyDescent="0.25">
      <c r="A255" s="39"/>
      <c r="B255" s="77"/>
      <c r="C255" s="64"/>
      <c r="D255" s="64"/>
      <c r="E255" s="64"/>
      <c r="F255" s="64"/>
      <c r="T255" s="64"/>
      <c r="V255" s="65"/>
      <c r="W255" s="68"/>
      <c r="X255" s="11"/>
      <c r="Y255" s="11"/>
    </row>
    <row r="256" spans="1:25" x14ac:dyDescent="0.25">
      <c r="A256" s="39"/>
      <c r="B256" s="77"/>
      <c r="C256" s="64"/>
      <c r="D256" s="64"/>
      <c r="E256" s="64"/>
      <c r="F256" s="64"/>
      <c r="T256" s="64"/>
      <c r="V256" s="65"/>
      <c r="W256" s="68"/>
      <c r="X256" s="11"/>
      <c r="Y256" s="11"/>
    </row>
    <row r="257" spans="1:25" x14ac:dyDescent="0.25">
      <c r="A257" s="39"/>
      <c r="B257" s="77"/>
      <c r="C257" s="64"/>
      <c r="D257" s="64"/>
      <c r="E257" s="64"/>
      <c r="F257" s="64"/>
      <c r="T257" s="64"/>
      <c r="V257" s="65"/>
      <c r="W257" s="68"/>
      <c r="X257" s="11"/>
      <c r="Y257" s="11"/>
    </row>
    <row r="258" spans="1:25" x14ac:dyDescent="0.25">
      <c r="A258" s="39"/>
      <c r="B258" s="77"/>
      <c r="C258" s="64"/>
      <c r="D258" s="64"/>
      <c r="E258" s="64"/>
      <c r="F258" s="64"/>
      <c r="T258" s="64"/>
      <c r="V258" s="65"/>
      <c r="W258" s="68"/>
      <c r="X258" s="11"/>
      <c r="Y258" s="11"/>
    </row>
    <row r="259" spans="1:25" x14ac:dyDescent="0.25">
      <c r="A259" s="39"/>
      <c r="B259" s="77"/>
      <c r="C259" s="64"/>
      <c r="D259" s="64"/>
      <c r="E259" s="64"/>
      <c r="F259" s="64"/>
      <c r="T259" s="64"/>
      <c r="V259" s="65"/>
      <c r="W259" s="68"/>
      <c r="X259" s="11"/>
      <c r="Y259" s="11"/>
    </row>
    <row r="260" spans="1:25" x14ac:dyDescent="0.25">
      <c r="A260" s="39"/>
      <c r="B260" s="77"/>
      <c r="C260" s="64"/>
      <c r="D260" s="64"/>
      <c r="E260" s="64"/>
      <c r="F260" s="64"/>
      <c r="T260" s="64"/>
      <c r="V260" s="65"/>
      <c r="W260" s="68"/>
      <c r="X260" s="11"/>
      <c r="Y260" s="11"/>
    </row>
    <row r="261" spans="1:25" x14ac:dyDescent="0.25">
      <c r="A261" s="39"/>
      <c r="B261" s="77"/>
      <c r="C261" s="64"/>
      <c r="D261" s="64"/>
      <c r="E261" s="64"/>
      <c r="F261" s="64"/>
      <c r="T261" s="64"/>
      <c r="V261" s="65"/>
      <c r="W261" s="68"/>
      <c r="X261" s="11"/>
      <c r="Y261" s="11"/>
    </row>
    <row r="262" spans="1:25" x14ac:dyDescent="0.25">
      <c r="A262" s="39"/>
      <c r="B262" s="77"/>
      <c r="C262" s="64"/>
      <c r="D262" s="64"/>
      <c r="E262" s="64"/>
      <c r="F262" s="64"/>
      <c r="T262" s="64"/>
      <c r="V262" s="65"/>
      <c r="W262" s="68"/>
      <c r="X262" s="11"/>
      <c r="Y262" s="11"/>
    </row>
    <row r="263" spans="1:25" x14ac:dyDescent="0.25">
      <c r="A263" s="39"/>
      <c r="B263" s="77"/>
      <c r="C263" s="64"/>
      <c r="D263" s="64"/>
      <c r="E263" s="64"/>
      <c r="F263" s="64"/>
      <c r="T263" s="64"/>
      <c r="V263" s="65"/>
      <c r="W263" s="68"/>
      <c r="X263" s="11"/>
      <c r="Y263" s="11"/>
    </row>
    <row r="264" spans="1:25" x14ac:dyDescent="0.25">
      <c r="A264" s="39"/>
      <c r="B264" s="77"/>
      <c r="C264" s="64"/>
      <c r="D264" s="64"/>
      <c r="E264" s="64"/>
      <c r="F264" s="64"/>
      <c r="T264" s="64"/>
      <c r="V264" s="65"/>
      <c r="W264" s="68"/>
      <c r="X264" s="11"/>
      <c r="Y264" s="11"/>
    </row>
    <row r="265" spans="1:25" x14ac:dyDescent="0.25">
      <c r="A265" s="39"/>
      <c r="B265" s="77"/>
      <c r="C265" s="64"/>
      <c r="D265" s="64"/>
      <c r="E265" s="64"/>
      <c r="F265" s="64"/>
      <c r="T265" s="64"/>
      <c r="V265" s="65"/>
      <c r="W265" s="68"/>
      <c r="X265" s="11"/>
      <c r="Y265" s="11"/>
    </row>
    <row r="266" spans="1:25" x14ac:dyDescent="0.25">
      <c r="A266" s="39"/>
      <c r="B266" s="77"/>
      <c r="C266" s="64"/>
      <c r="D266" s="64"/>
      <c r="E266" s="64"/>
      <c r="F266" s="64"/>
      <c r="T266" s="64"/>
      <c r="V266" s="65"/>
      <c r="W266" s="68"/>
      <c r="X266" s="11"/>
      <c r="Y266" s="11"/>
    </row>
    <row r="267" spans="1:25" x14ac:dyDescent="0.25">
      <c r="A267" s="39"/>
      <c r="B267" s="77"/>
      <c r="C267" s="64"/>
      <c r="D267" s="64"/>
      <c r="E267" s="64"/>
      <c r="F267" s="64"/>
      <c r="T267" s="64"/>
      <c r="V267" s="65"/>
      <c r="W267" s="68"/>
      <c r="X267" s="11"/>
      <c r="Y267" s="11"/>
    </row>
    <row r="268" spans="1:25" x14ac:dyDescent="0.25">
      <c r="A268" s="39"/>
      <c r="B268" s="77"/>
      <c r="C268" s="64"/>
      <c r="D268" s="64"/>
      <c r="E268" s="64"/>
      <c r="F268" s="64"/>
      <c r="T268" s="64"/>
      <c r="V268" s="65"/>
      <c r="W268" s="68"/>
      <c r="X268" s="11"/>
      <c r="Y268" s="11"/>
    </row>
    <row r="269" spans="1:25" x14ac:dyDescent="0.25">
      <c r="A269" s="39"/>
      <c r="B269" s="77"/>
      <c r="C269" s="64"/>
      <c r="D269" s="64"/>
      <c r="E269" s="64"/>
      <c r="F269" s="64"/>
      <c r="T269" s="64"/>
      <c r="V269" s="65"/>
      <c r="W269" s="68"/>
      <c r="X269" s="11"/>
      <c r="Y269" s="11"/>
    </row>
    <row r="270" spans="1:25" x14ac:dyDescent="0.25">
      <c r="A270" s="39"/>
      <c r="B270" s="77"/>
      <c r="C270" s="64"/>
      <c r="D270" s="64"/>
      <c r="E270" s="64"/>
      <c r="F270" s="64"/>
      <c r="T270" s="64"/>
      <c r="V270" s="65"/>
      <c r="W270" s="68"/>
      <c r="X270" s="11"/>
      <c r="Y270" s="11"/>
    </row>
    <row r="271" spans="1:25" x14ac:dyDescent="0.25">
      <c r="A271" s="39"/>
      <c r="B271" s="77"/>
      <c r="C271" s="64"/>
      <c r="D271" s="64"/>
      <c r="E271" s="64"/>
      <c r="F271" s="64"/>
      <c r="T271" s="64"/>
      <c r="V271" s="65"/>
      <c r="W271" s="68"/>
      <c r="X271" s="11"/>
      <c r="Y271" s="11"/>
    </row>
    <row r="272" spans="1:25" x14ac:dyDescent="0.25">
      <c r="A272" s="39"/>
      <c r="B272" s="77"/>
      <c r="C272" s="64"/>
      <c r="D272" s="64"/>
      <c r="E272" s="64"/>
      <c r="F272" s="64"/>
      <c r="T272" s="64"/>
      <c r="V272" s="65"/>
      <c r="W272" s="68"/>
      <c r="X272" s="11"/>
      <c r="Y272" s="11"/>
    </row>
    <row r="273" spans="1:25" x14ac:dyDescent="0.25">
      <c r="A273" s="39"/>
      <c r="B273" s="77"/>
      <c r="C273" s="64"/>
      <c r="D273" s="64"/>
      <c r="E273" s="64"/>
      <c r="F273" s="64"/>
      <c r="T273" s="64"/>
      <c r="V273" s="65"/>
      <c r="W273" s="68"/>
      <c r="X273" s="11"/>
      <c r="Y273" s="11"/>
    </row>
    <row r="274" spans="1:25" x14ac:dyDescent="0.25">
      <c r="A274" s="39"/>
      <c r="B274" s="77"/>
      <c r="C274" s="64"/>
      <c r="D274" s="64"/>
      <c r="E274" s="64"/>
      <c r="F274" s="64"/>
      <c r="T274" s="64"/>
      <c r="V274" s="65"/>
      <c r="W274" s="68"/>
      <c r="X274" s="11"/>
      <c r="Y274" s="11"/>
    </row>
    <row r="275" spans="1:25" x14ac:dyDescent="0.25">
      <c r="A275" s="39"/>
      <c r="B275" s="77"/>
      <c r="C275" s="64"/>
      <c r="D275" s="64"/>
      <c r="E275" s="64"/>
      <c r="F275" s="64"/>
      <c r="T275" s="64"/>
      <c r="V275" s="65"/>
      <c r="W275" s="68"/>
      <c r="X275" s="11"/>
      <c r="Y275" s="11"/>
    </row>
    <row r="276" spans="1:25" x14ac:dyDescent="0.25">
      <c r="A276" s="39"/>
      <c r="B276" s="77"/>
      <c r="C276" s="64"/>
      <c r="D276" s="64"/>
      <c r="E276" s="64"/>
      <c r="F276" s="64"/>
      <c r="T276" s="64"/>
      <c r="V276" s="65"/>
      <c r="W276" s="68"/>
      <c r="X276" s="11"/>
      <c r="Y276" s="11"/>
    </row>
    <row r="277" spans="1:25" x14ac:dyDescent="0.25">
      <c r="A277" s="39"/>
      <c r="B277" s="77"/>
      <c r="C277" s="64"/>
      <c r="D277" s="64"/>
      <c r="E277" s="64"/>
      <c r="F277" s="64"/>
      <c r="T277" s="64"/>
      <c r="V277" s="65"/>
      <c r="W277" s="68"/>
      <c r="X277" s="11"/>
      <c r="Y277" s="11"/>
    </row>
    <row r="278" spans="1:25" x14ac:dyDescent="0.25">
      <c r="A278" s="39"/>
      <c r="B278" s="77"/>
      <c r="C278" s="64"/>
      <c r="D278" s="64"/>
      <c r="E278" s="64"/>
      <c r="F278" s="64"/>
      <c r="T278" s="64"/>
      <c r="V278" s="65"/>
      <c r="W278" s="68"/>
      <c r="X278" s="11"/>
      <c r="Y278" s="11"/>
    </row>
    <row r="279" spans="1:25" x14ac:dyDescent="0.25">
      <c r="A279" s="39"/>
      <c r="B279" s="77"/>
      <c r="C279" s="64"/>
      <c r="D279" s="64"/>
      <c r="E279" s="64"/>
      <c r="F279" s="64"/>
      <c r="T279" s="64"/>
      <c r="V279" s="65"/>
      <c r="W279" s="68"/>
      <c r="X279" s="11"/>
      <c r="Y279" s="11"/>
    </row>
    <row r="280" spans="1:25" x14ac:dyDescent="0.25">
      <c r="A280" s="39"/>
      <c r="B280" s="77"/>
      <c r="C280" s="64"/>
      <c r="D280" s="64"/>
      <c r="E280" s="64"/>
      <c r="F280" s="64"/>
      <c r="T280" s="64"/>
      <c r="V280" s="65"/>
      <c r="W280" s="68"/>
      <c r="X280" s="11"/>
      <c r="Y280" s="11"/>
    </row>
    <row r="281" spans="1:25" x14ac:dyDescent="0.25">
      <c r="A281" s="39"/>
      <c r="B281" s="77"/>
      <c r="C281" s="64"/>
      <c r="D281" s="64"/>
      <c r="E281" s="64"/>
      <c r="F281" s="64"/>
      <c r="T281" s="64"/>
      <c r="V281" s="65"/>
      <c r="W281" s="68"/>
      <c r="X281" s="11"/>
      <c r="Y281" s="11"/>
    </row>
    <row r="282" spans="1:25" x14ac:dyDescent="0.25">
      <c r="A282" s="39"/>
      <c r="B282" s="77"/>
      <c r="C282" s="64"/>
      <c r="D282" s="64"/>
      <c r="E282" s="64"/>
      <c r="F282" s="64"/>
      <c r="T282" s="64"/>
      <c r="V282" s="65"/>
      <c r="W282" s="68"/>
      <c r="X282" s="11"/>
      <c r="Y282" s="11"/>
    </row>
    <row r="283" spans="1:25" x14ac:dyDescent="0.25">
      <c r="A283" s="39"/>
      <c r="B283" s="77"/>
      <c r="C283" s="64"/>
      <c r="D283" s="64"/>
      <c r="E283" s="64"/>
      <c r="F283" s="64"/>
      <c r="T283" s="64"/>
      <c r="V283" s="65"/>
      <c r="W283" s="68"/>
      <c r="X283" s="11"/>
      <c r="Y283" s="11"/>
    </row>
    <row r="284" spans="1:25" x14ac:dyDescent="0.25">
      <c r="A284" s="39"/>
      <c r="B284" s="77"/>
      <c r="C284" s="64"/>
      <c r="D284" s="64"/>
      <c r="E284" s="64"/>
      <c r="F284" s="64"/>
      <c r="T284" s="64"/>
      <c r="V284" s="65"/>
      <c r="W284" s="68"/>
      <c r="X284" s="11"/>
      <c r="Y284" s="11"/>
    </row>
    <row r="285" spans="1:25" x14ac:dyDescent="0.25">
      <c r="A285" s="39"/>
      <c r="B285" s="77"/>
      <c r="C285" s="64"/>
      <c r="D285" s="64"/>
      <c r="E285" s="64"/>
      <c r="F285" s="64"/>
      <c r="T285" s="64"/>
      <c r="V285" s="65"/>
      <c r="W285" s="68"/>
      <c r="X285" s="11"/>
      <c r="Y285" s="11"/>
    </row>
    <row r="286" spans="1:25" x14ac:dyDescent="0.25">
      <c r="A286" s="39"/>
      <c r="B286" s="77"/>
      <c r="C286" s="64"/>
      <c r="D286" s="64"/>
      <c r="E286" s="64"/>
      <c r="F286" s="64"/>
      <c r="T286" s="64"/>
      <c r="V286" s="65"/>
      <c r="W286" s="68"/>
      <c r="X286" s="11"/>
      <c r="Y286" s="11"/>
    </row>
    <row r="287" spans="1:25" x14ac:dyDescent="0.25">
      <c r="A287" s="39"/>
      <c r="B287" s="77"/>
      <c r="C287" s="64"/>
      <c r="D287" s="64"/>
      <c r="E287" s="64"/>
      <c r="F287" s="64"/>
      <c r="T287" s="64"/>
      <c r="V287" s="65"/>
      <c r="W287" s="68"/>
      <c r="X287" s="11"/>
      <c r="Y287" s="11"/>
    </row>
    <row r="288" spans="1:25" x14ac:dyDescent="0.25">
      <c r="A288" s="39"/>
      <c r="B288" s="77"/>
      <c r="C288" s="64"/>
      <c r="D288" s="64"/>
      <c r="E288" s="64"/>
      <c r="F288" s="64"/>
      <c r="T288" s="64"/>
      <c r="V288" s="65"/>
      <c r="W288" s="68"/>
      <c r="X288" s="11"/>
      <c r="Y288" s="11"/>
    </row>
    <row r="289" spans="1:25" x14ac:dyDescent="0.25">
      <c r="A289" s="39"/>
      <c r="B289" s="77"/>
      <c r="C289" s="64"/>
      <c r="D289" s="64"/>
      <c r="E289" s="64"/>
      <c r="F289" s="64"/>
      <c r="T289" s="64"/>
      <c r="V289" s="65"/>
      <c r="W289" s="68"/>
      <c r="X289" s="11"/>
      <c r="Y289" s="11"/>
    </row>
    <row r="290" spans="1:25" x14ac:dyDescent="0.25">
      <c r="A290" s="39"/>
      <c r="B290" s="77"/>
      <c r="C290" s="64"/>
      <c r="D290" s="64"/>
      <c r="E290" s="64"/>
      <c r="F290" s="64"/>
      <c r="T290" s="64"/>
      <c r="V290" s="65"/>
      <c r="W290" s="68"/>
      <c r="X290" s="11"/>
      <c r="Y290" s="11"/>
    </row>
    <row r="291" spans="1:25" x14ac:dyDescent="0.25">
      <c r="A291" s="39"/>
      <c r="B291" s="77"/>
      <c r="C291" s="64"/>
      <c r="D291" s="64"/>
      <c r="E291" s="64"/>
      <c r="F291" s="64"/>
      <c r="T291" s="64"/>
      <c r="V291" s="65"/>
      <c r="W291" s="68"/>
      <c r="X291" s="11"/>
      <c r="Y291" s="11"/>
    </row>
    <row r="292" spans="1:25" x14ac:dyDescent="0.25">
      <c r="A292" s="39"/>
      <c r="B292" s="77"/>
      <c r="C292" s="64"/>
      <c r="D292" s="64"/>
      <c r="E292" s="64"/>
      <c r="F292" s="64"/>
      <c r="T292" s="64"/>
      <c r="V292" s="65"/>
      <c r="W292" s="68"/>
      <c r="X292" s="11"/>
      <c r="Y292" s="11"/>
    </row>
    <row r="293" spans="1:25" x14ac:dyDescent="0.25">
      <c r="A293" s="39"/>
      <c r="B293" s="77"/>
      <c r="C293" s="64"/>
      <c r="D293" s="64"/>
      <c r="E293" s="64"/>
      <c r="F293" s="64"/>
      <c r="T293" s="64"/>
      <c r="V293" s="65"/>
      <c r="W293" s="68"/>
      <c r="X293" s="11"/>
      <c r="Y293" s="11"/>
    </row>
    <row r="294" spans="1:25" x14ac:dyDescent="0.25">
      <c r="A294" s="39"/>
      <c r="B294" s="77"/>
      <c r="C294" s="64"/>
      <c r="D294" s="64"/>
      <c r="E294" s="64"/>
      <c r="F294" s="64"/>
      <c r="T294" s="64"/>
      <c r="V294" s="65"/>
      <c r="W294" s="68"/>
      <c r="X294" s="11"/>
      <c r="Y294" s="11"/>
    </row>
    <row r="295" spans="1:25" x14ac:dyDescent="0.25">
      <c r="A295" s="39"/>
      <c r="B295" s="77"/>
      <c r="C295" s="64"/>
      <c r="D295" s="64"/>
      <c r="E295" s="64"/>
      <c r="F295" s="64"/>
      <c r="T295" s="64"/>
      <c r="V295" s="65"/>
      <c r="W295" s="68"/>
      <c r="X295" s="11"/>
      <c r="Y295" s="11"/>
    </row>
    <row r="296" spans="1:25" x14ac:dyDescent="0.25">
      <c r="A296" s="39"/>
      <c r="B296" s="77"/>
      <c r="C296" s="64"/>
      <c r="D296" s="64"/>
      <c r="E296" s="64"/>
      <c r="F296" s="64"/>
      <c r="T296" s="64"/>
      <c r="V296" s="65"/>
      <c r="W296" s="68"/>
      <c r="X296" s="11"/>
      <c r="Y296" s="11"/>
    </row>
    <row r="297" spans="1:25" x14ac:dyDescent="0.25">
      <c r="A297" s="39"/>
      <c r="B297" s="77"/>
      <c r="C297" s="64"/>
      <c r="D297" s="64"/>
      <c r="E297" s="64"/>
      <c r="F297" s="64"/>
      <c r="T297" s="64"/>
      <c r="V297" s="65"/>
      <c r="W297" s="68"/>
      <c r="X297" s="11"/>
      <c r="Y297" s="11"/>
    </row>
    <row r="298" spans="1:25" x14ac:dyDescent="0.25">
      <c r="A298" s="39"/>
      <c r="B298" s="77"/>
      <c r="C298" s="64"/>
      <c r="D298" s="64"/>
      <c r="E298" s="64"/>
      <c r="F298" s="64"/>
      <c r="T298" s="64"/>
      <c r="V298" s="65"/>
      <c r="W298" s="68"/>
      <c r="X298" s="11"/>
      <c r="Y298" s="11"/>
    </row>
    <row r="299" spans="1:25" x14ac:dyDescent="0.25">
      <c r="A299" s="39"/>
      <c r="B299" s="77"/>
      <c r="C299" s="64"/>
      <c r="D299" s="64"/>
      <c r="E299" s="64"/>
      <c r="F299" s="64"/>
      <c r="T299" s="64"/>
      <c r="V299" s="65"/>
      <c r="W299" s="68"/>
      <c r="X299" s="11"/>
      <c r="Y299" s="11"/>
    </row>
    <row r="300" spans="1:25" x14ac:dyDescent="0.25">
      <c r="A300" s="39"/>
      <c r="B300" s="77"/>
      <c r="C300" s="64"/>
      <c r="D300" s="64"/>
      <c r="E300" s="64"/>
      <c r="F300" s="64"/>
      <c r="T300" s="64"/>
      <c r="V300" s="65"/>
      <c r="W300" s="68"/>
      <c r="X300" s="11"/>
      <c r="Y300" s="11"/>
    </row>
    <row r="301" spans="1:25" x14ac:dyDescent="0.25">
      <c r="A301" s="39"/>
      <c r="B301" s="77"/>
      <c r="C301" s="64"/>
      <c r="D301" s="64"/>
      <c r="E301" s="64"/>
      <c r="F301" s="64"/>
      <c r="T301" s="64"/>
      <c r="V301" s="65"/>
      <c r="W301" s="68"/>
      <c r="X301" s="11"/>
      <c r="Y301" s="11"/>
    </row>
    <row r="302" spans="1:25" x14ac:dyDescent="0.25">
      <c r="A302" s="39"/>
      <c r="B302" s="77"/>
      <c r="C302" s="64"/>
      <c r="D302" s="64"/>
      <c r="E302" s="64"/>
      <c r="F302" s="64"/>
      <c r="T302" s="64"/>
      <c r="V302" s="65"/>
      <c r="W302" s="68"/>
      <c r="X302" s="11"/>
      <c r="Y302" s="11"/>
    </row>
    <row r="303" spans="1:25" x14ac:dyDescent="0.25">
      <c r="A303" s="39"/>
      <c r="B303" s="77"/>
      <c r="C303" s="64"/>
      <c r="D303" s="64"/>
      <c r="E303" s="64"/>
      <c r="F303" s="64"/>
      <c r="T303" s="64"/>
      <c r="V303" s="65"/>
      <c r="W303" s="68"/>
      <c r="X303" s="11"/>
      <c r="Y303" s="11"/>
    </row>
    <row r="304" spans="1:25" x14ac:dyDescent="0.25">
      <c r="A304" s="39"/>
      <c r="B304" s="77"/>
      <c r="C304" s="64"/>
      <c r="D304" s="64"/>
      <c r="E304" s="64"/>
      <c r="F304" s="64"/>
      <c r="T304" s="64"/>
      <c r="V304" s="65"/>
      <c r="W304" s="68"/>
      <c r="X304" s="11"/>
      <c r="Y304" s="11"/>
    </row>
    <row r="305" spans="1:25" x14ac:dyDescent="0.25">
      <c r="A305" s="39"/>
      <c r="B305" s="77"/>
      <c r="C305" s="64"/>
      <c r="D305" s="64"/>
      <c r="E305" s="64"/>
      <c r="F305" s="64"/>
      <c r="T305" s="64"/>
      <c r="V305" s="65"/>
      <c r="W305" s="68"/>
      <c r="X305" s="11"/>
      <c r="Y305" s="11"/>
    </row>
    <row r="306" spans="1:25" x14ac:dyDescent="0.25">
      <c r="A306" s="39"/>
      <c r="B306" s="77"/>
      <c r="C306" s="64"/>
      <c r="D306" s="64"/>
      <c r="E306" s="64"/>
      <c r="F306" s="64"/>
      <c r="T306" s="64"/>
      <c r="V306" s="65"/>
      <c r="W306" s="68"/>
      <c r="X306" s="11"/>
      <c r="Y306" s="11"/>
    </row>
    <row r="307" spans="1:25" x14ac:dyDescent="0.25">
      <c r="A307" s="39"/>
      <c r="B307" s="77"/>
      <c r="C307" s="64"/>
      <c r="D307" s="64"/>
      <c r="E307" s="64"/>
      <c r="F307" s="64"/>
      <c r="T307" s="64"/>
      <c r="V307" s="65"/>
      <c r="W307" s="68"/>
      <c r="X307" s="11"/>
      <c r="Y307" s="11"/>
    </row>
    <row r="308" spans="1:25" x14ac:dyDescent="0.25">
      <c r="A308" s="39"/>
      <c r="B308" s="77"/>
      <c r="C308" s="64"/>
      <c r="D308" s="64"/>
      <c r="E308" s="64"/>
      <c r="F308" s="64"/>
      <c r="T308" s="64"/>
      <c r="V308" s="65"/>
      <c r="W308" s="68"/>
      <c r="X308" s="11"/>
      <c r="Y308" s="11"/>
    </row>
    <row r="309" spans="1:25" x14ac:dyDescent="0.25">
      <c r="A309" s="39"/>
      <c r="B309" s="77"/>
      <c r="C309" s="64"/>
      <c r="D309" s="64"/>
      <c r="E309" s="64"/>
      <c r="F309" s="64"/>
      <c r="T309" s="64"/>
      <c r="V309" s="65"/>
      <c r="W309" s="68"/>
      <c r="X309" s="11"/>
      <c r="Y309" s="11"/>
    </row>
    <row r="310" spans="1:25" x14ac:dyDescent="0.25">
      <c r="A310" s="39"/>
      <c r="B310" s="77"/>
      <c r="C310" s="64"/>
      <c r="D310" s="64"/>
      <c r="E310" s="64"/>
      <c r="F310" s="64"/>
      <c r="T310" s="64"/>
      <c r="V310" s="65"/>
      <c r="W310" s="68"/>
      <c r="X310" s="11"/>
      <c r="Y310" s="11"/>
    </row>
    <row r="311" spans="1:25" x14ac:dyDescent="0.25">
      <c r="A311" s="39"/>
      <c r="B311" s="77"/>
      <c r="C311" s="64"/>
      <c r="D311" s="64"/>
      <c r="E311" s="64"/>
      <c r="F311" s="64"/>
      <c r="T311" s="64"/>
      <c r="V311" s="65"/>
      <c r="W311" s="68"/>
      <c r="X311" s="11"/>
      <c r="Y311" s="11"/>
    </row>
    <row r="312" spans="1:25" x14ac:dyDescent="0.25">
      <c r="A312" s="39"/>
      <c r="B312" s="77"/>
      <c r="C312" s="64"/>
      <c r="D312" s="64"/>
      <c r="E312" s="64"/>
      <c r="F312" s="64"/>
      <c r="T312" s="64"/>
      <c r="V312" s="65"/>
      <c r="W312" s="68"/>
      <c r="X312" s="11"/>
      <c r="Y312" s="11"/>
    </row>
    <row r="313" spans="1:25" x14ac:dyDescent="0.25">
      <c r="A313" s="39"/>
      <c r="B313" s="77"/>
      <c r="C313" s="64"/>
      <c r="D313" s="64"/>
      <c r="E313" s="64"/>
      <c r="F313" s="64"/>
      <c r="T313" s="64"/>
      <c r="V313" s="65"/>
      <c r="W313" s="68"/>
      <c r="X313" s="11"/>
      <c r="Y313" s="11"/>
    </row>
    <row r="314" spans="1:25" x14ac:dyDescent="0.25">
      <c r="A314" s="39"/>
      <c r="B314" s="77"/>
      <c r="C314" s="64"/>
      <c r="D314" s="64"/>
      <c r="E314" s="64"/>
      <c r="F314" s="64"/>
      <c r="T314" s="64"/>
      <c r="V314" s="65"/>
      <c r="W314" s="68"/>
      <c r="X314" s="11"/>
      <c r="Y314" s="11"/>
    </row>
    <row r="315" spans="1:25" x14ac:dyDescent="0.25">
      <c r="A315" s="39"/>
      <c r="B315" s="77"/>
      <c r="C315" s="64"/>
      <c r="D315" s="64"/>
      <c r="E315" s="64"/>
      <c r="F315" s="64"/>
      <c r="T315" s="64"/>
      <c r="V315" s="65"/>
      <c r="W315" s="68"/>
      <c r="X315" s="11"/>
      <c r="Y315" s="11"/>
    </row>
    <row r="316" spans="1:25" x14ac:dyDescent="0.25">
      <c r="A316" s="39"/>
      <c r="B316" s="77"/>
      <c r="C316" s="64"/>
      <c r="D316" s="64"/>
      <c r="E316" s="64"/>
      <c r="F316" s="64"/>
      <c r="T316" s="64"/>
      <c r="V316" s="65"/>
      <c r="W316" s="68"/>
      <c r="X316" s="11"/>
      <c r="Y316" s="11"/>
    </row>
    <row r="317" spans="1:25" x14ac:dyDescent="0.25">
      <c r="A317" s="39"/>
      <c r="B317" s="77"/>
      <c r="C317" s="64"/>
      <c r="D317" s="64"/>
      <c r="E317" s="64"/>
      <c r="F317" s="64"/>
      <c r="T317" s="64"/>
      <c r="V317" s="65"/>
      <c r="W317" s="68"/>
      <c r="X317" s="11"/>
      <c r="Y317" s="11"/>
    </row>
    <row r="318" spans="1:25" x14ac:dyDescent="0.25">
      <c r="A318" s="39"/>
      <c r="B318" s="77"/>
      <c r="C318" s="64"/>
      <c r="D318" s="64"/>
      <c r="E318" s="64"/>
      <c r="F318" s="64"/>
      <c r="T318" s="64"/>
      <c r="V318" s="65"/>
      <c r="W318" s="68"/>
      <c r="X318" s="11"/>
      <c r="Y318" s="11"/>
    </row>
    <row r="319" spans="1:25" x14ac:dyDescent="0.25">
      <c r="A319" s="39"/>
      <c r="B319" s="77"/>
      <c r="C319" s="64"/>
      <c r="D319" s="64"/>
      <c r="E319" s="64"/>
      <c r="F319" s="64"/>
      <c r="T319" s="64"/>
      <c r="V319" s="65"/>
      <c r="W319" s="68"/>
      <c r="X319" s="11"/>
      <c r="Y319" s="11"/>
    </row>
    <row r="320" spans="1:25" x14ac:dyDescent="0.25">
      <c r="A320" s="39"/>
      <c r="B320" s="77"/>
      <c r="C320" s="64"/>
      <c r="D320" s="64"/>
      <c r="E320" s="64"/>
      <c r="F320" s="64"/>
      <c r="T320" s="64"/>
      <c r="V320" s="65"/>
      <c r="W320" s="68"/>
      <c r="X320" s="11"/>
      <c r="Y320" s="11"/>
    </row>
    <row r="321" spans="1:25" x14ac:dyDescent="0.25">
      <c r="A321" s="39"/>
      <c r="B321" s="77"/>
      <c r="C321" s="64"/>
      <c r="D321" s="64"/>
      <c r="E321" s="64"/>
      <c r="F321" s="64"/>
      <c r="T321" s="64"/>
      <c r="V321" s="65"/>
      <c r="W321" s="68"/>
      <c r="X321" s="11"/>
      <c r="Y321" s="11"/>
    </row>
    <row r="322" spans="1:25" x14ac:dyDescent="0.25">
      <c r="A322" s="39"/>
      <c r="B322" s="77"/>
      <c r="C322" s="64"/>
      <c r="D322" s="64"/>
      <c r="E322" s="64"/>
      <c r="F322" s="64"/>
      <c r="T322" s="64"/>
      <c r="V322" s="65"/>
      <c r="W322" s="68"/>
      <c r="X322" s="11"/>
      <c r="Y322" s="11"/>
    </row>
    <row r="323" spans="1:25" x14ac:dyDescent="0.25">
      <c r="A323" s="39"/>
      <c r="B323" s="77"/>
      <c r="C323" s="64"/>
      <c r="D323" s="64"/>
      <c r="E323" s="64"/>
      <c r="F323" s="64"/>
      <c r="T323" s="64"/>
      <c r="V323" s="65"/>
      <c r="W323" s="68"/>
      <c r="X323" s="11"/>
      <c r="Y323" s="11"/>
    </row>
    <row r="324" spans="1:25" x14ac:dyDescent="0.25">
      <c r="A324" s="39"/>
      <c r="B324" s="77"/>
      <c r="C324" s="64"/>
      <c r="D324" s="64"/>
      <c r="E324" s="64"/>
      <c r="F324" s="64"/>
      <c r="T324" s="64"/>
      <c r="V324" s="65"/>
      <c r="W324" s="68"/>
      <c r="X324" s="11"/>
      <c r="Y324" s="11"/>
    </row>
    <row r="325" spans="1:25" x14ac:dyDescent="0.25">
      <c r="A325" s="39"/>
      <c r="B325" s="77"/>
      <c r="C325" s="64"/>
      <c r="D325" s="64"/>
      <c r="E325" s="64"/>
      <c r="F325" s="64"/>
      <c r="T325" s="64"/>
      <c r="V325" s="65"/>
      <c r="W325" s="68"/>
      <c r="X325" s="11"/>
      <c r="Y325" s="11"/>
    </row>
    <row r="326" spans="1:25" x14ac:dyDescent="0.25">
      <c r="A326" s="39"/>
      <c r="B326" s="77"/>
      <c r="C326" s="64"/>
      <c r="D326" s="64"/>
      <c r="E326" s="64"/>
      <c r="F326" s="64"/>
      <c r="T326" s="64"/>
      <c r="V326" s="65"/>
      <c r="W326" s="68"/>
      <c r="X326" s="11"/>
      <c r="Y326" s="11"/>
    </row>
    <row r="327" spans="1:25" x14ac:dyDescent="0.25">
      <c r="A327" s="39"/>
      <c r="B327" s="77"/>
      <c r="C327" s="64"/>
      <c r="D327" s="64"/>
      <c r="E327" s="64"/>
      <c r="F327" s="64"/>
      <c r="T327" s="64"/>
      <c r="V327" s="65"/>
      <c r="W327" s="68"/>
      <c r="X327" s="11"/>
      <c r="Y327" s="11"/>
    </row>
    <row r="328" spans="1:25" x14ac:dyDescent="0.25">
      <c r="A328" s="39"/>
      <c r="B328" s="77"/>
      <c r="C328" s="64"/>
      <c r="D328" s="64"/>
      <c r="E328" s="64"/>
      <c r="F328" s="64"/>
      <c r="T328" s="64"/>
      <c r="V328" s="65"/>
      <c r="W328" s="68"/>
      <c r="X328" s="11"/>
      <c r="Y328" s="11"/>
    </row>
    <row r="329" spans="1:25" x14ac:dyDescent="0.25">
      <c r="A329" s="39"/>
      <c r="B329" s="77"/>
      <c r="C329" s="64"/>
      <c r="D329" s="64"/>
      <c r="E329" s="64"/>
      <c r="F329" s="64"/>
      <c r="T329" s="64"/>
      <c r="V329" s="65"/>
      <c r="W329" s="68"/>
      <c r="X329" s="11"/>
      <c r="Y329" s="11"/>
    </row>
    <row r="330" spans="1:25" x14ac:dyDescent="0.25">
      <c r="A330" s="39"/>
      <c r="B330" s="77"/>
      <c r="C330" s="64"/>
      <c r="D330" s="64"/>
      <c r="E330" s="64"/>
      <c r="F330" s="64"/>
      <c r="T330" s="64"/>
      <c r="V330" s="65"/>
      <c r="W330" s="68"/>
      <c r="X330" s="11"/>
      <c r="Y330" s="11"/>
    </row>
    <row r="331" spans="1:25" x14ac:dyDescent="0.25">
      <c r="A331" s="39"/>
      <c r="B331" s="77"/>
      <c r="C331" s="64"/>
      <c r="D331" s="64"/>
      <c r="E331" s="64"/>
      <c r="F331" s="64"/>
      <c r="T331" s="64"/>
      <c r="V331" s="65"/>
      <c r="W331" s="68"/>
      <c r="X331" s="11"/>
      <c r="Y331" s="11"/>
    </row>
    <row r="332" spans="1:25" x14ac:dyDescent="0.25">
      <c r="A332" s="39"/>
      <c r="B332" s="77"/>
      <c r="C332" s="64"/>
      <c r="D332" s="64"/>
      <c r="E332" s="64"/>
      <c r="F332" s="64"/>
      <c r="T332" s="64"/>
      <c r="V332" s="65"/>
      <c r="W332" s="68"/>
      <c r="X332" s="11"/>
      <c r="Y332" s="11"/>
    </row>
    <row r="333" spans="1:25" x14ac:dyDescent="0.25">
      <c r="A333" s="39"/>
      <c r="B333" s="77"/>
      <c r="C333" s="64"/>
      <c r="D333" s="64"/>
      <c r="E333" s="64"/>
      <c r="F333" s="64"/>
      <c r="T333" s="64"/>
      <c r="V333" s="65"/>
      <c r="W333" s="68"/>
      <c r="X333" s="11"/>
      <c r="Y333" s="11"/>
    </row>
    <row r="334" spans="1:25" x14ac:dyDescent="0.25">
      <c r="A334" s="39"/>
      <c r="B334" s="77"/>
      <c r="C334" s="64"/>
      <c r="D334" s="64"/>
      <c r="E334" s="64"/>
      <c r="F334" s="64"/>
      <c r="T334" s="64"/>
      <c r="V334" s="65"/>
      <c r="W334" s="68"/>
      <c r="X334" s="11"/>
      <c r="Y334" s="11"/>
    </row>
    <row r="335" spans="1:25" x14ac:dyDescent="0.25">
      <c r="A335" s="39"/>
      <c r="B335" s="77"/>
      <c r="C335" s="64"/>
      <c r="D335" s="64"/>
      <c r="E335" s="64"/>
      <c r="F335" s="64"/>
      <c r="T335" s="64"/>
      <c r="V335" s="65"/>
      <c r="W335" s="68"/>
      <c r="X335" s="11"/>
      <c r="Y335" s="11"/>
    </row>
    <row r="336" spans="1:25" x14ac:dyDescent="0.25">
      <c r="A336" s="39"/>
      <c r="B336" s="77"/>
      <c r="C336" s="64"/>
      <c r="D336" s="64"/>
      <c r="E336" s="64"/>
      <c r="F336" s="64"/>
      <c r="T336" s="64"/>
      <c r="V336" s="65"/>
      <c r="W336" s="68"/>
      <c r="X336" s="11"/>
      <c r="Y336" s="11"/>
    </row>
    <row r="337" spans="1:25" x14ac:dyDescent="0.25">
      <c r="A337" s="39"/>
      <c r="B337" s="77"/>
      <c r="C337" s="64"/>
      <c r="D337" s="64"/>
      <c r="E337" s="64"/>
      <c r="F337" s="64"/>
      <c r="T337" s="64"/>
      <c r="V337" s="65"/>
      <c r="W337" s="68"/>
      <c r="X337" s="11"/>
      <c r="Y337" s="11"/>
    </row>
    <row r="338" spans="1:25" x14ac:dyDescent="0.25">
      <c r="A338" s="39"/>
      <c r="B338" s="77"/>
      <c r="C338" s="64"/>
      <c r="D338" s="64"/>
      <c r="E338" s="64"/>
      <c r="F338" s="64"/>
      <c r="T338" s="64"/>
      <c r="V338" s="65"/>
      <c r="W338" s="68"/>
      <c r="X338" s="11"/>
      <c r="Y338" s="11"/>
    </row>
    <row r="339" spans="1:25" x14ac:dyDescent="0.25">
      <c r="A339" s="39"/>
      <c r="B339" s="77"/>
      <c r="C339" s="64"/>
      <c r="D339" s="64"/>
      <c r="E339" s="64"/>
      <c r="F339" s="64"/>
      <c r="T339" s="64"/>
      <c r="V339" s="65"/>
      <c r="W339" s="68"/>
      <c r="X339" s="11"/>
      <c r="Y339" s="11"/>
    </row>
    <row r="340" spans="1:25" x14ac:dyDescent="0.25">
      <c r="A340" s="39"/>
      <c r="B340" s="77"/>
      <c r="C340" s="64"/>
      <c r="D340" s="64"/>
      <c r="E340" s="64"/>
      <c r="F340" s="64"/>
      <c r="T340" s="64"/>
      <c r="V340" s="65"/>
      <c r="W340" s="68"/>
      <c r="X340" s="11"/>
      <c r="Y340" s="11"/>
    </row>
    <row r="341" spans="1:25" x14ac:dyDescent="0.25">
      <c r="A341" s="39"/>
      <c r="B341" s="77"/>
      <c r="C341" s="64"/>
      <c r="D341" s="64"/>
      <c r="E341" s="64"/>
      <c r="F341" s="64"/>
      <c r="T341" s="64"/>
      <c r="V341" s="65"/>
      <c r="W341" s="68"/>
      <c r="X341" s="11"/>
      <c r="Y341" s="11"/>
    </row>
    <row r="342" spans="1:25" x14ac:dyDescent="0.25">
      <c r="A342" s="39"/>
      <c r="B342" s="77"/>
      <c r="C342" s="64"/>
      <c r="D342" s="64"/>
      <c r="E342" s="64"/>
      <c r="F342" s="64"/>
      <c r="T342" s="64"/>
      <c r="V342" s="65"/>
      <c r="W342" s="68"/>
      <c r="X342" s="11"/>
      <c r="Y342" s="11"/>
    </row>
    <row r="343" spans="1:25" x14ac:dyDescent="0.25">
      <c r="A343" s="39"/>
      <c r="B343" s="77"/>
      <c r="C343" s="64"/>
      <c r="D343" s="64"/>
      <c r="E343" s="64"/>
      <c r="F343" s="64"/>
      <c r="T343" s="64"/>
      <c r="V343" s="65"/>
      <c r="W343" s="68"/>
      <c r="X343" s="11"/>
      <c r="Y343" s="11"/>
    </row>
    <row r="344" spans="1:25" x14ac:dyDescent="0.25">
      <c r="A344" s="39"/>
      <c r="B344" s="77"/>
      <c r="C344" s="64"/>
      <c r="D344" s="64"/>
      <c r="E344" s="64"/>
      <c r="F344" s="64"/>
      <c r="T344" s="64"/>
      <c r="V344" s="65"/>
      <c r="W344" s="68"/>
      <c r="X344" s="11"/>
      <c r="Y344" s="11"/>
    </row>
    <row r="345" spans="1:25" x14ac:dyDescent="0.25">
      <c r="A345" s="39"/>
      <c r="B345" s="77"/>
      <c r="C345" s="64"/>
      <c r="D345" s="64"/>
      <c r="E345" s="64"/>
      <c r="F345" s="64"/>
      <c r="T345" s="64"/>
      <c r="V345" s="65"/>
      <c r="W345" s="68"/>
      <c r="X345" s="11"/>
      <c r="Y345" s="11"/>
    </row>
    <row r="346" spans="1:25" x14ac:dyDescent="0.25">
      <c r="A346" s="39"/>
      <c r="B346" s="77"/>
      <c r="C346" s="64"/>
      <c r="D346" s="64"/>
      <c r="E346" s="64"/>
      <c r="F346" s="64"/>
      <c r="T346" s="64"/>
      <c r="V346" s="65"/>
      <c r="W346" s="68"/>
      <c r="X346" s="11"/>
      <c r="Y346" s="11"/>
    </row>
    <row r="347" spans="1:25" x14ac:dyDescent="0.25">
      <c r="A347" s="39"/>
      <c r="B347" s="77"/>
      <c r="C347" s="64"/>
      <c r="D347" s="64"/>
      <c r="E347" s="64"/>
      <c r="F347" s="64"/>
      <c r="T347" s="64"/>
      <c r="V347" s="65"/>
      <c r="W347" s="68"/>
      <c r="X347" s="11"/>
      <c r="Y347" s="11"/>
    </row>
    <row r="348" spans="1:25" x14ac:dyDescent="0.25">
      <c r="A348" s="39"/>
      <c r="B348" s="77"/>
      <c r="C348" s="64"/>
      <c r="D348" s="64"/>
      <c r="E348" s="64"/>
      <c r="F348" s="64"/>
      <c r="T348" s="64"/>
      <c r="V348" s="65"/>
      <c r="W348" s="68"/>
      <c r="X348" s="11"/>
      <c r="Y348" s="11"/>
    </row>
    <row r="349" spans="1:25" x14ac:dyDescent="0.25">
      <c r="A349" s="39"/>
      <c r="B349" s="77"/>
      <c r="C349" s="64"/>
      <c r="D349" s="64"/>
      <c r="E349" s="64"/>
      <c r="F349" s="64"/>
      <c r="T349" s="64"/>
      <c r="V349" s="65"/>
      <c r="W349" s="68"/>
      <c r="X349" s="11"/>
      <c r="Y349" s="11"/>
    </row>
    <row r="350" spans="1:25" x14ac:dyDescent="0.25">
      <c r="A350" s="39"/>
      <c r="B350" s="77"/>
      <c r="C350" s="64"/>
      <c r="D350" s="64"/>
      <c r="E350" s="64"/>
      <c r="F350" s="64"/>
      <c r="T350" s="64"/>
      <c r="V350" s="65"/>
      <c r="W350" s="68"/>
      <c r="X350" s="11"/>
      <c r="Y350" s="11"/>
    </row>
    <row r="351" spans="1:25" x14ac:dyDescent="0.25">
      <c r="A351" s="39"/>
      <c r="B351" s="77"/>
      <c r="C351" s="64"/>
      <c r="D351" s="64"/>
      <c r="E351" s="64"/>
      <c r="F351" s="64"/>
      <c r="T351" s="64"/>
      <c r="V351" s="65"/>
      <c r="W351" s="68"/>
      <c r="X351" s="11"/>
      <c r="Y351" s="11"/>
    </row>
    <row r="352" spans="1:25" x14ac:dyDescent="0.25">
      <c r="A352" s="39"/>
      <c r="B352" s="77"/>
      <c r="C352" s="64"/>
      <c r="D352" s="64"/>
      <c r="E352" s="64"/>
      <c r="F352" s="64"/>
      <c r="T352" s="64"/>
      <c r="V352" s="65"/>
      <c r="W352" s="68"/>
      <c r="X352" s="11"/>
      <c r="Y352" s="11"/>
    </row>
    <row r="353" spans="1:25" x14ac:dyDescent="0.25">
      <c r="A353" s="39"/>
      <c r="B353" s="77"/>
      <c r="C353" s="64"/>
      <c r="D353" s="64"/>
      <c r="E353" s="64"/>
      <c r="F353" s="64"/>
      <c r="T353" s="64"/>
      <c r="V353" s="65"/>
      <c r="W353" s="68"/>
      <c r="X353" s="11"/>
      <c r="Y353" s="11"/>
    </row>
    <row r="354" spans="1:25" x14ac:dyDescent="0.25">
      <c r="A354" s="39"/>
      <c r="B354" s="77"/>
      <c r="C354" s="64"/>
      <c r="D354" s="64"/>
      <c r="E354" s="64"/>
      <c r="F354" s="64"/>
      <c r="T354" s="64"/>
      <c r="V354" s="65"/>
      <c r="W354" s="68"/>
      <c r="X354" s="11"/>
      <c r="Y354" s="11"/>
    </row>
    <row r="355" spans="1:25" x14ac:dyDescent="0.25">
      <c r="A355" s="39"/>
      <c r="B355" s="77"/>
      <c r="C355" s="64"/>
      <c r="D355" s="64"/>
      <c r="E355" s="64"/>
      <c r="F355" s="64"/>
      <c r="T355" s="64"/>
      <c r="V355" s="65"/>
      <c r="W355" s="68"/>
      <c r="X355" s="11"/>
      <c r="Y355" s="11"/>
    </row>
    <row r="356" spans="1:25" x14ac:dyDescent="0.25">
      <c r="A356" s="39"/>
      <c r="B356" s="77"/>
      <c r="C356" s="64"/>
      <c r="D356" s="64"/>
      <c r="E356" s="64"/>
      <c r="F356" s="64"/>
      <c r="T356" s="64"/>
      <c r="V356" s="65"/>
      <c r="W356" s="68"/>
      <c r="X356" s="11"/>
      <c r="Y356" s="11"/>
    </row>
    <row r="357" spans="1:25" x14ac:dyDescent="0.25">
      <c r="A357" s="39"/>
      <c r="B357" s="77"/>
      <c r="C357" s="64"/>
      <c r="D357" s="64"/>
      <c r="E357" s="64"/>
      <c r="F357" s="64"/>
      <c r="T357" s="64"/>
      <c r="V357" s="65"/>
      <c r="W357" s="68"/>
      <c r="X357" s="11"/>
      <c r="Y357" s="11"/>
    </row>
    <row r="358" spans="1:25" x14ac:dyDescent="0.25">
      <c r="A358" s="39"/>
      <c r="B358" s="77"/>
      <c r="C358" s="64"/>
      <c r="D358" s="64"/>
      <c r="E358" s="64"/>
      <c r="F358" s="64"/>
      <c r="T358" s="64"/>
      <c r="V358" s="65"/>
      <c r="W358" s="68"/>
      <c r="X358" s="11"/>
      <c r="Y358" s="11"/>
    </row>
    <row r="359" spans="1:25" x14ac:dyDescent="0.25">
      <c r="A359" s="39"/>
      <c r="B359" s="77"/>
      <c r="C359" s="64"/>
      <c r="D359" s="64"/>
      <c r="E359" s="64"/>
      <c r="F359" s="64"/>
      <c r="T359" s="64"/>
      <c r="V359" s="65"/>
      <c r="W359" s="68"/>
      <c r="X359" s="11"/>
      <c r="Y359" s="11"/>
    </row>
    <row r="360" spans="1:25" x14ac:dyDescent="0.25">
      <c r="A360" s="39"/>
      <c r="B360" s="77"/>
      <c r="C360" s="64"/>
      <c r="D360" s="64"/>
      <c r="E360" s="64"/>
      <c r="F360" s="64"/>
      <c r="T360" s="64"/>
      <c r="V360" s="65"/>
      <c r="W360" s="68"/>
      <c r="X360" s="11"/>
      <c r="Y360" s="11"/>
    </row>
    <row r="361" spans="1:25" x14ac:dyDescent="0.25">
      <c r="A361" s="39"/>
      <c r="B361" s="77"/>
      <c r="C361" s="64"/>
      <c r="D361" s="64"/>
      <c r="E361" s="64"/>
      <c r="F361" s="64"/>
      <c r="T361" s="64"/>
      <c r="V361" s="65"/>
      <c r="W361" s="68"/>
      <c r="X361" s="11"/>
      <c r="Y361" s="11"/>
    </row>
    <row r="362" spans="1:25" x14ac:dyDescent="0.25">
      <c r="A362" s="39"/>
      <c r="B362" s="77"/>
      <c r="C362" s="64"/>
      <c r="D362" s="64"/>
      <c r="E362" s="64"/>
      <c r="F362" s="64"/>
      <c r="T362" s="64"/>
      <c r="V362" s="65"/>
      <c r="W362" s="68"/>
      <c r="X362" s="11"/>
      <c r="Y362" s="11"/>
    </row>
    <row r="363" spans="1:25" x14ac:dyDescent="0.25">
      <c r="A363" s="39"/>
      <c r="B363" s="77"/>
      <c r="C363" s="64"/>
      <c r="D363" s="64"/>
      <c r="E363" s="64"/>
      <c r="F363" s="64"/>
      <c r="T363" s="64"/>
      <c r="V363" s="65"/>
      <c r="W363" s="68"/>
      <c r="X363" s="11"/>
      <c r="Y363" s="11"/>
    </row>
    <row r="364" spans="1:25" x14ac:dyDescent="0.25">
      <c r="A364" s="39"/>
      <c r="B364" s="77"/>
      <c r="C364" s="64"/>
      <c r="D364" s="64"/>
      <c r="E364" s="64"/>
      <c r="F364" s="64"/>
      <c r="T364" s="64"/>
      <c r="V364" s="65"/>
      <c r="W364" s="68"/>
      <c r="X364" s="11"/>
      <c r="Y364" s="11"/>
    </row>
    <row r="365" spans="1:25" x14ac:dyDescent="0.25">
      <c r="A365" s="39"/>
      <c r="B365" s="77"/>
      <c r="C365" s="64"/>
      <c r="D365" s="64"/>
      <c r="E365" s="64"/>
      <c r="F365" s="64"/>
      <c r="T365" s="64"/>
      <c r="V365" s="65"/>
      <c r="W365" s="68"/>
      <c r="X365" s="11"/>
      <c r="Y365" s="11"/>
    </row>
    <row r="366" spans="1:25" x14ac:dyDescent="0.25">
      <c r="A366" s="39"/>
      <c r="B366" s="77"/>
      <c r="C366" s="64"/>
      <c r="D366" s="64"/>
      <c r="E366" s="64"/>
      <c r="F366" s="64"/>
      <c r="T366" s="64"/>
      <c r="V366" s="65"/>
      <c r="W366" s="68"/>
      <c r="X366" s="11"/>
      <c r="Y366" s="11"/>
    </row>
    <row r="367" spans="1:25" x14ac:dyDescent="0.25">
      <c r="A367" s="39"/>
      <c r="B367" s="77"/>
      <c r="C367" s="64"/>
      <c r="D367" s="64"/>
      <c r="E367" s="64"/>
      <c r="F367" s="64"/>
      <c r="T367" s="64"/>
      <c r="V367" s="65"/>
      <c r="W367" s="68"/>
      <c r="X367" s="11"/>
      <c r="Y367" s="11"/>
    </row>
    <row r="368" spans="1:25" x14ac:dyDescent="0.25">
      <c r="A368" s="39"/>
      <c r="B368" s="77"/>
      <c r="C368" s="64"/>
      <c r="D368" s="64"/>
      <c r="E368" s="64"/>
      <c r="F368" s="64"/>
      <c r="T368" s="64"/>
      <c r="V368" s="65"/>
      <c r="W368" s="68"/>
      <c r="X368" s="11"/>
      <c r="Y368" s="11"/>
    </row>
    <row r="369" spans="1:25" x14ac:dyDescent="0.25">
      <c r="A369" s="39"/>
      <c r="B369" s="77"/>
      <c r="C369" s="64"/>
      <c r="D369" s="64"/>
      <c r="E369" s="64"/>
      <c r="F369" s="64"/>
      <c r="T369" s="64"/>
      <c r="V369" s="65"/>
      <c r="W369" s="68"/>
      <c r="X369" s="11"/>
      <c r="Y369" s="11"/>
    </row>
    <row r="370" spans="1:25" x14ac:dyDescent="0.25">
      <c r="A370" s="39"/>
      <c r="B370" s="77"/>
      <c r="C370" s="64"/>
      <c r="D370" s="64"/>
      <c r="E370" s="64"/>
      <c r="F370" s="64"/>
      <c r="T370" s="64"/>
      <c r="V370" s="65"/>
      <c r="W370" s="68"/>
      <c r="X370" s="11"/>
      <c r="Y370" s="11"/>
    </row>
    <row r="371" spans="1:25" x14ac:dyDescent="0.25">
      <c r="A371" s="39"/>
      <c r="B371" s="77"/>
      <c r="C371" s="64"/>
      <c r="D371" s="64"/>
      <c r="E371" s="64"/>
      <c r="F371" s="64"/>
      <c r="T371" s="64"/>
      <c r="V371" s="65"/>
      <c r="W371" s="68"/>
      <c r="X371" s="11"/>
      <c r="Y371" s="11"/>
    </row>
    <row r="372" spans="1:25" x14ac:dyDescent="0.25">
      <c r="A372" s="39"/>
      <c r="B372" s="77"/>
      <c r="C372" s="64"/>
      <c r="D372" s="64"/>
      <c r="E372" s="64"/>
      <c r="F372" s="64"/>
      <c r="T372" s="64"/>
      <c r="V372" s="65"/>
      <c r="W372" s="68"/>
      <c r="X372" s="11"/>
      <c r="Y372" s="11"/>
    </row>
    <row r="373" spans="1:25" x14ac:dyDescent="0.25">
      <c r="A373" s="39"/>
      <c r="B373" s="77"/>
      <c r="C373" s="64"/>
      <c r="D373" s="64"/>
      <c r="E373" s="64"/>
      <c r="F373" s="64"/>
      <c r="T373" s="64"/>
      <c r="V373" s="65"/>
      <c r="W373" s="68"/>
      <c r="X373" s="11"/>
      <c r="Y373" s="11"/>
    </row>
    <row r="374" spans="1:25" x14ac:dyDescent="0.25">
      <c r="A374" s="39"/>
      <c r="B374" s="77"/>
      <c r="C374" s="64"/>
      <c r="D374" s="64"/>
      <c r="E374" s="64"/>
      <c r="F374" s="64"/>
      <c r="T374" s="64"/>
      <c r="V374" s="65"/>
      <c r="W374" s="68"/>
      <c r="X374" s="11"/>
      <c r="Y374" s="11"/>
    </row>
    <row r="375" spans="1:25" x14ac:dyDescent="0.25">
      <c r="A375" s="39"/>
      <c r="B375" s="77"/>
      <c r="C375" s="64"/>
      <c r="D375" s="64"/>
      <c r="E375" s="64"/>
      <c r="F375" s="64"/>
      <c r="T375" s="64"/>
      <c r="V375" s="65"/>
      <c r="W375" s="68"/>
      <c r="X375" s="11"/>
      <c r="Y375" s="11"/>
    </row>
    <row r="376" spans="1:25" x14ac:dyDescent="0.25">
      <c r="A376" s="39"/>
      <c r="B376" s="77"/>
      <c r="C376" s="64"/>
      <c r="D376" s="64"/>
      <c r="E376" s="64"/>
      <c r="F376" s="64"/>
      <c r="T376" s="64"/>
      <c r="V376" s="65"/>
      <c r="W376" s="68"/>
      <c r="X376" s="11"/>
      <c r="Y376" s="11"/>
    </row>
    <row r="377" spans="1:25" x14ac:dyDescent="0.25">
      <c r="A377" s="39"/>
      <c r="B377" s="77"/>
      <c r="C377" s="64"/>
      <c r="D377" s="64"/>
      <c r="E377" s="64"/>
      <c r="F377" s="64"/>
      <c r="T377" s="64"/>
      <c r="V377" s="65"/>
      <c r="W377" s="68"/>
      <c r="X377" s="11"/>
      <c r="Y377" s="11"/>
    </row>
    <row r="378" spans="1:25" x14ac:dyDescent="0.25">
      <c r="A378" s="39"/>
      <c r="B378" s="77"/>
      <c r="C378" s="64"/>
      <c r="D378" s="64"/>
      <c r="E378" s="64"/>
      <c r="F378" s="64"/>
      <c r="T378" s="64"/>
      <c r="V378" s="65"/>
      <c r="W378" s="68"/>
      <c r="X378" s="11"/>
      <c r="Y378" s="11"/>
    </row>
    <row r="379" spans="1:25" x14ac:dyDescent="0.25">
      <c r="A379" s="39"/>
      <c r="B379" s="77"/>
      <c r="C379" s="64"/>
      <c r="D379" s="64"/>
      <c r="E379" s="64"/>
      <c r="F379" s="64"/>
      <c r="T379" s="64"/>
      <c r="V379" s="65"/>
      <c r="W379" s="68"/>
      <c r="X379" s="11"/>
      <c r="Y379" s="11"/>
    </row>
    <row r="380" spans="1:25" x14ac:dyDescent="0.25">
      <c r="A380" s="39"/>
      <c r="B380" s="77"/>
      <c r="C380" s="64"/>
      <c r="D380" s="64"/>
      <c r="E380" s="64"/>
      <c r="F380" s="64"/>
      <c r="T380" s="64"/>
      <c r="V380" s="65"/>
      <c r="W380" s="68"/>
      <c r="X380" s="11"/>
      <c r="Y380" s="11"/>
    </row>
    <row r="381" spans="1:25" x14ac:dyDescent="0.25">
      <c r="A381" s="39"/>
      <c r="B381" s="77"/>
      <c r="C381" s="64"/>
      <c r="D381" s="64"/>
      <c r="E381" s="64"/>
      <c r="F381" s="64"/>
      <c r="T381" s="64"/>
      <c r="V381" s="65"/>
      <c r="W381" s="68"/>
      <c r="X381" s="11"/>
      <c r="Y381" s="11"/>
    </row>
    <row r="382" spans="1:25" x14ac:dyDescent="0.25">
      <c r="A382" s="39"/>
      <c r="B382" s="77"/>
      <c r="C382" s="64"/>
      <c r="D382" s="64"/>
      <c r="E382" s="64"/>
      <c r="F382" s="64"/>
      <c r="T382" s="64"/>
      <c r="V382" s="65"/>
      <c r="W382" s="68"/>
      <c r="X382" s="11"/>
      <c r="Y382" s="11"/>
    </row>
    <row r="383" spans="1:25" x14ac:dyDescent="0.25">
      <c r="A383" s="39"/>
      <c r="B383" s="77"/>
      <c r="C383" s="64"/>
      <c r="D383" s="64"/>
      <c r="E383" s="64"/>
      <c r="F383" s="64"/>
      <c r="T383" s="64"/>
      <c r="V383" s="65"/>
      <c r="W383" s="68"/>
      <c r="X383" s="11"/>
      <c r="Y383" s="11"/>
    </row>
    <row r="384" spans="1:25" x14ac:dyDescent="0.25">
      <c r="A384" s="39"/>
      <c r="B384" s="77"/>
      <c r="C384" s="64"/>
      <c r="D384" s="64"/>
      <c r="E384" s="64"/>
      <c r="F384" s="64"/>
      <c r="T384" s="64"/>
      <c r="V384" s="65"/>
      <c r="W384" s="68"/>
      <c r="X384" s="11"/>
      <c r="Y384" s="11"/>
    </row>
    <row r="385" spans="1:25" x14ac:dyDescent="0.25">
      <c r="A385" s="39"/>
      <c r="B385" s="77"/>
      <c r="C385" s="64"/>
      <c r="D385" s="64"/>
      <c r="E385" s="64"/>
      <c r="F385" s="64"/>
      <c r="T385" s="64"/>
      <c r="V385" s="65"/>
      <c r="W385" s="68"/>
      <c r="X385" s="11"/>
      <c r="Y385" s="11"/>
    </row>
    <row r="386" spans="1:25" x14ac:dyDescent="0.25">
      <c r="A386" s="39"/>
      <c r="B386" s="77"/>
      <c r="C386" s="64"/>
      <c r="D386" s="64"/>
      <c r="E386" s="64"/>
      <c r="F386" s="64"/>
      <c r="T386" s="64"/>
      <c r="V386" s="65"/>
      <c r="W386" s="68"/>
      <c r="X386" s="11"/>
      <c r="Y386" s="11"/>
    </row>
    <row r="387" spans="1:25" x14ac:dyDescent="0.25">
      <c r="A387" s="39"/>
      <c r="B387" s="77"/>
      <c r="C387" s="64"/>
      <c r="D387" s="64"/>
      <c r="E387" s="64"/>
      <c r="F387" s="64"/>
      <c r="T387" s="64"/>
      <c r="V387" s="65"/>
      <c r="W387" s="68"/>
      <c r="X387" s="11"/>
      <c r="Y387" s="11"/>
    </row>
    <row r="388" spans="1:25" x14ac:dyDescent="0.25">
      <c r="A388" s="39"/>
      <c r="B388" s="77"/>
      <c r="C388" s="64"/>
      <c r="D388" s="64"/>
      <c r="E388" s="64"/>
      <c r="F388" s="64"/>
      <c r="T388" s="64"/>
      <c r="V388" s="65"/>
      <c r="W388" s="68"/>
      <c r="X388" s="11"/>
      <c r="Y388" s="11"/>
    </row>
    <row r="389" spans="1:25" x14ac:dyDescent="0.25">
      <c r="A389" s="39"/>
      <c r="B389" s="77"/>
      <c r="C389" s="64"/>
      <c r="D389" s="64"/>
      <c r="E389" s="64"/>
      <c r="F389" s="64"/>
      <c r="T389" s="64"/>
      <c r="V389" s="65"/>
      <c r="W389" s="68"/>
      <c r="X389" s="11"/>
      <c r="Y389" s="11"/>
    </row>
    <row r="390" spans="1:25" x14ac:dyDescent="0.25">
      <c r="A390" s="39"/>
      <c r="B390" s="77"/>
      <c r="C390" s="64"/>
      <c r="D390" s="64"/>
      <c r="E390" s="64"/>
      <c r="F390" s="64"/>
      <c r="T390" s="64"/>
      <c r="V390" s="65"/>
      <c r="W390" s="68"/>
      <c r="X390" s="11"/>
      <c r="Y390" s="11"/>
    </row>
    <row r="391" spans="1:25" x14ac:dyDescent="0.25">
      <c r="A391" s="39"/>
      <c r="B391" s="77"/>
      <c r="C391" s="64"/>
      <c r="D391" s="64"/>
      <c r="E391" s="64"/>
      <c r="F391" s="64"/>
      <c r="T391" s="64"/>
      <c r="V391" s="65"/>
      <c r="W391" s="68"/>
      <c r="X391" s="11"/>
      <c r="Y391" s="11"/>
    </row>
    <row r="392" spans="1:25" x14ac:dyDescent="0.25">
      <c r="A392" s="39"/>
      <c r="B392" s="77"/>
      <c r="C392" s="64"/>
      <c r="D392" s="64"/>
      <c r="E392" s="64"/>
      <c r="F392" s="64"/>
      <c r="T392" s="64"/>
      <c r="V392" s="65"/>
      <c r="W392" s="68"/>
      <c r="X392" s="11"/>
      <c r="Y392" s="11"/>
    </row>
    <row r="393" spans="1:25" x14ac:dyDescent="0.25">
      <c r="A393" s="39"/>
      <c r="B393" s="77"/>
      <c r="C393" s="64"/>
      <c r="D393" s="64"/>
      <c r="E393" s="64"/>
      <c r="F393" s="64"/>
      <c r="T393" s="64"/>
      <c r="V393" s="65"/>
      <c r="W393" s="68"/>
      <c r="X393" s="11"/>
      <c r="Y393" s="11"/>
    </row>
    <row r="394" spans="1:25" x14ac:dyDescent="0.25">
      <c r="A394" s="39"/>
      <c r="B394" s="77"/>
      <c r="C394" s="64"/>
      <c r="D394" s="64"/>
      <c r="E394" s="64"/>
      <c r="F394" s="64"/>
      <c r="T394" s="64"/>
      <c r="V394" s="65"/>
      <c r="W394" s="68"/>
      <c r="X394" s="11"/>
      <c r="Y394" s="11"/>
    </row>
    <row r="395" spans="1:25" x14ac:dyDescent="0.25">
      <c r="A395" s="39"/>
      <c r="B395" s="77"/>
      <c r="C395" s="64"/>
      <c r="D395" s="64"/>
      <c r="E395" s="64"/>
      <c r="F395" s="64"/>
      <c r="T395" s="64"/>
      <c r="V395" s="65"/>
      <c r="W395" s="68"/>
      <c r="X395" s="11"/>
      <c r="Y395" s="11"/>
    </row>
    <row r="396" spans="1:25" x14ac:dyDescent="0.25">
      <c r="A396" s="39"/>
      <c r="B396" s="77"/>
      <c r="C396" s="64"/>
      <c r="D396" s="64"/>
      <c r="E396" s="64"/>
      <c r="F396" s="64"/>
      <c r="T396" s="64"/>
      <c r="V396" s="65"/>
      <c r="W396" s="68"/>
      <c r="X396" s="11"/>
      <c r="Y396" s="11"/>
    </row>
    <row r="397" spans="1:25" x14ac:dyDescent="0.25">
      <c r="A397" s="39"/>
      <c r="B397" s="77"/>
      <c r="C397" s="64"/>
      <c r="D397" s="64"/>
      <c r="E397" s="64"/>
      <c r="F397" s="64"/>
      <c r="T397" s="64"/>
      <c r="V397" s="65"/>
      <c r="W397" s="68"/>
      <c r="X397" s="11"/>
      <c r="Y397" s="11"/>
    </row>
    <row r="398" spans="1:25" x14ac:dyDescent="0.25">
      <c r="A398" s="39"/>
      <c r="B398" s="77"/>
      <c r="C398" s="64"/>
      <c r="D398" s="64"/>
      <c r="E398" s="64"/>
      <c r="F398" s="64"/>
      <c r="T398" s="64"/>
      <c r="V398" s="65"/>
      <c r="W398" s="68"/>
      <c r="X398" s="11"/>
      <c r="Y398" s="11"/>
    </row>
    <row r="399" spans="1:25" x14ac:dyDescent="0.25">
      <c r="A399" s="39"/>
      <c r="B399" s="77"/>
      <c r="C399" s="64"/>
      <c r="D399" s="64"/>
      <c r="E399" s="64"/>
      <c r="F399" s="64"/>
      <c r="T399" s="64"/>
      <c r="V399" s="65"/>
      <c r="W399" s="68"/>
      <c r="X399" s="11"/>
      <c r="Y399" s="11"/>
    </row>
    <row r="400" spans="1:25" x14ac:dyDescent="0.25">
      <c r="A400" s="39"/>
      <c r="B400" s="77"/>
      <c r="C400" s="64"/>
      <c r="D400" s="64"/>
      <c r="E400" s="64"/>
      <c r="F400" s="64"/>
      <c r="T400" s="64"/>
      <c r="V400" s="65"/>
      <c r="W400" s="68"/>
      <c r="X400" s="11"/>
      <c r="Y400" s="11"/>
    </row>
    <row r="401" spans="1:25" x14ac:dyDescent="0.25">
      <c r="A401" s="39"/>
      <c r="B401" s="77"/>
      <c r="C401" s="64"/>
      <c r="D401" s="64"/>
      <c r="E401" s="64"/>
      <c r="F401" s="64"/>
      <c r="T401" s="64"/>
      <c r="V401" s="65"/>
      <c r="W401" s="68"/>
      <c r="X401" s="11"/>
      <c r="Y401" s="11"/>
    </row>
    <row r="402" spans="1:25" x14ac:dyDescent="0.25">
      <c r="A402" s="39"/>
      <c r="B402" s="77"/>
      <c r="C402" s="64"/>
      <c r="D402" s="64"/>
      <c r="E402" s="64"/>
      <c r="F402" s="64"/>
      <c r="T402" s="64"/>
      <c r="V402" s="65"/>
      <c r="W402" s="68"/>
      <c r="X402" s="11"/>
      <c r="Y402" s="11"/>
    </row>
    <row r="403" spans="1:25" x14ac:dyDescent="0.25">
      <c r="A403" s="39"/>
      <c r="B403" s="77"/>
      <c r="C403" s="64"/>
      <c r="D403" s="64"/>
      <c r="E403" s="64"/>
      <c r="F403" s="64"/>
      <c r="T403" s="64"/>
      <c r="V403" s="65"/>
      <c r="W403" s="68"/>
      <c r="X403" s="11"/>
      <c r="Y403" s="11"/>
    </row>
    <row r="404" spans="1:25" x14ac:dyDescent="0.25">
      <c r="A404" s="39"/>
      <c r="B404" s="77"/>
      <c r="C404" s="64"/>
      <c r="D404" s="64"/>
      <c r="E404" s="64"/>
      <c r="F404" s="64"/>
      <c r="T404" s="64"/>
      <c r="V404" s="65"/>
      <c r="W404" s="68"/>
      <c r="X404" s="11"/>
      <c r="Y404" s="11"/>
    </row>
    <row r="405" spans="1:25" x14ac:dyDescent="0.25">
      <c r="A405" s="39"/>
      <c r="B405" s="77"/>
      <c r="C405" s="64"/>
      <c r="D405" s="64"/>
      <c r="E405" s="64"/>
      <c r="F405" s="64"/>
      <c r="T405" s="64"/>
      <c r="V405" s="65"/>
      <c r="W405" s="68"/>
      <c r="X405" s="11"/>
      <c r="Y405" s="11"/>
    </row>
    <row r="406" spans="1:25" x14ac:dyDescent="0.25">
      <c r="A406" s="39"/>
      <c r="B406" s="77"/>
      <c r="C406" s="64"/>
      <c r="D406" s="64"/>
      <c r="E406" s="64"/>
      <c r="F406" s="64"/>
      <c r="T406" s="64"/>
      <c r="V406" s="65"/>
      <c r="W406" s="68"/>
      <c r="X406" s="11"/>
      <c r="Y406" s="11"/>
    </row>
    <row r="407" spans="1:25" x14ac:dyDescent="0.25">
      <c r="A407" s="39"/>
      <c r="B407" s="77"/>
      <c r="C407" s="64"/>
      <c r="D407" s="64"/>
      <c r="E407" s="64"/>
      <c r="F407" s="64"/>
      <c r="T407" s="64"/>
      <c r="V407" s="65"/>
      <c r="W407" s="68"/>
      <c r="X407" s="11"/>
      <c r="Y407" s="11"/>
    </row>
    <row r="408" spans="1:25" x14ac:dyDescent="0.25">
      <c r="A408" s="39"/>
      <c r="B408" s="77"/>
      <c r="C408" s="64"/>
      <c r="D408" s="64"/>
      <c r="E408" s="64"/>
      <c r="F408" s="64"/>
      <c r="T408" s="64"/>
      <c r="V408" s="65"/>
      <c r="W408" s="68"/>
      <c r="X408" s="11"/>
      <c r="Y408" s="11"/>
    </row>
    <row r="409" spans="1:25" x14ac:dyDescent="0.25">
      <c r="A409" s="39"/>
      <c r="B409" s="77"/>
      <c r="C409" s="64"/>
      <c r="D409" s="64"/>
      <c r="E409" s="64"/>
      <c r="F409" s="64"/>
      <c r="T409" s="64"/>
      <c r="V409" s="65"/>
      <c r="W409" s="68"/>
      <c r="X409" s="11"/>
      <c r="Y409" s="11"/>
    </row>
    <row r="410" spans="1:25" x14ac:dyDescent="0.25">
      <c r="A410" s="39"/>
      <c r="B410" s="77"/>
      <c r="C410" s="64"/>
      <c r="D410" s="64"/>
      <c r="E410" s="64"/>
      <c r="F410" s="64"/>
      <c r="T410" s="64"/>
      <c r="V410" s="65"/>
      <c r="W410" s="68"/>
      <c r="X410" s="11"/>
      <c r="Y410" s="11"/>
    </row>
    <row r="411" spans="1:25" x14ac:dyDescent="0.25">
      <c r="A411" s="39"/>
      <c r="B411" s="77"/>
      <c r="C411" s="64"/>
      <c r="D411" s="64"/>
      <c r="E411" s="64"/>
      <c r="F411" s="64"/>
      <c r="T411" s="64"/>
      <c r="V411" s="65"/>
      <c r="W411" s="68"/>
      <c r="X411" s="11"/>
      <c r="Y411" s="11"/>
    </row>
    <row r="412" spans="1:25" x14ac:dyDescent="0.25">
      <c r="A412" s="39"/>
      <c r="B412" s="77"/>
      <c r="C412" s="64"/>
      <c r="D412" s="64"/>
      <c r="E412" s="64"/>
      <c r="F412" s="64"/>
      <c r="T412" s="64"/>
      <c r="V412" s="65"/>
      <c r="W412" s="68"/>
      <c r="X412" s="11"/>
      <c r="Y412" s="11"/>
    </row>
    <row r="413" spans="1:25" x14ac:dyDescent="0.25">
      <c r="A413" s="39"/>
      <c r="B413" s="77"/>
      <c r="C413" s="64"/>
      <c r="D413" s="64"/>
      <c r="E413" s="64"/>
      <c r="F413" s="64"/>
      <c r="T413" s="64"/>
      <c r="V413" s="65"/>
      <c r="W413" s="68"/>
      <c r="X413" s="11"/>
      <c r="Y413" s="11"/>
    </row>
    <row r="414" spans="1:25" x14ac:dyDescent="0.25">
      <c r="A414" s="39"/>
      <c r="B414" s="77"/>
      <c r="C414" s="64"/>
      <c r="D414" s="64"/>
      <c r="E414" s="64"/>
      <c r="F414" s="64"/>
      <c r="T414" s="64"/>
      <c r="V414" s="65"/>
      <c r="W414" s="68"/>
      <c r="X414" s="11"/>
      <c r="Y414" s="11"/>
    </row>
    <row r="415" spans="1:25" x14ac:dyDescent="0.25">
      <c r="A415" s="39"/>
      <c r="B415" s="77"/>
      <c r="C415" s="64"/>
      <c r="D415" s="64"/>
      <c r="E415" s="64"/>
      <c r="F415" s="64"/>
      <c r="T415" s="64"/>
      <c r="V415" s="65"/>
      <c r="W415" s="68"/>
      <c r="X415" s="11"/>
      <c r="Y415" s="11"/>
    </row>
    <row r="416" spans="1:25" x14ac:dyDescent="0.25">
      <c r="A416" s="39"/>
      <c r="B416" s="77"/>
      <c r="C416" s="64"/>
      <c r="D416" s="64"/>
      <c r="E416" s="64"/>
      <c r="F416" s="64"/>
      <c r="T416" s="64"/>
      <c r="V416" s="65"/>
      <c r="W416" s="68"/>
      <c r="X416" s="11"/>
      <c r="Y416" s="11"/>
    </row>
    <row r="417" spans="1:25" x14ac:dyDescent="0.25">
      <c r="A417" s="39"/>
      <c r="B417" s="77"/>
      <c r="C417" s="64"/>
      <c r="D417" s="64"/>
      <c r="E417" s="64"/>
      <c r="F417" s="64"/>
      <c r="T417" s="64"/>
      <c r="V417" s="65"/>
      <c r="W417" s="68"/>
      <c r="X417" s="11"/>
      <c r="Y417" s="11"/>
    </row>
    <row r="418" spans="1:25" x14ac:dyDescent="0.25">
      <c r="A418" s="39"/>
      <c r="B418" s="77"/>
      <c r="C418" s="64"/>
      <c r="D418" s="64"/>
      <c r="E418" s="64"/>
      <c r="F418" s="64"/>
      <c r="T418" s="64"/>
      <c r="V418" s="65"/>
      <c r="W418" s="68"/>
      <c r="X418" s="11"/>
      <c r="Y418" s="11"/>
    </row>
    <row r="419" spans="1:25" x14ac:dyDescent="0.25">
      <c r="A419" s="39"/>
      <c r="B419" s="77"/>
      <c r="C419" s="64"/>
      <c r="D419" s="64"/>
      <c r="E419" s="64"/>
      <c r="F419" s="64"/>
      <c r="T419" s="64"/>
      <c r="V419" s="65"/>
      <c r="W419" s="68"/>
      <c r="X419" s="11"/>
      <c r="Y419" s="11"/>
    </row>
    <row r="420" spans="1:25" x14ac:dyDescent="0.25">
      <c r="A420" s="39"/>
      <c r="B420" s="77"/>
      <c r="C420" s="64"/>
      <c r="D420" s="64"/>
      <c r="E420" s="64"/>
      <c r="F420" s="64"/>
      <c r="T420" s="64"/>
      <c r="V420" s="65"/>
      <c r="W420" s="68"/>
      <c r="X420" s="11"/>
      <c r="Y420" s="11"/>
    </row>
    <row r="421" spans="1:25" x14ac:dyDescent="0.25">
      <c r="A421" s="39"/>
      <c r="B421" s="77"/>
      <c r="C421" s="64"/>
      <c r="D421" s="64"/>
      <c r="E421" s="64"/>
      <c r="F421" s="64"/>
      <c r="T421" s="64"/>
      <c r="V421" s="65"/>
      <c r="W421" s="68"/>
      <c r="X421" s="11"/>
      <c r="Y421" s="11"/>
    </row>
    <row r="422" spans="1:25" x14ac:dyDescent="0.25">
      <c r="A422" s="39"/>
      <c r="B422" s="77"/>
      <c r="C422" s="64"/>
      <c r="D422" s="64"/>
      <c r="E422" s="64"/>
      <c r="F422" s="64"/>
      <c r="T422" s="64"/>
      <c r="V422" s="65"/>
      <c r="W422" s="68"/>
      <c r="X422" s="11"/>
      <c r="Y422" s="11"/>
    </row>
    <row r="423" spans="1:25" x14ac:dyDescent="0.25">
      <c r="A423" s="39"/>
      <c r="B423" s="77"/>
      <c r="C423" s="64"/>
      <c r="D423" s="64"/>
      <c r="E423" s="64"/>
      <c r="F423" s="64"/>
      <c r="T423" s="64"/>
      <c r="V423" s="65"/>
      <c r="W423" s="68"/>
      <c r="X423" s="11"/>
      <c r="Y423" s="11"/>
    </row>
    <row r="424" spans="1:25" x14ac:dyDescent="0.25">
      <c r="A424" s="39"/>
      <c r="B424" s="77"/>
      <c r="C424" s="64"/>
      <c r="D424" s="64"/>
      <c r="E424" s="64"/>
      <c r="F424" s="64"/>
      <c r="T424" s="64"/>
      <c r="V424" s="65"/>
      <c r="W424" s="68"/>
      <c r="X424" s="11"/>
      <c r="Y424" s="11"/>
    </row>
    <row r="425" spans="1:25" x14ac:dyDescent="0.25">
      <c r="A425" s="39"/>
      <c r="B425" s="77"/>
      <c r="C425" s="64"/>
      <c r="D425" s="64"/>
      <c r="E425" s="64"/>
      <c r="F425" s="64"/>
      <c r="T425" s="64"/>
      <c r="V425" s="65"/>
      <c r="W425" s="68"/>
      <c r="X425" s="11"/>
      <c r="Y425" s="11"/>
    </row>
    <row r="426" spans="1:25" x14ac:dyDescent="0.25">
      <c r="A426" s="39"/>
      <c r="B426" s="77"/>
      <c r="C426" s="64"/>
      <c r="D426" s="64"/>
      <c r="E426" s="64"/>
      <c r="F426" s="64"/>
      <c r="T426" s="64"/>
      <c r="V426" s="65"/>
      <c r="W426" s="68"/>
      <c r="X426" s="11"/>
      <c r="Y426" s="11"/>
    </row>
    <row r="427" spans="1:25" x14ac:dyDescent="0.25">
      <c r="A427" s="39"/>
      <c r="B427" s="77"/>
      <c r="C427" s="64"/>
      <c r="D427" s="64"/>
      <c r="E427" s="64"/>
      <c r="F427" s="64"/>
      <c r="T427" s="64"/>
      <c r="V427" s="65"/>
      <c r="W427" s="68"/>
      <c r="X427" s="11"/>
      <c r="Y427" s="11"/>
    </row>
    <row r="428" spans="1:25" x14ac:dyDescent="0.25">
      <c r="A428" s="39"/>
      <c r="B428" s="77"/>
      <c r="C428" s="64"/>
      <c r="D428" s="64"/>
      <c r="E428" s="64"/>
      <c r="F428" s="64"/>
      <c r="T428" s="64"/>
      <c r="V428" s="65"/>
      <c r="W428" s="68"/>
      <c r="X428" s="11"/>
      <c r="Y428" s="11"/>
    </row>
    <row r="429" spans="1:25" x14ac:dyDescent="0.25">
      <c r="A429" s="39"/>
      <c r="B429" s="77"/>
      <c r="C429" s="64"/>
      <c r="D429" s="64"/>
      <c r="E429" s="64"/>
      <c r="F429" s="64"/>
      <c r="T429" s="64"/>
      <c r="V429" s="65"/>
      <c r="W429" s="68"/>
      <c r="X429" s="11"/>
      <c r="Y429" s="11"/>
    </row>
    <row r="430" spans="1:25" x14ac:dyDescent="0.25">
      <c r="A430" s="39"/>
      <c r="B430" s="77"/>
      <c r="C430" s="64"/>
      <c r="D430" s="64"/>
      <c r="E430" s="64"/>
      <c r="F430" s="64"/>
      <c r="T430" s="64"/>
      <c r="V430" s="65"/>
      <c r="W430" s="68"/>
      <c r="X430" s="11"/>
      <c r="Y430" s="11"/>
    </row>
    <row r="431" spans="1:25" x14ac:dyDescent="0.25">
      <c r="A431" s="39"/>
      <c r="B431" s="77"/>
      <c r="C431" s="64"/>
      <c r="D431" s="64"/>
      <c r="E431" s="64"/>
      <c r="F431" s="64"/>
      <c r="T431" s="64"/>
      <c r="V431" s="65"/>
      <c r="W431" s="68"/>
      <c r="X431" s="11"/>
      <c r="Y431" s="11"/>
    </row>
    <row r="432" spans="1:25" x14ac:dyDescent="0.25">
      <c r="A432" s="39"/>
      <c r="B432" s="77"/>
      <c r="C432" s="64"/>
      <c r="D432" s="64"/>
      <c r="E432" s="64"/>
      <c r="F432" s="64"/>
      <c r="T432" s="64"/>
      <c r="V432" s="65"/>
      <c r="W432" s="68"/>
      <c r="X432" s="11"/>
      <c r="Y432" s="11"/>
    </row>
    <row r="433" spans="1:25" x14ac:dyDescent="0.25">
      <c r="A433" s="39"/>
      <c r="B433" s="77"/>
      <c r="C433" s="64"/>
      <c r="D433" s="64"/>
      <c r="E433" s="64"/>
      <c r="F433" s="64"/>
      <c r="T433" s="64"/>
      <c r="V433" s="65"/>
      <c r="W433" s="68"/>
      <c r="X433" s="11"/>
      <c r="Y433" s="11"/>
    </row>
    <row r="434" spans="1:25" x14ac:dyDescent="0.25">
      <c r="A434" s="39"/>
      <c r="B434" s="77"/>
      <c r="C434" s="64"/>
      <c r="D434" s="64"/>
      <c r="E434" s="64"/>
      <c r="F434" s="64"/>
      <c r="T434" s="64"/>
      <c r="V434" s="65"/>
      <c r="W434" s="68"/>
      <c r="X434" s="11"/>
      <c r="Y434" s="11"/>
    </row>
    <row r="435" spans="1:25" x14ac:dyDescent="0.25">
      <c r="A435" s="39"/>
      <c r="B435" s="77"/>
      <c r="C435" s="64"/>
      <c r="D435" s="64"/>
      <c r="E435" s="64"/>
      <c r="F435" s="64"/>
      <c r="T435" s="64"/>
      <c r="V435" s="65"/>
      <c r="W435" s="68"/>
      <c r="X435" s="11"/>
      <c r="Y435" s="11"/>
    </row>
    <row r="436" spans="1:25" x14ac:dyDescent="0.25">
      <c r="A436" s="39"/>
      <c r="B436" s="77"/>
      <c r="C436" s="64"/>
      <c r="D436" s="64"/>
      <c r="E436" s="64"/>
      <c r="F436" s="64"/>
      <c r="T436" s="64"/>
      <c r="V436" s="65"/>
      <c r="W436" s="68"/>
      <c r="X436" s="11"/>
      <c r="Y436" s="11"/>
    </row>
    <row r="437" spans="1:25" x14ac:dyDescent="0.25">
      <c r="A437" s="39"/>
      <c r="B437" s="77"/>
      <c r="C437" s="64"/>
      <c r="D437" s="64"/>
      <c r="E437" s="64"/>
      <c r="F437" s="64"/>
      <c r="T437" s="64"/>
      <c r="V437" s="65"/>
      <c r="W437" s="68"/>
      <c r="X437" s="11"/>
      <c r="Y437" s="11"/>
    </row>
    <row r="438" spans="1:25" x14ac:dyDescent="0.25">
      <c r="A438" s="39"/>
      <c r="B438" s="77"/>
      <c r="C438" s="64"/>
      <c r="D438" s="64"/>
      <c r="E438" s="64"/>
      <c r="F438" s="64"/>
      <c r="T438" s="64"/>
      <c r="V438" s="65"/>
      <c r="W438" s="68"/>
      <c r="X438" s="11"/>
      <c r="Y438" s="11"/>
    </row>
    <row r="439" spans="1:25" x14ac:dyDescent="0.25">
      <c r="A439" s="39"/>
      <c r="B439" s="77"/>
      <c r="C439" s="64"/>
      <c r="D439" s="64"/>
      <c r="E439" s="64"/>
      <c r="F439" s="64"/>
      <c r="T439" s="64"/>
      <c r="V439" s="65"/>
      <c r="W439" s="68"/>
      <c r="X439" s="11"/>
      <c r="Y439" s="11"/>
    </row>
    <row r="440" spans="1:25" x14ac:dyDescent="0.25">
      <c r="A440" s="39"/>
      <c r="B440" s="77"/>
      <c r="C440" s="64"/>
      <c r="D440" s="64"/>
      <c r="E440" s="64"/>
      <c r="F440" s="64"/>
      <c r="T440" s="64"/>
      <c r="V440" s="65"/>
      <c r="W440" s="68"/>
      <c r="X440" s="11"/>
      <c r="Y440" s="11"/>
    </row>
    <row r="441" spans="1:25" x14ac:dyDescent="0.25">
      <c r="A441" s="39"/>
      <c r="B441" s="77"/>
      <c r="C441" s="64"/>
      <c r="D441" s="64"/>
      <c r="E441" s="64"/>
      <c r="F441" s="64"/>
      <c r="T441" s="64"/>
      <c r="V441" s="65"/>
      <c r="W441" s="68"/>
      <c r="X441" s="11"/>
      <c r="Y441" s="11"/>
    </row>
    <row r="442" spans="1:25" x14ac:dyDescent="0.25">
      <c r="A442" s="39"/>
      <c r="B442" s="77"/>
      <c r="C442" s="64"/>
      <c r="D442" s="64"/>
      <c r="E442" s="64"/>
      <c r="F442" s="64"/>
      <c r="T442" s="64"/>
      <c r="V442" s="65"/>
      <c r="W442" s="68"/>
      <c r="X442" s="11"/>
      <c r="Y442" s="11"/>
    </row>
    <row r="443" spans="1:25" x14ac:dyDescent="0.25">
      <c r="A443" s="39"/>
      <c r="B443" s="77"/>
      <c r="C443" s="64"/>
      <c r="D443" s="64"/>
      <c r="E443" s="64"/>
      <c r="F443" s="64"/>
      <c r="T443" s="64"/>
      <c r="V443" s="65"/>
      <c r="W443" s="68"/>
      <c r="X443" s="11"/>
      <c r="Y443" s="11"/>
    </row>
    <row r="444" spans="1:25" x14ac:dyDescent="0.25">
      <c r="A444" s="39"/>
      <c r="B444" s="77"/>
      <c r="C444" s="64"/>
      <c r="D444" s="64"/>
      <c r="E444" s="64"/>
      <c r="F444" s="64"/>
      <c r="T444" s="64"/>
      <c r="V444" s="65"/>
      <c r="W444" s="68"/>
      <c r="X444" s="11"/>
      <c r="Y444" s="11"/>
    </row>
    <row r="445" spans="1:25" x14ac:dyDescent="0.25">
      <c r="A445" s="39"/>
      <c r="B445" s="77"/>
      <c r="C445" s="64"/>
      <c r="D445" s="64"/>
      <c r="E445" s="64"/>
      <c r="F445" s="64"/>
      <c r="T445" s="64"/>
      <c r="V445" s="65"/>
      <c r="W445" s="68"/>
      <c r="X445" s="11"/>
      <c r="Y445" s="11"/>
    </row>
    <row r="446" spans="1:25" x14ac:dyDescent="0.25">
      <c r="A446" s="39"/>
      <c r="B446" s="77"/>
      <c r="C446" s="64"/>
      <c r="D446" s="64"/>
      <c r="E446" s="64"/>
      <c r="F446" s="64"/>
      <c r="T446" s="64"/>
      <c r="V446" s="65"/>
      <c r="W446" s="68"/>
      <c r="X446" s="11"/>
      <c r="Y446" s="11"/>
    </row>
    <row r="447" spans="1:25" x14ac:dyDescent="0.25">
      <c r="A447" s="39"/>
      <c r="B447" s="77"/>
      <c r="C447" s="64"/>
      <c r="D447" s="64"/>
      <c r="E447" s="64"/>
      <c r="F447" s="64"/>
      <c r="T447" s="64"/>
      <c r="V447" s="65"/>
      <c r="W447" s="68"/>
      <c r="X447" s="11"/>
      <c r="Y447" s="11"/>
    </row>
    <row r="448" spans="1:25" x14ac:dyDescent="0.25">
      <c r="A448" s="39"/>
      <c r="B448" s="77"/>
      <c r="C448" s="64"/>
      <c r="D448" s="64"/>
      <c r="E448" s="64"/>
      <c r="F448" s="64"/>
      <c r="T448" s="64"/>
      <c r="V448" s="65"/>
      <c r="W448" s="68"/>
      <c r="X448" s="11"/>
      <c r="Y448" s="11"/>
    </row>
    <row r="449" spans="1:25" x14ac:dyDescent="0.25">
      <c r="A449" s="39"/>
      <c r="B449" s="77"/>
      <c r="C449" s="64"/>
      <c r="D449" s="64"/>
      <c r="E449" s="64"/>
      <c r="F449" s="64"/>
      <c r="T449" s="64"/>
      <c r="V449" s="65"/>
      <c r="W449" s="68"/>
      <c r="X449" s="11"/>
      <c r="Y449" s="11"/>
    </row>
    <row r="450" spans="1:25" x14ac:dyDescent="0.25">
      <c r="A450" s="39"/>
      <c r="B450" s="77"/>
      <c r="C450" s="64"/>
      <c r="D450" s="64"/>
      <c r="E450" s="64"/>
      <c r="F450" s="64"/>
      <c r="T450" s="64"/>
      <c r="V450" s="65"/>
      <c r="W450" s="68"/>
      <c r="X450" s="11"/>
      <c r="Y450" s="11"/>
    </row>
    <row r="451" spans="1:25" x14ac:dyDescent="0.25">
      <c r="A451" s="39"/>
      <c r="B451" s="77"/>
      <c r="C451" s="64"/>
      <c r="D451" s="64"/>
      <c r="E451" s="64"/>
      <c r="F451" s="64"/>
      <c r="T451" s="64"/>
      <c r="V451" s="65"/>
      <c r="W451" s="68"/>
      <c r="X451" s="11"/>
      <c r="Y451" s="11"/>
    </row>
    <row r="452" spans="1:25" x14ac:dyDescent="0.25">
      <c r="A452" s="39"/>
      <c r="B452" s="77"/>
      <c r="C452" s="64"/>
      <c r="D452" s="64"/>
      <c r="E452" s="64"/>
      <c r="F452" s="64"/>
      <c r="T452" s="64"/>
      <c r="V452" s="65"/>
      <c r="W452" s="68"/>
      <c r="X452" s="11"/>
      <c r="Y452" s="11"/>
    </row>
    <row r="453" spans="1:25" x14ac:dyDescent="0.25">
      <c r="A453" s="39"/>
      <c r="B453" s="77"/>
      <c r="C453" s="64"/>
      <c r="D453" s="64"/>
      <c r="E453" s="64"/>
      <c r="F453" s="64"/>
      <c r="T453" s="64"/>
      <c r="V453" s="65"/>
      <c r="W453" s="68"/>
      <c r="X453" s="11"/>
      <c r="Y453" s="11"/>
    </row>
    <row r="454" spans="1:25" x14ac:dyDescent="0.25">
      <c r="A454" s="39"/>
      <c r="B454" s="77"/>
      <c r="C454" s="64"/>
      <c r="D454" s="64"/>
      <c r="E454" s="64"/>
      <c r="F454" s="64"/>
      <c r="T454" s="64"/>
      <c r="V454" s="65"/>
      <c r="W454" s="68"/>
      <c r="X454" s="11"/>
      <c r="Y454" s="11"/>
    </row>
    <row r="455" spans="1:25" x14ac:dyDescent="0.25">
      <c r="A455" s="39"/>
      <c r="B455" s="77"/>
      <c r="C455" s="64"/>
      <c r="D455" s="64"/>
      <c r="E455" s="64"/>
      <c r="F455" s="64"/>
      <c r="T455" s="64"/>
      <c r="V455" s="65"/>
      <c r="W455" s="68"/>
      <c r="X455" s="11"/>
      <c r="Y455" s="11"/>
    </row>
    <row r="456" spans="1:25" x14ac:dyDescent="0.25">
      <c r="A456" s="39"/>
      <c r="B456" s="77"/>
      <c r="C456" s="64"/>
      <c r="D456" s="64"/>
      <c r="E456" s="64"/>
      <c r="F456" s="64"/>
      <c r="T456" s="64"/>
      <c r="V456" s="65"/>
      <c r="W456" s="68"/>
      <c r="X456" s="11"/>
      <c r="Y456" s="11"/>
    </row>
    <row r="457" spans="1:25" x14ac:dyDescent="0.25">
      <c r="A457" s="39"/>
      <c r="B457" s="77"/>
      <c r="C457" s="64"/>
      <c r="D457" s="64"/>
      <c r="E457" s="64"/>
      <c r="F457" s="64"/>
      <c r="T457" s="64"/>
      <c r="V457" s="65"/>
      <c r="W457" s="68"/>
      <c r="X457" s="11"/>
      <c r="Y457" s="11"/>
    </row>
    <row r="458" spans="1:25" x14ac:dyDescent="0.25">
      <c r="A458" s="39"/>
      <c r="B458" s="77"/>
      <c r="C458" s="64"/>
      <c r="D458" s="64"/>
      <c r="E458" s="64"/>
      <c r="F458" s="64"/>
      <c r="T458" s="64"/>
      <c r="V458" s="65"/>
      <c r="W458" s="68"/>
      <c r="X458" s="11"/>
      <c r="Y458" s="11"/>
    </row>
    <row r="459" spans="1:25" x14ac:dyDescent="0.25">
      <c r="A459" s="39"/>
      <c r="B459" s="77"/>
      <c r="C459" s="64"/>
      <c r="D459" s="64"/>
      <c r="E459" s="64"/>
      <c r="F459" s="64"/>
      <c r="T459" s="64"/>
      <c r="V459" s="65"/>
      <c r="W459" s="68"/>
      <c r="X459" s="11"/>
      <c r="Y459" s="11"/>
    </row>
    <row r="460" spans="1:25" x14ac:dyDescent="0.25">
      <c r="A460" s="39"/>
      <c r="B460" s="77"/>
      <c r="C460" s="64"/>
      <c r="D460" s="64"/>
      <c r="E460" s="64"/>
      <c r="F460" s="64"/>
      <c r="T460" s="64"/>
      <c r="V460" s="65"/>
      <c r="W460" s="68"/>
      <c r="X460" s="11"/>
      <c r="Y460" s="11"/>
    </row>
    <row r="461" spans="1:25" x14ac:dyDescent="0.25">
      <c r="A461" s="39"/>
      <c r="B461" s="77"/>
      <c r="C461" s="64"/>
      <c r="D461" s="64"/>
      <c r="E461" s="64"/>
      <c r="F461" s="64"/>
      <c r="T461" s="64"/>
      <c r="V461" s="65"/>
      <c r="W461" s="68"/>
      <c r="X461" s="11"/>
      <c r="Y461" s="11"/>
    </row>
    <row r="462" spans="1:25" x14ac:dyDescent="0.25">
      <c r="A462" s="39"/>
      <c r="B462" s="77"/>
      <c r="C462" s="64"/>
      <c r="D462" s="64"/>
      <c r="E462" s="64"/>
      <c r="F462" s="64"/>
      <c r="T462" s="64"/>
      <c r="V462" s="65"/>
      <c r="W462" s="68"/>
      <c r="X462" s="11"/>
      <c r="Y462" s="11"/>
    </row>
    <row r="463" spans="1:25" x14ac:dyDescent="0.25">
      <c r="A463" s="39"/>
      <c r="B463" s="77"/>
      <c r="C463" s="64"/>
      <c r="D463" s="64"/>
      <c r="E463" s="64"/>
      <c r="F463" s="64"/>
      <c r="T463" s="64"/>
      <c r="V463" s="65"/>
      <c r="W463" s="68"/>
      <c r="X463" s="11"/>
      <c r="Y463" s="11"/>
    </row>
    <row r="464" spans="1:25" x14ac:dyDescent="0.25">
      <c r="A464" s="39"/>
      <c r="B464" s="77"/>
      <c r="C464" s="64"/>
      <c r="D464" s="64"/>
      <c r="E464" s="64"/>
      <c r="F464" s="64"/>
      <c r="T464" s="64"/>
      <c r="V464" s="65"/>
      <c r="W464" s="68"/>
      <c r="X464" s="11"/>
      <c r="Y464" s="11"/>
    </row>
    <row r="465" spans="1:25" x14ac:dyDescent="0.25">
      <c r="A465" s="39"/>
      <c r="B465" s="77"/>
      <c r="C465" s="64"/>
      <c r="D465" s="64"/>
      <c r="E465" s="64"/>
      <c r="F465" s="64"/>
      <c r="T465" s="64"/>
      <c r="V465" s="65"/>
      <c r="W465" s="68"/>
      <c r="X465" s="11"/>
      <c r="Y465" s="11"/>
    </row>
    <row r="466" spans="1:25" x14ac:dyDescent="0.25">
      <c r="A466" s="39"/>
      <c r="B466" s="77"/>
      <c r="C466" s="64"/>
      <c r="D466" s="64"/>
      <c r="E466" s="64"/>
      <c r="F466" s="64"/>
      <c r="T466" s="64"/>
      <c r="V466" s="65"/>
      <c r="W466" s="68"/>
      <c r="X466" s="11"/>
      <c r="Y466" s="11"/>
    </row>
    <row r="467" spans="1:25" x14ac:dyDescent="0.25">
      <c r="A467" s="39"/>
      <c r="B467" s="77"/>
      <c r="C467" s="64"/>
      <c r="D467" s="64"/>
      <c r="E467" s="64"/>
      <c r="F467" s="64"/>
      <c r="T467" s="64"/>
      <c r="V467" s="65"/>
      <c r="W467" s="68"/>
      <c r="X467" s="11"/>
      <c r="Y467" s="11"/>
    </row>
    <row r="468" spans="1:25" x14ac:dyDescent="0.25">
      <c r="A468" s="39"/>
      <c r="B468" s="77"/>
      <c r="C468" s="64"/>
      <c r="D468" s="64"/>
      <c r="E468" s="64"/>
      <c r="F468" s="64"/>
      <c r="T468" s="64"/>
      <c r="V468" s="65"/>
      <c r="W468" s="68"/>
      <c r="X468" s="11"/>
      <c r="Y468" s="11"/>
    </row>
    <row r="469" spans="1:25" x14ac:dyDescent="0.25">
      <c r="A469" s="39"/>
      <c r="B469" s="77"/>
      <c r="C469" s="64"/>
      <c r="D469" s="64"/>
      <c r="E469" s="64"/>
      <c r="F469" s="64"/>
      <c r="T469" s="64"/>
      <c r="V469" s="65"/>
      <c r="W469" s="68"/>
      <c r="X469" s="11"/>
      <c r="Y469" s="11"/>
    </row>
    <row r="470" spans="1:25" x14ac:dyDescent="0.25">
      <c r="A470" s="39"/>
      <c r="B470" s="77"/>
      <c r="C470" s="64"/>
      <c r="D470" s="64"/>
      <c r="E470" s="64"/>
      <c r="F470" s="64"/>
      <c r="T470" s="64"/>
      <c r="V470" s="65"/>
      <c r="W470" s="68"/>
      <c r="X470" s="11"/>
      <c r="Y470" s="11"/>
    </row>
    <row r="471" spans="1:25" x14ac:dyDescent="0.25">
      <c r="A471" s="39"/>
      <c r="B471" s="77"/>
      <c r="C471" s="64"/>
      <c r="D471" s="64"/>
      <c r="E471" s="64"/>
      <c r="F471" s="64"/>
      <c r="T471" s="64"/>
      <c r="V471" s="65"/>
      <c r="W471" s="68"/>
      <c r="X471" s="11"/>
      <c r="Y471" s="11"/>
    </row>
    <row r="472" spans="1:25" x14ac:dyDescent="0.25">
      <c r="A472" s="39"/>
      <c r="B472" s="77"/>
      <c r="C472" s="64"/>
      <c r="D472" s="64"/>
      <c r="E472" s="64"/>
      <c r="F472" s="64"/>
      <c r="T472" s="64"/>
      <c r="V472" s="65"/>
      <c r="W472" s="68"/>
      <c r="X472" s="11"/>
      <c r="Y472" s="11"/>
    </row>
    <row r="473" spans="1:25" x14ac:dyDescent="0.25">
      <c r="A473" s="39"/>
      <c r="B473" s="77"/>
      <c r="C473" s="64"/>
      <c r="D473" s="64"/>
      <c r="E473" s="64"/>
      <c r="F473" s="64"/>
      <c r="T473" s="64"/>
      <c r="V473" s="65"/>
      <c r="W473" s="68"/>
      <c r="X473" s="11"/>
      <c r="Y473" s="11"/>
    </row>
    <row r="474" spans="1:25" x14ac:dyDescent="0.25">
      <c r="A474" s="39"/>
      <c r="B474" s="77"/>
      <c r="C474" s="64"/>
      <c r="D474" s="64"/>
      <c r="E474" s="64"/>
      <c r="F474" s="64"/>
      <c r="T474" s="64"/>
      <c r="V474" s="65"/>
      <c r="W474" s="68"/>
      <c r="X474" s="11"/>
      <c r="Y474" s="11"/>
    </row>
    <row r="475" spans="1:25" x14ac:dyDescent="0.25">
      <c r="A475" s="39"/>
      <c r="B475" s="77"/>
      <c r="C475" s="64"/>
      <c r="D475" s="64"/>
      <c r="E475" s="64"/>
      <c r="F475" s="64"/>
      <c r="T475" s="64"/>
      <c r="V475" s="65"/>
      <c r="W475" s="68"/>
      <c r="X475" s="11"/>
      <c r="Y475" s="11"/>
    </row>
    <row r="476" spans="1:25" x14ac:dyDescent="0.25">
      <c r="A476" s="39"/>
      <c r="B476" s="77"/>
      <c r="C476" s="64"/>
      <c r="D476" s="64"/>
      <c r="E476" s="64"/>
      <c r="F476" s="64"/>
      <c r="T476" s="64"/>
      <c r="V476" s="65"/>
      <c r="W476" s="68"/>
      <c r="X476" s="11"/>
      <c r="Y476" s="11"/>
    </row>
    <row r="477" spans="1:25" x14ac:dyDescent="0.25">
      <c r="A477" s="39"/>
      <c r="B477" s="77"/>
      <c r="C477" s="64"/>
      <c r="D477" s="64"/>
      <c r="E477" s="64"/>
      <c r="F477" s="64"/>
      <c r="T477" s="64"/>
      <c r="V477" s="65"/>
      <c r="W477" s="68"/>
      <c r="X477" s="11"/>
      <c r="Y477" s="11"/>
    </row>
    <row r="478" spans="1:25" x14ac:dyDescent="0.25">
      <c r="A478" s="39"/>
      <c r="B478" s="77"/>
      <c r="C478" s="64"/>
      <c r="D478" s="64"/>
      <c r="E478" s="64"/>
      <c r="F478" s="64"/>
      <c r="T478" s="64"/>
      <c r="V478" s="65"/>
      <c r="W478" s="68"/>
      <c r="X478" s="11"/>
      <c r="Y478" s="11"/>
    </row>
    <row r="479" spans="1:25" x14ac:dyDescent="0.25">
      <c r="A479" s="39"/>
      <c r="B479" s="77"/>
      <c r="C479" s="64"/>
      <c r="D479" s="64"/>
      <c r="E479" s="64"/>
      <c r="F479" s="64"/>
      <c r="T479" s="64"/>
      <c r="V479" s="65"/>
      <c r="W479" s="68"/>
      <c r="X479" s="11"/>
      <c r="Y479" s="11"/>
    </row>
    <row r="480" spans="1:25" x14ac:dyDescent="0.25">
      <c r="A480" s="39"/>
      <c r="B480" s="77"/>
      <c r="C480" s="64"/>
      <c r="D480" s="64"/>
      <c r="E480" s="64"/>
      <c r="F480" s="64"/>
      <c r="T480" s="64"/>
      <c r="V480" s="65"/>
      <c r="W480" s="68"/>
      <c r="X480" s="11"/>
      <c r="Y480" s="11"/>
    </row>
    <row r="481" spans="1:25" x14ac:dyDescent="0.25">
      <c r="A481" s="39"/>
      <c r="B481" s="77"/>
      <c r="C481" s="64"/>
      <c r="D481" s="64"/>
      <c r="E481" s="64"/>
      <c r="F481" s="64"/>
      <c r="T481" s="64"/>
      <c r="V481" s="65"/>
      <c r="W481" s="68"/>
      <c r="X481" s="11"/>
      <c r="Y481" s="11"/>
    </row>
    <row r="482" spans="1:25" x14ac:dyDescent="0.25">
      <c r="A482" s="39"/>
      <c r="B482" s="77"/>
      <c r="C482" s="64"/>
      <c r="D482" s="64"/>
      <c r="E482" s="64"/>
      <c r="F482" s="64"/>
      <c r="T482" s="64"/>
      <c r="V482" s="65"/>
      <c r="W482" s="68"/>
      <c r="X482" s="11"/>
      <c r="Y482" s="11"/>
    </row>
    <row r="483" spans="1:25" x14ac:dyDescent="0.25">
      <c r="A483" s="39"/>
      <c r="B483" s="77"/>
      <c r="C483" s="64"/>
      <c r="D483" s="64"/>
      <c r="E483" s="64"/>
      <c r="F483" s="64"/>
      <c r="T483" s="64"/>
      <c r="V483" s="65"/>
      <c r="W483" s="68"/>
      <c r="X483" s="11"/>
      <c r="Y483" s="11"/>
    </row>
    <row r="484" spans="1:25" x14ac:dyDescent="0.25">
      <c r="A484" s="39"/>
      <c r="B484" s="77"/>
      <c r="C484" s="64"/>
      <c r="D484" s="64"/>
      <c r="E484" s="64"/>
      <c r="F484" s="64"/>
      <c r="T484" s="64"/>
      <c r="V484" s="65"/>
      <c r="W484" s="68"/>
      <c r="X484" s="11"/>
      <c r="Y484" s="11"/>
    </row>
    <row r="485" spans="1:25" x14ac:dyDescent="0.25">
      <c r="A485" s="39"/>
      <c r="B485" s="77"/>
      <c r="C485" s="64"/>
      <c r="D485" s="64"/>
      <c r="E485" s="64"/>
      <c r="F485" s="64"/>
      <c r="T485" s="64"/>
      <c r="V485" s="65"/>
      <c r="W485" s="68"/>
      <c r="X485" s="11"/>
      <c r="Y485" s="11"/>
    </row>
    <row r="486" spans="1:25" x14ac:dyDescent="0.25">
      <c r="A486" s="39"/>
      <c r="B486" s="77"/>
      <c r="C486" s="64"/>
      <c r="D486" s="64"/>
      <c r="E486" s="64"/>
      <c r="F486" s="64"/>
      <c r="T486" s="64"/>
      <c r="V486" s="65"/>
      <c r="W486" s="68"/>
      <c r="X486" s="11"/>
      <c r="Y486" s="11"/>
    </row>
    <row r="487" spans="1:25" x14ac:dyDescent="0.25">
      <c r="A487" s="39"/>
      <c r="B487" s="77"/>
      <c r="C487" s="64"/>
      <c r="D487" s="64"/>
      <c r="E487" s="64"/>
      <c r="F487" s="64"/>
      <c r="T487" s="64"/>
      <c r="V487" s="65"/>
      <c r="W487" s="68"/>
      <c r="X487" s="11"/>
      <c r="Y487" s="11"/>
    </row>
    <row r="488" spans="1:25" x14ac:dyDescent="0.25">
      <c r="A488" s="39"/>
      <c r="B488" s="77"/>
      <c r="C488" s="64"/>
      <c r="D488" s="64"/>
      <c r="E488" s="64"/>
      <c r="F488" s="64"/>
      <c r="T488" s="64"/>
      <c r="V488" s="65"/>
      <c r="W488" s="68"/>
      <c r="X488" s="11"/>
      <c r="Y488" s="11"/>
    </row>
    <row r="489" spans="1:25" x14ac:dyDescent="0.25">
      <c r="A489" s="39"/>
      <c r="B489" s="77"/>
      <c r="C489" s="64"/>
      <c r="D489" s="64"/>
      <c r="E489" s="64"/>
      <c r="F489" s="64"/>
      <c r="T489" s="64"/>
      <c r="V489" s="65"/>
      <c r="W489" s="68"/>
      <c r="X489" s="11"/>
      <c r="Y489" s="11"/>
    </row>
    <row r="490" spans="1:25" x14ac:dyDescent="0.25">
      <c r="A490" s="39"/>
      <c r="B490" s="77"/>
      <c r="C490" s="64"/>
      <c r="D490" s="64"/>
      <c r="E490" s="64"/>
      <c r="F490" s="64"/>
      <c r="T490" s="64"/>
      <c r="V490" s="65"/>
      <c r="W490" s="68"/>
      <c r="X490" s="11"/>
      <c r="Y490" s="11"/>
    </row>
    <row r="491" spans="1:25" x14ac:dyDescent="0.25">
      <c r="A491" s="39"/>
      <c r="B491" s="77"/>
      <c r="C491" s="64"/>
      <c r="D491" s="64"/>
      <c r="E491" s="64"/>
      <c r="F491" s="64"/>
      <c r="T491" s="64"/>
      <c r="V491" s="65"/>
      <c r="W491" s="68"/>
      <c r="X491" s="11"/>
      <c r="Y491" s="11"/>
    </row>
    <row r="492" spans="1:25" x14ac:dyDescent="0.25">
      <c r="A492" s="39"/>
      <c r="B492" s="77"/>
      <c r="C492" s="64"/>
      <c r="D492" s="64"/>
      <c r="E492" s="64"/>
      <c r="F492" s="64"/>
      <c r="T492" s="64"/>
      <c r="V492" s="65"/>
      <c r="W492" s="68"/>
      <c r="X492" s="11"/>
      <c r="Y492" s="11"/>
    </row>
    <row r="493" spans="1:25" x14ac:dyDescent="0.25">
      <c r="A493" s="39"/>
      <c r="B493" s="77"/>
      <c r="C493" s="64"/>
      <c r="D493" s="64"/>
      <c r="E493" s="64"/>
      <c r="F493" s="64"/>
      <c r="T493" s="64"/>
      <c r="V493" s="65"/>
      <c r="W493" s="68"/>
      <c r="X493" s="11"/>
      <c r="Y493" s="11"/>
    </row>
    <row r="494" spans="1:25" x14ac:dyDescent="0.25">
      <c r="A494" s="39"/>
      <c r="B494" s="77"/>
      <c r="C494" s="64"/>
      <c r="D494" s="64"/>
      <c r="E494" s="64"/>
      <c r="F494" s="64"/>
      <c r="T494" s="64"/>
      <c r="V494" s="65"/>
      <c r="W494" s="68"/>
      <c r="X494" s="11"/>
      <c r="Y494" s="11"/>
    </row>
    <row r="495" spans="1:25" x14ac:dyDescent="0.25">
      <c r="A495" s="39"/>
      <c r="B495" s="77"/>
      <c r="C495" s="64"/>
      <c r="D495" s="64"/>
      <c r="E495" s="64"/>
      <c r="F495" s="64"/>
      <c r="T495" s="64"/>
      <c r="V495" s="65"/>
      <c r="W495" s="68"/>
      <c r="X495" s="11"/>
      <c r="Y495" s="11"/>
    </row>
  </sheetData>
  <phoneticPr fontId="3" type="noConversion"/>
  <conditionalFormatting sqref="V2:V21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  <cfRule type="iconSet" priority="89">
      <iconSet iconSet="3Flags">
        <cfvo type="percent" val="0"/>
        <cfvo type="percent" val="33"/>
        <cfvo type="percent" val="67"/>
      </iconSet>
    </cfRule>
  </conditionalFormatting>
  <conditionalFormatting sqref="V22:V495">
    <cfRule type="iconSet" priority="90">
      <iconSet iconSet="3Flags">
        <cfvo type="percent" val="0"/>
        <cfvo type="percent" val="33"/>
        <cfvo type="percent" val="67"/>
      </iconSet>
    </cfRule>
  </conditionalFormatting>
  <conditionalFormatting sqref="W2:W21">
    <cfRule type="colorScale" priority="9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:X2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iconSet" priority="86">
      <iconSet iconSet="4Arrows">
        <cfvo type="percent" val="0"/>
        <cfvo type="percent" val="25"/>
        <cfvo type="percent" val="50"/>
        <cfvo type="percent" val="75"/>
      </iconSet>
    </cfRule>
  </conditionalFormatting>
  <conditionalFormatting sqref="X22:X34">
    <cfRule type="iconSet" priority="87">
      <iconSet iconSet="4Arrows">
        <cfvo type="percent" val="0"/>
        <cfvo type="percent" val="25"/>
        <cfvo type="percent" val="50"/>
        <cfvo type="percent" val="75"/>
      </iconSet>
    </cfRule>
  </conditionalFormatting>
  <pageMargins left="0.7" right="0.7" top="0.75" bottom="0.75" header="0.3" footer="0.3"/>
  <pageSetup paperSize="9" orientation="portrait" verticalDpi="0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99" id="{1DFBE779-297E-4C34-B5EC-0ABD3FA6A7BA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W2:W21</xm:sqref>
        </x14:conditionalFormatting>
        <x14:conditionalFormatting xmlns:xm="http://schemas.microsoft.com/office/excel/2006/main">
          <x14:cfRule type="iconSet" priority="97" id="{1FBD3DB2-74FE-4B5C-9249-4081DF8692D2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W22:W495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3C3D5-45BF-4111-A027-D81A4BCA3839}">
  <dimension ref="A1:AP3848"/>
  <sheetViews>
    <sheetView zoomScale="80" zoomScaleNormal="80" workbookViewId="0">
      <pane xSplit="1" topLeftCell="B1" activePane="topRight" state="frozen"/>
      <selection activeCell="A26" sqref="A26"/>
      <selection pane="topRight" activeCell="F32" sqref="F32"/>
    </sheetView>
  </sheetViews>
  <sheetFormatPr defaultRowHeight="15" x14ac:dyDescent="0.25"/>
  <cols>
    <col min="1" max="1" width="6" style="30" customWidth="1"/>
    <col min="2" max="2" width="21.85546875" style="29" customWidth="1"/>
    <col min="3" max="3" width="9.85546875" style="11" customWidth="1"/>
    <col min="4" max="4" width="6.7109375" customWidth="1"/>
    <col min="5" max="5" width="6.28515625" customWidth="1"/>
    <col min="6" max="6" width="5.85546875" customWidth="1"/>
    <col min="7" max="7" width="9.140625" customWidth="1"/>
    <col min="8" max="8" width="9.140625" style="9" customWidth="1"/>
    <col min="9" max="9" width="6.5703125" customWidth="1"/>
    <col min="10" max="10" width="9.140625" style="9" customWidth="1"/>
    <col min="11" max="11" width="7.28515625" customWidth="1"/>
    <col min="12" max="12" width="6.85546875" customWidth="1"/>
    <col min="13" max="13" width="11.7109375" style="31" hidden="1" customWidth="1"/>
    <col min="14" max="18" width="9.140625" style="31" hidden="1" customWidth="1"/>
    <col min="19" max="24" width="9.140625" style="43" hidden="1" customWidth="1"/>
    <col min="25" max="26" width="9.140625" style="34" customWidth="1"/>
    <col min="27" max="29" width="9.140625" customWidth="1"/>
    <col min="30" max="30" width="8.28515625" style="36" customWidth="1"/>
    <col min="31" max="31" width="12.140625" style="37" bestFit="1" customWidth="1"/>
    <col min="32" max="32" width="9" style="37" customWidth="1"/>
    <col min="33" max="34" width="8.28515625" style="37" customWidth="1"/>
    <col min="35" max="35" width="9.140625" style="37"/>
    <col min="36" max="36" width="10" style="37" customWidth="1"/>
    <col min="37" max="37" width="12.42578125" customWidth="1"/>
  </cols>
  <sheetData>
    <row r="1" spans="1:41" x14ac:dyDescent="0.25">
      <c r="A1" s="28" t="s">
        <v>744</v>
      </c>
      <c r="B1" s="29" t="s">
        <v>780</v>
      </c>
      <c r="C1" s="12" t="s">
        <v>781</v>
      </c>
      <c r="D1" t="s">
        <v>40</v>
      </c>
      <c r="E1" t="s">
        <v>46</v>
      </c>
      <c r="F1" t="s">
        <v>49</v>
      </c>
      <c r="G1" t="s">
        <v>55</v>
      </c>
      <c r="H1" s="9" t="s">
        <v>51</v>
      </c>
      <c r="I1" t="s">
        <v>43</v>
      </c>
      <c r="J1" s="9" t="s">
        <v>53</v>
      </c>
      <c r="K1" t="s">
        <v>42</v>
      </c>
      <c r="L1" t="s">
        <v>54</v>
      </c>
      <c r="M1" s="19" t="s">
        <v>88</v>
      </c>
      <c r="N1" s="19" t="s">
        <v>90</v>
      </c>
      <c r="O1" s="19" t="s">
        <v>89</v>
      </c>
      <c r="P1" s="19" t="s">
        <v>91</v>
      </c>
      <c r="Q1" s="19" t="s">
        <v>93</v>
      </c>
      <c r="R1" s="19" t="s">
        <v>94</v>
      </c>
      <c r="S1" s="40" t="s">
        <v>100</v>
      </c>
      <c r="T1" s="40" t="s">
        <v>101</v>
      </c>
      <c r="U1" s="40" t="s">
        <v>102</v>
      </c>
      <c r="V1" s="40" t="s">
        <v>114</v>
      </c>
      <c r="W1" s="40" t="s">
        <v>103</v>
      </c>
      <c r="X1" s="40" t="s">
        <v>104</v>
      </c>
      <c r="Y1" s="33" t="s">
        <v>92</v>
      </c>
      <c r="Z1" s="33" t="s">
        <v>137</v>
      </c>
      <c r="AA1" s="9" t="s">
        <v>71</v>
      </c>
      <c r="AB1" t="s">
        <v>50</v>
      </c>
      <c r="AC1" t="s">
        <v>52</v>
      </c>
      <c r="AD1" s="36" t="s">
        <v>782</v>
      </c>
      <c r="AE1" s="37" t="s">
        <v>783</v>
      </c>
      <c r="AF1" s="37" t="s">
        <v>45</v>
      </c>
      <c r="AG1" s="37" t="s">
        <v>58</v>
      </c>
      <c r="AH1" s="37" t="s">
        <v>59</v>
      </c>
      <c r="AI1" s="37" t="s">
        <v>56</v>
      </c>
      <c r="AJ1" s="37" t="s">
        <v>210</v>
      </c>
      <c r="AK1" t="s">
        <v>135</v>
      </c>
    </row>
    <row r="2" spans="1:41" x14ac:dyDescent="0.25">
      <c r="A2" s="76">
        <v>1</v>
      </c>
      <c r="B2" s="3" t="s">
        <v>169</v>
      </c>
      <c r="C2" s="2" t="s">
        <v>155</v>
      </c>
      <c r="D2" s="1">
        <v>0</v>
      </c>
      <c r="E2" s="1">
        <v>0</v>
      </c>
      <c r="F2" s="1">
        <v>0</v>
      </c>
      <c r="G2" s="1">
        <v>3</v>
      </c>
      <c r="H2" s="4">
        <v>1</v>
      </c>
      <c r="I2" s="1">
        <v>0</v>
      </c>
      <c r="J2" s="4">
        <v>0</v>
      </c>
      <c r="K2" s="1">
        <v>2</v>
      </c>
      <c r="L2" s="1">
        <v>0</v>
      </c>
      <c r="M2" s="31">
        <f>IF(Mecze[[#This Row],[PR]]=0,0,Mecze[[#This Row],[PR]]/Mecze[[#This Row],[CZAS]])</f>
        <v>0</v>
      </c>
      <c r="N2" s="31">
        <f>IF(Mecze[[#This Row],[OU]]=0,0,Mecze[[#This Row],[OU]]/Mecze[[#This Row],[CZAS]])</f>
        <v>0</v>
      </c>
      <c r="O2" s="31">
        <f>IF(Mecze[[#This Row],[PC]]=0,0,Mecze[[#This Row],[PC]]/Mecze[[#This Row],[CZAS]])</f>
        <v>3.125E-2</v>
      </c>
      <c r="P2" s="31">
        <f>IF(Mecze[[#This Row],[SC]]=0,0,Mecze[[#This Row],[SC]]/Mecze[[#This Row],[CZAS]])</f>
        <v>0</v>
      </c>
      <c r="Q2" s="31">
        <f>IF(Mecze[[#This Row],[OB]]=0,0,Mecze[[#This Row],[OB]]/Mecze[[#This Row],[CZAS]])</f>
        <v>2.0833333333333332E-2</v>
      </c>
      <c r="R2" s="31">
        <f>IF(Mecze[[#This Row],[BR]]=0,0,Mecze[[#This Row],[BR]]/Mecze[[#This Row],[CZAS]])</f>
        <v>0</v>
      </c>
      <c r="S2" s="43">
        <f>IF(Mecze[[#This Row],[Role]]="BR",SUMPRODUCT(Mecze[[#This Row],[/PR:90]:[/BR:90]],Brudnopis!$E$23:$J$23),0)</f>
        <v>0.15625</v>
      </c>
      <c r="T2" s="43">
        <f>IF(Mecze[[#This Row],[Role]]&lt;&gt;"BR",SUMPRODUCT(Mecze[[#This Row],[/PR:90]:[/BR:90]],Brudnopis!$E$24:$J$24),0)</f>
        <v>0</v>
      </c>
      <c r="U2" s="43">
        <f>IF(Mecze[[#This Row],[Role]]&lt;&gt;"BR",SUMPRODUCT(Mecze[[#This Row],[/PR:90]:[/BR:90]],Brudnopis!$E$25:$J$25),0)</f>
        <v>0</v>
      </c>
      <c r="V2" s="43">
        <f>IF(Mecze[[#This Row],[Role]]&lt;&gt;"BR",SUMPRODUCT(Mecze[[#This Row],[/PR:90]:[/BR:90]],Brudnopis!$E$26:$J$26),0)</f>
        <v>0</v>
      </c>
      <c r="W2" s="43">
        <f>IF(Mecze[[#This Row],[Role]]&lt;&gt;"BR",SUMPRODUCT(Mecze[[#This Row],[/PR:90]:[/BR:90]],Brudnopis!$E$27:$J$27),0)</f>
        <v>0</v>
      </c>
      <c r="X2" s="43">
        <f>IF(Mecze[[#This Row],[Role]]&lt;&gt;"BR",SUMPRODUCT(Mecze[[#This Row],[/PR:90]:[/BR:90]],Brudnopis!$E$28:$J$28),0)</f>
        <v>0</v>
      </c>
      <c r="Y2" s="34">
        <f>IF(Mecze[[#This Row],[Role]]="BR",Mecze[[#This Row],[/OB:90]]+Mecze[[#This Row],[/PC:90]],SUM(Mecze[[#This Row],[/PR:90]:[/BR:90]]))</f>
        <v>5.2083333333333329E-2</v>
      </c>
      <c r="Z2" s="34">
        <f>IF(Mecze[[#This Row],[KC]]=0,SUM(Mecze[[#This Row],[/BRI]:[/NPI]]),SUM(Mecze[[#This Row],[/BRI]:[/NPI]])*0.6)</f>
        <v>0.15625</v>
      </c>
      <c r="AA2" s="9">
        <f>IFERROR(Mecze[[#This Row],[BR]]/Mecze[[#This Row],[ST]],0)</f>
        <v>0</v>
      </c>
      <c r="AB2">
        <f>ROUND(Mecze[[#This Row],[PD]]*Mecze[[#This Row],[%PC]],0)</f>
        <v>3</v>
      </c>
      <c r="AC2">
        <f>ROUND(Mecze[[#This Row],[OD]]*Mecze[[#This Row],[%OU]],0)</f>
        <v>0</v>
      </c>
      <c r="AD2" s="36" t="s">
        <v>40</v>
      </c>
      <c r="AE2" s="36">
        <v>1</v>
      </c>
      <c r="AF2" s="1">
        <v>4.62</v>
      </c>
      <c r="AG2" s="37">
        <v>0</v>
      </c>
      <c r="AH2" s="37">
        <v>0</v>
      </c>
      <c r="AI2" s="37">
        <v>96</v>
      </c>
      <c r="AJ2">
        <v>1</v>
      </c>
      <c r="AK2" s="36" t="str">
        <f>VLOOKUP(Mecze[[#This Row],[Match ID]],Meczusie[Mecz]:Meczusie[RodzajMeczu],2,FALSE)</f>
        <v>Towarzyski</v>
      </c>
    </row>
    <row r="3" spans="1:41" x14ac:dyDescent="0.25">
      <c r="A3" s="76">
        <v>18</v>
      </c>
      <c r="B3" s="3" t="s">
        <v>211</v>
      </c>
      <c r="C3" s="2" t="s">
        <v>157</v>
      </c>
      <c r="D3" s="1">
        <v>0</v>
      </c>
      <c r="E3" s="1">
        <v>0</v>
      </c>
      <c r="F3" s="1">
        <v>0</v>
      </c>
      <c r="G3" s="1">
        <v>8</v>
      </c>
      <c r="H3" s="4">
        <v>0.75</v>
      </c>
      <c r="I3" s="1">
        <v>2</v>
      </c>
      <c r="J3" s="4">
        <v>0.5</v>
      </c>
      <c r="K3" s="1">
        <v>0</v>
      </c>
      <c r="L3" s="1">
        <v>13</v>
      </c>
      <c r="M3" s="32">
        <f>IF(Mecze[[#This Row],[PR]]=0,0,Mecze[[#This Row],[PR]]/Mecze[[#This Row],[CZAS]])</f>
        <v>0.13541666666666666</v>
      </c>
      <c r="N3" s="32">
        <f>IF(Mecze[[#This Row],[OU]]=0,0,Mecze[[#This Row],[OU]]/Mecze[[#This Row],[CZAS]])</f>
        <v>1.0416666666666666E-2</v>
      </c>
      <c r="O3" s="32">
        <f>IF(Mecze[[#This Row],[PC]]=0,0,Mecze[[#This Row],[PC]]/Mecze[[#This Row],[CZAS]])</f>
        <v>6.25E-2</v>
      </c>
      <c r="P3" s="32">
        <f>IF(Mecze[[#This Row],[SC]]=0,0,Mecze[[#This Row],[SC]]/Mecze[[#This Row],[CZAS]])</f>
        <v>0</v>
      </c>
      <c r="Q3" s="32">
        <f>IF(Mecze[[#This Row],[OB]]=0,0,Mecze[[#This Row],[OB]]/Mecze[[#This Row],[CZAS]])</f>
        <v>0</v>
      </c>
      <c r="R3" s="32">
        <f>IF(Mecze[[#This Row],[BR]]=0,0,Mecze[[#This Row],[BR]]/Mecze[[#This Row],[CZAS]])</f>
        <v>0</v>
      </c>
      <c r="S3" s="44">
        <f>IF(Mecze[[#This Row],[Role]]="BR",SUMPRODUCT(Mecze[[#This Row],[/PR:90]:[/BR:90]],Brudnopis!$E$23:$J$23),0)</f>
        <v>0</v>
      </c>
      <c r="T3" s="44">
        <f>IF(Mecze[[#This Row],[Role]]&lt;&gt;"BR",SUMPRODUCT(Mecze[[#This Row],[/PR:90]:[/BR:90]],Brudnopis!$E$24:$J$24),0)</f>
        <v>0.21354166666666666</v>
      </c>
      <c r="U3" s="44">
        <f>IF(Mecze[[#This Row],[Role]]&lt;&gt;"BR",SUMPRODUCT(Mecze[[#This Row],[/PR:90]:[/BR:90]],Brudnopis!$E$25:$J$25),0)</f>
        <v>0.23958333333333331</v>
      </c>
      <c r="V3" s="44">
        <f>IF(Mecze[[#This Row],[Role]]&lt;&gt;"BR",SUMPRODUCT(Mecze[[#This Row],[/PR:90]:[/BR:90]],Brudnopis!$E$26:$J$26),0)</f>
        <v>0.20833333333333331</v>
      </c>
      <c r="W3" s="44">
        <f>IF(Mecze[[#This Row],[Role]]&lt;&gt;"BR",SUMPRODUCT(Mecze[[#This Row],[/PR:90]:[/BR:90]],Brudnopis!$E$27:$J$27),0)</f>
        <v>0.203125</v>
      </c>
      <c r="X3" s="44">
        <f>IF(Mecze[[#This Row],[Role]]&lt;&gt;"BR",SUMPRODUCT(Mecze[[#This Row],[/PR:90]:[/BR:90]],Brudnopis!$E$28:$J$28),0)</f>
        <v>6.25E-2</v>
      </c>
      <c r="Y3" s="35">
        <f>IF(Mecze[[#This Row],[Role]]="BR",Mecze[[#This Row],[/OB:90]]+Mecze[[#This Row],[/PC:90]],SUM(Mecze[[#This Row],[/PR:90]:[/BR:90]]))</f>
        <v>0.20833333333333331</v>
      </c>
      <c r="Z3" s="35">
        <f>IF(Mecze[[#This Row],[KC]]=0,SUM(Mecze[[#This Row],[/BRI]:[/NPI]]),SUM(Mecze[[#This Row],[/BRI]:[/NPI]])*0.6)</f>
        <v>0.92708333333333326</v>
      </c>
      <c r="AA3" s="10">
        <f>IFERROR(Mecze[[#This Row],[BR]]/Mecze[[#This Row],[ST]],0)</f>
        <v>0</v>
      </c>
      <c r="AB3">
        <f>ROUND(Mecze[[#This Row],[PD]]*Mecze[[#This Row],[%PC]],0)</f>
        <v>6</v>
      </c>
      <c r="AC3">
        <f>ROUND(Mecze[[#This Row],[OD]]*Mecze[[#This Row],[%OU]],0)</f>
        <v>1</v>
      </c>
      <c r="AD3" s="36" t="s">
        <v>47</v>
      </c>
      <c r="AE3" s="36">
        <v>1</v>
      </c>
      <c r="AF3" s="1">
        <v>6.65</v>
      </c>
      <c r="AG3" s="37">
        <v>0</v>
      </c>
      <c r="AH3" s="37">
        <v>0</v>
      </c>
      <c r="AI3" s="37">
        <v>96</v>
      </c>
      <c r="AJ3">
        <v>1</v>
      </c>
      <c r="AK3" s="36" t="str">
        <f>VLOOKUP(Mecze[[#This Row],[Match ID]],Meczusie[Mecz]:Meczusie[RodzajMeczu],2,FALSE)</f>
        <v>Towarzyski</v>
      </c>
    </row>
    <row r="4" spans="1:41" x14ac:dyDescent="0.25">
      <c r="A4" s="76">
        <v>3</v>
      </c>
      <c r="B4" s="3" t="s">
        <v>158</v>
      </c>
      <c r="C4" s="2" t="s">
        <v>157</v>
      </c>
      <c r="D4" s="1">
        <v>0</v>
      </c>
      <c r="E4" s="1">
        <v>0</v>
      </c>
      <c r="F4" s="1">
        <v>0</v>
      </c>
      <c r="G4" s="1">
        <v>2</v>
      </c>
      <c r="H4" s="4">
        <v>1</v>
      </c>
      <c r="I4" s="1">
        <v>0</v>
      </c>
      <c r="J4" s="4">
        <v>0</v>
      </c>
      <c r="K4" s="1">
        <v>0</v>
      </c>
      <c r="L4" s="1">
        <v>2</v>
      </c>
      <c r="M4" s="32">
        <f>IF(Mecze[[#This Row],[PR]]=0,0,Mecze[[#This Row],[PR]]/Mecze[[#This Row],[CZAS]])</f>
        <v>2.0833333333333332E-2</v>
      </c>
      <c r="N4" s="32">
        <f>IF(Mecze[[#This Row],[OU]]=0,0,Mecze[[#This Row],[OU]]/Mecze[[#This Row],[CZAS]])</f>
        <v>0</v>
      </c>
      <c r="O4" s="32">
        <f>IF(Mecze[[#This Row],[PC]]=0,0,Mecze[[#This Row],[PC]]/Mecze[[#This Row],[CZAS]])</f>
        <v>2.0833333333333332E-2</v>
      </c>
      <c r="P4" s="32">
        <f>IF(Mecze[[#This Row],[SC]]=0,0,Mecze[[#This Row],[SC]]/Mecze[[#This Row],[CZAS]])</f>
        <v>0</v>
      </c>
      <c r="Q4" s="32">
        <f>IF(Mecze[[#This Row],[OB]]=0,0,Mecze[[#This Row],[OB]]/Mecze[[#This Row],[CZAS]])</f>
        <v>0</v>
      </c>
      <c r="R4" s="32">
        <f>IF(Mecze[[#This Row],[BR]]=0,0,Mecze[[#This Row],[BR]]/Mecze[[#This Row],[CZAS]])</f>
        <v>0</v>
      </c>
      <c r="S4" s="44">
        <f>IF(Mecze[[#This Row],[Role]]="BR",SUMPRODUCT(Mecze[[#This Row],[/PR:90]:[/BR:90]],Brudnopis!$E$23:$J$23),0)</f>
        <v>0</v>
      </c>
      <c r="T4" s="44">
        <f>IF(Mecze[[#This Row],[Role]]&lt;&gt;"BR",SUMPRODUCT(Mecze[[#This Row],[/PR:90]:[/BR:90]],Brudnopis!$E$24:$J$24),0)</f>
        <v>4.1666666666666664E-2</v>
      </c>
      <c r="U4" s="44">
        <f>IF(Mecze[[#This Row],[Role]]&lt;&gt;"BR",SUMPRODUCT(Mecze[[#This Row],[/PR:90]:[/BR:90]],Brudnopis!$E$25:$J$25),0)</f>
        <v>5.2083333333333329E-2</v>
      </c>
      <c r="V4" s="44">
        <f>IF(Mecze[[#This Row],[Role]]&lt;&gt;"BR",SUMPRODUCT(Mecze[[#This Row],[/PR:90]:[/BR:90]],Brudnopis!$E$26:$J$26),0)</f>
        <v>4.1666666666666664E-2</v>
      </c>
      <c r="W4" s="44">
        <f>IF(Mecze[[#This Row],[Role]]&lt;&gt;"BR",SUMPRODUCT(Mecze[[#This Row],[/PR:90]:[/BR:90]],Brudnopis!$E$27:$J$27),0)</f>
        <v>4.6875E-2</v>
      </c>
      <c r="X4" s="44">
        <f>IF(Mecze[[#This Row],[Role]]&lt;&gt;"BR",SUMPRODUCT(Mecze[[#This Row],[/PR:90]:[/BR:90]],Brudnopis!$E$28:$J$28),0)</f>
        <v>2.0833333333333332E-2</v>
      </c>
      <c r="Y4" s="35">
        <f>IF(Mecze[[#This Row],[Role]]="BR",Mecze[[#This Row],[/OB:90]]+Mecze[[#This Row],[/PC:90]],SUM(Mecze[[#This Row],[/PR:90]:[/BR:90]]))</f>
        <v>4.1666666666666664E-2</v>
      </c>
      <c r="Z4" s="35">
        <f>IF(Mecze[[#This Row],[KC]]=0,SUM(Mecze[[#This Row],[/BRI]:[/NPI]]),SUM(Mecze[[#This Row],[/BRI]:[/NPI]])*0.6)</f>
        <v>0.203125</v>
      </c>
      <c r="AA4" s="10">
        <f>IFERROR(Mecze[[#This Row],[BR]]/Mecze[[#This Row],[ST]],0)</f>
        <v>0</v>
      </c>
      <c r="AB4">
        <f>ROUND(Mecze[[#This Row],[PD]]*Mecze[[#This Row],[%PC]],0)</f>
        <v>2</v>
      </c>
      <c r="AC4">
        <f>ROUND(Mecze[[#This Row],[OD]]*Mecze[[#This Row],[%OU]],0)</f>
        <v>0</v>
      </c>
      <c r="AD4" s="36" t="s">
        <v>174</v>
      </c>
      <c r="AE4" s="36">
        <v>1</v>
      </c>
      <c r="AF4" s="1">
        <v>4.34</v>
      </c>
      <c r="AG4" s="37">
        <v>0</v>
      </c>
      <c r="AH4" s="37">
        <v>0</v>
      </c>
      <c r="AI4" s="37">
        <v>96</v>
      </c>
      <c r="AJ4">
        <v>1</v>
      </c>
      <c r="AK4" s="36" t="str">
        <f>VLOOKUP(Mecze[[#This Row],[Match ID]],Meczusie[Mecz]:Meczusie[RodzajMeczu],2,FALSE)</f>
        <v>Towarzyski</v>
      </c>
    </row>
    <row r="5" spans="1:41" x14ac:dyDescent="0.25">
      <c r="A5" s="76">
        <v>2</v>
      </c>
      <c r="B5" s="3" t="s">
        <v>156</v>
      </c>
      <c r="C5" s="2" t="s">
        <v>157</v>
      </c>
      <c r="D5" s="1">
        <v>0</v>
      </c>
      <c r="E5" s="1">
        <v>0</v>
      </c>
      <c r="F5" s="1">
        <v>0</v>
      </c>
      <c r="G5" s="1">
        <v>9</v>
      </c>
      <c r="H5" s="4">
        <v>0.78</v>
      </c>
      <c r="I5" s="1">
        <v>2</v>
      </c>
      <c r="J5" s="4">
        <v>0.5</v>
      </c>
      <c r="K5" s="1">
        <v>0</v>
      </c>
      <c r="L5" s="1">
        <v>10</v>
      </c>
      <c r="M5" s="32">
        <f>IF(Mecze[[#This Row],[PR]]=0,0,Mecze[[#This Row],[PR]]/Mecze[[#This Row],[CZAS]])</f>
        <v>0.10416666666666667</v>
      </c>
      <c r="N5" s="32">
        <f>IF(Mecze[[#This Row],[OU]]=0,0,Mecze[[#This Row],[OU]]/Mecze[[#This Row],[CZAS]])</f>
        <v>1.0416666666666666E-2</v>
      </c>
      <c r="O5" s="32">
        <f>IF(Mecze[[#This Row],[PC]]=0,0,Mecze[[#This Row],[PC]]/Mecze[[#This Row],[CZAS]])</f>
        <v>7.2916666666666671E-2</v>
      </c>
      <c r="P5" s="32">
        <f>IF(Mecze[[#This Row],[SC]]=0,0,Mecze[[#This Row],[SC]]/Mecze[[#This Row],[CZAS]])</f>
        <v>0</v>
      </c>
      <c r="Q5" s="32">
        <f>IF(Mecze[[#This Row],[OB]]=0,0,Mecze[[#This Row],[OB]]/Mecze[[#This Row],[CZAS]])</f>
        <v>0</v>
      </c>
      <c r="R5" s="32">
        <f>IF(Mecze[[#This Row],[BR]]=0,0,Mecze[[#This Row],[BR]]/Mecze[[#This Row],[CZAS]])</f>
        <v>0</v>
      </c>
      <c r="S5" s="44">
        <f>IF(Mecze[[#This Row],[Role]]="BR",SUMPRODUCT(Mecze[[#This Row],[/PR:90]:[/BR:90]],Brudnopis!$E$23:$J$23),0)</f>
        <v>0</v>
      </c>
      <c r="T5" s="44">
        <f>IF(Mecze[[#This Row],[Role]]&lt;&gt;"BR",SUMPRODUCT(Mecze[[#This Row],[/PR:90]:[/BR:90]],Brudnopis!$E$24:$J$24),0)</f>
        <v>0.19270833333333334</v>
      </c>
      <c r="U5" s="44">
        <f>IF(Mecze[[#This Row],[Role]]&lt;&gt;"BR",SUMPRODUCT(Mecze[[#This Row],[/PR:90]:[/BR:90]],Brudnopis!$E$25:$J$25),0)</f>
        <v>0.22395833333333334</v>
      </c>
      <c r="V5" s="44">
        <f>IF(Mecze[[#This Row],[Role]]&lt;&gt;"BR",SUMPRODUCT(Mecze[[#This Row],[/PR:90]:[/BR:90]],Brudnopis!$E$26:$J$26),0)</f>
        <v>0.1875</v>
      </c>
      <c r="W5" s="44">
        <f>IF(Mecze[[#This Row],[Role]]&lt;&gt;"BR",SUMPRODUCT(Mecze[[#This Row],[/PR:90]:[/BR:90]],Brudnopis!$E$27:$J$27),0)</f>
        <v>0.1953125</v>
      </c>
      <c r="X5" s="44">
        <f>IF(Mecze[[#This Row],[Role]]&lt;&gt;"BR",SUMPRODUCT(Mecze[[#This Row],[/PR:90]:[/BR:90]],Brudnopis!$E$28:$J$28),0)</f>
        <v>7.2916666666666671E-2</v>
      </c>
      <c r="Y5" s="35">
        <f>IF(Mecze[[#This Row],[Role]]="BR",Mecze[[#This Row],[/OB:90]]+Mecze[[#This Row],[/PC:90]],SUM(Mecze[[#This Row],[/PR:90]:[/BR:90]]))</f>
        <v>0.1875</v>
      </c>
      <c r="Z5" s="35">
        <f>IF(Mecze[[#This Row],[KC]]=0,SUM(Mecze[[#This Row],[/BRI]:[/NPI]]),SUM(Mecze[[#This Row],[/BRI]:[/NPI]])*0.6)</f>
        <v>0.87239583333333337</v>
      </c>
      <c r="AA5" s="10">
        <f>IFERROR(Mecze[[#This Row],[BR]]/Mecze[[#This Row],[ST]],0)</f>
        <v>0</v>
      </c>
      <c r="AB5">
        <f>ROUND(Mecze[[#This Row],[PD]]*Mecze[[#This Row],[%PC]],0)</f>
        <v>7</v>
      </c>
      <c r="AC5">
        <f>ROUND(Mecze[[#This Row],[OD]]*Mecze[[#This Row],[%OU]],0)</f>
        <v>1</v>
      </c>
      <c r="AD5" s="36" t="s">
        <v>47</v>
      </c>
      <c r="AE5" s="36">
        <v>1</v>
      </c>
      <c r="AF5" s="1">
        <v>6.02</v>
      </c>
      <c r="AG5" s="37">
        <v>0</v>
      </c>
      <c r="AH5" s="37">
        <v>0</v>
      </c>
      <c r="AI5" s="37">
        <v>96</v>
      </c>
      <c r="AJ5">
        <v>1</v>
      </c>
      <c r="AK5" s="36" t="str">
        <f>VLOOKUP(Mecze[[#This Row],[Match ID]],Meczusie[Mecz]:Meczusie[RodzajMeczu],2,FALSE)</f>
        <v>Towarzyski</v>
      </c>
    </row>
    <row r="6" spans="1:41" x14ac:dyDescent="0.25">
      <c r="A6" s="76">
        <v>5</v>
      </c>
      <c r="B6" s="3" t="s">
        <v>161</v>
      </c>
      <c r="C6" s="2" t="s">
        <v>157</v>
      </c>
      <c r="D6" s="1">
        <v>0</v>
      </c>
      <c r="E6" s="1">
        <v>0</v>
      </c>
      <c r="F6" s="1">
        <v>0</v>
      </c>
      <c r="G6" s="1">
        <v>6</v>
      </c>
      <c r="H6" s="4">
        <v>0.67</v>
      </c>
      <c r="I6" s="1">
        <v>0</v>
      </c>
      <c r="J6" s="4">
        <v>0</v>
      </c>
      <c r="K6" s="1">
        <v>0</v>
      </c>
      <c r="L6" s="1">
        <v>4</v>
      </c>
      <c r="M6" s="32">
        <f>IF(Mecze[[#This Row],[PR]]=0,0,Mecze[[#This Row],[PR]]/Mecze[[#This Row],[CZAS]])</f>
        <v>4.1666666666666664E-2</v>
      </c>
      <c r="N6" s="32">
        <f>IF(Mecze[[#This Row],[OU]]=0,0,Mecze[[#This Row],[OU]]/Mecze[[#This Row],[CZAS]])</f>
        <v>0</v>
      </c>
      <c r="O6" s="32">
        <f>IF(Mecze[[#This Row],[PC]]=0,0,Mecze[[#This Row],[PC]]/Mecze[[#This Row],[CZAS]])</f>
        <v>4.1666666666666664E-2</v>
      </c>
      <c r="P6" s="32">
        <f>IF(Mecze[[#This Row],[SC]]=0,0,Mecze[[#This Row],[SC]]/Mecze[[#This Row],[CZAS]])</f>
        <v>0</v>
      </c>
      <c r="Q6" s="32">
        <f>IF(Mecze[[#This Row],[OB]]=0,0,Mecze[[#This Row],[OB]]/Mecze[[#This Row],[CZAS]])</f>
        <v>0</v>
      </c>
      <c r="R6" s="32">
        <f>IF(Mecze[[#This Row],[BR]]=0,0,Mecze[[#This Row],[BR]]/Mecze[[#This Row],[CZAS]])</f>
        <v>0</v>
      </c>
      <c r="S6" s="44">
        <f>IF(Mecze[[#This Row],[Role]]="BR",SUMPRODUCT(Mecze[[#This Row],[/PR:90]:[/BR:90]],Brudnopis!$E$23:$J$23),0)</f>
        <v>0</v>
      </c>
      <c r="T6" s="44">
        <f>IF(Mecze[[#This Row],[Role]]&lt;&gt;"BR",SUMPRODUCT(Mecze[[#This Row],[/PR:90]:[/BR:90]],Brudnopis!$E$24:$J$24),0)</f>
        <v>8.3333333333333329E-2</v>
      </c>
      <c r="U6" s="44">
        <f>IF(Mecze[[#This Row],[Role]]&lt;&gt;"BR",SUMPRODUCT(Mecze[[#This Row],[/PR:90]:[/BR:90]],Brudnopis!$E$25:$J$25),0)</f>
        <v>0.10416666666666666</v>
      </c>
      <c r="V6" s="44">
        <f>IF(Mecze[[#This Row],[Role]]&lt;&gt;"BR",SUMPRODUCT(Mecze[[#This Row],[/PR:90]:[/BR:90]],Brudnopis!$E$26:$J$26),0)</f>
        <v>8.3333333333333329E-2</v>
      </c>
      <c r="W6" s="44">
        <f>IF(Mecze[[#This Row],[Role]]&lt;&gt;"BR",SUMPRODUCT(Mecze[[#This Row],[/PR:90]:[/BR:90]],Brudnopis!$E$27:$J$27),0)</f>
        <v>9.375E-2</v>
      </c>
      <c r="X6" s="44">
        <f>IF(Mecze[[#This Row],[Role]]&lt;&gt;"BR",SUMPRODUCT(Mecze[[#This Row],[/PR:90]:[/BR:90]],Brudnopis!$E$28:$J$28),0)</f>
        <v>4.1666666666666664E-2</v>
      </c>
      <c r="Y6" s="35">
        <f>IF(Mecze[[#This Row],[Role]]="BR",Mecze[[#This Row],[/OB:90]]+Mecze[[#This Row],[/PC:90]],SUM(Mecze[[#This Row],[/PR:90]:[/BR:90]]))</f>
        <v>8.3333333333333329E-2</v>
      </c>
      <c r="Z6" s="35">
        <f>IF(Mecze[[#This Row],[KC]]=0,SUM(Mecze[[#This Row],[/BRI]:[/NPI]]),SUM(Mecze[[#This Row],[/BRI]:[/NPI]])*0.6)</f>
        <v>0.40625</v>
      </c>
      <c r="AA6" s="10">
        <f>IFERROR(Mecze[[#This Row],[BR]]/Mecze[[#This Row],[ST]],0)</f>
        <v>0</v>
      </c>
      <c r="AB6">
        <f>ROUND(Mecze[[#This Row],[PD]]*Mecze[[#This Row],[%PC]],0)</f>
        <v>4</v>
      </c>
      <c r="AC6">
        <f>ROUND(Mecze[[#This Row],[OD]]*Mecze[[#This Row],[%OU]],0)</f>
        <v>0</v>
      </c>
      <c r="AD6" s="36" t="s">
        <v>175</v>
      </c>
      <c r="AE6" s="36">
        <v>1</v>
      </c>
      <c r="AF6" s="1">
        <v>4.76</v>
      </c>
      <c r="AG6" s="37">
        <v>0</v>
      </c>
      <c r="AH6" s="37">
        <v>0</v>
      </c>
      <c r="AI6" s="37">
        <v>96</v>
      </c>
      <c r="AJ6">
        <v>1</v>
      </c>
      <c r="AK6" s="36" t="str">
        <f>VLOOKUP(Mecze[[#This Row],[Match ID]],Meczusie[Mecz]:Meczusie[RodzajMeczu],2,FALSE)</f>
        <v>Towarzyski</v>
      </c>
    </row>
    <row r="7" spans="1:41" x14ac:dyDescent="0.25">
      <c r="A7" s="76">
        <v>13</v>
      </c>
      <c r="B7" s="3" t="s">
        <v>162</v>
      </c>
      <c r="C7" s="2" t="s">
        <v>160</v>
      </c>
      <c r="D7" s="1">
        <v>1</v>
      </c>
      <c r="E7" s="1">
        <v>1</v>
      </c>
      <c r="F7" s="1">
        <v>1</v>
      </c>
      <c r="G7" s="1">
        <v>8</v>
      </c>
      <c r="H7" s="4">
        <v>0.75</v>
      </c>
      <c r="I7" s="1">
        <v>2</v>
      </c>
      <c r="J7" s="4">
        <v>0</v>
      </c>
      <c r="K7" s="1">
        <v>0</v>
      </c>
      <c r="L7" s="1">
        <v>2</v>
      </c>
      <c r="M7" s="32">
        <f>IF(Mecze[[#This Row],[PR]]=0,0,Mecze[[#This Row],[PR]]/Mecze[[#This Row],[CZAS]])</f>
        <v>2.0833333333333332E-2</v>
      </c>
      <c r="N7" s="32">
        <f>IF(Mecze[[#This Row],[OU]]=0,0,Mecze[[#This Row],[OU]]/Mecze[[#This Row],[CZAS]])</f>
        <v>0</v>
      </c>
      <c r="O7" s="32">
        <f>IF(Mecze[[#This Row],[PC]]=0,0,Mecze[[#This Row],[PC]]/Mecze[[#This Row],[CZAS]])</f>
        <v>6.25E-2</v>
      </c>
      <c r="P7" s="32">
        <f>IF(Mecze[[#This Row],[SC]]=0,0,Mecze[[#This Row],[SC]]/Mecze[[#This Row],[CZAS]])</f>
        <v>1.0416666666666666E-2</v>
      </c>
      <c r="Q7" s="32">
        <f>IF(Mecze[[#This Row],[OB]]=0,0,Mecze[[#This Row],[OB]]/Mecze[[#This Row],[CZAS]])</f>
        <v>0</v>
      </c>
      <c r="R7" s="32">
        <f>IF(Mecze[[#This Row],[BR]]=0,0,Mecze[[#This Row],[BR]]/Mecze[[#This Row],[CZAS]])</f>
        <v>1.0416666666666666E-2</v>
      </c>
      <c r="S7" s="44">
        <f>IF(Mecze[[#This Row],[Role]]="BR",SUMPRODUCT(Mecze[[#This Row],[/PR:90]:[/BR:90]],Brudnopis!$E$23:$J$23),0)</f>
        <v>0</v>
      </c>
      <c r="T7" s="44">
        <f>IF(Mecze[[#This Row],[Role]]&lt;&gt;"BR",SUMPRODUCT(Mecze[[#This Row],[/PR:90]:[/BR:90]],Brudnopis!$E$24:$J$24),0)</f>
        <v>0.109375</v>
      </c>
      <c r="U7" s="44">
        <f>IF(Mecze[[#This Row],[Role]]&lt;&gt;"BR",SUMPRODUCT(Mecze[[#This Row],[/PR:90]:[/BR:90]],Brudnopis!$E$25:$J$25),0)</f>
        <v>0.140625</v>
      </c>
      <c r="V7" s="44">
        <f>IF(Mecze[[#This Row],[Role]]&lt;&gt;"BR",SUMPRODUCT(Mecze[[#This Row],[/PR:90]:[/BR:90]],Brudnopis!$E$26:$J$26),0)</f>
        <v>0.11458333333333333</v>
      </c>
      <c r="W7" s="44">
        <f>IF(Mecze[[#This Row],[Role]]&lt;&gt;"BR",SUMPRODUCT(Mecze[[#This Row],[/PR:90]:[/BR:90]],Brudnopis!$E$27:$J$27),0)</f>
        <v>0.140625</v>
      </c>
      <c r="X7" s="44">
        <f>IF(Mecze[[#This Row],[Role]]&lt;&gt;"BR",SUMPRODUCT(Mecze[[#This Row],[/PR:90]:[/BR:90]],Brudnopis!$E$28:$J$28),0)</f>
        <v>0.11458333333333333</v>
      </c>
      <c r="Y7" s="35">
        <f>IF(Mecze[[#This Row],[Role]]="BR",Mecze[[#This Row],[/OB:90]]+Mecze[[#This Row],[/PC:90]],SUM(Mecze[[#This Row],[/PR:90]:[/BR:90]]))</f>
        <v>0.10416666666666667</v>
      </c>
      <c r="Z7" s="35">
        <f>IF(Mecze[[#This Row],[KC]]=0,SUM(Mecze[[#This Row],[/BRI]:[/NPI]]),SUM(Mecze[[#This Row],[/BRI]:[/NPI]])*0.6)</f>
        <v>0.61979166666666663</v>
      </c>
      <c r="AA7" s="10">
        <f>IFERROR(Mecze[[#This Row],[BR]]/Mecze[[#This Row],[ST]],0)</f>
        <v>1</v>
      </c>
      <c r="AB7">
        <f>ROUND(Mecze[[#This Row],[PD]]*Mecze[[#This Row],[%PC]],0)</f>
        <v>6</v>
      </c>
      <c r="AC7">
        <f>ROUND(Mecze[[#This Row],[OD]]*Mecze[[#This Row],[%OU]],0)</f>
        <v>0</v>
      </c>
      <c r="AD7" s="36" t="s">
        <v>172</v>
      </c>
      <c r="AE7" s="36">
        <v>1</v>
      </c>
      <c r="AF7" s="1">
        <v>7.89</v>
      </c>
      <c r="AG7" s="37">
        <v>0</v>
      </c>
      <c r="AH7" s="37">
        <v>0</v>
      </c>
      <c r="AI7" s="37">
        <v>96</v>
      </c>
      <c r="AJ7">
        <v>1</v>
      </c>
      <c r="AK7" s="36" t="str">
        <f>VLOOKUP(Mecze[[#This Row],[Match ID]],Meczusie[Mecz]:Meczusie[RodzajMeczu],2,FALSE)</f>
        <v>Towarzyski</v>
      </c>
    </row>
    <row r="8" spans="1:41" x14ac:dyDescent="0.25">
      <c r="A8" s="76">
        <v>6</v>
      </c>
      <c r="B8" s="3" t="s">
        <v>159</v>
      </c>
      <c r="C8" s="2" t="s">
        <v>160</v>
      </c>
      <c r="D8" s="1">
        <v>0</v>
      </c>
      <c r="E8" s="1">
        <v>0</v>
      </c>
      <c r="F8" s="1">
        <v>0</v>
      </c>
      <c r="G8" s="1">
        <v>8</v>
      </c>
      <c r="H8" s="4">
        <v>0.63</v>
      </c>
      <c r="I8" s="1">
        <v>2</v>
      </c>
      <c r="J8" s="4">
        <v>0.5</v>
      </c>
      <c r="K8" s="1">
        <v>0</v>
      </c>
      <c r="L8" s="1">
        <v>2</v>
      </c>
      <c r="M8" s="32">
        <f>IF(Mecze[[#This Row],[PR]]=0,0,Mecze[[#This Row],[PR]]/Mecze[[#This Row],[CZAS]])</f>
        <v>2.0833333333333332E-2</v>
      </c>
      <c r="N8" s="32">
        <f>IF(Mecze[[#This Row],[OU]]=0,0,Mecze[[#This Row],[OU]]/Mecze[[#This Row],[CZAS]])</f>
        <v>1.0416666666666666E-2</v>
      </c>
      <c r="O8" s="32">
        <f>IF(Mecze[[#This Row],[PC]]=0,0,Mecze[[#This Row],[PC]]/Mecze[[#This Row],[CZAS]])</f>
        <v>5.2083333333333336E-2</v>
      </c>
      <c r="P8" s="32">
        <f>IF(Mecze[[#This Row],[SC]]=0,0,Mecze[[#This Row],[SC]]/Mecze[[#This Row],[CZAS]])</f>
        <v>0</v>
      </c>
      <c r="Q8" s="32">
        <f>IF(Mecze[[#This Row],[OB]]=0,0,Mecze[[#This Row],[OB]]/Mecze[[#This Row],[CZAS]])</f>
        <v>0</v>
      </c>
      <c r="R8" s="32">
        <f>IF(Mecze[[#This Row],[BR]]=0,0,Mecze[[#This Row],[BR]]/Mecze[[#This Row],[CZAS]])</f>
        <v>0</v>
      </c>
      <c r="S8" s="44">
        <f>IF(Mecze[[#This Row],[Role]]="BR",SUMPRODUCT(Mecze[[#This Row],[/PR:90]:[/BR:90]],Brudnopis!$E$23:$J$23),0)</f>
        <v>0</v>
      </c>
      <c r="T8" s="44">
        <f>IF(Mecze[[#This Row],[Role]]&lt;&gt;"BR",SUMPRODUCT(Mecze[[#This Row],[/PR:90]:[/BR:90]],Brudnopis!$E$24:$J$24),0)</f>
        <v>8.8541666666666657E-2</v>
      </c>
      <c r="U8" s="44">
        <f>IF(Mecze[[#This Row],[Role]]&lt;&gt;"BR",SUMPRODUCT(Mecze[[#This Row],[/PR:90]:[/BR:90]],Brudnopis!$E$25:$J$25),0)</f>
        <v>0.109375</v>
      </c>
      <c r="V8" s="44">
        <f>IF(Mecze[[#This Row],[Role]]&lt;&gt;"BR",SUMPRODUCT(Mecze[[#This Row],[/PR:90]:[/BR:90]],Brudnopis!$E$26:$J$26),0)</f>
        <v>8.3333333333333343E-2</v>
      </c>
      <c r="W8" s="44">
        <f>IF(Mecze[[#This Row],[Role]]&lt;&gt;"BR",SUMPRODUCT(Mecze[[#This Row],[/PR:90]:[/BR:90]],Brudnopis!$E$27:$J$27),0)</f>
        <v>0.1015625</v>
      </c>
      <c r="X8" s="44">
        <f>IF(Mecze[[#This Row],[Role]]&lt;&gt;"BR",SUMPRODUCT(Mecze[[#This Row],[/PR:90]:[/BR:90]],Brudnopis!$E$28:$J$28),0)</f>
        <v>5.2083333333333336E-2</v>
      </c>
      <c r="Y8" s="35">
        <f>IF(Mecze[[#This Row],[Role]]="BR",Mecze[[#This Row],[/OB:90]]+Mecze[[#This Row],[/PC:90]],SUM(Mecze[[#This Row],[/PR:90]:[/BR:90]]))</f>
        <v>8.3333333333333343E-2</v>
      </c>
      <c r="Z8" s="35">
        <f>IF(Mecze[[#This Row],[KC]]=0,SUM(Mecze[[#This Row],[/BRI]:[/NPI]]),SUM(Mecze[[#This Row],[/BRI]:[/NPI]])*0.6)</f>
        <v>0.43489583333333331</v>
      </c>
      <c r="AA8" s="10">
        <f>IFERROR(Mecze[[#This Row],[BR]]/Mecze[[#This Row],[ST]],0)</f>
        <v>0</v>
      </c>
      <c r="AB8">
        <f>ROUND(Mecze[[#This Row],[PD]]*Mecze[[#This Row],[%PC]],0)</f>
        <v>5</v>
      </c>
      <c r="AC8">
        <f>ROUND(Mecze[[#This Row],[OD]]*Mecze[[#This Row],[%OU]],0)</f>
        <v>1</v>
      </c>
      <c r="AD8" s="36" t="s">
        <v>173</v>
      </c>
      <c r="AE8" s="36">
        <v>1</v>
      </c>
      <c r="AF8" s="1">
        <v>5.55</v>
      </c>
      <c r="AG8" s="37">
        <v>0</v>
      </c>
      <c r="AH8" s="37">
        <v>0</v>
      </c>
      <c r="AI8" s="37">
        <v>96</v>
      </c>
      <c r="AJ8">
        <v>1</v>
      </c>
      <c r="AK8" s="37" t="str">
        <f>VLOOKUP(Mecze[[#This Row],[Match ID]],Meczusie[Mecz]:Meczusie[RodzajMeczu],2,FALSE)</f>
        <v>Towarzyski</v>
      </c>
    </row>
    <row r="9" spans="1:41" x14ac:dyDescent="0.25">
      <c r="A9" s="76">
        <v>15</v>
      </c>
      <c r="B9" s="3" t="s">
        <v>170</v>
      </c>
      <c r="C9" s="2" t="s">
        <v>160</v>
      </c>
      <c r="D9" s="1">
        <v>1</v>
      </c>
      <c r="E9" s="1">
        <v>1</v>
      </c>
      <c r="F9" s="1">
        <v>1</v>
      </c>
      <c r="G9" s="1">
        <v>15</v>
      </c>
      <c r="H9" s="4">
        <v>0.73</v>
      </c>
      <c r="I9" s="1">
        <v>4</v>
      </c>
      <c r="J9" s="4">
        <v>0.5</v>
      </c>
      <c r="K9" s="1">
        <v>0</v>
      </c>
      <c r="L9" s="1">
        <v>9</v>
      </c>
      <c r="M9" s="32">
        <f>IF(Mecze[[#This Row],[PR]]=0,0,Mecze[[#This Row],[PR]]/Mecze[[#This Row],[CZAS]])</f>
        <v>9.375E-2</v>
      </c>
      <c r="N9" s="32">
        <f>IF(Mecze[[#This Row],[OU]]=0,0,Mecze[[#This Row],[OU]]/Mecze[[#This Row],[CZAS]])</f>
        <v>2.0833333333333332E-2</v>
      </c>
      <c r="O9" s="32">
        <f>IF(Mecze[[#This Row],[PC]]=0,0,Mecze[[#This Row],[PC]]/Mecze[[#This Row],[CZAS]])</f>
        <v>0.11458333333333333</v>
      </c>
      <c r="P9" s="32">
        <f>IF(Mecze[[#This Row],[SC]]=0,0,Mecze[[#This Row],[SC]]/Mecze[[#This Row],[CZAS]])</f>
        <v>1.0416666666666666E-2</v>
      </c>
      <c r="Q9" s="32">
        <f>IF(Mecze[[#This Row],[OB]]=0,0,Mecze[[#This Row],[OB]]/Mecze[[#This Row],[CZAS]])</f>
        <v>0</v>
      </c>
      <c r="R9" s="32">
        <f>IF(Mecze[[#This Row],[BR]]=0,0,Mecze[[#This Row],[BR]]/Mecze[[#This Row],[CZAS]])</f>
        <v>1.0416666666666666E-2</v>
      </c>
      <c r="S9" s="44">
        <f>IF(Mecze[[#This Row],[Role]]="BR",SUMPRODUCT(Mecze[[#This Row],[/PR:90]:[/BR:90]],Brudnopis!$E$23:$J$23),0)</f>
        <v>0</v>
      </c>
      <c r="T9" s="44">
        <f>IF(Mecze[[#This Row],[Role]]&lt;&gt;"BR",SUMPRODUCT(Mecze[[#This Row],[/PR:90]:[/BR:90]],Brudnopis!$E$24:$J$24),0)</f>
        <v>0.265625</v>
      </c>
      <c r="U9" s="44">
        <f>IF(Mecze[[#This Row],[Role]]&lt;&gt;"BR",SUMPRODUCT(Mecze[[#This Row],[/PR:90]:[/BR:90]],Brudnopis!$E$25:$J$25),0)</f>
        <v>0.3125</v>
      </c>
      <c r="V9" s="44">
        <f>IF(Mecze[[#This Row],[Role]]&lt;&gt;"BR",SUMPRODUCT(Mecze[[#This Row],[/PR:90]:[/BR:90]],Brudnopis!$E$26:$J$26),0)</f>
        <v>0.26041666666666663</v>
      </c>
      <c r="W9" s="44">
        <f>IF(Mecze[[#This Row],[Role]]&lt;&gt;"BR",SUMPRODUCT(Mecze[[#This Row],[/PR:90]:[/BR:90]],Brudnopis!$E$27:$J$27),0)</f>
        <v>0.2890625</v>
      </c>
      <c r="X9" s="44">
        <f>IF(Mecze[[#This Row],[Role]]&lt;&gt;"BR",SUMPRODUCT(Mecze[[#This Row],[/PR:90]:[/BR:90]],Brudnopis!$E$28:$J$28),0)</f>
        <v>0.16666666666666666</v>
      </c>
      <c r="Y9" s="35">
        <f>IF(Mecze[[#This Row],[Role]]="BR",Mecze[[#This Row],[/OB:90]]+Mecze[[#This Row],[/PC:90]],SUM(Mecze[[#This Row],[/PR:90]:[/BR:90]]))</f>
        <v>0.24999999999999997</v>
      </c>
      <c r="Z9" s="35">
        <f>IF(Mecze[[#This Row],[KC]]=0,SUM(Mecze[[#This Row],[/BRI]:[/NPI]]),SUM(Mecze[[#This Row],[/BRI]:[/NPI]])*0.6)</f>
        <v>1.2942708333333333</v>
      </c>
      <c r="AA9" s="10">
        <f>IFERROR(Mecze[[#This Row],[BR]]/Mecze[[#This Row],[ST]],0)</f>
        <v>1</v>
      </c>
      <c r="AB9">
        <f>ROUND(Mecze[[#This Row],[PD]]*Mecze[[#This Row],[%PC]],0)</f>
        <v>11</v>
      </c>
      <c r="AC9">
        <f>ROUND(Mecze[[#This Row],[OD]]*Mecze[[#This Row],[%OU]],0)</f>
        <v>2</v>
      </c>
      <c r="AD9" s="36" t="s">
        <v>41</v>
      </c>
      <c r="AE9" s="36">
        <v>1</v>
      </c>
      <c r="AF9" s="1">
        <v>9.36</v>
      </c>
      <c r="AG9" s="37">
        <v>0</v>
      </c>
      <c r="AH9" s="37">
        <v>0</v>
      </c>
      <c r="AI9" s="37">
        <v>96</v>
      </c>
      <c r="AJ9">
        <v>1</v>
      </c>
      <c r="AK9" s="37" t="str">
        <f>VLOOKUP(Mecze[[#This Row],[Match ID]],Meczusie[Mecz]:Meczusie[RodzajMeczu],2,FALSE)</f>
        <v>Towarzyski</v>
      </c>
    </row>
    <row r="10" spans="1:41" x14ac:dyDescent="0.25">
      <c r="A10" s="76">
        <v>14</v>
      </c>
      <c r="B10" s="3" t="s">
        <v>164</v>
      </c>
      <c r="C10" s="2" t="s">
        <v>165</v>
      </c>
      <c r="D10" s="1">
        <v>6</v>
      </c>
      <c r="E10" s="1">
        <v>7</v>
      </c>
      <c r="F10" s="1">
        <v>7</v>
      </c>
      <c r="G10" s="1">
        <v>5</v>
      </c>
      <c r="H10" s="4">
        <v>1</v>
      </c>
      <c r="I10" s="1">
        <v>2</v>
      </c>
      <c r="J10" s="4">
        <v>0.5</v>
      </c>
      <c r="K10" s="1">
        <v>0</v>
      </c>
      <c r="L10" s="1">
        <v>1</v>
      </c>
      <c r="M10" s="32">
        <f>IF(Mecze[[#This Row],[PR]]=0,0,Mecze[[#This Row],[PR]]/Mecze[[#This Row],[CZAS]])</f>
        <v>1.0416666666666666E-2</v>
      </c>
      <c r="N10" s="32">
        <f>IF(Mecze[[#This Row],[OU]]=0,0,Mecze[[#This Row],[OU]]/Mecze[[#This Row],[CZAS]])</f>
        <v>1.0416666666666666E-2</v>
      </c>
      <c r="O10" s="32">
        <f>IF(Mecze[[#This Row],[PC]]=0,0,Mecze[[#This Row],[PC]]/Mecze[[#This Row],[CZAS]])</f>
        <v>5.2083333333333336E-2</v>
      </c>
      <c r="P10" s="32">
        <f>IF(Mecze[[#This Row],[SC]]=0,0,Mecze[[#This Row],[SC]]/Mecze[[#This Row],[CZAS]])</f>
        <v>7.2916666666666671E-2</v>
      </c>
      <c r="Q10" s="32">
        <f>IF(Mecze[[#This Row],[OB]]=0,0,Mecze[[#This Row],[OB]]/Mecze[[#This Row],[CZAS]])</f>
        <v>0</v>
      </c>
      <c r="R10" s="32">
        <f>IF(Mecze[[#This Row],[BR]]=0,0,Mecze[[#This Row],[BR]]/Mecze[[#This Row],[CZAS]])</f>
        <v>6.25E-2</v>
      </c>
      <c r="S10" s="44">
        <f>IF(Mecze[[#This Row],[Role]]="BR",SUMPRODUCT(Mecze[[#This Row],[/PR:90]:[/BR:90]],Brudnopis!$E$23:$J$23),0)</f>
        <v>0</v>
      </c>
      <c r="T10" s="44">
        <f>IF(Mecze[[#This Row],[Role]]&lt;&gt;"BR",SUMPRODUCT(Mecze[[#This Row],[/PR:90]:[/BR:90]],Brudnopis!$E$24:$J$24),0)</f>
        <v>0.24479166666666669</v>
      </c>
      <c r="U10" s="44">
        <f>IF(Mecze[[#This Row],[Role]]&lt;&gt;"BR",SUMPRODUCT(Mecze[[#This Row],[/PR:90]:[/BR:90]],Brudnopis!$E$25:$J$25),0)</f>
        <v>0.265625</v>
      </c>
      <c r="V10" s="44">
        <f>IF(Mecze[[#This Row],[Role]]&lt;&gt;"BR",SUMPRODUCT(Mecze[[#This Row],[/PR:90]:[/BR:90]],Brudnopis!$E$26:$J$26),0)</f>
        <v>0.27083333333333337</v>
      </c>
      <c r="W10" s="44">
        <f>IF(Mecze[[#This Row],[Role]]&lt;&gt;"BR",SUMPRODUCT(Mecze[[#This Row],[/PR:90]:[/BR:90]],Brudnopis!$E$27:$J$27),0)</f>
        <v>0.29166666666666669</v>
      </c>
      <c r="X10" s="44">
        <f>IF(Mecze[[#This Row],[Role]]&lt;&gt;"BR",SUMPRODUCT(Mecze[[#This Row],[/PR:90]:[/BR:90]],Brudnopis!$E$28:$J$28),0)</f>
        <v>0.38541666666666669</v>
      </c>
      <c r="Y10" s="35">
        <f>IF(Mecze[[#This Row],[Role]]="BR",Mecze[[#This Row],[/OB:90]]+Mecze[[#This Row],[/PC:90]],SUM(Mecze[[#This Row],[/PR:90]:[/BR:90]]))</f>
        <v>0.20833333333333334</v>
      </c>
      <c r="Z10" s="35">
        <f>IF(Mecze[[#This Row],[KC]]=0,SUM(Mecze[[#This Row],[/BRI]:[/NPI]]),SUM(Mecze[[#This Row],[/BRI]:[/NPI]])*0.6)</f>
        <v>1.4583333333333335</v>
      </c>
      <c r="AA10" s="10">
        <f>IFERROR(Mecze[[#This Row],[BR]]/Mecze[[#This Row],[ST]],0)</f>
        <v>0.8571428571428571</v>
      </c>
      <c r="AB10">
        <f>ROUND(Mecze[[#This Row],[PD]]*Mecze[[#This Row],[%PC]],0)</f>
        <v>5</v>
      </c>
      <c r="AC10">
        <f>ROUND(Mecze[[#This Row],[OD]]*Mecze[[#This Row],[%OU]],0)</f>
        <v>1</v>
      </c>
      <c r="AD10" s="36" t="s">
        <v>46</v>
      </c>
      <c r="AE10" s="36">
        <v>1</v>
      </c>
      <c r="AF10" s="1">
        <v>22.41</v>
      </c>
      <c r="AG10" s="37">
        <v>0</v>
      </c>
      <c r="AH10" s="37">
        <v>0</v>
      </c>
      <c r="AI10" s="37">
        <v>96</v>
      </c>
      <c r="AJ10">
        <v>1</v>
      </c>
      <c r="AK10" s="37" t="str">
        <f>VLOOKUP(Mecze[[#This Row],[Match ID]],Meczusie[Mecz]:Meczusie[RodzajMeczu],2,FALSE)</f>
        <v>Towarzyski</v>
      </c>
    </row>
    <row r="11" spans="1:41" x14ac:dyDescent="0.25">
      <c r="A11" s="76">
        <v>19</v>
      </c>
      <c r="B11" s="3" t="s">
        <v>166</v>
      </c>
      <c r="C11" s="2" t="s">
        <v>165</v>
      </c>
      <c r="D11" s="1">
        <v>3</v>
      </c>
      <c r="E11" s="1">
        <v>8</v>
      </c>
      <c r="F11" s="1">
        <v>5</v>
      </c>
      <c r="G11" s="1">
        <v>8</v>
      </c>
      <c r="H11" s="4">
        <v>1</v>
      </c>
      <c r="I11" s="1">
        <v>1</v>
      </c>
      <c r="J11" s="4">
        <v>1</v>
      </c>
      <c r="K11" s="1">
        <v>0</v>
      </c>
      <c r="L11" s="1">
        <v>3</v>
      </c>
      <c r="M11" s="32">
        <f>IF(Mecze[[#This Row],[PR]]=0,0,Mecze[[#This Row],[PR]]/Mecze[[#This Row],[CZAS]])</f>
        <v>3.125E-2</v>
      </c>
      <c r="N11" s="32">
        <f>IF(Mecze[[#This Row],[OU]]=0,0,Mecze[[#This Row],[OU]]/Mecze[[#This Row],[CZAS]])</f>
        <v>1.0416666666666666E-2</v>
      </c>
      <c r="O11" s="32">
        <f>IF(Mecze[[#This Row],[PC]]=0,0,Mecze[[#This Row],[PC]]/Mecze[[#This Row],[CZAS]])</f>
        <v>8.3333333333333329E-2</v>
      </c>
      <c r="P11" s="32">
        <f>IF(Mecze[[#This Row],[SC]]=0,0,Mecze[[#This Row],[SC]]/Mecze[[#This Row],[CZAS]])</f>
        <v>5.2083333333333336E-2</v>
      </c>
      <c r="Q11" s="32">
        <f>IF(Mecze[[#This Row],[OB]]=0,0,Mecze[[#This Row],[OB]]/Mecze[[#This Row],[CZAS]])</f>
        <v>0</v>
      </c>
      <c r="R11" s="32">
        <f>IF(Mecze[[#This Row],[BR]]=0,0,Mecze[[#This Row],[BR]]/Mecze[[#This Row],[CZAS]])</f>
        <v>3.125E-2</v>
      </c>
      <c r="S11" s="44">
        <f>IF(Mecze[[#This Row],[Role]]="BR",SUMPRODUCT(Mecze[[#This Row],[/PR:90]:[/BR:90]],Brudnopis!$E$23:$J$23),0)</f>
        <v>0</v>
      </c>
      <c r="T11" s="44">
        <f>IF(Mecze[[#This Row],[Role]]&lt;&gt;"BR",SUMPRODUCT(Mecze[[#This Row],[/PR:90]:[/BR:90]],Brudnopis!$E$24:$J$24),0)</f>
        <v>0.22916666666666666</v>
      </c>
      <c r="U11" s="44">
        <f>IF(Mecze[[#This Row],[Role]]&lt;&gt;"BR",SUMPRODUCT(Mecze[[#This Row],[/PR:90]:[/BR:90]],Brudnopis!$E$25:$J$25),0)</f>
        <v>0.265625</v>
      </c>
      <c r="V11" s="44">
        <f>IF(Mecze[[#This Row],[Role]]&lt;&gt;"BR",SUMPRODUCT(Mecze[[#This Row],[/PR:90]:[/BR:90]],Brudnopis!$E$26:$J$26),0)</f>
        <v>0.23958333333333334</v>
      </c>
      <c r="W11" s="44">
        <f>IF(Mecze[[#This Row],[Role]]&lt;&gt;"BR",SUMPRODUCT(Mecze[[#This Row],[/PR:90]:[/BR:90]],Brudnopis!$E$27:$J$27),0)</f>
        <v>0.27083333333333337</v>
      </c>
      <c r="X11" s="44">
        <f>IF(Mecze[[#This Row],[Role]]&lt;&gt;"BR",SUMPRODUCT(Mecze[[#This Row],[/PR:90]:[/BR:90]],Brudnopis!$E$28:$J$28),0)</f>
        <v>0.28125</v>
      </c>
      <c r="Y11" s="35">
        <f>IF(Mecze[[#This Row],[Role]]="BR",Mecze[[#This Row],[/OB:90]]+Mecze[[#This Row],[/PC:90]],SUM(Mecze[[#This Row],[/PR:90]:[/BR:90]]))</f>
        <v>0.20833333333333334</v>
      </c>
      <c r="Z11" s="35">
        <f>IF(Mecze[[#This Row],[KC]]=0,SUM(Mecze[[#This Row],[/BRI]:[/NPI]]),SUM(Mecze[[#This Row],[/BRI]:[/NPI]])*0.6)</f>
        <v>1.2864583333333335</v>
      </c>
      <c r="AA11" s="10">
        <f>IFERROR(Mecze[[#This Row],[BR]]/Mecze[[#This Row],[ST]],0)</f>
        <v>0.375</v>
      </c>
      <c r="AB11">
        <f>ROUND(Mecze[[#This Row],[PD]]*Mecze[[#This Row],[%PC]],0)</f>
        <v>8</v>
      </c>
      <c r="AC11">
        <f>ROUND(Mecze[[#This Row],[OD]]*Mecze[[#This Row],[%OU]],0)</f>
        <v>1</v>
      </c>
      <c r="AD11" s="36" t="s">
        <v>46</v>
      </c>
      <c r="AE11" s="36">
        <v>1</v>
      </c>
      <c r="AF11" s="1">
        <v>15.07</v>
      </c>
      <c r="AG11" s="37">
        <v>0</v>
      </c>
      <c r="AH11" s="37">
        <v>0</v>
      </c>
      <c r="AI11" s="37">
        <v>96</v>
      </c>
      <c r="AJ11">
        <v>1</v>
      </c>
      <c r="AK11" s="37" t="str">
        <f>VLOOKUP(Mecze[[#This Row],[Match ID]],Meczusie[Mecz]:Meczusie[RodzajMeczu],2,FALSE)</f>
        <v>Towarzyski</v>
      </c>
    </row>
    <row r="12" spans="1:41" x14ac:dyDescent="0.25">
      <c r="A12" s="76">
        <v>11</v>
      </c>
      <c r="B12" s="3" t="s">
        <v>163</v>
      </c>
      <c r="C12" s="2" t="s">
        <v>165</v>
      </c>
      <c r="D12" s="1">
        <v>3</v>
      </c>
      <c r="E12" s="1">
        <v>12</v>
      </c>
      <c r="F12" s="1">
        <v>11</v>
      </c>
      <c r="G12" s="1">
        <v>7</v>
      </c>
      <c r="H12" s="4">
        <v>0.86</v>
      </c>
      <c r="I12" s="1">
        <v>1</v>
      </c>
      <c r="J12" s="4">
        <v>0</v>
      </c>
      <c r="K12" s="1">
        <v>0</v>
      </c>
      <c r="L12" s="1">
        <v>1</v>
      </c>
      <c r="M12" s="32">
        <f>IF(Mecze[[#This Row],[PR]]=0,0,Mecze[[#This Row],[PR]]/Mecze[[#This Row],[CZAS]])</f>
        <v>1.0416666666666666E-2</v>
      </c>
      <c r="N12" s="32">
        <f>IF(Mecze[[#This Row],[OU]]=0,0,Mecze[[#This Row],[OU]]/Mecze[[#This Row],[CZAS]])</f>
        <v>0</v>
      </c>
      <c r="O12" s="32">
        <f>IF(Mecze[[#This Row],[PC]]=0,0,Mecze[[#This Row],[PC]]/Mecze[[#This Row],[CZAS]])</f>
        <v>6.25E-2</v>
      </c>
      <c r="P12" s="32">
        <f>IF(Mecze[[#This Row],[SC]]=0,0,Mecze[[#This Row],[SC]]/Mecze[[#This Row],[CZAS]])</f>
        <v>0.11458333333333333</v>
      </c>
      <c r="Q12" s="32">
        <f>IF(Mecze[[#This Row],[OB]]=0,0,Mecze[[#This Row],[OB]]/Mecze[[#This Row],[CZAS]])</f>
        <v>0</v>
      </c>
      <c r="R12" s="32">
        <f>IF(Mecze[[#This Row],[BR]]=0,0,Mecze[[#This Row],[BR]]/Mecze[[#This Row],[CZAS]])</f>
        <v>3.125E-2</v>
      </c>
      <c r="S12" s="44">
        <f>IF(Mecze[[#This Row],[Role]]="BR",SUMPRODUCT(Mecze[[#This Row],[/PR:90]:[/BR:90]],Brudnopis!$E$23:$J$23),0)</f>
        <v>0</v>
      </c>
      <c r="T12" s="44">
        <f>IF(Mecze[[#This Row],[Role]]&lt;&gt;"BR",SUMPRODUCT(Mecze[[#This Row],[/PR:90]:[/BR:90]],Brudnopis!$E$24:$J$24),0)</f>
        <v>0.234375</v>
      </c>
      <c r="U12" s="44">
        <f>IF(Mecze[[#This Row],[Role]]&lt;&gt;"BR",SUMPRODUCT(Mecze[[#This Row],[/PR:90]:[/BR:90]],Brudnopis!$E$25:$J$25),0)</f>
        <v>0.265625</v>
      </c>
      <c r="V12" s="44">
        <f>IF(Mecze[[#This Row],[Role]]&lt;&gt;"BR",SUMPRODUCT(Mecze[[#This Row],[/PR:90]:[/BR:90]],Brudnopis!$E$26:$J$26),0)</f>
        <v>0.25</v>
      </c>
      <c r="W12" s="44">
        <f>IF(Mecze[[#This Row],[Role]]&lt;&gt;"BR",SUMPRODUCT(Mecze[[#This Row],[/PR:90]:[/BR:90]],Brudnopis!$E$27:$J$27),0)</f>
        <v>0.27864583333333331</v>
      </c>
      <c r="X12" s="44">
        <f>IF(Mecze[[#This Row],[Role]]&lt;&gt;"BR",SUMPRODUCT(Mecze[[#This Row],[/PR:90]:[/BR:90]],Brudnopis!$E$28:$J$28),0)</f>
        <v>0.38541666666666663</v>
      </c>
      <c r="Y12" s="35">
        <f>IF(Mecze[[#This Row],[Role]]="BR",Mecze[[#This Row],[/OB:90]]+Mecze[[#This Row],[/PC:90]],SUM(Mecze[[#This Row],[/PR:90]:[/BR:90]]))</f>
        <v>0.21875</v>
      </c>
      <c r="Z12" s="35">
        <f>IF(Mecze[[#This Row],[KC]]=0,SUM(Mecze[[#This Row],[/BRI]:[/NPI]]),SUM(Mecze[[#This Row],[/BRI]:[/NPI]])*0.6)</f>
        <v>1.4140625</v>
      </c>
      <c r="AA12" s="10">
        <f>IFERROR(Mecze[[#This Row],[BR]]/Mecze[[#This Row],[ST]],0)</f>
        <v>0.25</v>
      </c>
      <c r="AB12">
        <f>ROUND(Mecze[[#This Row],[PD]]*Mecze[[#This Row],[%PC]],0)</f>
        <v>6</v>
      </c>
      <c r="AC12">
        <f>ROUND(Mecze[[#This Row],[OD]]*Mecze[[#This Row],[%OU]],0)</f>
        <v>0</v>
      </c>
      <c r="AD12" s="36" t="s">
        <v>46</v>
      </c>
      <c r="AE12" s="36">
        <v>1</v>
      </c>
      <c r="AF12" s="1">
        <v>15.5</v>
      </c>
      <c r="AG12" s="37">
        <v>0</v>
      </c>
      <c r="AH12" s="37">
        <v>0</v>
      </c>
      <c r="AI12" s="37">
        <v>96</v>
      </c>
      <c r="AJ12">
        <v>1</v>
      </c>
      <c r="AK12" s="37" t="str">
        <f>VLOOKUP(Mecze[[#This Row],[Match ID]],Meczusie[Mecz]:Meczusie[RodzajMeczu],2,FALSE)</f>
        <v>Towarzyski</v>
      </c>
    </row>
    <row r="13" spans="1:41" x14ac:dyDescent="0.25">
      <c r="A13" s="76">
        <v>1</v>
      </c>
      <c r="B13" s="3" t="s">
        <v>169</v>
      </c>
      <c r="C13" s="2" t="s">
        <v>155</v>
      </c>
      <c r="D13" s="1">
        <v>0</v>
      </c>
      <c r="E13" s="1">
        <v>0</v>
      </c>
      <c r="F13" s="1">
        <v>0</v>
      </c>
      <c r="G13" s="1">
        <v>2</v>
      </c>
      <c r="H13" s="4">
        <v>1</v>
      </c>
      <c r="I13" s="1">
        <v>0</v>
      </c>
      <c r="J13" s="4">
        <v>0</v>
      </c>
      <c r="K13" s="1">
        <v>2</v>
      </c>
      <c r="L13" s="1">
        <v>0</v>
      </c>
      <c r="M13" s="32">
        <f>IF(Mecze[[#This Row],[PR]]=0,0,Mecze[[#This Row],[PR]]/Mecze[[#This Row],[CZAS]])</f>
        <v>0</v>
      </c>
      <c r="N13" s="32">
        <f>IF(Mecze[[#This Row],[OU]]=0,0,Mecze[[#This Row],[OU]]/Mecze[[#This Row],[CZAS]])</f>
        <v>0</v>
      </c>
      <c r="O13" s="32">
        <f>IF(Mecze[[#This Row],[PC]]=0,0,Mecze[[#This Row],[PC]]/Mecze[[#This Row],[CZAS]])</f>
        <v>2.0833333333333332E-2</v>
      </c>
      <c r="P13" s="32">
        <f>IF(Mecze[[#This Row],[SC]]=0,0,Mecze[[#This Row],[SC]]/Mecze[[#This Row],[CZAS]])</f>
        <v>0</v>
      </c>
      <c r="Q13" s="32">
        <f>IF(Mecze[[#This Row],[OB]]=0,0,Mecze[[#This Row],[OB]]/Mecze[[#This Row],[CZAS]])</f>
        <v>2.0833333333333332E-2</v>
      </c>
      <c r="R13" s="32">
        <f>IF(Mecze[[#This Row],[BR]]=0,0,Mecze[[#This Row],[BR]]/Mecze[[#This Row],[CZAS]])</f>
        <v>0</v>
      </c>
      <c r="S13" s="44">
        <f>IF(Mecze[[#This Row],[Role]]="BR",SUMPRODUCT(Mecze[[#This Row],[/PR:90]:[/BR:90]],Brudnopis!$E$23:$J$23),0)</f>
        <v>0.125</v>
      </c>
      <c r="T13" s="44">
        <f>IF(Mecze[[#This Row],[Role]]&lt;&gt;"BR",SUMPRODUCT(Mecze[[#This Row],[/PR:90]:[/BR:90]],Brudnopis!$E$24:$J$24),0)</f>
        <v>0</v>
      </c>
      <c r="U13" s="44">
        <f>IF(Mecze[[#This Row],[Role]]&lt;&gt;"BR",SUMPRODUCT(Mecze[[#This Row],[/PR:90]:[/BR:90]],Brudnopis!$E$25:$J$25),0)</f>
        <v>0</v>
      </c>
      <c r="V13" s="44">
        <f>IF(Mecze[[#This Row],[Role]]&lt;&gt;"BR",SUMPRODUCT(Mecze[[#This Row],[/PR:90]:[/BR:90]],Brudnopis!$E$26:$J$26),0)</f>
        <v>0</v>
      </c>
      <c r="W13" s="44">
        <f>IF(Mecze[[#This Row],[Role]]&lt;&gt;"BR",SUMPRODUCT(Mecze[[#This Row],[/PR:90]:[/BR:90]],Brudnopis!$E$27:$J$27),0)</f>
        <v>0</v>
      </c>
      <c r="X13" s="44">
        <f>IF(Mecze[[#This Row],[Role]]&lt;&gt;"BR",SUMPRODUCT(Mecze[[#This Row],[/PR:90]:[/BR:90]],Brudnopis!$E$28:$J$28),0)</f>
        <v>0</v>
      </c>
      <c r="Y13" s="35">
        <f>IF(Mecze[[#This Row],[Role]]="BR",Mecze[[#This Row],[/OB:90]]+Mecze[[#This Row],[/PC:90]],SUM(Mecze[[#This Row],[/PR:90]:[/BR:90]]))</f>
        <v>4.1666666666666664E-2</v>
      </c>
      <c r="Z13" s="35">
        <f>IF(Mecze[[#This Row],[KC]]=0,SUM(Mecze[[#This Row],[/BRI]:[/NPI]]),SUM(Mecze[[#This Row],[/BRI]:[/NPI]])*0.6)</f>
        <v>0.125</v>
      </c>
      <c r="AA13" s="10">
        <f>IFERROR(Mecze[[#This Row],[BR]]/Mecze[[#This Row],[ST]],0)</f>
        <v>0</v>
      </c>
      <c r="AB13">
        <f>ROUND(Mecze[[#This Row],[PD]]*Mecze[[#This Row],[%PC]],0)</f>
        <v>2</v>
      </c>
      <c r="AC13">
        <f>ROUND(Mecze[[#This Row],[OD]]*Mecze[[#This Row],[%OU]],0)</f>
        <v>0</v>
      </c>
      <c r="AD13" s="36" t="s">
        <v>40</v>
      </c>
      <c r="AE13" s="36">
        <v>2</v>
      </c>
      <c r="AF13" s="71">
        <v>7.74</v>
      </c>
      <c r="AG13" s="37">
        <v>0</v>
      </c>
      <c r="AH13" s="37">
        <v>0</v>
      </c>
      <c r="AI13" s="37">
        <v>96</v>
      </c>
      <c r="AJ13">
        <v>1</v>
      </c>
      <c r="AK13" s="37" t="str">
        <f>VLOOKUP(Mecze[[#This Row],[Match ID]],Meczusie[Mecz]:Meczusie[RodzajMeczu],2,FALSE)</f>
        <v>Towarzyski</v>
      </c>
    </row>
    <row r="14" spans="1:41" x14ac:dyDescent="0.25">
      <c r="A14" s="76">
        <v>2</v>
      </c>
      <c r="B14" s="3" t="s">
        <v>156</v>
      </c>
      <c r="C14" s="2" t="s">
        <v>157</v>
      </c>
      <c r="D14" s="1">
        <v>0</v>
      </c>
      <c r="E14" s="1">
        <v>0</v>
      </c>
      <c r="F14" s="1">
        <v>0</v>
      </c>
      <c r="G14" s="1">
        <v>6</v>
      </c>
      <c r="H14" s="4">
        <v>0.67</v>
      </c>
      <c r="I14" s="1">
        <v>0</v>
      </c>
      <c r="J14" s="4">
        <v>0</v>
      </c>
      <c r="K14" s="1">
        <v>0</v>
      </c>
      <c r="L14" s="1">
        <v>9</v>
      </c>
      <c r="M14" s="32">
        <f>IF(Mecze[[#This Row],[PR]]=0,0,Mecze[[#This Row],[PR]]/Mecze[[#This Row],[CZAS]])</f>
        <v>9.375E-2</v>
      </c>
      <c r="N14" s="32">
        <f>IF(Mecze[[#This Row],[OU]]=0,0,Mecze[[#This Row],[OU]]/Mecze[[#This Row],[CZAS]])</f>
        <v>0</v>
      </c>
      <c r="O14" s="32">
        <f>IF(Mecze[[#This Row],[PC]]=0,0,Mecze[[#This Row],[PC]]/Mecze[[#This Row],[CZAS]])</f>
        <v>4.1666666666666664E-2</v>
      </c>
      <c r="P14" s="32">
        <f>IF(Mecze[[#This Row],[SC]]=0,0,Mecze[[#This Row],[SC]]/Mecze[[#This Row],[CZAS]])</f>
        <v>0</v>
      </c>
      <c r="Q14" s="32">
        <f>IF(Mecze[[#This Row],[OB]]=0,0,Mecze[[#This Row],[OB]]/Mecze[[#This Row],[CZAS]])</f>
        <v>0</v>
      </c>
      <c r="R14" s="32">
        <f>IF(Mecze[[#This Row],[BR]]=0,0,Mecze[[#This Row],[BR]]/Mecze[[#This Row],[CZAS]])</f>
        <v>0</v>
      </c>
      <c r="S14" s="44">
        <f>IF(Mecze[[#This Row],[Role]]="BR",SUMPRODUCT(Mecze[[#This Row],[/PR:90]:[/BR:90]],Brudnopis!$E$23:$J$23),0)</f>
        <v>0</v>
      </c>
      <c r="T14" s="44">
        <f>IF(Mecze[[#This Row],[Role]]&lt;&gt;"BR",SUMPRODUCT(Mecze[[#This Row],[/PR:90]:[/BR:90]],Brudnopis!$E$24:$J$24),0)</f>
        <v>0.13541666666666666</v>
      </c>
      <c r="U14" s="44">
        <f>IF(Mecze[[#This Row],[Role]]&lt;&gt;"BR",SUMPRODUCT(Mecze[[#This Row],[/PR:90]:[/BR:90]],Brudnopis!$E$25:$J$25),0)</f>
        <v>0.15625</v>
      </c>
      <c r="V14" s="44">
        <f>IF(Mecze[[#This Row],[Role]]&lt;&gt;"BR",SUMPRODUCT(Mecze[[#This Row],[/PR:90]:[/BR:90]],Brudnopis!$E$26:$J$26),0)</f>
        <v>0.13541666666666666</v>
      </c>
      <c r="W14" s="44">
        <f>IF(Mecze[[#This Row],[Role]]&lt;&gt;"BR",SUMPRODUCT(Mecze[[#This Row],[/PR:90]:[/BR:90]],Brudnopis!$E$27:$J$27),0)</f>
        <v>0.1328125</v>
      </c>
      <c r="X14" s="44">
        <f>IF(Mecze[[#This Row],[Role]]&lt;&gt;"BR",SUMPRODUCT(Mecze[[#This Row],[/PR:90]:[/BR:90]],Brudnopis!$E$28:$J$28),0)</f>
        <v>4.1666666666666664E-2</v>
      </c>
      <c r="Y14" s="35">
        <f>IF(Mecze[[#This Row],[Role]]="BR",Mecze[[#This Row],[/OB:90]]+Mecze[[#This Row],[/PC:90]],SUM(Mecze[[#This Row],[/PR:90]:[/BR:90]]))</f>
        <v>0.13541666666666666</v>
      </c>
      <c r="Z14" s="35">
        <f>IF(Mecze[[#This Row],[KC]]=0,SUM(Mecze[[#This Row],[/BRI]:[/NPI]]),SUM(Mecze[[#This Row],[/BRI]:[/NPI]])*0.6)</f>
        <v>0.60156249999999989</v>
      </c>
      <c r="AA14" s="10">
        <f>IFERROR(Mecze[[#This Row],[BR]]/Mecze[[#This Row],[ST]],0)</f>
        <v>0</v>
      </c>
      <c r="AB14">
        <f>ROUND(Mecze[[#This Row],[PD]]*Mecze[[#This Row],[%PC]],0)</f>
        <v>4</v>
      </c>
      <c r="AC14">
        <f>ROUND(Mecze[[#This Row],[OD]]*Mecze[[#This Row],[%OU]],0)</f>
        <v>0</v>
      </c>
      <c r="AD14" s="36" t="s">
        <v>47</v>
      </c>
      <c r="AE14" s="36">
        <v>2</v>
      </c>
      <c r="AF14" s="71">
        <v>8.93</v>
      </c>
      <c r="AG14" s="37">
        <v>0</v>
      </c>
      <c r="AH14" s="37">
        <v>0</v>
      </c>
      <c r="AI14" s="37">
        <v>96</v>
      </c>
      <c r="AJ14">
        <v>1</v>
      </c>
      <c r="AK14" s="37" t="str">
        <f>VLOOKUP(Mecze[[#This Row],[Match ID]],Meczusie[Mecz]:Meczusie[RodzajMeczu],2,FALSE)</f>
        <v>Towarzyski</v>
      </c>
    </row>
    <row r="15" spans="1:41" x14ac:dyDescent="0.25">
      <c r="A15" s="76">
        <v>18</v>
      </c>
      <c r="B15" s="3" t="s">
        <v>211</v>
      </c>
      <c r="C15" s="2" t="s">
        <v>157</v>
      </c>
      <c r="D15" s="1">
        <v>0</v>
      </c>
      <c r="E15" s="1">
        <v>0</v>
      </c>
      <c r="F15" s="1">
        <v>0</v>
      </c>
      <c r="G15" s="1">
        <v>2</v>
      </c>
      <c r="H15" s="4">
        <v>0.5</v>
      </c>
      <c r="I15" s="1">
        <v>3</v>
      </c>
      <c r="J15" s="4">
        <v>0</v>
      </c>
      <c r="K15" s="1">
        <v>0</v>
      </c>
      <c r="L15" s="1">
        <v>6</v>
      </c>
      <c r="M15" s="32">
        <f>IF(Mecze[[#This Row],[PR]]=0,0,Mecze[[#This Row],[PR]]/Mecze[[#This Row],[CZAS]])</f>
        <v>6.25E-2</v>
      </c>
      <c r="N15" s="32">
        <f>IF(Mecze[[#This Row],[OU]]=0,0,Mecze[[#This Row],[OU]]/Mecze[[#This Row],[CZAS]])</f>
        <v>0</v>
      </c>
      <c r="O15" s="32">
        <f>IF(Mecze[[#This Row],[PC]]=0,0,Mecze[[#This Row],[PC]]/Mecze[[#This Row],[CZAS]])</f>
        <v>1.0416666666666666E-2</v>
      </c>
      <c r="P15" s="32">
        <f>IF(Mecze[[#This Row],[SC]]=0,0,Mecze[[#This Row],[SC]]/Mecze[[#This Row],[CZAS]])</f>
        <v>0</v>
      </c>
      <c r="Q15" s="32">
        <f>IF(Mecze[[#This Row],[OB]]=0,0,Mecze[[#This Row],[OB]]/Mecze[[#This Row],[CZAS]])</f>
        <v>0</v>
      </c>
      <c r="R15" s="32">
        <f>IF(Mecze[[#This Row],[BR]]=0,0,Mecze[[#This Row],[BR]]/Mecze[[#This Row],[CZAS]])</f>
        <v>0</v>
      </c>
      <c r="S15" s="44">
        <f>IF(Mecze[[#This Row],[Role]]="BR",SUMPRODUCT(Mecze[[#This Row],[/PR:90]:[/BR:90]],Brudnopis!$E$23:$J$23),0)</f>
        <v>0</v>
      </c>
      <c r="T15" s="44">
        <f>IF(Mecze[[#This Row],[Role]]&lt;&gt;"BR",SUMPRODUCT(Mecze[[#This Row],[/PR:90]:[/BR:90]],Brudnopis!$E$24:$J$24),0)</f>
        <v>7.2916666666666671E-2</v>
      </c>
      <c r="U15" s="44">
        <f>IF(Mecze[[#This Row],[Role]]&lt;&gt;"BR",SUMPRODUCT(Mecze[[#This Row],[/PR:90]:[/BR:90]],Brudnopis!$E$25:$J$25),0)</f>
        <v>7.8125E-2</v>
      </c>
      <c r="V15" s="44">
        <f>IF(Mecze[[#This Row],[Role]]&lt;&gt;"BR",SUMPRODUCT(Mecze[[#This Row],[/PR:90]:[/BR:90]],Brudnopis!$E$26:$J$26),0)</f>
        <v>7.2916666666666671E-2</v>
      </c>
      <c r="W15" s="44">
        <f>IF(Mecze[[#This Row],[Role]]&lt;&gt;"BR",SUMPRODUCT(Mecze[[#This Row],[/PR:90]:[/BR:90]],Brudnopis!$E$27:$J$27),0)</f>
        <v>6.25E-2</v>
      </c>
      <c r="X15" s="44">
        <f>IF(Mecze[[#This Row],[Role]]&lt;&gt;"BR",SUMPRODUCT(Mecze[[#This Row],[/PR:90]:[/BR:90]],Brudnopis!$E$28:$J$28),0)</f>
        <v>1.0416666666666666E-2</v>
      </c>
      <c r="Y15" s="35">
        <f>IF(Mecze[[#This Row],[Role]]="BR",Mecze[[#This Row],[/OB:90]]+Mecze[[#This Row],[/PC:90]],SUM(Mecze[[#This Row],[/PR:90]:[/BR:90]]))</f>
        <v>7.2916666666666671E-2</v>
      </c>
      <c r="Z15" s="35">
        <f>IF(Mecze[[#This Row],[KC]]=0,SUM(Mecze[[#This Row],[/BRI]:[/NPI]]),SUM(Mecze[[#This Row],[/BRI]:[/NPI]])*0.6)</f>
        <v>0.29687500000000006</v>
      </c>
      <c r="AA15" s="10">
        <f>IFERROR(Mecze[[#This Row],[BR]]/Mecze[[#This Row],[ST]],0)</f>
        <v>0</v>
      </c>
      <c r="AB15">
        <f>ROUND(Mecze[[#This Row],[PD]]*Mecze[[#This Row],[%PC]],0)</f>
        <v>1</v>
      </c>
      <c r="AC15">
        <f>ROUND(Mecze[[#This Row],[OD]]*Mecze[[#This Row],[%OU]],0)</f>
        <v>0</v>
      </c>
      <c r="AD15" s="36" t="s">
        <v>167</v>
      </c>
      <c r="AE15" s="36">
        <v>2</v>
      </c>
      <c r="AF15" s="71">
        <v>8.3000000000000007</v>
      </c>
      <c r="AG15" s="37">
        <v>0</v>
      </c>
      <c r="AH15" s="37">
        <v>0</v>
      </c>
      <c r="AI15" s="37">
        <v>96</v>
      </c>
      <c r="AJ15">
        <v>1</v>
      </c>
      <c r="AK15" s="37" t="str">
        <f>VLOOKUP(Mecze[[#This Row],[Match ID]],Meczusie[Mecz]:Meczusie[RodzajMeczu],2,FALSE)</f>
        <v>Towarzyski</v>
      </c>
    </row>
    <row r="16" spans="1:41" x14ac:dyDescent="0.25">
      <c r="A16" s="76">
        <v>3</v>
      </c>
      <c r="B16" s="3" t="s">
        <v>158</v>
      </c>
      <c r="C16" s="2" t="s">
        <v>157</v>
      </c>
      <c r="D16" s="1">
        <v>0</v>
      </c>
      <c r="E16" s="1">
        <v>0</v>
      </c>
      <c r="F16" s="1">
        <v>0</v>
      </c>
      <c r="G16" s="1">
        <v>3</v>
      </c>
      <c r="H16" s="4">
        <v>1</v>
      </c>
      <c r="I16" s="1">
        <v>3</v>
      </c>
      <c r="J16" s="4">
        <v>0.67</v>
      </c>
      <c r="K16" s="1">
        <v>0</v>
      </c>
      <c r="L16" s="1">
        <v>2</v>
      </c>
      <c r="M16" s="32">
        <f>IF(Mecze[[#This Row],[PR]]=0,0,Mecze[[#This Row],[PR]]/Mecze[[#This Row],[CZAS]])</f>
        <v>2.0833333333333332E-2</v>
      </c>
      <c r="N16" s="32">
        <f>IF(Mecze[[#This Row],[OU]]=0,0,Mecze[[#This Row],[OU]]/Mecze[[#This Row],[CZAS]])</f>
        <v>2.0833333333333332E-2</v>
      </c>
      <c r="O16" s="32">
        <f>IF(Mecze[[#This Row],[PC]]=0,0,Mecze[[#This Row],[PC]]/Mecze[[#This Row],[CZAS]])</f>
        <v>3.125E-2</v>
      </c>
      <c r="P16" s="32">
        <f>IF(Mecze[[#This Row],[SC]]=0,0,Mecze[[#This Row],[SC]]/Mecze[[#This Row],[CZAS]])</f>
        <v>0</v>
      </c>
      <c r="Q16" s="32">
        <f>IF(Mecze[[#This Row],[OB]]=0,0,Mecze[[#This Row],[OB]]/Mecze[[#This Row],[CZAS]])</f>
        <v>0</v>
      </c>
      <c r="R16" s="32">
        <f>IF(Mecze[[#This Row],[BR]]=0,0,Mecze[[#This Row],[BR]]/Mecze[[#This Row],[CZAS]])</f>
        <v>0</v>
      </c>
      <c r="S16" s="44">
        <f>IF(Mecze[[#This Row],[Role]]="BR",SUMPRODUCT(Mecze[[#This Row],[/PR:90]:[/BR:90]],Brudnopis!$E$23:$J$23),0)</f>
        <v>0</v>
      </c>
      <c r="T16" s="44">
        <f>IF(Mecze[[#This Row],[Role]]&lt;&gt;"BR",SUMPRODUCT(Mecze[[#This Row],[/PR:90]:[/BR:90]],Brudnopis!$E$24:$J$24),0)</f>
        <v>8.3333333333333329E-2</v>
      </c>
      <c r="U16" s="44">
        <f>IF(Mecze[[#This Row],[Role]]&lt;&gt;"BR",SUMPRODUCT(Mecze[[#This Row],[/PR:90]:[/BR:90]],Brudnopis!$E$25:$J$25),0)</f>
        <v>8.8541666666666657E-2</v>
      </c>
      <c r="V16" s="44">
        <f>IF(Mecze[[#This Row],[Role]]&lt;&gt;"BR",SUMPRODUCT(Mecze[[#This Row],[/PR:90]:[/BR:90]],Brudnopis!$E$26:$J$26),0)</f>
        <v>7.2916666666666657E-2</v>
      </c>
      <c r="W16" s="44">
        <f>IF(Mecze[[#This Row],[Role]]&lt;&gt;"BR",SUMPRODUCT(Mecze[[#This Row],[/PR:90]:[/BR:90]],Brudnopis!$E$27:$J$27),0)</f>
        <v>7.8125E-2</v>
      </c>
      <c r="X16" s="44">
        <f>IF(Mecze[[#This Row],[Role]]&lt;&gt;"BR",SUMPRODUCT(Mecze[[#This Row],[/PR:90]:[/BR:90]],Brudnopis!$E$28:$J$28),0)</f>
        <v>3.125E-2</v>
      </c>
      <c r="Y16" s="35">
        <f>IF(Mecze[[#This Row],[Role]]="BR",Mecze[[#This Row],[/OB:90]]+Mecze[[#This Row],[/PC:90]],SUM(Mecze[[#This Row],[/PR:90]:[/BR:90]]))</f>
        <v>7.2916666666666657E-2</v>
      </c>
      <c r="Z16" s="35">
        <f>IF(Mecze[[#This Row],[KC]]=0,SUM(Mecze[[#This Row],[/BRI]:[/NPI]]),SUM(Mecze[[#This Row],[/BRI]:[/NPI]])*0.6)</f>
        <v>0.35416666666666663</v>
      </c>
      <c r="AA16" s="10">
        <f>IFERROR(Mecze[[#This Row],[BR]]/Mecze[[#This Row],[ST]],0)</f>
        <v>0</v>
      </c>
      <c r="AB16">
        <f>ROUND(Mecze[[#This Row],[PD]]*Mecze[[#This Row],[%PC]],0)</f>
        <v>3</v>
      </c>
      <c r="AC16">
        <f>ROUND(Mecze[[#This Row],[OD]]*Mecze[[#This Row],[%OU]],0)</f>
        <v>2</v>
      </c>
      <c r="AD16" s="36" t="s">
        <v>168</v>
      </c>
      <c r="AE16" s="36">
        <v>2</v>
      </c>
      <c r="AF16" s="71">
        <v>8.58</v>
      </c>
      <c r="AG16" s="37">
        <v>0</v>
      </c>
      <c r="AH16" s="37">
        <v>0</v>
      </c>
      <c r="AI16" s="37">
        <v>96</v>
      </c>
      <c r="AJ16">
        <v>1</v>
      </c>
      <c r="AK16" s="37" t="str">
        <f>VLOOKUP(Mecze[[#This Row],[Match ID]],Meczusie[Mecz]:Meczusie[RodzajMeczu],2,FALSE)</f>
        <v>Towarzyski</v>
      </c>
      <c r="AM16" s="2"/>
      <c r="AN16" s="2"/>
      <c r="AO16" s="1"/>
    </row>
    <row r="17" spans="1:41" x14ac:dyDescent="0.25">
      <c r="A17" s="76">
        <v>6</v>
      </c>
      <c r="B17" s="3" t="s">
        <v>159</v>
      </c>
      <c r="C17" s="2" t="s">
        <v>160</v>
      </c>
      <c r="D17" s="1">
        <v>0</v>
      </c>
      <c r="E17" s="1">
        <v>0</v>
      </c>
      <c r="F17" s="1">
        <v>0</v>
      </c>
      <c r="G17" s="1">
        <v>13</v>
      </c>
      <c r="H17" s="4">
        <v>0.92</v>
      </c>
      <c r="I17" s="1">
        <v>1</v>
      </c>
      <c r="J17" s="4">
        <v>0</v>
      </c>
      <c r="K17" s="1">
        <v>0</v>
      </c>
      <c r="L17" s="1">
        <v>6</v>
      </c>
      <c r="M17" s="32">
        <f>IF(Mecze[[#This Row],[PR]]=0,0,Mecze[[#This Row],[PR]]/Mecze[[#This Row],[CZAS]])</f>
        <v>6.25E-2</v>
      </c>
      <c r="N17" s="32">
        <f>IF(Mecze[[#This Row],[OU]]=0,0,Mecze[[#This Row],[OU]]/Mecze[[#This Row],[CZAS]])</f>
        <v>0</v>
      </c>
      <c r="O17" s="32">
        <f>IF(Mecze[[#This Row],[PC]]=0,0,Mecze[[#This Row],[PC]]/Mecze[[#This Row],[CZAS]])</f>
        <v>0.125</v>
      </c>
      <c r="P17" s="32">
        <f>IF(Mecze[[#This Row],[SC]]=0,0,Mecze[[#This Row],[SC]]/Mecze[[#This Row],[CZAS]])</f>
        <v>0</v>
      </c>
      <c r="Q17" s="32">
        <f>IF(Mecze[[#This Row],[OB]]=0,0,Mecze[[#This Row],[OB]]/Mecze[[#This Row],[CZAS]])</f>
        <v>0</v>
      </c>
      <c r="R17" s="32">
        <f>IF(Mecze[[#This Row],[BR]]=0,0,Mecze[[#This Row],[BR]]/Mecze[[#This Row],[CZAS]])</f>
        <v>0</v>
      </c>
      <c r="S17" s="44">
        <f>IF(Mecze[[#This Row],[Role]]="BR",SUMPRODUCT(Mecze[[#This Row],[/PR:90]:[/BR:90]],Brudnopis!$E$23:$J$23),0)</f>
        <v>0</v>
      </c>
      <c r="T17" s="44">
        <f>IF(Mecze[[#This Row],[Role]]&lt;&gt;"BR",SUMPRODUCT(Mecze[[#This Row],[/PR:90]:[/BR:90]],Brudnopis!$E$24:$J$24),0)</f>
        <v>0.1875</v>
      </c>
      <c r="U17" s="44">
        <f>IF(Mecze[[#This Row],[Role]]&lt;&gt;"BR",SUMPRODUCT(Mecze[[#This Row],[/PR:90]:[/BR:90]],Brudnopis!$E$25:$J$25),0)</f>
        <v>0.25</v>
      </c>
      <c r="V17" s="44">
        <f>IF(Mecze[[#This Row],[Role]]&lt;&gt;"BR",SUMPRODUCT(Mecze[[#This Row],[/PR:90]:[/BR:90]],Brudnopis!$E$26:$J$26),0)</f>
        <v>0.1875</v>
      </c>
      <c r="W17" s="44">
        <f>IF(Mecze[[#This Row],[Role]]&lt;&gt;"BR",SUMPRODUCT(Mecze[[#This Row],[/PR:90]:[/BR:90]],Brudnopis!$E$27:$J$27),0)</f>
        <v>0.234375</v>
      </c>
      <c r="X17" s="44">
        <f>IF(Mecze[[#This Row],[Role]]&lt;&gt;"BR",SUMPRODUCT(Mecze[[#This Row],[/PR:90]:[/BR:90]],Brudnopis!$E$28:$J$28),0)</f>
        <v>0.125</v>
      </c>
      <c r="Y17" s="35">
        <f>IF(Mecze[[#This Row],[Role]]="BR",Mecze[[#This Row],[/OB:90]]+Mecze[[#This Row],[/PC:90]],SUM(Mecze[[#This Row],[/PR:90]:[/BR:90]]))</f>
        <v>0.1875</v>
      </c>
      <c r="Z17" s="35">
        <f>IF(Mecze[[#This Row],[KC]]=0,SUM(Mecze[[#This Row],[/BRI]:[/NPI]]),SUM(Mecze[[#This Row],[/BRI]:[/NPI]])*0.6)</f>
        <v>0.984375</v>
      </c>
      <c r="AA17" s="10">
        <f>IFERROR(Mecze[[#This Row],[BR]]/Mecze[[#This Row],[ST]],0)</f>
        <v>0</v>
      </c>
      <c r="AB17">
        <f>ROUND(Mecze[[#This Row],[PD]]*Mecze[[#This Row],[%PC]],0)</f>
        <v>12</v>
      </c>
      <c r="AC17">
        <f>ROUND(Mecze[[#This Row],[OD]]*Mecze[[#This Row],[%OU]],0)</f>
        <v>0</v>
      </c>
      <c r="AD17" s="36" t="s">
        <v>41</v>
      </c>
      <c r="AE17" s="36">
        <v>2</v>
      </c>
      <c r="AF17" s="71">
        <v>10.42</v>
      </c>
      <c r="AG17" s="37">
        <v>0</v>
      </c>
      <c r="AH17" s="37">
        <v>0</v>
      </c>
      <c r="AI17" s="37">
        <v>96</v>
      </c>
      <c r="AJ17">
        <v>1</v>
      </c>
      <c r="AK17" s="37" t="str">
        <f>VLOOKUP(Mecze[[#This Row],[Match ID]],Meczusie[Mecz]:Meczusie[RodzajMeczu],2,FALSE)</f>
        <v>Towarzyski</v>
      </c>
      <c r="AM17" s="2"/>
      <c r="AN17" s="2"/>
      <c r="AO17" s="1"/>
    </row>
    <row r="18" spans="1:41" x14ac:dyDescent="0.25">
      <c r="A18" s="76">
        <v>5</v>
      </c>
      <c r="B18" s="3" t="s">
        <v>161</v>
      </c>
      <c r="C18" s="2" t="s">
        <v>160</v>
      </c>
      <c r="D18" s="1">
        <v>0</v>
      </c>
      <c r="E18" s="1">
        <v>0</v>
      </c>
      <c r="F18" s="1">
        <v>0</v>
      </c>
      <c r="G18" s="1">
        <v>9</v>
      </c>
      <c r="H18" s="4">
        <v>0.89</v>
      </c>
      <c r="I18" s="1">
        <v>0</v>
      </c>
      <c r="J18" s="4">
        <v>0</v>
      </c>
      <c r="K18" s="1">
        <v>0</v>
      </c>
      <c r="L18" s="1">
        <v>4</v>
      </c>
      <c r="M18" s="32">
        <f>IF(Mecze[[#This Row],[PR]]=0,0,Mecze[[#This Row],[PR]]/Mecze[[#This Row],[CZAS]])</f>
        <v>4.1666666666666664E-2</v>
      </c>
      <c r="N18" s="32">
        <f>IF(Mecze[[#This Row],[OU]]=0,0,Mecze[[#This Row],[OU]]/Mecze[[#This Row],[CZAS]])</f>
        <v>0</v>
      </c>
      <c r="O18" s="32">
        <f>IF(Mecze[[#This Row],[PC]]=0,0,Mecze[[#This Row],[PC]]/Mecze[[#This Row],[CZAS]])</f>
        <v>8.3333333333333329E-2</v>
      </c>
      <c r="P18" s="32">
        <f>IF(Mecze[[#This Row],[SC]]=0,0,Mecze[[#This Row],[SC]]/Mecze[[#This Row],[CZAS]])</f>
        <v>0</v>
      </c>
      <c r="Q18" s="32">
        <f>IF(Mecze[[#This Row],[OB]]=0,0,Mecze[[#This Row],[OB]]/Mecze[[#This Row],[CZAS]])</f>
        <v>0</v>
      </c>
      <c r="R18" s="32">
        <f>IF(Mecze[[#This Row],[BR]]=0,0,Mecze[[#This Row],[BR]]/Mecze[[#This Row],[CZAS]])</f>
        <v>0</v>
      </c>
      <c r="S18" s="44">
        <f>IF(Mecze[[#This Row],[Role]]="BR",SUMPRODUCT(Mecze[[#This Row],[/PR:90]:[/BR:90]],Brudnopis!$E$23:$J$23),0)</f>
        <v>0</v>
      </c>
      <c r="T18" s="44">
        <f>IF(Mecze[[#This Row],[Role]]&lt;&gt;"BR",SUMPRODUCT(Mecze[[#This Row],[/PR:90]:[/BR:90]],Brudnopis!$E$24:$J$24),0)</f>
        <v>0.125</v>
      </c>
      <c r="U18" s="44">
        <f>IF(Mecze[[#This Row],[Role]]&lt;&gt;"BR",SUMPRODUCT(Mecze[[#This Row],[/PR:90]:[/BR:90]],Brudnopis!$E$25:$J$25),0)</f>
        <v>0.16666666666666666</v>
      </c>
      <c r="V18" s="44">
        <f>IF(Mecze[[#This Row],[Role]]&lt;&gt;"BR",SUMPRODUCT(Mecze[[#This Row],[/PR:90]:[/BR:90]],Brudnopis!$E$26:$J$26),0)</f>
        <v>0.125</v>
      </c>
      <c r="W18" s="44">
        <f>IF(Mecze[[#This Row],[Role]]&lt;&gt;"BR",SUMPRODUCT(Mecze[[#This Row],[/PR:90]:[/BR:90]],Brudnopis!$E$27:$J$27),0)</f>
        <v>0.15625</v>
      </c>
      <c r="X18" s="44">
        <f>IF(Mecze[[#This Row],[Role]]&lt;&gt;"BR",SUMPRODUCT(Mecze[[#This Row],[/PR:90]:[/BR:90]],Brudnopis!$E$28:$J$28),0)</f>
        <v>8.3333333333333329E-2</v>
      </c>
      <c r="Y18" s="35">
        <f>IF(Mecze[[#This Row],[Role]]="BR",Mecze[[#This Row],[/OB:90]]+Mecze[[#This Row],[/PC:90]],SUM(Mecze[[#This Row],[/PR:90]:[/BR:90]]))</f>
        <v>0.125</v>
      </c>
      <c r="Z18" s="35">
        <f>IF(Mecze[[#This Row],[KC]]=0,SUM(Mecze[[#This Row],[/BRI]:[/NPI]]),SUM(Mecze[[#This Row],[/BRI]:[/NPI]])*0.6)</f>
        <v>0.65625</v>
      </c>
      <c r="AA18" s="10">
        <f>IFERROR(Mecze[[#This Row],[BR]]/Mecze[[#This Row],[ST]],0)</f>
        <v>0</v>
      </c>
      <c r="AB18">
        <f>ROUND(Mecze[[#This Row],[PD]]*Mecze[[#This Row],[%PC]],0)</f>
        <v>8</v>
      </c>
      <c r="AC18">
        <f>ROUND(Mecze[[#This Row],[OD]]*Mecze[[#This Row],[%OU]],0)</f>
        <v>0</v>
      </c>
      <c r="AD18" s="36" t="s">
        <v>41</v>
      </c>
      <c r="AE18" s="36">
        <v>2</v>
      </c>
      <c r="AF18" s="71">
        <v>10</v>
      </c>
      <c r="AG18" s="37">
        <v>0</v>
      </c>
      <c r="AH18" s="37">
        <v>0</v>
      </c>
      <c r="AI18" s="37">
        <v>96</v>
      </c>
      <c r="AJ18">
        <v>1</v>
      </c>
      <c r="AK18" s="37" t="str">
        <f>VLOOKUP(Mecze[[#This Row],[Match ID]],Meczusie[Mecz]:Meczusie[RodzajMeczu],2,FALSE)</f>
        <v>Towarzyski</v>
      </c>
      <c r="AM18" s="2"/>
      <c r="AN18" s="2"/>
      <c r="AO18" s="1"/>
    </row>
    <row r="19" spans="1:41" x14ac:dyDescent="0.25">
      <c r="A19" s="76">
        <v>8</v>
      </c>
      <c r="B19" s="3" t="s">
        <v>154</v>
      </c>
      <c r="C19" s="2" t="s">
        <v>160</v>
      </c>
      <c r="D19" s="1">
        <v>1</v>
      </c>
      <c r="E19" s="1">
        <v>3</v>
      </c>
      <c r="F19" s="1">
        <v>2</v>
      </c>
      <c r="G19" s="1">
        <v>16</v>
      </c>
      <c r="H19" s="4">
        <v>0.94</v>
      </c>
      <c r="I19" s="1">
        <v>3</v>
      </c>
      <c r="J19" s="4">
        <v>0.33</v>
      </c>
      <c r="K19" s="1">
        <v>0</v>
      </c>
      <c r="L19" s="1">
        <v>9</v>
      </c>
      <c r="M19" s="32">
        <f>IF(Mecze[[#This Row],[PR]]=0,0,Mecze[[#This Row],[PR]]/Mecze[[#This Row],[CZAS]])</f>
        <v>9.375E-2</v>
      </c>
      <c r="N19" s="32">
        <f>IF(Mecze[[#This Row],[OU]]=0,0,Mecze[[#This Row],[OU]]/Mecze[[#This Row],[CZAS]])</f>
        <v>1.0416666666666666E-2</v>
      </c>
      <c r="O19" s="32">
        <f>IF(Mecze[[#This Row],[PC]]=0,0,Mecze[[#This Row],[PC]]/Mecze[[#This Row],[CZAS]])</f>
        <v>0.15625</v>
      </c>
      <c r="P19" s="32">
        <f>IF(Mecze[[#This Row],[SC]]=0,0,Mecze[[#This Row],[SC]]/Mecze[[#This Row],[CZAS]])</f>
        <v>2.0833333333333332E-2</v>
      </c>
      <c r="Q19" s="32">
        <f>IF(Mecze[[#This Row],[OB]]=0,0,Mecze[[#This Row],[OB]]/Mecze[[#This Row],[CZAS]])</f>
        <v>0</v>
      </c>
      <c r="R19" s="32">
        <f>IF(Mecze[[#This Row],[BR]]=0,0,Mecze[[#This Row],[BR]]/Mecze[[#This Row],[CZAS]])</f>
        <v>1.0416666666666666E-2</v>
      </c>
      <c r="S19" s="44">
        <f>IF(Mecze[[#This Row],[Role]]="BR",SUMPRODUCT(Mecze[[#This Row],[/PR:90]:[/BR:90]],Brudnopis!$E$23:$J$23),0)</f>
        <v>0</v>
      </c>
      <c r="T19" s="44">
        <f>IF(Mecze[[#This Row],[Role]]&lt;&gt;"BR",SUMPRODUCT(Mecze[[#This Row],[/PR:90]:[/BR:90]],Brudnopis!$E$24:$J$24),0)</f>
        <v>0.30208333333333331</v>
      </c>
      <c r="U19" s="44">
        <f>IF(Mecze[[#This Row],[Role]]&lt;&gt;"BR",SUMPRODUCT(Mecze[[#This Row],[/PR:90]:[/BR:90]],Brudnopis!$E$25:$J$25),0)</f>
        <v>0.375</v>
      </c>
      <c r="V19" s="44">
        <f>IF(Mecze[[#This Row],[Role]]&lt;&gt;"BR",SUMPRODUCT(Mecze[[#This Row],[/PR:90]:[/BR:90]],Brudnopis!$E$26:$J$26),0)</f>
        <v>0.30208333333333331</v>
      </c>
      <c r="W19" s="44">
        <f>IF(Mecze[[#This Row],[Role]]&lt;&gt;"BR",SUMPRODUCT(Mecze[[#This Row],[/PR:90]:[/BR:90]],Brudnopis!$E$27:$J$27),0)</f>
        <v>0.35416666666666663</v>
      </c>
      <c r="X19" s="44">
        <f>IF(Mecze[[#This Row],[Role]]&lt;&gt;"BR",SUMPRODUCT(Mecze[[#This Row],[/PR:90]:[/BR:90]],Brudnopis!$E$28:$J$28),0)</f>
        <v>0.22916666666666666</v>
      </c>
      <c r="Y19" s="35">
        <f>IF(Mecze[[#This Row],[Role]]="BR",Mecze[[#This Row],[/OB:90]]+Mecze[[#This Row],[/PC:90]],SUM(Mecze[[#This Row],[/PR:90]:[/BR:90]]))</f>
        <v>0.29166666666666669</v>
      </c>
      <c r="Z19" s="35">
        <f>IF(Mecze[[#This Row],[KC]]=0,SUM(Mecze[[#This Row],[/BRI]:[/NPI]]),SUM(Mecze[[#This Row],[/BRI]:[/NPI]])*0.6)</f>
        <v>1.5624999999999998</v>
      </c>
      <c r="AA19" s="10">
        <f>IFERROR(Mecze[[#This Row],[BR]]/Mecze[[#This Row],[ST]],0)</f>
        <v>0.33333333333333331</v>
      </c>
      <c r="AB19">
        <f>ROUND(Mecze[[#This Row],[PD]]*Mecze[[#This Row],[%PC]],0)</f>
        <v>15</v>
      </c>
      <c r="AC19">
        <f>ROUND(Mecze[[#This Row],[OD]]*Mecze[[#This Row],[%OU]],0)</f>
        <v>1</v>
      </c>
      <c r="AD19" s="36" t="s">
        <v>67</v>
      </c>
      <c r="AE19" s="36">
        <v>2</v>
      </c>
      <c r="AF19" s="71">
        <v>13.62</v>
      </c>
      <c r="AG19" s="37">
        <v>0</v>
      </c>
      <c r="AH19" s="37">
        <v>0</v>
      </c>
      <c r="AI19" s="37">
        <v>96</v>
      </c>
      <c r="AJ19">
        <v>1</v>
      </c>
      <c r="AK19" s="37" t="str">
        <f>VLOOKUP(Mecze[[#This Row],[Match ID]],Meczusie[Mecz]:Meczusie[RodzajMeczu],2,FALSE)</f>
        <v>Towarzyski</v>
      </c>
      <c r="AM19" s="2"/>
      <c r="AN19" s="2"/>
      <c r="AO19" s="1"/>
    </row>
    <row r="20" spans="1:41" x14ac:dyDescent="0.25">
      <c r="A20" s="76">
        <v>15</v>
      </c>
      <c r="B20" s="3" t="s">
        <v>170</v>
      </c>
      <c r="C20" s="2" t="s">
        <v>160</v>
      </c>
      <c r="D20" s="1">
        <v>1</v>
      </c>
      <c r="E20" s="1">
        <v>4</v>
      </c>
      <c r="F20" s="1">
        <v>2</v>
      </c>
      <c r="G20" s="1">
        <v>7</v>
      </c>
      <c r="H20" s="4">
        <v>0.71</v>
      </c>
      <c r="I20" s="1">
        <v>3</v>
      </c>
      <c r="J20" s="4">
        <v>1</v>
      </c>
      <c r="K20" s="1">
        <v>0</v>
      </c>
      <c r="L20" s="1">
        <v>1</v>
      </c>
      <c r="M20" s="32">
        <f>IF(Mecze[[#This Row],[PR]]=0,0,Mecze[[#This Row],[PR]]/Mecze[[#This Row],[CZAS]])</f>
        <v>1.0416666666666666E-2</v>
      </c>
      <c r="N20" s="32">
        <f>IF(Mecze[[#This Row],[OU]]=0,0,Mecze[[#This Row],[OU]]/Mecze[[#This Row],[CZAS]])</f>
        <v>3.125E-2</v>
      </c>
      <c r="O20" s="32">
        <f>IF(Mecze[[#This Row],[PC]]=0,0,Mecze[[#This Row],[PC]]/Mecze[[#This Row],[CZAS]])</f>
        <v>5.2083333333333336E-2</v>
      </c>
      <c r="P20" s="32">
        <f>IF(Mecze[[#This Row],[SC]]=0,0,Mecze[[#This Row],[SC]]/Mecze[[#This Row],[CZAS]])</f>
        <v>2.0833333333333332E-2</v>
      </c>
      <c r="Q20" s="32">
        <f>IF(Mecze[[#This Row],[OB]]=0,0,Mecze[[#This Row],[OB]]/Mecze[[#This Row],[CZAS]])</f>
        <v>0</v>
      </c>
      <c r="R20" s="32">
        <f>IF(Mecze[[#This Row],[BR]]=0,0,Mecze[[#This Row],[BR]]/Mecze[[#This Row],[CZAS]])</f>
        <v>1.0416666666666666E-2</v>
      </c>
      <c r="S20" s="44">
        <f>IF(Mecze[[#This Row],[Role]]="BR",SUMPRODUCT(Mecze[[#This Row],[/PR:90]:[/BR:90]],Brudnopis!$E$23:$J$23),0)</f>
        <v>0</v>
      </c>
      <c r="T20" s="44">
        <f>IF(Mecze[[#This Row],[Role]]&lt;&gt;"BR",SUMPRODUCT(Mecze[[#This Row],[/PR:90]:[/BR:90]],Brudnopis!$E$24:$J$24),0)</f>
        <v>0.14583333333333334</v>
      </c>
      <c r="U20" s="44">
        <f>IF(Mecze[[#This Row],[Role]]&lt;&gt;"BR",SUMPRODUCT(Mecze[[#This Row],[/PR:90]:[/BR:90]],Brudnopis!$E$25:$J$25),0)</f>
        <v>0.15625</v>
      </c>
      <c r="V20" s="44">
        <f>IF(Mecze[[#This Row],[Role]]&lt;&gt;"BR",SUMPRODUCT(Mecze[[#This Row],[/PR:90]:[/BR:90]],Brudnopis!$E$26:$J$26),0)</f>
        <v>0.13541666666666666</v>
      </c>
      <c r="W20" s="44">
        <f>IF(Mecze[[#This Row],[Role]]&lt;&gt;"BR",SUMPRODUCT(Mecze[[#This Row],[/PR:90]:[/BR:90]],Brudnopis!$E$27:$J$27),0)</f>
        <v>0.15104166666666669</v>
      </c>
      <c r="X20" s="44">
        <f>IF(Mecze[[#This Row],[Role]]&lt;&gt;"BR",SUMPRODUCT(Mecze[[#This Row],[/PR:90]:[/BR:90]],Brudnopis!$E$28:$J$28),0)</f>
        <v>0.125</v>
      </c>
      <c r="Y20" s="35">
        <f>IF(Mecze[[#This Row],[Role]]="BR",Mecze[[#This Row],[/OB:90]]+Mecze[[#This Row],[/PC:90]],SUM(Mecze[[#This Row],[/PR:90]:[/BR:90]]))</f>
        <v>0.125</v>
      </c>
      <c r="Z20" s="35">
        <f>IF(Mecze[[#This Row],[KC]]=0,SUM(Mecze[[#This Row],[/BRI]:[/NPI]]),SUM(Mecze[[#This Row],[/BRI]:[/NPI]])*0.6)</f>
        <v>0.71354166666666674</v>
      </c>
      <c r="AA20" s="10">
        <f>IFERROR(Mecze[[#This Row],[BR]]/Mecze[[#This Row],[ST]],0)</f>
        <v>0.25</v>
      </c>
      <c r="AB20">
        <f>ROUND(Mecze[[#This Row],[PD]]*Mecze[[#This Row],[%PC]],0)</f>
        <v>5</v>
      </c>
      <c r="AC20">
        <f>ROUND(Mecze[[#This Row],[OD]]*Mecze[[#This Row],[%OU]],0)</f>
        <v>3</v>
      </c>
      <c r="AD20" s="36" t="s">
        <v>44</v>
      </c>
      <c r="AE20" s="36">
        <v>2</v>
      </c>
      <c r="AF20" s="71">
        <v>11.03</v>
      </c>
      <c r="AG20" s="37">
        <v>0</v>
      </c>
      <c r="AH20" s="37">
        <v>0</v>
      </c>
      <c r="AI20" s="37">
        <v>96</v>
      </c>
      <c r="AJ20">
        <v>1</v>
      </c>
      <c r="AK20" s="37" t="str">
        <f>VLOOKUP(Mecze[[#This Row],[Match ID]],Meczusie[Mecz]:Meczusie[RodzajMeczu],2,FALSE)</f>
        <v>Towarzyski</v>
      </c>
      <c r="AM20" s="2"/>
      <c r="AN20" s="2"/>
      <c r="AO20" s="1"/>
    </row>
    <row r="21" spans="1:41" x14ac:dyDescent="0.25">
      <c r="A21" s="76">
        <v>13</v>
      </c>
      <c r="B21" s="3" t="s">
        <v>162</v>
      </c>
      <c r="C21" s="2" t="s">
        <v>160</v>
      </c>
      <c r="D21" s="1">
        <v>0</v>
      </c>
      <c r="E21" s="1">
        <v>2</v>
      </c>
      <c r="F21" s="1">
        <v>2</v>
      </c>
      <c r="G21" s="1">
        <v>9</v>
      </c>
      <c r="H21" s="4">
        <v>0.89</v>
      </c>
      <c r="I21" s="1">
        <v>1</v>
      </c>
      <c r="J21" s="4">
        <v>1</v>
      </c>
      <c r="K21" s="1">
        <v>0</v>
      </c>
      <c r="L21" s="1">
        <v>6</v>
      </c>
      <c r="M21" s="32">
        <f>IF(Mecze[[#This Row],[PR]]=0,0,Mecze[[#This Row],[PR]]/Mecze[[#This Row],[CZAS]])</f>
        <v>6.25E-2</v>
      </c>
      <c r="N21" s="32">
        <f>IF(Mecze[[#This Row],[OU]]=0,0,Mecze[[#This Row],[OU]]/Mecze[[#This Row],[CZAS]])</f>
        <v>1.0416666666666666E-2</v>
      </c>
      <c r="O21" s="32">
        <f>IF(Mecze[[#This Row],[PC]]=0,0,Mecze[[#This Row],[PC]]/Mecze[[#This Row],[CZAS]])</f>
        <v>8.3333333333333329E-2</v>
      </c>
      <c r="P21" s="32">
        <f>IF(Mecze[[#This Row],[SC]]=0,0,Mecze[[#This Row],[SC]]/Mecze[[#This Row],[CZAS]])</f>
        <v>2.0833333333333332E-2</v>
      </c>
      <c r="Q21" s="32">
        <f>IF(Mecze[[#This Row],[OB]]=0,0,Mecze[[#This Row],[OB]]/Mecze[[#This Row],[CZAS]])</f>
        <v>0</v>
      </c>
      <c r="R21" s="32">
        <f>IF(Mecze[[#This Row],[BR]]=0,0,Mecze[[#This Row],[BR]]/Mecze[[#This Row],[CZAS]])</f>
        <v>0</v>
      </c>
      <c r="S21" s="44">
        <f>IF(Mecze[[#This Row],[Role]]="BR",SUMPRODUCT(Mecze[[#This Row],[/PR:90]:[/BR:90]],Brudnopis!$E$23:$J$23),0)</f>
        <v>0</v>
      </c>
      <c r="T21" s="44">
        <f>IF(Mecze[[#This Row],[Role]]&lt;&gt;"BR",SUMPRODUCT(Mecze[[#This Row],[/PR:90]:[/BR:90]],Brudnopis!$E$24:$J$24),0)</f>
        <v>0.18229166666666666</v>
      </c>
      <c r="U21" s="44">
        <f>IF(Mecze[[#This Row],[Role]]&lt;&gt;"BR",SUMPRODUCT(Mecze[[#This Row],[/PR:90]:[/BR:90]],Brudnopis!$E$25:$J$25),0)</f>
        <v>0.21875000000000003</v>
      </c>
      <c r="V21" s="44">
        <f>IF(Mecze[[#This Row],[Role]]&lt;&gt;"BR",SUMPRODUCT(Mecze[[#This Row],[/PR:90]:[/BR:90]],Brudnopis!$E$26:$J$26),0)</f>
        <v>0.17708333333333334</v>
      </c>
      <c r="W21" s="44">
        <f>IF(Mecze[[#This Row],[Role]]&lt;&gt;"BR",SUMPRODUCT(Mecze[[#This Row],[/PR:90]:[/BR:90]],Brudnopis!$E$27:$J$27),0)</f>
        <v>0.20052083333333334</v>
      </c>
      <c r="X21" s="44">
        <f>IF(Mecze[[#This Row],[Role]]&lt;&gt;"BR",SUMPRODUCT(Mecze[[#This Row],[/PR:90]:[/BR:90]],Brudnopis!$E$28:$J$28),0)</f>
        <v>0.125</v>
      </c>
      <c r="Y21" s="35">
        <f>IF(Mecze[[#This Row],[Role]]="BR",Mecze[[#This Row],[/OB:90]]+Mecze[[#This Row],[/PC:90]],SUM(Mecze[[#This Row],[/PR:90]:[/BR:90]]))</f>
        <v>0.17708333333333334</v>
      </c>
      <c r="Z21" s="35">
        <f>IF(Mecze[[#This Row],[KC]]=0,SUM(Mecze[[#This Row],[/BRI]:[/NPI]]),SUM(Mecze[[#This Row],[/BRI]:[/NPI]])*0.6)</f>
        <v>0.90364583333333337</v>
      </c>
      <c r="AA21" s="10">
        <f>IFERROR(Mecze[[#This Row],[BR]]/Mecze[[#This Row],[ST]],0)</f>
        <v>0</v>
      </c>
      <c r="AB21">
        <f>ROUND(Mecze[[#This Row],[PD]]*Mecze[[#This Row],[%PC]],0)</f>
        <v>8</v>
      </c>
      <c r="AC21">
        <f>ROUND(Mecze[[#This Row],[OD]]*Mecze[[#This Row],[%OU]],0)</f>
        <v>1</v>
      </c>
      <c r="AD21" s="36" t="s">
        <v>44</v>
      </c>
      <c r="AE21" s="36">
        <v>2</v>
      </c>
      <c r="AF21" s="71">
        <v>10.88</v>
      </c>
      <c r="AG21" s="37">
        <v>0</v>
      </c>
      <c r="AH21" s="37">
        <v>0</v>
      </c>
      <c r="AI21" s="37">
        <v>96</v>
      </c>
      <c r="AJ21">
        <v>1</v>
      </c>
      <c r="AK21" s="37" t="str">
        <f>VLOOKUP(Mecze[[#This Row],[Match ID]],Meczusie[Mecz]:Meczusie[RodzajMeczu],2,FALSE)</f>
        <v>Towarzyski</v>
      </c>
      <c r="AM21" s="2"/>
      <c r="AN21" s="2"/>
      <c r="AO21" s="1"/>
    </row>
    <row r="22" spans="1:41" x14ac:dyDescent="0.25">
      <c r="A22" s="76">
        <v>14</v>
      </c>
      <c r="B22" s="3" t="s">
        <v>164</v>
      </c>
      <c r="C22" s="2" t="s">
        <v>165</v>
      </c>
      <c r="D22" s="1">
        <v>6</v>
      </c>
      <c r="E22" s="1">
        <v>13</v>
      </c>
      <c r="F22" s="1">
        <v>12</v>
      </c>
      <c r="G22" s="1">
        <v>7</v>
      </c>
      <c r="H22" s="4">
        <v>0.28999999999999998</v>
      </c>
      <c r="I22" s="1">
        <v>0</v>
      </c>
      <c r="J22" s="4">
        <v>0</v>
      </c>
      <c r="K22" s="1">
        <v>0</v>
      </c>
      <c r="L22" s="1">
        <v>1</v>
      </c>
      <c r="M22" s="32">
        <f>IF(Mecze[[#This Row],[PR]]=0,0,Mecze[[#This Row],[PR]]/Mecze[[#This Row],[CZAS]])</f>
        <v>1.0416666666666666E-2</v>
      </c>
      <c r="N22" s="32">
        <f>IF(Mecze[[#This Row],[OU]]=0,0,Mecze[[#This Row],[OU]]/Mecze[[#This Row],[CZAS]])</f>
        <v>0</v>
      </c>
      <c r="O22" s="32">
        <f>IF(Mecze[[#This Row],[PC]]=0,0,Mecze[[#This Row],[PC]]/Mecze[[#This Row],[CZAS]])</f>
        <v>2.0833333333333332E-2</v>
      </c>
      <c r="P22" s="32">
        <f>IF(Mecze[[#This Row],[SC]]=0,0,Mecze[[#This Row],[SC]]/Mecze[[#This Row],[CZAS]])</f>
        <v>0.125</v>
      </c>
      <c r="Q22" s="32">
        <f>IF(Mecze[[#This Row],[OB]]=0,0,Mecze[[#This Row],[OB]]/Mecze[[#This Row],[CZAS]])</f>
        <v>0</v>
      </c>
      <c r="R22" s="32">
        <f>IF(Mecze[[#This Row],[BR]]=0,0,Mecze[[#This Row],[BR]]/Mecze[[#This Row],[CZAS]])</f>
        <v>6.25E-2</v>
      </c>
      <c r="S22" s="44">
        <f>IF(Mecze[[#This Row],[Role]]="BR",SUMPRODUCT(Mecze[[#This Row],[/PR:90]:[/BR:90]],Brudnopis!$E$23:$J$23),0)</f>
        <v>0</v>
      </c>
      <c r="T22" s="44">
        <f>IF(Mecze[[#This Row],[Role]]&lt;&gt;"BR",SUMPRODUCT(Mecze[[#This Row],[/PR:90]:[/BR:90]],Brudnopis!$E$24:$J$24),0)</f>
        <v>0.25</v>
      </c>
      <c r="U22" s="44">
        <f>IF(Mecze[[#This Row],[Role]]&lt;&gt;"BR",SUMPRODUCT(Mecze[[#This Row],[/PR:90]:[/BR:90]],Brudnopis!$E$25:$J$25),0)</f>
        <v>0.26041666666666663</v>
      </c>
      <c r="V22" s="44">
        <f>IF(Mecze[[#This Row],[Role]]&lt;&gt;"BR",SUMPRODUCT(Mecze[[#This Row],[/PR:90]:[/BR:90]],Brudnopis!$E$26:$J$26),0)</f>
        <v>0.28125</v>
      </c>
      <c r="W22" s="44">
        <f>IF(Mecze[[#This Row],[Role]]&lt;&gt;"BR",SUMPRODUCT(Mecze[[#This Row],[/PR:90]:[/BR:90]],Brudnopis!$E$27:$J$27),0)</f>
        <v>0.2890625</v>
      </c>
      <c r="X22" s="44">
        <f>IF(Mecze[[#This Row],[Role]]&lt;&gt;"BR",SUMPRODUCT(Mecze[[#This Row],[/PR:90]:[/BR:90]],Brudnopis!$E$28:$J$28),0)</f>
        <v>0.45833333333333331</v>
      </c>
      <c r="Y22" s="35">
        <f>IF(Mecze[[#This Row],[Role]]="BR",Mecze[[#This Row],[/OB:90]]+Mecze[[#This Row],[/PC:90]],SUM(Mecze[[#This Row],[/PR:90]:[/BR:90]]))</f>
        <v>0.21875</v>
      </c>
      <c r="Z22" s="35">
        <f>IF(Mecze[[#This Row],[KC]]=0,SUM(Mecze[[#This Row],[/BRI]:[/NPI]]),SUM(Mecze[[#This Row],[/BRI]:[/NPI]])*0.6)</f>
        <v>1.5390624999999998</v>
      </c>
      <c r="AA22" s="10">
        <f>IFERROR(Mecze[[#This Row],[BR]]/Mecze[[#This Row],[ST]],0)</f>
        <v>0.46153846153846156</v>
      </c>
      <c r="AB22">
        <f>ROUND(Mecze[[#This Row],[PD]]*Mecze[[#This Row],[%PC]],0)</f>
        <v>2</v>
      </c>
      <c r="AC22">
        <f>ROUND(Mecze[[#This Row],[OD]]*Mecze[[#This Row],[%OU]],0)</f>
        <v>0</v>
      </c>
      <c r="AD22" s="36" t="s">
        <v>46</v>
      </c>
      <c r="AE22" s="36">
        <v>2</v>
      </c>
      <c r="AF22" s="71">
        <v>20.37</v>
      </c>
      <c r="AG22" s="37">
        <v>0</v>
      </c>
      <c r="AH22" s="37">
        <v>0</v>
      </c>
      <c r="AI22" s="37">
        <v>96</v>
      </c>
      <c r="AJ22">
        <v>1</v>
      </c>
      <c r="AK22" s="37" t="str">
        <f>VLOOKUP(Mecze[[#This Row],[Match ID]],Meczusie[Mecz]:Meczusie[RodzajMeczu],2,FALSE)</f>
        <v>Towarzyski</v>
      </c>
      <c r="AM22" s="2"/>
      <c r="AN22" s="2"/>
      <c r="AO22" s="1"/>
    </row>
    <row r="23" spans="1:41" x14ac:dyDescent="0.25">
      <c r="A23" s="76">
        <v>19</v>
      </c>
      <c r="B23" s="3" t="s">
        <v>166</v>
      </c>
      <c r="C23" s="2" t="s">
        <v>165</v>
      </c>
      <c r="D23" s="1">
        <v>5</v>
      </c>
      <c r="E23" s="1">
        <v>11</v>
      </c>
      <c r="F23" s="1">
        <v>9</v>
      </c>
      <c r="G23" s="1">
        <v>6</v>
      </c>
      <c r="H23" s="4">
        <v>0.83</v>
      </c>
      <c r="I23" s="1">
        <v>2</v>
      </c>
      <c r="J23" s="4">
        <v>0.5</v>
      </c>
      <c r="K23" s="1">
        <v>0</v>
      </c>
      <c r="L23" s="1">
        <v>0</v>
      </c>
      <c r="M23" s="32">
        <f>IF(Mecze[[#This Row],[PR]]=0,0,Mecze[[#This Row],[PR]]/Mecze[[#This Row],[CZAS]])</f>
        <v>0</v>
      </c>
      <c r="N23" s="32">
        <f>IF(Mecze[[#This Row],[OU]]=0,0,Mecze[[#This Row],[OU]]/Mecze[[#This Row],[CZAS]])</f>
        <v>1.0416666666666666E-2</v>
      </c>
      <c r="O23" s="32">
        <f>IF(Mecze[[#This Row],[PC]]=0,0,Mecze[[#This Row],[PC]]/Mecze[[#This Row],[CZAS]])</f>
        <v>5.2083333333333336E-2</v>
      </c>
      <c r="P23" s="32">
        <f>IF(Mecze[[#This Row],[SC]]=0,0,Mecze[[#This Row],[SC]]/Mecze[[#This Row],[CZAS]])</f>
        <v>9.375E-2</v>
      </c>
      <c r="Q23" s="32">
        <f>IF(Mecze[[#This Row],[OB]]=0,0,Mecze[[#This Row],[OB]]/Mecze[[#This Row],[CZAS]])</f>
        <v>0</v>
      </c>
      <c r="R23" s="32">
        <f>IF(Mecze[[#This Row],[BR]]=0,0,Mecze[[#This Row],[BR]]/Mecze[[#This Row],[CZAS]])</f>
        <v>5.2083333333333336E-2</v>
      </c>
      <c r="S23" s="44">
        <f>IF(Mecze[[#This Row],[Role]]="BR",SUMPRODUCT(Mecze[[#This Row],[/PR:90]:[/BR:90]],Brudnopis!$E$23:$J$23),0)</f>
        <v>0</v>
      </c>
      <c r="T23" s="44">
        <f>IF(Mecze[[#This Row],[Role]]&lt;&gt;"BR",SUMPRODUCT(Mecze[[#This Row],[/PR:90]:[/BR:90]],Brudnopis!$E$24:$J$24),0)</f>
        <v>0.23958333333333334</v>
      </c>
      <c r="U23" s="44">
        <f>IF(Mecze[[#This Row],[Role]]&lt;&gt;"BR",SUMPRODUCT(Mecze[[#This Row],[/PR:90]:[/BR:90]],Brudnopis!$E$25:$J$25),0)</f>
        <v>0.26041666666666669</v>
      </c>
      <c r="V23" s="44">
        <f>IF(Mecze[[#This Row],[Role]]&lt;&gt;"BR",SUMPRODUCT(Mecze[[#This Row],[/PR:90]:[/BR:90]],Brudnopis!$E$26:$J$26),0)</f>
        <v>0.26041666666666669</v>
      </c>
      <c r="W23" s="44">
        <f>IF(Mecze[[#This Row],[Role]]&lt;&gt;"BR",SUMPRODUCT(Mecze[[#This Row],[/PR:90]:[/BR:90]],Brudnopis!$E$27:$J$27),0)</f>
        <v>0.28385416666666669</v>
      </c>
      <c r="X23" s="44">
        <f>IF(Mecze[[#This Row],[Role]]&lt;&gt;"BR",SUMPRODUCT(Mecze[[#This Row],[/PR:90]:[/BR:90]],Brudnopis!$E$28:$J$28),0)</f>
        <v>0.39583333333333337</v>
      </c>
      <c r="Y23" s="35">
        <f>IF(Mecze[[#This Row],[Role]]="BR",Mecze[[#This Row],[/OB:90]]+Mecze[[#This Row],[/PC:90]],SUM(Mecze[[#This Row],[/PR:90]:[/BR:90]]))</f>
        <v>0.20833333333333334</v>
      </c>
      <c r="Z23" s="35">
        <f>IF(Mecze[[#This Row],[KC]]=0,SUM(Mecze[[#This Row],[/BRI]:[/NPI]]),SUM(Mecze[[#This Row],[/BRI]:[/NPI]])*0.6)</f>
        <v>1.440104166666667</v>
      </c>
      <c r="AA23" s="10">
        <f>IFERROR(Mecze[[#This Row],[BR]]/Mecze[[#This Row],[ST]],0)</f>
        <v>0.45454545454545453</v>
      </c>
      <c r="AB23">
        <f>ROUND(Mecze[[#This Row],[PD]]*Mecze[[#This Row],[%PC]],0)</f>
        <v>5</v>
      </c>
      <c r="AC23">
        <f>ROUND(Mecze[[#This Row],[OD]]*Mecze[[#This Row],[%OU]],0)</f>
        <v>1</v>
      </c>
      <c r="AD23" s="36" t="s">
        <v>46</v>
      </c>
      <c r="AE23" s="36">
        <v>2</v>
      </c>
      <c r="AF23" s="71">
        <v>19.66</v>
      </c>
      <c r="AG23" s="37">
        <v>0</v>
      </c>
      <c r="AH23" s="37">
        <v>0</v>
      </c>
      <c r="AI23" s="37">
        <v>96</v>
      </c>
      <c r="AJ23">
        <v>1</v>
      </c>
      <c r="AK23" s="37" t="str">
        <f>VLOOKUP(Mecze[[#This Row],[Match ID]],Meczusie[Mecz]:Meczusie[RodzajMeczu],2,FALSE)</f>
        <v>Towarzyski</v>
      </c>
      <c r="AM23" s="2"/>
      <c r="AN23" s="2"/>
      <c r="AO23" s="1"/>
    </row>
    <row r="24" spans="1:41" x14ac:dyDescent="0.25">
      <c r="A24" s="76">
        <v>1</v>
      </c>
      <c r="B24" s="3" t="s">
        <v>220</v>
      </c>
      <c r="C24" s="2" t="s">
        <v>155</v>
      </c>
      <c r="D24" s="1">
        <v>0</v>
      </c>
      <c r="E24" s="1">
        <v>0</v>
      </c>
      <c r="F24" s="1">
        <v>0</v>
      </c>
      <c r="G24" s="1">
        <v>5</v>
      </c>
      <c r="H24" s="4">
        <v>0.6</v>
      </c>
      <c r="I24" s="1">
        <v>0</v>
      </c>
      <c r="J24" s="4">
        <v>0</v>
      </c>
      <c r="K24" s="1">
        <v>4</v>
      </c>
      <c r="L24" s="1">
        <v>0</v>
      </c>
      <c r="M24" s="32">
        <f>IF(Mecze[[#This Row],[PR]]=0,0,Mecze[[#This Row],[PR]]/Mecze[[#This Row],[CZAS]])</f>
        <v>0</v>
      </c>
      <c r="N24" s="32">
        <f>IF(Mecze[[#This Row],[OU]]=0,0,Mecze[[#This Row],[OU]]/Mecze[[#This Row],[CZAS]])</f>
        <v>0</v>
      </c>
      <c r="O24" s="32">
        <f>IF(Mecze[[#This Row],[PC]]=0,0,Mecze[[#This Row],[PC]]/Mecze[[#This Row],[CZAS]])</f>
        <v>3.0612244897959183E-2</v>
      </c>
      <c r="P24" s="32">
        <f>IF(Mecze[[#This Row],[SC]]=0,0,Mecze[[#This Row],[SC]]/Mecze[[#This Row],[CZAS]])</f>
        <v>0</v>
      </c>
      <c r="Q24" s="32">
        <f>IF(Mecze[[#This Row],[OB]]=0,0,Mecze[[#This Row],[OB]]/Mecze[[#This Row],[CZAS]])</f>
        <v>4.0816326530612242E-2</v>
      </c>
      <c r="R24" s="32">
        <f>IF(Mecze[[#This Row],[BR]]=0,0,Mecze[[#This Row],[BR]]/Mecze[[#This Row],[CZAS]])</f>
        <v>0</v>
      </c>
      <c r="S24" s="44">
        <f>IF(Mecze[[#This Row],[Role]]="BR",SUMPRODUCT(Mecze[[#This Row],[/PR:90]:[/BR:90]],Brudnopis!$E$23:$J$23),0)</f>
        <v>0.21428571428571427</v>
      </c>
      <c r="T24" s="44">
        <f>IF(Mecze[[#This Row],[Role]]&lt;&gt;"BR",SUMPRODUCT(Mecze[[#This Row],[/PR:90]:[/BR:90]],Brudnopis!$E$24:$J$24),0)</f>
        <v>0</v>
      </c>
      <c r="U24" s="44">
        <f>IF(Mecze[[#This Row],[Role]]&lt;&gt;"BR",SUMPRODUCT(Mecze[[#This Row],[/PR:90]:[/BR:90]],Brudnopis!$E$25:$J$25),0)</f>
        <v>0</v>
      </c>
      <c r="V24" s="44">
        <f>IF(Mecze[[#This Row],[Role]]&lt;&gt;"BR",SUMPRODUCT(Mecze[[#This Row],[/PR:90]:[/BR:90]],Brudnopis!$E$26:$J$26),0)</f>
        <v>0</v>
      </c>
      <c r="W24" s="44">
        <f>IF(Mecze[[#This Row],[Role]]&lt;&gt;"BR",SUMPRODUCT(Mecze[[#This Row],[/PR:90]:[/BR:90]],Brudnopis!$E$27:$J$27),0)</f>
        <v>0</v>
      </c>
      <c r="X24" s="44">
        <f>IF(Mecze[[#This Row],[Role]]&lt;&gt;"BR",SUMPRODUCT(Mecze[[#This Row],[/PR:90]:[/BR:90]],Brudnopis!$E$28:$J$28),0)</f>
        <v>0</v>
      </c>
      <c r="Y24" s="35">
        <f>IF(Mecze[[#This Row],[Role]]="BR",Mecze[[#This Row],[/OB:90]]+Mecze[[#This Row],[/PC:90]],SUM(Mecze[[#This Row],[/PR:90]:[/BR:90]]))</f>
        <v>7.1428571428571425E-2</v>
      </c>
      <c r="Z24" s="35">
        <f>IF(Mecze[[#This Row],[KC]]=0,SUM(Mecze[[#This Row],[/BRI]:[/NPI]]),SUM(Mecze[[#This Row],[/BRI]:[/NPI]])*0.6)</f>
        <v>0.21428571428571427</v>
      </c>
      <c r="AA24" s="10">
        <f>IFERROR(Mecze[[#This Row],[BR]]/Mecze[[#This Row],[ST]],0)</f>
        <v>0</v>
      </c>
      <c r="AB24">
        <f>ROUND(Mecze[[#This Row],[PD]]*Mecze[[#This Row],[%PC]],0)</f>
        <v>3</v>
      </c>
      <c r="AC24">
        <f>ROUND(Mecze[[#This Row],[OD]]*Mecze[[#This Row],[%OU]],0)</f>
        <v>0</v>
      </c>
      <c r="AD24" s="36" t="s">
        <v>40</v>
      </c>
      <c r="AE24" s="36">
        <v>3</v>
      </c>
      <c r="AF24" s="71">
        <v>9.66</v>
      </c>
      <c r="AG24" s="37">
        <v>0</v>
      </c>
      <c r="AH24" s="37">
        <v>0</v>
      </c>
      <c r="AI24" s="37">
        <v>98</v>
      </c>
      <c r="AJ24">
        <v>2</v>
      </c>
      <c r="AK24" s="37" t="str">
        <f>VLOOKUP(Mecze[[#This Row],[Match ID]],Meczusie[Mecz]:Meczusie[RodzajMeczu],2,FALSE)</f>
        <v>Liga</v>
      </c>
      <c r="AM24" s="2"/>
      <c r="AN24" s="2"/>
      <c r="AO24" s="1"/>
    </row>
    <row r="25" spans="1:41" x14ac:dyDescent="0.25">
      <c r="A25" s="76">
        <v>4</v>
      </c>
      <c r="B25" s="3" t="s">
        <v>221</v>
      </c>
      <c r="C25" s="2" t="s">
        <v>157</v>
      </c>
      <c r="D25" s="1">
        <v>0</v>
      </c>
      <c r="E25" s="1">
        <v>0</v>
      </c>
      <c r="F25" s="1">
        <v>0</v>
      </c>
      <c r="G25" s="1">
        <v>19</v>
      </c>
      <c r="H25" s="4">
        <v>0.84</v>
      </c>
      <c r="I25" s="1">
        <v>9</v>
      </c>
      <c r="J25" s="4">
        <v>0.67</v>
      </c>
      <c r="K25" s="1">
        <v>0</v>
      </c>
      <c r="L25" s="1">
        <v>10</v>
      </c>
      <c r="M25" s="32">
        <f>IF(Mecze[[#This Row],[PR]]=0,0,Mecze[[#This Row],[PR]]/Mecze[[#This Row],[CZAS]])</f>
        <v>0.10204081632653061</v>
      </c>
      <c r="N25" s="32">
        <f>IF(Mecze[[#This Row],[OU]]=0,0,Mecze[[#This Row],[OU]]/Mecze[[#This Row],[CZAS]])</f>
        <v>6.1224489795918366E-2</v>
      </c>
      <c r="O25" s="32">
        <f>IF(Mecze[[#This Row],[PC]]=0,0,Mecze[[#This Row],[PC]]/Mecze[[#This Row],[CZAS]])</f>
        <v>0.16326530612244897</v>
      </c>
      <c r="P25" s="32">
        <f>IF(Mecze[[#This Row],[SC]]=0,0,Mecze[[#This Row],[SC]]/Mecze[[#This Row],[CZAS]])</f>
        <v>0</v>
      </c>
      <c r="Q25" s="32">
        <f>IF(Mecze[[#This Row],[OB]]=0,0,Mecze[[#This Row],[OB]]/Mecze[[#This Row],[CZAS]])</f>
        <v>0</v>
      </c>
      <c r="R25" s="32">
        <f>IF(Mecze[[#This Row],[BR]]=0,0,Mecze[[#This Row],[BR]]/Mecze[[#This Row],[CZAS]])</f>
        <v>0</v>
      </c>
      <c r="S25" s="44">
        <f>IF(Mecze[[#This Row],[Role]]="BR",SUMPRODUCT(Mecze[[#This Row],[/PR:90]:[/BR:90]],Brudnopis!$E$23:$J$23),0)</f>
        <v>0</v>
      </c>
      <c r="T25" s="44">
        <f>IF(Mecze[[#This Row],[Role]]&lt;&gt;"BR",SUMPRODUCT(Mecze[[#This Row],[/PR:90]:[/BR:90]],Brudnopis!$E$24:$J$24),0)</f>
        <v>0.3571428571428571</v>
      </c>
      <c r="U25" s="44">
        <f>IF(Mecze[[#This Row],[Role]]&lt;&gt;"BR",SUMPRODUCT(Mecze[[#This Row],[/PR:90]:[/BR:90]],Brudnopis!$E$25:$J$25),0)</f>
        <v>0.40816326530612246</v>
      </c>
      <c r="V25" s="44">
        <f>IF(Mecze[[#This Row],[Role]]&lt;&gt;"BR",SUMPRODUCT(Mecze[[#This Row],[/PR:90]:[/BR:90]],Brudnopis!$E$26:$J$26),0)</f>
        <v>0.32653061224489799</v>
      </c>
      <c r="W25" s="44">
        <f>IF(Mecze[[#This Row],[Role]]&lt;&gt;"BR",SUMPRODUCT(Mecze[[#This Row],[/PR:90]:[/BR:90]],Brudnopis!$E$27:$J$27),0)</f>
        <v>0.36734693877551017</v>
      </c>
      <c r="X25" s="44">
        <f>IF(Mecze[[#This Row],[Role]]&lt;&gt;"BR",SUMPRODUCT(Mecze[[#This Row],[/PR:90]:[/BR:90]],Brudnopis!$E$28:$J$28),0)</f>
        <v>0.16326530612244897</v>
      </c>
      <c r="Y25" s="35">
        <f>IF(Mecze[[#This Row],[Role]]="BR",Mecze[[#This Row],[/OB:90]]+Mecze[[#This Row],[/PC:90]],SUM(Mecze[[#This Row],[/PR:90]:[/BR:90]]))</f>
        <v>0.32653061224489799</v>
      </c>
      <c r="Z25" s="35">
        <f>IF(Mecze[[#This Row],[KC]]=0,SUM(Mecze[[#This Row],[/BRI]:[/NPI]]),SUM(Mecze[[#This Row],[/BRI]:[/NPI]])*0.6)</f>
        <v>1.6224489795918366</v>
      </c>
      <c r="AA25" s="10">
        <f>IFERROR(Mecze[[#This Row],[BR]]/Mecze[[#This Row],[ST]],0)</f>
        <v>0</v>
      </c>
      <c r="AB25">
        <f>ROUND(Mecze[[#This Row],[PD]]*Mecze[[#This Row],[%PC]],0)</f>
        <v>16</v>
      </c>
      <c r="AC25">
        <f>ROUND(Mecze[[#This Row],[OD]]*Mecze[[#This Row],[%OU]],0)</f>
        <v>6</v>
      </c>
      <c r="AD25" s="36" t="s">
        <v>47</v>
      </c>
      <c r="AE25" s="36">
        <v>3</v>
      </c>
      <c r="AF25" s="71">
        <v>10.26</v>
      </c>
      <c r="AG25" s="37">
        <v>0</v>
      </c>
      <c r="AH25" s="37">
        <v>0</v>
      </c>
      <c r="AI25" s="37">
        <v>98</v>
      </c>
      <c r="AJ25">
        <v>2</v>
      </c>
      <c r="AK25" s="37" t="str">
        <f>VLOOKUP(Mecze[[#This Row],[Match ID]],Meczusie[Mecz]:Meczusie[RodzajMeczu],2,FALSE)</f>
        <v>Liga</v>
      </c>
      <c r="AM25" s="2"/>
      <c r="AN25" s="2"/>
      <c r="AO25" s="1"/>
    </row>
    <row r="26" spans="1:41" x14ac:dyDescent="0.25">
      <c r="A26" s="76">
        <v>3</v>
      </c>
      <c r="B26" s="3" t="s">
        <v>222</v>
      </c>
      <c r="C26" s="2" t="s">
        <v>157</v>
      </c>
      <c r="D26" s="1">
        <v>0</v>
      </c>
      <c r="E26" s="1">
        <v>0</v>
      </c>
      <c r="F26" s="1">
        <v>0</v>
      </c>
      <c r="G26" s="1">
        <v>6</v>
      </c>
      <c r="H26" s="4">
        <v>0.5</v>
      </c>
      <c r="I26" s="1">
        <v>4</v>
      </c>
      <c r="J26" s="4">
        <v>0.5</v>
      </c>
      <c r="K26" s="1">
        <v>0</v>
      </c>
      <c r="L26" s="1">
        <v>3</v>
      </c>
      <c r="M26" s="32">
        <f>IF(Mecze[[#This Row],[PR]]=0,0,Mecze[[#This Row],[PR]]/Mecze[[#This Row],[CZAS]])</f>
        <v>3.0612244897959183E-2</v>
      </c>
      <c r="N26" s="32">
        <f>IF(Mecze[[#This Row],[OU]]=0,0,Mecze[[#This Row],[OU]]/Mecze[[#This Row],[CZAS]])</f>
        <v>2.0408163265306121E-2</v>
      </c>
      <c r="O26" s="32">
        <f>IF(Mecze[[#This Row],[PC]]=0,0,Mecze[[#This Row],[PC]]/Mecze[[#This Row],[CZAS]])</f>
        <v>3.0612244897959183E-2</v>
      </c>
      <c r="P26" s="32">
        <f>IF(Mecze[[#This Row],[SC]]=0,0,Mecze[[#This Row],[SC]]/Mecze[[#This Row],[CZAS]])</f>
        <v>0</v>
      </c>
      <c r="Q26" s="32">
        <f>IF(Mecze[[#This Row],[OB]]=0,0,Mecze[[#This Row],[OB]]/Mecze[[#This Row],[CZAS]])</f>
        <v>0</v>
      </c>
      <c r="R26" s="32">
        <f>IF(Mecze[[#This Row],[BR]]=0,0,Mecze[[#This Row],[BR]]/Mecze[[#This Row],[CZAS]])</f>
        <v>0</v>
      </c>
      <c r="S26" s="44">
        <f>IF(Mecze[[#This Row],[Role]]="BR",SUMPRODUCT(Mecze[[#This Row],[/PR:90]:[/BR:90]],Brudnopis!$E$23:$J$23),0)</f>
        <v>0</v>
      </c>
      <c r="T26" s="44">
        <f>IF(Mecze[[#This Row],[Role]]&lt;&gt;"BR",SUMPRODUCT(Mecze[[#This Row],[/PR:90]:[/BR:90]],Brudnopis!$E$24:$J$24),0)</f>
        <v>9.1836734693877542E-2</v>
      </c>
      <c r="U26" s="44">
        <f>IF(Mecze[[#This Row],[Role]]&lt;&gt;"BR",SUMPRODUCT(Mecze[[#This Row],[/PR:90]:[/BR:90]],Brudnopis!$E$25:$J$25),0)</f>
        <v>9.6938775510204078E-2</v>
      </c>
      <c r="V26" s="44">
        <f>IF(Mecze[[#This Row],[Role]]&lt;&gt;"BR",SUMPRODUCT(Mecze[[#This Row],[/PR:90]:[/BR:90]],Brudnopis!$E$26:$J$26),0)</f>
        <v>8.1632653061224497E-2</v>
      </c>
      <c r="W26" s="44">
        <f>IF(Mecze[[#This Row],[Role]]&lt;&gt;"BR",SUMPRODUCT(Mecze[[#This Row],[/PR:90]:[/BR:90]],Brudnopis!$E$27:$J$27),0)</f>
        <v>8.4183673469387751E-2</v>
      </c>
      <c r="X26" s="44">
        <f>IF(Mecze[[#This Row],[Role]]&lt;&gt;"BR",SUMPRODUCT(Mecze[[#This Row],[/PR:90]:[/BR:90]],Brudnopis!$E$28:$J$28),0)</f>
        <v>3.0612244897959183E-2</v>
      </c>
      <c r="Y26" s="35">
        <f>IF(Mecze[[#This Row],[Role]]="BR",Mecze[[#This Row],[/OB:90]]+Mecze[[#This Row],[/PC:90]],SUM(Mecze[[#This Row],[/PR:90]:[/BR:90]]))</f>
        <v>8.1632653061224497E-2</v>
      </c>
      <c r="Z26" s="35">
        <f>IF(Mecze[[#This Row],[KC]]=0,SUM(Mecze[[#This Row],[/BRI]:[/NPI]]),SUM(Mecze[[#This Row],[/BRI]:[/NPI]])*0.6)</f>
        <v>0.38520408163265307</v>
      </c>
      <c r="AA26" s="10">
        <f>IFERROR(Mecze[[#This Row],[BR]]/Mecze[[#This Row],[ST]],0)</f>
        <v>0</v>
      </c>
      <c r="AB26">
        <f>ROUND(Mecze[[#This Row],[PD]]*Mecze[[#This Row],[%PC]],0)</f>
        <v>3</v>
      </c>
      <c r="AC26">
        <f>ROUND(Mecze[[#This Row],[OD]]*Mecze[[#This Row],[%OU]],0)</f>
        <v>2</v>
      </c>
      <c r="AD26" s="36" t="s">
        <v>47</v>
      </c>
      <c r="AE26" s="36">
        <v>3</v>
      </c>
      <c r="AF26" s="71">
        <v>8.7899999999999991</v>
      </c>
      <c r="AG26" s="37">
        <v>0</v>
      </c>
      <c r="AH26" s="37">
        <v>0</v>
      </c>
      <c r="AI26" s="37">
        <v>98</v>
      </c>
      <c r="AJ26">
        <v>2</v>
      </c>
      <c r="AK26" s="37" t="str">
        <f>VLOOKUP(Mecze[[#This Row],[Match ID]],Meczusie[Mecz]:Meczusie[RodzajMeczu],2,FALSE)</f>
        <v>Liga</v>
      </c>
      <c r="AM26" s="2"/>
      <c r="AN26" s="2"/>
      <c r="AO26" s="1"/>
    </row>
    <row r="27" spans="1:41" x14ac:dyDescent="0.25">
      <c r="A27" s="76">
        <v>5</v>
      </c>
      <c r="B27" s="3" t="s">
        <v>223</v>
      </c>
      <c r="C27" s="2" t="s">
        <v>157</v>
      </c>
      <c r="D27" s="1">
        <v>0</v>
      </c>
      <c r="E27" s="1">
        <v>0</v>
      </c>
      <c r="F27" s="1">
        <v>0</v>
      </c>
      <c r="G27" s="1">
        <v>5</v>
      </c>
      <c r="H27" s="4">
        <v>0.8</v>
      </c>
      <c r="I27" s="1">
        <v>3</v>
      </c>
      <c r="J27" s="4">
        <v>0.33</v>
      </c>
      <c r="K27" s="1">
        <v>0</v>
      </c>
      <c r="L27" s="1">
        <v>7</v>
      </c>
      <c r="M27" s="32">
        <f>IF(Mecze[[#This Row],[PR]]=0,0,Mecze[[#This Row],[PR]]/Mecze[[#This Row],[CZAS]])</f>
        <v>7.1428571428571425E-2</v>
      </c>
      <c r="N27" s="32">
        <f>IF(Mecze[[#This Row],[OU]]=0,0,Mecze[[#This Row],[OU]]/Mecze[[#This Row],[CZAS]])</f>
        <v>1.020408163265306E-2</v>
      </c>
      <c r="O27" s="32">
        <f>IF(Mecze[[#This Row],[PC]]=0,0,Mecze[[#This Row],[PC]]/Mecze[[#This Row],[CZAS]])</f>
        <v>4.0816326530612242E-2</v>
      </c>
      <c r="P27" s="32">
        <f>IF(Mecze[[#This Row],[SC]]=0,0,Mecze[[#This Row],[SC]]/Mecze[[#This Row],[CZAS]])</f>
        <v>0</v>
      </c>
      <c r="Q27" s="32">
        <f>IF(Mecze[[#This Row],[OB]]=0,0,Mecze[[#This Row],[OB]]/Mecze[[#This Row],[CZAS]])</f>
        <v>0</v>
      </c>
      <c r="R27" s="32">
        <f>IF(Mecze[[#This Row],[BR]]=0,0,Mecze[[#This Row],[BR]]/Mecze[[#This Row],[CZAS]])</f>
        <v>0</v>
      </c>
      <c r="S27" s="44">
        <f>IF(Mecze[[#This Row],[Role]]="BR",SUMPRODUCT(Mecze[[#This Row],[/PR:90]:[/BR:90]],Brudnopis!$E$23:$J$23),0)</f>
        <v>0</v>
      </c>
      <c r="T27" s="44">
        <f>IF(Mecze[[#This Row],[Role]]&lt;&gt;"BR",SUMPRODUCT(Mecze[[#This Row],[/PR:90]:[/BR:90]],Brudnopis!$E$24:$J$24),0)</f>
        <v>0.12755102040816327</v>
      </c>
      <c r="U27" s="44">
        <f>IF(Mecze[[#This Row],[Role]]&lt;&gt;"BR",SUMPRODUCT(Mecze[[#This Row],[/PR:90]:[/BR:90]],Brudnopis!$E$25:$J$25),0)</f>
        <v>0.14285714285714285</v>
      </c>
      <c r="V27" s="44">
        <f>IF(Mecze[[#This Row],[Role]]&lt;&gt;"BR",SUMPRODUCT(Mecze[[#This Row],[/PR:90]:[/BR:90]],Brudnopis!$E$26:$J$26),0)</f>
        <v>0.12244897959183673</v>
      </c>
      <c r="W27" s="44">
        <f>IF(Mecze[[#This Row],[Role]]&lt;&gt;"BR",SUMPRODUCT(Mecze[[#This Row],[/PR:90]:[/BR:90]],Brudnopis!$E$27:$J$27),0)</f>
        <v>0.12244897959183673</v>
      </c>
      <c r="X27" s="44">
        <f>IF(Mecze[[#This Row],[Role]]&lt;&gt;"BR",SUMPRODUCT(Mecze[[#This Row],[/PR:90]:[/BR:90]],Brudnopis!$E$28:$J$28),0)</f>
        <v>4.0816326530612242E-2</v>
      </c>
      <c r="Y27" s="35">
        <f>IF(Mecze[[#This Row],[Role]]="BR",Mecze[[#This Row],[/OB:90]]+Mecze[[#This Row],[/PC:90]],SUM(Mecze[[#This Row],[/PR:90]:[/BR:90]]))</f>
        <v>0.12244897959183673</v>
      </c>
      <c r="Z27" s="35">
        <f>IF(Mecze[[#This Row],[KC]]=0,SUM(Mecze[[#This Row],[/BRI]:[/NPI]]),SUM(Mecze[[#This Row],[/BRI]:[/NPI]])*0.6)</f>
        <v>0.55612244897959195</v>
      </c>
      <c r="AA27" s="10">
        <f>IFERROR(Mecze[[#This Row],[BR]]/Mecze[[#This Row],[ST]],0)</f>
        <v>0</v>
      </c>
      <c r="AB27">
        <f>ROUND(Mecze[[#This Row],[PD]]*Mecze[[#This Row],[%PC]],0)</f>
        <v>4</v>
      </c>
      <c r="AC27">
        <f>ROUND(Mecze[[#This Row],[OD]]*Mecze[[#This Row],[%OU]],0)</f>
        <v>1</v>
      </c>
      <c r="AD27" s="36" t="s">
        <v>174</v>
      </c>
      <c r="AE27" s="36">
        <v>3</v>
      </c>
      <c r="AF27" s="71">
        <v>8.51</v>
      </c>
      <c r="AG27" s="37">
        <v>0</v>
      </c>
      <c r="AH27" s="37">
        <v>0</v>
      </c>
      <c r="AI27" s="37">
        <v>98</v>
      </c>
      <c r="AJ27">
        <v>2</v>
      </c>
      <c r="AK27" s="37" t="str">
        <f>VLOOKUP(Mecze[[#This Row],[Match ID]],Meczusie[Mecz]:Meczusie[RodzajMeczu],2,FALSE)</f>
        <v>Liga</v>
      </c>
      <c r="AM27" s="2"/>
      <c r="AN27" s="2"/>
      <c r="AO27" s="1"/>
    </row>
    <row r="28" spans="1:41" x14ac:dyDescent="0.25">
      <c r="A28" s="76">
        <v>2</v>
      </c>
      <c r="B28" s="3" t="s">
        <v>224</v>
      </c>
      <c r="C28" s="2" t="s">
        <v>157</v>
      </c>
      <c r="D28" s="1">
        <v>0</v>
      </c>
      <c r="E28" s="1">
        <v>0</v>
      </c>
      <c r="F28" s="1">
        <v>0</v>
      </c>
      <c r="G28" s="1">
        <v>3</v>
      </c>
      <c r="H28" s="4">
        <v>1</v>
      </c>
      <c r="I28" s="1">
        <v>2</v>
      </c>
      <c r="J28" s="4">
        <v>1</v>
      </c>
      <c r="K28" s="1">
        <v>0</v>
      </c>
      <c r="L28" s="1">
        <v>2</v>
      </c>
      <c r="M28" s="32">
        <f>IF(Mecze[[#This Row],[PR]]=0,0,Mecze[[#This Row],[PR]]/Mecze[[#This Row],[CZAS]])</f>
        <v>2.0408163265306121E-2</v>
      </c>
      <c r="N28" s="32">
        <f>IF(Mecze[[#This Row],[OU]]=0,0,Mecze[[#This Row],[OU]]/Mecze[[#This Row],[CZAS]])</f>
        <v>2.0408163265306121E-2</v>
      </c>
      <c r="O28" s="32">
        <f>IF(Mecze[[#This Row],[PC]]=0,0,Mecze[[#This Row],[PC]]/Mecze[[#This Row],[CZAS]])</f>
        <v>3.0612244897959183E-2</v>
      </c>
      <c r="P28" s="32">
        <f>IF(Mecze[[#This Row],[SC]]=0,0,Mecze[[#This Row],[SC]]/Mecze[[#This Row],[CZAS]])</f>
        <v>0</v>
      </c>
      <c r="Q28" s="32">
        <f>IF(Mecze[[#This Row],[OB]]=0,0,Mecze[[#This Row],[OB]]/Mecze[[#This Row],[CZAS]])</f>
        <v>0</v>
      </c>
      <c r="R28" s="32">
        <f>IF(Mecze[[#This Row],[BR]]=0,0,Mecze[[#This Row],[BR]]/Mecze[[#This Row],[CZAS]])</f>
        <v>0</v>
      </c>
      <c r="S28" s="44">
        <f>IF(Mecze[[#This Row],[Role]]="BR",SUMPRODUCT(Mecze[[#This Row],[/PR:90]:[/BR:90]],Brudnopis!$E$23:$J$23),0)</f>
        <v>0</v>
      </c>
      <c r="T28" s="44">
        <f>IF(Mecze[[#This Row],[Role]]&lt;&gt;"BR",SUMPRODUCT(Mecze[[#This Row],[/PR:90]:[/BR:90]],Brudnopis!$E$24:$J$24),0)</f>
        <v>8.1632653061224497E-2</v>
      </c>
      <c r="U28" s="44">
        <f>IF(Mecze[[#This Row],[Role]]&lt;&gt;"BR",SUMPRODUCT(Mecze[[#This Row],[/PR:90]:[/BR:90]],Brudnopis!$E$25:$J$25),0)</f>
        <v>8.6734693877551006E-2</v>
      </c>
      <c r="V28" s="44">
        <f>IF(Mecze[[#This Row],[Role]]&lt;&gt;"BR",SUMPRODUCT(Mecze[[#This Row],[/PR:90]:[/BR:90]],Brudnopis!$E$26:$J$26),0)</f>
        <v>7.1428571428571425E-2</v>
      </c>
      <c r="W28" s="44">
        <f>IF(Mecze[[#This Row],[Role]]&lt;&gt;"BR",SUMPRODUCT(Mecze[[#This Row],[/PR:90]:[/BR:90]],Brudnopis!$E$27:$J$27),0)</f>
        <v>7.6530612244897961E-2</v>
      </c>
      <c r="X28" s="44">
        <f>IF(Mecze[[#This Row],[Role]]&lt;&gt;"BR",SUMPRODUCT(Mecze[[#This Row],[/PR:90]:[/BR:90]],Brudnopis!$E$28:$J$28),0)</f>
        <v>3.0612244897959183E-2</v>
      </c>
      <c r="Y28" s="35">
        <f>IF(Mecze[[#This Row],[Role]]="BR",Mecze[[#This Row],[/OB:90]]+Mecze[[#This Row],[/PC:90]],SUM(Mecze[[#This Row],[/PR:90]:[/BR:90]]))</f>
        <v>7.1428571428571425E-2</v>
      </c>
      <c r="Z28" s="35">
        <f>IF(Mecze[[#This Row],[KC]]=0,SUM(Mecze[[#This Row],[/BRI]:[/NPI]]),SUM(Mecze[[#This Row],[/BRI]:[/NPI]])*0.6)</f>
        <v>0.34693877551020408</v>
      </c>
      <c r="AA28" s="10">
        <f>IFERROR(Mecze[[#This Row],[BR]]/Mecze[[#This Row],[ST]],0)</f>
        <v>0</v>
      </c>
      <c r="AB28">
        <f>ROUND(Mecze[[#This Row],[PD]]*Mecze[[#This Row],[%PC]],0)</f>
        <v>3</v>
      </c>
      <c r="AC28">
        <f>ROUND(Mecze[[#This Row],[OD]]*Mecze[[#This Row],[%OU]],0)</f>
        <v>2</v>
      </c>
      <c r="AD28" s="36" t="s">
        <v>175</v>
      </c>
      <c r="AE28" s="36">
        <v>3</v>
      </c>
      <c r="AF28" s="71">
        <v>7.46</v>
      </c>
      <c r="AG28" s="37">
        <v>0</v>
      </c>
      <c r="AH28" s="37">
        <v>0</v>
      </c>
      <c r="AI28" s="37">
        <v>98</v>
      </c>
      <c r="AJ28">
        <v>2</v>
      </c>
      <c r="AK28" s="37" t="str">
        <f>VLOOKUP(Mecze[[#This Row],[Match ID]],Meczusie[Mecz]:Meczusie[RodzajMeczu],2,FALSE)</f>
        <v>Liga</v>
      </c>
    </row>
    <row r="29" spans="1:41" x14ac:dyDescent="0.25">
      <c r="A29" s="76">
        <v>6</v>
      </c>
      <c r="B29" s="3" t="s">
        <v>225</v>
      </c>
      <c r="C29" s="2" t="s">
        <v>160</v>
      </c>
      <c r="D29" s="1">
        <v>0</v>
      </c>
      <c r="E29" s="1">
        <v>0</v>
      </c>
      <c r="F29" s="1">
        <v>0</v>
      </c>
      <c r="G29" s="1">
        <v>9</v>
      </c>
      <c r="H29" s="4">
        <v>0.56000000000000005</v>
      </c>
      <c r="I29" s="1">
        <v>7</v>
      </c>
      <c r="J29" s="4">
        <v>0.14000000000000001</v>
      </c>
      <c r="K29" s="1">
        <v>0</v>
      </c>
      <c r="L29" s="1">
        <v>3</v>
      </c>
      <c r="M29" s="32">
        <f>IF(Mecze[[#This Row],[PR]]=0,0,Mecze[[#This Row],[PR]]/Mecze[[#This Row],[CZAS]])</f>
        <v>3.0612244897959183E-2</v>
      </c>
      <c r="N29" s="32">
        <f>IF(Mecze[[#This Row],[OU]]=0,0,Mecze[[#This Row],[OU]]/Mecze[[#This Row],[CZAS]])</f>
        <v>1.020408163265306E-2</v>
      </c>
      <c r="O29" s="32">
        <f>IF(Mecze[[#This Row],[PC]]=0,0,Mecze[[#This Row],[PC]]/Mecze[[#This Row],[CZAS]])</f>
        <v>5.1020408163265307E-2</v>
      </c>
      <c r="P29" s="32">
        <f>IF(Mecze[[#This Row],[SC]]=0,0,Mecze[[#This Row],[SC]]/Mecze[[#This Row],[CZAS]])</f>
        <v>0</v>
      </c>
      <c r="Q29" s="32">
        <f>IF(Mecze[[#This Row],[OB]]=0,0,Mecze[[#This Row],[OB]]/Mecze[[#This Row],[CZAS]])</f>
        <v>0</v>
      </c>
      <c r="R29" s="32">
        <f>IF(Mecze[[#This Row],[BR]]=0,0,Mecze[[#This Row],[BR]]/Mecze[[#This Row],[CZAS]])</f>
        <v>0</v>
      </c>
      <c r="S29" s="44">
        <f>IF(Mecze[[#This Row],[Role]]="BR",SUMPRODUCT(Mecze[[#This Row],[/PR:90]:[/BR:90]],Brudnopis!$E$23:$J$23),0)</f>
        <v>0</v>
      </c>
      <c r="T29" s="44">
        <f>IF(Mecze[[#This Row],[Role]]&lt;&gt;"BR",SUMPRODUCT(Mecze[[#This Row],[/PR:90]:[/BR:90]],Brudnopis!$E$24:$J$24),0)</f>
        <v>9.6938775510204078E-2</v>
      </c>
      <c r="U29" s="44">
        <f>IF(Mecze[[#This Row],[Role]]&lt;&gt;"BR",SUMPRODUCT(Mecze[[#This Row],[/PR:90]:[/BR:90]],Brudnopis!$E$25:$J$25),0)</f>
        <v>0.1173469387755102</v>
      </c>
      <c r="V29" s="44">
        <f>IF(Mecze[[#This Row],[Role]]&lt;&gt;"BR",SUMPRODUCT(Mecze[[#This Row],[/PR:90]:[/BR:90]],Brudnopis!$E$26:$J$26),0)</f>
        <v>9.1836734693877542E-2</v>
      </c>
      <c r="W29" s="44">
        <f>IF(Mecze[[#This Row],[Role]]&lt;&gt;"BR",SUMPRODUCT(Mecze[[#This Row],[/PR:90]:[/BR:90]],Brudnopis!$E$27:$J$27),0)</f>
        <v>0.10714285714285715</v>
      </c>
      <c r="X29" s="44">
        <f>IF(Mecze[[#This Row],[Role]]&lt;&gt;"BR",SUMPRODUCT(Mecze[[#This Row],[/PR:90]:[/BR:90]],Brudnopis!$E$28:$J$28),0)</f>
        <v>5.1020408163265307E-2</v>
      </c>
      <c r="Y29" s="35">
        <f>IF(Mecze[[#This Row],[Role]]="BR",Mecze[[#This Row],[/OB:90]]+Mecze[[#This Row],[/PC:90]],SUM(Mecze[[#This Row],[/PR:90]:[/BR:90]]))</f>
        <v>9.1836734693877542E-2</v>
      </c>
      <c r="Z29" s="35">
        <f>IF(Mecze[[#This Row],[KC]]=0,SUM(Mecze[[#This Row],[/BRI]:[/NPI]]),SUM(Mecze[[#This Row],[/BRI]:[/NPI]])*0.6)</f>
        <v>0.4642857142857143</v>
      </c>
      <c r="AA29" s="10">
        <f>IFERROR(Mecze[[#This Row],[BR]]/Mecze[[#This Row],[ST]],0)</f>
        <v>0</v>
      </c>
      <c r="AB29">
        <f>ROUND(Mecze[[#This Row],[PD]]*Mecze[[#This Row],[%PC]],0)</f>
        <v>5</v>
      </c>
      <c r="AC29">
        <f>ROUND(Mecze[[#This Row],[OD]]*Mecze[[#This Row],[%OU]],0)</f>
        <v>1</v>
      </c>
      <c r="AD29" s="36" t="s">
        <v>41</v>
      </c>
      <c r="AE29" s="36">
        <v>3</v>
      </c>
      <c r="AF29" s="71">
        <v>8.8800000000000008</v>
      </c>
      <c r="AG29" s="37">
        <v>0</v>
      </c>
      <c r="AH29" s="37">
        <v>0</v>
      </c>
      <c r="AI29" s="37">
        <v>98</v>
      </c>
      <c r="AJ29">
        <v>2</v>
      </c>
      <c r="AK29" s="37" t="str">
        <f>VLOOKUP(Mecze[[#This Row],[Match ID]],Meczusie[Mecz]:Meczusie[RodzajMeczu],2,FALSE)</f>
        <v>Liga</v>
      </c>
    </row>
    <row r="30" spans="1:41" x14ac:dyDescent="0.25">
      <c r="A30" s="76">
        <v>7</v>
      </c>
      <c r="B30" s="3" t="s">
        <v>226</v>
      </c>
      <c r="C30" s="2" t="s">
        <v>160</v>
      </c>
      <c r="D30" s="1">
        <v>0</v>
      </c>
      <c r="E30" s="1">
        <v>0</v>
      </c>
      <c r="F30" s="1">
        <v>0</v>
      </c>
      <c r="G30" s="1">
        <v>18</v>
      </c>
      <c r="H30" s="4">
        <v>0.83</v>
      </c>
      <c r="I30" s="1">
        <v>7</v>
      </c>
      <c r="J30" s="4">
        <v>0.56999999999999995</v>
      </c>
      <c r="K30" s="1">
        <v>0</v>
      </c>
      <c r="L30" s="1">
        <v>4</v>
      </c>
      <c r="M30" s="32">
        <f>IF(Mecze[[#This Row],[PR]]=0,0,Mecze[[#This Row],[PR]]/Mecze[[#This Row],[CZAS]])</f>
        <v>4.0816326530612242E-2</v>
      </c>
      <c r="N30" s="32">
        <f>IF(Mecze[[#This Row],[OU]]=0,0,Mecze[[#This Row],[OU]]/Mecze[[#This Row],[CZAS]])</f>
        <v>4.0816326530612242E-2</v>
      </c>
      <c r="O30" s="32">
        <f>IF(Mecze[[#This Row],[PC]]=0,0,Mecze[[#This Row],[PC]]/Mecze[[#This Row],[CZAS]])</f>
        <v>0.15306122448979592</v>
      </c>
      <c r="P30" s="32">
        <f>IF(Mecze[[#This Row],[SC]]=0,0,Mecze[[#This Row],[SC]]/Mecze[[#This Row],[CZAS]])</f>
        <v>0</v>
      </c>
      <c r="Q30" s="32">
        <f>IF(Mecze[[#This Row],[OB]]=0,0,Mecze[[#This Row],[OB]]/Mecze[[#This Row],[CZAS]])</f>
        <v>0</v>
      </c>
      <c r="R30" s="32">
        <f>IF(Mecze[[#This Row],[BR]]=0,0,Mecze[[#This Row],[BR]]/Mecze[[#This Row],[CZAS]])</f>
        <v>0</v>
      </c>
      <c r="S30" s="44">
        <f>IF(Mecze[[#This Row],[Role]]="BR",SUMPRODUCT(Mecze[[#This Row],[/PR:90]:[/BR:90]],Brudnopis!$E$23:$J$23),0)</f>
        <v>0</v>
      </c>
      <c r="T30" s="44">
        <f>IF(Mecze[[#This Row],[Role]]&lt;&gt;"BR",SUMPRODUCT(Mecze[[#This Row],[/PR:90]:[/BR:90]],Brudnopis!$E$24:$J$24),0)</f>
        <v>0.25510204081632654</v>
      </c>
      <c r="U30" s="44">
        <f>IF(Mecze[[#This Row],[Role]]&lt;&gt;"BR",SUMPRODUCT(Mecze[[#This Row],[/PR:90]:[/BR:90]],Brudnopis!$E$25:$J$25),0)</f>
        <v>0.31122448979591838</v>
      </c>
      <c r="V30" s="44">
        <f>IF(Mecze[[#This Row],[Role]]&lt;&gt;"BR",SUMPRODUCT(Mecze[[#This Row],[/PR:90]:[/BR:90]],Brudnopis!$E$26:$J$26),0)</f>
        <v>0.23469387755102039</v>
      </c>
      <c r="W30" s="44">
        <f>IF(Mecze[[#This Row],[Role]]&lt;&gt;"BR",SUMPRODUCT(Mecze[[#This Row],[/PR:90]:[/BR:90]],Brudnopis!$E$27:$J$27),0)</f>
        <v>0.29081632653061223</v>
      </c>
      <c r="X30" s="44">
        <f>IF(Mecze[[#This Row],[Role]]&lt;&gt;"BR",SUMPRODUCT(Mecze[[#This Row],[/PR:90]:[/BR:90]],Brudnopis!$E$28:$J$28),0)</f>
        <v>0.15306122448979592</v>
      </c>
      <c r="Y30" s="35">
        <f>IF(Mecze[[#This Row],[Role]]="BR",Mecze[[#This Row],[/OB:90]]+Mecze[[#This Row],[/PC:90]],SUM(Mecze[[#This Row],[/PR:90]:[/BR:90]]))</f>
        <v>0.23469387755102039</v>
      </c>
      <c r="Z30" s="35">
        <f>IF(Mecze[[#This Row],[KC]]=0,SUM(Mecze[[#This Row],[/BRI]:[/NPI]]),SUM(Mecze[[#This Row],[/BRI]:[/NPI]])*0.6)</f>
        <v>1.2448979591836735</v>
      </c>
      <c r="AA30" s="10">
        <f>IFERROR(Mecze[[#This Row],[BR]]/Mecze[[#This Row],[ST]],0)</f>
        <v>0</v>
      </c>
      <c r="AB30">
        <f>ROUND(Mecze[[#This Row],[PD]]*Mecze[[#This Row],[%PC]],0)</f>
        <v>15</v>
      </c>
      <c r="AC30">
        <f>ROUND(Mecze[[#This Row],[OD]]*Mecze[[#This Row],[%OU]],0)</f>
        <v>4</v>
      </c>
      <c r="AD30" s="36" t="s">
        <v>41</v>
      </c>
      <c r="AE30" s="36">
        <v>3</v>
      </c>
      <c r="AF30" s="71">
        <v>10</v>
      </c>
      <c r="AG30" s="37">
        <v>0</v>
      </c>
      <c r="AH30" s="37">
        <v>0</v>
      </c>
      <c r="AI30" s="37">
        <v>98</v>
      </c>
      <c r="AJ30">
        <v>2</v>
      </c>
      <c r="AK30" s="37" t="str">
        <f>VLOOKUP(Mecze[[#This Row],[Match ID]],Meczusie[Mecz]:Meczusie[RodzajMeczu],2,FALSE)</f>
        <v>Liga</v>
      </c>
    </row>
    <row r="31" spans="1:41" x14ac:dyDescent="0.25">
      <c r="A31" s="76">
        <v>9</v>
      </c>
      <c r="B31" s="3" t="s">
        <v>227</v>
      </c>
      <c r="C31" s="2" t="s">
        <v>160</v>
      </c>
      <c r="D31" s="1">
        <v>0</v>
      </c>
      <c r="E31" s="1">
        <v>1</v>
      </c>
      <c r="F31" s="1">
        <v>0</v>
      </c>
      <c r="G31" s="1">
        <v>13</v>
      </c>
      <c r="H31" s="4">
        <v>0.77</v>
      </c>
      <c r="I31" s="1">
        <v>5</v>
      </c>
      <c r="J31" s="4">
        <v>0.6</v>
      </c>
      <c r="K31" s="1">
        <v>0</v>
      </c>
      <c r="L31" s="1">
        <v>1</v>
      </c>
      <c r="M31" s="32">
        <f>IF(Mecze[[#This Row],[PR]]=0,0,Mecze[[#This Row],[PR]]/Mecze[[#This Row],[CZAS]])</f>
        <v>1.020408163265306E-2</v>
      </c>
      <c r="N31" s="32">
        <f>IF(Mecze[[#This Row],[OU]]=0,0,Mecze[[#This Row],[OU]]/Mecze[[#This Row],[CZAS]])</f>
        <v>3.0612244897959183E-2</v>
      </c>
      <c r="O31" s="32">
        <f>IF(Mecze[[#This Row],[PC]]=0,0,Mecze[[#This Row],[PC]]/Mecze[[#This Row],[CZAS]])</f>
        <v>0.10204081632653061</v>
      </c>
      <c r="P31" s="32">
        <f>IF(Mecze[[#This Row],[SC]]=0,0,Mecze[[#This Row],[SC]]/Mecze[[#This Row],[CZAS]])</f>
        <v>0</v>
      </c>
      <c r="Q31" s="32">
        <f>IF(Mecze[[#This Row],[OB]]=0,0,Mecze[[#This Row],[OB]]/Mecze[[#This Row],[CZAS]])</f>
        <v>0</v>
      </c>
      <c r="R31" s="32">
        <f>IF(Mecze[[#This Row],[BR]]=0,0,Mecze[[#This Row],[BR]]/Mecze[[#This Row],[CZAS]])</f>
        <v>0</v>
      </c>
      <c r="S31" s="44">
        <f>IF(Mecze[[#This Row],[Role]]="BR",SUMPRODUCT(Mecze[[#This Row],[/PR:90]:[/BR:90]],Brudnopis!$E$23:$J$23),0)</f>
        <v>0</v>
      </c>
      <c r="T31" s="44">
        <f>IF(Mecze[[#This Row],[Role]]&lt;&gt;"BR",SUMPRODUCT(Mecze[[#This Row],[/PR:90]:[/BR:90]],Brudnopis!$E$24:$J$24),0)</f>
        <v>0.15816326530612246</v>
      </c>
      <c r="U31" s="44">
        <f>IF(Mecze[[#This Row],[Role]]&lt;&gt;"BR",SUMPRODUCT(Mecze[[#This Row],[/PR:90]:[/BR:90]],Brudnopis!$E$25:$J$25),0)</f>
        <v>0.19387755102040816</v>
      </c>
      <c r="V31" s="44">
        <f>IF(Mecze[[#This Row],[Role]]&lt;&gt;"BR",SUMPRODUCT(Mecze[[#This Row],[/PR:90]:[/BR:90]],Brudnopis!$E$26:$J$26),0)</f>
        <v>0.14285714285714285</v>
      </c>
      <c r="W31" s="44">
        <f>IF(Mecze[[#This Row],[Role]]&lt;&gt;"BR",SUMPRODUCT(Mecze[[#This Row],[/PR:90]:[/BR:90]],Brudnopis!$E$27:$J$27),0)</f>
        <v>0.18367346938775511</v>
      </c>
      <c r="X31" s="44">
        <f>IF(Mecze[[#This Row],[Role]]&lt;&gt;"BR",SUMPRODUCT(Mecze[[#This Row],[/PR:90]:[/BR:90]],Brudnopis!$E$28:$J$28),0)</f>
        <v>0.10204081632653061</v>
      </c>
      <c r="Y31" s="35">
        <f>IF(Mecze[[#This Row],[Role]]="BR",Mecze[[#This Row],[/OB:90]]+Mecze[[#This Row],[/PC:90]],SUM(Mecze[[#This Row],[/PR:90]:[/BR:90]]))</f>
        <v>0.14285714285714285</v>
      </c>
      <c r="Z31" s="35">
        <f>IF(Mecze[[#This Row],[KC]]=0,SUM(Mecze[[#This Row],[/BRI]:[/NPI]]),SUM(Mecze[[#This Row],[/BRI]:[/NPI]])*0.6)</f>
        <v>0.78061224489795922</v>
      </c>
      <c r="AA31" s="10">
        <f>IFERROR(Mecze[[#This Row],[BR]]/Mecze[[#This Row],[ST]],0)</f>
        <v>0</v>
      </c>
      <c r="AB31">
        <f>ROUND(Mecze[[#This Row],[PD]]*Mecze[[#This Row],[%PC]],0)</f>
        <v>10</v>
      </c>
      <c r="AC31">
        <f>ROUND(Mecze[[#This Row],[OD]]*Mecze[[#This Row],[%OU]],0)</f>
        <v>3</v>
      </c>
      <c r="AD31" s="36" t="s">
        <v>67</v>
      </c>
      <c r="AE31" s="36">
        <v>3</v>
      </c>
      <c r="AF31" s="71">
        <v>8.4600000000000009</v>
      </c>
      <c r="AG31" s="37">
        <v>0</v>
      </c>
      <c r="AH31" s="37">
        <v>0</v>
      </c>
      <c r="AI31" s="37">
        <v>98</v>
      </c>
      <c r="AJ31">
        <v>2</v>
      </c>
      <c r="AK31" s="37" t="str">
        <f>VLOOKUP(Mecze[[#This Row],[Match ID]],Meczusie[Mecz]:Meczusie[RodzajMeczu],2,FALSE)</f>
        <v>Liga</v>
      </c>
    </row>
    <row r="32" spans="1:41" x14ac:dyDescent="0.25">
      <c r="A32" s="76">
        <v>8</v>
      </c>
      <c r="B32" s="3" t="s">
        <v>228</v>
      </c>
      <c r="C32" s="2" t="s">
        <v>160</v>
      </c>
      <c r="D32" s="1">
        <v>0</v>
      </c>
      <c r="E32" s="1">
        <v>0</v>
      </c>
      <c r="F32" s="1">
        <v>0</v>
      </c>
      <c r="G32" s="1">
        <v>8</v>
      </c>
      <c r="H32" s="4">
        <v>1</v>
      </c>
      <c r="I32" s="1">
        <v>0</v>
      </c>
      <c r="J32" s="4">
        <v>0</v>
      </c>
      <c r="K32" s="1">
        <v>0</v>
      </c>
      <c r="L32" s="1">
        <v>1</v>
      </c>
      <c r="M32" s="32">
        <f>IF(Mecze[[#This Row],[PR]]=0,0,Mecze[[#This Row],[PR]]/Mecze[[#This Row],[CZAS]])</f>
        <v>1.020408163265306E-2</v>
      </c>
      <c r="N32" s="32">
        <f>IF(Mecze[[#This Row],[OU]]=0,0,Mecze[[#This Row],[OU]]/Mecze[[#This Row],[CZAS]])</f>
        <v>0</v>
      </c>
      <c r="O32" s="32">
        <f>IF(Mecze[[#This Row],[PC]]=0,0,Mecze[[#This Row],[PC]]/Mecze[[#This Row],[CZAS]])</f>
        <v>8.1632653061224483E-2</v>
      </c>
      <c r="P32" s="32">
        <f>IF(Mecze[[#This Row],[SC]]=0,0,Mecze[[#This Row],[SC]]/Mecze[[#This Row],[CZAS]])</f>
        <v>0</v>
      </c>
      <c r="Q32" s="32">
        <f>IF(Mecze[[#This Row],[OB]]=0,0,Mecze[[#This Row],[OB]]/Mecze[[#This Row],[CZAS]])</f>
        <v>0</v>
      </c>
      <c r="R32" s="32">
        <f>IF(Mecze[[#This Row],[BR]]=0,0,Mecze[[#This Row],[BR]]/Mecze[[#This Row],[CZAS]])</f>
        <v>0</v>
      </c>
      <c r="S32" s="44">
        <f>IF(Mecze[[#This Row],[Role]]="BR",SUMPRODUCT(Mecze[[#This Row],[/PR:90]:[/BR:90]],Brudnopis!$E$23:$J$23),0)</f>
        <v>0</v>
      </c>
      <c r="T32" s="44">
        <f>IF(Mecze[[#This Row],[Role]]&lt;&gt;"BR",SUMPRODUCT(Mecze[[#This Row],[/PR:90]:[/BR:90]],Brudnopis!$E$24:$J$24),0)</f>
        <v>9.1836734693877542E-2</v>
      </c>
      <c r="U32" s="44">
        <f>IF(Mecze[[#This Row],[Role]]&lt;&gt;"BR",SUMPRODUCT(Mecze[[#This Row],[/PR:90]:[/BR:90]],Brudnopis!$E$25:$J$25),0)</f>
        <v>0.1326530612244898</v>
      </c>
      <c r="V32" s="44">
        <f>IF(Mecze[[#This Row],[Role]]&lt;&gt;"BR",SUMPRODUCT(Mecze[[#This Row],[/PR:90]:[/BR:90]],Brudnopis!$E$26:$J$26),0)</f>
        <v>9.1836734693877542E-2</v>
      </c>
      <c r="W32" s="44">
        <f>IF(Mecze[[#This Row],[Role]]&lt;&gt;"BR",SUMPRODUCT(Mecze[[#This Row],[/PR:90]:[/BR:90]],Brudnopis!$E$27:$J$27),0)</f>
        <v>0.13010204081632654</v>
      </c>
      <c r="X32" s="44">
        <f>IF(Mecze[[#This Row],[Role]]&lt;&gt;"BR",SUMPRODUCT(Mecze[[#This Row],[/PR:90]:[/BR:90]],Brudnopis!$E$28:$J$28),0)</f>
        <v>8.1632653061224483E-2</v>
      </c>
      <c r="Y32" s="35">
        <f>IF(Mecze[[#This Row],[Role]]="BR",Mecze[[#This Row],[/OB:90]]+Mecze[[#This Row],[/PC:90]],SUM(Mecze[[#This Row],[/PR:90]:[/BR:90]]))</f>
        <v>9.1836734693877542E-2</v>
      </c>
      <c r="Z32" s="35">
        <f>IF(Mecze[[#This Row],[KC]]=0,SUM(Mecze[[#This Row],[/BRI]:[/NPI]]),SUM(Mecze[[#This Row],[/BRI]:[/NPI]])*0.6)</f>
        <v>0.52806122448979598</v>
      </c>
      <c r="AA32" s="10">
        <f>IFERROR(Mecze[[#This Row],[BR]]/Mecze[[#This Row],[ST]],0)</f>
        <v>0</v>
      </c>
      <c r="AB32">
        <f>ROUND(Mecze[[#This Row],[PD]]*Mecze[[#This Row],[%PC]],0)</f>
        <v>8</v>
      </c>
      <c r="AC32">
        <f>ROUND(Mecze[[#This Row],[OD]]*Mecze[[#This Row],[%OU]],0)</f>
        <v>0</v>
      </c>
      <c r="AD32" s="36" t="s">
        <v>171</v>
      </c>
      <c r="AE32" s="36">
        <v>3</v>
      </c>
      <c r="AF32" s="71">
        <v>10.58</v>
      </c>
      <c r="AG32" s="37">
        <v>0</v>
      </c>
      <c r="AH32" s="37">
        <v>0</v>
      </c>
      <c r="AI32" s="37">
        <v>98</v>
      </c>
      <c r="AJ32">
        <v>2</v>
      </c>
      <c r="AK32" s="37" t="str">
        <f>VLOOKUP(Mecze[[#This Row],[Match ID]],Meczusie[Mecz]:Meczusie[RodzajMeczu],2,FALSE)</f>
        <v>Liga</v>
      </c>
    </row>
    <row r="33" spans="1:41" x14ac:dyDescent="0.25">
      <c r="A33" s="76">
        <v>11</v>
      </c>
      <c r="B33" s="3" t="s">
        <v>229</v>
      </c>
      <c r="C33" s="2" t="s">
        <v>165</v>
      </c>
      <c r="D33" s="1">
        <v>4</v>
      </c>
      <c r="E33" s="1">
        <v>6</v>
      </c>
      <c r="F33" s="1">
        <v>4</v>
      </c>
      <c r="G33" s="1">
        <v>3</v>
      </c>
      <c r="H33" s="4">
        <v>1</v>
      </c>
      <c r="I33" s="1">
        <v>0</v>
      </c>
      <c r="J33" s="4">
        <v>0</v>
      </c>
      <c r="K33" s="1">
        <v>0</v>
      </c>
      <c r="L33" s="1">
        <v>0</v>
      </c>
      <c r="M33" s="32">
        <f>IF(Mecze[[#This Row],[PR]]=0,0,Mecze[[#This Row],[PR]]/Mecze[[#This Row],[CZAS]])</f>
        <v>0</v>
      </c>
      <c r="N33" s="32">
        <f>IF(Mecze[[#This Row],[OU]]=0,0,Mecze[[#This Row],[OU]]/Mecze[[#This Row],[CZAS]])</f>
        <v>0</v>
      </c>
      <c r="O33" s="32">
        <f>IF(Mecze[[#This Row],[PC]]=0,0,Mecze[[#This Row],[PC]]/Mecze[[#This Row],[CZAS]])</f>
        <v>5.1724137931034482E-2</v>
      </c>
      <c r="P33" s="32">
        <f>IF(Mecze[[#This Row],[SC]]=0,0,Mecze[[#This Row],[SC]]/Mecze[[#This Row],[CZAS]])</f>
        <v>6.8965517241379309E-2</v>
      </c>
      <c r="Q33" s="32">
        <f>IF(Mecze[[#This Row],[OB]]=0,0,Mecze[[#This Row],[OB]]/Mecze[[#This Row],[CZAS]])</f>
        <v>0</v>
      </c>
      <c r="R33" s="32">
        <f>IF(Mecze[[#This Row],[BR]]=0,0,Mecze[[#This Row],[BR]]/Mecze[[#This Row],[CZAS]])</f>
        <v>6.8965517241379309E-2</v>
      </c>
      <c r="S33" s="44">
        <f>IF(Mecze[[#This Row],[Role]]="BR",SUMPRODUCT(Mecze[[#This Row],[/PR:90]:[/BR:90]],Brudnopis!$E$23:$J$23),0)</f>
        <v>0</v>
      </c>
      <c r="T33" s="44">
        <f>IF(Mecze[[#This Row],[Role]]&lt;&gt;"BR",SUMPRODUCT(Mecze[[#This Row],[/PR:90]:[/BR:90]],Brudnopis!$E$24:$J$24),0)</f>
        <v>0.22413793103448276</v>
      </c>
      <c r="U33" s="44">
        <f>IF(Mecze[[#This Row],[Role]]&lt;&gt;"BR",SUMPRODUCT(Mecze[[#This Row],[/PR:90]:[/BR:90]],Brudnopis!$E$25:$J$25),0)</f>
        <v>0.25</v>
      </c>
      <c r="V33" s="44">
        <f>IF(Mecze[[#This Row],[Role]]&lt;&gt;"BR",SUMPRODUCT(Mecze[[#This Row],[/PR:90]:[/BR:90]],Brudnopis!$E$26:$J$26),0)</f>
        <v>0.25862068965517238</v>
      </c>
      <c r="W33" s="44">
        <f>IF(Mecze[[#This Row],[Role]]&lt;&gt;"BR",SUMPRODUCT(Mecze[[#This Row],[/PR:90]:[/BR:90]],Brudnopis!$E$27:$J$27),0)</f>
        <v>0.28448275862068967</v>
      </c>
      <c r="X33" s="44">
        <f>IF(Mecze[[#This Row],[Role]]&lt;&gt;"BR",SUMPRODUCT(Mecze[[#This Row],[/PR:90]:[/BR:90]],Brudnopis!$E$28:$J$28),0)</f>
        <v>0.39655172413793105</v>
      </c>
      <c r="Y33" s="35">
        <f>IF(Mecze[[#This Row],[Role]]="BR",Mecze[[#This Row],[/OB:90]]+Mecze[[#This Row],[/PC:90]],SUM(Mecze[[#This Row],[/PR:90]:[/BR:90]]))</f>
        <v>0.18965517241379309</v>
      </c>
      <c r="Z33" s="35">
        <f>IF(Mecze[[#This Row],[KC]]=0,SUM(Mecze[[#This Row],[/BRI]:[/NPI]]),SUM(Mecze[[#This Row],[/BRI]:[/NPI]])*0.6)</f>
        <v>1.4137931034482758</v>
      </c>
      <c r="AA33" s="10">
        <f>IFERROR(Mecze[[#This Row],[BR]]/Mecze[[#This Row],[ST]],0)</f>
        <v>0.66666666666666663</v>
      </c>
      <c r="AB33">
        <f>ROUND(Mecze[[#This Row],[PD]]*Mecze[[#This Row],[%PC]],0)</f>
        <v>3</v>
      </c>
      <c r="AC33">
        <f>ROUND(Mecze[[#This Row],[OD]]*Mecze[[#This Row],[%OU]],0)</f>
        <v>0</v>
      </c>
      <c r="AD33" s="36" t="s">
        <v>46</v>
      </c>
      <c r="AE33" s="36">
        <v>3</v>
      </c>
      <c r="AF33" s="71">
        <v>11.8</v>
      </c>
      <c r="AG33" s="37">
        <v>0</v>
      </c>
      <c r="AH33" s="37">
        <v>0</v>
      </c>
      <c r="AI33" s="37">
        <v>58</v>
      </c>
      <c r="AJ33">
        <v>2</v>
      </c>
      <c r="AK33" s="37" t="str">
        <f>VLOOKUP(Mecze[[#This Row],[Match ID]],Meczusie[Mecz]:Meczusie[RodzajMeczu],2,FALSE)</f>
        <v>Liga</v>
      </c>
    </row>
    <row r="34" spans="1:41" x14ac:dyDescent="0.25">
      <c r="A34" s="76">
        <v>10</v>
      </c>
      <c r="B34" s="3" t="s">
        <v>230</v>
      </c>
      <c r="C34" s="2" t="s">
        <v>165</v>
      </c>
      <c r="D34" s="1">
        <v>0</v>
      </c>
      <c r="E34" s="1">
        <v>0</v>
      </c>
      <c r="F34" s="1">
        <v>0</v>
      </c>
      <c r="G34" s="1">
        <v>13</v>
      </c>
      <c r="H34" s="4">
        <v>0.77</v>
      </c>
      <c r="I34" s="1">
        <v>0</v>
      </c>
      <c r="J34" s="4">
        <v>0</v>
      </c>
      <c r="K34" s="1">
        <v>0</v>
      </c>
      <c r="L34" s="1">
        <v>0</v>
      </c>
      <c r="M34" s="32">
        <f>IF(Mecze[[#This Row],[PR]]=0,0,Mecze[[#This Row],[PR]]/Mecze[[#This Row],[CZAS]])</f>
        <v>0</v>
      </c>
      <c r="N34" s="32">
        <f>IF(Mecze[[#This Row],[OU]]=0,0,Mecze[[#This Row],[OU]]/Mecze[[#This Row],[CZAS]])</f>
        <v>0</v>
      </c>
      <c r="O34" s="32">
        <f>IF(Mecze[[#This Row],[PC]]=0,0,Mecze[[#This Row],[PC]]/Mecze[[#This Row],[CZAS]])</f>
        <v>0.10204081632653061</v>
      </c>
      <c r="P34" s="32">
        <f>IF(Mecze[[#This Row],[SC]]=0,0,Mecze[[#This Row],[SC]]/Mecze[[#This Row],[CZAS]])</f>
        <v>0</v>
      </c>
      <c r="Q34" s="32">
        <f>IF(Mecze[[#This Row],[OB]]=0,0,Mecze[[#This Row],[OB]]/Mecze[[#This Row],[CZAS]])</f>
        <v>0</v>
      </c>
      <c r="R34" s="32">
        <f>IF(Mecze[[#This Row],[BR]]=0,0,Mecze[[#This Row],[BR]]/Mecze[[#This Row],[CZAS]])</f>
        <v>0</v>
      </c>
      <c r="S34" s="44">
        <f>IF(Mecze[[#This Row],[Role]]="BR",SUMPRODUCT(Mecze[[#This Row],[/PR:90]:[/BR:90]],Brudnopis!$E$23:$J$23),0)</f>
        <v>0</v>
      </c>
      <c r="T34" s="44">
        <f>IF(Mecze[[#This Row],[Role]]&lt;&gt;"BR",SUMPRODUCT(Mecze[[#This Row],[/PR:90]:[/BR:90]],Brudnopis!$E$24:$J$24),0)</f>
        <v>0.10204081632653061</v>
      </c>
      <c r="U34" s="44">
        <f>IF(Mecze[[#This Row],[Role]]&lt;&gt;"BR",SUMPRODUCT(Mecze[[#This Row],[/PR:90]:[/BR:90]],Brudnopis!$E$25:$J$25),0)</f>
        <v>0.15306122448979592</v>
      </c>
      <c r="V34" s="44">
        <f>IF(Mecze[[#This Row],[Role]]&lt;&gt;"BR",SUMPRODUCT(Mecze[[#This Row],[/PR:90]:[/BR:90]],Brudnopis!$E$26:$J$26),0)</f>
        <v>0.10204081632653061</v>
      </c>
      <c r="W34" s="44">
        <f>IF(Mecze[[#This Row],[Role]]&lt;&gt;"BR",SUMPRODUCT(Mecze[[#This Row],[/PR:90]:[/BR:90]],Brudnopis!$E$27:$J$27),0)</f>
        <v>0.15306122448979592</v>
      </c>
      <c r="X34" s="44">
        <f>IF(Mecze[[#This Row],[Role]]&lt;&gt;"BR",SUMPRODUCT(Mecze[[#This Row],[/PR:90]:[/BR:90]],Brudnopis!$E$28:$J$28),0)</f>
        <v>0.10204081632653061</v>
      </c>
      <c r="Y34" s="35">
        <f>IF(Mecze[[#This Row],[Role]]="BR",Mecze[[#This Row],[/OB:90]]+Mecze[[#This Row],[/PC:90]],SUM(Mecze[[#This Row],[/PR:90]:[/BR:90]]))</f>
        <v>0.10204081632653061</v>
      </c>
      <c r="Z34" s="35">
        <f>IF(Mecze[[#This Row],[KC]]=0,SUM(Mecze[[#This Row],[/BRI]:[/NPI]]),SUM(Mecze[[#This Row],[/BRI]:[/NPI]])*0.6)</f>
        <v>0.61224489795918369</v>
      </c>
      <c r="AA34" s="10">
        <f>IFERROR(Mecze[[#This Row],[BR]]/Mecze[[#This Row],[ST]],0)</f>
        <v>0</v>
      </c>
      <c r="AB34">
        <f>ROUND(Mecze[[#This Row],[PD]]*Mecze[[#This Row],[%PC]],0)</f>
        <v>10</v>
      </c>
      <c r="AC34">
        <f>ROUND(Mecze[[#This Row],[OD]]*Mecze[[#This Row],[%OU]],0)</f>
        <v>0</v>
      </c>
      <c r="AD34" s="36" t="s">
        <v>232</v>
      </c>
      <c r="AE34" s="36">
        <v>3</v>
      </c>
      <c r="AF34" s="71">
        <v>5.26</v>
      </c>
      <c r="AG34" s="37">
        <v>0</v>
      </c>
      <c r="AH34" s="37">
        <v>0</v>
      </c>
      <c r="AI34" s="37">
        <v>98</v>
      </c>
      <c r="AJ34">
        <v>2</v>
      </c>
      <c r="AK34" s="37" t="str">
        <f>VLOOKUP(Mecze[[#This Row],[Match ID]],Meczusie[Mecz]:Meczusie[RodzajMeczu],2,FALSE)</f>
        <v>Liga</v>
      </c>
    </row>
    <row r="35" spans="1:41" x14ac:dyDescent="0.25">
      <c r="A35" s="76">
        <v>12</v>
      </c>
      <c r="B35" s="3" t="s">
        <v>231</v>
      </c>
      <c r="C35" s="2" t="s">
        <v>165</v>
      </c>
      <c r="D35" s="1">
        <v>4</v>
      </c>
      <c r="E35" s="1">
        <v>9</v>
      </c>
      <c r="F35" s="1">
        <v>9</v>
      </c>
      <c r="G35" s="1">
        <v>4</v>
      </c>
      <c r="H35" s="4">
        <v>0.5</v>
      </c>
      <c r="I35" s="1">
        <v>1</v>
      </c>
      <c r="J35" s="4">
        <v>1</v>
      </c>
      <c r="K35" s="1">
        <v>0</v>
      </c>
      <c r="L35" s="1">
        <v>1</v>
      </c>
      <c r="M35" s="32">
        <f>IF(Mecze[[#This Row],[PR]]=0,0,Mecze[[#This Row],[PR]]/Mecze[[#This Row],[CZAS]])</f>
        <v>2.5000000000000001E-2</v>
      </c>
      <c r="N35" s="32">
        <f>IF(Mecze[[#This Row],[OU]]=0,0,Mecze[[#This Row],[OU]]/Mecze[[#This Row],[CZAS]])</f>
        <v>2.5000000000000001E-2</v>
      </c>
      <c r="O35" s="32">
        <f>IF(Mecze[[#This Row],[PC]]=0,0,Mecze[[#This Row],[PC]]/Mecze[[#This Row],[CZAS]])</f>
        <v>0.05</v>
      </c>
      <c r="P35" s="32">
        <f>IF(Mecze[[#This Row],[SC]]=0,0,Mecze[[#This Row],[SC]]/Mecze[[#This Row],[CZAS]])</f>
        <v>0.22500000000000001</v>
      </c>
      <c r="Q35" s="32">
        <f>IF(Mecze[[#This Row],[OB]]=0,0,Mecze[[#This Row],[OB]]/Mecze[[#This Row],[CZAS]])</f>
        <v>0</v>
      </c>
      <c r="R35" s="32">
        <f>IF(Mecze[[#This Row],[BR]]=0,0,Mecze[[#This Row],[BR]]/Mecze[[#This Row],[CZAS]])</f>
        <v>0.1</v>
      </c>
      <c r="S35" s="44">
        <f>IF(Mecze[[#This Row],[Role]]="BR",SUMPRODUCT(Mecze[[#This Row],[/PR:90]:[/BR:90]],Brudnopis!$E$23:$J$23),0)</f>
        <v>0</v>
      </c>
      <c r="T35" s="44">
        <f>IF(Mecze[[#This Row],[Role]]&lt;&gt;"BR",SUMPRODUCT(Mecze[[#This Row],[/PR:90]:[/BR:90]],Brudnopis!$E$24:$J$24),0)</f>
        <v>0.48750000000000004</v>
      </c>
      <c r="U35" s="44">
        <f>IF(Mecze[[#This Row],[Role]]&lt;&gt;"BR",SUMPRODUCT(Mecze[[#This Row],[/PR:90]:[/BR:90]],Brudnopis!$E$25:$J$25),0)</f>
        <v>0.5</v>
      </c>
      <c r="V35" s="44">
        <f>IF(Mecze[[#This Row],[Role]]&lt;&gt;"BR",SUMPRODUCT(Mecze[[#This Row],[/PR:90]:[/BR:90]],Brudnopis!$E$26:$J$26),0)</f>
        <v>0.52500000000000002</v>
      </c>
      <c r="W35" s="44">
        <f>IF(Mecze[[#This Row],[Role]]&lt;&gt;"BR",SUMPRODUCT(Mecze[[#This Row],[/PR:90]:[/BR:90]],Brudnopis!$E$27:$J$27),0)</f>
        <v>0.53750000000000009</v>
      </c>
      <c r="X35" s="44">
        <f>IF(Mecze[[#This Row],[Role]]&lt;&gt;"BR",SUMPRODUCT(Mecze[[#This Row],[/PR:90]:[/BR:90]],Brudnopis!$E$28:$J$28),0)</f>
        <v>0.8</v>
      </c>
      <c r="Y35" s="35">
        <f>IF(Mecze[[#This Row],[Role]]="BR",Mecze[[#This Row],[/OB:90]]+Mecze[[#This Row],[/PC:90]],SUM(Mecze[[#This Row],[/PR:90]:[/BR:90]]))</f>
        <v>0.42500000000000004</v>
      </c>
      <c r="Z35" s="35">
        <f>IF(Mecze[[#This Row],[KC]]=0,SUM(Mecze[[#This Row],[/BRI]:[/NPI]]),SUM(Mecze[[#This Row],[/BRI]:[/NPI]])*0.6)</f>
        <v>2.8500000000000005</v>
      </c>
      <c r="AA35" s="10">
        <f>IFERROR(Mecze[[#This Row],[BR]]/Mecze[[#This Row],[ST]],0)</f>
        <v>0.44444444444444442</v>
      </c>
      <c r="AB35">
        <f>ROUND(Mecze[[#This Row],[PD]]*Mecze[[#This Row],[%PC]],0)</f>
        <v>2</v>
      </c>
      <c r="AC35">
        <f>ROUND(Mecze[[#This Row],[OD]]*Mecze[[#This Row],[%OU]],0)</f>
        <v>1</v>
      </c>
      <c r="AD35" s="36" t="s">
        <v>46</v>
      </c>
      <c r="AE35" s="36">
        <v>3</v>
      </c>
      <c r="AF35" s="71">
        <v>12.9</v>
      </c>
      <c r="AG35" s="37">
        <v>0</v>
      </c>
      <c r="AH35" s="37">
        <v>0</v>
      </c>
      <c r="AI35" s="37">
        <v>40</v>
      </c>
      <c r="AJ35">
        <v>2</v>
      </c>
      <c r="AK35" s="37" t="str">
        <f>VLOOKUP(Mecze[[#This Row],[Match ID]],Meczusie[Mecz]:Meczusie[RodzajMeczu],2,FALSE)</f>
        <v>Liga</v>
      </c>
    </row>
    <row r="36" spans="1:41" x14ac:dyDescent="0.25">
      <c r="A36" s="76">
        <v>1</v>
      </c>
      <c r="B36" s="3" t="s">
        <v>236</v>
      </c>
      <c r="C36" s="2" t="s">
        <v>155</v>
      </c>
      <c r="D36" s="1">
        <v>0</v>
      </c>
      <c r="E36" s="1">
        <v>0</v>
      </c>
      <c r="F36" s="1">
        <v>0</v>
      </c>
      <c r="G36" s="1">
        <v>17</v>
      </c>
      <c r="H36" s="4">
        <v>0.28999999999999998</v>
      </c>
      <c r="I36" s="1">
        <v>0</v>
      </c>
      <c r="J36" s="4">
        <v>0</v>
      </c>
      <c r="K36" s="1">
        <v>14</v>
      </c>
      <c r="L36" s="1">
        <v>0</v>
      </c>
      <c r="M36" s="32">
        <f>IF(Mecze[[#This Row],[PR]]=0,0,Mecze[[#This Row],[PR]]/Mecze[[#This Row],[CZAS]])</f>
        <v>0</v>
      </c>
      <c r="N36" s="32">
        <f>IF(Mecze[[#This Row],[OU]]=0,0,Mecze[[#This Row],[OU]]/Mecze[[#This Row],[CZAS]])</f>
        <v>0</v>
      </c>
      <c r="O36" s="32">
        <f>IF(Mecze[[#This Row],[PC]]=0,0,Mecze[[#This Row],[PC]]/Mecze[[#This Row],[CZAS]])</f>
        <v>5.1546391752577317E-2</v>
      </c>
      <c r="P36" s="32">
        <f>IF(Mecze[[#This Row],[SC]]=0,0,Mecze[[#This Row],[SC]]/Mecze[[#This Row],[CZAS]])</f>
        <v>0</v>
      </c>
      <c r="Q36" s="32">
        <f>IF(Mecze[[#This Row],[OB]]=0,0,Mecze[[#This Row],[OB]]/Mecze[[#This Row],[CZAS]])</f>
        <v>0.14432989690721648</v>
      </c>
      <c r="R36" s="32">
        <f>IF(Mecze[[#This Row],[BR]]=0,0,Mecze[[#This Row],[BR]]/Mecze[[#This Row],[CZAS]])</f>
        <v>0</v>
      </c>
      <c r="S36" s="44">
        <f>IF(Mecze[[#This Row],[Role]]="BR",SUMPRODUCT(Mecze[[#This Row],[/PR:90]:[/BR:90]],Brudnopis!$E$23:$J$23),0)</f>
        <v>0.58762886597938135</v>
      </c>
      <c r="T36" s="44">
        <f>IF(Mecze[[#This Row],[Role]]&lt;&gt;"BR",SUMPRODUCT(Mecze[[#This Row],[/PR:90]:[/BR:90]],Brudnopis!$E$24:$J$24),0)</f>
        <v>0</v>
      </c>
      <c r="U36" s="44">
        <f>IF(Mecze[[#This Row],[Role]]&lt;&gt;"BR",SUMPRODUCT(Mecze[[#This Row],[/PR:90]:[/BR:90]],Brudnopis!$E$25:$J$25),0)</f>
        <v>0</v>
      </c>
      <c r="V36" s="44">
        <f>IF(Mecze[[#This Row],[Role]]&lt;&gt;"BR",SUMPRODUCT(Mecze[[#This Row],[/PR:90]:[/BR:90]],Brudnopis!$E$26:$J$26),0)</f>
        <v>0</v>
      </c>
      <c r="W36" s="44">
        <f>IF(Mecze[[#This Row],[Role]]&lt;&gt;"BR",SUMPRODUCT(Mecze[[#This Row],[/PR:90]:[/BR:90]],Brudnopis!$E$27:$J$27),0)</f>
        <v>0</v>
      </c>
      <c r="X36" s="44">
        <f>IF(Mecze[[#This Row],[Role]]&lt;&gt;"BR",SUMPRODUCT(Mecze[[#This Row],[/PR:90]:[/BR:90]],Brudnopis!$E$28:$J$28),0)</f>
        <v>0</v>
      </c>
      <c r="Y36" s="35">
        <f>IF(Mecze[[#This Row],[Role]]="BR",Mecze[[#This Row],[/OB:90]]+Mecze[[#This Row],[/PC:90]],SUM(Mecze[[#This Row],[/PR:90]:[/BR:90]]))</f>
        <v>0.19587628865979378</v>
      </c>
      <c r="Z36" s="35">
        <f>IF(Mecze[[#This Row],[KC]]=0,SUM(Mecze[[#This Row],[/BRI]:[/NPI]]),SUM(Mecze[[#This Row],[/BRI]:[/NPI]])*0.6)</f>
        <v>0.58762886597938135</v>
      </c>
      <c r="AA36" s="10">
        <f>IFERROR(Mecze[[#This Row],[BR]]/Mecze[[#This Row],[ST]],0)</f>
        <v>0</v>
      </c>
      <c r="AB36">
        <f>ROUND(Mecze[[#This Row],[PD]]*Mecze[[#This Row],[%PC]],0)</f>
        <v>5</v>
      </c>
      <c r="AC36">
        <f>ROUND(Mecze[[#This Row],[OD]]*Mecze[[#This Row],[%OU]],0)</f>
        <v>0</v>
      </c>
      <c r="AD36" s="36" t="s">
        <v>40</v>
      </c>
      <c r="AE36" s="36">
        <v>4</v>
      </c>
      <c r="AF36" s="71">
        <v>7.6</v>
      </c>
      <c r="AG36" s="37">
        <v>0</v>
      </c>
      <c r="AH36" s="37">
        <v>0</v>
      </c>
      <c r="AI36" s="37">
        <v>97</v>
      </c>
      <c r="AJ36">
        <v>10</v>
      </c>
      <c r="AK36" s="37" t="str">
        <f>VLOOKUP(Mecze[[#This Row],[Match ID]],Meczusie[Mecz]:Meczusie[RodzajMeczu],2,FALSE)</f>
        <v>Liga</v>
      </c>
    </row>
    <row r="37" spans="1:41" x14ac:dyDescent="0.25">
      <c r="A37" s="76">
        <v>3</v>
      </c>
      <c r="B37" s="3" t="s">
        <v>237</v>
      </c>
      <c r="C37" s="2" t="s">
        <v>157</v>
      </c>
      <c r="D37" s="1">
        <v>0</v>
      </c>
      <c r="E37" s="1">
        <v>0</v>
      </c>
      <c r="F37" s="1">
        <v>0</v>
      </c>
      <c r="G37" s="1">
        <v>9</v>
      </c>
      <c r="H37" s="4">
        <v>0.56000000000000005</v>
      </c>
      <c r="I37" s="1">
        <v>6</v>
      </c>
      <c r="J37" s="4">
        <v>0.67</v>
      </c>
      <c r="K37" s="1">
        <v>0</v>
      </c>
      <c r="L37" s="1">
        <v>12</v>
      </c>
      <c r="M37" s="32">
        <f>IF(Mecze[[#This Row],[PR]]=0,0,Mecze[[#This Row],[PR]]/Mecze[[#This Row],[CZAS]])</f>
        <v>0.12371134020618557</v>
      </c>
      <c r="N37" s="32">
        <f>IF(Mecze[[#This Row],[OU]]=0,0,Mecze[[#This Row],[OU]]/Mecze[[#This Row],[CZAS]])</f>
        <v>4.1237113402061855E-2</v>
      </c>
      <c r="O37" s="32">
        <f>IF(Mecze[[#This Row],[PC]]=0,0,Mecze[[#This Row],[PC]]/Mecze[[#This Row],[CZAS]])</f>
        <v>5.1546391752577317E-2</v>
      </c>
      <c r="P37" s="32">
        <f>IF(Mecze[[#This Row],[SC]]=0,0,Mecze[[#This Row],[SC]]/Mecze[[#This Row],[CZAS]])</f>
        <v>0</v>
      </c>
      <c r="Q37" s="32">
        <f>IF(Mecze[[#This Row],[OB]]=0,0,Mecze[[#This Row],[OB]]/Mecze[[#This Row],[CZAS]])</f>
        <v>0</v>
      </c>
      <c r="R37" s="32">
        <f>IF(Mecze[[#This Row],[BR]]=0,0,Mecze[[#This Row],[BR]]/Mecze[[#This Row],[CZAS]])</f>
        <v>0</v>
      </c>
      <c r="S37" s="44">
        <f>IF(Mecze[[#This Row],[Role]]="BR",SUMPRODUCT(Mecze[[#This Row],[/PR:90]:[/BR:90]],Brudnopis!$E$23:$J$23),0)</f>
        <v>0</v>
      </c>
      <c r="T37" s="44">
        <f>IF(Mecze[[#This Row],[Role]]&lt;&gt;"BR",SUMPRODUCT(Mecze[[#This Row],[/PR:90]:[/BR:90]],Brudnopis!$E$24:$J$24),0)</f>
        <v>0.23711340206185566</v>
      </c>
      <c r="U37" s="44">
        <f>IF(Mecze[[#This Row],[Role]]&lt;&gt;"BR",SUMPRODUCT(Mecze[[#This Row],[/PR:90]:[/BR:90]],Brudnopis!$E$25:$J$25),0)</f>
        <v>0.2422680412371134</v>
      </c>
      <c r="V37" s="44">
        <f>IF(Mecze[[#This Row],[Role]]&lt;&gt;"BR",SUMPRODUCT(Mecze[[#This Row],[/PR:90]:[/BR:90]],Brudnopis!$E$26:$J$26),0)</f>
        <v>0.21649484536082475</v>
      </c>
      <c r="W37" s="44">
        <f>IF(Mecze[[#This Row],[Role]]&lt;&gt;"BR",SUMPRODUCT(Mecze[[#This Row],[/PR:90]:[/BR:90]],Brudnopis!$E$27:$J$27),0)</f>
        <v>0.20103092783505155</v>
      </c>
      <c r="X37" s="44">
        <f>IF(Mecze[[#This Row],[Role]]&lt;&gt;"BR",SUMPRODUCT(Mecze[[#This Row],[/PR:90]:[/BR:90]],Brudnopis!$E$28:$J$28),0)</f>
        <v>5.1546391752577317E-2</v>
      </c>
      <c r="Y37" s="35">
        <f>IF(Mecze[[#This Row],[Role]]="BR",Mecze[[#This Row],[/OB:90]]+Mecze[[#This Row],[/PC:90]],SUM(Mecze[[#This Row],[/PR:90]:[/BR:90]]))</f>
        <v>0.21649484536082475</v>
      </c>
      <c r="Z37" s="35">
        <f>IF(Mecze[[#This Row],[KC]]=0,SUM(Mecze[[#This Row],[/BRI]:[/NPI]]),SUM(Mecze[[#This Row],[/BRI]:[/NPI]])*0.6)</f>
        <v>0.94845360824742264</v>
      </c>
      <c r="AA37" s="10">
        <f>IFERROR(Mecze[[#This Row],[BR]]/Mecze[[#This Row],[ST]],0)</f>
        <v>0</v>
      </c>
      <c r="AB37">
        <f>ROUND(Mecze[[#This Row],[PD]]*Mecze[[#This Row],[%PC]],0)</f>
        <v>5</v>
      </c>
      <c r="AC37">
        <f>ROUND(Mecze[[#This Row],[OD]]*Mecze[[#This Row],[%OU]],0)</f>
        <v>4</v>
      </c>
      <c r="AD37" s="36" t="s">
        <v>47</v>
      </c>
      <c r="AE37" s="36">
        <v>4</v>
      </c>
      <c r="AF37" s="71">
        <v>5.23</v>
      </c>
      <c r="AG37" s="37">
        <v>1</v>
      </c>
      <c r="AH37" s="37">
        <v>0</v>
      </c>
      <c r="AI37" s="37">
        <v>97</v>
      </c>
      <c r="AJ37">
        <v>10</v>
      </c>
      <c r="AK37" s="37" t="str">
        <f>VLOOKUP(Mecze[[#This Row],[Match ID]],Meczusie[Mecz]:Meczusie[RodzajMeczu],2,FALSE)</f>
        <v>Liga</v>
      </c>
    </row>
    <row r="38" spans="1:41" x14ac:dyDescent="0.25">
      <c r="A38" s="76">
        <v>4</v>
      </c>
      <c r="B38" s="3" t="s">
        <v>238</v>
      </c>
      <c r="C38" s="2" t="s">
        <v>157</v>
      </c>
      <c r="D38" s="1">
        <v>0</v>
      </c>
      <c r="E38" s="1">
        <v>0</v>
      </c>
      <c r="F38" s="1">
        <v>0</v>
      </c>
      <c r="G38" s="1">
        <v>10</v>
      </c>
      <c r="H38" s="4">
        <v>0.3</v>
      </c>
      <c r="I38" s="1">
        <v>4</v>
      </c>
      <c r="J38" s="4">
        <v>1</v>
      </c>
      <c r="K38" s="1">
        <v>0</v>
      </c>
      <c r="L38" s="1">
        <v>7</v>
      </c>
      <c r="M38" s="32">
        <f>IF(Mecze[[#This Row],[PR]]=0,0,Mecze[[#This Row],[PR]]/Mecze[[#This Row],[CZAS]])</f>
        <v>7.2164948453608241E-2</v>
      </c>
      <c r="N38" s="32">
        <f>IF(Mecze[[#This Row],[OU]]=0,0,Mecze[[#This Row],[OU]]/Mecze[[#This Row],[CZAS]])</f>
        <v>4.1237113402061855E-2</v>
      </c>
      <c r="O38" s="32">
        <f>IF(Mecze[[#This Row],[PC]]=0,0,Mecze[[#This Row],[PC]]/Mecze[[#This Row],[CZAS]])</f>
        <v>3.0927835051546393E-2</v>
      </c>
      <c r="P38" s="32">
        <f>IF(Mecze[[#This Row],[SC]]=0,0,Mecze[[#This Row],[SC]]/Mecze[[#This Row],[CZAS]])</f>
        <v>0</v>
      </c>
      <c r="Q38" s="32">
        <f>IF(Mecze[[#This Row],[OB]]=0,0,Mecze[[#This Row],[OB]]/Mecze[[#This Row],[CZAS]])</f>
        <v>0</v>
      </c>
      <c r="R38" s="32">
        <f>IF(Mecze[[#This Row],[BR]]=0,0,Mecze[[#This Row],[BR]]/Mecze[[#This Row],[CZAS]])</f>
        <v>0</v>
      </c>
      <c r="S38" s="44">
        <f>IF(Mecze[[#This Row],[Role]]="BR",SUMPRODUCT(Mecze[[#This Row],[/PR:90]:[/BR:90]],Brudnopis!$E$23:$J$23),0)</f>
        <v>0</v>
      </c>
      <c r="T38" s="44">
        <f>IF(Mecze[[#This Row],[Role]]&lt;&gt;"BR",SUMPRODUCT(Mecze[[#This Row],[/PR:90]:[/BR:90]],Brudnopis!$E$24:$J$24),0)</f>
        <v>0.16494845360824742</v>
      </c>
      <c r="U38" s="44">
        <f>IF(Mecze[[#This Row],[Role]]&lt;&gt;"BR",SUMPRODUCT(Mecze[[#This Row],[/PR:90]:[/BR:90]],Brudnopis!$E$25:$J$25),0)</f>
        <v>0.15979381443298968</v>
      </c>
      <c r="V38" s="44">
        <f>IF(Mecze[[#This Row],[Role]]&lt;&gt;"BR",SUMPRODUCT(Mecze[[#This Row],[/PR:90]:[/BR:90]],Brudnopis!$E$26:$J$26),0)</f>
        <v>0.14432989690721648</v>
      </c>
      <c r="W38" s="44">
        <f>IF(Mecze[[#This Row],[Role]]&lt;&gt;"BR",SUMPRODUCT(Mecze[[#This Row],[/PR:90]:[/BR:90]],Brudnopis!$E$27:$J$27),0)</f>
        <v>0.13144329896907217</v>
      </c>
      <c r="X38" s="44">
        <f>IF(Mecze[[#This Row],[Role]]&lt;&gt;"BR",SUMPRODUCT(Mecze[[#This Row],[/PR:90]:[/BR:90]],Brudnopis!$E$28:$J$28),0)</f>
        <v>3.0927835051546393E-2</v>
      </c>
      <c r="Y38" s="35">
        <f>IF(Mecze[[#This Row],[Role]]="BR",Mecze[[#This Row],[/OB:90]]+Mecze[[#This Row],[/PC:90]],SUM(Mecze[[#This Row],[/PR:90]:[/BR:90]]))</f>
        <v>0.14432989690721648</v>
      </c>
      <c r="Z38" s="35">
        <f>IF(Mecze[[#This Row],[KC]]=0,SUM(Mecze[[#This Row],[/BRI]:[/NPI]]),SUM(Mecze[[#This Row],[/BRI]:[/NPI]])*0.6)</f>
        <v>0.63144329896907214</v>
      </c>
      <c r="AA38" s="10">
        <f>IFERROR(Mecze[[#This Row],[BR]]/Mecze[[#This Row],[ST]],0)</f>
        <v>0</v>
      </c>
      <c r="AB38">
        <f>ROUND(Mecze[[#This Row],[PD]]*Mecze[[#This Row],[%PC]],0)</f>
        <v>3</v>
      </c>
      <c r="AC38">
        <f>ROUND(Mecze[[#This Row],[OD]]*Mecze[[#This Row],[%OU]],0)</f>
        <v>4</v>
      </c>
      <c r="AD38" s="36" t="s">
        <v>47</v>
      </c>
      <c r="AE38" s="36">
        <v>4</v>
      </c>
      <c r="AF38" s="71">
        <v>7.32</v>
      </c>
      <c r="AG38" s="37">
        <v>0</v>
      </c>
      <c r="AH38" s="37">
        <v>0</v>
      </c>
      <c r="AI38" s="37">
        <v>97</v>
      </c>
      <c r="AJ38">
        <v>10</v>
      </c>
      <c r="AK38" s="37" t="str">
        <f>VLOOKUP(Mecze[[#This Row],[Match ID]],Meczusie[Mecz]:Meczusie[RodzajMeczu],2,FALSE)</f>
        <v>Liga</v>
      </c>
    </row>
    <row r="39" spans="1:41" x14ac:dyDescent="0.25">
      <c r="A39" s="76">
        <v>12</v>
      </c>
      <c r="B39" s="3" t="s">
        <v>239</v>
      </c>
      <c r="C39" s="2" t="s">
        <v>157</v>
      </c>
      <c r="D39" s="1">
        <v>0</v>
      </c>
      <c r="E39" s="1">
        <v>0</v>
      </c>
      <c r="F39" s="1">
        <v>0</v>
      </c>
      <c r="G39" s="1">
        <v>2</v>
      </c>
      <c r="H39" s="4">
        <v>1</v>
      </c>
      <c r="I39" s="1">
        <v>0</v>
      </c>
      <c r="J39" s="4">
        <v>0</v>
      </c>
      <c r="K39" s="1">
        <v>0</v>
      </c>
      <c r="L39" s="1">
        <v>2</v>
      </c>
      <c r="M39" s="32">
        <f>IF(Mecze[[#This Row],[PR]]=0,0,Mecze[[#This Row],[PR]]/Mecze[[#This Row],[CZAS]])</f>
        <v>2.0618556701030927E-2</v>
      </c>
      <c r="N39" s="32">
        <f>IF(Mecze[[#This Row],[OU]]=0,0,Mecze[[#This Row],[OU]]/Mecze[[#This Row],[CZAS]])</f>
        <v>0</v>
      </c>
      <c r="O39" s="32">
        <f>IF(Mecze[[#This Row],[PC]]=0,0,Mecze[[#This Row],[PC]]/Mecze[[#This Row],[CZAS]])</f>
        <v>2.0618556701030927E-2</v>
      </c>
      <c r="P39" s="32">
        <f>IF(Mecze[[#This Row],[SC]]=0,0,Mecze[[#This Row],[SC]]/Mecze[[#This Row],[CZAS]])</f>
        <v>0</v>
      </c>
      <c r="Q39" s="32">
        <f>IF(Mecze[[#This Row],[OB]]=0,0,Mecze[[#This Row],[OB]]/Mecze[[#This Row],[CZAS]])</f>
        <v>0</v>
      </c>
      <c r="R39" s="32">
        <f>IF(Mecze[[#This Row],[BR]]=0,0,Mecze[[#This Row],[BR]]/Mecze[[#This Row],[CZAS]])</f>
        <v>0</v>
      </c>
      <c r="S39" s="44">
        <f>IF(Mecze[[#This Row],[Role]]="BR",SUMPRODUCT(Mecze[[#This Row],[/PR:90]:[/BR:90]],Brudnopis!$E$23:$J$23),0)</f>
        <v>0</v>
      </c>
      <c r="T39" s="44">
        <f>IF(Mecze[[#This Row],[Role]]&lt;&gt;"BR",SUMPRODUCT(Mecze[[#This Row],[/PR:90]:[/BR:90]],Brudnopis!$E$24:$J$24),0)</f>
        <v>4.1237113402061855E-2</v>
      </c>
      <c r="U39" s="44">
        <f>IF(Mecze[[#This Row],[Role]]&lt;&gt;"BR",SUMPRODUCT(Mecze[[#This Row],[/PR:90]:[/BR:90]],Brudnopis!$E$25:$J$25),0)</f>
        <v>5.1546391752577317E-2</v>
      </c>
      <c r="V39" s="44">
        <f>IF(Mecze[[#This Row],[Role]]&lt;&gt;"BR",SUMPRODUCT(Mecze[[#This Row],[/PR:90]:[/BR:90]],Brudnopis!$E$26:$J$26),0)</f>
        <v>4.1237113402061855E-2</v>
      </c>
      <c r="W39" s="44">
        <f>IF(Mecze[[#This Row],[Role]]&lt;&gt;"BR",SUMPRODUCT(Mecze[[#This Row],[/PR:90]:[/BR:90]],Brudnopis!$E$27:$J$27),0)</f>
        <v>4.6391752577319589E-2</v>
      </c>
      <c r="X39" s="44">
        <f>IF(Mecze[[#This Row],[Role]]&lt;&gt;"BR",SUMPRODUCT(Mecze[[#This Row],[/PR:90]:[/BR:90]],Brudnopis!$E$28:$J$28),0)</f>
        <v>2.0618556701030927E-2</v>
      </c>
      <c r="Y39" s="35">
        <f>IF(Mecze[[#This Row],[Role]]="BR",Mecze[[#This Row],[/OB:90]]+Mecze[[#This Row],[/PC:90]],SUM(Mecze[[#This Row],[/PR:90]:[/BR:90]]))</f>
        <v>4.1237113402061855E-2</v>
      </c>
      <c r="Z39" s="35">
        <f>IF(Mecze[[#This Row],[KC]]=0,SUM(Mecze[[#This Row],[/BRI]:[/NPI]]),SUM(Mecze[[#This Row],[/BRI]:[/NPI]])*0.6)</f>
        <v>0.20103092783505155</v>
      </c>
      <c r="AA39" s="10">
        <f>IFERROR(Mecze[[#This Row],[BR]]/Mecze[[#This Row],[ST]],0)</f>
        <v>0</v>
      </c>
      <c r="AB39">
        <f>ROUND(Mecze[[#This Row],[PD]]*Mecze[[#This Row],[%PC]],0)</f>
        <v>2</v>
      </c>
      <c r="AC39">
        <f>ROUND(Mecze[[#This Row],[OD]]*Mecze[[#This Row],[%OU]],0)</f>
        <v>0</v>
      </c>
      <c r="AD39" s="36" t="s">
        <v>175</v>
      </c>
      <c r="AE39" s="36">
        <v>4</v>
      </c>
      <c r="AF39" s="71">
        <v>3.12</v>
      </c>
      <c r="AG39" s="37">
        <v>0</v>
      </c>
      <c r="AH39" s="37">
        <v>0</v>
      </c>
      <c r="AI39" s="37">
        <v>97</v>
      </c>
      <c r="AJ39">
        <v>10</v>
      </c>
      <c r="AK39" s="37" t="str">
        <f>VLOOKUP(Mecze[[#This Row],[Match ID]],Meczusie[Mecz]:Meczusie[RodzajMeczu],2,FALSE)</f>
        <v>Liga</v>
      </c>
    </row>
    <row r="40" spans="1:41" x14ac:dyDescent="0.25">
      <c r="A40" s="76">
        <v>2</v>
      </c>
      <c r="B40" s="3" t="s">
        <v>240</v>
      </c>
      <c r="C40" s="2" t="s">
        <v>157</v>
      </c>
      <c r="D40" s="1">
        <v>0</v>
      </c>
      <c r="E40" s="1">
        <v>0</v>
      </c>
      <c r="F40" s="1">
        <v>0</v>
      </c>
      <c r="G40" s="1">
        <v>7</v>
      </c>
      <c r="H40" s="4">
        <v>0.14000000000000001</v>
      </c>
      <c r="I40" s="1">
        <v>5</v>
      </c>
      <c r="J40" s="4">
        <v>0.6</v>
      </c>
      <c r="K40" s="1">
        <v>0</v>
      </c>
      <c r="L40" s="1">
        <v>3</v>
      </c>
      <c r="M40" s="32">
        <f>IF(Mecze[[#This Row],[PR]]=0,0,Mecze[[#This Row],[PR]]/Mecze[[#This Row],[CZAS]])</f>
        <v>3.0927835051546393E-2</v>
      </c>
      <c r="N40" s="32">
        <f>IF(Mecze[[#This Row],[OU]]=0,0,Mecze[[#This Row],[OU]]/Mecze[[#This Row],[CZAS]])</f>
        <v>3.0927835051546393E-2</v>
      </c>
      <c r="O40" s="32">
        <f>IF(Mecze[[#This Row],[PC]]=0,0,Mecze[[#This Row],[PC]]/Mecze[[#This Row],[CZAS]])</f>
        <v>1.0309278350515464E-2</v>
      </c>
      <c r="P40" s="32">
        <f>IF(Mecze[[#This Row],[SC]]=0,0,Mecze[[#This Row],[SC]]/Mecze[[#This Row],[CZAS]])</f>
        <v>0</v>
      </c>
      <c r="Q40" s="32">
        <f>IF(Mecze[[#This Row],[OB]]=0,0,Mecze[[#This Row],[OB]]/Mecze[[#This Row],[CZAS]])</f>
        <v>0</v>
      </c>
      <c r="R40" s="32">
        <f>IF(Mecze[[#This Row],[BR]]=0,0,Mecze[[#This Row],[BR]]/Mecze[[#This Row],[CZAS]])</f>
        <v>0</v>
      </c>
      <c r="S40" s="44">
        <f>IF(Mecze[[#This Row],[Role]]="BR",SUMPRODUCT(Mecze[[#This Row],[/PR:90]:[/BR:90]],Brudnopis!$E$23:$J$23),0)</f>
        <v>0</v>
      </c>
      <c r="T40" s="44">
        <f>IF(Mecze[[#This Row],[Role]]&lt;&gt;"BR",SUMPRODUCT(Mecze[[#This Row],[/PR:90]:[/BR:90]],Brudnopis!$E$24:$J$24),0)</f>
        <v>8.7628865979381451E-2</v>
      </c>
      <c r="U40" s="44">
        <f>IF(Mecze[[#This Row],[Role]]&lt;&gt;"BR",SUMPRODUCT(Mecze[[#This Row],[/PR:90]:[/BR:90]],Brudnopis!$E$25:$J$25),0)</f>
        <v>7.7319587628865982E-2</v>
      </c>
      <c r="V40" s="44">
        <f>IF(Mecze[[#This Row],[Role]]&lt;&gt;"BR",SUMPRODUCT(Mecze[[#This Row],[/PR:90]:[/BR:90]],Brudnopis!$E$26:$J$26),0)</f>
        <v>7.2164948453608255E-2</v>
      </c>
      <c r="W40" s="44">
        <f>IF(Mecze[[#This Row],[Role]]&lt;&gt;"BR",SUMPRODUCT(Mecze[[#This Row],[/PR:90]:[/BR:90]],Brudnopis!$E$27:$J$27),0)</f>
        <v>6.1855670103092786E-2</v>
      </c>
      <c r="X40" s="44">
        <f>IF(Mecze[[#This Row],[Role]]&lt;&gt;"BR",SUMPRODUCT(Mecze[[#This Row],[/PR:90]:[/BR:90]],Brudnopis!$E$28:$J$28),0)</f>
        <v>1.0309278350515464E-2</v>
      </c>
      <c r="Y40" s="35">
        <f>IF(Mecze[[#This Row],[Role]]="BR",Mecze[[#This Row],[/OB:90]]+Mecze[[#This Row],[/PC:90]],SUM(Mecze[[#This Row],[/PR:90]:[/BR:90]]))</f>
        <v>7.2164948453608255E-2</v>
      </c>
      <c r="Z40" s="35">
        <f>IF(Mecze[[#This Row],[KC]]=0,SUM(Mecze[[#This Row],[/BRI]:[/NPI]]),SUM(Mecze[[#This Row],[/BRI]:[/NPI]])*0.6)</f>
        <v>0.30927835051546398</v>
      </c>
      <c r="AA40" s="10">
        <f>IFERROR(Mecze[[#This Row],[BR]]/Mecze[[#This Row],[ST]],0)</f>
        <v>0</v>
      </c>
      <c r="AB40">
        <f>ROUND(Mecze[[#This Row],[PD]]*Mecze[[#This Row],[%PC]],0)</f>
        <v>1</v>
      </c>
      <c r="AC40">
        <f>ROUND(Mecze[[#This Row],[OD]]*Mecze[[#This Row],[%OU]],0)</f>
        <v>3</v>
      </c>
      <c r="AD40" s="36" t="s">
        <v>174</v>
      </c>
      <c r="AE40" s="36">
        <v>4</v>
      </c>
      <c r="AF40" s="71">
        <v>4.45</v>
      </c>
      <c r="AG40" s="37">
        <v>0</v>
      </c>
      <c r="AH40" s="37">
        <v>0</v>
      </c>
      <c r="AI40" s="37">
        <v>97</v>
      </c>
      <c r="AJ40">
        <v>10</v>
      </c>
      <c r="AK40" s="37" t="str">
        <f>VLOOKUP(Mecze[[#This Row],[Match ID]],Meczusie[Mecz]:Meczusie[RodzajMeczu],2,FALSE)</f>
        <v>Liga</v>
      </c>
    </row>
    <row r="41" spans="1:41" x14ac:dyDescent="0.25">
      <c r="A41" s="76">
        <v>7</v>
      </c>
      <c r="B41" s="3" t="s">
        <v>241</v>
      </c>
      <c r="C41" s="2" t="s">
        <v>160</v>
      </c>
      <c r="D41" s="1">
        <v>0</v>
      </c>
      <c r="E41" s="1">
        <v>0</v>
      </c>
      <c r="F41" s="1">
        <v>0</v>
      </c>
      <c r="G41" s="1">
        <v>7</v>
      </c>
      <c r="H41" s="4">
        <v>0.14000000000000001</v>
      </c>
      <c r="I41" s="1">
        <v>7</v>
      </c>
      <c r="J41" s="4">
        <v>0.56999999999999995</v>
      </c>
      <c r="K41" s="1">
        <v>0</v>
      </c>
      <c r="L41" s="1">
        <v>2</v>
      </c>
      <c r="M41" s="32">
        <f>IF(Mecze[[#This Row],[PR]]=0,0,Mecze[[#This Row],[PR]]/Mecze[[#This Row],[CZAS]])</f>
        <v>2.0618556701030927E-2</v>
      </c>
      <c r="N41" s="32">
        <f>IF(Mecze[[#This Row],[OU]]=0,0,Mecze[[#This Row],[OU]]/Mecze[[#This Row],[CZAS]])</f>
        <v>4.1237113402061855E-2</v>
      </c>
      <c r="O41" s="32">
        <f>IF(Mecze[[#This Row],[PC]]=0,0,Mecze[[#This Row],[PC]]/Mecze[[#This Row],[CZAS]])</f>
        <v>1.0309278350515464E-2</v>
      </c>
      <c r="P41" s="32">
        <f>IF(Mecze[[#This Row],[SC]]=0,0,Mecze[[#This Row],[SC]]/Mecze[[#This Row],[CZAS]])</f>
        <v>0</v>
      </c>
      <c r="Q41" s="32">
        <f>IF(Mecze[[#This Row],[OB]]=0,0,Mecze[[#This Row],[OB]]/Mecze[[#This Row],[CZAS]])</f>
        <v>0</v>
      </c>
      <c r="R41" s="32">
        <f>IF(Mecze[[#This Row],[BR]]=0,0,Mecze[[#This Row],[BR]]/Mecze[[#This Row],[CZAS]])</f>
        <v>0</v>
      </c>
      <c r="S41" s="44">
        <f>IF(Mecze[[#This Row],[Role]]="BR",SUMPRODUCT(Mecze[[#This Row],[/PR:90]:[/BR:90]],Brudnopis!$E$23:$J$23),0)</f>
        <v>0</v>
      </c>
      <c r="T41" s="44">
        <f>IF(Mecze[[#This Row],[Role]]&lt;&gt;"BR",SUMPRODUCT(Mecze[[#This Row],[/PR:90]:[/BR:90]],Brudnopis!$E$24:$J$24),0)</f>
        <v>9.2783505154639179E-2</v>
      </c>
      <c r="U41" s="44">
        <f>IF(Mecze[[#This Row],[Role]]&lt;&gt;"BR",SUMPRODUCT(Mecze[[#This Row],[/PR:90]:[/BR:90]],Brudnopis!$E$25:$J$25),0)</f>
        <v>7.7319587628865982E-2</v>
      </c>
      <c r="V41" s="44">
        <f>IF(Mecze[[#This Row],[Role]]&lt;&gt;"BR",SUMPRODUCT(Mecze[[#This Row],[/PR:90]:[/BR:90]],Brudnopis!$E$26:$J$26),0)</f>
        <v>7.2164948453608255E-2</v>
      </c>
      <c r="W41" s="44">
        <f>IF(Mecze[[#This Row],[Role]]&lt;&gt;"BR",SUMPRODUCT(Mecze[[#This Row],[/PR:90]:[/BR:90]],Brudnopis!$E$27:$J$27),0)</f>
        <v>6.1855670103092786E-2</v>
      </c>
      <c r="X41" s="44">
        <f>IF(Mecze[[#This Row],[Role]]&lt;&gt;"BR",SUMPRODUCT(Mecze[[#This Row],[/PR:90]:[/BR:90]],Brudnopis!$E$28:$J$28),0)</f>
        <v>1.0309278350515464E-2</v>
      </c>
      <c r="Y41" s="35">
        <f>IF(Mecze[[#This Row],[Role]]="BR",Mecze[[#This Row],[/OB:90]]+Mecze[[#This Row],[/PC:90]],SUM(Mecze[[#This Row],[/PR:90]:[/BR:90]]))</f>
        <v>7.2164948453608255E-2</v>
      </c>
      <c r="Z41" s="35">
        <f>IF(Mecze[[#This Row],[KC]]=0,SUM(Mecze[[#This Row],[/BRI]:[/NPI]]),SUM(Mecze[[#This Row],[/BRI]:[/NPI]])*0.6)</f>
        <v>0.3144329896907217</v>
      </c>
      <c r="AA41" s="10">
        <f>IFERROR(Mecze[[#This Row],[BR]]/Mecze[[#This Row],[ST]],0)</f>
        <v>0</v>
      </c>
      <c r="AB41">
        <f>ROUND(Mecze[[#This Row],[PD]]*Mecze[[#This Row],[%PC]],0)</f>
        <v>1</v>
      </c>
      <c r="AC41">
        <f>ROUND(Mecze[[#This Row],[OD]]*Mecze[[#This Row],[%OU]],0)</f>
        <v>4</v>
      </c>
      <c r="AD41" s="36" t="s">
        <v>41</v>
      </c>
      <c r="AE41" s="36">
        <v>4</v>
      </c>
      <c r="AF41" s="71">
        <v>3.12</v>
      </c>
      <c r="AG41" s="37">
        <v>0</v>
      </c>
      <c r="AH41" s="37">
        <v>0</v>
      </c>
      <c r="AI41" s="37">
        <v>97</v>
      </c>
      <c r="AJ41">
        <v>10</v>
      </c>
      <c r="AK41" s="37" t="str">
        <f>VLOOKUP(Mecze[[#This Row],[Match ID]],Meczusie[Mecz]:Meczusie[RodzajMeczu],2,FALSE)</f>
        <v>Liga</v>
      </c>
    </row>
    <row r="42" spans="1:41" x14ac:dyDescent="0.25">
      <c r="A42" s="76">
        <v>5</v>
      </c>
      <c r="B42" s="3" t="s">
        <v>242</v>
      </c>
      <c r="C42" s="2" t="s">
        <v>160</v>
      </c>
      <c r="D42" s="1">
        <v>0</v>
      </c>
      <c r="E42" s="1">
        <v>0</v>
      </c>
      <c r="F42" s="1">
        <v>0</v>
      </c>
      <c r="G42" s="1">
        <v>14</v>
      </c>
      <c r="H42" s="4">
        <v>0.64</v>
      </c>
      <c r="I42" s="1">
        <v>6</v>
      </c>
      <c r="J42" s="4">
        <v>0.5</v>
      </c>
      <c r="K42" s="1">
        <v>0</v>
      </c>
      <c r="L42" s="1">
        <v>13</v>
      </c>
      <c r="M42" s="32">
        <f>IF(Mecze[[#This Row],[PR]]=0,0,Mecze[[#This Row],[PR]]/Mecze[[#This Row],[CZAS]])</f>
        <v>0.13402061855670103</v>
      </c>
      <c r="N42" s="32">
        <f>IF(Mecze[[#This Row],[OU]]=0,0,Mecze[[#This Row],[OU]]/Mecze[[#This Row],[CZAS]])</f>
        <v>3.0927835051546393E-2</v>
      </c>
      <c r="O42" s="32">
        <f>IF(Mecze[[#This Row],[PC]]=0,0,Mecze[[#This Row],[PC]]/Mecze[[#This Row],[CZAS]])</f>
        <v>9.2783505154639179E-2</v>
      </c>
      <c r="P42" s="32">
        <f>IF(Mecze[[#This Row],[SC]]=0,0,Mecze[[#This Row],[SC]]/Mecze[[#This Row],[CZAS]])</f>
        <v>0</v>
      </c>
      <c r="Q42" s="32">
        <f>IF(Mecze[[#This Row],[OB]]=0,0,Mecze[[#This Row],[OB]]/Mecze[[#This Row],[CZAS]])</f>
        <v>0</v>
      </c>
      <c r="R42" s="32">
        <f>IF(Mecze[[#This Row],[BR]]=0,0,Mecze[[#This Row],[BR]]/Mecze[[#This Row],[CZAS]])</f>
        <v>0</v>
      </c>
      <c r="S42" s="44">
        <f>IF(Mecze[[#This Row],[Role]]="BR",SUMPRODUCT(Mecze[[#This Row],[/PR:90]:[/BR:90]],Brudnopis!$E$23:$J$23),0)</f>
        <v>0</v>
      </c>
      <c r="T42" s="44">
        <f>IF(Mecze[[#This Row],[Role]]&lt;&gt;"BR",SUMPRODUCT(Mecze[[#This Row],[/PR:90]:[/BR:90]],Brudnopis!$E$24:$J$24),0)</f>
        <v>0.27319587628865982</v>
      </c>
      <c r="U42" s="44">
        <f>IF(Mecze[[#This Row],[Role]]&lt;&gt;"BR",SUMPRODUCT(Mecze[[#This Row],[/PR:90]:[/BR:90]],Brudnopis!$E$25:$J$25),0)</f>
        <v>0.30412371134020622</v>
      </c>
      <c r="V42" s="44">
        <f>IF(Mecze[[#This Row],[Role]]&lt;&gt;"BR",SUMPRODUCT(Mecze[[#This Row],[/PR:90]:[/BR:90]],Brudnopis!$E$26:$J$26),0)</f>
        <v>0.25773195876288657</v>
      </c>
      <c r="W42" s="44">
        <f>IF(Mecze[[#This Row],[Role]]&lt;&gt;"BR",SUMPRODUCT(Mecze[[#This Row],[/PR:90]:[/BR:90]],Brudnopis!$E$27:$J$27),0)</f>
        <v>0.26288659793814434</v>
      </c>
      <c r="X42" s="44">
        <f>IF(Mecze[[#This Row],[Role]]&lt;&gt;"BR",SUMPRODUCT(Mecze[[#This Row],[/PR:90]:[/BR:90]],Brudnopis!$E$28:$J$28),0)</f>
        <v>9.2783505154639179E-2</v>
      </c>
      <c r="Y42" s="35">
        <f>IF(Mecze[[#This Row],[Role]]="BR",Mecze[[#This Row],[/OB:90]]+Mecze[[#This Row],[/PC:90]],SUM(Mecze[[#This Row],[/PR:90]:[/BR:90]]))</f>
        <v>0.25773195876288657</v>
      </c>
      <c r="Z42" s="35">
        <f>IF(Mecze[[#This Row],[KC]]=0,SUM(Mecze[[#This Row],[/BRI]:[/NPI]]),SUM(Mecze[[#This Row],[/BRI]:[/NPI]])*0.6)</f>
        <v>1.1907216494845363</v>
      </c>
      <c r="AA42" s="10">
        <f>IFERROR(Mecze[[#This Row],[BR]]/Mecze[[#This Row],[ST]],0)</f>
        <v>0</v>
      </c>
      <c r="AB42">
        <f>ROUND(Mecze[[#This Row],[PD]]*Mecze[[#This Row],[%PC]],0)</f>
        <v>9</v>
      </c>
      <c r="AC42">
        <f>ROUND(Mecze[[#This Row],[OD]]*Mecze[[#This Row],[%OU]],0)</f>
        <v>3</v>
      </c>
      <c r="AD42" s="36" t="s">
        <v>41</v>
      </c>
      <c r="AE42" s="36">
        <v>4</v>
      </c>
      <c r="AF42" s="71">
        <v>6.64</v>
      </c>
      <c r="AG42" s="37">
        <v>0</v>
      </c>
      <c r="AH42" s="37">
        <v>0</v>
      </c>
      <c r="AI42" s="37">
        <v>97</v>
      </c>
      <c r="AJ42">
        <v>10</v>
      </c>
      <c r="AK42" s="37" t="str">
        <f>VLOOKUP(Mecze[[#This Row],[Match ID]],Meczusie[Mecz]:Meczusie[RodzajMeczu],2,FALSE)</f>
        <v>Liga</v>
      </c>
    </row>
    <row r="43" spans="1:41" x14ac:dyDescent="0.25">
      <c r="A43" s="76">
        <v>11</v>
      </c>
      <c r="B43" s="3" t="s">
        <v>243</v>
      </c>
      <c r="C43" s="2" t="s">
        <v>160</v>
      </c>
      <c r="D43" s="1">
        <v>0</v>
      </c>
      <c r="E43" s="1">
        <v>1</v>
      </c>
      <c r="F43" s="1">
        <v>1</v>
      </c>
      <c r="G43" s="1">
        <v>22</v>
      </c>
      <c r="H43" s="4">
        <v>0.45</v>
      </c>
      <c r="I43" s="1">
        <v>22</v>
      </c>
      <c r="J43" s="4">
        <v>0.55000000000000004</v>
      </c>
      <c r="K43" s="1">
        <v>0</v>
      </c>
      <c r="L43" s="1">
        <v>3</v>
      </c>
      <c r="M43" s="32">
        <f>IF(Mecze[[#This Row],[PR]]=0,0,Mecze[[#This Row],[PR]]/Mecze[[#This Row],[CZAS]])</f>
        <v>3.0927835051546393E-2</v>
      </c>
      <c r="N43" s="32">
        <f>IF(Mecze[[#This Row],[OU]]=0,0,Mecze[[#This Row],[OU]]/Mecze[[#This Row],[CZAS]])</f>
        <v>0.12371134020618557</v>
      </c>
      <c r="O43" s="32">
        <f>IF(Mecze[[#This Row],[PC]]=0,0,Mecze[[#This Row],[PC]]/Mecze[[#This Row],[CZAS]])</f>
        <v>0.10309278350515463</v>
      </c>
      <c r="P43" s="32">
        <f>IF(Mecze[[#This Row],[SC]]=0,0,Mecze[[#This Row],[SC]]/Mecze[[#This Row],[CZAS]])</f>
        <v>1.0309278350515464E-2</v>
      </c>
      <c r="Q43" s="32">
        <f>IF(Mecze[[#This Row],[OB]]=0,0,Mecze[[#This Row],[OB]]/Mecze[[#This Row],[CZAS]])</f>
        <v>0</v>
      </c>
      <c r="R43" s="32">
        <f>IF(Mecze[[#This Row],[BR]]=0,0,Mecze[[#This Row],[BR]]/Mecze[[#This Row],[CZAS]])</f>
        <v>0</v>
      </c>
      <c r="S43" s="44">
        <f>IF(Mecze[[#This Row],[Role]]="BR",SUMPRODUCT(Mecze[[#This Row],[/PR:90]:[/BR:90]],Brudnopis!$E$23:$J$23),0)</f>
        <v>0</v>
      </c>
      <c r="T43" s="44">
        <f>IF(Mecze[[#This Row],[Role]]&lt;&gt;"BR",SUMPRODUCT(Mecze[[#This Row],[/PR:90]:[/BR:90]],Brudnopis!$E$24:$J$24),0)</f>
        <v>0.32989690721649484</v>
      </c>
      <c r="U43" s="44">
        <f>IF(Mecze[[#This Row],[Role]]&lt;&gt;"BR",SUMPRODUCT(Mecze[[#This Row],[/PR:90]:[/BR:90]],Brudnopis!$E$25:$J$25),0)</f>
        <v>0.31958762886597941</v>
      </c>
      <c r="V43" s="44">
        <f>IF(Mecze[[#This Row],[Role]]&lt;&gt;"BR",SUMPRODUCT(Mecze[[#This Row],[/PR:90]:[/BR:90]],Brudnopis!$E$26:$J$26),0)</f>
        <v>0.26804123711340205</v>
      </c>
      <c r="W43" s="44">
        <f>IF(Mecze[[#This Row],[Role]]&lt;&gt;"BR",SUMPRODUCT(Mecze[[#This Row],[/PR:90]:[/BR:90]],Brudnopis!$E$27:$J$27),0)</f>
        <v>0.28092783505154645</v>
      </c>
      <c r="X43" s="44">
        <f>IF(Mecze[[#This Row],[Role]]&lt;&gt;"BR",SUMPRODUCT(Mecze[[#This Row],[/PR:90]:[/BR:90]],Brudnopis!$E$28:$J$28),0)</f>
        <v>0.12371134020618556</v>
      </c>
      <c r="Y43" s="35">
        <f>IF(Mecze[[#This Row],[Role]]="BR",Mecze[[#This Row],[/OB:90]]+Mecze[[#This Row],[/PC:90]],SUM(Mecze[[#This Row],[/PR:90]:[/BR:90]]))</f>
        <v>0.26804123711340205</v>
      </c>
      <c r="Z43" s="35">
        <f>IF(Mecze[[#This Row],[KC]]=0,SUM(Mecze[[#This Row],[/BRI]:[/NPI]]),SUM(Mecze[[#This Row],[/BRI]:[/NPI]])*0.6)</f>
        <v>1.3221649484536084</v>
      </c>
      <c r="AA43" s="10">
        <f>IFERROR(Mecze[[#This Row],[BR]]/Mecze[[#This Row],[ST]],0)</f>
        <v>0</v>
      </c>
      <c r="AB43">
        <f>ROUND(Mecze[[#This Row],[PD]]*Mecze[[#This Row],[%PC]],0)</f>
        <v>10</v>
      </c>
      <c r="AC43">
        <f>ROUND(Mecze[[#This Row],[OD]]*Mecze[[#This Row],[%OU]],0)</f>
        <v>12</v>
      </c>
      <c r="AD43" s="36" t="s">
        <v>67</v>
      </c>
      <c r="AE43" s="36">
        <v>4</v>
      </c>
      <c r="AF43" s="71">
        <v>2.4500000000000002</v>
      </c>
      <c r="AG43" s="37">
        <v>1</v>
      </c>
      <c r="AH43" s="37">
        <v>0</v>
      </c>
      <c r="AI43" s="37">
        <v>97</v>
      </c>
      <c r="AJ43">
        <v>10</v>
      </c>
      <c r="AK43" s="37" t="str">
        <f>VLOOKUP(Mecze[[#This Row],[Match ID]],Meczusie[Mecz]:Meczusie[RodzajMeczu],2,FALSE)</f>
        <v>Liga</v>
      </c>
    </row>
    <row r="44" spans="1:41" x14ac:dyDescent="0.25">
      <c r="A44" s="76">
        <v>14</v>
      </c>
      <c r="B44" s="3" t="s">
        <v>244</v>
      </c>
      <c r="C44" s="2" t="s">
        <v>165</v>
      </c>
      <c r="D44" s="1">
        <v>0</v>
      </c>
      <c r="E44" s="1">
        <v>6</v>
      </c>
      <c r="F44" s="1">
        <v>6</v>
      </c>
      <c r="G44" s="1">
        <v>6</v>
      </c>
      <c r="H44" s="4">
        <v>0.83</v>
      </c>
      <c r="I44" s="1">
        <v>4</v>
      </c>
      <c r="J44" s="4">
        <v>0.25</v>
      </c>
      <c r="K44" s="1">
        <v>0</v>
      </c>
      <c r="L44" s="1">
        <v>4</v>
      </c>
      <c r="M44" s="32">
        <f>IF(Mecze[[#This Row],[PR]]=0,0,Mecze[[#This Row],[PR]]/Mecze[[#This Row],[CZAS]])</f>
        <v>4.1237113402061855E-2</v>
      </c>
      <c r="N44" s="32">
        <f>IF(Mecze[[#This Row],[OU]]=0,0,Mecze[[#This Row],[OU]]/Mecze[[#This Row],[CZAS]])</f>
        <v>1.0309278350515464E-2</v>
      </c>
      <c r="O44" s="32">
        <f>IF(Mecze[[#This Row],[PC]]=0,0,Mecze[[#This Row],[PC]]/Mecze[[#This Row],[CZAS]])</f>
        <v>5.1546391752577317E-2</v>
      </c>
      <c r="P44" s="32">
        <f>IF(Mecze[[#This Row],[SC]]=0,0,Mecze[[#This Row],[SC]]/Mecze[[#This Row],[CZAS]])</f>
        <v>6.1855670103092786E-2</v>
      </c>
      <c r="Q44" s="32">
        <f>IF(Mecze[[#This Row],[OB]]=0,0,Mecze[[#This Row],[OB]]/Mecze[[#This Row],[CZAS]])</f>
        <v>0</v>
      </c>
      <c r="R44" s="32">
        <f>IF(Mecze[[#This Row],[BR]]=0,0,Mecze[[#This Row],[BR]]/Mecze[[#This Row],[CZAS]])</f>
        <v>0</v>
      </c>
      <c r="S44" s="44">
        <f>IF(Mecze[[#This Row],[Role]]="BR",SUMPRODUCT(Mecze[[#This Row],[/PR:90]:[/BR:90]],Brudnopis!$E$23:$J$23),0)</f>
        <v>0</v>
      </c>
      <c r="T44" s="44">
        <f>IF(Mecze[[#This Row],[Role]]&lt;&gt;"BR",SUMPRODUCT(Mecze[[#This Row],[/PR:90]:[/BR:90]],Brudnopis!$E$24:$J$24),0)</f>
        <v>0.17010309278350516</v>
      </c>
      <c r="U44" s="44">
        <f>IF(Mecze[[#This Row],[Role]]&lt;&gt;"BR",SUMPRODUCT(Mecze[[#This Row],[/PR:90]:[/BR:90]],Brudnopis!$E$25:$J$25),0)</f>
        <v>0.19072164948453607</v>
      </c>
      <c r="V44" s="44">
        <f>IF(Mecze[[#This Row],[Role]]&lt;&gt;"BR",SUMPRODUCT(Mecze[[#This Row],[/PR:90]:[/BR:90]],Brudnopis!$E$26:$J$26),0)</f>
        <v>0.16494845360824742</v>
      </c>
      <c r="W44" s="44">
        <f>IF(Mecze[[#This Row],[Role]]&lt;&gt;"BR",SUMPRODUCT(Mecze[[#This Row],[/PR:90]:[/BR:90]],Brudnopis!$E$27:$J$27),0)</f>
        <v>0.17783505154639176</v>
      </c>
      <c r="X44" s="44">
        <f>IF(Mecze[[#This Row],[Role]]&lt;&gt;"BR",SUMPRODUCT(Mecze[[#This Row],[/PR:90]:[/BR:90]],Brudnopis!$E$28:$J$28),0)</f>
        <v>0.17525773195876287</v>
      </c>
      <c r="Y44" s="35">
        <f>IF(Mecze[[#This Row],[Role]]="BR",Mecze[[#This Row],[/OB:90]]+Mecze[[#This Row],[/PC:90]],SUM(Mecze[[#This Row],[/PR:90]:[/BR:90]]))</f>
        <v>0.16494845360824742</v>
      </c>
      <c r="Z44" s="35">
        <f>IF(Mecze[[#This Row],[KC]]=0,SUM(Mecze[[#This Row],[/BRI]:[/NPI]]),SUM(Mecze[[#This Row],[/BRI]:[/NPI]])*0.6)</f>
        <v>0.87886597938144329</v>
      </c>
      <c r="AA44" s="10">
        <f>IFERROR(Mecze[[#This Row],[BR]]/Mecze[[#This Row],[ST]],0)</f>
        <v>0</v>
      </c>
      <c r="AB44">
        <f>ROUND(Mecze[[#This Row],[PD]]*Mecze[[#This Row],[%PC]],0)</f>
        <v>5</v>
      </c>
      <c r="AC44">
        <f>ROUND(Mecze[[#This Row],[OD]]*Mecze[[#This Row],[%OU]],0)</f>
        <v>1</v>
      </c>
      <c r="AD44" s="36" t="s">
        <v>46</v>
      </c>
      <c r="AE44" s="36">
        <v>4</v>
      </c>
      <c r="AF44" s="71">
        <v>6.28</v>
      </c>
      <c r="AG44" s="37">
        <v>0</v>
      </c>
      <c r="AH44" s="37">
        <v>0</v>
      </c>
      <c r="AI44" s="37">
        <v>97</v>
      </c>
      <c r="AJ44">
        <v>10</v>
      </c>
      <c r="AK44" s="37" t="str">
        <f>VLOOKUP(Mecze[[#This Row],[Match ID]],Meczusie[Mecz]:Meczusie[RodzajMeczu],2,FALSE)</f>
        <v>Liga</v>
      </c>
    </row>
    <row r="45" spans="1:41" x14ac:dyDescent="0.25">
      <c r="A45" s="76">
        <v>8</v>
      </c>
      <c r="B45" s="3" t="s">
        <v>245</v>
      </c>
      <c r="C45" s="2" t="s">
        <v>165</v>
      </c>
      <c r="D45" s="1">
        <v>0</v>
      </c>
      <c r="E45" s="1">
        <v>1</v>
      </c>
      <c r="F45" s="1">
        <v>1</v>
      </c>
      <c r="G45" s="1">
        <v>8</v>
      </c>
      <c r="H45" s="4">
        <v>0.38</v>
      </c>
      <c r="I45" s="1">
        <v>9</v>
      </c>
      <c r="J45" s="4">
        <v>0.44</v>
      </c>
      <c r="K45" s="1">
        <v>0</v>
      </c>
      <c r="L45" s="1">
        <v>3</v>
      </c>
      <c r="M45" s="32">
        <f>IF(Mecze[[#This Row],[PR]]=0,0,Mecze[[#This Row],[PR]]/Mecze[[#This Row],[CZAS]])</f>
        <v>3.0927835051546393E-2</v>
      </c>
      <c r="N45" s="32">
        <f>IF(Mecze[[#This Row],[OU]]=0,0,Mecze[[#This Row],[OU]]/Mecze[[#This Row],[CZAS]])</f>
        <v>4.1237113402061855E-2</v>
      </c>
      <c r="O45" s="32">
        <f>IF(Mecze[[#This Row],[PC]]=0,0,Mecze[[#This Row],[PC]]/Mecze[[#This Row],[CZAS]])</f>
        <v>3.0927835051546393E-2</v>
      </c>
      <c r="P45" s="32">
        <f>IF(Mecze[[#This Row],[SC]]=0,0,Mecze[[#This Row],[SC]]/Mecze[[#This Row],[CZAS]])</f>
        <v>1.0309278350515464E-2</v>
      </c>
      <c r="Q45" s="32">
        <f>IF(Mecze[[#This Row],[OB]]=0,0,Mecze[[#This Row],[OB]]/Mecze[[#This Row],[CZAS]])</f>
        <v>0</v>
      </c>
      <c r="R45" s="32">
        <f>IF(Mecze[[#This Row],[BR]]=0,0,Mecze[[#This Row],[BR]]/Mecze[[#This Row],[CZAS]])</f>
        <v>0</v>
      </c>
      <c r="S45" s="44">
        <f>IF(Mecze[[#This Row],[Role]]="BR",SUMPRODUCT(Mecze[[#This Row],[/PR:90]:[/BR:90]],Brudnopis!$E$23:$J$23),0)</f>
        <v>0</v>
      </c>
      <c r="T45" s="44">
        <f>IF(Mecze[[#This Row],[Role]]&lt;&gt;"BR",SUMPRODUCT(Mecze[[#This Row],[/PR:90]:[/BR:90]],Brudnopis!$E$24:$J$24),0)</f>
        <v>0.13402061855670103</v>
      </c>
      <c r="U45" s="44">
        <f>IF(Mecze[[#This Row],[Role]]&lt;&gt;"BR",SUMPRODUCT(Mecze[[#This Row],[/PR:90]:[/BR:90]],Brudnopis!$E$25:$J$25),0)</f>
        <v>0.12886597938144329</v>
      </c>
      <c r="V45" s="44">
        <f>IF(Mecze[[#This Row],[Role]]&lt;&gt;"BR",SUMPRODUCT(Mecze[[#This Row],[/PR:90]:[/BR:90]],Brudnopis!$E$26:$J$26),0)</f>
        <v>0.1134020618556701</v>
      </c>
      <c r="W45" s="44">
        <f>IF(Mecze[[#This Row],[Role]]&lt;&gt;"BR",SUMPRODUCT(Mecze[[#This Row],[/PR:90]:[/BR:90]],Brudnopis!$E$27:$J$27),0)</f>
        <v>0.11082474226804125</v>
      </c>
      <c r="X45" s="44">
        <f>IF(Mecze[[#This Row],[Role]]&lt;&gt;"BR",SUMPRODUCT(Mecze[[#This Row],[/PR:90]:[/BR:90]],Brudnopis!$E$28:$J$28),0)</f>
        <v>5.1546391752577317E-2</v>
      </c>
      <c r="Y45" s="35">
        <f>IF(Mecze[[#This Row],[Role]]="BR",Mecze[[#This Row],[/OB:90]]+Mecze[[#This Row],[/PC:90]],SUM(Mecze[[#This Row],[/PR:90]:[/BR:90]]))</f>
        <v>0.1134020618556701</v>
      </c>
      <c r="Z45" s="35">
        <f>IF(Mecze[[#This Row],[KC]]=0,SUM(Mecze[[#This Row],[/BRI]:[/NPI]]),SUM(Mecze[[#This Row],[/BRI]:[/NPI]])*0.6)</f>
        <v>0.53865979381443296</v>
      </c>
      <c r="AA45" s="10">
        <f>IFERROR(Mecze[[#This Row],[BR]]/Mecze[[#This Row],[ST]],0)</f>
        <v>0</v>
      </c>
      <c r="AB45">
        <f>ROUND(Mecze[[#This Row],[PD]]*Mecze[[#This Row],[%PC]],0)</f>
        <v>3</v>
      </c>
      <c r="AC45">
        <f>ROUND(Mecze[[#This Row],[OD]]*Mecze[[#This Row],[%OU]],0)</f>
        <v>4</v>
      </c>
      <c r="AD45" s="36" t="s">
        <v>46</v>
      </c>
      <c r="AE45" s="36">
        <v>4</v>
      </c>
      <c r="AF45" s="71">
        <v>2.93</v>
      </c>
      <c r="AG45" s="37">
        <v>0</v>
      </c>
      <c r="AH45" s="37">
        <v>0</v>
      </c>
      <c r="AI45" s="37">
        <v>97</v>
      </c>
      <c r="AJ45">
        <v>10</v>
      </c>
      <c r="AK45" s="37" t="str">
        <f>VLOOKUP(Mecze[[#This Row],[Match ID]],Meczusie[Mecz]:Meczusie[RodzajMeczu],2,FALSE)</f>
        <v>Liga</v>
      </c>
    </row>
    <row r="46" spans="1:41" x14ac:dyDescent="0.25">
      <c r="A46" s="76">
        <v>10</v>
      </c>
      <c r="B46" s="3" t="s">
        <v>246</v>
      </c>
      <c r="C46" s="2" t="s">
        <v>165</v>
      </c>
      <c r="D46" s="1">
        <v>0</v>
      </c>
      <c r="E46" s="1">
        <v>5</v>
      </c>
      <c r="F46" s="1">
        <v>5</v>
      </c>
      <c r="G46" s="1">
        <v>4</v>
      </c>
      <c r="H46" s="4">
        <v>0.25</v>
      </c>
      <c r="I46" s="1">
        <v>7</v>
      </c>
      <c r="J46" s="4">
        <v>0.28999999999999998</v>
      </c>
      <c r="K46" s="1">
        <v>0</v>
      </c>
      <c r="L46" s="1">
        <v>0</v>
      </c>
      <c r="M46" s="32">
        <f>IF(Mecze[[#This Row],[PR]]=0,0,Mecze[[#This Row],[PR]]/Mecze[[#This Row],[CZAS]])</f>
        <v>0</v>
      </c>
      <c r="N46" s="32">
        <f>IF(Mecze[[#This Row],[OU]]=0,0,Mecze[[#This Row],[OU]]/Mecze[[#This Row],[CZAS]])</f>
        <v>2.0618556701030927E-2</v>
      </c>
      <c r="O46" s="32">
        <f>IF(Mecze[[#This Row],[PC]]=0,0,Mecze[[#This Row],[PC]]/Mecze[[#This Row],[CZAS]])</f>
        <v>1.0309278350515464E-2</v>
      </c>
      <c r="P46" s="32">
        <f>IF(Mecze[[#This Row],[SC]]=0,0,Mecze[[#This Row],[SC]]/Mecze[[#This Row],[CZAS]])</f>
        <v>5.1546391752577317E-2</v>
      </c>
      <c r="Q46" s="32">
        <f>IF(Mecze[[#This Row],[OB]]=0,0,Mecze[[#This Row],[OB]]/Mecze[[#This Row],[CZAS]])</f>
        <v>0</v>
      </c>
      <c r="R46" s="32">
        <f>IF(Mecze[[#This Row],[BR]]=0,0,Mecze[[#This Row],[BR]]/Mecze[[#This Row],[CZAS]])</f>
        <v>0</v>
      </c>
      <c r="S46" s="44">
        <f>IF(Mecze[[#This Row],[Role]]="BR",SUMPRODUCT(Mecze[[#This Row],[/PR:90]:[/BR:90]],Brudnopis!$E$23:$J$23),0)</f>
        <v>0</v>
      </c>
      <c r="T46" s="44">
        <f>IF(Mecze[[#This Row],[Role]]&lt;&gt;"BR",SUMPRODUCT(Mecze[[#This Row],[/PR:90]:[/BR:90]],Brudnopis!$E$24:$J$24),0)</f>
        <v>9.2783505154639179E-2</v>
      </c>
      <c r="U46" s="44">
        <f>IF(Mecze[[#This Row],[Role]]&lt;&gt;"BR",SUMPRODUCT(Mecze[[#This Row],[/PR:90]:[/BR:90]],Brudnopis!$E$25:$J$25),0)</f>
        <v>8.7628865979381437E-2</v>
      </c>
      <c r="V46" s="44">
        <f>IF(Mecze[[#This Row],[Role]]&lt;&gt;"BR",SUMPRODUCT(Mecze[[#This Row],[/PR:90]:[/BR:90]],Brudnopis!$E$26:$J$26),0)</f>
        <v>8.247422680412371E-2</v>
      </c>
      <c r="W46" s="44">
        <f>IF(Mecze[[#This Row],[Role]]&lt;&gt;"BR",SUMPRODUCT(Mecze[[#This Row],[/PR:90]:[/BR:90]],Brudnopis!$E$27:$J$27),0)</f>
        <v>8.247422680412371E-2</v>
      </c>
      <c r="X46" s="44">
        <f>IF(Mecze[[#This Row],[Role]]&lt;&gt;"BR",SUMPRODUCT(Mecze[[#This Row],[/PR:90]:[/BR:90]],Brudnopis!$E$28:$J$28),0)</f>
        <v>0.1134020618556701</v>
      </c>
      <c r="Y46" s="35">
        <f>IF(Mecze[[#This Row],[Role]]="BR",Mecze[[#This Row],[/OB:90]]+Mecze[[#This Row],[/PC:90]],SUM(Mecze[[#This Row],[/PR:90]:[/BR:90]]))</f>
        <v>8.247422680412371E-2</v>
      </c>
      <c r="Z46" s="35">
        <f>IF(Mecze[[#This Row],[KC]]=0,SUM(Mecze[[#This Row],[/BRI]:[/NPI]]),SUM(Mecze[[#This Row],[/BRI]:[/NPI]])*0.6)</f>
        <v>0.45876288659793812</v>
      </c>
      <c r="AA46" s="10">
        <f>IFERROR(Mecze[[#This Row],[BR]]/Mecze[[#This Row],[ST]],0)</f>
        <v>0</v>
      </c>
      <c r="AB46">
        <f>ROUND(Mecze[[#This Row],[PD]]*Mecze[[#This Row],[%PC]],0)</f>
        <v>1</v>
      </c>
      <c r="AC46">
        <f>ROUND(Mecze[[#This Row],[OD]]*Mecze[[#This Row],[%OU]],0)</f>
        <v>2</v>
      </c>
      <c r="AD46" s="36" t="s">
        <v>46</v>
      </c>
      <c r="AE46" s="36">
        <v>4</v>
      </c>
      <c r="AF46" s="71">
        <v>3.81</v>
      </c>
      <c r="AG46" s="37">
        <v>0</v>
      </c>
      <c r="AH46" s="37">
        <v>0</v>
      </c>
      <c r="AI46" s="37">
        <v>97</v>
      </c>
      <c r="AJ46">
        <v>10</v>
      </c>
      <c r="AK46" s="37" t="str">
        <f>VLOOKUP(Mecze[[#This Row],[Match ID]],Meczusie[Mecz]:Meczusie[RodzajMeczu],2,FALSE)</f>
        <v>Liga</v>
      </c>
    </row>
    <row r="47" spans="1:41" x14ac:dyDescent="0.25">
      <c r="A47" s="76">
        <v>1</v>
      </c>
      <c r="B47" s="3" t="s">
        <v>169</v>
      </c>
      <c r="C47" s="2" t="s">
        <v>155</v>
      </c>
      <c r="D47" s="1">
        <v>0</v>
      </c>
      <c r="E47" s="1">
        <v>0</v>
      </c>
      <c r="F47" s="1">
        <v>0</v>
      </c>
      <c r="G47" s="1">
        <v>12</v>
      </c>
      <c r="H47" s="4">
        <v>0.67</v>
      </c>
      <c r="I47" s="1">
        <v>0</v>
      </c>
      <c r="J47" s="4">
        <v>0</v>
      </c>
      <c r="K47" s="1">
        <v>11</v>
      </c>
      <c r="L47" s="1">
        <v>0</v>
      </c>
      <c r="M47" s="32">
        <f>IF(Mecze[[#This Row],[PR]]=0,0,Mecze[[#This Row],[PR]]/Mecze[[#This Row],[CZAS]])</f>
        <v>0</v>
      </c>
      <c r="N47" s="32">
        <f>IF(Mecze[[#This Row],[OU]]=0,0,Mecze[[#This Row],[OU]]/Mecze[[#This Row],[CZAS]])</f>
        <v>0</v>
      </c>
      <c r="O47" s="32">
        <f>IF(Mecze[[#This Row],[PC]]=0,0,Mecze[[#This Row],[PC]]/Mecze[[#This Row],[CZAS]])</f>
        <v>8.247422680412371E-2</v>
      </c>
      <c r="P47" s="32">
        <f>IF(Mecze[[#This Row],[SC]]=0,0,Mecze[[#This Row],[SC]]/Mecze[[#This Row],[CZAS]])</f>
        <v>0</v>
      </c>
      <c r="Q47" s="32">
        <f>IF(Mecze[[#This Row],[OB]]=0,0,Mecze[[#This Row],[OB]]/Mecze[[#This Row],[CZAS]])</f>
        <v>0.1134020618556701</v>
      </c>
      <c r="R47" s="32">
        <f>IF(Mecze[[#This Row],[BR]]=0,0,Mecze[[#This Row],[BR]]/Mecze[[#This Row],[CZAS]])</f>
        <v>0</v>
      </c>
      <c r="S47" s="44">
        <f>IF(Mecze[[#This Row],[Role]]="BR",SUMPRODUCT(Mecze[[#This Row],[/PR:90]:[/BR:90]],Brudnopis!$E$23:$J$23),0)</f>
        <v>0.58762886597938147</v>
      </c>
      <c r="T47" s="44">
        <f>IF(Mecze[[#This Row],[Role]]&lt;&gt;"BR",SUMPRODUCT(Mecze[[#This Row],[/PR:90]:[/BR:90]],Brudnopis!$E$24:$J$24),0)</f>
        <v>0</v>
      </c>
      <c r="U47" s="44">
        <f>IF(Mecze[[#This Row],[Role]]&lt;&gt;"BR",SUMPRODUCT(Mecze[[#This Row],[/PR:90]:[/BR:90]],Brudnopis!$E$25:$J$25),0)</f>
        <v>0</v>
      </c>
      <c r="V47" s="44">
        <f>IF(Mecze[[#This Row],[Role]]&lt;&gt;"BR",SUMPRODUCT(Mecze[[#This Row],[/PR:90]:[/BR:90]],Brudnopis!$E$26:$J$26),0)</f>
        <v>0</v>
      </c>
      <c r="W47" s="44">
        <f>IF(Mecze[[#This Row],[Role]]&lt;&gt;"BR",SUMPRODUCT(Mecze[[#This Row],[/PR:90]:[/BR:90]],Brudnopis!$E$27:$J$27),0)</f>
        <v>0</v>
      </c>
      <c r="X47" s="44">
        <f>IF(Mecze[[#This Row],[Role]]&lt;&gt;"BR",SUMPRODUCT(Mecze[[#This Row],[/PR:90]:[/BR:90]],Brudnopis!$E$28:$J$28),0)</f>
        <v>0</v>
      </c>
      <c r="Y47" s="35">
        <f>IF(Mecze[[#This Row],[Role]]="BR",Mecze[[#This Row],[/OB:90]]+Mecze[[#This Row],[/PC:90]],SUM(Mecze[[#This Row],[/PR:90]:[/BR:90]]))</f>
        <v>0.19587628865979381</v>
      </c>
      <c r="Z47" s="35">
        <f>IF(Mecze[[#This Row],[KC]]=0,SUM(Mecze[[#This Row],[/BRI]:[/NPI]]),SUM(Mecze[[#This Row],[/BRI]:[/NPI]])*0.6)</f>
        <v>0.58762886597938147</v>
      </c>
      <c r="AA47" s="10">
        <f>IFERROR(Mecze[[#This Row],[BR]]/Mecze[[#This Row],[ST]],0)</f>
        <v>0</v>
      </c>
      <c r="AB47">
        <f>ROUND(Mecze[[#This Row],[PD]]*Mecze[[#This Row],[%PC]],0)</f>
        <v>8</v>
      </c>
      <c r="AC47">
        <f>ROUND(Mecze[[#This Row],[OD]]*Mecze[[#This Row],[%OU]],0)</f>
        <v>0</v>
      </c>
      <c r="AD47" s="36" t="s">
        <v>40</v>
      </c>
      <c r="AE47" s="36">
        <v>4</v>
      </c>
      <c r="AF47" s="71">
        <v>12.11</v>
      </c>
      <c r="AG47" s="37">
        <v>0</v>
      </c>
      <c r="AH47" s="37">
        <v>0</v>
      </c>
      <c r="AI47" s="37">
        <v>97</v>
      </c>
      <c r="AJ47">
        <v>1</v>
      </c>
      <c r="AK47" s="37" t="str">
        <f>VLOOKUP(Mecze[[#This Row],[Match ID]],Meczusie[Mecz]:Meczusie[RodzajMeczu],2,FALSE)</f>
        <v>Liga</v>
      </c>
    </row>
    <row r="48" spans="1:41" x14ac:dyDescent="0.25">
      <c r="A48" s="76">
        <v>18</v>
      </c>
      <c r="B48" s="3" t="s">
        <v>211</v>
      </c>
      <c r="C48" s="2" t="s">
        <v>157</v>
      </c>
      <c r="D48" s="1">
        <v>0</v>
      </c>
      <c r="E48" s="1">
        <v>0</v>
      </c>
      <c r="F48" s="1">
        <v>0</v>
      </c>
      <c r="G48" s="1">
        <v>9</v>
      </c>
      <c r="H48" s="4">
        <v>0.56000000000000005</v>
      </c>
      <c r="I48" s="1">
        <v>5</v>
      </c>
      <c r="J48" s="4">
        <v>0.4</v>
      </c>
      <c r="K48" s="1">
        <v>0</v>
      </c>
      <c r="L48" s="1">
        <v>10</v>
      </c>
      <c r="M48" s="32">
        <f>IF(Mecze[[#This Row],[PR]]=0,0,Mecze[[#This Row],[PR]]/Mecze[[#This Row],[CZAS]])</f>
        <v>0.10309278350515463</v>
      </c>
      <c r="N48" s="32">
        <f>IF(Mecze[[#This Row],[OU]]=0,0,Mecze[[#This Row],[OU]]/Mecze[[#This Row],[CZAS]])</f>
        <v>2.0618556701030927E-2</v>
      </c>
      <c r="O48" s="32">
        <f>IF(Mecze[[#This Row],[PC]]=0,0,Mecze[[#This Row],[PC]]/Mecze[[#This Row],[CZAS]])</f>
        <v>5.1546391752577317E-2</v>
      </c>
      <c r="P48" s="32">
        <f>IF(Mecze[[#This Row],[SC]]=0,0,Mecze[[#This Row],[SC]]/Mecze[[#This Row],[CZAS]])</f>
        <v>0</v>
      </c>
      <c r="Q48" s="32">
        <f>IF(Mecze[[#This Row],[OB]]=0,0,Mecze[[#This Row],[OB]]/Mecze[[#This Row],[CZAS]])</f>
        <v>0</v>
      </c>
      <c r="R48" s="32">
        <f>IF(Mecze[[#This Row],[BR]]=0,0,Mecze[[#This Row],[BR]]/Mecze[[#This Row],[CZAS]])</f>
        <v>0</v>
      </c>
      <c r="S48" s="44">
        <f>IF(Mecze[[#This Row],[Role]]="BR",SUMPRODUCT(Mecze[[#This Row],[/PR:90]:[/BR:90]],Brudnopis!$E$23:$J$23),0)</f>
        <v>0</v>
      </c>
      <c r="T48" s="44">
        <f>IF(Mecze[[#This Row],[Role]]&lt;&gt;"BR",SUMPRODUCT(Mecze[[#This Row],[/PR:90]:[/BR:90]],Brudnopis!$E$24:$J$24),0)</f>
        <v>0.18556701030927836</v>
      </c>
      <c r="U48" s="44">
        <f>IF(Mecze[[#This Row],[Role]]&lt;&gt;"BR",SUMPRODUCT(Mecze[[#This Row],[/PR:90]:[/BR:90]],Brudnopis!$E$25:$J$25),0)</f>
        <v>0.20103092783505155</v>
      </c>
      <c r="V48" s="44">
        <f>IF(Mecze[[#This Row],[Role]]&lt;&gt;"BR",SUMPRODUCT(Mecze[[#This Row],[/PR:90]:[/BR:90]],Brudnopis!$E$26:$J$26),0)</f>
        <v>0.17525773195876287</v>
      </c>
      <c r="W48" s="44">
        <f>IF(Mecze[[#This Row],[Role]]&lt;&gt;"BR",SUMPRODUCT(Mecze[[#This Row],[/PR:90]:[/BR:90]],Brudnopis!$E$27:$J$27),0)</f>
        <v>0.17010309278350516</v>
      </c>
      <c r="X48" s="44">
        <f>IF(Mecze[[#This Row],[Role]]&lt;&gt;"BR",SUMPRODUCT(Mecze[[#This Row],[/PR:90]:[/BR:90]],Brudnopis!$E$28:$J$28),0)</f>
        <v>5.1546391752577317E-2</v>
      </c>
      <c r="Y48" s="35">
        <f>IF(Mecze[[#This Row],[Role]]="BR",Mecze[[#This Row],[/OB:90]]+Mecze[[#This Row],[/PC:90]],SUM(Mecze[[#This Row],[/PR:90]:[/BR:90]]))</f>
        <v>0.17525773195876287</v>
      </c>
      <c r="Z48" s="35">
        <f>IF(Mecze[[#This Row],[KC]]=0,SUM(Mecze[[#This Row],[/BRI]:[/NPI]]),SUM(Mecze[[#This Row],[/BRI]:[/NPI]])*0.6)</f>
        <v>0.78350515463917536</v>
      </c>
      <c r="AA48" s="10">
        <f>IFERROR(Mecze[[#This Row],[BR]]/Mecze[[#This Row],[ST]],0)</f>
        <v>0</v>
      </c>
      <c r="AB48">
        <f>ROUND(Mecze[[#This Row],[PD]]*Mecze[[#This Row],[%PC]],0)</f>
        <v>5</v>
      </c>
      <c r="AC48">
        <f>ROUND(Mecze[[#This Row],[OD]]*Mecze[[#This Row],[%OU]],0)</f>
        <v>2</v>
      </c>
      <c r="AD48" s="36" t="s">
        <v>47</v>
      </c>
      <c r="AE48" s="36">
        <v>4</v>
      </c>
      <c r="AF48" s="71">
        <v>9.14</v>
      </c>
      <c r="AG48" s="37">
        <v>0</v>
      </c>
      <c r="AH48" s="37">
        <v>0</v>
      </c>
      <c r="AI48" s="37">
        <v>97</v>
      </c>
      <c r="AJ48">
        <v>1</v>
      </c>
      <c r="AK48" s="37" t="str">
        <f>VLOOKUP(Mecze[[#This Row],[Match ID]],Meczusie[Mecz]:Meczusie[RodzajMeczu],2,FALSE)</f>
        <v>Liga</v>
      </c>
      <c r="AM48" s="2"/>
      <c r="AN48" s="2"/>
      <c r="AO48" s="1"/>
    </row>
    <row r="49" spans="1:42" x14ac:dyDescent="0.25">
      <c r="A49" s="76">
        <v>3</v>
      </c>
      <c r="B49" s="3" t="s">
        <v>158</v>
      </c>
      <c r="C49" s="2" t="s">
        <v>157</v>
      </c>
      <c r="D49" s="1">
        <v>0</v>
      </c>
      <c r="E49" s="1">
        <v>0</v>
      </c>
      <c r="F49" s="1">
        <v>0</v>
      </c>
      <c r="G49" s="1">
        <v>12</v>
      </c>
      <c r="H49" s="4">
        <v>0.5</v>
      </c>
      <c r="I49" s="1">
        <v>4</v>
      </c>
      <c r="J49" s="4">
        <v>0.75</v>
      </c>
      <c r="K49" s="1">
        <v>0</v>
      </c>
      <c r="L49" s="1">
        <v>13</v>
      </c>
      <c r="M49" s="32">
        <f>IF(Mecze[[#This Row],[PR]]=0,0,Mecze[[#This Row],[PR]]/Mecze[[#This Row],[CZAS]])</f>
        <v>0.13402061855670103</v>
      </c>
      <c r="N49" s="32">
        <f>IF(Mecze[[#This Row],[OU]]=0,0,Mecze[[#This Row],[OU]]/Mecze[[#This Row],[CZAS]])</f>
        <v>3.0927835051546393E-2</v>
      </c>
      <c r="O49" s="32">
        <f>IF(Mecze[[#This Row],[PC]]=0,0,Mecze[[#This Row],[PC]]/Mecze[[#This Row],[CZAS]])</f>
        <v>6.1855670103092786E-2</v>
      </c>
      <c r="P49" s="32">
        <f>IF(Mecze[[#This Row],[SC]]=0,0,Mecze[[#This Row],[SC]]/Mecze[[#This Row],[CZAS]])</f>
        <v>0</v>
      </c>
      <c r="Q49" s="32">
        <f>IF(Mecze[[#This Row],[OB]]=0,0,Mecze[[#This Row],[OB]]/Mecze[[#This Row],[CZAS]])</f>
        <v>0</v>
      </c>
      <c r="R49" s="32">
        <f>IF(Mecze[[#This Row],[BR]]=0,0,Mecze[[#This Row],[BR]]/Mecze[[#This Row],[CZAS]])</f>
        <v>0</v>
      </c>
      <c r="S49" s="44">
        <f>IF(Mecze[[#This Row],[Role]]="BR",SUMPRODUCT(Mecze[[#This Row],[/PR:90]:[/BR:90]],Brudnopis!$E$23:$J$23),0)</f>
        <v>0</v>
      </c>
      <c r="T49" s="44">
        <f>IF(Mecze[[#This Row],[Role]]&lt;&gt;"BR",SUMPRODUCT(Mecze[[#This Row],[/PR:90]:[/BR:90]],Brudnopis!$E$24:$J$24),0)</f>
        <v>0.2422680412371134</v>
      </c>
      <c r="U49" s="44">
        <f>IF(Mecze[[#This Row],[Role]]&lt;&gt;"BR",SUMPRODUCT(Mecze[[#This Row],[/PR:90]:[/BR:90]],Brudnopis!$E$25:$J$25),0)</f>
        <v>0.25773195876288657</v>
      </c>
      <c r="V49" s="44">
        <f>IF(Mecze[[#This Row],[Role]]&lt;&gt;"BR",SUMPRODUCT(Mecze[[#This Row],[/PR:90]:[/BR:90]],Brudnopis!$E$26:$J$26),0)</f>
        <v>0.22680412371134021</v>
      </c>
      <c r="W49" s="44">
        <f>IF(Mecze[[#This Row],[Role]]&lt;&gt;"BR",SUMPRODUCT(Mecze[[#This Row],[/PR:90]:[/BR:90]],Brudnopis!$E$27:$J$27),0)</f>
        <v>0.21649484536082475</v>
      </c>
      <c r="X49" s="44">
        <f>IF(Mecze[[#This Row],[Role]]&lt;&gt;"BR",SUMPRODUCT(Mecze[[#This Row],[/PR:90]:[/BR:90]],Brudnopis!$E$28:$J$28),0)</f>
        <v>6.1855670103092786E-2</v>
      </c>
      <c r="Y49" s="35">
        <f>IF(Mecze[[#This Row],[Role]]="BR",Mecze[[#This Row],[/OB:90]]+Mecze[[#This Row],[/PC:90]],SUM(Mecze[[#This Row],[/PR:90]:[/BR:90]]))</f>
        <v>0.22680412371134021</v>
      </c>
      <c r="Z49" s="35">
        <f>IF(Mecze[[#This Row],[KC]]=0,SUM(Mecze[[#This Row],[/BRI]:[/NPI]]),SUM(Mecze[[#This Row],[/BRI]:[/NPI]])*0.6)</f>
        <v>1.0051546391752577</v>
      </c>
      <c r="AA49" s="10">
        <f>IFERROR(Mecze[[#This Row],[BR]]/Mecze[[#This Row],[ST]],0)</f>
        <v>0</v>
      </c>
      <c r="AB49">
        <f>ROUND(Mecze[[#This Row],[PD]]*Mecze[[#This Row],[%PC]],0)</f>
        <v>6</v>
      </c>
      <c r="AC49">
        <f>ROUND(Mecze[[#This Row],[OD]]*Mecze[[#This Row],[%OU]],0)</f>
        <v>3</v>
      </c>
      <c r="AD49" s="36" t="s">
        <v>174</v>
      </c>
      <c r="AE49" s="36">
        <v>4</v>
      </c>
      <c r="AF49" s="71">
        <v>10.89</v>
      </c>
      <c r="AG49" s="37">
        <v>0</v>
      </c>
      <c r="AH49" s="37">
        <v>0</v>
      </c>
      <c r="AI49" s="37">
        <v>97</v>
      </c>
      <c r="AJ49">
        <v>1</v>
      </c>
      <c r="AK49" s="37" t="str">
        <f>VLOOKUP(Mecze[[#This Row],[Match ID]],Meczusie[Mecz]:Meczusie[RodzajMeczu],2,FALSE)</f>
        <v>Liga</v>
      </c>
      <c r="AM49" s="2"/>
      <c r="AN49" s="2"/>
      <c r="AO49" s="1"/>
    </row>
    <row r="50" spans="1:42" x14ac:dyDescent="0.25">
      <c r="A50" s="76">
        <v>2</v>
      </c>
      <c r="B50" s="3" t="s">
        <v>156</v>
      </c>
      <c r="C50" s="2" t="s">
        <v>157</v>
      </c>
      <c r="D50" s="1">
        <v>0</v>
      </c>
      <c r="E50" s="1">
        <v>0</v>
      </c>
      <c r="F50" s="1">
        <v>0</v>
      </c>
      <c r="G50" s="1">
        <v>12</v>
      </c>
      <c r="H50" s="4">
        <v>0.83</v>
      </c>
      <c r="I50" s="1">
        <v>11</v>
      </c>
      <c r="J50" s="4">
        <v>0.73</v>
      </c>
      <c r="K50" s="1">
        <v>0</v>
      </c>
      <c r="L50" s="1">
        <v>15</v>
      </c>
      <c r="M50" s="32">
        <f>IF(Mecze[[#This Row],[PR]]=0,0,Mecze[[#This Row],[PR]]/Mecze[[#This Row],[CZAS]])</f>
        <v>0.15463917525773196</v>
      </c>
      <c r="N50" s="32">
        <f>IF(Mecze[[#This Row],[OU]]=0,0,Mecze[[#This Row],[OU]]/Mecze[[#This Row],[CZAS]])</f>
        <v>8.247422680412371E-2</v>
      </c>
      <c r="O50" s="32">
        <f>IF(Mecze[[#This Row],[PC]]=0,0,Mecze[[#This Row],[PC]]/Mecze[[#This Row],[CZAS]])</f>
        <v>0.10309278350515463</v>
      </c>
      <c r="P50" s="32">
        <f>IF(Mecze[[#This Row],[SC]]=0,0,Mecze[[#This Row],[SC]]/Mecze[[#This Row],[CZAS]])</f>
        <v>0</v>
      </c>
      <c r="Q50" s="32">
        <f>IF(Mecze[[#This Row],[OB]]=0,0,Mecze[[#This Row],[OB]]/Mecze[[#This Row],[CZAS]])</f>
        <v>0</v>
      </c>
      <c r="R50" s="32">
        <f>IF(Mecze[[#This Row],[BR]]=0,0,Mecze[[#This Row],[BR]]/Mecze[[#This Row],[CZAS]])</f>
        <v>0</v>
      </c>
      <c r="S50" s="44">
        <f>IF(Mecze[[#This Row],[Role]]="BR",SUMPRODUCT(Mecze[[#This Row],[/PR:90]:[/BR:90]],Brudnopis!$E$23:$J$23),0)</f>
        <v>0</v>
      </c>
      <c r="T50" s="44">
        <f>IF(Mecze[[#This Row],[Role]]&lt;&gt;"BR",SUMPRODUCT(Mecze[[#This Row],[/PR:90]:[/BR:90]],Brudnopis!$E$24:$J$24),0)</f>
        <v>0.38144329896907214</v>
      </c>
      <c r="U50" s="44">
        <f>IF(Mecze[[#This Row],[Role]]&lt;&gt;"BR",SUMPRODUCT(Mecze[[#This Row],[/PR:90]:[/BR:90]],Brudnopis!$E$25:$J$25),0)</f>
        <v>0.39175257731958762</v>
      </c>
      <c r="V50" s="44">
        <f>IF(Mecze[[#This Row],[Role]]&lt;&gt;"BR",SUMPRODUCT(Mecze[[#This Row],[/PR:90]:[/BR:90]],Brudnopis!$E$26:$J$26),0)</f>
        <v>0.34020618556701032</v>
      </c>
      <c r="W50" s="44">
        <f>IF(Mecze[[#This Row],[Role]]&lt;&gt;"BR",SUMPRODUCT(Mecze[[#This Row],[/PR:90]:[/BR:90]],Brudnopis!$E$27:$J$27),0)</f>
        <v>0.33247422680412375</v>
      </c>
      <c r="X50" s="44">
        <f>IF(Mecze[[#This Row],[Role]]&lt;&gt;"BR",SUMPRODUCT(Mecze[[#This Row],[/PR:90]:[/BR:90]],Brudnopis!$E$28:$J$28),0)</f>
        <v>0.10309278350515463</v>
      </c>
      <c r="Y50" s="35">
        <f>IF(Mecze[[#This Row],[Role]]="BR",Mecze[[#This Row],[/OB:90]]+Mecze[[#This Row],[/PC:90]],SUM(Mecze[[#This Row],[/PR:90]:[/BR:90]]))</f>
        <v>0.34020618556701032</v>
      </c>
      <c r="Z50" s="35">
        <f>IF(Mecze[[#This Row],[KC]]=0,SUM(Mecze[[#This Row],[/BRI]:[/NPI]]),SUM(Mecze[[#This Row],[/BRI]:[/NPI]])*0.6)</f>
        <v>1.5489690721649487</v>
      </c>
      <c r="AA50" s="10">
        <f>IFERROR(Mecze[[#This Row],[BR]]/Mecze[[#This Row],[ST]],0)</f>
        <v>0</v>
      </c>
      <c r="AB50">
        <f>ROUND(Mecze[[#This Row],[PD]]*Mecze[[#This Row],[%PC]],0)</f>
        <v>10</v>
      </c>
      <c r="AC50">
        <f>ROUND(Mecze[[#This Row],[OD]]*Mecze[[#This Row],[%OU]],0)</f>
        <v>8</v>
      </c>
      <c r="AD50" s="36" t="s">
        <v>47</v>
      </c>
      <c r="AE50" s="36">
        <v>4</v>
      </c>
      <c r="AF50" s="71">
        <v>11.31</v>
      </c>
      <c r="AG50" s="37">
        <v>0</v>
      </c>
      <c r="AH50" s="37">
        <v>0</v>
      </c>
      <c r="AI50" s="37">
        <v>97</v>
      </c>
      <c r="AJ50">
        <v>1</v>
      </c>
      <c r="AK50" s="37" t="str">
        <f>VLOOKUP(Mecze[[#This Row],[Match ID]],Meczusie[Mecz]:Meczusie[RodzajMeczu],2,FALSE)</f>
        <v>Liga</v>
      </c>
      <c r="AM50" s="2"/>
      <c r="AN50" s="2"/>
      <c r="AO50" s="1"/>
    </row>
    <row r="51" spans="1:42" x14ac:dyDescent="0.25">
      <c r="A51" s="76">
        <v>5</v>
      </c>
      <c r="B51" s="3" t="s">
        <v>161</v>
      </c>
      <c r="C51" s="2" t="s">
        <v>157</v>
      </c>
      <c r="D51" s="1">
        <v>0</v>
      </c>
      <c r="E51" s="1">
        <v>0</v>
      </c>
      <c r="F51" s="1">
        <v>0</v>
      </c>
      <c r="G51" s="1">
        <v>2</v>
      </c>
      <c r="H51" s="4">
        <v>0.5</v>
      </c>
      <c r="I51" s="1">
        <v>1</v>
      </c>
      <c r="J51" s="4">
        <v>1</v>
      </c>
      <c r="K51" s="1">
        <v>0</v>
      </c>
      <c r="L51" s="1">
        <v>0</v>
      </c>
      <c r="M51" s="32">
        <f>IF(Mecze[[#This Row],[PR]]=0,0,Mecze[[#This Row],[PR]]/Mecze[[#This Row],[CZAS]])</f>
        <v>0</v>
      </c>
      <c r="N51" s="32">
        <f>IF(Mecze[[#This Row],[OU]]=0,0,Mecze[[#This Row],[OU]]/Mecze[[#This Row],[CZAS]])</f>
        <v>1.0309278350515464E-2</v>
      </c>
      <c r="O51" s="32">
        <f>IF(Mecze[[#This Row],[PC]]=0,0,Mecze[[#This Row],[PC]]/Mecze[[#This Row],[CZAS]])</f>
        <v>1.0309278350515464E-2</v>
      </c>
      <c r="P51" s="32">
        <f>IF(Mecze[[#This Row],[SC]]=0,0,Mecze[[#This Row],[SC]]/Mecze[[#This Row],[CZAS]])</f>
        <v>0</v>
      </c>
      <c r="Q51" s="32">
        <f>IF(Mecze[[#This Row],[OB]]=0,0,Mecze[[#This Row],[OB]]/Mecze[[#This Row],[CZAS]])</f>
        <v>0</v>
      </c>
      <c r="R51" s="32">
        <f>IF(Mecze[[#This Row],[BR]]=0,0,Mecze[[#This Row],[BR]]/Mecze[[#This Row],[CZAS]])</f>
        <v>0</v>
      </c>
      <c r="S51" s="44">
        <f>IF(Mecze[[#This Row],[Role]]="BR",SUMPRODUCT(Mecze[[#This Row],[/PR:90]:[/BR:90]],Brudnopis!$E$23:$J$23),0)</f>
        <v>0</v>
      </c>
      <c r="T51" s="44">
        <f>IF(Mecze[[#This Row],[Role]]&lt;&gt;"BR",SUMPRODUCT(Mecze[[#This Row],[/PR:90]:[/BR:90]],Brudnopis!$E$24:$J$24),0)</f>
        <v>2.5773195876288658E-2</v>
      </c>
      <c r="U51" s="44">
        <f>IF(Mecze[[#This Row],[Role]]&lt;&gt;"BR",SUMPRODUCT(Mecze[[#This Row],[/PR:90]:[/BR:90]],Brudnopis!$E$25:$J$25),0)</f>
        <v>2.5773195876288658E-2</v>
      </c>
      <c r="V51" s="44">
        <f>IF(Mecze[[#This Row],[Role]]&lt;&gt;"BR",SUMPRODUCT(Mecze[[#This Row],[/PR:90]:[/BR:90]],Brudnopis!$E$26:$J$26),0)</f>
        <v>2.0618556701030927E-2</v>
      </c>
      <c r="W51" s="44">
        <f>IF(Mecze[[#This Row],[Role]]&lt;&gt;"BR",SUMPRODUCT(Mecze[[#This Row],[/PR:90]:[/BR:90]],Brudnopis!$E$27:$J$27),0)</f>
        <v>2.3195876288659795E-2</v>
      </c>
      <c r="X51" s="44">
        <f>IF(Mecze[[#This Row],[Role]]&lt;&gt;"BR",SUMPRODUCT(Mecze[[#This Row],[/PR:90]:[/BR:90]],Brudnopis!$E$28:$J$28),0)</f>
        <v>1.0309278350515464E-2</v>
      </c>
      <c r="Y51" s="35">
        <f>IF(Mecze[[#This Row],[Role]]="BR",Mecze[[#This Row],[/OB:90]]+Mecze[[#This Row],[/PC:90]],SUM(Mecze[[#This Row],[/PR:90]:[/BR:90]]))</f>
        <v>2.0618556701030927E-2</v>
      </c>
      <c r="Z51" s="35">
        <f>IF(Mecze[[#This Row],[KC]]=0,SUM(Mecze[[#This Row],[/BRI]:[/NPI]]),SUM(Mecze[[#This Row],[/BRI]:[/NPI]])*0.6)</f>
        <v>0.1056701030927835</v>
      </c>
      <c r="AA51" s="10">
        <f>IFERROR(Mecze[[#This Row],[BR]]/Mecze[[#This Row],[ST]],0)</f>
        <v>0</v>
      </c>
      <c r="AB51">
        <f>ROUND(Mecze[[#This Row],[PD]]*Mecze[[#This Row],[%PC]],0)</f>
        <v>1</v>
      </c>
      <c r="AC51">
        <f>ROUND(Mecze[[#This Row],[OD]]*Mecze[[#This Row],[%OU]],0)</f>
        <v>1</v>
      </c>
      <c r="AD51" s="36" t="s">
        <v>175</v>
      </c>
      <c r="AE51" s="36">
        <v>4</v>
      </c>
      <c r="AF51" s="71">
        <v>7.04</v>
      </c>
      <c r="AG51" s="37">
        <v>0</v>
      </c>
      <c r="AH51" s="37">
        <v>0</v>
      </c>
      <c r="AI51" s="37">
        <v>97</v>
      </c>
      <c r="AJ51">
        <v>1</v>
      </c>
      <c r="AK51" s="37" t="str">
        <f>VLOOKUP(Mecze[[#This Row],[Match ID]],Meczusie[Mecz]:Meczusie[RodzajMeczu],2,FALSE)</f>
        <v>Liga</v>
      </c>
      <c r="AM51" s="2"/>
      <c r="AN51" s="2"/>
      <c r="AO51" s="1"/>
    </row>
    <row r="52" spans="1:42" x14ac:dyDescent="0.25">
      <c r="A52" s="76">
        <v>13</v>
      </c>
      <c r="B52" s="3" t="s">
        <v>162</v>
      </c>
      <c r="C52" s="2" t="s">
        <v>160</v>
      </c>
      <c r="D52" s="1">
        <v>0</v>
      </c>
      <c r="E52" s="1">
        <v>1</v>
      </c>
      <c r="F52" s="1">
        <v>0</v>
      </c>
      <c r="G52" s="1">
        <v>8</v>
      </c>
      <c r="H52" s="4">
        <v>0.63</v>
      </c>
      <c r="I52" s="1">
        <v>0</v>
      </c>
      <c r="J52" s="4">
        <v>0</v>
      </c>
      <c r="K52" s="1">
        <v>0</v>
      </c>
      <c r="L52" s="1">
        <v>2</v>
      </c>
      <c r="M52" s="32">
        <f>IF(Mecze[[#This Row],[PR]]=0,0,Mecze[[#This Row],[PR]]/Mecze[[#This Row],[CZAS]])</f>
        <v>2.0618556701030927E-2</v>
      </c>
      <c r="N52" s="32">
        <f>IF(Mecze[[#This Row],[OU]]=0,0,Mecze[[#This Row],[OU]]/Mecze[[#This Row],[CZAS]])</f>
        <v>0</v>
      </c>
      <c r="O52" s="32">
        <f>IF(Mecze[[#This Row],[PC]]=0,0,Mecze[[#This Row],[PC]]/Mecze[[#This Row],[CZAS]])</f>
        <v>5.1546391752577317E-2</v>
      </c>
      <c r="P52" s="32">
        <f>IF(Mecze[[#This Row],[SC]]=0,0,Mecze[[#This Row],[SC]]/Mecze[[#This Row],[CZAS]])</f>
        <v>0</v>
      </c>
      <c r="Q52" s="32">
        <f>IF(Mecze[[#This Row],[OB]]=0,0,Mecze[[#This Row],[OB]]/Mecze[[#This Row],[CZAS]])</f>
        <v>0</v>
      </c>
      <c r="R52" s="32">
        <f>IF(Mecze[[#This Row],[BR]]=0,0,Mecze[[#This Row],[BR]]/Mecze[[#This Row],[CZAS]])</f>
        <v>0</v>
      </c>
      <c r="S52" s="44">
        <f>IF(Mecze[[#This Row],[Role]]="BR",SUMPRODUCT(Mecze[[#This Row],[/PR:90]:[/BR:90]],Brudnopis!$E$23:$J$23),0)</f>
        <v>0</v>
      </c>
      <c r="T52" s="44">
        <f>IF(Mecze[[#This Row],[Role]]&lt;&gt;"BR",SUMPRODUCT(Mecze[[#This Row],[/PR:90]:[/BR:90]],Brudnopis!$E$24:$J$24),0)</f>
        <v>7.2164948453608241E-2</v>
      </c>
      <c r="U52" s="44">
        <f>IF(Mecze[[#This Row],[Role]]&lt;&gt;"BR",SUMPRODUCT(Mecze[[#This Row],[/PR:90]:[/BR:90]],Brudnopis!$E$25:$J$25),0)</f>
        <v>9.7938144329896906E-2</v>
      </c>
      <c r="V52" s="44">
        <f>IF(Mecze[[#This Row],[Role]]&lt;&gt;"BR",SUMPRODUCT(Mecze[[#This Row],[/PR:90]:[/BR:90]],Brudnopis!$E$26:$J$26),0)</f>
        <v>7.2164948453608241E-2</v>
      </c>
      <c r="W52" s="44">
        <f>IF(Mecze[[#This Row],[Role]]&lt;&gt;"BR",SUMPRODUCT(Mecze[[#This Row],[/PR:90]:[/BR:90]],Brudnopis!$E$27:$J$27),0)</f>
        <v>9.2783505154639179E-2</v>
      </c>
      <c r="X52" s="44">
        <f>IF(Mecze[[#This Row],[Role]]&lt;&gt;"BR",SUMPRODUCT(Mecze[[#This Row],[/PR:90]:[/BR:90]],Brudnopis!$E$28:$J$28),0)</f>
        <v>5.1546391752577317E-2</v>
      </c>
      <c r="Y52" s="35">
        <f>IF(Mecze[[#This Row],[Role]]="BR",Mecze[[#This Row],[/OB:90]]+Mecze[[#This Row],[/PC:90]],SUM(Mecze[[#This Row],[/PR:90]:[/BR:90]]))</f>
        <v>7.2164948453608241E-2</v>
      </c>
      <c r="Z52" s="35">
        <f>IF(Mecze[[#This Row],[KC]]=0,SUM(Mecze[[#This Row],[/BRI]:[/NPI]]),SUM(Mecze[[#This Row],[/BRI]:[/NPI]])*0.6)</f>
        <v>0.38659793814432991</v>
      </c>
      <c r="AA52" s="10">
        <f>IFERROR(Mecze[[#This Row],[BR]]/Mecze[[#This Row],[ST]],0)</f>
        <v>0</v>
      </c>
      <c r="AB52">
        <f>ROUND(Mecze[[#This Row],[PD]]*Mecze[[#This Row],[%PC]],0)</f>
        <v>5</v>
      </c>
      <c r="AC52">
        <f>ROUND(Mecze[[#This Row],[OD]]*Mecze[[#This Row],[%OU]],0)</f>
        <v>0</v>
      </c>
      <c r="AD52" s="36" t="s">
        <v>172</v>
      </c>
      <c r="AE52" s="36">
        <v>4</v>
      </c>
      <c r="AF52" s="71">
        <v>8.67</v>
      </c>
      <c r="AG52" s="37">
        <v>0</v>
      </c>
      <c r="AH52" s="37">
        <v>0</v>
      </c>
      <c r="AI52" s="37">
        <v>97</v>
      </c>
      <c r="AJ52">
        <v>1</v>
      </c>
      <c r="AK52" s="37" t="str">
        <f>VLOOKUP(Mecze[[#This Row],[Match ID]],Meczusie[Mecz]:Meczusie[RodzajMeczu],2,FALSE)</f>
        <v>Liga</v>
      </c>
      <c r="AM52" s="2"/>
      <c r="AN52" s="2"/>
      <c r="AO52" s="1"/>
    </row>
    <row r="53" spans="1:42" x14ac:dyDescent="0.25">
      <c r="A53" s="76">
        <v>6</v>
      </c>
      <c r="B53" s="3" t="s">
        <v>159</v>
      </c>
      <c r="C53" s="2" t="s">
        <v>160</v>
      </c>
      <c r="D53" s="1">
        <v>0</v>
      </c>
      <c r="E53" s="1">
        <v>0</v>
      </c>
      <c r="F53" s="1">
        <v>0</v>
      </c>
      <c r="G53" s="1">
        <v>11</v>
      </c>
      <c r="H53" s="4">
        <v>0.27</v>
      </c>
      <c r="I53" s="1">
        <v>0</v>
      </c>
      <c r="J53" s="4">
        <v>0</v>
      </c>
      <c r="K53" s="1">
        <v>0</v>
      </c>
      <c r="L53" s="1">
        <v>2</v>
      </c>
      <c r="M53" s="32">
        <f>IF(Mecze[[#This Row],[PR]]=0,0,Mecze[[#This Row],[PR]]/Mecze[[#This Row],[CZAS]])</f>
        <v>2.0618556701030927E-2</v>
      </c>
      <c r="N53" s="32">
        <f>IF(Mecze[[#This Row],[OU]]=0,0,Mecze[[#This Row],[OU]]/Mecze[[#This Row],[CZAS]])</f>
        <v>0</v>
      </c>
      <c r="O53" s="32">
        <f>IF(Mecze[[#This Row],[PC]]=0,0,Mecze[[#This Row],[PC]]/Mecze[[#This Row],[CZAS]])</f>
        <v>3.0927835051546393E-2</v>
      </c>
      <c r="P53" s="32">
        <f>IF(Mecze[[#This Row],[SC]]=0,0,Mecze[[#This Row],[SC]]/Mecze[[#This Row],[CZAS]])</f>
        <v>0</v>
      </c>
      <c r="Q53" s="32">
        <f>IF(Mecze[[#This Row],[OB]]=0,0,Mecze[[#This Row],[OB]]/Mecze[[#This Row],[CZAS]])</f>
        <v>0</v>
      </c>
      <c r="R53" s="32">
        <f>IF(Mecze[[#This Row],[BR]]=0,0,Mecze[[#This Row],[BR]]/Mecze[[#This Row],[CZAS]])</f>
        <v>0</v>
      </c>
      <c r="S53" s="44">
        <f>IF(Mecze[[#This Row],[Role]]="BR",SUMPRODUCT(Mecze[[#This Row],[/PR:90]:[/BR:90]],Brudnopis!$E$23:$J$23),0)</f>
        <v>0</v>
      </c>
      <c r="T53" s="44">
        <f>IF(Mecze[[#This Row],[Role]]&lt;&gt;"BR",SUMPRODUCT(Mecze[[#This Row],[/PR:90]:[/BR:90]],Brudnopis!$E$24:$J$24),0)</f>
        <v>5.1546391752577317E-2</v>
      </c>
      <c r="U53" s="44">
        <f>IF(Mecze[[#This Row],[Role]]&lt;&gt;"BR",SUMPRODUCT(Mecze[[#This Row],[/PR:90]:[/BR:90]],Brudnopis!$E$25:$J$25),0)</f>
        <v>6.7010309278350513E-2</v>
      </c>
      <c r="V53" s="44">
        <f>IF(Mecze[[#This Row],[Role]]&lt;&gt;"BR",SUMPRODUCT(Mecze[[#This Row],[/PR:90]:[/BR:90]],Brudnopis!$E$26:$J$26),0)</f>
        <v>5.1546391752577317E-2</v>
      </c>
      <c r="W53" s="44">
        <f>IF(Mecze[[#This Row],[Role]]&lt;&gt;"BR",SUMPRODUCT(Mecze[[#This Row],[/PR:90]:[/BR:90]],Brudnopis!$E$27:$J$27),0)</f>
        <v>6.1855670103092786E-2</v>
      </c>
      <c r="X53" s="44">
        <f>IF(Mecze[[#This Row],[Role]]&lt;&gt;"BR",SUMPRODUCT(Mecze[[#This Row],[/PR:90]:[/BR:90]],Brudnopis!$E$28:$J$28),0)</f>
        <v>3.0927835051546393E-2</v>
      </c>
      <c r="Y53" s="35">
        <f>IF(Mecze[[#This Row],[Role]]="BR",Mecze[[#This Row],[/OB:90]]+Mecze[[#This Row],[/PC:90]],SUM(Mecze[[#This Row],[/PR:90]:[/BR:90]]))</f>
        <v>5.1546391752577317E-2</v>
      </c>
      <c r="Z53" s="35">
        <f>IF(Mecze[[#This Row],[KC]]=0,SUM(Mecze[[#This Row],[/BRI]:[/NPI]]),SUM(Mecze[[#This Row],[/BRI]:[/NPI]])*0.6)</f>
        <v>0.26288659793814434</v>
      </c>
      <c r="AA53" s="10">
        <f>IFERROR(Mecze[[#This Row],[BR]]/Mecze[[#This Row],[ST]],0)</f>
        <v>0</v>
      </c>
      <c r="AB53">
        <f>ROUND(Mecze[[#This Row],[PD]]*Mecze[[#This Row],[%PC]],0)</f>
        <v>3</v>
      </c>
      <c r="AC53">
        <f>ROUND(Mecze[[#This Row],[OD]]*Mecze[[#This Row],[%OU]],0)</f>
        <v>0</v>
      </c>
      <c r="AD53" s="36" t="s">
        <v>173</v>
      </c>
      <c r="AE53" s="36">
        <v>4</v>
      </c>
      <c r="AF53" s="71">
        <v>7.46</v>
      </c>
      <c r="AG53" s="37">
        <v>0</v>
      </c>
      <c r="AH53" s="37">
        <v>0</v>
      </c>
      <c r="AI53" s="37">
        <v>97</v>
      </c>
      <c r="AJ53">
        <v>1</v>
      </c>
      <c r="AK53" s="37" t="str">
        <f>VLOOKUP(Mecze[[#This Row],[Match ID]],Meczusie[Mecz]:Meczusie[RodzajMeczu],2,FALSE)</f>
        <v>Liga</v>
      </c>
      <c r="AM53" s="2"/>
      <c r="AN53" s="2"/>
      <c r="AO53" s="1"/>
    </row>
    <row r="54" spans="1:42" x14ac:dyDescent="0.25">
      <c r="A54" s="76">
        <v>15</v>
      </c>
      <c r="B54" s="3" t="s">
        <v>170</v>
      </c>
      <c r="C54" s="2" t="s">
        <v>160</v>
      </c>
      <c r="D54" s="1">
        <v>0</v>
      </c>
      <c r="E54" s="1">
        <v>1</v>
      </c>
      <c r="F54" s="1">
        <v>1</v>
      </c>
      <c r="G54" s="1">
        <v>24</v>
      </c>
      <c r="H54" s="4">
        <v>0.57999999999999996</v>
      </c>
      <c r="I54" s="1">
        <v>12</v>
      </c>
      <c r="J54" s="4">
        <v>0.67</v>
      </c>
      <c r="K54" s="1">
        <v>0</v>
      </c>
      <c r="L54" s="1">
        <v>13</v>
      </c>
      <c r="M54" s="32">
        <f>IF(Mecze[[#This Row],[PR]]=0,0,Mecze[[#This Row],[PR]]/Mecze[[#This Row],[CZAS]])</f>
        <v>0.13402061855670103</v>
      </c>
      <c r="N54" s="32">
        <f>IF(Mecze[[#This Row],[OU]]=0,0,Mecze[[#This Row],[OU]]/Mecze[[#This Row],[CZAS]])</f>
        <v>8.247422680412371E-2</v>
      </c>
      <c r="O54" s="32">
        <f>IF(Mecze[[#This Row],[PC]]=0,0,Mecze[[#This Row],[PC]]/Mecze[[#This Row],[CZAS]])</f>
        <v>0.14432989690721648</v>
      </c>
      <c r="P54" s="32">
        <f>IF(Mecze[[#This Row],[SC]]=0,0,Mecze[[#This Row],[SC]]/Mecze[[#This Row],[CZAS]])</f>
        <v>1.0309278350515464E-2</v>
      </c>
      <c r="Q54" s="32">
        <f>IF(Mecze[[#This Row],[OB]]=0,0,Mecze[[#This Row],[OB]]/Mecze[[#This Row],[CZAS]])</f>
        <v>0</v>
      </c>
      <c r="R54" s="32">
        <f>IF(Mecze[[#This Row],[BR]]=0,0,Mecze[[#This Row],[BR]]/Mecze[[#This Row],[CZAS]])</f>
        <v>0</v>
      </c>
      <c r="S54" s="44">
        <f>IF(Mecze[[#This Row],[Role]]="BR",SUMPRODUCT(Mecze[[#This Row],[/PR:90]:[/BR:90]],Brudnopis!$E$23:$J$23),0)</f>
        <v>0</v>
      </c>
      <c r="T54" s="44">
        <f>IF(Mecze[[#This Row],[Role]]&lt;&gt;"BR",SUMPRODUCT(Mecze[[#This Row],[/PR:90]:[/BR:90]],Brudnopis!$E$24:$J$24),0)</f>
        <v>0.41237113402061853</v>
      </c>
      <c r="U54" s="44">
        <f>IF(Mecze[[#This Row],[Role]]&lt;&gt;"BR",SUMPRODUCT(Mecze[[#This Row],[/PR:90]:[/BR:90]],Brudnopis!$E$25:$J$25),0)</f>
        <v>0.44329896907216498</v>
      </c>
      <c r="V54" s="44">
        <f>IF(Mecze[[#This Row],[Role]]&lt;&gt;"BR",SUMPRODUCT(Mecze[[#This Row],[/PR:90]:[/BR:90]],Brudnopis!$E$26:$J$26),0)</f>
        <v>0.37113402061855671</v>
      </c>
      <c r="W54" s="44">
        <f>IF(Mecze[[#This Row],[Role]]&lt;&gt;"BR",SUMPRODUCT(Mecze[[#This Row],[/PR:90]:[/BR:90]],Brudnopis!$E$27:$J$27),0)</f>
        <v>0.38917525773195877</v>
      </c>
      <c r="X54" s="44">
        <f>IF(Mecze[[#This Row],[Role]]&lt;&gt;"BR",SUMPRODUCT(Mecze[[#This Row],[/PR:90]:[/BR:90]],Brudnopis!$E$28:$J$28),0)</f>
        <v>0.16494845360824742</v>
      </c>
      <c r="Y54" s="35">
        <f>IF(Mecze[[#This Row],[Role]]="BR",Mecze[[#This Row],[/OB:90]]+Mecze[[#This Row],[/PC:90]],SUM(Mecze[[#This Row],[/PR:90]:[/BR:90]]))</f>
        <v>0.37113402061855671</v>
      </c>
      <c r="Z54" s="35">
        <f>IF(Mecze[[#This Row],[KC]]=0,SUM(Mecze[[#This Row],[/BRI]:[/NPI]]),SUM(Mecze[[#This Row],[/BRI]:[/NPI]])*0.6)</f>
        <v>1.7809278350515465</v>
      </c>
      <c r="AA54" s="10">
        <f>IFERROR(Mecze[[#This Row],[BR]]/Mecze[[#This Row],[ST]],0)</f>
        <v>0</v>
      </c>
      <c r="AB54">
        <f>ROUND(Mecze[[#This Row],[PD]]*Mecze[[#This Row],[%PC]],0)</f>
        <v>14</v>
      </c>
      <c r="AC54">
        <f>ROUND(Mecze[[#This Row],[OD]]*Mecze[[#This Row],[%OU]],0)</f>
        <v>8</v>
      </c>
      <c r="AD54" s="36" t="s">
        <v>41</v>
      </c>
      <c r="AE54" s="36">
        <v>4</v>
      </c>
      <c r="AF54" s="71">
        <v>11.21</v>
      </c>
      <c r="AG54" s="37">
        <v>0</v>
      </c>
      <c r="AH54" s="37">
        <v>0</v>
      </c>
      <c r="AI54" s="37">
        <v>97</v>
      </c>
      <c r="AJ54">
        <v>1</v>
      </c>
      <c r="AK54" s="37" t="str">
        <f>VLOOKUP(Mecze[[#This Row],[Match ID]],Meczusie[Mecz]:Meczusie[RodzajMeczu],2,FALSE)</f>
        <v>Liga</v>
      </c>
      <c r="AM54" s="2"/>
      <c r="AN54" s="2"/>
      <c r="AO54" s="1"/>
    </row>
    <row r="55" spans="1:42" x14ac:dyDescent="0.25">
      <c r="A55" s="76">
        <v>14</v>
      </c>
      <c r="B55" s="3" t="s">
        <v>164</v>
      </c>
      <c r="C55" s="2" t="s">
        <v>165</v>
      </c>
      <c r="D55" s="1">
        <v>0</v>
      </c>
      <c r="E55" s="1">
        <v>6</v>
      </c>
      <c r="F55" s="1">
        <v>6</v>
      </c>
      <c r="G55" s="1">
        <v>10</v>
      </c>
      <c r="H55" s="4">
        <v>0.4</v>
      </c>
      <c r="I55" s="1">
        <v>2</v>
      </c>
      <c r="J55" s="4">
        <v>1</v>
      </c>
      <c r="K55" s="1">
        <v>0</v>
      </c>
      <c r="L55" s="1">
        <v>3</v>
      </c>
      <c r="M55" s="32">
        <f>IF(Mecze[[#This Row],[PR]]=0,0,Mecze[[#This Row],[PR]]/Mecze[[#This Row],[CZAS]])</f>
        <v>3.0927835051546393E-2</v>
      </c>
      <c r="N55" s="32">
        <f>IF(Mecze[[#This Row],[OU]]=0,0,Mecze[[#This Row],[OU]]/Mecze[[#This Row],[CZAS]])</f>
        <v>2.0618556701030927E-2</v>
      </c>
      <c r="O55" s="32">
        <f>IF(Mecze[[#This Row],[PC]]=0,0,Mecze[[#This Row],[PC]]/Mecze[[#This Row],[CZAS]])</f>
        <v>4.1237113402061855E-2</v>
      </c>
      <c r="P55" s="32">
        <f>IF(Mecze[[#This Row],[SC]]=0,0,Mecze[[#This Row],[SC]]/Mecze[[#This Row],[CZAS]])</f>
        <v>6.1855670103092786E-2</v>
      </c>
      <c r="Q55" s="32">
        <f>IF(Mecze[[#This Row],[OB]]=0,0,Mecze[[#This Row],[OB]]/Mecze[[#This Row],[CZAS]])</f>
        <v>0</v>
      </c>
      <c r="R55" s="32">
        <f>IF(Mecze[[#This Row],[BR]]=0,0,Mecze[[#This Row],[BR]]/Mecze[[#This Row],[CZAS]])</f>
        <v>0</v>
      </c>
      <c r="S55" s="44">
        <f>IF(Mecze[[#This Row],[Role]]="BR",SUMPRODUCT(Mecze[[#This Row],[/PR:90]:[/BR:90]],Brudnopis!$E$23:$J$23),0)</f>
        <v>0</v>
      </c>
      <c r="T55" s="44">
        <f>IF(Mecze[[#This Row],[Role]]&lt;&gt;"BR",SUMPRODUCT(Mecze[[#This Row],[/PR:90]:[/BR:90]],Brudnopis!$E$24:$J$24),0)</f>
        <v>0.16494845360824742</v>
      </c>
      <c r="U55" s="44">
        <f>IF(Mecze[[#This Row],[Role]]&lt;&gt;"BR",SUMPRODUCT(Mecze[[#This Row],[/PR:90]:[/BR:90]],Brudnopis!$E$25:$J$25),0)</f>
        <v>0.17525773195876287</v>
      </c>
      <c r="V55" s="44">
        <f>IF(Mecze[[#This Row],[Role]]&lt;&gt;"BR",SUMPRODUCT(Mecze[[#This Row],[/PR:90]:[/BR:90]],Brudnopis!$E$26:$J$26),0)</f>
        <v>0.15463917525773196</v>
      </c>
      <c r="W55" s="44">
        <f>IF(Mecze[[#This Row],[Role]]&lt;&gt;"BR",SUMPRODUCT(Mecze[[#This Row],[/PR:90]:[/BR:90]],Brudnopis!$E$27:$J$27),0)</f>
        <v>0.16237113402061856</v>
      </c>
      <c r="X55" s="44">
        <f>IF(Mecze[[#This Row],[Role]]&lt;&gt;"BR",SUMPRODUCT(Mecze[[#This Row],[/PR:90]:[/BR:90]],Brudnopis!$E$28:$J$28),0)</f>
        <v>0.16494845360824742</v>
      </c>
      <c r="Y55" s="35">
        <f>IF(Mecze[[#This Row],[Role]]="BR",Mecze[[#This Row],[/OB:90]]+Mecze[[#This Row],[/PC:90]],SUM(Mecze[[#This Row],[/PR:90]:[/BR:90]]))</f>
        <v>0.15463917525773196</v>
      </c>
      <c r="Z55" s="35">
        <f>IF(Mecze[[#This Row],[KC]]=0,SUM(Mecze[[#This Row],[/BRI]:[/NPI]]),SUM(Mecze[[#This Row],[/BRI]:[/NPI]])*0.6)</f>
        <v>0.82216494845360821</v>
      </c>
      <c r="AA55" s="10">
        <f>IFERROR(Mecze[[#This Row],[BR]]/Mecze[[#This Row],[ST]],0)</f>
        <v>0</v>
      </c>
      <c r="AB55">
        <f>ROUND(Mecze[[#This Row],[PD]]*Mecze[[#This Row],[%PC]],0)</f>
        <v>4</v>
      </c>
      <c r="AC55">
        <f>ROUND(Mecze[[#This Row],[OD]]*Mecze[[#This Row],[%OU]],0)</f>
        <v>2</v>
      </c>
      <c r="AD55" s="36" t="s">
        <v>46</v>
      </c>
      <c r="AE55" s="36">
        <v>4</v>
      </c>
      <c r="AF55" s="71">
        <v>5.25</v>
      </c>
      <c r="AG55" s="37">
        <v>0</v>
      </c>
      <c r="AH55" s="37">
        <v>0</v>
      </c>
      <c r="AI55" s="37">
        <v>97</v>
      </c>
      <c r="AJ55">
        <v>1</v>
      </c>
      <c r="AK55" s="37" t="str">
        <f>VLOOKUP(Mecze[[#This Row],[Match ID]],Meczusie[Mecz]:Meczusie[RodzajMeczu],2,FALSE)</f>
        <v>Liga</v>
      </c>
      <c r="AM55" s="2"/>
      <c r="AN55" s="2"/>
      <c r="AO55" s="1"/>
    </row>
    <row r="56" spans="1:42" x14ac:dyDescent="0.25">
      <c r="A56" s="76">
        <v>19</v>
      </c>
      <c r="B56" s="3" t="s">
        <v>166</v>
      </c>
      <c r="C56" s="2" t="s">
        <v>165</v>
      </c>
      <c r="D56" s="1">
        <v>1</v>
      </c>
      <c r="E56" s="1">
        <v>5</v>
      </c>
      <c r="F56" s="1">
        <v>5</v>
      </c>
      <c r="G56" s="1">
        <v>4</v>
      </c>
      <c r="H56" s="4">
        <v>0.75</v>
      </c>
      <c r="I56" s="1">
        <v>8</v>
      </c>
      <c r="J56" s="4">
        <v>0.5</v>
      </c>
      <c r="K56" s="1">
        <v>0</v>
      </c>
      <c r="L56" s="1">
        <v>1</v>
      </c>
      <c r="M56" s="32">
        <f>IF(Mecze[[#This Row],[PR]]=0,0,Mecze[[#This Row],[PR]]/Mecze[[#This Row],[CZAS]])</f>
        <v>1.0309278350515464E-2</v>
      </c>
      <c r="N56" s="32">
        <f>IF(Mecze[[#This Row],[OU]]=0,0,Mecze[[#This Row],[OU]]/Mecze[[#This Row],[CZAS]])</f>
        <v>4.1237113402061855E-2</v>
      </c>
      <c r="O56" s="32">
        <f>IF(Mecze[[#This Row],[PC]]=0,0,Mecze[[#This Row],[PC]]/Mecze[[#This Row],[CZAS]])</f>
        <v>3.0927835051546393E-2</v>
      </c>
      <c r="P56" s="32">
        <f>IF(Mecze[[#This Row],[SC]]=0,0,Mecze[[#This Row],[SC]]/Mecze[[#This Row],[CZAS]])</f>
        <v>5.1546391752577317E-2</v>
      </c>
      <c r="Q56" s="32">
        <f>IF(Mecze[[#This Row],[OB]]=0,0,Mecze[[#This Row],[OB]]/Mecze[[#This Row],[CZAS]])</f>
        <v>0</v>
      </c>
      <c r="R56" s="32">
        <f>IF(Mecze[[#This Row],[BR]]=0,0,Mecze[[#This Row],[BR]]/Mecze[[#This Row],[CZAS]])</f>
        <v>1.0309278350515464E-2</v>
      </c>
      <c r="S56" s="44">
        <f>IF(Mecze[[#This Row],[Role]]="BR",SUMPRODUCT(Mecze[[#This Row],[/PR:90]:[/BR:90]],Brudnopis!$E$23:$J$23),0)</f>
        <v>0</v>
      </c>
      <c r="T56" s="44">
        <f>IF(Mecze[[#This Row],[Role]]&lt;&gt;"BR",SUMPRODUCT(Mecze[[#This Row],[/PR:90]:[/BR:90]],Brudnopis!$E$24:$J$24),0)</f>
        <v>0.17010309278350516</v>
      </c>
      <c r="U56" s="44">
        <f>IF(Mecze[[#This Row],[Role]]&lt;&gt;"BR",SUMPRODUCT(Mecze[[#This Row],[/PR:90]:[/BR:90]],Brudnopis!$E$25:$J$25),0)</f>
        <v>0.16494845360824742</v>
      </c>
      <c r="V56" s="44">
        <f>IF(Mecze[[#This Row],[Role]]&lt;&gt;"BR",SUMPRODUCT(Mecze[[#This Row],[/PR:90]:[/BR:90]],Brudnopis!$E$26:$J$26),0)</f>
        <v>0.15463917525773196</v>
      </c>
      <c r="W56" s="44">
        <f>IF(Mecze[[#This Row],[Role]]&lt;&gt;"BR",SUMPRODUCT(Mecze[[#This Row],[/PR:90]:[/BR:90]],Brudnopis!$E$27:$J$27),0)</f>
        <v>0.15721649484536085</v>
      </c>
      <c r="X56" s="44">
        <f>IF(Mecze[[#This Row],[Role]]&lt;&gt;"BR",SUMPRODUCT(Mecze[[#This Row],[/PR:90]:[/BR:90]],Brudnopis!$E$28:$J$28),0)</f>
        <v>0.16494845360824742</v>
      </c>
      <c r="Y56" s="35">
        <f>IF(Mecze[[#This Row],[Role]]="BR",Mecze[[#This Row],[/OB:90]]+Mecze[[#This Row],[/PC:90]],SUM(Mecze[[#This Row],[/PR:90]:[/BR:90]]))</f>
        <v>0.14432989690721648</v>
      </c>
      <c r="Z56" s="35">
        <f>IF(Mecze[[#This Row],[KC]]=0,SUM(Mecze[[#This Row],[/BRI]:[/NPI]]),SUM(Mecze[[#This Row],[/BRI]:[/NPI]])*0.6)</f>
        <v>0.81185567010309279</v>
      </c>
      <c r="AA56" s="10">
        <f>IFERROR(Mecze[[#This Row],[BR]]/Mecze[[#This Row],[ST]],0)</f>
        <v>0.2</v>
      </c>
      <c r="AB56">
        <f>ROUND(Mecze[[#This Row],[PD]]*Mecze[[#This Row],[%PC]],0)</f>
        <v>3</v>
      </c>
      <c r="AC56">
        <f>ROUND(Mecze[[#This Row],[OD]]*Mecze[[#This Row],[%OU]],0)</f>
        <v>4</v>
      </c>
      <c r="AD56" s="36" t="s">
        <v>46</v>
      </c>
      <c r="AE56" s="36">
        <v>4</v>
      </c>
      <c r="AF56" s="71">
        <v>7.33</v>
      </c>
      <c r="AG56" s="37">
        <v>0</v>
      </c>
      <c r="AH56" s="37">
        <v>0</v>
      </c>
      <c r="AI56" s="37">
        <v>97</v>
      </c>
      <c r="AJ56">
        <v>1</v>
      </c>
      <c r="AK56" s="37" t="str">
        <f>VLOOKUP(Mecze[[#This Row],[Match ID]],Meczusie[Mecz]:Meczusie[RodzajMeczu],2,FALSE)</f>
        <v>Liga</v>
      </c>
      <c r="AM56" s="2"/>
      <c r="AN56" s="2"/>
      <c r="AO56" s="1"/>
    </row>
    <row r="57" spans="1:42" x14ac:dyDescent="0.25">
      <c r="A57" s="76">
        <v>11</v>
      </c>
      <c r="B57" s="3" t="s">
        <v>163</v>
      </c>
      <c r="C57" s="2" t="s">
        <v>165</v>
      </c>
      <c r="D57" s="1">
        <v>0</v>
      </c>
      <c r="E57" s="1">
        <v>6</v>
      </c>
      <c r="F57" s="1">
        <v>4</v>
      </c>
      <c r="G57" s="1">
        <v>7</v>
      </c>
      <c r="H57" s="4">
        <v>0.43</v>
      </c>
      <c r="I57" s="1">
        <v>2</v>
      </c>
      <c r="J57" s="4">
        <v>0</v>
      </c>
      <c r="K57" s="1">
        <v>0</v>
      </c>
      <c r="L57" s="1">
        <v>2</v>
      </c>
      <c r="M57" s="32">
        <f>IF(Mecze[[#This Row],[PR]]=0,0,Mecze[[#This Row],[PR]]/Mecze[[#This Row],[CZAS]])</f>
        <v>2.0618556701030927E-2</v>
      </c>
      <c r="N57" s="32">
        <f>IF(Mecze[[#This Row],[OU]]=0,0,Mecze[[#This Row],[OU]]/Mecze[[#This Row],[CZAS]])</f>
        <v>0</v>
      </c>
      <c r="O57" s="32">
        <f>IF(Mecze[[#This Row],[PC]]=0,0,Mecze[[#This Row],[PC]]/Mecze[[#This Row],[CZAS]])</f>
        <v>3.0927835051546393E-2</v>
      </c>
      <c r="P57" s="32">
        <f>IF(Mecze[[#This Row],[SC]]=0,0,Mecze[[#This Row],[SC]]/Mecze[[#This Row],[CZAS]])</f>
        <v>4.1237113402061855E-2</v>
      </c>
      <c r="Q57" s="32">
        <f>IF(Mecze[[#This Row],[OB]]=0,0,Mecze[[#This Row],[OB]]/Mecze[[#This Row],[CZAS]])</f>
        <v>0</v>
      </c>
      <c r="R57" s="32">
        <f>IF(Mecze[[#This Row],[BR]]=0,0,Mecze[[#This Row],[BR]]/Mecze[[#This Row],[CZAS]])</f>
        <v>0</v>
      </c>
      <c r="S57" s="44">
        <f>IF(Mecze[[#This Row],[Role]]="BR",SUMPRODUCT(Mecze[[#This Row],[/PR:90]:[/BR:90]],Brudnopis!$E$23:$J$23),0)</f>
        <v>0</v>
      </c>
      <c r="T57" s="44">
        <f>IF(Mecze[[#This Row],[Role]]&lt;&gt;"BR",SUMPRODUCT(Mecze[[#This Row],[/PR:90]:[/BR:90]],Brudnopis!$E$24:$J$24),0)</f>
        <v>9.2783505154639179E-2</v>
      </c>
      <c r="U57" s="44">
        <f>IF(Mecze[[#This Row],[Role]]&lt;&gt;"BR",SUMPRODUCT(Mecze[[#This Row],[/PR:90]:[/BR:90]],Brudnopis!$E$25:$J$25),0)</f>
        <v>0.10824742268041238</v>
      </c>
      <c r="V57" s="44">
        <f>IF(Mecze[[#This Row],[Role]]&lt;&gt;"BR",SUMPRODUCT(Mecze[[#This Row],[/PR:90]:[/BR:90]],Brudnopis!$E$26:$J$26),0)</f>
        <v>9.2783505154639179E-2</v>
      </c>
      <c r="W57" s="44">
        <f>IF(Mecze[[#This Row],[Role]]&lt;&gt;"BR",SUMPRODUCT(Mecze[[#This Row],[/PR:90]:[/BR:90]],Brudnopis!$E$27:$J$27),0)</f>
        <v>0.10309278350515463</v>
      </c>
      <c r="X57" s="44">
        <f>IF(Mecze[[#This Row],[Role]]&lt;&gt;"BR",SUMPRODUCT(Mecze[[#This Row],[/PR:90]:[/BR:90]],Brudnopis!$E$28:$J$28),0)</f>
        <v>0.1134020618556701</v>
      </c>
      <c r="Y57" s="35">
        <f>IF(Mecze[[#This Row],[Role]]="BR",Mecze[[#This Row],[/OB:90]]+Mecze[[#This Row],[/PC:90]],SUM(Mecze[[#This Row],[/PR:90]:[/BR:90]]))</f>
        <v>9.2783505154639179E-2</v>
      </c>
      <c r="Z57" s="35">
        <f>IF(Mecze[[#This Row],[KC]]=0,SUM(Mecze[[#This Row],[/BRI]:[/NPI]]),SUM(Mecze[[#This Row],[/BRI]:[/NPI]])*0.6)</f>
        <v>0.51030927835051554</v>
      </c>
      <c r="AA57" s="10">
        <f>IFERROR(Mecze[[#This Row],[BR]]/Mecze[[#This Row],[ST]],0)</f>
        <v>0</v>
      </c>
      <c r="AB57">
        <f>ROUND(Mecze[[#This Row],[PD]]*Mecze[[#This Row],[%PC]],0)</f>
        <v>3</v>
      </c>
      <c r="AC57">
        <f>ROUND(Mecze[[#This Row],[OD]]*Mecze[[#This Row],[%OU]],0)</f>
        <v>0</v>
      </c>
      <c r="AD57" s="36" t="s">
        <v>46</v>
      </c>
      <c r="AE57" s="36">
        <v>4</v>
      </c>
      <c r="AF57" s="71">
        <v>4.8099999999999996</v>
      </c>
      <c r="AG57" s="37">
        <v>0</v>
      </c>
      <c r="AH57" s="37">
        <v>0</v>
      </c>
      <c r="AI57" s="37">
        <v>97</v>
      </c>
      <c r="AJ57">
        <v>1</v>
      </c>
      <c r="AK57" s="37" t="str">
        <f>VLOOKUP(Mecze[[#This Row],[Match ID]],Meczusie[Mecz]:Meczusie[RodzajMeczu],2,FALSE)</f>
        <v>Liga</v>
      </c>
      <c r="AM57" s="2"/>
      <c r="AN57" s="2"/>
      <c r="AO57" s="1"/>
    </row>
    <row r="58" spans="1:42" x14ac:dyDescent="0.25">
      <c r="A58" s="76">
        <v>1</v>
      </c>
      <c r="B58" s="3" t="s">
        <v>247</v>
      </c>
      <c r="C58" s="2" t="s">
        <v>155</v>
      </c>
      <c r="D58" s="1">
        <v>0</v>
      </c>
      <c r="E58" s="1">
        <v>0</v>
      </c>
      <c r="F58" s="1">
        <v>0</v>
      </c>
      <c r="G58" s="1">
        <v>7</v>
      </c>
      <c r="H58" s="4">
        <v>0.14000000000000001</v>
      </c>
      <c r="I58" s="1">
        <v>0</v>
      </c>
      <c r="J58" s="4">
        <v>0</v>
      </c>
      <c r="K58" s="1">
        <v>4</v>
      </c>
      <c r="L58" s="1">
        <v>0</v>
      </c>
      <c r="M58" s="32">
        <f>IF(Mecze[[#This Row],[PR]]=0,0,Mecze[[#This Row],[PR]]/Mecze[[#This Row],[CZAS]])</f>
        <v>0</v>
      </c>
      <c r="N58" s="32">
        <f>IF(Mecze[[#This Row],[OU]]=0,0,Mecze[[#This Row],[OU]]/Mecze[[#This Row],[CZAS]])</f>
        <v>0</v>
      </c>
      <c r="O58" s="32">
        <f>IF(Mecze[[#This Row],[PC]]=0,0,Mecze[[#This Row],[PC]]/Mecze[[#This Row],[CZAS]])</f>
        <v>1.020408163265306E-2</v>
      </c>
      <c r="P58" s="32">
        <f>IF(Mecze[[#This Row],[SC]]=0,0,Mecze[[#This Row],[SC]]/Mecze[[#This Row],[CZAS]])</f>
        <v>0</v>
      </c>
      <c r="Q58" s="32">
        <f>IF(Mecze[[#This Row],[OB]]=0,0,Mecze[[#This Row],[OB]]/Mecze[[#This Row],[CZAS]])</f>
        <v>4.0816326530612242E-2</v>
      </c>
      <c r="R58" s="32">
        <f>IF(Mecze[[#This Row],[BR]]=0,0,Mecze[[#This Row],[BR]]/Mecze[[#This Row],[CZAS]])</f>
        <v>0</v>
      </c>
      <c r="S58" s="44">
        <f>IF(Mecze[[#This Row],[Role]]="BR",SUMPRODUCT(Mecze[[#This Row],[/PR:90]:[/BR:90]],Brudnopis!$E$23:$J$23),0)</f>
        <v>0.15306122448979592</v>
      </c>
      <c r="T58" s="44">
        <f>IF(Mecze[[#This Row],[Role]]&lt;&gt;"BR",SUMPRODUCT(Mecze[[#This Row],[/PR:90]:[/BR:90]],Brudnopis!$E$24:$J$24),0)</f>
        <v>0</v>
      </c>
      <c r="U58" s="44">
        <f>IF(Mecze[[#This Row],[Role]]&lt;&gt;"BR",SUMPRODUCT(Mecze[[#This Row],[/PR:90]:[/BR:90]],Brudnopis!$E$25:$J$25),0)</f>
        <v>0</v>
      </c>
      <c r="V58" s="44">
        <f>IF(Mecze[[#This Row],[Role]]&lt;&gt;"BR",SUMPRODUCT(Mecze[[#This Row],[/PR:90]:[/BR:90]],Brudnopis!$E$26:$J$26),0)</f>
        <v>0</v>
      </c>
      <c r="W58" s="44">
        <f>IF(Mecze[[#This Row],[Role]]&lt;&gt;"BR",SUMPRODUCT(Mecze[[#This Row],[/PR:90]:[/BR:90]],Brudnopis!$E$27:$J$27),0)</f>
        <v>0</v>
      </c>
      <c r="X58" s="44">
        <f>IF(Mecze[[#This Row],[Role]]&lt;&gt;"BR",SUMPRODUCT(Mecze[[#This Row],[/PR:90]:[/BR:90]],Brudnopis!$E$28:$J$28),0)</f>
        <v>0</v>
      </c>
      <c r="Y58" s="35">
        <f>IF(Mecze[[#This Row],[Role]]="BR",Mecze[[#This Row],[/OB:90]]+Mecze[[#This Row],[/PC:90]],SUM(Mecze[[#This Row],[/PR:90]:[/BR:90]]))</f>
        <v>5.10204081632653E-2</v>
      </c>
      <c r="Z58" s="35">
        <f>IF(Mecze[[#This Row],[KC]]=0,SUM(Mecze[[#This Row],[/BRI]:[/NPI]]),SUM(Mecze[[#This Row],[/BRI]:[/NPI]])*0.6)</f>
        <v>0.15306122448979592</v>
      </c>
      <c r="AA58" s="10">
        <f>IFERROR(Mecze[[#This Row],[BR]]/Mecze[[#This Row],[ST]],0)</f>
        <v>0</v>
      </c>
      <c r="AB58">
        <f>ROUND(Mecze[[#This Row],[PD]]*Mecze[[#This Row],[%PC]],0)</f>
        <v>1</v>
      </c>
      <c r="AC58">
        <f>ROUND(Mecze[[#This Row],[OD]]*Mecze[[#This Row],[%OU]],0)</f>
        <v>0</v>
      </c>
      <c r="AD58" s="36" t="s">
        <v>40</v>
      </c>
      <c r="AE58" s="36">
        <v>3</v>
      </c>
      <c r="AF58" s="71">
        <v>-0.35</v>
      </c>
      <c r="AG58" s="37">
        <v>0</v>
      </c>
      <c r="AH58" s="37">
        <v>0</v>
      </c>
      <c r="AI58" s="37">
        <v>98</v>
      </c>
      <c r="AJ58">
        <v>6</v>
      </c>
      <c r="AK58" s="37" t="str">
        <f>VLOOKUP(Mecze[[#This Row],[Match ID]],Meczusie[Mecz]:Meczusie[RodzajMeczu],2,FALSE)</f>
        <v>Liga</v>
      </c>
      <c r="AM58" s="2"/>
      <c r="AN58" s="2"/>
      <c r="AO58" s="1"/>
    </row>
    <row r="59" spans="1:42" x14ac:dyDescent="0.25">
      <c r="A59" s="76">
        <v>101</v>
      </c>
      <c r="B59" s="3" t="s">
        <v>248</v>
      </c>
      <c r="C59" s="2" t="s">
        <v>157</v>
      </c>
      <c r="D59" s="1">
        <v>0</v>
      </c>
      <c r="E59" s="1">
        <v>0</v>
      </c>
      <c r="F59" s="1">
        <v>0</v>
      </c>
      <c r="G59" s="1">
        <v>8</v>
      </c>
      <c r="H59" s="4">
        <v>0.88</v>
      </c>
      <c r="I59" s="1">
        <v>6</v>
      </c>
      <c r="J59" s="4">
        <v>0.67</v>
      </c>
      <c r="K59" s="1">
        <v>0</v>
      </c>
      <c r="L59" s="1">
        <v>0</v>
      </c>
      <c r="M59" s="32">
        <f>IF(Mecze[[#This Row],[PR]]=0,0,Mecze[[#This Row],[PR]]/Mecze[[#This Row],[CZAS]])</f>
        <v>0</v>
      </c>
      <c r="N59" s="32">
        <f>IF(Mecze[[#This Row],[OU]]=0,0,Mecze[[#This Row],[OU]]/Mecze[[#This Row],[CZAS]])</f>
        <v>4.0816326530612242E-2</v>
      </c>
      <c r="O59" s="32">
        <f>IF(Mecze[[#This Row],[PC]]=0,0,Mecze[[#This Row],[PC]]/Mecze[[#This Row],[CZAS]])</f>
        <v>7.1428571428571425E-2</v>
      </c>
      <c r="P59" s="32">
        <f>IF(Mecze[[#This Row],[SC]]=0,0,Mecze[[#This Row],[SC]]/Mecze[[#This Row],[CZAS]])</f>
        <v>0</v>
      </c>
      <c r="Q59" s="32">
        <f>IF(Mecze[[#This Row],[OB]]=0,0,Mecze[[#This Row],[OB]]/Mecze[[#This Row],[CZAS]])</f>
        <v>0</v>
      </c>
      <c r="R59" s="32">
        <f>IF(Mecze[[#This Row],[BR]]=0,0,Mecze[[#This Row],[BR]]/Mecze[[#This Row],[CZAS]])</f>
        <v>0</v>
      </c>
      <c r="S59" s="44">
        <f>IF(Mecze[[#This Row],[Role]]="BR",SUMPRODUCT(Mecze[[#This Row],[/PR:90]:[/BR:90]],Brudnopis!$E$23:$J$23),0)</f>
        <v>0</v>
      </c>
      <c r="T59" s="44">
        <f>IF(Mecze[[#This Row],[Role]]&lt;&gt;"BR",SUMPRODUCT(Mecze[[#This Row],[/PR:90]:[/BR:90]],Brudnopis!$E$24:$J$24),0)</f>
        <v>0.13265306122448978</v>
      </c>
      <c r="U59" s="44">
        <f>IF(Mecze[[#This Row],[Role]]&lt;&gt;"BR",SUMPRODUCT(Mecze[[#This Row],[/PR:90]:[/BR:90]],Brudnopis!$E$25:$J$25),0)</f>
        <v>0.14795918367346939</v>
      </c>
      <c r="V59" s="44">
        <f>IF(Mecze[[#This Row],[Role]]&lt;&gt;"BR",SUMPRODUCT(Mecze[[#This Row],[/PR:90]:[/BR:90]],Brudnopis!$E$26:$J$26),0)</f>
        <v>0.11224489795918366</v>
      </c>
      <c r="W59" s="44">
        <f>IF(Mecze[[#This Row],[Role]]&lt;&gt;"BR",SUMPRODUCT(Mecze[[#This Row],[/PR:90]:[/BR:90]],Brudnopis!$E$27:$J$27),0)</f>
        <v>0.13775510204081631</v>
      </c>
      <c r="X59" s="44">
        <f>IF(Mecze[[#This Row],[Role]]&lt;&gt;"BR",SUMPRODUCT(Mecze[[#This Row],[/PR:90]:[/BR:90]],Brudnopis!$E$28:$J$28),0)</f>
        <v>7.1428571428571425E-2</v>
      </c>
      <c r="Y59" s="35">
        <f>IF(Mecze[[#This Row],[Role]]="BR",Mecze[[#This Row],[/OB:90]]+Mecze[[#This Row],[/PC:90]],SUM(Mecze[[#This Row],[/PR:90]:[/BR:90]]))</f>
        <v>0.11224489795918366</v>
      </c>
      <c r="Z59" s="35">
        <f>IF(Mecze[[#This Row],[KC]]=0,SUM(Mecze[[#This Row],[/BRI]:[/NPI]]),SUM(Mecze[[#This Row],[/BRI]:[/NPI]])*0.6)</f>
        <v>0.6020408163265305</v>
      </c>
      <c r="AA59" s="10">
        <f>IFERROR(Mecze[[#This Row],[BR]]/Mecze[[#This Row],[ST]],0)</f>
        <v>0</v>
      </c>
      <c r="AB59">
        <f>ROUND(Mecze[[#This Row],[PD]]*Mecze[[#This Row],[%PC]],0)</f>
        <v>7</v>
      </c>
      <c r="AC59">
        <f>ROUND(Mecze[[#This Row],[OD]]*Mecze[[#This Row],[%OU]],0)</f>
        <v>4</v>
      </c>
      <c r="AD59" s="36" t="s">
        <v>47</v>
      </c>
      <c r="AE59" s="36">
        <v>3</v>
      </c>
      <c r="AF59" s="71">
        <v>-0.63</v>
      </c>
      <c r="AG59" s="37">
        <v>0</v>
      </c>
      <c r="AH59" s="37">
        <v>0</v>
      </c>
      <c r="AI59" s="37">
        <v>98</v>
      </c>
      <c r="AJ59">
        <v>6</v>
      </c>
      <c r="AK59" s="37" t="str">
        <f>VLOOKUP(Mecze[[#This Row],[Match ID]],Meczusie[Mecz]:Meczusie[RodzajMeczu],2,FALSE)</f>
        <v>Liga</v>
      </c>
      <c r="AM59" s="69"/>
      <c r="AN59" s="2"/>
      <c r="AO59" s="2"/>
      <c r="AP59" s="1"/>
    </row>
    <row r="60" spans="1:42" x14ac:dyDescent="0.25">
      <c r="A60" s="76">
        <v>2</v>
      </c>
      <c r="B60" s="3" t="s">
        <v>249</v>
      </c>
      <c r="C60" s="2" t="s">
        <v>157</v>
      </c>
      <c r="D60" s="1">
        <v>0</v>
      </c>
      <c r="E60" s="1">
        <v>0</v>
      </c>
      <c r="F60" s="1">
        <v>0</v>
      </c>
      <c r="G60" s="1">
        <v>11</v>
      </c>
      <c r="H60" s="4">
        <v>0.82</v>
      </c>
      <c r="I60" s="1">
        <v>20</v>
      </c>
      <c r="J60" s="4">
        <v>0.4</v>
      </c>
      <c r="K60" s="1">
        <v>0</v>
      </c>
      <c r="L60" s="1">
        <v>10</v>
      </c>
      <c r="M60" s="32">
        <f>IF(Mecze[[#This Row],[PR]]=0,0,Mecze[[#This Row],[PR]]/Mecze[[#This Row],[CZAS]])</f>
        <v>0.10204081632653061</v>
      </c>
      <c r="N60" s="32">
        <f>IF(Mecze[[#This Row],[OU]]=0,0,Mecze[[#This Row],[OU]]/Mecze[[#This Row],[CZAS]])</f>
        <v>8.1632653061224483E-2</v>
      </c>
      <c r="O60" s="32">
        <f>IF(Mecze[[#This Row],[PC]]=0,0,Mecze[[#This Row],[PC]]/Mecze[[#This Row],[CZAS]])</f>
        <v>9.1836734693877556E-2</v>
      </c>
      <c r="P60" s="32">
        <f>IF(Mecze[[#This Row],[SC]]=0,0,Mecze[[#This Row],[SC]]/Mecze[[#This Row],[CZAS]])</f>
        <v>0</v>
      </c>
      <c r="Q60" s="32">
        <f>IF(Mecze[[#This Row],[OB]]=0,0,Mecze[[#This Row],[OB]]/Mecze[[#This Row],[CZAS]])</f>
        <v>0</v>
      </c>
      <c r="R60" s="32">
        <f>IF(Mecze[[#This Row],[BR]]=0,0,Mecze[[#This Row],[BR]]/Mecze[[#This Row],[CZAS]])</f>
        <v>0</v>
      </c>
      <c r="S60" s="44">
        <f>IF(Mecze[[#This Row],[Role]]="BR",SUMPRODUCT(Mecze[[#This Row],[/PR:90]:[/BR:90]],Brudnopis!$E$23:$J$23),0)</f>
        <v>0</v>
      </c>
      <c r="T60" s="44">
        <f>IF(Mecze[[#This Row],[Role]]&lt;&gt;"BR",SUMPRODUCT(Mecze[[#This Row],[/PR:90]:[/BR:90]],Brudnopis!$E$24:$J$24),0)</f>
        <v>0.31632653061224492</v>
      </c>
      <c r="U60" s="44">
        <f>IF(Mecze[[#This Row],[Role]]&lt;&gt;"BR",SUMPRODUCT(Mecze[[#This Row],[/PR:90]:[/BR:90]],Brudnopis!$E$25:$J$25),0)</f>
        <v>0.3214285714285714</v>
      </c>
      <c r="V60" s="44">
        <f>IF(Mecze[[#This Row],[Role]]&lt;&gt;"BR",SUMPRODUCT(Mecze[[#This Row],[/PR:90]:[/BR:90]],Brudnopis!$E$26:$J$26),0)</f>
        <v>0.27551020408163263</v>
      </c>
      <c r="W60" s="44">
        <f>IF(Mecze[[#This Row],[Role]]&lt;&gt;"BR",SUMPRODUCT(Mecze[[#This Row],[/PR:90]:[/BR:90]],Brudnopis!$E$27:$J$27),0)</f>
        <v>0.27551020408163263</v>
      </c>
      <c r="X60" s="44">
        <f>IF(Mecze[[#This Row],[Role]]&lt;&gt;"BR",SUMPRODUCT(Mecze[[#This Row],[/PR:90]:[/BR:90]],Brudnopis!$E$28:$J$28),0)</f>
        <v>9.1836734693877556E-2</v>
      </c>
      <c r="Y60" s="35">
        <f>IF(Mecze[[#This Row],[Role]]="BR",Mecze[[#This Row],[/OB:90]]+Mecze[[#This Row],[/PC:90]],SUM(Mecze[[#This Row],[/PR:90]:[/BR:90]]))</f>
        <v>0.27551020408163263</v>
      </c>
      <c r="Z60" s="35">
        <f>IF(Mecze[[#This Row],[KC]]=0,SUM(Mecze[[#This Row],[/BRI]:[/NPI]]),SUM(Mecze[[#This Row],[/BRI]:[/NPI]])*0.6)</f>
        <v>1.2806122448979591</v>
      </c>
      <c r="AA60" s="10">
        <f>IFERROR(Mecze[[#This Row],[BR]]/Mecze[[#This Row],[ST]],0)</f>
        <v>0</v>
      </c>
      <c r="AB60">
        <f>ROUND(Mecze[[#This Row],[PD]]*Mecze[[#This Row],[%PC]],0)</f>
        <v>9</v>
      </c>
      <c r="AC60">
        <f>ROUND(Mecze[[#This Row],[OD]]*Mecze[[#This Row],[%OU]],0)</f>
        <v>8</v>
      </c>
      <c r="AD60" s="36" t="s">
        <v>167</v>
      </c>
      <c r="AE60" s="36">
        <v>3</v>
      </c>
      <c r="AF60" s="71">
        <v>-0.76</v>
      </c>
      <c r="AG60" s="37">
        <v>1</v>
      </c>
      <c r="AH60" s="37">
        <v>0</v>
      </c>
      <c r="AI60" s="37">
        <v>98</v>
      </c>
      <c r="AJ60">
        <v>6</v>
      </c>
      <c r="AK60" s="37" t="str">
        <f>VLOOKUP(Mecze[[#This Row],[Match ID]],Meczusie[Mecz]:Meczusie[RodzajMeczu],2,FALSE)</f>
        <v>Liga</v>
      </c>
      <c r="AM60" s="69"/>
      <c r="AN60" s="2"/>
      <c r="AO60" s="2"/>
      <c r="AP60" s="1"/>
    </row>
    <row r="61" spans="1:42" x14ac:dyDescent="0.25">
      <c r="A61" s="76">
        <v>11</v>
      </c>
      <c r="B61" s="3" t="s">
        <v>250</v>
      </c>
      <c r="C61" s="2" t="s">
        <v>157</v>
      </c>
      <c r="D61" s="1">
        <v>0</v>
      </c>
      <c r="E61" s="1">
        <v>0</v>
      </c>
      <c r="F61" s="1">
        <v>0</v>
      </c>
      <c r="G61" s="1">
        <v>4</v>
      </c>
      <c r="H61" s="4">
        <v>0.25</v>
      </c>
      <c r="I61" s="1">
        <v>14</v>
      </c>
      <c r="J61" s="4">
        <v>0.28999999999999998</v>
      </c>
      <c r="K61" s="1">
        <v>0</v>
      </c>
      <c r="L61" s="1">
        <v>3</v>
      </c>
      <c r="M61" s="32">
        <f>IF(Mecze[[#This Row],[PR]]=0,0,Mecze[[#This Row],[PR]]/Mecze[[#This Row],[CZAS]])</f>
        <v>3.0612244897959183E-2</v>
      </c>
      <c r="N61" s="32">
        <f>IF(Mecze[[#This Row],[OU]]=0,0,Mecze[[#This Row],[OU]]/Mecze[[#This Row],[CZAS]])</f>
        <v>4.0816326530612242E-2</v>
      </c>
      <c r="O61" s="32">
        <f>IF(Mecze[[#This Row],[PC]]=0,0,Mecze[[#This Row],[PC]]/Mecze[[#This Row],[CZAS]])</f>
        <v>1.020408163265306E-2</v>
      </c>
      <c r="P61" s="32">
        <f>IF(Mecze[[#This Row],[SC]]=0,0,Mecze[[#This Row],[SC]]/Mecze[[#This Row],[CZAS]])</f>
        <v>0</v>
      </c>
      <c r="Q61" s="32">
        <f>IF(Mecze[[#This Row],[OB]]=0,0,Mecze[[#This Row],[OB]]/Mecze[[#This Row],[CZAS]])</f>
        <v>0</v>
      </c>
      <c r="R61" s="32">
        <f>IF(Mecze[[#This Row],[BR]]=0,0,Mecze[[#This Row],[BR]]/Mecze[[#This Row],[CZAS]])</f>
        <v>0</v>
      </c>
      <c r="S61" s="44">
        <f>IF(Mecze[[#This Row],[Role]]="BR",SUMPRODUCT(Mecze[[#This Row],[/PR:90]:[/BR:90]],Brudnopis!$E$23:$J$23),0)</f>
        <v>0</v>
      </c>
      <c r="T61" s="44">
        <f>IF(Mecze[[#This Row],[Role]]&lt;&gt;"BR",SUMPRODUCT(Mecze[[#This Row],[/PR:90]:[/BR:90]],Brudnopis!$E$24:$J$24),0)</f>
        <v>0.1020408163265306</v>
      </c>
      <c r="U61" s="44">
        <f>IF(Mecze[[#This Row],[Role]]&lt;&gt;"BR",SUMPRODUCT(Mecze[[#This Row],[/PR:90]:[/BR:90]],Brudnopis!$E$25:$J$25),0)</f>
        <v>8.673469387755102E-2</v>
      </c>
      <c r="V61" s="44">
        <f>IF(Mecze[[#This Row],[Role]]&lt;&gt;"BR",SUMPRODUCT(Mecze[[#This Row],[/PR:90]:[/BR:90]],Brudnopis!$E$26:$J$26),0)</f>
        <v>8.1632653061224483E-2</v>
      </c>
      <c r="W61" s="44">
        <f>IF(Mecze[[#This Row],[Role]]&lt;&gt;"BR",SUMPRODUCT(Mecze[[#This Row],[/PR:90]:[/BR:90]],Brudnopis!$E$27:$J$27),0)</f>
        <v>6.8877551020408156E-2</v>
      </c>
      <c r="X61" s="44">
        <f>IF(Mecze[[#This Row],[Role]]&lt;&gt;"BR",SUMPRODUCT(Mecze[[#This Row],[/PR:90]:[/BR:90]],Brudnopis!$E$28:$J$28),0)</f>
        <v>1.020408163265306E-2</v>
      </c>
      <c r="Y61" s="35">
        <f>IF(Mecze[[#This Row],[Role]]="BR",Mecze[[#This Row],[/OB:90]]+Mecze[[#This Row],[/PC:90]],SUM(Mecze[[#This Row],[/PR:90]:[/BR:90]]))</f>
        <v>8.1632653061224483E-2</v>
      </c>
      <c r="Z61" s="35">
        <f>IF(Mecze[[#This Row],[KC]]=0,SUM(Mecze[[#This Row],[/BRI]:[/NPI]]),SUM(Mecze[[#This Row],[/BRI]:[/NPI]])*0.6)</f>
        <v>0.34948979591836732</v>
      </c>
      <c r="AA61" s="10">
        <f>IFERROR(Mecze[[#This Row],[BR]]/Mecze[[#This Row],[ST]],0)</f>
        <v>0</v>
      </c>
      <c r="AB61">
        <f>ROUND(Mecze[[#This Row],[PD]]*Mecze[[#This Row],[%PC]],0)</f>
        <v>1</v>
      </c>
      <c r="AC61">
        <f>ROUND(Mecze[[#This Row],[OD]]*Mecze[[#This Row],[%OU]],0)</f>
        <v>4</v>
      </c>
      <c r="AD61" s="36" t="s">
        <v>168</v>
      </c>
      <c r="AE61" s="36">
        <v>3</v>
      </c>
      <c r="AF61" s="71">
        <v>-2.23</v>
      </c>
      <c r="AG61" s="37">
        <v>1</v>
      </c>
      <c r="AH61" s="37">
        <v>0</v>
      </c>
      <c r="AI61" s="37">
        <v>98</v>
      </c>
      <c r="AJ61">
        <v>6</v>
      </c>
      <c r="AK61" s="37" t="str">
        <f>VLOOKUP(Mecze[[#This Row],[Match ID]],Meczusie[Mecz]:Meczusie[RodzajMeczu],2,FALSE)</f>
        <v>Liga</v>
      </c>
      <c r="AM61" s="69"/>
      <c r="AN61" s="2"/>
      <c r="AO61" s="2"/>
      <c r="AP61" s="1"/>
    </row>
    <row r="62" spans="1:42" x14ac:dyDescent="0.25">
      <c r="A62" s="76">
        <v>7</v>
      </c>
      <c r="B62" s="3" t="s">
        <v>251</v>
      </c>
      <c r="C62" s="2" t="s">
        <v>160</v>
      </c>
      <c r="D62" s="1">
        <v>0</v>
      </c>
      <c r="E62" s="1">
        <v>0</v>
      </c>
      <c r="F62" s="1">
        <v>0</v>
      </c>
      <c r="G62" s="1">
        <v>14</v>
      </c>
      <c r="H62" s="4">
        <v>0.86</v>
      </c>
      <c r="I62" s="1">
        <v>3</v>
      </c>
      <c r="J62" s="4">
        <v>0.33</v>
      </c>
      <c r="K62" s="1">
        <v>0</v>
      </c>
      <c r="L62" s="1">
        <v>1</v>
      </c>
      <c r="M62" s="32">
        <f>IF(Mecze[[#This Row],[PR]]=0,0,Mecze[[#This Row],[PR]]/Mecze[[#This Row],[CZAS]])</f>
        <v>1.020408163265306E-2</v>
      </c>
      <c r="N62" s="32">
        <f>IF(Mecze[[#This Row],[OU]]=0,0,Mecze[[#This Row],[OU]]/Mecze[[#This Row],[CZAS]])</f>
        <v>1.020408163265306E-2</v>
      </c>
      <c r="O62" s="32">
        <f>IF(Mecze[[#This Row],[PC]]=0,0,Mecze[[#This Row],[PC]]/Mecze[[#This Row],[CZAS]])</f>
        <v>0.12244897959183673</v>
      </c>
      <c r="P62" s="32">
        <f>IF(Mecze[[#This Row],[SC]]=0,0,Mecze[[#This Row],[SC]]/Mecze[[#This Row],[CZAS]])</f>
        <v>0</v>
      </c>
      <c r="Q62" s="32">
        <f>IF(Mecze[[#This Row],[OB]]=0,0,Mecze[[#This Row],[OB]]/Mecze[[#This Row],[CZAS]])</f>
        <v>0</v>
      </c>
      <c r="R62" s="32">
        <f>IF(Mecze[[#This Row],[BR]]=0,0,Mecze[[#This Row],[BR]]/Mecze[[#This Row],[CZAS]])</f>
        <v>0</v>
      </c>
      <c r="S62" s="44">
        <f>IF(Mecze[[#This Row],[Role]]="BR",SUMPRODUCT(Mecze[[#This Row],[/PR:90]:[/BR:90]],Brudnopis!$E$23:$J$23),0)</f>
        <v>0</v>
      </c>
      <c r="T62" s="44">
        <f>IF(Mecze[[#This Row],[Role]]&lt;&gt;"BR",SUMPRODUCT(Mecze[[#This Row],[/PR:90]:[/BR:90]],Brudnopis!$E$24:$J$24),0)</f>
        <v>0.14795918367346939</v>
      </c>
      <c r="U62" s="44">
        <f>IF(Mecze[[#This Row],[Role]]&lt;&gt;"BR",SUMPRODUCT(Mecze[[#This Row],[/PR:90]:[/BR:90]],Brudnopis!$E$25:$J$25),0)</f>
        <v>0.2040816326530612</v>
      </c>
      <c r="V62" s="44">
        <f>IF(Mecze[[#This Row],[Role]]&lt;&gt;"BR",SUMPRODUCT(Mecze[[#This Row],[/PR:90]:[/BR:90]],Brudnopis!$E$26:$J$26),0)</f>
        <v>0.14285714285714285</v>
      </c>
      <c r="W62" s="44">
        <f>IF(Mecze[[#This Row],[Role]]&lt;&gt;"BR",SUMPRODUCT(Mecze[[#This Row],[/PR:90]:[/BR:90]],Brudnopis!$E$27:$J$27),0)</f>
        <v>0.19897959183673466</v>
      </c>
      <c r="X62" s="44">
        <f>IF(Mecze[[#This Row],[Role]]&lt;&gt;"BR",SUMPRODUCT(Mecze[[#This Row],[/PR:90]:[/BR:90]],Brudnopis!$E$28:$J$28),0)</f>
        <v>0.12244897959183673</v>
      </c>
      <c r="Y62" s="35">
        <f>IF(Mecze[[#This Row],[Role]]="BR",Mecze[[#This Row],[/OB:90]]+Mecze[[#This Row],[/PC:90]],SUM(Mecze[[#This Row],[/PR:90]:[/BR:90]]))</f>
        <v>0.14285714285714285</v>
      </c>
      <c r="Z62" s="35">
        <f>IF(Mecze[[#This Row],[KC]]=0,SUM(Mecze[[#This Row],[/BRI]:[/NPI]]),SUM(Mecze[[#This Row],[/BRI]:[/NPI]])*0.6)</f>
        <v>0.81632653061224492</v>
      </c>
      <c r="AA62" s="10">
        <f>IFERROR(Mecze[[#This Row],[BR]]/Mecze[[#This Row],[ST]],0)</f>
        <v>0</v>
      </c>
      <c r="AB62">
        <f>ROUND(Mecze[[#This Row],[PD]]*Mecze[[#This Row],[%PC]],0)</f>
        <v>12</v>
      </c>
      <c r="AC62">
        <f>ROUND(Mecze[[#This Row],[OD]]*Mecze[[#This Row],[%OU]],0)</f>
        <v>1</v>
      </c>
      <c r="AD62" s="36" t="s">
        <v>41</v>
      </c>
      <c r="AE62" s="36">
        <v>3</v>
      </c>
      <c r="AF62" s="71">
        <v>5.03</v>
      </c>
      <c r="AG62" s="37">
        <v>0</v>
      </c>
      <c r="AH62" s="37">
        <v>0</v>
      </c>
      <c r="AI62" s="37">
        <v>98</v>
      </c>
      <c r="AJ62">
        <v>6</v>
      </c>
      <c r="AK62" s="37" t="str">
        <f>VLOOKUP(Mecze[[#This Row],[Match ID]],Meczusie[Mecz]:Meczusie[RodzajMeczu],2,FALSE)</f>
        <v>Liga</v>
      </c>
      <c r="AM62" s="69"/>
      <c r="AN62" s="2"/>
      <c r="AO62" s="2"/>
      <c r="AP62" s="1"/>
    </row>
    <row r="63" spans="1:42" x14ac:dyDescent="0.25">
      <c r="A63" s="76">
        <v>10</v>
      </c>
      <c r="B63" s="3" t="s">
        <v>252</v>
      </c>
      <c r="C63" s="2" t="s">
        <v>160</v>
      </c>
      <c r="D63" s="1">
        <v>0</v>
      </c>
      <c r="E63" s="1">
        <v>1</v>
      </c>
      <c r="F63" s="1">
        <v>0</v>
      </c>
      <c r="G63" s="1">
        <v>7</v>
      </c>
      <c r="H63" s="4">
        <v>0.43</v>
      </c>
      <c r="I63" s="1">
        <v>3</v>
      </c>
      <c r="J63" s="4">
        <v>1</v>
      </c>
      <c r="K63" s="1">
        <v>0</v>
      </c>
      <c r="L63" s="1">
        <v>0</v>
      </c>
      <c r="M63" s="32">
        <f>IF(Mecze[[#This Row],[PR]]=0,0,Mecze[[#This Row],[PR]]/Mecze[[#This Row],[CZAS]])</f>
        <v>0</v>
      </c>
      <c r="N63" s="32">
        <f>IF(Mecze[[#This Row],[OU]]=0,0,Mecze[[#This Row],[OU]]/Mecze[[#This Row],[CZAS]])</f>
        <v>4.0540540540540543E-2</v>
      </c>
      <c r="O63" s="32">
        <f>IF(Mecze[[#This Row],[PC]]=0,0,Mecze[[#This Row],[PC]]/Mecze[[#This Row],[CZAS]])</f>
        <v>4.0540540540540543E-2</v>
      </c>
      <c r="P63" s="32">
        <f>IF(Mecze[[#This Row],[SC]]=0,0,Mecze[[#This Row],[SC]]/Mecze[[#This Row],[CZAS]])</f>
        <v>0</v>
      </c>
      <c r="Q63" s="32">
        <f>IF(Mecze[[#This Row],[OB]]=0,0,Mecze[[#This Row],[OB]]/Mecze[[#This Row],[CZAS]])</f>
        <v>0</v>
      </c>
      <c r="R63" s="32">
        <f>IF(Mecze[[#This Row],[BR]]=0,0,Mecze[[#This Row],[BR]]/Mecze[[#This Row],[CZAS]])</f>
        <v>0</v>
      </c>
      <c r="S63" s="44">
        <f>IF(Mecze[[#This Row],[Role]]="BR",SUMPRODUCT(Mecze[[#This Row],[/PR:90]:[/BR:90]],Brudnopis!$E$23:$J$23),0)</f>
        <v>0</v>
      </c>
      <c r="T63" s="44">
        <f>IF(Mecze[[#This Row],[Role]]&lt;&gt;"BR",SUMPRODUCT(Mecze[[#This Row],[/PR:90]:[/BR:90]],Brudnopis!$E$24:$J$24),0)</f>
        <v>0.10135135135135136</v>
      </c>
      <c r="U63" s="44">
        <f>IF(Mecze[[#This Row],[Role]]&lt;&gt;"BR",SUMPRODUCT(Mecze[[#This Row],[/PR:90]:[/BR:90]],Brudnopis!$E$25:$J$25),0)</f>
        <v>0.10135135135135136</v>
      </c>
      <c r="V63" s="44">
        <f>IF(Mecze[[#This Row],[Role]]&lt;&gt;"BR",SUMPRODUCT(Mecze[[#This Row],[/PR:90]:[/BR:90]],Brudnopis!$E$26:$J$26),0)</f>
        <v>8.1081081081081086E-2</v>
      </c>
      <c r="W63" s="44">
        <f>IF(Mecze[[#This Row],[Role]]&lt;&gt;"BR",SUMPRODUCT(Mecze[[#This Row],[/PR:90]:[/BR:90]],Brudnopis!$E$27:$J$27),0)</f>
        <v>9.1216216216216228E-2</v>
      </c>
      <c r="X63" s="44">
        <f>IF(Mecze[[#This Row],[Role]]&lt;&gt;"BR",SUMPRODUCT(Mecze[[#This Row],[/PR:90]:[/BR:90]],Brudnopis!$E$28:$J$28),0)</f>
        <v>4.0540540540540543E-2</v>
      </c>
      <c r="Y63" s="35">
        <f>IF(Mecze[[#This Row],[Role]]="BR",Mecze[[#This Row],[/OB:90]]+Mecze[[#This Row],[/PC:90]],SUM(Mecze[[#This Row],[/PR:90]:[/BR:90]]))</f>
        <v>8.1081081081081086E-2</v>
      </c>
      <c r="Z63" s="35">
        <f>IF(Mecze[[#This Row],[KC]]=0,SUM(Mecze[[#This Row],[/BRI]:[/NPI]]),SUM(Mecze[[#This Row],[/BRI]:[/NPI]])*0.6)</f>
        <v>0.41554054054054057</v>
      </c>
      <c r="AA63" s="10">
        <f>IFERROR(Mecze[[#This Row],[BR]]/Mecze[[#This Row],[ST]],0)</f>
        <v>0</v>
      </c>
      <c r="AB63">
        <f>ROUND(Mecze[[#This Row],[PD]]*Mecze[[#This Row],[%PC]],0)</f>
        <v>3</v>
      </c>
      <c r="AC63">
        <f>ROUND(Mecze[[#This Row],[OD]]*Mecze[[#This Row],[%OU]],0)</f>
        <v>3</v>
      </c>
      <c r="AD63" s="36" t="s">
        <v>318</v>
      </c>
      <c r="AE63" s="36">
        <v>3</v>
      </c>
      <c r="AF63" s="71">
        <v>1.59</v>
      </c>
      <c r="AG63" s="37">
        <v>1</v>
      </c>
      <c r="AH63" s="37">
        <v>0</v>
      </c>
      <c r="AI63" s="37">
        <v>74</v>
      </c>
      <c r="AJ63">
        <v>6</v>
      </c>
      <c r="AK63" s="37" t="str">
        <f>VLOOKUP(Mecze[[#This Row],[Match ID]],Meczusie[Mecz]:Meczusie[RodzajMeczu],2,FALSE)</f>
        <v>Liga</v>
      </c>
      <c r="AM63" s="69"/>
      <c r="AN63" s="2"/>
      <c r="AO63" s="2"/>
      <c r="AP63" s="1"/>
    </row>
    <row r="64" spans="1:42" x14ac:dyDescent="0.25">
      <c r="A64" s="76">
        <v>3</v>
      </c>
      <c r="B64" s="3" t="s">
        <v>253</v>
      </c>
      <c r="C64" s="2" t="s">
        <v>160</v>
      </c>
      <c r="D64" s="1">
        <v>0</v>
      </c>
      <c r="E64" s="1">
        <v>0</v>
      </c>
      <c r="F64" s="1">
        <v>0</v>
      </c>
      <c r="G64" s="1">
        <v>7</v>
      </c>
      <c r="H64" s="4">
        <v>0.43</v>
      </c>
      <c r="I64" s="1">
        <v>1</v>
      </c>
      <c r="J64" s="4">
        <v>1</v>
      </c>
      <c r="K64" s="1">
        <v>0</v>
      </c>
      <c r="L64" s="1">
        <v>4</v>
      </c>
      <c r="M64" s="32">
        <f>IF(Mecze[[#This Row],[PR]]=0,0,Mecze[[#This Row],[PR]]/Mecze[[#This Row],[CZAS]])</f>
        <v>4.0816326530612242E-2</v>
      </c>
      <c r="N64" s="32">
        <f>IF(Mecze[[#This Row],[OU]]=0,0,Mecze[[#This Row],[OU]]/Mecze[[#This Row],[CZAS]])</f>
        <v>1.020408163265306E-2</v>
      </c>
      <c r="O64" s="32">
        <f>IF(Mecze[[#This Row],[PC]]=0,0,Mecze[[#This Row],[PC]]/Mecze[[#This Row],[CZAS]])</f>
        <v>3.0612244897959183E-2</v>
      </c>
      <c r="P64" s="32">
        <f>IF(Mecze[[#This Row],[SC]]=0,0,Mecze[[#This Row],[SC]]/Mecze[[#This Row],[CZAS]])</f>
        <v>0</v>
      </c>
      <c r="Q64" s="32">
        <f>IF(Mecze[[#This Row],[OB]]=0,0,Mecze[[#This Row],[OB]]/Mecze[[#This Row],[CZAS]])</f>
        <v>0</v>
      </c>
      <c r="R64" s="32">
        <f>IF(Mecze[[#This Row],[BR]]=0,0,Mecze[[#This Row],[BR]]/Mecze[[#This Row],[CZAS]])</f>
        <v>0</v>
      </c>
      <c r="S64" s="44">
        <f>IF(Mecze[[#This Row],[Role]]="BR",SUMPRODUCT(Mecze[[#This Row],[/PR:90]:[/BR:90]],Brudnopis!$E$23:$J$23),0)</f>
        <v>0</v>
      </c>
      <c r="T64" s="44">
        <f>IF(Mecze[[#This Row],[Role]]&lt;&gt;"BR",SUMPRODUCT(Mecze[[#This Row],[/PR:90]:[/BR:90]],Brudnopis!$E$24:$J$24),0)</f>
        <v>8.6734693877551006E-2</v>
      </c>
      <c r="U64" s="44">
        <f>IF(Mecze[[#This Row],[Role]]&lt;&gt;"BR",SUMPRODUCT(Mecze[[#This Row],[/PR:90]:[/BR:90]],Brudnopis!$E$25:$J$25),0)</f>
        <v>9.6938775510204078E-2</v>
      </c>
      <c r="V64" s="44">
        <f>IF(Mecze[[#This Row],[Role]]&lt;&gt;"BR",SUMPRODUCT(Mecze[[#This Row],[/PR:90]:[/BR:90]],Brudnopis!$E$26:$J$26),0)</f>
        <v>8.1632653061224483E-2</v>
      </c>
      <c r="W64" s="44">
        <f>IF(Mecze[[#This Row],[Role]]&lt;&gt;"BR",SUMPRODUCT(Mecze[[#This Row],[/PR:90]:[/BR:90]],Brudnopis!$E$27:$J$27),0)</f>
        <v>8.4183673469387751E-2</v>
      </c>
      <c r="X64" s="44">
        <f>IF(Mecze[[#This Row],[Role]]&lt;&gt;"BR",SUMPRODUCT(Mecze[[#This Row],[/PR:90]:[/BR:90]],Brudnopis!$E$28:$J$28),0)</f>
        <v>3.0612244897959183E-2</v>
      </c>
      <c r="Y64" s="35">
        <f>IF(Mecze[[#This Row],[Role]]="BR",Mecze[[#This Row],[/OB:90]]+Mecze[[#This Row],[/PC:90]],SUM(Mecze[[#This Row],[/PR:90]:[/BR:90]]))</f>
        <v>8.1632653061224483E-2</v>
      </c>
      <c r="Z64" s="35">
        <f>IF(Mecze[[#This Row],[KC]]=0,SUM(Mecze[[#This Row],[/BRI]:[/NPI]]),SUM(Mecze[[#This Row],[/BRI]:[/NPI]])*0.6)</f>
        <v>0.38010204081632648</v>
      </c>
      <c r="AA64" s="10">
        <f>IFERROR(Mecze[[#This Row],[BR]]/Mecze[[#This Row],[ST]],0)</f>
        <v>0</v>
      </c>
      <c r="AB64">
        <f>ROUND(Mecze[[#This Row],[PD]]*Mecze[[#This Row],[%PC]],0)</f>
        <v>3</v>
      </c>
      <c r="AC64">
        <f>ROUND(Mecze[[#This Row],[OD]]*Mecze[[#This Row],[%OU]],0)</f>
        <v>1</v>
      </c>
      <c r="AD64" s="36" t="s">
        <v>319</v>
      </c>
      <c r="AE64" s="36">
        <v>3</v>
      </c>
      <c r="AF64" s="71">
        <v>3.54</v>
      </c>
      <c r="AG64" s="37">
        <v>0</v>
      </c>
      <c r="AH64" s="37">
        <v>0</v>
      </c>
      <c r="AI64" s="37">
        <v>98</v>
      </c>
      <c r="AJ64">
        <v>6</v>
      </c>
      <c r="AK64" s="37" t="str">
        <f>VLOOKUP(Mecze[[#This Row],[Match ID]],Meczusie[Mecz]:Meczusie[RodzajMeczu],2,FALSE)</f>
        <v>Liga</v>
      </c>
      <c r="AM64" s="69"/>
      <c r="AN64" s="2"/>
      <c r="AO64" s="2"/>
      <c r="AP64" s="1"/>
    </row>
    <row r="65" spans="1:42" x14ac:dyDescent="0.25">
      <c r="A65" s="76">
        <v>8</v>
      </c>
      <c r="B65" s="3" t="s">
        <v>254</v>
      </c>
      <c r="C65" s="2" t="s">
        <v>160</v>
      </c>
      <c r="D65" s="1">
        <v>0</v>
      </c>
      <c r="E65" s="1">
        <v>0</v>
      </c>
      <c r="F65" s="1">
        <v>0</v>
      </c>
      <c r="G65" s="1">
        <v>11</v>
      </c>
      <c r="H65" s="4">
        <v>0.91</v>
      </c>
      <c r="I65" s="1">
        <v>0</v>
      </c>
      <c r="J65" s="4">
        <v>0</v>
      </c>
      <c r="K65" s="1">
        <v>0</v>
      </c>
      <c r="L65" s="1">
        <v>3</v>
      </c>
      <c r="M65" s="32">
        <f>IF(Mecze[[#This Row],[PR]]=0,0,Mecze[[#This Row],[PR]]/Mecze[[#This Row],[CZAS]])</f>
        <v>3.0612244897959183E-2</v>
      </c>
      <c r="N65" s="32">
        <f>IF(Mecze[[#This Row],[OU]]=0,0,Mecze[[#This Row],[OU]]/Mecze[[#This Row],[CZAS]])</f>
        <v>0</v>
      </c>
      <c r="O65" s="32">
        <f>IF(Mecze[[#This Row],[PC]]=0,0,Mecze[[#This Row],[PC]]/Mecze[[#This Row],[CZAS]])</f>
        <v>0.10204081632653061</v>
      </c>
      <c r="P65" s="32">
        <f>IF(Mecze[[#This Row],[SC]]=0,0,Mecze[[#This Row],[SC]]/Mecze[[#This Row],[CZAS]])</f>
        <v>0</v>
      </c>
      <c r="Q65" s="32">
        <f>IF(Mecze[[#This Row],[OB]]=0,0,Mecze[[#This Row],[OB]]/Mecze[[#This Row],[CZAS]])</f>
        <v>0</v>
      </c>
      <c r="R65" s="32">
        <f>IF(Mecze[[#This Row],[BR]]=0,0,Mecze[[#This Row],[BR]]/Mecze[[#This Row],[CZAS]])</f>
        <v>0</v>
      </c>
      <c r="S65" s="44">
        <f>IF(Mecze[[#This Row],[Role]]="BR",SUMPRODUCT(Mecze[[#This Row],[/PR:90]:[/BR:90]],Brudnopis!$E$23:$J$23),0)</f>
        <v>0</v>
      </c>
      <c r="T65" s="44">
        <f>IF(Mecze[[#This Row],[Role]]&lt;&gt;"BR",SUMPRODUCT(Mecze[[#This Row],[/PR:90]:[/BR:90]],Brudnopis!$E$24:$J$24),0)</f>
        <v>0.1326530612244898</v>
      </c>
      <c r="U65" s="44">
        <f>IF(Mecze[[#This Row],[Role]]&lt;&gt;"BR",SUMPRODUCT(Mecze[[#This Row],[/PR:90]:[/BR:90]],Brudnopis!$E$25:$J$25),0)</f>
        <v>0.18367346938775511</v>
      </c>
      <c r="V65" s="44">
        <f>IF(Mecze[[#This Row],[Role]]&lt;&gt;"BR",SUMPRODUCT(Mecze[[#This Row],[/PR:90]:[/BR:90]],Brudnopis!$E$26:$J$26),0)</f>
        <v>0.1326530612244898</v>
      </c>
      <c r="W65" s="44">
        <f>IF(Mecze[[#This Row],[Role]]&lt;&gt;"BR",SUMPRODUCT(Mecze[[#This Row],[/PR:90]:[/BR:90]],Brudnopis!$E$27:$J$27),0)</f>
        <v>0.17602040816326531</v>
      </c>
      <c r="X65" s="44">
        <f>IF(Mecze[[#This Row],[Role]]&lt;&gt;"BR",SUMPRODUCT(Mecze[[#This Row],[/PR:90]:[/BR:90]],Brudnopis!$E$28:$J$28),0)</f>
        <v>0.10204081632653061</v>
      </c>
      <c r="Y65" s="35">
        <f>IF(Mecze[[#This Row],[Role]]="BR",Mecze[[#This Row],[/OB:90]]+Mecze[[#This Row],[/PC:90]],SUM(Mecze[[#This Row],[/PR:90]:[/BR:90]]))</f>
        <v>0.1326530612244898</v>
      </c>
      <c r="Z65" s="35">
        <f>IF(Mecze[[#This Row],[KC]]=0,SUM(Mecze[[#This Row],[/BRI]:[/NPI]]),SUM(Mecze[[#This Row],[/BRI]:[/NPI]])*0.6)</f>
        <v>0.72704081632653061</v>
      </c>
      <c r="AA65" s="10">
        <f>IFERROR(Mecze[[#This Row],[BR]]/Mecze[[#This Row],[ST]],0)</f>
        <v>0</v>
      </c>
      <c r="AB65">
        <f>ROUND(Mecze[[#This Row],[PD]]*Mecze[[#This Row],[%PC]],0)</f>
        <v>10</v>
      </c>
      <c r="AC65">
        <f>ROUND(Mecze[[#This Row],[OD]]*Mecze[[#This Row],[%OU]],0)</f>
        <v>0</v>
      </c>
      <c r="AD65" s="36" t="s">
        <v>44</v>
      </c>
      <c r="AE65" s="36">
        <v>3</v>
      </c>
      <c r="AF65" s="71">
        <v>5.45</v>
      </c>
      <c r="AG65" s="37">
        <v>0</v>
      </c>
      <c r="AH65" s="37">
        <v>0</v>
      </c>
      <c r="AI65" s="37">
        <v>98</v>
      </c>
      <c r="AJ65">
        <v>6</v>
      </c>
      <c r="AK65" s="37" t="str">
        <f>VLOOKUP(Mecze[[#This Row],[Match ID]],Meczusie[Mecz]:Meczusie[RodzajMeczu],2,FALSE)</f>
        <v>Liga</v>
      </c>
      <c r="AM65" s="69"/>
      <c r="AN65" s="2"/>
      <c r="AO65" s="2"/>
      <c r="AP65" s="1"/>
    </row>
    <row r="66" spans="1:42" x14ac:dyDescent="0.25">
      <c r="A66" s="76">
        <v>6</v>
      </c>
      <c r="B66" s="3" t="s">
        <v>255</v>
      </c>
      <c r="C66" s="2" t="s">
        <v>165</v>
      </c>
      <c r="D66" s="1">
        <v>0</v>
      </c>
      <c r="E66" s="1">
        <v>0</v>
      </c>
      <c r="F66" s="1">
        <v>0</v>
      </c>
      <c r="G66" s="1">
        <v>3</v>
      </c>
      <c r="H66" s="4">
        <v>0.67</v>
      </c>
      <c r="I66" s="1">
        <v>4</v>
      </c>
      <c r="J66" s="4">
        <v>0.5</v>
      </c>
      <c r="K66" s="1">
        <v>0</v>
      </c>
      <c r="L66" s="1">
        <v>1</v>
      </c>
      <c r="M66" s="32">
        <f>IF(Mecze[[#This Row],[PR]]=0,0,Mecze[[#This Row],[PR]]/Mecze[[#This Row],[CZAS]])</f>
        <v>1.020408163265306E-2</v>
      </c>
      <c r="N66" s="32">
        <f>IF(Mecze[[#This Row],[OU]]=0,0,Mecze[[#This Row],[OU]]/Mecze[[#This Row],[CZAS]])</f>
        <v>2.0408163265306121E-2</v>
      </c>
      <c r="O66" s="32">
        <f>IF(Mecze[[#This Row],[PC]]=0,0,Mecze[[#This Row],[PC]]/Mecze[[#This Row],[CZAS]])</f>
        <v>2.0408163265306121E-2</v>
      </c>
      <c r="P66" s="32">
        <f>IF(Mecze[[#This Row],[SC]]=0,0,Mecze[[#This Row],[SC]]/Mecze[[#This Row],[CZAS]])</f>
        <v>0</v>
      </c>
      <c r="Q66" s="32">
        <f>IF(Mecze[[#This Row],[OB]]=0,0,Mecze[[#This Row],[OB]]/Mecze[[#This Row],[CZAS]])</f>
        <v>0</v>
      </c>
      <c r="R66" s="32">
        <f>IF(Mecze[[#This Row],[BR]]=0,0,Mecze[[#This Row],[BR]]/Mecze[[#This Row],[CZAS]])</f>
        <v>0</v>
      </c>
      <c r="S66" s="44">
        <f>IF(Mecze[[#This Row],[Role]]="BR",SUMPRODUCT(Mecze[[#This Row],[/PR:90]:[/BR:90]],Brudnopis!$E$23:$J$23),0)</f>
        <v>0</v>
      </c>
      <c r="T66" s="44">
        <f>IF(Mecze[[#This Row],[Role]]&lt;&gt;"BR",SUMPRODUCT(Mecze[[#This Row],[/PR:90]:[/BR:90]],Brudnopis!$E$24:$J$24),0)</f>
        <v>6.1224489795918366E-2</v>
      </c>
      <c r="U66" s="44">
        <f>IF(Mecze[[#This Row],[Role]]&lt;&gt;"BR",SUMPRODUCT(Mecze[[#This Row],[/PR:90]:[/BR:90]],Brudnopis!$E$25:$J$25),0)</f>
        <v>6.1224489795918366E-2</v>
      </c>
      <c r="V66" s="44">
        <f>IF(Mecze[[#This Row],[Role]]&lt;&gt;"BR",SUMPRODUCT(Mecze[[#This Row],[/PR:90]:[/BR:90]],Brudnopis!$E$26:$J$26),0)</f>
        <v>5.1020408163265307E-2</v>
      </c>
      <c r="W66" s="44">
        <f>IF(Mecze[[#This Row],[Role]]&lt;&gt;"BR",SUMPRODUCT(Mecze[[#This Row],[/PR:90]:[/BR:90]],Brudnopis!$E$27:$J$27),0)</f>
        <v>5.3571428571428568E-2</v>
      </c>
      <c r="X66" s="44">
        <f>IF(Mecze[[#This Row],[Role]]&lt;&gt;"BR",SUMPRODUCT(Mecze[[#This Row],[/PR:90]:[/BR:90]],Brudnopis!$E$28:$J$28),0)</f>
        <v>2.0408163265306121E-2</v>
      </c>
      <c r="Y66" s="35">
        <f>IF(Mecze[[#This Row],[Role]]="BR",Mecze[[#This Row],[/OB:90]]+Mecze[[#This Row],[/PC:90]],SUM(Mecze[[#This Row],[/PR:90]:[/BR:90]]))</f>
        <v>5.1020408163265307E-2</v>
      </c>
      <c r="Z66" s="35">
        <f>IF(Mecze[[#This Row],[KC]]=0,SUM(Mecze[[#This Row],[/BRI]:[/NPI]]),SUM(Mecze[[#This Row],[/BRI]:[/NPI]])*0.6)</f>
        <v>0.24744897959183673</v>
      </c>
      <c r="AA66" s="10">
        <f>IFERROR(Mecze[[#This Row],[BR]]/Mecze[[#This Row],[ST]],0)</f>
        <v>0</v>
      </c>
      <c r="AB66">
        <f>ROUND(Mecze[[#This Row],[PD]]*Mecze[[#This Row],[%PC]],0)</f>
        <v>2</v>
      </c>
      <c r="AC66">
        <f>ROUND(Mecze[[#This Row],[OD]]*Mecze[[#This Row],[%OU]],0)</f>
        <v>2</v>
      </c>
      <c r="AD66" s="36" t="s">
        <v>232</v>
      </c>
      <c r="AE66" s="36">
        <v>3</v>
      </c>
      <c r="AF66" s="71">
        <v>2.71</v>
      </c>
      <c r="AG66" s="37">
        <v>0</v>
      </c>
      <c r="AH66" s="37">
        <v>0</v>
      </c>
      <c r="AI66" s="37">
        <v>98</v>
      </c>
      <c r="AJ66">
        <v>6</v>
      </c>
      <c r="AK66" s="37" t="str">
        <f>VLOOKUP(Mecze[[#This Row],[Match ID]],Meczusie[Mecz]:Meczusie[RodzajMeczu],2,FALSE)</f>
        <v>Liga</v>
      </c>
      <c r="AM66" s="69"/>
      <c r="AN66" s="2"/>
      <c r="AO66" s="2"/>
      <c r="AP66" s="1"/>
    </row>
    <row r="67" spans="1:42" x14ac:dyDescent="0.25">
      <c r="A67" s="76">
        <v>5</v>
      </c>
      <c r="B67" s="3" t="s">
        <v>256</v>
      </c>
      <c r="C67" s="2" t="s">
        <v>165</v>
      </c>
      <c r="D67" s="1">
        <v>0</v>
      </c>
      <c r="E67" s="1">
        <v>4</v>
      </c>
      <c r="F67" s="1">
        <v>3</v>
      </c>
      <c r="G67" s="1">
        <v>14</v>
      </c>
      <c r="H67" s="4">
        <v>0.86</v>
      </c>
      <c r="I67" s="1">
        <v>1</v>
      </c>
      <c r="J67" s="4">
        <v>1</v>
      </c>
      <c r="K67" s="1">
        <v>0</v>
      </c>
      <c r="L67" s="1">
        <v>0</v>
      </c>
      <c r="M67" s="32">
        <f>IF(Mecze[[#This Row],[PR]]=0,0,Mecze[[#This Row],[PR]]/Mecze[[#This Row],[CZAS]])</f>
        <v>0</v>
      </c>
      <c r="N67" s="32">
        <f>IF(Mecze[[#This Row],[OU]]=0,0,Mecze[[#This Row],[OU]]/Mecze[[#This Row],[CZAS]])</f>
        <v>1.020408163265306E-2</v>
      </c>
      <c r="O67" s="32">
        <f>IF(Mecze[[#This Row],[PC]]=0,0,Mecze[[#This Row],[PC]]/Mecze[[#This Row],[CZAS]])</f>
        <v>0.12244897959183673</v>
      </c>
      <c r="P67" s="32">
        <f>IF(Mecze[[#This Row],[SC]]=0,0,Mecze[[#This Row],[SC]]/Mecze[[#This Row],[CZAS]])</f>
        <v>3.0612244897959183E-2</v>
      </c>
      <c r="Q67" s="32">
        <f>IF(Mecze[[#This Row],[OB]]=0,0,Mecze[[#This Row],[OB]]/Mecze[[#This Row],[CZAS]])</f>
        <v>0</v>
      </c>
      <c r="R67" s="32">
        <f>IF(Mecze[[#This Row],[BR]]=0,0,Mecze[[#This Row],[BR]]/Mecze[[#This Row],[CZAS]])</f>
        <v>0</v>
      </c>
      <c r="S67" s="44">
        <f>IF(Mecze[[#This Row],[Role]]="BR",SUMPRODUCT(Mecze[[#This Row],[/PR:90]:[/BR:90]],Brudnopis!$E$23:$J$23),0)</f>
        <v>0</v>
      </c>
      <c r="T67" s="44">
        <f>IF(Mecze[[#This Row],[Role]]&lt;&gt;"BR",SUMPRODUCT(Mecze[[#This Row],[/PR:90]:[/BR:90]],Brudnopis!$E$24:$J$24),0)</f>
        <v>0.1683673469387755</v>
      </c>
      <c r="U67" s="44">
        <f>IF(Mecze[[#This Row],[Role]]&lt;&gt;"BR",SUMPRODUCT(Mecze[[#This Row],[/PR:90]:[/BR:90]],Brudnopis!$E$25:$J$25),0)</f>
        <v>0.22448979591836735</v>
      </c>
      <c r="V67" s="44">
        <f>IF(Mecze[[#This Row],[Role]]&lt;&gt;"BR",SUMPRODUCT(Mecze[[#This Row],[/PR:90]:[/BR:90]],Brudnopis!$E$26:$J$26),0)</f>
        <v>0.16326530612244899</v>
      </c>
      <c r="W67" s="44">
        <f>IF(Mecze[[#This Row],[Role]]&lt;&gt;"BR",SUMPRODUCT(Mecze[[#This Row],[/PR:90]:[/BR:90]],Brudnopis!$E$27:$J$27),0)</f>
        <v>0.22193877551020408</v>
      </c>
      <c r="X67" s="44">
        <f>IF(Mecze[[#This Row],[Role]]&lt;&gt;"BR",SUMPRODUCT(Mecze[[#This Row],[/PR:90]:[/BR:90]],Brudnopis!$E$28:$J$28),0)</f>
        <v>0.18367346938775508</v>
      </c>
      <c r="Y67" s="35">
        <f>IF(Mecze[[#This Row],[Role]]="BR",Mecze[[#This Row],[/OB:90]]+Mecze[[#This Row],[/PC:90]],SUM(Mecze[[#This Row],[/PR:90]:[/BR:90]]))</f>
        <v>0.16326530612244899</v>
      </c>
      <c r="Z67" s="35">
        <f>IF(Mecze[[#This Row],[KC]]=0,SUM(Mecze[[#This Row],[/BRI]:[/NPI]]),SUM(Mecze[[#This Row],[/BRI]:[/NPI]])*0.6)</f>
        <v>0.96173469387755106</v>
      </c>
      <c r="AA67" s="10">
        <f>IFERROR(Mecze[[#This Row],[BR]]/Mecze[[#This Row],[ST]],0)</f>
        <v>0</v>
      </c>
      <c r="AB67">
        <f>ROUND(Mecze[[#This Row],[PD]]*Mecze[[#This Row],[%PC]],0)</f>
        <v>12</v>
      </c>
      <c r="AC67">
        <f>ROUND(Mecze[[#This Row],[OD]]*Mecze[[#This Row],[%OU]],0)</f>
        <v>1</v>
      </c>
      <c r="AD67" s="36" t="s">
        <v>46</v>
      </c>
      <c r="AE67" s="36">
        <v>3</v>
      </c>
      <c r="AF67" s="71">
        <v>5.62</v>
      </c>
      <c r="AG67" s="37">
        <v>0</v>
      </c>
      <c r="AH67" s="37">
        <v>0</v>
      </c>
      <c r="AI67" s="37">
        <v>98</v>
      </c>
      <c r="AJ67">
        <v>6</v>
      </c>
      <c r="AK67" s="37" t="str">
        <f>VLOOKUP(Mecze[[#This Row],[Match ID]],Meczusie[Mecz]:Meczusie[RodzajMeczu],2,FALSE)</f>
        <v>Liga</v>
      </c>
      <c r="AM67" s="69"/>
      <c r="AN67" s="2"/>
      <c r="AO67" s="2"/>
      <c r="AP67" s="1"/>
    </row>
    <row r="68" spans="1:42" x14ac:dyDescent="0.25">
      <c r="A68" s="76">
        <v>100</v>
      </c>
      <c r="B68" s="3" t="s">
        <v>257</v>
      </c>
      <c r="C68" s="2" t="s">
        <v>165</v>
      </c>
      <c r="D68" s="1">
        <v>0</v>
      </c>
      <c r="E68" s="1">
        <v>1</v>
      </c>
      <c r="F68" s="1">
        <v>1</v>
      </c>
      <c r="G68" s="1">
        <v>7</v>
      </c>
      <c r="H68" s="4">
        <v>0.14000000000000001</v>
      </c>
      <c r="I68" s="1">
        <v>2</v>
      </c>
      <c r="J68" s="4">
        <v>0.5</v>
      </c>
      <c r="K68" s="1">
        <v>0</v>
      </c>
      <c r="L68" s="1">
        <v>0</v>
      </c>
      <c r="M68" s="32">
        <f>IF(Mecze[[#This Row],[PR]]=0,0,Mecze[[#This Row],[PR]]/Mecze[[#This Row],[CZAS]])</f>
        <v>0</v>
      </c>
      <c r="N68" s="32">
        <f>IF(Mecze[[#This Row],[OU]]=0,0,Mecze[[#This Row],[OU]]/Mecze[[#This Row],[CZAS]])</f>
        <v>1.020408163265306E-2</v>
      </c>
      <c r="O68" s="32">
        <f>IF(Mecze[[#This Row],[PC]]=0,0,Mecze[[#This Row],[PC]]/Mecze[[#This Row],[CZAS]])</f>
        <v>1.020408163265306E-2</v>
      </c>
      <c r="P68" s="32">
        <f>IF(Mecze[[#This Row],[SC]]=0,0,Mecze[[#This Row],[SC]]/Mecze[[#This Row],[CZAS]])</f>
        <v>1.020408163265306E-2</v>
      </c>
      <c r="Q68" s="32">
        <f>IF(Mecze[[#This Row],[OB]]=0,0,Mecze[[#This Row],[OB]]/Mecze[[#This Row],[CZAS]])</f>
        <v>0</v>
      </c>
      <c r="R68" s="32">
        <f>IF(Mecze[[#This Row],[BR]]=0,0,Mecze[[#This Row],[BR]]/Mecze[[#This Row],[CZAS]])</f>
        <v>0</v>
      </c>
      <c r="S68" s="44">
        <f>IF(Mecze[[#This Row],[Role]]="BR",SUMPRODUCT(Mecze[[#This Row],[/PR:90]:[/BR:90]],Brudnopis!$E$23:$J$23),0)</f>
        <v>0</v>
      </c>
      <c r="T68" s="44">
        <f>IF(Mecze[[#This Row],[Role]]&lt;&gt;"BR",SUMPRODUCT(Mecze[[#This Row],[/PR:90]:[/BR:90]],Brudnopis!$E$24:$J$24),0)</f>
        <v>3.5714285714285712E-2</v>
      </c>
      <c r="U68" s="44">
        <f>IF(Mecze[[#This Row],[Role]]&lt;&gt;"BR",SUMPRODUCT(Mecze[[#This Row],[/PR:90]:[/BR:90]],Brudnopis!$E$25:$J$25),0)</f>
        <v>3.5714285714285712E-2</v>
      </c>
      <c r="V68" s="44">
        <f>IF(Mecze[[#This Row],[Role]]&lt;&gt;"BR",SUMPRODUCT(Mecze[[#This Row],[/PR:90]:[/BR:90]],Brudnopis!$E$26:$J$26),0)</f>
        <v>3.0612244897959183E-2</v>
      </c>
      <c r="W68" s="44">
        <f>IF(Mecze[[#This Row],[Role]]&lt;&gt;"BR",SUMPRODUCT(Mecze[[#This Row],[/PR:90]:[/BR:90]],Brudnopis!$E$27:$J$27),0)</f>
        <v>3.3163265306122444E-2</v>
      </c>
      <c r="X68" s="44">
        <f>IF(Mecze[[#This Row],[Role]]&lt;&gt;"BR",SUMPRODUCT(Mecze[[#This Row],[/PR:90]:[/BR:90]],Brudnopis!$E$28:$J$28),0)</f>
        <v>3.0612244897959183E-2</v>
      </c>
      <c r="Y68" s="35">
        <f>IF(Mecze[[#This Row],[Role]]="BR",Mecze[[#This Row],[/OB:90]]+Mecze[[#This Row],[/PC:90]],SUM(Mecze[[#This Row],[/PR:90]:[/BR:90]]))</f>
        <v>3.0612244897959183E-2</v>
      </c>
      <c r="Z68" s="35">
        <f>IF(Mecze[[#This Row],[KC]]=0,SUM(Mecze[[#This Row],[/BRI]:[/NPI]]),SUM(Mecze[[#This Row],[/BRI]:[/NPI]])*0.6)</f>
        <v>0.16581632653061226</v>
      </c>
      <c r="AA68" s="10">
        <f>IFERROR(Mecze[[#This Row],[BR]]/Mecze[[#This Row],[ST]],0)</f>
        <v>0</v>
      </c>
      <c r="AB68">
        <f>ROUND(Mecze[[#This Row],[PD]]*Mecze[[#This Row],[%PC]],0)</f>
        <v>1</v>
      </c>
      <c r="AC68">
        <f>ROUND(Mecze[[#This Row],[OD]]*Mecze[[#This Row],[%OU]],0)</f>
        <v>1</v>
      </c>
      <c r="AD68" s="36" t="s">
        <v>46</v>
      </c>
      <c r="AE68" s="36">
        <v>3</v>
      </c>
      <c r="AF68" s="71">
        <v>2.93</v>
      </c>
      <c r="AG68" s="37">
        <v>0</v>
      </c>
      <c r="AH68" s="37">
        <v>0</v>
      </c>
      <c r="AI68" s="37">
        <v>98</v>
      </c>
      <c r="AJ68">
        <v>6</v>
      </c>
      <c r="AK68" s="37" t="str">
        <f>VLOOKUP(Mecze[[#This Row],[Match ID]],Meczusie[Mecz]:Meczusie[RodzajMeczu],2,FALSE)</f>
        <v>Liga</v>
      </c>
      <c r="AM68" s="69"/>
      <c r="AN68" s="2"/>
      <c r="AO68" s="2"/>
      <c r="AP68" s="1"/>
    </row>
    <row r="69" spans="1:42" x14ac:dyDescent="0.25">
      <c r="A69" s="76">
        <v>9</v>
      </c>
      <c r="B69" s="3" t="s">
        <v>258</v>
      </c>
      <c r="C69" s="2" t="s">
        <v>160</v>
      </c>
      <c r="D69" s="1">
        <v>0</v>
      </c>
      <c r="E69" s="1">
        <v>0</v>
      </c>
      <c r="F69" s="1">
        <v>0</v>
      </c>
      <c r="G69" s="1">
        <v>1</v>
      </c>
      <c r="H69" s="4">
        <v>1</v>
      </c>
      <c r="I69" s="1">
        <v>1</v>
      </c>
      <c r="J69" s="4">
        <v>1</v>
      </c>
      <c r="K69" s="1">
        <v>0</v>
      </c>
      <c r="L69" s="1">
        <v>1</v>
      </c>
      <c r="M69" s="32">
        <f>IF(Mecze[[#This Row],[PR]]=0,0,Mecze[[#This Row],[PR]]/Mecze[[#This Row],[CZAS]])</f>
        <v>4.1666666666666664E-2</v>
      </c>
      <c r="N69" s="32">
        <f>IF(Mecze[[#This Row],[OU]]=0,0,Mecze[[#This Row],[OU]]/Mecze[[#This Row],[CZAS]])</f>
        <v>4.1666666666666664E-2</v>
      </c>
      <c r="O69" s="32">
        <f>IF(Mecze[[#This Row],[PC]]=0,0,Mecze[[#This Row],[PC]]/Mecze[[#This Row],[CZAS]])</f>
        <v>4.1666666666666664E-2</v>
      </c>
      <c r="P69" s="32">
        <f>IF(Mecze[[#This Row],[SC]]=0,0,Mecze[[#This Row],[SC]]/Mecze[[#This Row],[CZAS]])</f>
        <v>0</v>
      </c>
      <c r="Q69" s="32">
        <f>IF(Mecze[[#This Row],[OB]]=0,0,Mecze[[#This Row],[OB]]/Mecze[[#This Row],[CZAS]])</f>
        <v>0</v>
      </c>
      <c r="R69" s="32">
        <f>IF(Mecze[[#This Row],[BR]]=0,0,Mecze[[#This Row],[BR]]/Mecze[[#This Row],[CZAS]])</f>
        <v>0</v>
      </c>
      <c r="S69" s="44">
        <f>IF(Mecze[[#This Row],[Role]]="BR",SUMPRODUCT(Mecze[[#This Row],[/PR:90]:[/BR:90]],Brudnopis!$E$23:$J$23),0)</f>
        <v>0</v>
      </c>
      <c r="T69" s="44">
        <f>IF(Mecze[[#This Row],[Role]]&lt;&gt;"BR",SUMPRODUCT(Mecze[[#This Row],[/PR:90]:[/BR:90]],Brudnopis!$E$24:$J$24),0)</f>
        <v>0.14583333333333331</v>
      </c>
      <c r="U69" s="44">
        <f>IF(Mecze[[#This Row],[Role]]&lt;&gt;"BR",SUMPRODUCT(Mecze[[#This Row],[/PR:90]:[/BR:90]],Brudnopis!$E$25:$J$25),0)</f>
        <v>0.14583333333333331</v>
      </c>
      <c r="V69" s="44">
        <f>IF(Mecze[[#This Row],[Role]]&lt;&gt;"BR",SUMPRODUCT(Mecze[[#This Row],[/PR:90]:[/BR:90]],Brudnopis!$E$26:$J$26),0)</f>
        <v>0.125</v>
      </c>
      <c r="W69" s="44">
        <f>IF(Mecze[[#This Row],[Role]]&lt;&gt;"BR",SUMPRODUCT(Mecze[[#This Row],[/PR:90]:[/BR:90]],Brudnopis!$E$27:$J$27),0)</f>
        <v>0.125</v>
      </c>
      <c r="X69" s="44">
        <f>IF(Mecze[[#This Row],[Role]]&lt;&gt;"BR",SUMPRODUCT(Mecze[[#This Row],[/PR:90]:[/BR:90]],Brudnopis!$E$28:$J$28),0)</f>
        <v>4.1666666666666664E-2</v>
      </c>
      <c r="Y69" s="35">
        <f>IF(Mecze[[#This Row],[Role]]="BR",Mecze[[#This Row],[/OB:90]]+Mecze[[#This Row],[/PC:90]],SUM(Mecze[[#This Row],[/PR:90]:[/BR:90]]))</f>
        <v>0.125</v>
      </c>
      <c r="Z69" s="35">
        <f>IF(Mecze[[#This Row],[KC]]=0,SUM(Mecze[[#This Row],[/BRI]:[/NPI]]),SUM(Mecze[[#This Row],[/BRI]:[/NPI]])*0.6)</f>
        <v>0.58333333333333326</v>
      </c>
      <c r="AA69" s="10">
        <f>IFERROR(Mecze[[#This Row],[BR]]/Mecze[[#This Row],[ST]],0)</f>
        <v>0</v>
      </c>
      <c r="AB69">
        <f>ROUND(Mecze[[#This Row],[PD]]*Mecze[[#This Row],[%PC]],0)</f>
        <v>1</v>
      </c>
      <c r="AC69">
        <f>ROUND(Mecze[[#This Row],[OD]]*Mecze[[#This Row],[%OU]],0)</f>
        <v>1</v>
      </c>
      <c r="AD69" s="36" t="s">
        <v>318</v>
      </c>
      <c r="AE69" s="36">
        <v>3</v>
      </c>
      <c r="AF69" s="71">
        <v>0.71</v>
      </c>
      <c r="AG69" s="37">
        <v>0</v>
      </c>
      <c r="AH69" s="37">
        <v>0</v>
      </c>
      <c r="AI69" s="37">
        <v>24</v>
      </c>
      <c r="AJ69">
        <v>6</v>
      </c>
      <c r="AK69" s="37" t="str">
        <f>VLOOKUP(Mecze[[#This Row],[Match ID]],Meczusie[Mecz]:Meczusie[RodzajMeczu],2,FALSE)</f>
        <v>Liga</v>
      </c>
      <c r="AM69" s="69"/>
      <c r="AN69" s="2"/>
      <c r="AO69" s="2"/>
      <c r="AP69" s="1"/>
    </row>
    <row r="70" spans="1:42" x14ac:dyDescent="0.25">
      <c r="A70" s="76">
        <v>1</v>
      </c>
      <c r="B70" s="3" t="s">
        <v>261</v>
      </c>
      <c r="C70" s="2" t="s">
        <v>155</v>
      </c>
      <c r="D70" s="1">
        <v>0</v>
      </c>
      <c r="E70" s="1">
        <v>0</v>
      </c>
      <c r="F70" s="1">
        <v>0</v>
      </c>
      <c r="G70" s="1">
        <v>11</v>
      </c>
      <c r="H70" s="4">
        <v>0.55000000000000004</v>
      </c>
      <c r="I70" s="1">
        <v>0</v>
      </c>
      <c r="J70" s="4"/>
      <c r="K70" s="1">
        <v>12</v>
      </c>
      <c r="L70" s="1">
        <v>0</v>
      </c>
      <c r="M70" s="32">
        <f>IF(Mecze[[#This Row],[PR]]=0,0,Mecze[[#This Row],[PR]]/Mecze[[#This Row],[CZAS]])</f>
        <v>0</v>
      </c>
      <c r="N70" s="32">
        <f>IF(Mecze[[#This Row],[OU]]=0,0,Mecze[[#This Row],[OU]]/Mecze[[#This Row],[CZAS]])</f>
        <v>0</v>
      </c>
      <c r="O70" s="32">
        <f>IF(Mecze[[#This Row],[PC]]=0,0,Mecze[[#This Row],[PC]]/Mecze[[#This Row],[CZAS]])</f>
        <v>6.25E-2</v>
      </c>
      <c r="P70" s="32">
        <f>IF(Mecze[[#This Row],[SC]]=0,0,Mecze[[#This Row],[SC]]/Mecze[[#This Row],[CZAS]])</f>
        <v>0</v>
      </c>
      <c r="Q70" s="32">
        <f>IF(Mecze[[#This Row],[OB]]=0,0,Mecze[[#This Row],[OB]]/Mecze[[#This Row],[CZAS]])</f>
        <v>0.125</v>
      </c>
      <c r="R70" s="32">
        <f>IF(Mecze[[#This Row],[BR]]=0,0,Mecze[[#This Row],[BR]]/Mecze[[#This Row],[CZAS]])</f>
        <v>0</v>
      </c>
      <c r="S70" s="44">
        <f>IF(Mecze[[#This Row],[Role]]="BR",SUMPRODUCT(Mecze[[#This Row],[/PR:90]:[/BR:90]],Brudnopis!$E$23:$J$23),0)</f>
        <v>0.5625</v>
      </c>
      <c r="T70" s="44">
        <f>IF(Mecze[[#This Row],[Role]]&lt;&gt;"BR",SUMPRODUCT(Mecze[[#This Row],[/PR:90]:[/BR:90]],Brudnopis!$E$24:$J$24),0)</f>
        <v>0</v>
      </c>
      <c r="U70" s="44">
        <f>IF(Mecze[[#This Row],[Role]]&lt;&gt;"BR",SUMPRODUCT(Mecze[[#This Row],[/PR:90]:[/BR:90]],Brudnopis!$E$25:$J$25),0)</f>
        <v>0</v>
      </c>
      <c r="V70" s="44">
        <f>IF(Mecze[[#This Row],[Role]]&lt;&gt;"BR",SUMPRODUCT(Mecze[[#This Row],[/PR:90]:[/BR:90]],Brudnopis!$E$26:$J$26),0)</f>
        <v>0</v>
      </c>
      <c r="W70" s="44">
        <f>IF(Mecze[[#This Row],[Role]]&lt;&gt;"BR",SUMPRODUCT(Mecze[[#This Row],[/PR:90]:[/BR:90]],Brudnopis!$E$27:$J$27),0)</f>
        <v>0</v>
      </c>
      <c r="X70" s="44">
        <f>IF(Mecze[[#This Row],[Role]]&lt;&gt;"BR",SUMPRODUCT(Mecze[[#This Row],[/PR:90]:[/BR:90]],Brudnopis!$E$28:$J$28),0)</f>
        <v>0</v>
      </c>
      <c r="Y70" s="35">
        <f>IF(Mecze[[#This Row],[Role]]="BR",Mecze[[#This Row],[/OB:90]]+Mecze[[#This Row],[/PC:90]],SUM(Mecze[[#This Row],[/PR:90]:[/BR:90]]))</f>
        <v>0.1875</v>
      </c>
      <c r="Z70" s="35">
        <f>IF(Mecze[[#This Row],[KC]]=0,SUM(Mecze[[#This Row],[/BRI]:[/NPI]]),SUM(Mecze[[#This Row],[/BRI]:[/NPI]])*0.6)</f>
        <v>0.5625</v>
      </c>
      <c r="AA70" s="10">
        <f>IFERROR(Mecze[[#This Row],[BR]]/Mecze[[#This Row],[ST]],0)</f>
        <v>0</v>
      </c>
      <c r="AB70">
        <f>ROUND(Mecze[[#This Row],[PD]]*Mecze[[#This Row],[%PC]],0)</f>
        <v>6</v>
      </c>
      <c r="AC70">
        <f>ROUND(Mecze[[#This Row],[OD]]*Mecze[[#This Row],[%OU]],0)</f>
        <v>0</v>
      </c>
      <c r="AD70" s="36" t="s">
        <v>40</v>
      </c>
      <c r="AE70" s="36">
        <v>5</v>
      </c>
      <c r="AF70" s="71">
        <v>7.01</v>
      </c>
      <c r="AG70" s="37">
        <v>0</v>
      </c>
      <c r="AH70" s="37">
        <v>0</v>
      </c>
      <c r="AI70" s="37">
        <v>96</v>
      </c>
      <c r="AJ70">
        <v>3</v>
      </c>
      <c r="AK70" s="37" t="str">
        <f>VLOOKUP(Mecze[[#This Row],[Match ID]],Meczusie[Mecz]:Meczusie[RodzajMeczu],2,FALSE)</f>
        <v>Liga</v>
      </c>
    </row>
    <row r="71" spans="1:42" x14ac:dyDescent="0.25">
      <c r="A71" s="76">
        <v>13</v>
      </c>
      <c r="B71" s="3" t="s">
        <v>262</v>
      </c>
      <c r="C71" s="2" t="s">
        <v>157</v>
      </c>
      <c r="D71" s="1">
        <v>0</v>
      </c>
      <c r="E71" s="1">
        <v>0</v>
      </c>
      <c r="F71" s="1">
        <v>0</v>
      </c>
      <c r="G71" s="1">
        <v>7</v>
      </c>
      <c r="H71" s="4">
        <v>1</v>
      </c>
      <c r="I71" s="1">
        <v>4</v>
      </c>
      <c r="J71" s="4">
        <v>0.75</v>
      </c>
      <c r="K71" s="1">
        <v>0</v>
      </c>
      <c r="L71" s="1">
        <v>7</v>
      </c>
      <c r="M71" s="32">
        <f>IF(Mecze[[#This Row],[PR]]=0,0,Mecze[[#This Row],[PR]]/Mecze[[#This Row],[CZAS]])</f>
        <v>7.2916666666666671E-2</v>
      </c>
      <c r="N71" s="32">
        <f>IF(Mecze[[#This Row],[OU]]=0,0,Mecze[[#This Row],[OU]]/Mecze[[#This Row],[CZAS]])</f>
        <v>3.125E-2</v>
      </c>
      <c r="O71" s="32">
        <f>IF(Mecze[[#This Row],[PC]]=0,0,Mecze[[#This Row],[PC]]/Mecze[[#This Row],[CZAS]])</f>
        <v>7.2916666666666671E-2</v>
      </c>
      <c r="P71" s="32">
        <f>IF(Mecze[[#This Row],[SC]]=0,0,Mecze[[#This Row],[SC]]/Mecze[[#This Row],[CZAS]])</f>
        <v>0</v>
      </c>
      <c r="Q71" s="32">
        <f>IF(Mecze[[#This Row],[OB]]=0,0,Mecze[[#This Row],[OB]]/Mecze[[#This Row],[CZAS]])</f>
        <v>0</v>
      </c>
      <c r="R71" s="32">
        <f>IF(Mecze[[#This Row],[BR]]=0,0,Mecze[[#This Row],[BR]]/Mecze[[#This Row],[CZAS]])</f>
        <v>0</v>
      </c>
      <c r="S71" s="44">
        <f>IF(Mecze[[#This Row],[Role]]="BR",SUMPRODUCT(Mecze[[#This Row],[/PR:90]:[/BR:90]],Brudnopis!$E$23:$J$23),0)</f>
        <v>0</v>
      </c>
      <c r="T71" s="44">
        <f>IF(Mecze[[#This Row],[Role]]&lt;&gt;"BR",SUMPRODUCT(Mecze[[#This Row],[/PR:90]:[/BR:90]],Brudnopis!$E$24:$J$24),0)</f>
        <v>0.19270833333333334</v>
      </c>
      <c r="U71" s="44">
        <f>IF(Mecze[[#This Row],[Role]]&lt;&gt;"BR",SUMPRODUCT(Mecze[[#This Row],[/PR:90]:[/BR:90]],Brudnopis!$E$25:$J$25),0)</f>
        <v>0.21354166666666669</v>
      </c>
      <c r="V71" s="44">
        <f>IF(Mecze[[#This Row],[Role]]&lt;&gt;"BR",SUMPRODUCT(Mecze[[#This Row],[/PR:90]:[/BR:90]],Brudnopis!$E$26:$J$26),0)</f>
        <v>0.17708333333333334</v>
      </c>
      <c r="W71" s="44">
        <f>IF(Mecze[[#This Row],[Role]]&lt;&gt;"BR",SUMPRODUCT(Mecze[[#This Row],[/PR:90]:[/BR:90]],Brudnopis!$E$27:$J$27),0)</f>
        <v>0.1875</v>
      </c>
      <c r="X71" s="44">
        <f>IF(Mecze[[#This Row],[Role]]&lt;&gt;"BR",SUMPRODUCT(Mecze[[#This Row],[/PR:90]:[/BR:90]],Brudnopis!$E$28:$J$28),0)</f>
        <v>7.2916666666666671E-2</v>
      </c>
      <c r="Y71" s="35">
        <f>IF(Mecze[[#This Row],[Role]]="BR",Mecze[[#This Row],[/OB:90]]+Mecze[[#This Row],[/PC:90]],SUM(Mecze[[#This Row],[/PR:90]:[/BR:90]]))</f>
        <v>0.17708333333333334</v>
      </c>
      <c r="Z71" s="35">
        <f>IF(Mecze[[#This Row],[KC]]=0,SUM(Mecze[[#This Row],[/BRI]:[/NPI]]),SUM(Mecze[[#This Row],[/BRI]:[/NPI]])*0.6)</f>
        <v>0.84375</v>
      </c>
      <c r="AA71" s="10">
        <f>IFERROR(Mecze[[#This Row],[BR]]/Mecze[[#This Row],[ST]],0)</f>
        <v>0</v>
      </c>
      <c r="AB71">
        <f>ROUND(Mecze[[#This Row],[PD]]*Mecze[[#This Row],[%PC]],0)</f>
        <v>7</v>
      </c>
      <c r="AC71">
        <f>ROUND(Mecze[[#This Row],[OD]]*Mecze[[#This Row],[%OU]],0)</f>
        <v>3</v>
      </c>
      <c r="AD71" s="36" t="s">
        <v>175</v>
      </c>
      <c r="AE71" s="36">
        <v>5</v>
      </c>
      <c r="AF71" s="71">
        <v>4.18</v>
      </c>
      <c r="AG71" s="37">
        <v>0</v>
      </c>
      <c r="AH71" s="37">
        <v>0</v>
      </c>
      <c r="AI71" s="37">
        <v>96</v>
      </c>
      <c r="AJ71">
        <v>3</v>
      </c>
      <c r="AK71" s="37" t="str">
        <f>VLOOKUP(Mecze[[#This Row],[Match ID]],Meczusie[Mecz]:Meczusie[RodzajMeczu],2,FALSE)</f>
        <v>Liga</v>
      </c>
    </row>
    <row r="72" spans="1:42" x14ac:dyDescent="0.25">
      <c r="A72" s="76">
        <v>6</v>
      </c>
      <c r="B72" s="3" t="s">
        <v>263</v>
      </c>
      <c r="C72" s="2" t="s">
        <v>157</v>
      </c>
      <c r="D72" s="1">
        <v>0</v>
      </c>
      <c r="E72" s="1">
        <v>0</v>
      </c>
      <c r="F72" s="1">
        <v>0</v>
      </c>
      <c r="G72" s="1">
        <v>14</v>
      </c>
      <c r="H72" s="4">
        <v>0.79</v>
      </c>
      <c r="I72" s="1">
        <v>11</v>
      </c>
      <c r="J72" s="4">
        <v>0.27</v>
      </c>
      <c r="K72" s="1">
        <v>0</v>
      </c>
      <c r="L72" s="1">
        <v>7</v>
      </c>
      <c r="M72" s="32">
        <f>IF(Mecze[[#This Row],[PR]]=0,0,Mecze[[#This Row],[PR]]/Mecze[[#This Row],[CZAS]])</f>
        <v>7.2916666666666671E-2</v>
      </c>
      <c r="N72" s="32">
        <f>IF(Mecze[[#This Row],[OU]]=0,0,Mecze[[#This Row],[OU]]/Mecze[[#This Row],[CZAS]])</f>
        <v>3.125E-2</v>
      </c>
      <c r="O72" s="32">
        <f>IF(Mecze[[#This Row],[PC]]=0,0,Mecze[[#This Row],[PC]]/Mecze[[#This Row],[CZAS]])</f>
        <v>0.11458333333333333</v>
      </c>
      <c r="P72" s="32">
        <f>IF(Mecze[[#This Row],[SC]]=0,0,Mecze[[#This Row],[SC]]/Mecze[[#This Row],[CZAS]])</f>
        <v>0</v>
      </c>
      <c r="Q72" s="32">
        <f>IF(Mecze[[#This Row],[OB]]=0,0,Mecze[[#This Row],[OB]]/Mecze[[#This Row],[CZAS]])</f>
        <v>0</v>
      </c>
      <c r="R72" s="32">
        <f>IF(Mecze[[#This Row],[BR]]=0,0,Mecze[[#This Row],[BR]]/Mecze[[#This Row],[CZAS]])</f>
        <v>0</v>
      </c>
      <c r="S72" s="44">
        <f>IF(Mecze[[#This Row],[Role]]="BR",SUMPRODUCT(Mecze[[#This Row],[/PR:90]:[/BR:90]],Brudnopis!$E$23:$J$23),0)</f>
        <v>0</v>
      </c>
      <c r="T72" s="44">
        <f>IF(Mecze[[#This Row],[Role]]&lt;&gt;"BR",SUMPRODUCT(Mecze[[#This Row],[/PR:90]:[/BR:90]],Brudnopis!$E$24:$J$24),0)</f>
        <v>0.234375</v>
      </c>
      <c r="U72" s="44">
        <f>IF(Mecze[[#This Row],[Role]]&lt;&gt;"BR",SUMPRODUCT(Mecze[[#This Row],[/PR:90]:[/BR:90]],Brudnopis!$E$25:$J$25),0)</f>
        <v>0.27604166666666669</v>
      </c>
      <c r="V72" s="44">
        <f>IF(Mecze[[#This Row],[Role]]&lt;&gt;"BR",SUMPRODUCT(Mecze[[#This Row],[/PR:90]:[/BR:90]],Brudnopis!$E$26:$J$26),0)</f>
        <v>0.21875</v>
      </c>
      <c r="W72" s="44">
        <f>IF(Mecze[[#This Row],[Role]]&lt;&gt;"BR",SUMPRODUCT(Mecze[[#This Row],[/PR:90]:[/BR:90]],Brudnopis!$E$27:$J$27),0)</f>
        <v>0.25</v>
      </c>
      <c r="X72" s="44">
        <f>IF(Mecze[[#This Row],[Role]]&lt;&gt;"BR",SUMPRODUCT(Mecze[[#This Row],[/PR:90]:[/BR:90]],Brudnopis!$E$28:$J$28),0)</f>
        <v>0.11458333333333333</v>
      </c>
      <c r="Y72" s="35">
        <f>IF(Mecze[[#This Row],[Role]]="BR",Mecze[[#This Row],[/OB:90]]+Mecze[[#This Row],[/PC:90]],SUM(Mecze[[#This Row],[/PR:90]:[/BR:90]]))</f>
        <v>0.21875</v>
      </c>
      <c r="Z72" s="35">
        <f>IF(Mecze[[#This Row],[KC]]=0,SUM(Mecze[[#This Row],[/BRI]:[/NPI]]),SUM(Mecze[[#This Row],[/BRI]:[/NPI]])*0.6)</f>
        <v>1.09375</v>
      </c>
      <c r="AA72" s="10">
        <f>IFERROR(Mecze[[#This Row],[BR]]/Mecze[[#This Row],[ST]],0)</f>
        <v>0</v>
      </c>
      <c r="AB72">
        <f>ROUND(Mecze[[#This Row],[PD]]*Mecze[[#This Row],[%PC]],0)</f>
        <v>11</v>
      </c>
      <c r="AC72">
        <f>ROUND(Mecze[[#This Row],[OD]]*Mecze[[#This Row],[%OU]],0)</f>
        <v>3</v>
      </c>
      <c r="AD72" s="36" t="s">
        <v>47</v>
      </c>
      <c r="AE72" s="36">
        <v>5</v>
      </c>
      <c r="AF72" s="71">
        <v>3.06</v>
      </c>
      <c r="AG72" s="37">
        <v>0</v>
      </c>
      <c r="AH72" s="37">
        <v>0</v>
      </c>
      <c r="AI72" s="37">
        <v>96</v>
      </c>
      <c r="AJ72">
        <v>3</v>
      </c>
      <c r="AK72" s="37" t="str">
        <f>VLOOKUP(Mecze[[#This Row],[Match ID]],Meczusie[Mecz]:Meczusie[RodzajMeczu],2,FALSE)</f>
        <v>Liga</v>
      </c>
    </row>
    <row r="73" spans="1:42" x14ac:dyDescent="0.25">
      <c r="A73" s="76">
        <v>4</v>
      </c>
      <c r="B73" s="3" t="s">
        <v>264</v>
      </c>
      <c r="C73" s="2" t="s">
        <v>157</v>
      </c>
      <c r="D73" s="1">
        <v>0</v>
      </c>
      <c r="E73" s="1">
        <v>0</v>
      </c>
      <c r="F73" s="1">
        <v>0</v>
      </c>
      <c r="G73" s="1">
        <v>1</v>
      </c>
      <c r="H73" s="4">
        <v>0</v>
      </c>
      <c r="I73" s="1">
        <v>0</v>
      </c>
      <c r="J73" s="4"/>
      <c r="K73" s="1">
        <v>0</v>
      </c>
      <c r="L73" s="1">
        <v>1</v>
      </c>
      <c r="M73" s="32">
        <f>IF(Mecze[[#This Row],[PR]]=0,0,Mecze[[#This Row],[PR]]/Mecze[[#This Row],[CZAS]])</f>
        <v>1.0416666666666666E-2</v>
      </c>
      <c r="N73" s="32">
        <f>IF(Mecze[[#This Row],[OU]]=0,0,Mecze[[#This Row],[OU]]/Mecze[[#This Row],[CZAS]])</f>
        <v>0</v>
      </c>
      <c r="O73" s="32">
        <f>IF(Mecze[[#This Row],[PC]]=0,0,Mecze[[#This Row],[PC]]/Mecze[[#This Row],[CZAS]])</f>
        <v>0</v>
      </c>
      <c r="P73" s="32">
        <f>IF(Mecze[[#This Row],[SC]]=0,0,Mecze[[#This Row],[SC]]/Mecze[[#This Row],[CZAS]])</f>
        <v>0</v>
      </c>
      <c r="Q73" s="32">
        <f>IF(Mecze[[#This Row],[OB]]=0,0,Mecze[[#This Row],[OB]]/Mecze[[#This Row],[CZAS]])</f>
        <v>0</v>
      </c>
      <c r="R73" s="32">
        <f>IF(Mecze[[#This Row],[BR]]=0,0,Mecze[[#This Row],[BR]]/Mecze[[#This Row],[CZAS]])</f>
        <v>0</v>
      </c>
      <c r="S73" s="44">
        <f>IF(Mecze[[#This Row],[Role]]="BR",SUMPRODUCT(Mecze[[#This Row],[/PR:90]:[/BR:90]],Brudnopis!$E$23:$J$23),0)</f>
        <v>0</v>
      </c>
      <c r="T73" s="44">
        <f>IF(Mecze[[#This Row],[Role]]&lt;&gt;"BR",SUMPRODUCT(Mecze[[#This Row],[/PR:90]:[/BR:90]],Brudnopis!$E$24:$J$24),0)</f>
        <v>1.0416666666666666E-2</v>
      </c>
      <c r="U73" s="44">
        <f>IF(Mecze[[#This Row],[Role]]&lt;&gt;"BR",SUMPRODUCT(Mecze[[#This Row],[/PR:90]:[/BR:90]],Brudnopis!$E$25:$J$25),0)</f>
        <v>1.0416666666666666E-2</v>
      </c>
      <c r="V73" s="44">
        <f>IF(Mecze[[#This Row],[Role]]&lt;&gt;"BR",SUMPRODUCT(Mecze[[#This Row],[/PR:90]:[/BR:90]],Brudnopis!$E$26:$J$26),0)</f>
        <v>1.0416666666666666E-2</v>
      </c>
      <c r="W73" s="44">
        <f>IF(Mecze[[#This Row],[Role]]&lt;&gt;"BR",SUMPRODUCT(Mecze[[#This Row],[/PR:90]:[/BR:90]],Brudnopis!$E$27:$J$27),0)</f>
        <v>7.8125E-3</v>
      </c>
      <c r="X73" s="44">
        <f>IF(Mecze[[#This Row],[Role]]&lt;&gt;"BR",SUMPRODUCT(Mecze[[#This Row],[/PR:90]:[/BR:90]],Brudnopis!$E$28:$J$28),0)</f>
        <v>0</v>
      </c>
      <c r="Y73" s="35">
        <f>IF(Mecze[[#This Row],[Role]]="BR",Mecze[[#This Row],[/OB:90]]+Mecze[[#This Row],[/PC:90]],SUM(Mecze[[#This Row],[/PR:90]:[/BR:90]]))</f>
        <v>1.0416666666666666E-2</v>
      </c>
      <c r="Z73" s="35">
        <f>IF(Mecze[[#This Row],[KC]]=0,SUM(Mecze[[#This Row],[/BRI]:[/NPI]]),SUM(Mecze[[#This Row],[/BRI]:[/NPI]])*0.6)</f>
        <v>3.90625E-2</v>
      </c>
      <c r="AA73" s="10">
        <f>IFERROR(Mecze[[#This Row],[BR]]/Mecze[[#This Row],[ST]],0)</f>
        <v>0</v>
      </c>
      <c r="AB73">
        <f>ROUND(Mecze[[#This Row],[PD]]*Mecze[[#This Row],[%PC]],0)</f>
        <v>0</v>
      </c>
      <c r="AC73">
        <f>ROUND(Mecze[[#This Row],[OD]]*Mecze[[#This Row],[%OU]],0)</f>
        <v>0</v>
      </c>
      <c r="AD73" s="36" t="s">
        <v>174</v>
      </c>
      <c r="AE73" s="36">
        <v>5</v>
      </c>
      <c r="AF73" s="71">
        <v>1.8</v>
      </c>
      <c r="AG73" s="37">
        <v>0</v>
      </c>
      <c r="AH73" s="37">
        <v>0</v>
      </c>
      <c r="AI73" s="37">
        <v>96</v>
      </c>
      <c r="AJ73">
        <v>3</v>
      </c>
      <c r="AK73" s="37" t="str">
        <f>VLOOKUP(Mecze[[#This Row],[Match ID]],Meczusie[Mecz]:Meczusie[RodzajMeczu],2,FALSE)</f>
        <v>Liga</v>
      </c>
    </row>
    <row r="74" spans="1:42" x14ac:dyDescent="0.25">
      <c r="A74" s="76">
        <v>2</v>
      </c>
      <c r="B74" s="3" t="s">
        <v>265</v>
      </c>
      <c r="C74" s="2" t="s">
        <v>157</v>
      </c>
      <c r="D74" s="1">
        <v>0</v>
      </c>
      <c r="E74" s="1">
        <v>0</v>
      </c>
      <c r="F74" s="1">
        <v>0</v>
      </c>
      <c r="G74" s="1">
        <v>16</v>
      </c>
      <c r="H74" s="4">
        <v>0.81</v>
      </c>
      <c r="I74" s="1">
        <v>13</v>
      </c>
      <c r="J74" s="4">
        <v>0.69</v>
      </c>
      <c r="K74" s="1">
        <v>0</v>
      </c>
      <c r="L74" s="1">
        <v>4</v>
      </c>
      <c r="M74" s="32">
        <f>IF(Mecze[[#This Row],[PR]]=0,0,Mecze[[#This Row],[PR]]/Mecze[[#This Row],[CZAS]])</f>
        <v>4.1666666666666664E-2</v>
      </c>
      <c r="N74" s="32">
        <f>IF(Mecze[[#This Row],[OU]]=0,0,Mecze[[#This Row],[OU]]/Mecze[[#This Row],[CZAS]])</f>
        <v>9.375E-2</v>
      </c>
      <c r="O74" s="32">
        <f>IF(Mecze[[#This Row],[PC]]=0,0,Mecze[[#This Row],[PC]]/Mecze[[#This Row],[CZAS]])</f>
        <v>0.13541666666666666</v>
      </c>
      <c r="P74" s="32">
        <f>IF(Mecze[[#This Row],[SC]]=0,0,Mecze[[#This Row],[SC]]/Mecze[[#This Row],[CZAS]])</f>
        <v>0</v>
      </c>
      <c r="Q74" s="32">
        <f>IF(Mecze[[#This Row],[OB]]=0,0,Mecze[[#This Row],[OB]]/Mecze[[#This Row],[CZAS]])</f>
        <v>0</v>
      </c>
      <c r="R74" s="32">
        <f>IF(Mecze[[#This Row],[BR]]=0,0,Mecze[[#This Row],[BR]]/Mecze[[#This Row],[CZAS]])</f>
        <v>0</v>
      </c>
      <c r="S74" s="44">
        <f>IF(Mecze[[#This Row],[Role]]="BR",SUMPRODUCT(Mecze[[#This Row],[/PR:90]:[/BR:90]],Brudnopis!$E$23:$J$23),0)</f>
        <v>0</v>
      </c>
      <c r="T74" s="44">
        <f>IF(Mecze[[#This Row],[Role]]&lt;&gt;"BR",SUMPRODUCT(Mecze[[#This Row],[/PR:90]:[/BR:90]],Brudnopis!$E$24:$J$24),0)</f>
        <v>0.31770833333333331</v>
      </c>
      <c r="U74" s="44">
        <f>IF(Mecze[[#This Row],[Role]]&lt;&gt;"BR",SUMPRODUCT(Mecze[[#This Row],[/PR:90]:[/BR:90]],Brudnopis!$E$25:$J$25),0)</f>
        <v>0.33854166666666663</v>
      </c>
      <c r="V74" s="44">
        <f>IF(Mecze[[#This Row],[Role]]&lt;&gt;"BR",SUMPRODUCT(Mecze[[#This Row],[/PR:90]:[/BR:90]],Brudnopis!$E$26:$J$26),0)</f>
        <v>0.27083333333333331</v>
      </c>
      <c r="W74" s="44">
        <f>IF(Mecze[[#This Row],[Role]]&lt;&gt;"BR",SUMPRODUCT(Mecze[[#This Row],[/PR:90]:[/BR:90]],Brudnopis!$E$27:$J$27),0)</f>
        <v>0.3046875</v>
      </c>
      <c r="X74" s="44">
        <f>IF(Mecze[[#This Row],[Role]]&lt;&gt;"BR",SUMPRODUCT(Mecze[[#This Row],[/PR:90]:[/BR:90]],Brudnopis!$E$28:$J$28),0)</f>
        <v>0.13541666666666666</v>
      </c>
      <c r="Y74" s="35">
        <f>IF(Mecze[[#This Row],[Role]]="BR",Mecze[[#This Row],[/OB:90]]+Mecze[[#This Row],[/PC:90]],SUM(Mecze[[#This Row],[/PR:90]:[/BR:90]]))</f>
        <v>0.27083333333333331</v>
      </c>
      <c r="Z74" s="35">
        <f>IF(Mecze[[#This Row],[KC]]=0,SUM(Mecze[[#This Row],[/BRI]:[/NPI]]),SUM(Mecze[[#This Row],[/BRI]:[/NPI]])*0.6)</f>
        <v>1.3671875</v>
      </c>
      <c r="AA74" s="10">
        <f>IFERROR(Mecze[[#This Row],[BR]]/Mecze[[#This Row],[ST]],0)</f>
        <v>0</v>
      </c>
      <c r="AB74">
        <f>ROUND(Mecze[[#This Row],[PD]]*Mecze[[#This Row],[%PC]],0)</f>
        <v>13</v>
      </c>
      <c r="AC74">
        <f>ROUND(Mecze[[#This Row],[OD]]*Mecze[[#This Row],[%OU]],0)</f>
        <v>9</v>
      </c>
      <c r="AD74" s="36" t="s">
        <v>47</v>
      </c>
      <c r="AE74" s="36">
        <v>5</v>
      </c>
      <c r="AF74" s="71">
        <v>3.55</v>
      </c>
      <c r="AG74" s="37">
        <v>0</v>
      </c>
      <c r="AH74" s="37">
        <v>0</v>
      </c>
      <c r="AI74" s="37">
        <v>96</v>
      </c>
      <c r="AJ74">
        <v>3</v>
      </c>
      <c r="AK74" s="37" t="str">
        <f>VLOOKUP(Mecze[[#This Row],[Match ID]],Meczusie[Mecz]:Meczusie[RodzajMeczu],2,FALSE)</f>
        <v>Liga</v>
      </c>
    </row>
    <row r="75" spans="1:42" x14ac:dyDescent="0.25">
      <c r="A75" s="76">
        <v>9</v>
      </c>
      <c r="B75" s="3" t="s">
        <v>266</v>
      </c>
      <c r="C75" s="2" t="s">
        <v>160</v>
      </c>
      <c r="D75" s="1">
        <v>0</v>
      </c>
      <c r="E75" s="1">
        <v>0</v>
      </c>
      <c r="F75" s="1">
        <v>0</v>
      </c>
      <c r="G75" s="1">
        <v>19</v>
      </c>
      <c r="H75" s="4">
        <v>0.79</v>
      </c>
      <c r="I75" s="1">
        <v>6</v>
      </c>
      <c r="J75" s="4">
        <v>0.5</v>
      </c>
      <c r="K75" s="1">
        <v>0</v>
      </c>
      <c r="L75" s="1">
        <v>2</v>
      </c>
      <c r="M75" s="32">
        <f>IF(Mecze[[#This Row],[PR]]=0,0,Mecze[[#This Row],[PR]]/Mecze[[#This Row],[CZAS]])</f>
        <v>2.0833333333333332E-2</v>
      </c>
      <c r="N75" s="32">
        <f>IF(Mecze[[#This Row],[OU]]=0,0,Mecze[[#This Row],[OU]]/Mecze[[#This Row],[CZAS]])</f>
        <v>3.125E-2</v>
      </c>
      <c r="O75" s="32">
        <f>IF(Mecze[[#This Row],[PC]]=0,0,Mecze[[#This Row],[PC]]/Mecze[[#This Row],[CZAS]])</f>
        <v>0.15625</v>
      </c>
      <c r="P75" s="32">
        <f>IF(Mecze[[#This Row],[SC]]=0,0,Mecze[[#This Row],[SC]]/Mecze[[#This Row],[CZAS]])</f>
        <v>0</v>
      </c>
      <c r="Q75" s="32">
        <f>IF(Mecze[[#This Row],[OB]]=0,0,Mecze[[#This Row],[OB]]/Mecze[[#This Row],[CZAS]])</f>
        <v>0</v>
      </c>
      <c r="R75" s="32">
        <f>IF(Mecze[[#This Row],[BR]]=0,0,Mecze[[#This Row],[BR]]/Mecze[[#This Row],[CZAS]])</f>
        <v>0</v>
      </c>
      <c r="S75" s="44">
        <f>IF(Mecze[[#This Row],[Role]]="BR",SUMPRODUCT(Mecze[[#This Row],[/PR:90]:[/BR:90]],Brudnopis!$E$23:$J$23),0)</f>
        <v>0</v>
      </c>
      <c r="T75" s="44">
        <f>IF(Mecze[[#This Row],[Role]]&lt;&gt;"BR",SUMPRODUCT(Mecze[[#This Row],[/PR:90]:[/BR:90]],Brudnopis!$E$24:$J$24),0)</f>
        <v>0.22395833333333331</v>
      </c>
      <c r="U75" s="44">
        <f>IF(Mecze[[#This Row],[Role]]&lt;&gt;"BR",SUMPRODUCT(Mecze[[#This Row],[/PR:90]:[/BR:90]],Brudnopis!$E$25:$J$25),0)</f>
        <v>0.28645833333333331</v>
      </c>
      <c r="V75" s="44">
        <f>IF(Mecze[[#This Row],[Role]]&lt;&gt;"BR",SUMPRODUCT(Mecze[[#This Row],[/PR:90]:[/BR:90]],Brudnopis!$E$26:$J$26),0)</f>
        <v>0.20833333333333331</v>
      </c>
      <c r="W75" s="44">
        <f>IF(Mecze[[#This Row],[Role]]&lt;&gt;"BR",SUMPRODUCT(Mecze[[#This Row],[/PR:90]:[/BR:90]],Brudnopis!$E$27:$J$27),0)</f>
        <v>0.2734375</v>
      </c>
      <c r="X75" s="44">
        <f>IF(Mecze[[#This Row],[Role]]&lt;&gt;"BR",SUMPRODUCT(Mecze[[#This Row],[/PR:90]:[/BR:90]],Brudnopis!$E$28:$J$28),0)</f>
        <v>0.15625</v>
      </c>
      <c r="Y75" s="35">
        <f>IF(Mecze[[#This Row],[Role]]="BR",Mecze[[#This Row],[/OB:90]]+Mecze[[#This Row],[/PC:90]],SUM(Mecze[[#This Row],[/PR:90]:[/BR:90]]))</f>
        <v>0.20833333333333331</v>
      </c>
      <c r="Z75" s="35">
        <f>IF(Mecze[[#This Row],[KC]]=0,SUM(Mecze[[#This Row],[/BRI]:[/NPI]]),SUM(Mecze[[#This Row],[/BRI]:[/NPI]])*0.6)</f>
        <v>1.1484375</v>
      </c>
      <c r="AA75" s="10">
        <f>IFERROR(Mecze[[#This Row],[BR]]/Mecze[[#This Row],[ST]],0)</f>
        <v>0</v>
      </c>
      <c r="AB75">
        <f>ROUND(Mecze[[#This Row],[PD]]*Mecze[[#This Row],[%PC]],0)</f>
        <v>15</v>
      </c>
      <c r="AC75">
        <f>ROUND(Mecze[[#This Row],[OD]]*Mecze[[#This Row],[%OU]],0)</f>
        <v>3</v>
      </c>
      <c r="AD75" s="36" t="s">
        <v>67</v>
      </c>
      <c r="AE75" s="36">
        <v>5</v>
      </c>
      <c r="AF75" s="71">
        <v>4.33</v>
      </c>
      <c r="AG75" s="37">
        <v>0</v>
      </c>
      <c r="AH75" s="37">
        <v>0</v>
      </c>
      <c r="AI75" s="37">
        <v>96</v>
      </c>
      <c r="AJ75">
        <v>3</v>
      </c>
      <c r="AK75" s="37" t="str">
        <f>VLOOKUP(Mecze[[#This Row],[Match ID]],Meczusie[Mecz]:Meczusie[RodzajMeczu],2,FALSE)</f>
        <v>Liga</v>
      </c>
    </row>
    <row r="76" spans="1:42" x14ac:dyDescent="0.25">
      <c r="A76" s="76">
        <v>5</v>
      </c>
      <c r="B76" s="3" t="s">
        <v>267</v>
      </c>
      <c r="C76" s="2" t="s">
        <v>160</v>
      </c>
      <c r="D76" s="1">
        <v>0</v>
      </c>
      <c r="E76" s="1">
        <v>0</v>
      </c>
      <c r="F76" s="1">
        <v>0</v>
      </c>
      <c r="G76" s="1">
        <v>16</v>
      </c>
      <c r="H76" s="4">
        <v>0.75</v>
      </c>
      <c r="I76" s="1">
        <v>8</v>
      </c>
      <c r="J76" s="4">
        <v>0.38</v>
      </c>
      <c r="K76" s="1">
        <v>0</v>
      </c>
      <c r="L76" s="1">
        <v>4</v>
      </c>
      <c r="M76" s="32">
        <f>IF(Mecze[[#This Row],[PR]]=0,0,Mecze[[#This Row],[PR]]/Mecze[[#This Row],[CZAS]])</f>
        <v>4.1666666666666664E-2</v>
      </c>
      <c r="N76" s="32">
        <f>IF(Mecze[[#This Row],[OU]]=0,0,Mecze[[#This Row],[OU]]/Mecze[[#This Row],[CZAS]])</f>
        <v>3.125E-2</v>
      </c>
      <c r="O76" s="32">
        <f>IF(Mecze[[#This Row],[PC]]=0,0,Mecze[[#This Row],[PC]]/Mecze[[#This Row],[CZAS]])</f>
        <v>0.125</v>
      </c>
      <c r="P76" s="32">
        <f>IF(Mecze[[#This Row],[SC]]=0,0,Mecze[[#This Row],[SC]]/Mecze[[#This Row],[CZAS]])</f>
        <v>0</v>
      </c>
      <c r="Q76" s="32">
        <f>IF(Mecze[[#This Row],[OB]]=0,0,Mecze[[#This Row],[OB]]/Mecze[[#This Row],[CZAS]])</f>
        <v>0</v>
      </c>
      <c r="R76" s="32">
        <f>IF(Mecze[[#This Row],[BR]]=0,0,Mecze[[#This Row],[BR]]/Mecze[[#This Row],[CZAS]])</f>
        <v>0</v>
      </c>
      <c r="S76" s="44">
        <f>IF(Mecze[[#This Row],[Role]]="BR",SUMPRODUCT(Mecze[[#This Row],[/PR:90]:[/BR:90]],Brudnopis!$E$23:$J$23),0)</f>
        <v>0</v>
      </c>
      <c r="T76" s="44">
        <f>IF(Mecze[[#This Row],[Role]]&lt;&gt;"BR",SUMPRODUCT(Mecze[[#This Row],[/PR:90]:[/BR:90]],Brudnopis!$E$24:$J$24),0)</f>
        <v>0.21354166666666666</v>
      </c>
      <c r="U76" s="44">
        <f>IF(Mecze[[#This Row],[Role]]&lt;&gt;"BR",SUMPRODUCT(Mecze[[#This Row],[/PR:90]:[/BR:90]],Brudnopis!$E$25:$J$25),0)</f>
        <v>0.26041666666666663</v>
      </c>
      <c r="V76" s="44">
        <f>IF(Mecze[[#This Row],[Role]]&lt;&gt;"BR",SUMPRODUCT(Mecze[[#This Row],[/PR:90]:[/BR:90]],Brudnopis!$E$26:$J$26),0)</f>
        <v>0.19791666666666666</v>
      </c>
      <c r="W76" s="44">
        <f>IF(Mecze[[#This Row],[Role]]&lt;&gt;"BR",SUMPRODUCT(Mecze[[#This Row],[/PR:90]:[/BR:90]],Brudnopis!$E$27:$J$27),0)</f>
        <v>0.2421875</v>
      </c>
      <c r="X76" s="44">
        <f>IF(Mecze[[#This Row],[Role]]&lt;&gt;"BR",SUMPRODUCT(Mecze[[#This Row],[/PR:90]:[/BR:90]],Brudnopis!$E$28:$J$28),0)</f>
        <v>0.125</v>
      </c>
      <c r="Y76" s="35">
        <f>IF(Mecze[[#This Row],[Role]]="BR",Mecze[[#This Row],[/OB:90]]+Mecze[[#This Row],[/PC:90]],SUM(Mecze[[#This Row],[/PR:90]:[/BR:90]]))</f>
        <v>0.19791666666666666</v>
      </c>
      <c r="Z76" s="35">
        <f>IF(Mecze[[#This Row],[KC]]=0,SUM(Mecze[[#This Row],[/BRI]:[/NPI]]),SUM(Mecze[[#This Row],[/BRI]:[/NPI]])*0.6)</f>
        <v>1.0390625</v>
      </c>
      <c r="AA76" s="10">
        <f>IFERROR(Mecze[[#This Row],[BR]]/Mecze[[#This Row],[ST]],0)</f>
        <v>0</v>
      </c>
      <c r="AB76">
        <f>ROUND(Mecze[[#This Row],[PD]]*Mecze[[#This Row],[%PC]],0)</f>
        <v>12</v>
      </c>
      <c r="AC76">
        <f>ROUND(Mecze[[#This Row],[OD]]*Mecze[[#This Row],[%OU]],0)</f>
        <v>3</v>
      </c>
      <c r="AD76" s="36" t="s">
        <v>67</v>
      </c>
      <c r="AE76" s="36">
        <v>5</v>
      </c>
      <c r="AF76" s="71">
        <v>4.75</v>
      </c>
      <c r="AG76" s="37">
        <v>0</v>
      </c>
      <c r="AH76" s="37">
        <v>0</v>
      </c>
      <c r="AI76" s="37">
        <v>96</v>
      </c>
      <c r="AJ76">
        <v>3</v>
      </c>
      <c r="AK76" s="37" t="str">
        <f>VLOOKUP(Mecze[[#This Row],[Match ID]],Meczusie[Mecz]:Meczusie[RodzajMeczu],2,FALSE)</f>
        <v>Liga</v>
      </c>
    </row>
    <row r="77" spans="1:42" x14ac:dyDescent="0.25">
      <c r="A77" s="76">
        <v>3</v>
      </c>
      <c r="B77" s="3" t="s">
        <v>268</v>
      </c>
      <c r="C77" s="2" t="s">
        <v>160</v>
      </c>
      <c r="D77" s="1">
        <v>0</v>
      </c>
      <c r="E77" s="1">
        <v>1</v>
      </c>
      <c r="F77" s="1">
        <v>1</v>
      </c>
      <c r="G77" s="1">
        <v>7</v>
      </c>
      <c r="H77" s="4">
        <v>0.86</v>
      </c>
      <c r="I77" s="1">
        <v>2</v>
      </c>
      <c r="J77" s="4">
        <v>0.5</v>
      </c>
      <c r="K77" s="1">
        <v>0</v>
      </c>
      <c r="L77" s="1">
        <v>0</v>
      </c>
      <c r="M77" s="32">
        <f>IF(Mecze[[#This Row],[PR]]=0,0,Mecze[[#This Row],[PR]]/Mecze[[#This Row],[CZAS]])</f>
        <v>0</v>
      </c>
      <c r="N77" s="32">
        <f>IF(Mecze[[#This Row],[OU]]=0,0,Mecze[[#This Row],[OU]]/Mecze[[#This Row],[CZAS]])</f>
        <v>1.0416666666666666E-2</v>
      </c>
      <c r="O77" s="32">
        <f>IF(Mecze[[#This Row],[PC]]=0,0,Mecze[[#This Row],[PC]]/Mecze[[#This Row],[CZAS]])</f>
        <v>6.25E-2</v>
      </c>
      <c r="P77" s="32">
        <f>IF(Mecze[[#This Row],[SC]]=0,0,Mecze[[#This Row],[SC]]/Mecze[[#This Row],[CZAS]])</f>
        <v>1.0416666666666666E-2</v>
      </c>
      <c r="Q77" s="32">
        <f>IF(Mecze[[#This Row],[OB]]=0,0,Mecze[[#This Row],[OB]]/Mecze[[#This Row],[CZAS]])</f>
        <v>0</v>
      </c>
      <c r="R77" s="32">
        <f>IF(Mecze[[#This Row],[BR]]=0,0,Mecze[[#This Row],[BR]]/Mecze[[#This Row],[CZAS]])</f>
        <v>0</v>
      </c>
      <c r="S77" s="44">
        <f>IF(Mecze[[#This Row],[Role]]="BR",SUMPRODUCT(Mecze[[#This Row],[/PR:90]:[/BR:90]],Brudnopis!$E$23:$J$23),0)</f>
        <v>0</v>
      </c>
      <c r="T77" s="44">
        <f>IF(Mecze[[#This Row],[Role]]&lt;&gt;"BR",SUMPRODUCT(Mecze[[#This Row],[/PR:90]:[/BR:90]],Brudnopis!$E$24:$J$24),0)</f>
        <v>8.8541666666666671E-2</v>
      </c>
      <c r="U77" s="44">
        <f>IF(Mecze[[#This Row],[Role]]&lt;&gt;"BR",SUMPRODUCT(Mecze[[#This Row],[/PR:90]:[/BR:90]],Brudnopis!$E$25:$J$25),0)</f>
        <v>0.11458333333333334</v>
      </c>
      <c r="V77" s="44">
        <f>IF(Mecze[[#This Row],[Role]]&lt;&gt;"BR",SUMPRODUCT(Mecze[[#This Row],[/PR:90]:[/BR:90]],Brudnopis!$E$26:$J$26),0)</f>
        <v>8.3333333333333343E-2</v>
      </c>
      <c r="W77" s="44">
        <f>IF(Mecze[[#This Row],[Role]]&lt;&gt;"BR",SUMPRODUCT(Mecze[[#This Row],[/PR:90]:[/BR:90]],Brudnopis!$E$27:$J$27),0)</f>
        <v>0.11197916666666667</v>
      </c>
      <c r="X77" s="44">
        <f>IF(Mecze[[#This Row],[Role]]&lt;&gt;"BR",SUMPRODUCT(Mecze[[#This Row],[/PR:90]:[/BR:90]],Brudnopis!$E$28:$J$28),0)</f>
        <v>8.3333333333333329E-2</v>
      </c>
      <c r="Y77" s="35">
        <f>IF(Mecze[[#This Row],[Role]]="BR",Mecze[[#This Row],[/OB:90]]+Mecze[[#This Row],[/PC:90]],SUM(Mecze[[#This Row],[/PR:90]:[/BR:90]]))</f>
        <v>8.3333333333333343E-2</v>
      </c>
      <c r="Z77" s="35">
        <f>IF(Mecze[[#This Row],[KC]]=0,SUM(Mecze[[#This Row],[/BRI]:[/NPI]]),SUM(Mecze[[#This Row],[/BRI]:[/NPI]])*0.6)</f>
        <v>0.48177083333333337</v>
      </c>
      <c r="AA77" s="10">
        <f>IFERROR(Mecze[[#This Row],[BR]]/Mecze[[#This Row],[ST]],0)</f>
        <v>0</v>
      </c>
      <c r="AB77">
        <f>ROUND(Mecze[[#This Row],[PD]]*Mecze[[#This Row],[%PC]],0)</f>
        <v>6</v>
      </c>
      <c r="AC77">
        <f>ROUND(Mecze[[#This Row],[OD]]*Mecze[[#This Row],[%OU]],0)</f>
        <v>1</v>
      </c>
      <c r="AD77" s="36" t="s">
        <v>44</v>
      </c>
      <c r="AE77" s="36">
        <v>5</v>
      </c>
      <c r="AF77" s="71">
        <v>5.05</v>
      </c>
      <c r="AG77" s="37">
        <v>0</v>
      </c>
      <c r="AH77" s="37">
        <v>0</v>
      </c>
      <c r="AI77" s="37">
        <v>96</v>
      </c>
      <c r="AJ77">
        <v>3</v>
      </c>
      <c r="AK77" s="37" t="str">
        <f>VLOOKUP(Mecze[[#This Row],[Match ID]],Meczusie[Mecz]:Meczusie[RodzajMeczu],2,FALSE)</f>
        <v>Liga</v>
      </c>
    </row>
    <row r="78" spans="1:42" x14ac:dyDescent="0.25">
      <c r="A78" s="76">
        <v>8</v>
      </c>
      <c r="B78" s="3" t="s">
        <v>269</v>
      </c>
      <c r="C78" s="2" t="s">
        <v>165</v>
      </c>
      <c r="D78" s="1">
        <v>0</v>
      </c>
      <c r="E78" s="1">
        <v>2</v>
      </c>
      <c r="F78" s="1">
        <v>2</v>
      </c>
      <c r="G78" s="1">
        <v>10</v>
      </c>
      <c r="H78" s="4">
        <v>0.7</v>
      </c>
      <c r="I78" s="1">
        <v>2</v>
      </c>
      <c r="J78" s="4">
        <v>0.5</v>
      </c>
      <c r="K78" s="1">
        <v>0</v>
      </c>
      <c r="L78" s="1">
        <v>0</v>
      </c>
      <c r="M78" s="32">
        <f>IF(Mecze[[#This Row],[PR]]=0,0,Mecze[[#This Row],[PR]]/Mecze[[#This Row],[CZAS]])</f>
        <v>0</v>
      </c>
      <c r="N78" s="32">
        <f>IF(Mecze[[#This Row],[OU]]=0,0,Mecze[[#This Row],[OU]]/Mecze[[#This Row],[CZAS]])</f>
        <v>1.0416666666666666E-2</v>
      </c>
      <c r="O78" s="32">
        <f>IF(Mecze[[#This Row],[PC]]=0,0,Mecze[[#This Row],[PC]]/Mecze[[#This Row],[CZAS]])</f>
        <v>7.2916666666666671E-2</v>
      </c>
      <c r="P78" s="32">
        <f>IF(Mecze[[#This Row],[SC]]=0,0,Mecze[[#This Row],[SC]]/Mecze[[#This Row],[CZAS]])</f>
        <v>2.0833333333333332E-2</v>
      </c>
      <c r="Q78" s="32">
        <f>IF(Mecze[[#This Row],[OB]]=0,0,Mecze[[#This Row],[OB]]/Mecze[[#This Row],[CZAS]])</f>
        <v>0</v>
      </c>
      <c r="R78" s="32">
        <f>IF(Mecze[[#This Row],[BR]]=0,0,Mecze[[#This Row],[BR]]/Mecze[[#This Row],[CZAS]])</f>
        <v>0</v>
      </c>
      <c r="S78" s="44">
        <f>IF(Mecze[[#This Row],[Role]]="BR",SUMPRODUCT(Mecze[[#This Row],[/PR:90]:[/BR:90]],Brudnopis!$E$23:$J$23),0)</f>
        <v>0</v>
      </c>
      <c r="T78" s="44">
        <f>IF(Mecze[[#This Row],[Role]]&lt;&gt;"BR",SUMPRODUCT(Mecze[[#This Row],[/PR:90]:[/BR:90]],Brudnopis!$E$24:$J$24),0)</f>
        <v>0.109375</v>
      </c>
      <c r="U78" s="44">
        <f>IF(Mecze[[#This Row],[Role]]&lt;&gt;"BR",SUMPRODUCT(Mecze[[#This Row],[/PR:90]:[/BR:90]],Brudnopis!$E$25:$J$25),0)</f>
        <v>0.140625</v>
      </c>
      <c r="V78" s="44">
        <f>IF(Mecze[[#This Row],[Role]]&lt;&gt;"BR",SUMPRODUCT(Mecze[[#This Row],[/PR:90]:[/BR:90]],Brudnopis!$E$26:$J$26),0)</f>
        <v>0.10416666666666667</v>
      </c>
      <c r="W78" s="44">
        <f>IF(Mecze[[#This Row],[Role]]&lt;&gt;"BR",SUMPRODUCT(Mecze[[#This Row],[/PR:90]:[/BR:90]],Brudnopis!$E$27:$J$27),0)</f>
        <v>0.13802083333333334</v>
      </c>
      <c r="X78" s="44">
        <f>IF(Mecze[[#This Row],[Role]]&lt;&gt;"BR",SUMPRODUCT(Mecze[[#This Row],[/PR:90]:[/BR:90]],Brudnopis!$E$28:$J$28),0)</f>
        <v>0.11458333333333334</v>
      </c>
      <c r="Y78" s="35">
        <f>IF(Mecze[[#This Row],[Role]]="BR",Mecze[[#This Row],[/OB:90]]+Mecze[[#This Row],[/PC:90]],SUM(Mecze[[#This Row],[/PR:90]:[/BR:90]]))</f>
        <v>0.10416666666666667</v>
      </c>
      <c r="Z78" s="35">
        <f>IF(Mecze[[#This Row],[KC]]=0,SUM(Mecze[[#This Row],[/BRI]:[/NPI]]),SUM(Mecze[[#This Row],[/BRI]:[/NPI]])*0.6)</f>
        <v>0.60677083333333337</v>
      </c>
      <c r="AA78" s="10">
        <f>IFERROR(Mecze[[#This Row],[BR]]/Mecze[[#This Row],[ST]],0)</f>
        <v>0</v>
      </c>
      <c r="AB78">
        <f>ROUND(Mecze[[#This Row],[PD]]*Mecze[[#This Row],[%PC]],0)</f>
        <v>7</v>
      </c>
      <c r="AC78">
        <f>ROUND(Mecze[[#This Row],[OD]]*Mecze[[#This Row],[%OU]],0)</f>
        <v>1</v>
      </c>
      <c r="AD78" s="36" t="s">
        <v>272</v>
      </c>
      <c r="AE78" s="36">
        <v>5</v>
      </c>
      <c r="AF78" s="71">
        <v>4.4800000000000004</v>
      </c>
      <c r="AG78" s="37">
        <v>0</v>
      </c>
      <c r="AH78" s="37">
        <v>0</v>
      </c>
      <c r="AI78" s="37">
        <v>96</v>
      </c>
      <c r="AJ78">
        <v>3</v>
      </c>
      <c r="AK78" s="37" t="str">
        <f>VLOOKUP(Mecze[[#This Row],[Match ID]],Meczusie[Mecz]:Meczusie[RodzajMeczu],2,FALSE)</f>
        <v>Liga</v>
      </c>
    </row>
    <row r="79" spans="1:42" x14ac:dyDescent="0.25">
      <c r="A79" s="76">
        <v>11</v>
      </c>
      <c r="B79" s="3" t="s">
        <v>270</v>
      </c>
      <c r="C79" s="2" t="s">
        <v>165</v>
      </c>
      <c r="D79" s="1">
        <v>2</v>
      </c>
      <c r="E79" s="1">
        <v>3</v>
      </c>
      <c r="F79" s="1">
        <v>3</v>
      </c>
      <c r="G79" s="1">
        <v>8</v>
      </c>
      <c r="H79" s="4">
        <v>0.63</v>
      </c>
      <c r="I79" s="1">
        <v>1</v>
      </c>
      <c r="J79" s="4">
        <v>0</v>
      </c>
      <c r="K79" s="1">
        <v>0</v>
      </c>
      <c r="L79" s="1">
        <v>0</v>
      </c>
      <c r="M79" s="32">
        <f>IF(Mecze[[#This Row],[PR]]=0,0,Mecze[[#This Row],[PR]]/Mecze[[#This Row],[CZAS]])</f>
        <v>0</v>
      </c>
      <c r="N79" s="32">
        <f>IF(Mecze[[#This Row],[OU]]=0,0,Mecze[[#This Row],[OU]]/Mecze[[#This Row],[CZAS]])</f>
        <v>0</v>
      </c>
      <c r="O79" s="32">
        <f>IF(Mecze[[#This Row],[PC]]=0,0,Mecze[[#This Row],[PC]]/Mecze[[#This Row],[CZAS]])</f>
        <v>5.2083333333333336E-2</v>
      </c>
      <c r="P79" s="32">
        <f>IF(Mecze[[#This Row],[SC]]=0,0,Mecze[[#This Row],[SC]]/Mecze[[#This Row],[CZAS]])</f>
        <v>3.125E-2</v>
      </c>
      <c r="Q79" s="32">
        <f>IF(Mecze[[#This Row],[OB]]=0,0,Mecze[[#This Row],[OB]]/Mecze[[#This Row],[CZAS]])</f>
        <v>0</v>
      </c>
      <c r="R79" s="32">
        <f>IF(Mecze[[#This Row],[BR]]=0,0,Mecze[[#This Row],[BR]]/Mecze[[#This Row],[CZAS]])</f>
        <v>2.0833333333333332E-2</v>
      </c>
      <c r="S79" s="44">
        <f>IF(Mecze[[#This Row],[Role]]="BR",SUMPRODUCT(Mecze[[#This Row],[/PR:90]:[/BR:90]],Brudnopis!$E$23:$J$23),0)</f>
        <v>0</v>
      </c>
      <c r="T79" s="44">
        <f>IF(Mecze[[#This Row],[Role]]&lt;&gt;"BR",SUMPRODUCT(Mecze[[#This Row],[/PR:90]:[/BR:90]],Brudnopis!$E$24:$J$24),0)</f>
        <v>0.11458333333333334</v>
      </c>
      <c r="U79" s="44">
        <f>IF(Mecze[[#This Row],[Role]]&lt;&gt;"BR",SUMPRODUCT(Mecze[[#This Row],[/PR:90]:[/BR:90]],Brudnopis!$E$25:$J$25),0)</f>
        <v>0.140625</v>
      </c>
      <c r="V79" s="44">
        <f>IF(Mecze[[#This Row],[Role]]&lt;&gt;"BR",SUMPRODUCT(Mecze[[#This Row],[/PR:90]:[/BR:90]],Brudnopis!$E$26:$J$26),0)</f>
        <v>0.125</v>
      </c>
      <c r="W79" s="44">
        <f>IF(Mecze[[#This Row],[Role]]&lt;&gt;"BR",SUMPRODUCT(Mecze[[#This Row],[/PR:90]:[/BR:90]],Brudnopis!$E$27:$J$27),0)</f>
        <v>0.15104166666666666</v>
      </c>
      <c r="X79" s="44">
        <f>IF(Mecze[[#This Row],[Role]]&lt;&gt;"BR",SUMPRODUCT(Mecze[[#This Row],[/PR:90]:[/BR:90]],Brudnopis!$E$28:$J$28),0)</f>
        <v>0.17708333333333334</v>
      </c>
      <c r="Y79" s="35">
        <f>IF(Mecze[[#This Row],[Role]]="BR",Mecze[[#This Row],[/OB:90]]+Mecze[[#This Row],[/PC:90]],SUM(Mecze[[#This Row],[/PR:90]:[/BR:90]]))</f>
        <v>0.10416666666666667</v>
      </c>
      <c r="Z79" s="35">
        <f>IF(Mecze[[#This Row],[KC]]=0,SUM(Mecze[[#This Row],[/BRI]:[/NPI]]),SUM(Mecze[[#This Row],[/BRI]:[/NPI]])*0.6)</f>
        <v>0.70833333333333337</v>
      </c>
      <c r="AA79" s="10">
        <f>IFERROR(Mecze[[#This Row],[BR]]/Mecze[[#This Row],[ST]],0)</f>
        <v>0.66666666666666663</v>
      </c>
      <c r="AB79">
        <f>ROUND(Mecze[[#This Row],[PD]]*Mecze[[#This Row],[%PC]],0)</f>
        <v>5</v>
      </c>
      <c r="AC79">
        <f>ROUND(Mecze[[#This Row],[OD]]*Mecze[[#This Row],[%OU]],0)</f>
        <v>0</v>
      </c>
      <c r="AD79" s="36" t="s">
        <v>273</v>
      </c>
      <c r="AE79" s="36">
        <v>5</v>
      </c>
      <c r="AF79" s="71">
        <v>9.3000000000000007</v>
      </c>
      <c r="AG79" s="37">
        <v>0</v>
      </c>
      <c r="AH79" s="37">
        <v>0</v>
      </c>
      <c r="AI79" s="37">
        <v>96</v>
      </c>
      <c r="AJ79">
        <v>3</v>
      </c>
      <c r="AK79" s="37" t="str">
        <f>VLOOKUP(Mecze[[#This Row],[Match ID]],Meczusie[Mecz]:Meczusie[RodzajMeczu],2,FALSE)</f>
        <v>Liga</v>
      </c>
    </row>
    <row r="80" spans="1:42" x14ac:dyDescent="0.25">
      <c r="A80" s="76">
        <v>10</v>
      </c>
      <c r="B80" s="3" t="s">
        <v>271</v>
      </c>
      <c r="C80" s="2" t="s">
        <v>165</v>
      </c>
      <c r="D80" s="1">
        <v>0</v>
      </c>
      <c r="E80" s="1">
        <v>6</v>
      </c>
      <c r="F80" s="1">
        <v>6</v>
      </c>
      <c r="G80" s="1">
        <v>11</v>
      </c>
      <c r="H80" s="4">
        <v>0.64</v>
      </c>
      <c r="I80" s="1">
        <v>2</v>
      </c>
      <c r="J80" s="4">
        <v>0.5</v>
      </c>
      <c r="K80" s="1">
        <v>0</v>
      </c>
      <c r="L80" s="1">
        <v>1</v>
      </c>
      <c r="M80" s="32">
        <f>IF(Mecze[[#This Row],[PR]]=0,0,Mecze[[#This Row],[PR]]/Mecze[[#This Row],[CZAS]])</f>
        <v>1.0416666666666666E-2</v>
      </c>
      <c r="N80" s="32">
        <f>IF(Mecze[[#This Row],[OU]]=0,0,Mecze[[#This Row],[OU]]/Mecze[[#This Row],[CZAS]])</f>
        <v>1.0416666666666666E-2</v>
      </c>
      <c r="O80" s="32">
        <f>IF(Mecze[[#This Row],[PC]]=0,0,Mecze[[#This Row],[PC]]/Mecze[[#This Row],[CZAS]])</f>
        <v>7.2916666666666671E-2</v>
      </c>
      <c r="P80" s="32">
        <f>IF(Mecze[[#This Row],[SC]]=0,0,Mecze[[#This Row],[SC]]/Mecze[[#This Row],[CZAS]])</f>
        <v>6.25E-2</v>
      </c>
      <c r="Q80" s="32">
        <f>IF(Mecze[[#This Row],[OB]]=0,0,Mecze[[#This Row],[OB]]/Mecze[[#This Row],[CZAS]])</f>
        <v>0</v>
      </c>
      <c r="R80" s="32">
        <f>IF(Mecze[[#This Row],[BR]]=0,0,Mecze[[#This Row],[BR]]/Mecze[[#This Row],[CZAS]])</f>
        <v>0</v>
      </c>
      <c r="S80" s="44">
        <f>IF(Mecze[[#This Row],[Role]]="BR",SUMPRODUCT(Mecze[[#This Row],[/PR:90]:[/BR:90]],Brudnopis!$E$23:$J$23),0)</f>
        <v>0</v>
      </c>
      <c r="T80" s="44">
        <f>IF(Mecze[[#This Row],[Role]]&lt;&gt;"BR",SUMPRODUCT(Mecze[[#This Row],[/PR:90]:[/BR:90]],Brudnopis!$E$24:$J$24),0)</f>
        <v>0.16145833333333334</v>
      </c>
      <c r="U80" s="44">
        <f>IF(Mecze[[#This Row],[Role]]&lt;&gt;"BR",SUMPRODUCT(Mecze[[#This Row],[/PR:90]:[/BR:90]],Brudnopis!$E$25:$J$25),0)</f>
        <v>0.19270833333333334</v>
      </c>
      <c r="V80" s="44">
        <f>IF(Mecze[[#This Row],[Role]]&lt;&gt;"BR",SUMPRODUCT(Mecze[[#This Row],[/PR:90]:[/BR:90]],Brudnopis!$E$26:$J$26),0)</f>
        <v>0.15625</v>
      </c>
      <c r="W80" s="44">
        <f>IF(Mecze[[#This Row],[Role]]&lt;&gt;"BR",SUMPRODUCT(Mecze[[#This Row],[/PR:90]:[/BR:90]],Brudnopis!$E$27:$J$27),0)</f>
        <v>0.1875</v>
      </c>
      <c r="X80" s="44">
        <f>IF(Mecze[[#This Row],[Role]]&lt;&gt;"BR",SUMPRODUCT(Mecze[[#This Row],[/PR:90]:[/BR:90]],Brudnopis!$E$28:$J$28),0)</f>
        <v>0.19791666666666669</v>
      </c>
      <c r="Y80" s="35">
        <f>IF(Mecze[[#This Row],[Role]]="BR",Mecze[[#This Row],[/OB:90]]+Mecze[[#This Row],[/PC:90]],SUM(Mecze[[#This Row],[/PR:90]:[/BR:90]]))</f>
        <v>0.15625</v>
      </c>
      <c r="Z80" s="35">
        <f>IF(Mecze[[#This Row],[KC]]=0,SUM(Mecze[[#This Row],[/BRI]:[/NPI]]),SUM(Mecze[[#This Row],[/BRI]:[/NPI]])*0.6)</f>
        <v>0.89583333333333348</v>
      </c>
      <c r="AA80" s="10">
        <f>IFERROR(Mecze[[#This Row],[BR]]/Mecze[[#This Row],[ST]],0)</f>
        <v>0</v>
      </c>
      <c r="AB80">
        <f>ROUND(Mecze[[#This Row],[PD]]*Mecze[[#This Row],[%PC]],0)</f>
        <v>7</v>
      </c>
      <c r="AC80">
        <f>ROUND(Mecze[[#This Row],[OD]]*Mecze[[#This Row],[%OU]],0)</f>
        <v>1</v>
      </c>
      <c r="AD80" s="36" t="s">
        <v>46</v>
      </c>
      <c r="AE80" s="36">
        <v>5</v>
      </c>
      <c r="AF80" s="71">
        <v>5.36</v>
      </c>
      <c r="AG80" s="37">
        <v>0</v>
      </c>
      <c r="AH80" s="37">
        <v>0</v>
      </c>
      <c r="AI80" s="37">
        <v>96</v>
      </c>
      <c r="AJ80">
        <v>3</v>
      </c>
      <c r="AK80" s="37" t="str">
        <f>VLOOKUP(Mecze[[#This Row],[Match ID]],Meczusie[Mecz]:Meczusie[RodzajMeczu],2,FALSE)</f>
        <v>Liga</v>
      </c>
    </row>
    <row r="81" spans="1:37" x14ac:dyDescent="0.25">
      <c r="A81" s="76">
        <v>1</v>
      </c>
      <c r="B81" s="3" t="s">
        <v>274</v>
      </c>
      <c r="C81" s="2" t="s">
        <v>155</v>
      </c>
      <c r="D81" s="1">
        <v>0</v>
      </c>
      <c r="E81" s="1">
        <v>0</v>
      </c>
      <c r="F81" s="1">
        <v>0</v>
      </c>
      <c r="G81" s="1">
        <v>8</v>
      </c>
      <c r="H81" s="4">
        <v>0.63</v>
      </c>
      <c r="I81" s="1">
        <v>0</v>
      </c>
      <c r="J81" s="4"/>
      <c r="K81" s="1">
        <v>10</v>
      </c>
      <c r="L81" s="1">
        <v>0</v>
      </c>
      <c r="M81" s="32">
        <f>IF(Mecze[[#This Row],[PR]]=0,0,Mecze[[#This Row],[PR]]/Mecze[[#This Row],[CZAS]])</f>
        <v>0</v>
      </c>
      <c r="N81" s="32">
        <f>IF(Mecze[[#This Row],[OU]]=0,0,Mecze[[#This Row],[OU]]/Mecze[[#This Row],[CZAS]])</f>
        <v>0</v>
      </c>
      <c r="O81" s="32">
        <f>IF(Mecze[[#This Row],[PC]]=0,0,Mecze[[#This Row],[PC]]/Mecze[[#This Row],[CZAS]])</f>
        <v>5.2083333333333336E-2</v>
      </c>
      <c r="P81" s="32">
        <f>IF(Mecze[[#This Row],[SC]]=0,0,Mecze[[#This Row],[SC]]/Mecze[[#This Row],[CZAS]])</f>
        <v>0</v>
      </c>
      <c r="Q81" s="32">
        <f>IF(Mecze[[#This Row],[OB]]=0,0,Mecze[[#This Row],[OB]]/Mecze[[#This Row],[CZAS]])</f>
        <v>0.10416666666666667</v>
      </c>
      <c r="R81" s="32">
        <f>IF(Mecze[[#This Row],[BR]]=0,0,Mecze[[#This Row],[BR]]/Mecze[[#This Row],[CZAS]])</f>
        <v>0</v>
      </c>
      <c r="S81" s="44">
        <f>IF(Mecze[[#This Row],[Role]]="BR",SUMPRODUCT(Mecze[[#This Row],[/PR:90]:[/BR:90]],Brudnopis!$E$23:$J$23),0)</f>
        <v>0.46875</v>
      </c>
      <c r="T81" s="44">
        <f>IF(Mecze[[#This Row],[Role]]&lt;&gt;"BR",SUMPRODUCT(Mecze[[#This Row],[/PR:90]:[/BR:90]],Brudnopis!$E$24:$J$24),0)</f>
        <v>0</v>
      </c>
      <c r="U81" s="44">
        <f>IF(Mecze[[#This Row],[Role]]&lt;&gt;"BR",SUMPRODUCT(Mecze[[#This Row],[/PR:90]:[/BR:90]],Brudnopis!$E$25:$J$25),0)</f>
        <v>0</v>
      </c>
      <c r="V81" s="44">
        <f>IF(Mecze[[#This Row],[Role]]&lt;&gt;"BR",SUMPRODUCT(Mecze[[#This Row],[/PR:90]:[/BR:90]],Brudnopis!$E$26:$J$26),0)</f>
        <v>0</v>
      </c>
      <c r="W81" s="44">
        <f>IF(Mecze[[#This Row],[Role]]&lt;&gt;"BR",SUMPRODUCT(Mecze[[#This Row],[/PR:90]:[/BR:90]],Brudnopis!$E$27:$J$27),0)</f>
        <v>0</v>
      </c>
      <c r="X81" s="44">
        <f>IF(Mecze[[#This Row],[Role]]&lt;&gt;"BR",SUMPRODUCT(Mecze[[#This Row],[/PR:90]:[/BR:90]],Brudnopis!$E$28:$J$28),0)</f>
        <v>0</v>
      </c>
      <c r="Y81" s="35">
        <f>IF(Mecze[[#This Row],[Role]]="BR",Mecze[[#This Row],[/OB:90]]+Mecze[[#This Row],[/PC:90]],SUM(Mecze[[#This Row],[/PR:90]:[/BR:90]]))</f>
        <v>0.15625</v>
      </c>
      <c r="Z81" s="35">
        <f>IF(Mecze[[#This Row],[KC]]=0,SUM(Mecze[[#This Row],[/BRI]:[/NPI]]),SUM(Mecze[[#This Row],[/BRI]:[/NPI]])*0.6)</f>
        <v>0.46875</v>
      </c>
      <c r="AA81" s="10">
        <f>IFERROR(Mecze[[#This Row],[BR]]/Mecze[[#This Row],[ST]],0)</f>
        <v>0</v>
      </c>
      <c r="AB81">
        <f>ROUND(Mecze[[#This Row],[PD]]*Mecze[[#This Row],[%PC]],0)</f>
        <v>5</v>
      </c>
      <c r="AC81">
        <f>ROUND(Mecze[[#This Row],[OD]]*Mecze[[#This Row],[%OU]],0)</f>
        <v>0</v>
      </c>
      <c r="AD81" s="36" t="s">
        <v>40</v>
      </c>
      <c r="AE81" s="36">
        <v>5</v>
      </c>
      <c r="AF81" s="71">
        <v>7.53</v>
      </c>
      <c r="AG81" s="37">
        <v>0</v>
      </c>
      <c r="AH81" s="37">
        <v>0</v>
      </c>
      <c r="AI81" s="37">
        <v>96</v>
      </c>
      <c r="AJ81">
        <v>4</v>
      </c>
      <c r="AK81" s="37" t="str">
        <f>VLOOKUP(Mecze[[#This Row],[Match ID]],Meczusie[Mecz]:Meczusie[RodzajMeczu],2,FALSE)</f>
        <v>Liga</v>
      </c>
    </row>
    <row r="82" spans="1:37" x14ac:dyDescent="0.25">
      <c r="A82" s="76">
        <v>9</v>
      </c>
      <c r="B82" s="3" t="s">
        <v>275</v>
      </c>
      <c r="C82" s="2" t="s">
        <v>157</v>
      </c>
      <c r="D82" s="1">
        <v>0</v>
      </c>
      <c r="E82" s="1">
        <v>0</v>
      </c>
      <c r="F82" s="1">
        <v>0</v>
      </c>
      <c r="G82" s="1">
        <v>9</v>
      </c>
      <c r="H82" s="4">
        <v>0.78</v>
      </c>
      <c r="I82" s="1">
        <v>7</v>
      </c>
      <c r="J82" s="4">
        <v>0.56999999999999995</v>
      </c>
      <c r="K82" s="1">
        <v>0</v>
      </c>
      <c r="L82" s="1">
        <v>5</v>
      </c>
      <c r="M82" s="32">
        <f>IF(Mecze[[#This Row],[PR]]=0,0,Mecze[[#This Row],[PR]]/Mecze[[#This Row],[CZAS]])</f>
        <v>5.2083333333333336E-2</v>
      </c>
      <c r="N82" s="32">
        <f>IF(Mecze[[#This Row],[OU]]=0,0,Mecze[[#This Row],[OU]]/Mecze[[#This Row],[CZAS]])</f>
        <v>4.1666666666666664E-2</v>
      </c>
      <c r="O82" s="32">
        <f>IF(Mecze[[#This Row],[PC]]=0,0,Mecze[[#This Row],[PC]]/Mecze[[#This Row],[CZAS]])</f>
        <v>7.2916666666666671E-2</v>
      </c>
      <c r="P82" s="32">
        <f>IF(Mecze[[#This Row],[SC]]=0,0,Mecze[[#This Row],[SC]]/Mecze[[#This Row],[CZAS]])</f>
        <v>0</v>
      </c>
      <c r="Q82" s="32">
        <f>IF(Mecze[[#This Row],[OB]]=0,0,Mecze[[#This Row],[OB]]/Mecze[[#This Row],[CZAS]])</f>
        <v>0</v>
      </c>
      <c r="R82" s="32">
        <f>IF(Mecze[[#This Row],[BR]]=0,0,Mecze[[#This Row],[BR]]/Mecze[[#This Row],[CZAS]])</f>
        <v>0</v>
      </c>
      <c r="S82" s="44">
        <f>IF(Mecze[[#This Row],[Role]]="BR",SUMPRODUCT(Mecze[[#This Row],[/PR:90]:[/BR:90]],Brudnopis!$E$23:$J$23),0)</f>
        <v>0</v>
      </c>
      <c r="T82" s="44">
        <f>IF(Mecze[[#This Row],[Role]]&lt;&gt;"BR",SUMPRODUCT(Mecze[[#This Row],[/PR:90]:[/BR:90]],Brudnopis!$E$24:$J$24),0)</f>
        <v>0.1875</v>
      </c>
      <c r="U82" s="44">
        <f>IF(Mecze[[#This Row],[Role]]&lt;&gt;"BR",SUMPRODUCT(Mecze[[#This Row],[/PR:90]:[/BR:90]],Brudnopis!$E$25:$J$25),0)</f>
        <v>0.203125</v>
      </c>
      <c r="V82" s="44">
        <f>IF(Mecze[[#This Row],[Role]]&lt;&gt;"BR",SUMPRODUCT(Mecze[[#This Row],[/PR:90]:[/BR:90]],Brudnopis!$E$26:$J$26),0)</f>
        <v>0.16666666666666669</v>
      </c>
      <c r="W82" s="44">
        <f>IF(Mecze[[#This Row],[Role]]&lt;&gt;"BR",SUMPRODUCT(Mecze[[#This Row],[/PR:90]:[/BR:90]],Brudnopis!$E$27:$J$27),0)</f>
        <v>0.1796875</v>
      </c>
      <c r="X82" s="44">
        <f>IF(Mecze[[#This Row],[Role]]&lt;&gt;"BR",SUMPRODUCT(Mecze[[#This Row],[/PR:90]:[/BR:90]],Brudnopis!$E$28:$J$28),0)</f>
        <v>7.2916666666666671E-2</v>
      </c>
      <c r="Y82" s="35">
        <f>IF(Mecze[[#This Row],[Role]]="BR",Mecze[[#This Row],[/OB:90]]+Mecze[[#This Row],[/PC:90]],SUM(Mecze[[#This Row],[/PR:90]:[/BR:90]]))</f>
        <v>0.16666666666666669</v>
      </c>
      <c r="Z82" s="35">
        <f>IF(Mecze[[#This Row],[KC]]=0,SUM(Mecze[[#This Row],[/BRI]:[/NPI]]),SUM(Mecze[[#This Row],[/BRI]:[/NPI]])*0.6)</f>
        <v>0.80989583333333337</v>
      </c>
      <c r="AA82" s="10">
        <f>IFERROR(Mecze[[#This Row],[BR]]/Mecze[[#This Row],[ST]],0)</f>
        <v>0</v>
      </c>
      <c r="AB82">
        <f>ROUND(Mecze[[#This Row],[PD]]*Mecze[[#This Row],[%PC]],0)</f>
        <v>7</v>
      </c>
      <c r="AC82">
        <f>ROUND(Mecze[[#This Row],[OD]]*Mecze[[#This Row],[%OU]],0)</f>
        <v>4</v>
      </c>
      <c r="AD82" s="36" t="s">
        <v>47</v>
      </c>
      <c r="AE82" s="36">
        <v>5</v>
      </c>
      <c r="AF82" s="71">
        <v>4.9800000000000004</v>
      </c>
      <c r="AG82" s="37">
        <v>0</v>
      </c>
      <c r="AH82" s="37">
        <v>0</v>
      </c>
      <c r="AI82" s="37">
        <v>96</v>
      </c>
      <c r="AJ82">
        <v>4</v>
      </c>
      <c r="AK82" s="37" t="str">
        <f>VLOOKUP(Mecze[[#This Row],[Match ID]],Meczusie[Mecz]:Meczusie[RodzajMeczu],2,FALSE)</f>
        <v>Liga</v>
      </c>
    </row>
    <row r="83" spans="1:37" x14ac:dyDescent="0.25">
      <c r="A83" s="76">
        <v>4</v>
      </c>
      <c r="B83" s="3" t="s">
        <v>276</v>
      </c>
      <c r="C83" s="2" t="s">
        <v>157</v>
      </c>
      <c r="D83" s="1">
        <v>0</v>
      </c>
      <c r="E83" s="1">
        <v>0</v>
      </c>
      <c r="F83" s="1">
        <v>0</v>
      </c>
      <c r="G83" s="1">
        <v>7</v>
      </c>
      <c r="H83" s="4">
        <v>0.71</v>
      </c>
      <c r="I83" s="1">
        <v>4</v>
      </c>
      <c r="J83" s="4">
        <v>0.25</v>
      </c>
      <c r="K83" s="1">
        <v>0</v>
      </c>
      <c r="L83" s="1">
        <v>7</v>
      </c>
      <c r="M83" s="32">
        <f>IF(Mecze[[#This Row],[PR]]=0,0,Mecze[[#This Row],[PR]]/Mecze[[#This Row],[CZAS]])</f>
        <v>7.2916666666666671E-2</v>
      </c>
      <c r="N83" s="32">
        <f>IF(Mecze[[#This Row],[OU]]=0,0,Mecze[[#This Row],[OU]]/Mecze[[#This Row],[CZAS]])</f>
        <v>1.0416666666666666E-2</v>
      </c>
      <c r="O83" s="32">
        <f>IF(Mecze[[#This Row],[PC]]=0,0,Mecze[[#This Row],[PC]]/Mecze[[#This Row],[CZAS]])</f>
        <v>5.2083333333333336E-2</v>
      </c>
      <c r="P83" s="32">
        <f>IF(Mecze[[#This Row],[SC]]=0,0,Mecze[[#This Row],[SC]]/Mecze[[#This Row],[CZAS]])</f>
        <v>0</v>
      </c>
      <c r="Q83" s="32">
        <f>IF(Mecze[[#This Row],[OB]]=0,0,Mecze[[#This Row],[OB]]/Mecze[[#This Row],[CZAS]])</f>
        <v>0</v>
      </c>
      <c r="R83" s="32">
        <f>IF(Mecze[[#This Row],[BR]]=0,0,Mecze[[#This Row],[BR]]/Mecze[[#This Row],[CZAS]])</f>
        <v>0</v>
      </c>
      <c r="S83" s="44">
        <f>IF(Mecze[[#This Row],[Role]]="BR",SUMPRODUCT(Mecze[[#This Row],[/PR:90]:[/BR:90]],Brudnopis!$E$23:$J$23),0)</f>
        <v>0</v>
      </c>
      <c r="T83" s="44">
        <f>IF(Mecze[[#This Row],[Role]]&lt;&gt;"BR",SUMPRODUCT(Mecze[[#This Row],[/PR:90]:[/BR:90]],Brudnopis!$E$24:$J$24),0)</f>
        <v>0.140625</v>
      </c>
      <c r="U83" s="44">
        <f>IF(Mecze[[#This Row],[Role]]&lt;&gt;"BR",SUMPRODUCT(Mecze[[#This Row],[/PR:90]:[/BR:90]],Brudnopis!$E$25:$J$25),0)</f>
        <v>0.16145833333333334</v>
      </c>
      <c r="V83" s="44">
        <f>IF(Mecze[[#This Row],[Role]]&lt;&gt;"BR",SUMPRODUCT(Mecze[[#This Row],[/PR:90]:[/BR:90]],Brudnopis!$E$26:$J$26),0)</f>
        <v>0.13541666666666669</v>
      </c>
      <c r="W83" s="44">
        <f>IF(Mecze[[#This Row],[Role]]&lt;&gt;"BR",SUMPRODUCT(Mecze[[#This Row],[/PR:90]:[/BR:90]],Brudnopis!$E$27:$J$27),0)</f>
        <v>0.140625</v>
      </c>
      <c r="X83" s="44">
        <f>IF(Mecze[[#This Row],[Role]]&lt;&gt;"BR",SUMPRODUCT(Mecze[[#This Row],[/PR:90]:[/BR:90]],Brudnopis!$E$28:$J$28),0)</f>
        <v>5.2083333333333336E-2</v>
      </c>
      <c r="Y83" s="35">
        <f>IF(Mecze[[#This Row],[Role]]="BR",Mecze[[#This Row],[/OB:90]]+Mecze[[#This Row],[/PC:90]],SUM(Mecze[[#This Row],[/PR:90]:[/BR:90]]))</f>
        <v>0.13541666666666669</v>
      </c>
      <c r="Z83" s="35">
        <f>IF(Mecze[[#This Row],[KC]]=0,SUM(Mecze[[#This Row],[/BRI]:[/NPI]]),SUM(Mecze[[#This Row],[/BRI]:[/NPI]])*0.6)</f>
        <v>0.63020833333333337</v>
      </c>
      <c r="AA83" s="10">
        <f>IFERROR(Mecze[[#This Row],[BR]]/Mecze[[#This Row],[ST]],0)</f>
        <v>0</v>
      </c>
      <c r="AB83">
        <f>ROUND(Mecze[[#This Row],[PD]]*Mecze[[#This Row],[%PC]],0)</f>
        <v>5</v>
      </c>
      <c r="AC83">
        <f>ROUND(Mecze[[#This Row],[OD]]*Mecze[[#This Row],[%OU]],0)</f>
        <v>1</v>
      </c>
      <c r="AD83" s="36" t="s">
        <v>168</v>
      </c>
      <c r="AE83" s="36">
        <v>5</v>
      </c>
      <c r="AF83" s="71">
        <v>4.28</v>
      </c>
      <c r="AG83" s="37">
        <v>0</v>
      </c>
      <c r="AH83" s="37">
        <v>0</v>
      </c>
      <c r="AI83" s="37">
        <v>96</v>
      </c>
      <c r="AJ83">
        <v>4</v>
      </c>
      <c r="AK83" s="37" t="str">
        <f>VLOOKUP(Mecze[[#This Row],[Match ID]],Meczusie[Mecz]:Meczusie[RodzajMeczu],2,FALSE)</f>
        <v>Liga</v>
      </c>
    </row>
    <row r="84" spans="1:37" x14ac:dyDescent="0.25">
      <c r="A84" s="76">
        <v>5</v>
      </c>
      <c r="B84" s="3" t="s">
        <v>277</v>
      </c>
      <c r="C84" s="2" t="s">
        <v>157</v>
      </c>
      <c r="D84" s="1">
        <v>0</v>
      </c>
      <c r="E84" s="1">
        <v>0</v>
      </c>
      <c r="F84" s="1">
        <v>0</v>
      </c>
      <c r="G84" s="1">
        <v>9</v>
      </c>
      <c r="H84" s="4">
        <v>0.78</v>
      </c>
      <c r="I84" s="1">
        <v>6</v>
      </c>
      <c r="J84" s="4">
        <v>0.5</v>
      </c>
      <c r="K84" s="1">
        <v>0</v>
      </c>
      <c r="L84" s="1">
        <v>6</v>
      </c>
      <c r="M84" s="32">
        <f>IF(Mecze[[#This Row],[PR]]=0,0,Mecze[[#This Row],[PR]]/Mecze[[#This Row],[CZAS]])</f>
        <v>6.8181818181818177E-2</v>
      </c>
      <c r="N84" s="32">
        <f>IF(Mecze[[#This Row],[OU]]=0,0,Mecze[[#This Row],[OU]]/Mecze[[#This Row],[CZAS]])</f>
        <v>3.4090909090909088E-2</v>
      </c>
      <c r="O84" s="32">
        <f>IF(Mecze[[#This Row],[PC]]=0,0,Mecze[[#This Row],[PC]]/Mecze[[#This Row],[CZAS]])</f>
        <v>7.9545454545454544E-2</v>
      </c>
      <c r="P84" s="32">
        <f>IF(Mecze[[#This Row],[SC]]=0,0,Mecze[[#This Row],[SC]]/Mecze[[#This Row],[CZAS]])</f>
        <v>0</v>
      </c>
      <c r="Q84" s="32">
        <f>IF(Mecze[[#This Row],[OB]]=0,0,Mecze[[#This Row],[OB]]/Mecze[[#This Row],[CZAS]])</f>
        <v>0</v>
      </c>
      <c r="R84" s="32">
        <f>IF(Mecze[[#This Row],[BR]]=0,0,Mecze[[#This Row],[BR]]/Mecze[[#This Row],[CZAS]])</f>
        <v>0</v>
      </c>
      <c r="S84" s="44">
        <f>IF(Mecze[[#This Row],[Role]]="BR",SUMPRODUCT(Mecze[[#This Row],[/PR:90]:[/BR:90]],Brudnopis!$E$23:$J$23),0)</f>
        <v>0</v>
      </c>
      <c r="T84" s="44">
        <f>IF(Mecze[[#This Row],[Role]]&lt;&gt;"BR",SUMPRODUCT(Mecze[[#This Row],[/PR:90]:[/BR:90]],Brudnopis!$E$24:$J$24),0)</f>
        <v>0.19886363636363635</v>
      </c>
      <c r="U84" s="44">
        <f>IF(Mecze[[#This Row],[Role]]&lt;&gt;"BR",SUMPRODUCT(Mecze[[#This Row],[/PR:90]:[/BR:90]],Brudnopis!$E$25:$J$25),0)</f>
        <v>0.22159090909090909</v>
      </c>
      <c r="V84" s="44">
        <f>IF(Mecze[[#This Row],[Role]]&lt;&gt;"BR",SUMPRODUCT(Mecze[[#This Row],[/PR:90]:[/BR:90]],Brudnopis!$E$26:$J$26),0)</f>
        <v>0.18181818181818182</v>
      </c>
      <c r="W84" s="44">
        <f>IF(Mecze[[#This Row],[Role]]&lt;&gt;"BR",SUMPRODUCT(Mecze[[#This Row],[/PR:90]:[/BR:90]],Brudnopis!$E$27:$J$27),0)</f>
        <v>0.19602272727272727</v>
      </c>
      <c r="X84" s="44">
        <f>IF(Mecze[[#This Row],[Role]]&lt;&gt;"BR",SUMPRODUCT(Mecze[[#This Row],[/PR:90]:[/BR:90]],Brudnopis!$E$28:$J$28),0)</f>
        <v>7.9545454545454544E-2</v>
      </c>
      <c r="Y84" s="35">
        <f>IF(Mecze[[#This Row],[Role]]="BR",Mecze[[#This Row],[/OB:90]]+Mecze[[#This Row],[/PC:90]],SUM(Mecze[[#This Row],[/PR:90]:[/BR:90]]))</f>
        <v>0.18181818181818182</v>
      </c>
      <c r="Z84" s="35">
        <f>IF(Mecze[[#This Row],[KC]]=0,SUM(Mecze[[#This Row],[/BRI]:[/NPI]]),SUM(Mecze[[#This Row],[/BRI]:[/NPI]])*0.6)</f>
        <v>0.87784090909090917</v>
      </c>
      <c r="AA84" s="10">
        <f>IFERROR(Mecze[[#This Row],[BR]]/Mecze[[#This Row],[ST]],0)</f>
        <v>0</v>
      </c>
      <c r="AB84">
        <f>ROUND(Mecze[[#This Row],[PD]]*Mecze[[#This Row],[%PC]],0)</f>
        <v>7</v>
      </c>
      <c r="AC84">
        <f>ROUND(Mecze[[#This Row],[OD]]*Mecze[[#This Row],[%OU]],0)</f>
        <v>3</v>
      </c>
      <c r="AD84" s="36" t="s">
        <v>167</v>
      </c>
      <c r="AE84" s="36">
        <v>5</v>
      </c>
      <c r="AF84" s="71">
        <v>5.19</v>
      </c>
      <c r="AG84" s="37">
        <v>0</v>
      </c>
      <c r="AH84" s="37">
        <v>0</v>
      </c>
      <c r="AI84" s="37">
        <v>88</v>
      </c>
      <c r="AJ84">
        <v>4</v>
      </c>
      <c r="AK84" s="37" t="str">
        <f>VLOOKUP(Mecze[[#This Row],[Match ID]],Meczusie[Mecz]:Meczusie[RodzajMeczu],2,FALSE)</f>
        <v>Liga</v>
      </c>
    </row>
    <row r="85" spans="1:37" x14ac:dyDescent="0.25">
      <c r="A85" s="76">
        <v>12</v>
      </c>
      <c r="B85" s="3" t="s">
        <v>278</v>
      </c>
      <c r="C85" s="2" t="s">
        <v>160</v>
      </c>
      <c r="D85" s="1">
        <v>0</v>
      </c>
      <c r="E85" s="1">
        <v>0</v>
      </c>
      <c r="F85" s="1">
        <v>0</v>
      </c>
      <c r="G85" s="1">
        <v>10</v>
      </c>
      <c r="H85" s="4">
        <v>0.9</v>
      </c>
      <c r="I85" s="1">
        <v>6</v>
      </c>
      <c r="J85" s="4">
        <v>0.67</v>
      </c>
      <c r="K85" s="1">
        <v>0</v>
      </c>
      <c r="L85" s="1">
        <v>0</v>
      </c>
      <c r="M85" s="32">
        <f>IF(Mecze[[#This Row],[PR]]=0,0,Mecze[[#This Row],[PR]]/Mecze[[#This Row],[CZAS]])</f>
        <v>0</v>
      </c>
      <c r="N85" s="32">
        <f>IF(Mecze[[#This Row],[OU]]=0,0,Mecze[[#This Row],[OU]]/Mecze[[#This Row],[CZAS]])</f>
        <v>4.1666666666666664E-2</v>
      </c>
      <c r="O85" s="32">
        <f>IF(Mecze[[#This Row],[PC]]=0,0,Mecze[[#This Row],[PC]]/Mecze[[#This Row],[CZAS]])</f>
        <v>9.375E-2</v>
      </c>
      <c r="P85" s="32">
        <f>IF(Mecze[[#This Row],[SC]]=0,0,Mecze[[#This Row],[SC]]/Mecze[[#This Row],[CZAS]])</f>
        <v>0</v>
      </c>
      <c r="Q85" s="32">
        <f>IF(Mecze[[#This Row],[OB]]=0,0,Mecze[[#This Row],[OB]]/Mecze[[#This Row],[CZAS]])</f>
        <v>0</v>
      </c>
      <c r="R85" s="73">
        <f>IF(Mecze[[#This Row],[BR]]=0,0,Mecze[[#This Row],[BR]]/Mecze[[#This Row],[CZAS]])</f>
        <v>0</v>
      </c>
      <c r="S85" s="44">
        <f>IF(Mecze[[#This Row],[Role]]="BR",SUMPRODUCT(Mecze[[#This Row],[/PR:90]:[/BR:90]],Brudnopis!$E$23:$J$23),0)</f>
        <v>0</v>
      </c>
      <c r="T85" s="44">
        <f>IF(Mecze[[#This Row],[Role]]&lt;&gt;"BR",SUMPRODUCT(Mecze[[#This Row],[/PR:90]:[/BR:90]],Brudnopis!$E$24:$J$24),0)</f>
        <v>0.15625</v>
      </c>
      <c r="U85" s="44">
        <f>IF(Mecze[[#This Row],[Role]]&lt;&gt;"BR",SUMPRODUCT(Mecze[[#This Row],[/PR:90]:[/BR:90]],Brudnopis!$E$25:$J$25),0)</f>
        <v>0.18229166666666666</v>
      </c>
      <c r="V85" s="44">
        <f>IF(Mecze[[#This Row],[Role]]&lt;&gt;"BR",SUMPRODUCT(Mecze[[#This Row],[/PR:90]:[/BR:90]],Brudnopis!$E$26:$J$26),0)</f>
        <v>0.13541666666666666</v>
      </c>
      <c r="W85" s="44">
        <f>IF(Mecze[[#This Row],[Role]]&lt;&gt;"BR",SUMPRODUCT(Mecze[[#This Row],[/PR:90]:[/BR:90]],Brudnopis!$E$27:$J$27),0)</f>
        <v>0.171875</v>
      </c>
      <c r="X85" s="44">
        <f>IF(Mecze[[#This Row],[Role]]&lt;&gt;"BR",SUMPRODUCT(Mecze[[#This Row],[/PR:90]:[/BR:90]],Brudnopis!$E$28:$J$28),0)</f>
        <v>9.375E-2</v>
      </c>
      <c r="Y85" s="35">
        <f>IF(Mecze[[#This Row],[Role]]="BR",Mecze[[#This Row],[/OB:90]]+Mecze[[#This Row],[/PC:90]],SUM(Mecze[[#This Row],[/PR:90]:[/BR:90]]))</f>
        <v>0.13541666666666666</v>
      </c>
      <c r="Z85" s="35">
        <f>IF(Mecze[[#This Row],[KC]]=0,SUM(Mecze[[#This Row],[/BRI]:[/NPI]]),SUM(Mecze[[#This Row],[/BRI]:[/NPI]])*0.6)</f>
        <v>0.73958333333333326</v>
      </c>
      <c r="AA85" s="10">
        <f>IFERROR(Mecze[[#This Row],[BR]]/Mecze[[#This Row],[ST]],0)</f>
        <v>0</v>
      </c>
      <c r="AB85">
        <f>ROUND(Mecze[[#This Row],[PD]]*Mecze[[#This Row],[%PC]],0)</f>
        <v>9</v>
      </c>
      <c r="AC85">
        <f>ROUND(Mecze[[#This Row],[OD]]*Mecze[[#This Row],[%OU]],0)</f>
        <v>4</v>
      </c>
      <c r="AD85" s="36" t="s">
        <v>41</v>
      </c>
      <c r="AE85" s="36">
        <v>5</v>
      </c>
      <c r="AF85" s="71">
        <v>6.04</v>
      </c>
      <c r="AG85" s="37">
        <v>0</v>
      </c>
      <c r="AH85" s="37">
        <v>0</v>
      </c>
      <c r="AI85" s="37">
        <v>96</v>
      </c>
      <c r="AJ85">
        <v>4</v>
      </c>
      <c r="AK85" s="37" t="str">
        <f>VLOOKUP(Mecze[[#This Row],[Match ID]],Meczusie[Mecz]:Meczusie[RodzajMeczu],2,FALSE)</f>
        <v>Liga</v>
      </c>
    </row>
    <row r="86" spans="1:37" x14ac:dyDescent="0.25">
      <c r="A86" s="76">
        <v>7</v>
      </c>
      <c r="B86" s="3" t="s">
        <v>279</v>
      </c>
      <c r="C86" s="2" t="s">
        <v>160</v>
      </c>
      <c r="D86" s="1">
        <v>0</v>
      </c>
      <c r="E86" s="1">
        <v>0</v>
      </c>
      <c r="F86" s="1">
        <v>0</v>
      </c>
      <c r="G86" s="1">
        <v>9</v>
      </c>
      <c r="H86" s="4">
        <v>0.89</v>
      </c>
      <c r="I86" s="1">
        <v>5</v>
      </c>
      <c r="J86" s="4">
        <v>0</v>
      </c>
      <c r="K86" s="1">
        <v>0</v>
      </c>
      <c r="L86" s="1">
        <v>4</v>
      </c>
      <c r="M86" s="32">
        <f>IF(Mecze[[#This Row],[PR]]=0,0,Mecze[[#This Row],[PR]]/Mecze[[#This Row],[CZAS]])</f>
        <v>4.1666666666666664E-2</v>
      </c>
      <c r="N86" s="32">
        <f>IF(Mecze[[#This Row],[OU]]=0,0,Mecze[[#This Row],[OU]]/Mecze[[#This Row],[CZAS]])</f>
        <v>0</v>
      </c>
      <c r="O86" s="32">
        <f>IF(Mecze[[#This Row],[PC]]=0,0,Mecze[[#This Row],[PC]]/Mecze[[#This Row],[CZAS]])</f>
        <v>8.3333333333333329E-2</v>
      </c>
      <c r="P86" s="32">
        <f>IF(Mecze[[#This Row],[SC]]=0,0,Mecze[[#This Row],[SC]]/Mecze[[#This Row],[CZAS]])</f>
        <v>0</v>
      </c>
      <c r="Q86" s="32">
        <f>IF(Mecze[[#This Row],[OB]]=0,0,Mecze[[#This Row],[OB]]/Mecze[[#This Row],[CZAS]])</f>
        <v>0</v>
      </c>
      <c r="R86" s="73">
        <f>IF(Mecze[[#This Row],[BR]]=0,0,Mecze[[#This Row],[BR]]/Mecze[[#This Row],[CZAS]])</f>
        <v>0</v>
      </c>
      <c r="S86" s="44">
        <f>IF(Mecze[[#This Row],[Role]]="BR",SUMPRODUCT(Mecze[[#This Row],[/PR:90]:[/BR:90]],Brudnopis!$E$23:$J$23),0)</f>
        <v>0</v>
      </c>
      <c r="T86" s="44">
        <f>IF(Mecze[[#This Row],[Role]]&lt;&gt;"BR",SUMPRODUCT(Mecze[[#This Row],[/PR:90]:[/BR:90]],Brudnopis!$E$24:$J$24),0)</f>
        <v>0.125</v>
      </c>
      <c r="U86" s="44">
        <f>IF(Mecze[[#This Row],[Role]]&lt;&gt;"BR",SUMPRODUCT(Mecze[[#This Row],[/PR:90]:[/BR:90]],Brudnopis!$E$25:$J$25),0)</f>
        <v>0.16666666666666666</v>
      </c>
      <c r="V86" s="44">
        <f>IF(Mecze[[#This Row],[Role]]&lt;&gt;"BR",SUMPRODUCT(Mecze[[#This Row],[/PR:90]:[/BR:90]],Brudnopis!$E$26:$J$26),0)</f>
        <v>0.125</v>
      </c>
      <c r="W86" s="44">
        <f>IF(Mecze[[#This Row],[Role]]&lt;&gt;"BR",SUMPRODUCT(Mecze[[#This Row],[/PR:90]:[/BR:90]],Brudnopis!$E$27:$J$27),0)</f>
        <v>0.15625</v>
      </c>
      <c r="X86" s="44">
        <f>IF(Mecze[[#This Row],[Role]]&lt;&gt;"BR",SUMPRODUCT(Mecze[[#This Row],[/PR:90]:[/BR:90]],Brudnopis!$E$28:$J$28),0)</f>
        <v>8.3333333333333329E-2</v>
      </c>
      <c r="Y86" s="35">
        <f>IF(Mecze[[#This Row],[Role]]="BR",Mecze[[#This Row],[/OB:90]]+Mecze[[#This Row],[/PC:90]],SUM(Mecze[[#This Row],[/PR:90]:[/BR:90]]))</f>
        <v>0.125</v>
      </c>
      <c r="Z86" s="35">
        <f>IF(Mecze[[#This Row],[KC]]=0,SUM(Mecze[[#This Row],[/BRI]:[/NPI]]),SUM(Mecze[[#This Row],[/BRI]:[/NPI]])*0.6)</f>
        <v>0.65625</v>
      </c>
      <c r="AA86" s="10">
        <f>IFERROR(Mecze[[#This Row],[BR]]/Mecze[[#This Row],[ST]],0)</f>
        <v>0</v>
      </c>
      <c r="AB86">
        <f>ROUND(Mecze[[#This Row],[PD]]*Mecze[[#This Row],[%PC]],0)</f>
        <v>8</v>
      </c>
      <c r="AC86">
        <f>ROUND(Mecze[[#This Row],[OD]]*Mecze[[#This Row],[%OU]],0)</f>
        <v>0</v>
      </c>
      <c r="AD86" s="36" t="s">
        <v>41</v>
      </c>
      <c r="AE86" s="36">
        <v>5</v>
      </c>
      <c r="AF86" s="71">
        <v>6.88</v>
      </c>
      <c r="AG86" s="37">
        <v>0</v>
      </c>
      <c r="AH86" s="37">
        <v>0</v>
      </c>
      <c r="AI86" s="37">
        <v>96</v>
      </c>
      <c r="AJ86">
        <v>4</v>
      </c>
      <c r="AK86" s="37" t="str">
        <f>VLOOKUP(Mecze[[#This Row],[Match ID]],Meczusie[Mecz]:Meczusie[RodzajMeczu],2,FALSE)</f>
        <v>Liga</v>
      </c>
    </row>
    <row r="87" spans="1:37" x14ac:dyDescent="0.25">
      <c r="A87" s="76">
        <v>6</v>
      </c>
      <c r="B87" s="3" t="s">
        <v>280</v>
      </c>
      <c r="C87" s="2" t="s">
        <v>160</v>
      </c>
      <c r="D87" s="1">
        <v>0</v>
      </c>
      <c r="E87" s="1">
        <v>5</v>
      </c>
      <c r="F87" s="1">
        <v>3</v>
      </c>
      <c r="G87" s="1">
        <v>18</v>
      </c>
      <c r="H87" s="4">
        <v>0.78</v>
      </c>
      <c r="I87" s="1">
        <v>13</v>
      </c>
      <c r="J87" s="4">
        <v>0.62</v>
      </c>
      <c r="K87" s="1">
        <v>0</v>
      </c>
      <c r="L87" s="1">
        <v>2</v>
      </c>
      <c r="M87" s="32">
        <f>IF(Mecze[[#This Row],[PR]]=0,0,Mecze[[#This Row],[PR]]/Mecze[[#This Row],[CZAS]])</f>
        <v>2.0833333333333332E-2</v>
      </c>
      <c r="N87" s="32">
        <f>IF(Mecze[[#This Row],[OU]]=0,0,Mecze[[#This Row],[OU]]/Mecze[[#This Row],[CZAS]])</f>
        <v>8.3333333333333329E-2</v>
      </c>
      <c r="O87" s="32">
        <f>IF(Mecze[[#This Row],[PC]]=0,0,Mecze[[#This Row],[PC]]/Mecze[[#This Row],[CZAS]])</f>
        <v>0.14583333333333334</v>
      </c>
      <c r="P87" s="32">
        <f>IF(Mecze[[#This Row],[SC]]=0,0,Mecze[[#This Row],[SC]]/Mecze[[#This Row],[CZAS]])</f>
        <v>3.125E-2</v>
      </c>
      <c r="Q87" s="32">
        <f>IF(Mecze[[#This Row],[OB]]=0,0,Mecze[[#This Row],[OB]]/Mecze[[#This Row],[CZAS]])</f>
        <v>0</v>
      </c>
      <c r="R87" s="73">
        <f>IF(Mecze[[#This Row],[BR]]=0,0,Mecze[[#This Row],[BR]]/Mecze[[#This Row],[CZAS]])</f>
        <v>0</v>
      </c>
      <c r="S87" s="44">
        <f>IF(Mecze[[#This Row],[Role]]="BR",SUMPRODUCT(Mecze[[#This Row],[/PR:90]:[/BR:90]],Brudnopis!$E$23:$J$23),0)</f>
        <v>0</v>
      </c>
      <c r="T87" s="44">
        <f>IF(Mecze[[#This Row],[Role]]&lt;&gt;"BR",SUMPRODUCT(Mecze[[#This Row],[/PR:90]:[/BR:90]],Brudnopis!$E$24:$J$24),0)</f>
        <v>0.32291666666666669</v>
      </c>
      <c r="U87" s="44">
        <f>IF(Mecze[[#This Row],[Role]]&lt;&gt;"BR",SUMPRODUCT(Mecze[[#This Row],[/PR:90]:[/BR:90]],Brudnopis!$E$25:$J$25),0)</f>
        <v>0.35416666666666663</v>
      </c>
      <c r="V87" s="44">
        <f>IF(Mecze[[#This Row],[Role]]&lt;&gt;"BR",SUMPRODUCT(Mecze[[#This Row],[/PR:90]:[/BR:90]],Brudnopis!$E$26:$J$26),0)</f>
        <v>0.28125</v>
      </c>
      <c r="W87" s="44">
        <f>IF(Mecze[[#This Row],[Role]]&lt;&gt;"BR",SUMPRODUCT(Mecze[[#This Row],[/PR:90]:[/BR:90]],Brudnopis!$E$27:$J$27),0)</f>
        <v>0.328125</v>
      </c>
      <c r="X87" s="44">
        <f>IF(Mecze[[#This Row],[Role]]&lt;&gt;"BR",SUMPRODUCT(Mecze[[#This Row],[/PR:90]:[/BR:90]],Brudnopis!$E$28:$J$28),0)</f>
        <v>0.20833333333333334</v>
      </c>
      <c r="Y87" s="35">
        <f>IF(Mecze[[#This Row],[Role]]="BR",Mecze[[#This Row],[/OB:90]]+Mecze[[#This Row],[/PC:90]],SUM(Mecze[[#This Row],[/PR:90]:[/BR:90]]))</f>
        <v>0.28125</v>
      </c>
      <c r="Z87" s="35">
        <f>IF(Mecze[[#This Row],[KC]]=0,SUM(Mecze[[#This Row],[/BRI]:[/NPI]]),SUM(Mecze[[#This Row],[/BRI]:[/NPI]])*0.6)</f>
        <v>1.4947916666666665</v>
      </c>
      <c r="AA87" s="10">
        <f>IFERROR(Mecze[[#This Row],[BR]]/Mecze[[#This Row],[ST]],0)</f>
        <v>0</v>
      </c>
      <c r="AB87">
        <f>ROUND(Mecze[[#This Row],[PD]]*Mecze[[#This Row],[%PC]],0)</f>
        <v>14</v>
      </c>
      <c r="AC87">
        <f>ROUND(Mecze[[#This Row],[OD]]*Mecze[[#This Row],[%OU]],0)</f>
        <v>8</v>
      </c>
      <c r="AD87" s="36" t="s">
        <v>67</v>
      </c>
      <c r="AE87" s="36">
        <v>5</v>
      </c>
      <c r="AF87" s="71">
        <v>6.24</v>
      </c>
      <c r="AG87" s="37">
        <v>0</v>
      </c>
      <c r="AH87" s="37">
        <v>0</v>
      </c>
      <c r="AI87" s="37">
        <v>96</v>
      </c>
      <c r="AJ87">
        <v>4</v>
      </c>
      <c r="AK87" s="37" t="str">
        <f>VLOOKUP(Mecze[[#This Row],[Match ID]],Meczusie[Mecz]:Meczusie[RodzajMeczu],2,FALSE)</f>
        <v>Liga</v>
      </c>
    </row>
    <row r="88" spans="1:37" x14ac:dyDescent="0.25">
      <c r="A88" s="76">
        <v>14</v>
      </c>
      <c r="B88" s="3" t="s">
        <v>281</v>
      </c>
      <c r="C88" s="2" t="s">
        <v>160</v>
      </c>
      <c r="D88" s="1">
        <v>0</v>
      </c>
      <c r="E88" s="1">
        <v>0</v>
      </c>
      <c r="F88" s="1">
        <v>0</v>
      </c>
      <c r="G88" s="1">
        <v>8</v>
      </c>
      <c r="H88" s="4">
        <v>0.75</v>
      </c>
      <c r="I88" s="1">
        <v>0</v>
      </c>
      <c r="J88" s="4"/>
      <c r="K88" s="1">
        <v>0</v>
      </c>
      <c r="L88" s="1">
        <v>1</v>
      </c>
      <c r="M88" s="32">
        <f>IF(Mecze[[#This Row],[PR]]=0,0,Mecze[[#This Row],[PR]]/Mecze[[#This Row],[CZAS]])</f>
        <v>1.1235955056179775E-2</v>
      </c>
      <c r="N88" s="32">
        <f>IF(Mecze[[#This Row],[OU]]=0,0,Mecze[[#This Row],[OU]]/Mecze[[#This Row],[CZAS]])</f>
        <v>0</v>
      </c>
      <c r="O88" s="32">
        <f>IF(Mecze[[#This Row],[PC]]=0,0,Mecze[[#This Row],[PC]]/Mecze[[#This Row],[CZAS]])</f>
        <v>6.741573033707865E-2</v>
      </c>
      <c r="P88" s="32">
        <f>IF(Mecze[[#This Row],[SC]]=0,0,Mecze[[#This Row],[SC]]/Mecze[[#This Row],[CZAS]])</f>
        <v>0</v>
      </c>
      <c r="Q88" s="32">
        <f>IF(Mecze[[#This Row],[OB]]=0,0,Mecze[[#This Row],[OB]]/Mecze[[#This Row],[CZAS]])</f>
        <v>0</v>
      </c>
      <c r="R88" s="73">
        <f>IF(Mecze[[#This Row],[BR]]=0,0,Mecze[[#This Row],[BR]]/Mecze[[#This Row],[CZAS]])</f>
        <v>0</v>
      </c>
      <c r="S88" s="44">
        <f>IF(Mecze[[#This Row],[Role]]="BR",SUMPRODUCT(Mecze[[#This Row],[/PR:90]:[/BR:90]],Brudnopis!$E$23:$J$23),0)</f>
        <v>0</v>
      </c>
      <c r="T88" s="44">
        <f>IF(Mecze[[#This Row],[Role]]&lt;&gt;"BR",SUMPRODUCT(Mecze[[#This Row],[/PR:90]:[/BR:90]],Brudnopis!$E$24:$J$24),0)</f>
        <v>7.8651685393258425E-2</v>
      </c>
      <c r="U88" s="44">
        <f>IF(Mecze[[#This Row],[Role]]&lt;&gt;"BR",SUMPRODUCT(Mecze[[#This Row],[/PR:90]:[/BR:90]],Brudnopis!$E$25:$J$25),0)</f>
        <v>0.11235955056179775</v>
      </c>
      <c r="V88" s="44">
        <f>IF(Mecze[[#This Row],[Role]]&lt;&gt;"BR",SUMPRODUCT(Mecze[[#This Row],[/PR:90]:[/BR:90]],Brudnopis!$E$26:$J$26),0)</f>
        <v>7.8651685393258425E-2</v>
      </c>
      <c r="W88" s="44">
        <f>IF(Mecze[[#This Row],[Role]]&lt;&gt;"BR",SUMPRODUCT(Mecze[[#This Row],[/PR:90]:[/BR:90]],Brudnopis!$E$27:$J$27),0)</f>
        <v>0.1095505617977528</v>
      </c>
      <c r="X88" s="44">
        <f>IF(Mecze[[#This Row],[Role]]&lt;&gt;"BR",SUMPRODUCT(Mecze[[#This Row],[/PR:90]:[/BR:90]],Brudnopis!$E$28:$J$28),0)</f>
        <v>6.741573033707865E-2</v>
      </c>
      <c r="Y88" s="35">
        <f>IF(Mecze[[#This Row],[Role]]="BR",Mecze[[#This Row],[/OB:90]]+Mecze[[#This Row],[/PC:90]],SUM(Mecze[[#This Row],[/PR:90]:[/BR:90]]))</f>
        <v>7.8651685393258425E-2</v>
      </c>
      <c r="Z88" s="35">
        <f>IF(Mecze[[#This Row],[KC]]=0,SUM(Mecze[[#This Row],[/BRI]:[/NPI]]),SUM(Mecze[[#This Row],[/BRI]:[/NPI]])*0.6)</f>
        <v>0.44662921348314605</v>
      </c>
      <c r="AA88" s="10">
        <f>IFERROR(Mecze[[#This Row],[BR]]/Mecze[[#This Row],[ST]],0)</f>
        <v>0</v>
      </c>
      <c r="AB88">
        <f>ROUND(Mecze[[#This Row],[PD]]*Mecze[[#This Row],[%PC]],0)</f>
        <v>6</v>
      </c>
      <c r="AC88">
        <f>ROUND(Mecze[[#This Row],[OD]]*Mecze[[#This Row],[%OU]],0)</f>
        <v>0</v>
      </c>
      <c r="AD88" s="36" t="s">
        <v>171</v>
      </c>
      <c r="AE88" s="36">
        <v>5</v>
      </c>
      <c r="AF88" s="71">
        <v>5.34</v>
      </c>
      <c r="AG88" s="37">
        <v>0</v>
      </c>
      <c r="AH88" s="37">
        <v>0</v>
      </c>
      <c r="AI88" s="37">
        <v>89</v>
      </c>
      <c r="AJ88">
        <v>4</v>
      </c>
      <c r="AK88" s="37" t="str">
        <f>VLOOKUP(Mecze[[#This Row],[Match ID]],Meczusie[Mecz]:Meczusie[RodzajMeczu],2,FALSE)</f>
        <v>Liga</v>
      </c>
    </row>
    <row r="89" spans="1:37" x14ac:dyDescent="0.25">
      <c r="A89" s="76">
        <v>11</v>
      </c>
      <c r="B89" s="3" t="s">
        <v>282</v>
      </c>
      <c r="C89" s="2" t="s">
        <v>165</v>
      </c>
      <c r="D89" s="1">
        <v>0</v>
      </c>
      <c r="E89" s="1">
        <v>2</v>
      </c>
      <c r="F89" s="1">
        <v>2</v>
      </c>
      <c r="G89" s="1">
        <v>7</v>
      </c>
      <c r="H89" s="4">
        <v>0.56999999999999995</v>
      </c>
      <c r="I89" s="1">
        <v>0</v>
      </c>
      <c r="J89" s="4"/>
      <c r="K89" s="1">
        <v>0</v>
      </c>
      <c r="L89" s="1">
        <v>2</v>
      </c>
      <c r="M89" s="32">
        <f>IF(Mecze[[#This Row],[PR]]=0,0,Mecze[[#This Row],[PR]]/Mecze[[#This Row],[CZAS]])</f>
        <v>2.2727272727272728E-2</v>
      </c>
      <c r="N89" s="32">
        <f>IF(Mecze[[#This Row],[OU]]=0,0,Mecze[[#This Row],[OU]]/Mecze[[#This Row],[CZAS]])</f>
        <v>0</v>
      </c>
      <c r="O89" s="32">
        <f>IF(Mecze[[#This Row],[PC]]=0,0,Mecze[[#This Row],[PC]]/Mecze[[#This Row],[CZAS]])</f>
        <v>4.5454545454545456E-2</v>
      </c>
      <c r="P89" s="32">
        <f>IF(Mecze[[#This Row],[SC]]=0,0,Mecze[[#This Row],[SC]]/Mecze[[#This Row],[CZAS]])</f>
        <v>2.2727272727272728E-2</v>
      </c>
      <c r="Q89" s="32">
        <f>IF(Mecze[[#This Row],[OB]]=0,0,Mecze[[#This Row],[OB]]/Mecze[[#This Row],[CZAS]])</f>
        <v>0</v>
      </c>
      <c r="R89" s="73">
        <f>IF(Mecze[[#This Row],[BR]]=0,0,Mecze[[#This Row],[BR]]/Mecze[[#This Row],[CZAS]])</f>
        <v>0</v>
      </c>
      <c r="S89" s="44">
        <f>IF(Mecze[[#This Row],[Role]]="BR",SUMPRODUCT(Mecze[[#This Row],[/PR:90]:[/BR:90]],Brudnopis!$E$23:$J$23),0)</f>
        <v>0</v>
      </c>
      <c r="T89" s="44">
        <f>IF(Mecze[[#This Row],[Role]]&lt;&gt;"BR",SUMPRODUCT(Mecze[[#This Row],[/PR:90]:[/BR:90]],Brudnopis!$E$24:$J$24),0)</f>
        <v>9.0909090909090912E-2</v>
      </c>
      <c r="U89" s="44">
        <f>IF(Mecze[[#This Row],[Role]]&lt;&gt;"BR",SUMPRODUCT(Mecze[[#This Row],[/PR:90]:[/BR:90]],Brudnopis!$E$25:$J$25),0)</f>
        <v>0.11363636363636365</v>
      </c>
      <c r="V89" s="44">
        <f>IF(Mecze[[#This Row],[Role]]&lt;&gt;"BR",SUMPRODUCT(Mecze[[#This Row],[/PR:90]:[/BR:90]],Brudnopis!$E$26:$J$26),0)</f>
        <v>9.0909090909090912E-2</v>
      </c>
      <c r="W89" s="44">
        <f>IF(Mecze[[#This Row],[Role]]&lt;&gt;"BR",SUMPRODUCT(Mecze[[#This Row],[/PR:90]:[/BR:90]],Brudnopis!$E$27:$J$27),0)</f>
        <v>0.10795454545454544</v>
      </c>
      <c r="X89" s="44">
        <f>IF(Mecze[[#This Row],[Role]]&lt;&gt;"BR",SUMPRODUCT(Mecze[[#This Row],[/PR:90]:[/BR:90]],Brudnopis!$E$28:$J$28),0)</f>
        <v>9.0909090909090912E-2</v>
      </c>
      <c r="Y89" s="35">
        <f>IF(Mecze[[#This Row],[Role]]="BR",Mecze[[#This Row],[/OB:90]]+Mecze[[#This Row],[/PC:90]],SUM(Mecze[[#This Row],[/PR:90]:[/BR:90]]))</f>
        <v>9.0909090909090912E-2</v>
      </c>
      <c r="Z89" s="35">
        <f>IF(Mecze[[#This Row],[KC]]=0,SUM(Mecze[[#This Row],[/BRI]:[/NPI]]),SUM(Mecze[[#This Row],[/BRI]:[/NPI]])*0.6)</f>
        <v>0.49431818181818188</v>
      </c>
      <c r="AA89" s="10">
        <f>IFERROR(Mecze[[#This Row],[BR]]/Mecze[[#This Row],[ST]],0)</f>
        <v>0</v>
      </c>
      <c r="AB89">
        <f>ROUND(Mecze[[#This Row],[PD]]*Mecze[[#This Row],[%PC]],0)</f>
        <v>4</v>
      </c>
      <c r="AC89">
        <f>ROUND(Mecze[[#This Row],[OD]]*Mecze[[#This Row],[%OU]],0)</f>
        <v>0</v>
      </c>
      <c r="AD89" s="36" t="s">
        <v>46</v>
      </c>
      <c r="AE89" s="36">
        <v>5</v>
      </c>
      <c r="AF89" s="71">
        <v>5.7</v>
      </c>
      <c r="AG89" s="37">
        <v>0</v>
      </c>
      <c r="AH89" s="37">
        <v>0</v>
      </c>
      <c r="AI89" s="37">
        <v>88</v>
      </c>
      <c r="AJ89">
        <v>4</v>
      </c>
      <c r="AK89" s="37" t="str">
        <f>VLOOKUP(Mecze[[#This Row],[Match ID]],Meczusie[Mecz]:Meczusie[RodzajMeczu],2,FALSE)</f>
        <v>Liga</v>
      </c>
    </row>
    <row r="90" spans="1:37" x14ac:dyDescent="0.25">
      <c r="A90" s="76">
        <v>8</v>
      </c>
      <c r="B90" s="3" t="s">
        <v>283</v>
      </c>
      <c r="C90" s="2" t="s">
        <v>165</v>
      </c>
      <c r="D90" s="1">
        <v>1</v>
      </c>
      <c r="E90" s="1">
        <v>4</v>
      </c>
      <c r="F90" s="1">
        <v>4</v>
      </c>
      <c r="G90" s="1">
        <v>9</v>
      </c>
      <c r="H90" s="4">
        <v>0.89</v>
      </c>
      <c r="I90" s="1">
        <v>0</v>
      </c>
      <c r="J90" s="4"/>
      <c r="K90" s="1">
        <v>0</v>
      </c>
      <c r="L90" s="1">
        <v>1</v>
      </c>
      <c r="M90" s="32">
        <f>IF(Mecze[[#This Row],[PR]]=0,0,Mecze[[#This Row],[PR]]/Mecze[[#This Row],[CZAS]])</f>
        <v>1.0416666666666666E-2</v>
      </c>
      <c r="N90" s="32">
        <f>IF(Mecze[[#This Row],[OU]]=0,0,Mecze[[#This Row],[OU]]/Mecze[[#This Row],[CZAS]])</f>
        <v>0</v>
      </c>
      <c r="O90" s="32">
        <f>IF(Mecze[[#This Row],[PC]]=0,0,Mecze[[#This Row],[PC]]/Mecze[[#This Row],[CZAS]])</f>
        <v>8.3333333333333329E-2</v>
      </c>
      <c r="P90" s="32">
        <f>IF(Mecze[[#This Row],[SC]]=0,0,Mecze[[#This Row],[SC]]/Mecze[[#This Row],[CZAS]])</f>
        <v>4.1666666666666664E-2</v>
      </c>
      <c r="Q90" s="32">
        <f>IF(Mecze[[#This Row],[OB]]=0,0,Mecze[[#This Row],[OB]]/Mecze[[#This Row],[CZAS]])</f>
        <v>0</v>
      </c>
      <c r="R90" s="73">
        <f>IF(Mecze[[#This Row],[BR]]=0,0,Mecze[[#This Row],[BR]]/Mecze[[#This Row],[CZAS]])</f>
        <v>1.0416666666666666E-2</v>
      </c>
      <c r="S90" s="44">
        <f>IF(Mecze[[#This Row],[Role]]="BR",SUMPRODUCT(Mecze[[#This Row],[/PR:90]:[/BR:90]],Brudnopis!$E$23:$J$23),0)</f>
        <v>0</v>
      </c>
      <c r="T90" s="44">
        <f>IF(Mecze[[#This Row],[Role]]&lt;&gt;"BR",SUMPRODUCT(Mecze[[#This Row],[/PR:90]:[/BR:90]],Brudnopis!$E$24:$J$24),0)</f>
        <v>0.15104166666666666</v>
      </c>
      <c r="U90" s="44">
        <f>IF(Mecze[[#This Row],[Role]]&lt;&gt;"BR",SUMPRODUCT(Mecze[[#This Row],[/PR:90]:[/BR:90]],Brudnopis!$E$25:$J$25),0)</f>
        <v>0.19270833333333331</v>
      </c>
      <c r="V90" s="44">
        <f>IF(Mecze[[#This Row],[Role]]&lt;&gt;"BR",SUMPRODUCT(Mecze[[#This Row],[/PR:90]:[/BR:90]],Brudnopis!$E$26:$J$26),0)</f>
        <v>0.15625</v>
      </c>
      <c r="W90" s="44">
        <f>IF(Mecze[[#This Row],[Role]]&lt;&gt;"BR",SUMPRODUCT(Mecze[[#This Row],[/PR:90]:[/BR:90]],Brudnopis!$E$27:$J$27),0)</f>
        <v>0.1953125</v>
      </c>
      <c r="X90" s="44">
        <f>IF(Mecze[[#This Row],[Role]]&lt;&gt;"BR",SUMPRODUCT(Mecze[[#This Row],[/PR:90]:[/BR:90]],Brudnopis!$E$28:$J$28),0)</f>
        <v>0.19791666666666666</v>
      </c>
      <c r="Y90" s="35">
        <f>IF(Mecze[[#This Row],[Role]]="BR",Mecze[[#This Row],[/OB:90]]+Mecze[[#This Row],[/PC:90]],SUM(Mecze[[#This Row],[/PR:90]:[/BR:90]]))</f>
        <v>0.14583333333333331</v>
      </c>
      <c r="Z90" s="35">
        <f>IF(Mecze[[#This Row],[KC]]=0,SUM(Mecze[[#This Row],[/BRI]:[/NPI]]),SUM(Mecze[[#This Row],[/BRI]:[/NPI]])*0.6)</f>
        <v>0.89322916666666663</v>
      </c>
      <c r="AA90" s="10">
        <f>IFERROR(Mecze[[#This Row],[BR]]/Mecze[[#This Row],[ST]],0)</f>
        <v>0.25</v>
      </c>
      <c r="AB90">
        <f>ROUND(Mecze[[#This Row],[PD]]*Mecze[[#This Row],[%PC]],0)</f>
        <v>8</v>
      </c>
      <c r="AC90">
        <f>ROUND(Mecze[[#This Row],[OD]]*Mecze[[#This Row],[%OU]],0)</f>
        <v>0</v>
      </c>
      <c r="AD90" s="36" t="s">
        <v>273</v>
      </c>
      <c r="AE90" s="36">
        <v>5</v>
      </c>
      <c r="AF90" s="71">
        <v>9.36</v>
      </c>
      <c r="AG90" s="37">
        <v>0</v>
      </c>
      <c r="AH90" s="37">
        <v>0</v>
      </c>
      <c r="AI90" s="37">
        <v>96</v>
      </c>
      <c r="AJ90">
        <v>4</v>
      </c>
      <c r="AK90" s="37" t="str">
        <f>VLOOKUP(Mecze[[#This Row],[Match ID]],Meczusie[Mecz]:Meczusie[RodzajMeczu],2,FALSE)</f>
        <v>Liga</v>
      </c>
    </row>
    <row r="91" spans="1:37" x14ac:dyDescent="0.25">
      <c r="A91" s="76">
        <v>10</v>
      </c>
      <c r="B91" s="3" t="s">
        <v>284</v>
      </c>
      <c r="C91" s="2" t="s">
        <v>165</v>
      </c>
      <c r="D91" s="1">
        <v>2</v>
      </c>
      <c r="E91" s="1">
        <v>6</v>
      </c>
      <c r="F91" s="1">
        <v>6</v>
      </c>
      <c r="G91" s="1">
        <v>11</v>
      </c>
      <c r="H91" s="4">
        <v>0.55000000000000004</v>
      </c>
      <c r="I91" s="1">
        <v>4</v>
      </c>
      <c r="J91" s="4">
        <v>0.5</v>
      </c>
      <c r="K91" s="1">
        <v>0</v>
      </c>
      <c r="L91" s="1">
        <v>2</v>
      </c>
      <c r="M91" s="32">
        <f>IF(Mecze[[#This Row],[PR]]=0,0,Mecze[[#This Row],[PR]]/Mecze[[#This Row],[CZAS]])</f>
        <v>2.0833333333333332E-2</v>
      </c>
      <c r="N91" s="32">
        <f>IF(Mecze[[#This Row],[OU]]=0,0,Mecze[[#This Row],[OU]]/Mecze[[#This Row],[CZAS]])</f>
        <v>2.0833333333333332E-2</v>
      </c>
      <c r="O91" s="32">
        <f>IF(Mecze[[#This Row],[PC]]=0,0,Mecze[[#This Row],[PC]]/Mecze[[#This Row],[CZAS]])</f>
        <v>6.25E-2</v>
      </c>
      <c r="P91" s="32">
        <f>IF(Mecze[[#This Row],[SC]]=0,0,Mecze[[#This Row],[SC]]/Mecze[[#This Row],[CZAS]])</f>
        <v>6.25E-2</v>
      </c>
      <c r="Q91" s="32">
        <f>IF(Mecze[[#This Row],[OB]]=0,0,Mecze[[#This Row],[OB]]/Mecze[[#This Row],[CZAS]])</f>
        <v>0</v>
      </c>
      <c r="R91" s="73">
        <f>IF(Mecze[[#This Row],[BR]]=0,0,Mecze[[#This Row],[BR]]/Mecze[[#This Row],[CZAS]])</f>
        <v>2.0833333333333332E-2</v>
      </c>
      <c r="S91" s="44">
        <f>IF(Mecze[[#This Row],[Role]]="BR",SUMPRODUCT(Mecze[[#This Row],[/PR:90]:[/BR:90]],Brudnopis!$E$23:$J$23),0)</f>
        <v>0</v>
      </c>
      <c r="T91" s="44">
        <f>IF(Mecze[[#This Row],[Role]]&lt;&gt;"BR",SUMPRODUCT(Mecze[[#This Row],[/PR:90]:[/BR:90]],Brudnopis!$E$24:$J$24),0)</f>
        <v>0.20833333333333331</v>
      </c>
      <c r="U91" s="44">
        <f>IF(Mecze[[#This Row],[Role]]&lt;&gt;"BR",SUMPRODUCT(Mecze[[#This Row],[/PR:90]:[/BR:90]],Brudnopis!$E$25:$J$25),0)</f>
        <v>0.22916666666666666</v>
      </c>
      <c r="V91" s="44">
        <f>IF(Mecze[[#This Row],[Role]]&lt;&gt;"BR",SUMPRODUCT(Mecze[[#This Row],[/PR:90]:[/BR:90]],Brudnopis!$E$26:$J$26),0)</f>
        <v>0.20833333333333331</v>
      </c>
      <c r="W91" s="44">
        <f>IF(Mecze[[#This Row],[Role]]&lt;&gt;"BR",SUMPRODUCT(Mecze[[#This Row],[/PR:90]:[/BR:90]],Brudnopis!$E$27:$J$27),0)</f>
        <v>0.22916666666666666</v>
      </c>
      <c r="X91" s="44">
        <f>IF(Mecze[[#This Row],[Role]]&lt;&gt;"BR",SUMPRODUCT(Mecze[[#This Row],[/PR:90]:[/BR:90]],Brudnopis!$E$28:$J$28),0)</f>
        <v>0.25</v>
      </c>
      <c r="Y91" s="35">
        <f>IF(Mecze[[#This Row],[Role]]="BR",Mecze[[#This Row],[/OB:90]]+Mecze[[#This Row],[/PC:90]],SUM(Mecze[[#This Row],[/PR:90]:[/BR:90]]))</f>
        <v>0.1875</v>
      </c>
      <c r="Z91" s="35">
        <f>IF(Mecze[[#This Row],[KC]]=0,SUM(Mecze[[#This Row],[/BRI]:[/NPI]]),SUM(Mecze[[#This Row],[/BRI]:[/NPI]])*0.6)</f>
        <v>1.125</v>
      </c>
      <c r="AA91" s="10">
        <f>IFERROR(Mecze[[#This Row],[BR]]/Mecze[[#This Row],[ST]],0)</f>
        <v>0.33333333333333331</v>
      </c>
      <c r="AB91">
        <f>ROUND(Mecze[[#This Row],[PD]]*Mecze[[#This Row],[%PC]],0)</f>
        <v>6</v>
      </c>
      <c r="AC91">
        <f>ROUND(Mecze[[#This Row],[OD]]*Mecze[[#This Row],[%OU]],0)</f>
        <v>2</v>
      </c>
      <c r="AD91" s="36" t="s">
        <v>46</v>
      </c>
      <c r="AE91" s="36">
        <v>5</v>
      </c>
      <c r="AF91" s="71">
        <v>11.18</v>
      </c>
      <c r="AG91" s="37">
        <v>0</v>
      </c>
      <c r="AH91" s="37">
        <v>0</v>
      </c>
      <c r="AI91" s="37">
        <v>96</v>
      </c>
      <c r="AJ91">
        <v>4</v>
      </c>
      <c r="AK91" s="37" t="str">
        <f>VLOOKUP(Mecze[[#This Row],[Match ID]],Meczusie[Mecz]:Meczusie[RodzajMeczu],2,FALSE)</f>
        <v>Liga</v>
      </c>
    </row>
    <row r="92" spans="1:37" x14ac:dyDescent="0.25">
      <c r="A92" s="76">
        <v>2</v>
      </c>
      <c r="B92" s="3" t="s">
        <v>285</v>
      </c>
      <c r="C92" s="2" t="s">
        <v>157</v>
      </c>
      <c r="D92" s="1">
        <v>0</v>
      </c>
      <c r="E92" s="1">
        <v>0</v>
      </c>
      <c r="F92" s="1">
        <v>0</v>
      </c>
      <c r="G92" s="1">
        <v>1</v>
      </c>
      <c r="H92" s="4">
        <v>1</v>
      </c>
      <c r="I92" s="1">
        <v>0</v>
      </c>
      <c r="J92" s="4"/>
      <c r="K92" s="1">
        <v>0</v>
      </c>
      <c r="L92" s="1">
        <v>0</v>
      </c>
      <c r="M92" s="32">
        <f>IF(Mecze[[#This Row],[PR]]=0,0,Mecze[[#This Row],[PR]]/Mecze[[#This Row],[CZAS]])</f>
        <v>0</v>
      </c>
      <c r="N92" s="32">
        <f>IF(Mecze[[#This Row],[OU]]=0,0,Mecze[[#This Row],[OU]]/Mecze[[#This Row],[CZAS]])</f>
        <v>0</v>
      </c>
      <c r="O92" s="32">
        <f>IF(Mecze[[#This Row],[PC]]=0,0,Mecze[[#This Row],[PC]]/Mecze[[#This Row],[CZAS]])</f>
        <v>0.125</v>
      </c>
      <c r="P92" s="32">
        <f>IF(Mecze[[#This Row],[SC]]=0,0,Mecze[[#This Row],[SC]]/Mecze[[#This Row],[CZAS]])</f>
        <v>0</v>
      </c>
      <c r="Q92" s="32">
        <f>IF(Mecze[[#This Row],[OB]]=0,0,Mecze[[#This Row],[OB]]/Mecze[[#This Row],[CZAS]])</f>
        <v>0</v>
      </c>
      <c r="R92" s="73">
        <f>IF(Mecze[[#This Row],[BR]]=0,0,Mecze[[#This Row],[BR]]/Mecze[[#This Row],[CZAS]])</f>
        <v>0</v>
      </c>
      <c r="S92" s="44">
        <f>IF(Mecze[[#This Row],[Role]]="BR",SUMPRODUCT(Mecze[[#This Row],[/PR:90]:[/BR:90]],Brudnopis!$E$23:$J$23),0)</f>
        <v>0</v>
      </c>
      <c r="T92" s="44">
        <f>IF(Mecze[[#This Row],[Role]]&lt;&gt;"BR",SUMPRODUCT(Mecze[[#This Row],[/PR:90]:[/BR:90]],Brudnopis!$E$24:$J$24),0)</f>
        <v>0.125</v>
      </c>
      <c r="U92" s="44">
        <f>IF(Mecze[[#This Row],[Role]]&lt;&gt;"BR",SUMPRODUCT(Mecze[[#This Row],[/PR:90]:[/BR:90]],Brudnopis!$E$25:$J$25),0)</f>
        <v>0.1875</v>
      </c>
      <c r="V92" s="44">
        <f>IF(Mecze[[#This Row],[Role]]&lt;&gt;"BR",SUMPRODUCT(Mecze[[#This Row],[/PR:90]:[/BR:90]],Brudnopis!$E$26:$J$26),0)</f>
        <v>0.125</v>
      </c>
      <c r="W92" s="44">
        <f>IF(Mecze[[#This Row],[Role]]&lt;&gt;"BR",SUMPRODUCT(Mecze[[#This Row],[/PR:90]:[/BR:90]],Brudnopis!$E$27:$J$27),0)</f>
        <v>0.1875</v>
      </c>
      <c r="X92" s="44">
        <f>IF(Mecze[[#This Row],[Role]]&lt;&gt;"BR",SUMPRODUCT(Mecze[[#This Row],[/PR:90]:[/BR:90]],Brudnopis!$E$28:$J$28),0)</f>
        <v>0.125</v>
      </c>
      <c r="Y92" s="35">
        <f>IF(Mecze[[#This Row],[Role]]="BR",Mecze[[#This Row],[/OB:90]]+Mecze[[#This Row],[/PC:90]],SUM(Mecze[[#This Row],[/PR:90]:[/BR:90]]))</f>
        <v>0.125</v>
      </c>
      <c r="Z92" s="35">
        <f>IF(Mecze[[#This Row],[KC]]=0,SUM(Mecze[[#This Row],[/BRI]:[/NPI]]),SUM(Mecze[[#This Row],[/BRI]:[/NPI]])*0.6)</f>
        <v>0.75</v>
      </c>
      <c r="AA92" s="10">
        <f>IFERROR(Mecze[[#This Row],[BR]]/Mecze[[#This Row],[ST]],0)</f>
        <v>0</v>
      </c>
      <c r="AB92">
        <f>ROUND(Mecze[[#This Row],[PD]]*Mecze[[#This Row],[%PC]],0)</f>
        <v>1</v>
      </c>
      <c r="AC92">
        <f>ROUND(Mecze[[#This Row],[OD]]*Mecze[[#This Row],[%OU]],0)</f>
        <v>0</v>
      </c>
      <c r="AD92" s="36" t="s">
        <v>167</v>
      </c>
      <c r="AE92" s="36">
        <v>5</v>
      </c>
      <c r="AF92" s="71">
        <v>0.61</v>
      </c>
      <c r="AG92" s="37">
        <v>0</v>
      </c>
      <c r="AH92" s="37">
        <v>0</v>
      </c>
      <c r="AI92" s="37">
        <v>8</v>
      </c>
      <c r="AJ92">
        <v>4</v>
      </c>
      <c r="AK92" s="37" t="str">
        <f>VLOOKUP(Mecze[[#This Row],[Match ID]],Meczusie[Mecz]:Meczusie[RodzajMeczu],2,FALSE)</f>
        <v>Liga</v>
      </c>
    </row>
    <row r="93" spans="1:37" x14ac:dyDescent="0.25">
      <c r="A93" s="76">
        <v>15</v>
      </c>
      <c r="B93" s="3" t="s">
        <v>286</v>
      </c>
      <c r="C93" s="2" t="s">
        <v>165</v>
      </c>
      <c r="D93" s="1">
        <v>0</v>
      </c>
      <c r="E93" s="1">
        <v>1</v>
      </c>
      <c r="F93" s="1">
        <v>0</v>
      </c>
      <c r="G93" s="1">
        <v>0</v>
      </c>
      <c r="H93" s="72"/>
      <c r="I93" s="1">
        <v>1</v>
      </c>
      <c r="J93" s="4">
        <v>1</v>
      </c>
      <c r="K93" s="1">
        <v>0</v>
      </c>
      <c r="L93" s="1">
        <v>1</v>
      </c>
      <c r="M93" s="32">
        <f>IF(Mecze[[#This Row],[PR]]=0,0,Mecze[[#This Row],[PR]]/Mecze[[#This Row],[CZAS]])</f>
        <v>0.125</v>
      </c>
      <c r="N93" s="32">
        <f>IF(Mecze[[#This Row],[OU]]=0,0,Mecze[[#This Row],[OU]]/Mecze[[#This Row],[CZAS]])</f>
        <v>0.125</v>
      </c>
      <c r="O93" s="32">
        <f>IF(Mecze[[#This Row],[PC]]=0,0,Mecze[[#This Row],[PC]]/Mecze[[#This Row],[CZAS]])</f>
        <v>0</v>
      </c>
      <c r="P93" s="32">
        <f>IF(Mecze[[#This Row],[SC]]=0,0,Mecze[[#This Row],[SC]]/Mecze[[#This Row],[CZAS]])</f>
        <v>0</v>
      </c>
      <c r="Q93" s="32">
        <f>IF(Mecze[[#This Row],[OB]]=0,0,Mecze[[#This Row],[OB]]/Mecze[[#This Row],[CZAS]])</f>
        <v>0</v>
      </c>
      <c r="R93" s="73">
        <f>IF(Mecze[[#This Row],[BR]]=0,0,Mecze[[#This Row],[BR]]/Mecze[[#This Row],[CZAS]])</f>
        <v>0</v>
      </c>
      <c r="S93" s="44">
        <f>IF(Mecze[[#This Row],[Role]]="BR",SUMPRODUCT(Mecze[[#This Row],[/PR:90]:[/BR:90]],Brudnopis!$E$23:$J$23),0)</f>
        <v>0</v>
      </c>
      <c r="T93" s="44">
        <f>IF(Mecze[[#This Row],[Role]]&lt;&gt;"BR",SUMPRODUCT(Mecze[[#This Row],[/PR:90]:[/BR:90]],Brudnopis!$E$24:$J$24),0)</f>
        <v>0.3125</v>
      </c>
      <c r="U93" s="44">
        <f>IF(Mecze[[#This Row],[Role]]&lt;&gt;"BR",SUMPRODUCT(Mecze[[#This Row],[/PR:90]:[/BR:90]],Brudnopis!$E$25:$J$25),0)</f>
        <v>0.25</v>
      </c>
      <c r="V93" s="44">
        <f>IF(Mecze[[#This Row],[Role]]&lt;&gt;"BR",SUMPRODUCT(Mecze[[#This Row],[/PR:90]:[/BR:90]],Brudnopis!$E$26:$J$26),0)</f>
        <v>0.25</v>
      </c>
      <c r="W93" s="44">
        <f>IF(Mecze[[#This Row],[Role]]&lt;&gt;"BR",SUMPRODUCT(Mecze[[#This Row],[/PR:90]:[/BR:90]],Brudnopis!$E$27:$J$27),0)</f>
        <v>0.1875</v>
      </c>
      <c r="X93" s="44">
        <f>IF(Mecze[[#This Row],[Role]]&lt;&gt;"BR",SUMPRODUCT(Mecze[[#This Row],[/PR:90]:[/BR:90]],Brudnopis!$E$28:$J$28),0)</f>
        <v>0</v>
      </c>
      <c r="Y93" s="35">
        <f>IF(Mecze[[#This Row],[Role]]="BR",Mecze[[#This Row],[/OB:90]]+Mecze[[#This Row],[/PC:90]],SUM(Mecze[[#This Row],[/PR:90]:[/BR:90]]))</f>
        <v>0.25</v>
      </c>
      <c r="Z93" s="35">
        <f>IF(Mecze[[#This Row],[KC]]=0,SUM(Mecze[[#This Row],[/BRI]:[/NPI]]),SUM(Mecze[[#This Row],[/BRI]:[/NPI]])*0.6)</f>
        <v>1</v>
      </c>
      <c r="AA93" s="10">
        <f>IFERROR(Mecze[[#This Row],[BR]]/Mecze[[#This Row],[ST]],0)</f>
        <v>0</v>
      </c>
      <c r="AB93">
        <f>ROUND(Mecze[[#This Row],[PD]]*Mecze[[#This Row],[%PC]],0)</f>
        <v>0</v>
      </c>
      <c r="AC93">
        <f>ROUND(Mecze[[#This Row],[OD]]*Mecze[[#This Row],[%OU]],0)</f>
        <v>1</v>
      </c>
      <c r="AD93" s="36" t="s">
        <v>46</v>
      </c>
      <c r="AE93" s="36">
        <v>5</v>
      </c>
      <c r="AF93" s="71">
        <v>1.72</v>
      </c>
      <c r="AG93" s="37">
        <v>0</v>
      </c>
      <c r="AH93" s="37">
        <v>0</v>
      </c>
      <c r="AI93" s="37">
        <v>8</v>
      </c>
      <c r="AJ93">
        <v>4</v>
      </c>
      <c r="AK93" s="37" t="str">
        <f>VLOOKUP(Mecze[[#This Row],[Match ID]],Meczusie[Mecz]:Meczusie[RodzajMeczu],2,FALSE)</f>
        <v>Liga</v>
      </c>
    </row>
    <row r="94" spans="1:37" x14ac:dyDescent="0.25">
      <c r="A94" s="76">
        <v>13</v>
      </c>
      <c r="B94" s="3" t="s">
        <v>287</v>
      </c>
      <c r="C94" s="2" t="s">
        <v>160</v>
      </c>
      <c r="D94" s="1">
        <v>0</v>
      </c>
      <c r="E94" s="1">
        <v>0</v>
      </c>
      <c r="F94" s="1">
        <v>0</v>
      </c>
      <c r="G94" s="1">
        <v>1</v>
      </c>
      <c r="H94" s="4">
        <v>1</v>
      </c>
      <c r="I94" s="1">
        <v>0</v>
      </c>
      <c r="J94" s="4"/>
      <c r="K94" s="1">
        <v>0</v>
      </c>
      <c r="L94" s="1">
        <v>0</v>
      </c>
      <c r="M94" s="32">
        <f>IF(Mecze[[#This Row],[PR]]=0,0,Mecze[[#This Row],[PR]]/Mecze[[#This Row],[CZAS]])</f>
        <v>0</v>
      </c>
      <c r="N94" s="32">
        <f>IF(Mecze[[#This Row],[OU]]=0,0,Mecze[[#This Row],[OU]]/Mecze[[#This Row],[CZAS]])</f>
        <v>0</v>
      </c>
      <c r="O94" s="32">
        <f>IF(Mecze[[#This Row],[PC]]=0,0,Mecze[[#This Row],[PC]]/Mecze[[#This Row],[CZAS]])</f>
        <v>0.14285714285714285</v>
      </c>
      <c r="P94" s="32">
        <f>IF(Mecze[[#This Row],[SC]]=0,0,Mecze[[#This Row],[SC]]/Mecze[[#This Row],[CZAS]])</f>
        <v>0</v>
      </c>
      <c r="Q94" s="32">
        <f>IF(Mecze[[#This Row],[OB]]=0,0,Mecze[[#This Row],[OB]]/Mecze[[#This Row],[CZAS]])</f>
        <v>0</v>
      </c>
      <c r="R94" s="73">
        <f>IF(Mecze[[#This Row],[BR]]=0,0,Mecze[[#This Row],[BR]]/Mecze[[#This Row],[CZAS]])</f>
        <v>0</v>
      </c>
      <c r="S94" s="44">
        <f>IF(Mecze[[#This Row],[Role]]="BR",SUMPRODUCT(Mecze[[#This Row],[/PR:90]:[/BR:90]],Brudnopis!$E$23:$J$23),0)</f>
        <v>0</v>
      </c>
      <c r="T94" s="44">
        <f>IF(Mecze[[#This Row],[Role]]&lt;&gt;"BR",SUMPRODUCT(Mecze[[#This Row],[/PR:90]:[/BR:90]],Brudnopis!$E$24:$J$24),0)</f>
        <v>0.14285714285714285</v>
      </c>
      <c r="U94" s="44">
        <f>IF(Mecze[[#This Row],[Role]]&lt;&gt;"BR",SUMPRODUCT(Mecze[[#This Row],[/PR:90]:[/BR:90]],Brudnopis!$E$25:$J$25),0)</f>
        <v>0.21428571428571427</v>
      </c>
      <c r="V94" s="44">
        <f>IF(Mecze[[#This Row],[Role]]&lt;&gt;"BR",SUMPRODUCT(Mecze[[#This Row],[/PR:90]:[/BR:90]],Brudnopis!$E$26:$J$26),0)</f>
        <v>0.14285714285714285</v>
      </c>
      <c r="W94" s="44">
        <f>IF(Mecze[[#This Row],[Role]]&lt;&gt;"BR",SUMPRODUCT(Mecze[[#This Row],[/PR:90]:[/BR:90]],Brudnopis!$E$27:$J$27),0)</f>
        <v>0.21428571428571427</v>
      </c>
      <c r="X94" s="44">
        <f>IF(Mecze[[#This Row],[Role]]&lt;&gt;"BR",SUMPRODUCT(Mecze[[#This Row],[/PR:90]:[/BR:90]],Brudnopis!$E$28:$J$28),0)</f>
        <v>0.14285714285714285</v>
      </c>
      <c r="Y94" s="35">
        <f>IF(Mecze[[#This Row],[Role]]="BR",Mecze[[#This Row],[/OB:90]]+Mecze[[#This Row],[/PC:90]],SUM(Mecze[[#This Row],[/PR:90]:[/BR:90]]))</f>
        <v>0.14285714285714285</v>
      </c>
      <c r="Z94" s="35">
        <f>IF(Mecze[[#This Row],[KC]]=0,SUM(Mecze[[#This Row],[/BRI]:[/NPI]]),SUM(Mecze[[#This Row],[/BRI]:[/NPI]])*0.6)</f>
        <v>0.85714285714285698</v>
      </c>
      <c r="AA94" s="10">
        <f>IFERROR(Mecze[[#This Row],[BR]]/Mecze[[#This Row],[ST]],0)</f>
        <v>0</v>
      </c>
      <c r="AB94">
        <f>ROUND(Mecze[[#This Row],[PD]]*Mecze[[#This Row],[%PC]],0)</f>
        <v>1</v>
      </c>
      <c r="AC94">
        <f>ROUND(Mecze[[#This Row],[OD]]*Mecze[[#This Row],[%OU]],0)</f>
        <v>0</v>
      </c>
      <c r="AD94" s="36" t="s">
        <v>171</v>
      </c>
      <c r="AE94" s="36">
        <v>5</v>
      </c>
      <c r="AF94" s="71">
        <v>1.72</v>
      </c>
      <c r="AG94" s="37">
        <v>0</v>
      </c>
      <c r="AH94" s="37">
        <v>0</v>
      </c>
      <c r="AI94" s="37">
        <v>7</v>
      </c>
      <c r="AJ94">
        <v>4</v>
      </c>
      <c r="AK94" s="37" t="str">
        <f>VLOOKUP(Mecze[[#This Row],[Match ID]],Meczusie[Mecz]:Meczusie[RodzajMeczu],2,FALSE)</f>
        <v>Liga</v>
      </c>
    </row>
    <row r="95" spans="1:37" x14ac:dyDescent="0.25">
      <c r="A95" s="76">
        <v>1</v>
      </c>
      <c r="B95" s="3" t="s">
        <v>288</v>
      </c>
      <c r="C95" s="2" t="s">
        <v>155</v>
      </c>
      <c r="D95" s="1">
        <v>0</v>
      </c>
      <c r="E95" s="1">
        <v>0</v>
      </c>
      <c r="F95" s="1">
        <v>0</v>
      </c>
      <c r="G95" s="1">
        <v>1</v>
      </c>
      <c r="H95" s="4">
        <v>1</v>
      </c>
      <c r="I95" s="1">
        <v>0</v>
      </c>
      <c r="J95" s="4"/>
      <c r="K95" s="1">
        <v>1</v>
      </c>
      <c r="L95" s="1">
        <v>0</v>
      </c>
      <c r="M95" s="32">
        <f>IF(Mecze[[#This Row],[PR]]=0,0,Mecze[[#This Row],[PR]]/Mecze[[#This Row],[CZAS]])</f>
        <v>0</v>
      </c>
      <c r="N95" s="32">
        <f>IF(Mecze[[#This Row],[OU]]=0,0,Mecze[[#This Row],[OU]]/Mecze[[#This Row],[CZAS]])</f>
        <v>0</v>
      </c>
      <c r="O95" s="32">
        <f>IF(Mecze[[#This Row],[PC]]=0,0,Mecze[[#This Row],[PC]]/Mecze[[#This Row],[CZAS]])</f>
        <v>1.020408163265306E-2</v>
      </c>
      <c r="P95" s="32">
        <f>IF(Mecze[[#This Row],[SC]]=0,0,Mecze[[#This Row],[SC]]/Mecze[[#This Row],[CZAS]])</f>
        <v>0</v>
      </c>
      <c r="Q95" s="32">
        <f>IF(Mecze[[#This Row],[OB]]=0,0,Mecze[[#This Row],[OB]]/Mecze[[#This Row],[CZAS]])</f>
        <v>1.020408163265306E-2</v>
      </c>
      <c r="R95" s="73">
        <f>IF(Mecze[[#This Row],[BR]]=0,0,Mecze[[#This Row],[BR]]/Mecze[[#This Row],[CZAS]])</f>
        <v>0</v>
      </c>
      <c r="S95" s="44">
        <f>IF(Mecze[[#This Row],[Role]]="BR",SUMPRODUCT(Mecze[[#This Row],[/PR:90]:[/BR:90]],Brudnopis!$E$23:$J$23),0)</f>
        <v>6.1224489795918366E-2</v>
      </c>
      <c r="T95" s="44">
        <f>IF(Mecze[[#This Row],[Role]]&lt;&gt;"BR",SUMPRODUCT(Mecze[[#This Row],[/PR:90]:[/BR:90]],Brudnopis!$E$24:$J$24),0)</f>
        <v>0</v>
      </c>
      <c r="U95" s="44">
        <f>IF(Mecze[[#This Row],[Role]]&lt;&gt;"BR",SUMPRODUCT(Mecze[[#This Row],[/PR:90]:[/BR:90]],Brudnopis!$E$25:$J$25),0)</f>
        <v>0</v>
      </c>
      <c r="V95" s="44">
        <f>IF(Mecze[[#This Row],[Role]]&lt;&gt;"BR",SUMPRODUCT(Mecze[[#This Row],[/PR:90]:[/BR:90]],Brudnopis!$E$26:$J$26),0)</f>
        <v>0</v>
      </c>
      <c r="W95" s="44">
        <f>IF(Mecze[[#This Row],[Role]]&lt;&gt;"BR",SUMPRODUCT(Mecze[[#This Row],[/PR:90]:[/BR:90]],Brudnopis!$E$27:$J$27),0)</f>
        <v>0</v>
      </c>
      <c r="X95" s="44">
        <f>IF(Mecze[[#This Row],[Role]]&lt;&gt;"BR",SUMPRODUCT(Mecze[[#This Row],[/PR:90]:[/BR:90]],Brudnopis!$E$28:$J$28),0)</f>
        <v>0</v>
      </c>
      <c r="Y95" s="35">
        <f>IF(Mecze[[#This Row],[Role]]="BR",Mecze[[#This Row],[/OB:90]]+Mecze[[#This Row],[/PC:90]],SUM(Mecze[[#This Row],[/PR:90]:[/BR:90]]))</f>
        <v>2.0408163265306121E-2</v>
      </c>
      <c r="Z95" s="35">
        <f>IF(Mecze[[#This Row],[KC]]=0,SUM(Mecze[[#This Row],[/BRI]:[/NPI]]),SUM(Mecze[[#This Row],[/BRI]:[/NPI]])*0.6)</f>
        <v>6.1224489795918366E-2</v>
      </c>
      <c r="AA95" s="10">
        <f>IFERROR(Mecze[[#This Row],[BR]]/Mecze[[#This Row],[ST]],0)</f>
        <v>0</v>
      </c>
      <c r="AB95">
        <f>ROUND(Mecze[[#This Row],[PD]]*Mecze[[#This Row],[%PC]],0)</f>
        <v>1</v>
      </c>
      <c r="AC95">
        <f>ROUND(Mecze[[#This Row],[OD]]*Mecze[[#This Row],[%OU]],0)</f>
        <v>0</v>
      </c>
      <c r="AD95" s="36" t="s">
        <v>40</v>
      </c>
      <c r="AE95" s="36">
        <v>6</v>
      </c>
      <c r="AF95" s="71">
        <v>7.39</v>
      </c>
      <c r="AG95" s="37">
        <v>0</v>
      </c>
      <c r="AH95" s="37">
        <v>0</v>
      </c>
      <c r="AI95" s="37">
        <v>98</v>
      </c>
      <c r="AJ95">
        <v>9</v>
      </c>
      <c r="AK95" s="37" t="str">
        <f>VLOOKUP(Mecze[[#This Row],[Match ID]],Meczusie[Mecz]:Meczusie[RodzajMeczu],2,FALSE)</f>
        <v>Liga</v>
      </c>
    </row>
    <row r="96" spans="1:37" x14ac:dyDescent="0.25">
      <c r="A96" s="76">
        <v>4</v>
      </c>
      <c r="B96" s="3" t="s">
        <v>289</v>
      </c>
      <c r="C96" s="2" t="s">
        <v>157</v>
      </c>
      <c r="D96" s="1">
        <v>0</v>
      </c>
      <c r="E96" s="1">
        <v>0</v>
      </c>
      <c r="F96" s="1">
        <v>0</v>
      </c>
      <c r="G96" s="1">
        <v>5</v>
      </c>
      <c r="H96" s="4">
        <v>0.8</v>
      </c>
      <c r="I96" s="1">
        <v>2</v>
      </c>
      <c r="J96" s="4">
        <v>0.5</v>
      </c>
      <c r="K96" s="1">
        <v>0</v>
      </c>
      <c r="L96" s="1">
        <v>5</v>
      </c>
      <c r="M96" s="32">
        <f>IF(Mecze[[#This Row],[PR]]=0,0,Mecze[[#This Row],[PR]]/Mecze[[#This Row],[CZAS]])</f>
        <v>5.1020408163265307E-2</v>
      </c>
      <c r="N96" s="32">
        <f>IF(Mecze[[#This Row],[OU]]=0,0,Mecze[[#This Row],[OU]]/Mecze[[#This Row],[CZAS]])</f>
        <v>1.020408163265306E-2</v>
      </c>
      <c r="O96" s="32">
        <f>IF(Mecze[[#This Row],[PC]]=0,0,Mecze[[#This Row],[PC]]/Mecze[[#This Row],[CZAS]])</f>
        <v>4.0816326530612242E-2</v>
      </c>
      <c r="P96" s="32">
        <f>IF(Mecze[[#This Row],[SC]]=0,0,Mecze[[#This Row],[SC]]/Mecze[[#This Row],[CZAS]])</f>
        <v>0</v>
      </c>
      <c r="Q96" s="32">
        <f>IF(Mecze[[#This Row],[OB]]=0,0,Mecze[[#This Row],[OB]]/Mecze[[#This Row],[CZAS]])</f>
        <v>0</v>
      </c>
      <c r="R96" s="73">
        <f>IF(Mecze[[#This Row],[BR]]=0,0,Mecze[[#This Row],[BR]]/Mecze[[#This Row],[CZAS]])</f>
        <v>0</v>
      </c>
      <c r="S96" s="44">
        <f>IF(Mecze[[#This Row],[Role]]="BR",SUMPRODUCT(Mecze[[#This Row],[/PR:90]:[/BR:90]],Brudnopis!$E$23:$J$23),0)</f>
        <v>0</v>
      </c>
      <c r="T96" s="44">
        <f>IF(Mecze[[#This Row],[Role]]&lt;&gt;"BR",SUMPRODUCT(Mecze[[#This Row],[/PR:90]:[/BR:90]],Brudnopis!$E$24:$J$24),0)</f>
        <v>0.10714285714285715</v>
      </c>
      <c r="U96" s="44">
        <f>IF(Mecze[[#This Row],[Role]]&lt;&gt;"BR",SUMPRODUCT(Mecze[[#This Row],[/PR:90]:[/BR:90]],Brudnopis!$E$25:$J$25),0)</f>
        <v>0.12244897959183673</v>
      </c>
      <c r="V96" s="44">
        <f>IF(Mecze[[#This Row],[Role]]&lt;&gt;"BR",SUMPRODUCT(Mecze[[#This Row],[/PR:90]:[/BR:90]],Brudnopis!$E$26:$J$26),0)</f>
        <v>0.10204081632653061</v>
      </c>
      <c r="W96" s="44">
        <f>IF(Mecze[[#This Row],[Role]]&lt;&gt;"BR",SUMPRODUCT(Mecze[[#This Row],[/PR:90]:[/BR:90]],Brudnopis!$E$27:$J$27),0)</f>
        <v>0.10714285714285715</v>
      </c>
      <c r="X96" s="44">
        <f>IF(Mecze[[#This Row],[Role]]&lt;&gt;"BR",SUMPRODUCT(Mecze[[#This Row],[/PR:90]:[/BR:90]],Brudnopis!$E$28:$J$28),0)</f>
        <v>4.0816326530612242E-2</v>
      </c>
      <c r="Y96" s="35">
        <f>IF(Mecze[[#This Row],[Role]]="BR",Mecze[[#This Row],[/OB:90]]+Mecze[[#This Row],[/PC:90]],SUM(Mecze[[#This Row],[/PR:90]:[/BR:90]]))</f>
        <v>0.10204081632653061</v>
      </c>
      <c r="Z96" s="35">
        <f>IF(Mecze[[#This Row],[KC]]=0,SUM(Mecze[[#This Row],[/BRI]:[/NPI]]),SUM(Mecze[[#This Row],[/BRI]:[/NPI]])*0.6)</f>
        <v>0.47959183673469385</v>
      </c>
      <c r="AA96" s="10">
        <f>IFERROR(Mecze[[#This Row],[BR]]/Mecze[[#This Row],[ST]],0)</f>
        <v>0</v>
      </c>
      <c r="AB96">
        <f>ROUND(Mecze[[#This Row],[PD]]*Mecze[[#This Row],[%PC]],0)</f>
        <v>4</v>
      </c>
      <c r="AC96">
        <f>ROUND(Mecze[[#This Row],[OD]]*Mecze[[#This Row],[%OU]],0)</f>
        <v>1</v>
      </c>
      <c r="AD96" s="36" t="s">
        <v>168</v>
      </c>
      <c r="AE96" s="36">
        <v>6</v>
      </c>
      <c r="AF96" s="71">
        <v>8.09</v>
      </c>
      <c r="AG96" s="37">
        <v>0</v>
      </c>
      <c r="AH96" s="37">
        <v>0</v>
      </c>
      <c r="AI96" s="37">
        <v>98</v>
      </c>
      <c r="AJ96">
        <v>9</v>
      </c>
      <c r="AK96" s="37" t="str">
        <f>VLOOKUP(Mecze[[#This Row],[Match ID]],Meczusie[Mecz]:Meczusie[RodzajMeczu],2,FALSE)</f>
        <v>Liga</v>
      </c>
    </row>
    <row r="97" spans="1:37" x14ac:dyDescent="0.25">
      <c r="A97" s="76">
        <v>2</v>
      </c>
      <c r="B97" s="3" t="s">
        <v>290</v>
      </c>
      <c r="C97" s="2" t="s">
        <v>157</v>
      </c>
      <c r="D97" s="1">
        <v>1</v>
      </c>
      <c r="E97" s="1">
        <v>1</v>
      </c>
      <c r="F97" s="1">
        <v>1</v>
      </c>
      <c r="G97" s="1">
        <v>13</v>
      </c>
      <c r="H97" s="4">
        <v>0.77</v>
      </c>
      <c r="I97" s="1">
        <v>2</v>
      </c>
      <c r="J97" s="4">
        <v>1</v>
      </c>
      <c r="K97" s="1">
        <v>0</v>
      </c>
      <c r="L97" s="1">
        <v>12</v>
      </c>
      <c r="M97" s="32">
        <f>IF(Mecze[[#This Row],[PR]]=0,0,Mecze[[#This Row],[PR]]/Mecze[[#This Row],[CZAS]])</f>
        <v>0.12244897959183673</v>
      </c>
      <c r="N97" s="32">
        <f>IF(Mecze[[#This Row],[OU]]=0,0,Mecze[[#This Row],[OU]]/Mecze[[#This Row],[CZAS]])</f>
        <v>2.0408163265306121E-2</v>
      </c>
      <c r="O97" s="32">
        <f>IF(Mecze[[#This Row],[PC]]=0,0,Mecze[[#This Row],[PC]]/Mecze[[#This Row],[CZAS]])</f>
        <v>0.10204081632653061</v>
      </c>
      <c r="P97" s="32">
        <f>IF(Mecze[[#This Row],[SC]]=0,0,Mecze[[#This Row],[SC]]/Mecze[[#This Row],[CZAS]])</f>
        <v>1.020408163265306E-2</v>
      </c>
      <c r="Q97" s="32">
        <f>IF(Mecze[[#This Row],[OB]]=0,0,Mecze[[#This Row],[OB]]/Mecze[[#This Row],[CZAS]])</f>
        <v>0</v>
      </c>
      <c r="R97" s="73">
        <f>IF(Mecze[[#This Row],[BR]]=0,0,Mecze[[#This Row],[BR]]/Mecze[[#This Row],[CZAS]])</f>
        <v>1.020408163265306E-2</v>
      </c>
      <c r="S97" s="44">
        <f>IF(Mecze[[#This Row],[Role]]="BR",SUMPRODUCT(Mecze[[#This Row],[/PR:90]:[/BR:90]],Brudnopis!$E$23:$J$23),0)</f>
        <v>0</v>
      </c>
      <c r="T97" s="44">
        <f>IF(Mecze[[#This Row],[Role]]&lt;&gt;"BR",SUMPRODUCT(Mecze[[#This Row],[/PR:90]:[/BR:90]],Brudnopis!$E$24:$J$24),0)</f>
        <v>0.28061224489795922</v>
      </c>
      <c r="U97" s="44">
        <f>IF(Mecze[[#This Row],[Role]]&lt;&gt;"BR",SUMPRODUCT(Mecze[[#This Row],[/PR:90]:[/BR:90]],Brudnopis!$E$25:$J$25),0)</f>
        <v>0.32142857142857145</v>
      </c>
      <c r="V97" s="44">
        <f>IF(Mecze[[#This Row],[Role]]&lt;&gt;"BR",SUMPRODUCT(Mecze[[#This Row],[/PR:90]:[/BR:90]],Brudnopis!$E$26:$J$26),0)</f>
        <v>0.27551020408163268</v>
      </c>
      <c r="W97" s="44">
        <f>IF(Mecze[[#This Row],[Role]]&lt;&gt;"BR",SUMPRODUCT(Mecze[[#This Row],[/PR:90]:[/BR:90]],Brudnopis!$E$27:$J$27),0)</f>
        <v>0.29081632653061229</v>
      </c>
      <c r="X97" s="44">
        <f>IF(Mecze[[#This Row],[Role]]&lt;&gt;"BR",SUMPRODUCT(Mecze[[#This Row],[/PR:90]:[/BR:90]],Brudnopis!$E$28:$J$28),0)</f>
        <v>0.15306122448979592</v>
      </c>
      <c r="Y97" s="35">
        <f>IF(Mecze[[#This Row],[Role]]="BR",Mecze[[#This Row],[/OB:90]]+Mecze[[#This Row],[/PC:90]],SUM(Mecze[[#This Row],[/PR:90]:[/BR:90]]))</f>
        <v>0.26530612244897961</v>
      </c>
      <c r="Z97" s="35">
        <f>IF(Mecze[[#This Row],[KC]]=0,SUM(Mecze[[#This Row],[/BRI]:[/NPI]]),SUM(Mecze[[#This Row],[/BRI]:[/NPI]])*0.6)</f>
        <v>1.3214285714285716</v>
      </c>
      <c r="AA97" s="10">
        <f>IFERROR(Mecze[[#This Row],[BR]]/Mecze[[#This Row],[ST]],0)</f>
        <v>1</v>
      </c>
      <c r="AB97">
        <f>ROUND(Mecze[[#This Row],[PD]]*Mecze[[#This Row],[%PC]],0)</f>
        <v>10</v>
      </c>
      <c r="AC97">
        <f>ROUND(Mecze[[#This Row],[OD]]*Mecze[[#This Row],[%OU]],0)</f>
        <v>2</v>
      </c>
      <c r="AD97" s="36" t="s">
        <v>47</v>
      </c>
      <c r="AE97" s="36">
        <v>6</v>
      </c>
      <c r="AF97" s="71">
        <v>9.56</v>
      </c>
      <c r="AG97" s="37">
        <v>0</v>
      </c>
      <c r="AH97" s="37">
        <v>0</v>
      </c>
      <c r="AI97" s="37">
        <v>98</v>
      </c>
      <c r="AJ97">
        <v>9</v>
      </c>
      <c r="AK97" s="37" t="str">
        <f>VLOOKUP(Mecze[[#This Row],[Match ID]],Meczusie[Mecz]:Meczusie[RodzajMeczu],2,FALSE)</f>
        <v>Liga</v>
      </c>
    </row>
    <row r="98" spans="1:37" x14ac:dyDescent="0.25">
      <c r="A98" s="76">
        <v>5</v>
      </c>
      <c r="B98" s="3" t="s">
        <v>291</v>
      </c>
      <c r="C98" s="2" t="s">
        <v>157</v>
      </c>
      <c r="D98" s="1">
        <v>0</v>
      </c>
      <c r="E98" s="1">
        <v>0</v>
      </c>
      <c r="F98" s="1">
        <v>0</v>
      </c>
      <c r="G98" s="1">
        <v>3</v>
      </c>
      <c r="H98" s="4">
        <v>0.33</v>
      </c>
      <c r="I98" s="1">
        <v>0</v>
      </c>
      <c r="J98" s="4"/>
      <c r="K98" s="1">
        <v>0</v>
      </c>
      <c r="L98" s="1">
        <v>3</v>
      </c>
      <c r="M98" s="32">
        <f>IF(Mecze[[#This Row],[PR]]=0,0,Mecze[[#This Row],[PR]]/Mecze[[#This Row],[CZAS]])</f>
        <v>3.0612244897959183E-2</v>
      </c>
      <c r="N98" s="32">
        <f>IF(Mecze[[#This Row],[OU]]=0,0,Mecze[[#This Row],[OU]]/Mecze[[#This Row],[CZAS]])</f>
        <v>0</v>
      </c>
      <c r="O98" s="32">
        <f>IF(Mecze[[#This Row],[PC]]=0,0,Mecze[[#This Row],[PC]]/Mecze[[#This Row],[CZAS]])</f>
        <v>1.020408163265306E-2</v>
      </c>
      <c r="P98" s="32">
        <f>IF(Mecze[[#This Row],[SC]]=0,0,Mecze[[#This Row],[SC]]/Mecze[[#This Row],[CZAS]])</f>
        <v>0</v>
      </c>
      <c r="Q98" s="32">
        <f>IF(Mecze[[#This Row],[OB]]=0,0,Mecze[[#This Row],[OB]]/Mecze[[#This Row],[CZAS]])</f>
        <v>0</v>
      </c>
      <c r="R98" s="32">
        <f>IF(Mecze[[#This Row],[BR]]=0,0,Mecze[[#This Row],[BR]]/Mecze[[#This Row],[CZAS]])</f>
        <v>0</v>
      </c>
      <c r="S98" s="44">
        <f>IF(Mecze[[#This Row],[Role]]="BR",SUMPRODUCT(Mecze[[#This Row],[/PR:90]:[/BR:90]],Brudnopis!$E$23:$J$23),0)</f>
        <v>0</v>
      </c>
      <c r="T98" s="44">
        <f>IF(Mecze[[#This Row],[Role]]&lt;&gt;"BR",SUMPRODUCT(Mecze[[#This Row],[/PR:90]:[/BR:90]],Brudnopis!$E$24:$J$24),0)</f>
        <v>4.0816326530612242E-2</v>
      </c>
      <c r="U98" s="44">
        <f>IF(Mecze[[#This Row],[Role]]&lt;&gt;"BR",SUMPRODUCT(Mecze[[#This Row],[/PR:90]:[/BR:90]],Brudnopis!$E$25:$J$25),0)</f>
        <v>4.5918367346938771E-2</v>
      </c>
      <c r="V98" s="44">
        <f>IF(Mecze[[#This Row],[Role]]&lt;&gt;"BR",SUMPRODUCT(Mecze[[#This Row],[/PR:90]:[/BR:90]],Brudnopis!$E$26:$J$26),0)</f>
        <v>4.0816326530612242E-2</v>
      </c>
      <c r="W98" s="44">
        <f>IF(Mecze[[#This Row],[Role]]&lt;&gt;"BR",SUMPRODUCT(Mecze[[#This Row],[/PR:90]:[/BR:90]],Brudnopis!$E$27:$J$27),0)</f>
        <v>3.826530612244898E-2</v>
      </c>
      <c r="X98" s="44">
        <f>IF(Mecze[[#This Row],[Role]]&lt;&gt;"BR",SUMPRODUCT(Mecze[[#This Row],[/PR:90]:[/BR:90]],Brudnopis!$E$28:$J$28),0)</f>
        <v>1.020408163265306E-2</v>
      </c>
      <c r="Y98" s="35">
        <f>IF(Mecze[[#This Row],[Role]]="BR",Mecze[[#This Row],[/OB:90]]+Mecze[[#This Row],[/PC:90]],SUM(Mecze[[#This Row],[/PR:90]:[/BR:90]]))</f>
        <v>4.0816326530612242E-2</v>
      </c>
      <c r="Z98" s="35">
        <f>IF(Mecze[[#This Row],[KC]]=0,SUM(Mecze[[#This Row],[/BRI]:[/NPI]]),SUM(Mecze[[#This Row],[/BRI]:[/NPI]])*0.6)</f>
        <v>0.17602040816326531</v>
      </c>
      <c r="AA98" s="10">
        <f>IFERROR(Mecze[[#This Row],[BR]]/Mecze[[#This Row],[ST]],0)</f>
        <v>0</v>
      </c>
      <c r="AB98">
        <f>ROUND(Mecze[[#This Row],[PD]]*Mecze[[#This Row],[%PC]],0)</f>
        <v>1</v>
      </c>
      <c r="AC98">
        <f>ROUND(Mecze[[#This Row],[OD]]*Mecze[[#This Row],[%OU]],0)</f>
        <v>0</v>
      </c>
      <c r="AD98" s="36" t="s">
        <v>167</v>
      </c>
      <c r="AE98" s="36">
        <v>6</v>
      </c>
      <c r="AF98" s="71">
        <v>7.67</v>
      </c>
      <c r="AG98" s="37">
        <v>0</v>
      </c>
      <c r="AH98" s="37">
        <v>0</v>
      </c>
      <c r="AI98" s="37">
        <v>98</v>
      </c>
      <c r="AJ98">
        <v>9</v>
      </c>
      <c r="AK98" s="37" t="str">
        <f>VLOOKUP(Mecze[[#This Row],[Match ID]],Meczusie[Mecz]:Meczusie[RodzajMeczu],2,FALSE)</f>
        <v>Liga</v>
      </c>
    </row>
    <row r="99" spans="1:37" x14ac:dyDescent="0.25">
      <c r="A99" s="76">
        <v>3</v>
      </c>
      <c r="B99" s="3" t="s">
        <v>292</v>
      </c>
      <c r="C99" s="2" t="s">
        <v>160</v>
      </c>
      <c r="D99" s="1">
        <v>0</v>
      </c>
      <c r="E99" s="1">
        <v>0</v>
      </c>
      <c r="F99" s="1">
        <v>0</v>
      </c>
      <c r="G99" s="1">
        <v>8</v>
      </c>
      <c r="H99" s="4">
        <v>0.88</v>
      </c>
      <c r="I99" s="1">
        <v>4</v>
      </c>
      <c r="J99" s="4">
        <v>0.25</v>
      </c>
      <c r="K99" s="1">
        <v>0</v>
      </c>
      <c r="L99" s="1">
        <v>7</v>
      </c>
      <c r="M99" s="32">
        <f>IF(Mecze[[#This Row],[PR]]=0,0,Mecze[[#This Row],[PR]]/Mecze[[#This Row],[CZAS]])</f>
        <v>7.1428571428571425E-2</v>
      </c>
      <c r="N99" s="32">
        <f>IF(Mecze[[#This Row],[OU]]=0,0,Mecze[[#This Row],[OU]]/Mecze[[#This Row],[CZAS]])</f>
        <v>1.020408163265306E-2</v>
      </c>
      <c r="O99" s="32">
        <f>IF(Mecze[[#This Row],[PC]]=0,0,Mecze[[#This Row],[PC]]/Mecze[[#This Row],[CZAS]])</f>
        <v>7.1428571428571425E-2</v>
      </c>
      <c r="P99" s="32">
        <f>IF(Mecze[[#This Row],[SC]]=0,0,Mecze[[#This Row],[SC]]/Mecze[[#This Row],[CZAS]])</f>
        <v>0</v>
      </c>
      <c r="Q99" s="32">
        <f>IF(Mecze[[#This Row],[OB]]=0,0,Mecze[[#This Row],[OB]]/Mecze[[#This Row],[CZAS]])</f>
        <v>0</v>
      </c>
      <c r="R99" s="32">
        <f>IF(Mecze[[#This Row],[BR]]=0,0,Mecze[[#This Row],[BR]]/Mecze[[#This Row],[CZAS]])</f>
        <v>0</v>
      </c>
      <c r="S99" s="44">
        <f>IF(Mecze[[#This Row],[Role]]="BR",SUMPRODUCT(Mecze[[#This Row],[/PR:90]:[/BR:90]],Brudnopis!$E$23:$J$23),0)</f>
        <v>0</v>
      </c>
      <c r="T99" s="44">
        <f>IF(Mecze[[#This Row],[Role]]&lt;&gt;"BR",SUMPRODUCT(Mecze[[#This Row],[/PR:90]:[/BR:90]],Brudnopis!$E$24:$J$24),0)</f>
        <v>0.15816326530612246</v>
      </c>
      <c r="U99" s="44">
        <f>IF(Mecze[[#This Row],[Role]]&lt;&gt;"BR",SUMPRODUCT(Mecze[[#This Row],[/PR:90]:[/BR:90]],Brudnopis!$E$25:$J$25),0)</f>
        <v>0.18877551020408162</v>
      </c>
      <c r="V99" s="44">
        <f>IF(Mecze[[#This Row],[Role]]&lt;&gt;"BR",SUMPRODUCT(Mecze[[#This Row],[/PR:90]:[/BR:90]],Brudnopis!$E$26:$J$26),0)</f>
        <v>0.15306122448979592</v>
      </c>
      <c r="W99" s="44">
        <f>IF(Mecze[[#This Row],[Role]]&lt;&gt;"BR",SUMPRODUCT(Mecze[[#This Row],[/PR:90]:[/BR:90]],Brudnopis!$E$27:$J$27),0)</f>
        <v>0.1683673469387755</v>
      </c>
      <c r="X99" s="44">
        <f>IF(Mecze[[#This Row],[Role]]&lt;&gt;"BR",SUMPRODUCT(Mecze[[#This Row],[/PR:90]:[/BR:90]],Brudnopis!$E$28:$J$28),0)</f>
        <v>7.1428571428571425E-2</v>
      </c>
      <c r="Y99" s="35">
        <f>IF(Mecze[[#This Row],[Role]]="BR",Mecze[[#This Row],[/OB:90]]+Mecze[[#This Row],[/PC:90]],SUM(Mecze[[#This Row],[/PR:90]:[/BR:90]]))</f>
        <v>0.15306122448979592</v>
      </c>
      <c r="Z99" s="35">
        <f>IF(Mecze[[#This Row],[KC]]=0,SUM(Mecze[[#This Row],[/BRI]:[/NPI]]),SUM(Mecze[[#This Row],[/BRI]:[/NPI]])*0.6)</f>
        <v>0.73979591836734693</v>
      </c>
      <c r="AA99" s="10">
        <f>IFERROR(Mecze[[#This Row],[BR]]/Mecze[[#This Row],[ST]],0)</f>
        <v>0</v>
      </c>
      <c r="AB99">
        <f>ROUND(Mecze[[#This Row],[PD]]*Mecze[[#This Row],[%PC]],0)</f>
        <v>7</v>
      </c>
      <c r="AC99">
        <f>ROUND(Mecze[[#This Row],[OD]]*Mecze[[#This Row],[%OU]],0)</f>
        <v>1</v>
      </c>
      <c r="AD99" s="36" t="s">
        <v>173</v>
      </c>
      <c r="AE99" s="36">
        <v>6</v>
      </c>
      <c r="AF99" s="71">
        <v>10.63</v>
      </c>
      <c r="AG99" s="37">
        <v>0</v>
      </c>
      <c r="AH99" s="37">
        <v>0</v>
      </c>
      <c r="AI99" s="37">
        <v>98</v>
      </c>
      <c r="AJ99">
        <v>9</v>
      </c>
      <c r="AK99" s="37" t="str">
        <f>VLOOKUP(Mecze[[#This Row],[Match ID]],Meczusie[Mecz]:Meczusie[RodzajMeczu],2,FALSE)</f>
        <v>Liga</v>
      </c>
    </row>
    <row r="100" spans="1:37" x14ac:dyDescent="0.25">
      <c r="A100" s="76">
        <v>14</v>
      </c>
      <c r="B100" s="3" t="s">
        <v>293</v>
      </c>
      <c r="C100" s="2" t="s">
        <v>160</v>
      </c>
      <c r="D100" s="1">
        <v>0</v>
      </c>
      <c r="E100" s="1">
        <v>0</v>
      </c>
      <c r="F100" s="1">
        <v>0</v>
      </c>
      <c r="G100" s="1">
        <v>0</v>
      </c>
      <c r="H100" s="72"/>
      <c r="I100" s="1">
        <v>0</v>
      </c>
      <c r="J100" s="4"/>
      <c r="K100" s="1">
        <v>0</v>
      </c>
      <c r="L100" s="1">
        <v>0</v>
      </c>
      <c r="M100" s="32">
        <f>IF(Mecze[[#This Row],[PR]]=0,0,Mecze[[#This Row],[PR]]/Mecze[[#This Row],[CZAS]])</f>
        <v>0</v>
      </c>
      <c r="N100" s="32">
        <f>IF(Mecze[[#This Row],[OU]]=0,0,Mecze[[#This Row],[OU]]/Mecze[[#This Row],[CZAS]])</f>
        <v>0</v>
      </c>
      <c r="O100" s="32">
        <f>IF(Mecze[[#This Row],[PC]]=0,0,Mecze[[#This Row],[PC]]/Mecze[[#This Row],[CZAS]])</f>
        <v>0</v>
      </c>
      <c r="P100" s="32">
        <f>IF(Mecze[[#This Row],[SC]]=0,0,Mecze[[#This Row],[SC]]/Mecze[[#This Row],[CZAS]])</f>
        <v>0</v>
      </c>
      <c r="Q100" s="32">
        <f>IF(Mecze[[#This Row],[OB]]=0,0,Mecze[[#This Row],[OB]]/Mecze[[#This Row],[CZAS]])</f>
        <v>0</v>
      </c>
      <c r="R100" s="32">
        <f>IF(Mecze[[#This Row],[BR]]=0,0,Mecze[[#This Row],[BR]]/Mecze[[#This Row],[CZAS]])</f>
        <v>0</v>
      </c>
      <c r="S100" s="44">
        <f>IF(Mecze[[#This Row],[Role]]="BR",SUMPRODUCT(Mecze[[#This Row],[/PR:90]:[/BR:90]],Brudnopis!$E$23:$J$23),0)</f>
        <v>0</v>
      </c>
      <c r="T100" s="44">
        <f>IF(Mecze[[#This Row],[Role]]&lt;&gt;"BR",SUMPRODUCT(Mecze[[#This Row],[/PR:90]:[/BR:90]],Brudnopis!$E$24:$J$24),0)</f>
        <v>0</v>
      </c>
      <c r="U100" s="44">
        <f>IF(Mecze[[#This Row],[Role]]&lt;&gt;"BR",SUMPRODUCT(Mecze[[#This Row],[/PR:90]:[/BR:90]],Brudnopis!$E$25:$J$25),0)</f>
        <v>0</v>
      </c>
      <c r="V100" s="44">
        <f>IF(Mecze[[#This Row],[Role]]&lt;&gt;"BR",SUMPRODUCT(Mecze[[#This Row],[/PR:90]:[/BR:90]],Brudnopis!$E$26:$J$26),0)</f>
        <v>0</v>
      </c>
      <c r="W100" s="44">
        <f>IF(Mecze[[#This Row],[Role]]&lt;&gt;"BR",SUMPRODUCT(Mecze[[#This Row],[/PR:90]:[/BR:90]],Brudnopis!$E$27:$J$27),0)</f>
        <v>0</v>
      </c>
      <c r="X100" s="44">
        <f>IF(Mecze[[#This Row],[Role]]&lt;&gt;"BR",SUMPRODUCT(Mecze[[#This Row],[/PR:90]:[/BR:90]],Brudnopis!$E$28:$J$28),0)</f>
        <v>0</v>
      </c>
      <c r="Y100" s="35">
        <f>IF(Mecze[[#This Row],[Role]]="BR",Mecze[[#This Row],[/OB:90]]+Mecze[[#This Row],[/PC:90]],SUM(Mecze[[#This Row],[/PR:90]:[/BR:90]]))</f>
        <v>0</v>
      </c>
      <c r="Z100" s="35">
        <f>IF(Mecze[[#This Row],[KC]]=0,SUM(Mecze[[#This Row],[/BRI]:[/NPI]]),SUM(Mecze[[#This Row],[/BRI]:[/NPI]])*0.6)</f>
        <v>0</v>
      </c>
      <c r="AA100" s="10">
        <f>IFERROR(Mecze[[#This Row],[BR]]/Mecze[[#This Row],[ST]],0)</f>
        <v>0</v>
      </c>
      <c r="AB100">
        <f>ROUND(Mecze[[#This Row],[PD]]*Mecze[[#This Row],[%PC]],0)</f>
        <v>0</v>
      </c>
      <c r="AC100">
        <f>ROUND(Mecze[[#This Row],[OD]]*Mecze[[#This Row],[%OU]],0)</f>
        <v>0</v>
      </c>
      <c r="AD100" s="36" t="s">
        <v>172</v>
      </c>
      <c r="AE100" s="36">
        <v>6</v>
      </c>
      <c r="AF100" s="71">
        <v>7.04</v>
      </c>
      <c r="AG100" s="37">
        <v>0</v>
      </c>
      <c r="AH100" s="37">
        <v>0</v>
      </c>
      <c r="AI100" s="37">
        <v>98</v>
      </c>
      <c r="AJ100">
        <v>9</v>
      </c>
      <c r="AK100" s="37" t="str">
        <f>VLOOKUP(Mecze[[#This Row],[Match ID]],Meczusie[Mecz]:Meczusie[RodzajMeczu],2,FALSE)</f>
        <v>Liga</v>
      </c>
    </row>
    <row r="101" spans="1:37" x14ac:dyDescent="0.25">
      <c r="A101" s="76">
        <v>8</v>
      </c>
      <c r="B101" s="3" t="s">
        <v>294</v>
      </c>
      <c r="C101" s="2" t="s">
        <v>160</v>
      </c>
      <c r="D101" s="1">
        <v>0</v>
      </c>
      <c r="E101" s="1">
        <v>0</v>
      </c>
      <c r="F101" s="1">
        <v>0</v>
      </c>
      <c r="G101" s="1">
        <v>23</v>
      </c>
      <c r="H101" s="4">
        <v>0.87</v>
      </c>
      <c r="I101" s="1">
        <v>4</v>
      </c>
      <c r="J101" s="4">
        <v>1</v>
      </c>
      <c r="K101" s="1">
        <v>0</v>
      </c>
      <c r="L101" s="1">
        <v>17</v>
      </c>
      <c r="M101" s="32">
        <f>IF(Mecze[[#This Row],[PR]]=0,0,Mecze[[#This Row],[PR]]/Mecze[[#This Row],[CZAS]])</f>
        <v>0.17346938775510204</v>
      </c>
      <c r="N101" s="32">
        <f>IF(Mecze[[#This Row],[OU]]=0,0,Mecze[[#This Row],[OU]]/Mecze[[#This Row],[CZAS]])</f>
        <v>4.0816326530612242E-2</v>
      </c>
      <c r="O101" s="32">
        <f>IF(Mecze[[#This Row],[PC]]=0,0,Mecze[[#This Row],[PC]]/Mecze[[#This Row],[CZAS]])</f>
        <v>0.20408163265306123</v>
      </c>
      <c r="P101" s="32">
        <f>IF(Mecze[[#This Row],[SC]]=0,0,Mecze[[#This Row],[SC]]/Mecze[[#This Row],[CZAS]])</f>
        <v>0</v>
      </c>
      <c r="Q101" s="32">
        <f>IF(Mecze[[#This Row],[OB]]=0,0,Mecze[[#This Row],[OB]]/Mecze[[#This Row],[CZAS]])</f>
        <v>0</v>
      </c>
      <c r="R101" s="32">
        <f>IF(Mecze[[#This Row],[BR]]=0,0,Mecze[[#This Row],[BR]]/Mecze[[#This Row],[CZAS]])</f>
        <v>0</v>
      </c>
      <c r="S101" s="44">
        <f>IF(Mecze[[#This Row],[Role]]="BR",SUMPRODUCT(Mecze[[#This Row],[/PR:90]:[/BR:90]],Brudnopis!$E$23:$J$23),0)</f>
        <v>0</v>
      </c>
      <c r="T101" s="44">
        <f>IF(Mecze[[#This Row],[Role]]&lt;&gt;"BR",SUMPRODUCT(Mecze[[#This Row],[/PR:90]:[/BR:90]],Brudnopis!$E$24:$J$24),0)</f>
        <v>0.43877551020408162</v>
      </c>
      <c r="U101" s="44">
        <f>IF(Mecze[[#This Row],[Role]]&lt;&gt;"BR",SUMPRODUCT(Mecze[[#This Row],[/PR:90]:[/BR:90]],Brudnopis!$E$25:$J$25),0)</f>
        <v>0.52040816326530615</v>
      </c>
      <c r="V101" s="44">
        <f>IF(Mecze[[#This Row],[Role]]&lt;&gt;"BR",SUMPRODUCT(Mecze[[#This Row],[/PR:90]:[/BR:90]],Brudnopis!$E$26:$J$26),0)</f>
        <v>0.41836734693877553</v>
      </c>
      <c r="W101" s="44">
        <f>IF(Mecze[[#This Row],[Role]]&lt;&gt;"BR",SUMPRODUCT(Mecze[[#This Row],[/PR:90]:[/BR:90]],Brudnopis!$E$27:$J$27),0)</f>
        <v>0.46683673469387754</v>
      </c>
      <c r="X101" s="44">
        <f>IF(Mecze[[#This Row],[Role]]&lt;&gt;"BR",SUMPRODUCT(Mecze[[#This Row],[/PR:90]:[/BR:90]],Brudnopis!$E$28:$J$28),0)</f>
        <v>0.20408163265306123</v>
      </c>
      <c r="Y101" s="35">
        <f>IF(Mecze[[#This Row],[Role]]="BR",Mecze[[#This Row],[/OB:90]]+Mecze[[#This Row],[/PC:90]],SUM(Mecze[[#This Row],[/PR:90]:[/BR:90]]))</f>
        <v>0.41836734693877553</v>
      </c>
      <c r="Z101" s="35">
        <f>IF(Mecze[[#This Row],[KC]]=0,SUM(Mecze[[#This Row],[/BRI]:[/NPI]]),SUM(Mecze[[#This Row],[/BRI]:[/NPI]])*0.6)</f>
        <v>2.0484693877551017</v>
      </c>
      <c r="AA101" s="10">
        <f>IFERROR(Mecze[[#This Row],[BR]]/Mecze[[#This Row],[ST]],0)</f>
        <v>0</v>
      </c>
      <c r="AB101">
        <f>ROUND(Mecze[[#This Row],[PD]]*Mecze[[#This Row],[%PC]],0)</f>
        <v>20</v>
      </c>
      <c r="AC101">
        <f>ROUND(Mecze[[#This Row],[OD]]*Mecze[[#This Row],[%OU]],0)</f>
        <v>4</v>
      </c>
      <c r="AD101" s="36" t="s">
        <v>67</v>
      </c>
      <c r="AE101" s="36">
        <v>6</v>
      </c>
      <c r="AF101" s="71">
        <v>12.73</v>
      </c>
      <c r="AG101" s="37">
        <v>0</v>
      </c>
      <c r="AH101" s="37">
        <v>0</v>
      </c>
      <c r="AI101" s="37">
        <v>98</v>
      </c>
      <c r="AJ101">
        <v>9</v>
      </c>
      <c r="AK101" s="37" t="str">
        <f>VLOOKUP(Mecze[[#This Row],[Match ID]],Meczusie[Mecz]:Meczusie[RodzajMeczu],2,FALSE)</f>
        <v>Liga</v>
      </c>
    </row>
    <row r="102" spans="1:37" x14ac:dyDescent="0.25">
      <c r="A102" s="76">
        <v>13</v>
      </c>
      <c r="B102" s="3" t="s">
        <v>295</v>
      </c>
      <c r="C102" s="2" t="s">
        <v>160</v>
      </c>
      <c r="D102" s="1">
        <v>0</v>
      </c>
      <c r="E102" s="1">
        <v>1</v>
      </c>
      <c r="F102" s="1">
        <v>1</v>
      </c>
      <c r="G102" s="1">
        <v>14</v>
      </c>
      <c r="H102" s="4">
        <v>0.86</v>
      </c>
      <c r="I102" s="1">
        <v>3</v>
      </c>
      <c r="J102" s="4">
        <v>0</v>
      </c>
      <c r="K102" s="1">
        <v>0</v>
      </c>
      <c r="L102" s="1">
        <v>4</v>
      </c>
      <c r="M102" s="32">
        <f>IF(Mecze[[#This Row],[PR]]=0,0,Mecze[[#This Row],[PR]]/Mecze[[#This Row],[CZAS]])</f>
        <v>4.0816326530612242E-2</v>
      </c>
      <c r="N102" s="32">
        <f>IF(Mecze[[#This Row],[OU]]=0,0,Mecze[[#This Row],[OU]]/Mecze[[#This Row],[CZAS]])</f>
        <v>0</v>
      </c>
      <c r="O102" s="32">
        <f>IF(Mecze[[#This Row],[PC]]=0,0,Mecze[[#This Row],[PC]]/Mecze[[#This Row],[CZAS]])</f>
        <v>0.12244897959183673</v>
      </c>
      <c r="P102" s="32">
        <f>IF(Mecze[[#This Row],[SC]]=0,0,Mecze[[#This Row],[SC]]/Mecze[[#This Row],[CZAS]])</f>
        <v>1.020408163265306E-2</v>
      </c>
      <c r="Q102" s="32">
        <f>IF(Mecze[[#This Row],[OB]]=0,0,Mecze[[#This Row],[OB]]/Mecze[[#This Row],[CZAS]])</f>
        <v>0</v>
      </c>
      <c r="R102" s="32">
        <f>IF(Mecze[[#This Row],[BR]]=0,0,Mecze[[#This Row],[BR]]/Mecze[[#This Row],[CZAS]])</f>
        <v>0</v>
      </c>
      <c r="S102" s="44">
        <f>IF(Mecze[[#This Row],[Role]]="BR",SUMPRODUCT(Mecze[[#This Row],[/PR:90]:[/BR:90]],Brudnopis!$E$23:$J$23),0)</f>
        <v>0</v>
      </c>
      <c r="T102" s="44">
        <f>IF(Mecze[[#This Row],[Role]]&lt;&gt;"BR",SUMPRODUCT(Mecze[[#This Row],[/PR:90]:[/BR:90]],Brudnopis!$E$24:$J$24),0)</f>
        <v>0.17346938775510204</v>
      </c>
      <c r="U102" s="44">
        <f>IF(Mecze[[#This Row],[Role]]&lt;&gt;"BR",SUMPRODUCT(Mecze[[#This Row],[/PR:90]:[/BR:90]],Brudnopis!$E$25:$J$25),0)</f>
        <v>0.23469387755102039</v>
      </c>
      <c r="V102" s="44">
        <f>IF(Mecze[[#This Row],[Role]]&lt;&gt;"BR",SUMPRODUCT(Mecze[[#This Row],[/PR:90]:[/BR:90]],Brudnopis!$E$26:$J$26),0)</f>
        <v>0.17346938775510204</v>
      </c>
      <c r="W102" s="44">
        <f>IF(Mecze[[#This Row],[Role]]&lt;&gt;"BR",SUMPRODUCT(Mecze[[#This Row],[/PR:90]:[/BR:90]],Brudnopis!$E$27:$J$27),0)</f>
        <v>0.22448979591836735</v>
      </c>
      <c r="X102" s="44">
        <f>IF(Mecze[[#This Row],[Role]]&lt;&gt;"BR",SUMPRODUCT(Mecze[[#This Row],[/PR:90]:[/BR:90]],Brudnopis!$E$28:$J$28),0)</f>
        <v>0.14285714285714285</v>
      </c>
      <c r="Y102" s="35">
        <f>IF(Mecze[[#This Row],[Role]]="BR",Mecze[[#This Row],[/OB:90]]+Mecze[[#This Row],[/PC:90]],SUM(Mecze[[#This Row],[/PR:90]:[/BR:90]]))</f>
        <v>0.17346938775510204</v>
      </c>
      <c r="Z102" s="35">
        <f>IF(Mecze[[#This Row],[KC]]=0,SUM(Mecze[[#This Row],[/BRI]:[/NPI]]),SUM(Mecze[[#This Row],[/BRI]:[/NPI]])*0.6)</f>
        <v>0.94897959183673475</v>
      </c>
      <c r="AA102" s="10">
        <f>IFERROR(Mecze[[#This Row],[BR]]/Mecze[[#This Row],[ST]],0)</f>
        <v>0</v>
      </c>
      <c r="AB102">
        <f>ROUND(Mecze[[#This Row],[PD]]*Mecze[[#This Row],[%PC]],0)</f>
        <v>12</v>
      </c>
      <c r="AC102">
        <f>ROUND(Mecze[[#This Row],[OD]]*Mecze[[#This Row],[%OU]],0)</f>
        <v>0</v>
      </c>
      <c r="AD102" s="36" t="s">
        <v>171</v>
      </c>
      <c r="AE102" s="36">
        <v>6</v>
      </c>
      <c r="AF102" s="71">
        <v>10.23</v>
      </c>
      <c r="AG102" s="37">
        <v>0</v>
      </c>
      <c r="AH102" s="37">
        <v>0</v>
      </c>
      <c r="AI102" s="37">
        <v>98</v>
      </c>
      <c r="AJ102">
        <v>9</v>
      </c>
      <c r="AK102" s="37" t="str">
        <f>VLOOKUP(Mecze[[#This Row],[Match ID]],Meczusie[Mecz]:Meczusie[RodzajMeczu],2,FALSE)</f>
        <v>Liga</v>
      </c>
    </row>
    <row r="103" spans="1:37" x14ac:dyDescent="0.25">
      <c r="A103" s="76">
        <v>9</v>
      </c>
      <c r="B103" s="3" t="s">
        <v>296</v>
      </c>
      <c r="C103" s="2" t="s">
        <v>160</v>
      </c>
      <c r="D103" s="1">
        <v>0</v>
      </c>
      <c r="E103" s="1">
        <v>0</v>
      </c>
      <c r="F103" s="1">
        <v>0</v>
      </c>
      <c r="G103" s="1">
        <v>17</v>
      </c>
      <c r="H103" s="4">
        <v>0.53</v>
      </c>
      <c r="I103" s="1">
        <v>3</v>
      </c>
      <c r="J103" s="4">
        <v>0.67</v>
      </c>
      <c r="K103" s="1">
        <v>0</v>
      </c>
      <c r="L103" s="1">
        <v>3</v>
      </c>
      <c r="M103" s="32">
        <f>IF(Mecze[[#This Row],[PR]]=0,0,Mecze[[#This Row],[PR]]/Mecze[[#This Row],[CZAS]])</f>
        <v>3.0612244897959183E-2</v>
      </c>
      <c r="N103" s="32">
        <f>IF(Mecze[[#This Row],[OU]]=0,0,Mecze[[#This Row],[OU]]/Mecze[[#This Row],[CZAS]])</f>
        <v>2.0408163265306121E-2</v>
      </c>
      <c r="O103" s="32">
        <f>IF(Mecze[[#This Row],[PC]]=0,0,Mecze[[#This Row],[PC]]/Mecze[[#This Row],[CZAS]])</f>
        <v>9.1836734693877556E-2</v>
      </c>
      <c r="P103" s="32">
        <f>IF(Mecze[[#This Row],[SC]]=0,0,Mecze[[#This Row],[SC]]/Mecze[[#This Row],[CZAS]])</f>
        <v>0</v>
      </c>
      <c r="Q103" s="32">
        <f>IF(Mecze[[#This Row],[OB]]=0,0,Mecze[[#This Row],[OB]]/Mecze[[#This Row],[CZAS]])</f>
        <v>0</v>
      </c>
      <c r="R103" s="32">
        <f>IF(Mecze[[#This Row],[BR]]=0,0,Mecze[[#This Row],[BR]]/Mecze[[#This Row],[CZAS]])</f>
        <v>0</v>
      </c>
      <c r="S103" s="44">
        <f>IF(Mecze[[#This Row],[Role]]="BR",SUMPRODUCT(Mecze[[#This Row],[/PR:90]:[/BR:90]],Brudnopis!$E$23:$J$23),0)</f>
        <v>0</v>
      </c>
      <c r="T103" s="44">
        <f>IF(Mecze[[#This Row],[Role]]&lt;&gt;"BR",SUMPRODUCT(Mecze[[#This Row],[/PR:90]:[/BR:90]],Brudnopis!$E$24:$J$24),0)</f>
        <v>0.15306122448979592</v>
      </c>
      <c r="U103" s="44">
        <f>IF(Mecze[[#This Row],[Role]]&lt;&gt;"BR",SUMPRODUCT(Mecze[[#This Row],[/PR:90]:[/BR:90]],Brudnopis!$E$25:$J$25),0)</f>
        <v>0.18877551020408165</v>
      </c>
      <c r="V103" s="44">
        <f>IF(Mecze[[#This Row],[Role]]&lt;&gt;"BR",SUMPRODUCT(Mecze[[#This Row],[/PR:90]:[/BR:90]],Brudnopis!$E$26:$J$26),0)</f>
        <v>0.14285714285714285</v>
      </c>
      <c r="W103" s="44">
        <f>IF(Mecze[[#This Row],[Role]]&lt;&gt;"BR",SUMPRODUCT(Mecze[[#This Row],[/PR:90]:[/BR:90]],Brudnopis!$E$27:$J$27),0)</f>
        <v>0.17602040816326531</v>
      </c>
      <c r="X103" s="44">
        <f>IF(Mecze[[#This Row],[Role]]&lt;&gt;"BR",SUMPRODUCT(Mecze[[#This Row],[/PR:90]:[/BR:90]],Brudnopis!$E$28:$J$28),0)</f>
        <v>9.1836734693877556E-2</v>
      </c>
      <c r="Y103" s="35">
        <f>IF(Mecze[[#This Row],[Role]]="BR",Mecze[[#This Row],[/OB:90]]+Mecze[[#This Row],[/PC:90]],SUM(Mecze[[#This Row],[/PR:90]:[/BR:90]]))</f>
        <v>0.14285714285714285</v>
      </c>
      <c r="Z103" s="35">
        <f>IF(Mecze[[#This Row],[KC]]=0,SUM(Mecze[[#This Row],[/BRI]:[/NPI]]),SUM(Mecze[[#This Row],[/BRI]:[/NPI]])*0.6)</f>
        <v>0.75255102040816324</v>
      </c>
      <c r="AA103" s="10">
        <f>IFERROR(Mecze[[#This Row],[BR]]/Mecze[[#This Row],[ST]],0)</f>
        <v>0</v>
      </c>
      <c r="AB103">
        <f>ROUND(Mecze[[#This Row],[PD]]*Mecze[[#This Row],[%PC]],0)</f>
        <v>9</v>
      </c>
      <c r="AC103">
        <f>ROUND(Mecze[[#This Row],[OD]]*Mecze[[#This Row],[%OU]],0)</f>
        <v>2</v>
      </c>
      <c r="AD103" s="36" t="s">
        <v>299</v>
      </c>
      <c r="AE103" s="36">
        <v>6</v>
      </c>
      <c r="AF103" s="71">
        <v>8.8800000000000008</v>
      </c>
      <c r="AG103" s="37">
        <v>0</v>
      </c>
      <c r="AH103" s="37">
        <v>0</v>
      </c>
      <c r="AI103" s="37">
        <v>98</v>
      </c>
      <c r="AJ103">
        <v>9</v>
      </c>
      <c r="AK103" s="37" t="str">
        <f>VLOOKUP(Mecze[[#This Row],[Match ID]],Meczusie[Mecz]:Meczusie[RodzajMeczu],2,FALSE)</f>
        <v>Liga</v>
      </c>
    </row>
    <row r="104" spans="1:37" x14ac:dyDescent="0.25">
      <c r="A104" s="76">
        <v>6</v>
      </c>
      <c r="B104" s="3" t="s">
        <v>297</v>
      </c>
      <c r="C104" s="2" t="s">
        <v>165</v>
      </c>
      <c r="D104" s="1">
        <v>4</v>
      </c>
      <c r="E104" s="1">
        <v>5</v>
      </c>
      <c r="F104" s="1">
        <v>4</v>
      </c>
      <c r="G104" s="1">
        <v>9</v>
      </c>
      <c r="H104" s="4">
        <v>0.89</v>
      </c>
      <c r="I104" s="1">
        <v>0</v>
      </c>
      <c r="J104" s="4"/>
      <c r="K104" s="1">
        <v>0</v>
      </c>
      <c r="L104" s="1">
        <v>3</v>
      </c>
      <c r="M104" s="32">
        <f>IF(Mecze[[#This Row],[PR]]=0,0,Mecze[[#This Row],[PR]]/Mecze[[#This Row],[CZAS]])</f>
        <v>3.0612244897959183E-2</v>
      </c>
      <c r="N104" s="32">
        <f>IF(Mecze[[#This Row],[OU]]=0,0,Mecze[[#This Row],[OU]]/Mecze[[#This Row],[CZAS]])</f>
        <v>0</v>
      </c>
      <c r="O104" s="32">
        <f>IF(Mecze[[#This Row],[PC]]=0,0,Mecze[[#This Row],[PC]]/Mecze[[#This Row],[CZAS]])</f>
        <v>8.1632653061224483E-2</v>
      </c>
      <c r="P104" s="32">
        <f>IF(Mecze[[#This Row],[SC]]=0,0,Mecze[[#This Row],[SC]]/Mecze[[#This Row],[CZAS]])</f>
        <v>4.0816326530612242E-2</v>
      </c>
      <c r="Q104" s="32">
        <f>IF(Mecze[[#This Row],[OB]]=0,0,Mecze[[#This Row],[OB]]/Mecze[[#This Row],[CZAS]])</f>
        <v>0</v>
      </c>
      <c r="R104" s="32">
        <f>IF(Mecze[[#This Row],[BR]]=0,0,Mecze[[#This Row],[BR]]/Mecze[[#This Row],[CZAS]])</f>
        <v>4.0816326530612242E-2</v>
      </c>
      <c r="S104" s="44">
        <f>IF(Mecze[[#This Row],[Role]]="BR",SUMPRODUCT(Mecze[[#This Row],[/PR:90]:[/BR:90]],Brudnopis!$E$23:$J$23),0)</f>
        <v>0</v>
      </c>
      <c r="T104" s="44">
        <f>IF(Mecze[[#This Row],[Role]]&lt;&gt;"BR",SUMPRODUCT(Mecze[[#This Row],[/PR:90]:[/BR:90]],Brudnopis!$E$24:$J$24),0)</f>
        <v>0.21428571428571425</v>
      </c>
      <c r="U104" s="44">
        <f>IF(Mecze[[#This Row],[Role]]&lt;&gt;"BR",SUMPRODUCT(Mecze[[#This Row],[/PR:90]:[/BR:90]],Brudnopis!$E$25:$J$25),0)</f>
        <v>0.25510204081632654</v>
      </c>
      <c r="V104" s="44">
        <f>IF(Mecze[[#This Row],[Role]]&lt;&gt;"BR",SUMPRODUCT(Mecze[[#This Row],[/PR:90]:[/BR:90]],Brudnopis!$E$26:$J$26),0)</f>
        <v>0.23469387755102039</v>
      </c>
      <c r="W104" s="44">
        <f>IF(Mecze[[#This Row],[Role]]&lt;&gt;"BR",SUMPRODUCT(Mecze[[#This Row],[/PR:90]:[/BR:90]],Brudnopis!$E$27:$J$27),0)</f>
        <v>0.26785714285714285</v>
      </c>
      <c r="X104" s="44">
        <f>IF(Mecze[[#This Row],[Role]]&lt;&gt;"BR",SUMPRODUCT(Mecze[[#This Row],[/PR:90]:[/BR:90]],Brudnopis!$E$28:$J$28),0)</f>
        <v>0.2857142857142857</v>
      </c>
      <c r="Y104" s="35">
        <f>IF(Mecze[[#This Row],[Role]]="BR",Mecze[[#This Row],[/OB:90]]+Mecze[[#This Row],[/PC:90]],SUM(Mecze[[#This Row],[/PR:90]:[/BR:90]]))</f>
        <v>0.19387755102040813</v>
      </c>
      <c r="Z104" s="35">
        <f>IF(Mecze[[#This Row],[KC]]=0,SUM(Mecze[[#This Row],[/BRI]:[/NPI]]),SUM(Mecze[[#This Row],[/BRI]:[/NPI]])*0.6)</f>
        <v>1.2576530612244898</v>
      </c>
      <c r="AA104" s="10">
        <f>IFERROR(Mecze[[#This Row],[BR]]/Mecze[[#This Row],[ST]],0)</f>
        <v>0.8</v>
      </c>
      <c r="AB104">
        <f>ROUND(Mecze[[#This Row],[PD]]*Mecze[[#This Row],[%PC]],0)</f>
        <v>8</v>
      </c>
      <c r="AC104">
        <f>ROUND(Mecze[[#This Row],[OD]]*Mecze[[#This Row],[%OU]],0)</f>
        <v>0</v>
      </c>
      <c r="AD104" s="36" t="s">
        <v>46</v>
      </c>
      <c r="AE104" s="36">
        <v>6</v>
      </c>
      <c r="AF104" s="71">
        <v>16.260000000000002</v>
      </c>
      <c r="AG104" s="37">
        <v>0</v>
      </c>
      <c r="AH104" s="37">
        <v>0</v>
      </c>
      <c r="AI104" s="37">
        <v>98</v>
      </c>
      <c r="AJ104">
        <v>9</v>
      </c>
      <c r="AK104" s="37" t="str">
        <f>VLOOKUP(Mecze[[#This Row],[Match ID]],Meczusie[Mecz]:Meczusie[RodzajMeczu],2,FALSE)</f>
        <v>Liga</v>
      </c>
    </row>
    <row r="105" spans="1:37" x14ac:dyDescent="0.25">
      <c r="A105" s="76">
        <v>10</v>
      </c>
      <c r="B105" s="3" t="s">
        <v>298</v>
      </c>
      <c r="C105" s="2" t="s">
        <v>165</v>
      </c>
      <c r="D105" s="1">
        <v>7</v>
      </c>
      <c r="E105" s="1">
        <v>24</v>
      </c>
      <c r="F105" s="1">
        <v>20</v>
      </c>
      <c r="G105" s="1">
        <v>6</v>
      </c>
      <c r="H105" s="4">
        <v>1</v>
      </c>
      <c r="I105" s="1">
        <v>2</v>
      </c>
      <c r="J105" s="4">
        <v>0.5</v>
      </c>
      <c r="K105" s="1">
        <v>0</v>
      </c>
      <c r="L105" s="1">
        <v>1</v>
      </c>
      <c r="M105" s="32">
        <f>IF(Mecze[[#This Row],[PR]]=0,0,Mecze[[#This Row],[PR]]/Mecze[[#This Row],[CZAS]])</f>
        <v>1.020408163265306E-2</v>
      </c>
      <c r="N105" s="32">
        <f>IF(Mecze[[#This Row],[OU]]=0,0,Mecze[[#This Row],[OU]]/Mecze[[#This Row],[CZAS]])</f>
        <v>1.020408163265306E-2</v>
      </c>
      <c r="O105" s="32">
        <f>IF(Mecze[[#This Row],[PC]]=0,0,Mecze[[#This Row],[PC]]/Mecze[[#This Row],[CZAS]])</f>
        <v>6.1224489795918366E-2</v>
      </c>
      <c r="P105" s="32">
        <f>IF(Mecze[[#This Row],[SC]]=0,0,Mecze[[#This Row],[SC]]/Mecze[[#This Row],[CZAS]])</f>
        <v>0.20408163265306123</v>
      </c>
      <c r="Q105" s="32">
        <f>IF(Mecze[[#This Row],[OB]]=0,0,Mecze[[#This Row],[OB]]/Mecze[[#This Row],[CZAS]])</f>
        <v>0</v>
      </c>
      <c r="R105" s="32">
        <f>IF(Mecze[[#This Row],[BR]]=0,0,Mecze[[#This Row],[BR]]/Mecze[[#This Row],[CZAS]])</f>
        <v>7.1428571428571425E-2</v>
      </c>
      <c r="S105" s="44">
        <f>IF(Mecze[[#This Row],[Role]]="BR",SUMPRODUCT(Mecze[[#This Row],[/PR:90]:[/BR:90]],Brudnopis!$E$23:$J$23),0)</f>
        <v>0</v>
      </c>
      <c r="T105" s="44">
        <f>IF(Mecze[[#This Row],[Role]]&lt;&gt;"BR",SUMPRODUCT(Mecze[[#This Row],[/PR:90]:[/BR:90]],Brudnopis!$E$24:$J$24),0)</f>
        <v>0.39795918367346939</v>
      </c>
      <c r="U105" s="44">
        <f>IF(Mecze[[#This Row],[Role]]&lt;&gt;"BR",SUMPRODUCT(Mecze[[#This Row],[/PR:90]:[/BR:90]],Brudnopis!$E$25:$J$25),0)</f>
        <v>0.42346938775510207</v>
      </c>
      <c r="V105" s="44">
        <f>IF(Mecze[[#This Row],[Role]]&lt;&gt;"BR",SUMPRODUCT(Mecze[[#This Row],[/PR:90]:[/BR:90]],Brudnopis!$E$26:$J$26),0)</f>
        <v>0.42857142857142855</v>
      </c>
      <c r="W105" s="44">
        <f>IF(Mecze[[#This Row],[Role]]&lt;&gt;"BR",SUMPRODUCT(Mecze[[#This Row],[/PR:90]:[/BR:90]],Brudnopis!$E$27:$J$27),0)</f>
        <v>0.45408163265306123</v>
      </c>
      <c r="X105" s="44">
        <f>IF(Mecze[[#This Row],[Role]]&lt;&gt;"BR",SUMPRODUCT(Mecze[[#This Row],[/PR:90]:[/BR:90]],Brudnopis!$E$28:$J$28),0)</f>
        <v>0.68367346938775508</v>
      </c>
      <c r="Y105" s="35">
        <f>IF(Mecze[[#This Row],[Role]]="BR",Mecze[[#This Row],[/OB:90]]+Mecze[[#This Row],[/PC:90]],SUM(Mecze[[#This Row],[/PR:90]:[/BR:90]]))</f>
        <v>0.3571428571428571</v>
      </c>
      <c r="Z105" s="35">
        <f>IF(Mecze[[#This Row],[KC]]=0,SUM(Mecze[[#This Row],[/BRI]:[/NPI]]),SUM(Mecze[[#This Row],[/BRI]:[/NPI]])*0.6)</f>
        <v>2.3877551020408161</v>
      </c>
      <c r="AA105" s="10">
        <f>IFERROR(Mecze[[#This Row],[BR]]/Mecze[[#This Row],[ST]],0)</f>
        <v>0.29166666666666669</v>
      </c>
      <c r="AB105">
        <f>ROUND(Mecze[[#This Row],[PD]]*Mecze[[#This Row],[%PC]],0)</f>
        <v>6</v>
      </c>
      <c r="AC105">
        <f>ROUND(Mecze[[#This Row],[OD]]*Mecze[[#This Row],[%OU]],0)</f>
        <v>1</v>
      </c>
      <c r="AD105" s="36" t="s">
        <v>46</v>
      </c>
      <c r="AE105" s="36">
        <v>6</v>
      </c>
      <c r="AF105" s="71">
        <v>27.57</v>
      </c>
      <c r="AG105" s="37">
        <v>0</v>
      </c>
      <c r="AH105" s="37">
        <v>0</v>
      </c>
      <c r="AI105" s="37">
        <v>98</v>
      </c>
      <c r="AJ105">
        <v>9</v>
      </c>
      <c r="AK105" s="37" t="str">
        <f>VLOOKUP(Mecze[[#This Row],[Match ID]],Meczusie[Mecz]:Meczusie[RodzajMeczu],2,FALSE)</f>
        <v>Liga</v>
      </c>
    </row>
    <row r="106" spans="1:37" x14ac:dyDescent="0.25">
      <c r="A106" s="76">
        <v>1</v>
      </c>
      <c r="B106" s="3" t="s">
        <v>304</v>
      </c>
      <c r="C106" s="2" t="s">
        <v>155</v>
      </c>
      <c r="D106" s="1">
        <v>0</v>
      </c>
      <c r="E106" s="1">
        <v>0</v>
      </c>
      <c r="F106" s="1">
        <v>0</v>
      </c>
      <c r="G106" s="1">
        <v>12</v>
      </c>
      <c r="H106" s="4">
        <v>0.5</v>
      </c>
      <c r="I106" s="1">
        <v>0</v>
      </c>
      <c r="J106" s="4"/>
      <c r="K106" s="1">
        <v>9</v>
      </c>
      <c r="L106" s="1">
        <v>0</v>
      </c>
      <c r="M106" s="32">
        <f>IF(Mecze[[#This Row],[PR]]=0,0,Mecze[[#This Row],[PR]]/Mecze[[#This Row],[CZAS]])</f>
        <v>0</v>
      </c>
      <c r="N106" s="32">
        <f>IF(Mecze[[#This Row],[OU]]=0,0,Mecze[[#This Row],[OU]]/Mecze[[#This Row],[CZAS]])</f>
        <v>0</v>
      </c>
      <c r="O106" s="32">
        <f>IF(Mecze[[#This Row],[PC]]=0,0,Mecze[[#This Row],[PC]]/Mecze[[#This Row],[CZAS]])</f>
        <v>6.1224489795918366E-2</v>
      </c>
      <c r="P106" s="32">
        <f>IF(Mecze[[#This Row],[SC]]=0,0,Mecze[[#This Row],[SC]]/Mecze[[#This Row],[CZAS]])</f>
        <v>0</v>
      </c>
      <c r="Q106" s="32">
        <f>IF(Mecze[[#This Row],[OB]]=0,0,Mecze[[#This Row],[OB]]/Mecze[[#This Row],[CZAS]])</f>
        <v>9.1836734693877556E-2</v>
      </c>
      <c r="R106" s="32">
        <f>IF(Mecze[[#This Row],[BR]]=0,0,Mecze[[#This Row],[BR]]/Mecze[[#This Row],[CZAS]])</f>
        <v>0</v>
      </c>
      <c r="S106" s="44">
        <f>IF(Mecze[[#This Row],[Role]]="BR",SUMPRODUCT(Mecze[[#This Row],[/PR:90]:[/BR:90]],Brudnopis!$E$23:$J$23),0)</f>
        <v>0.45918367346938777</v>
      </c>
      <c r="T106" s="44">
        <f>IF(Mecze[[#This Row],[Role]]&lt;&gt;"BR",SUMPRODUCT(Mecze[[#This Row],[/PR:90]:[/BR:90]],Brudnopis!$E$24:$J$24),0)</f>
        <v>0</v>
      </c>
      <c r="U106" s="44">
        <f>IF(Mecze[[#This Row],[Role]]&lt;&gt;"BR",SUMPRODUCT(Mecze[[#This Row],[/PR:90]:[/BR:90]],Brudnopis!$E$25:$J$25),0)</f>
        <v>0</v>
      </c>
      <c r="V106" s="44">
        <f>IF(Mecze[[#This Row],[Role]]&lt;&gt;"BR",SUMPRODUCT(Mecze[[#This Row],[/PR:90]:[/BR:90]],Brudnopis!$E$26:$J$26),0)</f>
        <v>0</v>
      </c>
      <c r="W106" s="44">
        <f>IF(Mecze[[#This Row],[Role]]&lt;&gt;"BR",SUMPRODUCT(Mecze[[#This Row],[/PR:90]:[/BR:90]],Brudnopis!$E$27:$J$27),0)</f>
        <v>0</v>
      </c>
      <c r="X106" s="44">
        <f>IF(Mecze[[#This Row],[Role]]&lt;&gt;"BR",SUMPRODUCT(Mecze[[#This Row],[/PR:90]:[/BR:90]],Brudnopis!$E$28:$J$28),0)</f>
        <v>0</v>
      </c>
      <c r="Y106" s="35">
        <f>IF(Mecze[[#This Row],[Role]]="BR",Mecze[[#This Row],[/OB:90]]+Mecze[[#This Row],[/PC:90]],SUM(Mecze[[#This Row],[/PR:90]:[/BR:90]]))</f>
        <v>0.15306122448979592</v>
      </c>
      <c r="Z106" s="35">
        <f>IF(Mecze[[#This Row],[KC]]=0,SUM(Mecze[[#This Row],[/BRI]:[/NPI]]),SUM(Mecze[[#This Row],[/BRI]:[/NPI]])*0.6)</f>
        <v>0.45918367346938777</v>
      </c>
      <c r="AA106" s="10">
        <f>IFERROR(Mecze[[#This Row],[BR]]/Mecze[[#This Row],[ST]],0)</f>
        <v>0</v>
      </c>
      <c r="AB106">
        <f>ROUND(Mecze[[#This Row],[PD]]*Mecze[[#This Row],[%PC]],0)</f>
        <v>6</v>
      </c>
      <c r="AC106">
        <f>ROUND(Mecze[[#This Row],[OD]]*Mecze[[#This Row],[%OU]],0)</f>
        <v>0</v>
      </c>
      <c r="AD106" s="36" t="s">
        <v>40</v>
      </c>
      <c r="AE106" s="36">
        <v>7</v>
      </c>
      <c r="AF106" s="71">
        <v>8.2899999999999991</v>
      </c>
      <c r="AG106" s="37">
        <v>0</v>
      </c>
      <c r="AH106" s="37">
        <v>0</v>
      </c>
      <c r="AI106" s="37">
        <v>98</v>
      </c>
      <c r="AJ106">
        <v>8</v>
      </c>
      <c r="AK106" s="37" t="str">
        <f>VLOOKUP(Mecze[[#This Row],[Match ID]],Meczusie[Mecz]:Meczusie[RodzajMeczu],2,FALSE)</f>
        <v>Liga</v>
      </c>
    </row>
    <row r="107" spans="1:37" x14ac:dyDescent="0.25">
      <c r="A107" s="76">
        <v>5</v>
      </c>
      <c r="B107" s="3" t="s">
        <v>305</v>
      </c>
      <c r="C107" s="2" t="s">
        <v>157</v>
      </c>
      <c r="D107" s="1">
        <v>0</v>
      </c>
      <c r="E107" s="1">
        <v>0</v>
      </c>
      <c r="F107" s="1">
        <v>0</v>
      </c>
      <c r="G107" s="1">
        <v>6</v>
      </c>
      <c r="H107" s="4">
        <v>0.5</v>
      </c>
      <c r="I107" s="1">
        <v>7</v>
      </c>
      <c r="J107" s="4">
        <v>0.14000000000000001</v>
      </c>
      <c r="K107" s="1">
        <v>0</v>
      </c>
      <c r="L107" s="1">
        <v>5</v>
      </c>
      <c r="M107" s="32">
        <f>IF(Mecze[[#This Row],[PR]]=0,0,Mecze[[#This Row],[PR]]/Mecze[[#This Row],[CZAS]])</f>
        <v>5.1020408163265307E-2</v>
      </c>
      <c r="N107" s="32">
        <f>IF(Mecze[[#This Row],[OU]]=0,0,Mecze[[#This Row],[OU]]/Mecze[[#This Row],[CZAS]])</f>
        <v>1.020408163265306E-2</v>
      </c>
      <c r="O107" s="32">
        <f>IF(Mecze[[#This Row],[PC]]=0,0,Mecze[[#This Row],[PC]]/Mecze[[#This Row],[CZAS]])</f>
        <v>3.0612244897959183E-2</v>
      </c>
      <c r="P107" s="32">
        <f>IF(Mecze[[#This Row],[SC]]=0,0,Mecze[[#This Row],[SC]]/Mecze[[#This Row],[CZAS]])</f>
        <v>0</v>
      </c>
      <c r="Q107" s="32">
        <f>IF(Mecze[[#This Row],[OB]]=0,0,Mecze[[#This Row],[OB]]/Mecze[[#This Row],[CZAS]])</f>
        <v>0</v>
      </c>
      <c r="R107" s="32">
        <f>IF(Mecze[[#This Row],[BR]]=0,0,Mecze[[#This Row],[BR]]/Mecze[[#This Row],[CZAS]])</f>
        <v>0</v>
      </c>
      <c r="S107" s="44">
        <f>IF(Mecze[[#This Row],[Role]]="BR",SUMPRODUCT(Mecze[[#This Row],[/PR:90]:[/BR:90]],Brudnopis!$E$23:$J$23),0)</f>
        <v>0</v>
      </c>
      <c r="T107" s="44">
        <f>IF(Mecze[[#This Row],[Role]]&lt;&gt;"BR",SUMPRODUCT(Mecze[[#This Row],[/PR:90]:[/BR:90]],Brudnopis!$E$24:$J$24),0)</f>
        <v>9.6938775510204078E-2</v>
      </c>
      <c r="U107" s="44">
        <f>IF(Mecze[[#This Row],[Role]]&lt;&gt;"BR",SUMPRODUCT(Mecze[[#This Row],[/PR:90]:[/BR:90]],Brudnopis!$E$25:$J$25),0)</f>
        <v>0.10714285714285714</v>
      </c>
      <c r="V107" s="44">
        <f>IF(Mecze[[#This Row],[Role]]&lt;&gt;"BR",SUMPRODUCT(Mecze[[#This Row],[/PR:90]:[/BR:90]],Brudnopis!$E$26:$J$26),0)</f>
        <v>9.1836734693877542E-2</v>
      </c>
      <c r="W107" s="44">
        <f>IF(Mecze[[#This Row],[Role]]&lt;&gt;"BR",SUMPRODUCT(Mecze[[#This Row],[/PR:90]:[/BR:90]],Brudnopis!$E$27:$J$27),0)</f>
        <v>9.1836734693877542E-2</v>
      </c>
      <c r="X107" s="44">
        <f>IF(Mecze[[#This Row],[Role]]&lt;&gt;"BR",SUMPRODUCT(Mecze[[#This Row],[/PR:90]:[/BR:90]],Brudnopis!$E$28:$J$28),0)</f>
        <v>3.0612244897959183E-2</v>
      </c>
      <c r="Y107" s="35">
        <f>IF(Mecze[[#This Row],[Role]]="BR",Mecze[[#This Row],[/OB:90]]+Mecze[[#This Row],[/PC:90]],SUM(Mecze[[#This Row],[/PR:90]:[/BR:90]]))</f>
        <v>9.1836734693877542E-2</v>
      </c>
      <c r="Z107" s="35">
        <f>IF(Mecze[[#This Row],[KC]]=0,SUM(Mecze[[#This Row],[/BRI]:[/NPI]]),SUM(Mecze[[#This Row],[/BRI]:[/NPI]])*0.6)</f>
        <v>0.41836734693877548</v>
      </c>
      <c r="AA107" s="10">
        <f>IFERROR(Mecze[[#This Row],[BR]]/Mecze[[#This Row],[ST]],0)</f>
        <v>0</v>
      </c>
      <c r="AB107">
        <f>ROUND(Mecze[[#This Row],[PD]]*Mecze[[#This Row],[%PC]],0)</f>
        <v>3</v>
      </c>
      <c r="AC107">
        <f>ROUND(Mecze[[#This Row],[OD]]*Mecze[[#This Row],[%OU]],0)</f>
        <v>1</v>
      </c>
      <c r="AD107" s="36" t="s">
        <v>47</v>
      </c>
      <c r="AE107" s="36">
        <v>7</v>
      </c>
      <c r="AF107" s="71">
        <v>4.97</v>
      </c>
      <c r="AG107" s="37">
        <v>0</v>
      </c>
      <c r="AH107" s="37">
        <v>0</v>
      </c>
      <c r="AI107" s="37">
        <v>98</v>
      </c>
      <c r="AJ107">
        <v>8</v>
      </c>
      <c r="AK107" s="37" t="str">
        <f>VLOOKUP(Mecze[[#This Row],[Match ID]],Meczusie[Mecz]:Meczusie[RodzajMeczu],2,FALSE)</f>
        <v>Liga</v>
      </c>
    </row>
    <row r="108" spans="1:37" x14ac:dyDescent="0.25">
      <c r="A108" s="76">
        <v>23</v>
      </c>
      <c r="B108" s="3" t="s">
        <v>306</v>
      </c>
      <c r="C108" s="2" t="s">
        <v>157</v>
      </c>
      <c r="D108" s="1">
        <v>0</v>
      </c>
      <c r="E108" s="1">
        <v>0</v>
      </c>
      <c r="F108" s="1">
        <v>0</v>
      </c>
      <c r="G108" s="1">
        <v>6</v>
      </c>
      <c r="H108" s="4">
        <v>0.5</v>
      </c>
      <c r="I108" s="1">
        <v>5</v>
      </c>
      <c r="J108" s="4">
        <v>0.2</v>
      </c>
      <c r="K108" s="1">
        <v>0</v>
      </c>
      <c r="L108" s="1">
        <v>10</v>
      </c>
      <c r="M108" s="32">
        <f>IF(Mecze[[#This Row],[PR]]=0,0,Mecze[[#This Row],[PR]]/Mecze[[#This Row],[CZAS]])</f>
        <v>0.12987012987012986</v>
      </c>
      <c r="N108" s="32">
        <f>IF(Mecze[[#This Row],[OU]]=0,0,Mecze[[#This Row],[OU]]/Mecze[[#This Row],[CZAS]])</f>
        <v>1.2987012987012988E-2</v>
      </c>
      <c r="O108" s="32">
        <f>IF(Mecze[[#This Row],[PC]]=0,0,Mecze[[#This Row],[PC]]/Mecze[[#This Row],[CZAS]])</f>
        <v>3.896103896103896E-2</v>
      </c>
      <c r="P108" s="32">
        <f>IF(Mecze[[#This Row],[SC]]=0,0,Mecze[[#This Row],[SC]]/Mecze[[#This Row],[CZAS]])</f>
        <v>0</v>
      </c>
      <c r="Q108" s="32">
        <f>IF(Mecze[[#This Row],[OB]]=0,0,Mecze[[#This Row],[OB]]/Mecze[[#This Row],[CZAS]])</f>
        <v>0</v>
      </c>
      <c r="R108" s="32">
        <f>IF(Mecze[[#This Row],[BR]]=0,0,Mecze[[#This Row],[BR]]/Mecze[[#This Row],[CZAS]])</f>
        <v>0</v>
      </c>
      <c r="S108" s="44">
        <f>IF(Mecze[[#This Row],[Role]]="BR",SUMPRODUCT(Mecze[[#This Row],[/PR:90]:[/BR:90]],Brudnopis!$E$23:$J$23),0)</f>
        <v>0</v>
      </c>
      <c r="T108" s="44">
        <f>IF(Mecze[[#This Row],[Role]]&lt;&gt;"BR",SUMPRODUCT(Mecze[[#This Row],[/PR:90]:[/BR:90]],Brudnopis!$E$24:$J$24),0)</f>
        <v>0.18831168831168832</v>
      </c>
      <c r="U108" s="44">
        <f>IF(Mecze[[#This Row],[Role]]&lt;&gt;"BR",SUMPRODUCT(Mecze[[#This Row],[/PR:90]:[/BR:90]],Brudnopis!$E$25:$J$25),0)</f>
        <v>0.20129870129870128</v>
      </c>
      <c r="V108" s="44">
        <f>IF(Mecze[[#This Row],[Role]]&lt;&gt;"BR",SUMPRODUCT(Mecze[[#This Row],[/PR:90]:[/BR:90]],Brudnopis!$E$26:$J$26),0)</f>
        <v>0.18181818181818182</v>
      </c>
      <c r="W108" s="44">
        <f>IF(Mecze[[#This Row],[Role]]&lt;&gt;"BR",SUMPRODUCT(Mecze[[#This Row],[/PR:90]:[/BR:90]],Brudnopis!$E$27:$J$27),0)</f>
        <v>0.16558441558441558</v>
      </c>
      <c r="X108" s="44">
        <f>IF(Mecze[[#This Row],[Role]]&lt;&gt;"BR",SUMPRODUCT(Mecze[[#This Row],[/PR:90]:[/BR:90]],Brudnopis!$E$28:$J$28),0)</f>
        <v>3.896103896103896E-2</v>
      </c>
      <c r="Y108" s="35">
        <f>IF(Mecze[[#This Row],[Role]]="BR",Mecze[[#This Row],[/OB:90]]+Mecze[[#This Row],[/PC:90]],SUM(Mecze[[#This Row],[/PR:90]:[/BR:90]]))</f>
        <v>0.18181818181818182</v>
      </c>
      <c r="Z108" s="35">
        <f>IF(Mecze[[#This Row],[KC]]=0,SUM(Mecze[[#This Row],[/BRI]:[/NPI]]),SUM(Mecze[[#This Row],[/BRI]:[/NPI]])*0.6)</f>
        <v>0.77597402597402598</v>
      </c>
      <c r="AA108" s="10">
        <f>IFERROR(Mecze[[#This Row],[BR]]/Mecze[[#This Row],[ST]],0)</f>
        <v>0</v>
      </c>
      <c r="AB108">
        <f>ROUND(Mecze[[#This Row],[PD]]*Mecze[[#This Row],[%PC]],0)</f>
        <v>3</v>
      </c>
      <c r="AC108">
        <f>ROUND(Mecze[[#This Row],[OD]]*Mecze[[#This Row],[%OU]],0)</f>
        <v>1</v>
      </c>
      <c r="AD108" s="36" t="s">
        <v>168</v>
      </c>
      <c r="AE108" s="36">
        <v>7</v>
      </c>
      <c r="AF108" s="71">
        <v>6.02</v>
      </c>
      <c r="AG108" s="37">
        <v>0</v>
      </c>
      <c r="AH108" s="37">
        <v>0</v>
      </c>
      <c r="AI108" s="37">
        <v>77</v>
      </c>
      <c r="AJ108">
        <v>8</v>
      </c>
      <c r="AK108" s="37" t="str">
        <f>VLOOKUP(Mecze[[#This Row],[Match ID]],Meczusie[Mecz]:Meczusie[RodzajMeczu],2,FALSE)</f>
        <v>Liga</v>
      </c>
    </row>
    <row r="109" spans="1:37" x14ac:dyDescent="0.25">
      <c r="A109" s="76">
        <v>2</v>
      </c>
      <c r="B109" s="3" t="s">
        <v>307</v>
      </c>
      <c r="C109" s="2" t="s">
        <v>157</v>
      </c>
      <c r="D109" s="1">
        <v>0</v>
      </c>
      <c r="E109" s="1">
        <v>0</v>
      </c>
      <c r="F109" s="1">
        <v>0</v>
      </c>
      <c r="G109" s="1">
        <v>7</v>
      </c>
      <c r="H109" s="4">
        <v>1</v>
      </c>
      <c r="I109" s="1">
        <v>4</v>
      </c>
      <c r="J109" s="4">
        <v>0.75</v>
      </c>
      <c r="K109" s="1">
        <v>0</v>
      </c>
      <c r="L109" s="1">
        <v>4</v>
      </c>
      <c r="M109" s="32">
        <f>IF(Mecze[[#This Row],[PR]]=0,0,Mecze[[#This Row],[PR]]/Mecze[[#This Row],[CZAS]])</f>
        <v>4.0816326530612242E-2</v>
      </c>
      <c r="N109" s="32">
        <f>IF(Mecze[[#This Row],[OU]]=0,0,Mecze[[#This Row],[OU]]/Mecze[[#This Row],[CZAS]])</f>
        <v>3.0612244897959183E-2</v>
      </c>
      <c r="O109" s="32">
        <f>IF(Mecze[[#This Row],[PC]]=0,0,Mecze[[#This Row],[PC]]/Mecze[[#This Row],[CZAS]])</f>
        <v>7.1428571428571425E-2</v>
      </c>
      <c r="P109" s="32">
        <f>IF(Mecze[[#This Row],[SC]]=0,0,Mecze[[#This Row],[SC]]/Mecze[[#This Row],[CZAS]])</f>
        <v>0</v>
      </c>
      <c r="Q109" s="32">
        <f>IF(Mecze[[#This Row],[OB]]=0,0,Mecze[[#This Row],[OB]]/Mecze[[#This Row],[CZAS]])</f>
        <v>0</v>
      </c>
      <c r="R109" s="73">
        <f>IF(Mecze[[#This Row],[BR]]=0,0,Mecze[[#This Row],[BR]]/Mecze[[#This Row],[CZAS]])</f>
        <v>0</v>
      </c>
      <c r="S109" s="44">
        <f>IF(Mecze[[#This Row],[Role]]="BR",SUMPRODUCT(Mecze[[#This Row],[/PR:90]:[/BR:90]],Brudnopis!$E$23:$J$23),0)</f>
        <v>0</v>
      </c>
      <c r="T109" s="44">
        <f>IF(Mecze[[#This Row],[Role]]&lt;&gt;"BR",SUMPRODUCT(Mecze[[#This Row],[/PR:90]:[/BR:90]],Brudnopis!$E$24:$J$24),0)</f>
        <v>0.15816326530612243</v>
      </c>
      <c r="U109" s="44">
        <f>IF(Mecze[[#This Row],[Role]]&lt;&gt;"BR",SUMPRODUCT(Mecze[[#This Row],[/PR:90]:[/BR:90]],Brudnopis!$E$25:$J$25),0)</f>
        <v>0.17857142857142855</v>
      </c>
      <c r="V109" s="44">
        <f>IF(Mecze[[#This Row],[Role]]&lt;&gt;"BR",SUMPRODUCT(Mecze[[#This Row],[/PR:90]:[/BR:90]],Brudnopis!$E$26:$J$26),0)</f>
        <v>0.14285714285714285</v>
      </c>
      <c r="W109" s="44">
        <f>IF(Mecze[[#This Row],[Role]]&lt;&gt;"BR",SUMPRODUCT(Mecze[[#This Row],[/PR:90]:[/BR:90]],Brudnopis!$E$27:$J$27),0)</f>
        <v>0.1607142857142857</v>
      </c>
      <c r="X109" s="44">
        <f>IF(Mecze[[#This Row],[Role]]&lt;&gt;"BR",SUMPRODUCT(Mecze[[#This Row],[/PR:90]:[/BR:90]],Brudnopis!$E$28:$J$28),0)</f>
        <v>7.1428571428571425E-2</v>
      </c>
      <c r="Y109" s="35">
        <f>IF(Mecze[[#This Row],[Role]]="BR",Mecze[[#This Row],[/OB:90]]+Mecze[[#This Row],[/PC:90]],SUM(Mecze[[#This Row],[/PR:90]:[/BR:90]]))</f>
        <v>0.14285714285714285</v>
      </c>
      <c r="Z109" s="35">
        <f>IF(Mecze[[#This Row],[KC]]=0,SUM(Mecze[[#This Row],[/BRI]:[/NPI]]),SUM(Mecze[[#This Row],[/BRI]:[/NPI]])*0.6)</f>
        <v>0.71173469387755084</v>
      </c>
      <c r="AA109" s="10">
        <f>IFERROR(Mecze[[#This Row],[BR]]/Mecze[[#This Row],[ST]],0)</f>
        <v>0</v>
      </c>
      <c r="AB109">
        <f>ROUND(Mecze[[#This Row],[PD]]*Mecze[[#This Row],[%PC]],0)</f>
        <v>7</v>
      </c>
      <c r="AC109">
        <f>ROUND(Mecze[[#This Row],[OD]]*Mecze[[#This Row],[%OU]],0)</f>
        <v>3</v>
      </c>
      <c r="AD109" s="36" t="s">
        <v>167</v>
      </c>
      <c r="AE109" s="36">
        <v>7</v>
      </c>
      <c r="AF109" s="71">
        <v>5.88</v>
      </c>
      <c r="AG109" s="37">
        <v>0</v>
      </c>
      <c r="AH109" s="37">
        <v>0</v>
      </c>
      <c r="AI109" s="37">
        <v>98</v>
      </c>
      <c r="AJ109">
        <v>8</v>
      </c>
      <c r="AK109" s="37" t="str">
        <f>VLOOKUP(Mecze[[#This Row],[Match ID]],Meczusie[Mecz]:Meczusie[RodzajMeczu],2,FALSE)</f>
        <v>Liga</v>
      </c>
    </row>
    <row r="110" spans="1:37" x14ac:dyDescent="0.25">
      <c r="A110" s="76">
        <v>6</v>
      </c>
      <c r="B110" s="3" t="s">
        <v>308</v>
      </c>
      <c r="C110" s="2" t="s">
        <v>160</v>
      </c>
      <c r="D110" s="1">
        <v>0</v>
      </c>
      <c r="E110" s="1">
        <v>0</v>
      </c>
      <c r="F110" s="1">
        <v>0</v>
      </c>
      <c r="G110" s="1">
        <v>4</v>
      </c>
      <c r="H110" s="4">
        <v>0.75</v>
      </c>
      <c r="I110" s="1">
        <v>4</v>
      </c>
      <c r="J110" s="4">
        <v>0.5</v>
      </c>
      <c r="K110" s="1">
        <v>0</v>
      </c>
      <c r="L110" s="1">
        <v>1</v>
      </c>
      <c r="M110" s="32">
        <f>IF(Mecze[[#This Row],[PR]]=0,0,Mecze[[#This Row],[PR]]/Mecze[[#This Row],[CZAS]])</f>
        <v>1.020408163265306E-2</v>
      </c>
      <c r="N110" s="32">
        <f>IF(Mecze[[#This Row],[OU]]=0,0,Mecze[[#This Row],[OU]]/Mecze[[#This Row],[CZAS]])</f>
        <v>2.0408163265306121E-2</v>
      </c>
      <c r="O110" s="32">
        <f>IF(Mecze[[#This Row],[PC]]=0,0,Mecze[[#This Row],[PC]]/Mecze[[#This Row],[CZAS]])</f>
        <v>3.0612244897959183E-2</v>
      </c>
      <c r="P110" s="32">
        <f>IF(Mecze[[#This Row],[SC]]=0,0,Mecze[[#This Row],[SC]]/Mecze[[#This Row],[CZAS]])</f>
        <v>0</v>
      </c>
      <c r="Q110" s="32">
        <f>IF(Mecze[[#This Row],[OB]]=0,0,Mecze[[#This Row],[OB]]/Mecze[[#This Row],[CZAS]])</f>
        <v>0</v>
      </c>
      <c r="R110" s="73">
        <f>IF(Mecze[[#This Row],[BR]]=0,0,Mecze[[#This Row],[BR]]/Mecze[[#This Row],[CZAS]])</f>
        <v>0</v>
      </c>
      <c r="S110" s="44">
        <f>IF(Mecze[[#This Row],[Role]]="BR",SUMPRODUCT(Mecze[[#This Row],[/PR:90]:[/BR:90]],Brudnopis!$E$23:$J$23),0)</f>
        <v>0</v>
      </c>
      <c r="T110" s="44">
        <f>IF(Mecze[[#This Row],[Role]]&lt;&gt;"BR",SUMPRODUCT(Mecze[[#This Row],[/PR:90]:[/BR:90]],Brudnopis!$E$24:$J$24),0)</f>
        <v>7.1428571428571425E-2</v>
      </c>
      <c r="U110" s="44">
        <f>IF(Mecze[[#This Row],[Role]]&lt;&gt;"BR",SUMPRODUCT(Mecze[[#This Row],[/PR:90]:[/BR:90]],Brudnopis!$E$25:$J$25),0)</f>
        <v>7.6530612244897961E-2</v>
      </c>
      <c r="V110" s="44">
        <f>IF(Mecze[[#This Row],[Role]]&lt;&gt;"BR",SUMPRODUCT(Mecze[[#This Row],[/PR:90]:[/BR:90]],Brudnopis!$E$26:$J$26),0)</f>
        <v>6.1224489795918366E-2</v>
      </c>
      <c r="W110" s="44">
        <f>IF(Mecze[[#This Row],[Role]]&lt;&gt;"BR",SUMPRODUCT(Mecze[[#This Row],[/PR:90]:[/BR:90]],Brudnopis!$E$27:$J$27),0)</f>
        <v>6.8877551020408156E-2</v>
      </c>
      <c r="X110" s="44">
        <f>IF(Mecze[[#This Row],[Role]]&lt;&gt;"BR",SUMPRODUCT(Mecze[[#This Row],[/PR:90]:[/BR:90]],Brudnopis!$E$28:$J$28),0)</f>
        <v>3.0612244897959183E-2</v>
      </c>
      <c r="Y110" s="35">
        <f>IF(Mecze[[#This Row],[Role]]="BR",Mecze[[#This Row],[/OB:90]]+Mecze[[#This Row],[/PC:90]],SUM(Mecze[[#This Row],[/PR:90]:[/BR:90]]))</f>
        <v>6.1224489795918366E-2</v>
      </c>
      <c r="Z110" s="35">
        <f>IF(Mecze[[#This Row],[KC]]=0,SUM(Mecze[[#This Row],[/BRI]:[/NPI]]),SUM(Mecze[[#This Row],[/BRI]:[/NPI]])*0.6)</f>
        <v>0.30867346938775508</v>
      </c>
      <c r="AA110" s="10">
        <f>IFERROR(Mecze[[#This Row],[BR]]/Mecze[[#This Row],[ST]],0)</f>
        <v>0</v>
      </c>
      <c r="AB110">
        <f>ROUND(Mecze[[#This Row],[PD]]*Mecze[[#This Row],[%PC]],0)</f>
        <v>3</v>
      </c>
      <c r="AC110">
        <f>ROUND(Mecze[[#This Row],[OD]]*Mecze[[#This Row],[%OU]],0)</f>
        <v>2</v>
      </c>
      <c r="AD110" s="36" t="s">
        <v>41</v>
      </c>
      <c r="AE110" s="36">
        <v>7</v>
      </c>
      <c r="AF110" s="71">
        <v>4.13</v>
      </c>
      <c r="AG110" s="37">
        <v>0</v>
      </c>
      <c r="AH110" s="37">
        <v>0</v>
      </c>
      <c r="AI110" s="37">
        <v>98</v>
      </c>
      <c r="AJ110">
        <v>8</v>
      </c>
      <c r="AK110" s="37" t="str">
        <f>VLOOKUP(Mecze[[#This Row],[Match ID]],Meczusie[Mecz]:Meczusie[RodzajMeczu],2,FALSE)</f>
        <v>Liga</v>
      </c>
    </row>
    <row r="111" spans="1:37" x14ac:dyDescent="0.25">
      <c r="A111" s="76">
        <v>16</v>
      </c>
      <c r="B111" s="3" t="s">
        <v>309</v>
      </c>
      <c r="C111" s="2" t="s">
        <v>160</v>
      </c>
      <c r="D111" s="1">
        <v>0</v>
      </c>
      <c r="E111" s="1">
        <v>0</v>
      </c>
      <c r="F111" s="1">
        <v>0</v>
      </c>
      <c r="G111" s="1">
        <v>12</v>
      </c>
      <c r="H111" s="4">
        <v>0.67</v>
      </c>
      <c r="I111" s="1">
        <v>4</v>
      </c>
      <c r="J111" s="4">
        <v>0.75</v>
      </c>
      <c r="K111" s="1">
        <v>0</v>
      </c>
      <c r="L111" s="1">
        <v>6</v>
      </c>
      <c r="M111" s="32">
        <f>IF(Mecze[[#This Row],[PR]]=0,0,Mecze[[#This Row],[PR]]/Mecze[[#This Row],[CZAS]])</f>
        <v>6.1224489795918366E-2</v>
      </c>
      <c r="N111" s="32">
        <f>IF(Mecze[[#This Row],[OU]]=0,0,Mecze[[#This Row],[OU]]/Mecze[[#This Row],[CZAS]])</f>
        <v>3.0612244897959183E-2</v>
      </c>
      <c r="O111" s="32">
        <f>IF(Mecze[[#This Row],[PC]]=0,0,Mecze[[#This Row],[PC]]/Mecze[[#This Row],[CZAS]])</f>
        <v>8.1632653061224483E-2</v>
      </c>
      <c r="P111" s="32">
        <f>IF(Mecze[[#This Row],[SC]]=0,0,Mecze[[#This Row],[SC]]/Mecze[[#This Row],[CZAS]])</f>
        <v>0</v>
      </c>
      <c r="Q111" s="32">
        <f>IF(Mecze[[#This Row],[OB]]=0,0,Mecze[[#This Row],[OB]]/Mecze[[#This Row],[CZAS]])</f>
        <v>0</v>
      </c>
      <c r="R111" s="73">
        <f>IF(Mecze[[#This Row],[BR]]=0,0,Mecze[[#This Row],[BR]]/Mecze[[#This Row],[CZAS]])</f>
        <v>0</v>
      </c>
      <c r="S111" s="44">
        <f>IF(Mecze[[#This Row],[Role]]="BR",SUMPRODUCT(Mecze[[#This Row],[/PR:90]:[/BR:90]],Brudnopis!$E$23:$J$23),0)</f>
        <v>0</v>
      </c>
      <c r="T111" s="44">
        <f>IF(Mecze[[#This Row],[Role]]&lt;&gt;"BR",SUMPRODUCT(Mecze[[#This Row],[/PR:90]:[/BR:90]],Brudnopis!$E$24:$J$24),0)</f>
        <v>0.18877551020408162</v>
      </c>
      <c r="U111" s="44">
        <f>IF(Mecze[[#This Row],[Role]]&lt;&gt;"BR",SUMPRODUCT(Mecze[[#This Row],[/PR:90]:[/BR:90]],Brudnopis!$E$25:$J$25),0)</f>
        <v>0.21428571428571427</v>
      </c>
      <c r="V111" s="44">
        <f>IF(Mecze[[#This Row],[Role]]&lt;&gt;"BR",SUMPRODUCT(Mecze[[#This Row],[/PR:90]:[/BR:90]],Brudnopis!$E$26:$J$26),0)</f>
        <v>0.17346938775510201</v>
      </c>
      <c r="W111" s="44">
        <f>IF(Mecze[[#This Row],[Role]]&lt;&gt;"BR",SUMPRODUCT(Mecze[[#This Row],[/PR:90]:[/BR:90]],Brudnopis!$E$27:$J$27),0)</f>
        <v>0.19132653061224489</v>
      </c>
      <c r="X111" s="44">
        <f>IF(Mecze[[#This Row],[Role]]&lt;&gt;"BR",SUMPRODUCT(Mecze[[#This Row],[/PR:90]:[/BR:90]],Brudnopis!$E$28:$J$28),0)</f>
        <v>8.1632653061224483E-2</v>
      </c>
      <c r="Y111" s="35">
        <f>IF(Mecze[[#This Row],[Role]]="BR",Mecze[[#This Row],[/OB:90]]+Mecze[[#This Row],[/PC:90]],SUM(Mecze[[#This Row],[/PR:90]:[/BR:90]]))</f>
        <v>0.17346938775510201</v>
      </c>
      <c r="Z111" s="35">
        <f>IF(Mecze[[#This Row],[KC]]=0,SUM(Mecze[[#This Row],[/BRI]:[/NPI]]),SUM(Mecze[[#This Row],[/BRI]:[/NPI]])*0.6)</f>
        <v>0.84948979591836726</v>
      </c>
      <c r="AA111" s="10">
        <f>IFERROR(Mecze[[#This Row],[BR]]/Mecze[[#This Row],[ST]],0)</f>
        <v>0</v>
      </c>
      <c r="AB111">
        <f>ROUND(Mecze[[#This Row],[PD]]*Mecze[[#This Row],[%PC]],0)</f>
        <v>8</v>
      </c>
      <c r="AC111">
        <f>ROUND(Mecze[[#This Row],[OD]]*Mecze[[#This Row],[%OU]],0)</f>
        <v>3</v>
      </c>
      <c r="AD111" s="36" t="s">
        <v>172</v>
      </c>
      <c r="AE111" s="36">
        <v>7</v>
      </c>
      <c r="AF111" s="71">
        <v>6.39</v>
      </c>
      <c r="AG111" s="37">
        <v>0</v>
      </c>
      <c r="AH111" s="37">
        <v>0</v>
      </c>
      <c r="AI111" s="37">
        <v>98</v>
      </c>
      <c r="AJ111">
        <v>8</v>
      </c>
      <c r="AK111" s="37" t="str">
        <f>VLOOKUP(Mecze[[#This Row],[Match ID]],Meczusie[Mecz]:Meczusie[RodzajMeczu],2,FALSE)</f>
        <v>Liga</v>
      </c>
    </row>
    <row r="112" spans="1:37" x14ac:dyDescent="0.25">
      <c r="A112" s="76">
        <v>15</v>
      </c>
      <c r="B112" s="3" t="s">
        <v>310</v>
      </c>
      <c r="C112" s="2" t="s">
        <v>160</v>
      </c>
      <c r="D112" s="1">
        <v>0</v>
      </c>
      <c r="E112" s="1">
        <v>0</v>
      </c>
      <c r="F112" s="1">
        <v>0</v>
      </c>
      <c r="G112" s="1">
        <v>3</v>
      </c>
      <c r="H112" s="4">
        <v>0.67</v>
      </c>
      <c r="I112" s="1">
        <v>3</v>
      </c>
      <c r="J112" s="4">
        <v>0.67</v>
      </c>
      <c r="K112" s="1">
        <v>0</v>
      </c>
      <c r="L112" s="1">
        <v>1</v>
      </c>
      <c r="M112" s="32">
        <f>IF(Mecze[[#This Row],[PR]]=0,0,Mecze[[#This Row],[PR]]/Mecze[[#This Row],[CZAS]])</f>
        <v>1.2987012987012988E-2</v>
      </c>
      <c r="N112" s="32">
        <f>IF(Mecze[[#This Row],[OU]]=0,0,Mecze[[#This Row],[OU]]/Mecze[[#This Row],[CZAS]])</f>
        <v>2.5974025974025976E-2</v>
      </c>
      <c r="O112" s="32">
        <f>IF(Mecze[[#This Row],[PC]]=0,0,Mecze[[#This Row],[PC]]/Mecze[[#This Row],[CZAS]])</f>
        <v>2.5974025974025976E-2</v>
      </c>
      <c r="P112" s="32">
        <f>IF(Mecze[[#This Row],[SC]]=0,0,Mecze[[#This Row],[SC]]/Mecze[[#This Row],[CZAS]])</f>
        <v>0</v>
      </c>
      <c r="Q112" s="32">
        <f>IF(Mecze[[#This Row],[OB]]=0,0,Mecze[[#This Row],[OB]]/Mecze[[#This Row],[CZAS]])</f>
        <v>0</v>
      </c>
      <c r="R112" s="73">
        <f>IF(Mecze[[#This Row],[BR]]=0,0,Mecze[[#This Row],[BR]]/Mecze[[#This Row],[CZAS]])</f>
        <v>0</v>
      </c>
      <c r="S112" s="44">
        <f>IF(Mecze[[#This Row],[Role]]="BR",SUMPRODUCT(Mecze[[#This Row],[/PR:90]:[/BR:90]],Brudnopis!$E$23:$J$23),0)</f>
        <v>0</v>
      </c>
      <c r="T112" s="44">
        <f>IF(Mecze[[#This Row],[Role]]&lt;&gt;"BR",SUMPRODUCT(Mecze[[#This Row],[/PR:90]:[/BR:90]],Brudnopis!$E$24:$J$24),0)</f>
        <v>7.792207792207792E-2</v>
      </c>
      <c r="U112" s="44">
        <f>IF(Mecze[[#This Row],[Role]]&lt;&gt;"BR",SUMPRODUCT(Mecze[[#This Row],[/PR:90]:[/BR:90]],Brudnopis!$E$25:$J$25),0)</f>
        <v>7.792207792207792E-2</v>
      </c>
      <c r="V112" s="44">
        <f>IF(Mecze[[#This Row],[Role]]&lt;&gt;"BR",SUMPRODUCT(Mecze[[#This Row],[/PR:90]:[/BR:90]],Brudnopis!$E$26:$J$26),0)</f>
        <v>6.4935064935064929E-2</v>
      </c>
      <c r="W112" s="44">
        <f>IF(Mecze[[#This Row],[Role]]&lt;&gt;"BR",SUMPRODUCT(Mecze[[#This Row],[/PR:90]:[/BR:90]],Brudnopis!$E$27:$J$27),0)</f>
        <v>6.8181818181818177E-2</v>
      </c>
      <c r="X112" s="44">
        <f>IF(Mecze[[#This Row],[Role]]&lt;&gt;"BR",SUMPRODUCT(Mecze[[#This Row],[/PR:90]:[/BR:90]],Brudnopis!$E$28:$J$28),0)</f>
        <v>2.5974025974025976E-2</v>
      </c>
      <c r="Y112" s="35">
        <f>IF(Mecze[[#This Row],[Role]]="BR",Mecze[[#This Row],[/OB:90]]+Mecze[[#This Row],[/PC:90]],SUM(Mecze[[#This Row],[/PR:90]:[/BR:90]]))</f>
        <v>6.4935064935064929E-2</v>
      </c>
      <c r="Z112" s="35">
        <f>IF(Mecze[[#This Row],[KC]]=0,SUM(Mecze[[#This Row],[/BRI]:[/NPI]]),SUM(Mecze[[#This Row],[/BRI]:[/NPI]])*0.6)</f>
        <v>0.31493506493506496</v>
      </c>
      <c r="AA112" s="10">
        <f>IFERROR(Mecze[[#This Row],[BR]]/Mecze[[#This Row],[ST]],0)</f>
        <v>0</v>
      </c>
      <c r="AB112">
        <f>ROUND(Mecze[[#This Row],[PD]]*Mecze[[#This Row],[%PC]],0)</f>
        <v>2</v>
      </c>
      <c r="AC112">
        <f>ROUND(Mecze[[#This Row],[OD]]*Mecze[[#This Row],[%OU]],0)</f>
        <v>2</v>
      </c>
      <c r="AD112" s="36" t="s">
        <v>319</v>
      </c>
      <c r="AE112" s="36">
        <v>7</v>
      </c>
      <c r="AF112" s="71">
        <v>4.13</v>
      </c>
      <c r="AG112" s="37">
        <v>0</v>
      </c>
      <c r="AH112" s="37">
        <v>0</v>
      </c>
      <c r="AI112" s="37">
        <v>77</v>
      </c>
      <c r="AJ112">
        <v>8</v>
      </c>
      <c r="AK112" s="37" t="str">
        <f>VLOOKUP(Mecze[[#This Row],[Match ID]],Meczusie[Mecz]:Meczusie[RodzajMeczu],2,FALSE)</f>
        <v>Liga</v>
      </c>
    </row>
    <row r="113" spans="1:37" x14ac:dyDescent="0.25">
      <c r="A113" s="76">
        <v>7</v>
      </c>
      <c r="B113" s="3" t="s">
        <v>311</v>
      </c>
      <c r="C113" s="2" t="s">
        <v>160</v>
      </c>
      <c r="D113" s="1">
        <v>0</v>
      </c>
      <c r="E113" s="1">
        <v>4</v>
      </c>
      <c r="F113" s="1">
        <v>3</v>
      </c>
      <c r="G113" s="1">
        <v>12</v>
      </c>
      <c r="H113" s="4">
        <v>0.5</v>
      </c>
      <c r="I113" s="1">
        <v>5</v>
      </c>
      <c r="J113" s="4">
        <v>0.4</v>
      </c>
      <c r="K113" s="1">
        <v>0</v>
      </c>
      <c r="L113" s="1">
        <v>0</v>
      </c>
      <c r="M113" s="32">
        <f>IF(Mecze[[#This Row],[PR]]=0,0,Mecze[[#This Row],[PR]]/Mecze[[#This Row],[CZAS]])</f>
        <v>0</v>
      </c>
      <c r="N113" s="32">
        <f>IF(Mecze[[#This Row],[OU]]=0,0,Mecze[[#This Row],[OU]]/Mecze[[#This Row],[CZAS]])</f>
        <v>2.0408163265306121E-2</v>
      </c>
      <c r="O113" s="32">
        <f>IF(Mecze[[#This Row],[PC]]=0,0,Mecze[[#This Row],[PC]]/Mecze[[#This Row],[CZAS]])</f>
        <v>6.1224489795918366E-2</v>
      </c>
      <c r="P113" s="32">
        <f>IF(Mecze[[#This Row],[SC]]=0,0,Mecze[[#This Row],[SC]]/Mecze[[#This Row],[CZAS]])</f>
        <v>3.0612244897959183E-2</v>
      </c>
      <c r="Q113" s="32">
        <f>IF(Mecze[[#This Row],[OB]]=0,0,Mecze[[#This Row],[OB]]/Mecze[[#This Row],[CZAS]])</f>
        <v>0</v>
      </c>
      <c r="R113" s="73">
        <f>IF(Mecze[[#This Row],[BR]]=0,0,Mecze[[#This Row],[BR]]/Mecze[[#This Row],[CZAS]])</f>
        <v>0</v>
      </c>
      <c r="S113" s="44">
        <f>IF(Mecze[[#This Row],[Role]]="BR",SUMPRODUCT(Mecze[[#This Row],[/PR:90]:[/BR:90]],Brudnopis!$E$23:$J$23),0)</f>
        <v>0</v>
      </c>
      <c r="T113" s="44">
        <f>IF(Mecze[[#This Row],[Role]]&lt;&gt;"BR",SUMPRODUCT(Mecze[[#This Row],[/PR:90]:[/BR:90]],Brudnopis!$E$24:$J$24),0)</f>
        <v>0.12244897959183673</v>
      </c>
      <c r="U113" s="44">
        <f>IF(Mecze[[#This Row],[Role]]&lt;&gt;"BR",SUMPRODUCT(Mecze[[#This Row],[/PR:90]:[/BR:90]],Brudnopis!$E$25:$J$25),0)</f>
        <v>0.14285714285714285</v>
      </c>
      <c r="V113" s="44">
        <f>IF(Mecze[[#This Row],[Role]]&lt;&gt;"BR",SUMPRODUCT(Mecze[[#This Row],[/PR:90]:[/BR:90]],Brudnopis!$E$26:$J$26),0)</f>
        <v>0.11224489795918366</v>
      </c>
      <c r="W113" s="44">
        <f>IF(Mecze[[#This Row],[Role]]&lt;&gt;"BR",SUMPRODUCT(Mecze[[#This Row],[/PR:90]:[/BR:90]],Brudnopis!$E$27:$J$27),0)</f>
        <v>0.13775510204081631</v>
      </c>
      <c r="X113" s="44">
        <f>IF(Mecze[[#This Row],[Role]]&lt;&gt;"BR",SUMPRODUCT(Mecze[[#This Row],[/PR:90]:[/BR:90]],Brudnopis!$E$28:$J$28),0)</f>
        <v>0.12244897959183673</v>
      </c>
      <c r="Y113" s="35">
        <f>IF(Mecze[[#This Row],[Role]]="BR",Mecze[[#This Row],[/OB:90]]+Mecze[[#This Row],[/PC:90]],SUM(Mecze[[#This Row],[/PR:90]:[/BR:90]]))</f>
        <v>0.11224489795918366</v>
      </c>
      <c r="Z113" s="35">
        <f>IF(Mecze[[#This Row],[KC]]=0,SUM(Mecze[[#This Row],[/BRI]:[/NPI]]),SUM(Mecze[[#This Row],[/BRI]:[/NPI]])*0.6)</f>
        <v>0.63775510204081631</v>
      </c>
      <c r="AA113" s="10">
        <f>IFERROR(Mecze[[#This Row],[BR]]/Mecze[[#This Row],[ST]],0)</f>
        <v>0</v>
      </c>
      <c r="AB113">
        <f>ROUND(Mecze[[#This Row],[PD]]*Mecze[[#This Row],[%PC]],0)</f>
        <v>6</v>
      </c>
      <c r="AC113">
        <f>ROUND(Mecze[[#This Row],[OD]]*Mecze[[#This Row],[%OU]],0)</f>
        <v>2</v>
      </c>
      <c r="AD113" s="36" t="s">
        <v>44</v>
      </c>
      <c r="AE113" s="36">
        <v>7</v>
      </c>
      <c r="AF113" s="71">
        <v>5.82</v>
      </c>
      <c r="AG113" s="37">
        <v>0</v>
      </c>
      <c r="AH113" s="37">
        <v>0</v>
      </c>
      <c r="AI113" s="37">
        <v>98</v>
      </c>
      <c r="AJ113">
        <v>8</v>
      </c>
      <c r="AK113" s="37" t="str">
        <f>VLOOKUP(Mecze[[#This Row],[Match ID]],Meczusie[Mecz]:Meczusie[RodzajMeczu],2,FALSE)</f>
        <v>Liga</v>
      </c>
    </row>
    <row r="114" spans="1:37" x14ac:dyDescent="0.25">
      <c r="A114" s="76">
        <v>14</v>
      </c>
      <c r="B114" s="3" t="s">
        <v>312</v>
      </c>
      <c r="C114" s="2" t="s">
        <v>165</v>
      </c>
      <c r="D114" s="1">
        <v>2</v>
      </c>
      <c r="E114" s="1">
        <v>5</v>
      </c>
      <c r="F114" s="1">
        <v>5</v>
      </c>
      <c r="G114" s="1">
        <v>4</v>
      </c>
      <c r="H114" s="4">
        <v>0.25</v>
      </c>
      <c r="I114" s="1">
        <v>5</v>
      </c>
      <c r="J114" s="4">
        <v>0</v>
      </c>
      <c r="K114" s="1">
        <v>0</v>
      </c>
      <c r="L114" s="1">
        <v>3</v>
      </c>
      <c r="M114" s="32">
        <f>IF(Mecze[[#This Row],[PR]]=0,0,Mecze[[#This Row],[PR]]/Mecze[[#This Row],[CZAS]])</f>
        <v>3.0612244897959183E-2</v>
      </c>
      <c r="N114" s="32">
        <f>IF(Mecze[[#This Row],[OU]]=0,0,Mecze[[#This Row],[OU]]/Mecze[[#This Row],[CZAS]])</f>
        <v>0</v>
      </c>
      <c r="O114" s="32">
        <f>IF(Mecze[[#This Row],[PC]]=0,0,Mecze[[#This Row],[PC]]/Mecze[[#This Row],[CZAS]])</f>
        <v>1.020408163265306E-2</v>
      </c>
      <c r="P114" s="32">
        <f>IF(Mecze[[#This Row],[SC]]=0,0,Mecze[[#This Row],[SC]]/Mecze[[#This Row],[CZAS]])</f>
        <v>5.1020408163265307E-2</v>
      </c>
      <c r="Q114" s="32">
        <f>IF(Mecze[[#This Row],[OB]]=0,0,Mecze[[#This Row],[OB]]/Mecze[[#This Row],[CZAS]])</f>
        <v>0</v>
      </c>
      <c r="R114" s="73">
        <f>IF(Mecze[[#This Row],[BR]]=0,0,Mecze[[#This Row],[BR]]/Mecze[[#This Row],[CZAS]])</f>
        <v>2.0408163265306121E-2</v>
      </c>
      <c r="S114" s="44">
        <f>IF(Mecze[[#This Row],[Role]]="BR",SUMPRODUCT(Mecze[[#This Row],[/PR:90]:[/BR:90]],Brudnopis!$E$23:$J$23),0)</f>
        <v>0</v>
      </c>
      <c r="T114" s="44">
        <f>IF(Mecze[[#This Row],[Role]]&lt;&gt;"BR",SUMPRODUCT(Mecze[[#This Row],[/PR:90]:[/BR:90]],Brudnopis!$E$24:$J$24),0)</f>
        <v>0.12244897959183673</v>
      </c>
      <c r="U114" s="44">
        <f>IF(Mecze[[#This Row],[Role]]&lt;&gt;"BR",SUMPRODUCT(Mecze[[#This Row],[/PR:90]:[/BR:90]],Brudnopis!$E$25:$J$25),0)</f>
        <v>0.12755102040816327</v>
      </c>
      <c r="V114" s="44">
        <f>IF(Mecze[[#This Row],[Role]]&lt;&gt;"BR",SUMPRODUCT(Mecze[[#This Row],[/PR:90]:[/BR:90]],Brudnopis!$E$26:$J$26),0)</f>
        <v>0.13265306122448978</v>
      </c>
      <c r="W114" s="44">
        <f>IF(Mecze[[#This Row],[Role]]&lt;&gt;"BR",SUMPRODUCT(Mecze[[#This Row],[/PR:90]:[/BR:90]],Brudnopis!$E$27:$J$27),0)</f>
        <v>0.13010204081632654</v>
      </c>
      <c r="X114" s="44">
        <f>IF(Mecze[[#This Row],[Role]]&lt;&gt;"BR",SUMPRODUCT(Mecze[[#This Row],[/PR:90]:[/BR:90]],Brudnopis!$E$28:$J$28),0)</f>
        <v>0.17346938775510204</v>
      </c>
      <c r="Y114" s="35">
        <f>IF(Mecze[[#This Row],[Role]]="BR",Mecze[[#This Row],[/OB:90]]+Mecze[[#This Row],[/PC:90]],SUM(Mecze[[#This Row],[/PR:90]:[/BR:90]]))</f>
        <v>0.11224489795918366</v>
      </c>
      <c r="Z114" s="35">
        <f>IF(Mecze[[#This Row],[KC]]=0,SUM(Mecze[[#This Row],[/BRI]:[/NPI]]),SUM(Mecze[[#This Row],[/BRI]:[/NPI]])*0.6)</f>
        <v>0.68622448979591832</v>
      </c>
      <c r="AA114" s="10">
        <f>IFERROR(Mecze[[#This Row],[BR]]/Mecze[[#This Row],[ST]],0)</f>
        <v>0.4</v>
      </c>
      <c r="AB114">
        <f>ROUND(Mecze[[#This Row],[PD]]*Mecze[[#This Row],[%PC]],0)</f>
        <v>1</v>
      </c>
      <c r="AC114">
        <f>ROUND(Mecze[[#This Row],[OD]]*Mecze[[#This Row],[%OU]],0)</f>
        <v>0</v>
      </c>
      <c r="AD114" s="36" t="s">
        <v>273</v>
      </c>
      <c r="AE114" s="36">
        <v>7</v>
      </c>
      <c r="AF114" s="71">
        <v>9.6300000000000008</v>
      </c>
      <c r="AG114" s="37">
        <v>0</v>
      </c>
      <c r="AH114" s="37">
        <v>0</v>
      </c>
      <c r="AI114" s="37">
        <v>98</v>
      </c>
      <c r="AJ114">
        <v>8</v>
      </c>
      <c r="AK114" s="37" t="str">
        <f>VLOOKUP(Mecze[[#This Row],[Match ID]],Meczusie[Mecz]:Meczusie[RodzajMeczu],2,FALSE)</f>
        <v>Liga</v>
      </c>
    </row>
    <row r="115" spans="1:37" x14ac:dyDescent="0.25">
      <c r="A115" s="76">
        <v>13</v>
      </c>
      <c r="B115" s="3" t="s">
        <v>313</v>
      </c>
      <c r="C115" s="2" t="s">
        <v>165</v>
      </c>
      <c r="D115" s="1">
        <v>0</v>
      </c>
      <c r="E115" s="1">
        <v>0</v>
      </c>
      <c r="F115" s="1">
        <v>0</v>
      </c>
      <c r="G115" s="1">
        <v>2</v>
      </c>
      <c r="H115" s="4">
        <v>1</v>
      </c>
      <c r="I115" s="1">
        <v>1</v>
      </c>
      <c r="J115" s="4">
        <v>0</v>
      </c>
      <c r="K115" s="1">
        <v>0</v>
      </c>
      <c r="L115" s="1">
        <v>1</v>
      </c>
      <c r="M115" s="32">
        <f>IF(Mecze[[#This Row],[PR]]=0,0,Mecze[[#This Row],[PR]]/Mecze[[#This Row],[CZAS]])</f>
        <v>1.2987012987012988E-2</v>
      </c>
      <c r="N115" s="32">
        <f>IF(Mecze[[#This Row],[OU]]=0,0,Mecze[[#This Row],[OU]]/Mecze[[#This Row],[CZAS]])</f>
        <v>0</v>
      </c>
      <c r="O115" s="32">
        <f>IF(Mecze[[#This Row],[PC]]=0,0,Mecze[[#This Row],[PC]]/Mecze[[#This Row],[CZAS]])</f>
        <v>2.5974025974025976E-2</v>
      </c>
      <c r="P115" s="32">
        <f>IF(Mecze[[#This Row],[SC]]=0,0,Mecze[[#This Row],[SC]]/Mecze[[#This Row],[CZAS]])</f>
        <v>0</v>
      </c>
      <c r="Q115" s="32">
        <f>IF(Mecze[[#This Row],[OB]]=0,0,Mecze[[#This Row],[OB]]/Mecze[[#This Row],[CZAS]])</f>
        <v>0</v>
      </c>
      <c r="R115" s="73">
        <f>IF(Mecze[[#This Row],[BR]]=0,0,Mecze[[#This Row],[BR]]/Mecze[[#This Row],[CZAS]])</f>
        <v>0</v>
      </c>
      <c r="S115" s="44">
        <f>IF(Mecze[[#This Row],[Role]]="BR",SUMPRODUCT(Mecze[[#This Row],[/PR:90]:[/BR:90]],Brudnopis!$E$23:$J$23),0)</f>
        <v>0</v>
      </c>
      <c r="T115" s="44">
        <f>IF(Mecze[[#This Row],[Role]]&lt;&gt;"BR",SUMPRODUCT(Mecze[[#This Row],[/PR:90]:[/BR:90]],Brudnopis!$E$24:$J$24),0)</f>
        <v>3.896103896103896E-2</v>
      </c>
      <c r="U115" s="44">
        <f>IF(Mecze[[#This Row],[Role]]&lt;&gt;"BR",SUMPRODUCT(Mecze[[#This Row],[/PR:90]:[/BR:90]],Brudnopis!$E$25:$J$25),0)</f>
        <v>5.1948051948051951E-2</v>
      </c>
      <c r="V115" s="44">
        <f>IF(Mecze[[#This Row],[Role]]&lt;&gt;"BR",SUMPRODUCT(Mecze[[#This Row],[/PR:90]:[/BR:90]],Brudnopis!$E$26:$J$26),0)</f>
        <v>3.896103896103896E-2</v>
      </c>
      <c r="W115" s="44">
        <f>IF(Mecze[[#This Row],[Role]]&lt;&gt;"BR",SUMPRODUCT(Mecze[[#This Row],[/PR:90]:[/BR:90]],Brudnopis!$E$27:$J$27),0)</f>
        <v>4.8701298701298704E-2</v>
      </c>
      <c r="X115" s="44">
        <f>IF(Mecze[[#This Row],[Role]]&lt;&gt;"BR",SUMPRODUCT(Mecze[[#This Row],[/PR:90]:[/BR:90]],Brudnopis!$E$28:$J$28),0)</f>
        <v>2.5974025974025976E-2</v>
      </c>
      <c r="Y115" s="35">
        <f>IF(Mecze[[#This Row],[Role]]="BR",Mecze[[#This Row],[/OB:90]]+Mecze[[#This Row],[/PC:90]],SUM(Mecze[[#This Row],[/PR:90]:[/BR:90]]))</f>
        <v>3.896103896103896E-2</v>
      </c>
      <c r="Z115" s="35">
        <f>IF(Mecze[[#This Row],[KC]]=0,SUM(Mecze[[#This Row],[/BRI]:[/NPI]]),SUM(Mecze[[#This Row],[/BRI]:[/NPI]])*0.6)</f>
        <v>0.20454545454545453</v>
      </c>
      <c r="AA115" s="10">
        <f>IFERROR(Mecze[[#This Row],[BR]]/Mecze[[#This Row],[ST]],0)</f>
        <v>0</v>
      </c>
      <c r="AB115">
        <f>ROUND(Mecze[[#This Row],[PD]]*Mecze[[#This Row],[%PC]],0)</f>
        <v>2</v>
      </c>
      <c r="AC115">
        <f>ROUND(Mecze[[#This Row],[OD]]*Mecze[[#This Row],[%OU]],0)</f>
        <v>0</v>
      </c>
      <c r="AD115" s="36" t="s">
        <v>272</v>
      </c>
      <c r="AE115" s="36">
        <v>7</v>
      </c>
      <c r="AF115" s="71">
        <v>3.93</v>
      </c>
      <c r="AG115" s="37">
        <v>0</v>
      </c>
      <c r="AH115" s="37">
        <v>0</v>
      </c>
      <c r="AI115" s="37">
        <v>77</v>
      </c>
      <c r="AJ115">
        <v>8</v>
      </c>
      <c r="AK115" s="37" t="str">
        <f>VLOOKUP(Mecze[[#This Row],[Match ID]],Meczusie[Mecz]:Meczusie[RodzajMeczu],2,FALSE)</f>
        <v>Liga</v>
      </c>
    </row>
    <row r="116" spans="1:37" x14ac:dyDescent="0.25">
      <c r="A116" s="76">
        <v>8</v>
      </c>
      <c r="B116" s="3" t="s">
        <v>314</v>
      </c>
      <c r="C116" s="2" t="s">
        <v>165</v>
      </c>
      <c r="D116" s="1">
        <v>3</v>
      </c>
      <c r="E116" s="1">
        <v>9</v>
      </c>
      <c r="F116" s="1">
        <v>7</v>
      </c>
      <c r="G116" s="1">
        <v>5</v>
      </c>
      <c r="H116" s="4">
        <v>1</v>
      </c>
      <c r="I116" s="1">
        <v>5</v>
      </c>
      <c r="J116" s="4">
        <v>0.2</v>
      </c>
      <c r="K116" s="1">
        <v>0</v>
      </c>
      <c r="L116" s="1">
        <v>1</v>
      </c>
      <c r="M116" s="32">
        <f>IF(Mecze[[#This Row],[PR]]=0,0,Mecze[[#This Row],[PR]]/Mecze[[#This Row],[CZAS]])</f>
        <v>1.020408163265306E-2</v>
      </c>
      <c r="N116" s="32">
        <f>IF(Mecze[[#This Row],[OU]]=0,0,Mecze[[#This Row],[OU]]/Mecze[[#This Row],[CZAS]])</f>
        <v>1.020408163265306E-2</v>
      </c>
      <c r="O116" s="32">
        <f>IF(Mecze[[#This Row],[PC]]=0,0,Mecze[[#This Row],[PC]]/Mecze[[#This Row],[CZAS]])</f>
        <v>5.1020408163265307E-2</v>
      </c>
      <c r="P116" s="32">
        <f>IF(Mecze[[#This Row],[SC]]=0,0,Mecze[[#This Row],[SC]]/Mecze[[#This Row],[CZAS]])</f>
        <v>7.1428571428571425E-2</v>
      </c>
      <c r="Q116" s="32">
        <f>IF(Mecze[[#This Row],[OB]]=0,0,Mecze[[#This Row],[OB]]/Mecze[[#This Row],[CZAS]])</f>
        <v>0</v>
      </c>
      <c r="R116" s="73">
        <f>IF(Mecze[[#This Row],[BR]]=0,0,Mecze[[#This Row],[BR]]/Mecze[[#This Row],[CZAS]])</f>
        <v>3.0612244897959183E-2</v>
      </c>
      <c r="S116" s="44">
        <f>IF(Mecze[[#This Row],[Role]]="BR",SUMPRODUCT(Mecze[[#This Row],[/PR:90]:[/BR:90]],Brudnopis!$E$23:$J$23),0)</f>
        <v>0</v>
      </c>
      <c r="T116" s="44">
        <f>IF(Mecze[[#This Row],[Role]]&lt;&gt;"BR",SUMPRODUCT(Mecze[[#This Row],[/PR:90]:[/BR:90]],Brudnopis!$E$24:$J$24),0)</f>
        <v>0.19387755102040816</v>
      </c>
      <c r="U116" s="44">
        <f>IF(Mecze[[#This Row],[Role]]&lt;&gt;"BR",SUMPRODUCT(Mecze[[#This Row],[/PR:90]:[/BR:90]],Brudnopis!$E$25:$J$25),0)</f>
        <v>0.21428571428571427</v>
      </c>
      <c r="V116" s="44">
        <f>IF(Mecze[[#This Row],[Role]]&lt;&gt;"BR",SUMPRODUCT(Mecze[[#This Row],[/PR:90]:[/BR:90]],Brudnopis!$E$26:$J$26),0)</f>
        <v>0.20408163265306123</v>
      </c>
      <c r="W116" s="44">
        <f>IF(Mecze[[#This Row],[Role]]&lt;&gt;"BR",SUMPRODUCT(Mecze[[#This Row],[/PR:90]:[/BR:90]],Brudnopis!$E$27:$J$27),0)</f>
        <v>0.22448979591836737</v>
      </c>
      <c r="X116" s="44">
        <f>IF(Mecze[[#This Row],[Role]]&lt;&gt;"BR",SUMPRODUCT(Mecze[[#This Row],[/PR:90]:[/BR:90]],Brudnopis!$E$28:$J$28),0)</f>
        <v>0.2857142857142857</v>
      </c>
      <c r="Y116" s="35">
        <f>IF(Mecze[[#This Row],[Role]]="BR",Mecze[[#This Row],[/OB:90]]+Mecze[[#This Row],[/PC:90]],SUM(Mecze[[#This Row],[/PR:90]:[/BR:90]]))</f>
        <v>0.17346938775510204</v>
      </c>
      <c r="Z116" s="35">
        <f>IF(Mecze[[#This Row],[KC]]=0,SUM(Mecze[[#This Row],[/BRI]:[/NPI]]),SUM(Mecze[[#This Row],[/BRI]:[/NPI]])*0.6)</f>
        <v>1.1224489795918369</v>
      </c>
      <c r="AA116" s="10">
        <f>IFERROR(Mecze[[#This Row],[BR]]/Mecze[[#This Row],[ST]],0)</f>
        <v>0.33333333333333331</v>
      </c>
      <c r="AB116">
        <f>ROUND(Mecze[[#This Row],[PD]]*Mecze[[#This Row],[%PC]],0)</f>
        <v>5</v>
      </c>
      <c r="AC116">
        <f>ROUND(Mecze[[#This Row],[OD]]*Mecze[[#This Row],[%OU]],0)</f>
        <v>1</v>
      </c>
      <c r="AD116" s="36" t="s">
        <v>46</v>
      </c>
      <c r="AE116" s="36">
        <v>7</v>
      </c>
      <c r="AF116" s="71">
        <v>14.4</v>
      </c>
      <c r="AG116" s="37">
        <v>1</v>
      </c>
      <c r="AH116" s="37">
        <v>0</v>
      </c>
      <c r="AI116" s="37">
        <v>98</v>
      </c>
      <c r="AJ116">
        <v>8</v>
      </c>
      <c r="AK116" s="37" t="str">
        <f>VLOOKUP(Mecze[[#This Row],[Match ID]],Meczusie[Mecz]:Meczusie[RodzajMeczu],2,FALSE)</f>
        <v>Liga</v>
      </c>
    </row>
    <row r="117" spans="1:37" x14ac:dyDescent="0.25">
      <c r="A117" s="76">
        <v>12</v>
      </c>
      <c r="B117" s="3" t="s">
        <v>315</v>
      </c>
      <c r="C117" s="2" t="s">
        <v>160</v>
      </c>
      <c r="D117" s="1">
        <v>0</v>
      </c>
      <c r="E117" s="1">
        <v>0</v>
      </c>
      <c r="F117" s="1">
        <v>0</v>
      </c>
      <c r="G117" s="1">
        <v>0</v>
      </c>
      <c r="H117" s="72"/>
      <c r="I117" s="1">
        <v>1</v>
      </c>
      <c r="J117" s="4">
        <v>0</v>
      </c>
      <c r="K117" s="1">
        <v>0</v>
      </c>
      <c r="L117" s="1">
        <v>0</v>
      </c>
      <c r="M117" s="32">
        <f>IF(Mecze[[#This Row],[PR]]=0,0,Mecze[[#This Row],[PR]]/Mecze[[#This Row],[CZAS]])</f>
        <v>0</v>
      </c>
      <c r="N117" s="32">
        <f>IF(Mecze[[#This Row],[OU]]=0,0,Mecze[[#This Row],[OU]]/Mecze[[#This Row],[CZAS]])</f>
        <v>0</v>
      </c>
      <c r="O117" s="32">
        <f>IF(Mecze[[#This Row],[PC]]=0,0,Mecze[[#This Row],[PC]]/Mecze[[#This Row],[CZAS]])</f>
        <v>0</v>
      </c>
      <c r="P117" s="32">
        <f>IF(Mecze[[#This Row],[SC]]=0,0,Mecze[[#This Row],[SC]]/Mecze[[#This Row],[CZAS]])</f>
        <v>0</v>
      </c>
      <c r="Q117" s="32">
        <f>IF(Mecze[[#This Row],[OB]]=0,0,Mecze[[#This Row],[OB]]/Mecze[[#This Row],[CZAS]])</f>
        <v>0</v>
      </c>
      <c r="R117" s="73">
        <f>IF(Mecze[[#This Row],[BR]]=0,0,Mecze[[#This Row],[BR]]/Mecze[[#This Row],[CZAS]])</f>
        <v>0</v>
      </c>
      <c r="S117" s="44">
        <f>IF(Mecze[[#This Row],[Role]]="BR",SUMPRODUCT(Mecze[[#This Row],[/PR:90]:[/BR:90]],Brudnopis!$E$23:$J$23),0)</f>
        <v>0</v>
      </c>
      <c r="T117" s="44">
        <f>IF(Mecze[[#This Row],[Role]]&lt;&gt;"BR",SUMPRODUCT(Mecze[[#This Row],[/PR:90]:[/BR:90]],Brudnopis!$E$24:$J$24),0)</f>
        <v>0</v>
      </c>
      <c r="U117" s="44">
        <f>IF(Mecze[[#This Row],[Role]]&lt;&gt;"BR",SUMPRODUCT(Mecze[[#This Row],[/PR:90]:[/BR:90]],Brudnopis!$E$25:$J$25),0)</f>
        <v>0</v>
      </c>
      <c r="V117" s="44">
        <f>IF(Mecze[[#This Row],[Role]]&lt;&gt;"BR",SUMPRODUCT(Mecze[[#This Row],[/PR:90]:[/BR:90]],Brudnopis!$E$26:$J$26),0)</f>
        <v>0</v>
      </c>
      <c r="W117" s="44">
        <f>IF(Mecze[[#This Row],[Role]]&lt;&gt;"BR",SUMPRODUCT(Mecze[[#This Row],[/PR:90]:[/BR:90]],Brudnopis!$E$27:$J$27),0)</f>
        <v>0</v>
      </c>
      <c r="X117" s="44">
        <f>IF(Mecze[[#This Row],[Role]]&lt;&gt;"BR",SUMPRODUCT(Mecze[[#This Row],[/PR:90]:[/BR:90]],Brudnopis!$E$28:$J$28),0)</f>
        <v>0</v>
      </c>
      <c r="Y117" s="35">
        <f>IF(Mecze[[#This Row],[Role]]="BR",Mecze[[#This Row],[/OB:90]]+Mecze[[#This Row],[/PC:90]],SUM(Mecze[[#This Row],[/PR:90]:[/BR:90]]))</f>
        <v>0</v>
      </c>
      <c r="Z117" s="35">
        <f>IF(Mecze[[#This Row],[KC]]=0,SUM(Mecze[[#This Row],[/BRI]:[/NPI]]),SUM(Mecze[[#This Row],[/BRI]:[/NPI]])*0.6)</f>
        <v>0</v>
      </c>
      <c r="AA117" s="10">
        <f>IFERROR(Mecze[[#This Row],[BR]]/Mecze[[#This Row],[ST]],0)</f>
        <v>0</v>
      </c>
      <c r="AB117">
        <f>ROUND(Mecze[[#This Row],[PD]]*Mecze[[#This Row],[%PC]],0)</f>
        <v>0</v>
      </c>
      <c r="AC117">
        <f>ROUND(Mecze[[#This Row],[OD]]*Mecze[[#This Row],[%OU]],0)</f>
        <v>0</v>
      </c>
      <c r="AD117" s="36" t="s">
        <v>319</v>
      </c>
      <c r="AE117" s="36">
        <v>7</v>
      </c>
      <c r="AF117" s="71">
        <v>1.72</v>
      </c>
      <c r="AG117" s="37">
        <v>0</v>
      </c>
      <c r="AH117" s="37">
        <v>0</v>
      </c>
      <c r="AI117" s="37">
        <v>21</v>
      </c>
      <c r="AJ117">
        <v>8</v>
      </c>
      <c r="AK117" s="37" t="str">
        <f>VLOOKUP(Mecze[[#This Row],[Match ID]],Meczusie[Mecz]:Meczusie[RodzajMeczu],2,FALSE)</f>
        <v>Liga</v>
      </c>
    </row>
    <row r="118" spans="1:37" x14ac:dyDescent="0.25">
      <c r="A118" s="76">
        <v>4</v>
      </c>
      <c r="B118" s="3" t="s">
        <v>316</v>
      </c>
      <c r="C118" s="2" t="s">
        <v>157</v>
      </c>
      <c r="D118" s="1">
        <v>0</v>
      </c>
      <c r="E118" s="1">
        <v>0</v>
      </c>
      <c r="F118" s="1">
        <v>0</v>
      </c>
      <c r="G118" s="1">
        <v>2</v>
      </c>
      <c r="H118" s="4">
        <v>1</v>
      </c>
      <c r="I118" s="1">
        <v>0</v>
      </c>
      <c r="J118" s="4"/>
      <c r="K118" s="1">
        <v>0</v>
      </c>
      <c r="L118" s="1">
        <v>2</v>
      </c>
      <c r="M118" s="32">
        <f>IF(Mecze[[#This Row],[PR]]=0,0,Mecze[[#This Row],[PR]]/Mecze[[#This Row],[CZAS]])</f>
        <v>9.5238095238095233E-2</v>
      </c>
      <c r="N118" s="32">
        <f>IF(Mecze[[#This Row],[OU]]=0,0,Mecze[[#This Row],[OU]]/Mecze[[#This Row],[CZAS]])</f>
        <v>0</v>
      </c>
      <c r="O118" s="32">
        <f>IF(Mecze[[#This Row],[PC]]=0,0,Mecze[[#This Row],[PC]]/Mecze[[#This Row],[CZAS]])</f>
        <v>9.5238095238095233E-2</v>
      </c>
      <c r="P118" s="32">
        <f>IF(Mecze[[#This Row],[SC]]=0,0,Mecze[[#This Row],[SC]]/Mecze[[#This Row],[CZAS]])</f>
        <v>0</v>
      </c>
      <c r="Q118" s="32">
        <f>IF(Mecze[[#This Row],[OB]]=0,0,Mecze[[#This Row],[OB]]/Mecze[[#This Row],[CZAS]])</f>
        <v>0</v>
      </c>
      <c r="R118" s="73">
        <f>IF(Mecze[[#This Row],[BR]]=0,0,Mecze[[#This Row],[BR]]/Mecze[[#This Row],[CZAS]])</f>
        <v>0</v>
      </c>
      <c r="S118" s="44">
        <f>IF(Mecze[[#This Row],[Role]]="BR",SUMPRODUCT(Mecze[[#This Row],[/PR:90]:[/BR:90]],Brudnopis!$E$23:$J$23),0)</f>
        <v>0</v>
      </c>
      <c r="T118" s="44">
        <f>IF(Mecze[[#This Row],[Role]]&lt;&gt;"BR",SUMPRODUCT(Mecze[[#This Row],[/PR:90]:[/BR:90]],Brudnopis!$E$24:$J$24),0)</f>
        <v>0.19047619047619047</v>
      </c>
      <c r="U118" s="44">
        <f>IF(Mecze[[#This Row],[Role]]&lt;&gt;"BR",SUMPRODUCT(Mecze[[#This Row],[/PR:90]:[/BR:90]],Brudnopis!$E$25:$J$25),0)</f>
        <v>0.23809523809523808</v>
      </c>
      <c r="V118" s="44">
        <f>IF(Mecze[[#This Row],[Role]]&lt;&gt;"BR",SUMPRODUCT(Mecze[[#This Row],[/PR:90]:[/BR:90]],Brudnopis!$E$26:$J$26),0)</f>
        <v>0.19047619047619047</v>
      </c>
      <c r="W118" s="44">
        <f>IF(Mecze[[#This Row],[Role]]&lt;&gt;"BR",SUMPRODUCT(Mecze[[#This Row],[/PR:90]:[/BR:90]],Brudnopis!$E$27:$J$27),0)</f>
        <v>0.21428571428571427</v>
      </c>
      <c r="X118" s="44">
        <f>IF(Mecze[[#This Row],[Role]]&lt;&gt;"BR",SUMPRODUCT(Mecze[[#This Row],[/PR:90]:[/BR:90]],Brudnopis!$E$28:$J$28),0)</f>
        <v>9.5238095238095233E-2</v>
      </c>
      <c r="Y118" s="35">
        <f>IF(Mecze[[#This Row],[Role]]="BR",Mecze[[#This Row],[/OB:90]]+Mecze[[#This Row],[/PC:90]],SUM(Mecze[[#This Row],[/PR:90]:[/BR:90]]))</f>
        <v>0.19047619047619047</v>
      </c>
      <c r="Z118" s="35">
        <f>IF(Mecze[[#This Row],[KC]]=0,SUM(Mecze[[#This Row],[/BRI]:[/NPI]]),SUM(Mecze[[#This Row],[/BRI]:[/NPI]])*0.6)</f>
        <v>0.9285714285714286</v>
      </c>
      <c r="AA118" s="10">
        <f>IFERROR(Mecze[[#This Row],[BR]]/Mecze[[#This Row],[ST]],0)</f>
        <v>0</v>
      </c>
      <c r="AB118">
        <f>ROUND(Mecze[[#This Row],[PD]]*Mecze[[#This Row],[%PC]],0)</f>
        <v>2</v>
      </c>
      <c r="AC118">
        <f>ROUND(Mecze[[#This Row],[OD]]*Mecze[[#This Row],[%OU]],0)</f>
        <v>0</v>
      </c>
      <c r="AD118" s="36" t="s">
        <v>168</v>
      </c>
      <c r="AE118" s="36">
        <v>7</v>
      </c>
      <c r="AF118" s="71">
        <v>2.14</v>
      </c>
      <c r="AG118" s="37">
        <v>0</v>
      </c>
      <c r="AH118" s="37">
        <v>0</v>
      </c>
      <c r="AI118" s="37">
        <v>21</v>
      </c>
      <c r="AJ118">
        <v>8</v>
      </c>
      <c r="AK118" s="37" t="str">
        <f>VLOOKUP(Mecze[[#This Row],[Match ID]],Meczusie[Mecz]:Meczusie[RodzajMeczu],2,FALSE)</f>
        <v>Liga</v>
      </c>
    </row>
    <row r="119" spans="1:37" x14ac:dyDescent="0.25">
      <c r="A119" s="76">
        <v>17</v>
      </c>
      <c r="B119" s="3" t="s">
        <v>317</v>
      </c>
      <c r="C119" s="2" t="s">
        <v>165</v>
      </c>
      <c r="D119" s="1">
        <v>0</v>
      </c>
      <c r="E119" s="1">
        <v>0</v>
      </c>
      <c r="F119" s="1">
        <v>0</v>
      </c>
      <c r="G119" s="1">
        <v>0</v>
      </c>
      <c r="H119" s="72"/>
      <c r="I119" s="1">
        <v>0</v>
      </c>
      <c r="J119" s="4"/>
      <c r="K119" s="1">
        <v>0</v>
      </c>
      <c r="L119" s="1">
        <v>0</v>
      </c>
      <c r="M119" s="32">
        <f>IF(Mecze[[#This Row],[PR]]=0,0,Mecze[[#This Row],[PR]]/Mecze[[#This Row],[CZAS]])</f>
        <v>0</v>
      </c>
      <c r="N119" s="32">
        <f>IF(Mecze[[#This Row],[OU]]=0,0,Mecze[[#This Row],[OU]]/Mecze[[#This Row],[CZAS]])</f>
        <v>0</v>
      </c>
      <c r="O119" s="32">
        <f>IF(Mecze[[#This Row],[PC]]=0,0,Mecze[[#This Row],[PC]]/Mecze[[#This Row],[CZAS]])</f>
        <v>0</v>
      </c>
      <c r="P119" s="32">
        <f>IF(Mecze[[#This Row],[SC]]=0,0,Mecze[[#This Row],[SC]]/Mecze[[#This Row],[CZAS]])</f>
        <v>0</v>
      </c>
      <c r="Q119" s="32">
        <f>IF(Mecze[[#This Row],[OB]]=0,0,Mecze[[#This Row],[OB]]/Mecze[[#This Row],[CZAS]])</f>
        <v>0</v>
      </c>
      <c r="R119" s="73">
        <f>IF(Mecze[[#This Row],[BR]]=0,0,Mecze[[#This Row],[BR]]/Mecze[[#This Row],[CZAS]])</f>
        <v>0</v>
      </c>
      <c r="S119" s="44">
        <f>IF(Mecze[[#This Row],[Role]]="BR",SUMPRODUCT(Mecze[[#This Row],[/PR:90]:[/BR:90]],Brudnopis!$E$23:$J$23),0)</f>
        <v>0</v>
      </c>
      <c r="T119" s="44">
        <f>IF(Mecze[[#This Row],[Role]]&lt;&gt;"BR",SUMPRODUCT(Mecze[[#This Row],[/PR:90]:[/BR:90]],Brudnopis!$E$24:$J$24),0)</f>
        <v>0</v>
      </c>
      <c r="U119" s="44">
        <f>IF(Mecze[[#This Row],[Role]]&lt;&gt;"BR",SUMPRODUCT(Mecze[[#This Row],[/PR:90]:[/BR:90]],Brudnopis!$E$25:$J$25),0)</f>
        <v>0</v>
      </c>
      <c r="V119" s="44">
        <f>IF(Mecze[[#This Row],[Role]]&lt;&gt;"BR",SUMPRODUCT(Mecze[[#This Row],[/PR:90]:[/BR:90]],Brudnopis!$E$26:$J$26),0)</f>
        <v>0</v>
      </c>
      <c r="W119" s="44">
        <f>IF(Mecze[[#This Row],[Role]]&lt;&gt;"BR",SUMPRODUCT(Mecze[[#This Row],[/PR:90]:[/BR:90]],Brudnopis!$E$27:$J$27),0)</f>
        <v>0</v>
      </c>
      <c r="X119" s="44">
        <f>IF(Mecze[[#This Row],[Role]]&lt;&gt;"BR",SUMPRODUCT(Mecze[[#This Row],[/PR:90]:[/BR:90]],Brudnopis!$E$28:$J$28),0)</f>
        <v>0</v>
      </c>
      <c r="Y119" s="35">
        <f>IF(Mecze[[#This Row],[Role]]="BR",Mecze[[#This Row],[/OB:90]]+Mecze[[#This Row],[/PC:90]],SUM(Mecze[[#This Row],[/PR:90]:[/BR:90]]))</f>
        <v>0</v>
      </c>
      <c r="Z119" s="35">
        <f>IF(Mecze[[#This Row],[KC]]=0,SUM(Mecze[[#This Row],[/BRI]:[/NPI]]),SUM(Mecze[[#This Row],[/BRI]:[/NPI]])*0.6)</f>
        <v>0</v>
      </c>
      <c r="AA119" s="10">
        <f>IFERROR(Mecze[[#This Row],[BR]]/Mecze[[#This Row],[ST]],0)</f>
        <v>0</v>
      </c>
      <c r="AB119">
        <f>ROUND(Mecze[[#This Row],[PD]]*Mecze[[#This Row],[%PC]],0)</f>
        <v>0</v>
      </c>
      <c r="AC119">
        <f>ROUND(Mecze[[#This Row],[OD]]*Mecze[[#This Row],[%OU]],0)</f>
        <v>0</v>
      </c>
      <c r="AD119" s="36" t="s">
        <v>272</v>
      </c>
      <c r="AE119" s="36">
        <v>7</v>
      </c>
      <c r="AF119" s="71">
        <v>1.72</v>
      </c>
      <c r="AG119" s="37">
        <v>0</v>
      </c>
      <c r="AH119" s="37">
        <v>0</v>
      </c>
      <c r="AI119" s="37">
        <v>21</v>
      </c>
      <c r="AJ119">
        <v>8</v>
      </c>
      <c r="AK119" s="37" t="str">
        <f>VLOOKUP(Mecze[[#This Row],[Match ID]],Meczusie[Mecz]:Meczusie[RodzajMeczu],2,FALSE)</f>
        <v>Liga</v>
      </c>
    </row>
    <row r="120" spans="1:37" x14ac:dyDescent="0.25">
      <c r="A120" s="76">
        <v>1</v>
      </c>
      <c r="B120" s="3" t="s">
        <v>320</v>
      </c>
      <c r="C120" s="2" t="s">
        <v>155</v>
      </c>
      <c r="D120" s="1">
        <v>0</v>
      </c>
      <c r="E120" s="1">
        <v>0</v>
      </c>
      <c r="F120" s="1">
        <v>0</v>
      </c>
      <c r="G120" s="1">
        <v>10</v>
      </c>
      <c r="H120" s="4">
        <v>0.8</v>
      </c>
      <c r="I120" s="1">
        <v>0</v>
      </c>
      <c r="J120" s="4"/>
      <c r="K120" s="1">
        <v>8</v>
      </c>
      <c r="L120" s="1">
        <v>0</v>
      </c>
      <c r="M120" s="32">
        <f>IF(Mecze[[#This Row],[PR]]=0,0,Mecze[[#This Row],[PR]]/Mecze[[#This Row],[CZAS]])</f>
        <v>0</v>
      </c>
      <c r="N120" s="32">
        <f>IF(Mecze[[#This Row],[OU]]=0,0,Mecze[[#This Row],[OU]]/Mecze[[#This Row],[CZAS]])</f>
        <v>0</v>
      </c>
      <c r="O120" s="32">
        <f>IF(Mecze[[#This Row],[PC]]=0,0,Mecze[[#This Row],[PC]]/Mecze[[#This Row],[CZAS]])</f>
        <v>8.1632653061224483E-2</v>
      </c>
      <c r="P120" s="32">
        <f>IF(Mecze[[#This Row],[SC]]=0,0,Mecze[[#This Row],[SC]]/Mecze[[#This Row],[CZAS]])</f>
        <v>0</v>
      </c>
      <c r="Q120" s="32">
        <f>IF(Mecze[[#This Row],[OB]]=0,0,Mecze[[#This Row],[OB]]/Mecze[[#This Row],[CZAS]])</f>
        <v>8.1632653061224483E-2</v>
      </c>
      <c r="R120" s="73">
        <f>IF(Mecze[[#This Row],[BR]]=0,0,Mecze[[#This Row],[BR]]/Mecze[[#This Row],[CZAS]])</f>
        <v>0</v>
      </c>
      <c r="S120" s="44">
        <f>IF(Mecze[[#This Row],[Role]]="BR",SUMPRODUCT(Mecze[[#This Row],[/PR:90]:[/BR:90]],Brudnopis!$E$23:$J$23),0)</f>
        <v>0.48979591836734693</v>
      </c>
      <c r="T120" s="44">
        <f>IF(Mecze[[#This Row],[Role]]&lt;&gt;"BR",SUMPRODUCT(Mecze[[#This Row],[/PR:90]:[/BR:90]],Brudnopis!$E$24:$J$24),0)</f>
        <v>0</v>
      </c>
      <c r="U120" s="44">
        <f>IF(Mecze[[#This Row],[Role]]&lt;&gt;"BR",SUMPRODUCT(Mecze[[#This Row],[/PR:90]:[/BR:90]],Brudnopis!$E$25:$J$25),0)</f>
        <v>0</v>
      </c>
      <c r="V120" s="44">
        <f>IF(Mecze[[#This Row],[Role]]&lt;&gt;"BR",SUMPRODUCT(Mecze[[#This Row],[/PR:90]:[/BR:90]],Brudnopis!$E$26:$J$26),0)</f>
        <v>0</v>
      </c>
      <c r="W120" s="44">
        <f>IF(Mecze[[#This Row],[Role]]&lt;&gt;"BR",SUMPRODUCT(Mecze[[#This Row],[/PR:90]:[/BR:90]],Brudnopis!$E$27:$J$27),0)</f>
        <v>0</v>
      </c>
      <c r="X120" s="44">
        <f>IF(Mecze[[#This Row],[Role]]&lt;&gt;"BR",SUMPRODUCT(Mecze[[#This Row],[/PR:90]:[/BR:90]],Brudnopis!$E$28:$J$28),0)</f>
        <v>0</v>
      </c>
      <c r="Y120" s="35">
        <f>IF(Mecze[[#This Row],[Role]]="BR",Mecze[[#This Row],[/OB:90]]+Mecze[[#This Row],[/PC:90]],SUM(Mecze[[#This Row],[/PR:90]:[/BR:90]]))</f>
        <v>0.16326530612244897</v>
      </c>
      <c r="Z120" s="35">
        <f>IF(Mecze[[#This Row],[KC]]=0,SUM(Mecze[[#This Row],[/BRI]:[/NPI]]),SUM(Mecze[[#This Row],[/BRI]:[/NPI]])*0.6)</f>
        <v>0.48979591836734693</v>
      </c>
      <c r="AA120" s="10">
        <f>IFERROR(Mecze[[#This Row],[BR]]/Mecze[[#This Row],[ST]],0)</f>
        <v>0</v>
      </c>
      <c r="AB120">
        <f>ROUND(Mecze[[#This Row],[PD]]*Mecze[[#This Row],[%PC]],0)</f>
        <v>8</v>
      </c>
      <c r="AC120">
        <f>ROUND(Mecze[[#This Row],[OD]]*Mecze[[#This Row],[%OU]],0)</f>
        <v>0</v>
      </c>
      <c r="AD120" s="36" t="s">
        <v>40</v>
      </c>
      <c r="AE120" s="36">
        <v>7</v>
      </c>
      <c r="AF120" s="71">
        <v>5.49</v>
      </c>
      <c r="AG120" s="37">
        <v>0</v>
      </c>
      <c r="AH120" s="37">
        <v>0</v>
      </c>
      <c r="AI120" s="37">
        <v>98</v>
      </c>
      <c r="AJ120">
        <v>11</v>
      </c>
      <c r="AK120" s="37" t="str">
        <f>VLOOKUP(Mecze[[#This Row],[Match ID]],Meczusie[Mecz]:Meczusie[RodzajMeczu],2,FALSE)</f>
        <v>Liga</v>
      </c>
    </row>
    <row r="121" spans="1:37" x14ac:dyDescent="0.25">
      <c r="A121" s="76">
        <v>4</v>
      </c>
      <c r="B121" s="3" t="s">
        <v>321</v>
      </c>
      <c r="C121" s="2" t="s">
        <v>157</v>
      </c>
      <c r="D121" s="1">
        <v>0</v>
      </c>
      <c r="E121" s="1">
        <v>0</v>
      </c>
      <c r="F121" s="1">
        <v>0</v>
      </c>
      <c r="G121" s="1">
        <v>9</v>
      </c>
      <c r="H121" s="4">
        <v>0.89</v>
      </c>
      <c r="I121" s="1">
        <v>1</v>
      </c>
      <c r="J121" s="4">
        <v>0</v>
      </c>
      <c r="K121" s="1">
        <v>0</v>
      </c>
      <c r="L121" s="1">
        <v>6</v>
      </c>
      <c r="M121" s="32">
        <f>IF(Mecze[[#This Row],[PR]]=0,0,Mecze[[#This Row],[PR]]/Mecze[[#This Row],[CZAS]])</f>
        <v>6.1224489795918366E-2</v>
      </c>
      <c r="N121" s="32">
        <f>IF(Mecze[[#This Row],[OU]]=0,0,Mecze[[#This Row],[OU]]/Mecze[[#This Row],[CZAS]])</f>
        <v>0</v>
      </c>
      <c r="O121" s="32">
        <f>IF(Mecze[[#This Row],[PC]]=0,0,Mecze[[#This Row],[PC]]/Mecze[[#This Row],[CZAS]])</f>
        <v>8.1632653061224483E-2</v>
      </c>
      <c r="P121" s="32">
        <f>IF(Mecze[[#This Row],[SC]]=0,0,Mecze[[#This Row],[SC]]/Mecze[[#This Row],[CZAS]])</f>
        <v>0</v>
      </c>
      <c r="Q121" s="32">
        <f>IF(Mecze[[#This Row],[OB]]=0,0,Mecze[[#This Row],[OB]]/Mecze[[#This Row],[CZAS]])</f>
        <v>0</v>
      </c>
      <c r="R121" s="73">
        <f>IF(Mecze[[#This Row],[BR]]=0,0,Mecze[[#This Row],[BR]]/Mecze[[#This Row],[CZAS]])</f>
        <v>0</v>
      </c>
      <c r="S121" s="44">
        <f>IF(Mecze[[#This Row],[Role]]="BR",SUMPRODUCT(Mecze[[#This Row],[/PR:90]:[/BR:90]],Brudnopis!$E$23:$J$23),0)</f>
        <v>0</v>
      </c>
      <c r="T121" s="44">
        <f>IF(Mecze[[#This Row],[Role]]&lt;&gt;"BR",SUMPRODUCT(Mecze[[#This Row],[/PR:90]:[/BR:90]],Brudnopis!$E$24:$J$24),0)</f>
        <v>0.14285714285714285</v>
      </c>
      <c r="U121" s="44">
        <f>IF(Mecze[[#This Row],[Role]]&lt;&gt;"BR",SUMPRODUCT(Mecze[[#This Row],[/PR:90]:[/BR:90]],Brudnopis!$E$25:$J$25),0)</f>
        <v>0.18367346938775508</v>
      </c>
      <c r="V121" s="44">
        <f>IF(Mecze[[#This Row],[Role]]&lt;&gt;"BR",SUMPRODUCT(Mecze[[#This Row],[/PR:90]:[/BR:90]],Brudnopis!$E$26:$J$26),0)</f>
        <v>0.14285714285714285</v>
      </c>
      <c r="W121" s="44">
        <f>IF(Mecze[[#This Row],[Role]]&lt;&gt;"BR",SUMPRODUCT(Mecze[[#This Row],[/PR:90]:[/BR:90]],Brudnopis!$E$27:$J$27),0)</f>
        <v>0.1683673469387755</v>
      </c>
      <c r="X121" s="44">
        <f>IF(Mecze[[#This Row],[Role]]&lt;&gt;"BR",SUMPRODUCT(Mecze[[#This Row],[/PR:90]:[/BR:90]],Brudnopis!$E$28:$J$28),0)</f>
        <v>8.1632653061224483E-2</v>
      </c>
      <c r="Y121" s="35">
        <f>IF(Mecze[[#This Row],[Role]]="BR",Mecze[[#This Row],[/OB:90]]+Mecze[[#This Row],[/PC:90]],SUM(Mecze[[#This Row],[/PR:90]:[/BR:90]]))</f>
        <v>0.14285714285714285</v>
      </c>
      <c r="Z121" s="35">
        <f>IF(Mecze[[#This Row],[KC]]=0,SUM(Mecze[[#This Row],[/BRI]:[/NPI]]),SUM(Mecze[[#This Row],[/BRI]:[/NPI]])*0.6)</f>
        <v>0.71938775510204078</v>
      </c>
      <c r="AA121" s="10">
        <f>IFERROR(Mecze[[#This Row],[BR]]/Mecze[[#This Row],[ST]],0)</f>
        <v>0</v>
      </c>
      <c r="AB121">
        <f>ROUND(Mecze[[#This Row],[PD]]*Mecze[[#This Row],[%PC]],0)</f>
        <v>8</v>
      </c>
      <c r="AC121">
        <f>ROUND(Mecze[[#This Row],[OD]]*Mecze[[#This Row],[%OU]],0)</f>
        <v>0</v>
      </c>
      <c r="AD121" s="36" t="s">
        <v>47</v>
      </c>
      <c r="AE121" s="36">
        <v>7</v>
      </c>
      <c r="AF121" s="71">
        <v>1.84</v>
      </c>
      <c r="AG121" s="37">
        <v>0</v>
      </c>
      <c r="AH121" s="37">
        <v>0</v>
      </c>
      <c r="AI121" s="37">
        <v>98</v>
      </c>
      <c r="AJ121">
        <v>11</v>
      </c>
      <c r="AK121" s="37" t="str">
        <f>VLOOKUP(Mecze[[#This Row],[Match ID]],Meczusie[Mecz]:Meczusie[RodzajMeczu],2,FALSE)</f>
        <v>Liga</v>
      </c>
    </row>
    <row r="122" spans="1:37" x14ac:dyDescent="0.25">
      <c r="A122" s="76">
        <v>7</v>
      </c>
      <c r="B122" s="3" t="s">
        <v>322</v>
      </c>
      <c r="C122" s="2" t="s">
        <v>157</v>
      </c>
      <c r="D122" s="1">
        <v>0</v>
      </c>
      <c r="E122" s="1">
        <v>0</v>
      </c>
      <c r="F122" s="1">
        <v>0</v>
      </c>
      <c r="G122" s="1">
        <v>14</v>
      </c>
      <c r="H122" s="4">
        <v>0.56999999999999995</v>
      </c>
      <c r="I122" s="1">
        <v>11</v>
      </c>
      <c r="J122" s="4">
        <v>0.64</v>
      </c>
      <c r="K122" s="1">
        <v>0</v>
      </c>
      <c r="L122" s="1">
        <v>4</v>
      </c>
      <c r="M122" s="32">
        <f>IF(Mecze[[#This Row],[PR]]=0,0,Mecze[[#This Row],[PR]]/Mecze[[#This Row],[CZAS]])</f>
        <v>4.3478260869565216E-2</v>
      </c>
      <c r="N122" s="32">
        <f>IF(Mecze[[#This Row],[OU]]=0,0,Mecze[[#This Row],[OU]]/Mecze[[#This Row],[CZAS]])</f>
        <v>7.6086956521739135E-2</v>
      </c>
      <c r="O122" s="32">
        <f>IF(Mecze[[#This Row],[PC]]=0,0,Mecze[[#This Row],[PC]]/Mecze[[#This Row],[CZAS]])</f>
        <v>8.6956521739130432E-2</v>
      </c>
      <c r="P122" s="32">
        <f>IF(Mecze[[#This Row],[SC]]=0,0,Mecze[[#This Row],[SC]]/Mecze[[#This Row],[CZAS]])</f>
        <v>0</v>
      </c>
      <c r="Q122" s="32">
        <f>IF(Mecze[[#This Row],[OB]]=0,0,Mecze[[#This Row],[OB]]/Mecze[[#This Row],[CZAS]])</f>
        <v>0</v>
      </c>
      <c r="R122" s="73">
        <f>IF(Mecze[[#This Row],[BR]]=0,0,Mecze[[#This Row],[BR]]/Mecze[[#This Row],[CZAS]])</f>
        <v>0</v>
      </c>
      <c r="S122" s="44">
        <f>IF(Mecze[[#This Row],[Role]]="BR",SUMPRODUCT(Mecze[[#This Row],[/PR:90]:[/BR:90]],Brudnopis!$E$23:$J$23),0)</f>
        <v>0</v>
      </c>
      <c r="T122" s="44">
        <f>IF(Mecze[[#This Row],[Role]]&lt;&gt;"BR",SUMPRODUCT(Mecze[[#This Row],[/PR:90]:[/BR:90]],Brudnopis!$E$24:$J$24),0)</f>
        <v>0.24456521739130435</v>
      </c>
      <c r="U122" s="44">
        <f>IF(Mecze[[#This Row],[Role]]&lt;&gt;"BR",SUMPRODUCT(Mecze[[#This Row],[/PR:90]:[/BR:90]],Brudnopis!$E$25:$J$25),0)</f>
        <v>0.25</v>
      </c>
      <c r="V122" s="44">
        <f>IF(Mecze[[#This Row],[Role]]&lt;&gt;"BR",SUMPRODUCT(Mecze[[#This Row],[/PR:90]:[/BR:90]],Brudnopis!$E$26:$J$26),0)</f>
        <v>0.20652173913043478</v>
      </c>
      <c r="W122" s="44">
        <f>IF(Mecze[[#This Row],[Role]]&lt;&gt;"BR",SUMPRODUCT(Mecze[[#This Row],[/PR:90]:[/BR:90]],Brudnopis!$E$27:$J$27),0)</f>
        <v>0.22010869565217392</v>
      </c>
      <c r="X122" s="44">
        <f>IF(Mecze[[#This Row],[Role]]&lt;&gt;"BR",SUMPRODUCT(Mecze[[#This Row],[/PR:90]:[/BR:90]],Brudnopis!$E$28:$J$28),0)</f>
        <v>8.6956521739130432E-2</v>
      </c>
      <c r="Y122" s="35">
        <f>IF(Mecze[[#This Row],[Role]]="BR",Mecze[[#This Row],[/OB:90]]+Mecze[[#This Row],[/PC:90]],SUM(Mecze[[#This Row],[/PR:90]:[/BR:90]]))</f>
        <v>0.20652173913043478</v>
      </c>
      <c r="Z122" s="35">
        <f>IF(Mecze[[#This Row],[KC]]=0,SUM(Mecze[[#This Row],[/BRI]:[/NPI]]),SUM(Mecze[[#This Row],[/BRI]:[/NPI]])*0.6)</f>
        <v>0.60489130434782601</v>
      </c>
      <c r="AA122" s="10">
        <f>IFERROR(Mecze[[#This Row],[BR]]/Mecze[[#This Row],[ST]],0)</f>
        <v>0</v>
      </c>
      <c r="AB122">
        <f>ROUND(Mecze[[#This Row],[PD]]*Mecze[[#This Row],[%PC]],0)</f>
        <v>8</v>
      </c>
      <c r="AC122">
        <f>ROUND(Mecze[[#This Row],[OD]]*Mecze[[#This Row],[%OU]],0)</f>
        <v>7</v>
      </c>
      <c r="AD122" s="36" t="s">
        <v>47</v>
      </c>
      <c r="AE122" s="36">
        <v>7</v>
      </c>
      <c r="AF122" s="71">
        <v>0.33</v>
      </c>
      <c r="AG122" s="37">
        <v>0</v>
      </c>
      <c r="AH122" s="37">
        <v>1</v>
      </c>
      <c r="AI122" s="37">
        <v>92</v>
      </c>
      <c r="AJ122">
        <v>11</v>
      </c>
      <c r="AK122" s="37" t="str">
        <f>VLOOKUP(Mecze[[#This Row],[Match ID]],Meczusie[Mecz]:Meczusie[RodzajMeczu],2,FALSE)</f>
        <v>Liga</v>
      </c>
    </row>
    <row r="123" spans="1:37" x14ac:dyDescent="0.25">
      <c r="A123" s="76">
        <v>15</v>
      </c>
      <c r="B123" s="3" t="s">
        <v>323</v>
      </c>
      <c r="C123" s="2" t="s">
        <v>157</v>
      </c>
      <c r="D123" s="1">
        <v>0</v>
      </c>
      <c r="E123" s="1">
        <v>0</v>
      </c>
      <c r="F123" s="1">
        <v>0</v>
      </c>
      <c r="G123" s="1">
        <v>4</v>
      </c>
      <c r="H123" s="4">
        <v>1</v>
      </c>
      <c r="I123" s="1">
        <v>2</v>
      </c>
      <c r="J123" s="4">
        <v>1</v>
      </c>
      <c r="K123" s="1">
        <v>0</v>
      </c>
      <c r="L123" s="1">
        <v>3</v>
      </c>
      <c r="M123" s="32">
        <f>IF(Mecze[[#This Row],[PR]]=0,0,Mecze[[#This Row],[PR]]/Mecze[[#This Row],[CZAS]])</f>
        <v>3.0612244897959183E-2</v>
      </c>
      <c r="N123" s="32">
        <f>IF(Mecze[[#This Row],[OU]]=0,0,Mecze[[#This Row],[OU]]/Mecze[[#This Row],[CZAS]])</f>
        <v>2.0408163265306121E-2</v>
      </c>
      <c r="O123" s="32">
        <f>IF(Mecze[[#This Row],[PC]]=0,0,Mecze[[#This Row],[PC]]/Mecze[[#This Row],[CZAS]])</f>
        <v>4.0816326530612242E-2</v>
      </c>
      <c r="P123" s="32">
        <f>IF(Mecze[[#This Row],[SC]]=0,0,Mecze[[#This Row],[SC]]/Mecze[[#This Row],[CZAS]])</f>
        <v>0</v>
      </c>
      <c r="Q123" s="32">
        <f>IF(Mecze[[#This Row],[OB]]=0,0,Mecze[[#This Row],[OB]]/Mecze[[#This Row],[CZAS]])</f>
        <v>0</v>
      </c>
      <c r="R123" s="32">
        <f>IF(Mecze[[#This Row],[BR]]=0,0,Mecze[[#This Row],[BR]]/Mecze[[#This Row],[CZAS]])</f>
        <v>0</v>
      </c>
      <c r="S123" s="44">
        <f>IF(Mecze[[#This Row],[Role]]="BR",SUMPRODUCT(Mecze[[#This Row],[/PR:90]:[/BR:90]],Brudnopis!$E$23:$J$23),0)</f>
        <v>0</v>
      </c>
      <c r="T123" s="44">
        <f>IF(Mecze[[#This Row],[Role]]&lt;&gt;"BR",SUMPRODUCT(Mecze[[#This Row],[/PR:90]:[/BR:90]],Brudnopis!$E$24:$J$24),0)</f>
        <v>0.10204081632653061</v>
      </c>
      <c r="U123" s="44">
        <f>IF(Mecze[[#This Row],[Role]]&lt;&gt;"BR",SUMPRODUCT(Mecze[[#This Row],[/PR:90]:[/BR:90]],Brudnopis!$E$25:$J$25),0)</f>
        <v>0.11224489795918367</v>
      </c>
      <c r="V123" s="44">
        <f>IF(Mecze[[#This Row],[Role]]&lt;&gt;"BR",SUMPRODUCT(Mecze[[#This Row],[/PR:90]:[/BR:90]],Brudnopis!$E$26:$J$26),0)</f>
        <v>9.1836734693877542E-2</v>
      </c>
      <c r="W123" s="44">
        <f>IF(Mecze[[#This Row],[Role]]&lt;&gt;"BR",SUMPRODUCT(Mecze[[#This Row],[/PR:90]:[/BR:90]],Brudnopis!$E$27:$J$27),0)</f>
        <v>9.9489795918367346E-2</v>
      </c>
      <c r="X123" s="44">
        <f>IF(Mecze[[#This Row],[Role]]&lt;&gt;"BR",SUMPRODUCT(Mecze[[#This Row],[/PR:90]:[/BR:90]],Brudnopis!$E$28:$J$28),0)</f>
        <v>4.0816326530612242E-2</v>
      </c>
      <c r="Y123" s="35">
        <f>IF(Mecze[[#This Row],[Role]]="BR",Mecze[[#This Row],[/OB:90]]+Mecze[[#This Row],[/PC:90]],SUM(Mecze[[#This Row],[/PR:90]:[/BR:90]]))</f>
        <v>9.1836734693877542E-2</v>
      </c>
      <c r="Z123" s="35">
        <f>IF(Mecze[[#This Row],[KC]]=0,SUM(Mecze[[#This Row],[/BRI]:[/NPI]]),SUM(Mecze[[#This Row],[/BRI]:[/NPI]])*0.6)</f>
        <v>0.44642857142857145</v>
      </c>
      <c r="AA123" s="10">
        <f>IFERROR(Mecze[[#This Row],[BR]]/Mecze[[#This Row],[ST]],0)</f>
        <v>0</v>
      </c>
      <c r="AB123">
        <f>ROUND(Mecze[[#This Row],[PD]]*Mecze[[#This Row],[%PC]],0)</f>
        <v>4</v>
      </c>
      <c r="AC123">
        <f>ROUND(Mecze[[#This Row],[OD]]*Mecze[[#This Row],[%OU]],0)</f>
        <v>2</v>
      </c>
      <c r="AD123" s="36" t="s">
        <v>175</v>
      </c>
      <c r="AE123" s="36">
        <v>7</v>
      </c>
      <c r="AF123" s="71">
        <v>1.21</v>
      </c>
      <c r="AG123" s="37">
        <v>0</v>
      </c>
      <c r="AH123" s="37">
        <v>0</v>
      </c>
      <c r="AI123" s="37">
        <v>98</v>
      </c>
      <c r="AJ123">
        <v>11</v>
      </c>
      <c r="AK123" s="37" t="str">
        <f>VLOOKUP(Mecze[[#This Row],[Match ID]],Meczusie[Mecz]:Meczusie[RodzajMeczu],2,FALSE)</f>
        <v>Liga</v>
      </c>
    </row>
    <row r="124" spans="1:37" x14ac:dyDescent="0.25">
      <c r="A124" s="76">
        <v>6</v>
      </c>
      <c r="B124" s="3" t="s">
        <v>324</v>
      </c>
      <c r="C124" s="2" t="s">
        <v>157</v>
      </c>
      <c r="D124" s="1">
        <v>0</v>
      </c>
      <c r="E124" s="1">
        <v>0</v>
      </c>
      <c r="F124" s="1">
        <v>0</v>
      </c>
      <c r="G124" s="1">
        <v>12</v>
      </c>
      <c r="H124" s="4">
        <v>0.67</v>
      </c>
      <c r="I124" s="1">
        <v>10</v>
      </c>
      <c r="J124" s="4">
        <v>0.9</v>
      </c>
      <c r="K124" s="1">
        <v>0</v>
      </c>
      <c r="L124" s="1">
        <v>5</v>
      </c>
      <c r="M124" s="32">
        <f>IF(Mecze[[#This Row],[PR]]=0,0,Mecze[[#This Row],[PR]]/Mecze[[#This Row],[CZAS]])</f>
        <v>5.1020408163265307E-2</v>
      </c>
      <c r="N124" s="32">
        <f>IF(Mecze[[#This Row],[OU]]=0,0,Mecze[[#This Row],[OU]]/Mecze[[#This Row],[CZAS]])</f>
        <v>9.1836734693877556E-2</v>
      </c>
      <c r="O124" s="32">
        <f>IF(Mecze[[#This Row],[PC]]=0,0,Mecze[[#This Row],[PC]]/Mecze[[#This Row],[CZAS]])</f>
        <v>8.1632653061224483E-2</v>
      </c>
      <c r="P124" s="32">
        <f>IF(Mecze[[#This Row],[SC]]=0,0,Mecze[[#This Row],[SC]]/Mecze[[#This Row],[CZAS]])</f>
        <v>0</v>
      </c>
      <c r="Q124" s="32">
        <f>IF(Mecze[[#This Row],[OB]]=0,0,Mecze[[#This Row],[OB]]/Mecze[[#This Row],[CZAS]])</f>
        <v>0</v>
      </c>
      <c r="R124" s="32">
        <f>IF(Mecze[[#This Row],[BR]]=0,0,Mecze[[#This Row],[BR]]/Mecze[[#This Row],[CZAS]])</f>
        <v>0</v>
      </c>
      <c r="S124" s="74">
        <f>IF(Mecze[[#This Row],[Role]]="BR",SUMPRODUCT(Mecze[[#This Row],[/PR:90]:[/BR:90]],Brudnopis!$E$23:$J$23),0)</f>
        <v>0</v>
      </c>
      <c r="T124" s="44">
        <f>IF(Mecze[[#This Row],[Role]]&lt;&gt;"BR",SUMPRODUCT(Mecze[[#This Row],[/PR:90]:[/BR:90]],Brudnopis!$E$24:$J$24),0)</f>
        <v>0.27040816326530615</v>
      </c>
      <c r="U124" s="44">
        <f>IF(Mecze[[#This Row],[Role]]&lt;&gt;"BR",SUMPRODUCT(Mecze[[#This Row],[/PR:90]:[/BR:90]],Brudnopis!$E$25:$J$25),0)</f>
        <v>0.26530612244897955</v>
      </c>
      <c r="V124" s="44">
        <f>IF(Mecze[[#This Row],[Role]]&lt;&gt;"BR",SUMPRODUCT(Mecze[[#This Row],[/PR:90]:[/BR:90]],Brudnopis!$E$26:$J$26),0)</f>
        <v>0.22448979591836732</v>
      </c>
      <c r="W124" s="44">
        <f>IF(Mecze[[#This Row],[Role]]&lt;&gt;"BR",SUMPRODUCT(Mecze[[#This Row],[/PR:90]:[/BR:90]],Brudnopis!$E$27:$J$27),0)</f>
        <v>0.22959183673469388</v>
      </c>
      <c r="X124" s="44">
        <f>IF(Mecze[[#This Row],[Role]]&lt;&gt;"BR",SUMPRODUCT(Mecze[[#This Row],[/PR:90]:[/BR:90]],Brudnopis!$E$28:$J$28),0)</f>
        <v>8.1632653061224483E-2</v>
      </c>
      <c r="Y124" s="35">
        <f>IF(Mecze[[#This Row],[Role]]="BR",Mecze[[#This Row],[/OB:90]]+Mecze[[#This Row],[/PC:90]],SUM(Mecze[[#This Row],[/PR:90]:[/BR:90]]))</f>
        <v>0.22448979591836732</v>
      </c>
      <c r="Z124" s="35">
        <f>IF(Mecze[[#This Row],[KC]]=0,SUM(Mecze[[#This Row],[/BRI]:[/NPI]]),SUM(Mecze[[#This Row],[/BRI]:[/NPI]])*0.6)</f>
        <v>1.0714285714285714</v>
      </c>
      <c r="AA124" s="10">
        <f>IFERROR(Mecze[[#This Row],[BR]]/Mecze[[#This Row],[ST]],0)</f>
        <v>0</v>
      </c>
      <c r="AB124">
        <f>ROUND(Mecze[[#This Row],[PD]]*Mecze[[#This Row],[%PC]],0)</f>
        <v>8</v>
      </c>
      <c r="AC124">
        <f>ROUND(Mecze[[#This Row],[OD]]*Mecze[[#This Row],[%OU]],0)</f>
        <v>9</v>
      </c>
      <c r="AD124" s="36" t="s">
        <v>174</v>
      </c>
      <c r="AE124" s="36">
        <v>7</v>
      </c>
      <c r="AF124" s="71">
        <v>3.95</v>
      </c>
      <c r="AG124" s="37">
        <v>0</v>
      </c>
      <c r="AH124" s="37">
        <v>0</v>
      </c>
      <c r="AI124" s="37">
        <v>98</v>
      </c>
      <c r="AJ124">
        <v>11</v>
      </c>
      <c r="AK124" s="37" t="str">
        <f>VLOOKUP(Mecze[[#This Row],[Match ID]],Meczusie[Mecz]:Meczusie[RodzajMeczu],2,FALSE)</f>
        <v>Liga</v>
      </c>
    </row>
    <row r="125" spans="1:37" x14ac:dyDescent="0.25">
      <c r="A125" s="76">
        <v>5</v>
      </c>
      <c r="B125" s="3" t="s">
        <v>325</v>
      </c>
      <c r="C125" s="2" t="s">
        <v>160</v>
      </c>
      <c r="D125" s="1">
        <v>0</v>
      </c>
      <c r="E125" s="1">
        <v>1</v>
      </c>
      <c r="F125" s="1">
        <v>1</v>
      </c>
      <c r="G125" s="1">
        <v>13</v>
      </c>
      <c r="H125" s="4">
        <v>0.85</v>
      </c>
      <c r="I125" s="1">
        <v>4</v>
      </c>
      <c r="J125" s="4">
        <v>0.25</v>
      </c>
      <c r="K125" s="1">
        <v>0</v>
      </c>
      <c r="L125" s="1">
        <v>5</v>
      </c>
      <c r="M125" s="32">
        <f>IF(Mecze[[#This Row],[PR]]=0,0,Mecze[[#This Row],[PR]]/Mecze[[#This Row],[CZAS]])</f>
        <v>5.1020408163265307E-2</v>
      </c>
      <c r="N125" s="32">
        <f>IF(Mecze[[#This Row],[OU]]=0,0,Mecze[[#This Row],[OU]]/Mecze[[#This Row],[CZAS]])</f>
        <v>1.020408163265306E-2</v>
      </c>
      <c r="O125" s="32">
        <f>IF(Mecze[[#This Row],[PC]]=0,0,Mecze[[#This Row],[PC]]/Mecze[[#This Row],[CZAS]])</f>
        <v>0.11224489795918367</v>
      </c>
      <c r="P125" s="32">
        <f>IF(Mecze[[#This Row],[SC]]=0,0,Mecze[[#This Row],[SC]]/Mecze[[#This Row],[CZAS]])</f>
        <v>1.020408163265306E-2</v>
      </c>
      <c r="Q125" s="32">
        <f>IF(Mecze[[#This Row],[OB]]=0,0,Mecze[[#This Row],[OB]]/Mecze[[#This Row],[CZAS]])</f>
        <v>0</v>
      </c>
      <c r="R125" s="32">
        <f>IF(Mecze[[#This Row],[BR]]=0,0,Mecze[[#This Row],[BR]]/Mecze[[#This Row],[CZAS]])</f>
        <v>0</v>
      </c>
      <c r="S125" s="74">
        <f>IF(Mecze[[#This Row],[Role]]="BR",SUMPRODUCT(Mecze[[#This Row],[/PR:90]:[/BR:90]],Brudnopis!$E$23:$J$23),0)</f>
        <v>0</v>
      </c>
      <c r="T125" s="44">
        <f>IF(Mecze[[#This Row],[Role]]&lt;&gt;"BR",SUMPRODUCT(Mecze[[#This Row],[/PR:90]:[/BR:90]],Brudnopis!$E$24:$J$24),0)</f>
        <v>0.18877551020408165</v>
      </c>
      <c r="U125" s="44">
        <f>IF(Mecze[[#This Row],[Role]]&lt;&gt;"BR",SUMPRODUCT(Mecze[[#This Row],[/PR:90]:[/BR:90]],Brudnopis!$E$25:$J$25),0)</f>
        <v>0.23979591836734693</v>
      </c>
      <c r="V125" s="44">
        <f>IF(Mecze[[#This Row],[Role]]&lt;&gt;"BR",SUMPRODUCT(Mecze[[#This Row],[/PR:90]:[/BR:90]],Brudnopis!$E$26:$J$26),0)</f>
        <v>0.18367346938775511</v>
      </c>
      <c r="W125" s="44">
        <f>IF(Mecze[[#This Row],[Role]]&lt;&gt;"BR",SUMPRODUCT(Mecze[[#This Row],[/PR:90]:[/BR:90]],Brudnopis!$E$27:$J$27),0)</f>
        <v>0.22448979591836735</v>
      </c>
      <c r="X125" s="44">
        <f>IF(Mecze[[#This Row],[Role]]&lt;&gt;"BR",SUMPRODUCT(Mecze[[#This Row],[/PR:90]:[/BR:90]],Brudnopis!$E$28:$J$28),0)</f>
        <v>0.1326530612244898</v>
      </c>
      <c r="Y125" s="35">
        <f>IF(Mecze[[#This Row],[Role]]="BR",Mecze[[#This Row],[/OB:90]]+Mecze[[#This Row],[/PC:90]],SUM(Mecze[[#This Row],[/PR:90]:[/BR:90]]))</f>
        <v>0.18367346938775511</v>
      </c>
      <c r="Z125" s="35">
        <f>IF(Mecze[[#This Row],[KC]]=0,SUM(Mecze[[#This Row],[/BRI]:[/NPI]]),SUM(Mecze[[#This Row],[/BRI]:[/NPI]])*0.6)</f>
        <v>0.96938775510204089</v>
      </c>
      <c r="AA125" s="10">
        <f>IFERROR(Mecze[[#This Row],[BR]]/Mecze[[#This Row],[ST]],0)</f>
        <v>0</v>
      </c>
      <c r="AB125">
        <f>ROUND(Mecze[[#This Row],[PD]]*Mecze[[#This Row],[%PC]],0)</f>
        <v>11</v>
      </c>
      <c r="AC125">
        <f>ROUND(Mecze[[#This Row],[OD]]*Mecze[[#This Row],[%OU]],0)</f>
        <v>1</v>
      </c>
      <c r="AD125" s="36" t="s">
        <v>41</v>
      </c>
      <c r="AE125" s="36">
        <v>7</v>
      </c>
      <c r="AF125" s="71">
        <v>6.1</v>
      </c>
      <c r="AG125" s="37">
        <v>0</v>
      </c>
      <c r="AH125" s="37">
        <v>0</v>
      </c>
      <c r="AI125" s="37">
        <v>98</v>
      </c>
      <c r="AJ125">
        <v>11</v>
      </c>
      <c r="AK125" s="37" t="str">
        <f>VLOOKUP(Mecze[[#This Row],[Match ID]],Meczusie[Mecz]:Meczusie[RodzajMeczu],2,FALSE)</f>
        <v>Liga</v>
      </c>
    </row>
    <row r="126" spans="1:37" x14ac:dyDescent="0.25">
      <c r="A126" s="76">
        <v>8</v>
      </c>
      <c r="B126" s="3" t="s">
        <v>326</v>
      </c>
      <c r="C126" s="2" t="s">
        <v>160</v>
      </c>
      <c r="D126" s="1">
        <v>0</v>
      </c>
      <c r="E126" s="1">
        <v>1</v>
      </c>
      <c r="F126" s="1">
        <v>0</v>
      </c>
      <c r="G126" s="1">
        <v>11</v>
      </c>
      <c r="H126" s="4">
        <v>0.55000000000000004</v>
      </c>
      <c r="I126" s="1">
        <v>1</v>
      </c>
      <c r="J126" s="4">
        <v>1</v>
      </c>
      <c r="K126" s="1">
        <v>0</v>
      </c>
      <c r="L126" s="1">
        <v>0</v>
      </c>
      <c r="M126" s="32">
        <f>IF(Mecze[[#This Row],[PR]]=0,0,Mecze[[#This Row],[PR]]/Mecze[[#This Row],[CZAS]])</f>
        <v>0</v>
      </c>
      <c r="N126" s="32">
        <f>IF(Mecze[[#This Row],[OU]]=0,0,Mecze[[#This Row],[OU]]/Mecze[[#This Row],[CZAS]])</f>
        <v>1.020408163265306E-2</v>
      </c>
      <c r="O126" s="32">
        <f>IF(Mecze[[#This Row],[PC]]=0,0,Mecze[[#This Row],[PC]]/Mecze[[#This Row],[CZAS]])</f>
        <v>6.1224489795918366E-2</v>
      </c>
      <c r="P126" s="32">
        <f>IF(Mecze[[#This Row],[SC]]=0,0,Mecze[[#This Row],[SC]]/Mecze[[#This Row],[CZAS]])</f>
        <v>0</v>
      </c>
      <c r="Q126" s="32">
        <f>IF(Mecze[[#This Row],[OB]]=0,0,Mecze[[#This Row],[OB]]/Mecze[[#This Row],[CZAS]])</f>
        <v>0</v>
      </c>
      <c r="R126" s="32">
        <f>IF(Mecze[[#This Row],[BR]]=0,0,Mecze[[#This Row],[BR]]/Mecze[[#This Row],[CZAS]])</f>
        <v>0</v>
      </c>
      <c r="S126" s="74">
        <f>IF(Mecze[[#This Row],[Role]]="BR",SUMPRODUCT(Mecze[[#This Row],[/PR:90]:[/BR:90]],Brudnopis!$E$23:$J$23),0)</f>
        <v>0</v>
      </c>
      <c r="T126" s="44">
        <f>IF(Mecze[[#This Row],[Role]]&lt;&gt;"BR",SUMPRODUCT(Mecze[[#This Row],[/PR:90]:[/BR:90]],Brudnopis!$E$24:$J$24),0)</f>
        <v>7.6530612244897961E-2</v>
      </c>
      <c r="U126" s="44">
        <f>IF(Mecze[[#This Row],[Role]]&lt;&gt;"BR",SUMPRODUCT(Mecze[[#This Row],[/PR:90]:[/BR:90]],Brudnopis!$E$25:$J$25),0)</f>
        <v>0.1020408163265306</v>
      </c>
      <c r="V126" s="44">
        <f>IF(Mecze[[#This Row],[Role]]&lt;&gt;"BR",SUMPRODUCT(Mecze[[#This Row],[/PR:90]:[/BR:90]],Brudnopis!$E$26:$J$26),0)</f>
        <v>7.1428571428571425E-2</v>
      </c>
      <c r="W126" s="44">
        <f>IF(Mecze[[#This Row],[Role]]&lt;&gt;"BR",SUMPRODUCT(Mecze[[#This Row],[/PR:90]:[/BR:90]],Brudnopis!$E$27:$J$27),0)</f>
        <v>9.9489795918367332E-2</v>
      </c>
      <c r="X126" s="44">
        <f>IF(Mecze[[#This Row],[Role]]&lt;&gt;"BR",SUMPRODUCT(Mecze[[#This Row],[/PR:90]:[/BR:90]],Brudnopis!$E$28:$J$28),0)</f>
        <v>6.1224489795918366E-2</v>
      </c>
      <c r="Y126" s="35">
        <f>IF(Mecze[[#This Row],[Role]]="BR",Mecze[[#This Row],[/OB:90]]+Mecze[[#This Row],[/PC:90]],SUM(Mecze[[#This Row],[/PR:90]:[/BR:90]]))</f>
        <v>7.1428571428571425E-2</v>
      </c>
      <c r="Z126" s="35">
        <f>IF(Mecze[[#This Row],[KC]]=0,SUM(Mecze[[#This Row],[/BRI]:[/NPI]]),SUM(Mecze[[#This Row],[/BRI]:[/NPI]])*0.6)</f>
        <v>0.4107142857142857</v>
      </c>
      <c r="AA126" s="10">
        <f>IFERROR(Mecze[[#This Row],[BR]]/Mecze[[#This Row],[ST]],0)</f>
        <v>0</v>
      </c>
      <c r="AB126">
        <f>ROUND(Mecze[[#This Row],[PD]]*Mecze[[#This Row],[%PC]],0)</f>
        <v>6</v>
      </c>
      <c r="AC126">
        <f>ROUND(Mecze[[#This Row],[OD]]*Mecze[[#This Row],[%OU]],0)</f>
        <v>1</v>
      </c>
      <c r="AD126" s="36" t="s">
        <v>318</v>
      </c>
      <c r="AE126" s="36">
        <v>7</v>
      </c>
      <c r="AF126" s="71">
        <v>3.91</v>
      </c>
      <c r="AG126" s="37">
        <v>0</v>
      </c>
      <c r="AH126" s="37">
        <v>0</v>
      </c>
      <c r="AI126" s="37">
        <v>98</v>
      </c>
      <c r="AJ126">
        <v>11</v>
      </c>
      <c r="AK126" s="37" t="str">
        <f>VLOOKUP(Mecze[[#This Row],[Match ID]],Meczusie[Mecz]:Meczusie[RodzajMeczu],2,FALSE)</f>
        <v>Liga</v>
      </c>
    </row>
    <row r="127" spans="1:37" x14ac:dyDescent="0.25">
      <c r="A127" s="76">
        <v>9</v>
      </c>
      <c r="B127" s="3" t="s">
        <v>327</v>
      </c>
      <c r="C127" s="2" t="s">
        <v>160</v>
      </c>
      <c r="D127" s="1">
        <v>0</v>
      </c>
      <c r="E127" s="1">
        <v>3</v>
      </c>
      <c r="F127" s="1">
        <v>1</v>
      </c>
      <c r="G127" s="1">
        <v>13</v>
      </c>
      <c r="H127" s="4">
        <v>0.77</v>
      </c>
      <c r="I127" s="1">
        <v>5</v>
      </c>
      <c r="J127" s="4">
        <v>0.4</v>
      </c>
      <c r="K127" s="1">
        <v>0</v>
      </c>
      <c r="L127" s="1">
        <v>2</v>
      </c>
      <c r="M127" s="32">
        <f>IF(Mecze[[#This Row],[PR]]=0,0,Mecze[[#This Row],[PR]]/Mecze[[#This Row],[CZAS]])</f>
        <v>2.0408163265306121E-2</v>
      </c>
      <c r="N127" s="32">
        <f>IF(Mecze[[#This Row],[OU]]=0,0,Mecze[[#This Row],[OU]]/Mecze[[#This Row],[CZAS]])</f>
        <v>2.0408163265306121E-2</v>
      </c>
      <c r="O127" s="32">
        <f>IF(Mecze[[#This Row],[PC]]=0,0,Mecze[[#This Row],[PC]]/Mecze[[#This Row],[CZAS]])</f>
        <v>0.10204081632653061</v>
      </c>
      <c r="P127" s="32">
        <f>IF(Mecze[[#This Row],[SC]]=0,0,Mecze[[#This Row],[SC]]/Mecze[[#This Row],[CZAS]])</f>
        <v>1.020408163265306E-2</v>
      </c>
      <c r="Q127" s="32">
        <f>IF(Mecze[[#This Row],[OB]]=0,0,Mecze[[#This Row],[OB]]/Mecze[[#This Row],[CZAS]])</f>
        <v>0</v>
      </c>
      <c r="R127" s="32">
        <f>IF(Mecze[[#This Row],[BR]]=0,0,Mecze[[#This Row],[BR]]/Mecze[[#This Row],[CZAS]])</f>
        <v>0</v>
      </c>
      <c r="S127" s="74">
        <f>IF(Mecze[[#This Row],[Role]]="BR",SUMPRODUCT(Mecze[[#This Row],[/PR:90]:[/BR:90]],Brudnopis!$E$23:$J$23),0)</f>
        <v>0</v>
      </c>
      <c r="T127" s="44">
        <f>IF(Mecze[[#This Row],[Role]]&lt;&gt;"BR",SUMPRODUCT(Mecze[[#This Row],[/PR:90]:[/BR:90]],Brudnopis!$E$24:$J$24),0)</f>
        <v>0.16326530612244899</v>
      </c>
      <c r="U127" s="44">
        <f>IF(Mecze[[#This Row],[Role]]&lt;&gt;"BR",SUMPRODUCT(Mecze[[#This Row],[/PR:90]:[/BR:90]],Brudnopis!$E$25:$J$25),0)</f>
        <v>0.20408163265306123</v>
      </c>
      <c r="V127" s="44">
        <f>IF(Mecze[[#This Row],[Role]]&lt;&gt;"BR",SUMPRODUCT(Mecze[[#This Row],[/PR:90]:[/BR:90]],Brudnopis!$E$26:$J$26),0)</f>
        <v>0.15306122448979592</v>
      </c>
      <c r="W127" s="44">
        <f>IF(Mecze[[#This Row],[Role]]&lt;&gt;"BR",SUMPRODUCT(Mecze[[#This Row],[/PR:90]:[/BR:90]],Brudnopis!$E$27:$J$27),0)</f>
        <v>0.19387755102040818</v>
      </c>
      <c r="X127" s="44">
        <f>IF(Mecze[[#This Row],[Role]]&lt;&gt;"BR",SUMPRODUCT(Mecze[[#This Row],[/PR:90]:[/BR:90]],Brudnopis!$E$28:$J$28),0)</f>
        <v>0.12244897959183673</v>
      </c>
      <c r="Y127" s="35">
        <f>IF(Mecze[[#This Row],[Role]]="BR",Mecze[[#This Row],[/OB:90]]+Mecze[[#This Row],[/PC:90]],SUM(Mecze[[#This Row],[/PR:90]:[/BR:90]]))</f>
        <v>0.15306122448979592</v>
      </c>
      <c r="Z127" s="35">
        <f>IF(Mecze[[#This Row],[KC]]=0,SUM(Mecze[[#This Row],[/BRI]:[/NPI]]),SUM(Mecze[[#This Row],[/BRI]:[/NPI]])*0.6)</f>
        <v>0.83673469387755106</v>
      </c>
      <c r="AA127" s="10">
        <f>IFERROR(Mecze[[#This Row],[BR]]/Mecze[[#This Row],[ST]],0)</f>
        <v>0</v>
      </c>
      <c r="AB127">
        <f>ROUND(Mecze[[#This Row],[PD]]*Mecze[[#This Row],[%PC]],0)</f>
        <v>10</v>
      </c>
      <c r="AC127">
        <f>ROUND(Mecze[[#This Row],[OD]]*Mecze[[#This Row],[%OU]],0)</f>
        <v>2</v>
      </c>
      <c r="AD127" s="36" t="s">
        <v>44</v>
      </c>
      <c r="AE127" s="36">
        <v>7</v>
      </c>
      <c r="AF127" s="71">
        <v>4.5599999999999996</v>
      </c>
      <c r="AG127" s="37">
        <v>0</v>
      </c>
      <c r="AH127" s="37">
        <v>0</v>
      </c>
      <c r="AI127" s="37">
        <v>98</v>
      </c>
      <c r="AJ127">
        <v>11</v>
      </c>
      <c r="AK127" s="37" t="str">
        <f>VLOOKUP(Mecze[[#This Row],[Match ID]],Meczusie[Mecz]:Meczusie[RodzajMeczu],2,FALSE)</f>
        <v>Liga</v>
      </c>
    </row>
    <row r="128" spans="1:37" x14ac:dyDescent="0.25">
      <c r="A128" s="76">
        <v>10</v>
      </c>
      <c r="B128" s="3" t="s">
        <v>328</v>
      </c>
      <c r="C128" s="2" t="s">
        <v>165</v>
      </c>
      <c r="D128" s="1">
        <v>1</v>
      </c>
      <c r="E128" s="1">
        <v>6</v>
      </c>
      <c r="F128" s="1">
        <v>6</v>
      </c>
      <c r="G128" s="1">
        <v>11</v>
      </c>
      <c r="H128" s="4">
        <v>0.55000000000000004</v>
      </c>
      <c r="I128" s="1">
        <v>4</v>
      </c>
      <c r="J128" s="4">
        <v>0.5</v>
      </c>
      <c r="K128" s="1">
        <v>0</v>
      </c>
      <c r="L128" s="1">
        <v>1</v>
      </c>
      <c r="M128" s="32">
        <f>IF(Mecze[[#This Row],[PR]]=0,0,Mecze[[#This Row],[PR]]/Mecze[[#This Row],[CZAS]])</f>
        <v>1.020408163265306E-2</v>
      </c>
      <c r="N128" s="32">
        <f>IF(Mecze[[#This Row],[OU]]=0,0,Mecze[[#This Row],[OU]]/Mecze[[#This Row],[CZAS]])</f>
        <v>2.0408163265306121E-2</v>
      </c>
      <c r="O128" s="32">
        <f>IF(Mecze[[#This Row],[PC]]=0,0,Mecze[[#This Row],[PC]]/Mecze[[#This Row],[CZAS]])</f>
        <v>6.1224489795918366E-2</v>
      </c>
      <c r="P128" s="32">
        <f>IF(Mecze[[#This Row],[SC]]=0,0,Mecze[[#This Row],[SC]]/Mecze[[#This Row],[CZAS]])</f>
        <v>6.1224489795918366E-2</v>
      </c>
      <c r="Q128" s="32">
        <f>IF(Mecze[[#This Row],[OB]]=0,0,Mecze[[#This Row],[OB]]/Mecze[[#This Row],[CZAS]])</f>
        <v>0</v>
      </c>
      <c r="R128" s="32">
        <f>IF(Mecze[[#This Row],[BR]]=0,0,Mecze[[#This Row],[BR]]/Mecze[[#This Row],[CZAS]])</f>
        <v>1.020408163265306E-2</v>
      </c>
      <c r="S128" s="74">
        <f>IF(Mecze[[#This Row],[Role]]="BR",SUMPRODUCT(Mecze[[#This Row],[/PR:90]:[/BR:90]],Brudnopis!$E$23:$J$23),0)</f>
        <v>0</v>
      </c>
      <c r="T128" s="44">
        <f>IF(Mecze[[#This Row],[Role]]&lt;&gt;"BR",SUMPRODUCT(Mecze[[#This Row],[/PR:90]:[/BR:90]],Brudnopis!$E$24:$J$24),0)</f>
        <v>0.17857142857142858</v>
      </c>
      <c r="U128" s="44">
        <f>IF(Mecze[[#This Row],[Role]]&lt;&gt;"BR",SUMPRODUCT(Mecze[[#This Row],[/PR:90]:[/BR:90]],Brudnopis!$E$25:$J$25),0)</f>
        <v>0.19897959183673466</v>
      </c>
      <c r="V128" s="44">
        <f>IF(Mecze[[#This Row],[Role]]&lt;&gt;"BR",SUMPRODUCT(Mecze[[#This Row],[/PR:90]:[/BR:90]],Brudnopis!$E$26:$J$26),0)</f>
        <v>0.17346938775510204</v>
      </c>
      <c r="W128" s="44">
        <f>IF(Mecze[[#This Row],[Role]]&lt;&gt;"BR",SUMPRODUCT(Mecze[[#This Row],[/PR:90]:[/BR:90]],Brudnopis!$E$27:$J$27),0)</f>
        <v>0.19642857142857142</v>
      </c>
      <c r="X128" s="44">
        <f>IF(Mecze[[#This Row],[Role]]&lt;&gt;"BR",SUMPRODUCT(Mecze[[#This Row],[/PR:90]:[/BR:90]],Brudnopis!$E$28:$J$28),0)</f>
        <v>0.21428571428571427</v>
      </c>
      <c r="Y128" s="35">
        <f>IF(Mecze[[#This Row],[Role]]="BR",Mecze[[#This Row],[/OB:90]]+Mecze[[#This Row],[/PC:90]],SUM(Mecze[[#This Row],[/PR:90]:[/BR:90]]))</f>
        <v>0.16326530612244899</v>
      </c>
      <c r="Z128" s="35">
        <f>IF(Mecze[[#This Row],[KC]]=0,SUM(Mecze[[#This Row],[/BRI]:[/NPI]]),SUM(Mecze[[#This Row],[/BRI]:[/NPI]])*0.6)</f>
        <v>0.96173469387755095</v>
      </c>
      <c r="AA128" s="10">
        <f>IFERROR(Mecze[[#This Row],[BR]]/Mecze[[#This Row],[ST]],0)</f>
        <v>0.16666666666666666</v>
      </c>
      <c r="AB128">
        <f>ROUND(Mecze[[#This Row],[PD]]*Mecze[[#This Row],[%PC]],0)</f>
        <v>6</v>
      </c>
      <c r="AC128">
        <f>ROUND(Mecze[[#This Row],[OD]]*Mecze[[#This Row],[%OU]],0)</f>
        <v>2</v>
      </c>
      <c r="AD128" s="36" t="s">
        <v>46</v>
      </c>
      <c r="AE128" s="36">
        <v>7</v>
      </c>
      <c r="AF128" s="71">
        <v>7.66</v>
      </c>
      <c r="AG128" s="37">
        <v>0</v>
      </c>
      <c r="AH128" s="37">
        <v>0</v>
      </c>
      <c r="AI128" s="37">
        <v>98</v>
      </c>
      <c r="AJ128">
        <v>11</v>
      </c>
      <c r="AK128" s="37" t="str">
        <f>VLOOKUP(Mecze[[#This Row],[Match ID]],Meczusie[Mecz]:Meczusie[RodzajMeczu],2,FALSE)</f>
        <v>Liga</v>
      </c>
    </row>
    <row r="129" spans="1:37" x14ac:dyDescent="0.25">
      <c r="A129" s="76">
        <v>11</v>
      </c>
      <c r="B129" s="3" t="s">
        <v>329</v>
      </c>
      <c r="C129" s="2" t="s">
        <v>165</v>
      </c>
      <c r="D129" s="1">
        <v>0</v>
      </c>
      <c r="E129" s="1">
        <v>2</v>
      </c>
      <c r="F129" s="1">
        <v>1</v>
      </c>
      <c r="G129" s="1">
        <v>13</v>
      </c>
      <c r="H129" s="4">
        <v>0.85</v>
      </c>
      <c r="I129" s="1">
        <v>4</v>
      </c>
      <c r="J129" s="4">
        <v>0</v>
      </c>
      <c r="K129" s="1">
        <v>0</v>
      </c>
      <c r="L129" s="1">
        <v>0</v>
      </c>
      <c r="M129" s="32">
        <f>IF(Mecze[[#This Row],[PR]]=0,0,Mecze[[#This Row],[PR]]/Mecze[[#This Row],[CZAS]])</f>
        <v>0</v>
      </c>
      <c r="N129" s="32">
        <f>IF(Mecze[[#This Row],[OU]]=0,0,Mecze[[#This Row],[OU]]/Mecze[[#This Row],[CZAS]])</f>
        <v>0</v>
      </c>
      <c r="O129" s="32">
        <f>IF(Mecze[[#This Row],[PC]]=0,0,Mecze[[#This Row],[PC]]/Mecze[[#This Row],[CZAS]])</f>
        <v>0.11224489795918367</v>
      </c>
      <c r="P129" s="32">
        <f>IF(Mecze[[#This Row],[SC]]=0,0,Mecze[[#This Row],[SC]]/Mecze[[#This Row],[CZAS]])</f>
        <v>1.020408163265306E-2</v>
      </c>
      <c r="Q129" s="32">
        <f>IF(Mecze[[#This Row],[OB]]=0,0,Mecze[[#This Row],[OB]]/Mecze[[#This Row],[CZAS]])</f>
        <v>0</v>
      </c>
      <c r="R129" s="32">
        <f>IF(Mecze[[#This Row],[BR]]=0,0,Mecze[[#This Row],[BR]]/Mecze[[#This Row],[CZAS]])</f>
        <v>0</v>
      </c>
      <c r="S129" s="74">
        <f>IF(Mecze[[#This Row],[Role]]="BR",SUMPRODUCT(Mecze[[#This Row],[/PR:90]:[/BR:90]],Brudnopis!$E$23:$J$23),0)</f>
        <v>0</v>
      </c>
      <c r="T129" s="44">
        <f>IF(Mecze[[#This Row],[Role]]&lt;&gt;"BR",SUMPRODUCT(Mecze[[#This Row],[/PR:90]:[/BR:90]],Brudnopis!$E$24:$J$24),0)</f>
        <v>0.12244897959183673</v>
      </c>
      <c r="U129" s="44">
        <f>IF(Mecze[[#This Row],[Role]]&lt;&gt;"BR",SUMPRODUCT(Mecze[[#This Row],[/PR:90]:[/BR:90]],Brudnopis!$E$25:$J$25),0)</f>
        <v>0.17857142857142858</v>
      </c>
      <c r="V129" s="44">
        <f>IF(Mecze[[#This Row],[Role]]&lt;&gt;"BR",SUMPRODUCT(Mecze[[#This Row],[/PR:90]:[/BR:90]],Brudnopis!$E$26:$J$26),0)</f>
        <v>0.12244897959183673</v>
      </c>
      <c r="W129" s="44">
        <f>IF(Mecze[[#This Row],[Role]]&lt;&gt;"BR",SUMPRODUCT(Mecze[[#This Row],[/PR:90]:[/BR:90]],Brudnopis!$E$27:$J$27),0)</f>
        <v>0.17857142857142858</v>
      </c>
      <c r="X129" s="44">
        <f>IF(Mecze[[#This Row],[Role]]&lt;&gt;"BR",SUMPRODUCT(Mecze[[#This Row],[/PR:90]:[/BR:90]],Brudnopis!$E$28:$J$28),0)</f>
        <v>0.1326530612244898</v>
      </c>
      <c r="Y129" s="35">
        <f>IF(Mecze[[#This Row],[Role]]="BR",Mecze[[#This Row],[/OB:90]]+Mecze[[#This Row],[/PC:90]],SUM(Mecze[[#This Row],[/PR:90]:[/BR:90]]))</f>
        <v>0.12244897959183673</v>
      </c>
      <c r="Z129" s="35">
        <f>IF(Mecze[[#This Row],[KC]]=0,SUM(Mecze[[#This Row],[/BRI]:[/NPI]]),SUM(Mecze[[#This Row],[/BRI]:[/NPI]])*0.6)</f>
        <v>0.73469387755102045</v>
      </c>
      <c r="AA129" s="10">
        <f>IFERROR(Mecze[[#This Row],[BR]]/Mecze[[#This Row],[ST]],0)</f>
        <v>0</v>
      </c>
      <c r="AB129">
        <f>ROUND(Mecze[[#This Row],[PD]]*Mecze[[#This Row],[%PC]],0)</f>
        <v>11</v>
      </c>
      <c r="AC129">
        <f>ROUND(Mecze[[#This Row],[OD]]*Mecze[[#This Row],[%OU]],0)</f>
        <v>0</v>
      </c>
      <c r="AD129" s="36" t="s">
        <v>273</v>
      </c>
      <c r="AE129" s="36">
        <v>7</v>
      </c>
      <c r="AF129" s="71">
        <v>5.18</v>
      </c>
      <c r="AG129" s="37">
        <v>0</v>
      </c>
      <c r="AH129" s="37">
        <v>0</v>
      </c>
      <c r="AI129" s="37">
        <v>98</v>
      </c>
      <c r="AJ129">
        <v>11</v>
      </c>
      <c r="AK129" s="37" t="str">
        <f>VLOOKUP(Mecze[[#This Row],[Match ID]],Meczusie[Mecz]:Meczusie[RodzajMeczu],2,FALSE)</f>
        <v>Liga</v>
      </c>
    </row>
    <row r="130" spans="1:37" x14ac:dyDescent="0.25">
      <c r="A130" s="76">
        <v>14</v>
      </c>
      <c r="B130" s="3" t="s">
        <v>330</v>
      </c>
      <c r="C130" s="2" t="s">
        <v>165</v>
      </c>
      <c r="D130" s="1">
        <v>0</v>
      </c>
      <c r="E130" s="1">
        <v>1</v>
      </c>
      <c r="F130" s="1">
        <v>1</v>
      </c>
      <c r="G130" s="1">
        <v>11</v>
      </c>
      <c r="H130" s="4">
        <v>0.64</v>
      </c>
      <c r="I130" s="1">
        <v>2</v>
      </c>
      <c r="J130" s="4">
        <v>0</v>
      </c>
      <c r="K130" s="1">
        <v>0</v>
      </c>
      <c r="L130" s="1">
        <v>1</v>
      </c>
      <c r="M130" s="32">
        <f>IF(Mecze[[#This Row],[PR]]=0,0,Mecze[[#This Row],[PR]]/Mecze[[#This Row],[CZAS]])</f>
        <v>1.020408163265306E-2</v>
      </c>
      <c r="N130" s="32">
        <f>IF(Mecze[[#This Row],[OU]]=0,0,Mecze[[#This Row],[OU]]/Mecze[[#This Row],[CZAS]])</f>
        <v>0</v>
      </c>
      <c r="O130" s="32">
        <f>IF(Mecze[[#This Row],[PC]]=0,0,Mecze[[#This Row],[PC]]/Mecze[[#This Row],[CZAS]])</f>
        <v>7.1428571428571425E-2</v>
      </c>
      <c r="P130" s="32">
        <f>IF(Mecze[[#This Row],[SC]]=0,0,Mecze[[#This Row],[SC]]/Mecze[[#This Row],[CZAS]])</f>
        <v>1.020408163265306E-2</v>
      </c>
      <c r="Q130" s="32">
        <f>IF(Mecze[[#This Row],[OB]]=0,0,Mecze[[#This Row],[OB]]/Mecze[[#This Row],[CZAS]])</f>
        <v>0</v>
      </c>
      <c r="R130" s="32">
        <f>IF(Mecze[[#This Row],[BR]]=0,0,Mecze[[#This Row],[BR]]/Mecze[[#This Row],[CZAS]])</f>
        <v>0</v>
      </c>
      <c r="S130" s="74">
        <f>IF(Mecze[[#This Row],[Role]]="BR",SUMPRODUCT(Mecze[[#This Row],[/PR:90]:[/BR:90]],Brudnopis!$E$23:$J$23),0)</f>
        <v>0</v>
      </c>
      <c r="T130" s="44">
        <f>IF(Mecze[[#This Row],[Role]]&lt;&gt;"BR",SUMPRODUCT(Mecze[[#This Row],[/PR:90]:[/BR:90]],Brudnopis!$E$24:$J$24),0)</f>
        <v>9.1836734693877542E-2</v>
      </c>
      <c r="U130" s="44">
        <f>IF(Mecze[[#This Row],[Role]]&lt;&gt;"BR",SUMPRODUCT(Mecze[[#This Row],[/PR:90]:[/BR:90]],Brudnopis!$E$25:$J$25),0)</f>
        <v>0.12755102040816327</v>
      </c>
      <c r="V130" s="44">
        <f>IF(Mecze[[#This Row],[Role]]&lt;&gt;"BR",SUMPRODUCT(Mecze[[#This Row],[/PR:90]:[/BR:90]],Brudnopis!$E$26:$J$26),0)</f>
        <v>9.1836734693877542E-2</v>
      </c>
      <c r="W130" s="44">
        <f>IF(Mecze[[#This Row],[Role]]&lt;&gt;"BR",SUMPRODUCT(Mecze[[#This Row],[/PR:90]:[/BR:90]],Brudnopis!$E$27:$J$27),0)</f>
        <v>0.12499999999999999</v>
      </c>
      <c r="X130" s="44">
        <f>IF(Mecze[[#This Row],[Role]]&lt;&gt;"BR",SUMPRODUCT(Mecze[[#This Row],[/PR:90]:[/BR:90]],Brudnopis!$E$28:$J$28),0)</f>
        <v>9.1836734693877542E-2</v>
      </c>
      <c r="Y130" s="35">
        <f>IF(Mecze[[#This Row],[Role]]="BR",Mecze[[#This Row],[/OB:90]]+Mecze[[#This Row],[/PC:90]],SUM(Mecze[[#This Row],[/PR:90]:[/BR:90]]))</f>
        <v>9.1836734693877542E-2</v>
      </c>
      <c r="Z130" s="35">
        <f>IF(Mecze[[#This Row],[KC]]=0,SUM(Mecze[[#This Row],[/BRI]:[/NPI]]),SUM(Mecze[[#This Row],[/BRI]:[/NPI]])*0.6)</f>
        <v>0.52806122448979587</v>
      </c>
      <c r="AA130" s="10">
        <f>IFERROR(Mecze[[#This Row],[BR]]/Mecze[[#This Row],[ST]],0)</f>
        <v>0</v>
      </c>
      <c r="AB130">
        <f>ROUND(Mecze[[#This Row],[PD]]*Mecze[[#This Row],[%PC]],0)</f>
        <v>7</v>
      </c>
      <c r="AC130">
        <f>ROUND(Mecze[[#This Row],[OD]]*Mecze[[#This Row],[%OU]],0)</f>
        <v>0</v>
      </c>
      <c r="AD130" s="36" t="s">
        <v>272</v>
      </c>
      <c r="AE130" s="36">
        <v>7</v>
      </c>
      <c r="AF130" s="71">
        <v>4.26</v>
      </c>
      <c r="AG130" s="37">
        <v>0</v>
      </c>
      <c r="AH130" s="37">
        <v>0</v>
      </c>
      <c r="AI130" s="37">
        <v>98</v>
      </c>
      <c r="AJ130">
        <v>11</v>
      </c>
      <c r="AK130" s="37" t="str">
        <f>VLOOKUP(Mecze[[#This Row],[Match ID]],Meczusie[Mecz]:Meczusie[RodzajMeczu],2,FALSE)</f>
        <v>Liga</v>
      </c>
    </row>
    <row r="131" spans="1:37" x14ac:dyDescent="0.25">
      <c r="A131" s="76">
        <v>110</v>
      </c>
      <c r="B131" s="3" t="s">
        <v>333</v>
      </c>
      <c r="C131" s="2" t="s">
        <v>155</v>
      </c>
      <c r="D131" s="1">
        <v>0</v>
      </c>
      <c r="E131" s="1">
        <v>0</v>
      </c>
      <c r="F131" s="1">
        <v>0</v>
      </c>
      <c r="G131" s="1">
        <v>5</v>
      </c>
      <c r="H131" s="4">
        <v>0.4</v>
      </c>
      <c r="I131" s="1">
        <v>0</v>
      </c>
      <c r="J131" s="4"/>
      <c r="K131" s="1">
        <v>6</v>
      </c>
      <c r="L131" s="1">
        <v>0</v>
      </c>
      <c r="M131" s="32">
        <f>IF(Mecze[[#This Row],[PR]]=0,0,Mecze[[#This Row],[PR]]/Mecze[[#This Row],[CZAS]])</f>
        <v>0</v>
      </c>
      <c r="N131" s="32">
        <f>IF(Mecze[[#This Row],[OU]]=0,0,Mecze[[#This Row],[OU]]/Mecze[[#This Row],[CZAS]])</f>
        <v>0</v>
      </c>
      <c r="O131" s="32">
        <f>IF(Mecze[[#This Row],[PC]]=0,0,Mecze[[#This Row],[PC]]/Mecze[[#This Row],[CZAS]])</f>
        <v>2.0833333333333332E-2</v>
      </c>
      <c r="P131" s="32">
        <f>IF(Mecze[[#This Row],[SC]]=0,0,Mecze[[#This Row],[SC]]/Mecze[[#This Row],[CZAS]])</f>
        <v>0</v>
      </c>
      <c r="Q131" s="32">
        <f>IF(Mecze[[#This Row],[OB]]=0,0,Mecze[[#This Row],[OB]]/Mecze[[#This Row],[CZAS]])</f>
        <v>6.25E-2</v>
      </c>
      <c r="R131" s="32">
        <f>IF(Mecze[[#This Row],[BR]]=0,0,Mecze[[#This Row],[BR]]/Mecze[[#This Row],[CZAS]])</f>
        <v>0</v>
      </c>
      <c r="S131" s="74">
        <f>IF(Mecze[[#This Row],[Role]]="BR",SUMPRODUCT(Mecze[[#This Row],[/PR:90]:[/BR:90]],Brudnopis!$E$23:$J$23),0)</f>
        <v>0.25</v>
      </c>
      <c r="T131" s="44">
        <f>IF(Mecze[[#This Row],[Role]]&lt;&gt;"BR",SUMPRODUCT(Mecze[[#This Row],[/PR:90]:[/BR:90]],Brudnopis!$E$24:$J$24),0)</f>
        <v>0</v>
      </c>
      <c r="U131" s="44">
        <f>IF(Mecze[[#This Row],[Role]]&lt;&gt;"BR",SUMPRODUCT(Mecze[[#This Row],[/PR:90]:[/BR:90]],Brudnopis!$E$25:$J$25),0)</f>
        <v>0</v>
      </c>
      <c r="V131" s="44">
        <f>IF(Mecze[[#This Row],[Role]]&lt;&gt;"BR",SUMPRODUCT(Mecze[[#This Row],[/PR:90]:[/BR:90]],Brudnopis!$E$26:$J$26),0)</f>
        <v>0</v>
      </c>
      <c r="W131" s="44">
        <f>IF(Mecze[[#This Row],[Role]]&lt;&gt;"BR",SUMPRODUCT(Mecze[[#This Row],[/PR:90]:[/BR:90]],Brudnopis!$E$27:$J$27),0)</f>
        <v>0</v>
      </c>
      <c r="X131" s="44">
        <f>IF(Mecze[[#This Row],[Role]]&lt;&gt;"BR",SUMPRODUCT(Mecze[[#This Row],[/PR:90]:[/BR:90]],Brudnopis!$E$28:$J$28),0)</f>
        <v>0</v>
      </c>
      <c r="Y131" s="35">
        <f>IF(Mecze[[#This Row],[Role]]="BR",Mecze[[#This Row],[/OB:90]]+Mecze[[#This Row],[/PC:90]],SUM(Mecze[[#This Row],[/PR:90]:[/BR:90]]))</f>
        <v>8.3333333333333329E-2</v>
      </c>
      <c r="Z131" s="35">
        <f>IF(Mecze[[#This Row],[KC]]=0,SUM(Mecze[[#This Row],[/BRI]:[/NPI]]),SUM(Mecze[[#This Row],[/BRI]:[/NPI]])*0.6)</f>
        <v>0.25</v>
      </c>
      <c r="AA131" s="10">
        <f>IFERROR(Mecze[[#This Row],[BR]]/Mecze[[#This Row],[ST]],0)</f>
        <v>0</v>
      </c>
      <c r="AB131">
        <f>ROUND(Mecze[[#This Row],[PD]]*Mecze[[#This Row],[%PC]],0)</f>
        <v>2</v>
      </c>
      <c r="AC131">
        <f>ROUND(Mecze[[#This Row],[OD]]*Mecze[[#This Row],[%OU]],0)</f>
        <v>0</v>
      </c>
      <c r="AD131" s="36" t="s">
        <v>40</v>
      </c>
      <c r="AE131" s="36">
        <v>8</v>
      </c>
      <c r="AF131" s="71">
        <v>3.69</v>
      </c>
      <c r="AG131" s="37">
        <v>0</v>
      </c>
      <c r="AH131" s="37">
        <v>0</v>
      </c>
      <c r="AI131" s="37">
        <v>96</v>
      </c>
      <c r="AJ131">
        <v>7</v>
      </c>
      <c r="AK131" s="37" t="str">
        <f>VLOOKUP(Mecze[[#This Row],[Match ID]],Meczusie[Mecz]:Meczusie[RodzajMeczu],2,FALSE)</f>
        <v>Liga</v>
      </c>
    </row>
    <row r="132" spans="1:37" x14ac:dyDescent="0.25">
      <c r="A132" s="76">
        <v>204</v>
      </c>
      <c r="B132" s="3" t="s">
        <v>334</v>
      </c>
      <c r="C132" s="2" t="s">
        <v>157</v>
      </c>
      <c r="D132" s="1">
        <v>0</v>
      </c>
      <c r="E132" s="1">
        <v>0</v>
      </c>
      <c r="F132" s="1">
        <v>0</v>
      </c>
      <c r="G132" s="1">
        <v>12</v>
      </c>
      <c r="H132" s="4">
        <v>0.75</v>
      </c>
      <c r="I132" s="1">
        <v>5</v>
      </c>
      <c r="J132" s="4">
        <v>0.4</v>
      </c>
      <c r="K132" s="1">
        <v>0</v>
      </c>
      <c r="L132" s="1">
        <v>6</v>
      </c>
      <c r="M132" s="32">
        <f>IF(Mecze[[#This Row],[PR]]=0,0,Mecze[[#This Row],[PR]]/Mecze[[#This Row],[CZAS]])</f>
        <v>6.25E-2</v>
      </c>
      <c r="N132" s="32">
        <f>IF(Mecze[[#This Row],[OU]]=0,0,Mecze[[#This Row],[OU]]/Mecze[[#This Row],[CZAS]])</f>
        <v>2.0833333333333332E-2</v>
      </c>
      <c r="O132" s="32">
        <f>IF(Mecze[[#This Row],[PC]]=0,0,Mecze[[#This Row],[PC]]/Mecze[[#This Row],[CZAS]])</f>
        <v>9.375E-2</v>
      </c>
      <c r="P132" s="32">
        <f>IF(Mecze[[#This Row],[SC]]=0,0,Mecze[[#This Row],[SC]]/Mecze[[#This Row],[CZAS]])</f>
        <v>0</v>
      </c>
      <c r="Q132" s="32">
        <f>IF(Mecze[[#This Row],[OB]]=0,0,Mecze[[#This Row],[OB]]/Mecze[[#This Row],[CZAS]])</f>
        <v>0</v>
      </c>
      <c r="R132" s="32">
        <f>IF(Mecze[[#This Row],[BR]]=0,0,Mecze[[#This Row],[BR]]/Mecze[[#This Row],[CZAS]])</f>
        <v>0</v>
      </c>
      <c r="S132" s="74">
        <f>IF(Mecze[[#This Row],[Role]]="BR",SUMPRODUCT(Mecze[[#This Row],[/PR:90]:[/BR:90]],Brudnopis!$E$23:$J$23),0)</f>
        <v>0</v>
      </c>
      <c r="T132" s="44">
        <f>IF(Mecze[[#This Row],[Role]]&lt;&gt;"BR",SUMPRODUCT(Mecze[[#This Row],[/PR:90]:[/BR:90]],Brudnopis!$E$24:$J$24),0)</f>
        <v>0.1875</v>
      </c>
      <c r="U132" s="44">
        <f>IF(Mecze[[#This Row],[Role]]&lt;&gt;"BR",SUMPRODUCT(Mecze[[#This Row],[/PR:90]:[/BR:90]],Brudnopis!$E$25:$J$25),0)</f>
        <v>0.22395833333333331</v>
      </c>
      <c r="V132" s="44">
        <f>IF(Mecze[[#This Row],[Role]]&lt;&gt;"BR",SUMPRODUCT(Mecze[[#This Row],[/PR:90]:[/BR:90]],Brudnopis!$E$26:$J$26),0)</f>
        <v>0.17708333333333331</v>
      </c>
      <c r="W132" s="44">
        <f>IF(Mecze[[#This Row],[Role]]&lt;&gt;"BR",SUMPRODUCT(Mecze[[#This Row],[/PR:90]:[/BR:90]],Brudnopis!$E$27:$J$27),0)</f>
        <v>0.203125</v>
      </c>
      <c r="X132" s="44">
        <f>IF(Mecze[[#This Row],[Role]]&lt;&gt;"BR",SUMPRODUCT(Mecze[[#This Row],[/PR:90]:[/BR:90]],Brudnopis!$E$28:$J$28),0)</f>
        <v>9.375E-2</v>
      </c>
      <c r="Y132" s="35">
        <f>IF(Mecze[[#This Row],[Role]]="BR",Mecze[[#This Row],[/OB:90]]+Mecze[[#This Row],[/PC:90]],SUM(Mecze[[#This Row],[/PR:90]:[/BR:90]]))</f>
        <v>0.17708333333333331</v>
      </c>
      <c r="Z132" s="35">
        <f>IF(Mecze[[#This Row],[KC]]=0,SUM(Mecze[[#This Row],[/BRI]:[/NPI]]),SUM(Mecze[[#This Row],[/BRI]:[/NPI]])*0.6)</f>
        <v>0.88541666666666663</v>
      </c>
      <c r="AA132" s="10">
        <f>IFERROR(Mecze[[#This Row],[BR]]/Mecze[[#This Row],[ST]],0)</f>
        <v>0</v>
      </c>
      <c r="AB132">
        <f>ROUND(Mecze[[#This Row],[PD]]*Mecze[[#This Row],[%PC]],0)</f>
        <v>9</v>
      </c>
      <c r="AC132">
        <f>ROUND(Mecze[[#This Row],[OD]]*Mecze[[#This Row],[%OU]],0)</f>
        <v>2</v>
      </c>
      <c r="AD132" s="36" t="s">
        <v>47</v>
      </c>
      <c r="AE132" s="36">
        <v>8</v>
      </c>
      <c r="AF132" s="71">
        <v>2.85</v>
      </c>
      <c r="AG132" s="37">
        <v>0</v>
      </c>
      <c r="AH132" s="37">
        <v>0</v>
      </c>
      <c r="AI132" s="37">
        <v>96</v>
      </c>
      <c r="AJ132">
        <v>7</v>
      </c>
      <c r="AK132" s="37" t="str">
        <f>VLOOKUP(Mecze[[#This Row],[Match ID]],Meczusie[Mecz]:Meczusie[RodzajMeczu],2,FALSE)</f>
        <v>Liga</v>
      </c>
    </row>
    <row r="133" spans="1:37" x14ac:dyDescent="0.25">
      <c r="A133" s="76">
        <v>150</v>
      </c>
      <c r="B133" s="3" t="s">
        <v>335</v>
      </c>
      <c r="C133" s="2" t="s">
        <v>157</v>
      </c>
      <c r="D133" s="1">
        <v>0</v>
      </c>
      <c r="E133" s="1">
        <v>0</v>
      </c>
      <c r="F133" s="1">
        <v>0</v>
      </c>
      <c r="G133" s="1">
        <v>11</v>
      </c>
      <c r="H133" s="4">
        <v>0.64</v>
      </c>
      <c r="I133" s="1">
        <v>5</v>
      </c>
      <c r="J133" s="4">
        <v>0.6</v>
      </c>
      <c r="K133" s="1">
        <v>0</v>
      </c>
      <c r="L133" s="1">
        <v>10</v>
      </c>
      <c r="M133" s="32">
        <f>IF(Mecze[[#This Row],[PR]]=0,0,Mecze[[#This Row],[PR]]/Mecze[[#This Row],[CZAS]])</f>
        <v>0.10416666666666667</v>
      </c>
      <c r="N133" s="32">
        <f>IF(Mecze[[#This Row],[OU]]=0,0,Mecze[[#This Row],[OU]]/Mecze[[#This Row],[CZAS]])</f>
        <v>3.125E-2</v>
      </c>
      <c r="O133" s="32">
        <f>IF(Mecze[[#This Row],[PC]]=0,0,Mecze[[#This Row],[PC]]/Mecze[[#This Row],[CZAS]])</f>
        <v>7.2916666666666671E-2</v>
      </c>
      <c r="P133" s="32">
        <f>IF(Mecze[[#This Row],[SC]]=0,0,Mecze[[#This Row],[SC]]/Mecze[[#This Row],[CZAS]])</f>
        <v>0</v>
      </c>
      <c r="Q133" s="32">
        <f>IF(Mecze[[#This Row],[OB]]=0,0,Mecze[[#This Row],[OB]]/Mecze[[#This Row],[CZAS]])</f>
        <v>0</v>
      </c>
      <c r="R133" s="32">
        <f>IF(Mecze[[#This Row],[BR]]=0,0,Mecze[[#This Row],[BR]]/Mecze[[#This Row],[CZAS]])</f>
        <v>0</v>
      </c>
      <c r="S133" s="74">
        <f>IF(Mecze[[#This Row],[Role]]="BR",SUMPRODUCT(Mecze[[#This Row],[/PR:90]:[/BR:90]],Brudnopis!$E$23:$J$23),0)</f>
        <v>0</v>
      </c>
      <c r="T133" s="44">
        <f>IF(Mecze[[#This Row],[Role]]&lt;&gt;"BR",SUMPRODUCT(Mecze[[#This Row],[/PR:90]:[/BR:90]],Brudnopis!$E$24:$J$24),0)</f>
        <v>0.22395833333333337</v>
      </c>
      <c r="U133" s="44">
        <f>IF(Mecze[[#This Row],[Role]]&lt;&gt;"BR",SUMPRODUCT(Mecze[[#This Row],[/PR:90]:[/BR:90]],Brudnopis!$E$25:$J$25),0)</f>
        <v>0.24479166666666669</v>
      </c>
      <c r="V133" s="44">
        <f>IF(Mecze[[#This Row],[Role]]&lt;&gt;"BR",SUMPRODUCT(Mecze[[#This Row],[/PR:90]:[/BR:90]],Brudnopis!$E$26:$J$26),0)</f>
        <v>0.20833333333333337</v>
      </c>
      <c r="W133" s="44">
        <f>IF(Mecze[[#This Row],[Role]]&lt;&gt;"BR",SUMPRODUCT(Mecze[[#This Row],[/PR:90]:[/BR:90]],Brudnopis!$E$27:$J$27),0)</f>
        <v>0.2109375</v>
      </c>
      <c r="X133" s="44">
        <f>IF(Mecze[[#This Row],[Role]]&lt;&gt;"BR",SUMPRODUCT(Mecze[[#This Row],[/PR:90]:[/BR:90]],Brudnopis!$E$28:$J$28),0)</f>
        <v>7.2916666666666671E-2</v>
      </c>
      <c r="Y133" s="35">
        <f>IF(Mecze[[#This Row],[Role]]="BR",Mecze[[#This Row],[/OB:90]]+Mecze[[#This Row],[/PC:90]],SUM(Mecze[[#This Row],[/PR:90]:[/BR:90]]))</f>
        <v>0.20833333333333337</v>
      </c>
      <c r="Z133" s="35">
        <f>IF(Mecze[[#This Row],[KC]]=0,SUM(Mecze[[#This Row],[/BRI]:[/NPI]]),SUM(Mecze[[#This Row],[/BRI]:[/NPI]])*0.6)</f>
        <v>0.96093750000000011</v>
      </c>
      <c r="AA133" s="10">
        <f>IFERROR(Mecze[[#This Row],[BR]]/Mecze[[#This Row],[ST]],0)</f>
        <v>0</v>
      </c>
      <c r="AB133">
        <f>ROUND(Mecze[[#This Row],[PD]]*Mecze[[#This Row],[%PC]],0)</f>
        <v>7</v>
      </c>
      <c r="AC133">
        <f>ROUND(Mecze[[#This Row],[OD]]*Mecze[[#This Row],[%OU]],0)</f>
        <v>3</v>
      </c>
      <c r="AD133" s="36" t="s">
        <v>167</v>
      </c>
      <c r="AE133" s="36">
        <v>8</v>
      </c>
      <c r="AF133" s="71">
        <v>4.8099999999999996</v>
      </c>
      <c r="AG133" s="37">
        <v>0</v>
      </c>
      <c r="AH133" s="37">
        <v>0</v>
      </c>
      <c r="AI133" s="37">
        <v>96</v>
      </c>
      <c r="AJ133">
        <v>7</v>
      </c>
      <c r="AK133" s="37" t="str">
        <f>VLOOKUP(Mecze[[#This Row],[Match ID]],Meczusie[Mecz]:Meczusie[RodzajMeczu],2,FALSE)</f>
        <v>Liga</v>
      </c>
    </row>
    <row r="134" spans="1:37" x14ac:dyDescent="0.25">
      <c r="A134" s="76">
        <v>76</v>
      </c>
      <c r="B134" s="3" t="s">
        <v>336</v>
      </c>
      <c r="C134" s="2" t="s">
        <v>157</v>
      </c>
      <c r="D134" s="1">
        <v>0</v>
      </c>
      <c r="E134" s="1">
        <v>0</v>
      </c>
      <c r="F134" s="1">
        <v>0</v>
      </c>
      <c r="G134" s="1">
        <v>5</v>
      </c>
      <c r="H134" s="4">
        <v>1</v>
      </c>
      <c r="I134" s="1">
        <v>8</v>
      </c>
      <c r="J134" s="4">
        <v>0.63</v>
      </c>
      <c r="K134" s="1">
        <v>0</v>
      </c>
      <c r="L134" s="1">
        <v>4</v>
      </c>
      <c r="M134" s="32">
        <f>IF(Mecze[[#This Row],[PR]]=0,0,Mecze[[#This Row],[PR]]/Mecze[[#This Row],[CZAS]])</f>
        <v>4.1666666666666664E-2</v>
      </c>
      <c r="N134" s="32">
        <f>IF(Mecze[[#This Row],[OU]]=0,0,Mecze[[#This Row],[OU]]/Mecze[[#This Row],[CZAS]])</f>
        <v>5.2083333333333336E-2</v>
      </c>
      <c r="O134" s="32">
        <f>IF(Mecze[[#This Row],[PC]]=0,0,Mecze[[#This Row],[PC]]/Mecze[[#This Row],[CZAS]])</f>
        <v>5.2083333333333336E-2</v>
      </c>
      <c r="P134" s="32">
        <f>IF(Mecze[[#This Row],[SC]]=0,0,Mecze[[#This Row],[SC]]/Mecze[[#This Row],[CZAS]])</f>
        <v>0</v>
      </c>
      <c r="Q134" s="32">
        <f>IF(Mecze[[#This Row],[OB]]=0,0,Mecze[[#This Row],[OB]]/Mecze[[#This Row],[CZAS]])</f>
        <v>0</v>
      </c>
      <c r="R134" s="32">
        <f>IF(Mecze[[#This Row],[BR]]=0,0,Mecze[[#This Row],[BR]]/Mecze[[#This Row],[CZAS]])</f>
        <v>0</v>
      </c>
      <c r="S134" s="44">
        <f>IF(Mecze[[#This Row],[Role]]="BR",SUMPRODUCT(Mecze[[#This Row],[/PR:90]:[/BR:90]],Brudnopis!$E$23:$J$23),0)</f>
        <v>0</v>
      </c>
      <c r="T134" s="44">
        <f>IF(Mecze[[#This Row],[Role]]&lt;&gt;"BR",SUMPRODUCT(Mecze[[#This Row],[/PR:90]:[/BR:90]],Brudnopis!$E$24:$J$24),0)</f>
        <v>0.171875</v>
      </c>
      <c r="U134" s="44">
        <f>IF(Mecze[[#This Row],[Role]]&lt;&gt;"BR",SUMPRODUCT(Mecze[[#This Row],[/PR:90]:[/BR:90]],Brudnopis!$E$25:$J$25),0)</f>
        <v>0.171875</v>
      </c>
      <c r="V134" s="44">
        <f>IF(Mecze[[#This Row],[Role]]&lt;&gt;"BR",SUMPRODUCT(Mecze[[#This Row],[/PR:90]:[/BR:90]],Brudnopis!$E$26:$J$26),0)</f>
        <v>0.14583333333333334</v>
      </c>
      <c r="W134" s="44">
        <f>IF(Mecze[[#This Row],[Role]]&lt;&gt;"BR",SUMPRODUCT(Mecze[[#This Row],[/PR:90]:[/BR:90]],Brudnopis!$E$27:$J$27),0)</f>
        <v>0.1484375</v>
      </c>
      <c r="X134" s="44">
        <f>IF(Mecze[[#This Row],[Role]]&lt;&gt;"BR",SUMPRODUCT(Mecze[[#This Row],[/PR:90]:[/BR:90]],Brudnopis!$E$28:$J$28),0)</f>
        <v>5.2083333333333336E-2</v>
      </c>
      <c r="Y134" s="35">
        <f>IF(Mecze[[#This Row],[Role]]="BR",Mecze[[#This Row],[/OB:90]]+Mecze[[#This Row],[/PC:90]],SUM(Mecze[[#This Row],[/PR:90]:[/BR:90]]))</f>
        <v>0.14583333333333334</v>
      </c>
      <c r="Z134" s="35">
        <f>IF(Mecze[[#This Row],[KC]]=0,SUM(Mecze[[#This Row],[/BRI]:[/NPI]]),SUM(Mecze[[#This Row],[/BRI]:[/NPI]])*0.6)</f>
        <v>0.69010416666666674</v>
      </c>
      <c r="AA134" s="10">
        <f>IFERROR(Mecze[[#This Row],[BR]]/Mecze[[#This Row],[ST]],0)</f>
        <v>0</v>
      </c>
      <c r="AB134">
        <f>ROUND(Mecze[[#This Row],[PD]]*Mecze[[#This Row],[%PC]],0)</f>
        <v>5</v>
      </c>
      <c r="AC134">
        <f>ROUND(Mecze[[#This Row],[OD]]*Mecze[[#This Row],[%OU]],0)</f>
        <v>5</v>
      </c>
      <c r="AD134" s="36" t="s">
        <v>168</v>
      </c>
      <c r="AE134" s="36">
        <v>8</v>
      </c>
      <c r="AF134" s="71">
        <v>3.55</v>
      </c>
      <c r="AG134" s="37">
        <v>0</v>
      </c>
      <c r="AH134" s="37">
        <v>0</v>
      </c>
      <c r="AI134" s="37">
        <v>96</v>
      </c>
      <c r="AJ134">
        <v>7</v>
      </c>
      <c r="AK134" s="37" t="str">
        <f>VLOOKUP(Mecze[[#This Row],[Match ID]],Meczusie[Mecz]:Meczusie[RodzajMeczu],2,FALSE)</f>
        <v>Liga</v>
      </c>
    </row>
    <row r="135" spans="1:37" x14ac:dyDescent="0.25">
      <c r="A135" s="76">
        <v>151</v>
      </c>
      <c r="B135" s="3" t="s">
        <v>337</v>
      </c>
      <c r="C135" s="2" t="s">
        <v>160</v>
      </c>
      <c r="D135" s="1">
        <v>0</v>
      </c>
      <c r="E135" s="1">
        <v>1</v>
      </c>
      <c r="F135" s="1">
        <v>0</v>
      </c>
      <c r="G135" s="1">
        <v>15</v>
      </c>
      <c r="H135" s="4">
        <v>0.73</v>
      </c>
      <c r="I135" s="1">
        <v>11</v>
      </c>
      <c r="J135" s="4">
        <v>0.55000000000000004</v>
      </c>
      <c r="K135" s="1">
        <v>0</v>
      </c>
      <c r="L135" s="1">
        <v>5</v>
      </c>
      <c r="M135" s="32">
        <f>IF(Mecze[[#This Row],[PR]]=0,0,Mecze[[#This Row],[PR]]/Mecze[[#This Row],[CZAS]])</f>
        <v>5.2083333333333336E-2</v>
      </c>
      <c r="N135" s="32">
        <f>IF(Mecze[[#This Row],[OU]]=0,0,Mecze[[#This Row],[OU]]/Mecze[[#This Row],[CZAS]])</f>
        <v>6.25E-2</v>
      </c>
      <c r="O135" s="32">
        <f>IF(Mecze[[#This Row],[PC]]=0,0,Mecze[[#This Row],[PC]]/Mecze[[#This Row],[CZAS]])</f>
        <v>0.11458333333333333</v>
      </c>
      <c r="P135" s="32">
        <f>IF(Mecze[[#This Row],[SC]]=0,0,Mecze[[#This Row],[SC]]/Mecze[[#This Row],[CZAS]])</f>
        <v>0</v>
      </c>
      <c r="Q135" s="32">
        <f>IF(Mecze[[#This Row],[OB]]=0,0,Mecze[[#This Row],[OB]]/Mecze[[#This Row],[CZAS]])</f>
        <v>0</v>
      </c>
      <c r="R135" s="32">
        <f>IF(Mecze[[#This Row],[BR]]=0,0,Mecze[[#This Row],[BR]]/Mecze[[#This Row],[CZAS]])</f>
        <v>0</v>
      </c>
      <c r="S135" s="44">
        <f>IF(Mecze[[#This Row],[Role]]="BR",SUMPRODUCT(Mecze[[#This Row],[/PR:90]:[/BR:90]],Brudnopis!$E$23:$J$23),0)</f>
        <v>0</v>
      </c>
      <c r="T135" s="44">
        <f>IF(Mecze[[#This Row],[Role]]&lt;&gt;"BR",SUMPRODUCT(Mecze[[#This Row],[/PR:90]:[/BR:90]],Brudnopis!$E$24:$J$24),0)</f>
        <v>0.26041666666666669</v>
      </c>
      <c r="U135" s="44">
        <f>IF(Mecze[[#This Row],[Role]]&lt;&gt;"BR",SUMPRODUCT(Mecze[[#This Row],[/PR:90]:[/BR:90]],Brudnopis!$E$25:$J$25),0)</f>
        <v>0.28645833333333337</v>
      </c>
      <c r="V135" s="44">
        <f>IF(Mecze[[#This Row],[Role]]&lt;&gt;"BR",SUMPRODUCT(Mecze[[#This Row],[/PR:90]:[/BR:90]],Brudnopis!$E$26:$J$26),0)</f>
        <v>0.22916666666666669</v>
      </c>
      <c r="W135" s="44">
        <f>IF(Mecze[[#This Row],[Role]]&lt;&gt;"BR",SUMPRODUCT(Mecze[[#This Row],[/PR:90]:[/BR:90]],Brudnopis!$E$27:$J$27),0)</f>
        <v>0.2578125</v>
      </c>
      <c r="X135" s="44">
        <f>IF(Mecze[[#This Row],[Role]]&lt;&gt;"BR",SUMPRODUCT(Mecze[[#This Row],[/PR:90]:[/BR:90]],Brudnopis!$E$28:$J$28),0)</f>
        <v>0.11458333333333333</v>
      </c>
      <c r="Y135" s="35">
        <f>IF(Mecze[[#This Row],[Role]]="BR",Mecze[[#This Row],[/OB:90]]+Mecze[[#This Row],[/PC:90]],SUM(Mecze[[#This Row],[/PR:90]:[/BR:90]]))</f>
        <v>0.22916666666666669</v>
      </c>
      <c r="Z135" s="35">
        <f>IF(Mecze[[#This Row],[KC]]=0,SUM(Mecze[[#This Row],[/BRI]:[/NPI]]),SUM(Mecze[[#This Row],[/BRI]:[/NPI]])*0.6)</f>
        <v>1.1484375</v>
      </c>
      <c r="AA135" s="10">
        <f>IFERROR(Mecze[[#This Row],[BR]]/Mecze[[#This Row],[ST]],0)</f>
        <v>0</v>
      </c>
      <c r="AB135">
        <f>ROUND(Mecze[[#This Row],[PD]]*Mecze[[#This Row],[%PC]],0)</f>
        <v>11</v>
      </c>
      <c r="AC135">
        <f>ROUND(Mecze[[#This Row],[OD]]*Mecze[[#This Row],[%OU]],0)</f>
        <v>6</v>
      </c>
      <c r="AD135" s="36" t="s">
        <v>41</v>
      </c>
      <c r="AE135" s="36">
        <v>8</v>
      </c>
      <c r="AF135" s="71">
        <v>4.96</v>
      </c>
      <c r="AG135" s="37">
        <v>0</v>
      </c>
      <c r="AH135" s="37">
        <v>0</v>
      </c>
      <c r="AI135" s="37">
        <v>96</v>
      </c>
      <c r="AJ135">
        <v>7</v>
      </c>
      <c r="AK135" s="37" t="str">
        <f>VLOOKUP(Mecze[[#This Row],[Match ID]],Meczusie[Mecz]:Meczusie[RodzajMeczu],2,FALSE)</f>
        <v>Liga</v>
      </c>
    </row>
    <row r="136" spans="1:37" x14ac:dyDescent="0.25">
      <c r="A136" s="76">
        <v>159</v>
      </c>
      <c r="B136" s="3" t="s">
        <v>338</v>
      </c>
      <c r="C136" s="2" t="s">
        <v>160</v>
      </c>
      <c r="D136" s="1">
        <v>0</v>
      </c>
      <c r="E136" s="1">
        <v>0</v>
      </c>
      <c r="F136" s="1">
        <v>0</v>
      </c>
      <c r="G136" s="1">
        <v>13</v>
      </c>
      <c r="H136" s="4">
        <v>0.54</v>
      </c>
      <c r="I136" s="1">
        <v>7</v>
      </c>
      <c r="J136" s="4">
        <v>0.14000000000000001</v>
      </c>
      <c r="K136" s="1">
        <v>0</v>
      </c>
      <c r="L136" s="1">
        <v>7</v>
      </c>
      <c r="M136" s="32">
        <f>IF(Mecze[[#This Row],[PR]]=0,0,Mecze[[#This Row],[PR]]/Mecze[[#This Row],[CZAS]])</f>
        <v>7.2916666666666671E-2</v>
      </c>
      <c r="N136" s="32">
        <f>IF(Mecze[[#This Row],[OU]]=0,0,Mecze[[#This Row],[OU]]/Mecze[[#This Row],[CZAS]])</f>
        <v>1.0416666666666666E-2</v>
      </c>
      <c r="O136" s="32">
        <f>IF(Mecze[[#This Row],[PC]]=0,0,Mecze[[#This Row],[PC]]/Mecze[[#This Row],[CZAS]])</f>
        <v>7.2916666666666671E-2</v>
      </c>
      <c r="P136" s="32">
        <f>IF(Mecze[[#This Row],[SC]]=0,0,Mecze[[#This Row],[SC]]/Mecze[[#This Row],[CZAS]])</f>
        <v>0</v>
      </c>
      <c r="Q136" s="32">
        <f>IF(Mecze[[#This Row],[OB]]=0,0,Mecze[[#This Row],[OB]]/Mecze[[#This Row],[CZAS]])</f>
        <v>0</v>
      </c>
      <c r="R136" s="32">
        <f>IF(Mecze[[#This Row],[BR]]=0,0,Mecze[[#This Row],[BR]]/Mecze[[#This Row],[CZAS]])</f>
        <v>0</v>
      </c>
      <c r="S136" s="44">
        <f>IF(Mecze[[#This Row],[Role]]="BR",SUMPRODUCT(Mecze[[#This Row],[/PR:90]:[/BR:90]],Brudnopis!$E$23:$J$23),0)</f>
        <v>0</v>
      </c>
      <c r="T136" s="44">
        <f>IF(Mecze[[#This Row],[Role]]&lt;&gt;"BR",SUMPRODUCT(Mecze[[#This Row],[/PR:90]:[/BR:90]],Brudnopis!$E$24:$J$24),0)</f>
        <v>0.16145833333333334</v>
      </c>
      <c r="U136" s="44">
        <f>IF(Mecze[[#This Row],[Role]]&lt;&gt;"BR",SUMPRODUCT(Mecze[[#This Row],[/PR:90]:[/BR:90]],Brudnopis!$E$25:$J$25),0)</f>
        <v>0.19270833333333334</v>
      </c>
      <c r="V136" s="44">
        <f>IF(Mecze[[#This Row],[Role]]&lt;&gt;"BR",SUMPRODUCT(Mecze[[#This Row],[/PR:90]:[/BR:90]],Brudnopis!$E$26:$J$26),0)</f>
        <v>0.15625</v>
      </c>
      <c r="W136" s="44">
        <f>IF(Mecze[[#This Row],[Role]]&lt;&gt;"BR",SUMPRODUCT(Mecze[[#This Row],[/PR:90]:[/BR:90]],Brudnopis!$E$27:$J$27),0)</f>
        <v>0.171875</v>
      </c>
      <c r="X136" s="44">
        <f>IF(Mecze[[#This Row],[Role]]&lt;&gt;"BR",SUMPRODUCT(Mecze[[#This Row],[/PR:90]:[/BR:90]],Brudnopis!$E$28:$J$28),0)</f>
        <v>7.2916666666666671E-2</v>
      </c>
      <c r="Y136" s="35">
        <f>IF(Mecze[[#This Row],[Role]]="BR",Mecze[[#This Row],[/OB:90]]+Mecze[[#This Row],[/PC:90]],SUM(Mecze[[#This Row],[/PR:90]:[/BR:90]]))</f>
        <v>0.15625</v>
      </c>
      <c r="Z136" s="35">
        <f>IF(Mecze[[#This Row],[KC]]=0,SUM(Mecze[[#This Row],[/BRI]:[/NPI]]),SUM(Mecze[[#This Row],[/BRI]:[/NPI]])*0.6)</f>
        <v>0.75520833333333337</v>
      </c>
      <c r="AA136" s="10">
        <f>IFERROR(Mecze[[#This Row],[BR]]/Mecze[[#This Row],[ST]],0)</f>
        <v>0</v>
      </c>
      <c r="AB136">
        <f>ROUND(Mecze[[#This Row],[PD]]*Mecze[[#This Row],[%PC]],0)</f>
        <v>7</v>
      </c>
      <c r="AC136">
        <f>ROUND(Mecze[[#This Row],[OD]]*Mecze[[#This Row],[%OU]],0)</f>
        <v>1</v>
      </c>
      <c r="AD136" s="36" t="s">
        <v>41</v>
      </c>
      <c r="AE136" s="36">
        <v>8</v>
      </c>
      <c r="AF136" s="71">
        <v>5.38</v>
      </c>
      <c r="AG136" s="37">
        <v>0</v>
      </c>
      <c r="AH136" s="37">
        <v>0</v>
      </c>
      <c r="AI136" s="37">
        <v>96</v>
      </c>
      <c r="AJ136">
        <v>7</v>
      </c>
      <c r="AK136" s="37" t="str">
        <f>VLOOKUP(Mecze[[#This Row],[Match ID]],Meczusie[Mecz]:Meczusie[RodzajMeczu],2,FALSE)</f>
        <v>Liga</v>
      </c>
    </row>
    <row r="137" spans="1:37" x14ac:dyDescent="0.25">
      <c r="A137" s="76">
        <v>200</v>
      </c>
      <c r="B137" s="3" t="s">
        <v>339</v>
      </c>
      <c r="C137" s="2" t="s">
        <v>160</v>
      </c>
      <c r="D137" s="1">
        <v>0</v>
      </c>
      <c r="E137" s="1">
        <v>0</v>
      </c>
      <c r="F137" s="1">
        <v>0</v>
      </c>
      <c r="G137" s="1">
        <v>16</v>
      </c>
      <c r="H137" s="4">
        <v>0.69</v>
      </c>
      <c r="I137" s="1">
        <v>4</v>
      </c>
      <c r="J137" s="4">
        <v>0.75</v>
      </c>
      <c r="K137" s="1">
        <v>0</v>
      </c>
      <c r="L137" s="1">
        <v>9</v>
      </c>
      <c r="M137" s="32">
        <f>IF(Mecze[[#This Row],[PR]]=0,0,Mecze[[#This Row],[PR]]/Mecze[[#This Row],[CZAS]])</f>
        <v>9.375E-2</v>
      </c>
      <c r="N137" s="32">
        <f>IF(Mecze[[#This Row],[OU]]=0,0,Mecze[[#This Row],[OU]]/Mecze[[#This Row],[CZAS]])</f>
        <v>3.125E-2</v>
      </c>
      <c r="O137" s="32">
        <f>IF(Mecze[[#This Row],[PC]]=0,0,Mecze[[#This Row],[PC]]/Mecze[[#This Row],[CZAS]])</f>
        <v>0.11458333333333333</v>
      </c>
      <c r="P137" s="32">
        <f>IF(Mecze[[#This Row],[SC]]=0,0,Mecze[[#This Row],[SC]]/Mecze[[#This Row],[CZAS]])</f>
        <v>0</v>
      </c>
      <c r="Q137" s="32">
        <f>IF(Mecze[[#This Row],[OB]]=0,0,Mecze[[#This Row],[OB]]/Mecze[[#This Row],[CZAS]])</f>
        <v>0</v>
      </c>
      <c r="R137" s="32">
        <f>IF(Mecze[[#This Row],[BR]]=0,0,Mecze[[#This Row],[BR]]/Mecze[[#This Row],[CZAS]])</f>
        <v>0</v>
      </c>
      <c r="S137" s="44">
        <f>IF(Mecze[[#This Row],[Role]]="BR",SUMPRODUCT(Mecze[[#This Row],[/PR:90]:[/BR:90]],Brudnopis!$E$23:$J$23),0)</f>
        <v>0</v>
      </c>
      <c r="T137" s="44">
        <f>IF(Mecze[[#This Row],[Role]]&lt;&gt;"BR",SUMPRODUCT(Mecze[[#This Row],[/PR:90]:[/BR:90]],Brudnopis!$E$24:$J$24),0)</f>
        <v>0.25520833333333331</v>
      </c>
      <c r="U137" s="44">
        <f>IF(Mecze[[#This Row],[Role]]&lt;&gt;"BR",SUMPRODUCT(Mecze[[#This Row],[/PR:90]:[/BR:90]],Brudnopis!$E$25:$J$25),0)</f>
        <v>0.296875</v>
      </c>
      <c r="V137" s="44">
        <f>IF(Mecze[[#This Row],[Role]]&lt;&gt;"BR",SUMPRODUCT(Mecze[[#This Row],[/PR:90]:[/BR:90]],Brudnopis!$E$26:$J$26),0)</f>
        <v>0.23958333333333331</v>
      </c>
      <c r="W137" s="44">
        <f>IF(Mecze[[#This Row],[Role]]&lt;&gt;"BR",SUMPRODUCT(Mecze[[#This Row],[/PR:90]:[/BR:90]],Brudnopis!$E$27:$J$27),0)</f>
        <v>0.265625</v>
      </c>
      <c r="X137" s="44">
        <f>IF(Mecze[[#This Row],[Role]]&lt;&gt;"BR",SUMPRODUCT(Mecze[[#This Row],[/PR:90]:[/BR:90]],Brudnopis!$E$28:$J$28),0)</f>
        <v>0.11458333333333333</v>
      </c>
      <c r="Y137" s="35">
        <f>IF(Mecze[[#This Row],[Role]]="BR",Mecze[[#This Row],[/OB:90]]+Mecze[[#This Row],[/PC:90]],SUM(Mecze[[#This Row],[/PR:90]:[/BR:90]]))</f>
        <v>0.23958333333333331</v>
      </c>
      <c r="Z137" s="35">
        <f>IF(Mecze[[#This Row],[KC]]=0,SUM(Mecze[[#This Row],[/BRI]:[/NPI]]),SUM(Mecze[[#This Row],[/BRI]:[/NPI]])*0.6)</f>
        <v>1.1718749999999998</v>
      </c>
      <c r="AA137" s="10">
        <f>IFERROR(Mecze[[#This Row],[BR]]/Mecze[[#This Row],[ST]],0)</f>
        <v>0</v>
      </c>
      <c r="AB137">
        <f>ROUND(Mecze[[#This Row],[PD]]*Mecze[[#This Row],[%PC]],0)</f>
        <v>11</v>
      </c>
      <c r="AC137">
        <f>ROUND(Mecze[[#This Row],[OD]]*Mecze[[#This Row],[%OU]],0)</f>
        <v>3</v>
      </c>
      <c r="AD137" s="36" t="s">
        <v>67</v>
      </c>
      <c r="AE137" s="36">
        <v>8</v>
      </c>
      <c r="AF137" s="71">
        <v>5.8</v>
      </c>
      <c r="AG137" s="37">
        <v>0</v>
      </c>
      <c r="AH137" s="37">
        <v>0</v>
      </c>
      <c r="AI137" s="37">
        <v>96</v>
      </c>
      <c r="AJ137">
        <v>7</v>
      </c>
      <c r="AK137" s="37" t="str">
        <f>VLOOKUP(Mecze[[#This Row],[Match ID]],Meczusie[Mecz]:Meczusie[RodzajMeczu],2,FALSE)</f>
        <v>Liga</v>
      </c>
    </row>
    <row r="138" spans="1:37" x14ac:dyDescent="0.25">
      <c r="A138" s="76">
        <v>202</v>
      </c>
      <c r="B138" s="3" t="s">
        <v>340</v>
      </c>
      <c r="C138" s="2" t="s">
        <v>160</v>
      </c>
      <c r="D138" s="1">
        <v>0</v>
      </c>
      <c r="E138" s="1">
        <v>0</v>
      </c>
      <c r="F138" s="1">
        <v>0</v>
      </c>
      <c r="G138" s="1">
        <v>5</v>
      </c>
      <c r="H138" s="4">
        <v>0.6</v>
      </c>
      <c r="I138" s="1">
        <v>3</v>
      </c>
      <c r="J138" s="4">
        <v>0.67</v>
      </c>
      <c r="K138" s="1">
        <v>0</v>
      </c>
      <c r="L138" s="1">
        <v>0</v>
      </c>
      <c r="M138" s="32">
        <f>IF(Mecze[[#This Row],[PR]]=0,0,Mecze[[#This Row],[PR]]/Mecze[[#This Row],[CZAS]])</f>
        <v>0</v>
      </c>
      <c r="N138" s="32">
        <f>IF(Mecze[[#This Row],[OU]]=0,0,Mecze[[#This Row],[OU]]/Mecze[[#This Row],[CZAS]])</f>
        <v>2.0833333333333332E-2</v>
      </c>
      <c r="O138" s="32">
        <f>IF(Mecze[[#This Row],[PC]]=0,0,Mecze[[#This Row],[PC]]/Mecze[[#This Row],[CZAS]])</f>
        <v>3.125E-2</v>
      </c>
      <c r="P138" s="32">
        <f>IF(Mecze[[#This Row],[SC]]=0,0,Mecze[[#This Row],[SC]]/Mecze[[#This Row],[CZAS]])</f>
        <v>0</v>
      </c>
      <c r="Q138" s="32">
        <f>IF(Mecze[[#This Row],[OB]]=0,0,Mecze[[#This Row],[OB]]/Mecze[[#This Row],[CZAS]])</f>
        <v>0</v>
      </c>
      <c r="R138" s="32">
        <f>IF(Mecze[[#This Row],[BR]]=0,0,Mecze[[#This Row],[BR]]/Mecze[[#This Row],[CZAS]])</f>
        <v>0</v>
      </c>
      <c r="S138" s="44">
        <f>IF(Mecze[[#This Row],[Role]]="BR",SUMPRODUCT(Mecze[[#This Row],[/PR:90]:[/BR:90]],Brudnopis!$E$23:$J$23),0)</f>
        <v>0</v>
      </c>
      <c r="T138" s="44">
        <f>IF(Mecze[[#This Row],[Role]]&lt;&gt;"BR",SUMPRODUCT(Mecze[[#This Row],[/PR:90]:[/BR:90]],Brudnopis!$E$24:$J$24),0)</f>
        <v>6.25E-2</v>
      </c>
      <c r="U138" s="44">
        <f>IF(Mecze[[#This Row],[Role]]&lt;&gt;"BR",SUMPRODUCT(Mecze[[#This Row],[/PR:90]:[/BR:90]],Brudnopis!$E$25:$J$25),0)</f>
        <v>6.7708333333333329E-2</v>
      </c>
      <c r="V138" s="44">
        <f>IF(Mecze[[#This Row],[Role]]&lt;&gt;"BR",SUMPRODUCT(Mecze[[#This Row],[/PR:90]:[/BR:90]],Brudnopis!$E$26:$J$26),0)</f>
        <v>5.2083333333333329E-2</v>
      </c>
      <c r="W138" s="44">
        <f>IF(Mecze[[#This Row],[Role]]&lt;&gt;"BR",SUMPRODUCT(Mecze[[#This Row],[/PR:90]:[/BR:90]],Brudnopis!$E$27:$J$27),0)</f>
        <v>6.25E-2</v>
      </c>
      <c r="X138" s="44">
        <f>IF(Mecze[[#This Row],[Role]]&lt;&gt;"BR",SUMPRODUCT(Mecze[[#This Row],[/PR:90]:[/BR:90]],Brudnopis!$E$28:$J$28),0)</f>
        <v>3.125E-2</v>
      </c>
      <c r="Y138" s="35">
        <f>IF(Mecze[[#This Row],[Role]]="BR",Mecze[[#This Row],[/OB:90]]+Mecze[[#This Row],[/PC:90]],SUM(Mecze[[#This Row],[/PR:90]:[/BR:90]]))</f>
        <v>5.2083333333333329E-2</v>
      </c>
      <c r="Z138" s="35">
        <f>IF(Mecze[[#This Row],[KC]]=0,SUM(Mecze[[#This Row],[/BRI]:[/NPI]]),SUM(Mecze[[#This Row],[/BRI]:[/NPI]])*0.6)</f>
        <v>0.27604166666666663</v>
      </c>
      <c r="AA138" s="10">
        <f>IFERROR(Mecze[[#This Row],[BR]]/Mecze[[#This Row],[ST]],0)</f>
        <v>0</v>
      </c>
      <c r="AB138">
        <f>ROUND(Mecze[[#This Row],[PD]]*Mecze[[#This Row],[%PC]],0)</f>
        <v>3</v>
      </c>
      <c r="AC138">
        <f>ROUND(Mecze[[#This Row],[OD]]*Mecze[[#This Row],[%OU]],0)</f>
        <v>2</v>
      </c>
      <c r="AD138" s="36" t="s">
        <v>44</v>
      </c>
      <c r="AE138" s="36">
        <v>8</v>
      </c>
      <c r="AF138" s="71">
        <v>3.91</v>
      </c>
      <c r="AG138" s="37">
        <v>0</v>
      </c>
      <c r="AH138" s="37">
        <v>0</v>
      </c>
      <c r="AI138" s="37">
        <v>96</v>
      </c>
      <c r="AJ138">
        <v>7</v>
      </c>
      <c r="AK138" s="37" t="str">
        <f>VLOOKUP(Mecze[[#This Row],[Match ID]],Meczusie[Mecz]:Meczusie[RodzajMeczu],2,FALSE)</f>
        <v>Liga</v>
      </c>
    </row>
    <row r="139" spans="1:37" x14ac:dyDescent="0.25">
      <c r="A139" s="76">
        <v>70</v>
      </c>
      <c r="B139" s="3" t="s">
        <v>341</v>
      </c>
      <c r="C139" s="2" t="s">
        <v>160</v>
      </c>
      <c r="D139" s="1">
        <v>0</v>
      </c>
      <c r="E139" s="1">
        <v>0</v>
      </c>
      <c r="F139" s="1">
        <v>0</v>
      </c>
      <c r="G139" s="1">
        <v>11</v>
      </c>
      <c r="H139" s="4">
        <v>0.64</v>
      </c>
      <c r="I139" s="1">
        <v>0</v>
      </c>
      <c r="J139" s="4"/>
      <c r="K139" s="1">
        <v>0</v>
      </c>
      <c r="L139" s="1">
        <v>0</v>
      </c>
      <c r="M139" s="32">
        <f>IF(Mecze[[#This Row],[PR]]=0,0,Mecze[[#This Row],[PR]]/Mecze[[#This Row],[CZAS]])</f>
        <v>0</v>
      </c>
      <c r="N139" s="32">
        <f>IF(Mecze[[#This Row],[OU]]=0,0,Mecze[[#This Row],[OU]]/Mecze[[#This Row],[CZAS]])</f>
        <v>0</v>
      </c>
      <c r="O139" s="32">
        <f>IF(Mecze[[#This Row],[PC]]=0,0,Mecze[[#This Row],[PC]]/Mecze[[#This Row],[CZAS]])</f>
        <v>7.2916666666666671E-2</v>
      </c>
      <c r="P139" s="32">
        <f>IF(Mecze[[#This Row],[SC]]=0,0,Mecze[[#This Row],[SC]]/Mecze[[#This Row],[CZAS]])</f>
        <v>0</v>
      </c>
      <c r="Q139" s="32">
        <f>IF(Mecze[[#This Row],[OB]]=0,0,Mecze[[#This Row],[OB]]/Mecze[[#This Row],[CZAS]])</f>
        <v>0</v>
      </c>
      <c r="R139" s="32">
        <f>IF(Mecze[[#This Row],[BR]]=0,0,Mecze[[#This Row],[BR]]/Mecze[[#This Row],[CZAS]])</f>
        <v>0</v>
      </c>
      <c r="S139" s="44">
        <f>IF(Mecze[[#This Row],[Role]]="BR",SUMPRODUCT(Mecze[[#This Row],[/PR:90]:[/BR:90]],Brudnopis!$E$23:$J$23),0)</f>
        <v>0</v>
      </c>
      <c r="T139" s="44">
        <f>IF(Mecze[[#This Row],[Role]]&lt;&gt;"BR",SUMPRODUCT(Mecze[[#This Row],[/PR:90]:[/BR:90]],Brudnopis!$E$24:$J$24),0)</f>
        <v>7.2916666666666671E-2</v>
      </c>
      <c r="U139" s="44">
        <f>IF(Mecze[[#This Row],[Role]]&lt;&gt;"BR",SUMPRODUCT(Mecze[[#This Row],[/PR:90]:[/BR:90]],Brudnopis!$E$25:$J$25),0)</f>
        <v>0.109375</v>
      </c>
      <c r="V139" s="44">
        <f>IF(Mecze[[#This Row],[Role]]&lt;&gt;"BR",SUMPRODUCT(Mecze[[#This Row],[/PR:90]:[/BR:90]],Brudnopis!$E$26:$J$26),0)</f>
        <v>7.2916666666666671E-2</v>
      </c>
      <c r="W139" s="44">
        <f>IF(Mecze[[#This Row],[Role]]&lt;&gt;"BR",SUMPRODUCT(Mecze[[#This Row],[/PR:90]:[/BR:90]],Brudnopis!$E$27:$J$27),0)</f>
        <v>0.109375</v>
      </c>
      <c r="X139" s="44">
        <f>IF(Mecze[[#This Row],[Role]]&lt;&gt;"BR",SUMPRODUCT(Mecze[[#This Row],[/PR:90]:[/BR:90]],Brudnopis!$E$28:$J$28),0)</f>
        <v>7.2916666666666671E-2</v>
      </c>
      <c r="Y139" s="35">
        <f>IF(Mecze[[#This Row],[Role]]="BR",Mecze[[#This Row],[/OB:90]]+Mecze[[#This Row],[/PC:90]],SUM(Mecze[[#This Row],[/PR:90]:[/BR:90]]))</f>
        <v>7.2916666666666671E-2</v>
      </c>
      <c r="Z139" s="35">
        <f>IF(Mecze[[#This Row],[KC]]=0,SUM(Mecze[[#This Row],[/BRI]:[/NPI]]),SUM(Mecze[[#This Row],[/BRI]:[/NPI]])*0.6)</f>
        <v>0.43750000000000006</v>
      </c>
      <c r="AA139" s="10">
        <f>IFERROR(Mecze[[#This Row],[BR]]/Mecze[[#This Row],[ST]],0)</f>
        <v>0</v>
      </c>
      <c r="AB139">
        <f>ROUND(Mecze[[#This Row],[PD]]*Mecze[[#This Row],[%PC]],0)</f>
        <v>7</v>
      </c>
      <c r="AC139">
        <f>ROUND(Mecze[[#This Row],[OD]]*Mecze[[#This Row],[%OU]],0)</f>
        <v>0</v>
      </c>
      <c r="AD139" s="36" t="s">
        <v>299</v>
      </c>
      <c r="AE139" s="36">
        <v>8</v>
      </c>
      <c r="AF139" s="71">
        <v>3.91</v>
      </c>
      <c r="AG139" s="37">
        <v>0</v>
      </c>
      <c r="AH139" s="37">
        <v>0</v>
      </c>
      <c r="AI139" s="37">
        <v>96</v>
      </c>
      <c r="AJ139">
        <v>7</v>
      </c>
      <c r="AK139" s="37" t="str">
        <f>VLOOKUP(Mecze[[#This Row],[Match ID]],Meczusie[Mecz]:Meczusie[RodzajMeczu],2,FALSE)</f>
        <v>Liga</v>
      </c>
    </row>
    <row r="140" spans="1:37" x14ac:dyDescent="0.25">
      <c r="A140" s="76">
        <v>203</v>
      </c>
      <c r="B140" s="3" t="s">
        <v>342</v>
      </c>
      <c r="C140" s="2" t="s">
        <v>165</v>
      </c>
      <c r="D140" s="1">
        <v>1</v>
      </c>
      <c r="E140" s="1">
        <v>12</v>
      </c>
      <c r="F140" s="1">
        <v>10</v>
      </c>
      <c r="G140" s="1">
        <v>10</v>
      </c>
      <c r="H140" s="4">
        <v>0.8</v>
      </c>
      <c r="I140" s="1">
        <v>3</v>
      </c>
      <c r="J140" s="4">
        <v>0.33</v>
      </c>
      <c r="K140" s="1">
        <v>0</v>
      </c>
      <c r="L140" s="1">
        <v>4</v>
      </c>
      <c r="M140" s="32">
        <f>IF(Mecze[[#This Row],[PR]]=0,0,Mecze[[#This Row],[PR]]/Mecze[[#This Row],[CZAS]])</f>
        <v>4.1666666666666664E-2</v>
      </c>
      <c r="N140" s="32">
        <f>IF(Mecze[[#This Row],[OU]]=0,0,Mecze[[#This Row],[OU]]/Mecze[[#This Row],[CZAS]])</f>
        <v>1.0416666666666666E-2</v>
      </c>
      <c r="O140" s="32">
        <f>IF(Mecze[[#This Row],[PC]]=0,0,Mecze[[#This Row],[PC]]/Mecze[[#This Row],[CZAS]])</f>
        <v>8.3333333333333329E-2</v>
      </c>
      <c r="P140" s="32">
        <f>IF(Mecze[[#This Row],[SC]]=0,0,Mecze[[#This Row],[SC]]/Mecze[[#This Row],[CZAS]])</f>
        <v>0.10416666666666667</v>
      </c>
      <c r="Q140" s="32">
        <f>IF(Mecze[[#This Row],[OB]]=0,0,Mecze[[#This Row],[OB]]/Mecze[[#This Row],[CZAS]])</f>
        <v>0</v>
      </c>
      <c r="R140" s="32">
        <f>IF(Mecze[[#This Row],[BR]]=0,0,Mecze[[#This Row],[BR]]/Mecze[[#This Row],[CZAS]])</f>
        <v>1.0416666666666666E-2</v>
      </c>
      <c r="S140" s="44">
        <f>IF(Mecze[[#This Row],[Role]]="BR",SUMPRODUCT(Mecze[[#This Row],[/PR:90]:[/BR:90]],Brudnopis!$E$23:$J$23),0)</f>
        <v>0</v>
      </c>
      <c r="T140" s="44">
        <f>IF(Mecze[[#This Row],[Role]]&lt;&gt;"BR",SUMPRODUCT(Mecze[[#This Row],[/PR:90]:[/BR:90]],Brudnopis!$E$24:$J$24),0)</f>
        <v>0.26041666666666669</v>
      </c>
      <c r="U140" s="44">
        <f>IF(Mecze[[#This Row],[Role]]&lt;&gt;"BR",SUMPRODUCT(Mecze[[#This Row],[/PR:90]:[/BR:90]],Brudnopis!$E$25:$J$25),0)</f>
        <v>0.296875</v>
      </c>
      <c r="V140" s="44">
        <f>IF(Mecze[[#This Row],[Role]]&lt;&gt;"BR",SUMPRODUCT(Mecze[[#This Row],[/PR:90]:[/BR:90]],Brudnopis!$E$26:$J$26),0)</f>
        <v>0.26041666666666663</v>
      </c>
      <c r="W140" s="44">
        <f>IF(Mecze[[#This Row],[Role]]&lt;&gt;"BR",SUMPRODUCT(Mecze[[#This Row],[/PR:90]:[/BR:90]],Brudnopis!$E$27:$J$27),0)</f>
        <v>0.2890625</v>
      </c>
      <c r="X140" s="44">
        <f>IF(Mecze[[#This Row],[Role]]&lt;&gt;"BR",SUMPRODUCT(Mecze[[#This Row],[/PR:90]:[/BR:90]],Brudnopis!$E$28:$J$28),0)</f>
        <v>0.32291666666666669</v>
      </c>
      <c r="Y140" s="35">
        <f>IF(Mecze[[#This Row],[Role]]="BR",Mecze[[#This Row],[/OB:90]]+Mecze[[#This Row],[/PC:90]],SUM(Mecze[[#This Row],[/PR:90]:[/BR:90]]))</f>
        <v>0.24999999999999997</v>
      </c>
      <c r="Z140" s="35">
        <f>IF(Mecze[[#This Row],[KC]]=0,SUM(Mecze[[#This Row],[/BRI]:[/NPI]]),SUM(Mecze[[#This Row],[/BRI]:[/NPI]])*0.6)</f>
        <v>1.4296875000000002</v>
      </c>
      <c r="AA140" s="10">
        <f>IFERROR(Mecze[[#This Row],[BR]]/Mecze[[#This Row],[ST]],0)</f>
        <v>8.3333333333333329E-2</v>
      </c>
      <c r="AB140">
        <f>ROUND(Mecze[[#This Row],[PD]]*Mecze[[#This Row],[%PC]],0)</f>
        <v>8</v>
      </c>
      <c r="AC140">
        <f>ROUND(Mecze[[#This Row],[OD]]*Mecze[[#This Row],[%OU]],0)</f>
        <v>1</v>
      </c>
      <c r="AD140" s="36" t="s">
        <v>46</v>
      </c>
      <c r="AE140" s="36">
        <v>8</v>
      </c>
      <c r="AF140" s="71">
        <v>9.4600000000000009</v>
      </c>
      <c r="AG140" s="37">
        <v>0</v>
      </c>
      <c r="AH140" s="37">
        <v>0</v>
      </c>
      <c r="AI140" s="37">
        <v>96</v>
      </c>
      <c r="AJ140">
        <v>7</v>
      </c>
      <c r="AK140" s="37" t="str">
        <f>VLOOKUP(Mecze[[#This Row],[Match ID]],Meczusie[Mecz]:Meczusie[RodzajMeczu],2,FALSE)</f>
        <v>Liga</v>
      </c>
    </row>
    <row r="141" spans="1:37" x14ac:dyDescent="0.25">
      <c r="A141" s="76">
        <v>104</v>
      </c>
      <c r="B141" s="3" t="s">
        <v>343</v>
      </c>
      <c r="C141" s="2" t="s">
        <v>165</v>
      </c>
      <c r="D141" s="1">
        <v>0</v>
      </c>
      <c r="E141" s="1">
        <v>4</v>
      </c>
      <c r="F141" s="1">
        <v>1</v>
      </c>
      <c r="G141" s="1">
        <v>15</v>
      </c>
      <c r="H141" s="4">
        <v>0.67</v>
      </c>
      <c r="I141" s="1">
        <v>6</v>
      </c>
      <c r="J141" s="4">
        <v>0.17</v>
      </c>
      <c r="K141" s="1">
        <v>0</v>
      </c>
      <c r="L141" s="1">
        <v>2</v>
      </c>
      <c r="M141" s="32">
        <f>IF(Mecze[[#This Row],[PR]]=0,0,Mecze[[#This Row],[PR]]/Mecze[[#This Row],[CZAS]])</f>
        <v>2.0833333333333332E-2</v>
      </c>
      <c r="N141" s="32">
        <f>IF(Mecze[[#This Row],[OU]]=0,0,Mecze[[#This Row],[OU]]/Mecze[[#This Row],[CZAS]])</f>
        <v>1.0416666666666666E-2</v>
      </c>
      <c r="O141" s="32">
        <f>IF(Mecze[[#This Row],[PC]]=0,0,Mecze[[#This Row],[PC]]/Mecze[[#This Row],[CZAS]])</f>
        <v>0.10416666666666667</v>
      </c>
      <c r="P141" s="32">
        <f>IF(Mecze[[#This Row],[SC]]=0,0,Mecze[[#This Row],[SC]]/Mecze[[#This Row],[CZAS]])</f>
        <v>1.0416666666666666E-2</v>
      </c>
      <c r="Q141" s="32">
        <f>IF(Mecze[[#This Row],[OB]]=0,0,Mecze[[#This Row],[OB]]/Mecze[[#This Row],[CZAS]])</f>
        <v>0</v>
      </c>
      <c r="R141" s="32">
        <f>IF(Mecze[[#This Row],[BR]]=0,0,Mecze[[#This Row],[BR]]/Mecze[[#This Row],[CZAS]])</f>
        <v>0</v>
      </c>
      <c r="S141" s="44">
        <f>IF(Mecze[[#This Row],[Role]]="BR",SUMPRODUCT(Mecze[[#This Row],[/PR:90]:[/BR:90]],Brudnopis!$E$23:$J$23),0)</f>
        <v>0</v>
      </c>
      <c r="T141" s="44">
        <f>IF(Mecze[[#This Row],[Role]]&lt;&gt;"BR",SUMPRODUCT(Mecze[[#This Row],[/PR:90]:[/BR:90]],Brudnopis!$E$24:$J$24),0)</f>
        <v>0.15104166666666666</v>
      </c>
      <c r="U141" s="44">
        <f>IF(Mecze[[#This Row],[Role]]&lt;&gt;"BR",SUMPRODUCT(Mecze[[#This Row],[/PR:90]:[/BR:90]],Brudnopis!$E$25:$J$25),0)</f>
        <v>0.19791666666666666</v>
      </c>
      <c r="V141" s="44">
        <f>IF(Mecze[[#This Row],[Role]]&lt;&gt;"BR",SUMPRODUCT(Mecze[[#This Row],[/PR:90]:[/BR:90]],Brudnopis!$E$26:$J$26),0)</f>
        <v>0.14583333333333334</v>
      </c>
      <c r="W141" s="44">
        <f>IF(Mecze[[#This Row],[Role]]&lt;&gt;"BR",SUMPRODUCT(Mecze[[#This Row],[/PR:90]:[/BR:90]],Brudnopis!$E$27:$J$27),0)</f>
        <v>0.19010416666666666</v>
      </c>
      <c r="X141" s="44">
        <f>IF(Mecze[[#This Row],[Role]]&lt;&gt;"BR",SUMPRODUCT(Mecze[[#This Row],[/PR:90]:[/BR:90]],Brudnopis!$E$28:$J$28),0)</f>
        <v>0.125</v>
      </c>
      <c r="Y141" s="35">
        <f>IF(Mecze[[#This Row],[Role]]="BR",Mecze[[#This Row],[/OB:90]]+Mecze[[#This Row],[/PC:90]],SUM(Mecze[[#This Row],[/PR:90]:[/BR:90]]))</f>
        <v>0.14583333333333334</v>
      </c>
      <c r="Z141" s="35">
        <f>IF(Mecze[[#This Row],[KC]]=0,SUM(Mecze[[#This Row],[/BRI]:[/NPI]]),SUM(Mecze[[#This Row],[/BRI]:[/NPI]])*0.6)</f>
        <v>0.80989583333333326</v>
      </c>
      <c r="AA141" s="10">
        <f>IFERROR(Mecze[[#This Row],[BR]]/Mecze[[#This Row],[ST]],0)</f>
        <v>0</v>
      </c>
      <c r="AB141">
        <f>ROUND(Mecze[[#This Row],[PD]]*Mecze[[#This Row],[%PC]],0)</f>
        <v>10</v>
      </c>
      <c r="AC141">
        <f>ROUND(Mecze[[#This Row],[OD]]*Mecze[[#This Row],[%OU]],0)</f>
        <v>1</v>
      </c>
      <c r="AD141" s="36" t="s">
        <v>355</v>
      </c>
      <c r="AE141" s="36">
        <v>8</v>
      </c>
      <c r="AF141" s="71">
        <v>4.26</v>
      </c>
      <c r="AG141" s="37">
        <v>0</v>
      </c>
      <c r="AH141" s="37">
        <v>0</v>
      </c>
      <c r="AI141" s="37">
        <v>96</v>
      </c>
      <c r="AJ141">
        <v>7</v>
      </c>
      <c r="AK141" s="37" t="str">
        <f>VLOOKUP(Mecze[[#This Row],[Match ID]],Meczusie[Mecz]:Meczusie[RodzajMeczu],2,FALSE)</f>
        <v>Liga</v>
      </c>
    </row>
    <row r="142" spans="1:37" x14ac:dyDescent="0.25">
      <c r="A142" s="76">
        <v>1</v>
      </c>
      <c r="B142" s="3" t="s">
        <v>344</v>
      </c>
      <c r="C142" s="2" t="s">
        <v>155</v>
      </c>
      <c r="D142" s="1">
        <v>0</v>
      </c>
      <c r="E142" s="1">
        <v>0</v>
      </c>
      <c r="F142" s="1">
        <v>0</v>
      </c>
      <c r="G142" s="1">
        <v>14</v>
      </c>
      <c r="H142" s="4">
        <v>0.56999999999999995</v>
      </c>
      <c r="I142" s="1">
        <v>0</v>
      </c>
      <c r="J142" s="4"/>
      <c r="K142" s="1">
        <v>10</v>
      </c>
      <c r="L142" s="1">
        <v>0</v>
      </c>
      <c r="M142" s="32">
        <f>IF(Mecze[[#This Row],[PR]]=0,0,Mecze[[#This Row],[PR]]/Mecze[[#This Row],[CZAS]])</f>
        <v>0</v>
      </c>
      <c r="N142" s="32">
        <f>IF(Mecze[[#This Row],[OU]]=0,0,Mecze[[#This Row],[OU]]/Mecze[[#This Row],[CZAS]])</f>
        <v>0</v>
      </c>
      <c r="O142" s="32">
        <f>IF(Mecze[[#This Row],[PC]]=0,0,Mecze[[#This Row],[PC]]/Mecze[[#This Row],[CZAS]])</f>
        <v>8.3333333333333329E-2</v>
      </c>
      <c r="P142" s="32">
        <f>IF(Mecze[[#This Row],[SC]]=0,0,Mecze[[#This Row],[SC]]/Mecze[[#This Row],[CZAS]])</f>
        <v>0</v>
      </c>
      <c r="Q142" s="32">
        <f>IF(Mecze[[#This Row],[OB]]=0,0,Mecze[[#This Row],[OB]]/Mecze[[#This Row],[CZAS]])</f>
        <v>0.10416666666666667</v>
      </c>
      <c r="R142" s="32">
        <f>IF(Mecze[[#This Row],[BR]]=0,0,Mecze[[#This Row],[BR]]/Mecze[[#This Row],[CZAS]])</f>
        <v>0</v>
      </c>
      <c r="S142" s="44">
        <f>IF(Mecze[[#This Row],[Role]]="BR",SUMPRODUCT(Mecze[[#This Row],[/PR:90]:[/BR:90]],Brudnopis!$E$23:$J$23),0)</f>
        <v>0.5625</v>
      </c>
      <c r="T142" s="44">
        <f>IF(Mecze[[#This Row],[Role]]&lt;&gt;"BR",SUMPRODUCT(Mecze[[#This Row],[/PR:90]:[/BR:90]],Brudnopis!$E$24:$J$24),0)</f>
        <v>0</v>
      </c>
      <c r="U142" s="44">
        <f>IF(Mecze[[#This Row],[Role]]&lt;&gt;"BR",SUMPRODUCT(Mecze[[#This Row],[/PR:90]:[/BR:90]],Brudnopis!$E$25:$J$25),0)</f>
        <v>0</v>
      </c>
      <c r="V142" s="44">
        <f>IF(Mecze[[#This Row],[Role]]&lt;&gt;"BR",SUMPRODUCT(Mecze[[#This Row],[/PR:90]:[/BR:90]],Brudnopis!$E$26:$J$26),0)</f>
        <v>0</v>
      </c>
      <c r="W142" s="44">
        <f>IF(Mecze[[#This Row],[Role]]&lt;&gt;"BR",SUMPRODUCT(Mecze[[#This Row],[/PR:90]:[/BR:90]],Brudnopis!$E$27:$J$27),0)</f>
        <v>0</v>
      </c>
      <c r="X142" s="44">
        <f>IF(Mecze[[#This Row],[Role]]&lt;&gt;"BR",SUMPRODUCT(Mecze[[#This Row],[/PR:90]:[/BR:90]],Brudnopis!$E$28:$J$28),0)</f>
        <v>0</v>
      </c>
      <c r="Y142" s="35">
        <f>IF(Mecze[[#This Row],[Role]]="BR",Mecze[[#This Row],[/OB:90]]+Mecze[[#This Row],[/PC:90]],SUM(Mecze[[#This Row],[/PR:90]:[/BR:90]]))</f>
        <v>0.1875</v>
      </c>
      <c r="Z142" s="35">
        <f>IF(Mecze[[#This Row],[KC]]=0,SUM(Mecze[[#This Row],[/BRI]:[/NPI]]),SUM(Mecze[[#This Row],[/BRI]:[/NPI]])*0.6)</f>
        <v>0.5625</v>
      </c>
      <c r="AA142" s="10">
        <f>IFERROR(Mecze[[#This Row],[BR]]/Mecze[[#This Row],[ST]],0)</f>
        <v>0</v>
      </c>
      <c r="AB142">
        <f>ROUND(Mecze[[#This Row],[PD]]*Mecze[[#This Row],[%PC]],0)</f>
        <v>8</v>
      </c>
      <c r="AC142">
        <f>ROUND(Mecze[[#This Row],[OD]]*Mecze[[#This Row],[%OU]],0)</f>
        <v>0</v>
      </c>
      <c r="AD142" s="36" t="s">
        <v>40</v>
      </c>
      <c r="AE142" s="36">
        <v>8</v>
      </c>
      <c r="AF142" s="71">
        <v>8.64</v>
      </c>
      <c r="AG142" s="37">
        <v>0</v>
      </c>
      <c r="AH142" s="37">
        <v>0</v>
      </c>
      <c r="AI142" s="37">
        <v>96</v>
      </c>
      <c r="AJ142">
        <v>5</v>
      </c>
      <c r="AK142" s="37" t="str">
        <f>VLOOKUP(Mecze[[#This Row],[Match ID]],Meczusie[Mecz]:Meczusie[RodzajMeczu],2,FALSE)</f>
        <v>Liga</v>
      </c>
    </row>
    <row r="143" spans="1:37" x14ac:dyDescent="0.25">
      <c r="A143" s="76">
        <v>2</v>
      </c>
      <c r="B143" s="3" t="s">
        <v>345</v>
      </c>
      <c r="C143" s="2" t="s">
        <v>157</v>
      </c>
      <c r="D143" s="1">
        <v>0</v>
      </c>
      <c r="E143" s="1">
        <v>0</v>
      </c>
      <c r="F143" s="1">
        <v>0</v>
      </c>
      <c r="G143" s="1">
        <v>8</v>
      </c>
      <c r="H143" s="4">
        <v>0.38</v>
      </c>
      <c r="I143" s="1">
        <v>4</v>
      </c>
      <c r="J143" s="4">
        <v>0.5</v>
      </c>
      <c r="K143" s="1">
        <v>0</v>
      </c>
      <c r="L143" s="1">
        <v>4</v>
      </c>
      <c r="M143" s="32">
        <f>IF(Mecze[[#This Row],[PR]]=0,0,Mecze[[#This Row],[PR]]/Mecze[[#This Row],[CZAS]])</f>
        <v>4.1666666666666664E-2</v>
      </c>
      <c r="N143" s="32">
        <f>IF(Mecze[[#This Row],[OU]]=0,0,Mecze[[#This Row],[OU]]/Mecze[[#This Row],[CZAS]])</f>
        <v>2.0833333333333332E-2</v>
      </c>
      <c r="O143" s="32">
        <f>IF(Mecze[[#This Row],[PC]]=0,0,Mecze[[#This Row],[PC]]/Mecze[[#This Row],[CZAS]])</f>
        <v>3.125E-2</v>
      </c>
      <c r="P143" s="32">
        <f>IF(Mecze[[#This Row],[SC]]=0,0,Mecze[[#This Row],[SC]]/Mecze[[#This Row],[CZAS]])</f>
        <v>0</v>
      </c>
      <c r="Q143" s="32">
        <f>IF(Mecze[[#This Row],[OB]]=0,0,Mecze[[#This Row],[OB]]/Mecze[[#This Row],[CZAS]])</f>
        <v>0</v>
      </c>
      <c r="R143" s="32">
        <f>IF(Mecze[[#This Row],[BR]]=0,0,Mecze[[#This Row],[BR]]/Mecze[[#This Row],[CZAS]])</f>
        <v>0</v>
      </c>
      <c r="S143" s="44">
        <f>IF(Mecze[[#This Row],[Role]]="BR",SUMPRODUCT(Mecze[[#This Row],[/PR:90]:[/BR:90]],Brudnopis!$E$23:$J$23),0)</f>
        <v>0</v>
      </c>
      <c r="T143" s="44">
        <f>IF(Mecze[[#This Row],[Role]]&lt;&gt;"BR",SUMPRODUCT(Mecze[[#This Row],[/PR:90]:[/BR:90]],Brudnopis!$E$24:$J$24),0)</f>
        <v>0.10416666666666666</v>
      </c>
      <c r="U143" s="44">
        <f>IF(Mecze[[#This Row],[Role]]&lt;&gt;"BR",SUMPRODUCT(Mecze[[#This Row],[/PR:90]:[/BR:90]],Brudnopis!$E$25:$J$25),0)</f>
        <v>0.109375</v>
      </c>
      <c r="V143" s="44">
        <f>IF(Mecze[[#This Row],[Role]]&lt;&gt;"BR",SUMPRODUCT(Mecze[[#This Row],[/PR:90]:[/BR:90]],Brudnopis!$E$26:$J$26),0)</f>
        <v>9.375E-2</v>
      </c>
      <c r="W143" s="44">
        <f>IF(Mecze[[#This Row],[Role]]&lt;&gt;"BR",SUMPRODUCT(Mecze[[#This Row],[/PR:90]:[/BR:90]],Brudnopis!$E$27:$J$27),0)</f>
        <v>9.375E-2</v>
      </c>
      <c r="X143" s="44">
        <f>IF(Mecze[[#This Row],[Role]]&lt;&gt;"BR",SUMPRODUCT(Mecze[[#This Row],[/PR:90]:[/BR:90]],Brudnopis!$E$28:$J$28),0)</f>
        <v>3.125E-2</v>
      </c>
      <c r="Y143" s="35">
        <f>IF(Mecze[[#This Row],[Role]]="BR",Mecze[[#This Row],[/OB:90]]+Mecze[[#This Row],[/PC:90]],SUM(Mecze[[#This Row],[/PR:90]:[/BR:90]]))</f>
        <v>9.375E-2</v>
      </c>
      <c r="Z143" s="35">
        <f>IF(Mecze[[#This Row],[KC]]=0,SUM(Mecze[[#This Row],[/BRI]:[/NPI]]),SUM(Mecze[[#This Row],[/BRI]:[/NPI]])*0.6)</f>
        <v>0.43229166666666663</v>
      </c>
      <c r="AA143" s="10">
        <f>IFERROR(Mecze[[#This Row],[BR]]/Mecze[[#This Row],[ST]],0)</f>
        <v>0</v>
      </c>
      <c r="AB143">
        <f>ROUND(Mecze[[#This Row],[PD]]*Mecze[[#This Row],[%PC]],0)</f>
        <v>3</v>
      </c>
      <c r="AC143">
        <f>ROUND(Mecze[[#This Row],[OD]]*Mecze[[#This Row],[%OU]],0)</f>
        <v>2</v>
      </c>
      <c r="AD143" s="36" t="s">
        <v>47</v>
      </c>
      <c r="AE143" s="36">
        <v>8</v>
      </c>
      <c r="AF143" s="71">
        <v>5.88</v>
      </c>
      <c r="AG143" s="37">
        <v>0</v>
      </c>
      <c r="AH143" s="37">
        <v>0</v>
      </c>
      <c r="AI143" s="37">
        <v>96</v>
      </c>
      <c r="AJ143">
        <v>5</v>
      </c>
      <c r="AK143" s="37" t="str">
        <f>VLOOKUP(Mecze[[#This Row],[Match ID]],Meczusie[Mecz]:Meczusie[RodzajMeczu],2,FALSE)</f>
        <v>Liga</v>
      </c>
    </row>
    <row r="144" spans="1:37" x14ac:dyDescent="0.25">
      <c r="A144" s="76">
        <v>4</v>
      </c>
      <c r="B144" s="3" t="s">
        <v>346</v>
      </c>
      <c r="C144" s="2" t="s">
        <v>157</v>
      </c>
      <c r="D144" s="1">
        <v>0</v>
      </c>
      <c r="E144" s="1">
        <v>0</v>
      </c>
      <c r="F144" s="1">
        <v>0</v>
      </c>
      <c r="G144" s="1">
        <v>8</v>
      </c>
      <c r="H144" s="4">
        <v>0.5</v>
      </c>
      <c r="I144" s="1">
        <v>3</v>
      </c>
      <c r="J144" s="4">
        <v>0.67</v>
      </c>
      <c r="K144" s="1">
        <v>0</v>
      </c>
      <c r="L144" s="1">
        <v>7</v>
      </c>
      <c r="M144" s="32">
        <f>IF(Mecze[[#This Row],[PR]]=0,0,Mecze[[#This Row],[PR]]/Mecze[[#This Row],[CZAS]])</f>
        <v>7.2916666666666671E-2</v>
      </c>
      <c r="N144" s="32">
        <f>IF(Mecze[[#This Row],[OU]]=0,0,Mecze[[#This Row],[OU]]/Mecze[[#This Row],[CZAS]])</f>
        <v>2.0833333333333332E-2</v>
      </c>
      <c r="O144" s="32">
        <f>IF(Mecze[[#This Row],[PC]]=0,0,Mecze[[#This Row],[PC]]/Mecze[[#This Row],[CZAS]])</f>
        <v>4.1666666666666664E-2</v>
      </c>
      <c r="P144" s="32">
        <f>IF(Mecze[[#This Row],[SC]]=0,0,Mecze[[#This Row],[SC]]/Mecze[[#This Row],[CZAS]])</f>
        <v>0</v>
      </c>
      <c r="Q144" s="32">
        <f>IF(Mecze[[#This Row],[OB]]=0,0,Mecze[[#This Row],[OB]]/Mecze[[#This Row],[CZAS]])</f>
        <v>0</v>
      </c>
      <c r="R144" s="32">
        <f>IF(Mecze[[#This Row],[BR]]=0,0,Mecze[[#This Row],[BR]]/Mecze[[#This Row],[CZAS]])</f>
        <v>0</v>
      </c>
      <c r="S144" s="44">
        <f>IF(Mecze[[#This Row],[Role]]="BR",SUMPRODUCT(Mecze[[#This Row],[/PR:90]:[/BR:90]],Brudnopis!$E$23:$J$23),0)</f>
        <v>0</v>
      </c>
      <c r="T144" s="44">
        <f>IF(Mecze[[#This Row],[Role]]&lt;&gt;"BR",SUMPRODUCT(Mecze[[#This Row],[/PR:90]:[/BR:90]],Brudnopis!$E$24:$J$24),0)</f>
        <v>0.14583333333333334</v>
      </c>
      <c r="U144" s="44">
        <f>IF(Mecze[[#This Row],[Role]]&lt;&gt;"BR",SUMPRODUCT(Mecze[[#This Row],[/PR:90]:[/BR:90]],Brudnopis!$E$25:$J$25),0)</f>
        <v>0.15625</v>
      </c>
      <c r="V144" s="44">
        <f>IF(Mecze[[#This Row],[Role]]&lt;&gt;"BR",SUMPRODUCT(Mecze[[#This Row],[/PR:90]:[/BR:90]],Brudnopis!$E$26:$J$26),0)</f>
        <v>0.13541666666666666</v>
      </c>
      <c r="W144" s="44">
        <f>IF(Mecze[[#This Row],[Role]]&lt;&gt;"BR",SUMPRODUCT(Mecze[[#This Row],[/PR:90]:[/BR:90]],Brudnopis!$E$27:$J$27),0)</f>
        <v>0.1328125</v>
      </c>
      <c r="X144" s="44">
        <f>IF(Mecze[[#This Row],[Role]]&lt;&gt;"BR",SUMPRODUCT(Mecze[[#This Row],[/PR:90]:[/BR:90]],Brudnopis!$E$28:$J$28),0)</f>
        <v>4.1666666666666664E-2</v>
      </c>
      <c r="Y144" s="35">
        <f>IF(Mecze[[#This Row],[Role]]="BR",Mecze[[#This Row],[/OB:90]]+Mecze[[#This Row],[/PC:90]],SUM(Mecze[[#This Row],[/PR:90]:[/BR:90]]))</f>
        <v>0.13541666666666666</v>
      </c>
      <c r="Z144" s="35">
        <f>IF(Mecze[[#This Row],[KC]]=0,SUM(Mecze[[#This Row],[/BRI]:[/NPI]]),SUM(Mecze[[#This Row],[/BRI]:[/NPI]])*0.6)</f>
        <v>0.61197916666666663</v>
      </c>
      <c r="AA144" s="10">
        <f>IFERROR(Mecze[[#This Row],[BR]]/Mecze[[#This Row],[ST]],0)</f>
        <v>0</v>
      </c>
      <c r="AB144">
        <f>ROUND(Mecze[[#This Row],[PD]]*Mecze[[#This Row],[%PC]],0)</f>
        <v>4</v>
      </c>
      <c r="AC144">
        <f>ROUND(Mecze[[#This Row],[OD]]*Mecze[[#This Row],[%OU]],0)</f>
        <v>2</v>
      </c>
      <c r="AD144" s="36" t="s">
        <v>47</v>
      </c>
      <c r="AE144" s="36">
        <v>8</v>
      </c>
      <c r="AF144" s="71">
        <v>6.51</v>
      </c>
      <c r="AG144" s="37">
        <v>0</v>
      </c>
      <c r="AH144" s="37">
        <v>0</v>
      </c>
      <c r="AI144" s="37">
        <v>96</v>
      </c>
      <c r="AJ144">
        <v>5</v>
      </c>
      <c r="AK144" s="37" t="str">
        <f>VLOOKUP(Mecze[[#This Row],[Match ID]],Meczusie[Mecz]:Meczusie[RodzajMeczu],2,FALSE)</f>
        <v>Liga</v>
      </c>
    </row>
    <row r="145" spans="1:37" x14ac:dyDescent="0.25">
      <c r="A145" s="76">
        <v>5</v>
      </c>
      <c r="B145" s="3" t="s">
        <v>347</v>
      </c>
      <c r="C145" s="2" t="s">
        <v>157</v>
      </c>
      <c r="D145" s="1">
        <v>0</v>
      </c>
      <c r="E145" s="1">
        <v>0</v>
      </c>
      <c r="F145" s="1">
        <v>0</v>
      </c>
      <c r="G145" s="1">
        <v>2</v>
      </c>
      <c r="H145" s="4">
        <v>1</v>
      </c>
      <c r="I145" s="1">
        <v>0</v>
      </c>
      <c r="J145" s="4"/>
      <c r="K145" s="1">
        <v>0</v>
      </c>
      <c r="L145" s="1">
        <v>0</v>
      </c>
      <c r="M145" s="32">
        <f>IF(Mecze[[#This Row],[PR]]=0,0,Mecze[[#This Row],[PR]]/Mecze[[#This Row],[CZAS]])</f>
        <v>0</v>
      </c>
      <c r="N145" s="32">
        <f>IF(Mecze[[#This Row],[OU]]=0,0,Mecze[[#This Row],[OU]]/Mecze[[#This Row],[CZAS]])</f>
        <v>0</v>
      </c>
      <c r="O145" s="32">
        <f>IF(Mecze[[#This Row],[PC]]=0,0,Mecze[[#This Row],[PC]]/Mecze[[#This Row],[CZAS]])</f>
        <v>2.0833333333333332E-2</v>
      </c>
      <c r="P145" s="32">
        <f>IF(Mecze[[#This Row],[SC]]=0,0,Mecze[[#This Row],[SC]]/Mecze[[#This Row],[CZAS]])</f>
        <v>0</v>
      </c>
      <c r="Q145" s="32">
        <f>IF(Mecze[[#This Row],[OB]]=0,0,Mecze[[#This Row],[OB]]/Mecze[[#This Row],[CZAS]])</f>
        <v>0</v>
      </c>
      <c r="R145" s="32">
        <f>IF(Mecze[[#This Row],[BR]]=0,0,Mecze[[#This Row],[BR]]/Mecze[[#This Row],[CZAS]])</f>
        <v>0</v>
      </c>
      <c r="S145" s="44">
        <f>IF(Mecze[[#This Row],[Role]]="BR",SUMPRODUCT(Mecze[[#This Row],[/PR:90]:[/BR:90]],Brudnopis!$E$23:$J$23),0)</f>
        <v>0</v>
      </c>
      <c r="T145" s="44">
        <f>IF(Mecze[[#This Row],[Role]]&lt;&gt;"BR",SUMPRODUCT(Mecze[[#This Row],[/PR:90]:[/BR:90]],Brudnopis!$E$24:$J$24),0)</f>
        <v>2.0833333333333332E-2</v>
      </c>
      <c r="U145" s="44">
        <f>IF(Mecze[[#This Row],[Role]]&lt;&gt;"BR",SUMPRODUCT(Mecze[[#This Row],[/PR:90]:[/BR:90]],Brudnopis!$E$25:$J$25),0)</f>
        <v>3.125E-2</v>
      </c>
      <c r="V145" s="44">
        <f>IF(Mecze[[#This Row],[Role]]&lt;&gt;"BR",SUMPRODUCT(Mecze[[#This Row],[/PR:90]:[/BR:90]],Brudnopis!$E$26:$J$26),0)</f>
        <v>2.0833333333333332E-2</v>
      </c>
      <c r="W145" s="44">
        <f>IF(Mecze[[#This Row],[Role]]&lt;&gt;"BR",SUMPRODUCT(Mecze[[#This Row],[/PR:90]:[/BR:90]],Brudnopis!$E$27:$J$27),0)</f>
        <v>3.125E-2</v>
      </c>
      <c r="X145" s="44">
        <f>IF(Mecze[[#This Row],[Role]]&lt;&gt;"BR",SUMPRODUCT(Mecze[[#This Row],[/PR:90]:[/BR:90]],Brudnopis!$E$28:$J$28),0)</f>
        <v>2.0833333333333332E-2</v>
      </c>
      <c r="Y145" s="35">
        <f>IF(Mecze[[#This Row],[Role]]="BR",Mecze[[#This Row],[/OB:90]]+Mecze[[#This Row],[/PC:90]],SUM(Mecze[[#This Row],[/PR:90]:[/BR:90]]))</f>
        <v>2.0833333333333332E-2</v>
      </c>
      <c r="Z145" s="35">
        <f>IF(Mecze[[#This Row],[KC]]=0,SUM(Mecze[[#This Row],[/BRI]:[/NPI]]),SUM(Mecze[[#This Row],[/BRI]:[/NPI]])*0.6)</f>
        <v>0.12499999999999999</v>
      </c>
      <c r="AA145" s="10">
        <f>IFERROR(Mecze[[#This Row],[BR]]/Mecze[[#This Row],[ST]],0)</f>
        <v>0</v>
      </c>
      <c r="AB145">
        <f>ROUND(Mecze[[#This Row],[PD]]*Mecze[[#This Row],[%PC]],0)</f>
        <v>2</v>
      </c>
      <c r="AC145">
        <f>ROUND(Mecze[[#This Row],[OD]]*Mecze[[#This Row],[%OU]],0)</f>
        <v>0</v>
      </c>
      <c r="AD145" s="36" t="s">
        <v>175</v>
      </c>
      <c r="AE145" s="36">
        <v>8</v>
      </c>
      <c r="AF145" s="71">
        <v>3.92</v>
      </c>
      <c r="AG145" s="37">
        <v>0</v>
      </c>
      <c r="AH145" s="37">
        <v>0</v>
      </c>
      <c r="AI145" s="37">
        <v>96</v>
      </c>
      <c r="AJ145">
        <v>5</v>
      </c>
      <c r="AK145" s="37" t="str">
        <f>VLOOKUP(Mecze[[#This Row],[Match ID]],Meczusie[Mecz]:Meczusie[RodzajMeczu],2,FALSE)</f>
        <v>Liga</v>
      </c>
    </row>
    <row r="146" spans="1:37" x14ac:dyDescent="0.25">
      <c r="A146" s="76">
        <v>3</v>
      </c>
      <c r="B146" s="3" t="s">
        <v>348</v>
      </c>
      <c r="C146" s="2" t="s">
        <v>157</v>
      </c>
      <c r="D146" s="1">
        <v>0</v>
      </c>
      <c r="E146" s="1">
        <v>0</v>
      </c>
      <c r="F146" s="1">
        <v>0</v>
      </c>
      <c r="G146" s="1">
        <v>27</v>
      </c>
      <c r="H146" s="4">
        <v>0.56000000000000005</v>
      </c>
      <c r="I146" s="1">
        <v>33</v>
      </c>
      <c r="J146" s="4">
        <v>0.55000000000000004</v>
      </c>
      <c r="K146" s="1">
        <v>0</v>
      </c>
      <c r="L146" s="1">
        <v>21</v>
      </c>
      <c r="M146" s="32">
        <f>IF(Mecze[[#This Row],[PR]]=0,0,Mecze[[#This Row],[PR]]/Mecze[[#This Row],[CZAS]])</f>
        <v>0.21875</v>
      </c>
      <c r="N146" s="32">
        <f>IF(Mecze[[#This Row],[OU]]=0,0,Mecze[[#This Row],[OU]]/Mecze[[#This Row],[CZAS]])</f>
        <v>0.1875</v>
      </c>
      <c r="O146" s="32">
        <f>IF(Mecze[[#This Row],[PC]]=0,0,Mecze[[#This Row],[PC]]/Mecze[[#This Row],[CZAS]])</f>
        <v>0.15625</v>
      </c>
      <c r="P146" s="32">
        <f>IF(Mecze[[#This Row],[SC]]=0,0,Mecze[[#This Row],[SC]]/Mecze[[#This Row],[CZAS]])</f>
        <v>0</v>
      </c>
      <c r="Q146" s="32">
        <f>IF(Mecze[[#This Row],[OB]]=0,0,Mecze[[#This Row],[OB]]/Mecze[[#This Row],[CZAS]])</f>
        <v>0</v>
      </c>
      <c r="R146" s="32">
        <f>IF(Mecze[[#This Row],[BR]]=0,0,Mecze[[#This Row],[BR]]/Mecze[[#This Row],[CZAS]])</f>
        <v>0</v>
      </c>
      <c r="S146" s="44">
        <f>IF(Mecze[[#This Row],[Role]]="BR",SUMPRODUCT(Mecze[[#This Row],[/PR:90]:[/BR:90]],Brudnopis!$E$23:$J$23),0)</f>
        <v>0</v>
      </c>
      <c r="T146" s="44">
        <f>IF(Mecze[[#This Row],[Role]]&lt;&gt;"BR",SUMPRODUCT(Mecze[[#This Row],[/PR:90]:[/BR:90]],Brudnopis!$E$24:$J$24),0)</f>
        <v>0.65625</v>
      </c>
      <c r="U146" s="44">
        <f>IF(Mecze[[#This Row],[Role]]&lt;&gt;"BR",SUMPRODUCT(Mecze[[#This Row],[/PR:90]:[/BR:90]],Brudnopis!$E$25:$J$25),0)</f>
        <v>0.640625</v>
      </c>
      <c r="V146" s="44">
        <f>IF(Mecze[[#This Row],[Role]]&lt;&gt;"BR",SUMPRODUCT(Mecze[[#This Row],[/PR:90]:[/BR:90]],Brudnopis!$E$26:$J$26),0)</f>
        <v>0.5625</v>
      </c>
      <c r="W146" s="44">
        <f>IF(Mecze[[#This Row],[Role]]&lt;&gt;"BR",SUMPRODUCT(Mecze[[#This Row],[/PR:90]:[/BR:90]],Brudnopis!$E$27:$J$27),0)</f>
        <v>0.5390625</v>
      </c>
      <c r="X146" s="44">
        <f>IF(Mecze[[#This Row],[Role]]&lt;&gt;"BR",SUMPRODUCT(Mecze[[#This Row],[/PR:90]:[/BR:90]],Brudnopis!$E$28:$J$28),0)</f>
        <v>0.15625</v>
      </c>
      <c r="Y146" s="35">
        <f>IF(Mecze[[#This Row],[Role]]="BR",Mecze[[#This Row],[/OB:90]]+Mecze[[#This Row],[/PC:90]],SUM(Mecze[[#This Row],[/PR:90]:[/BR:90]]))</f>
        <v>0.5625</v>
      </c>
      <c r="Z146" s="35">
        <f>IF(Mecze[[#This Row],[KC]]=0,SUM(Mecze[[#This Row],[/BRI]:[/NPI]]),SUM(Mecze[[#This Row],[/BRI]:[/NPI]])*0.6)</f>
        <v>2.5546875</v>
      </c>
      <c r="AA146" s="10">
        <f>IFERROR(Mecze[[#This Row],[BR]]/Mecze[[#This Row],[ST]],0)</f>
        <v>0</v>
      </c>
      <c r="AB146">
        <f>ROUND(Mecze[[#This Row],[PD]]*Mecze[[#This Row],[%PC]],0)</f>
        <v>15</v>
      </c>
      <c r="AC146">
        <f>ROUND(Mecze[[#This Row],[OD]]*Mecze[[#This Row],[%OU]],0)</f>
        <v>18</v>
      </c>
      <c r="AD146" s="36" t="s">
        <v>174</v>
      </c>
      <c r="AE146" s="36">
        <v>8</v>
      </c>
      <c r="AF146" s="71">
        <v>9.4499999999999993</v>
      </c>
      <c r="AG146" s="37">
        <v>0</v>
      </c>
      <c r="AH146" s="37">
        <v>0</v>
      </c>
      <c r="AI146" s="37">
        <v>96</v>
      </c>
      <c r="AJ146">
        <v>5</v>
      </c>
      <c r="AK146" s="37" t="str">
        <f>VLOOKUP(Mecze[[#This Row],[Match ID]],Meczusie[Mecz]:Meczusie[RodzajMeczu],2,FALSE)</f>
        <v>Liga</v>
      </c>
    </row>
    <row r="147" spans="1:37" x14ac:dyDescent="0.25">
      <c r="A147" s="76">
        <v>6</v>
      </c>
      <c r="B147" s="3" t="s">
        <v>349</v>
      </c>
      <c r="C147" s="2" t="s">
        <v>160</v>
      </c>
      <c r="D147" s="1">
        <v>0</v>
      </c>
      <c r="E147" s="1">
        <v>0</v>
      </c>
      <c r="F147" s="1">
        <v>0</v>
      </c>
      <c r="G147" s="1">
        <v>10</v>
      </c>
      <c r="H147" s="4">
        <v>0.6</v>
      </c>
      <c r="I147" s="1">
        <v>1</v>
      </c>
      <c r="J147" s="4">
        <v>1</v>
      </c>
      <c r="K147" s="1">
        <v>0</v>
      </c>
      <c r="L147" s="1">
        <v>2</v>
      </c>
      <c r="M147" s="32">
        <f>IF(Mecze[[#This Row],[PR]]=0,0,Mecze[[#This Row],[PR]]/Mecze[[#This Row],[CZAS]])</f>
        <v>2.0833333333333332E-2</v>
      </c>
      <c r="N147" s="32">
        <f>IF(Mecze[[#This Row],[OU]]=0,0,Mecze[[#This Row],[OU]]/Mecze[[#This Row],[CZAS]])</f>
        <v>1.0416666666666666E-2</v>
      </c>
      <c r="O147" s="32">
        <f>IF(Mecze[[#This Row],[PC]]=0,0,Mecze[[#This Row],[PC]]/Mecze[[#This Row],[CZAS]])</f>
        <v>6.25E-2</v>
      </c>
      <c r="P147" s="32">
        <f>IF(Mecze[[#This Row],[SC]]=0,0,Mecze[[#This Row],[SC]]/Mecze[[#This Row],[CZAS]])</f>
        <v>0</v>
      </c>
      <c r="Q147" s="32">
        <f>IF(Mecze[[#This Row],[OB]]=0,0,Mecze[[#This Row],[OB]]/Mecze[[#This Row],[CZAS]])</f>
        <v>0</v>
      </c>
      <c r="R147" s="32">
        <f>IF(Mecze[[#This Row],[BR]]=0,0,Mecze[[#This Row],[BR]]/Mecze[[#This Row],[CZAS]])</f>
        <v>0</v>
      </c>
      <c r="S147" s="44">
        <f>IF(Mecze[[#This Row],[Role]]="BR",SUMPRODUCT(Mecze[[#This Row],[/PR:90]:[/BR:90]],Brudnopis!$E$23:$J$23),0)</f>
        <v>0</v>
      </c>
      <c r="T147" s="44">
        <f>IF(Mecze[[#This Row],[Role]]&lt;&gt;"BR",SUMPRODUCT(Mecze[[#This Row],[/PR:90]:[/BR:90]],Brudnopis!$E$24:$J$24),0)</f>
        <v>9.8958333333333329E-2</v>
      </c>
      <c r="U147" s="44">
        <f>IF(Mecze[[#This Row],[Role]]&lt;&gt;"BR",SUMPRODUCT(Mecze[[#This Row],[/PR:90]:[/BR:90]],Brudnopis!$E$25:$J$25),0)</f>
        <v>0.125</v>
      </c>
      <c r="V147" s="44">
        <f>IF(Mecze[[#This Row],[Role]]&lt;&gt;"BR",SUMPRODUCT(Mecze[[#This Row],[/PR:90]:[/BR:90]],Brudnopis!$E$26:$J$26),0)</f>
        <v>9.375E-2</v>
      </c>
      <c r="W147" s="44">
        <f>IF(Mecze[[#This Row],[Role]]&lt;&gt;"BR",SUMPRODUCT(Mecze[[#This Row],[/PR:90]:[/BR:90]],Brudnopis!$E$27:$J$27),0)</f>
        <v>0.1171875</v>
      </c>
      <c r="X147" s="44">
        <f>IF(Mecze[[#This Row],[Role]]&lt;&gt;"BR",SUMPRODUCT(Mecze[[#This Row],[/PR:90]:[/BR:90]],Brudnopis!$E$28:$J$28),0)</f>
        <v>6.25E-2</v>
      </c>
      <c r="Y147" s="35">
        <f>IF(Mecze[[#This Row],[Role]]="BR",Mecze[[#This Row],[/OB:90]]+Mecze[[#This Row],[/PC:90]],SUM(Mecze[[#This Row],[/PR:90]:[/BR:90]]))</f>
        <v>9.375E-2</v>
      </c>
      <c r="Z147" s="35">
        <f>IF(Mecze[[#This Row],[KC]]=0,SUM(Mecze[[#This Row],[/BRI]:[/NPI]]),SUM(Mecze[[#This Row],[/BRI]:[/NPI]])*0.6)</f>
        <v>0.49739583333333331</v>
      </c>
      <c r="AA147" s="10">
        <f>IFERROR(Mecze[[#This Row],[BR]]/Mecze[[#This Row],[ST]],0)</f>
        <v>0</v>
      </c>
      <c r="AB147">
        <f>ROUND(Mecze[[#This Row],[PD]]*Mecze[[#This Row],[%PC]],0)</f>
        <v>6</v>
      </c>
      <c r="AC147">
        <f>ROUND(Mecze[[#This Row],[OD]]*Mecze[[#This Row],[%OU]],0)</f>
        <v>1</v>
      </c>
      <c r="AD147" s="36" t="s">
        <v>41</v>
      </c>
      <c r="AE147" s="36">
        <v>8</v>
      </c>
      <c r="AF147" s="71">
        <v>5.55</v>
      </c>
      <c r="AG147" s="37">
        <v>0</v>
      </c>
      <c r="AH147" s="37">
        <v>0</v>
      </c>
      <c r="AI147" s="37">
        <v>96</v>
      </c>
      <c r="AJ147">
        <v>5</v>
      </c>
      <c r="AK147" s="37" t="str">
        <f>VLOOKUP(Mecze[[#This Row],[Match ID]],Meczusie[Mecz]:Meczusie[RodzajMeczu],2,FALSE)</f>
        <v>Liga</v>
      </c>
    </row>
    <row r="148" spans="1:37" x14ac:dyDescent="0.25">
      <c r="A148" s="76">
        <v>7</v>
      </c>
      <c r="B148" s="3" t="s">
        <v>350</v>
      </c>
      <c r="C148" s="2" t="s">
        <v>160</v>
      </c>
      <c r="D148" s="1">
        <v>2</v>
      </c>
      <c r="E148" s="1">
        <v>3</v>
      </c>
      <c r="F148" s="1">
        <v>3</v>
      </c>
      <c r="G148" s="1">
        <v>8</v>
      </c>
      <c r="H148" s="4">
        <v>0.5</v>
      </c>
      <c r="I148" s="1">
        <v>1</v>
      </c>
      <c r="J148" s="4">
        <v>1</v>
      </c>
      <c r="K148" s="1">
        <v>0</v>
      </c>
      <c r="L148" s="1">
        <v>2</v>
      </c>
      <c r="M148" s="32">
        <f>IF(Mecze[[#This Row],[PR]]=0,0,Mecze[[#This Row],[PR]]/Mecze[[#This Row],[CZAS]])</f>
        <v>2.0833333333333332E-2</v>
      </c>
      <c r="N148" s="32">
        <f>IF(Mecze[[#This Row],[OU]]=0,0,Mecze[[#This Row],[OU]]/Mecze[[#This Row],[CZAS]])</f>
        <v>1.0416666666666666E-2</v>
      </c>
      <c r="O148" s="32">
        <f>IF(Mecze[[#This Row],[PC]]=0,0,Mecze[[#This Row],[PC]]/Mecze[[#This Row],[CZAS]])</f>
        <v>4.1666666666666664E-2</v>
      </c>
      <c r="P148" s="32">
        <f>IF(Mecze[[#This Row],[SC]]=0,0,Mecze[[#This Row],[SC]]/Mecze[[#This Row],[CZAS]])</f>
        <v>3.125E-2</v>
      </c>
      <c r="Q148" s="32">
        <f>IF(Mecze[[#This Row],[OB]]=0,0,Mecze[[#This Row],[OB]]/Mecze[[#This Row],[CZAS]])</f>
        <v>0</v>
      </c>
      <c r="R148" s="32">
        <f>IF(Mecze[[#This Row],[BR]]=0,0,Mecze[[#This Row],[BR]]/Mecze[[#This Row],[CZAS]])</f>
        <v>2.0833333333333332E-2</v>
      </c>
      <c r="S148" s="44">
        <f>IF(Mecze[[#This Row],[Role]]="BR",SUMPRODUCT(Mecze[[#This Row],[/PR:90]:[/BR:90]],Brudnopis!$E$23:$J$23),0)</f>
        <v>0</v>
      </c>
      <c r="T148" s="44">
        <f>IF(Mecze[[#This Row],[Role]]&lt;&gt;"BR",SUMPRODUCT(Mecze[[#This Row],[/PR:90]:[/BR:90]],Brudnopis!$E$24:$J$24),0)</f>
        <v>0.140625</v>
      </c>
      <c r="U148" s="44">
        <f>IF(Mecze[[#This Row],[Role]]&lt;&gt;"BR",SUMPRODUCT(Mecze[[#This Row],[/PR:90]:[/BR:90]],Brudnopis!$E$25:$J$25),0)</f>
        <v>0.15625</v>
      </c>
      <c r="V148" s="44">
        <f>IF(Mecze[[#This Row],[Role]]&lt;&gt;"BR",SUMPRODUCT(Mecze[[#This Row],[/PR:90]:[/BR:90]],Brudnopis!$E$26:$J$26),0)</f>
        <v>0.14583333333333331</v>
      </c>
      <c r="W148" s="44">
        <f>IF(Mecze[[#This Row],[Role]]&lt;&gt;"BR",SUMPRODUCT(Mecze[[#This Row],[/PR:90]:[/BR:90]],Brudnopis!$E$27:$J$27),0)</f>
        <v>0.15885416666666666</v>
      </c>
      <c r="X148" s="44">
        <f>IF(Mecze[[#This Row],[Role]]&lt;&gt;"BR",SUMPRODUCT(Mecze[[#This Row],[/PR:90]:[/BR:90]],Brudnopis!$E$28:$J$28),0)</f>
        <v>0.16666666666666666</v>
      </c>
      <c r="Y148" s="35">
        <f>IF(Mecze[[#This Row],[Role]]="BR",Mecze[[#This Row],[/OB:90]]+Mecze[[#This Row],[/PC:90]],SUM(Mecze[[#This Row],[/PR:90]:[/BR:90]]))</f>
        <v>0.12499999999999999</v>
      </c>
      <c r="Z148" s="35">
        <f>IF(Mecze[[#This Row],[KC]]=0,SUM(Mecze[[#This Row],[/BRI]:[/NPI]]),SUM(Mecze[[#This Row],[/BRI]:[/NPI]])*0.6)</f>
        <v>0.76822916666666663</v>
      </c>
      <c r="AA148" s="10">
        <f>IFERROR(Mecze[[#This Row],[BR]]/Mecze[[#This Row],[ST]],0)</f>
        <v>0.66666666666666663</v>
      </c>
      <c r="AB148">
        <f>ROUND(Mecze[[#This Row],[PD]]*Mecze[[#This Row],[%PC]],0)</f>
        <v>4</v>
      </c>
      <c r="AC148">
        <f>ROUND(Mecze[[#This Row],[OD]]*Mecze[[#This Row],[%OU]],0)</f>
        <v>1</v>
      </c>
      <c r="AD148" s="36" t="s">
        <v>67</v>
      </c>
      <c r="AE148" s="36">
        <v>8</v>
      </c>
      <c r="AF148" s="71">
        <v>10.46</v>
      </c>
      <c r="AG148" s="37">
        <v>0</v>
      </c>
      <c r="AH148" s="37">
        <v>0</v>
      </c>
      <c r="AI148" s="37">
        <v>96</v>
      </c>
      <c r="AJ148">
        <v>5</v>
      </c>
      <c r="AK148" s="37" t="str">
        <f>VLOOKUP(Mecze[[#This Row],[Match ID]],Meczusie[Mecz]:Meczusie[RodzajMeczu],2,FALSE)</f>
        <v>Liga</v>
      </c>
    </row>
    <row r="149" spans="1:37" x14ac:dyDescent="0.25">
      <c r="A149" s="76">
        <v>8</v>
      </c>
      <c r="B149" s="3" t="s">
        <v>351</v>
      </c>
      <c r="C149" s="2" t="s">
        <v>160</v>
      </c>
      <c r="D149" s="1">
        <v>0</v>
      </c>
      <c r="E149" s="1">
        <v>0</v>
      </c>
      <c r="F149" s="1">
        <v>0</v>
      </c>
      <c r="G149" s="1">
        <v>19</v>
      </c>
      <c r="H149" s="4">
        <v>0.79</v>
      </c>
      <c r="I149" s="1">
        <v>0</v>
      </c>
      <c r="J149" s="4"/>
      <c r="K149" s="1">
        <v>0</v>
      </c>
      <c r="L149" s="1">
        <v>1</v>
      </c>
      <c r="M149" s="32">
        <f>IF(Mecze[[#This Row],[PR]]=0,0,Mecze[[#This Row],[PR]]/Mecze[[#This Row],[CZAS]])</f>
        <v>1.0416666666666666E-2</v>
      </c>
      <c r="N149" s="32">
        <f>IF(Mecze[[#This Row],[OU]]=0,0,Mecze[[#This Row],[OU]]/Mecze[[#This Row],[CZAS]])</f>
        <v>0</v>
      </c>
      <c r="O149" s="32">
        <f>IF(Mecze[[#This Row],[PC]]=0,0,Mecze[[#This Row],[PC]]/Mecze[[#This Row],[CZAS]])</f>
        <v>0.15625</v>
      </c>
      <c r="P149" s="32">
        <f>IF(Mecze[[#This Row],[SC]]=0,0,Mecze[[#This Row],[SC]]/Mecze[[#This Row],[CZAS]])</f>
        <v>0</v>
      </c>
      <c r="Q149" s="32">
        <f>IF(Mecze[[#This Row],[OB]]=0,0,Mecze[[#This Row],[OB]]/Mecze[[#This Row],[CZAS]])</f>
        <v>0</v>
      </c>
      <c r="R149" s="32">
        <f>IF(Mecze[[#This Row],[BR]]=0,0,Mecze[[#This Row],[BR]]/Mecze[[#This Row],[CZAS]])</f>
        <v>0</v>
      </c>
      <c r="S149" s="44">
        <f>IF(Mecze[[#This Row],[Role]]="BR",SUMPRODUCT(Mecze[[#This Row],[/PR:90]:[/BR:90]],Brudnopis!$E$23:$J$23),0)</f>
        <v>0</v>
      </c>
      <c r="T149" s="44">
        <f>IF(Mecze[[#This Row],[Role]]&lt;&gt;"BR",SUMPRODUCT(Mecze[[#This Row],[/PR:90]:[/BR:90]],Brudnopis!$E$24:$J$24),0)</f>
        <v>0.16666666666666666</v>
      </c>
      <c r="U149" s="44">
        <f>IF(Mecze[[#This Row],[Role]]&lt;&gt;"BR",SUMPRODUCT(Mecze[[#This Row],[/PR:90]:[/BR:90]],Brudnopis!$E$25:$J$25),0)</f>
        <v>0.24479166666666666</v>
      </c>
      <c r="V149" s="44">
        <f>IF(Mecze[[#This Row],[Role]]&lt;&gt;"BR",SUMPRODUCT(Mecze[[#This Row],[/PR:90]:[/BR:90]],Brudnopis!$E$26:$J$26),0)</f>
        <v>0.16666666666666666</v>
      </c>
      <c r="W149" s="44">
        <f>IF(Mecze[[#This Row],[Role]]&lt;&gt;"BR",SUMPRODUCT(Mecze[[#This Row],[/PR:90]:[/BR:90]],Brudnopis!$E$27:$J$27),0)</f>
        <v>0.2421875</v>
      </c>
      <c r="X149" s="44">
        <f>IF(Mecze[[#This Row],[Role]]&lt;&gt;"BR",SUMPRODUCT(Mecze[[#This Row],[/PR:90]:[/BR:90]],Brudnopis!$E$28:$J$28),0)</f>
        <v>0.15625</v>
      </c>
      <c r="Y149" s="35">
        <f>IF(Mecze[[#This Row],[Role]]="BR",Mecze[[#This Row],[/OB:90]]+Mecze[[#This Row],[/PC:90]],SUM(Mecze[[#This Row],[/PR:90]:[/BR:90]]))</f>
        <v>0.16666666666666666</v>
      </c>
      <c r="Z149" s="35">
        <f>IF(Mecze[[#This Row],[KC]]=0,SUM(Mecze[[#This Row],[/BRI]:[/NPI]]),SUM(Mecze[[#This Row],[/BRI]:[/NPI]])*0.6)</f>
        <v>0.9765625</v>
      </c>
      <c r="AA149" s="10">
        <f>IFERROR(Mecze[[#This Row],[BR]]/Mecze[[#This Row],[ST]],0)</f>
        <v>0</v>
      </c>
      <c r="AB149">
        <f>ROUND(Mecze[[#This Row],[PD]]*Mecze[[#This Row],[%PC]],0)</f>
        <v>15</v>
      </c>
      <c r="AC149">
        <f>ROUND(Mecze[[#This Row],[OD]]*Mecze[[#This Row],[%OU]],0)</f>
        <v>0</v>
      </c>
      <c r="AD149" s="36" t="s">
        <v>67</v>
      </c>
      <c r="AE149" s="36">
        <v>8</v>
      </c>
      <c r="AF149" s="71">
        <v>5.34</v>
      </c>
      <c r="AG149" s="37">
        <v>0</v>
      </c>
      <c r="AH149" s="37">
        <v>0</v>
      </c>
      <c r="AI149" s="37">
        <v>96</v>
      </c>
      <c r="AJ149">
        <v>5</v>
      </c>
      <c r="AK149" s="37" t="str">
        <f>VLOOKUP(Mecze[[#This Row],[Match ID]],Meczusie[Mecz]:Meczusie[RodzajMeczu],2,FALSE)</f>
        <v>Liga</v>
      </c>
    </row>
    <row r="150" spans="1:37" x14ac:dyDescent="0.25">
      <c r="A150" s="76">
        <v>10</v>
      </c>
      <c r="B150" s="3" t="s">
        <v>352</v>
      </c>
      <c r="C150" s="2" t="s">
        <v>165</v>
      </c>
      <c r="D150" s="1">
        <v>1</v>
      </c>
      <c r="E150" s="1">
        <v>4</v>
      </c>
      <c r="F150" s="1">
        <v>3</v>
      </c>
      <c r="G150" s="1">
        <v>13</v>
      </c>
      <c r="H150" s="4">
        <v>0.69</v>
      </c>
      <c r="I150" s="1">
        <v>1</v>
      </c>
      <c r="J150" s="4">
        <v>1</v>
      </c>
      <c r="K150" s="1">
        <v>0</v>
      </c>
      <c r="L150" s="1">
        <v>0</v>
      </c>
      <c r="M150" s="32">
        <f>IF(Mecze[[#This Row],[PR]]=0,0,Mecze[[#This Row],[PR]]/Mecze[[#This Row],[CZAS]])</f>
        <v>0</v>
      </c>
      <c r="N150" s="32">
        <f>IF(Mecze[[#This Row],[OU]]=0,0,Mecze[[#This Row],[OU]]/Mecze[[#This Row],[CZAS]])</f>
        <v>1.0416666666666666E-2</v>
      </c>
      <c r="O150" s="32">
        <f>IF(Mecze[[#This Row],[PC]]=0,0,Mecze[[#This Row],[PC]]/Mecze[[#This Row],[CZAS]])</f>
        <v>9.375E-2</v>
      </c>
      <c r="P150" s="32">
        <f>IF(Mecze[[#This Row],[SC]]=0,0,Mecze[[#This Row],[SC]]/Mecze[[#This Row],[CZAS]])</f>
        <v>3.125E-2</v>
      </c>
      <c r="Q150" s="32">
        <f>IF(Mecze[[#This Row],[OB]]=0,0,Mecze[[#This Row],[OB]]/Mecze[[#This Row],[CZAS]])</f>
        <v>0</v>
      </c>
      <c r="R150" s="32">
        <f>IF(Mecze[[#This Row],[BR]]=0,0,Mecze[[#This Row],[BR]]/Mecze[[#This Row],[CZAS]])</f>
        <v>1.0416666666666666E-2</v>
      </c>
      <c r="S150" s="44">
        <f>IF(Mecze[[#This Row],[Role]]="BR",SUMPRODUCT(Mecze[[#This Row],[/PR:90]:[/BR:90]],Brudnopis!$E$23:$J$23),0)</f>
        <v>0</v>
      </c>
      <c r="T150" s="44">
        <f>IF(Mecze[[#This Row],[Role]]&lt;&gt;"BR",SUMPRODUCT(Mecze[[#This Row],[/PR:90]:[/BR:90]],Brudnopis!$E$24:$J$24),0)</f>
        <v>0.15625</v>
      </c>
      <c r="U150" s="44">
        <f>IF(Mecze[[#This Row],[Role]]&lt;&gt;"BR",SUMPRODUCT(Mecze[[#This Row],[/PR:90]:[/BR:90]],Brudnopis!$E$25:$J$25),0)</f>
        <v>0.19791666666666666</v>
      </c>
      <c r="V150" s="44">
        <f>IF(Mecze[[#This Row],[Role]]&lt;&gt;"BR",SUMPRODUCT(Mecze[[#This Row],[/PR:90]:[/BR:90]],Brudnopis!$E$26:$J$26),0)</f>
        <v>0.15625000000000003</v>
      </c>
      <c r="W150" s="44">
        <f>IF(Mecze[[#This Row],[Role]]&lt;&gt;"BR",SUMPRODUCT(Mecze[[#This Row],[/PR:90]:[/BR:90]],Brudnopis!$E$27:$J$27),0)</f>
        <v>0.20052083333333334</v>
      </c>
      <c r="X150" s="44">
        <f>IF(Mecze[[#This Row],[Role]]&lt;&gt;"BR",SUMPRODUCT(Mecze[[#This Row],[/PR:90]:[/BR:90]],Brudnopis!$E$28:$J$28),0)</f>
        <v>0.1875</v>
      </c>
      <c r="Y150" s="35">
        <f>IF(Mecze[[#This Row],[Role]]="BR",Mecze[[#This Row],[/OB:90]]+Mecze[[#This Row],[/PC:90]],SUM(Mecze[[#This Row],[/PR:90]:[/BR:90]]))</f>
        <v>0.14583333333333334</v>
      </c>
      <c r="Z150" s="35">
        <f>IF(Mecze[[#This Row],[KC]]=0,SUM(Mecze[[#This Row],[/BRI]:[/NPI]]),SUM(Mecze[[#This Row],[/BRI]:[/NPI]])*0.6)</f>
        <v>0.8984375</v>
      </c>
      <c r="AA150" s="10">
        <f>IFERROR(Mecze[[#This Row],[BR]]/Mecze[[#This Row],[ST]],0)</f>
        <v>0.25</v>
      </c>
      <c r="AB150">
        <f>ROUND(Mecze[[#This Row],[PD]]*Mecze[[#This Row],[%PC]],0)</f>
        <v>9</v>
      </c>
      <c r="AC150">
        <f>ROUND(Mecze[[#This Row],[OD]]*Mecze[[#This Row],[%OU]],0)</f>
        <v>1</v>
      </c>
      <c r="AD150" s="36" t="s">
        <v>44</v>
      </c>
      <c r="AE150" s="36">
        <v>8</v>
      </c>
      <c r="AF150" s="71">
        <v>8.2200000000000006</v>
      </c>
      <c r="AG150" s="37">
        <v>0</v>
      </c>
      <c r="AH150" s="37">
        <v>0</v>
      </c>
      <c r="AI150" s="37">
        <v>96</v>
      </c>
      <c r="AJ150">
        <v>5</v>
      </c>
      <c r="AK150" s="37" t="str">
        <f>VLOOKUP(Mecze[[#This Row],[Match ID]],Meczusie[Mecz]:Meczusie[RodzajMeczu],2,FALSE)</f>
        <v>Liga</v>
      </c>
    </row>
    <row r="151" spans="1:37" x14ac:dyDescent="0.25">
      <c r="A151" s="76">
        <v>11</v>
      </c>
      <c r="B151" s="3" t="s">
        <v>353</v>
      </c>
      <c r="C151" s="2" t="s">
        <v>165</v>
      </c>
      <c r="D151" s="1">
        <v>0</v>
      </c>
      <c r="E151" s="1">
        <v>1</v>
      </c>
      <c r="F151" s="1">
        <v>1</v>
      </c>
      <c r="G151" s="1">
        <v>5</v>
      </c>
      <c r="H151" s="4">
        <v>0.8</v>
      </c>
      <c r="I151" s="1">
        <v>1</v>
      </c>
      <c r="J151" s="4">
        <v>0</v>
      </c>
      <c r="K151" s="1">
        <v>0</v>
      </c>
      <c r="L151" s="1">
        <v>0</v>
      </c>
      <c r="M151" s="32">
        <f>IF(Mecze[[#This Row],[PR]]=0,0,Mecze[[#This Row],[PR]]/Mecze[[#This Row],[CZAS]])</f>
        <v>0</v>
      </c>
      <c r="N151" s="32">
        <f>IF(Mecze[[#This Row],[OU]]=0,0,Mecze[[#This Row],[OU]]/Mecze[[#This Row],[CZAS]])</f>
        <v>0</v>
      </c>
      <c r="O151" s="32">
        <f>IF(Mecze[[#This Row],[PC]]=0,0,Mecze[[#This Row],[PC]]/Mecze[[#This Row],[CZAS]])</f>
        <v>4.1666666666666664E-2</v>
      </c>
      <c r="P151" s="32">
        <f>IF(Mecze[[#This Row],[SC]]=0,0,Mecze[[#This Row],[SC]]/Mecze[[#This Row],[CZAS]])</f>
        <v>1.0416666666666666E-2</v>
      </c>
      <c r="Q151" s="32">
        <f>IF(Mecze[[#This Row],[OB]]=0,0,Mecze[[#This Row],[OB]]/Mecze[[#This Row],[CZAS]])</f>
        <v>0</v>
      </c>
      <c r="R151" s="32">
        <f>IF(Mecze[[#This Row],[BR]]=0,0,Mecze[[#This Row],[BR]]/Mecze[[#This Row],[CZAS]])</f>
        <v>0</v>
      </c>
      <c r="S151" s="44">
        <f>IF(Mecze[[#This Row],[Role]]="BR",SUMPRODUCT(Mecze[[#This Row],[/PR:90]:[/BR:90]],Brudnopis!$E$23:$J$23),0)</f>
        <v>0</v>
      </c>
      <c r="T151" s="44">
        <f>IF(Mecze[[#This Row],[Role]]&lt;&gt;"BR",SUMPRODUCT(Mecze[[#This Row],[/PR:90]:[/BR:90]],Brudnopis!$E$24:$J$24),0)</f>
        <v>5.2083333333333329E-2</v>
      </c>
      <c r="U151" s="44">
        <f>IF(Mecze[[#This Row],[Role]]&lt;&gt;"BR",SUMPRODUCT(Mecze[[#This Row],[/PR:90]:[/BR:90]],Brudnopis!$E$25:$J$25),0)</f>
        <v>7.2916666666666671E-2</v>
      </c>
      <c r="V151" s="44">
        <f>IF(Mecze[[#This Row],[Role]]&lt;&gt;"BR",SUMPRODUCT(Mecze[[#This Row],[/PR:90]:[/BR:90]],Brudnopis!$E$26:$J$26),0)</f>
        <v>5.2083333333333329E-2</v>
      </c>
      <c r="W151" s="44">
        <f>IF(Mecze[[#This Row],[Role]]&lt;&gt;"BR",SUMPRODUCT(Mecze[[#This Row],[/PR:90]:[/BR:90]],Brudnopis!$E$27:$J$27),0)</f>
        <v>7.2916666666666671E-2</v>
      </c>
      <c r="X151" s="44">
        <f>IF(Mecze[[#This Row],[Role]]&lt;&gt;"BR",SUMPRODUCT(Mecze[[#This Row],[/PR:90]:[/BR:90]],Brudnopis!$E$28:$J$28),0)</f>
        <v>6.25E-2</v>
      </c>
      <c r="Y151" s="35">
        <f>IF(Mecze[[#This Row],[Role]]="BR",Mecze[[#This Row],[/OB:90]]+Mecze[[#This Row],[/PC:90]],SUM(Mecze[[#This Row],[/PR:90]:[/BR:90]]))</f>
        <v>5.2083333333333329E-2</v>
      </c>
      <c r="Z151" s="35">
        <f>IF(Mecze[[#This Row],[KC]]=0,SUM(Mecze[[#This Row],[/BRI]:[/NPI]]),SUM(Mecze[[#This Row],[/BRI]:[/NPI]])*0.6)</f>
        <v>0.3125</v>
      </c>
      <c r="AA151" s="10">
        <f>IFERROR(Mecze[[#This Row],[BR]]/Mecze[[#This Row],[ST]],0)</f>
        <v>0</v>
      </c>
      <c r="AB151">
        <f>ROUND(Mecze[[#This Row],[PD]]*Mecze[[#This Row],[%PC]],0)</f>
        <v>4</v>
      </c>
      <c r="AC151">
        <f>ROUND(Mecze[[#This Row],[OD]]*Mecze[[#This Row],[%OU]],0)</f>
        <v>0</v>
      </c>
      <c r="AD151" s="36" t="s">
        <v>46</v>
      </c>
      <c r="AE151" s="36">
        <v>8</v>
      </c>
      <c r="AF151" s="71">
        <v>6.4</v>
      </c>
      <c r="AG151" s="37">
        <v>0</v>
      </c>
      <c r="AH151" s="37">
        <v>0</v>
      </c>
      <c r="AI151" s="37">
        <v>96</v>
      </c>
      <c r="AJ151">
        <v>5</v>
      </c>
      <c r="AK151" s="37" t="str">
        <f>VLOOKUP(Mecze[[#This Row],[Match ID]],Meczusie[Mecz]:Meczusie[RodzajMeczu],2,FALSE)</f>
        <v>Liga</v>
      </c>
    </row>
    <row r="152" spans="1:37" x14ac:dyDescent="0.25">
      <c r="A152" s="76">
        <v>9</v>
      </c>
      <c r="B152" s="3" t="s">
        <v>354</v>
      </c>
      <c r="C152" s="2" t="s">
        <v>165</v>
      </c>
      <c r="D152" s="1">
        <v>0</v>
      </c>
      <c r="E152" s="1">
        <v>1</v>
      </c>
      <c r="F152" s="1">
        <v>1</v>
      </c>
      <c r="G152" s="1">
        <v>12</v>
      </c>
      <c r="H152" s="4">
        <v>0.75</v>
      </c>
      <c r="I152" s="1">
        <v>1</v>
      </c>
      <c r="J152" s="4">
        <v>0</v>
      </c>
      <c r="K152" s="1">
        <v>0</v>
      </c>
      <c r="L152" s="1">
        <v>1</v>
      </c>
      <c r="M152" s="32">
        <f>IF(Mecze[[#This Row],[PR]]=0,0,Mecze[[#This Row],[PR]]/Mecze[[#This Row],[CZAS]])</f>
        <v>1.0416666666666666E-2</v>
      </c>
      <c r="N152" s="32">
        <f>IF(Mecze[[#This Row],[OU]]=0,0,Mecze[[#This Row],[OU]]/Mecze[[#This Row],[CZAS]])</f>
        <v>0</v>
      </c>
      <c r="O152" s="32">
        <f>IF(Mecze[[#This Row],[PC]]=0,0,Mecze[[#This Row],[PC]]/Mecze[[#This Row],[CZAS]])</f>
        <v>9.375E-2</v>
      </c>
      <c r="P152" s="32">
        <f>IF(Mecze[[#This Row],[SC]]=0,0,Mecze[[#This Row],[SC]]/Mecze[[#This Row],[CZAS]])</f>
        <v>1.0416666666666666E-2</v>
      </c>
      <c r="Q152" s="32">
        <f>IF(Mecze[[#This Row],[OB]]=0,0,Mecze[[#This Row],[OB]]/Mecze[[#This Row],[CZAS]])</f>
        <v>0</v>
      </c>
      <c r="R152" s="32">
        <f>IF(Mecze[[#This Row],[BR]]=0,0,Mecze[[#This Row],[BR]]/Mecze[[#This Row],[CZAS]])</f>
        <v>0</v>
      </c>
      <c r="S152" s="44">
        <f>IF(Mecze[[#This Row],[Role]]="BR",SUMPRODUCT(Mecze[[#This Row],[/PR:90]:[/BR:90]],Brudnopis!$E$23:$J$23),0)</f>
        <v>0</v>
      </c>
      <c r="T152" s="44">
        <f>IF(Mecze[[#This Row],[Role]]&lt;&gt;"BR",SUMPRODUCT(Mecze[[#This Row],[/PR:90]:[/BR:90]],Brudnopis!$E$24:$J$24),0)</f>
        <v>0.11458333333333334</v>
      </c>
      <c r="U152" s="44">
        <f>IF(Mecze[[#This Row],[Role]]&lt;&gt;"BR",SUMPRODUCT(Mecze[[#This Row],[/PR:90]:[/BR:90]],Brudnopis!$E$25:$J$25),0)</f>
        <v>0.16145833333333331</v>
      </c>
      <c r="V152" s="44">
        <f>IF(Mecze[[#This Row],[Role]]&lt;&gt;"BR",SUMPRODUCT(Mecze[[#This Row],[/PR:90]:[/BR:90]],Brudnopis!$E$26:$J$26),0)</f>
        <v>0.11458333333333334</v>
      </c>
      <c r="W152" s="44">
        <f>IF(Mecze[[#This Row],[Role]]&lt;&gt;"BR",SUMPRODUCT(Mecze[[#This Row],[/PR:90]:[/BR:90]],Brudnopis!$E$27:$J$27),0)</f>
        <v>0.15885416666666666</v>
      </c>
      <c r="X152" s="44">
        <f>IF(Mecze[[#This Row],[Role]]&lt;&gt;"BR",SUMPRODUCT(Mecze[[#This Row],[/PR:90]:[/BR:90]],Brudnopis!$E$28:$J$28),0)</f>
        <v>0.11458333333333333</v>
      </c>
      <c r="Y152" s="35">
        <f>IF(Mecze[[#This Row],[Role]]="BR",Mecze[[#This Row],[/OB:90]]+Mecze[[#This Row],[/PC:90]],SUM(Mecze[[#This Row],[/PR:90]:[/BR:90]]))</f>
        <v>0.11458333333333334</v>
      </c>
      <c r="Z152" s="35">
        <f>IF(Mecze[[#This Row],[KC]]=0,SUM(Mecze[[#This Row],[/BRI]:[/NPI]]),SUM(Mecze[[#This Row],[/BRI]:[/NPI]])*0.6)</f>
        <v>0.6640625</v>
      </c>
      <c r="AA152" s="10">
        <f>IFERROR(Mecze[[#This Row],[BR]]/Mecze[[#This Row],[ST]],0)</f>
        <v>0</v>
      </c>
      <c r="AB152">
        <f>ROUND(Mecze[[#This Row],[PD]]*Mecze[[#This Row],[%PC]],0)</f>
        <v>9</v>
      </c>
      <c r="AC152">
        <f>ROUND(Mecze[[#This Row],[OD]]*Mecze[[#This Row],[%OU]],0)</f>
        <v>0</v>
      </c>
      <c r="AD152" s="36" t="s">
        <v>46</v>
      </c>
      <c r="AE152" s="36">
        <v>8</v>
      </c>
      <c r="AF152" s="71">
        <v>5.48</v>
      </c>
      <c r="AG152" s="37">
        <v>0</v>
      </c>
      <c r="AH152" s="37">
        <v>0</v>
      </c>
      <c r="AI152" s="37">
        <v>96</v>
      </c>
      <c r="AJ152">
        <v>5</v>
      </c>
      <c r="AK152" s="37" t="str">
        <f>VLOOKUP(Mecze[[#This Row],[Match ID]],Meczusie[Mecz]:Meczusie[RodzajMeczu],2,FALSE)</f>
        <v>Liga</v>
      </c>
    </row>
    <row r="153" spans="1:37" x14ac:dyDescent="0.25">
      <c r="A153" s="76">
        <v>1</v>
      </c>
      <c r="B153" s="3" t="s">
        <v>169</v>
      </c>
      <c r="C153" s="2" t="s">
        <v>155</v>
      </c>
      <c r="D153" s="1">
        <v>0</v>
      </c>
      <c r="E153" s="1">
        <v>0</v>
      </c>
      <c r="F153" s="1">
        <v>0</v>
      </c>
      <c r="G153" s="1">
        <v>7</v>
      </c>
      <c r="H153" s="4">
        <v>0.56999999999999995</v>
      </c>
      <c r="I153" s="1">
        <v>0</v>
      </c>
      <c r="J153" s="4"/>
      <c r="K153" s="1">
        <v>7</v>
      </c>
      <c r="L153" s="1">
        <v>0</v>
      </c>
      <c r="M153" s="32">
        <f>IF(Mecze[[#This Row],[PR]]=0,0,Mecze[[#This Row],[PR]]/Mecze[[#This Row],[CZAS]])</f>
        <v>0</v>
      </c>
      <c r="N153" s="32">
        <f>IF(Mecze[[#This Row],[OU]]=0,0,Mecze[[#This Row],[OU]]/Mecze[[#This Row],[CZAS]])</f>
        <v>0</v>
      </c>
      <c r="O153" s="32">
        <f>IF(Mecze[[#This Row],[PC]]=0,0,Mecze[[#This Row],[PC]]/Mecze[[#This Row],[CZAS]])</f>
        <v>4.0816326530612242E-2</v>
      </c>
      <c r="P153" s="32">
        <f>IF(Mecze[[#This Row],[SC]]=0,0,Mecze[[#This Row],[SC]]/Mecze[[#This Row],[CZAS]])</f>
        <v>0</v>
      </c>
      <c r="Q153" s="32">
        <f>IF(Mecze[[#This Row],[OB]]=0,0,Mecze[[#This Row],[OB]]/Mecze[[#This Row],[CZAS]])</f>
        <v>7.1428571428571425E-2</v>
      </c>
      <c r="R153" s="32">
        <f>IF(Mecze[[#This Row],[BR]]=0,0,Mecze[[#This Row],[BR]]/Mecze[[#This Row],[CZAS]])</f>
        <v>0</v>
      </c>
      <c r="S153" s="44">
        <f>IF(Mecze[[#This Row],[Role]]="BR",SUMPRODUCT(Mecze[[#This Row],[/PR:90]:[/BR:90]],Brudnopis!$E$23:$J$23),0)</f>
        <v>0.33673469387755101</v>
      </c>
      <c r="T153" s="44">
        <f>IF(Mecze[[#This Row],[Role]]&lt;&gt;"BR",SUMPRODUCT(Mecze[[#This Row],[/PR:90]:[/BR:90]],Brudnopis!$E$24:$J$24),0)</f>
        <v>0</v>
      </c>
      <c r="U153" s="44">
        <f>IF(Mecze[[#This Row],[Role]]&lt;&gt;"BR",SUMPRODUCT(Mecze[[#This Row],[/PR:90]:[/BR:90]],Brudnopis!$E$25:$J$25),0)</f>
        <v>0</v>
      </c>
      <c r="V153" s="44">
        <f>IF(Mecze[[#This Row],[Role]]&lt;&gt;"BR",SUMPRODUCT(Mecze[[#This Row],[/PR:90]:[/BR:90]],Brudnopis!$E$26:$J$26),0)</f>
        <v>0</v>
      </c>
      <c r="W153" s="44">
        <f>IF(Mecze[[#This Row],[Role]]&lt;&gt;"BR",SUMPRODUCT(Mecze[[#This Row],[/PR:90]:[/BR:90]],Brudnopis!$E$27:$J$27),0)</f>
        <v>0</v>
      </c>
      <c r="X153" s="44">
        <f>IF(Mecze[[#This Row],[Role]]&lt;&gt;"BR",SUMPRODUCT(Mecze[[#This Row],[/PR:90]:[/BR:90]],Brudnopis!$E$28:$J$28),0)</f>
        <v>0</v>
      </c>
      <c r="Y153" s="35">
        <f>IF(Mecze[[#This Row],[Role]]="BR",Mecze[[#This Row],[/OB:90]]+Mecze[[#This Row],[/PC:90]],SUM(Mecze[[#This Row],[/PR:90]:[/BR:90]]))</f>
        <v>0.11224489795918366</v>
      </c>
      <c r="Z153" s="35">
        <f>IF(Mecze[[#This Row],[KC]]=0,SUM(Mecze[[#This Row],[/BRI]:[/NPI]]),SUM(Mecze[[#This Row],[/BRI]:[/NPI]])*0.6)</f>
        <v>0.33673469387755101</v>
      </c>
      <c r="AA153" s="10">
        <f>IFERROR(Mecze[[#This Row],[BR]]/Mecze[[#This Row],[ST]],0)</f>
        <v>0</v>
      </c>
      <c r="AB153">
        <f>ROUND(Mecze[[#This Row],[PD]]*Mecze[[#This Row],[%PC]],0)</f>
        <v>4</v>
      </c>
      <c r="AC153">
        <f>ROUND(Mecze[[#This Row],[OD]]*Mecze[[#This Row],[%OU]],0)</f>
        <v>0</v>
      </c>
      <c r="AD153" s="36" t="s">
        <v>40</v>
      </c>
      <c r="AE153" s="36">
        <v>9</v>
      </c>
      <c r="AF153" s="71">
        <v>10.71</v>
      </c>
      <c r="AG153" s="37">
        <v>0</v>
      </c>
      <c r="AH153" s="37">
        <v>0</v>
      </c>
      <c r="AI153" s="37">
        <v>98</v>
      </c>
      <c r="AJ153">
        <v>1</v>
      </c>
      <c r="AK153" s="37" t="str">
        <f>VLOOKUP(Mecze[[#This Row],[Match ID]],Meczusie[Mecz]:Meczusie[RodzajMeczu],2,FALSE)</f>
        <v>Towarzyski</v>
      </c>
    </row>
    <row r="154" spans="1:37" x14ac:dyDescent="0.25">
      <c r="A154" s="76">
        <v>18</v>
      </c>
      <c r="B154" s="3" t="s">
        <v>211</v>
      </c>
      <c r="C154" s="2" t="s">
        <v>157</v>
      </c>
      <c r="D154" s="1">
        <v>0</v>
      </c>
      <c r="E154" s="1">
        <v>0</v>
      </c>
      <c r="F154" s="1">
        <v>0</v>
      </c>
      <c r="G154" s="1">
        <v>12</v>
      </c>
      <c r="H154" s="4">
        <v>0.33</v>
      </c>
      <c r="I154" s="1">
        <v>15</v>
      </c>
      <c r="J154" s="4">
        <v>0.53</v>
      </c>
      <c r="K154" s="1">
        <v>0</v>
      </c>
      <c r="L154" s="1">
        <v>16</v>
      </c>
      <c r="M154" s="32">
        <f>IF(Mecze[[#This Row],[PR]]=0,0,Mecze[[#This Row],[PR]]/Mecze[[#This Row],[CZAS]])</f>
        <v>0.16326530612244897</v>
      </c>
      <c r="N154" s="32">
        <f>IF(Mecze[[#This Row],[OU]]=0,0,Mecze[[#This Row],[OU]]/Mecze[[#This Row],[CZAS]])</f>
        <v>8.1632653061224483E-2</v>
      </c>
      <c r="O154" s="32">
        <f>IF(Mecze[[#This Row],[PC]]=0,0,Mecze[[#This Row],[PC]]/Mecze[[#This Row],[CZAS]])</f>
        <v>4.0816326530612242E-2</v>
      </c>
      <c r="P154" s="32">
        <f>IF(Mecze[[#This Row],[SC]]=0,0,Mecze[[#This Row],[SC]]/Mecze[[#This Row],[CZAS]])</f>
        <v>0</v>
      </c>
      <c r="Q154" s="32">
        <f>IF(Mecze[[#This Row],[OB]]=0,0,Mecze[[#This Row],[OB]]/Mecze[[#This Row],[CZAS]])</f>
        <v>0</v>
      </c>
      <c r="R154" s="32">
        <f>IF(Mecze[[#This Row],[BR]]=0,0,Mecze[[#This Row],[BR]]/Mecze[[#This Row],[CZAS]])</f>
        <v>0</v>
      </c>
      <c r="S154" s="44">
        <f>IF(Mecze[[#This Row],[Role]]="BR",SUMPRODUCT(Mecze[[#This Row],[/PR:90]:[/BR:90]],Brudnopis!$E$23:$J$23),0)</f>
        <v>0</v>
      </c>
      <c r="T154" s="44">
        <f>IF(Mecze[[#This Row],[Role]]&lt;&gt;"BR",SUMPRODUCT(Mecze[[#This Row],[/PR:90]:[/BR:90]],Brudnopis!$E$24:$J$24),0)</f>
        <v>0.32653061224489793</v>
      </c>
      <c r="U154" s="44">
        <f>IF(Mecze[[#This Row],[Role]]&lt;&gt;"BR",SUMPRODUCT(Mecze[[#This Row],[/PR:90]:[/BR:90]],Brudnopis!$E$25:$J$25),0)</f>
        <v>0.30612244897959184</v>
      </c>
      <c r="V154" s="44">
        <f>IF(Mecze[[#This Row],[Role]]&lt;&gt;"BR",SUMPRODUCT(Mecze[[#This Row],[/PR:90]:[/BR:90]],Brudnopis!$E$26:$J$26),0)</f>
        <v>0.2857142857142857</v>
      </c>
      <c r="W154" s="44">
        <f>IF(Mecze[[#This Row],[Role]]&lt;&gt;"BR",SUMPRODUCT(Mecze[[#This Row],[/PR:90]:[/BR:90]],Brudnopis!$E$27:$J$27),0)</f>
        <v>0.24489795918367346</v>
      </c>
      <c r="X154" s="44">
        <f>IF(Mecze[[#This Row],[Role]]&lt;&gt;"BR",SUMPRODUCT(Mecze[[#This Row],[/PR:90]:[/BR:90]],Brudnopis!$E$28:$J$28),0)</f>
        <v>4.0816326530612242E-2</v>
      </c>
      <c r="Y154" s="35">
        <f>IF(Mecze[[#This Row],[Role]]="BR",Mecze[[#This Row],[/OB:90]]+Mecze[[#This Row],[/PC:90]],SUM(Mecze[[#This Row],[/PR:90]:[/BR:90]]))</f>
        <v>0.2857142857142857</v>
      </c>
      <c r="Z154" s="35">
        <f>IF(Mecze[[#This Row],[KC]]=0,SUM(Mecze[[#This Row],[/BRI]:[/NPI]]),SUM(Mecze[[#This Row],[/BRI]:[/NPI]])*0.6)</f>
        <v>1.2040816326530612</v>
      </c>
      <c r="AA154" s="10">
        <f>IFERROR(Mecze[[#This Row],[BR]]/Mecze[[#This Row],[ST]],0)</f>
        <v>0</v>
      </c>
      <c r="AB154">
        <f>ROUND(Mecze[[#This Row],[PD]]*Mecze[[#This Row],[%PC]],0)</f>
        <v>4</v>
      </c>
      <c r="AC154">
        <f>ROUND(Mecze[[#This Row],[OD]]*Mecze[[#This Row],[%OU]],0)</f>
        <v>8</v>
      </c>
      <c r="AD154" s="36" t="s">
        <v>47</v>
      </c>
      <c r="AE154" s="36">
        <v>9</v>
      </c>
      <c r="AF154" s="71">
        <v>11.52</v>
      </c>
      <c r="AG154" s="37">
        <v>0</v>
      </c>
      <c r="AH154" s="37">
        <v>0</v>
      </c>
      <c r="AI154" s="37">
        <v>98</v>
      </c>
      <c r="AJ154">
        <v>1</v>
      </c>
      <c r="AK154" s="37" t="str">
        <f>VLOOKUP(Mecze[[#This Row],[Match ID]],Meczusie[Mecz]:Meczusie[RodzajMeczu],2,FALSE)</f>
        <v>Towarzyski</v>
      </c>
    </row>
    <row r="155" spans="1:37" x14ac:dyDescent="0.25">
      <c r="A155" s="76">
        <v>2</v>
      </c>
      <c r="B155" s="3" t="s">
        <v>156</v>
      </c>
      <c r="C155" s="2" t="s">
        <v>157</v>
      </c>
      <c r="D155" s="1">
        <v>0</v>
      </c>
      <c r="E155" s="1">
        <v>0</v>
      </c>
      <c r="F155" s="1">
        <v>0</v>
      </c>
      <c r="G155" s="1">
        <v>5</v>
      </c>
      <c r="H155" s="4">
        <v>0.6</v>
      </c>
      <c r="I155" s="1">
        <v>2</v>
      </c>
      <c r="J155" s="4">
        <v>0.5</v>
      </c>
      <c r="K155" s="1">
        <v>0</v>
      </c>
      <c r="L155" s="1">
        <v>5</v>
      </c>
      <c r="M155" s="32">
        <f>IF(Mecze[[#This Row],[PR]]=0,0,Mecze[[#This Row],[PR]]/Mecze[[#This Row],[CZAS]])</f>
        <v>5.1020408163265307E-2</v>
      </c>
      <c r="N155" s="32">
        <f>IF(Mecze[[#This Row],[OU]]=0,0,Mecze[[#This Row],[OU]]/Mecze[[#This Row],[CZAS]])</f>
        <v>1.020408163265306E-2</v>
      </c>
      <c r="O155" s="32">
        <f>IF(Mecze[[#This Row],[PC]]=0,0,Mecze[[#This Row],[PC]]/Mecze[[#This Row],[CZAS]])</f>
        <v>3.0612244897959183E-2</v>
      </c>
      <c r="P155" s="32">
        <f>IF(Mecze[[#This Row],[SC]]=0,0,Mecze[[#This Row],[SC]]/Mecze[[#This Row],[CZAS]])</f>
        <v>0</v>
      </c>
      <c r="Q155" s="32">
        <f>IF(Mecze[[#This Row],[OB]]=0,0,Mecze[[#This Row],[OB]]/Mecze[[#This Row],[CZAS]])</f>
        <v>0</v>
      </c>
      <c r="R155" s="32">
        <f>IF(Mecze[[#This Row],[BR]]=0,0,Mecze[[#This Row],[BR]]/Mecze[[#This Row],[CZAS]])</f>
        <v>0</v>
      </c>
      <c r="S155" s="44">
        <f>IF(Mecze[[#This Row],[Role]]="BR",SUMPRODUCT(Mecze[[#This Row],[/PR:90]:[/BR:90]],Brudnopis!$E$23:$J$23),0)</f>
        <v>0</v>
      </c>
      <c r="T155" s="44">
        <f>IF(Mecze[[#This Row],[Role]]&lt;&gt;"BR",SUMPRODUCT(Mecze[[#This Row],[/PR:90]:[/BR:90]],Brudnopis!$E$24:$J$24),0)</f>
        <v>9.6938775510204078E-2</v>
      </c>
      <c r="U155" s="44">
        <f>IF(Mecze[[#This Row],[Role]]&lt;&gt;"BR",SUMPRODUCT(Mecze[[#This Row],[/PR:90]:[/BR:90]],Brudnopis!$E$25:$J$25),0)</f>
        <v>0.10714285714285714</v>
      </c>
      <c r="V155" s="44">
        <f>IF(Mecze[[#This Row],[Role]]&lt;&gt;"BR",SUMPRODUCT(Mecze[[#This Row],[/PR:90]:[/BR:90]],Brudnopis!$E$26:$J$26),0)</f>
        <v>9.1836734693877542E-2</v>
      </c>
      <c r="W155" s="44">
        <f>IF(Mecze[[#This Row],[Role]]&lt;&gt;"BR",SUMPRODUCT(Mecze[[#This Row],[/PR:90]:[/BR:90]],Brudnopis!$E$27:$J$27),0)</f>
        <v>9.1836734693877542E-2</v>
      </c>
      <c r="X155" s="44">
        <f>IF(Mecze[[#This Row],[Role]]&lt;&gt;"BR",SUMPRODUCT(Mecze[[#This Row],[/PR:90]:[/BR:90]],Brudnopis!$E$28:$J$28),0)</f>
        <v>3.0612244897959183E-2</v>
      </c>
      <c r="Y155" s="35">
        <f>IF(Mecze[[#This Row],[Role]]="BR",Mecze[[#This Row],[/OB:90]]+Mecze[[#This Row],[/PC:90]],SUM(Mecze[[#This Row],[/PR:90]:[/BR:90]]))</f>
        <v>9.1836734693877542E-2</v>
      </c>
      <c r="Z155" s="35">
        <f>IF(Mecze[[#This Row],[KC]]=0,SUM(Mecze[[#This Row],[/BRI]:[/NPI]]),SUM(Mecze[[#This Row],[/BRI]:[/NPI]])*0.6)</f>
        <v>0.41836734693877548</v>
      </c>
      <c r="AA155" s="10">
        <f>IFERROR(Mecze[[#This Row],[BR]]/Mecze[[#This Row],[ST]],0)</f>
        <v>0</v>
      </c>
      <c r="AB155">
        <f>ROUND(Mecze[[#This Row],[PD]]*Mecze[[#This Row],[%PC]],0)</f>
        <v>3</v>
      </c>
      <c r="AC155">
        <f>ROUND(Mecze[[#This Row],[OD]]*Mecze[[#This Row],[%OU]],0)</f>
        <v>1</v>
      </c>
      <c r="AD155" s="36" t="s">
        <v>47</v>
      </c>
      <c r="AE155" s="36">
        <v>9</v>
      </c>
      <c r="AF155" s="71">
        <v>8.09</v>
      </c>
      <c r="AG155" s="37">
        <v>0</v>
      </c>
      <c r="AH155" s="37">
        <v>0</v>
      </c>
      <c r="AI155" s="37">
        <v>98</v>
      </c>
      <c r="AJ155">
        <v>1</v>
      </c>
      <c r="AK155" s="37" t="str">
        <f>VLOOKUP(Mecze[[#This Row],[Match ID]],Meczusie[Mecz]:Meczusie[RodzajMeczu],2,FALSE)</f>
        <v>Towarzyski</v>
      </c>
    </row>
    <row r="156" spans="1:37" x14ac:dyDescent="0.25">
      <c r="A156" s="76">
        <v>3</v>
      </c>
      <c r="B156" s="3" t="s">
        <v>158</v>
      </c>
      <c r="C156" s="2" t="s">
        <v>157</v>
      </c>
      <c r="D156" s="1">
        <v>0</v>
      </c>
      <c r="E156" s="1">
        <v>0</v>
      </c>
      <c r="F156" s="1">
        <v>0</v>
      </c>
      <c r="G156" s="1">
        <v>3</v>
      </c>
      <c r="H156" s="4">
        <v>0</v>
      </c>
      <c r="I156" s="1">
        <v>5</v>
      </c>
      <c r="J156" s="4">
        <v>0.8</v>
      </c>
      <c r="K156" s="1">
        <v>0</v>
      </c>
      <c r="L156" s="1">
        <v>3</v>
      </c>
      <c r="M156" s="32">
        <f>IF(Mecze[[#This Row],[PR]]=0,0,Mecze[[#This Row],[PR]]/Mecze[[#This Row],[CZAS]])</f>
        <v>3.0612244897959183E-2</v>
      </c>
      <c r="N156" s="32">
        <f>IF(Mecze[[#This Row],[OU]]=0,0,Mecze[[#This Row],[OU]]/Mecze[[#This Row],[CZAS]])</f>
        <v>4.0816326530612242E-2</v>
      </c>
      <c r="O156" s="32">
        <f>IF(Mecze[[#This Row],[PC]]=0,0,Mecze[[#This Row],[PC]]/Mecze[[#This Row],[CZAS]])</f>
        <v>0</v>
      </c>
      <c r="P156" s="32">
        <f>IF(Mecze[[#This Row],[SC]]=0,0,Mecze[[#This Row],[SC]]/Mecze[[#This Row],[CZAS]])</f>
        <v>0</v>
      </c>
      <c r="Q156" s="32">
        <f>IF(Mecze[[#This Row],[OB]]=0,0,Mecze[[#This Row],[OB]]/Mecze[[#This Row],[CZAS]])</f>
        <v>0</v>
      </c>
      <c r="R156" s="32">
        <f>IF(Mecze[[#This Row],[BR]]=0,0,Mecze[[#This Row],[BR]]/Mecze[[#This Row],[CZAS]])</f>
        <v>0</v>
      </c>
      <c r="S156" s="44">
        <f>IF(Mecze[[#This Row],[Role]]="BR",SUMPRODUCT(Mecze[[#This Row],[/PR:90]:[/BR:90]],Brudnopis!$E$23:$J$23),0)</f>
        <v>0</v>
      </c>
      <c r="T156" s="44">
        <f>IF(Mecze[[#This Row],[Role]]&lt;&gt;"BR",SUMPRODUCT(Mecze[[#This Row],[/PR:90]:[/BR:90]],Brudnopis!$E$24:$J$24),0)</f>
        <v>9.1836734693877542E-2</v>
      </c>
      <c r="U156" s="44">
        <f>IF(Mecze[[#This Row],[Role]]&lt;&gt;"BR",SUMPRODUCT(Mecze[[#This Row],[/PR:90]:[/BR:90]],Brudnopis!$E$25:$J$25),0)</f>
        <v>7.1428571428571425E-2</v>
      </c>
      <c r="V156" s="44">
        <f>IF(Mecze[[#This Row],[Role]]&lt;&gt;"BR",SUMPRODUCT(Mecze[[#This Row],[/PR:90]:[/BR:90]],Brudnopis!$E$26:$J$26),0)</f>
        <v>7.1428571428571425E-2</v>
      </c>
      <c r="W156" s="44">
        <f>IF(Mecze[[#This Row],[Role]]&lt;&gt;"BR",SUMPRODUCT(Mecze[[#This Row],[/PR:90]:[/BR:90]],Brudnopis!$E$27:$J$27),0)</f>
        <v>5.3571428571428568E-2</v>
      </c>
      <c r="X156" s="44">
        <f>IF(Mecze[[#This Row],[Role]]&lt;&gt;"BR",SUMPRODUCT(Mecze[[#This Row],[/PR:90]:[/BR:90]],Brudnopis!$E$28:$J$28),0)</f>
        <v>0</v>
      </c>
      <c r="Y156" s="35">
        <f>IF(Mecze[[#This Row],[Role]]="BR",Mecze[[#This Row],[/OB:90]]+Mecze[[#This Row],[/PC:90]],SUM(Mecze[[#This Row],[/PR:90]:[/BR:90]]))</f>
        <v>7.1428571428571425E-2</v>
      </c>
      <c r="Z156" s="35">
        <f>IF(Mecze[[#This Row],[KC]]=0,SUM(Mecze[[#This Row],[/BRI]:[/NPI]]),SUM(Mecze[[#This Row],[/BRI]:[/NPI]])*0.6)</f>
        <v>0.28826530612244894</v>
      </c>
      <c r="AA156" s="10">
        <f>IFERROR(Mecze[[#This Row],[BR]]/Mecze[[#This Row],[ST]],0)</f>
        <v>0</v>
      </c>
      <c r="AB156">
        <f>ROUND(Mecze[[#This Row],[PD]]*Mecze[[#This Row],[%PC]],0)</f>
        <v>0</v>
      </c>
      <c r="AC156">
        <f>ROUND(Mecze[[#This Row],[OD]]*Mecze[[#This Row],[%OU]],0)</f>
        <v>4</v>
      </c>
      <c r="AD156" s="36" t="s">
        <v>174</v>
      </c>
      <c r="AE156" s="36">
        <v>9</v>
      </c>
      <c r="AF156" s="71">
        <v>9.99</v>
      </c>
      <c r="AG156" s="37">
        <v>0</v>
      </c>
      <c r="AH156" s="37">
        <v>0</v>
      </c>
      <c r="AI156" s="37">
        <v>98</v>
      </c>
      <c r="AJ156">
        <v>1</v>
      </c>
      <c r="AK156" s="37" t="str">
        <f>VLOOKUP(Mecze[[#This Row],[Match ID]],Meczusie[Mecz]:Meczusie[RodzajMeczu],2,FALSE)</f>
        <v>Towarzyski</v>
      </c>
    </row>
    <row r="157" spans="1:37" x14ac:dyDescent="0.25">
      <c r="A157" s="76">
        <v>5</v>
      </c>
      <c r="B157" s="3" t="s">
        <v>161</v>
      </c>
      <c r="C157" s="2" t="s">
        <v>157</v>
      </c>
      <c r="D157" s="1">
        <v>0</v>
      </c>
      <c r="E157" s="1">
        <v>0</v>
      </c>
      <c r="F157" s="1">
        <v>0</v>
      </c>
      <c r="G157" s="1">
        <v>2</v>
      </c>
      <c r="H157" s="4">
        <v>0.5</v>
      </c>
      <c r="I157" s="1">
        <v>2</v>
      </c>
      <c r="J157" s="4">
        <v>0</v>
      </c>
      <c r="K157" s="1">
        <v>0</v>
      </c>
      <c r="L157" s="1">
        <v>1</v>
      </c>
      <c r="M157" s="32">
        <f>IF(Mecze[[#This Row],[PR]]=0,0,Mecze[[#This Row],[PR]]/Mecze[[#This Row],[CZAS]])</f>
        <v>1.020408163265306E-2</v>
      </c>
      <c r="N157" s="32">
        <f>IF(Mecze[[#This Row],[OU]]=0,0,Mecze[[#This Row],[OU]]/Mecze[[#This Row],[CZAS]])</f>
        <v>0</v>
      </c>
      <c r="O157" s="32">
        <f>IF(Mecze[[#This Row],[PC]]=0,0,Mecze[[#This Row],[PC]]/Mecze[[#This Row],[CZAS]])</f>
        <v>1.020408163265306E-2</v>
      </c>
      <c r="P157" s="32">
        <f>IF(Mecze[[#This Row],[SC]]=0,0,Mecze[[#This Row],[SC]]/Mecze[[#This Row],[CZAS]])</f>
        <v>0</v>
      </c>
      <c r="Q157" s="32">
        <f>IF(Mecze[[#This Row],[OB]]=0,0,Mecze[[#This Row],[OB]]/Mecze[[#This Row],[CZAS]])</f>
        <v>0</v>
      </c>
      <c r="R157" s="32">
        <f>IF(Mecze[[#This Row],[BR]]=0,0,Mecze[[#This Row],[BR]]/Mecze[[#This Row],[CZAS]])</f>
        <v>0</v>
      </c>
      <c r="S157" s="44">
        <f>IF(Mecze[[#This Row],[Role]]="BR",SUMPRODUCT(Mecze[[#This Row],[/PR:90]:[/BR:90]],Brudnopis!$E$23:$J$23),0)</f>
        <v>0</v>
      </c>
      <c r="T157" s="44">
        <f>IF(Mecze[[#This Row],[Role]]&lt;&gt;"BR",SUMPRODUCT(Mecze[[#This Row],[/PR:90]:[/BR:90]],Brudnopis!$E$24:$J$24),0)</f>
        <v>2.0408163265306121E-2</v>
      </c>
      <c r="U157" s="44">
        <f>IF(Mecze[[#This Row],[Role]]&lt;&gt;"BR",SUMPRODUCT(Mecze[[#This Row],[/PR:90]:[/BR:90]],Brudnopis!$E$25:$J$25),0)</f>
        <v>2.5510204081632654E-2</v>
      </c>
      <c r="V157" s="44">
        <f>IF(Mecze[[#This Row],[Role]]&lt;&gt;"BR",SUMPRODUCT(Mecze[[#This Row],[/PR:90]:[/BR:90]],Brudnopis!$E$26:$J$26),0)</f>
        <v>2.0408163265306121E-2</v>
      </c>
      <c r="W157" s="44">
        <f>IF(Mecze[[#This Row],[Role]]&lt;&gt;"BR",SUMPRODUCT(Mecze[[#This Row],[/PR:90]:[/BR:90]],Brudnopis!$E$27:$J$27),0)</f>
        <v>2.2959183673469385E-2</v>
      </c>
      <c r="X157" s="44">
        <f>IF(Mecze[[#This Row],[Role]]&lt;&gt;"BR",SUMPRODUCT(Mecze[[#This Row],[/PR:90]:[/BR:90]],Brudnopis!$E$28:$J$28),0)</f>
        <v>1.020408163265306E-2</v>
      </c>
      <c r="Y157" s="35">
        <f>IF(Mecze[[#This Row],[Role]]="BR",Mecze[[#This Row],[/OB:90]]+Mecze[[#This Row],[/PC:90]],SUM(Mecze[[#This Row],[/PR:90]:[/BR:90]]))</f>
        <v>2.0408163265306121E-2</v>
      </c>
      <c r="Z157" s="35">
        <f>IF(Mecze[[#This Row],[KC]]=0,SUM(Mecze[[#This Row],[/BRI]:[/NPI]]),SUM(Mecze[[#This Row],[/BRI]:[/NPI]])*0.6)</f>
        <v>9.9489795918367332E-2</v>
      </c>
      <c r="AA157" s="10">
        <f>IFERROR(Mecze[[#This Row],[BR]]/Mecze[[#This Row],[ST]],0)</f>
        <v>0</v>
      </c>
      <c r="AB157">
        <f>ROUND(Mecze[[#This Row],[PD]]*Mecze[[#This Row],[%PC]],0)</f>
        <v>1</v>
      </c>
      <c r="AC157">
        <f>ROUND(Mecze[[#This Row],[OD]]*Mecze[[#This Row],[%OU]],0)</f>
        <v>0</v>
      </c>
      <c r="AD157" s="36" t="s">
        <v>175</v>
      </c>
      <c r="AE157" s="36">
        <v>9</v>
      </c>
      <c r="AF157" s="71">
        <v>7.25</v>
      </c>
      <c r="AG157" s="37">
        <v>0</v>
      </c>
      <c r="AH157" s="37">
        <v>0</v>
      </c>
      <c r="AI157" s="37">
        <v>98</v>
      </c>
      <c r="AJ157">
        <v>1</v>
      </c>
      <c r="AK157" s="37" t="str">
        <f>VLOOKUP(Mecze[[#This Row],[Match ID]],Meczusie[Mecz]:Meczusie[RodzajMeczu],2,FALSE)</f>
        <v>Towarzyski</v>
      </c>
    </row>
    <row r="158" spans="1:37" x14ac:dyDescent="0.25">
      <c r="A158" s="76">
        <v>13</v>
      </c>
      <c r="B158" s="3" t="s">
        <v>162</v>
      </c>
      <c r="C158" s="2" t="s">
        <v>160</v>
      </c>
      <c r="D158" s="1">
        <v>0</v>
      </c>
      <c r="E158" s="1">
        <v>1</v>
      </c>
      <c r="F158" s="1">
        <v>1</v>
      </c>
      <c r="G158" s="1">
        <v>7</v>
      </c>
      <c r="H158" s="4">
        <v>0.71</v>
      </c>
      <c r="I158" s="1">
        <v>2</v>
      </c>
      <c r="J158" s="4">
        <v>0</v>
      </c>
      <c r="K158" s="1">
        <v>0</v>
      </c>
      <c r="L158" s="1">
        <v>4</v>
      </c>
      <c r="M158" s="32">
        <f>IF(Mecze[[#This Row],[PR]]=0,0,Mecze[[#This Row],[PR]]/Mecze[[#This Row],[CZAS]])</f>
        <v>4.0816326530612242E-2</v>
      </c>
      <c r="N158" s="32">
        <f>IF(Mecze[[#This Row],[OU]]=0,0,Mecze[[#This Row],[OU]]/Mecze[[#This Row],[CZAS]])</f>
        <v>0</v>
      </c>
      <c r="O158" s="32">
        <f>IF(Mecze[[#This Row],[PC]]=0,0,Mecze[[#This Row],[PC]]/Mecze[[#This Row],[CZAS]])</f>
        <v>5.1020408163265307E-2</v>
      </c>
      <c r="P158" s="32">
        <f>IF(Mecze[[#This Row],[SC]]=0,0,Mecze[[#This Row],[SC]]/Mecze[[#This Row],[CZAS]])</f>
        <v>1.020408163265306E-2</v>
      </c>
      <c r="Q158" s="32">
        <f>IF(Mecze[[#This Row],[OB]]=0,0,Mecze[[#This Row],[OB]]/Mecze[[#This Row],[CZAS]])</f>
        <v>0</v>
      </c>
      <c r="R158" s="32">
        <f>IF(Mecze[[#This Row],[BR]]=0,0,Mecze[[#This Row],[BR]]/Mecze[[#This Row],[CZAS]])</f>
        <v>0</v>
      </c>
      <c r="S158" s="44">
        <f>IF(Mecze[[#This Row],[Role]]="BR",SUMPRODUCT(Mecze[[#This Row],[/PR:90]:[/BR:90]],Brudnopis!$E$23:$J$23),0)</f>
        <v>0</v>
      </c>
      <c r="T158" s="44">
        <f>IF(Mecze[[#This Row],[Role]]&lt;&gt;"BR",SUMPRODUCT(Mecze[[#This Row],[/PR:90]:[/BR:90]],Brudnopis!$E$24:$J$24),0)</f>
        <v>0.1020408163265306</v>
      </c>
      <c r="U158" s="44">
        <f>IF(Mecze[[#This Row],[Role]]&lt;&gt;"BR",SUMPRODUCT(Mecze[[#This Row],[/PR:90]:[/BR:90]],Brudnopis!$E$25:$J$25),0)</f>
        <v>0.12755102040816327</v>
      </c>
      <c r="V158" s="44">
        <f>IF(Mecze[[#This Row],[Role]]&lt;&gt;"BR",SUMPRODUCT(Mecze[[#This Row],[/PR:90]:[/BR:90]],Brudnopis!$E$26:$J$26),0)</f>
        <v>0.1020408163265306</v>
      </c>
      <c r="W158" s="44">
        <f>IF(Mecze[[#This Row],[Role]]&lt;&gt;"BR",SUMPRODUCT(Mecze[[#This Row],[/PR:90]:[/BR:90]],Brudnopis!$E$27:$J$27),0)</f>
        <v>0.11734693877551021</v>
      </c>
      <c r="X158" s="44">
        <f>IF(Mecze[[#This Row],[Role]]&lt;&gt;"BR",SUMPRODUCT(Mecze[[#This Row],[/PR:90]:[/BR:90]],Brudnopis!$E$28:$J$28),0)</f>
        <v>7.1428571428571425E-2</v>
      </c>
      <c r="Y158" s="35">
        <f>IF(Mecze[[#This Row],[Role]]="BR",Mecze[[#This Row],[/OB:90]]+Mecze[[#This Row],[/PC:90]],SUM(Mecze[[#This Row],[/PR:90]:[/BR:90]]))</f>
        <v>0.1020408163265306</v>
      </c>
      <c r="Z158" s="35">
        <f>IF(Mecze[[#This Row],[KC]]=0,SUM(Mecze[[#This Row],[/BRI]:[/NPI]]),SUM(Mecze[[#This Row],[/BRI]:[/NPI]])*0.6)</f>
        <v>0.52040816326530615</v>
      </c>
      <c r="AA158" s="10">
        <f>IFERROR(Mecze[[#This Row],[BR]]/Mecze[[#This Row],[ST]],0)</f>
        <v>0</v>
      </c>
      <c r="AB158">
        <f>ROUND(Mecze[[#This Row],[PD]]*Mecze[[#This Row],[%PC]],0)</f>
        <v>5</v>
      </c>
      <c r="AC158">
        <f>ROUND(Mecze[[#This Row],[OD]]*Mecze[[#This Row],[%OU]],0)</f>
        <v>0</v>
      </c>
      <c r="AD158" s="36" t="s">
        <v>172</v>
      </c>
      <c r="AE158" s="36">
        <v>9</v>
      </c>
      <c r="AF158" s="71">
        <v>9.32</v>
      </c>
      <c r="AG158" s="37">
        <v>0</v>
      </c>
      <c r="AH158" s="37">
        <v>0</v>
      </c>
      <c r="AI158" s="37">
        <v>98</v>
      </c>
      <c r="AJ158">
        <v>1</v>
      </c>
      <c r="AK158" s="37" t="str">
        <f>VLOOKUP(Mecze[[#This Row],[Match ID]],Meczusie[Mecz]:Meczusie[RodzajMeczu],2,FALSE)</f>
        <v>Towarzyski</v>
      </c>
    </row>
    <row r="159" spans="1:37" x14ac:dyDescent="0.25">
      <c r="A159" s="76">
        <v>6</v>
      </c>
      <c r="B159" s="3" t="s">
        <v>159</v>
      </c>
      <c r="C159" s="2" t="s">
        <v>160</v>
      </c>
      <c r="D159" s="1">
        <v>0</v>
      </c>
      <c r="E159" s="1">
        <v>1</v>
      </c>
      <c r="F159" s="1">
        <v>0</v>
      </c>
      <c r="G159" s="1">
        <v>15</v>
      </c>
      <c r="H159" s="4">
        <v>0.6</v>
      </c>
      <c r="I159" s="1">
        <v>10</v>
      </c>
      <c r="J159" s="4">
        <v>0.6</v>
      </c>
      <c r="K159" s="1">
        <v>0</v>
      </c>
      <c r="L159" s="1">
        <v>12</v>
      </c>
      <c r="M159" s="32">
        <f>IF(Mecze[[#This Row],[PR]]=0,0,Mecze[[#This Row],[PR]]/Mecze[[#This Row],[CZAS]])</f>
        <v>0.12244897959183673</v>
      </c>
      <c r="N159" s="32">
        <f>IF(Mecze[[#This Row],[OU]]=0,0,Mecze[[#This Row],[OU]]/Mecze[[#This Row],[CZAS]])</f>
        <v>6.1224489795918366E-2</v>
      </c>
      <c r="O159" s="32">
        <f>IF(Mecze[[#This Row],[PC]]=0,0,Mecze[[#This Row],[PC]]/Mecze[[#This Row],[CZAS]])</f>
        <v>9.1836734693877556E-2</v>
      </c>
      <c r="P159" s="32">
        <f>IF(Mecze[[#This Row],[SC]]=0,0,Mecze[[#This Row],[SC]]/Mecze[[#This Row],[CZAS]])</f>
        <v>0</v>
      </c>
      <c r="Q159" s="32">
        <f>IF(Mecze[[#This Row],[OB]]=0,0,Mecze[[#This Row],[OB]]/Mecze[[#This Row],[CZAS]])</f>
        <v>0</v>
      </c>
      <c r="R159" s="32">
        <f>IF(Mecze[[#This Row],[BR]]=0,0,Mecze[[#This Row],[BR]]/Mecze[[#This Row],[CZAS]])</f>
        <v>0</v>
      </c>
      <c r="S159" s="44">
        <f>IF(Mecze[[#This Row],[Role]]="BR",SUMPRODUCT(Mecze[[#This Row],[/PR:90]:[/BR:90]],Brudnopis!$E$23:$J$23),0)</f>
        <v>0</v>
      </c>
      <c r="T159" s="44">
        <f>IF(Mecze[[#This Row],[Role]]&lt;&gt;"BR",SUMPRODUCT(Mecze[[#This Row],[/PR:90]:[/BR:90]],Brudnopis!$E$24:$J$24),0)</f>
        <v>0.30612244897959184</v>
      </c>
      <c r="U159" s="44">
        <f>IF(Mecze[[#This Row],[Role]]&lt;&gt;"BR",SUMPRODUCT(Mecze[[#This Row],[/PR:90]:[/BR:90]],Brudnopis!$E$25:$J$25),0)</f>
        <v>0.3214285714285714</v>
      </c>
      <c r="V159" s="44">
        <f>IF(Mecze[[#This Row],[Role]]&lt;&gt;"BR",SUMPRODUCT(Mecze[[#This Row],[/PR:90]:[/BR:90]],Brudnopis!$E$26:$J$26),0)</f>
        <v>0.27551020408163263</v>
      </c>
      <c r="W159" s="44">
        <f>IF(Mecze[[#This Row],[Role]]&lt;&gt;"BR",SUMPRODUCT(Mecze[[#This Row],[/PR:90]:[/BR:90]],Brudnopis!$E$27:$J$27),0)</f>
        <v>0.27551020408163263</v>
      </c>
      <c r="X159" s="44">
        <f>IF(Mecze[[#This Row],[Role]]&lt;&gt;"BR",SUMPRODUCT(Mecze[[#This Row],[/PR:90]:[/BR:90]],Brudnopis!$E$28:$J$28),0)</f>
        <v>9.1836734693877556E-2</v>
      </c>
      <c r="Y159" s="35">
        <f>IF(Mecze[[#This Row],[Role]]="BR",Mecze[[#This Row],[/OB:90]]+Mecze[[#This Row],[/PC:90]],SUM(Mecze[[#This Row],[/PR:90]:[/BR:90]]))</f>
        <v>0.27551020408163263</v>
      </c>
      <c r="Z159" s="35">
        <f>IF(Mecze[[#This Row],[KC]]=0,SUM(Mecze[[#This Row],[/BRI]:[/NPI]]),SUM(Mecze[[#This Row],[/BRI]:[/NPI]])*0.6)</f>
        <v>1.2704081632653059</v>
      </c>
      <c r="AA159" s="10">
        <f>IFERROR(Mecze[[#This Row],[BR]]/Mecze[[#This Row],[ST]],0)</f>
        <v>0</v>
      </c>
      <c r="AB159">
        <f>ROUND(Mecze[[#This Row],[PD]]*Mecze[[#This Row],[%PC]],0)</f>
        <v>9</v>
      </c>
      <c r="AC159">
        <f>ROUND(Mecze[[#This Row],[OD]]*Mecze[[#This Row],[%OU]],0)</f>
        <v>6</v>
      </c>
      <c r="AD159" s="36" t="s">
        <v>173</v>
      </c>
      <c r="AE159" s="36">
        <v>9</v>
      </c>
      <c r="AF159" s="71">
        <v>10.77</v>
      </c>
      <c r="AG159" s="37">
        <v>0</v>
      </c>
      <c r="AH159" s="37">
        <v>0</v>
      </c>
      <c r="AI159" s="37">
        <v>98</v>
      </c>
      <c r="AJ159">
        <v>1</v>
      </c>
      <c r="AK159" s="37" t="str">
        <f>VLOOKUP(Mecze[[#This Row],[Match ID]],Meczusie[Mecz]:Meczusie[RodzajMeczu],2,FALSE)</f>
        <v>Towarzyski</v>
      </c>
    </row>
    <row r="160" spans="1:37" x14ac:dyDescent="0.25">
      <c r="A160" s="76">
        <v>15</v>
      </c>
      <c r="B160" s="3" t="s">
        <v>170</v>
      </c>
      <c r="C160" s="2" t="s">
        <v>160</v>
      </c>
      <c r="D160" s="1">
        <v>0</v>
      </c>
      <c r="E160" s="1">
        <v>0</v>
      </c>
      <c r="F160" s="1">
        <v>0</v>
      </c>
      <c r="G160" s="1">
        <v>10</v>
      </c>
      <c r="H160" s="4">
        <v>1</v>
      </c>
      <c r="I160" s="1">
        <v>1</v>
      </c>
      <c r="J160" s="4">
        <v>1</v>
      </c>
      <c r="K160" s="1">
        <v>0</v>
      </c>
      <c r="L160" s="1">
        <v>5</v>
      </c>
      <c r="M160" s="32">
        <f>IF(Mecze[[#This Row],[PR]]=0,0,Mecze[[#This Row],[PR]]/Mecze[[#This Row],[CZAS]])</f>
        <v>5.1020408163265307E-2</v>
      </c>
      <c r="N160" s="32">
        <f>IF(Mecze[[#This Row],[OU]]=0,0,Mecze[[#This Row],[OU]]/Mecze[[#This Row],[CZAS]])</f>
        <v>1.020408163265306E-2</v>
      </c>
      <c r="O160" s="32">
        <f>IF(Mecze[[#This Row],[PC]]=0,0,Mecze[[#This Row],[PC]]/Mecze[[#This Row],[CZAS]])</f>
        <v>0.10204081632653061</v>
      </c>
      <c r="P160" s="32">
        <f>IF(Mecze[[#This Row],[SC]]=0,0,Mecze[[#This Row],[SC]]/Mecze[[#This Row],[CZAS]])</f>
        <v>0</v>
      </c>
      <c r="Q160" s="32">
        <f>IF(Mecze[[#This Row],[OB]]=0,0,Mecze[[#This Row],[OB]]/Mecze[[#This Row],[CZAS]])</f>
        <v>0</v>
      </c>
      <c r="R160" s="32">
        <f>IF(Mecze[[#This Row],[BR]]=0,0,Mecze[[#This Row],[BR]]/Mecze[[#This Row],[CZAS]])</f>
        <v>0</v>
      </c>
      <c r="S160" s="44">
        <f>IF(Mecze[[#This Row],[Role]]="BR",SUMPRODUCT(Mecze[[#This Row],[/PR:90]:[/BR:90]],Brudnopis!$E$23:$J$23),0)</f>
        <v>0</v>
      </c>
      <c r="T160" s="44">
        <f>IF(Mecze[[#This Row],[Role]]&lt;&gt;"BR",SUMPRODUCT(Mecze[[#This Row],[/PR:90]:[/BR:90]],Brudnopis!$E$24:$J$24),0)</f>
        <v>0.16836734693877553</v>
      </c>
      <c r="U160" s="44">
        <f>IF(Mecze[[#This Row],[Role]]&lt;&gt;"BR",SUMPRODUCT(Mecze[[#This Row],[/PR:90]:[/BR:90]],Brudnopis!$E$25:$J$25),0)</f>
        <v>0.2142857142857143</v>
      </c>
      <c r="V160" s="44">
        <f>IF(Mecze[[#This Row],[Role]]&lt;&gt;"BR",SUMPRODUCT(Mecze[[#This Row],[/PR:90]:[/BR:90]],Brudnopis!$E$26:$J$26),0)</f>
        <v>0.16326530612244899</v>
      </c>
      <c r="W160" s="44">
        <f>IF(Mecze[[#This Row],[Role]]&lt;&gt;"BR",SUMPRODUCT(Mecze[[#This Row],[/PR:90]:[/BR:90]],Brudnopis!$E$27:$J$27),0)</f>
        <v>0.19897959183673469</v>
      </c>
      <c r="X160" s="44">
        <f>IF(Mecze[[#This Row],[Role]]&lt;&gt;"BR",SUMPRODUCT(Mecze[[#This Row],[/PR:90]:[/BR:90]],Brudnopis!$E$28:$J$28),0)</f>
        <v>0.10204081632653061</v>
      </c>
      <c r="Y160" s="35">
        <f>IF(Mecze[[#This Row],[Role]]="BR",Mecze[[#This Row],[/OB:90]]+Mecze[[#This Row],[/PC:90]],SUM(Mecze[[#This Row],[/PR:90]:[/BR:90]]))</f>
        <v>0.16326530612244899</v>
      </c>
      <c r="Z160" s="35">
        <f>IF(Mecze[[#This Row],[KC]]=0,SUM(Mecze[[#This Row],[/BRI]:[/NPI]]),SUM(Mecze[[#This Row],[/BRI]:[/NPI]])*0.6)</f>
        <v>0.84693877551020413</v>
      </c>
      <c r="AA160" s="10">
        <f>IFERROR(Mecze[[#This Row],[BR]]/Mecze[[#This Row],[ST]],0)</f>
        <v>0</v>
      </c>
      <c r="AB160">
        <f>ROUND(Mecze[[#This Row],[PD]]*Mecze[[#This Row],[%PC]],0)</f>
        <v>10</v>
      </c>
      <c r="AC160">
        <f>ROUND(Mecze[[#This Row],[OD]]*Mecze[[#This Row],[%OU]],0)</f>
        <v>1</v>
      </c>
      <c r="AD160" s="36" t="s">
        <v>67</v>
      </c>
      <c r="AE160" s="36">
        <v>9</v>
      </c>
      <c r="AF160" s="71">
        <v>11.42</v>
      </c>
      <c r="AG160" s="37">
        <v>0</v>
      </c>
      <c r="AH160" s="37">
        <v>0</v>
      </c>
      <c r="AI160" s="37">
        <v>98</v>
      </c>
      <c r="AJ160">
        <v>1</v>
      </c>
      <c r="AK160" s="37" t="str">
        <f>VLOOKUP(Mecze[[#This Row],[Match ID]],Meczusie[Mecz]:Meczusie[RodzajMeczu],2,FALSE)</f>
        <v>Towarzyski</v>
      </c>
    </row>
    <row r="161" spans="1:37" x14ac:dyDescent="0.25">
      <c r="A161" s="76">
        <v>14</v>
      </c>
      <c r="B161" s="3" t="s">
        <v>164</v>
      </c>
      <c r="C161" s="2" t="s">
        <v>165</v>
      </c>
      <c r="D161" s="1">
        <v>0</v>
      </c>
      <c r="E161" s="1">
        <v>0</v>
      </c>
      <c r="F161" s="1">
        <v>0</v>
      </c>
      <c r="G161" s="1">
        <v>7</v>
      </c>
      <c r="H161" s="4">
        <v>0.56999999999999995</v>
      </c>
      <c r="I161" s="1">
        <v>3</v>
      </c>
      <c r="J161" s="4">
        <v>0.33</v>
      </c>
      <c r="K161" s="1">
        <v>0</v>
      </c>
      <c r="L161" s="1">
        <v>1</v>
      </c>
      <c r="M161" s="32">
        <f>IF(Mecze[[#This Row],[PR]]=0,0,Mecze[[#This Row],[PR]]/Mecze[[#This Row],[CZAS]])</f>
        <v>1.020408163265306E-2</v>
      </c>
      <c r="N161" s="32">
        <f>IF(Mecze[[#This Row],[OU]]=0,0,Mecze[[#This Row],[OU]]/Mecze[[#This Row],[CZAS]])</f>
        <v>1.020408163265306E-2</v>
      </c>
      <c r="O161" s="32">
        <f>IF(Mecze[[#This Row],[PC]]=0,0,Mecze[[#This Row],[PC]]/Mecze[[#This Row],[CZAS]])</f>
        <v>4.0816326530612242E-2</v>
      </c>
      <c r="P161" s="32">
        <f>IF(Mecze[[#This Row],[SC]]=0,0,Mecze[[#This Row],[SC]]/Mecze[[#This Row],[CZAS]])</f>
        <v>0</v>
      </c>
      <c r="Q161" s="32">
        <f>IF(Mecze[[#This Row],[OB]]=0,0,Mecze[[#This Row],[OB]]/Mecze[[#This Row],[CZAS]])</f>
        <v>0</v>
      </c>
      <c r="R161" s="32">
        <f>IF(Mecze[[#This Row],[BR]]=0,0,Mecze[[#This Row],[BR]]/Mecze[[#This Row],[CZAS]])</f>
        <v>0</v>
      </c>
      <c r="S161" s="44">
        <f>IF(Mecze[[#This Row],[Role]]="BR",SUMPRODUCT(Mecze[[#This Row],[/PR:90]:[/BR:90]],Brudnopis!$E$23:$J$23),0)</f>
        <v>0</v>
      </c>
      <c r="T161" s="44">
        <f>IF(Mecze[[#This Row],[Role]]&lt;&gt;"BR",SUMPRODUCT(Mecze[[#This Row],[/PR:90]:[/BR:90]],Brudnopis!$E$24:$J$24),0)</f>
        <v>6.6326530612244888E-2</v>
      </c>
      <c r="U161" s="44">
        <f>IF(Mecze[[#This Row],[Role]]&lt;&gt;"BR",SUMPRODUCT(Mecze[[#This Row],[/PR:90]:[/BR:90]],Brudnopis!$E$25:$J$25),0)</f>
        <v>8.1632653061224483E-2</v>
      </c>
      <c r="V161" s="44">
        <f>IF(Mecze[[#This Row],[Role]]&lt;&gt;"BR",SUMPRODUCT(Mecze[[#This Row],[/PR:90]:[/BR:90]],Brudnopis!$E$26:$J$26),0)</f>
        <v>6.1224489795918366E-2</v>
      </c>
      <c r="W161" s="44">
        <f>IF(Mecze[[#This Row],[Role]]&lt;&gt;"BR",SUMPRODUCT(Mecze[[#This Row],[/PR:90]:[/BR:90]],Brudnopis!$E$27:$J$27),0)</f>
        <v>7.6530612244897961E-2</v>
      </c>
      <c r="X161" s="44">
        <f>IF(Mecze[[#This Row],[Role]]&lt;&gt;"BR",SUMPRODUCT(Mecze[[#This Row],[/PR:90]:[/BR:90]],Brudnopis!$E$28:$J$28),0)</f>
        <v>4.0816326530612242E-2</v>
      </c>
      <c r="Y161" s="35">
        <f>IF(Mecze[[#This Row],[Role]]="BR",Mecze[[#This Row],[/OB:90]]+Mecze[[#This Row],[/PC:90]],SUM(Mecze[[#This Row],[/PR:90]:[/BR:90]]))</f>
        <v>6.1224489795918366E-2</v>
      </c>
      <c r="Z161" s="35">
        <f>IF(Mecze[[#This Row],[KC]]=0,SUM(Mecze[[#This Row],[/BRI]:[/NPI]]),SUM(Mecze[[#This Row],[/BRI]:[/NPI]])*0.6)</f>
        <v>0.32653061224489793</v>
      </c>
      <c r="AA161" s="10">
        <f>IFERROR(Mecze[[#This Row],[BR]]/Mecze[[#This Row],[ST]],0)</f>
        <v>0</v>
      </c>
      <c r="AB161">
        <f>ROUND(Mecze[[#This Row],[PD]]*Mecze[[#This Row],[%PC]],0)</f>
        <v>4</v>
      </c>
      <c r="AC161">
        <f>ROUND(Mecze[[#This Row],[OD]]*Mecze[[#This Row],[%OU]],0)</f>
        <v>1</v>
      </c>
      <c r="AD161" s="36" t="s">
        <v>46</v>
      </c>
      <c r="AE161" s="36">
        <v>9</v>
      </c>
      <c r="AF161" s="71">
        <v>5.26</v>
      </c>
      <c r="AG161" s="37">
        <v>0</v>
      </c>
      <c r="AH161" s="37">
        <v>0</v>
      </c>
      <c r="AI161" s="37">
        <v>98</v>
      </c>
      <c r="AJ161">
        <v>1</v>
      </c>
      <c r="AK161" s="37" t="str">
        <f>VLOOKUP(Mecze[[#This Row],[Match ID]],Meczusie[Mecz]:Meczusie[RodzajMeczu],2,FALSE)</f>
        <v>Towarzyski</v>
      </c>
    </row>
    <row r="162" spans="1:37" x14ac:dyDescent="0.25">
      <c r="A162" s="76">
        <v>19</v>
      </c>
      <c r="B162" s="3" t="s">
        <v>166</v>
      </c>
      <c r="C162" s="2" t="s">
        <v>165</v>
      </c>
      <c r="D162" s="1">
        <v>3</v>
      </c>
      <c r="E162" s="1">
        <v>9</v>
      </c>
      <c r="F162" s="1">
        <v>7</v>
      </c>
      <c r="G162" s="1">
        <v>7</v>
      </c>
      <c r="H162" s="4">
        <v>0.56999999999999995</v>
      </c>
      <c r="I162" s="1">
        <v>2</v>
      </c>
      <c r="J162" s="4">
        <v>0</v>
      </c>
      <c r="K162" s="1">
        <v>0</v>
      </c>
      <c r="L162" s="1">
        <v>0</v>
      </c>
      <c r="M162" s="32">
        <f>IF(Mecze[[#This Row],[PR]]=0,0,Mecze[[#This Row],[PR]]/Mecze[[#This Row],[CZAS]])</f>
        <v>0</v>
      </c>
      <c r="N162" s="32">
        <f>IF(Mecze[[#This Row],[OU]]=0,0,Mecze[[#This Row],[OU]]/Mecze[[#This Row],[CZAS]])</f>
        <v>0</v>
      </c>
      <c r="O162" s="32">
        <f>IF(Mecze[[#This Row],[PC]]=0,0,Mecze[[#This Row],[PC]]/Mecze[[#This Row],[CZAS]])</f>
        <v>4.0816326530612242E-2</v>
      </c>
      <c r="P162" s="32">
        <f>IF(Mecze[[#This Row],[SC]]=0,0,Mecze[[#This Row],[SC]]/Mecze[[#This Row],[CZAS]])</f>
        <v>7.1428571428571425E-2</v>
      </c>
      <c r="Q162" s="32">
        <f>IF(Mecze[[#This Row],[OB]]=0,0,Mecze[[#This Row],[OB]]/Mecze[[#This Row],[CZAS]])</f>
        <v>0</v>
      </c>
      <c r="R162" s="32">
        <f>IF(Mecze[[#This Row],[BR]]=0,0,Mecze[[#This Row],[BR]]/Mecze[[#This Row],[CZAS]])</f>
        <v>3.0612244897959183E-2</v>
      </c>
      <c r="S162" s="44">
        <f>IF(Mecze[[#This Row],[Role]]="BR",SUMPRODUCT(Mecze[[#This Row],[/PR:90]:[/BR:90]],Brudnopis!$E$23:$J$23),0)</f>
        <v>0</v>
      </c>
      <c r="T162" s="44">
        <f>IF(Mecze[[#This Row],[Role]]&lt;&gt;"BR",SUMPRODUCT(Mecze[[#This Row],[/PR:90]:[/BR:90]],Brudnopis!$E$24:$J$24),0)</f>
        <v>0.15816326530612243</v>
      </c>
      <c r="U162" s="44">
        <f>IF(Mecze[[#This Row],[Role]]&lt;&gt;"BR",SUMPRODUCT(Mecze[[#This Row],[/PR:90]:[/BR:90]],Brudnopis!$E$25:$J$25),0)</f>
        <v>0.17857142857142855</v>
      </c>
      <c r="V162" s="44">
        <f>IF(Mecze[[#This Row],[Role]]&lt;&gt;"BR",SUMPRODUCT(Mecze[[#This Row],[/PR:90]:[/BR:90]],Brudnopis!$E$26:$J$26),0)</f>
        <v>0.17346938775510201</v>
      </c>
      <c r="W162" s="44">
        <f>IF(Mecze[[#This Row],[Role]]&lt;&gt;"BR",SUMPRODUCT(Mecze[[#This Row],[/PR:90]:[/BR:90]],Brudnopis!$E$27:$J$27),0)</f>
        <v>0.19387755102040816</v>
      </c>
      <c r="X162" s="44">
        <f>IF(Mecze[[#This Row],[Role]]&lt;&gt;"BR",SUMPRODUCT(Mecze[[#This Row],[/PR:90]:[/BR:90]],Brudnopis!$E$28:$J$28),0)</f>
        <v>0.27551020408163263</v>
      </c>
      <c r="Y162" s="35">
        <f>IF(Mecze[[#This Row],[Role]]="BR",Mecze[[#This Row],[/OB:90]]+Mecze[[#This Row],[/PC:90]],SUM(Mecze[[#This Row],[/PR:90]:[/BR:90]]))</f>
        <v>0.14285714285714285</v>
      </c>
      <c r="Z162" s="35">
        <f>IF(Mecze[[#This Row],[KC]]=0,SUM(Mecze[[#This Row],[/BRI]:[/NPI]]),SUM(Mecze[[#This Row],[/BRI]:[/NPI]])*0.6)</f>
        <v>0.97959183673469374</v>
      </c>
      <c r="AA162" s="10">
        <f>IFERROR(Mecze[[#This Row],[BR]]/Mecze[[#This Row],[ST]],0)</f>
        <v>0.33333333333333331</v>
      </c>
      <c r="AB162">
        <f>ROUND(Mecze[[#This Row],[PD]]*Mecze[[#This Row],[%PC]],0)</f>
        <v>4</v>
      </c>
      <c r="AC162">
        <f>ROUND(Mecze[[#This Row],[OD]]*Mecze[[#This Row],[%OU]],0)</f>
        <v>0</v>
      </c>
      <c r="AD162" s="36" t="s">
        <v>46</v>
      </c>
      <c r="AE162" s="36">
        <v>9</v>
      </c>
      <c r="AF162" s="71">
        <v>13.7</v>
      </c>
      <c r="AG162" s="37">
        <v>0</v>
      </c>
      <c r="AH162" s="37">
        <v>0</v>
      </c>
      <c r="AI162" s="37">
        <v>98</v>
      </c>
      <c r="AJ162">
        <v>1</v>
      </c>
      <c r="AK162" s="37" t="str">
        <f>VLOOKUP(Mecze[[#This Row],[Match ID]],Meczusie[Mecz]:Meczusie[RodzajMeczu],2,FALSE)</f>
        <v>Towarzyski</v>
      </c>
    </row>
    <row r="163" spans="1:37" x14ac:dyDescent="0.25">
      <c r="A163" s="76">
        <v>11</v>
      </c>
      <c r="B163" s="3" t="s">
        <v>163</v>
      </c>
      <c r="C163" s="2" t="s">
        <v>165</v>
      </c>
      <c r="D163" s="1">
        <v>1</v>
      </c>
      <c r="E163" s="1">
        <v>7</v>
      </c>
      <c r="F163" s="1">
        <v>7</v>
      </c>
      <c r="G163" s="1">
        <v>10</v>
      </c>
      <c r="H163" s="4">
        <v>0.4</v>
      </c>
      <c r="I163" s="1">
        <v>3</v>
      </c>
      <c r="J163" s="4">
        <v>0</v>
      </c>
      <c r="K163" s="1">
        <v>0</v>
      </c>
      <c r="L163" s="1">
        <v>2</v>
      </c>
      <c r="M163" s="32">
        <f>IF(Mecze[[#This Row],[PR]]=0,0,Mecze[[#This Row],[PR]]/Mecze[[#This Row],[CZAS]])</f>
        <v>2.0408163265306121E-2</v>
      </c>
      <c r="N163" s="32">
        <f>IF(Mecze[[#This Row],[OU]]=0,0,Mecze[[#This Row],[OU]]/Mecze[[#This Row],[CZAS]])</f>
        <v>0</v>
      </c>
      <c r="O163" s="32">
        <f>IF(Mecze[[#This Row],[PC]]=0,0,Mecze[[#This Row],[PC]]/Mecze[[#This Row],[CZAS]])</f>
        <v>4.0816326530612242E-2</v>
      </c>
      <c r="P163" s="32">
        <f>IF(Mecze[[#This Row],[SC]]=0,0,Mecze[[#This Row],[SC]]/Mecze[[#This Row],[CZAS]])</f>
        <v>7.1428571428571425E-2</v>
      </c>
      <c r="Q163" s="32">
        <f>IF(Mecze[[#This Row],[OB]]=0,0,Mecze[[#This Row],[OB]]/Mecze[[#This Row],[CZAS]])</f>
        <v>0</v>
      </c>
      <c r="R163" s="32">
        <f>IF(Mecze[[#This Row],[BR]]=0,0,Mecze[[#This Row],[BR]]/Mecze[[#This Row],[CZAS]])</f>
        <v>1.020408163265306E-2</v>
      </c>
      <c r="S163" s="44">
        <f>IF(Mecze[[#This Row],[Role]]="BR",SUMPRODUCT(Mecze[[#This Row],[/PR:90]:[/BR:90]],Brudnopis!$E$23:$J$23),0)</f>
        <v>0</v>
      </c>
      <c r="T163" s="44">
        <f>IF(Mecze[[#This Row],[Role]]&lt;&gt;"BR",SUMPRODUCT(Mecze[[#This Row],[/PR:90]:[/BR:90]],Brudnopis!$E$24:$J$24),0)</f>
        <v>0.14795918367346936</v>
      </c>
      <c r="U163" s="44">
        <f>IF(Mecze[[#This Row],[Role]]&lt;&gt;"BR",SUMPRODUCT(Mecze[[#This Row],[/PR:90]:[/BR:90]],Brudnopis!$E$25:$J$25),0)</f>
        <v>0.1683673469387755</v>
      </c>
      <c r="V163" s="44">
        <f>IF(Mecze[[#This Row],[Role]]&lt;&gt;"BR",SUMPRODUCT(Mecze[[#This Row],[/PR:90]:[/BR:90]],Brudnopis!$E$26:$J$26),0)</f>
        <v>0.15306122448979589</v>
      </c>
      <c r="W163" s="44">
        <f>IF(Mecze[[#This Row],[Role]]&lt;&gt;"BR",SUMPRODUCT(Mecze[[#This Row],[/PR:90]:[/BR:90]],Brudnopis!$E$27:$J$27),0)</f>
        <v>0.1683673469387755</v>
      </c>
      <c r="X163" s="44">
        <f>IF(Mecze[[#This Row],[Role]]&lt;&gt;"BR",SUMPRODUCT(Mecze[[#This Row],[/PR:90]:[/BR:90]],Brudnopis!$E$28:$J$28),0)</f>
        <v>0.21428571428571427</v>
      </c>
      <c r="Y163" s="35">
        <f>IF(Mecze[[#This Row],[Role]]="BR",Mecze[[#This Row],[/OB:90]]+Mecze[[#This Row],[/PC:90]],SUM(Mecze[[#This Row],[/PR:90]:[/BR:90]]))</f>
        <v>0.14285714285714285</v>
      </c>
      <c r="Z163" s="35">
        <f>IF(Mecze[[#This Row],[KC]]=0,SUM(Mecze[[#This Row],[/BRI]:[/NPI]]),SUM(Mecze[[#This Row],[/BRI]:[/NPI]])*0.6)</f>
        <v>0.85204081632653061</v>
      </c>
      <c r="AA163" s="10">
        <f>IFERROR(Mecze[[#This Row],[BR]]/Mecze[[#This Row],[ST]],0)</f>
        <v>0.14285714285714285</v>
      </c>
      <c r="AB163">
        <f>ROUND(Mecze[[#This Row],[PD]]*Mecze[[#This Row],[%PC]],0)</f>
        <v>4</v>
      </c>
      <c r="AC163">
        <f>ROUND(Mecze[[#This Row],[OD]]*Mecze[[#This Row],[%OU]],0)</f>
        <v>0</v>
      </c>
      <c r="AD163" s="36" t="s">
        <v>46</v>
      </c>
      <c r="AE163" s="36">
        <v>9</v>
      </c>
      <c r="AF163" s="71">
        <v>7.77</v>
      </c>
      <c r="AG163" s="37">
        <v>0</v>
      </c>
      <c r="AH163" s="37">
        <v>0</v>
      </c>
      <c r="AI163" s="37">
        <v>98</v>
      </c>
      <c r="AJ163">
        <v>1</v>
      </c>
      <c r="AK163" s="37" t="str">
        <f>VLOOKUP(Mecze[[#This Row],[Match ID]],Meczusie[Mecz]:Meczusie[RodzajMeczu],2,FALSE)</f>
        <v>Towarzyski</v>
      </c>
    </row>
    <row r="164" spans="1:37" x14ac:dyDescent="0.25">
      <c r="A164" s="76">
        <v>1</v>
      </c>
      <c r="B164" s="3" t="s">
        <v>169</v>
      </c>
      <c r="C164" s="2" t="s">
        <v>155</v>
      </c>
      <c r="D164" s="1">
        <v>0</v>
      </c>
      <c r="E164" s="1">
        <v>0</v>
      </c>
      <c r="F164" s="1">
        <v>0</v>
      </c>
      <c r="G164" s="1">
        <v>9</v>
      </c>
      <c r="H164" s="4">
        <v>0.56000000000000005</v>
      </c>
      <c r="I164" s="1">
        <v>0</v>
      </c>
      <c r="J164" s="4"/>
      <c r="K164" s="1">
        <v>9</v>
      </c>
      <c r="L164" s="1">
        <v>0</v>
      </c>
      <c r="M164" s="32">
        <f>IF(Mecze[[#This Row],[PR]]=0,0,Mecze[[#This Row],[PR]]/Mecze[[#This Row],[CZAS]])</f>
        <v>0</v>
      </c>
      <c r="N164" s="32">
        <f>IF(Mecze[[#This Row],[OU]]=0,0,Mecze[[#This Row],[OU]]/Mecze[[#This Row],[CZAS]])</f>
        <v>0</v>
      </c>
      <c r="O164" s="32">
        <f>IF(Mecze[[#This Row],[PC]]=0,0,Mecze[[#This Row],[PC]]/Mecze[[#This Row],[CZAS]])</f>
        <v>5.2083333333333336E-2</v>
      </c>
      <c r="P164" s="32">
        <f>IF(Mecze[[#This Row],[SC]]=0,0,Mecze[[#This Row],[SC]]/Mecze[[#This Row],[CZAS]])</f>
        <v>0</v>
      </c>
      <c r="Q164" s="32">
        <f>IF(Mecze[[#This Row],[OB]]=0,0,Mecze[[#This Row],[OB]]/Mecze[[#This Row],[CZAS]])</f>
        <v>9.375E-2</v>
      </c>
      <c r="R164" s="32">
        <f>IF(Mecze[[#This Row],[BR]]=0,0,Mecze[[#This Row],[BR]]/Mecze[[#This Row],[CZAS]])</f>
        <v>0</v>
      </c>
      <c r="S164" s="44">
        <f>IF(Mecze[[#This Row],[Role]]="BR",SUMPRODUCT(Mecze[[#This Row],[/PR:90]:[/BR:90]],Brudnopis!$E$23:$J$23),0)</f>
        <v>0.4375</v>
      </c>
      <c r="T164" s="44">
        <f>IF(Mecze[[#This Row],[Role]]&lt;&gt;"BR",SUMPRODUCT(Mecze[[#This Row],[/PR:90]:[/BR:90]],Brudnopis!$E$24:$J$24),0)</f>
        <v>0</v>
      </c>
      <c r="U164" s="44">
        <f>IF(Mecze[[#This Row],[Role]]&lt;&gt;"BR",SUMPRODUCT(Mecze[[#This Row],[/PR:90]:[/BR:90]],Brudnopis!$E$25:$J$25),0)</f>
        <v>0</v>
      </c>
      <c r="V164" s="44">
        <f>IF(Mecze[[#This Row],[Role]]&lt;&gt;"BR",SUMPRODUCT(Mecze[[#This Row],[/PR:90]:[/BR:90]],Brudnopis!$E$26:$J$26),0)</f>
        <v>0</v>
      </c>
      <c r="W164" s="44">
        <f>IF(Mecze[[#This Row],[Role]]&lt;&gt;"BR",SUMPRODUCT(Mecze[[#This Row],[/PR:90]:[/BR:90]],Brudnopis!$E$27:$J$27),0)</f>
        <v>0</v>
      </c>
      <c r="X164" s="44">
        <f>IF(Mecze[[#This Row],[Role]]&lt;&gt;"BR",SUMPRODUCT(Mecze[[#This Row],[/PR:90]:[/BR:90]],Brudnopis!$E$28:$J$28),0)</f>
        <v>0</v>
      </c>
      <c r="Y164" s="35">
        <f>IF(Mecze[[#This Row],[Role]]="BR",Mecze[[#This Row],[/OB:90]]+Mecze[[#This Row],[/PC:90]],SUM(Mecze[[#This Row],[/PR:90]:[/BR:90]]))</f>
        <v>0.14583333333333334</v>
      </c>
      <c r="Z164" s="35">
        <f>IF(Mecze[[#This Row],[KC]]=0,SUM(Mecze[[#This Row],[/BRI]:[/NPI]]),SUM(Mecze[[#This Row],[/BRI]:[/NPI]])*0.6)</f>
        <v>0.4375</v>
      </c>
      <c r="AA164" s="10">
        <f>IFERROR(Mecze[[#This Row],[BR]]/Mecze[[#This Row],[ST]],0)</f>
        <v>0</v>
      </c>
      <c r="AB164">
        <f>ROUND(Mecze[[#This Row],[PD]]*Mecze[[#This Row],[%PC]],0)</f>
        <v>5</v>
      </c>
      <c r="AC164">
        <f>ROUND(Mecze[[#This Row],[OD]]*Mecze[[#This Row],[%OU]],0)</f>
        <v>0</v>
      </c>
      <c r="AD164" s="36" t="s">
        <v>40</v>
      </c>
      <c r="AE164" s="36">
        <v>10</v>
      </c>
      <c r="AF164" s="71">
        <v>8.2899999999999991</v>
      </c>
      <c r="AG164" s="37">
        <v>0</v>
      </c>
      <c r="AH164" s="37">
        <v>0</v>
      </c>
      <c r="AI164" s="37">
        <v>96</v>
      </c>
      <c r="AJ164">
        <v>1</v>
      </c>
      <c r="AK164" s="37" t="str">
        <f>VLOOKUP(Mecze[[#This Row],[Match ID]],Meczusie[Mecz]:Meczusie[RodzajMeczu],2,FALSE)</f>
        <v>Towarzyski</v>
      </c>
    </row>
    <row r="165" spans="1:37" x14ac:dyDescent="0.25">
      <c r="A165" s="76">
        <v>2</v>
      </c>
      <c r="B165" s="3" t="s">
        <v>156</v>
      </c>
      <c r="C165" s="2" t="s">
        <v>157</v>
      </c>
      <c r="D165" s="1">
        <v>0</v>
      </c>
      <c r="E165" s="1">
        <v>0</v>
      </c>
      <c r="F165" s="1">
        <v>0</v>
      </c>
      <c r="G165" s="1">
        <v>9</v>
      </c>
      <c r="H165" s="4">
        <v>0.67</v>
      </c>
      <c r="I165" s="1">
        <v>1</v>
      </c>
      <c r="J165" s="4">
        <v>0</v>
      </c>
      <c r="K165" s="1">
        <v>0</v>
      </c>
      <c r="L165" s="1">
        <v>6</v>
      </c>
      <c r="M165" s="32">
        <f>IF(Mecze[[#This Row],[PR]]=0,0,Mecze[[#This Row],[PR]]/Mecze[[#This Row],[CZAS]])</f>
        <v>6.25E-2</v>
      </c>
      <c r="N165" s="32">
        <f>IF(Mecze[[#This Row],[OU]]=0,0,Mecze[[#This Row],[OU]]/Mecze[[#This Row],[CZAS]])</f>
        <v>0</v>
      </c>
      <c r="O165" s="32">
        <f>IF(Mecze[[#This Row],[PC]]=0,0,Mecze[[#This Row],[PC]]/Mecze[[#This Row],[CZAS]])</f>
        <v>6.25E-2</v>
      </c>
      <c r="P165" s="32">
        <f>IF(Mecze[[#This Row],[SC]]=0,0,Mecze[[#This Row],[SC]]/Mecze[[#This Row],[CZAS]])</f>
        <v>0</v>
      </c>
      <c r="Q165" s="32">
        <f>IF(Mecze[[#This Row],[OB]]=0,0,Mecze[[#This Row],[OB]]/Mecze[[#This Row],[CZAS]])</f>
        <v>0</v>
      </c>
      <c r="R165" s="32">
        <f>IF(Mecze[[#This Row],[BR]]=0,0,Mecze[[#This Row],[BR]]/Mecze[[#This Row],[CZAS]])</f>
        <v>0</v>
      </c>
      <c r="S165" s="44">
        <f>IF(Mecze[[#This Row],[Role]]="BR",SUMPRODUCT(Mecze[[#This Row],[/PR:90]:[/BR:90]],Brudnopis!$E$23:$J$23),0)</f>
        <v>0</v>
      </c>
      <c r="T165" s="44">
        <f>IF(Mecze[[#This Row],[Role]]&lt;&gt;"BR",SUMPRODUCT(Mecze[[#This Row],[/PR:90]:[/BR:90]],Brudnopis!$E$24:$J$24),0)</f>
        <v>0.125</v>
      </c>
      <c r="U165" s="44">
        <f>IF(Mecze[[#This Row],[Role]]&lt;&gt;"BR",SUMPRODUCT(Mecze[[#This Row],[/PR:90]:[/BR:90]],Brudnopis!$E$25:$J$25),0)</f>
        <v>0.15625</v>
      </c>
      <c r="V165" s="44">
        <f>IF(Mecze[[#This Row],[Role]]&lt;&gt;"BR",SUMPRODUCT(Mecze[[#This Row],[/PR:90]:[/BR:90]],Brudnopis!$E$26:$J$26),0)</f>
        <v>0.125</v>
      </c>
      <c r="W165" s="44">
        <f>IF(Mecze[[#This Row],[Role]]&lt;&gt;"BR",SUMPRODUCT(Mecze[[#This Row],[/PR:90]:[/BR:90]],Brudnopis!$E$27:$J$27),0)</f>
        <v>0.140625</v>
      </c>
      <c r="X165" s="44">
        <f>IF(Mecze[[#This Row],[Role]]&lt;&gt;"BR",SUMPRODUCT(Mecze[[#This Row],[/PR:90]:[/BR:90]],Brudnopis!$E$28:$J$28),0)</f>
        <v>6.25E-2</v>
      </c>
      <c r="Y165" s="35">
        <f>IF(Mecze[[#This Row],[Role]]="BR",Mecze[[#This Row],[/OB:90]]+Mecze[[#This Row],[/PC:90]],SUM(Mecze[[#This Row],[/PR:90]:[/BR:90]]))</f>
        <v>0.125</v>
      </c>
      <c r="Z165" s="35">
        <f>IF(Mecze[[#This Row],[KC]]=0,SUM(Mecze[[#This Row],[/BRI]:[/NPI]]),SUM(Mecze[[#This Row],[/BRI]:[/NPI]])*0.6)</f>
        <v>0.609375</v>
      </c>
      <c r="AA165" s="10">
        <f>IFERROR(Mecze[[#This Row],[BR]]/Mecze[[#This Row],[ST]],0)</f>
        <v>0</v>
      </c>
      <c r="AB165">
        <f>ROUND(Mecze[[#This Row],[PD]]*Mecze[[#This Row],[%PC]],0)</f>
        <v>6</v>
      </c>
      <c r="AC165">
        <f>ROUND(Mecze[[#This Row],[OD]]*Mecze[[#This Row],[%OU]],0)</f>
        <v>0</v>
      </c>
      <c r="AD165" s="36" t="s">
        <v>47</v>
      </c>
      <c r="AE165" s="36">
        <v>10</v>
      </c>
      <c r="AF165" s="71">
        <v>5.18</v>
      </c>
      <c r="AG165" s="37">
        <v>0</v>
      </c>
      <c r="AH165" s="37">
        <v>0</v>
      </c>
      <c r="AI165" s="37">
        <v>96</v>
      </c>
      <c r="AJ165">
        <v>1</v>
      </c>
      <c r="AK165" s="37" t="str">
        <f>VLOOKUP(Mecze[[#This Row],[Match ID]],Meczusie[Mecz]:Meczusie[RodzajMeczu],2,FALSE)</f>
        <v>Towarzyski</v>
      </c>
    </row>
    <row r="166" spans="1:37" x14ac:dyDescent="0.25">
      <c r="A166" s="76">
        <v>3</v>
      </c>
      <c r="B166" s="3" t="s">
        <v>158</v>
      </c>
      <c r="C166" s="2" t="s">
        <v>157</v>
      </c>
      <c r="D166" s="1">
        <v>0</v>
      </c>
      <c r="E166" s="1">
        <v>0</v>
      </c>
      <c r="F166" s="1">
        <v>0</v>
      </c>
      <c r="G166" s="1">
        <v>6</v>
      </c>
      <c r="H166" s="4">
        <v>0.33</v>
      </c>
      <c r="I166" s="1">
        <v>2</v>
      </c>
      <c r="J166" s="4">
        <v>0.5</v>
      </c>
      <c r="K166" s="1">
        <v>0</v>
      </c>
      <c r="L166" s="1">
        <v>9</v>
      </c>
      <c r="M166" s="32">
        <f>IF(Mecze[[#This Row],[PR]]=0,0,Mecze[[#This Row],[PR]]/Mecze[[#This Row],[CZAS]])</f>
        <v>9.375E-2</v>
      </c>
      <c r="N166" s="32">
        <f>IF(Mecze[[#This Row],[OU]]=0,0,Mecze[[#This Row],[OU]]/Mecze[[#This Row],[CZAS]])</f>
        <v>1.0416666666666666E-2</v>
      </c>
      <c r="O166" s="32">
        <f>IF(Mecze[[#This Row],[PC]]=0,0,Mecze[[#This Row],[PC]]/Mecze[[#This Row],[CZAS]])</f>
        <v>2.0833333333333332E-2</v>
      </c>
      <c r="P166" s="32">
        <f>IF(Mecze[[#This Row],[SC]]=0,0,Mecze[[#This Row],[SC]]/Mecze[[#This Row],[CZAS]])</f>
        <v>0</v>
      </c>
      <c r="Q166" s="32">
        <f>IF(Mecze[[#This Row],[OB]]=0,0,Mecze[[#This Row],[OB]]/Mecze[[#This Row],[CZAS]])</f>
        <v>0</v>
      </c>
      <c r="R166" s="32">
        <f>IF(Mecze[[#This Row],[BR]]=0,0,Mecze[[#This Row],[BR]]/Mecze[[#This Row],[CZAS]])</f>
        <v>0</v>
      </c>
      <c r="S166" s="44">
        <f>IF(Mecze[[#This Row],[Role]]="BR",SUMPRODUCT(Mecze[[#This Row],[/PR:90]:[/BR:90]],Brudnopis!$E$23:$J$23),0)</f>
        <v>0</v>
      </c>
      <c r="T166" s="44">
        <f>IF(Mecze[[#This Row],[Role]]&lt;&gt;"BR",SUMPRODUCT(Mecze[[#This Row],[/PR:90]:[/BR:90]],Brudnopis!$E$24:$J$24),0)</f>
        <v>0.13020833333333334</v>
      </c>
      <c r="U166" s="44">
        <f>IF(Mecze[[#This Row],[Role]]&lt;&gt;"BR",SUMPRODUCT(Mecze[[#This Row],[/PR:90]:[/BR:90]],Brudnopis!$E$25:$J$25),0)</f>
        <v>0.13541666666666669</v>
      </c>
      <c r="V166" s="44">
        <f>IF(Mecze[[#This Row],[Role]]&lt;&gt;"BR",SUMPRODUCT(Mecze[[#This Row],[/PR:90]:[/BR:90]],Brudnopis!$E$26:$J$26),0)</f>
        <v>0.125</v>
      </c>
      <c r="W166" s="44">
        <f>IF(Mecze[[#This Row],[Role]]&lt;&gt;"BR",SUMPRODUCT(Mecze[[#This Row],[/PR:90]:[/BR:90]],Brudnopis!$E$27:$J$27),0)</f>
        <v>0.109375</v>
      </c>
      <c r="X166" s="44">
        <f>IF(Mecze[[#This Row],[Role]]&lt;&gt;"BR",SUMPRODUCT(Mecze[[#This Row],[/PR:90]:[/BR:90]],Brudnopis!$E$28:$J$28),0)</f>
        <v>2.0833333333333332E-2</v>
      </c>
      <c r="Y166" s="35">
        <f>IF(Mecze[[#This Row],[Role]]="BR",Mecze[[#This Row],[/OB:90]]+Mecze[[#This Row],[/PC:90]],SUM(Mecze[[#This Row],[/PR:90]:[/BR:90]]))</f>
        <v>0.125</v>
      </c>
      <c r="Z166" s="35">
        <f>IF(Mecze[[#This Row],[KC]]=0,SUM(Mecze[[#This Row],[/BRI]:[/NPI]]),SUM(Mecze[[#This Row],[/BRI]:[/NPI]])*0.6)</f>
        <v>0.52083333333333337</v>
      </c>
      <c r="AA166" s="10">
        <f>IFERROR(Mecze[[#This Row],[BR]]/Mecze[[#This Row],[ST]],0)</f>
        <v>0</v>
      </c>
      <c r="AB166">
        <f>ROUND(Mecze[[#This Row],[PD]]*Mecze[[#This Row],[%PC]],0)</f>
        <v>2</v>
      </c>
      <c r="AC166">
        <f>ROUND(Mecze[[#This Row],[OD]]*Mecze[[#This Row],[%OU]],0)</f>
        <v>1</v>
      </c>
      <c r="AD166" s="36" t="s">
        <v>167</v>
      </c>
      <c r="AE166" s="36">
        <v>10</v>
      </c>
      <c r="AF166" s="71">
        <v>5.81</v>
      </c>
      <c r="AG166" s="37">
        <v>0</v>
      </c>
      <c r="AH166" s="37">
        <v>0</v>
      </c>
      <c r="AI166" s="37">
        <v>96</v>
      </c>
      <c r="AJ166">
        <v>1</v>
      </c>
      <c r="AK166" s="37" t="str">
        <f>VLOOKUP(Mecze[[#This Row],[Match ID]],Meczusie[Mecz]:Meczusie[RodzajMeczu],2,FALSE)</f>
        <v>Towarzyski</v>
      </c>
    </row>
    <row r="167" spans="1:37" x14ac:dyDescent="0.25">
      <c r="A167" s="76">
        <v>18</v>
      </c>
      <c r="B167" s="3" t="s">
        <v>211</v>
      </c>
      <c r="C167" s="2" t="s">
        <v>157</v>
      </c>
      <c r="D167" s="1">
        <v>0</v>
      </c>
      <c r="E167" s="1">
        <v>0</v>
      </c>
      <c r="F167" s="1">
        <v>0</v>
      </c>
      <c r="G167" s="1">
        <v>6</v>
      </c>
      <c r="H167" s="4">
        <v>0.5</v>
      </c>
      <c r="I167" s="1">
        <v>4</v>
      </c>
      <c r="J167" s="4">
        <v>0.25</v>
      </c>
      <c r="K167" s="1">
        <v>0</v>
      </c>
      <c r="L167" s="1">
        <v>4</v>
      </c>
      <c r="M167" s="32">
        <f>IF(Mecze[[#This Row],[PR]]=0,0,Mecze[[#This Row],[PR]]/Mecze[[#This Row],[CZAS]])</f>
        <v>4.1666666666666664E-2</v>
      </c>
      <c r="N167" s="32">
        <f>IF(Mecze[[#This Row],[OU]]=0,0,Mecze[[#This Row],[OU]]/Mecze[[#This Row],[CZAS]])</f>
        <v>1.0416666666666666E-2</v>
      </c>
      <c r="O167" s="32">
        <f>IF(Mecze[[#This Row],[PC]]=0,0,Mecze[[#This Row],[PC]]/Mecze[[#This Row],[CZAS]])</f>
        <v>3.125E-2</v>
      </c>
      <c r="P167" s="32">
        <f>IF(Mecze[[#This Row],[SC]]=0,0,Mecze[[#This Row],[SC]]/Mecze[[#This Row],[CZAS]])</f>
        <v>0</v>
      </c>
      <c r="Q167" s="32">
        <f>IF(Mecze[[#This Row],[OB]]=0,0,Mecze[[#This Row],[OB]]/Mecze[[#This Row],[CZAS]])</f>
        <v>0</v>
      </c>
      <c r="R167" s="32">
        <f>IF(Mecze[[#This Row],[BR]]=0,0,Mecze[[#This Row],[BR]]/Mecze[[#This Row],[CZAS]])</f>
        <v>0</v>
      </c>
      <c r="S167" s="44">
        <f>IF(Mecze[[#This Row],[Role]]="BR",SUMPRODUCT(Mecze[[#This Row],[/PR:90]:[/BR:90]],Brudnopis!$E$23:$J$23),0)</f>
        <v>0</v>
      </c>
      <c r="T167" s="44">
        <f>IF(Mecze[[#This Row],[Role]]&lt;&gt;"BR",SUMPRODUCT(Mecze[[#This Row],[/PR:90]:[/BR:90]],Brudnopis!$E$24:$J$24),0)</f>
        <v>8.8541666666666657E-2</v>
      </c>
      <c r="U167" s="44">
        <f>IF(Mecze[[#This Row],[Role]]&lt;&gt;"BR",SUMPRODUCT(Mecze[[#This Row],[/PR:90]:[/BR:90]],Brudnopis!$E$25:$J$25),0)</f>
        <v>9.8958333333333329E-2</v>
      </c>
      <c r="V167" s="44">
        <f>IF(Mecze[[#This Row],[Role]]&lt;&gt;"BR",SUMPRODUCT(Mecze[[#This Row],[/PR:90]:[/BR:90]],Brudnopis!$E$26:$J$26),0)</f>
        <v>8.3333333333333329E-2</v>
      </c>
      <c r="W167" s="44">
        <f>IF(Mecze[[#This Row],[Role]]&lt;&gt;"BR",SUMPRODUCT(Mecze[[#This Row],[/PR:90]:[/BR:90]],Brudnopis!$E$27:$J$27),0)</f>
        <v>8.59375E-2</v>
      </c>
      <c r="X167" s="44">
        <f>IF(Mecze[[#This Row],[Role]]&lt;&gt;"BR",SUMPRODUCT(Mecze[[#This Row],[/PR:90]:[/BR:90]],Brudnopis!$E$28:$J$28),0)</f>
        <v>3.125E-2</v>
      </c>
      <c r="Y167" s="35">
        <f>IF(Mecze[[#This Row],[Role]]="BR",Mecze[[#This Row],[/OB:90]]+Mecze[[#This Row],[/PC:90]],SUM(Mecze[[#This Row],[/PR:90]:[/BR:90]]))</f>
        <v>8.3333333333333329E-2</v>
      </c>
      <c r="Z167" s="35">
        <f>IF(Mecze[[#This Row],[KC]]=0,SUM(Mecze[[#This Row],[/BRI]:[/NPI]]),SUM(Mecze[[#This Row],[/BRI]:[/NPI]])*0.6)</f>
        <v>0.38802083333333331</v>
      </c>
      <c r="AA167" s="10">
        <f>IFERROR(Mecze[[#This Row],[BR]]/Mecze[[#This Row],[ST]],0)</f>
        <v>0</v>
      </c>
      <c r="AB167">
        <f>ROUND(Mecze[[#This Row],[PD]]*Mecze[[#This Row],[%PC]],0)</f>
        <v>3</v>
      </c>
      <c r="AC167">
        <f>ROUND(Mecze[[#This Row],[OD]]*Mecze[[#This Row],[%OU]],0)</f>
        <v>1</v>
      </c>
      <c r="AD167" s="36" t="s">
        <v>168</v>
      </c>
      <c r="AE167" s="36">
        <v>10</v>
      </c>
      <c r="AF167" s="71">
        <v>4.76</v>
      </c>
      <c r="AG167" s="37">
        <v>0</v>
      </c>
      <c r="AH167" s="37">
        <v>0</v>
      </c>
      <c r="AI167" s="37">
        <v>96</v>
      </c>
      <c r="AJ167">
        <v>1</v>
      </c>
      <c r="AK167" s="37" t="str">
        <f>VLOOKUP(Mecze[[#This Row],[Match ID]],Meczusie[Mecz]:Meczusie[RodzajMeczu],2,FALSE)</f>
        <v>Towarzyski</v>
      </c>
    </row>
    <row r="168" spans="1:37" x14ac:dyDescent="0.25">
      <c r="A168" s="76">
        <v>6</v>
      </c>
      <c r="B168" s="3" t="s">
        <v>159</v>
      </c>
      <c r="C168" s="2" t="s">
        <v>160</v>
      </c>
      <c r="D168" s="1">
        <v>0</v>
      </c>
      <c r="E168" s="1">
        <v>0</v>
      </c>
      <c r="F168" s="1">
        <v>0</v>
      </c>
      <c r="G168" s="1">
        <v>19</v>
      </c>
      <c r="H168" s="4">
        <v>0.79</v>
      </c>
      <c r="I168" s="1">
        <v>10</v>
      </c>
      <c r="J168" s="4">
        <v>0.8</v>
      </c>
      <c r="K168" s="1">
        <v>0</v>
      </c>
      <c r="L168" s="1">
        <v>15</v>
      </c>
      <c r="M168" s="32">
        <f>IF(Mecze[[#This Row],[PR]]=0,0,Mecze[[#This Row],[PR]]/Mecze[[#This Row],[CZAS]])</f>
        <v>0.15625</v>
      </c>
      <c r="N168" s="32">
        <f>IF(Mecze[[#This Row],[OU]]=0,0,Mecze[[#This Row],[OU]]/Mecze[[#This Row],[CZAS]])</f>
        <v>8.3333333333333329E-2</v>
      </c>
      <c r="O168" s="32">
        <f>IF(Mecze[[#This Row],[PC]]=0,0,Mecze[[#This Row],[PC]]/Mecze[[#This Row],[CZAS]])</f>
        <v>0.15625</v>
      </c>
      <c r="P168" s="32">
        <f>IF(Mecze[[#This Row],[SC]]=0,0,Mecze[[#This Row],[SC]]/Mecze[[#This Row],[CZAS]])</f>
        <v>0</v>
      </c>
      <c r="Q168" s="32">
        <f>IF(Mecze[[#This Row],[OB]]=0,0,Mecze[[#This Row],[OB]]/Mecze[[#This Row],[CZAS]])</f>
        <v>0</v>
      </c>
      <c r="R168" s="32">
        <f>IF(Mecze[[#This Row],[BR]]=0,0,Mecze[[#This Row],[BR]]/Mecze[[#This Row],[CZAS]])</f>
        <v>0</v>
      </c>
      <c r="S168" s="44">
        <f>IF(Mecze[[#This Row],[Role]]="BR",SUMPRODUCT(Mecze[[#This Row],[/PR:90]:[/BR:90]],Brudnopis!$E$23:$J$23),0)</f>
        <v>0</v>
      </c>
      <c r="T168" s="44">
        <f>IF(Mecze[[#This Row],[Role]]&lt;&gt;"BR",SUMPRODUCT(Mecze[[#This Row],[/PR:90]:[/BR:90]],Brudnopis!$E$24:$J$24),0)</f>
        <v>0.4375</v>
      </c>
      <c r="U168" s="44">
        <f>IF(Mecze[[#This Row],[Role]]&lt;&gt;"BR",SUMPRODUCT(Mecze[[#This Row],[/PR:90]:[/BR:90]],Brudnopis!$E$25:$J$25),0)</f>
        <v>0.47395833333333331</v>
      </c>
      <c r="V168" s="44">
        <f>IF(Mecze[[#This Row],[Role]]&lt;&gt;"BR",SUMPRODUCT(Mecze[[#This Row],[/PR:90]:[/BR:90]],Brudnopis!$E$26:$J$26),0)</f>
        <v>0.39583333333333331</v>
      </c>
      <c r="W168" s="44">
        <f>IF(Mecze[[#This Row],[Role]]&lt;&gt;"BR",SUMPRODUCT(Mecze[[#This Row],[/PR:90]:[/BR:90]],Brudnopis!$E$27:$J$27),0)</f>
        <v>0.4140625</v>
      </c>
      <c r="X168" s="44">
        <f>IF(Mecze[[#This Row],[Role]]&lt;&gt;"BR",SUMPRODUCT(Mecze[[#This Row],[/PR:90]:[/BR:90]],Brudnopis!$E$28:$J$28),0)</f>
        <v>0.15625</v>
      </c>
      <c r="Y168" s="35">
        <f>IF(Mecze[[#This Row],[Role]]="BR",Mecze[[#This Row],[/OB:90]]+Mecze[[#This Row],[/PC:90]],SUM(Mecze[[#This Row],[/PR:90]:[/BR:90]]))</f>
        <v>0.39583333333333331</v>
      </c>
      <c r="Z168" s="35">
        <f>IF(Mecze[[#This Row],[KC]]=0,SUM(Mecze[[#This Row],[/BRI]:[/NPI]]),SUM(Mecze[[#This Row],[/BRI]:[/NPI]])*0.6)</f>
        <v>1.8776041666666665</v>
      </c>
      <c r="AA168" s="10">
        <f>IFERROR(Mecze[[#This Row],[BR]]/Mecze[[#This Row],[ST]],0)</f>
        <v>0</v>
      </c>
      <c r="AB168">
        <f>ROUND(Mecze[[#This Row],[PD]]*Mecze[[#This Row],[%PC]],0)</f>
        <v>15</v>
      </c>
      <c r="AC168">
        <f>ROUND(Mecze[[#This Row],[OD]]*Mecze[[#This Row],[%OU]],0)</f>
        <v>8</v>
      </c>
      <c r="AD168" s="36" t="s">
        <v>41</v>
      </c>
      <c r="AE168" s="36">
        <v>10</v>
      </c>
      <c r="AF168" s="71">
        <v>7.17</v>
      </c>
      <c r="AG168" s="37">
        <v>1</v>
      </c>
      <c r="AH168" s="37">
        <v>0</v>
      </c>
      <c r="AI168" s="37">
        <v>96</v>
      </c>
      <c r="AJ168">
        <v>1</v>
      </c>
      <c r="AK168" s="37" t="str">
        <f>VLOOKUP(Mecze[[#This Row],[Match ID]],Meczusie[Mecz]:Meczusie[RodzajMeczu],2,FALSE)</f>
        <v>Towarzyski</v>
      </c>
    </row>
    <row r="169" spans="1:37" x14ac:dyDescent="0.25">
      <c r="A169" s="76">
        <v>5</v>
      </c>
      <c r="B169" s="3" t="s">
        <v>161</v>
      </c>
      <c r="C169" s="2" t="s">
        <v>160</v>
      </c>
      <c r="D169" s="1">
        <v>0</v>
      </c>
      <c r="E169" s="1">
        <v>0</v>
      </c>
      <c r="F169" s="1">
        <v>0</v>
      </c>
      <c r="G169" s="1">
        <v>11</v>
      </c>
      <c r="H169" s="4">
        <v>0.82</v>
      </c>
      <c r="I169" s="1">
        <v>12</v>
      </c>
      <c r="J169" s="4">
        <v>0.33</v>
      </c>
      <c r="K169" s="1">
        <v>0</v>
      </c>
      <c r="L169" s="1">
        <v>8</v>
      </c>
      <c r="M169" s="32">
        <f>IF(Mecze[[#This Row],[PR]]=0,0,Mecze[[#This Row],[PR]]/Mecze[[#This Row],[CZAS]])</f>
        <v>8.3333333333333329E-2</v>
      </c>
      <c r="N169" s="32">
        <f>IF(Mecze[[#This Row],[OU]]=0,0,Mecze[[#This Row],[OU]]/Mecze[[#This Row],[CZAS]])</f>
        <v>4.1666666666666664E-2</v>
      </c>
      <c r="O169" s="32">
        <f>IF(Mecze[[#This Row],[PC]]=0,0,Mecze[[#This Row],[PC]]/Mecze[[#This Row],[CZAS]])</f>
        <v>9.375E-2</v>
      </c>
      <c r="P169" s="32">
        <f>IF(Mecze[[#This Row],[SC]]=0,0,Mecze[[#This Row],[SC]]/Mecze[[#This Row],[CZAS]])</f>
        <v>0</v>
      </c>
      <c r="Q169" s="32">
        <f>IF(Mecze[[#This Row],[OB]]=0,0,Mecze[[#This Row],[OB]]/Mecze[[#This Row],[CZAS]])</f>
        <v>0</v>
      </c>
      <c r="R169" s="32">
        <f>IF(Mecze[[#This Row],[BR]]=0,0,Mecze[[#This Row],[BR]]/Mecze[[#This Row],[CZAS]])</f>
        <v>0</v>
      </c>
      <c r="S169" s="44">
        <f>IF(Mecze[[#This Row],[Role]]="BR",SUMPRODUCT(Mecze[[#This Row],[/PR:90]:[/BR:90]],Brudnopis!$E$23:$J$23),0)</f>
        <v>0</v>
      </c>
      <c r="T169" s="44">
        <f>IF(Mecze[[#This Row],[Role]]&lt;&gt;"BR",SUMPRODUCT(Mecze[[#This Row],[/PR:90]:[/BR:90]],Brudnopis!$E$24:$J$24),0)</f>
        <v>0.23958333333333331</v>
      </c>
      <c r="U169" s="44">
        <f>IF(Mecze[[#This Row],[Role]]&lt;&gt;"BR",SUMPRODUCT(Mecze[[#This Row],[/PR:90]:[/BR:90]],Brudnopis!$E$25:$J$25),0)</f>
        <v>0.265625</v>
      </c>
      <c r="V169" s="44">
        <f>IF(Mecze[[#This Row],[Role]]&lt;&gt;"BR",SUMPRODUCT(Mecze[[#This Row],[/PR:90]:[/BR:90]],Brudnopis!$E$26:$J$26),0)</f>
        <v>0.21875</v>
      </c>
      <c r="W169" s="44">
        <f>IF(Mecze[[#This Row],[Role]]&lt;&gt;"BR",SUMPRODUCT(Mecze[[#This Row],[/PR:90]:[/BR:90]],Brudnopis!$E$27:$J$27),0)</f>
        <v>0.234375</v>
      </c>
      <c r="X169" s="44">
        <f>IF(Mecze[[#This Row],[Role]]&lt;&gt;"BR",SUMPRODUCT(Mecze[[#This Row],[/PR:90]:[/BR:90]],Brudnopis!$E$28:$J$28),0)</f>
        <v>9.375E-2</v>
      </c>
      <c r="Y169" s="35">
        <f>IF(Mecze[[#This Row],[Role]]="BR",Mecze[[#This Row],[/OB:90]]+Mecze[[#This Row],[/PC:90]],SUM(Mecze[[#This Row],[/PR:90]:[/BR:90]]))</f>
        <v>0.21875</v>
      </c>
      <c r="Z169" s="35">
        <f>IF(Mecze[[#This Row],[KC]]=0,SUM(Mecze[[#This Row],[/BRI]:[/NPI]]),SUM(Mecze[[#This Row],[/BRI]:[/NPI]])*0.6)</f>
        <v>1.0520833333333333</v>
      </c>
      <c r="AA169" s="10">
        <f>IFERROR(Mecze[[#This Row],[BR]]/Mecze[[#This Row],[ST]],0)</f>
        <v>0</v>
      </c>
      <c r="AB169">
        <f>ROUND(Mecze[[#This Row],[PD]]*Mecze[[#This Row],[%PC]],0)</f>
        <v>9</v>
      </c>
      <c r="AC169">
        <f>ROUND(Mecze[[#This Row],[OD]]*Mecze[[#This Row],[%OU]],0)</f>
        <v>4</v>
      </c>
      <c r="AD169" s="36" t="s">
        <v>41</v>
      </c>
      <c r="AE169" s="36">
        <v>10</v>
      </c>
      <c r="AF169" s="71">
        <v>7.72</v>
      </c>
      <c r="AG169" s="37">
        <v>0</v>
      </c>
      <c r="AH169" s="37">
        <v>0</v>
      </c>
      <c r="AI169" s="37">
        <v>96</v>
      </c>
      <c r="AJ169">
        <v>1</v>
      </c>
      <c r="AK169" s="37" t="str">
        <f>VLOOKUP(Mecze[[#This Row],[Match ID]],Meczusie[Mecz]:Meczusie[RodzajMeczu],2,FALSE)</f>
        <v>Towarzyski</v>
      </c>
    </row>
    <row r="170" spans="1:37" x14ac:dyDescent="0.25">
      <c r="A170" s="76">
        <v>8</v>
      </c>
      <c r="B170" s="3" t="s">
        <v>154</v>
      </c>
      <c r="C170" s="2" t="s">
        <v>160</v>
      </c>
      <c r="D170" s="1">
        <v>0</v>
      </c>
      <c r="E170" s="1">
        <v>0</v>
      </c>
      <c r="F170" s="1">
        <v>0</v>
      </c>
      <c r="G170" s="1">
        <v>12</v>
      </c>
      <c r="H170" s="4">
        <v>0.75</v>
      </c>
      <c r="I170" s="1">
        <v>2</v>
      </c>
      <c r="J170" s="4">
        <v>0.5</v>
      </c>
      <c r="K170" s="1">
        <v>0</v>
      </c>
      <c r="L170" s="1">
        <v>1</v>
      </c>
      <c r="M170" s="32">
        <f>IF(Mecze[[#This Row],[PR]]=0,0,Mecze[[#This Row],[PR]]/Mecze[[#This Row],[CZAS]])</f>
        <v>1.0416666666666666E-2</v>
      </c>
      <c r="N170" s="32">
        <f>IF(Mecze[[#This Row],[OU]]=0,0,Mecze[[#This Row],[OU]]/Mecze[[#This Row],[CZAS]])</f>
        <v>1.0416666666666666E-2</v>
      </c>
      <c r="O170" s="32">
        <f>IF(Mecze[[#This Row],[PC]]=0,0,Mecze[[#This Row],[PC]]/Mecze[[#This Row],[CZAS]])</f>
        <v>9.375E-2</v>
      </c>
      <c r="P170" s="32">
        <f>IF(Mecze[[#This Row],[SC]]=0,0,Mecze[[#This Row],[SC]]/Mecze[[#This Row],[CZAS]])</f>
        <v>0</v>
      </c>
      <c r="Q170" s="32">
        <f>IF(Mecze[[#This Row],[OB]]=0,0,Mecze[[#This Row],[OB]]/Mecze[[#This Row],[CZAS]])</f>
        <v>0</v>
      </c>
      <c r="R170" s="32">
        <f>IF(Mecze[[#This Row],[BR]]=0,0,Mecze[[#This Row],[BR]]/Mecze[[#This Row],[CZAS]])</f>
        <v>0</v>
      </c>
      <c r="S170" s="44">
        <f>IF(Mecze[[#This Row],[Role]]="BR",SUMPRODUCT(Mecze[[#This Row],[/PR:90]:[/BR:90]],Brudnopis!$E$23:$J$23),0)</f>
        <v>0</v>
      </c>
      <c r="T170" s="44">
        <f>IF(Mecze[[#This Row],[Role]]&lt;&gt;"BR",SUMPRODUCT(Mecze[[#This Row],[/PR:90]:[/BR:90]],Brudnopis!$E$24:$J$24),0)</f>
        <v>0.11979166666666666</v>
      </c>
      <c r="U170" s="44">
        <f>IF(Mecze[[#This Row],[Role]]&lt;&gt;"BR",SUMPRODUCT(Mecze[[#This Row],[/PR:90]:[/BR:90]],Brudnopis!$E$25:$J$25),0)</f>
        <v>0.16145833333333334</v>
      </c>
      <c r="V170" s="44">
        <f>IF(Mecze[[#This Row],[Role]]&lt;&gt;"BR",SUMPRODUCT(Mecze[[#This Row],[/PR:90]:[/BR:90]],Brudnopis!$E$26:$J$26),0)</f>
        <v>0.11458333333333333</v>
      </c>
      <c r="W170" s="44">
        <f>IF(Mecze[[#This Row],[Role]]&lt;&gt;"BR",SUMPRODUCT(Mecze[[#This Row],[/PR:90]:[/BR:90]],Brudnopis!$E$27:$J$27),0)</f>
        <v>0.15625</v>
      </c>
      <c r="X170" s="44">
        <f>IF(Mecze[[#This Row],[Role]]&lt;&gt;"BR",SUMPRODUCT(Mecze[[#This Row],[/PR:90]:[/BR:90]],Brudnopis!$E$28:$J$28),0)</f>
        <v>9.375E-2</v>
      </c>
      <c r="Y170" s="35">
        <f>IF(Mecze[[#This Row],[Role]]="BR",Mecze[[#This Row],[/OB:90]]+Mecze[[#This Row],[/PC:90]],SUM(Mecze[[#This Row],[/PR:90]:[/BR:90]]))</f>
        <v>0.11458333333333333</v>
      </c>
      <c r="Z170" s="35">
        <f>IF(Mecze[[#This Row],[KC]]=0,SUM(Mecze[[#This Row],[/BRI]:[/NPI]]),SUM(Mecze[[#This Row],[/BRI]:[/NPI]])*0.6)</f>
        <v>0.64583333333333326</v>
      </c>
      <c r="AA170" s="10">
        <f>IFERROR(Mecze[[#This Row],[BR]]/Mecze[[#This Row],[ST]],0)</f>
        <v>0</v>
      </c>
      <c r="AB170">
        <f>ROUND(Mecze[[#This Row],[PD]]*Mecze[[#This Row],[%PC]],0)</f>
        <v>9</v>
      </c>
      <c r="AC170">
        <f>ROUND(Mecze[[#This Row],[OD]]*Mecze[[#This Row],[%OU]],0)</f>
        <v>1</v>
      </c>
      <c r="AD170" s="36" t="s">
        <v>67</v>
      </c>
      <c r="AE170" s="36">
        <v>10</v>
      </c>
      <c r="AF170" s="71">
        <v>5.34</v>
      </c>
      <c r="AG170" s="37">
        <v>0</v>
      </c>
      <c r="AH170" s="37">
        <v>0</v>
      </c>
      <c r="AI170" s="37">
        <v>96</v>
      </c>
      <c r="AJ170">
        <v>1</v>
      </c>
      <c r="AK170" s="37" t="str">
        <f>VLOOKUP(Mecze[[#This Row],[Match ID]],Meczusie[Mecz]:Meczusie[RodzajMeczu],2,FALSE)</f>
        <v>Towarzyski</v>
      </c>
    </row>
    <row r="171" spans="1:37" x14ac:dyDescent="0.25">
      <c r="A171" s="76">
        <v>15</v>
      </c>
      <c r="B171" s="3" t="s">
        <v>170</v>
      </c>
      <c r="C171" s="2" t="s">
        <v>160</v>
      </c>
      <c r="D171" s="1">
        <v>0</v>
      </c>
      <c r="E171" s="1">
        <v>2</v>
      </c>
      <c r="F171" s="1">
        <v>2</v>
      </c>
      <c r="G171" s="1">
        <v>8</v>
      </c>
      <c r="H171" s="4">
        <v>0.88</v>
      </c>
      <c r="I171" s="1">
        <v>5</v>
      </c>
      <c r="J171" s="4">
        <v>0.2</v>
      </c>
      <c r="K171" s="1">
        <v>0</v>
      </c>
      <c r="L171" s="1">
        <v>4</v>
      </c>
      <c r="M171" s="32">
        <f>IF(Mecze[[#This Row],[PR]]=0,0,Mecze[[#This Row],[PR]]/Mecze[[#This Row],[CZAS]])</f>
        <v>4.1666666666666664E-2</v>
      </c>
      <c r="N171" s="32">
        <f>IF(Mecze[[#This Row],[OU]]=0,0,Mecze[[#This Row],[OU]]/Mecze[[#This Row],[CZAS]])</f>
        <v>1.0416666666666666E-2</v>
      </c>
      <c r="O171" s="32">
        <f>IF(Mecze[[#This Row],[PC]]=0,0,Mecze[[#This Row],[PC]]/Mecze[[#This Row],[CZAS]])</f>
        <v>7.2916666666666671E-2</v>
      </c>
      <c r="P171" s="32">
        <f>IF(Mecze[[#This Row],[SC]]=0,0,Mecze[[#This Row],[SC]]/Mecze[[#This Row],[CZAS]])</f>
        <v>2.0833333333333332E-2</v>
      </c>
      <c r="Q171" s="32">
        <f>IF(Mecze[[#This Row],[OB]]=0,0,Mecze[[#This Row],[OB]]/Mecze[[#This Row],[CZAS]])</f>
        <v>0</v>
      </c>
      <c r="R171" s="32">
        <f>IF(Mecze[[#This Row],[BR]]=0,0,Mecze[[#This Row],[BR]]/Mecze[[#This Row],[CZAS]])</f>
        <v>0</v>
      </c>
      <c r="S171" s="44">
        <f>IF(Mecze[[#This Row],[Role]]="BR",SUMPRODUCT(Mecze[[#This Row],[/PR:90]:[/BR:90]],Brudnopis!$E$23:$J$23),0)</f>
        <v>0</v>
      </c>
      <c r="T171" s="44">
        <f>IF(Mecze[[#This Row],[Role]]&lt;&gt;"BR",SUMPRODUCT(Mecze[[#This Row],[/PR:90]:[/BR:90]],Brudnopis!$E$24:$J$24),0)</f>
        <v>0.15104166666666669</v>
      </c>
      <c r="U171" s="44">
        <f>IF(Mecze[[#This Row],[Role]]&lt;&gt;"BR",SUMPRODUCT(Mecze[[#This Row],[/PR:90]:[/BR:90]],Brudnopis!$E$25:$J$25),0)</f>
        <v>0.18229166666666666</v>
      </c>
      <c r="V171" s="44">
        <f>IF(Mecze[[#This Row],[Role]]&lt;&gt;"BR",SUMPRODUCT(Mecze[[#This Row],[/PR:90]:[/BR:90]],Brudnopis!$E$26:$J$26),0)</f>
        <v>0.14583333333333334</v>
      </c>
      <c r="W171" s="44">
        <f>IF(Mecze[[#This Row],[Role]]&lt;&gt;"BR",SUMPRODUCT(Mecze[[#This Row],[/PR:90]:[/BR:90]],Brudnopis!$E$27:$J$27),0)</f>
        <v>0.16927083333333334</v>
      </c>
      <c r="X171" s="44">
        <f>IF(Mecze[[#This Row],[Role]]&lt;&gt;"BR",SUMPRODUCT(Mecze[[#This Row],[/PR:90]:[/BR:90]],Brudnopis!$E$28:$J$28),0)</f>
        <v>0.11458333333333334</v>
      </c>
      <c r="Y171" s="35">
        <f>IF(Mecze[[#This Row],[Role]]="BR",Mecze[[#This Row],[/OB:90]]+Mecze[[#This Row],[/PC:90]],SUM(Mecze[[#This Row],[/PR:90]:[/BR:90]]))</f>
        <v>0.14583333333333334</v>
      </c>
      <c r="Z171" s="35">
        <f>IF(Mecze[[#This Row],[KC]]=0,SUM(Mecze[[#This Row],[/BRI]:[/NPI]]),SUM(Mecze[[#This Row],[/BRI]:[/NPI]])*0.6)</f>
        <v>0.76302083333333348</v>
      </c>
      <c r="AA171" s="10">
        <f>IFERROR(Mecze[[#This Row],[BR]]/Mecze[[#This Row],[ST]],0)</f>
        <v>0</v>
      </c>
      <c r="AB171">
        <f>ROUND(Mecze[[#This Row],[PD]]*Mecze[[#This Row],[%PC]],0)</f>
        <v>7</v>
      </c>
      <c r="AC171">
        <f>ROUND(Mecze[[#This Row],[OD]]*Mecze[[#This Row],[%OU]],0)</f>
        <v>1</v>
      </c>
      <c r="AD171" s="36" t="s">
        <v>44</v>
      </c>
      <c r="AE171" s="36">
        <v>10</v>
      </c>
      <c r="AF171" s="71">
        <v>6.23</v>
      </c>
      <c r="AG171" s="37">
        <v>1</v>
      </c>
      <c r="AH171" s="37">
        <v>0</v>
      </c>
      <c r="AI171" s="37">
        <v>96</v>
      </c>
      <c r="AJ171">
        <v>1</v>
      </c>
      <c r="AK171" s="37" t="str">
        <f>VLOOKUP(Mecze[[#This Row],[Match ID]],Meczusie[Mecz]:Meczusie[RodzajMeczu],2,FALSE)</f>
        <v>Towarzyski</v>
      </c>
    </row>
    <row r="172" spans="1:37" x14ac:dyDescent="0.25">
      <c r="A172" s="76">
        <v>13</v>
      </c>
      <c r="B172" s="3" t="s">
        <v>162</v>
      </c>
      <c r="C172" s="2" t="s">
        <v>160</v>
      </c>
      <c r="D172" s="1">
        <v>0</v>
      </c>
      <c r="E172" s="1">
        <v>1</v>
      </c>
      <c r="F172" s="1">
        <v>1</v>
      </c>
      <c r="G172" s="1">
        <v>7</v>
      </c>
      <c r="H172" s="4">
        <v>0.71</v>
      </c>
      <c r="I172" s="1">
        <v>2</v>
      </c>
      <c r="J172" s="4">
        <v>0</v>
      </c>
      <c r="K172" s="1">
        <v>0</v>
      </c>
      <c r="L172" s="1">
        <v>1</v>
      </c>
      <c r="M172" s="32">
        <f>IF(Mecze[[#This Row],[PR]]=0,0,Mecze[[#This Row],[PR]]/Mecze[[#This Row],[CZAS]])</f>
        <v>1.0416666666666666E-2</v>
      </c>
      <c r="N172" s="32">
        <f>IF(Mecze[[#This Row],[OU]]=0,0,Mecze[[#This Row],[OU]]/Mecze[[#This Row],[CZAS]])</f>
        <v>0</v>
      </c>
      <c r="O172" s="32">
        <f>IF(Mecze[[#This Row],[PC]]=0,0,Mecze[[#This Row],[PC]]/Mecze[[#This Row],[CZAS]])</f>
        <v>5.2083333333333336E-2</v>
      </c>
      <c r="P172" s="32">
        <f>IF(Mecze[[#This Row],[SC]]=0,0,Mecze[[#This Row],[SC]]/Mecze[[#This Row],[CZAS]])</f>
        <v>1.0416666666666666E-2</v>
      </c>
      <c r="Q172" s="32">
        <f>IF(Mecze[[#This Row],[OB]]=0,0,Mecze[[#This Row],[OB]]/Mecze[[#This Row],[CZAS]])</f>
        <v>0</v>
      </c>
      <c r="R172" s="32">
        <f>IF(Mecze[[#This Row],[BR]]=0,0,Mecze[[#This Row],[BR]]/Mecze[[#This Row],[CZAS]])</f>
        <v>0</v>
      </c>
      <c r="S172" s="44">
        <f>IF(Mecze[[#This Row],[Role]]="BR",SUMPRODUCT(Mecze[[#This Row],[/PR:90]:[/BR:90]],Brudnopis!$E$23:$J$23),0)</f>
        <v>0</v>
      </c>
      <c r="T172" s="44">
        <f>IF(Mecze[[#This Row],[Role]]&lt;&gt;"BR",SUMPRODUCT(Mecze[[#This Row],[/PR:90]:[/BR:90]],Brudnopis!$E$24:$J$24),0)</f>
        <v>7.2916666666666671E-2</v>
      </c>
      <c r="U172" s="44">
        <f>IF(Mecze[[#This Row],[Role]]&lt;&gt;"BR",SUMPRODUCT(Mecze[[#This Row],[/PR:90]:[/BR:90]],Brudnopis!$E$25:$J$25),0)</f>
        <v>9.8958333333333343E-2</v>
      </c>
      <c r="V172" s="44">
        <f>IF(Mecze[[#This Row],[Role]]&lt;&gt;"BR",SUMPRODUCT(Mecze[[#This Row],[/PR:90]:[/BR:90]],Brudnopis!$E$26:$J$26),0)</f>
        <v>7.2916666666666671E-2</v>
      </c>
      <c r="W172" s="44">
        <f>IF(Mecze[[#This Row],[Role]]&lt;&gt;"BR",SUMPRODUCT(Mecze[[#This Row],[/PR:90]:[/BR:90]],Brudnopis!$E$27:$J$27),0)</f>
        <v>9.6354166666666671E-2</v>
      </c>
      <c r="X172" s="44">
        <f>IF(Mecze[[#This Row],[Role]]&lt;&gt;"BR",SUMPRODUCT(Mecze[[#This Row],[/PR:90]:[/BR:90]],Brudnopis!$E$28:$J$28),0)</f>
        <v>7.2916666666666671E-2</v>
      </c>
      <c r="Y172" s="35">
        <f>IF(Mecze[[#This Row],[Role]]="BR",Mecze[[#This Row],[/OB:90]]+Mecze[[#This Row],[/PC:90]],SUM(Mecze[[#This Row],[/PR:90]:[/BR:90]]))</f>
        <v>7.2916666666666671E-2</v>
      </c>
      <c r="Z172" s="35">
        <f>IF(Mecze[[#This Row],[KC]]=0,SUM(Mecze[[#This Row],[/BRI]:[/NPI]]),SUM(Mecze[[#This Row],[/BRI]:[/NPI]])*0.6)</f>
        <v>0.41406250000000006</v>
      </c>
      <c r="AA172" s="10">
        <f>IFERROR(Mecze[[#This Row],[BR]]/Mecze[[#This Row],[ST]],0)</f>
        <v>0</v>
      </c>
      <c r="AB172">
        <f>ROUND(Mecze[[#This Row],[PD]]*Mecze[[#This Row],[%PC]],0)</f>
        <v>5</v>
      </c>
      <c r="AC172">
        <f>ROUND(Mecze[[#This Row],[OD]]*Mecze[[#This Row],[%OU]],0)</f>
        <v>0</v>
      </c>
      <c r="AD172" s="36" t="s">
        <v>44</v>
      </c>
      <c r="AE172" s="36">
        <v>10</v>
      </c>
      <c r="AF172" s="71">
        <v>5.57</v>
      </c>
      <c r="AG172" s="37">
        <v>0</v>
      </c>
      <c r="AH172" s="37">
        <v>0</v>
      </c>
      <c r="AI172" s="37">
        <v>96</v>
      </c>
      <c r="AJ172">
        <v>1</v>
      </c>
      <c r="AK172" s="37" t="str">
        <f>VLOOKUP(Mecze[[#This Row],[Match ID]],Meczusie[Mecz]:Meczusie[RodzajMeczu],2,FALSE)</f>
        <v>Towarzyski</v>
      </c>
    </row>
    <row r="173" spans="1:37" x14ac:dyDescent="0.25">
      <c r="A173" s="76">
        <v>14</v>
      </c>
      <c r="B173" s="3" t="s">
        <v>164</v>
      </c>
      <c r="C173" s="2" t="s">
        <v>165</v>
      </c>
      <c r="D173" s="1">
        <v>2</v>
      </c>
      <c r="E173" s="1">
        <v>10</v>
      </c>
      <c r="F173" s="1">
        <v>10</v>
      </c>
      <c r="G173" s="1">
        <v>11</v>
      </c>
      <c r="H173" s="4">
        <v>0.64</v>
      </c>
      <c r="I173" s="1">
        <v>0</v>
      </c>
      <c r="J173" s="4"/>
      <c r="K173" s="1">
        <v>0</v>
      </c>
      <c r="L173" s="1">
        <v>1</v>
      </c>
      <c r="M173" s="32">
        <f>IF(Mecze[[#This Row],[PR]]=0,0,Mecze[[#This Row],[PR]]/Mecze[[#This Row],[CZAS]])</f>
        <v>1.0416666666666666E-2</v>
      </c>
      <c r="N173" s="32">
        <f>IF(Mecze[[#This Row],[OU]]=0,0,Mecze[[#This Row],[OU]]/Mecze[[#This Row],[CZAS]])</f>
        <v>0</v>
      </c>
      <c r="O173" s="32">
        <f>IF(Mecze[[#This Row],[PC]]=0,0,Mecze[[#This Row],[PC]]/Mecze[[#This Row],[CZAS]])</f>
        <v>7.2916666666666671E-2</v>
      </c>
      <c r="P173" s="32">
        <f>IF(Mecze[[#This Row],[SC]]=0,0,Mecze[[#This Row],[SC]]/Mecze[[#This Row],[CZAS]])</f>
        <v>0.10416666666666667</v>
      </c>
      <c r="Q173" s="32">
        <f>IF(Mecze[[#This Row],[OB]]=0,0,Mecze[[#This Row],[OB]]/Mecze[[#This Row],[CZAS]])</f>
        <v>0</v>
      </c>
      <c r="R173" s="32">
        <f>IF(Mecze[[#This Row],[BR]]=0,0,Mecze[[#This Row],[BR]]/Mecze[[#This Row],[CZAS]])</f>
        <v>2.0833333333333332E-2</v>
      </c>
      <c r="S173" s="44">
        <f>IF(Mecze[[#This Row],[Role]]="BR",SUMPRODUCT(Mecze[[#This Row],[/PR:90]:[/BR:90]],Brudnopis!$E$23:$J$23),0)</f>
        <v>0</v>
      </c>
      <c r="T173" s="44">
        <f>IF(Mecze[[#This Row],[Role]]&lt;&gt;"BR",SUMPRODUCT(Mecze[[#This Row],[/PR:90]:[/BR:90]],Brudnopis!$E$24:$J$24),0)</f>
        <v>0.21875</v>
      </c>
      <c r="U173" s="44">
        <f>IF(Mecze[[#This Row],[Role]]&lt;&gt;"BR",SUMPRODUCT(Mecze[[#This Row],[/PR:90]:[/BR:90]],Brudnopis!$E$25:$J$25),0)</f>
        <v>0.25520833333333337</v>
      </c>
      <c r="V173" s="44">
        <f>IF(Mecze[[#This Row],[Role]]&lt;&gt;"BR",SUMPRODUCT(Mecze[[#This Row],[/PR:90]:[/BR:90]],Brudnopis!$E$26:$J$26),0)</f>
        <v>0.22916666666666666</v>
      </c>
      <c r="W173" s="44">
        <f>IF(Mecze[[#This Row],[Role]]&lt;&gt;"BR",SUMPRODUCT(Mecze[[#This Row],[/PR:90]:[/BR:90]],Brudnopis!$E$27:$J$27),0)</f>
        <v>0.26302083333333337</v>
      </c>
      <c r="X173" s="44">
        <f>IF(Mecze[[#This Row],[Role]]&lt;&gt;"BR",SUMPRODUCT(Mecze[[#This Row],[/PR:90]:[/BR:90]],Brudnopis!$E$28:$J$28),0)</f>
        <v>0.34375</v>
      </c>
      <c r="Y173" s="35">
        <f>IF(Mecze[[#This Row],[Role]]="BR",Mecze[[#This Row],[/OB:90]]+Mecze[[#This Row],[/PC:90]],SUM(Mecze[[#This Row],[/PR:90]:[/BR:90]]))</f>
        <v>0.20833333333333334</v>
      </c>
      <c r="Z173" s="35">
        <f>IF(Mecze[[#This Row],[KC]]=0,SUM(Mecze[[#This Row],[/BRI]:[/NPI]]),SUM(Mecze[[#This Row],[/BRI]:[/NPI]])*0.6)</f>
        <v>1.3098958333333335</v>
      </c>
      <c r="AA173" s="10">
        <f>IFERROR(Mecze[[#This Row],[BR]]/Mecze[[#This Row],[ST]],0)</f>
        <v>0.2</v>
      </c>
      <c r="AB173">
        <f>ROUND(Mecze[[#This Row],[PD]]*Mecze[[#This Row],[%PC]],0)</f>
        <v>7</v>
      </c>
      <c r="AC173">
        <f>ROUND(Mecze[[#This Row],[OD]]*Mecze[[#This Row],[%OU]],0)</f>
        <v>0</v>
      </c>
      <c r="AD173" s="36" t="s">
        <v>46</v>
      </c>
      <c r="AE173" s="36">
        <v>10</v>
      </c>
      <c r="AF173" s="71">
        <v>12.06</v>
      </c>
      <c r="AG173" s="37">
        <v>0</v>
      </c>
      <c r="AH173" s="37">
        <v>0</v>
      </c>
      <c r="AI173" s="37">
        <v>96</v>
      </c>
      <c r="AJ173">
        <v>1</v>
      </c>
      <c r="AK173" s="37" t="str">
        <f>VLOOKUP(Mecze[[#This Row],[Match ID]],Meczusie[Mecz]:Meczusie[RodzajMeczu],2,FALSE)</f>
        <v>Towarzyski</v>
      </c>
    </row>
    <row r="174" spans="1:37" x14ac:dyDescent="0.25">
      <c r="A174" s="76">
        <v>19</v>
      </c>
      <c r="B174" s="3" t="s">
        <v>166</v>
      </c>
      <c r="C174" s="2" t="s">
        <v>165</v>
      </c>
      <c r="D174" s="1">
        <v>0</v>
      </c>
      <c r="E174" s="1">
        <v>12</v>
      </c>
      <c r="F174" s="1">
        <v>11</v>
      </c>
      <c r="G174" s="1">
        <v>12</v>
      </c>
      <c r="H174" s="4">
        <v>0.57999999999999996</v>
      </c>
      <c r="I174" s="1">
        <v>0</v>
      </c>
      <c r="J174" s="4"/>
      <c r="K174" s="1">
        <v>0</v>
      </c>
      <c r="L174" s="1">
        <v>1</v>
      </c>
      <c r="M174" s="32">
        <f>IF(Mecze[[#This Row],[PR]]=0,0,Mecze[[#This Row],[PR]]/Mecze[[#This Row],[CZAS]])</f>
        <v>1.0416666666666666E-2</v>
      </c>
      <c r="N174" s="32">
        <f>IF(Mecze[[#This Row],[OU]]=0,0,Mecze[[#This Row],[OU]]/Mecze[[#This Row],[CZAS]])</f>
        <v>0</v>
      </c>
      <c r="O174" s="32">
        <f>IF(Mecze[[#This Row],[PC]]=0,0,Mecze[[#This Row],[PC]]/Mecze[[#This Row],[CZAS]])</f>
        <v>7.2916666666666671E-2</v>
      </c>
      <c r="P174" s="32">
        <f>IF(Mecze[[#This Row],[SC]]=0,0,Mecze[[#This Row],[SC]]/Mecze[[#This Row],[CZAS]])</f>
        <v>0.11458333333333333</v>
      </c>
      <c r="Q174" s="32">
        <f>IF(Mecze[[#This Row],[OB]]=0,0,Mecze[[#This Row],[OB]]/Mecze[[#This Row],[CZAS]])</f>
        <v>0</v>
      </c>
      <c r="R174" s="32">
        <f>IF(Mecze[[#This Row],[BR]]=0,0,Mecze[[#This Row],[BR]]/Mecze[[#This Row],[CZAS]])</f>
        <v>0</v>
      </c>
      <c r="S174" s="44">
        <f>IF(Mecze[[#This Row],[Role]]="BR",SUMPRODUCT(Mecze[[#This Row],[/PR:90]:[/BR:90]],Brudnopis!$E$23:$J$23),0)</f>
        <v>0</v>
      </c>
      <c r="T174" s="44">
        <f>IF(Mecze[[#This Row],[Role]]&lt;&gt;"BR",SUMPRODUCT(Mecze[[#This Row],[/PR:90]:[/BR:90]],Brudnopis!$E$24:$J$24),0)</f>
        <v>0.19791666666666669</v>
      </c>
      <c r="U174" s="44">
        <f>IF(Mecze[[#This Row],[Role]]&lt;&gt;"BR",SUMPRODUCT(Mecze[[#This Row],[/PR:90]:[/BR:90]],Brudnopis!$E$25:$J$25),0)</f>
        <v>0.234375</v>
      </c>
      <c r="V174" s="44">
        <f>IF(Mecze[[#This Row],[Role]]&lt;&gt;"BR",SUMPRODUCT(Mecze[[#This Row],[/PR:90]:[/BR:90]],Brudnopis!$E$26:$J$26),0)</f>
        <v>0.19791666666666669</v>
      </c>
      <c r="W174" s="44">
        <f>IF(Mecze[[#This Row],[Role]]&lt;&gt;"BR",SUMPRODUCT(Mecze[[#This Row],[/PR:90]:[/BR:90]],Brudnopis!$E$27:$J$27),0)</f>
        <v>0.23177083333333331</v>
      </c>
      <c r="X174" s="44">
        <f>IF(Mecze[[#This Row],[Role]]&lt;&gt;"BR",SUMPRODUCT(Mecze[[#This Row],[/PR:90]:[/BR:90]],Brudnopis!$E$28:$J$28),0)</f>
        <v>0.30208333333333331</v>
      </c>
      <c r="Y174" s="35">
        <f>IF(Mecze[[#This Row],[Role]]="BR",Mecze[[#This Row],[/OB:90]]+Mecze[[#This Row],[/PC:90]],SUM(Mecze[[#This Row],[/PR:90]:[/BR:90]]))</f>
        <v>0.19791666666666669</v>
      </c>
      <c r="Z174" s="35">
        <f>IF(Mecze[[#This Row],[KC]]=0,SUM(Mecze[[#This Row],[/BRI]:[/NPI]]),SUM(Mecze[[#This Row],[/BRI]:[/NPI]])*0.6)</f>
        <v>1.1640625</v>
      </c>
      <c r="AA174" s="10">
        <f>IFERROR(Mecze[[#This Row],[BR]]/Mecze[[#This Row],[ST]],0)</f>
        <v>0</v>
      </c>
      <c r="AB174">
        <f>ROUND(Mecze[[#This Row],[PD]]*Mecze[[#This Row],[%PC]],0)</f>
        <v>7</v>
      </c>
      <c r="AC174">
        <f>ROUND(Mecze[[#This Row],[OD]]*Mecze[[#This Row],[%OU]],0)</f>
        <v>0</v>
      </c>
      <c r="AD174" s="36" t="s">
        <v>46</v>
      </c>
      <c r="AE174" s="36">
        <v>10</v>
      </c>
      <c r="AF174" s="71">
        <v>7.68</v>
      </c>
      <c r="AG174" s="37">
        <v>0</v>
      </c>
      <c r="AH174" s="37">
        <v>0</v>
      </c>
      <c r="AI174" s="37">
        <v>96</v>
      </c>
      <c r="AJ174">
        <v>1</v>
      </c>
      <c r="AK174" s="37" t="str">
        <f>VLOOKUP(Mecze[[#This Row],[Match ID]],Meczusie[Mecz]:Meczusie[RodzajMeczu],2,FALSE)</f>
        <v>Towarzyski</v>
      </c>
    </row>
    <row r="175" spans="1:37" x14ac:dyDescent="0.25">
      <c r="A175" s="76">
        <v>49</v>
      </c>
      <c r="B175" s="3" t="s">
        <v>358</v>
      </c>
      <c r="C175" s="2" t="s">
        <v>155</v>
      </c>
      <c r="D175" s="1">
        <v>0</v>
      </c>
      <c r="E175" s="1">
        <v>0</v>
      </c>
      <c r="F175" s="1">
        <v>0</v>
      </c>
      <c r="G175" s="1">
        <v>4</v>
      </c>
      <c r="H175" s="4">
        <v>0.25</v>
      </c>
      <c r="I175" s="1">
        <v>0</v>
      </c>
      <c r="J175" s="4"/>
      <c r="K175" s="1">
        <v>2</v>
      </c>
      <c r="L175" s="1">
        <v>0</v>
      </c>
      <c r="M175" s="32">
        <f>IF(Mecze[[#This Row],[PR]]=0,0,Mecze[[#This Row],[PR]]/Mecze[[#This Row],[CZAS]])</f>
        <v>0</v>
      </c>
      <c r="N175" s="32">
        <f>IF(Mecze[[#This Row],[OU]]=0,0,Mecze[[#This Row],[OU]]/Mecze[[#This Row],[CZAS]])</f>
        <v>0</v>
      </c>
      <c r="O175" s="32">
        <f>IF(Mecze[[#This Row],[PC]]=0,0,Mecze[[#This Row],[PC]]/Mecze[[#This Row],[CZAS]])</f>
        <v>1.0416666666666666E-2</v>
      </c>
      <c r="P175" s="32">
        <f>IF(Mecze[[#This Row],[SC]]=0,0,Mecze[[#This Row],[SC]]/Mecze[[#This Row],[CZAS]])</f>
        <v>0</v>
      </c>
      <c r="Q175" s="32">
        <f>IF(Mecze[[#This Row],[OB]]=0,0,Mecze[[#This Row],[OB]]/Mecze[[#This Row],[CZAS]])</f>
        <v>2.0833333333333332E-2</v>
      </c>
      <c r="R175" s="32">
        <f>IF(Mecze[[#This Row],[BR]]=0,0,Mecze[[#This Row],[BR]]/Mecze[[#This Row],[CZAS]])</f>
        <v>0</v>
      </c>
      <c r="S175" s="44">
        <f>IF(Mecze[[#This Row],[Role]]="BR",SUMPRODUCT(Mecze[[#This Row],[/PR:90]:[/BR:90]],Brudnopis!$E$23:$J$23),0)</f>
        <v>9.375E-2</v>
      </c>
      <c r="T175" s="44">
        <f>IF(Mecze[[#This Row],[Role]]&lt;&gt;"BR",SUMPRODUCT(Mecze[[#This Row],[/PR:90]:[/BR:90]],Brudnopis!$E$24:$J$24),0)</f>
        <v>0</v>
      </c>
      <c r="U175" s="44">
        <f>IF(Mecze[[#This Row],[Role]]&lt;&gt;"BR",SUMPRODUCT(Mecze[[#This Row],[/PR:90]:[/BR:90]],Brudnopis!$E$25:$J$25),0)</f>
        <v>0</v>
      </c>
      <c r="V175" s="44">
        <f>IF(Mecze[[#This Row],[Role]]&lt;&gt;"BR",SUMPRODUCT(Mecze[[#This Row],[/PR:90]:[/BR:90]],Brudnopis!$E$26:$J$26),0)</f>
        <v>0</v>
      </c>
      <c r="W175" s="44">
        <f>IF(Mecze[[#This Row],[Role]]&lt;&gt;"BR",SUMPRODUCT(Mecze[[#This Row],[/PR:90]:[/BR:90]],Brudnopis!$E$27:$J$27),0)</f>
        <v>0</v>
      </c>
      <c r="X175" s="44">
        <f>IF(Mecze[[#This Row],[Role]]&lt;&gt;"BR",SUMPRODUCT(Mecze[[#This Row],[/PR:90]:[/BR:90]],Brudnopis!$E$28:$J$28),0)</f>
        <v>0</v>
      </c>
      <c r="Y175" s="35">
        <f>IF(Mecze[[#This Row],[Role]]="BR",Mecze[[#This Row],[/OB:90]]+Mecze[[#This Row],[/PC:90]],SUM(Mecze[[#This Row],[/PR:90]:[/BR:90]]))</f>
        <v>3.125E-2</v>
      </c>
      <c r="Z175" s="35">
        <f>IF(Mecze[[#This Row],[KC]]=0,SUM(Mecze[[#This Row],[/BRI]:[/NPI]]),SUM(Mecze[[#This Row],[/BRI]:[/NPI]])*0.6)</f>
        <v>9.375E-2</v>
      </c>
      <c r="AA175" s="10">
        <f>IFERROR(Mecze[[#This Row],[BR]]/Mecze[[#This Row],[ST]],0)</f>
        <v>0</v>
      </c>
      <c r="AB175">
        <f>ROUND(Mecze[[#This Row],[PD]]*Mecze[[#This Row],[%PC]],0)</f>
        <v>1</v>
      </c>
      <c r="AC175">
        <f>ROUND(Mecze[[#This Row],[OD]]*Mecze[[#This Row],[%OU]],0)</f>
        <v>0</v>
      </c>
      <c r="AD175" s="36" t="s">
        <v>40</v>
      </c>
      <c r="AE175" s="36">
        <v>11</v>
      </c>
      <c r="AF175" s="71">
        <v>2.29</v>
      </c>
      <c r="AG175" s="37">
        <v>0</v>
      </c>
      <c r="AH175" s="37">
        <v>0</v>
      </c>
      <c r="AI175" s="37">
        <v>96</v>
      </c>
      <c r="AJ175">
        <v>1</v>
      </c>
      <c r="AK175" s="37" t="str">
        <f>VLOOKUP(Mecze[[#This Row],[Match ID]],Meczusie[Mecz]:Meczusie[RodzajMeczu],2,FALSE)</f>
        <v>Towarzyski</v>
      </c>
    </row>
    <row r="176" spans="1:37" x14ac:dyDescent="0.25">
      <c r="A176" s="76">
        <v>38</v>
      </c>
      <c r="B176" s="3" t="s">
        <v>359</v>
      </c>
      <c r="C176" s="2" t="s">
        <v>157</v>
      </c>
      <c r="D176" s="1">
        <v>0</v>
      </c>
      <c r="E176" s="1">
        <v>0</v>
      </c>
      <c r="F176" s="1">
        <v>0</v>
      </c>
      <c r="G176" s="1">
        <v>7</v>
      </c>
      <c r="H176" s="4">
        <v>0.86</v>
      </c>
      <c r="I176" s="1">
        <v>5</v>
      </c>
      <c r="J176" s="4">
        <v>0.4</v>
      </c>
      <c r="K176" s="1">
        <v>0</v>
      </c>
      <c r="L176" s="1">
        <v>9</v>
      </c>
      <c r="M176" s="32">
        <f>IF(Mecze[[#This Row],[PR]]=0,0,Mecze[[#This Row],[PR]]/Mecze[[#This Row],[CZAS]])</f>
        <v>9.375E-2</v>
      </c>
      <c r="N176" s="32">
        <f>IF(Mecze[[#This Row],[OU]]=0,0,Mecze[[#This Row],[OU]]/Mecze[[#This Row],[CZAS]])</f>
        <v>2.0833333333333332E-2</v>
      </c>
      <c r="O176" s="32">
        <f>IF(Mecze[[#This Row],[PC]]=0,0,Mecze[[#This Row],[PC]]/Mecze[[#This Row],[CZAS]])</f>
        <v>6.25E-2</v>
      </c>
      <c r="P176" s="32">
        <f>IF(Mecze[[#This Row],[SC]]=0,0,Mecze[[#This Row],[SC]]/Mecze[[#This Row],[CZAS]])</f>
        <v>0</v>
      </c>
      <c r="Q176" s="32">
        <f>IF(Mecze[[#This Row],[OB]]=0,0,Mecze[[#This Row],[OB]]/Mecze[[#This Row],[CZAS]])</f>
        <v>0</v>
      </c>
      <c r="R176" s="32">
        <f>IF(Mecze[[#This Row],[BR]]=0,0,Mecze[[#This Row],[BR]]/Mecze[[#This Row],[CZAS]])</f>
        <v>0</v>
      </c>
      <c r="S176" s="44">
        <f>IF(Mecze[[#This Row],[Role]]="BR",SUMPRODUCT(Mecze[[#This Row],[/PR:90]:[/BR:90]],Brudnopis!$E$23:$J$23),0)</f>
        <v>0</v>
      </c>
      <c r="T176" s="44">
        <f>IF(Mecze[[#This Row],[Role]]&lt;&gt;"BR",SUMPRODUCT(Mecze[[#This Row],[/PR:90]:[/BR:90]],Brudnopis!$E$24:$J$24),0)</f>
        <v>0.1875</v>
      </c>
      <c r="U176" s="44">
        <f>IF(Mecze[[#This Row],[Role]]&lt;&gt;"BR",SUMPRODUCT(Mecze[[#This Row],[/PR:90]:[/BR:90]],Brudnopis!$E$25:$J$25),0)</f>
        <v>0.20833333333333331</v>
      </c>
      <c r="V176" s="44">
        <f>IF(Mecze[[#This Row],[Role]]&lt;&gt;"BR",SUMPRODUCT(Mecze[[#This Row],[/PR:90]:[/BR:90]],Brudnopis!$E$26:$J$26),0)</f>
        <v>0.17708333333333331</v>
      </c>
      <c r="W176" s="44">
        <f>IF(Mecze[[#This Row],[Role]]&lt;&gt;"BR",SUMPRODUCT(Mecze[[#This Row],[/PR:90]:[/BR:90]],Brudnopis!$E$27:$J$27),0)</f>
        <v>0.1796875</v>
      </c>
      <c r="X176" s="44">
        <f>IF(Mecze[[#This Row],[Role]]&lt;&gt;"BR",SUMPRODUCT(Mecze[[#This Row],[/PR:90]:[/BR:90]],Brudnopis!$E$28:$J$28),0)</f>
        <v>6.25E-2</v>
      </c>
      <c r="Y176" s="35">
        <f>IF(Mecze[[#This Row],[Role]]="BR",Mecze[[#This Row],[/OB:90]]+Mecze[[#This Row],[/PC:90]],SUM(Mecze[[#This Row],[/PR:90]:[/BR:90]]))</f>
        <v>0.17708333333333331</v>
      </c>
      <c r="Z176" s="35">
        <f>IF(Mecze[[#This Row],[KC]]=0,SUM(Mecze[[#This Row],[/BRI]:[/NPI]]),SUM(Mecze[[#This Row],[/BRI]:[/NPI]])*0.6)</f>
        <v>0.81510416666666663</v>
      </c>
      <c r="AA176" s="10">
        <f>IFERROR(Mecze[[#This Row],[BR]]/Mecze[[#This Row],[ST]],0)</f>
        <v>0</v>
      </c>
      <c r="AB176">
        <f>ROUND(Mecze[[#This Row],[PD]]*Mecze[[#This Row],[%PC]],0)</f>
        <v>6</v>
      </c>
      <c r="AC176">
        <f>ROUND(Mecze[[#This Row],[OD]]*Mecze[[#This Row],[%OU]],0)</f>
        <v>2</v>
      </c>
      <c r="AD176" s="36" t="s">
        <v>47</v>
      </c>
      <c r="AE176" s="36">
        <v>11</v>
      </c>
      <c r="AF176" s="71">
        <v>3.48</v>
      </c>
      <c r="AG176" s="37">
        <v>0</v>
      </c>
      <c r="AH176" s="37">
        <v>0</v>
      </c>
      <c r="AI176" s="37">
        <v>96</v>
      </c>
      <c r="AJ176">
        <v>1</v>
      </c>
      <c r="AK176" s="37" t="str">
        <f>VLOOKUP(Mecze[[#This Row],[Match ID]],Meczusie[Mecz]:Meczusie[RodzajMeczu],2,FALSE)</f>
        <v>Towarzyski</v>
      </c>
    </row>
    <row r="177" spans="1:37" x14ac:dyDescent="0.25">
      <c r="A177" s="76">
        <v>4</v>
      </c>
      <c r="B177" s="3" t="s">
        <v>360</v>
      </c>
      <c r="C177" s="2" t="s">
        <v>157</v>
      </c>
      <c r="D177" s="1">
        <v>0</v>
      </c>
      <c r="E177" s="1">
        <v>0</v>
      </c>
      <c r="F177" s="1">
        <v>0</v>
      </c>
      <c r="G177" s="1">
        <v>7</v>
      </c>
      <c r="H177" s="4">
        <v>0.43</v>
      </c>
      <c r="I177" s="1">
        <v>3</v>
      </c>
      <c r="J177" s="4">
        <v>0.33</v>
      </c>
      <c r="K177" s="1">
        <v>0</v>
      </c>
      <c r="L177" s="1">
        <v>11</v>
      </c>
      <c r="M177" s="32">
        <f>IF(Mecze[[#This Row],[PR]]=0,0,Mecze[[#This Row],[PR]]/Mecze[[#This Row],[CZAS]])</f>
        <v>0.11458333333333333</v>
      </c>
      <c r="N177" s="32">
        <f>IF(Mecze[[#This Row],[OU]]=0,0,Mecze[[#This Row],[OU]]/Mecze[[#This Row],[CZAS]])</f>
        <v>1.0416666666666666E-2</v>
      </c>
      <c r="O177" s="32">
        <f>IF(Mecze[[#This Row],[PC]]=0,0,Mecze[[#This Row],[PC]]/Mecze[[#This Row],[CZAS]])</f>
        <v>3.125E-2</v>
      </c>
      <c r="P177" s="32">
        <f>IF(Mecze[[#This Row],[SC]]=0,0,Mecze[[#This Row],[SC]]/Mecze[[#This Row],[CZAS]])</f>
        <v>0</v>
      </c>
      <c r="Q177" s="32">
        <f>IF(Mecze[[#This Row],[OB]]=0,0,Mecze[[#This Row],[OB]]/Mecze[[#This Row],[CZAS]])</f>
        <v>0</v>
      </c>
      <c r="R177" s="32">
        <f>IF(Mecze[[#This Row],[BR]]=0,0,Mecze[[#This Row],[BR]]/Mecze[[#This Row],[CZAS]])</f>
        <v>0</v>
      </c>
      <c r="S177" s="44">
        <f>IF(Mecze[[#This Row],[Role]]="BR",SUMPRODUCT(Mecze[[#This Row],[/PR:90]:[/BR:90]],Brudnopis!$E$23:$J$23),0)</f>
        <v>0</v>
      </c>
      <c r="T177" s="44">
        <f>IF(Mecze[[#This Row],[Role]]&lt;&gt;"BR",SUMPRODUCT(Mecze[[#This Row],[/PR:90]:[/BR:90]],Brudnopis!$E$24:$J$24),0)</f>
        <v>0.16145833333333331</v>
      </c>
      <c r="U177" s="44">
        <f>IF(Mecze[[#This Row],[Role]]&lt;&gt;"BR",SUMPRODUCT(Mecze[[#This Row],[/PR:90]:[/BR:90]],Brudnopis!$E$25:$J$25),0)</f>
        <v>0.171875</v>
      </c>
      <c r="V177" s="44">
        <f>IF(Mecze[[#This Row],[Role]]&lt;&gt;"BR",SUMPRODUCT(Mecze[[#This Row],[/PR:90]:[/BR:90]],Brudnopis!$E$26:$J$26),0)</f>
        <v>0.15625</v>
      </c>
      <c r="W177" s="44">
        <f>IF(Mecze[[#This Row],[Role]]&lt;&gt;"BR",SUMPRODUCT(Mecze[[#This Row],[/PR:90]:[/BR:90]],Brudnopis!$E$27:$J$27),0)</f>
        <v>0.140625</v>
      </c>
      <c r="X177" s="44">
        <f>IF(Mecze[[#This Row],[Role]]&lt;&gt;"BR",SUMPRODUCT(Mecze[[#This Row],[/PR:90]:[/BR:90]],Brudnopis!$E$28:$J$28),0)</f>
        <v>3.125E-2</v>
      </c>
      <c r="Y177" s="35">
        <f>IF(Mecze[[#This Row],[Role]]="BR",Mecze[[#This Row],[/OB:90]]+Mecze[[#This Row],[/PC:90]],SUM(Mecze[[#This Row],[/PR:90]:[/BR:90]]))</f>
        <v>0.15625</v>
      </c>
      <c r="Z177" s="35">
        <f>IF(Mecze[[#This Row],[KC]]=0,SUM(Mecze[[#This Row],[/BRI]:[/NPI]]),SUM(Mecze[[#This Row],[/BRI]:[/NPI]])*0.6)</f>
        <v>0.66145833333333326</v>
      </c>
      <c r="AA177" s="10">
        <f>IFERROR(Mecze[[#This Row],[BR]]/Mecze[[#This Row],[ST]],0)</f>
        <v>0</v>
      </c>
      <c r="AB177">
        <f>ROUND(Mecze[[#This Row],[PD]]*Mecze[[#This Row],[%PC]],0)</f>
        <v>3</v>
      </c>
      <c r="AC177">
        <f>ROUND(Mecze[[#This Row],[OD]]*Mecze[[#This Row],[%OU]],0)</f>
        <v>1</v>
      </c>
      <c r="AD177" s="36" t="s">
        <v>168</v>
      </c>
      <c r="AE177" s="36">
        <v>11</v>
      </c>
      <c r="AF177" s="71">
        <v>3.9</v>
      </c>
      <c r="AG177" s="37">
        <v>0</v>
      </c>
      <c r="AH177" s="37">
        <v>0</v>
      </c>
      <c r="AI177" s="37">
        <v>96</v>
      </c>
      <c r="AJ177">
        <v>1</v>
      </c>
      <c r="AK177" s="37" t="str">
        <f>VLOOKUP(Mecze[[#This Row],[Match ID]],Meczusie[Mecz]:Meczusie[RodzajMeczu],2,FALSE)</f>
        <v>Towarzyski</v>
      </c>
    </row>
    <row r="178" spans="1:37" x14ac:dyDescent="0.25">
      <c r="A178" s="76">
        <v>42</v>
      </c>
      <c r="B178" s="3" t="s">
        <v>361</v>
      </c>
      <c r="C178" s="2" t="s">
        <v>157</v>
      </c>
      <c r="D178" s="1">
        <v>0</v>
      </c>
      <c r="E178" s="1">
        <v>0</v>
      </c>
      <c r="F178" s="1">
        <v>0</v>
      </c>
      <c r="G178" s="1">
        <v>5</v>
      </c>
      <c r="H178" s="4">
        <v>0.4</v>
      </c>
      <c r="I178" s="1">
        <v>8</v>
      </c>
      <c r="J178" s="4">
        <v>0.38</v>
      </c>
      <c r="K178" s="1">
        <v>0</v>
      </c>
      <c r="L178" s="1">
        <v>3</v>
      </c>
      <c r="M178" s="32">
        <f>IF(Mecze[[#This Row],[PR]]=0,0,Mecze[[#This Row],[PR]]/Mecze[[#This Row],[CZAS]])</f>
        <v>3.125E-2</v>
      </c>
      <c r="N178" s="32">
        <f>IF(Mecze[[#This Row],[OU]]=0,0,Mecze[[#This Row],[OU]]/Mecze[[#This Row],[CZAS]])</f>
        <v>3.125E-2</v>
      </c>
      <c r="O178" s="32">
        <f>IF(Mecze[[#This Row],[PC]]=0,0,Mecze[[#This Row],[PC]]/Mecze[[#This Row],[CZAS]])</f>
        <v>2.0833333333333332E-2</v>
      </c>
      <c r="P178" s="32">
        <f>IF(Mecze[[#This Row],[SC]]=0,0,Mecze[[#This Row],[SC]]/Mecze[[#This Row],[CZAS]])</f>
        <v>0</v>
      </c>
      <c r="Q178" s="32">
        <f>IF(Mecze[[#This Row],[OB]]=0,0,Mecze[[#This Row],[OB]]/Mecze[[#This Row],[CZAS]])</f>
        <v>0</v>
      </c>
      <c r="R178" s="32">
        <f>IF(Mecze[[#This Row],[BR]]=0,0,Mecze[[#This Row],[BR]]/Mecze[[#This Row],[CZAS]])</f>
        <v>0</v>
      </c>
      <c r="S178" s="44">
        <f>IF(Mecze[[#This Row],[Role]]="BR",SUMPRODUCT(Mecze[[#This Row],[/PR:90]:[/BR:90]],Brudnopis!$E$23:$J$23),0)</f>
        <v>0</v>
      </c>
      <c r="T178" s="44">
        <f>IF(Mecze[[#This Row],[Role]]&lt;&gt;"BR",SUMPRODUCT(Mecze[[#This Row],[/PR:90]:[/BR:90]],Brudnopis!$E$24:$J$24),0)</f>
        <v>9.8958333333333329E-2</v>
      </c>
      <c r="U178" s="44">
        <f>IF(Mecze[[#This Row],[Role]]&lt;&gt;"BR",SUMPRODUCT(Mecze[[#This Row],[/PR:90]:[/BR:90]],Brudnopis!$E$25:$J$25),0)</f>
        <v>9.375E-2</v>
      </c>
      <c r="V178" s="44">
        <f>IF(Mecze[[#This Row],[Role]]&lt;&gt;"BR",SUMPRODUCT(Mecze[[#This Row],[/PR:90]:[/BR:90]],Brudnopis!$E$26:$J$26),0)</f>
        <v>8.3333333333333329E-2</v>
      </c>
      <c r="W178" s="44">
        <f>IF(Mecze[[#This Row],[Role]]&lt;&gt;"BR",SUMPRODUCT(Mecze[[#This Row],[/PR:90]:[/BR:90]],Brudnopis!$E$27:$J$27),0)</f>
        <v>7.8125E-2</v>
      </c>
      <c r="X178" s="44">
        <f>IF(Mecze[[#This Row],[Role]]&lt;&gt;"BR",SUMPRODUCT(Mecze[[#This Row],[/PR:90]:[/BR:90]],Brudnopis!$E$28:$J$28),0)</f>
        <v>2.0833333333333332E-2</v>
      </c>
      <c r="Y178" s="35">
        <f>IF(Mecze[[#This Row],[Role]]="BR",Mecze[[#This Row],[/OB:90]]+Mecze[[#This Row],[/PC:90]],SUM(Mecze[[#This Row],[/PR:90]:[/BR:90]]))</f>
        <v>8.3333333333333329E-2</v>
      </c>
      <c r="Z178" s="35">
        <f>IF(Mecze[[#This Row],[KC]]=0,SUM(Mecze[[#This Row],[/BRI]:[/NPI]]),SUM(Mecze[[#This Row],[/BRI]:[/NPI]])*0.6)</f>
        <v>0.37499999999999994</v>
      </c>
      <c r="AA178" s="10">
        <f>IFERROR(Mecze[[#This Row],[BR]]/Mecze[[#This Row],[ST]],0)</f>
        <v>0</v>
      </c>
      <c r="AB178">
        <f>ROUND(Mecze[[#This Row],[PD]]*Mecze[[#This Row],[%PC]],0)</f>
        <v>2</v>
      </c>
      <c r="AC178">
        <f>ROUND(Mecze[[#This Row],[OD]]*Mecze[[#This Row],[%OU]],0)</f>
        <v>3</v>
      </c>
      <c r="AD178" s="36" t="s">
        <v>167</v>
      </c>
      <c r="AE178" s="36">
        <v>11</v>
      </c>
      <c r="AF178" s="71">
        <v>1.1100000000000001</v>
      </c>
      <c r="AG178" s="37">
        <v>1</v>
      </c>
      <c r="AH178" s="37">
        <v>0</v>
      </c>
      <c r="AI178" s="37">
        <v>96</v>
      </c>
      <c r="AJ178">
        <v>1</v>
      </c>
      <c r="AK178" s="37" t="str">
        <f>VLOOKUP(Mecze[[#This Row],[Match ID]],Meczusie[Mecz]:Meczusie[RodzajMeczu],2,FALSE)</f>
        <v>Towarzyski</v>
      </c>
    </row>
    <row r="179" spans="1:37" x14ac:dyDescent="0.25">
      <c r="A179" s="76">
        <v>33</v>
      </c>
      <c r="B179" s="3" t="s">
        <v>362</v>
      </c>
      <c r="C179" s="2" t="s">
        <v>160</v>
      </c>
      <c r="D179" s="1">
        <v>0</v>
      </c>
      <c r="E179" s="1">
        <v>0</v>
      </c>
      <c r="F179" s="1">
        <v>0</v>
      </c>
      <c r="G179" s="1">
        <v>6</v>
      </c>
      <c r="H179" s="4">
        <v>0.67</v>
      </c>
      <c r="I179" s="1">
        <v>6</v>
      </c>
      <c r="J179" s="4">
        <v>0.17</v>
      </c>
      <c r="K179" s="1">
        <v>0</v>
      </c>
      <c r="L179" s="1">
        <v>4</v>
      </c>
      <c r="M179" s="32">
        <f>IF(Mecze[[#This Row],[PR]]=0,0,Mecze[[#This Row],[PR]]/Mecze[[#This Row],[CZAS]])</f>
        <v>4.1666666666666664E-2</v>
      </c>
      <c r="N179" s="32">
        <f>IF(Mecze[[#This Row],[OU]]=0,0,Mecze[[#This Row],[OU]]/Mecze[[#This Row],[CZAS]])</f>
        <v>1.0416666666666666E-2</v>
      </c>
      <c r="O179" s="32">
        <f>IF(Mecze[[#This Row],[PC]]=0,0,Mecze[[#This Row],[PC]]/Mecze[[#This Row],[CZAS]])</f>
        <v>4.1666666666666664E-2</v>
      </c>
      <c r="P179" s="32">
        <f>IF(Mecze[[#This Row],[SC]]=0,0,Mecze[[#This Row],[SC]]/Mecze[[#This Row],[CZAS]])</f>
        <v>0</v>
      </c>
      <c r="Q179" s="32">
        <f>IF(Mecze[[#This Row],[OB]]=0,0,Mecze[[#This Row],[OB]]/Mecze[[#This Row],[CZAS]])</f>
        <v>0</v>
      </c>
      <c r="R179" s="32">
        <f>IF(Mecze[[#This Row],[BR]]=0,0,Mecze[[#This Row],[BR]]/Mecze[[#This Row],[CZAS]])</f>
        <v>0</v>
      </c>
      <c r="S179" s="44">
        <f>IF(Mecze[[#This Row],[Role]]="BR",SUMPRODUCT(Mecze[[#This Row],[/PR:90]:[/BR:90]],Brudnopis!$E$23:$J$23),0)</f>
        <v>0</v>
      </c>
      <c r="T179" s="44">
        <f>IF(Mecze[[#This Row],[Role]]&lt;&gt;"BR",SUMPRODUCT(Mecze[[#This Row],[/PR:90]:[/BR:90]],Brudnopis!$E$24:$J$24),0)</f>
        <v>9.8958333333333329E-2</v>
      </c>
      <c r="U179" s="44">
        <f>IF(Mecze[[#This Row],[Role]]&lt;&gt;"BR",SUMPRODUCT(Mecze[[#This Row],[/PR:90]:[/BR:90]],Brudnopis!$E$25:$J$25),0)</f>
        <v>0.11458333333333333</v>
      </c>
      <c r="V179" s="44">
        <f>IF(Mecze[[#This Row],[Role]]&lt;&gt;"BR",SUMPRODUCT(Mecze[[#This Row],[/PR:90]:[/BR:90]],Brudnopis!$E$26:$J$26),0)</f>
        <v>9.375E-2</v>
      </c>
      <c r="W179" s="44">
        <f>IF(Mecze[[#This Row],[Role]]&lt;&gt;"BR",SUMPRODUCT(Mecze[[#This Row],[/PR:90]:[/BR:90]],Brudnopis!$E$27:$J$27),0)</f>
        <v>0.1015625</v>
      </c>
      <c r="X179" s="44">
        <f>IF(Mecze[[#This Row],[Role]]&lt;&gt;"BR",SUMPRODUCT(Mecze[[#This Row],[/PR:90]:[/BR:90]],Brudnopis!$E$28:$J$28),0)</f>
        <v>4.1666666666666664E-2</v>
      </c>
      <c r="Y179" s="35">
        <f>IF(Mecze[[#This Row],[Role]]="BR",Mecze[[#This Row],[/OB:90]]+Mecze[[#This Row],[/PC:90]],SUM(Mecze[[#This Row],[/PR:90]:[/BR:90]]))</f>
        <v>9.375E-2</v>
      </c>
      <c r="Z179" s="35">
        <f>IF(Mecze[[#This Row],[KC]]=0,SUM(Mecze[[#This Row],[/BRI]:[/NPI]]),SUM(Mecze[[#This Row],[/BRI]:[/NPI]])*0.6)</f>
        <v>0.45052083333333331</v>
      </c>
      <c r="AA179" s="10">
        <f>IFERROR(Mecze[[#This Row],[BR]]/Mecze[[#This Row],[ST]],0)</f>
        <v>0</v>
      </c>
      <c r="AB179">
        <f>ROUND(Mecze[[#This Row],[PD]]*Mecze[[#This Row],[%PC]],0)</f>
        <v>4</v>
      </c>
      <c r="AC179">
        <f>ROUND(Mecze[[#This Row],[OD]]*Mecze[[#This Row],[%OU]],0)</f>
        <v>1</v>
      </c>
      <c r="AD179" s="36" t="s">
        <v>41</v>
      </c>
      <c r="AE179" s="36">
        <v>11</v>
      </c>
      <c r="AF179" s="71">
        <v>4.75</v>
      </c>
      <c r="AG179" s="37">
        <v>0</v>
      </c>
      <c r="AH179" s="37">
        <v>0</v>
      </c>
      <c r="AI179" s="37">
        <v>96</v>
      </c>
      <c r="AJ179">
        <v>1</v>
      </c>
      <c r="AK179" s="37" t="str">
        <f>VLOOKUP(Mecze[[#This Row],[Match ID]],Meczusie[Mecz]:Meczusie[RodzajMeczu],2,FALSE)</f>
        <v>Towarzyski</v>
      </c>
    </row>
    <row r="180" spans="1:37" x14ac:dyDescent="0.25">
      <c r="A180" s="76">
        <v>22</v>
      </c>
      <c r="B180" s="3" t="s">
        <v>363</v>
      </c>
      <c r="C180" s="2" t="s">
        <v>160</v>
      </c>
      <c r="D180" s="1">
        <v>0</v>
      </c>
      <c r="E180" s="1">
        <v>1</v>
      </c>
      <c r="F180" s="1">
        <v>1</v>
      </c>
      <c r="G180" s="1">
        <v>8</v>
      </c>
      <c r="H180" s="4">
        <v>0.5</v>
      </c>
      <c r="I180" s="1">
        <v>4</v>
      </c>
      <c r="J180" s="4">
        <v>0</v>
      </c>
      <c r="K180" s="1">
        <v>0</v>
      </c>
      <c r="L180" s="1">
        <v>7</v>
      </c>
      <c r="M180" s="32">
        <f>IF(Mecze[[#This Row],[PR]]=0,0,Mecze[[#This Row],[PR]]/Mecze[[#This Row],[CZAS]])</f>
        <v>7.2916666666666671E-2</v>
      </c>
      <c r="N180" s="32">
        <f>IF(Mecze[[#This Row],[OU]]=0,0,Mecze[[#This Row],[OU]]/Mecze[[#This Row],[CZAS]])</f>
        <v>0</v>
      </c>
      <c r="O180" s="32">
        <f>IF(Mecze[[#This Row],[PC]]=0,0,Mecze[[#This Row],[PC]]/Mecze[[#This Row],[CZAS]])</f>
        <v>4.1666666666666664E-2</v>
      </c>
      <c r="P180" s="32">
        <f>IF(Mecze[[#This Row],[SC]]=0,0,Mecze[[#This Row],[SC]]/Mecze[[#This Row],[CZAS]])</f>
        <v>1.0416666666666666E-2</v>
      </c>
      <c r="Q180" s="32">
        <f>IF(Mecze[[#This Row],[OB]]=0,0,Mecze[[#This Row],[OB]]/Mecze[[#This Row],[CZAS]])</f>
        <v>0</v>
      </c>
      <c r="R180" s="32">
        <f>IF(Mecze[[#This Row],[BR]]=0,0,Mecze[[#This Row],[BR]]/Mecze[[#This Row],[CZAS]])</f>
        <v>0</v>
      </c>
      <c r="S180" s="44">
        <f>IF(Mecze[[#This Row],[Role]]="BR",SUMPRODUCT(Mecze[[#This Row],[/PR:90]:[/BR:90]],Brudnopis!$E$23:$J$23),0)</f>
        <v>0</v>
      </c>
      <c r="T180" s="44">
        <f>IF(Mecze[[#This Row],[Role]]&lt;&gt;"BR",SUMPRODUCT(Mecze[[#This Row],[/PR:90]:[/BR:90]],Brudnopis!$E$24:$J$24),0)</f>
        <v>0.125</v>
      </c>
      <c r="U180" s="44">
        <f>IF(Mecze[[#This Row],[Role]]&lt;&gt;"BR",SUMPRODUCT(Mecze[[#This Row],[/PR:90]:[/BR:90]],Brudnopis!$E$25:$J$25),0)</f>
        <v>0.14583333333333334</v>
      </c>
      <c r="V180" s="44">
        <f>IF(Mecze[[#This Row],[Role]]&lt;&gt;"BR",SUMPRODUCT(Mecze[[#This Row],[/PR:90]:[/BR:90]],Brudnopis!$E$26:$J$26),0)</f>
        <v>0.125</v>
      </c>
      <c r="W180" s="44">
        <f>IF(Mecze[[#This Row],[Role]]&lt;&gt;"BR",SUMPRODUCT(Mecze[[#This Row],[/PR:90]:[/BR:90]],Brudnopis!$E$27:$J$27),0)</f>
        <v>0.12760416666666666</v>
      </c>
      <c r="X180" s="44">
        <f>IF(Mecze[[#This Row],[Role]]&lt;&gt;"BR",SUMPRODUCT(Mecze[[#This Row],[/PR:90]:[/BR:90]],Brudnopis!$E$28:$J$28),0)</f>
        <v>6.25E-2</v>
      </c>
      <c r="Y180" s="35">
        <f>IF(Mecze[[#This Row],[Role]]="BR",Mecze[[#This Row],[/OB:90]]+Mecze[[#This Row],[/PC:90]],SUM(Mecze[[#This Row],[/PR:90]:[/BR:90]]))</f>
        <v>0.125</v>
      </c>
      <c r="Z180" s="35">
        <f>IF(Mecze[[#This Row],[KC]]=0,SUM(Mecze[[#This Row],[/BRI]:[/NPI]]),SUM(Mecze[[#This Row],[/BRI]:[/NPI]])*0.6)</f>
        <v>0.5859375</v>
      </c>
      <c r="AA180" s="10">
        <f>IFERROR(Mecze[[#This Row],[BR]]/Mecze[[#This Row],[ST]],0)</f>
        <v>0</v>
      </c>
      <c r="AB180">
        <f>ROUND(Mecze[[#This Row],[PD]]*Mecze[[#This Row],[%PC]],0)</f>
        <v>4</v>
      </c>
      <c r="AC180">
        <f>ROUND(Mecze[[#This Row],[OD]]*Mecze[[#This Row],[%OU]],0)</f>
        <v>0</v>
      </c>
      <c r="AD180" s="36" t="s">
        <v>41</v>
      </c>
      <c r="AE180" s="36">
        <v>11</v>
      </c>
      <c r="AF180" s="71">
        <v>5.61</v>
      </c>
      <c r="AG180" s="37">
        <v>0</v>
      </c>
      <c r="AH180" s="37">
        <v>0</v>
      </c>
      <c r="AI180" s="37">
        <v>96</v>
      </c>
      <c r="AJ180">
        <v>1</v>
      </c>
      <c r="AK180" s="37" t="str">
        <f>VLOOKUP(Mecze[[#This Row],[Match ID]],Meczusie[Mecz]:Meczusie[RodzajMeczu],2,FALSE)</f>
        <v>Towarzyski</v>
      </c>
    </row>
    <row r="181" spans="1:37" x14ac:dyDescent="0.25">
      <c r="A181" s="76">
        <v>27</v>
      </c>
      <c r="B181" s="3" t="s">
        <v>364</v>
      </c>
      <c r="C181" s="2" t="s">
        <v>160</v>
      </c>
      <c r="D181" s="1">
        <v>0</v>
      </c>
      <c r="E181" s="1">
        <v>5</v>
      </c>
      <c r="F181" s="1">
        <v>3</v>
      </c>
      <c r="G181" s="1">
        <v>16</v>
      </c>
      <c r="H181" s="4">
        <v>0.69</v>
      </c>
      <c r="I181" s="1">
        <v>6</v>
      </c>
      <c r="J181" s="4">
        <v>0.67</v>
      </c>
      <c r="K181" s="1">
        <v>0</v>
      </c>
      <c r="L181" s="1">
        <v>5</v>
      </c>
      <c r="M181" s="32">
        <f>IF(Mecze[[#This Row],[PR]]=0,0,Mecze[[#This Row],[PR]]/Mecze[[#This Row],[CZAS]])</f>
        <v>5.2083333333333336E-2</v>
      </c>
      <c r="N181" s="32">
        <f>IF(Mecze[[#This Row],[OU]]=0,0,Mecze[[#This Row],[OU]]/Mecze[[#This Row],[CZAS]])</f>
        <v>4.1666666666666664E-2</v>
      </c>
      <c r="O181" s="32">
        <f>IF(Mecze[[#This Row],[PC]]=0,0,Mecze[[#This Row],[PC]]/Mecze[[#This Row],[CZAS]])</f>
        <v>0.11458333333333333</v>
      </c>
      <c r="P181" s="32">
        <f>IF(Mecze[[#This Row],[SC]]=0,0,Mecze[[#This Row],[SC]]/Mecze[[#This Row],[CZAS]])</f>
        <v>3.125E-2</v>
      </c>
      <c r="Q181" s="32">
        <f>IF(Mecze[[#This Row],[OB]]=0,0,Mecze[[#This Row],[OB]]/Mecze[[#This Row],[CZAS]])</f>
        <v>0</v>
      </c>
      <c r="R181" s="32">
        <f>IF(Mecze[[#This Row],[BR]]=0,0,Mecze[[#This Row],[BR]]/Mecze[[#This Row],[CZAS]])</f>
        <v>0</v>
      </c>
      <c r="S181" s="44">
        <f>IF(Mecze[[#This Row],[Role]]="BR",SUMPRODUCT(Mecze[[#This Row],[/PR:90]:[/BR:90]],Brudnopis!$E$23:$J$23),0)</f>
        <v>0</v>
      </c>
      <c r="T181" s="44">
        <f>IF(Mecze[[#This Row],[Role]]&lt;&gt;"BR",SUMPRODUCT(Mecze[[#This Row],[/PR:90]:[/BR:90]],Brudnopis!$E$24:$J$24),0)</f>
        <v>0.26041666666666669</v>
      </c>
      <c r="U181" s="44">
        <f>IF(Mecze[[#This Row],[Role]]&lt;&gt;"BR",SUMPRODUCT(Mecze[[#This Row],[/PR:90]:[/BR:90]],Brudnopis!$E$25:$J$25),0)</f>
        <v>0.296875</v>
      </c>
      <c r="V181" s="44">
        <f>IF(Mecze[[#This Row],[Role]]&lt;&gt;"BR",SUMPRODUCT(Mecze[[#This Row],[/PR:90]:[/BR:90]],Brudnopis!$E$26:$J$26),0)</f>
        <v>0.23958333333333331</v>
      </c>
      <c r="W181" s="44">
        <f>IF(Mecze[[#This Row],[Role]]&lt;&gt;"BR",SUMPRODUCT(Mecze[[#This Row],[/PR:90]:[/BR:90]],Brudnopis!$E$27:$J$27),0)</f>
        <v>0.2734375</v>
      </c>
      <c r="X181" s="44">
        <f>IF(Mecze[[#This Row],[Role]]&lt;&gt;"BR",SUMPRODUCT(Mecze[[#This Row],[/PR:90]:[/BR:90]],Brudnopis!$E$28:$J$28),0)</f>
        <v>0.17708333333333331</v>
      </c>
      <c r="Y181" s="35">
        <f>IF(Mecze[[#This Row],[Role]]="BR",Mecze[[#This Row],[/OB:90]]+Mecze[[#This Row],[/PC:90]],SUM(Mecze[[#This Row],[/PR:90]:[/BR:90]]))</f>
        <v>0.23958333333333331</v>
      </c>
      <c r="Z181" s="35">
        <f>IF(Mecze[[#This Row],[KC]]=0,SUM(Mecze[[#This Row],[/BRI]:[/NPI]]),SUM(Mecze[[#This Row],[/BRI]:[/NPI]])*0.6)</f>
        <v>1.2473958333333333</v>
      </c>
      <c r="AA181" s="10">
        <f>IFERROR(Mecze[[#This Row],[BR]]/Mecze[[#This Row],[ST]],0)</f>
        <v>0</v>
      </c>
      <c r="AB181">
        <f>ROUND(Mecze[[#This Row],[PD]]*Mecze[[#This Row],[%PC]],0)</f>
        <v>11</v>
      </c>
      <c r="AC181">
        <f>ROUND(Mecze[[#This Row],[OD]]*Mecze[[#This Row],[%OU]],0)</f>
        <v>4</v>
      </c>
      <c r="AD181" s="36" t="s">
        <v>67</v>
      </c>
      <c r="AE181" s="36">
        <v>11</v>
      </c>
      <c r="AF181" s="71">
        <v>5.65</v>
      </c>
      <c r="AG181" s="37">
        <v>0</v>
      </c>
      <c r="AH181" s="37">
        <v>0</v>
      </c>
      <c r="AI181" s="37">
        <v>96</v>
      </c>
      <c r="AJ181">
        <v>1</v>
      </c>
      <c r="AK181" s="37" t="str">
        <f>VLOOKUP(Mecze[[#This Row],[Match ID]],Meczusie[Mecz]:Meczusie[RodzajMeczu],2,FALSE)</f>
        <v>Towarzyski</v>
      </c>
    </row>
    <row r="182" spans="1:37" x14ac:dyDescent="0.25">
      <c r="A182" s="76">
        <v>31</v>
      </c>
      <c r="B182" s="3" t="s">
        <v>365</v>
      </c>
      <c r="C182" s="2" t="s">
        <v>160</v>
      </c>
      <c r="D182" s="1">
        <v>0</v>
      </c>
      <c r="E182" s="1">
        <v>0</v>
      </c>
      <c r="F182" s="1">
        <v>0</v>
      </c>
      <c r="G182" s="1">
        <v>12</v>
      </c>
      <c r="H182" s="4">
        <v>0.57999999999999996</v>
      </c>
      <c r="I182" s="1">
        <v>2</v>
      </c>
      <c r="J182" s="4">
        <v>0.5</v>
      </c>
      <c r="K182" s="1">
        <v>0</v>
      </c>
      <c r="L182" s="1">
        <v>7</v>
      </c>
      <c r="M182" s="32">
        <f>IF(Mecze[[#This Row],[PR]]=0,0,Mecze[[#This Row],[PR]]/Mecze[[#This Row],[CZAS]])</f>
        <v>7.2916666666666671E-2</v>
      </c>
      <c r="N182" s="32">
        <f>IF(Mecze[[#This Row],[OU]]=0,0,Mecze[[#This Row],[OU]]/Mecze[[#This Row],[CZAS]])</f>
        <v>1.0416666666666666E-2</v>
      </c>
      <c r="O182" s="32">
        <f>IF(Mecze[[#This Row],[PC]]=0,0,Mecze[[#This Row],[PC]]/Mecze[[#This Row],[CZAS]])</f>
        <v>7.2916666666666671E-2</v>
      </c>
      <c r="P182" s="32">
        <f>IF(Mecze[[#This Row],[SC]]=0,0,Mecze[[#This Row],[SC]]/Mecze[[#This Row],[CZAS]])</f>
        <v>0</v>
      </c>
      <c r="Q182" s="32">
        <f>IF(Mecze[[#This Row],[OB]]=0,0,Mecze[[#This Row],[OB]]/Mecze[[#This Row],[CZAS]])</f>
        <v>0</v>
      </c>
      <c r="R182" s="32">
        <f>IF(Mecze[[#This Row],[BR]]=0,0,Mecze[[#This Row],[BR]]/Mecze[[#This Row],[CZAS]])</f>
        <v>0</v>
      </c>
      <c r="S182" s="44">
        <f>IF(Mecze[[#This Row],[Role]]="BR",SUMPRODUCT(Mecze[[#This Row],[/PR:90]:[/BR:90]],Brudnopis!$E$23:$J$23),0)</f>
        <v>0</v>
      </c>
      <c r="T182" s="44">
        <f>IF(Mecze[[#This Row],[Role]]&lt;&gt;"BR",SUMPRODUCT(Mecze[[#This Row],[/PR:90]:[/BR:90]],Brudnopis!$E$24:$J$24),0)</f>
        <v>0.16145833333333334</v>
      </c>
      <c r="U182" s="44">
        <f>IF(Mecze[[#This Row],[Role]]&lt;&gt;"BR",SUMPRODUCT(Mecze[[#This Row],[/PR:90]:[/BR:90]],Brudnopis!$E$25:$J$25),0)</f>
        <v>0.19270833333333334</v>
      </c>
      <c r="V182" s="44">
        <f>IF(Mecze[[#This Row],[Role]]&lt;&gt;"BR",SUMPRODUCT(Mecze[[#This Row],[/PR:90]:[/BR:90]],Brudnopis!$E$26:$J$26),0)</f>
        <v>0.15625</v>
      </c>
      <c r="W182" s="44">
        <f>IF(Mecze[[#This Row],[Role]]&lt;&gt;"BR",SUMPRODUCT(Mecze[[#This Row],[/PR:90]:[/BR:90]],Brudnopis!$E$27:$J$27),0)</f>
        <v>0.171875</v>
      </c>
      <c r="X182" s="44">
        <f>IF(Mecze[[#This Row],[Role]]&lt;&gt;"BR",SUMPRODUCT(Mecze[[#This Row],[/PR:90]:[/BR:90]],Brudnopis!$E$28:$J$28),0)</f>
        <v>7.2916666666666671E-2</v>
      </c>
      <c r="Y182" s="35">
        <f>IF(Mecze[[#This Row],[Role]]="BR",Mecze[[#This Row],[/OB:90]]+Mecze[[#This Row],[/PC:90]],SUM(Mecze[[#This Row],[/PR:90]:[/BR:90]]))</f>
        <v>0.15625</v>
      </c>
      <c r="Z182" s="35">
        <f>IF(Mecze[[#This Row],[KC]]=0,SUM(Mecze[[#This Row],[/BRI]:[/NPI]]),SUM(Mecze[[#This Row],[/BRI]:[/NPI]])*0.6)</f>
        <v>0.75520833333333337</v>
      </c>
      <c r="AA182" s="10">
        <f>IFERROR(Mecze[[#This Row],[BR]]/Mecze[[#This Row],[ST]],0)</f>
        <v>0</v>
      </c>
      <c r="AB182">
        <f>ROUND(Mecze[[#This Row],[PD]]*Mecze[[#This Row],[%PC]],0)</f>
        <v>7</v>
      </c>
      <c r="AC182">
        <f>ROUND(Mecze[[#This Row],[OD]]*Mecze[[#This Row],[%OU]],0)</f>
        <v>1</v>
      </c>
      <c r="AD182" s="36" t="s">
        <v>44</v>
      </c>
      <c r="AE182" s="36">
        <v>11</v>
      </c>
      <c r="AF182" s="71">
        <v>5.38</v>
      </c>
      <c r="AG182" s="37">
        <v>0</v>
      </c>
      <c r="AH182" s="37">
        <v>0</v>
      </c>
      <c r="AI182" s="37">
        <v>96</v>
      </c>
      <c r="AJ182">
        <v>1</v>
      </c>
      <c r="AK182" s="37" t="str">
        <f>VLOOKUP(Mecze[[#This Row],[Match ID]],Meczusie[Mecz]:Meczusie[RodzajMeczu],2,FALSE)</f>
        <v>Towarzyski</v>
      </c>
    </row>
    <row r="183" spans="1:37" x14ac:dyDescent="0.25">
      <c r="A183" s="76">
        <v>25</v>
      </c>
      <c r="B183" s="3" t="s">
        <v>366</v>
      </c>
      <c r="C183" s="2" t="s">
        <v>160</v>
      </c>
      <c r="D183" s="1">
        <v>0</v>
      </c>
      <c r="E183" s="1">
        <v>4</v>
      </c>
      <c r="F183" s="1">
        <v>2</v>
      </c>
      <c r="G183" s="1">
        <v>7</v>
      </c>
      <c r="H183" s="4">
        <v>0.56999999999999995</v>
      </c>
      <c r="I183" s="1">
        <v>1</v>
      </c>
      <c r="J183" s="4">
        <v>0</v>
      </c>
      <c r="K183" s="1">
        <v>0</v>
      </c>
      <c r="L183" s="1">
        <v>2</v>
      </c>
      <c r="M183" s="32">
        <f>IF(Mecze[[#This Row],[PR]]=0,0,Mecze[[#This Row],[PR]]/Mecze[[#This Row],[CZAS]])</f>
        <v>2.0833333333333332E-2</v>
      </c>
      <c r="N183" s="32">
        <f>IF(Mecze[[#This Row],[OU]]=0,0,Mecze[[#This Row],[OU]]/Mecze[[#This Row],[CZAS]])</f>
        <v>0</v>
      </c>
      <c r="O183" s="32">
        <f>IF(Mecze[[#This Row],[PC]]=0,0,Mecze[[#This Row],[PC]]/Mecze[[#This Row],[CZAS]])</f>
        <v>4.1666666666666664E-2</v>
      </c>
      <c r="P183" s="32">
        <f>IF(Mecze[[#This Row],[SC]]=0,0,Mecze[[#This Row],[SC]]/Mecze[[#This Row],[CZAS]])</f>
        <v>2.0833333333333332E-2</v>
      </c>
      <c r="Q183" s="32">
        <f>IF(Mecze[[#This Row],[OB]]=0,0,Mecze[[#This Row],[OB]]/Mecze[[#This Row],[CZAS]])</f>
        <v>0</v>
      </c>
      <c r="R183" s="32">
        <f>IF(Mecze[[#This Row],[BR]]=0,0,Mecze[[#This Row],[BR]]/Mecze[[#This Row],[CZAS]])</f>
        <v>0</v>
      </c>
      <c r="S183" s="44">
        <f>IF(Mecze[[#This Row],[Role]]="BR",SUMPRODUCT(Mecze[[#This Row],[/PR:90]:[/BR:90]],Brudnopis!$E$23:$J$23),0)</f>
        <v>0</v>
      </c>
      <c r="T183" s="44">
        <f>IF(Mecze[[#This Row],[Role]]&lt;&gt;"BR",SUMPRODUCT(Mecze[[#This Row],[/PR:90]:[/BR:90]],Brudnopis!$E$24:$J$24),0)</f>
        <v>8.3333333333333329E-2</v>
      </c>
      <c r="U183" s="44">
        <f>IF(Mecze[[#This Row],[Role]]&lt;&gt;"BR",SUMPRODUCT(Mecze[[#This Row],[/PR:90]:[/BR:90]],Brudnopis!$E$25:$J$25),0)</f>
        <v>0.10416666666666666</v>
      </c>
      <c r="V183" s="44">
        <f>IF(Mecze[[#This Row],[Role]]&lt;&gt;"BR",SUMPRODUCT(Mecze[[#This Row],[/PR:90]:[/BR:90]],Brudnopis!$E$26:$J$26),0)</f>
        <v>8.3333333333333329E-2</v>
      </c>
      <c r="W183" s="44">
        <f>IF(Mecze[[#This Row],[Role]]&lt;&gt;"BR",SUMPRODUCT(Mecze[[#This Row],[/PR:90]:[/BR:90]],Brudnopis!$E$27:$J$27),0)</f>
        <v>9.8958333333333329E-2</v>
      </c>
      <c r="X183" s="44">
        <f>IF(Mecze[[#This Row],[Role]]&lt;&gt;"BR",SUMPRODUCT(Mecze[[#This Row],[/PR:90]:[/BR:90]],Brudnopis!$E$28:$J$28),0)</f>
        <v>8.3333333333333329E-2</v>
      </c>
      <c r="Y183" s="35">
        <f>IF(Mecze[[#This Row],[Role]]="BR",Mecze[[#This Row],[/OB:90]]+Mecze[[#This Row],[/PC:90]],SUM(Mecze[[#This Row],[/PR:90]:[/BR:90]]))</f>
        <v>8.3333333333333329E-2</v>
      </c>
      <c r="Z183" s="35">
        <f>IF(Mecze[[#This Row],[KC]]=0,SUM(Mecze[[#This Row],[/BRI]:[/NPI]]),SUM(Mecze[[#This Row],[/BRI]:[/NPI]])*0.6)</f>
        <v>0.45312499999999994</v>
      </c>
      <c r="AA183" s="10">
        <f>IFERROR(Mecze[[#This Row],[BR]]/Mecze[[#This Row],[ST]],0)</f>
        <v>0</v>
      </c>
      <c r="AB183">
        <f>ROUND(Mecze[[#This Row],[PD]]*Mecze[[#This Row],[%PC]],0)</f>
        <v>4</v>
      </c>
      <c r="AC183">
        <f>ROUND(Mecze[[#This Row],[OD]]*Mecze[[#This Row],[%OU]],0)</f>
        <v>0</v>
      </c>
      <c r="AD183" s="36" t="s">
        <v>44</v>
      </c>
      <c r="AE183" s="36">
        <v>11</v>
      </c>
      <c r="AF183" s="71">
        <v>4.79</v>
      </c>
      <c r="AG183" s="37">
        <v>0</v>
      </c>
      <c r="AH183" s="37">
        <v>0</v>
      </c>
      <c r="AI183" s="37">
        <v>96</v>
      </c>
      <c r="AJ183">
        <v>1</v>
      </c>
      <c r="AK183" s="37" t="str">
        <f>VLOOKUP(Mecze[[#This Row],[Match ID]],Meczusie[Mecz]:Meczusie[RodzajMeczu],2,FALSE)</f>
        <v>Towarzyski</v>
      </c>
    </row>
    <row r="184" spans="1:37" x14ac:dyDescent="0.25">
      <c r="A184" s="76">
        <v>29</v>
      </c>
      <c r="B184" s="3" t="s">
        <v>367</v>
      </c>
      <c r="C184" s="2" t="s">
        <v>165</v>
      </c>
      <c r="D184" s="1">
        <v>0</v>
      </c>
      <c r="E184" s="1">
        <v>5</v>
      </c>
      <c r="F184" s="1">
        <v>2</v>
      </c>
      <c r="G184" s="1">
        <v>2</v>
      </c>
      <c r="H184" s="4">
        <v>0.5</v>
      </c>
      <c r="I184" s="1">
        <v>3</v>
      </c>
      <c r="J184" s="4">
        <v>0.33</v>
      </c>
      <c r="K184" s="1">
        <v>0</v>
      </c>
      <c r="L184" s="1">
        <v>1</v>
      </c>
      <c r="M184" s="32">
        <f>IF(Mecze[[#This Row],[PR]]=0,0,Mecze[[#This Row],[PR]]/Mecze[[#This Row],[CZAS]])</f>
        <v>1.0416666666666666E-2</v>
      </c>
      <c r="N184" s="32">
        <f>IF(Mecze[[#This Row],[OU]]=0,0,Mecze[[#This Row],[OU]]/Mecze[[#This Row],[CZAS]])</f>
        <v>1.0416666666666666E-2</v>
      </c>
      <c r="O184" s="32">
        <f>IF(Mecze[[#This Row],[PC]]=0,0,Mecze[[#This Row],[PC]]/Mecze[[#This Row],[CZAS]])</f>
        <v>1.0416666666666666E-2</v>
      </c>
      <c r="P184" s="32">
        <f>IF(Mecze[[#This Row],[SC]]=0,0,Mecze[[#This Row],[SC]]/Mecze[[#This Row],[CZAS]])</f>
        <v>2.0833333333333332E-2</v>
      </c>
      <c r="Q184" s="32">
        <f>IF(Mecze[[#This Row],[OB]]=0,0,Mecze[[#This Row],[OB]]/Mecze[[#This Row],[CZAS]])</f>
        <v>0</v>
      </c>
      <c r="R184" s="32">
        <f>IF(Mecze[[#This Row],[BR]]=0,0,Mecze[[#This Row],[BR]]/Mecze[[#This Row],[CZAS]])</f>
        <v>0</v>
      </c>
      <c r="S184" s="44">
        <f>IF(Mecze[[#This Row],[Role]]="BR",SUMPRODUCT(Mecze[[#This Row],[/PR:90]:[/BR:90]],Brudnopis!$E$23:$J$23),0)</f>
        <v>0</v>
      </c>
      <c r="T184" s="44">
        <f>IF(Mecze[[#This Row],[Role]]&lt;&gt;"BR",SUMPRODUCT(Mecze[[#This Row],[/PR:90]:[/BR:90]],Brudnopis!$E$24:$J$24),0)</f>
        <v>5.7291666666666657E-2</v>
      </c>
      <c r="U184" s="44">
        <f>IF(Mecze[[#This Row],[Role]]&lt;&gt;"BR",SUMPRODUCT(Mecze[[#This Row],[/PR:90]:[/BR:90]],Brudnopis!$E$25:$J$25),0)</f>
        <v>5.7291666666666657E-2</v>
      </c>
      <c r="V184" s="44">
        <f>IF(Mecze[[#This Row],[Role]]&lt;&gt;"BR",SUMPRODUCT(Mecze[[#This Row],[/PR:90]:[/BR:90]],Brudnopis!$E$26:$J$26),0)</f>
        <v>5.2083333333333329E-2</v>
      </c>
      <c r="W184" s="44">
        <f>IF(Mecze[[#This Row],[Role]]&lt;&gt;"BR",SUMPRODUCT(Mecze[[#This Row],[/PR:90]:[/BR:90]],Brudnopis!$E$27:$J$27),0)</f>
        <v>5.2083333333333329E-2</v>
      </c>
      <c r="X184" s="44">
        <f>IF(Mecze[[#This Row],[Role]]&lt;&gt;"BR",SUMPRODUCT(Mecze[[#This Row],[/PR:90]:[/BR:90]],Brudnopis!$E$28:$J$28),0)</f>
        <v>5.2083333333333329E-2</v>
      </c>
      <c r="Y184" s="35">
        <f>IF(Mecze[[#This Row],[Role]]="BR",Mecze[[#This Row],[/OB:90]]+Mecze[[#This Row],[/PC:90]],SUM(Mecze[[#This Row],[/PR:90]:[/BR:90]]))</f>
        <v>5.2083333333333329E-2</v>
      </c>
      <c r="Z184" s="35">
        <f>IF(Mecze[[#This Row],[KC]]=0,SUM(Mecze[[#This Row],[/BRI]:[/NPI]]),SUM(Mecze[[#This Row],[/BRI]:[/NPI]])*0.6)</f>
        <v>0.27083333333333326</v>
      </c>
      <c r="AA184" s="10">
        <f>IFERROR(Mecze[[#This Row],[BR]]/Mecze[[#This Row],[ST]],0)</f>
        <v>0</v>
      </c>
      <c r="AB184">
        <f>ROUND(Mecze[[#This Row],[PD]]*Mecze[[#This Row],[%PC]],0)</f>
        <v>1</v>
      </c>
      <c r="AC184">
        <f>ROUND(Mecze[[#This Row],[OD]]*Mecze[[#This Row],[%OU]],0)</f>
        <v>1</v>
      </c>
      <c r="AD184" s="36" t="s">
        <v>46</v>
      </c>
      <c r="AE184" s="36">
        <v>11</v>
      </c>
      <c r="AF184" s="71">
        <v>2.04</v>
      </c>
      <c r="AG184" s="37">
        <v>1</v>
      </c>
      <c r="AH184" s="37">
        <v>0</v>
      </c>
      <c r="AI184" s="37">
        <v>96</v>
      </c>
      <c r="AJ184">
        <v>1</v>
      </c>
      <c r="AK184" s="37" t="str">
        <f>VLOOKUP(Mecze[[#This Row],[Match ID]],Meczusie[Mecz]:Meczusie[RodzajMeczu],2,FALSE)</f>
        <v>Towarzyski</v>
      </c>
    </row>
    <row r="185" spans="1:37" x14ac:dyDescent="0.25">
      <c r="A185" s="76">
        <v>26</v>
      </c>
      <c r="B185" s="3" t="s">
        <v>368</v>
      </c>
      <c r="C185" s="2" t="s">
        <v>165</v>
      </c>
      <c r="D185" s="1">
        <v>1</v>
      </c>
      <c r="E185" s="1">
        <v>2</v>
      </c>
      <c r="F185" s="1">
        <v>1</v>
      </c>
      <c r="G185" s="1">
        <v>4</v>
      </c>
      <c r="H185" s="4">
        <v>0.75</v>
      </c>
      <c r="I185" s="1">
        <v>3</v>
      </c>
      <c r="J185" s="4">
        <v>0</v>
      </c>
      <c r="K185" s="1">
        <v>0</v>
      </c>
      <c r="L185" s="1">
        <v>0</v>
      </c>
      <c r="M185" s="32">
        <f>IF(Mecze[[#This Row],[PR]]=0,0,Mecze[[#This Row],[PR]]/Mecze[[#This Row],[CZAS]])</f>
        <v>0</v>
      </c>
      <c r="N185" s="32">
        <f>IF(Mecze[[#This Row],[OU]]=0,0,Mecze[[#This Row],[OU]]/Mecze[[#This Row],[CZAS]])</f>
        <v>0</v>
      </c>
      <c r="O185" s="32">
        <f>IF(Mecze[[#This Row],[PC]]=0,0,Mecze[[#This Row],[PC]]/Mecze[[#This Row],[CZAS]])</f>
        <v>3.125E-2</v>
      </c>
      <c r="P185" s="32">
        <f>IF(Mecze[[#This Row],[SC]]=0,0,Mecze[[#This Row],[SC]]/Mecze[[#This Row],[CZAS]])</f>
        <v>1.0416666666666666E-2</v>
      </c>
      <c r="Q185" s="32">
        <f>IF(Mecze[[#This Row],[OB]]=0,0,Mecze[[#This Row],[OB]]/Mecze[[#This Row],[CZAS]])</f>
        <v>0</v>
      </c>
      <c r="R185" s="32">
        <f>IF(Mecze[[#This Row],[BR]]=0,0,Mecze[[#This Row],[BR]]/Mecze[[#This Row],[CZAS]])</f>
        <v>1.0416666666666666E-2</v>
      </c>
      <c r="S185" s="44">
        <f>IF(Mecze[[#This Row],[Role]]="BR",SUMPRODUCT(Mecze[[#This Row],[/PR:90]:[/BR:90]],Brudnopis!$E$23:$J$23),0)</f>
        <v>0</v>
      </c>
      <c r="T185" s="44">
        <f>IF(Mecze[[#This Row],[Role]]&lt;&gt;"BR",SUMPRODUCT(Mecze[[#This Row],[/PR:90]:[/BR:90]],Brudnopis!$E$24:$J$24),0)</f>
        <v>5.7291666666666664E-2</v>
      </c>
      <c r="U185" s="44">
        <f>IF(Mecze[[#This Row],[Role]]&lt;&gt;"BR",SUMPRODUCT(Mecze[[#This Row],[/PR:90]:[/BR:90]],Brudnopis!$E$25:$J$25),0)</f>
        <v>7.2916666666666657E-2</v>
      </c>
      <c r="V185" s="44">
        <f>IF(Mecze[[#This Row],[Role]]&lt;&gt;"BR",SUMPRODUCT(Mecze[[#This Row],[/PR:90]:[/BR:90]],Brudnopis!$E$26:$J$26),0)</f>
        <v>6.25E-2</v>
      </c>
      <c r="W185" s="44">
        <f>IF(Mecze[[#This Row],[Role]]&lt;&gt;"BR",SUMPRODUCT(Mecze[[#This Row],[/PR:90]:[/BR:90]],Brudnopis!$E$27:$J$27),0)</f>
        <v>7.8125E-2</v>
      </c>
      <c r="X185" s="44">
        <f>IF(Mecze[[#This Row],[Role]]&lt;&gt;"BR",SUMPRODUCT(Mecze[[#This Row],[/PR:90]:[/BR:90]],Brudnopis!$E$28:$J$28),0)</f>
        <v>8.3333333333333329E-2</v>
      </c>
      <c r="Y185" s="35">
        <f>IF(Mecze[[#This Row],[Role]]="BR",Mecze[[#This Row],[/OB:90]]+Mecze[[#This Row],[/PC:90]],SUM(Mecze[[#This Row],[/PR:90]:[/BR:90]]))</f>
        <v>5.2083333333333329E-2</v>
      </c>
      <c r="Z185" s="35">
        <f>IF(Mecze[[#This Row],[KC]]=0,SUM(Mecze[[#This Row],[/BRI]:[/NPI]]),SUM(Mecze[[#This Row],[/BRI]:[/NPI]])*0.6)</f>
        <v>0.35416666666666663</v>
      </c>
      <c r="AA185" s="10">
        <f>IFERROR(Mecze[[#This Row],[BR]]/Mecze[[#This Row],[ST]],0)</f>
        <v>0.5</v>
      </c>
      <c r="AB185">
        <f>ROUND(Mecze[[#This Row],[PD]]*Mecze[[#This Row],[%PC]],0)</f>
        <v>3</v>
      </c>
      <c r="AC185">
        <f>ROUND(Mecze[[#This Row],[OD]]*Mecze[[#This Row],[%OU]],0)</f>
        <v>0</v>
      </c>
      <c r="AD185" s="36" t="s">
        <v>46</v>
      </c>
      <c r="AE185" s="36">
        <v>11</v>
      </c>
      <c r="AF185" s="71">
        <v>5.23</v>
      </c>
      <c r="AG185" s="37">
        <v>0</v>
      </c>
      <c r="AH185" s="37">
        <v>0</v>
      </c>
      <c r="AI185" s="37">
        <v>96</v>
      </c>
      <c r="AJ185">
        <v>1</v>
      </c>
      <c r="AK185" s="37" t="str">
        <f>VLOOKUP(Mecze[[#This Row],[Match ID]],Meczusie[Mecz]:Meczusie[RodzajMeczu],2,FALSE)</f>
        <v>Towarzyski</v>
      </c>
    </row>
    <row r="186" spans="1:37" x14ac:dyDescent="0.25">
      <c r="A186" s="76">
        <v>49</v>
      </c>
      <c r="B186" s="3" t="s">
        <v>358</v>
      </c>
      <c r="C186" s="2" t="s">
        <v>155</v>
      </c>
      <c r="D186" s="1">
        <v>0</v>
      </c>
      <c r="E186" s="1">
        <v>0</v>
      </c>
      <c r="F186" s="1">
        <v>0</v>
      </c>
      <c r="G186" s="1">
        <v>9</v>
      </c>
      <c r="H186" s="4">
        <v>0.11</v>
      </c>
      <c r="I186" s="1">
        <v>0</v>
      </c>
      <c r="J186" s="4"/>
      <c r="K186" s="1">
        <v>6</v>
      </c>
      <c r="L186" s="1">
        <v>0</v>
      </c>
      <c r="M186" s="32">
        <f>IF(Mecze[[#This Row],[PR]]=0,0,Mecze[[#This Row],[PR]]/Mecze[[#This Row],[CZAS]])</f>
        <v>0</v>
      </c>
      <c r="N186" s="32">
        <f>IF(Mecze[[#This Row],[OU]]=0,0,Mecze[[#This Row],[OU]]/Mecze[[#This Row],[CZAS]])</f>
        <v>0</v>
      </c>
      <c r="O186" s="32">
        <f>IF(Mecze[[#This Row],[PC]]=0,0,Mecze[[#This Row],[PC]]/Mecze[[#This Row],[CZAS]])</f>
        <v>1.0416666666666666E-2</v>
      </c>
      <c r="P186" s="32">
        <f>IF(Mecze[[#This Row],[SC]]=0,0,Mecze[[#This Row],[SC]]/Mecze[[#This Row],[CZAS]])</f>
        <v>0</v>
      </c>
      <c r="Q186" s="32">
        <f>IF(Mecze[[#This Row],[OB]]=0,0,Mecze[[#This Row],[OB]]/Mecze[[#This Row],[CZAS]])</f>
        <v>6.25E-2</v>
      </c>
      <c r="R186" s="32">
        <f>IF(Mecze[[#This Row],[BR]]=0,0,Mecze[[#This Row],[BR]]/Mecze[[#This Row],[CZAS]])</f>
        <v>0</v>
      </c>
      <c r="S186" s="44">
        <f>IF(Mecze[[#This Row],[Role]]="BR",SUMPRODUCT(Mecze[[#This Row],[/PR:90]:[/BR:90]],Brudnopis!$E$23:$J$23),0)</f>
        <v>0.21875</v>
      </c>
      <c r="T186" s="44">
        <f>IF(Mecze[[#This Row],[Role]]&lt;&gt;"BR",SUMPRODUCT(Mecze[[#This Row],[/PR:90]:[/BR:90]],Brudnopis!$E$24:$J$24),0)</f>
        <v>0</v>
      </c>
      <c r="U186" s="44">
        <f>IF(Mecze[[#This Row],[Role]]&lt;&gt;"BR",SUMPRODUCT(Mecze[[#This Row],[/PR:90]:[/BR:90]],Brudnopis!$E$25:$J$25),0)</f>
        <v>0</v>
      </c>
      <c r="V186" s="44">
        <f>IF(Mecze[[#This Row],[Role]]&lt;&gt;"BR",SUMPRODUCT(Mecze[[#This Row],[/PR:90]:[/BR:90]],Brudnopis!$E$26:$J$26),0)</f>
        <v>0</v>
      </c>
      <c r="W186" s="44">
        <f>IF(Mecze[[#This Row],[Role]]&lt;&gt;"BR",SUMPRODUCT(Mecze[[#This Row],[/PR:90]:[/BR:90]],Brudnopis!$E$27:$J$27),0)</f>
        <v>0</v>
      </c>
      <c r="X186" s="44">
        <f>IF(Mecze[[#This Row],[Role]]&lt;&gt;"BR",SUMPRODUCT(Mecze[[#This Row],[/PR:90]:[/BR:90]],Brudnopis!$E$28:$J$28),0)</f>
        <v>0</v>
      </c>
      <c r="Y186" s="35">
        <f>IF(Mecze[[#This Row],[Role]]="BR",Mecze[[#This Row],[/OB:90]]+Mecze[[#This Row],[/PC:90]],SUM(Mecze[[#This Row],[/PR:90]:[/BR:90]]))</f>
        <v>7.2916666666666671E-2</v>
      </c>
      <c r="Z186" s="35">
        <f>IF(Mecze[[#This Row],[KC]]=0,SUM(Mecze[[#This Row],[/BRI]:[/NPI]]),SUM(Mecze[[#This Row],[/BRI]:[/NPI]])*0.6)</f>
        <v>0.21875</v>
      </c>
      <c r="AA186" s="10">
        <f>IFERROR(Mecze[[#This Row],[BR]]/Mecze[[#This Row],[ST]],0)</f>
        <v>0</v>
      </c>
      <c r="AB186">
        <f>ROUND(Mecze[[#This Row],[PD]]*Mecze[[#This Row],[%PC]],0)</f>
        <v>1</v>
      </c>
      <c r="AC186">
        <f>ROUND(Mecze[[#This Row],[OD]]*Mecze[[#This Row],[%OU]],0)</f>
        <v>0</v>
      </c>
      <c r="AD186" s="36" t="s">
        <v>40</v>
      </c>
      <c r="AE186" s="36">
        <v>12</v>
      </c>
      <c r="AF186" s="71">
        <v>3.69</v>
      </c>
      <c r="AG186" s="37">
        <v>0</v>
      </c>
      <c r="AH186" s="37">
        <v>0</v>
      </c>
      <c r="AI186" s="37">
        <v>96</v>
      </c>
      <c r="AJ186">
        <v>1</v>
      </c>
      <c r="AK186" s="37" t="str">
        <f>VLOOKUP(Mecze[[#This Row],[Match ID]],Meczusie[Mecz]:Meczusie[RodzajMeczu],2,FALSE)</f>
        <v>Towarzyski</v>
      </c>
    </row>
    <row r="187" spans="1:37" x14ac:dyDescent="0.25">
      <c r="A187" s="76">
        <v>38</v>
      </c>
      <c r="B187" s="3" t="s">
        <v>359</v>
      </c>
      <c r="C187" s="2" t="s">
        <v>157</v>
      </c>
      <c r="D187" s="1">
        <v>0</v>
      </c>
      <c r="E187" s="1">
        <v>0</v>
      </c>
      <c r="F187" s="1">
        <v>0</v>
      </c>
      <c r="G187" s="1">
        <v>6</v>
      </c>
      <c r="H187" s="4">
        <v>0.67</v>
      </c>
      <c r="I187" s="1">
        <v>2</v>
      </c>
      <c r="J187" s="4">
        <v>0.5</v>
      </c>
      <c r="K187" s="1">
        <v>0</v>
      </c>
      <c r="L187" s="1">
        <v>4</v>
      </c>
      <c r="M187" s="32">
        <f>IF(Mecze[[#This Row],[PR]]=0,0,Mecze[[#This Row],[PR]]/Mecze[[#This Row],[CZAS]])</f>
        <v>4.1666666666666664E-2</v>
      </c>
      <c r="N187" s="32">
        <f>IF(Mecze[[#This Row],[OU]]=0,0,Mecze[[#This Row],[OU]]/Mecze[[#This Row],[CZAS]])</f>
        <v>1.0416666666666666E-2</v>
      </c>
      <c r="O187" s="32">
        <f>IF(Mecze[[#This Row],[PC]]=0,0,Mecze[[#This Row],[PC]]/Mecze[[#This Row],[CZAS]])</f>
        <v>4.1666666666666664E-2</v>
      </c>
      <c r="P187" s="32">
        <f>IF(Mecze[[#This Row],[SC]]=0,0,Mecze[[#This Row],[SC]]/Mecze[[#This Row],[CZAS]])</f>
        <v>0</v>
      </c>
      <c r="Q187" s="32">
        <f>IF(Mecze[[#This Row],[OB]]=0,0,Mecze[[#This Row],[OB]]/Mecze[[#This Row],[CZAS]])</f>
        <v>0</v>
      </c>
      <c r="R187" s="32">
        <f>IF(Mecze[[#This Row],[BR]]=0,0,Mecze[[#This Row],[BR]]/Mecze[[#This Row],[CZAS]])</f>
        <v>0</v>
      </c>
      <c r="S187" s="44">
        <f>IF(Mecze[[#This Row],[Role]]="BR",SUMPRODUCT(Mecze[[#This Row],[/PR:90]:[/BR:90]],Brudnopis!$E$23:$J$23),0)</f>
        <v>0</v>
      </c>
      <c r="T187" s="44">
        <f>IF(Mecze[[#This Row],[Role]]&lt;&gt;"BR",SUMPRODUCT(Mecze[[#This Row],[/PR:90]:[/BR:90]],Brudnopis!$E$24:$J$24),0)</f>
        <v>9.8958333333333329E-2</v>
      </c>
      <c r="U187" s="44">
        <f>IF(Mecze[[#This Row],[Role]]&lt;&gt;"BR",SUMPRODUCT(Mecze[[#This Row],[/PR:90]:[/BR:90]],Brudnopis!$E$25:$J$25),0)</f>
        <v>0.11458333333333333</v>
      </c>
      <c r="V187" s="44">
        <f>IF(Mecze[[#This Row],[Role]]&lt;&gt;"BR",SUMPRODUCT(Mecze[[#This Row],[/PR:90]:[/BR:90]],Brudnopis!$E$26:$J$26),0)</f>
        <v>9.375E-2</v>
      </c>
      <c r="W187" s="44">
        <f>IF(Mecze[[#This Row],[Role]]&lt;&gt;"BR",SUMPRODUCT(Mecze[[#This Row],[/PR:90]:[/BR:90]],Brudnopis!$E$27:$J$27),0)</f>
        <v>0.1015625</v>
      </c>
      <c r="X187" s="44">
        <f>IF(Mecze[[#This Row],[Role]]&lt;&gt;"BR",SUMPRODUCT(Mecze[[#This Row],[/PR:90]:[/BR:90]],Brudnopis!$E$28:$J$28),0)</f>
        <v>4.1666666666666664E-2</v>
      </c>
      <c r="Y187" s="35">
        <f>IF(Mecze[[#This Row],[Role]]="BR",Mecze[[#This Row],[/OB:90]]+Mecze[[#This Row],[/PC:90]],SUM(Mecze[[#This Row],[/PR:90]:[/BR:90]]))</f>
        <v>9.375E-2</v>
      </c>
      <c r="Z187" s="35">
        <f>IF(Mecze[[#This Row],[KC]]=0,SUM(Mecze[[#This Row],[/BRI]:[/NPI]]),SUM(Mecze[[#This Row],[/BRI]:[/NPI]])*0.6)</f>
        <v>0.45052083333333331</v>
      </c>
      <c r="AA187" s="10">
        <f>IFERROR(Mecze[[#This Row],[BR]]/Mecze[[#This Row],[ST]],0)</f>
        <v>0</v>
      </c>
      <c r="AB187">
        <f>ROUND(Mecze[[#This Row],[PD]]*Mecze[[#This Row],[%PC]],0)</f>
        <v>4</v>
      </c>
      <c r="AC187">
        <f>ROUND(Mecze[[#This Row],[OD]]*Mecze[[#This Row],[%OU]],0)</f>
        <v>1</v>
      </c>
      <c r="AD187" s="36" t="s">
        <v>47</v>
      </c>
      <c r="AE187" s="36">
        <v>12</v>
      </c>
      <c r="AF187" s="71">
        <v>2.4300000000000002</v>
      </c>
      <c r="AG187" s="37">
        <v>0</v>
      </c>
      <c r="AH187" s="37">
        <v>0</v>
      </c>
      <c r="AI187" s="37">
        <v>96</v>
      </c>
      <c r="AJ187">
        <v>1</v>
      </c>
      <c r="AK187" s="37" t="str">
        <f>VLOOKUP(Mecze[[#This Row],[Match ID]],Meczusie[Mecz]:Meczusie[RodzajMeczu],2,FALSE)</f>
        <v>Towarzyski</v>
      </c>
    </row>
    <row r="188" spans="1:37" x14ac:dyDescent="0.25">
      <c r="A188" s="76">
        <v>4</v>
      </c>
      <c r="B188" s="3" t="s">
        <v>360</v>
      </c>
      <c r="C188" s="2" t="s">
        <v>157</v>
      </c>
      <c r="D188" s="1">
        <v>0</v>
      </c>
      <c r="E188" s="1">
        <v>0</v>
      </c>
      <c r="F188" s="1">
        <v>0</v>
      </c>
      <c r="G188" s="1">
        <v>8</v>
      </c>
      <c r="H188" s="4">
        <v>0.5</v>
      </c>
      <c r="I188" s="1">
        <v>2</v>
      </c>
      <c r="J188" s="4">
        <v>0.5</v>
      </c>
      <c r="K188" s="1">
        <v>0</v>
      </c>
      <c r="L188" s="1">
        <v>13</v>
      </c>
      <c r="M188" s="32">
        <f>IF(Mecze[[#This Row],[PR]]=0,0,Mecze[[#This Row],[PR]]/Mecze[[#This Row],[CZAS]])</f>
        <v>0.13541666666666666</v>
      </c>
      <c r="N188" s="32">
        <f>IF(Mecze[[#This Row],[OU]]=0,0,Mecze[[#This Row],[OU]]/Mecze[[#This Row],[CZAS]])</f>
        <v>1.0416666666666666E-2</v>
      </c>
      <c r="O188" s="32">
        <f>IF(Mecze[[#This Row],[PC]]=0,0,Mecze[[#This Row],[PC]]/Mecze[[#This Row],[CZAS]])</f>
        <v>4.1666666666666664E-2</v>
      </c>
      <c r="P188" s="32">
        <f>IF(Mecze[[#This Row],[SC]]=0,0,Mecze[[#This Row],[SC]]/Mecze[[#This Row],[CZAS]])</f>
        <v>0</v>
      </c>
      <c r="Q188" s="32">
        <f>IF(Mecze[[#This Row],[OB]]=0,0,Mecze[[#This Row],[OB]]/Mecze[[#This Row],[CZAS]])</f>
        <v>0</v>
      </c>
      <c r="R188" s="32">
        <f>IF(Mecze[[#This Row],[BR]]=0,0,Mecze[[#This Row],[BR]]/Mecze[[#This Row],[CZAS]])</f>
        <v>0</v>
      </c>
      <c r="S188" s="44">
        <f>IF(Mecze[[#This Row],[Role]]="BR",SUMPRODUCT(Mecze[[#This Row],[/PR:90]:[/BR:90]],Brudnopis!$E$23:$J$23),0)</f>
        <v>0</v>
      </c>
      <c r="T188" s="44">
        <f>IF(Mecze[[#This Row],[Role]]&lt;&gt;"BR",SUMPRODUCT(Mecze[[#This Row],[/PR:90]:[/BR:90]],Brudnopis!$E$24:$J$24),0)</f>
        <v>0.19270833333333331</v>
      </c>
      <c r="U188" s="44">
        <f>IF(Mecze[[#This Row],[Role]]&lt;&gt;"BR",SUMPRODUCT(Mecze[[#This Row],[/PR:90]:[/BR:90]],Brudnopis!$E$25:$J$25),0)</f>
        <v>0.20833333333333331</v>
      </c>
      <c r="V188" s="44">
        <f>IF(Mecze[[#This Row],[Role]]&lt;&gt;"BR",SUMPRODUCT(Mecze[[#This Row],[/PR:90]:[/BR:90]],Brudnopis!$E$26:$J$26),0)</f>
        <v>0.18749999999999997</v>
      </c>
      <c r="W188" s="44">
        <f>IF(Mecze[[#This Row],[Role]]&lt;&gt;"BR",SUMPRODUCT(Mecze[[#This Row],[/PR:90]:[/BR:90]],Brudnopis!$E$27:$J$27),0)</f>
        <v>0.171875</v>
      </c>
      <c r="X188" s="44">
        <f>IF(Mecze[[#This Row],[Role]]&lt;&gt;"BR",SUMPRODUCT(Mecze[[#This Row],[/PR:90]:[/BR:90]],Brudnopis!$E$28:$J$28),0)</f>
        <v>4.1666666666666664E-2</v>
      </c>
      <c r="Y188" s="35">
        <f>IF(Mecze[[#This Row],[Role]]="BR",Mecze[[#This Row],[/OB:90]]+Mecze[[#This Row],[/PC:90]],SUM(Mecze[[#This Row],[/PR:90]:[/BR:90]]))</f>
        <v>0.18749999999999997</v>
      </c>
      <c r="Z188" s="35">
        <f>IF(Mecze[[#This Row],[KC]]=0,SUM(Mecze[[#This Row],[/BRI]:[/NPI]]),SUM(Mecze[[#This Row],[/BRI]:[/NPI]])*0.6)</f>
        <v>0.80208333333333326</v>
      </c>
      <c r="AA188" s="10">
        <f>IFERROR(Mecze[[#This Row],[BR]]/Mecze[[#This Row],[ST]],0)</f>
        <v>0</v>
      </c>
      <c r="AB188">
        <f>ROUND(Mecze[[#This Row],[PD]]*Mecze[[#This Row],[%PC]],0)</f>
        <v>4</v>
      </c>
      <c r="AC188">
        <f>ROUND(Mecze[[#This Row],[OD]]*Mecze[[#This Row],[%OU]],0)</f>
        <v>1</v>
      </c>
      <c r="AD188" s="36" t="s">
        <v>168</v>
      </c>
      <c r="AE188" s="36">
        <v>12</v>
      </c>
      <c r="AF188" s="71">
        <v>4.32</v>
      </c>
      <c r="AG188" s="37">
        <v>0</v>
      </c>
      <c r="AH188" s="37">
        <v>0</v>
      </c>
      <c r="AI188" s="37">
        <v>96</v>
      </c>
      <c r="AJ188">
        <v>1</v>
      </c>
      <c r="AK188" s="37" t="str">
        <f>VLOOKUP(Mecze[[#This Row],[Match ID]],Meczusie[Mecz]:Meczusie[RodzajMeczu],2,FALSE)</f>
        <v>Towarzyski</v>
      </c>
    </row>
    <row r="189" spans="1:37" x14ac:dyDescent="0.25">
      <c r="A189" s="76">
        <v>42</v>
      </c>
      <c r="B189" s="3" t="s">
        <v>361</v>
      </c>
      <c r="C189" s="2" t="s">
        <v>157</v>
      </c>
      <c r="D189" s="1">
        <v>0</v>
      </c>
      <c r="E189" s="1">
        <v>0</v>
      </c>
      <c r="F189" s="1">
        <v>0</v>
      </c>
      <c r="G189" s="1">
        <v>5</v>
      </c>
      <c r="H189" s="4">
        <v>0</v>
      </c>
      <c r="I189" s="1">
        <v>5</v>
      </c>
      <c r="J189" s="4">
        <v>0.2</v>
      </c>
      <c r="K189" s="1">
        <v>0</v>
      </c>
      <c r="L189" s="1">
        <v>7</v>
      </c>
      <c r="M189" s="32">
        <f>IF(Mecze[[#This Row],[PR]]=0,0,Mecze[[#This Row],[PR]]/Mecze[[#This Row],[CZAS]])</f>
        <v>7.2916666666666671E-2</v>
      </c>
      <c r="N189" s="32">
        <f>IF(Mecze[[#This Row],[OU]]=0,0,Mecze[[#This Row],[OU]]/Mecze[[#This Row],[CZAS]])</f>
        <v>1.0416666666666666E-2</v>
      </c>
      <c r="O189" s="32">
        <f>IF(Mecze[[#This Row],[PC]]=0,0,Mecze[[#This Row],[PC]]/Mecze[[#This Row],[CZAS]])</f>
        <v>0</v>
      </c>
      <c r="P189" s="32">
        <f>IF(Mecze[[#This Row],[SC]]=0,0,Mecze[[#This Row],[SC]]/Mecze[[#This Row],[CZAS]])</f>
        <v>0</v>
      </c>
      <c r="Q189" s="32">
        <f>IF(Mecze[[#This Row],[OB]]=0,0,Mecze[[#This Row],[OB]]/Mecze[[#This Row],[CZAS]])</f>
        <v>0</v>
      </c>
      <c r="R189" s="32">
        <f>IF(Mecze[[#This Row],[BR]]=0,0,Mecze[[#This Row],[BR]]/Mecze[[#This Row],[CZAS]])</f>
        <v>0</v>
      </c>
      <c r="S189" s="44">
        <f>IF(Mecze[[#This Row],[Role]]="BR",SUMPRODUCT(Mecze[[#This Row],[/PR:90]:[/BR:90]],Brudnopis!$E$23:$J$23),0)</f>
        <v>0</v>
      </c>
      <c r="T189" s="44">
        <f>IF(Mecze[[#This Row],[Role]]&lt;&gt;"BR",SUMPRODUCT(Mecze[[#This Row],[/PR:90]:[/BR:90]],Brudnopis!$E$24:$J$24),0)</f>
        <v>8.8541666666666671E-2</v>
      </c>
      <c r="U189" s="44">
        <f>IF(Mecze[[#This Row],[Role]]&lt;&gt;"BR",SUMPRODUCT(Mecze[[#This Row],[/PR:90]:[/BR:90]],Brudnopis!$E$25:$J$25),0)</f>
        <v>8.3333333333333343E-2</v>
      </c>
      <c r="V189" s="44">
        <f>IF(Mecze[[#This Row],[Role]]&lt;&gt;"BR",SUMPRODUCT(Mecze[[#This Row],[/PR:90]:[/BR:90]],Brudnopis!$E$26:$J$26),0)</f>
        <v>8.3333333333333343E-2</v>
      </c>
      <c r="W189" s="44">
        <f>IF(Mecze[[#This Row],[Role]]&lt;&gt;"BR",SUMPRODUCT(Mecze[[#This Row],[/PR:90]:[/BR:90]],Brudnopis!$E$27:$J$27),0)</f>
        <v>6.25E-2</v>
      </c>
      <c r="X189" s="44">
        <f>IF(Mecze[[#This Row],[Role]]&lt;&gt;"BR",SUMPRODUCT(Mecze[[#This Row],[/PR:90]:[/BR:90]],Brudnopis!$E$28:$J$28),0)</f>
        <v>0</v>
      </c>
      <c r="Y189" s="35">
        <f>IF(Mecze[[#This Row],[Role]]="BR",Mecze[[#This Row],[/OB:90]]+Mecze[[#This Row],[/PC:90]],SUM(Mecze[[#This Row],[/PR:90]:[/BR:90]]))</f>
        <v>8.3333333333333343E-2</v>
      </c>
      <c r="Z189" s="35">
        <f>IF(Mecze[[#This Row],[KC]]=0,SUM(Mecze[[#This Row],[/BRI]:[/NPI]]),SUM(Mecze[[#This Row],[/BRI]:[/NPI]])*0.6)</f>
        <v>0.31770833333333337</v>
      </c>
      <c r="AA189" s="10">
        <f>IFERROR(Mecze[[#This Row],[BR]]/Mecze[[#This Row],[ST]],0)</f>
        <v>0</v>
      </c>
      <c r="AB189">
        <f>ROUND(Mecze[[#This Row],[PD]]*Mecze[[#This Row],[%PC]],0)</f>
        <v>0</v>
      </c>
      <c r="AC189">
        <f>ROUND(Mecze[[#This Row],[OD]]*Mecze[[#This Row],[%OU]],0)</f>
        <v>1</v>
      </c>
      <c r="AD189" s="36" t="s">
        <v>167</v>
      </c>
      <c r="AE189" s="36">
        <v>12</v>
      </c>
      <c r="AF189" s="71">
        <v>3.06</v>
      </c>
      <c r="AG189" s="37">
        <v>0</v>
      </c>
      <c r="AH189" s="37">
        <v>0</v>
      </c>
      <c r="AI189" s="37">
        <v>96</v>
      </c>
      <c r="AJ189">
        <v>1</v>
      </c>
      <c r="AK189" s="37" t="str">
        <f>VLOOKUP(Mecze[[#This Row],[Match ID]],Meczusie[Mecz]:Meczusie[RodzajMeczu],2,FALSE)</f>
        <v>Towarzyski</v>
      </c>
    </row>
    <row r="190" spans="1:37" x14ac:dyDescent="0.25">
      <c r="A190" s="76">
        <v>33</v>
      </c>
      <c r="B190" s="3" t="s">
        <v>362</v>
      </c>
      <c r="C190" s="2" t="s">
        <v>160</v>
      </c>
      <c r="D190" s="1">
        <v>0</v>
      </c>
      <c r="E190" s="1">
        <v>0</v>
      </c>
      <c r="F190" s="1">
        <v>0</v>
      </c>
      <c r="G190" s="1">
        <v>13</v>
      </c>
      <c r="H190" s="4">
        <v>0.54</v>
      </c>
      <c r="I190" s="1">
        <v>3</v>
      </c>
      <c r="J190" s="4">
        <v>0</v>
      </c>
      <c r="K190" s="1">
        <v>0</v>
      </c>
      <c r="L190" s="1">
        <v>4</v>
      </c>
      <c r="M190" s="32">
        <f>IF(Mecze[[#This Row],[PR]]=0,0,Mecze[[#This Row],[PR]]/Mecze[[#This Row],[CZAS]])</f>
        <v>4.1666666666666664E-2</v>
      </c>
      <c r="N190" s="32">
        <f>IF(Mecze[[#This Row],[OU]]=0,0,Mecze[[#This Row],[OU]]/Mecze[[#This Row],[CZAS]])</f>
        <v>0</v>
      </c>
      <c r="O190" s="32">
        <f>IF(Mecze[[#This Row],[PC]]=0,0,Mecze[[#This Row],[PC]]/Mecze[[#This Row],[CZAS]])</f>
        <v>7.2916666666666671E-2</v>
      </c>
      <c r="P190" s="32">
        <f>IF(Mecze[[#This Row],[SC]]=0,0,Mecze[[#This Row],[SC]]/Mecze[[#This Row],[CZAS]])</f>
        <v>0</v>
      </c>
      <c r="Q190" s="32">
        <f>IF(Mecze[[#This Row],[OB]]=0,0,Mecze[[#This Row],[OB]]/Mecze[[#This Row],[CZAS]])</f>
        <v>0</v>
      </c>
      <c r="R190" s="32">
        <f>IF(Mecze[[#This Row],[BR]]=0,0,Mecze[[#This Row],[BR]]/Mecze[[#This Row],[CZAS]])</f>
        <v>0</v>
      </c>
      <c r="S190" s="44">
        <f>IF(Mecze[[#This Row],[Role]]="BR",SUMPRODUCT(Mecze[[#This Row],[/PR:90]:[/BR:90]],Brudnopis!$E$23:$J$23),0)</f>
        <v>0</v>
      </c>
      <c r="T190" s="44">
        <f>IF(Mecze[[#This Row],[Role]]&lt;&gt;"BR",SUMPRODUCT(Mecze[[#This Row],[/PR:90]:[/BR:90]],Brudnopis!$E$24:$J$24),0)</f>
        <v>0.11458333333333334</v>
      </c>
      <c r="U190" s="44">
        <f>IF(Mecze[[#This Row],[Role]]&lt;&gt;"BR",SUMPRODUCT(Mecze[[#This Row],[/PR:90]:[/BR:90]],Brudnopis!$E$25:$J$25),0)</f>
        <v>0.15104166666666666</v>
      </c>
      <c r="V190" s="44">
        <f>IF(Mecze[[#This Row],[Role]]&lt;&gt;"BR",SUMPRODUCT(Mecze[[#This Row],[/PR:90]:[/BR:90]],Brudnopis!$E$26:$J$26),0)</f>
        <v>0.11458333333333334</v>
      </c>
      <c r="W190" s="44">
        <f>IF(Mecze[[#This Row],[Role]]&lt;&gt;"BR",SUMPRODUCT(Mecze[[#This Row],[/PR:90]:[/BR:90]],Brudnopis!$E$27:$J$27),0)</f>
        <v>0.140625</v>
      </c>
      <c r="X190" s="44">
        <f>IF(Mecze[[#This Row],[Role]]&lt;&gt;"BR",SUMPRODUCT(Mecze[[#This Row],[/PR:90]:[/BR:90]],Brudnopis!$E$28:$J$28),0)</f>
        <v>7.2916666666666671E-2</v>
      </c>
      <c r="Y190" s="35">
        <f>IF(Mecze[[#This Row],[Role]]="BR",Mecze[[#This Row],[/OB:90]]+Mecze[[#This Row],[/PC:90]],SUM(Mecze[[#This Row],[/PR:90]:[/BR:90]]))</f>
        <v>0.11458333333333334</v>
      </c>
      <c r="Z190" s="35">
        <f>IF(Mecze[[#This Row],[KC]]=0,SUM(Mecze[[#This Row],[/BRI]:[/NPI]]),SUM(Mecze[[#This Row],[/BRI]:[/NPI]])*0.6)</f>
        <v>0.59375</v>
      </c>
      <c r="AA190" s="10">
        <f>IFERROR(Mecze[[#This Row],[BR]]/Mecze[[#This Row],[ST]],0)</f>
        <v>0</v>
      </c>
      <c r="AB190">
        <f>ROUND(Mecze[[#This Row],[PD]]*Mecze[[#This Row],[%PC]],0)</f>
        <v>7</v>
      </c>
      <c r="AC190">
        <f>ROUND(Mecze[[#This Row],[OD]]*Mecze[[#This Row],[%OU]],0)</f>
        <v>0</v>
      </c>
      <c r="AD190" s="36" t="s">
        <v>41</v>
      </c>
      <c r="AE190" s="36">
        <v>12</v>
      </c>
      <c r="AF190" s="71">
        <v>4.75</v>
      </c>
      <c r="AG190" s="37">
        <v>0</v>
      </c>
      <c r="AH190" s="37">
        <v>0</v>
      </c>
      <c r="AI190" s="37">
        <v>96</v>
      </c>
      <c r="AJ190">
        <v>1</v>
      </c>
      <c r="AK190" s="37" t="str">
        <f>VLOOKUP(Mecze[[#This Row],[Match ID]],Meczusie[Mecz]:Meczusie[RodzajMeczu],2,FALSE)</f>
        <v>Towarzyski</v>
      </c>
    </row>
    <row r="191" spans="1:37" x14ac:dyDescent="0.25">
      <c r="A191" s="76">
        <v>22</v>
      </c>
      <c r="B191" s="3" t="s">
        <v>363</v>
      </c>
      <c r="C191" s="2" t="s">
        <v>160</v>
      </c>
      <c r="D191" s="1">
        <v>0</v>
      </c>
      <c r="E191" s="1">
        <v>0</v>
      </c>
      <c r="F191" s="1">
        <v>0</v>
      </c>
      <c r="G191" s="1">
        <v>9</v>
      </c>
      <c r="H191" s="4">
        <v>0.56000000000000005</v>
      </c>
      <c r="I191" s="1">
        <v>8</v>
      </c>
      <c r="J191" s="4">
        <v>0.13</v>
      </c>
      <c r="K191" s="1">
        <v>0</v>
      </c>
      <c r="L191" s="1">
        <v>5</v>
      </c>
      <c r="M191" s="32">
        <f>IF(Mecze[[#This Row],[PR]]=0,0,Mecze[[#This Row],[PR]]/Mecze[[#This Row],[CZAS]])</f>
        <v>5.2083333333333336E-2</v>
      </c>
      <c r="N191" s="32">
        <f>IF(Mecze[[#This Row],[OU]]=0,0,Mecze[[#This Row],[OU]]/Mecze[[#This Row],[CZAS]])</f>
        <v>1.0416666666666666E-2</v>
      </c>
      <c r="O191" s="32">
        <f>IF(Mecze[[#This Row],[PC]]=0,0,Mecze[[#This Row],[PC]]/Mecze[[#This Row],[CZAS]])</f>
        <v>5.2083333333333336E-2</v>
      </c>
      <c r="P191" s="32">
        <f>IF(Mecze[[#This Row],[SC]]=0,0,Mecze[[#This Row],[SC]]/Mecze[[#This Row],[CZAS]])</f>
        <v>0</v>
      </c>
      <c r="Q191" s="32">
        <f>IF(Mecze[[#This Row],[OB]]=0,0,Mecze[[#This Row],[OB]]/Mecze[[#This Row],[CZAS]])</f>
        <v>0</v>
      </c>
      <c r="R191" s="32">
        <f>IF(Mecze[[#This Row],[BR]]=0,0,Mecze[[#This Row],[BR]]/Mecze[[#This Row],[CZAS]])</f>
        <v>0</v>
      </c>
      <c r="S191" s="44">
        <f>IF(Mecze[[#This Row],[Role]]="BR",SUMPRODUCT(Mecze[[#This Row],[/PR:90]:[/BR:90]],Brudnopis!$E$23:$J$23),0)</f>
        <v>0</v>
      </c>
      <c r="T191" s="44">
        <f>IF(Mecze[[#This Row],[Role]]&lt;&gt;"BR",SUMPRODUCT(Mecze[[#This Row],[/PR:90]:[/BR:90]],Brudnopis!$E$24:$J$24),0)</f>
        <v>0.11979166666666669</v>
      </c>
      <c r="U191" s="44">
        <f>IF(Mecze[[#This Row],[Role]]&lt;&gt;"BR",SUMPRODUCT(Mecze[[#This Row],[/PR:90]:[/BR:90]],Brudnopis!$E$25:$J$25),0)</f>
        <v>0.140625</v>
      </c>
      <c r="V191" s="44">
        <f>IF(Mecze[[#This Row],[Role]]&lt;&gt;"BR",SUMPRODUCT(Mecze[[#This Row],[/PR:90]:[/BR:90]],Brudnopis!$E$26:$J$26),0)</f>
        <v>0.11458333333333334</v>
      </c>
      <c r="W191" s="44">
        <f>IF(Mecze[[#This Row],[Role]]&lt;&gt;"BR",SUMPRODUCT(Mecze[[#This Row],[/PR:90]:[/BR:90]],Brudnopis!$E$27:$J$27),0)</f>
        <v>0.125</v>
      </c>
      <c r="X191" s="44">
        <f>IF(Mecze[[#This Row],[Role]]&lt;&gt;"BR",SUMPRODUCT(Mecze[[#This Row],[/PR:90]:[/BR:90]],Brudnopis!$E$28:$J$28),0)</f>
        <v>5.2083333333333336E-2</v>
      </c>
      <c r="Y191" s="35">
        <f>IF(Mecze[[#This Row],[Role]]="BR",Mecze[[#This Row],[/OB:90]]+Mecze[[#This Row],[/PC:90]],SUM(Mecze[[#This Row],[/PR:90]:[/BR:90]]))</f>
        <v>0.11458333333333334</v>
      </c>
      <c r="Z191" s="35">
        <f>IF(Mecze[[#This Row],[KC]]=0,SUM(Mecze[[#This Row],[/BRI]:[/NPI]]),SUM(Mecze[[#This Row],[/BRI]:[/NPI]])*0.6)</f>
        <v>0.55208333333333337</v>
      </c>
      <c r="AA191" s="10">
        <f>IFERROR(Mecze[[#This Row],[BR]]/Mecze[[#This Row],[ST]],0)</f>
        <v>0</v>
      </c>
      <c r="AB191">
        <f>ROUND(Mecze[[#This Row],[PD]]*Mecze[[#This Row],[%PC]],0)</f>
        <v>5</v>
      </c>
      <c r="AC191">
        <f>ROUND(Mecze[[#This Row],[OD]]*Mecze[[#This Row],[%OU]],0)</f>
        <v>1</v>
      </c>
      <c r="AD191" s="36" t="s">
        <v>41</v>
      </c>
      <c r="AE191" s="36">
        <v>12</v>
      </c>
      <c r="AF191" s="71">
        <v>4.96</v>
      </c>
      <c r="AG191" s="37">
        <v>0</v>
      </c>
      <c r="AH191" s="37">
        <v>0</v>
      </c>
      <c r="AI191" s="37">
        <v>96</v>
      </c>
      <c r="AJ191">
        <v>1</v>
      </c>
      <c r="AK191" s="37" t="str">
        <f>VLOOKUP(Mecze[[#This Row],[Match ID]],Meczusie[Mecz]:Meczusie[RodzajMeczu],2,FALSE)</f>
        <v>Towarzyski</v>
      </c>
    </row>
    <row r="192" spans="1:37" x14ac:dyDescent="0.25">
      <c r="A192" s="76">
        <v>27</v>
      </c>
      <c r="B192" s="3" t="s">
        <v>364</v>
      </c>
      <c r="C192" s="2" t="s">
        <v>160</v>
      </c>
      <c r="D192" s="1">
        <v>0</v>
      </c>
      <c r="E192" s="1">
        <v>1</v>
      </c>
      <c r="F192" s="1">
        <v>1</v>
      </c>
      <c r="G192" s="1">
        <v>6</v>
      </c>
      <c r="H192" s="4">
        <v>0.83</v>
      </c>
      <c r="I192" s="1">
        <v>7</v>
      </c>
      <c r="J192" s="4">
        <v>0.28999999999999998</v>
      </c>
      <c r="K192" s="1">
        <v>0</v>
      </c>
      <c r="L192" s="1">
        <v>3</v>
      </c>
      <c r="M192" s="32">
        <f>IF(Mecze[[#This Row],[PR]]=0,0,Mecze[[#This Row],[PR]]/Mecze[[#This Row],[CZAS]])</f>
        <v>3.125E-2</v>
      </c>
      <c r="N192" s="32">
        <f>IF(Mecze[[#This Row],[OU]]=0,0,Mecze[[#This Row],[OU]]/Mecze[[#This Row],[CZAS]])</f>
        <v>2.0833333333333332E-2</v>
      </c>
      <c r="O192" s="32">
        <f>IF(Mecze[[#This Row],[PC]]=0,0,Mecze[[#This Row],[PC]]/Mecze[[#This Row],[CZAS]])</f>
        <v>5.2083333333333336E-2</v>
      </c>
      <c r="P192" s="32">
        <f>IF(Mecze[[#This Row],[SC]]=0,0,Mecze[[#This Row],[SC]]/Mecze[[#This Row],[CZAS]])</f>
        <v>1.0416666666666666E-2</v>
      </c>
      <c r="Q192" s="32">
        <f>IF(Mecze[[#This Row],[OB]]=0,0,Mecze[[#This Row],[OB]]/Mecze[[#This Row],[CZAS]])</f>
        <v>0</v>
      </c>
      <c r="R192" s="32">
        <f>IF(Mecze[[#This Row],[BR]]=0,0,Mecze[[#This Row],[BR]]/Mecze[[#This Row],[CZAS]])</f>
        <v>0</v>
      </c>
      <c r="S192" s="44">
        <f>IF(Mecze[[#This Row],[Role]]="BR",SUMPRODUCT(Mecze[[#This Row],[/PR:90]:[/BR:90]],Brudnopis!$E$23:$J$23),0)</f>
        <v>0</v>
      </c>
      <c r="T192" s="44">
        <f>IF(Mecze[[#This Row],[Role]]&lt;&gt;"BR",SUMPRODUCT(Mecze[[#This Row],[/PR:90]:[/BR:90]],Brudnopis!$E$24:$J$24),0)</f>
        <v>0.125</v>
      </c>
      <c r="U192" s="44">
        <f>IF(Mecze[[#This Row],[Role]]&lt;&gt;"BR",SUMPRODUCT(Mecze[[#This Row],[/PR:90]:[/BR:90]],Brudnopis!$E$25:$J$25),0)</f>
        <v>0.14062499999999997</v>
      </c>
      <c r="V192" s="44">
        <f>IF(Mecze[[#This Row],[Role]]&lt;&gt;"BR",SUMPRODUCT(Mecze[[#This Row],[/PR:90]:[/BR:90]],Brudnopis!$E$26:$J$26),0)</f>
        <v>0.11458333333333333</v>
      </c>
      <c r="W192" s="44">
        <f>IF(Mecze[[#This Row],[Role]]&lt;&gt;"BR",SUMPRODUCT(Mecze[[#This Row],[/PR:90]:[/BR:90]],Brudnopis!$E$27:$J$27),0)</f>
        <v>0.12760416666666666</v>
      </c>
      <c r="X192" s="44">
        <f>IF(Mecze[[#This Row],[Role]]&lt;&gt;"BR",SUMPRODUCT(Mecze[[#This Row],[/PR:90]:[/BR:90]],Brudnopis!$E$28:$J$28),0)</f>
        <v>7.2916666666666671E-2</v>
      </c>
      <c r="Y192" s="35">
        <f>IF(Mecze[[#This Row],[Role]]="BR",Mecze[[#This Row],[/OB:90]]+Mecze[[#This Row],[/PC:90]],SUM(Mecze[[#This Row],[/PR:90]:[/BR:90]]))</f>
        <v>0.11458333333333333</v>
      </c>
      <c r="Z192" s="35">
        <f>IF(Mecze[[#This Row],[KC]]=0,SUM(Mecze[[#This Row],[/BRI]:[/NPI]]),SUM(Mecze[[#This Row],[/BRI]:[/NPI]])*0.6)</f>
        <v>0.58072916666666663</v>
      </c>
      <c r="AA192" s="10">
        <f>IFERROR(Mecze[[#This Row],[BR]]/Mecze[[#This Row],[ST]],0)</f>
        <v>0</v>
      </c>
      <c r="AB192">
        <f>ROUND(Mecze[[#This Row],[PD]]*Mecze[[#This Row],[%PC]],0)</f>
        <v>5</v>
      </c>
      <c r="AC192">
        <f>ROUND(Mecze[[#This Row],[OD]]*Mecze[[#This Row],[%OU]],0)</f>
        <v>2</v>
      </c>
      <c r="AD192" s="36" t="s">
        <v>67</v>
      </c>
      <c r="AE192" s="36">
        <v>12</v>
      </c>
      <c r="AF192" s="71">
        <v>5.68</v>
      </c>
      <c r="AG192" s="37">
        <v>0</v>
      </c>
      <c r="AH192" s="37">
        <v>0</v>
      </c>
      <c r="AI192" s="37">
        <v>96</v>
      </c>
      <c r="AJ192">
        <v>1</v>
      </c>
      <c r="AK192" s="37" t="str">
        <f>VLOOKUP(Mecze[[#This Row],[Match ID]],Meczusie[Mecz]:Meczusie[RodzajMeczu],2,FALSE)</f>
        <v>Towarzyski</v>
      </c>
    </row>
    <row r="193" spans="1:37" x14ac:dyDescent="0.25">
      <c r="A193" s="76">
        <v>25</v>
      </c>
      <c r="B193" s="3" t="s">
        <v>366</v>
      </c>
      <c r="C193" s="2" t="s">
        <v>160</v>
      </c>
      <c r="D193" s="1">
        <v>0</v>
      </c>
      <c r="E193" s="1">
        <v>2</v>
      </c>
      <c r="F193" s="1">
        <v>2</v>
      </c>
      <c r="G193" s="1">
        <v>7</v>
      </c>
      <c r="H193" s="4">
        <v>0.71</v>
      </c>
      <c r="I193" s="1">
        <v>1</v>
      </c>
      <c r="J193" s="4">
        <v>0</v>
      </c>
      <c r="K193" s="1">
        <v>0</v>
      </c>
      <c r="L193" s="1">
        <v>0</v>
      </c>
      <c r="M193" s="32">
        <f>IF(Mecze[[#This Row],[PR]]=0,0,Mecze[[#This Row],[PR]]/Mecze[[#This Row],[CZAS]])</f>
        <v>0</v>
      </c>
      <c r="N193" s="32">
        <f>IF(Mecze[[#This Row],[OU]]=0,0,Mecze[[#This Row],[OU]]/Mecze[[#This Row],[CZAS]])</f>
        <v>0</v>
      </c>
      <c r="O193" s="32">
        <f>IF(Mecze[[#This Row],[PC]]=0,0,Mecze[[#This Row],[PC]]/Mecze[[#This Row],[CZAS]])</f>
        <v>5.2083333333333336E-2</v>
      </c>
      <c r="P193" s="32">
        <f>IF(Mecze[[#This Row],[SC]]=0,0,Mecze[[#This Row],[SC]]/Mecze[[#This Row],[CZAS]])</f>
        <v>2.0833333333333332E-2</v>
      </c>
      <c r="Q193" s="32">
        <f>IF(Mecze[[#This Row],[OB]]=0,0,Mecze[[#This Row],[OB]]/Mecze[[#This Row],[CZAS]])</f>
        <v>0</v>
      </c>
      <c r="R193" s="32">
        <f>IF(Mecze[[#This Row],[BR]]=0,0,Mecze[[#This Row],[BR]]/Mecze[[#This Row],[CZAS]])</f>
        <v>0</v>
      </c>
      <c r="S193" s="44">
        <f>IF(Mecze[[#This Row],[Role]]="BR",SUMPRODUCT(Mecze[[#This Row],[/PR:90]:[/BR:90]],Brudnopis!$E$23:$J$23),0)</f>
        <v>0</v>
      </c>
      <c r="T193" s="44">
        <f>IF(Mecze[[#This Row],[Role]]&lt;&gt;"BR",SUMPRODUCT(Mecze[[#This Row],[/PR:90]:[/BR:90]],Brudnopis!$E$24:$J$24),0)</f>
        <v>7.2916666666666671E-2</v>
      </c>
      <c r="U193" s="44">
        <f>IF(Mecze[[#This Row],[Role]]&lt;&gt;"BR",SUMPRODUCT(Mecze[[#This Row],[/PR:90]:[/BR:90]],Brudnopis!$E$25:$J$25),0)</f>
        <v>9.8958333333333329E-2</v>
      </c>
      <c r="V193" s="44">
        <f>IF(Mecze[[#This Row],[Role]]&lt;&gt;"BR",SUMPRODUCT(Mecze[[#This Row],[/PR:90]:[/BR:90]],Brudnopis!$E$26:$J$26),0)</f>
        <v>7.2916666666666671E-2</v>
      </c>
      <c r="W193" s="44">
        <f>IF(Mecze[[#This Row],[Role]]&lt;&gt;"BR",SUMPRODUCT(Mecze[[#This Row],[/PR:90]:[/BR:90]],Brudnopis!$E$27:$J$27),0)</f>
        <v>9.8958333333333329E-2</v>
      </c>
      <c r="X193" s="44">
        <f>IF(Mecze[[#This Row],[Role]]&lt;&gt;"BR",SUMPRODUCT(Mecze[[#This Row],[/PR:90]:[/BR:90]],Brudnopis!$E$28:$J$28),0)</f>
        <v>9.375E-2</v>
      </c>
      <c r="Y193" s="35">
        <f>IF(Mecze[[#This Row],[Role]]="BR",Mecze[[#This Row],[/OB:90]]+Mecze[[#This Row],[/PC:90]],SUM(Mecze[[#This Row],[/PR:90]:[/BR:90]]))</f>
        <v>7.2916666666666671E-2</v>
      </c>
      <c r="Z193" s="35">
        <f>IF(Mecze[[#This Row],[KC]]=0,SUM(Mecze[[#This Row],[/BRI]:[/NPI]]),SUM(Mecze[[#This Row],[/BRI]:[/NPI]])*0.6)</f>
        <v>0.4375</v>
      </c>
      <c r="AA193" s="10">
        <f>IFERROR(Mecze[[#This Row],[BR]]/Mecze[[#This Row],[ST]],0)</f>
        <v>0</v>
      </c>
      <c r="AB193">
        <f>ROUND(Mecze[[#This Row],[PD]]*Mecze[[#This Row],[%PC]],0)</f>
        <v>5</v>
      </c>
      <c r="AC193">
        <f>ROUND(Mecze[[#This Row],[OD]]*Mecze[[#This Row],[%OU]],0)</f>
        <v>0</v>
      </c>
      <c r="AD193" s="36" t="s">
        <v>44</v>
      </c>
      <c r="AE193" s="36">
        <v>12</v>
      </c>
      <c r="AF193" s="71">
        <v>4.37</v>
      </c>
      <c r="AG193" s="37">
        <v>0</v>
      </c>
      <c r="AH193" s="37">
        <v>0</v>
      </c>
      <c r="AI193" s="37">
        <v>96</v>
      </c>
      <c r="AJ193">
        <v>1</v>
      </c>
      <c r="AK193" s="37" t="str">
        <f>VLOOKUP(Mecze[[#This Row],[Match ID]],Meczusie[Mecz]:Meczusie[RodzajMeczu],2,FALSE)</f>
        <v>Towarzyski</v>
      </c>
    </row>
    <row r="194" spans="1:37" x14ac:dyDescent="0.25">
      <c r="A194" s="76">
        <v>31</v>
      </c>
      <c r="B194" s="3" t="s">
        <v>365</v>
      </c>
      <c r="C194" s="2" t="s">
        <v>160</v>
      </c>
      <c r="D194" s="1">
        <v>0</v>
      </c>
      <c r="E194" s="1">
        <v>2</v>
      </c>
      <c r="F194" s="1">
        <v>0</v>
      </c>
      <c r="G194" s="1">
        <v>5</v>
      </c>
      <c r="H194" s="4">
        <v>0.8</v>
      </c>
      <c r="I194" s="1">
        <v>5</v>
      </c>
      <c r="J194" s="4">
        <v>0.4</v>
      </c>
      <c r="K194" s="1">
        <v>0</v>
      </c>
      <c r="L194" s="1">
        <v>2</v>
      </c>
      <c r="M194" s="32">
        <f>IF(Mecze[[#This Row],[PR]]=0,0,Mecze[[#This Row],[PR]]/Mecze[[#This Row],[CZAS]])</f>
        <v>2.0833333333333332E-2</v>
      </c>
      <c r="N194" s="32">
        <f>IF(Mecze[[#This Row],[OU]]=0,0,Mecze[[#This Row],[OU]]/Mecze[[#This Row],[CZAS]])</f>
        <v>2.0833333333333332E-2</v>
      </c>
      <c r="O194" s="32">
        <f>IF(Mecze[[#This Row],[PC]]=0,0,Mecze[[#This Row],[PC]]/Mecze[[#This Row],[CZAS]])</f>
        <v>4.1666666666666664E-2</v>
      </c>
      <c r="P194" s="32">
        <f>IF(Mecze[[#This Row],[SC]]=0,0,Mecze[[#This Row],[SC]]/Mecze[[#This Row],[CZAS]])</f>
        <v>0</v>
      </c>
      <c r="Q194" s="32">
        <f>IF(Mecze[[#This Row],[OB]]=0,0,Mecze[[#This Row],[OB]]/Mecze[[#This Row],[CZAS]])</f>
        <v>0</v>
      </c>
      <c r="R194" s="32">
        <f>IF(Mecze[[#This Row],[BR]]=0,0,Mecze[[#This Row],[BR]]/Mecze[[#This Row],[CZAS]])</f>
        <v>0</v>
      </c>
      <c r="S194" s="44">
        <f>IF(Mecze[[#This Row],[Role]]="BR",SUMPRODUCT(Mecze[[#This Row],[/PR:90]:[/BR:90]],Brudnopis!$E$23:$J$23),0)</f>
        <v>0</v>
      </c>
      <c r="T194" s="44">
        <f>IF(Mecze[[#This Row],[Role]]&lt;&gt;"BR",SUMPRODUCT(Mecze[[#This Row],[/PR:90]:[/BR:90]],Brudnopis!$E$24:$J$24),0)</f>
        <v>9.375E-2</v>
      </c>
      <c r="U194" s="44">
        <f>IF(Mecze[[#This Row],[Role]]&lt;&gt;"BR",SUMPRODUCT(Mecze[[#This Row],[/PR:90]:[/BR:90]],Brudnopis!$E$25:$J$25),0)</f>
        <v>0.10416666666666666</v>
      </c>
      <c r="V194" s="44">
        <f>IF(Mecze[[#This Row],[Role]]&lt;&gt;"BR",SUMPRODUCT(Mecze[[#This Row],[/PR:90]:[/BR:90]],Brudnopis!$E$26:$J$26),0)</f>
        <v>8.3333333333333329E-2</v>
      </c>
      <c r="W194" s="44">
        <f>IF(Mecze[[#This Row],[Role]]&lt;&gt;"BR",SUMPRODUCT(Mecze[[#This Row],[/PR:90]:[/BR:90]],Brudnopis!$E$27:$J$27),0)</f>
        <v>9.375E-2</v>
      </c>
      <c r="X194" s="44">
        <f>IF(Mecze[[#This Row],[Role]]&lt;&gt;"BR",SUMPRODUCT(Mecze[[#This Row],[/PR:90]:[/BR:90]],Brudnopis!$E$28:$J$28),0)</f>
        <v>4.1666666666666664E-2</v>
      </c>
      <c r="Y194" s="35">
        <f>IF(Mecze[[#This Row],[Role]]="BR",Mecze[[#This Row],[/OB:90]]+Mecze[[#This Row],[/PC:90]],SUM(Mecze[[#This Row],[/PR:90]:[/BR:90]]))</f>
        <v>8.3333333333333329E-2</v>
      </c>
      <c r="Z194" s="35">
        <f>IF(Mecze[[#This Row],[KC]]=0,SUM(Mecze[[#This Row],[/BRI]:[/NPI]]),SUM(Mecze[[#This Row],[/BRI]:[/NPI]])*0.6)</f>
        <v>0.41666666666666669</v>
      </c>
      <c r="AA194" s="10">
        <f>IFERROR(Mecze[[#This Row],[BR]]/Mecze[[#This Row],[ST]],0)</f>
        <v>0</v>
      </c>
      <c r="AB194">
        <f>ROUND(Mecze[[#This Row],[PD]]*Mecze[[#This Row],[%PC]],0)</f>
        <v>4</v>
      </c>
      <c r="AC194">
        <f>ROUND(Mecze[[#This Row],[OD]]*Mecze[[#This Row],[%OU]],0)</f>
        <v>2</v>
      </c>
      <c r="AD194" s="36" t="s">
        <v>44</v>
      </c>
      <c r="AE194" s="36">
        <v>12</v>
      </c>
      <c r="AF194" s="71">
        <v>5.24</v>
      </c>
      <c r="AG194" s="37">
        <v>0</v>
      </c>
      <c r="AH194" s="37">
        <v>0</v>
      </c>
      <c r="AI194" s="37">
        <v>96</v>
      </c>
      <c r="AJ194">
        <v>1</v>
      </c>
      <c r="AK194" s="37" t="str">
        <f>VLOOKUP(Mecze[[#This Row],[Match ID]],Meczusie[Mecz]:Meczusie[RodzajMeczu],2,FALSE)</f>
        <v>Towarzyski</v>
      </c>
    </row>
    <row r="195" spans="1:37" x14ac:dyDescent="0.25">
      <c r="A195" s="76">
        <v>29</v>
      </c>
      <c r="B195" s="3" t="s">
        <v>367</v>
      </c>
      <c r="C195" s="2" t="s">
        <v>165</v>
      </c>
      <c r="D195" s="1">
        <v>0</v>
      </c>
      <c r="E195" s="1">
        <v>6</v>
      </c>
      <c r="F195" s="1">
        <v>4</v>
      </c>
      <c r="G195" s="1">
        <v>9</v>
      </c>
      <c r="H195" s="4">
        <v>0.78</v>
      </c>
      <c r="I195" s="1">
        <v>2</v>
      </c>
      <c r="J195" s="4">
        <v>0.5</v>
      </c>
      <c r="K195" s="1">
        <v>0</v>
      </c>
      <c r="L195" s="1">
        <v>0</v>
      </c>
      <c r="M195" s="32">
        <f>IF(Mecze[[#This Row],[PR]]=0,0,Mecze[[#This Row],[PR]]/Mecze[[#This Row],[CZAS]])</f>
        <v>0</v>
      </c>
      <c r="N195" s="32">
        <f>IF(Mecze[[#This Row],[OU]]=0,0,Mecze[[#This Row],[OU]]/Mecze[[#This Row],[CZAS]])</f>
        <v>1.0416666666666666E-2</v>
      </c>
      <c r="O195" s="32">
        <f>IF(Mecze[[#This Row],[PC]]=0,0,Mecze[[#This Row],[PC]]/Mecze[[#This Row],[CZAS]])</f>
        <v>7.2916666666666671E-2</v>
      </c>
      <c r="P195" s="32">
        <f>IF(Mecze[[#This Row],[SC]]=0,0,Mecze[[#This Row],[SC]]/Mecze[[#This Row],[CZAS]])</f>
        <v>4.1666666666666664E-2</v>
      </c>
      <c r="Q195" s="32">
        <f>IF(Mecze[[#This Row],[OB]]=0,0,Mecze[[#This Row],[OB]]/Mecze[[#This Row],[CZAS]])</f>
        <v>0</v>
      </c>
      <c r="R195" s="32">
        <f>IF(Mecze[[#This Row],[BR]]=0,0,Mecze[[#This Row],[BR]]/Mecze[[#This Row],[CZAS]])</f>
        <v>0</v>
      </c>
      <c r="S195" s="44">
        <f>IF(Mecze[[#This Row],[Role]]="BR",SUMPRODUCT(Mecze[[#This Row],[/PR:90]:[/BR:90]],Brudnopis!$E$23:$J$23),0)</f>
        <v>0</v>
      </c>
      <c r="T195" s="44">
        <f>IF(Mecze[[#This Row],[Role]]&lt;&gt;"BR",SUMPRODUCT(Mecze[[#This Row],[/PR:90]:[/BR:90]],Brudnopis!$E$24:$J$24),0)</f>
        <v>0.13020833333333334</v>
      </c>
      <c r="U195" s="44">
        <f>IF(Mecze[[#This Row],[Role]]&lt;&gt;"BR",SUMPRODUCT(Mecze[[#This Row],[/PR:90]:[/BR:90]],Brudnopis!$E$25:$J$25),0)</f>
        <v>0.16145833333333334</v>
      </c>
      <c r="V195" s="44">
        <f>IF(Mecze[[#This Row],[Role]]&lt;&gt;"BR",SUMPRODUCT(Mecze[[#This Row],[/PR:90]:[/BR:90]],Brudnopis!$E$26:$J$26),0)</f>
        <v>0.125</v>
      </c>
      <c r="W195" s="44">
        <f>IF(Mecze[[#This Row],[Role]]&lt;&gt;"BR",SUMPRODUCT(Mecze[[#This Row],[/PR:90]:[/BR:90]],Brudnopis!$E$27:$J$27),0)</f>
        <v>0.15885416666666666</v>
      </c>
      <c r="X195" s="44">
        <f>IF(Mecze[[#This Row],[Role]]&lt;&gt;"BR",SUMPRODUCT(Mecze[[#This Row],[/PR:90]:[/BR:90]],Brudnopis!$E$28:$J$28),0)</f>
        <v>0.15625</v>
      </c>
      <c r="Y195" s="35">
        <f>IF(Mecze[[#This Row],[Role]]="BR",Mecze[[#This Row],[/OB:90]]+Mecze[[#This Row],[/PC:90]],SUM(Mecze[[#This Row],[/PR:90]:[/BR:90]]))</f>
        <v>0.125</v>
      </c>
      <c r="Z195" s="35">
        <f>IF(Mecze[[#This Row],[KC]]=0,SUM(Mecze[[#This Row],[/BRI]:[/NPI]]),SUM(Mecze[[#This Row],[/BRI]:[/NPI]])*0.6)</f>
        <v>0.73177083333333337</v>
      </c>
      <c r="AA195" s="10">
        <f>IFERROR(Mecze[[#This Row],[BR]]/Mecze[[#This Row],[ST]],0)</f>
        <v>0</v>
      </c>
      <c r="AB195">
        <f>ROUND(Mecze[[#This Row],[PD]]*Mecze[[#This Row],[%PC]],0)</f>
        <v>7</v>
      </c>
      <c r="AC195">
        <f>ROUND(Mecze[[#This Row],[OD]]*Mecze[[#This Row],[%OU]],0)</f>
        <v>1</v>
      </c>
      <c r="AD195" s="36" t="s">
        <v>46</v>
      </c>
      <c r="AE195" s="36">
        <v>12</v>
      </c>
      <c r="AF195" s="71">
        <v>4.92</v>
      </c>
      <c r="AG195" s="37">
        <v>0</v>
      </c>
      <c r="AH195" s="37">
        <v>0</v>
      </c>
      <c r="AI195" s="37">
        <v>96</v>
      </c>
      <c r="AJ195">
        <v>1</v>
      </c>
      <c r="AK195" s="37" t="str">
        <f>VLOOKUP(Mecze[[#This Row],[Match ID]],Meczusie[Mecz]:Meczusie[RodzajMeczu],2,FALSE)</f>
        <v>Towarzyski</v>
      </c>
    </row>
    <row r="196" spans="1:37" x14ac:dyDescent="0.25">
      <c r="A196" s="76">
        <v>26</v>
      </c>
      <c r="B196" s="3" t="s">
        <v>368</v>
      </c>
      <c r="C196" s="2" t="s">
        <v>165</v>
      </c>
      <c r="D196" s="1">
        <v>1</v>
      </c>
      <c r="E196" s="1">
        <v>4</v>
      </c>
      <c r="F196" s="1">
        <v>2</v>
      </c>
      <c r="G196" s="1">
        <v>5</v>
      </c>
      <c r="H196" s="4">
        <v>0.8</v>
      </c>
      <c r="I196" s="1">
        <v>2</v>
      </c>
      <c r="J196" s="4">
        <v>0.5</v>
      </c>
      <c r="K196" s="1">
        <v>0</v>
      </c>
      <c r="L196" s="1">
        <v>0</v>
      </c>
      <c r="M196" s="32">
        <f>IF(Mecze[[#This Row],[PR]]=0,0,Mecze[[#This Row],[PR]]/Mecze[[#This Row],[CZAS]])</f>
        <v>0</v>
      </c>
      <c r="N196" s="32">
        <f>IF(Mecze[[#This Row],[OU]]=0,0,Mecze[[#This Row],[OU]]/Mecze[[#This Row],[CZAS]])</f>
        <v>1.0416666666666666E-2</v>
      </c>
      <c r="O196" s="32">
        <f>IF(Mecze[[#This Row],[PC]]=0,0,Mecze[[#This Row],[PC]]/Mecze[[#This Row],[CZAS]])</f>
        <v>4.1666666666666664E-2</v>
      </c>
      <c r="P196" s="32">
        <f>IF(Mecze[[#This Row],[SC]]=0,0,Mecze[[#This Row],[SC]]/Mecze[[#This Row],[CZAS]])</f>
        <v>2.0833333333333332E-2</v>
      </c>
      <c r="Q196" s="32">
        <f>IF(Mecze[[#This Row],[OB]]=0,0,Mecze[[#This Row],[OB]]/Mecze[[#This Row],[CZAS]])</f>
        <v>0</v>
      </c>
      <c r="R196" s="32">
        <f>IF(Mecze[[#This Row],[BR]]=0,0,Mecze[[#This Row],[BR]]/Mecze[[#This Row],[CZAS]])</f>
        <v>1.0416666666666666E-2</v>
      </c>
      <c r="S196" s="44">
        <f>IF(Mecze[[#This Row],[Role]]="BR",SUMPRODUCT(Mecze[[#This Row],[/PR:90]:[/BR:90]],Brudnopis!$E$23:$J$23),0)</f>
        <v>0</v>
      </c>
      <c r="T196" s="44">
        <f>IF(Mecze[[#This Row],[Role]]&lt;&gt;"BR",SUMPRODUCT(Mecze[[#This Row],[/PR:90]:[/BR:90]],Brudnopis!$E$24:$J$24),0)</f>
        <v>9.375E-2</v>
      </c>
      <c r="U196" s="44">
        <f>IF(Mecze[[#This Row],[Role]]&lt;&gt;"BR",SUMPRODUCT(Mecze[[#This Row],[/PR:90]:[/BR:90]],Brudnopis!$E$25:$J$25),0)</f>
        <v>0.109375</v>
      </c>
      <c r="V196" s="44">
        <f>IF(Mecze[[#This Row],[Role]]&lt;&gt;"BR",SUMPRODUCT(Mecze[[#This Row],[/PR:90]:[/BR:90]],Brudnopis!$E$26:$J$26),0)</f>
        <v>9.3749999999999986E-2</v>
      </c>
      <c r="W196" s="44">
        <f>IF(Mecze[[#This Row],[Role]]&lt;&gt;"BR",SUMPRODUCT(Mecze[[#This Row],[/PR:90]:[/BR:90]],Brudnopis!$E$27:$J$27),0)</f>
        <v>0.11197916666666666</v>
      </c>
      <c r="X196" s="44">
        <f>IF(Mecze[[#This Row],[Role]]&lt;&gt;"BR",SUMPRODUCT(Mecze[[#This Row],[/PR:90]:[/BR:90]],Brudnopis!$E$28:$J$28),0)</f>
        <v>0.11458333333333333</v>
      </c>
      <c r="Y196" s="35">
        <f>IF(Mecze[[#This Row],[Role]]="BR",Mecze[[#This Row],[/OB:90]]+Mecze[[#This Row],[/PC:90]],SUM(Mecze[[#This Row],[/PR:90]:[/BR:90]]))</f>
        <v>8.3333333333333329E-2</v>
      </c>
      <c r="Z196" s="35">
        <f>IF(Mecze[[#This Row],[KC]]=0,SUM(Mecze[[#This Row],[/BRI]:[/NPI]]),SUM(Mecze[[#This Row],[/BRI]:[/NPI]])*0.6)</f>
        <v>0.5234375</v>
      </c>
      <c r="AA196" s="10">
        <f>IFERROR(Mecze[[#This Row],[BR]]/Mecze[[#This Row],[ST]],0)</f>
        <v>0.25</v>
      </c>
      <c r="AB196">
        <f>ROUND(Mecze[[#This Row],[PD]]*Mecze[[#This Row],[%PC]],0)</f>
        <v>4</v>
      </c>
      <c r="AC196">
        <f>ROUND(Mecze[[#This Row],[OD]]*Mecze[[#This Row],[%OU]],0)</f>
        <v>1</v>
      </c>
      <c r="AD196" s="36" t="s">
        <v>46</v>
      </c>
      <c r="AE196" s="36">
        <v>12</v>
      </c>
      <c r="AF196" s="71">
        <v>7.7</v>
      </c>
      <c r="AG196" s="37">
        <v>0</v>
      </c>
      <c r="AH196" s="37">
        <v>0</v>
      </c>
      <c r="AI196" s="37">
        <v>96</v>
      </c>
      <c r="AJ196">
        <v>1</v>
      </c>
      <c r="AK196" s="37" t="str">
        <f>VLOOKUP(Mecze[[#This Row],[Match ID]],Meczusie[Mecz]:Meczusie[RodzajMeczu],2,FALSE)</f>
        <v>Towarzyski</v>
      </c>
    </row>
    <row r="197" spans="1:37" x14ac:dyDescent="0.25">
      <c r="A197" s="76">
        <v>1</v>
      </c>
      <c r="B197" s="3" t="s">
        <v>247</v>
      </c>
      <c r="C197" s="2" t="s">
        <v>155</v>
      </c>
      <c r="D197" s="1">
        <v>0</v>
      </c>
      <c r="E197" s="1">
        <v>0</v>
      </c>
      <c r="F197" s="1">
        <v>0</v>
      </c>
      <c r="G197" s="1">
        <v>5</v>
      </c>
      <c r="H197" s="4">
        <v>0</v>
      </c>
      <c r="I197" s="1">
        <v>0</v>
      </c>
      <c r="J197" s="4"/>
      <c r="K197" s="1">
        <v>3</v>
      </c>
      <c r="L197" s="1">
        <v>0</v>
      </c>
      <c r="M197" s="32">
        <f>IF(Mecze[[#This Row],[PR]]=0,0,Mecze[[#This Row],[PR]]/Mecze[[#This Row],[CZAS]])</f>
        <v>0</v>
      </c>
      <c r="N197" s="32">
        <f>IF(Mecze[[#This Row],[OU]]=0,0,Mecze[[#This Row],[OU]]/Mecze[[#This Row],[CZAS]])</f>
        <v>0</v>
      </c>
      <c r="O197" s="32">
        <f>IF(Mecze[[#This Row],[PC]]=0,0,Mecze[[#This Row],[PC]]/Mecze[[#This Row],[CZAS]])</f>
        <v>0</v>
      </c>
      <c r="P197" s="32">
        <f>IF(Mecze[[#This Row],[SC]]=0,0,Mecze[[#This Row],[SC]]/Mecze[[#This Row],[CZAS]])</f>
        <v>0</v>
      </c>
      <c r="Q197" s="32">
        <f>IF(Mecze[[#This Row],[OB]]=0,0,Mecze[[#This Row],[OB]]/Mecze[[#This Row],[CZAS]])</f>
        <v>3.125E-2</v>
      </c>
      <c r="R197" s="32">
        <f>IF(Mecze[[#This Row],[BR]]=0,0,Mecze[[#This Row],[BR]]/Mecze[[#This Row],[CZAS]])</f>
        <v>0</v>
      </c>
      <c r="S197" s="44">
        <f>IF(Mecze[[#This Row],[Role]]="BR",SUMPRODUCT(Mecze[[#This Row],[/PR:90]:[/BR:90]],Brudnopis!$E$23:$J$23),0)</f>
        <v>9.375E-2</v>
      </c>
      <c r="T197" s="44">
        <f>IF(Mecze[[#This Row],[Role]]&lt;&gt;"BR",SUMPRODUCT(Mecze[[#This Row],[/PR:90]:[/BR:90]],Brudnopis!$E$24:$J$24),0)</f>
        <v>0</v>
      </c>
      <c r="U197" s="44">
        <f>IF(Mecze[[#This Row],[Role]]&lt;&gt;"BR",SUMPRODUCT(Mecze[[#This Row],[/PR:90]:[/BR:90]],Brudnopis!$E$25:$J$25),0)</f>
        <v>0</v>
      </c>
      <c r="V197" s="44">
        <f>IF(Mecze[[#This Row],[Role]]&lt;&gt;"BR",SUMPRODUCT(Mecze[[#This Row],[/PR:90]:[/BR:90]],Brudnopis!$E$26:$J$26),0)</f>
        <v>0</v>
      </c>
      <c r="W197" s="44">
        <f>IF(Mecze[[#This Row],[Role]]&lt;&gt;"BR",SUMPRODUCT(Mecze[[#This Row],[/PR:90]:[/BR:90]],Brudnopis!$E$27:$J$27),0)</f>
        <v>0</v>
      </c>
      <c r="X197" s="44">
        <f>IF(Mecze[[#This Row],[Role]]&lt;&gt;"BR",SUMPRODUCT(Mecze[[#This Row],[/PR:90]:[/BR:90]],Brudnopis!$E$28:$J$28),0)</f>
        <v>0</v>
      </c>
      <c r="Y197" s="35">
        <f>IF(Mecze[[#This Row],[Role]]="BR",Mecze[[#This Row],[/OB:90]]+Mecze[[#This Row],[/PC:90]],SUM(Mecze[[#This Row],[/PR:90]:[/BR:90]]))</f>
        <v>3.125E-2</v>
      </c>
      <c r="Z197" s="35">
        <f>IF(Mecze[[#This Row],[KC]]=0,SUM(Mecze[[#This Row],[/BRI]:[/NPI]]),SUM(Mecze[[#This Row],[/BRI]:[/NPI]])*0.6)</f>
        <v>9.375E-2</v>
      </c>
      <c r="AA197" s="10">
        <f>IFERROR(Mecze[[#This Row],[BR]]/Mecze[[#This Row],[ST]],0)</f>
        <v>0</v>
      </c>
      <c r="AB197">
        <f>ROUND(Mecze[[#This Row],[PD]]*Mecze[[#This Row],[%PC]],0)</f>
        <v>0</v>
      </c>
      <c r="AC197">
        <f>ROUND(Mecze[[#This Row],[OD]]*Mecze[[#This Row],[%OU]],0)</f>
        <v>0</v>
      </c>
      <c r="AD197" s="36" t="s">
        <v>40</v>
      </c>
      <c r="AE197" s="36">
        <v>13</v>
      </c>
      <c r="AF197" s="71">
        <v>4.97</v>
      </c>
      <c r="AG197" s="37">
        <v>0</v>
      </c>
      <c r="AH197" s="37">
        <v>0</v>
      </c>
      <c r="AI197" s="37">
        <v>96</v>
      </c>
      <c r="AJ197" s="37">
        <v>6</v>
      </c>
      <c r="AK197" s="37" t="str">
        <f>VLOOKUP(Mecze[[#This Row],[Match ID]],Meczusie[Mecz]:Meczusie[RodzajMeczu],2,FALSE)</f>
        <v>Liga</v>
      </c>
    </row>
    <row r="198" spans="1:37" x14ac:dyDescent="0.25">
      <c r="A198" s="76">
        <v>101</v>
      </c>
      <c r="B198" s="3" t="s">
        <v>248</v>
      </c>
      <c r="C198" s="2" t="s">
        <v>157</v>
      </c>
      <c r="D198" s="1">
        <v>0</v>
      </c>
      <c r="E198" s="1">
        <v>0</v>
      </c>
      <c r="F198" s="1">
        <v>0</v>
      </c>
      <c r="G198" s="1">
        <v>14</v>
      </c>
      <c r="H198" s="4">
        <v>0.79</v>
      </c>
      <c r="I198" s="1">
        <v>9</v>
      </c>
      <c r="J198" s="4">
        <v>0.44</v>
      </c>
      <c r="K198" s="1">
        <v>0</v>
      </c>
      <c r="L198" s="1">
        <v>12</v>
      </c>
      <c r="M198" s="32">
        <f>IF(Mecze[[#This Row],[PR]]=0,0,Mecze[[#This Row],[PR]]/Mecze[[#This Row],[CZAS]])</f>
        <v>0.125</v>
      </c>
      <c r="N198" s="32">
        <f>IF(Mecze[[#This Row],[OU]]=0,0,Mecze[[#This Row],[OU]]/Mecze[[#This Row],[CZAS]])</f>
        <v>4.1666666666666664E-2</v>
      </c>
      <c r="O198" s="32">
        <f>IF(Mecze[[#This Row],[PC]]=0,0,Mecze[[#This Row],[PC]]/Mecze[[#This Row],[CZAS]])</f>
        <v>0.11458333333333333</v>
      </c>
      <c r="P198" s="32">
        <f>IF(Mecze[[#This Row],[SC]]=0,0,Mecze[[#This Row],[SC]]/Mecze[[#This Row],[CZAS]])</f>
        <v>0</v>
      </c>
      <c r="Q198" s="32">
        <f>IF(Mecze[[#This Row],[OB]]=0,0,Mecze[[#This Row],[OB]]/Mecze[[#This Row],[CZAS]])</f>
        <v>0</v>
      </c>
      <c r="R198" s="32">
        <f>IF(Mecze[[#This Row],[BR]]=0,0,Mecze[[#This Row],[BR]]/Mecze[[#This Row],[CZAS]])</f>
        <v>0</v>
      </c>
      <c r="S198" s="44">
        <f>IF(Mecze[[#This Row],[Role]]="BR",SUMPRODUCT(Mecze[[#This Row],[/PR:90]:[/BR:90]],Brudnopis!$E$23:$J$23),0)</f>
        <v>0</v>
      </c>
      <c r="T198" s="44">
        <f>IF(Mecze[[#This Row],[Role]]&lt;&gt;"BR",SUMPRODUCT(Mecze[[#This Row],[/PR:90]:[/BR:90]],Brudnopis!$E$24:$J$24),0)</f>
        <v>0.30208333333333331</v>
      </c>
      <c r="U198" s="44">
        <f>IF(Mecze[[#This Row],[Role]]&lt;&gt;"BR",SUMPRODUCT(Mecze[[#This Row],[/PR:90]:[/BR:90]],Brudnopis!$E$25:$J$25),0)</f>
        <v>0.33854166666666663</v>
      </c>
      <c r="V198" s="44">
        <f>IF(Mecze[[#This Row],[Role]]&lt;&gt;"BR",SUMPRODUCT(Mecze[[#This Row],[/PR:90]:[/BR:90]],Brudnopis!$E$26:$J$26),0)</f>
        <v>0.28125</v>
      </c>
      <c r="W198" s="44">
        <f>IF(Mecze[[#This Row],[Role]]&lt;&gt;"BR",SUMPRODUCT(Mecze[[#This Row],[/PR:90]:[/BR:90]],Brudnopis!$E$27:$J$27),0)</f>
        <v>0.296875</v>
      </c>
      <c r="X198" s="44">
        <f>IF(Mecze[[#This Row],[Role]]&lt;&gt;"BR",SUMPRODUCT(Mecze[[#This Row],[/PR:90]:[/BR:90]],Brudnopis!$E$28:$J$28),0)</f>
        <v>0.11458333333333333</v>
      </c>
      <c r="Y198" s="35">
        <f>IF(Mecze[[#This Row],[Role]]="BR",Mecze[[#This Row],[/OB:90]]+Mecze[[#This Row],[/PC:90]],SUM(Mecze[[#This Row],[/PR:90]:[/BR:90]]))</f>
        <v>0.28125</v>
      </c>
      <c r="Z198" s="35">
        <f>IF(Mecze[[#This Row],[KC]]=0,SUM(Mecze[[#This Row],[/BRI]:[/NPI]]),SUM(Mecze[[#This Row],[/BRI]:[/NPI]])*0.6)</f>
        <v>1.3333333333333333</v>
      </c>
      <c r="AA198" s="10">
        <f>IFERROR(Mecze[[#This Row],[BR]]/Mecze[[#This Row],[ST]],0)</f>
        <v>0</v>
      </c>
      <c r="AB198">
        <f>ROUND(Mecze[[#This Row],[PD]]*Mecze[[#This Row],[%PC]],0)</f>
        <v>11</v>
      </c>
      <c r="AC198">
        <f>ROUND(Mecze[[#This Row],[OD]]*Mecze[[#This Row],[%OU]],0)</f>
        <v>4</v>
      </c>
      <c r="AD198" s="36" t="s">
        <v>47</v>
      </c>
      <c r="AE198" s="36">
        <v>13</v>
      </c>
      <c r="AF198" s="71">
        <v>6.44</v>
      </c>
      <c r="AG198" s="37">
        <v>0</v>
      </c>
      <c r="AH198" s="37">
        <v>0</v>
      </c>
      <c r="AI198" s="37">
        <v>96</v>
      </c>
      <c r="AJ198" s="37">
        <v>6</v>
      </c>
      <c r="AK198" s="37" t="str">
        <f>VLOOKUP(Mecze[[#This Row],[Match ID]],Meczusie[Mecz]:Meczusie[RodzajMeczu],2,FALSE)</f>
        <v>Liga</v>
      </c>
    </row>
    <row r="199" spans="1:37" x14ac:dyDescent="0.25">
      <c r="A199" s="76">
        <v>11</v>
      </c>
      <c r="B199" s="3" t="s">
        <v>250</v>
      </c>
      <c r="C199" s="2" t="s">
        <v>157</v>
      </c>
      <c r="D199" s="1">
        <v>0</v>
      </c>
      <c r="E199" s="1">
        <v>0</v>
      </c>
      <c r="F199" s="1">
        <v>0</v>
      </c>
      <c r="G199" s="1">
        <v>12</v>
      </c>
      <c r="H199" s="4">
        <v>0.33</v>
      </c>
      <c r="I199" s="1">
        <v>7</v>
      </c>
      <c r="J199" s="4">
        <v>0.71</v>
      </c>
      <c r="K199" s="1">
        <v>0</v>
      </c>
      <c r="L199" s="1">
        <v>8</v>
      </c>
      <c r="M199" s="32">
        <f>IF(Mecze[[#This Row],[PR]]=0,0,Mecze[[#This Row],[PR]]/Mecze[[#This Row],[CZAS]])</f>
        <v>8.3333333333333329E-2</v>
      </c>
      <c r="N199" s="32">
        <f>IF(Mecze[[#This Row],[OU]]=0,0,Mecze[[#This Row],[OU]]/Mecze[[#This Row],[CZAS]])</f>
        <v>5.2083333333333336E-2</v>
      </c>
      <c r="O199" s="32">
        <f>IF(Mecze[[#This Row],[PC]]=0,0,Mecze[[#This Row],[PC]]/Mecze[[#This Row],[CZAS]])</f>
        <v>4.1666666666666664E-2</v>
      </c>
      <c r="P199" s="32">
        <f>IF(Mecze[[#This Row],[SC]]=0,0,Mecze[[#This Row],[SC]]/Mecze[[#This Row],[CZAS]])</f>
        <v>0</v>
      </c>
      <c r="Q199" s="32">
        <f>IF(Mecze[[#This Row],[OB]]=0,0,Mecze[[#This Row],[OB]]/Mecze[[#This Row],[CZAS]])</f>
        <v>0</v>
      </c>
      <c r="R199" s="32">
        <f>IF(Mecze[[#This Row],[BR]]=0,0,Mecze[[#This Row],[BR]]/Mecze[[#This Row],[CZAS]])</f>
        <v>0</v>
      </c>
      <c r="S199" s="44">
        <f>IF(Mecze[[#This Row],[Role]]="BR",SUMPRODUCT(Mecze[[#This Row],[/PR:90]:[/BR:90]],Brudnopis!$E$23:$J$23),0)</f>
        <v>0</v>
      </c>
      <c r="T199" s="44">
        <f>IF(Mecze[[#This Row],[Role]]&lt;&gt;"BR",SUMPRODUCT(Mecze[[#This Row],[/PR:90]:[/BR:90]],Brudnopis!$E$24:$J$24),0)</f>
        <v>0.20312499999999997</v>
      </c>
      <c r="U199" s="44">
        <f>IF(Mecze[[#This Row],[Role]]&lt;&gt;"BR",SUMPRODUCT(Mecze[[#This Row],[/PR:90]:[/BR:90]],Brudnopis!$E$25:$J$25),0)</f>
        <v>0.19791666666666666</v>
      </c>
      <c r="V199" s="44">
        <f>IF(Mecze[[#This Row],[Role]]&lt;&gt;"BR",SUMPRODUCT(Mecze[[#This Row],[/PR:90]:[/BR:90]],Brudnopis!$E$26:$J$26),0)</f>
        <v>0.17708333333333331</v>
      </c>
      <c r="W199" s="44">
        <f>IF(Mecze[[#This Row],[Role]]&lt;&gt;"BR",SUMPRODUCT(Mecze[[#This Row],[/PR:90]:[/BR:90]],Brudnopis!$E$27:$J$27),0)</f>
        <v>0.1640625</v>
      </c>
      <c r="X199" s="44">
        <f>IF(Mecze[[#This Row],[Role]]&lt;&gt;"BR",SUMPRODUCT(Mecze[[#This Row],[/PR:90]:[/BR:90]],Brudnopis!$E$28:$J$28),0)</f>
        <v>4.1666666666666664E-2</v>
      </c>
      <c r="Y199" s="35">
        <f>IF(Mecze[[#This Row],[Role]]="BR",Mecze[[#This Row],[/OB:90]]+Mecze[[#This Row],[/PC:90]],SUM(Mecze[[#This Row],[/PR:90]:[/BR:90]]))</f>
        <v>0.17708333333333331</v>
      </c>
      <c r="Z199" s="35">
        <f>IF(Mecze[[#This Row],[KC]]=0,SUM(Mecze[[#This Row],[/BRI]:[/NPI]]),SUM(Mecze[[#This Row],[/BRI]:[/NPI]])*0.6)</f>
        <v>0.78385416666666663</v>
      </c>
      <c r="AA199" s="10">
        <f>IFERROR(Mecze[[#This Row],[BR]]/Mecze[[#This Row],[ST]],0)</f>
        <v>0</v>
      </c>
      <c r="AB199">
        <f>ROUND(Mecze[[#This Row],[PD]]*Mecze[[#This Row],[%PC]],0)</f>
        <v>4</v>
      </c>
      <c r="AC199">
        <f>ROUND(Mecze[[#This Row],[OD]]*Mecze[[#This Row],[%OU]],0)</f>
        <v>5</v>
      </c>
      <c r="AD199" s="36" t="s">
        <v>168</v>
      </c>
      <c r="AE199" s="36">
        <v>13</v>
      </c>
      <c r="AF199" s="71">
        <v>6.72</v>
      </c>
      <c r="AG199" s="37">
        <v>0</v>
      </c>
      <c r="AH199" s="37">
        <v>0</v>
      </c>
      <c r="AI199" s="37">
        <v>96</v>
      </c>
      <c r="AJ199" s="37">
        <v>6</v>
      </c>
      <c r="AK199" s="37" t="str">
        <f>VLOOKUP(Mecze[[#This Row],[Match ID]],Meczusie[Mecz]:Meczusie[RodzajMeczu],2,FALSE)</f>
        <v>Liga</v>
      </c>
    </row>
    <row r="200" spans="1:37" x14ac:dyDescent="0.25">
      <c r="A200" s="76">
        <v>2</v>
      </c>
      <c r="B200" s="3" t="s">
        <v>249</v>
      </c>
      <c r="C200" s="2" t="s">
        <v>157</v>
      </c>
      <c r="D200" s="1">
        <v>0</v>
      </c>
      <c r="E200" s="1">
        <v>0</v>
      </c>
      <c r="F200" s="1">
        <v>0</v>
      </c>
      <c r="G200" s="1">
        <v>12</v>
      </c>
      <c r="H200" s="4">
        <v>0.67</v>
      </c>
      <c r="I200" s="1">
        <v>5</v>
      </c>
      <c r="J200" s="4">
        <v>0.6</v>
      </c>
      <c r="K200" s="1">
        <v>0</v>
      </c>
      <c r="L200" s="1">
        <v>10</v>
      </c>
      <c r="M200" s="32">
        <f>IF(Mecze[[#This Row],[PR]]=0,0,Mecze[[#This Row],[PR]]/Mecze[[#This Row],[CZAS]])</f>
        <v>0.10416666666666667</v>
      </c>
      <c r="N200" s="32">
        <f>IF(Mecze[[#This Row],[OU]]=0,0,Mecze[[#This Row],[OU]]/Mecze[[#This Row],[CZAS]])</f>
        <v>3.125E-2</v>
      </c>
      <c r="O200" s="32">
        <f>IF(Mecze[[#This Row],[PC]]=0,0,Mecze[[#This Row],[PC]]/Mecze[[#This Row],[CZAS]])</f>
        <v>8.3333333333333329E-2</v>
      </c>
      <c r="P200" s="32">
        <f>IF(Mecze[[#This Row],[SC]]=0,0,Mecze[[#This Row],[SC]]/Mecze[[#This Row],[CZAS]])</f>
        <v>0</v>
      </c>
      <c r="Q200" s="32">
        <f>IF(Mecze[[#This Row],[OB]]=0,0,Mecze[[#This Row],[OB]]/Mecze[[#This Row],[CZAS]])</f>
        <v>0</v>
      </c>
      <c r="R200" s="32">
        <f>IF(Mecze[[#This Row],[BR]]=0,0,Mecze[[#This Row],[BR]]/Mecze[[#This Row],[CZAS]])</f>
        <v>0</v>
      </c>
      <c r="S200" s="44">
        <f>IF(Mecze[[#This Row],[Role]]="BR",SUMPRODUCT(Mecze[[#This Row],[/PR:90]:[/BR:90]],Brudnopis!$E$23:$J$23),0)</f>
        <v>0</v>
      </c>
      <c r="T200" s="44">
        <f>IF(Mecze[[#This Row],[Role]]&lt;&gt;"BR",SUMPRODUCT(Mecze[[#This Row],[/PR:90]:[/BR:90]],Brudnopis!$E$24:$J$24),0)</f>
        <v>0.234375</v>
      </c>
      <c r="U200" s="44">
        <f>IF(Mecze[[#This Row],[Role]]&lt;&gt;"BR",SUMPRODUCT(Mecze[[#This Row],[/PR:90]:[/BR:90]],Brudnopis!$E$25:$J$25),0)</f>
        <v>0.26041666666666669</v>
      </c>
      <c r="V200" s="44">
        <f>IF(Mecze[[#This Row],[Role]]&lt;&gt;"BR",SUMPRODUCT(Mecze[[#This Row],[/PR:90]:[/BR:90]],Brudnopis!$E$26:$J$26),0)</f>
        <v>0.21875</v>
      </c>
      <c r="W200" s="44">
        <f>IF(Mecze[[#This Row],[Role]]&lt;&gt;"BR",SUMPRODUCT(Mecze[[#This Row],[/PR:90]:[/BR:90]],Brudnopis!$E$27:$J$27),0)</f>
        <v>0.2265625</v>
      </c>
      <c r="X200" s="44">
        <f>IF(Mecze[[#This Row],[Role]]&lt;&gt;"BR",SUMPRODUCT(Mecze[[#This Row],[/PR:90]:[/BR:90]],Brudnopis!$E$28:$J$28),0)</f>
        <v>8.3333333333333329E-2</v>
      </c>
      <c r="Y200" s="35">
        <f>IF(Mecze[[#This Row],[Role]]="BR",Mecze[[#This Row],[/OB:90]]+Mecze[[#This Row],[/PC:90]],SUM(Mecze[[#This Row],[/PR:90]:[/BR:90]]))</f>
        <v>0.21875</v>
      </c>
      <c r="Z200" s="35">
        <f>IF(Mecze[[#This Row],[KC]]=0,SUM(Mecze[[#This Row],[/BRI]:[/NPI]]),SUM(Mecze[[#This Row],[/BRI]:[/NPI]])*0.6)</f>
        <v>1.0234375</v>
      </c>
      <c r="AA200" s="10">
        <f>IFERROR(Mecze[[#This Row],[BR]]/Mecze[[#This Row],[ST]],0)</f>
        <v>0</v>
      </c>
      <c r="AB200">
        <f>ROUND(Mecze[[#This Row],[PD]]*Mecze[[#This Row],[%PC]],0)</f>
        <v>8</v>
      </c>
      <c r="AC200">
        <f>ROUND(Mecze[[#This Row],[OD]]*Mecze[[#This Row],[%OU]],0)</f>
        <v>3</v>
      </c>
      <c r="AD200" s="36" t="s">
        <v>167</v>
      </c>
      <c r="AE200" s="36">
        <v>13</v>
      </c>
      <c r="AF200" s="71">
        <v>7.14</v>
      </c>
      <c r="AG200" s="37">
        <v>0</v>
      </c>
      <c r="AH200" s="37">
        <v>0</v>
      </c>
      <c r="AI200" s="37">
        <v>96</v>
      </c>
      <c r="AJ200" s="37">
        <v>6</v>
      </c>
      <c r="AK200" s="37" t="str">
        <f>VLOOKUP(Mecze[[#This Row],[Match ID]],Meczusie[Mecz]:Meczusie[RodzajMeczu],2,FALSE)</f>
        <v>Liga</v>
      </c>
    </row>
    <row r="201" spans="1:37" x14ac:dyDescent="0.25">
      <c r="A201" s="76">
        <v>7</v>
      </c>
      <c r="B201" s="3" t="s">
        <v>251</v>
      </c>
      <c r="C201" s="2" t="s">
        <v>160</v>
      </c>
      <c r="D201" s="1">
        <v>0</v>
      </c>
      <c r="E201" s="1">
        <v>0</v>
      </c>
      <c r="F201" s="1">
        <v>0</v>
      </c>
      <c r="G201" s="1">
        <v>11</v>
      </c>
      <c r="H201" s="4">
        <v>0.73</v>
      </c>
      <c r="I201" s="1">
        <v>9</v>
      </c>
      <c r="J201" s="4">
        <v>0.89</v>
      </c>
      <c r="K201" s="1">
        <v>0</v>
      </c>
      <c r="L201" s="1">
        <v>6</v>
      </c>
      <c r="M201" s="32">
        <f>IF(Mecze[[#This Row],[PR]]=0,0,Mecze[[#This Row],[PR]]/Mecze[[#This Row],[CZAS]])</f>
        <v>6.25E-2</v>
      </c>
      <c r="N201" s="32">
        <f>IF(Mecze[[#This Row],[OU]]=0,0,Mecze[[#This Row],[OU]]/Mecze[[#This Row],[CZAS]])</f>
        <v>8.3333333333333329E-2</v>
      </c>
      <c r="O201" s="32">
        <f>IF(Mecze[[#This Row],[PC]]=0,0,Mecze[[#This Row],[PC]]/Mecze[[#This Row],[CZAS]])</f>
        <v>8.3333333333333329E-2</v>
      </c>
      <c r="P201" s="32">
        <f>IF(Mecze[[#This Row],[SC]]=0,0,Mecze[[#This Row],[SC]]/Mecze[[#This Row],[CZAS]])</f>
        <v>0</v>
      </c>
      <c r="Q201" s="32">
        <f>IF(Mecze[[#This Row],[OB]]=0,0,Mecze[[#This Row],[OB]]/Mecze[[#This Row],[CZAS]])</f>
        <v>0</v>
      </c>
      <c r="R201" s="32">
        <f>IF(Mecze[[#This Row],[BR]]=0,0,Mecze[[#This Row],[BR]]/Mecze[[#This Row],[CZAS]])</f>
        <v>0</v>
      </c>
      <c r="S201" s="44">
        <f>IF(Mecze[[#This Row],[Role]]="BR",SUMPRODUCT(Mecze[[#This Row],[/PR:90]:[/BR:90]],Brudnopis!$E$23:$J$23),0)</f>
        <v>0</v>
      </c>
      <c r="T201" s="44">
        <f>IF(Mecze[[#This Row],[Role]]&lt;&gt;"BR",SUMPRODUCT(Mecze[[#This Row],[/PR:90]:[/BR:90]],Brudnopis!$E$24:$J$24),0)</f>
        <v>0.27083333333333331</v>
      </c>
      <c r="U201" s="44">
        <f>IF(Mecze[[#This Row],[Role]]&lt;&gt;"BR",SUMPRODUCT(Mecze[[#This Row],[/PR:90]:[/BR:90]],Brudnopis!$E$25:$J$25),0)</f>
        <v>0.27083333333333331</v>
      </c>
      <c r="V201" s="44">
        <f>IF(Mecze[[#This Row],[Role]]&lt;&gt;"BR",SUMPRODUCT(Mecze[[#This Row],[/PR:90]:[/BR:90]],Brudnopis!$E$26:$J$26),0)</f>
        <v>0.22916666666666663</v>
      </c>
      <c r="W201" s="44">
        <f>IF(Mecze[[#This Row],[Role]]&lt;&gt;"BR",SUMPRODUCT(Mecze[[#This Row],[/PR:90]:[/BR:90]],Brudnopis!$E$27:$J$27),0)</f>
        <v>0.234375</v>
      </c>
      <c r="X201" s="44">
        <f>IF(Mecze[[#This Row],[Role]]&lt;&gt;"BR",SUMPRODUCT(Mecze[[#This Row],[/PR:90]:[/BR:90]],Brudnopis!$E$28:$J$28),0)</f>
        <v>8.3333333333333329E-2</v>
      </c>
      <c r="Y201" s="35">
        <f>IF(Mecze[[#This Row],[Role]]="BR",Mecze[[#This Row],[/OB:90]]+Mecze[[#This Row],[/PC:90]],SUM(Mecze[[#This Row],[/PR:90]:[/BR:90]]))</f>
        <v>0.22916666666666663</v>
      </c>
      <c r="Z201" s="35">
        <f>IF(Mecze[[#This Row],[KC]]=0,SUM(Mecze[[#This Row],[/BRI]:[/NPI]]),SUM(Mecze[[#This Row],[/BRI]:[/NPI]])*0.6)</f>
        <v>1.0885416666666665</v>
      </c>
      <c r="AA201" s="10">
        <f>IFERROR(Mecze[[#This Row],[BR]]/Mecze[[#This Row],[ST]],0)</f>
        <v>0</v>
      </c>
      <c r="AB201">
        <f>ROUND(Mecze[[#This Row],[PD]]*Mecze[[#This Row],[%PC]],0)</f>
        <v>8</v>
      </c>
      <c r="AC201">
        <f>ROUND(Mecze[[#This Row],[OD]]*Mecze[[#This Row],[%OU]],0)</f>
        <v>8</v>
      </c>
      <c r="AD201" s="36" t="s">
        <v>41</v>
      </c>
      <c r="AE201" s="36">
        <v>13</v>
      </c>
      <c r="AF201" s="71">
        <v>6.39</v>
      </c>
      <c r="AG201" s="37">
        <v>0</v>
      </c>
      <c r="AH201" s="37">
        <v>0</v>
      </c>
      <c r="AI201" s="37">
        <v>96</v>
      </c>
      <c r="AJ201" s="37">
        <v>6</v>
      </c>
      <c r="AK201" s="37" t="str">
        <f>VLOOKUP(Mecze[[#This Row],[Match ID]],Meczusie[Mecz]:Meczusie[RodzajMeczu],2,FALSE)</f>
        <v>Liga</v>
      </c>
    </row>
    <row r="202" spans="1:37" x14ac:dyDescent="0.25">
      <c r="A202" s="76">
        <v>10</v>
      </c>
      <c r="B202" s="3" t="s">
        <v>252</v>
      </c>
      <c r="C202" s="2" t="s">
        <v>160</v>
      </c>
      <c r="D202" s="1">
        <v>0</v>
      </c>
      <c r="E202" s="1">
        <v>1</v>
      </c>
      <c r="F202" s="1">
        <v>1</v>
      </c>
      <c r="G202" s="1">
        <v>9</v>
      </c>
      <c r="H202" s="4">
        <v>0.44</v>
      </c>
      <c r="I202" s="1">
        <v>0</v>
      </c>
      <c r="J202" s="4"/>
      <c r="K202" s="1">
        <v>0</v>
      </c>
      <c r="L202" s="1">
        <v>1</v>
      </c>
      <c r="M202" s="32">
        <f>IF(Mecze[[#This Row],[PR]]=0,0,Mecze[[#This Row],[PR]]/Mecze[[#This Row],[CZAS]])</f>
        <v>1.2987012987012988E-2</v>
      </c>
      <c r="N202" s="32">
        <f>IF(Mecze[[#This Row],[OU]]=0,0,Mecze[[#This Row],[OU]]/Mecze[[#This Row],[CZAS]])</f>
        <v>0</v>
      </c>
      <c r="O202" s="32">
        <f>IF(Mecze[[#This Row],[PC]]=0,0,Mecze[[#This Row],[PC]]/Mecze[[#This Row],[CZAS]])</f>
        <v>5.1948051948051951E-2</v>
      </c>
      <c r="P202" s="32">
        <f>IF(Mecze[[#This Row],[SC]]=0,0,Mecze[[#This Row],[SC]]/Mecze[[#This Row],[CZAS]])</f>
        <v>1.2987012987012988E-2</v>
      </c>
      <c r="Q202" s="32">
        <f>IF(Mecze[[#This Row],[OB]]=0,0,Mecze[[#This Row],[OB]]/Mecze[[#This Row],[CZAS]])</f>
        <v>0</v>
      </c>
      <c r="R202" s="32">
        <f>IF(Mecze[[#This Row],[BR]]=0,0,Mecze[[#This Row],[BR]]/Mecze[[#This Row],[CZAS]])</f>
        <v>0</v>
      </c>
      <c r="S202" s="44">
        <f>IF(Mecze[[#This Row],[Role]]="BR",SUMPRODUCT(Mecze[[#This Row],[/PR:90]:[/BR:90]],Brudnopis!$E$23:$J$23),0)</f>
        <v>0</v>
      </c>
      <c r="T202" s="44">
        <f>IF(Mecze[[#This Row],[Role]]&lt;&gt;"BR",SUMPRODUCT(Mecze[[#This Row],[/PR:90]:[/BR:90]],Brudnopis!$E$24:$J$24),0)</f>
        <v>7.7922077922077934E-2</v>
      </c>
      <c r="U202" s="44">
        <f>IF(Mecze[[#This Row],[Role]]&lt;&gt;"BR",SUMPRODUCT(Mecze[[#This Row],[/PR:90]:[/BR:90]],Brudnopis!$E$25:$J$25),0)</f>
        <v>0.1038961038961039</v>
      </c>
      <c r="V202" s="44">
        <f>IF(Mecze[[#This Row],[Role]]&lt;&gt;"BR",SUMPRODUCT(Mecze[[#This Row],[/PR:90]:[/BR:90]],Brudnopis!$E$26:$J$26),0)</f>
        <v>7.7922077922077934E-2</v>
      </c>
      <c r="W202" s="44">
        <f>IF(Mecze[[#This Row],[Role]]&lt;&gt;"BR",SUMPRODUCT(Mecze[[#This Row],[/PR:90]:[/BR:90]],Brudnopis!$E$27:$J$27),0)</f>
        <v>0.10064935064935066</v>
      </c>
      <c r="X202" s="44">
        <f>IF(Mecze[[#This Row],[Role]]&lt;&gt;"BR",SUMPRODUCT(Mecze[[#This Row],[/PR:90]:[/BR:90]],Brudnopis!$E$28:$J$28),0)</f>
        <v>7.792207792207792E-2</v>
      </c>
      <c r="Y202" s="35">
        <f>IF(Mecze[[#This Row],[Role]]="BR",Mecze[[#This Row],[/OB:90]]+Mecze[[#This Row],[/PC:90]],SUM(Mecze[[#This Row],[/PR:90]:[/BR:90]]))</f>
        <v>7.7922077922077934E-2</v>
      </c>
      <c r="Z202" s="35">
        <f>IF(Mecze[[#This Row],[KC]]=0,SUM(Mecze[[#This Row],[/BRI]:[/NPI]]),SUM(Mecze[[#This Row],[/BRI]:[/NPI]])*0.6)</f>
        <v>0.43831168831168832</v>
      </c>
      <c r="AA202" s="10">
        <f>IFERROR(Mecze[[#This Row],[BR]]/Mecze[[#This Row],[ST]],0)</f>
        <v>0</v>
      </c>
      <c r="AB202">
        <f>ROUND(Mecze[[#This Row],[PD]]*Mecze[[#This Row],[%PC]],0)</f>
        <v>4</v>
      </c>
      <c r="AC202">
        <f>ROUND(Mecze[[#This Row],[OD]]*Mecze[[#This Row],[%OU]],0)</f>
        <v>0</v>
      </c>
      <c r="AD202" s="36" t="s">
        <v>318</v>
      </c>
      <c r="AE202" s="36">
        <v>13</v>
      </c>
      <c r="AF202" s="71">
        <v>4.3600000000000003</v>
      </c>
      <c r="AG202" s="37">
        <v>0</v>
      </c>
      <c r="AH202" s="37">
        <v>0</v>
      </c>
      <c r="AI202" s="37">
        <v>77</v>
      </c>
      <c r="AJ202" s="37">
        <v>6</v>
      </c>
      <c r="AK202" s="37" t="str">
        <f>VLOOKUP(Mecze[[#This Row],[Match ID]],Meczusie[Mecz]:Meczusie[RodzajMeczu],2,FALSE)</f>
        <v>Liga</v>
      </c>
    </row>
    <row r="203" spans="1:37" x14ac:dyDescent="0.25">
      <c r="A203" s="76">
        <v>3</v>
      </c>
      <c r="B203" s="3" t="s">
        <v>253</v>
      </c>
      <c r="C203" s="2" t="s">
        <v>160</v>
      </c>
      <c r="D203" s="1">
        <v>0</v>
      </c>
      <c r="E203" s="1">
        <v>1</v>
      </c>
      <c r="F203" s="1">
        <v>1</v>
      </c>
      <c r="G203" s="1">
        <v>8</v>
      </c>
      <c r="H203" s="4">
        <v>0.38</v>
      </c>
      <c r="I203" s="1">
        <v>1</v>
      </c>
      <c r="J203" s="4">
        <v>1</v>
      </c>
      <c r="K203" s="1">
        <v>0</v>
      </c>
      <c r="L203" s="1">
        <v>2</v>
      </c>
      <c r="M203" s="32">
        <f>IF(Mecze[[#This Row],[PR]]=0,0,Mecze[[#This Row],[PR]]/Mecze[[#This Row],[CZAS]])</f>
        <v>2.0833333333333332E-2</v>
      </c>
      <c r="N203" s="32">
        <f>IF(Mecze[[#This Row],[OU]]=0,0,Mecze[[#This Row],[OU]]/Mecze[[#This Row],[CZAS]])</f>
        <v>1.0416666666666666E-2</v>
      </c>
      <c r="O203" s="32">
        <f>IF(Mecze[[#This Row],[PC]]=0,0,Mecze[[#This Row],[PC]]/Mecze[[#This Row],[CZAS]])</f>
        <v>3.125E-2</v>
      </c>
      <c r="P203" s="32">
        <f>IF(Mecze[[#This Row],[SC]]=0,0,Mecze[[#This Row],[SC]]/Mecze[[#This Row],[CZAS]])</f>
        <v>1.0416666666666666E-2</v>
      </c>
      <c r="Q203" s="32">
        <f>IF(Mecze[[#This Row],[OB]]=0,0,Mecze[[#This Row],[OB]]/Mecze[[#This Row],[CZAS]])</f>
        <v>0</v>
      </c>
      <c r="R203" s="32">
        <f>IF(Mecze[[#This Row],[BR]]=0,0,Mecze[[#This Row],[BR]]/Mecze[[#This Row],[CZAS]])</f>
        <v>0</v>
      </c>
      <c r="S203" s="44">
        <f>IF(Mecze[[#This Row],[Role]]="BR",SUMPRODUCT(Mecze[[#This Row],[/PR:90]:[/BR:90]],Brudnopis!$E$23:$J$23),0)</f>
        <v>0</v>
      </c>
      <c r="T203" s="44">
        <f>IF(Mecze[[#This Row],[Role]]&lt;&gt;"BR",SUMPRODUCT(Mecze[[#This Row],[/PR:90]:[/BR:90]],Brudnopis!$E$24:$J$24),0)</f>
        <v>7.8125E-2</v>
      </c>
      <c r="U203" s="44">
        <f>IF(Mecze[[#This Row],[Role]]&lt;&gt;"BR",SUMPRODUCT(Mecze[[#This Row],[/PR:90]:[/BR:90]],Brudnopis!$E$25:$J$25),0)</f>
        <v>8.8541666666666671E-2</v>
      </c>
      <c r="V203" s="44">
        <f>IF(Mecze[[#This Row],[Role]]&lt;&gt;"BR",SUMPRODUCT(Mecze[[#This Row],[/PR:90]:[/BR:90]],Brudnopis!$E$26:$J$26),0)</f>
        <v>7.2916666666666671E-2</v>
      </c>
      <c r="W203" s="44">
        <f>IF(Mecze[[#This Row],[Role]]&lt;&gt;"BR",SUMPRODUCT(Mecze[[#This Row],[/PR:90]:[/BR:90]],Brudnopis!$E$27:$J$27),0)</f>
        <v>8.0729166666666671E-2</v>
      </c>
      <c r="X203" s="44">
        <f>IF(Mecze[[#This Row],[Role]]&lt;&gt;"BR",SUMPRODUCT(Mecze[[#This Row],[/PR:90]:[/BR:90]],Brudnopis!$E$28:$J$28),0)</f>
        <v>5.2083333333333329E-2</v>
      </c>
      <c r="Y203" s="35">
        <f>IF(Mecze[[#This Row],[Role]]="BR",Mecze[[#This Row],[/OB:90]]+Mecze[[#This Row],[/PC:90]],SUM(Mecze[[#This Row],[/PR:90]:[/BR:90]]))</f>
        <v>7.2916666666666671E-2</v>
      </c>
      <c r="Z203" s="35">
        <f>IF(Mecze[[#This Row],[KC]]=0,SUM(Mecze[[#This Row],[/BRI]:[/NPI]]),SUM(Mecze[[#This Row],[/BRI]:[/NPI]])*0.6)</f>
        <v>0.37239583333333337</v>
      </c>
      <c r="AA203" s="10">
        <f>IFERROR(Mecze[[#This Row],[BR]]/Mecze[[#This Row],[ST]],0)</f>
        <v>0</v>
      </c>
      <c r="AB203">
        <f>ROUND(Mecze[[#This Row],[PD]]*Mecze[[#This Row],[%PC]],0)</f>
        <v>3</v>
      </c>
      <c r="AC203">
        <f>ROUND(Mecze[[#This Row],[OD]]*Mecze[[#This Row],[%OU]],0)</f>
        <v>1</v>
      </c>
      <c r="AD203" s="36" t="s">
        <v>319</v>
      </c>
      <c r="AE203" s="36">
        <v>13</v>
      </c>
      <c r="AF203" s="71">
        <v>4.57</v>
      </c>
      <c r="AG203" s="37">
        <v>0</v>
      </c>
      <c r="AH203" s="37">
        <v>0</v>
      </c>
      <c r="AI203" s="37">
        <v>96</v>
      </c>
      <c r="AJ203" s="37">
        <v>6</v>
      </c>
      <c r="AK203" s="37" t="str">
        <f>VLOOKUP(Mecze[[#This Row],[Match ID]],Meczusie[Mecz]:Meczusie[RodzajMeczu],2,FALSE)</f>
        <v>Liga</v>
      </c>
    </row>
    <row r="204" spans="1:37" x14ac:dyDescent="0.25">
      <c r="A204" s="76">
        <v>8</v>
      </c>
      <c r="B204" s="3" t="s">
        <v>254</v>
      </c>
      <c r="C204" s="2" t="s">
        <v>160</v>
      </c>
      <c r="D204" s="1">
        <v>0</v>
      </c>
      <c r="E204" s="1">
        <v>2</v>
      </c>
      <c r="F204" s="1">
        <v>1</v>
      </c>
      <c r="G204" s="1">
        <v>11</v>
      </c>
      <c r="H204" s="4">
        <v>0.55000000000000004</v>
      </c>
      <c r="I204" s="1">
        <v>7</v>
      </c>
      <c r="J204" s="4">
        <v>0.28999999999999998</v>
      </c>
      <c r="K204" s="1">
        <v>0</v>
      </c>
      <c r="L204" s="1">
        <v>3</v>
      </c>
      <c r="M204" s="32">
        <f>IF(Mecze[[#This Row],[PR]]=0,0,Mecze[[#This Row],[PR]]/Mecze[[#This Row],[CZAS]])</f>
        <v>3.125E-2</v>
      </c>
      <c r="N204" s="32">
        <f>IF(Mecze[[#This Row],[OU]]=0,0,Mecze[[#This Row],[OU]]/Mecze[[#This Row],[CZAS]])</f>
        <v>2.0833333333333332E-2</v>
      </c>
      <c r="O204" s="32">
        <f>IF(Mecze[[#This Row],[PC]]=0,0,Mecze[[#This Row],[PC]]/Mecze[[#This Row],[CZAS]])</f>
        <v>6.25E-2</v>
      </c>
      <c r="P204" s="32">
        <f>IF(Mecze[[#This Row],[SC]]=0,0,Mecze[[#This Row],[SC]]/Mecze[[#This Row],[CZAS]])</f>
        <v>1.0416666666666666E-2</v>
      </c>
      <c r="Q204" s="32">
        <f>IF(Mecze[[#This Row],[OB]]=0,0,Mecze[[#This Row],[OB]]/Mecze[[#This Row],[CZAS]])</f>
        <v>0</v>
      </c>
      <c r="R204" s="32">
        <f>IF(Mecze[[#This Row],[BR]]=0,0,Mecze[[#This Row],[BR]]/Mecze[[#This Row],[CZAS]])</f>
        <v>0</v>
      </c>
      <c r="S204" s="44">
        <f>IF(Mecze[[#This Row],[Role]]="BR",SUMPRODUCT(Mecze[[#This Row],[/PR:90]:[/BR:90]],Brudnopis!$E$23:$J$23),0)</f>
        <v>0</v>
      </c>
      <c r="T204" s="44">
        <f>IF(Mecze[[#This Row],[Role]]&lt;&gt;"BR",SUMPRODUCT(Mecze[[#This Row],[/PR:90]:[/BR:90]],Brudnopis!$E$24:$J$24),0)</f>
        <v>0.13541666666666666</v>
      </c>
      <c r="U204" s="44">
        <f>IF(Mecze[[#This Row],[Role]]&lt;&gt;"BR",SUMPRODUCT(Mecze[[#This Row],[/PR:90]:[/BR:90]],Brudnopis!$E$25:$J$25),0)</f>
        <v>0.15624999999999997</v>
      </c>
      <c r="V204" s="44">
        <f>IF(Mecze[[#This Row],[Role]]&lt;&gt;"BR",SUMPRODUCT(Mecze[[#This Row],[/PR:90]:[/BR:90]],Brudnopis!$E$26:$J$26),0)</f>
        <v>0.125</v>
      </c>
      <c r="W204" s="44">
        <f>IF(Mecze[[#This Row],[Role]]&lt;&gt;"BR",SUMPRODUCT(Mecze[[#This Row],[/PR:90]:[/BR:90]],Brudnopis!$E$27:$J$27),0)</f>
        <v>0.14322916666666666</v>
      </c>
      <c r="X204" s="44">
        <f>IF(Mecze[[#This Row],[Role]]&lt;&gt;"BR",SUMPRODUCT(Mecze[[#This Row],[/PR:90]:[/BR:90]],Brudnopis!$E$28:$J$28),0)</f>
        <v>8.3333333333333329E-2</v>
      </c>
      <c r="Y204" s="35">
        <f>IF(Mecze[[#This Row],[Role]]="BR",Mecze[[#This Row],[/OB:90]]+Mecze[[#This Row],[/PC:90]],SUM(Mecze[[#This Row],[/PR:90]:[/BR:90]]))</f>
        <v>0.125</v>
      </c>
      <c r="Z204" s="35">
        <f>IF(Mecze[[#This Row],[KC]]=0,SUM(Mecze[[#This Row],[/BRI]:[/NPI]]),SUM(Mecze[[#This Row],[/BRI]:[/NPI]])*0.6)</f>
        <v>0.64322916666666663</v>
      </c>
      <c r="AA204" s="10">
        <f>IFERROR(Mecze[[#This Row],[BR]]/Mecze[[#This Row],[ST]],0)</f>
        <v>0</v>
      </c>
      <c r="AB204">
        <f>ROUND(Mecze[[#This Row],[PD]]*Mecze[[#This Row],[%PC]],0)</f>
        <v>6</v>
      </c>
      <c r="AC204">
        <f>ROUND(Mecze[[#This Row],[OD]]*Mecze[[#This Row],[%OU]],0)</f>
        <v>2</v>
      </c>
      <c r="AD204" s="36" t="s">
        <v>44</v>
      </c>
      <c r="AE204" s="36">
        <v>13</v>
      </c>
      <c r="AF204" s="71">
        <v>5.99</v>
      </c>
      <c r="AG204" s="37">
        <v>0</v>
      </c>
      <c r="AH204" s="37">
        <v>0</v>
      </c>
      <c r="AI204" s="37">
        <v>96</v>
      </c>
      <c r="AJ204" s="37">
        <v>6</v>
      </c>
      <c r="AK204" s="37" t="str">
        <f>VLOOKUP(Mecze[[#This Row],[Match ID]],Meczusie[Mecz]:Meczusie[RodzajMeczu],2,FALSE)</f>
        <v>Liga</v>
      </c>
    </row>
    <row r="205" spans="1:37" x14ac:dyDescent="0.25">
      <c r="A205" s="76">
        <v>6</v>
      </c>
      <c r="B205" s="3" t="s">
        <v>255</v>
      </c>
      <c r="C205" s="2" t="s">
        <v>165</v>
      </c>
      <c r="D205" s="1">
        <v>0</v>
      </c>
      <c r="E205" s="1">
        <v>0</v>
      </c>
      <c r="F205" s="1">
        <v>0</v>
      </c>
      <c r="G205" s="1">
        <v>1</v>
      </c>
      <c r="H205" s="4">
        <v>0</v>
      </c>
      <c r="I205" s="1">
        <v>0</v>
      </c>
      <c r="J205" s="4"/>
      <c r="K205" s="1">
        <v>0</v>
      </c>
      <c r="L205" s="1">
        <v>0</v>
      </c>
      <c r="M205" s="32">
        <f>IF(Mecze[[#This Row],[PR]]=0,0,Mecze[[#This Row],[PR]]/Mecze[[#This Row],[CZAS]])</f>
        <v>0</v>
      </c>
      <c r="N205" s="32">
        <f>IF(Mecze[[#This Row],[OU]]=0,0,Mecze[[#This Row],[OU]]/Mecze[[#This Row],[CZAS]])</f>
        <v>0</v>
      </c>
      <c r="O205" s="32">
        <f>IF(Mecze[[#This Row],[PC]]=0,0,Mecze[[#This Row],[PC]]/Mecze[[#This Row],[CZAS]])</f>
        <v>0</v>
      </c>
      <c r="P205" s="32">
        <f>IF(Mecze[[#This Row],[SC]]=0,0,Mecze[[#This Row],[SC]]/Mecze[[#This Row],[CZAS]])</f>
        <v>0</v>
      </c>
      <c r="Q205" s="32">
        <f>IF(Mecze[[#This Row],[OB]]=0,0,Mecze[[#This Row],[OB]]/Mecze[[#This Row],[CZAS]])</f>
        <v>0</v>
      </c>
      <c r="R205" s="32">
        <f>IF(Mecze[[#This Row],[BR]]=0,0,Mecze[[#This Row],[BR]]/Mecze[[#This Row],[CZAS]])</f>
        <v>0</v>
      </c>
      <c r="S205" s="44">
        <f>IF(Mecze[[#This Row],[Role]]="BR",SUMPRODUCT(Mecze[[#This Row],[/PR:90]:[/BR:90]],Brudnopis!$E$23:$J$23),0)</f>
        <v>0</v>
      </c>
      <c r="T205" s="44">
        <f>IF(Mecze[[#This Row],[Role]]&lt;&gt;"BR",SUMPRODUCT(Mecze[[#This Row],[/PR:90]:[/BR:90]],Brudnopis!$E$24:$J$24),0)</f>
        <v>0</v>
      </c>
      <c r="U205" s="44">
        <f>IF(Mecze[[#This Row],[Role]]&lt;&gt;"BR",SUMPRODUCT(Mecze[[#This Row],[/PR:90]:[/BR:90]],Brudnopis!$E$25:$J$25),0)</f>
        <v>0</v>
      </c>
      <c r="V205" s="44">
        <f>IF(Mecze[[#This Row],[Role]]&lt;&gt;"BR",SUMPRODUCT(Mecze[[#This Row],[/PR:90]:[/BR:90]],Brudnopis!$E$26:$J$26),0)</f>
        <v>0</v>
      </c>
      <c r="W205" s="44">
        <f>IF(Mecze[[#This Row],[Role]]&lt;&gt;"BR",SUMPRODUCT(Mecze[[#This Row],[/PR:90]:[/BR:90]],Brudnopis!$E$27:$J$27),0)</f>
        <v>0</v>
      </c>
      <c r="X205" s="44">
        <f>IF(Mecze[[#This Row],[Role]]&lt;&gt;"BR",SUMPRODUCT(Mecze[[#This Row],[/PR:90]:[/BR:90]],Brudnopis!$E$28:$J$28),0)</f>
        <v>0</v>
      </c>
      <c r="Y205" s="35">
        <f>IF(Mecze[[#This Row],[Role]]="BR",Mecze[[#This Row],[/OB:90]]+Mecze[[#This Row],[/PC:90]],SUM(Mecze[[#This Row],[/PR:90]:[/BR:90]]))</f>
        <v>0</v>
      </c>
      <c r="Z205" s="35">
        <f>IF(Mecze[[#This Row],[KC]]=0,SUM(Mecze[[#This Row],[/BRI]:[/NPI]]),SUM(Mecze[[#This Row],[/BRI]:[/NPI]])*0.6)</f>
        <v>0</v>
      </c>
      <c r="AA205" s="10">
        <f>IFERROR(Mecze[[#This Row],[BR]]/Mecze[[#This Row],[ST]],0)</f>
        <v>0</v>
      </c>
      <c r="AB205">
        <f>ROUND(Mecze[[#This Row],[PD]]*Mecze[[#This Row],[%PC]],0)</f>
        <v>0</v>
      </c>
      <c r="AC205">
        <f>ROUND(Mecze[[#This Row],[OD]]*Mecze[[#This Row],[%OU]],0)</f>
        <v>0</v>
      </c>
      <c r="AD205" s="36" t="s">
        <v>232</v>
      </c>
      <c r="AE205" s="36">
        <v>13</v>
      </c>
      <c r="AF205" s="71">
        <v>3.93</v>
      </c>
      <c r="AG205" s="37">
        <v>0</v>
      </c>
      <c r="AH205" s="37">
        <v>0</v>
      </c>
      <c r="AI205" s="37">
        <v>96</v>
      </c>
      <c r="AJ205" s="37">
        <v>6</v>
      </c>
      <c r="AK205" s="37" t="str">
        <f>VLOOKUP(Mecze[[#This Row],[Match ID]],Meczusie[Mecz]:Meczusie[RodzajMeczu],2,FALSE)</f>
        <v>Liga</v>
      </c>
    </row>
    <row r="206" spans="1:37" x14ac:dyDescent="0.25">
      <c r="A206" s="76">
        <v>5</v>
      </c>
      <c r="B206" s="3" t="s">
        <v>256</v>
      </c>
      <c r="C206" s="2" t="s">
        <v>165</v>
      </c>
      <c r="D206" s="1">
        <v>1</v>
      </c>
      <c r="E206" s="1">
        <v>8</v>
      </c>
      <c r="F206" s="1">
        <v>7</v>
      </c>
      <c r="G206" s="1">
        <v>12</v>
      </c>
      <c r="H206" s="4">
        <v>1</v>
      </c>
      <c r="I206" s="1">
        <v>0</v>
      </c>
      <c r="J206" s="4"/>
      <c r="K206" s="1">
        <v>0</v>
      </c>
      <c r="L206" s="1">
        <v>5</v>
      </c>
      <c r="M206" s="32">
        <f>IF(Mecze[[#This Row],[PR]]=0,0,Mecze[[#This Row],[PR]]/Mecze[[#This Row],[CZAS]])</f>
        <v>5.2083333333333336E-2</v>
      </c>
      <c r="N206" s="32">
        <f>IF(Mecze[[#This Row],[OU]]=0,0,Mecze[[#This Row],[OU]]/Mecze[[#This Row],[CZAS]])</f>
        <v>0</v>
      </c>
      <c r="O206" s="32">
        <f>IF(Mecze[[#This Row],[PC]]=0,0,Mecze[[#This Row],[PC]]/Mecze[[#This Row],[CZAS]])</f>
        <v>0.125</v>
      </c>
      <c r="P206" s="32">
        <f>IF(Mecze[[#This Row],[SC]]=0,0,Mecze[[#This Row],[SC]]/Mecze[[#This Row],[CZAS]])</f>
        <v>7.2916666666666671E-2</v>
      </c>
      <c r="Q206" s="32">
        <f>IF(Mecze[[#This Row],[OB]]=0,0,Mecze[[#This Row],[OB]]/Mecze[[#This Row],[CZAS]])</f>
        <v>0</v>
      </c>
      <c r="R206" s="32">
        <f>IF(Mecze[[#This Row],[BR]]=0,0,Mecze[[#This Row],[BR]]/Mecze[[#This Row],[CZAS]])</f>
        <v>1.0416666666666666E-2</v>
      </c>
      <c r="S206" s="44">
        <f>IF(Mecze[[#This Row],[Role]]="BR",SUMPRODUCT(Mecze[[#This Row],[/PR:90]:[/BR:90]],Brudnopis!$E$23:$J$23),0)</f>
        <v>0</v>
      </c>
      <c r="T206" s="44">
        <f>IF(Mecze[[#This Row],[Role]]&lt;&gt;"BR",SUMPRODUCT(Mecze[[#This Row],[/PR:90]:[/BR:90]],Brudnopis!$E$24:$J$24),0)</f>
        <v>0.265625</v>
      </c>
      <c r="U206" s="44">
        <f>IF(Mecze[[#This Row],[Role]]&lt;&gt;"BR",SUMPRODUCT(Mecze[[#This Row],[/PR:90]:[/BR:90]],Brudnopis!$E$25:$J$25),0)</f>
        <v>0.328125</v>
      </c>
      <c r="V206" s="44">
        <f>IF(Mecze[[#This Row],[Role]]&lt;&gt;"BR",SUMPRODUCT(Mecze[[#This Row],[/PR:90]:[/BR:90]],Brudnopis!$E$26:$J$26),0)</f>
        <v>0.27083333333333331</v>
      </c>
      <c r="W206" s="44">
        <f>IF(Mecze[[#This Row],[Role]]&lt;&gt;"BR",SUMPRODUCT(Mecze[[#This Row],[/PR:90]:[/BR:90]],Brudnopis!$E$27:$J$27),0)</f>
        <v>0.3203125</v>
      </c>
      <c r="X206" s="44">
        <f>IF(Mecze[[#This Row],[Role]]&lt;&gt;"BR",SUMPRODUCT(Mecze[[#This Row],[/PR:90]:[/BR:90]],Brudnopis!$E$28:$J$28),0)</f>
        <v>0.30208333333333337</v>
      </c>
      <c r="Y206" s="35">
        <f>IF(Mecze[[#This Row],[Role]]="BR",Mecze[[#This Row],[/OB:90]]+Mecze[[#This Row],[/PC:90]],SUM(Mecze[[#This Row],[/PR:90]:[/BR:90]]))</f>
        <v>0.26041666666666669</v>
      </c>
      <c r="Z206" s="35">
        <f>IF(Mecze[[#This Row],[KC]]=0,SUM(Mecze[[#This Row],[/BRI]:[/NPI]]),SUM(Mecze[[#This Row],[/BRI]:[/NPI]])*0.6)</f>
        <v>1.4869791666666665</v>
      </c>
      <c r="AA206" s="10">
        <f>IFERROR(Mecze[[#This Row],[BR]]/Mecze[[#This Row],[ST]],0)</f>
        <v>0.125</v>
      </c>
      <c r="AB206">
        <f>ROUND(Mecze[[#This Row],[PD]]*Mecze[[#This Row],[%PC]],0)</f>
        <v>12</v>
      </c>
      <c r="AC206">
        <f>ROUND(Mecze[[#This Row],[OD]]*Mecze[[#This Row],[%OU]],0)</f>
        <v>0</v>
      </c>
      <c r="AD206" s="36" t="s">
        <v>46</v>
      </c>
      <c r="AE206" s="36">
        <v>13</v>
      </c>
      <c r="AF206" s="71">
        <v>10.91</v>
      </c>
      <c r="AG206" s="37">
        <v>0</v>
      </c>
      <c r="AH206" s="37">
        <v>0</v>
      </c>
      <c r="AI206" s="37">
        <v>96</v>
      </c>
      <c r="AJ206" s="37">
        <v>6</v>
      </c>
      <c r="AK206" s="37" t="str">
        <f>VLOOKUP(Mecze[[#This Row],[Match ID]],Meczusie[Mecz]:Meczusie[RodzajMeczu],2,FALSE)</f>
        <v>Liga</v>
      </c>
    </row>
    <row r="207" spans="1:37" x14ac:dyDescent="0.25">
      <c r="A207" s="76">
        <v>100</v>
      </c>
      <c r="B207" s="3" t="s">
        <v>257</v>
      </c>
      <c r="C207" s="2" t="s">
        <v>165</v>
      </c>
      <c r="D207" s="1">
        <v>2</v>
      </c>
      <c r="E207" s="1">
        <v>9</v>
      </c>
      <c r="F207" s="1">
        <v>6</v>
      </c>
      <c r="G207" s="1">
        <v>4</v>
      </c>
      <c r="H207" s="4">
        <v>0.5</v>
      </c>
      <c r="I207" s="1">
        <v>5</v>
      </c>
      <c r="J207" s="4">
        <v>0.8</v>
      </c>
      <c r="K207" s="1">
        <v>0</v>
      </c>
      <c r="L207" s="1">
        <v>0</v>
      </c>
      <c r="M207" s="32">
        <f>IF(Mecze[[#This Row],[PR]]=0,0,Mecze[[#This Row],[PR]]/Mecze[[#This Row],[CZAS]])</f>
        <v>0</v>
      </c>
      <c r="N207" s="32">
        <f>IF(Mecze[[#This Row],[OU]]=0,0,Mecze[[#This Row],[OU]]/Mecze[[#This Row],[CZAS]])</f>
        <v>4.7058823529411764E-2</v>
      </c>
      <c r="O207" s="32">
        <f>IF(Mecze[[#This Row],[PC]]=0,0,Mecze[[#This Row],[PC]]/Mecze[[#This Row],[CZAS]])</f>
        <v>2.3529411764705882E-2</v>
      </c>
      <c r="P207" s="32">
        <f>IF(Mecze[[#This Row],[SC]]=0,0,Mecze[[#This Row],[SC]]/Mecze[[#This Row],[CZAS]])</f>
        <v>7.0588235294117646E-2</v>
      </c>
      <c r="Q207" s="32">
        <f>IF(Mecze[[#This Row],[OB]]=0,0,Mecze[[#This Row],[OB]]/Mecze[[#This Row],[CZAS]])</f>
        <v>0</v>
      </c>
      <c r="R207" s="32">
        <f>IF(Mecze[[#This Row],[BR]]=0,0,Mecze[[#This Row],[BR]]/Mecze[[#This Row],[CZAS]])</f>
        <v>2.3529411764705882E-2</v>
      </c>
      <c r="S207" s="44">
        <f>IF(Mecze[[#This Row],[Role]]="BR",SUMPRODUCT(Mecze[[#This Row],[/PR:90]:[/BR:90]],Brudnopis!$E$23:$J$23),0)</f>
        <v>0</v>
      </c>
      <c r="T207" s="44">
        <f>IF(Mecze[[#This Row],[Role]]&lt;&gt;"BR",SUMPRODUCT(Mecze[[#This Row],[/PR:90]:[/BR:90]],Brudnopis!$E$24:$J$24),0)</f>
        <v>0.2</v>
      </c>
      <c r="U207" s="44">
        <f>IF(Mecze[[#This Row],[Role]]&lt;&gt;"BR",SUMPRODUCT(Mecze[[#This Row],[/PR:90]:[/BR:90]],Brudnopis!$E$25:$J$25),0)</f>
        <v>0.18823529411764706</v>
      </c>
      <c r="V207" s="44">
        <f>IF(Mecze[[#This Row],[Role]]&lt;&gt;"BR",SUMPRODUCT(Mecze[[#This Row],[/PR:90]:[/BR:90]],Brudnopis!$E$26:$J$26),0)</f>
        <v>0.18823529411764706</v>
      </c>
      <c r="W207" s="44">
        <f>IF(Mecze[[#This Row],[Role]]&lt;&gt;"BR",SUMPRODUCT(Mecze[[#This Row],[/PR:90]:[/BR:90]],Brudnopis!$E$27:$J$27),0)</f>
        <v>0.18823529411764706</v>
      </c>
      <c r="X207" s="44">
        <f>IF(Mecze[[#This Row],[Role]]&lt;&gt;"BR",SUMPRODUCT(Mecze[[#This Row],[/PR:90]:[/BR:90]],Brudnopis!$E$28:$J$28),0)</f>
        <v>0.23529411764705882</v>
      </c>
      <c r="Y207" s="35">
        <f>IF(Mecze[[#This Row],[Role]]="BR",Mecze[[#This Row],[/OB:90]]+Mecze[[#This Row],[/PC:90]],SUM(Mecze[[#This Row],[/PR:90]:[/BR:90]]))</f>
        <v>0.16470588235294117</v>
      </c>
      <c r="Z207" s="35">
        <f>IF(Mecze[[#This Row],[KC]]=0,SUM(Mecze[[#This Row],[/BRI]:[/NPI]]),SUM(Mecze[[#This Row],[/BRI]:[/NPI]])*0.6)</f>
        <v>1</v>
      </c>
      <c r="AA207" s="10">
        <f>IFERROR(Mecze[[#This Row],[BR]]/Mecze[[#This Row],[ST]],0)</f>
        <v>0.22222222222222221</v>
      </c>
      <c r="AB207">
        <f>ROUND(Mecze[[#This Row],[PD]]*Mecze[[#This Row],[%PC]],0)</f>
        <v>2</v>
      </c>
      <c r="AC207">
        <f>ROUND(Mecze[[#This Row],[OD]]*Mecze[[#This Row],[%OU]],0)</f>
        <v>4</v>
      </c>
      <c r="AD207" s="36" t="s">
        <v>46</v>
      </c>
      <c r="AE207" s="36">
        <v>13</v>
      </c>
      <c r="AF207" s="71">
        <v>9.85</v>
      </c>
      <c r="AG207" s="37">
        <v>0</v>
      </c>
      <c r="AH207" s="37">
        <v>0</v>
      </c>
      <c r="AI207" s="37">
        <v>85</v>
      </c>
      <c r="AJ207" s="37">
        <v>6</v>
      </c>
      <c r="AK207" s="37" t="str">
        <f>VLOOKUP(Mecze[[#This Row],[Match ID]],Meczusie[Mecz]:Meczusie[RodzajMeczu],2,FALSE)</f>
        <v>Liga</v>
      </c>
    </row>
    <row r="208" spans="1:37" x14ac:dyDescent="0.25">
      <c r="A208" s="76">
        <v>20</v>
      </c>
      <c r="B208" s="3" t="s">
        <v>391</v>
      </c>
      <c r="C208" s="2" t="s">
        <v>165</v>
      </c>
      <c r="D208" s="1">
        <v>1</v>
      </c>
      <c r="E208" s="1">
        <v>1</v>
      </c>
      <c r="F208" s="1">
        <v>1</v>
      </c>
      <c r="G208" s="1">
        <v>0</v>
      </c>
      <c r="H208" s="72"/>
      <c r="I208" s="1">
        <v>0</v>
      </c>
      <c r="J208" s="4"/>
      <c r="K208" s="1">
        <v>0</v>
      </c>
      <c r="L208" s="1">
        <v>0</v>
      </c>
      <c r="M208" s="32">
        <f>IF(Mecze[[#This Row],[PR]]=0,0,Mecze[[#This Row],[PR]]/Mecze[[#This Row],[CZAS]])</f>
        <v>0</v>
      </c>
      <c r="N208" s="32">
        <f>IF(Mecze[[#This Row],[OU]]=0,0,Mecze[[#This Row],[OU]]/Mecze[[#This Row],[CZAS]])</f>
        <v>0</v>
      </c>
      <c r="O208" s="32">
        <f>IF(Mecze[[#This Row],[PC]]=0,0,Mecze[[#This Row],[PC]]/Mecze[[#This Row],[CZAS]])</f>
        <v>0</v>
      </c>
      <c r="P208" s="32">
        <f>IF(Mecze[[#This Row],[SC]]=0,0,Mecze[[#This Row],[SC]]/Mecze[[#This Row],[CZAS]])</f>
        <v>9.0909090909090912E-2</v>
      </c>
      <c r="Q208" s="32">
        <f>IF(Mecze[[#This Row],[OB]]=0,0,Mecze[[#This Row],[OB]]/Mecze[[#This Row],[CZAS]])</f>
        <v>0</v>
      </c>
      <c r="R208" s="32">
        <f>IF(Mecze[[#This Row],[BR]]=0,0,Mecze[[#This Row],[BR]]/Mecze[[#This Row],[CZAS]])</f>
        <v>9.0909090909090912E-2</v>
      </c>
      <c r="S208" s="44">
        <f>IF(Mecze[[#This Row],[Role]]="BR",SUMPRODUCT(Mecze[[#This Row],[/PR:90]:[/BR:90]],Brudnopis!$E$23:$J$23),0)</f>
        <v>0</v>
      </c>
      <c r="T208" s="44">
        <f>IF(Mecze[[#This Row],[Role]]&lt;&gt;"BR",SUMPRODUCT(Mecze[[#This Row],[/PR:90]:[/BR:90]],Brudnopis!$E$24:$J$24),0)</f>
        <v>0.22727272727272727</v>
      </c>
      <c r="U208" s="44">
        <f>IF(Mecze[[#This Row],[Role]]&lt;&gt;"BR",SUMPRODUCT(Mecze[[#This Row],[/PR:90]:[/BR:90]],Brudnopis!$E$25:$J$25),0)</f>
        <v>0.22727272727272727</v>
      </c>
      <c r="V208" s="44">
        <f>IF(Mecze[[#This Row],[Role]]&lt;&gt;"BR",SUMPRODUCT(Mecze[[#This Row],[/PR:90]:[/BR:90]],Brudnopis!$E$26:$J$26),0)</f>
        <v>0.27272727272727271</v>
      </c>
      <c r="W208" s="44">
        <f>IF(Mecze[[#This Row],[Role]]&lt;&gt;"BR",SUMPRODUCT(Mecze[[#This Row],[/PR:90]:[/BR:90]],Brudnopis!$E$27:$J$27),0)</f>
        <v>0.27272727272727271</v>
      </c>
      <c r="X208" s="44">
        <f>IF(Mecze[[#This Row],[Role]]&lt;&gt;"BR",SUMPRODUCT(Mecze[[#This Row],[/PR:90]:[/BR:90]],Brudnopis!$E$28:$J$28),0)</f>
        <v>0.45454545454545453</v>
      </c>
      <c r="Y208" s="35">
        <f>IF(Mecze[[#This Row],[Role]]="BR",Mecze[[#This Row],[/OB:90]]+Mecze[[#This Row],[/PC:90]],SUM(Mecze[[#This Row],[/PR:90]:[/BR:90]]))</f>
        <v>0.18181818181818182</v>
      </c>
      <c r="Z208" s="35">
        <f>IF(Mecze[[#This Row],[KC]]=0,SUM(Mecze[[#This Row],[/BRI]:[/NPI]]),SUM(Mecze[[#This Row],[/BRI]:[/NPI]])*0.6)</f>
        <v>1.4545454545454546</v>
      </c>
      <c r="AA208" s="10">
        <f>IFERROR(Mecze[[#This Row],[BR]]/Mecze[[#This Row],[ST]],0)</f>
        <v>1</v>
      </c>
      <c r="AB208">
        <f>ROUND(Mecze[[#This Row],[PD]]*Mecze[[#This Row],[%PC]],0)</f>
        <v>0</v>
      </c>
      <c r="AC208">
        <f>ROUND(Mecze[[#This Row],[OD]]*Mecze[[#This Row],[%OU]],0)</f>
        <v>0</v>
      </c>
      <c r="AD208" s="36" t="s">
        <v>46</v>
      </c>
      <c r="AE208" s="36">
        <v>13</v>
      </c>
      <c r="AF208" s="71">
        <v>4.24</v>
      </c>
      <c r="AG208" s="37">
        <v>0</v>
      </c>
      <c r="AH208" s="37">
        <v>0</v>
      </c>
      <c r="AI208" s="37">
        <v>11</v>
      </c>
      <c r="AJ208" s="37">
        <v>6</v>
      </c>
      <c r="AK208" s="37" t="str">
        <f>VLOOKUP(Mecze[[#This Row],[Match ID]],Meczusie[Mecz]:Meczusie[RodzajMeczu],2,FALSE)</f>
        <v>Liga</v>
      </c>
    </row>
    <row r="209" spans="1:37" x14ac:dyDescent="0.25">
      <c r="A209" s="76">
        <v>9</v>
      </c>
      <c r="B209" s="3" t="s">
        <v>258</v>
      </c>
      <c r="C209" s="2" t="s">
        <v>160</v>
      </c>
      <c r="D209" s="1">
        <v>0</v>
      </c>
      <c r="E209" s="1">
        <v>0</v>
      </c>
      <c r="F209" s="1">
        <v>0</v>
      </c>
      <c r="G209" s="1">
        <v>2</v>
      </c>
      <c r="H209" s="4">
        <v>1</v>
      </c>
      <c r="I209" s="1">
        <v>0</v>
      </c>
      <c r="J209" s="4"/>
      <c r="K209" s="1">
        <v>0</v>
      </c>
      <c r="L209" s="1">
        <v>2</v>
      </c>
      <c r="M209" s="32">
        <f>IF(Mecze[[#This Row],[PR]]=0,0,Mecze[[#This Row],[PR]]/Mecze[[#This Row],[CZAS]])</f>
        <v>0.10526315789473684</v>
      </c>
      <c r="N209" s="32">
        <f>IF(Mecze[[#This Row],[OU]]=0,0,Mecze[[#This Row],[OU]]/Mecze[[#This Row],[CZAS]])</f>
        <v>0</v>
      </c>
      <c r="O209" s="32">
        <f>IF(Mecze[[#This Row],[PC]]=0,0,Mecze[[#This Row],[PC]]/Mecze[[#This Row],[CZAS]])</f>
        <v>0.10526315789473684</v>
      </c>
      <c r="P209" s="32">
        <f>IF(Mecze[[#This Row],[SC]]=0,0,Mecze[[#This Row],[SC]]/Mecze[[#This Row],[CZAS]])</f>
        <v>0</v>
      </c>
      <c r="Q209" s="32">
        <f>IF(Mecze[[#This Row],[OB]]=0,0,Mecze[[#This Row],[OB]]/Mecze[[#This Row],[CZAS]])</f>
        <v>0</v>
      </c>
      <c r="R209" s="32">
        <f>IF(Mecze[[#This Row],[BR]]=0,0,Mecze[[#This Row],[BR]]/Mecze[[#This Row],[CZAS]])</f>
        <v>0</v>
      </c>
      <c r="S209" s="44">
        <f>IF(Mecze[[#This Row],[Role]]="BR",SUMPRODUCT(Mecze[[#This Row],[/PR:90]:[/BR:90]],Brudnopis!$E$23:$J$23),0)</f>
        <v>0</v>
      </c>
      <c r="T209" s="44">
        <f>IF(Mecze[[#This Row],[Role]]&lt;&gt;"BR",SUMPRODUCT(Mecze[[#This Row],[/PR:90]:[/BR:90]],Brudnopis!$E$24:$J$24),0)</f>
        <v>0.21052631578947367</v>
      </c>
      <c r="U209" s="44">
        <f>IF(Mecze[[#This Row],[Role]]&lt;&gt;"BR",SUMPRODUCT(Mecze[[#This Row],[/PR:90]:[/BR:90]],Brudnopis!$E$25:$J$25),0)</f>
        <v>0.26315789473684209</v>
      </c>
      <c r="V209" s="44">
        <f>IF(Mecze[[#This Row],[Role]]&lt;&gt;"BR",SUMPRODUCT(Mecze[[#This Row],[/PR:90]:[/BR:90]],Brudnopis!$E$26:$J$26),0)</f>
        <v>0.21052631578947367</v>
      </c>
      <c r="W209" s="44">
        <f>IF(Mecze[[#This Row],[Role]]&lt;&gt;"BR",SUMPRODUCT(Mecze[[#This Row],[/PR:90]:[/BR:90]],Brudnopis!$E$27:$J$27),0)</f>
        <v>0.23684210526315788</v>
      </c>
      <c r="X209" s="44">
        <f>IF(Mecze[[#This Row],[Role]]&lt;&gt;"BR",SUMPRODUCT(Mecze[[#This Row],[/PR:90]:[/BR:90]],Brudnopis!$E$28:$J$28),0)</f>
        <v>0.10526315789473684</v>
      </c>
      <c r="Y209" s="35">
        <f>IF(Mecze[[#This Row],[Role]]="BR",Mecze[[#This Row],[/OB:90]]+Mecze[[#This Row],[/PC:90]],SUM(Mecze[[#This Row],[/PR:90]:[/BR:90]]))</f>
        <v>0.21052631578947367</v>
      </c>
      <c r="Z209" s="35">
        <f>IF(Mecze[[#This Row],[KC]]=0,SUM(Mecze[[#This Row],[/BRI]:[/NPI]]),SUM(Mecze[[#This Row],[/BRI]:[/NPI]])*0.6)</f>
        <v>1.0263157894736841</v>
      </c>
      <c r="AA209" s="10">
        <f>IFERROR(Mecze[[#This Row],[BR]]/Mecze[[#This Row],[ST]],0)</f>
        <v>0</v>
      </c>
      <c r="AB209">
        <f>ROUND(Mecze[[#This Row],[PD]]*Mecze[[#This Row],[%PC]],0)</f>
        <v>2</v>
      </c>
      <c r="AC209">
        <f>ROUND(Mecze[[#This Row],[OD]]*Mecze[[#This Row],[%OU]],0)</f>
        <v>0</v>
      </c>
      <c r="AD209" s="36" t="s">
        <v>318</v>
      </c>
      <c r="AE209" s="36">
        <v>13</v>
      </c>
      <c r="AF209" s="71">
        <v>2.14</v>
      </c>
      <c r="AG209" s="37">
        <v>0</v>
      </c>
      <c r="AH209" s="37">
        <v>0</v>
      </c>
      <c r="AI209" s="37">
        <v>19</v>
      </c>
      <c r="AJ209" s="37">
        <v>6</v>
      </c>
      <c r="AK209" s="37" t="str">
        <f>VLOOKUP(Mecze[[#This Row],[Match ID]],Meczusie[Mecz]:Meczusie[RodzajMeczu],2,FALSE)</f>
        <v>Liga</v>
      </c>
    </row>
    <row r="210" spans="1:37" x14ac:dyDescent="0.25">
      <c r="A210" s="76">
        <v>1</v>
      </c>
      <c r="B210" s="3" t="s">
        <v>236</v>
      </c>
      <c r="C210" s="2" t="s">
        <v>155</v>
      </c>
      <c r="D210" s="1">
        <v>0</v>
      </c>
      <c r="E210" s="1">
        <v>0</v>
      </c>
      <c r="F210" s="1">
        <v>0</v>
      </c>
      <c r="G210" s="1">
        <v>14</v>
      </c>
      <c r="H210" s="4">
        <v>0.5</v>
      </c>
      <c r="I210" s="1">
        <v>0</v>
      </c>
      <c r="J210" s="4"/>
      <c r="K210" s="1">
        <v>12</v>
      </c>
      <c r="L210" s="1">
        <v>0</v>
      </c>
      <c r="M210" s="32">
        <f>IF(Mecze[[#This Row],[PR]]=0,0,Mecze[[#This Row],[PR]]/Mecze[[#This Row],[CZAS]])</f>
        <v>0</v>
      </c>
      <c r="N210" s="32">
        <f>IF(Mecze[[#This Row],[OU]]=0,0,Mecze[[#This Row],[OU]]/Mecze[[#This Row],[CZAS]])</f>
        <v>0</v>
      </c>
      <c r="O210" s="32">
        <f>IF(Mecze[[#This Row],[PC]]=0,0,Mecze[[#This Row],[PC]]/Mecze[[#This Row],[CZAS]])</f>
        <v>7.2916666666666671E-2</v>
      </c>
      <c r="P210" s="32">
        <f>IF(Mecze[[#This Row],[SC]]=0,0,Mecze[[#This Row],[SC]]/Mecze[[#This Row],[CZAS]])</f>
        <v>0</v>
      </c>
      <c r="Q210" s="32">
        <f>IF(Mecze[[#This Row],[OB]]=0,0,Mecze[[#This Row],[OB]]/Mecze[[#This Row],[CZAS]])</f>
        <v>0.125</v>
      </c>
      <c r="R210" s="32">
        <f>IF(Mecze[[#This Row],[BR]]=0,0,Mecze[[#This Row],[BR]]/Mecze[[#This Row],[CZAS]])</f>
        <v>0</v>
      </c>
      <c r="S210" s="44">
        <f>IF(Mecze[[#This Row],[Role]]="BR",SUMPRODUCT(Mecze[[#This Row],[/PR:90]:[/BR:90]],Brudnopis!$E$23:$J$23),0)</f>
        <v>0.59375</v>
      </c>
      <c r="T210" s="44">
        <f>IF(Mecze[[#This Row],[Role]]&lt;&gt;"BR",SUMPRODUCT(Mecze[[#This Row],[/PR:90]:[/BR:90]],Brudnopis!$E$24:$J$24),0)</f>
        <v>0</v>
      </c>
      <c r="U210" s="44">
        <f>IF(Mecze[[#This Row],[Role]]&lt;&gt;"BR",SUMPRODUCT(Mecze[[#This Row],[/PR:90]:[/BR:90]],Brudnopis!$E$25:$J$25),0)</f>
        <v>0</v>
      </c>
      <c r="V210" s="44">
        <f>IF(Mecze[[#This Row],[Role]]&lt;&gt;"BR",SUMPRODUCT(Mecze[[#This Row],[/PR:90]:[/BR:90]],Brudnopis!$E$26:$J$26),0)</f>
        <v>0</v>
      </c>
      <c r="W210" s="44">
        <f>IF(Mecze[[#This Row],[Role]]&lt;&gt;"BR",SUMPRODUCT(Mecze[[#This Row],[/PR:90]:[/BR:90]],Brudnopis!$E$27:$J$27),0)</f>
        <v>0</v>
      </c>
      <c r="X210" s="44">
        <f>IF(Mecze[[#This Row],[Role]]&lt;&gt;"BR",SUMPRODUCT(Mecze[[#This Row],[/PR:90]:[/BR:90]],Brudnopis!$E$28:$J$28),0)</f>
        <v>0</v>
      </c>
      <c r="Y210" s="35">
        <f>IF(Mecze[[#This Row],[Role]]="BR",Mecze[[#This Row],[/OB:90]]+Mecze[[#This Row],[/PC:90]],SUM(Mecze[[#This Row],[/PR:90]:[/BR:90]]))</f>
        <v>0.19791666666666669</v>
      </c>
      <c r="Z210" s="35">
        <f>IF(Mecze[[#This Row],[KC]]=0,SUM(Mecze[[#This Row],[/BRI]:[/NPI]]),SUM(Mecze[[#This Row],[/BRI]:[/NPI]])*0.6)</f>
        <v>0.59375</v>
      </c>
      <c r="AA210" s="10">
        <f>IFERROR(Mecze[[#This Row],[BR]]/Mecze[[#This Row],[ST]],0)</f>
        <v>0</v>
      </c>
      <c r="AB210">
        <f>ROUND(Mecze[[#This Row],[PD]]*Mecze[[#This Row],[%PC]],0)</f>
        <v>7</v>
      </c>
      <c r="AC210">
        <f>ROUND(Mecze[[#This Row],[OD]]*Mecze[[#This Row],[%OU]],0)</f>
        <v>0</v>
      </c>
      <c r="AD210" s="36" t="s">
        <v>40</v>
      </c>
      <c r="AE210" s="36">
        <v>13</v>
      </c>
      <c r="AF210" s="71">
        <v>6</v>
      </c>
      <c r="AG210" s="37">
        <v>0</v>
      </c>
      <c r="AH210" s="37">
        <v>0</v>
      </c>
      <c r="AI210" s="37">
        <v>96</v>
      </c>
      <c r="AJ210" s="37">
        <v>10</v>
      </c>
      <c r="AK210" s="37" t="str">
        <f>VLOOKUP(Mecze[[#This Row],[Match ID]],Meczusie[Mecz]:Meczusie[RodzajMeczu],2,FALSE)</f>
        <v>Liga</v>
      </c>
    </row>
    <row r="211" spans="1:37" x14ac:dyDescent="0.25">
      <c r="A211" s="76">
        <v>3</v>
      </c>
      <c r="B211" s="3" t="s">
        <v>237</v>
      </c>
      <c r="C211" s="2" t="s">
        <v>157</v>
      </c>
      <c r="D211" s="1">
        <v>0</v>
      </c>
      <c r="E211" s="1">
        <v>0</v>
      </c>
      <c r="F211" s="1">
        <v>0</v>
      </c>
      <c r="G211" s="1">
        <v>16</v>
      </c>
      <c r="H211" s="4">
        <v>0.63</v>
      </c>
      <c r="I211" s="1">
        <v>6</v>
      </c>
      <c r="J211" s="4">
        <v>0.33</v>
      </c>
      <c r="K211" s="1">
        <v>0</v>
      </c>
      <c r="L211" s="1">
        <v>16</v>
      </c>
      <c r="M211" s="32">
        <f>IF(Mecze[[#This Row],[PR]]=0,0,Mecze[[#This Row],[PR]]/Mecze[[#This Row],[CZAS]])</f>
        <v>0.16666666666666666</v>
      </c>
      <c r="N211" s="32">
        <f>IF(Mecze[[#This Row],[OU]]=0,0,Mecze[[#This Row],[OU]]/Mecze[[#This Row],[CZAS]])</f>
        <v>2.0833333333333332E-2</v>
      </c>
      <c r="O211" s="32">
        <f>IF(Mecze[[#This Row],[PC]]=0,0,Mecze[[#This Row],[PC]]/Mecze[[#This Row],[CZAS]])</f>
        <v>0.10416666666666667</v>
      </c>
      <c r="P211" s="32">
        <f>IF(Mecze[[#This Row],[SC]]=0,0,Mecze[[#This Row],[SC]]/Mecze[[#This Row],[CZAS]])</f>
        <v>0</v>
      </c>
      <c r="Q211" s="32">
        <f>IF(Mecze[[#This Row],[OB]]=0,0,Mecze[[#This Row],[OB]]/Mecze[[#This Row],[CZAS]])</f>
        <v>0</v>
      </c>
      <c r="R211" s="32">
        <f>IF(Mecze[[#This Row],[BR]]=0,0,Mecze[[#This Row],[BR]]/Mecze[[#This Row],[CZAS]])</f>
        <v>0</v>
      </c>
      <c r="S211" s="44">
        <f>IF(Mecze[[#This Row],[Role]]="BR",SUMPRODUCT(Mecze[[#This Row],[/PR:90]:[/BR:90]],Brudnopis!$E$23:$J$23),0)</f>
        <v>0</v>
      </c>
      <c r="T211" s="44">
        <f>IF(Mecze[[#This Row],[Role]]&lt;&gt;"BR",SUMPRODUCT(Mecze[[#This Row],[/PR:90]:[/BR:90]],Brudnopis!$E$24:$J$24),0)</f>
        <v>0.30208333333333331</v>
      </c>
      <c r="U211" s="44">
        <f>IF(Mecze[[#This Row],[Role]]&lt;&gt;"BR",SUMPRODUCT(Mecze[[#This Row],[/PR:90]:[/BR:90]],Brudnopis!$E$25:$J$25),0)</f>
        <v>0.34375</v>
      </c>
      <c r="V211" s="44">
        <f>IF(Mecze[[#This Row],[Role]]&lt;&gt;"BR",SUMPRODUCT(Mecze[[#This Row],[/PR:90]:[/BR:90]],Brudnopis!$E$26:$J$26),0)</f>
        <v>0.29166666666666669</v>
      </c>
      <c r="W211" s="44">
        <f>IF(Mecze[[#This Row],[Role]]&lt;&gt;"BR",SUMPRODUCT(Mecze[[#This Row],[/PR:90]:[/BR:90]],Brudnopis!$E$27:$J$27),0)</f>
        <v>0.296875</v>
      </c>
      <c r="X211" s="44">
        <f>IF(Mecze[[#This Row],[Role]]&lt;&gt;"BR",SUMPRODUCT(Mecze[[#This Row],[/PR:90]:[/BR:90]],Brudnopis!$E$28:$J$28),0)</f>
        <v>0.10416666666666667</v>
      </c>
      <c r="Y211" s="35">
        <f>IF(Mecze[[#This Row],[Role]]="BR",Mecze[[#This Row],[/OB:90]]+Mecze[[#This Row],[/PC:90]],SUM(Mecze[[#This Row],[/PR:90]:[/BR:90]]))</f>
        <v>0.29166666666666669</v>
      </c>
      <c r="Z211" s="35">
        <f>IF(Mecze[[#This Row],[KC]]=0,SUM(Mecze[[#This Row],[/BRI]:[/NPI]]),SUM(Mecze[[#This Row],[/BRI]:[/NPI]])*0.6)</f>
        <v>1.3385416666666667</v>
      </c>
      <c r="AA211" s="10">
        <f>IFERROR(Mecze[[#This Row],[BR]]/Mecze[[#This Row],[ST]],0)</f>
        <v>0</v>
      </c>
      <c r="AB211">
        <f>ROUND(Mecze[[#This Row],[PD]]*Mecze[[#This Row],[%PC]],0)</f>
        <v>10</v>
      </c>
      <c r="AC211">
        <f>ROUND(Mecze[[#This Row],[OD]]*Mecze[[#This Row],[%OU]],0)</f>
        <v>2</v>
      </c>
      <c r="AD211" s="36" t="s">
        <v>47</v>
      </c>
      <c r="AE211" s="36">
        <v>13</v>
      </c>
      <c r="AF211" s="71">
        <v>3.94</v>
      </c>
      <c r="AG211" s="37">
        <v>0</v>
      </c>
      <c r="AH211" s="37">
        <v>0</v>
      </c>
      <c r="AI211" s="37">
        <v>96</v>
      </c>
      <c r="AJ211" s="37">
        <v>10</v>
      </c>
      <c r="AK211" s="37" t="str">
        <f>VLOOKUP(Mecze[[#This Row],[Match ID]],Meczusie[Mecz]:Meczusie[RodzajMeczu],2,FALSE)</f>
        <v>Liga</v>
      </c>
    </row>
    <row r="212" spans="1:37" x14ac:dyDescent="0.25">
      <c r="A212" s="76">
        <v>4</v>
      </c>
      <c r="B212" s="3" t="s">
        <v>238</v>
      </c>
      <c r="C212" s="2" t="s">
        <v>157</v>
      </c>
      <c r="D212" s="1">
        <v>0</v>
      </c>
      <c r="E212" s="1">
        <v>0</v>
      </c>
      <c r="F212" s="1">
        <v>0</v>
      </c>
      <c r="G212" s="1">
        <v>6</v>
      </c>
      <c r="H212" s="4">
        <v>0.5</v>
      </c>
      <c r="I212" s="1">
        <v>3</v>
      </c>
      <c r="J212" s="4">
        <v>0.33</v>
      </c>
      <c r="K212" s="1">
        <v>0</v>
      </c>
      <c r="L212" s="1">
        <v>6</v>
      </c>
      <c r="M212" s="32">
        <f>IF(Mecze[[#This Row],[PR]]=0,0,Mecze[[#This Row],[PR]]/Mecze[[#This Row],[CZAS]])</f>
        <v>6.25E-2</v>
      </c>
      <c r="N212" s="32">
        <f>IF(Mecze[[#This Row],[OU]]=0,0,Mecze[[#This Row],[OU]]/Mecze[[#This Row],[CZAS]])</f>
        <v>1.0416666666666666E-2</v>
      </c>
      <c r="O212" s="32">
        <f>IF(Mecze[[#This Row],[PC]]=0,0,Mecze[[#This Row],[PC]]/Mecze[[#This Row],[CZAS]])</f>
        <v>3.125E-2</v>
      </c>
      <c r="P212" s="32">
        <f>IF(Mecze[[#This Row],[SC]]=0,0,Mecze[[#This Row],[SC]]/Mecze[[#This Row],[CZAS]])</f>
        <v>0</v>
      </c>
      <c r="Q212" s="32">
        <f>IF(Mecze[[#This Row],[OB]]=0,0,Mecze[[#This Row],[OB]]/Mecze[[#This Row],[CZAS]])</f>
        <v>0</v>
      </c>
      <c r="R212" s="32">
        <f>IF(Mecze[[#This Row],[BR]]=0,0,Mecze[[#This Row],[BR]]/Mecze[[#This Row],[CZAS]])</f>
        <v>0</v>
      </c>
      <c r="S212" s="44">
        <f>IF(Mecze[[#This Row],[Role]]="BR",SUMPRODUCT(Mecze[[#This Row],[/PR:90]:[/BR:90]],Brudnopis!$E$23:$J$23),0)</f>
        <v>0</v>
      </c>
      <c r="T212" s="44">
        <f>IF(Mecze[[#This Row],[Role]]&lt;&gt;"BR",SUMPRODUCT(Mecze[[#This Row],[/PR:90]:[/BR:90]],Brudnopis!$E$24:$J$24),0)</f>
        <v>0.109375</v>
      </c>
      <c r="U212" s="44">
        <f>IF(Mecze[[#This Row],[Role]]&lt;&gt;"BR",SUMPRODUCT(Mecze[[#This Row],[/PR:90]:[/BR:90]],Brudnopis!$E$25:$J$25),0)</f>
        <v>0.11979166666666667</v>
      </c>
      <c r="V212" s="44">
        <f>IF(Mecze[[#This Row],[Role]]&lt;&gt;"BR",SUMPRODUCT(Mecze[[#This Row],[/PR:90]:[/BR:90]],Brudnopis!$E$26:$J$26),0)</f>
        <v>0.10416666666666667</v>
      </c>
      <c r="W212" s="44">
        <f>IF(Mecze[[#This Row],[Role]]&lt;&gt;"BR",SUMPRODUCT(Mecze[[#This Row],[/PR:90]:[/BR:90]],Brudnopis!$E$27:$J$27),0)</f>
        <v>0.1015625</v>
      </c>
      <c r="X212" s="44">
        <f>IF(Mecze[[#This Row],[Role]]&lt;&gt;"BR",SUMPRODUCT(Mecze[[#This Row],[/PR:90]:[/BR:90]],Brudnopis!$E$28:$J$28),0)</f>
        <v>3.125E-2</v>
      </c>
      <c r="Y212" s="35">
        <f>IF(Mecze[[#This Row],[Role]]="BR",Mecze[[#This Row],[/OB:90]]+Mecze[[#This Row],[/PC:90]],SUM(Mecze[[#This Row],[/PR:90]:[/BR:90]]))</f>
        <v>0.10416666666666667</v>
      </c>
      <c r="Z212" s="35">
        <f>IF(Mecze[[#This Row],[KC]]=0,SUM(Mecze[[#This Row],[/BRI]:[/NPI]]),SUM(Mecze[[#This Row],[/BRI]:[/NPI]])*0.6)</f>
        <v>0.46614583333333337</v>
      </c>
      <c r="AA212" s="10">
        <f>IFERROR(Mecze[[#This Row],[BR]]/Mecze[[#This Row],[ST]],0)</f>
        <v>0</v>
      </c>
      <c r="AB212">
        <f>ROUND(Mecze[[#This Row],[PD]]*Mecze[[#This Row],[%PC]],0)</f>
        <v>3</v>
      </c>
      <c r="AC212">
        <f>ROUND(Mecze[[#This Row],[OD]]*Mecze[[#This Row],[%OU]],0)</f>
        <v>1</v>
      </c>
      <c r="AD212" s="36" t="s">
        <v>47</v>
      </c>
      <c r="AE212" s="36">
        <v>13</v>
      </c>
      <c r="AF212" s="71">
        <v>1.84</v>
      </c>
      <c r="AG212" s="37">
        <v>0</v>
      </c>
      <c r="AH212" s="37">
        <v>0</v>
      </c>
      <c r="AI212" s="37">
        <v>96</v>
      </c>
      <c r="AJ212" s="37">
        <v>10</v>
      </c>
      <c r="AK212" s="37" t="str">
        <f>VLOOKUP(Mecze[[#This Row],[Match ID]],Meczusie[Mecz]:Meczusie[RodzajMeczu],2,FALSE)</f>
        <v>Liga</v>
      </c>
    </row>
    <row r="213" spans="1:37" x14ac:dyDescent="0.25">
      <c r="A213" s="76">
        <v>12</v>
      </c>
      <c r="B213" s="3" t="s">
        <v>239</v>
      </c>
      <c r="C213" s="2" t="s">
        <v>157</v>
      </c>
      <c r="D213" s="1">
        <v>0</v>
      </c>
      <c r="E213" s="1">
        <v>0</v>
      </c>
      <c r="F213" s="1">
        <v>0</v>
      </c>
      <c r="G213" s="1">
        <v>6</v>
      </c>
      <c r="H213" s="4">
        <v>0.67</v>
      </c>
      <c r="I213" s="1">
        <v>1</v>
      </c>
      <c r="J213" s="4">
        <v>1</v>
      </c>
      <c r="K213" s="1">
        <v>0</v>
      </c>
      <c r="L213" s="1">
        <v>5</v>
      </c>
      <c r="M213" s="32">
        <f>IF(Mecze[[#This Row],[PR]]=0,0,Mecze[[#This Row],[PR]]/Mecze[[#This Row],[CZAS]])</f>
        <v>5.2083333333333336E-2</v>
      </c>
      <c r="N213" s="32">
        <f>IF(Mecze[[#This Row],[OU]]=0,0,Mecze[[#This Row],[OU]]/Mecze[[#This Row],[CZAS]])</f>
        <v>1.0416666666666666E-2</v>
      </c>
      <c r="O213" s="32">
        <f>IF(Mecze[[#This Row],[PC]]=0,0,Mecze[[#This Row],[PC]]/Mecze[[#This Row],[CZAS]])</f>
        <v>4.1666666666666664E-2</v>
      </c>
      <c r="P213" s="32">
        <f>IF(Mecze[[#This Row],[SC]]=0,0,Mecze[[#This Row],[SC]]/Mecze[[#This Row],[CZAS]])</f>
        <v>0</v>
      </c>
      <c r="Q213" s="32">
        <f>IF(Mecze[[#This Row],[OB]]=0,0,Mecze[[#This Row],[OB]]/Mecze[[#This Row],[CZAS]])</f>
        <v>0</v>
      </c>
      <c r="R213" s="32">
        <f>IF(Mecze[[#This Row],[BR]]=0,0,Mecze[[#This Row],[BR]]/Mecze[[#This Row],[CZAS]])</f>
        <v>0</v>
      </c>
      <c r="S213" s="44">
        <f>IF(Mecze[[#This Row],[Role]]="BR",SUMPRODUCT(Mecze[[#This Row],[/PR:90]:[/BR:90]],Brudnopis!$E$23:$J$23),0)</f>
        <v>0</v>
      </c>
      <c r="T213" s="44">
        <f>IF(Mecze[[#This Row],[Role]]&lt;&gt;"BR",SUMPRODUCT(Mecze[[#This Row],[/PR:90]:[/BR:90]],Brudnopis!$E$24:$J$24),0)</f>
        <v>0.109375</v>
      </c>
      <c r="U213" s="44">
        <f>IF(Mecze[[#This Row],[Role]]&lt;&gt;"BR",SUMPRODUCT(Mecze[[#This Row],[/PR:90]:[/BR:90]],Brudnopis!$E$25:$J$25),0)</f>
        <v>0.125</v>
      </c>
      <c r="V213" s="44">
        <f>IF(Mecze[[#This Row],[Role]]&lt;&gt;"BR",SUMPRODUCT(Mecze[[#This Row],[/PR:90]:[/BR:90]],Brudnopis!$E$26:$J$26),0)</f>
        <v>0.10416666666666666</v>
      </c>
      <c r="W213" s="44">
        <f>IF(Mecze[[#This Row],[Role]]&lt;&gt;"BR",SUMPRODUCT(Mecze[[#This Row],[/PR:90]:[/BR:90]],Brudnopis!$E$27:$J$27),0)</f>
        <v>0.109375</v>
      </c>
      <c r="X213" s="44">
        <f>IF(Mecze[[#This Row],[Role]]&lt;&gt;"BR",SUMPRODUCT(Mecze[[#This Row],[/PR:90]:[/BR:90]],Brudnopis!$E$28:$J$28),0)</f>
        <v>4.1666666666666664E-2</v>
      </c>
      <c r="Y213" s="35">
        <f>IF(Mecze[[#This Row],[Role]]="BR",Mecze[[#This Row],[/OB:90]]+Mecze[[#This Row],[/PC:90]],SUM(Mecze[[#This Row],[/PR:90]:[/BR:90]]))</f>
        <v>0.10416666666666666</v>
      </c>
      <c r="Z213" s="35">
        <f>IF(Mecze[[#This Row],[KC]]=0,SUM(Mecze[[#This Row],[/BRI]:[/NPI]]),SUM(Mecze[[#This Row],[/BRI]:[/NPI]])*0.6)</f>
        <v>0.48958333333333331</v>
      </c>
      <c r="AA213" s="10">
        <f>IFERROR(Mecze[[#This Row],[BR]]/Mecze[[#This Row],[ST]],0)</f>
        <v>0</v>
      </c>
      <c r="AB213">
        <f>ROUND(Mecze[[#This Row],[PD]]*Mecze[[#This Row],[%PC]],0)</f>
        <v>4</v>
      </c>
      <c r="AC213">
        <f>ROUND(Mecze[[#This Row],[OD]]*Mecze[[#This Row],[%OU]],0)</f>
        <v>1</v>
      </c>
      <c r="AD213" s="36" t="s">
        <v>175</v>
      </c>
      <c r="AE213" s="36">
        <v>13</v>
      </c>
      <c r="AF213" s="71">
        <v>1.63</v>
      </c>
      <c r="AG213" s="37">
        <v>0</v>
      </c>
      <c r="AH213" s="37">
        <v>0</v>
      </c>
      <c r="AI213" s="37">
        <v>96</v>
      </c>
      <c r="AJ213" s="37">
        <v>10</v>
      </c>
      <c r="AK213" s="37" t="str">
        <f>VLOOKUP(Mecze[[#This Row],[Match ID]],Meczusie[Mecz]:Meczusie[RodzajMeczu],2,FALSE)</f>
        <v>Liga</v>
      </c>
    </row>
    <row r="214" spans="1:37" x14ac:dyDescent="0.25">
      <c r="A214" s="76">
        <v>2</v>
      </c>
      <c r="B214" s="3" t="s">
        <v>240</v>
      </c>
      <c r="C214" s="2" t="s">
        <v>157</v>
      </c>
      <c r="D214" s="1">
        <v>0</v>
      </c>
      <c r="E214" s="1">
        <v>0</v>
      </c>
      <c r="F214" s="1">
        <v>0</v>
      </c>
      <c r="G214" s="1">
        <v>2</v>
      </c>
      <c r="H214" s="4">
        <v>0</v>
      </c>
      <c r="I214" s="1">
        <v>4</v>
      </c>
      <c r="J214" s="4">
        <v>0.5</v>
      </c>
      <c r="K214" s="1">
        <v>0</v>
      </c>
      <c r="L214" s="1">
        <v>1</v>
      </c>
      <c r="M214" s="32">
        <f>IF(Mecze[[#This Row],[PR]]=0,0,Mecze[[#This Row],[PR]]/Mecze[[#This Row],[CZAS]])</f>
        <v>1.0416666666666666E-2</v>
      </c>
      <c r="N214" s="32">
        <f>IF(Mecze[[#This Row],[OU]]=0,0,Mecze[[#This Row],[OU]]/Mecze[[#This Row],[CZAS]])</f>
        <v>2.0833333333333332E-2</v>
      </c>
      <c r="O214" s="32">
        <f>IF(Mecze[[#This Row],[PC]]=0,0,Mecze[[#This Row],[PC]]/Mecze[[#This Row],[CZAS]])</f>
        <v>0</v>
      </c>
      <c r="P214" s="32">
        <f>IF(Mecze[[#This Row],[SC]]=0,0,Mecze[[#This Row],[SC]]/Mecze[[#This Row],[CZAS]])</f>
        <v>0</v>
      </c>
      <c r="Q214" s="32">
        <f>IF(Mecze[[#This Row],[OB]]=0,0,Mecze[[#This Row],[OB]]/Mecze[[#This Row],[CZAS]])</f>
        <v>0</v>
      </c>
      <c r="R214" s="32">
        <f>IF(Mecze[[#This Row],[BR]]=0,0,Mecze[[#This Row],[BR]]/Mecze[[#This Row],[CZAS]])</f>
        <v>0</v>
      </c>
      <c r="S214" s="44">
        <f>IF(Mecze[[#This Row],[Role]]="BR",SUMPRODUCT(Mecze[[#This Row],[/PR:90]:[/BR:90]],Brudnopis!$E$23:$J$23),0)</f>
        <v>0</v>
      </c>
      <c r="T214" s="44">
        <f>IF(Mecze[[#This Row],[Role]]&lt;&gt;"BR",SUMPRODUCT(Mecze[[#This Row],[/PR:90]:[/BR:90]],Brudnopis!$E$24:$J$24),0)</f>
        <v>4.1666666666666664E-2</v>
      </c>
      <c r="U214" s="44">
        <f>IF(Mecze[[#This Row],[Role]]&lt;&gt;"BR",SUMPRODUCT(Mecze[[#This Row],[/PR:90]:[/BR:90]],Brudnopis!$E$25:$J$25),0)</f>
        <v>3.125E-2</v>
      </c>
      <c r="V214" s="44">
        <f>IF(Mecze[[#This Row],[Role]]&lt;&gt;"BR",SUMPRODUCT(Mecze[[#This Row],[/PR:90]:[/BR:90]],Brudnopis!$E$26:$J$26),0)</f>
        <v>3.125E-2</v>
      </c>
      <c r="W214" s="44">
        <f>IF(Mecze[[#This Row],[Role]]&lt;&gt;"BR",SUMPRODUCT(Mecze[[#This Row],[/PR:90]:[/BR:90]],Brudnopis!$E$27:$J$27),0)</f>
        <v>2.34375E-2</v>
      </c>
      <c r="X214" s="44">
        <f>IF(Mecze[[#This Row],[Role]]&lt;&gt;"BR",SUMPRODUCT(Mecze[[#This Row],[/PR:90]:[/BR:90]],Brudnopis!$E$28:$J$28),0)</f>
        <v>0</v>
      </c>
      <c r="Y214" s="35">
        <f>IF(Mecze[[#This Row],[Role]]="BR",Mecze[[#This Row],[/OB:90]]+Mecze[[#This Row],[/PC:90]],SUM(Mecze[[#This Row],[/PR:90]:[/BR:90]]))</f>
        <v>3.125E-2</v>
      </c>
      <c r="Z214" s="35">
        <f>IF(Mecze[[#This Row],[KC]]=0,SUM(Mecze[[#This Row],[/BRI]:[/NPI]]),SUM(Mecze[[#This Row],[/BRI]:[/NPI]])*0.6)</f>
        <v>0.12760416666666666</v>
      </c>
      <c r="AA214" s="10">
        <f>IFERROR(Mecze[[#This Row],[BR]]/Mecze[[#This Row],[ST]],0)</f>
        <v>0</v>
      </c>
      <c r="AB214">
        <f>ROUND(Mecze[[#This Row],[PD]]*Mecze[[#This Row],[%PC]],0)</f>
        <v>0</v>
      </c>
      <c r="AC214">
        <f>ROUND(Mecze[[#This Row],[OD]]*Mecze[[#This Row],[%OU]],0)</f>
        <v>2</v>
      </c>
      <c r="AD214" s="36" t="s">
        <v>174</v>
      </c>
      <c r="AE214" s="36">
        <v>13</v>
      </c>
      <c r="AF214" s="71">
        <v>1.91</v>
      </c>
      <c r="AG214" s="37">
        <v>0</v>
      </c>
      <c r="AH214" s="37">
        <v>0</v>
      </c>
      <c r="AI214" s="37">
        <v>96</v>
      </c>
      <c r="AJ214" s="37">
        <v>10</v>
      </c>
      <c r="AK214" s="37" t="str">
        <f>VLOOKUP(Mecze[[#This Row],[Match ID]],Meczusie[Mecz]:Meczusie[RodzajMeczu],2,FALSE)</f>
        <v>Liga</v>
      </c>
    </row>
    <row r="215" spans="1:37" x14ac:dyDescent="0.25">
      <c r="A215" s="76">
        <v>7</v>
      </c>
      <c r="B215" s="3" t="s">
        <v>241</v>
      </c>
      <c r="C215" s="2" t="s">
        <v>160</v>
      </c>
      <c r="D215" s="1">
        <v>0</v>
      </c>
      <c r="E215" s="1">
        <v>0</v>
      </c>
      <c r="F215" s="1">
        <v>0</v>
      </c>
      <c r="G215" s="1">
        <v>7</v>
      </c>
      <c r="H215" s="4">
        <v>0.43</v>
      </c>
      <c r="I215" s="1">
        <v>5</v>
      </c>
      <c r="J215" s="4">
        <v>0.4</v>
      </c>
      <c r="K215" s="1">
        <v>0</v>
      </c>
      <c r="L215" s="1">
        <v>3</v>
      </c>
      <c r="M215" s="32">
        <f>IF(Mecze[[#This Row],[PR]]=0,0,Mecze[[#This Row],[PR]]/Mecze[[#This Row],[CZAS]])</f>
        <v>3.125E-2</v>
      </c>
      <c r="N215" s="32">
        <f>IF(Mecze[[#This Row],[OU]]=0,0,Mecze[[#This Row],[OU]]/Mecze[[#This Row],[CZAS]])</f>
        <v>2.0833333333333332E-2</v>
      </c>
      <c r="O215" s="32">
        <f>IF(Mecze[[#This Row],[PC]]=0,0,Mecze[[#This Row],[PC]]/Mecze[[#This Row],[CZAS]])</f>
        <v>3.125E-2</v>
      </c>
      <c r="P215" s="32">
        <f>IF(Mecze[[#This Row],[SC]]=0,0,Mecze[[#This Row],[SC]]/Mecze[[#This Row],[CZAS]])</f>
        <v>0</v>
      </c>
      <c r="Q215" s="32">
        <f>IF(Mecze[[#This Row],[OB]]=0,0,Mecze[[#This Row],[OB]]/Mecze[[#This Row],[CZAS]])</f>
        <v>0</v>
      </c>
      <c r="R215" s="32">
        <f>IF(Mecze[[#This Row],[BR]]=0,0,Mecze[[#This Row],[BR]]/Mecze[[#This Row],[CZAS]])</f>
        <v>0</v>
      </c>
      <c r="S215" s="44">
        <f>IF(Mecze[[#This Row],[Role]]="BR",SUMPRODUCT(Mecze[[#This Row],[/PR:90]:[/BR:90]],Brudnopis!$E$23:$J$23),0)</f>
        <v>0</v>
      </c>
      <c r="T215" s="44">
        <f>IF(Mecze[[#This Row],[Role]]&lt;&gt;"BR",SUMPRODUCT(Mecze[[#This Row],[/PR:90]:[/BR:90]],Brudnopis!$E$24:$J$24),0)</f>
        <v>9.375E-2</v>
      </c>
      <c r="U215" s="44">
        <f>IF(Mecze[[#This Row],[Role]]&lt;&gt;"BR",SUMPRODUCT(Mecze[[#This Row],[/PR:90]:[/BR:90]],Brudnopis!$E$25:$J$25),0)</f>
        <v>9.8958333333333329E-2</v>
      </c>
      <c r="V215" s="44">
        <f>IF(Mecze[[#This Row],[Role]]&lt;&gt;"BR",SUMPRODUCT(Mecze[[#This Row],[/PR:90]:[/BR:90]],Brudnopis!$E$26:$J$26),0)</f>
        <v>8.3333333333333329E-2</v>
      </c>
      <c r="W215" s="44">
        <f>IF(Mecze[[#This Row],[Role]]&lt;&gt;"BR",SUMPRODUCT(Mecze[[#This Row],[/PR:90]:[/BR:90]],Brudnopis!$E$27:$J$27),0)</f>
        <v>8.59375E-2</v>
      </c>
      <c r="X215" s="44">
        <f>IF(Mecze[[#This Row],[Role]]&lt;&gt;"BR",SUMPRODUCT(Mecze[[#This Row],[/PR:90]:[/BR:90]],Brudnopis!$E$28:$J$28),0)</f>
        <v>3.125E-2</v>
      </c>
      <c r="Y215" s="35">
        <f>IF(Mecze[[#This Row],[Role]]="BR",Mecze[[#This Row],[/OB:90]]+Mecze[[#This Row],[/PC:90]],SUM(Mecze[[#This Row],[/PR:90]:[/BR:90]]))</f>
        <v>8.3333333333333329E-2</v>
      </c>
      <c r="Z215" s="35">
        <f>IF(Mecze[[#This Row],[KC]]=0,SUM(Mecze[[#This Row],[/BRI]:[/NPI]]),SUM(Mecze[[#This Row],[/BRI]:[/NPI]])*0.6)</f>
        <v>0.39322916666666663</v>
      </c>
      <c r="AA215" s="10">
        <f>IFERROR(Mecze[[#This Row],[BR]]/Mecze[[#This Row],[ST]],0)</f>
        <v>0</v>
      </c>
      <c r="AB215">
        <f>ROUND(Mecze[[#This Row],[PD]]*Mecze[[#This Row],[%PC]],0)</f>
        <v>3</v>
      </c>
      <c r="AC215">
        <f>ROUND(Mecze[[#This Row],[OD]]*Mecze[[#This Row],[%OU]],0)</f>
        <v>2</v>
      </c>
      <c r="AD215" s="36" t="s">
        <v>41</v>
      </c>
      <c r="AE215" s="36">
        <v>13</v>
      </c>
      <c r="AF215" s="71">
        <v>3.33</v>
      </c>
      <c r="AG215" s="37">
        <v>0</v>
      </c>
      <c r="AH215" s="37">
        <v>0</v>
      </c>
      <c r="AI215" s="37">
        <v>96</v>
      </c>
      <c r="AJ215" s="37">
        <v>10</v>
      </c>
      <c r="AK215" s="37" t="str">
        <f>VLOOKUP(Mecze[[#This Row],[Match ID]],Meczusie[Mecz]:Meczusie[RodzajMeczu],2,FALSE)</f>
        <v>Liga</v>
      </c>
    </row>
    <row r="216" spans="1:37" x14ac:dyDescent="0.25">
      <c r="A216" s="76">
        <v>5</v>
      </c>
      <c r="B216" s="3" t="s">
        <v>242</v>
      </c>
      <c r="C216" s="2" t="s">
        <v>160</v>
      </c>
      <c r="D216" s="1">
        <v>0</v>
      </c>
      <c r="E216" s="1">
        <v>0</v>
      </c>
      <c r="F216" s="1">
        <v>0</v>
      </c>
      <c r="G216" s="1">
        <v>11</v>
      </c>
      <c r="H216" s="4">
        <v>0.64</v>
      </c>
      <c r="I216" s="1">
        <v>8</v>
      </c>
      <c r="J216" s="4">
        <v>0.5</v>
      </c>
      <c r="K216" s="1">
        <v>0</v>
      </c>
      <c r="L216" s="1">
        <v>3</v>
      </c>
      <c r="M216" s="32">
        <f>IF(Mecze[[#This Row],[PR]]=0,0,Mecze[[#This Row],[PR]]/Mecze[[#This Row],[CZAS]])</f>
        <v>3.125E-2</v>
      </c>
      <c r="N216" s="32">
        <f>IF(Mecze[[#This Row],[OU]]=0,0,Mecze[[#This Row],[OU]]/Mecze[[#This Row],[CZAS]])</f>
        <v>4.1666666666666664E-2</v>
      </c>
      <c r="O216" s="32">
        <f>IF(Mecze[[#This Row],[PC]]=0,0,Mecze[[#This Row],[PC]]/Mecze[[#This Row],[CZAS]])</f>
        <v>7.2916666666666671E-2</v>
      </c>
      <c r="P216" s="32">
        <f>IF(Mecze[[#This Row],[SC]]=0,0,Mecze[[#This Row],[SC]]/Mecze[[#This Row],[CZAS]])</f>
        <v>0</v>
      </c>
      <c r="Q216" s="32">
        <f>IF(Mecze[[#This Row],[OB]]=0,0,Mecze[[#This Row],[OB]]/Mecze[[#This Row],[CZAS]])</f>
        <v>0</v>
      </c>
      <c r="R216" s="32">
        <f>IF(Mecze[[#This Row],[BR]]=0,0,Mecze[[#This Row],[BR]]/Mecze[[#This Row],[CZAS]])</f>
        <v>0</v>
      </c>
      <c r="S216" s="44">
        <f>IF(Mecze[[#This Row],[Role]]="BR",SUMPRODUCT(Mecze[[#This Row],[/PR:90]:[/BR:90]],Brudnopis!$E$23:$J$23),0)</f>
        <v>0</v>
      </c>
      <c r="T216" s="44">
        <f>IF(Mecze[[#This Row],[Role]]&lt;&gt;"BR",SUMPRODUCT(Mecze[[#This Row],[/PR:90]:[/BR:90]],Brudnopis!$E$24:$J$24),0)</f>
        <v>0.16666666666666669</v>
      </c>
      <c r="U216" s="44">
        <f>IF(Mecze[[#This Row],[Role]]&lt;&gt;"BR",SUMPRODUCT(Mecze[[#This Row],[/PR:90]:[/BR:90]],Brudnopis!$E$25:$J$25),0)</f>
        <v>0.18229166666666666</v>
      </c>
      <c r="V216" s="44">
        <f>IF(Mecze[[#This Row],[Role]]&lt;&gt;"BR",SUMPRODUCT(Mecze[[#This Row],[/PR:90]:[/BR:90]],Brudnopis!$E$26:$J$26),0)</f>
        <v>0.14583333333333331</v>
      </c>
      <c r="W216" s="44">
        <f>IF(Mecze[[#This Row],[Role]]&lt;&gt;"BR",SUMPRODUCT(Mecze[[#This Row],[/PR:90]:[/BR:90]],Brudnopis!$E$27:$J$27),0)</f>
        <v>0.1640625</v>
      </c>
      <c r="X216" s="44">
        <f>IF(Mecze[[#This Row],[Role]]&lt;&gt;"BR",SUMPRODUCT(Mecze[[#This Row],[/PR:90]:[/BR:90]],Brudnopis!$E$28:$J$28),0)</f>
        <v>7.2916666666666671E-2</v>
      </c>
      <c r="Y216" s="35">
        <f>IF(Mecze[[#This Row],[Role]]="BR",Mecze[[#This Row],[/OB:90]]+Mecze[[#This Row],[/PC:90]],SUM(Mecze[[#This Row],[/PR:90]:[/BR:90]]))</f>
        <v>0.14583333333333331</v>
      </c>
      <c r="Z216" s="35">
        <f>IF(Mecze[[#This Row],[KC]]=0,SUM(Mecze[[#This Row],[/BRI]:[/NPI]]),SUM(Mecze[[#This Row],[/BRI]:[/NPI]])*0.6)</f>
        <v>0.73177083333333337</v>
      </c>
      <c r="AA216" s="10">
        <f>IFERROR(Mecze[[#This Row],[BR]]/Mecze[[#This Row],[ST]],0)</f>
        <v>0</v>
      </c>
      <c r="AB216">
        <f>ROUND(Mecze[[#This Row],[PD]]*Mecze[[#This Row],[%PC]],0)</f>
        <v>7</v>
      </c>
      <c r="AC216">
        <f>ROUND(Mecze[[#This Row],[OD]]*Mecze[[#This Row],[%OU]],0)</f>
        <v>4</v>
      </c>
      <c r="AD216" s="36" t="s">
        <v>41</v>
      </c>
      <c r="AE216" s="36">
        <v>13</v>
      </c>
      <c r="AF216" s="71">
        <v>4.54</v>
      </c>
      <c r="AG216" s="37">
        <v>0</v>
      </c>
      <c r="AH216" s="37">
        <v>0</v>
      </c>
      <c r="AI216" s="37">
        <v>96</v>
      </c>
      <c r="AJ216" s="37">
        <v>10</v>
      </c>
      <c r="AK216" s="37" t="str">
        <f>VLOOKUP(Mecze[[#This Row],[Match ID]],Meczusie[Mecz]:Meczusie[RodzajMeczu],2,FALSE)</f>
        <v>Liga</v>
      </c>
    </row>
    <row r="217" spans="1:37" x14ac:dyDescent="0.25">
      <c r="A217" s="76">
        <v>11</v>
      </c>
      <c r="B217" s="3" t="s">
        <v>243</v>
      </c>
      <c r="C217" s="2" t="s">
        <v>160</v>
      </c>
      <c r="D217" s="1">
        <v>0</v>
      </c>
      <c r="E217" s="1">
        <v>0</v>
      </c>
      <c r="F217" s="1">
        <v>0</v>
      </c>
      <c r="G217" s="1">
        <v>16</v>
      </c>
      <c r="H217" s="4">
        <v>0.56000000000000005</v>
      </c>
      <c r="I217" s="1">
        <v>11</v>
      </c>
      <c r="J217" s="4">
        <v>0.55000000000000004</v>
      </c>
      <c r="K217" s="1">
        <v>0</v>
      </c>
      <c r="L217" s="1">
        <v>6</v>
      </c>
      <c r="M217" s="32">
        <f>IF(Mecze[[#This Row],[PR]]=0,0,Mecze[[#This Row],[PR]]/Mecze[[#This Row],[CZAS]])</f>
        <v>6.25E-2</v>
      </c>
      <c r="N217" s="32">
        <f>IF(Mecze[[#This Row],[OU]]=0,0,Mecze[[#This Row],[OU]]/Mecze[[#This Row],[CZAS]])</f>
        <v>6.25E-2</v>
      </c>
      <c r="O217" s="32">
        <f>IF(Mecze[[#This Row],[PC]]=0,0,Mecze[[#This Row],[PC]]/Mecze[[#This Row],[CZAS]])</f>
        <v>9.375E-2</v>
      </c>
      <c r="P217" s="32">
        <f>IF(Mecze[[#This Row],[SC]]=0,0,Mecze[[#This Row],[SC]]/Mecze[[#This Row],[CZAS]])</f>
        <v>0</v>
      </c>
      <c r="Q217" s="32">
        <f>IF(Mecze[[#This Row],[OB]]=0,0,Mecze[[#This Row],[OB]]/Mecze[[#This Row],[CZAS]])</f>
        <v>0</v>
      </c>
      <c r="R217" s="32">
        <f>IF(Mecze[[#This Row],[BR]]=0,0,Mecze[[#This Row],[BR]]/Mecze[[#This Row],[CZAS]])</f>
        <v>0</v>
      </c>
      <c r="S217" s="44">
        <f>IF(Mecze[[#This Row],[Role]]="BR",SUMPRODUCT(Mecze[[#This Row],[/PR:90]:[/BR:90]],Brudnopis!$E$23:$J$23),0)</f>
        <v>0</v>
      </c>
      <c r="T217" s="44">
        <f>IF(Mecze[[#This Row],[Role]]&lt;&gt;"BR",SUMPRODUCT(Mecze[[#This Row],[/PR:90]:[/BR:90]],Brudnopis!$E$24:$J$24),0)</f>
        <v>0.25</v>
      </c>
      <c r="U217" s="44">
        <f>IF(Mecze[[#This Row],[Role]]&lt;&gt;"BR",SUMPRODUCT(Mecze[[#This Row],[/PR:90]:[/BR:90]],Brudnopis!$E$25:$J$25),0)</f>
        <v>0.265625</v>
      </c>
      <c r="V217" s="44">
        <f>IF(Mecze[[#This Row],[Role]]&lt;&gt;"BR",SUMPRODUCT(Mecze[[#This Row],[/PR:90]:[/BR:90]],Brudnopis!$E$26:$J$26),0)</f>
        <v>0.21875</v>
      </c>
      <c r="W217" s="44">
        <f>IF(Mecze[[#This Row],[Role]]&lt;&gt;"BR",SUMPRODUCT(Mecze[[#This Row],[/PR:90]:[/BR:90]],Brudnopis!$E$27:$J$27),0)</f>
        <v>0.234375</v>
      </c>
      <c r="X217" s="44">
        <f>IF(Mecze[[#This Row],[Role]]&lt;&gt;"BR",SUMPRODUCT(Mecze[[#This Row],[/PR:90]:[/BR:90]],Brudnopis!$E$28:$J$28),0)</f>
        <v>9.375E-2</v>
      </c>
      <c r="Y217" s="35">
        <f>IF(Mecze[[#This Row],[Role]]="BR",Mecze[[#This Row],[/OB:90]]+Mecze[[#This Row],[/PC:90]],SUM(Mecze[[#This Row],[/PR:90]:[/BR:90]]))</f>
        <v>0.21875</v>
      </c>
      <c r="Z217" s="35">
        <f>IF(Mecze[[#This Row],[KC]]=0,SUM(Mecze[[#This Row],[/BRI]:[/NPI]]),SUM(Mecze[[#This Row],[/BRI]:[/NPI]])*0.6)</f>
        <v>1.0625</v>
      </c>
      <c r="AA217" s="10">
        <f>IFERROR(Mecze[[#This Row],[BR]]/Mecze[[#This Row],[ST]],0)</f>
        <v>0</v>
      </c>
      <c r="AB217">
        <f>ROUND(Mecze[[#This Row],[PD]]*Mecze[[#This Row],[%PC]],0)</f>
        <v>9</v>
      </c>
      <c r="AC217">
        <f>ROUND(Mecze[[#This Row],[OD]]*Mecze[[#This Row],[%OU]],0)</f>
        <v>6</v>
      </c>
      <c r="AD217" s="36" t="s">
        <v>67</v>
      </c>
      <c r="AE217" s="36">
        <v>13</v>
      </c>
      <c r="AF217" s="71">
        <v>5.17</v>
      </c>
      <c r="AG217" s="37">
        <v>0</v>
      </c>
      <c r="AH217" s="37">
        <v>0</v>
      </c>
      <c r="AI217" s="37">
        <v>96</v>
      </c>
      <c r="AJ217" s="37">
        <v>10</v>
      </c>
      <c r="AK217" s="37" t="str">
        <f>VLOOKUP(Mecze[[#This Row],[Match ID]],Meczusie[Mecz]:Meczusie[RodzajMeczu],2,FALSE)</f>
        <v>Liga</v>
      </c>
    </row>
    <row r="218" spans="1:37" x14ac:dyDescent="0.25">
      <c r="A218" s="76">
        <v>14</v>
      </c>
      <c r="B218" s="3" t="s">
        <v>244</v>
      </c>
      <c r="C218" s="2" t="s">
        <v>165</v>
      </c>
      <c r="D218" s="1">
        <v>0</v>
      </c>
      <c r="E218" s="1">
        <v>1</v>
      </c>
      <c r="F218" s="1">
        <v>1</v>
      </c>
      <c r="G218" s="1">
        <v>7</v>
      </c>
      <c r="H218" s="4">
        <v>0.43</v>
      </c>
      <c r="I218" s="1">
        <v>2</v>
      </c>
      <c r="J218" s="4">
        <v>0.5</v>
      </c>
      <c r="K218" s="1">
        <v>0</v>
      </c>
      <c r="L218" s="1">
        <v>0</v>
      </c>
      <c r="M218" s="32">
        <f>IF(Mecze[[#This Row],[PR]]=0,0,Mecze[[#This Row],[PR]]/Mecze[[#This Row],[CZAS]])</f>
        <v>0</v>
      </c>
      <c r="N218" s="32">
        <f>IF(Mecze[[#This Row],[OU]]=0,0,Mecze[[#This Row],[OU]]/Mecze[[#This Row],[CZAS]])</f>
        <v>1.0416666666666666E-2</v>
      </c>
      <c r="O218" s="32">
        <f>IF(Mecze[[#This Row],[PC]]=0,0,Mecze[[#This Row],[PC]]/Mecze[[#This Row],[CZAS]])</f>
        <v>3.125E-2</v>
      </c>
      <c r="P218" s="32">
        <f>IF(Mecze[[#This Row],[SC]]=0,0,Mecze[[#This Row],[SC]]/Mecze[[#This Row],[CZAS]])</f>
        <v>1.0416666666666666E-2</v>
      </c>
      <c r="Q218" s="32">
        <f>IF(Mecze[[#This Row],[OB]]=0,0,Mecze[[#This Row],[OB]]/Mecze[[#This Row],[CZAS]])</f>
        <v>0</v>
      </c>
      <c r="R218" s="32">
        <f>IF(Mecze[[#This Row],[BR]]=0,0,Mecze[[#This Row],[BR]]/Mecze[[#This Row],[CZAS]])</f>
        <v>0</v>
      </c>
      <c r="S218" s="44">
        <f>IF(Mecze[[#This Row],[Role]]="BR",SUMPRODUCT(Mecze[[#This Row],[/PR:90]:[/BR:90]],Brudnopis!$E$23:$J$23),0)</f>
        <v>0</v>
      </c>
      <c r="T218" s="44">
        <f>IF(Mecze[[#This Row],[Role]]&lt;&gt;"BR",SUMPRODUCT(Mecze[[#This Row],[/PR:90]:[/BR:90]],Brudnopis!$E$24:$J$24),0)</f>
        <v>5.7291666666666664E-2</v>
      </c>
      <c r="U218" s="44">
        <f>IF(Mecze[[#This Row],[Role]]&lt;&gt;"BR",SUMPRODUCT(Mecze[[#This Row],[/PR:90]:[/BR:90]],Brudnopis!$E$25:$J$25),0)</f>
        <v>6.7708333333333329E-2</v>
      </c>
      <c r="V218" s="44">
        <f>IF(Mecze[[#This Row],[Role]]&lt;&gt;"BR",SUMPRODUCT(Mecze[[#This Row],[/PR:90]:[/BR:90]],Brudnopis!$E$26:$J$26),0)</f>
        <v>5.2083333333333329E-2</v>
      </c>
      <c r="W218" s="44">
        <f>IF(Mecze[[#This Row],[Role]]&lt;&gt;"BR",SUMPRODUCT(Mecze[[#This Row],[/PR:90]:[/BR:90]],Brudnopis!$E$27:$J$27),0)</f>
        <v>6.5104166666666671E-2</v>
      </c>
      <c r="X218" s="44">
        <f>IF(Mecze[[#This Row],[Role]]&lt;&gt;"BR",SUMPRODUCT(Mecze[[#This Row],[/PR:90]:[/BR:90]],Brudnopis!$E$28:$J$28),0)</f>
        <v>5.2083333333333329E-2</v>
      </c>
      <c r="Y218" s="35">
        <f>IF(Mecze[[#This Row],[Role]]="BR",Mecze[[#This Row],[/OB:90]]+Mecze[[#This Row],[/PC:90]],SUM(Mecze[[#This Row],[/PR:90]:[/BR:90]]))</f>
        <v>5.2083333333333329E-2</v>
      </c>
      <c r="Z218" s="35">
        <f>IF(Mecze[[#This Row],[KC]]=0,SUM(Mecze[[#This Row],[/BRI]:[/NPI]]),SUM(Mecze[[#This Row],[/BRI]:[/NPI]])*0.6)</f>
        <v>0.29427083333333331</v>
      </c>
      <c r="AA218" s="10">
        <f>IFERROR(Mecze[[#This Row],[BR]]/Mecze[[#This Row],[ST]],0)</f>
        <v>0</v>
      </c>
      <c r="AB218">
        <f>ROUND(Mecze[[#This Row],[PD]]*Mecze[[#This Row],[%PC]],0)</f>
        <v>3</v>
      </c>
      <c r="AC218">
        <f>ROUND(Mecze[[#This Row],[OD]]*Mecze[[#This Row],[%OU]],0)</f>
        <v>1</v>
      </c>
      <c r="AD218" s="36" t="s">
        <v>46</v>
      </c>
      <c r="AE218" s="36">
        <v>13</v>
      </c>
      <c r="AF218" s="71">
        <v>1.82</v>
      </c>
      <c r="AG218" s="37">
        <v>1</v>
      </c>
      <c r="AH218" s="37">
        <v>0</v>
      </c>
      <c r="AI218" s="37">
        <v>96</v>
      </c>
      <c r="AJ218" s="37">
        <v>10</v>
      </c>
      <c r="AK218" s="37" t="str">
        <f>VLOOKUP(Mecze[[#This Row],[Match ID]],Meczusie[Mecz]:Meczusie[RodzajMeczu],2,FALSE)</f>
        <v>Liga</v>
      </c>
    </row>
    <row r="219" spans="1:37" x14ac:dyDescent="0.25">
      <c r="A219" s="76">
        <v>8</v>
      </c>
      <c r="B219" s="3" t="s">
        <v>245</v>
      </c>
      <c r="C219" s="2" t="s">
        <v>165</v>
      </c>
      <c r="D219" s="1">
        <v>1</v>
      </c>
      <c r="E219" s="1">
        <v>3</v>
      </c>
      <c r="F219" s="1">
        <v>2</v>
      </c>
      <c r="G219" s="1">
        <v>6</v>
      </c>
      <c r="H219" s="4">
        <v>0.5</v>
      </c>
      <c r="I219" s="1">
        <v>1</v>
      </c>
      <c r="J219" s="4">
        <v>1</v>
      </c>
      <c r="K219" s="1">
        <v>0</v>
      </c>
      <c r="L219" s="1">
        <v>0</v>
      </c>
      <c r="M219" s="32">
        <f>IF(Mecze[[#This Row],[PR]]=0,0,Mecze[[#This Row],[PR]]/Mecze[[#This Row],[CZAS]])</f>
        <v>0</v>
      </c>
      <c r="N219" s="32">
        <f>IF(Mecze[[#This Row],[OU]]=0,0,Mecze[[#This Row],[OU]]/Mecze[[#This Row],[CZAS]])</f>
        <v>1.0416666666666666E-2</v>
      </c>
      <c r="O219" s="32">
        <f>IF(Mecze[[#This Row],[PC]]=0,0,Mecze[[#This Row],[PC]]/Mecze[[#This Row],[CZAS]])</f>
        <v>3.125E-2</v>
      </c>
      <c r="P219" s="32">
        <f>IF(Mecze[[#This Row],[SC]]=0,0,Mecze[[#This Row],[SC]]/Mecze[[#This Row],[CZAS]])</f>
        <v>2.0833333333333332E-2</v>
      </c>
      <c r="Q219" s="32">
        <f>IF(Mecze[[#This Row],[OB]]=0,0,Mecze[[#This Row],[OB]]/Mecze[[#This Row],[CZAS]])</f>
        <v>0</v>
      </c>
      <c r="R219" s="32">
        <f>IF(Mecze[[#This Row],[BR]]=0,0,Mecze[[#This Row],[BR]]/Mecze[[#This Row],[CZAS]])</f>
        <v>1.0416666666666666E-2</v>
      </c>
      <c r="S219" s="44">
        <f>IF(Mecze[[#This Row],[Role]]="BR",SUMPRODUCT(Mecze[[#This Row],[/PR:90]:[/BR:90]],Brudnopis!$E$23:$J$23),0)</f>
        <v>0</v>
      </c>
      <c r="T219" s="44">
        <f>IF(Mecze[[#This Row],[Role]]&lt;&gt;"BR",SUMPRODUCT(Mecze[[#This Row],[/PR:90]:[/BR:90]],Brudnopis!$E$24:$J$24),0)</f>
        <v>8.3333333333333329E-2</v>
      </c>
      <c r="U219" s="44">
        <f>IF(Mecze[[#This Row],[Role]]&lt;&gt;"BR",SUMPRODUCT(Mecze[[#This Row],[/PR:90]:[/BR:90]],Brudnopis!$E$25:$J$25),0)</f>
        <v>9.375E-2</v>
      </c>
      <c r="V219" s="44">
        <f>IF(Mecze[[#This Row],[Role]]&lt;&gt;"BR",SUMPRODUCT(Mecze[[#This Row],[/PR:90]:[/BR:90]],Brudnopis!$E$26:$J$26),0)</f>
        <v>8.3333333333333329E-2</v>
      </c>
      <c r="W219" s="44">
        <f>IF(Mecze[[#This Row],[Role]]&lt;&gt;"BR",SUMPRODUCT(Mecze[[#This Row],[/PR:90]:[/BR:90]],Brudnopis!$E$27:$J$27),0)</f>
        <v>9.6354166666666657E-2</v>
      </c>
      <c r="X219" s="44">
        <f>IF(Mecze[[#This Row],[Role]]&lt;&gt;"BR",SUMPRODUCT(Mecze[[#This Row],[/PR:90]:[/BR:90]],Brudnopis!$E$28:$J$28),0)</f>
        <v>0.10416666666666666</v>
      </c>
      <c r="Y219" s="35">
        <f>IF(Mecze[[#This Row],[Role]]="BR",Mecze[[#This Row],[/OB:90]]+Mecze[[#This Row],[/PC:90]],SUM(Mecze[[#This Row],[/PR:90]:[/BR:90]]))</f>
        <v>7.2916666666666671E-2</v>
      </c>
      <c r="Z219" s="35">
        <f>IF(Mecze[[#This Row],[KC]]=0,SUM(Mecze[[#This Row],[/BRI]:[/NPI]]),SUM(Mecze[[#This Row],[/BRI]:[/NPI]])*0.6)</f>
        <v>0.46093749999999989</v>
      </c>
      <c r="AA219" s="10">
        <f>IFERROR(Mecze[[#This Row],[BR]]/Mecze[[#This Row],[ST]],0)</f>
        <v>0.33333333333333331</v>
      </c>
      <c r="AB219">
        <f>ROUND(Mecze[[#This Row],[PD]]*Mecze[[#This Row],[%PC]],0)</f>
        <v>3</v>
      </c>
      <c r="AC219">
        <f>ROUND(Mecze[[#This Row],[OD]]*Mecze[[#This Row],[%OU]],0)</f>
        <v>1</v>
      </c>
      <c r="AD219" s="36" t="s">
        <v>46</v>
      </c>
      <c r="AE219" s="36">
        <v>13</v>
      </c>
      <c r="AF219" s="71">
        <v>5.67</v>
      </c>
      <c r="AG219" s="37">
        <v>1</v>
      </c>
      <c r="AH219" s="37">
        <v>0</v>
      </c>
      <c r="AI219" s="37">
        <v>96</v>
      </c>
      <c r="AJ219" s="37">
        <v>10</v>
      </c>
      <c r="AK219" s="37" t="str">
        <f>VLOOKUP(Mecze[[#This Row],[Match ID]],Meczusie[Mecz]:Meczusie[RodzajMeczu],2,FALSE)</f>
        <v>Liga</v>
      </c>
    </row>
    <row r="220" spans="1:37" x14ac:dyDescent="0.25">
      <c r="A220" s="76">
        <v>10</v>
      </c>
      <c r="B220" s="3" t="s">
        <v>246</v>
      </c>
      <c r="C220" s="2" t="s">
        <v>165</v>
      </c>
      <c r="D220" s="1">
        <v>0</v>
      </c>
      <c r="E220" s="1">
        <v>2</v>
      </c>
      <c r="F220" s="1">
        <v>2</v>
      </c>
      <c r="G220" s="1">
        <v>12</v>
      </c>
      <c r="H220" s="4">
        <v>0.42</v>
      </c>
      <c r="I220" s="1">
        <v>10</v>
      </c>
      <c r="J220" s="4">
        <v>0.5</v>
      </c>
      <c r="K220" s="1">
        <v>0</v>
      </c>
      <c r="L220" s="1">
        <v>1</v>
      </c>
      <c r="M220" s="32">
        <f>IF(Mecze[[#This Row],[PR]]=0,0,Mecze[[#This Row],[PR]]/Mecze[[#This Row],[CZAS]])</f>
        <v>1.0416666666666666E-2</v>
      </c>
      <c r="N220" s="32">
        <f>IF(Mecze[[#This Row],[OU]]=0,0,Mecze[[#This Row],[OU]]/Mecze[[#This Row],[CZAS]])</f>
        <v>5.2083333333333336E-2</v>
      </c>
      <c r="O220" s="32">
        <f>IF(Mecze[[#This Row],[PC]]=0,0,Mecze[[#This Row],[PC]]/Mecze[[#This Row],[CZAS]])</f>
        <v>5.2083333333333336E-2</v>
      </c>
      <c r="P220" s="32">
        <f>IF(Mecze[[#This Row],[SC]]=0,0,Mecze[[#This Row],[SC]]/Mecze[[#This Row],[CZAS]])</f>
        <v>2.0833333333333332E-2</v>
      </c>
      <c r="Q220" s="32">
        <f>IF(Mecze[[#This Row],[OB]]=0,0,Mecze[[#This Row],[OB]]/Mecze[[#This Row],[CZAS]])</f>
        <v>0</v>
      </c>
      <c r="R220" s="32">
        <f>IF(Mecze[[#This Row],[BR]]=0,0,Mecze[[#This Row],[BR]]/Mecze[[#This Row],[CZAS]])</f>
        <v>0</v>
      </c>
      <c r="S220" s="44">
        <f>IF(Mecze[[#This Row],[Role]]="BR",SUMPRODUCT(Mecze[[#This Row],[/PR:90]:[/BR:90]],Brudnopis!$E$23:$J$23),0)</f>
        <v>0</v>
      </c>
      <c r="T220" s="44">
        <f>IF(Mecze[[#This Row],[Role]]&lt;&gt;"BR",SUMPRODUCT(Mecze[[#This Row],[/PR:90]:[/BR:90]],Brudnopis!$E$24:$J$24),0)</f>
        <v>0.16145833333333334</v>
      </c>
      <c r="U220" s="44">
        <f>IF(Mecze[[#This Row],[Role]]&lt;&gt;"BR",SUMPRODUCT(Mecze[[#This Row],[/PR:90]:[/BR:90]],Brudnopis!$E$25:$J$25),0)</f>
        <v>0.16145833333333334</v>
      </c>
      <c r="V220" s="44">
        <f>IF(Mecze[[#This Row],[Role]]&lt;&gt;"BR",SUMPRODUCT(Mecze[[#This Row],[/PR:90]:[/BR:90]],Brudnopis!$E$26:$J$26),0)</f>
        <v>0.13541666666666669</v>
      </c>
      <c r="W220" s="44">
        <f>IF(Mecze[[#This Row],[Role]]&lt;&gt;"BR",SUMPRODUCT(Mecze[[#This Row],[/PR:90]:[/BR:90]],Brudnopis!$E$27:$J$27),0)</f>
        <v>0.14583333333333334</v>
      </c>
      <c r="X220" s="44">
        <f>IF(Mecze[[#This Row],[Role]]&lt;&gt;"BR",SUMPRODUCT(Mecze[[#This Row],[/PR:90]:[/BR:90]],Brudnopis!$E$28:$J$28),0)</f>
        <v>9.375E-2</v>
      </c>
      <c r="Y220" s="35">
        <f>IF(Mecze[[#This Row],[Role]]="BR",Mecze[[#This Row],[/OB:90]]+Mecze[[#This Row],[/PC:90]],SUM(Mecze[[#This Row],[/PR:90]:[/BR:90]]))</f>
        <v>0.13541666666666669</v>
      </c>
      <c r="Z220" s="35">
        <f>IF(Mecze[[#This Row],[KC]]=0,SUM(Mecze[[#This Row],[/BRI]:[/NPI]]),SUM(Mecze[[#This Row],[/BRI]:[/NPI]])*0.6)</f>
        <v>0.69791666666666674</v>
      </c>
      <c r="AA220" s="10">
        <f>IFERROR(Mecze[[#This Row],[BR]]/Mecze[[#This Row],[ST]],0)</f>
        <v>0</v>
      </c>
      <c r="AB220">
        <f>ROUND(Mecze[[#This Row],[PD]]*Mecze[[#This Row],[%PC]],0)</f>
        <v>5</v>
      </c>
      <c r="AC220">
        <f>ROUND(Mecze[[#This Row],[OD]]*Mecze[[#This Row],[%OU]],0)</f>
        <v>5</v>
      </c>
      <c r="AD220" s="36" t="s">
        <v>46</v>
      </c>
      <c r="AE220" s="36">
        <v>13</v>
      </c>
      <c r="AF220" s="71">
        <v>3.15</v>
      </c>
      <c r="AG220" s="37">
        <v>0</v>
      </c>
      <c r="AH220" s="37">
        <v>0</v>
      </c>
      <c r="AI220" s="37">
        <v>96</v>
      </c>
      <c r="AJ220" s="37">
        <v>10</v>
      </c>
      <c r="AK220" s="37" t="str">
        <f>VLOOKUP(Mecze[[#This Row],[Match ID]],Meczusie[Mecz]:Meczusie[RodzajMeczu],2,FALSE)</f>
        <v>Liga</v>
      </c>
    </row>
    <row r="221" spans="1:37" x14ac:dyDescent="0.25">
      <c r="A221" s="76">
        <v>1</v>
      </c>
      <c r="B221" s="3" t="s">
        <v>169</v>
      </c>
      <c r="C221" s="2" t="s">
        <v>155</v>
      </c>
      <c r="D221" s="1">
        <v>0</v>
      </c>
      <c r="E221" s="1">
        <v>0</v>
      </c>
      <c r="F221" s="1">
        <v>0</v>
      </c>
      <c r="G221" s="1">
        <v>19</v>
      </c>
      <c r="H221" s="4">
        <v>0.74</v>
      </c>
      <c r="I221" s="1">
        <v>0</v>
      </c>
      <c r="J221" s="4"/>
      <c r="K221" s="1">
        <v>25</v>
      </c>
      <c r="L221" s="1">
        <v>0</v>
      </c>
      <c r="M221" s="32">
        <f>IF(Mecze[[#This Row],[PR]]=0,0,Mecze[[#This Row],[PR]]/Mecze[[#This Row],[CZAS]])</f>
        <v>0</v>
      </c>
      <c r="N221" s="32">
        <f>IF(Mecze[[#This Row],[OU]]=0,0,Mecze[[#This Row],[OU]]/Mecze[[#This Row],[CZAS]])</f>
        <v>0</v>
      </c>
      <c r="O221" s="32">
        <f>IF(Mecze[[#This Row],[PC]]=0,0,Mecze[[#This Row],[PC]]/Mecze[[#This Row],[CZAS]])</f>
        <v>0.14432989690721648</v>
      </c>
      <c r="P221" s="32">
        <f>IF(Mecze[[#This Row],[SC]]=0,0,Mecze[[#This Row],[SC]]/Mecze[[#This Row],[CZAS]])</f>
        <v>0</v>
      </c>
      <c r="Q221" s="32">
        <f>IF(Mecze[[#This Row],[OB]]=0,0,Mecze[[#This Row],[OB]]/Mecze[[#This Row],[CZAS]])</f>
        <v>0.25773195876288657</v>
      </c>
      <c r="R221" s="32">
        <f>IF(Mecze[[#This Row],[BR]]=0,0,Mecze[[#This Row],[BR]]/Mecze[[#This Row],[CZAS]])</f>
        <v>0</v>
      </c>
      <c r="S221" s="44">
        <f>IF(Mecze[[#This Row],[Role]]="BR",SUMPRODUCT(Mecze[[#This Row],[/PR:90]:[/BR:90]],Brudnopis!$E$23:$J$23),0)</f>
        <v>1.2061855670103092</v>
      </c>
      <c r="T221" s="44">
        <f>IF(Mecze[[#This Row],[Role]]&lt;&gt;"BR",SUMPRODUCT(Mecze[[#This Row],[/PR:90]:[/BR:90]],Brudnopis!$E$24:$J$24),0)</f>
        <v>0</v>
      </c>
      <c r="U221" s="44">
        <f>IF(Mecze[[#This Row],[Role]]&lt;&gt;"BR",SUMPRODUCT(Mecze[[#This Row],[/PR:90]:[/BR:90]],Brudnopis!$E$25:$J$25),0)</f>
        <v>0</v>
      </c>
      <c r="V221" s="44">
        <f>IF(Mecze[[#This Row],[Role]]&lt;&gt;"BR",SUMPRODUCT(Mecze[[#This Row],[/PR:90]:[/BR:90]],Brudnopis!$E$26:$J$26),0)</f>
        <v>0</v>
      </c>
      <c r="W221" s="44">
        <f>IF(Mecze[[#This Row],[Role]]&lt;&gt;"BR",SUMPRODUCT(Mecze[[#This Row],[/PR:90]:[/BR:90]],Brudnopis!$E$27:$J$27),0)</f>
        <v>0</v>
      </c>
      <c r="X221" s="44">
        <f>IF(Mecze[[#This Row],[Role]]&lt;&gt;"BR",SUMPRODUCT(Mecze[[#This Row],[/PR:90]:[/BR:90]],Brudnopis!$E$28:$J$28),0)</f>
        <v>0</v>
      </c>
      <c r="Y221" s="35">
        <f>IF(Mecze[[#This Row],[Role]]="BR",Mecze[[#This Row],[/OB:90]]+Mecze[[#This Row],[/PC:90]],SUM(Mecze[[#This Row],[/PR:90]:[/BR:90]]))</f>
        <v>0.40206185567010305</v>
      </c>
      <c r="Z221" s="35">
        <f>IF(Mecze[[#This Row],[KC]]=0,SUM(Mecze[[#This Row],[/BRI]:[/NPI]]),SUM(Mecze[[#This Row],[/BRI]:[/NPI]])*0.6)</f>
        <v>1.2061855670103092</v>
      </c>
      <c r="AA221" s="10">
        <f>IFERROR(Mecze[[#This Row],[BR]]/Mecze[[#This Row],[ST]],0)</f>
        <v>0</v>
      </c>
      <c r="AB221">
        <f>ROUND(Mecze[[#This Row],[PD]]*Mecze[[#This Row],[%PC]],0)</f>
        <v>14</v>
      </c>
      <c r="AC221">
        <f>ROUND(Mecze[[#This Row],[OD]]*Mecze[[#This Row],[%OU]],0)</f>
        <v>0</v>
      </c>
      <c r="AD221" s="36" t="s">
        <v>40</v>
      </c>
      <c r="AE221" s="36">
        <v>14</v>
      </c>
      <c r="AF221" s="71">
        <v>11.56</v>
      </c>
      <c r="AG221" s="37">
        <v>0</v>
      </c>
      <c r="AH221" s="37">
        <v>0</v>
      </c>
      <c r="AI221" s="37">
        <v>97</v>
      </c>
      <c r="AJ221" s="37">
        <v>1</v>
      </c>
      <c r="AK221" s="37" t="str">
        <f>VLOOKUP(Mecze[[#This Row],[Match ID]],Meczusie[Mecz]:Meczusie[RodzajMeczu],2,FALSE)</f>
        <v>Liga</v>
      </c>
    </row>
    <row r="222" spans="1:37" x14ac:dyDescent="0.25">
      <c r="A222" s="76">
        <v>18</v>
      </c>
      <c r="B222" s="3" t="s">
        <v>211</v>
      </c>
      <c r="C222" s="2" t="s">
        <v>157</v>
      </c>
      <c r="D222" s="1">
        <v>0</v>
      </c>
      <c r="E222" s="1">
        <v>0</v>
      </c>
      <c r="F222" s="1">
        <v>0</v>
      </c>
      <c r="G222" s="1">
        <v>10</v>
      </c>
      <c r="H222" s="4">
        <v>0.7</v>
      </c>
      <c r="I222" s="1">
        <v>14</v>
      </c>
      <c r="J222" s="4">
        <v>0.43</v>
      </c>
      <c r="K222" s="1">
        <v>0</v>
      </c>
      <c r="L222" s="1">
        <v>4</v>
      </c>
      <c r="M222" s="32">
        <f>IF(Mecze[[#This Row],[PR]]=0,0,Mecze[[#This Row],[PR]]/Mecze[[#This Row],[CZAS]])</f>
        <v>4.1237113402061855E-2</v>
      </c>
      <c r="N222" s="32">
        <f>IF(Mecze[[#This Row],[OU]]=0,0,Mecze[[#This Row],[OU]]/Mecze[[#This Row],[CZAS]])</f>
        <v>6.1855670103092786E-2</v>
      </c>
      <c r="O222" s="32">
        <f>IF(Mecze[[#This Row],[PC]]=0,0,Mecze[[#This Row],[PC]]/Mecze[[#This Row],[CZAS]])</f>
        <v>7.2164948453608241E-2</v>
      </c>
      <c r="P222" s="32">
        <f>IF(Mecze[[#This Row],[SC]]=0,0,Mecze[[#This Row],[SC]]/Mecze[[#This Row],[CZAS]])</f>
        <v>0</v>
      </c>
      <c r="Q222" s="32">
        <f>IF(Mecze[[#This Row],[OB]]=0,0,Mecze[[#This Row],[OB]]/Mecze[[#This Row],[CZAS]])</f>
        <v>0</v>
      </c>
      <c r="R222" s="32">
        <f>IF(Mecze[[#This Row],[BR]]=0,0,Mecze[[#This Row],[BR]]/Mecze[[#This Row],[CZAS]])</f>
        <v>0</v>
      </c>
      <c r="S222" s="44">
        <f>IF(Mecze[[#This Row],[Role]]="BR",SUMPRODUCT(Mecze[[#This Row],[/PR:90]:[/BR:90]],Brudnopis!$E$23:$J$23),0)</f>
        <v>0</v>
      </c>
      <c r="T222" s="44">
        <f>IF(Mecze[[#This Row],[Role]]&lt;&gt;"BR",SUMPRODUCT(Mecze[[#This Row],[/PR:90]:[/BR:90]],Brudnopis!$E$24:$J$24),0)</f>
        <v>0.20618556701030927</v>
      </c>
      <c r="U222" s="44">
        <f>IF(Mecze[[#This Row],[Role]]&lt;&gt;"BR",SUMPRODUCT(Mecze[[#This Row],[/PR:90]:[/BR:90]],Brudnopis!$E$25:$J$25),0)</f>
        <v>0.21134020618556698</v>
      </c>
      <c r="V222" s="44">
        <f>IF(Mecze[[#This Row],[Role]]&lt;&gt;"BR",SUMPRODUCT(Mecze[[#This Row],[/PR:90]:[/BR:90]],Brudnopis!$E$26:$J$26),0)</f>
        <v>0.17525773195876287</v>
      </c>
      <c r="W222" s="44">
        <f>IF(Mecze[[#This Row],[Role]]&lt;&gt;"BR",SUMPRODUCT(Mecze[[#This Row],[/PR:90]:[/BR:90]],Brudnopis!$E$27:$J$27),0)</f>
        <v>0.18556701030927836</v>
      </c>
      <c r="X222" s="44">
        <f>IF(Mecze[[#This Row],[Role]]&lt;&gt;"BR",SUMPRODUCT(Mecze[[#This Row],[/PR:90]:[/BR:90]],Brudnopis!$E$28:$J$28),0)</f>
        <v>7.2164948453608241E-2</v>
      </c>
      <c r="Y222" s="35">
        <f>IF(Mecze[[#This Row],[Role]]="BR",Mecze[[#This Row],[/OB:90]]+Mecze[[#This Row],[/PC:90]],SUM(Mecze[[#This Row],[/PR:90]:[/BR:90]]))</f>
        <v>0.17525773195876287</v>
      </c>
      <c r="Z222" s="35">
        <f>IF(Mecze[[#This Row],[KC]]=0,SUM(Mecze[[#This Row],[/BRI]:[/NPI]]),SUM(Mecze[[#This Row],[/BRI]:[/NPI]])*0.6)</f>
        <v>0.85051546391752564</v>
      </c>
      <c r="AA222" s="10">
        <f>IFERROR(Mecze[[#This Row],[BR]]/Mecze[[#This Row],[ST]],0)</f>
        <v>0</v>
      </c>
      <c r="AB222">
        <f>ROUND(Mecze[[#This Row],[PD]]*Mecze[[#This Row],[%PC]],0)</f>
        <v>7</v>
      </c>
      <c r="AC222">
        <f>ROUND(Mecze[[#This Row],[OD]]*Mecze[[#This Row],[%OU]],0)</f>
        <v>6</v>
      </c>
      <c r="AD222" s="36" t="s">
        <v>47</v>
      </c>
      <c r="AE222" s="36">
        <v>14</v>
      </c>
      <c r="AF222" s="71">
        <v>2.4300000000000002</v>
      </c>
      <c r="AG222" s="37">
        <v>0</v>
      </c>
      <c r="AH222" s="37">
        <v>0</v>
      </c>
      <c r="AI222" s="37">
        <v>97</v>
      </c>
      <c r="AJ222" s="37">
        <v>1</v>
      </c>
      <c r="AK222" s="37" t="str">
        <f>VLOOKUP(Mecze[[#This Row],[Match ID]],Meczusie[Mecz]:Meczusie[RodzajMeczu],2,FALSE)</f>
        <v>Liga</v>
      </c>
    </row>
    <row r="223" spans="1:37" x14ac:dyDescent="0.25">
      <c r="A223" s="76">
        <v>2</v>
      </c>
      <c r="B223" s="3" t="s">
        <v>156</v>
      </c>
      <c r="C223" s="2" t="s">
        <v>157</v>
      </c>
      <c r="D223" s="1">
        <v>0</v>
      </c>
      <c r="E223" s="1">
        <v>0</v>
      </c>
      <c r="F223" s="1">
        <v>0</v>
      </c>
      <c r="G223" s="1">
        <v>9</v>
      </c>
      <c r="H223" s="4">
        <v>0.67</v>
      </c>
      <c r="I223" s="1">
        <v>8</v>
      </c>
      <c r="J223" s="4">
        <v>0.38</v>
      </c>
      <c r="K223" s="1">
        <v>0</v>
      </c>
      <c r="L223" s="1">
        <v>5</v>
      </c>
      <c r="M223" s="32">
        <f>IF(Mecze[[#This Row],[PR]]=0,0,Mecze[[#This Row],[PR]]/Mecze[[#This Row],[CZAS]])</f>
        <v>5.1546391752577317E-2</v>
      </c>
      <c r="N223" s="32">
        <f>IF(Mecze[[#This Row],[OU]]=0,0,Mecze[[#This Row],[OU]]/Mecze[[#This Row],[CZAS]])</f>
        <v>3.0927835051546393E-2</v>
      </c>
      <c r="O223" s="32">
        <f>IF(Mecze[[#This Row],[PC]]=0,0,Mecze[[#This Row],[PC]]/Mecze[[#This Row],[CZAS]])</f>
        <v>6.1855670103092786E-2</v>
      </c>
      <c r="P223" s="32">
        <f>IF(Mecze[[#This Row],[SC]]=0,0,Mecze[[#This Row],[SC]]/Mecze[[#This Row],[CZAS]])</f>
        <v>0</v>
      </c>
      <c r="Q223" s="32">
        <f>IF(Mecze[[#This Row],[OB]]=0,0,Mecze[[#This Row],[OB]]/Mecze[[#This Row],[CZAS]])</f>
        <v>0</v>
      </c>
      <c r="R223" s="32">
        <f>IF(Mecze[[#This Row],[BR]]=0,0,Mecze[[#This Row],[BR]]/Mecze[[#This Row],[CZAS]])</f>
        <v>0</v>
      </c>
      <c r="S223" s="44">
        <f>IF(Mecze[[#This Row],[Role]]="BR",SUMPRODUCT(Mecze[[#This Row],[/PR:90]:[/BR:90]],Brudnopis!$E$23:$J$23),0)</f>
        <v>0</v>
      </c>
      <c r="T223" s="44">
        <f>IF(Mecze[[#This Row],[Role]]&lt;&gt;"BR",SUMPRODUCT(Mecze[[#This Row],[/PR:90]:[/BR:90]],Brudnopis!$E$24:$J$24),0)</f>
        <v>0.15979381443298968</v>
      </c>
      <c r="U223" s="44">
        <f>IF(Mecze[[#This Row],[Role]]&lt;&gt;"BR",SUMPRODUCT(Mecze[[#This Row],[/PR:90]:[/BR:90]],Brudnopis!$E$25:$J$25),0)</f>
        <v>0.17525773195876287</v>
      </c>
      <c r="V223" s="44">
        <f>IF(Mecze[[#This Row],[Role]]&lt;&gt;"BR",SUMPRODUCT(Mecze[[#This Row],[/PR:90]:[/BR:90]],Brudnopis!$E$26:$J$26),0)</f>
        <v>0.14432989690721648</v>
      </c>
      <c r="W223" s="44">
        <f>IF(Mecze[[#This Row],[Role]]&lt;&gt;"BR",SUMPRODUCT(Mecze[[#This Row],[/PR:90]:[/BR:90]],Brudnopis!$E$27:$J$27),0)</f>
        <v>0.15463917525773196</v>
      </c>
      <c r="X223" s="44">
        <f>IF(Mecze[[#This Row],[Role]]&lt;&gt;"BR",SUMPRODUCT(Mecze[[#This Row],[/PR:90]:[/BR:90]],Brudnopis!$E$28:$J$28),0)</f>
        <v>6.1855670103092786E-2</v>
      </c>
      <c r="Y223" s="35">
        <f>IF(Mecze[[#This Row],[Role]]="BR",Mecze[[#This Row],[/OB:90]]+Mecze[[#This Row],[/PC:90]],SUM(Mecze[[#This Row],[/PR:90]:[/BR:90]]))</f>
        <v>0.14432989690721648</v>
      </c>
      <c r="Z223" s="35">
        <f>IF(Mecze[[#This Row],[KC]]=0,SUM(Mecze[[#This Row],[/BRI]:[/NPI]]),SUM(Mecze[[#This Row],[/BRI]:[/NPI]])*0.6)</f>
        <v>0.69587628865979378</v>
      </c>
      <c r="AA223" s="10">
        <f>IFERROR(Mecze[[#This Row],[BR]]/Mecze[[#This Row],[ST]],0)</f>
        <v>0</v>
      </c>
      <c r="AB223">
        <f>ROUND(Mecze[[#This Row],[PD]]*Mecze[[#This Row],[%PC]],0)</f>
        <v>6</v>
      </c>
      <c r="AC223">
        <f>ROUND(Mecze[[#This Row],[OD]]*Mecze[[#This Row],[%OU]],0)</f>
        <v>3</v>
      </c>
      <c r="AD223" s="36" t="s">
        <v>47</v>
      </c>
      <c r="AE223" s="36">
        <v>14</v>
      </c>
      <c r="AF223" s="71">
        <v>2.64</v>
      </c>
      <c r="AG223" s="37">
        <v>0</v>
      </c>
      <c r="AH223" s="37">
        <v>0</v>
      </c>
      <c r="AI223" s="37">
        <v>97</v>
      </c>
      <c r="AJ223" s="37">
        <v>1</v>
      </c>
      <c r="AK223" s="37" t="str">
        <f>VLOOKUP(Mecze[[#This Row],[Match ID]],Meczusie[Mecz]:Meczusie[RodzajMeczu],2,FALSE)</f>
        <v>Liga</v>
      </c>
    </row>
    <row r="224" spans="1:37" x14ac:dyDescent="0.25">
      <c r="A224" s="76">
        <v>3</v>
      </c>
      <c r="B224" s="3" t="s">
        <v>158</v>
      </c>
      <c r="C224" s="2" t="s">
        <v>157</v>
      </c>
      <c r="D224" s="1">
        <v>0</v>
      </c>
      <c r="E224" s="1">
        <v>0</v>
      </c>
      <c r="F224" s="1">
        <v>0</v>
      </c>
      <c r="G224" s="1">
        <v>7</v>
      </c>
      <c r="H224" s="4">
        <v>0.71</v>
      </c>
      <c r="I224" s="1">
        <v>9</v>
      </c>
      <c r="J224" s="4">
        <v>0.56000000000000005</v>
      </c>
      <c r="K224" s="1">
        <v>0</v>
      </c>
      <c r="L224" s="1">
        <v>4</v>
      </c>
      <c r="M224" s="32">
        <f>IF(Mecze[[#This Row],[PR]]=0,0,Mecze[[#This Row],[PR]]/Mecze[[#This Row],[CZAS]])</f>
        <v>4.1237113402061855E-2</v>
      </c>
      <c r="N224" s="32">
        <f>IF(Mecze[[#This Row],[OU]]=0,0,Mecze[[#This Row],[OU]]/Mecze[[#This Row],[CZAS]])</f>
        <v>5.1546391752577317E-2</v>
      </c>
      <c r="O224" s="32">
        <f>IF(Mecze[[#This Row],[PC]]=0,0,Mecze[[#This Row],[PC]]/Mecze[[#This Row],[CZAS]])</f>
        <v>5.1546391752577317E-2</v>
      </c>
      <c r="P224" s="32">
        <f>IF(Mecze[[#This Row],[SC]]=0,0,Mecze[[#This Row],[SC]]/Mecze[[#This Row],[CZAS]])</f>
        <v>0</v>
      </c>
      <c r="Q224" s="32">
        <f>IF(Mecze[[#This Row],[OB]]=0,0,Mecze[[#This Row],[OB]]/Mecze[[#This Row],[CZAS]])</f>
        <v>0</v>
      </c>
      <c r="R224" s="32">
        <f>IF(Mecze[[#This Row],[BR]]=0,0,Mecze[[#This Row],[BR]]/Mecze[[#This Row],[CZAS]])</f>
        <v>0</v>
      </c>
      <c r="S224" s="44">
        <f>IF(Mecze[[#This Row],[Role]]="BR",SUMPRODUCT(Mecze[[#This Row],[/PR:90]:[/BR:90]],Brudnopis!$E$23:$J$23),0)</f>
        <v>0</v>
      </c>
      <c r="T224" s="44">
        <f>IF(Mecze[[#This Row],[Role]]&lt;&gt;"BR",SUMPRODUCT(Mecze[[#This Row],[/PR:90]:[/BR:90]],Brudnopis!$E$24:$J$24),0)</f>
        <v>0.17010309278350516</v>
      </c>
      <c r="U224" s="44">
        <f>IF(Mecze[[#This Row],[Role]]&lt;&gt;"BR",SUMPRODUCT(Mecze[[#This Row],[/PR:90]:[/BR:90]],Brudnopis!$E$25:$J$25),0)</f>
        <v>0.17010309278350516</v>
      </c>
      <c r="V224" s="44">
        <f>IF(Mecze[[#This Row],[Role]]&lt;&gt;"BR",SUMPRODUCT(Mecze[[#This Row],[/PR:90]:[/BR:90]],Brudnopis!$E$26:$J$26),0)</f>
        <v>0.14432989690721648</v>
      </c>
      <c r="W224" s="44">
        <f>IF(Mecze[[#This Row],[Role]]&lt;&gt;"BR",SUMPRODUCT(Mecze[[#This Row],[/PR:90]:[/BR:90]],Brudnopis!$E$27:$J$27),0)</f>
        <v>0.14690721649484537</v>
      </c>
      <c r="X224" s="44">
        <f>IF(Mecze[[#This Row],[Role]]&lt;&gt;"BR",SUMPRODUCT(Mecze[[#This Row],[/PR:90]:[/BR:90]],Brudnopis!$E$28:$J$28),0)</f>
        <v>5.1546391752577317E-2</v>
      </c>
      <c r="Y224" s="35">
        <f>IF(Mecze[[#This Row],[Role]]="BR",Mecze[[#This Row],[/OB:90]]+Mecze[[#This Row],[/PC:90]],SUM(Mecze[[#This Row],[/PR:90]:[/BR:90]]))</f>
        <v>0.14432989690721648</v>
      </c>
      <c r="Z224" s="35">
        <f>IF(Mecze[[#This Row],[KC]]=0,SUM(Mecze[[#This Row],[/BRI]:[/NPI]]),SUM(Mecze[[#This Row],[/BRI]:[/NPI]])*0.6)</f>
        <v>0.6829896907216495</v>
      </c>
      <c r="AA224" s="10">
        <f>IFERROR(Mecze[[#This Row],[BR]]/Mecze[[#This Row],[ST]],0)</f>
        <v>0</v>
      </c>
      <c r="AB224">
        <f>ROUND(Mecze[[#This Row],[PD]]*Mecze[[#This Row],[%PC]],0)</f>
        <v>5</v>
      </c>
      <c r="AC224">
        <f>ROUND(Mecze[[#This Row],[OD]]*Mecze[[#This Row],[%OU]],0)</f>
        <v>5</v>
      </c>
      <c r="AD224" s="36" t="s">
        <v>174</v>
      </c>
      <c r="AE224" s="36">
        <v>14</v>
      </c>
      <c r="AF224" s="71">
        <v>2.44</v>
      </c>
      <c r="AG224" s="37">
        <v>1</v>
      </c>
      <c r="AH224" s="37">
        <v>0</v>
      </c>
      <c r="AI224" s="37">
        <v>97</v>
      </c>
      <c r="AJ224" s="37">
        <v>1</v>
      </c>
      <c r="AK224" s="37" t="str">
        <f>VLOOKUP(Mecze[[#This Row],[Match ID]],Meczusie[Mecz]:Meczusie[RodzajMeczu],2,FALSE)</f>
        <v>Liga</v>
      </c>
    </row>
    <row r="225" spans="1:37" x14ac:dyDescent="0.25">
      <c r="A225" s="76">
        <v>5</v>
      </c>
      <c r="B225" s="3" t="s">
        <v>161</v>
      </c>
      <c r="C225" s="2" t="s">
        <v>157</v>
      </c>
      <c r="D225" s="1">
        <v>0</v>
      </c>
      <c r="E225" s="1">
        <v>0</v>
      </c>
      <c r="F225" s="1">
        <v>0</v>
      </c>
      <c r="G225" s="1">
        <v>4</v>
      </c>
      <c r="H225" s="4">
        <v>1</v>
      </c>
      <c r="I225" s="1">
        <v>3</v>
      </c>
      <c r="J225" s="4">
        <v>1</v>
      </c>
      <c r="K225" s="1">
        <v>0</v>
      </c>
      <c r="L225" s="1">
        <v>3</v>
      </c>
      <c r="M225" s="32">
        <f>IF(Mecze[[#This Row],[PR]]=0,0,Mecze[[#This Row],[PR]]/Mecze[[#This Row],[CZAS]])</f>
        <v>3.0927835051546393E-2</v>
      </c>
      <c r="N225" s="32">
        <f>IF(Mecze[[#This Row],[OU]]=0,0,Mecze[[#This Row],[OU]]/Mecze[[#This Row],[CZAS]])</f>
        <v>3.0927835051546393E-2</v>
      </c>
      <c r="O225" s="32">
        <f>IF(Mecze[[#This Row],[PC]]=0,0,Mecze[[#This Row],[PC]]/Mecze[[#This Row],[CZAS]])</f>
        <v>4.1237113402061855E-2</v>
      </c>
      <c r="P225" s="32">
        <f>IF(Mecze[[#This Row],[SC]]=0,0,Mecze[[#This Row],[SC]]/Mecze[[#This Row],[CZAS]])</f>
        <v>0</v>
      </c>
      <c r="Q225" s="32">
        <f>IF(Mecze[[#This Row],[OB]]=0,0,Mecze[[#This Row],[OB]]/Mecze[[#This Row],[CZAS]])</f>
        <v>0</v>
      </c>
      <c r="R225" s="32">
        <f>IF(Mecze[[#This Row],[BR]]=0,0,Mecze[[#This Row],[BR]]/Mecze[[#This Row],[CZAS]])</f>
        <v>0</v>
      </c>
      <c r="S225" s="44">
        <f>IF(Mecze[[#This Row],[Role]]="BR",SUMPRODUCT(Mecze[[#This Row],[/PR:90]:[/BR:90]],Brudnopis!$E$23:$J$23),0)</f>
        <v>0</v>
      </c>
      <c r="T225" s="44">
        <f>IF(Mecze[[#This Row],[Role]]&lt;&gt;"BR",SUMPRODUCT(Mecze[[#This Row],[/PR:90]:[/BR:90]],Brudnopis!$E$24:$J$24),0)</f>
        <v>0.11855670103092783</v>
      </c>
      <c r="U225" s="44">
        <f>IF(Mecze[[#This Row],[Role]]&lt;&gt;"BR",SUMPRODUCT(Mecze[[#This Row],[/PR:90]:[/BR:90]],Brudnopis!$E$25:$J$25),0)</f>
        <v>0.12371134020618557</v>
      </c>
      <c r="V225" s="44">
        <f>IF(Mecze[[#This Row],[Role]]&lt;&gt;"BR",SUMPRODUCT(Mecze[[#This Row],[/PR:90]:[/BR:90]],Brudnopis!$E$26:$J$26),0)</f>
        <v>0.10309278350515463</v>
      </c>
      <c r="W225" s="44">
        <f>IF(Mecze[[#This Row],[Role]]&lt;&gt;"BR",SUMPRODUCT(Mecze[[#This Row],[/PR:90]:[/BR:90]],Brudnopis!$E$27:$J$27),0)</f>
        <v>0.10824742268041238</v>
      </c>
      <c r="X225" s="44">
        <f>IF(Mecze[[#This Row],[Role]]&lt;&gt;"BR",SUMPRODUCT(Mecze[[#This Row],[/PR:90]:[/BR:90]],Brudnopis!$E$28:$J$28),0)</f>
        <v>4.1237113402061855E-2</v>
      </c>
      <c r="Y225" s="35">
        <f>IF(Mecze[[#This Row],[Role]]="BR",Mecze[[#This Row],[/OB:90]]+Mecze[[#This Row],[/PC:90]],SUM(Mecze[[#This Row],[/PR:90]:[/BR:90]]))</f>
        <v>0.10309278350515463</v>
      </c>
      <c r="Z225" s="35">
        <f>IF(Mecze[[#This Row],[KC]]=0,SUM(Mecze[[#This Row],[/BRI]:[/NPI]]),SUM(Mecze[[#This Row],[/BRI]:[/NPI]])*0.6)</f>
        <v>0.49484536082474229</v>
      </c>
      <c r="AA225" s="10">
        <f>IFERROR(Mecze[[#This Row],[BR]]/Mecze[[#This Row],[ST]],0)</f>
        <v>0</v>
      </c>
      <c r="AB225">
        <f>ROUND(Mecze[[#This Row],[PD]]*Mecze[[#This Row],[%PC]],0)</f>
        <v>4</v>
      </c>
      <c r="AC225">
        <f>ROUND(Mecze[[#This Row],[OD]]*Mecze[[#This Row],[%OU]],0)</f>
        <v>3</v>
      </c>
      <c r="AD225" s="36" t="s">
        <v>175</v>
      </c>
      <c r="AE225" s="36">
        <v>14</v>
      </c>
      <c r="AF225" s="71">
        <v>5.37</v>
      </c>
      <c r="AG225" s="37">
        <v>0</v>
      </c>
      <c r="AH225" s="37">
        <v>0</v>
      </c>
      <c r="AI225" s="37">
        <v>97</v>
      </c>
      <c r="AJ225" s="37">
        <v>1</v>
      </c>
      <c r="AK225" s="37" t="str">
        <f>VLOOKUP(Mecze[[#This Row],[Match ID]],Meczusie[Mecz]:Meczusie[RodzajMeczu],2,FALSE)</f>
        <v>Liga</v>
      </c>
    </row>
    <row r="226" spans="1:37" x14ac:dyDescent="0.25">
      <c r="A226" s="76">
        <v>6</v>
      </c>
      <c r="B226" s="3" t="s">
        <v>159</v>
      </c>
      <c r="C226" s="2" t="s">
        <v>160</v>
      </c>
      <c r="D226" s="1">
        <v>0</v>
      </c>
      <c r="E226" s="1">
        <v>0</v>
      </c>
      <c r="F226" s="1">
        <v>0</v>
      </c>
      <c r="G226" s="1">
        <v>3</v>
      </c>
      <c r="H226" s="4">
        <v>0.33</v>
      </c>
      <c r="I226" s="1">
        <v>0</v>
      </c>
      <c r="J226" s="4"/>
      <c r="K226" s="1">
        <v>0</v>
      </c>
      <c r="L226" s="1">
        <v>1</v>
      </c>
      <c r="M226" s="32">
        <f>IF(Mecze[[#This Row],[PR]]=0,0,Mecze[[#This Row],[PR]]/Mecze[[#This Row],[CZAS]])</f>
        <v>1.0309278350515464E-2</v>
      </c>
      <c r="N226" s="32">
        <f>IF(Mecze[[#This Row],[OU]]=0,0,Mecze[[#This Row],[OU]]/Mecze[[#This Row],[CZAS]])</f>
        <v>0</v>
      </c>
      <c r="O226" s="32">
        <f>IF(Mecze[[#This Row],[PC]]=0,0,Mecze[[#This Row],[PC]]/Mecze[[#This Row],[CZAS]])</f>
        <v>1.0309278350515464E-2</v>
      </c>
      <c r="P226" s="32">
        <f>IF(Mecze[[#This Row],[SC]]=0,0,Mecze[[#This Row],[SC]]/Mecze[[#This Row],[CZAS]])</f>
        <v>0</v>
      </c>
      <c r="Q226" s="32">
        <f>IF(Mecze[[#This Row],[OB]]=0,0,Mecze[[#This Row],[OB]]/Mecze[[#This Row],[CZAS]])</f>
        <v>0</v>
      </c>
      <c r="R226" s="32">
        <f>IF(Mecze[[#This Row],[BR]]=0,0,Mecze[[#This Row],[BR]]/Mecze[[#This Row],[CZAS]])</f>
        <v>0</v>
      </c>
      <c r="S226" s="44">
        <f>IF(Mecze[[#This Row],[Role]]="BR",SUMPRODUCT(Mecze[[#This Row],[/PR:90]:[/BR:90]],Brudnopis!$E$23:$J$23),0)</f>
        <v>0</v>
      </c>
      <c r="T226" s="44">
        <f>IF(Mecze[[#This Row],[Role]]&lt;&gt;"BR",SUMPRODUCT(Mecze[[#This Row],[/PR:90]:[/BR:90]],Brudnopis!$E$24:$J$24),0)</f>
        <v>2.0618556701030927E-2</v>
      </c>
      <c r="U226" s="44">
        <f>IF(Mecze[[#This Row],[Role]]&lt;&gt;"BR",SUMPRODUCT(Mecze[[#This Row],[/PR:90]:[/BR:90]],Brudnopis!$E$25:$J$25),0)</f>
        <v>2.5773195876288658E-2</v>
      </c>
      <c r="V226" s="44">
        <f>IF(Mecze[[#This Row],[Role]]&lt;&gt;"BR",SUMPRODUCT(Mecze[[#This Row],[/PR:90]:[/BR:90]],Brudnopis!$E$26:$J$26),0)</f>
        <v>2.0618556701030927E-2</v>
      </c>
      <c r="W226" s="44">
        <f>IF(Mecze[[#This Row],[Role]]&lt;&gt;"BR",SUMPRODUCT(Mecze[[#This Row],[/PR:90]:[/BR:90]],Brudnopis!$E$27:$J$27),0)</f>
        <v>2.3195876288659795E-2</v>
      </c>
      <c r="X226" s="44">
        <f>IF(Mecze[[#This Row],[Role]]&lt;&gt;"BR",SUMPRODUCT(Mecze[[#This Row],[/PR:90]:[/BR:90]],Brudnopis!$E$28:$J$28),0)</f>
        <v>1.0309278350515464E-2</v>
      </c>
      <c r="Y226" s="35">
        <f>IF(Mecze[[#This Row],[Role]]="BR",Mecze[[#This Row],[/OB:90]]+Mecze[[#This Row],[/PC:90]],SUM(Mecze[[#This Row],[/PR:90]:[/BR:90]]))</f>
        <v>2.0618556701030927E-2</v>
      </c>
      <c r="Z226" s="35">
        <f>IF(Mecze[[#This Row],[KC]]=0,SUM(Mecze[[#This Row],[/BRI]:[/NPI]]),SUM(Mecze[[#This Row],[/BRI]:[/NPI]])*0.6)</f>
        <v>0.10051546391752578</v>
      </c>
      <c r="AA226" s="10">
        <f>IFERROR(Mecze[[#This Row],[BR]]/Mecze[[#This Row],[ST]],0)</f>
        <v>0</v>
      </c>
      <c r="AB226">
        <f>ROUND(Mecze[[#This Row],[PD]]*Mecze[[#This Row],[%PC]],0)</f>
        <v>1</v>
      </c>
      <c r="AC226">
        <f>ROUND(Mecze[[#This Row],[OD]]*Mecze[[#This Row],[%OU]],0)</f>
        <v>0</v>
      </c>
      <c r="AD226" s="36" t="s">
        <v>173</v>
      </c>
      <c r="AE226" s="36">
        <v>14</v>
      </c>
      <c r="AF226" s="71">
        <v>2.91</v>
      </c>
      <c r="AG226" s="37">
        <v>0</v>
      </c>
      <c r="AH226" s="37">
        <v>0</v>
      </c>
      <c r="AI226" s="37">
        <v>97</v>
      </c>
      <c r="AJ226" s="37">
        <v>1</v>
      </c>
      <c r="AK226" s="37" t="str">
        <f>VLOOKUP(Mecze[[#This Row],[Match ID]],Meczusie[Mecz]:Meczusie[RodzajMeczu],2,FALSE)</f>
        <v>Liga</v>
      </c>
    </row>
    <row r="227" spans="1:37" x14ac:dyDescent="0.25">
      <c r="A227" s="76">
        <v>13</v>
      </c>
      <c r="B227" s="3" t="s">
        <v>162</v>
      </c>
      <c r="C227" s="2" t="s">
        <v>160</v>
      </c>
      <c r="D227" s="1">
        <v>0</v>
      </c>
      <c r="E227" s="1">
        <v>0</v>
      </c>
      <c r="F227" s="1">
        <v>0</v>
      </c>
      <c r="G227" s="1">
        <v>8</v>
      </c>
      <c r="H227" s="4">
        <v>0.63</v>
      </c>
      <c r="I227" s="1">
        <v>0</v>
      </c>
      <c r="J227" s="4"/>
      <c r="K227" s="1">
        <v>0</v>
      </c>
      <c r="L227" s="1">
        <v>2</v>
      </c>
      <c r="M227" s="32">
        <f>IF(Mecze[[#This Row],[PR]]=0,0,Mecze[[#This Row],[PR]]/Mecze[[#This Row],[CZAS]])</f>
        <v>2.0618556701030927E-2</v>
      </c>
      <c r="N227" s="32">
        <f>IF(Mecze[[#This Row],[OU]]=0,0,Mecze[[#This Row],[OU]]/Mecze[[#This Row],[CZAS]])</f>
        <v>0</v>
      </c>
      <c r="O227" s="32">
        <f>IF(Mecze[[#This Row],[PC]]=0,0,Mecze[[#This Row],[PC]]/Mecze[[#This Row],[CZAS]])</f>
        <v>5.1546391752577317E-2</v>
      </c>
      <c r="P227" s="32">
        <f>IF(Mecze[[#This Row],[SC]]=0,0,Mecze[[#This Row],[SC]]/Mecze[[#This Row],[CZAS]])</f>
        <v>0</v>
      </c>
      <c r="Q227" s="32">
        <f>IF(Mecze[[#This Row],[OB]]=0,0,Mecze[[#This Row],[OB]]/Mecze[[#This Row],[CZAS]])</f>
        <v>0</v>
      </c>
      <c r="R227" s="32">
        <f>IF(Mecze[[#This Row],[BR]]=0,0,Mecze[[#This Row],[BR]]/Mecze[[#This Row],[CZAS]])</f>
        <v>0</v>
      </c>
      <c r="S227" s="44">
        <f>IF(Mecze[[#This Row],[Role]]="BR",SUMPRODUCT(Mecze[[#This Row],[/PR:90]:[/BR:90]],Brudnopis!$E$23:$J$23),0)</f>
        <v>0</v>
      </c>
      <c r="T227" s="44">
        <f>IF(Mecze[[#This Row],[Role]]&lt;&gt;"BR",SUMPRODUCT(Mecze[[#This Row],[/PR:90]:[/BR:90]],Brudnopis!$E$24:$J$24),0)</f>
        <v>7.2164948453608241E-2</v>
      </c>
      <c r="U227" s="44">
        <f>IF(Mecze[[#This Row],[Role]]&lt;&gt;"BR",SUMPRODUCT(Mecze[[#This Row],[/PR:90]:[/BR:90]],Brudnopis!$E$25:$J$25),0)</f>
        <v>9.7938144329896906E-2</v>
      </c>
      <c r="V227" s="44">
        <f>IF(Mecze[[#This Row],[Role]]&lt;&gt;"BR",SUMPRODUCT(Mecze[[#This Row],[/PR:90]:[/BR:90]],Brudnopis!$E$26:$J$26),0)</f>
        <v>7.2164948453608241E-2</v>
      </c>
      <c r="W227" s="44">
        <f>IF(Mecze[[#This Row],[Role]]&lt;&gt;"BR",SUMPRODUCT(Mecze[[#This Row],[/PR:90]:[/BR:90]],Brudnopis!$E$27:$J$27),0)</f>
        <v>9.2783505154639179E-2</v>
      </c>
      <c r="X227" s="44">
        <f>IF(Mecze[[#This Row],[Role]]&lt;&gt;"BR",SUMPRODUCT(Mecze[[#This Row],[/PR:90]:[/BR:90]],Brudnopis!$E$28:$J$28),0)</f>
        <v>5.1546391752577317E-2</v>
      </c>
      <c r="Y227" s="35">
        <f>IF(Mecze[[#This Row],[Role]]="BR",Mecze[[#This Row],[/OB:90]]+Mecze[[#This Row],[/PC:90]],SUM(Mecze[[#This Row],[/PR:90]:[/BR:90]]))</f>
        <v>7.2164948453608241E-2</v>
      </c>
      <c r="Z227" s="35">
        <f>IF(Mecze[[#This Row],[KC]]=0,SUM(Mecze[[#This Row],[/BRI]:[/NPI]]),SUM(Mecze[[#This Row],[/BRI]:[/NPI]])*0.6)</f>
        <v>0.38659793814432991</v>
      </c>
      <c r="AA227" s="10">
        <f>IFERROR(Mecze[[#This Row],[BR]]/Mecze[[#This Row],[ST]],0)</f>
        <v>0</v>
      </c>
      <c r="AB227">
        <f>ROUND(Mecze[[#This Row],[PD]]*Mecze[[#This Row],[%PC]],0)</f>
        <v>5</v>
      </c>
      <c r="AC227">
        <f>ROUND(Mecze[[#This Row],[OD]]*Mecze[[#This Row],[%OU]],0)</f>
        <v>0</v>
      </c>
      <c r="AD227" s="36" t="s">
        <v>172</v>
      </c>
      <c r="AE227" s="36">
        <v>14</v>
      </c>
      <c r="AF227" s="71">
        <v>4.33</v>
      </c>
      <c r="AG227" s="37">
        <v>0</v>
      </c>
      <c r="AH227" s="37">
        <v>0</v>
      </c>
      <c r="AI227" s="37">
        <v>97</v>
      </c>
      <c r="AJ227" s="37">
        <v>1</v>
      </c>
      <c r="AK227" s="37" t="str">
        <f>VLOOKUP(Mecze[[#This Row],[Match ID]],Meczusie[Mecz]:Meczusie[RodzajMeczu],2,FALSE)</f>
        <v>Liga</v>
      </c>
    </row>
    <row r="228" spans="1:37" x14ac:dyDescent="0.25">
      <c r="A228" s="76">
        <v>15</v>
      </c>
      <c r="B228" s="3" t="s">
        <v>170</v>
      </c>
      <c r="C228" s="2" t="s">
        <v>160</v>
      </c>
      <c r="D228" s="1">
        <v>0</v>
      </c>
      <c r="E228" s="1">
        <v>0</v>
      </c>
      <c r="F228" s="1">
        <v>0</v>
      </c>
      <c r="G228" s="1">
        <v>9</v>
      </c>
      <c r="H228" s="4">
        <v>0.67</v>
      </c>
      <c r="I228" s="1">
        <v>11</v>
      </c>
      <c r="J228" s="4">
        <v>0.27</v>
      </c>
      <c r="K228" s="1">
        <v>0</v>
      </c>
      <c r="L228" s="1">
        <v>5</v>
      </c>
      <c r="M228" s="32">
        <f>IF(Mecze[[#This Row],[PR]]=0,0,Mecze[[#This Row],[PR]]/Mecze[[#This Row],[CZAS]])</f>
        <v>5.1546391752577317E-2</v>
      </c>
      <c r="N228" s="32">
        <f>IF(Mecze[[#This Row],[OU]]=0,0,Mecze[[#This Row],[OU]]/Mecze[[#This Row],[CZAS]])</f>
        <v>3.0927835051546393E-2</v>
      </c>
      <c r="O228" s="32">
        <f>IF(Mecze[[#This Row],[PC]]=0,0,Mecze[[#This Row],[PC]]/Mecze[[#This Row],[CZAS]])</f>
        <v>6.1855670103092786E-2</v>
      </c>
      <c r="P228" s="32">
        <f>IF(Mecze[[#This Row],[SC]]=0,0,Mecze[[#This Row],[SC]]/Mecze[[#This Row],[CZAS]])</f>
        <v>0</v>
      </c>
      <c r="Q228" s="32">
        <f>IF(Mecze[[#This Row],[OB]]=0,0,Mecze[[#This Row],[OB]]/Mecze[[#This Row],[CZAS]])</f>
        <v>0</v>
      </c>
      <c r="R228" s="32">
        <f>IF(Mecze[[#This Row],[BR]]=0,0,Mecze[[#This Row],[BR]]/Mecze[[#This Row],[CZAS]])</f>
        <v>0</v>
      </c>
      <c r="S228" s="44">
        <f>IF(Mecze[[#This Row],[Role]]="BR",SUMPRODUCT(Mecze[[#This Row],[/PR:90]:[/BR:90]],Brudnopis!$E$23:$J$23),0)</f>
        <v>0</v>
      </c>
      <c r="T228" s="44">
        <f>IF(Mecze[[#This Row],[Role]]&lt;&gt;"BR",SUMPRODUCT(Mecze[[#This Row],[/PR:90]:[/BR:90]],Brudnopis!$E$24:$J$24),0)</f>
        <v>0.15979381443298968</v>
      </c>
      <c r="U228" s="44">
        <f>IF(Mecze[[#This Row],[Role]]&lt;&gt;"BR",SUMPRODUCT(Mecze[[#This Row],[/PR:90]:[/BR:90]],Brudnopis!$E$25:$J$25),0)</f>
        <v>0.17525773195876287</v>
      </c>
      <c r="V228" s="44">
        <f>IF(Mecze[[#This Row],[Role]]&lt;&gt;"BR",SUMPRODUCT(Mecze[[#This Row],[/PR:90]:[/BR:90]],Brudnopis!$E$26:$J$26),0)</f>
        <v>0.14432989690721648</v>
      </c>
      <c r="W228" s="44">
        <f>IF(Mecze[[#This Row],[Role]]&lt;&gt;"BR",SUMPRODUCT(Mecze[[#This Row],[/PR:90]:[/BR:90]],Brudnopis!$E$27:$J$27),0)</f>
        <v>0.15463917525773196</v>
      </c>
      <c r="X228" s="44">
        <f>IF(Mecze[[#This Row],[Role]]&lt;&gt;"BR",SUMPRODUCT(Mecze[[#This Row],[/PR:90]:[/BR:90]],Brudnopis!$E$28:$J$28),0)</f>
        <v>6.1855670103092786E-2</v>
      </c>
      <c r="Y228" s="35">
        <f>IF(Mecze[[#This Row],[Role]]="BR",Mecze[[#This Row],[/OB:90]]+Mecze[[#This Row],[/PC:90]],SUM(Mecze[[#This Row],[/PR:90]:[/BR:90]]))</f>
        <v>0.14432989690721648</v>
      </c>
      <c r="Z228" s="35">
        <f>IF(Mecze[[#This Row],[KC]]=0,SUM(Mecze[[#This Row],[/BRI]:[/NPI]]),SUM(Mecze[[#This Row],[/BRI]:[/NPI]])*0.6)</f>
        <v>0.69587628865979378</v>
      </c>
      <c r="AA228" s="10">
        <f>IFERROR(Mecze[[#This Row],[BR]]/Mecze[[#This Row],[ST]],0)</f>
        <v>0</v>
      </c>
      <c r="AB228">
        <f>ROUND(Mecze[[#This Row],[PD]]*Mecze[[#This Row],[%PC]],0)</f>
        <v>6</v>
      </c>
      <c r="AC228">
        <f>ROUND(Mecze[[#This Row],[OD]]*Mecze[[#This Row],[%OU]],0)</f>
        <v>3</v>
      </c>
      <c r="AD228" s="36" t="s">
        <v>41</v>
      </c>
      <c r="AE228" s="36">
        <v>14</v>
      </c>
      <c r="AF228" s="71">
        <v>4.96</v>
      </c>
      <c r="AG228" s="37">
        <v>0</v>
      </c>
      <c r="AH228" s="37">
        <v>0</v>
      </c>
      <c r="AI228" s="37">
        <v>97</v>
      </c>
      <c r="AJ228" s="37">
        <v>1</v>
      </c>
      <c r="AK228" s="37" t="str">
        <f>VLOOKUP(Mecze[[#This Row],[Match ID]],Meczusie[Mecz]:Meczusie[RodzajMeczu],2,FALSE)</f>
        <v>Liga</v>
      </c>
    </row>
    <row r="229" spans="1:37" x14ac:dyDescent="0.25">
      <c r="A229" s="76">
        <v>14</v>
      </c>
      <c r="B229" s="3" t="s">
        <v>164</v>
      </c>
      <c r="C229" s="2" t="s">
        <v>165</v>
      </c>
      <c r="D229" s="1">
        <v>0</v>
      </c>
      <c r="E229" s="1">
        <v>7</v>
      </c>
      <c r="F229" s="1">
        <v>7</v>
      </c>
      <c r="G229" s="1">
        <v>4</v>
      </c>
      <c r="H229" s="4">
        <v>0.75</v>
      </c>
      <c r="I229" s="1">
        <v>3</v>
      </c>
      <c r="J229" s="4">
        <v>0.33</v>
      </c>
      <c r="K229" s="1">
        <v>0</v>
      </c>
      <c r="L229" s="1">
        <v>1</v>
      </c>
      <c r="M229" s="32">
        <f>IF(Mecze[[#This Row],[PR]]=0,0,Mecze[[#This Row],[PR]]/Mecze[[#This Row],[CZAS]])</f>
        <v>1.0309278350515464E-2</v>
      </c>
      <c r="N229" s="32">
        <f>IF(Mecze[[#This Row],[OU]]=0,0,Mecze[[#This Row],[OU]]/Mecze[[#This Row],[CZAS]])</f>
        <v>1.0309278350515464E-2</v>
      </c>
      <c r="O229" s="32">
        <f>IF(Mecze[[#This Row],[PC]]=0,0,Mecze[[#This Row],[PC]]/Mecze[[#This Row],[CZAS]])</f>
        <v>3.0927835051546393E-2</v>
      </c>
      <c r="P229" s="32">
        <f>IF(Mecze[[#This Row],[SC]]=0,0,Mecze[[#This Row],[SC]]/Mecze[[#This Row],[CZAS]])</f>
        <v>7.2164948453608241E-2</v>
      </c>
      <c r="Q229" s="32">
        <f>IF(Mecze[[#This Row],[OB]]=0,0,Mecze[[#This Row],[OB]]/Mecze[[#This Row],[CZAS]])</f>
        <v>0</v>
      </c>
      <c r="R229" s="32">
        <f>IF(Mecze[[#This Row],[BR]]=0,0,Mecze[[#This Row],[BR]]/Mecze[[#This Row],[CZAS]])</f>
        <v>0</v>
      </c>
      <c r="S229" s="44">
        <f>IF(Mecze[[#This Row],[Role]]="BR",SUMPRODUCT(Mecze[[#This Row],[/PR:90]:[/BR:90]],Brudnopis!$E$23:$J$23),0)</f>
        <v>0</v>
      </c>
      <c r="T229" s="44">
        <f>IF(Mecze[[#This Row],[Role]]&lt;&gt;"BR",SUMPRODUCT(Mecze[[#This Row],[/PR:90]:[/BR:90]],Brudnopis!$E$24:$J$24),0)</f>
        <v>0.12886597938144329</v>
      </c>
      <c r="U229" s="44">
        <f>IF(Mecze[[#This Row],[Role]]&lt;&gt;"BR",SUMPRODUCT(Mecze[[#This Row],[/PR:90]:[/BR:90]],Brudnopis!$E$25:$J$25),0)</f>
        <v>0.13917525773195877</v>
      </c>
      <c r="V229" s="44">
        <f>IF(Mecze[[#This Row],[Role]]&lt;&gt;"BR",SUMPRODUCT(Mecze[[#This Row],[/PR:90]:[/BR:90]],Brudnopis!$E$26:$J$26),0)</f>
        <v>0.12371134020618556</v>
      </c>
      <c r="W229" s="44">
        <f>IF(Mecze[[#This Row],[Role]]&lt;&gt;"BR",SUMPRODUCT(Mecze[[#This Row],[/PR:90]:[/BR:90]],Brudnopis!$E$27:$J$27),0)</f>
        <v>0.13402061855670103</v>
      </c>
      <c r="X229" s="44">
        <f>IF(Mecze[[#This Row],[Role]]&lt;&gt;"BR",SUMPRODUCT(Mecze[[#This Row],[/PR:90]:[/BR:90]],Brudnopis!$E$28:$J$28),0)</f>
        <v>0.17525773195876287</v>
      </c>
      <c r="Y229" s="35">
        <f>IF(Mecze[[#This Row],[Role]]="BR",Mecze[[#This Row],[/OB:90]]+Mecze[[#This Row],[/PC:90]],SUM(Mecze[[#This Row],[/PR:90]:[/BR:90]]))</f>
        <v>0.12371134020618556</v>
      </c>
      <c r="Z229" s="35">
        <f>IF(Mecze[[#This Row],[KC]]=0,SUM(Mecze[[#This Row],[/BRI]:[/NPI]]),SUM(Mecze[[#This Row],[/BRI]:[/NPI]])*0.6)</f>
        <v>0.7010309278350515</v>
      </c>
      <c r="AA229" s="10">
        <f>IFERROR(Mecze[[#This Row],[BR]]/Mecze[[#This Row],[ST]],0)</f>
        <v>0</v>
      </c>
      <c r="AB229">
        <f>ROUND(Mecze[[#This Row],[PD]]*Mecze[[#This Row],[%PC]],0)</f>
        <v>3</v>
      </c>
      <c r="AC229">
        <f>ROUND(Mecze[[#This Row],[OD]]*Mecze[[#This Row],[%OU]],0)</f>
        <v>1</v>
      </c>
      <c r="AD229" s="36" t="s">
        <v>46</v>
      </c>
      <c r="AE229" s="36">
        <v>14</v>
      </c>
      <c r="AF229" s="71">
        <v>4.25</v>
      </c>
      <c r="AG229" s="37">
        <v>0</v>
      </c>
      <c r="AH229" s="37">
        <v>0</v>
      </c>
      <c r="AI229" s="37">
        <v>97</v>
      </c>
      <c r="AJ229" s="37">
        <v>1</v>
      </c>
      <c r="AK229" s="37" t="str">
        <f>VLOOKUP(Mecze[[#This Row],[Match ID]],Meczusie[Mecz]:Meczusie[RodzajMeczu],2,FALSE)</f>
        <v>Liga</v>
      </c>
    </row>
    <row r="230" spans="1:37" x14ac:dyDescent="0.25">
      <c r="A230" s="76">
        <v>19</v>
      </c>
      <c r="B230" s="3" t="s">
        <v>166</v>
      </c>
      <c r="C230" s="2" t="s">
        <v>165</v>
      </c>
      <c r="D230" s="1">
        <v>0</v>
      </c>
      <c r="E230" s="1">
        <v>1</v>
      </c>
      <c r="F230" s="1">
        <v>1</v>
      </c>
      <c r="G230" s="1">
        <v>2</v>
      </c>
      <c r="H230" s="4">
        <v>0.5</v>
      </c>
      <c r="I230" s="1">
        <v>2</v>
      </c>
      <c r="J230" s="4">
        <v>0.5</v>
      </c>
      <c r="K230" s="1">
        <v>0</v>
      </c>
      <c r="L230" s="1">
        <v>0</v>
      </c>
      <c r="M230" s="32">
        <f>IF(Mecze[[#This Row],[PR]]=0,0,Mecze[[#This Row],[PR]]/Mecze[[#This Row],[CZAS]])</f>
        <v>0</v>
      </c>
      <c r="N230" s="32">
        <f>IF(Mecze[[#This Row],[OU]]=0,0,Mecze[[#This Row],[OU]]/Mecze[[#This Row],[CZAS]])</f>
        <v>1.0309278350515464E-2</v>
      </c>
      <c r="O230" s="32">
        <f>IF(Mecze[[#This Row],[PC]]=0,0,Mecze[[#This Row],[PC]]/Mecze[[#This Row],[CZAS]])</f>
        <v>1.0309278350515464E-2</v>
      </c>
      <c r="P230" s="32">
        <f>IF(Mecze[[#This Row],[SC]]=0,0,Mecze[[#This Row],[SC]]/Mecze[[#This Row],[CZAS]])</f>
        <v>1.0309278350515464E-2</v>
      </c>
      <c r="Q230" s="32">
        <f>IF(Mecze[[#This Row],[OB]]=0,0,Mecze[[#This Row],[OB]]/Mecze[[#This Row],[CZAS]])</f>
        <v>0</v>
      </c>
      <c r="R230" s="32">
        <f>IF(Mecze[[#This Row],[BR]]=0,0,Mecze[[#This Row],[BR]]/Mecze[[#This Row],[CZAS]])</f>
        <v>0</v>
      </c>
      <c r="S230" s="44">
        <f>IF(Mecze[[#This Row],[Role]]="BR",SUMPRODUCT(Mecze[[#This Row],[/PR:90]:[/BR:90]],Brudnopis!$E$23:$J$23),0)</f>
        <v>0</v>
      </c>
      <c r="T230" s="44">
        <f>IF(Mecze[[#This Row],[Role]]&lt;&gt;"BR",SUMPRODUCT(Mecze[[#This Row],[/PR:90]:[/BR:90]],Brudnopis!$E$24:$J$24),0)</f>
        <v>3.608247422680412E-2</v>
      </c>
      <c r="U230" s="44">
        <f>IF(Mecze[[#This Row],[Role]]&lt;&gt;"BR",SUMPRODUCT(Mecze[[#This Row],[/PR:90]:[/BR:90]],Brudnopis!$E$25:$J$25),0)</f>
        <v>3.608247422680412E-2</v>
      </c>
      <c r="V230" s="44">
        <f>IF(Mecze[[#This Row],[Role]]&lt;&gt;"BR",SUMPRODUCT(Mecze[[#This Row],[/PR:90]:[/BR:90]],Brudnopis!$E$26:$J$26),0)</f>
        <v>3.0927835051546393E-2</v>
      </c>
      <c r="W230" s="44">
        <f>IF(Mecze[[#This Row],[Role]]&lt;&gt;"BR",SUMPRODUCT(Mecze[[#This Row],[/PR:90]:[/BR:90]],Brudnopis!$E$27:$J$27),0)</f>
        <v>3.3505154639175257E-2</v>
      </c>
      <c r="X230" s="44">
        <f>IF(Mecze[[#This Row],[Role]]&lt;&gt;"BR",SUMPRODUCT(Mecze[[#This Row],[/PR:90]:[/BR:90]],Brudnopis!$E$28:$J$28),0)</f>
        <v>3.0927835051546393E-2</v>
      </c>
      <c r="Y230" s="35">
        <f>IF(Mecze[[#This Row],[Role]]="BR",Mecze[[#This Row],[/OB:90]]+Mecze[[#This Row],[/PC:90]],SUM(Mecze[[#This Row],[/PR:90]:[/BR:90]]))</f>
        <v>3.0927835051546393E-2</v>
      </c>
      <c r="Z230" s="35">
        <f>IF(Mecze[[#This Row],[KC]]=0,SUM(Mecze[[#This Row],[/BRI]:[/NPI]]),SUM(Mecze[[#This Row],[/BRI]:[/NPI]])*0.6)</f>
        <v>0.16752577319587628</v>
      </c>
      <c r="AA230" s="10">
        <f>IFERROR(Mecze[[#This Row],[BR]]/Mecze[[#This Row],[ST]],0)</f>
        <v>0</v>
      </c>
      <c r="AB230">
        <f>ROUND(Mecze[[#This Row],[PD]]*Mecze[[#This Row],[%PC]],0)</f>
        <v>1</v>
      </c>
      <c r="AC230">
        <f>ROUND(Mecze[[#This Row],[OD]]*Mecze[[#This Row],[%OU]],0)</f>
        <v>1</v>
      </c>
      <c r="AD230" s="36" t="s">
        <v>46</v>
      </c>
      <c r="AE230" s="36">
        <v>14</v>
      </c>
      <c r="AF230" s="71">
        <v>1.82</v>
      </c>
      <c r="AG230" s="37">
        <v>1</v>
      </c>
      <c r="AH230" s="37">
        <v>0</v>
      </c>
      <c r="AI230" s="37">
        <v>97</v>
      </c>
      <c r="AJ230" s="37">
        <v>1</v>
      </c>
      <c r="AK230" s="37" t="str">
        <f>VLOOKUP(Mecze[[#This Row],[Match ID]],Meczusie[Mecz]:Meczusie[RodzajMeczu],2,FALSE)</f>
        <v>Liga</v>
      </c>
    </row>
    <row r="231" spans="1:37" x14ac:dyDescent="0.25">
      <c r="A231" s="76">
        <v>11</v>
      </c>
      <c r="B231" s="3" t="s">
        <v>163</v>
      </c>
      <c r="C231" s="2" t="s">
        <v>165</v>
      </c>
      <c r="D231" s="1">
        <v>0</v>
      </c>
      <c r="E231" s="1">
        <v>5</v>
      </c>
      <c r="F231" s="1">
        <v>5</v>
      </c>
      <c r="G231" s="1">
        <v>10</v>
      </c>
      <c r="H231" s="4">
        <v>0.8</v>
      </c>
      <c r="I231" s="1">
        <v>1</v>
      </c>
      <c r="J231" s="4">
        <v>0</v>
      </c>
      <c r="K231" s="1">
        <v>0</v>
      </c>
      <c r="L231" s="1">
        <v>2</v>
      </c>
      <c r="M231" s="32">
        <f>IF(Mecze[[#This Row],[PR]]=0,0,Mecze[[#This Row],[PR]]/Mecze[[#This Row],[CZAS]])</f>
        <v>2.0618556701030927E-2</v>
      </c>
      <c r="N231" s="32">
        <f>IF(Mecze[[#This Row],[OU]]=0,0,Mecze[[#This Row],[OU]]/Mecze[[#This Row],[CZAS]])</f>
        <v>0</v>
      </c>
      <c r="O231" s="32">
        <f>IF(Mecze[[#This Row],[PC]]=0,0,Mecze[[#This Row],[PC]]/Mecze[[#This Row],[CZAS]])</f>
        <v>8.247422680412371E-2</v>
      </c>
      <c r="P231" s="32">
        <f>IF(Mecze[[#This Row],[SC]]=0,0,Mecze[[#This Row],[SC]]/Mecze[[#This Row],[CZAS]])</f>
        <v>5.1546391752577317E-2</v>
      </c>
      <c r="Q231" s="32">
        <f>IF(Mecze[[#This Row],[OB]]=0,0,Mecze[[#This Row],[OB]]/Mecze[[#This Row],[CZAS]])</f>
        <v>0</v>
      </c>
      <c r="R231" s="32">
        <f>IF(Mecze[[#This Row],[BR]]=0,0,Mecze[[#This Row],[BR]]/Mecze[[#This Row],[CZAS]])</f>
        <v>0</v>
      </c>
      <c r="S231" s="44">
        <f>IF(Mecze[[#This Row],[Role]]="BR",SUMPRODUCT(Mecze[[#This Row],[/PR:90]:[/BR:90]],Brudnopis!$E$23:$J$23),0)</f>
        <v>0</v>
      </c>
      <c r="T231" s="44">
        <f>IF(Mecze[[#This Row],[Role]]&lt;&gt;"BR",SUMPRODUCT(Mecze[[#This Row],[/PR:90]:[/BR:90]],Brudnopis!$E$24:$J$24),0)</f>
        <v>0.15463917525773196</v>
      </c>
      <c r="U231" s="44">
        <f>IF(Mecze[[#This Row],[Role]]&lt;&gt;"BR",SUMPRODUCT(Mecze[[#This Row],[/PR:90]:[/BR:90]],Brudnopis!$E$25:$J$25),0)</f>
        <v>0.19587628865979384</v>
      </c>
      <c r="V231" s="44">
        <f>IF(Mecze[[#This Row],[Role]]&lt;&gt;"BR",SUMPRODUCT(Mecze[[#This Row],[/PR:90]:[/BR:90]],Brudnopis!$E$26:$J$26),0)</f>
        <v>0.15463917525773196</v>
      </c>
      <c r="W231" s="44">
        <f>IF(Mecze[[#This Row],[Role]]&lt;&gt;"BR",SUMPRODUCT(Mecze[[#This Row],[/PR:90]:[/BR:90]],Brudnopis!$E$27:$J$27),0)</f>
        <v>0.19072164948453607</v>
      </c>
      <c r="X231" s="44">
        <f>IF(Mecze[[#This Row],[Role]]&lt;&gt;"BR",SUMPRODUCT(Mecze[[#This Row],[/PR:90]:[/BR:90]],Brudnopis!$E$28:$J$28),0)</f>
        <v>0.18556701030927836</v>
      </c>
      <c r="Y231" s="35">
        <f>IF(Mecze[[#This Row],[Role]]="BR",Mecze[[#This Row],[/OB:90]]+Mecze[[#This Row],[/PC:90]],SUM(Mecze[[#This Row],[/PR:90]:[/BR:90]]))</f>
        <v>0.15463917525773196</v>
      </c>
      <c r="Z231" s="35">
        <f>IF(Mecze[[#This Row],[KC]]=0,SUM(Mecze[[#This Row],[/BRI]:[/NPI]]),SUM(Mecze[[#This Row],[/BRI]:[/NPI]])*0.6)</f>
        <v>0.88144329896907214</v>
      </c>
      <c r="AA231" s="10">
        <f>IFERROR(Mecze[[#This Row],[BR]]/Mecze[[#This Row],[ST]],0)</f>
        <v>0</v>
      </c>
      <c r="AB231">
        <f>ROUND(Mecze[[#This Row],[PD]]*Mecze[[#This Row],[%PC]],0)</f>
        <v>8</v>
      </c>
      <c r="AC231">
        <f>ROUND(Mecze[[#This Row],[OD]]*Mecze[[#This Row],[%OU]],0)</f>
        <v>0</v>
      </c>
      <c r="AD231" s="36" t="s">
        <v>46</v>
      </c>
      <c r="AE231" s="36">
        <v>14</v>
      </c>
      <c r="AF231" s="71">
        <v>6.06</v>
      </c>
      <c r="AG231" s="37">
        <v>0</v>
      </c>
      <c r="AH231" s="37">
        <v>0</v>
      </c>
      <c r="AI231" s="37">
        <v>97</v>
      </c>
      <c r="AJ231" s="37">
        <v>1</v>
      </c>
      <c r="AK231" s="37" t="str">
        <f>VLOOKUP(Mecze[[#This Row],[Match ID]],Meczusie[Mecz]:Meczusie[RodzajMeczu],2,FALSE)</f>
        <v>Liga</v>
      </c>
    </row>
    <row r="232" spans="1:37" x14ac:dyDescent="0.25">
      <c r="A232" s="76">
        <v>1</v>
      </c>
      <c r="B232" s="3" t="s">
        <v>261</v>
      </c>
      <c r="C232" s="2" t="s">
        <v>155</v>
      </c>
      <c r="D232" s="1">
        <v>0</v>
      </c>
      <c r="E232" s="1">
        <v>0</v>
      </c>
      <c r="F232" s="1">
        <v>0</v>
      </c>
      <c r="G232" s="1">
        <v>12</v>
      </c>
      <c r="H232" s="4">
        <v>0.42</v>
      </c>
      <c r="I232" s="1">
        <v>0</v>
      </c>
      <c r="J232" s="4"/>
      <c r="K232" s="1">
        <v>13</v>
      </c>
      <c r="L232" s="1">
        <v>0</v>
      </c>
      <c r="M232" s="32">
        <f>IF(Mecze[[#This Row],[PR]]=0,0,Mecze[[#This Row],[PR]]/Mecze[[#This Row],[CZAS]])</f>
        <v>0</v>
      </c>
      <c r="N232" s="32">
        <f>IF(Mecze[[#This Row],[OU]]=0,0,Mecze[[#This Row],[OU]]/Mecze[[#This Row],[CZAS]])</f>
        <v>0</v>
      </c>
      <c r="O232" s="32">
        <f>IF(Mecze[[#This Row],[PC]]=0,0,Mecze[[#This Row],[PC]]/Mecze[[#This Row],[CZAS]])</f>
        <v>5.1546391752577317E-2</v>
      </c>
      <c r="P232" s="32">
        <f>IF(Mecze[[#This Row],[SC]]=0,0,Mecze[[#This Row],[SC]]/Mecze[[#This Row],[CZAS]])</f>
        <v>0</v>
      </c>
      <c r="Q232" s="32">
        <f>IF(Mecze[[#This Row],[OB]]=0,0,Mecze[[#This Row],[OB]]/Mecze[[#This Row],[CZAS]])</f>
        <v>0.13402061855670103</v>
      </c>
      <c r="R232" s="32">
        <f>IF(Mecze[[#This Row],[BR]]=0,0,Mecze[[#This Row],[BR]]/Mecze[[#This Row],[CZAS]])</f>
        <v>0</v>
      </c>
      <c r="S232" s="44">
        <f>IF(Mecze[[#This Row],[Role]]="BR",SUMPRODUCT(Mecze[[#This Row],[/PR:90]:[/BR:90]],Brudnopis!$E$23:$J$23),0)</f>
        <v>0.55670103092783507</v>
      </c>
      <c r="T232" s="44">
        <f>IF(Mecze[[#This Row],[Role]]&lt;&gt;"BR",SUMPRODUCT(Mecze[[#This Row],[/PR:90]:[/BR:90]],Brudnopis!$E$24:$J$24),0)</f>
        <v>0</v>
      </c>
      <c r="U232" s="44">
        <f>IF(Mecze[[#This Row],[Role]]&lt;&gt;"BR",SUMPRODUCT(Mecze[[#This Row],[/PR:90]:[/BR:90]],Brudnopis!$E$25:$J$25),0)</f>
        <v>0</v>
      </c>
      <c r="V232" s="44">
        <f>IF(Mecze[[#This Row],[Role]]&lt;&gt;"BR",SUMPRODUCT(Mecze[[#This Row],[/PR:90]:[/BR:90]],Brudnopis!$E$26:$J$26),0)</f>
        <v>0</v>
      </c>
      <c r="W232" s="44">
        <f>IF(Mecze[[#This Row],[Role]]&lt;&gt;"BR",SUMPRODUCT(Mecze[[#This Row],[/PR:90]:[/BR:90]],Brudnopis!$E$27:$J$27),0)</f>
        <v>0</v>
      </c>
      <c r="X232" s="44">
        <f>IF(Mecze[[#This Row],[Role]]&lt;&gt;"BR",SUMPRODUCT(Mecze[[#This Row],[/PR:90]:[/BR:90]],Brudnopis!$E$28:$J$28),0)</f>
        <v>0</v>
      </c>
      <c r="Y232" s="35">
        <f>IF(Mecze[[#This Row],[Role]]="BR",Mecze[[#This Row],[/OB:90]]+Mecze[[#This Row],[/PC:90]],SUM(Mecze[[#This Row],[/PR:90]:[/BR:90]]))</f>
        <v>0.18556701030927836</v>
      </c>
      <c r="Z232" s="35">
        <f>IF(Mecze[[#This Row],[KC]]=0,SUM(Mecze[[#This Row],[/BRI]:[/NPI]]),SUM(Mecze[[#This Row],[/BRI]:[/NPI]])*0.6)</f>
        <v>0.55670103092783507</v>
      </c>
      <c r="AA232" s="10">
        <f>IFERROR(Mecze[[#This Row],[BR]]/Mecze[[#This Row],[ST]],0)</f>
        <v>0</v>
      </c>
      <c r="AB232">
        <f>ROUND(Mecze[[#This Row],[PD]]*Mecze[[#This Row],[%PC]],0)</f>
        <v>5</v>
      </c>
      <c r="AC232">
        <f>ROUND(Mecze[[#This Row],[OD]]*Mecze[[#This Row],[%OU]],0)</f>
        <v>0</v>
      </c>
      <c r="AD232" s="36" t="s">
        <v>40</v>
      </c>
      <c r="AE232" s="36">
        <v>14</v>
      </c>
      <c r="AF232" s="71">
        <v>11.59</v>
      </c>
      <c r="AG232" s="37">
        <v>0</v>
      </c>
      <c r="AH232" s="37">
        <v>0</v>
      </c>
      <c r="AI232" s="37">
        <v>97</v>
      </c>
      <c r="AJ232" s="37">
        <v>3</v>
      </c>
      <c r="AK232" s="37" t="str">
        <f>VLOOKUP(Mecze[[#This Row],[Match ID]],Meczusie[Mecz]:Meczusie[RodzajMeczu],2,FALSE)</f>
        <v>Liga</v>
      </c>
    </row>
    <row r="233" spans="1:37" x14ac:dyDescent="0.25">
      <c r="A233" s="76">
        <v>13</v>
      </c>
      <c r="B233" s="3" t="s">
        <v>262</v>
      </c>
      <c r="C233" s="2" t="s">
        <v>157</v>
      </c>
      <c r="D233" s="1">
        <v>0</v>
      </c>
      <c r="E233" s="1">
        <v>0</v>
      </c>
      <c r="F233" s="1">
        <v>0</v>
      </c>
      <c r="G233" s="1">
        <v>5</v>
      </c>
      <c r="H233" s="4">
        <v>1</v>
      </c>
      <c r="I233" s="1">
        <v>2</v>
      </c>
      <c r="J233" s="4">
        <v>1</v>
      </c>
      <c r="K233" s="1">
        <v>0</v>
      </c>
      <c r="L233" s="1">
        <v>0</v>
      </c>
      <c r="M233" s="32">
        <f>IF(Mecze[[#This Row],[PR]]=0,0,Mecze[[#This Row],[PR]]/Mecze[[#This Row],[CZAS]])</f>
        <v>0</v>
      </c>
      <c r="N233" s="32">
        <f>IF(Mecze[[#This Row],[OU]]=0,0,Mecze[[#This Row],[OU]]/Mecze[[#This Row],[CZAS]])</f>
        <v>2.0618556701030927E-2</v>
      </c>
      <c r="O233" s="32">
        <f>IF(Mecze[[#This Row],[PC]]=0,0,Mecze[[#This Row],[PC]]/Mecze[[#This Row],[CZAS]])</f>
        <v>5.1546391752577317E-2</v>
      </c>
      <c r="P233" s="32">
        <f>IF(Mecze[[#This Row],[SC]]=0,0,Mecze[[#This Row],[SC]]/Mecze[[#This Row],[CZAS]])</f>
        <v>0</v>
      </c>
      <c r="Q233" s="32">
        <f>IF(Mecze[[#This Row],[OB]]=0,0,Mecze[[#This Row],[OB]]/Mecze[[#This Row],[CZAS]])</f>
        <v>0</v>
      </c>
      <c r="R233" s="32">
        <f>IF(Mecze[[#This Row],[BR]]=0,0,Mecze[[#This Row],[BR]]/Mecze[[#This Row],[CZAS]])</f>
        <v>0</v>
      </c>
      <c r="S233" s="44">
        <f>IF(Mecze[[#This Row],[Role]]="BR",SUMPRODUCT(Mecze[[#This Row],[/PR:90]:[/BR:90]],Brudnopis!$E$23:$J$23),0)</f>
        <v>0</v>
      </c>
      <c r="T233" s="44">
        <f>IF(Mecze[[#This Row],[Role]]&lt;&gt;"BR",SUMPRODUCT(Mecze[[#This Row],[/PR:90]:[/BR:90]],Brudnopis!$E$24:$J$24),0)</f>
        <v>8.247422680412371E-2</v>
      </c>
      <c r="U233" s="44">
        <f>IF(Mecze[[#This Row],[Role]]&lt;&gt;"BR",SUMPRODUCT(Mecze[[#This Row],[/PR:90]:[/BR:90]],Brudnopis!$E$25:$J$25),0)</f>
        <v>9.7938144329896906E-2</v>
      </c>
      <c r="V233" s="44">
        <f>IF(Mecze[[#This Row],[Role]]&lt;&gt;"BR",SUMPRODUCT(Mecze[[#This Row],[/PR:90]:[/BR:90]],Brudnopis!$E$26:$J$26),0)</f>
        <v>7.2164948453608241E-2</v>
      </c>
      <c r="W233" s="44">
        <f>IF(Mecze[[#This Row],[Role]]&lt;&gt;"BR",SUMPRODUCT(Mecze[[#This Row],[/PR:90]:[/BR:90]],Brudnopis!$E$27:$J$27),0)</f>
        <v>9.2783505154639179E-2</v>
      </c>
      <c r="X233" s="44">
        <f>IF(Mecze[[#This Row],[Role]]&lt;&gt;"BR",SUMPRODUCT(Mecze[[#This Row],[/PR:90]:[/BR:90]],Brudnopis!$E$28:$J$28),0)</f>
        <v>5.1546391752577317E-2</v>
      </c>
      <c r="Y233" s="35">
        <f>IF(Mecze[[#This Row],[Role]]="BR",Mecze[[#This Row],[/OB:90]]+Mecze[[#This Row],[/PC:90]],SUM(Mecze[[#This Row],[/PR:90]:[/BR:90]]))</f>
        <v>7.2164948453608241E-2</v>
      </c>
      <c r="Z233" s="35">
        <f>IF(Mecze[[#This Row],[KC]]=0,SUM(Mecze[[#This Row],[/BRI]:[/NPI]]),SUM(Mecze[[#This Row],[/BRI]:[/NPI]])*0.6)</f>
        <v>0.39690721649484534</v>
      </c>
      <c r="AA233" s="10">
        <f>IFERROR(Mecze[[#This Row],[BR]]/Mecze[[#This Row],[ST]],0)</f>
        <v>0</v>
      </c>
      <c r="AB233">
        <f>ROUND(Mecze[[#This Row],[PD]]*Mecze[[#This Row],[%PC]],0)</f>
        <v>5</v>
      </c>
      <c r="AC233">
        <f>ROUND(Mecze[[#This Row],[OD]]*Mecze[[#This Row],[%OU]],0)</f>
        <v>2</v>
      </c>
      <c r="AD233" s="36" t="s">
        <v>175</v>
      </c>
      <c r="AE233" s="36">
        <v>14</v>
      </c>
      <c r="AF233" s="71">
        <v>7.04</v>
      </c>
      <c r="AG233" s="37">
        <v>0</v>
      </c>
      <c r="AH233" s="37">
        <v>0</v>
      </c>
      <c r="AI233" s="37">
        <v>97</v>
      </c>
      <c r="AJ233" s="37">
        <v>3</v>
      </c>
      <c r="AK233" s="37" t="str">
        <f>VLOOKUP(Mecze[[#This Row],[Match ID]],Meczusie[Mecz]:Meczusie[RodzajMeczu],2,FALSE)</f>
        <v>Liga</v>
      </c>
    </row>
    <row r="234" spans="1:37" x14ac:dyDescent="0.25">
      <c r="A234" s="76">
        <v>6</v>
      </c>
      <c r="B234" s="3" t="s">
        <v>263</v>
      </c>
      <c r="C234" s="2" t="s">
        <v>157</v>
      </c>
      <c r="D234" s="1">
        <v>0</v>
      </c>
      <c r="E234" s="1">
        <v>0</v>
      </c>
      <c r="F234" s="1">
        <v>0</v>
      </c>
      <c r="G234" s="1">
        <v>23</v>
      </c>
      <c r="H234" s="4">
        <v>0.74</v>
      </c>
      <c r="I234" s="1">
        <v>14</v>
      </c>
      <c r="J234" s="4">
        <v>0.86</v>
      </c>
      <c r="K234" s="1">
        <v>0</v>
      </c>
      <c r="L234" s="1">
        <v>8</v>
      </c>
      <c r="M234" s="32">
        <f>IF(Mecze[[#This Row],[PR]]=0,0,Mecze[[#This Row],[PR]]/Mecze[[#This Row],[CZAS]])</f>
        <v>8.247422680412371E-2</v>
      </c>
      <c r="N234" s="32">
        <f>IF(Mecze[[#This Row],[OU]]=0,0,Mecze[[#This Row],[OU]]/Mecze[[#This Row],[CZAS]])</f>
        <v>0.12371134020618557</v>
      </c>
      <c r="O234" s="32">
        <f>IF(Mecze[[#This Row],[PC]]=0,0,Mecze[[#This Row],[PC]]/Mecze[[#This Row],[CZAS]])</f>
        <v>0.17525773195876287</v>
      </c>
      <c r="P234" s="32">
        <f>IF(Mecze[[#This Row],[SC]]=0,0,Mecze[[#This Row],[SC]]/Mecze[[#This Row],[CZAS]])</f>
        <v>0</v>
      </c>
      <c r="Q234" s="32">
        <f>IF(Mecze[[#This Row],[OB]]=0,0,Mecze[[#This Row],[OB]]/Mecze[[#This Row],[CZAS]])</f>
        <v>0</v>
      </c>
      <c r="R234" s="32">
        <f>IF(Mecze[[#This Row],[BR]]=0,0,Mecze[[#This Row],[BR]]/Mecze[[#This Row],[CZAS]])</f>
        <v>0</v>
      </c>
      <c r="S234" s="44">
        <f>IF(Mecze[[#This Row],[Role]]="BR",SUMPRODUCT(Mecze[[#This Row],[/PR:90]:[/BR:90]],Brudnopis!$E$23:$J$23),0)</f>
        <v>0</v>
      </c>
      <c r="T234" s="44">
        <f>IF(Mecze[[#This Row],[Role]]&lt;&gt;"BR",SUMPRODUCT(Mecze[[#This Row],[/PR:90]:[/BR:90]],Brudnopis!$E$24:$J$24),0)</f>
        <v>0.44329896907216493</v>
      </c>
      <c r="U234" s="44">
        <f>IF(Mecze[[#This Row],[Role]]&lt;&gt;"BR",SUMPRODUCT(Mecze[[#This Row],[/PR:90]:[/BR:90]],Brudnopis!$E$25:$J$25),0)</f>
        <v>0.46907216494845355</v>
      </c>
      <c r="V234" s="44">
        <f>IF(Mecze[[#This Row],[Role]]&lt;&gt;"BR",SUMPRODUCT(Mecze[[#This Row],[/PR:90]:[/BR:90]],Brudnopis!$E$26:$J$26),0)</f>
        <v>0.38144329896907214</v>
      </c>
      <c r="W234" s="44">
        <f>IF(Mecze[[#This Row],[Role]]&lt;&gt;"BR",SUMPRODUCT(Mecze[[#This Row],[/PR:90]:[/BR:90]],Brudnopis!$E$27:$J$27),0)</f>
        <v>0.41752577319587625</v>
      </c>
      <c r="X234" s="44">
        <f>IF(Mecze[[#This Row],[Role]]&lt;&gt;"BR",SUMPRODUCT(Mecze[[#This Row],[/PR:90]:[/BR:90]],Brudnopis!$E$28:$J$28),0)</f>
        <v>0.17525773195876287</v>
      </c>
      <c r="Y234" s="35">
        <f>IF(Mecze[[#This Row],[Role]]="BR",Mecze[[#This Row],[/OB:90]]+Mecze[[#This Row],[/PC:90]],SUM(Mecze[[#This Row],[/PR:90]:[/BR:90]]))</f>
        <v>0.38144329896907214</v>
      </c>
      <c r="Z234" s="35">
        <f>IF(Mecze[[#This Row],[KC]]=0,SUM(Mecze[[#This Row],[/BRI]:[/NPI]]),SUM(Mecze[[#This Row],[/BRI]:[/NPI]])*0.6)</f>
        <v>1.8865979381443296</v>
      </c>
      <c r="AA234" s="10">
        <f>IFERROR(Mecze[[#This Row],[BR]]/Mecze[[#This Row],[ST]],0)</f>
        <v>0</v>
      </c>
      <c r="AB234">
        <f>ROUND(Mecze[[#This Row],[PD]]*Mecze[[#This Row],[%PC]],0)</f>
        <v>17</v>
      </c>
      <c r="AC234">
        <f>ROUND(Mecze[[#This Row],[OD]]*Mecze[[#This Row],[%OU]],0)</f>
        <v>12</v>
      </c>
      <c r="AD234" s="36" t="s">
        <v>47</v>
      </c>
      <c r="AE234" s="36">
        <v>14</v>
      </c>
      <c r="AF234" s="71">
        <v>11.04</v>
      </c>
      <c r="AG234" s="37">
        <v>0</v>
      </c>
      <c r="AH234" s="37">
        <v>0</v>
      </c>
      <c r="AI234" s="37">
        <v>97</v>
      </c>
      <c r="AJ234" s="37">
        <v>3</v>
      </c>
      <c r="AK234" s="37" t="str">
        <f>VLOOKUP(Mecze[[#This Row],[Match ID]],Meczusie[Mecz]:Meczusie[RodzajMeczu],2,FALSE)</f>
        <v>Liga</v>
      </c>
    </row>
    <row r="235" spans="1:37" x14ac:dyDescent="0.25">
      <c r="A235" s="76">
        <v>4</v>
      </c>
      <c r="B235" s="3" t="s">
        <v>264</v>
      </c>
      <c r="C235" s="2" t="s">
        <v>157</v>
      </c>
      <c r="D235" s="1">
        <v>0</v>
      </c>
      <c r="E235" s="1">
        <v>0</v>
      </c>
      <c r="F235" s="1">
        <v>0</v>
      </c>
      <c r="G235" s="1">
        <v>4</v>
      </c>
      <c r="H235" s="4">
        <v>1</v>
      </c>
      <c r="I235" s="1">
        <v>4</v>
      </c>
      <c r="J235" s="4">
        <v>0.75</v>
      </c>
      <c r="K235" s="1">
        <v>0</v>
      </c>
      <c r="L235" s="1">
        <v>2</v>
      </c>
      <c r="M235" s="32">
        <f>IF(Mecze[[#This Row],[PR]]=0,0,Mecze[[#This Row],[PR]]/Mecze[[#This Row],[CZAS]])</f>
        <v>2.0618556701030927E-2</v>
      </c>
      <c r="N235" s="32">
        <f>IF(Mecze[[#This Row],[OU]]=0,0,Mecze[[#This Row],[OU]]/Mecze[[#This Row],[CZAS]])</f>
        <v>3.0927835051546393E-2</v>
      </c>
      <c r="O235" s="32">
        <f>IF(Mecze[[#This Row],[PC]]=0,0,Mecze[[#This Row],[PC]]/Mecze[[#This Row],[CZAS]])</f>
        <v>4.1237113402061855E-2</v>
      </c>
      <c r="P235" s="32">
        <f>IF(Mecze[[#This Row],[SC]]=0,0,Mecze[[#This Row],[SC]]/Mecze[[#This Row],[CZAS]])</f>
        <v>0</v>
      </c>
      <c r="Q235" s="32">
        <f>IF(Mecze[[#This Row],[OB]]=0,0,Mecze[[#This Row],[OB]]/Mecze[[#This Row],[CZAS]])</f>
        <v>0</v>
      </c>
      <c r="R235" s="32">
        <f>IF(Mecze[[#This Row],[BR]]=0,0,Mecze[[#This Row],[BR]]/Mecze[[#This Row],[CZAS]])</f>
        <v>0</v>
      </c>
      <c r="S235" s="44">
        <f>IF(Mecze[[#This Row],[Role]]="BR",SUMPRODUCT(Mecze[[#This Row],[/PR:90]:[/BR:90]],Brudnopis!$E$23:$J$23),0)</f>
        <v>0</v>
      </c>
      <c r="T235" s="44">
        <f>IF(Mecze[[#This Row],[Role]]&lt;&gt;"BR",SUMPRODUCT(Mecze[[#This Row],[/PR:90]:[/BR:90]],Brudnopis!$E$24:$J$24),0)</f>
        <v>0.10824742268041238</v>
      </c>
      <c r="U235" s="44">
        <f>IF(Mecze[[#This Row],[Role]]&lt;&gt;"BR",SUMPRODUCT(Mecze[[#This Row],[/PR:90]:[/BR:90]],Brudnopis!$E$25:$J$25),0)</f>
        <v>0.1134020618556701</v>
      </c>
      <c r="V235" s="44">
        <f>IF(Mecze[[#This Row],[Role]]&lt;&gt;"BR",SUMPRODUCT(Mecze[[#This Row],[/PR:90]:[/BR:90]],Brudnopis!$E$26:$J$26),0)</f>
        <v>9.2783505154639179E-2</v>
      </c>
      <c r="W235" s="44">
        <f>IF(Mecze[[#This Row],[Role]]&lt;&gt;"BR",SUMPRODUCT(Mecze[[#This Row],[/PR:90]:[/BR:90]],Brudnopis!$E$27:$J$27),0)</f>
        <v>0.10051546391752578</v>
      </c>
      <c r="X235" s="44">
        <f>IF(Mecze[[#This Row],[Role]]&lt;&gt;"BR",SUMPRODUCT(Mecze[[#This Row],[/PR:90]:[/BR:90]],Brudnopis!$E$28:$J$28),0)</f>
        <v>4.1237113402061855E-2</v>
      </c>
      <c r="Y235" s="35">
        <f>IF(Mecze[[#This Row],[Role]]="BR",Mecze[[#This Row],[/OB:90]]+Mecze[[#This Row],[/PC:90]],SUM(Mecze[[#This Row],[/PR:90]:[/BR:90]]))</f>
        <v>9.2783505154639179E-2</v>
      </c>
      <c r="Z235" s="35">
        <f>IF(Mecze[[#This Row],[KC]]=0,SUM(Mecze[[#This Row],[/BRI]:[/NPI]]),SUM(Mecze[[#This Row],[/BRI]:[/NPI]])*0.6)</f>
        <v>0.45618556701030927</v>
      </c>
      <c r="AA235" s="10">
        <f>IFERROR(Mecze[[#This Row],[BR]]/Mecze[[#This Row],[ST]],0)</f>
        <v>0</v>
      </c>
      <c r="AB235">
        <f>ROUND(Mecze[[#This Row],[PD]]*Mecze[[#This Row],[%PC]],0)</f>
        <v>4</v>
      </c>
      <c r="AC235">
        <f>ROUND(Mecze[[#This Row],[OD]]*Mecze[[#This Row],[%OU]],0)</f>
        <v>3</v>
      </c>
      <c r="AD235" s="36" t="s">
        <v>174</v>
      </c>
      <c r="AE235" s="36">
        <v>14</v>
      </c>
      <c r="AF235" s="71">
        <v>8.58</v>
      </c>
      <c r="AG235" s="37">
        <v>0</v>
      </c>
      <c r="AH235" s="37">
        <v>0</v>
      </c>
      <c r="AI235" s="37">
        <v>97</v>
      </c>
      <c r="AJ235" s="37">
        <v>3</v>
      </c>
      <c r="AK235" s="37" t="str">
        <f>VLOOKUP(Mecze[[#This Row],[Match ID]],Meczusie[Mecz]:Meczusie[RodzajMeczu],2,FALSE)</f>
        <v>Liga</v>
      </c>
    </row>
    <row r="236" spans="1:37" x14ac:dyDescent="0.25">
      <c r="A236" s="76">
        <v>2</v>
      </c>
      <c r="B236" s="3" t="s">
        <v>265</v>
      </c>
      <c r="C236" s="2" t="s">
        <v>157</v>
      </c>
      <c r="D236" s="1">
        <v>0</v>
      </c>
      <c r="E236" s="1">
        <v>0</v>
      </c>
      <c r="F236" s="1">
        <v>0</v>
      </c>
      <c r="G236" s="1">
        <v>5</v>
      </c>
      <c r="H236" s="4">
        <v>1</v>
      </c>
      <c r="I236" s="1">
        <v>3</v>
      </c>
      <c r="J236" s="4">
        <v>0</v>
      </c>
      <c r="K236" s="1">
        <v>0</v>
      </c>
      <c r="L236" s="1">
        <v>3</v>
      </c>
      <c r="M236" s="32">
        <f>IF(Mecze[[#This Row],[PR]]=0,0,Mecze[[#This Row],[PR]]/Mecze[[#This Row],[CZAS]])</f>
        <v>3.0927835051546393E-2</v>
      </c>
      <c r="N236" s="32">
        <f>IF(Mecze[[#This Row],[OU]]=0,0,Mecze[[#This Row],[OU]]/Mecze[[#This Row],[CZAS]])</f>
        <v>0</v>
      </c>
      <c r="O236" s="32">
        <f>IF(Mecze[[#This Row],[PC]]=0,0,Mecze[[#This Row],[PC]]/Mecze[[#This Row],[CZAS]])</f>
        <v>5.1546391752577317E-2</v>
      </c>
      <c r="P236" s="32">
        <f>IF(Mecze[[#This Row],[SC]]=0,0,Mecze[[#This Row],[SC]]/Mecze[[#This Row],[CZAS]])</f>
        <v>0</v>
      </c>
      <c r="Q236" s="32">
        <f>IF(Mecze[[#This Row],[OB]]=0,0,Mecze[[#This Row],[OB]]/Mecze[[#This Row],[CZAS]])</f>
        <v>0</v>
      </c>
      <c r="R236" s="32">
        <f>IF(Mecze[[#This Row],[BR]]=0,0,Mecze[[#This Row],[BR]]/Mecze[[#This Row],[CZAS]])</f>
        <v>0</v>
      </c>
      <c r="S236" s="44">
        <f>IF(Mecze[[#This Row],[Role]]="BR",SUMPRODUCT(Mecze[[#This Row],[/PR:90]:[/BR:90]],Brudnopis!$E$23:$J$23),0)</f>
        <v>0</v>
      </c>
      <c r="T236" s="44">
        <f>IF(Mecze[[#This Row],[Role]]&lt;&gt;"BR",SUMPRODUCT(Mecze[[#This Row],[/PR:90]:[/BR:90]],Brudnopis!$E$24:$J$24),0)</f>
        <v>8.247422680412371E-2</v>
      </c>
      <c r="U236" s="44">
        <f>IF(Mecze[[#This Row],[Role]]&lt;&gt;"BR",SUMPRODUCT(Mecze[[#This Row],[/PR:90]:[/BR:90]],Brudnopis!$E$25:$J$25),0)</f>
        <v>0.10824742268041238</v>
      </c>
      <c r="V236" s="44">
        <f>IF(Mecze[[#This Row],[Role]]&lt;&gt;"BR",SUMPRODUCT(Mecze[[#This Row],[/PR:90]:[/BR:90]],Brudnopis!$E$26:$J$26),0)</f>
        <v>8.247422680412371E-2</v>
      </c>
      <c r="W236" s="44">
        <f>IF(Mecze[[#This Row],[Role]]&lt;&gt;"BR",SUMPRODUCT(Mecze[[#This Row],[/PR:90]:[/BR:90]],Brudnopis!$E$27:$J$27),0)</f>
        <v>0.10051546391752578</v>
      </c>
      <c r="X236" s="44">
        <f>IF(Mecze[[#This Row],[Role]]&lt;&gt;"BR",SUMPRODUCT(Mecze[[#This Row],[/PR:90]:[/BR:90]],Brudnopis!$E$28:$J$28),0)</f>
        <v>5.1546391752577317E-2</v>
      </c>
      <c r="Y236" s="35">
        <f>IF(Mecze[[#This Row],[Role]]="BR",Mecze[[#This Row],[/OB:90]]+Mecze[[#This Row],[/PC:90]],SUM(Mecze[[#This Row],[/PR:90]:[/BR:90]]))</f>
        <v>8.247422680412371E-2</v>
      </c>
      <c r="Z236" s="35">
        <f>IF(Mecze[[#This Row],[KC]]=0,SUM(Mecze[[#This Row],[/BRI]:[/NPI]]),SUM(Mecze[[#This Row],[/BRI]:[/NPI]])*0.6)</f>
        <v>0.42525773195876287</v>
      </c>
      <c r="AA236" s="10">
        <f>IFERROR(Mecze[[#This Row],[BR]]/Mecze[[#This Row],[ST]],0)</f>
        <v>0</v>
      </c>
      <c r="AB236">
        <f>ROUND(Mecze[[#This Row],[PD]]*Mecze[[#This Row],[%PC]],0)</f>
        <v>5</v>
      </c>
      <c r="AC236">
        <f>ROUND(Mecze[[#This Row],[OD]]*Mecze[[#This Row],[%OU]],0)</f>
        <v>0</v>
      </c>
      <c r="AD236" s="36" t="s">
        <v>47</v>
      </c>
      <c r="AE236" s="36">
        <v>14</v>
      </c>
      <c r="AF236" s="71">
        <v>7.67</v>
      </c>
      <c r="AG236" s="37">
        <v>0</v>
      </c>
      <c r="AH236" s="37">
        <v>0</v>
      </c>
      <c r="AI236" s="37">
        <v>97</v>
      </c>
      <c r="AJ236" s="37">
        <v>3</v>
      </c>
      <c r="AK236" s="37" t="str">
        <f>VLOOKUP(Mecze[[#This Row],[Match ID]],Meczusie[Mecz]:Meczusie[RodzajMeczu],2,FALSE)</f>
        <v>Liga</v>
      </c>
    </row>
    <row r="237" spans="1:37" x14ac:dyDescent="0.25">
      <c r="A237" s="76">
        <v>9</v>
      </c>
      <c r="B237" s="3" t="s">
        <v>266</v>
      </c>
      <c r="C237" s="2" t="s">
        <v>160</v>
      </c>
      <c r="D237" s="1">
        <v>0</v>
      </c>
      <c r="E237" s="1">
        <v>0</v>
      </c>
      <c r="F237" s="1">
        <v>0</v>
      </c>
      <c r="G237" s="1">
        <v>19</v>
      </c>
      <c r="H237" s="4">
        <v>0.79</v>
      </c>
      <c r="I237" s="1">
        <v>6</v>
      </c>
      <c r="J237" s="4">
        <v>0.33</v>
      </c>
      <c r="K237" s="1">
        <v>0</v>
      </c>
      <c r="L237" s="1">
        <v>4</v>
      </c>
      <c r="M237" s="32">
        <f>IF(Mecze[[#This Row],[PR]]=0,0,Mecze[[#This Row],[PR]]/Mecze[[#This Row],[CZAS]])</f>
        <v>4.1237113402061855E-2</v>
      </c>
      <c r="N237" s="32">
        <f>IF(Mecze[[#This Row],[OU]]=0,0,Mecze[[#This Row],[OU]]/Mecze[[#This Row],[CZAS]])</f>
        <v>2.0618556701030927E-2</v>
      </c>
      <c r="O237" s="32">
        <f>IF(Mecze[[#This Row],[PC]]=0,0,Mecze[[#This Row],[PC]]/Mecze[[#This Row],[CZAS]])</f>
        <v>0.15463917525773196</v>
      </c>
      <c r="P237" s="32">
        <f>IF(Mecze[[#This Row],[SC]]=0,0,Mecze[[#This Row],[SC]]/Mecze[[#This Row],[CZAS]])</f>
        <v>0</v>
      </c>
      <c r="Q237" s="32">
        <f>IF(Mecze[[#This Row],[OB]]=0,0,Mecze[[#This Row],[OB]]/Mecze[[#This Row],[CZAS]])</f>
        <v>0</v>
      </c>
      <c r="R237" s="32">
        <f>IF(Mecze[[#This Row],[BR]]=0,0,Mecze[[#This Row],[BR]]/Mecze[[#This Row],[CZAS]])</f>
        <v>0</v>
      </c>
      <c r="S237" s="44">
        <f>IF(Mecze[[#This Row],[Role]]="BR",SUMPRODUCT(Mecze[[#This Row],[/PR:90]:[/BR:90]],Brudnopis!$E$23:$J$23),0)</f>
        <v>0</v>
      </c>
      <c r="T237" s="44">
        <f>IF(Mecze[[#This Row],[Role]]&lt;&gt;"BR",SUMPRODUCT(Mecze[[#This Row],[/PR:90]:[/BR:90]],Brudnopis!$E$24:$J$24),0)</f>
        <v>0.22680412371134021</v>
      </c>
      <c r="U237" s="44">
        <f>IF(Mecze[[#This Row],[Role]]&lt;&gt;"BR",SUMPRODUCT(Mecze[[#This Row],[/PR:90]:[/BR:90]],Brudnopis!$E$25:$J$25),0)</f>
        <v>0.29381443298969073</v>
      </c>
      <c r="V237" s="44">
        <f>IF(Mecze[[#This Row],[Role]]&lt;&gt;"BR",SUMPRODUCT(Mecze[[#This Row],[/PR:90]:[/BR:90]],Brudnopis!$E$26:$J$26),0)</f>
        <v>0.21649484536082475</v>
      </c>
      <c r="W237" s="44">
        <f>IF(Mecze[[#This Row],[Role]]&lt;&gt;"BR",SUMPRODUCT(Mecze[[#This Row],[/PR:90]:[/BR:90]],Brudnopis!$E$27:$J$27),0)</f>
        <v>0.27835051546391754</v>
      </c>
      <c r="X237" s="44">
        <f>IF(Mecze[[#This Row],[Role]]&lt;&gt;"BR",SUMPRODUCT(Mecze[[#This Row],[/PR:90]:[/BR:90]],Brudnopis!$E$28:$J$28),0)</f>
        <v>0.15463917525773196</v>
      </c>
      <c r="Y237" s="35">
        <f>IF(Mecze[[#This Row],[Role]]="BR",Mecze[[#This Row],[/OB:90]]+Mecze[[#This Row],[/PC:90]],SUM(Mecze[[#This Row],[/PR:90]:[/BR:90]]))</f>
        <v>0.21649484536082475</v>
      </c>
      <c r="Z237" s="35">
        <f>IF(Mecze[[#This Row],[KC]]=0,SUM(Mecze[[#This Row],[/BRI]:[/NPI]]),SUM(Mecze[[#This Row],[/BRI]:[/NPI]])*0.6)</f>
        <v>1.170103092783505</v>
      </c>
      <c r="AA237" s="10">
        <f>IFERROR(Mecze[[#This Row],[BR]]/Mecze[[#This Row],[ST]],0)</f>
        <v>0</v>
      </c>
      <c r="AB237">
        <f>ROUND(Mecze[[#This Row],[PD]]*Mecze[[#This Row],[%PC]],0)</f>
        <v>15</v>
      </c>
      <c r="AC237">
        <f>ROUND(Mecze[[#This Row],[OD]]*Mecze[[#This Row],[%OU]],0)</f>
        <v>2</v>
      </c>
      <c r="AD237" s="36" t="s">
        <v>67</v>
      </c>
      <c r="AE237" s="36">
        <v>14</v>
      </c>
      <c r="AF237" s="71">
        <v>9.09</v>
      </c>
      <c r="AG237" s="37">
        <v>0</v>
      </c>
      <c r="AH237" s="37">
        <v>0</v>
      </c>
      <c r="AI237" s="37">
        <v>97</v>
      </c>
      <c r="AJ237" s="37">
        <v>3</v>
      </c>
      <c r="AK237" s="37" t="str">
        <f>VLOOKUP(Mecze[[#This Row],[Match ID]],Meczusie[Mecz]:Meczusie[RodzajMeczu],2,FALSE)</f>
        <v>Liga</v>
      </c>
    </row>
    <row r="238" spans="1:37" x14ac:dyDescent="0.25">
      <c r="A238" s="76">
        <v>5</v>
      </c>
      <c r="B238" s="3" t="s">
        <v>267</v>
      </c>
      <c r="C238" s="2" t="s">
        <v>160</v>
      </c>
      <c r="D238" s="1">
        <v>0</v>
      </c>
      <c r="E238" s="1">
        <v>1</v>
      </c>
      <c r="F238" s="1">
        <v>1</v>
      </c>
      <c r="G238" s="1">
        <v>16</v>
      </c>
      <c r="H238" s="4">
        <v>0.81</v>
      </c>
      <c r="I238" s="1">
        <v>3</v>
      </c>
      <c r="J238" s="4">
        <v>0.67</v>
      </c>
      <c r="K238" s="1">
        <v>0</v>
      </c>
      <c r="L238" s="1">
        <v>2</v>
      </c>
      <c r="M238" s="32">
        <f>IF(Mecze[[#This Row],[PR]]=0,0,Mecze[[#This Row],[PR]]/Mecze[[#This Row],[CZAS]])</f>
        <v>2.0618556701030927E-2</v>
      </c>
      <c r="N238" s="32">
        <f>IF(Mecze[[#This Row],[OU]]=0,0,Mecze[[#This Row],[OU]]/Mecze[[#This Row],[CZAS]])</f>
        <v>2.0618556701030927E-2</v>
      </c>
      <c r="O238" s="32">
        <f>IF(Mecze[[#This Row],[PC]]=0,0,Mecze[[#This Row],[PC]]/Mecze[[#This Row],[CZAS]])</f>
        <v>0.13402061855670103</v>
      </c>
      <c r="P238" s="32">
        <f>IF(Mecze[[#This Row],[SC]]=0,0,Mecze[[#This Row],[SC]]/Mecze[[#This Row],[CZAS]])</f>
        <v>1.0309278350515464E-2</v>
      </c>
      <c r="Q238" s="32">
        <f>IF(Mecze[[#This Row],[OB]]=0,0,Mecze[[#This Row],[OB]]/Mecze[[#This Row],[CZAS]])</f>
        <v>0</v>
      </c>
      <c r="R238" s="32">
        <f>IF(Mecze[[#This Row],[BR]]=0,0,Mecze[[#This Row],[BR]]/Mecze[[#This Row],[CZAS]])</f>
        <v>0</v>
      </c>
      <c r="S238" s="44">
        <f>IF(Mecze[[#This Row],[Role]]="BR",SUMPRODUCT(Mecze[[#This Row],[/PR:90]:[/BR:90]],Brudnopis!$E$23:$J$23),0)</f>
        <v>0</v>
      </c>
      <c r="T238" s="44">
        <f>IF(Mecze[[#This Row],[Role]]&lt;&gt;"BR",SUMPRODUCT(Mecze[[#This Row],[/PR:90]:[/BR:90]],Brudnopis!$E$24:$J$24),0)</f>
        <v>0.19587628865979381</v>
      </c>
      <c r="U238" s="44">
        <f>IF(Mecze[[#This Row],[Role]]&lt;&gt;"BR",SUMPRODUCT(Mecze[[#This Row],[/PR:90]:[/BR:90]],Brudnopis!$E$25:$J$25),0)</f>
        <v>0.25257731958762886</v>
      </c>
      <c r="V238" s="44">
        <f>IF(Mecze[[#This Row],[Role]]&lt;&gt;"BR",SUMPRODUCT(Mecze[[#This Row],[/PR:90]:[/BR:90]],Brudnopis!$E$26:$J$26),0)</f>
        <v>0.18556701030927833</v>
      </c>
      <c r="W238" s="44">
        <f>IF(Mecze[[#This Row],[Role]]&lt;&gt;"BR",SUMPRODUCT(Mecze[[#This Row],[/PR:90]:[/BR:90]],Brudnopis!$E$27:$J$27),0)</f>
        <v>0.2422680412371134</v>
      </c>
      <c r="X238" s="44">
        <f>IF(Mecze[[#This Row],[Role]]&lt;&gt;"BR",SUMPRODUCT(Mecze[[#This Row],[/PR:90]:[/BR:90]],Brudnopis!$E$28:$J$28),0)</f>
        <v>0.15463917525773196</v>
      </c>
      <c r="Y238" s="35">
        <f>IF(Mecze[[#This Row],[Role]]="BR",Mecze[[#This Row],[/OB:90]]+Mecze[[#This Row],[/PC:90]],SUM(Mecze[[#This Row],[/PR:90]:[/BR:90]]))</f>
        <v>0.18556701030927833</v>
      </c>
      <c r="Z238" s="35">
        <f>IF(Mecze[[#This Row],[KC]]=0,SUM(Mecze[[#This Row],[/BRI]:[/NPI]]),SUM(Mecze[[#This Row],[/BRI]:[/NPI]])*0.6)</f>
        <v>1.0309278350515463</v>
      </c>
      <c r="AA238" s="10">
        <f>IFERROR(Mecze[[#This Row],[BR]]/Mecze[[#This Row],[ST]],0)</f>
        <v>0</v>
      </c>
      <c r="AB238">
        <f>ROUND(Mecze[[#This Row],[PD]]*Mecze[[#This Row],[%PC]],0)</f>
        <v>13</v>
      </c>
      <c r="AC238">
        <f>ROUND(Mecze[[#This Row],[OD]]*Mecze[[#This Row],[%OU]],0)</f>
        <v>2</v>
      </c>
      <c r="AD238" s="36" t="s">
        <v>67</v>
      </c>
      <c r="AE238" s="36">
        <v>14</v>
      </c>
      <c r="AF238" s="71">
        <v>9.81</v>
      </c>
      <c r="AG238" s="37">
        <v>0</v>
      </c>
      <c r="AH238" s="37">
        <v>0</v>
      </c>
      <c r="AI238" s="37">
        <v>97</v>
      </c>
      <c r="AJ238" s="37">
        <v>3</v>
      </c>
      <c r="AK238" s="37" t="str">
        <f>VLOOKUP(Mecze[[#This Row],[Match ID]],Meczusie[Mecz]:Meczusie[RodzajMeczu],2,FALSE)</f>
        <v>Liga</v>
      </c>
    </row>
    <row r="239" spans="1:37" x14ac:dyDescent="0.25">
      <c r="A239" s="76">
        <v>3</v>
      </c>
      <c r="B239" s="3" t="s">
        <v>268</v>
      </c>
      <c r="C239" s="2" t="s">
        <v>160</v>
      </c>
      <c r="D239" s="1">
        <v>1</v>
      </c>
      <c r="E239" s="1">
        <v>6</v>
      </c>
      <c r="F239" s="1">
        <v>5</v>
      </c>
      <c r="G239" s="1">
        <v>12</v>
      </c>
      <c r="H239" s="4">
        <v>0.83</v>
      </c>
      <c r="I239" s="1">
        <v>7</v>
      </c>
      <c r="J239" s="4">
        <v>0.71</v>
      </c>
      <c r="K239" s="1">
        <v>0</v>
      </c>
      <c r="L239" s="1">
        <v>3</v>
      </c>
      <c r="M239" s="32">
        <f>IF(Mecze[[#This Row],[PR]]=0,0,Mecze[[#This Row],[PR]]/Mecze[[#This Row],[CZAS]])</f>
        <v>3.0927835051546393E-2</v>
      </c>
      <c r="N239" s="32">
        <f>IF(Mecze[[#This Row],[OU]]=0,0,Mecze[[#This Row],[OU]]/Mecze[[#This Row],[CZAS]])</f>
        <v>5.1546391752577317E-2</v>
      </c>
      <c r="O239" s="32">
        <f>IF(Mecze[[#This Row],[PC]]=0,0,Mecze[[#This Row],[PC]]/Mecze[[#This Row],[CZAS]])</f>
        <v>0.10309278350515463</v>
      </c>
      <c r="P239" s="32">
        <f>IF(Mecze[[#This Row],[SC]]=0,0,Mecze[[#This Row],[SC]]/Mecze[[#This Row],[CZAS]])</f>
        <v>5.1546391752577317E-2</v>
      </c>
      <c r="Q239" s="32">
        <f>IF(Mecze[[#This Row],[OB]]=0,0,Mecze[[#This Row],[OB]]/Mecze[[#This Row],[CZAS]])</f>
        <v>0</v>
      </c>
      <c r="R239" s="32">
        <f>IF(Mecze[[#This Row],[BR]]=0,0,Mecze[[#This Row],[BR]]/Mecze[[#This Row],[CZAS]])</f>
        <v>1.0309278350515464E-2</v>
      </c>
      <c r="S239" s="44">
        <f>IF(Mecze[[#This Row],[Role]]="BR",SUMPRODUCT(Mecze[[#This Row],[/PR:90]:[/BR:90]],Brudnopis!$E$23:$J$23),0)</f>
        <v>0</v>
      </c>
      <c r="T239" s="44">
        <f>IF(Mecze[[#This Row],[Role]]&lt;&gt;"BR",SUMPRODUCT(Mecze[[#This Row],[/PR:90]:[/BR:90]],Brudnopis!$E$24:$J$24),0)</f>
        <v>0.27835051546391754</v>
      </c>
      <c r="U239" s="44">
        <f>IF(Mecze[[#This Row],[Role]]&lt;&gt;"BR",SUMPRODUCT(Mecze[[#This Row],[/PR:90]:[/BR:90]],Brudnopis!$E$25:$J$25),0)</f>
        <v>0.30412371134020616</v>
      </c>
      <c r="V239" s="44">
        <f>IF(Mecze[[#This Row],[Role]]&lt;&gt;"BR",SUMPRODUCT(Mecze[[#This Row],[/PR:90]:[/BR:90]],Brudnopis!$E$26:$J$26),0)</f>
        <v>0.25773195876288657</v>
      </c>
      <c r="W239" s="44">
        <f>IF(Mecze[[#This Row],[Role]]&lt;&gt;"BR",SUMPRODUCT(Mecze[[#This Row],[/PR:90]:[/BR:90]],Brudnopis!$E$27:$J$27),0)</f>
        <v>0.28865979381443296</v>
      </c>
      <c r="X239" s="44">
        <f>IF(Mecze[[#This Row],[Role]]&lt;&gt;"BR",SUMPRODUCT(Mecze[[#This Row],[/PR:90]:[/BR:90]],Brudnopis!$E$28:$J$28),0)</f>
        <v>0.23711340206185566</v>
      </c>
      <c r="Y239" s="35">
        <f>IF(Mecze[[#This Row],[Role]]="BR",Mecze[[#This Row],[/OB:90]]+Mecze[[#This Row],[/PC:90]],SUM(Mecze[[#This Row],[/PR:90]:[/BR:90]]))</f>
        <v>0.24742268041237112</v>
      </c>
      <c r="Z239" s="35">
        <f>IF(Mecze[[#This Row],[KC]]=0,SUM(Mecze[[#This Row],[/BRI]:[/NPI]]),SUM(Mecze[[#This Row],[/BRI]:[/NPI]])*0.6)</f>
        <v>1.365979381443299</v>
      </c>
      <c r="AA239" s="10">
        <f>IFERROR(Mecze[[#This Row],[BR]]/Mecze[[#This Row],[ST]],0)</f>
        <v>0.16666666666666666</v>
      </c>
      <c r="AB239">
        <f>ROUND(Mecze[[#This Row],[PD]]*Mecze[[#This Row],[%PC]],0)</f>
        <v>10</v>
      </c>
      <c r="AC239">
        <f>ROUND(Mecze[[#This Row],[OD]]*Mecze[[#This Row],[%OU]],0)</f>
        <v>5</v>
      </c>
      <c r="AD239" s="36" t="s">
        <v>44</v>
      </c>
      <c r="AE239" s="36">
        <v>14</v>
      </c>
      <c r="AF239" s="71">
        <v>13.05</v>
      </c>
      <c r="AG239" s="37">
        <v>0</v>
      </c>
      <c r="AH239" s="37">
        <v>0</v>
      </c>
      <c r="AI239" s="37">
        <v>97</v>
      </c>
      <c r="AJ239" s="37">
        <v>3</v>
      </c>
      <c r="AK239" s="37" t="str">
        <f>VLOOKUP(Mecze[[#This Row],[Match ID]],Meczusie[Mecz]:Meczusie[RodzajMeczu],2,FALSE)</f>
        <v>Liga</v>
      </c>
    </row>
    <row r="240" spans="1:37" x14ac:dyDescent="0.25">
      <c r="A240" s="76">
        <v>8</v>
      </c>
      <c r="B240" s="3" t="s">
        <v>269</v>
      </c>
      <c r="C240" s="2" t="s">
        <v>165</v>
      </c>
      <c r="D240" s="1">
        <v>0</v>
      </c>
      <c r="E240" s="1">
        <v>9</v>
      </c>
      <c r="F240" s="1">
        <v>7</v>
      </c>
      <c r="G240" s="1">
        <v>8</v>
      </c>
      <c r="H240" s="4">
        <v>0.88</v>
      </c>
      <c r="I240" s="1">
        <v>3</v>
      </c>
      <c r="J240" s="4">
        <v>0.33</v>
      </c>
      <c r="K240" s="1">
        <v>0</v>
      </c>
      <c r="L240" s="1">
        <v>1</v>
      </c>
      <c r="M240" s="32">
        <f>IF(Mecze[[#This Row],[PR]]=0,0,Mecze[[#This Row],[PR]]/Mecze[[#This Row],[CZAS]])</f>
        <v>1.0309278350515464E-2</v>
      </c>
      <c r="N240" s="32">
        <f>IF(Mecze[[#This Row],[OU]]=0,0,Mecze[[#This Row],[OU]]/Mecze[[#This Row],[CZAS]])</f>
        <v>1.0309278350515464E-2</v>
      </c>
      <c r="O240" s="32">
        <f>IF(Mecze[[#This Row],[PC]]=0,0,Mecze[[#This Row],[PC]]/Mecze[[#This Row],[CZAS]])</f>
        <v>7.2164948453608241E-2</v>
      </c>
      <c r="P240" s="32">
        <f>IF(Mecze[[#This Row],[SC]]=0,0,Mecze[[#This Row],[SC]]/Mecze[[#This Row],[CZAS]])</f>
        <v>7.2164948453608241E-2</v>
      </c>
      <c r="Q240" s="32">
        <f>IF(Mecze[[#This Row],[OB]]=0,0,Mecze[[#This Row],[OB]]/Mecze[[#This Row],[CZAS]])</f>
        <v>0</v>
      </c>
      <c r="R240" s="32">
        <f>IF(Mecze[[#This Row],[BR]]=0,0,Mecze[[#This Row],[BR]]/Mecze[[#This Row],[CZAS]])</f>
        <v>0</v>
      </c>
      <c r="S240" s="44">
        <f>IF(Mecze[[#This Row],[Role]]="BR",SUMPRODUCT(Mecze[[#This Row],[/PR:90]:[/BR:90]],Brudnopis!$E$23:$J$23),0)</f>
        <v>0</v>
      </c>
      <c r="T240" s="44">
        <f>IF(Mecze[[#This Row],[Role]]&lt;&gt;"BR",SUMPRODUCT(Mecze[[#This Row],[/PR:90]:[/BR:90]],Brudnopis!$E$24:$J$24),0)</f>
        <v>0.17010309278350513</v>
      </c>
      <c r="U240" s="44">
        <f>IF(Mecze[[#This Row],[Role]]&lt;&gt;"BR",SUMPRODUCT(Mecze[[#This Row],[/PR:90]:[/BR:90]],Brudnopis!$E$25:$J$25),0)</f>
        <v>0.20103092783505153</v>
      </c>
      <c r="V240" s="44">
        <f>IF(Mecze[[#This Row],[Role]]&lt;&gt;"BR",SUMPRODUCT(Mecze[[#This Row],[/PR:90]:[/BR:90]],Brudnopis!$E$26:$J$26),0)</f>
        <v>0.16494845360824739</v>
      </c>
      <c r="W240" s="44">
        <f>IF(Mecze[[#This Row],[Role]]&lt;&gt;"BR",SUMPRODUCT(Mecze[[#This Row],[/PR:90]:[/BR:90]],Brudnopis!$E$27:$J$27),0)</f>
        <v>0.19587628865979378</v>
      </c>
      <c r="X240" s="44">
        <f>IF(Mecze[[#This Row],[Role]]&lt;&gt;"BR",SUMPRODUCT(Mecze[[#This Row],[/PR:90]:[/BR:90]],Brudnopis!$E$28:$J$28),0)</f>
        <v>0.21649484536082472</v>
      </c>
      <c r="Y240" s="35">
        <f>IF(Mecze[[#This Row],[Role]]="BR",Mecze[[#This Row],[/OB:90]]+Mecze[[#This Row],[/PC:90]],SUM(Mecze[[#This Row],[/PR:90]:[/BR:90]]))</f>
        <v>0.16494845360824739</v>
      </c>
      <c r="Z240" s="35">
        <f>IF(Mecze[[#This Row],[KC]]=0,SUM(Mecze[[#This Row],[/BRI]:[/NPI]]),SUM(Mecze[[#This Row],[/BRI]:[/NPI]])*0.6)</f>
        <v>0.94845360824742253</v>
      </c>
      <c r="AA240" s="10">
        <f>IFERROR(Mecze[[#This Row],[BR]]/Mecze[[#This Row],[ST]],0)</f>
        <v>0</v>
      </c>
      <c r="AB240">
        <f>ROUND(Mecze[[#This Row],[PD]]*Mecze[[#This Row],[%PC]],0)</f>
        <v>7</v>
      </c>
      <c r="AC240">
        <f>ROUND(Mecze[[#This Row],[OD]]*Mecze[[#This Row],[%OU]],0)</f>
        <v>1</v>
      </c>
      <c r="AD240" s="36" t="s">
        <v>272</v>
      </c>
      <c r="AE240" s="36">
        <v>14</v>
      </c>
      <c r="AF240" s="71">
        <v>7.72</v>
      </c>
      <c r="AG240" s="37">
        <v>0</v>
      </c>
      <c r="AH240" s="37">
        <v>0</v>
      </c>
      <c r="AI240" s="37">
        <v>97</v>
      </c>
      <c r="AJ240" s="37">
        <v>3</v>
      </c>
      <c r="AK240" s="37" t="str">
        <f>VLOOKUP(Mecze[[#This Row],[Match ID]],Meczusie[Mecz]:Meczusie[RodzajMeczu],2,FALSE)</f>
        <v>Liga</v>
      </c>
    </row>
    <row r="241" spans="1:37" x14ac:dyDescent="0.25">
      <c r="A241" s="76">
        <v>11</v>
      </c>
      <c r="B241" s="3" t="s">
        <v>270</v>
      </c>
      <c r="C241" s="2" t="s">
        <v>165</v>
      </c>
      <c r="D241" s="1">
        <v>1</v>
      </c>
      <c r="E241" s="1">
        <v>7</v>
      </c>
      <c r="F241" s="1">
        <v>6</v>
      </c>
      <c r="G241" s="1">
        <v>8</v>
      </c>
      <c r="H241" s="4">
        <v>0.75</v>
      </c>
      <c r="I241" s="1">
        <v>3</v>
      </c>
      <c r="J241" s="4">
        <v>0.67</v>
      </c>
      <c r="K241" s="1">
        <v>0</v>
      </c>
      <c r="L241" s="1">
        <v>1</v>
      </c>
      <c r="M241" s="32">
        <f>IF(Mecze[[#This Row],[PR]]=0,0,Mecze[[#This Row],[PR]]/Mecze[[#This Row],[CZAS]])</f>
        <v>1.0309278350515464E-2</v>
      </c>
      <c r="N241" s="32">
        <f>IF(Mecze[[#This Row],[OU]]=0,0,Mecze[[#This Row],[OU]]/Mecze[[#This Row],[CZAS]])</f>
        <v>2.0618556701030927E-2</v>
      </c>
      <c r="O241" s="32">
        <f>IF(Mecze[[#This Row],[PC]]=0,0,Mecze[[#This Row],[PC]]/Mecze[[#This Row],[CZAS]])</f>
        <v>6.1855670103092786E-2</v>
      </c>
      <c r="P241" s="32">
        <f>IF(Mecze[[#This Row],[SC]]=0,0,Mecze[[#This Row],[SC]]/Mecze[[#This Row],[CZAS]])</f>
        <v>6.1855670103092786E-2</v>
      </c>
      <c r="Q241" s="32">
        <f>IF(Mecze[[#This Row],[OB]]=0,0,Mecze[[#This Row],[OB]]/Mecze[[#This Row],[CZAS]])</f>
        <v>0</v>
      </c>
      <c r="R241" s="32">
        <f>IF(Mecze[[#This Row],[BR]]=0,0,Mecze[[#This Row],[BR]]/Mecze[[#This Row],[CZAS]])</f>
        <v>1.0309278350515464E-2</v>
      </c>
      <c r="S241" s="44">
        <f>IF(Mecze[[#This Row],[Role]]="BR",SUMPRODUCT(Mecze[[#This Row],[/PR:90]:[/BR:90]],Brudnopis!$E$23:$J$23),0)</f>
        <v>0</v>
      </c>
      <c r="T241" s="44">
        <f>IF(Mecze[[#This Row],[Role]]&lt;&gt;"BR",SUMPRODUCT(Mecze[[#This Row],[/PR:90]:[/BR:90]],Brudnopis!$E$24:$J$24),0)</f>
        <v>0.18041237113402062</v>
      </c>
      <c r="U241" s="44">
        <f>IF(Mecze[[#This Row],[Role]]&lt;&gt;"BR",SUMPRODUCT(Mecze[[#This Row],[/PR:90]:[/BR:90]],Brudnopis!$E$25:$J$25),0)</f>
        <v>0.20103092783505155</v>
      </c>
      <c r="V241" s="44">
        <f>IF(Mecze[[#This Row],[Role]]&lt;&gt;"BR",SUMPRODUCT(Mecze[[#This Row],[/PR:90]:[/BR:90]],Brudnopis!$E$26:$J$26),0)</f>
        <v>0.1752577319587629</v>
      </c>
      <c r="W241" s="44">
        <f>IF(Mecze[[#This Row],[Role]]&lt;&gt;"BR",SUMPRODUCT(Mecze[[#This Row],[/PR:90]:[/BR:90]],Brudnopis!$E$27:$J$27),0)</f>
        <v>0.1984536082474227</v>
      </c>
      <c r="X241" s="44">
        <f>IF(Mecze[[#This Row],[Role]]&lt;&gt;"BR",SUMPRODUCT(Mecze[[#This Row],[/PR:90]:[/BR:90]],Brudnopis!$E$28:$J$28),0)</f>
        <v>0.21649484536082475</v>
      </c>
      <c r="Y241" s="35">
        <f>IF(Mecze[[#This Row],[Role]]="BR",Mecze[[#This Row],[/OB:90]]+Mecze[[#This Row],[/PC:90]],SUM(Mecze[[#This Row],[/PR:90]:[/BR:90]]))</f>
        <v>0.16494845360824742</v>
      </c>
      <c r="Z241" s="35">
        <f>IF(Mecze[[#This Row],[KC]]=0,SUM(Mecze[[#This Row],[/BRI]:[/NPI]]),SUM(Mecze[[#This Row],[/BRI]:[/NPI]])*0.6)</f>
        <v>0.97164948453608246</v>
      </c>
      <c r="AA241" s="10">
        <f>IFERROR(Mecze[[#This Row],[BR]]/Mecze[[#This Row],[ST]],0)</f>
        <v>0.14285714285714285</v>
      </c>
      <c r="AB241">
        <f>ROUND(Mecze[[#This Row],[PD]]*Mecze[[#This Row],[%PC]],0)</f>
        <v>6</v>
      </c>
      <c r="AC241">
        <f>ROUND(Mecze[[#This Row],[OD]]*Mecze[[#This Row],[%OU]],0)</f>
        <v>2</v>
      </c>
      <c r="AD241" s="36" t="s">
        <v>273</v>
      </c>
      <c r="AE241" s="36">
        <v>14</v>
      </c>
      <c r="AF241" s="71">
        <v>8.8800000000000008</v>
      </c>
      <c r="AG241" s="37">
        <v>0</v>
      </c>
      <c r="AH241" s="37">
        <v>0</v>
      </c>
      <c r="AI241" s="37">
        <v>97</v>
      </c>
      <c r="AJ241" s="37">
        <v>3</v>
      </c>
      <c r="AK241" s="37" t="str">
        <f>VLOOKUP(Mecze[[#This Row],[Match ID]],Meczusie[Mecz]:Meczusie[RodzajMeczu],2,FALSE)</f>
        <v>Liga</v>
      </c>
    </row>
    <row r="242" spans="1:37" x14ac:dyDescent="0.25">
      <c r="A242" s="76">
        <v>10</v>
      </c>
      <c r="B242" s="3" t="s">
        <v>271</v>
      </c>
      <c r="C242" s="2" t="s">
        <v>165</v>
      </c>
      <c r="D242" s="1">
        <v>1</v>
      </c>
      <c r="E242" s="1">
        <v>9</v>
      </c>
      <c r="F242" s="1">
        <v>9</v>
      </c>
      <c r="G242" s="1">
        <v>6</v>
      </c>
      <c r="H242" s="4">
        <v>0.67</v>
      </c>
      <c r="I242" s="1">
        <v>3</v>
      </c>
      <c r="J242" s="4">
        <v>0.67</v>
      </c>
      <c r="K242" s="1">
        <v>0</v>
      </c>
      <c r="L242" s="1">
        <v>1</v>
      </c>
      <c r="M242" s="32">
        <f>IF(Mecze[[#This Row],[PR]]=0,0,Mecze[[#This Row],[PR]]/Mecze[[#This Row],[CZAS]])</f>
        <v>1.0309278350515464E-2</v>
      </c>
      <c r="N242" s="32">
        <f>IF(Mecze[[#This Row],[OU]]=0,0,Mecze[[#This Row],[OU]]/Mecze[[#This Row],[CZAS]])</f>
        <v>2.0618556701030927E-2</v>
      </c>
      <c r="O242" s="32">
        <f>IF(Mecze[[#This Row],[PC]]=0,0,Mecze[[#This Row],[PC]]/Mecze[[#This Row],[CZAS]])</f>
        <v>4.1237113402061855E-2</v>
      </c>
      <c r="P242" s="32">
        <f>IF(Mecze[[#This Row],[SC]]=0,0,Mecze[[#This Row],[SC]]/Mecze[[#This Row],[CZAS]])</f>
        <v>9.2783505154639179E-2</v>
      </c>
      <c r="Q242" s="32">
        <f>IF(Mecze[[#This Row],[OB]]=0,0,Mecze[[#This Row],[OB]]/Mecze[[#This Row],[CZAS]])</f>
        <v>0</v>
      </c>
      <c r="R242" s="32">
        <f>IF(Mecze[[#This Row],[BR]]=0,0,Mecze[[#This Row],[BR]]/Mecze[[#This Row],[CZAS]])</f>
        <v>1.0309278350515464E-2</v>
      </c>
      <c r="S242" s="44">
        <f>IF(Mecze[[#This Row],[Role]]="BR",SUMPRODUCT(Mecze[[#This Row],[/PR:90]:[/BR:90]],Brudnopis!$E$23:$J$23),0)</f>
        <v>0</v>
      </c>
      <c r="T242" s="44">
        <f>IF(Mecze[[#This Row],[Role]]&lt;&gt;"BR",SUMPRODUCT(Mecze[[#This Row],[/PR:90]:[/BR:90]],Brudnopis!$E$24:$J$24),0)</f>
        <v>0.19072164948453607</v>
      </c>
      <c r="U242" s="44">
        <f>IF(Mecze[[#This Row],[Role]]&lt;&gt;"BR",SUMPRODUCT(Mecze[[#This Row],[/PR:90]:[/BR:90]],Brudnopis!$E$25:$J$25),0)</f>
        <v>0.20103092783505155</v>
      </c>
      <c r="V242" s="44">
        <f>IF(Mecze[[#This Row],[Role]]&lt;&gt;"BR",SUMPRODUCT(Mecze[[#This Row],[/PR:90]:[/BR:90]],Brudnopis!$E$26:$J$26),0)</f>
        <v>0.18556701030927836</v>
      </c>
      <c r="W242" s="44">
        <f>IF(Mecze[[#This Row],[Role]]&lt;&gt;"BR",SUMPRODUCT(Mecze[[#This Row],[/PR:90]:[/BR:90]],Brudnopis!$E$27:$J$27),0)</f>
        <v>0.1984536082474227</v>
      </c>
      <c r="X242" s="44">
        <f>IF(Mecze[[#This Row],[Role]]&lt;&gt;"BR",SUMPRODUCT(Mecze[[#This Row],[/PR:90]:[/BR:90]],Brudnopis!$E$28:$J$28),0)</f>
        <v>0.25773195876288657</v>
      </c>
      <c r="Y242" s="35">
        <f>IF(Mecze[[#This Row],[Role]]="BR",Mecze[[#This Row],[/OB:90]]+Mecze[[#This Row],[/PC:90]],SUM(Mecze[[#This Row],[/PR:90]:[/BR:90]]))</f>
        <v>0.17525773195876287</v>
      </c>
      <c r="Z242" s="35">
        <f>IF(Mecze[[#This Row],[KC]]=0,SUM(Mecze[[#This Row],[/BRI]:[/NPI]]),SUM(Mecze[[#This Row],[/BRI]:[/NPI]])*0.6)</f>
        <v>1.0335051546391751</v>
      </c>
      <c r="AA242" s="10">
        <f>IFERROR(Mecze[[#This Row],[BR]]/Mecze[[#This Row],[ST]],0)</f>
        <v>0.1111111111111111</v>
      </c>
      <c r="AB242">
        <f>ROUND(Mecze[[#This Row],[PD]]*Mecze[[#This Row],[%PC]],0)</f>
        <v>4</v>
      </c>
      <c r="AC242">
        <f>ROUND(Mecze[[#This Row],[OD]]*Mecze[[#This Row],[%OU]],0)</f>
        <v>2</v>
      </c>
      <c r="AD242" s="36" t="s">
        <v>46</v>
      </c>
      <c r="AE242" s="36">
        <v>14</v>
      </c>
      <c r="AF242" s="71">
        <v>9.5399999999999991</v>
      </c>
      <c r="AG242" s="37">
        <v>0</v>
      </c>
      <c r="AH242" s="37">
        <v>0</v>
      </c>
      <c r="AI242" s="37">
        <v>97</v>
      </c>
      <c r="AJ242" s="37">
        <v>3</v>
      </c>
      <c r="AK242" s="37" t="str">
        <f>VLOOKUP(Mecze[[#This Row],[Match ID]],Meczusie[Mecz]:Meczusie[RodzajMeczu],2,FALSE)</f>
        <v>Liga</v>
      </c>
    </row>
    <row r="243" spans="1:37" x14ac:dyDescent="0.25">
      <c r="A243" s="76">
        <v>1</v>
      </c>
      <c r="B243" s="3" t="s">
        <v>274</v>
      </c>
      <c r="C243" s="2" t="s">
        <v>155</v>
      </c>
      <c r="D243" s="1">
        <v>0</v>
      </c>
      <c r="E243" s="1">
        <v>0</v>
      </c>
      <c r="F243" s="1">
        <v>0</v>
      </c>
      <c r="G243" s="1">
        <v>7</v>
      </c>
      <c r="H243" s="4">
        <v>0.71</v>
      </c>
      <c r="I243" s="1">
        <v>0</v>
      </c>
      <c r="J243" s="4"/>
      <c r="K243" s="1">
        <v>3</v>
      </c>
      <c r="L243" s="1">
        <v>0</v>
      </c>
      <c r="M243" s="32">
        <f>IF(Mecze[[#This Row],[PR]]=0,0,Mecze[[#This Row],[PR]]/Mecze[[#This Row],[CZAS]])</f>
        <v>0</v>
      </c>
      <c r="N243" s="32">
        <f>IF(Mecze[[#This Row],[OU]]=0,0,Mecze[[#This Row],[OU]]/Mecze[[#This Row],[CZAS]])</f>
        <v>0</v>
      </c>
      <c r="O243" s="32">
        <f>IF(Mecze[[#This Row],[PC]]=0,0,Mecze[[#This Row],[PC]]/Mecze[[#This Row],[CZAS]])</f>
        <v>5.2083333333333336E-2</v>
      </c>
      <c r="P243" s="32">
        <f>IF(Mecze[[#This Row],[SC]]=0,0,Mecze[[#This Row],[SC]]/Mecze[[#This Row],[CZAS]])</f>
        <v>0</v>
      </c>
      <c r="Q243" s="32">
        <f>IF(Mecze[[#This Row],[OB]]=0,0,Mecze[[#This Row],[OB]]/Mecze[[#This Row],[CZAS]])</f>
        <v>3.125E-2</v>
      </c>
      <c r="R243" s="32">
        <f>IF(Mecze[[#This Row],[BR]]=0,0,Mecze[[#This Row],[BR]]/Mecze[[#This Row],[CZAS]])</f>
        <v>0</v>
      </c>
      <c r="S243" s="44">
        <f>IF(Mecze[[#This Row],[Role]]="BR",SUMPRODUCT(Mecze[[#This Row],[/PR:90]:[/BR:90]],Brudnopis!$E$23:$J$23),0)</f>
        <v>0.25</v>
      </c>
      <c r="T243" s="44">
        <f>IF(Mecze[[#This Row],[Role]]&lt;&gt;"BR",SUMPRODUCT(Mecze[[#This Row],[/PR:90]:[/BR:90]],Brudnopis!$E$24:$J$24),0)</f>
        <v>0</v>
      </c>
      <c r="U243" s="44">
        <f>IF(Mecze[[#This Row],[Role]]&lt;&gt;"BR",SUMPRODUCT(Mecze[[#This Row],[/PR:90]:[/BR:90]],Brudnopis!$E$25:$J$25),0)</f>
        <v>0</v>
      </c>
      <c r="V243" s="44">
        <f>IF(Mecze[[#This Row],[Role]]&lt;&gt;"BR",SUMPRODUCT(Mecze[[#This Row],[/PR:90]:[/BR:90]],Brudnopis!$E$26:$J$26),0)</f>
        <v>0</v>
      </c>
      <c r="W243" s="44">
        <f>IF(Mecze[[#This Row],[Role]]&lt;&gt;"BR",SUMPRODUCT(Mecze[[#This Row],[/PR:90]:[/BR:90]],Brudnopis!$E$27:$J$27),0)</f>
        <v>0</v>
      </c>
      <c r="X243" s="44">
        <f>IF(Mecze[[#This Row],[Role]]&lt;&gt;"BR",SUMPRODUCT(Mecze[[#This Row],[/PR:90]:[/BR:90]],Brudnopis!$E$28:$J$28),0)</f>
        <v>0</v>
      </c>
      <c r="Y243" s="35">
        <f>IF(Mecze[[#This Row],[Role]]="BR",Mecze[[#This Row],[/OB:90]]+Mecze[[#This Row],[/PC:90]],SUM(Mecze[[#This Row],[/PR:90]:[/BR:90]]))</f>
        <v>8.3333333333333343E-2</v>
      </c>
      <c r="Z243" s="35">
        <f>IF(Mecze[[#This Row],[KC]]=0,SUM(Mecze[[#This Row],[/BRI]:[/NPI]]),SUM(Mecze[[#This Row],[/BRI]:[/NPI]])*0.6)</f>
        <v>0.25</v>
      </c>
      <c r="AA243" s="10">
        <f>IFERROR(Mecze[[#This Row],[BR]]/Mecze[[#This Row],[ST]],0)</f>
        <v>0</v>
      </c>
      <c r="AB243">
        <f>ROUND(Mecze[[#This Row],[PD]]*Mecze[[#This Row],[%PC]],0)</f>
        <v>5</v>
      </c>
      <c r="AC243">
        <f>ROUND(Mecze[[#This Row],[OD]]*Mecze[[#This Row],[%OU]],0)</f>
        <v>0</v>
      </c>
      <c r="AD243" s="36" t="s">
        <v>40</v>
      </c>
      <c r="AE243" s="36">
        <v>15</v>
      </c>
      <c r="AF243" s="71">
        <v>6.19</v>
      </c>
      <c r="AG243" s="37">
        <v>0</v>
      </c>
      <c r="AH243" s="37">
        <v>0</v>
      </c>
      <c r="AI243" s="37">
        <v>96</v>
      </c>
      <c r="AJ243" s="37">
        <v>4</v>
      </c>
      <c r="AK243" s="37" t="str">
        <f>VLOOKUP(Mecze[[#This Row],[Match ID]],Meczusie[Mecz]:Meczusie[RodzajMeczu],2,FALSE)</f>
        <v>Liga</v>
      </c>
    </row>
    <row r="244" spans="1:37" x14ac:dyDescent="0.25">
      <c r="A244" s="76">
        <v>9</v>
      </c>
      <c r="B244" s="3" t="s">
        <v>275</v>
      </c>
      <c r="C244" s="2" t="s">
        <v>157</v>
      </c>
      <c r="D244" s="1">
        <v>0</v>
      </c>
      <c r="E244" s="1">
        <v>0</v>
      </c>
      <c r="F244" s="1">
        <v>0</v>
      </c>
      <c r="G244" s="1">
        <v>7</v>
      </c>
      <c r="H244" s="4">
        <v>1</v>
      </c>
      <c r="I244" s="1">
        <v>1</v>
      </c>
      <c r="J244" s="4">
        <v>1</v>
      </c>
      <c r="K244" s="1">
        <v>0</v>
      </c>
      <c r="L244" s="1">
        <v>6</v>
      </c>
      <c r="M244" s="32">
        <f>IF(Mecze[[#This Row],[PR]]=0,0,Mecze[[#This Row],[PR]]/Mecze[[#This Row],[CZAS]])</f>
        <v>6.25E-2</v>
      </c>
      <c r="N244" s="32">
        <f>IF(Mecze[[#This Row],[OU]]=0,0,Mecze[[#This Row],[OU]]/Mecze[[#This Row],[CZAS]])</f>
        <v>1.0416666666666666E-2</v>
      </c>
      <c r="O244" s="32">
        <f>IF(Mecze[[#This Row],[PC]]=0,0,Mecze[[#This Row],[PC]]/Mecze[[#This Row],[CZAS]])</f>
        <v>7.2916666666666671E-2</v>
      </c>
      <c r="P244" s="32">
        <f>IF(Mecze[[#This Row],[SC]]=0,0,Mecze[[#This Row],[SC]]/Mecze[[#This Row],[CZAS]])</f>
        <v>0</v>
      </c>
      <c r="Q244" s="32">
        <f>IF(Mecze[[#This Row],[OB]]=0,0,Mecze[[#This Row],[OB]]/Mecze[[#This Row],[CZAS]])</f>
        <v>0</v>
      </c>
      <c r="R244" s="32">
        <f>IF(Mecze[[#This Row],[BR]]=0,0,Mecze[[#This Row],[BR]]/Mecze[[#This Row],[CZAS]])</f>
        <v>0</v>
      </c>
      <c r="S244" s="44">
        <f>IF(Mecze[[#This Row],[Role]]="BR",SUMPRODUCT(Mecze[[#This Row],[/PR:90]:[/BR:90]],Brudnopis!$E$23:$J$23),0)</f>
        <v>0</v>
      </c>
      <c r="T244" s="44">
        <f>IF(Mecze[[#This Row],[Role]]&lt;&gt;"BR",SUMPRODUCT(Mecze[[#This Row],[/PR:90]:[/BR:90]],Brudnopis!$E$24:$J$24),0)</f>
        <v>0.15104166666666669</v>
      </c>
      <c r="U244" s="44">
        <f>IF(Mecze[[#This Row],[Role]]&lt;&gt;"BR",SUMPRODUCT(Mecze[[#This Row],[/PR:90]:[/BR:90]],Brudnopis!$E$25:$J$25),0)</f>
        <v>0.18229166666666669</v>
      </c>
      <c r="V244" s="44">
        <f>IF(Mecze[[#This Row],[Role]]&lt;&gt;"BR",SUMPRODUCT(Mecze[[#This Row],[/PR:90]:[/BR:90]],Brudnopis!$E$26:$J$26),0)</f>
        <v>0.14583333333333334</v>
      </c>
      <c r="W244" s="44">
        <f>IF(Mecze[[#This Row],[Role]]&lt;&gt;"BR",SUMPRODUCT(Mecze[[#This Row],[/PR:90]:[/BR:90]],Brudnopis!$E$27:$J$27),0)</f>
        <v>0.1640625</v>
      </c>
      <c r="X244" s="44">
        <f>IF(Mecze[[#This Row],[Role]]&lt;&gt;"BR",SUMPRODUCT(Mecze[[#This Row],[/PR:90]:[/BR:90]],Brudnopis!$E$28:$J$28),0)</f>
        <v>7.2916666666666671E-2</v>
      </c>
      <c r="Y244" s="35">
        <f>IF(Mecze[[#This Row],[Role]]="BR",Mecze[[#This Row],[/OB:90]]+Mecze[[#This Row],[/PC:90]],SUM(Mecze[[#This Row],[/PR:90]:[/BR:90]]))</f>
        <v>0.14583333333333334</v>
      </c>
      <c r="Z244" s="35">
        <f>IF(Mecze[[#This Row],[KC]]=0,SUM(Mecze[[#This Row],[/BRI]:[/NPI]]),SUM(Mecze[[#This Row],[/BRI]:[/NPI]])*0.6)</f>
        <v>0.71614583333333337</v>
      </c>
      <c r="AA244" s="10">
        <f>IFERROR(Mecze[[#This Row],[BR]]/Mecze[[#This Row],[ST]],0)</f>
        <v>0</v>
      </c>
      <c r="AB244">
        <f>ROUND(Mecze[[#This Row],[PD]]*Mecze[[#This Row],[%PC]],0)</f>
        <v>7</v>
      </c>
      <c r="AC244">
        <f>ROUND(Mecze[[#This Row],[OD]]*Mecze[[#This Row],[%OU]],0)</f>
        <v>1</v>
      </c>
      <c r="AD244" s="36" t="s">
        <v>47</v>
      </c>
      <c r="AE244" s="36">
        <v>15</v>
      </c>
      <c r="AF244" s="71">
        <v>5.18</v>
      </c>
      <c r="AG244" s="37">
        <v>0</v>
      </c>
      <c r="AH244" s="37">
        <v>0</v>
      </c>
      <c r="AI244" s="37">
        <v>96</v>
      </c>
      <c r="AJ244" s="37">
        <v>4</v>
      </c>
      <c r="AK244" s="37" t="str">
        <f>VLOOKUP(Mecze[[#This Row],[Match ID]],Meczusie[Mecz]:Meczusie[RodzajMeczu],2,FALSE)</f>
        <v>Liga</v>
      </c>
    </row>
    <row r="245" spans="1:37" x14ac:dyDescent="0.25">
      <c r="A245" s="76">
        <v>5</v>
      </c>
      <c r="B245" s="3" t="s">
        <v>277</v>
      </c>
      <c r="C245" s="2" t="s">
        <v>157</v>
      </c>
      <c r="D245" s="1">
        <v>0</v>
      </c>
      <c r="E245" s="1">
        <v>0</v>
      </c>
      <c r="F245" s="1">
        <v>0</v>
      </c>
      <c r="G245" s="1">
        <v>7</v>
      </c>
      <c r="H245" s="4">
        <v>1</v>
      </c>
      <c r="I245" s="1">
        <v>12</v>
      </c>
      <c r="J245" s="4">
        <v>0.57999999999999996</v>
      </c>
      <c r="K245" s="1">
        <v>0</v>
      </c>
      <c r="L245" s="1">
        <v>3</v>
      </c>
      <c r="M245" s="32">
        <f>IF(Mecze[[#This Row],[PR]]=0,0,Mecze[[#This Row],[PR]]/Mecze[[#This Row],[CZAS]])</f>
        <v>3.125E-2</v>
      </c>
      <c r="N245" s="32">
        <f>IF(Mecze[[#This Row],[OU]]=0,0,Mecze[[#This Row],[OU]]/Mecze[[#This Row],[CZAS]])</f>
        <v>7.2916666666666671E-2</v>
      </c>
      <c r="O245" s="32">
        <f>IF(Mecze[[#This Row],[PC]]=0,0,Mecze[[#This Row],[PC]]/Mecze[[#This Row],[CZAS]])</f>
        <v>7.2916666666666671E-2</v>
      </c>
      <c r="P245" s="32">
        <f>IF(Mecze[[#This Row],[SC]]=0,0,Mecze[[#This Row],[SC]]/Mecze[[#This Row],[CZAS]])</f>
        <v>0</v>
      </c>
      <c r="Q245" s="32">
        <f>IF(Mecze[[#This Row],[OB]]=0,0,Mecze[[#This Row],[OB]]/Mecze[[#This Row],[CZAS]])</f>
        <v>0</v>
      </c>
      <c r="R245" s="32">
        <f>IF(Mecze[[#This Row],[BR]]=0,0,Mecze[[#This Row],[BR]]/Mecze[[#This Row],[CZAS]])</f>
        <v>0</v>
      </c>
      <c r="S245" s="44">
        <f>IF(Mecze[[#This Row],[Role]]="BR",SUMPRODUCT(Mecze[[#This Row],[/PR:90]:[/BR:90]],Brudnopis!$E$23:$J$23),0)</f>
        <v>0</v>
      </c>
      <c r="T245" s="44">
        <f>IF(Mecze[[#This Row],[Role]]&lt;&gt;"BR",SUMPRODUCT(Mecze[[#This Row],[/PR:90]:[/BR:90]],Brudnopis!$E$24:$J$24),0)</f>
        <v>0.21354166666666669</v>
      </c>
      <c r="U245" s="44">
        <f>IF(Mecze[[#This Row],[Role]]&lt;&gt;"BR",SUMPRODUCT(Mecze[[#This Row],[/PR:90]:[/BR:90]],Brudnopis!$E$25:$J$25),0)</f>
        <v>0.21354166666666669</v>
      </c>
      <c r="V245" s="44">
        <f>IF(Mecze[[#This Row],[Role]]&lt;&gt;"BR",SUMPRODUCT(Mecze[[#This Row],[/PR:90]:[/BR:90]],Brudnopis!$E$26:$J$26),0)</f>
        <v>0.17708333333333334</v>
      </c>
      <c r="W245" s="44">
        <f>IF(Mecze[[#This Row],[Role]]&lt;&gt;"BR",SUMPRODUCT(Mecze[[#This Row],[/PR:90]:[/BR:90]],Brudnopis!$E$27:$J$27),0)</f>
        <v>0.1875</v>
      </c>
      <c r="X245" s="44">
        <f>IF(Mecze[[#This Row],[Role]]&lt;&gt;"BR",SUMPRODUCT(Mecze[[#This Row],[/PR:90]:[/BR:90]],Brudnopis!$E$28:$J$28),0)</f>
        <v>7.2916666666666671E-2</v>
      </c>
      <c r="Y245" s="35">
        <f>IF(Mecze[[#This Row],[Role]]="BR",Mecze[[#This Row],[/OB:90]]+Mecze[[#This Row],[/PC:90]],SUM(Mecze[[#This Row],[/PR:90]:[/BR:90]]))</f>
        <v>0.17708333333333334</v>
      </c>
      <c r="Z245" s="35">
        <f>IF(Mecze[[#This Row],[KC]]=0,SUM(Mecze[[#This Row],[/BRI]:[/NPI]]),SUM(Mecze[[#This Row],[/BRI]:[/NPI]])*0.6)</f>
        <v>0.86458333333333337</v>
      </c>
      <c r="AA245" s="10">
        <f>IFERROR(Mecze[[#This Row],[BR]]/Mecze[[#This Row],[ST]],0)</f>
        <v>0</v>
      </c>
      <c r="AB245">
        <f>ROUND(Mecze[[#This Row],[PD]]*Mecze[[#This Row],[%PC]],0)</f>
        <v>7</v>
      </c>
      <c r="AC245">
        <f>ROUND(Mecze[[#This Row],[OD]]*Mecze[[#This Row],[%OU]],0)</f>
        <v>7</v>
      </c>
      <c r="AD245" s="36" t="s">
        <v>167</v>
      </c>
      <c r="AE245" s="36">
        <v>15</v>
      </c>
      <c r="AF245" s="71">
        <v>5.67</v>
      </c>
      <c r="AG245" s="37">
        <v>0</v>
      </c>
      <c r="AH245" s="37">
        <v>0</v>
      </c>
      <c r="AI245" s="37">
        <v>96</v>
      </c>
      <c r="AJ245" s="37">
        <v>4</v>
      </c>
      <c r="AK245" s="37" t="str">
        <f>VLOOKUP(Mecze[[#This Row],[Match ID]],Meczusie[Mecz]:Meczusie[RodzajMeczu],2,FALSE)</f>
        <v>Liga</v>
      </c>
    </row>
    <row r="246" spans="1:37" x14ac:dyDescent="0.25">
      <c r="A246" s="76">
        <v>4</v>
      </c>
      <c r="B246" s="3" t="s">
        <v>276</v>
      </c>
      <c r="C246" s="2" t="s">
        <v>157</v>
      </c>
      <c r="D246" s="1">
        <v>0</v>
      </c>
      <c r="E246" s="1">
        <v>0</v>
      </c>
      <c r="F246" s="1">
        <v>0</v>
      </c>
      <c r="G246" s="1">
        <v>12</v>
      </c>
      <c r="H246" s="4">
        <v>0.75</v>
      </c>
      <c r="I246" s="1">
        <v>7</v>
      </c>
      <c r="J246" s="4">
        <v>0.43</v>
      </c>
      <c r="K246" s="1">
        <v>0</v>
      </c>
      <c r="L246" s="1">
        <v>8</v>
      </c>
      <c r="M246" s="32">
        <f>IF(Mecze[[#This Row],[PR]]=0,0,Mecze[[#This Row],[PR]]/Mecze[[#This Row],[CZAS]])</f>
        <v>8.3333333333333329E-2</v>
      </c>
      <c r="N246" s="32">
        <f>IF(Mecze[[#This Row],[OU]]=0,0,Mecze[[#This Row],[OU]]/Mecze[[#This Row],[CZAS]])</f>
        <v>3.125E-2</v>
      </c>
      <c r="O246" s="32">
        <f>IF(Mecze[[#This Row],[PC]]=0,0,Mecze[[#This Row],[PC]]/Mecze[[#This Row],[CZAS]])</f>
        <v>9.375E-2</v>
      </c>
      <c r="P246" s="32">
        <f>IF(Mecze[[#This Row],[SC]]=0,0,Mecze[[#This Row],[SC]]/Mecze[[#This Row],[CZAS]])</f>
        <v>0</v>
      </c>
      <c r="Q246" s="32">
        <f>IF(Mecze[[#This Row],[OB]]=0,0,Mecze[[#This Row],[OB]]/Mecze[[#This Row],[CZAS]])</f>
        <v>0</v>
      </c>
      <c r="R246" s="32">
        <f>IF(Mecze[[#This Row],[BR]]=0,0,Mecze[[#This Row],[BR]]/Mecze[[#This Row],[CZAS]])</f>
        <v>0</v>
      </c>
      <c r="S246" s="44">
        <f>IF(Mecze[[#This Row],[Role]]="BR",SUMPRODUCT(Mecze[[#This Row],[/PR:90]:[/BR:90]],Brudnopis!$E$23:$J$23),0)</f>
        <v>0</v>
      </c>
      <c r="T246" s="44">
        <f>IF(Mecze[[#This Row],[Role]]&lt;&gt;"BR",SUMPRODUCT(Mecze[[#This Row],[/PR:90]:[/BR:90]],Brudnopis!$E$24:$J$24),0)</f>
        <v>0.22395833333333331</v>
      </c>
      <c r="U246" s="44">
        <f>IF(Mecze[[#This Row],[Role]]&lt;&gt;"BR",SUMPRODUCT(Mecze[[#This Row],[/PR:90]:[/BR:90]],Brudnopis!$E$25:$J$25),0)</f>
        <v>0.25520833333333331</v>
      </c>
      <c r="V246" s="44">
        <f>IF(Mecze[[#This Row],[Role]]&lt;&gt;"BR",SUMPRODUCT(Mecze[[#This Row],[/PR:90]:[/BR:90]],Brudnopis!$E$26:$J$26),0)</f>
        <v>0.20833333333333331</v>
      </c>
      <c r="W246" s="44">
        <f>IF(Mecze[[#This Row],[Role]]&lt;&gt;"BR",SUMPRODUCT(Mecze[[#This Row],[/PR:90]:[/BR:90]],Brudnopis!$E$27:$J$27),0)</f>
        <v>0.2265625</v>
      </c>
      <c r="X246" s="44">
        <f>IF(Mecze[[#This Row],[Role]]&lt;&gt;"BR",SUMPRODUCT(Mecze[[#This Row],[/PR:90]:[/BR:90]],Brudnopis!$E$28:$J$28),0)</f>
        <v>9.375E-2</v>
      </c>
      <c r="Y246" s="35">
        <f>IF(Mecze[[#This Row],[Role]]="BR",Mecze[[#This Row],[/OB:90]]+Mecze[[#This Row],[/PC:90]],SUM(Mecze[[#This Row],[/PR:90]:[/BR:90]]))</f>
        <v>0.20833333333333331</v>
      </c>
      <c r="Z246" s="35">
        <f>IF(Mecze[[#This Row],[KC]]=0,SUM(Mecze[[#This Row],[/BRI]:[/NPI]]),SUM(Mecze[[#This Row],[/BRI]:[/NPI]])*0.6)</f>
        <v>1.0078125</v>
      </c>
      <c r="AA246" s="10">
        <f>IFERROR(Mecze[[#This Row],[BR]]/Mecze[[#This Row],[ST]],0)</f>
        <v>0</v>
      </c>
      <c r="AB246">
        <f>ROUND(Mecze[[#This Row],[PD]]*Mecze[[#This Row],[%PC]],0)</f>
        <v>9</v>
      </c>
      <c r="AC246">
        <f>ROUND(Mecze[[#This Row],[OD]]*Mecze[[#This Row],[%OU]],0)</f>
        <v>3</v>
      </c>
      <c r="AD246" s="36" t="s">
        <v>168</v>
      </c>
      <c r="AE246" s="36">
        <v>15</v>
      </c>
      <c r="AF246" s="71">
        <v>5.6</v>
      </c>
      <c r="AG246" s="37">
        <v>0</v>
      </c>
      <c r="AH246" s="37">
        <v>0</v>
      </c>
      <c r="AI246" s="37">
        <v>96</v>
      </c>
      <c r="AJ246" s="37">
        <v>4</v>
      </c>
      <c r="AK246" s="37" t="str">
        <f>VLOOKUP(Mecze[[#This Row],[Match ID]],Meczusie[Mecz]:Meczusie[RodzajMeczu],2,FALSE)</f>
        <v>Liga</v>
      </c>
    </row>
    <row r="247" spans="1:37" x14ac:dyDescent="0.25">
      <c r="A247" s="76">
        <v>12</v>
      </c>
      <c r="B247" s="3" t="s">
        <v>278</v>
      </c>
      <c r="C247" s="2" t="s">
        <v>160</v>
      </c>
      <c r="D247" s="1">
        <v>0</v>
      </c>
      <c r="E247" s="1">
        <v>0</v>
      </c>
      <c r="F247" s="1">
        <v>0</v>
      </c>
      <c r="G247" s="1">
        <v>4</v>
      </c>
      <c r="H247" s="4">
        <v>0.75</v>
      </c>
      <c r="I247" s="1">
        <v>1</v>
      </c>
      <c r="J247" s="4">
        <v>1</v>
      </c>
      <c r="K247" s="1">
        <v>0</v>
      </c>
      <c r="L247" s="1">
        <v>2</v>
      </c>
      <c r="M247" s="32">
        <f>IF(Mecze[[#This Row],[PR]]=0,0,Mecze[[#This Row],[PR]]/Mecze[[#This Row],[CZAS]])</f>
        <v>0.10526315789473684</v>
      </c>
      <c r="N247" s="32">
        <f>IF(Mecze[[#This Row],[OU]]=0,0,Mecze[[#This Row],[OU]]/Mecze[[#This Row],[CZAS]])</f>
        <v>5.2631578947368418E-2</v>
      </c>
      <c r="O247" s="32">
        <f>IF(Mecze[[#This Row],[PC]]=0,0,Mecze[[#This Row],[PC]]/Mecze[[#This Row],[CZAS]])</f>
        <v>0.15789473684210525</v>
      </c>
      <c r="P247" s="32">
        <f>IF(Mecze[[#This Row],[SC]]=0,0,Mecze[[#This Row],[SC]]/Mecze[[#This Row],[CZAS]])</f>
        <v>0</v>
      </c>
      <c r="Q247" s="32">
        <f>IF(Mecze[[#This Row],[OB]]=0,0,Mecze[[#This Row],[OB]]/Mecze[[#This Row],[CZAS]])</f>
        <v>0</v>
      </c>
      <c r="R247" s="32">
        <f>IF(Mecze[[#This Row],[BR]]=0,0,Mecze[[#This Row],[BR]]/Mecze[[#This Row],[CZAS]])</f>
        <v>0</v>
      </c>
      <c r="S247" s="44">
        <f>IF(Mecze[[#This Row],[Role]]="BR",SUMPRODUCT(Mecze[[#This Row],[/PR:90]:[/BR:90]],Brudnopis!$E$23:$J$23),0)</f>
        <v>0</v>
      </c>
      <c r="T247" s="44">
        <f>IF(Mecze[[#This Row],[Role]]&lt;&gt;"BR",SUMPRODUCT(Mecze[[#This Row],[/PR:90]:[/BR:90]],Brudnopis!$E$24:$J$24),0)</f>
        <v>0.34210526315789469</v>
      </c>
      <c r="U247" s="44">
        <f>IF(Mecze[[#This Row],[Role]]&lt;&gt;"BR",SUMPRODUCT(Mecze[[#This Row],[/PR:90]:[/BR:90]],Brudnopis!$E$25:$J$25),0)</f>
        <v>0.39473684210526316</v>
      </c>
      <c r="V247" s="44">
        <f>IF(Mecze[[#This Row],[Role]]&lt;&gt;"BR",SUMPRODUCT(Mecze[[#This Row],[/PR:90]:[/BR:90]],Brudnopis!$E$26:$J$26),0)</f>
        <v>0.31578947368421051</v>
      </c>
      <c r="W247" s="44">
        <f>IF(Mecze[[#This Row],[Role]]&lt;&gt;"BR",SUMPRODUCT(Mecze[[#This Row],[/PR:90]:[/BR:90]],Brudnopis!$E$27:$J$27),0)</f>
        <v>0.35526315789473684</v>
      </c>
      <c r="X247" s="44">
        <f>IF(Mecze[[#This Row],[Role]]&lt;&gt;"BR",SUMPRODUCT(Mecze[[#This Row],[/PR:90]:[/BR:90]],Brudnopis!$E$28:$J$28),0)</f>
        <v>0.15789473684210525</v>
      </c>
      <c r="Y247" s="35">
        <f>IF(Mecze[[#This Row],[Role]]="BR",Mecze[[#This Row],[/OB:90]]+Mecze[[#This Row],[/PC:90]],SUM(Mecze[[#This Row],[/PR:90]:[/BR:90]]))</f>
        <v>0.31578947368421051</v>
      </c>
      <c r="Z247" s="35">
        <f>IF(Mecze[[#This Row],[KC]]=0,SUM(Mecze[[#This Row],[/BRI]:[/NPI]]),SUM(Mecze[[#This Row],[/BRI]:[/NPI]])*0.6)</f>
        <v>1.5657894736842106</v>
      </c>
      <c r="AA247" s="10">
        <f>IFERROR(Mecze[[#This Row],[BR]]/Mecze[[#This Row],[ST]],0)</f>
        <v>0</v>
      </c>
      <c r="AB247">
        <f>ROUND(Mecze[[#This Row],[PD]]*Mecze[[#This Row],[%PC]],0)</f>
        <v>3</v>
      </c>
      <c r="AC247">
        <f>ROUND(Mecze[[#This Row],[OD]]*Mecze[[#This Row],[%OU]],0)</f>
        <v>1</v>
      </c>
      <c r="AD247" s="36" t="s">
        <v>41</v>
      </c>
      <c r="AE247" s="36">
        <v>15</v>
      </c>
      <c r="AF247" s="71">
        <v>2.14</v>
      </c>
      <c r="AG247" s="37">
        <v>0</v>
      </c>
      <c r="AH247" s="37">
        <v>0</v>
      </c>
      <c r="AI247" s="37">
        <v>19</v>
      </c>
      <c r="AJ247" s="37">
        <v>4</v>
      </c>
      <c r="AK247" s="37" t="str">
        <f>VLOOKUP(Mecze[[#This Row],[Match ID]],Meczusie[Mecz]:Meczusie[RodzajMeczu],2,FALSE)</f>
        <v>Liga</v>
      </c>
    </row>
    <row r="248" spans="1:37" x14ac:dyDescent="0.25">
      <c r="A248" s="76">
        <v>7</v>
      </c>
      <c r="B248" s="3" t="s">
        <v>279</v>
      </c>
      <c r="C248" s="2" t="s">
        <v>160</v>
      </c>
      <c r="D248" s="1">
        <v>0</v>
      </c>
      <c r="E248" s="1">
        <v>0</v>
      </c>
      <c r="F248" s="1">
        <v>0</v>
      </c>
      <c r="G248" s="1">
        <v>9</v>
      </c>
      <c r="H248" s="4">
        <v>0.89</v>
      </c>
      <c r="I248" s="1">
        <v>8</v>
      </c>
      <c r="J248" s="4">
        <v>0.5</v>
      </c>
      <c r="K248" s="1">
        <v>0</v>
      </c>
      <c r="L248" s="1">
        <v>4</v>
      </c>
      <c r="M248" s="32">
        <f>IF(Mecze[[#This Row],[PR]]=0,0,Mecze[[#This Row],[PR]]/Mecze[[#This Row],[CZAS]])</f>
        <v>4.1666666666666664E-2</v>
      </c>
      <c r="N248" s="32">
        <f>IF(Mecze[[#This Row],[OU]]=0,0,Mecze[[#This Row],[OU]]/Mecze[[#This Row],[CZAS]])</f>
        <v>4.1666666666666664E-2</v>
      </c>
      <c r="O248" s="32">
        <f>IF(Mecze[[#This Row],[PC]]=0,0,Mecze[[#This Row],[PC]]/Mecze[[#This Row],[CZAS]])</f>
        <v>8.3333333333333329E-2</v>
      </c>
      <c r="P248" s="32">
        <f>IF(Mecze[[#This Row],[SC]]=0,0,Mecze[[#This Row],[SC]]/Mecze[[#This Row],[CZAS]])</f>
        <v>0</v>
      </c>
      <c r="Q248" s="32">
        <f>IF(Mecze[[#This Row],[OB]]=0,0,Mecze[[#This Row],[OB]]/Mecze[[#This Row],[CZAS]])</f>
        <v>0</v>
      </c>
      <c r="R248" s="32">
        <f>IF(Mecze[[#This Row],[BR]]=0,0,Mecze[[#This Row],[BR]]/Mecze[[#This Row],[CZAS]])</f>
        <v>0</v>
      </c>
      <c r="S248" s="44">
        <f>IF(Mecze[[#This Row],[Role]]="BR",SUMPRODUCT(Mecze[[#This Row],[/PR:90]:[/BR:90]],Brudnopis!$E$23:$J$23),0)</f>
        <v>0</v>
      </c>
      <c r="T248" s="44">
        <f>IF(Mecze[[#This Row],[Role]]&lt;&gt;"BR",SUMPRODUCT(Mecze[[#This Row],[/PR:90]:[/BR:90]],Brudnopis!$E$24:$J$24),0)</f>
        <v>0.1875</v>
      </c>
      <c r="U248" s="44">
        <f>IF(Mecze[[#This Row],[Role]]&lt;&gt;"BR",SUMPRODUCT(Mecze[[#This Row],[/PR:90]:[/BR:90]],Brudnopis!$E$25:$J$25),0)</f>
        <v>0.20833333333333331</v>
      </c>
      <c r="V248" s="44">
        <f>IF(Mecze[[#This Row],[Role]]&lt;&gt;"BR",SUMPRODUCT(Mecze[[#This Row],[/PR:90]:[/BR:90]],Brudnopis!$E$26:$J$26),0)</f>
        <v>0.16666666666666666</v>
      </c>
      <c r="W248" s="44">
        <f>IF(Mecze[[#This Row],[Role]]&lt;&gt;"BR",SUMPRODUCT(Mecze[[#This Row],[/PR:90]:[/BR:90]],Brudnopis!$E$27:$J$27),0)</f>
        <v>0.1875</v>
      </c>
      <c r="X248" s="44">
        <f>IF(Mecze[[#This Row],[Role]]&lt;&gt;"BR",SUMPRODUCT(Mecze[[#This Row],[/PR:90]:[/BR:90]],Brudnopis!$E$28:$J$28),0)</f>
        <v>8.3333333333333329E-2</v>
      </c>
      <c r="Y248" s="35">
        <f>IF(Mecze[[#This Row],[Role]]="BR",Mecze[[#This Row],[/OB:90]]+Mecze[[#This Row],[/PC:90]],SUM(Mecze[[#This Row],[/PR:90]:[/BR:90]]))</f>
        <v>0.16666666666666666</v>
      </c>
      <c r="Z248" s="35">
        <f>IF(Mecze[[#This Row],[KC]]=0,SUM(Mecze[[#This Row],[/BRI]:[/NPI]]),SUM(Mecze[[#This Row],[/BRI]:[/NPI]])*0.6)</f>
        <v>0.83333333333333337</v>
      </c>
      <c r="AA248" s="10">
        <f>IFERROR(Mecze[[#This Row],[BR]]/Mecze[[#This Row],[ST]],0)</f>
        <v>0</v>
      </c>
      <c r="AB248">
        <f>ROUND(Mecze[[#This Row],[PD]]*Mecze[[#This Row],[%PC]],0)</f>
        <v>8</v>
      </c>
      <c r="AC248">
        <f>ROUND(Mecze[[#This Row],[OD]]*Mecze[[#This Row],[%OU]],0)</f>
        <v>4</v>
      </c>
      <c r="AD248" s="36" t="s">
        <v>41</v>
      </c>
      <c r="AE248" s="36">
        <v>15</v>
      </c>
      <c r="AF248" s="71">
        <v>6.88</v>
      </c>
      <c r="AG248" s="37">
        <v>0</v>
      </c>
      <c r="AH248" s="37">
        <v>0</v>
      </c>
      <c r="AI248" s="37">
        <v>96</v>
      </c>
      <c r="AJ248" s="37">
        <v>4</v>
      </c>
      <c r="AK248" s="37" t="str">
        <f>VLOOKUP(Mecze[[#This Row],[Match ID]],Meczusie[Mecz]:Meczusie[RodzajMeczu],2,FALSE)</f>
        <v>Liga</v>
      </c>
    </row>
    <row r="249" spans="1:37" x14ac:dyDescent="0.25">
      <c r="A249" s="76">
        <v>6</v>
      </c>
      <c r="B249" s="3" t="s">
        <v>280</v>
      </c>
      <c r="C249" s="2" t="s">
        <v>160</v>
      </c>
      <c r="D249" s="1">
        <v>1</v>
      </c>
      <c r="E249" s="1">
        <v>1</v>
      </c>
      <c r="F249" s="1">
        <v>1</v>
      </c>
      <c r="G249" s="1">
        <v>12</v>
      </c>
      <c r="H249" s="4">
        <v>0.5</v>
      </c>
      <c r="I249" s="1">
        <v>5</v>
      </c>
      <c r="J249" s="4">
        <v>0.6</v>
      </c>
      <c r="K249" s="1">
        <v>0</v>
      </c>
      <c r="L249" s="1">
        <v>5</v>
      </c>
      <c r="M249" s="32">
        <f>IF(Mecze[[#This Row],[PR]]=0,0,Mecze[[#This Row],[PR]]/Mecze[[#This Row],[CZAS]])</f>
        <v>5.2083333333333336E-2</v>
      </c>
      <c r="N249" s="32">
        <f>IF(Mecze[[#This Row],[OU]]=0,0,Mecze[[#This Row],[OU]]/Mecze[[#This Row],[CZAS]])</f>
        <v>3.125E-2</v>
      </c>
      <c r="O249" s="32">
        <f>IF(Mecze[[#This Row],[PC]]=0,0,Mecze[[#This Row],[PC]]/Mecze[[#This Row],[CZAS]])</f>
        <v>6.25E-2</v>
      </c>
      <c r="P249" s="32">
        <f>IF(Mecze[[#This Row],[SC]]=0,0,Mecze[[#This Row],[SC]]/Mecze[[#This Row],[CZAS]])</f>
        <v>1.0416666666666666E-2</v>
      </c>
      <c r="Q249" s="32">
        <f>IF(Mecze[[#This Row],[OB]]=0,0,Mecze[[#This Row],[OB]]/Mecze[[#This Row],[CZAS]])</f>
        <v>0</v>
      </c>
      <c r="R249" s="32">
        <f>IF(Mecze[[#This Row],[BR]]=0,0,Mecze[[#This Row],[BR]]/Mecze[[#This Row],[CZAS]])</f>
        <v>1.0416666666666666E-2</v>
      </c>
      <c r="S249" s="44">
        <f>IF(Mecze[[#This Row],[Role]]="BR",SUMPRODUCT(Mecze[[#This Row],[/PR:90]:[/BR:90]],Brudnopis!$E$23:$J$23),0)</f>
        <v>0</v>
      </c>
      <c r="T249" s="44">
        <f>IF(Mecze[[#This Row],[Role]]&lt;&gt;"BR",SUMPRODUCT(Mecze[[#This Row],[/PR:90]:[/BR:90]],Brudnopis!$E$24:$J$24),0)</f>
        <v>0.1875</v>
      </c>
      <c r="U249" s="44">
        <f>IF(Mecze[[#This Row],[Role]]&lt;&gt;"BR",SUMPRODUCT(Mecze[[#This Row],[/PR:90]:[/BR:90]],Brudnopis!$E$25:$J$25),0)</f>
        <v>0.203125</v>
      </c>
      <c r="V249" s="44">
        <f>IF(Mecze[[#This Row],[Role]]&lt;&gt;"BR",SUMPRODUCT(Mecze[[#This Row],[/PR:90]:[/BR:90]],Brudnopis!$E$26:$J$26),0)</f>
        <v>0.17708333333333334</v>
      </c>
      <c r="W249" s="44">
        <f>IF(Mecze[[#This Row],[Role]]&lt;&gt;"BR",SUMPRODUCT(Mecze[[#This Row],[/PR:90]:[/BR:90]],Brudnopis!$E$27:$J$27),0)</f>
        <v>0.1875</v>
      </c>
      <c r="X249" s="44">
        <f>IF(Mecze[[#This Row],[Role]]&lt;&gt;"BR",SUMPRODUCT(Mecze[[#This Row],[/PR:90]:[/BR:90]],Brudnopis!$E$28:$J$28),0)</f>
        <v>0.11458333333333333</v>
      </c>
      <c r="Y249" s="35">
        <f>IF(Mecze[[#This Row],[Role]]="BR",Mecze[[#This Row],[/OB:90]]+Mecze[[#This Row],[/PC:90]],SUM(Mecze[[#This Row],[/PR:90]:[/BR:90]]))</f>
        <v>0.16666666666666666</v>
      </c>
      <c r="Z249" s="35">
        <f>IF(Mecze[[#This Row],[KC]]=0,SUM(Mecze[[#This Row],[/BRI]:[/NPI]]),SUM(Mecze[[#This Row],[/BRI]:[/NPI]])*0.6)</f>
        <v>0.86979166666666674</v>
      </c>
      <c r="AA249" s="10">
        <f>IFERROR(Mecze[[#This Row],[BR]]/Mecze[[#This Row],[ST]],0)</f>
        <v>1</v>
      </c>
      <c r="AB249">
        <f>ROUND(Mecze[[#This Row],[PD]]*Mecze[[#This Row],[%PC]],0)</f>
        <v>6</v>
      </c>
      <c r="AC249">
        <f>ROUND(Mecze[[#This Row],[OD]]*Mecze[[#This Row],[%OU]],0)</f>
        <v>3</v>
      </c>
      <c r="AD249" s="36" t="s">
        <v>67</v>
      </c>
      <c r="AE249" s="36">
        <v>15</v>
      </c>
      <c r="AF249" s="71">
        <v>8.52</v>
      </c>
      <c r="AG249" s="37">
        <v>0</v>
      </c>
      <c r="AH249" s="37">
        <v>0</v>
      </c>
      <c r="AI249" s="37">
        <v>96</v>
      </c>
      <c r="AJ249" s="37">
        <v>4</v>
      </c>
      <c r="AK249" s="37" t="str">
        <f>VLOOKUP(Mecze[[#This Row],[Match ID]],Meczusie[Mecz]:Meczusie[RodzajMeczu],2,FALSE)</f>
        <v>Liga</v>
      </c>
    </row>
    <row r="250" spans="1:37" x14ac:dyDescent="0.25">
      <c r="A250" s="76">
        <v>14</v>
      </c>
      <c r="B250" s="3" t="s">
        <v>281</v>
      </c>
      <c r="C250" s="2" t="s">
        <v>160</v>
      </c>
      <c r="D250" s="1">
        <v>1</v>
      </c>
      <c r="E250" s="1">
        <v>5</v>
      </c>
      <c r="F250" s="1">
        <v>3</v>
      </c>
      <c r="G250" s="1">
        <v>11</v>
      </c>
      <c r="H250" s="4">
        <v>1</v>
      </c>
      <c r="I250" s="1">
        <v>1</v>
      </c>
      <c r="J250" s="4">
        <v>0</v>
      </c>
      <c r="K250" s="1">
        <v>0</v>
      </c>
      <c r="L250" s="1">
        <v>3</v>
      </c>
      <c r="M250" s="32">
        <f>IF(Mecze[[#This Row],[PR]]=0,0,Mecze[[#This Row],[PR]]/Mecze[[#This Row],[CZAS]])</f>
        <v>3.896103896103896E-2</v>
      </c>
      <c r="N250" s="32">
        <f>IF(Mecze[[#This Row],[OU]]=0,0,Mecze[[#This Row],[OU]]/Mecze[[#This Row],[CZAS]])</f>
        <v>0</v>
      </c>
      <c r="O250" s="32">
        <f>IF(Mecze[[#This Row],[PC]]=0,0,Mecze[[#This Row],[PC]]/Mecze[[#This Row],[CZAS]])</f>
        <v>0.14285714285714285</v>
      </c>
      <c r="P250" s="32">
        <f>IF(Mecze[[#This Row],[SC]]=0,0,Mecze[[#This Row],[SC]]/Mecze[[#This Row],[CZAS]])</f>
        <v>3.896103896103896E-2</v>
      </c>
      <c r="Q250" s="32">
        <f>IF(Mecze[[#This Row],[OB]]=0,0,Mecze[[#This Row],[OB]]/Mecze[[#This Row],[CZAS]])</f>
        <v>0</v>
      </c>
      <c r="R250" s="32">
        <f>IF(Mecze[[#This Row],[BR]]=0,0,Mecze[[#This Row],[BR]]/Mecze[[#This Row],[CZAS]])</f>
        <v>1.2987012987012988E-2</v>
      </c>
      <c r="S250" s="44">
        <f>IF(Mecze[[#This Row],[Role]]="BR",SUMPRODUCT(Mecze[[#This Row],[/PR:90]:[/BR:90]],Brudnopis!$E$23:$J$23),0)</f>
        <v>0</v>
      </c>
      <c r="T250" s="44">
        <f>IF(Mecze[[#This Row],[Role]]&lt;&gt;"BR",SUMPRODUCT(Mecze[[#This Row],[/PR:90]:[/BR:90]],Brudnopis!$E$24:$J$24),0)</f>
        <v>0.24025974025974028</v>
      </c>
      <c r="U250" s="44">
        <f>IF(Mecze[[#This Row],[Role]]&lt;&gt;"BR",SUMPRODUCT(Mecze[[#This Row],[/PR:90]:[/BR:90]],Brudnopis!$E$25:$J$25),0)</f>
        <v>0.31168831168831168</v>
      </c>
      <c r="V250" s="44">
        <f>IF(Mecze[[#This Row],[Role]]&lt;&gt;"BR",SUMPRODUCT(Mecze[[#This Row],[/PR:90]:[/BR:90]],Brudnopis!$E$26:$J$26),0)</f>
        <v>0.24675324675324678</v>
      </c>
      <c r="W250" s="44">
        <f>IF(Mecze[[#This Row],[Role]]&lt;&gt;"BR",SUMPRODUCT(Mecze[[#This Row],[/PR:90]:[/BR:90]],Brudnopis!$E$27:$J$27),0)</f>
        <v>0.30844155844155846</v>
      </c>
      <c r="X250" s="44">
        <f>IF(Mecze[[#This Row],[Role]]&lt;&gt;"BR",SUMPRODUCT(Mecze[[#This Row],[/PR:90]:[/BR:90]],Brudnopis!$E$28:$J$28),0)</f>
        <v>0.25974025974025972</v>
      </c>
      <c r="Y250" s="35">
        <f>IF(Mecze[[#This Row],[Role]]="BR",Mecze[[#This Row],[/OB:90]]+Mecze[[#This Row],[/PC:90]],SUM(Mecze[[#This Row],[/PR:90]:[/BR:90]]))</f>
        <v>0.23376623376623379</v>
      </c>
      <c r="Z250" s="35">
        <f>IF(Mecze[[#This Row],[KC]]=0,SUM(Mecze[[#This Row],[/BRI]:[/NPI]]),SUM(Mecze[[#This Row],[/BRI]:[/NPI]])*0.6)</f>
        <v>1.366883116883117</v>
      </c>
      <c r="AA250" s="10">
        <f>IFERROR(Mecze[[#This Row],[BR]]/Mecze[[#This Row],[ST]],0)</f>
        <v>0.2</v>
      </c>
      <c r="AB250">
        <f>ROUND(Mecze[[#This Row],[PD]]*Mecze[[#This Row],[%PC]],0)</f>
        <v>11</v>
      </c>
      <c r="AC250">
        <f>ROUND(Mecze[[#This Row],[OD]]*Mecze[[#This Row],[%OU]],0)</f>
        <v>0</v>
      </c>
      <c r="AD250" s="36" t="s">
        <v>171</v>
      </c>
      <c r="AE250" s="36">
        <v>15</v>
      </c>
      <c r="AF250" s="71">
        <v>10.68</v>
      </c>
      <c r="AG250" s="37">
        <v>0</v>
      </c>
      <c r="AH250" s="37">
        <v>0</v>
      </c>
      <c r="AI250" s="37">
        <v>77</v>
      </c>
      <c r="AJ250" s="37">
        <v>4</v>
      </c>
      <c r="AK250" s="37" t="str">
        <f>VLOOKUP(Mecze[[#This Row],[Match ID]],Meczusie[Mecz]:Meczusie[RodzajMeczu],2,FALSE)</f>
        <v>Liga</v>
      </c>
    </row>
    <row r="251" spans="1:37" x14ac:dyDescent="0.25">
      <c r="A251" s="76">
        <v>11</v>
      </c>
      <c r="B251" s="3" t="s">
        <v>282</v>
      </c>
      <c r="C251" s="2" t="s">
        <v>165</v>
      </c>
      <c r="D251" s="1">
        <v>0</v>
      </c>
      <c r="E251" s="1">
        <v>3</v>
      </c>
      <c r="F251" s="1">
        <v>3</v>
      </c>
      <c r="G251" s="1">
        <v>4</v>
      </c>
      <c r="H251" s="4">
        <v>0.5</v>
      </c>
      <c r="I251" s="1">
        <v>2</v>
      </c>
      <c r="J251" s="4">
        <v>0.5</v>
      </c>
      <c r="K251" s="1">
        <v>0</v>
      </c>
      <c r="L251" s="1">
        <v>1</v>
      </c>
      <c r="M251" s="32">
        <f>IF(Mecze[[#This Row],[PR]]=0,0,Mecze[[#This Row],[PR]]/Mecze[[#This Row],[CZAS]])</f>
        <v>1.282051282051282E-2</v>
      </c>
      <c r="N251" s="32">
        <f>IF(Mecze[[#This Row],[OU]]=0,0,Mecze[[#This Row],[OU]]/Mecze[[#This Row],[CZAS]])</f>
        <v>1.282051282051282E-2</v>
      </c>
      <c r="O251" s="32">
        <f>IF(Mecze[[#This Row],[PC]]=0,0,Mecze[[#This Row],[PC]]/Mecze[[#This Row],[CZAS]])</f>
        <v>2.564102564102564E-2</v>
      </c>
      <c r="P251" s="32">
        <f>IF(Mecze[[#This Row],[SC]]=0,0,Mecze[[#This Row],[SC]]/Mecze[[#This Row],[CZAS]])</f>
        <v>3.8461538461538464E-2</v>
      </c>
      <c r="Q251" s="32">
        <f>IF(Mecze[[#This Row],[OB]]=0,0,Mecze[[#This Row],[OB]]/Mecze[[#This Row],[CZAS]])</f>
        <v>0</v>
      </c>
      <c r="R251" s="32">
        <f>IF(Mecze[[#This Row],[BR]]=0,0,Mecze[[#This Row],[BR]]/Mecze[[#This Row],[CZAS]])</f>
        <v>0</v>
      </c>
      <c r="S251" s="44">
        <f>IF(Mecze[[#This Row],[Role]]="BR",SUMPRODUCT(Mecze[[#This Row],[/PR:90]:[/BR:90]],Brudnopis!$E$23:$J$23),0)</f>
        <v>0</v>
      </c>
      <c r="T251" s="44">
        <f>IF(Mecze[[#This Row],[Role]]&lt;&gt;"BR",SUMPRODUCT(Mecze[[#This Row],[/PR:90]:[/BR:90]],Brudnopis!$E$24:$J$24),0)</f>
        <v>9.6153846153846145E-2</v>
      </c>
      <c r="U251" s="44">
        <f>IF(Mecze[[#This Row],[Role]]&lt;&gt;"BR",SUMPRODUCT(Mecze[[#This Row],[/PR:90]:[/BR:90]],Brudnopis!$E$25:$J$25),0)</f>
        <v>0.10256410256410256</v>
      </c>
      <c r="V251" s="44">
        <f>IF(Mecze[[#This Row],[Role]]&lt;&gt;"BR",SUMPRODUCT(Mecze[[#This Row],[/PR:90]:[/BR:90]],Brudnopis!$E$26:$J$26),0)</f>
        <v>8.9743589743589744E-2</v>
      </c>
      <c r="W251" s="44">
        <f>IF(Mecze[[#This Row],[Role]]&lt;&gt;"BR",SUMPRODUCT(Mecze[[#This Row],[/PR:90]:[/BR:90]],Brudnopis!$E$27:$J$27),0)</f>
        <v>9.6153846153846159E-2</v>
      </c>
      <c r="X251" s="44">
        <f>IF(Mecze[[#This Row],[Role]]&lt;&gt;"BR",SUMPRODUCT(Mecze[[#This Row],[/PR:90]:[/BR:90]],Brudnopis!$E$28:$J$28),0)</f>
        <v>0.10256410256410256</v>
      </c>
      <c r="Y251" s="35">
        <f>IF(Mecze[[#This Row],[Role]]="BR",Mecze[[#This Row],[/OB:90]]+Mecze[[#This Row],[/PC:90]],SUM(Mecze[[#This Row],[/PR:90]:[/BR:90]]))</f>
        <v>8.9743589743589744E-2</v>
      </c>
      <c r="Z251" s="35">
        <f>IF(Mecze[[#This Row],[KC]]=0,SUM(Mecze[[#This Row],[/BRI]:[/NPI]]),SUM(Mecze[[#This Row],[/BRI]:[/NPI]])*0.6)</f>
        <v>0.48717948717948711</v>
      </c>
      <c r="AA251" s="10">
        <f>IFERROR(Mecze[[#This Row],[BR]]/Mecze[[#This Row],[ST]],0)</f>
        <v>0</v>
      </c>
      <c r="AB251">
        <f>ROUND(Mecze[[#This Row],[PD]]*Mecze[[#This Row],[%PC]],0)</f>
        <v>2</v>
      </c>
      <c r="AC251">
        <f>ROUND(Mecze[[#This Row],[OD]]*Mecze[[#This Row],[%OU]],0)</f>
        <v>1</v>
      </c>
      <c r="AD251" s="36" t="s">
        <v>46</v>
      </c>
      <c r="AE251" s="36">
        <v>15</v>
      </c>
      <c r="AF251" s="71">
        <v>4.59</v>
      </c>
      <c r="AG251" s="37">
        <v>0</v>
      </c>
      <c r="AH251" s="37">
        <v>0</v>
      </c>
      <c r="AI251" s="37">
        <v>78</v>
      </c>
      <c r="AJ251" s="37">
        <v>4</v>
      </c>
      <c r="AK251" s="37" t="str">
        <f>VLOOKUP(Mecze[[#This Row],[Match ID]],Meczusie[Mecz]:Meczusie[RodzajMeczu],2,FALSE)</f>
        <v>Liga</v>
      </c>
    </row>
    <row r="252" spans="1:37" x14ac:dyDescent="0.25">
      <c r="A252" s="76">
        <v>8</v>
      </c>
      <c r="B252" s="3" t="s">
        <v>283</v>
      </c>
      <c r="C252" s="2" t="s">
        <v>165</v>
      </c>
      <c r="D252" s="1">
        <v>1</v>
      </c>
      <c r="E252" s="1">
        <v>6</v>
      </c>
      <c r="F252" s="1">
        <v>6</v>
      </c>
      <c r="G252" s="1">
        <v>7</v>
      </c>
      <c r="H252" s="4">
        <v>0.71</v>
      </c>
      <c r="I252" s="1">
        <v>2</v>
      </c>
      <c r="J252" s="4">
        <v>1</v>
      </c>
      <c r="K252" s="1">
        <v>0</v>
      </c>
      <c r="L252" s="1">
        <v>0</v>
      </c>
      <c r="M252" s="32">
        <f>IF(Mecze[[#This Row],[PR]]=0,0,Mecze[[#This Row],[PR]]/Mecze[[#This Row],[CZAS]])</f>
        <v>0</v>
      </c>
      <c r="N252" s="32">
        <f>IF(Mecze[[#This Row],[OU]]=0,0,Mecze[[#This Row],[OU]]/Mecze[[#This Row],[CZAS]])</f>
        <v>2.0833333333333332E-2</v>
      </c>
      <c r="O252" s="32">
        <f>IF(Mecze[[#This Row],[PC]]=0,0,Mecze[[#This Row],[PC]]/Mecze[[#This Row],[CZAS]])</f>
        <v>5.2083333333333336E-2</v>
      </c>
      <c r="P252" s="32">
        <f>IF(Mecze[[#This Row],[SC]]=0,0,Mecze[[#This Row],[SC]]/Mecze[[#This Row],[CZAS]])</f>
        <v>6.25E-2</v>
      </c>
      <c r="Q252" s="32">
        <f>IF(Mecze[[#This Row],[OB]]=0,0,Mecze[[#This Row],[OB]]/Mecze[[#This Row],[CZAS]])</f>
        <v>0</v>
      </c>
      <c r="R252" s="32">
        <f>IF(Mecze[[#This Row],[BR]]=0,0,Mecze[[#This Row],[BR]]/Mecze[[#This Row],[CZAS]])</f>
        <v>1.0416666666666666E-2</v>
      </c>
      <c r="S252" s="44">
        <f>IF(Mecze[[#This Row],[Role]]="BR",SUMPRODUCT(Mecze[[#This Row],[/PR:90]:[/BR:90]],Brudnopis!$E$23:$J$23),0)</f>
        <v>0</v>
      </c>
      <c r="T252" s="44">
        <f>IF(Mecze[[#This Row],[Role]]&lt;&gt;"BR",SUMPRODUCT(Mecze[[#This Row],[/PR:90]:[/BR:90]],Brudnopis!$E$24:$J$24),0)</f>
        <v>0.16145833333333334</v>
      </c>
      <c r="U252" s="44">
        <f>IF(Mecze[[#This Row],[Role]]&lt;&gt;"BR",SUMPRODUCT(Mecze[[#This Row],[/PR:90]:[/BR:90]],Brudnopis!$E$25:$J$25),0)</f>
        <v>0.17708333333333331</v>
      </c>
      <c r="V252" s="44">
        <f>IF(Mecze[[#This Row],[Role]]&lt;&gt;"BR",SUMPRODUCT(Mecze[[#This Row],[/PR:90]:[/BR:90]],Brudnopis!$E$26:$J$26),0)</f>
        <v>0.15625000000000003</v>
      </c>
      <c r="W252" s="44">
        <f>IF(Mecze[[#This Row],[Role]]&lt;&gt;"BR",SUMPRODUCT(Mecze[[#This Row],[/PR:90]:[/BR:90]],Brudnopis!$E$27:$J$27),0)</f>
        <v>0.17708333333333334</v>
      </c>
      <c r="X252" s="44">
        <f>IF(Mecze[[#This Row],[Role]]&lt;&gt;"BR",SUMPRODUCT(Mecze[[#This Row],[/PR:90]:[/BR:90]],Brudnopis!$E$28:$J$28),0)</f>
        <v>0.20833333333333334</v>
      </c>
      <c r="Y252" s="35">
        <f>IF(Mecze[[#This Row],[Role]]="BR",Mecze[[#This Row],[/OB:90]]+Mecze[[#This Row],[/PC:90]],SUM(Mecze[[#This Row],[/PR:90]:[/BR:90]]))</f>
        <v>0.14583333333333334</v>
      </c>
      <c r="Z252" s="35">
        <f>IF(Mecze[[#This Row],[KC]]=0,SUM(Mecze[[#This Row],[/BRI]:[/NPI]]),SUM(Mecze[[#This Row],[/BRI]:[/NPI]])*0.6)</f>
        <v>0.88020833333333337</v>
      </c>
      <c r="AA252" s="10">
        <f>IFERROR(Mecze[[#This Row],[BR]]/Mecze[[#This Row],[ST]],0)</f>
        <v>0.16666666666666666</v>
      </c>
      <c r="AB252">
        <f>ROUND(Mecze[[#This Row],[PD]]*Mecze[[#This Row],[%PC]],0)</f>
        <v>5</v>
      </c>
      <c r="AC252">
        <f>ROUND(Mecze[[#This Row],[OD]]*Mecze[[#This Row],[%OU]],0)</f>
        <v>2</v>
      </c>
      <c r="AD252" s="36" t="s">
        <v>273</v>
      </c>
      <c r="AE252" s="36">
        <v>15</v>
      </c>
      <c r="AF252" s="71">
        <v>8.8800000000000008</v>
      </c>
      <c r="AG252" s="37">
        <v>0</v>
      </c>
      <c r="AH252" s="37">
        <v>0</v>
      </c>
      <c r="AI252" s="37">
        <v>96</v>
      </c>
      <c r="AJ252" s="37">
        <v>4</v>
      </c>
      <c r="AK252" s="37" t="str">
        <f>VLOOKUP(Mecze[[#This Row],[Match ID]],Meczusie[Mecz]:Meczusie[RodzajMeczu],2,FALSE)</f>
        <v>Liga</v>
      </c>
    </row>
    <row r="253" spans="1:37" x14ac:dyDescent="0.25">
      <c r="A253" s="76">
        <v>10</v>
      </c>
      <c r="B253" s="3" t="s">
        <v>284</v>
      </c>
      <c r="C253" s="2" t="s">
        <v>165</v>
      </c>
      <c r="D253" s="1">
        <v>0</v>
      </c>
      <c r="E253" s="1">
        <v>11</v>
      </c>
      <c r="F253" s="1">
        <v>11</v>
      </c>
      <c r="G253" s="1">
        <v>5</v>
      </c>
      <c r="H253" s="4">
        <v>0.8</v>
      </c>
      <c r="I253" s="1">
        <v>1</v>
      </c>
      <c r="J253" s="4">
        <v>0</v>
      </c>
      <c r="K253" s="1">
        <v>0</v>
      </c>
      <c r="L253" s="1">
        <v>0</v>
      </c>
      <c r="M253" s="32">
        <f>IF(Mecze[[#This Row],[PR]]=0,0,Mecze[[#This Row],[PR]]/Mecze[[#This Row],[CZAS]])</f>
        <v>0</v>
      </c>
      <c r="N253" s="32">
        <f>IF(Mecze[[#This Row],[OU]]=0,0,Mecze[[#This Row],[OU]]/Mecze[[#This Row],[CZAS]])</f>
        <v>0</v>
      </c>
      <c r="O253" s="32">
        <f>IF(Mecze[[#This Row],[PC]]=0,0,Mecze[[#This Row],[PC]]/Mecze[[#This Row],[CZAS]])</f>
        <v>4.1666666666666664E-2</v>
      </c>
      <c r="P253" s="32">
        <f>IF(Mecze[[#This Row],[SC]]=0,0,Mecze[[#This Row],[SC]]/Mecze[[#This Row],[CZAS]])</f>
        <v>0.11458333333333333</v>
      </c>
      <c r="Q253" s="32">
        <f>IF(Mecze[[#This Row],[OB]]=0,0,Mecze[[#This Row],[OB]]/Mecze[[#This Row],[CZAS]])</f>
        <v>0</v>
      </c>
      <c r="R253" s="32">
        <f>IF(Mecze[[#This Row],[BR]]=0,0,Mecze[[#This Row],[BR]]/Mecze[[#This Row],[CZAS]])</f>
        <v>0</v>
      </c>
      <c r="S253" s="44">
        <f>IF(Mecze[[#This Row],[Role]]="BR",SUMPRODUCT(Mecze[[#This Row],[/PR:90]:[/BR:90]],Brudnopis!$E$23:$J$23),0)</f>
        <v>0</v>
      </c>
      <c r="T253" s="44">
        <f>IF(Mecze[[#This Row],[Role]]&lt;&gt;"BR",SUMPRODUCT(Mecze[[#This Row],[/PR:90]:[/BR:90]],Brudnopis!$E$24:$J$24),0)</f>
        <v>0.15625</v>
      </c>
      <c r="U253" s="44">
        <f>IF(Mecze[[#This Row],[Role]]&lt;&gt;"BR",SUMPRODUCT(Mecze[[#This Row],[/PR:90]:[/BR:90]],Brudnopis!$E$25:$J$25),0)</f>
        <v>0.17708333333333331</v>
      </c>
      <c r="V253" s="44">
        <f>IF(Mecze[[#This Row],[Role]]&lt;&gt;"BR",SUMPRODUCT(Mecze[[#This Row],[/PR:90]:[/BR:90]],Brudnopis!$E$26:$J$26),0)</f>
        <v>0.15625</v>
      </c>
      <c r="W253" s="44">
        <f>IF(Mecze[[#This Row],[Role]]&lt;&gt;"BR",SUMPRODUCT(Mecze[[#This Row],[/PR:90]:[/BR:90]],Brudnopis!$E$27:$J$27),0)</f>
        <v>0.17708333333333331</v>
      </c>
      <c r="X253" s="44">
        <f>IF(Mecze[[#This Row],[Role]]&lt;&gt;"BR",SUMPRODUCT(Mecze[[#This Row],[/PR:90]:[/BR:90]],Brudnopis!$E$28:$J$28),0)</f>
        <v>0.27083333333333331</v>
      </c>
      <c r="Y253" s="35">
        <f>IF(Mecze[[#This Row],[Role]]="BR",Mecze[[#This Row],[/OB:90]]+Mecze[[#This Row],[/PC:90]],SUM(Mecze[[#This Row],[/PR:90]:[/BR:90]]))</f>
        <v>0.15625</v>
      </c>
      <c r="Z253" s="35">
        <f>IF(Mecze[[#This Row],[KC]]=0,SUM(Mecze[[#This Row],[/BRI]:[/NPI]]),SUM(Mecze[[#This Row],[/BRI]:[/NPI]])*0.6)</f>
        <v>0.9375</v>
      </c>
      <c r="AA253" s="10">
        <f>IFERROR(Mecze[[#This Row],[BR]]/Mecze[[#This Row],[ST]],0)</f>
        <v>0</v>
      </c>
      <c r="AB253">
        <f>ROUND(Mecze[[#This Row],[PD]]*Mecze[[#This Row],[%PC]],0)</f>
        <v>4</v>
      </c>
      <c r="AC253">
        <f>ROUND(Mecze[[#This Row],[OD]]*Mecze[[#This Row],[%OU]],0)</f>
        <v>0</v>
      </c>
      <c r="AD253" s="36" t="s">
        <v>46</v>
      </c>
      <c r="AE253" s="36">
        <v>15</v>
      </c>
      <c r="AF253" s="71">
        <v>8.6</v>
      </c>
      <c r="AG253" s="37">
        <v>0</v>
      </c>
      <c r="AH253" s="37">
        <v>0</v>
      </c>
      <c r="AI253" s="37">
        <v>96</v>
      </c>
      <c r="AJ253" s="37">
        <v>4</v>
      </c>
      <c r="AK253" s="37" t="str">
        <f>VLOOKUP(Mecze[[#This Row],[Match ID]],Meczusie[Mecz]:Meczusie[RodzajMeczu],2,FALSE)</f>
        <v>Liga</v>
      </c>
    </row>
    <row r="254" spans="1:37" x14ac:dyDescent="0.25">
      <c r="A254" s="76">
        <v>2</v>
      </c>
      <c r="B254" s="3" t="s">
        <v>285</v>
      </c>
      <c r="C254" s="2" t="s">
        <v>160</v>
      </c>
      <c r="D254" s="1">
        <v>0</v>
      </c>
      <c r="E254" s="1">
        <v>0</v>
      </c>
      <c r="F254" s="1">
        <v>0</v>
      </c>
      <c r="G254" s="1">
        <v>6</v>
      </c>
      <c r="H254" s="4">
        <v>1</v>
      </c>
      <c r="I254" s="1">
        <v>1</v>
      </c>
      <c r="J254" s="4">
        <v>1</v>
      </c>
      <c r="K254" s="1">
        <v>0</v>
      </c>
      <c r="L254" s="1">
        <v>3</v>
      </c>
      <c r="M254" s="32">
        <f>IF(Mecze[[#This Row],[PR]]=0,0,Mecze[[#This Row],[PR]]/Mecze[[#This Row],[CZAS]])</f>
        <v>3.896103896103896E-2</v>
      </c>
      <c r="N254" s="32">
        <f>IF(Mecze[[#This Row],[OU]]=0,0,Mecze[[#This Row],[OU]]/Mecze[[#This Row],[CZAS]])</f>
        <v>1.2987012987012988E-2</v>
      </c>
      <c r="O254" s="32">
        <f>IF(Mecze[[#This Row],[PC]]=0,0,Mecze[[#This Row],[PC]]/Mecze[[#This Row],[CZAS]])</f>
        <v>7.792207792207792E-2</v>
      </c>
      <c r="P254" s="32">
        <f>IF(Mecze[[#This Row],[SC]]=0,0,Mecze[[#This Row],[SC]]/Mecze[[#This Row],[CZAS]])</f>
        <v>0</v>
      </c>
      <c r="Q254" s="32">
        <f>IF(Mecze[[#This Row],[OB]]=0,0,Mecze[[#This Row],[OB]]/Mecze[[#This Row],[CZAS]])</f>
        <v>0</v>
      </c>
      <c r="R254" s="32">
        <f>IF(Mecze[[#This Row],[BR]]=0,0,Mecze[[#This Row],[BR]]/Mecze[[#This Row],[CZAS]])</f>
        <v>0</v>
      </c>
      <c r="S254" s="44">
        <f>IF(Mecze[[#This Row],[Role]]="BR",SUMPRODUCT(Mecze[[#This Row],[/PR:90]:[/BR:90]],Brudnopis!$E$23:$J$23),0)</f>
        <v>0</v>
      </c>
      <c r="T254" s="44">
        <f>IF(Mecze[[#This Row],[Role]]&lt;&gt;"BR",SUMPRODUCT(Mecze[[#This Row],[/PR:90]:[/BR:90]],Brudnopis!$E$24:$J$24),0)</f>
        <v>0.13636363636363635</v>
      </c>
      <c r="U254" s="44">
        <f>IF(Mecze[[#This Row],[Role]]&lt;&gt;"BR",SUMPRODUCT(Mecze[[#This Row],[/PR:90]:[/BR:90]],Brudnopis!$E$25:$J$25),0)</f>
        <v>0.16883116883116883</v>
      </c>
      <c r="V254" s="44">
        <f>IF(Mecze[[#This Row],[Role]]&lt;&gt;"BR",SUMPRODUCT(Mecze[[#This Row],[/PR:90]:[/BR:90]],Brudnopis!$E$26:$J$26),0)</f>
        <v>0.12987012987012986</v>
      </c>
      <c r="W254" s="44">
        <f>IF(Mecze[[#This Row],[Role]]&lt;&gt;"BR",SUMPRODUCT(Mecze[[#This Row],[/PR:90]:[/BR:90]],Brudnopis!$E$27:$J$27),0)</f>
        <v>0.15584415584415584</v>
      </c>
      <c r="X254" s="44">
        <f>IF(Mecze[[#This Row],[Role]]&lt;&gt;"BR",SUMPRODUCT(Mecze[[#This Row],[/PR:90]:[/BR:90]],Brudnopis!$E$28:$J$28),0)</f>
        <v>7.792207792207792E-2</v>
      </c>
      <c r="Y254" s="35">
        <f>IF(Mecze[[#This Row],[Role]]="BR",Mecze[[#This Row],[/OB:90]]+Mecze[[#This Row],[/PC:90]],SUM(Mecze[[#This Row],[/PR:90]:[/BR:90]]))</f>
        <v>0.12987012987012986</v>
      </c>
      <c r="Z254" s="35">
        <f>IF(Mecze[[#This Row],[KC]]=0,SUM(Mecze[[#This Row],[/BRI]:[/NPI]]),SUM(Mecze[[#This Row],[/BRI]:[/NPI]])*0.6)</f>
        <v>0.66883116883116878</v>
      </c>
      <c r="AA254" s="10">
        <f>IFERROR(Mecze[[#This Row],[BR]]/Mecze[[#This Row],[ST]],0)</f>
        <v>0</v>
      </c>
      <c r="AB254">
        <f>ROUND(Mecze[[#This Row],[PD]]*Mecze[[#This Row],[%PC]],0)</f>
        <v>6</v>
      </c>
      <c r="AC254">
        <f>ROUND(Mecze[[#This Row],[OD]]*Mecze[[#This Row],[%OU]],0)</f>
        <v>1</v>
      </c>
      <c r="AD254" s="36" t="s">
        <v>41</v>
      </c>
      <c r="AE254" s="36">
        <v>15</v>
      </c>
      <c r="AF254" s="71">
        <v>7.88</v>
      </c>
      <c r="AG254" s="37">
        <v>0</v>
      </c>
      <c r="AH254" s="37">
        <v>0</v>
      </c>
      <c r="AI254" s="37">
        <v>77</v>
      </c>
      <c r="AJ254" s="37">
        <v>4</v>
      </c>
      <c r="AK254" s="37" t="str">
        <f>VLOOKUP(Mecze[[#This Row],[Match ID]],Meczusie[Mecz]:Meczusie[RodzajMeczu],2,FALSE)</f>
        <v>Liga</v>
      </c>
    </row>
    <row r="255" spans="1:37" x14ac:dyDescent="0.25">
      <c r="A255" s="76">
        <v>15</v>
      </c>
      <c r="B255" s="3" t="s">
        <v>286</v>
      </c>
      <c r="C255" s="2" t="s">
        <v>165</v>
      </c>
      <c r="D255" s="1">
        <v>0</v>
      </c>
      <c r="E255" s="1">
        <v>0</v>
      </c>
      <c r="F255" s="1">
        <v>0</v>
      </c>
      <c r="G255" s="1">
        <v>2</v>
      </c>
      <c r="H255" s="4">
        <v>1</v>
      </c>
      <c r="I255" s="1">
        <v>0</v>
      </c>
      <c r="J255" s="4"/>
      <c r="K255" s="1">
        <v>0</v>
      </c>
      <c r="L255" s="1">
        <v>1</v>
      </c>
      <c r="M255" s="32">
        <f>IF(Mecze[[#This Row],[PR]]=0,0,Mecze[[#This Row],[PR]]/Mecze[[#This Row],[CZAS]])</f>
        <v>5.5555555555555552E-2</v>
      </c>
      <c r="N255" s="32">
        <f>IF(Mecze[[#This Row],[OU]]=0,0,Mecze[[#This Row],[OU]]/Mecze[[#This Row],[CZAS]])</f>
        <v>0</v>
      </c>
      <c r="O255" s="32">
        <f>IF(Mecze[[#This Row],[PC]]=0,0,Mecze[[#This Row],[PC]]/Mecze[[#This Row],[CZAS]])</f>
        <v>0.1111111111111111</v>
      </c>
      <c r="P255" s="32">
        <f>IF(Mecze[[#This Row],[SC]]=0,0,Mecze[[#This Row],[SC]]/Mecze[[#This Row],[CZAS]])</f>
        <v>0</v>
      </c>
      <c r="Q255" s="32">
        <f>IF(Mecze[[#This Row],[OB]]=0,0,Mecze[[#This Row],[OB]]/Mecze[[#This Row],[CZAS]])</f>
        <v>0</v>
      </c>
      <c r="R255" s="32">
        <f>IF(Mecze[[#This Row],[BR]]=0,0,Mecze[[#This Row],[BR]]/Mecze[[#This Row],[CZAS]])</f>
        <v>0</v>
      </c>
      <c r="S255" s="44">
        <f>IF(Mecze[[#This Row],[Role]]="BR",SUMPRODUCT(Mecze[[#This Row],[/PR:90]:[/BR:90]],Brudnopis!$E$23:$J$23),0)</f>
        <v>0</v>
      </c>
      <c r="T255" s="44">
        <f>IF(Mecze[[#This Row],[Role]]&lt;&gt;"BR",SUMPRODUCT(Mecze[[#This Row],[/PR:90]:[/BR:90]],Brudnopis!$E$24:$J$24),0)</f>
        <v>0.16666666666666666</v>
      </c>
      <c r="U255" s="44">
        <f>IF(Mecze[[#This Row],[Role]]&lt;&gt;"BR",SUMPRODUCT(Mecze[[#This Row],[/PR:90]:[/BR:90]],Brudnopis!$E$25:$J$25),0)</f>
        <v>0.22222222222222221</v>
      </c>
      <c r="V255" s="44">
        <f>IF(Mecze[[#This Row],[Role]]&lt;&gt;"BR",SUMPRODUCT(Mecze[[#This Row],[/PR:90]:[/BR:90]],Brudnopis!$E$26:$J$26),0)</f>
        <v>0.16666666666666666</v>
      </c>
      <c r="W255" s="44">
        <f>IF(Mecze[[#This Row],[Role]]&lt;&gt;"BR",SUMPRODUCT(Mecze[[#This Row],[/PR:90]:[/BR:90]],Brudnopis!$E$27:$J$27),0)</f>
        <v>0.20833333333333331</v>
      </c>
      <c r="X255" s="44">
        <f>IF(Mecze[[#This Row],[Role]]&lt;&gt;"BR",SUMPRODUCT(Mecze[[#This Row],[/PR:90]:[/BR:90]],Brudnopis!$E$28:$J$28),0)</f>
        <v>0.1111111111111111</v>
      </c>
      <c r="Y255" s="35">
        <f>IF(Mecze[[#This Row],[Role]]="BR",Mecze[[#This Row],[/OB:90]]+Mecze[[#This Row],[/PC:90]],SUM(Mecze[[#This Row],[/PR:90]:[/BR:90]]))</f>
        <v>0.16666666666666666</v>
      </c>
      <c r="Z255" s="35">
        <f>IF(Mecze[[#This Row],[KC]]=0,SUM(Mecze[[#This Row],[/BRI]:[/NPI]]),SUM(Mecze[[#This Row],[/BRI]:[/NPI]])*0.6)</f>
        <v>0.875</v>
      </c>
      <c r="AA255" s="10">
        <f>IFERROR(Mecze[[#This Row],[BR]]/Mecze[[#This Row],[ST]],0)</f>
        <v>0</v>
      </c>
      <c r="AB255">
        <f>ROUND(Mecze[[#This Row],[PD]]*Mecze[[#This Row],[%PC]],0)</f>
        <v>2</v>
      </c>
      <c r="AC255">
        <f>ROUND(Mecze[[#This Row],[OD]]*Mecze[[#This Row],[%OU]],0)</f>
        <v>0</v>
      </c>
      <c r="AD255" s="36" t="s">
        <v>46</v>
      </c>
      <c r="AE255" s="36">
        <v>15</v>
      </c>
      <c r="AF255" s="71">
        <v>1.72</v>
      </c>
      <c r="AG255" s="37">
        <v>0</v>
      </c>
      <c r="AH255" s="37">
        <v>0</v>
      </c>
      <c r="AI255" s="37">
        <v>18</v>
      </c>
      <c r="AJ255" s="37">
        <v>4</v>
      </c>
      <c r="AK255" s="37" t="str">
        <f>VLOOKUP(Mecze[[#This Row],[Match ID]],Meczusie[Mecz]:Meczusie[RodzajMeczu],2,FALSE)</f>
        <v>Liga</v>
      </c>
    </row>
    <row r="256" spans="1:37" x14ac:dyDescent="0.25">
      <c r="A256" s="76">
        <v>13</v>
      </c>
      <c r="B256" s="3" t="s">
        <v>287</v>
      </c>
      <c r="C256" s="2" t="s">
        <v>160</v>
      </c>
      <c r="D256" s="1">
        <v>0</v>
      </c>
      <c r="E256" s="1">
        <v>1</v>
      </c>
      <c r="F256" s="1">
        <v>1</v>
      </c>
      <c r="G256" s="1">
        <v>3</v>
      </c>
      <c r="H256" s="4">
        <v>1</v>
      </c>
      <c r="I256" s="1">
        <v>1</v>
      </c>
      <c r="J256" s="4">
        <v>1</v>
      </c>
      <c r="K256" s="1">
        <v>0</v>
      </c>
      <c r="L256" s="1">
        <v>0</v>
      </c>
      <c r="M256" s="32">
        <f>IF(Mecze[[#This Row],[PR]]=0,0,Mecze[[#This Row],[PR]]/Mecze[[#This Row],[CZAS]])</f>
        <v>0</v>
      </c>
      <c r="N256" s="32">
        <f>IF(Mecze[[#This Row],[OU]]=0,0,Mecze[[#This Row],[OU]]/Mecze[[#This Row],[CZAS]])</f>
        <v>5.2631578947368418E-2</v>
      </c>
      <c r="O256" s="32">
        <f>IF(Mecze[[#This Row],[PC]]=0,0,Mecze[[#This Row],[PC]]/Mecze[[#This Row],[CZAS]])</f>
        <v>0.15789473684210525</v>
      </c>
      <c r="P256" s="32">
        <f>IF(Mecze[[#This Row],[SC]]=0,0,Mecze[[#This Row],[SC]]/Mecze[[#This Row],[CZAS]])</f>
        <v>5.2631578947368418E-2</v>
      </c>
      <c r="Q256" s="32">
        <f>IF(Mecze[[#This Row],[OB]]=0,0,Mecze[[#This Row],[OB]]/Mecze[[#This Row],[CZAS]])</f>
        <v>0</v>
      </c>
      <c r="R256" s="32">
        <f>IF(Mecze[[#This Row],[BR]]=0,0,Mecze[[#This Row],[BR]]/Mecze[[#This Row],[CZAS]])</f>
        <v>0</v>
      </c>
      <c r="S256" s="44">
        <f>IF(Mecze[[#This Row],[Role]]="BR",SUMPRODUCT(Mecze[[#This Row],[/PR:90]:[/BR:90]],Brudnopis!$E$23:$J$23),0)</f>
        <v>0</v>
      </c>
      <c r="T256" s="44">
        <f>IF(Mecze[[#This Row],[Role]]&lt;&gt;"BR",SUMPRODUCT(Mecze[[#This Row],[/PR:90]:[/BR:90]],Brudnopis!$E$24:$J$24),0)</f>
        <v>0.28947368421052633</v>
      </c>
      <c r="U256" s="44">
        <f>IF(Mecze[[#This Row],[Role]]&lt;&gt;"BR",SUMPRODUCT(Mecze[[#This Row],[/PR:90]:[/BR:90]],Brudnopis!$E$25:$J$25),0)</f>
        <v>0.34210526315789475</v>
      </c>
      <c r="V256" s="44">
        <f>IF(Mecze[[#This Row],[Role]]&lt;&gt;"BR",SUMPRODUCT(Mecze[[#This Row],[/PR:90]:[/BR:90]],Brudnopis!$E$26:$J$26),0)</f>
        <v>0.26315789473684209</v>
      </c>
      <c r="W256" s="44">
        <f>IF(Mecze[[#This Row],[Role]]&lt;&gt;"BR",SUMPRODUCT(Mecze[[#This Row],[/PR:90]:[/BR:90]],Brudnopis!$E$27:$J$27),0)</f>
        <v>0.3289473684210526</v>
      </c>
      <c r="X256" s="44">
        <f>IF(Mecze[[#This Row],[Role]]&lt;&gt;"BR",SUMPRODUCT(Mecze[[#This Row],[/PR:90]:[/BR:90]],Brudnopis!$E$28:$J$28),0)</f>
        <v>0.26315789473684209</v>
      </c>
      <c r="Y256" s="35">
        <f>IF(Mecze[[#This Row],[Role]]="BR",Mecze[[#This Row],[/OB:90]]+Mecze[[#This Row],[/PC:90]],SUM(Mecze[[#This Row],[/PR:90]:[/BR:90]]))</f>
        <v>0.26315789473684209</v>
      </c>
      <c r="Z256" s="35">
        <f>IF(Mecze[[#This Row],[KC]]=0,SUM(Mecze[[#This Row],[/BRI]:[/NPI]]),SUM(Mecze[[#This Row],[/BRI]:[/NPI]])*0.6)</f>
        <v>1.4868421052631577</v>
      </c>
      <c r="AA256" s="10">
        <f>IFERROR(Mecze[[#This Row],[BR]]/Mecze[[#This Row],[ST]],0)</f>
        <v>0</v>
      </c>
      <c r="AB256">
        <f>ROUND(Mecze[[#This Row],[PD]]*Mecze[[#This Row],[%PC]],0)</f>
        <v>3</v>
      </c>
      <c r="AC256">
        <f>ROUND(Mecze[[#This Row],[OD]]*Mecze[[#This Row],[%OU]],0)</f>
        <v>1</v>
      </c>
      <c r="AD256" s="36" t="s">
        <v>171</v>
      </c>
      <c r="AE256" s="36">
        <v>15</v>
      </c>
      <c r="AF256" s="71">
        <v>1.95</v>
      </c>
      <c r="AG256" s="37">
        <v>0</v>
      </c>
      <c r="AH256" s="37">
        <v>0</v>
      </c>
      <c r="AI256" s="37">
        <v>19</v>
      </c>
      <c r="AJ256" s="37">
        <v>4</v>
      </c>
      <c r="AK256" s="37" t="str">
        <f>VLOOKUP(Mecze[[#This Row],[Match ID]],Meczusie[Mecz]:Meczusie[RodzajMeczu],2,FALSE)</f>
        <v>Liga</v>
      </c>
    </row>
    <row r="257" spans="1:37" x14ac:dyDescent="0.25">
      <c r="A257" s="76">
        <v>1</v>
      </c>
      <c r="B257" s="3" t="s">
        <v>288</v>
      </c>
      <c r="C257" s="2" t="s">
        <v>155</v>
      </c>
      <c r="D257" s="1">
        <v>0</v>
      </c>
      <c r="E257" s="1">
        <v>0</v>
      </c>
      <c r="F257" s="1">
        <v>0</v>
      </c>
      <c r="G257" s="1">
        <v>21</v>
      </c>
      <c r="H257" s="4">
        <v>0.38</v>
      </c>
      <c r="I257" s="1">
        <v>0</v>
      </c>
      <c r="J257" s="4"/>
      <c r="K257" s="1">
        <v>23</v>
      </c>
      <c r="L257" s="1">
        <v>0</v>
      </c>
      <c r="M257" s="32">
        <f>IF(Mecze[[#This Row],[PR]]=0,0,Mecze[[#This Row],[PR]]/Mecze[[#This Row],[CZAS]])</f>
        <v>0</v>
      </c>
      <c r="N257" s="32">
        <f>IF(Mecze[[#This Row],[OU]]=0,0,Mecze[[#This Row],[OU]]/Mecze[[#This Row],[CZAS]])</f>
        <v>0</v>
      </c>
      <c r="O257" s="32">
        <f>IF(Mecze[[#This Row],[PC]]=0,0,Mecze[[#This Row],[PC]]/Mecze[[#This Row],[CZAS]])</f>
        <v>8.3333333333333329E-2</v>
      </c>
      <c r="P257" s="32">
        <f>IF(Mecze[[#This Row],[SC]]=0,0,Mecze[[#This Row],[SC]]/Mecze[[#This Row],[CZAS]])</f>
        <v>0</v>
      </c>
      <c r="Q257" s="32">
        <f>IF(Mecze[[#This Row],[OB]]=0,0,Mecze[[#This Row],[OB]]/Mecze[[#This Row],[CZAS]])</f>
        <v>0.23958333333333334</v>
      </c>
      <c r="R257" s="32">
        <f>IF(Mecze[[#This Row],[BR]]=0,0,Mecze[[#This Row],[BR]]/Mecze[[#This Row],[CZAS]])</f>
        <v>0</v>
      </c>
      <c r="S257" s="44">
        <f>IF(Mecze[[#This Row],[Role]]="BR",SUMPRODUCT(Mecze[[#This Row],[/PR:90]:[/BR:90]],Brudnopis!$E$23:$J$23),0)</f>
        <v>0.96875</v>
      </c>
      <c r="T257" s="44">
        <f>IF(Mecze[[#This Row],[Role]]&lt;&gt;"BR",SUMPRODUCT(Mecze[[#This Row],[/PR:90]:[/BR:90]],Brudnopis!$E$24:$J$24),0)</f>
        <v>0</v>
      </c>
      <c r="U257" s="44">
        <f>IF(Mecze[[#This Row],[Role]]&lt;&gt;"BR",SUMPRODUCT(Mecze[[#This Row],[/PR:90]:[/BR:90]],Brudnopis!$E$25:$J$25),0)</f>
        <v>0</v>
      </c>
      <c r="V257" s="44">
        <f>IF(Mecze[[#This Row],[Role]]&lt;&gt;"BR",SUMPRODUCT(Mecze[[#This Row],[/PR:90]:[/BR:90]],Brudnopis!$E$26:$J$26),0)</f>
        <v>0</v>
      </c>
      <c r="W257" s="44">
        <f>IF(Mecze[[#This Row],[Role]]&lt;&gt;"BR",SUMPRODUCT(Mecze[[#This Row],[/PR:90]:[/BR:90]],Brudnopis!$E$27:$J$27),0)</f>
        <v>0</v>
      </c>
      <c r="X257" s="44">
        <f>IF(Mecze[[#This Row],[Role]]&lt;&gt;"BR",SUMPRODUCT(Mecze[[#This Row],[/PR:90]:[/BR:90]],Brudnopis!$E$28:$J$28),0)</f>
        <v>0</v>
      </c>
      <c r="Y257" s="35">
        <f>IF(Mecze[[#This Row],[Role]]="BR",Mecze[[#This Row],[/OB:90]]+Mecze[[#This Row],[/PC:90]],SUM(Mecze[[#This Row],[/PR:90]:[/BR:90]]))</f>
        <v>0.32291666666666669</v>
      </c>
      <c r="Z257" s="35">
        <f>IF(Mecze[[#This Row],[KC]]=0,SUM(Mecze[[#This Row],[/BRI]:[/NPI]]),SUM(Mecze[[#This Row],[/BRI]:[/NPI]])*0.6)</f>
        <v>0.96875</v>
      </c>
      <c r="AA257" s="10">
        <f>IFERROR(Mecze[[#This Row],[BR]]/Mecze[[#This Row],[ST]],0)</f>
        <v>0</v>
      </c>
      <c r="AB257">
        <f>ROUND(Mecze[[#This Row],[PD]]*Mecze[[#This Row],[%PC]],0)</f>
        <v>8</v>
      </c>
      <c r="AC257">
        <f>ROUND(Mecze[[#This Row],[OD]]*Mecze[[#This Row],[%OU]],0)</f>
        <v>0</v>
      </c>
      <c r="AD257" s="36" t="s">
        <v>40</v>
      </c>
      <c r="AE257" s="36">
        <v>15</v>
      </c>
      <c r="AF257" s="71">
        <v>9.64</v>
      </c>
      <c r="AG257" s="37">
        <v>0</v>
      </c>
      <c r="AH257" s="37">
        <v>0</v>
      </c>
      <c r="AI257" s="37">
        <v>96</v>
      </c>
      <c r="AJ257" s="37">
        <v>9</v>
      </c>
      <c r="AK257" s="37" t="str">
        <f>VLOOKUP(Mecze[[#This Row],[Match ID]],Meczusie[Mecz]:Meczusie[RodzajMeczu],2,FALSE)</f>
        <v>Liga</v>
      </c>
    </row>
    <row r="258" spans="1:37" x14ac:dyDescent="0.25">
      <c r="A258" s="76">
        <v>4</v>
      </c>
      <c r="B258" s="3" t="s">
        <v>289</v>
      </c>
      <c r="C258" s="2" t="s">
        <v>157</v>
      </c>
      <c r="D258" s="1">
        <v>0</v>
      </c>
      <c r="E258" s="1">
        <v>0</v>
      </c>
      <c r="F258" s="1">
        <v>0</v>
      </c>
      <c r="G258" s="1">
        <v>5</v>
      </c>
      <c r="H258" s="4">
        <v>0.8</v>
      </c>
      <c r="I258" s="1">
        <v>4</v>
      </c>
      <c r="J258" s="4">
        <v>1</v>
      </c>
      <c r="K258" s="1">
        <v>0</v>
      </c>
      <c r="L258" s="1">
        <v>0</v>
      </c>
      <c r="M258" s="32">
        <f>IF(Mecze[[#This Row],[PR]]=0,0,Mecze[[#This Row],[PR]]/Mecze[[#This Row],[CZAS]])</f>
        <v>0</v>
      </c>
      <c r="N258" s="32">
        <f>IF(Mecze[[#This Row],[OU]]=0,0,Mecze[[#This Row],[OU]]/Mecze[[#This Row],[CZAS]])</f>
        <v>4.1666666666666664E-2</v>
      </c>
      <c r="O258" s="32">
        <f>IF(Mecze[[#This Row],[PC]]=0,0,Mecze[[#This Row],[PC]]/Mecze[[#This Row],[CZAS]])</f>
        <v>4.1666666666666664E-2</v>
      </c>
      <c r="P258" s="32">
        <f>IF(Mecze[[#This Row],[SC]]=0,0,Mecze[[#This Row],[SC]]/Mecze[[#This Row],[CZAS]])</f>
        <v>0</v>
      </c>
      <c r="Q258" s="32">
        <f>IF(Mecze[[#This Row],[OB]]=0,0,Mecze[[#This Row],[OB]]/Mecze[[#This Row],[CZAS]])</f>
        <v>0</v>
      </c>
      <c r="R258" s="32">
        <f>IF(Mecze[[#This Row],[BR]]=0,0,Mecze[[#This Row],[BR]]/Mecze[[#This Row],[CZAS]])</f>
        <v>0</v>
      </c>
      <c r="S258" s="44">
        <f>IF(Mecze[[#This Row],[Role]]="BR",SUMPRODUCT(Mecze[[#This Row],[/PR:90]:[/BR:90]],Brudnopis!$E$23:$J$23),0)</f>
        <v>0</v>
      </c>
      <c r="T258" s="44">
        <f>IF(Mecze[[#This Row],[Role]]&lt;&gt;"BR",SUMPRODUCT(Mecze[[#This Row],[/PR:90]:[/BR:90]],Brudnopis!$E$24:$J$24),0)</f>
        <v>0.10416666666666666</v>
      </c>
      <c r="U258" s="44">
        <f>IF(Mecze[[#This Row],[Role]]&lt;&gt;"BR",SUMPRODUCT(Mecze[[#This Row],[/PR:90]:[/BR:90]],Brudnopis!$E$25:$J$25),0)</f>
        <v>0.10416666666666666</v>
      </c>
      <c r="V258" s="44">
        <f>IF(Mecze[[#This Row],[Role]]&lt;&gt;"BR",SUMPRODUCT(Mecze[[#This Row],[/PR:90]:[/BR:90]],Brudnopis!$E$26:$J$26),0)</f>
        <v>8.3333333333333329E-2</v>
      </c>
      <c r="W258" s="44">
        <f>IF(Mecze[[#This Row],[Role]]&lt;&gt;"BR",SUMPRODUCT(Mecze[[#This Row],[/PR:90]:[/BR:90]],Brudnopis!$E$27:$J$27),0)</f>
        <v>9.375E-2</v>
      </c>
      <c r="X258" s="44">
        <f>IF(Mecze[[#This Row],[Role]]&lt;&gt;"BR",SUMPRODUCT(Mecze[[#This Row],[/PR:90]:[/BR:90]],Brudnopis!$E$28:$J$28),0)</f>
        <v>4.1666666666666664E-2</v>
      </c>
      <c r="Y258" s="35">
        <f>IF(Mecze[[#This Row],[Role]]="BR",Mecze[[#This Row],[/OB:90]]+Mecze[[#This Row],[/PC:90]],SUM(Mecze[[#This Row],[/PR:90]:[/BR:90]]))</f>
        <v>8.3333333333333329E-2</v>
      </c>
      <c r="Z258" s="35">
        <f>IF(Mecze[[#This Row],[KC]]=0,SUM(Mecze[[#This Row],[/BRI]:[/NPI]]),SUM(Mecze[[#This Row],[/BRI]:[/NPI]])*0.6)</f>
        <v>0.42708333333333331</v>
      </c>
      <c r="AA258" s="10">
        <f>IFERROR(Mecze[[#This Row],[BR]]/Mecze[[#This Row],[ST]],0)</f>
        <v>0</v>
      </c>
      <c r="AB258">
        <f>ROUND(Mecze[[#This Row],[PD]]*Mecze[[#This Row],[%PC]],0)</f>
        <v>4</v>
      </c>
      <c r="AC258">
        <f>ROUND(Mecze[[#This Row],[OD]]*Mecze[[#This Row],[%OU]],0)</f>
        <v>4</v>
      </c>
      <c r="AD258" s="36" t="s">
        <v>168</v>
      </c>
      <c r="AE258" s="36">
        <v>15</v>
      </c>
      <c r="AF258" s="71">
        <v>4.74</v>
      </c>
      <c r="AG258" s="37">
        <v>0</v>
      </c>
      <c r="AH258" s="37">
        <v>0</v>
      </c>
      <c r="AI258" s="37">
        <v>96</v>
      </c>
      <c r="AJ258" s="37">
        <v>9</v>
      </c>
      <c r="AK258" s="37" t="str">
        <f>VLOOKUP(Mecze[[#This Row],[Match ID]],Meczusie[Mecz]:Meczusie[RodzajMeczu],2,FALSE)</f>
        <v>Liga</v>
      </c>
    </row>
    <row r="259" spans="1:37" x14ac:dyDescent="0.25">
      <c r="A259" s="76">
        <v>2</v>
      </c>
      <c r="B259" s="3" t="s">
        <v>290</v>
      </c>
      <c r="C259" s="2" t="s">
        <v>157</v>
      </c>
      <c r="D259" s="1">
        <v>0</v>
      </c>
      <c r="E259" s="1">
        <v>0</v>
      </c>
      <c r="F259" s="1">
        <v>0</v>
      </c>
      <c r="G259" s="1">
        <v>16</v>
      </c>
      <c r="H259" s="4">
        <v>0.81</v>
      </c>
      <c r="I259" s="1">
        <v>10</v>
      </c>
      <c r="J259" s="4">
        <v>0.5</v>
      </c>
      <c r="K259" s="1">
        <v>0</v>
      </c>
      <c r="L259" s="1">
        <v>6</v>
      </c>
      <c r="M259" s="32">
        <f>IF(Mecze[[#This Row],[PR]]=0,0,Mecze[[#This Row],[PR]]/Mecze[[#This Row],[CZAS]])</f>
        <v>6.25E-2</v>
      </c>
      <c r="N259" s="32">
        <f>IF(Mecze[[#This Row],[OU]]=0,0,Mecze[[#This Row],[OU]]/Mecze[[#This Row],[CZAS]])</f>
        <v>5.2083333333333336E-2</v>
      </c>
      <c r="O259" s="32">
        <f>IF(Mecze[[#This Row],[PC]]=0,0,Mecze[[#This Row],[PC]]/Mecze[[#This Row],[CZAS]])</f>
        <v>0.13541666666666666</v>
      </c>
      <c r="P259" s="32">
        <f>IF(Mecze[[#This Row],[SC]]=0,0,Mecze[[#This Row],[SC]]/Mecze[[#This Row],[CZAS]])</f>
        <v>0</v>
      </c>
      <c r="Q259" s="32">
        <f>IF(Mecze[[#This Row],[OB]]=0,0,Mecze[[#This Row],[OB]]/Mecze[[#This Row],[CZAS]])</f>
        <v>0</v>
      </c>
      <c r="R259" s="32">
        <f>IF(Mecze[[#This Row],[BR]]=0,0,Mecze[[#This Row],[BR]]/Mecze[[#This Row],[CZAS]])</f>
        <v>0</v>
      </c>
      <c r="S259" s="44">
        <f>IF(Mecze[[#This Row],[Role]]="BR",SUMPRODUCT(Mecze[[#This Row],[/PR:90]:[/BR:90]],Brudnopis!$E$23:$J$23),0)</f>
        <v>0</v>
      </c>
      <c r="T259" s="44">
        <f>IF(Mecze[[#This Row],[Role]]&lt;&gt;"BR",SUMPRODUCT(Mecze[[#This Row],[/PR:90]:[/BR:90]],Brudnopis!$E$24:$J$24),0)</f>
        <v>0.27604166666666663</v>
      </c>
      <c r="U259" s="44">
        <f>IF(Mecze[[#This Row],[Role]]&lt;&gt;"BR",SUMPRODUCT(Mecze[[#This Row],[/PR:90]:[/BR:90]],Brudnopis!$E$25:$J$25),0)</f>
        <v>0.31770833333333337</v>
      </c>
      <c r="V259" s="44">
        <f>IF(Mecze[[#This Row],[Role]]&lt;&gt;"BR",SUMPRODUCT(Mecze[[#This Row],[/PR:90]:[/BR:90]],Brudnopis!$E$26:$J$26),0)</f>
        <v>0.25</v>
      </c>
      <c r="W259" s="44">
        <f>IF(Mecze[[#This Row],[Role]]&lt;&gt;"BR",SUMPRODUCT(Mecze[[#This Row],[/PR:90]:[/BR:90]],Brudnopis!$E$27:$J$27),0)</f>
        <v>0.2890625</v>
      </c>
      <c r="X259" s="44">
        <f>IF(Mecze[[#This Row],[Role]]&lt;&gt;"BR",SUMPRODUCT(Mecze[[#This Row],[/PR:90]:[/BR:90]],Brudnopis!$E$28:$J$28),0)</f>
        <v>0.13541666666666666</v>
      </c>
      <c r="Y259" s="35">
        <f>IF(Mecze[[#This Row],[Role]]="BR",Mecze[[#This Row],[/OB:90]]+Mecze[[#This Row],[/PC:90]],SUM(Mecze[[#This Row],[/PR:90]:[/BR:90]]))</f>
        <v>0.25</v>
      </c>
      <c r="Z259" s="35">
        <f>IF(Mecze[[#This Row],[KC]]=0,SUM(Mecze[[#This Row],[/BRI]:[/NPI]]),SUM(Mecze[[#This Row],[/BRI]:[/NPI]])*0.6)</f>
        <v>1.2682291666666667</v>
      </c>
      <c r="AA259" s="10">
        <f>IFERROR(Mecze[[#This Row],[BR]]/Mecze[[#This Row],[ST]],0)</f>
        <v>0</v>
      </c>
      <c r="AB259">
        <f>ROUND(Mecze[[#This Row],[PD]]*Mecze[[#This Row],[%PC]],0)</f>
        <v>13</v>
      </c>
      <c r="AC259">
        <f>ROUND(Mecze[[#This Row],[OD]]*Mecze[[#This Row],[%OU]],0)</f>
        <v>5</v>
      </c>
      <c r="AD259" s="36" t="s">
        <v>47</v>
      </c>
      <c r="AE259" s="36">
        <v>15</v>
      </c>
      <c r="AF259" s="71">
        <v>3.97</v>
      </c>
      <c r="AG259" s="37">
        <v>0</v>
      </c>
      <c r="AH259" s="37">
        <v>0</v>
      </c>
      <c r="AI259" s="37">
        <v>96</v>
      </c>
      <c r="AJ259" s="37">
        <v>9</v>
      </c>
      <c r="AK259" s="37" t="str">
        <f>VLOOKUP(Mecze[[#This Row],[Match ID]],Meczusie[Mecz]:Meczusie[RodzajMeczu],2,FALSE)</f>
        <v>Liga</v>
      </c>
    </row>
    <row r="260" spans="1:37" x14ac:dyDescent="0.25">
      <c r="A260" s="76">
        <v>5</v>
      </c>
      <c r="B260" s="3" t="s">
        <v>291</v>
      </c>
      <c r="C260" s="2" t="s">
        <v>157</v>
      </c>
      <c r="D260" s="1">
        <v>0</v>
      </c>
      <c r="E260" s="1">
        <v>0</v>
      </c>
      <c r="F260" s="1">
        <v>0</v>
      </c>
      <c r="G260" s="1">
        <v>1</v>
      </c>
      <c r="H260" s="4">
        <v>1</v>
      </c>
      <c r="I260" s="1">
        <v>3</v>
      </c>
      <c r="J260" s="4">
        <v>0</v>
      </c>
      <c r="K260" s="1">
        <v>0</v>
      </c>
      <c r="L260" s="1">
        <v>4</v>
      </c>
      <c r="M260" s="32">
        <f>IF(Mecze[[#This Row],[PR]]=0,0,Mecze[[#This Row],[PR]]/Mecze[[#This Row],[CZAS]])</f>
        <v>4.1666666666666664E-2</v>
      </c>
      <c r="N260" s="32">
        <f>IF(Mecze[[#This Row],[OU]]=0,0,Mecze[[#This Row],[OU]]/Mecze[[#This Row],[CZAS]])</f>
        <v>0</v>
      </c>
      <c r="O260" s="32">
        <f>IF(Mecze[[#This Row],[PC]]=0,0,Mecze[[#This Row],[PC]]/Mecze[[#This Row],[CZAS]])</f>
        <v>1.0416666666666666E-2</v>
      </c>
      <c r="P260" s="32">
        <f>IF(Mecze[[#This Row],[SC]]=0,0,Mecze[[#This Row],[SC]]/Mecze[[#This Row],[CZAS]])</f>
        <v>0</v>
      </c>
      <c r="Q260" s="32">
        <f>IF(Mecze[[#This Row],[OB]]=0,0,Mecze[[#This Row],[OB]]/Mecze[[#This Row],[CZAS]])</f>
        <v>0</v>
      </c>
      <c r="R260" s="32">
        <f>IF(Mecze[[#This Row],[BR]]=0,0,Mecze[[#This Row],[BR]]/Mecze[[#This Row],[CZAS]])</f>
        <v>0</v>
      </c>
      <c r="S260" s="44">
        <f>IF(Mecze[[#This Row],[Role]]="BR",SUMPRODUCT(Mecze[[#This Row],[/PR:90]:[/BR:90]],Brudnopis!$E$23:$J$23),0)</f>
        <v>0</v>
      </c>
      <c r="T260" s="44">
        <f>IF(Mecze[[#This Row],[Role]]&lt;&gt;"BR",SUMPRODUCT(Mecze[[#This Row],[/PR:90]:[/BR:90]],Brudnopis!$E$24:$J$24),0)</f>
        <v>5.2083333333333329E-2</v>
      </c>
      <c r="U260" s="44">
        <f>IF(Mecze[[#This Row],[Role]]&lt;&gt;"BR",SUMPRODUCT(Mecze[[#This Row],[/PR:90]:[/BR:90]],Brudnopis!$E$25:$J$25),0)</f>
        <v>5.7291666666666664E-2</v>
      </c>
      <c r="V260" s="44">
        <f>IF(Mecze[[#This Row],[Role]]&lt;&gt;"BR",SUMPRODUCT(Mecze[[#This Row],[/PR:90]:[/BR:90]],Brudnopis!$E$26:$J$26),0)</f>
        <v>5.2083333333333329E-2</v>
      </c>
      <c r="W260" s="44">
        <f>IF(Mecze[[#This Row],[Role]]&lt;&gt;"BR",SUMPRODUCT(Mecze[[#This Row],[/PR:90]:[/BR:90]],Brudnopis!$E$27:$J$27),0)</f>
        <v>4.6875E-2</v>
      </c>
      <c r="X260" s="44">
        <f>IF(Mecze[[#This Row],[Role]]&lt;&gt;"BR",SUMPRODUCT(Mecze[[#This Row],[/PR:90]:[/BR:90]],Brudnopis!$E$28:$J$28),0)</f>
        <v>1.0416666666666666E-2</v>
      </c>
      <c r="Y260" s="35">
        <f>IF(Mecze[[#This Row],[Role]]="BR",Mecze[[#This Row],[/OB:90]]+Mecze[[#This Row],[/PC:90]],SUM(Mecze[[#This Row],[/PR:90]:[/BR:90]]))</f>
        <v>5.2083333333333329E-2</v>
      </c>
      <c r="Z260" s="35">
        <f>IF(Mecze[[#This Row],[KC]]=0,SUM(Mecze[[#This Row],[/BRI]:[/NPI]]),SUM(Mecze[[#This Row],[/BRI]:[/NPI]])*0.6)</f>
        <v>0.21874999999999997</v>
      </c>
      <c r="AA260" s="10">
        <f>IFERROR(Mecze[[#This Row],[BR]]/Mecze[[#This Row],[ST]],0)</f>
        <v>0</v>
      </c>
      <c r="AB260">
        <f>ROUND(Mecze[[#This Row],[PD]]*Mecze[[#This Row],[%PC]],0)</f>
        <v>1</v>
      </c>
      <c r="AC260">
        <f>ROUND(Mecze[[#This Row],[OD]]*Mecze[[#This Row],[%OU]],0)</f>
        <v>0</v>
      </c>
      <c r="AD260" s="36" t="s">
        <v>167</v>
      </c>
      <c r="AE260" s="36">
        <v>15</v>
      </c>
      <c r="AF260" s="71">
        <v>2.4300000000000002</v>
      </c>
      <c r="AG260" s="37">
        <v>0</v>
      </c>
      <c r="AH260" s="37">
        <v>0</v>
      </c>
      <c r="AI260" s="37">
        <v>96</v>
      </c>
      <c r="AJ260" s="37">
        <v>9</v>
      </c>
      <c r="AK260" s="37" t="str">
        <f>VLOOKUP(Mecze[[#This Row],[Match ID]],Meczusie[Mecz]:Meczusie[RodzajMeczu],2,FALSE)</f>
        <v>Liga</v>
      </c>
    </row>
    <row r="261" spans="1:37" x14ac:dyDescent="0.25">
      <c r="A261" s="76">
        <v>14</v>
      </c>
      <c r="B261" s="3" t="s">
        <v>293</v>
      </c>
      <c r="C261" s="2" t="s">
        <v>160</v>
      </c>
      <c r="D261" s="1">
        <v>0</v>
      </c>
      <c r="E261" s="1">
        <v>0</v>
      </c>
      <c r="F261" s="1">
        <v>0</v>
      </c>
      <c r="G261" s="1">
        <v>4</v>
      </c>
      <c r="H261" s="4">
        <v>0.75</v>
      </c>
      <c r="I261" s="1">
        <v>6</v>
      </c>
      <c r="J261" s="4">
        <v>0.33</v>
      </c>
      <c r="K261" s="1">
        <v>0</v>
      </c>
      <c r="L261" s="1">
        <v>1</v>
      </c>
      <c r="M261" s="32">
        <f>IF(Mecze[[#This Row],[PR]]=0,0,Mecze[[#This Row],[PR]]/Mecze[[#This Row],[CZAS]])</f>
        <v>1.0416666666666666E-2</v>
      </c>
      <c r="N261" s="32">
        <f>IF(Mecze[[#This Row],[OU]]=0,0,Mecze[[#This Row],[OU]]/Mecze[[#This Row],[CZAS]])</f>
        <v>2.0833333333333332E-2</v>
      </c>
      <c r="O261" s="32">
        <f>IF(Mecze[[#This Row],[PC]]=0,0,Mecze[[#This Row],[PC]]/Mecze[[#This Row],[CZAS]])</f>
        <v>3.125E-2</v>
      </c>
      <c r="P261" s="32">
        <f>IF(Mecze[[#This Row],[SC]]=0,0,Mecze[[#This Row],[SC]]/Mecze[[#This Row],[CZAS]])</f>
        <v>0</v>
      </c>
      <c r="Q261" s="32">
        <f>IF(Mecze[[#This Row],[OB]]=0,0,Mecze[[#This Row],[OB]]/Mecze[[#This Row],[CZAS]])</f>
        <v>0</v>
      </c>
      <c r="R261" s="32">
        <f>IF(Mecze[[#This Row],[BR]]=0,0,Mecze[[#This Row],[BR]]/Mecze[[#This Row],[CZAS]])</f>
        <v>0</v>
      </c>
      <c r="S261" s="44">
        <f>IF(Mecze[[#This Row],[Role]]="BR",SUMPRODUCT(Mecze[[#This Row],[/PR:90]:[/BR:90]],Brudnopis!$E$23:$J$23),0)</f>
        <v>0</v>
      </c>
      <c r="T261" s="44">
        <f>IF(Mecze[[#This Row],[Role]]&lt;&gt;"BR",SUMPRODUCT(Mecze[[#This Row],[/PR:90]:[/BR:90]],Brudnopis!$E$24:$J$24),0)</f>
        <v>7.2916666666666657E-2</v>
      </c>
      <c r="U261" s="44">
        <f>IF(Mecze[[#This Row],[Role]]&lt;&gt;"BR",SUMPRODUCT(Mecze[[#This Row],[/PR:90]:[/BR:90]],Brudnopis!$E$25:$J$25),0)</f>
        <v>7.8125E-2</v>
      </c>
      <c r="V261" s="44">
        <f>IF(Mecze[[#This Row],[Role]]&lt;&gt;"BR",SUMPRODUCT(Mecze[[#This Row],[/PR:90]:[/BR:90]],Brudnopis!$E$26:$J$26),0)</f>
        <v>6.25E-2</v>
      </c>
      <c r="W261" s="44">
        <f>IF(Mecze[[#This Row],[Role]]&lt;&gt;"BR",SUMPRODUCT(Mecze[[#This Row],[/PR:90]:[/BR:90]],Brudnopis!$E$27:$J$27),0)</f>
        <v>7.03125E-2</v>
      </c>
      <c r="X261" s="44">
        <f>IF(Mecze[[#This Row],[Role]]&lt;&gt;"BR",SUMPRODUCT(Mecze[[#This Row],[/PR:90]:[/BR:90]],Brudnopis!$E$28:$J$28),0)</f>
        <v>3.125E-2</v>
      </c>
      <c r="Y261" s="35">
        <f>IF(Mecze[[#This Row],[Role]]="BR",Mecze[[#This Row],[/OB:90]]+Mecze[[#This Row],[/PC:90]],SUM(Mecze[[#This Row],[/PR:90]:[/BR:90]]))</f>
        <v>6.25E-2</v>
      </c>
      <c r="Z261" s="35">
        <f>IF(Mecze[[#This Row],[KC]]=0,SUM(Mecze[[#This Row],[/BRI]:[/NPI]]),SUM(Mecze[[#This Row],[/BRI]:[/NPI]])*0.6)</f>
        <v>0.31510416666666663</v>
      </c>
      <c r="AA261" s="10">
        <f>IFERROR(Mecze[[#This Row],[BR]]/Mecze[[#This Row],[ST]],0)</f>
        <v>0</v>
      </c>
      <c r="AB261">
        <f>ROUND(Mecze[[#This Row],[PD]]*Mecze[[#This Row],[%PC]],0)</f>
        <v>3</v>
      </c>
      <c r="AC261">
        <f>ROUND(Mecze[[#This Row],[OD]]*Mecze[[#This Row],[%OU]],0)</f>
        <v>2</v>
      </c>
      <c r="AD261" s="36" t="s">
        <v>172</v>
      </c>
      <c r="AE261" s="36">
        <v>15</v>
      </c>
      <c r="AF261" s="71">
        <v>2.91</v>
      </c>
      <c r="AG261" s="37">
        <v>0</v>
      </c>
      <c r="AH261" s="37">
        <v>0</v>
      </c>
      <c r="AI261" s="37">
        <v>96</v>
      </c>
      <c r="AJ261" s="37">
        <v>9</v>
      </c>
      <c r="AK261" s="37" t="str">
        <f>VLOOKUP(Mecze[[#This Row],[Match ID]],Meczusie[Mecz]:Meczusie[RodzajMeczu],2,FALSE)</f>
        <v>Liga</v>
      </c>
    </row>
    <row r="262" spans="1:37" x14ac:dyDescent="0.25">
      <c r="A262" s="76">
        <v>3</v>
      </c>
      <c r="B262" s="3" t="s">
        <v>292</v>
      </c>
      <c r="C262" s="2" t="s">
        <v>160</v>
      </c>
      <c r="D262" s="1">
        <v>0</v>
      </c>
      <c r="E262" s="1">
        <v>0</v>
      </c>
      <c r="F262" s="1">
        <v>0</v>
      </c>
      <c r="G262" s="1">
        <v>2</v>
      </c>
      <c r="H262" s="4">
        <v>1</v>
      </c>
      <c r="I262" s="1">
        <v>1</v>
      </c>
      <c r="J262" s="4">
        <v>0</v>
      </c>
      <c r="K262" s="1">
        <v>0</v>
      </c>
      <c r="L262" s="1">
        <v>0</v>
      </c>
      <c r="M262" s="32">
        <f>IF(Mecze[[#This Row],[PR]]=0,0,Mecze[[#This Row],[PR]]/Mecze[[#This Row],[CZAS]])</f>
        <v>0</v>
      </c>
      <c r="N262" s="32">
        <f>IF(Mecze[[#This Row],[OU]]=0,0,Mecze[[#This Row],[OU]]/Mecze[[#This Row],[CZAS]])</f>
        <v>0</v>
      </c>
      <c r="O262" s="32">
        <f>IF(Mecze[[#This Row],[PC]]=0,0,Mecze[[#This Row],[PC]]/Mecze[[#This Row],[CZAS]])</f>
        <v>2.0833333333333332E-2</v>
      </c>
      <c r="P262" s="32">
        <f>IF(Mecze[[#This Row],[SC]]=0,0,Mecze[[#This Row],[SC]]/Mecze[[#This Row],[CZAS]])</f>
        <v>0</v>
      </c>
      <c r="Q262" s="32">
        <f>IF(Mecze[[#This Row],[OB]]=0,0,Mecze[[#This Row],[OB]]/Mecze[[#This Row],[CZAS]])</f>
        <v>0</v>
      </c>
      <c r="R262" s="32">
        <f>IF(Mecze[[#This Row],[BR]]=0,0,Mecze[[#This Row],[BR]]/Mecze[[#This Row],[CZAS]])</f>
        <v>0</v>
      </c>
      <c r="S262" s="44">
        <f>IF(Mecze[[#This Row],[Role]]="BR",SUMPRODUCT(Mecze[[#This Row],[/PR:90]:[/BR:90]],Brudnopis!$E$23:$J$23),0)</f>
        <v>0</v>
      </c>
      <c r="T262" s="44">
        <f>IF(Mecze[[#This Row],[Role]]&lt;&gt;"BR",SUMPRODUCT(Mecze[[#This Row],[/PR:90]:[/BR:90]],Brudnopis!$E$24:$J$24),0)</f>
        <v>2.0833333333333332E-2</v>
      </c>
      <c r="U262" s="44">
        <f>IF(Mecze[[#This Row],[Role]]&lt;&gt;"BR",SUMPRODUCT(Mecze[[#This Row],[/PR:90]:[/BR:90]],Brudnopis!$E$25:$J$25),0)</f>
        <v>3.125E-2</v>
      </c>
      <c r="V262" s="44">
        <f>IF(Mecze[[#This Row],[Role]]&lt;&gt;"BR",SUMPRODUCT(Mecze[[#This Row],[/PR:90]:[/BR:90]],Brudnopis!$E$26:$J$26),0)</f>
        <v>2.0833333333333332E-2</v>
      </c>
      <c r="W262" s="44">
        <f>IF(Mecze[[#This Row],[Role]]&lt;&gt;"BR",SUMPRODUCT(Mecze[[#This Row],[/PR:90]:[/BR:90]],Brudnopis!$E$27:$J$27),0)</f>
        <v>3.125E-2</v>
      </c>
      <c r="X262" s="44">
        <f>IF(Mecze[[#This Row],[Role]]&lt;&gt;"BR",SUMPRODUCT(Mecze[[#This Row],[/PR:90]:[/BR:90]],Brudnopis!$E$28:$J$28),0)</f>
        <v>2.0833333333333332E-2</v>
      </c>
      <c r="Y262" s="35">
        <f>IF(Mecze[[#This Row],[Role]]="BR",Mecze[[#This Row],[/OB:90]]+Mecze[[#This Row],[/PC:90]],SUM(Mecze[[#This Row],[/PR:90]:[/BR:90]]))</f>
        <v>2.0833333333333332E-2</v>
      </c>
      <c r="Z262" s="35">
        <f>IF(Mecze[[#This Row],[KC]]=0,SUM(Mecze[[#This Row],[/BRI]:[/NPI]]),SUM(Mecze[[#This Row],[/BRI]:[/NPI]])*0.6)</f>
        <v>0.12499999999999999</v>
      </c>
      <c r="AA262" s="10">
        <f>IFERROR(Mecze[[#This Row],[BR]]/Mecze[[#This Row],[ST]],0)</f>
        <v>0</v>
      </c>
      <c r="AB262">
        <f>ROUND(Mecze[[#This Row],[PD]]*Mecze[[#This Row],[%PC]],0)</f>
        <v>2</v>
      </c>
      <c r="AC262">
        <f>ROUND(Mecze[[#This Row],[OD]]*Mecze[[#This Row],[%OU]],0)</f>
        <v>0</v>
      </c>
      <c r="AD262" s="36" t="s">
        <v>173</v>
      </c>
      <c r="AE262" s="36">
        <v>15</v>
      </c>
      <c r="AF262" s="71">
        <v>2.7</v>
      </c>
      <c r="AG262" s="37">
        <v>0</v>
      </c>
      <c r="AH262" s="37">
        <v>0</v>
      </c>
      <c r="AI262" s="37">
        <v>96</v>
      </c>
      <c r="AJ262" s="37">
        <v>9</v>
      </c>
      <c r="AK262" s="37" t="str">
        <f>VLOOKUP(Mecze[[#This Row],[Match ID]],Meczusie[Mecz]:Meczusie[RodzajMeczu],2,FALSE)</f>
        <v>Liga</v>
      </c>
    </row>
    <row r="263" spans="1:37" x14ac:dyDescent="0.25">
      <c r="A263" s="76">
        <v>8</v>
      </c>
      <c r="B263" s="3" t="s">
        <v>294</v>
      </c>
      <c r="C263" s="2" t="s">
        <v>160</v>
      </c>
      <c r="D263" s="1">
        <v>0</v>
      </c>
      <c r="E263" s="1">
        <v>1</v>
      </c>
      <c r="F263" s="1">
        <v>0</v>
      </c>
      <c r="G263" s="1">
        <v>16</v>
      </c>
      <c r="H263" s="4">
        <v>0.63</v>
      </c>
      <c r="I263" s="1">
        <v>14</v>
      </c>
      <c r="J263" s="4">
        <v>0.43</v>
      </c>
      <c r="K263" s="1">
        <v>0</v>
      </c>
      <c r="L263" s="1">
        <v>6</v>
      </c>
      <c r="M263" s="32">
        <f>IF(Mecze[[#This Row],[PR]]=0,0,Mecze[[#This Row],[PR]]/Mecze[[#This Row],[CZAS]])</f>
        <v>6.25E-2</v>
      </c>
      <c r="N263" s="32">
        <f>IF(Mecze[[#This Row],[OU]]=0,0,Mecze[[#This Row],[OU]]/Mecze[[#This Row],[CZAS]])</f>
        <v>6.25E-2</v>
      </c>
      <c r="O263" s="32">
        <f>IF(Mecze[[#This Row],[PC]]=0,0,Mecze[[#This Row],[PC]]/Mecze[[#This Row],[CZAS]])</f>
        <v>0.10416666666666667</v>
      </c>
      <c r="P263" s="32">
        <f>IF(Mecze[[#This Row],[SC]]=0,0,Mecze[[#This Row],[SC]]/Mecze[[#This Row],[CZAS]])</f>
        <v>0</v>
      </c>
      <c r="Q263" s="32">
        <f>IF(Mecze[[#This Row],[OB]]=0,0,Mecze[[#This Row],[OB]]/Mecze[[#This Row],[CZAS]])</f>
        <v>0</v>
      </c>
      <c r="R263" s="32">
        <f>IF(Mecze[[#This Row],[BR]]=0,0,Mecze[[#This Row],[BR]]/Mecze[[#This Row],[CZAS]])</f>
        <v>0</v>
      </c>
      <c r="S263" s="44">
        <f>IF(Mecze[[#This Row],[Role]]="BR",SUMPRODUCT(Mecze[[#This Row],[/PR:90]:[/BR:90]],Brudnopis!$E$23:$J$23),0)</f>
        <v>0</v>
      </c>
      <c r="T263" s="44">
        <f>IF(Mecze[[#This Row],[Role]]&lt;&gt;"BR",SUMPRODUCT(Mecze[[#This Row],[/PR:90]:[/BR:90]],Brudnopis!$E$24:$J$24),0)</f>
        <v>0.26041666666666669</v>
      </c>
      <c r="U263" s="44">
        <f>IF(Mecze[[#This Row],[Role]]&lt;&gt;"BR",SUMPRODUCT(Mecze[[#This Row],[/PR:90]:[/BR:90]],Brudnopis!$E$25:$J$25),0)</f>
        <v>0.28125</v>
      </c>
      <c r="V263" s="44">
        <f>IF(Mecze[[#This Row],[Role]]&lt;&gt;"BR",SUMPRODUCT(Mecze[[#This Row],[/PR:90]:[/BR:90]],Brudnopis!$E$26:$J$26),0)</f>
        <v>0.22916666666666669</v>
      </c>
      <c r="W263" s="44">
        <f>IF(Mecze[[#This Row],[Role]]&lt;&gt;"BR",SUMPRODUCT(Mecze[[#This Row],[/PR:90]:[/BR:90]],Brudnopis!$E$27:$J$27),0)</f>
        <v>0.25</v>
      </c>
      <c r="X263" s="44">
        <f>IF(Mecze[[#This Row],[Role]]&lt;&gt;"BR",SUMPRODUCT(Mecze[[#This Row],[/PR:90]:[/BR:90]],Brudnopis!$E$28:$J$28),0)</f>
        <v>0.10416666666666667</v>
      </c>
      <c r="Y263" s="35">
        <f>IF(Mecze[[#This Row],[Role]]="BR",Mecze[[#This Row],[/OB:90]]+Mecze[[#This Row],[/PC:90]],SUM(Mecze[[#This Row],[/PR:90]:[/BR:90]]))</f>
        <v>0.22916666666666669</v>
      </c>
      <c r="Z263" s="35">
        <f>IF(Mecze[[#This Row],[KC]]=0,SUM(Mecze[[#This Row],[/BRI]:[/NPI]]),SUM(Mecze[[#This Row],[/BRI]:[/NPI]])*0.6)</f>
        <v>1.1250000000000002</v>
      </c>
      <c r="AA263" s="10">
        <f>IFERROR(Mecze[[#This Row],[BR]]/Mecze[[#This Row],[ST]],0)</f>
        <v>0</v>
      </c>
      <c r="AB263">
        <f>ROUND(Mecze[[#This Row],[PD]]*Mecze[[#This Row],[%PC]],0)</f>
        <v>10</v>
      </c>
      <c r="AC263">
        <f>ROUND(Mecze[[#This Row],[OD]]*Mecze[[#This Row],[%OU]],0)</f>
        <v>6</v>
      </c>
      <c r="AD263" s="36" t="s">
        <v>67</v>
      </c>
      <c r="AE263" s="36">
        <v>15</v>
      </c>
      <c r="AF263" s="71">
        <v>5.17</v>
      </c>
      <c r="AG263" s="37">
        <v>0</v>
      </c>
      <c r="AH263" s="37">
        <v>0</v>
      </c>
      <c r="AI263" s="37">
        <v>96</v>
      </c>
      <c r="AJ263" s="37">
        <v>9</v>
      </c>
      <c r="AK263" s="37" t="str">
        <f>VLOOKUP(Mecze[[#This Row],[Match ID]],Meczusie[Mecz]:Meczusie[RodzajMeczu],2,FALSE)</f>
        <v>Liga</v>
      </c>
    </row>
    <row r="264" spans="1:37" x14ac:dyDescent="0.25">
      <c r="A264" s="76">
        <v>13</v>
      </c>
      <c r="B264" s="3" t="s">
        <v>295</v>
      </c>
      <c r="C264" s="2" t="s">
        <v>160</v>
      </c>
      <c r="D264" s="1">
        <v>0</v>
      </c>
      <c r="E264" s="1">
        <v>0</v>
      </c>
      <c r="F264" s="1">
        <v>0</v>
      </c>
      <c r="G264" s="1">
        <v>15</v>
      </c>
      <c r="H264" s="4">
        <v>0.6</v>
      </c>
      <c r="I264" s="1">
        <v>3</v>
      </c>
      <c r="J264" s="4">
        <v>0.67</v>
      </c>
      <c r="K264" s="1">
        <v>0</v>
      </c>
      <c r="L264" s="1">
        <v>0</v>
      </c>
      <c r="M264" s="32">
        <f>IF(Mecze[[#This Row],[PR]]=0,0,Mecze[[#This Row],[PR]]/Mecze[[#This Row],[CZAS]])</f>
        <v>0</v>
      </c>
      <c r="N264" s="32">
        <f>IF(Mecze[[#This Row],[OU]]=0,0,Mecze[[#This Row],[OU]]/Mecze[[#This Row],[CZAS]])</f>
        <v>2.0833333333333332E-2</v>
      </c>
      <c r="O264" s="32">
        <f>IF(Mecze[[#This Row],[PC]]=0,0,Mecze[[#This Row],[PC]]/Mecze[[#This Row],[CZAS]])</f>
        <v>9.375E-2</v>
      </c>
      <c r="P264" s="32">
        <f>IF(Mecze[[#This Row],[SC]]=0,0,Mecze[[#This Row],[SC]]/Mecze[[#This Row],[CZAS]])</f>
        <v>0</v>
      </c>
      <c r="Q264" s="32">
        <f>IF(Mecze[[#This Row],[OB]]=0,0,Mecze[[#This Row],[OB]]/Mecze[[#This Row],[CZAS]])</f>
        <v>0</v>
      </c>
      <c r="R264" s="32">
        <f>IF(Mecze[[#This Row],[BR]]=0,0,Mecze[[#This Row],[BR]]/Mecze[[#This Row],[CZAS]])</f>
        <v>0</v>
      </c>
      <c r="S264" s="44">
        <f>IF(Mecze[[#This Row],[Role]]="BR",SUMPRODUCT(Mecze[[#This Row],[/PR:90]:[/BR:90]],Brudnopis!$E$23:$J$23),0)</f>
        <v>0</v>
      </c>
      <c r="T264" s="44">
        <f>IF(Mecze[[#This Row],[Role]]&lt;&gt;"BR",SUMPRODUCT(Mecze[[#This Row],[/PR:90]:[/BR:90]],Brudnopis!$E$24:$J$24),0)</f>
        <v>0.125</v>
      </c>
      <c r="U264" s="44">
        <f>IF(Mecze[[#This Row],[Role]]&lt;&gt;"BR",SUMPRODUCT(Mecze[[#This Row],[/PR:90]:[/BR:90]],Brudnopis!$E$25:$J$25),0)</f>
        <v>0.16145833333333334</v>
      </c>
      <c r="V264" s="44">
        <f>IF(Mecze[[#This Row],[Role]]&lt;&gt;"BR",SUMPRODUCT(Mecze[[#This Row],[/PR:90]:[/BR:90]],Brudnopis!$E$26:$J$26),0)</f>
        <v>0.11458333333333333</v>
      </c>
      <c r="W264" s="44">
        <f>IF(Mecze[[#This Row],[Role]]&lt;&gt;"BR",SUMPRODUCT(Mecze[[#This Row],[/PR:90]:[/BR:90]],Brudnopis!$E$27:$J$27),0)</f>
        <v>0.15625</v>
      </c>
      <c r="X264" s="44">
        <f>IF(Mecze[[#This Row],[Role]]&lt;&gt;"BR",SUMPRODUCT(Mecze[[#This Row],[/PR:90]:[/BR:90]],Brudnopis!$E$28:$J$28),0)</f>
        <v>9.375E-2</v>
      </c>
      <c r="Y264" s="35">
        <f>IF(Mecze[[#This Row],[Role]]="BR",Mecze[[#This Row],[/OB:90]]+Mecze[[#This Row],[/PC:90]],SUM(Mecze[[#This Row],[/PR:90]:[/BR:90]]))</f>
        <v>0.11458333333333333</v>
      </c>
      <c r="Z264" s="35">
        <f>IF(Mecze[[#This Row],[KC]]=0,SUM(Mecze[[#This Row],[/BRI]:[/NPI]]),SUM(Mecze[[#This Row],[/BRI]:[/NPI]])*0.6)</f>
        <v>0.65104166666666674</v>
      </c>
      <c r="AA264" s="10">
        <f>IFERROR(Mecze[[#This Row],[BR]]/Mecze[[#This Row],[ST]],0)</f>
        <v>0</v>
      </c>
      <c r="AB264">
        <f>ROUND(Mecze[[#This Row],[PD]]*Mecze[[#This Row],[%PC]],0)</f>
        <v>9</v>
      </c>
      <c r="AC264">
        <f>ROUND(Mecze[[#This Row],[OD]]*Mecze[[#This Row],[%OU]],0)</f>
        <v>2</v>
      </c>
      <c r="AD264" s="36" t="s">
        <v>44</v>
      </c>
      <c r="AE264" s="36">
        <v>15</v>
      </c>
      <c r="AF264" s="71">
        <v>3.91</v>
      </c>
      <c r="AG264" s="37">
        <v>0</v>
      </c>
      <c r="AH264" s="37">
        <v>0</v>
      </c>
      <c r="AI264" s="37">
        <v>96</v>
      </c>
      <c r="AJ264" s="37">
        <v>9</v>
      </c>
      <c r="AK264" s="37" t="str">
        <f>VLOOKUP(Mecze[[#This Row],[Match ID]],Meczusie[Mecz]:Meczusie[RodzajMeczu],2,FALSE)</f>
        <v>Liga</v>
      </c>
    </row>
    <row r="265" spans="1:37" x14ac:dyDescent="0.25">
      <c r="A265" s="76">
        <v>9</v>
      </c>
      <c r="B265" s="3" t="s">
        <v>296</v>
      </c>
      <c r="C265" s="2" t="s">
        <v>160</v>
      </c>
      <c r="D265" s="1">
        <v>0</v>
      </c>
      <c r="E265" s="1">
        <v>0</v>
      </c>
      <c r="F265" s="1">
        <v>0</v>
      </c>
      <c r="G265" s="1">
        <v>12</v>
      </c>
      <c r="H265" s="4">
        <v>0.75</v>
      </c>
      <c r="I265" s="1">
        <v>4</v>
      </c>
      <c r="J265" s="4">
        <v>0.75</v>
      </c>
      <c r="K265" s="1">
        <v>0</v>
      </c>
      <c r="L265" s="1">
        <v>0</v>
      </c>
      <c r="M265" s="32">
        <f>IF(Mecze[[#This Row],[PR]]=0,0,Mecze[[#This Row],[PR]]/Mecze[[#This Row],[CZAS]])</f>
        <v>0</v>
      </c>
      <c r="N265" s="32">
        <f>IF(Mecze[[#This Row],[OU]]=0,0,Mecze[[#This Row],[OU]]/Mecze[[#This Row],[CZAS]])</f>
        <v>3.896103896103896E-2</v>
      </c>
      <c r="O265" s="32">
        <f>IF(Mecze[[#This Row],[PC]]=0,0,Mecze[[#This Row],[PC]]/Mecze[[#This Row],[CZAS]])</f>
        <v>0.11688311688311688</v>
      </c>
      <c r="P265" s="32">
        <f>IF(Mecze[[#This Row],[SC]]=0,0,Mecze[[#This Row],[SC]]/Mecze[[#This Row],[CZAS]])</f>
        <v>0</v>
      </c>
      <c r="Q265" s="32">
        <f>IF(Mecze[[#This Row],[OB]]=0,0,Mecze[[#This Row],[OB]]/Mecze[[#This Row],[CZAS]])</f>
        <v>0</v>
      </c>
      <c r="R265" s="32">
        <f>IF(Mecze[[#This Row],[BR]]=0,0,Mecze[[#This Row],[BR]]/Mecze[[#This Row],[CZAS]])</f>
        <v>0</v>
      </c>
      <c r="S265" s="44">
        <f>IF(Mecze[[#This Row],[Role]]="BR",SUMPRODUCT(Mecze[[#This Row],[/PR:90]:[/BR:90]],Brudnopis!$E$23:$J$23),0)</f>
        <v>0</v>
      </c>
      <c r="T265" s="44">
        <f>IF(Mecze[[#This Row],[Role]]&lt;&gt;"BR",SUMPRODUCT(Mecze[[#This Row],[/PR:90]:[/BR:90]],Brudnopis!$E$24:$J$24),0)</f>
        <v>0.17532467532467533</v>
      </c>
      <c r="U265" s="44">
        <f>IF(Mecze[[#This Row],[Role]]&lt;&gt;"BR",SUMPRODUCT(Mecze[[#This Row],[/PR:90]:[/BR:90]],Brudnopis!$E$25:$J$25),0)</f>
        <v>0.2142857142857143</v>
      </c>
      <c r="V265" s="44">
        <f>IF(Mecze[[#This Row],[Role]]&lt;&gt;"BR",SUMPRODUCT(Mecze[[#This Row],[/PR:90]:[/BR:90]],Brudnopis!$E$26:$J$26),0)</f>
        <v>0.15584415584415584</v>
      </c>
      <c r="W265" s="44">
        <f>IF(Mecze[[#This Row],[Role]]&lt;&gt;"BR",SUMPRODUCT(Mecze[[#This Row],[/PR:90]:[/BR:90]],Brudnopis!$E$27:$J$27),0)</f>
        <v>0.20454545454545456</v>
      </c>
      <c r="X265" s="44">
        <f>IF(Mecze[[#This Row],[Role]]&lt;&gt;"BR",SUMPRODUCT(Mecze[[#This Row],[/PR:90]:[/BR:90]],Brudnopis!$E$28:$J$28),0)</f>
        <v>0.11688311688311688</v>
      </c>
      <c r="Y265" s="35">
        <f>IF(Mecze[[#This Row],[Role]]="BR",Mecze[[#This Row],[/OB:90]]+Mecze[[#This Row],[/PC:90]],SUM(Mecze[[#This Row],[/PR:90]:[/BR:90]]))</f>
        <v>0.15584415584415584</v>
      </c>
      <c r="Z265" s="35">
        <f>IF(Mecze[[#This Row],[KC]]=0,SUM(Mecze[[#This Row],[/BRI]:[/NPI]]),SUM(Mecze[[#This Row],[/BRI]:[/NPI]])*0.6)</f>
        <v>0.52012987012987011</v>
      </c>
      <c r="AA265" s="10">
        <f>IFERROR(Mecze[[#This Row],[BR]]/Mecze[[#This Row],[ST]],0)</f>
        <v>0</v>
      </c>
      <c r="AB265">
        <f>ROUND(Mecze[[#This Row],[PD]]*Mecze[[#This Row],[%PC]],0)</f>
        <v>9</v>
      </c>
      <c r="AC265">
        <f>ROUND(Mecze[[#This Row],[OD]]*Mecze[[#This Row],[%OU]],0)</f>
        <v>3</v>
      </c>
      <c r="AD265" s="36" t="s">
        <v>44</v>
      </c>
      <c r="AE265" s="36">
        <v>15</v>
      </c>
      <c r="AF265" s="71">
        <v>2.8</v>
      </c>
      <c r="AG265" s="37">
        <v>2</v>
      </c>
      <c r="AH265" s="37">
        <v>1</v>
      </c>
      <c r="AI265" s="37">
        <v>77</v>
      </c>
      <c r="AJ265" s="37">
        <v>9</v>
      </c>
      <c r="AK265" s="37" t="str">
        <f>VLOOKUP(Mecze[[#This Row],[Match ID]],Meczusie[Mecz]:Meczusie[RodzajMeczu],2,FALSE)</f>
        <v>Liga</v>
      </c>
    </row>
    <row r="266" spans="1:37" x14ac:dyDescent="0.25">
      <c r="A266" s="76">
        <v>6</v>
      </c>
      <c r="B266" s="3" t="s">
        <v>297</v>
      </c>
      <c r="C266" s="2" t="s">
        <v>165</v>
      </c>
      <c r="D266" s="1">
        <v>0</v>
      </c>
      <c r="E266" s="1">
        <v>0</v>
      </c>
      <c r="F266" s="1">
        <v>0</v>
      </c>
      <c r="G266" s="1">
        <v>6</v>
      </c>
      <c r="H266" s="4">
        <v>0.67</v>
      </c>
      <c r="I266" s="1">
        <v>0</v>
      </c>
      <c r="J266" s="4"/>
      <c r="K266" s="1">
        <v>0</v>
      </c>
      <c r="L266" s="1">
        <v>1</v>
      </c>
      <c r="M266" s="32">
        <f>IF(Mecze[[#This Row],[PR]]=0,0,Mecze[[#This Row],[PR]]/Mecze[[#This Row],[CZAS]])</f>
        <v>1.0416666666666666E-2</v>
      </c>
      <c r="N266" s="32">
        <f>IF(Mecze[[#This Row],[OU]]=0,0,Mecze[[#This Row],[OU]]/Mecze[[#This Row],[CZAS]])</f>
        <v>0</v>
      </c>
      <c r="O266" s="32">
        <f>IF(Mecze[[#This Row],[PC]]=0,0,Mecze[[#This Row],[PC]]/Mecze[[#This Row],[CZAS]])</f>
        <v>4.1666666666666664E-2</v>
      </c>
      <c r="P266" s="32">
        <f>IF(Mecze[[#This Row],[SC]]=0,0,Mecze[[#This Row],[SC]]/Mecze[[#This Row],[CZAS]])</f>
        <v>0</v>
      </c>
      <c r="Q266" s="32">
        <f>IF(Mecze[[#This Row],[OB]]=0,0,Mecze[[#This Row],[OB]]/Mecze[[#This Row],[CZAS]])</f>
        <v>0</v>
      </c>
      <c r="R266" s="32">
        <f>IF(Mecze[[#This Row],[BR]]=0,0,Mecze[[#This Row],[BR]]/Mecze[[#This Row],[CZAS]])</f>
        <v>0</v>
      </c>
      <c r="S266" s="44">
        <f>IF(Mecze[[#This Row],[Role]]="BR",SUMPRODUCT(Mecze[[#This Row],[/PR:90]:[/BR:90]],Brudnopis!$E$23:$J$23),0)</f>
        <v>0</v>
      </c>
      <c r="T266" s="44">
        <f>IF(Mecze[[#This Row],[Role]]&lt;&gt;"BR",SUMPRODUCT(Mecze[[#This Row],[/PR:90]:[/BR:90]],Brudnopis!$E$24:$J$24),0)</f>
        <v>5.2083333333333329E-2</v>
      </c>
      <c r="U266" s="44">
        <f>IF(Mecze[[#This Row],[Role]]&lt;&gt;"BR",SUMPRODUCT(Mecze[[#This Row],[/PR:90]:[/BR:90]],Brudnopis!$E$25:$J$25),0)</f>
        <v>7.2916666666666671E-2</v>
      </c>
      <c r="V266" s="44">
        <f>IF(Mecze[[#This Row],[Role]]&lt;&gt;"BR",SUMPRODUCT(Mecze[[#This Row],[/PR:90]:[/BR:90]],Brudnopis!$E$26:$J$26),0)</f>
        <v>5.2083333333333329E-2</v>
      </c>
      <c r="W266" s="44">
        <f>IF(Mecze[[#This Row],[Role]]&lt;&gt;"BR",SUMPRODUCT(Mecze[[#This Row],[/PR:90]:[/BR:90]],Brudnopis!$E$27:$J$27),0)</f>
        <v>7.03125E-2</v>
      </c>
      <c r="X266" s="44">
        <f>IF(Mecze[[#This Row],[Role]]&lt;&gt;"BR",SUMPRODUCT(Mecze[[#This Row],[/PR:90]:[/BR:90]],Brudnopis!$E$28:$J$28),0)</f>
        <v>4.1666666666666664E-2</v>
      </c>
      <c r="Y266" s="35">
        <f>IF(Mecze[[#This Row],[Role]]="BR",Mecze[[#This Row],[/OB:90]]+Mecze[[#This Row],[/PC:90]],SUM(Mecze[[#This Row],[/PR:90]:[/BR:90]]))</f>
        <v>5.2083333333333329E-2</v>
      </c>
      <c r="Z266" s="35">
        <f>IF(Mecze[[#This Row],[KC]]=0,SUM(Mecze[[#This Row],[/BRI]:[/NPI]]),SUM(Mecze[[#This Row],[/BRI]:[/NPI]])*0.6)</f>
        <v>0.2890625</v>
      </c>
      <c r="AA266" s="10">
        <f>IFERROR(Mecze[[#This Row],[BR]]/Mecze[[#This Row],[ST]],0)</f>
        <v>0</v>
      </c>
      <c r="AB266">
        <f>ROUND(Mecze[[#This Row],[PD]]*Mecze[[#This Row],[%PC]],0)</f>
        <v>4</v>
      </c>
      <c r="AC266">
        <f>ROUND(Mecze[[#This Row],[OD]]*Mecze[[#This Row],[%OU]],0)</f>
        <v>0</v>
      </c>
      <c r="AD266" s="36" t="s">
        <v>46</v>
      </c>
      <c r="AE266" s="36">
        <v>15</v>
      </c>
      <c r="AF266" s="71">
        <v>4.04</v>
      </c>
      <c r="AG266" s="37">
        <v>0</v>
      </c>
      <c r="AH266" s="37">
        <v>0</v>
      </c>
      <c r="AI266" s="37">
        <v>96</v>
      </c>
      <c r="AJ266" s="37">
        <v>9</v>
      </c>
      <c r="AK266" s="37" t="str">
        <f>VLOOKUP(Mecze[[#This Row],[Match ID]],Meczusie[Mecz]:Meczusie[RodzajMeczu],2,FALSE)</f>
        <v>Liga</v>
      </c>
    </row>
    <row r="267" spans="1:37" x14ac:dyDescent="0.25">
      <c r="A267" s="76">
        <v>10</v>
      </c>
      <c r="B267" s="3" t="s">
        <v>298</v>
      </c>
      <c r="C267" s="2" t="s">
        <v>165</v>
      </c>
      <c r="D267" s="1">
        <v>1</v>
      </c>
      <c r="E267" s="1">
        <v>7</v>
      </c>
      <c r="F267" s="1">
        <v>3</v>
      </c>
      <c r="G267" s="1">
        <v>4</v>
      </c>
      <c r="H267" s="4">
        <v>0.75</v>
      </c>
      <c r="I267" s="1">
        <v>3</v>
      </c>
      <c r="J267" s="4">
        <v>0</v>
      </c>
      <c r="K267" s="1">
        <v>0</v>
      </c>
      <c r="L267" s="1">
        <v>0</v>
      </c>
      <c r="M267" s="32">
        <f>IF(Mecze[[#This Row],[PR]]=0,0,Mecze[[#This Row],[PR]]/Mecze[[#This Row],[CZAS]])</f>
        <v>0</v>
      </c>
      <c r="N267" s="32">
        <f>IF(Mecze[[#This Row],[OU]]=0,0,Mecze[[#This Row],[OU]]/Mecze[[#This Row],[CZAS]])</f>
        <v>0</v>
      </c>
      <c r="O267" s="32">
        <f>IF(Mecze[[#This Row],[PC]]=0,0,Mecze[[#This Row],[PC]]/Mecze[[#This Row],[CZAS]])</f>
        <v>3.125E-2</v>
      </c>
      <c r="P267" s="32">
        <f>IF(Mecze[[#This Row],[SC]]=0,0,Mecze[[#This Row],[SC]]/Mecze[[#This Row],[CZAS]])</f>
        <v>3.125E-2</v>
      </c>
      <c r="Q267" s="32">
        <f>IF(Mecze[[#This Row],[OB]]=0,0,Mecze[[#This Row],[OB]]/Mecze[[#This Row],[CZAS]])</f>
        <v>0</v>
      </c>
      <c r="R267" s="32">
        <f>IF(Mecze[[#This Row],[BR]]=0,0,Mecze[[#This Row],[BR]]/Mecze[[#This Row],[CZAS]])</f>
        <v>1.0416666666666666E-2</v>
      </c>
      <c r="S267" s="44">
        <f>IF(Mecze[[#This Row],[Role]]="BR",SUMPRODUCT(Mecze[[#This Row],[/PR:90]:[/BR:90]],Brudnopis!$E$23:$J$23),0)</f>
        <v>0</v>
      </c>
      <c r="T267" s="44">
        <f>IF(Mecze[[#This Row],[Role]]&lt;&gt;"BR",SUMPRODUCT(Mecze[[#This Row],[/PR:90]:[/BR:90]],Brudnopis!$E$24:$J$24),0)</f>
        <v>7.8125E-2</v>
      </c>
      <c r="U267" s="44">
        <f>IF(Mecze[[#This Row],[Role]]&lt;&gt;"BR",SUMPRODUCT(Mecze[[#This Row],[/PR:90]:[/BR:90]],Brudnopis!$E$25:$J$25),0)</f>
        <v>9.375E-2</v>
      </c>
      <c r="V267" s="44">
        <f>IF(Mecze[[#This Row],[Role]]&lt;&gt;"BR",SUMPRODUCT(Mecze[[#This Row],[/PR:90]:[/BR:90]],Brudnopis!$E$26:$J$26),0)</f>
        <v>8.3333333333333329E-2</v>
      </c>
      <c r="W267" s="44">
        <f>IF(Mecze[[#This Row],[Role]]&lt;&gt;"BR",SUMPRODUCT(Mecze[[#This Row],[/PR:90]:[/BR:90]],Brudnopis!$E$27:$J$27),0)</f>
        <v>9.8958333333333329E-2</v>
      </c>
      <c r="X267" s="44">
        <f>IF(Mecze[[#This Row],[Role]]&lt;&gt;"BR",SUMPRODUCT(Mecze[[#This Row],[/PR:90]:[/BR:90]],Brudnopis!$E$28:$J$28),0)</f>
        <v>0.125</v>
      </c>
      <c r="Y267" s="35">
        <f>IF(Mecze[[#This Row],[Role]]="BR",Mecze[[#This Row],[/OB:90]]+Mecze[[#This Row],[/PC:90]],SUM(Mecze[[#This Row],[/PR:90]:[/BR:90]]))</f>
        <v>7.2916666666666671E-2</v>
      </c>
      <c r="Z267" s="35">
        <f>IF(Mecze[[#This Row],[KC]]=0,SUM(Mecze[[#This Row],[/BRI]:[/NPI]]),SUM(Mecze[[#This Row],[/BRI]:[/NPI]])*0.6)</f>
        <v>0.47916666666666663</v>
      </c>
      <c r="AA267" s="10">
        <f>IFERROR(Mecze[[#This Row],[BR]]/Mecze[[#This Row],[ST]],0)</f>
        <v>0.14285714285714285</v>
      </c>
      <c r="AB267">
        <f>ROUND(Mecze[[#This Row],[PD]]*Mecze[[#This Row],[%PC]],0)</f>
        <v>3</v>
      </c>
      <c r="AC267">
        <f>ROUND(Mecze[[#This Row],[OD]]*Mecze[[#This Row],[%OU]],0)</f>
        <v>0</v>
      </c>
      <c r="AD267" s="36" t="s">
        <v>46</v>
      </c>
      <c r="AE267" s="36">
        <v>15</v>
      </c>
      <c r="AF267" s="71">
        <v>5.67</v>
      </c>
      <c r="AG267" s="37">
        <v>0</v>
      </c>
      <c r="AH267" s="37">
        <v>0</v>
      </c>
      <c r="AI267" s="37">
        <v>96</v>
      </c>
      <c r="AJ267" s="37">
        <v>9</v>
      </c>
      <c r="AK267" s="37" t="str">
        <f>VLOOKUP(Mecze[[#This Row],[Match ID]],Meczusie[Mecz]:Meczusie[RodzajMeczu],2,FALSE)</f>
        <v>Liga</v>
      </c>
    </row>
    <row r="268" spans="1:37" x14ac:dyDescent="0.25">
      <c r="A268" s="76">
        <v>1</v>
      </c>
      <c r="B268" s="3" t="s">
        <v>304</v>
      </c>
      <c r="C268" s="2" t="s">
        <v>155</v>
      </c>
      <c r="D268" s="1">
        <v>0</v>
      </c>
      <c r="E268" s="1">
        <v>0</v>
      </c>
      <c r="F268" s="1">
        <v>0</v>
      </c>
      <c r="G268" s="1">
        <v>2</v>
      </c>
      <c r="H268" s="4">
        <v>0.5</v>
      </c>
      <c r="I268" s="1">
        <v>0</v>
      </c>
      <c r="J268" s="4"/>
      <c r="K268" s="1">
        <v>1</v>
      </c>
      <c r="L268" s="1">
        <v>0</v>
      </c>
      <c r="M268" s="32">
        <f>IF(Mecze[[#This Row],[PR]]=0,0,Mecze[[#This Row],[PR]]/Mecze[[#This Row],[CZAS]])</f>
        <v>0</v>
      </c>
      <c r="N268" s="32">
        <f>IF(Mecze[[#This Row],[OU]]=0,0,Mecze[[#This Row],[OU]]/Mecze[[#This Row],[CZAS]])</f>
        <v>0</v>
      </c>
      <c r="O268" s="32">
        <f>IF(Mecze[[#This Row],[PC]]=0,0,Mecze[[#This Row],[PC]]/Mecze[[#This Row],[CZAS]])</f>
        <v>1.020408163265306E-2</v>
      </c>
      <c r="P268" s="32">
        <f>IF(Mecze[[#This Row],[SC]]=0,0,Mecze[[#This Row],[SC]]/Mecze[[#This Row],[CZAS]])</f>
        <v>0</v>
      </c>
      <c r="Q268" s="32">
        <f>IF(Mecze[[#This Row],[OB]]=0,0,Mecze[[#This Row],[OB]]/Mecze[[#This Row],[CZAS]])</f>
        <v>1.020408163265306E-2</v>
      </c>
      <c r="R268" s="32">
        <f>IF(Mecze[[#This Row],[BR]]=0,0,Mecze[[#This Row],[BR]]/Mecze[[#This Row],[CZAS]])</f>
        <v>0</v>
      </c>
      <c r="S268" s="44">
        <f>IF(Mecze[[#This Row],[Role]]="BR",SUMPRODUCT(Mecze[[#This Row],[/PR:90]:[/BR:90]],Brudnopis!$E$23:$J$23),0)</f>
        <v>6.1224489795918366E-2</v>
      </c>
      <c r="T268" s="44">
        <f>IF(Mecze[[#This Row],[Role]]&lt;&gt;"BR",SUMPRODUCT(Mecze[[#This Row],[/PR:90]:[/BR:90]],Brudnopis!$E$24:$J$24),0)</f>
        <v>0</v>
      </c>
      <c r="U268" s="44">
        <f>IF(Mecze[[#This Row],[Role]]&lt;&gt;"BR",SUMPRODUCT(Mecze[[#This Row],[/PR:90]:[/BR:90]],Brudnopis!$E$25:$J$25),0)</f>
        <v>0</v>
      </c>
      <c r="V268" s="44">
        <f>IF(Mecze[[#This Row],[Role]]&lt;&gt;"BR",SUMPRODUCT(Mecze[[#This Row],[/PR:90]:[/BR:90]],Brudnopis!$E$26:$J$26),0)</f>
        <v>0</v>
      </c>
      <c r="W268" s="44">
        <f>IF(Mecze[[#This Row],[Role]]&lt;&gt;"BR",SUMPRODUCT(Mecze[[#This Row],[/PR:90]:[/BR:90]],Brudnopis!$E$27:$J$27),0)</f>
        <v>0</v>
      </c>
      <c r="X268" s="44">
        <f>IF(Mecze[[#This Row],[Role]]&lt;&gt;"BR",SUMPRODUCT(Mecze[[#This Row],[/PR:90]:[/BR:90]],Brudnopis!$E$28:$J$28),0)</f>
        <v>0</v>
      </c>
      <c r="Y268" s="35">
        <f>IF(Mecze[[#This Row],[Role]]="BR",Mecze[[#This Row],[/OB:90]]+Mecze[[#This Row],[/PC:90]],SUM(Mecze[[#This Row],[/PR:90]:[/BR:90]]))</f>
        <v>2.0408163265306121E-2</v>
      </c>
      <c r="Z268" s="35">
        <f>IF(Mecze[[#This Row],[KC]]=0,SUM(Mecze[[#This Row],[/BRI]:[/NPI]]),SUM(Mecze[[#This Row],[/BRI]:[/NPI]])*0.6)</f>
        <v>6.1224489795918366E-2</v>
      </c>
      <c r="AA268" s="10">
        <f>IFERROR(Mecze[[#This Row],[BR]]/Mecze[[#This Row],[ST]],0)</f>
        <v>0</v>
      </c>
      <c r="AB268">
        <f>ROUND(Mecze[[#This Row],[PD]]*Mecze[[#This Row],[%PC]],0)</f>
        <v>1</v>
      </c>
      <c r="AC268">
        <f>ROUND(Mecze[[#This Row],[OD]]*Mecze[[#This Row],[%OU]],0)</f>
        <v>0</v>
      </c>
      <c r="AD268" s="36" t="s">
        <v>40</v>
      </c>
      <c r="AE268" s="36">
        <v>16</v>
      </c>
      <c r="AF268" s="71">
        <v>7.39</v>
      </c>
      <c r="AG268" s="37">
        <v>0</v>
      </c>
      <c r="AH268" s="37">
        <v>0</v>
      </c>
      <c r="AI268" s="37">
        <v>98</v>
      </c>
      <c r="AJ268" s="37">
        <v>8</v>
      </c>
      <c r="AK268" s="37" t="str">
        <f>VLOOKUP(Mecze[[#This Row],[Match ID]],Meczusie[Mecz]:Meczusie[RodzajMeczu],2,FALSE)</f>
        <v>Liga</v>
      </c>
    </row>
    <row r="269" spans="1:37" x14ac:dyDescent="0.25">
      <c r="A269" s="76">
        <v>5</v>
      </c>
      <c r="B269" s="3" t="s">
        <v>305</v>
      </c>
      <c r="C269" s="2" t="s">
        <v>157</v>
      </c>
      <c r="D269" s="1">
        <v>0</v>
      </c>
      <c r="E269" s="1">
        <v>0</v>
      </c>
      <c r="F269" s="1">
        <v>0</v>
      </c>
      <c r="G269" s="1">
        <v>2</v>
      </c>
      <c r="H269" s="4">
        <v>1</v>
      </c>
      <c r="I269" s="1">
        <v>0</v>
      </c>
      <c r="J269" s="4"/>
      <c r="K269" s="1">
        <v>0</v>
      </c>
      <c r="L269" s="1">
        <v>3</v>
      </c>
      <c r="M269" s="32">
        <f>IF(Mecze[[#This Row],[PR]]=0,0,Mecze[[#This Row],[PR]]/Mecze[[#This Row],[CZAS]])</f>
        <v>3.0612244897959183E-2</v>
      </c>
      <c r="N269" s="32">
        <f>IF(Mecze[[#This Row],[OU]]=0,0,Mecze[[#This Row],[OU]]/Mecze[[#This Row],[CZAS]])</f>
        <v>0</v>
      </c>
      <c r="O269" s="32">
        <f>IF(Mecze[[#This Row],[PC]]=0,0,Mecze[[#This Row],[PC]]/Mecze[[#This Row],[CZAS]])</f>
        <v>2.0408163265306121E-2</v>
      </c>
      <c r="P269" s="32">
        <f>IF(Mecze[[#This Row],[SC]]=0,0,Mecze[[#This Row],[SC]]/Mecze[[#This Row],[CZAS]])</f>
        <v>0</v>
      </c>
      <c r="Q269" s="32">
        <f>IF(Mecze[[#This Row],[OB]]=0,0,Mecze[[#This Row],[OB]]/Mecze[[#This Row],[CZAS]])</f>
        <v>0</v>
      </c>
      <c r="R269" s="32">
        <f>IF(Mecze[[#This Row],[BR]]=0,0,Mecze[[#This Row],[BR]]/Mecze[[#This Row],[CZAS]])</f>
        <v>0</v>
      </c>
      <c r="S269" s="44">
        <f>IF(Mecze[[#This Row],[Role]]="BR",SUMPRODUCT(Mecze[[#This Row],[/PR:90]:[/BR:90]],Brudnopis!$E$23:$J$23),0)</f>
        <v>0</v>
      </c>
      <c r="T269" s="44">
        <f>IF(Mecze[[#This Row],[Role]]&lt;&gt;"BR",SUMPRODUCT(Mecze[[#This Row],[/PR:90]:[/BR:90]],Brudnopis!$E$24:$J$24),0)</f>
        <v>5.1020408163265307E-2</v>
      </c>
      <c r="U269" s="44">
        <f>IF(Mecze[[#This Row],[Role]]&lt;&gt;"BR",SUMPRODUCT(Mecze[[#This Row],[/PR:90]:[/BR:90]],Brudnopis!$E$25:$J$25),0)</f>
        <v>6.1224489795918366E-2</v>
      </c>
      <c r="V269" s="44">
        <f>IF(Mecze[[#This Row],[Role]]&lt;&gt;"BR",SUMPRODUCT(Mecze[[#This Row],[/PR:90]:[/BR:90]],Brudnopis!$E$26:$J$26),0)</f>
        <v>5.1020408163265307E-2</v>
      </c>
      <c r="W269" s="44">
        <f>IF(Mecze[[#This Row],[Role]]&lt;&gt;"BR",SUMPRODUCT(Mecze[[#This Row],[/PR:90]:[/BR:90]],Brudnopis!$E$27:$J$27),0)</f>
        <v>5.3571428571428568E-2</v>
      </c>
      <c r="X269" s="44">
        <f>IF(Mecze[[#This Row],[Role]]&lt;&gt;"BR",SUMPRODUCT(Mecze[[#This Row],[/PR:90]:[/BR:90]],Brudnopis!$E$28:$J$28),0)</f>
        <v>2.0408163265306121E-2</v>
      </c>
      <c r="Y269" s="35">
        <f>IF(Mecze[[#This Row],[Role]]="BR",Mecze[[#This Row],[/OB:90]]+Mecze[[#This Row],[/PC:90]],SUM(Mecze[[#This Row],[/PR:90]:[/BR:90]]))</f>
        <v>5.1020408163265307E-2</v>
      </c>
      <c r="Z269" s="35">
        <f>IF(Mecze[[#This Row],[KC]]=0,SUM(Mecze[[#This Row],[/BRI]:[/NPI]]),SUM(Mecze[[#This Row],[/BRI]:[/NPI]])*0.6)</f>
        <v>0.23724489795918369</v>
      </c>
      <c r="AA269" s="10">
        <f>IFERROR(Mecze[[#This Row],[BR]]/Mecze[[#This Row],[ST]],0)</f>
        <v>0</v>
      </c>
      <c r="AB269">
        <f>ROUND(Mecze[[#This Row],[PD]]*Mecze[[#This Row],[%PC]],0)</f>
        <v>2</v>
      </c>
      <c r="AC269">
        <f>ROUND(Mecze[[#This Row],[OD]]*Mecze[[#This Row],[%OU]],0)</f>
        <v>0</v>
      </c>
      <c r="AD269" s="36" t="s">
        <v>47</v>
      </c>
      <c r="AE269" s="36">
        <v>16</v>
      </c>
      <c r="AF269" s="71">
        <v>7.67</v>
      </c>
      <c r="AG269" s="37">
        <v>0</v>
      </c>
      <c r="AH269" s="37">
        <v>0</v>
      </c>
      <c r="AI269" s="37">
        <v>98</v>
      </c>
      <c r="AJ269" s="37">
        <v>8</v>
      </c>
      <c r="AK269" s="37" t="str">
        <f>VLOOKUP(Mecze[[#This Row],[Match ID]],Meczusie[Mecz]:Meczusie[RodzajMeczu],2,FALSE)</f>
        <v>Liga</v>
      </c>
    </row>
    <row r="270" spans="1:37" x14ac:dyDescent="0.25">
      <c r="A270" s="76">
        <v>23</v>
      </c>
      <c r="B270" s="3" t="s">
        <v>306</v>
      </c>
      <c r="C270" s="2" t="s">
        <v>157</v>
      </c>
      <c r="D270" s="1">
        <v>0</v>
      </c>
      <c r="E270" s="1">
        <v>0</v>
      </c>
      <c r="F270" s="1">
        <v>0</v>
      </c>
      <c r="G270" s="1">
        <v>0</v>
      </c>
      <c r="H270" s="72"/>
      <c r="I270" s="1">
        <v>0</v>
      </c>
      <c r="J270" s="4"/>
      <c r="K270" s="1">
        <v>0</v>
      </c>
      <c r="L270" s="1">
        <v>0</v>
      </c>
      <c r="M270" s="32">
        <f>IF(Mecze[[#This Row],[PR]]=0,0,Mecze[[#This Row],[PR]]/Mecze[[#This Row],[CZAS]])</f>
        <v>0</v>
      </c>
      <c r="N270" s="32">
        <f>IF(Mecze[[#This Row],[OU]]=0,0,Mecze[[#This Row],[OU]]/Mecze[[#This Row],[CZAS]])</f>
        <v>0</v>
      </c>
      <c r="O270" s="32">
        <f>IF(Mecze[[#This Row],[PC]]=0,0,Mecze[[#This Row],[PC]]/Mecze[[#This Row],[CZAS]])</f>
        <v>0</v>
      </c>
      <c r="P270" s="32">
        <f>IF(Mecze[[#This Row],[SC]]=0,0,Mecze[[#This Row],[SC]]/Mecze[[#This Row],[CZAS]])</f>
        <v>0</v>
      </c>
      <c r="Q270" s="32">
        <f>IF(Mecze[[#This Row],[OB]]=0,0,Mecze[[#This Row],[OB]]/Mecze[[#This Row],[CZAS]])</f>
        <v>0</v>
      </c>
      <c r="R270" s="32">
        <f>IF(Mecze[[#This Row],[BR]]=0,0,Mecze[[#This Row],[BR]]/Mecze[[#This Row],[CZAS]])</f>
        <v>0</v>
      </c>
      <c r="S270" s="44">
        <f>IF(Mecze[[#This Row],[Role]]="BR",SUMPRODUCT(Mecze[[#This Row],[/PR:90]:[/BR:90]],Brudnopis!$E$23:$J$23),0)</f>
        <v>0</v>
      </c>
      <c r="T270" s="44">
        <f>IF(Mecze[[#This Row],[Role]]&lt;&gt;"BR",SUMPRODUCT(Mecze[[#This Row],[/PR:90]:[/BR:90]],Brudnopis!$E$24:$J$24),0)</f>
        <v>0</v>
      </c>
      <c r="U270" s="44">
        <f>IF(Mecze[[#This Row],[Role]]&lt;&gt;"BR",SUMPRODUCT(Mecze[[#This Row],[/PR:90]:[/BR:90]],Brudnopis!$E$25:$J$25),0)</f>
        <v>0</v>
      </c>
      <c r="V270" s="44">
        <f>IF(Mecze[[#This Row],[Role]]&lt;&gt;"BR",SUMPRODUCT(Mecze[[#This Row],[/PR:90]:[/BR:90]],Brudnopis!$E$26:$J$26),0)</f>
        <v>0</v>
      </c>
      <c r="W270" s="44">
        <f>IF(Mecze[[#This Row],[Role]]&lt;&gt;"BR",SUMPRODUCT(Mecze[[#This Row],[/PR:90]:[/BR:90]],Brudnopis!$E$27:$J$27),0)</f>
        <v>0</v>
      </c>
      <c r="X270" s="44">
        <f>IF(Mecze[[#This Row],[Role]]&lt;&gt;"BR",SUMPRODUCT(Mecze[[#This Row],[/PR:90]:[/BR:90]],Brudnopis!$E$28:$J$28),0)</f>
        <v>0</v>
      </c>
      <c r="Y270" s="35">
        <f>IF(Mecze[[#This Row],[Role]]="BR",Mecze[[#This Row],[/OB:90]]+Mecze[[#This Row],[/PC:90]],SUM(Mecze[[#This Row],[/PR:90]:[/BR:90]]))</f>
        <v>0</v>
      </c>
      <c r="Z270" s="35">
        <f>IF(Mecze[[#This Row],[KC]]=0,SUM(Mecze[[#This Row],[/BRI]:[/NPI]]),SUM(Mecze[[#This Row],[/BRI]:[/NPI]])*0.6)</f>
        <v>0</v>
      </c>
      <c r="AA270" s="10">
        <f>IFERROR(Mecze[[#This Row],[BR]]/Mecze[[#This Row],[ST]],0)</f>
        <v>0</v>
      </c>
      <c r="AB270">
        <f>ROUND(Mecze[[#This Row],[PD]]*Mecze[[#This Row],[%PC]],0)</f>
        <v>0</v>
      </c>
      <c r="AC270">
        <f>ROUND(Mecze[[#This Row],[OD]]*Mecze[[#This Row],[%OU]],0)</f>
        <v>0</v>
      </c>
      <c r="AD270" s="36" t="s">
        <v>167</v>
      </c>
      <c r="AE270" s="36">
        <v>16</v>
      </c>
      <c r="AF270" s="71">
        <v>7.04</v>
      </c>
      <c r="AG270" s="37">
        <v>0</v>
      </c>
      <c r="AH270" s="37">
        <v>0</v>
      </c>
      <c r="AI270" s="37">
        <v>76</v>
      </c>
      <c r="AJ270" s="37">
        <v>8</v>
      </c>
      <c r="AK270" s="37" t="str">
        <f>VLOOKUP(Mecze[[#This Row],[Match ID]],Meczusie[Mecz]:Meczusie[RodzajMeczu],2,FALSE)</f>
        <v>Liga</v>
      </c>
    </row>
    <row r="271" spans="1:37" x14ac:dyDescent="0.25">
      <c r="A271" s="76">
        <v>2</v>
      </c>
      <c r="B271" s="3" t="s">
        <v>307</v>
      </c>
      <c r="C271" s="2" t="s">
        <v>157</v>
      </c>
      <c r="D271" s="1">
        <v>0</v>
      </c>
      <c r="E271" s="1">
        <v>0</v>
      </c>
      <c r="F271" s="1">
        <v>0</v>
      </c>
      <c r="G271" s="1">
        <v>10</v>
      </c>
      <c r="H271" s="4">
        <v>0.7</v>
      </c>
      <c r="I271" s="1">
        <v>4</v>
      </c>
      <c r="J271" s="4">
        <v>1</v>
      </c>
      <c r="K271" s="1">
        <v>0</v>
      </c>
      <c r="L271" s="1">
        <v>10</v>
      </c>
      <c r="M271" s="32">
        <f>IF(Mecze[[#This Row],[PR]]=0,0,Mecze[[#This Row],[PR]]/Mecze[[#This Row],[CZAS]])</f>
        <v>0.10204081632653061</v>
      </c>
      <c r="N271" s="32">
        <f>IF(Mecze[[#This Row],[OU]]=0,0,Mecze[[#This Row],[OU]]/Mecze[[#This Row],[CZAS]])</f>
        <v>4.0816326530612242E-2</v>
      </c>
      <c r="O271" s="32">
        <f>IF(Mecze[[#This Row],[PC]]=0,0,Mecze[[#This Row],[PC]]/Mecze[[#This Row],[CZAS]])</f>
        <v>7.1428571428571425E-2</v>
      </c>
      <c r="P271" s="32">
        <f>IF(Mecze[[#This Row],[SC]]=0,0,Mecze[[#This Row],[SC]]/Mecze[[#This Row],[CZAS]])</f>
        <v>0</v>
      </c>
      <c r="Q271" s="32">
        <f>IF(Mecze[[#This Row],[OB]]=0,0,Mecze[[#This Row],[OB]]/Mecze[[#This Row],[CZAS]])</f>
        <v>0</v>
      </c>
      <c r="R271" s="32">
        <f>IF(Mecze[[#This Row],[BR]]=0,0,Mecze[[#This Row],[BR]]/Mecze[[#This Row],[CZAS]])</f>
        <v>0</v>
      </c>
      <c r="S271" s="44">
        <f>IF(Mecze[[#This Row],[Role]]="BR",SUMPRODUCT(Mecze[[#This Row],[/PR:90]:[/BR:90]],Brudnopis!$E$23:$J$23),0)</f>
        <v>0</v>
      </c>
      <c r="T271" s="44">
        <f>IF(Mecze[[#This Row],[Role]]&lt;&gt;"BR",SUMPRODUCT(Mecze[[#This Row],[/PR:90]:[/BR:90]],Brudnopis!$E$24:$J$24),0)</f>
        <v>0.23469387755102042</v>
      </c>
      <c r="U271" s="44">
        <f>IF(Mecze[[#This Row],[Role]]&lt;&gt;"BR",SUMPRODUCT(Mecze[[#This Row],[/PR:90]:[/BR:90]],Brudnopis!$E$25:$J$25),0)</f>
        <v>0.25</v>
      </c>
      <c r="V271" s="44">
        <f>IF(Mecze[[#This Row],[Role]]&lt;&gt;"BR",SUMPRODUCT(Mecze[[#This Row],[/PR:90]:[/BR:90]],Brudnopis!$E$26:$J$26),0)</f>
        <v>0.21428571428571427</v>
      </c>
      <c r="W271" s="44">
        <f>IF(Mecze[[#This Row],[Role]]&lt;&gt;"BR",SUMPRODUCT(Mecze[[#This Row],[/PR:90]:[/BR:90]],Brudnopis!$E$27:$J$27),0)</f>
        <v>0.2142857142857143</v>
      </c>
      <c r="X271" s="44">
        <f>IF(Mecze[[#This Row],[Role]]&lt;&gt;"BR",SUMPRODUCT(Mecze[[#This Row],[/PR:90]:[/BR:90]],Brudnopis!$E$28:$J$28),0)</f>
        <v>7.1428571428571425E-2</v>
      </c>
      <c r="Y271" s="35">
        <f>IF(Mecze[[#This Row],[Role]]="BR",Mecze[[#This Row],[/OB:90]]+Mecze[[#This Row],[/PC:90]],SUM(Mecze[[#This Row],[/PR:90]:[/BR:90]]))</f>
        <v>0.21428571428571427</v>
      </c>
      <c r="Z271" s="35">
        <f>IF(Mecze[[#This Row],[KC]]=0,SUM(Mecze[[#This Row],[/BRI]:[/NPI]]),SUM(Mecze[[#This Row],[/BRI]:[/NPI]])*0.6)</f>
        <v>0.98469387755102045</v>
      </c>
      <c r="AA271" s="10">
        <f>IFERROR(Mecze[[#This Row],[BR]]/Mecze[[#This Row],[ST]],0)</f>
        <v>0</v>
      </c>
      <c r="AB271">
        <f>ROUND(Mecze[[#This Row],[PD]]*Mecze[[#This Row],[%PC]],0)</f>
        <v>7</v>
      </c>
      <c r="AC271">
        <f>ROUND(Mecze[[#This Row],[OD]]*Mecze[[#This Row],[%OU]],0)</f>
        <v>4</v>
      </c>
      <c r="AD271" s="36" t="s">
        <v>168</v>
      </c>
      <c r="AE271" s="36">
        <v>16</v>
      </c>
      <c r="AF271" s="71">
        <v>12.29</v>
      </c>
      <c r="AG271" s="37">
        <v>0</v>
      </c>
      <c r="AH271" s="37">
        <v>0</v>
      </c>
      <c r="AI271" s="37">
        <v>98</v>
      </c>
      <c r="AJ271" s="37">
        <v>8</v>
      </c>
      <c r="AK271" s="37" t="str">
        <f>VLOOKUP(Mecze[[#This Row],[Match ID]],Meczusie[Mecz]:Meczusie[RodzajMeczu],2,FALSE)</f>
        <v>Liga</v>
      </c>
    </row>
    <row r="272" spans="1:37" x14ac:dyDescent="0.25">
      <c r="A272" s="76">
        <v>6</v>
      </c>
      <c r="B272" s="3" t="s">
        <v>308</v>
      </c>
      <c r="C272" s="2" t="s">
        <v>160</v>
      </c>
      <c r="D272" s="1">
        <v>0</v>
      </c>
      <c r="E272" s="1">
        <v>0</v>
      </c>
      <c r="F272" s="1">
        <v>0</v>
      </c>
      <c r="G272" s="1">
        <v>16</v>
      </c>
      <c r="H272" s="4">
        <v>0.88</v>
      </c>
      <c r="I272" s="1">
        <v>4</v>
      </c>
      <c r="J272" s="4">
        <v>0.5</v>
      </c>
      <c r="K272" s="1">
        <v>0</v>
      </c>
      <c r="L272" s="1">
        <v>9</v>
      </c>
      <c r="M272" s="32">
        <f>IF(Mecze[[#This Row],[PR]]=0,0,Mecze[[#This Row],[PR]]/Mecze[[#This Row],[CZAS]])</f>
        <v>9.1836734693877556E-2</v>
      </c>
      <c r="N272" s="32">
        <f>IF(Mecze[[#This Row],[OU]]=0,0,Mecze[[#This Row],[OU]]/Mecze[[#This Row],[CZAS]])</f>
        <v>2.0408163265306121E-2</v>
      </c>
      <c r="O272" s="32">
        <f>IF(Mecze[[#This Row],[PC]]=0,0,Mecze[[#This Row],[PC]]/Mecze[[#This Row],[CZAS]])</f>
        <v>0.14285714285714285</v>
      </c>
      <c r="P272" s="32">
        <f>IF(Mecze[[#This Row],[SC]]=0,0,Mecze[[#This Row],[SC]]/Mecze[[#This Row],[CZAS]])</f>
        <v>0</v>
      </c>
      <c r="Q272" s="32">
        <f>IF(Mecze[[#This Row],[OB]]=0,0,Mecze[[#This Row],[OB]]/Mecze[[#This Row],[CZAS]])</f>
        <v>0</v>
      </c>
      <c r="R272" s="32">
        <f>IF(Mecze[[#This Row],[BR]]=0,0,Mecze[[#This Row],[BR]]/Mecze[[#This Row],[CZAS]])</f>
        <v>0</v>
      </c>
      <c r="S272" s="44">
        <f>IF(Mecze[[#This Row],[Role]]="BR",SUMPRODUCT(Mecze[[#This Row],[/PR:90]:[/BR:90]],Brudnopis!$E$23:$J$23),0)</f>
        <v>0</v>
      </c>
      <c r="T272" s="44">
        <f>IF(Mecze[[#This Row],[Role]]&lt;&gt;"BR",SUMPRODUCT(Mecze[[#This Row],[/PR:90]:[/BR:90]],Brudnopis!$E$24:$J$24),0)</f>
        <v>0.26530612244897955</v>
      </c>
      <c r="U272" s="44">
        <f>IF(Mecze[[#This Row],[Role]]&lt;&gt;"BR",SUMPRODUCT(Mecze[[#This Row],[/PR:90]:[/BR:90]],Brudnopis!$E$25:$J$25),0)</f>
        <v>0.32653061224489793</v>
      </c>
      <c r="V272" s="44">
        <f>IF(Mecze[[#This Row],[Role]]&lt;&gt;"BR",SUMPRODUCT(Mecze[[#This Row],[/PR:90]:[/BR:90]],Brudnopis!$E$26:$J$26),0)</f>
        <v>0.25510204081632654</v>
      </c>
      <c r="W272" s="44">
        <f>IF(Mecze[[#This Row],[Role]]&lt;&gt;"BR",SUMPRODUCT(Mecze[[#This Row],[/PR:90]:[/BR:90]],Brudnopis!$E$27:$J$27),0)</f>
        <v>0.29846938775510201</v>
      </c>
      <c r="X272" s="44">
        <f>IF(Mecze[[#This Row],[Role]]&lt;&gt;"BR",SUMPRODUCT(Mecze[[#This Row],[/PR:90]:[/BR:90]],Brudnopis!$E$28:$J$28),0)</f>
        <v>0.14285714285714285</v>
      </c>
      <c r="Y272" s="35">
        <f>IF(Mecze[[#This Row],[Role]]="BR",Mecze[[#This Row],[/OB:90]]+Mecze[[#This Row],[/PC:90]],SUM(Mecze[[#This Row],[/PR:90]:[/BR:90]]))</f>
        <v>0.25510204081632654</v>
      </c>
      <c r="Z272" s="35">
        <f>IF(Mecze[[#This Row],[KC]]=0,SUM(Mecze[[#This Row],[/BRI]:[/NPI]]),SUM(Mecze[[#This Row],[/BRI]:[/NPI]])*0.6)</f>
        <v>1.2882653061224487</v>
      </c>
      <c r="AA272" s="10">
        <f>IFERROR(Mecze[[#This Row],[BR]]/Mecze[[#This Row],[ST]],0)</f>
        <v>0</v>
      </c>
      <c r="AB272">
        <f>ROUND(Mecze[[#This Row],[PD]]*Mecze[[#This Row],[%PC]],0)</f>
        <v>14</v>
      </c>
      <c r="AC272">
        <f>ROUND(Mecze[[#This Row],[OD]]*Mecze[[#This Row],[%OU]],0)</f>
        <v>2</v>
      </c>
      <c r="AD272" s="36" t="s">
        <v>41</v>
      </c>
      <c r="AE272" s="36">
        <v>16</v>
      </c>
      <c r="AF272" s="71">
        <v>11.05</v>
      </c>
      <c r="AG272" s="37">
        <v>0</v>
      </c>
      <c r="AH272" s="37">
        <v>0</v>
      </c>
      <c r="AI272" s="37">
        <v>98</v>
      </c>
      <c r="AJ272" s="37">
        <v>8</v>
      </c>
      <c r="AK272" s="37" t="str">
        <f>VLOOKUP(Mecze[[#This Row],[Match ID]],Meczusie[Mecz]:Meczusie[RodzajMeczu],2,FALSE)</f>
        <v>Liga</v>
      </c>
    </row>
    <row r="273" spans="1:37" x14ac:dyDescent="0.25">
      <c r="A273" s="76">
        <v>16</v>
      </c>
      <c r="B273" s="3" t="s">
        <v>309</v>
      </c>
      <c r="C273" s="2" t="s">
        <v>160</v>
      </c>
      <c r="D273" s="1">
        <v>0</v>
      </c>
      <c r="E273" s="1">
        <v>0</v>
      </c>
      <c r="F273" s="1">
        <v>0</v>
      </c>
      <c r="G273" s="1">
        <v>6</v>
      </c>
      <c r="H273" s="4">
        <v>0.67</v>
      </c>
      <c r="I273" s="1">
        <v>3</v>
      </c>
      <c r="J273" s="4">
        <v>0.33</v>
      </c>
      <c r="K273" s="1">
        <v>0</v>
      </c>
      <c r="L273" s="1">
        <v>5</v>
      </c>
      <c r="M273" s="32">
        <f>IF(Mecze[[#This Row],[PR]]=0,0,Mecze[[#This Row],[PR]]/Mecze[[#This Row],[CZAS]])</f>
        <v>5.1020408163265307E-2</v>
      </c>
      <c r="N273" s="32">
        <f>IF(Mecze[[#This Row],[OU]]=0,0,Mecze[[#This Row],[OU]]/Mecze[[#This Row],[CZAS]])</f>
        <v>1.020408163265306E-2</v>
      </c>
      <c r="O273" s="32">
        <f>IF(Mecze[[#This Row],[PC]]=0,0,Mecze[[#This Row],[PC]]/Mecze[[#This Row],[CZAS]])</f>
        <v>4.0816326530612242E-2</v>
      </c>
      <c r="P273" s="32">
        <f>IF(Mecze[[#This Row],[SC]]=0,0,Mecze[[#This Row],[SC]]/Mecze[[#This Row],[CZAS]])</f>
        <v>0</v>
      </c>
      <c r="Q273" s="32">
        <f>IF(Mecze[[#This Row],[OB]]=0,0,Mecze[[#This Row],[OB]]/Mecze[[#This Row],[CZAS]])</f>
        <v>0</v>
      </c>
      <c r="R273" s="32">
        <f>IF(Mecze[[#This Row],[BR]]=0,0,Mecze[[#This Row],[BR]]/Mecze[[#This Row],[CZAS]])</f>
        <v>0</v>
      </c>
      <c r="S273" s="44">
        <f>IF(Mecze[[#This Row],[Role]]="BR",SUMPRODUCT(Mecze[[#This Row],[/PR:90]:[/BR:90]],Brudnopis!$E$23:$J$23),0)</f>
        <v>0</v>
      </c>
      <c r="T273" s="44">
        <f>IF(Mecze[[#This Row],[Role]]&lt;&gt;"BR",SUMPRODUCT(Mecze[[#This Row],[/PR:90]:[/BR:90]],Brudnopis!$E$24:$J$24),0)</f>
        <v>0.10714285714285715</v>
      </c>
      <c r="U273" s="44">
        <f>IF(Mecze[[#This Row],[Role]]&lt;&gt;"BR",SUMPRODUCT(Mecze[[#This Row],[/PR:90]:[/BR:90]],Brudnopis!$E$25:$J$25),0)</f>
        <v>0.12244897959183673</v>
      </c>
      <c r="V273" s="44">
        <f>IF(Mecze[[#This Row],[Role]]&lt;&gt;"BR",SUMPRODUCT(Mecze[[#This Row],[/PR:90]:[/BR:90]],Brudnopis!$E$26:$J$26),0)</f>
        <v>0.10204081632653061</v>
      </c>
      <c r="W273" s="44">
        <f>IF(Mecze[[#This Row],[Role]]&lt;&gt;"BR",SUMPRODUCT(Mecze[[#This Row],[/PR:90]:[/BR:90]],Brudnopis!$E$27:$J$27),0)</f>
        <v>0.10714285714285715</v>
      </c>
      <c r="X273" s="44">
        <f>IF(Mecze[[#This Row],[Role]]&lt;&gt;"BR",SUMPRODUCT(Mecze[[#This Row],[/PR:90]:[/BR:90]],Brudnopis!$E$28:$J$28),0)</f>
        <v>4.0816326530612242E-2</v>
      </c>
      <c r="Y273" s="35">
        <f>IF(Mecze[[#This Row],[Role]]="BR",Mecze[[#This Row],[/OB:90]]+Mecze[[#This Row],[/PC:90]],SUM(Mecze[[#This Row],[/PR:90]:[/BR:90]]))</f>
        <v>0.10204081632653061</v>
      </c>
      <c r="Z273" s="35">
        <f>IF(Mecze[[#This Row],[KC]]=0,SUM(Mecze[[#This Row],[/BRI]:[/NPI]]),SUM(Mecze[[#This Row],[/BRI]:[/NPI]])*0.6)</f>
        <v>0.47959183673469385</v>
      </c>
      <c r="AA273" s="10">
        <f>IFERROR(Mecze[[#This Row],[BR]]/Mecze[[#This Row],[ST]],0)</f>
        <v>0</v>
      </c>
      <c r="AB273">
        <f>ROUND(Mecze[[#This Row],[PD]]*Mecze[[#This Row],[%PC]],0)</f>
        <v>4</v>
      </c>
      <c r="AC273">
        <f>ROUND(Mecze[[#This Row],[OD]]*Mecze[[#This Row],[%OU]],0)</f>
        <v>1</v>
      </c>
      <c r="AD273" s="36" t="s">
        <v>172</v>
      </c>
      <c r="AE273" s="36">
        <v>16</v>
      </c>
      <c r="AF273" s="71">
        <v>9.3000000000000007</v>
      </c>
      <c r="AG273" s="37">
        <v>0</v>
      </c>
      <c r="AH273" s="37">
        <v>0</v>
      </c>
      <c r="AI273" s="37">
        <v>98</v>
      </c>
      <c r="AJ273" s="37">
        <v>8</v>
      </c>
      <c r="AK273" s="37" t="str">
        <f>VLOOKUP(Mecze[[#This Row],[Match ID]],Meczusie[Mecz]:Meczusie[RodzajMeczu],2,FALSE)</f>
        <v>Liga</v>
      </c>
    </row>
    <row r="274" spans="1:37" x14ac:dyDescent="0.25">
      <c r="A274" s="76">
        <v>15</v>
      </c>
      <c r="B274" s="3" t="s">
        <v>310</v>
      </c>
      <c r="C274" s="2" t="s">
        <v>160</v>
      </c>
      <c r="D274" s="1">
        <v>0</v>
      </c>
      <c r="E274" s="1">
        <v>0</v>
      </c>
      <c r="F274" s="1">
        <v>0</v>
      </c>
      <c r="G274" s="1">
        <v>8</v>
      </c>
      <c r="H274" s="4">
        <v>0.63</v>
      </c>
      <c r="I274" s="1">
        <v>3</v>
      </c>
      <c r="J274" s="4">
        <v>1</v>
      </c>
      <c r="K274" s="1">
        <v>0</v>
      </c>
      <c r="L274" s="1">
        <v>5</v>
      </c>
      <c r="M274" s="32">
        <f>IF(Mecze[[#This Row],[PR]]=0,0,Mecze[[#This Row],[PR]]/Mecze[[#This Row],[CZAS]])</f>
        <v>5.7471264367816091E-2</v>
      </c>
      <c r="N274" s="32">
        <f>IF(Mecze[[#This Row],[OU]]=0,0,Mecze[[#This Row],[OU]]/Mecze[[#This Row],[CZAS]])</f>
        <v>3.4482758620689655E-2</v>
      </c>
      <c r="O274" s="32">
        <f>IF(Mecze[[#This Row],[PC]]=0,0,Mecze[[#This Row],[PC]]/Mecze[[#This Row],[CZAS]])</f>
        <v>5.7471264367816091E-2</v>
      </c>
      <c r="P274" s="32">
        <f>IF(Mecze[[#This Row],[SC]]=0,0,Mecze[[#This Row],[SC]]/Mecze[[#This Row],[CZAS]])</f>
        <v>0</v>
      </c>
      <c r="Q274" s="32">
        <f>IF(Mecze[[#This Row],[OB]]=0,0,Mecze[[#This Row],[OB]]/Mecze[[#This Row],[CZAS]])</f>
        <v>0</v>
      </c>
      <c r="R274" s="32">
        <f>IF(Mecze[[#This Row],[BR]]=0,0,Mecze[[#This Row],[BR]]/Mecze[[#This Row],[CZAS]])</f>
        <v>0</v>
      </c>
      <c r="S274" s="44">
        <f>IF(Mecze[[#This Row],[Role]]="BR",SUMPRODUCT(Mecze[[#This Row],[/PR:90]:[/BR:90]],Brudnopis!$E$23:$J$23),0)</f>
        <v>0</v>
      </c>
      <c r="T274" s="44">
        <f>IF(Mecze[[#This Row],[Role]]&lt;&gt;"BR",SUMPRODUCT(Mecze[[#This Row],[/PR:90]:[/BR:90]],Brudnopis!$E$24:$J$24),0)</f>
        <v>0.16666666666666669</v>
      </c>
      <c r="U274" s="44">
        <f>IF(Mecze[[#This Row],[Role]]&lt;&gt;"BR",SUMPRODUCT(Mecze[[#This Row],[/PR:90]:[/BR:90]],Brudnopis!$E$25:$J$25),0)</f>
        <v>0.17816091954022989</v>
      </c>
      <c r="V274" s="44">
        <f>IF(Mecze[[#This Row],[Role]]&lt;&gt;"BR",SUMPRODUCT(Mecze[[#This Row],[/PR:90]:[/BR:90]],Brudnopis!$E$26:$J$26),0)</f>
        <v>0.14942528735632182</v>
      </c>
      <c r="W274" s="44">
        <f>IF(Mecze[[#This Row],[Role]]&lt;&gt;"BR",SUMPRODUCT(Mecze[[#This Row],[/PR:90]:[/BR:90]],Brudnopis!$E$27:$J$27),0)</f>
        <v>0.15517241379310345</v>
      </c>
      <c r="X274" s="44">
        <f>IF(Mecze[[#This Row],[Role]]&lt;&gt;"BR",SUMPRODUCT(Mecze[[#This Row],[/PR:90]:[/BR:90]],Brudnopis!$E$28:$J$28),0)</f>
        <v>5.7471264367816091E-2</v>
      </c>
      <c r="Y274" s="35">
        <f>IF(Mecze[[#This Row],[Role]]="BR",Mecze[[#This Row],[/OB:90]]+Mecze[[#This Row],[/PC:90]],SUM(Mecze[[#This Row],[/PR:90]:[/BR:90]]))</f>
        <v>0.14942528735632182</v>
      </c>
      <c r="Z274" s="35">
        <f>IF(Mecze[[#This Row],[KC]]=0,SUM(Mecze[[#This Row],[/BRI]:[/NPI]]),SUM(Mecze[[#This Row],[/BRI]:[/NPI]])*0.6)</f>
        <v>0.70689655172413801</v>
      </c>
      <c r="AA274" s="10">
        <f>IFERROR(Mecze[[#This Row],[BR]]/Mecze[[#This Row],[ST]],0)</f>
        <v>0</v>
      </c>
      <c r="AB274">
        <f>ROUND(Mecze[[#This Row],[PD]]*Mecze[[#This Row],[%PC]],0)</f>
        <v>5</v>
      </c>
      <c r="AC274">
        <f>ROUND(Mecze[[#This Row],[OD]]*Mecze[[#This Row],[%OU]],0)</f>
        <v>3</v>
      </c>
      <c r="AD274" s="36" t="s">
        <v>319</v>
      </c>
      <c r="AE274" s="36">
        <v>16</v>
      </c>
      <c r="AF274" s="71">
        <v>9.3000000000000007</v>
      </c>
      <c r="AG274" s="37">
        <v>0</v>
      </c>
      <c r="AH274" s="37">
        <v>0</v>
      </c>
      <c r="AI274" s="37">
        <v>87</v>
      </c>
      <c r="AJ274" s="37">
        <v>8</v>
      </c>
      <c r="AK274" s="37" t="str">
        <f>VLOOKUP(Mecze[[#This Row],[Match ID]],Meczusie[Mecz]:Meczusie[RodzajMeczu],2,FALSE)</f>
        <v>Liga</v>
      </c>
    </row>
    <row r="275" spans="1:37" x14ac:dyDescent="0.25">
      <c r="A275" s="76">
        <v>7</v>
      </c>
      <c r="B275" s="3" t="s">
        <v>311</v>
      </c>
      <c r="C275" s="2" t="s">
        <v>160</v>
      </c>
      <c r="D275" s="1">
        <v>0</v>
      </c>
      <c r="E275" s="1">
        <v>1</v>
      </c>
      <c r="F275" s="1">
        <v>0</v>
      </c>
      <c r="G275" s="1">
        <v>9</v>
      </c>
      <c r="H275" s="4">
        <v>0.89</v>
      </c>
      <c r="I275" s="1">
        <v>6</v>
      </c>
      <c r="J275" s="4">
        <v>0.33</v>
      </c>
      <c r="K275" s="1">
        <v>0</v>
      </c>
      <c r="L275" s="1">
        <v>8</v>
      </c>
      <c r="M275" s="32">
        <f>IF(Mecze[[#This Row],[PR]]=0,0,Mecze[[#This Row],[PR]]/Mecze[[#This Row],[CZAS]])</f>
        <v>8.1632653061224483E-2</v>
      </c>
      <c r="N275" s="32">
        <f>IF(Mecze[[#This Row],[OU]]=0,0,Mecze[[#This Row],[OU]]/Mecze[[#This Row],[CZAS]])</f>
        <v>2.0408163265306121E-2</v>
      </c>
      <c r="O275" s="32">
        <f>IF(Mecze[[#This Row],[PC]]=0,0,Mecze[[#This Row],[PC]]/Mecze[[#This Row],[CZAS]])</f>
        <v>8.1632653061224483E-2</v>
      </c>
      <c r="P275" s="32">
        <f>IF(Mecze[[#This Row],[SC]]=0,0,Mecze[[#This Row],[SC]]/Mecze[[#This Row],[CZAS]])</f>
        <v>0</v>
      </c>
      <c r="Q275" s="32">
        <f>IF(Mecze[[#This Row],[OB]]=0,0,Mecze[[#This Row],[OB]]/Mecze[[#This Row],[CZAS]])</f>
        <v>0</v>
      </c>
      <c r="R275" s="32">
        <f>IF(Mecze[[#This Row],[BR]]=0,0,Mecze[[#This Row],[BR]]/Mecze[[#This Row],[CZAS]])</f>
        <v>0</v>
      </c>
      <c r="S275" s="44">
        <f>IF(Mecze[[#This Row],[Role]]="BR",SUMPRODUCT(Mecze[[#This Row],[/PR:90]:[/BR:90]],Brudnopis!$E$23:$J$23),0)</f>
        <v>0</v>
      </c>
      <c r="T275" s="44">
        <f>IF(Mecze[[#This Row],[Role]]&lt;&gt;"BR",SUMPRODUCT(Mecze[[#This Row],[/PR:90]:[/BR:90]],Brudnopis!$E$24:$J$24),0)</f>
        <v>0.19387755102040816</v>
      </c>
      <c r="U275" s="44">
        <f>IF(Mecze[[#This Row],[Role]]&lt;&gt;"BR",SUMPRODUCT(Mecze[[#This Row],[/PR:90]:[/BR:90]],Brudnopis!$E$25:$J$25),0)</f>
        <v>0.22448979591836732</v>
      </c>
      <c r="V275" s="44">
        <f>IF(Mecze[[#This Row],[Role]]&lt;&gt;"BR",SUMPRODUCT(Mecze[[#This Row],[/PR:90]:[/BR:90]],Brudnopis!$E$26:$J$26),0)</f>
        <v>0.18367346938775508</v>
      </c>
      <c r="W275" s="44">
        <f>IF(Mecze[[#This Row],[Role]]&lt;&gt;"BR",SUMPRODUCT(Mecze[[#This Row],[/PR:90]:[/BR:90]],Brudnopis!$E$27:$J$27),0)</f>
        <v>0.19897959183673469</v>
      </c>
      <c r="X275" s="44">
        <f>IF(Mecze[[#This Row],[Role]]&lt;&gt;"BR",SUMPRODUCT(Mecze[[#This Row],[/PR:90]:[/BR:90]],Brudnopis!$E$28:$J$28),0)</f>
        <v>8.1632653061224483E-2</v>
      </c>
      <c r="Y275" s="35">
        <f>IF(Mecze[[#This Row],[Role]]="BR",Mecze[[#This Row],[/OB:90]]+Mecze[[#This Row],[/PC:90]],SUM(Mecze[[#This Row],[/PR:90]:[/BR:90]]))</f>
        <v>0.18367346938775508</v>
      </c>
      <c r="Z275" s="35">
        <f>IF(Mecze[[#This Row],[KC]]=0,SUM(Mecze[[#This Row],[/BRI]:[/NPI]]),SUM(Mecze[[#This Row],[/BRI]:[/NPI]])*0.6)</f>
        <v>0.88265306122448972</v>
      </c>
      <c r="AA275" s="10">
        <f>IFERROR(Mecze[[#This Row],[BR]]/Mecze[[#This Row],[ST]],0)</f>
        <v>0</v>
      </c>
      <c r="AB275">
        <f>ROUND(Mecze[[#This Row],[PD]]*Mecze[[#This Row],[%PC]],0)</f>
        <v>8</v>
      </c>
      <c r="AC275">
        <f>ROUND(Mecze[[#This Row],[OD]]*Mecze[[#This Row],[%OU]],0)</f>
        <v>2</v>
      </c>
      <c r="AD275" s="36" t="s">
        <v>44</v>
      </c>
      <c r="AE275" s="36">
        <v>16</v>
      </c>
      <c r="AF275" s="71">
        <v>10.84</v>
      </c>
      <c r="AG275" s="37">
        <v>0</v>
      </c>
      <c r="AH275" s="37">
        <v>0</v>
      </c>
      <c r="AI275" s="37">
        <v>98</v>
      </c>
      <c r="AJ275" s="37">
        <v>8</v>
      </c>
      <c r="AK275" s="37" t="str">
        <f>VLOOKUP(Mecze[[#This Row],[Match ID]],Meczusie[Mecz]:Meczusie[RodzajMeczu],2,FALSE)</f>
        <v>Liga</v>
      </c>
    </row>
    <row r="276" spans="1:37" x14ac:dyDescent="0.25">
      <c r="A276" s="76">
        <v>14</v>
      </c>
      <c r="B276" s="3" t="s">
        <v>312</v>
      </c>
      <c r="C276" s="2" t="s">
        <v>165</v>
      </c>
      <c r="D276" s="1">
        <v>2</v>
      </c>
      <c r="E276" s="1">
        <v>4</v>
      </c>
      <c r="F276" s="1">
        <v>4</v>
      </c>
      <c r="G276" s="1">
        <v>9</v>
      </c>
      <c r="H276" s="4">
        <v>0.89</v>
      </c>
      <c r="I276" s="1">
        <v>2</v>
      </c>
      <c r="J276" s="4">
        <v>1</v>
      </c>
      <c r="K276" s="1">
        <v>0</v>
      </c>
      <c r="L276" s="1">
        <v>3</v>
      </c>
      <c r="M276" s="32">
        <f>IF(Mecze[[#This Row],[PR]]=0,0,Mecze[[#This Row],[PR]]/Mecze[[#This Row],[CZAS]])</f>
        <v>3.0612244897959183E-2</v>
      </c>
      <c r="N276" s="32">
        <f>IF(Mecze[[#This Row],[OU]]=0,0,Mecze[[#This Row],[OU]]/Mecze[[#This Row],[CZAS]])</f>
        <v>2.0408163265306121E-2</v>
      </c>
      <c r="O276" s="32">
        <f>IF(Mecze[[#This Row],[PC]]=0,0,Mecze[[#This Row],[PC]]/Mecze[[#This Row],[CZAS]])</f>
        <v>8.1632653061224483E-2</v>
      </c>
      <c r="P276" s="32">
        <f>IF(Mecze[[#This Row],[SC]]=0,0,Mecze[[#This Row],[SC]]/Mecze[[#This Row],[CZAS]])</f>
        <v>4.0816326530612242E-2</v>
      </c>
      <c r="Q276" s="32">
        <f>IF(Mecze[[#This Row],[OB]]=0,0,Mecze[[#This Row],[OB]]/Mecze[[#This Row],[CZAS]])</f>
        <v>0</v>
      </c>
      <c r="R276" s="32">
        <f>IF(Mecze[[#This Row],[BR]]=0,0,Mecze[[#This Row],[BR]]/Mecze[[#This Row],[CZAS]])</f>
        <v>2.0408163265306121E-2</v>
      </c>
      <c r="S276" s="44">
        <f>IF(Mecze[[#This Row],[Role]]="BR",SUMPRODUCT(Mecze[[#This Row],[/PR:90]:[/BR:90]],Brudnopis!$E$23:$J$23),0)</f>
        <v>0</v>
      </c>
      <c r="T276" s="44">
        <f>IF(Mecze[[#This Row],[Role]]&lt;&gt;"BR",SUMPRODUCT(Mecze[[#This Row],[/PR:90]:[/BR:90]],Brudnopis!$E$24:$J$24),0)</f>
        <v>0.21428571428571427</v>
      </c>
      <c r="U276" s="44">
        <f>IF(Mecze[[#This Row],[Role]]&lt;&gt;"BR",SUMPRODUCT(Mecze[[#This Row],[/PR:90]:[/BR:90]],Brudnopis!$E$25:$J$25),0)</f>
        <v>0.24489795918367346</v>
      </c>
      <c r="V276" s="44">
        <f>IF(Mecze[[#This Row],[Role]]&lt;&gt;"BR",SUMPRODUCT(Mecze[[#This Row],[/PR:90]:[/BR:90]],Brudnopis!$E$26:$J$26),0)</f>
        <v>0.21428571428571425</v>
      </c>
      <c r="W276" s="44">
        <f>IF(Mecze[[#This Row],[Role]]&lt;&gt;"BR",SUMPRODUCT(Mecze[[#This Row],[/PR:90]:[/BR:90]],Brudnopis!$E$27:$J$27),0)</f>
        <v>0.24234693877551017</v>
      </c>
      <c r="X276" s="44">
        <f>IF(Mecze[[#This Row],[Role]]&lt;&gt;"BR",SUMPRODUCT(Mecze[[#This Row],[/PR:90]:[/BR:90]],Brudnopis!$E$28:$J$28),0)</f>
        <v>0.22448979591836732</v>
      </c>
      <c r="Y276" s="35">
        <f>IF(Mecze[[#This Row],[Role]]="BR",Mecze[[#This Row],[/OB:90]]+Mecze[[#This Row],[/PC:90]],SUM(Mecze[[#This Row],[/PR:90]:[/BR:90]]))</f>
        <v>0.19387755102040813</v>
      </c>
      <c r="Z276" s="35">
        <f>IF(Mecze[[#This Row],[KC]]=0,SUM(Mecze[[#This Row],[/BRI]:[/NPI]]),SUM(Mecze[[#This Row],[/BRI]:[/NPI]])*0.6)</f>
        <v>1.1403061224489794</v>
      </c>
      <c r="AA276" s="10">
        <f>IFERROR(Mecze[[#This Row],[BR]]/Mecze[[#This Row],[ST]],0)</f>
        <v>0.5</v>
      </c>
      <c r="AB276">
        <f>ROUND(Mecze[[#This Row],[PD]]*Mecze[[#This Row],[%PC]],0)</f>
        <v>8</v>
      </c>
      <c r="AC276">
        <f>ROUND(Mecze[[#This Row],[OD]]*Mecze[[#This Row],[%OU]],0)</f>
        <v>2</v>
      </c>
      <c r="AD276" s="36" t="s">
        <v>273</v>
      </c>
      <c r="AE276" s="36">
        <v>16</v>
      </c>
      <c r="AF276" s="71">
        <v>11.66</v>
      </c>
      <c r="AG276" s="37">
        <v>0</v>
      </c>
      <c r="AH276" s="37">
        <v>0</v>
      </c>
      <c r="AI276" s="37">
        <v>98</v>
      </c>
      <c r="AJ276" s="37">
        <v>8</v>
      </c>
      <c r="AK276" s="37" t="str">
        <f>VLOOKUP(Mecze[[#This Row],[Match ID]],Meczusie[Mecz]:Meczusie[RodzajMeczu],2,FALSE)</f>
        <v>Liga</v>
      </c>
    </row>
    <row r="277" spans="1:37" x14ac:dyDescent="0.25">
      <c r="A277" s="76">
        <v>13</v>
      </c>
      <c r="B277" s="3" t="s">
        <v>313</v>
      </c>
      <c r="C277" s="2" t="s">
        <v>165</v>
      </c>
      <c r="D277" s="1">
        <v>0</v>
      </c>
      <c r="E277" s="1">
        <v>1</v>
      </c>
      <c r="F277" s="1">
        <v>1</v>
      </c>
      <c r="G277" s="1">
        <v>9</v>
      </c>
      <c r="H277" s="4">
        <v>0.67</v>
      </c>
      <c r="I277" s="1">
        <v>0</v>
      </c>
      <c r="J277" s="4"/>
      <c r="K277" s="1">
        <v>0</v>
      </c>
      <c r="L277" s="1">
        <v>0</v>
      </c>
      <c r="M277" s="32">
        <f>IF(Mecze[[#This Row],[PR]]=0,0,Mecze[[#This Row],[PR]]/Mecze[[#This Row],[CZAS]])</f>
        <v>0</v>
      </c>
      <c r="N277" s="32">
        <f>IF(Mecze[[#This Row],[OU]]=0,0,Mecze[[#This Row],[OU]]/Mecze[[#This Row],[CZAS]])</f>
        <v>0</v>
      </c>
      <c r="O277" s="32">
        <f>IF(Mecze[[#This Row],[PC]]=0,0,Mecze[[#This Row],[PC]]/Mecze[[#This Row],[CZAS]])</f>
        <v>7.8947368421052627E-2</v>
      </c>
      <c r="P277" s="32">
        <f>IF(Mecze[[#This Row],[SC]]=0,0,Mecze[[#This Row],[SC]]/Mecze[[#This Row],[CZAS]])</f>
        <v>1.3157894736842105E-2</v>
      </c>
      <c r="Q277" s="32">
        <f>IF(Mecze[[#This Row],[OB]]=0,0,Mecze[[#This Row],[OB]]/Mecze[[#This Row],[CZAS]])</f>
        <v>0</v>
      </c>
      <c r="R277" s="32">
        <f>IF(Mecze[[#This Row],[BR]]=0,0,Mecze[[#This Row],[BR]]/Mecze[[#This Row],[CZAS]])</f>
        <v>0</v>
      </c>
      <c r="S277" s="44">
        <f>IF(Mecze[[#This Row],[Role]]="BR",SUMPRODUCT(Mecze[[#This Row],[/PR:90]:[/BR:90]],Brudnopis!$E$23:$J$23),0)</f>
        <v>0</v>
      </c>
      <c r="T277" s="44">
        <f>IF(Mecze[[#This Row],[Role]]&lt;&gt;"BR",SUMPRODUCT(Mecze[[#This Row],[/PR:90]:[/BR:90]],Brudnopis!$E$24:$J$24),0)</f>
        <v>9.2105263157894732E-2</v>
      </c>
      <c r="U277" s="44">
        <f>IF(Mecze[[#This Row],[Role]]&lt;&gt;"BR",SUMPRODUCT(Mecze[[#This Row],[/PR:90]:[/BR:90]],Brudnopis!$E$25:$J$25),0)</f>
        <v>0.13157894736842105</v>
      </c>
      <c r="V277" s="44">
        <f>IF(Mecze[[#This Row],[Role]]&lt;&gt;"BR",SUMPRODUCT(Mecze[[#This Row],[/PR:90]:[/BR:90]],Brudnopis!$E$26:$J$26),0)</f>
        <v>9.2105263157894732E-2</v>
      </c>
      <c r="W277" s="44">
        <f>IF(Mecze[[#This Row],[Role]]&lt;&gt;"BR",SUMPRODUCT(Mecze[[#This Row],[/PR:90]:[/BR:90]],Brudnopis!$E$27:$J$27),0)</f>
        <v>0.13157894736842105</v>
      </c>
      <c r="X277" s="44">
        <f>IF(Mecze[[#This Row],[Role]]&lt;&gt;"BR",SUMPRODUCT(Mecze[[#This Row],[/PR:90]:[/BR:90]],Brudnopis!$E$28:$J$28),0)</f>
        <v>0.10526315789473684</v>
      </c>
      <c r="Y277" s="35">
        <f>IF(Mecze[[#This Row],[Role]]="BR",Mecze[[#This Row],[/OB:90]]+Mecze[[#This Row],[/PC:90]],SUM(Mecze[[#This Row],[/PR:90]:[/BR:90]]))</f>
        <v>9.2105263157894732E-2</v>
      </c>
      <c r="Z277" s="35">
        <f>IF(Mecze[[#This Row],[KC]]=0,SUM(Mecze[[#This Row],[/BRI]:[/NPI]]),SUM(Mecze[[#This Row],[/BRI]:[/NPI]])*0.6)</f>
        <v>0.55263157894736836</v>
      </c>
      <c r="AA277" s="10">
        <f>IFERROR(Mecze[[#This Row],[BR]]/Mecze[[#This Row],[ST]],0)</f>
        <v>0</v>
      </c>
      <c r="AB277">
        <f>ROUND(Mecze[[#This Row],[PD]]*Mecze[[#This Row],[%PC]],0)</f>
        <v>6</v>
      </c>
      <c r="AC277">
        <f>ROUND(Mecze[[#This Row],[OD]]*Mecze[[#This Row],[%OU]],0)</f>
        <v>0</v>
      </c>
      <c r="AD277" s="36" t="s">
        <v>272</v>
      </c>
      <c r="AE277" s="36">
        <v>16</v>
      </c>
      <c r="AF277" s="71">
        <v>5.48</v>
      </c>
      <c r="AG277" s="37">
        <v>0</v>
      </c>
      <c r="AH277" s="37">
        <v>0</v>
      </c>
      <c r="AI277" s="37">
        <v>76</v>
      </c>
      <c r="AJ277" s="37">
        <v>8</v>
      </c>
      <c r="AK277" s="37" t="str">
        <f>VLOOKUP(Mecze[[#This Row],[Match ID]],Meczusie[Mecz]:Meczusie[RodzajMeczu],2,FALSE)</f>
        <v>Liga</v>
      </c>
    </row>
    <row r="278" spans="1:37" x14ac:dyDescent="0.25">
      <c r="A278" s="76">
        <v>8</v>
      </c>
      <c r="B278" s="3" t="s">
        <v>314</v>
      </c>
      <c r="C278" s="2" t="s">
        <v>165</v>
      </c>
      <c r="D278" s="1">
        <v>11</v>
      </c>
      <c r="E278" s="1">
        <v>23</v>
      </c>
      <c r="F278" s="1">
        <v>22</v>
      </c>
      <c r="G278" s="1">
        <v>5</v>
      </c>
      <c r="H278" s="4">
        <v>1</v>
      </c>
      <c r="I278" s="1">
        <v>1</v>
      </c>
      <c r="J278" s="4">
        <v>0</v>
      </c>
      <c r="K278" s="1">
        <v>0</v>
      </c>
      <c r="L278" s="1">
        <v>0</v>
      </c>
      <c r="M278" s="32">
        <f>IF(Mecze[[#This Row],[PR]]=0,0,Mecze[[#This Row],[PR]]/Mecze[[#This Row],[CZAS]])</f>
        <v>0</v>
      </c>
      <c r="N278" s="32">
        <f>IF(Mecze[[#This Row],[OU]]=0,0,Mecze[[#This Row],[OU]]/Mecze[[#This Row],[CZAS]])</f>
        <v>0</v>
      </c>
      <c r="O278" s="32">
        <f>IF(Mecze[[#This Row],[PC]]=0,0,Mecze[[#This Row],[PC]]/Mecze[[#This Row],[CZAS]])</f>
        <v>5.1020408163265307E-2</v>
      </c>
      <c r="P278" s="32">
        <f>IF(Mecze[[#This Row],[SC]]=0,0,Mecze[[#This Row],[SC]]/Mecze[[#This Row],[CZAS]])</f>
        <v>0.22448979591836735</v>
      </c>
      <c r="Q278" s="32">
        <f>IF(Mecze[[#This Row],[OB]]=0,0,Mecze[[#This Row],[OB]]/Mecze[[#This Row],[CZAS]])</f>
        <v>0</v>
      </c>
      <c r="R278" s="32">
        <f>IF(Mecze[[#This Row],[BR]]=0,0,Mecze[[#This Row],[BR]]/Mecze[[#This Row],[CZAS]])</f>
        <v>0.11224489795918367</v>
      </c>
      <c r="S278" s="44">
        <f>IF(Mecze[[#This Row],[Role]]="BR",SUMPRODUCT(Mecze[[#This Row],[/PR:90]:[/BR:90]],Brudnopis!$E$23:$J$23),0)</f>
        <v>0</v>
      </c>
      <c r="T278" s="44">
        <f>IF(Mecze[[#This Row],[Role]]&lt;&gt;"BR",SUMPRODUCT(Mecze[[#This Row],[/PR:90]:[/BR:90]],Brudnopis!$E$24:$J$24),0)</f>
        <v>0.44387755102040816</v>
      </c>
      <c r="U278" s="44">
        <f>IF(Mecze[[#This Row],[Role]]&lt;&gt;"BR",SUMPRODUCT(Mecze[[#This Row],[/PR:90]:[/BR:90]],Brudnopis!$E$25:$J$25),0)</f>
        <v>0.46938775510204078</v>
      </c>
      <c r="V278" s="44">
        <f>IF(Mecze[[#This Row],[Role]]&lt;&gt;"BR",SUMPRODUCT(Mecze[[#This Row],[/PR:90]:[/BR:90]],Brudnopis!$E$26:$J$26),0)</f>
        <v>0.5</v>
      </c>
      <c r="W278" s="44">
        <f>IF(Mecze[[#This Row],[Role]]&lt;&gt;"BR",SUMPRODUCT(Mecze[[#This Row],[/PR:90]:[/BR:90]],Brudnopis!$E$27:$J$27),0)</f>
        <v>0.52551020408163263</v>
      </c>
      <c r="X278" s="44">
        <f>IF(Mecze[[#This Row],[Role]]&lt;&gt;"BR",SUMPRODUCT(Mecze[[#This Row],[/PR:90]:[/BR:90]],Brudnopis!$E$28:$J$28),0)</f>
        <v>0.83673469387755106</v>
      </c>
      <c r="Y278" s="35">
        <f>IF(Mecze[[#This Row],[Role]]="BR",Mecze[[#This Row],[/OB:90]]+Mecze[[#This Row],[/PC:90]],SUM(Mecze[[#This Row],[/PR:90]:[/BR:90]]))</f>
        <v>0.38775510204081631</v>
      </c>
      <c r="Z278" s="35">
        <f>IF(Mecze[[#This Row],[KC]]=0,SUM(Mecze[[#This Row],[/BRI]:[/NPI]]),SUM(Mecze[[#This Row],[/BRI]:[/NPI]])*0.6)</f>
        <v>2.7755102040816326</v>
      </c>
      <c r="AA278" s="10">
        <f>IFERROR(Mecze[[#This Row],[BR]]/Mecze[[#This Row],[ST]],0)</f>
        <v>0.47826086956521741</v>
      </c>
      <c r="AB278">
        <f>ROUND(Mecze[[#This Row],[PD]]*Mecze[[#This Row],[%PC]],0)</f>
        <v>5</v>
      </c>
      <c r="AC278">
        <f>ROUND(Mecze[[#This Row],[OD]]*Mecze[[#This Row],[%OU]],0)</f>
        <v>0</v>
      </c>
      <c r="AD278" s="36" t="s">
        <v>46</v>
      </c>
      <c r="AE278" s="36">
        <v>16</v>
      </c>
      <c r="AF278" s="71">
        <v>37.21</v>
      </c>
      <c r="AG278" s="37">
        <v>0</v>
      </c>
      <c r="AH278" s="37">
        <v>0</v>
      </c>
      <c r="AI278" s="37">
        <v>98</v>
      </c>
      <c r="AJ278" s="37">
        <v>8</v>
      </c>
      <c r="AK278" s="37" t="str">
        <f>VLOOKUP(Mecze[[#This Row],[Match ID]],Meczusie[Mecz]:Meczusie[RodzajMeczu],2,FALSE)</f>
        <v>Liga</v>
      </c>
    </row>
    <row r="279" spans="1:37" x14ac:dyDescent="0.25">
      <c r="A279" s="76">
        <v>17</v>
      </c>
      <c r="B279" s="3" t="s">
        <v>317</v>
      </c>
      <c r="C279" s="2" t="s">
        <v>165</v>
      </c>
      <c r="D279" s="1">
        <v>0</v>
      </c>
      <c r="E279" s="1">
        <v>0</v>
      </c>
      <c r="F279" s="1">
        <v>0</v>
      </c>
      <c r="G279" s="1">
        <v>2</v>
      </c>
      <c r="H279" s="4">
        <v>1</v>
      </c>
      <c r="I279" s="1">
        <v>0</v>
      </c>
      <c r="J279" s="4"/>
      <c r="K279" s="1">
        <v>0</v>
      </c>
      <c r="L279" s="1">
        <v>0</v>
      </c>
      <c r="M279" s="32">
        <f>IF(Mecze[[#This Row],[PR]]=0,0,Mecze[[#This Row],[PR]]/Mecze[[#This Row],[CZAS]])</f>
        <v>0</v>
      </c>
      <c r="N279" s="32">
        <f>IF(Mecze[[#This Row],[OU]]=0,0,Mecze[[#This Row],[OU]]/Mecze[[#This Row],[CZAS]])</f>
        <v>0</v>
      </c>
      <c r="O279" s="32">
        <f>IF(Mecze[[#This Row],[PC]]=0,0,Mecze[[#This Row],[PC]]/Mecze[[#This Row],[CZAS]])</f>
        <v>9.0909090909090912E-2</v>
      </c>
      <c r="P279" s="32">
        <f>IF(Mecze[[#This Row],[SC]]=0,0,Mecze[[#This Row],[SC]]/Mecze[[#This Row],[CZAS]])</f>
        <v>0</v>
      </c>
      <c r="Q279" s="32">
        <f>IF(Mecze[[#This Row],[OB]]=0,0,Mecze[[#This Row],[OB]]/Mecze[[#This Row],[CZAS]])</f>
        <v>0</v>
      </c>
      <c r="R279" s="32">
        <f>IF(Mecze[[#This Row],[BR]]=0,0,Mecze[[#This Row],[BR]]/Mecze[[#This Row],[CZAS]])</f>
        <v>0</v>
      </c>
      <c r="S279" s="44">
        <f>IF(Mecze[[#This Row],[Role]]="BR",SUMPRODUCT(Mecze[[#This Row],[/PR:90]:[/BR:90]],Brudnopis!$E$23:$J$23),0)</f>
        <v>0</v>
      </c>
      <c r="T279" s="44">
        <f>IF(Mecze[[#This Row],[Role]]&lt;&gt;"BR",SUMPRODUCT(Mecze[[#This Row],[/PR:90]:[/BR:90]],Brudnopis!$E$24:$J$24),0)</f>
        <v>9.0909090909090912E-2</v>
      </c>
      <c r="U279" s="44">
        <f>IF(Mecze[[#This Row],[Role]]&lt;&gt;"BR",SUMPRODUCT(Mecze[[#This Row],[/PR:90]:[/BR:90]],Brudnopis!$E$25:$J$25),0)</f>
        <v>0.13636363636363635</v>
      </c>
      <c r="V279" s="44">
        <f>IF(Mecze[[#This Row],[Role]]&lt;&gt;"BR",SUMPRODUCT(Mecze[[#This Row],[/PR:90]:[/BR:90]],Brudnopis!$E$26:$J$26),0)</f>
        <v>9.0909090909090912E-2</v>
      </c>
      <c r="W279" s="44">
        <f>IF(Mecze[[#This Row],[Role]]&lt;&gt;"BR",SUMPRODUCT(Mecze[[#This Row],[/PR:90]:[/BR:90]],Brudnopis!$E$27:$J$27),0)</f>
        <v>0.13636363636363635</v>
      </c>
      <c r="X279" s="44">
        <f>IF(Mecze[[#This Row],[Role]]&lt;&gt;"BR",SUMPRODUCT(Mecze[[#This Row],[/PR:90]:[/BR:90]],Brudnopis!$E$28:$J$28),0)</f>
        <v>9.0909090909090912E-2</v>
      </c>
      <c r="Y279" s="35">
        <f>IF(Mecze[[#This Row],[Role]]="BR",Mecze[[#This Row],[/OB:90]]+Mecze[[#This Row],[/PC:90]],SUM(Mecze[[#This Row],[/PR:90]:[/BR:90]]))</f>
        <v>9.0909090909090912E-2</v>
      </c>
      <c r="Z279" s="35">
        <f>IF(Mecze[[#This Row],[KC]]=0,SUM(Mecze[[#This Row],[/BRI]:[/NPI]]),SUM(Mecze[[#This Row],[/BRI]:[/NPI]])*0.6)</f>
        <v>0.54545454545454541</v>
      </c>
      <c r="AA279" s="10">
        <f>IFERROR(Mecze[[#This Row],[BR]]/Mecze[[#This Row],[ST]],0)</f>
        <v>0</v>
      </c>
      <c r="AB279">
        <f>ROUND(Mecze[[#This Row],[PD]]*Mecze[[#This Row],[%PC]],0)</f>
        <v>2</v>
      </c>
      <c r="AC279">
        <f>ROUND(Mecze[[#This Row],[OD]]*Mecze[[#This Row],[%OU]],0)</f>
        <v>0</v>
      </c>
      <c r="AD279" s="36" t="s">
        <v>272</v>
      </c>
      <c r="AE279" s="36">
        <v>16</v>
      </c>
      <c r="AF279" s="71">
        <v>1.72</v>
      </c>
      <c r="AG279" s="37">
        <v>0</v>
      </c>
      <c r="AH279" s="37">
        <v>0</v>
      </c>
      <c r="AI279" s="37">
        <v>22</v>
      </c>
      <c r="AJ279" s="37">
        <v>8</v>
      </c>
      <c r="AK279" s="37" t="str">
        <f>VLOOKUP(Mecze[[#This Row],[Match ID]],Meczusie[Mecz]:Meczusie[RodzajMeczu],2,FALSE)</f>
        <v>Liga</v>
      </c>
    </row>
    <row r="280" spans="1:37" x14ac:dyDescent="0.25">
      <c r="A280" s="76">
        <v>12</v>
      </c>
      <c r="B280" s="3" t="s">
        <v>315</v>
      </c>
      <c r="C280" s="2" t="s">
        <v>160</v>
      </c>
      <c r="D280" s="1">
        <v>0</v>
      </c>
      <c r="E280" s="1">
        <v>0</v>
      </c>
      <c r="F280" s="1">
        <v>0</v>
      </c>
      <c r="G280" s="1">
        <v>1</v>
      </c>
      <c r="H280" s="4">
        <v>0</v>
      </c>
      <c r="I280" s="1">
        <v>0</v>
      </c>
      <c r="J280" s="4"/>
      <c r="K280" s="1">
        <v>0</v>
      </c>
      <c r="L280" s="1">
        <v>2</v>
      </c>
      <c r="M280" s="32">
        <f>IF(Mecze[[#This Row],[PR]]=0,0,Mecze[[#This Row],[PR]]/Mecze[[#This Row],[CZAS]])</f>
        <v>0.18181818181818182</v>
      </c>
      <c r="N280" s="32">
        <f>IF(Mecze[[#This Row],[OU]]=0,0,Mecze[[#This Row],[OU]]/Mecze[[#This Row],[CZAS]])</f>
        <v>0</v>
      </c>
      <c r="O280" s="32">
        <f>IF(Mecze[[#This Row],[PC]]=0,0,Mecze[[#This Row],[PC]]/Mecze[[#This Row],[CZAS]])</f>
        <v>0</v>
      </c>
      <c r="P280" s="32">
        <f>IF(Mecze[[#This Row],[SC]]=0,0,Mecze[[#This Row],[SC]]/Mecze[[#This Row],[CZAS]])</f>
        <v>0</v>
      </c>
      <c r="Q280" s="32">
        <f>IF(Mecze[[#This Row],[OB]]=0,0,Mecze[[#This Row],[OB]]/Mecze[[#This Row],[CZAS]])</f>
        <v>0</v>
      </c>
      <c r="R280" s="32">
        <f>IF(Mecze[[#This Row],[BR]]=0,0,Mecze[[#This Row],[BR]]/Mecze[[#This Row],[CZAS]])</f>
        <v>0</v>
      </c>
      <c r="S280" s="44">
        <f>IF(Mecze[[#This Row],[Role]]="BR",SUMPRODUCT(Mecze[[#This Row],[/PR:90]:[/BR:90]],Brudnopis!$E$23:$J$23),0)</f>
        <v>0</v>
      </c>
      <c r="T280" s="44">
        <f>IF(Mecze[[#This Row],[Role]]&lt;&gt;"BR",SUMPRODUCT(Mecze[[#This Row],[/PR:90]:[/BR:90]],Brudnopis!$E$24:$J$24),0)</f>
        <v>0.18181818181818182</v>
      </c>
      <c r="U280" s="44">
        <f>IF(Mecze[[#This Row],[Role]]&lt;&gt;"BR",SUMPRODUCT(Mecze[[#This Row],[/PR:90]:[/BR:90]],Brudnopis!$E$25:$J$25),0)</f>
        <v>0.18181818181818182</v>
      </c>
      <c r="V280" s="44">
        <f>IF(Mecze[[#This Row],[Role]]&lt;&gt;"BR",SUMPRODUCT(Mecze[[#This Row],[/PR:90]:[/BR:90]],Brudnopis!$E$26:$J$26),0)</f>
        <v>0.18181818181818182</v>
      </c>
      <c r="W280" s="44">
        <f>IF(Mecze[[#This Row],[Role]]&lt;&gt;"BR",SUMPRODUCT(Mecze[[#This Row],[/PR:90]:[/BR:90]],Brudnopis!$E$27:$J$27),0)</f>
        <v>0.13636363636363635</v>
      </c>
      <c r="X280" s="44">
        <f>IF(Mecze[[#This Row],[Role]]&lt;&gt;"BR",SUMPRODUCT(Mecze[[#This Row],[/PR:90]:[/BR:90]],Brudnopis!$E$28:$J$28),0)</f>
        <v>0</v>
      </c>
      <c r="Y280" s="35">
        <f>IF(Mecze[[#This Row],[Role]]="BR",Mecze[[#This Row],[/OB:90]]+Mecze[[#This Row],[/PC:90]],SUM(Mecze[[#This Row],[/PR:90]:[/BR:90]]))</f>
        <v>0.18181818181818182</v>
      </c>
      <c r="Z280" s="35">
        <f>IF(Mecze[[#This Row],[KC]]=0,SUM(Mecze[[#This Row],[/BRI]:[/NPI]]),SUM(Mecze[[#This Row],[/BRI]:[/NPI]])*0.6)</f>
        <v>0.68181818181818177</v>
      </c>
      <c r="AA280" s="10">
        <f>IFERROR(Mecze[[#This Row],[BR]]/Mecze[[#This Row],[ST]],0)</f>
        <v>0</v>
      </c>
      <c r="AB280">
        <f>ROUND(Mecze[[#This Row],[PD]]*Mecze[[#This Row],[%PC]],0)</f>
        <v>0</v>
      </c>
      <c r="AC280">
        <f>ROUND(Mecze[[#This Row],[OD]]*Mecze[[#This Row],[%OU]],0)</f>
        <v>0</v>
      </c>
      <c r="AD280" s="36" t="s">
        <v>319</v>
      </c>
      <c r="AE280" s="36">
        <v>16</v>
      </c>
      <c r="AF280" s="71">
        <v>5.26</v>
      </c>
      <c r="AG280" s="37">
        <v>0</v>
      </c>
      <c r="AH280" s="37">
        <v>0</v>
      </c>
      <c r="AI280" s="37">
        <v>11</v>
      </c>
      <c r="AJ280" s="37">
        <v>8</v>
      </c>
      <c r="AK280" s="37" t="str">
        <f>VLOOKUP(Mecze[[#This Row],[Match ID]],Meczusie[Mecz]:Meczusie[RodzajMeczu],2,FALSE)</f>
        <v>Liga</v>
      </c>
    </row>
    <row r="281" spans="1:37" x14ac:dyDescent="0.25">
      <c r="A281" s="76">
        <v>4</v>
      </c>
      <c r="B281" s="3" t="s">
        <v>316</v>
      </c>
      <c r="C281" s="2" t="s">
        <v>157</v>
      </c>
      <c r="D281" s="1">
        <v>0</v>
      </c>
      <c r="E281" s="1">
        <v>0</v>
      </c>
      <c r="F281" s="1">
        <v>0</v>
      </c>
      <c r="G281" s="1">
        <v>1</v>
      </c>
      <c r="H281" s="4">
        <v>1</v>
      </c>
      <c r="I281" s="1">
        <v>0</v>
      </c>
      <c r="J281" s="4"/>
      <c r="K281" s="1">
        <v>0</v>
      </c>
      <c r="L281" s="1">
        <v>1</v>
      </c>
      <c r="M281" s="32">
        <f>IF(Mecze[[#This Row],[PR]]=0,0,Mecze[[#This Row],[PR]]/Mecze[[#This Row],[CZAS]])</f>
        <v>4.5454545454545456E-2</v>
      </c>
      <c r="N281" s="32">
        <f>IF(Mecze[[#This Row],[OU]]=0,0,Mecze[[#This Row],[OU]]/Mecze[[#This Row],[CZAS]])</f>
        <v>0</v>
      </c>
      <c r="O281" s="32">
        <f>IF(Mecze[[#This Row],[PC]]=0,0,Mecze[[#This Row],[PC]]/Mecze[[#This Row],[CZAS]])</f>
        <v>4.5454545454545456E-2</v>
      </c>
      <c r="P281" s="32">
        <f>IF(Mecze[[#This Row],[SC]]=0,0,Mecze[[#This Row],[SC]]/Mecze[[#This Row],[CZAS]])</f>
        <v>0</v>
      </c>
      <c r="Q281" s="32">
        <f>IF(Mecze[[#This Row],[OB]]=0,0,Mecze[[#This Row],[OB]]/Mecze[[#This Row],[CZAS]])</f>
        <v>0</v>
      </c>
      <c r="R281" s="32">
        <f>IF(Mecze[[#This Row],[BR]]=0,0,Mecze[[#This Row],[BR]]/Mecze[[#This Row],[CZAS]])</f>
        <v>0</v>
      </c>
      <c r="S281" s="44">
        <f>IF(Mecze[[#This Row],[Role]]="BR",SUMPRODUCT(Mecze[[#This Row],[/PR:90]:[/BR:90]],Brudnopis!$E$23:$J$23),0)</f>
        <v>0</v>
      </c>
      <c r="T281" s="44">
        <f>IF(Mecze[[#This Row],[Role]]&lt;&gt;"BR",SUMPRODUCT(Mecze[[#This Row],[/PR:90]:[/BR:90]],Brudnopis!$E$24:$J$24),0)</f>
        <v>9.0909090909090912E-2</v>
      </c>
      <c r="U281" s="44">
        <f>IF(Mecze[[#This Row],[Role]]&lt;&gt;"BR",SUMPRODUCT(Mecze[[#This Row],[/PR:90]:[/BR:90]],Brudnopis!$E$25:$J$25),0)</f>
        <v>0.11363636363636363</v>
      </c>
      <c r="V281" s="44">
        <f>IF(Mecze[[#This Row],[Role]]&lt;&gt;"BR",SUMPRODUCT(Mecze[[#This Row],[/PR:90]:[/BR:90]],Brudnopis!$E$26:$J$26),0)</f>
        <v>9.0909090909090912E-2</v>
      </c>
      <c r="W281" s="44">
        <f>IF(Mecze[[#This Row],[Role]]&lt;&gt;"BR",SUMPRODUCT(Mecze[[#This Row],[/PR:90]:[/BR:90]],Brudnopis!$E$27:$J$27),0)</f>
        <v>0.10227272727272727</v>
      </c>
      <c r="X281" s="44">
        <f>IF(Mecze[[#This Row],[Role]]&lt;&gt;"BR",SUMPRODUCT(Mecze[[#This Row],[/PR:90]:[/BR:90]],Brudnopis!$E$28:$J$28),0)</f>
        <v>4.5454545454545456E-2</v>
      </c>
      <c r="Y281" s="35">
        <f>IF(Mecze[[#This Row],[Role]]="BR",Mecze[[#This Row],[/OB:90]]+Mecze[[#This Row],[/PC:90]],SUM(Mecze[[#This Row],[/PR:90]:[/BR:90]]))</f>
        <v>9.0909090909090912E-2</v>
      </c>
      <c r="Z281" s="35">
        <f>IF(Mecze[[#This Row],[KC]]=0,SUM(Mecze[[#This Row],[/BRI]:[/NPI]]),SUM(Mecze[[#This Row],[/BRI]:[/NPI]])*0.6)</f>
        <v>0.44318181818181818</v>
      </c>
      <c r="AA281" s="10">
        <f>IFERROR(Mecze[[#This Row],[BR]]/Mecze[[#This Row],[ST]],0)</f>
        <v>0</v>
      </c>
      <c r="AB281">
        <f>ROUND(Mecze[[#This Row],[PD]]*Mecze[[#This Row],[%PC]],0)</f>
        <v>1</v>
      </c>
      <c r="AC281">
        <f>ROUND(Mecze[[#This Row],[OD]]*Mecze[[#This Row],[%OU]],0)</f>
        <v>0</v>
      </c>
      <c r="AD281" s="36" t="s">
        <v>167</v>
      </c>
      <c r="AE281" s="36">
        <v>16</v>
      </c>
      <c r="AF281" s="71">
        <v>5.05</v>
      </c>
      <c r="AG281" s="37">
        <v>0</v>
      </c>
      <c r="AH281" s="37">
        <v>0</v>
      </c>
      <c r="AI281" s="37">
        <v>22</v>
      </c>
      <c r="AJ281" s="37">
        <v>8</v>
      </c>
      <c r="AK281" s="37" t="str">
        <f>VLOOKUP(Mecze[[#This Row],[Match ID]],Meczusie[Mecz]:Meczusie[RodzajMeczu],2,FALSE)</f>
        <v>Liga</v>
      </c>
    </row>
    <row r="282" spans="1:37" x14ac:dyDescent="0.25">
      <c r="A282" s="76">
        <v>1</v>
      </c>
      <c r="B282" s="3" t="s">
        <v>320</v>
      </c>
      <c r="C282" s="2" t="s">
        <v>155</v>
      </c>
      <c r="D282" s="1">
        <v>0</v>
      </c>
      <c r="E282" s="1">
        <v>0</v>
      </c>
      <c r="F282" s="1">
        <v>0</v>
      </c>
      <c r="G282" s="1">
        <v>13</v>
      </c>
      <c r="H282" s="4">
        <v>0.54</v>
      </c>
      <c r="I282" s="1">
        <v>0</v>
      </c>
      <c r="J282" s="4"/>
      <c r="K282" s="1">
        <v>9</v>
      </c>
      <c r="L282" s="1">
        <v>0</v>
      </c>
      <c r="M282" s="32">
        <f>IF(Mecze[[#This Row],[PR]]=0,0,Mecze[[#This Row],[PR]]/Mecze[[#This Row],[CZAS]])</f>
        <v>0</v>
      </c>
      <c r="N282" s="32">
        <f>IF(Mecze[[#This Row],[OU]]=0,0,Mecze[[#This Row],[OU]]/Mecze[[#This Row],[CZAS]])</f>
        <v>0</v>
      </c>
      <c r="O282" s="32">
        <f>IF(Mecze[[#This Row],[PC]]=0,0,Mecze[[#This Row],[PC]]/Mecze[[#This Row],[CZAS]])</f>
        <v>7.2164948453608241E-2</v>
      </c>
      <c r="P282" s="32">
        <f>IF(Mecze[[#This Row],[SC]]=0,0,Mecze[[#This Row],[SC]]/Mecze[[#This Row],[CZAS]])</f>
        <v>0</v>
      </c>
      <c r="Q282" s="32">
        <f>IF(Mecze[[#This Row],[OB]]=0,0,Mecze[[#This Row],[OB]]/Mecze[[#This Row],[CZAS]])</f>
        <v>9.2783505154639179E-2</v>
      </c>
      <c r="R282" s="32">
        <f>IF(Mecze[[#This Row],[BR]]=0,0,Mecze[[#This Row],[BR]]/Mecze[[#This Row],[CZAS]])</f>
        <v>0</v>
      </c>
      <c r="S282" s="44">
        <f>IF(Mecze[[#This Row],[Role]]="BR",SUMPRODUCT(Mecze[[#This Row],[/PR:90]:[/BR:90]],Brudnopis!$E$23:$J$23),0)</f>
        <v>0.49484536082474229</v>
      </c>
      <c r="T282" s="44">
        <f>IF(Mecze[[#This Row],[Role]]&lt;&gt;"BR",SUMPRODUCT(Mecze[[#This Row],[/PR:90]:[/BR:90]],Brudnopis!$E$24:$J$24),0)</f>
        <v>0</v>
      </c>
      <c r="U282" s="44">
        <f>IF(Mecze[[#This Row],[Role]]&lt;&gt;"BR",SUMPRODUCT(Mecze[[#This Row],[/PR:90]:[/BR:90]],Brudnopis!$E$25:$J$25),0)</f>
        <v>0</v>
      </c>
      <c r="V282" s="44">
        <f>IF(Mecze[[#This Row],[Role]]&lt;&gt;"BR",SUMPRODUCT(Mecze[[#This Row],[/PR:90]:[/BR:90]],Brudnopis!$E$26:$J$26),0)</f>
        <v>0</v>
      </c>
      <c r="W282" s="44">
        <f>IF(Mecze[[#This Row],[Role]]&lt;&gt;"BR",SUMPRODUCT(Mecze[[#This Row],[/PR:90]:[/BR:90]],Brudnopis!$E$27:$J$27),0)</f>
        <v>0</v>
      </c>
      <c r="X282" s="44">
        <f>IF(Mecze[[#This Row],[Role]]&lt;&gt;"BR",SUMPRODUCT(Mecze[[#This Row],[/PR:90]:[/BR:90]],Brudnopis!$E$28:$J$28),0)</f>
        <v>0</v>
      </c>
      <c r="Y282" s="35">
        <f>IF(Mecze[[#This Row],[Role]]="BR",Mecze[[#This Row],[/OB:90]]+Mecze[[#This Row],[/PC:90]],SUM(Mecze[[#This Row],[/PR:90]:[/BR:90]]))</f>
        <v>0.16494845360824742</v>
      </c>
      <c r="Z282" s="35">
        <f>IF(Mecze[[#This Row],[KC]]=0,SUM(Mecze[[#This Row],[/BRI]:[/NPI]]),SUM(Mecze[[#This Row],[/BRI]:[/NPI]])*0.6)</f>
        <v>0.49484536082474229</v>
      </c>
      <c r="AA282" s="10">
        <f>IFERROR(Mecze[[#This Row],[BR]]/Mecze[[#This Row],[ST]],0)</f>
        <v>0</v>
      </c>
      <c r="AB282">
        <f>ROUND(Mecze[[#This Row],[PD]]*Mecze[[#This Row],[%PC]],0)</f>
        <v>7</v>
      </c>
      <c r="AC282">
        <f>ROUND(Mecze[[#This Row],[OD]]*Mecze[[#This Row],[%OU]],0)</f>
        <v>0</v>
      </c>
      <c r="AD282" s="36" t="s">
        <v>40</v>
      </c>
      <c r="AE282" s="36">
        <v>17</v>
      </c>
      <c r="AF282" s="71">
        <v>5.96</v>
      </c>
      <c r="AG282" s="37">
        <v>0</v>
      </c>
      <c r="AH282" s="37">
        <v>0</v>
      </c>
      <c r="AI282" s="37">
        <v>97</v>
      </c>
      <c r="AJ282" s="37">
        <v>11</v>
      </c>
      <c r="AK282" s="37" t="str">
        <f>VLOOKUP(Mecze[[#This Row],[Match ID]],Meczusie[Mecz]:Meczusie[RodzajMeczu],2,FALSE)</f>
        <v>Liga</v>
      </c>
    </row>
    <row r="283" spans="1:37" x14ac:dyDescent="0.25">
      <c r="A283" s="76">
        <v>4</v>
      </c>
      <c r="B283" s="3" t="s">
        <v>321</v>
      </c>
      <c r="C283" s="2" t="s">
        <v>157</v>
      </c>
      <c r="D283" s="1">
        <v>0</v>
      </c>
      <c r="E283" s="1">
        <v>0</v>
      </c>
      <c r="F283" s="1">
        <v>0</v>
      </c>
      <c r="G283" s="1">
        <v>8</v>
      </c>
      <c r="H283" s="4">
        <v>0.75</v>
      </c>
      <c r="I283" s="1">
        <v>7</v>
      </c>
      <c r="J283" s="4">
        <v>0.56999999999999995</v>
      </c>
      <c r="K283" s="1">
        <v>0</v>
      </c>
      <c r="L283" s="1">
        <v>4</v>
      </c>
      <c r="M283" s="32">
        <f>IF(Mecze[[#This Row],[PR]]=0,0,Mecze[[#This Row],[PR]]/Mecze[[#This Row],[CZAS]])</f>
        <v>4.1237113402061855E-2</v>
      </c>
      <c r="N283" s="32">
        <f>IF(Mecze[[#This Row],[OU]]=0,0,Mecze[[#This Row],[OU]]/Mecze[[#This Row],[CZAS]])</f>
        <v>4.1237113402061855E-2</v>
      </c>
      <c r="O283" s="32">
        <f>IF(Mecze[[#This Row],[PC]]=0,0,Mecze[[#This Row],[PC]]/Mecze[[#This Row],[CZAS]])</f>
        <v>6.1855670103092786E-2</v>
      </c>
      <c r="P283" s="32">
        <f>IF(Mecze[[#This Row],[SC]]=0,0,Mecze[[#This Row],[SC]]/Mecze[[#This Row],[CZAS]])</f>
        <v>0</v>
      </c>
      <c r="Q283" s="32">
        <f>IF(Mecze[[#This Row],[OB]]=0,0,Mecze[[#This Row],[OB]]/Mecze[[#This Row],[CZAS]])</f>
        <v>0</v>
      </c>
      <c r="R283" s="32">
        <f>IF(Mecze[[#This Row],[BR]]=0,0,Mecze[[#This Row],[BR]]/Mecze[[#This Row],[CZAS]])</f>
        <v>0</v>
      </c>
      <c r="S283" s="44">
        <f>IF(Mecze[[#This Row],[Role]]="BR",SUMPRODUCT(Mecze[[#This Row],[/PR:90]:[/BR:90]],Brudnopis!$E$23:$J$23),0)</f>
        <v>0</v>
      </c>
      <c r="T283" s="44">
        <f>IF(Mecze[[#This Row],[Role]]&lt;&gt;"BR",SUMPRODUCT(Mecze[[#This Row],[/PR:90]:[/BR:90]],Brudnopis!$E$24:$J$24),0)</f>
        <v>0.16494845360824742</v>
      </c>
      <c r="U283" s="44">
        <f>IF(Mecze[[#This Row],[Role]]&lt;&gt;"BR",SUMPRODUCT(Mecze[[#This Row],[/PR:90]:[/BR:90]],Brudnopis!$E$25:$J$25),0)</f>
        <v>0.17525773195876287</v>
      </c>
      <c r="V283" s="44">
        <f>IF(Mecze[[#This Row],[Role]]&lt;&gt;"BR",SUMPRODUCT(Mecze[[#This Row],[/PR:90]:[/BR:90]],Brudnopis!$E$26:$J$26),0)</f>
        <v>0.14432989690721648</v>
      </c>
      <c r="W283" s="44">
        <f>IF(Mecze[[#This Row],[Role]]&lt;&gt;"BR",SUMPRODUCT(Mecze[[#This Row],[/PR:90]:[/BR:90]],Brudnopis!$E$27:$J$27),0)</f>
        <v>0.15463917525773196</v>
      </c>
      <c r="X283" s="44">
        <f>IF(Mecze[[#This Row],[Role]]&lt;&gt;"BR",SUMPRODUCT(Mecze[[#This Row],[/PR:90]:[/BR:90]],Brudnopis!$E$28:$J$28),0)</f>
        <v>6.1855670103092786E-2</v>
      </c>
      <c r="Y283" s="35">
        <f>IF(Mecze[[#This Row],[Role]]="BR",Mecze[[#This Row],[/OB:90]]+Mecze[[#This Row],[/PC:90]],SUM(Mecze[[#This Row],[/PR:90]:[/BR:90]]))</f>
        <v>0.14432989690721648</v>
      </c>
      <c r="Z283" s="35">
        <f>IF(Mecze[[#This Row],[KC]]=0,SUM(Mecze[[#This Row],[/BRI]:[/NPI]]),SUM(Mecze[[#This Row],[/BRI]:[/NPI]])*0.6)</f>
        <v>0.7010309278350515</v>
      </c>
      <c r="AA283" s="10">
        <f>IFERROR(Mecze[[#This Row],[BR]]/Mecze[[#This Row],[ST]],0)</f>
        <v>0</v>
      </c>
      <c r="AB283">
        <f>ROUND(Mecze[[#This Row],[PD]]*Mecze[[#This Row],[%PC]],0)</f>
        <v>6</v>
      </c>
      <c r="AC283">
        <f>ROUND(Mecze[[#This Row],[OD]]*Mecze[[#This Row],[%OU]],0)</f>
        <v>4</v>
      </c>
      <c r="AD283" s="36" t="s">
        <v>47</v>
      </c>
      <c r="AE283" s="36">
        <v>17</v>
      </c>
      <c r="AF283" s="71">
        <v>3.55</v>
      </c>
      <c r="AG283" s="37">
        <v>0</v>
      </c>
      <c r="AH283" s="37">
        <v>0</v>
      </c>
      <c r="AI283" s="37">
        <v>97</v>
      </c>
      <c r="AJ283" s="37">
        <v>11</v>
      </c>
      <c r="AK283" s="37" t="str">
        <f>VLOOKUP(Mecze[[#This Row],[Match ID]],Meczusie[Mecz]:Meczusie[RodzajMeczu],2,FALSE)</f>
        <v>Liga</v>
      </c>
    </row>
    <row r="284" spans="1:37" x14ac:dyDescent="0.25">
      <c r="A284" s="76">
        <v>15</v>
      </c>
      <c r="B284" s="3" t="s">
        <v>323</v>
      </c>
      <c r="C284" s="2" t="s">
        <v>157</v>
      </c>
      <c r="D284" s="1">
        <v>0</v>
      </c>
      <c r="E284" s="1">
        <v>0</v>
      </c>
      <c r="F284" s="1">
        <v>0</v>
      </c>
      <c r="G284" s="1">
        <v>7</v>
      </c>
      <c r="H284" s="4">
        <v>1</v>
      </c>
      <c r="I284" s="1">
        <v>6</v>
      </c>
      <c r="J284" s="4">
        <v>0.17</v>
      </c>
      <c r="K284" s="1">
        <v>0</v>
      </c>
      <c r="L284" s="1">
        <v>3</v>
      </c>
      <c r="M284" s="32">
        <f>IF(Mecze[[#This Row],[PR]]=0,0,Mecze[[#This Row],[PR]]/Mecze[[#This Row],[CZAS]])</f>
        <v>3.0927835051546393E-2</v>
      </c>
      <c r="N284" s="32">
        <f>IF(Mecze[[#This Row],[OU]]=0,0,Mecze[[#This Row],[OU]]/Mecze[[#This Row],[CZAS]])</f>
        <v>1.0309278350515464E-2</v>
      </c>
      <c r="O284" s="32">
        <f>IF(Mecze[[#This Row],[PC]]=0,0,Mecze[[#This Row],[PC]]/Mecze[[#This Row],[CZAS]])</f>
        <v>7.2164948453608241E-2</v>
      </c>
      <c r="P284" s="32">
        <f>IF(Mecze[[#This Row],[SC]]=0,0,Mecze[[#This Row],[SC]]/Mecze[[#This Row],[CZAS]])</f>
        <v>0</v>
      </c>
      <c r="Q284" s="32">
        <f>IF(Mecze[[#This Row],[OB]]=0,0,Mecze[[#This Row],[OB]]/Mecze[[#This Row],[CZAS]])</f>
        <v>0</v>
      </c>
      <c r="R284" s="32">
        <f>IF(Mecze[[#This Row],[BR]]=0,0,Mecze[[#This Row],[BR]]/Mecze[[#This Row],[CZAS]])</f>
        <v>0</v>
      </c>
      <c r="S284" s="44">
        <f>IF(Mecze[[#This Row],[Role]]="BR",SUMPRODUCT(Mecze[[#This Row],[/PR:90]:[/BR:90]],Brudnopis!$E$23:$J$23),0)</f>
        <v>0</v>
      </c>
      <c r="T284" s="44">
        <f>IF(Mecze[[#This Row],[Role]]&lt;&gt;"BR",SUMPRODUCT(Mecze[[#This Row],[/PR:90]:[/BR:90]],Brudnopis!$E$24:$J$24),0)</f>
        <v>0.11855670103092783</v>
      </c>
      <c r="U284" s="44">
        <f>IF(Mecze[[#This Row],[Role]]&lt;&gt;"BR",SUMPRODUCT(Mecze[[#This Row],[/PR:90]:[/BR:90]],Brudnopis!$E$25:$J$25),0)</f>
        <v>0.14948453608247422</v>
      </c>
      <c r="V284" s="44">
        <f>IF(Mecze[[#This Row],[Role]]&lt;&gt;"BR",SUMPRODUCT(Mecze[[#This Row],[/PR:90]:[/BR:90]],Brudnopis!$E$26:$J$26),0)</f>
        <v>0.11340206185567009</v>
      </c>
      <c r="W284" s="44">
        <f>IF(Mecze[[#This Row],[Role]]&lt;&gt;"BR",SUMPRODUCT(Mecze[[#This Row],[/PR:90]:[/BR:90]],Brudnopis!$E$27:$J$27),0)</f>
        <v>0.13917525773195877</v>
      </c>
      <c r="X284" s="44">
        <f>IF(Mecze[[#This Row],[Role]]&lt;&gt;"BR",SUMPRODUCT(Mecze[[#This Row],[/PR:90]:[/BR:90]],Brudnopis!$E$28:$J$28),0)</f>
        <v>7.2164948453608241E-2</v>
      </c>
      <c r="Y284" s="35">
        <f>IF(Mecze[[#This Row],[Role]]="BR",Mecze[[#This Row],[/OB:90]]+Mecze[[#This Row],[/PC:90]],SUM(Mecze[[#This Row],[/PR:90]:[/BR:90]]))</f>
        <v>0.11340206185567009</v>
      </c>
      <c r="Z284" s="35">
        <f>IF(Mecze[[#This Row],[KC]]=0,SUM(Mecze[[#This Row],[/BRI]:[/NPI]]),SUM(Mecze[[#This Row],[/BRI]:[/NPI]])*0.6)</f>
        <v>0.59278350515463907</v>
      </c>
      <c r="AA284" s="10">
        <f>IFERROR(Mecze[[#This Row],[BR]]/Mecze[[#This Row],[ST]],0)</f>
        <v>0</v>
      </c>
      <c r="AB284">
        <f>ROUND(Mecze[[#This Row],[PD]]*Mecze[[#This Row],[%PC]],0)</f>
        <v>7</v>
      </c>
      <c r="AC284">
        <f>ROUND(Mecze[[#This Row],[OD]]*Mecze[[#This Row],[%OU]],0)</f>
        <v>1</v>
      </c>
      <c r="AD284" s="36" t="s">
        <v>47</v>
      </c>
      <c r="AE284" s="36">
        <v>17</v>
      </c>
      <c r="AF284" s="71">
        <v>2.2200000000000002</v>
      </c>
      <c r="AG284" s="37">
        <v>0</v>
      </c>
      <c r="AH284" s="37">
        <v>0</v>
      </c>
      <c r="AI284" s="37">
        <v>97</v>
      </c>
      <c r="AJ284" s="37">
        <v>11</v>
      </c>
      <c r="AK284" s="37" t="str">
        <f>VLOOKUP(Mecze[[#This Row],[Match ID]],Meczusie[Mecz]:Meczusie[RodzajMeczu],2,FALSE)</f>
        <v>Liga</v>
      </c>
    </row>
    <row r="285" spans="1:37" x14ac:dyDescent="0.25">
      <c r="A285" s="76">
        <v>2</v>
      </c>
      <c r="B285" s="3" t="s">
        <v>392</v>
      </c>
      <c r="C285" s="2" t="s">
        <v>157</v>
      </c>
      <c r="D285" s="1">
        <v>0</v>
      </c>
      <c r="E285" s="1">
        <v>0</v>
      </c>
      <c r="F285" s="1">
        <v>0</v>
      </c>
      <c r="G285" s="1">
        <v>5</v>
      </c>
      <c r="H285" s="4">
        <v>1</v>
      </c>
      <c r="I285" s="1">
        <v>1</v>
      </c>
      <c r="J285" s="4">
        <v>1</v>
      </c>
      <c r="K285" s="1">
        <v>0</v>
      </c>
      <c r="L285" s="1">
        <v>1</v>
      </c>
      <c r="M285" s="32">
        <f>IF(Mecze[[#This Row],[PR]]=0,0,Mecze[[#This Row],[PR]]/Mecze[[#This Row],[CZAS]])</f>
        <v>1.0309278350515464E-2</v>
      </c>
      <c r="N285" s="32">
        <f>IF(Mecze[[#This Row],[OU]]=0,0,Mecze[[#This Row],[OU]]/Mecze[[#This Row],[CZAS]])</f>
        <v>1.0309278350515464E-2</v>
      </c>
      <c r="O285" s="32">
        <f>IF(Mecze[[#This Row],[PC]]=0,0,Mecze[[#This Row],[PC]]/Mecze[[#This Row],[CZAS]])</f>
        <v>5.1546391752577317E-2</v>
      </c>
      <c r="P285" s="32">
        <f>IF(Mecze[[#This Row],[SC]]=0,0,Mecze[[#This Row],[SC]]/Mecze[[#This Row],[CZAS]])</f>
        <v>0</v>
      </c>
      <c r="Q285" s="32">
        <f>IF(Mecze[[#This Row],[OB]]=0,0,Mecze[[#This Row],[OB]]/Mecze[[#This Row],[CZAS]])</f>
        <v>0</v>
      </c>
      <c r="R285" s="32">
        <f>IF(Mecze[[#This Row],[BR]]=0,0,Mecze[[#This Row],[BR]]/Mecze[[#This Row],[CZAS]])</f>
        <v>0</v>
      </c>
      <c r="S285" s="44">
        <f>IF(Mecze[[#This Row],[Role]]="BR",SUMPRODUCT(Mecze[[#This Row],[/PR:90]:[/BR:90]],Brudnopis!$E$23:$J$23),0)</f>
        <v>0</v>
      </c>
      <c r="T285" s="44">
        <f>IF(Mecze[[#This Row],[Role]]&lt;&gt;"BR",SUMPRODUCT(Mecze[[#This Row],[/PR:90]:[/BR:90]],Brudnopis!$E$24:$J$24),0)</f>
        <v>7.7319587628865982E-2</v>
      </c>
      <c r="U285" s="44">
        <f>IF(Mecze[[#This Row],[Role]]&lt;&gt;"BR",SUMPRODUCT(Mecze[[#This Row],[/PR:90]:[/BR:90]],Brudnopis!$E$25:$J$25),0)</f>
        <v>9.7938144329896906E-2</v>
      </c>
      <c r="V285" s="44">
        <f>IF(Mecze[[#This Row],[Role]]&lt;&gt;"BR",SUMPRODUCT(Mecze[[#This Row],[/PR:90]:[/BR:90]],Brudnopis!$E$26:$J$26),0)</f>
        <v>7.2164948453608241E-2</v>
      </c>
      <c r="W285" s="44">
        <f>IF(Mecze[[#This Row],[Role]]&lt;&gt;"BR",SUMPRODUCT(Mecze[[#This Row],[/PR:90]:[/BR:90]],Brudnopis!$E$27:$J$27),0)</f>
        <v>9.2783505154639179E-2</v>
      </c>
      <c r="X285" s="44">
        <f>IF(Mecze[[#This Row],[Role]]&lt;&gt;"BR",SUMPRODUCT(Mecze[[#This Row],[/PR:90]:[/BR:90]],Brudnopis!$E$28:$J$28),0)</f>
        <v>5.1546391752577317E-2</v>
      </c>
      <c r="Y285" s="35">
        <f>IF(Mecze[[#This Row],[Role]]="BR",Mecze[[#This Row],[/OB:90]]+Mecze[[#This Row],[/PC:90]],SUM(Mecze[[#This Row],[/PR:90]:[/BR:90]]))</f>
        <v>7.2164948453608241E-2</v>
      </c>
      <c r="Z285" s="35">
        <f>IF(Mecze[[#This Row],[KC]]=0,SUM(Mecze[[#This Row],[/BRI]:[/NPI]]),SUM(Mecze[[#This Row],[/BRI]:[/NPI]])*0.6)</f>
        <v>0.39175257731958762</v>
      </c>
      <c r="AA285" s="10">
        <f>IFERROR(Mecze[[#This Row],[BR]]/Mecze[[#This Row],[ST]],0)</f>
        <v>0</v>
      </c>
      <c r="AB285">
        <f>ROUND(Mecze[[#This Row],[PD]]*Mecze[[#This Row],[%PC]],0)</f>
        <v>5</v>
      </c>
      <c r="AC285">
        <f>ROUND(Mecze[[#This Row],[OD]]*Mecze[[#This Row],[%OU]],0)</f>
        <v>1</v>
      </c>
      <c r="AD285" s="36" t="s">
        <v>175</v>
      </c>
      <c r="AE285" s="36">
        <v>17</v>
      </c>
      <c r="AF285" s="71">
        <v>1.8</v>
      </c>
      <c r="AG285" s="37">
        <v>0</v>
      </c>
      <c r="AH285" s="37">
        <v>0</v>
      </c>
      <c r="AI285" s="37">
        <v>97</v>
      </c>
      <c r="AJ285" s="37">
        <v>11</v>
      </c>
      <c r="AK285" s="37" t="str">
        <f>VLOOKUP(Mecze[[#This Row],[Match ID]],Meczusie[Mecz]:Meczusie[RodzajMeczu],2,FALSE)</f>
        <v>Liga</v>
      </c>
    </row>
    <row r="286" spans="1:37" x14ac:dyDescent="0.25">
      <c r="A286" s="76">
        <v>6</v>
      </c>
      <c r="B286" s="3" t="s">
        <v>324</v>
      </c>
      <c r="C286" s="2" t="s">
        <v>157</v>
      </c>
      <c r="D286" s="1">
        <v>0</v>
      </c>
      <c r="E286" s="1">
        <v>0</v>
      </c>
      <c r="F286" s="1">
        <v>0</v>
      </c>
      <c r="G286" s="1">
        <v>14</v>
      </c>
      <c r="H286" s="4">
        <v>0.79</v>
      </c>
      <c r="I286" s="1">
        <v>24</v>
      </c>
      <c r="J286" s="4">
        <v>0.63</v>
      </c>
      <c r="K286" s="1">
        <v>0</v>
      </c>
      <c r="L286" s="1">
        <v>12</v>
      </c>
      <c r="M286" s="32">
        <f>IF(Mecze[[#This Row],[PR]]=0,0,Mecze[[#This Row],[PR]]/Mecze[[#This Row],[CZAS]])</f>
        <v>0.12371134020618557</v>
      </c>
      <c r="N286" s="32">
        <f>IF(Mecze[[#This Row],[OU]]=0,0,Mecze[[#This Row],[OU]]/Mecze[[#This Row],[CZAS]])</f>
        <v>0.15463917525773196</v>
      </c>
      <c r="O286" s="32">
        <f>IF(Mecze[[#This Row],[PC]]=0,0,Mecze[[#This Row],[PC]]/Mecze[[#This Row],[CZAS]])</f>
        <v>0.1134020618556701</v>
      </c>
      <c r="P286" s="32">
        <f>IF(Mecze[[#This Row],[SC]]=0,0,Mecze[[#This Row],[SC]]/Mecze[[#This Row],[CZAS]])</f>
        <v>0</v>
      </c>
      <c r="Q286" s="32">
        <f>IF(Mecze[[#This Row],[OB]]=0,0,Mecze[[#This Row],[OB]]/Mecze[[#This Row],[CZAS]])</f>
        <v>0</v>
      </c>
      <c r="R286" s="32">
        <f>IF(Mecze[[#This Row],[BR]]=0,0,Mecze[[#This Row],[BR]]/Mecze[[#This Row],[CZAS]])</f>
        <v>0</v>
      </c>
      <c r="S286" s="44">
        <f>IF(Mecze[[#This Row],[Role]]="BR",SUMPRODUCT(Mecze[[#This Row],[/PR:90]:[/BR:90]],Brudnopis!$E$23:$J$23),0)</f>
        <v>0</v>
      </c>
      <c r="T286" s="44">
        <f>IF(Mecze[[#This Row],[Role]]&lt;&gt;"BR",SUMPRODUCT(Mecze[[#This Row],[/PR:90]:[/BR:90]],Brudnopis!$E$24:$J$24),0)</f>
        <v>0.46907216494845361</v>
      </c>
      <c r="U286" s="44">
        <f>IF(Mecze[[#This Row],[Role]]&lt;&gt;"BR",SUMPRODUCT(Mecze[[#This Row],[/PR:90]:[/BR:90]],Brudnopis!$E$25:$J$25),0)</f>
        <v>0.4484536082474227</v>
      </c>
      <c r="V286" s="44">
        <f>IF(Mecze[[#This Row],[Role]]&lt;&gt;"BR",SUMPRODUCT(Mecze[[#This Row],[/PR:90]:[/BR:90]],Brudnopis!$E$26:$J$26),0)</f>
        <v>0.39175257731958762</v>
      </c>
      <c r="W286" s="44">
        <f>IF(Mecze[[#This Row],[Role]]&lt;&gt;"BR",SUMPRODUCT(Mecze[[#This Row],[/PR:90]:[/BR:90]],Brudnopis!$E$27:$J$27),0)</f>
        <v>0.37886597938144329</v>
      </c>
      <c r="X286" s="44">
        <f>IF(Mecze[[#This Row],[Role]]&lt;&gt;"BR",SUMPRODUCT(Mecze[[#This Row],[/PR:90]:[/BR:90]],Brudnopis!$E$28:$J$28),0)</f>
        <v>0.1134020618556701</v>
      </c>
      <c r="Y286" s="35">
        <f>IF(Mecze[[#This Row],[Role]]="BR",Mecze[[#This Row],[/OB:90]]+Mecze[[#This Row],[/PC:90]],SUM(Mecze[[#This Row],[/PR:90]:[/BR:90]]))</f>
        <v>0.39175257731958762</v>
      </c>
      <c r="Z286" s="35">
        <f>IF(Mecze[[#This Row],[KC]]=0,SUM(Mecze[[#This Row],[/BRI]:[/NPI]]),SUM(Mecze[[#This Row],[/BRI]:[/NPI]])*0.6)</f>
        <v>1.8015463917525774</v>
      </c>
      <c r="AA286" s="10">
        <f>IFERROR(Mecze[[#This Row],[BR]]/Mecze[[#This Row],[ST]],0)</f>
        <v>0</v>
      </c>
      <c r="AB286">
        <f>ROUND(Mecze[[#This Row],[PD]]*Mecze[[#This Row],[%PC]],0)</f>
        <v>11</v>
      </c>
      <c r="AC286">
        <f>ROUND(Mecze[[#This Row],[OD]]*Mecze[[#This Row],[%OU]],0)</f>
        <v>15</v>
      </c>
      <c r="AD286" s="36" t="s">
        <v>174</v>
      </c>
      <c r="AE286" s="36">
        <v>17</v>
      </c>
      <c r="AF286" s="71">
        <v>5.23</v>
      </c>
      <c r="AG286" s="37">
        <v>0</v>
      </c>
      <c r="AH286" s="37">
        <v>0</v>
      </c>
      <c r="AI286" s="37">
        <v>97</v>
      </c>
      <c r="AJ286" s="37">
        <v>11</v>
      </c>
      <c r="AK286" s="37" t="str">
        <f>VLOOKUP(Mecze[[#This Row],[Match ID]],Meczusie[Mecz]:Meczusie[RodzajMeczu],2,FALSE)</f>
        <v>Liga</v>
      </c>
    </row>
    <row r="287" spans="1:37" x14ac:dyDescent="0.25">
      <c r="A287" s="76">
        <v>5</v>
      </c>
      <c r="B287" s="3" t="s">
        <v>325</v>
      </c>
      <c r="C287" s="2" t="s">
        <v>160</v>
      </c>
      <c r="D287" s="1">
        <v>0</v>
      </c>
      <c r="E287" s="1">
        <v>0</v>
      </c>
      <c r="F287" s="1">
        <v>0</v>
      </c>
      <c r="G287" s="1">
        <v>12</v>
      </c>
      <c r="H287" s="4">
        <v>0.92</v>
      </c>
      <c r="I287" s="1">
        <v>3</v>
      </c>
      <c r="J287" s="4">
        <v>0.33</v>
      </c>
      <c r="K287" s="1">
        <v>0</v>
      </c>
      <c r="L287" s="1">
        <v>4</v>
      </c>
      <c r="M287" s="32">
        <f>IF(Mecze[[#This Row],[PR]]=0,0,Mecze[[#This Row],[PR]]/Mecze[[#This Row],[CZAS]])</f>
        <v>4.1237113402061855E-2</v>
      </c>
      <c r="N287" s="32">
        <f>IF(Mecze[[#This Row],[OU]]=0,0,Mecze[[#This Row],[OU]]/Mecze[[#This Row],[CZAS]])</f>
        <v>1.0309278350515464E-2</v>
      </c>
      <c r="O287" s="32">
        <f>IF(Mecze[[#This Row],[PC]]=0,0,Mecze[[#This Row],[PC]]/Mecze[[#This Row],[CZAS]])</f>
        <v>0.1134020618556701</v>
      </c>
      <c r="P287" s="32">
        <f>IF(Mecze[[#This Row],[SC]]=0,0,Mecze[[#This Row],[SC]]/Mecze[[#This Row],[CZAS]])</f>
        <v>0</v>
      </c>
      <c r="Q287" s="32">
        <f>IF(Mecze[[#This Row],[OB]]=0,0,Mecze[[#This Row],[OB]]/Mecze[[#This Row],[CZAS]])</f>
        <v>0</v>
      </c>
      <c r="R287" s="32">
        <f>IF(Mecze[[#This Row],[BR]]=0,0,Mecze[[#This Row],[BR]]/Mecze[[#This Row],[CZAS]])</f>
        <v>0</v>
      </c>
      <c r="S287" s="44">
        <f>IF(Mecze[[#This Row],[Role]]="BR",SUMPRODUCT(Mecze[[#This Row],[/PR:90]:[/BR:90]],Brudnopis!$E$23:$J$23),0)</f>
        <v>0</v>
      </c>
      <c r="T287" s="44">
        <f>IF(Mecze[[#This Row],[Role]]&lt;&gt;"BR",SUMPRODUCT(Mecze[[#This Row],[/PR:90]:[/BR:90]],Brudnopis!$E$24:$J$24),0)</f>
        <v>0.17010309278350516</v>
      </c>
      <c r="U287" s="44">
        <f>IF(Mecze[[#This Row],[Role]]&lt;&gt;"BR",SUMPRODUCT(Mecze[[#This Row],[/PR:90]:[/BR:90]],Brudnopis!$E$25:$J$25),0)</f>
        <v>0.22164948453608246</v>
      </c>
      <c r="V287" s="44">
        <f>IF(Mecze[[#This Row],[Role]]&lt;&gt;"BR",SUMPRODUCT(Mecze[[#This Row],[/PR:90]:[/BR:90]],Brudnopis!$E$26:$J$26),0)</f>
        <v>0.16494845360824742</v>
      </c>
      <c r="W287" s="44">
        <f>IF(Mecze[[#This Row],[Role]]&lt;&gt;"BR",SUMPRODUCT(Mecze[[#This Row],[/PR:90]:[/BR:90]],Brudnopis!$E$27:$J$27),0)</f>
        <v>0.20876288659793815</v>
      </c>
      <c r="X287" s="44">
        <f>IF(Mecze[[#This Row],[Role]]&lt;&gt;"BR",SUMPRODUCT(Mecze[[#This Row],[/PR:90]:[/BR:90]],Brudnopis!$E$28:$J$28),0)</f>
        <v>0.1134020618556701</v>
      </c>
      <c r="Y287" s="35">
        <f>IF(Mecze[[#This Row],[Role]]="BR",Mecze[[#This Row],[/OB:90]]+Mecze[[#This Row],[/PC:90]],SUM(Mecze[[#This Row],[/PR:90]:[/BR:90]]))</f>
        <v>0.16494845360824742</v>
      </c>
      <c r="Z287" s="35">
        <f>IF(Mecze[[#This Row],[KC]]=0,SUM(Mecze[[#This Row],[/BRI]:[/NPI]]),SUM(Mecze[[#This Row],[/BRI]:[/NPI]])*0.6)</f>
        <v>0.8788659793814434</v>
      </c>
      <c r="AA287" s="10">
        <f>IFERROR(Mecze[[#This Row],[BR]]/Mecze[[#This Row],[ST]],0)</f>
        <v>0</v>
      </c>
      <c r="AB287">
        <f>ROUND(Mecze[[#This Row],[PD]]*Mecze[[#This Row],[%PC]],0)</f>
        <v>11</v>
      </c>
      <c r="AC287">
        <f>ROUND(Mecze[[#This Row],[OD]]*Mecze[[#This Row],[%OU]],0)</f>
        <v>1</v>
      </c>
      <c r="AD287" s="41" t="s">
        <v>41</v>
      </c>
      <c r="AE287" s="36">
        <v>17</v>
      </c>
      <c r="AF287" s="71">
        <v>5.66</v>
      </c>
      <c r="AG287" s="37">
        <v>0</v>
      </c>
      <c r="AH287" s="37">
        <v>0</v>
      </c>
      <c r="AI287" s="37">
        <v>97</v>
      </c>
      <c r="AJ287" s="37">
        <v>11</v>
      </c>
      <c r="AK287" s="37" t="str">
        <f>VLOOKUP(Mecze[[#This Row],[Match ID]],Meczusie[Mecz]:Meczusie[RodzajMeczu],2,FALSE)</f>
        <v>Liga</v>
      </c>
    </row>
    <row r="288" spans="1:37" x14ac:dyDescent="0.25">
      <c r="A288" s="76">
        <v>8</v>
      </c>
      <c r="B288" s="3" t="s">
        <v>326</v>
      </c>
      <c r="C288" s="2" t="s">
        <v>160</v>
      </c>
      <c r="D288" s="1">
        <v>0</v>
      </c>
      <c r="E288" s="1">
        <v>1</v>
      </c>
      <c r="F288" s="1">
        <v>1</v>
      </c>
      <c r="G288" s="1">
        <v>20</v>
      </c>
      <c r="H288" s="4">
        <v>0.6</v>
      </c>
      <c r="I288" s="1">
        <v>4</v>
      </c>
      <c r="J288" s="4">
        <v>0.75</v>
      </c>
      <c r="K288" s="1">
        <v>0</v>
      </c>
      <c r="L288" s="1">
        <v>1</v>
      </c>
      <c r="M288" s="32">
        <f>IF(Mecze[[#This Row],[PR]]=0,0,Mecze[[#This Row],[PR]]/Mecze[[#This Row],[CZAS]])</f>
        <v>1.0309278350515464E-2</v>
      </c>
      <c r="N288" s="32">
        <f>IF(Mecze[[#This Row],[OU]]=0,0,Mecze[[#This Row],[OU]]/Mecze[[#This Row],[CZAS]])</f>
        <v>3.0927835051546393E-2</v>
      </c>
      <c r="O288" s="32">
        <f>IF(Mecze[[#This Row],[PC]]=0,0,Mecze[[#This Row],[PC]]/Mecze[[#This Row],[CZAS]])</f>
        <v>0.12371134020618557</v>
      </c>
      <c r="P288" s="32">
        <f>IF(Mecze[[#This Row],[SC]]=0,0,Mecze[[#This Row],[SC]]/Mecze[[#This Row],[CZAS]])</f>
        <v>1.0309278350515464E-2</v>
      </c>
      <c r="Q288" s="32">
        <f>IF(Mecze[[#This Row],[OB]]=0,0,Mecze[[#This Row],[OB]]/Mecze[[#This Row],[CZAS]])</f>
        <v>0</v>
      </c>
      <c r="R288" s="32">
        <f>IF(Mecze[[#This Row],[BR]]=0,0,Mecze[[#This Row],[BR]]/Mecze[[#This Row],[CZAS]])</f>
        <v>0</v>
      </c>
      <c r="S288" s="44">
        <f>IF(Mecze[[#This Row],[Role]]="BR",SUMPRODUCT(Mecze[[#This Row],[/PR:90]:[/BR:90]],Brudnopis!$E$23:$J$23),0)</f>
        <v>0</v>
      </c>
      <c r="T288" s="44">
        <f>IF(Mecze[[#This Row],[Role]]&lt;&gt;"BR",SUMPRODUCT(Mecze[[#This Row],[/PR:90]:[/BR:90]],Brudnopis!$E$24:$J$24),0)</f>
        <v>0.19072164948453607</v>
      </c>
      <c r="U288" s="44">
        <f>IF(Mecze[[#This Row],[Role]]&lt;&gt;"BR",SUMPRODUCT(Mecze[[#This Row],[/PR:90]:[/BR:90]],Brudnopis!$E$25:$J$25),0)</f>
        <v>0.23711340206185566</v>
      </c>
      <c r="V288" s="44">
        <f>IF(Mecze[[#This Row],[Role]]&lt;&gt;"BR",SUMPRODUCT(Mecze[[#This Row],[/PR:90]:[/BR:90]],Brudnopis!$E$26:$J$26),0)</f>
        <v>0.17525773195876287</v>
      </c>
      <c r="W288" s="44">
        <f>IF(Mecze[[#This Row],[Role]]&lt;&gt;"BR",SUMPRODUCT(Mecze[[#This Row],[/PR:90]:[/BR:90]],Brudnopis!$E$27:$J$27),0)</f>
        <v>0.22680412371134021</v>
      </c>
      <c r="X288" s="44">
        <f>IF(Mecze[[#This Row],[Role]]&lt;&gt;"BR",SUMPRODUCT(Mecze[[#This Row],[/PR:90]:[/BR:90]],Brudnopis!$E$28:$J$28),0)</f>
        <v>0.14432989690721651</v>
      </c>
      <c r="Y288" s="35">
        <f>IF(Mecze[[#This Row],[Role]]="BR",Mecze[[#This Row],[/OB:90]]+Mecze[[#This Row],[/PC:90]],SUM(Mecze[[#This Row],[/PR:90]:[/BR:90]]))</f>
        <v>0.17525773195876287</v>
      </c>
      <c r="Z288" s="35">
        <f>IF(Mecze[[#This Row],[KC]]=0,SUM(Mecze[[#This Row],[/BRI]:[/NPI]]),SUM(Mecze[[#This Row],[/BRI]:[/NPI]])*0.6)</f>
        <v>0.97422680412371132</v>
      </c>
      <c r="AA288" s="10">
        <f>IFERROR(Mecze[[#This Row],[BR]]/Mecze[[#This Row],[ST]],0)</f>
        <v>0</v>
      </c>
      <c r="AB288">
        <f>ROUND(Mecze[[#This Row],[PD]]*Mecze[[#This Row],[%PC]],0)</f>
        <v>12</v>
      </c>
      <c r="AC288">
        <f>ROUND(Mecze[[#This Row],[OD]]*Mecze[[#This Row],[%OU]],0)</f>
        <v>3</v>
      </c>
      <c r="AD288" s="41" t="s">
        <v>318</v>
      </c>
      <c r="AE288" s="36">
        <v>17</v>
      </c>
      <c r="AF288" s="71">
        <v>4.3499999999999996</v>
      </c>
      <c r="AG288" s="37">
        <v>0</v>
      </c>
      <c r="AH288" s="37">
        <v>0</v>
      </c>
      <c r="AI288" s="37">
        <v>97</v>
      </c>
      <c r="AJ288" s="37">
        <v>11</v>
      </c>
      <c r="AK288" s="37" t="str">
        <f>VLOOKUP(Mecze[[#This Row],[Match ID]],Meczusie[Mecz]:Meczusie[RodzajMeczu],2,FALSE)</f>
        <v>Liga</v>
      </c>
    </row>
    <row r="289" spans="1:37" x14ac:dyDescent="0.25">
      <c r="A289" s="76">
        <v>9</v>
      </c>
      <c r="B289" s="3" t="s">
        <v>327</v>
      </c>
      <c r="C289" s="2" t="s">
        <v>160</v>
      </c>
      <c r="D289" s="1">
        <v>0</v>
      </c>
      <c r="E289" s="1">
        <v>1</v>
      </c>
      <c r="F289" s="1">
        <v>1</v>
      </c>
      <c r="G289" s="1">
        <v>14</v>
      </c>
      <c r="H289" s="4">
        <v>0.79</v>
      </c>
      <c r="I289" s="1">
        <v>1</v>
      </c>
      <c r="J289" s="4">
        <v>0</v>
      </c>
      <c r="K289" s="1">
        <v>0</v>
      </c>
      <c r="L289" s="1">
        <v>3</v>
      </c>
      <c r="M289" s="32">
        <f>IF(Mecze[[#This Row],[PR]]=0,0,Mecze[[#This Row],[PR]]/Mecze[[#This Row],[CZAS]])</f>
        <v>3.0927835051546393E-2</v>
      </c>
      <c r="N289" s="32">
        <f>IF(Mecze[[#This Row],[OU]]=0,0,Mecze[[#This Row],[OU]]/Mecze[[#This Row],[CZAS]])</f>
        <v>0</v>
      </c>
      <c r="O289" s="32">
        <f>IF(Mecze[[#This Row],[PC]]=0,0,Mecze[[#This Row],[PC]]/Mecze[[#This Row],[CZAS]])</f>
        <v>0.1134020618556701</v>
      </c>
      <c r="P289" s="32">
        <f>IF(Mecze[[#This Row],[SC]]=0,0,Mecze[[#This Row],[SC]]/Mecze[[#This Row],[CZAS]])</f>
        <v>1.0309278350515464E-2</v>
      </c>
      <c r="Q289" s="32">
        <f>IF(Mecze[[#This Row],[OB]]=0,0,Mecze[[#This Row],[OB]]/Mecze[[#This Row],[CZAS]])</f>
        <v>0</v>
      </c>
      <c r="R289" s="32">
        <f>IF(Mecze[[#This Row],[BR]]=0,0,Mecze[[#This Row],[BR]]/Mecze[[#This Row],[CZAS]])</f>
        <v>0</v>
      </c>
      <c r="S289" s="44">
        <f>IF(Mecze[[#This Row],[Role]]="BR",SUMPRODUCT(Mecze[[#This Row],[/PR:90]:[/BR:90]],Brudnopis!$E$23:$J$23),0)</f>
        <v>0</v>
      </c>
      <c r="T289" s="44">
        <f>IF(Mecze[[#This Row],[Role]]&lt;&gt;"BR",SUMPRODUCT(Mecze[[#This Row],[/PR:90]:[/BR:90]],Brudnopis!$E$24:$J$24),0)</f>
        <v>0.15463917525773194</v>
      </c>
      <c r="U289" s="44">
        <f>IF(Mecze[[#This Row],[Role]]&lt;&gt;"BR",SUMPRODUCT(Mecze[[#This Row],[/PR:90]:[/BR:90]],Brudnopis!$E$25:$J$25),0)</f>
        <v>0.21134020618556701</v>
      </c>
      <c r="V289" s="44">
        <f>IF(Mecze[[#This Row],[Role]]&lt;&gt;"BR",SUMPRODUCT(Mecze[[#This Row],[/PR:90]:[/BR:90]],Brudnopis!$E$26:$J$26),0)</f>
        <v>0.15463917525773194</v>
      </c>
      <c r="W289" s="44">
        <f>IF(Mecze[[#This Row],[Role]]&lt;&gt;"BR",SUMPRODUCT(Mecze[[#This Row],[/PR:90]:[/BR:90]],Brudnopis!$E$27:$J$27),0)</f>
        <v>0.20360824742268041</v>
      </c>
      <c r="X289" s="44">
        <f>IF(Mecze[[#This Row],[Role]]&lt;&gt;"BR",SUMPRODUCT(Mecze[[#This Row],[/PR:90]:[/BR:90]],Brudnopis!$E$28:$J$28),0)</f>
        <v>0.13402061855670103</v>
      </c>
      <c r="Y289" s="35">
        <f>IF(Mecze[[#This Row],[Role]]="BR",Mecze[[#This Row],[/OB:90]]+Mecze[[#This Row],[/PC:90]],SUM(Mecze[[#This Row],[/PR:90]:[/BR:90]]))</f>
        <v>0.15463917525773194</v>
      </c>
      <c r="Z289" s="35">
        <f>IF(Mecze[[#This Row],[KC]]=0,SUM(Mecze[[#This Row],[/BRI]:[/NPI]]),SUM(Mecze[[#This Row],[/BRI]:[/NPI]])*0.6)</f>
        <v>0.85824742268041221</v>
      </c>
      <c r="AA289" s="10">
        <f>IFERROR(Mecze[[#This Row],[BR]]/Mecze[[#This Row],[ST]],0)</f>
        <v>0</v>
      </c>
      <c r="AB289">
        <f>ROUND(Mecze[[#This Row],[PD]]*Mecze[[#This Row],[%PC]],0)</f>
        <v>11</v>
      </c>
      <c r="AC289">
        <f>ROUND(Mecze[[#This Row],[OD]]*Mecze[[#This Row],[%OU]],0)</f>
        <v>0</v>
      </c>
      <c r="AD289" s="41" t="s">
        <v>44</v>
      </c>
      <c r="AE289" s="36">
        <v>17</v>
      </c>
      <c r="AF289" s="71">
        <v>4.7699999999999996</v>
      </c>
      <c r="AG289" s="37">
        <v>0</v>
      </c>
      <c r="AH289" s="37">
        <v>0</v>
      </c>
      <c r="AI289" s="37">
        <v>97</v>
      </c>
      <c r="AJ289" s="37">
        <v>11</v>
      </c>
      <c r="AK289" s="37" t="str">
        <f>VLOOKUP(Mecze[[#This Row],[Match ID]],Meczusie[Mecz]:Meczusie[RodzajMeczu],2,FALSE)</f>
        <v>Liga</v>
      </c>
    </row>
    <row r="290" spans="1:37" x14ac:dyDescent="0.25">
      <c r="A290" s="76">
        <v>10</v>
      </c>
      <c r="B290" s="3" t="s">
        <v>328</v>
      </c>
      <c r="C290" s="2" t="s">
        <v>165</v>
      </c>
      <c r="D290" s="1">
        <v>0</v>
      </c>
      <c r="E290" s="1">
        <v>4</v>
      </c>
      <c r="F290" s="1">
        <v>4</v>
      </c>
      <c r="G290" s="1">
        <v>12</v>
      </c>
      <c r="H290" s="4">
        <v>0.83</v>
      </c>
      <c r="I290" s="1">
        <v>0</v>
      </c>
      <c r="J290" s="4"/>
      <c r="K290" s="1">
        <v>0</v>
      </c>
      <c r="L290" s="1">
        <v>1</v>
      </c>
      <c r="M290" s="32">
        <f>IF(Mecze[[#This Row],[PR]]=0,0,Mecze[[#This Row],[PR]]/Mecze[[#This Row],[CZAS]])</f>
        <v>1.0309278350515464E-2</v>
      </c>
      <c r="N290" s="32">
        <f>IF(Mecze[[#This Row],[OU]]=0,0,Mecze[[#This Row],[OU]]/Mecze[[#This Row],[CZAS]])</f>
        <v>0</v>
      </c>
      <c r="O290" s="32">
        <f>IF(Mecze[[#This Row],[PC]]=0,0,Mecze[[#This Row],[PC]]/Mecze[[#This Row],[CZAS]])</f>
        <v>0.10309278350515463</v>
      </c>
      <c r="P290" s="32">
        <f>IF(Mecze[[#This Row],[SC]]=0,0,Mecze[[#This Row],[SC]]/Mecze[[#This Row],[CZAS]])</f>
        <v>4.1237113402061855E-2</v>
      </c>
      <c r="Q290" s="32">
        <f>IF(Mecze[[#This Row],[OB]]=0,0,Mecze[[#This Row],[OB]]/Mecze[[#This Row],[CZAS]])</f>
        <v>0</v>
      </c>
      <c r="R290" s="32">
        <f>IF(Mecze[[#This Row],[BR]]=0,0,Mecze[[#This Row],[BR]]/Mecze[[#This Row],[CZAS]])</f>
        <v>0</v>
      </c>
      <c r="S290" s="44">
        <f>IF(Mecze[[#This Row],[Role]]="BR",SUMPRODUCT(Mecze[[#This Row],[/PR:90]:[/BR:90]],Brudnopis!$E$23:$J$23),0)</f>
        <v>0</v>
      </c>
      <c r="T290" s="44">
        <f>IF(Mecze[[#This Row],[Role]]&lt;&gt;"BR",SUMPRODUCT(Mecze[[#This Row],[/PR:90]:[/BR:90]],Brudnopis!$E$24:$J$24),0)</f>
        <v>0.15463917525773196</v>
      </c>
      <c r="U290" s="44">
        <f>IF(Mecze[[#This Row],[Role]]&lt;&gt;"BR",SUMPRODUCT(Mecze[[#This Row],[/PR:90]:[/BR:90]],Brudnopis!$E$25:$J$25),0)</f>
        <v>0.20618556701030927</v>
      </c>
      <c r="V290" s="44">
        <f>IF(Mecze[[#This Row],[Role]]&lt;&gt;"BR",SUMPRODUCT(Mecze[[#This Row],[/PR:90]:[/BR:90]],Brudnopis!$E$26:$J$26),0)</f>
        <v>0.15463917525773196</v>
      </c>
      <c r="W290" s="44">
        <f>IF(Mecze[[#This Row],[Role]]&lt;&gt;"BR",SUMPRODUCT(Mecze[[#This Row],[/PR:90]:[/BR:90]],Brudnopis!$E$27:$J$27),0)</f>
        <v>0.20360824742268041</v>
      </c>
      <c r="X290" s="44">
        <f>IF(Mecze[[#This Row],[Role]]&lt;&gt;"BR",SUMPRODUCT(Mecze[[#This Row],[/PR:90]:[/BR:90]],Brudnopis!$E$28:$J$28),0)</f>
        <v>0.18556701030927836</v>
      </c>
      <c r="Y290" s="35">
        <f>IF(Mecze[[#This Row],[Role]]="BR",Mecze[[#This Row],[/OB:90]]+Mecze[[#This Row],[/PC:90]],SUM(Mecze[[#This Row],[/PR:90]:[/BR:90]]))</f>
        <v>0.15463917525773196</v>
      </c>
      <c r="Z290" s="35">
        <f>IF(Mecze[[#This Row],[KC]]=0,SUM(Mecze[[#This Row],[/BRI]:[/NPI]]),SUM(Mecze[[#This Row],[/BRI]:[/NPI]])*0.6)</f>
        <v>0.90463917525773185</v>
      </c>
      <c r="AA290" s="10">
        <f>IFERROR(Mecze[[#This Row],[BR]]/Mecze[[#This Row],[ST]],0)</f>
        <v>0</v>
      </c>
      <c r="AB290">
        <f>ROUND(Mecze[[#This Row],[PD]]*Mecze[[#This Row],[%PC]],0)</f>
        <v>10</v>
      </c>
      <c r="AC290">
        <f>ROUND(Mecze[[#This Row],[OD]]*Mecze[[#This Row],[%OU]],0)</f>
        <v>0</v>
      </c>
      <c r="AD290" s="41" t="s">
        <v>46</v>
      </c>
      <c r="AE290" s="36">
        <v>17</v>
      </c>
      <c r="AF290" s="71">
        <v>5.84</v>
      </c>
      <c r="AG290" s="37">
        <v>0</v>
      </c>
      <c r="AH290" s="37">
        <v>0</v>
      </c>
      <c r="AI290" s="37">
        <v>97</v>
      </c>
      <c r="AJ290" s="37">
        <v>11</v>
      </c>
      <c r="AK290" s="37" t="str">
        <f>VLOOKUP(Mecze[[#This Row],[Match ID]],Meczusie[Mecz]:Meczusie[RodzajMeczu],2,FALSE)</f>
        <v>Liga</v>
      </c>
    </row>
    <row r="291" spans="1:37" x14ac:dyDescent="0.25">
      <c r="A291" s="76">
        <v>14</v>
      </c>
      <c r="B291" s="3" t="s">
        <v>330</v>
      </c>
      <c r="C291" s="2" t="s">
        <v>165</v>
      </c>
      <c r="D291" s="1">
        <v>0</v>
      </c>
      <c r="E291" s="1">
        <v>0</v>
      </c>
      <c r="F291" s="1">
        <v>0</v>
      </c>
      <c r="G291" s="1">
        <v>4</v>
      </c>
      <c r="H291" s="4">
        <v>0.75</v>
      </c>
      <c r="I291" s="1">
        <v>1</v>
      </c>
      <c r="J291" s="4">
        <v>0</v>
      </c>
      <c r="K291" s="1">
        <v>0</v>
      </c>
      <c r="L291" s="1">
        <v>0</v>
      </c>
      <c r="M291" s="32">
        <f>IF(Mecze[[#This Row],[PR]]=0,0,Mecze[[#This Row],[PR]]/Mecze[[#This Row],[CZAS]])</f>
        <v>0</v>
      </c>
      <c r="N291" s="32">
        <f>IF(Mecze[[#This Row],[OU]]=0,0,Mecze[[#This Row],[OU]]/Mecze[[#This Row],[CZAS]])</f>
        <v>0</v>
      </c>
      <c r="O291" s="32">
        <f>IF(Mecze[[#This Row],[PC]]=0,0,Mecze[[#This Row],[PC]]/Mecze[[#This Row],[CZAS]])</f>
        <v>3.0927835051546393E-2</v>
      </c>
      <c r="P291" s="32">
        <f>IF(Mecze[[#This Row],[SC]]=0,0,Mecze[[#This Row],[SC]]/Mecze[[#This Row],[CZAS]])</f>
        <v>0</v>
      </c>
      <c r="Q291" s="32">
        <f>IF(Mecze[[#This Row],[OB]]=0,0,Mecze[[#This Row],[OB]]/Mecze[[#This Row],[CZAS]])</f>
        <v>0</v>
      </c>
      <c r="R291" s="32">
        <f>IF(Mecze[[#This Row],[BR]]=0,0,Mecze[[#This Row],[BR]]/Mecze[[#This Row],[CZAS]])</f>
        <v>0</v>
      </c>
      <c r="S291" s="44">
        <f>IF(Mecze[[#This Row],[Role]]="BR",SUMPRODUCT(Mecze[[#This Row],[/PR:90]:[/BR:90]],Brudnopis!$E$23:$J$23),0)</f>
        <v>0</v>
      </c>
      <c r="T291" s="44">
        <f>IF(Mecze[[#This Row],[Role]]&lt;&gt;"BR",SUMPRODUCT(Mecze[[#This Row],[/PR:90]:[/BR:90]],Brudnopis!$E$24:$J$24),0)</f>
        <v>3.0927835051546393E-2</v>
      </c>
      <c r="U291" s="44">
        <f>IF(Mecze[[#This Row],[Role]]&lt;&gt;"BR",SUMPRODUCT(Mecze[[#This Row],[/PR:90]:[/BR:90]],Brudnopis!$E$25:$J$25),0)</f>
        <v>4.6391752577319589E-2</v>
      </c>
      <c r="V291" s="44">
        <f>IF(Mecze[[#This Row],[Role]]&lt;&gt;"BR",SUMPRODUCT(Mecze[[#This Row],[/PR:90]:[/BR:90]],Brudnopis!$E$26:$J$26),0)</f>
        <v>3.0927835051546393E-2</v>
      </c>
      <c r="W291" s="44">
        <f>IF(Mecze[[#This Row],[Role]]&lt;&gt;"BR",SUMPRODUCT(Mecze[[#This Row],[/PR:90]:[/BR:90]],Brudnopis!$E$27:$J$27),0)</f>
        <v>4.6391752577319589E-2</v>
      </c>
      <c r="X291" s="44">
        <f>IF(Mecze[[#This Row],[Role]]&lt;&gt;"BR",SUMPRODUCT(Mecze[[#This Row],[/PR:90]:[/BR:90]],Brudnopis!$E$28:$J$28),0)</f>
        <v>3.0927835051546393E-2</v>
      </c>
      <c r="Y291" s="35">
        <f>IF(Mecze[[#This Row],[Role]]="BR",Mecze[[#This Row],[/OB:90]]+Mecze[[#This Row],[/PC:90]],SUM(Mecze[[#This Row],[/PR:90]:[/BR:90]]))</f>
        <v>3.0927835051546393E-2</v>
      </c>
      <c r="Z291" s="35">
        <f>IF(Mecze[[#This Row],[KC]]=0,SUM(Mecze[[#This Row],[/BRI]:[/NPI]]),SUM(Mecze[[#This Row],[/BRI]:[/NPI]])*0.6)</f>
        <v>0.18556701030927836</v>
      </c>
      <c r="AA291" s="10">
        <f>IFERROR(Mecze[[#This Row],[BR]]/Mecze[[#This Row],[ST]],0)</f>
        <v>0</v>
      </c>
      <c r="AB291">
        <f>ROUND(Mecze[[#This Row],[PD]]*Mecze[[#This Row],[%PC]],0)</f>
        <v>3</v>
      </c>
      <c r="AC291">
        <f>ROUND(Mecze[[#This Row],[OD]]*Mecze[[#This Row],[%OU]],0)</f>
        <v>0</v>
      </c>
      <c r="AD291" s="41" t="s">
        <v>273</v>
      </c>
      <c r="AE291" s="36">
        <v>17</v>
      </c>
      <c r="AF291" s="71">
        <v>2.71</v>
      </c>
      <c r="AG291" s="37">
        <v>0</v>
      </c>
      <c r="AH291" s="37">
        <v>0</v>
      </c>
      <c r="AI291" s="37">
        <v>97</v>
      </c>
      <c r="AJ291" s="37">
        <v>11</v>
      </c>
      <c r="AK291" s="37" t="str">
        <f>VLOOKUP(Mecze[[#This Row],[Match ID]],Meczusie[Mecz]:Meczusie[RodzajMeczu],2,FALSE)</f>
        <v>Liga</v>
      </c>
    </row>
    <row r="292" spans="1:37" x14ac:dyDescent="0.25">
      <c r="A292" s="76">
        <v>11</v>
      </c>
      <c r="B292" s="3" t="s">
        <v>329</v>
      </c>
      <c r="C292" s="2" t="s">
        <v>165</v>
      </c>
      <c r="D292" s="1">
        <v>0</v>
      </c>
      <c r="E292" s="1">
        <v>5</v>
      </c>
      <c r="F292" s="1">
        <v>4</v>
      </c>
      <c r="G292" s="1">
        <v>15</v>
      </c>
      <c r="H292" s="4">
        <v>0.73</v>
      </c>
      <c r="I292" s="1">
        <v>0</v>
      </c>
      <c r="J292" s="4"/>
      <c r="K292" s="1">
        <v>0</v>
      </c>
      <c r="L292" s="1">
        <v>0</v>
      </c>
      <c r="M292" s="32">
        <f>IF(Mecze[[#This Row],[PR]]=0,0,Mecze[[#This Row],[PR]]/Mecze[[#This Row],[CZAS]])</f>
        <v>0</v>
      </c>
      <c r="N292" s="32">
        <f>IF(Mecze[[#This Row],[OU]]=0,0,Mecze[[#This Row],[OU]]/Mecze[[#This Row],[CZAS]])</f>
        <v>0</v>
      </c>
      <c r="O292" s="32">
        <f>IF(Mecze[[#This Row],[PC]]=0,0,Mecze[[#This Row],[PC]]/Mecze[[#This Row],[CZAS]])</f>
        <v>0.1134020618556701</v>
      </c>
      <c r="P292" s="32">
        <f>IF(Mecze[[#This Row],[SC]]=0,0,Mecze[[#This Row],[SC]]/Mecze[[#This Row],[CZAS]])</f>
        <v>4.1237113402061855E-2</v>
      </c>
      <c r="Q292" s="32">
        <f>IF(Mecze[[#This Row],[OB]]=0,0,Mecze[[#This Row],[OB]]/Mecze[[#This Row],[CZAS]])</f>
        <v>0</v>
      </c>
      <c r="R292" s="32">
        <f>IF(Mecze[[#This Row],[BR]]=0,0,Mecze[[#This Row],[BR]]/Mecze[[#This Row],[CZAS]])</f>
        <v>0</v>
      </c>
      <c r="S292" s="44">
        <f>IF(Mecze[[#This Row],[Role]]="BR",SUMPRODUCT(Mecze[[#This Row],[/PR:90]:[/BR:90]],Brudnopis!$E$23:$J$23),0)</f>
        <v>0</v>
      </c>
      <c r="T292" s="44">
        <f>IF(Mecze[[#This Row],[Role]]&lt;&gt;"BR",SUMPRODUCT(Mecze[[#This Row],[/PR:90]:[/BR:90]],Brudnopis!$E$24:$J$24),0)</f>
        <v>0.15463917525773196</v>
      </c>
      <c r="U292" s="44">
        <f>IF(Mecze[[#This Row],[Role]]&lt;&gt;"BR",SUMPRODUCT(Mecze[[#This Row],[/PR:90]:[/BR:90]],Brudnopis!$E$25:$J$25),0)</f>
        <v>0.21134020618556701</v>
      </c>
      <c r="V292" s="44">
        <f>IF(Mecze[[#This Row],[Role]]&lt;&gt;"BR",SUMPRODUCT(Mecze[[#This Row],[/PR:90]:[/BR:90]],Brudnopis!$E$26:$J$26),0)</f>
        <v>0.15463917525773196</v>
      </c>
      <c r="W292" s="44">
        <f>IF(Mecze[[#This Row],[Role]]&lt;&gt;"BR",SUMPRODUCT(Mecze[[#This Row],[/PR:90]:[/BR:90]],Brudnopis!$E$27:$J$27),0)</f>
        <v>0.21134020618556701</v>
      </c>
      <c r="X292" s="44">
        <f>IF(Mecze[[#This Row],[Role]]&lt;&gt;"BR",SUMPRODUCT(Mecze[[#This Row],[/PR:90]:[/BR:90]],Brudnopis!$E$28:$J$28),0)</f>
        <v>0.19587628865979381</v>
      </c>
      <c r="Y292" s="35">
        <f>IF(Mecze[[#This Row],[Role]]="BR",Mecze[[#This Row],[/OB:90]]+Mecze[[#This Row],[/PC:90]],SUM(Mecze[[#This Row],[/PR:90]:[/BR:90]]))</f>
        <v>0.15463917525773196</v>
      </c>
      <c r="Z292" s="35">
        <f>IF(Mecze[[#This Row],[KC]]=0,SUM(Mecze[[#This Row],[/BRI]:[/NPI]]),SUM(Mecze[[#This Row],[/BRI]:[/NPI]])*0.6)</f>
        <v>0.92783505154639179</v>
      </c>
      <c r="AA292" s="10">
        <f>IFERROR(Mecze[[#This Row],[BR]]/Mecze[[#This Row],[ST]],0)</f>
        <v>0</v>
      </c>
      <c r="AB292">
        <f>ROUND(Mecze[[#This Row],[PD]]*Mecze[[#This Row],[%PC]],0)</f>
        <v>11</v>
      </c>
      <c r="AC292">
        <f>ROUND(Mecze[[#This Row],[OD]]*Mecze[[#This Row],[%OU]],0)</f>
        <v>0</v>
      </c>
      <c r="AD292" s="41" t="s">
        <v>272</v>
      </c>
      <c r="AE292" s="36">
        <v>17</v>
      </c>
      <c r="AF292" s="71">
        <v>4.92</v>
      </c>
      <c r="AG292" s="37">
        <v>0</v>
      </c>
      <c r="AH292" s="37">
        <v>0</v>
      </c>
      <c r="AI292" s="37">
        <v>97</v>
      </c>
      <c r="AJ292" s="37">
        <v>11</v>
      </c>
      <c r="AK292" s="37" t="str">
        <f>VLOOKUP(Mecze[[#This Row],[Match ID]],Meczusie[Mecz]:Meczusie[RodzajMeczu],2,FALSE)</f>
        <v>Liga</v>
      </c>
    </row>
    <row r="293" spans="1:37" x14ac:dyDescent="0.25">
      <c r="A293" s="76">
        <v>110</v>
      </c>
      <c r="B293" s="3" t="s">
        <v>333</v>
      </c>
      <c r="C293" s="2" t="s">
        <v>155</v>
      </c>
      <c r="D293" s="1">
        <v>0</v>
      </c>
      <c r="E293" s="1">
        <v>0</v>
      </c>
      <c r="F293" s="1">
        <v>0</v>
      </c>
      <c r="G293" s="1">
        <v>9</v>
      </c>
      <c r="H293" s="4">
        <v>0.22</v>
      </c>
      <c r="I293" s="1">
        <v>0</v>
      </c>
      <c r="J293" s="4"/>
      <c r="K293" s="1">
        <v>9</v>
      </c>
      <c r="L293" s="1">
        <v>0</v>
      </c>
      <c r="M293" s="32">
        <f>IF(Mecze[[#This Row],[PR]]=0,0,Mecze[[#This Row],[PR]]/Mecze[[#This Row],[CZAS]])</f>
        <v>0</v>
      </c>
      <c r="N293" s="32">
        <f>IF(Mecze[[#This Row],[OU]]=0,0,Mecze[[#This Row],[OU]]/Mecze[[#This Row],[CZAS]])</f>
        <v>0</v>
      </c>
      <c r="O293" s="32">
        <f>IF(Mecze[[#This Row],[PC]]=0,0,Mecze[[#This Row],[PC]]/Mecze[[#This Row],[CZAS]])</f>
        <v>2.0618556701030927E-2</v>
      </c>
      <c r="P293" s="32">
        <f>IF(Mecze[[#This Row],[SC]]=0,0,Mecze[[#This Row],[SC]]/Mecze[[#This Row],[CZAS]])</f>
        <v>0</v>
      </c>
      <c r="Q293" s="32">
        <f>IF(Mecze[[#This Row],[OB]]=0,0,Mecze[[#This Row],[OB]]/Mecze[[#This Row],[CZAS]])</f>
        <v>9.2783505154639179E-2</v>
      </c>
      <c r="R293" s="32">
        <f>IF(Mecze[[#This Row],[BR]]=0,0,Mecze[[#This Row],[BR]]/Mecze[[#This Row],[CZAS]])</f>
        <v>0</v>
      </c>
      <c r="S293" s="44">
        <f>IF(Mecze[[#This Row],[Role]]="BR",SUMPRODUCT(Mecze[[#This Row],[/PR:90]:[/BR:90]],Brudnopis!$E$23:$J$23),0)</f>
        <v>0.34020618556701032</v>
      </c>
      <c r="T293" s="44">
        <f>IF(Mecze[[#This Row],[Role]]&lt;&gt;"BR",SUMPRODUCT(Mecze[[#This Row],[/PR:90]:[/BR:90]],Brudnopis!$E$24:$J$24),0)</f>
        <v>0</v>
      </c>
      <c r="U293" s="44">
        <f>IF(Mecze[[#This Row],[Role]]&lt;&gt;"BR",SUMPRODUCT(Mecze[[#This Row],[/PR:90]:[/BR:90]],Brudnopis!$E$25:$J$25),0)</f>
        <v>0</v>
      </c>
      <c r="V293" s="44">
        <f>IF(Mecze[[#This Row],[Role]]&lt;&gt;"BR",SUMPRODUCT(Mecze[[#This Row],[/PR:90]:[/BR:90]],Brudnopis!$E$26:$J$26),0)</f>
        <v>0</v>
      </c>
      <c r="W293" s="44">
        <f>IF(Mecze[[#This Row],[Role]]&lt;&gt;"BR",SUMPRODUCT(Mecze[[#This Row],[/PR:90]:[/BR:90]],Brudnopis!$E$27:$J$27),0)</f>
        <v>0</v>
      </c>
      <c r="X293" s="44">
        <f>IF(Mecze[[#This Row],[Role]]&lt;&gt;"BR",SUMPRODUCT(Mecze[[#This Row],[/PR:90]:[/BR:90]],Brudnopis!$E$28:$J$28),0)</f>
        <v>0</v>
      </c>
      <c r="Y293" s="35">
        <f>IF(Mecze[[#This Row],[Role]]="BR",Mecze[[#This Row],[/OB:90]]+Mecze[[#This Row],[/PC:90]],SUM(Mecze[[#This Row],[/PR:90]:[/BR:90]]))</f>
        <v>0.1134020618556701</v>
      </c>
      <c r="Z293" s="35">
        <f>IF(Mecze[[#This Row],[KC]]=0,SUM(Mecze[[#This Row],[/BRI]:[/NPI]]),SUM(Mecze[[#This Row],[/BRI]:[/NPI]])*0.6)</f>
        <v>0.34020618556701032</v>
      </c>
      <c r="AA293" s="10">
        <f>IFERROR(Mecze[[#This Row],[BR]]/Mecze[[#This Row],[ST]],0)</f>
        <v>0</v>
      </c>
      <c r="AB293">
        <f>ROUND(Mecze[[#This Row],[PD]]*Mecze[[#This Row],[%PC]],0)</f>
        <v>2</v>
      </c>
      <c r="AC293">
        <f>ROUND(Mecze[[#This Row],[OD]]*Mecze[[#This Row],[%OU]],0)</f>
        <v>0</v>
      </c>
      <c r="AD293" s="36" t="s">
        <v>40</v>
      </c>
      <c r="AE293" s="36">
        <v>17</v>
      </c>
      <c r="AF293" s="71">
        <v>10.19</v>
      </c>
      <c r="AG293" s="37">
        <v>0</v>
      </c>
      <c r="AH293" s="37">
        <v>0</v>
      </c>
      <c r="AI293" s="37">
        <v>97</v>
      </c>
      <c r="AJ293" s="37">
        <v>7</v>
      </c>
      <c r="AK293" s="37" t="str">
        <f>VLOOKUP(Mecze[[#This Row],[Match ID]],Meczusie[Mecz]:Meczusie[RodzajMeczu],2,FALSE)</f>
        <v>Liga</v>
      </c>
    </row>
    <row r="294" spans="1:37" x14ac:dyDescent="0.25">
      <c r="A294" s="76">
        <v>204</v>
      </c>
      <c r="B294" s="3" t="s">
        <v>334</v>
      </c>
      <c r="C294" s="2" t="s">
        <v>157</v>
      </c>
      <c r="D294" s="1">
        <v>0</v>
      </c>
      <c r="E294" s="1">
        <v>0</v>
      </c>
      <c r="F294" s="1">
        <v>0</v>
      </c>
      <c r="G294" s="1">
        <v>4</v>
      </c>
      <c r="H294" s="4">
        <v>1</v>
      </c>
      <c r="I294" s="1">
        <v>4</v>
      </c>
      <c r="J294" s="4">
        <v>0.75</v>
      </c>
      <c r="K294" s="1">
        <v>0</v>
      </c>
      <c r="L294" s="1">
        <v>1</v>
      </c>
      <c r="M294" s="32">
        <f>IF(Mecze[[#This Row],[PR]]=0,0,Mecze[[#This Row],[PR]]/Mecze[[#This Row],[CZAS]])</f>
        <v>2.4390243902439025E-2</v>
      </c>
      <c r="N294" s="32">
        <f>IF(Mecze[[#This Row],[OU]]=0,0,Mecze[[#This Row],[OU]]/Mecze[[#This Row],[CZAS]])</f>
        <v>7.3170731707317069E-2</v>
      </c>
      <c r="O294" s="32">
        <f>IF(Mecze[[#This Row],[PC]]=0,0,Mecze[[#This Row],[PC]]/Mecze[[#This Row],[CZAS]])</f>
        <v>9.7560975609756101E-2</v>
      </c>
      <c r="P294" s="32">
        <f>IF(Mecze[[#This Row],[SC]]=0,0,Mecze[[#This Row],[SC]]/Mecze[[#This Row],[CZAS]])</f>
        <v>0</v>
      </c>
      <c r="Q294" s="32">
        <f>IF(Mecze[[#This Row],[OB]]=0,0,Mecze[[#This Row],[OB]]/Mecze[[#This Row],[CZAS]])</f>
        <v>0</v>
      </c>
      <c r="R294" s="32">
        <f>IF(Mecze[[#This Row],[BR]]=0,0,Mecze[[#This Row],[BR]]/Mecze[[#This Row],[CZAS]])</f>
        <v>0</v>
      </c>
      <c r="S294" s="44">
        <f>IF(Mecze[[#This Row],[Role]]="BR",SUMPRODUCT(Mecze[[#This Row],[/PR:90]:[/BR:90]],Brudnopis!$E$23:$J$23),0)</f>
        <v>0</v>
      </c>
      <c r="T294" s="44">
        <f>IF(Mecze[[#This Row],[Role]]&lt;&gt;"BR",SUMPRODUCT(Mecze[[#This Row],[/PR:90]:[/BR:90]],Brudnopis!$E$24:$J$24),0)</f>
        <v>0.23170731707317072</v>
      </c>
      <c r="U294" s="44">
        <f>IF(Mecze[[#This Row],[Role]]&lt;&gt;"BR",SUMPRODUCT(Mecze[[#This Row],[/PR:90]:[/BR:90]],Brudnopis!$E$25:$J$25),0)</f>
        <v>0.24390243902439027</v>
      </c>
      <c r="V294" s="44">
        <f>IF(Mecze[[#This Row],[Role]]&lt;&gt;"BR",SUMPRODUCT(Mecze[[#This Row],[/PR:90]:[/BR:90]],Brudnopis!$E$26:$J$26),0)</f>
        <v>0.1951219512195122</v>
      </c>
      <c r="W294" s="44">
        <f>IF(Mecze[[#This Row],[Role]]&lt;&gt;"BR",SUMPRODUCT(Mecze[[#This Row],[/PR:90]:[/BR:90]],Brudnopis!$E$27:$J$27),0)</f>
        <v>0.21951219512195125</v>
      </c>
      <c r="X294" s="44">
        <f>IF(Mecze[[#This Row],[Role]]&lt;&gt;"BR",SUMPRODUCT(Mecze[[#This Row],[/PR:90]:[/BR:90]],Brudnopis!$E$28:$J$28),0)</f>
        <v>9.7560975609756101E-2</v>
      </c>
      <c r="Y294" s="35">
        <f>IF(Mecze[[#This Row],[Role]]="BR",Mecze[[#This Row],[/OB:90]]+Mecze[[#This Row],[/PC:90]],SUM(Mecze[[#This Row],[/PR:90]:[/BR:90]]))</f>
        <v>0.1951219512195122</v>
      </c>
      <c r="Z294" s="35">
        <f>IF(Mecze[[#This Row],[KC]]=0,SUM(Mecze[[#This Row],[/BRI]:[/NPI]]),SUM(Mecze[[#This Row],[/BRI]:[/NPI]])*0.6)</f>
        <v>0.59268292682926815</v>
      </c>
      <c r="AA294" s="10">
        <f>IFERROR(Mecze[[#This Row],[BR]]/Mecze[[#This Row],[ST]],0)</f>
        <v>0</v>
      </c>
      <c r="AB294">
        <f>ROUND(Mecze[[#This Row],[PD]]*Mecze[[#This Row],[%PC]],0)</f>
        <v>4</v>
      </c>
      <c r="AC294">
        <f>ROUND(Mecze[[#This Row],[OD]]*Mecze[[#This Row],[%OU]],0)</f>
        <v>3</v>
      </c>
      <c r="AD294" s="36" t="s">
        <v>47</v>
      </c>
      <c r="AE294" s="36">
        <v>17</v>
      </c>
      <c r="AF294" s="71">
        <v>3.96</v>
      </c>
      <c r="AG294" s="37">
        <v>0</v>
      </c>
      <c r="AH294" s="37">
        <v>1</v>
      </c>
      <c r="AI294" s="37">
        <v>41</v>
      </c>
      <c r="AJ294" s="37">
        <v>7</v>
      </c>
      <c r="AK294" s="37" t="str">
        <f>VLOOKUP(Mecze[[#This Row],[Match ID]],Meczusie[Mecz]:Meczusie[RodzajMeczu],2,FALSE)</f>
        <v>Liga</v>
      </c>
    </row>
    <row r="295" spans="1:37" x14ac:dyDescent="0.25">
      <c r="A295" s="76">
        <v>150</v>
      </c>
      <c r="B295" s="3" t="s">
        <v>335</v>
      </c>
      <c r="C295" s="2" t="s">
        <v>157</v>
      </c>
      <c r="D295" s="1">
        <v>0</v>
      </c>
      <c r="E295" s="1">
        <v>0</v>
      </c>
      <c r="F295" s="1">
        <v>0</v>
      </c>
      <c r="G295" s="1">
        <v>10</v>
      </c>
      <c r="H295" s="4">
        <v>0.7</v>
      </c>
      <c r="I295" s="1">
        <v>11</v>
      </c>
      <c r="J295" s="4">
        <v>0.55000000000000004</v>
      </c>
      <c r="K295" s="1">
        <v>0</v>
      </c>
      <c r="L295" s="1">
        <v>5</v>
      </c>
      <c r="M295" s="32">
        <f>IF(Mecze[[#This Row],[PR]]=0,0,Mecze[[#This Row],[PR]]/Mecze[[#This Row],[CZAS]])</f>
        <v>5.1546391752577317E-2</v>
      </c>
      <c r="N295" s="32">
        <f>IF(Mecze[[#This Row],[OU]]=0,0,Mecze[[#This Row],[OU]]/Mecze[[#This Row],[CZAS]])</f>
        <v>6.1855670103092786E-2</v>
      </c>
      <c r="O295" s="32">
        <f>IF(Mecze[[#This Row],[PC]]=0,0,Mecze[[#This Row],[PC]]/Mecze[[#This Row],[CZAS]])</f>
        <v>7.2164948453608241E-2</v>
      </c>
      <c r="P295" s="32">
        <f>IF(Mecze[[#This Row],[SC]]=0,0,Mecze[[#This Row],[SC]]/Mecze[[#This Row],[CZAS]])</f>
        <v>0</v>
      </c>
      <c r="Q295" s="32">
        <f>IF(Mecze[[#This Row],[OB]]=0,0,Mecze[[#This Row],[OB]]/Mecze[[#This Row],[CZAS]])</f>
        <v>0</v>
      </c>
      <c r="R295" s="32">
        <f>IF(Mecze[[#This Row],[BR]]=0,0,Mecze[[#This Row],[BR]]/Mecze[[#This Row],[CZAS]])</f>
        <v>0</v>
      </c>
      <c r="S295" s="44">
        <f>IF(Mecze[[#This Row],[Role]]="BR",SUMPRODUCT(Mecze[[#This Row],[/PR:90]:[/BR:90]],Brudnopis!$E$23:$J$23),0)</f>
        <v>0</v>
      </c>
      <c r="T295" s="44">
        <f>IF(Mecze[[#This Row],[Role]]&lt;&gt;"BR",SUMPRODUCT(Mecze[[#This Row],[/PR:90]:[/BR:90]],Brudnopis!$E$24:$J$24),0)</f>
        <v>0.21649484536082472</v>
      </c>
      <c r="U295" s="44">
        <f>IF(Mecze[[#This Row],[Role]]&lt;&gt;"BR",SUMPRODUCT(Mecze[[#This Row],[/PR:90]:[/BR:90]],Brudnopis!$E$25:$J$25),0)</f>
        <v>0.22164948453608246</v>
      </c>
      <c r="V295" s="44">
        <f>IF(Mecze[[#This Row],[Role]]&lt;&gt;"BR",SUMPRODUCT(Mecze[[#This Row],[/PR:90]:[/BR:90]],Brudnopis!$E$26:$J$26),0)</f>
        <v>0.18556701030927836</v>
      </c>
      <c r="W295" s="44">
        <f>IF(Mecze[[#This Row],[Role]]&lt;&gt;"BR",SUMPRODUCT(Mecze[[#This Row],[/PR:90]:[/BR:90]],Brudnopis!$E$27:$J$27),0)</f>
        <v>0.19329896907216493</v>
      </c>
      <c r="X295" s="44">
        <f>IF(Mecze[[#This Row],[Role]]&lt;&gt;"BR",SUMPRODUCT(Mecze[[#This Row],[/PR:90]:[/BR:90]],Brudnopis!$E$28:$J$28),0)</f>
        <v>7.2164948453608241E-2</v>
      </c>
      <c r="Y295" s="35">
        <f>IF(Mecze[[#This Row],[Role]]="BR",Mecze[[#This Row],[/OB:90]]+Mecze[[#This Row],[/PC:90]],SUM(Mecze[[#This Row],[/PR:90]:[/BR:90]]))</f>
        <v>0.18556701030927836</v>
      </c>
      <c r="Z295" s="35">
        <f>IF(Mecze[[#This Row],[KC]]=0,SUM(Mecze[[#This Row],[/BRI]:[/NPI]]),SUM(Mecze[[#This Row],[/BRI]:[/NPI]])*0.6)</f>
        <v>0.88917525773195871</v>
      </c>
      <c r="AA295" s="10">
        <f>IFERROR(Mecze[[#This Row],[BR]]/Mecze[[#This Row],[ST]],0)</f>
        <v>0</v>
      </c>
      <c r="AB295">
        <f>ROUND(Mecze[[#This Row],[PD]]*Mecze[[#This Row],[%PC]],0)</f>
        <v>7</v>
      </c>
      <c r="AC295">
        <f>ROUND(Mecze[[#This Row],[OD]]*Mecze[[#This Row],[%OU]],0)</f>
        <v>6</v>
      </c>
      <c r="AD295" s="36" t="s">
        <v>167</v>
      </c>
      <c r="AE295" s="36">
        <v>17</v>
      </c>
      <c r="AF295" s="71">
        <v>8.1</v>
      </c>
      <c r="AG295" s="37">
        <v>1</v>
      </c>
      <c r="AH295" s="37">
        <v>0</v>
      </c>
      <c r="AI295" s="37">
        <v>97</v>
      </c>
      <c r="AJ295" s="37">
        <v>7</v>
      </c>
      <c r="AK295" s="37" t="str">
        <f>VLOOKUP(Mecze[[#This Row],[Match ID]],Meczusie[Mecz]:Meczusie[RodzajMeczu],2,FALSE)</f>
        <v>Liga</v>
      </c>
    </row>
    <row r="296" spans="1:37" x14ac:dyDescent="0.25">
      <c r="A296" s="76">
        <v>76</v>
      </c>
      <c r="B296" s="3" t="s">
        <v>336</v>
      </c>
      <c r="C296" s="2" t="s">
        <v>157</v>
      </c>
      <c r="D296" s="1">
        <v>0</v>
      </c>
      <c r="E296" s="1">
        <v>0</v>
      </c>
      <c r="F296" s="1">
        <v>0</v>
      </c>
      <c r="G296" s="1">
        <v>7</v>
      </c>
      <c r="H296" s="4">
        <v>0.43</v>
      </c>
      <c r="I296" s="1">
        <v>4</v>
      </c>
      <c r="J296" s="4">
        <v>0.5</v>
      </c>
      <c r="K296" s="1">
        <v>0</v>
      </c>
      <c r="L296" s="1">
        <v>4</v>
      </c>
      <c r="M296" s="32">
        <f>IF(Mecze[[#This Row],[PR]]=0,0,Mecze[[#This Row],[PR]]/Mecze[[#This Row],[CZAS]])</f>
        <v>4.1237113402061855E-2</v>
      </c>
      <c r="N296" s="32">
        <f>IF(Mecze[[#This Row],[OU]]=0,0,Mecze[[#This Row],[OU]]/Mecze[[#This Row],[CZAS]])</f>
        <v>2.0618556701030927E-2</v>
      </c>
      <c r="O296" s="32">
        <f>IF(Mecze[[#This Row],[PC]]=0,0,Mecze[[#This Row],[PC]]/Mecze[[#This Row],[CZAS]])</f>
        <v>3.0927835051546393E-2</v>
      </c>
      <c r="P296" s="32">
        <f>IF(Mecze[[#This Row],[SC]]=0,0,Mecze[[#This Row],[SC]]/Mecze[[#This Row],[CZAS]])</f>
        <v>0</v>
      </c>
      <c r="Q296" s="32">
        <f>IF(Mecze[[#This Row],[OB]]=0,0,Mecze[[#This Row],[OB]]/Mecze[[#This Row],[CZAS]])</f>
        <v>0</v>
      </c>
      <c r="R296" s="32">
        <f>IF(Mecze[[#This Row],[BR]]=0,0,Mecze[[#This Row],[BR]]/Mecze[[#This Row],[CZAS]])</f>
        <v>0</v>
      </c>
      <c r="S296" s="44">
        <f>IF(Mecze[[#This Row],[Role]]="BR",SUMPRODUCT(Mecze[[#This Row],[/PR:90]:[/BR:90]],Brudnopis!$E$23:$J$23),0)</f>
        <v>0</v>
      </c>
      <c r="T296" s="44">
        <f>IF(Mecze[[#This Row],[Role]]&lt;&gt;"BR",SUMPRODUCT(Mecze[[#This Row],[/PR:90]:[/BR:90]],Brudnopis!$E$24:$J$24),0)</f>
        <v>0.10309278350515463</v>
      </c>
      <c r="U296" s="44">
        <f>IF(Mecze[[#This Row],[Role]]&lt;&gt;"BR",SUMPRODUCT(Mecze[[#This Row],[/PR:90]:[/BR:90]],Brudnopis!$E$25:$J$25),0)</f>
        <v>0.10824742268041238</v>
      </c>
      <c r="V296" s="44">
        <f>IF(Mecze[[#This Row],[Role]]&lt;&gt;"BR",SUMPRODUCT(Mecze[[#This Row],[/PR:90]:[/BR:90]],Brudnopis!$E$26:$J$26),0)</f>
        <v>9.2783505154639179E-2</v>
      </c>
      <c r="W296" s="44">
        <f>IF(Mecze[[#This Row],[Role]]&lt;&gt;"BR",SUMPRODUCT(Mecze[[#This Row],[/PR:90]:[/BR:90]],Brudnopis!$E$27:$J$27),0)</f>
        <v>9.2783505154639179E-2</v>
      </c>
      <c r="X296" s="44">
        <f>IF(Mecze[[#This Row],[Role]]&lt;&gt;"BR",SUMPRODUCT(Mecze[[#This Row],[/PR:90]:[/BR:90]],Brudnopis!$E$28:$J$28),0)</f>
        <v>3.0927835051546393E-2</v>
      </c>
      <c r="Y296" s="35">
        <f>IF(Mecze[[#This Row],[Role]]="BR",Mecze[[#This Row],[/OB:90]]+Mecze[[#This Row],[/PC:90]],SUM(Mecze[[#This Row],[/PR:90]:[/BR:90]]))</f>
        <v>9.2783505154639179E-2</v>
      </c>
      <c r="Z296" s="35">
        <f>IF(Mecze[[#This Row],[KC]]=0,SUM(Mecze[[#This Row],[/BRI]:[/NPI]]),SUM(Mecze[[#This Row],[/BRI]:[/NPI]])*0.6)</f>
        <v>0.42783505154639179</v>
      </c>
      <c r="AA296" s="10">
        <f>IFERROR(Mecze[[#This Row],[BR]]/Mecze[[#This Row],[ST]],0)</f>
        <v>0</v>
      </c>
      <c r="AB296">
        <f>ROUND(Mecze[[#This Row],[PD]]*Mecze[[#This Row],[%PC]],0)</f>
        <v>3</v>
      </c>
      <c r="AC296">
        <f>ROUND(Mecze[[#This Row],[OD]]*Mecze[[#This Row],[%OU]],0)</f>
        <v>2</v>
      </c>
      <c r="AD296" s="36" t="s">
        <v>168</v>
      </c>
      <c r="AE296" s="36">
        <v>17</v>
      </c>
      <c r="AF296" s="71">
        <v>9</v>
      </c>
      <c r="AG296" s="37">
        <v>0</v>
      </c>
      <c r="AH296" s="37">
        <v>0</v>
      </c>
      <c r="AI296" s="37">
        <v>97</v>
      </c>
      <c r="AJ296" s="37">
        <v>7</v>
      </c>
      <c r="AK296" s="37" t="str">
        <f>VLOOKUP(Mecze[[#This Row],[Match ID]],Meczusie[Mecz]:Meczusie[RodzajMeczu],2,FALSE)</f>
        <v>Liga</v>
      </c>
    </row>
    <row r="297" spans="1:37" x14ac:dyDescent="0.25">
      <c r="A297" s="76">
        <v>151</v>
      </c>
      <c r="B297" s="3" t="s">
        <v>337</v>
      </c>
      <c r="C297" s="2" t="s">
        <v>160</v>
      </c>
      <c r="D297" s="1">
        <v>0</v>
      </c>
      <c r="E297" s="1">
        <v>0</v>
      </c>
      <c r="F297" s="1">
        <v>0</v>
      </c>
      <c r="G297" s="1">
        <v>13</v>
      </c>
      <c r="H297" s="4">
        <v>0.85</v>
      </c>
      <c r="I297" s="1">
        <v>13</v>
      </c>
      <c r="J297" s="4">
        <v>0.46</v>
      </c>
      <c r="K297" s="1">
        <v>0</v>
      </c>
      <c r="L297" s="1">
        <v>7</v>
      </c>
      <c r="M297" s="32">
        <f>IF(Mecze[[#This Row],[PR]]=0,0,Mecze[[#This Row],[PR]]/Mecze[[#This Row],[CZAS]])</f>
        <v>7.2164948453608241E-2</v>
      </c>
      <c r="N297" s="32">
        <f>IF(Mecze[[#This Row],[OU]]=0,0,Mecze[[#This Row],[OU]]/Mecze[[#This Row],[CZAS]])</f>
        <v>6.1855670103092786E-2</v>
      </c>
      <c r="O297" s="32">
        <f>IF(Mecze[[#This Row],[PC]]=0,0,Mecze[[#This Row],[PC]]/Mecze[[#This Row],[CZAS]])</f>
        <v>0.1134020618556701</v>
      </c>
      <c r="P297" s="32">
        <f>IF(Mecze[[#This Row],[SC]]=0,0,Mecze[[#This Row],[SC]]/Mecze[[#This Row],[CZAS]])</f>
        <v>0</v>
      </c>
      <c r="Q297" s="32">
        <f>IF(Mecze[[#This Row],[OB]]=0,0,Mecze[[#This Row],[OB]]/Mecze[[#This Row],[CZAS]])</f>
        <v>0</v>
      </c>
      <c r="R297" s="32">
        <f>IF(Mecze[[#This Row],[BR]]=0,0,Mecze[[#This Row],[BR]]/Mecze[[#This Row],[CZAS]])</f>
        <v>0</v>
      </c>
      <c r="S297" s="44">
        <f>IF(Mecze[[#This Row],[Role]]="BR",SUMPRODUCT(Mecze[[#This Row],[/PR:90]:[/BR:90]],Brudnopis!$E$23:$J$23),0)</f>
        <v>0</v>
      </c>
      <c r="T297" s="44">
        <f>IF(Mecze[[#This Row],[Role]]&lt;&gt;"BR",SUMPRODUCT(Mecze[[#This Row],[/PR:90]:[/BR:90]],Brudnopis!$E$24:$J$24),0)</f>
        <v>0.27835051546391754</v>
      </c>
      <c r="U297" s="44">
        <f>IF(Mecze[[#This Row],[Role]]&lt;&gt;"BR",SUMPRODUCT(Mecze[[#This Row],[/PR:90]:[/BR:90]],Brudnopis!$E$25:$J$25),0)</f>
        <v>0.30412371134020622</v>
      </c>
      <c r="V297" s="44">
        <f>IF(Mecze[[#This Row],[Role]]&lt;&gt;"BR",SUMPRODUCT(Mecze[[#This Row],[/PR:90]:[/BR:90]],Brudnopis!$E$26:$J$26),0)</f>
        <v>0.24742268041237114</v>
      </c>
      <c r="W297" s="44">
        <f>IF(Mecze[[#This Row],[Role]]&lt;&gt;"BR",SUMPRODUCT(Mecze[[#This Row],[/PR:90]:[/BR:90]],Brudnopis!$E$27:$J$27),0)</f>
        <v>0.27061855670103097</v>
      </c>
      <c r="X297" s="44">
        <f>IF(Mecze[[#This Row],[Role]]&lt;&gt;"BR",SUMPRODUCT(Mecze[[#This Row],[/PR:90]:[/BR:90]],Brudnopis!$E$28:$J$28),0)</f>
        <v>0.1134020618556701</v>
      </c>
      <c r="Y297" s="35">
        <f>IF(Mecze[[#This Row],[Role]]="BR",Mecze[[#This Row],[/OB:90]]+Mecze[[#This Row],[/PC:90]],SUM(Mecze[[#This Row],[/PR:90]:[/BR:90]]))</f>
        <v>0.24742268041237114</v>
      </c>
      <c r="Z297" s="35">
        <f>IF(Mecze[[#This Row],[KC]]=0,SUM(Mecze[[#This Row],[/BRI]:[/NPI]]),SUM(Mecze[[#This Row],[/BRI]:[/NPI]])*0.6)</f>
        <v>1.213917525773196</v>
      </c>
      <c r="AA297" s="10">
        <f>IFERROR(Mecze[[#This Row],[BR]]/Mecze[[#This Row],[ST]],0)</f>
        <v>0</v>
      </c>
      <c r="AB297">
        <f>ROUND(Mecze[[#This Row],[PD]]*Mecze[[#This Row],[%PC]],0)</f>
        <v>11</v>
      </c>
      <c r="AC297">
        <f>ROUND(Mecze[[#This Row],[OD]]*Mecze[[#This Row],[%OU]],0)</f>
        <v>6</v>
      </c>
      <c r="AD297" s="36" t="s">
        <v>41</v>
      </c>
      <c r="AE297" s="36">
        <v>17</v>
      </c>
      <c r="AF297" s="71">
        <v>10.63</v>
      </c>
      <c r="AG297" s="37">
        <v>0</v>
      </c>
      <c r="AH297" s="37">
        <v>0</v>
      </c>
      <c r="AI297" s="37">
        <v>97</v>
      </c>
      <c r="AJ297" s="37">
        <v>7</v>
      </c>
      <c r="AK297" s="37" t="str">
        <f>VLOOKUP(Mecze[[#This Row],[Match ID]],Meczusie[Mecz]:Meczusie[RodzajMeczu],2,FALSE)</f>
        <v>Liga</v>
      </c>
    </row>
    <row r="298" spans="1:37" x14ac:dyDescent="0.25">
      <c r="A298" s="76">
        <v>159</v>
      </c>
      <c r="B298" s="3" t="s">
        <v>338</v>
      </c>
      <c r="C298" s="2" t="s">
        <v>160</v>
      </c>
      <c r="D298" s="1">
        <v>0</v>
      </c>
      <c r="E298" s="1">
        <v>0</v>
      </c>
      <c r="F298" s="1">
        <v>0</v>
      </c>
      <c r="G298" s="1">
        <v>6</v>
      </c>
      <c r="H298" s="4">
        <v>0.83</v>
      </c>
      <c r="I298" s="1">
        <v>6</v>
      </c>
      <c r="J298" s="4">
        <v>0.17</v>
      </c>
      <c r="K298" s="1">
        <v>0</v>
      </c>
      <c r="L298" s="1">
        <v>3</v>
      </c>
      <c r="M298" s="32">
        <f>IF(Mecze[[#This Row],[PR]]=0,0,Mecze[[#This Row],[PR]]/Mecze[[#This Row],[CZAS]])</f>
        <v>3.0927835051546393E-2</v>
      </c>
      <c r="N298" s="32">
        <f>IF(Mecze[[#This Row],[OU]]=0,0,Mecze[[#This Row],[OU]]/Mecze[[#This Row],[CZAS]])</f>
        <v>1.0309278350515464E-2</v>
      </c>
      <c r="O298" s="32">
        <f>IF(Mecze[[#This Row],[PC]]=0,0,Mecze[[#This Row],[PC]]/Mecze[[#This Row],[CZAS]])</f>
        <v>5.1546391752577317E-2</v>
      </c>
      <c r="P298" s="32">
        <f>IF(Mecze[[#This Row],[SC]]=0,0,Mecze[[#This Row],[SC]]/Mecze[[#This Row],[CZAS]])</f>
        <v>0</v>
      </c>
      <c r="Q298" s="32">
        <f>IF(Mecze[[#This Row],[OB]]=0,0,Mecze[[#This Row],[OB]]/Mecze[[#This Row],[CZAS]])</f>
        <v>0</v>
      </c>
      <c r="R298" s="32">
        <f>IF(Mecze[[#This Row],[BR]]=0,0,Mecze[[#This Row],[BR]]/Mecze[[#This Row],[CZAS]])</f>
        <v>0</v>
      </c>
      <c r="S298" s="44">
        <f>IF(Mecze[[#This Row],[Role]]="BR",SUMPRODUCT(Mecze[[#This Row],[/PR:90]:[/BR:90]],Brudnopis!$E$23:$J$23),0)</f>
        <v>0</v>
      </c>
      <c r="T298" s="44">
        <f>IF(Mecze[[#This Row],[Role]]&lt;&gt;"BR",SUMPRODUCT(Mecze[[#This Row],[/PR:90]:[/BR:90]],Brudnopis!$E$24:$J$24),0)</f>
        <v>9.7938144329896906E-2</v>
      </c>
      <c r="U298" s="44">
        <f>IF(Mecze[[#This Row],[Role]]&lt;&gt;"BR",SUMPRODUCT(Mecze[[#This Row],[/PR:90]:[/BR:90]],Brudnopis!$E$25:$J$25),0)</f>
        <v>0.11855670103092783</v>
      </c>
      <c r="V298" s="44">
        <f>IF(Mecze[[#This Row],[Role]]&lt;&gt;"BR",SUMPRODUCT(Mecze[[#This Row],[/PR:90]:[/BR:90]],Brudnopis!$E$26:$J$26),0)</f>
        <v>9.2783505154639179E-2</v>
      </c>
      <c r="W298" s="44">
        <f>IF(Mecze[[#This Row],[Role]]&lt;&gt;"BR",SUMPRODUCT(Mecze[[#This Row],[/PR:90]:[/BR:90]],Brudnopis!$E$27:$J$27),0)</f>
        <v>0.10824742268041238</v>
      </c>
      <c r="X298" s="44">
        <f>IF(Mecze[[#This Row],[Role]]&lt;&gt;"BR",SUMPRODUCT(Mecze[[#This Row],[/PR:90]:[/BR:90]],Brudnopis!$E$28:$J$28),0)</f>
        <v>5.1546391752577317E-2</v>
      </c>
      <c r="Y298" s="35">
        <f>IF(Mecze[[#This Row],[Role]]="BR",Mecze[[#This Row],[/OB:90]]+Mecze[[#This Row],[/PC:90]],SUM(Mecze[[#This Row],[/PR:90]:[/BR:90]]))</f>
        <v>9.2783505154639179E-2</v>
      </c>
      <c r="Z298" s="35">
        <f>IF(Mecze[[#This Row],[KC]]=0,SUM(Mecze[[#This Row],[/BRI]:[/NPI]]),SUM(Mecze[[#This Row],[/BRI]:[/NPI]])*0.6)</f>
        <v>0.46907216494845361</v>
      </c>
      <c r="AA298" s="10">
        <f>IFERROR(Mecze[[#This Row],[BR]]/Mecze[[#This Row],[ST]],0)</f>
        <v>0</v>
      </c>
      <c r="AB298">
        <f>ROUND(Mecze[[#This Row],[PD]]*Mecze[[#This Row],[%PC]],0)</f>
        <v>5</v>
      </c>
      <c r="AC298">
        <f>ROUND(Mecze[[#This Row],[OD]]*Mecze[[#This Row],[%OU]],0)</f>
        <v>1</v>
      </c>
      <c r="AD298" s="36" t="s">
        <v>41</v>
      </c>
      <c r="AE298" s="36">
        <v>17</v>
      </c>
      <c r="AF298" s="71">
        <v>9.7899999999999991</v>
      </c>
      <c r="AG298" s="37">
        <v>0</v>
      </c>
      <c r="AH298" s="37">
        <v>0</v>
      </c>
      <c r="AI298" s="37">
        <v>97</v>
      </c>
      <c r="AJ298" s="37">
        <v>7</v>
      </c>
      <c r="AK298" s="37" t="str">
        <f>VLOOKUP(Mecze[[#This Row],[Match ID]],Meczusie[Mecz]:Meczusie[RodzajMeczu],2,FALSE)</f>
        <v>Liga</v>
      </c>
    </row>
    <row r="299" spans="1:37" x14ac:dyDescent="0.25">
      <c r="A299" s="76">
        <v>200</v>
      </c>
      <c r="B299" s="3" t="s">
        <v>339</v>
      </c>
      <c r="C299" s="2" t="s">
        <v>160</v>
      </c>
      <c r="D299" s="1">
        <v>0</v>
      </c>
      <c r="E299" s="1">
        <v>0</v>
      </c>
      <c r="F299" s="1">
        <v>0</v>
      </c>
      <c r="G299" s="1">
        <v>10</v>
      </c>
      <c r="H299" s="4">
        <v>0.5</v>
      </c>
      <c r="I299" s="1">
        <v>6</v>
      </c>
      <c r="J299" s="4">
        <v>0.67</v>
      </c>
      <c r="K299" s="1">
        <v>0</v>
      </c>
      <c r="L299" s="1">
        <v>5</v>
      </c>
      <c r="M299" s="32">
        <f>IF(Mecze[[#This Row],[PR]]=0,0,Mecze[[#This Row],[PR]]/Mecze[[#This Row],[CZAS]])</f>
        <v>5.1546391752577317E-2</v>
      </c>
      <c r="N299" s="32">
        <f>IF(Mecze[[#This Row],[OU]]=0,0,Mecze[[#This Row],[OU]]/Mecze[[#This Row],[CZAS]])</f>
        <v>4.1237113402061855E-2</v>
      </c>
      <c r="O299" s="32">
        <f>IF(Mecze[[#This Row],[PC]]=0,0,Mecze[[#This Row],[PC]]/Mecze[[#This Row],[CZAS]])</f>
        <v>5.1546391752577317E-2</v>
      </c>
      <c r="P299" s="32">
        <f>IF(Mecze[[#This Row],[SC]]=0,0,Mecze[[#This Row],[SC]]/Mecze[[#This Row],[CZAS]])</f>
        <v>0</v>
      </c>
      <c r="Q299" s="32">
        <f>IF(Mecze[[#This Row],[OB]]=0,0,Mecze[[#This Row],[OB]]/Mecze[[#This Row],[CZAS]])</f>
        <v>0</v>
      </c>
      <c r="R299" s="32">
        <f>IF(Mecze[[#This Row],[BR]]=0,0,Mecze[[#This Row],[BR]]/Mecze[[#This Row],[CZAS]])</f>
        <v>0</v>
      </c>
      <c r="S299" s="44">
        <f>IF(Mecze[[#This Row],[Role]]="BR",SUMPRODUCT(Mecze[[#This Row],[/PR:90]:[/BR:90]],Brudnopis!$E$23:$J$23),0)</f>
        <v>0</v>
      </c>
      <c r="T299" s="44">
        <f>IF(Mecze[[#This Row],[Role]]&lt;&gt;"BR",SUMPRODUCT(Mecze[[#This Row],[/PR:90]:[/BR:90]],Brudnopis!$E$24:$J$24),0)</f>
        <v>0.16494845360824742</v>
      </c>
      <c r="U299" s="44">
        <f>IF(Mecze[[#This Row],[Role]]&lt;&gt;"BR",SUMPRODUCT(Mecze[[#This Row],[/PR:90]:[/BR:90]],Brudnopis!$E$25:$J$25),0)</f>
        <v>0.17010309278350516</v>
      </c>
      <c r="V299" s="44">
        <f>IF(Mecze[[#This Row],[Role]]&lt;&gt;"BR",SUMPRODUCT(Mecze[[#This Row],[/PR:90]:[/BR:90]],Brudnopis!$E$26:$J$26),0)</f>
        <v>0.14432989690721648</v>
      </c>
      <c r="W299" s="44">
        <f>IF(Mecze[[#This Row],[Role]]&lt;&gt;"BR",SUMPRODUCT(Mecze[[#This Row],[/PR:90]:[/BR:90]],Brudnopis!$E$27:$J$27),0)</f>
        <v>0.14690721649484537</v>
      </c>
      <c r="X299" s="44">
        <f>IF(Mecze[[#This Row],[Role]]&lt;&gt;"BR",SUMPRODUCT(Mecze[[#This Row],[/PR:90]:[/BR:90]],Brudnopis!$E$28:$J$28),0)</f>
        <v>5.1546391752577317E-2</v>
      </c>
      <c r="Y299" s="35">
        <f>IF(Mecze[[#This Row],[Role]]="BR",Mecze[[#This Row],[/OB:90]]+Mecze[[#This Row],[/PC:90]],SUM(Mecze[[#This Row],[/PR:90]:[/BR:90]]))</f>
        <v>0.14432989690721648</v>
      </c>
      <c r="Z299" s="35">
        <f>IF(Mecze[[#This Row],[KC]]=0,SUM(Mecze[[#This Row],[/BRI]:[/NPI]]),SUM(Mecze[[#This Row],[/BRI]:[/NPI]])*0.6)</f>
        <v>0.67783505154639179</v>
      </c>
      <c r="AA299" s="10">
        <f>IFERROR(Mecze[[#This Row],[BR]]/Mecze[[#This Row],[ST]],0)</f>
        <v>0</v>
      </c>
      <c r="AB299">
        <f>ROUND(Mecze[[#This Row],[PD]]*Mecze[[#This Row],[%PC]],0)</f>
        <v>5</v>
      </c>
      <c r="AC299">
        <f>ROUND(Mecze[[#This Row],[OD]]*Mecze[[#This Row],[%OU]],0)</f>
        <v>4</v>
      </c>
      <c r="AD299" s="36" t="s">
        <v>67</v>
      </c>
      <c r="AE299" s="36">
        <v>17</v>
      </c>
      <c r="AF299" s="71">
        <v>8.19</v>
      </c>
      <c r="AG299" s="37">
        <v>1</v>
      </c>
      <c r="AH299" s="37">
        <v>0</v>
      </c>
      <c r="AI299" s="37">
        <v>97</v>
      </c>
      <c r="AJ299" s="37">
        <v>7</v>
      </c>
      <c r="AK299" s="37" t="str">
        <f>VLOOKUP(Mecze[[#This Row],[Match ID]],Meczusie[Mecz]:Meczusie[RodzajMeczu],2,FALSE)</f>
        <v>Liga</v>
      </c>
    </row>
    <row r="300" spans="1:37" x14ac:dyDescent="0.25">
      <c r="A300" s="76">
        <v>202</v>
      </c>
      <c r="B300" s="3" t="s">
        <v>340</v>
      </c>
      <c r="C300" s="2" t="s">
        <v>160</v>
      </c>
      <c r="D300" s="1">
        <v>0</v>
      </c>
      <c r="E300" s="1">
        <v>0</v>
      </c>
      <c r="F300" s="1">
        <v>0</v>
      </c>
      <c r="G300" s="1">
        <v>6</v>
      </c>
      <c r="H300" s="4">
        <v>0.83</v>
      </c>
      <c r="I300" s="1">
        <v>5</v>
      </c>
      <c r="J300" s="4">
        <v>0.2</v>
      </c>
      <c r="K300" s="1">
        <v>0</v>
      </c>
      <c r="L300" s="1">
        <v>0</v>
      </c>
      <c r="M300" s="32">
        <f>IF(Mecze[[#This Row],[PR]]=0,0,Mecze[[#This Row],[PR]]/Mecze[[#This Row],[CZAS]])</f>
        <v>0</v>
      </c>
      <c r="N300" s="32">
        <f>IF(Mecze[[#This Row],[OU]]=0,0,Mecze[[#This Row],[OU]]/Mecze[[#This Row],[CZAS]])</f>
        <v>1.0309278350515464E-2</v>
      </c>
      <c r="O300" s="32">
        <f>IF(Mecze[[#This Row],[PC]]=0,0,Mecze[[#This Row],[PC]]/Mecze[[#This Row],[CZAS]])</f>
        <v>5.1546391752577317E-2</v>
      </c>
      <c r="P300" s="32">
        <f>IF(Mecze[[#This Row],[SC]]=0,0,Mecze[[#This Row],[SC]]/Mecze[[#This Row],[CZAS]])</f>
        <v>0</v>
      </c>
      <c r="Q300" s="32">
        <f>IF(Mecze[[#This Row],[OB]]=0,0,Mecze[[#This Row],[OB]]/Mecze[[#This Row],[CZAS]])</f>
        <v>0</v>
      </c>
      <c r="R300" s="32">
        <f>IF(Mecze[[#This Row],[BR]]=0,0,Mecze[[#This Row],[BR]]/Mecze[[#This Row],[CZAS]])</f>
        <v>0</v>
      </c>
      <c r="S300" s="44">
        <f>IF(Mecze[[#This Row],[Role]]="BR",SUMPRODUCT(Mecze[[#This Row],[/PR:90]:[/BR:90]],Brudnopis!$E$23:$J$23),0)</f>
        <v>0</v>
      </c>
      <c r="T300" s="44">
        <f>IF(Mecze[[#This Row],[Role]]&lt;&gt;"BR",SUMPRODUCT(Mecze[[#This Row],[/PR:90]:[/BR:90]],Brudnopis!$E$24:$J$24),0)</f>
        <v>6.7010309278350513E-2</v>
      </c>
      <c r="U300" s="44">
        <f>IF(Mecze[[#This Row],[Role]]&lt;&gt;"BR",SUMPRODUCT(Mecze[[#This Row],[/PR:90]:[/BR:90]],Brudnopis!$E$25:$J$25),0)</f>
        <v>8.7628865979381451E-2</v>
      </c>
      <c r="V300" s="44">
        <f>IF(Mecze[[#This Row],[Role]]&lt;&gt;"BR",SUMPRODUCT(Mecze[[#This Row],[/PR:90]:[/BR:90]],Brudnopis!$E$26:$J$26),0)</f>
        <v>6.1855670103092779E-2</v>
      </c>
      <c r="W300" s="44">
        <f>IF(Mecze[[#This Row],[Role]]&lt;&gt;"BR",SUMPRODUCT(Mecze[[#This Row],[/PR:90]:[/BR:90]],Brudnopis!$E$27:$J$27),0)</f>
        <v>8.505154639175258E-2</v>
      </c>
      <c r="X300" s="44">
        <f>IF(Mecze[[#This Row],[Role]]&lt;&gt;"BR",SUMPRODUCT(Mecze[[#This Row],[/PR:90]:[/BR:90]],Brudnopis!$E$28:$J$28),0)</f>
        <v>5.1546391752577317E-2</v>
      </c>
      <c r="Y300" s="35">
        <f>IF(Mecze[[#This Row],[Role]]="BR",Mecze[[#This Row],[/OB:90]]+Mecze[[#This Row],[/PC:90]],SUM(Mecze[[#This Row],[/PR:90]:[/BR:90]]))</f>
        <v>6.1855670103092779E-2</v>
      </c>
      <c r="Z300" s="35">
        <f>IF(Mecze[[#This Row],[KC]]=0,SUM(Mecze[[#This Row],[/BRI]:[/NPI]]),SUM(Mecze[[#This Row],[/BRI]:[/NPI]])*0.6)</f>
        <v>0.35309278350515466</v>
      </c>
      <c r="AA300" s="10">
        <f>IFERROR(Mecze[[#This Row],[BR]]/Mecze[[#This Row],[ST]],0)</f>
        <v>0</v>
      </c>
      <c r="AB300">
        <f>ROUND(Mecze[[#This Row],[PD]]*Mecze[[#This Row],[%PC]],0)</f>
        <v>5</v>
      </c>
      <c r="AC300">
        <f>ROUND(Mecze[[#This Row],[OD]]*Mecze[[#This Row],[%OU]],0)</f>
        <v>1</v>
      </c>
      <c r="AD300" s="36" t="s">
        <v>44</v>
      </c>
      <c r="AE300" s="36">
        <v>17</v>
      </c>
      <c r="AF300" s="71">
        <v>9.16</v>
      </c>
      <c r="AG300" s="37">
        <v>0</v>
      </c>
      <c r="AH300" s="37">
        <v>0</v>
      </c>
      <c r="AI300" s="37">
        <v>97</v>
      </c>
      <c r="AJ300" s="37">
        <v>7</v>
      </c>
      <c r="AK300" s="37" t="str">
        <f>VLOOKUP(Mecze[[#This Row],[Match ID]],Meczusie[Mecz]:Meczusie[RodzajMeczu],2,FALSE)</f>
        <v>Liga</v>
      </c>
    </row>
    <row r="301" spans="1:37" x14ac:dyDescent="0.25">
      <c r="A301" s="76">
        <v>70</v>
      </c>
      <c r="B301" s="3" t="s">
        <v>341</v>
      </c>
      <c r="C301" s="2" t="s">
        <v>160</v>
      </c>
      <c r="D301" s="1">
        <v>0</v>
      </c>
      <c r="E301" s="1">
        <v>0</v>
      </c>
      <c r="F301" s="1">
        <v>0</v>
      </c>
      <c r="G301" s="1">
        <v>12</v>
      </c>
      <c r="H301" s="4">
        <v>0.92</v>
      </c>
      <c r="I301" s="1">
        <v>1</v>
      </c>
      <c r="J301" s="4">
        <v>0</v>
      </c>
      <c r="K301" s="1">
        <v>0</v>
      </c>
      <c r="L301" s="1">
        <v>0</v>
      </c>
      <c r="M301" s="32">
        <f>IF(Mecze[[#This Row],[PR]]=0,0,Mecze[[#This Row],[PR]]/Mecze[[#This Row],[CZAS]])</f>
        <v>0</v>
      </c>
      <c r="N301" s="32">
        <f>IF(Mecze[[#This Row],[OU]]=0,0,Mecze[[#This Row],[OU]]/Mecze[[#This Row],[CZAS]])</f>
        <v>0</v>
      </c>
      <c r="O301" s="32">
        <f>IF(Mecze[[#This Row],[PC]]=0,0,Mecze[[#This Row],[PC]]/Mecze[[#This Row],[CZAS]])</f>
        <v>0.1134020618556701</v>
      </c>
      <c r="P301" s="32">
        <f>IF(Mecze[[#This Row],[SC]]=0,0,Mecze[[#This Row],[SC]]/Mecze[[#This Row],[CZAS]])</f>
        <v>0</v>
      </c>
      <c r="Q301" s="32">
        <f>IF(Mecze[[#This Row],[OB]]=0,0,Mecze[[#This Row],[OB]]/Mecze[[#This Row],[CZAS]])</f>
        <v>0</v>
      </c>
      <c r="R301" s="32">
        <f>IF(Mecze[[#This Row],[BR]]=0,0,Mecze[[#This Row],[BR]]/Mecze[[#This Row],[CZAS]])</f>
        <v>0</v>
      </c>
      <c r="S301" s="44">
        <f>IF(Mecze[[#This Row],[Role]]="BR",SUMPRODUCT(Mecze[[#This Row],[/PR:90]:[/BR:90]],Brudnopis!$E$23:$J$23),0)</f>
        <v>0</v>
      </c>
      <c r="T301" s="44">
        <f>IF(Mecze[[#This Row],[Role]]&lt;&gt;"BR",SUMPRODUCT(Mecze[[#This Row],[/PR:90]:[/BR:90]],Brudnopis!$E$24:$J$24),0)</f>
        <v>0.1134020618556701</v>
      </c>
      <c r="U301" s="44">
        <f>IF(Mecze[[#This Row],[Role]]&lt;&gt;"BR",SUMPRODUCT(Mecze[[#This Row],[/PR:90]:[/BR:90]],Brudnopis!$E$25:$J$25),0)</f>
        <v>0.17010309278350516</v>
      </c>
      <c r="V301" s="44">
        <f>IF(Mecze[[#This Row],[Role]]&lt;&gt;"BR",SUMPRODUCT(Mecze[[#This Row],[/PR:90]:[/BR:90]],Brudnopis!$E$26:$J$26),0)</f>
        <v>0.1134020618556701</v>
      </c>
      <c r="W301" s="44">
        <f>IF(Mecze[[#This Row],[Role]]&lt;&gt;"BR",SUMPRODUCT(Mecze[[#This Row],[/PR:90]:[/BR:90]],Brudnopis!$E$27:$J$27),0)</f>
        <v>0.17010309278350516</v>
      </c>
      <c r="X301" s="44">
        <f>IF(Mecze[[#This Row],[Role]]&lt;&gt;"BR",SUMPRODUCT(Mecze[[#This Row],[/PR:90]:[/BR:90]],Brudnopis!$E$28:$J$28),0)</f>
        <v>0.1134020618556701</v>
      </c>
      <c r="Y301" s="35">
        <f>IF(Mecze[[#This Row],[Role]]="BR",Mecze[[#This Row],[/OB:90]]+Mecze[[#This Row],[/PC:90]],SUM(Mecze[[#This Row],[/PR:90]:[/BR:90]]))</f>
        <v>0.1134020618556701</v>
      </c>
      <c r="Z301" s="35">
        <f>IF(Mecze[[#This Row],[KC]]=0,SUM(Mecze[[#This Row],[/BRI]:[/NPI]]),SUM(Mecze[[#This Row],[/BRI]:[/NPI]])*0.6)</f>
        <v>0.68041237113402064</v>
      </c>
      <c r="AA301" s="10">
        <f>IFERROR(Mecze[[#This Row],[BR]]/Mecze[[#This Row],[ST]],0)</f>
        <v>0</v>
      </c>
      <c r="AB301">
        <f>ROUND(Mecze[[#This Row],[PD]]*Mecze[[#This Row],[%PC]],0)</f>
        <v>11</v>
      </c>
      <c r="AC301">
        <f>ROUND(Mecze[[#This Row],[OD]]*Mecze[[#This Row],[%OU]],0)</f>
        <v>0</v>
      </c>
      <c r="AD301" s="41" t="s">
        <v>299</v>
      </c>
      <c r="AE301" s="36">
        <v>17</v>
      </c>
      <c r="AF301" s="71">
        <v>9.16</v>
      </c>
      <c r="AG301" s="37">
        <v>0</v>
      </c>
      <c r="AH301" s="37">
        <v>0</v>
      </c>
      <c r="AI301" s="37">
        <v>97</v>
      </c>
      <c r="AJ301" s="37">
        <v>7</v>
      </c>
      <c r="AK301" s="37" t="str">
        <f>VLOOKUP(Mecze[[#This Row],[Match ID]],Meczusie[Mecz]:Meczusie[RodzajMeczu],2,FALSE)</f>
        <v>Liga</v>
      </c>
    </row>
    <row r="302" spans="1:37" x14ac:dyDescent="0.25">
      <c r="A302" s="76">
        <v>203</v>
      </c>
      <c r="B302" s="3" t="s">
        <v>342</v>
      </c>
      <c r="C302" s="2" t="s">
        <v>165</v>
      </c>
      <c r="D302" s="1">
        <v>2</v>
      </c>
      <c r="E302" s="1">
        <v>16</v>
      </c>
      <c r="F302" s="1">
        <v>13</v>
      </c>
      <c r="G302" s="1">
        <v>2</v>
      </c>
      <c r="H302" s="4">
        <v>1</v>
      </c>
      <c r="I302" s="1">
        <v>3</v>
      </c>
      <c r="J302" s="4">
        <v>0.33</v>
      </c>
      <c r="K302" s="1">
        <v>0</v>
      </c>
      <c r="L302" s="1">
        <v>2</v>
      </c>
      <c r="M302" s="32">
        <f>IF(Mecze[[#This Row],[PR]]=0,0,Mecze[[#This Row],[PR]]/Mecze[[#This Row],[CZAS]])</f>
        <v>2.0618556701030927E-2</v>
      </c>
      <c r="N302" s="32">
        <f>IF(Mecze[[#This Row],[OU]]=0,0,Mecze[[#This Row],[OU]]/Mecze[[#This Row],[CZAS]])</f>
        <v>1.0309278350515464E-2</v>
      </c>
      <c r="O302" s="32">
        <f>IF(Mecze[[#This Row],[PC]]=0,0,Mecze[[#This Row],[PC]]/Mecze[[#This Row],[CZAS]])</f>
        <v>2.0618556701030927E-2</v>
      </c>
      <c r="P302" s="32">
        <f>IF(Mecze[[#This Row],[SC]]=0,0,Mecze[[#This Row],[SC]]/Mecze[[#This Row],[CZAS]])</f>
        <v>0.13402061855670103</v>
      </c>
      <c r="Q302" s="32">
        <f>IF(Mecze[[#This Row],[OB]]=0,0,Mecze[[#This Row],[OB]]/Mecze[[#This Row],[CZAS]])</f>
        <v>0</v>
      </c>
      <c r="R302" s="32">
        <f>IF(Mecze[[#This Row],[BR]]=0,0,Mecze[[#This Row],[BR]]/Mecze[[#This Row],[CZAS]])</f>
        <v>2.0618556701030927E-2</v>
      </c>
      <c r="S302" s="44">
        <f>IF(Mecze[[#This Row],[Role]]="BR",SUMPRODUCT(Mecze[[#This Row],[/PR:90]:[/BR:90]],Brudnopis!$E$23:$J$23),0)</f>
        <v>0</v>
      </c>
      <c r="T302" s="44">
        <f>IF(Mecze[[#This Row],[Role]]&lt;&gt;"BR",SUMPRODUCT(Mecze[[#This Row],[/PR:90]:[/BR:90]],Brudnopis!$E$24:$J$24),0)</f>
        <v>0.22164948453608246</v>
      </c>
      <c r="U302" s="44">
        <f>IF(Mecze[[#This Row],[Role]]&lt;&gt;"BR",SUMPRODUCT(Mecze[[#This Row],[/PR:90]:[/BR:90]],Brudnopis!$E$25:$J$25),0)</f>
        <v>0.22680412371134021</v>
      </c>
      <c r="V302" s="44">
        <f>IF(Mecze[[#This Row],[Role]]&lt;&gt;"BR",SUMPRODUCT(Mecze[[#This Row],[/PR:90]:[/BR:90]],Brudnopis!$E$26:$J$26),0)</f>
        <v>0.22680412371134021</v>
      </c>
      <c r="W302" s="44">
        <f>IF(Mecze[[#This Row],[Role]]&lt;&gt;"BR",SUMPRODUCT(Mecze[[#This Row],[/PR:90]:[/BR:90]],Brudnopis!$E$27:$J$27),0)</f>
        <v>0.22938144329896906</v>
      </c>
      <c r="X302" s="44">
        <f>IF(Mecze[[#This Row],[Role]]&lt;&gt;"BR",SUMPRODUCT(Mecze[[#This Row],[/PR:90]:[/BR:90]],Brudnopis!$E$28:$J$28),0)</f>
        <v>0.35051546391752575</v>
      </c>
      <c r="Y302" s="35">
        <f>IF(Mecze[[#This Row],[Role]]="BR",Mecze[[#This Row],[/OB:90]]+Mecze[[#This Row],[/PC:90]],SUM(Mecze[[#This Row],[/PR:90]:[/BR:90]]))</f>
        <v>0.2061855670103093</v>
      </c>
      <c r="Z302" s="35">
        <f>IF(Mecze[[#This Row],[KC]]=0,SUM(Mecze[[#This Row],[/BRI]:[/NPI]]),SUM(Mecze[[#This Row],[/BRI]:[/NPI]])*0.6)</f>
        <v>1.2551546391752577</v>
      </c>
      <c r="AA302" s="10">
        <f>IFERROR(Mecze[[#This Row],[BR]]/Mecze[[#This Row],[ST]],0)</f>
        <v>0.125</v>
      </c>
      <c r="AB302">
        <f>ROUND(Mecze[[#This Row],[PD]]*Mecze[[#This Row],[%PC]],0)</f>
        <v>2</v>
      </c>
      <c r="AC302">
        <f>ROUND(Mecze[[#This Row],[OD]]*Mecze[[#This Row],[%OU]],0)</f>
        <v>1</v>
      </c>
      <c r="AD302" s="41" t="s">
        <v>46</v>
      </c>
      <c r="AE302" s="36">
        <v>17</v>
      </c>
      <c r="AF302" s="71">
        <v>11.39</v>
      </c>
      <c r="AG302" s="37">
        <v>0</v>
      </c>
      <c r="AH302" s="37">
        <v>0</v>
      </c>
      <c r="AI302" s="37">
        <v>97</v>
      </c>
      <c r="AJ302" s="37">
        <v>7</v>
      </c>
      <c r="AK302" s="37" t="str">
        <f>VLOOKUP(Mecze[[#This Row],[Match ID]],Meczusie[Mecz]:Meczusie[RodzajMeczu],2,FALSE)</f>
        <v>Liga</v>
      </c>
    </row>
    <row r="303" spans="1:37" x14ac:dyDescent="0.25">
      <c r="A303" s="76">
        <v>104</v>
      </c>
      <c r="B303" s="3" t="s">
        <v>343</v>
      </c>
      <c r="C303" s="2" t="s">
        <v>165</v>
      </c>
      <c r="D303" s="1">
        <v>0</v>
      </c>
      <c r="E303" s="1">
        <v>0</v>
      </c>
      <c r="F303" s="1">
        <v>0</v>
      </c>
      <c r="G303" s="1">
        <v>13</v>
      </c>
      <c r="H303" s="4">
        <v>0.62</v>
      </c>
      <c r="I303" s="1">
        <v>10</v>
      </c>
      <c r="J303" s="4">
        <v>0.4</v>
      </c>
      <c r="K303" s="1">
        <v>0</v>
      </c>
      <c r="L303" s="1">
        <v>3</v>
      </c>
      <c r="M303" s="32">
        <f>IF(Mecze[[#This Row],[PR]]=0,0,Mecze[[#This Row],[PR]]/Mecze[[#This Row],[CZAS]])</f>
        <v>3.0927835051546393E-2</v>
      </c>
      <c r="N303" s="32">
        <f>IF(Mecze[[#This Row],[OU]]=0,0,Mecze[[#This Row],[OU]]/Mecze[[#This Row],[CZAS]])</f>
        <v>4.1237113402061855E-2</v>
      </c>
      <c r="O303" s="32">
        <f>IF(Mecze[[#This Row],[PC]]=0,0,Mecze[[#This Row],[PC]]/Mecze[[#This Row],[CZAS]])</f>
        <v>8.247422680412371E-2</v>
      </c>
      <c r="P303" s="32">
        <f>IF(Mecze[[#This Row],[SC]]=0,0,Mecze[[#This Row],[SC]]/Mecze[[#This Row],[CZAS]])</f>
        <v>0</v>
      </c>
      <c r="Q303" s="32">
        <f>IF(Mecze[[#This Row],[OB]]=0,0,Mecze[[#This Row],[OB]]/Mecze[[#This Row],[CZAS]])</f>
        <v>0</v>
      </c>
      <c r="R303" s="32">
        <f>IF(Mecze[[#This Row],[BR]]=0,0,Mecze[[#This Row],[BR]]/Mecze[[#This Row],[CZAS]])</f>
        <v>0</v>
      </c>
      <c r="S303" s="44">
        <f>IF(Mecze[[#This Row],[Role]]="BR",SUMPRODUCT(Mecze[[#This Row],[/PR:90]:[/BR:90]],Brudnopis!$E$23:$J$23),0)</f>
        <v>0</v>
      </c>
      <c r="T303" s="44">
        <f>IF(Mecze[[#This Row],[Role]]&lt;&gt;"BR",SUMPRODUCT(Mecze[[#This Row],[/PR:90]:[/BR:90]],Brudnopis!$E$24:$J$24),0)</f>
        <v>0.17525773195876287</v>
      </c>
      <c r="U303" s="44">
        <f>IF(Mecze[[#This Row],[Role]]&lt;&gt;"BR",SUMPRODUCT(Mecze[[#This Row],[/PR:90]:[/BR:90]],Brudnopis!$E$25:$J$25),0)</f>
        <v>0.19587628865979381</v>
      </c>
      <c r="V303" s="44">
        <f>IF(Mecze[[#This Row],[Role]]&lt;&gt;"BR",SUMPRODUCT(Mecze[[#This Row],[/PR:90]:[/BR:90]],Brudnopis!$E$26:$J$26),0)</f>
        <v>0.15463917525773196</v>
      </c>
      <c r="W303" s="44">
        <f>IF(Mecze[[#This Row],[Role]]&lt;&gt;"BR",SUMPRODUCT(Mecze[[#This Row],[/PR:90]:[/BR:90]],Brudnopis!$E$27:$J$27),0)</f>
        <v>0.17783505154639176</v>
      </c>
      <c r="X303" s="44">
        <f>IF(Mecze[[#This Row],[Role]]&lt;&gt;"BR",SUMPRODUCT(Mecze[[#This Row],[/PR:90]:[/BR:90]],Brudnopis!$E$28:$J$28),0)</f>
        <v>8.247422680412371E-2</v>
      </c>
      <c r="Y303" s="35">
        <f>IF(Mecze[[#This Row],[Role]]="BR",Mecze[[#This Row],[/OB:90]]+Mecze[[#This Row],[/PC:90]],SUM(Mecze[[#This Row],[/PR:90]:[/BR:90]]))</f>
        <v>0.15463917525773196</v>
      </c>
      <c r="Z303" s="35">
        <f>IF(Mecze[[#This Row],[KC]]=0,SUM(Mecze[[#This Row],[/BRI]:[/NPI]]),SUM(Mecze[[#This Row],[/BRI]:[/NPI]])*0.6)</f>
        <v>0.78608247422680422</v>
      </c>
      <c r="AA303" s="10">
        <f>IFERROR(Mecze[[#This Row],[BR]]/Mecze[[#This Row],[ST]],0)</f>
        <v>0</v>
      </c>
      <c r="AB303">
        <f>ROUND(Mecze[[#This Row],[PD]]*Mecze[[#This Row],[%PC]],0)</f>
        <v>8</v>
      </c>
      <c r="AC303">
        <f>ROUND(Mecze[[#This Row],[OD]]*Mecze[[#This Row],[%OU]],0)</f>
        <v>4</v>
      </c>
      <c r="AD303" s="42" t="s">
        <v>355</v>
      </c>
      <c r="AE303" s="36">
        <v>17</v>
      </c>
      <c r="AF303" s="71">
        <v>5.26</v>
      </c>
      <c r="AG303" s="37">
        <v>0</v>
      </c>
      <c r="AH303" s="37">
        <v>0</v>
      </c>
      <c r="AI303" s="37">
        <v>97</v>
      </c>
      <c r="AJ303" s="37">
        <v>7</v>
      </c>
      <c r="AK303" s="37" t="str">
        <f>VLOOKUP(Mecze[[#This Row],[Match ID]],Meczusie[Mecz]:Meczusie[RodzajMeczu],2,FALSE)</f>
        <v>Liga</v>
      </c>
    </row>
    <row r="304" spans="1:37" x14ac:dyDescent="0.25">
      <c r="A304" s="76">
        <v>1</v>
      </c>
      <c r="B304" s="3" t="s">
        <v>344</v>
      </c>
      <c r="C304" s="2" t="s">
        <v>155</v>
      </c>
      <c r="D304" s="1">
        <v>0</v>
      </c>
      <c r="E304" s="1">
        <v>0</v>
      </c>
      <c r="F304" s="1">
        <v>0</v>
      </c>
      <c r="G304" s="1">
        <v>12</v>
      </c>
      <c r="H304" s="4">
        <v>0.57999999999999996</v>
      </c>
      <c r="I304" s="1">
        <v>0</v>
      </c>
      <c r="J304" s="4"/>
      <c r="K304" s="1">
        <v>13</v>
      </c>
      <c r="L304" s="1">
        <v>0</v>
      </c>
      <c r="M304" s="32">
        <f>IF(Mecze[[#This Row],[PR]]=0,0,Mecze[[#This Row],[PR]]/Mecze[[#This Row],[CZAS]])</f>
        <v>0</v>
      </c>
      <c r="N304" s="32">
        <f>IF(Mecze[[#This Row],[OU]]=0,0,Mecze[[#This Row],[OU]]/Mecze[[#This Row],[CZAS]])</f>
        <v>0</v>
      </c>
      <c r="O304" s="32">
        <f>IF(Mecze[[#This Row],[PC]]=0,0,Mecze[[#This Row],[PC]]/Mecze[[#This Row],[CZAS]])</f>
        <v>7.2164948453608241E-2</v>
      </c>
      <c r="P304" s="32">
        <f>IF(Mecze[[#This Row],[SC]]=0,0,Mecze[[#This Row],[SC]]/Mecze[[#This Row],[CZAS]])</f>
        <v>0</v>
      </c>
      <c r="Q304" s="32">
        <f>IF(Mecze[[#This Row],[OB]]=0,0,Mecze[[#This Row],[OB]]/Mecze[[#This Row],[CZAS]])</f>
        <v>0.13402061855670103</v>
      </c>
      <c r="R304" s="32">
        <f>IF(Mecze[[#This Row],[BR]]=0,0,Mecze[[#This Row],[BR]]/Mecze[[#This Row],[CZAS]])</f>
        <v>0</v>
      </c>
      <c r="S304" s="44">
        <f>IF(Mecze[[#This Row],[Role]]="BR",SUMPRODUCT(Mecze[[#This Row],[/PR:90]:[/BR:90]],Brudnopis!$E$23:$J$23),0)</f>
        <v>0.61855670103092786</v>
      </c>
      <c r="T304" s="44">
        <f>IF(Mecze[[#This Row],[Role]]&lt;&gt;"BR",SUMPRODUCT(Mecze[[#This Row],[/PR:90]:[/BR:90]],Brudnopis!$E$24:$J$24),0)</f>
        <v>0</v>
      </c>
      <c r="U304" s="44">
        <f>IF(Mecze[[#This Row],[Role]]&lt;&gt;"BR",SUMPRODUCT(Mecze[[#This Row],[/PR:90]:[/BR:90]],Brudnopis!$E$25:$J$25),0)</f>
        <v>0</v>
      </c>
      <c r="V304" s="44">
        <f>IF(Mecze[[#This Row],[Role]]&lt;&gt;"BR",SUMPRODUCT(Mecze[[#This Row],[/PR:90]:[/BR:90]],Brudnopis!$E$26:$J$26),0)</f>
        <v>0</v>
      </c>
      <c r="W304" s="44">
        <f>IF(Mecze[[#This Row],[Role]]&lt;&gt;"BR",SUMPRODUCT(Mecze[[#This Row],[/PR:90]:[/BR:90]],Brudnopis!$E$27:$J$27),0)</f>
        <v>0</v>
      </c>
      <c r="X304" s="44">
        <f>IF(Mecze[[#This Row],[Role]]&lt;&gt;"BR",SUMPRODUCT(Mecze[[#This Row],[/PR:90]:[/BR:90]],Brudnopis!$E$28:$J$28),0)</f>
        <v>0</v>
      </c>
      <c r="Y304" s="35">
        <f>IF(Mecze[[#This Row],[Role]]="BR",Mecze[[#This Row],[/OB:90]]+Mecze[[#This Row],[/PC:90]],SUM(Mecze[[#This Row],[/PR:90]:[/BR:90]]))</f>
        <v>0.20618556701030927</v>
      </c>
      <c r="Z304" s="35">
        <f>IF(Mecze[[#This Row],[KC]]=0,SUM(Mecze[[#This Row],[/BRI]:[/NPI]]),SUM(Mecze[[#This Row],[/BRI]:[/NPI]])*0.6)</f>
        <v>0.61855670103092786</v>
      </c>
      <c r="AA304" s="10">
        <f>IFERROR(Mecze[[#This Row],[BR]]/Mecze[[#This Row],[ST]],0)</f>
        <v>0</v>
      </c>
      <c r="AB304">
        <f>ROUND(Mecze[[#This Row],[PD]]*Mecze[[#This Row],[%PC]],0)</f>
        <v>7</v>
      </c>
      <c r="AC304">
        <f>ROUND(Mecze[[#This Row],[OD]]*Mecze[[#This Row],[%OU]],0)</f>
        <v>0</v>
      </c>
      <c r="AD304" s="42" t="s">
        <v>40</v>
      </c>
      <c r="AE304" s="36">
        <v>18</v>
      </c>
      <c r="AF304" s="71">
        <v>12.81</v>
      </c>
      <c r="AG304" s="37">
        <v>0</v>
      </c>
      <c r="AH304" s="37">
        <v>0</v>
      </c>
      <c r="AI304" s="37">
        <v>97</v>
      </c>
      <c r="AJ304" s="37">
        <v>5</v>
      </c>
      <c r="AK304" s="37" t="str">
        <f>VLOOKUP(Mecze[[#This Row],[Match ID]],Meczusie[Mecz]:Meczusie[RodzajMeczu],2,FALSE)</f>
        <v>Liga</v>
      </c>
    </row>
    <row r="305" spans="1:37" x14ac:dyDescent="0.25">
      <c r="A305" s="76">
        <v>2</v>
      </c>
      <c r="B305" s="3" t="s">
        <v>345</v>
      </c>
      <c r="C305" s="2" t="s">
        <v>157</v>
      </c>
      <c r="D305" s="1">
        <v>0</v>
      </c>
      <c r="E305" s="1">
        <v>0</v>
      </c>
      <c r="F305" s="1">
        <v>0</v>
      </c>
      <c r="G305" s="1">
        <v>7</v>
      </c>
      <c r="H305" s="4">
        <v>0.56999999999999995</v>
      </c>
      <c r="I305" s="1">
        <v>6</v>
      </c>
      <c r="J305" s="4">
        <v>0.17</v>
      </c>
      <c r="K305" s="1">
        <v>0</v>
      </c>
      <c r="L305" s="1">
        <v>5</v>
      </c>
      <c r="M305" s="32">
        <f>IF(Mecze[[#This Row],[PR]]=0,0,Mecze[[#This Row],[PR]]/Mecze[[#This Row],[CZAS]])</f>
        <v>5.1546391752577317E-2</v>
      </c>
      <c r="N305" s="32">
        <f>IF(Mecze[[#This Row],[OU]]=0,0,Mecze[[#This Row],[OU]]/Mecze[[#This Row],[CZAS]])</f>
        <v>1.0309278350515464E-2</v>
      </c>
      <c r="O305" s="32">
        <f>IF(Mecze[[#This Row],[PC]]=0,0,Mecze[[#This Row],[PC]]/Mecze[[#This Row],[CZAS]])</f>
        <v>4.1237113402061855E-2</v>
      </c>
      <c r="P305" s="32">
        <f>IF(Mecze[[#This Row],[SC]]=0,0,Mecze[[#This Row],[SC]]/Mecze[[#This Row],[CZAS]])</f>
        <v>0</v>
      </c>
      <c r="Q305" s="32">
        <f>IF(Mecze[[#This Row],[OB]]=0,0,Mecze[[#This Row],[OB]]/Mecze[[#This Row],[CZAS]])</f>
        <v>0</v>
      </c>
      <c r="R305" s="32">
        <f>IF(Mecze[[#This Row],[BR]]=0,0,Mecze[[#This Row],[BR]]/Mecze[[#This Row],[CZAS]])</f>
        <v>0</v>
      </c>
      <c r="S305" s="44">
        <f>IF(Mecze[[#This Row],[Role]]="BR",SUMPRODUCT(Mecze[[#This Row],[/PR:90]:[/BR:90]],Brudnopis!$E$23:$J$23),0)</f>
        <v>0</v>
      </c>
      <c r="T305" s="44">
        <f>IF(Mecze[[#This Row],[Role]]&lt;&gt;"BR",SUMPRODUCT(Mecze[[#This Row],[/PR:90]:[/BR:90]],Brudnopis!$E$24:$J$24),0)</f>
        <v>0.10824742268041238</v>
      </c>
      <c r="U305" s="44">
        <f>IF(Mecze[[#This Row],[Role]]&lt;&gt;"BR",SUMPRODUCT(Mecze[[#This Row],[/PR:90]:[/BR:90]],Brudnopis!$E$25:$J$25),0)</f>
        <v>0.12371134020618557</v>
      </c>
      <c r="V305" s="44">
        <f>IF(Mecze[[#This Row],[Role]]&lt;&gt;"BR",SUMPRODUCT(Mecze[[#This Row],[/PR:90]:[/BR:90]],Brudnopis!$E$26:$J$26),0)</f>
        <v>0.10309278350515463</v>
      </c>
      <c r="W305" s="44">
        <f>IF(Mecze[[#This Row],[Role]]&lt;&gt;"BR",SUMPRODUCT(Mecze[[#This Row],[/PR:90]:[/BR:90]],Brudnopis!$E$27:$J$27),0)</f>
        <v>0.10824742268041238</v>
      </c>
      <c r="X305" s="44">
        <f>IF(Mecze[[#This Row],[Role]]&lt;&gt;"BR",SUMPRODUCT(Mecze[[#This Row],[/PR:90]:[/BR:90]],Brudnopis!$E$28:$J$28),0)</f>
        <v>4.1237113402061855E-2</v>
      </c>
      <c r="Y305" s="35">
        <f>IF(Mecze[[#This Row],[Role]]="BR",Mecze[[#This Row],[/OB:90]]+Mecze[[#This Row],[/PC:90]],SUM(Mecze[[#This Row],[/PR:90]:[/BR:90]]))</f>
        <v>0.10309278350515463</v>
      </c>
      <c r="Z305" s="35">
        <f>IF(Mecze[[#This Row],[KC]]=0,SUM(Mecze[[#This Row],[/BRI]:[/NPI]]),SUM(Mecze[[#This Row],[/BRI]:[/NPI]])*0.6)</f>
        <v>0.48453608247422686</v>
      </c>
      <c r="AA305" s="10">
        <f>IFERROR(Mecze[[#This Row],[BR]]/Mecze[[#This Row],[ST]],0)</f>
        <v>0</v>
      </c>
      <c r="AB305">
        <f>ROUND(Mecze[[#This Row],[PD]]*Mecze[[#This Row],[%PC]],0)</f>
        <v>4</v>
      </c>
      <c r="AC305">
        <f>ROUND(Mecze[[#This Row],[OD]]*Mecze[[#This Row],[%OU]],0)</f>
        <v>1</v>
      </c>
      <c r="AD305" s="41" t="s">
        <v>47</v>
      </c>
      <c r="AE305" s="36">
        <v>18</v>
      </c>
      <c r="AF305" s="71">
        <v>8.09</v>
      </c>
      <c r="AG305" s="37">
        <v>0</v>
      </c>
      <c r="AH305" s="37">
        <v>0</v>
      </c>
      <c r="AI305" s="37">
        <v>97</v>
      </c>
      <c r="AJ305" s="37">
        <v>5</v>
      </c>
      <c r="AK305" s="37" t="str">
        <f>VLOOKUP(Mecze[[#This Row],[Match ID]],Meczusie[Mecz]:Meczusie[RodzajMeczu],2,FALSE)</f>
        <v>Liga</v>
      </c>
    </row>
    <row r="306" spans="1:37" x14ac:dyDescent="0.25">
      <c r="A306" s="76">
        <v>4</v>
      </c>
      <c r="B306" s="3" t="s">
        <v>346</v>
      </c>
      <c r="C306" s="2" t="s">
        <v>157</v>
      </c>
      <c r="D306" s="1">
        <v>0</v>
      </c>
      <c r="E306" s="1">
        <v>0</v>
      </c>
      <c r="F306" s="1">
        <v>0</v>
      </c>
      <c r="G306" s="1">
        <v>4</v>
      </c>
      <c r="H306" s="4">
        <v>0.75</v>
      </c>
      <c r="I306" s="1">
        <v>3</v>
      </c>
      <c r="J306" s="4">
        <v>0.33</v>
      </c>
      <c r="K306" s="1">
        <v>0</v>
      </c>
      <c r="L306" s="1">
        <v>3</v>
      </c>
      <c r="M306" s="32">
        <f>IF(Mecze[[#This Row],[PR]]=0,0,Mecze[[#This Row],[PR]]/Mecze[[#This Row],[CZAS]])</f>
        <v>3.0927835051546393E-2</v>
      </c>
      <c r="N306" s="32">
        <f>IF(Mecze[[#This Row],[OU]]=0,0,Mecze[[#This Row],[OU]]/Mecze[[#This Row],[CZAS]])</f>
        <v>1.0309278350515464E-2</v>
      </c>
      <c r="O306" s="32">
        <f>IF(Mecze[[#This Row],[PC]]=0,0,Mecze[[#This Row],[PC]]/Mecze[[#This Row],[CZAS]])</f>
        <v>3.0927835051546393E-2</v>
      </c>
      <c r="P306" s="32">
        <f>IF(Mecze[[#This Row],[SC]]=0,0,Mecze[[#This Row],[SC]]/Mecze[[#This Row],[CZAS]])</f>
        <v>0</v>
      </c>
      <c r="Q306" s="32">
        <f>IF(Mecze[[#This Row],[OB]]=0,0,Mecze[[#This Row],[OB]]/Mecze[[#This Row],[CZAS]])</f>
        <v>0</v>
      </c>
      <c r="R306" s="32">
        <f>IF(Mecze[[#This Row],[BR]]=0,0,Mecze[[#This Row],[BR]]/Mecze[[#This Row],[CZAS]])</f>
        <v>0</v>
      </c>
      <c r="S306" s="44">
        <f>IF(Mecze[[#This Row],[Role]]="BR",SUMPRODUCT(Mecze[[#This Row],[/PR:90]:[/BR:90]],Brudnopis!$E$23:$J$23),0)</f>
        <v>0</v>
      </c>
      <c r="T306" s="44">
        <f>IF(Mecze[[#This Row],[Role]]&lt;&gt;"BR",SUMPRODUCT(Mecze[[#This Row],[/PR:90]:[/BR:90]],Brudnopis!$E$24:$J$24),0)</f>
        <v>7.7319587628865982E-2</v>
      </c>
      <c r="U306" s="44">
        <f>IF(Mecze[[#This Row],[Role]]&lt;&gt;"BR",SUMPRODUCT(Mecze[[#This Row],[/PR:90]:[/BR:90]],Brudnopis!$E$25:$J$25),0)</f>
        <v>8.7628865979381437E-2</v>
      </c>
      <c r="V306" s="44">
        <f>IF(Mecze[[#This Row],[Role]]&lt;&gt;"BR",SUMPRODUCT(Mecze[[#This Row],[/PR:90]:[/BR:90]],Brudnopis!$E$26:$J$26),0)</f>
        <v>7.2164948453608241E-2</v>
      </c>
      <c r="W306" s="44">
        <f>IF(Mecze[[#This Row],[Role]]&lt;&gt;"BR",SUMPRODUCT(Mecze[[#This Row],[/PR:90]:[/BR:90]],Brudnopis!$E$27:$J$27),0)</f>
        <v>7.7319587628865982E-2</v>
      </c>
      <c r="X306" s="44">
        <f>IF(Mecze[[#This Row],[Role]]&lt;&gt;"BR",SUMPRODUCT(Mecze[[#This Row],[/PR:90]:[/BR:90]],Brudnopis!$E$28:$J$28),0)</f>
        <v>3.0927835051546393E-2</v>
      </c>
      <c r="Y306" s="35">
        <f>IF(Mecze[[#This Row],[Role]]="BR",Mecze[[#This Row],[/OB:90]]+Mecze[[#This Row],[/PC:90]],SUM(Mecze[[#This Row],[/PR:90]:[/BR:90]]))</f>
        <v>7.2164948453608241E-2</v>
      </c>
      <c r="Z306" s="35">
        <f>IF(Mecze[[#This Row],[KC]]=0,SUM(Mecze[[#This Row],[/BRI]:[/NPI]]),SUM(Mecze[[#This Row],[/BRI]:[/NPI]])*0.6)</f>
        <v>0.34536082474226804</v>
      </c>
      <c r="AA306" s="10">
        <f>IFERROR(Mecze[[#This Row],[BR]]/Mecze[[#This Row],[ST]],0)</f>
        <v>0</v>
      </c>
      <c r="AB306">
        <f>ROUND(Mecze[[#This Row],[PD]]*Mecze[[#This Row],[%PC]],0)</f>
        <v>3</v>
      </c>
      <c r="AC306">
        <f>ROUND(Mecze[[#This Row],[OD]]*Mecze[[#This Row],[%OU]],0)</f>
        <v>1</v>
      </c>
      <c r="AD306" s="41" t="s">
        <v>47</v>
      </c>
      <c r="AE306" s="36">
        <v>18</v>
      </c>
      <c r="AF306" s="71">
        <v>7.67</v>
      </c>
      <c r="AG306" s="37">
        <v>0</v>
      </c>
      <c r="AH306" s="37">
        <v>0</v>
      </c>
      <c r="AI306" s="37">
        <v>97</v>
      </c>
      <c r="AJ306" s="37">
        <v>5</v>
      </c>
      <c r="AK306" s="37" t="str">
        <f>VLOOKUP(Mecze[[#This Row],[Match ID]],Meczusie[Mecz]:Meczusie[RodzajMeczu],2,FALSE)</f>
        <v>Liga</v>
      </c>
    </row>
    <row r="307" spans="1:37" x14ac:dyDescent="0.25">
      <c r="A307" s="76">
        <v>5</v>
      </c>
      <c r="B307" s="3" t="s">
        <v>347</v>
      </c>
      <c r="C307" s="2" t="s">
        <v>157</v>
      </c>
      <c r="D307" s="1">
        <v>0</v>
      </c>
      <c r="E307" s="1">
        <v>0</v>
      </c>
      <c r="F307" s="1">
        <v>0</v>
      </c>
      <c r="G307" s="1">
        <v>4</v>
      </c>
      <c r="H307" s="4">
        <v>0.75</v>
      </c>
      <c r="I307" s="1">
        <v>8</v>
      </c>
      <c r="J307" s="4">
        <v>0.13</v>
      </c>
      <c r="K307" s="1">
        <v>0</v>
      </c>
      <c r="L307" s="1">
        <v>7</v>
      </c>
      <c r="M307" s="32">
        <f>IF(Mecze[[#This Row],[PR]]=0,0,Mecze[[#This Row],[PR]]/Mecze[[#This Row],[CZAS]])</f>
        <v>7.2164948453608241E-2</v>
      </c>
      <c r="N307" s="32">
        <f>IF(Mecze[[#This Row],[OU]]=0,0,Mecze[[#This Row],[OU]]/Mecze[[#This Row],[CZAS]])</f>
        <v>1.0309278350515464E-2</v>
      </c>
      <c r="O307" s="32">
        <f>IF(Mecze[[#This Row],[PC]]=0,0,Mecze[[#This Row],[PC]]/Mecze[[#This Row],[CZAS]])</f>
        <v>3.0927835051546393E-2</v>
      </c>
      <c r="P307" s="32">
        <f>IF(Mecze[[#This Row],[SC]]=0,0,Mecze[[#This Row],[SC]]/Mecze[[#This Row],[CZAS]])</f>
        <v>0</v>
      </c>
      <c r="Q307" s="32">
        <f>IF(Mecze[[#This Row],[OB]]=0,0,Mecze[[#This Row],[OB]]/Mecze[[#This Row],[CZAS]])</f>
        <v>0</v>
      </c>
      <c r="R307" s="32">
        <f>IF(Mecze[[#This Row],[BR]]=0,0,Mecze[[#This Row],[BR]]/Mecze[[#This Row],[CZAS]])</f>
        <v>0</v>
      </c>
      <c r="S307" s="44">
        <f>IF(Mecze[[#This Row],[Role]]="BR",SUMPRODUCT(Mecze[[#This Row],[/PR:90]:[/BR:90]],Brudnopis!$E$23:$J$23),0)</f>
        <v>0</v>
      </c>
      <c r="T307" s="44">
        <f>IF(Mecze[[#This Row],[Role]]&lt;&gt;"BR",SUMPRODUCT(Mecze[[#This Row],[/PR:90]:[/BR:90]],Brudnopis!$E$24:$J$24),0)</f>
        <v>0.11855670103092783</v>
      </c>
      <c r="U307" s="44">
        <f>IF(Mecze[[#This Row],[Role]]&lt;&gt;"BR",SUMPRODUCT(Mecze[[#This Row],[/PR:90]:[/BR:90]],Brudnopis!$E$25:$J$25),0)</f>
        <v>0.12886597938144329</v>
      </c>
      <c r="V307" s="44">
        <f>IF(Mecze[[#This Row],[Role]]&lt;&gt;"BR",SUMPRODUCT(Mecze[[#This Row],[/PR:90]:[/BR:90]],Brudnopis!$E$26:$J$26),0)</f>
        <v>0.1134020618556701</v>
      </c>
      <c r="W307" s="44">
        <f>IF(Mecze[[#This Row],[Role]]&lt;&gt;"BR",SUMPRODUCT(Mecze[[#This Row],[/PR:90]:[/BR:90]],Brudnopis!$E$27:$J$27),0)</f>
        <v>0.10824742268041238</v>
      </c>
      <c r="X307" s="44">
        <f>IF(Mecze[[#This Row],[Role]]&lt;&gt;"BR",SUMPRODUCT(Mecze[[#This Row],[/PR:90]:[/BR:90]],Brudnopis!$E$28:$J$28),0)</f>
        <v>3.0927835051546393E-2</v>
      </c>
      <c r="Y307" s="35">
        <f>IF(Mecze[[#This Row],[Role]]="BR",Mecze[[#This Row],[/OB:90]]+Mecze[[#This Row],[/PC:90]],SUM(Mecze[[#This Row],[/PR:90]:[/BR:90]]))</f>
        <v>0.1134020618556701</v>
      </c>
      <c r="Z307" s="35">
        <f>IF(Mecze[[#This Row],[KC]]=0,SUM(Mecze[[#This Row],[/BRI]:[/NPI]]),SUM(Mecze[[#This Row],[/BRI]:[/NPI]])*0.6)</f>
        <v>0.5</v>
      </c>
      <c r="AA307" s="10">
        <f>IFERROR(Mecze[[#This Row],[BR]]/Mecze[[#This Row],[ST]],0)</f>
        <v>0</v>
      </c>
      <c r="AB307">
        <f>ROUND(Mecze[[#This Row],[PD]]*Mecze[[#This Row],[%PC]],0)</f>
        <v>3</v>
      </c>
      <c r="AC307">
        <f>ROUND(Mecze[[#This Row],[OD]]*Mecze[[#This Row],[%OU]],0)</f>
        <v>1</v>
      </c>
      <c r="AD307" s="42" t="s">
        <v>175</v>
      </c>
      <c r="AE307" s="36">
        <v>18</v>
      </c>
      <c r="AF307" s="71">
        <v>8.51</v>
      </c>
      <c r="AG307" s="37">
        <v>0</v>
      </c>
      <c r="AH307" s="37">
        <v>0</v>
      </c>
      <c r="AI307" s="37">
        <v>97</v>
      </c>
      <c r="AJ307" s="37">
        <v>5</v>
      </c>
      <c r="AK307" s="37" t="str">
        <f>VLOOKUP(Mecze[[#This Row],[Match ID]],Meczusie[Mecz]:Meczusie[RodzajMeczu],2,FALSE)</f>
        <v>Liga</v>
      </c>
    </row>
    <row r="308" spans="1:37" x14ac:dyDescent="0.25">
      <c r="A308" s="76">
        <v>3</v>
      </c>
      <c r="B308" s="3" t="s">
        <v>348</v>
      </c>
      <c r="C308" s="2" t="s">
        <v>157</v>
      </c>
      <c r="D308" s="1">
        <v>0</v>
      </c>
      <c r="E308" s="1">
        <v>0</v>
      </c>
      <c r="F308" s="1">
        <v>0</v>
      </c>
      <c r="G308" s="1">
        <v>9</v>
      </c>
      <c r="H308" s="4">
        <v>0.33</v>
      </c>
      <c r="I308" s="1">
        <v>12</v>
      </c>
      <c r="J308" s="4">
        <v>0.57999999999999996</v>
      </c>
      <c r="K308" s="1">
        <v>0</v>
      </c>
      <c r="L308" s="1">
        <v>8</v>
      </c>
      <c r="M308" s="32">
        <f>IF(Mecze[[#This Row],[PR]]=0,0,Mecze[[#This Row],[PR]]/Mecze[[#This Row],[CZAS]])</f>
        <v>8.247422680412371E-2</v>
      </c>
      <c r="N308" s="32">
        <f>IF(Mecze[[#This Row],[OU]]=0,0,Mecze[[#This Row],[OU]]/Mecze[[#This Row],[CZAS]])</f>
        <v>7.2164948453608241E-2</v>
      </c>
      <c r="O308" s="32">
        <f>IF(Mecze[[#This Row],[PC]]=0,0,Mecze[[#This Row],[PC]]/Mecze[[#This Row],[CZAS]])</f>
        <v>3.0927835051546393E-2</v>
      </c>
      <c r="P308" s="32">
        <f>IF(Mecze[[#This Row],[SC]]=0,0,Mecze[[#This Row],[SC]]/Mecze[[#This Row],[CZAS]])</f>
        <v>0</v>
      </c>
      <c r="Q308" s="32">
        <f>IF(Mecze[[#This Row],[OB]]=0,0,Mecze[[#This Row],[OB]]/Mecze[[#This Row],[CZAS]])</f>
        <v>0</v>
      </c>
      <c r="R308" s="32">
        <f>IF(Mecze[[#This Row],[BR]]=0,0,Mecze[[#This Row],[BR]]/Mecze[[#This Row],[CZAS]])</f>
        <v>0</v>
      </c>
      <c r="S308" s="44">
        <f>IF(Mecze[[#This Row],[Role]]="BR",SUMPRODUCT(Mecze[[#This Row],[/PR:90]:[/BR:90]],Brudnopis!$E$23:$J$23),0)</f>
        <v>0</v>
      </c>
      <c r="T308" s="44">
        <f>IF(Mecze[[#This Row],[Role]]&lt;&gt;"BR",SUMPRODUCT(Mecze[[#This Row],[/PR:90]:[/BR:90]],Brudnopis!$E$24:$J$24),0)</f>
        <v>0.22164948453608246</v>
      </c>
      <c r="U308" s="44">
        <f>IF(Mecze[[#This Row],[Role]]&lt;&gt;"BR",SUMPRODUCT(Mecze[[#This Row],[/PR:90]:[/BR:90]],Brudnopis!$E$25:$J$25),0)</f>
        <v>0.20103092783505155</v>
      </c>
      <c r="V308" s="44">
        <f>IF(Mecze[[#This Row],[Role]]&lt;&gt;"BR",SUMPRODUCT(Mecze[[#This Row],[/PR:90]:[/BR:90]],Brudnopis!$E$26:$J$26),0)</f>
        <v>0.18556701030927836</v>
      </c>
      <c r="W308" s="44">
        <f>IF(Mecze[[#This Row],[Role]]&lt;&gt;"BR",SUMPRODUCT(Mecze[[#This Row],[/PR:90]:[/BR:90]],Brudnopis!$E$27:$J$27),0)</f>
        <v>0.16237113402061856</v>
      </c>
      <c r="X308" s="44">
        <f>IF(Mecze[[#This Row],[Role]]&lt;&gt;"BR",SUMPRODUCT(Mecze[[#This Row],[/PR:90]:[/BR:90]],Brudnopis!$E$28:$J$28),0)</f>
        <v>3.0927835051546393E-2</v>
      </c>
      <c r="Y308" s="35">
        <f>IF(Mecze[[#This Row],[Role]]="BR",Mecze[[#This Row],[/OB:90]]+Mecze[[#This Row],[/PC:90]],SUM(Mecze[[#This Row],[/PR:90]:[/BR:90]]))</f>
        <v>0.18556701030927836</v>
      </c>
      <c r="Z308" s="35">
        <f>IF(Mecze[[#This Row],[KC]]=0,SUM(Mecze[[#This Row],[/BRI]:[/NPI]]),SUM(Mecze[[#This Row],[/BRI]:[/NPI]])*0.6)</f>
        <v>0.80154639175257736</v>
      </c>
      <c r="AA308" s="10">
        <f>IFERROR(Mecze[[#This Row],[BR]]/Mecze[[#This Row],[ST]],0)</f>
        <v>0</v>
      </c>
      <c r="AB308">
        <f>ROUND(Mecze[[#This Row],[PD]]*Mecze[[#This Row],[%PC]],0)</f>
        <v>3</v>
      </c>
      <c r="AC308">
        <f>ROUND(Mecze[[#This Row],[OD]]*Mecze[[#This Row],[%OU]],0)</f>
        <v>7</v>
      </c>
      <c r="AD308" s="36" t="s">
        <v>174</v>
      </c>
      <c r="AE308" s="36">
        <v>18</v>
      </c>
      <c r="AF308" s="71">
        <v>9.84</v>
      </c>
      <c r="AG308" s="37">
        <v>0</v>
      </c>
      <c r="AH308" s="37">
        <v>0</v>
      </c>
      <c r="AI308" s="37">
        <v>97</v>
      </c>
      <c r="AJ308" s="37">
        <v>5</v>
      </c>
      <c r="AK308" s="37" t="str">
        <f>VLOOKUP(Mecze[[#This Row],[Match ID]],Meczusie[Mecz]:Meczusie[RodzajMeczu],2,FALSE)</f>
        <v>Liga</v>
      </c>
    </row>
    <row r="309" spans="1:37" x14ac:dyDescent="0.25">
      <c r="A309" s="76">
        <v>6</v>
      </c>
      <c r="B309" s="3" t="s">
        <v>349</v>
      </c>
      <c r="C309" s="2" t="s">
        <v>160</v>
      </c>
      <c r="D309" s="1">
        <v>0</v>
      </c>
      <c r="E309" s="1">
        <v>0</v>
      </c>
      <c r="F309" s="1">
        <v>0</v>
      </c>
      <c r="G309" s="1">
        <v>7</v>
      </c>
      <c r="H309" s="4">
        <v>1</v>
      </c>
      <c r="I309" s="1">
        <v>2</v>
      </c>
      <c r="J309" s="4">
        <v>0.5</v>
      </c>
      <c r="K309" s="1">
        <v>0</v>
      </c>
      <c r="L309" s="1">
        <v>3</v>
      </c>
      <c r="M309" s="32">
        <f>IF(Mecze[[#This Row],[PR]]=0,0,Mecze[[#This Row],[PR]]/Mecze[[#This Row],[CZAS]])</f>
        <v>3.0927835051546393E-2</v>
      </c>
      <c r="N309" s="32">
        <f>IF(Mecze[[#This Row],[OU]]=0,0,Mecze[[#This Row],[OU]]/Mecze[[#This Row],[CZAS]])</f>
        <v>1.0309278350515464E-2</v>
      </c>
      <c r="O309" s="32">
        <f>IF(Mecze[[#This Row],[PC]]=0,0,Mecze[[#This Row],[PC]]/Mecze[[#This Row],[CZAS]])</f>
        <v>7.2164948453608241E-2</v>
      </c>
      <c r="P309" s="32">
        <f>IF(Mecze[[#This Row],[SC]]=0,0,Mecze[[#This Row],[SC]]/Mecze[[#This Row],[CZAS]])</f>
        <v>0</v>
      </c>
      <c r="Q309" s="32">
        <f>IF(Mecze[[#This Row],[OB]]=0,0,Mecze[[#This Row],[OB]]/Mecze[[#This Row],[CZAS]])</f>
        <v>0</v>
      </c>
      <c r="R309" s="32">
        <f>IF(Mecze[[#This Row],[BR]]=0,0,Mecze[[#This Row],[BR]]/Mecze[[#This Row],[CZAS]])</f>
        <v>0</v>
      </c>
      <c r="S309" s="44">
        <f>IF(Mecze[[#This Row],[Role]]="BR",SUMPRODUCT(Mecze[[#This Row],[/PR:90]:[/BR:90]],Brudnopis!$E$23:$J$23),0)</f>
        <v>0</v>
      </c>
      <c r="T309" s="44">
        <f>IF(Mecze[[#This Row],[Role]]&lt;&gt;"BR",SUMPRODUCT(Mecze[[#This Row],[/PR:90]:[/BR:90]],Brudnopis!$E$24:$J$24),0)</f>
        <v>0.11855670103092783</v>
      </c>
      <c r="U309" s="44">
        <f>IF(Mecze[[#This Row],[Role]]&lt;&gt;"BR",SUMPRODUCT(Mecze[[#This Row],[/PR:90]:[/BR:90]],Brudnopis!$E$25:$J$25),0)</f>
        <v>0.14948453608247422</v>
      </c>
      <c r="V309" s="44">
        <f>IF(Mecze[[#This Row],[Role]]&lt;&gt;"BR",SUMPRODUCT(Mecze[[#This Row],[/PR:90]:[/BR:90]],Brudnopis!$E$26:$J$26),0)</f>
        <v>0.11340206185567009</v>
      </c>
      <c r="W309" s="44">
        <f>IF(Mecze[[#This Row],[Role]]&lt;&gt;"BR",SUMPRODUCT(Mecze[[#This Row],[/PR:90]:[/BR:90]],Brudnopis!$E$27:$J$27),0)</f>
        <v>0.13917525773195877</v>
      </c>
      <c r="X309" s="44">
        <f>IF(Mecze[[#This Row],[Role]]&lt;&gt;"BR",SUMPRODUCT(Mecze[[#This Row],[/PR:90]:[/BR:90]],Brudnopis!$E$28:$J$28),0)</f>
        <v>7.2164948453608241E-2</v>
      </c>
      <c r="Y309" s="35">
        <f>IF(Mecze[[#This Row],[Role]]="BR",Mecze[[#This Row],[/OB:90]]+Mecze[[#This Row],[/PC:90]],SUM(Mecze[[#This Row],[/PR:90]:[/BR:90]]))</f>
        <v>0.11340206185567009</v>
      </c>
      <c r="Z309" s="35">
        <f>IF(Mecze[[#This Row],[KC]]=0,SUM(Mecze[[#This Row],[/BRI]:[/NPI]]),SUM(Mecze[[#This Row],[/BRI]:[/NPI]])*0.6)</f>
        <v>0.59278350515463907</v>
      </c>
      <c r="AA309" s="10">
        <f>IFERROR(Mecze[[#This Row],[BR]]/Mecze[[#This Row],[ST]],0)</f>
        <v>0</v>
      </c>
      <c r="AB309">
        <f>ROUND(Mecze[[#This Row],[PD]]*Mecze[[#This Row],[%PC]],0)</f>
        <v>7</v>
      </c>
      <c r="AC309">
        <f>ROUND(Mecze[[#This Row],[OD]]*Mecze[[#This Row],[%OU]],0)</f>
        <v>1</v>
      </c>
      <c r="AD309" s="36" t="s">
        <v>41</v>
      </c>
      <c r="AE309" s="36">
        <v>18</v>
      </c>
      <c r="AF309" s="71">
        <v>11</v>
      </c>
      <c r="AG309" s="37">
        <v>0</v>
      </c>
      <c r="AH309" s="37">
        <v>0</v>
      </c>
      <c r="AI309" s="37">
        <v>97</v>
      </c>
      <c r="AJ309" s="37">
        <v>5</v>
      </c>
      <c r="AK309" s="37" t="str">
        <f>VLOOKUP(Mecze[[#This Row],[Match ID]],Meczusie[Mecz]:Meczusie[RodzajMeczu],2,FALSE)</f>
        <v>Liga</v>
      </c>
    </row>
    <row r="310" spans="1:37" x14ac:dyDescent="0.25">
      <c r="A310" s="76">
        <v>7</v>
      </c>
      <c r="B310" s="3" t="s">
        <v>350</v>
      </c>
      <c r="C310" s="2" t="s">
        <v>160</v>
      </c>
      <c r="D310" s="1">
        <v>0</v>
      </c>
      <c r="E310" s="1">
        <v>1</v>
      </c>
      <c r="F310" s="1">
        <v>1</v>
      </c>
      <c r="G310" s="1">
        <v>9</v>
      </c>
      <c r="H310" s="4">
        <v>0.44</v>
      </c>
      <c r="I310" s="1">
        <v>0</v>
      </c>
      <c r="J310" s="4"/>
      <c r="K310" s="1">
        <v>0</v>
      </c>
      <c r="L310" s="1">
        <v>3</v>
      </c>
      <c r="M310" s="32">
        <f>IF(Mecze[[#This Row],[PR]]=0,0,Mecze[[#This Row],[PR]]/Mecze[[#This Row],[CZAS]])</f>
        <v>3.0927835051546393E-2</v>
      </c>
      <c r="N310" s="32">
        <f>IF(Mecze[[#This Row],[OU]]=0,0,Mecze[[#This Row],[OU]]/Mecze[[#This Row],[CZAS]])</f>
        <v>0</v>
      </c>
      <c r="O310" s="32">
        <f>IF(Mecze[[#This Row],[PC]]=0,0,Mecze[[#This Row],[PC]]/Mecze[[#This Row],[CZAS]])</f>
        <v>4.1237113402061855E-2</v>
      </c>
      <c r="P310" s="32">
        <f>IF(Mecze[[#This Row],[SC]]=0,0,Mecze[[#This Row],[SC]]/Mecze[[#This Row],[CZAS]])</f>
        <v>1.0309278350515464E-2</v>
      </c>
      <c r="Q310" s="32">
        <f>IF(Mecze[[#This Row],[OB]]=0,0,Mecze[[#This Row],[OB]]/Mecze[[#This Row],[CZAS]])</f>
        <v>0</v>
      </c>
      <c r="R310" s="32">
        <f>IF(Mecze[[#This Row],[BR]]=0,0,Mecze[[#This Row],[BR]]/Mecze[[#This Row],[CZAS]])</f>
        <v>0</v>
      </c>
      <c r="S310" s="44">
        <f>IF(Mecze[[#This Row],[Role]]="BR",SUMPRODUCT(Mecze[[#This Row],[/PR:90]:[/BR:90]],Brudnopis!$E$23:$J$23),0)</f>
        <v>0</v>
      </c>
      <c r="T310" s="44">
        <f>IF(Mecze[[#This Row],[Role]]&lt;&gt;"BR",SUMPRODUCT(Mecze[[#This Row],[/PR:90]:[/BR:90]],Brudnopis!$E$24:$J$24),0)</f>
        <v>8.247422680412371E-2</v>
      </c>
      <c r="U310" s="44">
        <f>IF(Mecze[[#This Row],[Role]]&lt;&gt;"BR",SUMPRODUCT(Mecze[[#This Row],[/PR:90]:[/BR:90]],Brudnopis!$E$25:$J$25),0)</f>
        <v>0.10309278350515465</v>
      </c>
      <c r="V310" s="44">
        <f>IF(Mecze[[#This Row],[Role]]&lt;&gt;"BR",SUMPRODUCT(Mecze[[#This Row],[/PR:90]:[/BR:90]],Brudnopis!$E$26:$J$26),0)</f>
        <v>8.247422680412371E-2</v>
      </c>
      <c r="W310" s="44">
        <f>IF(Mecze[[#This Row],[Role]]&lt;&gt;"BR",SUMPRODUCT(Mecze[[#This Row],[/PR:90]:[/BR:90]],Brudnopis!$E$27:$J$27),0)</f>
        <v>9.5360824742268049E-2</v>
      </c>
      <c r="X310" s="44">
        <f>IF(Mecze[[#This Row],[Role]]&lt;&gt;"BR",SUMPRODUCT(Mecze[[#This Row],[/PR:90]:[/BR:90]],Brudnopis!$E$28:$J$28),0)</f>
        <v>6.1855670103092786E-2</v>
      </c>
      <c r="Y310" s="35">
        <f>IF(Mecze[[#This Row],[Role]]="BR",Mecze[[#This Row],[/OB:90]]+Mecze[[#This Row],[/PC:90]],SUM(Mecze[[#This Row],[/PR:90]:[/BR:90]]))</f>
        <v>8.247422680412371E-2</v>
      </c>
      <c r="Z310" s="35">
        <f>IF(Mecze[[#This Row],[KC]]=0,SUM(Mecze[[#This Row],[/BRI]:[/NPI]]),SUM(Mecze[[#This Row],[/BRI]:[/NPI]])*0.6)</f>
        <v>0.42525773195876287</v>
      </c>
      <c r="AA310" s="10">
        <f>IFERROR(Mecze[[#This Row],[BR]]/Mecze[[#This Row],[ST]],0)</f>
        <v>0</v>
      </c>
      <c r="AB310">
        <f>ROUND(Mecze[[#This Row],[PD]]*Mecze[[#This Row],[%PC]],0)</f>
        <v>4</v>
      </c>
      <c r="AC310">
        <f>ROUND(Mecze[[#This Row],[OD]]*Mecze[[#This Row],[%OU]],0)</f>
        <v>0</v>
      </c>
      <c r="AD310" s="36" t="s">
        <v>67</v>
      </c>
      <c r="AE310" s="36">
        <v>18</v>
      </c>
      <c r="AF310" s="71">
        <v>7.9</v>
      </c>
      <c r="AG310" s="37">
        <v>0</v>
      </c>
      <c r="AH310" s="37">
        <v>0</v>
      </c>
      <c r="AI310" s="37">
        <v>97</v>
      </c>
      <c r="AJ310" s="37">
        <v>5</v>
      </c>
      <c r="AK310" s="37" t="str">
        <f>VLOOKUP(Mecze[[#This Row],[Match ID]],Meczusie[Mecz]:Meczusie[RodzajMeczu],2,FALSE)</f>
        <v>Liga</v>
      </c>
    </row>
    <row r="311" spans="1:37" x14ac:dyDescent="0.25">
      <c r="A311" s="76">
        <v>8</v>
      </c>
      <c r="B311" s="3" t="s">
        <v>351</v>
      </c>
      <c r="C311" s="2" t="s">
        <v>160</v>
      </c>
      <c r="D311" s="1">
        <v>0</v>
      </c>
      <c r="E311" s="1">
        <v>1</v>
      </c>
      <c r="F311" s="1">
        <v>1</v>
      </c>
      <c r="G311" s="1">
        <v>11</v>
      </c>
      <c r="H311" s="4">
        <v>0.73</v>
      </c>
      <c r="I311" s="1">
        <v>2</v>
      </c>
      <c r="J311" s="4">
        <v>1</v>
      </c>
      <c r="K311" s="1">
        <v>0</v>
      </c>
      <c r="L311" s="1">
        <v>5</v>
      </c>
      <c r="M311" s="32">
        <f>IF(Mecze[[#This Row],[PR]]=0,0,Mecze[[#This Row],[PR]]/Mecze[[#This Row],[CZAS]])</f>
        <v>5.1546391752577317E-2</v>
      </c>
      <c r="N311" s="32">
        <f>IF(Mecze[[#This Row],[OU]]=0,0,Mecze[[#This Row],[OU]]/Mecze[[#This Row],[CZAS]])</f>
        <v>2.0618556701030927E-2</v>
      </c>
      <c r="O311" s="32">
        <f>IF(Mecze[[#This Row],[PC]]=0,0,Mecze[[#This Row],[PC]]/Mecze[[#This Row],[CZAS]])</f>
        <v>8.247422680412371E-2</v>
      </c>
      <c r="P311" s="32">
        <f>IF(Mecze[[#This Row],[SC]]=0,0,Mecze[[#This Row],[SC]]/Mecze[[#This Row],[CZAS]])</f>
        <v>1.0309278350515464E-2</v>
      </c>
      <c r="Q311" s="32">
        <f>IF(Mecze[[#This Row],[OB]]=0,0,Mecze[[#This Row],[OB]]/Mecze[[#This Row],[CZAS]])</f>
        <v>0</v>
      </c>
      <c r="R311" s="32">
        <f>IF(Mecze[[#This Row],[BR]]=0,0,Mecze[[#This Row],[BR]]/Mecze[[#This Row],[CZAS]])</f>
        <v>0</v>
      </c>
      <c r="S311" s="44">
        <f>IF(Mecze[[#This Row],[Role]]="BR",SUMPRODUCT(Mecze[[#This Row],[/PR:90]:[/BR:90]],Brudnopis!$E$23:$J$23),0)</f>
        <v>0</v>
      </c>
      <c r="T311" s="44">
        <f>IF(Mecze[[#This Row],[Role]]&lt;&gt;"BR",SUMPRODUCT(Mecze[[#This Row],[/PR:90]:[/BR:90]],Brudnopis!$E$24:$J$24),0)</f>
        <v>0.17525773195876287</v>
      </c>
      <c r="U311" s="44">
        <f>IF(Mecze[[#This Row],[Role]]&lt;&gt;"BR",SUMPRODUCT(Mecze[[#This Row],[/PR:90]:[/BR:90]],Brudnopis!$E$25:$J$25),0)</f>
        <v>0.20618556701030927</v>
      </c>
      <c r="V311" s="44">
        <f>IF(Mecze[[#This Row],[Role]]&lt;&gt;"BR",SUMPRODUCT(Mecze[[#This Row],[/PR:90]:[/BR:90]],Brudnopis!$E$26:$J$26),0)</f>
        <v>0.16494845360824742</v>
      </c>
      <c r="W311" s="44">
        <f>IF(Mecze[[#This Row],[Role]]&lt;&gt;"BR",SUMPRODUCT(Mecze[[#This Row],[/PR:90]:[/BR:90]],Brudnopis!$E$27:$J$27),0)</f>
        <v>0.18814432989690721</v>
      </c>
      <c r="X311" s="44">
        <f>IF(Mecze[[#This Row],[Role]]&lt;&gt;"BR",SUMPRODUCT(Mecze[[#This Row],[/PR:90]:[/BR:90]],Brudnopis!$E$28:$J$28),0)</f>
        <v>0.10309278350515463</v>
      </c>
      <c r="Y311" s="35">
        <f>IF(Mecze[[#This Row],[Role]]="BR",Mecze[[#This Row],[/OB:90]]+Mecze[[#This Row],[/PC:90]],SUM(Mecze[[#This Row],[/PR:90]:[/BR:90]]))</f>
        <v>0.16494845360824742</v>
      </c>
      <c r="Z311" s="35">
        <f>IF(Mecze[[#This Row],[KC]]=0,SUM(Mecze[[#This Row],[/BRI]:[/NPI]]),SUM(Mecze[[#This Row],[/BRI]:[/NPI]])*0.6)</f>
        <v>0.83762886597938135</v>
      </c>
      <c r="AA311" s="10">
        <f>IFERROR(Mecze[[#This Row],[BR]]/Mecze[[#This Row],[ST]],0)</f>
        <v>0</v>
      </c>
      <c r="AB311">
        <f>ROUND(Mecze[[#This Row],[PD]]*Mecze[[#This Row],[%PC]],0)</f>
        <v>8</v>
      </c>
      <c r="AC311">
        <f>ROUND(Mecze[[#This Row],[OD]]*Mecze[[#This Row],[%OU]],0)</f>
        <v>2</v>
      </c>
      <c r="AD311" s="36" t="s">
        <v>67</v>
      </c>
      <c r="AE311" s="36">
        <v>18</v>
      </c>
      <c r="AF311" s="71">
        <v>9.5299999999999994</v>
      </c>
      <c r="AG311" s="37">
        <v>0</v>
      </c>
      <c r="AH311" s="37">
        <v>0</v>
      </c>
      <c r="AI311" s="37">
        <v>97</v>
      </c>
      <c r="AJ311" s="37">
        <v>5</v>
      </c>
      <c r="AK311" s="37" t="str">
        <f>VLOOKUP(Mecze[[#This Row],[Match ID]],Meczusie[Mecz]:Meczusie[RodzajMeczu],2,FALSE)</f>
        <v>Liga</v>
      </c>
    </row>
    <row r="312" spans="1:37" x14ac:dyDescent="0.25">
      <c r="A312" s="76">
        <v>10</v>
      </c>
      <c r="B312" s="3" t="s">
        <v>352</v>
      </c>
      <c r="C312" s="2" t="s">
        <v>165</v>
      </c>
      <c r="D312" s="1">
        <v>2</v>
      </c>
      <c r="E312" s="1">
        <v>6</v>
      </c>
      <c r="F312" s="1">
        <v>6</v>
      </c>
      <c r="G312" s="1">
        <v>4</v>
      </c>
      <c r="H312" s="4">
        <v>0</v>
      </c>
      <c r="I312" s="1">
        <v>0</v>
      </c>
      <c r="J312" s="4"/>
      <c r="K312" s="1">
        <v>0</v>
      </c>
      <c r="L312" s="1">
        <v>1</v>
      </c>
      <c r="M312" s="32">
        <f>IF(Mecze[[#This Row],[PR]]=0,0,Mecze[[#This Row],[PR]]/Mecze[[#This Row],[CZAS]])</f>
        <v>1.0309278350515464E-2</v>
      </c>
      <c r="N312" s="32">
        <f>IF(Mecze[[#This Row],[OU]]=0,0,Mecze[[#This Row],[OU]]/Mecze[[#This Row],[CZAS]])</f>
        <v>0</v>
      </c>
      <c r="O312" s="32">
        <f>IF(Mecze[[#This Row],[PC]]=0,0,Mecze[[#This Row],[PC]]/Mecze[[#This Row],[CZAS]])</f>
        <v>0</v>
      </c>
      <c r="P312" s="32">
        <f>IF(Mecze[[#This Row],[SC]]=0,0,Mecze[[#This Row],[SC]]/Mecze[[#This Row],[CZAS]])</f>
        <v>6.1855670103092786E-2</v>
      </c>
      <c r="Q312" s="32">
        <f>IF(Mecze[[#This Row],[OB]]=0,0,Mecze[[#This Row],[OB]]/Mecze[[#This Row],[CZAS]])</f>
        <v>0</v>
      </c>
      <c r="R312" s="32">
        <f>IF(Mecze[[#This Row],[BR]]=0,0,Mecze[[#This Row],[BR]]/Mecze[[#This Row],[CZAS]])</f>
        <v>2.0618556701030927E-2</v>
      </c>
      <c r="S312" s="44">
        <f>IF(Mecze[[#This Row],[Role]]="BR",SUMPRODUCT(Mecze[[#This Row],[/PR:90]:[/BR:90]],Brudnopis!$E$23:$J$23),0)</f>
        <v>0</v>
      </c>
      <c r="T312" s="44">
        <f>IF(Mecze[[#This Row],[Role]]&lt;&gt;"BR",SUMPRODUCT(Mecze[[#This Row],[/PR:90]:[/BR:90]],Brudnopis!$E$24:$J$24),0)</f>
        <v>0.10309278350515465</v>
      </c>
      <c r="U312" s="44">
        <f>IF(Mecze[[#This Row],[Role]]&lt;&gt;"BR",SUMPRODUCT(Mecze[[#This Row],[/PR:90]:[/BR:90]],Brudnopis!$E$25:$J$25),0)</f>
        <v>0.10309278350515465</v>
      </c>
      <c r="V312" s="44">
        <f>IF(Mecze[[#This Row],[Role]]&lt;&gt;"BR",SUMPRODUCT(Mecze[[#This Row],[/PR:90]:[/BR:90]],Brudnopis!$E$26:$J$26),0)</f>
        <v>0.11340206185567012</v>
      </c>
      <c r="W312" s="44">
        <f>IF(Mecze[[#This Row],[Role]]&lt;&gt;"BR",SUMPRODUCT(Mecze[[#This Row],[/PR:90]:[/BR:90]],Brudnopis!$E$27:$J$27),0)</f>
        <v>0.11082474226804123</v>
      </c>
      <c r="X312" s="44">
        <f>IF(Mecze[[#This Row],[Role]]&lt;&gt;"BR",SUMPRODUCT(Mecze[[#This Row],[/PR:90]:[/BR:90]],Brudnopis!$E$28:$J$28),0)</f>
        <v>0.18556701030927836</v>
      </c>
      <c r="Y312" s="35">
        <f>IF(Mecze[[#This Row],[Role]]="BR",Mecze[[#This Row],[/OB:90]]+Mecze[[#This Row],[/PC:90]],SUM(Mecze[[#This Row],[/PR:90]:[/BR:90]]))</f>
        <v>9.2783505154639179E-2</v>
      </c>
      <c r="Z312" s="35">
        <f>IF(Mecze[[#This Row],[KC]]=0,SUM(Mecze[[#This Row],[/BRI]:[/NPI]]),SUM(Mecze[[#This Row],[/BRI]:[/NPI]])*0.6)</f>
        <v>0.615979381443299</v>
      </c>
      <c r="AA312" s="10">
        <f>IFERROR(Mecze[[#This Row],[BR]]/Mecze[[#This Row],[ST]],0)</f>
        <v>0.33333333333333331</v>
      </c>
      <c r="AB312">
        <f>ROUND(Mecze[[#This Row],[PD]]*Mecze[[#This Row],[%PC]],0)</f>
        <v>0</v>
      </c>
      <c r="AC312">
        <f>ROUND(Mecze[[#This Row],[OD]]*Mecze[[#This Row],[%OU]],0)</f>
        <v>0</v>
      </c>
      <c r="AD312" s="36" t="s">
        <v>46</v>
      </c>
      <c r="AE312" s="36">
        <v>18</v>
      </c>
      <c r="AF312" s="71">
        <v>9.85</v>
      </c>
      <c r="AG312" s="37">
        <v>0</v>
      </c>
      <c r="AH312" s="37">
        <v>0</v>
      </c>
      <c r="AI312" s="37">
        <v>97</v>
      </c>
      <c r="AJ312" s="37">
        <v>5</v>
      </c>
      <c r="AK312" s="37" t="str">
        <f>VLOOKUP(Mecze[[#This Row],[Match ID]],Meczusie[Mecz]:Meczusie[RodzajMeczu],2,FALSE)</f>
        <v>Liga</v>
      </c>
    </row>
    <row r="313" spans="1:37" x14ac:dyDescent="0.25">
      <c r="A313" s="76">
        <v>11</v>
      </c>
      <c r="B313" s="3" t="s">
        <v>353</v>
      </c>
      <c r="C313" s="2" t="s">
        <v>165</v>
      </c>
      <c r="D313" s="1">
        <v>2</v>
      </c>
      <c r="E313" s="1">
        <v>9</v>
      </c>
      <c r="F313" s="1">
        <v>9</v>
      </c>
      <c r="G313" s="1">
        <v>6</v>
      </c>
      <c r="H313" s="4">
        <v>0.67</v>
      </c>
      <c r="I313" s="1">
        <v>5</v>
      </c>
      <c r="J313" s="4">
        <v>0.4</v>
      </c>
      <c r="K313" s="1">
        <v>0</v>
      </c>
      <c r="L313" s="1">
        <v>1</v>
      </c>
      <c r="M313" s="32">
        <f>IF(Mecze[[#This Row],[PR]]=0,0,Mecze[[#This Row],[PR]]/Mecze[[#This Row],[CZAS]])</f>
        <v>1.0309278350515464E-2</v>
      </c>
      <c r="N313" s="32">
        <f>IF(Mecze[[#This Row],[OU]]=0,0,Mecze[[#This Row],[OU]]/Mecze[[#This Row],[CZAS]])</f>
        <v>2.0618556701030927E-2</v>
      </c>
      <c r="O313" s="32">
        <f>IF(Mecze[[#This Row],[PC]]=0,0,Mecze[[#This Row],[PC]]/Mecze[[#This Row],[CZAS]])</f>
        <v>4.1237113402061855E-2</v>
      </c>
      <c r="P313" s="32">
        <f>IF(Mecze[[#This Row],[SC]]=0,0,Mecze[[#This Row],[SC]]/Mecze[[#This Row],[CZAS]])</f>
        <v>9.2783505154639179E-2</v>
      </c>
      <c r="Q313" s="32">
        <f>IF(Mecze[[#This Row],[OB]]=0,0,Mecze[[#This Row],[OB]]/Mecze[[#This Row],[CZAS]])</f>
        <v>0</v>
      </c>
      <c r="R313" s="32">
        <f>IF(Mecze[[#This Row],[BR]]=0,0,Mecze[[#This Row],[BR]]/Mecze[[#This Row],[CZAS]])</f>
        <v>2.0618556701030927E-2</v>
      </c>
      <c r="S313" s="44">
        <f>IF(Mecze[[#This Row],[Role]]="BR",SUMPRODUCT(Mecze[[#This Row],[/PR:90]:[/BR:90]],Brudnopis!$E$23:$J$23),0)</f>
        <v>0</v>
      </c>
      <c r="T313" s="44">
        <f>IF(Mecze[[#This Row],[Role]]&lt;&gt;"BR",SUMPRODUCT(Mecze[[#This Row],[/PR:90]:[/BR:90]],Brudnopis!$E$24:$J$24),0)</f>
        <v>0.20618556701030927</v>
      </c>
      <c r="U313" s="44">
        <f>IF(Mecze[[#This Row],[Role]]&lt;&gt;"BR",SUMPRODUCT(Mecze[[#This Row],[/PR:90]:[/BR:90]],Brudnopis!$E$25:$J$25),0)</f>
        <v>0.21649484536082475</v>
      </c>
      <c r="V313" s="44">
        <f>IF(Mecze[[#This Row],[Role]]&lt;&gt;"BR",SUMPRODUCT(Mecze[[#This Row],[/PR:90]:[/BR:90]],Brudnopis!$E$26:$J$26),0)</f>
        <v>0.20618556701030927</v>
      </c>
      <c r="W313" s="44">
        <f>IF(Mecze[[#This Row],[Role]]&lt;&gt;"BR",SUMPRODUCT(Mecze[[#This Row],[/PR:90]:[/BR:90]],Brudnopis!$E$27:$J$27),0)</f>
        <v>0.21907216494845361</v>
      </c>
      <c r="X313" s="44">
        <f>IF(Mecze[[#This Row],[Role]]&lt;&gt;"BR",SUMPRODUCT(Mecze[[#This Row],[/PR:90]:[/BR:90]],Brudnopis!$E$28:$J$28),0)</f>
        <v>0.28865979381443296</v>
      </c>
      <c r="Y313" s="35">
        <f>IF(Mecze[[#This Row],[Role]]="BR",Mecze[[#This Row],[/OB:90]]+Mecze[[#This Row],[/PC:90]],SUM(Mecze[[#This Row],[/PR:90]:[/BR:90]]))</f>
        <v>0.18556701030927836</v>
      </c>
      <c r="Z313" s="35">
        <f>IF(Mecze[[#This Row],[KC]]=0,SUM(Mecze[[#This Row],[/BRI]:[/NPI]]),SUM(Mecze[[#This Row],[/BRI]:[/NPI]])*0.6)</f>
        <v>1.1365979381443299</v>
      </c>
      <c r="AA313" s="10">
        <f>IFERROR(Mecze[[#This Row],[BR]]/Mecze[[#This Row],[ST]],0)</f>
        <v>0.22222222222222221</v>
      </c>
      <c r="AB313">
        <f>ROUND(Mecze[[#This Row],[PD]]*Mecze[[#This Row],[%PC]],0)</f>
        <v>4</v>
      </c>
      <c r="AC313">
        <f>ROUND(Mecze[[#This Row],[OD]]*Mecze[[#This Row],[%OU]],0)</f>
        <v>2</v>
      </c>
      <c r="AD313" s="36" t="s">
        <v>272</v>
      </c>
      <c r="AE313" s="36">
        <v>18</v>
      </c>
      <c r="AF313" s="71">
        <v>11.84</v>
      </c>
      <c r="AG313" s="37">
        <v>0</v>
      </c>
      <c r="AH313" s="37">
        <v>0</v>
      </c>
      <c r="AI313" s="37">
        <v>97</v>
      </c>
      <c r="AJ313" s="37">
        <v>5</v>
      </c>
      <c r="AK313" s="37" t="str">
        <f>VLOOKUP(Mecze[[#This Row],[Match ID]],Meczusie[Mecz]:Meczusie[RodzajMeczu],2,FALSE)</f>
        <v>Liga</v>
      </c>
    </row>
    <row r="314" spans="1:37" x14ac:dyDescent="0.25">
      <c r="A314" s="76">
        <v>9</v>
      </c>
      <c r="B314" s="3" t="s">
        <v>354</v>
      </c>
      <c r="C314" s="2" t="s">
        <v>165</v>
      </c>
      <c r="D314" s="1">
        <v>1</v>
      </c>
      <c r="E314" s="1">
        <v>4</v>
      </c>
      <c r="F314" s="1">
        <v>4</v>
      </c>
      <c r="G314" s="1">
        <v>10</v>
      </c>
      <c r="H314" s="4">
        <v>0.7</v>
      </c>
      <c r="I314" s="1">
        <v>3</v>
      </c>
      <c r="J314" s="4">
        <v>0.33</v>
      </c>
      <c r="K314" s="1">
        <v>0</v>
      </c>
      <c r="L314" s="1">
        <v>1</v>
      </c>
      <c r="M314" s="32">
        <f>IF(Mecze[[#This Row],[PR]]=0,0,Mecze[[#This Row],[PR]]/Mecze[[#This Row],[CZAS]])</f>
        <v>1.0309278350515464E-2</v>
      </c>
      <c r="N314" s="32">
        <f>IF(Mecze[[#This Row],[OU]]=0,0,Mecze[[#This Row],[OU]]/Mecze[[#This Row],[CZAS]])</f>
        <v>1.0309278350515464E-2</v>
      </c>
      <c r="O314" s="32">
        <f>IF(Mecze[[#This Row],[PC]]=0,0,Mecze[[#This Row],[PC]]/Mecze[[#This Row],[CZAS]])</f>
        <v>7.2164948453608241E-2</v>
      </c>
      <c r="P314" s="32">
        <f>IF(Mecze[[#This Row],[SC]]=0,0,Mecze[[#This Row],[SC]]/Mecze[[#This Row],[CZAS]])</f>
        <v>4.1237113402061855E-2</v>
      </c>
      <c r="Q314" s="32">
        <f>IF(Mecze[[#This Row],[OB]]=0,0,Mecze[[#This Row],[OB]]/Mecze[[#This Row],[CZAS]])</f>
        <v>0</v>
      </c>
      <c r="R314" s="32">
        <f>IF(Mecze[[#This Row],[BR]]=0,0,Mecze[[#This Row],[BR]]/Mecze[[#This Row],[CZAS]])</f>
        <v>1.0309278350515464E-2</v>
      </c>
      <c r="S314" s="44">
        <f>IF(Mecze[[#This Row],[Role]]="BR",SUMPRODUCT(Mecze[[#This Row],[/PR:90]:[/BR:90]],Brudnopis!$E$23:$J$23),0)</f>
        <v>0</v>
      </c>
      <c r="T314" s="44">
        <f>IF(Mecze[[#This Row],[Role]]&lt;&gt;"BR",SUMPRODUCT(Mecze[[#This Row],[/PR:90]:[/BR:90]],Brudnopis!$E$24:$J$24),0)</f>
        <v>0.15463917525773194</v>
      </c>
      <c r="U314" s="44">
        <f>IF(Mecze[[#This Row],[Role]]&lt;&gt;"BR",SUMPRODUCT(Mecze[[#This Row],[/PR:90]:[/BR:90]],Brudnopis!$E$25:$J$25),0)</f>
        <v>0.18556701030927833</v>
      </c>
      <c r="V314" s="44">
        <f>IF(Mecze[[#This Row],[Role]]&lt;&gt;"BR",SUMPRODUCT(Mecze[[#This Row],[/PR:90]:[/BR:90]],Brudnopis!$E$26:$J$26),0)</f>
        <v>0.15463917525773196</v>
      </c>
      <c r="W314" s="44">
        <f>IF(Mecze[[#This Row],[Role]]&lt;&gt;"BR",SUMPRODUCT(Mecze[[#This Row],[/PR:90]:[/BR:90]],Brudnopis!$E$27:$J$27),0)</f>
        <v>0.18556701030927836</v>
      </c>
      <c r="X314" s="44">
        <f>IF(Mecze[[#This Row],[Role]]&lt;&gt;"BR",SUMPRODUCT(Mecze[[#This Row],[/PR:90]:[/BR:90]],Brudnopis!$E$28:$J$28),0)</f>
        <v>0.18556701030927836</v>
      </c>
      <c r="Y314" s="35">
        <f>IF(Mecze[[#This Row],[Role]]="BR",Mecze[[#This Row],[/OB:90]]+Mecze[[#This Row],[/PC:90]],SUM(Mecze[[#This Row],[/PR:90]:[/BR:90]]))</f>
        <v>0.14432989690721648</v>
      </c>
      <c r="Z314" s="35">
        <f>IF(Mecze[[#This Row],[KC]]=0,SUM(Mecze[[#This Row],[/BRI]:[/NPI]]),SUM(Mecze[[#This Row],[/BRI]:[/NPI]])*0.6)</f>
        <v>0.865979381443299</v>
      </c>
      <c r="AA314" s="10">
        <f>IFERROR(Mecze[[#This Row],[BR]]/Mecze[[#This Row],[ST]],0)</f>
        <v>0.25</v>
      </c>
      <c r="AB314">
        <f>ROUND(Mecze[[#This Row],[PD]]*Mecze[[#This Row],[%PC]],0)</f>
        <v>7</v>
      </c>
      <c r="AC314">
        <f>ROUND(Mecze[[#This Row],[OD]]*Mecze[[#This Row],[%OU]],0)</f>
        <v>1</v>
      </c>
      <c r="AD314" s="36" t="s">
        <v>273</v>
      </c>
      <c r="AE314" s="36">
        <v>18</v>
      </c>
      <c r="AF314" s="71">
        <v>8.44</v>
      </c>
      <c r="AG314" s="37">
        <v>0</v>
      </c>
      <c r="AH314" s="37">
        <v>0</v>
      </c>
      <c r="AI314" s="37">
        <v>97</v>
      </c>
      <c r="AJ314" s="37">
        <v>5</v>
      </c>
      <c r="AK314" s="37" t="str">
        <f>VLOOKUP(Mecze[[#This Row],[Match ID]],Meczusie[Mecz]:Meczusie[RodzajMeczu],2,FALSE)</f>
        <v>Liga</v>
      </c>
    </row>
    <row r="315" spans="1:37" x14ac:dyDescent="0.25">
      <c r="A315" s="76">
        <v>1</v>
      </c>
      <c r="B315" s="3" t="s">
        <v>220</v>
      </c>
      <c r="C315" s="2" t="s">
        <v>155</v>
      </c>
      <c r="D315" s="1">
        <v>0</v>
      </c>
      <c r="E315" s="1">
        <v>0</v>
      </c>
      <c r="F315" s="1">
        <v>0</v>
      </c>
      <c r="G315" s="1">
        <v>13</v>
      </c>
      <c r="H315" s="4">
        <v>0.77</v>
      </c>
      <c r="I315" s="1">
        <v>0</v>
      </c>
      <c r="J315" s="4"/>
      <c r="K315" s="1">
        <v>16</v>
      </c>
      <c r="L315" s="1">
        <v>0</v>
      </c>
      <c r="M315" s="32">
        <f>IF(Mecze[[#This Row],[PR]]=0,0,Mecze[[#This Row],[PR]]/Mecze[[#This Row],[CZAS]])</f>
        <v>0</v>
      </c>
      <c r="N315" s="32">
        <f>IF(Mecze[[#This Row],[OU]]=0,0,Mecze[[#This Row],[OU]]/Mecze[[#This Row],[CZAS]])</f>
        <v>0</v>
      </c>
      <c r="O315" s="32">
        <f>IF(Mecze[[#This Row],[PC]]=0,0,Mecze[[#This Row],[PC]]/Mecze[[#This Row],[CZAS]])</f>
        <v>0.10309278350515463</v>
      </c>
      <c r="P315" s="32">
        <f>IF(Mecze[[#This Row],[SC]]=0,0,Mecze[[#This Row],[SC]]/Mecze[[#This Row],[CZAS]])</f>
        <v>0</v>
      </c>
      <c r="Q315" s="32">
        <f>IF(Mecze[[#This Row],[OB]]=0,0,Mecze[[#This Row],[OB]]/Mecze[[#This Row],[CZAS]])</f>
        <v>0.16494845360824742</v>
      </c>
      <c r="R315" s="32">
        <f>IF(Mecze[[#This Row],[BR]]=0,0,Mecze[[#This Row],[BR]]/Mecze[[#This Row],[CZAS]])</f>
        <v>0</v>
      </c>
      <c r="S315" s="44">
        <f>IF(Mecze[[#This Row],[Role]]="BR",SUMPRODUCT(Mecze[[#This Row],[/PR:90]:[/BR:90]],Brudnopis!$E$23:$J$23),0)</f>
        <v>0.80412371134020622</v>
      </c>
      <c r="T315" s="44">
        <f>IF(Mecze[[#This Row],[Role]]&lt;&gt;"BR",SUMPRODUCT(Mecze[[#This Row],[/PR:90]:[/BR:90]],Brudnopis!$E$24:$J$24),0)</f>
        <v>0</v>
      </c>
      <c r="U315" s="44">
        <f>IF(Mecze[[#This Row],[Role]]&lt;&gt;"BR",SUMPRODUCT(Mecze[[#This Row],[/PR:90]:[/BR:90]],Brudnopis!$E$25:$J$25),0)</f>
        <v>0</v>
      </c>
      <c r="V315" s="44">
        <f>IF(Mecze[[#This Row],[Role]]&lt;&gt;"BR",SUMPRODUCT(Mecze[[#This Row],[/PR:90]:[/BR:90]],Brudnopis!$E$26:$J$26),0)</f>
        <v>0</v>
      </c>
      <c r="W315" s="44">
        <f>IF(Mecze[[#This Row],[Role]]&lt;&gt;"BR",SUMPRODUCT(Mecze[[#This Row],[/PR:90]:[/BR:90]],Brudnopis!$E$27:$J$27),0)</f>
        <v>0</v>
      </c>
      <c r="X315" s="44">
        <f>IF(Mecze[[#This Row],[Role]]&lt;&gt;"BR",SUMPRODUCT(Mecze[[#This Row],[/PR:90]:[/BR:90]],Brudnopis!$E$28:$J$28),0)</f>
        <v>0</v>
      </c>
      <c r="Y315" s="35">
        <f>IF(Mecze[[#This Row],[Role]]="BR",Mecze[[#This Row],[/OB:90]]+Mecze[[#This Row],[/PC:90]],SUM(Mecze[[#This Row],[/PR:90]:[/BR:90]]))</f>
        <v>0.26804123711340205</v>
      </c>
      <c r="Z315" s="35">
        <f>IF(Mecze[[#This Row],[KC]]=0,SUM(Mecze[[#This Row],[/BRI]:[/NPI]]),SUM(Mecze[[#This Row],[/BRI]:[/NPI]])*0.6)</f>
        <v>0.80412371134020622</v>
      </c>
      <c r="AA315" s="10">
        <f>IFERROR(Mecze[[#This Row],[BR]]/Mecze[[#This Row],[ST]],0)</f>
        <v>0</v>
      </c>
      <c r="AB315">
        <f>ROUND(Mecze[[#This Row],[PD]]*Mecze[[#This Row],[%PC]],0)</f>
        <v>10</v>
      </c>
      <c r="AC315">
        <f>ROUND(Mecze[[#This Row],[OD]]*Mecze[[#This Row],[%OU]],0)</f>
        <v>0</v>
      </c>
      <c r="AD315" s="36" t="s">
        <v>40</v>
      </c>
      <c r="AE315" s="36">
        <v>18</v>
      </c>
      <c r="AF315" s="71">
        <v>7.4</v>
      </c>
      <c r="AG315" s="37">
        <v>0</v>
      </c>
      <c r="AH315" s="37">
        <v>0</v>
      </c>
      <c r="AI315" s="37">
        <v>97</v>
      </c>
      <c r="AJ315" s="37">
        <v>2</v>
      </c>
      <c r="AK315" s="37" t="str">
        <f>VLOOKUP(Mecze[[#This Row],[Match ID]],Meczusie[Mecz]:Meczusie[RodzajMeczu],2,FALSE)</f>
        <v>Liga</v>
      </c>
    </row>
    <row r="316" spans="1:37" x14ac:dyDescent="0.25">
      <c r="A316" s="76">
        <v>3</v>
      </c>
      <c r="B316" s="3" t="s">
        <v>222</v>
      </c>
      <c r="C316" s="2" t="s">
        <v>157</v>
      </c>
      <c r="D316" s="1">
        <v>0</v>
      </c>
      <c r="E316" s="1">
        <v>0</v>
      </c>
      <c r="F316" s="1">
        <v>0</v>
      </c>
      <c r="G316" s="1">
        <v>15</v>
      </c>
      <c r="H316" s="4">
        <v>0.53</v>
      </c>
      <c r="I316" s="1">
        <v>4</v>
      </c>
      <c r="J316" s="4">
        <v>0.5</v>
      </c>
      <c r="K316" s="1">
        <v>0</v>
      </c>
      <c r="L316" s="1">
        <v>17</v>
      </c>
      <c r="M316" s="32">
        <f>IF(Mecze[[#This Row],[PR]]=0,0,Mecze[[#This Row],[PR]]/Mecze[[#This Row],[CZAS]])</f>
        <v>0.17525773195876287</v>
      </c>
      <c r="N316" s="32">
        <f>IF(Mecze[[#This Row],[OU]]=0,0,Mecze[[#This Row],[OU]]/Mecze[[#This Row],[CZAS]])</f>
        <v>2.0618556701030927E-2</v>
      </c>
      <c r="O316" s="32">
        <f>IF(Mecze[[#This Row],[PC]]=0,0,Mecze[[#This Row],[PC]]/Mecze[[#This Row],[CZAS]])</f>
        <v>8.247422680412371E-2</v>
      </c>
      <c r="P316" s="32">
        <f>IF(Mecze[[#This Row],[SC]]=0,0,Mecze[[#This Row],[SC]]/Mecze[[#This Row],[CZAS]])</f>
        <v>0</v>
      </c>
      <c r="Q316" s="32">
        <f>IF(Mecze[[#This Row],[OB]]=0,0,Mecze[[#This Row],[OB]]/Mecze[[#This Row],[CZAS]])</f>
        <v>0</v>
      </c>
      <c r="R316" s="32">
        <f>IF(Mecze[[#This Row],[BR]]=0,0,Mecze[[#This Row],[BR]]/Mecze[[#This Row],[CZAS]])</f>
        <v>0</v>
      </c>
      <c r="S316" s="44">
        <f>IF(Mecze[[#This Row],[Role]]="BR",SUMPRODUCT(Mecze[[#This Row],[/PR:90]:[/BR:90]],Brudnopis!$E$23:$J$23),0)</f>
        <v>0</v>
      </c>
      <c r="T316" s="44">
        <f>IF(Mecze[[#This Row],[Role]]&lt;&gt;"BR",SUMPRODUCT(Mecze[[#This Row],[/PR:90]:[/BR:90]],Brudnopis!$E$24:$J$24),0)</f>
        <v>0.28865979381443296</v>
      </c>
      <c r="U316" s="44">
        <f>IF(Mecze[[#This Row],[Role]]&lt;&gt;"BR",SUMPRODUCT(Mecze[[#This Row],[/PR:90]:[/BR:90]],Brudnopis!$E$25:$J$25),0)</f>
        <v>0.31958762886597936</v>
      </c>
      <c r="V316" s="44">
        <f>IF(Mecze[[#This Row],[Role]]&lt;&gt;"BR",SUMPRODUCT(Mecze[[#This Row],[/PR:90]:[/BR:90]],Brudnopis!$E$26:$J$26),0)</f>
        <v>0.27835051546391754</v>
      </c>
      <c r="W316" s="44">
        <f>IF(Mecze[[#This Row],[Role]]&lt;&gt;"BR",SUMPRODUCT(Mecze[[#This Row],[/PR:90]:[/BR:90]],Brudnopis!$E$27:$J$27),0)</f>
        <v>0.27061855670103091</v>
      </c>
      <c r="X316" s="44">
        <f>IF(Mecze[[#This Row],[Role]]&lt;&gt;"BR",SUMPRODUCT(Mecze[[#This Row],[/PR:90]:[/BR:90]],Brudnopis!$E$28:$J$28),0)</f>
        <v>8.247422680412371E-2</v>
      </c>
      <c r="Y316" s="35">
        <f>IF(Mecze[[#This Row],[Role]]="BR",Mecze[[#This Row],[/OB:90]]+Mecze[[#This Row],[/PC:90]],SUM(Mecze[[#This Row],[/PR:90]:[/BR:90]]))</f>
        <v>0.27835051546391754</v>
      </c>
      <c r="Z316" s="35">
        <f>IF(Mecze[[#This Row],[KC]]=0,SUM(Mecze[[#This Row],[/BRI]:[/NPI]]),SUM(Mecze[[#This Row],[/BRI]:[/NPI]])*0.6)</f>
        <v>1.2396907216494844</v>
      </c>
      <c r="AA316" s="10">
        <f>IFERROR(Mecze[[#This Row],[BR]]/Mecze[[#This Row],[ST]],0)</f>
        <v>0</v>
      </c>
      <c r="AB316">
        <f>ROUND(Mecze[[#This Row],[PD]]*Mecze[[#This Row],[%PC]],0)</f>
        <v>8</v>
      </c>
      <c r="AC316">
        <f>ROUND(Mecze[[#This Row],[OD]]*Mecze[[#This Row],[%OU]],0)</f>
        <v>2</v>
      </c>
      <c r="AD316" s="36" t="s">
        <v>47</v>
      </c>
      <c r="AE316" s="36">
        <v>18</v>
      </c>
      <c r="AF316" s="71">
        <v>5.27</v>
      </c>
      <c r="AG316" s="37">
        <v>0</v>
      </c>
      <c r="AH316" s="37">
        <v>0</v>
      </c>
      <c r="AI316" s="37">
        <v>97</v>
      </c>
      <c r="AJ316" s="37">
        <v>2</v>
      </c>
      <c r="AK316" s="37" t="str">
        <f>VLOOKUP(Mecze[[#This Row],[Match ID]],Meczusie[Mecz]:Meczusie[RodzajMeczu],2,FALSE)</f>
        <v>Liga</v>
      </c>
    </row>
    <row r="317" spans="1:37" x14ac:dyDescent="0.25">
      <c r="A317" s="76">
        <v>4</v>
      </c>
      <c r="B317" s="3" t="s">
        <v>221</v>
      </c>
      <c r="C317" s="2" t="s">
        <v>157</v>
      </c>
      <c r="D317" s="1">
        <v>0</v>
      </c>
      <c r="E317" s="1">
        <v>0</v>
      </c>
      <c r="F317" s="1">
        <v>0</v>
      </c>
      <c r="G317" s="1">
        <v>15</v>
      </c>
      <c r="H317" s="4">
        <v>0.73</v>
      </c>
      <c r="I317" s="1">
        <v>10</v>
      </c>
      <c r="J317" s="4">
        <v>0.5</v>
      </c>
      <c r="K317" s="1">
        <v>0</v>
      </c>
      <c r="L317" s="1">
        <v>5</v>
      </c>
      <c r="M317" s="32">
        <f>IF(Mecze[[#This Row],[PR]]=0,0,Mecze[[#This Row],[PR]]/Mecze[[#This Row],[CZAS]])</f>
        <v>5.1546391752577317E-2</v>
      </c>
      <c r="N317" s="32">
        <f>IF(Mecze[[#This Row],[OU]]=0,0,Mecze[[#This Row],[OU]]/Mecze[[#This Row],[CZAS]])</f>
        <v>5.1546391752577317E-2</v>
      </c>
      <c r="O317" s="32">
        <f>IF(Mecze[[#This Row],[PC]]=0,0,Mecze[[#This Row],[PC]]/Mecze[[#This Row],[CZAS]])</f>
        <v>0.1134020618556701</v>
      </c>
      <c r="P317" s="32">
        <f>IF(Mecze[[#This Row],[SC]]=0,0,Mecze[[#This Row],[SC]]/Mecze[[#This Row],[CZAS]])</f>
        <v>0</v>
      </c>
      <c r="Q317" s="32">
        <f>IF(Mecze[[#This Row],[OB]]=0,0,Mecze[[#This Row],[OB]]/Mecze[[#This Row],[CZAS]])</f>
        <v>0</v>
      </c>
      <c r="R317" s="32">
        <f>IF(Mecze[[#This Row],[BR]]=0,0,Mecze[[#This Row],[BR]]/Mecze[[#This Row],[CZAS]])</f>
        <v>0</v>
      </c>
      <c r="S317" s="44">
        <f>IF(Mecze[[#This Row],[Role]]="BR",SUMPRODUCT(Mecze[[#This Row],[/PR:90]:[/BR:90]],Brudnopis!$E$23:$J$23),0)</f>
        <v>0</v>
      </c>
      <c r="T317" s="44">
        <f>IF(Mecze[[#This Row],[Role]]&lt;&gt;"BR",SUMPRODUCT(Mecze[[#This Row],[/PR:90]:[/BR:90]],Brudnopis!$E$24:$J$24),0)</f>
        <v>0.24226804123711337</v>
      </c>
      <c r="U317" s="44">
        <f>IF(Mecze[[#This Row],[Role]]&lt;&gt;"BR",SUMPRODUCT(Mecze[[#This Row],[/PR:90]:[/BR:90]],Brudnopis!$E$25:$J$25),0)</f>
        <v>0.27319587628865982</v>
      </c>
      <c r="V317" s="44">
        <f>IF(Mecze[[#This Row],[Role]]&lt;&gt;"BR",SUMPRODUCT(Mecze[[#This Row],[/PR:90]:[/BR:90]],Brudnopis!$E$26:$J$26),0)</f>
        <v>0.21649484536082475</v>
      </c>
      <c r="W317" s="44">
        <f>IF(Mecze[[#This Row],[Role]]&lt;&gt;"BR",SUMPRODUCT(Mecze[[#This Row],[/PR:90]:[/BR:90]],Brudnopis!$E$27:$J$27),0)</f>
        <v>0.24742268041237114</v>
      </c>
      <c r="X317" s="44">
        <f>IF(Mecze[[#This Row],[Role]]&lt;&gt;"BR",SUMPRODUCT(Mecze[[#This Row],[/PR:90]:[/BR:90]],Brudnopis!$E$28:$J$28),0)</f>
        <v>0.1134020618556701</v>
      </c>
      <c r="Y317" s="35">
        <f>IF(Mecze[[#This Row],[Role]]="BR",Mecze[[#This Row],[/OB:90]]+Mecze[[#This Row],[/PC:90]],SUM(Mecze[[#This Row],[/PR:90]:[/BR:90]]))</f>
        <v>0.21649484536082475</v>
      </c>
      <c r="Z317" s="35">
        <f>IF(Mecze[[#This Row],[KC]]=0,SUM(Mecze[[#This Row],[/BRI]:[/NPI]]),SUM(Mecze[[#This Row],[/BRI]:[/NPI]])*0.6)</f>
        <v>1.0927835051546391</v>
      </c>
      <c r="AA317" s="10">
        <f>IFERROR(Mecze[[#This Row],[BR]]/Mecze[[#This Row],[ST]],0)</f>
        <v>0</v>
      </c>
      <c r="AB317">
        <f>ROUND(Mecze[[#This Row],[PD]]*Mecze[[#This Row],[%PC]],0)</f>
        <v>11</v>
      </c>
      <c r="AC317">
        <f>ROUND(Mecze[[#This Row],[OD]]*Mecze[[#This Row],[%OU]],0)</f>
        <v>5</v>
      </c>
      <c r="AD317" s="36" t="s">
        <v>47</v>
      </c>
      <c r="AE317" s="36">
        <v>18</v>
      </c>
      <c r="AF317" s="71">
        <v>2.75</v>
      </c>
      <c r="AG317" s="37">
        <v>0</v>
      </c>
      <c r="AH317" s="37">
        <v>0</v>
      </c>
      <c r="AI317" s="37">
        <v>97</v>
      </c>
      <c r="AJ317" s="37">
        <v>2</v>
      </c>
      <c r="AK317" s="37" t="str">
        <f>VLOOKUP(Mecze[[#This Row],[Match ID]],Meczusie[Mecz]:Meczusie[RodzajMeczu],2,FALSE)</f>
        <v>Liga</v>
      </c>
    </row>
    <row r="318" spans="1:37" x14ac:dyDescent="0.25">
      <c r="A318" s="76">
        <v>5</v>
      </c>
      <c r="B318" s="3" t="s">
        <v>223</v>
      </c>
      <c r="C318" s="2" t="s">
        <v>157</v>
      </c>
      <c r="D318" s="1">
        <v>0</v>
      </c>
      <c r="E318" s="1">
        <v>0</v>
      </c>
      <c r="F318" s="1">
        <v>0</v>
      </c>
      <c r="G318" s="1">
        <v>4</v>
      </c>
      <c r="H318" s="4">
        <v>1</v>
      </c>
      <c r="I318" s="1">
        <v>3</v>
      </c>
      <c r="J318" s="4">
        <v>0.33</v>
      </c>
      <c r="K318" s="1">
        <v>0</v>
      </c>
      <c r="L318" s="1">
        <v>3</v>
      </c>
      <c r="M318" s="32">
        <f>IF(Mecze[[#This Row],[PR]]=0,0,Mecze[[#This Row],[PR]]/Mecze[[#This Row],[CZAS]])</f>
        <v>3.0927835051546393E-2</v>
      </c>
      <c r="N318" s="32">
        <f>IF(Mecze[[#This Row],[OU]]=0,0,Mecze[[#This Row],[OU]]/Mecze[[#This Row],[CZAS]])</f>
        <v>1.0309278350515464E-2</v>
      </c>
      <c r="O318" s="32">
        <f>IF(Mecze[[#This Row],[PC]]=0,0,Mecze[[#This Row],[PC]]/Mecze[[#This Row],[CZAS]])</f>
        <v>4.1237113402061855E-2</v>
      </c>
      <c r="P318" s="32">
        <f>IF(Mecze[[#This Row],[SC]]=0,0,Mecze[[#This Row],[SC]]/Mecze[[#This Row],[CZAS]])</f>
        <v>0</v>
      </c>
      <c r="Q318" s="32">
        <f>IF(Mecze[[#This Row],[OB]]=0,0,Mecze[[#This Row],[OB]]/Mecze[[#This Row],[CZAS]])</f>
        <v>0</v>
      </c>
      <c r="R318" s="32">
        <f>IF(Mecze[[#This Row],[BR]]=0,0,Mecze[[#This Row],[BR]]/Mecze[[#This Row],[CZAS]])</f>
        <v>0</v>
      </c>
      <c r="S318" s="44">
        <f>IF(Mecze[[#This Row],[Role]]="BR",SUMPRODUCT(Mecze[[#This Row],[/PR:90]:[/BR:90]],Brudnopis!$E$23:$J$23),0)</f>
        <v>0</v>
      </c>
      <c r="T318" s="44">
        <f>IF(Mecze[[#This Row],[Role]]&lt;&gt;"BR",SUMPRODUCT(Mecze[[#This Row],[/PR:90]:[/BR:90]],Brudnopis!$E$24:$J$24),0)</f>
        <v>8.7628865979381437E-2</v>
      </c>
      <c r="U318" s="44">
        <f>IF(Mecze[[#This Row],[Role]]&lt;&gt;"BR",SUMPRODUCT(Mecze[[#This Row],[/PR:90]:[/BR:90]],Brudnopis!$E$25:$J$25),0)</f>
        <v>0.10309278350515463</v>
      </c>
      <c r="V318" s="44">
        <f>IF(Mecze[[#This Row],[Role]]&lt;&gt;"BR",SUMPRODUCT(Mecze[[#This Row],[/PR:90]:[/BR:90]],Brudnopis!$E$26:$J$26),0)</f>
        <v>8.247422680412371E-2</v>
      </c>
      <c r="W318" s="44">
        <f>IF(Mecze[[#This Row],[Role]]&lt;&gt;"BR",SUMPRODUCT(Mecze[[#This Row],[/PR:90]:[/BR:90]],Brudnopis!$E$27:$J$27),0)</f>
        <v>9.2783505154639179E-2</v>
      </c>
      <c r="X318" s="44">
        <f>IF(Mecze[[#This Row],[Role]]&lt;&gt;"BR",SUMPRODUCT(Mecze[[#This Row],[/PR:90]:[/BR:90]],Brudnopis!$E$28:$J$28),0)</f>
        <v>4.1237113402061855E-2</v>
      </c>
      <c r="Y318" s="35">
        <f>IF(Mecze[[#This Row],[Role]]="BR",Mecze[[#This Row],[/OB:90]]+Mecze[[#This Row],[/PC:90]],SUM(Mecze[[#This Row],[/PR:90]:[/BR:90]]))</f>
        <v>8.247422680412371E-2</v>
      </c>
      <c r="Z318" s="35">
        <f>IF(Mecze[[#This Row],[KC]]=0,SUM(Mecze[[#This Row],[/BRI]:[/NPI]]),SUM(Mecze[[#This Row],[/BRI]:[/NPI]])*0.6)</f>
        <v>0.40721649484536082</v>
      </c>
      <c r="AA318" s="10">
        <f>IFERROR(Mecze[[#This Row],[BR]]/Mecze[[#This Row],[ST]],0)</f>
        <v>0</v>
      </c>
      <c r="AB318">
        <f>ROUND(Mecze[[#This Row],[PD]]*Mecze[[#This Row],[%PC]],0)</f>
        <v>4</v>
      </c>
      <c r="AC318">
        <f>ROUND(Mecze[[#This Row],[OD]]*Mecze[[#This Row],[%OU]],0)</f>
        <v>1</v>
      </c>
      <c r="AD318" s="36" t="s">
        <v>174</v>
      </c>
      <c r="AE318" s="36">
        <v>18</v>
      </c>
      <c r="AF318" s="71">
        <v>1.21</v>
      </c>
      <c r="AG318" s="37">
        <v>0</v>
      </c>
      <c r="AH318" s="37">
        <v>0</v>
      </c>
      <c r="AI318" s="37">
        <v>97</v>
      </c>
      <c r="AJ318" s="37">
        <v>2</v>
      </c>
      <c r="AK318" s="37" t="str">
        <f>VLOOKUP(Mecze[[#This Row],[Match ID]],Meczusie[Mecz]:Meczusie[RodzajMeczu],2,FALSE)</f>
        <v>Liga</v>
      </c>
    </row>
    <row r="319" spans="1:37" x14ac:dyDescent="0.25">
      <c r="A319" s="76">
        <v>2</v>
      </c>
      <c r="B319" s="3" t="s">
        <v>224</v>
      </c>
      <c r="C319" s="2" t="s">
        <v>157</v>
      </c>
      <c r="D319" s="1">
        <v>0</v>
      </c>
      <c r="E319" s="1">
        <v>0</v>
      </c>
      <c r="F319" s="1">
        <v>0</v>
      </c>
      <c r="G319" s="1">
        <v>4</v>
      </c>
      <c r="H319" s="4">
        <v>0.75</v>
      </c>
      <c r="I319" s="1">
        <v>2</v>
      </c>
      <c r="J319" s="4">
        <v>0.5</v>
      </c>
      <c r="K319" s="1">
        <v>0</v>
      </c>
      <c r="L319" s="1">
        <v>0</v>
      </c>
      <c r="M319" s="32">
        <f>IF(Mecze[[#This Row],[PR]]=0,0,Mecze[[#This Row],[PR]]/Mecze[[#This Row],[CZAS]])</f>
        <v>0</v>
      </c>
      <c r="N319" s="32">
        <f>IF(Mecze[[#This Row],[OU]]=0,0,Mecze[[#This Row],[OU]]/Mecze[[#This Row],[CZAS]])</f>
        <v>1.0309278350515464E-2</v>
      </c>
      <c r="O319" s="32">
        <f>IF(Mecze[[#This Row],[PC]]=0,0,Mecze[[#This Row],[PC]]/Mecze[[#This Row],[CZAS]])</f>
        <v>3.0927835051546393E-2</v>
      </c>
      <c r="P319" s="32">
        <f>IF(Mecze[[#This Row],[SC]]=0,0,Mecze[[#This Row],[SC]]/Mecze[[#This Row],[CZAS]])</f>
        <v>0</v>
      </c>
      <c r="Q319" s="32">
        <f>IF(Mecze[[#This Row],[OB]]=0,0,Mecze[[#This Row],[OB]]/Mecze[[#This Row],[CZAS]])</f>
        <v>0</v>
      </c>
      <c r="R319" s="32">
        <f>IF(Mecze[[#This Row],[BR]]=0,0,Mecze[[#This Row],[BR]]/Mecze[[#This Row],[CZAS]])</f>
        <v>0</v>
      </c>
      <c r="S319" s="44">
        <f>IF(Mecze[[#This Row],[Role]]="BR",SUMPRODUCT(Mecze[[#This Row],[/PR:90]:[/BR:90]],Brudnopis!$E$23:$J$23),0)</f>
        <v>0</v>
      </c>
      <c r="T319" s="44">
        <f>IF(Mecze[[#This Row],[Role]]&lt;&gt;"BR",SUMPRODUCT(Mecze[[#This Row],[/PR:90]:[/BR:90]],Brudnopis!$E$24:$J$24),0)</f>
        <v>4.6391752577319589E-2</v>
      </c>
      <c r="U319" s="44">
        <f>IF(Mecze[[#This Row],[Role]]&lt;&gt;"BR",SUMPRODUCT(Mecze[[#This Row],[/PR:90]:[/BR:90]],Brudnopis!$E$25:$J$25),0)</f>
        <v>5.6701030927835051E-2</v>
      </c>
      <c r="V319" s="44">
        <f>IF(Mecze[[#This Row],[Role]]&lt;&gt;"BR",SUMPRODUCT(Mecze[[#This Row],[/PR:90]:[/BR:90]],Brudnopis!$E$26:$J$26),0)</f>
        <v>4.1237113402061855E-2</v>
      </c>
      <c r="W319" s="44">
        <f>IF(Mecze[[#This Row],[Role]]&lt;&gt;"BR",SUMPRODUCT(Mecze[[#This Row],[/PR:90]:[/BR:90]],Brudnopis!$E$27:$J$27),0)</f>
        <v>5.4123711340206188E-2</v>
      </c>
      <c r="X319" s="44">
        <f>IF(Mecze[[#This Row],[Role]]&lt;&gt;"BR",SUMPRODUCT(Mecze[[#This Row],[/PR:90]:[/BR:90]],Brudnopis!$E$28:$J$28),0)</f>
        <v>3.0927835051546393E-2</v>
      </c>
      <c r="Y319" s="35">
        <f>IF(Mecze[[#This Row],[Role]]="BR",Mecze[[#This Row],[/OB:90]]+Mecze[[#This Row],[/PC:90]],SUM(Mecze[[#This Row],[/PR:90]:[/BR:90]]))</f>
        <v>4.1237113402061855E-2</v>
      </c>
      <c r="Z319" s="35">
        <f>IF(Mecze[[#This Row],[KC]]=0,SUM(Mecze[[#This Row],[/BRI]:[/NPI]]),SUM(Mecze[[#This Row],[/BRI]:[/NPI]])*0.6)</f>
        <v>0.22938144329896906</v>
      </c>
      <c r="AA319" s="10">
        <f>IFERROR(Mecze[[#This Row],[BR]]/Mecze[[#This Row],[ST]],0)</f>
        <v>0</v>
      </c>
      <c r="AB319">
        <f>ROUND(Mecze[[#This Row],[PD]]*Mecze[[#This Row],[%PC]],0)</f>
        <v>3</v>
      </c>
      <c r="AC319">
        <f>ROUND(Mecze[[#This Row],[OD]]*Mecze[[#This Row],[%OU]],0)</f>
        <v>1</v>
      </c>
      <c r="AD319" s="36" t="s">
        <v>175</v>
      </c>
      <c r="AE319" s="36">
        <v>18</v>
      </c>
      <c r="AF319" s="71">
        <v>0.57999999999999996</v>
      </c>
      <c r="AG319" s="37">
        <v>0</v>
      </c>
      <c r="AH319" s="37">
        <v>0</v>
      </c>
      <c r="AI319" s="37">
        <v>97</v>
      </c>
      <c r="AJ319" s="37">
        <v>2</v>
      </c>
      <c r="AK319" s="37" t="str">
        <f>VLOOKUP(Mecze[[#This Row],[Match ID]],Meczusie[Mecz]:Meczusie[RodzajMeczu],2,FALSE)</f>
        <v>Liga</v>
      </c>
    </row>
    <row r="320" spans="1:37" x14ac:dyDescent="0.25">
      <c r="A320" s="76">
        <v>6</v>
      </c>
      <c r="B320" s="3" t="s">
        <v>225</v>
      </c>
      <c r="C320" s="2" t="s">
        <v>160</v>
      </c>
      <c r="D320" s="1">
        <v>0</v>
      </c>
      <c r="E320" s="1">
        <v>0</v>
      </c>
      <c r="F320" s="1">
        <v>0</v>
      </c>
      <c r="G320" s="1">
        <v>16</v>
      </c>
      <c r="H320" s="4">
        <v>0.63</v>
      </c>
      <c r="I320" s="1">
        <v>8</v>
      </c>
      <c r="J320" s="4">
        <v>0.25</v>
      </c>
      <c r="K320" s="1">
        <v>0</v>
      </c>
      <c r="L320" s="1">
        <v>4</v>
      </c>
      <c r="M320" s="32">
        <f>IF(Mecze[[#This Row],[PR]]=0,0,Mecze[[#This Row],[PR]]/Mecze[[#This Row],[CZAS]])</f>
        <v>4.1237113402061855E-2</v>
      </c>
      <c r="N320" s="32">
        <f>IF(Mecze[[#This Row],[OU]]=0,0,Mecze[[#This Row],[OU]]/Mecze[[#This Row],[CZAS]])</f>
        <v>2.0618556701030927E-2</v>
      </c>
      <c r="O320" s="32">
        <f>IF(Mecze[[#This Row],[PC]]=0,0,Mecze[[#This Row],[PC]]/Mecze[[#This Row],[CZAS]])</f>
        <v>0.10309278350515463</v>
      </c>
      <c r="P320" s="32">
        <f>IF(Mecze[[#This Row],[SC]]=0,0,Mecze[[#This Row],[SC]]/Mecze[[#This Row],[CZAS]])</f>
        <v>0</v>
      </c>
      <c r="Q320" s="32">
        <f>IF(Mecze[[#This Row],[OB]]=0,0,Mecze[[#This Row],[OB]]/Mecze[[#This Row],[CZAS]])</f>
        <v>0</v>
      </c>
      <c r="R320" s="32">
        <f>IF(Mecze[[#This Row],[BR]]=0,0,Mecze[[#This Row],[BR]]/Mecze[[#This Row],[CZAS]])</f>
        <v>0</v>
      </c>
      <c r="S320" s="44">
        <f>IF(Mecze[[#This Row],[Role]]="BR",SUMPRODUCT(Mecze[[#This Row],[/PR:90]:[/BR:90]],Brudnopis!$E$23:$J$23),0)</f>
        <v>0</v>
      </c>
      <c r="T320" s="44">
        <f>IF(Mecze[[#This Row],[Role]]&lt;&gt;"BR",SUMPRODUCT(Mecze[[#This Row],[/PR:90]:[/BR:90]],Brudnopis!$E$24:$J$24),0)</f>
        <v>0.17525773195876287</v>
      </c>
      <c r="U320" s="44">
        <f>IF(Mecze[[#This Row],[Role]]&lt;&gt;"BR",SUMPRODUCT(Mecze[[#This Row],[/PR:90]:[/BR:90]],Brudnopis!$E$25:$J$25),0)</f>
        <v>0.21649484536082475</v>
      </c>
      <c r="V320" s="44">
        <f>IF(Mecze[[#This Row],[Role]]&lt;&gt;"BR",SUMPRODUCT(Mecze[[#This Row],[/PR:90]:[/BR:90]],Brudnopis!$E$26:$J$26),0)</f>
        <v>0.16494845360824742</v>
      </c>
      <c r="W320" s="44">
        <f>IF(Mecze[[#This Row],[Role]]&lt;&gt;"BR",SUMPRODUCT(Mecze[[#This Row],[/PR:90]:[/BR:90]],Brudnopis!$E$27:$J$27),0)</f>
        <v>0.20103092783505155</v>
      </c>
      <c r="X320" s="44">
        <f>IF(Mecze[[#This Row],[Role]]&lt;&gt;"BR",SUMPRODUCT(Mecze[[#This Row],[/PR:90]:[/BR:90]],Brudnopis!$E$28:$J$28),0)</f>
        <v>0.10309278350515463</v>
      </c>
      <c r="Y320" s="35">
        <f>IF(Mecze[[#This Row],[Role]]="BR",Mecze[[#This Row],[/OB:90]]+Mecze[[#This Row],[/PC:90]],SUM(Mecze[[#This Row],[/PR:90]:[/BR:90]]))</f>
        <v>0.16494845360824742</v>
      </c>
      <c r="Z320" s="35">
        <f>IF(Mecze[[#This Row],[KC]]=0,SUM(Mecze[[#This Row],[/BRI]:[/NPI]]),SUM(Mecze[[#This Row],[/BRI]:[/NPI]])*0.6)</f>
        <v>0.86082474226804118</v>
      </c>
      <c r="AA320" s="10">
        <f>IFERROR(Mecze[[#This Row],[BR]]/Mecze[[#This Row],[ST]],0)</f>
        <v>0</v>
      </c>
      <c r="AB320">
        <f>ROUND(Mecze[[#This Row],[PD]]*Mecze[[#This Row],[%PC]],0)</f>
        <v>10</v>
      </c>
      <c r="AC320">
        <f>ROUND(Mecze[[#This Row],[OD]]*Mecze[[#This Row],[%OU]],0)</f>
        <v>2</v>
      </c>
      <c r="AD320" s="36" t="s">
        <v>41</v>
      </c>
      <c r="AE320" s="36">
        <v>18</v>
      </c>
      <c r="AF320" s="71">
        <v>4.75</v>
      </c>
      <c r="AG320" s="37">
        <v>0</v>
      </c>
      <c r="AH320" s="37">
        <v>0</v>
      </c>
      <c r="AI320" s="37">
        <v>97</v>
      </c>
      <c r="AJ320" s="37">
        <v>2</v>
      </c>
      <c r="AK320" s="37" t="str">
        <f>VLOOKUP(Mecze[[#This Row],[Match ID]],Meczusie[Mecz]:Meczusie[RodzajMeczu],2,FALSE)</f>
        <v>Liga</v>
      </c>
    </row>
    <row r="321" spans="1:37" x14ac:dyDescent="0.25">
      <c r="A321" s="76">
        <v>7</v>
      </c>
      <c r="B321" s="3" t="s">
        <v>226</v>
      </c>
      <c r="C321" s="2" t="s">
        <v>160</v>
      </c>
      <c r="D321" s="1">
        <v>0</v>
      </c>
      <c r="E321" s="1">
        <v>0</v>
      </c>
      <c r="F321" s="1">
        <v>0</v>
      </c>
      <c r="G321" s="1">
        <v>3</v>
      </c>
      <c r="H321" s="4">
        <v>0.33</v>
      </c>
      <c r="I321" s="1">
        <v>3</v>
      </c>
      <c r="J321" s="4">
        <v>0.33</v>
      </c>
      <c r="K321" s="1">
        <v>0</v>
      </c>
      <c r="L321" s="1">
        <v>0</v>
      </c>
      <c r="M321" s="32">
        <f>IF(Mecze[[#This Row],[PR]]=0,0,Mecze[[#This Row],[PR]]/Mecze[[#This Row],[CZAS]])</f>
        <v>0</v>
      </c>
      <c r="N321" s="32">
        <f>IF(Mecze[[#This Row],[OU]]=0,0,Mecze[[#This Row],[OU]]/Mecze[[#This Row],[CZAS]])</f>
        <v>1.0309278350515464E-2</v>
      </c>
      <c r="O321" s="32">
        <f>IF(Mecze[[#This Row],[PC]]=0,0,Mecze[[#This Row],[PC]]/Mecze[[#This Row],[CZAS]])</f>
        <v>1.0309278350515464E-2</v>
      </c>
      <c r="P321" s="32">
        <f>IF(Mecze[[#This Row],[SC]]=0,0,Mecze[[#This Row],[SC]]/Mecze[[#This Row],[CZAS]])</f>
        <v>0</v>
      </c>
      <c r="Q321" s="32">
        <f>IF(Mecze[[#This Row],[OB]]=0,0,Mecze[[#This Row],[OB]]/Mecze[[#This Row],[CZAS]])</f>
        <v>0</v>
      </c>
      <c r="R321" s="32">
        <f>IF(Mecze[[#This Row],[BR]]=0,0,Mecze[[#This Row],[BR]]/Mecze[[#This Row],[CZAS]])</f>
        <v>0</v>
      </c>
      <c r="S321" s="44">
        <f>IF(Mecze[[#This Row],[Role]]="BR",SUMPRODUCT(Mecze[[#This Row],[/PR:90]:[/BR:90]],Brudnopis!$E$23:$J$23),0)</f>
        <v>0</v>
      </c>
      <c r="T321" s="44">
        <f>IF(Mecze[[#This Row],[Role]]&lt;&gt;"BR",SUMPRODUCT(Mecze[[#This Row],[/PR:90]:[/BR:90]],Brudnopis!$E$24:$J$24),0)</f>
        <v>2.5773195876288658E-2</v>
      </c>
      <c r="U321" s="44">
        <f>IF(Mecze[[#This Row],[Role]]&lt;&gt;"BR",SUMPRODUCT(Mecze[[#This Row],[/PR:90]:[/BR:90]],Brudnopis!$E$25:$J$25),0)</f>
        <v>2.5773195876288658E-2</v>
      </c>
      <c r="V321" s="44">
        <f>IF(Mecze[[#This Row],[Role]]&lt;&gt;"BR",SUMPRODUCT(Mecze[[#This Row],[/PR:90]:[/BR:90]],Brudnopis!$E$26:$J$26),0)</f>
        <v>2.0618556701030927E-2</v>
      </c>
      <c r="W321" s="44">
        <f>IF(Mecze[[#This Row],[Role]]&lt;&gt;"BR",SUMPRODUCT(Mecze[[#This Row],[/PR:90]:[/BR:90]],Brudnopis!$E$27:$J$27),0)</f>
        <v>2.3195876288659795E-2</v>
      </c>
      <c r="X321" s="44">
        <f>IF(Mecze[[#This Row],[Role]]&lt;&gt;"BR",SUMPRODUCT(Mecze[[#This Row],[/PR:90]:[/BR:90]],Brudnopis!$E$28:$J$28),0)</f>
        <v>1.0309278350515464E-2</v>
      </c>
      <c r="Y321" s="35">
        <f>IF(Mecze[[#This Row],[Role]]="BR",Mecze[[#This Row],[/OB:90]]+Mecze[[#This Row],[/PC:90]],SUM(Mecze[[#This Row],[/PR:90]:[/BR:90]]))</f>
        <v>2.0618556701030927E-2</v>
      </c>
      <c r="Z321" s="35">
        <f>IF(Mecze[[#This Row],[KC]]=0,SUM(Mecze[[#This Row],[/BRI]:[/NPI]]),SUM(Mecze[[#This Row],[/BRI]:[/NPI]])*0.6)</f>
        <v>6.34020618556701E-2</v>
      </c>
      <c r="AA321" s="10">
        <f>IFERROR(Mecze[[#This Row],[BR]]/Mecze[[#This Row],[ST]],0)</f>
        <v>0</v>
      </c>
      <c r="AB321">
        <f>ROUND(Mecze[[#This Row],[PD]]*Mecze[[#This Row],[%PC]],0)</f>
        <v>1</v>
      </c>
      <c r="AC321">
        <f>ROUND(Mecze[[#This Row],[OD]]*Mecze[[#This Row],[%OU]],0)</f>
        <v>1</v>
      </c>
      <c r="AD321" s="36" t="s">
        <v>41</v>
      </c>
      <c r="AE321" s="36">
        <v>18</v>
      </c>
      <c r="AF321" s="71">
        <v>-1.71</v>
      </c>
      <c r="AG321" s="37">
        <v>0</v>
      </c>
      <c r="AH321" s="37">
        <v>1</v>
      </c>
      <c r="AI321" s="37">
        <v>97</v>
      </c>
      <c r="AJ321" s="37">
        <v>2</v>
      </c>
      <c r="AK321" s="37" t="str">
        <f>VLOOKUP(Mecze[[#This Row],[Match ID]],Meczusie[Mecz]:Meczusie[RodzajMeczu],2,FALSE)</f>
        <v>Liga</v>
      </c>
    </row>
    <row r="322" spans="1:37" x14ac:dyDescent="0.25">
      <c r="A322" s="76">
        <v>9</v>
      </c>
      <c r="B322" s="3" t="s">
        <v>227</v>
      </c>
      <c r="C322" s="2" t="s">
        <v>160</v>
      </c>
      <c r="D322" s="1">
        <v>0</v>
      </c>
      <c r="E322" s="1">
        <v>0</v>
      </c>
      <c r="F322" s="1">
        <v>0</v>
      </c>
      <c r="G322" s="1">
        <v>13</v>
      </c>
      <c r="H322" s="4">
        <v>0.62</v>
      </c>
      <c r="I322" s="1">
        <v>4</v>
      </c>
      <c r="J322" s="4">
        <v>0.25</v>
      </c>
      <c r="K322" s="1">
        <v>0</v>
      </c>
      <c r="L322" s="1">
        <v>1</v>
      </c>
      <c r="M322" s="32">
        <f>IF(Mecze[[#This Row],[PR]]=0,0,Mecze[[#This Row],[PR]]/Mecze[[#This Row],[CZAS]])</f>
        <v>1.0309278350515464E-2</v>
      </c>
      <c r="N322" s="32">
        <f>IF(Mecze[[#This Row],[OU]]=0,0,Mecze[[#This Row],[OU]]/Mecze[[#This Row],[CZAS]])</f>
        <v>1.0309278350515464E-2</v>
      </c>
      <c r="O322" s="32">
        <f>IF(Mecze[[#This Row],[PC]]=0,0,Mecze[[#This Row],[PC]]/Mecze[[#This Row],[CZAS]])</f>
        <v>8.247422680412371E-2</v>
      </c>
      <c r="P322" s="32">
        <f>IF(Mecze[[#This Row],[SC]]=0,0,Mecze[[#This Row],[SC]]/Mecze[[#This Row],[CZAS]])</f>
        <v>0</v>
      </c>
      <c r="Q322" s="32">
        <f>IF(Mecze[[#This Row],[OB]]=0,0,Mecze[[#This Row],[OB]]/Mecze[[#This Row],[CZAS]])</f>
        <v>0</v>
      </c>
      <c r="R322" s="32">
        <f>IF(Mecze[[#This Row],[BR]]=0,0,Mecze[[#This Row],[BR]]/Mecze[[#This Row],[CZAS]])</f>
        <v>0</v>
      </c>
      <c r="S322" s="44">
        <f>IF(Mecze[[#This Row],[Role]]="BR",SUMPRODUCT(Mecze[[#This Row],[/PR:90]:[/BR:90]],Brudnopis!$E$23:$J$23),0)</f>
        <v>0</v>
      </c>
      <c r="T322" s="44">
        <f>IF(Mecze[[#This Row],[Role]]&lt;&gt;"BR",SUMPRODUCT(Mecze[[#This Row],[/PR:90]:[/BR:90]],Brudnopis!$E$24:$J$24),0)</f>
        <v>0.10824742268041238</v>
      </c>
      <c r="U322" s="44">
        <f>IF(Mecze[[#This Row],[Role]]&lt;&gt;"BR",SUMPRODUCT(Mecze[[#This Row],[/PR:90]:[/BR:90]],Brudnopis!$E$25:$J$25),0)</f>
        <v>0.14432989690721651</v>
      </c>
      <c r="V322" s="44">
        <f>IF(Mecze[[#This Row],[Role]]&lt;&gt;"BR",SUMPRODUCT(Mecze[[#This Row],[/PR:90]:[/BR:90]],Brudnopis!$E$26:$J$26),0)</f>
        <v>0.10309278350515463</v>
      </c>
      <c r="W322" s="44">
        <f>IF(Mecze[[#This Row],[Role]]&lt;&gt;"BR",SUMPRODUCT(Mecze[[#This Row],[/PR:90]:[/BR:90]],Brudnopis!$E$27:$J$27),0)</f>
        <v>0.13917525773195877</v>
      </c>
      <c r="X322" s="44">
        <f>IF(Mecze[[#This Row],[Role]]&lt;&gt;"BR",SUMPRODUCT(Mecze[[#This Row],[/PR:90]:[/BR:90]],Brudnopis!$E$28:$J$28),0)</f>
        <v>8.247422680412371E-2</v>
      </c>
      <c r="Y322" s="35">
        <f>IF(Mecze[[#This Row],[Role]]="BR",Mecze[[#This Row],[/OB:90]]+Mecze[[#This Row],[/PC:90]],SUM(Mecze[[#This Row],[/PR:90]:[/BR:90]]))</f>
        <v>0.10309278350515463</v>
      </c>
      <c r="Z322" s="35">
        <f>IF(Mecze[[#This Row],[KC]]=0,SUM(Mecze[[#This Row],[/BRI]:[/NPI]]),SUM(Mecze[[#This Row],[/BRI]:[/NPI]])*0.6)</f>
        <v>0.57731958762886593</v>
      </c>
      <c r="AA322" s="10">
        <f>IFERROR(Mecze[[#This Row],[BR]]/Mecze[[#This Row],[ST]],0)</f>
        <v>0</v>
      </c>
      <c r="AB322">
        <f>ROUND(Mecze[[#This Row],[PD]]*Mecze[[#This Row],[%PC]],0)</f>
        <v>8</v>
      </c>
      <c r="AC322">
        <f>ROUND(Mecze[[#This Row],[OD]]*Mecze[[#This Row],[%OU]],0)</f>
        <v>1</v>
      </c>
      <c r="AD322" s="36" t="s">
        <v>67</v>
      </c>
      <c r="AE322" s="36">
        <v>18</v>
      </c>
      <c r="AF322" s="71">
        <v>4.12</v>
      </c>
      <c r="AG322" s="37">
        <v>0</v>
      </c>
      <c r="AH322" s="37">
        <v>0</v>
      </c>
      <c r="AI322" s="37">
        <v>97</v>
      </c>
      <c r="AJ322" s="37">
        <v>2</v>
      </c>
      <c r="AK322" s="37" t="str">
        <f>VLOOKUP(Mecze[[#This Row],[Match ID]],Meczusie[Mecz]:Meczusie[RodzajMeczu],2,FALSE)</f>
        <v>Liga</v>
      </c>
    </row>
    <row r="323" spans="1:37" x14ac:dyDescent="0.25">
      <c r="A323" s="76">
        <v>8</v>
      </c>
      <c r="B323" s="3" t="s">
        <v>228</v>
      </c>
      <c r="C323" s="2" t="s">
        <v>160</v>
      </c>
      <c r="D323" s="1">
        <v>0</v>
      </c>
      <c r="E323" s="1">
        <v>0</v>
      </c>
      <c r="F323" s="1">
        <v>0</v>
      </c>
      <c r="G323" s="1">
        <v>7</v>
      </c>
      <c r="H323" s="4">
        <v>0.56999999999999995</v>
      </c>
      <c r="I323" s="1">
        <v>1</v>
      </c>
      <c r="J323" s="4">
        <v>1</v>
      </c>
      <c r="K323" s="1">
        <v>0</v>
      </c>
      <c r="L323" s="1">
        <v>0</v>
      </c>
      <c r="M323" s="32">
        <f>IF(Mecze[[#This Row],[PR]]=0,0,Mecze[[#This Row],[PR]]/Mecze[[#This Row],[CZAS]])</f>
        <v>0</v>
      </c>
      <c r="N323" s="32">
        <f>IF(Mecze[[#This Row],[OU]]=0,0,Mecze[[#This Row],[OU]]/Mecze[[#This Row],[CZAS]])</f>
        <v>1.0309278350515464E-2</v>
      </c>
      <c r="O323" s="32">
        <f>IF(Mecze[[#This Row],[PC]]=0,0,Mecze[[#This Row],[PC]]/Mecze[[#This Row],[CZAS]])</f>
        <v>4.1237113402061855E-2</v>
      </c>
      <c r="P323" s="32">
        <f>IF(Mecze[[#This Row],[SC]]=0,0,Mecze[[#This Row],[SC]]/Mecze[[#This Row],[CZAS]])</f>
        <v>0</v>
      </c>
      <c r="Q323" s="32">
        <f>IF(Mecze[[#This Row],[OB]]=0,0,Mecze[[#This Row],[OB]]/Mecze[[#This Row],[CZAS]])</f>
        <v>0</v>
      </c>
      <c r="R323" s="32">
        <f>IF(Mecze[[#This Row],[BR]]=0,0,Mecze[[#This Row],[BR]]/Mecze[[#This Row],[CZAS]])</f>
        <v>0</v>
      </c>
      <c r="S323" s="44">
        <f>IF(Mecze[[#This Row],[Role]]="BR",SUMPRODUCT(Mecze[[#This Row],[/PR:90]:[/BR:90]],Brudnopis!$E$23:$J$23),0)</f>
        <v>0</v>
      </c>
      <c r="T323" s="44">
        <f>IF(Mecze[[#This Row],[Role]]&lt;&gt;"BR",SUMPRODUCT(Mecze[[#This Row],[/PR:90]:[/BR:90]],Brudnopis!$E$24:$J$24),0)</f>
        <v>5.6701030927835051E-2</v>
      </c>
      <c r="U323" s="44">
        <f>IF(Mecze[[#This Row],[Role]]&lt;&gt;"BR",SUMPRODUCT(Mecze[[#This Row],[/PR:90]:[/BR:90]],Brudnopis!$E$25:$J$25),0)</f>
        <v>7.2164948453608255E-2</v>
      </c>
      <c r="V323" s="44">
        <f>IF(Mecze[[#This Row],[Role]]&lt;&gt;"BR",SUMPRODUCT(Mecze[[#This Row],[/PR:90]:[/BR:90]],Brudnopis!$E$26:$J$26),0)</f>
        <v>5.1546391752577317E-2</v>
      </c>
      <c r="W323" s="44">
        <f>IF(Mecze[[#This Row],[Role]]&lt;&gt;"BR",SUMPRODUCT(Mecze[[#This Row],[/PR:90]:[/BR:90]],Brudnopis!$E$27:$J$27),0)</f>
        <v>6.9587628865979384E-2</v>
      </c>
      <c r="X323" s="44">
        <f>IF(Mecze[[#This Row],[Role]]&lt;&gt;"BR",SUMPRODUCT(Mecze[[#This Row],[/PR:90]:[/BR:90]],Brudnopis!$E$28:$J$28),0)</f>
        <v>4.1237113402061855E-2</v>
      </c>
      <c r="Y323" s="35">
        <f>IF(Mecze[[#This Row],[Role]]="BR",Mecze[[#This Row],[/OB:90]]+Mecze[[#This Row],[/PC:90]],SUM(Mecze[[#This Row],[/PR:90]:[/BR:90]]))</f>
        <v>5.1546391752577317E-2</v>
      </c>
      <c r="Z323" s="35">
        <f>IF(Mecze[[#This Row],[KC]]=0,SUM(Mecze[[#This Row],[/BRI]:[/NPI]]),SUM(Mecze[[#This Row],[/BRI]:[/NPI]])*0.6)</f>
        <v>0.29123711340206188</v>
      </c>
      <c r="AA323" s="10">
        <f>IFERROR(Mecze[[#This Row],[BR]]/Mecze[[#This Row],[ST]],0)</f>
        <v>0</v>
      </c>
      <c r="AB323">
        <f>ROUND(Mecze[[#This Row],[PD]]*Mecze[[#This Row],[%PC]],0)</f>
        <v>4</v>
      </c>
      <c r="AC323">
        <f>ROUND(Mecze[[#This Row],[OD]]*Mecze[[#This Row],[%OU]],0)</f>
        <v>1</v>
      </c>
      <c r="AD323" s="36" t="s">
        <v>171</v>
      </c>
      <c r="AE323" s="36">
        <v>18</v>
      </c>
      <c r="AF323" s="71">
        <v>3.91</v>
      </c>
      <c r="AG323" s="37">
        <v>0</v>
      </c>
      <c r="AH323" s="37">
        <v>0</v>
      </c>
      <c r="AI323" s="37">
        <v>97</v>
      </c>
      <c r="AJ323" s="37">
        <v>2</v>
      </c>
      <c r="AK323" s="37" t="str">
        <f>VLOOKUP(Mecze[[#This Row],[Match ID]],Meczusie[Mecz]:Meczusie[RodzajMeczu],2,FALSE)</f>
        <v>Liga</v>
      </c>
    </row>
    <row r="324" spans="1:37" x14ac:dyDescent="0.25">
      <c r="A324" s="76">
        <v>11</v>
      </c>
      <c r="B324" s="3" t="s">
        <v>229</v>
      </c>
      <c r="C324" s="2" t="s">
        <v>165</v>
      </c>
      <c r="D324" s="1">
        <v>0</v>
      </c>
      <c r="E324" s="1">
        <v>16</v>
      </c>
      <c r="F324" s="1">
        <v>15</v>
      </c>
      <c r="G324" s="1">
        <v>8</v>
      </c>
      <c r="H324" s="4">
        <v>0.75</v>
      </c>
      <c r="I324" s="1">
        <v>2</v>
      </c>
      <c r="J324" s="4">
        <v>0</v>
      </c>
      <c r="K324" s="1">
        <v>0</v>
      </c>
      <c r="L324" s="1">
        <v>0</v>
      </c>
      <c r="M324" s="32">
        <f>IF(Mecze[[#This Row],[PR]]=0,0,Mecze[[#This Row],[PR]]/Mecze[[#This Row],[CZAS]])</f>
        <v>0</v>
      </c>
      <c r="N324" s="32">
        <f>IF(Mecze[[#This Row],[OU]]=0,0,Mecze[[#This Row],[OU]]/Mecze[[#This Row],[CZAS]])</f>
        <v>0</v>
      </c>
      <c r="O324" s="32">
        <f>IF(Mecze[[#This Row],[PC]]=0,0,Mecze[[#This Row],[PC]]/Mecze[[#This Row],[CZAS]])</f>
        <v>6.1855670103092786E-2</v>
      </c>
      <c r="P324" s="32">
        <f>IF(Mecze[[#This Row],[SC]]=0,0,Mecze[[#This Row],[SC]]/Mecze[[#This Row],[CZAS]])</f>
        <v>0.15463917525773196</v>
      </c>
      <c r="Q324" s="32">
        <f>IF(Mecze[[#This Row],[OB]]=0,0,Mecze[[#This Row],[OB]]/Mecze[[#This Row],[CZAS]])</f>
        <v>0</v>
      </c>
      <c r="R324" s="32">
        <f>IF(Mecze[[#This Row],[BR]]=0,0,Mecze[[#This Row],[BR]]/Mecze[[#This Row],[CZAS]])</f>
        <v>0</v>
      </c>
      <c r="S324" s="44">
        <f>IF(Mecze[[#This Row],[Role]]="BR",SUMPRODUCT(Mecze[[#This Row],[/PR:90]:[/BR:90]],Brudnopis!$E$23:$J$23),0)</f>
        <v>0</v>
      </c>
      <c r="T324" s="44">
        <f>IF(Mecze[[#This Row],[Role]]&lt;&gt;"BR",SUMPRODUCT(Mecze[[#This Row],[/PR:90]:[/BR:90]],Brudnopis!$E$24:$J$24),0)</f>
        <v>0.21649484536082475</v>
      </c>
      <c r="U324" s="44">
        <f>IF(Mecze[[#This Row],[Role]]&lt;&gt;"BR",SUMPRODUCT(Mecze[[#This Row],[/PR:90]:[/BR:90]],Brudnopis!$E$25:$J$25),0)</f>
        <v>0.24742268041237114</v>
      </c>
      <c r="V324" s="44">
        <f>IF(Mecze[[#This Row],[Role]]&lt;&gt;"BR",SUMPRODUCT(Mecze[[#This Row],[/PR:90]:[/BR:90]],Brudnopis!$E$26:$J$26),0)</f>
        <v>0.21649484536082475</v>
      </c>
      <c r="W324" s="44">
        <f>IF(Mecze[[#This Row],[Role]]&lt;&gt;"BR",SUMPRODUCT(Mecze[[#This Row],[/PR:90]:[/BR:90]],Brudnopis!$E$27:$J$27),0)</f>
        <v>0.24742268041237114</v>
      </c>
      <c r="X324" s="44">
        <f>IF(Mecze[[#This Row],[Role]]&lt;&gt;"BR",SUMPRODUCT(Mecze[[#This Row],[/PR:90]:[/BR:90]],Brudnopis!$E$28:$J$28),0)</f>
        <v>0.37113402061855671</v>
      </c>
      <c r="Y324" s="35">
        <f>IF(Mecze[[#This Row],[Role]]="BR",Mecze[[#This Row],[/OB:90]]+Mecze[[#This Row],[/PC:90]],SUM(Mecze[[#This Row],[/PR:90]:[/BR:90]]))</f>
        <v>0.21649484536082475</v>
      </c>
      <c r="Z324" s="35">
        <f>IF(Mecze[[#This Row],[KC]]=0,SUM(Mecze[[#This Row],[/BRI]:[/NPI]]),SUM(Mecze[[#This Row],[/BRI]:[/NPI]])*0.6)</f>
        <v>1.2989690721649485</v>
      </c>
      <c r="AA324" s="10">
        <f>IFERROR(Mecze[[#This Row],[BR]]/Mecze[[#This Row],[ST]],0)</f>
        <v>0</v>
      </c>
      <c r="AB324">
        <f>ROUND(Mecze[[#This Row],[PD]]*Mecze[[#This Row],[%PC]],0)</f>
        <v>6</v>
      </c>
      <c r="AC324">
        <f>ROUND(Mecze[[#This Row],[OD]]*Mecze[[#This Row],[%OU]],0)</f>
        <v>0</v>
      </c>
      <c r="AD324" s="36" t="s">
        <v>46</v>
      </c>
      <c r="AE324" s="36">
        <v>18</v>
      </c>
      <c r="AF324" s="71">
        <v>7.34</v>
      </c>
      <c r="AG324" s="37">
        <v>0</v>
      </c>
      <c r="AH324" s="37">
        <v>0</v>
      </c>
      <c r="AI324" s="37">
        <v>97</v>
      </c>
      <c r="AJ324" s="37">
        <v>2</v>
      </c>
      <c r="AK324" s="37" t="str">
        <f>VLOOKUP(Mecze[[#This Row],[Match ID]],Meczusie[Mecz]:Meczusie[RodzajMeczu],2,FALSE)</f>
        <v>Liga</v>
      </c>
    </row>
    <row r="325" spans="1:37" x14ac:dyDescent="0.25">
      <c r="A325" s="76">
        <v>10</v>
      </c>
      <c r="B325" s="3" t="s">
        <v>230</v>
      </c>
      <c r="C325" s="2" t="s">
        <v>165</v>
      </c>
      <c r="D325" s="1">
        <v>0</v>
      </c>
      <c r="E325" s="1">
        <v>0</v>
      </c>
      <c r="F325" s="1">
        <v>0</v>
      </c>
      <c r="G325" s="1">
        <v>12</v>
      </c>
      <c r="H325" s="4">
        <v>0.75</v>
      </c>
      <c r="I325" s="1">
        <v>4</v>
      </c>
      <c r="J325" s="4">
        <v>0.25</v>
      </c>
      <c r="K325" s="1">
        <v>0</v>
      </c>
      <c r="L325" s="1">
        <v>2</v>
      </c>
      <c r="M325" s="32">
        <f>IF(Mecze[[#This Row],[PR]]=0,0,Mecze[[#This Row],[PR]]/Mecze[[#This Row],[CZAS]])</f>
        <v>2.5316455696202531E-2</v>
      </c>
      <c r="N325" s="32">
        <f>IF(Mecze[[#This Row],[OU]]=0,0,Mecze[[#This Row],[OU]]/Mecze[[#This Row],[CZAS]])</f>
        <v>1.2658227848101266E-2</v>
      </c>
      <c r="O325" s="32">
        <f>IF(Mecze[[#This Row],[PC]]=0,0,Mecze[[#This Row],[PC]]/Mecze[[#This Row],[CZAS]])</f>
        <v>0.11392405063291139</v>
      </c>
      <c r="P325" s="32">
        <f>IF(Mecze[[#This Row],[SC]]=0,0,Mecze[[#This Row],[SC]]/Mecze[[#This Row],[CZAS]])</f>
        <v>0</v>
      </c>
      <c r="Q325" s="32">
        <f>IF(Mecze[[#This Row],[OB]]=0,0,Mecze[[#This Row],[OB]]/Mecze[[#This Row],[CZAS]])</f>
        <v>0</v>
      </c>
      <c r="R325" s="32">
        <f>IF(Mecze[[#This Row],[BR]]=0,0,Mecze[[#This Row],[BR]]/Mecze[[#This Row],[CZAS]])</f>
        <v>0</v>
      </c>
      <c r="S325" s="44">
        <f>IF(Mecze[[#This Row],[Role]]="BR",SUMPRODUCT(Mecze[[#This Row],[/PR:90]:[/BR:90]],Brudnopis!$E$23:$J$23),0)</f>
        <v>0</v>
      </c>
      <c r="T325" s="44">
        <f>IF(Mecze[[#This Row],[Role]]&lt;&gt;"BR",SUMPRODUCT(Mecze[[#This Row],[/PR:90]:[/BR:90]],Brudnopis!$E$24:$J$24),0)</f>
        <v>0.15822784810126583</v>
      </c>
      <c r="U325" s="44">
        <f>IF(Mecze[[#This Row],[Role]]&lt;&gt;"BR",SUMPRODUCT(Mecze[[#This Row],[/PR:90]:[/BR:90]],Brudnopis!$E$25:$J$25),0)</f>
        <v>0.20886075949367089</v>
      </c>
      <c r="V325" s="44">
        <f>IF(Mecze[[#This Row],[Role]]&lt;&gt;"BR",SUMPRODUCT(Mecze[[#This Row],[/PR:90]:[/BR:90]],Brudnopis!$E$26:$J$26),0)</f>
        <v>0.15189873417721519</v>
      </c>
      <c r="W325" s="44">
        <f>IF(Mecze[[#This Row],[Role]]&lt;&gt;"BR",SUMPRODUCT(Mecze[[#This Row],[/PR:90]:[/BR:90]],Brudnopis!$E$27:$J$27),0)</f>
        <v>0.19936708860759494</v>
      </c>
      <c r="X325" s="44">
        <f>IF(Mecze[[#This Row],[Role]]&lt;&gt;"BR",SUMPRODUCT(Mecze[[#This Row],[/PR:90]:[/BR:90]],Brudnopis!$E$28:$J$28),0)</f>
        <v>0.11392405063291139</v>
      </c>
      <c r="Y325" s="35">
        <f>IF(Mecze[[#This Row],[Role]]="BR",Mecze[[#This Row],[/OB:90]]+Mecze[[#This Row],[/PC:90]],SUM(Mecze[[#This Row],[/PR:90]:[/BR:90]]))</f>
        <v>0.15189873417721519</v>
      </c>
      <c r="Z325" s="35">
        <f>IF(Mecze[[#This Row],[KC]]=0,SUM(Mecze[[#This Row],[/BRI]:[/NPI]]),SUM(Mecze[[#This Row],[/BRI]:[/NPI]])*0.6)</f>
        <v>0.83227848101265822</v>
      </c>
      <c r="AA325" s="10">
        <f>IFERROR(Mecze[[#This Row],[BR]]/Mecze[[#This Row],[ST]],0)</f>
        <v>0</v>
      </c>
      <c r="AB325">
        <f>ROUND(Mecze[[#This Row],[PD]]*Mecze[[#This Row],[%PC]],0)</f>
        <v>9</v>
      </c>
      <c r="AC325">
        <f>ROUND(Mecze[[#This Row],[OD]]*Mecze[[#This Row],[%OU]],0)</f>
        <v>1</v>
      </c>
      <c r="AD325" s="36" t="s">
        <v>232</v>
      </c>
      <c r="AE325" s="36">
        <v>18</v>
      </c>
      <c r="AF325" s="71">
        <v>4.04</v>
      </c>
      <c r="AG325" s="37">
        <v>0</v>
      </c>
      <c r="AH325" s="37">
        <v>0</v>
      </c>
      <c r="AI325" s="37">
        <v>79</v>
      </c>
      <c r="AJ325" s="37">
        <v>2</v>
      </c>
      <c r="AK325" s="37" t="str">
        <f>VLOOKUP(Mecze[[#This Row],[Match ID]],Meczusie[Mecz]:Meczusie[RodzajMeczu],2,FALSE)</f>
        <v>Liga</v>
      </c>
    </row>
    <row r="326" spans="1:37" x14ac:dyDescent="0.25">
      <c r="A326" s="76">
        <v>12</v>
      </c>
      <c r="B326" s="3" t="s">
        <v>231</v>
      </c>
      <c r="C326" s="2" t="s">
        <v>165</v>
      </c>
      <c r="D326" s="1">
        <v>0</v>
      </c>
      <c r="E326" s="1">
        <v>0</v>
      </c>
      <c r="F326" s="1">
        <v>0</v>
      </c>
      <c r="G326" s="1">
        <v>5</v>
      </c>
      <c r="H326" s="4">
        <v>0.4</v>
      </c>
      <c r="I326" s="1">
        <v>0</v>
      </c>
      <c r="J326" s="4"/>
      <c r="K326" s="1">
        <v>0</v>
      </c>
      <c r="L326" s="1">
        <v>1</v>
      </c>
      <c r="M326" s="32">
        <f>IF(Mecze[[#This Row],[PR]]=0,0,Mecze[[#This Row],[PR]]/Mecze[[#This Row],[CZAS]])</f>
        <v>5.5555555555555552E-2</v>
      </c>
      <c r="N326" s="32">
        <f>IF(Mecze[[#This Row],[OU]]=0,0,Mecze[[#This Row],[OU]]/Mecze[[#This Row],[CZAS]])</f>
        <v>0</v>
      </c>
      <c r="O326" s="32">
        <f>IF(Mecze[[#This Row],[PC]]=0,0,Mecze[[#This Row],[PC]]/Mecze[[#This Row],[CZAS]])</f>
        <v>0.1111111111111111</v>
      </c>
      <c r="P326" s="32">
        <f>IF(Mecze[[#This Row],[SC]]=0,0,Mecze[[#This Row],[SC]]/Mecze[[#This Row],[CZAS]])</f>
        <v>0</v>
      </c>
      <c r="Q326" s="32">
        <f>IF(Mecze[[#This Row],[OB]]=0,0,Mecze[[#This Row],[OB]]/Mecze[[#This Row],[CZAS]])</f>
        <v>0</v>
      </c>
      <c r="R326" s="32">
        <f>IF(Mecze[[#This Row],[BR]]=0,0,Mecze[[#This Row],[BR]]/Mecze[[#This Row],[CZAS]])</f>
        <v>0</v>
      </c>
      <c r="S326" s="44">
        <f>IF(Mecze[[#This Row],[Role]]="BR",SUMPRODUCT(Mecze[[#This Row],[/PR:90]:[/BR:90]],Brudnopis!$E$23:$J$23),0)</f>
        <v>0</v>
      </c>
      <c r="T326" s="44">
        <f>IF(Mecze[[#This Row],[Role]]&lt;&gt;"BR",SUMPRODUCT(Mecze[[#This Row],[/PR:90]:[/BR:90]],Brudnopis!$E$24:$J$24),0)</f>
        <v>0.16666666666666666</v>
      </c>
      <c r="U326" s="44">
        <f>IF(Mecze[[#This Row],[Role]]&lt;&gt;"BR",SUMPRODUCT(Mecze[[#This Row],[/PR:90]:[/BR:90]],Brudnopis!$E$25:$J$25),0)</f>
        <v>0.22222222222222221</v>
      </c>
      <c r="V326" s="44">
        <f>IF(Mecze[[#This Row],[Role]]&lt;&gt;"BR",SUMPRODUCT(Mecze[[#This Row],[/PR:90]:[/BR:90]],Brudnopis!$E$26:$J$26),0)</f>
        <v>0.16666666666666666</v>
      </c>
      <c r="W326" s="44">
        <f>IF(Mecze[[#This Row],[Role]]&lt;&gt;"BR",SUMPRODUCT(Mecze[[#This Row],[/PR:90]:[/BR:90]],Brudnopis!$E$27:$J$27),0)</f>
        <v>0.20833333333333331</v>
      </c>
      <c r="X326" s="44">
        <f>IF(Mecze[[#This Row],[Role]]&lt;&gt;"BR",SUMPRODUCT(Mecze[[#This Row],[/PR:90]:[/BR:90]],Brudnopis!$E$28:$J$28),0)</f>
        <v>0.1111111111111111</v>
      </c>
      <c r="Y326" s="35">
        <f>IF(Mecze[[#This Row],[Role]]="BR",Mecze[[#This Row],[/OB:90]]+Mecze[[#This Row],[/PC:90]],SUM(Mecze[[#This Row],[/PR:90]:[/BR:90]]))</f>
        <v>0.16666666666666666</v>
      </c>
      <c r="Z326" s="35">
        <f>IF(Mecze[[#This Row],[KC]]=0,SUM(Mecze[[#This Row],[/BRI]:[/NPI]]),SUM(Mecze[[#This Row],[/BRI]:[/NPI]])*0.6)</f>
        <v>0.875</v>
      </c>
      <c r="AA326" s="10">
        <f>IFERROR(Mecze[[#This Row],[BR]]/Mecze[[#This Row],[ST]],0)</f>
        <v>0</v>
      </c>
      <c r="AB326">
        <f>ROUND(Mecze[[#This Row],[PD]]*Mecze[[#This Row],[%PC]],0)</f>
        <v>2</v>
      </c>
      <c r="AC326">
        <f>ROUND(Mecze[[#This Row],[OD]]*Mecze[[#This Row],[%OU]],0)</f>
        <v>0</v>
      </c>
      <c r="AD326" s="36" t="s">
        <v>232</v>
      </c>
      <c r="AE326" s="36">
        <v>18</v>
      </c>
      <c r="AF326" s="71">
        <v>0.5</v>
      </c>
      <c r="AG326" s="37">
        <v>0</v>
      </c>
      <c r="AH326" s="37">
        <v>0</v>
      </c>
      <c r="AI326" s="37">
        <v>18</v>
      </c>
      <c r="AJ326" s="37">
        <v>2</v>
      </c>
      <c r="AK326" s="37" t="str">
        <f>VLOOKUP(Mecze[[#This Row],[Match ID]],Meczusie[Mecz]:Meczusie[RodzajMeczu],2,FALSE)</f>
        <v>Liga</v>
      </c>
    </row>
    <row r="327" spans="1:37" x14ac:dyDescent="0.25">
      <c r="A327" s="76">
        <v>1</v>
      </c>
      <c r="B327" s="3" t="s">
        <v>169</v>
      </c>
      <c r="C327" s="2" t="s">
        <v>155</v>
      </c>
      <c r="D327" s="1">
        <v>0</v>
      </c>
      <c r="E327" s="1">
        <v>0</v>
      </c>
      <c r="F327" s="1">
        <v>0</v>
      </c>
      <c r="G327" s="1">
        <v>6</v>
      </c>
      <c r="H327" s="4">
        <v>0.83</v>
      </c>
      <c r="I327" s="1">
        <v>0</v>
      </c>
      <c r="J327" s="4"/>
      <c r="K327" s="1">
        <v>9</v>
      </c>
      <c r="L327" s="1">
        <v>0</v>
      </c>
      <c r="M327" s="32">
        <f>IF(Mecze[[#This Row],[PR]]=0,0,Mecze[[#This Row],[PR]]/Mecze[[#This Row],[CZAS]])</f>
        <v>0</v>
      </c>
      <c r="N327" s="32">
        <f>IF(Mecze[[#This Row],[OU]]=0,0,Mecze[[#This Row],[OU]]/Mecze[[#This Row],[CZAS]])</f>
        <v>0</v>
      </c>
      <c r="O327" s="32">
        <f>IF(Mecze[[#This Row],[PC]]=0,0,Mecze[[#This Row],[PC]]/Mecze[[#This Row],[CZAS]])</f>
        <v>5.1546391752577317E-2</v>
      </c>
      <c r="P327" s="32">
        <f>IF(Mecze[[#This Row],[SC]]=0,0,Mecze[[#This Row],[SC]]/Mecze[[#This Row],[CZAS]])</f>
        <v>0</v>
      </c>
      <c r="Q327" s="32">
        <f>IF(Mecze[[#This Row],[OB]]=0,0,Mecze[[#This Row],[OB]]/Mecze[[#This Row],[CZAS]])</f>
        <v>9.2783505154639179E-2</v>
      </c>
      <c r="R327" s="32">
        <f>IF(Mecze[[#This Row],[BR]]=0,0,Mecze[[#This Row],[BR]]/Mecze[[#This Row],[CZAS]])</f>
        <v>0</v>
      </c>
      <c r="S327" s="44">
        <f>IF(Mecze[[#This Row],[Role]]="BR",SUMPRODUCT(Mecze[[#This Row],[/PR:90]:[/BR:90]],Brudnopis!$E$23:$J$23),0)</f>
        <v>0.4329896907216495</v>
      </c>
      <c r="T327" s="44">
        <f>IF(Mecze[[#This Row],[Role]]&lt;&gt;"BR",SUMPRODUCT(Mecze[[#This Row],[/PR:90]:[/BR:90]],Brudnopis!$E$24:$J$24),0)</f>
        <v>0</v>
      </c>
      <c r="U327" s="44">
        <f>IF(Mecze[[#This Row],[Role]]&lt;&gt;"BR",SUMPRODUCT(Mecze[[#This Row],[/PR:90]:[/BR:90]],Brudnopis!$E$25:$J$25),0)</f>
        <v>0</v>
      </c>
      <c r="V327" s="44">
        <f>IF(Mecze[[#This Row],[Role]]&lt;&gt;"BR",SUMPRODUCT(Mecze[[#This Row],[/PR:90]:[/BR:90]],Brudnopis!$E$26:$J$26),0)</f>
        <v>0</v>
      </c>
      <c r="W327" s="44">
        <f>IF(Mecze[[#This Row],[Role]]&lt;&gt;"BR",SUMPRODUCT(Mecze[[#This Row],[/PR:90]:[/BR:90]],Brudnopis!$E$27:$J$27),0)</f>
        <v>0</v>
      </c>
      <c r="X327" s="44">
        <f>IF(Mecze[[#This Row],[Role]]&lt;&gt;"BR",SUMPRODUCT(Mecze[[#This Row],[/PR:90]:[/BR:90]],Brudnopis!$E$28:$J$28),0)</f>
        <v>0</v>
      </c>
      <c r="Y327" s="35">
        <f>IF(Mecze[[#This Row],[Role]]="BR",Mecze[[#This Row],[/OB:90]]+Mecze[[#This Row],[/PC:90]],SUM(Mecze[[#This Row],[/PR:90]:[/BR:90]]))</f>
        <v>0.14432989690721648</v>
      </c>
      <c r="Z327" s="35">
        <f>IF(Mecze[[#This Row],[KC]]=0,SUM(Mecze[[#This Row],[/BRI]:[/NPI]]),SUM(Mecze[[#This Row],[/BRI]:[/NPI]])*0.6)</f>
        <v>0.4329896907216495</v>
      </c>
      <c r="AA327" s="10">
        <f>IFERROR(Mecze[[#This Row],[BR]]/Mecze[[#This Row],[ST]],0)</f>
        <v>0</v>
      </c>
      <c r="AB327">
        <f>ROUND(Mecze[[#This Row],[PD]]*Mecze[[#This Row],[%PC]],0)</f>
        <v>5</v>
      </c>
      <c r="AC327">
        <f>ROUND(Mecze[[#This Row],[OD]]*Mecze[[#This Row],[%OU]],0)</f>
        <v>0</v>
      </c>
      <c r="AD327" s="36" t="s">
        <v>40</v>
      </c>
      <c r="AE327" s="36">
        <v>19</v>
      </c>
      <c r="AF327" s="71">
        <v>9.18</v>
      </c>
      <c r="AG327" s="37">
        <v>0</v>
      </c>
      <c r="AH327" s="37">
        <v>0</v>
      </c>
      <c r="AI327" s="37">
        <v>97</v>
      </c>
      <c r="AJ327" s="37">
        <v>1</v>
      </c>
      <c r="AK327" s="37" t="str">
        <f>VLOOKUP(Mecze[[#This Row],[Match ID]],Meczusie[Mecz]:Meczusie[RodzajMeczu],2,FALSE)</f>
        <v>Towarzyski</v>
      </c>
    </row>
    <row r="328" spans="1:37" x14ac:dyDescent="0.25">
      <c r="A328" s="76">
        <v>18</v>
      </c>
      <c r="B328" s="3" t="s">
        <v>211</v>
      </c>
      <c r="C328" s="2" t="s">
        <v>157</v>
      </c>
      <c r="D328" s="1">
        <v>0</v>
      </c>
      <c r="E328" s="1">
        <v>0</v>
      </c>
      <c r="F328" s="1">
        <v>0</v>
      </c>
      <c r="G328" s="1">
        <v>7</v>
      </c>
      <c r="H328" s="4">
        <v>0.43</v>
      </c>
      <c r="I328" s="1">
        <v>4</v>
      </c>
      <c r="J328" s="4">
        <v>0.5</v>
      </c>
      <c r="K328" s="1">
        <v>0</v>
      </c>
      <c r="L328" s="1">
        <v>5</v>
      </c>
      <c r="M328" s="32">
        <f>IF(Mecze[[#This Row],[PR]]=0,0,Mecze[[#This Row],[PR]]/Mecze[[#This Row],[CZAS]])</f>
        <v>5.1546391752577317E-2</v>
      </c>
      <c r="N328" s="32">
        <f>IF(Mecze[[#This Row],[OU]]=0,0,Mecze[[#This Row],[OU]]/Mecze[[#This Row],[CZAS]])</f>
        <v>2.0618556701030927E-2</v>
      </c>
      <c r="O328" s="32">
        <f>IF(Mecze[[#This Row],[PC]]=0,0,Mecze[[#This Row],[PC]]/Mecze[[#This Row],[CZAS]])</f>
        <v>3.0927835051546393E-2</v>
      </c>
      <c r="P328" s="32">
        <f>IF(Mecze[[#This Row],[SC]]=0,0,Mecze[[#This Row],[SC]]/Mecze[[#This Row],[CZAS]])</f>
        <v>0</v>
      </c>
      <c r="Q328" s="32">
        <f>IF(Mecze[[#This Row],[OB]]=0,0,Mecze[[#This Row],[OB]]/Mecze[[#This Row],[CZAS]])</f>
        <v>0</v>
      </c>
      <c r="R328" s="32">
        <f>IF(Mecze[[#This Row],[BR]]=0,0,Mecze[[#This Row],[BR]]/Mecze[[#This Row],[CZAS]])</f>
        <v>0</v>
      </c>
      <c r="S328" s="44">
        <f>IF(Mecze[[#This Row],[Role]]="BR",SUMPRODUCT(Mecze[[#This Row],[/PR:90]:[/BR:90]],Brudnopis!$E$23:$J$23),0)</f>
        <v>0</v>
      </c>
      <c r="T328" s="44">
        <f>IF(Mecze[[#This Row],[Role]]&lt;&gt;"BR",SUMPRODUCT(Mecze[[#This Row],[/PR:90]:[/BR:90]],Brudnopis!$E$24:$J$24),0)</f>
        <v>0.1134020618556701</v>
      </c>
      <c r="U328" s="44">
        <f>IF(Mecze[[#This Row],[Role]]&lt;&gt;"BR",SUMPRODUCT(Mecze[[#This Row],[/PR:90]:[/BR:90]],Brudnopis!$E$25:$J$25),0)</f>
        <v>0.11855670103092783</v>
      </c>
      <c r="V328" s="44">
        <f>IF(Mecze[[#This Row],[Role]]&lt;&gt;"BR",SUMPRODUCT(Mecze[[#This Row],[/PR:90]:[/BR:90]],Brudnopis!$E$26:$J$26),0)</f>
        <v>0.10309278350515463</v>
      </c>
      <c r="W328" s="44">
        <f>IF(Mecze[[#This Row],[Role]]&lt;&gt;"BR",SUMPRODUCT(Mecze[[#This Row],[/PR:90]:[/BR:90]],Brudnopis!$E$27:$J$27),0)</f>
        <v>0.10051546391752578</v>
      </c>
      <c r="X328" s="44">
        <f>IF(Mecze[[#This Row],[Role]]&lt;&gt;"BR",SUMPRODUCT(Mecze[[#This Row],[/PR:90]:[/BR:90]],Brudnopis!$E$28:$J$28),0)</f>
        <v>3.0927835051546393E-2</v>
      </c>
      <c r="Y328" s="35">
        <f>IF(Mecze[[#This Row],[Role]]="BR",Mecze[[#This Row],[/OB:90]]+Mecze[[#This Row],[/PC:90]],SUM(Mecze[[#This Row],[/PR:90]:[/BR:90]]))</f>
        <v>0.10309278350515463</v>
      </c>
      <c r="Z328" s="35">
        <f>IF(Mecze[[#This Row],[KC]]=0,SUM(Mecze[[#This Row],[/BRI]:[/NPI]]),SUM(Mecze[[#This Row],[/BRI]:[/NPI]])*0.6)</f>
        <v>0.46649484536082475</v>
      </c>
      <c r="AA328" s="10">
        <f>IFERROR(Mecze[[#This Row],[BR]]/Mecze[[#This Row],[ST]],0)</f>
        <v>0</v>
      </c>
      <c r="AB328">
        <f>ROUND(Mecze[[#This Row],[PD]]*Mecze[[#This Row],[%PC]],0)</f>
        <v>3</v>
      </c>
      <c r="AC328">
        <f>ROUND(Mecze[[#This Row],[OD]]*Mecze[[#This Row],[%OU]],0)</f>
        <v>2</v>
      </c>
      <c r="AD328" s="36" t="s">
        <v>47</v>
      </c>
      <c r="AE328" s="36">
        <v>19</v>
      </c>
      <c r="AF328" s="71">
        <v>6.09</v>
      </c>
      <c r="AG328" s="37">
        <v>0</v>
      </c>
      <c r="AH328" s="37">
        <v>0</v>
      </c>
      <c r="AI328" s="37">
        <v>97</v>
      </c>
      <c r="AJ328" s="37">
        <v>1</v>
      </c>
      <c r="AK328" s="37" t="str">
        <f>VLOOKUP(Mecze[[#This Row],[Match ID]],Meczusie[Mecz]:Meczusie[RodzajMeczu],2,FALSE)</f>
        <v>Towarzyski</v>
      </c>
    </row>
    <row r="329" spans="1:37" x14ac:dyDescent="0.25">
      <c r="A329" s="76">
        <v>3</v>
      </c>
      <c r="B329" s="3" t="s">
        <v>158</v>
      </c>
      <c r="C329" s="2" t="s">
        <v>157</v>
      </c>
      <c r="D329" s="1">
        <v>0</v>
      </c>
      <c r="E329" s="1">
        <v>0</v>
      </c>
      <c r="F329" s="1">
        <v>0</v>
      </c>
      <c r="G329" s="1">
        <v>4</v>
      </c>
      <c r="H329" s="4">
        <v>1</v>
      </c>
      <c r="I329" s="1">
        <v>5</v>
      </c>
      <c r="J329" s="4">
        <v>0.2</v>
      </c>
      <c r="K329" s="1">
        <v>0</v>
      </c>
      <c r="L329" s="1">
        <v>0</v>
      </c>
      <c r="M329" s="32">
        <f>IF(Mecze[[#This Row],[PR]]=0,0,Mecze[[#This Row],[PR]]/Mecze[[#This Row],[CZAS]])</f>
        <v>0</v>
      </c>
      <c r="N329" s="32">
        <f>IF(Mecze[[#This Row],[OU]]=0,0,Mecze[[#This Row],[OU]]/Mecze[[#This Row],[CZAS]])</f>
        <v>1.0309278350515464E-2</v>
      </c>
      <c r="O329" s="32">
        <f>IF(Mecze[[#This Row],[PC]]=0,0,Mecze[[#This Row],[PC]]/Mecze[[#This Row],[CZAS]])</f>
        <v>4.1237113402061855E-2</v>
      </c>
      <c r="P329" s="32">
        <f>IF(Mecze[[#This Row],[SC]]=0,0,Mecze[[#This Row],[SC]]/Mecze[[#This Row],[CZAS]])</f>
        <v>0</v>
      </c>
      <c r="Q329" s="32">
        <f>IF(Mecze[[#This Row],[OB]]=0,0,Mecze[[#This Row],[OB]]/Mecze[[#This Row],[CZAS]])</f>
        <v>0</v>
      </c>
      <c r="R329" s="32">
        <f>IF(Mecze[[#This Row],[BR]]=0,0,Mecze[[#This Row],[BR]]/Mecze[[#This Row],[CZAS]])</f>
        <v>0</v>
      </c>
      <c r="S329" s="44">
        <f>IF(Mecze[[#This Row],[Role]]="BR",SUMPRODUCT(Mecze[[#This Row],[/PR:90]:[/BR:90]],Brudnopis!$E$23:$J$23),0)</f>
        <v>0</v>
      </c>
      <c r="T329" s="44">
        <f>IF(Mecze[[#This Row],[Role]]&lt;&gt;"BR",SUMPRODUCT(Mecze[[#This Row],[/PR:90]:[/BR:90]],Brudnopis!$E$24:$J$24),0)</f>
        <v>5.6701030927835051E-2</v>
      </c>
      <c r="U329" s="44">
        <f>IF(Mecze[[#This Row],[Role]]&lt;&gt;"BR",SUMPRODUCT(Mecze[[#This Row],[/PR:90]:[/BR:90]],Brudnopis!$E$25:$J$25),0)</f>
        <v>7.2164948453608255E-2</v>
      </c>
      <c r="V329" s="44">
        <f>IF(Mecze[[#This Row],[Role]]&lt;&gt;"BR",SUMPRODUCT(Mecze[[#This Row],[/PR:90]:[/BR:90]],Brudnopis!$E$26:$J$26),0)</f>
        <v>5.1546391752577317E-2</v>
      </c>
      <c r="W329" s="44">
        <f>IF(Mecze[[#This Row],[Role]]&lt;&gt;"BR",SUMPRODUCT(Mecze[[#This Row],[/PR:90]:[/BR:90]],Brudnopis!$E$27:$J$27),0)</f>
        <v>6.9587628865979384E-2</v>
      </c>
      <c r="X329" s="44">
        <f>IF(Mecze[[#This Row],[Role]]&lt;&gt;"BR",SUMPRODUCT(Mecze[[#This Row],[/PR:90]:[/BR:90]],Brudnopis!$E$28:$J$28),0)</f>
        <v>4.1237113402061855E-2</v>
      </c>
      <c r="Y329" s="35">
        <f>IF(Mecze[[#This Row],[Role]]="BR",Mecze[[#This Row],[/OB:90]]+Mecze[[#This Row],[/PC:90]],SUM(Mecze[[#This Row],[/PR:90]:[/BR:90]]))</f>
        <v>5.1546391752577317E-2</v>
      </c>
      <c r="Z329" s="35">
        <f>IF(Mecze[[#This Row],[KC]]=0,SUM(Mecze[[#This Row],[/BRI]:[/NPI]]),SUM(Mecze[[#This Row],[/BRI]:[/NPI]])*0.6)</f>
        <v>0.29123711340206188</v>
      </c>
      <c r="AA329" s="10">
        <f>IFERROR(Mecze[[#This Row],[BR]]/Mecze[[#This Row],[ST]],0)</f>
        <v>0</v>
      </c>
      <c r="AB329">
        <f>ROUND(Mecze[[#This Row],[PD]]*Mecze[[#This Row],[%PC]],0)</f>
        <v>4</v>
      </c>
      <c r="AC329">
        <f>ROUND(Mecze[[#This Row],[OD]]*Mecze[[#This Row],[%OU]],0)</f>
        <v>1</v>
      </c>
      <c r="AD329" s="36" t="s">
        <v>174</v>
      </c>
      <c r="AE329" s="36">
        <v>19</v>
      </c>
      <c r="AF329" s="71">
        <v>3.92</v>
      </c>
      <c r="AG329" s="37">
        <v>0</v>
      </c>
      <c r="AH329" s="37">
        <v>0</v>
      </c>
      <c r="AI329" s="37">
        <v>97</v>
      </c>
      <c r="AJ329" s="37">
        <v>1</v>
      </c>
      <c r="AK329" s="37" t="str">
        <f>VLOOKUP(Mecze[[#This Row],[Match ID]],Meczusie[Mecz]:Meczusie[RodzajMeczu],2,FALSE)</f>
        <v>Towarzyski</v>
      </c>
    </row>
    <row r="330" spans="1:37" x14ac:dyDescent="0.25">
      <c r="A330" s="76">
        <v>2</v>
      </c>
      <c r="B330" s="3" t="s">
        <v>156</v>
      </c>
      <c r="C330" s="2" t="s">
        <v>157</v>
      </c>
      <c r="D330" s="1">
        <v>0</v>
      </c>
      <c r="E330" s="1">
        <v>0</v>
      </c>
      <c r="F330" s="1">
        <v>0</v>
      </c>
      <c r="G330" s="1">
        <v>12</v>
      </c>
      <c r="H330" s="4">
        <v>1</v>
      </c>
      <c r="I330" s="1">
        <v>8</v>
      </c>
      <c r="J330" s="4">
        <v>0</v>
      </c>
      <c r="K330" s="1">
        <v>0</v>
      </c>
      <c r="L330" s="1">
        <v>12</v>
      </c>
      <c r="M330" s="32">
        <f>IF(Mecze[[#This Row],[PR]]=0,0,Mecze[[#This Row],[PR]]/Mecze[[#This Row],[CZAS]])</f>
        <v>0.12371134020618557</v>
      </c>
      <c r="N330" s="32">
        <f>IF(Mecze[[#This Row],[OU]]=0,0,Mecze[[#This Row],[OU]]/Mecze[[#This Row],[CZAS]])</f>
        <v>0</v>
      </c>
      <c r="O330" s="32">
        <f>IF(Mecze[[#This Row],[PC]]=0,0,Mecze[[#This Row],[PC]]/Mecze[[#This Row],[CZAS]])</f>
        <v>0.12371134020618557</v>
      </c>
      <c r="P330" s="32">
        <f>IF(Mecze[[#This Row],[SC]]=0,0,Mecze[[#This Row],[SC]]/Mecze[[#This Row],[CZAS]])</f>
        <v>0</v>
      </c>
      <c r="Q330" s="32">
        <f>IF(Mecze[[#This Row],[OB]]=0,0,Mecze[[#This Row],[OB]]/Mecze[[#This Row],[CZAS]])</f>
        <v>0</v>
      </c>
      <c r="R330" s="32">
        <f>IF(Mecze[[#This Row],[BR]]=0,0,Mecze[[#This Row],[BR]]/Mecze[[#This Row],[CZAS]])</f>
        <v>0</v>
      </c>
      <c r="S330" s="44">
        <f>IF(Mecze[[#This Row],[Role]]="BR",SUMPRODUCT(Mecze[[#This Row],[/PR:90]:[/BR:90]],Brudnopis!$E$23:$J$23),0)</f>
        <v>0</v>
      </c>
      <c r="T330" s="44">
        <f>IF(Mecze[[#This Row],[Role]]&lt;&gt;"BR",SUMPRODUCT(Mecze[[#This Row],[/PR:90]:[/BR:90]],Brudnopis!$E$24:$J$24),0)</f>
        <v>0.24742268041237114</v>
      </c>
      <c r="U330" s="44">
        <f>IF(Mecze[[#This Row],[Role]]&lt;&gt;"BR",SUMPRODUCT(Mecze[[#This Row],[/PR:90]:[/BR:90]],Brudnopis!$E$25:$J$25),0)</f>
        <v>0.30927835051546393</v>
      </c>
      <c r="V330" s="44">
        <f>IF(Mecze[[#This Row],[Role]]&lt;&gt;"BR",SUMPRODUCT(Mecze[[#This Row],[/PR:90]:[/BR:90]],Brudnopis!$E$26:$J$26),0)</f>
        <v>0.24742268041237114</v>
      </c>
      <c r="W330" s="44">
        <f>IF(Mecze[[#This Row],[Role]]&lt;&gt;"BR",SUMPRODUCT(Mecze[[#This Row],[/PR:90]:[/BR:90]],Brudnopis!$E$27:$J$27),0)</f>
        <v>0.27835051546391754</v>
      </c>
      <c r="X330" s="44">
        <f>IF(Mecze[[#This Row],[Role]]&lt;&gt;"BR",SUMPRODUCT(Mecze[[#This Row],[/PR:90]:[/BR:90]],Brudnopis!$E$28:$J$28),0)</f>
        <v>0.12371134020618557</v>
      </c>
      <c r="Y330" s="35">
        <f>IF(Mecze[[#This Row],[Role]]="BR",Mecze[[#This Row],[/OB:90]]+Mecze[[#This Row],[/PC:90]],SUM(Mecze[[#This Row],[/PR:90]:[/BR:90]]))</f>
        <v>0.24742268041237114</v>
      </c>
      <c r="Z330" s="35">
        <f>IF(Mecze[[#This Row],[KC]]=0,SUM(Mecze[[#This Row],[/BRI]:[/NPI]]),SUM(Mecze[[#This Row],[/BRI]:[/NPI]])*0.6)</f>
        <v>1.2061855670103094</v>
      </c>
      <c r="AA330" s="10">
        <f>IFERROR(Mecze[[#This Row],[BR]]/Mecze[[#This Row],[ST]],0)</f>
        <v>0</v>
      </c>
      <c r="AB330">
        <f>ROUND(Mecze[[#This Row],[PD]]*Mecze[[#This Row],[%PC]],0)</f>
        <v>12</v>
      </c>
      <c r="AC330">
        <f>ROUND(Mecze[[#This Row],[OD]]*Mecze[[#This Row],[%OU]],0)</f>
        <v>0</v>
      </c>
      <c r="AD330" s="36" t="s">
        <v>47</v>
      </c>
      <c r="AE330" s="36">
        <v>19</v>
      </c>
      <c r="AF330" s="71">
        <v>6.44</v>
      </c>
      <c r="AG330" s="37">
        <v>0</v>
      </c>
      <c r="AH330" s="37">
        <v>0</v>
      </c>
      <c r="AI330" s="37">
        <v>97</v>
      </c>
      <c r="AJ330" s="37">
        <v>1</v>
      </c>
      <c r="AK330" s="37" t="str">
        <f>VLOOKUP(Mecze[[#This Row],[Match ID]],Meczusie[Mecz]:Meczusie[RodzajMeczu],2,FALSE)</f>
        <v>Towarzyski</v>
      </c>
    </row>
    <row r="331" spans="1:37" x14ac:dyDescent="0.25">
      <c r="A331" s="76">
        <v>13</v>
      </c>
      <c r="B331" s="3" t="s">
        <v>162</v>
      </c>
      <c r="C331" s="2" t="s">
        <v>157</v>
      </c>
      <c r="D331" s="1">
        <v>0</v>
      </c>
      <c r="E331" s="1">
        <v>0</v>
      </c>
      <c r="F331" s="1">
        <v>0</v>
      </c>
      <c r="G331" s="1">
        <v>3</v>
      </c>
      <c r="H331" s="4">
        <v>1</v>
      </c>
      <c r="I331" s="1">
        <v>4</v>
      </c>
      <c r="J331" s="4">
        <v>0.25</v>
      </c>
      <c r="K331" s="1">
        <v>0</v>
      </c>
      <c r="L331" s="1">
        <v>3</v>
      </c>
      <c r="M331" s="32">
        <f>IF(Mecze[[#This Row],[PR]]=0,0,Mecze[[#This Row],[PR]]/Mecze[[#This Row],[CZAS]])</f>
        <v>3.0927835051546393E-2</v>
      </c>
      <c r="N331" s="32">
        <f>IF(Mecze[[#This Row],[OU]]=0,0,Mecze[[#This Row],[OU]]/Mecze[[#This Row],[CZAS]])</f>
        <v>1.0309278350515464E-2</v>
      </c>
      <c r="O331" s="32">
        <f>IF(Mecze[[#This Row],[PC]]=0,0,Mecze[[#This Row],[PC]]/Mecze[[#This Row],[CZAS]])</f>
        <v>3.0927835051546393E-2</v>
      </c>
      <c r="P331" s="32">
        <f>IF(Mecze[[#This Row],[SC]]=0,0,Mecze[[#This Row],[SC]]/Mecze[[#This Row],[CZAS]])</f>
        <v>0</v>
      </c>
      <c r="Q331" s="32">
        <f>IF(Mecze[[#This Row],[OB]]=0,0,Mecze[[#This Row],[OB]]/Mecze[[#This Row],[CZAS]])</f>
        <v>0</v>
      </c>
      <c r="R331" s="32">
        <f>IF(Mecze[[#This Row],[BR]]=0,0,Mecze[[#This Row],[BR]]/Mecze[[#This Row],[CZAS]])</f>
        <v>0</v>
      </c>
      <c r="S331" s="44">
        <f>IF(Mecze[[#This Row],[Role]]="BR",SUMPRODUCT(Mecze[[#This Row],[/PR:90]:[/BR:90]],Brudnopis!$E$23:$J$23),0)</f>
        <v>0</v>
      </c>
      <c r="T331" s="44">
        <f>IF(Mecze[[#This Row],[Role]]&lt;&gt;"BR",SUMPRODUCT(Mecze[[#This Row],[/PR:90]:[/BR:90]],Brudnopis!$E$24:$J$24),0)</f>
        <v>7.7319587628865982E-2</v>
      </c>
      <c r="U331" s="44">
        <f>IF(Mecze[[#This Row],[Role]]&lt;&gt;"BR",SUMPRODUCT(Mecze[[#This Row],[/PR:90]:[/BR:90]],Brudnopis!$E$25:$J$25),0)</f>
        <v>8.7628865979381437E-2</v>
      </c>
      <c r="V331" s="44">
        <f>IF(Mecze[[#This Row],[Role]]&lt;&gt;"BR",SUMPRODUCT(Mecze[[#This Row],[/PR:90]:[/BR:90]],Brudnopis!$E$26:$J$26),0)</f>
        <v>7.2164948453608241E-2</v>
      </c>
      <c r="W331" s="44">
        <f>IF(Mecze[[#This Row],[Role]]&lt;&gt;"BR",SUMPRODUCT(Mecze[[#This Row],[/PR:90]:[/BR:90]],Brudnopis!$E$27:$J$27),0)</f>
        <v>7.7319587628865982E-2</v>
      </c>
      <c r="X331" s="44">
        <f>IF(Mecze[[#This Row],[Role]]&lt;&gt;"BR",SUMPRODUCT(Mecze[[#This Row],[/PR:90]:[/BR:90]],Brudnopis!$E$28:$J$28),0)</f>
        <v>3.0927835051546393E-2</v>
      </c>
      <c r="Y331" s="35">
        <f>IF(Mecze[[#This Row],[Role]]="BR",Mecze[[#This Row],[/OB:90]]+Mecze[[#This Row],[/PC:90]],SUM(Mecze[[#This Row],[/PR:90]:[/BR:90]]))</f>
        <v>7.2164948453608241E-2</v>
      </c>
      <c r="Z331" s="35">
        <f>IF(Mecze[[#This Row],[KC]]=0,SUM(Mecze[[#This Row],[/BRI]:[/NPI]]),SUM(Mecze[[#This Row],[/BRI]:[/NPI]])*0.6)</f>
        <v>0.34536082474226804</v>
      </c>
      <c r="AA331" s="10">
        <f>IFERROR(Mecze[[#This Row],[BR]]/Mecze[[#This Row],[ST]],0)</f>
        <v>0</v>
      </c>
      <c r="AB331">
        <f>ROUND(Mecze[[#This Row],[PD]]*Mecze[[#This Row],[%PC]],0)</f>
        <v>3</v>
      </c>
      <c r="AC331">
        <f>ROUND(Mecze[[#This Row],[OD]]*Mecze[[#This Row],[%OU]],0)</f>
        <v>1</v>
      </c>
      <c r="AD331" s="36" t="s">
        <v>175</v>
      </c>
      <c r="AE331" s="36">
        <v>19</v>
      </c>
      <c r="AF331" s="71">
        <v>4.55</v>
      </c>
      <c r="AG331" s="37">
        <v>0</v>
      </c>
      <c r="AH331" s="37">
        <v>0</v>
      </c>
      <c r="AI331" s="37">
        <v>97</v>
      </c>
      <c r="AJ331" s="37">
        <v>1</v>
      </c>
      <c r="AK331" s="37" t="str">
        <f>VLOOKUP(Mecze[[#This Row],[Match ID]],Meczusie[Mecz]:Meczusie[RodzajMeczu],2,FALSE)</f>
        <v>Towarzyski</v>
      </c>
    </row>
    <row r="332" spans="1:37" x14ac:dyDescent="0.25">
      <c r="A332" s="76">
        <v>5</v>
      </c>
      <c r="B332" s="3" t="s">
        <v>161</v>
      </c>
      <c r="C332" s="2" t="s">
        <v>160</v>
      </c>
      <c r="D332" s="1">
        <v>0</v>
      </c>
      <c r="E332" s="1">
        <v>1</v>
      </c>
      <c r="F332" s="1">
        <v>0</v>
      </c>
      <c r="G332" s="1">
        <v>9</v>
      </c>
      <c r="H332" s="4">
        <v>0.78</v>
      </c>
      <c r="I332" s="1">
        <v>1</v>
      </c>
      <c r="J332" s="4">
        <v>1</v>
      </c>
      <c r="K332" s="1">
        <v>0</v>
      </c>
      <c r="L332" s="1">
        <v>4</v>
      </c>
      <c r="M332" s="32">
        <f>IF(Mecze[[#This Row],[PR]]=0,0,Mecze[[#This Row],[PR]]/Mecze[[#This Row],[CZAS]])</f>
        <v>4.1237113402061855E-2</v>
      </c>
      <c r="N332" s="32">
        <f>IF(Mecze[[#This Row],[OU]]=0,0,Mecze[[#This Row],[OU]]/Mecze[[#This Row],[CZAS]])</f>
        <v>1.0309278350515464E-2</v>
      </c>
      <c r="O332" s="32">
        <f>IF(Mecze[[#This Row],[PC]]=0,0,Mecze[[#This Row],[PC]]/Mecze[[#This Row],[CZAS]])</f>
        <v>7.2164948453608241E-2</v>
      </c>
      <c r="P332" s="32">
        <f>IF(Mecze[[#This Row],[SC]]=0,0,Mecze[[#This Row],[SC]]/Mecze[[#This Row],[CZAS]])</f>
        <v>0</v>
      </c>
      <c r="Q332" s="32">
        <f>IF(Mecze[[#This Row],[OB]]=0,0,Mecze[[#This Row],[OB]]/Mecze[[#This Row],[CZAS]])</f>
        <v>0</v>
      </c>
      <c r="R332" s="32">
        <f>IF(Mecze[[#This Row],[BR]]=0,0,Mecze[[#This Row],[BR]]/Mecze[[#This Row],[CZAS]])</f>
        <v>0</v>
      </c>
      <c r="S332" s="44">
        <f>IF(Mecze[[#This Row],[Role]]="BR",SUMPRODUCT(Mecze[[#This Row],[/PR:90]:[/BR:90]],Brudnopis!$E$23:$J$23),0)</f>
        <v>0</v>
      </c>
      <c r="T332" s="44">
        <f>IF(Mecze[[#This Row],[Role]]&lt;&gt;"BR",SUMPRODUCT(Mecze[[#This Row],[/PR:90]:[/BR:90]],Brudnopis!$E$24:$J$24),0)</f>
        <v>0.12886597938144329</v>
      </c>
      <c r="U332" s="44">
        <f>IF(Mecze[[#This Row],[Role]]&lt;&gt;"BR",SUMPRODUCT(Mecze[[#This Row],[/PR:90]:[/BR:90]],Brudnopis!$E$25:$J$25),0)</f>
        <v>0.15979381443298968</v>
      </c>
      <c r="V332" s="44">
        <f>IF(Mecze[[#This Row],[Role]]&lt;&gt;"BR",SUMPRODUCT(Mecze[[#This Row],[/PR:90]:[/BR:90]],Brudnopis!$E$26:$J$26),0)</f>
        <v>0.12371134020618556</v>
      </c>
      <c r="W332" s="44">
        <f>IF(Mecze[[#This Row],[Role]]&lt;&gt;"BR",SUMPRODUCT(Mecze[[#This Row],[/PR:90]:[/BR:90]],Brudnopis!$E$27:$J$27),0)</f>
        <v>0.14690721649484534</v>
      </c>
      <c r="X332" s="44">
        <f>IF(Mecze[[#This Row],[Role]]&lt;&gt;"BR",SUMPRODUCT(Mecze[[#This Row],[/PR:90]:[/BR:90]],Brudnopis!$E$28:$J$28),0)</f>
        <v>7.2164948453608241E-2</v>
      </c>
      <c r="Y332" s="35">
        <f>IF(Mecze[[#This Row],[Role]]="BR",Mecze[[#This Row],[/OB:90]]+Mecze[[#This Row],[/PC:90]],SUM(Mecze[[#This Row],[/PR:90]:[/BR:90]]))</f>
        <v>0.12371134020618556</v>
      </c>
      <c r="Z332" s="35">
        <f>IF(Mecze[[#This Row],[KC]]=0,SUM(Mecze[[#This Row],[/BRI]:[/NPI]]),SUM(Mecze[[#This Row],[/BRI]:[/NPI]])*0.6)</f>
        <v>0.63144329896907214</v>
      </c>
      <c r="AA332" s="10">
        <f>IFERROR(Mecze[[#This Row],[BR]]/Mecze[[#This Row],[ST]],0)</f>
        <v>0</v>
      </c>
      <c r="AB332">
        <f>ROUND(Mecze[[#This Row],[PD]]*Mecze[[#This Row],[%PC]],0)</f>
        <v>7</v>
      </c>
      <c r="AC332">
        <f>ROUND(Mecze[[#This Row],[OD]]*Mecze[[#This Row],[%OU]],0)</f>
        <v>1</v>
      </c>
      <c r="AD332" s="36" t="s">
        <v>172</v>
      </c>
      <c r="AE332" s="36">
        <v>19</v>
      </c>
      <c r="AF332" s="71">
        <v>5.97</v>
      </c>
      <c r="AG332" s="37">
        <v>0</v>
      </c>
      <c r="AH332" s="37">
        <v>0</v>
      </c>
      <c r="AI332" s="37">
        <v>97</v>
      </c>
      <c r="AJ332" s="37">
        <v>1</v>
      </c>
      <c r="AK332" s="37" t="str">
        <f>VLOOKUP(Mecze[[#This Row],[Match ID]],Meczusie[Mecz]:Meczusie[RodzajMeczu],2,FALSE)</f>
        <v>Towarzyski</v>
      </c>
    </row>
    <row r="333" spans="1:37" x14ac:dyDescent="0.25">
      <c r="A333" s="76">
        <v>6</v>
      </c>
      <c r="B333" s="3" t="s">
        <v>159</v>
      </c>
      <c r="C333" s="2" t="s">
        <v>160</v>
      </c>
      <c r="D333" s="1">
        <v>0</v>
      </c>
      <c r="E333" s="1">
        <v>0</v>
      </c>
      <c r="F333" s="1">
        <v>0</v>
      </c>
      <c r="G333" s="1">
        <v>7</v>
      </c>
      <c r="H333" s="4">
        <v>0.71</v>
      </c>
      <c r="I333" s="1">
        <v>3</v>
      </c>
      <c r="J333" s="4">
        <v>0.67</v>
      </c>
      <c r="K333" s="1">
        <v>0</v>
      </c>
      <c r="L333" s="1">
        <v>4</v>
      </c>
      <c r="M333" s="32">
        <f>IF(Mecze[[#This Row],[PR]]=0,0,Mecze[[#This Row],[PR]]/Mecze[[#This Row],[CZAS]])</f>
        <v>4.1237113402061855E-2</v>
      </c>
      <c r="N333" s="32">
        <f>IF(Mecze[[#This Row],[OU]]=0,0,Mecze[[#This Row],[OU]]/Mecze[[#This Row],[CZAS]])</f>
        <v>2.0618556701030927E-2</v>
      </c>
      <c r="O333" s="32">
        <f>IF(Mecze[[#This Row],[PC]]=0,0,Mecze[[#This Row],[PC]]/Mecze[[#This Row],[CZAS]])</f>
        <v>5.1546391752577317E-2</v>
      </c>
      <c r="P333" s="32">
        <f>IF(Mecze[[#This Row],[SC]]=0,0,Mecze[[#This Row],[SC]]/Mecze[[#This Row],[CZAS]])</f>
        <v>0</v>
      </c>
      <c r="Q333" s="32">
        <f>IF(Mecze[[#This Row],[OB]]=0,0,Mecze[[#This Row],[OB]]/Mecze[[#This Row],[CZAS]])</f>
        <v>0</v>
      </c>
      <c r="R333" s="32">
        <f>IF(Mecze[[#This Row],[BR]]=0,0,Mecze[[#This Row],[BR]]/Mecze[[#This Row],[CZAS]])</f>
        <v>0</v>
      </c>
      <c r="S333" s="44">
        <f>IF(Mecze[[#This Row],[Role]]="BR",SUMPRODUCT(Mecze[[#This Row],[/PR:90]:[/BR:90]],Brudnopis!$E$23:$J$23),0)</f>
        <v>0</v>
      </c>
      <c r="T333" s="44">
        <f>IF(Mecze[[#This Row],[Role]]&lt;&gt;"BR",SUMPRODUCT(Mecze[[#This Row],[/PR:90]:[/BR:90]],Brudnopis!$E$24:$J$24),0)</f>
        <v>0.12371134020618556</v>
      </c>
      <c r="U333" s="44">
        <f>IF(Mecze[[#This Row],[Role]]&lt;&gt;"BR",SUMPRODUCT(Mecze[[#This Row],[/PR:90]:[/BR:90]],Brudnopis!$E$25:$J$25),0)</f>
        <v>0.13917525773195877</v>
      </c>
      <c r="V333" s="44">
        <f>IF(Mecze[[#This Row],[Role]]&lt;&gt;"BR",SUMPRODUCT(Mecze[[#This Row],[/PR:90]:[/BR:90]],Brudnopis!$E$26:$J$26),0)</f>
        <v>0.1134020618556701</v>
      </c>
      <c r="W333" s="44">
        <f>IF(Mecze[[#This Row],[Role]]&lt;&gt;"BR",SUMPRODUCT(Mecze[[#This Row],[/PR:90]:[/BR:90]],Brudnopis!$E$27:$J$27),0)</f>
        <v>0.12371134020618557</v>
      </c>
      <c r="X333" s="44">
        <f>IF(Mecze[[#This Row],[Role]]&lt;&gt;"BR",SUMPRODUCT(Mecze[[#This Row],[/PR:90]:[/BR:90]],Brudnopis!$E$28:$J$28),0)</f>
        <v>5.1546391752577317E-2</v>
      </c>
      <c r="Y333" s="35">
        <f>IF(Mecze[[#This Row],[Role]]="BR",Mecze[[#This Row],[/OB:90]]+Mecze[[#This Row],[/PC:90]],SUM(Mecze[[#This Row],[/PR:90]:[/BR:90]]))</f>
        <v>0.1134020618556701</v>
      </c>
      <c r="Z333" s="35">
        <f>IF(Mecze[[#This Row],[KC]]=0,SUM(Mecze[[#This Row],[/BRI]:[/NPI]]),SUM(Mecze[[#This Row],[/BRI]:[/NPI]])*0.6)</f>
        <v>0.55154639175257736</v>
      </c>
      <c r="AA333" s="10">
        <f>IFERROR(Mecze[[#This Row],[BR]]/Mecze[[#This Row],[ST]],0)</f>
        <v>0</v>
      </c>
      <c r="AB333">
        <f>ROUND(Mecze[[#This Row],[PD]]*Mecze[[#This Row],[%PC]],0)</f>
        <v>5</v>
      </c>
      <c r="AC333">
        <f>ROUND(Mecze[[#This Row],[OD]]*Mecze[[#This Row],[%OU]],0)</f>
        <v>2</v>
      </c>
      <c r="AD333" s="36" t="s">
        <v>173</v>
      </c>
      <c r="AE333" s="36">
        <v>19</v>
      </c>
      <c r="AF333" s="71">
        <v>5.97</v>
      </c>
      <c r="AG333" s="37">
        <v>0</v>
      </c>
      <c r="AH333" s="37">
        <v>0</v>
      </c>
      <c r="AI333" s="37">
        <v>97</v>
      </c>
      <c r="AJ333" s="37">
        <v>1</v>
      </c>
      <c r="AK333" s="37" t="str">
        <f>VLOOKUP(Mecze[[#This Row],[Match ID]],Meczusie[Mecz]:Meczusie[RodzajMeczu],2,FALSE)</f>
        <v>Towarzyski</v>
      </c>
    </row>
    <row r="334" spans="1:37" x14ac:dyDescent="0.25">
      <c r="A334" s="76">
        <v>15</v>
      </c>
      <c r="B334" s="3" t="s">
        <v>170</v>
      </c>
      <c r="C334" s="2" t="s">
        <v>160</v>
      </c>
      <c r="D334" s="1">
        <v>0</v>
      </c>
      <c r="E334" s="1">
        <v>0</v>
      </c>
      <c r="F334" s="1">
        <v>0</v>
      </c>
      <c r="G334" s="1">
        <v>17</v>
      </c>
      <c r="H334" s="4">
        <v>0.47</v>
      </c>
      <c r="I334" s="1">
        <v>9</v>
      </c>
      <c r="J334" s="4">
        <v>0.67</v>
      </c>
      <c r="K334" s="1">
        <v>0</v>
      </c>
      <c r="L334" s="1">
        <v>7</v>
      </c>
      <c r="M334" s="32">
        <f>IF(Mecze[[#This Row],[PR]]=0,0,Mecze[[#This Row],[PR]]/Mecze[[#This Row],[CZAS]])</f>
        <v>7.2164948453608241E-2</v>
      </c>
      <c r="N334" s="32">
        <f>IF(Mecze[[#This Row],[OU]]=0,0,Mecze[[#This Row],[OU]]/Mecze[[#This Row],[CZAS]])</f>
        <v>6.1855670103092786E-2</v>
      </c>
      <c r="O334" s="32">
        <f>IF(Mecze[[#This Row],[PC]]=0,0,Mecze[[#This Row],[PC]]/Mecze[[#This Row],[CZAS]])</f>
        <v>8.247422680412371E-2</v>
      </c>
      <c r="P334" s="32">
        <f>IF(Mecze[[#This Row],[SC]]=0,0,Mecze[[#This Row],[SC]]/Mecze[[#This Row],[CZAS]])</f>
        <v>0</v>
      </c>
      <c r="Q334" s="32">
        <f>IF(Mecze[[#This Row],[OB]]=0,0,Mecze[[#This Row],[OB]]/Mecze[[#This Row],[CZAS]])</f>
        <v>0</v>
      </c>
      <c r="R334" s="32">
        <f>IF(Mecze[[#This Row],[BR]]=0,0,Mecze[[#This Row],[BR]]/Mecze[[#This Row],[CZAS]])</f>
        <v>0</v>
      </c>
      <c r="S334" s="44">
        <f>IF(Mecze[[#This Row],[Role]]="BR",SUMPRODUCT(Mecze[[#This Row],[/PR:90]:[/BR:90]],Brudnopis!$E$23:$J$23),0)</f>
        <v>0</v>
      </c>
      <c r="T334" s="44">
        <f>IF(Mecze[[#This Row],[Role]]&lt;&gt;"BR",SUMPRODUCT(Mecze[[#This Row],[/PR:90]:[/BR:90]],Brudnopis!$E$24:$J$24),0)</f>
        <v>0.24742268041237114</v>
      </c>
      <c r="U334" s="44">
        <f>IF(Mecze[[#This Row],[Role]]&lt;&gt;"BR",SUMPRODUCT(Mecze[[#This Row],[/PR:90]:[/BR:90]],Brudnopis!$E$25:$J$25),0)</f>
        <v>0.25773195876288657</v>
      </c>
      <c r="V334" s="44">
        <f>IF(Mecze[[#This Row],[Role]]&lt;&gt;"BR",SUMPRODUCT(Mecze[[#This Row],[/PR:90]:[/BR:90]],Brudnopis!$E$26:$J$26),0)</f>
        <v>0.21649484536082475</v>
      </c>
      <c r="W334" s="44">
        <f>IF(Mecze[[#This Row],[Role]]&lt;&gt;"BR",SUMPRODUCT(Mecze[[#This Row],[/PR:90]:[/BR:90]],Brudnopis!$E$27:$J$27),0)</f>
        <v>0.22422680412371135</v>
      </c>
      <c r="X334" s="44">
        <f>IF(Mecze[[#This Row],[Role]]&lt;&gt;"BR",SUMPRODUCT(Mecze[[#This Row],[/PR:90]:[/BR:90]],Brudnopis!$E$28:$J$28),0)</f>
        <v>8.247422680412371E-2</v>
      </c>
      <c r="Y334" s="35">
        <f>IF(Mecze[[#This Row],[Role]]="BR",Mecze[[#This Row],[/OB:90]]+Mecze[[#This Row],[/PC:90]],SUM(Mecze[[#This Row],[/PR:90]:[/BR:90]]))</f>
        <v>0.21649484536082475</v>
      </c>
      <c r="Z334" s="35">
        <f>IF(Mecze[[#This Row],[KC]]=0,SUM(Mecze[[#This Row],[/BRI]:[/NPI]]),SUM(Mecze[[#This Row],[/BRI]:[/NPI]])*0.6)</f>
        <v>1.0283505154639174</v>
      </c>
      <c r="AA334" s="10">
        <f>IFERROR(Mecze[[#This Row],[BR]]/Mecze[[#This Row],[ST]],0)</f>
        <v>0</v>
      </c>
      <c r="AB334">
        <f>ROUND(Mecze[[#This Row],[PD]]*Mecze[[#This Row],[%PC]],0)</f>
        <v>8</v>
      </c>
      <c r="AC334">
        <f>ROUND(Mecze[[#This Row],[OD]]*Mecze[[#This Row],[%OU]],0)</f>
        <v>6</v>
      </c>
      <c r="AD334" s="36" t="s">
        <v>41</v>
      </c>
      <c r="AE334" s="36">
        <v>19</v>
      </c>
      <c r="AF334" s="71">
        <v>5.39</v>
      </c>
      <c r="AG334" s="37">
        <v>0</v>
      </c>
      <c r="AH334" s="37">
        <v>0</v>
      </c>
      <c r="AI334" s="37">
        <v>97</v>
      </c>
      <c r="AJ334" s="37">
        <v>1</v>
      </c>
      <c r="AK334" s="37" t="str">
        <f>VLOOKUP(Mecze[[#This Row],[Match ID]],Meczusie[Mecz]:Meczusie[RodzajMeczu],2,FALSE)</f>
        <v>Towarzyski</v>
      </c>
    </row>
    <row r="335" spans="1:37" x14ac:dyDescent="0.25">
      <c r="A335" s="76">
        <v>14</v>
      </c>
      <c r="B335" s="3" t="s">
        <v>164</v>
      </c>
      <c r="C335" s="2" t="s">
        <v>165</v>
      </c>
      <c r="D335" s="1">
        <v>5</v>
      </c>
      <c r="E335" s="1">
        <v>14</v>
      </c>
      <c r="F335" s="1">
        <v>13</v>
      </c>
      <c r="G335" s="1">
        <v>5</v>
      </c>
      <c r="H335" s="4">
        <v>0.8</v>
      </c>
      <c r="I335" s="1">
        <v>1</v>
      </c>
      <c r="J335" s="4">
        <v>0</v>
      </c>
      <c r="K335" s="1">
        <v>0</v>
      </c>
      <c r="L335" s="1">
        <v>1</v>
      </c>
      <c r="M335" s="32">
        <f>IF(Mecze[[#This Row],[PR]]=0,0,Mecze[[#This Row],[PR]]/Mecze[[#This Row],[CZAS]])</f>
        <v>1.0309278350515464E-2</v>
      </c>
      <c r="N335" s="32">
        <f>IF(Mecze[[#This Row],[OU]]=0,0,Mecze[[#This Row],[OU]]/Mecze[[#This Row],[CZAS]])</f>
        <v>0</v>
      </c>
      <c r="O335" s="32">
        <f>IF(Mecze[[#This Row],[PC]]=0,0,Mecze[[#This Row],[PC]]/Mecze[[#This Row],[CZAS]])</f>
        <v>4.1237113402061855E-2</v>
      </c>
      <c r="P335" s="32">
        <f>IF(Mecze[[#This Row],[SC]]=0,0,Mecze[[#This Row],[SC]]/Mecze[[#This Row],[CZAS]])</f>
        <v>0.13402061855670103</v>
      </c>
      <c r="Q335" s="32">
        <f>IF(Mecze[[#This Row],[OB]]=0,0,Mecze[[#This Row],[OB]]/Mecze[[#This Row],[CZAS]])</f>
        <v>0</v>
      </c>
      <c r="R335" s="32">
        <f>IF(Mecze[[#This Row],[BR]]=0,0,Mecze[[#This Row],[BR]]/Mecze[[#This Row],[CZAS]])</f>
        <v>5.1546391752577317E-2</v>
      </c>
      <c r="S335" s="44">
        <f>IF(Mecze[[#This Row],[Role]]="BR",SUMPRODUCT(Mecze[[#This Row],[/PR:90]:[/BR:90]],Brudnopis!$E$23:$J$23),0)</f>
        <v>0</v>
      </c>
      <c r="T335" s="44">
        <f>IF(Mecze[[#This Row],[Role]]&lt;&gt;"BR",SUMPRODUCT(Mecze[[#This Row],[/PR:90]:[/BR:90]],Brudnopis!$E$24:$J$24),0)</f>
        <v>0.26288659793814434</v>
      </c>
      <c r="U335" s="44">
        <f>IF(Mecze[[#This Row],[Role]]&lt;&gt;"BR",SUMPRODUCT(Mecze[[#This Row],[/PR:90]:[/BR:90]],Brudnopis!$E$25:$J$25),0)</f>
        <v>0.28350515463917525</v>
      </c>
      <c r="V335" s="44">
        <f>IF(Mecze[[#This Row],[Role]]&lt;&gt;"BR",SUMPRODUCT(Mecze[[#This Row],[/PR:90]:[/BR:90]],Brudnopis!$E$26:$J$26),0)</f>
        <v>0.28865979381443296</v>
      </c>
      <c r="W335" s="44">
        <f>IF(Mecze[[#This Row],[Role]]&lt;&gt;"BR",SUMPRODUCT(Mecze[[#This Row],[/PR:90]:[/BR:90]],Brudnopis!$E$27:$J$27),0)</f>
        <v>0.30670103092783507</v>
      </c>
      <c r="X335" s="44">
        <f>IF(Mecze[[#This Row],[Role]]&lt;&gt;"BR",SUMPRODUCT(Mecze[[#This Row],[/PR:90]:[/BR:90]],Brudnopis!$E$28:$J$28),0)</f>
        <v>0.46391752577319589</v>
      </c>
      <c r="Y335" s="35">
        <f>IF(Mecze[[#This Row],[Role]]="BR",Mecze[[#This Row],[/OB:90]]+Mecze[[#This Row],[/PC:90]],SUM(Mecze[[#This Row],[/PR:90]:[/BR:90]]))</f>
        <v>0.23711340206185566</v>
      </c>
      <c r="Z335" s="35">
        <f>IF(Mecze[[#This Row],[KC]]=0,SUM(Mecze[[#This Row],[/BRI]:[/NPI]]),SUM(Mecze[[#This Row],[/BRI]:[/NPI]])*0.6)</f>
        <v>1.6056701030927836</v>
      </c>
      <c r="AA335" s="10">
        <f>IFERROR(Mecze[[#This Row],[BR]]/Mecze[[#This Row],[ST]],0)</f>
        <v>0.35714285714285715</v>
      </c>
      <c r="AB335">
        <f>ROUND(Mecze[[#This Row],[PD]]*Mecze[[#This Row],[%PC]],0)</f>
        <v>4</v>
      </c>
      <c r="AC335">
        <f>ROUND(Mecze[[#This Row],[OD]]*Mecze[[#This Row],[%OU]],0)</f>
        <v>0</v>
      </c>
      <c r="AD335" s="36" t="s">
        <v>46</v>
      </c>
      <c r="AE335" s="36">
        <v>19</v>
      </c>
      <c r="AF335" s="71">
        <v>20.54</v>
      </c>
      <c r="AG335" s="37">
        <v>0</v>
      </c>
      <c r="AH335" s="37">
        <v>0</v>
      </c>
      <c r="AI335" s="37">
        <v>97</v>
      </c>
      <c r="AJ335" s="37">
        <v>1</v>
      </c>
      <c r="AK335" s="37" t="str">
        <f>VLOOKUP(Mecze[[#This Row],[Match ID]],Meczusie[Mecz]:Meczusie[RodzajMeczu],2,FALSE)</f>
        <v>Towarzyski</v>
      </c>
    </row>
    <row r="336" spans="1:37" x14ac:dyDescent="0.25">
      <c r="A336" s="76">
        <v>19</v>
      </c>
      <c r="B336" s="3" t="s">
        <v>166</v>
      </c>
      <c r="C336" s="2" t="s">
        <v>165</v>
      </c>
      <c r="D336" s="1">
        <v>0</v>
      </c>
      <c r="E336" s="1">
        <v>3</v>
      </c>
      <c r="F336" s="1">
        <v>3</v>
      </c>
      <c r="G336" s="1">
        <v>5</v>
      </c>
      <c r="H336" s="4">
        <v>0.8</v>
      </c>
      <c r="I336" s="1">
        <v>4</v>
      </c>
      <c r="J336" s="4">
        <v>0</v>
      </c>
      <c r="K336" s="1">
        <v>0</v>
      </c>
      <c r="L336" s="1">
        <v>0</v>
      </c>
      <c r="M336" s="32">
        <f>IF(Mecze[[#This Row],[PR]]=0,0,Mecze[[#This Row],[PR]]/Mecze[[#This Row],[CZAS]])</f>
        <v>0</v>
      </c>
      <c r="N336" s="32">
        <f>IF(Mecze[[#This Row],[OU]]=0,0,Mecze[[#This Row],[OU]]/Mecze[[#This Row],[CZAS]])</f>
        <v>0</v>
      </c>
      <c r="O336" s="32">
        <f>IF(Mecze[[#This Row],[PC]]=0,0,Mecze[[#This Row],[PC]]/Mecze[[#This Row],[CZAS]])</f>
        <v>4.1237113402061855E-2</v>
      </c>
      <c r="P336" s="32">
        <f>IF(Mecze[[#This Row],[SC]]=0,0,Mecze[[#This Row],[SC]]/Mecze[[#This Row],[CZAS]])</f>
        <v>3.0927835051546393E-2</v>
      </c>
      <c r="Q336" s="32">
        <f>IF(Mecze[[#This Row],[OB]]=0,0,Mecze[[#This Row],[OB]]/Mecze[[#This Row],[CZAS]])</f>
        <v>0</v>
      </c>
      <c r="R336" s="32">
        <f>IF(Mecze[[#This Row],[BR]]=0,0,Mecze[[#This Row],[BR]]/Mecze[[#This Row],[CZAS]])</f>
        <v>0</v>
      </c>
      <c r="S336" s="44">
        <f>IF(Mecze[[#This Row],[Role]]="BR",SUMPRODUCT(Mecze[[#This Row],[/PR:90]:[/BR:90]],Brudnopis!$E$23:$J$23),0)</f>
        <v>0</v>
      </c>
      <c r="T336" s="44">
        <f>IF(Mecze[[#This Row],[Role]]&lt;&gt;"BR",SUMPRODUCT(Mecze[[#This Row],[/PR:90]:[/BR:90]],Brudnopis!$E$24:$J$24),0)</f>
        <v>7.2164948453608241E-2</v>
      </c>
      <c r="U336" s="44">
        <f>IF(Mecze[[#This Row],[Role]]&lt;&gt;"BR",SUMPRODUCT(Mecze[[#This Row],[/PR:90]:[/BR:90]],Brudnopis!$E$25:$J$25),0)</f>
        <v>9.2783505154639179E-2</v>
      </c>
      <c r="V336" s="44">
        <f>IF(Mecze[[#This Row],[Role]]&lt;&gt;"BR",SUMPRODUCT(Mecze[[#This Row],[/PR:90]:[/BR:90]],Brudnopis!$E$26:$J$26),0)</f>
        <v>7.2164948453608241E-2</v>
      </c>
      <c r="W336" s="44">
        <f>IF(Mecze[[#This Row],[Role]]&lt;&gt;"BR",SUMPRODUCT(Mecze[[#This Row],[/PR:90]:[/BR:90]],Brudnopis!$E$27:$J$27),0)</f>
        <v>9.2783505154639179E-2</v>
      </c>
      <c r="X336" s="44">
        <f>IF(Mecze[[#This Row],[Role]]&lt;&gt;"BR",SUMPRODUCT(Mecze[[#This Row],[/PR:90]:[/BR:90]],Brudnopis!$E$28:$J$28),0)</f>
        <v>0.10309278350515463</v>
      </c>
      <c r="Y336" s="35">
        <f>IF(Mecze[[#This Row],[Role]]="BR",Mecze[[#This Row],[/OB:90]]+Mecze[[#This Row],[/PC:90]],SUM(Mecze[[#This Row],[/PR:90]:[/BR:90]]))</f>
        <v>7.2164948453608241E-2</v>
      </c>
      <c r="Z336" s="35">
        <f>IF(Mecze[[#This Row],[KC]]=0,SUM(Mecze[[#This Row],[/BRI]:[/NPI]]),SUM(Mecze[[#This Row],[/BRI]:[/NPI]])*0.6)</f>
        <v>0.4329896907216495</v>
      </c>
      <c r="AA336" s="10">
        <f>IFERROR(Mecze[[#This Row],[BR]]/Mecze[[#This Row],[ST]],0)</f>
        <v>0</v>
      </c>
      <c r="AB336">
        <f>ROUND(Mecze[[#This Row],[PD]]*Mecze[[#This Row],[%PC]],0)</f>
        <v>4</v>
      </c>
      <c r="AC336">
        <f>ROUND(Mecze[[#This Row],[OD]]*Mecze[[#This Row],[%OU]],0)</f>
        <v>0</v>
      </c>
      <c r="AD336" s="36" t="s">
        <v>46</v>
      </c>
      <c r="AE336" s="36">
        <v>19</v>
      </c>
      <c r="AF336" s="71">
        <v>6.84</v>
      </c>
      <c r="AG336" s="37">
        <v>0</v>
      </c>
      <c r="AH336" s="37">
        <v>0</v>
      </c>
      <c r="AI336" s="37">
        <v>97</v>
      </c>
      <c r="AJ336" s="37">
        <v>1</v>
      </c>
      <c r="AK336" s="37" t="str">
        <f>VLOOKUP(Mecze[[#This Row],[Match ID]],Meczusie[Mecz]:Meczusie[RodzajMeczu],2,FALSE)</f>
        <v>Towarzyski</v>
      </c>
    </row>
    <row r="337" spans="1:37" x14ac:dyDescent="0.25">
      <c r="A337" s="76">
        <v>11</v>
      </c>
      <c r="B337" s="3" t="s">
        <v>163</v>
      </c>
      <c r="C337" s="2" t="s">
        <v>165</v>
      </c>
      <c r="D337" s="1">
        <v>0</v>
      </c>
      <c r="E337" s="1">
        <v>4</v>
      </c>
      <c r="F337" s="1">
        <v>3</v>
      </c>
      <c r="G337" s="1">
        <v>5</v>
      </c>
      <c r="H337" s="4">
        <v>0.8</v>
      </c>
      <c r="I337" s="1">
        <v>3</v>
      </c>
      <c r="J337" s="4">
        <v>0.67</v>
      </c>
      <c r="K337" s="1">
        <v>0</v>
      </c>
      <c r="L337" s="1">
        <v>2</v>
      </c>
      <c r="M337" s="32">
        <f>IF(Mecze[[#This Row],[PR]]=0,0,Mecze[[#This Row],[PR]]/Mecze[[#This Row],[CZAS]])</f>
        <v>2.0618556701030927E-2</v>
      </c>
      <c r="N337" s="32">
        <f>IF(Mecze[[#This Row],[OU]]=0,0,Mecze[[#This Row],[OU]]/Mecze[[#This Row],[CZAS]])</f>
        <v>2.0618556701030927E-2</v>
      </c>
      <c r="O337" s="32">
        <f>IF(Mecze[[#This Row],[PC]]=0,0,Mecze[[#This Row],[PC]]/Mecze[[#This Row],[CZAS]])</f>
        <v>4.1237113402061855E-2</v>
      </c>
      <c r="P337" s="32">
        <f>IF(Mecze[[#This Row],[SC]]=0,0,Mecze[[#This Row],[SC]]/Mecze[[#This Row],[CZAS]])</f>
        <v>3.0927835051546393E-2</v>
      </c>
      <c r="Q337" s="32">
        <f>IF(Mecze[[#This Row],[OB]]=0,0,Mecze[[#This Row],[OB]]/Mecze[[#This Row],[CZAS]])</f>
        <v>0</v>
      </c>
      <c r="R337" s="32">
        <f>IF(Mecze[[#This Row],[BR]]=0,0,Mecze[[#This Row],[BR]]/Mecze[[#This Row],[CZAS]])</f>
        <v>0</v>
      </c>
      <c r="S337" s="44">
        <f>IF(Mecze[[#This Row],[Role]]="BR",SUMPRODUCT(Mecze[[#This Row],[/PR:90]:[/BR:90]],Brudnopis!$E$23:$J$23),0)</f>
        <v>0</v>
      </c>
      <c r="T337" s="44">
        <f>IF(Mecze[[#This Row],[Role]]&lt;&gt;"BR",SUMPRODUCT(Mecze[[#This Row],[/PR:90]:[/BR:90]],Brudnopis!$E$24:$J$24),0)</f>
        <v>0.12371134020618557</v>
      </c>
      <c r="U337" s="44">
        <f>IF(Mecze[[#This Row],[Role]]&lt;&gt;"BR",SUMPRODUCT(Mecze[[#This Row],[/PR:90]:[/BR:90]],Brudnopis!$E$25:$J$25),0)</f>
        <v>0.13402061855670103</v>
      </c>
      <c r="V337" s="44">
        <f>IF(Mecze[[#This Row],[Role]]&lt;&gt;"BR",SUMPRODUCT(Mecze[[#This Row],[/PR:90]:[/BR:90]],Brudnopis!$E$26:$J$26),0)</f>
        <v>0.1134020618556701</v>
      </c>
      <c r="W337" s="44">
        <f>IF(Mecze[[#This Row],[Role]]&lt;&gt;"BR",SUMPRODUCT(Mecze[[#This Row],[/PR:90]:[/BR:90]],Brudnopis!$E$27:$J$27),0)</f>
        <v>0.12371134020618557</v>
      </c>
      <c r="X337" s="44">
        <f>IF(Mecze[[#This Row],[Role]]&lt;&gt;"BR",SUMPRODUCT(Mecze[[#This Row],[/PR:90]:[/BR:90]],Brudnopis!$E$28:$J$28),0)</f>
        <v>0.10309278350515463</v>
      </c>
      <c r="Y337" s="35">
        <f>IF(Mecze[[#This Row],[Role]]="BR",Mecze[[#This Row],[/OB:90]]+Mecze[[#This Row],[/PC:90]],SUM(Mecze[[#This Row],[/PR:90]:[/BR:90]]))</f>
        <v>0.1134020618556701</v>
      </c>
      <c r="Z337" s="35">
        <f>IF(Mecze[[#This Row],[KC]]=0,SUM(Mecze[[#This Row],[/BRI]:[/NPI]]),SUM(Mecze[[#This Row],[/BRI]:[/NPI]])*0.6)</f>
        <v>0.59793814432989689</v>
      </c>
      <c r="AA337" s="10">
        <f>IFERROR(Mecze[[#This Row],[BR]]/Mecze[[#This Row],[ST]],0)</f>
        <v>0</v>
      </c>
      <c r="AB337">
        <f>ROUND(Mecze[[#This Row],[PD]]*Mecze[[#This Row],[%PC]],0)</f>
        <v>4</v>
      </c>
      <c r="AC337">
        <f>ROUND(Mecze[[#This Row],[OD]]*Mecze[[#This Row],[%OU]],0)</f>
        <v>2</v>
      </c>
      <c r="AD337" s="36" t="s">
        <v>46</v>
      </c>
      <c r="AE337" s="36">
        <v>19</v>
      </c>
      <c r="AF337" s="71">
        <v>6.84</v>
      </c>
      <c r="AG337" s="37">
        <v>0</v>
      </c>
      <c r="AH337" s="37">
        <v>0</v>
      </c>
      <c r="AI337" s="37">
        <v>97</v>
      </c>
      <c r="AJ337" s="37">
        <v>1</v>
      </c>
      <c r="AK337" s="37" t="str">
        <f>VLOOKUP(Mecze[[#This Row],[Match ID]],Meczusie[Mecz]:Meczusie[RodzajMeczu],2,FALSE)</f>
        <v>Towarzyski</v>
      </c>
    </row>
    <row r="338" spans="1:37" x14ac:dyDescent="0.25">
      <c r="A338" s="76">
        <v>1</v>
      </c>
      <c r="B338" s="3" t="s">
        <v>169</v>
      </c>
      <c r="C338" s="2" t="s">
        <v>155</v>
      </c>
      <c r="D338" s="1">
        <v>0</v>
      </c>
      <c r="E338" s="1">
        <v>0</v>
      </c>
      <c r="F338" s="1">
        <v>0</v>
      </c>
      <c r="G338" s="1">
        <v>5</v>
      </c>
      <c r="H338" s="4">
        <v>0.6</v>
      </c>
      <c r="I338" s="1">
        <v>0</v>
      </c>
      <c r="J338" s="4"/>
      <c r="K338" s="1">
        <v>3</v>
      </c>
      <c r="L338" s="1">
        <v>0</v>
      </c>
      <c r="M338" s="32">
        <f>IF(Mecze[[#This Row],[PR]]=0,0,Mecze[[#This Row],[PR]]/Mecze[[#This Row],[CZAS]])</f>
        <v>0</v>
      </c>
      <c r="N338" s="32">
        <f>IF(Mecze[[#This Row],[OU]]=0,0,Mecze[[#This Row],[OU]]/Mecze[[#This Row],[CZAS]])</f>
        <v>0</v>
      </c>
      <c r="O338" s="32">
        <f>IF(Mecze[[#This Row],[PC]]=0,0,Mecze[[#This Row],[PC]]/Mecze[[#This Row],[CZAS]])</f>
        <v>3.0303030303030304E-2</v>
      </c>
      <c r="P338" s="32">
        <f>IF(Mecze[[#This Row],[SC]]=0,0,Mecze[[#This Row],[SC]]/Mecze[[#This Row],[CZAS]])</f>
        <v>0</v>
      </c>
      <c r="Q338" s="32">
        <f>IF(Mecze[[#This Row],[OB]]=0,0,Mecze[[#This Row],[OB]]/Mecze[[#This Row],[CZAS]])</f>
        <v>3.0303030303030304E-2</v>
      </c>
      <c r="R338" s="32">
        <f>IF(Mecze[[#This Row],[BR]]=0,0,Mecze[[#This Row],[BR]]/Mecze[[#This Row],[CZAS]])</f>
        <v>0</v>
      </c>
      <c r="S338" s="44">
        <f>IF(Mecze[[#This Row],[Role]]="BR",SUMPRODUCT(Mecze[[#This Row],[/PR:90]:[/BR:90]],Brudnopis!$E$23:$J$23),0)</f>
        <v>0.18181818181818182</v>
      </c>
      <c r="T338" s="44">
        <f>IF(Mecze[[#This Row],[Role]]&lt;&gt;"BR",SUMPRODUCT(Mecze[[#This Row],[/PR:90]:[/BR:90]],Brudnopis!$E$24:$J$24),0)</f>
        <v>0</v>
      </c>
      <c r="U338" s="44">
        <f>IF(Mecze[[#This Row],[Role]]&lt;&gt;"BR",SUMPRODUCT(Mecze[[#This Row],[/PR:90]:[/BR:90]],Brudnopis!$E$25:$J$25),0)</f>
        <v>0</v>
      </c>
      <c r="V338" s="44">
        <f>IF(Mecze[[#This Row],[Role]]&lt;&gt;"BR",SUMPRODUCT(Mecze[[#This Row],[/PR:90]:[/BR:90]],Brudnopis!$E$26:$J$26),0)</f>
        <v>0</v>
      </c>
      <c r="W338" s="44">
        <f>IF(Mecze[[#This Row],[Role]]&lt;&gt;"BR",SUMPRODUCT(Mecze[[#This Row],[/PR:90]:[/BR:90]],Brudnopis!$E$27:$J$27),0)</f>
        <v>0</v>
      </c>
      <c r="X338" s="44">
        <f>IF(Mecze[[#This Row],[Role]]&lt;&gt;"BR",SUMPRODUCT(Mecze[[#This Row],[/PR:90]:[/BR:90]],Brudnopis!$E$28:$J$28),0)</f>
        <v>0</v>
      </c>
      <c r="Y338" s="35">
        <f>IF(Mecze[[#This Row],[Role]]="BR",Mecze[[#This Row],[/OB:90]]+Mecze[[#This Row],[/PC:90]],SUM(Mecze[[#This Row],[/PR:90]:[/BR:90]]))</f>
        <v>6.0606060606060608E-2</v>
      </c>
      <c r="Z338" s="35">
        <f>IF(Mecze[[#This Row],[KC]]=0,SUM(Mecze[[#This Row],[/BRI]:[/NPI]]),SUM(Mecze[[#This Row],[/BRI]:[/NPI]])*0.6)</f>
        <v>0.18181818181818182</v>
      </c>
      <c r="AA338" s="10">
        <f>IFERROR(Mecze[[#This Row],[BR]]/Mecze[[#This Row],[ST]],0)</f>
        <v>0</v>
      </c>
      <c r="AB338">
        <f>ROUND(Mecze[[#This Row],[PD]]*Mecze[[#This Row],[%PC]],0)</f>
        <v>3</v>
      </c>
      <c r="AC338">
        <f>ROUND(Mecze[[#This Row],[OD]]*Mecze[[#This Row],[%OU]],0)</f>
        <v>0</v>
      </c>
      <c r="AD338" s="36" t="s">
        <v>40</v>
      </c>
      <c r="AE338" s="36">
        <v>20</v>
      </c>
      <c r="AF338" s="71">
        <v>5.08</v>
      </c>
      <c r="AG338" s="37">
        <v>0</v>
      </c>
      <c r="AH338" s="37">
        <v>0</v>
      </c>
      <c r="AI338" s="37">
        <v>99</v>
      </c>
      <c r="AJ338" s="37">
        <v>1</v>
      </c>
      <c r="AK338" s="37" t="str">
        <f>VLOOKUP(Mecze[[#This Row],[Match ID]],Meczusie[Mecz]:Meczusie[RodzajMeczu],2,FALSE)</f>
        <v>Towarzyski</v>
      </c>
    </row>
    <row r="339" spans="1:37" x14ac:dyDescent="0.25">
      <c r="A339" s="76">
        <v>2</v>
      </c>
      <c r="B339" s="3" t="s">
        <v>156</v>
      </c>
      <c r="C339" s="2" t="s">
        <v>157</v>
      </c>
      <c r="D339" s="1">
        <v>0</v>
      </c>
      <c r="E339" s="1">
        <v>0</v>
      </c>
      <c r="F339" s="1">
        <v>0</v>
      </c>
      <c r="G339" s="1">
        <v>11</v>
      </c>
      <c r="H339" s="4">
        <v>0.73</v>
      </c>
      <c r="I339" s="1">
        <v>12</v>
      </c>
      <c r="J339" s="4">
        <v>0.57999999999999996</v>
      </c>
      <c r="K339" s="1">
        <v>0</v>
      </c>
      <c r="L339" s="1">
        <v>7</v>
      </c>
      <c r="M339" s="32">
        <f>IF(Mecze[[#This Row],[PR]]=0,0,Mecze[[#This Row],[PR]]/Mecze[[#This Row],[CZAS]])</f>
        <v>7.0707070707070704E-2</v>
      </c>
      <c r="N339" s="32">
        <f>IF(Mecze[[#This Row],[OU]]=0,0,Mecze[[#This Row],[OU]]/Mecze[[#This Row],[CZAS]])</f>
        <v>7.0707070707070704E-2</v>
      </c>
      <c r="O339" s="32">
        <f>IF(Mecze[[#This Row],[PC]]=0,0,Mecze[[#This Row],[PC]]/Mecze[[#This Row],[CZAS]])</f>
        <v>8.0808080808080815E-2</v>
      </c>
      <c r="P339" s="32">
        <f>IF(Mecze[[#This Row],[SC]]=0,0,Mecze[[#This Row],[SC]]/Mecze[[#This Row],[CZAS]])</f>
        <v>0</v>
      </c>
      <c r="Q339" s="32">
        <f>IF(Mecze[[#This Row],[OB]]=0,0,Mecze[[#This Row],[OB]]/Mecze[[#This Row],[CZAS]])</f>
        <v>0</v>
      </c>
      <c r="R339" s="32">
        <f>IF(Mecze[[#This Row],[BR]]=0,0,Mecze[[#This Row],[BR]]/Mecze[[#This Row],[CZAS]])</f>
        <v>0</v>
      </c>
      <c r="S339" s="44">
        <f>IF(Mecze[[#This Row],[Role]]="BR",SUMPRODUCT(Mecze[[#This Row],[/PR:90]:[/BR:90]],Brudnopis!$E$23:$J$23),0)</f>
        <v>0</v>
      </c>
      <c r="T339" s="44">
        <f>IF(Mecze[[#This Row],[Role]]&lt;&gt;"BR",SUMPRODUCT(Mecze[[#This Row],[/PR:90]:[/BR:90]],Brudnopis!$E$24:$J$24),0)</f>
        <v>0.25757575757575757</v>
      </c>
      <c r="U339" s="44">
        <f>IF(Mecze[[#This Row],[Role]]&lt;&gt;"BR",SUMPRODUCT(Mecze[[#This Row],[/PR:90]:[/BR:90]],Brudnopis!$E$25:$J$25),0)</f>
        <v>0.26262626262626265</v>
      </c>
      <c r="V339" s="44">
        <f>IF(Mecze[[#This Row],[Role]]&lt;&gt;"BR",SUMPRODUCT(Mecze[[#This Row],[/PR:90]:[/BR:90]],Brudnopis!$E$26:$J$26),0)</f>
        <v>0.22222222222222221</v>
      </c>
      <c r="W339" s="44">
        <f>IF(Mecze[[#This Row],[Role]]&lt;&gt;"BR",SUMPRODUCT(Mecze[[#This Row],[/PR:90]:[/BR:90]],Brudnopis!$E$27:$J$27),0)</f>
        <v>0.22727272727272727</v>
      </c>
      <c r="X339" s="44">
        <f>IF(Mecze[[#This Row],[Role]]&lt;&gt;"BR",SUMPRODUCT(Mecze[[#This Row],[/PR:90]:[/BR:90]],Brudnopis!$E$28:$J$28),0)</f>
        <v>8.0808080808080815E-2</v>
      </c>
      <c r="Y339" s="35">
        <f>IF(Mecze[[#This Row],[Role]]="BR",Mecze[[#This Row],[/OB:90]]+Mecze[[#This Row],[/PC:90]],SUM(Mecze[[#This Row],[/PR:90]:[/BR:90]]))</f>
        <v>0.22222222222222221</v>
      </c>
      <c r="Z339" s="35">
        <f>IF(Mecze[[#This Row],[KC]]=0,SUM(Mecze[[#This Row],[/BRI]:[/NPI]]),SUM(Mecze[[#This Row],[/BRI]:[/NPI]])*0.6)</f>
        <v>1.0505050505050506</v>
      </c>
      <c r="AA339" s="10">
        <f>IFERROR(Mecze[[#This Row],[BR]]/Mecze[[#This Row],[ST]],0)</f>
        <v>0</v>
      </c>
      <c r="AB339">
        <f>ROUND(Mecze[[#This Row],[PD]]*Mecze[[#This Row],[%PC]],0)</f>
        <v>8</v>
      </c>
      <c r="AC339">
        <f>ROUND(Mecze[[#This Row],[OD]]*Mecze[[#This Row],[%OU]],0)</f>
        <v>7</v>
      </c>
      <c r="AD339" s="36" t="s">
        <v>47</v>
      </c>
      <c r="AE339" s="36">
        <v>20</v>
      </c>
      <c r="AF339" s="71">
        <v>4.29</v>
      </c>
      <c r="AG339" s="37">
        <v>1</v>
      </c>
      <c r="AH339" s="37">
        <v>0</v>
      </c>
      <c r="AI339" s="37">
        <v>99</v>
      </c>
      <c r="AJ339" s="37">
        <v>1</v>
      </c>
      <c r="AK339" s="37" t="str">
        <f>VLOOKUP(Mecze[[#This Row],[Match ID]],Meczusie[Mecz]:Meczusie[RodzajMeczu],2,FALSE)</f>
        <v>Towarzyski</v>
      </c>
    </row>
    <row r="340" spans="1:37" x14ac:dyDescent="0.25">
      <c r="A340" s="76">
        <v>18</v>
      </c>
      <c r="B340" s="3" t="s">
        <v>211</v>
      </c>
      <c r="C340" s="2" t="s">
        <v>157</v>
      </c>
      <c r="D340" s="1">
        <v>0</v>
      </c>
      <c r="E340" s="1">
        <v>0</v>
      </c>
      <c r="F340" s="1">
        <v>0</v>
      </c>
      <c r="G340" s="1">
        <v>9</v>
      </c>
      <c r="H340" s="4">
        <v>0.67</v>
      </c>
      <c r="I340" s="1">
        <v>1</v>
      </c>
      <c r="J340" s="4">
        <v>1</v>
      </c>
      <c r="K340" s="1">
        <v>0</v>
      </c>
      <c r="L340" s="1">
        <v>9</v>
      </c>
      <c r="M340" s="32">
        <f>IF(Mecze[[#This Row],[PR]]=0,0,Mecze[[#This Row],[PR]]/Mecze[[#This Row],[CZAS]])</f>
        <v>9.0909090909090912E-2</v>
      </c>
      <c r="N340" s="32">
        <f>IF(Mecze[[#This Row],[OU]]=0,0,Mecze[[#This Row],[OU]]/Mecze[[#This Row],[CZAS]])</f>
        <v>1.0101010101010102E-2</v>
      </c>
      <c r="O340" s="32">
        <f>IF(Mecze[[#This Row],[PC]]=0,0,Mecze[[#This Row],[PC]]/Mecze[[#This Row],[CZAS]])</f>
        <v>6.0606060606060608E-2</v>
      </c>
      <c r="P340" s="32">
        <f>IF(Mecze[[#This Row],[SC]]=0,0,Mecze[[#This Row],[SC]]/Mecze[[#This Row],[CZAS]])</f>
        <v>0</v>
      </c>
      <c r="Q340" s="32">
        <f>IF(Mecze[[#This Row],[OB]]=0,0,Mecze[[#This Row],[OB]]/Mecze[[#This Row],[CZAS]])</f>
        <v>0</v>
      </c>
      <c r="R340" s="32">
        <f>IF(Mecze[[#This Row],[BR]]=0,0,Mecze[[#This Row],[BR]]/Mecze[[#This Row],[CZAS]])</f>
        <v>0</v>
      </c>
      <c r="S340" s="44">
        <f>IF(Mecze[[#This Row],[Role]]="BR",SUMPRODUCT(Mecze[[#This Row],[/PR:90]:[/BR:90]],Brudnopis!$E$23:$J$23),0)</f>
        <v>0</v>
      </c>
      <c r="T340" s="44">
        <f>IF(Mecze[[#This Row],[Role]]&lt;&gt;"BR",SUMPRODUCT(Mecze[[#This Row],[/PR:90]:[/BR:90]],Brudnopis!$E$24:$J$24),0)</f>
        <v>0.16666666666666669</v>
      </c>
      <c r="U340" s="44">
        <f>IF(Mecze[[#This Row],[Role]]&lt;&gt;"BR",SUMPRODUCT(Mecze[[#This Row],[/PR:90]:[/BR:90]],Brudnopis!$E$25:$J$25),0)</f>
        <v>0.19191919191919193</v>
      </c>
      <c r="V340" s="44">
        <f>IF(Mecze[[#This Row],[Role]]&lt;&gt;"BR",SUMPRODUCT(Mecze[[#This Row],[/PR:90]:[/BR:90]],Brudnopis!$E$26:$J$26),0)</f>
        <v>0.1616161616161616</v>
      </c>
      <c r="W340" s="44">
        <f>IF(Mecze[[#This Row],[Role]]&lt;&gt;"BR",SUMPRODUCT(Mecze[[#This Row],[/PR:90]:[/BR:90]],Brudnopis!$E$27:$J$27),0)</f>
        <v>0.16666666666666666</v>
      </c>
      <c r="X340" s="44">
        <f>IF(Mecze[[#This Row],[Role]]&lt;&gt;"BR",SUMPRODUCT(Mecze[[#This Row],[/PR:90]:[/BR:90]],Brudnopis!$E$28:$J$28),0)</f>
        <v>6.0606060606060608E-2</v>
      </c>
      <c r="Y340" s="35">
        <f>IF(Mecze[[#This Row],[Role]]="BR",Mecze[[#This Row],[/OB:90]]+Mecze[[#This Row],[/PC:90]],SUM(Mecze[[#This Row],[/PR:90]:[/BR:90]]))</f>
        <v>0.1616161616161616</v>
      </c>
      <c r="Z340" s="35">
        <f>IF(Mecze[[#This Row],[KC]]=0,SUM(Mecze[[#This Row],[/BRI]:[/NPI]]),SUM(Mecze[[#This Row],[/BRI]:[/NPI]])*0.6)</f>
        <v>0.7474747474747474</v>
      </c>
      <c r="AA340" s="10">
        <f>IFERROR(Mecze[[#This Row],[BR]]/Mecze[[#This Row],[ST]],0)</f>
        <v>0</v>
      </c>
      <c r="AB340">
        <f>ROUND(Mecze[[#This Row],[PD]]*Mecze[[#This Row],[%PC]],0)</f>
        <v>6</v>
      </c>
      <c r="AC340">
        <f>ROUND(Mecze[[#This Row],[OD]]*Mecze[[#This Row],[%OU]],0)</f>
        <v>1</v>
      </c>
      <c r="AD340" s="36" t="s">
        <v>47</v>
      </c>
      <c r="AE340" s="36">
        <v>20</v>
      </c>
      <c r="AF340" s="71">
        <v>4.7</v>
      </c>
      <c r="AG340" s="37">
        <v>0</v>
      </c>
      <c r="AH340" s="37">
        <v>0</v>
      </c>
      <c r="AI340" s="37">
        <v>99</v>
      </c>
      <c r="AJ340" s="37">
        <v>1</v>
      </c>
      <c r="AK340" s="37" t="str">
        <f>VLOOKUP(Mecze[[#This Row],[Match ID]],Meczusie[Mecz]:Meczusie[RodzajMeczu],2,FALSE)</f>
        <v>Towarzyski</v>
      </c>
    </row>
    <row r="341" spans="1:37" x14ac:dyDescent="0.25">
      <c r="A341" s="76">
        <v>5</v>
      </c>
      <c r="B341" s="3" t="s">
        <v>161</v>
      </c>
      <c r="C341" s="2" t="s">
        <v>157</v>
      </c>
      <c r="D341" s="1">
        <v>0</v>
      </c>
      <c r="E341" s="1">
        <v>0</v>
      </c>
      <c r="F341" s="1">
        <v>0</v>
      </c>
      <c r="G341" s="1">
        <v>3</v>
      </c>
      <c r="H341" s="4">
        <v>0.67</v>
      </c>
      <c r="I341" s="1">
        <v>3</v>
      </c>
      <c r="J341" s="4">
        <v>1</v>
      </c>
      <c r="K341" s="1">
        <v>0</v>
      </c>
      <c r="L341" s="1">
        <v>1</v>
      </c>
      <c r="M341" s="32">
        <f>IF(Mecze[[#This Row],[PR]]=0,0,Mecze[[#This Row],[PR]]/Mecze[[#This Row],[CZAS]])</f>
        <v>1.0101010101010102E-2</v>
      </c>
      <c r="N341" s="32">
        <f>IF(Mecze[[#This Row],[OU]]=0,0,Mecze[[#This Row],[OU]]/Mecze[[#This Row],[CZAS]])</f>
        <v>3.0303030303030304E-2</v>
      </c>
      <c r="O341" s="32">
        <f>IF(Mecze[[#This Row],[PC]]=0,0,Mecze[[#This Row],[PC]]/Mecze[[#This Row],[CZAS]])</f>
        <v>2.0202020202020204E-2</v>
      </c>
      <c r="P341" s="32">
        <f>IF(Mecze[[#This Row],[SC]]=0,0,Mecze[[#This Row],[SC]]/Mecze[[#This Row],[CZAS]])</f>
        <v>0</v>
      </c>
      <c r="Q341" s="32">
        <f>IF(Mecze[[#This Row],[OB]]=0,0,Mecze[[#This Row],[OB]]/Mecze[[#This Row],[CZAS]])</f>
        <v>0</v>
      </c>
      <c r="R341" s="32">
        <f>IF(Mecze[[#This Row],[BR]]=0,0,Mecze[[#This Row],[BR]]/Mecze[[#This Row],[CZAS]])</f>
        <v>0</v>
      </c>
      <c r="S341" s="44">
        <f>IF(Mecze[[#This Row],[Role]]="BR",SUMPRODUCT(Mecze[[#This Row],[/PR:90]:[/BR:90]],Brudnopis!$E$23:$J$23),0)</f>
        <v>0</v>
      </c>
      <c r="T341" s="44">
        <f>IF(Mecze[[#This Row],[Role]]&lt;&gt;"BR",SUMPRODUCT(Mecze[[#This Row],[/PR:90]:[/BR:90]],Brudnopis!$E$24:$J$24),0)</f>
        <v>7.575757575757576E-2</v>
      </c>
      <c r="U341" s="44">
        <f>IF(Mecze[[#This Row],[Role]]&lt;&gt;"BR",SUMPRODUCT(Mecze[[#This Row],[/PR:90]:[/BR:90]],Brudnopis!$E$25:$J$25),0)</f>
        <v>7.0707070707070718E-2</v>
      </c>
      <c r="V341" s="44">
        <f>IF(Mecze[[#This Row],[Role]]&lt;&gt;"BR",SUMPRODUCT(Mecze[[#This Row],[/PR:90]:[/BR:90]],Brudnopis!$E$26:$J$26),0)</f>
        <v>6.0606060606060608E-2</v>
      </c>
      <c r="W341" s="44">
        <f>IF(Mecze[[#This Row],[Role]]&lt;&gt;"BR",SUMPRODUCT(Mecze[[#This Row],[/PR:90]:[/BR:90]],Brudnopis!$E$27:$J$27),0)</f>
        <v>6.0606060606060608E-2</v>
      </c>
      <c r="X341" s="44">
        <f>IF(Mecze[[#This Row],[Role]]&lt;&gt;"BR",SUMPRODUCT(Mecze[[#This Row],[/PR:90]:[/BR:90]],Brudnopis!$E$28:$J$28),0)</f>
        <v>2.0202020202020204E-2</v>
      </c>
      <c r="Y341" s="35">
        <f>IF(Mecze[[#This Row],[Role]]="BR",Mecze[[#This Row],[/OB:90]]+Mecze[[#This Row],[/PC:90]],SUM(Mecze[[#This Row],[/PR:90]:[/BR:90]]))</f>
        <v>6.0606060606060608E-2</v>
      </c>
      <c r="Z341" s="35">
        <f>IF(Mecze[[#This Row],[KC]]=0,SUM(Mecze[[#This Row],[/BRI]:[/NPI]]),SUM(Mecze[[#This Row],[/BRI]:[/NPI]])*0.6)</f>
        <v>0.2878787878787879</v>
      </c>
      <c r="AA341" s="10">
        <f>IFERROR(Mecze[[#This Row],[BR]]/Mecze[[#This Row],[ST]],0)</f>
        <v>0</v>
      </c>
      <c r="AB341">
        <f>ROUND(Mecze[[#This Row],[PD]]*Mecze[[#This Row],[%PC]],0)</f>
        <v>2</v>
      </c>
      <c r="AC341">
        <f>ROUND(Mecze[[#This Row],[OD]]*Mecze[[#This Row],[%OU]],0)</f>
        <v>3</v>
      </c>
      <c r="AD341" s="36" t="s">
        <v>174</v>
      </c>
      <c r="AE341" s="36">
        <v>20</v>
      </c>
      <c r="AF341" s="71">
        <v>6.17</v>
      </c>
      <c r="AG341" s="37">
        <v>0</v>
      </c>
      <c r="AH341" s="37">
        <v>0</v>
      </c>
      <c r="AI341" s="37">
        <v>99</v>
      </c>
      <c r="AJ341" s="37">
        <v>1</v>
      </c>
      <c r="AK341" s="37" t="str">
        <f>VLOOKUP(Mecze[[#This Row],[Match ID]],Meczusie[Mecz]:Meczusie[RodzajMeczu],2,FALSE)</f>
        <v>Towarzyski</v>
      </c>
    </row>
    <row r="342" spans="1:37" x14ac:dyDescent="0.25">
      <c r="A342" s="76">
        <v>3</v>
      </c>
      <c r="B342" s="3" t="s">
        <v>158</v>
      </c>
      <c r="C342" s="2" t="s">
        <v>157</v>
      </c>
      <c r="D342" s="1">
        <v>0</v>
      </c>
      <c r="E342" s="1">
        <v>0</v>
      </c>
      <c r="F342" s="1">
        <v>0</v>
      </c>
      <c r="G342" s="1">
        <v>9</v>
      </c>
      <c r="H342" s="4">
        <v>0.56000000000000005</v>
      </c>
      <c r="I342" s="1">
        <v>8</v>
      </c>
      <c r="J342" s="4">
        <v>0.75</v>
      </c>
      <c r="K342" s="1">
        <v>0</v>
      </c>
      <c r="L342" s="1">
        <v>8</v>
      </c>
      <c r="M342" s="32">
        <f>IF(Mecze[[#This Row],[PR]]=0,0,Mecze[[#This Row],[PR]]/Mecze[[#This Row],[CZAS]])</f>
        <v>8.0808080808080815E-2</v>
      </c>
      <c r="N342" s="32">
        <f>IF(Mecze[[#This Row],[OU]]=0,0,Mecze[[#This Row],[OU]]/Mecze[[#This Row],[CZAS]])</f>
        <v>6.0606060606060608E-2</v>
      </c>
      <c r="O342" s="32">
        <f>IF(Mecze[[#This Row],[PC]]=0,0,Mecze[[#This Row],[PC]]/Mecze[[#This Row],[CZAS]])</f>
        <v>5.0505050505050504E-2</v>
      </c>
      <c r="P342" s="32">
        <f>IF(Mecze[[#This Row],[SC]]=0,0,Mecze[[#This Row],[SC]]/Mecze[[#This Row],[CZAS]])</f>
        <v>0</v>
      </c>
      <c r="Q342" s="32">
        <f>IF(Mecze[[#This Row],[OB]]=0,0,Mecze[[#This Row],[OB]]/Mecze[[#This Row],[CZAS]])</f>
        <v>0</v>
      </c>
      <c r="R342" s="32">
        <f>IF(Mecze[[#This Row],[BR]]=0,0,Mecze[[#This Row],[BR]]/Mecze[[#This Row],[CZAS]])</f>
        <v>0</v>
      </c>
      <c r="S342" s="44">
        <f>IF(Mecze[[#This Row],[Role]]="BR",SUMPRODUCT(Mecze[[#This Row],[/PR:90]:[/BR:90]],Brudnopis!$E$23:$J$23),0)</f>
        <v>0</v>
      </c>
      <c r="T342" s="44">
        <f>IF(Mecze[[#This Row],[Role]]&lt;&gt;"BR",SUMPRODUCT(Mecze[[#This Row],[/PR:90]:[/BR:90]],Brudnopis!$E$24:$J$24),0)</f>
        <v>0.22222222222222221</v>
      </c>
      <c r="U342" s="44">
        <f>IF(Mecze[[#This Row],[Role]]&lt;&gt;"BR",SUMPRODUCT(Mecze[[#This Row],[/PR:90]:[/BR:90]],Brudnopis!$E$25:$J$25),0)</f>
        <v>0.21717171717171718</v>
      </c>
      <c r="V342" s="44">
        <f>IF(Mecze[[#This Row],[Role]]&lt;&gt;"BR",SUMPRODUCT(Mecze[[#This Row],[/PR:90]:[/BR:90]],Brudnopis!$E$26:$J$26),0)</f>
        <v>0.19191919191919193</v>
      </c>
      <c r="W342" s="44">
        <f>IF(Mecze[[#This Row],[Role]]&lt;&gt;"BR",SUMPRODUCT(Mecze[[#This Row],[/PR:90]:[/BR:90]],Brudnopis!$E$27:$J$27),0)</f>
        <v>0.18181818181818182</v>
      </c>
      <c r="X342" s="44">
        <f>IF(Mecze[[#This Row],[Role]]&lt;&gt;"BR",SUMPRODUCT(Mecze[[#This Row],[/PR:90]:[/BR:90]],Brudnopis!$E$28:$J$28),0)</f>
        <v>5.0505050505050504E-2</v>
      </c>
      <c r="Y342" s="35">
        <f>IF(Mecze[[#This Row],[Role]]="BR",Mecze[[#This Row],[/OB:90]]+Mecze[[#This Row],[/PC:90]],SUM(Mecze[[#This Row],[/PR:90]:[/BR:90]]))</f>
        <v>0.19191919191919193</v>
      </c>
      <c r="Z342" s="35">
        <f>IF(Mecze[[#This Row],[KC]]=0,SUM(Mecze[[#This Row],[/BRI]:[/NPI]]),SUM(Mecze[[#This Row],[/BRI]:[/NPI]])*0.6)</f>
        <v>0.86363636363636365</v>
      </c>
      <c r="AA342" s="10">
        <f>IFERROR(Mecze[[#This Row],[BR]]/Mecze[[#This Row],[ST]],0)</f>
        <v>0</v>
      </c>
      <c r="AB342">
        <f>ROUND(Mecze[[#This Row],[PD]]*Mecze[[#This Row],[%PC]],0)</f>
        <v>5</v>
      </c>
      <c r="AC342">
        <f>ROUND(Mecze[[#This Row],[OD]]*Mecze[[#This Row],[%OU]],0)</f>
        <v>6</v>
      </c>
      <c r="AD342" s="36" t="s">
        <v>175</v>
      </c>
      <c r="AE342" s="36">
        <v>20</v>
      </c>
      <c r="AF342" s="71">
        <v>5.61</v>
      </c>
      <c r="AG342" s="37">
        <v>0</v>
      </c>
      <c r="AH342" s="37">
        <v>0</v>
      </c>
      <c r="AI342" s="37">
        <v>99</v>
      </c>
      <c r="AJ342" s="37">
        <v>1</v>
      </c>
      <c r="AK342" s="37" t="str">
        <f>VLOOKUP(Mecze[[#This Row],[Match ID]],Meczusie[Mecz]:Meczusie[RodzajMeczu],2,FALSE)</f>
        <v>Towarzyski</v>
      </c>
    </row>
    <row r="343" spans="1:37" x14ac:dyDescent="0.25">
      <c r="A343" s="76">
        <v>6</v>
      </c>
      <c r="B343" s="3" t="s">
        <v>159</v>
      </c>
      <c r="C343" s="2" t="s">
        <v>160</v>
      </c>
      <c r="D343" s="1">
        <v>0</v>
      </c>
      <c r="E343" s="1">
        <v>0</v>
      </c>
      <c r="F343" s="1">
        <v>0</v>
      </c>
      <c r="G343" s="1">
        <v>14</v>
      </c>
      <c r="H343" s="4">
        <v>0.71</v>
      </c>
      <c r="I343" s="1">
        <v>3</v>
      </c>
      <c r="J343" s="4">
        <v>0.33</v>
      </c>
      <c r="K343" s="1">
        <v>0</v>
      </c>
      <c r="L343" s="1">
        <v>8</v>
      </c>
      <c r="M343" s="32">
        <f>IF(Mecze[[#This Row],[PR]]=0,0,Mecze[[#This Row],[PR]]/Mecze[[#This Row],[CZAS]])</f>
        <v>8.0808080808080815E-2</v>
      </c>
      <c r="N343" s="32">
        <f>IF(Mecze[[#This Row],[OU]]=0,0,Mecze[[#This Row],[OU]]/Mecze[[#This Row],[CZAS]])</f>
        <v>1.0101010101010102E-2</v>
      </c>
      <c r="O343" s="32">
        <f>IF(Mecze[[#This Row],[PC]]=0,0,Mecze[[#This Row],[PC]]/Mecze[[#This Row],[CZAS]])</f>
        <v>0.10101010101010101</v>
      </c>
      <c r="P343" s="32">
        <f>IF(Mecze[[#This Row],[SC]]=0,0,Mecze[[#This Row],[SC]]/Mecze[[#This Row],[CZAS]])</f>
        <v>0</v>
      </c>
      <c r="Q343" s="32">
        <f>IF(Mecze[[#This Row],[OB]]=0,0,Mecze[[#This Row],[OB]]/Mecze[[#This Row],[CZAS]])</f>
        <v>0</v>
      </c>
      <c r="R343" s="32">
        <f>IF(Mecze[[#This Row],[BR]]=0,0,Mecze[[#This Row],[BR]]/Mecze[[#This Row],[CZAS]])</f>
        <v>0</v>
      </c>
      <c r="S343" s="44">
        <f>IF(Mecze[[#This Row],[Role]]="BR",SUMPRODUCT(Mecze[[#This Row],[/PR:90]:[/BR:90]],Brudnopis!$E$23:$J$23),0)</f>
        <v>0</v>
      </c>
      <c r="T343" s="44">
        <f>IF(Mecze[[#This Row],[Role]]&lt;&gt;"BR",SUMPRODUCT(Mecze[[#This Row],[/PR:90]:[/BR:90]],Brudnopis!$E$24:$J$24),0)</f>
        <v>0.19696969696969696</v>
      </c>
      <c r="U343" s="44">
        <f>IF(Mecze[[#This Row],[Role]]&lt;&gt;"BR",SUMPRODUCT(Mecze[[#This Row],[/PR:90]:[/BR:90]],Brudnopis!$E$25:$J$25),0)</f>
        <v>0.24242424242424243</v>
      </c>
      <c r="V343" s="44">
        <f>IF(Mecze[[#This Row],[Role]]&lt;&gt;"BR",SUMPRODUCT(Mecze[[#This Row],[/PR:90]:[/BR:90]],Brudnopis!$E$26:$J$26),0)</f>
        <v>0.19191919191919193</v>
      </c>
      <c r="W343" s="44">
        <f>IF(Mecze[[#This Row],[Role]]&lt;&gt;"BR",SUMPRODUCT(Mecze[[#This Row],[/PR:90]:[/BR:90]],Brudnopis!$E$27:$J$27),0)</f>
        <v>0.2196969696969697</v>
      </c>
      <c r="X343" s="44">
        <f>IF(Mecze[[#This Row],[Role]]&lt;&gt;"BR",SUMPRODUCT(Mecze[[#This Row],[/PR:90]:[/BR:90]],Brudnopis!$E$28:$J$28),0)</f>
        <v>0.10101010101010101</v>
      </c>
      <c r="Y343" s="35">
        <f>IF(Mecze[[#This Row],[Role]]="BR",Mecze[[#This Row],[/OB:90]]+Mecze[[#This Row],[/PC:90]],SUM(Mecze[[#This Row],[/PR:90]:[/BR:90]]))</f>
        <v>0.19191919191919193</v>
      </c>
      <c r="Z343" s="35">
        <f>IF(Mecze[[#This Row],[KC]]=0,SUM(Mecze[[#This Row],[/BRI]:[/NPI]]),SUM(Mecze[[#This Row],[/BRI]:[/NPI]])*0.6)</f>
        <v>0.95202020202020199</v>
      </c>
      <c r="AA343" s="10">
        <f>IFERROR(Mecze[[#This Row],[BR]]/Mecze[[#This Row],[ST]],0)</f>
        <v>0</v>
      </c>
      <c r="AB343">
        <f>ROUND(Mecze[[#This Row],[PD]]*Mecze[[#This Row],[%PC]],0)</f>
        <v>10</v>
      </c>
      <c r="AC343">
        <f>ROUND(Mecze[[#This Row],[OD]]*Mecze[[#This Row],[%OU]],0)</f>
        <v>1</v>
      </c>
      <c r="AD343" s="36" t="s">
        <v>41</v>
      </c>
      <c r="AE343" s="36">
        <v>20</v>
      </c>
      <c r="AF343" s="71">
        <v>6.81</v>
      </c>
      <c r="AG343" s="37">
        <v>0</v>
      </c>
      <c r="AH343" s="37">
        <v>0</v>
      </c>
      <c r="AI343" s="37">
        <v>99</v>
      </c>
      <c r="AJ343" s="37">
        <v>1</v>
      </c>
      <c r="AK343" s="37" t="str">
        <f>VLOOKUP(Mecze[[#This Row],[Match ID]],Meczusie[Mecz]:Meczusie[RodzajMeczu],2,FALSE)</f>
        <v>Towarzyski</v>
      </c>
    </row>
    <row r="344" spans="1:37" x14ac:dyDescent="0.25">
      <c r="A344" s="76">
        <v>13</v>
      </c>
      <c r="B344" s="3" t="s">
        <v>162</v>
      </c>
      <c r="C344" s="2" t="s">
        <v>160</v>
      </c>
      <c r="D344" s="1">
        <v>0</v>
      </c>
      <c r="E344" s="1">
        <v>1</v>
      </c>
      <c r="F344" s="1">
        <v>1</v>
      </c>
      <c r="G344" s="1">
        <v>14</v>
      </c>
      <c r="H344" s="4">
        <v>0.64</v>
      </c>
      <c r="I344" s="1">
        <v>2</v>
      </c>
      <c r="J344" s="4">
        <v>0.5</v>
      </c>
      <c r="K344" s="1">
        <v>0</v>
      </c>
      <c r="L344" s="1">
        <v>7</v>
      </c>
      <c r="M344" s="32">
        <f>IF(Mecze[[#This Row],[PR]]=0,0,Mecze[[#This Row],[PR]]/Mecze[[#This Row],[CZAS]])</f>
        <v>7.0707070707070704E-2</v>
      </c>
      <c r="N344" s="32">
        <f>IF(Mecze[[#This Row],[OU]]=0,0,Mecze[[#This Row],[OU]]/Mecze[[#This Row],[CZAS]])</f>
        <v>1.0101010101010102E-2</v>
      </c>
      <c r="O344" s="32">
        <f>IF(Mecze[[#This Row],[PC]]=0,0,Mecze[[#This Row],[PC]]/Mecze[[#This Row],[CZAS]])</f>
        <v>9.0909090909090912E-2</v>
      </c>
      <c r="P344" s="32">
        <f>IF(Mecze[[#This Row],[SC]]=0,0,Mecze[[#This Row],[SC]]/Mecze[[#This Row],[CZAS]])</f>
        <v>1.0101010101010102E-2</v>
      </c>
      <c r="Q344" s="32">
        <f>IF(Mecze[[#This Row],[OB]]=0,0,Mecze[[#This Row],[OB]]/Mecze[[#This Row],[CZAS]])</f>
        <v>0</v>
      </c>
      <c r="R344" s="32">
        <f>IF(Mecze[[#This Row],[BR]]=0,0,Mecze[[#This Row],[BR]]/Mecze[[#This Row],[CZAS]])</f>
        <v>0</v>
      </c>
      <c r="S344" s="44">
        <f>IF(Mecze[[#This Row],[Role]]="BR",SUMPRODUCT(Mecze[[#This Row],[/PR:90]:[/BR:90]],Brudnopis!$E$23:$J$23),0)</f>
        <v>0</v>
      </c>
      <c r="T344" s="44">
        <f>IF(Mecze[[#This Row],[Role]]&lt;&gt;"BR",SUMPRODUCT(Mecze[[#This Row],[/PR:90]:[/BR:90]],Brudnopis!$E$24:$J$24),0)</f>
        <v>0.18686868686868688</v>
      </c>
      <c r="U344" s="44">
        <f>IF(Mecze[[#This Row],[Role]]&lt;&gt;"BR",SUMPRODUCT(Mecze[[#This Row],[/PR:90]:[/BR:90]],Brudnopis!$E$25:$J$25),0)</f>
        <v>0.22727272727272727</v>
      </c>
      <c r="V344" s="44">
        <f>IF(Mecze[[#This Row],[Role]]&lt;&gt;"BR",SUMPRODUCT(Mecze[[#This Row],[/PR:90]:[/BR:90]],Brudnopis!$E$26:$J$26),0)</f>
        <v>0.18181818181818182</v>
      </c>
      <c r="W344" s="44">
        <f>IF(Mecze[[#This Row],[Role]]&lt;&gt;"BR",SUMPRODUCT(Mecze[[#This Row],[/PR:90]:[/BR:90]],Brudnopis!$E$27:$J$27),0)</f>
        <v>0.20707070707070707</v>
      </c>
      <c r="X344" s="44">
        <f>IF(Mecze[[#This Row],[Role]]&lt;&gt;"BR",SUMPRODUCT(Mecze[[#This Row],[/PR:90]:[/BR:90]],Brudnopis!$E$28:$J$28),0)</f>
        <v>0.11111111111111112</v>
      </c>
      <c r="Y344" s="35">
        <f>IF(Mecze[[#This Row],[Role]]="BR",Mecze[[#This Row],[/OB:90]]+Mecze[[#This Row],[/PC:90]],SUM(Mecze[[#This Row],[/PR:90]:[/BR:90]]))</f>
        <v>0.18181818181818182</v>
      </c>
      <c r="Z344" s="35">
        <f>IF(Mecze[[#This Row],[KC]]=0,SUM(Mecze[[#This Row],[/BRI]:[/NPI]]),SUM(Mecze[[#This Row],[/BRI]:[/NPI]])*0.6)</f>
        <v>0.91414141414141425</v>
      </c>
      <c r="AA344" s="10">
        <f>IFERROR(Mecze[[#This Row],[BR]]/Mecze[[#This Row],[ST]],0)</f>
        <v>0</v>
      </c>
      <c r="AB344">
        <f>ROUND(Mecze[[#This Row],[PD]]*Mecze[[#This Row],[%PC]],0)</f>
        <v>9</v>
      </c>
      <c r="AC344">
        <f>ROUND(Mecze[[#This Row],[OD]]*Mecze[[#This Row],[%OU]],0)</f>
        <v>1</v>
      </c>
      <c r="AD344" s="36" t="s">
        <v>41</v>
      </c>
      <c r="AE344" s="36">
        <v>20</v>
      </c>
      <c r="AF344" s="71">
        <v>6.83</v>
      </c>
      <c r="AG344" s="37">
        <v>0</v>
      </c>
      <c r="AH344" s="37">
        <v>0</v>
      </c>
      <c r="AI344" s="37">
        <v>99</v>
      </c>
      <c r="AJ344" s="37">
        <v>1</v>
      </c>
      <c r="AK344" s="37" t="str">
        <f>VLOOKUP(Mecze[[#This Row],[Match ID]],Meczusie[Mecz]:Meczusie[RodzajMeczu],2,FALSE)</f>
        <v>Towarzyski</v>
      </c>
    </row>
    <row r="345" spans="1:37" x14ac:dyDescent="0.25">
      <c r="A345" s="76">
        <v>15</v>
      </c>
      <c r="B345" s="3" t="s">
        <v>170</v>
      </c>
      <c r="C345" s="2" t="s">
        <v>160</v>
      </c>
      <c r="D345" s="1">
        <v>1</v>
      </c>
      <c r="E345" s="1">
        <v>5</v>
      </c>
      <c r="F345" s="1">
        <v>5</v>
      </c>
      <c r="G345" s="1">
        <v>15</v>
      </c>
      <c r="H345" s="4">
        <v>0.73</v>
      </c>
      <c r="I345" s="1">
        <v>5</v>
      </c>
      <c r="J345" s="4">
        <v>0.6</v>
      </c>
      <c r="K345" s="1">
        <v>0</v>
      </c>
      <c r="L345" s="1">
        <v>4</v>
      </c>
      <c r="M345" s="32">
        <f>IF(Mecze[[#This Row],[PR]]=0,0,Mecze[[#This Row],[PR]]/Mecze[[#This Row],[CZAS]])</f>
        <v>4.0404040404040407E-2</v>
      </c>
      <c r="N345" s="32">
        <f>IF(Mecze[[#This Row],[OU]]=0,0,Mecze[[#This Row],[OU]]/Mecze[[#This Row],[CZAS]])</f>
        <v>3.0303030303030304E-2</v>
      </c>
      <c r="O345" s="32">
        <f>IF(Mecze[[#This Row],[PC]]=0,0,Mecze[[#This Row],[PC]]/Mecze[[#This Row],[CZAS]])</f>
        <v>0.1111111111111111</v>
      </c>
      <c r="P345" s="32">
        <f>IF(Mecze[[#This Row],[SC]]=0,0,Mecze[[#This Row],[SC]]/Mecze[[#This Row],[CZAS]])</f>
        <v>5.0505050505050504E-2</v>
      </c>
      <c r="Q345" s="32">
        <f>IF(Mecze[[#This Row],[OB]]=0,0,Mecze[[#This Row],[OB]]/Mecze[[#This Row],[CZAS]])</f>
        <v>0</v>
      </c>
      <c r="R345" s="32">
        <f>IF(Mecze[[#This Row],[BR]]=0,0,Mecze[[#This Row],[BR]]/Mecze[[#This Row],[CZAS]])</f>
        <v>1.0101010101010102E-2</v>
      </c>
      <c r="S345" s="44">
        <f>IF(Mecze[[#This Row],[Role]]="BR",SUMPRODUCT(Mecze[[#This Row],[/PR:90]:[/BR:90]],Brudnopis!$E$23:$J$23),0)</f>
        <v>0</v>
      </c>
      <c r="T345" s="44">
        <f>IF(Mecze[[#This Row],[Role]]&lt;&gt;"BR",SUMPRODUCT(Mecze[[#This Row],[/PR:90]:[/BR:90]],Brudnopis!$E$24:$J$24),0)</f>
        <v>0.2626262626262626</v>
      </c>
      <c r="U345" s="44">
        <f>IF(Mecze[[#This Row],[Role]]&lt;&gt;"BR",SUMPRODUCT(Mecze[[#This Row],[/PR:90]:[/BR:90]],Brudnopis!$E$25:$J$25),0)</f>
        <v>0.30303030303030304</v>
      </c>
      <c r="V345" s="44">
        <f>IF(Mecze[[#This Row],[Role]]&lt;&gt;"BR",SUMPRODUCT(Mecze[[#This Row],[/PR:90]:[/BR:90]],Brudnopis!$E$26:$J$26),0)</f>
        <v>0.25252525252525254</v>
      </c>
      <c r="W345" s="44">
        <f>IF(Mecze[[#This Row],[Role]]&lt;&gt;"BR",SUMPRODUCT(Mecze[[#This Row],[/PR:90]:[/BR:90]],Brudnopis!$E$27:$J$27),0)</f>
        <v>0.29040404040404044</v>
      </c>
      <c r="X345" s="44">
        <f>IF(Mecze[[#This Row],[Role]]&lt;&gt;"BR",SUMPRODUCT(Mecze[[#This Row],[/PR:90]:[/BR:90]],Brudnopis!$E$28:$J$28),0)</f>
        <v>0.2424242424242424</v>
      </c>
      <c r="Y345" s="35">
        <f>IF(Mecze[[#This Row],[Role]]="BR",Mecze[[#This Row],[/OB:90]]+Mecze[[#This Row],[/PC:90]],SUM(Mecze[[#This Row],[/PR:90]:[/BR:90]]))</f>
        <v>0.24242424242424243</v>
      </c>
      <c r="Z345" s="35">
        <f>IF(Mecze[[#This Row],[KC]]=0,SUM(Mecze[[#This Row],[/BRI]:[/NPI]]),SUM(Mecze[[#This Row],[/BRI]:[/NPI]])*0.6)</f>
        <v>1.351010101010101</v>
      </c>
      <c r="AA345" s="10">
        <f>IFERROR(Mecze[[#This Row],[BR]]/Mecze[[#This Row],[ST]],0)</f>
        <v>0.2</v>
      </c>
      <c r="AB345">
        <f>ROUND(Mecze[[#This Row],[PD]]*Mecze[[#This Row],[%PC]],0)</f>
        <v>11</v>
      </c>
      <c r="AC345">
        <f>ROUND(Mecze[[#This Row],[OD]]*Mecze[[#This Row],[%OU]],0)</f>
        <v>3</v>
      </c>
      <c r="AD345" s="36" t="s">
        <v>44</v>
      </c>
      <c r="AE345" s="36">
        <v>20</v>
      </c>
      <c r="AF345" s="71">
        <v>9.23</v>
      </c>
      <c r="AG345" s="37">
        <v>0</v>
      </c>
      <c r="AH345" s="37">
        <v>0</v>
      </c>
      <c r="AI345" s="37">
        <v>99</v>
      </c>
      <c r="AJ345" s="37">
        <v>1</v>
      </c>
      <c r="AK345" s="37" t="str">
        <f>VLOOKUP(Mecze[[#This Row],[Match ID]],Meczusie[Mecz]:Meczusie[RodzajMeczu],2,FALSE)</f>
        <v>Towarzyski</v>
      </c>
    </row>
    <row r="346" spans="1:37" x14ac:dyDescent="0.25">
      <c r="A346" s="76">
        <v>14</v>
      </c>
      <c r="B346" s="3" t="s">
        <v>164</v>
      </c>
      <c r="C346" s="2" t="s">
        <v>165</v>
      </c>
      <c r="D346" s="1">
        <v>0</v>
      </c>
      <c r="E346" s="1">
        <v>7</v>
      </c>
      <c r="F346" s="1">
        <v>3</v>
      </c>
      <c r="G346" s="1">
        <v>7</v>
      </c>
      <c r="H346" s="4">
        <v>0.56999999999999995</v>
      </c>
      <c r="I346" s="1">
        <v>2</v>
      </c>
      <c r="J346" s="4">
        <v>0</v>
      </c>
      <c r="K346" s="1">
        <v>0</v>
      </c>
      <c r="L346" s="1">
        <v>0</v>
      </c>
      <c r="M346" s="32">
        <f>IF(Mecze[[#This Row],[PR]]=0,0,Mecze[[#This Row],[PR]]/Mecze[[#This Row],[CZAS]])</f>
        <v>0</v>
      </c>
      <c r="N346" s="32">
        <f>IF(Mecze[[#This Row],[OU]]=0,0,Mecze[[#This Row],[OU]]/Mecze[[#This Row],[CZAS]])</f>
        <v>0</v>
      </c>
      <c r="O346" s="32">
        <f>IF(Mecze[[#This Row],[PC]]=0,0,Mecze[[#This Row],[PC]]/Mecze[[#This Row],[CZAS]])</f>
        <v>4.0404040404040407E-2</v>
      </c>
      <c r="P346" s="32">
        <f>IF(Mecze[[#This Row],[SC]]=0,0,Mecze[[#This Row],[SC]]/Mecze[[#This Row],[CZAS]])</f>
        <v>3.0303030303030304E-2</v>
      </c>
      <c r="Q346" s="32">
        <f>IF(Mecze[[#This Row],[OB]]=0,0,Mecze[[#This Row],[OB]]/Mecze[[#This Row],[CZAS]])</f>
        <v>0</v>
      </c>
      <c r="R346" s="32">
        <f>IF(Mecze[[#This Row],[BR]]=0,0,Mecze[[#This Row],[BR]]/Mecze[[#This Row],[CZAS]])</f>
        <v>0</v>
      </c>
      <c r="S346" s="44">
        <f>IF(Mecze[[#This Row],[Role]]="BR",SUMPRODUCT(Mecze[[#This Row],[/PR:90]:[/BR:90]],Brudnopis!$E$23:$J$23),0)</f>
        <v>0</v>
      </c>
      <c r="T346" s="44">
        <f>IF(Mecze[[#This Row],[Role]]&lt;&gt;"BR",SUMPRODUCT(Mecze[[#This Row],[/PR:90]:[/BR:90]],Brudnopis!$E$24:$J$24),0)</f>
        <v>7.0707070707070718E-2</v>
      </c>
      <c r="U346" s="44">
        <f>IF(Mecze[[#This Row],[Role]]&lt;&gt;"BR",SUMPRODUCT(Mecze[[#This Row],[/PR:90]:[/BR:90]],Brudnopis!$E$25:$J$25),0)</f>
        <v>9.0909090909090912E-2</v>
      </c>
      <c r="V346" s="44">
        <f>IF(Mecze[[#This Row],[Role]]&lt;&gt;"BR",SUMPRODUCT(Mecze[[#This Row],[/PR:90]:[/BR:90]],Brudnopis!$E$26:$J$26),0)</f>
        <v>7.0707070707070718E-2</v>
      </c>
      <c r="W346" s="44">
        <f>IF(Mecze[[#This Row],[Role]]&lt;&gt;"BR",SUMPRODUCT(Mecze[[#This Row],[/PR:90]:[/BR:90]],Brudnopis!$E$27:$J$27),0)</f>
        <v>9.0909090909090912E-2</v>
      </c>
      <c r="X346" s="44">
        <f>IF(Mecze[[#This Row],[Role]]&lt;&gt;"BR",SUMPRODUCT(Mecze[[#This Row],[/PR:90]:[/BR:90]],Brudnopis!$E$28:$J$28),0)</f>
        <v>0.10101010101010102</v>
      </c>
      <c r="Y346" s="35">
        <f>IF(Mecze[[#This Row],[Role]]="BR",Mecze[[#This Row],[/OB:90]]+Mecze[[#This Row],[/PC:90]],SUM(Mecze[[#This Row],[/PR:90]:[/BR:90]]))</f>
        <v>7.0707070707070718E-2</v>
      </c>
      <c r="Z346" s="35">
        <f>IF(Mecze[[#This Row],[KC]]=0,SUM(Mecze[[#This Row],[/BRI]:[/NPI]]),SUM(Mecze[[#This Row],[/BRI]:[/NPI]])*0.6)</f>
        <v>0.42424242424242431</v>
      </c>
      <c r="AA346" s="10">
        <f>IFERROR(Mecze[[#This Row],[BR]]/Mecze[[#This Row],[ST]],0)</f>
        <v>0</v>
      </c>
      <c r="AB346">
        <f>ROUND(Mecze[[#This Row],[PD]]*Mecze[[#This Row],[%PC]],0)</f>
        <v>4</v>
      </c>
      <c r="AC346">
        <f>ROUND(Mecze[[#This Row],[OD]]*Mecze[[#This Row],[%OU]],0)</f>
        <v>0</v>
      </c>
      <c r="AD346" s="36" t="s">
        <v>273</v>
      </c>
      <c r="AE346" s="36">
        <v>20</v>
      </c>
      <c r="AF346" s="71">
        <v>5.92</v>
      </c>
      <c r="AG346" s="37">
        <v>0</v>
      </c>
      <c r="AH346" s="37">
        <v>0</v>
      </c>
      <c r="AI346" s="37">
        <v>99</v>
      </c>
      <c r="AJ346" s="37">
        <v>1</v>
      </c>
      <c r="AK346" s="37" t="str">
        <f>VLOOKUP(Mecze[[#This Row],[Match ID]],Meczusie[Mecz]:Meczusie[RodzajMeczu],2,FALSE)</f>
        <v>Towarzyski</v>
      </c>
    </row>
    <row r="347" spans="1:37" x14ac:dyDescent="0.25">
      <c r="A347" s="76">
        <v>8</v>
      </c>
      <c r="B347" s="3" t="s">
        <v>154</v>
      </c>
      <c r="C347" s="2" t="s">
        <v>165</v>
      </c>
      <c r="D347" s="1">
        <v>0</v>
      </c>
      <c r="E347" s="1">
        <v>0</v>
      </c>
      <c r="F347" s="1">
        <v>0</v>
      </c>
      <c r="G347" s="1">
        <v>6</v>
      </c>
      <c r="H347" s="4">
        <v>0.5</v>
      </c>
      <c r="I347" s="1">
        <v>3</v>
      </c>
      <c r="J347" s="4">
        <v>0.67</v>
      </c>
      <c r="K347" s="1">
        <v>0</v>
      </c>
      <c r="L347" s="1">
        <v>1</v>
      </c>
      <c r="M347" s="32">
        <f>IF(Mecze[[#This Row],[PR]]=0,0,Mecze[[#This Row],[PR]]/Mecze[[#This Row],[CZAS]])</f>
        <v>1.0101010101010102E-2</v>
      </c>
      <c r="N347" s="32">
        <f>IF(Mecze[[#This Row],[OU]]=0,0,Mecze[[#This Row],[OU]]/Mecze[[#This Row],[CZAS]])</f>
        <v>2.0202020202020204E-2</v>
      </c>
      <c r="O347" s="32">
        <f>IF(Mecze[[#This Row],[PC]]=0,0,Mecze[[#This Row],[PC]]/Mecze[[#This Row],[CZAS]])</f>
        <v>3.0303030303030304E-2</v>
      </c>
      <c r="P347" s="32">
        <f>IF(Mecze[[#This Row],[SC]]=0,0,Mecze[[#This Row],[SC]]/Mecze[[#This Row],[CZAS]])</f>
        <v>0</v>
      </c>
      <c r="Q347" s="32">
        <f>IF(Mecze[[#This Row],[OB]]=0,0,Mecze[[#This Row],[OB]]/Mecze[[#This Row],[CZAS]])</f>
        <v>0</v>
      </c>
      <c r="R347" s="32">
        <f>IF(Mecze[[#This Row],[BR]]=0,0,Mecze[[#This Row],[BR]]/Mecze[[#This Row],[CZAS]])</f>
        <v>0</v>
      </c>
      <c r="S347" s="44">
        <f>IF(Mecze[[#This Row],[Role]]="BR",SUMPRODUCT(Mecze[[#This Row],[/PR:90]:[/BR:90]],Brudnopis!$E$23:$J$23),0)</f>
        <v>0</v>
      </c>
      <c r="T347" s="44">
        <f>IF(Mecze[[#This Row],[Role]]&lt;&gt;"BR",SUMPRODUCT(Mecze[[#This Row],[/PR:90]:[/BR:90]],Brudnopis!$E$24:$J$24),0)</f>
        <v>7.0707070707070718E-2</v>
      </c>
      <c r="U347" s="44">
        <f>IF(Mecze[[#This Row],[Role]]&lt;&gt;"BR",SUMPRODUCT(Mecze[[#This Row],[/PR:90]:[/BR:90]],Brudnopis!$E$25:$J$25),0)</f>
        <v>7.575757575757576E-2</v>
      </c>
      <c r="V347" s="44">
        <f>IF(Mecze[[#This Row],[Role]]&lt;&gt;"BR",SUMPRODUCT(Mecze[[#This Row],[/PR:90]:[/BR:90]],Brudnopis!$E$26:$J$26),0)</f>
        <v>6.0606060606060608E-2</v>
      </c>
      <c r="W347" s="44">
        <f>IF(Mecze[[#This Row],[Role]]&lt;&gt;"BR",SUMPRODUCT(Mecze[[#This Row],[/PR:90]:[/BR:90]],Brudnopis!$E$27:$J$27),0)</f>
        <v>6.8181818181818177E-2</v>
      </c>
      <c r="X347" s="44">
        <f>IF(Mecze[[#This Row],[Role]]&lt;&gt;"BR",SUMPRODUCT(Mecze[[#This Row],[/PR:90]:[/BR:90]],Brudnopis!$E$28:$J$28),0)</f>
        <v>3.0303030303030304E-2</v>
      </c>
      <c r="Y347" s="35">
        <f>IF(Mecze[[#This Row],[Role]]="BR",Mecze[[#This Row],[/OB:90]]+Mecze[[#This Row],[/PC:90]],SUM(Mecze[[#This Row],[/PR:90]:[/BR:90]]))</f>
        <v>6.0606060606060608E-2</v>
      </c>
      <c r="Z347" s="35">
        <f>IF(Mecze[[#This Row],[KC]]=0,SUM(Mecze[[#This Row],[/BRI]:[/NPI]]),SUM(Mecze[[#This Row],[/BRI]:[/NPI]])*0.6)</f>
        <v>0.30555555555555558</v>
      </c>
      <c r="AA347" s="10">
        <f>IFERROR(Mecze[[#This Row],[BR]]/Mecze[[#This Row],[ST]],0)</f>
        <v>0</v>
      </c>
      <c r="AB347">
        <f>ROUND(Mecze[[#This Row],[PD]]*Mecze[[#This Row],[%PC]],0)</f>
        <v>3</v>
      </c>
      <c r="AC347">
        <f>ROUND(Mecze[[#This Row],[OD]]*Mecze[[#This Row],[%OU]],0)</f>
        <v>2</v>
      </c>
      <c r="AD347" s="36" t="s">
        <v>272</v>
      </c>
      <c r="AE347" s="36">
        <v>20</v>
      </c>
      <c r="AF347" s="71">
        <v>5.26</v>
      </c>
      <c r="AG347" s="37">
        <v>0</v>
      </c>
      <c r="AH347" s="37">
        <v>0</v>
      </c>
      <c r="AI347" s="37">
        <v>99</v>
      </c>
      <c r="AJ347" s="37">
        <v>1</v>
      </c>
      <c r="AK347" s="37" t="str">
        <f>VLOOKUP(Mecze[[#This Row],[Match ID]],Meczusie[Mecz]:Meczusie[RodzajMeczu],2,FALSE)</f>
        <v>Towarzyski</v>
      </c>
    </row>
    <row r="348" spans="1:37" x14ac:dyDescent="0.25">
      <c r="A348" s="76">
        <v>19</v>
      </c>
      <c r="B348" s="3" t="s">
        <v>166</v>
      </c>
      <c r="C348" s="2" t="s">
        <v>165</v>
      </c>
      <c r="D348" s="1">
        <v>3</v>
      </c>
      <c r="E348" s="1">
        <v>8</v>
      </c>
      <c r="F348" s="1">
        <v>8</v>
      </c>
      <c r="G348" s="1">
        <v>10</v>
      </c>
      <c r="H348" s="4">
        <v>0.9</v>
      </c>
      <c r="I348" s="1">
        <v>3</v>
      </c>
      <c r="J348" s="4">
        <v>0</v>
      </c>
      <c r="K348" s="1">
        <v>0</v>
      </c>
      <c r="L348" s="1">
        <v>1</v>
      </c>
      <c r="M348" s="32">
        <f>IF(Mecze[[#This Row],[PR]]=0,0,Mecze[[#This Row],[PR]]/Mecze[[#This Row],[CZAS]])</f>
        <v>1.0101010101010102E-2</v>
      </c>
      <c r="N348" s="32">
        <f>IF(Mecze[[#This Row],[OU]]=0,0,Mecze[[#This Row],[OU]]/Mecze[[#This Row],[CZAS]])</f>
        <v>0</v>
      </c>
      <c r="O348" s="32">
        <f>IF(Mecze[[#This Row],[PC]]=0,0,Mecze[[#This Row],[PC]]/Mecze[[#This Row],[CZAS]])</f>
        <v>9.0909090909090912E-2</v>
      </c>
      <c r="P348" s="32">
        <f>IF(Mecze[[#This Row],[SC]]=0,0,Mecze[[#This Row],[SC]]/Mecze[[#This Row],[CZAS]])</f>
        <v>8.0808080808080815E-2</v>
      </c>
      <c r="Q348" s="32">
        <f>IF(Mecze[[#This Row],[OB]]=0,0,Mecze[[#This Row],[OB]]/Mecze[[#This Row],[CZAS]])</f>
        <v>0</v>
      </c>
      <c r="R348" s="32">
        <f>IF(Mecze[[#This Row],[BR]]=0,0,Mecze[[#This Row],[BR]]/Mecze[[#This Row],[CZAS]])</f>
        <v>3.0303030303030304E-2</v>
      </c>
      <c r="S348" s="44">
        <f>IF(Mecze[[#This Row],[Role]]="BR",SUMPRODUCT(Mecze[[#This Row],[/PR:90]:[/BR:90]],Brudnopis!$E$23:$J$23),0)</f>
        <v>0</v>
      </c>
      <c r="T348" s="44">
        <f>IF(Mecze[[#This Row],[Role]]&lt;&gt;"BR",SUMPRODUCT(Mecze[[#This Row],[/PR:90]:[/BR:90]],Brudnopis!$E$24:$J$24),0)</f>
        <v>0.22727272727272729</v>
      </c>
      <c r="U348" s="44">
        <f>IF(Mecze[[#This Row],[Role]]&lt;&gt;"BR",SUMPRODUCT(Mecze[[#This Row],[/PR:90]:[/BR:90]],Brudnopis!$E$25:$J$25),0)</f>
        <v>0.27272727272727276</v>
      </c>
      <c r="V348" s="44">
        <f>IF(Mecze[[#This Row],[Role]]&lt;&gt;"BR",SUMPRODUCT(Mecze[[#This Row],[/PR:90]:[/BR:90]],Brudnopis!$E$26:$J$26),0)</f>
        <v>0.24242424242424243</v>
      </c>
      <c r="W348" s="44">
        <f>IF(Mecze[[#This Row],[Role]]&lt;&gt;"BR",SUMPRODUCT(Mecze[[#This Row],[/PR:90]:[/BR:90]],Brudnopis!$E$27:$J$27),0)</f>
        <v>0.28535353535353536</v>
      </c>
      <c r="X348" s="44">
        <f>IF(Mecze[[#This Row],[Role]]&lt;&gt;"BR",SUMPRODUCT(Mecze[[#This Row],[/PR:90]:[/BR:90]],Brudnopis!$E$28:$J$28),0)</f>
        <v>0.34343434343434343</v>
      </c>
      <c r="Y348" s="35">
        <f>IF(Mecze[[#This Row],[Role]]="BR",Mecze[[#This Row],[/OB:90]]+Mecze[[#This Row],[/PC:90]],SUM(Mecze[[#This Row],[/PR:90]:[/BR:90]]))</f>
        <v>0.21212121212121213</v>
      </c>
      <c r="Z348" s="35">
        <f>IF(Mecze[[#This Row],[KC]]=0,SUM(Mecze[[#This Row],[/BRI]:[/NPI]]),SUM(Mecze[[#This Row],[/BRI]:[/NPI]])*0.6)</f>
        <v>1.3712121212121211</v>
      </c>
      <c r="AA348" s="10">
        <f>IFERROR(Mecze[[#This Row],[BR]]/Mecze[[#This Row],[ST]],0)</f>
        <v>0.375</v>
      </c>
      <c r="AB348">
        <f>ROUND(Mecze[[#This Row],[PD]]*Mecze[[#This Row],[%PC]],0)</f>
        <v>9</v>
      </c>
      <c r="AC348">
        <f>ROUND(Mecze[[#This Row],[OD]]*Mecze[[#This Row],[%OU]],0)</f>
        <v>0</v>
      </c>
      <c r="AD348" s="36" t="s">
        <v>46</v>
      </c>
      <c r="AE348" s="36">
        <v>20</v>
      </c>
      <c r="AF348" s="71">
        <v>14.84</v>
      </c>
      <c r="AG348" s="37">
        <v>0</v>
      </c>
      <c r="AH348" s="37">
        <v>0</v>
      </c>
      <c r="AI348" s="37">
        <v>99</v>
      </c>
      <c r="AJ348" s="37">
        <v>1</v>
      </c>
      <c r="AK348" s="37" t="str">
        <f>VLOOKUP(Mecze[[#This Row],[Match ID]],Meczusie[Mecz]:Meczusie[RodzajMeczu],2,FALSE)</f>
        <v>Towarzyski</v>
      </c>
    </row>
    <row r="349" spans="1:37" x14ac:dyDescent="0.25">
      <c r="A349" s="76">
        <v>49</v>
      </c>
      <c r="B349" s="3" t="s">
        <v>358</v>
      </c>
      <c r="C349" s="2" t="s">
        <v>155</v>
      </c>
      <c r="D349" s="1">
        <v>0</v>
      </c>
      <c r="E349" s="1">
        <v>0</v>
      </c>
      <c r="F349" s="1">
        <v>0</v>
      </c>
      <c r="G349" s="1">
        <v>3</v>
      </c>
      <c r="H349" s="4">
        <v>0.33</v>
      </c>
      <c r="I349" s="1">
        <v>0</v>
      </c>
      <c r="J349" s="4"/>
      <c r="K349" s="1">
        <v>2</v>
      </c>
      <c r="L349" s="1">
        <v>0</v>
      </c>
      <c r="M349" s="32">
        <f>IF(Mecze[[#This Row],[PR]]=0,0,Mecze[[#This Row],[PR]]/Mecze[[#This Row],[CZAS]])</f>
        <v>0</v>
      </c>
      <c r="N349" s="32">
        <f>IF(Mecze[[#This Row],[OU]]=0,0,Mecze[[#This Row],[OU]]/Mecze[[#This Row],[CZAS]])</f>
        <v>0</v>
      </c>
      <c r="O349" s="32">
        <f>IF(Mecze[[#This Row],[PC]]=0,0,Mecze[[#This Row],[PC]]/Mecze[[#This Row],[CZAS]])</f>
        <v>1.0416666666666666E-2</v>
      </c>
      <c r="P349" s="32">
        <f>IF(Mecze[[#This Row],[SC]]=0,0,Mecze[[#This Row],[SC]]/Mecze[[#This Row],[CZAS]])</f>
        <v>0</v>
      </c>
      <c r="Q349" s="32">
        <f>IF(Mecze[[#This Row],[OB]]=0,0,Mecze[[#This Row],[OB]]/Mecze[[#This Row],[CZAS]])</f>
        <v>2.0833333333333332E-2</v>
      </c>
      <c r="R349" s="32">
        <f>IF(Mecze[[#This Row],[BR]]=0,0,Mecze[[#This Row],[BR]]/Mecze[[#This Row],[CZAS]])</f>
        <v>0</v>
      </c>
      <c r="S349" s="44">
        <f>IF(Mecze[[#This Row],[Role]]="BR",SUMPRODUCT(Mecze[[#This Row],[/PR:90]:[/BR:90]],Brudnopis!$E$23:$J$23),0)</f>
        <v>9.375E-2</v>
      </c>
      <c r="T349" s="44">
        <f>IF(Mecze[[#This Row],[Role]]&lt;&gt;"BR",SUMPRODUCT(Mecze[[#This Row],[/PR:90]:[/BR:90]],Brudnopis!$E$24:$J$24),0)</f>
        <v>0</v>
      </c>
      <c r="U349" s="44">
        <f>IF(Mecze[[#This Row],[Role]]&lt;&gt;"BR",SUMPRODUCT(Mecze[[#This Row],[/PR:90]:[/BR:90]],Brudnopis!$E$25:$J$25),0)</f>
        <v>0</v>
      </c>
      <c r="V349" s="44">
        <f>IF(Mecze[[#This Row],[Role]]&lt;&gt;"BR",SUMPRODUCT(Mecze[[#This Row],[/PR:90]:[/BR:90]],Brudnopis!$E$26:$J$26),0)</f>
        <v>0</v>
      </c>
      <c r="W349" s="44">
        <f>IF(Mecze[[#This Row],[Role]]&lt;&gt;"BR",SUMPRODUCT(Mecze[[#This Row],[/PR:90]:[/BR:90]],Brudnopis!$E$27:$J$27),0)</f>
        <v>0</v>
      </c>
      <c r="X349" s="44">
        <f>IF(Mecze[[#This Row],[Role]]&lt;&gt;"BR",SUMPRODUCT(Mecze[[#This Row],[/PR:90]:[/BR:90]],Brudnopis!$E$28:$J$28),0)</f>
        <v>0</v>
      </c>
      <c r="Y349" s="35">
        <f>IF(Mecze[[#This Row],[Role]]="BR",Mecze[[#This Row],[/OB:90]]+Mecze[[#This Row],[/PC:90]],SUM(Mecze[[#This Row],[/PR:90]:[/BR:90]]))</f>
        <v>3.125E-2</v>
      </c>
      <c r="Z349" s="35">
        <f>IF(Mecze[[#This Row],[KC]]=0,SUM(Mecze[[#This Row],[/BRI]:[/NPI]]),SUM(Mecze[[#This Row],[/BRI]:[/NPI]])*0.6)</f>
        <v>9.375E-2</v>
      </c>
      <c r="AA349" s="10">
        <f>IFERROR(Mecze[[#This Row],[BR]]/Mecze[[#This Row],[ST]],0)</f>
        <v>0</v>
      </c>
      <c r="AB349">
        <f>ROUND(Mecze[[#This Row],[PD]]*Mecze[[#This Row],[%PC]],0)</f>
        <v>1</v>
      </c>
      <c r="AC349">
        <f>ROUND(Mecze[[#This Row],[OD]]*Mecze[[#This Row],[%OU]],0)</f>
        <v>0</v>
      </c>
      <c r="AD349" s="36" t="s">
        <v>40</v>
      </c>
      <c r="AE349" s="36">
        <v>21</v>
      </c>
      <c r="AF349" s="71">
        <v>4.62</v>
      </c>
      <c r="AG349" s="37">
        <v>0</v>
      </c>
      <c r="AH349" s="37">
        <v>0</v>
      </c>
      <c r="AI349" s="37">
        <v>96</v>
      </c>
      <c r="AJ349" s="37">
        <v>1</v>
      </c>
      <c r="AK349" s="37" t="str">
        <f>VLOOKUP(Mecze[[#This Row],[Match ID]],Meczusie[Mecz]:Meczusie[RodzajMeczu],2,FALSE)</f>
        <v>Towarzyski</v>
      </c>
    </row>
    <row r="350" spans="1:37" x14ac:dyDescent="0.25">
      <c r="A350" s="76">
        <v>38</v>
      </c>
      <c r="B350" s="3" t="s">
        <v>359</v>
      </c>
      <c r="C350" s="2" t="s">
        <v>157</v>
      </c>
      <c r="D350" s="1">
        <v>0</v>
      </c>
      <c r="E350" s="1">
        <v>0</v>
      </c>
      <c r="F350" s="1">
        <v>0</v>
      </c>
      <c r="G350" s="1">
        <v>6</v>
      </c>
      <c r="H350" s="4">
        <v>0.67</v>
      </c>
      <c r="I350" s="1">
        <v>2</v>
      </c>
      <c r="J350" s="4">
        <v>0.5</v>
      </c>
      <c r="K350" s="1">
        <v>0</v>
      </c>
      <c r="L350" s="1">
        <v>10</v>
      </c>
      <c r="M350" s="32">
        <f>IF(Mecze[[#This Row],[PR]]=0,0,Mecze[[#This Row],[PR]]/Mecze[[#This Row],[CZAS]])</f>
        <v>0.10416666666666667</v>
      </c>
      <c r="N350" s="32">
        <f>IF(Mecze[[#This Row],[OU]]=0,0,Mecze[[#This Row],[OU]]/Mecze[[#This Row],[CZAS]])</f>
        <v>1.0416666666666666E-2</v>
      </c>
      <c r="O350" s="32">
        <f>IF(Mecze[[#This Row],[PC]]=0,0,Mecze[[#This Row],[PC]]/Mecze[[#This Row],[CZAS]])</f>
        <v>4.1666666666666664E-2</v>
      </c>
      <c r="P350" s="32">
        <f>IF(Mecze[[#This Row],[SC]]=0,0,Mecze[[#This Row],[SC]]/Mecze[[#This Row],[CZAS]])</f>
        <v>0</v>
      </c>
      <c r="Q350" s="32">
        <f>IF(Mecze[[#This Row],[OB]]=0,0,Mecze[[#This Row],[OB]]/Mecze[[#This Row],[CZAS]])</f>
        <v>0</v>
      </c>
      <c r="R350" s="32">
        <f>IF(Mecze[[#This Row],[BR]]=0,0,Mecze[[#This Row],[BR]]/Mecze[[#This Row],[CZAS]])</f>
        <v>0</v>
      </c>
      <c r="S350" s="44">
        <f>IF(Mecze[[#This Row],[Role]]="BR",SUMPRODUCT(Mecze[[#This Row],[/PR:90]:[/BR:90]],Brudnopis!$E$23:$J$23),0)</f>
        <v>0</v>
      </c>
      <c r="T350" s="44">
        <f>IF(Mecze[[#This Row],[Role]]&lt;&gt;"BR",SUMPRODUCT(Mecze[[#This Row],[/PR:90]:[/BR:90]],Brudnopis!$E$24:$J$24),0)</f>
        <v>0.16145833333333334</v>
      </c>
      <c r="U350" s="44">
        <f>IF(Mecze[[#This Row],[Role]]&lt;&gt;"BR",SUMPRODUCT(Mecze[[#This Row],[/PR:90]:[/BR:90]],Brudnopis!$E$25:$J$25),0)</f>
        <v>0.17708333333333334</v>
      </c>
      <c r="V350" s="44">
        <f>IF(Mecze[[#This Row],[Role]]&lt;&gt;"BR",SUMPRODUCT(Mecze[[#This Row],[/PR:90]:[/BR:90]],Brudnopis!$E$26:$J$26),0)</f>
        <v>0.15625</v>
      </c>
      <c r="W350" s="44">
        <f>IF(Mecze[[#This Row],[Role]]&lt;&gt;"BR",SUMPRODUCT(Mecze[[#This Row],[/PR:90]:[/BR:90]],Brudnopis!$E$27:$J$27),0)</f>
        <v>0.1484375</v>
      </c>
      <c r="X350" s="44">
        <f>IF(Mecze[[#This Row],[Role]]&lt;&gt;"BR",SUMPRODUCT(Mecze[[#This Row],[/PR:90]:[/BR:90]],Brudnopis!$E$28:$J$28),0)</f>
        <v>4.1666666666666664E-2</v>
      </c>
      <c r="Y350" s="35">
        <f>IF(Mecze[[#This Row],[Role]]="BR",Mecze[[#This Row],[/OB:90]]+Mecze[[#This Row],[/PC:90]],SUM(Mecze[[#This Row],[/PR:90]:[/BR:90]]))</f>
        <v>0.15625</v>
      </c>
      <c r="Z350" s="35">
        <f>IF(Mecze[[#This Row],[KC]]=0,SUM(Mecze[[#This Row],[/BRI]:[/NPI]]),SUM(Mecze[[#This Row],[/BRI]:[/NPI]])*0.6)</f>
        <v>0.68489583333333337</v>
      </c>
      <c r="AA350" s="10">
        <f>IFERROR(Mecze[[#This Row],[BR]]/Mecze[[#This Row],[ST]],0)</f>
        <v>0</v>
      </c>
      <c r="AB350">
        <f>ROUND(Mecze[[#This Row],[PD]]*Mecze[[#This Row],[%PC]],0)</f>
        <v>4</v>
      </c>
      <c r="AC350">
        <f>ROUND(Mecze[[#This Row],[OD]]*Mecze[[#This Row],[%OU]],0)</f>
        <v>1</v>
      </c>
      <c r="AD350" s="36" t="s">
        <v>47</v>
      </c>
      <c r="AE350" s="36">
        <v>21</v>
      </c>
      <c r="AF350" s="71">
        <v>6.02</v>
      </c>
      <c r="AG350" s="37">
        <v>0</v>
      </c>
      <c r="AH350" s="37">
        <v>0</v>
      </c>
      <c r="AI350" s="37">
        <v>96</v>
      </c>
      <c r="AJ350" s="37">
        <v>1</v>
      </c>
      <c r="AK350" s="37" t="str">
        <f>VLOOKUP(Mecze[[#This Row],[Match ID]],Meczusie[Mecz]:Meczusie[RodzajMeczu],2,FALSE)</f>
        <v>Towarzyski</v>
      </c>
    </row>
    <row r="351" spans="1:37" x14ac:dyDescent="0.25">
      <c r="A351" s="76">
        <v>4</v>
      </c>
      <c r="B351" s="3" t="s">
        <v>360</v>
      </c>
      <c r="C351" s="2" t="s">
        <v>157</v>
      </c>
      <c r="D351" s="1">
        <v>0</v>
      </c>
      <c r="E351" s="1">
        <v>0</v>
      </c>
      <c r="F351" s="1">
        <v>0</v>
      </c>
      <c r="G351" s="1">
        <v>7</v>
      </c>
      <c r="H351" s="4">
        <v>0.43</v>
      </c>
      <c r="I351" s="1">
        <v>6</v>
      </c>
      <c r="J351" s="4">
        <v>0.5</v>
      </c>
      <c r="K351" s="1">
        <v>0</v>
      </c>
      <c r="L351" s="1">
        <v>8</v>
      </c>
      <c r="M351" s="32">
        <f>IF(Mecze[[#This Row],[PR]]=0,0,Mecze[[#This Row],[PR]]/Mecze[[#This Row],[CZAS]])</f>
        <v>8.3333333333333329E-2</v>
      </c>
      <c r="N351" s="32">
        <f>IF(Mecze[[#This Row],[OU]]=0,0,Mecze[[#This Row],[OU]]/Mecze[[#This Row],[CZAS]])</f>
        <v>3.125E-2</v>
      </c>
      <c r="O351" s="32">
        <f>IF(Mecze[[#This Row],[PC]]=0,0,Mecze[[#This Row],[PC]]/Mecze[[#This Row],[CZAS]])</f>
        <v>3.125E-2</v>
      </c>
      <c r="P351" s="32">
        <f>IF(Mecze[[#This Row],[SC]]=0,0,Mecze[[#This Row],[SC]]/Mecze[[#This Row],[CZAS]])</f>
        <v>0</v>
      </c>
      <c r="Q351" s="32">
        <f>IF(Mecze[[#This Row],[OB]]=0,0,Mecze[[#This Row],[OB]]/Mecze[[#This Row],[CZAS]])</f>
        <v>0</v>
      </c>
      <c r="R351" s="32">
        <f>IF(Mecze[[#This Row],[BR]]=0,0,Mecze[[#This Row],[BR]]/Mecze[[#This Row],[CZAS]])</f>
        <v>0</v>
      </c>
      <c r="S351" s="44">
        <f>IF(Mecze[[#This Row],[Role]]="BR",SUMPRODUCT(Mecze[[#This Row],[/PR:90]:[/BR:90]],Brudnopis!$E$23:$J$23),0)</f>
        <v>0</v>
      </c>
      <c r="T351" s="44">
        <f>IF(Mecze[[#This Row],[Role]]&lt;&gt;"BR",SUMPRODUCT(Mecze[[#This Row],[/PR:90]:[/BR:90]],Brudnopis!$E$24:$J$24),0)</f>
        <v>0.16145833333333331</v>
      </c>
      <c r="U351" s="44">
        <f>IF(Mecze[[#This Row],[Role]]&lt;&gt;"BR",SUMPRODUCT(Mecze[[#This Row],[/PR:90]:[/BR:90]],Brudnopis!$E$25:$J$25),0)</f>
        <v>0.16145833333333331</v>
      </c>
      <c r="V351" s="44">
        <f>IF(Mecze[[#This Row],[Role]]&lt;&gt;"BR",SUMPRODUCT(Mecze[[#This Row],[/PR:90]:[/BR:90]],Brudnopis!$E$26:$J$26),0)</f>
        <v>0.14583333333333331</v>
      </c>
      <c r="W351" s="44">
        <f>IF(Mecze[[#This Row],[Role]]&lt;&gt;"BR",SUMPRODUCT(Mecze[[#This Row],[/PR:90]:[/BR:90]],Brudnopis!$E$27:$J$27),0)</f>
        <v>0.1328125</v>
      </c>
      <c r="X351" s="44">
        <f>IF(Mecze[[#This Row],[Role]]&lt;&gt;"BR",SUMPRODUCT(Mecze[[#This Row],[/PR:90]:[/BR:90]],Brudnopis!$E$28:$J$28),0)</f>
        <v>3.125E-2</v>
      </c>
      <c r="Y351" s="35">
        <f>IF(Mecze[[#This Row],[Role]]="BR",Mecze[[#This Row],[/OB:90]]+Mecze[[#This Row],[/PC:90]],SUM(Mecze[[#This Row],[/PR:90]:[/BR:90]]))</f>
        <v>0.14583333333333331</v>
      </c>
      <c r="Z351" s="35">
        <f>IF(Mecze[[#This Row],[KC]]=0,SUM(Mecze[[#This Row],[/BRI]:[/NPI]]),SUM(Mecze[[#This Row],[/BRI]:[/NPI]])*0.6)</f>
        <v>0.6328125</v>
      </c>
      <c r="AA351" s="10">
        <f>IFERROR(Mecze[[#This Row],[BR]]/Mecze[[#This Row],[ST]],0)</f>
        <v>0</v>
      </c>
      <c r="AB351">
        <f>ROUND(Mecze[[#This Row],[PD]]*Mecze[[#This Row],[%PC]],0)</f>
        <v>3</v>
      </c>
      <c r="AC351">
        <f>ROUND(Mecze[[#This Row],[OD]]*Mecze[[#This Row],[%OU]],0)</f>
        <v>3</v>
      </c>
      <c r="AD351" s="36" t="s">
        <v>168</v>
      </c>
      <c r="AE351" s="36">
        <v>21</v>
      </c>
      <c r="AF351" s="71">
        <v>6.72</v>
      </c>
      <c r="AG351" s="37">
        <v>0</v>
      </c>
      <c r="AH351" s="37">
        <v>0</v>
      </c>
      <c r="AI351" s="37">
        <v>96</v>
      </c>
      <c r="AJ351" s="37">
        <v>1</v>
      </c>
      <c r="AK351" s="37" t="str">
        <f>VLOOKUP(Mecze[[#This Row],[Match ID]],Meczusie[Mecz]:Meczusie[RodzajMeczu],2,FALSE)</f>
        <v>Towarzyski</v>
      </c>
    </row>
    <row r="352" spans="1:37" x14ac:dyDescent="0.25">
      <c r="A352" s="76">
        <v>42</v>
      </c>
      <c r="B352" s="3" t="s">
        <v>361</v>
      </c>
      <c r="C352" s="2" t="s">
        <v>157</v>
      </c>
      <c r="D352" s="1">
        <v>0</v>
      </c>
      <c r="E352" s="1">
        <v>0</v>
      </c>
      <c r="F352" s="1">
        <v>0</v>
      </c>
      <c r="G352" s="1">
        <v>7</v>
      </c>
      <c r="H352" s="4">
        <v>0.56999999999999995</v>
      </c>
      <c r="I352" s="1">
        <v>4</v>
      </c>
      <c r="J352" s="4">
        <v>0.25</v>
      </c>
      <c r="K352" s="1">
        <v>0</v>
      </c>
      <c r="L352" s="1">
        <v>9</v>
      </c>
      <c r="M352" s="32">
        <f>IF(Mecze[[#This Row],[PR]]=0,0,Mecze[[#This Row],[PR]]/Mecze[[#This Row],[CZAS]])</f>
        <v>9.375E-2</v>
      </c>
      <c r="N352" s="32">
        <f>IF(Mecze[[#This Row],[OU]]=0,0,Mecze[[#This Row],[OU]]/Mecze[[#This Row],[CZAS]])</f>
        <v>1.0416666666666666E-2</v>
      </c>
      <c r="O352" s="32">
        <f>IF(Mecze[[#This Row],[PC]]=0,0,Mecze[[#This Row],[PC]]/Mecze[[#This Row],[CZAS]])</f>
        <v>4.1666666666666664E-2</v>
      </c>
      <c r="P352" s="32">
        <f>IF(Mecze[[#This Row],[SC]]=0,0,Mecze[[#This Row],[SC]]/Mecze[[#This Row],[CZAS]])</f>
        <v>0</v>
      </c>
      <c r="Q352" s="32">
        <f>IF(Mecze[[#This Row],[OB]]=0,0,Mecze[[#This Row],[OB]]/Mecze[[#This Row],[CZAS]])</f>
        <v>0</v>
      </c>
      <c r="R352" s="32">
        <f>IF(Mecze[[#This Row],[BR]]=0,0,Mecze[[#This Row],[BR]]/Mecze[[#This Row],[CZAS]])</f>
        <v>0</v>
      </c>
      <c r="S352" s="44">
        <f>IF(Mecze[[#This Row],[Role]]="BR",SUMPRODUCT(Mecze[[#This Row],[/PR:90]:[/BR:90]],Brudnopis!$E$23:$J$23),0)</f>
        <v>0</v>
      </c>
      <c r="T352" s="44">
        <f>IF(Mecze[[#This Row],[Role]]&lt;&gt;"BR",SUMPRODUCT(Mecze[[#This Row],[/PR:90]:[/BR:90]],Brudnopis!$E$24:$J$24),0)</f>
        <v>0.15104166666666666</v>
      </c>
      <c r="U352" s="44">
        <f>IF(Mecze[[#This Row],[Role]]&lt;&gt;"BR",SUMPRODUCT(Mecze[[#This Row],[/PR:90]:[/BR:90]],Brudnopis!$E$25:$J$25),0)</f>
        <v>0.16666666666666669</v>
      </c>
      <c r="V352" s="44">
        <f>IF(Mecze[[#This Row],[Role]]&lt;&gt;"BR",SUMPRODUCT(Mecze[[#This Row],[/PR:90]:[/BR:90]],Brudnopis!$E$26:$J$26),0)</f>
        <v>0.14583333333333334</v>
      </c>
      <c r="W352" s="44">
        <f>IF(Mecze[[#This Row],[Role]]&lt;&gt;"BR",SUMPRODUCT(Mecze[[#This Row],[/PR:90]:[/BR:90]],Brudnopis!$E$27:$J$27),0)</f>
        <v>0.140625</v>
      </c>
      <c r="X352" s="44">
        <f>IF(Mecze[[#This Row],[Role]]&lt;&gt;"BR",SUMPRODUCT(Mecze[[#This Row],[/PR:90]:[/BR:90]],Brudnopis!$E$28:$J$28),0)</f>
        <v>4.1666666666666664E-2</v>
      </c>
      <c r="Y352" s="35">
        <f>IF(Mecze[[#This Row],[Role]]="BR",Mecze[[#This Row],[/OB:90]]+Mecze[[#This Row],[/PC:90]],SUM(Mecze[[#This Row],[/PR:90]:[/BR:90]]))</f>
        <v>0.14583333333333334</v>
      </c>
      <c r="Z352" s="35">
        <f>IF(Mecze[[#This Row],[KC]]=0,SUM(Mecze[[#This Row],[/BRI]:[/NPI]]),SUM(Mecze[[#This Row],[/BRI]:[/NPI]])*0.6)</f>
        <v>0.64583333333333337</v>
      </c>
      <c r="AA352" s="10">
        <f>IFERROR(Mecze[[#This Row],[BR]]/Mecze[[#This Row],[ST]],0)</f>
        <v>0</v>
      </c>
      <c r="AB352">
        <f>ROUND(Mecze[[#This Row],[PD]]*Mecze[[#This Row],[%PC]],0)</f>
        <v>4</v>
      </c>
      <c r="AC352">
        <f>ROUND(Mecze[[#This Row],[OD]]*Mecze[[#This Row],[%OU]],0)</f>
        <v>1</v>
      </c>
      <c r="AD352" s="36" t="s">
        <v>167</v>
      </c>
      <c r="AE352" s="36">
        <v>21</v>
      </c>
      <c r="AF352" s="71">
        <v>5.81</v>
      </c>
      <c r="AG352" s="37">
        <v>0</v>
      </c>
      <c r="AH352" s="37">
        <v>0</v>
      </c>
      <c r="AI352" s="37">
        <v>96</v>
      </c>
      <c r="AJ352" s="37">
        <v>1</v>
      </c>
      <c r="AK352" s="37" t="str">
        <f>VLOOKUP(Mecze[[#This Row],[Match ID]],Meczusie[Mecz]:Meczusie[RodzajMeczu],2,FALSE)</f>
        <v>Towarzyski</v>
      </c>
    </row>
    <row r="353" spans="1:37" x14ac:dyDescent="0.25">
      <c r="A353" s="76">
        <v>33</v>
      </c>
      <c r="B353" s="3" t="s">
        <v>362</v>
      </c>
      <c r="C353" s="2" t="s">
        <v>160</v>
      </c>
      <c r="D353" s="1">
        <v>0</v>
      </c>
      <c r="E353" s="1">
        <v>0</v>
      </c>
      <c r="F353" s="1">
        <v>0</v>
      </c>
      <c r="G353" s="1">
        <v>10</v>
      </c>
      <c r="H353" s="4">
        <v>0.7</v>
      </c>
      <c r="I353" s="1">
        <v>2</v>
      </c>
      <c r="J353" s="4">
        <v>0.5</v>
      </c>
      <c r="K353" s="1">
        <v>0</v>
      </c>
      <c r="L353" s="1">
        <v>7</v>
      </c>
      <c r="M353" s="32">
        <f>IF(Mecze[[#This Row],[PR]]=0,0,Mecze[[#This Row],[PR]]/Mecze[[#This Row],[CZAS]])</f>
        <v>7.2916666666666671E-2</v>
      </c>
      <c r="N353" s="32">
        <f>IF(Mecze[[#This Row],[OU]]=0,0,Mecze[[#This Row],[OU]]/Mecze[[#This Row],[CZAS]])</f>
        <v>1.0416666666666666E-2</v>
      </c>
      <c r="O353" s="32">
        <f>IF(Mecze[[#This Row],[PC]]=0,0,Mecze[[#This Row],[PC]]/Mecze[[#This Row],[CZAS]])</f>
        <v>7.2916666666666671E-2</v>
      </c>
      <c r="P353" s="32">
        <f>IF(Mecze[[#This Row],[SC]]=0,0,Mecze[[#This Row],[SC]]/Mecze[[#This Row],[CZAS]])</f>
        <v>0</v>
      </c>
      <c r="Q353" s="32">
        <f>IF(Mecze[[#This Row],[OB]]=0,0,Mecze[[#This Row],[OB]]/Mecze[[#This Row],[CZAS]])</f>
        <v>0</v>
      </c>
      <c r="R353" s="32">
        <f>IF(Mecze[[#This Row],[BR]]=0,0,Mecze[[#This Row],[BR]]/Mecze[[#This Row],[CZAS]])</f>
        <v>0</v>
      </c>
      <c r="S353" s="44">
        <f>IF(Mecze[[#This Row],[Role]]="BR",SUMPRODUCT(Mecze[[#This Row],[/PR:90]:[/BR:90]],Brudnopis!$E$23:$J$23),0)</f>
        <v>0</v>
      </c>
      <c r="T353" s="44">
        <f>IF(Mecze[[#This Row],[Role]]&lt;&gt;"BR",SUMPRODUCT(Mecze[[#This Row],[/PR:90]:[/BR:90]],Brudnopis!$E$24:$J$24),0)</f>
        <v>0.16145833333333334</v>
      </c>
      <c r="U353" s="44">
        <f>IF(Mecze[[#This Row],[Role]]&lt;&gt;"BR",SUMPRODUCT(Mecze[[#This Row],[/PR:90]:[/BR:90]],Brudnopis!$E$25:$J$25),0)</f>
        <v>0.19270833333333334</v>
      </c>
      <c r="V353" s="44">
        <f>IF(Mecze[[#This Row],[Role]]&lt;&gt;"BR",SUMPRODUCT(Mecze[[#This Row],[/PR:90]:[/BR:90]],Brudnopis!$E$26:$J$26),0)</f>
        <v>0.15625</v>
      </c>
      <c r="W353" s="44">
        <f>IF(Mecze[[#This Row],[Role]]&lt;&gt;"BR",SUMPRODUCT(Mecze[[#This Row],[/PR:90]:[/BR:90]],Brudnopis!$E$27:$J$27),0)</f>
        <v>0.171875</v>
      </c>
      <c r="X353" s="44">
        <f>IF(Mecze[[#This Row],[Role]]&lt;&gt;"BR",SUMPRODUCT(Mecze[[#This Row],[/PR:90]:[/BR:90]],Brudnopis!$E$28:$J$28),0)</f>
        <v>7.2916666666666671E-2</v>
      </c>
      <c r="Y353" s="35">
        <f>IF(Mecze[[#This Row],[Role]]="BR",Mecze[[#This Row],[/OB:90]]+Mecze[[#This Row],[/PC:90]],SUM(Mecze[[#This Row],[/PR:90]:[/BR:90]]))</f>
        <v>0.15625</v>
      </c>
      <c r="Z353" s="35">
        <f>IF(Mecze[[#This Row],[KC]]=0,SUM(Mecze[[#This Row],[/BRI]:[/NPI]]),SUM(Mecze[[#This Row],[/BRI]:[/NPI]])*0.6)</f>
        <v>0.75520833333333337</v>
      </c>
      <c r="AA353" s="10">
        <f>IFERROR(Mecze[[#This Row],[BR]]/Mecze[[#This Row],[ST]],0)</f>
        <v>0</v>
      </c>
      <c r="AB353">
        <f>ROUND(Mecze[[#This Row],[PD]]*Mecze[[#This Row],[%PC]],0)</f>
        <v>7</v>
      </c>
      <c r="AC353">
        <f>ROUND(Mecze[[#This Row],[OD]]*Mecze[[#This Row],[%OU]],0)</f>
        <v>1</v>
      </c>
      <c r="AD353" s="36" t="s">
        <v>41</v>
      </c>
      <c r="AE353" s="36">
        <v>21</v>
      </c>
      <c r="AF353" s="71">
        <v>6.6</v>
      </c>
      <c r="AG353" s="37">
        <v>0</v>
      </c>
      <c r="AH353" s="37">
        <v>0</v>
      </c>
      <c r="AI353" s="37">
        <v>96</v>
      </c>
      <c r="AJ353" s="37">
        <v>1</v>
      </c>
      <c r="AK353" s="37" t="str">
        <f>VLOOKUP(Mecze[[#This Row],[Match ID]],Meczusie[Mecz]:Meczusie[RodzajMeczu],2,FALSE)</f>
        <v>Towarzyski</v>
      </c>
    </row>
    <row r="354" spans="1:37" x14ac:dyDescent="0.25">
      <c r="A354" s="76">
        <v>22</v>
      </c>
      <c r="B354" s="3" t="s">
        <v>363</v>
      </c>
      <c r="C354" s="2" t="s">
        <v>160</v>
      </c>
      <c r="D354" s="1">
        <v>0</v>
      </c>
      <c r="E354" s="1">
        <v>0</v>
      </c>
      <c r="F354" s="1">
        <v>0</v>
      </c>
      <c r="G354" s="1">
        <v>10</v>
      </c>
      <c r="H354" s="4">
        <v>0.8</v>
      </c>
      <c r="I354" s="1">
        <v>4</v>
      </c>
      <c r="J354" s="4">
        <v>0.25</v>
      </c>
      <c r="K354" s="1">
        <v>0</v>
      </c>
      <c r="L354" s="1">
        <v>7</v>
      </c>
      <c r="M354" s="32">
        <f>IF(Mecze[[#This Row],[PR]]=0,0,Mecze[[#This Row],[PR]]/Mecze[[#This Row],[CZAS]])</f>
        <v>7.2916666666666671E-2</v>
      </c>
      <c r="N354" s="32">
        <f>IF(Mecze[[#This Row],[OU]]=0,0,Mecze[[#This Row],[OU]]/Mecze[[#This Row],[CZAS]])</f>
        <v>1.0416666666666666E-2</v>
      </c>
      <c r="O354" s="32">
        <f>IF(Mecze[[#This Row],[PC]]=0,0,Mecze[[#This Row],[PC]]/Mecze[[#This Row],[CZAS]])</f>
        <v>8.3333333333333329E-2</v>
      </c>
      <c r="P354" s="32">
        <f>IF(Mecze[[#This Row],[SC]]=0,0,Mecze[[#This Row],[SC]]/Mecze[[#This Row],[CZAS]])</f>
        <v>0</v>
      </c>
      <c r="Q354" s="32">
        <f>IF(Mecze[[#This Row],[OB]]=0,0,Mecze[[#This Row],[OB]]/Mecze[[#This Row],[CZAS]])</f>
        <v>0</v>
      </c>
      <c r="R354" s="32">
        <f>IF(Mecze[[#This Row],[BR]]=0,0,Mecze[[#This Row],[BR]]/Mecze[[#This Row],[CZAS]])</f>
        <v>0</v>
      </c>
      <c r="S354" s="44">
        <f>IF(Mecze[[#This Row],[Role]]="BR",SUMPRODUCT(Mecze[[#This Row],[/PR:90]:[/BR:90]],Brudnopis!$E$23:$J$23),0)</f>
        <v>0</v>
      </c>
      <c r="T354" s="44">
        <f>IF(Mecze[[#This Row],[Role]]&lt;&gt;"BR",SUMPRODUCT(Mecze[[#This Row],[/PR:90]:[/BR:90]],Brudnopis!$E$24:$J$24),0)</f>
        <v>0.171875</v>
      </c>
      <c r="U354" s="44">
        <f>IF(Mecze[[#This Row],[Role]]&lt;&gt;"BR",SUMPRODUCT(Mecze[[#This Row],[/PR:90]:[/BR:90]],Brudnopis!$E$25:$J$25),0)</f>
        <v>0.20833333333333334</v>
      </c>
      <c r="V354" s="44">
        <f>IF(Mecze[[#This Row],[Role]]&lt;&gt;"BR",SUMPRODUCT(Mecze[[#This Row],[/PR:90]:[/BR:90]],Brudnopis!$E$26:$J$26),0)</f>
        <v>0.16666666666666669</v>
      </c>
      <c r="W354" s="44">
        <f>IF(Mecze[[#This Row],[Role]]&lt;&gt;"BR",SUMPRODUCT(Mecze[[#This Row],[/PR:90]:[/BR:90]],Brudnopis!$E$27:$J$27),0)</f>
        <v>0.1875</v>
      </c>
      <c r="X354" s="44">
        <f>IF(Mecze[[#This Row],[Role]]&lt;&gt;"BR",SUMPRODUCT(Mecze[[#This Row],[/PR:90]:[/BR:90]],Brudnopis!$E$28:$J$28),0)</f>
        <v>8.3333333333333329E-2</v>
      </c>
      <c r="Y354" s="35">
        <f>IF(Mecze[[#This Row],[Role]]="BR",Mecze[[#This Row],[/OB:90]]+Mecze[[#This Row],[/PC:90]],SUM(Mecze[[#This Row],[/PR:90]:[/BR:90]]))</f>
        <v>0.16666666666666669</v>
      </c>
      <c r="Z354" s="35">
        <f>IF(Mecze[[#This Row],[KC]]=0,SUM(Mecze[[#This Row],[/BRI]:[/NPI]]),SUM(Mecze[[#This Row],[/BRI]:[/NPI]])*0.6)</f>
        <v>0.81770833333333337</v>
      </c>
      <c r="AA354" s="10">
        <f>IFERROR(Mecze[[#This Row],[BR]]/Mecze[[#This Row],[ST]],0)</f>
        <v>0</v>
      </c>
      <c r="AB354">
        <f>ROUND(Mecze[[#This Row],[PD]]*Mecze[[#This Row],[%PC]],0)</f>
        <v>8</v>
      </c>
      <c r="AC354">
        <f>ROUND(Mecze[[#This Row],[OD]]*Mecze[[#This Row],[%OU]],0)</f>
        <v>1</v>
      </c>
      <c r="AD354" s="36" t="s">
        <v>41</v>
      </c>
      <c r="AE354" s="36">
        <v>21</v>
      </c>
      <c r="AF354" s="71">
        <v>7.51</v>
      </c>
      <c r="AG354" s="37">
        <v>0</v>
      </c>
      <c r="AH354" s="37">
        <v>0</v>
      </c>
      <c r="AI354" s="37">
        <v>96</v>
      </c>
      <c r="AJ354" s="37">
        <v>1</v>
      </c>
      <c r="AK354" s="37" t="str">
        <f>VLOOKUP(Mecze[[#This Row],[Match ID]],Meczusie[Mecz]:Meczusie[RodzajMeczu],2,FALSE)</f>
        <v>Towarzyski</v>
      </c>
    </row>
    <row r="355" spans="1:37" x14ac:dyDescent="0.25">
      <c r="A355" s="76">
        <v>27</v>
      </c>
      <c r="B355" s="3" t="s">
        <v>364</v>
      </c>
      <c r="C355" s="2" t="s">
        <v>160</v>
      </c>
      <c r="D355" s="1">
        <v>2</v>
      </c>
      <c r="E355" s="1">
        <v>5</v>
      </c>
      <c r="F355" s="1">
        <v>4</v>
      </c>
      <c r="G355" s="1">
        <v>11</v>
      </c>
      <c r="H355" s="4">
        <v>0.45</v>
      </c>
      <c r="I355" s="1">
        <v>6</v>
      </c>
      <c r="J355" s="4">
        <v>0.33</v>
      </c>
      <c r="K355" s="1">
        <v>0</v>
      </c>
      <c r="L355" s="1">
        <v>6</v>
      </c>
      <c r="M355" s="32">
        <f>IF(Mecze[[#This Row],[PR]]=0,0,Mecze[[#This Row],[PR]]/Mecze[[#This Row],[CZAS]])</f>
        <v>6.25E-2</v>
      </c>
      <c r="N355" s="32">
        <f>IF(Mecze[[#This Row],[OU]]=0,0,Mecze[[#This Row],[OU]]/Mecze[[#This Row],[CZAS]])</f>
        <v>2.0833333333333332E-2</v>
      </c>
      <c r="O355" s="32">
        <f>IF(Mecze[[#This Row],[PC]]=0,0,Mecze[[#This Row],[PC]]/Mecze[[#This Row],[CZAS]])</f>
        <v>5.2083333333333336E-2</v>
      </c>
      <c r="P355" s="32">
        <f>IF(Mecze[[#This Row],[SC]]=0,0,Mecze[[#This Row],[SC]]/Mecze[[#This Row],[CZAS]])</f>
        <v>4.1666666666666664E-2</v>
      </c>
      <c r="Q355" s="32">
        <f>IF(Mecze[[#This Row],[OB]]=0,0,Mecze[[#This Row],[OB]]/Mecze[[#This Row],[CZAS]])</f>
        <v>0</v>
      </c>
      <c r="R355" s="32">
        <f>IF(Mecze[[#This Row],[BR]]=0,0,Mecze[[#This Row],[BR]]/Mecze[[#This Row],[CZAS]])</f>
        <v>2.0833333333333332E-2</v>
      </c>
      <c r="S355" s="44">
        <f>IF(Mecze[[#This Row],[Role]]="BR",SUMPRODUCT(Mecze[[#This Row],[/PR:90]:[/BR:90]],Brudnopis!$E$23:$J$23),0)</f>
        <v>0</v>
      </c>
      <c r="T355" s="44">
        <f>IF(Mecze[[#This Row],[Role]]&lt;&gt;"BR",SUMPRODUCT(Mecze[[#This Row],[/PR:90]:[/BR:90]],Brudnopis!$E$24:$J$24),0)</f>
        <v>0.21875</v>
      </c>
      <c r="U355" s="44">
        <f>IF(Mecze[[#This Row],[Role]]&lt;&gt;"BR",SUMPRODUCT(Mecze[[#This Row],[/PR:90]:[/BR:90]],Brudnopis!$E$25:$J$25),0)</f>
        <v>0.23437499999999997</v>
      </c>
      <c r="V355" s="44">
        <f>IF(Mecze[[#This Row],[Role]]&lt;&gt;"BR",SUMPRODUCT(Mecze[[#This Row],[/PR:90]:[/BR:90]],Brudnopis!$E$26:$J$26),0)</f>
        <v>0.21874999999999997</v>
      </c>
      <c r="W355" s="44">
        <f>IF(Mecze[[#This Row],[Role]]&lt;&gt;"BR",SUMPRODUCT(Mecze[[#This Row],[/PR:90]:[/BR:90]],Brudnopis!$E$27:$J$27),0)</f>
        <v>0.22395833333333331</v>
      </c>
      <c r="X355" s="44">
        <f>IF(Mecze[[#This Row],[Role]]&lt;&gt;"BR",SUMPRODUCT(Mecze[[#This Row],[/PR:90]:[/BR:90]],Brudnopis!$E$28:$J$28),0)</f>
        <v>0.19791666666666666</v>
      </c>
      <c r="Y355" s="35">
        <f>IF(Mecze[[#This Row],[Role]]="BR",Mecze[[#This Row],[/OB:90]]+Mecze[[#This Row],[/PC:90]],SUM(Mecze[[#This Row],[/PR:90]:[/BR:90]]))</f>
        <v>0.19791666666666666</v>
      </c>
      <c r="Z355" s="35">
        <f>IF(Mecze[[#This Row],[KC]]=0,SUM(Mecze[[#This Row],[/BRI]:[/NPI]]),SUM(Mecze[[#This Row],[/BRI]:[/NPI]])*0.6)</f>
        <v>1.09375</v>
      </c>
      <c r="AA355" s="10">
        <f>IFERROR(Mecze[[#This Row],[BR]]/Mecze[[#This Row],[ST]],0)</f>
        <v>0.4</v>
      </c>
      <c r="AB355">
        <f>ROUND(Mecze[[#This Row],[PD]]*Mecze[[#This Row],[%PC]],0)</f>
        <v>5</v>
      </c>
      <c r="AC355">
        <f>ROUND(Mecze[[#This Row],[OD]]*Mecze[[#This Row],[%OU]],0)</f>
        <v>2</v>
      </c>
      <c r="AD355" s="36" t="s">
        <v>67</v>
      </c>
      <c r="AE355" s="36">
        <v>21</v>
      </c>
      <c r="AF355" s="71">
        <v>10.32</v>
      </c>
      <c r="AG355" s="37">
        <v>0</v>
      </c>
      <c r="AH355" s="37">
        <v>0</v>
      </c>
      <c r="AI355" s="37">
        <v>96</v>
      </c>
      <c r="AJ355" s="37">
        <v>1</v>
      </c>
      <c r="AK355" s="37" t="str">
        <f>VLOOKUP(Mecze[[#This Row],[Match ID]],Meczusie[Mecz]:Meczusie[RodzajMeczu],2,FALSE)</f>
        <v>Towarzyski</v>
      </c>
    </row>
    <row r="356" spans="1:37" x14ac:dyDescent="0.25">
      <c r="A356" s="76">
        <v>45</v>
      </c>
      <c r="B356" s="3" t="s">
        <v>394</v>
      </c>
      <c r="C356" s="2" t="s">
        <v>160</v>
      </c>
      <c r="D356" s="1">
        <v>0</v>
      </c>
      <c r="E356" s="1">
        <v>0</v>
      </c>
      <c r="F356" s="1">
        <v>0</v>
      </c>
      <c r="G356" s="1">
        <v>11</v>
      </c>
      <c r="H356" s="4">
        <v>0.64</v>
      </c>
      <c r="I356" s="1">
        <v>6</v>
      </c>
      <c r="J356" s="4">
        <v>0.5</v>
      </c>
      <c r="K356" s="1">
        <v>0</v>
      </c>
      <c r="L356" s="1">
        <v>6</v>
      </c>
      <c r="M356" s="32">
        <f>IF(Mecze[[#This Row],[PR]]=0,0,Mecze[[#This Row],[PR]]/Mecze[[#This Row],[CZAS]])</f>
        <v>6.25E-2</v>
      </c>
      <c r="N356" s="32">
        <f>IF(Mecze[[#This Row],[OU]]=0,0,Mecze[[#This Row],[OU]]/Mecze[[#This Row],[CZAS]])</f>
        <v>3.125E-2</v>
      </c>
      <c r="O356" s="32">
        <f>IF(Mecze[[#This Row],[PC]]=0,0,Mecze[[#This Row],[PC]]/Mecze[[#This Row],[CZAS]])</f>
        <v>7.2916666666666671E-2</v>
      </c>
      <c r="P356" s="32">
        <f>IF(Mecze[[#This Row],[SC]]=0,0,Mecze[[#This Row],[SC]]/Mecze[[#This Row],[CZAS]])</f>
        <v>0</v>
      </c>
      <c r="Q356" s="32">
        <f>IF(Mecze[[#This Row],[OB]]=0,0,Mecze[[#This Row],[OB]]/Mecze[[#This Row],[CZAS]])</f>
        <v>0</v>
      </c>
      <c r="R356" s="32">
        <f>IF(Mecze[[#This Row],[BR]]=0,0,Mecze[[#This Row],[BR]]/Mecze[[#This Row],[CZAS]])</f>
        <v>0</v>
      </c>
      <c r="S356" s="44">
        <f>IF(Mecze[[#This Row],[Role]]="BR",SUMPRODUCT(Mecze[[#This Row],[/PR:90]:[/BR:90]],Brudnopis!$E$23:$J$23),0)</f>
        <v>0</v>
      </c>
      <c r="T356" s="44">
        <f>IF(Mecze[[#This Row],[Role]]&lt;&gt;"BR",SUMPRODUCT(Mecze[[#This Row],[/PR:90]:[/BR:90]],Brudnopis!$E$24:$J$24),0)</f>
        <v>0.18229166666666669</v>
      </c>
      <c r="U356" s="44">
        <f>IF(Mecze[[#This Row],[Role]]&lt;&gt;"BR",SUMPRODUCT(Mecze[[#This Row],[/PR:90]:[/BR:90]],Brudnopis!$E$25:$J$25),0)</f>
        <v>0.203125</v>
      </c>
      <c r="V356" s="44">
        <f>IF(Mecze[[#This Row],[Role]]&lt;&gt;"BR",SUMPRODUCT(Mecze[[#This Row],[/PR:90]:[/BR:90]],Brudnopis!$E$26:$J$26),0)</f>
        <v>0.16666666666666669</v>
      </c>
      <c r="W356" s="44">
        <f>IF(Mecze[[#This Row],[Role]]&lt;&gt;"BR",SUMPRODUCT(Mecze[[#This Row],[/PR:90]:[/BR:90]],Brudnopis!$E$27:$J$27),0)</f>
        <v>0.1796875</v>
      </c>
      <c r="X356" s="44">
        <f>IF(Mecze[[#This Row],[Role]]&lt;&gt;"BR",SUMPRODUCT(Mecze[[#This Row],[/PR:90]:[/BR:90]],Brudnopis!$E$28:$J$28),0)</f>
        <v>7.2916666666666671E-2</v>
      </c>
      <c r="Y356" s="35">
        <f>IF(Mecze[[#This Row],[Role]]="BR",Mecze[[#This Row],[/OB:90]]+Mecze[[#This Row],[/PC:90]],SUM(Mecze[[#This Row],[/PR:90]:[/BR:90]]))</f>
        <v>0.16666666666666669</v>
      </c>
      <c r="Z356" s="35">
        <f>IF(Mecze[[#This Row],[KC]]=0,SUM(Mecze[[#This Row],[/BRI]:[/NPI]]),SUM(Mecze[[#This Row],[/BRI]:[/NPI]])*0.6)</f>
        <v>0.8046875</v>
      </c>
      <c r="AA356" s="10">
        <f>IFERROR(Mecze[[#This Row],[BR]]/Mecze[[#This Row],[ST]],0)</f>
        <v>0</v>
      </c>
      <c r="AB356">
        <f>ROUND(Mecze[[#This Row],[PD]]*Mecze[[#This Row],[%PC]],0)</f>
        <v>7</v>
      </c>
      <c r="AC356">
        <f>ROUND(Mecze[[#This Row],[OD]]*Mecze[[#This Row],[%OU]],0)</f>
        <v>3</v>
      </c>
      <c r="AD356" s="36" t="s">
        <v>44</v>
      </c>
      <c r="AE356" s="36">
        <v>21</v>
      </c>
      <c r="AF356" s="71">
        <v>6.39</v>
      </c>
      <c r="AG356" s="37">
        <v>0</v>
      </c>
      <c r="AH356" s="37">
        <v>0</v>
      </c>
      <c r="AI356" s="37">
        <v>96</v>
      </c>
      <c r="AJ356" s="37">
        <v>1</v>
      </c>
      <c r="AK356" s="37" t="str">
        <f>VLOOKUP(Mecze[[#This Row],[Match ID]],Meczusie[Mecz]:Meczusie[RodzajMeczu],2,FALSE)</f>
        <v>Towarzyski</v>
      </c>
    </row>
    <row r="357" spans="1:37" x14ac:dyDescent="0.25">
      <c r="A357" s="76">
        <v>29</v>
      </c>
      <c r="B357" s="3" t="s">
        <v>367</v>
      </c>
      <c r="C357" s="2" t="s">
        <v>160</v>
      </c>
      <c r="D357" s="1">
        <v>0</v>
      </c>
      <c r="E357" s="1">
        <v>2</v>
      </c>
      <c r="F357" s="1">
        <v>2</v>
      </c>
      <c r="G357" s="1">
        <v>7</v>
      </c>
      <c r="H357" s="4">
        <v>0.28999999999999998</v>
      </c>
      <c r="I357" s="1">
        <v>1</v>
      </c>
      <c r="J357" s="4">
        <v>1</v>
      </c>
      <c r="K357" s="1">
        <v>0</v>
      </c>
      <c r="L357" s="1">
        <v>2</v>
      </c>
      <c r="M357" s="32">
        <f>IF(Mecze[[#This Row],[PR]]=0,0,Mecze[[#This Row],[PR]]/Mecze[[#This Row],[CZAS]])</f>
        <v>2.0833333333333332E-2</v>
      </c>
      <c r="N357" s="32">
        <f>IF(Mecze[[#This Row],[OU]]=0,0,Mecze[[#This Row],[OU]]/Mecze[[#This Row],[CZAS]])</f>
        <v>1.0416666666666666E-2</v>
      </c>
      <c r="O357" s="32">
        <f>IF(Mecze[[#This Row],[PC]]=0,0,Mecze[[#This Row],[PC]]/Mecze[[#This Row],[CZAS]])</f>
        <v>2.0833333333333332E-2</v>
      </c>
      <c r="P357" s="32">
        <f>IF(Mecze[[#This Row],[SC]]=0,0,Mecze[[#This Row],[SC]]/Mecze[[#This Row],[CZAS]])</f>
        <v>2.0833333333333332E-2</v>
      </c>
      <c r="Q357" s="32">
        <f>IF(Mecze[[#This Row],[OB]]=0,0,Mecze[[#This Row],[OB]]/Mecze[[#This Row],[CZAS]])</f>
        <v>0</v>
      </c>
      <c r="R357" s="32">
        <f>IF(Mecze[[#This Row],[BR]]=0,0,Mecze[[#This Row],[BR]]/Mecze[[#This Row],[CZAS]])</f>
        <v>0</v>
      </c>
      <c r="S357" s="44">
        <f>IF(Mecze[[#This Row],[Role]]="BR",SUMPRODUCT(Mecze[[#This Row],[/PR:90]:[/BR:90]],Brudnopis!$E$23:$J$23),0)</f>
        <v>0</v>
      </c>
      <c r="T357" s="44">
        <f>IF(Mecze[[#This Row],[Role]]&lt;&gt;"BR",SUMPRODUCT(Mecze[[#This Row],[/PR:90]:[/BR:90]],Brudnopis!$E$24:$J$24),0)</f>
        <v>7.8124999999999986E-2</v>
      </c>
      <c r="U357" s="44">
        <f>IF(Mecze[[#This Row],[Role]]&lt;&gt;"BR",SUMPRODUCT(Mecze[[#This Row],[/PR:90]:[/BR:90]],Brudnopis!$E$25:$J$25),0)</f>
        <v>8.3333333333333329E-2</v>
      </c>
      <c r="V357" s="44">
        <f>IF(Mecze[[#This Row],[Role]]&lt;&gt;"BR",SUMPRODUCT(Mecze[[#This Row],[/PR:90]:[/BR:90]],Brudnopis!$E$26:$J$26),0)</f>
        <v>7.2916666666666657E-2</v>
      </c>
      <c r="W357" s="44">
        <f>IF(Mecze[[#This Row],[Role]]&lt;&gt;"BR",SUMPRODUCT(Mecze[[#This Row],[/PR:90]:[/BR:90]],Brudnopis!$E$27:$J$27),0)</f>
        <v>7.5520833333333329E-2</v>
      </c>
      <c r="X357" s="44">
        <f>IF(Mecze[[#This Row],[Role]]&lt;&gt;"BR",SUMPRODUCT(Mecze[[#This Row],[/PR:90]:[/BR:90]],Brudnopis!$E$28:$J$28),0)</f>
        <v>6.25E-2</v>
      </c>
      <c r="Y357" s="35">
        <f>IF(Mecze[[#This Row],[Role]]="BR",Mecze[[#This Row],[/OB:90]]+Mecze[[#This Row],[/PC:90]],SUM(Mecze[[#This Row],[/PR:90]:[/BR:90]]))</f>
        <v>7.2916666666666657E-2</v>
      </c>
      <c r="Z357" s="35">
        <f>IF(Mecze[[#This Row],[KC]]=0,SUM(Mecze[[#This Row],[/BRI]:[/NPI]]),SUM(Mecze[[#This Row],[/BRI]:[/NPI]])*0.6)</f>
        <v>0.37239583333333331</v>
      </c>
      <c r="AA357" s="10">
        <f>IFERROR(Mecze[[#This Row],[BR]]/Mecze[[#This Row],[ST]],0)</f>
        <v>0</v>
      </c>
      <c r="AB357">
        <f>ROUND(Mecze[[#This Row],[PD]]*Mecze[[#This Row],[%PC]],0)</f>
        <v>2</v>
      </c>
      <c r="AC357">
        <f>ROUND(Mecze[[#This Row],[OD]]*Mecze[[#This Row],[%OU]],0)</f>
        <v>1</v>
      </c>
      <c r="AD357" s="36" t="s">
        <v>44</v>
      </c>
      <c r="AE357" s="36">
        <v>21</v>
      </c>
      <c r="AF357" s="71">
        <v>3.69</v>
      </c>
      <c r="AG357" s="37">
        <v>1</v>
      </c>
      <c r="AH357" s="37">
        <v>0</v>
      </c>
      <c r="AI357" s="37">
        <v>96</v>
      </c>
      <c r="AJ357" s="37">
        <v>1</v>
      </c>
      <c r="AK357" s="37" t="str">
        <f>VLOOKUP(Mecze[[#This Row],[Match ID]],Meczusie[Mecz]:Meczusie[RodzajMeczu],2,FALSE)</f>
        <v>Towarzyski</v>
      </c>
    </row>
    <row r="358" spans="1:37" x14ac:dyDescent="0.25">
      <c r="A358" s="76">
        <v>46</v>
      </c>
      <c r="B358" s="3" t="s">
        <v>395</v>
      </c>
      <c r="C358" s="2" t="s">
        <v>165</v>
      </c>
      <c r="D358" s="1">
        <v>0</v>
      </c>
      <c r="E358" s="1">
        <v>3</v>
      </c>
      <c r="F358" s="1">
        <v>3</v>
      </c>
      <c r="G358" s="1">
        <v>11</v>
      </c>
      <c r="H358" s="4">
        <v>0.73</v>
      </c>
      <c r="I358" s="1">
        <v>5</v>
      </c>
      <c r="J358" s="4">
        <v>0</v>
      </c>
      <c r="K358" s="1">
        <v>0</v>
      </c>
      <c r="L358" s="1">
        <v>2</v>
      </c>
      <c r="M358" s="32">
        <f>IF(Mecze[[#This Row],[PR]]=0,0,Mecze[[#This Row],[PR]]/Mecze[[#This Row],[CZAS]])</f>
        <v>2.0833333333333332E-2</v>
      </c>
      <c r="N358" s="32">
        <f>IF(Mecze[[#This Row],[OU]]=0,0,Mecze[[#This Row],[OU]]/Mecze[[#This Row],[CZAS]])</f>
        <v>0</v>
      </c>
      <c r="O358" s="32">
        <f>IF(Mecze[[#This Row],[PC]]=0,0,Mecze[[#This Row],[PC]]/Mecze[[#This Row],[CZAS]])</f>
        <v>8.3333333333333329E-2</v>
      </c>
      <c r="P358" s="32">
        <f>IF(Mecze[[#This Row],[SC]]=0,0,Mecze[[#This Row],[SC]]/Mecze[[#This Row],[CZAS]])</f>
        <v>3.125E-2</v>
      </c>
      <c r="Q358" s="32">
        <f>IF(Mecze[[#This Row],[OB]]=0,0,Mecze[[#This Row],[OB]]/Mecze[[#This Row],[CZAS]])</f>
        <v>0</v>
      </c>
      <c r="R358" s="32">
        <f>IF(Mecze[[#This Row],[BR]]=0,0,Mecze[[#This Row],[BR]]/Mecze[[#This Row],[CZAS]])</f>
        <v>0</v>
      </c>
      <c r="S358" s="44">
        <f>IF(Mecze[[#This Row],[Role]]="BR",SUMPRODUCT(Mecze[[#This Row],[/PR:90]:[/BR:90]],Brudnopis!$E$23:$J$23),0)</f>
        <v>0</v>
      </c>
      <c r="T358" s="44">
        <f>IF(Mecze[[#This Row],[Role]]&lt;&gt;"BR",SUMPRODUCT(Mecze[[#This Row],[/PR:90]:[/BR:90]],Brudnopis!$E$24:$J$24),0)</f>
        <v>0.13541666666666666</v>
      </c>
      <c r="U358" s="44">
        <f>IF(Mecze[[#This Row],[Role]]&lt;&gt;"BR",SUMPRODUCT(Mecze[[#This Row],[/PR:90]:[/BR:90]],Brudnopis!$E$25:$J$25),0)</f>
        <v>0.17708333333333334</v>
      </c>
      <c r="V358" s="44">
        <f>IF(Mecze[[#This Row],[Role]]&lt;&gt;"BR",SUMPRODUCT(Mecze[[#This Row],[/PR:90]:[/BR:90]],Brudnopis!$E$26:$J$26),0)</f>
        <v>0.13541666666666666</v>
      </c>
      <c r="W358" s="44">
        <f>IF(Mecze[[#This Row],[Role]]&lt;&gt;"BR",SUMPRODUCT(Mecze[[#This Row],[/PR:90]:[/BR:90]],Brudnopis!$E$27:$J$27),0)</f>
        <v>0.171875</v>
      </c>
      <c r="X358" s="44">
        <f>IF(Mecze[[#This Row],[Role]]&lt;&gt;"BR",SUMPRODUCT(Mecze[[#This Row],[/PR:90]:[/BR:90]],Brudnopis!$E$28:$J$28),0)</f>
        <v>0.14583333333333331</v>
      </c>
      <c r="Y358" s="35">
        <f>IF(Mecze[[#This Row],[Role]]="BR",Mecze[[#This Row],[/OB:90]]+Mecze[[#This Row],[/PC:90]],SUM(Mecze[[#This Row],[/PR:90]:[/BR:90]]))</f>
        <v>0.13541666666666666</v>
      </c>
      <c r="Z358" s="35">
        <f>IF(Mecze[[#This Row],[KC]]=0,SUM(Mecze[[#This Row],[/BRI]:[/NPI]]),SUM(Mecze[[#This Row],[/BRI]:[/NPI]])*0.6)</f>
        <v>0.765625</v>
      </c>
      <c r="AA358" s="10">
        <f>IFERROR(Mecze[[#This Row],[BR]]/Mecze[[#This Row],[ST]],0)</f>
        <v>0</v>
      </c>
      <c r="AB358">
        <f>ROUND(Mecze[[#This Row],[PD]]*Mecze[[#This Row],[%PC]],0)</f>
        <v>8</v>
      </c>
      <c r="AC358">
        <f>ROUND(Mecze[[#This Row],[OD]]*Mecze[[#This Row],[%OU]],0)</f>
        <v>0</v>
      </c>
      <c r="AD358" s="36" t="s">
        <v>46</v>
      </c>
      <c r="AE358" s="36">
        <v>21</v>
      </c>
      <c r="AF358" s="71">
        <v>5.92</v>
      </c>
      <c r="AG358" s="37">
        <v>0</v>
      </c>
      <c r="AH358" s="37">
        <v>0</v>
      </c>
      <c r="AI358" s="37">
        <v>96</v>
      </c>
      <c r="AJ358" s="37">
        <v>1</v>
      </c>
      <c r="AK358" s="37" t="str">
        <f>VLOOKUP(Mecze[[#This Row],[Match ID]],Meczusie[Mecz]:Meczusie[RodzajMeczu],2,FALSE)</f>
        <v>Towarzyski</v>
      </c>
    </row>
    <row r="359" spans="1:37" x14ac:dyDescent="0.25">
      <c r="A359" s="76">
        <v>26</v>
      </c>
      <c r="B359" s="3" t="s">
        <v>368</v>
      </c>
      <c r="C359" s="2" t="s">
        <v>165</v>
      </c>
      <c r="D359" s="1">
        <v>2</v>
      </c>
      <c r="E359" s="1">
        <v>7</v>
      </c>
      <c r="F359" s="1">
        <v>6</v>
      </c>
      <c r="G359" s="1">
        <v>8</v>
      </c>
      <c r="H359" s="4">
        <v>0.5</v>
      </c>
      <c r="I359" s="1">
        <v>1</v>
      </c>
      <c r="J359" s="4">
        <v>0</v>
      </c>
      <c r="K359" s="1">
        <v>0</v>
      </c>
      <c r="L359" s="1">
        <v>1</v>
      </c>
      <c r="M359" s="32">
        <f>IF(Mecze[[#This Row],[PR]]=0,0,Mecze[[#This Row],[PR]]/Mecze[[#This Row],[CZAS]])</f>
        <v>1.0416666666666666E-2</v>
      </c>
      <c r="N359" s="32">
        <f>IF(Mecze[[#This Row],[OU]]=0,0,Mecze[[#This Row],[OU]]/Mecze[[#This Row],[CZAS]])</f>
        <v>0</v>
      </c>
      <c r="O359" s="32">
        <f>IF(Mecze[[#This Row],[PC]]=0,0,Mecze[[#This Row],[PC]]/Mecze[[#This Row],[CZAS]])</f>
        <v>4.1666666666666664E-2</v>
      </c>
      <c r="P359" s="32">
        <f>IF(Mecze[[#This Row],[SC]]=0,0,Mecze[[#This Row],[SC]]/Mecze[[#This Row],[CZAS]])</f>
        <v>6.25E-2</v>
      </c>
      <c r="Q359" s="32">
        <f>IF(Mecze[[#This Row],[OB]]=0,0,Mecze[[#This Row],[OB]]/Mecze[[#This Row],[CZAS]])</f>
        <v>0</v>
      </c>
      <c r="R359" s="32">
        <f>IF(Mecze[[#This Row],[BR]]=0,0,Mecze[[#This Row],[BR]]/Mecze[[#This Row],[CZAS]])</f>
        <v>2.0833333333333332E-2</v>
      </c>
      <c r="S359" s="44">
        <f>IF(Mecze[[#This Row],[Role]]="BR",SUMPRODUCT(Mecze[[#This Row],[/PR:90]:[/BR:90]],Brudnopis!$E$23:$J$23),0)</f>
        <v>0</v>
      </c>
      <c r="T359" s="44">
        <f>IF(Mecze[[#This Row],[Role]]&lt;&gt;"BR",SUMPRODUCT(Mecze[[#This Row],[/PR:90]:[/BR:90]],Brudnopis!$E$24:$J$24),0)</f>
        <v>0.14583333333333331</v>
      </c>
      <c r="U359" s="44">
        <f>IF(Mecze[[#This Row],[Role]]&lt;&gt;"BR",SUMPRODUCT(Mecze[[#This Row],[/PR:90]:[/BR:90]],Brudnopis!$E$25:$J$25),0)</f>
        <v>0.16666666666666669</v>
      </c>
      <c r="V359" s="44">
        <f>IF(Mecze[[#This Row],[Role]]&lt;&gt;"BR",SUMPRODUCT(Mecze[[#This Row],[/PR:90]:[/BR:90]],Brudnopis!$E$26:$J$26),0)</f>
        <v>0.15625</v>
      </c>
      <c r="W359" s="44">
        <f>IF(Mecze[[#This Row],[Role]]&lt;&gt;"BR",SUMPRODUCT(Mecze[[#This Row],[/PR:90]:[/BR:90]],Brudnopis!$E$27:$J$27),0)</f>
        <v>0.17447916666666666</v>
      </c>
      <c r="X359" s="44">
        <f>IF(Mecze[[#This Row],[Role]]&lt;&gt;"BR",SUMPRODUCT(Mecze[[#This Row],[/PR:90]:[/BR:90]],Brudnopis!$E$28:$J$28),0)</f>
        <v>0.22916666666666666</v>
      </c>
      <c r="Y359" s="35">
        <f>IF(Mecze[[#This Row],[Role]]="BR",Mecze[[#This Row],[/OB:90]]+Mecze[[#This Row],[/PC:90]],SUM(Mecze[[#This Row],[/PR:90]:[/BR:90]]))</f>
        <v>0.13541666666666666</v>
      </c>
      <c r="Z359" s="35">
        <f>IF(Mecze[[#This Row],[KC]]=0,SUM(Mecze[[#This Row],[/BRI]:[/NPI]]),SUM(Mecze[[#This Row],[/BRI]:[/NPI]])*0.6)</f>
        <v>0.87239583333333326</v>
      </c>
      <c r="AA359" s="10">
        <f>IFERROR(Mecze[[#This Row],[BR]]/Mecze[[#This Row],[ST]],0)</f>
        <v>0.2857142857142857</v>
      </c>
      <c r="AB359">
        <f>ROUND(Mecze[[#This Row],[PD]]*Mecze[[#This Row],[%PC]],0)</f>
        <v>4</v>
      </c>
      <c r="AC359">
        <f>ROUND(Mecze[[#This Row],[OD]]*Mecze[[#This Row],[%OU]],0)</f>
        <v>0</v>
      </c>
      <c r="AD359" s="36" t="s">
        <v>46</v>
      </c>
      <c r="AE359" s="36">
        <v>21</v>
      </c>
      <c r="AF359" s="71">
        <v>11.18</v>
      </c>
      <c r="AG359" s="37">
        <v>0</v>
      </c>
      <c r="AH359" s="37">
        <v>0</v>
      </c>
      <c r="AI359" s="37">
        <v>96</v>
      </c>
      <c r="AJ359" s="37">
        <v>1</v>
      </c>
      <c r="AK359" s="37" t="str">
        <f>VLOOKUP(Mecze[[#This Row],[Match ID]],Meczusie[Mecz]:Meczusie[RodzajMeczu],2,FALSE)</f>
        <v>Towarzyski</v>
      </c>
    </row>
    <row r="360" spans="1:37" x14ac:dyDescent="0.25">
      <c r="A360" s="76">
        <v>49</v>
      </c>
      <c r="B360" s="3" t="s">
        <v>358</v>
      </c>
      <c r="C360" s="2" t="s">
        <v>155</v>
      </c>
      <c r="D360" s="1">
        <v>0</v>
      </c>
      <c r="E360" s="1">
        <v>0</v>
      </c>
      <c r="F360" s="1">
        <v>0</v>
      </c>
      <c r="G360" s="1">
        <v>5</v>
      </c>
      <c r="H360" s="4">
        <v>0.2</v>
      </c>
      <c r="I360" s="1">
        <v>0</v>
      </c>
      <c r="J360" s="4"/>
      <c r="K360" s="1">
        <v>2</v>
      </c>
      <c r="L360" s="1">
        <v>0</v>
      </c>
      <c r="M360" s="32">
        <f>IF(Mecze[[#This Row],[PR]]=0,0,Mecze[[#This Row],[PR]]/Mecze[[#This Row],[CZAS]])</f>
        <v>0</v>
      </c>
      <c r="N360" s="32">
        <f>IF(Mecze[[#This Row],[OU]]=0,0,Mecze[[#This Row],[OU]]/Mecze[[#This Row],[CZAS]])</f>
        <v>0</v>
      </c>
      <c r="O360" s="32">
        <f>IF(Mecze[[#This Row],[PC]]=0,0,Mecze[[#This Row],[PC]]/Mecze[[#This Row],[CZAS]])</f>
        <v>1.0309278350515464E-2</v>
      </c>
      <c r="P360" s="32">
        <f>IF(Mecze[[#This Row],[SC]]=0,0,Mecze[[#This Row],[SC]]/Mecze[[#This Row],[CZAS]])</f>
        <v>0</v>
      </c>
      <c r="Q360" s="32">
        <f>IF(Mecze[[#This Row],[OB]]=0,0,Mecze[[#This Row],[OB]]/Mecze[[#This Row],[CZAS]])</f>
        <v>2.0618556701030927E-2</v>
      </c>
      <c r="R360" s="32">
        <f>IF(Mecze[[#This Row],[BR]]=0,0,Mecze[[#This Row],[BR]]/Mecze[[#This Row],[CZAS]])</f>
        <v>0</v>
      </c>
      <c r="S360" s="44">
        <f>IF(Mecze[[#This Row],[Role]]="BR",SUMPRODUCT(Mecze[[#This Row],[/PR:90]:[/BR:90]],Brudnopis!$E$23:$J$23),0)</f>
        <v>9.2783505154639179E-2</v>
      </c>
      <c r="T360" s="44">
        <f>IF(Mecze[[#This Row],[Role]]&lt;&gt;"BR",SUMPRODUCT(Mecze[[#This Row],[/PR:90]:[/BR:90]],Brudnopis!$E$24:$J$24),0)</f>
        <v>0</v>
      </c>
      <c r="U360" s="44">
        <f>IF(Mecze[[#This Row],[Role]]&lt;&gt;"BR",SUMPRODUCT(Mecze[[#This Row],[/PR:90]:[/BR:90]],Brudnopis!$E$25:$J$25),0)</f>
        <v>0</v>
      </c>
      <c r="V360" s="44">
        <f>IF(Mecze[[#This Row],[Role]]&lt;&gt;"BR",SUMPRODUCT(Mecze[[#This Row],[/PR:90]:[/BR:90]],Brudnopis!$E$26:$J$26),0)</f>
        <v>0</v>
      </c>
      <c r="W360" s="44">
        <f>IF(Mecze[[#This Row],[Role]]&lt;&gt;"BR",SUMPRODUCT(Mecze[[#This Row],[/PR:90]:[/BR:90]],Brudnopis!$E$27:$J$27),0)</f>
        <v>0</v>
      </c>
      <c r="X360" s="44">
        <f>IF(Mecze[[#This Row],[Role]]&lt;&gt;"BR",SUMPRODUCT(Mecze[[#This Row],[/PR:90]:[/BR:90]],Brudnopis!$E$28:$J$28),0)</f>
        <v>0</v>
      </c>
      <c r="Y360" s="35">
        <f>IF(Mecze[[#This Row],[Role]]="BR",Mecze[[#This Row],[/OB:90]]+Mecze[[#This Row],[/PC:90]],SUM(Mecze[[#This Row],[/PR:90]:[/BR:90]]))</f>
        <v>3.0927835051546393E-2</v>
      </c>
      <c r="Z360" s="35">
        <f>IF(Mecze[[#This Row],[KC]]=0,SUM(Mecze[[#This Row],[/BRI]:[/NPI]]),SUM(Mecze[[#This Row],[/BRI]:[/NPI]])*0.6)</f>
        <v>9.2783505154639179E-2</v>
      </c>
      <c r="AA360" s="10">
        <f>IFERROR(Mecze[[#This Row],[BR]]/Mecze[[#This Row],[ST]],0)</f>
        <v>0</v>
      </c>
      <c r="AB360">
        <f>ROUND(Mecze[[#This Row],[PD]]*Mecze[[#This Row],[%PC]],0)</f>
        <v>1</v>
      </c>
      <c r="AC360">
        <f>ROUND(Mecze[[#This Row],[OD]]*Mecze[[#This Row],[%OU]],0)</f>
        <v>0</v>
      </c>
      <c r="AD360" s="36" t="s">
        <v>40</v>
      </c>
      <c r="AE360" s="36">
        <v>22</v>
      </c>
      <c r="AF360" s="71">
        <v>7.74</v>
      </c>
      <c r="AG360" s="37">
        <v>0</v>
      </c>
      <c r="AH360" s="37">
        <v>0</v>
      </c>
      <c r="AI360" s="37">
        <v>97</v>
      </c>
      <c r="AJ360" s="37">
        <v>1</v>
      </c>
      <c r="AK360" s="37" t="str">
        <f>VLOOKUP(Mecze[[#This Row],[Match ID]],Meczusie[Mecz]:Meczusie[RodzajMeczu],2,FALSE)</f>
        <v>Towarzyski</v>
      </c>
    </row>
    <row r="361" spans="1:37" x14ac:dyDescent="0.25">
      <c r="A361" s="76">
        <v>38</v>
      </c>
      <c r="B361" s="3" t="s">
        <v>359</v>
      </c>
      <c r="C361" s="2" t="s">
        <v>157</v>
      </c>
      <c r="D361" s="1">
        <v>0</v>
      </c>
      <c r="E361" s="1">
        <v>0</v>
      </c>
      <c r="F361" s="1">
        <v>0</v>
      </c>
      <c r="G361" s="1">
        <v>5</v>
      </c>
      <c r="H361" s="4">
        <v>0.2</v>
      </c>
      <c r="I361" s="1">
        <v>2</v>
      </c>
      <c r="J361" s="4">
        <v>1</v>
      </c>
      <c r="K361" s="1">
        <v>0</v>
      </c>
      <c r="L361" s="1">
        <v>10</v>
      </c>
      <c r="M361" s="32">
        <f>IF(Mecze[[#This Row],[PR]]=0,0,Mecze[[#This Row],[PR]]/Mecze[[#This Row],[CZAS]])</f>
        <v>0.10309278350515463</v>
      </c>
      <c r="N361" s="32">
        <f>IF(Mecze[[#This Row],[OU]]=0,0,Mecze[[#This Row],[OU]]/Mecze[[#This Row],[CZAS]])</f>
        <v>2.0618556701030927E-2</v>
      </c>
      <c r="O361" s="32">
        <f>IF(Mecze[[#This Row],[PC]]=0,0,Mecze[[#This Row],[PC]]/Mecze[[#This Row],[CZAS]])</f>
        <v>1.0309278350515464E-2</v>
      </c>
      <c r="P361" s="32">
        <f>IF(Mecze[[#This Row],[SC]]=0,0,Mecze[[#This Row],[SC]]/Mecze[[#This Row],[CZAS]])</f>
        <v>0</v>
      </c>
      <c r="Q361" s="32">
        <f>IF(Mecze[[#This Row],[OB]]=0,0,Mecze[[#This Row],[OB]]/Mecze[[#This Row],[CZAS]])</f>
        <v>0</v>
      </c>
      <c r="R361" s="32">
        <f>IF(Mecze[[#This Row],[BR]]=0,0,Mecze[[#This Row],[BR]]/Mecze[[#This Row],[CZAS]])</f>
        <v>0</v>
      </c>
      <c r="S361" s="44">
        <f>IF(Mecze[[#This Row],[Role]]="BR",SUMPRODUCT(Mecze[[#This Row],[/PR:90]:[/BR:90]],Brudnopis!$E$23:$J$23),0)</f>
        <v>0</v>
      </c>
      <c r="T361" s="44">
        <f>IF(Mecze[[#This Row],[Role]]&lt;&gt;"BR",SUMPRODUCT(Mecze[[#This Row],[/PR:90]:[/BR:90]],Brudnopis!$E$24:$J$24),0)</f>
        <v>0.14432989690721648</v>
      </c>
      <c r="U361" s="44">
        <f>IF(Mecze[[#This Row],[Role]]&lt;&gt;"BR",SUMPRODUCT(Mecze[[#This Row],[/PR:90]:[/BR:90]],Brudnopis!$E$25:$J$25),0)</f>
        <v>0.13917525773195877</v>
      </c>
      <c r="V361" s="44">
        <f>IF(Mecze[[#This Row],[Role]]&lt;&gt;"BR",SUMPRODUCT(Mecze[[#This Row],[/PR:90]:[/BR:90]],Brudnopis!$E$26:$J$26),0)</f>
        <v>0.13402061855670103</v>
      </c>
      <c r="W361" s="44">
        <f>IF(Mecze[[#This Row],[Role]]&lt;&gt;"BR",SUMPRODUCT(Mecze[[#This Row],[/PR:90]:[/BR:90]],Brudnopis!$E$27:$J$27),0)</f>
        <v>0.10824742268041238</v>
      </c>
      <c r="X361" s="44">
        <f>IF(Mecze[[#This Row],[Role]]&lt;&gt;"BR",SUMPRODUCT(Mecze[[#This Row],[/PR:90]:[/BR:90]],Brudnopis!$E$28:$J$28),0)</f>
        <v>1.0309278350515464E-2</v>
      </c>
      <c r="Y361" s="35">
        <f>IF(Mecze[[#This Row],[Role]]="BR",Mecze[[#This Row],[/OB:90]]+Mecze[[#This Row],[/PC:90]],SUM(Mecze[[#This Row],[/PR:90]:[/BR:90]]))</f>
        <v>0.13402061855670103</v>
      </c>
      <c r="Z361" s="35">
        <f>IF(Mecze[[#This Row],[KC]]=0,SUM(Mecze[[#This Row],[/BRI]:[/NPI]]),SUM(Mecze[[#This Row],[/BRI]:[/NPI]])*0.6)</f>
        <v>0.536082474226804</v>
      </c>
      <c r="AA361" s="10">
        <f>IFERROR(Mecze[[#This Row],[BR]]/Mecze[[#This Row],[ST]],0)</f>
        <v>0</v>
      </c>
      <c r="AB361">
        <f>ROUND(Mecze[[#This Row],[PD]]*Mecze[[#This Row],[%PC]],0)</f>
        <v>1</v>
      </c>
      <c r="AC361">
        <f>ROUND(Mecze[[#This Row],[OD]]*Mecze[[#This Row],[%OU]],0)</f>
        <v>2</v>
      </c>
      <c r="AD361" s="36" t="s">
        <v>47</v>
      </c>
      <c r="AE361" s="36">
        <v>22</v>
      </c>
      <c r="AF361" s="71">
        <v>9.14</v>
      </c>
      <c r="AG361" s="37">
        <v>0</v>
      </c>
      <c r="AH361" s="37">
        <v>0</v>
      </c>
      <c r="AI361" s="37">
        <v>97</v>
      </c>
      <c r="AJ361" s="37">
        <v>1</v>
      </c>
      <c r="AK361" s="37" t="str">
        <f>VLOOKUP(Mecze[[#This Row],[Match ID]],Meczusie[Mecz]:Meczusie[RodzajMeczu],2,FALSE)</f>
        <v>Towarzyski</v>
      </c>
    </row>
    <row r="362" spans="1:37" x14ac:dyDescent="0.25">
      <c r="A362" s="76">
        <v>4</v>
      </c>
      <c r="B362" s="3" t="s">
        <v>360</v>
      </c>
      <c r="C362" s="2" t="s">
        <v>157</v>
      </c>
      <c r="D362" s="1">
        <v>0</v>
      </c>
      <c r="E362" s="1">
        <v>0</v>
      </c>
      <c r="F362" s="1">
        <v>0</v>
      </c>
      <c r="G362" s="1">
        <v>13</v>
      </c>
      <c r="H362" s="4">
        <v>0.62</v>
      </c>
      <c r="I362" s="1">
        <v>3</v>
      </c>
      <c r="J362" s="4">
        <v>0.67</v>
      </c>
      <c r="K362" s="1">
        <v>0</v>
      </c>
      <c r="L362" s="1">
        <v>16</v>
      </c>
      <c r="M362" s="32">
        <f>IF(Mecze[[#This Row],[PR]]=0,0,Mecze[[#This Row],[PR]]/Mecze[[#This Row],[CZAS]])</f>
        <v>0.16494845360824742</v>
      </c>
      <c r="N362" s="32">
        <f>IF(Mecze[[#This Row],[OU]]=0,0,Mecze[[#This Row],[OU]]/Mecze[[#This Row],[CZAS]])</f>
        <v>2.0618556701030927E-2</v>
      </c>
      <c r="O362" s="32">
        <f>IF(Mecze[[#This Row],[PC]]=0,0,Mecze[[#This Row],[PC]]/Mecze[[#This Row],[CZAS]])</f>
        <v>8.247422680412371E-2</v>
      </c>
      <c r="P362" s="32">
        <f>IF(Mecze[[#This Row],[SC]]=0,0,Mecze[[#This Row],[SC]]/Mecze[[#This Row],[CZAS]])</f>
        <v>0</v>
      </c>
      <c r="Q362" s="32">
        <f>IF(Mecze[[#This Row],[OB]]=0,0,Mecze[[#This Row],[OB]]/Mecze[[#This Row],[CZAS]])</f>
        <v>0</v>
      </c>
      <c r="R362" s="32">
        <f>IF(Mecze[[#This Row],[BR]]=0,0,Mecze[[#This Row],[BR]]/Mecze[[#This Row],[CZAS]])</f>
        <v>0</v>
      </c>
      <c r="S362" s="44">
        <f>IF(Mecze[[#This Row],[Role]]="BR",SUMPRODUCT(Mecze[[#This Row],[/PR:90]:[/BR:90]],Brudnopis!$E$23:$J$23),0)</f>
        <v>0</v>
      </c>
      <c r="T362" s="44">
        <f>IF(Mecze[[#This Row],[Role]]&lt;&gt;"BR",SUMPRODUCT(Mecze[[#This Row],[/PR:90]:[/BR:90]],Brudnopis!$E$24:$J$24),0)</f>
        <v>0.27835051546391754</v>
      </c>
      <c r="U362" s="44">
        <f>IF(Mecze[[#This Row],[Role]]&lt;&gt;"BR",SUMPRODUCT(Mecze[[#This Row],[/PR:90]:[/BR:90]],Brudnopis!$E$25:$J$25),0)</f>
        <v>0.30927835051546393</v>
      </c>
      <c r="V362" s="44">
        <f>IF(Mecze[[#This Row],[Role]]&lt;&gt;"BR",SUMPRODUCT(Mecze[[#This Row],[/PR:90]:[/BR:90]],Brudnopis!$E$26:$J$26),0)</f>
        <v>0.26804123711340205</v>
      </c>
      <c r="W362" s="44">
        <f>IF(Mecze[[#This Row],[Role]]&lt;&gt;"BR",SUMPRODUCT(Mecze[[#This Row],[/PR:90]:[/BR:90]],Brudnopis!$E$27:$J$27),0)</f>
        <v>0.26288659793814434</v>
      </c>
      <c r="X362" s="44">
        <f>IF(Mecze[[#This Row],[Role]]&lt;&gt;"BR",SUMPRODUCT(Mecze[[#This Row],[/PR:90]:[/BR:90]],Brudnopis!$E$28:$J$28),0)</f>
        <v>8.247422680412371E-2</v>
      </c>
      <c r="Y362" s="35">
        <f>IF(Mecze[[#This Row],[Role]]="BR",Mecze[[#This Row],[/OB:90]]+Mecze[[#This Row],[/PC:90]],SUM(Mecze[[#This Row],[/PR:90]:[/BR:90]]))</f>
        <v>0.26804123711340205</v>
      </c>
      <c r="Z362" s="35">
        <f>IF(Mecze[[#This Row],[KC]]=0,SUM(Mecze[[#This Row],[/BRI]:[/NPI]]),SUM(Mecze[[#This Row],[/BRI]:[/NPI]])*0.6)</f>
        <v>1.2010309278350515</v>
      </c>
      <c r="AA362" s="10">
        <f>IFERROR(Mecze[[#This Row],[BR]]/Mecze[[#This Row],[ST]],0)</f>
        <v>0</v>
      </c>
      <c r="AB362">
        <f>ROUND(Mecze[[#This Row],[PD]]*Mecze[[#This Row],[%PC]],0)</f>
        <v>8</v>
      </c>
      <c r="AC362">
        <f>ROUND(Mecze[[#This Row],[OD]]*Mecze[[#This Row],[%OU]],0)</f>
        <v>2</v>
      </c>
      <c r="AD362" s="36" t="s">
        <v>168</v>
      </c>
      <c r="AE362" s="36">
        <v>22</v>
      </c>
      <c r="AF362" s="71">
        <v>11.52</v>
      </c>
      <c r="AG362" s="37">
        <v>0</v>
      </c>
      <c r="AH362" s="37">
        <v>0</v>
      </c>
      <c r="AI362" s="37">
        <v>97</v>
      </c>
      <c r="AJ362" s="37">
        <v>1</v>
      </c>
      <c r="AK362" s="37" t="str">
        <f>VLOOKUP(Mecze[[#This Row],[Match ID]],Meczusie[Mecz]:Meczusie[RodzajMeczu],2,FALSE)</f>
        <v>Towarzyski</v>
      </c>
    </row>
    <row r="363" spans="1:37" x14ac:dyDescent="0.25">
      <c r="A363" s="76">
        <v>42</v>
      </c>
      <c r="B363" s="3" t="s">
        <v>361</v>
      </c>
      <c r="C363" s="2" t="s">
        <v>157</v>
      </c>
      <c r="D363" s="1">
        <v>0</v>
      </c>
      <c r="E363" s="1">
        <v>0</v>
      </c>
      <c r="F363" s="1">
        <v>0</v>
      </c>
      <c r="G363" s="1">
        <v>6</v>
      </c>
      <c r="H363" s="4">
        <v>0.17</v>
      </c>
      <c r="I363" s="1">
        <v>4</v>
      </c>
      <c r="J363" s="4">
        <v>0</v>
      </c>
      <c r="K363" s="1">
        <v>0</v>
      </c>
      <c r="L363" s="1">
        <v>6</v>
      </c>
      <c r="M363" s="32">
        <f>IF(Mecze[[#This Row],[PR]]=0,0,Mecze[[#This Row],[PR]]/Mecze[[#This Row],[CZAS]])</f>
        <v>6.1855670103092786E-2</v>
      </c>
      <c r="N363" s="32">
        <f>IF(Mecze[[#This Row],[OU]]=0,0,Mecze[[#This Row],[OU]]/Mecze[[#This Row],[CZAS]])</f>
        <v>0</v>
      </c>
      <c r="O363" s="32">
        <f>IF(Mecze[[#This Row],[PC]]=0,0,Mecze[[#This Row],[PC]]/Mecze[[#This Row],[CZAS]])</f>
        <v>1.0309278350515464E-2</v>
      </c>
      <c r="P363" s="32">
        <f>IF(Mecze[[#This Row],[SC]]=0,0,Mecze[[#This Row],[SC]]/Mecze[[#This Row],[CZAS]])</f>
        <v>0</v>
      </c>
      <c r="Q363" s="32">
        <f>IF(Mecze[[#This Row],[OB]]=0,0,Mecze[[#This Row],[OB]]/Mecze[[#This Row],[CZAS]])</f>
        <v>0</v>
      </c>
      <c r="R363" s="32">
        <f>IF(Mecze[[#This Row],[BR]]=0,0,Mecze[[#This Row],[BR]]/Mecze[[#This Row],[CZAS]])</f>
        <v>0</v>
      </c>
      <c r="S363" s="44">
        <f>IF(Mecze[[#This Row],[Role]]="BR",SUMPRODUCT(Mecze[[#This Row],[/PR:90]:[/BR:90]],Brudnopis!$E$23:$J$23),0)</f>
        <v>0</v>
      </c>
      <c r="T363" s="44">
        <f>IF(Mecze[[#This Row],[Role]]&lt;&gt;"BR",SUMPRODUCT(Mecze[[#This Row],[/PR:90]:[/BR:90]],Brudnopis!$E$24:$J$24),0)</f>
        <v>7.2164948453608255E-2</v>
      </c>
      <c r="U363" s="44">
        <f>IF(Mecze[[#This Row],[Role]]&lt;&gt;"BR",SUMPRODUCT(Mecze[[#This Row],[/PR:90]:[/BR:90]],Brudnopis!$E$25:$J$25),0)</f>
        <v>7.7319587628865982E-2</v>
      </c>
      <c r="V363" s="44">
        <f>IF(Mecze[[#This Row],[Role]]&lt;&gt;"BR",SUMPRODUCT(Mecze[[#This Row],[/PR:90]:[/BR:90]],Brudnopis!$E$26:$J$26),0)</f>
        <v>7.2164948453608255E-2</v>
      </c>
      <c r="W363" s="44">
        <f>IF(Mecze[[#This Row],[Role]]&lt;&gt;"BR",SUMPRODUCT(Mecze[[#This Row],[/PR:90]:[/BR:90]],Brudnopis!$E$27:$J$27),0)</f>
        <v>6.1855670103092786E-2</v>
      </c>
      <c r="X363" s="44">
        <f>IF(Mecze[[#This Row],[Role]]&lt;&gt;"BR",SUMPRODUCT(Mecze[[#This Row],[/PR:90]:[/BR:90]],Brudnopis!$E$28:$J$28),0)</f>
        <v>1.0309278350515464E-2</v>
      </c>
      <c r="Y363" s="35">
        <f>IF(Mecze[[#This Row],[Role]]="BR",Mecze[[#This Row],[/OB:90]]+Mecze[[#This Row],[/PC:90]],SUM(Mecze[[#This Row],[/PR:90]:[/BR:90]]))</f>
        <v>7.2164948453608255E-2</v>
      </c>
      <c r="Z363" s="35">
        <f>IF(Mecze[[#This Row],[KC]]=0,SUM(Mecze[[#This Row],[/BRI]:[/NPI]]),SUM(Mecze[[#This Row],[/BRI]:[/NPI]])*0.6)</f>
        <v>0.29381443298969079</v>
      </c>
      <c r="AA363" s="10">
        <f>IFERROR(Mecze[[#This Row],[BR]]/Mecze[[#This Row],[ST]],0)</f>
        <v>0</v>
      </c>
      <c r="AB363">
        <f>ROUND(Mecze[[#This Row],[PD]]*Mecze[[#This Row],[%PC]],0)</f>
        <v>1</v>
      </c>
      <c r="AC363">
        <f>ROUND(Mecze[[#This Row],[OD]]*Mecze[[#This Row],[%OU]],0)</f>
        <v>0</v>
      </c>
      <c r="AD363" s="36" t="s">
        <v>167</v>
      </c>
      <c r="AE363" s="36">
        <v>22</v>
      </c>
      <c r="AF363" s="71">
        <v>8.3000000000000007</v>
      </c>
      <c r="AG363" s="37">
        <v>0</v>
      </c>
      <c r="AH363" s="37">
        <v>0</v>
      </c>
      <c r="AI363" s="37">
        <v>97</v>
      </c>
      <c r="AJ363" s="37">
        <v>1</v>
      </c>
      <c r="AK363" s="37" t="str">
        <f>VLOOKUP(Mecze[[#This Row],[Match ID]],Meczusie[Mecz]:Meczusie[RodzajMeczu],2,FALSE)</f>
        <v>Towarzyski</v>
      </c>
    </row>
    <row r="364" spans="1:37" x14ac:dyDescent="0.25">
      <c r="A364" s="76">
        <v>33</v>
      </c>
      <c r="B364" s="3" t="s">
        <v>362</v>
      </c>
      <c r="C364" s="2" t="s">
        <v>160</v>
      </c>
      <c r="D364" s="1">
        <v>0</v>
      </c>
      <c r="E364" s="1">
        <v>0</v>
      </c>
      <c r="F364" s="1">
        <v>0</v>
      </c>
      <c r="G364" s="1">
        <v>7</v>
      </c>
      <c r="H364" s="4">
        <v>0.43</v>
      </c>
      <c r="I364" s="1">
        <v>5</v>
      </c>
      <c r="J364" s="4">
        <v>0.4</v>
      </c>
      <c r="K364" s="1">
        <v>0</v>
      </c>
      <c r="L364" s="1">
        <v>8</v>
      </c>
      <c r="M364" s="32">
        <f>IF(Mecze[[#This Row],[PR]]=0,0,Mecze[[#This Row],[PR]]/Mecze[[#This Row],[CZAS]])</f>
        <v>8.247422680412371E-2</v>
      </c>
      <c r="N364" s="32">
        <f>IF(Mecze[[#This Row],[OU]]=0,0,Mecze[[#This Row],[OU]]/Mecze[[#This Row],[CZAS]])</f>
        <v>2.0618556701030927E-2</v>
      </c>
      <c r="O364" s="32">
        <f>IF(Mecze[[#This Row],[PC]]=0,0,Mecze[[#This Row],[PC]]/Mecze[[#This Row],[CZAS]])</f>
        <v>3.0927835051546393E-2</v>
      </c>
      <c r="P364" s="32">
        <f>IF(Mecze[[#This Row],[SC]]=0,0,Mecze[[#This Row],[SC]]/Mecze[[#This Row],[CZAS]])</f>
        <v>0</v>
      </c>
      <c r="Q364" s="32">
        <f>IF(Mecze[[#This Row],[OB]]=0,0,Mecze[[#This Row],[OB]]/Mecze[[#This Row],[CZAS]])</f>
        <v>0</v>
      </c>
      <c r="R364" s="32">
        <f>IF(Mecze[[#This Row],[BR]]=0,0,Mecze[[#This Row],[BR]]/Mecze[[#This Row],[CZAS]])</f>
        <v>0</v>
      </c>
      <c r="S364" s="44">
        <f>IF(Mecze[[#This Row],[Role]]="BR",SUMPRODUCT(Mecze[[#This Row],[/PR:90]:[/BR:90]],Brudnopis!$E$23:$J$23),0)</f>
        <v>0</v>
      </c>
      <c r="T364" s="44">
        <f>IF(Mecze[[#This Row],[Role]]&lt;&gt;"BR",SUMPRODUCT(Mecze[[#This Row],[/PR:90]:[/BR:90]],Brudnopis!$E$24:$J$24),0)</f>
        <v>0.14432989690721648</v>
      </c>
      <c r="U364" s="44">
        <f>IF(Mecze[[#This Row],[Role]]&lt;&gt;"BR",SUMPRODUCT(Mecze[[#This Row],[/PR:90]:[/BR:90]],Brudnopis!$E$25:$J$25),0)</f>
        <v>0.14948453608247422</v>
      </c>
      <c r="V364" s="44">
        <f>IF(Mecze[[#This Row],[Role]]&lt;&gt;"BR",SUMPRODUCT(Mecze[[#This Row],[/PR:90]:[/BR:90]],Brudnopis!$E$26:$J$26),0)</f>
        <v>0.13402061855670103</v>
      </c>
      <c r="W364" s="44">
        <f>IF(Mecze[[#This Row],[Role]]&lt;&gt;"BR",SUMPRODUCT(Mecze[[#This Row],[/PR:90]:[/BR:90]],Brudnopis!$E$27:$J$27),0)</f>
        <v>0.12371134020618557</v>
      </c>
      <c r="X364" s="44">
        <f>IF(Mecze[[#This Row],[Role]]&lt;&gt;"BR",SUMPRODUCT(Mecze[[#This Row],[/PR:90]:[/BR:90]],Brudnopis!$E$28:$J$28),0)</f>
        <v>3.0927835051546393E-2</v>
      </c>
      <c r="Y364" s="35">
        <f>IF(Mecze[[#This Row],[Role]]="BR",Mecze[[#This Row],[/OB:90]]+Mecze[[#This Row],[/PC:90]],SUM(Mecze[[#This Row],[/PR:90]:[/BR:90]]))</f>
        <v>0.13402061855670103</v>
      </c>
      <c r="Z364" s="35">
        <f>IF(Mecze[[#This Row],[KC]]=0,SUM(Mecze[[#This Row],[/BRI]:[/NPI]]),SUM(Mecze[[#This Row],[/BRI]:[/NPI]])*0.6)</f>
        <v>0.58247422680412364</v>
      </c>
      <c r="AA364" s="10">
        <f>IFERROR(Mecze[[#This Row],[BR]]/Mecze[[#This Row],[ST]],0)</f>
        <v>0</v>
      </c>
      <c r="AB364">
        <f>ROUND(Mecze[[#This Row],[PD]]*Mecze[[#This Row],[%PC]],0)</f>
        <v>3</v>
      </c>
      <c r="AC364">
        <f>ROUND(Mecze[[#This Row],[OD]]*Mecze[[#This Row],[%OU]],0)</f>
        <v>2</v>
      </c>
      <c r="AD364" s="36" t="s">
        <v>41</v>
      </c>
      <c r="AE364" s="36">
        <v>22</v>
      </c>
      <c r="AF364" s="71">
        <v>8.7200000000000006</v>
      </c>
      <c r="AG364" s="37">
        <v>0</v>
      </c>
      <c r="AH364" s="37">
        <v>0</v>
      </c>
      <c r="AI364" s="37">
        <v>97</v>
      </c>
      <c r="AJ364" s="37">
        <v>1</v>
      </c>
      <c r="AK364" s="37" t="str">
        <f>VLOOKUP(Mecze[[#This Row],[Match ID]],Meczusie[Mecz]:Meczusie[RodzajMeczu],2,FALSE)</f>
        <v>Towarzyski</v>
      </c>
    </row>
    <row r="365" spans="1:37" x14ac:dyDescent="0.25">
      <c r="A365" s="76">
        <v>22</v>
      </c>
      <c r="B365" s="3" t="s">
        <v>363</v>
      </c>
      <c r="C365" s="2" t="s">
        <v>160</v>
      </c>
      <c r="D365" s="1">
        <v>0</v>
      </c>
      <c r="E365" s="1">
        <v>0</v>
      </c>
      <c r="F365" s="1">
        <v>0</v>
      </c>
      <c r="G365" s="1">
        <v>8</v>
      </c>
      <c r="H365" s="4">
        <v>0.63</v>
      </c>
      <c r="I365" s="1">
        <v>9</v>
      </c>
      <c r="J365" s="4">
        <v>0.44</v>
      </c>
      <c r="K365" s="1">
        <v>0</v>
      </c>
      <c r="L365" s="1">
        <v>2</v>
      </c>
      <c r="M365" s="32">
        <f>IF(Mecze[[#This Row],[PR]]=0,0,Mecze[[#This Row],[PR]]/Mecze[[#This Row],[CZAS]])</f>
        <v>2.0618556701030927E-2</v>
      </c>
      <c r="N365" s="32">
        <f>IF(Mecze[[#This Row],[OU]]=0,0,Mecze[[#This Row],[OU]]/Mecze[[#This Row],[CZAS]])</f>
        <v>4.1237113402061855E-2</v>
      </c>
      <c r="O365" s="32">
        <f>IF(Mecze[[#This Row],[PC]]=0,0,Mecze[[#This Row],[PC]]/Mecze[[#This Row],[CZAS]])</f>
        <v>5.1546391752577317E-2</v>
      </c>
      <c r="P365" s="32">
        <f>IF(Mecze[[#This Row],[SC]]=0,0,Mecze[[#This Row],[SC]]/Mecze[[#This Row],[CZAS]])</f>
        <v>0</v>
      </c>
      <c r="Q365" s="32">
        <f>IF(Mecze[[#This Row],[OB]]=0,0,Mecze[[#This Row],[OB]]/Mecze[[#This Row],[CZAS]])</f>
        <v>0</v>
      </c>
      <c r="R365" s="32">
        <f>IF(Mecze[[#This Row],[BR]]=0,0,Mecze[[#This Row],[BR]]/Mecze[[#This Row],[CZAS]])</f>
        <v>0</v>
      </c>
      <c r="S365" s="44">
        <f>IF(Mecze[[#This Row],[Role]]="BR",SUMPRODUCT(Mecze[[#This Row],[/PR:90]:[/BR:90]],Brudnopis!$E$23:$J$23),0)</f>
        <v>0</v>
      </c>
      <c r="T365" s="44">
        <f>IF(Mecze[[#This Row],[Role]]&lt;&gt;"BR",SUMPRODUCT(Mecze[[#This Row],[/PR:90]:[/BR:90]],Brudnopis!$E$24:$J$24),0)</f>
        <v>0.13402061855670103</v>
      </c>
      <c r="U365" s="44">
        <f>IF(Mecze[[#This Row],[Role]]&lt;&gt;"BR",SUMPRODUCT(Mecze[[#This Row],[/PR:90]:[/BR:90]],Brudnopis!$E$25:$J$25),0)</f>
        <v>0.13917525773195877</v>
      </c>
      <c r="V365" s="44">
        <f>IF(Mecze[[#This Row],[Role]]&lt;&gt;"BR",SUMPRODUCT(Mecze[[#This Row],[/PR:90]:[/BR:90]],Brudnopis!$E$26:$J$26),0)</f>
        <v>0.1134020618556701</v>
      </c>
      <c r="W365" s="44">
        <f>IF(Mecze[[#This Row],[Role]]&lt;&gt;"BR",SUMPRODUCT(Mecze[[#This Row],[/PR:90]:[/BR:90]],Brudnopis!$E$27:$J$27),0)</f>
        <v>0.12371134020618557</v>
      </c>
      <c r="X365" s="44">
        <f>IF(Mecze[[#This Row],[Role]]&lt;&gt;"BR",SUMPRODUCT(Mecze[[#This Row],[/PR:90]:[/BR:90]],Brudnopis!$E$28:$J$28),0)</f>
        <v>5.1546391752577317E-2</v>
      </c>
      <c r="Y365" s="35">
        <f>IF(Mecze[[#This Row],[Role]]="BR",Mecze[[#This Row],[/OB:90]]+Mecze[[#This Row],[/PC:90]],SUM(Mecze[[#This Row],[/PR:90]:[/BR:90]]))</f>
        <v>0.1134020618556701</v>
      </c>
      <c r="Z365" s="35">
        <f>IF(Mecze[[#This Row],[KC]]=0,SUM(Mecze[[#This Row],[/BRI]:[/NPI]]),SUM(Mecze[[#This Row],[/BRI]:[/NPI]])*0.6)</f>
        <v>0.56185567010309279</v>
      </c>
      <c r="AA365" s="10">
        <f>IFERROR(Mecze[[#This Row],[BR]]/Mecze[[#This Row],[ST]],0)</f>
        <v>0</v>
      </c>
      <c r="AB365">
        <f>ROUND(Mecze[[#This Row],[PD]]*Mecze[[#This Row],[%PC]],0)</f>
        <v>5</v>
      </c>
      <c r="AC365">
        <f>ROUND(Mecze[[#This Row],[OD]]*Mecze[[#This Row],[%OU]],0)</f>
        <v>4</v>
      </c>
      <c r="AD365" s="36" t="s">
        <v>41</v>
      </c>
      <c r="AE365" s="36">
        <v>22</v>
      </c>
      <c r="AF365" s="71">
        <v>8.67</v>
      </c>
      <c r="AG365" s="37">
        <v>0</v>
      </c>
      <c r="AH365" s="37">
        <v>0</v>
      </c>
      <c r="AI365" s="37">
        <v>97</v>
      </c>
      <c r="AJ365" s="37">
        <v>1</v>
      </c>
      <c r="AK365" s="37" t="str">
        <f>VLOOKUP(Mecze[[#This Row],[Match ID]],Meczusie[Mecz]:Meczusie[RodzajMeczu],2,FALSE)</f>
        <v>Towarzyski</v>
      </c>
    </row>
    <row r="366" spans="1:37" x14ac:dyDescent="0.25">
      <c r="A366" s="76">
        <v>27</v>
      </c>
      <c r="B366" s="3" t="s">
        <v>364</v>
      </c>
      <c r="C366" s="2" t="s">
        <v>160</v>
      </c>
      <c r="D366" s="1">
        <v>0</v>
      </c>
      <c r="E366" s="1">
        <v>1</v>
      </c>
      <c r="F366" s="1">
        <v>0</v>
      </c>
      <c r="G366" s="1">
        <v>12</v>
      </c>
      <c r="H366" s="4">
        <v>0.57999999999999996</v>
      </c>
      <c r="I366" s="1">
        <v>13</v>
      </c>
      <c r="J366" s="4">
        <v>0.31</v>
      </c>
      <c r="K366" s="1">
        <v>0</v>
      </c>
      <c r="L366" s="1">
        <v>5</v>
      </c>
      <c r="M366" s="32">
        <f>IF(Mecze[[#This Row],[PR]]=0,0,Mecze[[#This Row],[PR]]/Mecze[[#This Row],[CZAS]])</f>
        <v>5.1546391752577317E-2</v>
      </c>
      <c r="N366" s="32">
        <f>IF(Mecze[[#This Row],[OU]]=0,0,Mecze[[#This Row],[OU]]/Mecze[[#This Row],[CZAS]])</f>
        <v>4.1237113402061855E-2</v>
      </c>
      <c r="O366" s="32">
        <f>IF(Mecze[[#This Row],[PC]]=0,0,Mecze[[#This Row],[PC]]/Mecze[[#This Row],[CZAS]])</f>
        <v>7.2164948453608241E-2</v>
      </c>
      <c r="P366" s="32">
        <f>IF(Mecze[[#This Row],[SC]]=0,0,Mecze[[#This Row],[SC]]/Mecze[[#This Row],[CZAS]])</f>
        <v>0</v>
      </c>
      <c r="Q366" s="32">
        <f>IF(Mecze[[#This Row],[OB]]=0,0,Mecze[[#This Row],[OB]]/Mecze[[#This Row],[CZAS]])</f>
        <v>0</v>
      </c>
      <c r="R366" s="32">
        <f>IF(Mecze[[#This Row],[BR]]=0,0,Mecze[[#This Row],[BR]]/Mecze[[#This Row],[CZAS]])</f>
        <v>0</v>
      </c>
      <c r="S366" s="44">
        <f>IF(Mecze[[#This Row],[Role]]="BR",SUMPRODUCT(Mecze[[#This Row],[/PR:90]:[/BR:90]],Brudnopis!$E$23:$J$23),0)</f>
        <v>0</v>
      </c>
      <c r="T366" s="44">
        <f>IF(Mecze[[#This Row],[Role]]&lt;&gt;"BR",SUMPRODUCT(Mecze[[#This Row],[/PR:90]:[/BR:90]],Brudnopis!$E$24:$J$24),0)</f>
        <v>0.18556701030927836</v>
      </c>
      <c r="U366" s="44">
        <f>IF(Mecze[[#This Row],[Role]]&lt;&gt;"BR",SUMPRODUCT(Mecze[[#This Row],[/PR:90]:[/BR:90]],Brudnopis!$E$25:$J$25),0)</f>
        <v>0.20103092783505155</v>
      </c>
      <c r="V366" s="44">
        <f>IF(Mecze[[#This Row],[Role]]&lt;&gt;"BR",SUMPRODUCT(Mecze[[#This Row],[/PR:90]:[/BR:90]],Brudnopis!$E$26:$J$26),0)</f>
        <v>0.16494845360824742</v>
      </c>
      <c r="W366" s="44">
        <f>IF(Mecze[[#This Row],[Role]]&lt;&gt;"BR",SUMPRODUCT(Mecze[[#This Row],[/PR:90]:[/BR:90]],Brudnopis!$E$27:$J$27),0)</f>
        <v>0.17783505154639173</v>
      </c>
      <c r="X366" s="44">
        <f>IF(Mecze[[#This Row],[Role]]&lt;&gt;"BR",SUMPRODUCT(Mecze[[#This Row],[/PR:90]:[/BR:90]],Brudnopis!$E$28:$J$28),0)</f>
        <v>7.2164948453608241E-2</v>
      </c>
      <c r="Y366" s="35">
        <f>IF(Mecze[[#This Row],[Role]]="BR",Mecze[[#This Row],[/OB:90]]+Mecze[[#This Row],[/PC:90]],SUM(Mecze[[#This Row],[/PR:90]:[/BR:90]]))</f>
        <v>0.16494845360824742</v>
      </c>
      <c r="Z366" s="35">
        <f>IF(Mecze[[#This Row],[KC]]=0,SUM(Mecze[[#This Row],[/BRI]:[/NPI]]),SUM(Mecze[[#This Row],[/BRI]:[/NPI]])*0.6)</f>
        <v>0.80154639175257736</v>
      </c>
      <c r="AA366" s="10">
        <f>IFERROR(Mecze[[#This Row],[BR]]/Mecze[[#This Row],[ST]],0)</f>
        <v>0</v>
      </c>
      <c r="AB366">
        <f>ROUND(Mecze[[#This Row],[PD]]*Mecze[[#This Row],[%PC]],0)</f>
        <v>7</v>
      </c>
      <c r="AC366">
        <f>ROUND(Mecze[[#This Row],[OD]]*Mecze[[#This Row],[%OU]],0)</f>
        <v>4</v>
      </c>
      <c r="AD366" s="36" t="s">
        <v>67</v>
      </c>
      <c r="AE366" s="36">
        <v>22</v>
      </c>
      <c r="AF366" s="71">
        <v>9.3000000000000007</v>
      </c>
      <c r="AG366" s="37">
        <v>0</v>
      </c>
      <c r="AH366" s="37">
        <v>0</v>
      </c>
      <c r="AI366" s="37">
        <v>97</v>
      </c>
      <c r="AJ366" s="37">
        <v>1</v>
      </c>
      <c r="AK366" s="37" t="str">
        <f>VLOOKUP(Mecze[[#This Row],[Match ID]],Meczusie[Mecz]:Meczusie[RodzajMeczu],2,FALSE)</f>
        <v>Towarzyski</v>
      </c>
    </row>
    <row r="367" spans="1:37" x14ac:dyDescent="0.25">
      <c r="A367" s="76">
        <v>45</v>
      </c>
      <c r="B367" s="3" t="s">
        <v>394</v>
      </c>
      <c r="C367" s="2" t="s">
        <v>160</v>
      </c>
      <c r="D367" s="1">
        <v>0</v>
      </c>
      <c r="E367" s="1">
        <v>2</v>
      </c>
      <c r="F367" s="1">
        <v>1</v>
      </c>
      <c r="G367" s="1">
        <v>7</v>
      </c>
      <c r="H367" s="4">
        <v>0.71</v>
      </c>
      <c r="I367" s="1">
        <v>5</v>
      </c>
      <c r="J367" s="4">
        <v>0.2</v>
      </c>
      <c r="K367" s="1">
        <v>0</v>
      </c>
      <c r="L367" s="1">
        <v>0</v>
      </c>
      <c r="M367" s="32">
        <f>IF(Mecze[[#This Row],[PR]]=0,0,Mecze[[#This Row],[PR]]/Mecze[[#This Row],[CZAS]])</f>
        <v>0</v>
      </c>
      <c r="N367" s="32">
        <f>IF(Mecze[[#This Row],[OU]]=0,0,Mecze[[#This Row],[OU]]/Mecze[[#This Row],[CZAS]])</f>
        <v>1.0309278350515464E-2</v>
      </c>
      <c r="O367" s="32">
        <f>IF(Mecze[[#This Row],[PC]]=0,0,Mecze[[#This Row],[PC]]/Mecze[[#This Row],[CZAS]])</f>
        <v>5.1546391752577317E-2</v>
      </c>
      <c r="P367" s="32">
        <f>IF(Mecze[[#This Row],[SC]]=0,0,Mecze[[#This Row],[SC]]/Mecze[[#This Row],[CZAS]])</f>
        <v>1.0309278350515464E-2</v>
      </c>
      <c r="Q367" s="32">
        <f>IF(Mecze[[#This Row],[OB]]=0,0,Mecze[[#This Row],[OB]]/Mecze[[#This Row],[CZAS]])</f>
        <v>0</v>
      </c>
      <c r="R367" s="32">
        <f>IF(Mecze[[#This Row],[BR]]=0,0,Mecze[[#This Row],[BR]]/Mecze[[#This Row],[CZAS]])</f>
        <v>0</v>
      </c>
      <c r="S367" s="44">
        <f>IF(Mecze[[#This Row],[Role]]="BR",SUMPRODUCT(Mecze[[#This Row],[/PR:90]:[/BR:90]],Brudnopis!$E$23:$J$23),0)</f>
        <v>0</v>
      </c>
      <c r="T367" s="44">
        <f>IF(Mecze[[#This Row],[Role]]&lt;&gt;"BR",SUMPRODUCT(Mecze[[#This Row],[/PR:90]:[/BR:90]],Brudnopis!$E$24:$J$24),0)</f>
        <v>7.7319587628865982E-2</v>
      </c>
      <c r="U367" s="44">
        <f>IF(Mecze[[#This Row],[Role]]&lt;&gt;"BR",SUMPRODUCT(Mecze[[#This Row],[/PR:90]:[/BR:90]],Brudnopis!$E$25:$J$25),0)</f>
        <v>9.793814432989692E-2</v>
      </c>
      <c r="V367" s="44">
        <f>IF(Mecze[[#This Row],[Role]]&lt;&gt;"BR",SUMPRODUCT(Mecze[[#This Row],[/PR:90]:[/BR:90]],Brudnopis!$E$26:$J$26),0)</f>
        <v>7.2164948453608241E-2</v>
      </c>
      <c r="W367" s="44">
        <f>IF(Mecze[[#This Row],[Role]]&lt;&gt;"BR",SUMPRODUCT(Mecze[[#This Row],[/PR:90]:[/BR:90]],Brudnopis!$E$27:$J$27),0)</f>
        <v>9.5360824742268049E-2</v>
      </c>
      <c r="X367" s="44">
        <f>IF(Mecze[[#This Row],[Role]]&lt;&gt;"BR",SUMPRODUCT(Mecze[[#This Row],[/PR:90]:[/BR:90]],Brudnopis!$E$28:$J$28),0)</f>
        <v>7.2164948453608241E-2</v>
      </c>
      <c r="Y367" s="35">
        <f>IF(Mecze[[#This Row],[Role]]="BR",Mecze[[#This Row],[/OB:90]]+Mecze[[#This Row],[/PC:90]],SUM(Mecze[[#This Row],[/PR:90]:[/BR:90]]))</f>
        <v>7.2164948453608241E-2</v>
      </c>
      <c r="Z367" s="35">
        <f>IF(Mecze[[#This Row],[KC]]=0,SUM(Mecze[[#This Row],[/BRI]:[/NPI]]),SUM(Mecze[[#This Row],[/BRI]:[/NPI]])*0.6)</f>
        <v>0.41494845360824739</v>
      </c>
      <c r="AA367" s="10">
        <f>IFERROR(Mecze[[#This Row],[BR]]/Mecze[[#This Row],[ST]],0)</f>
        <v>0</v>
      </c>
      <c r="AB367">
        <f>ROUND(Mecze[[#This Row],[PD]]*Mecze[[#This Row],[%PC]],0)</f>
        <v>5</v>
      </c>
      <c r="AC367">
        <f>ROUND(Mecze[[#This Row],[OD]]*Mecze[[#This Row],[%OU]],0)</f>
        <v>1</v>
      </c>
      <c r="AD367" s="36" t="s">
        <v>44</v>
      </c>
      <c r="AE367" s="36">
        <v>22</v>
      </c>
      <c r="AF367" s="71">
        <v>8.48</v>
      </c>
      <c r="AG367" s="37">
        <v>0</v>
      </c>
      <c r="AH367" s="37">
        <v>0</v>
      </c>
      <c r="AI367" s="37">
        <v>97</v>
      </c>
      <c r="AJ367" s="37">
        <v>1</v>
      </c>
      <c r="AK367" s="37" t="str">
        <f>VLOOKUP(Mecze[[#This Row],[Match ID]],Meczusie[Mecz]:Meczusie[RodzajMeczu],2,FALSE)</f>
        <v>Towarzyski</v>
      </c>
    </row>
    <row r="368" spans="1:37" x14ac:dyDescent="0.25">
      <c r="A368" s="76">
        <v>29</v>
      </c>
      <c r="B368" s="3" t="s">
        <v>367</v>
      </c>
      <c r="C368" s="2" t="s">
        <v>160</v>
      </c>
      <c r="D368" s="1">
        <v>1</v>
      </c>
      <c r="E368" s="1">
        <v>4</v>
      </c>
      <c r="F368" s="1">
        <v>3</v>
      </c>
      <c r="G368" s="1">
        <v>10</v>
      </c>
      <c r="H368" s="4">
        <v>0.5</v>
      </c>
      <c r="I368" s="1">
        <v>3</v>
      </c>
      <c r="J368" s="4">
        <v>0</v>
      </c>
      <c r="K368" s="1">
        <v>0</v>
      </c>
      <c r="L368" s="1">
        <v>1</v>
      </c>
      <c r="M368" s="32">
        <f>IF(Mecze[[#This Row],[PR]]=0,0,Mecze[[#This Row],[PR]]/Mecze[[#This Row],[CZAS]])</f>
        <v>1.0309278350515464E-2</v>
      </c>
      <c r="N368" s="32">
        <f>IF(Mecze[[#This Row],[OU]]=0,0,Mecze[[#This Row],[OU]]/Mecze[[#This Row],[CZAS]])</f>
        <v>0</v>
      </c>
      <c r="O368" s="32">
        <f>IF(Mecze[[#This Row],[PC]]=0,0,Mecze[[#This Row],[PC]]/Mecze[[#This Row],[CZAS]])</f>
        <v>5.1546391752577317E-2</v>
      </c>
      <c r="P368" s="32">
        <f>IF(Mecze[[#This Row],[SC]]=0,0,Mecze[[#This Row],[SC]]/Mecze[[#This Row],[CZAS]])</f>
        <v>3.0927835051546393E-2</v>
      </c>
      <c r="Q368" s="32">
        <f>IF(Mecze[[#This Row],[OB]]=0,0,Mecze[[#This Row],[OB]]/Mecze[[#This Row],[CZAS]])</f>
        <v>0</v>
      </c>
      <c r="R368" s="32">
        <f>IF(Mecze[[#This Row],[BR]]=0,0,Mecze[[#This Row],[BR]]/Mecze[[#This Row],[CZAS]])</f>
        <v>1.0309278350515464E-2</v>
      </c>
      <c r="S368" s="44">
        <f>IF(Mecze[[#This Row],[Role]]="BR",SUMPRODUCT(Mecze[[#This Row],[/PR:90]:[/BR:90]],Brudnopis!$E$23:$J$23),0)</f>
        <v>0</v>
      </c>
      <c r="T368" s="44">
        <f>IF(Mecze[[#This Row],[Role]]&lt;&gt;"BR",SUMPRODUCT(Mecze[[#This Row],[/PR:90]:[/BR:90]],Brudnopis!$E$24:$J$24),0)</f>
        <v>0.10824742268041238</v>
      </c>
      <c r="U368" s="44">
        <f>IF(Mecze[[#This Row],[Role]]&lt;&gt;"BR",SUMPRODUCT(Mecze[[#This Row],[/PR:90]:[/BR:90]],Brudnopis!$E$25:$J$25),0)</f>
        <v>0.13402061855670105</v>
      </c>
      <c r="V368" s="44">
        <f>IF(Mecze[[#This Row],[Role]]&lt;&gt;"BR",SUMPRODUCT(Mecze[[#This Row],[/PR:90]:[/BR:90]],Brudnopis!$E$26:$J$26),0)</f>
        <v>0.1134020618556701</v>
      </c>
      <c r="W368" s="44">
        <f>IF(Mecze[[#This Row],[Role]]&lt;&gt;"BR",SUMPRODUCT(Mecze[[#This Row],[/PR:90]:[/BR:90]],Brudnopis!$E$27:$J$27),0)</f>
        <v>0.13659793814432991</v>
      </c>
      <c r="X368" s="44">
        <f>IF(Mecze[[#This Row],[Role]]&lt;&gt;"BR",SUMPRODUCT(Mecze[[#This Row],[/PR:90]:[/BR:90]],Brudnopis!$E$28:$J$28),0)</f>
        <v>0.14432989690721648</v>
      </c>
      <c r="Y368" s="35">
        <f>IF(Mecze[[#This Row],[Role]]="BR",Mecze[[#This Row],[/OB:90]]+Mecze[[#This Row],[/PC:90]],SUM(Mecze[[#This Row],[/PR:90]:[/BR:90]]))</f>
        <v>0.10309278350515465</v>
      </c>
      <c r="Z368" s="35">
        <f>IF(Mecze[[#This Row],[KC]]=0,SUM(Mecze[[#This Row],[/BRI]:[/NPI]]),SUM(Mecze[[#This Row],[/BRI]:[/NPI]])*0.6)</f>
        <v>0.63659793814432986</v>
      </c>
      <c r="AA368" s="10">
        <f>IFERROR(Mecze[[#This Row],[BR]]/Mecze[[#This Row],[ST]],0)</f>
        <v>0.25</v>
      </c>
      <c r="AB368">
        <f>ROUND(Mecze[[#This Row],[PD]]*Mecze[[#This Row],[%PC]],0)</f>
        <v>5</v>
      </c>
      <c r="AC368">
        <f>ROUND(Mecze[[#This Row],[OD]]*Mecze[[#This Row],[%OU]],0)</f>
        <v>0</v>
      </c>
      <c r="AD368" s="36" t="s">
        <v>44</v>
      </c>
      <c r="AE368" s="36">
        <v>22</v>
      </c>
      <c r="AF368" s="71">
        <v>11.26</v>
      </c>
      <c r="AG368" s="37">
        <v>0</v>
      </c>
      <c r="AH368" s="37">
        <v>0</v>
      </c>
      <c r="AI368" s="37">
        <v>97</v>
      </c>
      <c r="AJ368" s="37">
        <v>1</v>
      </c>
      <c r="AK368" s="37" t="str">
        <f>VLOOKUP(Mecze[[#This Row],[Match ID]],Meczusie[Mecz]:Meczusie[RodzajMeczu],2,FALSE)</f>
        <v>Towarzyski</v>
      </c>
    </row>
    <row r="369" spans="1:37" x14ac:dyDescent="0.25">
      <c r="A369" s="76">
        <v>46</v>
      </c>
      <c r="B369" s="3" t="s">
        <v>395</v>
      </c>
      <c r="C369" s="2" t="s">
        <v>165</v>
      </c>
      <c r="D369" s="1">
        <v>0</v>
      </c>
      <c r="E369" s="1">
        <v>2</v>
      </c>
      <c r="F369" s="1">
        <v>1</v>
      </c>
      <c r="G369" s="1">
        <v>6</v>
      </c>
      <c r="H369" s="4">
        <v>0.83</v>
      </c>
      <c r="I369" s="1">
        <v>5</v>
      </c>
      <c r="J369" s="4">
        <v>0</v>
      </c>
      <c r="K369" s="1">
        <v>0</v>
      </c>
      <c r="L369" s="1">
        <v>0</v>
      </c>
      <c r="M369" s="32">
        <f>IF(Mecze[[#This Row],[PR]]=0,0,Mecze[[#This Row],[PR]]/Mecze[[#This Row],[CZAS]])</f>
        <v>0</v>
      </c>
      <c r="N369" s="32">
        <f>IF(Mecze[[#This Row],[OU]]=0,0,Mecze[[#This Row],[OU]]/Mecze[[#This Row],[CZAS]])</f>
        <v>0</v>
      </c>
      <c r="O369" s="32">
        <f>IF(Mecze[[#This Row],[PC]]=0,0,Mecze[[#This Row],[PC]]/Mecze[[#This Row],[CZAS]])</f>
        <v>5.1546391752577317E-2</v>
      </c>
      <c r="P369" s="32">
        <f>IF(Mecze[[#This Row],[SC]]=0,0,Mecze[[#This Row],[SC]]/Mecze[[#This Row],[CZAS]])</f>
        <v>1.0309278350515464E-2</v>
      </c>
      <c r="Q369" s="32">
        <f>IF(Mecze[[#This Row],[OB]]=0,0,Mecze[[#This Row],[OB]]/Mecze[[#This Row],[CZAS]])</f>
        <v>0</v>
      </c>
      <c r="R369" s="32">
        <f>IF(Mecze[[#This Row],[BR]]=0,0,Mecze[[#This Row],[BR]]/Mecze[[#This Row],[CZAS]])</f>
        <v>0</v>
      </c>
      <c r="S369" s="44">
        <f>IF(Mecze[[#This Row],[Role]]="BR",SUMPRODUCT(Mecze[[#This Row],[/PR:90]:[/BR:90]],Brudnopis!$E$23:$J$23),0)</f>
        <v>0</v>
      </c>
      <c r="T369" s="44">
        <f>IF(Mecze[[#This Row],[Role]]&lt;&gt;"BR",SUMPRODUCT(Mecze[[#This Row],[/PR:90]:[/BR:90]],Brudnopis!$E$24:$J$24),0)</f>
        <v>6.1855670103092779E-2</v>
      </c>
      <c r="U369" s="44">
        <f>IF(Mecze[[#This Row],[Role]]&lt;&gt;"BR",SUMPRODUCT(Mecze[[#This Row],[/PR:90]:[/BR:90]],Brudnopis!$E$25:$J$25),0)</f>
        <v>8.7628865979381451E-2</v>
      </c>
      <c r="V369" s="44">
        <f>IF(Mecze[[#This Row],[Role]]&lt;&gt;"BR",SUMPRODUCT(Mecze[[#This Row],[/PR:90]:[/BR:90]],Brudnopis!$E$26:$J$26),0)</f>
        <v>6.1855670103092779E-2</v>
      </c>
      <c r="W369" s="44">
        <f>IF(Mecze[[#This Row],[Role]]&lt;&gt;"BR",SUMPRODUCT(Mecze[[#This Row],[/PR:90]:[/BR:90]],Brudnopis!$E$27:$J$27),0)</f>
        <v>8.7628865979381451E-2</v>
      </c>
      <c r="X369" s="44">
        <f>IF(Mecze[[#This Row],[Role]]&lt;&gt;"BR",SUMPRODUCT(Mecze[[#This Row],[/PR:90]:[/BR:90]],Brudnopis!$E$28:$J$28),0)</f>
        <v>7.2164948453608241E-2</v>
      </c>
      <c r="Y369" s="35">
        <f>IF(Mecze[[#This Row],[Role]]="BR",Mecze[[#This Row],[/OB:90]]+Mecze[[#This Row],[/PC:90]],SUM(Mecze[[#This Row],[/PR:90]:[/BR:90]]))</f>
        <v>6.1855670103092779E-2</v>
      </c>
      <c r="Z369" s="35">
        <f>IF(Mecze[[#This Row],[KC]]=0,SUM(Mecze[[#This Row],[/BRI]:[/NPI]]),SUM(Mecze[[#This Row],[/BRI]:[/NPI]])*0.6)</f>
        <v>0.37113402061855671</v>
      </c>
      <c r="AA369" s="10">
        <f>IFERROR(Mecze[[#This Row],[BR]]/Mecze[[#This Row],[ST]],0)</f>
        <v>0</v>
      </c>
      <c r="AB369">
        <f>ROUND(Mecze[[#This Row],[PD]]*Mecze[[#This Row],[%PC]],0)</f>
        <v>5</v>
      </c>
      <c r="AC369">
        <f>ROUND(Mecze[[#This Row],[OD]]*Mecze[[#This Row],[%OU]],0)</f>
        <v>0</v>
      </c>
      <c r="AD369" s="36" t="s">
        <v>46</v>
      </c>
      <c r="AE369" s="36">
        <v>22</v>
      </c>
      <c r="AF369" s="71">
        <v>6.4</v>
      </c>
      <c r="AG369" s="37">
        <v>0</v>
      </c>
      <c r="AH369" s="37">
        <v>0</v>
      </c>
      <c r="AI369" s="37">
        <v>97</v>
      </c>
      <c r="AJ369" s="37">
        <v>1</v>
      </c>
      <c r="AK369" s="37" t="str">
        <f>VLOOKUP(Mecze[[#This Row],[Match ID]],Meczusie[Mecz]:Meczusie[RodzajMeczu],2,FALSE)</f>
        <v>Towarzyski</v>
      </c>
    </row>
    <row r="370" spans="1:37" x14ac:dyDescent="0.25">
      <c r="A370" s="76">
        <v>26</v>
      </c>
      <c r="B370" s="3" t="s">
        <v>368</v>
      </c>
      <c r="C370" s="2" t="s">
        <v>165</v>
      </c>
      <c r="D370" s="1">
        <v>2</v>
      </c>
      <c r="E370" s="1">
        <v>6</v>
      </c>
      <c r="F370" s="1">
        <v>4</v>
      </c>
      <c r="G370" s="1">
        <v>6</v>
      </c>
      <c r="H370" s="4">
        <v>0.5</v>
      </c>
      <c r="I370" s="1">
        <v>1</v>
      </c>
      <c r="J370" s="4">
        <v>0</v>
      </c>
      <c r="K370" s="1">
        <v>0</v>
      </c>
      <c r="L370" s="1">
        <v>0</v>
      </c>
      <c r="M370" s="32">
        <f>IF(Mecze[[#This Row],[PR]]=0,0,Mecze[[#This Row],[PR]]/Mecze[[#This Row],[CZAS]])</f>
        <v>0</v>
      </c>
      <c r="N370" s="32">
        <f>IF(Mecze[[#This Row],[OU]]=0,0,Mecze[[#This Row],[OU]]/Mecze[[#This Row],[CZAS]])</f>
        <v>0</v>
      </c>
      <c r="O370" s="32">
        <f>IF(Mecze[[#This Row],[PC]]=0,0,Mecze[[#This Row],[PC]]/Mecze[[#This Row],[CZAS]])</f>
        <v>3.0927835051546393E-2</v>
      </c>
      <c r="P370" s="32">
        <f>IF(Mecze[[#This Row],[SC]]=0,0,Mecze[[#This Row],[SC]]/Mecze[[#This Row],[CZAS]])</f>
        <v>4.1237113402061855E-2</v>
      </c>
      <c r="Q370" s="32">
        <f>IF(Mecze[[#This Row],[OB]]=0,0,Mecze[[#This Row],[OB]]/Mecze[[#This Row],[CZAS]])</f>
        <v>0</v>
      </c>
      <c r="R370" s="32">
        <f>IF(Mecze[[#This Row],[BR]]=0,0,Mecze[[#This Row],[BR]]/Mecze[[#This Row],[CZAS]])</f>
        <v>2.0618556701030927E-2</v>
      </c>
      <c r="S370" s="44">
        <f>IF(Mecze[[#This Row],[Role]]="BR",SUMPRODUCT(Mecze[[#This Row],[/PR:90]:[/BR:90]],Brudnopis!$E$23:$J$23),0)</f>
        <v>0</v>
      </c>
      <c r="T370" s="44">
        <f>IF(Mecze[[#This Row],[Role]]&lt;&gt;"BR",SUMPRODUCT(Mecze[[#This Row],[/PR:90]:[/BR:90]],Brudnopis!$E$24:$J$24),0)</f>
        <v>0.10309278350515463</v>
      </c>
      <c r="U370" s="44">
        <f>IF(Mecze[[#This Row],[Role]]&lt;&gt;"BR",SUMPRODUCT(Mecze[[#This Row],[/PR:90]:[/BR:90]],Brudnopis!$E$25:$J$25),0)</f>
        <v>0.11855670103092783</v>
      </c>
      <c r="V370" s="44">
        <f>IF(Mecze[[#This Row],[Role]]&lt;&gt;"BR",SUMPRODUCT(Mecze[[#This Row],[/PR:90]:[/BR:90]],Brudnopis!$E$26:$J$26),0)</f>
        <v>0.11340206185567009</v>
      </c>
      <c r="W370" s="44">
        <f>IF(Mecze[[#This Row],[Role]]&lt;&gt;"BR",SUMPRODUCT(Mecze[[#This Row],[/PR:90]:[/BR:90]],Brudnopis!$E$27:$J$27),0)</f>
        <v>0.12886597938144329</v>
      </c>
      <c r="X370" s="44">
        <f>IF(Mecze[[#This Row],[Role]]&lt;&gt;"BR",SUMPRODUCT(Mecze[[#This Row],[/PR:90]:[/BR:90]],Brudnopis!$E$28:$J$28),0)</f>
        <v>0.17525773195876287</v>
      </c>
      <c r="Y370" s="35">
        <f>IF(Mecze[[#This Row],[Role]]="BR",Mecze[[#This Row],[/OB:90]]+Mecze[[#This Row],[/PC:90]],SUM(Mecze[[#This Row],[/PR:90]:[/BR:90]]))</f>
        <v>9.2783505154639165E-2</v>
      </c>
      <c r="Z370" s="35">
        <f>IF(Mecze[[#This Row],[KC]]=0,SUM(Mecze[[#This Row],[/BRI]:[/NPI]]),SUM(Mecze[[#This Row],[/BRI]:[/NPI]])*0.6)</f>
        <v>0.63917525773195871</v>
      </c>
      <c r="AA370" s="10">
        <f>IFERROR(Mecze[[#This Row],[BR]]/Mecze[[#This Row],[ST]],0)</f>
        <v>0.33333333333333331</v>
      </c>
      <c r="AB370">
        <f>ROUND(Mecze[[#This Row],[PD]]*Mecze[[#This Row],[%PC]],0)</f>
        <v>3</v>
      </c>
      <c r="AC370">
        <f>ROUND(Mecze[[#This Row],[OD]]*Mecze[[#This Row],[%OU]],0)</f>
        <v>0</v>
      </c>
      <c r="AD370" s="36" t="s">
        <v>46</v>
      </c>
      <c r="AE370" s="36">
        <v>22</v>
      </c>
      <c r="AF370" s="71">
        <v>10.74</v>
      </c>
      <c r="AG370" s="37">
        <v>0</v>
      </c>
      <c r="AH370" s="37">
        <v>0</v>
      </c>
      <c r="AI370" s="37">
        <v>97</v>
      </c>
      <c r="AJ370" s="37">
        <v>1</v>
      </c>
      <c r="AK370" s="37" t="str">
        <f>VLOOKUP(Mecze[[#This Row],[Match ID]],Meczusie[Mecz]:Meczusie[RodzajMeczu],2,FALSE)</f>
        <v>Towarzyski</v>
      </c>
    </row>
    <row r="371" spans="1:37" x14ac:dyDescent="0.25">
      <c r="A371" s="76">
        <v>1</v>
      </c>
      <c r="B371" s="3" t="s">
        <v>236</v>
      </c>
      <c r="C371" s="2" t="s">
        <v>155</v>
      </c>
      <c r="D371" s="1">
        <v>0</v>
      </c>
      <c r="E371" s="1">
        <v>0</v>
      </c>
      <c r="F371" s="1">
        <v>0</v>
      </c>
      <c r="G371" s="1">
        <v>14</v>
      </c>
      <c r="H371" s="4">
        <v>0.43</v>
      </c>
      <c r="I371" s="1">
        <v>0</v>
      </c>
      <c r="J371" s="4"/>
      <c r="K371" s="1">
        <v>15</v>
      </c>
      <c r="L371" s="1">
        <v>0</v>
      </c>
      <c r="M371" s="32">
        <f>IF(Mecze[[#This Row],[PR]]=0,0,Mecze[[#This Row],[PR]]/Mecze[[#This Row],[CZAS]])</f>
        <v>0</v>
      </c>
      <c r="N371" s="32">
        <f>IF(Mecze[[#This Row],[OU]]=0,0,Mecze[[#This Row],[OU]]/Mecze[[#This Row],[CZAS]])</f>
        <v>0</v>
      </c>
      <c r="O371" s="32">
        <f>IF(Mecze[[#This Row],[PC]]=0,0,Mecze[[#This Row],[PC]]/Mecze[[#This Row],[CZAS]])</f>
        <v>6.1224489795918366E-2</v>
      </c>
      <c r="P371" s="32">
        <f>IF(Mecze[[#This Row],[SC]]=0,0,Mecze[[#This Row],[SC]]/Mecze[[#This Row],[CZAS]])</f>
        <v>0</v>
      </c>
      <c r="Q371" s="32">
        <f>IF(Mecze[[#This Row],[OB]]=0,0,Mecze[[#This Row],[OB]]/Mecze[[#This Row],[CZAS]])</f>
        <v>0.15306122448979592</v>
      </c>
      <c r="R371" s="32">
        <f>IF(Mecze[[#This Row],[BR]]=0,0,Mecze[[#This Row],[BR]]/Mecze[[#This Row],[CZAS]])</f>
        <v>0</v>
      </c>
      <c r="S371" s="44">
        <f>IF(Mecze[[#This Row],[Role]]="BR",SUMPRODUCT(Mecze[[#This Row],[/PR:90]:[/BR:90]],Brudnopis!$E$23:$J$23),0)</f>
        <v>0.64285714285714279</v>
      </c>
      <c r="T371" s="44">
        <f>IF(Mecze[[#This Row],[Role]]&lt;&gt;"BR",SUMPRODUCT(Mecze[[#This Row],[/PR:90]:[/BR:90]],Brudnopis!$E$24:$J$24),0)</f>
        <v>0</v>
      </c>
      <c r="U371" s="44">
        <f>IF(Mecze[[#This Row],[Role]]&lt;&gt;"BR",SUMPRODUCT(Mecze[[#This Row],[/PR:90]:[/BR:90]],Brudnopis!$E$25:$J$25),0)</f>
        <v>0</v>
      </c>
      <c r="V371" s="44">
        <f>IF(Mecze[[#This Row],[Role]]&lt;&gt;"BR",SUMPRODUCT(Mecze[[#This Row],[/PR:90]:[/BR:90]],Brudnopis!$E$26:$J$26),0)</f>
        <v>0</v>
      </c>
      <c r="W371" s="44">
        <f>IF(Mecze[[#This Row],[Role]]&lt;&gt;"BR",SUMPRODUCT(Mecze[[#This Row],[/PR:90]:[/BR:90]],Brudnopis!$E$27:$J$27),0)</f>
        <v>0</v>
      </c>
      <c r="X371" s="44">
        <f>IF(Mecze[[#This Row],[Role]]&lt;&gt;"BR",SUMPRODUCT(Mecze[[#This Row],[/PR:90]:[/BR:90]],Brudnopis!$E$28:$J$28),0)</f>
        <v>0</v>
      </c>
      <c r="Y371" s="35">
        <f>IF(Mecze[[#This Row],[Role]]="BR",Mecze[[#This Row],[/OB:90]]+Mecze[[#This Row],[/PC:90]],SUM(Mecze[[#This Row],[/PR:90]:[/BR:90]]))</f>
        <v>0.2142857142857143</v>
      </c>
      <c r="Z371" s="35">
        <f>IF(Mecze[[#This Row],[KC]]=0,SUM(Mecze[[#This Row],[/BRI]:[/NPI]]),SUM(Mecze[[#This Row],[/BRI]:[/NPI]])*0.6)</f>
        <v>0.64285714285714279</v>
      </c>
      <c r="AA371" s="10">
        <f>IFERROR(Mecze[[#This Row],[BR]]/Mecze[[#This Row],[ST]],0)</f>
        <v>0</v>
      </c>
      <c r="AB371">
        <f>ROUND(Mecze[[#This Row],[PD]]*Mecze[[#This Row],[%PC]],0)</f>
        <v>6</v>
      </c>
      <c r="AC371">
        <f>ROUND(Mecze[[#This Row],[OD]]*Mecze[[#This Row],[%OU]],0)</f>
        <v>0</v>
      </c>
      <c r="AD371" s="36" t="s">
        <v>40</v>
      </c>
      <c r="AE371" s="36">
        <v>23</v>
      </c>
      <c r="AF371" s="71">
        <v>8.06</v>
      </c>
      <c r="AG371" s="37">
        <v>0</v>
      </c>
      <c r="AH371" s="37">
        <v>0</v>
      </c>
      <c r="AI371" s="37">
        <v>98</v>
      </c>
      <c r="AJ371" s="37">
        <v>10</v>
      </c>
      <c r="AK371" s="37" t="str">
        <f>VLOOKUP(Mecze[[#This Row],[Match ID]],Meczusie[Mecz]:Meczusie[RodzajMeczu],2,FALSE)</f>
        <v>Liga</v>
      </c>
    </row>
    <row r="372" spans="1:37" x14ac:dyDescent="0.25">
      <c r="A372" s="76">
        <v>3</v>
      </c>
      <c r="B372" s="3" t="s">
        <v>237</v>
      </c>
      <c r="C372" s="2" t="s">
        <v>157</v>
      </c>
      <c r="D372" s="1">
        <v>0</v>
      </c>
      <c r="E372" s="1">
        <v>0</v>
      </c>
      <c r="F372" s="1">
        <v>0</v>
      </c>
      <c r="G372" s="1">
        <v>9</v>
      </c>
      <c r="H372" s="4">
        <v>0.67</v>
      </c>
      <c r="I372" s="1">
        <v>1</v>
      </c>
      <c r="J372" s="4">
        <v>1</v>
      </c>
      <c r="K372" s="1">
        <v>0</v>
      </c>
      <c r="L372" s="1">
        <v>9</v>
      </c>
      <c r="M372" s="32">
        <f>IF(Mecze[[#This Row],[PR]]=0,0,Mecze[[#This Row],[PR]]/Mecze[[#This Row],[CZAS]])</f>
        <v>9.1836734693877556E-2</v>
      </c>
      <c r="N372" s="32">
        <f>IF(Mecze[[#This Row],[OU]]=0,0,Mecze[[#This Row],[OU]]/Mecze[[#This Row],[CZAS]])</f>
        <v>1.020408163265306E-2</v>
      </c>
      <c r="O372" s="32">
        <f>IF(Mecze[[#This Row],[PC]]=0,0,Mecze[[#This Row],[PC]]/Mecze[[#This Row],[CZAS]])</f>
        <v>6.1224489795918366E-2</v>
      </c>
      <c r="P372" s="32">
        <f>IF(Mecze[[#This Row],[SC]]=0,0,Mecze[[#This Row],[SC]]/Mecze[[#This Row],[CZAS]])</f>
        <v>0</v>
      </c>
      <c r="Q372" s="32">
        <f>IF(Mecze[[#This Row],[OB]]=0,0,Mecze[[#This Row],[OB]]/Mecze[[#This Row],[CZAS]])</f>
        <v>0</v>
      </c>
      <c r="R372" s="32">
        <f>IF(Mecze[[#This Row],[BR]]=0,0,Mecze[[#This Row],[BR]]/Mecze[[#This Row],[CZAS]])</f>
        <v>0</v>
      </c>
      <c r="S372" s="44">
        <f>IF(Mecze[[#This Row],[Role]]="BR",SUMPRODUCT(Mecze[[#This Row],[/PR:90]:[/BR:90]],Brudnopis!$E$23:$J$23),0)</f>
        <v>0</v>
      </c>
      <c r="T372" s="44">
        <f>IF(Mecze[[#This Row],[Role]]&lt;&gt;"BR",SUMPRODUCT(Mecze[[#This Row],[/PR:90]:[/BR:90]],Brudnopis!$E$24:$J$24),0)</f>
        <v>0.16836734693877553</v>
      </c>
      <c r="U372" s="44">
        <f>IF(Mecze[[#This Row],[Role]]&lt;&gt;"BR",SUMPRODUCT(Mecze[[#This Row],[/PR:90]:[/BR:90]],Brudnopis!$E$25:$J$25),0)</f>
        <v>0.19387755102040816</v>
      </c>
      <c r="V372" s="44">
        <f>IF(Mecze[[#This Row],[Role]]&lt;&gt;"BR",SUMPRODUCT(Mecze[[#This Row],[/PR:90]:[/BR:90]],Brudnopis!$E$26:$J$26),0)</f>
        <v>0.16326530612244899</v>
      </c>
      <c r="W372" s="44">
        <f>IF(Mecze[[#This Row],[Role]]&lt;&gt;"BR",SUMPRODUCT(Mecze[[#This Row],[/PR:90]:[/BR:90]],Brudnopis!$E$27:$J$27),0)</f>
        <v>0.1683673469387755</v>
      </c>
      <c r="X372" s="44">
        <f>IF(Mecze[[#This Row],[Role]]&lt;&gt;"BR",SUMPRODUCT(Mecze[[#This Row],[/PR:90]:[/BR:90]],Brudnopis!$E$28:$J$28),0)</f>
        <v>6.1224489795918366E-2</v>
      </c>
      <c r="Y372" s="35">
        <f>IF(Mecze[[#This Row],[Role]]="BR",Mecze[[#This Row],[/OB:90]]+Mecze[[#This Row],[/PC:90]],SUM(Mecze[[#This Row],[/PR:90]:[/BR:90]]))</f>
        <v>0.16326530612244899</v>
      </c>
      <c r="Z372" s="35">
        <f>IF(Mecze[[#This Row],[KC]]=0,SUM(Mecze[[#This Row],[/BRI]:[/NPI]]),SUM(Mecze[[#This Row],[/BRI]:[/NPI]])*0.6)</f>
        <v>0.75510204081632648</v>
      </c>
      <c r="AA372" s="10">
        <f>IFERROR(Mecze[[#This Row],[BR]]/Mecze[[#This Row],[ST]],0)</f>
        <v>0</v>
      </c>
      <c r="AB372">
        <f>ROUND(Mecze[[#This Row],[PD]]*Mecze[[#This Row],[%PC]],0)</f>
        <v>6</v>
      </c>
      <c r="AC372">
        <f>ROUND(Mecze[[#This Row],[OD]]*Mecze[[#This Row],[%OU]],0)</f>
        <v>1</v>
      </c>
      <c r="AD372" s="36" t="s">
        <v>47</v>
      </c>
      <c r="AE372" s="36">
        <v>23</v>
      </c>
      <c r="AF372" s="71">
        <v>4.7</v>
      </c>
      <c r="AG372" s="37">
        <v>0</v>
      </c>
      <c r="AH372" s="37">
        <v>0</v>
      </c>
      <c r="AI372" s="37">
        <v>98</v>
      </c>
      <c r="AJ372" s="37">
        <v>10</v>
      </c>
      <c r="AK372" s="37" t="str">
        <f>VLOOKUP(Mecze[[#This Row],[Match ID]],Meczusie[Mecz]:Meczusie[RodzajMeczu],2,FALSE)</f>
        <v>Liga</v>
      </c>
    </row>
    <row r="373" spans="1:37" x14ac:dyDescent="0.25">
      <c r="A373" s="76">
        <v>4</v>
      </c>
      <c r="B373" s="3" t="s">
        <v>238</v>
      </c>
      <c r="C373" s="2" t="s">
        <v>157</v>
      </c>
      <c r="D373" s="1">
        <v>0</v>
      </c>
      <c r="E373" s="1">
        <v>0</v>
      </c>
      <c r="F373" s="1">
        <v>0</v>
      </c>
      <c r="G373" s="1">
        <v>9</v>
      </c>
      <c r="H373" s="4">
        <v>0.78</v>
      </c>
      <c r="I373" s="1">
        <v>3</v>
      </c>
      <c r="J373" s="4">
        <v>0.67</v>
      </c>
      <c r="K373" s="1">
        <v>0</v>
      </c>
      <c r="L373" s="1">
        <v>10</v>
      </c>
      <c r="M373" s="32">
        <f>IF(Mecze[[#This Row],[PR]]=0,0,Mecze[[#This Row],[PR]]/Mecze[[#This Row],[CZAS]])</f>
        <v>0.10204081632653061</v>
      </c>
      <c r="N373" s="32">
        <f>IF(Mecze[[#This Row],[OU]]=0,0,Mecze[[#This Row],[OU]]/Mecze[[#This Row],[CZAS]])</f>
        <v>2.0408163265306121E-2</v>
      </c>
      <c r="O373" s="32">
        <f>IF(Mecze[[#This Row],[PC]]=0,0,Mecze[[#This Row],[PC]]/Mecze[[#This Row],[CZAS]])</f>
        <v>7.1428571428571425E-2</v>
      </c>
      <c r="P373" s="32">
        <f>IF(Mecze[[#This Row],[SC]]=0,0,Mecze[[#This Row],[SC]]/Mecze[[#This Row],[CZAS]])</f>
        <v>0</v>
      </c>
      <c r="Q373" s="32">
        <f>IF(Mecze[[#This Row],[OB]]=0,0,Mecze[[#This Row],[OB]]/Mecze[[#This Row],[CZAS]])</f>
        <v>0</v>
      </c>
      <c r="R373" s="32">
        <f>IF(Mecze[[#This Row],[BR]]=0,0,Mecze[[#This Row],[BR]]/Mecze[[#This Row],[CZAS]])</f>
        <v>0</v>
      </c>
      <c r="S373" s="44">
        <f>IF(Mecze[[#This Row],[Role]]="BR",SUMPRODUCT(Mecze[[#This Row],[/PR:90]:[/BR:90]],Brudnopis!$E$23:$J$23),0)</f>
        <v>0</v>
      </c>
      <c r="T373" s="44">
        <f>IF(Mecze[[#This Row],[Role]]&lt;&gt;"BR",SUMPRODUCT(Mecze[[#This Row],[/PR:90]:[/BR:90]],Brudnopis!$E$24:$J$24),0)</f>
        <v>0.20408163265306123</v>
      </c>
      <c r="U373" s="44">
        <f>IF(Mecze[[#This Row],[Role]]&lt;&gt;"BR",SUMPRODUCT(Mecze[[#This Row],[/PR:90]:[/BR:90]],Brudnopis!$E$25:$J$25),0)</f>
        <v>0.22959183673469385</v>
      </c>
      <c r="V373" s="44">
        <f>IF(Mecze[[#This Row],[Role]]&lt;&gt;"BR",SUMPRODUCT(Mecze[[#This Row],[/PR:90]:[/BR:90]],Brudnopis!$E$26:$J$26),0)</f>
        <v>0.19387755102040816</v>
      </c>
      <c r="W373" s="44">
        <f>IF(Mecze[[#This Row],[Role]]&lt;&gt;"BR",SUMPRODUCT(Mecze[[#This Row],[/PR:90]:[/BR:90]],Brudnopis!$E$27:$J$27),0)</f>
        <v>0.19897959183673469</v>
      </c>
      <c r="X373" s="44">
        <f>IF(Mecze[[#This Row],[Role]]&lt;&gt;"BR",SUMPRODUCT(Mecze[[#This Row],[/PR:90]:[/BR:90]],Brudnopis!$E$28:$J$28),0)</f>
        <v>7.1428571428571425E-2</v>
      </c>
      <c r="Y373" s="35">
        <f>IF(Mecze[[#This Row],[Role]]="BR",Mecze[[#This Row],[/OB:90]]+Mecze[[#This Row],[/PC:90]],SUM(Mecze[[#This Row],[/PR:90]:[/BR:90]]))</f>
        <v>0.19387755102040816</v>
      </c>
      <c r="Z373" s="35">
        <f>IF(Mecze[[#This Row],[KC]]=0,SUM(Mecze[[#This Row],[/BRI]:[/NPI]]),SUM(Mecze[[#This Row],[/BRI]:[/NPI]])*0.6)</f>
        <v>0.89795918367346927</v>
      </c>
      <c r="AA373" s="10">
        <f>IFERROR(Mecze[[#This Row],[BR]]/Mecze[[#This Row],[ST]],0)</f>
        <v>0</v>
      </c>
      <c r="AB373">
        <f>ROUND(Mecze[[#This Row],[PD]]*Mecze[[#This Row],[%PC]],0)</f>
        <v>7</v>
      </c>
      <c r="AC373">
        <f>ROUND(Mecze[[#This Row],[OD]]*Mecze[[#This Row],[%OU]],0)</f>
        <v>2</v>
      </c>
      <c r="AD373" s="36" t="s">
        <v>47</v>
      </c>
      <c r="AE373" s="36">
        <v>23</v>
      </c>
      <c r="AF373" s="71">
        <v>6.03</v>
      </c>
      <c r="AG373" s="37">
        <v>0</v>
      </c>
      <c r="AH373" s="37">
        <v>0</v>
      </c>
      <c r="AI373" s="37">
        <v>98</v>
      </c>
      <c r="AJ373" s="37">
        <v>10</v>
      </c>
      <c r="AK373" s="37" t="str">
        <f>VLOOKUP(Mecze[[#This Row],[Match ID]],Meczusie[Mecz]:Meczusie[RodzajMeczu],2,FALSE)</f>
        <v>Liga</v>
      </c>
    </row>
    <row r="374" spans="1:37" x14ac:dyDescent="0.25">
      <c r="A374" s="76">
        <v>12</v>
      </c>
      <c r="B374" s="3" t="s">
        <v>239</v>
      </c>
      <c r="C374" s="2" t="s">
        <v>157</v>
      </c>
      <c r="D374" s="1">
        <v>0</v>
      </c>
      <c r="E374" s="1">
        <v>0</v>
      </c>
      <c r="F374" s="1">
        <v>0</v>
      </c>
      <c r="G374" s="1">
        <v>5</v>
      </c>
      <c r="H374" s="4">
        <v>0.8</v>
      </c>
      <c r="I374" s="1">
        <v>4</v>
      </c>
      <c r="J374" s="4">
        <v>0.75</v>
      </c>
      <c r="K374" s="1">
        <v>0</v>
      </c>
      <c r="L374" s="1">
        <v>4</v>
      </c>
      <c r="M374" s="32">
        <f>IF(Mecze[[#This Row],[PR]]=0,0,Mecze[[#This Row],[PR]]/Mecze[[#This Row],[CZAS]])</f>
        <v>4.0816326530612242E-2</v>
      </c>
      <c r="N374" s="32">
        <f>IF(Mecze[[#This Row],[OU]]=0,0,Mecze[[#This Row],[OU]]/Mecze[[#This Row],[CZAS]])</f>
        <v>3.0612244897959183E-2</v>
      </c>
      <c r="O374" s="32">
        <f>IF(Mecze[[#This Row],[PC]]=0,0,Mecze[[#This Row],[PC]]/Mecze[[#This Row],[CZAS]])</f>
        <v>4.0816326530612242E-2</v>
      </c>
      <c r="P374" s="32">
        <f>IF(Mecze[[#This Row],[SC]]=0,0,Mecze[[#This Row],[SC]]/Mecze[[#This Row],[CZAS]])</f>
        <v>0</v>
      </c>
      <c r="Q374" s="32">
        <f>IF(Mecze[[#This Row],[OB]]=0,0,Mecze[[#This Row],[OB]]/Mecze[[#This Row],[CZAS]])</f>
        <v>0</v>
      </c>
      <c r="R374" s="32">
        <f>IF(Mecze[[#This Row],[BR]]=0,0,Mecze[[#This Row],[BR]]/Mecze[[#This Row],[CZAS]])</f>
        <v>0</v>
      </c>
      <c r="S374" s="44">
        <f>IF(Mecze[[#This Row],[Role]]="BR",SUMPRODUCT(Mecze[[#This Row],[/PR:90]:[/BR:90]],Brudnopis!$E$23:$J$23),0)</f>
        <v>0</v>
      </c>
      <c r="T374" s="44">
        <f>IF(Mecze[[#This Row],[Role]]&lt;&gt;"BR",SUMPRODUCT(Mecze[[#This Row],[/PR:90]:[/BR:90]],Brudnopis!$E$24:$J$24),0)</f>
        <v>0.12755102040816324</v>
      </c>
      <c r="U374" s="44">
        <f>IF(Mecze[[#This Row],[Role]]&lt;&gt;"BR",SUMPRODUCT(Mecze[[#This Row],[/PR:90]:[/BR:90]],Brudnopis!$E$25:$J$25),0)</f>
        <v>0.13265306122448978</v>
      </c>
      <c r="V374" s="44">
        <f>IF(Mecze[[#This Row],[Role]]&lt;&gt;"BR",SUMPRODUCT(Mecze[[#This Row],[/PR:90]:[/BR:90]],Brudnopis!$E$26:$J$26),0)</f>
        <v>0.11224489795918366</v>
      </c>
      <c r="W374" s="44">
        <f>IF(Mecze[[#This Row],[Role]]&lt;&gt;"BR",SUMPRODUCT(Mecze[[#This Row],[/PR:90]:[/BR:90]],Brudnopis!$E$27:$J$27),0)</f>
        <v>0.11479591836734693</v>
      </c>
      <c r="X374" s="44">
        <f>IF(Mecze[[#This Row],[Role]]&lt;&gt;"BR",SUMPRODUCT(Mecze[[#This Row],[/PR:90]:[/BR:90]],Brudnopis!$E$28:$J$28),0)</f>
        <v>4.0816326530612242E-2</v>
      </c>
      <c r="Y374" s="35">
        <f>IF(Mecze[[#This Row],[Role]]="BR",Mecze[[#This Row],[/OB:90]]+Mecze[[#This Row],[/PC:90]],SUM(Mecze[[#This Row],[/PR:90]:[/BR:90]]))</f>
        <v>0.11224489795918366</v>
      </c>
      <c r="Z374" s="35">
        <f>IF(Mecze[[#This Row],[KC]]=0,SUM(Mecze[[#This Row],[/BRI]:[/NPI]]),SUM(Mecze[[#This Row],[/BRI]:[/NPI]])*0.6)</f>
        <v>0.52806122448979587</v>
      </c>
      <c r="AA374" s="10">
        <f>IFERROR(Mecze[[#This Row],[BR]]/Mecze[[#This Row],[ST]],0)</f>
        <v>0</v>
      </c>
      <c r="AB374">
        <f>ROUND(Mecze[[#This Row],[PD]]*Mecze[[#This Row],[%PC]],0)</f>
        <v>4</v>
      </c>
      <c r="AC374">
        <f>ROUND(Mecze[[#This Row],[OD]]*Mecze[[#This Row],[%OU]],0)</f>
        <v>3</v>
      </c>
      <c r="AD374" s="36" t="s">
        <v>175</v>
      </c>
      <c r="AE374" s="36">
        <v>23</v>
      </c>
      <c r="AF374" s="71">
        <v>4.7699999999999996</v>
      </c>
      <c r="AG374" s="37">
        <v>0</v>
      </c>
      <c r="AH374" s="37">
        <v>0</v>
      </c>
      <c r="AI374" s="37">
        <v>98</v>
      </c>
      <c r="AJ374" s="37">
        <v>10</v>
      </c>
      <c r="AK374" s="37" t="str">
        <f>VLOOKUP(Mecze[[#This Row],[Match ID]],Meczusie[Mecz]:Meczusie[RodzajMeczu],2,FALSE)</f>
        <v>Liga</v>
      </c>
    </row>
    <row r="375" spans="1:37" x14ac:dyDescent="0.25">
      <c r="A375" s="76">
        <v>2</v>
      </c>
      <c r="B375" s="3" t="s">
        <v>240</v>
      </c>
      <c r="C375" s="2" t="s">
        <v>157</v>
      </c>
      <c r="D375" s="1">
        <v>0</v>
      </c>
      <c r="E375" s="1">
        <v>0</v>
      </c>
      <c r="F375" s="1">
        <v>0</v>
      </c>
      <c r="G375" s="1">
        <v>11</v>
      </c>
      <c r="H375" s="4">
        <v>0.73</v>
      </c>
      <c r="I375" s="1">
        <v>5</v>
      </c>
      <c r="J375" s="4">
        <v>0.6</v>
      </c>
      <c r="K375" s="1">
        <v>0</v>
      </c>
      <c r="L375" s="1">
        <v>7</v>
      </c>
      <c r="M375" s="32">
        <f>IF(Mecze[[#This Row],[PR]]=0,0,Mecze[[#This Row],[PR]]/Mecze[[#This Row],[CZAS]])</f>
        <v>7.1428571428571425E-2</v>
      </c>
      <c r="N375" s="32">
        <f>IF(Mecze[[#This Row],[OU]]=0,0,Mecze[[#This Row],[OU]]/Mecze[[#This Row],[CZAS]])</f>
        <v>3.0612244897959183E-2</v>
      </c>
      <c r="O375" s="32">
        <f>IF(Mecze[[#This Row],[PC]]=0,0,Mecze[[#This Row],[PC]]/Mecze[[#This Row],[CZAS]])</f>
        <v>8.1632653061224483E-2</v>
      </c>
      <c r="P375" s="32">
        <f>IF(Mecze[[#This Row],[SC]]=0,0,Mecze[[#This Row],[SC]]/Mecze[[#This Row],[CZAS]])</f>
        <v>0</v>
      </c>
      <c r="Q375" s="32">
        <f>IF(Mecze[[#This Row],[OB]]=0,0,Mecze[[#This Row],[OB]]/Mecze[[#This Row],[CZAS]])</f>
        <v>0</v>
      </c>
      <c r="R375" s="32">
        <f>IF(Mecze[[#This Row],[BR]]=0,0,Mecze[[#This Row],[BR]]/Mecze[[#This Row],[CZAS]])</f>
        <v>0</v>
      </c>
      <c r="S375" s="44">
        <f>IF(Mecze[[#This Row],[Role]]="BR",SUMPRODUCT(Mecze[[#This Row],[/PR:90]:[/BR:90]],Brudnopis!$E$23:$J$23),0)</f>
        <v>0</v>
      </c>
      <c r="T375" s="44">
        <f>IF(Mecze[[#This Row],[Role]]&lt;&gt;"BR",SUMPRODUCT(Mecze[[#This Row],[/PR:90]:[/BR:90]],Brudnopis!$E$24:$J$24),0)</f>
        <v>0.19897959183673469</v>
      </c>
      <c r="U375" s="44">
        <f>IF(Mecze[[#This Row],[Role]]&lt;&gt;"BR",SUMPRODUCT(Mecze[[#This Row],[/PR:90]:[/BR:90]],Brudnopis!$E$25:$J$25),0)</f>
        <v>0.22448979591836735</v>
      </c>
      <c r="V375" s="44">
        <f>IF(Mecze[[#This Row],[Role]]&lt;&gt;"BR",SUMPRODUCT(Mecze[[#This Row],[/PR:90]:[/BR:90]],Brudnopis!$E$26:$J$26),0)</f>
        <v>0.18367346938775508</v>
      </c>
      <c r="W375" s="44">
        <f>IF(Mecze[[#This Row],[Role]]&lt;&gt;"BR",SUMPRODUCT(Mecze[[#This Row],[/PR:90]:[/BR:90]],Brudnopis!$E$27:$J$27),0)</f>
        <v>0.19897959183673469</v>
      </c>
      <c r="X375" s="44">
        <f>IF(Mecze[[#This Row],[Role]]&lt;&gt;"BR",SUMPRODUCT(Mecze[[#This Row],[/PR:90]:[/BR:90]],Brudnopis!$E$28:$J$28),0)</f>
        <v>8.1632653061224483E-2</v>
      </c>
      <c r="Y375" s="35">
        <f>IF(Mecze[[#This Row],[Role]]="BR",Mecze[[#This Row],[/OB:90]]+Mecze[[#This Row],[/PC:90]],SUM(Mecze[[#This Row],[/PR:90]:[/BR:90]]))</f>
        <v>0.18367346938775508</v>
      </c>
      <c r="Z375" s="35">
        <f>IF(Mecze[[#This Row],[KC]]=0,SUM(Mecze[[#This Row],[/BRI]:[/NPI]]),SUM(Mecze[[#This Row],[/BRI]:[/NPI]])*0.6)</f>
        <v>0.8877551020408162</v>
      </c>
      <c r="AA375" s="10">
        <f>IFERROR(Mecze[[#This Row],[BR]]/Mecze[[#This Row],[ST]],0)</f>
        <v>0</v>
      </c>
      <c r="AB375">
        <f>ROUND(Mecze[[#This Row],[PD]]*Mecze[[#This Row],[%PC]],0)</f>
        <v>8</v>
      </c>
      <c r="AC375">
        <f>ROUND(Mecze[[#This Row],[OD]]*Mecze[[#This Row],[%OU]],0)</f>
        <v>3</v>
      </c>
      <c r="AD375" s="41" t="s">
        <v>174</v>
      </c>
      <c r="AE375" s="36">
        <v>23</v>
      </c>
      <c r="AF375" s="71">
        <v>5.4</v>
      </c>
      <c r="AG375" s="37">
        <v>0</v>
      </c>
      <c r="AH375" s="37">
        <v>0</v>
      </c>
      <c r="AI375" s="37">
        <v>98</v>
      </c>
      <c r="AJ375" s="37">
        <v>10</v>
      </c>
      <c r="AK375" s="37" t="str">
        <f>VLOOKUP(Mecze[[#This Row],[Match ID]],Meczusie[Mecz]:Meczusie[RodzajMeczu],2,FALSE)</f>
        <v>Liga</v>
      </c>
    </row>
    <row r="376" spans="1:37" x14ac:dyDescent="0.25">
      <c r="A376" s="76">
        <v>7</v>
      </c>
      <c r="B376" s="3" t="s">
        <v>241</v>
      </c>
      <c r="C376" s="2" t="s">
        <v>160</v>
      </c>
      <c r="D376" s="1">
        <v>0</v>
      </c>
      <c r="E376" s="1">
        <v>1</v>
      </c>
      <c r="F376" s="1">
        <v>0</v>
      </c>
      <c r="G376" s="1">
        <v>9</v>
      </c>
      <c r="H376" s="4">
        <v>0.44</v>
      </c>
      <c r="I376" s="1">
        <v>7</v>
      </c>
      <c r="J376" s="4">
        <v>0.28999999999999998</v>
      </c>
      <c r="K376" s="1">
        <v>0</v>
      </c>
      <c r="L376" s="1">
        <v>4</v>
      </c>
      <c r="M376" s="32">
        <f>IF(Mecze[[#This Row],[PR]]=0,0,Mecze[[#This Row],[PR]]/Mecze[[#This Row],[CZAS]])</f>
        <v>4.0816326530612242E-2</v>
      </c>
      <c r="N376" s="32">
        <f>IF(Mecze[[#This Row],[OU]]=0,0,Mecze[[#This Row],[OU]]/Mecze[[#This Row],[CZAS]])</f>
        <v>2.0408163265306121E-2</v>
      </c>
      <c r="O376" s="32">
        <f>IF(Mecze[[#This Row],[PC]]=0,0,Mecze[[#This Row],[PC]]/Mecze[[#This Row],[CZAS]])</f>
        <v>4.0816326530612242E-2</v>
      </c>
      <c r="P376" s="32">
        <f>IF(Mecze[[#This Row],[SC]]=0,0,Mecze[[#This Row],[SC]]/Mecze[[#This Row],[CZAS]])</f>
        <v>0</v>
      </c>
      <c r="Q376" s="32">
        <f>IF(Mecze[[#This Row],[OB]]=0,0,Mecze[[#This Row],[OB]]/Mecze[[#This Row],[CZAS]])</f>
        <v>0</v>
      </c>
      <c r="R376" s="32">
        <f>IF(Mecze[[#This Row],[BR]]=0,0,Mecze[[#This Row],[BR]]/Mecze[[#This Row],[CZAS]])</f>
        <v>0</v>
      </c>
      <c r="S376" s="44">
        <f>IF(Mecze[[#This Row],[Role]]="BR",SUMPRODUCT(Mecze[[#This Row],[/PR:90]:[/BR:90]],Brudnopis!$E$23:$J$23),0)</f>
        <v>0</v>
      </c>
      <c r="T376" s="44">
        <f>IF(Mecze[[#This Row],[Role]]&lt;&gt;"BR",SUMPRODUCT(Mecze[[#This Row],[/PR:90]:[/BR:90]],Brudnopis!$E$24:$J$24),0)</f>
        <v>0.11224489795918366</v>
      </c>
      <c r="U376" s="44">
        <f>IF(Mecze[[#This Row],[Role]]&lt;&gt;"BR",SUMPRODUCT(Mecze[[#This Row],[/PR:90]:[/BR:90]],Brudnopis!$E$25:$J$25),0)</f>
        <v>0.12244897959183673</v>
      </c>
      <c r="V376" s="44">
        <f>IF(Mecze[[#This Row],[Role]]&lt;&gt;"BR",SUMPRODUCT(Mecze[[#This Row],[/PR:90]:[/BR:90]],Brudnopis!$E$26:$J$26),0)</f>
        <v>0.10204081632653061</v>
      </c>
      <c r="W376" s="44">
        <f>IF(Mecze[[#This Row],[Role]]&lt;&gt;"BR",SUMPRODUCT(Mecze[[#This Row],[/PR:90]:[/BR:90]],Brudnopis!$E$27:$J$27),0)</f>
        <v>0.10714285714285714</v>
      </c>
      <c r="X376" s="44">
        <f>IF(Mecze[[#This Row],[Role]]&lt;&gt;"BR",SUMPRODUCT(Mecze[[#This Row],[/PR:90]:[/BR:90]],Brudnopis!$E$28:$J$28),0)</f>
        <v>4.0816326530612242E-2</v>
      </c>
      <c r="Y376" s="35">
        <f>IF(Mecze[[#This Row],[Role]]="BR",Mecze[[#This Row],[/OB:90]]+Mecze[[#This Row],[/PC:90]],SUM(Mecze[[#This Row],[/PR:90]:[/BR:90]]))</f>
        <v>0.10204081632653061</v>
      </c>
      <c r="Z376" s="35">
        <f>IF(Mecze[[#This Row],[KC]]=0,SUM(Mecze[[#This Row],[/BRI]:[/NPI]]),SUM(Mecze[[#This Row],[/BRI]:[/NPI]])*0.6)</f>
        <v>0.48469387755102039</v>
      </c>
      <c r="AA376" s="10">
        <f>IFERROR(Mecze[[#This Row],[BR]]/Mecze[[#This Row],[ST]],0)</f>
        <v>0</v>
      </c>
      <c r="AB376">
        <f>ROUND(Mecze[[#This Row],[PD]]*Mecze[[#This Row],[%PC]],0)</f>
        <v>4</v>
      </c>
      <c r="AC376">
        <f>ROUND(Mecze[[#This Row],[OD]]*Mecze[[#This Row],[%OU]],0)</f>
        <v>2</v>
      </c>
      <c r="AD376" s="41" t="s">
        <v>41</v>
      </c>
      <c r="AE376" s="36">
        <v>23</v>
      </c>
      <c r="AF376" s="71">
        <v>4.76</v>
      </c>
      <c r="AG376" s="37">
        <v>0</v>
      </c>
      <c r="AH376" s="37">
        <v>0</v>
      </c>
      <c r="AI376" s="37">
        <v>98</v>
      </c>
      <c r="AJ376" s="37">
        <v>10</v>
      </c>
      <c r="AK376" s="37" t="str">
        <f>VLOOKUP(Mecze[[#This Row],[Match ID]],Meczusie[Mecz]:Meczusie[RodzajMeczu],2,FALSE)</f>
        <v>Liga</v>
      </c>
    </row>
    <row r="377" spans="1:37" x14ac:dyDescent="0.25">
      <c r="A377" s="76">
        <v>5</v>
      </c>
      <c r="B377" s="3" t="s">
        <v>242</v>
      </c>
      <c r="C377" s="2" t="s">
        <v>160</v>
      </c>
      <c r="D377" s="1">
        <v>0</v>
      </c>
      <c r="E377" s="1">
        <v>0</v>
      </c>
      <c r="F377" s="1">
        <v>0</v>
      </c>
      <c r="G377" s="1">
        <v>13</v>
      </c>
      <c r="H377" s="4">
        <v>0.69</v>
      </c>
      <c r="I377" s="1">
        <v>10</v>
      </c>
      <c r="J377" s="4">
        <v>0.5</v>
      </c>
      <c r="K377" s="1">
        <v>0</v>
      </c>
      <c r="L377" s="1">
        <v>2</v>
      </c>
      <c r="M377" s="32">
        <f>IF(Mecze[[#This Row],[PR]]=0,0,Mecze[[#This Row],[PR]]/Mecze[[#This Row],[CZAS]])</f>
        <v>2.0618556701030927E-2</v>
      </c>
      <c r="N377" s="32">
        <f>IF(Mecze[[#This Row],[OU]]=0,0,Mecze[[#This Row],[OU]]/Mecze[[#This Row],[CZAS]])</f>
        <v>5.1546391752577317E-2</v>
      </c>
      <c r="O377" s="32">
        <f>IF(Mecze[[#This Row],[PC]]=0,0,Mecze[[#This Row],[PC]]/Mecze[[#This Row],[CZAS]])</f>
        <v>9.2783505154639179E-2</v>
      </c>
      <c r="P377" s="32">
        <f>IF(Mecze[[#This Row],[SC]]=0,0,Mecze[[#This Row],[SC]]/Mecze[[#This Row],[CZAS]])</f>
        <v>0</v>
      </c>
      <c r="Q377" s="32">
        <f>IF(Mecze[[#This Row],[OB]]=0,0,Mecze[[#This Row],[OB]]/Mecze[[#This Row],[CZAS]])</f>
        <v>0</v>
      </c>
      <c r="R377" s="32">
        <f>IF(Mecze[[#This Row],[BR]]=0,0,Mecze[[#This Row],[BR]]/Mecze[[#This Row],[CZAS]])</f>
        <v>0</v>
      </c>
      <c r="S377" s="44">
        <f>IF(Mecze[[#This Row],[Role]]="BR",SUMPRODUCT(Mecze[[#This Row],[/PR:90]:[/BR:90]],Brudnopis!$E$23:$J$23),0)</f>
        <v>0</v>
      </c>
      <c r="T377" s="44">
        <f>IF(Mecze[[#This Row],[Role]]&lt;&gt;"BR",SUMPRODUCT(Mecze[[#This Row],[/PR:90]:[/BR:90]],Brudnopis!$E$24:$J$24),0)</f>
        <v>0.19072164948453607</v>
      </c>
      <c r="U377" s="44">
        <f>IF(Mecze[[#This Row],[Role]]&lt;&gt;"BR",SUMPRODUCT(Mecze[[#This Row],[/PR:90]:[/BR:90]],Brudnopis!$E$25:$J$25),0)</f>
        <v>0.21134020618556701</v>
      </c>
      <c r="V377" s="44">
        <f>IF(Mecze[[#This Row],[Role]]&lt;&gt;"BR",SUMPRODUCT(Mecze[[#This Row],[/PR:90]:[/BR:90]],Brudnopis!$E$26:$J$26),0)</f>
        <v>0.16494845360824742</v>
      </c>
      <c r="W377" s="44">
        <f>IF(Mecze[[#This Row],[Role]]&lt;&gt;"BR",SUMPRODUCT(Mecze[[#This Row],[/PR:90]:[/BR:90]],Brudnopis!$E$27:$J$27),0)</f>
        <v>0.19329896907216496</v>
      </c>
      <c r="X377" s="44">
        <f>IF(Mecze[[#This Row],[Role]]&lt;&gt;"BR",SUMPRODUCT(Mecze[[#This Row],[/PR:90]:[/BR:90]],Brudnopis!$E$28:$J$28),0)</f>
        <v>9.2783505154639179E-2</v>
      </c>
      <c r="Y377" s="35">
        <f>IF(Mecze[[#This Row],[Role]]="BR",Mecze[[#This Row],[/OB:90]]+Mecze[[#This Row],[/PC:90]],SUM(Mecze[[#This Row],[/PR:90]:[/BR:90]]))</f>
        <v>0.16494845360824742</v>
      </c>
      <c r="Z377" s="35">
        <f>IF(Mecze[[#This Row],[KC]]=0,SUM(Mecze[[#This Row],[/BRI]:[/NPI]]),SUM(Mecze[[#This Row],[/BRI]:[/NPI]])*0.6)</f>
        <v>0.85309278350515461</v>
      </c>
      <c r="AA377" s="10">
        <f>IFERROR(Mecze[[#This Row],[BR]]/Mecze[[#This Row],[ST]],0)</f>
        <v>0</v>
      </c>
      <c r="AB377">
        <f>ROUND(Mecze[[#This Row],[PD]]*Mecze[[#This Row],[%PC]],0)</f>
        <v>9</v>
      </c>
      <c r="AC377">
        <f>ROUND(Mecze[[#This Row],[OD]]*Mecze[[#This Row],[%OU]],0)</f>
        <v>5</v>
      </c>
      <c r="AD377" s="41" t="s">
        <v>41</v>
      </c>
      <c r="AE377" s="36">
        <v>23</v>
      </c>
      <c r="AF377" s="71">
        <v>5.55</v>
      </c>
      <c r="AG377" s="37">
        <v>0</v>
      </c>
      <c r="AH377" s="37">
        <v>0</v>
      </c>
      <c r="AI377" s="37">
        <v>97</v>
      </c>
      <c r="AJ377" s="37">
        <v>10</v>
      </c>
      <c r="AK377" s="37" t="str">
        <f>VLOOKUP(Mecze[[#This Row],[Match ID]],Meczusie[Mecz]:Meczusie[RodzajMeczu],2,FALSE)</f>
        <v>Liga</v>
      </c>
    </row>
    <row r="378" spans="1:37" x14ac:dyDescent="0.25">
      <c r="A378" s="76">
        <v>11</v>
      </c>
      <c r="B378" s="3" t="s">
        <v>243</v>
      </c>
      <c r="C378" s="2" t="s">
        <v>160</v>
      </c>
      <c r="D378" s="1">
        <v>0</v>
      </c>
      <c r="E378" s="1">
        <v>2</v>
      </c>
      <c r="F378" s="1">
        <v>2</v>
      </c>
      <c r="G378" s="1">
        <v>14</v>
      </c>
      <c r="H378" s="4">
        <v>0.56999999999999995</v>
      </c>
      <c r="I378" s="1">
        <v>10</v>
      </c>
      <c r="J378" s="4">
        <v>0.6</v>
      </c>
      <c r="K378" s="1">
        <v>0</v>
      </c>
      <c r="L378" s="1">
        <v>4</v>
      </c>
      <c r="M378" s="32">
        <f>IF(Mecze[[#This Row],[PR]]=0,0,Mecze[[#This Row],[PR]]/Mecze[[#This Row],[CZAS]])</f>
        <v>4.0816326530612242E-2</v>
      </c>
      <c r="N378" s="32">
        <f>IF(Mecze[[#This Row],[OU]]=0,0,Mecze[[#This Row],[OU]]/Mecze[[#This Row],[CZAS]])</f>
        <v>6.1224489795918366E-2</v>
      </c>
      <c r="O378" s="32">
        <f>IF(Mecze[[#This Row],[PC]]=0,0,Mecze[[#This Row],[PC]]/Mecze[[#This Row],[CZAS]])</f>
        <v>8.1632653061224483E-2</v>
      </c>
      <c r="P378" s="32">
        <f>IF(Mecze[[#This Row],[SC]]=0,0,Mecze[[#This Row],[SC]]/Mecze[[#This Row],[CZAS]])</f>
        <v>2.0408163265306121E-2</v>
      </c>
      <c r="Q378" s="32">
        <f>IF(Mecze[[#This Row],[OB]]=0,0,Mecze[[#This Row],[OB]]/Mecze[[#This Row],[CZAS]])</f>
        <v>0</v>
      </c>
      <c r="R378" s="32">
        <f>IF(Mecze[[#This Row],[BR]]=0,0,Mecze[[#This Row],[BR]]/Mecze[[#This Row],[CZAS]])</f>
        <v>0</v>
      </c>
      <c r="S378" s="44">
        <f>IF(Mecze[[#This Row],[Role]]="BR",SUMPRODUCT(Mecze[[#This Row],[/PR:90]:[/BR:90]],Brudnopis!$E$23:$J$23),0)</f>
        <v>0</v>
      </c>
      <c r="T378" s="44">
        <f>IF(Mecze[[#This Row],[Role]]&lt;&gt;"BR",SUMPRODUCT(Mecze[[#This Row],[/PR:90]:[/BR:90]],Brudnopis!$E$24:$J$24),0)</f>
        <v>0.23469387755102036</v>
      </c>
      <c r="U378" s="44">
        <f>IF(Mecze[[#This Row],[Role]]&lt;&gt;"BR",SUMPRODUCT(Mecze[[#This Row],[/PR:90]:[/BR:90]],Brudnopis!$E$25:$J$25),0)</f>
        <v>0.24489795918367346</v>
      </c>
      <c r="V378" s="44">
        <f>IF(Mecze[[#This Row],[Role]]&lt;&gt;"BR",SUMPRODUCT(Mecze[[#This Row],[/PR:90]:[/BR:90]],Brudnopis!$E$26:$J$26),0)</f>
        <v>0.2040816326530612</v>
      </c>
      <c r="W378" s="44">
        <f>IF(Mecze[[#This Row],[Role]]&lt;&gt;"BR",SUMPRODUCT(Mecze[[#This Row],[/PR:90]:[/BR:90]],Brudnopis!$E$27:$J$27),0)</f>
        <v>0.21938775510204081</v>
      </c>
      <c r="X378" s="44">
        <f>IF(Mecze[[#This Row],[Role]]&lt;&gt;"BR",SUMPRODUCT(Mecze[[#This Row],[/PR:90]:[/BR:90]],Brudnopis!$E$28:$J$28),0)</f>
        <v>0.12244897959183673</v>
      </c>
      <c r="Y378" s="35">
        <f>IF(Mecze[[#This Row],[Role]]="BR",Mecze[[#This Row],[/OB:90]]+Mecze[[#This Row],[/PC:90]],SUM(Mecze[[#This Row],[/PR:90]:[/BR:90]]))</f>
        <v>0.2040816326530612</v>
      </c>
      <c r="Z378" s="35">
        <f>IF(Mecze[[#This Row],[KC]]=0,SUM(Mecze[[#This Row],[/BRI]:[/NPI]]),SUM(Mecze[[#This Row],[/BRI]:[/NPI]])*0.6)</f>
        <v>1.0255102040816326</v>
      </c>
      <c r="AA378" s="10">
        <f>IFERROR(Mecze[[#This Row],[BR]]/Mecze[[#This Row],[ST]],0)</f>
        <v>0</v>
      </c>
      <c r="AB378">
        <f>ROUND(Mecze[[#This Row],[PD]]*Mecze[[#This Row],[%PC]],0)</f>
        <v>8</v>
      </c>
      <c r="AC378">
        <f>ROUND(Mecze[[#This Row],[OD]]*Mecze[[#This Row],[%OU]],0)</f>
        <v>6</v>
      </c>
      <c r="AD378" s="41" t="s">
        <v>67</v>
      </c>
      <c r="AE378" s="36">
        <v>23</v>
      </c>
      <c r="AF378" s="71">
        <v>6.43</v>
      </c>
      <c r="AG378" s="37">
        <v>0</v>
      </c>
      <c r="AH378" s="37">
        <v>0</v>
      </c>
      <c r="AI378" s="37">
        <v>98</v>
      </c>
      <c r="AJ378" s="37">
        <v>10</v>
      </c>
      <c r="AK378" s="37" t="str">
        <f>VLOOKUP(Mecze[[#This Row],[Match ID]],Meczusie[Mecz]:Meczusie[RodzajMeczu],2,FALSE)</f>
        <v>Liga</v>
      </c>
    </row>
    <row r="379" spans="1:37" x14ac:dyDescent="0.25">
      <c r="A379" s="76">
        <v>8</v>
      </c>
      <c r="B379" s="3" t="s">
        <v>245</v>
      </c>
      <c r="C379" s="2" t="s">
        <v>165</v>
      </c>
      <c r="D379" s="1">
        <v>0</v>
      </c>
      <c r="E379" s="1">
        <v>1</v>
      </c>
      <c r="F379" s="1">
        <v>1</v>
      </c>
      <c r="G379" s="1">
        <v>3</v>
      </c>
      <c r="H379" s="4">
        <v>1</v>
      </c>
      <c r="I379" s="1">
        <v>3</v>
      </c>
      <c r="J379" s="4">
        <v>0.67</v>
      </c>
      <c r="K379" s="1">
        <v>0</v>
      </c>
      <c r="L379" s="1">
        <v>0</v>
      </c>
      <c r="M379" s="32">
        <f>IF(Mecze[[#This Row],[PR]]=0,0,Mecze[[#This Row],[PR]]/Mecze[[#This Row],[CZAS]])</f>
        <v>0</v>
      </c>
      <c r="N379" s="32">
        <f>IF(Mecze[[#This Row],[OU]]=0,0,Mecze[[#This Row],[OU]]/Mecze[[#This Row],[CZAS]])</f>
        <v>2.0408163265306121E-2</v>
      </c>
      <c r="O379" s="32">
        <f>IF(Mecze[[#This Row],[PC]]=0,0,Mecze[[#This Row],[PC]]/Mecze[[#This Row],[CZAS]])</f>
        <v>3.0612244897959183E-2</v>
      </c>
      <c r="P379" s="32">
        <f>IF(Mecze[[#This Row],[SC]]=0,0,Mecze[[#This Row],[SC]]/Mecze[[#This Row],[CZAS]])</f>
        <v>1.020408163265306E-2</v>
      </c>
      <c r="Q379" s="32">
        <f>IF(Mecze[[#This Row],[OB]]=0,0,Mecze[[#This Row],[OB]]/Mecze[[#This Row],[CZAS]])</f>
        <v>0</v>
      </c>
      <c r="R379" s="32">
        <f>IF(Mecze[[#This Row],[BR]]=0,0,Mecze[[#This Row],[BR]]/Mecze[[#This Row],[CZAS]])</f>
        <v>0</v>
      </c>
      <c r="S379" s="44">
        <f>IF(Mecze[[#This Row],[Role]]="BR",SUMPRODUCT(Mecze[[#This Row],[/PR:90]:[/BR:90]],Brudnopis!$E$23:$J$23),0)</f>
        <v>0</v>
      </c>
      <c r="T379" s="44">
        <f>IF(Mecze[[#This Row],[Role]]&lt;&gt;"BR",SUMPRODUCT(Mecze[[#This Row],[/PR:90]:[/BR:90]],Brudnopis!$E$24:$J$24),0)</f>
        <v>7.1428571428571425E-2</v>
      </c>
      <c r="U379" s="44">
        <f>IF(Mecze[[#This Row],[Role]]&lt;&gt;"BR",SUMPRODUCT(Mecze[[#This Row],[/PR:90]:[/BR:90]],Brudnopis!$E$25:$J$25),0)</f>
        <v>7.6530612244897947E-2</v>
      </c>
      <c r="V379" s="44">
        <f>IF(Mecze[[#This Row],[Role]]&lt;&gt;"BR",SUMPRODUCT(Mecze[[#This Row],[/PR:90]:[/BR:90]],Brudnopis!$E$26:$J$26),0)</f>
        <v>6.1224489795918366E-2</v>
      </c>
      <c r="W379" s="44">
        <f>IF(Mecze[[#This Row],[Role]]&lt;&gt;"BR",SUMPRODUCT(Mecze[[#This Row],[/PR:90]:[/BR:90]],Brudnopis!$E$27:$J$27),0)</f>
        <v>7.1428571428571425E-2</v>
      </c>
      <c r="X379" s="44">
        <f>IF(Mecze[[#This Row],[Role]]&lt;&gt;"BR",SUMPRODUCT(Mecze[[#This Row],[/PR:90]:[/BR:90]],Brudnopis!$E$28:$J$28),0)</f>
        <v>5.1020408163265307E-2</v>
      </c>
      <c r="Y379" s="35">
        <f>IF(Mecze[[#This Row],[Role]]="BR",Mecze[[#This Row],[/OB:90]]+Mecze[[#This Row],[/PC:90]],SUM(Mecze[[#This Row],[/PR:90]:[/BR:90]]))</f>
        <v>6.1224489795918366E-2</v>
      </c>
      <c r="Z379" s="35">
        <f>IF(Mecze[[#This Row],[KC]]=0,SUM(Mecze[[#This Row],[/BRI]:[/NPI]]),SUM(Mecze[[#This Row],[/BRI]:[/NPI]])*0.6)</f>
        <v>0.33163265306122452</v>
      </c>
      <c r="AA379" s="10">
        <f>IFERROR(Mecze[[#This Row],[BR]]/Mecze[[#This Row],[ST]],0)</f>
        <v>0</v>
      </c>
      <c r="AB379">
        <f>ROUND(Mecze[[#This Row],[PD]]*Mecze[[#This Row],[%PC]],0)</f>
        <v>3</v>
      </c>
      <c r="AC379">
        <f>ROUND(Mecze[[#This Row],[OD]]*Mecze[[#This Row],[%OU]],0)</f>
        <v>2</v>
      </c>
      <c r="AD379" s="41" t="s">
        <v>46</v>
      </c>
      <c r="AE379" s="36">
        <v>23</v>
      </c>
      <c r="AF379" s="71">
        <v>4.1500000000000004</v>
      </c>
      <c r="AG379" s="37">
        <v>0</v>
      </c>
      <c r="AH379" s="37">
        <v>0</v>
      </c>
      <c r="AI379" s="37">
        <v>98</v>
      </c>
      <c r="AJ379" s="37">
        <v>10</v>
      </c>
      <c r="AK379" s="37" t="str">
        <f>VLOOKUP(Mecze[[#This Row],[Match ID]],Meczusie[Mecz]:Meczusie[RodzajMeczu],2,FALSE)</f>
        <v>Liga</v>
      </c>
    </row>
    <row r="380" spans="1:37" x14ac:dyDescent="0.25">
      <c r="A380" s="76">
        <v>14</v>
      </c>
      <c r="B380" s="3" t="s">
        <v>244</v>
      </c>
      <c r="C380" s="2" t="s">
        <v>165</v>
      </c>
      <c r="D380" s="1">
        <v>1</v>
      </c>
      <c r="E380" s="1">
        <v>2</v>
      </c>
      <c r="F380" s="1">
        <v>2</v>
      </c>
      <c r="G380" s="1">
        <v>6</v>
      </c>
      <c r="H380" s="4">
        <v>0.5</v>
      </c>
      <c r="I380" s="1">
        <v>3</v>
      </c>
      <c r="J380" s="4">
        <v>0.67</v>
      </c>
      <c r="K380" s="1">
        <v>0</v>
      </c>
      <c r="L380" s="1">
        <v>1</v>
      </c>
      <c r="M380" s="32">
        <f>IF(Mecze[[#This Row],[PR]]=0,0,Mecze[[#This Row],[PR]]/Mecze[[#This Row],[CZAS]])</f>
        <v>1.020408163265306E-2</v>
      </c>
      <c r="N380" s="32">
        <f>IF(Mecze[[#This Row],[OU]]=0,0,Mecze[[#This Row],[OU]]/Mecze[[#This Row],[CZAS]])</f>
        <v>2.0408163265306121E-2</v>
      </c>
      <c r="O380" s="32">
        <f>IF(Mecze[[#This Row],[PC]]=0,0,Mecze[[#This Row],[PC]]/Mecze[[#This Row],[CZAS]])</f>
        <v>3.0612244897959183E-2</v>
      </c>
      <c r="P380" s="32">
        <f>IF(Mecze[[#This Row],[SC]]=0,0,Mecze[[#This Row],[SC]]/Mecze[[#This Row],[CZAS]])</f>
        <v>2.0408163265306121E-2</v>
      </c>
      <c r="Q380" s="32">
        <f>IF(Mecze[[#This Row],[OB]]=0,0,Mecze[[#This Row],[OB]]/Mecze[[#This Row],[CZAS]])</f>
        <v>0</v>
      </c>
      <c r="R380" s="32">
        <f>IF(Mecze[[#This Row],[BR]]=0,0,Mecze[[#This Row],[BR]]/Mecze[[#This Row],[CZAS]])</f>
        <v>1.020408163265306E-2</v>
      </c>
      <c r="S380" s="44">
        <f>IF(Mecze[[#This Row],[Role]]="BR",SUMPRODUCT(Mecze[[#This Row],[/PR:90]:[/BR:90]],Brudnopis!$E$23:$J$23),0)</f>
        <v>0</v>
      </c>
      <c r="T380" s="44">
        <f>IF(Mecze[[#This Row],[Role]]&lt;&gt;"BR",SUMPRODUCT(Mecze[[#This Row],[/PR:90]:[/BR:90]],Brudnopis!$E$24:$J$24),0)</f>
        <v>0.10714285714285714</v>
      </c>
      <c r="U380" s="44">
        <f>IF(Mecze[[#This Row],[Role]]&lt;&gt;"BR",SUMPRODUCT(Mecze[[#This Row],[/PR:90]:[/BR:90]],Brudnopis!$E$25:$J$25),0)</f>
        <v>0.11224489795918367</v>
      </c>
      <c r="V380" s="44">
        <f>IF(Mecze[[#This Row],[Role]]&lt;&gt;"BR",SUMPRODUCT(Mecze[[#This Row],[/PR:90]:[/BR:90]],Brudnopis!$E$26:$J$26),0)</f>
        <v>0.1020408163265306</v>
      </c>
      <c r="W380" s="44">
        <f>IF(Mecze[[#This Row],[Role]]&lt;&gt;"BR",SUMPRODUCT(Mecze[[#This Row],[/PR:90]:[/BR:90]],Brudnopis!$E$27:$J$27),0)</f>
        <v>0.10969387755102039</v>
      </c>
      <c r="X380" s="44">
        <f>IF(Mecze[[#This Row],[Role]]&lt;&gt;"BR",SUMPRODUCT(Mecze[[#This Row],[/PR:90]:[/BR:90]],Brudnopis!$E$28:$J$28),0)</f>
        <v>0.10204081632653061</v>
      </c>
      <c r="Y380" s="35">
        <f>IF(Mecze[[#This Row],[Role]]="BR",Mecze[[#This Row],[/OB:90]]+Mecze[[#This Row],[/PC:90]],SUM(Mecze[[#This Row],[/PR:90]:[/BR:90]]))</f>
        <v>9.1836734693877542E-2</v>
      </c>
      <c r="Z380" s="35">
        <f>IF(Mecze[[#This Row],[KC]]=0,SUM(Mecze[[#This Row],[/BRI]:[/NPI]]),SUM(Mecze[[#This Row],[/BRI]:[/NPI]])*0.6)</f>
        <v>0.53316326530612246</v>
      </c>
      <c r="AA380" s="10">
        <f>IFERROR(Mecze[[#This Row],[BR]]/Mecze[[#This Row],[ST]],0)</f>
        <v>0.5</v>
      </c>
      <c r="AB380">
        <f>ROUND(Mecze[[#This Row],[PD]]*Mecze[[#This Row],[%PC]],0)</f>
        <v>3</v>
      </c>
      <c r="AC380">
        <f>ROUND(Mecze[[#This Row],[OD]]*Mecze[[#This Row],[%OU]],0)</f>
        <v>2</v>
      </c>
      <c r="AD380" s="41" t="s">
        <v>46</v>
      </c>
      <c r="AE380" s="36">
        <v>23</v>
      </c>
      <c r="AF380" s="71">
        <v>8</v>
      </c>
      <c r="AG380" s="37">
        <v>0</v>
      </c>
      <c r="AH380" s="37">
        <v>0</v>
      </c>
      <c r="AI380" s="37">
        <v>98</v>
      </c>
      <c r="AJ380" s="37">
        <v>10</v>
      </c>
      <c r="AK380" s="37" t="str">
        <f>VLOOKUP(Mecze[[#This Row],[Match ID]],Meczusie[Mecz]:Meczusie[RodzajMeczu],2,FALSE)</f>
        <v>Liga</v>
      </c>
    </row>
    <row r="381" spans="1:37" x14ac:dyDescent="0.25">
      <c r="A381" s="76">
        <v>10</v>
      </c>
      <c r="B381" s="3" t="s">
        <v>246</v>
      </c>
      <c r="C381" s="2" t="s">
        <v>165</v>
      </c>
      <c r="D381" s="1">
        <v>2</v>
      </c>
      <c r="E381" s="1">
        <v>4</v>
      </c>
      <c r="F381" s="1">
        <v>3</v>
      </c>
      <c r="G381" s="1">
        <v>10</v>
      </c>
      <c r="H381" s="4">
        <v>0.3</v>
      </c>
      <c r="I381" s="1">
        <v>2</v>
      </c>
      <c r="J381" s="4">
        <v>0.5</v>
      </c>
      <c r="K381" s="1">
        <v>0</v>
      </c>
      <c r="L381" s="1">
        <v>0</v>
      </c>
      <c r="M381" s="32">
        <f>IF(Mecze[[#This Row],[PR]]=0,0,Mecze[[#This Row],[PR]]/Mecze[[#This Row],[CZAS]])</f>
        <v>0</v>
      </c>
      <c r="N381" s="32">
        <f>IF(Mecze[[#This Row],[OU]]=0,0,Mecze[[#This Row],[OU]]/Mecze[[#This Row],[CZAS]])</f>
        <v>1.020408163265306E-2</v>
      </c>
      <c r="O381" s="32">
        <f>IF(Mecze[[#This Row],[PC]]=0,0,Mecze[[#This Row],[PC]]/Mecze[[#This Row],[CZAS]])</f>
        <v>3.0612244897959183E-2</v>
      </c>
      <c r="P381" s="32">
        <f>IF(Mecze[[#This Row],[SC]]=0,0,Mecze[[#This Row],[SC]]/Mecze[[#This Row],[CZAS]])</f>
        <v>3.0612244897959183E-2</v>
      </c>
      <c r="Q381" s="32">
        <f>IF(Mecze[[#This Row],[OB]]=0,0,Mecze[[#This Row],[OB]]/Mecze[[#This Row],[CZAS]])</f>
        <v>0</v>
      </c>
      <c r="R381" s="32">
        <f>IF(Mecze[[#This Row],[BR]]=0,0,Mecze[[#This Row],[BR]]/Mecze[[#This Row],[CZAS]])</f>
        <v>2.0408163265306121E-2</v>
      </c>
      <c r="S381" s="44">
        <f>IF(Mecze[[#This Row],[Role]]="BR",SUMPRODUCT(Mecze[[#This Row],[/PR:90]:[/BR:90]],Brudnopis!$E$23:$J$23),0)</f>
        <v>0</v>
      </c>
      <c r="T381" s="44">
        <f>IF(Mecze[[#This Row],[Role]]&lt;&gt;"BR",SUMPRODUCT(Mecze[[#This Row],[/PR:90]:[/BR:90]],Brudnopis!$E$24:$J$24),0)</f>
        <v>0.10714285714285715</v>
      </c>
      <c r="U381" s="44">
        <f>IF(Mecze[[#This Row],[Role]]&lt;&gt;"BR",SUMPRODUCT(Mecze[[#This Row],[/PR:90]:[/BR:90]],Brudnopis!$E$25:$J$25),0)</f>
        <v>0.1173469387755102</v>
      </c>
      <c r="V381" s="44">
        <f>IF(Mecze[[#This Row],[Role]]&lt;&gt;"BR",SUMPRODUCT(Mecze[[#This Row],[/PR:90]:[/BR:90]],Brudnopis!$E$26:$J$26),0)</f>
        <v>0.11224489795918366</v>
      </c>
      <c r="W381" s="44">
        <f>IF(Mecze[[#This Row],[Role]]&lt;&gt;"BR",SUMPRODUCT(Mecze[[#This Row],[/PR:90]:[/BR:90]],Brudnopis!$E$27:$J$27),0)</f>
        <v>0.125</v>
      </c>
      <c r="X381" s="44">
        <f>IF(Mecze[[#This Row],[Role]]&lt;&gt;"BR",SUMPRODUCT(Mecze[[#This Row],[/PR:90]:[/BR:90]],Brudnopis!$E$28:$J$28),0)</f>
        <v>0.15306122448979592</v>
      </c>
      <c r="Y381" s="35">
        <f>IF(Mecze[[#This Row],[Role]]="BR",Mecze[[#This Row],[/OB:90]]+Mecze[[#This Row],[/PC:90]],SUM(Mecze[[#This Row],[/PR:90]:[/BR:90]]))</f>
        <v>9.1836734693877542E-2</v>
      </c>
      <c r="Z381" s="35">
        <f>IF(Mecze[[#This Row],[KC]]=0,SUM(Mecze[[#This Row],[/BRI]:[/NPI]]),SUM(Mecze[[#This Row],[/BRI]:[/NPI]])*0.6)</f>
        <v>0.61479591836734693</v>
      </c>
      <c r="AA381" s="10">
        <f>IFERROR(Mecze[[#This Row],[BR]]/Mecze[[#This Row],[ST]],0)</f>
        <v>0.5</v>
      </c>
      <c r="AB381">
        <f>ROUND(Mecze[[#This Row],[PD]]*Mecze[[#This Row],[%PC]],0)</f>
        <v>3</v>
      </c>
      <c r="AC381">
        <f>ROUND(Mecze[[#This Row],[OD]]*Mecze[[#This Row],[%OU]],0)</f>
        <v>1</v>
      </c>
      <c r="AD381" s="42" t="s">
        <v>46</v>
      </c>
      <c r="AE381" s="36">
        <v>23</v>
      </c>
      <c r="AF381" s="71">
        <v>9.19</v>
      </c>
      <c r="AG381" s="37">
        <v>0</v>
      </c>
      <c r="AH381" s="37">
        <v>0</v>
      </c>
      <c r="AI381" s="37">
        <v>98</v>
      </c>
      <c r="AJ381" s="37">
        <v>10</v>
      </c>
      <c r="AK381" s="37" t="str">
        <f>VLOOKUP(Mecze[[#This Row],[Match ID]],Meczusie[Mecz]:Meczusie[RodzajMeczu],2,FALSE)</f>
        <v>Liga</v>
      </c>
    </row>
    <row r="382" spans="1:37" x14ac:dyDescent="0.25">
      <c r="A382" s="76">
        <v>13</v>
      </c>
      <c r="B382" s="3" t="s">
        <v>403</v>
      </c>
      <c r="C382" s="2" t="s">
        <v>160</v>
      </c>
      <c r="D382" s="1">
        <v>0</v>
      </c>
      <c r="E382" s="1">
        <v>0</v>
      </c>
      <c r="F382" s="1">
        <v>0</v>
      </c>
      <c r="G382" s="1">
        <v>0</v>
      </c>
      <c r="H382" s="72"/>
      <c r="I382" s="1">
        <v>0</v>
      </c>
      <c r="J382" s="4"/>
      <c r="K382" s="1">
        <v>0</v>
      </c>
      <c r="L382" s="1">
        <v>0</v>
      </c>
      <c r="M382" s="32">
        <f>IF(Mecze[[#This Row],[PR]]=0,0,Mecze[[#This Row],[PR]]/Mecze[[#This Row],[CZAS]])</f>
        <v>0</v>
      </c>
      <c r="N382" s="32">
        <f>IF(Mecze[[#This Row],[OU]]=0,0,Mecze[[#This Row],[OU]]/Mecze[[#This Row],[CZAS]])</f>
        <v>0</v>
      </c>
      <c r="O382" s="32">
        <f>IF(Mecze[[#This Row],[PC]]=0,0,Mecze[[#This Row],[PC]]/Mecze[[#This Row],[CZAS]])</f>
        <v>0</v>
      </c>
      <c r="P382" s="32">
        <f>IF(Mecze[[#This Row],[SC]]=0,0,Mecze[[#This Row],[SC]]/Mecze[[#This Row],[CZAS]])</f>
        <v>0</v>
      </c>
      <c r="Q382" s="32">
        <f>IF(Mecze[[#This Row],[OB]]=0,0,Mecze[[#This Row],[OB]]/Mecze[[#This Row],[CZAS]])</f>
        <v>0</v>
      </c>
      <c r="R382" s="32">
        <f>IF(Mecze[[#This Row],[BR]]=0,0,Mecze[[#This Row],[BR]]/Mecze[[#This Row],[CZAS]])</f>
        <v>0</v>
      </c>
      <c r="S382" s="44">
        <f>IF(Mecze[[#This Row],[Role]]="BR",SUMPRODUCT(Mecze[[#This Row],[/PR:90]:[/BR:90]],Brudnopis!$E$23:$J$23),0)</f>
        <v>0</v>
      </c>
      <c r="T382" s="44">
        <f>IF(Mecze[[#This Row],[Role]]&lt;&gt;"BR",SUMPRODUCT(Mecze[[#This Row],[/PR:90]:[/BR:90]],Brudnopis!$E$24:$J$24),0)</f>
        <v>0</v>
      </c>
      <c r="U382" s="44">
        <f>IF(Mecze[[#This Row],[Role]]&lt;&gt;"BR",SUMPRODUCT(Mecze[[#This Row],[/PR:90]:[/BR:90]],Brudnopis!$E$25:$J$25),0)</f>
        <v>0</v>
      </c>
      <c r="V382" s="44">
        <f>IF(Mecze[[#This Row],[Role]]&lt;&gt;"BR",SUMPRODUCT(Mecze[[#This Row],[/PR:90]:[/BR:90]],Brudnopis!$E$26:$J$26),0)</f>
        <v>0</v>
      </c>
      <c r="W382" s="44">
        <f>IF(Mecze[[#This Row],[Role]]&lt;&gt;"BR",SUMPRODUCT(Mecze[[#This Row],[/PR:90]:[/BR:90]],Brudnopis!$E$27:$J$27),0)</f>
        <v>0</v>
      </c>
      <c r="X382" s="44">
        <f>IF(Mecze[[#This Row],[Role]]&lt;&gt;"BR",SUMPRODUCT(Mecze[[#This Row],[/PR:90]:[/BR:90]],Brudnopis!$E$28:$J$28),0)</f>
        <v>0</v>
      </c>
      <c r="Y382" s="35">
        <f>IF(Mecze[[#This Row],[Role]]="BR",Mecze[[#This Row],[/OB:90]]+Mecze[[#This Row],[/PC:90]],SUM(Mecze[[#This Row],[/PR:90]:[/BR:90]]))</f>
        <v>0</v>
      </c>
      <c r="Z382" s="35">
        <f>IF(Mecze[[#This Row],[KC]]=0,SUM(Mecze[[#This Row],[/BRI]:[/NPI]]),SUM(Mecze[[#This Row],[/BRI]:[/NPI]])*0.6)</f>
        <v>0</v>
      </c>
      <c r="AA382" s="10">
        <f>IFERROR(Mecze[[#This Row],[BR]]/Mecze[[#This Row],[ST]],0)</f>
        <v>0</v>
      </c>
      <c r="AB382">
        <f>ROUND(Mecze[[#This Row],[PD]]*Mecze[[#This Row],[%PC]],0)</f>
        <v>0</v>
      </c>
      <c r="AC382">
        <f>ROUND(Mecze[[#This Row],[OD]]*Mecze[[#This Row],[%OU]],0)</f>
        <v>0</v>
      </c>
      <c r="AD382" s="36" t="s">
        <v>41</v>
      </c>
      <c r="AE382" s="36">
        <v>23</v>
      </c>
      <c r="AF382" s="71">
        <v>1.72</v>
      </c>
      <c r="AG382" s="37">
        <v>0</v>
      </c>
      <c r="AH382" s="37">
        <v>0</v>
      </c>
      <c r="AI382" s="37">
        <v>1</v>
      </c>
      <c r="AJ382" s="37">
        <v>10</v>
      </c>
      <c r="AK382" s="37" t="str">
        <f>VLOOKUP(Mecze[[#This Row],[Match ID]],Meczusie[Mecz]:Meczusie[RodzajMeczu],2,FALSE)</f>
        <v>Liga</v>
      </c>
    </row>
    <row r="383" spans="1:37" x14ac:dyDescent="0.25">
      <c r="A383" s="76">
        <v>1</v>
      </c>
      <c r="B383" s="3" t="s">
        <v>344</v>
      </c>
      <c r="C383" s="2" t="s">
        <v>155</v>
      </c>
      <c r="D383" s="1">
        <v>0</v>
      </c>
      <c r="E383" s="1">
        <v>0</v>
      </c>
      <c r="F383" s="1">
        <v>0</v>
      </c>
      <c r="G383" s="1">
        <v>5</v>
      </c>
      <c r="H383" s="4">
        <v>0.6</v>
      </c>
      <c r="I383" s="1">
        <v>0</v>
      </c>
      <c r="J383" s="4"/>
      <c r="K383" s="1">
        <v>5</v>
      </c>
      <c r="L383" s="1">
        <v>0</v>
      </c>
      <c r="M383" s="32">
        <f>IF(Mecze[[#This Row],[PR]]=0,0,Mecze[[#This Row],[PR]]/Mecze[[#This Row],[CZAS]])</f>
        <v>0</v>
      </c>
      <c r="N383" s="32">
        <f>IF(Mecze[[#This Row],[OU]]=0,0,Mecze[[#This Row],[OU]]/Mecze[[#This Row],[CZAS]])</f>
        <v>0</v>
      </c>
      <c r="O383" s="32">
        <f>IF(Mecze[[#This Row],[PC]]=0,0,Mecze[[#This Row],[PC]]/Mecze[[#This Row],[CZAS]])</f>
        <v>3.0612244897959183E-2</v>
      </c>
      <c r="P383" s="32">
        <f>IF(Mecze[[#This Row],[SC]]=0,0,Mecze[[#This Row],[SC]]/Mecze[[#This Row],[CZAS]])</f>
        <v>0</v>
      </c>
      <c r="Q383" s="32">
        <f>IF(Mecze[[#This Row],[OB]]=0,0,Mecze[[#This Row],[OB]]/Mecze[[#This Row],[CZAS]])</f>
        <v>5.1020408163265307E-2</v>
      </c>
      <c r="R383" s="32">
        <f>IF(Mecze[[#This Row],[BR]]=0,0,Mecze[[#This Row],[BR]]/Mecze[[#This Row],[CZAS]])</f>
        <v>0</v>
      </c>
      <c r="S383" s="44">
        <f>IF(Mecze[[#This Row],[Role]]="BR",SUMPRODUCT(Mecze[[#This Row],[/PR:90]:[/BR:90]],Brudnopis!$E$23:$J$23),0)</f>
        <v>0.24489795918367346</v>
      </c>
      <c r="T383" s="44">
        <f>IF(Mecze[[#This Row],[Role]]&lt;&gt;"BR",SUMPRODUCT(Mecze[[#This Row],[/PR:90]:[/BR:90]],Brudnopis!$E$24:$J$24),0)</f>
        <v>0</v>
      </c>
      <c r="U383" s="44">
        <f>IF(Mecze[[#This Row],[Role]]&lt;&gt;"BR",SUMPRODUCT(Mecze[[#This Row],[/PR:90]:[/BR:90]],Brudnopis!$E$25:$J$25),0)</f>
        <v>0</v>
      </c>
      <c r="V383" s="44">
        <f>IF(Mecze[[#This Row],[Role]]&lt;&gt;"BR",SUMPRODUCT(Mecze[[#This Row],[/PR:90]:[/BR:90]],Brudnopis!$E$26:$J$26),0)</f>
        <v>0</v>
      </c>
      <c r="W383" s="44">
        <f>IF(Mecze[[#This Row],[Role]]&lt;&gt;"BR",SUMPRODUCT(Mecze[[#This Row],[/PR:90]:[/BR:90]],Brudnopis!$E$27:$J$27),0)</f>
        <v>0</v>
      </c>
      <c r="X383" s="44">
        <f>IF(Mecze[[#This Row],[Role]]&lt;&gt;"BR",SUMPRODUCT(Mecze[[#This Row],[/PR:90]:[/BR:90]],Brudnopis!$E$28:$J$28),0)</f>
        <v>0</v>
      </c>
      <c r="Y383" s="35">
        <f>IF(Mecze[[#This Row],[Role]]="BR",Mecze[[#This Row],[/OB:90]]+Mecze[[#This Row],[/PC:90]],SUM(Mecze[[#This Row],[/PR:90]:[/BR:90]]))</f>
        <v>8.1632653061224497E-2</v>
      </c>
      <c r="Z383" s="35">
        <f>IF(Mecze[[#This Row],[KC]]=0,SUM(Mecze[[#This Row],[/BRI]:[/NPI]]),SUM(Mecze[[#This Row],[/BRI]:[/NPI]])*0.6)</f>
        <v>0.24489795918367346</v>
      </c>
      <c r="AA383" s="10">
        <f>IFERROR(Mecze[[#This Row],[BR]]/Mecze[[#This Row],[ST]],0)</f>
        <v>0</v>
      </c>
      <c r="AB383">
        <f>ROUND(Mecze[[#This Row],[PD]]*Mecze[[#This Row],[%PC]],0)</f>
        <v>3</v>
      </c>
      <c r="AC383">
        <f>ROUND(Mecze[[#This Row],[OD]]*Mecze[[#This Row],[%OU]],0)</f>
        <v>0</v>
      </c>
      <c r="AD383" s="36" t="s">
        <v>40</v>
      </c>
      <c r="AE383" s="36">
        <v>23</v>
      </c>
      <c r="AF383" s="71">
        <v>4.5599999999999996</v>
      </c>
      <c r="AG383" s="37">
        <v>0</v>
      </c>
      <c r="AH383" s="37">
        <v>0</v>
      </c>
      <c r="AI383" s="37">
        <v>98</v>
      </c>
      <c r="AJ383" s="37">
        <v>5</v>
      </c>
      <c r="AK383" s="37" t="str">
        <f>VLOOKUP(Mecze[[#This Row],[Match ID]],Meczusie[Mecz]:Meczusie[RodzajMeczu],2,FALSE)</f>
        <v>Liga</v>
      </c>
    </row>
    <row r="384" spans="1:37" x14ac:dyDescent="0.25">
      <c r="A384" s="76">
        <v>2</v>
      </c>
      <c r="B384" s="3" t="s">
        <v>345</v>
      </c>
      <c r="C384" s="2" t="s">
        <v>157</v>
      </c>
      <c r="D384" s="1">
        <v>0</v>
      </c>
      <c r="E384" s="1">
        <v>0</v>
      </c>
      <c r="F384" s="1">
        <v>0</v>
      </c>
      <c r="G384" s="1">
        <v>15</v>
      </c>
      <c r="H384" s="4">
        <v>0.8</v>
      </c>
      <c r="I384" s="1">
        <v>5</v>
      </c>
      <c r="J384" s="4">
        <v>0.6</v>
      </c>
      <c r="K384" s="1">
        <v>0</v>
      </c>
      <c r="L384" s="1">
        <v>9</v>
      </c>
      <c r="M384" s="32">
        <f>IF(Mecze[[#This Row],[PR]]=0,0,Mecze[[#This Row],[PR]]/Mecze[[#This Row],[CZAS]])</f>
        <v>9.1836734693877556E-2</v>
      </c>
      <c r="N384" s="32">
        <f>IF(Mecze[[#This Row],[OU]]=0,0,Mecze[[#This Row],[OU]]/Mecze[[#This Row],[CZAS]])</f>
        <v>3.0612244897959183E-2</v>
      </c>
      <c r="O384" s="32">
        <f>IF(Mecze[[#This Row],[PC]]=0,0,Mecze[[#This Row],[PC]]/Mecze[[#This Row],[CZAS]])</f>
        <v>0.12244897959183673</v>
      </c>
      <c r="P384" s="32">
        <f>IF(Mecze[[#This Row],[SC]]=0,0,Mecze[[#This Row],[SC]]/Mecze[[#This Row],[CZAS]])</f>
        <v>0</v>
      </c>
      <c r="Q384" s="32">
        <f>IF(Mecze[[#This Row],[OB]]=0,0,Mecze[[#This Row],[OB]]/Mecze[[#This Row],[CZAS]])</f>
        <v>0</v>
      </c>
      <c r="R384" s="32">
        <f>IF(Mecze[[#This Row],[BR]]=0,0,Mecze[[#This Row],[BR]]/Mecze[[#This Row],[CZAS]])</f>
        <v>0</v>
      </c>
      <c r="S384" s="44">
        <f>IF(Mecze[[#This Row],[Role]]="BR",SUMPRODUCT(Mecze[[#This Row],[/PR:90]:[/BR:90]],Brudnopis!$E$23:$J$23),0)</f>
        <v>0</v>
      </c>
      <c r="T384" s="44">
        <f>IF(Mecze[[#This Row],[Role]]&lt;&gt;"BR",SUMPRODUCT(Mecze[[#This Row],[/PR:90]:[/BR:90]],Brudnopis!$E$24:$J$24),0)</f>
        <v>0.26020408163265307</v>
      </c>
      <c r="U384" s="44">
        <f>IF(Mecze[[#This Row],[Role]]&lt;&gt;"BR",SUMPRODUCT(Mecze[[#This Row],[/PR:90]:[/BR:90]],Brudnopis!$E$25:$J$25),0)</f>
        <v>0.30612244897959184</v>
      </c>
      <c r="V384" s="44">
        <f>IF(Mecze[[#This Row],[Role]]&lt;&gt;"BR",SUMPRODUCT(Mecze[[#This Row],[/PR:90]:[/BR:90]],Brudnopis!$E$26:$J$26),0)</f>
        <v>0.24489795918367346</v>
      </c>
      <c r="W384" s="44">
        <f>IF(Mecze[[#This Row],[Role]]&lt;&gt;"BR",SUMPRODUCT(Mecze[[#This Row],[/PR:90]:[/BR:90]],Brudnopis!$E$27:$J$27),0)</f>
        <v>0.27551020408163263</v>
      </c>
      <c r="X384" s="44">
        <f>IF(Mecze[[#This Row],[Role]]&lt;&gt;"BR",SUMPRODUCT(Mecze[[#This Row],[/PR:90]:[/BR:90]],Brudnopis!$E$28:$J$28),0)</f>
        <v>0.12244897959183673</v>
      </c>
      <c r="Y384" s="35">
        <f>IF(Mecze[[#This Row],[Role]]="BR",Mecze[[#This Row],[/OB:90]]+Mecze[[#This Row],[/PC:90]],SUM(Mecze[[#This Row],[/PR:90]:[/BR:90]]))</f>
        <v>0.24489795918367346</v>
      </c>
      <c r="Z384" s="35">
        <f>IF(Mecze[[#This Row],[KC]]=0,SUM(Mecze[[#This Row],[/BRI]:[/NPI]]),SUM(Mecze[[#This Row],[/BRI]:[/NPI]])*0.6)</f>
        <v>1.2091836734693877</v>
      </c>
      <c r="AA384" s="10">
        <f>IFERROR(Mecze[[#This Row],[BR]]/Mecze[[#This Row],[ST]],0)</f>
        <v>0</v>
      </c>
      <c r="AB384">
        <f>ROUND(Mecze[[#This Row],[PD]]*Mecze[[#This Row],[%PC]],0)</f>
        <v>12</v>
      </c>
      <c r="AC384">
        <f>ROUND(Mecze[[#This Row],[OD]]*Mecze[[#This Row],[%OU]],0)</f>
        <v>3</v>
      </c>
      <c r="AD384" s="36" t="s">
        <v>47</v>
      </c>
      <c r="AE384" s="36">
        <v>23</v>
      </c>
      <c r="AF384" s="71">
        <v>4.5999999999999996</v>
      </c>
      <c r="AG384" s="37">
        <v>0</v>
      </c>
      <c r="AH384" s="37">
        <v>0</v>
      </c>
      <c r="AI384" s="37">
        <v>98</v>
      </c>
      <c r="AJ384" s="37">
        <v>5</v>
      </c>
      <c r="AK384" s="37" t="str">
        <f>VLOOKUP(Mecze[[#This Row],[Match ID]],Meczusie[Mecz]:Meczusie[RodzajMeczu],2,FALSE)</f>
        <v>Liga</v>
      </c>
    </row>
    <row r="385" spans="1:37" x14ac:dyDescent="0.25">
      <c r="A385" s="76">
        <v>4</v>
      </c>
      <c r="B385" s="3" t="s">
        <v>346</v>
      </c>
      <c r="C385" s="2" t="s">
        <v>157</v>
      </c>
      <c r="D385" s="1">
        <v>0</v>
      </c>
      <c r="E385" s="1">
        <v>1</v>
      </c>
      <c r="F385" s="1">
        <v>1</v>
      </c>
      <c r="G385" s="1">
        <v>12</v>
      </c>
      <c r="H385" s="4">
        <v>0.67</v>
      </c>
      <c r="I385" s="1">
        <v>8</v>
      </c>
      <c r="J385" s="4">
        <v>0.5</v>
      </c>
      <c r="K385" s="1">
        <v>0</v>
      </c>
      <c r="L385" s="1">
        <v>7</v>
      </c>
      <c r="M385" s="32">
        <f>IF(Mecze[[#This Row],[PR]]=0,0,Mecze[[#This Row],[PR]]/Mecze[[#This Row],[CZAS]])</f>
        <v>7.1428571428571425E-2</v>
      </c>
      <c r="N385" s="32">
        <f>IF(Mecze[[#This Row],[OU]]=0,0,Mecze[[#This Row],[OU]]/Mecze[[#This Row],[CZAS]])</f>
        <v>4.0816326530612242E-2</v>
      </c>
      <c r="O385" s="32">
        <f>IF(Mecze[[#This Row],[PC]]=0,0,Mecze[[#This Row],[PC]]/Mecze[[#This Row],[CZAS]])</f>
        <v>8.1632653061224483E-2</v>
      </c>
      <c r="P385" s="32">
        <f>IF(Mecze[[#This Row],[SC]]=0,0,Mecze[[#This Row],[SC]]/Mecze[[#This Row],[CZAS]])</f>
        <v>1.020408163265306E-2</v>
      </c>
      <c r="Q385" s="32">
        <f>IF(Mecze[[#This Row],[OB]]=0,0,Mecze[[#This Row],[OB]]/Mecze[[#This Row],[CZAS]])</f>
        <v>0</v>
      </c>
      <c r="R385" s="32">
        <f>IF(Mecze[[#This Row],[BR]]=0,0,Mecze[[#This Row],[BR]]/Mecze[[#This Row],[CZAS]])</f>
        <v>0</v>
      </c>
      <c r="S385" s="44">
        <f>IF(Mecze[[#This Row],[Role]]="BR",SUMPRODUCT(Mecze[[#This Row],[/PR:90]:[/BR:90]],Brudnopis!$E$23:$J$23),0)</f>
        <v>0</v>
      </c>
      <c r="T385" s="44">
        <f>IF(Mecze[[#This Row],[Role]]&lt;&gt;"BR",SUMPRODUCT(Mecze[[#This Row],[/PR:90]:[/BR:90]],Brudnopis!$E$24:$J$24),0)</f>
        <v>0.22448979591836732</v>
      </c>
      <c r="U385" s="44">
        <f>IF(Mecze[[#This Row],[Role]]&lt;&gt;"BR",SUMPRODUCT(Mecze[[#This Row],[/PR:90]:[/BR:90]],Brudnopis!$E$25:$J$25),0)</f>
        <v>0.24489795918367346</v>
      </c>
      <c r="V385" s="44">
        <f>IF(Mecze[[#This Row],[Role]]&lt;&gt;"BR",SUMPRODUCT(Mecze[[#This Row],[/PR:90]:[/BR:90]],Brudnopis!$E$26:$J$26),0)</f>
        <v>0.20408163265306123</v>
      </c>
      <c r="W385" s="44">
        <f>IF(Mecze[[#This Row],[Role]]&lt;&gt;"BR",SUMPRODUCT(Mecze[[#This Row],[/PR:90]:[/BR:90]],Brudnopis!$E$27:$J$27),0)</f>
        <v>0.21683673469387754</v>
      </c>
      <c r="X385" s="44">
        <f>IF(Mecze[[#This Row],[Role]]&lt;&gt;"BR",SUMPRODUCT(Mecze[[#This Row],[/PR:90]:[/BR:90]],Brudnopis!$E$28:$J$28),0)</f>
        <v>0.1020408163265306</v>
      </c>
      <c r="Y385" s="35">
        <f>IF(Mecze[[#This Row],[Role]]="BR",Mecze[[#This Row],[/OB:90]]+Mecze[[#This Row],[/PC:90]],SUM(Mecze[[#This Row],[/PR:90]:[/BR:90]]))</f>
        <v>0.20408163265306123</v>
      </c>
      <c r="Z385" s="35">
        <f>IF(Mecze[[#This Row],[KC]]=0,SUM(Mecze[[#This Row],[/BRI]:[/NPI]]),SUM(Mecze[[#This Row],[/BRI]:[/NPI]])*0.6)</f>
        <v>0.99234693877551017</v>
      </c>
      <c r="AA385" s="10">
        <f>IFERROR(Mecze[[#This Row],[BR]]/Mecze[[#This Row],[ST]],0)</f>
        <v>0</v>
      </c>
      <c r="AB385">
        <f>ROUND(Mecze[[#This Row],[PD]]*Mecze[[#This Row],[%PC]],0)</f>
        <v>8</v>
      </c>
      <c r="AC385">
        <f>ROUND(Mecze[[#This Row],[OD]]*Mecze[[#This Row],[%OU]],0)</f>
        <v>4</v>
      </c>
      <c r="AD385" s="36" t="s">
        <v>47</v>
      </c>
      <c r="AE385" s="36">
        <v>23</v>
      </c>
      <c r="AF385" s="71">
        <v>4.18</v>
      </c>
      <c r="AG385" s="37">
        <v>0</v>
      </c>
      <c r="AH385" s="37">
        <v>0</v>
      </c>
      <c r="AI385" s="37">
        <v>98</v>
      </c>
      <c r="AJ385" s="37">
        <v>5</v>
      </c>
      <c r="AK385" s="37" t="str">
        <f>VLOOKUP(Mecze[[#This Row],[Match ID]],Meczusie[Mecz]:Meczusie[RodzajMeczu],2,FALSE)</f>
        <v>Liga</v>
      </c>
    </row>
    <row r="386" spans="1:37" x14ac:dyDescent="0.25">
      <c r="A386" s="76">
        <v>5</v>
      </c>
      <c r="B386" s="3" t="s">
        <v>347</v>
      </c>
      <c r="C386" s="2" t="s">
        <v>157</v>
      </c>
      <c r="D386" s="1">
        <v>0</v>
      </c>
      <c r="E386" s="1">
        <v>0</v>
      </c>
      <c r="F386" s="1">
        <v>0</v>
      </c>
      <c r="G386" s="1">
        <v>2</v>
      </c>
      <c r="H386" s="4">
        <v>1</v>
      </c>
      <c r="I386" s="1">
        <v>2</v>
      </c>
      <c r="J386" s="4">
        <v>0.5</v>
      </c>
      <c r="K386" s="1">
        <v>0</v>
      </c>
      <c r="L386" s="1">
        <v>2</v>
      </c>
      <c r="M386" s="32">
        <f>IF(Mecze[[#This Row],[PR]]=0,0,Mecze[[#This Row],[PR]]/Mecze[[#This Row],[CZAS]])</f>
        <v>2.0408163265306121E-2</v>
      </c>
      <c r="N386" s="32">
        <f>IF(Mecze[[#This Row],[OU]]=0,0,Mecze[[#This Row],[OU]]/Mecze[[#This Row],[CZAS]])</f>
        <v>1.020408163265306E-2</v>
      </c>
      <c r="O386" s="32">
        <f>IF(Mecze[[#This Row],[PC]]=0,0,Mecze[[#This Row],[PC]]/Mecze[[#This Row],[CZAS]])</f>
        <v>2.0408163265306121E-2</v>
      </c>
      <c r="P386" s="32">
        <f>IF(Mecze[[#This Row],[SC]]=0,0,Mecze[[#This Row],[SC]]/Mecze[[#This Row],[CZAS]])</f>
        <v>0</v>
      </c>
      <c r="Q386" s="32">
        <f>IF(Mecze[[#This Row],[OB]]=0,0,Mecze[[#This Row],[OB]]/Mecze[[#This Row],[CZAS]])</f>
        <v>0</v>
      </c>
      <c r="R386" s="32">
        <f>IF(Mecze[[#This Row],[BR]]=0,0,Mecze[[#This Row],[BR]]/Mecze[[#This Row],[CZAS]])</f>
        <v>0</v>
      </c>
      <c r="S386" s="44">
        <f>IF(Mecze[[#This Row],[Role]]="BR",SUMPRODUCT(Mecze[[#This Row],[/PR:90]:[/BR:90]],Brudnopis!$E$23:$J$23),0)</f>
        <v>0</v>
      </c>
      <c r="T386" s="44">
        <f>IF(Mecze[[#This Row],[Role]]&lt;&gt;"BR",SUMPRODUCT(Mecze[[#This Row],[/PR:90]:[/BR:90]],Brudnopis!$E$24:$J$24),0)</f>
        <v>5.612244897959183E-2</v>
      </c>
      <c r="U386" s="44">
        <f>IF(Mecze[[#This Row],[Role]]&lt;&gt;"BR",SUMPRODUCT(Mecze[[#This Row],[/PR:90]:[/BR:90]],Brudnopis!$E$25:$J$25),0)</f>
        <v>6.1224489795918366E-2</v>
      </c>
      <c r="V386" s="44">
        <f>IF(Mecze[[#This Row],[Role]]&lt;&gt;"BR",SUMPRODUCT(Mecze[[#This Row],[/PR:90]:[/BR:90]],Brudnopis!$E$26:$J$26),0)</f>
        <v>5.1020408163265307E-2</v>
      </c>
      <c r="W386" s="44">
        <f>IF(Mecze[[#This Row],[Role]]&lt;&gt;"BR",SUMPRODUCT(Mecze[[#This Row],[/PR:90]:[/BR:90]],Brudnopis!$E$27:$J$27),0)</f>
        <v>5.3571428571428568E-2</v>
      </c>
      <c r="X386" s="44">
        <f>IF(Mecze[[#This Row],[Role]]&lt;&gt;"BR",SUMPRODUCT(Mecze[[#This Row],[/PR:90]:[/BR:90]],Brudnopis!$E$28:$J$28),0)</f>
        <v>2.0408163265306121E-2</v>
      </c>
      <c r="Y386" s="35">
        <f>IF(Mecze[[#This Row],[Role]]="BR",Mecze[[#This Row],[/OB:90]]+Mecze[[#This Row],[/PC:90]],SUM(Mecze[[#This Row],[/PR:90]:[/BR:90]]))</f>
        <v>5.1020408163265307E-2</v>
      </c>
      <c r="Z386" s="35">
        <f>IF(Mecze[[#This Row],[KC]]=0,SUM(Mecze[[#This Row],[/BRI]:[/NPI]]),SUM(Mecze[[#This Row],[/BRI]:[/NPI]])*0.6)</f>
        <v>0.2423469387755102</v>
      </c>
      <c r="AA386" s="10">
        <f>IFERROR(Mecze[[#This Row],[BR]]/Mecze[[#This Row],[ST]],0)</f>
        <v>0</v>
      </c>
      <c r="AB386">
        <f>ROUND(Mecze[[#This Row],[PD]]*Mecze[[#This Row],[%PC]],0)</f>
        <v>2</v>
      </c>
      <c r="AC386">
        <f>ROUND(Mecze[[#This Row],[OD]]*Mecze[[#This Row],[%OU]],0)</f>
        <v>1</v>
      </c>
      <c r="AD386" s="36" t="s">
        <v>175</v>
      </c>
      <c r="AE386" s="36">
        <v>23</v>
      </c>
      <c r="AF386" s="71">
        <v>2.0099999999999998</v>
      </c>
      <c r="AG386" s="37">
        <v>0</v>
      </c>
      <c r="AH386" s="37">
        <v>0</v>
      </c>
      <c r="AI386" s="37">
        <v>98</v>
      </c>
      <c r="AJ386" s="37">
        <v>5</v>
      </c>
      <c r="AK386" s="37" t="str">
        <f>VLOOKUP(Mecze[[#This Row],[Match ID]],Meczusie[Mecz]:Meczusie[RodzajMeczu],2,FALSE)</f>
        <v>Liga</v>
      </c>
    </row>
    <row r="387" spans="1:37" x14ac:dyDescent="0.25">
      <c r="A387" s="76">
        <v>3</v>
      </c>
      <c r="B387" s="3" t="s">
        <v>348</v>
      </c>
      <c r="C387" s="2" t="s">
        <v>157</v>
      </c>
      <c r="D387" s="1">
        <v>0</v>
      </c>
      <c r="E387" s="1">
        <v>0</v>
      </c>
      <c r="F387" s="1">
        <v>0</v>
      </c>
      <c r="G387" s="1">
        <v>4</v>
      </c>
      <c r="H387" s="4">
        <v>0.75</v>
      </c>
      <c r="I387" s="1">
        <v>4</v>
      </c>
      <c r="J387" s="4">
        <v>0.5</v>
      </c>
      <c r="K387" s="1">
        <v>0</v>
      </c>
      <c r="L387" s="1">
        <v>4</v>
      </c>
      <c r="M387" s="32">
        <f>IF(Mecze[[#This Row],[PR]]=0,0,Mecze[[#This Row],[PR]]/Mecze[[#This Row],[CZAS]])</f>
        <v>4.0816326530612242E-2</v>
      </c>
      <c r="N387" s="32">
        <f>IF(Mecze[[#This Row],[OU]]=0,0,Mecze[[#This Row],[OU]]/Mecze[[#This Row],[CZAS]])</f>
        <v>2.0408163265306121E-2</v>
      </c>
      <c r="O387" s="32">
        <f>IF(Mecze[[#This Row],[PC]]=0,0,Mecze[[#This Row],[PC]]/Mecze[[#This Row],[CZAS]])</f>
        <v>3.0612244897959183E-2</v>
      </c>
      <c r="P387" s="32">
        <f>IF(Mecze[[#This Row],[SC]]=0,0,Mecze[[#This Row],[SC]]/Mecze[[#This Row],[CZAS]])</f>
        <v>0</v>
      </c>
      <c r="Q387" s="32">
        <f>IF(Mecze[[#This Row],[OB]]=0,0,Mecze[[#This Row],[OB]]/Mecze[[#This Row],[CZAS]])</f>
        <v>0</v>
      </c>
      <c r="R387" s="32">
        <f>IF(Mecze[[#This Row],[BR]]=0,0,Mecze[[#This Row],[BR]]/Mecze[[#This Row],[CZAS]])</f>
        <v>0</v>
      </c>
      <c r="S387" s="44">
        <f>IF(Mecze[[#This Row],[Role]]="BR",SUMPRODUCT(Mecze[[#This Row],[/PR:90]:[/BR:90]],Brudnopis!$E$23:$J$23),0)</f>
        <v>0</v>
      </c>
      <c r="T387" s="44">
        <f>IF(Mecze[[#This Row],[Role]]&lt;&gt;"BR",SUMPRODUCT(Mecze[[#This Row],[/PR:90]:[/BR:90]],Brudnopis!$E$24:$J$24),0)</f>
        <v>0.10204081632653061</v>
      </c>
      <c r="U387" s="44">
        <f>IF(Mecze[[#This Row],[Role]]&lt;&gt;"BR",SUMPRODUCT(Mecze[[#This Row],[/PR:90]:[/BR:90]],Brudnopis!$E$25:$J$25),0)</f>
        <v>0.10714285714285714</v>
      </c>
      <c r="V387" s="44">
        <f>IF(Mecze[[#This Row],[Role]]&lt;&gt;"BR",SUMPRODUCT(Mecze[[#This Row],[/PR:90]:[/BR:90]],Brudnopis!$E$26:$J$26),0)</f>
        <v>9.1836734693877542E-2</v>
      </c>
      <c r="W387" s="44">
        <f>IF(Mecze[[#This Row],[Role]]&lt;&gt;"BR",SUMPRODUCT(Mecze[[#This Row],[/PR:90]:[/BR:90]],Brudnopis!$E$27:$J$27),0)</f>
        <v>9.1836734693877542E-2</v>
      </c>
      <c r="X387" s="44">
        <f>IF(Mecze[[#This Row],[Role]]&lt;&gt;"BR",SUMPRODUCT(Mecze[[#This Row],[/PR:90]:[/BR:90]],Brudnopis!$E$28:$J$28),0)</f>
        <v>3.0612244897959183E-2</v>
      </c>
      <c r="Y387" s="35">
        <f>IF(Mecze[[#This Row],[Role]]="BR",Mecze[[#This Row],[/OB:90]]+Mecze[[#This Row],[/PC:90]],SUM(Mecze[[#This Row],[/PR:90]:[/BR:90]]))</f>
        <v>9.1836734693877542E-2</v>
      </c>
      <c r="Z387" s="35">
        <f>IF(Mecze[[#This Row],[KC]]=0,SUM(Mecze[[#This Row],[/BRI]:[/NPI]]),SUM(Mecze[[#This Row],[/BRI]:[/NPI]])*0.6)</f>
        <v>0.42346938775510201</v>
      </c>
      <c r="AA387" s="10">
        <f>IFERROR(Mecze[[#This Row],[BR]]/Mecze[[#This Row],[ST]],0)</f>
        <v>0</v>
      </c>
      <c r="AB387">
        <f>ROUND(Mecze[[#This Row],[PD]]*Mecze[[#This Row],[%PC]],0)</f>
        <v>3</v>
      </c>
      <c r="AC387">
        <f>ROUND(Mecze[[#This Row],[OD]]*Mecze[[#This Row],[%OU]],0)</f>
        <v>2</v>
      </c>
      <c r="AD387" s="41" t="s">
        <v>174</v>
      </c>
      <c r="AE387" s="36">
        <v>23</v>
      </c>
      <c r="AF387" s="71">
        <v>3.55</v>
      </c>
      <c r="AG387" s="37">
        <v>0</v>
      </c>
      <c r="AH387" s="37">
        <v>0</v>
      </c>
      <c r="AI387" s="37">
        <v>98</v>
      </c>
      <c r="AJ387" s="37">
        <v>5</v>
      </c>
      <c r="AK387" s="37" t="str">
        <f>VLOOKUP(Mecze[[#This Row],[Match ID]],Meczusie[Mecz]:Meczusie[RodzajMeczu],2,FALSE)</f>
        <v>Liga</v>
      </c>
    </row>
    <row r="388" spans="1:37" x14ac:dyDescent="0.25">
      <c r="A388" s="76">
        <v>6</v>
      </c>
      <c r="B388" s="3" t="s">
        <v>349</v>
      </c>
      <c r="C388" s="2" t="s">
        <v>160</v>
      </c>
      <c r="D388" s="1">
        <v>0</v>
      </c>
      <c r="E388" s="1">
        <v>0</v>
      </c>
      <c r="F388" s="1">
        <v>0</v>
      </c>
      <c r="G388" s="1">
        <v>16</v>
      </c>
      <c r="H388" s="4">
        <v>0.69</v>
      </c>
      <c r="I388" s="1">
        <v>7</v>
      </c>
      <c r="J388" s="4">
        <v>0.56999999999999995</v>
      </c>
      <c r="K388" s="1">
        <v>0</v>
      </c>
      <c r="L388" s="1">
        <v>5</v>
      </c>
      <c r="M388" s="32">
        <f>IF(Mecze[[#This Row],[PR]]=0,0,Mecze[[#This Row],[PR]]/Mecze[[#This Row],[CZAS]])</f>
        <v>5.1020408163265307E-2</v>
      </c>
      <c r="N388" s="32">
        <f>IF(Mecze[[#This Row],[OU]]=0,0,Mecze[[#This Row],[OU]]/Mecze[[#This Row],[CZAS]])</f>
        <v>4.0816326530612242E-2</v>
      </c>
      <c r="O388" s="32">
        <f>IF(Mecze[[#This Row],[PC]]=0,0,Mecze[[#This Row],[PC]]/Mecze[[#This Row],[CZAS]])</f>
        <v>0.11224489795918367</v>
      </c>
      <c r="P388" s="32">
        <f>IF(Mecze[[#This Row],[SC]]=0,0,Mecze[[#This Row],[SC]]/Mecze[[#This Row],[CZAS]])</f>
        <v>0</v>
      </c>
      <c r="Q388" s="32">
        <f>IF(Mecze[[#This Row],[OB]]=0,0,Mecze[[#This Row],[OB]]/Mecze[[#This Row],[CZAS]])</f>
        <v>0</v>
      </c>
      <c r="R388" s="32">
        <f>IF(Mecze[[#This Row],[BR]]=0,0,Mecze[[#This Row],[BR]]/Mecze[[#This Row],[CZAS]])</f>
        <v>0</v>
      </c>
      <c r="S388" s="44">
        <f>IF(Mecze[[#This Row],[Role]]="BR",SUMPRODUCT(Mecze[[#This Row],[/PR:90]:[/BR:90]],Brudnopis!$E$23:$J$23),0)</f>
        <v>0</v>
      </c>
      <c r="T388" s="44">
        <f>IF(Mecze[[#This Row],[Role]]&lt;&gt;"BR",SUMPRODUCT(Mecze[[#This Row],[/PR:90]:[/BR:90]],Brudnopis!$E$24:$J$24),0)</f>
        <v>0.22448979591836735</v>
      </c>
      <c r="U388" s="44">
        <f>IF(Mecze[[#This Row],[Role]]&lt;&gt;"BR",SUMPRODUCT(Mecze[[#This Row],[/PR:90]:[/BR:90]],Brudnopis!$E$25:$J$25),0)</f>
        <v>0.26020408163265307</v>
      </c>
      <c r="V388" s="44">
        <f>IF(Mecze[[#This Row],[Role]]&lt;&gt;"BR",SUMPRODUCT(Mecze[[#This Row],[/PR:90]:[/BR:90]],Brudnopis!$E$26:$J$26),0)</f>
        <v>0.20408163265306123</v>
      </c>
      <c r="W388" s="44">
        <f>IF(Mecze[[#This Row],[Role]]&lt;&gt;"BR",SUMPRODUCT(Mecze[[#This Row],[/PR:90]:[/BR:90]],Brudnopis!$E$27:$J$27),0)</f>
        <v>0.23724489795918366</v>
      </c>
      <c r="X388" s="44">
        <f>IF(Mecze[[#This Row],[Role]]&lt;&gt;"BR",SUMPRODUCT(Mecze[[#This Row],[/PR:90]:[/BR:90]],Brudnopis!$E$28:$J$28),0)</f>
        <v>0.11224489795918367</v>
      </c>
      <c r="Y388" s="35">
        <f>IF(Mecze[[#This Row],[Role]]="BR",Mecze[[#This Row],[/OB:90]]+Mecze[[#This Row],[/PC:90]],SUM(Mecze[[#This Row],[/PR:90]:[/BR:90]]))</f>
        <v>0.20408163265306123</v>
      </c>
      <c r="Z388" s="35">
        <f>IF(Mecze[[#This Row],[KC]]=0,SUM(Mecze[[#This Row],[/BRI]:[/NPI]]),SUM(Mecze[[#This Row],[/BRI]:[/NPI]])*0.6)</f>
        <v>1.0382653061224489</v>
      </c>
      <c r="AA388" s="10">
        <f>IFERROR(Mecze[[#This Row],[BR]]/Mecze[[#This Row],[ST]],0)</f>
        <v>0</v>
      </c>
      <c r="AB388">
        <f>ROUND(Mecze[[#This Row],[PD]]*Mecze[[#This Row],[%PC]],0)</f>
        <v>11</v>
      </c>
      <c r="AC388">
        <f>ROUND(Mecze[[#This Row],[OD]]*Mecze[[#This Row],[%OU]],0)</f>
        <v>4</v>
      </c>
      <c r="AD388" s="42" t="s">
        <v>41</v>
      </c>
      <c r="AE388" s="36">
        <v>23</v>
      </c>
      <c r="AF388" s="71">
        <v>4.96</v>
      </c>
      <c r="AG388" s="37">
        <v>0</v>
      </c>
      <c r="AH388" s="37">
        <v>0</v>
      </c>
      <c r="AI388" s="37">
        <v>98</v>
      </c>
      <c r="AJ388" s="37">
        <v>5</v>
      </c>
      <c r="AK388" s="37" t="str">
        <f>VLOOKUP(Mecze[[#This Row],[Match ID]],Meczusie[Mecz]:Meczusie[RodzajMeczu],2,FALSE)</f>
        <v>Liga</v>
      </c>
    </row>
    <row r="389" spans="1:37" x14ac:dyDescent="0.25">
      <c r="A389" s="76">
        <v>7</v>
      </c>
      <c r="B389" s="3" t="s">
        <v>350</v>
      </c>
      <c r="C389" s="2" t="s">
        <v>160</v>
      </c>
      <c r="D389" s="1">
        <v>0</v>
      </c>
      <c r="E389" s="1">
        <v>1</v>
      </c>
      <c r="F389" s="1">
        <v>1</v>
      </c>
      <c r="G389" s="1">
        <v>16</v>
      </c>
      <c r="H389" s="4">
        <v>0.38</v>
      </c>
      <c r="I389" s="1">
        <v>2</v>
      </c>
      <c r="J389" s="4">
        <v>1</v>
      </c>
      <c r="K389" s="1">
        <v>0</v>
      </c>
      <c r="L389" s="1">
        <v>7</v>
      </c>
      <c r="M389" s="32">
        <f>IF(Mecze[[#This Row],[PR]]=0,0,Mecze[[#This Row],[PR]]/Mecze[[#This Row],[CZAS]])</f>
        <v>7.1428571428571425E-2</v>
      </c>
      <c r="N389" s="32">
        <f>IF(Mecze[[#This Row],[OU]]=0,0,Mecze[[#This Row],[OU]]/Mecze[[#This Row],[CZAS]])</f>
        <v>2.0408163265306121E-2</v>
      </c>
      <c r="O389" s="32">
        <f>IF(Mecze[[#This Row],[PC]]=0,0,Mecze[[#This Row],[PC]]/Mecze[[#This Row],[CZAS]])</f>
        <v>6.1224489795918366E-2</v>
      </c>
      <c r="P389" s="32">
        <f>IF(Mecze[[#This Row],[SC]]=0,0,Mecze[[#This Row],[SC]]/Mecze[[#This Row],[CZAS]])</f>
        <v>1.020408163265306E-2</v>
      </c>
      <c r="Q389" s="32">
        <f>IF(Mecze[[#This Row],[OB]]=0,0,Mecze[[#This Row],[OB]]/Mecze[[#This Row],[CZAS]])</f>
        <v>0</v>
      </c>
      <c r="R389" s="32">
        <f>IF(Mecze[[#This Row],[BR]]=0,0,Mecze[[#This Row],[BR]]/Mecze[[#This Row],[CZAS]])</f>
        <v>0</v>
      </c>
      <c r="S389" s="44">
        <f>IF(Mecze[[#This Row],[Role]]="BR",SUMPRODUCT(Mecze[[#This Row],[/PR:90]:[/BR:90]],Brudnopis!$E$23:$J$23),0)</f>
        <v>0</v>
      </c>
      <c r="T389" s="44">
        <f>IF(Mecze[[#This Row],[Role]]&lt;&gt;"BR",SUMPRODUCT(Mecze[[#This Row],[/PR:90]:[/BR:90]],Brudnopis!$E$24:$J$24),0)</f>
        <v>0.17346938775510207</v>
      </c>
      <c r="U389" s="44">
        <f>IF(Mecze[[#This Row],[Role]]&lt;&gt;"BR",SUMPRODUCT(Mecze[[#This Row],[/PR:90]:[/BR:90]],Brudnopis!$E$25:$J$25),0)</f>
        <v>0.19387755102040816</v>
      </c>
      <c r="V389" s="44">
        <f>IF(Mecze[[#This Row],[Role]]&lt;&gt;"BR",SUMPRODUCT(Mecze[[#This Row],[/PR:90]:[/BR:90]],Brudnopis!$E$26:$J$26),0)</f>
        <v>0.16326530612244899</v>
      </c>
      <c r="W389" s="44">
        <f>IF(Mecze[[#This Row],[Role]]&lt;&gt;"BR",SUMPRODUCT(Mecze[[#This Row],[/PR:90]:[/BR:90]],Brudnopis!$E$27:$J$27),0)</f>
        <v>0.17091836734693877</v>
      </c>
      <c r="X389" s="44">
        <f>IF(Mecze[[#This Row],[Role]]&lt;&gt;"BR",SUMPRODUCT(Mecze[[#This Row],[/PR:90]:[/BR:90]],Brudnopis!$E$28:$J$28),0)</f>
        <v>8.1632653061224483E-2</v>
      </c>
      <c r="Y389" s="35">
        <f>IF(Mecze[[#This Row],[Role]]="BR",Mecze[[#This Row],[/OB:90]]+Mecze[[#This Row],[/PC:90]],SUM(Mecze[[#This Row],[/PR:90]:[/BR:90]]))</f>
        <v>0.16326530612244899</v>
      </c>
      <c r="Z389" s="35">
        <f>IF(Mecze[[#This Row],[KC]]=0,SUM(Mecze[[#This Row],[/BRI]:[/NPI]]),SUM(Mecze[[#This Row],[/BRI]:[/NPI]])*0.6)</f>
        <v>0.78316326530612246</v>
      </c>
      <c r="AA389" s="10">
        <f>IFERROR(Mecze[[#This Row],[BR]]/Mecze[[#This Row],[ST]],0)</f>
        <v>0</v>
      </c>
      <c r="AB389">
        <f>ROUND(Mecze[[#This Row],[PD]]*Mecze[[#This Row],[%PC]],0)</f>
        <v>6</v>
      </c>
      <c r="AC389">
        <f>ROUND(Mecze[[#This Row],[OD]]*Mecze[[#This Row],[%OU]],0)</f>
        <v>2</v>
      </c>
      <c r="AD389" s="41" t="s">
        <v>67</v>
      </c>
      <c r="AE389" s="36">
        <v>23</v>
      </c>
      <c r="AF389" s="71">
        <v>4.4000000000000004</v>
      </c>
      <c r="AG389" s="37">
        <v>0</v>
      </c>
      <c r="AH389" s="37">
        <v>0</v>
      </c>
      <c r="AI389" s="37">
        <v>98</v>
      </c>
      <c r="AJ389" s="37">
        <v>5</v>
      </c>
      <c r="AK389" s="37" t="str">
        <f>VLOOKUP(Mecze[[#This Row],[Match ID]],Meczusie[Mecz]:Meczusie[RodzajMeczu],2,FALSE)</f>
        <v>Liga</v>
      </c>
    </row>
    <row r="390" spans="1:37" x14ac:dyDescent="0.25">
      <c r="A390" s="76">
        <v>8</v>
      </c>
      <c r="B390" s="3" t="s">
        <v>351</v>
      </c>
      <c r="C390" s="2" t="s">
        <v>160</v>
      </c>
      <c r="D390" s="1">
        <v>0</v>
      </c>
      <c r="E390" s="1">
        <v>0</v>
      </c>
      <c r="F390" s="1">
        <v>0</v>
      </c>
      <c r="G390" s="1">
        <v>17</v>
      </c>
      <c r="H390" s="4">
        <v>0.53</v>
      </c>
      <c r="I390" s="1">
        <v>3</v>
      </c>
      <c r="J390" s="4">
        <v>1</v>
      </c>
      <c r="K390" s="1">
        <v>0</v>
      </c>
      <c r="L390" s="1">
        <v>3</v>
      </c>
      <c r="M390" s="32">
        <f>IF(Mecze[[#This Row],[PR]]=0,0,Mecze[[#This Row],[PR]]/Mecze[[#This Row],[CZAS]])</f>
        <v>3.0612244897959183E-2</v>
      </c>
      <c r="N390" s="32">
        <f>IF(Mecze[[#This Row],[OU]]=0,0,Mecze[[#This Row],[OU]]/Mecze[[#This Row],[CZAS]])</f>
        <v>3.0612244897959183E-2</v>
      </c>
      <c r="O390" s="32">
        <f>IF(Mecze[[#This Row],[PC]]=0,0,Mecze[[#This Row],[PC]]/Mecze[[#This Row],[CZAS]])</f>
        <v>9.1836734693877556E-2</v>
      </c>
      <c r="P390" s="32">
        <f>IF(Mecze[[#This Row],[SC]]=0,0,Mecze[[#This Row],[SC]]/Mecze[[#This Row],[CZAS]])</f>
        <v>0</v>
      </c>
      <c r="Q390" s="32">
        <f>IF(Mecze[[#This Row],[OB]]=0,0,Mecze[[#This Row],[OB]]/Mecze[[#This Row],[CZAS]])</f>
        <v>0</v>
      </c>
      <c r="R390" s="32">
        <f>IF(Mecze[[#This Row],[BR]]=0,0,Mecze[[#This Row],[BR]]/Mecze[[#This Row],[CZAS]])</f>
        <v>0</v>
      </c>
      <c r="S390" s="44">
        <f>IF(Mecze[[#This Row],[Role]]="BR",SUMPRODUCT(Mecze[[#This Row],[/PR:90]:[/BR:90]],Brudnopis!$E$23:$J$23),0)</f>
        <v>0</v>
      </c>
      <c r="T390" s="44">
        <f>IF(Mecze[[#This Row],[Role]]&lt;&gt;"BR",SUMPRODUCT(Mecze[[#This Row],[/PR:90]:[/BR:90]],Brudnopis!$E$24:$J$24),0)</f>
        <v>0.16836734693877553</v>
      </c>
      <c r="U390" s="44">
        <f>IF(Mecze[[#This Row],[Role]]&lt;&gt;"BR",SUMPRODUCT(Mecze[[#This Row],[/PR:90]:[/BR:90]],Brudnopis!$E$25:$J$25),0)</f>
        <v>0.19897959183673469</v>
      </c>
      <c r="V390" s="44">
        <f>IF(Mecze[[#This Row],[Role]]&lt;&gt;"BR",SUMPRODUCT(Mecze[[#This Row],[/PR:90]:[/BR:90]],Brudnopis!$E$26:$J$26),0)</f>
        <v>0.15306122448979592</v>
      </c>
      <c r="W390" s="44">
        <f>IF(Mecze[[#This Row],[Role]]&lt;&gt;"BR",SUMPRODUCT(Mecze[[#This Row],[/PR:90]:[/BR:90]],Brudnopis!$E$27:$J$27),0)</f>
        <v>0.18367346938775511</v>
      </c>
      <c r="X390" s="44">
        <f>IF(Mecze[[#This Row],[Role]]&lt;&gt;"BR",SUMPRODUCT(Mecze[[#This Row],[/PR:90]:[/BR:90]],Brudnopis!$E$28:$J$28),0)</f>
        <v>9.1836734693877556E-2</v>
      </c>
      <c r="Y390" s="35">
        <f>IF(Mecze[[#This Row],[Role]]="BR",Mecze[[#This Row],[/OB:90]]+Mecze[[#This Row],[/PC:90]],SUM(Mecze[[#This Row],[/PR:90]:[/BR:90]]))</f>
        <v>0.15306122448979592</v>
      </c>
      <c r="Z390" s="35">
        <f>IF(Mecze[[#This Row],[KC]]=0,SUM(Mecze[[#This Row],[/BRI]:[/NPI]]),SUM(Mecze[[#This Row],[/BRI]:[/NPI]])*0.6)</f>
        <v>0.79591836734693877</v>
      </c>
      <c r="AA390" s="10">
        <f>IFERROR(Mecze[[#This Row],[BR]]/Mecze[[#This Row],[ST]],0)</f>
        <v>0</v>
      </c>
      <c r="AB390">
        <f>ROUND(Mecze[[#This Row],[PD]]*Mecze[[#This Row],[%PC]],0)</f>
        <v>9</v>
      </c>
      <c r="AC390">
        <f>ROUND(Mecze[[#This Row],[OD]]*Mecze[[#This Row],[%OU]],0)</f>
        <v>3</v>
      </c>
      <c r="AD390" s="41" t="s">
        <v>67</v>
      </c>
      <c r="AE390" s="36">
        <v>23</v>
      </c>
      <c r="AF390" s="71">
        <v>4.54</v>
      </c>
      <c r="AG390" s="37">
        <v>0</v>
      </c>
      <c r="AH390" s="37">
        <v>0</v>
      </c>
      <c r="AI390" s="37">
        <v>98</v>
      </c>
      <c r="AJ390" s="37">
        <v>5</v>
      </c>
      <c r="AK390" s="37" t="str">
        <f>VLOOKUP(Mecze[[#This Row],[Match ID]],Meczusie[Mecz]:Meczusie[RodzajMeczu],2,FALSE)</f>
        <v>Liga</v>
      </c>
    </row>
    <row r="391" spans="1:37" x14ac:dyDescent="0.25">
      <c r="A391" s="76">
        <v>10</v>
      </c>
      <c r="B391" s="3" t="s">
        <v>352</v>
      </c>
      <c r="C391" s="2" t="s">
        <v>165</v>
      </c>
      <c r="D391" s="1">
        <v>1</v>
      </c>
      <c r="E391" s="1">
        <v>5</v>
      </c>
      <c r="F391" s="1">
        <v>3</v>
      </c>
      <c r="G391" s="1">
        <v>11</v>
      </c>
      <c r="H391" s="4">
        <v>0.64</v>
      </c>
      <c r="I391" s="1">
        <v>4</v>
      </c>
      <c r="J391" s="4">
        <v>0.5</v>
      </c>
      <c r="K391" s="1">
        <v>0</v>
      </c>
      <c r="L391" s="1">
        <v>1</v>
      </c>
      <c r="M391" s="32">
        <f>IF(Mecze[[#This Row],[PR]]=0,0,Mecze[[#This Row],[PR]]/Mecze[[#This Row],[CZAS]])</f>
        <v>1.020408163265306E-2</v>
      </c>
      <c r="N391" s="32">
        <f>IF(Mecze[[#This Row],[OU]]=0,0,Mecze[[#This Row],[OU]]/Mecze[[#This Row],[CZAS]])</f>
        <v>2.0408163265306121E-2</v>
      </c>
      <c r="O391" s="32">
        <f>IF(Mecze[[#This Row],[PC]]=0,0,Mecze[[#This Row],[PC]]/Mecze[[#This Row],[CZAS]])</f>
        <v>7.1428571428571425E-2</v>
      </c>
      <c r="P391" s="32">
        <f>IF(Mecze[[#This Row],[SC]]=0,0,Mecze[[#This Row],[SC]]/Mecze[[#This Row],[CZAS]])</f>
        <v>3.0612244897959183E-2</v>
      </c>
      <c r="Q391" s="32">
        <f>IF(Mecze[[#This Row],[OB]]=0,0,Mecze[[#This Row],[OB]]/Mecze[[#This Row],[CZAS]])</f>
        <v>0</v>
      </c>
      <c r="R391" s="32">
        <f>IF(Mecze[[#This Row],[BR]]=0,0,Mecze[[#This Row],[BR]]/Mecze[[#This Row],[CZAS]])</f>
        <v>1.020408163265306E-2</v>
      </c>
      <c r="S391" s="44">
        <f>IF(Mecze[[#This Row],[Role]]="BR",SUMPRODUCT(Mecze[[#This Row],[/PR:90]:[/BR:90]],Brudnopis!$E$23:$J$23),0)</f>
        <v>0</v>
      </c>
      <c r="T391" s="44">
        <f>IF(Mecze[[#This Row],[Role]]&lt;&gt;"BR",SUMPRODUCT(Mecze[[#This Row],[/PR:90]:[/BR:90]],Brudnopis!$E$24:$J$24),0)</f>
        <v>0.15816326530612243</v>
      </c>
      <c r="U391" s="44">
        <f>IF(Mecze[[#This Row],[Role]]&lt;&gt;"BR",SUMPRODUCT(Mecze[[#This Row],[/PR:90]:[/BR:90]],Brudnopis!$E$25:$J$25),0)</f>
        <v>0.18367346938775508</v>
      </c>
      <c r="V391" s="44">
        <f>IF(Mecze[[#This Row],[Role]]&lt;&gt;"BR",SUMPRODUCT(Mecze[[#This Row],[/PR:90]:[/BR:90]],Brudnopis!$E$26:$J$26),0)</f>
        <v>0.15306122448979592</v>
      </c>
      <c r="W391" s="44">
        <f>IF(Mecze[[#This Row],[Role]]&lt;&gt;"BR",SUMPRODUCT(Mecze[[#This Row],[/PR:90]:[/BR:90]],Brudnopis!$E$27:$J$27),0)</f>
        <v>0.18112244897959184</v>
      </c>
      <c r="X391" s="44">
        <f>IF(Mecze[[#This Row],[Role]]&lt;&gt;"BR",SUMPRODUCT(Mecze[[#This Row],[/PR:90]:[/BR:90]],Brudnopis!$E$28:$J$28),0)</f>
        <v>0.16326530612244897</v>
      </c>
      <c r="Y391" s="35">
        <f>IF(Mecze[[#This Row],[Role]]="BR",Mecze[[#This Row],[/OB:90]]+Mecze[[#This Row],[/PC:90]],SUM(Mecze[[#This Row],[/PR:90]:[/BR:90]]))</f>
        <v>0.14285714285714288</v>
      </c>
      <c r="Z391" s="35">
        <f>IF(Mecze[[#This Row],[KC]]=0,SUM(Mecze[[#This Row],[/BRI]:[/NPI]]),SUM(Mecze[[#This Row],[/BRI]:[/NPI]])*0.6)</f>
        <v>0.83928571428571419</v>
      </c>
      <c r="AA391" s="10">
        <f>IFERROR(Mecze[[#This Row],[BR]]/Mecze[[#This Row],[ST]],0)</f>
        <v>0.2</v>
      </c>
      <c r="AB391">
        <f>ROUND(Mecze[[#This Row],[PD]]*Mecze[[#This Row],[%PC]],0)</f>
        <v>7</v>
      </c>
      <c r="AC391">
        <f>ROUND(Mecze[[#This Row],[OD]]*Mecze[[#This Row],[%OU]],0)</f>
        <v>2</v>
      </c>
      <c r="AD391" s="41" t="s">
        <v>46</v>
      </c>
      <c r="AE391" s="36">
        <v>23</v>
      </c>
      <c r="AF391" s="71">
        <v>7</v>
      </c>
      <c r="AG391" s="37">
        <v>0</v>
      </c>
      <c r="AH391" s="37">
        <v>0</v>
      </c>
      <c r="AI391" s="37">
        <v>98</v>
      </c>
      <c r="AJ391" s="37">
        <v>5</v>
      </c>
      <c r="AK391" s="37" t="str">
        <f>VLOOKUP(Mecze[[#This Row],[Match ID]],Meczusie[Mecz]:Meczusie[RodzajMeczu],2,FALSE)</f>
        <v>Liga</v>
      </c>
    </row>
    <row r="392" spans="1:37" x14ac:dyDescent="0.25">
      <c r="A392" s="76">
        <v>11</v>
      </c>
      <c r="B392" s="3" t="s">
        <v>353</v>
      </c>
      <c r="C392" s="2" t="s">
        <v>165</v>
      </c>
      <c r="D392" s="1">
        <v>0</v>
      </c>
      <c r="E392" s="1">
        <v>5</v>
      </c>
      <c r="F392" s="1">
        <v>5</v>
      </c>
      <c r="G392" s="1">
        <v>3</v>
      </c>
      <c r="H392" s="4">
        <v>0.67</v>
      </c>
      <c r="I392" s="1">
        <v>3</v>
      </c>
      <c r="J392" s="4">
        <v>0.33</v>
      </c>
      <c r="K392" s="1">
        <v>0</v>
      </c>
      <c r="L392" s="1">
        <v>2</v>
      </c>
      <c r="M392" s="32">
        <f>IF(Mecze[[#This Row],[PR]]=0,0,Mecze[[#This Row],[PR]]/Mecze[[#This Row],[CZAS]])</f>
        <v>2.0408163265306121E-2</v>
      </c>
      <c r="N392" s="32">
        <f>IF(Mecze[[#This Row],[OU]]=0,0,Mecze[[#This Row],[OU]]/Mecze[[#This Row],[CZAS]])</f>
        <v>1.020408163265306E-2</v>
      </c>
      <c r="O392" s="32">
        <f>IF(Mecze[[#This Row],[PC]]=0,0,Mecze[[#This Row],[PC]]/Mecze[[#This Row],[CZAS]])</f>
        <v>2.0408163265306121E-2</v>
      </c>
      <c r="P392" s="32">
        <f>IF(Mecze[[#This Row],[SC]]=0,0,Mecze[[#This Row],[SC]]/Mecze[[#This Row],[CZAS]])</f>
        <v>5.1020408163265307E-2</v>
      </c>
      <c r="Q392" s="32">
        <f>IF(Mecze[[#This Row],[OB]]=0,0,Mecze[[#This Row],[OB]]/Mecze[[#This Row],[CZAS]])</f>
        <v>0</v>
      </c>
      <c r="R392" s="32">
        <f>IF(Mecze[[#This Row],[BR]]=0,0,Mecze[[#This Row],[BR]]/Mecze[[#This Row],[CZAS]])</f>
        <v>0</v>
      </c>
      <c r="S392" s="44">
        <f>IF(Mecze[[#This Row],[Role]]="BR",SUMPRODUCT(Mecze[[#This Row],[/PR:90]:[/BR:90]],Brudnopis!$E$23:$J$23),0)</f>
        <v>0</v>
      </c>
      <c r="T392" s="44">
        <f>IF(Mecze[[#This Row],[Role]]&lt;&gt;"BR",SUMPRODUCT(Mecze[[#This Row],[/PR:90]:[/BR:90]],Brudnopis!$E$24:$J$24),0)</f>
        <v>0.10714285714285714</v>
      </c>
      <c r="U392" s="44">
        <f>IF(Mecze[[#This Row],[Role]]&lt;&gt;"BR",SUMPRODUCT(Mecze[[#This Row],[/PR:90]:[/BR:90]],Brudnopis!$E$25:$J$25),0)</f>
        <v>0.11224489795918367</v>
      </c>
      <c r="V392" s="44">
        <f>IF(Mecze[[#This Row],[Role]]&lt;&gt;"BR",SUMPRODUCT(Mecze[[#This Row],[/PR:90]:[/BR:90]],Brudnopis!$E$26:$J$26),0)</f>
        <v>0.10204081632653061</v>
      </c>
      <c r="W392" s="44">
        <f>IF(Mecze[[#This Row],[Role]]&lt;&gt;"BR",SUMPRODUCT(Mecze[[#This Row],[/PR:90]:[/BR:90]],Brudnopis!$E$27:$J$27),0)</f>
        <v>0.10459183673469388</v>
      </c>
      <c r="X392" s="44">
        <f>IF(Mecze[[#This Row],[Role]]&lt;&gt;"BR",SUMPRODUCT(Mecze[[#This Row],[/PR:90]:[/BR:90]],Brudnopis!$E$28:$J$28),0)</f>
        <v>0.12244897959183673</v>
      </c>
      <c r="Y392" s="35">
        <f>IF(Mecze[[#This Row],[Role]]="BR",Mecze[[#This Row],[/OB:90]]+Mecze[[#This Row],[/PC:90]],SUM(Mecze[[#This Row],[/PR:90]:[/BR:90]]))</f>
        <v>0.10204081632653061</v>
      </c>
      <c r="Z392" s="35">
        <f>IF(Mecze[[#This Row],[KC]]=0,SUM(Mecze[[#This Row],[/BRI]:[/NPI]]),SUM(Mecze[[#This Row],[/BRI]:[/NPI]])*0.6)</f>
        <v>0.54846938775510201</v>
      </c>
      <c r="AA392" s="10">
        <f>IFERROR(Mecze[[#This Row],[BR]]/Mecze[[#This Row],[ST]],0)</f>
        <v>0</v>
      </c>
      <c r="AB392">
        <f>ROUND(Mecze[[#This Row],[PD]]*Mecze[[#This Row],[%PC]],0)</f>
        <v>2</v>
      </c>
      <c r="AC392">
        <f>ROUND(Mecze[[#This Row],[OD]]*Mecze[[#This Row],[%OU]],0)</f>
        <v>1</v>
      </c>
      <c r="AD392" s="42" t="s">
        <v>272</v>
      </c>
      <c r="AE392" s="36">
        <v>23</v>
      </c>
      <c r="AF392" s="71">
        <v>3.81</v>
      </c>
      <c r="AG392" s="37">
        <v>0</v>
      </c>
      <c r="AH392" s="37">
        <v>0</v>
      </c>
      <c r="AI392" s="37">
        <v>98</v>
      </c>
      <c r="AJ392" s="37">
        <v>5</v>
      </c>
      <c r="AK392" s="37" t="str">
        <f>VLOOKUP(Mecze[[#This Row],[Match ID]],Meczusie[Mecz]:Meczusie[RodzajMeczu],2,FALSE)</f>
        <v>Liga</v>
      </c>
    </row>
    <row r="393" spans="1:37" x14ac:dyDescent="0.25">
      <c r="A393" s="76">
        <v>9</v>
      </c>
      <c r="B393" s="3" t="s">
        <v>354</v>
      </c>
      <c r="C393" s="2" t="s">
        <v>165</v>
      </c>
      <c r="D393" s="1">
        <v>1</v>
      </c>
      <c r="E393" s="1">
        <v>8</v>
      </c>
      <c r="F393" s="1">
        <v>7</v>
      </c>
      <c r="G393" s="1">
        <v>8</v>
      </c>
      <c r="H393" s="4">
        <v>0.63</v>
      </c>
      <c r="I393" s="1">
        <v>2</v>
      </c>
      <c r="J393" s="4">
        <v>0.5</v>
      </c>
      <c r="K393" s="1">
        <v>0</v>
      </c>
      <c r="L393" s="1">
        <v>2</v>
      </c>
      <c r="M393" s="32">
        <f>IF(Mecze[[#This Row],[PR]]=0,0,Mecze[[#This Row],[PR]]/Mecze[[#This Row],[CZAS]])</f>
        <v>2.0408163265306121E-2</v>
      </c>
      <c r="N393" s="32">
        <f>IF(Mecze[[#This Row],[OU]]=0,0,Mecze[[#This Row],[OU]]/Mecze[[#This Row],[CZAS]])</f>
        <v>1.020408163265306E-2</v>
      </c>
      <c r="O393" s="32">
        <f>IF(Mecze[[#This Row],[PC]]=0,0,Mecze[[#This Row],[PC]]/Mecze[[#This Row],[CZAS]])</f>
        <v>5.1020408163265307E-2</v>
      </c>
      <c r="P393" s="32">
        <f>IF(Mecze[[#This Row],[SC]]=0,0,Mecze[[#This Row],[SC]]/Mecze[[#This Row],[CZAS]])</f>
        <v>7.1428571428571425E-2</v>
      </c>
      <c r="Q393" s="32">
        <f>IF(Mecze[[#This Row],[OB]]=0,0,Mecze[[#This Row],[OB]]/Mecze[[#This Row],[CZAS]])</f>
        <v>0</v>
      </c>
      <c r="R393" s="32">
        <f>IF(Mecze[[#This Row],[BR]]=0,0,Mecze[[#This Row],[BR]]/Mecze[[#This Row],[CZAS]])</f>
        <v>1.020408163265306E-2</v>
      </c>
      <c r="S393" s="44">
        <f>IF(Mecze[[#This Row],[Role]]="BR",SUMPRODUCT(Mecze[[#This Row],[/PR:90]:[/BR:90]],Brudnopis!$E$23:$J$23),0)</f>
        <v>0</v>
      </c>
      <c r="T393" s="44">
        <f>IF(Mecze[[#This Row],[Role]]&lt;&gt;"BR",SUMPRODUCT(Mecze[[#This Row],[/PR:90]:[/BR:90]],Brudnopis!$E$24:$J$24),0)</f>
        <v>0.17346938775510204</v>
      </c>
      <c r="U393" s="44">
        <f>IF(Mecze[[#This Row],[Role]]&lt;&gt;"BR",SUMPRODUCT(Mecze[[#This Row],[/PR:90]:[/BR:90]],Brudnopis!$E$25:$J$25),0)</f>
        <v>0.19387755102040816</v>
      </c>
      <c r="V393" s="44">
        <f>IF(Mecze[[#This Row],[Role]]&lt;&gt;"BR",SUMPRODUCT(Mecze[[#This Row],[/PR:90]:[/BR:90]],Brudnopis!$E$26:$J$26),0)</f>
        <v>0.17346938775510204</v>
      </c>
      <c r="W393" s="44">
        <f>IF(Mecze[[#This Row],[Role]]&lt;&gt;"BR",SUMPRODUCT(Mecze[[#This Row],[/PR:90]:[/BR:90]],Brudnopis!$E$27:$J$27),0)</f>
        <v>0.19132653061224489</v>
      </c>
      <c r="X393" s="44">
        <f>IF(Mecze[[#This Row],[Role]]&lt;&gt;"BR",SUMPRODUCT(Mecze[[#This Row],[/PR:90]:[/BR:90]],Brudnopis!$E$28:$J$28),0)</f>
        <v>0.22448979591836735</v>
      </c>
      <c r="Y393" s="35">
        <f>IF(Mecze[[#This Row],[Role]]="BR",Mecze[[#This Row],[/OB:90]]+Mecze[[#This Row],[/PC:90]],SUM(Mecze[[#This Row],[/PR:90]:[/BR:90]]))</f>
        <v>0.16326530612244899</v>
      </c>
      <c r="Z393" s="35">
        <f>IF(Mecze[[#This Row],[KC]]=0,SUM(Mecze[[#This Row],[/BRI]:[/NPI]]),SUM(Mecze[[#This Row],[/BRI]:[/NPI]])*0.6)</f>
        <v>0.95663265306122447</v>
      </c>
      <c r="AA393" s="10">
        <f>IFERROR(Mecze[[#This Row],[BR]]/Mecze[[#This Row],[ST]],0)</f>
        <v>0.125</v>
      </c>
      <c r="AB393">
        <f>ROUND(Mecze[[#This Row],[PD]]*Mecze[[#This Row],[%PC]],0)</f>
        <v>5</v>
      </c>
      <c r="AC393">
        <f>ROUND(Mecze[[#This Row],[OD]]*Mecze[[#This Row],[%OU]],0)</f>
        <v>1</v>
      </c>
      <c r="AD393" s="36" t="s">
        <v>273</v>
      </c>
      <c r="AE393" s="36">
        <v>23</v>
      </c>
      <c r="AF393" s="71">
        <v>7.88</v>
      </c>
      <c r="AG393" s="37">
        <v>0</v>
      </c>
      <c r="AH393" s="37">
        <v>0</v>
      </c>
      <c r="AI393" s="37">
        <v>98</v>
      </c>
      <c r="AJ393" s="37">
        <v>5</v>
      </c>
      <c r="AK393" s="37" t="str">
        <f>VLOOKUP(Mecze[[#This Row],[Match ID]],Meczusie[Mecz]:Meczusie[RodzajMeczu],2,FALSE)</f>
        <v>Liga</v>
      </c>
    </row>
    <row r="394" spans="1:37" x14ac:dyDescent="0.25">
      <c r="A394" s="76">
        <v>1</v>
      </c>
      <c r="B394" s="3" t="s">
        <v>220</v>
      </c>
      <c r="C394" s="2" t="s">
        <v>155</v>
      </c>
      <c r="D394" s="1">
        <v>0</v>
      </c>
      <c r="E394" s="1">
        <v>0</v>
      </c>
      <c r="F394" s="1">
        <v>0</v>
      </c>
      <c r="G394" s="1">
        <v>5</v>
      </c>
      <c r="H394" s="4">
        <v>0.6</v>
      </c>
      <c r="I394" s="1">
        <v>0</v>
      </c>
      <c r="J394" s="4"/>
      <c r="K394" s="1">
        <v>8</v>
      </c>
      <c r="L394" s="1">
        <v>0</v>
      </c>
      <c r="M394" s="32">
        <f>IF(Mecze[[#This Row],[PR]]=0,0,Mecze[[#This Row],[PR]]/Mecze[[#This Row],[CZAS]])</f>
        <v>0</v>
      </c>
      <c r="N394" s="32">
        <f>IF(Mecze[[#This Row],[OU]]=0,0,Mecze[[#This Row],[OU]]/Mecze[[#This Row],[CZAS]])</f>
        <v>0</v>
      </c>
      <c r="O394" s="32">
        <f>IF(Mecze[[#This Row],[PC]]=0,0,Mecze[[#This Row],[PC]]/Mecze[[#This Row],[CZAS]])</f>
        <v>3.0612244897959183E-2</v>
      </c>
      <c r="P394" s="32">
        <f>IF(Mecze[[#This Row],[SC]]=0,0,Mecze[[#This Row],[SC]]/Mecze[[#This Row],[CZAS]])</f>
        <v>0</v>
      </c>
      <c r="Q394" s="32">
        <f>IF(Mecze[[#This Row],[OB]]=0,0,Mecze[[#This Row],[OB]]/Mecze[[#This Row],[CZAS]])</f>
        <v>8.1632653061224483E-2</v>
      </c>
      <c r="R394" s="32">
        <f>IF(Mecze[[#This Row],[BR]]=0,0,Mecze[[#This Row],[BR]]/Mecze[[#This Row],[CZAS]])</f>
        <v>0</v>
      </c>
      <c r="S394" s="44">
        <f>IF(Mecze[[#This Row],[Role]]="BR",SUMPRODUCT(Mecze[[#This Row],[/PR:90]:[/BR:90]],Brudnopis!$E$23:$J$23),0)</f>
        <v>0.33673469387755101</v>
      </c>
      <c r="T394" s="44">
        <f>IF(Mecze[[#This Row],[Role]]&lt;&gt;"BR",SUMPRODUCT(Mecze[[#This Row],[/PR:90]:[/BR:90]],Brudnopis!$E$24:$J$24),0)</f>
        <v>0</v>
      </c>
      <c r="U394" s="44">
        <f>IF(Mecze[[#This Row],[Role]]&lt;&gt;"BR",SUMPRODUCT(Mecze[[#This Row],[/PR:90]:[/BR:90]],Brudnopis!$E$25:$J$25),0)</f>
        <v>0</v>
      </c>
      <c r="V394" s="44">
        <f>IF(Mecze[[#This Row],[Role]]&lt;&gt;"BR",SUMPRODUCT(Mecze[[#This Row],[/PR:90]:[/BR:90]],Brudnopis!$E$26:$J$26),0)</f>
        <v>0</v>
      </c>
      <c r="W394" s="44">
        <f>IF(Mecze[[#This Row],[Role]]&lt;&gt;"BR",SUMPRODUCT(Mecze[[#This Row],[/PR:90]:[/BR:90]],Brudnopis!$E$27:$J$27),0)</f>
        <v>0</v>
      </c>
      <c r="X394" s="44">
        <f>IF(Mecze[[#This Row],[Role]]&lt;&gt;"BR",SUMPRODUCT(Mecze[[#This Row],[/PR:90]:[/BR:90]],Brudnopis!$E$28:$J$28),0)</f>
        <v>0</v>
      </c>
      <c r="Y394" s="35">
        <f>IF(Mecze[[#This Row],[Role]]="BR",Mecze[[#This Row],[/OB:90]]+Mecze[[#This Row],[/PC:90]],SUM(Mecze[[#This Row],[/PR:90]:[/BR:90]]))</f>
        <v>0.11224489795918366</v>
      </c>
      <c r="Z394" s="35">
        <f>IF(Mecze[[#This Row],[KC]]=0,SUM(Mecze[[#This Row],[/BRI]:[/NPI]]),SUM(Mecze[[#This Row],[/BRI]:[/NPI]])*0.6)</f>
        <v>0.33673469387755101</v>
      </c>
      <c r="AA394" s="10">
        <f>IFERROR(Mecze[[#This Row],[BR]]/Mecze[[#This Row],[ST]],0)</f>
        <v>0</v>
      </c>
      <c r="AB394">
        <f>ROUND(Mecze[[#This Row],[PD]]*Mecze[[#This Row],[%PC]],0)</f>
        <v>3</v>
      </c>
      <c r="AC394">
        <f>ROUND(Mecze[[#This Row],[OD]]*Mecze[[#This Row],[%OU]],0)</f>
        <v>0</v>
      </c>
      <c r="AD394" s="36" t="s">
        <v>40</v>
      </c>
      <c r="AE394" s="36">
        <v>24</v>
      </c>
      <c r="AF394" s="71">
        <v>7.94</v>
      </c>
      <c r="AG394" s="37">
        <v>0</v>
      </c>
      <c r="AH394" s="37">
        <v>0</v>
      </c>
      <c r="AI394" s="37">
        <v>98</v>
      </c>
      <c r="AJ394" s="37">
        <v>2</v>
      </c>
      <c r="AK394" s="37" t="str">
        <f>VLOOKUP(Mecze[[#This Row],[Match ID]],Meczusie[Mecz]:Meczusie[RodzajMeczu],2,FALSE)</f>
        <v>Liga</v>
      </c>
    </row>
    <row r="395" spans="1:37" x14ac:dyDescent="0.25">
      <c r="A395" s="76">
        <v>3</v>
      </c>
      <c r="B395" s="3" t="s">
        <v>222</v>
      </c>
      <c r="C395" s="2" t="s">
        <v>157</v>
      </c>
      <c r="D395" s="1">
        <v>0</v>
      </c>
      <c r="E395" s="1">
        <v>0</v>
      </c>
      <c r="F395" s="1">
        <v>0</v>
      </c>
      <c r="G395" s="1">
        <v>9</v>
      </c>
      <c r="H395" s="4">
        <v>0.78</v>
      </c>
      <c r="I395" s="1">
        <v>3</v>
      </c>
      <c r="J395" s="4">
        <v>0.33</v>
      </c>
      <c r="K395" s="1">
        <v>0</v>
      </c>
      <c r="L395" s="1">
        <v>10</v>
      </c>
      <c r="M395" s="32">
        <f>IF(Mecze[[#This Row],[PR]]=0,0,Mecze[[#This Row],[PR]]/Mecze[[#This Row],[CZAS]])</f>
        <v>0.10204081632653061</v>
      </c>
      <c r="N395" s="32">
        <f>IF(Mecze[[#This Row],[OU]]=0,0,Mecze[[#This Row],[OU]]/Mecze[[#This Row],[CZAS]])</f>
        <v>1.020408163265306E-2</v>
      </c>
      <c r="O395" s="32">
        <f>IF(Mecze[[#This Row],[PC]]=0,0,Mecze[[#This Row],[PC]]/Mecze[[#This Row],[CZAS]])</f>
        <v>7.1428571428571425E-2</v>
      </c>
      <c r="P395" s="32">
        <f>IF(Mecze[[#This Row],[SC]]=0,0,Mecze[[#This Row],[SC]]/Mecze[[#This Row],[CZAS]])</f>
        <v>0</v>
      </c>
      <c r="Q395" s="32">
        <f>IF(Mecze[[#This Row],[OB]]=0,0,Mecze[[#This Row],[OB]]/Mecze[[#This Row],[CZAS]])</f>
        <v>0</v>
      </c>
      <c r="R395" s="32">
        <f>IF(Mecze[[#This Row],[BR]]=0,0,Mecze[[#This Row],[BR]]/Mecze[[#This Row],[CZAS]])</f>
        <v>0</v>
      </c>
      <c r="S395" s="44">
        <f>IF(Mecze[[#This Row],[Role]]="BR",SUMPRODUCT(Mecze[[#This Row],[/PR:90]:[/BR:90]],Brudnopis!$E$23:$J$23),0)</f>
        <v>0</v>
      </c>
      <c r="T395" s="44">
        <f>IF(Mecze[[#This Row],[Role]]&lt;&gt;"BR",SUMPRODUCT(Mecze[[#This Row],[/PR:90]:[/BR:90]],Brudnopis!$E$24:$J$24),0)</f>
        <v>0.18877551020408162</v>
      </c>
      <c r="U395" s="44">
        <f>IF(Mecze[[#This Row],[Role]]&lt;&gt;"BR",SUMPRODUCT(Mecze[[#This Row],[/PR:90]:[/BR:90]],Brudnopis!$E$25:$J$25),0)</f>
        <v>0.21938775510204081</v>
      </c>
      <c r="V395" s="44">
        <f>IF(Mecze[[#This Row],[Role]]&lt;&gt;"BR",SUMPRODUCT(Mecze[[#This Row],[/PR:90]:[/BR:90]],Brudnopis!$E$26:$J$26),0)</f>
        <v>0.18367346938775508</v>
      </c>
      <c r="W395" s="44">
        <f>IF(Mecze[[#This Row],[Role]]&lt;&gt;"BR",SUMPRODUCT(Mecze[[#This Row],[/PR:90]:[/BR:90]],Brudnopis!$E$27:$J$27),0)</f>
        <v>0.19132653061224489</v>
      </c>
      <c r="X395" s="44">
        <f>IF(Mecze[[#This Row],[Role]]&lt;&gt;"BR",SUMPRODUCT(Mecze[[#This Row],[/PR:90]:[/BR:90]],Brudnopis!$E$28:$J$28),0)</f>
        <v>7.1428571428571425E-2</v>
      </c>
      <c r="Y395" s="35">
        <f>IF(Mecze[[#This Row],[Role]]="BR",Mecze[[#This Row],[/OB:90]]+Mecze[[#This Row],[/PC:90]],SUM(Mecze[[#This Row],[/PR:90]:[/BR:90]]))</f>
        <v>0.18367346938775508</v>
      </c>
      <c r="Z395" s="35">
        <f>IF(Mecze[[#This Row],[KC]]=0,SUM(Mecze[[#This Row],[/BRI]:[/NPI]]),SUM(Mecze[[#This Row],[/BRI]:[/NPI]])*0.6)</f>
        <v>0.85459183673469385</v>
      </c>
      <c r="AA395" s="10">
        <f>IFERROR(Mecze[[#This Row],[BR]]/Mecze[[#This Row],[ST]],0)</f>
        <v>0</v>
      </c>
      <c r="AB395">
        <f>ROUND(Mecze[[#This Row],[PD]]*Mecze[[#This Row],[%PC]],0)</f>
        <v>7</v>
      </c>
      <c r="AC395">
        <f>ROUND(Mecze[[#This Row],[OD]]*Mecze[[#This Row],[%OU]],0)</f>
        <v>1</v>
      </c>
      <c r="AD395" s="36" t="s">
        <v>47</v>
      </c>
      <c r="AE395" s="36">
        <v>24</v>
      </c>
      <c r="AF395" s="71">
        <v>6.02</v>
      </c>
      <c r="AG395" s="37">
        <v>0</v>
      </c>
      <c r="AH395" s="37">
        <v>0</v>
      </c>
      <c r="AI395" s="37">
        <v>98</v>
      </c>
      <c r="AJ395" s="37">
        <v>2</v>
      </c>
      <c r="AK395" s="37" t="str">
        <f>VLOOKUP(Mecze[[#This Row],[Match ID]],Meczusie[Mecz]:Meczusie[RodzajMeczu],2,FALSE)</f>
        <v>Liga</v>
      </c>
    </row>
    <row r="396" spans="1:37" x14ac:dyDescent="0.25">
      <c r="A396" s="76">
        <v>4</v>
      </c>
      <c r="B396" s="3" t="s">
        <v>221</v>
      </c>
      <c r="C396" s="2" t="s">
        <v>157</v>
      </c>
      <c r="D396" s="1">
        <v>0</v>
      </c>
      <c r="E396" s="1">
        <v>0</v>
      </c>
      <c r="F396" s="1">
        <v>0</v>
      </c>
      <c r="G396" s="1">
        <v>13</v>
      </c>
      <c r="H396" s="4">
        <v>0.69</v>
      </c>
      <c r="I396" s="1">
        <v>7</v>
      </c>
      <c r="J396" s="4">
        <v>0.71</v>
      </c>
      <c r="K396" s="1">
        <v>0</v>
      </c>
      <c r="L396" s="1">
        <v>6</v>
      </c>
      <c r="M396" s="32">
        <f>IF(Mecze[[#This Row],[PR]]=0,0,Mecze[[#This Row],[PR]]/Mecze[[#This Row],[CZAS]])</f>
        <v>6.1224489795918366E-2</v>
      </c>
      <c r="N396" s="32">
        <f>IF(Mecze[[#This Row],[OU]]=0,0,Mecze[[#This Row],[OU]]/Mecze[[#This Row],[CZAS]])</f>
        <v>5.1020408163265307E-2</v>
      </c>
      <c r="O396" s="32">
        <f>IF(Mecze[[#This Row],[PC]]=0,0,Mecze[[#This Row],[PC]]/Mecze[[#This Row],[CZAS]])</f>
        <v>9.1836734693877556E-2</v>
      </c>
      <c r="P396" s="32">
        <f>IF(Mecze[[#This Row],[SC]]=0,0,Mecze[[#This Row],[SC]]/Mecze[[#This Row],[CZAS]])</f>
        <v>0</v>
      </c>
      <c r="Q396" s="32">
        <f>IF(Mecze[[#This Row],[OB]]=0,0,Mecze[[#This Row],[OB]]/Mecze[[#This Row],[CZAS]])</f>
        <v>0</v>
      </c>
      <c r="R396" s="32">
        <f>IF(Mecze[[#This Row],[BR]]=0,0,Mecze[[#This Row],[BR]]/Mecze[[#This Row],[CZAS]])</f>
        <v>0</v>
      </c>
      <c r="S396" s="44">
        <f>IF(Mecze[[#This Row],[Role]]="BR",SUMPRODUCT(Mecze[[#This Row],[/PR:90]:[/BR:90]],Brudnopis!$E$23:$J$23),0)</f>
        <v>0</v>
      </c>
      <c r="T396" s="44">
        <f>IF(Mecze[[#This Row],[Role]]&lt;&gt;"BR",SUMPRODUCT(Mecze[[#This Row],[/PR:90]:[/BR:90]],Brudnopis!$E$24:$J$24),0)</f>
        <v>0.22959183673469385</v>
      </c>
      <c r="U396" s="44">
        <f>IF(Mecze[[#This Row],[Role]]&lt;&gt;"BR",SUMPRODUCT(Mecze[[#This Row],[/PR:90]:[/BR:90]],Brudnopis!$E$25:$J$25),0)</f>
        <v>0.25</v>
      </c>
      <c r="V396" s="44">
        <f>IF(Mecze[[#This Row],[Role]]&lt;&gt;"BR",SUMPRODUCT(Mecze[[#This Row],[/PR:90]:[/BR:90]],Brudnopis!$E$26:$J$26),0)</f>
        <v>0.20408163265306123</v>
      </c>
      <c r="W396" s="44">
        <f>IF(Mecze[[#This Row],[Role]]&lt;&gt;"BR",SUMPRODUCT(Mecze[[#This Row],[/PR:90]:[/BR:90]],Brudnopis!$E$27:$J$27),0)</f>
        <v>0.22193877551020408</v>
      </c>
      <c r="X396" s="44">
        <f>IF(Mecze[[#This Row],[Role]]&lt;&gt;"BR",SUMPRODUCT(Mecze[[#This Row],[/PR:90]:[/BR:90]],Brudnopis!$E$28:$J$28),0)</f>
        <v>9.1836734693877556E-2</v>
      </c>
      <c r="Y396" s="35">
        <f>IF(Mecze[[#This Row],[Role]]="BR",Mecze[[#This Row],[/OB:90]]+Mecze[[#This Row],[/PC:90]],SUM(Mecze[[#This Row],[/PR:90]:[/BR:90]]))</f>
        <v>0.20408163265306123</v>
      </c>
      <c r="Z396" s="35">
        <f>IF(Mecze[[#This Row],[KC]]=0,SUM(Mecze[[#This Row],[/BRI]:[/NPI]]),SUM(Mecze[[#This Row],[/BRI]:[/NPI]])*0.6)</f>
        <v>0.99744897959183665</v>
      </c>
      <c r="AA396" s="10">
        <f>IFERROR(Mecze[[#This Row],[BR]]/Mecze[[#This Row],[ST]],0)</f>
        <v>0</v>
      </c>
      <c r="AB396">
        <f>ROUND(Mecze[[#This Row],[PD]]*Mecze[[#This Row],[%PC]],0)</f>
        <v>9</v>
      </c>
      <c r="AC396">
        <f>ROUND(Mecze[[#This Row],[OD]]*Mecze[[#This Row],[%OU]],0)</f>
        <v>5</v>
      </c>
      <c r="AD396" s="36" t="s">
        <v>47</v>
      </c>
      <c r="AE396" s="36">
        <v>24</v>
      </c>
      <c r="AF396" s="71">
        <v>6.3</v>
      </c>
      <c r="AG396" s="37">
        <v>0</v>
      </c>
      <c r="AH396" s="37">
        <v>0</v>
      </c>
      <c r="AI396" s="37">
        <v>98</v>
      </c>
      <c r="AJ396" s="37">
        <v>2</v>
      </c>
      <c r="AK396" s="37" t="str">
        <f>VLOOKUP(Mecze[[#This Row],[Match ID]],Meczusie[Mecz]:Meczusie[RodzajMeczu],2,FALSE)</f>
        <v>Liga</v>
      </c>
    </row>
    <row r="397" spans="1:37" x14ac:dyDescent="0.25">
      <c r="A397" s="76">
        <v>2</v>
      </c>
      <c r="B397" s="3" t="s">
        <v>224</v>
      </c>
      <c r="C397" s="2" t="s">
        <v>157</v>
      </c>
      <c r="D397" s="1">
        <v>0</v>
      </c>
      <c r="E397" s="1">
        <v>2</v>
      </c>
      <c r="F397" s="1">
        <v>2</v>
      </c>
      <c r="G397" s="1">
        <v>2</v>
      </c>
      <c r="H397" s="4">
        <v>0.5</v>
      </c>
      <c r="I397" s="1">
        <v>1</v>
      </c>
      <c r="J397" s="4">
        <v>1</v>
      </c>
      <c r="K397" s="1">
        <v>0</v>
      </c>
      <c r="L397" s="1">
        <v>1</v>
      </c>
      <c r="M397" s="32">
        <f>IF(Mecze[[#This Row],[PR]]=0,0,Mecze[[#This Row],[PR]]/Mecze[[#This Row],[CZAS]])</f>
        <v>1.020408163265306E-2</v>
      </c>
      <c r="N397" s="32">
        <f>IF(Mecze[[#This Row],[OU]]=0,0,Mecze[[#This Row],[OU]]/Mecze[[#This Row],[CZAS]])</f>
        <v>1.020408163265306E-2</v>
      </c>
      <c r="O397" s="32">
        <f>IF(Mecze[[#This Row],[PC]]=0,0,Mecze[[#This Row],[PC]]/Mecze[[#This Row],[CZAS]])</f>
        <v>1.020408163265306E-2</v>
      </c>
      <c r="P397" s="32">
        <f>IF(Mecze[[#This Row],[SC]]=0,0,Mecze[[#This Row],[SC]]/Mecze[[#This Row],[CZAS]])</f>
        <v>2.0408163265306121E-2</v>
      </c>
      <c r="Q397" s="32">
        <f>IF(Mecze[[#This Row],[OB]]=0,0,Mecze[[#This Row],[OB]]/Mecze[[#This Row],[CZAS]])</f>
        <v>0</v>
      </c>
      <c r="R397" s="32">
        <f>IF(Mecze[[#This Row],[BR]]=0,0,Mecze[[#This Row],[BR]]/Mecze[[#This Row],[CZAS]])</f>
        <v>0</v>
      </c>
      <c r="S397" s="44">
        <f>IF(Mecze[[#This Row],[Role]]="BR",SUMPRODUCT(Mecze[[#This Row],[/PR:90]:[/BR:90]],Brudnopis!$E$23:$J$23),0)</f>
        <v>0</v>
      </c>
      <c r="T397" s="44">
        <f>IF(Mecze[[#This Row],[Role]]&lt;&gt;"BR",SUMPRODUCT(Mecze[[#This Row],[/PR:90]:[/BR:90]],Brudnopis!$E$24:$J$24),0)</f>
        <v>5.612244897959183E-2</v>
      </c>
      <c r="U397" s="44">
        <f>IF(Mecze[[#This Row],[Role]]&lt;&gt;"BR",SUMPRODUCT(Mecze[[#This Row],[/PR:90]:[/BR:90]],Brudnopis!$E$25:$J$25),0)</f>
        <v>5.612244897959183E-2</v>
      </c>
      <c r="V397" s="44">
        <f>IF(Mecze[[#This Row],[Role]]&lt;&gt;"BR",SUMPRODUCT(Mecze[[#This Row],[/PR:90]:[/BR:90]],Brudnopis!$E$26:$J$26),0)</f>
        <v>5.1020408163265307E-2</v>
      </c>
      <c r="W397" s="44">
        <f>IF(Mecze[[#This Row],[Role]]&lt;&gt;"BR",SUMPRODUCT(Mecze[[#This Row],[/PR:90]:[/BR:90]],Brudnopis!$E$27:$J$27),0)</f>
        <v>5.1020408163265307E-2</v>
      </c>
      <c r="X397" s="44">
        <f>IF(Mecze[[#This Row],[Role]]&lt;&gt;"BR",SUMPRODUCT(Mecze[[#This Row],[/PR:90]:[/BR:90]],Brudnopis!$E$28:$J$28),0)</f>
        <v>5.10204081632653E-2</v>
      </c>
      <c r="Y397" s="35">
        <f>IF(Mecze[[#This Row],[Role]]="BR",Mecze[[#This Row],[/OB:90]]+Mecze[[#This Row],[/PC:90]],SUM(Mecze[[#This Row],[/PR:90]:[/BR:90]]))</f>
        <v>5.1020408163265307E-2</v>
      </c>
      <c r="Z397" s="35">
        <f>IF(Mecze[[#This Row],[KC]]=0,SUM(Mecze[[#This Row],[/BRI]:[/NPI]]),SUM(Mecze[[#This Row],[/BRI]:[/NPI]])*0.6)</f>
        <v>0.26530612244897955</v>
      </c>
      <c r="AA397" s="10">
        <f>IFERROR(Mecze[[#This Row],[BR]]/Mecze[[#This Row],[ST]],0)</f>
        <v>0</v>
      </c>
      <c r="AB397">
        <f>ROUND(Mecze[[#This Row],[PD]]*Mecze[[#This Row],[%PC]],0)</f>
        <v>1</v>
      </c>
      <c r="AC397">
        <f>ROUND(Mecze[[#This Row],[OD]]*Mecze[[#This Row],[%OU]],0)</f>
        <v>1</v>
      </c>
      <c r="AD397" s="36" t="s">
        <v>175</v>
      </c>
      <c r="AE397" s="36">
        <v>24</v>
      </c>
      <c r="AF397" s="71">
        <v>4.13</v>
      </c>
      <c r="AG397" s="37">
        <v>0</v>
      </c>
      <c r="AH397" s="37">
        <v>0</v>
      </c>
      <c r="AI397" s="37">
        <v>98</v>
      </c>
      <c r="AJ397" s="37">
        <v>2</v>
      </c>
      <c r="AK397" s="37" t="str">
        <f>VLOOKUP(Mecze[[#This Row],[Match ID]],Meczusie[Mecz]:Meczusie[RodzajMeczu],2,FALSE)</f>
        <v>Liga</v>
      </c>
    </row>
    <row r="398" spans="1:37" x14ac:dyDescent="0.25">
      <c r="A398" s="76">
        <v>5</v>
      </c>
      <c r="B398" s="3" t="s">
        <v>223</v>
      </c>
      <c r="C398" s="2" t="s">
        <v>157</v>
      </c>
      <c r="D398" s="1">
        <v>0</v>
      </c>
      <c r="E398" s="1">
        <v>0</v>
      </c>
      <c r="F398" s="1">
        <v>0</v>
      </c>
      <c r="G398" s="1">
        <v>6</v>
      </c>
      <c r="H398" s="4">
        <v>1</v>
      </c>
      <c r="I398" s="1">
        <v>6</v>
      </c>
      <c r="J398" s="4">
        <v>0.67</v>
      </c>
      <c r="K398" s="1">
        <v>0</v>
      </c>
      <c r="L398" s="1">
        <v>2</v>
      </c>
      <c r="M398" s="32">
        <f>IF(Mecze[[#This Row],[PR]]=0,0,Mecze[[#This Row],[PR]]/Mecze[[#This Row],[CZAS]])</f>
        <v>2.0408163265306121E-2</v>
      </c>
      <c r="N398" s="32">
        <f>IF(Mecze[[#This Row],[OU]]=0,0,Mecze[[#This Row],[OU]]/Mecze[[#This Row],[CZAS]])</f>
        <v>4.0816326530612242E-2</v>
      </c>
      <c r="O398" s="32">
        <f>IF(Mecze[[#This Row],[PC]]=0,0,Mecze[[#This Row],[PC]]/Mecze[[#This Row],[CZAS]])</f>
        <v>6.1224489795918366E-2</v>
      </c>
      <c r="P398" s="32">
        <f>IF(Mecze[[#This Row],[SC]]=0,0,Mecze[[#This Row],[SC]]/Mecze[[#This Row],[CZAS]])</f>
        <v>0</v>
      </c>
      <c r="Q398" s="32">
        <f>IF(Mecze[[#This Row],[OB]]=0,0,Mecze[[#This Row],[OB]]/Mecze[[#This Row],[CZAS]])</f>
        <v>0</v>
      </c>
      <c r="R398" s="32">
        <f>IF(Mecze[[#This Row],[BR]]=0,0,Mecze[[#This Row],[BR]]/Mecze[[#This Row],[CZAS]])</f>
        <v>0</v>
      </c>
      <c r="S398" s="44">
        <f>IF(Mecze[[#This Row],[Role]]="BR",SUMPRODUCT(Mecze[[#This Row],[/PR:90]:[/BR:90]],Brudnopis!$E$23:$J$23),0)</f>
        <v>0</v>
      </c>
      <c r="T398" s="44">
        <f>IF(Mecze[[#This Row],[Role]]&lt;&gt;"BR",SUMPRODUCT(Mecze[[#This Row],[/PR:90]:[/BR:90]],Brudnopis!$E$24:$J$24),0)</f>
        <v>0.14285714285714285</v>
      </c>
      <c r="U398" s="44">
        <f>IF(Mecze[[#This Row],[Role]]&lt;&gt;"BR",SUMPRODUCT(Mecze[[#This Row],[/PR:90]:[/BR:90]],Brudnopis!$E$25:$J$25),0)</f>
        <v>0.15306122448979592</v>
      </c>
      <c r="V398" s="44">
        <f>IF(Mecze[[#This Row],[Role]]&lt;&gt;"BR",SUMPRODUCT(Mecze[[#This Row],[/PR:90]:[/BR:90]],Brudnopis!$E$26:$J$26),0)</f>
        <v>0.12244897959183673</v>
      </c>
      <c r="W398" s="44">
        <f>IF(Mecze[[#This Row],[Role]]&lt;&gt;"BR",SUMPRODUCT(Mecze[[#This Row],[/PR:90]:[/BR:90]],Brudnopis!$E$27:$J$27),0)</f>
        <v>0.13775510204081631</v>
      </c>
      <c r="X398" s="44">
        <f>IF(Mecze[[#This Row],[Role]]&lt;&gt;"BR",SUMPRODUCT(Mecze[[#This Row],[/PR:90]:[/BR:90]],Brudnopis!$E$28:$J$28),0)</f>
        <v>6.1224489795918366E-2</v>
      </c>
      <c r="Y398" s="35">
        <f>IF(Mecze[[#This Row],[Role]]="BR",Mecze[[#This Row],[/OB:90]]+Mecze[[#This Row],[/PC:90]],SUM(Mecze[[#This Row],[/PR:90]:[/BR:90]]))</f>
        <v>0.12244897959183673</v>
      </c>
      <c r="Z398" s="35">
        <f>IF(Mecze[[#This Row],[KC]]=0,SUM(Mecze[[#This Row],[/BRI]:[/NPI]]),SUM(Mecze[[#This Row],[/BRI]:[/NPI]])*0.6)</f>
        <v>0.61734693877551017</v>
      </c>
      <c r="AA398" s="10">
        <f>IFERROR(Mecze[[#This Row],[BR]]/Mecze[[#This Row],[ST]],0)</f>
        <v>0</v>
      </c>
      <c r="AB398">
        <f>ROUND(Mecze[[#This Row],[PD]]*Mecze[[#This Row],[%PC]],0)</f>
        <v>6</v>
      </c>
      <c r="AC398">
        <f>ROUND(Mecze[[#This Row],[OD]]*Mecze[[#This Row],[%OU]],0)</f>
        <v>4</v>
      </c>
      <c r="AD398" s="36" t="s">
        <v>174</v>
      </c>
      <c r="AE398" s="36">
        <v>24</v>
      </c>
      <c r="AF398" s="71">
        <v>5.46</v>
      </c>
      <c r="AG398" s="37">
        <v>0</v>
      </c>
      <c r="AH398" s="37">
        <v>0</v>
      </c>
      <c r="AI398" s="37">
        <v>98</v>
      </c>
      <c r="AJ398" s="37">
        <v>2</v>
      </c>
      <c r="AK398" s="37" t="str">
        <f>VLOOKUP(Mecze[[#This Row],[Match ID]],Meczusie[Mecz]:Meczusie[RodzajMeczu],2,FALSE)</f>
        <v>Liga</v>
      </c>
    </row>
    <row r="399" spans="1:37" x14ac:dyDescent="0.25">
      <c r="A399" s="76">
        <v>12</v>
      </c>
      <c r="B399" s="3" t="s">
        <v>231</v>
      </c>
      <c r="C399" s="2" t="s">
        <v>160</v>
      </c>
      <c r="D399" s="1">
        <v>0</v>
      </c>
      <c r="E399" s="1">
        <v>0</v>
      </c>
      <c r="F399" s="1">
        <v>0</v>
      </c>
      <c r="G399" s="1">
        <v>11</v>
      </c>
      <c r="H399" s="4">
        <v>0.36</v>
      </c>
      <c r="I399" s="1">
        <v>6</v>
      </c>
      <c r="J399" s="4">
        <v>0.83</v>
      </c>
      <c r="K399" s="1">
        <v>0</v>
      </c>
      <c r="L399" s="1">
        <v>2</v>
      </c>
      <c r="M399" s="32">
        <f>IF(Mecze[[#This Row],[PR]]=0,0,Mecze[[#This Row],[PR]]/Mecze[[#This Row],[CZAS]])</f>
        <v>2.0408163265306121E-2</v>
      </c>
      <c r="N399" s="32">
        <f>IF(Mecze[[#This Row],[OU]]=0,0,Mecze[[#This Row],[OU]]/Mecze[[#This Row],[CZAS]])</f>
        <v>5.1020408163265307E-2</v>
      </c>
      <c r="O399" s="32">
        <f>IF(Mecze[[#This Row],[PC]]=0,0,Mecze[[#This Row],[PC]]/Mecze[[#This Row],[CZAS]])</f>
        <v>4.0816326530612242E-2</v>
      </c>
      <c r="P399" s="32">
        <f>IF(Mecze[[#This Row],[SC]]=0,0,Mecze[[#This Row],[SC]]/Mecze[[#This Row],[CZAS]])</f>
        <v>0</v>
      </c>
      <c r="Q399" s="32">
        <f>IF(Mecze[[#This Row],[OB]]=0,0,Mecze[[#This Row],[OB]]/Mecze[[#This Row],[CZAS]])</f>
        <v>0</v>
      </c>
      <c r="R399" s="32">
        <f>IF(Mecze[[#This Row],[BR]]=0,0,Mecze[[#This Row],[BR]]/Mecze[[#This Row],[CZAS]])</f>
        <v>0</v>
      </c>
      <c r="S399" s="44">
        <f>IF(Mecze[[#This Row],[Role]]="BR",SUMPRODUCT(Mecze[[#This Row],[/PR:90]:[/BR:90]],Brudnopis!$E$23:$J$23),0)</f>
        <v>0</v>
      </c>
      <c r="T399" s="44">
        <f>IF(Mecze[[#This Row],[Role]]&lt;&gt;"BR",SUMPRODUCT(Mecze[[#This Row],[/PR:90]:[/BR:90]],Brudnopis!$E$24:$J$24),0)</f>
        <v>0.13775510204081631</v>
      </c>
      <c r="U399" s="44">
        <f>IF(Mecze[[#This Row],[Role]]&lt;&gt;"BR",SUMPRODUCT(Mecze[[#This Row],[/PR:90]:[/BR:90]],Brudnopis!$E$25:$J$25),0)</f>
        <v>0.13265306122448978</v>
      </c>
      <c r="V399" s="44">
        <f>IF(Mecze[[#This Row],[Role]]&lt;&gt;"BR",SUMPRODUCT(Mecze[[#This Row],[/PR:90]:[/BR:90]],Brudnopis!$E$26:$J$26),0)</f>
        <v>0.11224489795918366</v>
      </c>
      <c r="W399" s="44">
        <f>IF(Mecze[[#This Row],[Role]]&lt;&gt;"BR",SUMPRODUCT(Mecze[[#This Row],[/PR:90]:[/BR:90]],Brudnopis!$E$27:$J$27),0)</f>
        <v>0.11479591836734694</v>
      </c>
      <c r="X399" s="44">
        <f>IF(Mecze[[#This Row],[Role]]&lt;&gt;"BR",SUMPRODUCT(Mecze[[#This Row],[/PR:90]:[/BR:90]],Brudnopis!$E$28:$J$28),0)</f>
        <v>4.0816326530612242E-2</v>
      </c>
      <c r="Y399" s="35">
        <f>IF(Mecze[[#This Row],[Role]]="BR",Mecze[[#This Row],[/OB:90]]+Mecze[[#This Row],[/PC:90]],SUM(Mecze[[#This Row],[/PR:90]:[/BR:90]]))</f>
        <v>0.11224489795918366</v>
      </c>
      <c r="Z399" s="35">
        <f>IF(Mecze[[#This Row],[KC]]=0,SUM(Mecze[[#This Row],[/BRI]:[/NPI]]),SUM(Mecze[[#This Row],[/BRI]:[/NPI]])*0.6)</f>
        <v>0.53826530612244894</v>
      </c>
      <c r="AA399" s="10">
        <f>IFERROR(Mecze[[#This Row],[BR]]/Mecze[[#This Row],[ST]],0)</f>
        <v>0</v>
      </c>
      <c r="AB399">
        <f>ROUND(Mecze[[#This Row],[PD]]*Mecze[[#This Row],[%PC]],0)</f>
        <v>4</v>
      </c>
      <c r="AC399">
        <f>ROUND(Mecze[[#This Row],[OD]]*Mecze[[#This Row],[%OU]],0)</f>
        <v>5</v>
      </c>
      <c r="AD399" s="36" t="s">
        <v>41</v>
      </c>
      <c r="AE399" s="36">
        <v>24</v>
      </c>
      <c r="AF399" s="71">
        <v>4.34</v>
      </c>
      <c r="AG399" s="37">
        <v>0</v>
      </c>
      <c r="AH399" s="37">
        <v>0</v>
      </c>
      <c r="AI399" s="37">
        <v>98</v>
      </c>
      <c r="AJ399" s="37">
        <v>2</v>
      </c>
      <c r="AK399" s="37" t="str">
        <f>VLOOKUP(Mecze[[#This Row],[Match ID]],Meczusie[Mecz]:Meczusie[RodzajMeczu],2,FALSE)</f>
        <v>Liga</v>
      </c>
    </row>
    <row r="400" spans="1:37" x14ac:dyDescent="0.25">
      <c r="A400" s="76">
        <v>6</v>
      </c>
      <c r="B400" s="3" t="s">
        <v>225</v>
      </c>
      <c r="C400" s="2" t="s">
        <v>160</v>
      </c>
      <c r="D400" s="1">
        <v>0</v>
      </c>
      <c r="E400" s="1">
        <v>0</v>
      </c>
      <c r="F400" s="1">
        <v>0</v>
      </c>
      <c r="G400" s="1">
        <v>21</v>
      </c>
      <c r="H400" s="4">
        <v>0.81</v>
      </c>
      <c r="I400" s="1">
        <v>6</v>
      </c>
      <c r="J400" s="4">
        <v>0.67</v>
      </c>
      <c r="K400" s="1">
        <v>0</v>
      </c>
      <c r="L400" s="1">
        <v>9</v>
      </c>
      <c r="M400" s="32">
        <f>IF(Mecze[[#This Row],[PR]]=0,0,Mecze[[#This Row],[PR]]/Mecze[[#This Row],[CZAS]])</f>
        <v>9.1836734693877556E-2</v>
      </c>
      <c r="N400" s="32">
        <f>IF(Mecze[[#This Row],[OU]]=0,0,Mecze[[#This Row],[OU]]/Mecze[[#This Row],[CZAS]])</f>
        <v>4.0816326530612242E-2</v>
      </c>
      <c r="O400" s="32">
        <f>IF(Mecze[[#This Row],[PC]]=0,0,Mecze[[#This Row],[PC]]/Mecze[[#This Row],[CZAS]])</f>
        <v>0.17346938775510204</v>
      </c>
      <c r="P400" s="32">
        <f>IF(Mecze[[#This Row],[SC]]=0,0,Mecze[[#This Row],[SC]]/Mecze[[#This Row],[CZAS]])</f>
        <v>0</v>
      </c>
      <c r="Q400" s="32">
        <f>IF(Mecze[[#This Row],[OB]]=0,0,Mecze[[#This Row],[OB]]/Mecze[[#This Row],[CZAS]])</f>
        <v>0</v>
      </c>
      <c r="R400" s="32">
        <f>IF(Mecze[[#This Row],[BR]]=0,0,Mecze[[#This Row],[BR]]/Mecze[[#This Row],[CZAS]])</f>
        <v>0</v>
      </c>
      <c r="S400" s="44">
        <f>IF(Mecze[[#This Row],[Role]]="BR",SUMPRODUCT(Mecze[[#This Row],[/PR:90]:[/BR:90]],Brudnopis!$E$23:$J$23),0)</f>
        <v>0</v>
      </c>
      <c r="T400" s="44">
        <f>IF(Mecze[[#This Row],[Role]]&lt;&gt;"BR",SUMPRODUCT(Mecze[[#This Row],[/PR:90]:[/BR:90]],Brudnopis!$E$24:$J$24),0)</f>
        <v>0.32653061224489799</v>
      </c>
      <c r="U400" s="44">
        <f>IF(Mecze[[#This Row],[Role]]&lt;&gt;"BR",SUMPRODUCT(Mecze[[#This Row],[/PR:90]:[/BR:90]],Brudnopis!$E$25:$J$25),0)</f>
        <v>0.3928571428571429</v>
      </c>
      <c r="V400" s="44">
        <f>IF(Mecze[[#This Row],[Role]]&lt;&gt;"BR",SUMPRODUCT(Mecze[[#This Row],[/PR:90]:[/BR:90]],Brudnopis!$E$26:$J$26),0)</f>
        <v>0.30612244897959184</v>
      </c>
      <c r="W400" s="44">
        <f>IF(Mecze[[#This Row],[Role]]&lt;&gt;"BR",SUMPRODUCT(Mecze[[#This Row],[/PR:90]:[/BR:90]],Brudnopis!$E$27:$J$27),0)</f>
        <v>0.35969387755102045</v>
      </c>
      <c r="X400" s="44">
        <f>IF(Mecze[[#This Row],[Role]]&lt;&gt;"BR",SUMPRODUCT(Mecze[[#This Row],[/PR:90]:[/BR:90]],Brudnopis!$E$28:$J$28),0)</f>
        <v>0.17346938775510204</v>
      </c>
      <c r="Y400" s="35">
        <f>IF(Mecze[[#This Row],[Role]]="BR",Mecze[[#This Row],[/OB:90]]+Mecze[[#This Row],[/PC:90]],SUM(Mecze[[#This Row],[/PR:90]:[/BR:90]]))</f>
        <v>0.30612244897959184</v>
      </c>
      <c r="Z400" s="35">
        <f>IF(Mecze[[#This Row],[KC]]=0,SUM(Mecze[[#This Row],[/BRI]:[/NPI]]),SUM(Mecze[[#This Row],[/BRI]:[/NPI]])*0.6)</f>
        <v>1.5586734693877551</v>
      </c>
      <c r="AA400" s="10">
        <f>IFERROR(Mecze[[#This Row],[BR]]/Mecze[[#This Row],[ST]],0)</f>
        <v>0</v>
      </c>
      <c r="AB400">
        <f>ROUND(Mecze[[#This Row],[PD]]*Mecze[[#This Row],[%PC]],0)</f>
        <v>17</v>
      </c>
      <c r="AC400">
        <f>ROUND(Mecze[[#This Row],[OD]]*Mecze[[#This Row],[%OU]],0)</f>
        <v>4</v>
      </c>
      <c r="AD400" s="36" t="s">
        <v>41</v>
      </c>
      <c r="AE400" s="36">
        <v>24</v>
      </c>
      <c r="AF400" s="71">
        <v>7.93</v>
      </c>
      <c r="AG400" s="37">
        <v>0</v>
      </c>
      <c r="AH400" s="37">
        <v>0</v>
      </c>
      <c r="AI400" s="37">
        <v>98</v>
      </c>
      <c r="AJ400" s="37">
        <v>2</v>
      </c>
      <c r="AK400" s="37" t="str">
        <f>VLOOKUP(Mecze[[#This Row],[Match ID]],Meczusie[Mecz]:Meczusie[RodzajMeczu],2,FALSE)</f>
        <v>Liga</v>
      </c>
    </row>
    <row r="401" spans="1:37" x14ac:dyDescent="0.25">
      <c r="A401" s="76">
        <v>9</v>
      </c>
      <c r="B401" s="3" t="s">
        <v>227</v>
      </c>
      <c r="C401" s="2" t="s">
        <v>160</v>
      </c>
      <c r="D401" s="1">
        <v>0</v>
      </c>
      <c r="E401" s="1">
        <v>1</v>
      </c>
      <c r="F401" s="1">
        <v>1</v>
      </c>
      <c r="G401" s="1">
        <v>8</v>
      </c>
      <c r="H401" s="4">
        <v>1</v>
      </c>
      <c r="I401" s="1">
        <v>10</v>
      </c>
      <c r="J401" s="4">
        <v>0.4</v>
      </c>
      <c r="K401" s="1">
        <v>0</v>
      </c>
      <c r="L401" s="1">
        <v>1</v>
      </c>
      <c r="M401" s="32">
        <f>IF(Mecze[[#This Row],[PR]]=0,0,Mecze[[#This Row],[PR]]/Mecze[[#This Row],[CZAS]])</f>
        <v>1.020408163265306E-2</v>
      </c>
      <c r="N401" s="32">
        <f>IF(Mecze[[#This Row],[OU]]=0,0,Mecze[[#This Row],[OU]]/Mecze[[#This Row],[CZAS]])</f>
        <v>4.0816326530612242E-2</v>
      </c>
      <c r="O401" s="32">
        <f>IF(Mecze[[#This Row],[PC]]=0,0,Mecze[[#This Row],[PC]]/Mecze[[#This Row],[CZAS]])</f>
        <v>8.1632653061224483E-2</v>
      </c>
      <c r="P401" s="32">
        <f>IF(Mecze[[#This Row],[SC]]=0,0,Mecze[[#This Row],[SC]]/Mecze[[#This Row],[CZAS]])</f>
        <v>1.020408163265306E-2</v>
      </c>
      <c r="Q401" s="32">
        <f>IF(Mecze[[#This Row],[OB]]=0,0,Mecze[[#This Row],[OB]]/Mecze[[#This Row],[CZAS]])</f>
        <v>0</v>
      </c>
      <c r="R401" s="32">
        <f>IF(Mecze[[#This Row],[BR]]=0,0,Mecze[[#This Row],[BR]]/Mecze[[#This Row],[CZAS]])</f>
        <v>0</v>
      </c>
      <c r="S401" s="44">
        <f>IF(Mecze[[#This Row],[Role]]="BR",SUMPRODUCT(Mecze[[#This Row],[/PR:90]:[/BR:90]],Brudnopis!$E$23:$J$23),0)</f>
        <v>0</v>
      </c>
      <c r="T401" s="44">
        <f>IF(Mecze[[#This Row],[Role]]&lt;&gt;"BR",SUMPRODUCT(Mecze[[#This Row],[/PR:90]:[/BR:90]],Brudnopis!$E$24:$J$24),0)</f>
        <v>0.16326530612244899</v>
      </c>
      <c r="U401" s="44">
        <f>IF(Mecze[[#This Row],[Role]]&lt;&gt;"BR",SUMPRODUCT(Mecze[[#This Row],[/PR:90]:[/BR:90]],Brudnopis!$E$25:$J$25),0)</f>
        <v>0.18367346938775511</v>
      </c>
      <c r="V401" s="44">
        <f>IF(Mecze[[#This Row],[Role]]&lt;&gt;"BR",SUMPRODUCT(Mecze[[#This Row],[/PR:90]:[/BR:90]],Brudnopis!$E$26:$J$26),0)</f>
        <v>0.14285714285714285</v>
      </c>
      <c r="W401" s="44">
        <f>IF(Mecze[[#This Row],[Role]]&lt;&gt;"BR",SUMPRODUCT(Mecze[[#This Row],[/PR:90]:[/BR:90]],Brudnopis!$E$27:$J$27),0)</f>
        <v>0.17091836734693877</v>
      </c>
      <c r="X401" s="44">
        <f>IF(Mecze[[#This Row],[Role]]&lt;&gt;"BR",SUMPRODUCT(Mecze[[#This Row],[/PR:90]:[/BR:90]],Brudnopis!$E$28:$J$28),0)</f>
        <v>0.1020408163265306</v>
      </c>
      <c r="Y401" s="35">
        <f>IF(Mecze[[#This Row],[Role]]="BR",Mecze[[#This Row],[/OB:90]]+Mecze[[#This Row],[/PC:90]],SUM(Mecze[[#This Row],[/PR:90]:[/BR:90]]))</f>
        <v>0.14285714285714285</v>
      </c>
      <c r="Z401" s="35">
        <f>IF(Mecze[[#This Row],[KC]]=0,SUM(Mecze[[#This Row],[/BRI]:[/NPI]]),SUM(Mecze[[#This Row],[/BRI]:[/NPI]])*0.6)</f>
        <v>0.76275510204081642</v>
      </c>
      <c r="AA401" s="10">
        <f>IFERROR(Mecze[[#This Row],[BR]]/Mecze[[#This Row],[ST]],0)</f>
        <v>0</v>
      </c>
      <c r="AB401">
        <f>ROUND(Mecze[[#This Row],[PD]]*Mecze[[#This Row],[%PC]],0)</f>
        <v>8</v>
      </c>
      <c r="AC401">
        <f>ROUND(Mecze[[#This Row],[OD]]*Mecze[[#This Row],[%OU]],0)</f>
        <v>4</v>
      </c>
      <c r="AD401" s="36" t="s">
        <v>67</v>
      </c>
      <c r="AE401" s="36">
        <v>24</v>
      </c>
      <c r="AF401" s="71">
        <v>7.69</v>
      </c>
      <c r="AG401" s="37">
        <v>0</v>
      </c>
      <c r="AH401" s="37">
        <v>0</v>
      </c>
      <c r="AI401" s="37">
        <v>98</v>
      </c>
      <c r="AJ401" s="37">
        <v>2</v>
      </c>
      <c r="AK401" s="37" t="str">
        <f>VLOOKUP(Mecze[[#This Row],[Match ID]],Meczusie[Mecz]:Meczusie[RodzajMeczu],2,FALSE)</f>
        <v>Liga</v>
      </c>
    </row>
    <row r="402" spans="1:37" x14ac:dyDescent="0.25">
      <c r="A402" s="76">
        <v>8</v>
      </c>
      <c r="B402" s="3" t="s">
        <v>228</v>
      </c>
      <c r="C402" s="2" t="s">
        <v>160</v>
      </c>
      <c r="D402" s="1">
        <v>1</v>
      </c>
      <c r="E402" s="1">
        <v>1</v>
      </c>
      <c r="F402" s="1">
        <v>1</v>
      </c>
      <c r="G402" s="1">
        <v>10</v>
      </c>
      <c r="H402" s="4">
        <v>0.9</v>
      </c>
      <c r="I402" s="1">
        <v>3</v>
      </c>
      <c r="J402" s="4">
        <v>0.67</v>
      </c>
      <c r="K402" s="1">
        <v>0</v>
      </c>
      <c r="L402" s="1">
        <v>2</v>
      </c>
      <c r="M402" s="32">
        <f>IF(Mecze[[#This Row],[PR]]=0,0,Mecze[[#This Row],[PR]]/Mecze[[#This Row],[CZAS]])</f>
        <v>2.0408163265306121E-2</v>
      </c>
      <c r="N402" s="32">
        <f>IF(Mecze[[#This Row],[OU]]=0,0,Mecze[[#This Row],[OU]]/Mecze[[#This Row],[CZAS]])</f>
        <v>2.0408163265306121E-2</v>
      </c>
      <c r="O402" s="32">
        <f>IF(Mecze[[#This Row],[PC]]=0,0,Mecze[[#This Row],[PC]]/Mecze[[#This Row],[CZAS]])</f>
        <v>9.1836734693877556E-2</v>
      </c>
      <c r="P402" s="32">
        <f>IF(Mecze[[#This Row],[SC]]=0,0,Mecze[[#This Row],[SC]]/Mecze[[#This Row],[CZAS]])</f>
        <v>1.020408163265306E-2</v>
      </c>
      <c r="Q402" s="32">
        <f>IF(Mecze[[#This Row],[OB]]=0,0,Mecze[[#This Row],[OB]]/Mecze[[#This Row],[CZAS]])</f>
        <v>0</v>
      </c>
      <c r="R402" s="32">
        <f>IF(Mecze[[#This Row],[BR]]=0,0,Mecze[[#This Row],[BR]]/Mecze[[#This Row],[CZAS]])</f>
        <v>1.020408163265306E-2</v>
      </c>
      <c r="S402" s="44">
        <f>IF(Mecze[[#This Row],[Role]]="BR",SUMPRODUCT(Mecze[[#This Row],[/PR:90]:[/BR:90]],Brudnopis!$E$23:$J$23),0)</f>
        <v>0</v>
      </c>
      <c r="T402" s="44">
        <f>IF(Mecze[[#This Row],[Role]]&lt;&gt;"BR",SUMPRODUCT(Mecze[[#This Row],[/PR:90]:[/BR:90]],Brudnopis!$E$24:$J$24),0)</f>
        <v>0.1683673469387755</v>
      </c>
      <c r="U402" s="44">
        <f>IF(Mecze[[#This Row],[Role]]&lt;&gt;"BR",SUMPRODUCT(Mecze[[#This Row],[/PR:90]:[/BR:90]],Brudnopis!$E$25:$J$25),0)</f>
        <v>0.20408163265306123</v>
      </c>
      <c r="V402" s="44">
        <f>IF(Mecze[[#This Row],[Role]]&lt;&gt;"BR",SUMPRODUCT(Mecze[[#This Row],[/PR:90]:[/BR:90]],Brudnopis!$E$26:$J$26),0)</f>
        <v>0.16326530612244899</v>
      </c>
      <c r="W402" s="44">
        <f>IF(Mecze[[#This Row],[Role]]&lt;&gt;"BR",SUMPRODUCT(Mecze[[#This Row],[/PR:90]:[/BR:90]],Brudnopis!$E$27:$J$27),0)</f>
        <v>0.19897959183673472</v>
      </c>
      <c r="X402" s="44">
        <f>IF(Mecze[[#This Row],[Role]]&lt;&gt;"BR",SUMPRODUCT(Mecze[[#This Row],[/PR:90]:[/BR:90]],Brudnopis!$E$28:$J$28),0)</f>
        <v>0.14285714285714285</v>
      </c>
      <c r="Y402" s="35">
        <f>IF(Mecze[[#This Row],[Role]]="BR",Mecze[[#This Row],[/OB:90]]+Mecze[[#This Row],[/PC:90]],SUM(Mecze[[#This Row],[/PR:90]:[/BR:90]]))</f>
        <v>0.15306122448979595</v>
      </c>
      <c r="Z402" s="35">
        <f>IF(Mecze[[#This Row],[KC]]=0,SUM(Mecze[[#This Row],[/BRI]:[/NPI]]),SUM(Mecze[[#This Row],[/BRI]:[/NPI]])*0.6)</f>
        <v>0.87755102040816335</v>
      </c>
      <c r="AA402" s="10">
        <f>IFERROR(Mecze[[#This Row],[BR]]/Mecze[[#This Row],[ST]],0)</f>
        <v>1</v>
      </c>
      <c r="AB402">
        <f>ROUND(Mecze[[#This Row],[PD]]*Mecze[[#This Row],[%PC]],0)</f>
        <v>9</v>
      </c>
      <c r="AC402">
        <f>ROUND(Mecze[[#This Row],[OD]]*Mecze[[#This Row],[%OU]],0)</f>
        <v>2</v>
      </c>
      <c r="AD402" s="36" t="s">
        <v>171</v>
      </c>
      <c r="AE402" s="36">
        <v>24</v>
      </c>
      <c r="AF402" s="71">
        <v>8.8000000000000007</v>
      </c>
      <c r="AG402" s="37">
        <v>0</v>
      </c>
      <c r="AH402" s="37">
        <v>0</v>
      </c>
      <c r="AI402" s="37">
        <v>98</v>
      </c>
      <c r="AJ402" s="37">
        <v>2</v>
      </c>
      <c r="AK402" s="37" t="str">
        <f>VLOOKUP(Mecze[[#This Row],[Match ID]],Meczusie[Mecz]:Meczusie[RodzajMeczu],2,FALSE)</f>
        <v>Liga</v>
      </c>
    </row>
    <row r="403" spans="1:37" x14ac:dyDescent="0.25">
      <c r="A403" s="76">
        <v>11</v>
      </c>
      <c r="B403" s="3" t="s">
        <v>229</v>
      </c>
      <c r="C403" s="2" t="s">
        <v>165</v>
      </c>
      <c r="D403" s="1">
        <v>6</v>
      </c>
      <c r="E403" s="1">
        <v>17</v>
      </c>
      <c r="F403" s="1">
        <v>17</v>
      </c>
      <c r="G403" s="1">
        <v>4</v>
      </c>
      <c r="H403" s="4">
        <v>0.75</v>
      </c>
      <c r="I403" s="1">
        <v>3</v>
      </c>
      <c r="J403" s="4">
        <v>0.33</v>
      </c>
      <c r="K403" s="1">
        <v>0</v>
      </c>
      <c r="L403" s="1">
        <v>0</v>
      </c>
      <c r="M403" s="32">
        <f>IF(Mecze[[#This Row],[PR]]=0,0,Mecze[[#This Row],[PR]]/Mecze[[#This Row],[CZAS]])</f>
        <v>0</v>
      </c>
      <c r="N403" s="32">
        <f>IF(Mecze[[#This Row],[OU]]=0,0,Mecze[[#This Row],[OU]]/Mecze[[#This Row],[CZAS]])</f>
        <v>1.020408163265306E-2</v>
      </c>
      <c r="O403" s="32">
        <f>IF(Mecze[[#This Row],[PC]]=0,0,Mecze[[#This Row],[PC]]/Mecze[[#This Row],[CZAS]])</f>
        <v>3.0612244897959183E-2</v>
      </c>
      <c r="P403" s="32">
        <f>IF(Mecze[[#This Row],[SC]]=0,0,Mecze[[#This Row],[SC]]/Mecze[[#This Row],[CZAS]])</f>
        <v>0.17346938775510204</v>
      </c>
      <c r="Q403" s="32">
        <f>IF(Mecze[[#This Row],[OB]]=0,0,Mecze[[#This Row],[OB]]/Mecze[[#This Row],[CZAS]])</f>
        <v>0</v>
      </c>
      <c r="R403" s="32">
        <f>IF(Mecze[[#This Row],[BR]]=0,0,Mecze[[#This Row],[BR]]/Mecze[[#This Row],[CZAS]])</f>
        <v>6.1224489795918366E-2</v>
      </c>
      <c r="S403" s="44">
        <f>IF(Mecze[[#This Row],[Role]]="BR",SUMPRODUCT(Mecze[[#This Row],[/PR:90]:[/BR:90]],Brudnopis!$E$23:$J$23),0)</f>
        <v>0</v>
      </c>
      <c r="T403" s="44">
        <f>IF(Mecze[[#This Row],[Role]]&lt;&gt;"BR",SUMPRODUCT(Mecze[[#This Row],[/PR:90]:[/BR:90]],Brudnopis!$E$24:$J$24),0)</f>
        <v>0.31122448979591832</v>
      </c>
      <c r="U403" s="44">
        <f>IF(Mecze[[#This Row],[Role]]&lt;&gt;"BR",SUMPRODUCT(Mecze[[#This Row],[/PR:90]:[/BR:90]],Brudnopis!$E$25:$J$25),0)</f>
        <v>0.3214285714285714</v>
      </c>
      <c r="V403" s="44">
        <f>IF(Mecze[[#This Row],[Role]]&lt;&gt;"BR",SUMPRODUCT(Mecze[[#This Row],[/PR:90]:[/BR:90]],Brudnopis!$E$26:$J$26),0)</f>
        <v>0.33673469387755101</v>
      </c>
      <c r="W403" s="44">
        <f>IF(Mecze[[#This Row],[Role]]&lt;&gt;"BR",SUMPRODUCT(Mecze[[#This Row],[/PR:90]:[/BR:90]],Brudnopis!$E$27:$J$27),0)</f>
        <v>0.34948979591836737</v>
      </c>
      <c r="X403" s="44">
        <f>IF(Mecze[[#This Row],[Role]]&lt;&gt;"BR",SUMPRODUCT(Mecze[[#This Row],[/PR:90]:[/BR:90]],Brudnopis!$E$28:$J$28),0)</f>
        <v>0.56122448979591832</v>
      </c>
      <c r="Y403" s="35">
        <f>IF(Mecze[[#This Row],[Role]]="BR",Mecze[[#This Row],[/OB:90]]+Mecze[[#This Row],[/PC:90]],SUM(Mecze[[#This Row],[/PR:90]:[/BR:90]]))</f>
        <v>0.27551020408163263</v>
      </c>
      <c r="Z403" s="35">
        <f>IF(Mecze[[#This Row],[KC]]=0,SUM(Mecze[[#This Row],[/BRI]:[/NPI]]),SUM(Mecze[[#This Row],[/BRI]:[/NPI]])*0.6)</f>
        <v>1.8801020408163263</v>
      </c>
      <c r="AA403" s="10">
        <f>IFERROR(Mecze[[#This Row],[BR]]/Mecze[[#This Row],[ST]],0)</f>
        <v>0.35294117647058826</v>
      </c>
      <c r="AB403">
        <f>ROUND(Mecze[[#This Row],[PD]]*Mecze[[#This Row],[%PC]],0)</f>
        <v>3</v>
      </c>
      <c r="AC403">
        <f>ROUND(Mecze[[#This Row],[OD]]*Mecze[[#This Row],[%OU]],0)</f>
        <v>1</v>
      </c>
      <c r="AD403" s="36" t="s">
        <v>46</v>
      </c>
      <c r="AE403" s="36">
        <v>24</v>
      </c>
      <c r="AF403" s="71">
        <v>21.47</v>
      </c>
      <c r="AG403" s="37">
        <v>0</v>
      </c>
      <c r="AH403" s="37">
        <v>0</v>
      </c>
      <c r="AI403" s="37">
        <v>98</v>
      </c>
      <c r="AJ403" s="37">
        <v>2</v>
      </c>
      <c r="AK403" s="37" t="str">
        <f>VLOOKUP(Mecze[[#This Row],[Match ID]],Meczusie[Mecz]:Meczusie[RodzajMeczu],2,FALSE)</f>
        <v>Liga</v>
      </c>
    </row>
    <row r="404" spans="1:37" x14ac:dyDescent="0.25">
      <c r="A404" s="76">
        <v>10</v>
      </c>
      <c r="B404" s="3" t="s">
        <v>230</v>
      </c>
      <c r="C404" s="2" t="s">
        <v>165</v>
      </c>
      <c r="D404" s="1">
        <v>0</v>
      </c>
      <c r="E404" s="1">
        <v>0</v>
      </c>
      <c r="F404" s="1">
        <v>0</v>
      </c>
      <c r="G404" s="1">
        <v>20</v>
      </c>
      <c r="H404" s="4">
        <v>0.5</v>
      </c>
      <c r="I404" s="1">
        <v>1</v>
      </c>
      <c r="J404" s="4">
        <v>1</v>
      </c>
      <c r="K404" s="1">
        <v>0</v>
      </c>
      <c r="L404" s="1">
        <v>0</v>
      </c>
      <c r="M404" s="32">
        <f>IF(Mecze[[#This Row],[PR]]=0,0,Mecze[[#This Row],[PR]]/Mecze[[#This Row],[CZAS]])</f>
        <v>0</v>
      </c>
      <c r="N404" s="32">
        <f>IF(Mecze[[#This Row],[OU]]=0,0,Mecze[[#This Row],[OU]]/Mecze[[#This Row],[CZAS]])</f>
        <v>1.020408163265306E-2</v>
      </c>
      <c r="O404" s="32">
        <f>IF(Mecze[[#This Row],[PC]]=0,0,Mecze[[#This Row],[PC]]/Mecze[[#This Row],[CZAS]])</f>
        <v>0.10204081632653061</v>
      </c>
      <c r="P404" s="32">
        <f>IF(Mecze[[#This Row],[SC]]=0,0,Mecze[[#This Row],[SC]]/Mecze[[#This Row],[CZAS]])</f>
        <v>0</v>
      </c>
      <c r="Q404" s="32">
        <f>IF(Mecze[[#This Row],[OB]]=0,0,Mecze[[#This Row],[OB]]/Mecze[[#This Row],[CZAS]])</f>
        <v>0</v>
      </c>
      <c r="R404" s="32">
        <f>IF(Mecze[[#This Row],[BR]]=0,0,Mecze[[#This Row],[BR]]/Mecze[[#This Row],[CZAS]])</f>
        <v>0</v>
      </c>
      <c r="S404" s="44">
        <f>IF(Mecze[[#This Row],[Role]]="BR",SUMPRODUCT(Mecze[[#This Row],[/PR:90]:[/BR:90]],Brudnopis!$E$23:$J$23),0)</f>
        <v>0</v>
      </c>
      <c r="T404" s="44">
        <f>IF(Mecze[[#This Row],[Role]]&lt;&gt;"BR",SUMPRODUCT(Mecze[[#This Row],[/PR:90]:[/BR:90]],Brudnopis!$E$24:$J$24),0)</f>
        <v>0.11734693877551021</v>
      </c>
      <c r="U404" s="44">
        <f>IF(Mecze[[#This Row],[Role]]&lt;&gt;"BR",SUMPRODUCT(Mecze[[#This Row],[/PR:90]:[/BR:90]],Brudnopis!$E$25:$J$25),0)</f>
        <v>0.16326530612244899</v>
      </c>
      <c r="V404" s="44">
        <f>IF(Mecze[[#This Row],[Role]]&lt;&gt;"BR",SUMPRODUCT(Mecze[[#This Row],[/PR:90]:[/BR:90]],Brudnopis!$E$26:$J$26),0)</f>
        <v>0.11224489795918367</v>
      </c>
      <c r="W404" s="44">
        <f>IF(Mecze[[#This Row],[Role]]&lt;&gt;"BR",SUMPRODUCT(Mecze[[#This Row],[/PR:90]:[/BR:90]],Brudnopis!$E$27:$J$27),0)</f>
        <v>0.16071428571428573</v>
      </c>
      <c r="X404" s="44">
        <f>IF(Mecze[[#This Row],[Role]]&lt;&gt;"BR",SUMPRODUCT(Mecze[[#This Row],[/PR:90]:[/BR:90]],Brudnopis!$E$28:$J$28),0)</f>
        <v>0.10204081632653061</v>
      </c>
      <c r="Y404" s="35">
        <f>IF(Mecze[[#This Row],[Role]]="BR",Mecze[[#This Row],[/OB:90]]+Mecze[[#This Row],[/PC:90]],SUM(Mecze[[#This Row],[/PR:90]:[/BR:90]]))</f>
        <v>0.11224489795918367</v>
      </c>
      <c r="Z404" s="35">
        <f>IF(Mecze[[#This Row],[KC]]=0,SUM(Mecze[[#This Row],[/BRI]:[/NPI]]),SUM(Mecze[[#This Row],[/BRI]:[/NPI]])*0.6)</f>
        <v>0.65561224489795922</v>
      </c>
      <c r="AA404" s="10">
        <f>IFERROR(Mecze[[#This Row],[BR]]/Mecze[[#This Row],[ST]],0)</f>
        <v>0</v>
      </c>
      <c r="AB404">
        <f>ROUND(Mecze[[#This Row],[PD]]*Mecze[[#This Row],[%PC]],0)</f>
        <v>10</v>
      </c>
      <c r="AC404">
        <f>ROUND(Mecze[[#This Row],[OD]]*Mecze[[#This Row],[%OU]],0)</f>
        <v>1</v>
      </c>
      <c r="AD404" s="36" t="s">
        <v>232</v>
      </c>
      <c r="AE404" s="36">
        <v>24</v>
      </c>
      <c r="AF404" s="71">
        <v>5.26</v>
      </c>
      <c r="AG404" s="37">
        <v>0</v>
      </c>
      <c r="AH404" s="37">
        <v>0</v>
      </c>
      <c r="AI404" s="37">
        <v>98</v>
      </c>
      <c r="AJ404" s="37">
        <v>2</v>
      </c>
      <c r="AK404" s="37" t="str">
        <f>VLOOKUP(Mecze[[#This Row],[Match ID]],Meczusie[Mecz]:Meczusie[RodzajMeczu],2,FALSE)</f>
        <v>Liga</v>
      </c>
    </row>
    <row r="405" spans="1:37" x14ac:dyDescent="0.25">
      <c r="A405" s="76">
        <v>1</v>
      </c>
      <c r="B405" s="3" t="s">
        <v>320</v>
      </c>
      <c r="C405" s="2" t="s">
        <v>155</v>
      </c>
      <c r="D405" s="1">
        <v>0</v>
      </c>
      <c r="E405" s="1">
        <v>0</v>
      </c>
      <c r="F405" s="1">
        <v>0</v>
      </c>
      <c r="G405" s="1">
        <v>9</v>
      </c>
      <c r="H405" s="4">
        <v>0.89</v>
      </c>
      <c r="I405" s="1">
        <v>0</v>
      </c>
      <c r="J405" s="4"/>
      <c r="K405" s="1">
        <v>10</v>
      </c>
      <c r="L405" s="1">
        <v>0</v>
      </c>
      <c r="M405" s="32">
        <f>IF(Mecze[[#This Row],[PR]]=0,0,Mecze[[#This Row],[PR]]/Mecze[[#This Row],[CZAS]])</f>
        <v>0</v>
      </c>
      <c r="N405" s="32">
        <f>IF(Mecze[[#This Row],[OU]]=0,0,Mecze[[#This Row],[OU]]/Mecze[[#This Row],[CZAS]])</f>
        <v>0</v>
      </c>
      <c r="O405" s="32">
        <f>IF(Mecze[[#This Row],[PC]]=0,0,Mecze[[#This Row],[PC]]/Mecze[[#This Row],[CZAS]])</f>
        <v>8.1632653061224483E-2</v>
      </c>
      <c r="P405" s="32">
        <f>IF(Mecze[[#This Row],[SC]]=0,0,Mecze[[#This Row],[SC]]/Mecze[[#This Row],[CZAS]])</f>
        <v>0</v>
      </c>
      <c r="Q405" s="32">
        <f>IF(Mecze[[#This Row],[OB]]=0,0,Mecze[[#This Row],[OB]]/Mecze[[#This Row],[CZAS]])</f>
        <v>0.10204081632653061</v>
      </c>
      <c r="R405" s="32">
        <f>IF(Mecze[[#This Row],[BR]]=0,0,Mecze[[#This Row],[BR]]/Mecze[[#This Row],[CZAS]])</f>
        <v>0</v>
      </c>
      <c r="S405" s="44">
        <f>IF(Mecze[[#This Row],[Role]]="BR",SUMPRODUCT(Mecze[[#This Row],[/PR:90]:[/BR:90]],Brudnopis!$E$23:$J$23),0)</f>
        <v>0.55102040816326525</v>
      </c>
      <c r="T405" s="44">
        <f>IF(Mecze[[#This Row],[Role]]&lt;&gt;"BR",SUMPRODUCT(Mecze[[#This Row],[/PR:90]:[/BR:90]],Brudnopis!$E$24:$J$24),0)</f>
        <v>0</v>
      </c>
      <c r="U405" s="44">
        <f>IF(Mecze[[#This Row],[Role]]&lt;&gt;"BR",SUMPRODUCT(Mecze[[#This Row],[/PR:90]:[/BR:90]],Brudnopis!$E$25:$J$25),0)</f>
        <v>0</v>
      </c>
      <c r="V405" s="44">
        <f>IF(Mecze[[#This Row],[Role]]&lt;&gt;"BR",SUMPRODUCT(Mecze[[#This Row],[/PR:90]:[/BR:90]],Brudnopis!$E$26:$J$26),0)</f>
        <v>0</v>
      </c>
      <c r="W405" s="44">
        <f>IF(Mecze[[#This Row],[Role]]&lt;&gt;"BR",SUMPRODUCT(Mecze[[#This Row],[/PR:90]:[/BR:90]],Brudnopis!$E$27:$J$27),0)</f>
        <v>0</v>
      </c>
      <c r="X405" s="44">
        <f>IF(Mecze[[#This Row],[Role]]&lt;&gt;"BR",SUMPRODUCT(Mecze[[#This Row],[/PR:90]:[/BR:90]],Brudnopis!$E$28:$J$28),0)</f>
        <v>0</v>
      </c>
      <c r="Y405" s="35">
        <f>IF(Mecze[[#This Row],[Role]]="BR",Mecze[[#This Row],[/OB:90]]+Mecze[[#This Row],[/PC:90]],SUM(Mecze[[#This Row],[/PR:90]:[/BR:90]]))</f>
        <v>0.18367346938775508</v>
      </c>
      <c r="Z405" s="35">
        <f>IF(Mecze[[#This Row],[KC]]=0,SUM(Mecze[[#This Row],[/BRI]:[/NPI]]),SUM(Mecze[[#This Row],[/BRI]:[/NPI]])*0.6)</f>
        <v>0.55102040816326525</v>
      </c>
      <c r="AA405" s="10">
        <f>IFERROR(Mecze[[#This Row],[BR]]/Mecze[[#This Row],[ST]],0)</f>
        <v>0</v>
      </c>
      <c r="AB405">
        <f>ROUND(Mecze[[#This Row],[PD]]*Mecze[[#This Row],[%PC]],0)</f>
        <v>8</v>
      </c>
      <c r="AC405">
        <f>ROUND(Mecze[[#This Row],[OD]]*Mecze[[#This Row],[%OU]],0)</f>
        <v>0</v>
      </c>
      <c r="AD405" s="36" t="s">
        <v>40</v>
      </c>
      <c r="AE405" s="36">
        <v>24</v>
      </c>
      <c r="AF405" s="71">
        <v>4.99</v>
      </c>
      <c r="AG405" s="37">
        <v>0</v>
      </c>
      <c r="AH405" s="37">
        <v>0</v>
      </c>
      <c r="AI405" s="37">
        <v>98</v>
      </c>
      <c r="AJ405" s="37">
        <v>11</v>
      </c>
      <c r="AK405" s="37" t="str">
        <f>VLOOKUP(Mecze[[#This Row],[Match ID]],Meczusie[Mecz]:Meczusie[RodzajMeczu],2,FALSE)</f>
        <v>Liga</v>
      </c>
    </row>
    <row r="406" spans="1:37" x14ac:dyDescent="0.25">
      <c r="A406" s="76">
        <v>4</v>
      </c>
      <c r="B406" s="3" t="s">
        <v>321</v>
      </c>
      <c r="C406" s="2" t="s">
        <v>157</v>
      </c>
      <c r="D406" s="1">
        <v>0</v>
      </c>
      <c r="E406" s="1">
        <v>0</v>
      </c>
      <c r="F406" s="1">
        <v>0</v>
      </c>
      <c r="G406" s="1">
        <v>11</v>
      </c>
      <c r="H406" s="4">
        <v>0.91</v>
      </c>
      <c r="I406" s="1">
        <v>3</v>
      </c>
      <c r="J406" s="4">
        <v>0.33</v>
      </c>
      <c r="K406" s="1">
        <v>0</v>
      </c>
      <c r="L406" s="1">
        <v>5</v>
      </c>
      <c r="M406" s="32">
        <f>IF(Mecze[[#This Row],[PR]]=0,0,Mecze[[#This Row],[PR]]/Mecze[[#This Row],[CZAS]])</f>
        <v>5.1020408163265307E-2</v>
      </c>
      <c r="N406" s="32">
        <f>IF(Mecze[[#This Row],[OU]]=0,0,Mecze[[#This Row],[OU]]/Mecze[[#This Row],[CZAS]])</f>
        <v>1.020408163265306E-2</v>
      </c>
      <c r="O406" s="32">
        <f>IF(Mecze[[#This Row],[PC]]=0,0,Mecze[[#This Row],[PC]]/Mecze[[#This Row],[CZAS]])</f>
        <v>0.10204081632653061</v>
      </c>
      <c r="P406" s="32">
        <f>IF(Mecze[[#This Row],[SC]]=0,0,Mecze[[#This Row],[SC]]/Mecze[[#This Row],[CZAS]])</f>
        <v>0</v>
      </c>
      <c r="Q406" s="32">
        <f>IF(Mecze[[#This Row],[OB]]=0,0,Mecze[[#This Row],[OB]]/Mecze[[#This Row],[CZAS]])</f>
        <v>0</v>
      </c>
      <c r="R406" s="32">
        <f>IF(Mecze[[#This Row],[BR]]=0,0,Mecze[[#This Row],[BR]]/Mecze[[#This Row],[CZAS]])</f>
        <v>0</v>
      </c>
      <c r="S406" s="44">
        <f>IF(Mecze[[#This Row],[Role]]="BR",SUMPRODUCT(Mecze[[#This Row],[/PR:90]:[/BR:90]],Brudnopis!$E$23:$J$23),0)</f>
        <v>0</v>
      </c>
      <c r="T406" s="44">
        <f>IF(Mecze[[#This Row],[Role]]&lt;&gt;"BR",SUMPRODUCT(Mecze[[#This Row],[/PR:90]:[/BR:90]],Brudnopis!$E$24:$J$24),0)</f>
        <v>0.16836734693877553</v>
      </c>
      <c r="U406" s="44">
        <f>IF(Mecze[[#This Row],[Role]]&lt;&gt;"BR",SUMPRODUCT(Mecze[[#This Row],[/PR:90]:[/BR:90]],Brudnopis!$E$25:$J$25),0)</f>
        <v>0.2142857142857143</v>
      </c>
      <c r="V406" s="44">
        <f>IF(Mecze[[#This Row],[Role]]&lt;&gt;"BR",SUMPRODUCT(Mecze[[#This Row],[/PR:90]:[/BR:90]],Brudnopis!$E$26:$J$26),0)</f>
        <v>0.16326530612244899</v>
      </c>
      <c r="W406" s="44">
        <f>IF(Mecze[[#This Row],[Role]]&lt;&gt;"BR",SUMPRODUCT(Mecze[[#This Row],[/PR:90]:[/BR:90]],Brudnopis!$E$27:$J$27),0)</f>
        <v>0.19897959183673469</v>
      </c>
      <c r="X406" s="44">
        <f>IF(Mecze[[#This Row],[Role]]&lt;&gt;"BR",SUMPRODUCT(Mecze[[#This Row],[/PR:90]:[/BR:90]],Brudnopis!$E$28:$J$28),0)</f>
        <v>0.10204081632653061</v>
      </c>
      <c r="Y406" s="35">
        <f>IF(Mecze[[#This Row],[Role]]="BR",Mecze[[#This Row],[/OB:90]]+Mecze[[#This Row],[/PC:90]],SUM(Mecze[[#This Row],[/PR:90]:[/BR:90]]))</f>
        <v>0.16326530612244899</v>
      </c>
      <c r="Z406" s="35">
        <f>IF(Mecze[[#This Row],[KC]]=0,SUM(Mecze[[#This Row],[/BRI]:[/NPI]]),SUM(Mecze[[#This Row],[/BRI]:[/NPI]])*0.6)</f>
        <v>0.84693877551020413</v>
      </c>
      <c r="AA406" s="10">
        <f>IFERROR(Mecze[[#This Row],[BR]]/Mecze[[#This Row],[ST]],0)</f>
        <v>0</v>
      </c>
      <c r="AB406">
        <f>ROUND(Mecze[[#This Row],[PD]]*Mecze[[#This Row],[%PC]],0)</f>
        <v>10</v>
      </c>
      <c r="AC406">
        <f>ROUND(Mecze[[#This Row],[OD]]*Mecze[[#This Row],[%OU]],0)</f>
        <v>1</v>
      </c>
      <c r="AD406" s="36" t="s">
        <v>47</v>
      </c>
      <c r="AE406" s="36">
        <v>24</v>
      </c>
      <c r="AF406" s="71">
        <v>0.43</v>
      </c>
      <c r="AG406" s="37">
        <v>0</v>
      </c>
      <c r="AH406" s="37">
        <v>0</v>
      </c>
      <c r="AI406" s="37">
        <v>98</v>
      </c>
      <c r="AJ406" s="37">
        <v>11</v>
      </c>
      <c r="AK406" s="37" t="str">
        <f>VLOOKUP(Mecze[[#This Row],[Match ID]],Meczusie[Mecz]:Meczusie[RodzajMeczu],2,FALSE)</f>
        <v>Liga</v>
      </c>
    </row>
    <row r="407" spans="1:37" x14ac:dyDescent="0.25">
      <c r="A407" s="76">
        <v>7</v>
      </c>
      <c r="B407" s="3" t="s">
        <v>322</v>
      </c>
      <c r="C407" s="2" t="s">
        <v>157</v>
      </c>
      <c r="D407" s="1">
        <v>0</v>
      </c>
      <c r="E407" s="1">
        <v>0</v>
      </c>
      <c r="F407" s="1">
        <v>0</v>
      </c>
      <c r="G407" s="1">
        <v>7</v>
      </c>
      <c r="H407" s="4">
        <v>0.56999999999999995</v>
      </c>
      <c r="I407" s="1">
        <v>6</v>
      </c>
      <c r="J407" s="4">
        <v>0.33</v>
      </c>
      <c r="K407" s="1">
        <v>0</v>
      </c>
      <c r="L407" s="1">
        <v>6</v>
      </c>
      <c r="M407" s="32">
        <f>IF(Mecze[[#This Row],[PR]]=0,0,Mecze[[#This Row],[PR]]/Mecze[[#This Row],[CZAS]])</f>
        <v>6.1224489795918366E-2</v>
      </c>
      <c r="N407" s="32">
        <f>IF(Mecze[[#This Row],[OU]]=0,0,Mecze[[#This Row],[OU]]/Mecze[[#This Row],[CZAS]])</f>
        <v>2.0408163265306121E-2</v>
      </c>
      <c r="O407" s="32">
        <f>IF(Mecze[[#This Row],[PC]]=0,0,Mecze[[#This Row],[PC]]/Mecze[[#This Row],[CZAS]])</f>
        <v>4.0816326530612242E-2</v>
      </c>
      <c r="P407" s="32">
        <f>IF(Mecze[[#This Row],[SC]]=0,0,Mecze[[#This Row],[SC]]/Mecze[[#This Row],[CZAS]])</f>
        <v>0</v>
      </c>
      <c r="Q407" s="32">
        <f>IF(Mecze[[#This Row],[OB]]=0,0,Mecze[[#This Row],[OB]]/Mecze[[#This Row],[CZAS]])</f>
        <v>0</v>
      </c>
      <c r="R407" s="32">
        <f>IF(Mecze[[#This Row],[BR]]=0,0,Mecze[[#This Row],[BR]]/Mecze[[#This Row],[CZAS]])</f>
        <v>0</v>
      </c>
      <c r="S407" s="44">
        <f>IF(Mecze[[#This Row],[Role]]="BR",SUMPRODUCT(Mecze[[#This Row],[/PR:90]:[/BR:90]],Brudnopis!$E$23:$J$23),0)</f>
        <v>0</v>
      </c>
      <c r="T407" s="44">
        <f>IF(Mecze[[#This Row],[Role]]&lt;&gt;"BR",SUMPRODUCT(Mecze[[#This Row],[/PR:90]:[/BR:90]],Brudnopis!$E$24:$J$24),0)</f>
        <v>0.13265306122448978</v>
      </c>
      <c r="U407" s="44">
        <f>IF(Mecze[[#This Row],[Role]]&lt;&gt;"BR",SUMPRODUCT(Mecze[[#This Row],[/PR:90]:[/BR:90]],Brudnopis!$E$25:$J$25),0)</f>
        <v>0.14285714285714285</v>
      </c>
      <c r="V407" s="44">
        <f>IF(Mecze[[#This Row],[Role]]&lt;&gt;"BR",SUMPRODUCT(Mecze[[#This Row],[/PR:90]:[/BR:90]],Brudnopis!$E$26:$J$26),0)</f>
        <v>0.12244897959183673</v>
      </c>
      <c r="W407" s="44">
        <f>IF(Mecze[[#This Row],[Role]]&lt;&gt;"BR",SUMPRODUCT(Mecze[[#This Row],[/PR:90]:[/BR:90]],Brudnopis!$E$27:$J$27),0)</f>
        <v>0.12244897959183673</v>
      </c>
      <c r="X407" s="44">
        <f>IF(Mecze[[#This Row],[Role]]&lt;&gt;"BR",SUMPRODUCT(Mecze[[#This Row],[/PR:90]:[/BR:90]],Brudnopis!$E$28:$J$28),0)</f>
        <v>4.0816326530612242E-2</v>
      </c>
      <c r="Y407" s="35">
        <f>IF(Mecze[[#This Row],[Role]]="BR",Mecze[[#This Row],[/OB:90]]+Mecze[[#This Row],[/PC:90]],SUM(Mecze[[#This Row],[/PR:90]:[/BR:90]]))</f>
        <v>0.12244897959183673</v>
      </c>
      <c r="Z407" s="35">
        <f>IF(Mecze[[#This Row],[KC]]=0,SUM(Mecze[[#This Row],[/BRI]:[/NPI]]),SUM(Mecze[[#This Row],[/BRI]:[/NPI]])*0.6)</f>
        <v>0.56122448979591844</v>
      </c>
      <c r="AA407" s="10">
        <f>IFERROR(Mecze[[#This Row],[BR]]/Mecze[[#This Row],[ST]],0)</f>
        <v>0</v>
      </c>
      <c r="AB407">
        <f>ROUND(Mecze[[#This Row],[PD]]*Mecze[[#This Row],[%PC]],0)</f>
        <v>4</v>
      </c>
      <c r="AC407">
        <f>ROUND(Mecze[[#This Row],[OD]]*Mecze[[#This Row],[%OU]],0)</f>
        <v>2</v>
      </c>
      <c r="AD407" s="36" t="s">
        <v>47</v>
      </c>
      <c r="AE407" s="36">
        <v>24</v>
      </c>
      <c r="AF407" s="71">
        <v>0.64</v>
      </c>
      <c r="AG407" s="37">
        <v>0</v>
      </c>
      <c r="AH407" s="37">
        <v>0</v>
      </c>
      <c r="AI407" s="37">
        <v>98</v>
      </c>
      <c r="AJ407" s="37">
        <v>11</v>
      </c>
      <c r="AK407" s="37" t="str">
        <f>VLOOKUP(Mecze[[#This Row],[Match ID]],Meczusie[Mecz]:Meczusie[RodzajMeczu],2,FALSE)</f>
        <v>Liga</v>
      </c>
    </row>
    <row r="408" spans="1:37" x14ac:dyDescent="0.25">
      <c r="A408" s="76">
        <v>2</v>
      </c>
      <c r="B408" s="3" t="s">
        <v>392</v>
      </c>
      <c r="C408" s="2" t="s">
        <v>157</v>
      </c>
      <c r="D408" s="1">
        <v>0</v>
      </c>
      <c r="E408" s="1">
        <v>0</v>
      </c>
      <c r="F408" s="1">
        <v>0</v>
      </c>
      <c r="G408" s="1">
        <v>6</v>
      </c>
      <c r="H408" s="4">
        <v>0.67</v>
      </c>
      <c r="I408" s="1">
        <v>12</v>
      </c>
      <c r="J408" s="4">
        <v>0.33</v>
      </c>
      <c r="K408" s="1">
        <v>0</v>
      </c>
      <c r="L408" s="1">
        <v>9</v>
      </c>
      <c r="M408" s="32">
        <f>IF(Mecze[[#This Row],[PR]]=0,0,Mecze[[#This Row],[PR]]/Mecze[[#This Row],[CZAS]])</f>
        <v>9.1836734693877556E-2</v>
      </c>
      <c r="N408" s="32">
        <f>IF(Mecze[[#This Row],[OU]]=0,0,Mecze[[#This Row],[OU]]/Mecze[[#This Row],[CZAS]])</f>
        <v>4.0816326530612242E-2</v>
      </c>
      <c r="O408" s="32">
        <f>IF(Mecze[[#This Row],[PC]]=0,0,Mecze[[#This Row],[PC]]/Mecze[[#This Row],[CZAS]])</f>
        <v>4.0816326530612242E-2</v>
      </c>
      <c r="P408" s="32">
        <f>IF(Mecze[[#This Row],[SC]]=0,0,Mecze[[#This Row],[SC]]/Mecze[[#This Row],[CZAS]])</f>
        <v>0</v>
      </c>
      <c r="Q408" s="32">
        <f>IF(Mecze[[#This Row],[OB]]=0,0,Mecze[[#This Row],[OB]]/Mecze[[#This Row],[CZAS]])</f>
        <v>0</v>
      </c>
      <c r="R408" s="32">
        <f>IF(Mecze[[#This Row],[BR]]=0,0,Mecze[[#This Row],[BR]]/Mecze[[#This Row],[CZAS]])</f>
        <v>0</v>
      </c>
      <c r="S408" s="44">
        <f>IF(Mecze[[#This Row],[Role]]="BR",SUMPRODUCT(Mecze[[#This Row],[/PR:90]:[/BR:90]],Brudnopis!$E$23:$J$23),0)</f>
        <v>0</v>
      </c>
      <c r="T408" s="44">
        <f>IF(Mecze[[#This Row],[Role]]&lt;&gt;"BR",SUMPRODUCT(Mecze[[#This Row],[/PR:90]:[/BR:90]],Brudnopis!$E$24:$J$24),0)</f>
        <v>0.19387755102040816</v>
      </c>
      <c r="U408" s="44">
        <f>IF(Mecze[[#This Row],[Role]]&lt;&gt;"BR",SUMPRODUCT(Mecze[[#This Row],[/PR:90]:[/BR:90]],Brudnopis!$E$25:$J$25),0)</f>
        <v>0.19387755102040816</v>
      </c>
      <c r="V408" s="44">
        <f>IF(Mecze[[#This Row],[Role]]&lt;&gt;"BR",SUMPRODUCT(Mecze[[#This Row],[/PR:90]:[/BR:90]],Brudnopis!$E$26:$J$26),0)</f>
        <v>0.17346938775510204</v>
      </c>
      <c r="W408" s="44">
        <f>IF(Mecze[[#This Row],[Role]]&lt;&gt;"BR",SUMPRODUCT(Mecze[[#This Row],[/PR:90]:[/BR:90]],Brudnopis!$E$27:$J$27),0)</f>
        <v>0.1607142857142857</v>
      </c>
      <c r="X408" s="44">
        <f>IF(Mecze[[#This Row],[Role]]&lt;&gt;"BR",SUMPRODUCT(Mecze[[#This Row],[/PR:90]:[/BR:90]],Brudnopis!$E$28:$J$28),0)</f>
        <v>4.0816326530612242E-2</v>
      </c>
      <c r="Y408" s="35">
        <f>IF(Mecze[[#This Row],[Role]]="BR",Mecze[[#This Row],[/OB:90]]+Mecze[[#This Row],[/PC:90]],SUM(Mecze[[#This Row],[/PR:90]:[/BR:90]]))</f>
        <v>0.17346938775510204</v>
      </c>
      <c r="Z408" s="35">
        <f>IF(Mecze[[#This Row],[KC]]=0,SUM(Mecze[[#This Row],[/BRI]:[/NPI]]),SUM(Mecze[[#This Row],[/BRI]:[/NPI]])*0.6)</f>
        <v>0.76275510204081631</v>
      </c>
      <c r="AA408" s="10">
        <f>IFERROR(Mecze[[#This Row],[BR]]/Mecze[[#This Row],[ST]],0)</f>
        <v>0</v>
      </c>
      <c r="AB408">
        <f>ROUND(Mecze[[#This Row],[PD]]*Mecze[[#This Row],[%PC]],0)</f>
        <v>4</v>
      </c>
      <c r="AC408">
        <f>ROUND(Mecze[[#This Row],[OD]]*Mecze[[#This Row],[%OU]],0)</f>
        <v>4</v>
      </c>
      <c r="AD408" s="36" t="s">
        <v>175</v>
      </c>
      <c r="AE408" s="36">
        <v>24</v>
      </c>
      <c r="AF408" s="71">
        <v>1.27</v>
      </c>
      <c r="AG408" s="37">
        <v>0</v>
      </c>
      <c r="AH408" s="37">
        <v>0</v>
      </c>
      <c r="AI408" s="37">
        <v>98</v>
      </c>
      <c r="AJ408" s="37">
        <v>11</v>
      </c>
      <c r="AK408" s="37" t="str">
        <f>VLOOKUP(Mecze[[#This Row],[Match ID]],Meczusie[Mecz]:Meczusie[RodzajMeczu],2,FALSE)</f>
        <v>Liga</v>
      </c>
    </row>
    <row r="409" spans="1:37" x14ac:dyDescent="0.25">
      <c r="A409" s="76">
        <v>6</v>
      </c>
      <c r="B409" s="3" t="s">
        <v>324</v>
      </c>
      <c r="C409" s="2" t="s">
        <v>157</v>
      </c>
      <c r="D409" s="1">
        <v>0</v>
      </c>
      <c r="E409" s="1">
        <v>0</v>
      </c>
      <c r="F409" s="1">
        <v>0</v>
      </c>
      <c r="G409" s="1">
        <v>9</v>
      </c>
      <c r="H409" s="4">
        <v>0.44</v>
      </c>
      <c r="I409" s="1">
        <v>8</v>
      </c>
      <c r="J409" s="4">
        <v>0.75</v>
      </c>
      <c r="K409" s="1">
        <v>0</v>
      </c>
      <c r="L409" s="1">
        <v>5</v>
      </c>
      <c r="M409" s="32">
        <f>IF(Mecze[[#This Row],[PR]]=0,0,Mecze[[#This Row],[PR]]/Mecze[[#This Row],[CZAS]])</f>
        <v>5.1020408163265307E-2</v>
      </c>
      <c r="N409" s="32">
        <f>IF(Mecze[[#This Row],[OU]]=0,0,Mecze[[#This Row],[OU]]/Mecze[[#This Row],[CZAS]])</f>
        <v>6.1224489795918366E-2</v>
      </c>
      <c r="O409" s="32">
        <f>IF(Mecze[[#This Row],[PC]]=0,0,Mecze[[#This Row],[PC]]/Mecze[[#This Row],[CZAS]])</f>
        <v>4.0816326530612242E-2</v>
      </c>
      <c r="P409" s="32">
        <f>IF(Mecze[[#This Row],[SC]]=0,0,Mecze[[#This Row],[SC]]/Mecze[[#This Row],[CZAS]])</f>
        <v>0</v>
      </c>
      <c r="Q409" s="32">
        <f>IF(Mecze[[#This Row],[OB]]=0,0,Mecze[[#This Row],[OB]]/Mecze[[#This Row],[CZAS]])</f>
        <v>0</v>
      </c>
      <c r="R409" s="32">
        <f>IF(Mecze[[#This Row],[BR]]=0,0,Mecze[[#This Row],[BR]]/Mecze[[#This Row],[CZAS]])</f>
        <v>0</v>
      </c>
      <c r="S409" s="44">
        <f>IF(Mecze[[#This Row],[Role]]="BR",SUMPRODUCT(Mecze[[#This Row],[/PR:90]:[/BR:90]],Brudnopis!$E$23:$J$23),0)</f>
        <v>0</v>
      </c>
      <c r="T409" s="44">
        <f>IF(Mecze[[#This Row],[Role]]&lt;&gt;"BR",SUMPRODUCT(Mecze[[#This Row],[/PR:90]:[/BR:90]],Brudnopis!$E$24:$J$24),0)</f>
        <v>0.18367346938775508</v>
      </c>
      <c r="U409" s="44">
        <f>IF(Mecze[[#This Row],[Role]]&lt;&gt;"BR",SUMPRODUCT(Mecze[[#This Row],[/PR:90]:[/BR:90]],Brudnopis!$E$25:$J$25),0)</f>
        <v>0.17346938775510204</v>
      </c>
      <c r="V409" s="44">
        <f>IF(Mecze[[#This Row],[Role]]&lt;&gt;"BR",SUMPRODUCT(Mecze[[#This Row],[/PR:90]:[/BR:90]],Brudnopis!$E$26:$J$26),0)</f>
        <v>0.15306122448979592</v>
      </c>
      <c r="W409" s="44">
        <f>IF(Mecze[[#This Row],[Role]]&lt;&gt;"BR",SUMPRODUCT(Mecze[[#This Row],[/PR:90]:[/BR:90]],Brudnopis!$E$27:$J$27),0)</f>
        <v>0.14540816326530612</v>
      </c>
      <c r="X409" s="44">
        <f>IF(Mecze[[#This Row],[Role]]&lt;&gt;"BR",SUMPRODUCT(Mecze[[#This Row],[/PR:90]:[/BR:90]],Brudnopis!$E$28:$J$28),0)</f>
        <v>4.0816326530612242E-2</v>
      </c>
      <c r="Y409" s="35">
        <f>IF(Mecze[[#This Row],[Role]]="BR",Mecze[[#This Row],[/OB:90]]+Mecze[[#This Row],[/PC:90]],SUM(Mecze[[#This Row],[/PR:90]:[/BR:90]]))</f>
        <v>0.15306122448979592</v>
      </c>
      <c r="Z409" s="35">
        <f>IF(Mecze[[#This Row],[KC]]=0,SUM(Mecze[[#This Row],[/BRI]:[/NPI]]),SUM(Mecze[[#This Row],[/BRI]:[/NPI]])*0.6)</f>
        <v>0.6964285714285714</v>
      </c>
      <c r="AA409" s="10">
        <f>IFERROR(Mecze[[#This Row],[BR]]/Mecze[[#This Row],[ST]],0)</f>
        <v>0</v>
      </c>
      <c r="AB409">
        <f>ROUND(Mecze[[#This Row],[PD]]*Mecze[[#This Row],[%PC]],0)</f>
        <v>4</v>
      </c>
      <c r="AC409">
        <f>ROUND(Mecze[[#This Row],[OD]]*Mecze[[#This Row],[%OU]],0)</f>
        <v>6</v>
      </c>
      <c r="AD409" s="36" t="s">
        <v>174</v>
      </c>
      <c r="AE409" s="36">
        <v>24</v>
      </c>
      <c r="AF409" s="71">
        <v>1.55</v>
      </c>
      <c r="AG409" s="37">
        <v>0</v>
      </c>
      <c r="AH409" s="37">
        <v>0</v>
      </c>
      <c r="AI409" s="37">
        <v>98</v>
      </c>
      <c r="AJ409" s="37">
        <v>11</v>
      </c>
      <c r="AK409" s="37" t="str">
        <f>VLOOKUP(Mecze[[#This Row],[Match ID]],Meczusie[Mecz]:Meczusie[RodzajMeczu],2,FALSE)</f>
        <v>Liga</v>
      </c>
    </row>
    <row r="410" spans="1:37" x14ac:dyDescent="0.25">
      <c r="A410" s="76">
        <v>5</v>
      </c>
      <c r="B410" s="3" t="s">
        <v>325</v>
      </c>
      <c r="C410" s="2" t="s">
        <v>160</v>
      </c>
      <c r="D410" s="1">
        <v>0</v>
      </c>
      <c r="E410" s="1">
        <v>0</v>
      </c>
      <c r="F410" s="1">
        <v>0</v>
      </c>
      <c r="G410" s="1">
        <v>16</v>
      </c>
      <c r="H410" s="4">
        <v>0.69</v>
      </c>
      <c r="I410" s="1">
        <v>2</v>
      </c>
      <c r="J410" s="4">
        <v>1</v>
      </c>
      <c r="K410" s="1">
        <v>0</v>
      </c>
      <c r="L410" s="1">
        <v>2</v>
      </c>
      <c r="M410" s="32">
        <f>IF(Mecze[[#This Row],[PR]]=0,0,Mecze[[#This Row],[PR]]/Mecze[[#This Row],[CZAS]])</f>
        <v>2.0408163265306121E-2</v>
      </c>
      <c r="N410" s="32">
        <f>IF(Mecze[[#This Row],[OU]]=0,0,Mecze[[#This Row],[OU]]/Mecze[[#This Row],[CZAS]])</f>
        <v>2.0408163265306121E-2</v>
      </c>
      <c r="O410" s="32">
        <f>IF(Mecze[[#This Row],[PC]]=0,0,Mecze[[#This Row],[PC]]/Mecze[[#This Row],[CZAS]])</f>
        <v>0.11224489795918367</v>
      </c>
      <c r="P410" s="32">
        <f>IF(Mecze[[#This Row],[SC]]=0,0,Mecze[[#This Row],[SC]]/Mecze[[#This Row],[CZAS]])</f>
        <v>0</v>
      </c>
      <c r="Q410" s="32">
        <f>IF(Mecze[[#This Row],[OB]]=0,0,Mecze[[#This Row],[OB]]/Mecze[[#This Row],[CZAS]])</f>
        <v>0</v>
      </c>
      <c r="R410" s="32">
        <f>IF(Mecze[[#This Row],[BR]]=0,0,Mecze[[#This Row],[BR]]/Mecze[[#This Row],[CZAS]])</f>
        <v>0</v>
      </c>
      <c r="S410" s="44">
        <f>IF(Mecze[[#This Row],[Role]]="BR",SUMPRODUCT(Mecze[[#This Row],[/PR:90]:[/BR:90]],Brudnopis!$E$23:$J$23),0)</f>
        <v>0</v>
      </c>
      <c r="T410" s="44">
        <f>IF(Mecze[[#This Row],[Role]]&lt;&gt;"BR",SUMPRODUCT(Mecze[[#This Row],[/PR:90]:[/BR:90]],Brudnopis!$E$24:$J$24),0)</f>
        <v>0.16326530612244899</v>
      </c>
      <c r="U410" s="44">
        <f>IF(Mecze[[#This Row],[Role]]&lt;&gt;"BR",SUMPRODUCT(Mecze[[#This Row],[/PR:90]:[/BR:90]],Brudnopis!$E$25:$J$25),0)</f>
        <v>0.20918367346938774</v>
      </c>
      <c r="V410" s="44">
        <f>IF(Mecze[[#This Row],[Role]]&lt;&gt;"BR",SUMPRODUCT(Mecze[[#This Row],[/PR:90]:[/BR:90]],Brudnopis!$E$26:$J$26),0)</f>
        <v>0.15306122448979592</v>
      </c>
      <c r="W410" s="44">
        <f>IF(Mecze[[#This Row],[Role]]&lt;&gt;"BR",SUMPRODUCT(Mecze[[#This Row],[/PR:90]:[/BR:90]],Brudnopis!$E$27:$J$27),0)</f>
        <v>0.19897959183673469</v>
      </c>
      <c r="X410" s="44">
        <f>IF(Mecze[[#This Row],[Role]]&lt;&gt;"BR",SUMPRODUCT(Mecze[[#This Row],[/PR:90]:[/BR:90]],Brudnopis!$E$28:$J$28),0)</f>
        <v>0.11224489795918367</v>
      </c>
      <c r="Y410" s="35">
        <f>IF(Mecze[[#This Row],[Role]]="BR",Mecze[[#This Row],[/OB:90]]+Mecze[[#This Row],[/PC:90]],SUM(Mecze[[#This Row],[/PR:90]:[/BR:90]]))</f>
        <v>0.15306122448979592</v>
      </c>
      <c r="Z410" s="35">
        <f>IF(Mecze[[#This Row],[KC]]=0,SUM(Mecze[[#This Row],[/BRI]:[/NPI]]),SUM(Mecze[[#This Row],[/BRI]:[/NPI]])*0.6)</f>
        <v>0.83673469387755106</v>
      </c>
      <c r="AA410" s="10">
        <f>IFERROR(Mecze[[#This Row],[BR]]/Mecze[[#This Row],[ST]],0)</f>
        <v>0</v>
      </c>
      <c r="AB410">
        <f>ROUND(Mecze[[#This Row],[PD]]*Mecze[[#This Row],[%PC]],0)</f>
        <v>11</v>
      </c>
      <c r="AC410">
        <f>ROUND(Mecze[[#This Row],[OD]]*Mecze[[#This Row],[%OU]],0)</f>
        <v>2</v>
      </c>
      <c r="AD410" s="36" t="s">
        <v>41</v>
      </c>
      <c r="AE410" s="36">
        <v>24</v>
      </c>
      <c r="AF410" s="71">
        <v>4.33</v>
      </c>
      <c r="AG410" s="37">
        <v>0</v>
      </c>
      <c r="AH410" s="37">
        <v>0</v>
      </c>
      <c r="AI410" s="37">
        <v>98</v>
      </c>
      <c r="AJ410" s="37">
        <v>11</v>
      </c>
      <c r="AK410" s="37" t="str">
        <f>VLOOKUP(Mecze[[#This Row],[Match ID]],Meczusie[Mecz]:Meczusie[RodzajMeczu],2,FALSE)</f>
        <v>Liga</v>
      </c>
    </row>
    <row r="411" spans="1:37" x14ac:dyDescent="0.25">
      <c r="A411" s="76">
        <v>8</v>
      </c>
      <c r="B411" s="3" t="s">
        <v>326</v>
      </c>
      <c r="C411" s="2" t="s">
        <v>160</v>
      </c>
      <c r="D411" s="1">
        <v>0</v>
      </c>
      <c r="E411" s="1">
        <v>1</v>
      </c>
      <c r="F411" s="1">
        <v>1</v>
      </c>
      <c r="G411" s="1">
        <v>6</v>
      </c>
      <c r="H411" s="4">
        <v>0.33</v>
      </c>
      <c r="I411" s="1">
        <v>1</v>
      </c>
      <c r="J411" s="4">
        <v>0</v>
      </c>
      <c r="K411" s="1">
        <v>0</v>
      </c>
      <c r="L411" s="1">
        <v>1</v>
      </c>
      <c r="M411" s="32">
        <f>IF(Mecze[[#This Row],[PR]]=0,0,Mecze[[#This Row],[PR]]/Mecze[[#This Row],[CZAS]])</f>
        <v>1.020408163265306E-2</v>
      </c>
      <c r="N411" s="32">
        <f>IF(Mecze[[#This Row],[OU]]=0,0,Mecze[[#This Row],[OU]]/Mecze[[#This Row],[CZAS]])</f>
        <v>0</v>
      </c>
      <c r="O411" s="32">
        <f>IF(Mecze[[#This Row],[PC]]=0,0,Mecze[[#This Row],[PC]]/Mecze[[#This Row],[CZAS]])</f>
        <v>2.0408163265306121E-2</v>
      </c>
      <c r="P411" s="32">
        <f>IF(Mecze[[#This Row],[SC]]=0,0,Mecze[[#This Row],[SC]]/Mecze[[#This Row],[CZAS]])</f>
        <v>1.020408163265306E-2</v>
      </c>
      <c r="Q411" s="32">
        <f>IF(Mecze[[#This Row],[OB]]=0,0,Mecze[[#This Row],[OB]]/Mecze[[#This Row],[CZAS]])</f>
        <v>0</v>
      </c>
      <c r="R411" s="32">
        <f>IF(Mecze[[#This Row],[BR]]=0,0,Mecze[[#This Row],[BR]]/Mecze[[#This Row],[CZAS]])</f>
        <v>0</v>
      </c>
      <c r="S411" s="44">
        <f>IF(Mecze[[#This Row],[Role]]="BR",SUMPRODUCT(Mecze[[#This Row],[/PR:90]:[/BR:90]],Brudnopis!$E$23:$J$23),0)</f>
        <v>0</v>
      </c>
      <c r="T411" s="44">
        <f>IF(Mecze[[#This Row],[Role]]&lt;&gt;"BR",SUMPRODUCT(Mecze[[#This Row],[/PR:90]:[/BR:90]],Brudnopis!$E$24:$J$24),0)</f>
        <v>4.0816326530612242E-2</v>
      </c>
      <c r="U411" s="44">
        <f>IF(Mecze[[#This Row],[Role]]&lt;&gt;"BR",SUMPRODUCT(Mecze[[#This Row],[/PR:90]:[/BR:90]],Brudnopis!$E$25:$J$25),0)</f>
        <v>5.10204081632653E-2</v>
      </c>
      <c r="V411" s="44">
        <f>IF(Mecze[[#This Row],[Role]]&lt;&gt;"BR",SUMPRODUCT(Mecze[[#This Row],[/PR:90]:[/BR:90]],Brudnopis!$E$26:$J$26),0)</f>
        <v>4.0816326530612242E-2</v>
      </c>
      <c r="W411" s="44">
        <f>IF(Mecze[[#This Row],[Role]]&lt;&gt;"BR",SUMPRODUCT(Mecze[[#This Row],[/PR:90]:[/BR:90]],Brudnopis!$E$27:$J$27),0)</f>
        <v>4.8469387755102039E-2</v>
      </c>
      <c r="X411" s="44">
        <f>IF(Mecze[[#This Row],[Role]]&lt;&gt;"BR",SUMPRODUCT(Mecze[[#This Row],[/PR:90]:[/BR:90]],Brudnopis!$E$28:$J$28),0)</f>
        <v>4.0816326530612242E-2</v>
      </c>
      <c r="Y411" s="35">
        <f>IF(Mecze[[#This Row],[Role]]="BR",Mecze[[#This Row],[/OB:90]]+Mecze[[#This Row],[/PC:90]],SUM(Mecze[[#This Row],[/PR:90]:[/BR:90]]))</f>
        <v>4.0816326530612242E-2</v>
      </c>
      <c r="Z411" s="35">
        <f>IF(Mecze[[#This Row],[KC]]=0,SUM(Mecze[[#This Row],[/BRI]:[/NPI]]),SUM(Mecze[[#This Row],[/BRI]:[/NPI]])*0.6)</f>
        <v>0.22193877551020405</v>
      </c>
      <c r="AA411" s="10">
        <f>IFERROR(Mecze[[#This Row],[BR]]/Mecze[[#This Row],[ST]],0)</f>
        <v>0</v>
      </c>
      <c r="AB411">
        <f>ROUND(Mecze[[#This Row],[PD]]*Mecze[[#This Row],[%PC]],0)</f>
        <v>2</v>
      </c>
      <c r="AC411">
        <f>ROUND(Mecze[[#This Row],[OD]]*Mecze[[#This Row],[%OU]],0)</f>
        <v>0</v>
      </c>
      <c r="AD411" s="36" t="s">
        <v>318</v>
      </c>
      <c r="AE411" s="36">
        <v>24</v>
      </c>
      <c r="AF411" s="71">
        <v>3.14</v>
      </c>
      <c r="AG411" s="37">
        <v>0</v>
      </c>
      <c r="AH411" s="37">
        <v>0</v>
      </c>
      <c r="AI411" s="37">
        <v>98</v>
      </c>
      <c r="AJ411" s="37">
        <v>11</v>
      </c>
      <c r="AK411" s="37" t="str">
        <f>VLOOKUP(Mecze[[#This Row],[Match ID]],Meczusie[Mecz]:Meczusie[RodzajMeczu],2,FALSE)</f>
        <v>Liga</v>
      </c>
    </row>
    <row r="412" spans="1:37" x14ac:dyDescent="0.25">
      <c r="A412" s="76">
        <v>9</v>
      </c>
      <c r="B412" s="3" t="s">
        <v>327</v>
      </c>
      <c r="C412" s="2" t="s">
        <v>160</v>
      </c>
      <c r="D412" s="1">
        <v>1</v>
      </c>
      <c r="E412" s="1">
        <v>3</v>
      </c>
      <c r="F412" s="1">
        <v>3</v>
      </c>
      <c r="G412" s="1">
        <v>8</v>
      </c>
      <c r="H412" s="4">
        <v>0.63</v>
      </c>
      <c r="I412" s="1">
        <v>2</v>
      </c>
      <c r="J412" s="4">
        <v>0.5</v>
      </c>
      <c r="K412" s="1">
        <v>0</v>
      </c>
      <c r="L412" s="1">
        <v>1</v>
      </c>
      <c r="M412" s="32">
        <f>IF(Mecze[[#This Row],[PR]]=0,0,Mecze[[#This Row],[PR]]/Mecze[[#This Row],[CZAS]])</f>
        <v>1.020408163265306E-2</v>
      </c>
      <c r="N412" s="32">
        <f>IF(Mecze[[#This Row],[OU]]=0,0,Mecze[[#This Row],[OU]]/Mecze[[#This Row],[CZAS]])</f>
        <v>1.020408163265306E-2</v>
      </c>
      <c r="O412" s="32">
        <f>IF(Mecze[[#This Row],[PC]]=0,0,Mecze[[#This Row],[PC]]/Mecze[[#This Row],[CZAS]])</f>
        <v>5.1020408163265307E-2</v>
      </c>
      <c r="P412" s="32">
        <f>IF(Mecze[[#This Row],[SC]]=0,0,Mecze[[#This Row],[SC]]/Mecze[[#This Row],[CZAS]])</f>
        <v>3.0612244897959183E-2</v>
      </c>
      <c r="Q412" s="32">
        <f>IF(Mecze[[#This Row],[OB]]=0,0,Mecze[[#This Row],[OB]]/Mecze[[#This Row],[CZAS]])</f>
        <v>0</v>
      </c>
      <c r="R412" s="32">
        <f>IF(Mecze[[#This Row],[BR]]=0,0,Mecze[[#This Row],[BR]]/Mecze[[#This Row],[CZAS]])</f>
        <v>1.020408163265306E-2</v>
      </c>
      <c r="S412" s="44">
        <f>IF(Mecze[[#This Row],[Role]]="BR",SUMPRODUCT(Mecze[[#This Row],[/PR:90]:[/BR:90]],Brudnopis!$E$23:$J$23),0)</f>
        <v>0</v>
      </c>
      <c r="T412" s="44">
        <f>IF(Mecze[[#This Row],[Role]]&lt;&gt;"BR",SUMPRODUCT(Mecze[[#This Row],[/PR:90]:[/BR:90]],Brudnopis!$E$24:$J$24),0)</f>
        <v>0.12244897959183675</v>
      </c>
      <c r="U412" s="44">
        <f>IF(Mecze[[#This Row],[Role]]&lt;&gt;"BR",SUMPRODUCT(Mecze[[#This Row],[/PR:90]:[/BR:90]],Brudnopis!$E$25:$J$25),0)</f>
        <v>0.14285714285714285</v>
      </c>
      <c r="V412" s="44">
        <f>IF(Mecze[[#This Row],[Role]]&lt;&gt;"BR",SUMPRODUCT(Mecze[[#This Row],[/PR:90]:[/BR:90]],Brudnopis!$E$26:$J$26),0)</f>
        <v>0.12244897959183673</v>
      </c>
      <c r="W412" s="44">
        <f>IF(Mecze[[#This Row],[Role]]&lt;&gt;"BR",SUMPRODUCT(Mecze[[#This Row],[/PR:90]:[/BR:90]],Brudnopis!$E$27:$J$27),0)</f>
        <v>0.14285714285714285</v>
      </c>
      <c r="X412" s="44">
        <f>IF(Mecze[[#This Row],[Role]]&lt;&gt;"BR",SUMPRODUCT(Mecze[[#This Row],[/PR:90]:[/BR:90]],Brudnopis!$E$28:$J$28),0)</f>
        <v>0.14285714285714285</v>
      </c>
      <c r="Y412" s="35">
        <f>IF(Mecze[[#This Row],[Role]]="BR",Mecze[[#This Row],[/OB:90]]+Mecze[[#This Row],[/PC:90]],SUM(Mecze[[#This Row],[/PR:90]:[/BR:90]]))</f>
        <v>0.11224489795918367</v>
      </c>
      <c r="Z412" s="35">
        <f>IF(Mecze[[#This Row],[KC]]=0,SUM(Mecze[[#This Row],[/BRI]:[/NPI]]),SUM(Mecze[[#This Row],[/BRI]:[/NPI]])*0.6)</f>
        <v>0.6734693877551019</v>
      </c>
      <c r="AA412" s="10">
        <f>IFERROR(Mecze[[#This Row],[BR]]/Mecze[[#This Row],[ST]],0)</f>
        <v>0.33333333333333331</v>
      </c>
      <c r="AB412">
        <f>ROUND(Mecze[[#This Row],[PD]]*Mecze[[#This Row],[%PC]],0)</f>
        <v>5</v>
      </c>
      <c r="AC412">
        <f>ROUND(Mecze[[#This Row],[OD]]*Mecze[[#This Row],[%OU]],0)</f>
        <v>1</v>
      </c>
      <c r="AD412" s="36" t="s">
        <v>44</v>
      </c>
      <c r="AE412" s="36">
        <v>24</v>
      </c>
      <c r="AF412" s="71">
        <v>6.92</v>
      </c>
      <c r="AG412" s="37">
        <v>0</v>
      </c>
      <c r="AH412" s="37">
        <v>0</v>
      </c>
      <c r="AI412" s="37">
        <v>98</v>
      </c>
      <c r="AJ412" s="37">
        <v>11</v>
      </c>
      <c r="AK412" s="37" t="str">
        <f>VLOOKUP(Mecze[[#This Row],[Match ID]],Meczusie[Mecz]:Meczusie[RodzajMeczu],2,FALSE)</f>
        <v>Liga</v>
      </c>
    </row>
    <row r="413" spans="1:37" x14ac:dyDescent="0.25">
      <c r="A413" s="76">
        <v>10</v>
      </c>
      <c r="B413" s="3" t="s">
        <v>328</v>
      </c>
      <c r="C413" s="2" t="s">
        <v>165</v>
      </c>
      <c r="D413" s="1">
        <v>0</v>
      </c>
      <c r="E413" s="1">
        <v>3</v>
      </c>
      <c r="F413" s="1">
        <v>3</v>
      </c>
      <c r="G413" s="1">
        <v>12</v>
      </c>
      <c r="H413" s="4">
        <v>0.75</v>
      </c>
      <c r="I413" s="1">
        <v>2</v>
      </c>
      <c r="J413" s="4">
        <v>0</v>
      </c>
      <c r="K413" s="1">
        <v>0</v>
      </c>
      <c r="L413" s="1">
        <v>0</v>
      </c>
      <c r="M413" s="32">
        <f>IF(Mecze[[#This Row],[PR]]=0,0,Mecze[[#This Row],[PR]]/Mecze[[#This Row],[CZAS]])</f>
        <v>0</v>
      </c>
      <c r="N413" s="32">
        <f>IF(Mecze[[#This Row],[OU]]=0,0,Mecze[[#This Row],[OU]]/Mecze[[#This Row],[CZAS]])</f>
        <v>0</v>
      </c>
      <c r="O413" s="32">
        <f>IF(Mecze[[#This Row],[PC]]=0,0,Mecze[[#This Row],[PC]]/Mecze[[#This Row],[CZAS]])</f>
        <v>9.1836734693877556E-2</v>
      </c>
      <c r="P413" s="32">
        <f>IF(Mecze[[#This Row],[SC]]=0,0,Mecze[[#This Row],[SC]]/Mecze[[#This Row],[CZAS]])</f>
        <v>3.0612244897959183E-2</v>
      </c>
      <c r="Q413" s="32">
        <f>IF(Mecze[[#This Row],[OB]]=0,0,Mecze[[#This Row],[OB]]/Mecze[[#This Row],[CZAS]])</f>
        <v>0</v>
      </c>
      <c r="R413" s="32">
        <f>IF(Mecze[[#This Row],[BR]]=0,0,Mecze[[#This Row],[BR]]/Mecze[[#This Row],[CZAS]])</f>
        <v>0</v>
      </c>
      <c r="S413" s="44">
        <f>IF(Mecze[[#This Row],[Role]]="BR",SUMPRODUCT(Mecze[[#This Row],[/PR:90]:[/BR:90]],Brudnopis!$E$23:$J$23),0)</f>
        <v>0</v>
      </c>
      <c r="T413" s="44">
        <f>IF(Mecze[[#This Row],[Role]]&lt;&gt;"BR",SUMPRODUCT(Mecze[[#This Row],[/PR:90]:[/BR:90]],Brudnopis!$E$24:$J$24),0)</f>
        <v>0.12244897959183673</v>
      </c>
      <c r="U413" s="44">
        <f>IF(Mecze[[#This Row],[Role]]&lt;&gt;"BR",SUMPRODUCT(Mecze[[#This Row],[/PR:90]:[/BR:90]],Brudnopis!$E$25:$J$25),0)</f>
        <v>0.16836734693877553</v>
      </c>
      <c r="V413" s="44">
        <f>IF(Mecze[[#This Row],[Role]]&lt;&gt;"BR",SUMPRODUCT(Mecze[[#This Row],[/PR:90]:[/BR:90]],Brudnopis!$E$26:$J$26),0)</f>
        <v>0.12244897959183673</v>
      </c>
      <c r="W413" s="44">
        <f>IF(Mecze[[#This Row],[Role]]&lt;&gt;"BR",SUMPRODUCT(Mecze[[#This Row],[/PR:90]:[/BR:90]],Brudnopis!$E$27:$J$27),0)</f>
        <v>0.16836734693877553</v>
      </c>
      <c r="X413" s="44">
        <f>IF(Mecze[[#This Row],[Role]]&lt;&gt;"BR",SUMPRODUCT(Mecze[[#This Row],[/PR:90]:[/BR:90]],Brudnopis!$E$28:$J$28),0)</f>
        <v>0.15306122448979592</v>
      </c>
      <c r="Y413" s="35">
        <f>IF(Mecze[[#This Row],[Role]]="BR",Mecze[[#This Row],[/OB:90]]+Mecze[[#This Row],[/PC:90]],SUM(Mecze[[#This Row],[/PR:90]:[/BR:90]]))</f>
        <v>0.12244897959183673</v>
      </c>
      <c r="Z413" s="35">
        <f>IF(Mecze[[#This Row],[KC]]=0,SUM(Mecze[[#This Row],[/BRI]:[/NPI]]),SUM(Mecze[[#This Row],[/BRI]:[/NPI]])*0.6)</f>
        <v>0.73469387755102056</v>
      </c>
      <c r="AA413" s="10">
        <f>IFERROR(Mecze[[#This Row],[BR]]/Mecze[[#This Row],[ST]],0)</f>
        <v>0</v>
      </c>
      <c r="AB413">
        <f>ROUND(Mecze[[#This Row],[PD]]*Mecze[[#This Row],[%PC]],0)</f>
        <v>9</v>
      </c>
      <c r="AC413">
        <f>ROUND(Mecze[[#This Row],[OD]]*Mecze[[#This Row],[%OU]],0)</f>
        <v>0</v>
      </c>
      <c r="AD413" s="36" t="s">
        <v>46</v>
      </c>
      <c r="AE413" s="36">
        <v>24</v>
      </c>
      <c r="AF413" s="71">
        <v>4.7</v>
      </c>
      <c r="AG413" s="37">
        <v>0</v>
      </c>
      <c r="AH413" s="37">
        <v>0</v>
      </c>
      <c r="AI413" s="37">
        <v>98</v>
      </c>
      <c r="AJ413" s="37">
        <v>11</v>
      </c>
      <c r="AK413" s="37" t="str">
        <f>VLOOKUP(Mecze[[#This Row],[Match ID]],Meczusie[Mecz]:Meczusie[RodzajMeczu],2,FALSE)</f>
        <v>Liga</v>
      </c>
    </row>
    <row r="414" spans="1:37" x14ac:dyDescent="0.25">
      <c r="A414" s="76">
        <v>14</v>
      </c>
      <c r="B414" s="3" t="s">
        <v>330</v>
      </c>
      <c r="C414" s="2" t="s">
        <v>165</v>
      </c>
      <c r="D414" s="1">
        <v>0</v>
      </c>
      <c r="E414" s="1">
        <v>1</v>
      </c>
      <c r="F414" s="1">
        <v>1</v>
      </c>
      <c r="G414" s="1">
        <v>5</v>
      </c>
      <c r="H414" s="4">
        <v>0</v>
      </c>
      <c r="I414" s="1">
        <v>0</v>
      </c>
      <c r="J414" s="4"/>
      <c r="K414" s="1">
        <v>0</v>
      </c>
      <c r="L414" s="1">
        <v>1</v>
      </c>
      <c r="M414" s="32">
        <f>IF(Mecze[[#This Row],[PR]]=0,0,Mecze[[#This Row],[PR]]/Mecze[[#This Row],[CZAS]])</f>
        <v>1.020408163265306E-2</v>
      </c>
      <c r="N414" s="32">
        <f>IF(Mecze[[#This Row],[OU]]=0,0,Mecze[[#This Row],[OU]]/Mecze[[#This Row],[CZAS]])</f>
        <v>0</v>
      </c>
      <c r="O414" s="32">
        <f>IF(Mecze[[#This Row],[PC]]=0,0,Mecze[[#This Row],[PC]]/Mecze[[#This Row],[CZAS]])</f>
        <v>0</v>
      </c>
      <c r="P414" s="32">
        <f>IF(Mecze[[#This Row],[SC]]=0,0,Mecze[[#This Row],[SC]]/Mecze[[#This Row],[CZAS]])</f>
        <v>1.020408163265306E-2</v>
      </c>
      <c r="Q414" s="32">
        <f>IF(Mecze[[#This Row],[OB]]=0,0,Mecze[[#This Row],[OB]]/Mecze[[#This Row],[CZAS]])</f>
        <v>0</v>
      </c>
      <c r="R414" s="32">
        <f>IF(Mecze[[#This Row],[BR]]=0,0,Mecze[[#This Row],[BR]]/Mecze[[#This Row],[CZAS]])</f>
        <v>0</v>
      </c>
      <c r="S414" s="44">
        <f>IF(Mecze[[#This Row],[Role]]="BR",SUMPRODUCT(Mecze[[#This Row],[/PR:90]:[/BR:90]],Brudnopis!$E$23:$J$23),0)</f>
        <v>0</v>
      </c>
      <c r="T414" s="44">
        <f>IF(Mecze[[#This Row],[Role]]&lt;&gt;"BR",SUMPRODUCT(Mecze[[#This Row],[/PR:90]:[/BR:90]],Brudnopis!$E$24:$J$24),0)</f>
        <v>2.0408163265306121E-2</v>
      </c>
      <c r="U414" s="44">
        <f>IF(Mecze[[#This Row],[Role]]&lt;&gt;"BR",SUMPRODUCT(Mecze[[#This Row],[/PR:90]:[/BR:90]],Brudnopis!$E$25:$J$25),0)</f>
        <v>2.0408163265306121E-2</v>
      </c>
      <c r="V414" s="44">
        <f>IF(Mecze[[#This Row],[Role]]&lt;&gt;"BR",SUMPRODUCT(Mecze[[#This Row],[/PR:90]:[/BR:90]],Brudnopis!$E$26:$J$26),0)</f>
        <v>2.0408163265306121E-2</v>
      </c>
      <c r="W414" s="44">
        <f>IF(Mecze[[#This Row],[Role]]&lt;&gt;"BR",SUMPRODUCT(Mecze[[#This Row],[/PR:90]:[/BR:90]],Brudnopis!$E$27:$J$27),0)</f>
        <v>1.7857142857142856E-2</v>
      </c>
      <c r="X414" s="44">
        <f>IF(Mecze[[#This Row],[Role]]&lt;&gt;"BR",SUMPRODUCT(Mecze[[#This Row],[/PR:90]:[/BR:90]],Brudnopis!$E$28:$J$28),0)</f>
        <v>2.0408163265306121E-2</v>
      </c>
      <c r="Y414" s="35">
        <f>IF(Mecze[[#This Row],[Role]]="BR",Mecze[[#This Row],[/OB:90]]+Mecze[[#This Row],[/PC:90]],SUM(Mecze[[#This Row],[/PR:90]:[/BR:90]]))</f>
        <v>2.0408163265306121E-2</v>
      </c>
      <c r="Z414" s="35">
        <f>IF(Mecze[[#This Row],[KC]]=0,SUM(Mecze[[#This Row],[/BRI]:[/NPI]]),SUM(Mecze[[#This Row],[/BRI]:[/NPI]])*0.6)</f>
        <v>9.9489795918367346E-2</v>
      </c>
      <c r="AA414" s="10">
        <f>IFERROR(Mecze[[#This Row],[BR]]/Mecze[[#This Row],[ST]],0)</f>
        <v>0</v>
      </c>
      <c r="AB414">
        <f>ROUND(Mecze[[#This Row],[PD]]*Mecze[[#This Row],[%PC]],0)</f>
        <v>0</v>
      </c>
      <c r="AC414">
        <f>ROUND(Mecze[[#This Row],[OD]]*Mecze[[#This Row],[%OU]],0)</f>
        <v>0</v>
      </c>
      <c r="AD414" s="36" t="s">
        <v>272</v>
      </c>
      <c r="AE414" s="36">
        <v>24</v>
      </c>
      <c r="AF414" s="71">
        <v>2.93</v>
      </c>
      <c r="AG414" s="37">
        <v>0</v>
      </c>
      <c r="AH414" s="37">
        <v>0</v>
      </c>
      <c r="AI414" s="37">
        <v>98</v>
      </c>
      <c r="AJ414" s="37">
        <v>11</v>
      </c>
      <c r="AK414" s="37" t="str">
        <f>VLOOKUP(Mecze[[#This Row],[Match ID]],Meczusie[Mecz]:Meczusie[RodzajMeczu],2,FALSE)</f>
        <v>Liga</v>
      </c>
    </row>
    <row r="415" spans="1:37" x14ac:dyDescent="0.25">
      <c r="A415" s="76">
        <v>11</v>
      </c>
      <c r="B415" s="3" t="s">
        <v>329</v>
      </c>
      <c r="C415" s="2" t="s">
        <v>165</v>
      </c>
      <c r="D415" s="1">
        <v>0</v>
      </c>
      <c r="E415" s="1">
        <v>2</v>
      </c>
      <c r="F415" s="1">
        <v>2</v>
      </c>
      <c r="G415" s="1">
        <v>11</v>
      </c>
      <c r="H415" s="4">
        <v>0.91</v>
      </c>
      <c r="I415" s="1">
        <v>2</v>
      </c>
      <c r="J415" s="4">
        <v>0</v>
      </c>
      <c r="K415" s="1">
        <v>0</v>
      </c>
      <c r="L415" s="1">
        <v>0</v>
      </c>
      <c r="M415" s="32">
        <f>IF(Mecze[[#This Row],[PR]]=0,0,Mecze[[#This Row],[PR]]/Mecze[[#This Row],[CZAS]])</f>
        <v>0</v>
      </c>
      <c r="N415" s="32">
        <f>IF(Mecze[[#This Row],[OU]]=0,0,Mecze[[#This Row],[OU]]/Mecze[[#This Row],[CZAS]])</f>
        <v>0</v>
      </c>
      <c r="O415" s="32">
        <f>IF(Mecze[[#This Row],[PC]]=0,0,Mecze[[#This Row],[PC]]/Mecze[[#This Row],[CZAS]])</f>
        <v>0.10204081632653061</v>
      </c>
      <c r="P415" s="32">
        <f>IF(Mecze[[#This Row],[SC]]=0,0,Mecze[[#This Row],[SC]]/Mecze[[#This Row],[CZAS]])</f>
        <v>2.0408163265306121E-2</v>
      </c>
      <c r="Q415" s="32">
        <f>IF(Mecze[[#This Row],[OB]]=0,0,Mecze[[#This Row],[OB]]/Mecze[[#This Row],[CZAS]])</f>
        <v>0</v>
      </c>
      <c r="R415" s="32">
        <f>IF(Mecze[[#This Row],[BR]]=0,0,Mecze[[#This Row],[BR]]/Mecze[[#This Row],[CZAS]])</f>
        <v>0</v>
      </c>
      <c r="S415" s="44">
        <f>IF(Mecze[[#This Row],[Role]]="BR",SUMPRODUCT(Mecze[[#This Row],[/PR:90]:[/BR:90]],Brudnopis!$E$23:$J$23),0)</f>
        <v>0</v>
      </c>
      <c r="T415" s="44">
        <f>IF(Mecze[[#This Row],[Role]]&lt;&gt;"BR",SUMPRODUCT(Mecze[[#This Row],[/PR:90]:[/BR:90]],Brudnopis!$E$24:$J$24),0)</f>
        <v>0.12244897959183673</v>
      </c>
      <c r="U415" s="44">
        <f>IF(Mecze[[#This Row],[Role]]&lt;&gt;"BR",SUMPRODUCT(Mecze[[#This Row],[/PR:90]:[/BR:90]],Brudnopis!$E$25:$J$25),0)</f>
        <v>0.17346938775510204</v>
      </c>
      <c r="V415" s="44">
        <f>IF(Mecze[[#This Row],[Role]]&lt;&gt;"BR",SUMPRODUCT(Mecze[[#This Row],[/PR:90]:[/BR:90]],Brudnopis!$E$26:$J$26),0)</f>
        <v>0.12244897959183673</v>
      </c>
      <c r="W415" s="44">
        <f>IF(Mecze[[#This Row],[Role]]&lt;&gt;"BR",SUMPRODUCT(Mecze[[#This Row],[/PR:90]:[/BR:90]],Brudnopis!$E$27:$J$27),0)</f>
        <v>0.17346938775510204</v>
      </c>
      <c r="X415" s="44">
        <f>IF(Mecze[[#This Row],[Role]]&lt;&gt;"BR",SUMPRODUCT(Mecze[[#This Row],[/PR:90]:[/BR:90]],Brudnopis!$E$28:$J$28),0)</f>
        <v>0.14285714285714285</v>
      </c>
      <c r="Y415" s="35">
        <f>IF(Mecze[[#This Row],[Role]]="BR",Mecze[[#This Row],[/OB:90]]+Mecze[[#This Row],[/PC:90]],SUM(Mecze[[#This Row],[/PR:90]:[/BR:90]]))</f>
        <v>0.12244897959183673</v>
      </c>
      <c r="Z415" s="35">
        <f>IF(Mecze[[#This Row],[KC]]=0,SUM(Mecze[[#This Row],[/BRI]:[/NPI]]),SUM(Mecze[[#This Row],[/BRI]:[/NPI]])*0.6)</f>
        <v>0.73469387755102034</v>
      </c>
      <c r="AA415" s="10">
        <f>IFERROR(Mecze[[#This Row],[BR]]/Mecze[[#This Row],[ST]],0)</f>
        <v>0</v>
      </c>
      <c r="AB415">
        <f>ROUND(Mecze[[#This Row],[PD]]*Mecze[[#This Row],[%PC]],0)</f>
        <v>10</v>
      </c>
      <c r="AC415">
        <f>ROUND(Mecze[[#This Row],[OD]]*Mecze[[#This Row],[%OU]],0)</f>
        <v>0</v>
      </c>
      <c r="AD415" s="36" t="s">
        <v>273</v>
      </c>
      <c r="AE415" s="36">
        <v>24</v>
      </c>
      <c r="AF415" s="71">
        <v>5.4</v>
      </c>
      <c r="AG415" s="37">
        <v>0</v>
      </c>
      <c r="AH415" s="37">
        <v>0</v>
      </c>
      <c r="AI415" s="37">
        <v>98</v>
      </c>
      <c r="AJ415" s="37">
        <v>11</v>
      </c>
      <c r="AK415" s="37" t="str">
        <f>VLOOKUP(Mecze[[#This Row],[Match ID]],Meczusie[Mecz]:Meczusie[RodzajMeczu],2,FALSE)</f>
        <v>Liga</v>
      </c>
    </row>
    <row r="416" spans="1:37" x14ac:dyDescent="0.25">
      <c r="A416" s="76">
        <v>110</v>
      </c>
      <c r="B416" s="3" t="s">
        <v>333</v>
      </c>
      <c r="C416" s="2" t="s">
        <v>155</v>
      </c>
      <c r="D416" s="1">
        <v>0</v>
      </c>
      <c r="E416" s="1">
        <v>0</v>
      </c>
      <c r="F416" s="1">
        <v>0</v>
      </c>
      <c r="G416" s="1">
        <v>0</v>
      </c>
      <c r="H416" s="72"/>
      <c r="I416" s="1">
        <v>0</v>
      </c>
      <c r="J416" s="4"/>
      <c r="K416" s="1">
        <v>0</v>
      </c>
      <c r="L416" s="1">
        <v>0</v>
      </c>
      <c r="M416" s="32">
        <f>IF(Mecze[[#This Row],[PR]]=0,0,Mecze[[#This Row],[PR]]/Mecze[[#This Row],[CZAS]])</f>
        <v>0</v>
      </c>
      <c r="N416" s="32">
        <f>IF(Mecze[[#This Row],[OU]]=0,0,Mecze[[#This Row],[OU]]/Mecze[[#This Row],[CZAS]])</f>
        <v>0</v>
      </c>
      <c r="O416" s="32">
        <f>IF(Mecze[[#This Row],[PC]]=0,0,Mecze[[#This Row],[PC]]/Mecze[[#This Row],[CZAS]])</f>
        <v>0</v>
      </c>
      <c r="P416" s="32">
        <f>IF(Mecze[[#This Row],[SC]]=0,0,Mecze[[#This Row],[SC]]/Mecze[[#This Row],[CZAS]])</f>
        <v>0</v>
      </c>
      <c r="Q416" s="32">
        <f>IF(Mecze[[#This Row],[OB]]=0,0,Mecze[[#This Row],[OB]]/Mecze[[#This Row],[CZAS]])</f>
        <v>0</v>
      </c>
      <c r="R416" s="32">
        <f>IF(Mecze[[#This Row],[BR]]=0,0,Mecze[[#This Row],[BR]]/Mecze[[#This Row],[CZAS]])</f>
        <v>0</v>
      </c>
      <c r="S416" s="44">
        <f>IF(Mecze[[#This Row],[Role]]="BR",SUMPRODUCT(Mecze[[#This Row],[/PR:90]:[/BR:90]],Brudnopis!$E$23:$J$23),0)</f>
        <v>0</v>
      </c>
      <c r="T416" s="44">
        <f>IF(Mecze[[#This Row],[Role]]&lt;&gt;"BR",SUMPRODUCT(Mecze[[#This Row],[/PR:90]:[/BR:90]],Brudnopis!$E$24:$J$24),0)</f>
        <v>0</v>
      </c>
      <c r="U416" s="44">
        <f>IF(Mecze[[#This Row],[Role]]&lt;&gt;"BR",SUMPRODUCT(Mecze[[#This Row],[/PR:90]:[/BR:90]],Brudnopis!$E$25:$J$25),0)</f>
        <v>0</v>
      </c>
      <c r="V416" s="44">
        <f>IF(Mecze[[#This Row],[Role]]&lt;&gt;"BR",SUMPRODUCT(Mecze[[#This Row],[/PR:90]:[/BR:90]],Brudnopis!$E$26:$J$26),0)</f>
        <v>0</v>
      </c>
      <c r="W416" s="44">
        <f>IF(Mecze[[#This Row],[Role]]&lt;&gt;"BR",SUMPRODUCT(Mecze[[#This Row],[/PR:90]:[/BR:90]],Brudnopis!$E$27:$J$27),0)</f>
        <v>0</v>
      </c>
      <c r="X416" s="44">
        <f>IF(Mecze[[#This Row],[Role]]&lt;&gt;"BR",SUMPRODUCT(Mecze[[#This Row],[/PR:90]:[/BR:90]],Brudnopis!$E$28:$J$28),0)</f>
        <v>0</v>
      </c>
      <c r="Y416" s="35">
        <f>IF(Mecze[[#This Row],[Role]]="BR",Mecze[[#This Row],[/OB:90]]+Mecze[[#This Row],[/PC:90]],SUM(Mecze[[#This Row],[/PR:90]:[/BR:90]]))</f>
        <v>0</v>
      </c>
      <c r="Z416" s="35">
        <f>IF(Mecze[[#This Row],[KC]]=0,SUM(Mecze[[#This Row],[/BRI]:[/NPI]]),SUM(Mecze[[#This Row],[/BRI]:[/NPI]])*0.6)</f>
        <v>0</v>
      </c>
      <c r="AA416" s="10">
        <f>IFERROR(Mecze[[#This Row],[BR]]/Mecze[[#This Row],[ST]],0)</f>
        <v>0</v>
      </c>
      <c r="AB416">
        <f>ROUND(Mecze[[#This Row],[PD]]*Mecze[[#This Row],[%PC]],0)</f>
        <v>0</v>
      </c>
      <c r="AC416">
        <f>ROUND(Mecze[[#This Row],[OD]]*Mecze[[#This Row],[%OU]],0)</f>
        <v>0</v>
      </c>
      <c r="AD416" s="36" t="s">
        <v>40</v>
      </c>
      <c r="AE416" s="36">
        <v>25</v>
      </c>
      <c r="AF416" s="71">
        <v>7.04</v>
      </c>
      <c r="AG416" s="37">
        <v>0</v>
      </c>
      <c r="AH416" s="37">
        <v>0</v>
      </c>
      <c r="AI416" s="37">
        <v>97</v>
      </c>
      <c r="AJ416" s="37">
        <v>7</v>
      </c>
      <c r="AK416" s="37" t="str">
        <f>VLOOKUP(Mecze[[#This Row],[Match ID]],Meczusie[Mecz]:Meczusie[RodzajMeczu],2,FALSE)</f>
        <v>Liga</v>
      </c>
    </row>
    <row r="417" spans="1:37" x14ac:dyDescent="0.25">
      <c r="A417" s="76">
        <v>150</v>
      </c>
      <c r="B417" s="3" t="s">
        <v>335</v>
      </c>
      <c r="C417" s="2" t="s">
        <v>157</v>
      </c>
      <c r="D417" s="1">
        <v>0</v>
      </c>
      <c r="E417" s="1">
        <v>0</v>
      </c>
      <c r="F417" s="1">
        <v>0</v>
      </c>
      <c r="G417" s="1">
        <v>4</v>
      </c>
      <c r="H417" s="4">
        <v>0.75</v>
      </c>
      <c r="I417" s="1">
        <v>0</v>
      </c>
      <c r="J417" s="4"/>
      <c r="K417" s="1">
        <v>0</v>
      </c>
      <c r="L417" s="1">
        <v>4</v>
      </c>
      <c r="M417" s="32">
        <f>IF(Mecze[[#This Row],[PR]]=0,0,Mecze[[#This Row],[PR]]/Mecze[[#This Row],[CZAS]])</f>
        <v>4.1237113402061855E-2</v>
      </c>
      <c r="N417" s="32">
        <f>IF(Mecze[[#This Row],[OU]]=0,0,Mecze[[#This Row],[OU]]/Mecze[[#This Row],[CZAS]])</f>
        <v>0</v>
      </c>
      <c r="O417" s="32">
        <f>IF(Mecze[[#This Row],[PC]]=0,0,Mecze[[#This Row],[PC]]/Mecze[[#This Row],[CZAS]])</f>
        <v>3.0927835051546393E-2</v>
      </c>
      <c r="P417" s="32">
        <f>IF(Mecze[[#This Row],[SC]]=0,0,Mecze[[#This Row],[SC]]/Mecze[[#This Row],[CZAS]])</f>
        <v>0</v>
      </c>
      <c r="Q417" s="32">
        <f>IF(Mecze[[#This Row],[OB]]=0,0,Mecze[[#This Row],[OB]]/Mecze[[#This Row],[CZAS]])</f>
        <v>0</v>
      </c>
      <c r="R417" s="32">
        <f>IF(Mecze[[#This Row],[BR]]=0,0,Mecze[[#This Row],[BR]]/Mecze[[#This Row],[CZAS]])</f>
        <v>0</v>
      </c>
      <c r="S417" s="44">
        <f>IF(Mecze[[#This Row],[Role]]="BR",SUMPRODUCT(Mecze[[#This Row],[/PR:90]:[/BR:90]],Brudnopis!$E$23:$J$23),0)</f>
        <v>0</v>
      </c>
      <c r="T417" s="44">
        <f>IF(Mecze[[#This Row],[Role]]&lt;&gt;"BR",SUMPRODUCT(Mecze[[#This Row],[/PR:90]:[/BR:90]],Brudnopis!$E$24:$J$24),0)</f>
        <v>7.2164948453608241E-2</v>
      </c>
      <c r="U417" s="44">
        <f>IF(Mecze[[#This Row],[Role]]&lt;&gt;"BR",SUMPRODUCT(Mecze[[#This Row],[/PR:90]:[/BR:90]],Brudnopis!$E$25:$J$25),0)</f>
        <v>8.7628865979381437E-2</v>
      </c>
      <c r="V417" s="44">
        <f>IF(Mecze[[#This Row],[Role]]&lt;&gt;"BR",SUMPRODUCT(Mecze[[#This Row],[/PR:90]:[/BR:90]],Brudnopis!$E$26:$J$26),0)</f>
        <v>7.2164948453608241E-2</v>
      </c>
      <c r="W417" s="44">
        <f>IF(Mecze[[#This Row],[Role]]&lt;&gt;"BR",SUMPRODUCT(Mecze[[#This Row],[/PR:90]:[/BR:90]],Brudnopis!$E$27:$J$27),0)</f>
        <v>7.7319587628865982E-2</v>
      </c>
      <c r="X417" s="44">
        <f>IF(Mecze[[#This Row],[Role]]&lt;&gt;"BR",SUMPRODUCT(Mecze[[#This Row],[/PR:90]:[/BR:90]],Brudnopis!$E$28:$J$28),0)</f>
        <v>3.0927835051546393E-2</v>
      </c>
      <c r="Y417" s="35">
        <f>IF(Mecze[[#This Row],[Role]]="BR",Mecze[[#This Row],[/OB:90]]+Mecze[[#This Row],[/PC:90]],SUM(Mecze[[#This Row],[/PR:90]:[/BR:90]]))</f>
        <v>7.2164948453608241E-2</v>
      </c>
      <c r="Z417" s="35">
        <f>IF(Mecze[[#This Row],[KC]]=0,SUM(Mecze[[#This Row],[/BRI]:[/NPI]]),SUM(Mecze[[#This Row],[/BRI]:[/NPI]])*0.6)</f>
        <v>0.34020618556701032</v>
      </c>
      <c r="AA417" s="10">
        <f>IFERROR(Mecze[[#This Row],[BR]]/Mecze[[#This Row],[ST]],0)</f>
        <v>0</v>
      </c>
      <c r="AB417">
        <f>ROUND(Mecze[[#This Row],[PD]]*Mecze[[#This Row],[%PC]],0)</f>
        <v>3</v>
      </c>
      <c r="AC417">
        <f>ROUND(Mecze[[#This Row],[OD]]*Mecze[[#This Row],[%OU]],0)</f>
        <v>0</v>
      </c>
      <c r="AD417" s="36" t="s">
        <v>47</v>
      </c>
      <c r="AE417" s="36">
        <v>25</v>
      </c>
      <c r="AF417" s="71">
        <v>7.88</v>
      </c>
      <c r="AG417" s="37">
        <v>0</v>
      </c>
      <c r="AH417" s="37">
        <v>0</v>
      </c>
      <c r="AI417" s="37">
        <v>97</v>
      </c>
      <c r="AJ417" s="37">
        <v>7</v>
      </c>
      <c r="AK417" s="37" t="str">
        <f>VLOOKUP(Mecze[[#This Row],[Match ID]],Meczusie[Mecz]:Meczusie[RodzajMeczu],2,FALSE)</f>
        <v>Liga</v>
      </c>
    </row>
    <row r="418" spans="1:37" x14ac:dyDescent="0.25">
      <c r="A418" s="76">
        <v>109</v>
      </c>
      <c r="B418" s="3" t="s">
        <v>404</v>
      </c>
      <c r="C418" s="2" t="s">
        <v>157</v>
      </c>
      <c r="D418" s="1">
        <v>0</v>
      </c>
      <c r="E418" s="1">
        <v>0</v>
      </c>
      <c r="F418" s="1">
        <v>0</v>
      </c>
      <c r="G418" s="1">
        <v>0</v>
      </c>
      <c r="H418" s="72"/>
      <c r="I418" s="1">
        <v>0</v>
      </c>
      <c r="J418" s="4"/>
      <c r="K418" s="1">
        <v>0</v>
      </c>
      <c r="L418" s="1">
        <v>0</v>
      </c>
      <c r="M418" s="32">
        <f>IF(Mecze[[#This Row],[PR]]=0,0,Mecze[[#This Row],[PR]]/Mecze[[#This Row],[CZAS]])</f>
        <v>0</v>
      </c>
      <c r="N418" s="32">
        <f>IF(Mecze[[#This Row],[OU]]=0,0,Mecze[[#This Row],[OU]]/Mecze[[#This Row],[CZAS]])</f>
        <v>0</v>
      </c>
      <c r="O418" s="32">
        <f>IF(Mecze[[#This Row],[PC]]=0,0,Mecze[[#This Row],[PC]]/Mecze[[#This Row],[CZAS]])</f>
        <v>0</v>
      </c>
      <c r="P418" s="32">
        <f>IF(Mecze[[#This Row],[SC]]=0,0,Mecze[[#This Row],[SC]]/Mecze[[#This Row],[CZAS]])</f>
        <v>0</v>
      </c>
      <c r="Q418" s="32">
        <f>IF(Mecze[[#This Row],[OB]]=0,0,Mecze[[#This Row],[OB]]/Mecze[[#This Row],[CZAS]])</f>
        <v>0</v>
      </c>
      <c r="R418" s="32">
        <f>IF(Mecze[[#This Row],[BR]]=0,0,Mecze[[#This Row],[BR]]/Mecze[[#This Row],[CZAS]])</f>
        <v>0</v>
      </c>
      <c r="S418" s="44">
        <f>IF(Mecze[[#This Row],[Role]]="BR",SUMPRODUCT(Mecze[[#This Row],[/PR:90]:[/BR:90]],Brudnopis!$E$23:$J$23),0)</f>
        <v>0</v>
      </c>
      <c r="T418" s="44">
        <f>IF(Mecze[[#This Row],[Role]]&lt;&gt;"BR",SUMPRODUCT(Mecze[[#This Row],[/PR:90]:[/BR:90]],Brudnopis!$E$24:$J$24),0)</f>
        <v>0</v>
      </c>
      <c r="U418" s="44">
        <f>IF(Mecze[[#This Row],[Role]]&lt;&gt;"BR",SUMPRODUCT(Mecze[[#This Row],[/PR:90]:[/BR:90]],Brudnopis!$E$25:$J$25),0)</f>
        <v>0</v>
      </c>
      <c r="V418" s="44">
        <f>IF(Mecze[[#This Row],[Role]]&lt;&gt;"BR",SUMPRODUCT(Mecze[[#This Row],[/PR:90]:[/BR:90]],Brudnopis!$E$26:$J$26),0)</f>
        <v>0</v>
      </c>
      <c r="W418" s="44">
        <f>IF(Mecze[[#This Row],[Role]]&lt;&gt;"BR",SUMPRODUCT(Mecze[[#This Row],[/PR:90]:[/BR:90]],Brudnopis!$E$27:$J$27),0)</f>
        <v>0</v>
      </c>
      <c r="X418" s="44">
        <f>IF(Mecze[[#This Row],[Role]]&lt;&gt;"BR",SUMPRODUCT(Mecze[[#This Row],[/PR:90]:[/BR:90]],Brudnopis!$E$28:$J$28),0)</f>
        <v>0</v>
      </c>
      <c r="Y418" s="35">
        <f>IF(Mecze[[#This Row],[Role]]="BR",Mecze[[#This Row],[/OB:90]]+Mecze[[#This Row],[/PC:90]],SUM(Mecze[[#This Row],[/PR:90]:[/BR:90]]))</f>
        <v>0</v>
      </c>
      <c r="Z418" s="35">
        <f>IF(Mecze[[#This Row],[KC]]=0,SUM(Mecze[[#This Row],[/BRI]:[/NPI]]),SUM(Mecze[[#This Row],[/BRI]:[/NPI]])*0.6)</f>
        <v>0</v>
      </c>
      <c r="AA418" s="10">
        <f>IFERROR(Mecze[[#This Row],[BR]]/Mecze[[#This Row],[ST]],0)</f>
        <v>0</v>
      </c>
      <c r="AB418">
        <f>ROUND(Mecze[[#This Row],[PD]]*Mecze[[#This Row],[%PC]],0)</f>
        <v>0</v>
      </c>
      <c r="AC418">
        <f>ROUND(Mecze[[#This Row],[OD]]*Mecze[[#This Row],[%OU]],0)</f>
        <v>0</v>
      </c>
      <c r="AD418" s="36" t="s">
        <v>167</v>
      </c>
      <c r="AE418" s="36">
        <v>25</v>
      </c>
      <c r="AF418" s="71">
        <v>7.04</v>
      </c>
      <c r="AG418" s="37">
        <v>0</v>
      </c>
      <c r="AH418" s="37">
        <v>0</v>
      </c>
      <c r="AI418" s="37">
        <v>97</v>
      </c>
      <c r="AJ418" s="37">
        <v>7</v>
      </c>
      <c r="AK418" s="37" t="str">
        <f>VLOOKUP(Mecze[[#This Row],[Match ID]],Meczusie[Mecz]:Meczusie[RodzajMeczu],2,FALSE)</f>
        <v>Liga</v>
      </c>
    </row>
    <row r="419" spans="1:37" x14ac:dyDescent="0.25">
      <c r="A419" s="76">
        <v>76</v>
      </c>
      <c r="B419" s="3" t="s">
        <v>336</v>
      </c>
      <c r="C419" s="2" t="s">
        <v>157</v>
      </c>
      <c r="D419" s="1">
        <v>0</v>
      </c>
      <c r="E419" s="1">
        <v>0</v>
      </c>
      <c r="F419" s="1">
        <v>0</v>
      </c>
      <c r="G419" s="1">
        <v>2</v>
      </c>
      <c r="H419" s="4">
        <v>1</v>
      </c>
      <c r="I419" s="1">
        <v>0</v>
      </c>
      <c r="J419" s="4"/>
      <c r="K419" s="1">
        <v>0</v>
      </c>
      <c r="L419" s="1">
        <v>5</v>
      </c>
      <c r="M419" s="32">
        <f>IF(Mecze[[#This Row],[PR]]=0,0,Mecze[[#This Row],[PR]]/Mecze[[#This Row],[CZAS]])</f>
        <v>5.1546391752577317E-2</v>
      </c>
      <c r="N419" s="32">
        <f>IF(Mecze[[#This Row],[OU]]=0,0,Mecze[[#This Row],[OU]]/Mecze[[#This Row],[CZAS]])</f>
        <v>0</v>
      </c>
      <c r="O419" s="32">
        <f>IF(Mecze[[#This Row],[PC]]=0,0,Mecze[[#This Row],[PC]]/Mecze[[#This Row],[CZAS]])</f>
        <v>2.0618556701030927E-2</v>
      </c>
      <c r="P419" s="32">
        <f>IF(Mecze[[#This Row],[SC]]=0,0,Mecze[[#This Row],[SC]]/Mecze[[#This Row],[CZAS]])</f>
        <v>0</v>
      </c>
      <c r="Q419" s="32">
        <f>IF(Mecze[[#This Row],[OB]]=0,0,Mecze[[#This Row],[OB]]/Mecze[[#This Row],[CZAS]])</f>
        <v>0</v>
      </c>
      <c r="R419" s="32">
        <f>IF(Mecze[[#This Row],[BR]]=0,0,Mecze[[#This Row],[BR]]/Mecze[[#This Row],[CZAS]])</f>
        <v>0</v>
      </c>
      <c r="S419" s="44">
        <f>IF(Mecze[[#This Row],[Role]]="BR",SUMPRODUCT(Mecze[[#This Row],[/PR:90]:[/BR:90]],Brudnopis!$E$23:$J$23),0)</f>
        <v>0</v>
      </c>
      <c r="T419" s="44">
        <f>IF(Mecze[[#This Row],[Role]]&lt;&gt;"BR",SUMPRODUCT(Mecze[[#This Row],[/PR:90]:[/BR:90]],Brudnopis!$E$24:$J$24),0)</f>
        <v>7.2164948453608241E-2</v>
      </c>
      <c r="U419" s="44">
        <f>IF(Mecze[[#This Row],[Role]]&lt;&gt;"BR",SUMPRODUCT(Mecze[[#This Row],[/PR:90]:[/BR:90]],Brudnopis!$E$25:$J$25),0)</f>
        <v>8.247422680412371E-2</v>
      </c>
      <c r="V419" s="44">
        <f>IF(Mecze[[#This Row],[Role]]&lt;&gt;"BR",SUMPRODUCT(Mecze[[#This Row],[/PR:90]:[/BR:90]],Brudnopis!$E$26:$J$26),0)</f>
        <v>7.2164948453608241E-2</v>
      </c>
      <c r="W419" s="44">
        <f>IF(Mecze[[#This Row],[Role]]&lt;&gt;"BR",SUMPRODUCT(Mecze[[#This Row],[/PR:90]:[/BR:90]],Brudnopis!$E$27:$J$27),0)</f>
        <v>6.9587628865979384E-2</v>
      </c>
      <c r="X419" s="44">
        <f>IF(Mecze[[#This Row],[Role]]&lt;&gt;"BR",SUMPRODUCT(Mecze[[#This Row],[/PR:90]:[/BR:90]],Brudnopis!$E$28:$J$28),0)</f>
        <v>2.0618556701030927E-2</v>
      </c>
      <c r="Y419" s="35">
        <f>IF(Mecze[[#This Row],[Role]]="BR",Mecze[[#This Row],[/OB:90]]+Mecze[[#This Row],[/PC:90]],SUM(Mecze[[#This Row],[/PR:90]:[/BR:90]]))</f>
        <v>7.2164948453608241E-2</v>
      </c>
      <c r="Z419" s="35">
        <f>IF(Mecze[[#This Row],[KC]]=0,SUM(Mecze[[#This Row],[/BRI]:[/NPI]]),SUM(Mecze[[#This Row],[/BRI]:[/NPI]])*0.6)</f>
        <v>0.3170103092783505</v>
      </c>
      <c r="AA419" s="10">
        <f>IFERROR(Mecze[[#This Row],[BR]]/Mecze[[#This Row],[ST]],0)</f>
        <v>0</v>
      </c>
      <c r="AB419">
        <f>ROUND(Mecze[[#This Row],[PD]]*Mecze[[#This Row],[%PC]],0)</f>
        <v>2</v>
      </c>
      <c r="AC419">
        <f>ROUND(Mecze[[#This Row],[OD]]*Mecze[[#This Row],[%OU]],0)</f>
        <v>0</v>
      </c>
      <c r="AD419" s="36" t="s">
        <v>168</v>
      </c>
      <c r="AE419" s="36">
        <v>25</v>
      </c>
      <c r="AF419" s="71">
        <v>8.09</v>
      </c>
      <c r="AG419" s="37">
        <v>0</v>
      </c>
      <c r="AH419" s="37">
        <v>0</v>
      </c>
      <c r="AI419" s="37">
        <v>97</v>
      </c>
      <c r="AJ419" s="37">
        <v>7</v>
      </c>
      <c r="AK419" s="37" t="str">
        <f>VLOOKUP(Mecze[[#This Row],[Match ID]],Meczusie[Mecz]:Meczusie[RodzajMeczu],2,FALSE)</f>
        <v>Liga</v>
      </c>
    </row>
    <row r="420" spans="1:37" x14ac:dyDescent="0.25">
      <c r="A420" s="76">
        <v>151</v>
      </c>
      <c r="B420" s="3" t="s">
        <v>337</v>
      </c>
      <c r="C420" s="2" t="s">
        <v>160</v>
      </c>
      <c r="D420" s="1">
        <v>0</v>
      </c>
      <c r="E420" s="1">
        <v>0</v>
      </c>
      <c r="F420" s="1">
        <v>0</v>
      </c>
      <c r="G420" s="1">
        <v>6</v>
      </c>
      <c r="H420" s="4">
        <v>1</v>
      </c>
      <c r="I420" s="1">
        <v>2</v>
      </c>
      <c r="J420" s="4">
        <v>0.5</v>
      </c>
      <c r="K420" s="1">
        <v>0</v>
      </c>
      <c r="L420" s="1">
        <v>3</v>
      </c>
      <c r="M420" s="32">
        <f>IF(Mecze[[#This Row],[PR]]=0,0,Mecze[[#This Row],[PR]]/Mecze[[#This Row],[CZAS]])</f>
        <v>3.0927835051546393E-2</v>
      </c>
      <c r="N420" s="32">
        <f>IF(Mecze[[#This Row],[OU]]=0,0,Mecze[[#This Row],[OU]]/Mecze[[#This Row],[CZAS]])</f>
        <v>1.0309278350515464E-2</v>
      </c>
      <c r="O420" s="32">
        <f>IF(Mecze[[#This Row],[PC]]=0,0,Mecze[[#This Row],[PC]]/Mecze[[#This Row],[CZAS]])</f>
        <v>6.1855670103092786E-2</v>
      </c>
      <c r="P420" s="32">
        <f>IF(Mecze[[#This Row],[SC]]=0,0,Mecze[[#This Row],[SC]]/Mecze[[#This Row],[CZAS]])</f>
        <v>0</v>
      </c>
      <c r="Q420" s="32">
        <f>IF(Mecze[[#This Row],[OB]]=0,0,Mecze[[#This Row],[OB]]/Mecze[[#This Row],[CZAS]])</f>
        <v>0</v>
      </c>
      <c r="R420" s="32">
        <f>IF(Mecze[[#This Row],[BR]]=0,0,Mecze[[#This Row],[BR]]/Mecze[[#This Row],[CZAS]])</f>
        <v>0</v>
      </c>
      <c r="S420" s="44">
        <f>IF(Mecze[[#This Row],[Role]]="BR",SUMPRODUCT(Mecze[[#This Row],[/PR:90]:[/BR:90]],Brudnopis!$E$23:$J$23),0)</f>
        <v>0</v>
      </c>
      <c r="T420" s="44">
        <f>IF(Mecze[[#This Row],[Role]]&lt;&gt;"BR",SUMPRODUCT(Mecze[[#This Row],[/PR:90]:[/BR:90]],Brudnopis!$E$24:$J$24),0)</f>
        <v>0.10824742268041238</v>
      </c>
      <c r="U420" s="44">
        <f>IF(Mecze[[#This Row],[Role]]&lt;&gt;"BR",SUMPRODUCT(Mecze[[#This Row],[/PR:90]:[/BR:90]],Brudnopis!$E$25:$J$25),0)</f>
        <v>0.13402061855670103</v>
      </c>
      <c r="V420" s="44">
        <f>IF(Mecze[[#This Row],[Role]]&lt;&gt;"BR",SUMPRODUCT(Mecze[[#This Row],[/PR:90]:[/BR:90]],Brudnopis!$E$26:$J$26),0)</f>
        <v>0.10309278350515463</v>
      </c>
      <c r="W420" s="44">
        <f>IF(Mecze[[#This Row],[Role]]&lt;&gt;"BR",SUMPRODUCT(Mecze[[#This Row],[/PR:90]:[/BR:90]],Brudnopis!$E$27:$J$27),0)</f>
        <v>0.12371134020618557</v>
      </c>
      <c r="X420" s="44">
        <f>IF(Mecze[[#This Row],[Role]]&lt;&gt;"BR",SUMPRODUCT(Mecze[[#This Row],[/PR:90]:[/BR:90]],Brudnopis!$E$28:$J$28),0)</f>
        <v>6.1855670103092786E-2</v>
      </c>
      <c r="Y420" s="35">
        <f>IF(Mecze[[#This Row],[Role]]="BR",Mecze[[#This Row],[/OB:90]]+Mecze[[#This Row],[/PC:90]],SUM(Mecze[[#This Row],[/PR:90]:[/BR:90]]))</f>
        <v>0.10309278350515463</v>
      </c>
      <c r="Z420" s="35">
        <f>IF(Mecze[[#This Row],[KC]]=0,SUM(Mecze[[#This Row],[/BRI]:[/NPI]]),SUM(Mecze[[#This Row],[/BRI]:[/NPI]])*0.6)</f>
        <v>0.53092783505154639</v>
      </c>
      <c r="AA420" s="10">
        <f>IFERROR(Mecze[[#This Row],[BR]]/Mecze[[#This Row],[ST]],0)</f>
        <v>0</v>
      </c>
      <c r="AB420">
        <f>ROUND(Mecze[[#This Row],[PD]]*Mecze[[#This Row],[%PC]],0)</f>
        <v>6</v>
      </c>
      <c r="AC420">
        <f>ROUND(Mecze[[#This Row],[OD]]*Mecze[[#This Row],[%OU]],0)</f>
        <v>1</v>
      </c>
      <c r="AD420" s="36" t="s">
        <v>41</v>
      </c>
      <c r="AE420" s="36">
        <v>25</v>
      </c>
      <c r="AF420" s="71">
        <v>11</v>
      </c>
      <c r="AG420" s="37">
        <v>0</v>
      </c>
      <c r="AH420" s="37">
        <v>0</v>
      </c>
      <c r="AI420" s="37">
        <v>97</v>
      </c>
      <c r="AJ420" s="37">
        <v>7</v>
      </c>
      <c r="AK420" s="37" t="str">
        <f>VLOOKUP(Mecze[[#This Row],[Match ID]],Meczusie[Mecz]:Meczusie[RodzajMeczu],2,FALSE)</f>
        <v>Liga</v>
      </c>
    </row>
    <row r="421" spans="1:37" x14ac:dyDescent="0.25">
      <c r="A421" s="76">
        <v>159</v>
      </c>
      <c r="B421" s="3" t="s">
        <v>338</v>
      </c>
      <c r="C421" s="2" t="s">
        <v>160</v>
      </c>
      <c r="D421" s="1">
        <v>0</v>
      </c>
      <c r="E421" s="1">
        <v>0</v>
      </c>
      <c r="F421" s="1">
        <v>0</v>
      </c>
      <c r="G421" s="1">
        <v>16</v>
      </c>
      <c r="H421" s="4">
        <v>0.88</v>
      </c>
      <c r="I421" s="1">
        <v>1</v>
      </c>
      <c r="J421" s="4">
        <v>1</v>
      </c>
      <c r="K421" s="1">
        <v>0</v>
      </c>
      <c r="L421" s="1">
        <v>10</v>
      </c>
      <c r="M421" s="32">
        <f>IF(Mecze[[#This Row],[PR]]=0,0,Mecze[[#This Row],[PR]]/Mecze[[#This Row],[CZAS]])</f>
        <v>0.10309278350515463</v>
      </c>
      <c r="N421" s="32">
        <f>IF(Mecze[[#This Row],[OU]]=0,0,Mecze[[#This Row],[OU]]/Mecze[[#This Row],[CZAS]])</f>
        <v>1.0309278350515464E-2</v>
      </c>
      <c r="O421" s="32">
        <f>IF(Mecze[[#This Row],[PC]]=0,0,Mecze[[#This Row],[PC]]/Mecze[[#This Row],[CZAS]])</f>
        <v>0.14432989690721648</v>
      </c>
      <c r="P421" s="32">
        <f>IF(Mecze[[#This Row],[SC]]=0,0,Mecze[[#This Row],[SC]]/Mecze[[#This Row],[CZAS]])</f>
        <v>0</v>
      </c>
      <c r="Q421" s="32">
        <f>IF(Mecze[[#This Row],[OB]]=0,0,Mecze[[#This Row],[OB]]/Mecze[[#This Row],[CZAS]])</f>
        <v>0</v>
      </c>
      <c r="R421" s="32">
        <f>IF(Mecze[[#This Row],[BR]]=0,0,Mecze[[#This Row],[BR]]/Mecze[[#This Row],[CZAS]])</f>
        <v>0</v>
      </c>
      <c r="S421" s="44">
        <f>IF(Mecze[[#This Row],[Role]]="BR",SUMPRODUCT(Mecze[[#This Row],[/PR:90]:[/BR:90]],Brudnopis!$E$23:$J$23),0)</f>
        <v>0</v>
      </c>
      <c r="T421" s="44">
        <f>IF(Mecze[[#This Row],[Role]]&lt;&gt;"BR",SUMPRODUCT(Mecze[[#This Row],[/PR:90]:[/BR:90]],Brudnopis!$E$24:$J$24),0)</f>
        <v>0.26288659793814428</v>
      </c>
      <c r="U421" s="44">
        <f>IF(Mecze[[#This Row],[Role]]&lt;&gt;"BR",SUMPRODUCT(Mecze[[#This Row],[/PR:90]:[/BR:90]],Brudnopis!$E$25:$J$25),0)</f>
        <v>0.32989690721649484</v>
      </c>
      <c r="V421" s="44">
        <f>IF(Mecze[[#This Row],[Role]]&lt;&gt;"BR",SUMPRODUCT(Mecze[[#This Row],[/PR:90]:[/BR:90]],Brudnopis!$E$26:$J$26),0)</f>
        <v>0.25773195876288657</v>
      </c>
      <c r="W421" s="44">
        <f>IF(Mecze[[#This Row],[Role]]&lt;&gt;"BR",SUMPRODUCT(Mecze[[#This Row],[/PR:90]:[/BR:90]],Brudnopis!$E$27:$J$27),0)</f>
        <v>0.3015463917525773</v>
      </c>
      <c r="X421" s="44">
        <f>IF(Mecze[[#This Row],[Role]]&lt;&gt;"BR",SUMPRODUCT(Mecze[[#This Row],[/PR:90]:[/BR:90]],Brudnopis!$E$28:$J$28),0)</f>
        <v>0.14432989690721648</v>
      </c>
      <c r="Y421" s="35">
        <f>IF(Mecze[[#This Row],[Role]]="BR",Mecze[[#This Row],[/OB:90]]+Mecze[[#This Row],[/PC:90]],SUM(Mecze[[#This Row],[/PR:90]:[/BR:90]]))</f>
        <v>0.25773195876288657</v>
      </c>
      <c r="Z421" s="35">
        <f>IF(Mecze[[#This Row],[KC]]=0,SUM(Mecze[[#This Row],[/BRI]:[/NPI]]),SUM(Mecze[[#This Row],[/BRI]:[/NPI]])*0.6)</f>
        <v>1.2963917525773194</v>
      </c>
      <c r="AA421" s="10">
        <f>IFERROR(Mecze[[#This Row],[BR]]/Mecze[[#This Row],[ST]],0)</f>
        <v>0</v>
      </c>
      <c r="AB421">
        <f>ROUND(Mecze[[#This Row],[PD]]*Mecze[[#This Row],[%PC]],0)</f>
        <v>14</v>
      </c>
      <c r="AC421">
        <f>ROUND(Mecze[[#This Row],[OD]]*Mecze[[#This Row],[%OU]],0)</f>
        <v>1</v>
      </c>
      <c r="AD421" s="36" t="s">
        <v>41</v>
      </c>
      <c r="AE421" s="36">
        <v>25</v>
      </c>
      <c r="AF421" s="71">
        <v>11.26</v>
      </c>
      <c r="AG421" s="37">
        <v>0</v>
      </c>
      <c r="AH421" s="37">
        <v>0</v>
      </c>
      <c r="AI421" s="37">
        <v>97</v>
      </c>
      <c r="AJ421" s="37">
        <v>7</v>
      </c>
      <c r="AK421" s="37" t="str">
        <f>VLOOKUP(Mecze[[#This Row],[Match ID]],Meczusie[Mecz]:Meczusie[RodzajMeczu],2,FALSE)</f>
        <v>Liga</v>
      </c>
    </row>
    <row r="422" spans="1:37" x14ac:dyDescent="0.25">
      <c r="A422" s="76">
        <v>200</v>
      </c>
      <c r="B422" s="3" t="s">
        <v>339</v>
      </c>
      <c r="C422" s="2" t="s">
        <v>160</v>
      </c>
      <c r="D422" s="1">
        <v>0</v>
      </c>
      <c r="E422" s="1">
        <v>0</v>
      </c>
      <c r="F422" s="1">
        <v>0</v>
      </c>
      <c r="G422" s="1">
        <v>9</v>
      </c>
      <c r="H422" s="4">
        <v>0.56000000000000005</v>
      </c>
      <c r="I422" s="1">
        <v>7</v>
      </c>
      <c r="J422" s="4">
        <v>0.56999999999999995</v>
      </c>
      <c r="K422" s="1">
        <v>0</v>
      </c>
      <c r="L422" s="1">
        <v>6</v>
      </c>
      <c r="M422" s="32">
        <f>IF(Mecze[[#This Row],[PR]]=0,0,Mecze[[#This Row],[PR]]/Mecze[[#This Row],[CZAS]])</f>
        <v>6.1855670103092786E-2</v>
      </c>
      <c r="N422" s="32">
        <f>IF(Mecze[[#This Row],[OU]]=0,0,Mecze[[#This Row],[OU]]/Mecze[[#This Row],[CZAS]])</f>
        <v>4.1237113402061855E-2</v>
      </c>
      <c r="O422" s="32">
        <f>IF(Mecze[[#This Row],[PC]]=0,0,Mecze[[#This Row],[PC]]/Mecze[[#This Row],[CZAS]])</f>
        <v>5.1546391752577317E-2</v>
      </c>
      <c r="P422" s="32">
        <f>IF(Mecze[[#This Row],[SC]]=0,0,Mecze[[#This Row],[SC]]/Mecze[[#This Row],[CZAS]])</f>
        <v>0</v>
      </c>
      <c r="Q422" s="32">
        <f>IF(Mecze[[#This Row],[OB]]=0,0,Mecze[[#This Row],[OB]]/Mecze[[#This Row],[CZAS]])</f>
        <v>0</v>
      </c>
      <c r="R422" s="32">
        <f>IF(Mecze[[#This Row],[BR]]=0,0,Mecze[[#This Row],[BR]]/Mecze[[#This Row],[CZAS]])</f>
        <v>0</v>
      </c>
      <c r="S422" s="44">
        <f>IF(Mecze[[#This Row],[Role]]="BR",SUMPRODUCT(Mecze[[#This Row],[/PR:90]:[/BR:90]],Brudnopis!$E$23:$J$23),0)</f>
        <v>0</v>
      </c>
      <c r="T422" s="44">
        <f>IF(Mecze[[#This Row],[Role]]&lt;&gt;"BR",SUMPRODUCT(Mecze[[#This Row],[/PR:90]:[/BR:90]],Brudnopis!$E$24:$J$24),0)</f>
        <v>0.17525773195876287</v>
      </c>
      <c r="U422" s="44">
        <f>IF(Mecze[[#This Row],[Role]]&lt;&gt;"BR",SUMPRODUCT(Mecze[[#This Row],[/PR:90]:[/BR:90]],Brudnopis!$E$25:$J$25),0)</f>
        <v>0.18041237113402062</v>
      </c>
      <c r="V422" s="44">
        <f>IF(Mecze[[#This Row],[Role]]&lt;&gt;"BR",SUMPRODUCT(Mecze[[#This Row],[/PR:90]:[/BR:90]],Brudnopis!$E$26:$J$26),0)</f>
        <v>0.15463917525773196</v>
      </c>
      <c r="W422" s="44">
        <f>IF(Mecze[[#This Row],[Role]]&lt;&gt;"BR",SUMPRODUCT(Mecze[[#This Row],[/PR:90]:[/BR:90]],Brudnopis!$E$27:$J$27),0)</f>
        <v>0.15463917525773196</v>
      </c>
      <c r="X422" s="44">
        <f>IF(Mecze[[#This Row],[Role]]&lt;&gt;"BR",SUMPRODUCT(Mecze[[#This Row],[/PR:90]:[/BR:90]],Brudnopis!$E$28:$J$28),0)</f>
        <v>5.1546391752577317E-2</v>
      </c>
      <c r="Y422" s="35">
        <f>IF(Mecze[[#This Row],[Role]]="BR",Mecze[[#This Row],[/OB:90]]+Mecze[[#This Row],[/PC:90]],SUM(Mecze[[#This Row],[/PR:90]:[/BR:90]]))</f>
        <v>0.15463917525773196</v>
      </c>
      <c r="Z422" s="35">
        <f>IF(Mecze[[#This Row],[KC]]=0,SUM(Mecze[[#This Row],[/BRI]:[/NPI]]),SUM(Mecze[[#This Row],[/BRI]:[/NPI]])*0.6)</f>
        <v>0.71649484536082475</v>
      </c>
      <c r="AA422" s="10">
        <f>IFERROR(Mecze[[#This Row],[BR]]/Mecze[[#This Row],[ST]],0)</f>
        <v>0</v>
      </c>
      <c r="AB422">
        <f>ROUND(Mecze[[#This Row],[PD]]*Mecze[[#This Row],[%PC]],0)</f>
        <v>5</v>
      </c>
      <c r="AC422">
        <f>ROUND(Mecze[[#This Row],[OD]]*Mecze[[#This Row],[%OU]],0)</f>
        <v>4</v>
      </c>
      <c r="AD422" s="36" t="s">
        <v>67</v>
      </c>
      <c r="AE422" s="36">
        <v>25</v>
      </c>
      <c r="AF422" s="71">
        <v>9.51</v>
      </c>
      <c r="AG422" s="37">
        <v>0</v>
      </c>
      <c r="AH422" s="37">
        <v>0</v>
      </c>
      <c r="AI422" s="37">
        <v>97</v>
      </c>
      <c r="AJ422" s="37">
        <v>7</v>
      </c>
      <c r="AK422" s="37" t="str">
        <f>VLOOKUP(Mecze[[#This Row],[Match ID]],Meczusie[Mecz]:Meczusie[RodzajMeczu],2,FALSE)</f>
        <v>Liga</v>
      </c>
    </row>
    <row r="423" spans="1:37" x14ac:dyDescent="0.25">
      <c r="A423" s="76">
        <v>70</v>
      </c>
      <c r="B423" s="3" t="s">
        <v>341</v>
      </c>
      <c r="C423" s="2" t="s">
        <v>160</v>
      </c>
      <c r="D423" s="1">
        <v>0</v>
      </c>
      <c r="E423" s="1">
        <v>0</v>
      </c>
      <c r="F423" s="1">
        <v>0</v>
      </c>
      <c r="G423" s="1">
        <v>11</v>
      </c>
      <c r="H423" s="4">
        <v>0.91</v>
      </c>
      <c r="I423" s="1">
        <v>0</v>
      </c>
      <c r="J423" s="4"/>
      <c r="K423" s="1">
        <v>0</v>
      </c>
      <c r="L423" s="1">
        <v>0</v>
      </c>
      <c r="M423" s="32">
        <f>IF(Mecze[[#This Row],[PR]]=0,0,Mecze[[#This Row],[PR]]/Mecze[[#This Row],[CZAS]])</f>
        <v>0</v>
      </c>
      <c r="N423" s="32">
        <f>IF(Mecze[[#This Row],[OU]]=0,0,Mecze[[#This Row],[OU]]/Mecze[[#This Row],[CZAS]])</f>
        <v>0</v>
      </c>
      <c r="O423" s="32">
        <f>IF(Mecze[[#This Row],[PC]]=0,0,Mecze[[#This Row],[PC]]/Mecze[[#This Row],[CZAS]])</f>
        <v>0.10309278350515463</v>
      </c>
      <c r="P423" s="32">
        <f>IF(Mecze[[#This Row],[SC]]=0,0,Mecze[[#This Row],[SC]]/Mecze[[#This Row],[CZAS]])</f>
        <v>0</v>
      </c>
      <c r="Q423" s="32">
        <f>IF(Mecze[[#This Row],[OB]]=0,0,Mecze[[#This Row],[OB]]/Mecze[[#This Row],[CZAS]])</f>
        <v>0</v>
      </c>
      <c r="R423" s="32">
        <f>IF(Mecze[[#This Row],[BR]]=0,0,Mecze[[#This Row],[BR]]/Mecze[[#This Row],[CZAS]])</f>
        <v>0</v>
      </c>
      <c r="S423" s="44">
        <f>IF(Mecze[[#This Row],[Role]]="BR",SUMPRODUCT(Mecze[[#This Row],[/PR:90]:[/BR:90]],Brudnopis!$E$23:$J$23),0)</f>
        <v>0</v>
      </c>
      <c r="T423" s="44">
        <f>IF(Mecze[[#This Row],[Role]]&lt;&gt;"BR",SUMPRODUCT(Mecze[[#This Row],[/PR:90]:[/BR:90]],Brudnopis!$E$24:$J$24),0)</f>
        <v>0.10309278350515463</v>
      </c>
      <c r="U423" s="44">
        <f>IF(Mecze[[#This Row],[Role]]&lt;&gt;"BR",SUMPRODUCT(Mecze[[#This Row],[/PR:90]:[/BR:90]],Brudnopis!$E$25:$J$25),0)</f>
        <v>0.15463917525773196</v>
      </c>
      <c r="V423" s="44">
        <f>IF(Mecze[[#This Row],[Role]]&lt;&gt;"BR",SUMPRODUCT(Mecze[[#This Row],[/PR:90]:[/BR:90]],Brudnopis!$E$26:$J$26),0)</f>
        <v>0.10309278350515463</v>
      </c>
      <c r="W423" s="44">
        <f>IF(Mecze[[#This Row],[Role]]&lt;&gt;"BR",SUMPRODUCT(Mecze[[#This Row],[/PR:90]:[/BR:90]],Brudnopis!$E$27:$J$27),0)</f>
        <v>0.15463917525773196</v>
      </c>
      <c r="X423" s="44">
        <f>IF(Mecze[[#This Row],[Role]]&lt;&gt;"BR",SUMPRODUCT(Mecze[[#This Row],[/PR:90]:[/BR:90]],Brudnopis!$E$28:$J$28),0)</f>
        <v>0.10309278350515463</v>
      </c>
      <c r="Y423" s="35">
        <f>IF(Mecze[[#This Row],[Role]]="BR",Mecze[[#This Row],[/OB:90]]+Mecze[[#This Row],[/PC:90]],SUM(Mecze[[#This Row],[/PR:90]:[/BR:90]]))</f>
        <v>0.10309278350515463</v>
      </c>
      <c r="Z423" s="35">
        <f>IF(Mecze[[#This Row],[KC]]=0,SUM(Mecze[[#This Row],[/BRI]:[/NPI]]),SUM(Mecze[[#This Row],[/BRI]:[/NPI]])*0.6)</f>
        <v>0.61855670103092775</v>
      </c>
      <c r="AA423" s="10">
        <f>IFERROR(Mecze[[#This Row],[BR]]/Mecze[[#This Row],[ST]],0)</f>
        <v>0</v>
      </c>
      <c r="AB423">
        <f>ROUND(Mecze[[#This Row],[PD]]*Mecze[[#This Row],[%PC]],0)</f>
        <v>10</v>
      </c>
      <c r="AC423">
        <f>ROUND(Mecze[[#This Row],[OD]]*Mecze[[#This Row],[%OU]],0)</f>
        <v>0</v>
      </c>
      <c r="AD423" s="36" t="s">
        <v>299</v>
      </c>
      <c r="AE423" s="36">
        <v>25</v>
      </c>
      <c r="AF423" s="71">
        <v>9.16</v>
      </c>
      <c r="AG423" s="37">
        <v>0</v>
      </c>
      <c r="AH423" s="37">
        <v>0</v>
      </c>
      <c r="AI423" s="37">
        <v>97</v>
      </c>
      <c r="AJ423" s="37">
        <v>7</v>
      </c>
      <c r="AK423" s="37" t="str">
        <f>VLOOKUP(Mecze[[#This Row],[Match ID]],Meczusie[Mecz]:Meczusie[RodzajMeczu],2,FALSE)</f>
        <v>Liga</v>
      </c>
    </row>
    <row r="424" spans="1:37" x14ac:dyDescent="0.25">
      <c r="A424" s="76">
        <v>202</v>
      </c>
      <c r="B424" s="3" t="s">
        <v>340</v>
      </c>
      <c r="C424" s="2" t="s">
        <v>160</v>
      </c>
      <c r="D424" s="1">
        <v>0</v>
      </c>
      <c r="E424" s="1">
        <v>2</v>
      </c>
      <c r="F424" s="1">
        <v>1</v>
      </c>
      <c r="G424" s="1">
        <v>6</v>
      </c>
      <c r="H424" s="4">
        <v>0.5</v>
      </c>
      <c r="I424" s="1">
        <v>2</v>
      </c>
      <c r="J424" s="4">
        <v>0</v>
      </c>
      <c r="K424" s="1">
        <v>0</v>
      </c>
      <c r="L424" s="1">
        <v>1</v>
      </c>
      <c r="M424" s="32">
        <f>IF(Mecze[[#This Row],[PR]]=0,0,Mecze[[#This Row],[PR]]/Mecze[[#This Row],[CZAS]])</f>
        <v>1.0309278350515464E-2</v>
      </c>
      <c r="N424" s="32">
        <f>IF(Mecze[[#This Row],[OU]]=0,0,Mecze[[#This Row],[OU]]/Mecze[[#This Row],[CZAS]])</f>
        <v>0</v>
      </c>
      <c r="O424" s="32">
        <f>IF(Mecze[[#This Row],[PC]]=0,0,Mecze[[#This Row],[PC]]/Mecze[[#This Row],[CZAS]])</f>
        <v>3.0927835051546393E-2</v>
      </c>
      <c r="P424" s="32">
        <f>IF(Mecze[[#This Row],[SC]]=0,0,Mecze[[#This Row],[SC]]/Mecze[[#This Row],[CZAS]])</f>
        <v>1.0309278350515464E-2</v>
      </c>
      <c r="Q424" s="32">
        <f>IF(Mecze[[#This Row],[OB]]=0,0,Mecze[[#This Row],[OB]]/Mecze[[#This Row],[CZAS]])</f>
        <v>0</v>
      </c>
      <c r="R424" s="32">
        <f>IF(Mecze[[#This Row],[BR]]=0,0,Mecze[[#This Row],[BR]]/Mecze[[#This Row],[CZAS]])</f>
        <v>0</v>
      </c>
      <c r="S424" s="44">
        <f>IF(Mecze[[#This Row],[Role]]="BR",SUMPRODUCT(Mecze[[#This Row],[/PR:90]:[/BR:90]],Brudnopis!$E$23:$J$23),0)</f>
        <v>0</v>
      </c>
      <c r="T424" s="44">
        <f>IF(Mecze[[#This Row],[Role]]&lt;&gt;"BR",SUMPRODUCT(Mecze[[#This Row],[/PR:90]:[/BR:90]],Brudnopis!$E$24:$J$24),0)</f>
        <v>5.1546391752577317E-2</v>
      </c>
      <c r="U424" s="44">
        <f>IF(Mecze[[#This Row],[Role]]&lt;&gt;"BR",SUMPRODUCT(Mecze[[#This Row],[/PR:90]:[/BR:90]],Brudnopis!$E$25:$J$25),0)</f>
        <v>6.7010309278350513E-2</v>
      </c>
      <c r="V424" s="44">
        <f>IF(Mecze[[#This Row],[Role]]&lt;&gt;"BR",SUMPRODUCT(Mecze[[#This Row],[/PR:90]:[/BR:90]],Brudnopis!$E$26:$J$26),0)</f>
        <v>5.1546391752577317E-2</v>
      </c>
      <c r="W424" s="44">
        <f>IF(Mecze[[#This Row],[Role]]&lt;&gt;"BR",SUMPRODUCT(Mecze[[#This Row],[/PR:90]:[/BR:90]],Brudnopis!$E$27:$J$27),0)</f>
        <v>6.4432989690721656E-2</v>
      </c>
      <c r="X424" s="44">
        <f>IF(Mecze[[#This Row],[Role]]&lt;&gt;"BR",SUMPRODUCT(Mecze[[#This Row],[/PR:90]:[/BR:90]],Brudnopis!$E$28:$J$28),0)</f>
        <v>5.1546391752577317E-2</v>
      </c>
      <c r="Y424" s="35">
        <f>IF(Mecze[[#This Row],[Role]]="BR",Mecze[[#This Row],[/OB:90]]+Mecze[[#This Row],[/PC:90]],SUM(Mecze[[#This Row],[/PR:90]:[/BR:90]]))</f>
        <v>5.1546391752577317E-2</v>
      </c>
      <c r="Z424" s="35">
        <f>IF(Mecze[[#This Row],[KC]]=0,SUM(Mecze[[#This Row],[/BRI]:[/NPI]]),SUM(Mecze[[#This Row],[/BRI]:[/NPI]])*0.6)</f>
        <v>0.28608247422680411</v>
      </c>
      <c r="AA424" s="10">
        <f>IFERROR(Mecze[[#This Row],[BR]]/Mecze[[#This Row],[ST]],0)</f>
        <v>0</v>
      </c>
      <c r="AB424">
        <f>ROUND(Mecze[[#This Row],[PD]]*Mecze[[#This Row],[%PC]],0)</f>
        <v>3</v>
      </c>
      <c r="AC424">
        <f>ROUND(Mecze[[#This Row],[OD]]*Mecze[[#This Row],[%OU]],0)</f>
        <v>0</v>
      </c>
      <c r="AD424" s="36" t="s">
        <v>44</v>
      </c>
      <c r="AE424" s="36">
        <v>25</v>
      </c>
      <c r="AF424" s="71">
        <v>8.69</v>
      </c>
      <c r="AG424" s="37">
        <v>0</v>
      </c>
      <c r="AH424" s="37">
        <v>0</v>
      </c>
      <c r="AI424" s="37">
        <v>97</v>
      </c>
      <c r="AJ424" s="37">
        <v>7</v>
      </c>
      <c r="AK424" s="37" t="str">
        <f>VLOOKUP(Mecze[[#This Row],[Match ID]],Meczusie[Mecz]:Meczusie[RodzajMeczu],2,FALSE)</f>
        <v>Liga</v>
      </c>
    </row>
    <row r="425" spans="1:37" x14ac:dyDescent="0.25">
      <c r="A425" s="76">
        <v>203</v>
      </c>
      <c r="B425" s="3" t="s">
        <v>342</v>
      </c>
      <c r="C425" s="2" t="s">
        <v>165</v>
      </c>
      <c r="D425" s="1">
        <v>16</v>
      </c>
      <c r="E425" s="1">
        <v>22</v>
      </c>
      <c r="F425" s="1">
        <v>16</v>
      </c>
      <c r="G425" s="1">
        <v>6</v>
      </c>
      <c r="H425" s="4">
        <v>0.5</v>
      </c>
      <c r="I425" s="1">
        <v>4</v>
      </c>
      <c r="J425" s="4">
        <v>1</v>
      </c>
      <c r="K425" s="1">
        <v>0</v>
      </c>
      <c r="L425" s="1">
        <v>7</v>
      </c>
      <c r="M425" s="32">
        <f>IF(Mecze[[#This Row],[PR]]=0,0,Mecze[[#This Row],[PR]]/Mecze[[#This Row],[CZAS]])</f>
        <v>7.2164948453608241E-2</v>
      </c>
      <c r="N425" s="32">
        <f>IF(Mecze[[#This Row],[OU]]=0,0,Mecze[[#This Row],[OU]]/Mecze[[#This Row],[CZAS]])</f>
        <v>4.1237113402061855E-2</v>
      </c>
      <c r="O425" s="32">
        <f>IF(Mecze[[#This Row],[PC]]=0,0,Mecze[[#This Row],[PC]]/Mecze[[#This Row],[CZAS]])</f>
        <v>3.0927835051546393E-2</v>
      </c>
      <c r="P425" s="32">
        <f>IF(Mecze[[#This Row],[SC]]=0,0,Mecze[[#This Row],[SC]]/Mecze[[#This Row],[CZAS]])</f>
        <v>0.16494845360824742</v>
      </c>
      <c r="Q425" s="32">
        <f>IF(Mecze[[#This Row],[OB]]=0,0,Mecze[[#This Row],[OB]]/Mecze[[#This Row],[CZAS]])</f>
        <v>0</v>
      </c>
      <c r="R425" s="32">
        <f>IF(Mecze[[#This Row],[BR]]=0,0,Mecze[[#This Row],[BR]]/Mecze[[#This Row],[CZAS]])</f>
        <v>0.16494845360824742</v>
      </c>
      <c r="S425" s="44">
        <f>IF(Mecze[[#This Row],[Role]]="BR",SUMPRODUCT(Mecze[[#This Row],[/PR:90]:[/BR:90]],Brudnopis!$E$23:$J$23),0)</f>
        <v>0</v>
      </c>
      <c r="T425" s="44">
        <f>IF(Mecze[[#This Row],[Role]]&lt;&gt;"BR",SUMPRODUCT(Mecze[[#This Row],[/PR:90]:[/BR:90]],Brudnopis!$E$24:$J$24),0)</f>
        <v>0.57731958762886593</v>
      </c>
      <c r="U425" s="44">
        <f>IF(Mecze[[#This Row],[Role]]&lt;&gt;"BR",SUMPRODUCT(Mecze[[#This Row],[/PR:90]:[/BR:90]],Brudnopis!$E$25:$J$25),0)</f>
        <v>0.57216494845360821</v>
      </c>
      <c r="V425" s="44">
        <f>IF(Mecze[[#This Row],[Role]]&lt;&gt;"BR",SUMPRODUCT(Mecze[[#This Row],[/PR:90]:[/BR:90]],Brudnopis!$E$26:$J$26),0)</f>
        <v>0.63917525773195871</v>
      </c>
      <c r="W425" s="44">
        <f>IF(Mecze[[#This Row],[Role]]&lt;&gt;"BR",SUMPRODUCT(Mecze[[#This Row],[/PR:90]:[/BR:90]],Brudnopis!$E$27:$J$27),0)</f>
        <v>0.62628865979381443</v>
      </c>
      <c r="X425" s="44">
        <f>IF(Mecze[[#This Row],[Role]]&lt;&gt;"BR",SUMPRODUCT(Mecze[[#This Row],[/PR:90]:[/BR:90]],Brudnopis!$E$28:$J$28),0)</f>
        <v>0.85567010309278357</v>
      </c>
      <c r="Y425" s="35">
        <f>IF(Mecze[[#This Row],[Role]]="BR",Mecze[[#This Row],[/OB:90]]+Mecze[[#This Row],[/PC:90]],SUM(Mecze[[#This Row],[/PR:90]:[/BR:90]]))</f>
        <v>0.47422680412371132</v>
      </c>
      <c r="Z425" s="35">
        <f>IF(Mecze[[#This Row],[KC]]=0,SUM(Mecze[[#This Row],[/BRI]:[/NPI]]),SUM(Mecze[[#This Row],[/BRI]:[/NPI]])*0.6)</f>
        <v>3.2706185567010309</v>
      </c>
      <c r="AA425" s="10">
        <f>IFERROR(Mecze[[#This Row],[BR]]/Mecze[[#This Row],[ST]],0)</f>
        <v>0.72727272727272729</v>
      </c>
      <c r="AB425">
        <f>ROUND(Mecze[[#This Row],[PD]]*Mecze[[#This Row],[%PC]],0)</f>
        <v>3</v>
      </c>
      <c r="AC425">
        <f>ROUND(Mecze[[#This Row],[OD]]*Mecze[[#This Row],[%OU]],0)</f>
        <v>4</v>
      </c>
      <c r="AD425" s="36" t="s">
        <v>46</v>
      </c>
      <c r="AE425" s="36">
        <v>25</v>
      </c>
      <c r="AF425" s="71">
        <v>44.47</v>
      </c>
      <c r="AG425" s="37">
        <v>1</v>
      </c>
      <c r="AH425" s="37">
        <v>0</v>
      </c>
      <c r="AI425" s="37">
        <v>97</v>
      </c>
      <c r="AJ425" s="37">
        <v>7</v>
      </c>
      <c r="AK425" s="37" t="str">
        <f>VLOOKUP(Mecze[[#This Row],[Match ID]],Meczusie[Mecz]:Meczusie[RodzajMeczu],2,FALSE)</f>
        <v>Liga</v>
      </c>
    </row>
    <row r="426" spans="1:37" x14ac:dyDescent="0.25">
      <c r="A426" s="76">
        <v>104</v>
      </c>
      <c r="B426" s="3" t="s">
        <v>343</v>
      </c>
      <c r="C426" s="2" t="s">
        <v>165</v>
      </c>
      <c r="D426" s="1">
        <v>2</v>
      </c>
      <c r="E426" s="1">
        <v>6</v>
      </c>
      <c r="F426" s="1">
        <v>4</v>
      </c>
      <c r="G426" s="1">
        <v>23</v>
      </c>
      <c r="H426" s="4">
        <v>0.83</v>
      </c>
      <c r="I426" s="1">
        <v>1</v>
      </c>
      <c r="J426" s="4">
        <v>0</v>
      </c>
      <c r="K426" s="1">
        <v>0</v>
      </c>
      <c r="L426" s="1">
        <v>0</v>
      </c>
      <c r="M426" s="32">
        <f>IF(Mecze[[#This Row],[PR]]=0,0,Mecze[[#This Row],[PR]]/Mecze[[#This Row],[CZAS]])</f>
        <v>0</v>
      </c>
      <c r="N426" s="32">
        <f>IF(Mecze[[#This Row],[OU]]=0,0,Mecze[[#This Row],[OU]]/Mecze[[#This Row],[CZAS]])</f>
        <v>0</v>
      </c>
      <c r="O426" s="32">
        <f>IF(Mecze[[#This Row],[PC]]=0,0,Mecze[[#This Row],[PC]]/Mecze[[#This Row],[CZAS]])</f>
        <v>0.19587628865979381</v>
      </c>
      <c r="P426" s="32">
        <f>IF(Mecze[[#This Row],[SC]]=0,0,Mecze[[#This Row],[SC]]/Mecze[[#This Row],[CZAS]])</f>
        <v>4.1237113402061855E-2</v>
      </c>
      <c r="Q426" s="32">
        <f>IF(Mecze[[#This Row],[OB]]=0,0,Mecze[[#This Row],[OB]]/Mecze[[#This Row],[CZAS]])</f>
        <v>0</v>
      </c>
      <c r="R426" s="32">
        <f>IF(Mecze[[#This Row],[BR]]=0,0,Mecze[[#This Row],[BR]]/Mecze[[#This Row],[CZAS]])</f>
        <v>2.0618556701030927E-2</v>
      </c>
      <c r="S426" s="44">
        <f>IF(Mecze[[#This Row],[Role]]="BR",SUMPRODUCT(Mecze[[#This Row],[/PR:90]:[/BR:90]],Brudnopis!$E$23:$J$23),0)</f>
        <v>0</v>
      </c>
      <c r="T426" s="44">
        <f>IF(Mecze[[#This Row],[Role]]&lt;&gt;"BR",SUMPRODUCT(Mecze[[#This Row],[/PR:90]:[/BR:90]],Brudnopis!$E$24:$J$24),0)</f>
        <v>0.26804123711340205</v>
      </c>
      <c r="U426" s="44">
        <f>IF(Mecze[[#This Row],[Role]]&lt;&gt;"BR",SUMPRODUCT(Mecze[[#This Row],[/PR:90]:[/BR:90]],Brudnopis!$E$25:$J$25),0)</f>
        <v>0.365979381443299</v>
      </c>
      <c r="V426" s="44">
        <f>IF(Mecze[[#This Row],[Role]]&lt;&gt;"BR",SUMPRODUCT(Mecze[[#This Row],[/PR:90]:[/BR:90]],Brudnopis!$E$26:$J$26),0)</f>
        <v>0.27835051546391754</v>
      </c>
      <c r="W426" s="44">
        <f>IF(Mecze[[#This Row],[Role]]&lt;&gt;"BR",SUMPRODUCT(Mecze[[#This Row],[/PR:90]:[/BR:90]],Brudnopis!$E$27:$J$27),0)</f>
        <v>0.37628865979381448</v>
      </c>
      <c r="X426" s="44">
        <f>IF(Mecze[[#This Row],[Role]]&lt;&gt;"BR",SUMPRODUCT(Mecze[[#This Row],[/PR:90]:[/BR:90]],Brudnopis!$E$28:$J$28),0)</f>
        <v>0.34020618556701032</v>
      </c>
      <c r="Y426" s="35">
        <f>IF(Mecze[[#This Row],[Role]]="BR",Mecze[[#This Row],[/OB:90]]+Mecze[[#This Row],[/PC:90]],SUM(Mecze[[#This Row],[/PR:90]:[/BR:90]]))</f>
        <v>0.25773195876288657</v>
      </c>
      <c r="Z426" s="35">
        <f>IF(Mecze[[#This Row],[KC]]=0,SUM(Mecze[[#This Row],[/BRI]:[/NPI]]),SUM(Mecze[[#This Row],[/BRI]:[/NPI]])*0.6)</f>
        <v>1.6288659793814433</v>
      </c>
      <c r="AA426" s="10">
        <f>IFERROR(Mecze[[#This Row],[BR]]/Mecze[[#This Row],[ST]],0)</f>
        <v>0.33333333333333331</v>
      </c>
      <c r="AB426">
        <f>ROUND(Mecze[[#This Row],[PD]]*Mecze[[#This Row],[%PC]],0)</f>
        <v>19</v>
      </c>
      <c r="AC426">
        <f>ROUND(Mecze[[#This Row],[OD]]*Mecze[[#This Row],[%OU]],0)</f>
        <v>0</v>
      </c>
      <c r="AD426" s="36" t="s">
        <v>355</v>
      </c>
      <c r="AE426" s="36">
        <v>25</v>
      </c>
      <c r="AF426" s="71">
        <v>11.66</v>
      </c>
      <c r="AG426" s="37">
        <v>0</v>
      </c>
      <c r="AH426" s="37">
        <v>0</v>
      </c>
      <c r="AI426" s="37">
        <v>97</v>
      </c>
      <c r="AJ426" s="37">
        <v>7</v>
      </c>
      <c r="AK426" s="37" t="str">
        <f>VLOOKUP(Mecze[[#This Row],[Match ID]],Meczusie[Mecz]:Meczusie[RodzajMeczu],2,FALSE)</f>
        <v>Liga</v>
      </c>
    </row>
    <row r="427" spans="1:37" x14ac:dyDescent="0.25">
      <c r="A427" s="76">
        <v>1</v>
      </c>
      <c r="B427" s="3" t="s">
        <v>288</v>
      </c>
      <c r="C427" s="2" t="s">
        <v>155</v>
      </c>
      <c r="D427" s="1">
        <v>0</v>
      </c>
      <c r="E427" s="1">
        <v>0</v>
      </c>
      <c r="F427" s="1">
        <v>0</v>
      </c>
      <c r="G427" s="1">
        <v>9</v>
      </c>
      <c r="H427" s="4">
        <v>0.78</v>
      </c>
      <c r="I427" s="1">
        <v>0</v>
      </c>
      <c r="J427" s="4"/>
      <c r="K427" s="1">
        <v>8</v>
      </c>
      <c r="L427" s="1">
        <v>0</v>
      </c>
      <c r="M427" s="32">
        <f>IF(Mecze[[#This Row],[PR]]=0,0,Mecze[[#This Row],[PR]]/Mecze[[#This Row],[CZAS]])</f>
        <v>0</v>
      </c>
      <c r="N427" s="32">
        <f>IF(Mecze[[#This Row],[OU]]=0,0,Mecze[[#This Row],[OU]]/Mecze[[#This Row],[CZAS]])</f>
        <v>0</v>
      </c>
      <c r="O427" s="32">
        <f>IF(Mecze[[#This Row],[PC]]=0,0,Mecze[[#This Row],[PC]]/Mecze[[#This Row],[CZAS]])</f>
        <v>7.0707070707070704E-2</v>
      </c>
      <c r="P427" s="32">
        <f>IF(Mecze[[#This Row],[SC]]=0,0,Mecze[[#This Row],[SC]]/Mecze[[#This Row],[CZAS]])</f>
        <v>0</v>
      </c>
      <c r="Q427" s="32">
        <f>IF(Mecze[[#This Row],[OB]]=0,0,Mecze[[#This Row],[OB]]/Mecze[[#This Row],[CZAS]])</f>
        <v>8.0808080808080815E-2</v>
      </c>
      <c r="R427" s="32">
        <f>IF(Mecze[[#This Row],[BR]]=0,0,Mecze[[#This Row],[BR]]/Mecze[[#This Row],[CZAS]])</f>
        <v>0</v>
      </c>
      <c r="S427" s="44">
        <f>IF(Mecze[[#This Row],[Role]]="BR",SUMPRODUCT(Mecze[[#This Row],[/PR:90]:[/BR:90]],Brudnopis!$E$23:$J$23),0)</f>
        <v>0.45454545454545453</v>
      </c>
      <c r="T427" s="44">
        <f>IF(Mecze[[#This Row],[Role]]&lt;&gt;"BR",SUMPRODUCT(Mecze[[#This Row],[/PR:90]:[/BR:90]],Brudnopis!$E$24:$J$24),0)</f>
        <v>0</v>
      </c>
      <c r="U427" s="44">
        <f>IF(Mecze[[#This Row],[Role]]&lt;&gt;"BR",SUMPRODUCT(Mecze[[#This Row],[/PR:90]:[/BR:90]],Brudnopis!$E$25:$J$25),0)</f>
        <v>0</v>
      </c>
      <c r="V427" s="44">
        <f>IF(Mecze[[#This Row],[Role]]&lt;&gt;"BR",SUMPRODUCT(Mecze[[#This Row],[/PR:90]:[/BR:90]],Brudnopis!$E$26:$J$26),0)</f>
        <v>0</v>
      </c>
      <c r="W427" s="44">
        <f>IF(Mecze[[#This Row],[Role]]&lt;&gt;"BR",SUMPRODUCT(Mecze[[#This Row],[/PR:90]:[/BR:90]],Brudnopis!$E$27:$J$27),0)</f>
        <v>0</v>
      </c>
      <c r="X427" s="44">
        <f>IF(Mecze[[#This Row],[Role]]&lt;&gt;"BR",SUMPRODUCT(Mecze[[#This Row],[/PR:90]:[/BR:90]],Brudnopis!$E$28:$J$28),0)</f>
        <v>0</v>
      </c>
      <c r="Y427" s="35">
        <f>IF(Mecze[[#This Row],[Role]]="BR",Mecze[[#This Row],[/OB:90]]+Mecze[[#This Row],[/PC:90]],SUM(Mecze[[#This Row],[/PR:90]:[/BR:90]]))</f>
        <v>0.15151515151515152</v>
      </c>
      <c r="Z427" s="35">
        <f>IF(Mecze[[#This Row],[KC]]=0,SUM(Mecze[[#This Row],[/BRI]:[/NPI]]),SUM(Mecze[[#This Row],[/BRI]:[/NPI]])*0.6)</f>
        <v>0.45454545454545453</v>
      </c>
      <c r="AA427" s="10">
        <f>IFERROR(Mecze[[#This Row],[BR]]/Mecze[[#This Row],[ST]],0)</f>
        <v>0</v>
      </c>
      <c r="AB427">
        <f>ROUND(Mecze[[#This Row],[PD]]*Mecze[[#This Row],[%PC]],0)</f>
        <v>7</v>
      </c>
      <c r="AC427">
        <f>ROUND(Mecze[[#This Row],[OD]]*Mecze[[#This Row],[%OU]],0)</f>
        <v>0</v>
      </c>
      <c r="AD427" s="36" t="s">
        <v>40</v>
      </c>
      <c r="AE427" s="36">
        <v>26</v>
      </c>
      <c r="AF427" s="71">
        <v>11.06</v>
      </c>
      <c r="AG427" s="37">
        <v>0</v>
      </c>
      <c r="AH427" s="37">
        <v>0</v>
      </c>
      <c r="AI427" s="37">
        <v>99</v>
      </c>
      <c r="AJ427" s="37">
        <v>9</v>
      </c>
      <c r="AK427" s="37" t="str">
        <f>VLOOKUP(Mecze[[#This Row],[Match ID]],Meczusie[Mecz]:Meczusie[RodzajMeczu],2,FALSE)</f>
        <v>Liga</v>
      </c>
    </row>
    <row r="428" spans="1:37" x14ac:dyDescent="0.25">
      <c r="A428" s="76">
        <v>2</v>
      </c>
      <c r="B428" s="3" t="s">
        <v>290</v>
      </c>
      <c r="C428" s="2" t="s">
        <v>157</v>
      </c>
      <c r="D428" s="1">
        <v>1</v>
      </c>
      <c r="E428" s="1">
        <v>2</v>
      </c>
      <c r="F428" s="1">
        <v>1</v>
      </c>
      <c r="G428" s="1">
        <v>11</v>
      </c>
      <c r="H428" s="4">
        <v>0.27</v>
      </c>
      <c r="I428" s="1">
        <v>5</v>
      </c>
      <c r="J428" s="4">
        <v>0.4</v>
      </c>
      <c r="K428" s="1">
        <v>0</v>
      </c>
      <c r="L428" s="1">
        <v>8</v>
      </c>
      <c r="M428" s="32">
        <f>IF(Mecze[[#This Row],[PR]]=0,0,Mecze[[#This Row],[PR]]/Mecze[[#This Row],[CZAS]])</f>
        <v>8.0808080808080815E-2</v>
      </c>
      <c r="N428" s="32">
        <f>IF(Mecze[[#This Row],[OU]]=0,0,Mecze[[#This Row],[OU]]/Mecze[[#This Row],[CZAS]])</f>
        <v>2.0202020202020204E-2</v>
      </c>
      <c r="O428" s="32">
        <f>IF(Mecze[[#This Row],[PC]]=0,0,Mecze[[#This Row],[PC]]/Mecze[[#This Row],[CZAS]])</f>
        <v>3.0303030303030304E-2</v>
      </c>
      <c r="P428" s="32">
        <f>IF(Mecze[[#This Row],[SC]]=0,0,Mecze[[#This Row],[SC]]/Mecze[[#This Row],[CZAS]])</f>
        <v>1.0101010101010102E-2</v>
      </c>
      <c r="Q428" s="32">
        <f>IF(Mecze[[#This Row],[OB]]=0,0,Mecze[[#This Row],[OB]]/Mecze[[#This Row],[CZAS]])</f>
        <v>0</v>
      </c>
      <c r="R428" s="32">
        <f>IF(Mecze[[#This Row],[BR]]=0,0,Mecze[[#This Row],[BR]]/Mecze[[#This Row],[CZAS]])</f>
        <v>1.0101010101010102E-2</v>
      </c>
      <c r="S428" s="44">
        <f>IF(Mecze[[#This Row],[Role]]="BR",SUMPRODUCT(Mecze[[#This Row],[/PR:90]:[/BR:90]],Brudnopis!$E$23:$J$23),0)</f>
        <v>0</v>
      </c>
      <c r="T428" s="44">
        <f>IF(Mecze[[#This Row],[Role]]&lt;&gt;"BR",SUMPRODUCT(Mecze[[#This Row],[/PR:90]:[/BR:90]],Brudnopis!$E$24:$J$24),0)</f>
        <v>0.16666666666666669</v>
      </c>
      <c r="U428" s="44">
        <f>IF(Mecze[[#This Row],[Role]]&lt;&gt;"BR",SUMPRODUCT(Mecze[[#This Row],[/PR:90]:[/BR:90]],Brudnopis!$E$25:$J$25),0)</f>
        <v>0.17171717171717171</v>
      </c>
      <c r="V428" s="44">
        <f>IF(Mecze[[#This Row],[Role]]&lt;&gt;"BR",SUMPRODUCT(Mecze[[#This Row],[/PR:90]:[/BR:90]],Brudnopis!$E$26:$J$26),0)</f>
        <v>0.16161616161616163</v>
      </c>
      <c r="W428" s="44">
        <f>IF(Mecze[[#This Row],[Role]]&lt;&gt;"BR",SUMPRODUCT(Mecze[[#This Row],[/PR:90]:[/BR:90]],Brudnopis!$E$27:$J$27),0)</f>
        <v>0.15151515151515152</v>
      </c>
      <c r="X428" s="44">
        <f>IF(Mecze[[#This Row],[Role]]&lt;&gt;"BR",SUMPRODUCT(Mecze[[#This Row],[/PR:90]:[/BR:90]],Brudnopis!$E$28:$J$28),0)</f>
        <v>8.0808080808080815E-2</v>
      </c>
      <c r="Y428" s="35">
        <f>IF(Mecze[[#This Row],[Role]]="BR",Mecze[[#This Row],[/OB:90]]+Mecze[[#This Row],[/PC:90]],SUM(Mecze[[#This Row],[/PR:90]:[/BR:90]]))</f>
        <v>0.15151515151515155</v>
      </c>
      <c r="Z428" s="35">
        <f>IF(Mecze[[#This Row],[KC]]=0,SUM(Mecze[[#This Row],[/BRI]:[/NPI]]),SUM(Mecze[[#This Row],[/BRI]:[/NPI]])*0.6)</f>
        <v>0.73232323232323226</v>
      </c>
      <c r="AA428" s="10">
        <f>IFERROR(Mecze[[#This Row],[BR]]/Mecze[[#This Row],[ST]],0)</f>
        <v>0.5</v>
      </c>
      <c r="AB428">
        <f>ROUND(Mecze[[#This Row],[PD]]*Mecze[[#This Row],[%PC]],0)</f>
        <v>3</v>
      </c>
      <c r="AC428">
        <f>ROUND(Mecze[[#This Row],[OD]]*Mecze[[#This Row],[%OU]],0)</f>
        <v>2</v>
      </c>
      <c r="AD428" s="36" t="s">
        <v>47</v>
      </c>
      <c r="AE428" s="36">
        <v>26</v>
      </c>
      <c r="AF428" s="71">
        <v>8.7200000000000006</v>
      </c>
      <c r="AG428" s="37">
        <v>0</v>
      </c>
      <c r="AH428" s="37">
        <v>0</v>
      </c>
      <c r="AI428" s="37">
        <v>99</v>
      </c>
      <c r="AJ428" s="37">
        <v>9</v>
      </c>
      <c r="AK428" s="37" t="str">
        <f>VLOOKUP(Mecze[[#This Row],[Match ID]],Meczusie[Mecz]:Meczusie[RodzajMeczu],2,FALSE)</f>
        <v>Liga</v>
      </c>
    </row>
    <row r="429" spans="1:37" x14ac:dyDescent="0.25">
      <c r="A429" s="76">
        <v>4</v>
      </c>
      <c r="B429" s="3" t="s">
        <v>289</v>
      </c>
      <c r="C429" s="2" t="s">
        <v>157</v>
      </c>
      <c r="D429" s="1">
        <v>0</v>
      </c>
      <c r="E429" s="1">
        <v>0</v>
      </c>
      <c r="F429" s="1">
        <v>0</v>
      </c>
      <c r="G429" s="1">
        <v>8</v>
      </c>
      <c r="H429" s="4">
        <v>0.63</v>
      </c>
      <c r="I429" s="1">
        <v>5</v>
      </c>
      <c r="J429" s="4">
        <v>0.4</v>
      </c>
      <c r="K429" s="1">
        <v>0</v>
      </c>
      <c r="L429" s="1">
        <v>5</v>
      </c>
      <c r="M429" s="32">
        <f>IF(Mecze[[#This Row],[PR]]=0,0,Mecze[[#This Row],[PR]]/Mecze[[#This Row],[CZAS]])</f>
        <v>5.0505050505050504E-2</v>
      </c>
      <c r="N429" s="32">
        <f>IF(Mecze[[#This Row],[OU]]=0,0,Mecze[[#This Row],[OU]]/Mecze[[#This Row],[CZAS]])</f>
        <v>2.0202020202020204E-2</v>
      </c>
      <c r="O429" s="32">
        <f>IF(Mecze[[#This Row],[PC]]=0,0,Mecze[[#This Row],[PC]]/Mecze[[#This Row],[CZAS]])</f>
        <v>5.0505050505050504E-2</v>
      </c>
      <c r="P429" s="32">
        <f>IF(Mecze[[#This Row],[SC]]=0,0,Mecze[[#This Row],[SC]]/Mecze[[#This Row],[CZAS]])</f>
        <v>0</v>
      </c>
      <c r="Q429" s="32">
        <f>IF(Mecze[[#This Row],[OB]]=0,0,Mecze[[#This Row],[OB]]/Mecze[[#This Row],[CZAS]])</f>
        <v>0</v>
      </c>
      <c r="R429" s="32">
        <f>IF(Mecze[[#This Row],[BR]]=0,0,Mecze[[#This Row],[BR]]/Mecze[[#This Row],[CZAS]])</f>
        <v>0</v>
      </c>
      <c r="S429" s="44">
        <f>IF(Mecze[[#This Row],[Role]]="BR",SUMPRODUCT(Mecze[[#This Row],[/PR:90]:[/BR:90]],Brudnopis!$E$23:$J$23),0)</f>
        <v>0</v>
      </c>
      <c r="T429" s="44">
        <f>IF(Mecze[[#This Row],[Role]]&lt;&gt;"BR",SUMPRODUCT(Mecze[[#This Row],[/PR:90]:[/BR:90]],Brudnopis!$E$24:$J$24),0)</f>
        <v>0.1313131313131313</v>
      </c>
      <c r="U429" s="44">
        <f>IF(Mecze[[#This Row],[Role]]&lt;&gt;"BR",SUMPRODUCT(Mecze[[#This Row],[/PR:90]:[/BR:90]],Brudnopis!$E$25:$J$25),0)</f>
        <v>0.14646464646464646</v>
      </c>
      <c r="V429" s="44">
        <f>IF(Mecze[[#This Row],[Role]]&lt;&gt;"BR",SUMPRODUCT(Mecze[[#This Row],[/PR:90]:[/BR:90]],Brudnopis!$E$26:$J$26),0)</f>
        <v>0.12121212121212122</v>
      </c>
      <c r="W429" s="44">
        <f>IF(Mecze[[#This Row],[Role]]&lt;&gt;"BR",SUMPRODUCT(Mecze[[#This Row],[/PR:90]:[/BR:90]],Brudnopis!$E$27:$J$27),0)</f>
        <v>0.12878787878787878</v>
      </c>
      <c r="X429" s="44">
        <f>IF(Mecze[[#This Row],[Role]]&lt;&gt;"BR",SUMPRODUCT(Mecze[[#This Row],[/PR:90]:[/BR:90]],Brudnopis!$E$28:$J$28),0)</f>
        <v>5.0505050505050504E-2</v>
      </c>
      <c r="Y429" s="35">
        <f>IF(Mecze[[#This Row],[Role]]="BR",Mecze[[#This Row],[/OB:90]]+Mecze[[#This Row],[/PC:90]],SUM(Mecze[[#This Row],[/PR:90]:[/BR:90]]))</f>
        <v>0.12121212121212122</v>
      </c>
      <c r="Z429" s="35">
        <f>IF(Mecze[[#This Row],[KC]]=0,SUM(Mecze[[#This Row],[/BRI]:[/NPI]]),SUM(Mecze[[#This Row],[/BRI]:[/NPI]])*0.6)</f>
        <v>0.57828282828282829</v>
      </c>
      <c r="AA429" s="10">
        <f>IFERROR(Mecze[[#This Row],[BR]]/Mecze[[#This Row],[ST]],0)</f>
        <v>0</v>
      </c>
      <c r="AB429">
        <f>ROUND(Mecze[[#This Row],[PD]]*Mecze[[#This Row],[%PC]],0)</f>
        <v>5</v>
      </c>
      <c r="AC429">
        <f>ROUND(Mecze[[#This Row],[OD]]*Mecze[[#This Row],[%OU]],0)</f>
        <v>2</v>
      </c>
      <c r="AD429" s="36" t="s">
        <v>168</v>
      </c>
      <c r="AE429" s="36">
        <v>26</v>
      </c>
      <c r="AF429" s="71">
        <v>8.09</v>
      </c>
      <c r="AG429" s="37">
        <v>0</v>
      </c>
      <c r="AH429" s="37">
        <v>0</v>
      </c>
      <c r="AI429" s="37">
        <v>99</v>
      </c>
      <c r="AJ429" s="37">
        <v>9</v>
      </c>
      <c r="AK429" s="37" t="str">
        <f>VLOOKUP(Mecze[[#This Row],[Match ID]],Meczusie[Mecz]:Meczusie[RodzajMeczu],2,FALSE)</f>
        <v>Liga</v>
      </c>
    </row>
    <row r="430" spans="1:37" x14ac:dyDescent="0.25">
      <c r="A430" s="76">
        <v>16</v>
      </c>
      <c r="B430" s="3" t="s">
        <v>405</v>
      </c>
      <c r="C430" s="2" t="s">
        <v>157</v>
      </c>
      <c r="D430" s="1">
        <v>0</v>
      </c>
      <c r="E430" s="1">
        <v>0</v>
      </c>
      <c r="F430" s="1">
        <v>0</v>
      </c>
      <c r="G430" s="1">
        <v>18</v>
      </c>
      <c r="H430" s="4">
        <v>0.56000000000000005</v>
      </c>
      <c r="I430" s="1">
        <v>8</v>
      </c>
      <c r="J430" s="4">
        <v>0.63</v>
      </c>
      <c r="K430" s="1">
        <v>0</v>
      </c>
      <c r="L430" s="1">
        <v>13</v>
      </c>
      <c r="M430" s="32">
        <f>IF(Mecze[[#This Row],[PR]]=0,0,Mecze[[#This Row],[PR]]/Mecze[[#This Row],[CZAS]])</f>
        <v>0.13131313131313133</v>
      </c>
      <c r="N430" s="32">
        <f>IF(Mecze[[#This Row],[OU]]=0,0,Mecze[[#This Row],[OU]]/Mecze[[#This Row],[CZAS]])</f>
        <v>5.0505050505050504E-2</v>
      </c>
      <c r="O430" s="32">
        <f>IF(Mecze[[#This Row],[PC]]=0,0,Mecze[[#This Row],[PC]]/Mecze[[#This Row],[CZAS]])</f>
        <v>0.10101010101010101</v>
      </c>
      <c r="P430" s="32">
        <f>IF(Mecze[[#This Row],[SC]]=0,0,Mecze[[#This Row],[SC]]/Mecze[[#This Row],[CZAS]])</f>
        <v>0</v>
      </c>
      <c r="Q430" s="32">
        <f>IF(Mecze[[#This Row],[OB]]=0,0,Mecze[[#This Row],[OB]]/Mecze[[#This Row],[CZAS]])</f>
        <v>0</v>
      </c>
      <c r="R430" s="32">
        <f>IF(Mecze[[#This Row],[BR]]=0,0,Mecze[[#This Row],[BR]]/Mecze[[#This Row],[CZAS]])</f>
        <v>0</v>
      </c>
      <c r="S430" s="44">
        <f>IF(Mecze[[#This Row],[Role]]="BR",SUMPRODUCT(Mecze[[#This Row],[/PR:90]:[/BR:90]],Brudnopis!$E$23:$J$23),0)</f>
        <v>0</v>
      </c>
      <c r="T430" s="44">
        <f>IF(Mecze[[#This Row],[Role]]&lt;&gt;"BR",SUMPRODUCT(Mecze[[#This Row],[/PR:90]:[/BR:90]],Brudnopis!$E$24:$J$24),0)</f>
        <v>0.30808080808080807</v>
      </c>
      <c r="U430" s="44">
        <f>IF(Mecze[[#This Row],[Role]]&lt;&gt;"BR",SUMPRODUCT(Mecze[[#This Row],[/PR:90]:[/BR:90]],Brudnopis!$E$25:$J$25),0)</f>
        <v>0.33333333333333337</v>
      </c>
      <c r="V430" s="44">
        <f>IF(Mecze[[#This Row],[Role]]&lt;&gt;"BR",SUMPRODUCT(Mecze[[#This Row],[/PR:90]:[/BR:90]],Brudnopis!$E$26:$J$26),0)</f>
        <v>0.28282828282828282</v>
      </c>
      <c r="W430" s="44">
        <f>IF(Mecze[[#This Row],[Role]]&lt;&gt;"BR",SUMPRODUCT(Mecze[[#This Row],[/PR:90]:[/BR:90]],Brudnopis!$E$27:$J$27),0)</f>
        <v>0.2878787878787879</v>
      </c>
      <c r="X430" s="44">
        <f>IF(Mecze[[#This Row],[Role]]&lt;&gt;"BR",SUMPRODUCT(Mecze[[#This Row],[/PR:90]:[/BR:90]],Brudnopis!$E$28:$J$28),0)</f>
        <v>0.10101010101010101</v>
      </c>
      <c r="Y430" s="35">
        <f>IF(Mecze[[#This Row],[Role]]="BR",Mecze[[#This Row],[/OB:90]]+Mecze[[#This Row],[/PC:90]],SUM(Mecze[[#This Row],[/PR:90]:[/BR:90]]))</f>
        <v>0.28282828282828282</v>
      </c>
      <c r="Z430" s="35">
        <f>IF(Mecze[[#This Row],[KC]]=0,SUM(Mecze[[#This Row],[/BRI]:[/NPI]]),SUM(Mecze[[#This Row],[/BRI]:[/NPI]])*0.6)</f>
        <v>1.3131313131313131</v>
      </c>
      <c r="AA430" s="10">
        <f>IFERROR(Mecze[[#This Row],[BR]]/Mecze[[#This Row],[ST]],0)</f>
        <v>0</v>
      </c>
      <c r="AB430">
        <f>ROUND(Mecze[[#This Row],[PD]]*Mecze[[#This Row],[%PC]],0)</f>
        <v>10</v>
      </c>
      <c r="AC430">
        <f>ROUND(Mecze[[#This Row],[OD]]*Mecze[[#This Row],[%OU]],0)</f>
        <v>5</v>
      </c>
      <c r="AD430" s="36" t="s">
        <v>167</v>
      </c>
      <c r="AE430" s="36">
        <v>26</v>
      </c>
      <c r="AF430" s="71">
        <v>10.89</v>
      </c>
      <c r="AG430" s="37">
        <v>0</v>
      </c>
      <c r="AH430" s="37">
        <v>0</v>
      </c>
      <c r="AI430" s="37">
        <v>99</v>
      </c>
      <c r="AJ430" s="37">
        <v>9</v>
      </c>
      <c r="AK430" s="37" t="str">
        <f>VLOOKUP(Mecze[[#This Row],[Match ID]],Meczusie[Mecz]:Meczusie[RodzajMeczu],2,FALSE)</f>
        <v>Liga</v>
      </c>
    </row>
    <row r="431" spans="1:37" x14ac:dyDescent="0.25">
      <c r="A431" s="76">
        <v>3</v>
      </c>
      <c r="B431" s="3" t="s">
        <v>292</v>
      </c>
      <c r="C431" s="2" t="s">
        <v>160</v>
      </c>
      <c r="D431" s="1">
        <v>0</v>
      </c>
      <c r="E431" s="1">
        <v>0</v>
      </c>
      <c r="F431" s="1">
        <v>0</v>
      </c>
      <c r="G431" s="1">
        <v>3</v>
      </c>
      <c r="H431" s="4">
        <v>0.67</v>
      </c>
      <c r="I431" s="1">
        <v>2</v>
      </c>
      <c r="J431" s="4">
        <v>0.5</v>
      </c>
      <c r="K431" s="1">
        <v>0</v>
      </c>
      <c r="L431" s="1">
        <v>0</v>
      </c>
      <c r="M431" s="32">
        <f>IF(Mecze[[#This Row],[PR]]=0,0,Mecze[[#This Row],[PR]]/Mecze[[#This Row],[CZAS]])</f>
        <v>0</v>
      </c>
      <c r="N431" s="32">
        <f>IF(Mecze[[#This Row],[OU]]=0,0,Mecze[[#This Row],[OU]]/Mecze[[#This Row],[CZAS]])</f>
        <v>1.0101010101010102E-2</v>
      </c>
      <c r="O431" s="32">
        <f>IF(Mecze[[#This Row],[PC]]=0,0,Mecze[[#This Row],[PC]]/Mecze[[#This Row],[CZAS]])</f>
        <v>2.0202020202020204E-2</v>
      </c>
      <c r="P431" s="32">
        <f>IF(Mecze[[#This Row],[SC]]=0,0,Mecze[[#This Row],[SC]]/Mecze[[#This Row],[CZAS]])</f>
        <v>0</v>
      </c>
      <c r="Q431" s="32">
        <f>IF(Mecze[[#This Row],[OB]]=0,0,Mecze[[#This Row],[OB]]/Mecze[[#This Row],[CZAS]])</f>
        <v>0</v>
      </c>
      <c r="R431" s="32">
        <f>IF(Mecze[[#This Row],[BR]]=0,0,Mecze[[#This Row],[BR]]/Mecze[[#This Row],[CZAS]])</f>
        <v>0</v>
      </c>
      <c r="S431" s="44">
        <f>IF(Mecze[[#This Row],[Role]]="BR",SUMPRODUCT(Mecze[[#This Row],[/PR:90]:[/BR:90]],Brudnopis!$E$23:$J$23),0)</f>
        <v>0</v>
      </c>
      <c r="T431" s="44">
        <f>IF(Mecze[[#This Row],[Role]]&lt;&gt;"BR",SUMPRODUCT(Mecze[[#This Row],[/PR:90]:[/BR:90]],Brudnopis!$E$24:$J$24),0)</f>
        <v>3.5353535353535359E-2</v>
      </c>
      <c r="U431" s="44">
        <f>IF(Mecze[[#This Row],[Role]]&lt;&gt;"BR",SUMPRODUCT(Mecze[[#This Row],[/PR:90]:[/BR:90]],Brudnopis!$E$25:$J$25),0)</f>
        <v>4.0404040404040407E-2</v>
      </c>
      <c r="V431" s="44">
        <f>IF(Mecze[[#This Row],[Role]]&lt;&gt;"BR",SUMPRODUCT(Mecze[[#This Row],[/PR:90]:[/BR:90]],Brudnopis!$E$26:$J$26),0)</f>
        <v>3.0303030303030304E-2</v>
      </c>
      <c r="W431" s="44">
        <f>IF(Mecze[[#This Row],[Role]]&lt;&gt;"BR",SUMPRODUCT(Mecze[[#This Row],[/PR:90]:[/BR:90]],Brudnopis!$E$27:$J$27),0)</f>
        <v>3.787878787878788E-2</v>
      </c>
      <c r="X431" s="44">
        <f>IF(Mecze[[#This Row],[Role]]&lt;&gt;"BR",SUMPRODUCT(Mecze[[#This Row],[/PR:90]:[/BR:90]],Brudnopis!$E$28:$J$28),0)</f>
        <v>2.0202020202020204E-2</v>
      </c>
      <c r="Y431" s="35">
        <f>IF(Mecze[[#This Row],[Role]]="BR",Mecze[[#This Row],[/OB:90]]+Mecze[[#This Row],[/PC:90]],SUM(Mecze[[#This Row],[/PR:90]:[/BR:90]]))</f>
        <v>3.0303030303030304E-2</v>
      </c>
      <c r="Z431" s="35">
        <f>IF(Mecze[[#This Row],[KC]]=0,SUM(Mecze[[#This Row],[/BRI]:[/NPI]]),SUM(Mecze[[#This Row],[/BRI]:[/NPI]])*0.6)</f>
        <v>0.16414141414141414</v>
      </c>
      <c r="AA431" s="10">
        <f>IFERROR(Mecze[[#This Row],[BR]]/Mecze[[#This Row],[ST]],0)</f>
        <v>0</v>
      </c>
      <c r="AB431">
        <f>ROUND(Mecze[[#This Row],[PD]]*Mecze[[#This Row],[%PC]],0)</f>
        <v>2</v>
      </c>
      <c r="AC431">
        <f>ROUND(Mecze[[#This Row],[OD]]*Mecze[[#This Row],[%OU]],0)</f>
        <v>1</v>
      </c>
      <c r="AD431" s="36" t="s">
        <v>173</v>
      </c>
      <c r="AE431" s="36">
        <v>26</v>
      </c>
      <c r="AF431" s="71">
        <v>7.04</v>
      </c>
      <c r="AG431" s="37">
        <v>0</v>
      </c>
      <c r="AH431" s="37">
        <v>0</v>
      </c>
      <c r="AI431" s="37">
        <v>99</v>
      </c>
      <c r="AJ431" s="37">
        <v>9</v>
      </c>
      <c r="AK431" s="37" t="str">
        <f>VLOOKUP(Mecze[[#This Row],[Match ID]],Meczusie[Mecz]:Meczusie[RodzajMeczu],2,FALSE)</f>
        <v>Liga</v>
      </c>
    </row>
    <row r="432" spans="1:37" x14ac:dyDescent="0.25">
      <c r="A432" s="76">
        <v>14</v>
      </c>
      <c r="B432" s="3" t="s">
        <v>293</v>
      </c>
      <c r="C432" s="2" t="s">
        <v>160</v>
      </c>
      <c r="D432" s="1">
        <v>0</v>
      </c>
      <c r="E432" s="1">
        <v>0</v>
      </c>
      <c r="F432" s="1">
        <v>0</v>
      </c>
      <c r="G432" s="1">
        <v>5</v>
      </c>
      <c r="H432" s="4">
        <v>1</v>
      </c>
      <c r="I432" s="1">
        <v>1</v>
      </c>
      <c r="J432" s="4">
        <v>0</v>
      </c>
      <c r="K432" s="1">
        <v>0</v>
      </c>
      <c r="L432" s="1">
        <v>0</v>
      </c>
      <c r="M432" s="32">
        <f>IF(Mecze[[#This Row],[PR]]=0,0,Mecze[[#This Row],[PR]]/Mecze[[#This Row],[CZAS]])</f>
        <v>0</v>
      </c>
      <c r="N432" s="32">
        <f>IF(Mecze[[#This Row],[OU]]=0,0,Mecze[[#This Row],[OU]]/Mecze[[#This Row],[CZAS]])</f>
        <v>0</v>
      </c>
      <c r="O432" s="32">
        <f>IF(Mecze[[#This Row],[PC]]=0,0,Mecze[[#This Row],[PC]]/Mecze[[#This Row],[CZAS]])</f>
        <v>5.0505050505050504E-2</v>
      </c>
      <c r="P432" s="32">
        <f>IF(Mecze[[#This Row],[SC]]=0,0,Mecze[[#This Row],[SC]]/Mecze[[#This Row],[CZAS]])</f>
        <v>0</v>
      </c>
      <c r="Q432" s="32">
        <f>IF(Mecze[[#This Row],[OB]]=0,0,Mecze[[#This Row],[OB]]/Mecze[[#This Row],[CZAS]])</f>
        <v>0</v>
      </c>
      <c r="R432" s="32">
        <f>IF(Mecze[[#This Row],[BR]]=0,0,Mecze[[#This Row],[BR]]/Mecze[[#This Row],[CZAS]])</f>
        <v>0</v>
      </c>
      <c r="S432" s="44">
        <f>IF(Mecze[[#This Row],[Role]]="BR",SUMPRODUCT(Mecze[[#This Row],[/PR:90]:[/BR:90]],Brudnopis!$E$23:$J$23),0)</f>
        <v>0</v>
      </c>
      <c r="T432" s="44">
        <f>IF(Mecze[[#This Row],[Role]]&lt;&gt;"BR",SUMPRODUCT(Mecze[[#This Row],[/PR:90]:[/BR:90]],Brudnopis!$E$24:$J$24),0)</f>
        <v>5.0505050505050504E-2</v>
      </c>
      <c r="U432" s="44">
        <f>IF(Mecze[[#This Row],[Role]]&lt;&gt;"BR",SUMPRODUCT(Mecze[[#This Row],[/PR:90]:[/BR:90]],Brudnopis!$E$25:$J$25),0)</f>
        <v>7.575757575757576E-2</v>
      </c>
      <c r="V432" s="44">
        <f>IF(Mecze[[#This Row],[Role]]&lt;&gt;"BR",SUMPRODUCT(Mecze[[#This Row],[/PR:90]:[/BR:90]],Brudnopis!$E$26:$J$26),0)</f>
        <v>5.0505050505050504E-2</v>
      </c>
      <c r="W432" s="44">
        <f>IF(Mecze[[#This Row],[Role]]&lt;&gt;"BR",SUMPRODUCT(Mecze[[#This Row],[/PR:90]:[/BR:90]],Brudnopis!$E$27:$J$27),0)</f>
        <v>7.575757575757576E-2</v>
      </c>
      <c r="X432" s="44">
        <f>IF(Mecze[[#This Row],[Role]]&lt;&gt;"BR",SUMPRODUCT(Mecze[[#This Row],[/PR:90]:[/BR:90]],Brudnopis!$E$28:$J$28),0)</f>
        <v>5.0505050505050504E-2</v>
      </c>
      <c r="Y432" s="35">
        <f>IF(Mecze[[#This Row],[Role]]="BR",Mecze[[#This Row],[/OB:90]]+Mecze[[#This Row],[/PC:90]],SUM(Mecze[[#This Row],[/PR:90]:[/BR:90]]))</f>
        <v>5.0505050505050504E-2</v>
      </c>
      <c r="Z432" s="35">
        <f>IF(Mecze[[#This Row],[KC]]=0,SUM(Mecze[[#This Row],[/BRI]:[/NPI]]),SUM(Mecze[[#This Row],[/BRI]:[/NPI]])*0.6)</f>
        <v>0.30303030303030304</v>
      </c>
      <c r="AA432" s="10">
        <f>IFERROR(Mecze[[#This Row],[BR]]/Mecze[[#This Row],[ST]],0)</f>
        <v>0</v>
      </c>
      <c r="AB432">
        <f>ROUND(Mecze[[#This Row],[PD]]*Mecze[[#This Row],[%PC]],0)</f>
        <v>5</v>
      </c>
      <c r="AC432">
        <f>ROUND(Mecze[[#This Row],[OD]]*Mecze[[#This Row],[%OU]],0)</f>
        <v>0</v>
      </c>
      <c r="AD432" s="36" t="s">
        <v>172</v>
      </c>
      <c r="AE432" s="36">
        <v>26</v>
      </c>
      <c r="AF432" s="71">
        <v>10.37</v>
      </c>
      <c r="AG432" s="37">
        <v>0</v>
      </c>
      <c r="AH432" s="37">
        <v>0</v>
      </c>
      <c r="AI432" s="37">
        <v>99</v>
      </c>
      <c r="AJ432" s="37">
        <v>9</v>
      </c>
      <c r="AK432" s="37" t="str">
        <f>VLOOKUP(Mecze[[#This Row],[Match ID]],Meczusie[Mecz]:Meczusie[RodzajMeczu],2,FALSE)</f>
        <v>Liga</v>
      </c>
    </row>
    <row r="433" spans="1:37" x14ac:dyDescent="0.25">
      <c r="A433" s="76">
        <v>8</v>
      </c>
      <c r="B433" s="3" t="s">
        <v>294</v>
      </c>
      <c r="C433" s="2" t="s">
        <v>160</v>
      </c>
      <c r="D433" s="1">
        <v>0</v>
      </c>
      <c r="E433" s="1">
        <v>1</v>
      </c>
      <c r="F433" s="1">
        <v>1</v>
      </c>
      <c r="G433" s="1">
        <v>19</v>
      </c>
      <c r="H433" s="4">
        <v>0.74</v>
      </c>
      <c r="I433" s="1">
        <v>10</v>
      </c>
      <c r="J433" s="4">
        <v>0.7</v>
      </c>
      <c r="K433" s="1">
        <v>0</v>
      </c>
      <c r="L433" s="1">
        <v>7</v>
      </c>
      <c r="M433" s="32">
        <f>IF(Mecze[[#This Row],[PR]]=0,0,Mecze[[#This Row],[PR]]/Mecze[[#This Row],[CZAS]])</f>
        <v>7.0707070707070704E-2</v>
      </c>
      <c r="N433" s="32">
        <f>IF(Mecze[[#This Row],[OU]]=0,0,Mecze[[#This Row],[OU]]/Mecze[[#This Row],[CZAS]])</f>
        <v>7.0707070707070704E-2</v>
      </c>
      <c r="O433" s="32">
        <f>IF(Mecze[[#This Row],[PC]]=0,0,Mecze[[#This Row],[PC]]/Mecze[[#This Row],[CZAS]])</f>
        <v>0.14141414141414141</v>
      </c>
      <c r="P433" s="32">
        <f>IF(Mecze[[#This Row],[SC]]=0,0,Mecze[[#This Row],[SC]]/Mecze[[#This Row],[CZAS]])</f>
        <v>1.0101010101010102E-2</v>
      </c>
      <c r="Q433" s="32">
        <f>IF(Mecze[[#This Row],[OB]]=0,0,Mecze[[#This Row],[OB]]/Mecze[[#This Row],[CZAS]])</f>
        <v>0</v>
      </c>
      <c r="R433" s="32">
        <f>IF(Mecze[[#This Row],[BR]]=0,0,Mecze[[#This Row],[BR]]/Mecze[[#This Row],[CZAS]])</f>
        <v>0</v>
      </c>
      <c r="S433" s="44">
        <f>IF(Mecze[[#This Row],[Role]]="BR",SUMPRODUCT(Mecze[[#This Row],[/PR:90]:[/BR:90]],Brudnopis!$E$23:$J$23),0)</f>
        <v>0</v>
      </c>
      <c r="T433" s="44">
        <f>IF(Mecze[[#This Row],[Role]]&lt;&gt;"BR",SUMPRODUCT(Mecze[[#This Row],[/PR:90]:[/BR:90]],Brudnopis!$E$24:$J$24),0)</f>
        <v>0.32828282828282823</v>
      </c>
      <c r="U433" s="44">
        <f>IF(Mecze[[#This Row],[Role]]&lt;&gt;"BR",SUMPRODUCT(Mecze[[#This Row],[/PR:90]:[/BR:90]],Brudnopis!$E$25:$J$25),0)</f>
        <v>0.36363636363636359</v>
      </c>
      <c r="V433" s="44">
        <f>IF(Mecze[[#This Row],[Role]]&lt;&gt;"BR",SUMPRODUCT(Mecze[[#This Row],[/PR:90]:[/BR:90]],Brudnopis!$E$26:$J$26),0)</f>
        <v>0.29292929292929293</v>
      </c>
      <c r="W433" s="44">
        <f>IF(Mecze[[#This Row],[Role]]&lt;&gt;"BR",SUMPRODUCT(Mecze[[#This Row],[/PR:90]:[/BR:90]],Brudnopis!$E$27:$J$27),0)</f>
        <v>0.32828282828282823</v>
      </c>
      <c r="X433" s="44">
        <f>IF(Mecze[[#This Row],[Role]]&lt;&gt;"BR",SUMPRODUCT(Mecze[[#This Row],[/PR:90]:[/BR:90]],Brudnopis!$E$28:$J$28),0)</f>
        <v>0.1616161616161616</v>
      </c>
      <c r="Y433" s="35">
        <f>IF(Mecze[[#This Row],[Role]]="BR",Mecze[[#This Row],[/OB:90]]+Mecze[[#This Row],[/PC:90]],SUM(Mecze[[#This Row],[/PR:90]:[/BR:90]]))</f>
        <v>0.29292929292929293</v>
      </c>
      <c r="Z433" s="35">
        <f>IF(Mecze[[#This Row],[KC]]=0,SUM(Mecze[[#This Row],[/BRI]:[/NPI]]),SUM(Mecze[[#This Row],[/BRI]:[/NPI]])*0.6)</f>
        <v>1.4747474747474745</v>
      </c>
      <c r="AA433" s="10">
        <f>IFERROR(Mecze[[#This Row],[BR]]/Mecze[[#This Row],[ST]],0)</f>
        <v>0</v>
      </c>
      <c r="AB433">
        <f>ROUND(Mecze[[#This Row],[PD]]*Mecze[[#This Row],[%PC]],0)</f>
        <v>14</v>
      </c>
      <c r="AC433">
        <f>ROUND(Mecze[[#This Row],[OD]]*Mecze[[#This Row],[%OU]],0)</f>
        <v>7</v>
      </c>
      <c r="AD433" s="36" t="s">
        <v>67</v>
      </c>
      <c r="AE433" s="36">
        <v>26</v>
      </c>
      <c r="AF433" s="71">
        <v>9.9499999999999993</v>
      </c>
      <c r="AG433" s="37">
        <v>0</v>
      </c>
      <c r="AH433" s="37">
        <v>0</v>
      </c>
      <c r="AI433" s="37">
        <v>99</v>
      </c>
      <c r="AJ433" s="37">
        <v>9</v>
      </c>
      <c r="AK433" s="37" t="str">
        <f>VLOOKUP(Mecze[[#This Row],[Match ID]],Meczusie[Mecz]:Meczusie[RodzajMeczu],2,FALSE)</f>
        <v>Liga</v>
      </c>
    </row>
    <row r="434" spans="1:37" x14ac:dyDescent="0.25">
      <c r="A434" s="76">
        <v>13</v>
      </c>
      <c r="B434" s="3" t="s">
        <v>295</v>
      </c>
      <c r="C434" s="2" t="s">
        <v>160</v>
      </c>
      <c r="D434" s="1">
        <v>0</v>
      </c>
      <c r="E434" s="1">
        <v>0</v>
      </c>
      <c r="F434" s="1">
        <v>0</v>
      </c>
      <c r="G434" s="1">
        <v>3</v>
      </c>
      <c r="H434" s="4">
        <v>1</v>
      </c>
      <c r="I434" s="1">
        <v>7</v>
      </c>
      <c r="J434" s="4">
        <v>0.28999999999999998</v>
      </c>
      <c r="K434" s="1">
        <v>0</v>
      </c>
      <c r="L434" s="1">
        <v>2</v>
      </c>
      <c r="M434" s="32">
        <f>IF(Mecze[[#This Row],[PR]]=0,0,Mecze[[#This Row],[PR]]/Mecze[[#This Row],[CZAS]])</f>
        <v>2.0202020202020204E-2</v>
      </c>
      <c r="N434" s="32">
        <f>IF(Mecze[[#This Row],[OU]]=0,0,Mecze[[#This Row],[OU]]/Mecze[[#This Row],[CZAS]])</f>
        <v>2.0202020202020204E-2</v>
      </c>
      <c r="O434" s="32">
        <f>IF(Mecze[[#This Row],[PC]]=0,0,Mecze[[#This Row],[PC]]/Mecze[[#This Row],[CZAS]])</f>
        <v>3.0303030303030304E-2</v>
      </c>
      <c r="P434" s="32">
        <f>IF(Mecze[[#This Row],[SC]]=0,0,Mecze[[#This Row],[SC]]/Mecze[[#This Row],[CZAS]])</f>
        <v>0</v>
      </c>
      <c r="Q434" s="32">
        <f>IF(Mecze[[#This Row],[OB]]=0,0,Mecze[[#This Row],[OB]]/Mecze[[#This Row],[CZAS]])</f>
        <v>0</v>
      </c>
      <c r="R434" s="32">
        <f>IF(Mecze[[#This Row],[BR]]=0,0,Mecze[[#This Row],[BR]]/Mecze[[#This Row],[CZAS]])</f>
        <v>0</v>
      </c>
      <c r="S434" s="44">
        <f>IF(Mecze[[#This Row],[Role]]="BR",SUMPRODUCT(Mecze[[#This Row],[/PR:90]:[/BR:90]],Brudnopis!$E$23:$J$23),0)</f>
        <v>0</v>
      </c>
      <c r="T434" s="44">
        <f>IF(Mecze[[#This Row],[Role]]&lt;&gt;"BR",SUMPRODUCT(Mecze[[#This Row],[/PR:90]:[/BR:90]],Brudnopis!$E$24:$J$24),0)</f>
        <v>8.0808080808080815E-2</v>
      </c>
      <c r="U434" s="44">
        <f>IF(Mecze[[#This Row],[Role]]&lt;&gt;"BR",SUMPRODUCT(Mecze[[#This Row],[/PR:90]:[/BR:90]],Brudnopis!$E$25:$J$25),0)</f>
        <v>8.5858585858585856E-2</v>
      </c>
      <c r="V434" s="44">
        <f>IF(Mecze[[#This Row],[Role]]&lt;&gt;"BR",SUMPRODUCT(Mecze[[#This Row],[/PR:90]:[/BR:90]],Brudnopis!$E$26:$J$26),0)</f>
        <v>7.0707070707070718E-2</v>
      </c>
      <c r="W434" s="44">
        <f>IF(Mecze[[#This Row],[Role]]&lt;&gt;"BR",SUMPRODUCT(Mecze[[#This Row],[/PR:90]:[/BR:90]],Brudnopis!$E$27:$J$27),0)</f>
        <v>7.575757575757576E-2</v>
      </c>
      <c r="X434" s="44">
        <f>IF(Mecze[[#This Row],[Role]]&lt;&gt;"BR",SUMPRODUCT(Mecze[[#This Row],[/PR:90]:[/BR:90]],Brudnopis!$E$28:$J$28),0)</f>
        <v>3.0303030303030304E-2</v>
      </c>
      <c r="Y434" s="35">
        <f>IF(Mecze[[#This Row],[Role]]="BR",Mecze[[#This Row],[/OB:90]]+Mecze[[#This Row],[/PC:90]],SUM(Mecze[[#This Row],[/PR:90]:[/BR:90]]))</f>
        <v>7.0707070707070718E-2</v>
      </c>
      <c r="Z434" s="35">
        <f>IF(Mecze[[#This Row],[KC]]=0,SUM(Mecze[[#This Row],[/BRI]:[/NPI]]),SUM(Mecze[[#This Row],[/BRI]:[/NPI]])*0.6)</f>
        <v>0.34343434343434343</v>
      </c>
      <c r="AA434" s="10">
        <f>IFERROR(Mecze[[#This Row],[BR]]/Mecze[[#This Row],[ST]],0)</f>
        <v>0</v>
      </c>
      <c r="AB434">
        <f>ROUND(Mecze[[#This Row],[PD]]*Mecze[[#This Row],[%PC]],0)</f>
        <v>3</v>
      </c>
      <c r="AC434">
        <f>ROUND(Mecze[[#This Row],[OD]]*Mecze[[#This Row],[%OU]],0)</f>
        <v>2</v>
      </c>
      <c r="AD434" s="36" t="s">
        <v>171</v>
      </c>
      <c r="AE434" s="36">
        <v>26</v>
      </c>
      <c r="AF434" s="71">
        <v>7.46</v>
      </c>
      <c r="AG434" s="37">
        <v>0</v>
      </c>
      <c r="AH434" s="37">
        <v>0</v>
      </c>
      <c r="AI434" s="37">
        <v>99</v>
      </c>
      <c r="AJ434" s="37">
        <v>9</v>
      </c>
      <c r="AK434" s="37" t="str">
        <f>VLOOKUP(Mecze[[#This Row],[Match ID]],Meczusie[Mecz]:Meczusie[RodzajMeczu],2,FALSE)</f>
        <v>Liga</v>
      </c>
    </row>
    <row r="435" spans="1:37" x14ac:dyDescent="0.25">
      <c r="A435" s="76">
        <v>9</v>
      </c>
      <c r="B435" s="3" t="s">
        <v>296</v>
      </c>
      <c r="C435" s="2" t="s">
        <v>160</v>
      </c>
      <c r="D435" s="1">
        <v>0</v>
      </c>
      <c r="E435" s="1">
        <v>0</v>
      </c>
      <c r="F435" s="1">
        <v>0</v>
      </c>
      <c r="G435" s="1">
        <v>11</v>
      </c>
      <c r="H435" s="4">
        <v>0.82</v>
      </c>
      <c r="I435" s="1">
        <v>4</v>
      </c>
      <c r="J435" s="4">
        <v>0.75</v>
      </c>
      <c r="K435" s="1">
        <v>0</v>
      </c>
      <c r="L435" s="1">
        <v>3</v>
      </c>
      <c r="M435" s="32">
        <f>IF(Mecze[[#This Row],[PR]]=0,0,Mecze[[#This Row],[PR]]/Mecze[[#This Row],[CZAS]])</f>
        <v>3.0303030303030304E-2</v>
      </c>
      <c r="N435" s="32">
        <f>IF(Mecze[[#This Row],[OU]]=0,0,Mecze[[#This Row],[OU]]/Mecze[[#This Row],[CZAS]])</f>
        <v>3.0303030303030304E-2</v>
      </c>
      <c r="O435" s="32">
        <f>IF(Mecze[[#This Row],[PC]]=0,0,Mecze[[#This Row],[PC]]/Mecze[[#This Row],[CZAS]])</f>
        <v>9.0909090909090912E-2</v>
      </c>
      <c r="P435" s="32">
        <f>IF(Mecze[[#This Row],[SC]]=0,0,Mecze[[#This Row],[SC]]/Mecze[[#This Row],[CZAS]])</f>
        <v>0</v>
      </c>
      <c r="Q435" s="32">
        <f>IF(Mecze[[#This Row],[OB]]=0,0,Mecze[[#This Row],[OB]]/Mecze[[#This Row],[CZAS]])</f>
        <v>0</v>
      </c>
      <c r="R435" s="32">
        <f>IF(Mecze[[#This Row],[BR]]=0,0,Mecze[[#This Row],[BR]]/Mecze[[#This Row],[CZAS]])</f>
        <v>0</v>
      </c>
      <c r="S435" s="44">
        <f>IF(Mecze[[#This Row],[Role]]="BR",SUMPRODUCT(Mecze[[#This Row],[/PR:90]:[/BR:90]],Brudnopis!$E$23:$J$23),0)</f>
        <v>0</v>
      </c>
      <c r="T435" s="44">
        <f>IF(Mecze[[#This Row],[Role]]&lt;&gt;"BR",SUMPRODUCT(Mecze[[#This Row],[/PR:90]:[/BR:90]],Brudnopis!$E$24:$J$24),0)</f>
        <v>0.16666666666666669</v>
      </c>
      <c r="U435" s="44">
        <f>IF(Mecze[[#This Row],[Role]]&lt;&gt;"BR",SUMPRODUCT(Mecze[[#This Row],[/PR:90]:[/BR:90]],Brudnopis!$E$25:$J$25),0)</f>
        <v>0.19696969696969696</v>
      </c>
      <c r="V435" s="44">
        <f>IF(Mecze[[#This Row],[Role]]&lt;&gt;"BR",SUMPRODUCT(Mecze[[#This Row],[/PR:90]:[/BR:90]],Brudnopis!$E$26:$J$26),0)</f>
        <v>0.15151515151515152</v>
      </c>
      <c r="W435" s="44">
        <f>IF(Mecze[[#This Row],[Role]]&lt;&gt;"BR",SUMPRODUCT(Mecze[[#This Row],[/PR:90]:[/BR:90]],Brudnopis!$E$27:$J$27),0)</f>
        <v>0.18181818181818182</v>
      </c>
      <c r="X435" s="44">
        <f>IF(Mecze[[#This Row],[Role]]&lt;&gt;"BR",SUMPRODUCT(Mecze[[#This Row],[/PR:90]:[/BR:90]],Brudnopis!$E$28:$J$28),0)</f>
        <v>9.0909090909090912E-2</v>
      </c>
      <c r="Y435" s="35">
        <f>IF(Mecze[[#This Row],[Role]]="BR",Mecze[[#This Row],[/OB:90]]+Mecze[[#This Row],[/PC:90]],SUM(Mecze[[#This Row],[/PR:90]:[/BR:90]]))</f>
        <v>0.15151515151515152</v>
      </c>
      <c r="Z435" s="35">
        <f>IF(Mecze[[#This Row],[KC]]=0,SUM(Mecze[[#This Row],[/BRI]:[/NPI]]),SUM(Mecze[[#This Row],[/BRI]:[/NPI]])*0.6)</f>
        <v>0.78787878787878796</v>
      </c>
      <c r="AA435" s="10">
        <f>IFERROR(Mecze[[#This Row],[BR]]/Mecze[[#This Row],[ST]],0)</f>
        <v>0</v>
      </c>
      <c r="AB435">
        <f>ROUND(Mecze[[#This Row],[PD]]*Mecze[[#This Row],[%PC]],0)</f>
        <v>9</v>
      </c>
      <c r="AC435">
        <f>ROUND(Mecze[[#This Row],[OD]]*Mecze[[#This Row],[%OU]],0)</f>
        <v>3</v>
      </c>
      <c r="AD435" s="36" t="s">
        <v>299</v>
      </c>
      <c r="AE435" s="36">
        <v>26</v>
      </c>
      <c r="AF435" s="71">
        <v>9.7899999999999991</v>
      </c>
      <c r="AG435" s="37">
        <v>0</v>
      </c>
      <c r="AH435" s="37">
        <v>0</v>
      </c>
      <c r="AI435" s="37">
        <v>99</v>
      </c>
      <c r="AJ435" s="37">
        <v>9</v>
      </c>
      <c r="AK435" s="37" t="str">
        <f>VLOOKUP(Mecze[[#This Row],[Match ID]],Meczusie[Mecz]:Meczusie[RodzajMeczu],2,FALSE)</f>
        <v>Liga</v>
      </c>
    </row>
    <row r="436" spans="1:37" x14ac:dyDescent="0.25">
      <c r="A436" s="76">
        <v>6</v>
      </c>
      <c r="B436" s="3" t="s">
        <v>297</v>
      </c>
      <c r="C436" s="2" t="s">
        <v>165</v>
      </c>
      <c r="D436" s="1">
        <v>1</v>
      </c>
      <c r="E436" s="1">
        <v>9</v>
      </c>
      <c r="F436" s="1">
        <v>8</v>
      </c>
      <c r="G436" s="1">
        <v>9</v>
      </c>
      <c r="H436" s="4">
        <v>0.89</v>
      </c>
      <c r="I436" s="1">
        <v>0</v>
      </c>
      <c r="J436" s="4"/>
      <c r="K436" s="1">
        <v>0</v>
      </c>
      <c r="L436" s="1">
        <v>0</v>
      </c>
      <c r="M436" s="32">
        <f>IF(Mecze[[#This Row],[PR]]=0,0,Mecze[[#This Row],[PR]]/Mecze[[#This Row],[CZAS]])</f>
        <v>0</v>
      </c>
      <c r="N436" s="32">
        <f>IF(Mecze[[#This Row],[OU]]=0,0,Mecze[[#This Row],[OU]]/Mecze[[#This Row],[CZAS]])</f>
        <v>0</v>
      </c>
      <c r="O436" s="32">
        <f>IF(Mecze[[#This Row],[PC]]=0,0,Mecze[[#This Row],[PC]]/Mecze[[#This Row],[CZAS]])</f>
        <v>8.0808080808080815E-2</v>
      </c>
      <c r="P436" s="32">
        <f>IF(Mecze[[#This Row],[SC]]=0,0,Mecze[[#This Row],[SC]]/Mecze[[#This Row],[CZAS]])</f>
        <v>8.0808080808080815E-2</v>
      </c>
      <c r="Q436" s="32">
        <f>IF(Mecze[[#This Row],[OB]]=0,0,Mecze[[#This Row],[OB]]/Mecze[[#This Row],[CZAS]])</f>
        <v>0</v>
      </c>
      <c r="R436" s="32">
        <f>IF(Mecze[[#This Row],[BR]]=0,0,Mecze[[#This Row],[BR]]/Mecze[[#This Row],[CZAS]])</f>
        <v>1.0101010101010102E-2</v>
      </c>
      <c r="S436" s="44">
        <f>IF(Mecze[[#This Row],[Role]]="BR",SUMPRODUCT(Mecze[[#This Row],[/PR:90]:[/BR:90]],Brudnopis!$E$23:$J$23),0)</f>
        <v>0</v>
      </c>
      <c r="T436" s="44">
        <f>IF(Mecze[[#This Row],[Role]]&lt;&gt;"BR",SUMPRODUCT(Mecze[[#This Row],[/PR:90]:[/BR:90]],Brudnopis!$E$24:$J$24),0)</f>
        <v>0.1767676767676768</v>
      </c>
      <c r="U436" s="44">
        <f>IF(Mecze[[#This Row],[Role]]&lt;&gt;"BR",SUMPRODUCT(Mecze[[#This Row],[/PR:90]:[/BR:90]],Brudnopis!$E$25:$J$25),0)</f>
        <v>0.21717171717171718</v>
      </c>
      <c r="V436" s="44">
        <f>IF(Mecze[[#This Row],[Role]]&lt;&gt;"BR",SUMPRODUCT(Mecze[[#This Row],[/PR:90]:[/BR:90]],Brudnopis!$E$26:$J$26),0)</f>
        <v>0.18181818181818182</v>
      </c>
      <c r="W436" s="44">
        <f>IF(Mecze[[#This Row],[Role]]&lt;&gt;"BR",SUMPRODUCT(Mecze[[#This Row],[/PR:90]:[/BR:90]],Brudnopis!$E$27:$J$27),0)</f>
        <v>0.22222222222222224</v>
      </c>
      <c r="X436" s="44">
        <f>IF(Mecze[[#This Row],[Role]]&lt;&gt;"BR",SUMPRODUCT(Mecze[[#This Row],[/PR:90]:[/BR:90]],Brudnopis!$E$28:$J$28),0)</f>
        <v>0.27272727272727271</v>
      </c>
      <c r="Y436" s="35">
        <f>IF(Mecze[[#This Row],[Role]]="BR",Mecze[[#This Row],[/OB:90]]+Mecze[[#This Row],[/PC:90]],SUM(Mecze[[#This Row],[/PR:90]:[/BR:90]]))</f>
        <v>0.17171717171717174</v>
      </c>
      <c r="Z436" s="35">
        <f>IF(Mecze[[#This Row],[KC]]=0,SUM(Mecze[[#This Row],[/BRI]:[/NPI]]),SUM(Mecze[[#This Row],[/BRI]:[/NPI]])*0.6)</f>
        <v>1.0707070707070707</v>
      </c>
      <c r="AA436" s="10">
        <f>IFERROR(Mecze[[#This Row],[BR]]/Mecze[[#This Row],[ST]],0)</f>
        <v>0.1111111111111111</v>
      </c>
      <c r="AB436">
        <f>ROUND(Mecze[[#This Row],[PD]]*Mecze[[#This Row],[%PC]],0)</f>
        <v>8</v>
      </c>
      <c r="AC436">
        <f>ROUND(Mecze[[#This Row],[OD]]*Mecze[[#This Row],[%OU]],0)</f>
        <v>0</v>
      </c>
      <c r="AD436" s="36" t="s">
        <v>46</v>
      </c>
      <c r="AE436" s="36">
        <v>26</v>
      </c>
      <c r="AF436" s="71">
        <v>10.24</v>
      </c>
      <c r="AG436" s="37">
        <v>0</v>
      </c>
      <c r="AH436" s="37">
        <v>0</v>
      </c>
      <c r="AI436" s="37">
        <v>99</v>
      </c>
      <c r="AJ436" s="37">
        <v>9</v>
      </c>
      <c r="AK436" s="37" t="str">
        <f>VLOOKUP(Mecze[[#This Row],[Match ID]],Meczusie[Mecz]:Meczusie[RodzajMeczu],2,FALSE)</f>
        <v>Liga</v>
      </c>
    </row>
    <row r="437" spans="1:37" x14ac:dyDescent="0.25">
      <c r="A437" s="76">
        <v>10</v>
      </c>
      <c r="B437" s="3" t="s">
        <v>298</v>
      </c>
      <c r="C437" s="2" t="s">
        <v>165</v>
      </c>
      <c r="D437" s="1">
        <v>0</v>
      </c>
      <c r="E437" s="1">
        <v>2</v>
      </c>
      <c r="F437" s="1">
        <v>2</v>
      </c>
      <c r="G437" s="1">
        <v>11</v>
      </c>
      <c r="H437" s="4">
        <v>0.82</v>
      </c>
      <c r="I437" s="1">
        <v>8</v>
      </c>
      <c r="J437" s="4">
        <v>0.5</v>
      </c>
      <c r="K437" s="1">
        <v>0</v>
      </c>
      <c r="L437" s="1">
        <v>0</v>
      </c>
      <c r="M437" s="32">
        <f>IF(Mecze[[#This Row],[PR]]=0,0,Mecze[[#This Row],[PR]]/Mecze[[#This Row],[CZAS]])</f>
        <v>0</v>
      </c>
      <c r="N437" s="32">
        <f>IF(Mecze[[#This Row],[OU]]=0,0,Mecze[[#This Row],[OU]]/Mecze[[#This Row],[CZAS]])</f>
        <v>4.0404040404040407E-2</v>
      </c>
      <c r="O437" s="32">
        <f>IF(Mecze[[#This Row],[PC]]=0,0,Mecze[[#This Row],[PC]]/Mecze[[#This Row],[CZAS]])</f>
        <v>9.0909090909090912E-2</v>
      </c>
      <c r="P437" s="32">
        <f>IF(Mecze[[#This Row],[SC]]=0,0,Mecze[[#This Row],[SC]]/Mecze[[#This Row],[CZAS]])</f>
        <v>2.0202020202020204E-2</v>
      </c>
      <c r="Q437" s="32">
        <f>IF(Mecze[[#This Row],[OB]]=0,0,Mecze[[#This Row],[OB]]/Mecze[[#This Row],[CZAS]])</f>
        <v>0</v>
      </c>
      <c r="R437" s="32">
        <f>IF(Mecze[[#This Row],[BR]]=0,0,Mecze[[#This Row],[BR]]/Mecze[[#This Row],[CZAS]])</f>
        <v>0</v>
      </c>
      <c r="S437" s="44">
        <f>IF(Mecze[[#This Row],[Role]]="BR",SUMPRODUCT(Mecze[[#This Row],[/PR:90]:[/BR:90]],Brudnopis!$E$23:$J$23),0)</f>
        <v>0</v>
      </c>
      <c r="T437" s="44">
        <f>IF(Mecze[[#This Row],[Role]]&lt;&gt;"BR",SUMPRODUCT(Mecze[[#This Row],[/PR:90]:[/BR:90]],Brudnopis!$E$24:$J$24),0)</f>
        <v>0.17171717171717171</v>
      </c>
      <c r="U437" s="44">
        <f>IF(Mecze[[#This Row],[Role]]&lt;&gt;"BR",SUMPRODUCT(Mecze[[#This Row],[/PR:90]:[/BR:90]],Brudnopis!$E$25:$J$25),0)</f>
        <v>0.19696969696969696</v>
      </c>
      <c r="V437" s="44">
        <f>IF(Mecze[[#This Row],[Role]]&lt;&gt;"BR",SUMPRODUCT(Mecze[[#This Row],[/PR:90]:[/BR:90]],Brudnopis!$E$26:$J$26),0)</f>
        <v>0.15151515151515152</v>
      </c>
      <c r="W437" s="44">
        <f>IF(Mecze[[#This Row],[Role]]&lt;&gt;"BR",SUMPRODUCT(Mecze[[#This Row],[/PR:90]:[/BR:90]],Brudnopis!$E$27:$J$27),0)</f>
        <v>0.18686868686868685</v>
      </c>
      <c r="X437" s="44">
        <f>IF(Mecze[[#This Row],[Role]]&lt;&gt;"BR",SUMPRODUCT(Mecze[[#This Row],[/PR:90]:[/BR:90]],Brudnopis!$E$28:$J$28),0)</f>
        <v>0.13131313131313133</v>
      </c>
      <c r="Y437" s="35">
        <f>IF(Mecze[[#This Row],[Role]]="BR",Mecze[[#This Row],[/OB:90]]+Mecze[[#This Row],[/PC:90]],SUM(Mecze[[#This Row],[/PR:90]:[/BR:90]]))</f>
        <v>0.15151515151515152</v>
      </c>
      <c r="Z437" s="35">
        <f>IF(Mecze[[#This Row],[KC]]=0,SUM(Mecze[[#This Row],[/BRI]:[/NPI]]),SUM(Mecze[[#This Row],[/BRI]:[/NPI]])*0.6)</f>
        <v>0.83838383838383845</v>
      </c>
      <c r="AA437" s="10">
        <f>IFERROR(Mecze[[#This Row],[BR]]/Mecze[[#This Row],[ST]],0)</f>
        <v>0</v>
      </c>
      <c r="AB437">
        <f>ROUND(Mecze[[#This Row],[PD]]*Mecze[[#This Row],[%PC]],0)</f>
        <v>9</v>
      </c>
      <c r="AC437">
        <f>ROUND(Mecze[[#This Row],[OD]]*Mecze[[#This Row],[%OU]],0)</f>
        <v>4</v>
      </c>
      <c r="AD437" s="36" t="s">
        <v>46</v>
      </c>
      <c r="AE437" s="36">
        <v>26</v>
      </c>
      <c r="AF437" s="71">
        <v>6.62</v>
      </c>
      <c r="AG437" s="37">
        <v>0</v>
      </c>
      <c r="AH437" s="37">
        <v>0</v>
      </c>
      <c r="AI437" s="37">
        <v>99</v>
      </c>
      <c r="AJ437" s="37">
        <v>9</v>
      </c>
      <c r="AK437" s="37" t="str">
        <f>VLOOKUP(Mecze[[#This Row],[Match ID]],Meczusie[Mecz]:Meczusie[RodzajMeczu],2,FALSE)</f>
        <v>Liga</v>
      </c>
    </row>
    <row r="438" spans="1:37" x14ac:dyDescent="0.25">
      <c r="A438" s="76">
        <v>1</v>
      </c>
      <c r="B438" s="3" t="s">
        <v>169</v>
      </c>
      <c r="C438" s="2" t="s">
        <v>155</v>
      </c>
      <c r="D438" s="1">
        <v>0</v>
      </c>
      <c r="E438" s="1">
        <v>0</v>
      </c>
      <c r="F438" s="1">
        <v>0</v>
      </c>
      <c r="G438" s="1">
        <v>13</v>
      </c>
      <c r="H438" s="4">
        <v>0.85</v>
      </c>
      <c r="I438" s="1">
        <v>0</v>
      </c>
      <c r="J438" s="4"/>
      <c r="K438" s="1">
        <v>8</v>
      </c>
      <c r="L438" s="1">
        <v>0</v>
      </c>
      <c r="M438" s="32">
        <f>IF(Mecze[[#This Row],[PR]]=0,0,Mecze[[#This Row],[PR]]/Mecze[[#This Row],[CZAS]])</f>
        <v>0</v>
      </c>
      <c r="N438" s="32">
        <f>IF(Mecze[[#This Row],[OU]]=0,0,Mecze[[#This Row],[OU]]/Mecze[[#This Row],[CZAS]])</f>
        <v>0</v>
      </c>
      <c r="O438" s="32">
        <f>IF(Mecze[[#This Row],[PC]]=0,0,Mecze[[#This Row],[PC]]/Mecze[[#This Row],[CZAS]])</f>
        <v>0.1111111111111111</v>
      </c>
      <c r="P438" s="32">
        <f>IF(Mecze[[#This Row],[SC]]=0,0,Mecze[[#This Row],[SC]]/Mecze[[#This Row],[CZAS]])</f>
        <v>0</v>
      </c>
      <c r="Q438" s="32">
        <f>IF(Mecze[[#This Row],[OB]]=0,0,Mecze[[#This Row],[OB]]/Mecze[[#This Row],[CZAS]])</f>
        <v>8.0808080808080815E-2</v>
      </c>
      <c r="R438" s="32">
        <f>IF(Mecze[[#This Row],[BR]]=0,0,Mecze[[#This Row],[BR]]/Mecze[[#This Row],[CZAS]])</f>
        <v>0</v>
      </c>
      <c r="S438" s="44">
        <f>IF(Mecze[[#This Row],[Role]]="BR",SUMPRODUCT(Mecze[[#This Row],[/PR:90]:[/BR:90]],Brudnopis!$E$23:$J$23),0)</f>
        <v>0.57575757575757569</v>
      </c>
      <c r="T438" s="44">
        <f>IF(Mecze[[#This Row],[Role]]&lt;&gt;"BR",SUMPRODUCT(Mecze[[#This Row],[/PR:90]:[/BR:90]],Brudnopis!$E$24:$J$24),0)</f>
        <v>0</v>
      </c>
      <c r="U438" s="44">
        <f>IF(Mecze[[#This Row],[Role]]&lt;&gt;"BR",SUMPRODUCT(Mecze[[#This Row],[/PR:90]:[/BR:90]],Brudnopis!$E$25:$J$25),0)</f>
        <v>0</v>
      </c>
      <c r="V438" s="44">
        <f>IF(Mecze[[#This Row],[Role]]&lt;&gt;"BR",SUMPRODUCT(Mecze[[#This Row],[/PR:90]:[/BR:90]],Brudnopis!$E$26:$J$26),0)</f>
        <v>0</v>
      </c>
      <c r="W438" s="44">
        <f>IF(Mecze[[#This Row],[Role]]&lt;&gt;"BR",SUMPRODUCT(Mecze[[#This Row],[/PR:90]:[/BR:90]],Brudnopis!$E$27:$J$27),0)</f>
        <v>0</v>
      </c>
      <c r="X438" s="44">
        <f>IF(Mecze[[#This Row],[Role]]&lt;&gt;"BR",SUMPRODUCT(Mecze[[#This Row],[/PR:90]:[/BR:90]],Brudnopis!$E$28:$J$28),0)</f>
        <v>0</v>
      </c>
      <c r="Y438" s="35">
        <f>IF(Mecze[[#This Row],[Role]]="BR",Mecze[[#This Row],[/OB:90]]+Mecze[[#This Row],[/PC:90]],SUM(Mecze[[#This Row],[/PR:90]:[/BR:90]]))</f>
        <v>0.19191919191919193</v>
      </c>
      <c r="Z438" s="35">
        <f>IF(Mecze[[#This Row],[KC]]=0,SUM(Mecze[[#This Row],[/BRI]:[/NPI]]),SUM(Mecze[[#This Row],[/BRI]:[/NPI]])*0.6)</f>
        <v>0.57575757575757569</v>
      </c>
      <c r="AA438" s="10">
        <f>IFERROR(Mecze[[#This Row],[BR]]/Mecze[[#This Row],[ST]],0)</f>
        <v>0</v>
      </c>
      <c r="AB438">
        <f>ROUND(Mecze[[#This Row],[PD]]*Mecze[[#This Row],[%PC]],0)</f>
        <v>11</v>
      </c>
      <c r="AC438">
        <f>ROUND(Mecze[[#This Row],[OD]]*Mecze[[#This Row],[%OU]],0)</f>
        <v>0</v>
      </c>
      <c r="AD438" s="36" t="s">
        <v>40</v>
      </c>
      <c r="AE438" s="36">
        <v>26</v>
      </c>
      <c r="AF438" s="71">
        <v>6.5</v>
      </c>
      <c r="AG438" s="37">
        <v>0</v>
      </c>
      <c r="AH438" s="37">
        <v>0</v>
      </c>
      <c r="AI438" s="37">
        <v>99</v>
      </c>
      <c r="AJ438" s="37">
        <v>1</v>
      </c>
      <c r="AK438" s="37" t="str">
        <f>VLOOKUP(Mecze[[#This Row],[Match ID]],Meczusie[Mecz]:Meczusie[RodzajMeczu],2,FALSE)</f>
        <v>Liga</v>
      </c>
    </row>
    <row r="439" spans="1:37" x14ac:dyDescent="0.25">
      <c r="A439" s="76">
        <v>18</v>
      </c>
      <c r="B439" s="3" t="s">
        <v>211</v>
      </c>
      <c r="C439" s="2" t="s">
        <v>157</v>
      </c>
      <c r="D439" s="1">
        <v>0</v>
      </c>
      <c r="E439" s="1">
        <v>0</v>
      </c>
      <c r="F439" s="1">
        <v>0</v>
      </c>
      <c r="G439" s="1">
        <v>11</v>
      </c>
      <c r="H439" s="4">
        <v>0.64</v>
      </c>
      <c r="I439" s="1">
        <v>13</v>
      </c>
      <c r="J439" s="4">
        <v>0.46</v>
      </c>
      <c r="K439" s="1">
        <v>0</v>
      </c>
      <c r="L439" s="1">
        <v>9</v>
      </c>
      <c r="M439" s="32">
        <f>IF(Mecze[[#This Row],[PR]]=0,0,Mecze[[#This Row],[PR]]/Mecze[[#This Row],[CZAS]])</f>
        <v>9.0909090909090912E-2</v>
      </c>
      <c r="N439" s="32">
        <f>IF(Mecze[[#This Row],[OU]]=0,0,Mecze[[#This Row],[OU]]/Mecze[[#This Row],[CZAS]])</f>
        <v>6.0606060606060608E-2</v>
      </c>
      <c r="O439" s="32">
        <f>IF(Mecze[[#This Row],[PC]]=0,0,Mecze[[#This Row],[PC]]/Mecze[[#This Row],[CZAS]])</f>
        <v>7.0707070707070704E-2</v>
      </c>
      <c r="P439" s="32">
        <f>IF(Mecze[[#This Row],[SC]]=0,0,Mecze[[#This Row],[SC]]/Mecze[[#This Row],[CZAS]])</f>
        <v>0</v>
      </c>
      <c r="Q439" s="32">
        <f>IF(Mecze[[#This Row],[OB]]=0,0,Mecze[[#This Row],[OB]]/Mecze[[#This Row],[CZAS]])</f>
        <v>0</v>
      </c>
      <c r="R439" s="32">
        <f>IF(Mecze[[#This Row],[BR]]=0,0,Mecze[[#This Row],[BR]]/Mecze[[#This Row],[CZAS]])</f>
        <v>0</v>
      </c>
      <c r="S439" s="44">
        <f>IF(Mecze[[#This Row],[Role]]="BR",SUMPRODUCT(Mecze[[#This Row],[/PR:90]:[/BR:90]],Brudnopis!$E$23:$J$23),0)</f>
        <v>0</v>
      </c>
      <c r="T439" s="44">
        <f>IF(Mecze[[#This Row],[Role]]&lt;&gt;"BR",SUMPRODUCT(Mecze[[#This Row],[/PR:90]:[/BR:90]],Brudnopis!$E$24:$J$24),0)</f>
        <v>0.25252525252525254</v>
      </c>
      <c r="U439" s="44">
        <f>IF(Mecze[[#This Row],[Role]]&lt;&gt;"BR",SUMPRODUCT(Mecze[[#This Row],[/PR:90]:[/BR:90]],Brudnopis!$E$25:$J$25),0)</f>
        <v>0.25757575757575757</v>
      </c>
      <c r="V439" s="44">
        <f>IF(Mecze[[#This Row],[Role]]&lt;&gt;"BR",SUMPRODUCT(Mecze[[#This Row],[/PR:90]:[/BR:90]],Brudnopis!$E$26:$J$26),0)</f>
        <v>0.22222222222222221</v>
      </c>
      <c r="W439" s="44">
        <f>IF(Mecze[[#This Row],[Role]]&lt;&gt;"BR",SUMPRODUCT(Mecze[[#This Row],[/PR:90]:[/BR:90]],Brudnopis!$E$27:$J$27),0)</f>
        <v>0.21969696969696967</v>
      </c>
      <c r="X439" s="44">
        <f>IF(Mecze[[#This Row],[Role]]&lt;&gt;"BR",SUMPRODUCT(Mecze[[#This Row],[/PR:90]:[/BR:90]],Brudnopis!$E$28:$J$28),0)</f>
        <v>7.0707070707070704E-2</v>
      </c>
      <c r="Y439" s="35">
        <f>IF(Mecze[[#This Row],[Role]]="BR",Mecze[[#This Row],[/OB:90]]+Mecze[[#This Row],[/PC:90]],SUM(Mecze[[#This Row],[/PR:90]:[/BR:90]]))</f>
        <v>0.22222222222222221</v>
      </c>
      <c r="Z439" s="35">
        <f>IF(Mecze[[#This Row],[KC]]=0,SUM(Mecze[[#This Row],[/BRI]:[/NPI]]),SUM(Mecze[[#This Row],[/BRI]:[/NPI]])*0.6)</f>
        <v>1.0227272727272727</v>
      </c>
      <c r="AA439" s="10">
        <f>IFERROR(Mecze[[#This Row],[BR]]/Mecze[[#This Row],[ST]],0)</f>
        <v>0</v>
      </c>
      <c r="AB439">
        <f>ROUND(Mecze[[#This Row],[PD]]*Mecze[[#This Row],[%PC]],0)</f>
        <v>7</v>
      </c>
      <c r="AC439">
        <f>ROUND(Mecze[[#This Row],[OD]]*Mecze[[#This Row],[%OU]],0)</f>
        <v>6</v>
      </c>
      <c r="AD439" s="36" t="s">
        <v>47</v>
      </c>
      <c r="AE439" s="36">
        <v>26</v>
      </c>
      <c r="AF439" s="71">
        <v>3.48</v>
      </c>
      <c r="AG439" s="37">
        <v>0</v>
      </c>
      <c r="AH439" s="37">
        <v>0</v>
      </c>
      <c r="AI439" s="37">
        <v>99</v>
      </c>
      <c r="AJ439" s="37">
        <v>1</v>
      </c>
      <c r="AK439" s="37" t="str">
        <f>VLOOKUP(Mecze[[#This Row],[Match ID]],Meczusie[Mecz]:Meczusie[RodzajMeczu],2,FALSE)</f>
        <v>Liga</v>
      </c>
    </row>
    <row r="440" spans="1:37" x14ac:dyDescent="0.25">
      <c r="A440" s="76">
        <v>3</v>
      </c>
      <c r="B440" s="3" t="s">
        <v>158</v>
      </c>
      <c r="C440" s="2" t="s">
        <v>157</v>
      </c>
      <c r="D440" s="1">
        <v>0</v>
      </c>
      <c r="E440" s="1">
        <v>0</v>
      </c>
      <c r="F440" s="1">
        <v>0</v>
      </c>
      <c r="G440" s="1">
        <v>2</v>
      </c>
      <c r="H440" s="4">
        <v>0</v>
      </c>
      <c r="I440" s="1">
        <v>3</v>
      </c>
      <c r="J440" s="4">
        <v>0.67</v>
      </c>
      <c r="K440" s="1">
        <v>0</v>
      </c>
      <c r="L440" s="1">
        <v>4</v>
      </c>
      <c r="M440" s="32">
        <f>IF(Mecze[[#This Row],[PR]]=0,0,Mecze[[#This Row],[PR]]/Mecze[[#This Row],[CZAS]])</f>
        <v>4.0404040404040407E-2</v>
      </c>
      <c r="N440" s="32">
        <f>IF(Mecze[[#This Row],[OU]]=0,0,Mecze[[#This Row],[OU]]/Mecze[[#This Row],[CZAS]])</f>
        <v>2.0202020202020204E-2</v>
      </c>
      <c r="O440" s="32">
        <f>IF(Mecze[[#This Row],[PC]]=0,0,Mecze[[#This Row],[PC]]/Mecze[[#This Row],[CZAS]])</f>
        <v>0</v>
      </c>
      <c r="P440" s="32">
        <f>IF(Mecze[[#This Row],[SC]]=0,0,Mecze[[#This Row],[SC]]/Mecze[[#This Row],[CZAS]])</f>
        <v>0</v>
      </c>
      <c r="Q440" s="32">
        <f>IF(Mecze[[#This Row],[OB]]=0,0,Mecze[[#This Row],[OB]]/Mecze[[#This Row],[CZAS]])</f>
        <v>0</v>
      </c>
      <c r="R440" s="32">
        <f>IF(Mecze[[#This Row],[BR]]=0,0,Mecze[[#This Row],[BR]]/Mecze[[#This Row],[CZAS]])</f>
        <v>0</v>
      </c>
      <c r="S440" s="44">
        <f>IF(Mecze[[#This Row],[Role]]="BR",SUMPRODUCT(Mecze[[#This Row],[/PR:90]:[/BR:90]],Brudnopis!$E$23:$J$23),0)</f>
        <v>0</v>
      </c>
      <c r="T440" s="44">
        <f>IF(Mecze[[#This Row],[Role]]&lt;&gt;"BR",SUMPRODUCT(Mecze[[#This Row],[/PR:90]:[/BR:90]],Brudnopis!$E$24:$J$24),0)</f>
        <v>7.0707070707070718E-2</v>
      </c>
      <c r="U440" s="44">
        <f>IF(Mecze[[#This Row],[Role]]&lt;&gt;"BR",SUMPRODUCT(Mecze[[#This Row],[/PR:90]:[/BR:90]],Brudnopis!$E$25:$J$25),0)</f>
        <v>6.0606060606060608E-2</v>
      </c>
      <c r="V440" s="44">
        <f>IF(Mecze[[#This Row],[Role]]&lt;&gt;"BR",SUMPRODUCT(Mecze[[#This Row],[/PR:90]:[/BR:90]],Brudnopis!$E$26:$J$26),0)</f>
        <v>6.0606060606060608E-2</v>
      </c>
      <c r="W440" s="44">
        <f>IF(Mecze[[#This Row],[Role]]&lt;&gt;"BR",SUMPRODUCT(Mecze[[#This Row],[/PR:90]:[/BR:90]],Brudnopis!$E$27:$J$27),0)</f>
        <v>4.5454545454545456E-2</v>
      </c>
      <c r="X440" s="44">
        <f>IF(Mecze[[#This Row],[Role]]&lt;&gt;"BR",SUMPRODUCT(Mecze[[#This Row],[/PR:90]:[/BR:90]],Brudnopis!$E$28:$J$28),0)</f>
        <v>0</v>
      </c>
      <c r="Y440" s="35">
        <f>IF(Mecze[[#This Row],[Role]]="BR",Mecze[[#This Row],[/OB:90]]+Mecze[[#This Row],[/PC:90]],SUM(Mecze[[#This Row],[/PR:90]:[/BR:90]]))</f>
        <v>6.0606060606060608E-2</v>
      </c>
      <c r="Z440" s="35">
        <f>IF(Mecze[[#This Row],[KC]]=0,SUM(Mecze[[#This Row],[/BRI]:[/NPI]]),SUM(Mecze[[#This Row],[/BRI]:[/NPI]])*0.6)</f>
        <v>0.2373737373737374</v>
      </c>
      <c r="AA440" s="10">
        <f>IFERROR(Mecze[[#This Row],[BR]]/Mecze[[#This Row],[ST]],0)</f>
        <v>0</v>
      </c>
      <c r="AB440">
        <f>ROUND(Mecze[[#This Row],[PD]]*Mecze[[#This Row],[%PC]],0)</f>
        <v>0</v>
      </c>
      <c r="AC440">
        <f>ROUND(Mecze[[#This Row],[OD]]*Mecze[[#This Row],[%OU]],0)</f>
        <v>2</v>
      </c>
      <c r="AD440" s="36" t="s">
        <v>174</v>
      </c>
      <c r="AE440" s="36">
        <v>26</v>
      </c>
      <c r="AF440" s="71">
        <v>3.55</v>
      </c>
      <c r="AG440" s="37">
        <v>0</v>
      </c>
      <c r="AH440" s="37">
        <v>0</v>
      </c>
      <c r="AI440" s="37">
        <v>99</v>
      </c>
      <c r="AJ440" s="37">
        <v>1</v>
      </c>
      <c r="AK440" s="37" t="str">
        <f>VLOOKUP(Mecze[[#This Row],[Match ID]],Meczusie[Mecz]:Meczusie[RodzajMeczu],2,FALSE)</f>
        <v>Liga</v>
      </c>
    </row>
    <row r="441" spans="1:37" x14ac:dyDescent="0.25">
      <c r="A441" s="76">
        <v>2</v>
      </c>
      <c r="B441" s="3" t="s">
        <v>156</v>
      </c>
      <c r="C441" s="2" t="s">
        <v>157</v>
      </c>
      <c r="D441" s="1">
        <v>0</v>
      </c>
      <c r="E441" s="1">
        <v>0</v>
      </c>
      <c r="F441" s="1">
        <v>0</v>
      </c>
      <c r="G441" s="1">
        <v>11</v>
      </c>
      <c r="H441" s="4">
        <v>0.64</v>
      </c>
      <c r="I441" s="1">
        <v>12</v>
      </c>
      <c r="J441" s="4">
        <v>0.57999999999999996</v>
      </c>
      <c r="K441" s="1">
        <v>0</v>
      </c>
      <c r="L441" s="1">
        <v>5</v>
      </c>
      <c r="M441" s="32">
        <f>IF(Mecze[[#This Row],[PR]]=0,0,Mecze[[#This Row],[PR]]/Mecze[[#This Row],[CZAS]])</f>
        <v>5.0505050505050504E-2</v>
      </c>
      <c r="N441" s="32">
        <f>IF(Mecze[[#This Row],[OU]]=0,0,Mecze[[#This Row],[OU]]/Mecze[[#This Row],[CZAS]])</f>
        <v>7.0707070707070704E-2</v>
      </c>
      <c r="O441" s="32">
        <f>IF(Mecze[[#This Row],[PC]]=0,0,Mecze[[#This Row],[PC]]/Mecze[[#This Row],[CZAS]])</f>
        <v>7.0707070707070704E-2</v>
      </c>
      <c r="P441" s="32">
        <f>IF(Mecze[[#This Row],[SC]]=0,0,Mecze[[#This Row],[SC]]/Mecze[[#This Row],[CZAS]])</f>
        <v>0</v>
      </c>
      <c r="Q441" s="32">
        <f>IF(Mecze[[#This Row],[OB]]=0,0,Mecze[[#This Row],[OB]]/Mecze[[#This Row],[CZAS]])</f>
        <v>0</v>
      </c>
      <c r="R441" s="32">
        <f>IF(Mecze[[#This Row],[BR]]=0,0,Mecze[[#This Row],[BR]]/Mecze[[#This Row],[CZAS]])</f>
        <v>0</v>
      </c>
      <c r="S441" s="44">
        <f>IF(Mecze[[#This Row],[Role]]="BR",SUMPRODUCT(Mecze[[#This Row],[/PR:90]:[/BR:90]],Brudnopis!$E$23:$J$23),0)</f>
        <v>0</v>
      </c>
      <c r="T441" s="44">
        <f>IF(Mecze[[#This Row],[Role]]&lt;&gt;"BR",SUMPRODUCT(Mecze[[#This Row],[/PR:90]:[/BR:90]],Brudnopis!$E$24:$J$24),0)</f>
        <v>0.22727272727272724</v>
      </c>
      <c r="U441" s="44">
        <f>IF(Mecze[[#This Row],[Role]]&lt;&gt;"BR",SUMPRODUCT(Mecze[[#This Row],[/PR:90]:[/BR:90]],Brudnopis!$E$25:$J$25),0)</f>
        <v>0.22727272727272727</v>
      </c>
      <c r="V441" s="44">
        <f>IF(Mecze[[#This Row],[Role]]&lt;&gt;"BR",SUMPRODUCT(Mecze[[#This Row],[/PR:90]:[/BR:90]],Brudnopis!$E$26:$J$26),0)</f>
        <v>0.19191919191919193</v>
      </c>
      <c r="W441" s="44">
        <f>IF(Mecze[[#This Row],[Role]]&lt;&gt;"BR",SUMPRODUCT(Mecze[[#This Row],[/PR:90]:[/BR:90]],Brudnopis!$E$27:$J$27),0)</f>
        <v>0.19696969696969696</v>
      </c>
      <c r="X441" s="44">
        <f>IF(Mecze[[#This Row],[Role]]&lt;&gt;"BR",SUMPRODUCT(Mecze[[#This Row],[/PR:90]:[/BR:90]],Brudnopis!$E$28:$J$28),0)</f>
        <v>7.0707070707070704E-2</v>
      </c>
      <c r="Y441" s="35">
        <f>IF(Mecze[[#This Row],[Role]]="BR",Mecze[[#This Row],[/OB:90]]+Mecze[[#This Row],[/PC:90]],SUM(Mecze[[#This Row],[/PR:90]:[/BR:90]]))</f>
        <v>0.19191919191919193</v>
      </c>
      <c r="Z441" s="35">
        <f>IF(Mecze[[#This Row],[KC]]=0,SUM(Mecze[[#This Row],[/BRI]:[/NPI]]),SUM(Mecze[[#This Row],[/BRI]:[/NPI]])*0.6)</f>
        <v>0.91414141414141414</v>
      </c>
      <c r="AA441" s="10">
        <f>IFERROR(Mecze[[#This Row],[BR]]/Mecze[[#This Row],[ST]],0)</f>
        <v>0</v>
      </c>
      <c r="AB441">
        <f>ROUND(Mecze[[#This Row],[PD]]*Mecze[[#This Row],[%PC]],0)</f>
        <v>7</v>
      </c>
      <c r="AC441">
        <f>ROUND(Mecze[[#This Row],[OD]]*Mecze[[#This Row],[%OU]],0)</f>
        <v>7</v>
      </c>
      <c r="AD441" s="36" t="s">
        <v>47</v>
      </c>
      <c r="AE441" s="36">
        <v>26</v>
      </c>
      <c r="AF441" s="71">
        <v>3.76</v>
      </c>
      <c r="AG441" s="37">
        <v>0</v>
      </c>
      <c r="AH441" s="37">
        <v>0</v>
      </c>
      <c r="AI441" s="37">
        <v>99</v>
      </c>
      <c r="AJ441" s="37">
        <v>1</v>
      </c>
      <c r="AK441" s="37" t="str">
        <f>VLOOKUP(Mecze[[#This Row],[Match ID]],Meczusie[Mecz]:Meczusie[RodzajMeczu],2,FALSE)</f>
        <v>Liga</v>
      </c>
    </row>
    <row r="442" spans="1:37" x14ac:dyDescent="0.25">
      <c r="A442" s="76">
        <v>13</v>
      </c>
      <c r="B442" s="3" t="s">
        <v>162</v>
      </c>
      <c r="C442" s="2" t="s">
        <v>157</v>
      </c>
      <c r="D442" s="1">
        <v>0</v>
      </c>
      <c r="E442" s="1">
        <v>0</v>
      </c>
      <c r="F442" s="1">
        <v>0</v>
      </c>
      <c r="G442" s="1">
        <v>4</v>
      </c>
      <c r="H442" s="4">
        <v>1</v>
      </c>
      <c r="I442" s="1">
        <v>3</v>
      </c>
      <c r="J442" s="4">
        <v>0.67</v>
      </c>
      <c r="K442" s="1">
        <v>0</v>
      </c>
      <c r="L442" s="1">
        <v>3</v>
      </c>
      <c r="M442" s="32">
        <f>IF(Mecze[[#This Row],[PR]]=0,0,Mecze[[#This Row],[PR]]/Mecze[[#This Row],[CZAS]])</f>
        <v>3.0303030303030304E-2</v>
      </c>
      <c r="N442" s="32">
        <f>IF(Mecze[[#This Row],[OU]]=0,0,Mecze[[#This Row],[OU]]/Mecze[[#This Row],[CZAS]])</f>
        <v>2.0202020202020204E-2</v>
      </c>
      <c r="O442" s="32">
        <f>IF(Mecze[[#This Row],[PC]]=0,0,Mecze[[#This Row],[PC]]/Mecze[[#This Row],[CZAS]])</f>
        <v>4.0404040404040407E-2</v>
      </c>
      <c r="P442" s="32">
        <f>IF(Mecze[[#This Row],[SC]]=0,0,Mecze[[#This Row],[SC]]/Mecze[[#This Row],[CZAS]])</f>
        <v>0</v>
      </c>
      <c r="Q442" s="32">
        <f>IF(Mecze[[#This Row],[OB]]=0,0,Mecze[[#This Row],[OB]]/Mecze[[#This Row],[CZAS]])</f>
        <v>0</v>
      </c>
      <c r="R442" s="32">
        <f>IF(Mecze[[#This Row],[BR]]=0,0,Mecze[[#This Row],[BR]]/Mecze[[#This Row],[CZAS]])</f>
        <v>0</v>
      </c>
      <c r="S442" s="44">
        <f>IF(Mecze[[#This Row],[Role]]="BR",SUMPRODUCT(Mecze[[#This Row],[/PR:90]:[/BR:90]],Brudnopis!$E$23:$J$23),0)</f>
        <v>0</v>
      </c>
      <c r="T442" s="44">
        <f>IF(Mecze[[#This Row],[Role]]&lt;&gt;"BR",SUMPRODUCT(Mecze[[#This Row],[/PR:90]:[/BR:90]],Brudnopis!$E$24:$J$24),0)</f>
        <v>0.10101010101010102</v>
      </c>
      <c r="U442" s="44">
        <f>IF(Mecze[[#This Row],[Role]]&lt;&gt;"BR",SUMPRODUCT(Mecze[[#This Row],[/PR:90]:[/BR:90]],Brudnopis!$E$25:$J$25),0)</f>
        <v>0.11111111111111112</v>
      </c>
      <c r="V442" s="44">
        <f>IF(Mecze[[#This Row],[Role]]&lt;&gt;"BR",SUMPRODUCT(Mecze[[#This Row],[/PR:90]:[/BR:90]],Brudnopis!$E$26:$J$26),0)</f>
        <v>9.0909090909090912E-2</v>
      </c>
      <c r="W442" s="44">
        <f>IF(Mecze[[#This Row],[Role]]&lt;&gt;"BR",SUMPRODUCT(Mecze[[#This Row],[/PR:90]:[/BR:90]],Brudnopis!$E$27:$J$27),0)</f>
        <v>9.8484848484848481E-2</v>
      </c>
      <c r="X442" s="44">
        <f>IF(Mecze[[#This Row],[Role]]&lt;&gt;"BR",SUMPRODUCT(Mecze[[#This Row],[/PR:90]:[/BR:90]],Brudnopis!$E$28:$J$28),0)</f>
        <v>4.0404040404040407E-2</v>
      </c>
      <c r="Y442" s="35">
        <f>IF(Mecze[[#This Row],[Role]]="BR",Mecze[[#This Row],[/OB:90]]+Mecze[[#This Row],[/PC:90]],SUM(Mecze[[#This Row],[/PR:90]:[/BR:90]]))</f>
        <v>9.0909090909090912E-2</v>
      </c>
      <c r="Z442" s="35">
        <f>IF(Mecze[[#This Row],[KC]]=0,SUM(Mecze[[#This Row],[/BRI]:[/NPI]]),SUM(Mecze[[#This Row],[/BRI]:[/NPI]])*0.6)</f>
        <v>0.44191919191919199</v>
      </c>
      <c r="AA442" s="10">
        <f>IFERROR(Mecze[[#This Row],[BR]]/Mecze[[#This Row],[ST]],0)</f>
        <v>0</v>
      </c>
      <c r="AB442">
        <f>ROUND(Mecze[[#This Row],[PD]]*Mecze[[#This Row],[%PC]],0)</f>
        <v>4</v>
      </c>
      <c r="AC442">
        <f>ROUND(Mecze[[#This Row],[OD]]*Mecze[[#This Row],[%OU]],0)</f>
        <v>2</v>
      </c>
      <c r="AD442" s="36" t="s">
        <v>175</v>
      </c>
      <c r="AE442" s="36">
        <v>26</v>
      </c>
      <c r="AF442" s="71">
        <v>3.34</v>
      </c>
      <c r="AG442" s="37">
        <v>0</v>
      </c>
      <c r="AH442" s="37">
        <v>0</v>
      </c>
      <c r="AI442" s="37">
        <v>99</v>
      </c>
      <c r="AJ442" s="37">
        <v>1</v>
      </c>
      <c r="AK442" s="37" t="str">
        <f>VLOOKUP(Mecze[[#This Row],[Match ID]],Meczusie[Mecz]:Meczusie[RodzajMeczu],2,FALSE)</f>
        <v>Liga</v>
      </c>
    </row>
    <row r="443" spans="1:37" x14ac:dyDescent="0.25">
      <c r="A443" s="76">
        <v>6</v>
      </c>
      <c r="B443" s="3" t="s">
        <v>159</v>
      </c>
      <c r="C443" s="2" t="s">
        <v>160</v>
      </c>
      <c r="D443" s="1">
        <v>0</v>
      </c>
      <c r="E443" s="1">
        <v>0</v>
      </c>
      <c r="F443" s="1">
        <v>0</v>
      </c>
      <c r="G443" s="1">
        <v>12</v>
      </c>
      <c r="H443" s="4">
        <v>0.33</v>
      </c>
      <c r="I443" s="1">
        <v>11</v>
      </c>
      <c r="J443" s="4">
        <v>0.36</v>
      </c>
      <c r="K443" s="1">
        <v>0</v>
      </c>
      <c r="L443" s="1">
        <v>4</v>
      </c>
      <c r="M443" s="32">
        <f>IF(Mecze[[#This Row],[PR]]=0,0,Mecze[[#This Row],[PR]]/Mecze[[#This Row],[CZAS]])</f>
        <v>4.0404040404040407E-2</v>
      </c>
      <c r="N443" s="32">
        <f>IF(Mecze[[#This Row],[OU]]=0,0,Mecze[[#This Row],[OU]]/Mecze[[#This Row],[CZAS]])</f>
        <v>4.0404040404040407E-2</v>
      </c>
      <c r="O443" s="32">
        <f>IF(Mecze[[#This Row],[PC]]=0,0,Mecze[[#This Row],[PC]]/Mecze[[#This Row],[CZAS]])</f>
        <v>4.0404040404040407E-2</v>
      </c>
      <c r="P443" s="32">
        <f>IF(Mecze[[#This Row],[SC]]=0,0,Mecze[[#This Row],[SC]]/Mecze[[#This Row],[CZAS]])</f>
        <v>0</v>
      </c>
      <c r="Q443" s="32">
        <f>IF(Mecze[[#This Row],[OB]]=0,0,Mecze[[#This Row],[OB]]/Mecze[[#This Row],[CZAS]])</f>
        <v>0</v>
      </c>
      <c r="R443" s="32">
        <f>IF(Mecze[[#This Row],[BR]]=0,0,Mecze[[#This Row],[BR]]/Mecze[[#This Row],[CZAS]])</f>
        <v>0</v>
      </c>
      <c r="S443" s="44">
        <f>IF(Mecze[[#This Row],[Role]]="BR",SUMPRODUCT(Mecze[[#This Row],[/PR:90]:[/BR:90]],Brudnopis!$E$23:$J$23),0)</f>
        <v>0</v>
      </c>
      <c r="T443" s="44">
        <f>IF(Mecze[[#This Row],[Role]]&lt;&gt;"BR",SUMPRODUCT(Mecze[[#This Row],[/PR:90]:[/BR:90]],Brudnopis!$E$24:$J$24),0)</f>
        <v>0.14141414141414144</v>
      </c>
      <c r="U443" s="44">
        <f>IF(Mecze[[#This Row],[Role]]&lt;&gt;"BR",SUMPRODUCT(Mecze[[#This Row],[/PR:90]:[/BR:90]],Brudnopis!$E$25:$J$25),0)</f>
        <v>0.14141414141414144</v>
      </c>
      <c r="V443" s="44">
        <f>IF(Mecze[[#This Row],[Role]]&lt;&gt;"BR",SUMPRODUCT(Mecze[[#This Row],[/PR:90]:[/BR:90]],Brudnopis!$E$26:$J$26),0)</f>
        <v>0.12121212121212122</v>
      </c>
      <c r="W443" s="44">
        <f>IF(Mecze[[#This Row],[Role]]&lt;&gt;"BR",SUMPRODUCT(Mecze[[#This Row],[/PR:90]:[/BR:90]],Brudnopis!$E$27:$J$27),0)</f>
        <v>0.12121212121212122</v>
      </c>
      <c r="X443" s="44">
        <f>IF(Mecze[[#This Row],[Role]]&lt;&gt;"BR",SUMPRODUCT(Mecze[[#This Row],[/PR:90]:[/BR:90]],Brudnopis!$E$28:$J$28),0)</f>
        <v>4.0404040404040407E-2</v>
      </c>
      <c r="Y443" s="35">
        <f>IF(Mecze[[#This Row],[Role]]="BR",Mecze[[#This Row],[/OB:90]]+Mecze[[#This Row],[/PC:90]],SUM(Mecze[[#This Row],[/PR:90]:[/BR:90]]))</f>
        <v>0.12121212121212122</v>
      </c>
      <c r="Z443" s="35">
        <f>IF(Mecze[[#This Row],[KC]]=0,SUM(Mecze[[#This Row],[/BRI]:[/NPI]]),SUM(Mecze[[#This Row],[/BRI]:[/NPI]])*0.6)</f>
        <v>0.56565656565656575</v>
      </c>
      <c r="AA443" s="10">
        <f>IFERROR(Mecze[[#This Row],[BR]]/Mecze[[#This Row],[ST]],0)</f>
        <v>0</v>
      </c>
      <c r="AB443">
        <f>ROUND(Mecze[[#This Row],[PD]]*Mecze[[#This Row],[%PC]],0)</f>
        <v>4</v>
      </c>
      <c r="AC443">
        <f>ROUND(Mecze[[#This Row],[OD]]*Mecze[[#This Row],[%OU]],0)</f>
        <v>4</v>
      </c>
      <c r="AD443" s="36" t="s">
        <v>173</v>
      </c>
      <c r="AE443" s="36">
        <v>26</v>
      </c>
      <c r="AF443" s="71">
        <v>2.4300000000000002</v>
      </c>
      <c r="AG443" s="37">
        <v>1</v>
      </c>
      <c r="AH443" s="37">
        <v>0</v>
      </c>
      <c r="AI443" s="37">
        <v>99</v>
      </c>
      <c r="AJ443" s="37">
        <v>1</v>
      </c>
      <c r="AK443" s="37" t="str">
        <f>VLOOKUP(Mecze[[#This Row],[Match ID]],Meczusie[Mecz]:Meczusie[RodzajMeczu],2,FALSE)</f>
        <v>Liga</v>
      </c>
    </row>
    <row r="444" spans="1:37" x14ac:dyDescent="0.25">
      <c r="A444" s="76">
        <v>5</v>
      </c>
      <c r="B444" s="3" t="s">
        <v>161</v>
      </c>
      <c r="C444" s="2" t="s">
        <v>160</v>
      </c>
      <c r="D444" s="1">
        <v>0</v>
      </c>
      <c r="E444" s="1">
        <v>0</v>
      </c>
      <c r="F444" s="1">
        <v>0</v>
      </c>
      <c r="G444" s="1">
        <v>9</v>
      </c>
      <c r="H444" s="4">
        <v>0.67</v>
      </c>
      <c r="I444" s="1">
        <v>3</v>
      </c>
      <c r="J444" s="4">
        <v>0.67</v>
      </c>
      <c r="K444" s="1">
        <v>0</v>
      </c>
      <c r="L444" s="1">
        <v>3</v>
      </c>
      <c r="M444" s="32">
        <f>IF(Mecze[[#This Row],[PR]]=0,0,Mecze[[#This Row],[PR]]/Mecze[[#This Row],[CZAS]])</f>
        <v>3.0303030303030304E-2</v>
      </c>
      <c r="N444" s="32">
        <f>IF(Mecze[[#This Row],[OU]]=0,0,Mecze[[#This Row],[OU]]/Mecze[[#This Row],[CZAS]])</f>
        <v>2.0202020202020204E-2</v>
      </c>
      <c r="O444" s="32">
        <f>IF(Mecze[[#This Row],[PC]]=0,0,Mecze[[#This Row],[PC]]/Mecze[[#This Row],[CZAS]])</f>
        <v>6.0606060606060608E-2</v>
      </c>
      <c r="P444" s="32">
        <f>IF(Mecze[[#This Row],[SC]]=0,0,Mecze[[#This Row],[SC]]/Mecze[[#This Row],[CZAS]])</f>
        <v>0</v>
      </c>
      <c r="Q444" s="32">
        <f>IF(Mecze[[#This Row],[OB]]=0,0,Mecze[[#This Row],[OB]]/Mecze[[#This Row],[CZAS]])</f>
        <v>0</v>
      </c>
      <c r="R444" s="32">
        <f>IF(Mecze[[#This Row],[BR]]=0,0,Mecze[[#This Row],[BR]]/Mecze[[#This Row],[CZAS]])</f>
        <v>0</v>
      </c>
      <c r="S444" s="44">
        <f>IF(Mecze[[#This Row],[Role]]="BR",SUMPRODUCT(Mecze[[#This Row],[/PR:90]:[/BR:90]],Brudnopis!$E$23:$J$23),0)</f>
        <v>0</v>
      </c>
      <c r="T444" s="44">
        <f>IF(Mecze[[#This Row],[Role]]&lt;&gt;"BR",SUMPRODUCT(Mecze[[#This Row],[/PR:90]:[/BR:90]],Brudnopis!$E$24:$J$24),0)</f>
        <v>0.12121212121212122</v>
      </c>
      <c r="U444" s="44">
        <f>IF(Mecze[[#This Row],[Role]]&lt;&gt;"BR",SUMPRODUCT(Mecze[[#This Row],[/PR:90]:[/BR:90]],Brudnopis!$E$25:$J$25),0)</f>
        <v>0.14141414141414144</v>
      </c>
      <c r="V444" s="44">
        <f>IF(Mecze[[#This Row],[Role]]&lt;&gt;"BR",SUMPRODUCT(Mecze[[#This Row],[/PR:90]:[/BR:90]],Brudnopis!$E$26:$J$26),0)</f>
        <v>0.11111111111111112</v>
      </c>
      <c r="W444" s="44">
        <f>IF(Mecze[[#This Row],[Role]]&lt;&gt;"BR",SUMPRODUCT(Mecze[[#This Row],[/PR:90]:[/BR:90]],Brudnopis!$E$27:$J$27),0)</f>
        <v>0.12878787878787878</v>
      </c>
      <c r="X444" s="44">
        <f>IF(Mecze[[#This Row],[Role]]&lt;&gt;"BR",SUMPRODUCT(Mecze[[#This Row],[/PR:90]:[/BR:90]],Brudnopis!$E$28:$J$28),0)</f>
        <v>6.0606060606060608E-2</v>
      </c>
      <c r="Y444" s="35">
        <f>IF(Mecze[[#This Row],[Role]]="BR",Mecze[[#This Row],[/OB:90]]+Mecze[[#This Row],[/PC:90]],SUM(Mecze[[#This Row],[/PR:90]:[/BR:90]]))</f>
        <v>0.11111111111111112</v>
      </c>
      <c r="Z444" s="35">
        <f>IF(Mecze[[#This Row],[KC]]=0,SUM(Mecze[[#This Row],[/BRI]:[/NPI]]),SUM(Mecze[[#This Row],[/BRI]:[/NPI]])*0.6)</f>
        <v>0.56313131313131315</v>
      </c>
      <c r="AA444" s="10">
        <f>IFERROR(Mecze[[#This Row],[BR]]/Mecze[[#This Row],[ST]],0)</f>
        <v>0</v>
      </c>
      <c r="AB444">
        <f>ROUND(Mecze[[#This Row],[PD]]*Mecze[[#This Row],[%PC]],0)</f>
        <v>6</v>
      </c>
      <c r="AC444">
        <f>ROUND(Mecze[[#This Row],[OD]]*Mecze[[#This Row],[%OU]],0)</f>
        <v>2</v>
      </c>
      <c r="AD444" s="36" t="s">
        <v>172</v>
      </c>
      <c r="AE444" s="36">
        <v>26</v>
      </c>
      <c r="AF444" s="71">
        <v>4.54</v>
      </c>
      <c r="AG444" s="37">
        <v>0</v>
      </c>
      <c r="AH444" s="37">
        <v>0</v>
      </c>
      <c r="AI444" s="37">
        <v>99</v>
      </c>
      <c r="AJ444" s="37">
        <v>1</v>
      </c>
      <c r="AK444" s="37" t="str">
        <f>VLOOKUP(Mecze[[#This Row],[Match ID]],Meczusie[Mecz]:Meczusie[RodzajMeczu],2,FALSE)</f>
        <v>Liga</v>
      </c>
    </row>
    <row r="445" spans="1:37" x14ac:dyDescent="0.25">
      <c r="A445" s="76">
        <v>15</v>
      </c>
      <c r="B445" s="3" t="s">
        <v>170</v>
      </c>
      <c r="C445" s="2" t="s">
        <v>160</v>
      </c>
      <c r="D445" s="1">
        <v>0</v>
      </c>
      <c r="E445" s="1">
        <v>1</v>
      </c>
      <c r="F445" s="1">
        <v>1</v>
      </c>
      <c r="G445" s="1">
        <v>19</v>
      </c>
      <c r="H445" s="4">
        <v>0.63</v>
      </c>
      <c r="I445" s="1">
        <v>16</v>
      </c>
      <c r="J445" s="4">
        <v>0.5</v>
      </c>
      <c r="K445" s="1">
        <v>0</v>
      </c>
      <c r="L445" s="1">
        <v>3</v>
      </c>
      <c r="M445" s="32">
        <f>IF(Mecze[[#This Row],[PR]]=0,0,Mecze[[#This Row],[PR]]/Mecze[[#This Row],[CZAS]])</f>
        <v>3.0303030303030304E-2</v>
      </c>
      <c r="N445" s="32">
        <f>IF(Mecze[[#This Row],[OU]]=0,0,Mecze[[#This Row],[OU]]/Mecze[[#This Row],[CZAS]])</f>
        <v>8.0808080808080815E-2</v>
      </c>
      <c r="O445" s="32">
        <f>IF(Mecze[[#This Row],[PC]]=0,0,Mecze[[#This Row],[PC]]/Mecze[[#This Row],[CZAS]])</f>
        <v>0.12121212121212122</v>
      </c>
      <c r="P445" s="32">
        <f>IF(Mecze[[#This Row],[SC]]=0,0,Mecze[[#This Row],[SC]]/Mecze[[#This Row],[CZAS]])</f>
        <v>1.0101010101010102E-2</v>
      </c>
      <c r="Q445" s="32">
        <f>IF(Mecze[[#This Row],[OB]]=0,0,Mecze[[#This Row],[OB]]/Mecze[[#This Row],[CZAS]])</f>
        <v>0</v>
      </c>
      <c r="R445" s="32">
        <f>IF(Mecze[[#This Row],[BR]]=0,0,Mecze[[#This Row],[BR]]/Mecze[[#This Row],[CZAS]])</f>
        <v>0</v>
      </c>
      <c r="S445" s="44">
        <f>IF(Mecze[[#This Row],[Role]]="BR",SUMPRODUCT(Mecze[[#This Row],[/PR:90]:[/BR:90]],Brudnopis!$E$23:$J$23),0)</f>
        <v>0</v>
      </c>
      <c r="T445" s="44">
        <f>IF(Mecze[[#This Row],[Role]]&lt;&gt;"BR",SUMPRODUCT(Mecze[[#This Row],[/PR:90]:[/BR:90]],Brudnopis!$E$24:$J$24),0)</f>
        <v>0.28282828282828282</v>
      </c>
      <c r="U445" s="44">
        <f>IF(Mecze[[#This Row],[Role]]&lt;&gt;"BR",SUMPRODUCT(Mecze[[#This Row],[/PR:90]:[/BR:90]],Brudnopis!$E$25:$J$25),0)</f>
        <v>0.30303030303030304</v>
      </c>
      <c r="V445" s="44">
        <f>IF(Mecze[[#This Row],[Role]]&lt;&gt;"BR",SUMPRODUCT(Mecze[[#This Row],[/PR:90]:[/BR:90]],Brudnopis!$E$26:$J$26),0)</f>
        <v>0.24242424242424243</v>
      </c>
      <c r="W445" s="44">
        <f>IF(Mecze[[#This Row],[Role]]&lt;&gt;"BR",SUMPRODUCT(Mecze[[#This Row],[/PR:90]:[/BR:90]],Brudnopis!$E$27:$J$27),0)</f>
        <v>0.27525252525252525</v>
      </c>
      <c r="X445" s="44">
        <f>IF(Mecze[[#This Row],[Role]]&lt;&gt;"BR",SUMPRODUCT(Mecze[[#This Row],[/PR:90]:[/BR:90]],Brudnopis!$E$28:$J$28),0)</f>
        <v>0.14141414141414141</v>
      </c>
      <c r="Y445" s="35">
        <f>IF(Mecze[[#This Row],[Role]]="BR",Mecze[[#This Row],[/OB:90]]+Mecze[[#This Row],[/PC:90]],SUM(Mecze[[#This Row],[/PR:90]:[/BR:90]]))</f>
        <v>0.24242424242424243</v>
      </c>
      <c r="Z445" s="35">
        <f>IF(Mecze[[#This Row],[KC]]=0,SUM(Mecze[[#This Row],[/BRI]:[/NPI]]),SUM(Mecze[[#This Row],[/BRI]:[/NPI]])*0.6)</f>
        <v>1.244949494949495</v>
      </c>
      <c r="AA445" s="10">
        <f>IFERROR(Mecze[[#This Row],[BR]]/Mecze[[#This Row],[ST]],0)</f>
        <v>0</v>
      </c>
      <c r="AB445">
        <f>ROUND(Mecze[[#This Row],[PD]]*Mecze[[#This Row],[%PC]],0)</f>
        <v>12</v>
      </c>
      <c r="AC445">
        <f>ROUND(Mecze[[#This Row],[OD]]*Mecze[[#This Row],[%OU]],0)</f>
        <v>8</v>
      </c>
      <c r="AD445" s="36" t="s">
        <v>41</v>
      </c>
      <c r="AE445" s="36">
        <v>26</v>
      </c>
      <c r="AF445" s="71">
        <v>4.7699999999999996</v>
      </c>
      <c r="AG445" s="37">
        <v>0</v>
      </c>
      <c r="AH445" s="37">
        <v>0</v>
      </c>
      <c r="AI445" s="37">
        <v>99</v>
      </c>
      <c r="AJ445" s="37">
        <v>1</v>
      </c>
      <c r="AK445" s="37" t="str">
        <f>VLOOKUP(Mecze[[#This Row],[Match ID]],Meczusie[Mecz]:Meczusie[RodzajMeczu],2,FALSE)</f>
        <v>Liga</v>
      </c>
    </row>
    <row r="446" spans="1:37" x14ac:dyDescent="0.25">
      <c r="A446" s="76">
        <v>8</v>
      </c>
      <c r="B446" s="3" t="s">
        <v>154</v>
      </c>
      <c r="C446" s="2" t="s">
        <v>165</v>
      </c>
      <c r="D446" s="1">
        <v>0</v>
      </c>
      <c r="E446" s="1">
        <v>4</v>
      </c>
      <c r="F446" s="1">
        <v>4</v>
      </c>
      <c r="G446" s="1">
        <v>5</v>
      </c>
      <c r="H446" s="4">
        <v>0.4</v>
      </c>
      <c r="I446" s="1">
        <v>1</v>
      </c>
      <c r="J446" s="4">
        <v>0</v>
      </c>
      <c r="K446" s="1">
        <v>0</v>
      </c>
      <c r="L446" s="1">
        <v>1</v>
      </c>
      <c r="M446" s="32">
        <f>IF(Mecze[[#This Row],[PR]]=0,0,Mecze[[#This Row],[PR]]/Mecze[[#This Row],[CZAS]])</f>
        <v>1.0101010101010102E-2</v>
      </c>
      <c r="N446" s="32">
        <f>IF(Mecze[[#This Row],[OU]]=0,0,Mecze[[#This Row],[OU]]/Mecze[[#This Row],[CZAS]])</f>
        <v>0</v>
      </c>
      <c r="O446" s="32">
        <f>IF(Mecze[[#This Row],[PC]]=0,0,Mecze[[#This Row],[PC]]/Mecze[[#This Row],[CZAS]])</f>
        <v>2.0202020202020204E-2</v>
      </c>
      <c r="P446" s="32">
        <f>IF(Mecze[[#This Row],[SC]]=0,0,Mecze[[#This Row],[SC]]/Mecze[[#This Row],[CZAS]])</f>
        <v>4.0404040404040407E-2</v>
      </c>
      <c r="Q446" s="32">
        <f>IF(Mecze[[#This Row],[OB]]=0,0,Mecze[[#This Row],[OB]]/Mecze[[#This Row],[CZAS]])</f>
        <v>0</v>
      </c>
      <c r="R446" s="32">
        <f>IF(Mecze[[#This Row],[BR]]=0,0,Mecze[[#This Row],[BR]]/Mecze[[#This Row],[CZAS]])</f>
        <v>0</v>
      </c>
      <c r="S446" s="44">
        <f>IF(Mecze[[#This Row],[Role]]="BR",SUMPRODUCT(Mecze[[#This Row],[/PR:90]:[/BR:90]],Brudnopis!$E$23:$J$23),0)</f>
        <v>0</v>
      </c>
      <c r="T446" s="44">
        <f>IF(Mecze[[#This Row],[Role]]&lt;&gt;"BR",SUMPRODUCT(Mecze[[#This Row],[/PR:90]:[/BR:90]],Brudnopis!$E$24:$J$24),0)</f>
        <v>7.0707070707070718E-2</v>
      </c>
      <c r="U446" s="44">
        <f>IF(Mecze[[#This Row],[Role]]&lt;&gt;"BR",SUMPRODUCT(Mecze[[#This Row],[/PR:90]:[/BR:90]],Brudnopis!$E$25:$J$25),0)</f>
        <v>8.0808080808080815E-2</v>
      </c>
      <c r="V446" s="44">
        <f>IF(Mecze[[#This Row],[Role]]&lt;&gt;"BR",SUMPRODUCT(Mecze[[#This Row],[/PR:90]:[/BR:90]],Brudnopis!$E$26:$J$26),0)</f>
        <v>7.0707070707070718E-2</v>
      </c>
      <c r="W446" s="44">
        <f>IF(Mecze[[#This Row],[Role]]&lt;&gt;"BR",SUMPRODUCT(Mecze[[#This Row],[/PR:90]:[/BR:90]],Brudnopis!$E$27:$J$27),0)</f>
        <v>7.8282828282828287E-2</v>
      </c>
      <c r="X446" s="44">
        <f>IF(Mecze[[#This Row],[Role]]&lt;&gt;"BR",SUMPRODUCT(Mecze[[#This Row],[/PR:90]:[/BR:90]],Brudnopis!$E$28:$J$28),0)</f>
        <v>0.10101010101010102</v>
      </c>
      <c r="Y446" s="35">
        <f>IF(Mecze[[#This Row],[Role]]="BR",Mecze[[#This Row],[/OB:90]]+Mecze[[#This Row],[/PC:90]],SUM(Mecze[[#This Row],[/PR:90]:[/BR:90]]))</f>
        <v>7.0707070707070718E-2</v>
      </c>
      <c r="Z446" s="35">
        <f>IF(Mecze[[#This Row],[KC]]=0,SUM(Mecze[[#This Row],[/BRI]:[/NPI]]),SUM(Mecze[[#This Row],[/BRI]:[/NPI]])*0.6)</f>
        <v>0.4015151515151516</v>
      </c>
      <c r="AA446" s="10">
        <f>IFERROR(Mecze[[#This Row],[BR]]/Mecze[[#This Row],[ST]],0)</f>
        <v>0</v>
      </c>
      <c r="AB446">
        <f>ROUND(Mecze[[#This Row],[PD]]*Mecze[[#This Row],[%PC]],0)</f>
        <v>2</v>
      </c>
      <c r="AC446">
        <f>ROUND(Mecze[[#This Row],[OD]]*Mecze[[#This Row],[%OU]],0)</f>
        <v>0</v>
      </c>
      <c r="AD446" s="36" t="s">
        <v>46</v>
      </c>
      <c r="AE446" s="36">
        <v>26</v>
      </c>
      <c r="AF446" s="71">
        <v>3.59</v>
      </c>
      <c r="AG446" s="37">
        <v>0</v>
      </c>
      <c r="AH446" s="37">
        <v>0</v>
      </c>
      <c r="AI446" s="37">
        <v>99</v>
      </c>
      <c r="AJ446" s="37">
        <v>1</v>
      </c>
      <c r="AK446" s="37" t="str">
        <f>VLOOKUP(Mecze[[#This Row],[Match ID]],Meczusie[Mecz]:Meczusie[RodzajMeczu],2,FALSE)</f>
        <v>Liga</v>
      </c>
    </row>
    <row r="447" spans="1:37" x14ac:dyDescent="0.25">
      <c r="A447" s="76">
        <v>19</v>
      </c>
      <c r="B447" s="3" t="s">
        <v>166</v>
      </c>
      <c r="C447" s="2" t="s">
        <v>165</v>
      </c>
      <c r="D447" s="1">
        <v>0</v>
      </c>
      <c r="E447" s="1">
        <v>5</v>
      </c>
      <c r="F447" s="1">
        <v>3</v>
      </c>
      <c r="G447" s="1">
        <v>5</v>
      </c>
      <c r="H447" s="4">
        <v>0.4</v>
      </c>
      <c r="I447" s="1">
        <v>3</v>
      </c>
      <c r="J447" s="4">
        <v>0.33</v>
      </c>
      <c r="K447" s="1">
        <v>0</v>
      </c>
      <c r="L447" s="1">
        <v>0</v>
      </c>
      <c r="M447" s="32">
        <f>IF(Mecze[[#This Row],[PR]]=0,0,Mecze[[#This Row],[PR]]/Mecze[[#This Row],[CZAS]])</f>
        <v>0</v>
      </c>
      <c r="N447" s="32">
        <f>IF(Mecze[[#This Row],[OU]]=0,0,Mecze[[#This Row],[OU]]/Mecze[[#This Row],[CZAS]])</f>
        <v>1.0101010101010102E-2</v>
      </c>
      <c r="O447" s="32">
        <f>IF(Mecze[[#This Row],[PC]]=0,0,Mecze[[#This Row],[PC]]/Mecze[[#This Row],[CZAS]])</f>
        <v>2.0202020202020204E-2</v>
      </c>
      <c r="P447" s="32">
        <f>IF(Mecze[[#This Row],[SC]]=0,0,Mecze[[#This Row],[SC]]/Mecze[[#This Row],[CZAS]])</f>
        <v>3.0303030303030304E-2</v>
      </c>
      <c r="Q447" s="32">
        <f>IF(Mecze[[#This Row],[OB]]=0,0,Mecze[[#This Row],[OB]]/Mecze[[#This Row],[CZAS]])</f>
        <v>0</v>
      </c>
      <c r="R447" s="32">
        <f>IF(Mecze[[#This Row],[BR]]=0,0,Mecze[[#This Row],[BR]]/Mecze[[#This Row],[CZAS]])</f>
        <v>0</v>
      </c>
      <c r="S447" s="44">
        <f>IF(Mecze[[#This Row],[Role]]="BR",SUMPRODUCT(Mecze[[#This Row],[/PR:90]:[/BR:90]],Brudnopis!$E$23:$J$23),0)</f>
        <v>0</v>
      </c>
      <c r="T447" s="44">
        <f>IF(Mecze[[#This Row],[Role]]&lt;&gt;"BR",SUMPRODUCT(Mecze[[#This Row],[/PR:90]:[/BR:90]],Brudnopis!$E$24:$J$24),0)</f>
        <v>6.5656565656565663E-2</v>
      </c>
      <c r="U447" s="44">
        <f>IF(Mecze[[#This Row],[Role]]&lt;&gt;"BR",SUMPRODUCT(Mecze[[#This Row],[/PR:90]:[/BR:90]],Brudnopis!$E$25:$J$25),0)</f>
        <v>7.0707070707070718E-2</v>
      </c>
      <c r="V447" s="44">
        <f>IF(Mecze[[#This Row],[Role]]&lt;&gt;"BR",SUMPRODUCT(Mecze[[#This Row],[/PR:90]:[/BR:90]],Brudnopis!$E$26:$J$26),0)</f>
        <v>6.0606060606060608E-2</v>
      </c>
      <c r="W447" s="44">
        <f>IF(Mecze[[#This Row],[Role]]&lt;&gt;"BR",SUMPRODUCT(Mecze[[#This Row],[/PR:90]:[/BR:90]],Brudnopis!$E$27:$J$27),0)</f>
        <v>6.8181818181818177E-2</v>
      </c>
      <c r="X447" s="44">
        <f>IF(Mecze[[#This Row],[Role]]&lt;&gt;"BR",SUMPRODUCT(Mecze[[#This Row],[/PR:90]:[/BR:90]],Brudnopis!$E$28:$J$28),0)</f>
        <v>8.0808080808080815E-2</v>
      </c>
      <c r="Y447" s="35">
        <f>IF(Mecze[[#This Row],[Role]]="BR",Mecze[[#This Row],[/OB:90]]+Mecze[[#This Row],[/PC:90]],SUM(Mecze[[#This Row],[/PR:90]:[/BR:90]]))</f>
        <v>6.0606060606060608E-2</v>
      </c>
      <c r="Z447" s="35">
        <f>IF(Mecze[[#This Row],[KC]]=0,SUM(Mecze[[#This Row],[/BRI]:[/NPI]]),SUM(Mecze[[#This Row],[/BRI]:[/NPI]])*0.6)</f>
        <v>0.34595959595959597</v>
      </c>
      <c r="AA447" s="10">
        <f>IFERROR(Mecze[[#This Row],[BR]]/Mecze[[#This Row],[ST]],0)</f>
        <v>0</v>
      </c>
      <c r="AB447">
        <f>ROUND(Mecze[[#This Row],[PD]]*Mecze[[#This Row],[%PC]],0)</f>
        <v>2</v>
      </c>
      <c r="AC447">
        <f>ROUND(Mecze[[#This Row],[OD]]*Mecze[[#This Row],[%OU]],0)</f>
        <v>1</v>
      </c>
      <c r="AD447" s="36" t="s">
        <v>46</v>
      </c>
      <c r="AE447" s="36">
        <v>26</v>
      </c>
      <c r="AF447" s="71">
        <v>3.37</v>
      </c>
      <c r="AG447" s="37">
        <v>0</v>
      </c>
      <c r="AH447" s="37">
        <v>0</v>
      </c>
      <c r="AI447" s="37">
        <v>99</v>
      </c>
      <c r="AJ447" s="37">
        <v>1</v>
      </c>
      <c r="AK447" s="37" t="str">
        <f>VLOOKUP(Mecze[[#This Row],[Match ID]],Meczusie[Mecz]:Meczusie[RodzajMeczu],2,FALSE)</f>
        <v>Liga</v>
      </c>
    </row>
    <row r="448" spans="1:37" x14ac:dyDescent="0.25">
      <c r="A448" s="76">
        <v>14</v>
      </c>
      <c r="B448" s="3" t="s">
        <v>164</v>
      </c>
      <c r="C448" s="2" t="s">
        <v>165</v>
      </c>
      <c r="D448" s="1">
        <v>0</v>
      </c>
      <c r="E448" s="1">
        <v>2</v>
      </c>
      <c r="F448" s="1">
        <v>2</v>
      </c>
      <c r="G448" s="1">
        <v>6</v>
      </c>
      <c r="H448" s="4">
        <v>0.67</v>
      </c>
      <c r="I448" s="1">
        <v>1</v>
      </c>
      <c r="J448" s="4">
        <v>0</v>
      </c>
      <c r="K448" s="1">
        <v>0</v>
      </c>
      <c r="L448" s="1">
        <v>0</v>
      </c>
      <c r="M448" s="32">
        <f>IF(Mecze[[#This Row],[PR]]=0,0,Mecze[[#This Row],[PR]]/Mecze[[#This Row],[CZAS]])</f>
        <v>0</v>
      </c>
      <c r="N448" s="32">
        <f>IF(Mecze[[#This Row],[OU]]=0,0,Mecze[[#This Row],[OU]]/Mecze[[#This Row],[CZAS]])</f>
        <v>0</v>
      </c>
      <c r="O448" s="32">
        <f>IF(Mecze[[#This Row],[PC]]=0,0,Mecze[[#This Row],[PC]]/Mecze[[#This Row],[CZAS]])</f>
        <v>4.0404040404040407E-2</v>
      </c>
      <c r="P448" s="32">
        <f>IF(Mecze[[#This Row],[SC]]=0,0,Mecze[[#This Row],[SC]]/Mecze[[#This Row],[CZAS]])</f>
        <v>2.0202020202020204E-2</v>
      </c>
      <c r="Q448" s="32">
        <f>IF(Mecze[[#This Row],[OB]]=0,0,Mecze[[#This Row],[OB]]/Mecze[[#This Row],[CZAS]])</f>
        <v>0</v>
      </c>
      <c r="R448" s="32">
        <f>IF(Mecze[[#This Row],[BR]]=0,0,Mecze[[#This Row],[BR]]/Mecze[[#This Row],[CZAS]])</f>
        <v>0</v>
      </c>
      <c r="S448" s="44">
        <f>IF(Mecze[[#This Row],[Role]]="BR",SUMPRODUCT(Mecze[[#This Row],[/PR:90]:[/BR:90]],Brudnopis!$E$23:$J$23),0)</f>
        <v>0</v>
      </c>
      <c r="T448" s="44">
        <f>IF(Mecze[[#This Row],[Role]]&lt;&gt;"BR",SUMPRODUCT(Mecze[[#This Row],[/PR:90]:[/BR:90]],Brudnopis!$E$24:$J$24),0)</f>
        <v>6.0606060606060608E-2</v>
      </c>
      <c r="U448" s="44">
        <f>IF(Mecze[[#This Row],[Role]]&lt;&gt;"BR",SUMPRODUCT(Mecze[[#This Row],[/PR:90]:[/BR:90]],Brudnopis!$E$25:$J$25),0)</f>
        <v>8.0808080808080815E-2</v>
      </c>
      <c r="V448" s="44">
        <f>IF(Mecze[[#This Row],[Role]]&lt;&gt;"BR",SUMPRODUCT(Mecze[[#This Row],[/PR:90]:[/BR:90]],Brudnopis!$E$26:$J$26),0)</f>
        <v>6.0606060606060608E-2</v>
      </c>
      <c r="W448" s="44">
        <f>IF(Mecze[[#This Row],[Role]]&lt;&gt;"BR",SUMPRODUCT(Mecze[[#This Row],[/PR:90]:[/BR:90]],Brudnopis!$E$27:$J$27),0)</f>
        <v>8.0808080808080815E-2</v>
      </c>
      <c r="X448" s="44">
        <f>IF(Mecze[[#This Row],[Role]]&lt;&gt;"BR",SUMPRODUCT(Mecze[[#This Row],[/PR:90]:[/BR:90]],Brudnopis!$E$28:$J$28),0)</f>
        <v>8.0808080808080815E-2</v>
      </c>
      <c r="Y448" s="35">
        <f>IF(Mecze[[#This Row],[Role]]="BR",Mecze[[#This Row],[/OB:90]]+Mecze[[#This Row],[/PC:90]],SUM(Mecze[[#This Row],[/PR:90]:[/BR:90]]))</f>
        <v>6.0606060606060608E-2</v>
      </c>
      <c r="Z448" s="35">
        <f>IF(Mecze[[#This Row],[KC]]=0,SUM(Mecze[[#This Row],[/BRI]:[/NPI]]),SUM(Mecze[[#This Row],[/BRI]:[/NPI]])*0.6)</f>
        <v>0.3636363636363637</v>
      </c>
      <c r="AA448" s="10">
        <f>IFERROR(Mecze[[#This Row],[BR]]/Mecze[[#This Row],[ST]],0)</f>
        <v>0</v>
      </c>
      <c r="AB448">
        <f>ROUND(Mecze[[#This Row],[PD]]*Mecze[[#This Row],[%PC]],0)</f>
        <v>4</v>
      </c>
      <c r="AC448">
        <f>ROUND(Mecze[[#This Row],[OD]]*Mecze[[#This Row],[%OU]],0)</f>
        <v>0</v>
      </c>
      <c r="AD448" s="36" t="s">
        <v>46</v>
      </c>
      <c r="AE448" s="36">
        <v>26</v>
      </c>
      <c r="AF448" s="71">
        <v>4.4800000000000004</v>
      </c>
      <c r="AG448" s="37">
        <v>0</v>
      </c>
      <c r="AH448" s="37">
        <v>0</v>
      </c>
      <c r="AI448" s="37">
        <v>99</v>
      </c>
      <c r="AJ448" s="37">
        <v>1</v>
      </c>
      <c r="AK448" s="37" t="str">
        <f>VLOOKUP(Mecze[[#This Row],[Match ID]],Meczusie[Mecz]:Meczusie[RodzajMeczu],2,FALSE)</f>
        <v>Liga</v>
      </c>
    </row>
    <row r="449" spans="1:37" x14ac:dyDescent="0.25">
      <c r="A449" s="76">
        <v>1</v>
      </c>
      <c r="B449" s="3" t="s">
        <v>304</v>
      </c>
      <c r="C449" s="2" t="s">
        <v>155</v>
      </c>
      <c r="D449" s="1">
        <v>0</v>
      </c>
      <c r="E449" s="1">
        <v>0</v>
      </c>
      <c r="F449" s="1">
        <v>0</v>
      </c>
      <c r="G449" s="1">
        <v>17</v>
      </c>
      <c r="H449" s="4">
        <v>0.41</v>
      </c>
      <c r="I449" s="1">
        <v>0</v>
      </c>
      <c r="J449" s="4"/>
      <c r="K449" s="1">
        <v>17</v>
      </c>
      <c r="L449" s="1">
        <v>0</v>
      </c>
      <c r="M449" s="32">
        <f>IF(Mecze[[#This Row],[PR]]=0,0,Mecze[[#This Row],[PR]]/Mecze[[#This Row],[CZAS]])</f>
        <v>0</v>
      </c>
      <c r="N449" s="32">
        <f>IF(Mecze[[#This Row],[OU]]=0,0,Mecze[[#This Row],[OU]]/Mecze[[#This Row],[CZAS]])</f>
        <v>0</v>
      </c>
      <c r="O449" s="32">
        <f>IF(Mecze[[#This Row],[PC]]=0,0,Mecze[[#This Row],[PC]]/Mecze[[#This Row],[CZAS]])</f>
        <v>7.3684210526315783E-2</v>
      </c>
      <c r="P449" s="32">
        <f>IF(Mecze[[#This Row],[SC]]=0,0,Mecze[[#This Row],[SC]]/Mecze[[#This Row],[CZAS]])</f>
        <v>0</v>
      </c>
      <c r="Q449" s="32">
        <f>IF(Mecze[[#This Row],[OB]]=0,0,Mecze[[#This Row],[OB]]/Mecze[[#This Row],[CZAS]])</f>
        <v>0.17894736842105263</v>
      </c>
      <c r="R449" s="32">
        <f>IF(Mecze[[#This Row],[BR]]=0,0,Mecze[[#This Row],[BR]]/Mecze[[#This Row],[CZAS]])</f>
        <v>0</v>
      </c>
      <c r="S449" s="44">
        <f>IF(Mecze[[#This Row],[Role]]="BR",SUMPRODUCT(Mecze[[#This Row],[/PR:90]:[/BR:90]],Brudnopis!$E$23:$J$23),0)</f>
        <v>0.75789473684210518</v>
      </c>
      <c r="T449" s="44">
        <f>IF(Mecze[[#This Row],[Role]]&lt;&gt;"BR",SUMPRODUCT(Mecze[[#This Row],[/PR:90]:[/BR:90]],Brudnopis!$E$24:$J$24),0)</f>
        <v>0</v>
      </c>
      <c r="U449" s="44">
        <f>IF(Mecze[[#This Row],[Role]]&lt;&gt;"BR",SUMPRODUCT(Mecze[[#This Row],[/PR:90]:[/BR:90]],Brudnopis!$E$25:$J$25),0)</f>
        <v>0</v>
      </c>
      <c r="V449" s="44">
        <f>IF(Mecze[[#This Row],[Role]]&lt;&gt;"BR",SUMPRODUCT(Mecze[[#This Row],[/PR:90]:[/BR:90]],Brudnopis!$E$26:$J$26),0)</f>
        <v>0</v>
      </c>
      <c r="W449" s="44">
        <f>IF(Mecze[[#This Row],[Role]]&lt;&gt;"BR",SUMPRODUCT(Mecze[[#This Row],[/PR:90]:[/BR:90]],Brudnopis!$E$27:$J$27),0)</f>
        <v>0</v>
      </c>
      <c r="X449" s="44">
        <f>IF(Mecze[[#This Row],[Role]]&lt;&gt;"BR",SUMPRODUCT(Mecze[[#This Row],[/PR:90]:[/BR:90]],Brudnopis!$E$28:$J$28),0)</f>
        <v>0</v>
      </c>
      <c r="Y449" s="35">
        <f>IF(Mecze[[#This Row],[Role]]="BR",Mecze[[#This Row],[/OB:90]]+Mecze[[#This Row],[/PC:90]],SUM(Mecze[[#This Row],[/PR:90]:[/BR:90]]))</f>
        <v>0.25263157894736843</v>
      </c>
      <c r="Z449" s="35">
        <f>IF(Mecze[[#This Row],[KC]]=0,SUM(Mecze[[#This Row],[/BRI]:[/NPI]]),SUM(Mecze[[#This Row],[/BRI]:[/NPI]])*0.6)</f>
        <v>0.75789473684210518</v>
      </c>
      <c r="AA449" s="10">
        <f>IFERROR(Mecze[[#This Row],[BR]]/Mecze[[#This Row],[ST]],0)</f>
        <v>0</v>
      </c>
      <c r="AB449">
        <f>ROUND(Mecze[[#This Row],[PD]]*Mecze[[#This Row],[%PC]],0)</f>
        <v>7</v>
      </c>
      <c r="AC449">
        <f>ROUND(Mecze[[#This Row],[OD]]*Mecze[[#This Row],[%OU]],0)</f>
        <v>0</v>
      </c>
      <c r="AD449" s="36" t="s">
        <v>40</v>
      </c>
      <c r="AE449" s="36">
        <v>27</v>
      </c>
      <c r="AF449" s="71">
        <v>7.54</v>
      </c>
      <c r="AG449" s="37">
        <v>0</v>
      </c>
      <c r="AH449" s="37">
        <v>0</v>
      </c>
      <c r="AI449" s="37">
        <v>95</v>
      </c>
      <c r="AJ449" s="37">
        <v>8</v>
      </c>
      <c r="AK449" s="37" t="str">
        <f>VLOOKUP(Mecze[[#This Row],[Match ID]],Meczusie[Mecz]:Meczusie[RodzajMeczu],2,FALSE)</f>
        <v>Liga</v>
      </c>
    </row>
    <row r="450" spans="1:37" x14ac:dyDescent="0.25">
      <c r="A450" s="76">
        <v>5</v>
      </c>
      <c r="B450" s="3" t="s">
        <v>305</v>
      </c>
      <c r="C450" s="2" t="s">
        <v>157</v>
      </c>
      <c r="D450" s="1">
        <v>0</v>
      </c>
      <c r="E450" s="1">
        <v>0</v>
      </c>
      <c r="F450" s="1">
        <v>0</v>
      </c>
      <c r="G450" s="1">
        <v>7</v>
      </c>
      <c r="H450" s="4">
        <v>0.56999999999999995</v>
      </c>
      <c r="I450" s="1">
        <v>7</v>
      </c>
      <c r="J450" s="4">
        <v>0.43</v>
      </c>
      <c r="K450" s="1">
        <v>0</v>
      </c>
      <c r="L450" s="1">
        <v>4</v>
      </c>
      <c r="M450" s="32">
        <f>IF(Mecze[[#This Row],[PR]]=0,0,Mecze[[#This Row],[PR]]/Mecze[[#This Row],[CZAS]])</f>
        <v>4.2105263157894736E-2</v>
      </c>
      <c r="N450" s="32">
        <f>IF(Mecze[[#This Row],[OU]]=0,0,Mecze[[#This Row],[OU]]/Mecze[[#This Row],[CZAS]])</f>
        <v>3.1578947368421054E-2</v>
      </c>
      <c r="O450" s="32">
        <f>IF(Mecze[[#This Row],[PC]]=0,0,Mecze[[#This Row],[PC]]/Mecze[[#This Row],[CZAS]])</f>
        <v>4.2105263157894736E-2</v>
      </c>
      <c r="P450" s="32">
        <f>IF(Mecze[[#This Row],[SC]]=0,0,Mecze[[#This Row],[SC]]/Mecze[[#This Row],[CZAS]])</f>
        <v>0</v>
      </c>
      <c r="Q450" s="32">
        <f>IF(Mecze[[#This Row],[OB]]=0,0,Mecze[[#This Row],[OB]]/Mecze[[#This Row],[CZAS]])</f>
        <v>0</v>
      </c>
      <c r="R450" s="32">
        <f>IF(Mecze[[#This Row],[BR]]=0,0,Mecze[[#This Row],[BR]]/Mecze[[#This Row],[CZAS]])</f>
        <v>0</v>
      </c>
      <c r="S450" s="44">
        <f>IF(Mecze[[#This Row],[Role]]="BR",SUMPRODUCT(Mecze[[#This Row],[/PR:90]:[/BR:90]],Brudnopis!$E$23:$J$23),0)</f>
        <v>0</v>
      </c>
      <c r="T450" s="44">
        <f>IF(Mecze[[#This Row],[Role]]&lt;&gt;"BR",SUMPRODUCT(Mecze[[#This Row],[/PR:90]:[/BR:90]],Brudnopis!$E$24:$J$24),0)</f>
        <v>0.13157894736842105</v>
      </c>
      <c r="U450" s="44">
        <f>IF(Mecze[[#This Row],[Role]]&lt;&gt;"BR",SUMPRODUCT(Mecze[[#This Row],[/PR:90]:[/BR:90]],Brudnopis!$E$25:$J$25),0)</f>
        <v>0.1368421052631579</v>
      </c>
      <c r="V450" s="44">
        <f>IF(Mecze[[#This Row],[Role]]&lt;&gt;"BR",SUMPRODUCT(Mecze[[#This Row],[/PR:90]:[/BR:90]],Brudnopis!$E$26:$J$26),0)</f>
        <v>0.11578947368421053</v>
      </c>
      <c r="W450" s="44">
        <f>IF(Mecze[[#This Row],[Role]]&lt;&gt;"BR",SUMPRODUCT(Mecze[[#This Row],[/PR:90]:[/BR:90]],Brudnopis!$E$27:$J$27),0)</f>
        <v>0.11842105263157895</v>
      </c>
      <c r="X450" s="44">
        <f>IF(Mecze[[#This Row],[Role]]&lt;&gt;"BR",SUMPRODUCT(Mecze[[#This Row],[/PR:90]:[/BR:90]],Brudnopis!$E$28:$J$28),0)</f>
        <v>4.2105263157894736E-2</v>
      </c>
      <c r="Y450" s="35">
        <f>IF(Mecze[[#This Row],[Role]]="BR",Mecze[[#This Row],[/OB:90]]+Mecze[[#This Row],[/PC:90]],SUM(Mecze[[#This Row],[/PR:90]:[/BR:90]]))</f>
        <v>0.11578947368421053</v>
      </c>
      <c r="Z450" s="35">
        <f>IF(Mecze[[#This Row],[KC]]=0,SUM(Mecze[[#This Row],[/BRI]:[/NPI]]),SUM(Mecze[[#This Row],[/BRI]:[/NPI]])*0.6)</f>
        <v>0.54473684210526319</v>
      </c>
      <c r="AA450" s="10">
        <f>IFERROR(Mecze[[#This Row],[BR]]/Mecze[[#This Row],[ST]],0)</f>
        <v>0</v>
      </c>
      <c r="AB450">
        <f>ROUND(Mecze[[#This Row],[PD]]*Mecze[[#This Row],[%PC]],0)</f>
        <v>4</v>
      </c>
      <c r="AC450">
        <f>ROUND(Mecze[[#This Row],[OD]]*Mecze[[#This Row],[%OU]],0)</f>
        <v>3</v>
      </c>
      <c r="AD450" s="36" t="s">
        <v>47</v>
      </c>
      <c r="AE450" s="36">
        <v>27</v>
      </c>
      <c r="AF450" s="71">
        <v>2.4300000000000002</v>
      </c>
      <c r="AG450" s="37">
        <v>0</v>
      </c>
      <c r="AH450" s="37">
        <v>0</v>
      </c>
      <c r="AI450" s="37">
        <v>95</v>
      </c>
      <c r="AJ450" s="37">
        <v>8</v>
      </c>
      <c r="AK450" s="37" t="str">
        <f>VLOOKUP(Mecze[[#This Row],[Match ID]],Meczusie[Mecz]:Meczusie[RodzajMeczu],2,FALSE)</f>
        <v>Liga</v>
      </c>
    </row>
    <row r="451" spans="1:37" x14ac:dyDescent="0.25">
      <c r="A451" s="76">
        <v>23</v>
      </c>
      <c r="B451" s="3" t="s">
        <v>306</v>
      </c>
      <c r="C451" s="2" t="s">
        <v>157</v>
      </c>
      <c r="D451" s="1">
        <v>0</v>
      </c>
      <c r="E451" s="1">
        <v>0</v>
      </c>
      <c r="F451" s="1">
        <v>0</v>
      </c>
      <c r="G451" s="1">
        <v>8</v>
      </c>
      <c r="H451" s="4">
        <v>0.63</v>
      </c>
      <c r="I451" s="1">
        <v>8</v>
      </c>
      <c r="J451" s="4">
        <v>0.75</v>
      </c>
      <c r="K451" s="1">
        <v>0</v>
      </c>
      <c r="L451" s="1">
        <v>7</v>
      </c>
      <c r="M451" s="32">
        <f>IF(Mecze[[#This Row],[PR]]=0,0,Mecze[[#This Row],[PR]]/Mecze[[#This Row],[CZAS]])</f>
        <v>7.3684210526315783E-2</v>
      </c>
      <c r="N451" s="32">
        <f>IF(Mecze[[#This Row],[OU]]=0,0,Mecze[[#This Row],[OU]]/Mecze[[#This Row],[CZAS]])</f>
        <v>6.3157894736842107E-2</v>
      </c>
      <c r="O451" s="32">
        <f>IF(Mecze[[#This Row],[PC]]=0,0,Mecze[[#This Row],[PC]]/Mecze[[#This Row],[CZAS]])</f>
        <v>5.2631578947368418E-2</v>
      </c>
      <c r="P451" s="32">
        <f>IF(Mecze[[#This Row],[SC]]=0,0,Mecze[[#This Row],[SC]]/Mecze[[#This Row],[CZAS]])</f>
        <v>0</v>
      </c>
      <c r="Q451" s="32">
        <f>IF(Mecze[[#This Row],[OB]]=0,0,Mecze[[#This Row],[OB]]/Mecze[[#This Row],[CZAS]])</f>
        <v>0</v>
      </c>
      <c r="R451" s="32">
        <f>IF(Mecze[[#This Row],[BR]]=0,0,Mecze[[#This Row],[BR]]/Mecze[[#This Row],[CZAS]])</f>
        <v>0</v>
      </c>
      <c r="S451" s="44">
        <f>IF(Mecze[[#This Row],[Role]]="BR",SUMPRODUCT(Mecze[[#This Row],[/PR:90]:[/BR:90]],Brudnopis!$E$23:$J$23),0)</f>
        <v>0</v>
      </c>
      <c r="T451" s="44">
        <f>IF(Mecze[[#This Row],[Role]]&lt;&gt;"BR",SUMPRODUCT(Mecze[[#This Row],[/PR:90]:[/BR:90]],Brudnopis!$E$24:$J$24),0)</f>
        <v>0.22105263157894736</v>
      </c>
      <c r="U451" s="44">
        <f>IF(Mecze[[#This Row],[Role]]&lt;&gt;"BR",SUMPRODUCT(Mecze[[#This Row],[/PR:90]:[/BR:90]],Brudnopis!$E$25:$J$25),0)</f>
        <v>0.2157894736842105</v>
      </c>
      <c r="V451" s="44">
        <f>IF(Mecze[[#This Row],[Role]]&lt;&gt;"BR",SUMPRODUCT(Mecze[[#This Row],[/PR:90]:[/BR:90]],Brudnopis!$E$26:$J$26),0)</f>
        <v>0.18947368421052629</v>
      </c>
      <c r="W451" s="44">
        <f>IF(Mecze[[#This Row],[Role]]&lt;&gt;"BR",SUMPRODUCT(Mecze[[#This Row],[/PR:90]:[/BR:90]],Brudnopis!$E$27:$J$27),0)</f>
        <v>0.18157894736842103</v>
      </c>
      <c r="X451" s="44">
        <f>IF(Mecze[[#This Row],[Role]]&lt;&gt;"BR",SUMPRODUCT(Mecze[[#This Row],[/PR:90]:[/BR:90]],Brudnopis!$E$28:$J$28),0)</f>
        <v>5.2631578947368418E-2</v>
      </c>
      <c r="Y451" s="35">
        <f>IF(Mecze[[#This Row],[Role]]="BR",Mecze[[#This Row],[/OB:90]]+Mecze[[#This Row],[/PC:90]],SUM(Mecze[[#This Row],[/PR:90]:[/BR:90]]))</f>
        <v>0.18947368421052629</v>
      </c>
      <c r="Z451" s="35">
        <f>IF(Mecze[[#This Row],[KC]]=0,SUM(Mecze[[#This Row],[/BRI]:[/NPI]]),SUM(Mecze[[#This Row],[/BRI]:[/NPI]])*0.6)</f>
        <v>0.86052631578947358</v>
      </c>
      <c r="AA451" s="10">
        <f>IFERROR(Mecze[[#This Row],[BR]]/Mecze[[#This Row],[ST]],0)</f>
        <v>0</v>
      </c>
      <c r="AB451">
        <f>ROUND(Mecze[[#This Row],[PD]]*Mecze[[#This Row],[%PC]],0)</f>
        <v>5</v>
      </c>
      <c r="AC451">
        <f>ROUND(Mecze[[#This Row],[OD]]*Mecze[[#This Row],[%OU]],0)</f>
        <v>6</v>
      </c>
      <c r="AD451" s="36" t="s">
        <v>167</v>
      </c>
      <c r="AE451" s="36">
        <v>27</v>
      </c>
      <c r="AF451" s="71">
        <v>4.18</v>
      </c>
      <c r="AG451" s="37">
        <v>0</v>
      </c>
      <c r="AH451" s="37">
        <v>0</v>
      </c>
      <c r="AI451" s="37">
        <v>95</v>
      </c>
      <c r="AJ451" s="37">
        <v>8</v>
      </c>
      <c r="AK451" s="37" t="str">
        <f>VLOOKUP(Mecze[[#This Row],[Match ID]],Meczusie[Mecz]:Meczusie[RodzajMeczu],2,FALSE)</f>
        <v>Liga</v>
      </c>
    </row>
    <row r="452" spans="1:37" x14ac:dyDescent="0.25">
      <c r="A452" s="76">
        <v>2</v>
      </c>
      <c r="B452" s="3" t="s">
        <v>307</v>
      </c>
      <c r="C452" s="2" t="s">
        <v>157</v>
      </c>
      <c r="D452" s="1">
        <v>0</v>
      </c>
      <c r="E452" s="1">
        <v>0</v>
      </c>
      <c r="F452" s="1">
        <v>0</v>
      </c>
      <c r="G452" s="1">
        <v>0</v>
      </c>
      <c r="H452" s="72"/>
      <c r="I452" s="1">
        <v>0</v>
      </c>
      <c r="J452" s="4"/>
      <c r="K452" s="1">
        <v>0</v>
      </c>
      <c r="L452" s="1">
        <v>0</v>
      </c>
      <c r="M452" s="32">
        <f>IF(Mecze[[#This Row],[PR]]=0,0,Mecze[[#This Row],[PR]]/Mecze[[#This Row],[CZAS]])</f>
        <v>0</v>
      </c>
      <c r="N452" s="32">
        <f>IF(Mecze[[#This Row],[OU]]=0,0,Mecze[[#This Row],[OU]]/Mecze[[#This Row],[CZAS]])</f>
        <v>0</v>
      </c>
      <c r="O452" s="32">
        <f>IF(Mecze[[#This Row],[PC]]=0,0,Mecze[[#This Row],[PC]]/Mecze[[#This Row],[CZAS]])</f>
        <v>0</v>
      </c>
      <c r="P452" s="32">
        <f>IF(Mecze[[#This Row],[SC]]=0,0,Mecze[[#This Row],[SC]]/Mecze[[#This Row],[CZAS]])</f>
        <v>0</v>
      </c>
      <c r="Q452" s="32">
        <f>IF(Mecze[[#This Row],[OB]]=0,0,Mecze[[#This Row],[OB]]/Mecze[[#This Row],[CZAS]])</f>
        <v>0</v>
      </c>
      <c r="R452" s="32">
        <f>IF(Mecze[[#This Row],[BR]]=0,0,Mecze[[#This Row],[BR]]/Mecze[[#This Row],[CZAS]])</f>
        <v>0</v>
      </c>
      <c r="S452" s="44">
        <f>IF(Mecze[[#This Row],[Role]]="BR",SUMPRODUCT(Mecze[[#This Row],[/PR:90]:[/BR:90]],Brudnopis!$E$23:$J$23),0)</f>
        <v>0</v>
      </c>
      <c r="T452" s="44">
        <f>IF(Mecze[[#This Row],[Role]]&lt;&gt;"BR",SUMPRODUCT(Mecze[[#This Row],[/PR:90]:[/BR:90]],Brudnopis!$E$24:$J$24),0)</f>
        <v>0</v>
      </c>
      <c r="U452" s="44">
        <f>IF(Mecze[[#This Row],[Role]]&lt;&gt;"BR",SUMPRODUCT(Mecze[[#This Row],[/PR:90]:[/BR:90]],Brudnopis!$E$25:$J$25),0)</f>
        <v>0</v>
      </c>
      <c r="V452" s="44">
        <f>IF(Mecze[[#This Row],[Role]]&lt;&gt;"BR",SUMPRODUCT(Mecze[[#This Row],[/PR:90]:[/BR:90]],Brudnopis!$E$26:$J$26),0)</f>
        <v>0</v>
      </c>
      <c r="W452" s="44">
        <f>IF(Mecze[[#This Row],[Role]]&lt;&gt;"BR",SUMPRODUCT(Mecze[[#This Row],[/PR:90]:[/BR:90]],Brudnopis!$E$27:$J$27),0)</f>
        <v>0</v>
      </c>
      <c r="X452" s="44">
        <f>IF(Mecze[[#This Row],[Role]]&lt;&gt;"BR",SUMPRODUCT(Mecze[[#This Row],[/PR:90]:[/BR:90]],Brudnopis!$E$28:$J$28),0)</f>
        <v>0</v>
      </c>
      <c r="Y452" s="35">
        <f>IF(Mecze[[#This Row],[Role]]="BR",Mecze[[#This Row],[/OB:90]]+Mecze[[#This Row],[/PC:90]],SUM(Mecze[[#This Row],[/PR:90]:[/BR:90]]))</f>
        <v>0</v>
      </c>
      <c r="Z452" s="35">
        <f>IF(Mecze[[#This Row],[KC]]=0,SUM(Mecze[[#This Row],[/BRI]:[/NPI]]),SUM(Mecze[[#This Row],[/BRI]:[/NPI]])*0.6)</f>
        <v>0</v>
      </c>
      <c r="AA452" s="10">
        <f>IFERROR(Mecze[[#This Row],[BR]]/Mecze[[#This Row],[ST]],0)</f>
        <v>0</v>
      </c>
      <c r="AB452">
        <f>ROUND(Mecze[[#This Row],[PD]]*Mecze[[#This Row],[%PC]],0)</f>
        <v>0</v>
      </c>
      <c r="AC452">
        <f>ROUND(Mecze[[#This Row],[OD]]*Mecze[[#This Row],[%OU]],0)</f>
        <v>0</v>
      </c>
      <c r="AD452" s="36" t="s">
        <v>168</v>
      </c>
      <c r="AE452" s="36">
        <v>27</v>
      </c>
      <c r="AF452" s="71">
        <v>1.59</v>
      </c>
      <c r="AG452" s="37">
        <v>0</v>
      </c>
      <c r="AH452" s="37">
        <v>0</v>
      </c>
      <c r="AI452" s="37">
        <v>95</v>
      </c>
      <c r="AJ452" s="37">
        <v>8</v>
      </c>
      <c r="AK452" s="37" t="str">
        <f>VLOOKUP(Mecze[[#This Row],[Match ID]],Meczusie[Mecz]:Meczusie[RodzajMeczu],2,FALSE)</f>
        <v>Liga</v>
      </c>
    </row>
    <row r="453" spans="1:37" x14ac:dyDescent="0.25">
      <c r="A453" s="76">
        <v>6</v>
      </c>
      <c r="B453" s="3" t="s">
        <v>308</v>
      </c>
      <c r="C453" s="2" t="s">
        <v>160</v>
      </c>
      <c r="D453" s="1">
        <v>0</v>
      </c>
      <c r="E453" s="1">
        <v>1</v>
      </c>
      <c r="F453" s="1">
        <v>0</v>
      </c>
      <c r="G453" s="1">
        <v>8</v>
      </c>
      <c r="H453" s="4">
        <v>0.88</v>
      </c>
      <c r="I453" s="1">
        <v>4</v>
      </c>
      <c r="J453" s="4">
        <v>0.75</v>
      </c>
      <c r="K453" s="1">
        <v>0</v>
      </c>
      <c r="L453" s="1">
        <v>2</v>
      </c>
      <c r="M453" s="32">
        <f>IF(Mecze[[#This Row],[PR]]=0,0,Mecze[[#This Row],[PR]]/Mecze[[#This Row],[CZAS]])</f>
        <v>2.1052631578947368E-2</v>
      </c>
      <c r="N453" s="32">
        <f>IF(Mecze[[#This Row],[OU]]=0,0,Mecze[[#This Row],[OU]]/Mecze[[#This Row],[CZAS]])</f>
        <v>3.1578947368421054E-2</v>
      </c>
      <c r="O453" s="32">
        <f>IF(Mecze[[#This Row],[PC]]=0,0,Mecze[[#This Row],[PC]]/Mecze[[#This Row],[CZAS]])</f>
        <v>7.3684210526315783E-2</v>
      </c>
      <c r="P453" s="32">
        <f>IF(Mecze[[#This Row],[SC]]=0,0,Mecze[[#This Row],[SC]]/Mecze[[#This Row],[CZAS]])</f>
        <v>0</v>
      </c>
      <c r="Q453" s="32">
        <f>IF(Mecze[[#This Row],[OB]]=0,0,Mecze[[#This Row],[OB]]/Mecze[[#This Row],[CZAS]])</f>
        <v>0</v>
      </c>
      <c r="R453" s="32">
        <f>IF(Mecze[[#This Row],[BR]]=0,0,Mecze[[#This Row],[BR]]/Mecze[[#This Row],[CZAS]])</f>
        <v>0</v>
      </c>
      <c r="S453" s="44">
        <f>IF(Mecze[[#This Row],[Role]]="BR",SUMPRODUCT(Mecze[[#This Row],[/PR:90]:[/BR:90]],Brudnopis!$E$23:$J$23),0)</f>
        <v>0</v>
      </c>
      <c r="T453" s="44">
        <f>IF(Mecze[[#This Row],[Role]]&lt;&gt;"BR",SUMPRODUCT(Mecze[[#This Row],[/PR:90]:[/BR:90]],Brudnopis!$E$24:$J$24),0)</f>
        <v>0.14210526315789473</v>
      </c>
      <c r="U453" s="44">
        <f>IF(Mecze[[#This Row],[Role]]&lt;&gt;"BR",SUMPRODUCT(Mecze[[#This Row],[/PR:90]:[/BR:90]],Brudnopis!$E$25:$J$25),0)</f>
        <v>0.16315789473684209</v>
      </c>
      <c r="V453" s="44">
        <f>IF(Mecze[[#This Row],[Role]]&lt;&gt;"BR",SUMPRODUCT(Mecze[[#This Row],[/PR:90]:[/BR:90]],Brudnopis!$E$26:$J$26),0)</f>
        <v>0.12631578947368421</v>
      </c>
      <c r="W453" s="44">
        <f>IF(Mecze[[#This Row],[Role]]&lt;&gt;"BR",SUMPRODUCT(Mecze[[#This Row],[/PR:90]:[/BR:90]],Brudnopis!$E$27:$J$27),0)</f>
        <v>0.14999999999999997</v>
      </c>
      <c r="X453" s="44">
        <f>IF(Mecze[[#This Row],[Role]]&lt;&gt;"BR",SUMPRODUCT(Mecze[[#This Row],[/PR:90]:[/BR:90]],Brudnopis!$E$28:$J$28),0)</f>
        <v>7.3684210526315783E-2</v>
      </c>
      <c r="Y453" s="35">
        <f>IF(Mecze[[#This Row],[Role]]="BR",Mecze[[#This Row],[/OB:90]]+Mecze[[#This Row],[/PC:90]],SUM(Mecze[[#This Row],[/PR:90]:[/BR:90]]))</f>
        <v>0.12631578947368421</v>
      </c>
      <c r="Z453" s="35">
        <f>IF(Mecze[[#This Row],[KC]]=0,SUM(Mecze[[#This Row],[/BRI]:[/NPI]]),SUM(Mecze[[#This Row],[/BRI]:[/NPI]])*0.6)</f>
        <v>0.65526315789473677</v>
      </c>
      <c r="AA453" s="10">
        <f>IFERROR(Mecze[[#This Row],[BR]]/Mecze[[#This Row],[ST]],0)</f>
        <v>0</v>
      </c>
      <c r="AB453">
        <f>ROUND(Mecze[[#This Row],[PD]]*Mecze[[#This Row],[%PC]],0)</f>
        <v>7</v>
      </c>
      <c r="AC453">
        <f>ROUND(Mecze[[#This Row],[OD]]*Mecze[[#This Row],[%OU]],0)</f>
        <v>3</v>
      </c>
      <c r="AD453" s="36" t="s">
        <v>41</v>
      </c>
      <c r="AE453" s="36">
        <v>27</v>
      </c>
      <c r="AF453" s="71">
        <v>5.24</v>
      </c>
      <c r="AG453" s="37">
        <v>0</v>
      </c>
      <c r="AH453" s="37">
        <v>0</v>
      </c>
      <c r="AI453" s="37">
        <v>95</v>
      </c>
      <c r="AJ453" s="37">
        <v>8</v>
      </c>
      <c r="AK453" s="37" t="str">
        <f>VLOOKUP(Mecze[[#This Row],[Match ID]],Meczusie[Mecz]:Meczusie[RodzajMeczu],2,FALSE)</f>
        <v>Liga</v>
      </c>
    </row>
    <row r="454" spans="1:37" x14ac:dyDescent="0.25">
      <c r="A454" s="76">
        <v>16</v>
      </c>
      <c r="B454" s="3" t="s">
        <v>309</v>
      </c>
      <c r="C454" s="2" t="s">
        <v>160</v>
      </c>
      <c r="D454" s="1">
        <v>0</v>
      </c>
      <c r="E454" s="1">
        <v>0</v>
      </c>
      <c r="F454" s="1">
        <v>0</v>
      </c>
      <c r="G454" s="1">
        <v>5</v>
      </c>
      <c r="H454" s="4">
        <v>0.6</v>
      </c>
      <c r="I454" s="1">
        <v>6</v>
      </c>
      <c r="J454" s="4">
        <v>0.5</v>
      </c>
      <c r="K454" s="1">
        <v>0</v>
      </c>
      <c r="L454" s="1">
        <v>2</v>
      </c>
      <c r="M454" s="32">
        <f>IF(Mecze[[#This Row],[PR]]=0,0,Mecze[[#This Row],[PR]]/Mecze[[#This Row],[CZAS]])</f>
        <v>2.1052631578947368E-2</v>
      </c>
      <c r="N454" s="32">
        <f>IF(Mecze[[#This Row],[OU]]=0,0,Mecze[[#This Row],[OU]]/Mecze[[#This Row],[CZAS]])</f>
        <v>3.1578947368421054E-2</v>
      </c>
      <c r="O454" s="32">
        <f>IF(Mecze[[#This Row],[PC]]=0,0,Mecze[[#This Row],[PC]]/Mecze[[#This Row],[CZAS]])</f>
        <v>3.1578947368421054E-2</v>
      </c>
      <c r="P454" s="32">
        <f>IF(Mecze[[#This Row],[SC]]=0,0,Mecze[[#This Row],[SC]]/Mecze[[#This Row],[CZAS]])</f>
        <v>0</v>
      </c>
      <c r="Q454" s="32">
        <f>IF(Mecze[[#This Row],[OB]]=0,0,Mecze[[#This Row],[OB]]/Mecze[[#This Row],[CZAS]])</f>
        <v>0</v>
      </c>
      <c r="R454" s="32">
        <f>IF(Mecze[[#This Row],[BR]]=0,0,Mecze[[#This Row],[BR]]/Mecze[[#This Row],[CZAS]])</f>
        <v>0</v>
      </c>
      <c r="S454" s="44">
        <f>IF(Mecze[[#This Row],[Role]]="BR",SUMPRODUCT(Mecze[[#This Row],[/PR:90]:[/BR:90]],Brudnopis!$E$23:$J$23),0)</f>
        <v>0</v>
      </c>
      <c r="T454" s="44">
        <f>IF(Mecze[[#This Row],[Role]]&lt;&gt;"BR",SUMPRODUCT(Mecze[[#This Row],[/PR:90]:[/BR:90]],Brudnopis!$E$24:$J$24),0)</f>
        <v>0.1</v>
      </c>
      <c r="U454" s="44">
        <f>IF(Mecze[[#This Row],[Role]]&lt;&gt;"BR",SUMPRODUCT(Mecze[[#This Row],[/PR:90]:[/BR:90]],Brudnopis!$E$25:$J$25),0)</f>
        <v>0.1</v>
      </c>
      <c r="V454" s="44">
        <f>IF(Mecze[[#This Row],[Role]]&lt;&gt;"BR",SUMPRODUCT(Mecze[[#This Row],[/PR:90]:[/BR:90]],Brudnopis!$E$26:$J$26),0)</f>
        <v>8.4210526315789472E-2</v>
      </c>
      <c r="W454" s="44">
        <f>IF(Mecze[[#This Row],[Role]]&lt;&gt;"BR",SUMPRODUCT(Mecze[[#This Row],[/PR:90]:[/BR:90]],Brudnopis!$E$27:$J$27),0)</f>
        <v>8.6842105263157887E-2</v>
      </c>
      <c r="X454" s="44">
        <f>IF(Mecze[[#This Row],[Role]]&lt;&gt;"BR",SUMPRODUCT(Mecze[[#This Row],[/PR:90]:[/BR:90]],Brudnopis!$E$28:$J$28),0)</f>
        <v>3.1578947368421054E-2</v>
      </c>
      <c r="Y454" s="35">
        <f>IF(Mecze[[#This Row],[Role]]="BR",Mecze[[#This Row],[/OB:90]]+Mecze[[#This Row],[/PC:90]],SUM(Mecze[[#This Row],[/PR:90]:[/BR:90]]))</f>
        <v>8.4210526315789472E-2</v>
      </c>
      <c r="Z454" s="35">
        <f>IF(Mecze[[#This Row],[KC]]=0,SUM(Mecze[[#This Row],[/BRI]:[/NPI]]),SUM(Mecze[[#This Row],[/BRI]:[/NPI]])*0.6)</f>
        <v>0.4026315789473684</v>
      </c>
      <c r="AA454" s="10">
        <f>IFERROR(Mecze[[#This Row],[BR]]/Mecze[[#This Row],[ST]],0)</f>
        <v>0</v>
      </c>
      <c r="AB454">
        <f>ROUND(Mecze[[#This Row],[PD]]*Mecze[[#This Row],[%PC]],0)</f>
        <v>3</v>
      </c>
      <c r="AC454">
        <f>ROUND(Mecze[[#This Row],[OD]]*Mecze[[#This Row],[%OU]],0)</f>
        <v>3</v>
      </c>
      <c r="AD454" s="36" t="s">
        <v>172</v>
      </c>
      <c r="AE454" s="36">
        <v>27</v>
      </c>
      <c r="AF454" s="71">
        <v>4.33</v>
      </c>
      <c r="AG454" s="37">
        <v>0</v>
      </c>
      <c r="AH454" s="37">
        <v>0</v>
      </c>
      <c r="AI454" s="37">
        <v>95</v>
      </c>
      <c r="AJ454" s="37">
        <v>8</v>
      </c>
      <c r="AK454" s="37" t="str">
        <f>VLOOKUP(Mecze[[#This Row],[Match ID]],Meczusie[Mecz]:Meczusie[RodzajMeczu],2,FALSE)</f>
        <v>Liga</v>
      </c>
    </row>
    <row r="455" spans="1:37" x14ac:dyDescent="0.25">
      <c r="A455" s="76">
        <v>15</v>
      </c>
      <c r="B455" s="3" t="s">
        <v>310</v>
      </c>
      <c r="C455" s="2" t="s">
        <v>160</v>
      </c>
      <c r="D455" s="1">
        <v>0</v>
      </c>
      <c r="E455" s="1">
        <v>0</v>
      </c>
      <c r="F455" s="1">
        <v>0</v>
      </c>
      <c r="G455" s="1">
        <v>8</v>
      </c>
      <c r="H455" s="4">
        <v>0.38</v>
      </c>
      <c r="I455" s="1">
        <v>1</v>
      </c>
      <c r="J455" s="4">
        <v>0</v>
      </c>
      <c r="K455" s="1">
        <v>0</v>
      </c>
      <c r="L455" s="1">
        <v>1</v>
      </c>
      <c r="M455" s="32">
        <f>IF(Mecze[[#This Row],[PR]]=0,0,Mecze[[#This Row],[PR]]/Mecze[[#This Row],[CZAS]])</f>
        <v>1.0526315789473684E-2</v>
      </c>
      <c r="N455" s="32">
        <f>IF(Mecze[[#This Row],[OU]]=0,0,Mecze[[#This Row],[OU]]/Mecze[[#This Row],[CZAS]])</f>
        <v>0</v>
      </c>
      <c r="O455" s="32">
        <f>IF(Mecze[[#This Row],[PC]]=0,0,Mecze[[#This Row],[PC]]/Mecze[[#This Row],[CZAS]])</f>
        <v>3.1578947368421054E-2</v>
      </c>
      <c r="P455" s="32">
        <f>IF(Mecze[[#This Row],[SC]]=0,0,Mecze[[#This Row],[SC]]/Mecze[[#This Row],[CZAS]])</f>
        <v>0</v>
      </c>
      <c r="Q455" s="32">
        <f>IF(Mecze[[#This Row],[OB]]=0,0,Mecze[[#This Row],[OB]]/Mecze[[#This Row],[CZAS]])</f>
        <v>0</v>
      </c>
      <c r="R455" s="32">
        <f>IF(Mecze[[#This Row],[BR]]=0,0,Mecze[[#This Row],[BR]]/Mecze[[#This Row],[CZAS]])</f>
        <v>0</v>
      </c>
      <c r="S455" s="44">
        <f>IF(Mecze[[#This Row],[Role]]="BR",SUMPRODUCT(Mecze[[#This Row],[/PR:90]:[/BR:90]],Brudnopis!$E$23:$J$23),0)</f>
        <v>0</v>
      </c>
      <c r="T455" s="44">
        <f>IF(Mecze[[#This Row],[Role]]&lt;&gt;"BR",SUMPRODUCT(Mecze[[#This Row],[/PR:90]:[/BR:90]],Brudnopis!$E$24:$J$24),0)</f>
        <v>4.2105263157894736E-2</v>
      </c>
      <c r="U455" s="44">
        <f>IF(Mecze[[#This Row],[Role]]&lt;&gt;"BR",SUMPRODUCT(Mecze[[#This Row],[/PR:90]:[/BR:90]],Brudnopis!$E$25:$J$25),0)</f>
        <v>5.7894736842105263E-2</v>
      </c>
      <c r="V455" s="44">
        <f>IF(Mecze[[#This Row],[Role]]&lt;&gt;"BR",SUMPRODUCT(Mecze[[#This Row],[/PR:90]:[/BR:90]],Brudnopis!$E$26:$J$26),0)</f>
        <v>4.2105263157894736E-2</v>
      </c>
      <c r="W455" s="44">
        <f>IF(Mecze[[#This Row],[Role]]&lt;&gt;"BR",SUMPRODUCT(Mecze[[#This Row],[/PR:90]:[/BR:90]],Brudnopis!$E$27:$J$27),0)</f>
        <v>5.5263157894736847E-2</v>
      </c>
      <c r="X455" s="44">
        <f>IF(Mecze[[#This Row],[Role]]&lt;&gt;"BR",SUMPRODUCT(Mecze[[#This Row],[/PR:90]:[/BR:90]],Brudnopis!$E$28:$J$28),0)</f>
        <v>3.1578947368421054E-2</v>
      </c>
      <c r="Y455" s="35">
        <f>IF(Mecze[[#This Row],[Role]]="BR",Mecze[[#This Row],[/OB:90]]+Mecze[[#This Row],[/PC:90]],SUM(Mecze[[#This Row],[/PR:90]:[/BR:90]]))</f>
        <v>4.2105263157894736E-2</v>
      </c>
      <c r="Z455" s="35">
        <f>IF(Mecze[[#This Row],[KC]]=0,SUM(Mecze[[#This Row],[/BRI]:[/NPI]]),SUM(Mecze[[#This Row],[/BRI]:[/NPI]])*0.6)</f>
        <v>0.22894736842105262</v>
      </c>
      <c r="AA455" s="10">
        <f>IFERROR(Mecze[[#This Row],[BR]]/Mecze[[#This Row],[ST]],0)</f>
        <v>0</v>
      </c>
      <c r="AB455">
        <f>ROUND(Mecze[[#This Row],[PD]]*Mecze[[#This Row],[%PC]],0)</f>
        <v>3</v>
      </c>
      <c r="AC455">
        <f>ROUND(Mecze[[#This Row],[OD]]*Mecze[[#This Row],[%OU]],0)</f>
        <v>0</v>
      </c>
      <c r="AD455" s="36" t="s">
        <v>319</v>
      </c>
      <c r="AE455" s="36">
        <v>27</v>
      </c>
      <c r="AF455" s="71">
        <v>2.91</v>
      </c>
      <c r="AG455" s="37">
        <v>0</v>
      </c>
      <c r="AH455" s="37">
        <v>0</v>
      </c>
      <c r="AI455" s="37">
        <v>95</v>
      </c>
      <c r="AJ455" s="37">
        <v>8</v>
      </c>
      <c r="AK455" s="37" t="str">
        <f>VLOOKUP(Mecze[[#This Row],[Match ID]],Meczusie[Mecz]:Meczusie[RodzajMeczu],2,FALSE)</f>
        <v>Liga</v>
      </c>
    </row>
    <row r="456" spans="1:37" x14ac:dyDescent="0.25">
      <c r="A456" s="76">
        <v>7</v>
      </c>
      <c r="B456" s="3" t="s">
        <v>311</v>
      </c>
      <c r="C456" s="2" t="s">
        <v>160</v>
      </c>
      <c r="D456" s="1">
        <v>0</v>
      </c>
      <c r="E456" s="1">
        <v>0</v>
      </c>
      <c r="F456" s="1">
        <v>0</v>
      </c>
      <c r="G456" s="1">
        <v>9</v>
      </c>
      <c r="H456" s="4">
        <v>0.56000000000000005</v>
      </c>
      <c r="I456" s="1">
        <v>12</v>
      </c>
      <c r="J456" s="4">
        <v>0.17</v>
      </c>
      <c r="K456" s="1">
        <v>0</v>
      </c>
      <c r="L456" s="1">
        <v>2</v>
      </c>
      <c r="M456" s="32">
        <f>IF(Mecze[[#This Row],[PR]]=0,0,Mecze[[#This Row],[PR]]/Mecze[[#This Row],[CZAS]])</f>
        <v>2.1052631578947368E-2</v>
      </c>
      <c r="N456" s="32">
        <f>IF(Mecze[[#This Row],[OU]]=0,0,Mecze[[#This Row],[OU]]/Mecze[[#This Row],[CZAS]])</f>
        <v>2.1052631578947368E-2</v>
      </c>
      <c r="O456" s="32">
        <f>IF(Mecze[[#This Row],[PC]]=0,0,Mecze[[#This Row],[PC]]/Mecze[[#This Row],[CZAS]])</f>
        <v>5.2631578947368418E-2</v>
      </c>
      <c r="P456" s="32">
        <f>IF(Mecze[[#This Row],[SC]]=0,0,Mecze[[#This Row],[SC]]/Mecze[[#This Row],[CZAS]])</f>
        <v>0</v>
      </c>
      <c r="Q456" s="32">
        <f>IF(Mecze[[#This Row],[OB]]=0,0,Mecze[[#This Row],[OB]]/Mecze[[#This Row],[CZAS]])</f>
        <v>0</v>
      </c>
      <c r="R456" s="32">
        <f>IF(Mecze[[#This Row],[BR]]=0,0,Mecze[[#This Row],[BR]]/Mecze[[#This Row],[CZAS]])</f>
        <v>0</v>
      </c>
      <c r="S456" s="44">
        <f>IF(Mecze[[#This Row],[Role]]="BR",SUMPRODUCT(Mecze[[#This Row],[/PR:90]:[/BR:90]],Brudnopis!$E$23:$J$23),0)</f>
        <v>0</v>
      </c>
      <c r="T456" s="44">
        <f>IF(Mecze[[#This Row],[Role]]&lt;&gt;"BR",SUMPRODUCT(Mecze[[#This Row],[/PR:90]:[/BR:90]],Brudnopis!$E$24:$J$24),0)</f>
        <v>0.10526315789473684</v>
      </c>
      <c r="U456" s="44">
        <f>IF(Mecze[[#This Row],[Role]]&lt;&gt;"BR",SUMPRODUCT(Mecze[[#This Row],[/PR:90]:[/BR:90]],Brudnopis!$E$25:$J$25),0)</f>
        <v>0.12105263157894736</v>
      </c>
      <c r="V456" s="44">
        <f>IF(Mecze[[#This Row],[Role]]&lt;&gt;"BR",SUMPRODUCT(Mecze[[#This Row],[/PR:90]:[/BR:90]],Brudnopis!$E$26:$J$26),0)</f>
        <v>9.4736842105263147E-2</v>
      </c>
      <c r="W456" s="44">
        <f>IF(Mecze[[#This Row],[Role]]&lt;&gt;"BR",SUMPRODUCT(Mecze[[#This Row],[/PR:90]:[/BR:90]],Brudnopis!$E$27:$J$27),0)</f>
        <v>0.11052631578947368</v>
      </c>
      <c r="X456" s="44">
        <f>IF(Mecze[[#This Row],[Role]]&lt;&gt;"BR",SUMPRODUCT(Mecze[[#This Row],[/PR:90]:[/BR:90]],Brudnopis!$E$28:$J$28),0)</f>
        <v>5.2631578947368418E-2</v>
      </c>
      <c r="Y456" s="35">
        <f>IF(Mecze[[#This Row],[Role]]="BR",Mecze[[#This Row],[/OB:90]]+Mecze[[#This Row],[/PC:90]],SUM(Mecze[[#This Row],[/PR:90]:[/BR:90]]))</f>
        <v>9.4736842105263147E-2</v>
      </c>
      <c r="Z456" s="35">
        <f>IF(Mecze[[#This Row],[KC]]=0,SUM(Mecze[[#This Row],[/BRI]:[/NPI]]),SUM(Mecze[[#This Row],[/BRI]:[/NPI]])*0.6)</f>
        <v>0.48421052631578948</v>
      </c>
      <c r="AA456" s="10">
        <f>IFERROR(Mecze[[#This Row],[BR]]/Mecze[[#This Row],[ST]],0)</f>
        <v>0</v>
      </c>
      <c r="AB456">
        <f>ROUND(Mecze[[#This Row],[PD]]*Mecze[[#This Row],[%PC]],0)</f>
        <v>5</v>
      </c>
      <c r="AC456">
        <f>ROUND(Mecze[[#This Row],[OD]]*Mecze[[#This Row],[%OU]],0)</f>
        <v>2</v>
      </c>
      <c r="AD456" s="36" t="s">
        <v>44</v>
      </c>
      <c r="AE456" s="36">
        <v>27</v>
      </c>
      <c r="AF456" s="71">
        <v>4.33</v>
      </c>
      <c r="AG456" s="37">
        <v>0</v>
      </c>
      <c r="AH456" s="37">
        <v>0</v>
      </c>
      <c r="AI456" s="37">
        <v>95</v>
      </c>
      <c r="AJ456" s="37">
        <v>8</v>
      </c>
      <c r="AK456" s="37" t="str">
        <f>VLOOKUP(Mecze[[#This Row],[Match ID]],Meczusie[Mecz]:Meczusie[RodzajMeczu],2,FALSE)</f>
        <v>Liga</v>
      </c>
    </row>
    <row r="457" spans="1:37" x14ac:dyDescent="0.25">
      <c r="A457" s="76">
        <v>14</v>
      </c>
      <c r="B457" s="3" t="s">
        <v>312</v>
      </c>
      <c r="C457" s="2" t="s">
        <v>165</v>
      </c>
      <c r="D457" s="1">
        <v>0</v>
      </c>
      <c r="E457" s="1">
        <v>0</v>
      </c>
      <c r="F457" s="1">
        <v>0</v>
      </c>
      <c r="G457" s="1">
        <v>11</v>
      </c>
      <c r="H457" s="4">
        <v>0.73</v>
      </c>
      <c r="I457" s="1">
        <v>6</v>
      </c>
      <c r="J457" s="4">
        <v>0.5</v>
      </c>
      <c r="K457" s="1">
        <v>0</v>
      </c>
      <c r="L457" s="1">
        <v>3</v>
      </c>
      <c r="M457" s="32">
        <f>IF(Mecze[[#This Row],[PR]]=0,0,Mecze[[#This Row],[PR]]/Mecze[[#This Row],[CZAS]])</f>
        <v>3.1578947368421054E-2</v>
      </c>
      <c r="N457" s="32">
        <f>IF(Mecze[[#This Row],[OU]]=0,0,Mecze[[#This Row],[OU]]/Mecze[[#This Row],[CZAS]])</f>
        <v>3.1578947368421054E-2</v>
      </c>
      <c r="O457" s="32">
        <f>IF(Mecze[[#This Row],[PC]]=0,0,Mecze[[#This Row],[PC]]/Mecze[[#This Row],[CZAS]])</f>
        <v>8.4210526315789472E-2</v>
      </c>
      <c r="P457" s="32">
        <f>IF(Mecze[[#This Row],[SC]]=0,0,Mecze[[#This Row],[SC]]/Mecze[[#This Row],[CZAS]])</f>
        <v>0</v>
      </c>
      <c r="Q457" s="32">
        <f>IF(Mecze[[#This Row],[OB]]=0,0,Mecze[[#This Row],[OB]]/Mecze[[#This Row],[CZAS]])</f>
        <v>0</v>
      </c>
      <c r="R457" s="32">
        <f>IF(Mecze[[#This Row],[BR]]=0,0,Mecze[[#This Row],[BR]]/Mecze[[#This Row],[CZAS]])</f>
        <v>0</v>
      </c>
      <c r="S457" s="44">
        <f>IF(Mecze[[#This Row],[Role]]="BR",SUMPRODUCT(Mecze[[#This Row],[/PR:90]:[/BR:90]],Brudnopis!$E$23:$J$23),0)</f>
        <v>0</v>
      </c>
      <c r="T457" s="44">
        <f>IF(Mecze[[#This Row],[Role]]&lt;&gt;"BR",SUMPRODUCT(Mecze[[#This Row],[/PR:90]:[/BR:90]],Brudnopis!$E$24:$J$24),0)</f>
        <v>0.16315789473684211</v>
      </c>
      <c r="U457" s="44">
        <f>IF(Mecze[[#This Row],[Role]]&lt;&gt;"BR",SUMPRODUCT(Mecze[[#This Row],[/PR:90]:[/BR:90]],Brudnopis!$E$25:$J$25),0)</f>
        <v>0.18947368421052632</v>
      </c>
      <c r="V457" s="44">
        <f>IF(Mecze[[#This Row],[Role]]&lt;&gt;"BR",SUMPRODUCT(Mecze[[#This Row],[/PR:90]:[/BR:90]],Brudnopis!$E$26:$J$26),0)</f>
        <v>0.14736842105263159</v>
      </c>
      <c r="W457" s="44">
        <f>IF(Mecze[[#This Row],[Role]]&lt;&gt;"BR",SUMPRODUCT(Mecze[[#This Row],[/PR:90]:[/BR:90]],Brudnopis!$E$27:$J$27),0)</f>
        <v>0.1736842105263158</v>
      </c>
      <c r="X457" s="44">
        <f>IF(Mecze[[#This Row],[Role]]&lt;&gt;"BR",SUMPRODUCT(Mecze[[#This Row],[/PR:90]:[/BR:90]],Brudnopis!$E$28:$J$28),0)</f>
        <v>8.4210526315789472E-2</v>
      </c>
      <c r="Y457" s="35">
        <f>IF(Mecze[[#This Row],[Role]]="BR",Mecze[[#This Row],[/OB:90]]+Mecze[[#This Row],[/PC:90]],SUM(Mecze[[#This Row],[/PR:90]:[/BR:90]]))</f>
        <v>0.14736842105263159</v>
      </c>
      <c r="Z457" s="35">
        <f>IF(Mecze[[#This Row],[KC]]=0,SUM(Mecze[[#This Row],[/BRI]:[/NPI]]),SUM(Mecze[[#This Row],[/BRI]:[/NPI]])*0.6)</f>
        <v>0.75789473684210529</v>
      </c>
      <c r="AA457" s="10">
        <f>IFERROR(Mecze[[#This Row],[BR]]/Mecze[[#This Row],[ST]],0)</f>
        <v>0</v>
      </c>
      <c r="AB457">
        <f>ROUND(Mecze[[#This Row],[PD]]*Mecze[[#This Row],[%PC]],0)</f>
        <v>8</v>
      </c>
      <c r="AC457">
        <f>ROUND(Mecze[[#This Row],[OD]]*Mecze[[#This Row],[%OU]],0)</f>
        <v>3</v>
      </c>
      <c r="AD457" s="36" t="s">
        <v>273</v>
      </c>
      <c r="AE457" s="36">
        <v>27</v>
      </c>
      <c r="AF457" s="71">
        <v>4.04</v>
      </c>
      <c r="AG457" s="37">
        <v>0</v>
      </c>
      <c r="AH457" s="37">
        <v>0</v>
      </c>
      <c r="AI457" s="37">
        <v>95</v>
      </c>
      <c r="AJ457" s="37">
        <v>8</v>
      </c>
      <c r="AK457" s="37" t="str">
        <f>VLOOKUP(Mecze[[#This Row],[Match ID]],Meczusie[Mecz]:Meczusie[RodzajMeczu],2,FALSE)</f>
        <v>Liga</v>
      </c>
    </row>
    <row r="458" spans="1:37" x14ac:dyDescent="0.25">
      <c r="A458" s="76">
        <v>13</v>
      </c>
      <c r="B458" s="3" t="s">
        <v>313</v>
      </c>
      <c r="C458" s="2" t="s">
        <v>165</v>
      </c>
      <c r="D458" s="1">
        <v>0</v>
      </c>
      <c r="E458" s="1">
        <v>0</v>
      </c>
      <c r="F458" s="1">
        <v>0</v>
      </c>
      <c r="G458" s="1">
        <v>3</v>
      </c>
      <c r="H458" s="4">
        <v>0.67</v>
      </c>
      <c r="I458" s="1">
        <v>3</v>
      </c>
      <c r="J458" s="4">
        <v>0.67</v>
      </c>
      <c r="K458" s="1">
        <v>0</v>
      </c>
      <c r="L458" s="1">
        <v>0</v>
      </c>
      <c r="M458" s="32">
        <f>IF(Mecze[[#This Row],[PR]]=0,0,Mecze[[#This Row],[PR]]/Mecze[[#This Row],[CZAS]])</f>
        <v>0</v>
      </c>
      <c r="N458" s="32">
        <f>IF(Mecze[[#This Row],[OU]]=0,0,Mecze[[#This Row],[OU]]/Mecze[[#This Row],[CZAS]])</f>
        <v>2.1052631578947368E-2</v>
      </c>
      <c r="O458" s="32">
        <f>IF(Mecze[[#This Row],[PC]]=0,0,Mecze[[#This Row],[PC]]/Mecze[[#This Row],[CZAS]])</f>
        <v>2.1052631578947368E-2</v>
      </c>
      <c r="P458" s="32">
        <f>IF(Mecze[[#This Row],[SC]]=0,0,Mecze[[#This Row],[SC]]/Mecze[[#This Row],[CZAS]])</f>
        <v>0</v>
      </c>
      <c r="Q458" s="32">
        <f>IF(Mecze[[#This Row],[OB]]=0,0,Mecze[[#This Row],[OB]]/Mecze[[#This Row],[CZAS]])</f>
        <v>0</v>
      </c>
      <c r="R458" s="32">
        <f>IF(Mecze[[#This Row],[BR]]=0,0,Mecze[[#This Row],[BR]]/Mecze[[#This Row],[CZAS]])</f>
        <v>0</v>
      </c>
      <c r="S458" s="44">
        <f>IF(Mecze[[#This Row],[Role]]="BR",SUMPRODUCT(Mecze[[#This Row],[/PR:90]:[/BR:90]],Brudnopis!$E$23:$J$23),0)</f>
        <v>0</v>
      </c>
      <c r="T458" s="44">
        <f>IF(Mecze[[#This Row],[Role]]&lt;&gt;"BR",SUMPRODUCT(Mecze[[#This Row],[/PR:90]:[/BR:90]],Brudnopis!$E$24:$J$24),0)</f>
        <v>5.2631578947368418E-2</v>
      </c>
      <c r="U458" s="44">
        <f>IF(Mecze[[#This Row],[Role]]&lt;&gt;"BR",SUMPRODUCT(Mecze[[#This Row],[/PR:90]:[/BR:90]],Brudnopis!$E$25:$J$25),0)</f>
        <v>5.2631578947368418E-2</v>
      </c>
      <c r="V458" s="44">
        <f>IF(Mecze[[#This Row],[Role]]&lt;&gt;"BR",SUMPRODUCT(Mecze[[#This Row],[/PR:90]:[/BR:90]],Brudnopis!$E$26:$J$26),0)</f>
        <v>4.2105263157894736E-2</v>
      </c>
      <c r="W458" s="44">
        <f>IF(Mecze[[#This Row],[Role]]&lt;&gt;"BR",SUMPRODUCT(Mecze[[#This Row],[/PR:90]:[/BR:90]],Brudnopis!$E$27:$J$27),0)</f>
        <v>4.736842105263158E-2</v>
      </c>
      <c r="X458" s="44">
        <f>IF(Mecze[[#This Row],[Role]]&lt;&gt;"BR",SUMPRODUCT(Mecze[[#This Row],[/PR:90]:[/BR:90]],Brudnopis!$E$28:$J$28),0)</f>
        <v>2.1052631578947368E-2</v>
      </c>
      <c r="Y458" s="35">
        <f>IF(Mecze[[#This Row],[Role]]="BR",Mecze[[#This Row],[/OB:90]]+Mecze[[#This Row],[/PC:90]],SUM(Mecze[[#This Row],[/PR:90]:[/BR:90]]))</f>
        <v>4.2105263157894736E-2</v>
      </c>
      <c r="Z458" s="35">
        <f>IF(Mecze[[#This Row],[KC]]=0,SUM(Mecze[[#This Row],[/BRI]:[/NPI]]),SUM(Mecze[[#This Row],[/BRI]:[/NPI]])*0.6)</f>
        <v>0.21578947368421053</v>
      </c>
      <c r="AA458" s="10">
        <f>IFERROR(Mecze[[#This Row],[BR]]/Mecze[[#This Row],[ST]],0)</f>
        <v>0</v>
      </c>
      <c r="AB458">
        <f>ROUND(Mecze[[#This Row],[PD]]*Mecze[[#This Row],[%PC]],0)</f>
        <v>2</v>
      </c>
      <c r="AC458">
        <f>ROUND(Mecze[[#This Row],[OD]]*Mecze[[#This Row],[%OU]],0)</f>
        <v>2</v>
      </c>
      <c r="AD458" s="36" t="s">
        <v>272</v>
      </c>
      <c r="AE458" s="36">
        <v>27</v>
      </c>
      <c r="AF458" s="71">
        <v>2.71</v>
      </c>
      <c r="AG458" s="37">
        <v>0</v>
      </c>
      <c r="AH458" s="37">
        <v>0</v>
      </c>
      <c r="AI458" s="37">
        <v>95</v>
      </c>
      <c r="AJ458" s="37">
        <v>8</v>
      </c>
      <c r="AK458" s="37" t="str">
        <f>VLOOKUP(Mecze[[#This Row],[Match ID]],Meczusie[Mecz]:Meczusie[RodzajMeczu],2,FALSE)</f>
        <v>Liga</v>
      </c>
    </row>
    <row r="459" spans="1:37" x14ac:dyDescent="0.25">
      <c r="A459" s="76">
        <v>8</v>
      </c>
      <c r="B459" s="3" t="s">
        <v>314</v>
      </c>
      <c r="C459" s="2" t="s">
        <v>165</v>
      </c>
      <c r="D459" s="1">
        <v>1</v>
      </c>
      <c r="E459" s="1">
        <v>7</v>
      </c>
      <c r="F459" s="1">
        <v>6</v>
      </c>
      <c r="G459" s="1">
        <v>11</v>
      </c>
      <c r="H459" s="4">
        <v>0.64</v>
      </c>
      <c r="I459" s="1">
        <v>4</v>
      </c>
      <c r="J459" s="4">
        <v>0.25</v>
      </c>
      <c r="K459" s="1">
        <v>0</v>
      </c>
      <c r="L459" s="1">
        <v>1</v>
      </c>
      <c r="M459" s="32">
        <f>IF(Mecze[[#This Row],[PR]]=0,0,Mecze[[#This Row],[PR]]/Mecze[[#This Row],[CZAS]])</f>
        <v>1.0526315789473684E-2</v>
      </c>
      <c r="N459" s="32">
        <f>IF(Mecze[[#This Row],[OU]]=0,0,Mecze[[#This Row],[OU]]/Mecze[[#This Row],[CZAS]])</f>
        <v>1.0526315789473684E-2</v>
      </c>
      <c r="O459" s="32">
        <f>IF(Mecze[[#This Row],[PC]]=0,0,Mecze[[#This Row],[PC]]/Mecze[[#This Row],[CZAS]])</f>
        <v>7.3684210526315783E-2</v>
      </c>
      <c r="P459" s="32">
        <f>IF(Mecze[[#This Row],[SC]]=0,0,Mecze[[#This Row],[SC]]/Mecze[[#This Row],[CZAS]])</f>
        <v>6.3157894736842107E-2</v>
      </c>
      <c r="Q459" s="32">
        <f>IF(Mecze[[#This Row],[OB]]=0,0,Mecze[[#This Row],[OB]]/Mecze[[#This Row],[CZAS]])</f>
        <v>0</v>
      </c>
      <c r="R459" s="32">
        <f>IF(Mecze[[#This Row],[BR]]=0,0,Mecze[[#This Row],[BR]]/Mecze[[#This Row],[CZAS]])</f>
        <v>1.0526315789473684E-2</v>
      </c>
      <c r="S459" s="44">
        <f>IF(Mecze[[#This Row],[Role]]="BR",SUMPRODUCT(Mecze[[#This Row],[/PR:90]:[/BR:90]],Brudnopis!$E$23:$J$23),0)</f>
        <v>0</v>
      </c>
      <c r="T459" s="44">
        <f>IF(Mecze[[#This Row],[Role]]&lt;&gt;"BR",SUMPRODUCT(Mecze[[#This Row],[/PR:90]:[/BR:90]],Brudnopis!$E$24:$J$24),0)</f>
        <v>0.17894736842105263</v>
      </c>
      <c r="U459" s="44">
        <f>IF(Mecze[[#This Row],[Role]]&lt;&gt;"BR",SUMPRODUCT(Mecze[[#This Row],[/PR:90]:[/BR:90]],Brudnopis!$E$25:$J$25),0)</f>
        <v>0.21052631578947367</v>
      </c>
      <c r="V459" s="44">
        <f>IF(Mecze[[#This Row],[Role]]&lt;&gt;"BR",SUMPRODUCT(Mecze[[#This Row],[/PR:90]:[/BR:90]],Brudnopis!$E$26:$J$26),0)</f>
        <v>0.17894736842105263</v>
      </c>
      <c r="W459" s="44">
        <f>IF(Mecze[[#This Row],[Role]]&lt;&gt;"BR",SUMPRODUCT(Mecze[[#This Row],[/PR:90]:[/BR:90]],Brudnopis!$E$27:$J$27),0)</f>
        <v>0.21052631578947367</v>
      </c>
      <c r="X459" s="44">
        <f>IF(Mecze[[#This Row],[Role]]&lt;&gt;"BR",SUMPRODUCT(Mecze[[#This Row],[/PR:90]:[/BR:90]],Brudnopis!$E$28:$J$28),0)</f>
        <v>0.23157894736842105</v>
      </c>
      <c r="Y459" s="35">
        <f>IF(Mecze[[#This Row],[Role]]="BR",Mecze[[#This Row],[/OB:90]]+Mecze[[#This Row],[/PC:90]],SUM(Mecze[[#This Row],[/PR:90]:[/BR:90]]))</f>
        <v>0.16842105263157894</v>
      </c>
      <c r="Z459" s="35">
        <f>IF(Mecze[[#This Row],[KC]]=0,SUM(Mecze[[#This Row],[/BRI]:[/NPI]]),SUM(Mecze[[#This Row],[/BRI]:[/NPI]])*0.6)</f>
        <v>1.0105263157894737</v>
      </c>
      <c r="AA459" s="10">
        <f>IFERROR(Mecze[[#This Row],[BR]]/Mecze[[#This Row],[ST]],0)</f>
        <v>0.14285714285714285</v>
      </c>
      <c r="AB459">
        <f>ROUND(Mecze[[#This Row],[PD]]*Mecze[[#This Row],[%PC]],0)</f>
        <v>7</v>
      </c>
      <c r="AC459">
        <f>ROUND(Mecze[[#This Row],[OD]]*Mecze[[#This Row],[%OU]],0)</f>
        <v>1</v>
      </c>
      <c r="AD459" s="36" t="s">
        <v>46</v>
      </c>
      <c r="AE459" s="36">
        <v>27</v>
      </c>
      <c r="AF459" s="71">
        <v>7.66</v>
      </c>
      <c r="AG459" s="37">
        <v>0</v>
      </c>
      <c r="AH459" s="37">
        <v>0</v>
      </c>
      <c r="AI459" s="37">
        <v>95</v>
      </c>
      <c r="AJ459" s="37">
        <v>8</v>
      </c>
      <c r="AK459" s="37" t="str">
        <f>VLOOKUP(Mecze[[#This Row],[Match ID]],Meczusie[Mecz]:Meczusie[RodzajMeczu],2,FALSE)</f>
        <v>Liga</v>
      </c>
    </row>
    <row r="460" spans="1:37" x14ac:dyDescent="0.25">
      <c r="A460" s="76">
        <v>17</v>
      </c>
      <c r="B460" s="3" t="s">
        <v>317</v>
      </c>
      <c r="C460" s="2" t="s">
        <v>165</v>
      </c>
      <c r="D460" s="1">
        <v>0</v>
      </c>
      <c r="E460" s="1">
        <v>0</v>
      </c>
      <c r="F460" s="1">
        <v>0</v>
      </c>
      <c r="G460" s="1">
        <v>3</v>
      </c>
      <c r="H460" s="4">
        <v>0.67</v>
      </c>
      <c r="I460" s="1">
        <v>0</v>
      </c>
      <c r="J460" s="4"/>
      <c r="K460" s="1">
        <v>0</v>
      </c>
      <c r="L460" s="1">
        <v>0</v>
      </c>
      <c r="M460" s="32">
        <f>IF(Mecze[[#This Row],[PR]]=0,0,Mecze[[#This Row],[PR]]/Mecze[[#This Row],[CZAS]])</f>
        <v>0</v>
      </c>
      <c r="N460" s="32">
        <f>IF(Mecze[[#This Row],[OU]]=0,0,Mecze[[#This Row],[OU]]/Mecze[[#This Row],[CZAS]])</f>
        <v>0</v>
      </c>
      <c r="O460" s="32">
        <f>IF(Mecze[[#This Row],[PC]]=0,0,Mecze[[#This Row],[PC]]/Mecze[[#This Row],[CZAS]])</f>
        <v>2.1052631578947368E-2</v>
      </c>
      <c r="P460" s="32">
        <f>IF(Mecze[[#This Row],[SC]]=0,0,Mecze[[#This Row],[SC]]/Mecze[[#This Row],[CZAS]])</f>
        <v>0</v>
      </c>
      <c r="Q460" s="32">
        <f>IF(Mecze[[#This Row],[OB]]=0,0,Mecze[[#This Row],[OB]]/Mecze[[#This Row],[CZAS]])</f>
        <v>0</v>
      </c>
      <c r="R460" s="32">
        <f>IF(Mecze[[#This Row],[BR]]=0,0,Mecze[[#This Row],[BR]]/Mecze[[#This Row],[CZAS]])</f>
        <v>0</v>
      </c>
      <c r="S460" s="44">
        <f>IF(Mecze[[#This Row],[Role]]="BR",SUMPRODUCT(Mecze[[#This Row],[/PR:90]:[/BR:90]],Brudnopis!$E$23:$J$23),0)</f>
        <v>0</v>
      </c>
      <c r="T460" s="44">
        <f>IF(Mecze[[#This Row],[Role]]&lt;&gt;"BR",SUMPRODUCT(Mecze[[#This Row],[/PR:90]:[/BR:90]],Brudnopis!$E$24:$J$24),0)</f>
        <v>2.1052631578947368E-2</v>
      </c>
      <c r="U460" s="44">
        <f>IF(Mecze[[#This Row],[Role]]&lt;&gt;"BR",SUMPRODUCT(Mecze[[#This Row],[/PR:90]:[/BR:90]],Brudnopis!$E$25:$J$25),0)</f>
        <v>3.1578947368421054E-2</v>
      </c>
      <c r="V460" s="44">
        <f>IF(Mecze[[#This Row],[Role]]&lt;&gt;"BR",SUMPRODUCT(Mecze[[#This Row],[/PR:90]:[/BR:90]],Brudnopis!$E$26:$J$26),0)</f>
        <v>2.1052631578947368E-2</v>
      </c>
      <c r="W460" s="44">
        <f>IF(Mecze[[#This Row],[Role]]&lt;&gt;"BR",SUMPRODUCT(Mecze[[#This Row],[/PR:90]:[/BR:90]],Brudnopis!$E$27:$J$27),0)</f>
        <v>3.1578947368421054E-2</v>
      </c>
      <c r="X460" s="44">
        <f>IF(Mecze[[#This Row],[Role]]&lt;&gt;"BR",SUMPRODUCT(Mecze[[#This Row],[/PR:90]:[/BR:90]],Brudnopis!$E$28:$J$28),0)</f>
        <v>2.1052631578947368E-2</v>
      </c>
      <c r="Y460" s="35">
        <f>IF(Mecze[[#This Row],[Role]]="BR",Mecze[[#This Row],[/OB:90]]+Mecze[[#This Row],[/PC:90]],SUM(Mecze[[#This Row],[/PR:90]:[/BR:90]]))</f>
        <v>2.1052631578947368E-2</v>
      </c>
      <c r="Z460" s="35">
        <f>IF(Mecze[[#This Row],[KC]]=0,SUM(Mecze[[#This Row],[/BRI]:[/NPI]]),SUM(Mecze[[#This Row],[/BRI]:[/NPI]])*0.6)</f>
        <v>0.12631578947368421</v>
      </c>
      <c r="AA460" s="10">
        <f>IFERROR(Mecze[[#This Row],[BR]]/Mecze[[#This Row],[ST]],0)</f>
        <v>0</v>
      </c>
      <c r="AB460">
        <f>ROUND(Mecze[[#This Row],[PD]]*Mecze[[#This Row],[%PC]],0)</f>
        <v>2</v>
      </c>
      <c r="AC460">
        <f>ROUND(Mecze[[#This Row],[OD]]*Mecze[[#This Row],[%OU]],0)</f>
        <v>0</v>
      </c>
      <c r="AD460" s="36" t="s">
        <v>272</v>
      </c>
      <c r="AE460" s="36">
        <v>27</v>
      </c>
      <c r="AF460" s="71">
        <v>0.5</v>
      </c>
      <c r="AG460" s="37">
        <v>0</v>
      </c>
      <c r="AH460" s="37">
        <v>0</v>
      </c>
      <c r="AI460" s="37">
        <v>95</v>
      </c>
      <c r="AJ460" s="37">
        <v>8</v>
      </c>
      <c r="AK460" s="37" t="str">
        <f>VLOOKUP(Mecze[[#This Row],[Match ID]],Meczusie[Mecz]:Meczusie[RodzajMeczu],2,FALSE)</f>
        <v>Liga</v>
      </c>
    </row>
    <row r="461" spans="1:37" x14ac:dyDescent="0.25">
      <c r="A461" s="76">
        <v>4</v>
      </c>
      <c r="B461" s="3" t="s">
        <v>316</v>
      </c>
      <c r="C461" s="2" t="s">
        <v>157</v>
      </c>
      <c r="D461" s="1">
        <v>0</v>
      </c>
      <c r="E461" s="1">
        <v>0</v>
      </c>
      <c r="F461" s="1">
        <v>0</v>
      </c>
      <c r="G461" s="1">
        <v>1</v>
      </c>
      <c r="H461" s="4">
        <v>0</v>
      </c>
      <c r="I461" s="1">
        <v>4</v>
      </c>
      <c r="J461" s="4">
        <v>0.5</v>
      </c>
      <c r="K461" s="1">
        <v>0</v>
      </c>
      <c r="L461" s="1">
        <v>1</v>
      </c>
      <c r="M461" s="32">
        <f>IF(Mecze[[#This Row],[PR]]=0,0,Mecze[[#This Row],[PR]]/Mecze[[#This Row],[CZAS]])</f>
        <v>1.0526315789473684E-2</v>
      </c>
      <c r="N461" s="32">
        <f>IF(Mecze[[#This Row],[OU]]=0,0,Mecze[[#This Row],[OU]]/Mecze[[#This Row],[CZAS]])</f>
        <v>2.1052631578947368E-2</v>
      </c>
      <c r="O461" s="32">
        <f>IF(Mecze[[#This Row],[PC]]=0,0,Mecze[[#This Row],[PC]]/Mecze[[#This Row],[CZAS]])</f>
        <v>0</v>
      </c>
      <c r="P461" s="32">
        <f>IF(Mecze[[#This Row],[SC]]=0,0,Mecze[[#This Row],[SC]]/Mecze[[#This Row],[CZAS]])</f>
        <v>0</v>
      </c>
      <c r="Q461" s="32">
        <f>IF(Mecze[[#This Row],[OB]]=0,0,Mecze[[#This Row],[OB]]/Mecze[[#This Row],[CZAS]])</f>
        <v>0</v>
      </c>
      <c r="R461" s="32">
        <f>IF(Mecze[[#This Row],[BR]]=0,0,Mecze[[#This Row],[BR]]/Mecze[[#This Row],[CZAS]])</f>
        <v>0</v>
      </c>
      <c r="S461" s="44">
        <f>IF(Mecze[[#This Row],[Role]]="BR",SUMPRODUCT(Mecze[[#This Row],[/PR:90]:[/BR:90]],Brudnopis!$E$23:$J$23),0)</f>
        <v>0</v>
      </c>
      <c r="T461" s="44">
        <f>IF(Mecze[[#This Row],[Role]]&lt;&gt;"BR",SUMPRODUCT(Mecze[[#This Row],[/PR:90]:[/BR:90]],Brudnopis!$E$24:$J$24),0)</f>
        <v>4.2105263157894736E-2</v>
      </c>
      <c r="U461" s="44">
        <f>IF(Mecze[[#This Row],[Role]]&lt;&gt;"BR",SUMPRODUCT(Mecze[[#This Row],[/PR:90]:[/BR:90]],Brudnopis!$E$25:$J$25),0)</f>
        <v>3.1578947368421054E-2</v>
      </c>
      <c r="V461" s="44">
        <f>IF(Mecze[[#This Row],[Role]]&lt;&gt;"BR",SUMPRODUCT(Mecze[[#This Row],[/PR:90]:[/BR:90]],Brudnopis!$E$26:$J$26),0)</f>
        <v>3.1578947368421054E-2</v>
      </c>
      <c r="W461" s="44">
        <f>IF(Mecze[[#This Row],[Role]]&lt;&gt;"BR",SUMPRODUCT(Mecze[[#This Row],[/PR:90]:[/BR:90]],Brudnopis!$E$27:$J$27),0)</f>
        <v>2.368421052631579E-2</v>
      </c>
      <c r="X461" s="44">
        <f>IF(Mecze[[#This Row],[Role]]&lt;&gt;"BR",SUMPRODUCT(Mecze[[#This Row],[/PR:90]:[/BR:90]],Brudnopis!$E$28:$J$28),0)</f>
        <v>0</v>
      </c>
      <c r="Y461" s="35">
        <f>IF(Mecze[[#This Row],[Role]]="BR",Mecze[[#This Row],[/OB:90]]+Mecze[[#This Row],[/PC:90]],SUM(Mecze[[#This Row],[/PR:90]:[/BR:90]]))</f>
        <v>3.1578947368421054E-2</v>
      </c>
      <c r="Z461" s="35">
        <f>IF(Mecze[[#This Row],[KC]]=0,SUM(Mecze[[#This Row],[/BRI]:[/NPI]]),SUM(Mecze[[#This Row],[/BRI]:[/NPI]])*0.6)</f>
        <v>0.12894736842105264</v>
      </c>
      <c r="AA461" s="10">
        <f>IFERROR(Mecze[[#This Row],[BR]]/Mecze[[#This Row],[ST]],0)</f>
        <v>0</v>
      </c>
      <c r="AB461">
        <f>ROUND(Mecze[[#This Row],[PD]]*Mecze[[#This Row],[%PC]],0)</f>
        <v>0</v>
      </c>
      <c r="AC461">
        <f>ROUND(Mecze[[#This Row],[OD]]*Mecze[[#This Row],[%OU]],0)</f>
        <v>2</v>
      </c>
      <c r="AD461" s="36" t="s">
        <v>167</v>
      </c>
      <c r="AE461" s="36">
        <v>27</v>
      </c>
      <c r="AF461" s="71">
        <v>0.72</v>
      </c>
      <c r="AG461" s="37">
        <v>0</v>
      </c>
      <c r="AH461" s="37">
        <v>0</v>
      </c>
      <c r="AI461" s="37">
        <v>95</v>
      </c>
      <c r="AJ461" s="37">
        <v>8</v>
      </c>
      <c r="AK461" s="37" t="str">
        <f>VLOOKUP(Mecze[[#This Row],[Match ID]],Meczusie[Mecz]:Meczusie[RodzajMeczu],2,FALSE)</f>
        <v>Liga</v>
      </c>
    </row>
    <row r="462" spans="1:37" x14ac:dyDescent="0.25">
      <c r="A462" s="76">
        <v>12</v>
      </c>
      <c r="B462" s="3" t="s">
        <v>315</v>
      </c>
      <c r="C462" s="2" t="s">
        <v>160</v>
      </c>
      <c r="D462" s="1">
        <v>0</v>
      </c>
      <c r="E462" s="1">
        <v>0</v>
      </c>
      <c r="F462" s="1">
        <v>0</v>
      </c>
      <c r="G462" s="1">
        <v>5</v>
      </c>
      <c r="H462" s="4">
        <v>0.6</v>
      </c>
      <c r="I462" s="1">
        <v>2</v>
      </c>
      <c r="J462" s="4">
        <v>1</v>
      </c>
      <c r="K462" s="1">
        <v>0</v>
      </c>
      <c r="L462" s="1">
        <v>2</v>
      </c>
      <c r="M462" s="32">
        <f>IF(Mecze[[#This Row],[PR]]=0,0,Mecze[[#This Row],[PR]]/Mecze[[#This Row],[CZAS]])</f>
        <v>2.1052631578947368E-2</v>
      </c>
      <c r="N462" s="32">
        <f>IF(Mecze[[#This Row],[OU]]=0,0,Mecze[[#This Row],[OU]]/Mecze[[#This Row],[CZAS]])</f>
        <v>2.1052631578947368E-2</v>
      </c>
      <c r="O462" s="32">
        <f>IF(Mecze[[#This Row],[PC]]=0,0,Mecze[[#This Row],[PC]]/Mecze[[#This Row],[CZAS]])</f>
        <v>3.1578947368421054E-2</v>
      </c>
      <c r="P462" s="32">
        <f>IF(Mecze[[#This Row],[SC]]=0,0,Mecze[[#This Row],[SC]]/Mecze[[#This Row],[CZAS]])</f>
        <v>0</v>
      </c>
      <c r="Q462" s="32">
        <f>IF(Mecze[[#This Row],[OB]]=0,0,Mecze[[#This Row],[OB]]/Mecze[[#This Row],[CZAS]])</f>
        <v>0</v>
      </c>
      <c r="R462" s="32">
        <f>IF(Mecze[[#This Row],[BR]]=0,0,Mecze[[#This Row],[BR]]/Mecze[[#This Row],[CZAS]])</f>
        <v>0</v>
      </c>
      <c r="S462" s="44">
        <f>IF(Mecze[[#This Row],[Role]]="BR",SUMPRODUCT(Mecze[[#This Row],[/PR:90]:[/BR:90]],Brudnopis!$E$23:$J$23),0)</f>
        <v>0</v>
      </c>
      <c r="T462" s="44">
        <f>IF(Mecze[[#This Row],[Role]]&lt;&gt;"BR",SUMPRODUCT(Mecze[[#This Row],[/PR:90]:[/BR:90]],Brudnopis!$E$24:$J$24),0)</f>
        <v>8.4210526315789472E-2</v>
      </c>
      <c r="U462" s="44">
        <f>IF(Mecze[[#This Row],[Role]]&lt;&gt;"BR",SUMPRODUCT(Mecze[[#This Row],[/PR:90]:[/BR:90]],Brudnopis!$E$25:$J$25),0)</f>
        <v>8.9473684210526316E-2</v>
      </c>
      <c r="V462" s="44">
        <f>IF(Mecze[[#This Row],[Role]]&lt;&gt;"BR",SUMPRODUCT(Mecze[[#This Row],[/PR:90]:[/BR:90]],Brudnopis!$E$26:$J$26),0)</f>
        <v>7.3684210526315796E-2</v>
      </c>
      <c r="W462" s="44">
        <f>IF(Mecze[[#This Row],[Role]]&lt;&gt;"BR",SUMPRODUCT(Mecze[[#This Row],[/PR:90]:[/BR:90]],Brudnopis!$E$27:$J$27),0)</f>
        <v>7.8947368421052627E-2</v>
      </c>
      <c r="X462" s="44">
        <f>IF(Mecze[[#This Row],[Role]]&lt;&gt;"BR",SUMPRODUCT(Mecze[[#This Row],[/PR:90]:[/BR:90]],Brudnopis!$E$28:$J$28),0)</f>
        <v>3.1578947368421054E-2</v>
      </c>
      <c r="Y462" s="35">
        <f>IF(Mecze[[#This Row],[Role]]="BR",Mecze[[#This Row],[/OB:90]]+Mecze[[#This Row],[/PC:90]],SUM(Mecze[[#This Row],[/PR:90]:[/BR:90]]))</f>
        <v>7.3684210526315796E-2</v>
      </c>
      <c r="Z462" s="35">
        <f>IF(Mecze[[#This Row],[KC]]=0,SUM(Mecze[[#This Row],[/BRI]:[/NPI]]),SUM(Mecze[[#This Row],[/BRI]:[/NPI]])*0.6)</f>
        <v>0.35789473684210527</v>
      </c>
      <c r="AA462" s="10">
        <f>IFERROR(Mecze[[#This Row],[BR]]/Mecze[[#This Row],[ST]],0)</f>
        <v>0</v>
      </c>
      <c r="AB462">
        <f>ROUND(Mecze[[#This Row],[PD]]*Mecze[[#This Row],[%PC]],0)</f>
        <v>3</v>
      </c>
      <c r="AC462">
        <f>ROUND(Mecze[[#This Row],[OD]]*Mecze[[#This Row],[%OU]],0)</f>
        <v>2</v>
      </c>
      <c r="AD462" s="36" t="s">
        <v>319</v>
      </c>
      <c r="AE462" s="36">
        <v>27</v>
      </c>
      <c r="AF462" s="71">
        <v>2.13</v>
      </c>
      <c r="AG462" s="37">
        <v>0</v>
      </c>
      <c r="AH462" s="37">
        <v>0</v>
      </c>
      <c r="AI462" s="37">
        <v>95</v>
      </c>
      <c r="AJ462" s="37">
        <v>8</v>
      </c>
      <c r="AK462" s="37" t="str">
        <f>VLOOKUP(Mecze[[#This Row],[Match ID]],Meczusie[Mecz]:Meczusie[RodzajMeczu],2,FALSE)</f>
        <v>Liga</v>
      </c>
    </row>
    <row r="463" spans="1:37" x14ac:dyDescent="0.25">
      <c r="A463" s="76">
        <v>1</v>
      </c>
      <c r="B463" s="3" t="s">
        <v>274</v>
      </c>
      <c r="C463" s="2" t="s">
        <v>155</v>
      </c>
      <c r="D463" s="1">
        <v>0</v>
      </c>
      <c r="E463" s="1">
        <v>0</v>
      </c>
      <c r="F463" s="1">
        <v>0</v>
      </c>
      <c r="G463" s="1">
        <v>7</v>
      </c>
      <c r="H463" s="4">
        <v>0.43</v>
      </c>
      <c r="I463" s="1">
        <v>0</v>
      </c>
      <c r="J463" s="4"/>
      <c r="K463" s="1">
        <v>5</v>
      </c>
      <c r="L463" s="1">
        <v>0</v>
      </c>
      <c r="M463" s="32">
        <f>IF(Mecze[[#This Row],[PR]]=0,0,Mecze[[#This Row],[PR]]/Mecze[[#This Row],[CZAS]])</f>
        <v>0</v>
      </c>
      <c r="N463" s="32">
        <f>IF(Mecze[[#This Row],[OU]]=0,0,Mecze[[#This Row],[OU]]/Mecze[[#This Row],[CZAS]])</f>
        <v>0</v>
      </c>
      <c r="O463" s="32">
        <f>IF(Mecze[[#This Row],[PC]]=0,0,Mecze[[#This Row],[PC]]/Mecze[[#This Row],[CZAS]])</f>
        <v>3.1578947368421054E-2</v>
      </c>
      <c r="P463" s="32">
        <f>IF(Mecze[[#This Row],[SC]]=0,0,Mecze[[#This Row],[SC]]/Mecze[[#This Row],[CZAS]])</f>
        <v>0</v>
      </c>
      <c r="Q463" s="32">
        <f>IF(Mecze[[#This Row],[OB]]=0,0,Mecze[[#This Row],[OB]]/Mecze[[#This Row],[CZAS]])</f>
        <v>5.2631578947368418E-2</v>
      </c>
      <c r="R463" s="32">
        <f>IF(Mecze[[#This Row],[BR]]=0,0,Mecze[[#This Row],[BR]]/Mecze[[#This Row],[CZAS]])</f>
        <v>0</v>
      </c>
      <c r="S463" s="44">
        <f>IF(Mecze[[#This Row],[Role]]="BR",SUMPRODUCT(Mecze[[#This Row],[/PR:90]:[/BR:90]],Brudnopis!$E$23:$J$23),0)</f>
        <v>0.25263157894736843</v>
      </c>
      <c r="T463" s="44">
        <f>IF(Mecze[[#This Row],[Role]]&lt;&gt;"BR",SUMPRODUCT(Mecze[[#This Row],[/PR:90]:[/BR:90]],Brudnopis!$E$24:$J$24),0)</f>
        <v>0</v>
      </c>
      <c r="U463" s="44">
        <f>IF(Mecze[[#This Row],[Role]]&lt;&gt;"BR",SUMPRODUCT(Mecze[[#This Row],[/PR:90]:[/BR:90]],Brudnopis!$E$25:$J$25),0)</f>
        <v>0</v>
      </c>
      <c r="V463" s="44">
        <f>IF(Mecze[[#This Row],[Role]]&lt;&gt;"BR",SUMPRODUCT(Mecze[[#This Row],[/PR:90]:[/BR:90]],Brudnopis!$E$26:$J$26),0)</f>
        <v>0</v>
      </c>
      <c r="W463" s="44">
        <f>IF(Mecze[[#This Row],[Role]]&lt;&gt;"BR",SUMPRODUCT(Mecze[[#This Row],[/PR:90]:[/BR:90]],Brudnopis!$E$27:$J$27),0)</f>
        <v>0</v>
      </c>
      <c r="X463" s="44">
        <f>IF(Mecze[[#This Row],[Role]]&lt;&gt;"BR",SUMPRODUCT(Mecze[[#This Row],[/PR:90]:[/BR:90]],Brudnopis!$E$28:$J$28),0)</f>
        <v>0</v>
      </c>
      <c r="Y463" s="35">
        <f>IF(Mecze[[#This Row],[Role]]="BR",Mecze[[#This Row],[/OB:90]]+Mecze[[#This Row],[/PC:90]],SUM(Mecze[[#This Row],[/PR:90]:[/BR:90]]))</f>
        <v>8.4210526315789472E-2</v>
      </c>
      <c r="Z463" s="35">
        <f>IF(Mecze[[#This Row],[KC]]=0,SUM(Mecze[[#This Row],[/BRI]:[/NPI]]),SUM(Mecze[[#This Row],[/BRI]:[/NPI]])*0.6)</f>
        <v>0.25263157894736843</v>
      </c>
      <c r="AA463" s="10">
        <f>IFERROR(Mecze[[#This Row],[BR]]/Mecze[[#This Row],[ST]],0)</f>
        <v>0</v>
      </c>
      <c r="AB463">
        <f>ROUND(Mecze[[#This Row],[PD]]*Mecze[[#This Row],[%PC]],0)</f>
        <v>3</v>
      </c>
      <c r="AC463">
        <f>ROUND(Mecze[[#This Row],[OD]]*Mecze[[#This Row],[%OU]],0)</f>
        <v>0</v>
      </c>
      <c r="AD463" s="36" t="s">
        <v>40</v>
      </c>
      <c r="AE463" s="36">
        <v>27</v>
      </c>
      <c r="AF463" s="71">
        <v>5.67</v>
      </c>
      <c r="AG463" s="37">
        <v>0</v>
      </c>
      <c r="AH463" s="37">
        <v>0</v>
      </c>
      <c r="AI463" s="37">
        <v>95</v>
      </c>
      <c r="AJ463" s="37">
        <v>4</v>
      </c>
      <c r="AK463" s="37" t="str">
        <f>VLOOKUP(Mecze[[#This Row],[Match ID]],Meczusie[Mecz]:Meczusie[RodzajMeczu],2,FALSE)</f>
        <v>Liga</v>
      </c>
    </row>
    <row r="464" spans="1:37" x14ac:dyDescent="0.25">
      <c r="A464" s="76">
        <v>9</v>
      </c>
      <c r="B464" s="3" t="s">
        <v>275</v>
      </c>
      <c r="C464" s="2" t="s">
        <v>157</v>
      </c>
      <c r="D464" s="1">
        <v>0</v>
      </c>
      <c r="E464" s="1">
        <v>0</v>
      </c>
      <c r="F464" s="1">
        <v>0</v>
      </c>
      <c r="G464" s="1">
        <v>9</v>
      </c>
      <c r="H464" s="4">
        <v>0.89</v>
      </c>
      <c r="I464" s="1">
        <v>6</v>
      </c>
      <c r="J464" s="4">
        <v>0.5</v>
      </c>
      <c r="K464" s="1">
        <v>0</v>
      </c>
      <c r="L464" s="1">
        <v>6</v>
      </c>
      <c r="M464" s="32">
        <f>IF(Mecze[[#This Row],[PR]]=0,0,Mecze[[#This Row],[PR]]/Mecze[[#This Row],[CZAS]])</f>
        <v>6.3157894736842107E-2</v>
      </c>
      <c r="N464" s="32">
        <f>IF(Mecze[[#This Row],[OU]]=0,0,Mecze[[#This Row],[OU]]/Mecze[[#This Row],[CZAS]])</f>
        <v>3.1578947368421054E-2</v>
      </c>
      <c r="O464" s="32">
        <f>IF(Mecze[[#This Row],[PC]]=0,0,Mecze[[#This Row],[PC]]/Mecze[[#This Row],[CZAS]])</f>
        <v>8.4210526315789472E-2</v>
      </c>
      <c r="P464" s="32">
        <f>IF(Mecze[[#This Row],[SC]]=0,0,Mecze[[#This Row],[SC]]/Mecze[[#This Row],[CZAS]])</f>
        <v>0</v>
      </c>
      <c r="Q464" s="32">
        <f>IF(Mecze[[#This Row],[OB]]=0,0,Mecze[[#This Row],[OB]]/Mecze[[#This Row],[CZAS]])</f>
        <v>0</v>
      </c>
      <c r="R464" s="32">
        <f>IF(Mecze[[#This Row],[BR]]=0,0,Mecze[[#This Row],[BR]]/Mecze[[#This Row],[CZAS]])</f>
        <v>0</v>
      </c>
      <c r="S464" s="44">
        <f>IF(Mecze[[#This Row],[Role]]="BR",SUMPRODUCT(Mecze[[#This Row],[/PR:90]:[/BR:90]],Brudnopis!$E$23:$J$23),0)</f>
        <v>0</v>
      </c>
      <c r="T464" s="44">
        <f>IF(Mecze[[#This Row],[Role]]&lt;&gt;"BR",SUMPRODUCT(Mecze[[#This Row],[/PR:90]:[/BR:90]],Brudnopis!$E$24:$J$24),0)</f>
        <v>0.19473684210526315</v>
      </c>
      <c r="U464" s="44">
        <f>IF(Mecze[[#This Row],[Role]]&lt;&gt;"BR",SUMPRODUCT(Mecze[[#This Row],[/PR:90]:[/BR:90]],Brudnopis!$E$25:$J$25),0)</f>
        <v>0.22105263157894739</v>
      </c>
      <c r="V464" s="44">
        <f>IF(Mecze[[#This Row],[Role]]&lt;&gt;"BR",SUMPRODUCT(Mecze[[#This Row],[/PR:90]:[/BR:90]],Brudnopis!$E$26:$J$26),0)</f>
        <v>0.17894736842105263</v>
      </c>
      <c r="W464" s="44">
        <f>IF(Mecze[[#This Row],[Role]]&lt;&gt;"BR",SUMPRODUCT(Mecze[[#This Row],[/PR:90]:[/BR:90]],Brudnopis!$E$27:$J$27),0)</f>
        <v>0.19736842105263158</v>
      </c>
      <c r="X464" s="44">
        <f>IF(Mecze[[#This Row],[Role]]&lt;&gt;"BR",SUMPRODUCT(Mecze[[#This Row],[/PR:90]:[/BR:90]],Brudnopis!$E$28:$J$28),0)</f>
        <v>8.4210526315789472E-2</v>
      </c>
      <c r="Y464" s="35">
        <f>IF(Mecze[[#This Row],[Role]]="BR",Mecze[[#This Row],[/OB:90]]+Mecze[[#This Row],[/PC:90]],SUM(Mecze[[#This Row],[/PR:90]:[/BR:90]]))</f>
        <v>0.17894736842105263</v>
      </c>
      <c r="Z464" s="35">
        <f>IF(Mecze[[#This Row],[KC]]=0,SUM(Mecze[[#This Row],[/BRI]:[/NPI]]),SUM(Mecze[[#This Row],[/BRI]:[/NPI]])*0.6)</f>
        <v>0.87631578947368438</v>
      </c>
      <c r="AA464" s="10">
        <f>IFERROR(Mecze[[#This Row],[BR]]/Mecze[[#This Row],[ST]],0)</f>
        <v>0</v>
      </c>
      <c r="AB464">
        <f>ROUND(Mecze[[#This Row],[PD]]*Mecze[[#This Row],[%PC]],0)</f>
        <v>8</v>
      </c>
      <c r="AC464">
        <f>ROUND(Mecze[[#This Row],[OD]]*Mecze[[#This Row],[%OU]],0)</f>
        <v>3</v>
      </c>
      <c r="AD464" s="36" t="s">
        <v>47</v>
      </c>
      <c r="AE464" s="36">
        <v>27</v>
      </c>
      <c r="AF464" s="71">
        <v>6.3</v>
      </c>
      <c r="AG464" s="37">
        <v>0</v>
      </c>
      <c r="AH464" s="37">
        <v>0</v>
      </c>
      <c r="AI464" s="37">
        <v>95</v>
      </c>
      <c r="AJ464" s="37">
        <v>4</v>
      </c>
      <c r="AK464" s="37" t="str">
        <f>VLOOKUP(Mecze[[#This Row],[Match ID]],Meczusie[Mecz]:Meczusie[RodzajMeczu],2,FALSE)</f>
        <v>Liga</v>
      </c>
    </row>
    <row r="465" spans="1:37" x14ac:dyDescent="0.25">
      <c r="A465" s="76">
        <v>4</v>
      </c>
      <c r="B465" s="3" t="s">
        <v>276</v>
      </c>
      <c r="C465" s="2" t="s">
        <v>157</v>
      </c>
      <c r="D465" s="1">
        <v>0</v>
      </c>
      <c r="E465" s="1">
        <v>0</v>
      </c>
      <c r="F465" s="1">
        <v>0</v>
      </c>
      <c r="G465" s="1">
        <v>10</v>
      </c>
      <c r="H465" s="4">
        <v>0.7</v>
      </c>
      <c r="I465" s="1">
        <v>5</v>
      </c>
      <c r="J465" s="4">
        <v>0.8</v>
      </c>
      <c r="K465" s="1">
        <v>0</v>
      </c>
      <c r="L465" s="1">
        <v>7</v>
      </c>
      <c r="M465" s="32">
        <f>IF(Mecze[[#This Row],[PR]]=0,0,Mecze[[#This Row],[PR]]/Mecze[[#This Row],[CZAS]])</f>
        <v>7.3684210526315783E-2</v>
      </c>
      <c r="N465" s="32">
        <f>IF(Mecze[[#This Row],[OU]]=0,0,Mecze[[#This Row],[OU]]/Mecze[[#This Row],[CZAS]])</f>
        <v>4.2105263157894736E-2</v>
      </c>
      <c r="O465" s="32">
        <f>IF(Mecze[[#This Row],[PC]]=0,0,Mecze[[#This Row],[PC]]/Mecze[[#This Row],[CZAS]])</f>
        <v>7.3684210526315783E-2</v>
      </c>
      <c r="P465" s="32">
        <f>IF(Mecze[[#This Row],[SC]]=0,0,Mecze[[#This Row],[SC]]/Mecze[[#This Row],[CZAS]])</f>
        <v>0</v>
      </c>
      <c r="Q465" s="32">
        <f>IF(Mecze[[#This Row],[OB]]=0,0,Mecze[[#This Row],[OB]]/Mecze[[#This Row],[CZAS]])</f>
        <v>0</v>
      </c>
      <c r="R465" s="32">
        <f>IF(Mecze[[#This Row],[BR]]=0,0,Mecze[[#This Row],[BR]]/Mecze[[#This Row],[CZAS]])</f>
        <v>0</v>
      </c>
      <c r="S465" s="44">
        <f>IF(Mecze[[#This Row],[Role]]="BR",SUMPRODUCT(Mecze[[#This Row],[/PR:90]:[/BR:90]],Brudnopis!$E$23:$J$23),0)</f>
        <v>0</v>
      </c>
      <c r="T465" s="44">
        <f>IF(Mecze[[#This Row],[Role]]&lt;&gt;"BR",SUMPRODUCT(Mecze[[#This Row],[/PR:90]:[/BR:90]],Brudnopis!$E$24:$J$24),0)</f>
        <v>0.21052631578947367</v>
      </c>
      <c r="U465" s="44">
        <f>IF(Mecze[[#This Row],[Role]]&lt;&gt;"BR",SUMPRODUCT(Mecze[[#This Row],[/PR:90]:[/BR:90]],Brudnopis!$E$25:$J$25),0)</f>
        <v>0.22631578947368419</v>
      </c>
      <c r="V465" s="44">
        <f>IF(Mecze[[#This Row],[Role]]&lt;&gt;"BR",SUMPRODUCT(Mecze[[#This Row],[/PR:90]:[/BR:90]],Brudnopis!$E$26:$J$26),0)</f>
        <v>0.18947368421052629</v>
      </c>
      <c r="W465" s="44">
        <f>IF(Mecze[[#This Row],[Role]]&lt;&gt;"BR",SUMPRODUCT(Mecze[[#This Row],[/PR:90]:[/BR:90]],Brudnopis!$E$27:$J$27),0)</f>
        <v>0.19736842105263155</v>
      </c>
      <c r="X465" s="44">
        <f>IF(Mecze[[#This Row],[Role]]&lt;&gt;"BR",SUMPRODUCT(Mecze[[#This Row],[/PR:90]:[/BR:90]],Brudnopis!$E$28:$J$28),0)</f>
        <v>7.3684210526315783E-2</v>
      </c>
      <c r="Y465" s="35">
        <f>IF(Mecze[[#This Row],[Role]]="BR",Mecze[[#This Row],[/OB:90]]+Mecze[[#This Row],[/PC:90]],SUM(Mecze[[#This Row],[/PR:90]:[/BR:90]]))</f>
        <v>0.18947368421052629</v>
      </c>
      <c r="Z465" s="35">
        <f>IF(Mecze[[#This Row],[KC]]=0,SUM(Mecze[[#This Row],[/BRI]:[/NPI]]),SUM(Mecze[[#This Row],[/BRI]:[/NPI]])*0.6)</f>
        <v>0.89736842105263148</v>
      </c>
      <c r="AA465" s="10">
        <f>IFERROR(Mecze[[#This Row],[BR]]/Mecze[[#This Row],[ST]],0)</f>
        <v>0</v>
      </c>
      <c r="AB465">
        <f>ROUND(Mecze[[#This Row],[PD]]*Mecze[[#This Row],[%PC]],0)</f>
        <v>7</v>
      </c>
      <c r="AC465">
        <f>ROUND(Mecze[[#This Row],[OD]]*Mecze[[#This Row],[%OU]],0)</f>
        <v>4</v>
      </c>
      <c r="AD465" s="36" t="s">
        <v>168</v>
      </c>
      <c r="AE465" s="36">
        <v>27</v>
      </c>
      <c r="AF465" s="71">
        <v>7.71</v>
      </c>
      <c r="AG465" s="37">
        <v>0</v>
      </c>
      <c r="AH465" s="37">
        <v>0</v>
      </c>
      <c r="AI465" s="37">
        <v>95</v>
      </c>
      <c r="AJ465" s="37">
        <v>4</v>
      </c>
      <c r="AK465" s="37" t="str">
        <f>VLOOKUP(Mecze[[#This Row],[Match ID]],Meczusie[Mecz]:Meczusie[RodzajMeczu],2,FALSE)</f>
        <v>Liga</v>
      </c>
    </row>
    <row r="466" spans="1:37" x14ac:dyDescent="0.25">
      <c r="A466" s="76">
        <v>5</v>
      </c>
      <c r="B466" s="3" t="s">
        <v>277</v>
      </c>
      <c r="C466" s="2" t="s">
        <v>157</v>
      </c>
      <c r="D466" s="1">
        <v>0</v>
      </c>
      <c r="E466" s="1">
        <v>0</v>
      </c>
      <c r="F466" s="1">
        <v>0</v>
      </c>
      <c r="G466" s="1">
        <v>6</v>
      </c>
      <c r="H466" s="4">
        <v>0.83</v>
      </c>
      <c r="I466" s="1">
        <v>4</v>
      </c>
      <c r="J466" s="4">
        <v>0.5</v>
      </c>
      <c r="K466" s="1">
        <v>0</v>
      </c>
      <c r="L466" s="1">
        <v>3</v>
      </c>
      <c r="M466" s="32">
        <f>IF(Mecze[[#This Row],[PR]]=0,0,Mecze[[#This Row],[PR]]/Mecze[[#This Row],[CZAS]])</f>
        <v>3.1578947368421054E-2</v>
      </c>
      <c r="N466" s="32">
        <f>IF(Mecze[[#This Row],[OU]]=0,0,Mecze[[#This Row],[OU]]/Mecze[[#This Row],[CZAS]])</f>
        <v>2.1052631578947368E-2</v>
      </c>
      <c r="O466" s="32">
        <f>IF(Mecze[[#This Row],[PC]]=0,0,Mecze[[#This Row],[PC]]/Mecze[[#This Row],[CZAS]])</f>
        <v>5.2631578947368418E-2</v>
      </c>
      <c r="P466" s="32">
        <f>IF(Mecze[[#This Row],[SC]]=0,0,Mecze[[#This Row],[SC]]/Mecze[[#This Row],[CZAS]])</f>
        <v>0</v>
      </c>
      <c r="Q466" s="32">
        <f>IF(Mecze[[#This Row],[OB]]=0,0,Mecze[[#This Row],[OB]]/Mecze[[#This Row],[CZAS]])</f>
        <v>0</v>
      </c>
      <c r="R466" s="32">
        <f>IF(Mecze[[#This Row],[BR]]=0,0,Mecze[[#This Row],[BR]]/Mecze[[#This Row],[CZAS]])</f>
        <v>0</v>
      </c>
      <c r="S466" s="44">
        <f>IF(Mecze[[#This Row],[Role]]="BR",SUMPRODUCT(Mecze[[#This Row],[/PR:90]:[/BR:90]],Brudnopis!$E$23:$J$23),0)</f>
        <v>0</v>
      </c>
      <c r="T466" s="44">
        <f>IF(Mecze[[#This Row],[Role]]&lt;&gt;"BR",SUMPRODUCT(Mecze[[#This Row],[/PR:90]:[/BR:90]],Brudnopis!$E$24:$J$24),0)</f>
        <v>0.11578947368421053</v>
      </c>
      <c r="U466" s="44">
        <f>IF(Mecze[[#This Row],[Role]]&lt;&gt;"BR",SUMPRODUCT(Mecze[[#This Row],[/PR:90]:[/BR:90]],Brudnopis!$E$25:$J$25),0)</f>
        <v>0.13157894736842105</v>
      </c>
      <c r="V466" s="44">
        <f>IF(Mecze[[#This Row],[Role]]&lt;&gt;"BR",SUMPRODUCT(Mecze[[#This Row],[/PR:90]:[/BR:90]],Brudnopis!$E$26:$J$26),0)</f>
        <v>0.10526315789473684</v>
      </c>
      <c r="W466" s="44">
        <f>IF(Mecze[[#This Row],[Role]]&lt;&gt;"BR",SUMPRODUCT(Mecze[[#This Row],[/PR:90]:[/BR:90]],Brudnopis!$E$27:$J$27),0)</f>
        <v>0.11842105263157894</v>
      </c>
      <c r="X466" s="44">
        <f>IF(Mecze[[#This Row],[Role]]&lt;&gt;"BR",SUMPRODUCT(Mecze[[#This Row],[/PR:90]:[/BR:90]],Brudnopis!$E$28:$J$28),0)</f>
        <v>5.2631578947368418E-2</v>
      </c>
      <c r="Y466" s="35">
        <f>IF(Mecze[[#This Row],[Role]]="BR",Mecze[[#This Row],[/OB:90]]+Mecze[[#This Row],[/PC:90]],SUM(Mecze[[#This Row],[/PR:90]:[/BR:90]]))</f>
        <v>0.10526315789473684</v>
      </c>
      <c r="Z466" s="35">
        <f>IF(Mecze[[#This Row],[KC]]=0,SUM(Mecze[[#This Row],[/BRI]:[/NPI]]),SUM(Mecze[[#This Row],[/BRI]:[/NPI]])*0.6)</f>
        <v>0.52368421052631575</v>
      </c>
      <c r="AA466" s="10">
        <f>IFERROR(Mecze[[#This Row],[BR]]/Mecze[[#This Row],[ST]],0)</f>
        <v>0</v>
      </c>
      <c r="AB466">
        <f>ROUND(Mecze[[#This Row],[PD]]*Mecze[[#This Row],[%PC]],0)</f>
        <v>5</v>
      </c>
      <c r="AC466">
        <f>ROUND(Mecze[[#This Row],[OD]]*Mecze[[#This Row],[%OU]],0)</f>
        <v>2</v>
      </c>
      <c r="AD466" s="36" t="s">
        <v>167</v>
      </c>
      <c r="AE466" s="36">
        <v>27</v>
      </c>
      <c r="AF466" s="71">
        <v>5.67</v>
      </c>
      <c r="AG466" s="37">
        <v>0</v>
      </c>
      <c r="AH466" s="37">
        <v>0</v>
      </c>
      <c r="AI466" s="37">
        <v>95</v>
      </c>
      <c r="AJ466" s="37">
        <v>4</v>
      </c>
      <c r="AK466" s="37" t="str">
        <f>VLOOKUP(Mecze[[#This Row],[Match ID]],Meczusie[Mecz]:Meczusie[RodzajMeczu],2,FALSE)</f>
        <v>Liga</v>
      </c>
    </row>
    <row r="467" spans="1:37" x14ac:dyDescent="0.25">
      <c r="A467" s="76">
        <v>13</v>
      </c>
      <c r="B467" s="3" t="s">
        <v>287</v>
      </c>
      <c r="C467" s="2" t="s">
        <v>160</v>
      </c>
      <c r="D467" s="1">
        <v>0</v>
      </c>
      <c r="E467" s="1">
        <v>1</v>
      </c>
      <c r="F467" s="1">
        <v>1</v>
      </c>
      <c r="G467" s="1">
        <v>16</v>
      </c>
      <c r="H467" s="4">
        <v>0.81</v>
      </c>
      <c r="I467" s="1">
        <v>2</v>
      </c>
      <c r="J467" s="4">
        <v>0</v>
      </c>
      <c r="K467" s="1">
        <v>0</v>
      </c>
      <c r="L467" s="1">
        <v>6</v>
      </c>
      <c r="M467" s="32">
        <f>IF(Mecze[[#This Row],[PR]]=0,0,Mecze[[#This Row],[PR]]/Mecze[[#This Row],[CZAS]])</f>
        <v>6.3157894736842107E-2</v>
      </c>
      <c r="N467" s="32">
        <f>IF(Mecze[[#This Row],[OU]]=0,0,Mecze[[#This Row],[OU]]/Mecze[[#This Row],[CZAS]])</f>
        <v>0</v>
      </c>
      <c r="O467" s="32">
        <f>IF(Mecze[[#This Row],[PC]]=0,0,Mecze[[#This Row],[PC]]/Mecze[[#This Row],[CZAS]])</f>
        <v>0.1368421052631579</v>
      </c>
      <c r="P467" s="32">
        <f>IF(Mecze[[#This Row],[SC]]=0,0,Mecze[[#This Row],[SC]]/Mecze[[#This Row],[CZAS]])</f>
        <v>1.0526315789473684E-2</v>
      </c>
      <c r="Q467" s="32">
        <f>IF(Mecze[[#This Row],[OB]]=0,0,Mecze[[#This Row],[OB]]/Mecze[[#This Row],[CZAS]])</f>
        <v>0</v>
      </c>
      <c r="R467" s="32">
        <f>IF(Mecze[[#This Row],[BR]]=0,0,Mecze[[#This Row],[BR]]/Mecze[[#This Row],[CZAS]])</f>
        <v>0</v>
      </c>
      <c r="S467" s="44">
        <f>IF(Mecze[[#This Row],[Role]]="BR",SUMPRODUCT(Mecze[[#This Row],[/PR:90]:[/BR:90]],Brudnopis!$E$23:$J$23),0)</f>
        <v>0</v>
      </c>
      <c r="T467" s="44">
        <f>IF(Mecze[[#This Row],[Role]]&lt;&gt;"BR",SUMPRODUCT(Mecze[[#This Row],[/PR:90]:[/BR:90]],Brudnopis!$E$24:$J$24),0)</f>
        <v>0.2105263157894737</v>
      </c>
      <c r="U467" s="44">
        <f>IF(Mecze[[#This Row],[Role]]&lt;&gt;"BR",SUMPRODUCT(Mecze[[#This Row],[/PR:90]:[/BR:90]],Brudnopis!$E$25:$J$25),0)</f>
        <v>0.27894736842105267</v>
      </c>
      <c r="V467" s="44">
        <f>IF(Mecze[[#This Row],[Role]]&lt;&gt;"BR",SUMPRODUCT(Mecze[[#This Row],[/PR:90]:[/BR:90]],Brudnopis!$E$26:$J$26),0)</f>
        <v>0.2105263157894737</v>
      </c>
      <c r="W467" s="44">
        <f>IF(Mecze[[#This Row],[Role]]&lt;&gt;"BR",SUMPRODUCT(Mecze[[#This Row],[/PR:90]:[/BR:90]],Brudnopis!$E$27:$J$27),0)</f>
        <v>0.26315789473684209</v>
      </c>
      <c r="X467" s="44">
        <f>IF(Mecze[[#This Row],[Role]]&lt;&gt;"BR",SUMPRODUCT(Mecze[[#This Row],[/PR:90]:[/BR:90]],Brudnopis!$E$28:$J$28),0)</f>
        <v>0.15789473684210528</v>
      </c>
      <c r="Y467" s="35">
        <f>IF(Mecze[[#This Row],[Role]]="BR",Mecze[[#This Row],[/OB:90]]+Mecze[[#This Row],[/PC:90]],SUM(Mecze[[#This Row],[/PR:90]:[/BR:90]]))</f>
        <v>0.2105263157894737</v>
      </c>
      <c r="Z467" s="35">
        <f>IF(Mecze[[#This Row],[KC]]=0,SUM(Mecze[[#This Row],[/BRI]:[/NPI]]),SUM(Mecze[[#This Row],[/BRI]:[/NPI]])*0.6)</f>
        <v>1.1210526315789475</v>
      </c>
      <c r="AA467" s="10">
        <f>IFERROR(Mecze[[#This Row],[BR]]/Mecze[[#This Row],[ST]],0)</f>
        <v>0</v>
      </c>
      <c r="AB467">
        <f>ROUND(Mecze[[#This Row],[PD]]*Mecze[[#This Row],[%PC]],0)</f>
        <v>13</v>
      </c>
      <c r="AC467">
        <f>ROUND(Mecze[[#This Row],[OD]]*Mecze[[#This Row],[%OU]],0)</f>
        <v>0</v>
      </c>
      <c r="AD467" s="36" t="s">
        <v>41</v>
      </c>
      <c r="AE467" s="36">
        <v>27</v>
      </c>
      <c r="AF467" s="71">
        <v>7.53</v>
      </c>
      <c r="AG467" s="37">
        <v>0</v>
      </c>
      <c r="AH467" s="37">
        <v>0</v>
      </c>
      <c r="AI467" s="37">
        <v>95</v>
      </c>
      <c r="AJ467" s="37">
        <v>4</v>
      </c>
      <c r="AK467" s="37" t="str">
        <f>VLOOKUP(Mecze[[#This Row],[Match ID]],Meczusie[Mecz]:Meczusie[RodzajMeczu],2,FALSE)</f>
        <v>Liga</v>
      </c>
    </row>
    <row r="468" spans="1:37" x14ac:dyDescent="0.25">
      <c r="A468" s="76">
        <v>7</v>
      </c>
      <c r="B468" s="3" t="s">
        <v>279</v>
      </c>
      <c r="C468" s="2" t="s">
        <v>160</v>
      </c>
      <c r="D468" s="1">
        <v>0</v>
      </c>
      <c r="E468" s="1">
        <v>0</v>
      </c>
      <c r="F468" s="1">
        <v>0</v>
      </c>
      <c r="G468" s="1">
        <v>16</v>
      </c>
      <c r="H468" s="4">
        <v>0.75</v>
      </c>
      <c r="I468" s="1">
        <v>11</v>
      </c>
      <c r="J468" s="4">
        <v>0.36</v>
      </c>
      <c r="K468" s="1">
        <v>0</v>
      </c>
      <c r="L468" s="1">
        <v>5</v>
      </c>
      <c r="M468" s="32">
        <f>IF(Mecze[[#This Row],[PR]]=0,0,Mecze[[#This Row],[PR]]/Mecze[[#This Row],[CZAS]])</f>
        <v>5.2631578947368418E-2</v>
      </c>
      <c r="N468" s="32">
        <f>IF(Mecze[[#This Row],[OU]]=0,0,Mecze[[#This Row],[OU]]/Mecze[[#This Row],[CZAS]])</f>
        <v>4.2105263157894736E-2</v>
      </c>
      <c r="O468" s="32">
        <f>IF(Mecze[[#This Row],[PC]]=0,0,Mecze[[#This Row],[PC]]/Mecze[[#This Row],[CZAS]])</f>
        <v>0.12631578947368421</v>
      </c>
      <c r="P468" s="32">
        <f>IF(Mecze[[#This Row],[SC]]=0,0,Mecze[[#This Row],[SC]]/Mecze[[#This Row],[CZAS]])</f>
        <v>0</v>
      </c>
      <c r="Q468" s="32">
        <f>IF(Mecze[[#This Row],[OB]]=0,0,Mecze[[#This Row],[OB]]/Mecze[[#This Row],[CZAS]])</f>
        <v>0</v>
      </c>
      <c r="R468" s="32">
        <f>IF(Mecze[[#This Row],[BR]]=0,0,Mecze[[#This Row],[BR]]/Mecze[[#This Row],[CZAS]])</f>
        <v>0</v>
      </c>
      <c r="S468" s="44">
        <f>IF(Mecze[[#This Row],[Role]]="BR",SUMPRODUCT(Mecze[[#This Row],[/PR:90]:[/BR:90]],Brudnopis!$E$23:$J$23),0)</f>
        <v>0</v>
      </c>
      <c r="T468" s="44">
        <f>IF(Mecze[[#This Row],[Role]]&lt;&gt;"BR",SUMPRODUCT(Mecze[[#This Row],[/PR:90]:[/BR:90]],Brudnopis!$E$24:$J$24),0)</f>
        <v>0.24210526315789474</v>
      </c>
      <c r="U468" s="44">
        <f>IF(Mecze[[#This Row],[Role]]&lt;&gt;"BR",SUMPRODUCT(Mecze[[#This Row],[/PR:90]:[/BR:90]],Brudnopis!$E$25:$J$25),0)</f>
        <v>0.28421052631578947</v>
      </c>
      <c r="V468" s="44">
        <f>IF(Mecze[[#This Row],[Role]]&lt;&gt;"BR",SUMPRODUCT(Mecze[[#This Row],[/PR:90]:[/BR:90]],Brudnopis!$E$26:$J$26),0)</f>
        <v>0.22105263157894736</v>
      </c>
      <c r="W468" s="44">
        <f>IF(Mecze[[#This Row],[Role]]&lt;&gt;"BR",SUMPRODUCT(Mecze[[#This Row],[/PR:90]:[/BR:90]],Brudnopis!$E$27:$J$27),0)</f>
        <v>0.26052631578947372</v>
      </c>
      <c r="X468" s="44">
        <f>IF(Mecze[[#This Row],[Role]]&lt;&gt;"BR",SUMPRODUCT(Mecze[[#This Row],[/PR:90]:[/BR:90]],Brudnopis!$E$28:$J$28),0)</f>
        <v>0.12631578947368421</v>
      </c>
      <c r="Y468" s="35">
        <f>IF(Mecze[[#This Row],[Role]]="BR",Mecze[[#This Row],[/OB:90]]+Mecze[[#This Row],[/PC:90]],SUM(Mecze[[#This Row],[/PR:90]:[/BR:90]]))</f>
        <v>0.22105263157894736</v>
      </c>
      <c r="Z468" s="35">
        <f>IF(Mecze[[#This Row],[KC]]=0,SUM(Mecze[[#This Row],[/BRI]:[/NPI]]),SUM(Mecze[[#This Row],[/BRI]:[/NPI]])*0.6)</f>
        <v>1.1342105263157896</v>
      </c>
      <c r="AA468" s="10">
        <f>IFERROR(Mecze[[#This Row],[BR]]/Mecze[[#This Row],[ST]],0)</f>
        <v>0</v>
      </c>
      <c r="AB468">
        <f>ROUND(Mecze[[#This Row],[PD]]*Mecze[[#This Row],[%PC]],0)</f>
        <v>12</v>
      </c>
      <c r="AC468">
        <f>ROUND(Mecze[[#This Row],[OD]]*Mecze[[#This Row],[%OU]],0)</f>
        <v>4</v>
      </c>
      <c r="AD468" s="36" t="s">
        <v>41</v>
      </c>
      <c r="AE468" s="36">
        <v>27</v>
      </c>
      <c r="AF468" s="71">
        <v>6.18</v>
      </c>
      <c r="AG468" s="37">
        <v>0</v>
      </c>
      <c r="AH468" s="37">
        <v>0</v>
      </c>
      <c r="AI468" s="37">
        <v>95</v>
      </c>
      <c r="AJ468" s="37">
        <v>4</v>
      </c>
      <c r="AK468" s="37" t="str">
        <f>VLOOKUP(Mecze[[#This Row],[Match ID]],Meczusie[Mecz]:Meczusie[RodzajMeczu],2,FALSE)</f>
        <v>Liga</v>
      </c>
    </row>
    <row r="469" spans="1:37" x14ac:dyDescent="0.25">
      <c r="A469" s="76">
        <v>6</v>
      </c>
      <c r="B469" s="3" t="s">
        <v>280</v>
      </c>
      <c r="C469" s="2" t="s">
        <v>160</v>
      </c>
      <c r="D469" s="1">
        <v>0</v>
      </c>
      <c r="E469" s="1">
        <v>1</v>
      </c>
      <c r="F469" s="1">
        <v>1</v>
      </c>
      <c r="G469" s="1">
        <v>16</v>
      </c>
      <c r="H469" s="4">
        <v>0.81</v>
      </c>
      <c r="I469" s="1">
        <v>4</v>
      </c>
      <c r="J469" s="4">
        <v>0.5</v>
      </c>
      <c r="K469" s="1">
        <v>0</v>
      </c>
      <c r="L469" s="1">
        <v>3</v>
      </c>
      <c r="M469" s="32">
        <f>IF(Mecze[[#This Row],[PR]]=0,0,Mecze[[#This Row],[PR]]/Mecze[[#This Row],[CZAS]])</f>
        <v>3.1578947368421054E-2</v>
      </c>
      <c r="N469" s="32">
        <f>IF(Mecze[[#This Row],[OU]]=0,0,Mecze[[#This Row],[OU]]/Mecze[[#This Row],[CZAS]])</f>
        <v>2.1052631578947368E-2</v>
      </c>
      <c r="O469" s="32">
        <f>IF(Mecze[[#This Row],[PC]]=0,0,Mecze[[#This Row],[PC]]/Mecze[[#This Row],[CZAS]])</f>
        <v>0.1368421052631579</v>
      </c>
      <c r="P469" s="32">
        <f>IF(Mecze[[#This Row],[SC]]=0,0,Mecze[[#This Row],[SC]]/Mecze[[#This Row],[CZAS]])</f>
        <v>1.0526315789473684E-2</v>
      </c>
      <c r="Q469" s="32">
        <f>IF(Mecze[[#This Row],[OB]]=0,0,Mecze[[#This Row],[OB]]/Mecze[[#This Row],[CZAS]])</f>
        <v>0</v>
      </c>
      <c r="R469" s="32">
        <f>IF(Mecze[[#This Row],[BR]]=0,0,Mecze[[#This Row],[BR]]/Mecze[[#This Row],[CZAS]])</f>
        <v>0</v>
      </c>
      <c r="S469" s="44">
        <f>IF(Mecze[[#This Row],[Role]]="BR",SUMPRODUCT(Mecze[[#This Row],[/PR:90]:[/BR:90]],Brudnopis!$E$23:$J$23),0)</f>
        <v>0</v>
      </c>
      <c r="T469" s="44">
        <f>IF(Mecze[[#This Row],[Role]]&lt;&gt;"BR",SUMPRODUCT(Mecze[[#This Row],[/PR:90]:[/BR:90]],Brudnopis!$E$24:$J$24),0)</f>
        <v>0.2105263157894737</v>
      </c>
      <c r="U469" s="44">
        <f>IF(Mecze[[#This Row],[Role]]&lt;&gt;"BR",SUMPRODUCT(Mecze[[#This Row],[/PR:90]:[/BR:90]],Brudnopis!$E$25:$J$25),0)</f>
        <v>0.26842105263157895</v>
      </c>
      <c r="V469" s="44">
        <f>IF(Mecze[[#This Row],[Role]]&lt;&gt;"BR",SUMPRODUCT(Mecze[[#This Row],[/PR:90]:[/BR:90]],Brudnopis!$E$26:$J$26),0)</f>
        <v>0.2</v>
      </c>
      <c r="W469" s="44">
        <f>IF(Mecze[[#This Row],[Role]]&lt;&gt;"BR",SUMPRODUCT(Mecze[[#This Row],[/PR:90]:[/BR:90]],Brudnopis!$E$27:$J$27),0)</f>
        <v>0.25526315789473686</v>
      </c>
      <c r="X469" s="44">
        <f>IF(Mecze[[#This Row],[Role]]&lt;&gt;"BR",SUMPRODUCT(Mecze[[#This Row],[/PR:90]:[/BR:90]],Brudnopis!$E$28:$J$28),0)</f>
        <v>0.15789473684210528</v>
      </c>
      <c r="Y469" s="35">
        <f>IF(Mecze[[#This Row],[Role]]="BR",Mecze[[#This Row],[/OB:90]]+Mecze[[#This Row],[/PC:90]],SUM(Mecze[[#This Row],[/PR:90]:[/BR:90]]))</f>
        <v>0.2</v>
      </c>
      <c r="Z469" s="35">
        <f>IF(Mecze[[#This Row],[KC]]=0,SUM(Mecze[[#This Row],[/BRI]:[/NPI]]),SUM(Mecze[[#This Row],[/BRI]:[/NPI]])*0.6)</f>
        <v>1.0921052631578949</v>
      </c>
      <c r="AA469" s="10">
        <f>IFERROR(Mecze[[#This Row],[BR]]/Mecze[[#This Row],[ST]],0)</f>
        <v>0</v>
      </c>
      <c r="AB469">
        <f>ROUND(Mecze[[#This Row],[PD]]*Mecze[[#This Row],[%PC]],0)</f>
        <v>13</v>
      </c>
      <c r="AC469">
        <f>ROUND(Mecze[[#This Row],[OD]]*Mecze[[#This Row],[%OU]],0)</f>
        <v>2</v>
      </c>
      <c r="AD469" s="36" t="s">
        <v>67</v>
      </c>
      <c r="AE469" s="36">
        <v>27</v>
      </c>
      <c r="AF469" s="71">
        <v>6.9</v>
      </c>
      <c r="AG469" s="37">
        <v>0</v>
      </c>
      <c r="AH469" s="37">
        <v>0</v>
      </c>
      <c r="AI469" s="37">
        <v>95</v>
      </c>
      <c r="AJ469" s="37">
        <v>4</v>
      </c>
      <c r="AK469" s="37" t="str">
        <f>VLOOKUP(Mecze[[#This Row],[Match ID]],Meczusie[Mecz]:Meczusie[RodzajMeczu],2,FALSE)</f>
        <v>Liga</v>
      </c>
    </row>
    <row r="470" spans="1:37" x14ac:dyDescent="0.25">
      <c r="A470" s="76">
        <v>14</v>
      </c>
      <c r="B470" s="3" t="s">
        <v>281</v>
      </c>
      <c r="C470" s="2" t="s">
        <v>160</v>
      </c>
      <c r="D470" s="1">
        <v>0</v>
      </c>
      <c r="E470" s="1">
        <v>1</v>
      </c>
      <c r="F470" s="1">
        <v>0</v>
      </c>
      <c r="G470" s="1">
        <v>11</v>
      </c>
      <c r="H470" s="4">
        <v>0.91</v>
      </c>
      <c r="I470" s="1">
        <v>6</v>
      </c>
      <c r="J470" s="4">
        <v>0.33</v>
      </c>
      <c r="K470" s="1">
        <v>0</v>
      </c>
      <c r="L470" s="1">
        <v>3</v>
      </c>
      <c r="M470" s="32">
        <f>IF(Mecze[[#This Row],[PR]]=0,0,Mecze[[#This Row],[PR]]/Mecze[[#This Row],[CZAS]])</f>
        <v>3.1578947368421054E-2</v>
      </c>
      <c r="N470" s="32">
        <f>IF(Mecze[[#This Row],[OU]]=0,0,Mecze[[#This Row],[OU]]/Mecze[[#This Row],[CZAS]])</f>
        <v>2.1052631578947368E-2</v>
      </c>
      <c r="O470" s="32">
        <f>IF(Mecze[[#This Row],[PC]]=0,0,Mecze[[#This Row],[PC]]/Mecze[[#This Row],[CZAS]])</f>
        <v>0.10526315789473684</v>
      </c>
      <c r="P470" s="32">
        <f>IF(Mecze[[#This Row],[SC]]=0,0,Mecze[[#This Row],[SC]]/Mecze[[#This Row],[CZAS]])</f>
        <v>0</v>
      </c>
      <c r="Q470" s="32">
        <f>IF(Mecze[[#This Row],[OB]]=0,0,Mecze[[#This Row],[OB]]/Mecze[[#This Row],[CZAS]])</f>
        <v>0</v>
      </c>
      <c r="R470" s="32">
        <f>IF(Mecze[[#This Row],[BR]]=0,0,Mecze[[#This Row],[BR]]/Mecze[[#This Row],[CZAS]])</f>
        <v>0</v>
      </c>
      <c r="S470" s="44">
        <f>IF(Mecze[[#This Row],[Role]]="BR",SUMPRODUCT(Mecze[[#This Row],[/PR:90]:[/BR:90]],Brudnopis!$E$23:$J$23),0)</f>
        <v>0</v>
      </c>
      <c r="T470" s="44">
        <f>IF(Mecze[[#This Row],[Role]]&lt;&gt;"BR",SUMPRODUCT(Mecze[[#This Row],[/PR:90]:[/BR:90]],Brudnopis!$E$24:$J$24),0)</f>
        <v>0.16842105263157894</v>
      </c>
      <c r="U470" s="44">
        <f>IF(Mecze[[#This Row],[Role]]&lt;&gt;"BR",SUMPRODUCT(Mecze[[#This Row],[/PR:90]:[/BR:90]],Brudnopis!$E$25:$J$25),0)</f>
        <v>0.21052631578947367</v>
      </c>
      <c r="V470" s="44">
        <f>IF(Mecze[[#This Row],[Role]]&lt;&gt;"BR",SUMPRODUCT(Mecze[[#This Row],[/PR:90]:[/BR:90]],Brudnopis!$E$26:$J$26),0)</f>
        <v>0.15789473684210525</v>
      </c>
      <c r="W470" s="44">
        <f>IF(Mecze[[#This Row],[Role]]&lt;&gt;"BR",SUMPRODUCT(Mecze[[#This Row],[/PR:90]:[/BR:90]],Brudnopis!$E$27:$J$27),0)</f>
        <v>0.19736842105263158</v>
      </c>
      <c r="X470" s="44">
        <f>IF(Mecze[[#This Row],[Role]]&lt;&gt;"BR",SUMPRODUCT(Mecze[[#This Row],[/PR:90]:[/BR:90]],Brudnopis!$E$28:$J$28),0)</f>
        <v>0.10526315789473684</v>
      </c>
      <c r="Y470" s="35">
        <f>IF(Mecze[[#This Row],[Role]]="BR",Mecze[[#This Row],[/OB:90]]+Mecze[[#This Row],[/PC:90]],SUM(Mecze[[#This Row],[/PR:90]:[/BR:90]]))</f>
        <v>0.15789473684210525</v>
      </c>
      <c r="Z470" s="35">
        <f>IF(Mecze[[#This Row],[KC]]=0,SUM(Mecze[[#This Row],[/BRI]:[/NPI]]),SUM(Mecze[[#This Row],[/BRI]:[/NPI]])*0.6)</f>
        <v>0.83947368421052626</v>
      </c>
      <c r="AA470" s="10">
        <f>IFERROR(Mecze[[#This Row],[BR]]/Mecze[[#This Row],[ST]],0)</f>
        <v>0</v>
      </c>
      <c r="AB470">
        <f>ROUND(Mecze[[#This Row],[PD]]*Mecze[[#This Row],[%PC]],0)</f>
        <v>10</v>
      </c>
      <c r="AC470">
        <f>ROUND(Mecze[[#This Row],[OD]]*Mecze[[#This Row],[%OU]],0)</f>
        <v>2</v>
      </c>
      <c r="AD470" s="36" t="s">
        <v>171</v>
      </c>
      <c r="AE470" s="36">
        <v>27</v>
      </c>
      <c r="AF470" s="71">
        <v>6.67</v>
      </c>
      <c r="AG470" s="37">
        <v>0</v>
      </c>
      <c r="AH470" s="37">
        <v>0</v>
      </c>
      <c r="AI470" s="37">
        <v>95</v>
      </c>
      <c r="AJ470" s="37">
        <v>4</v>
      </c>
      <c r="AK470" s="37" t="str">
        <f>VLOOKUP(Mecze[[#This Row],[Match ID]],Meczusie[Mecz]:Meczusie[RodzajMeczu],2,FALSE)</f>
        <v>Liga</v>
      </c>
    </row>
    <row r="471" spans="1:37" x14ac:dyDescent="0.25">
      <c r="A471" s="76">
        <v>11</v>
      </c>
      <c r="B471" s="3" t="s">
        <v>282</v>
      </c>
      <c r="C471" s="2" t="s">
        <v>165</v>
      </c>
      <c r="D471" s="1">
        <v>2</v>
      </c>
      <c r="E471" s="1">
        <v>6</v>
      </c>
      <c r="F471" s="1">
        <v>6</v>
      </c>
      <c r="G471" s="1">
        <v>3</v>
      </c>
      <c r="H471" s="4">
        <v>0.33</v>
      </c>
      <c r="I471" s="1">
        <v>1</v>
      </c>
      <c r="J471" s="4">
        <v>0</v>
      </c>
      <c r="K471" s="1">
        <v>0</v>
      </c>
      <c r="L471" s="1">
        <v>2</v>
      </c>
      <c r="M471" s="32">
        <f>IF(Mecze[[#This Row],[PR]]=0,0,Mecze[[#This Row],[PR]]/Mecze[[#This Row],[CZAS]])</f>
        <v>2.1052631578947368E-2</v>
      </c>
      <c r="N471" s="32">
        <f>IF(Mecze[[#This Row],[OU]]=0,0,Mecze[[#This Row],[OU]]/Mecze[[#This Row],[CZAS]])</f>
        <v>0</v>
      </c>
      <c r="O471" s="32">
        <f>IF(Mecze[[#This Row],[PC]]=0,0,Mecze[[#This Row],[PC]]/Mecze[[#This Row],[CZAS]])</f>
        <v>1.0526315789473684E-2</v>
      </c>
      <c r="P471" s="32">
        <f>IF(Mecze[[#This Row],[SC]]=0,0,Mecze[[#This Row],[SC]]/Mecze[[#This Row],[CZAS]])</f>
        <v>6.3157894736842107E-2</v>
      </c>
      <c r="Q471" s="32">
        <f>IF(Mecze[[#This Row],[OB]]=0,0,Mecze[[#This Row],[OB]]/Mecze[[#This Row],[CZAS]])</f>
        <v>0</v>
      </c>
      <c r="R471" s="32">
        <f>IF(Mecze[[#This Row],[BR]]=0,0,Mecze[[#This Row],[BR]]/Mecze[[#This Row],[CZAS]])</f>
        <v>2.1052631578947368E-2</v>
      </c>
      <c r="S471" s="44">
        <f>IF(Mecze[[#This Row],[Role]]="BR",SUMPRODUCT(Mecze[[#This Row],[/PR:90]:[/BR:90]],Brudnopis!$E$23:$J$23),0)</f>
        <v>0</v>
      </c>
      <c r="T471" s="44">
        <f>IF(Mecze[[#This Row],[Role]]&lt;&gt;"BR",SUMPRODUCT(Mecze[[#This Row],[/PR:90]:[/BR:90]],Brudnopis!$E$24:$J$24),0)</f>
        <v>0.12631578947368421</v>
      </c>
      <c r="U471" s="44">
        <f>IF(Mecze[[#This Row],[Role]]&lt;&gt;"BR",SUMPRODUCT(Mecze[[#This Row],[/PR:90]:[/BR:90]],Brudnopis!$E$25:$J$25),0)</f>
        <v>0.13157894736842107</v>
      </c>
      <c r="V471" s="44">
        <f>IF(Mecze[[#This Row],[Role]]&lt;&gt;"BR",SUMPRODUCT(Mecze[[#This Row],[/PR:90]:[/BR:90]],Brudnopis!$E$26:$J$26),0)</f>
        <v>0.1368421052631579</v>
      </c>
      <c r="W471" s="44">
        <f>IF(Mecze[[#This Row],[Role]]&lt;&gt;"BR",SUMPRODUCT(Mecze[[#This Row],[/PR:90]:[/BR:90]],Brudnopis!$E$27:$J$27),0)</f>
        <v>0.1368421052631579</v>
      </c>
      <c r="X471" s="44">
        <f>IF(Mecze[[#This Row],[Role]]&lt;&gt;"BR",SUMPRODUCT(Mecze[[#This Row],[/PR:90]:[/BR:90]],Brudnopis!$E$28:$J$28),0)</f>
        <v>0.2</v>
      </c>
      <c r="Y471" s="35">
        <f>IF(Mecze[[#This Row],[Role]]="BR",Mecze[[#This Row],[/OB:90]]+Mecze[[#This Row],[/PC:90]],SUM(Mecze[[#This Row],[/PR:90]:[/BR:90]]))</f>
        <v>0.11578947368421053</v>
      </c>
      <c r="Z471" s="35">
        <f>IF(Mecze[[#This Row],[KC]]=0,SUM(Mecze[[#This Row],[/BRI]:[/NPI]]),SUM(Mecze[[#This Row],[/BRI]:[/NPI]])*0.6)</f>
        <v>0.73157894736842111</v>
      </c>
      <c r="AA471" s="10">
        <f>IFERROR(Mecze[[#This Row],[BR]]/Mecze[[#This Row],[ST]],0)</f>
        <v>0.33333333333333331</v>
      </c>
      <c r="AB471">
        <f>ROUND(Mecze[[#This Row],[PD]]*Mecze[[#This Row],[%PC]],0)</f>
        <v>1</v>
      </c>
      <c r="AC471">
        <f>ROUND(Mecze[[#This Row],[OD]]*Mecze[[#This Row],[%OU]],0)</f>
        <v>0</v>
      </c>
      <c r="AD471" s="36" t="s">
        <v>46</v>
      </c>
      <c r="AE471" s="36">
        <v>27</v>
      </c>
      <c r="AF471" s="71">
        <v>9.85</v>
      </c>
      <c r="AG471" s="37">
        <v>0</v>
      </c>
      <c r="AH471" s="37">
        <v>0</v>
      </c>
      <c r="AI471" s="37">
        <v>95</v>
      </c>
      <c r="AJ471" s="37">
        <v>4</v>
      </c>
      <c r="AK471" s="37" t="str">
        <f>VLOOKUP(Mecze[[#This Row],[Match ID]],Meczusie[Mecz]:Meczusie[RodzajMeczu],2,FALSE)</f>
        <v>Liga</v>
      </c>
    </row>
    <row r="472" spans="1:37" x14ac:dyDescent="0.25">
      <c r="A472" s="76">
        <v>8</v>
      </c>
      <c r="B472" s="3" t="s">
        <v>283</v>
      </c>
      <c r="C472" s="2" t="s">
        <v>165</v>
      </c>
      <c r="D472" s="1">
        <v>0</v>
      </c>
      <c r="E472" s="1">
        <v>6</v>
      </c>
      <c r="F472" s="1">
        <v>3</v>
      </c>
      <c r="G472" s="1">
        <v>14</v>
      </c>
      <c r="H472" s="4">
        <v>0.86</v>
      </c>
      <c r="I472" s="1">
        <v>3</v>
      </c>
      <c r="J472" s="4">
        <v>1</v>
      </c>
      <c r="K472" s="1">
        <v>0</v>
      </c>
      <c r="L472" s="1">
        <v>1</v>
      </c>
      <c r="M472" s="32">
        <f>IF(Mecze[[#This Row],[PR]]=0,0,Mecze[[#This Row],[PR]]/Mecze[[#This Row],[CZAS]])</f>
        <v>1.0526315789473684E-2</v>
      </c>
      <c r="N472" s="32">
        <f>IF(Mecze[[#This Row],[OU]]=0,0,Mecze[[#This Row],[OU]]/Mecze[[#This Row],[CZAS]])</f>
        <v>3.1578947368421054E-2</v>
      </c>
      <c r="O472" s="32">
        <f>IF(Mecze[[#This Row],[PC]]=0,0,Mecze[[#This Row],[PC]]/Mecze[[#This Row],[CZAS]])</f>
        <v>0.12631578947368421</v>
      </c>
      <c r="P472" s="32">
        <f>IF(Mecze[[#This Row],[SC]]=0,0,Mecze[[#This Row],[SC]]/Mecze[[#This Row],[CZAS]])</f>
        <v>3.1578947368421054E-2</v>
      </c>
      <c r="Q472" s="32">
        <f>IF(Mecze[[#This Row],[OB]]=0,0,Mecze[[#This Row],[OB]]/Mecze[[#This Row],[CZAS]])</f>
        <v>0</v>
      </c>
      <c r="R472" s="32">
        <f>IF(Mecze[[#This Row],[BR]]=0,0,Mecze[[#This Row],[BR]]/Mecze[[#This Row],[CZAS]])</f>
        <v>0</v>
      </c>
      <c r="S472" s="44">
        <f>IF(Mecze[[#This Row],[Role]]="BR",SUMPRODUCT(Mecze[[#This Row],[/PR:90]:[/BR:90]],Brudnopis!$E$23:$J$23),0)</f>
        <v>0</v>
      </c>
      <c r="T472" s="44">
        <f>IF(Mecze[[#This Row],[Role]]&lt;&gt;"BR",SUMPRODUCT(Mecze[[#This Row],[/PR:90]:[/BR:90]],Brudnopis!$E$24:$J$24),0)</f>
        <v>0.21578947368421053</v>
      </c>
      <c r="U472" s="44">
        <f>IF(Mecze[[#This Row],[Role]]&lt;&gt;"BR",SUMPRODUCT(Mecze[[#This Row],[/PR:90]:[/BR:90]],Brudnopis!$E$25:$J$25),0)</f>
        <v>0.26315789473684209</v>
      </c>
      <c r="V472" s="44">
        <f>IF(Mecze[[#This Row],[Role]]&lt;&gt;"BR",SUMPRODUCT(Mecze[[#This Row],[/PR:90]:[/BR:90]],Brudnopis!$E$26:$J$26),0)</f>
        <v>0.2</v>
      </c>
      <c r="W472" s="44">
        <f>IF(Mecze[[#This Row],[Role]]&lt;&gt;"BR",SUMPRODUCT(Mecze[[#This Row],[/PR:90]:[/BR:90]],Brudnopis!$E$27:$J$27),0)</f>
        <v>0.25263157894736843</v>
      </c>
      <c r="X472" s="44">
        <f>IF(Mecze[[#This Row],[Role]]&lt;&gt;"BR",SUMPRODUCT(Mecze[[#This Row],[/PR:90]:[/BR:90]],Brudnopis!$E$28:$J$28),0)</f>
        <v>0.18947368421052632</v>
      </c>
      <c r="Y472" s="35">
        <f>IF(Mecze[[#This Row],[Role]]="BR",Mecze[[#This Row],[/OB:90]]+Mecze[[#This Row],[/PC:90]],SUM(Mecze[[#This Row],[/PR:90]:[/BR:90]]))</f>
        <v>0.2</v>
      </c>
      <c r="Z472" s="35">
        <f>IF(Mecze[[#This Row],[KC]]=0,SUM(Mecze[[#This Row],[/BRI]:[/NPI]]),SUM(Mecze[[#This Row],[/BRI]:[/NPI]])*0.6)</f>
        <v>1.1210526315789473</v>
      </c>
      <c r="AA472" s="10">
        <f>IFERROR(Mecze[[#This Row],[BR]]/Mecze[[#This Row],[ST]],0)</f>
        <v>0</v>
      </c>
      <c r="AB472">
        <f>ROUND(Mecze[[#This Row],[PD]]*Mecze[[#This Row],[%PC]],0)</f>
        <v>12</v>
      </c>
      <c r="AC472">
        <f>ROUND(Mecze[[#This Row],[OD]]*Mecze[[#This Row],[%OU]],0)</f>
        <v>3</v>
      </c>
      <c r="AD472" s="36" t="s">
        <v>273</v>
      </c>
      <c r="AE472" s="36">
        <v>27</v>
      </c>
      <c r="AF472" s="71">
        <v>6.84</v>
      </c>
      <c r="AG472" s="37">
        <v>0</v>
      </c>
      <c r="AH472" s="37">
        <v>0</v>
      </c>
      <c r="AI472" s="37">
        <v>95</v>
      </c>
      <c r="AJ472" s="37">
        <v>4</v>
      </c>
      <c r="AK472" s="37" t="str">
        <f>VLOOKUP(Mecze[[#This Row],[Match ID]],Meczusie[Mecz]:Meczusie[RodzajMeczu],2,FALSE)</f>
        <v>Liga</v>
      </c>
    </row>
    <row r="473" spans="1:37" x14ac:dyDescent="0.25">
      <c r="A473" s="76">
        <v>10</v>
      </c>
      <c r="B473" s="3" t="s">
        <v>284</v>
      </c>
      <c r="C473" s="2" t="s">
        <v>165</v>
      </c>
      <c r="D473" s="1">
        <v>1</v>
      </c>
      <c r="E473" s="1">
        <v>9</v>
      </c>
      <c r="F473" s="1">
        <v>9</v>
      </c>
      <c r="G473" s="1">
        <v>2</v>
      </c>
      <c r="H473" s="4">
        <v>1</v>
      </c>
      <c r="I473" s="1">
        <v>1</v>
      </c>
      <c r="J473" s="4">
        <v>0</v>
      </c>
      <c r="K473" s="1">
        <v>0</v>
      </c>
      <c r="L473" s="1">
        <v>0</v>
      </c>
      <c r="M473" s="32">
        <f>IF(Mecze[[#This Row],[PR]]=0,0,Mecze[[#This Row],[PR]]/Mecze[[#This Row],[CZAS]])</f>
        <v>0</v>
      </c>
      <c r="N473" s="32">
        <f>IF(Mecze[[#This Row],[OU]]=0,0,Mecze[[#This Row],[OU]]/Mecze[[#This Row],[CZAS]])</f>
        <v>0</v>
      </c>
      <c r="O473" s="32">
        <f>IF(Mecze[[#This Row],[PC]]=0,0,Mecze[[#This Row],[PC]]/Mecze[[#This Row],[CZAS]])</f>
        <v>2.1052631578947368E-2</v>
      </c>
      <c r="P473" s="32">
        <f>IF(Mecze[[#This Row],[SC]]=0,0,Mecze[[#This Row],[SC]]/Mecze[[#This Row],[CZAS]])</f>
        <v>9.4736842105263161E-2</v>
      </c>
      <c r="Q473" s="32">
        <f>IF(Mecze[[#This Row],[OB]]=0,0,Mecze[[#This Row],[OB]]/Mecze[[#This Row],[CZAS]])</f>
        <v>0</v>
      </c>
      <c r="R473" s="32">
        <f>IF(Mecze[[#This Row],[BR]]=0,0,Mecze[[#This Row],[BR]]/Mecze[[#This Row],[CZAS]])</f>
        <v>1.0526315789473684E-2</v>
      </c>
      <c r="S473" s="44">
        <f>IF(Mecze[[#This Row],[Role]]="BR",SUMPRODUCT(Mecze[[#This Row],[/PR:90]:[/BR:90]],Brudnopis!$E$23:$J$23),0)</f>
        <v>0</v>
      </c>
      <c r="T473" s="44">
        <f>IF(Mecze[[#This Row],[Role]]&lt;&gt;"BR",SUMPRODUCT(Mecze[[#This Row],[/PR:90]:[/BR:90]],Brudnopis!$E$24:$J$24),0)</f>
        <v>0.13157894736842105</v>
      </c>
      <c r="U473" s="44">
        <f>IF(Mecze[[#This Row],[Role]]&lt;&gt;"BR",SUMPRODUCT(Mecze[[#This Row],[/PR:90]:[/BR:90]],Brudnopis!$E$25:$J$25),0)</f>
        <v>0.14210526315789473</v>
      </c>
      <c r="V473" s="44">
        <f>IF(Mecze[[#This Row],[Role]]&lt;&gt;"BR",SUMPRODUCT(Mecze[[#This Row],[/PR:90]:[/BR:90]],Brudnopis!$E$26:$J$26),0)</f>
        <v>0.1368421052631579</v>
      </c>
      <c r="W473" s="44">
        <f>IF(Mecze[[#This Row],[Role]]&lt;&gt;"BR",SUMPRODUCT(Mecze[[#This Row],[/PR:90]:[/BR:90]],Brudnopis!$E$27:$J$27),0)</f>
        <v>0.14736842105263159</v>
      </c>
      <c r="X473" s="44">
        <f>IF(Mecze[[#This Row],[Role]]&lt;&gt;"BR",SUMPRODUCT(Mecze[[#This Row],[/PR:90]:[/BR:90]],Brudnopis!$E$28:$J$28),0)</f>
        <v>0.24210526315789477</v>
      </c>
      <c r="Y473" s="35">
        <f>IF(Mecze[[#This Row],[Role]]="BR",Mecze[[#This Row],[/OB:90]]+Mecze[[#This Row],[/PC:90]],SUM(Mecze[[#This Row],[/PR:90]:[/BR:90]]))</f>
        <v>0.12631578947368421</v>
      </c>
      <c r="Z473" s="35">
        <f>IF(Mecze[[#This Row],[KC]]=0,SUM(Mecze[[#This Row],[/BRI]:[/NPI]]),SUM(Mecze[[#This Row],[/BRI]:[/NPI]])*0.6)</f>
        <v>0.8</v>
      </c>
      <c r="AA473" s="10">
        <f>IFERROR(Mecze[[#This Row],[BR]]/Mecze[[#This Row],[ST]],0)</f>
        <v>0.1111111111111111</v>
      </c>
      <c r="AB473">
        <f>ROUND(Mecze[[#This Row],[PD]]*Mecze[[#This Row],[%PC]],0)</f>
        <v>2</v>
      </c>
      <c r="AC473">
        <f>ROUND(Mecze[[#This Row],[OD]]*Mecze[[#This Row],[%OU]],0)</f>
        <v>0</v>
      </c>
      <c r="AD473" s="36" t="s">
        <v>46</v>
      </c>
      <c r="AE473" s="36">
        <v>27</v>
      </c>
      <c r="AF473" s="71">
        <v>8.2100000000000009</v>
      </c>
      <c r="AG473" s="37">
        <v>0</v>
      </c>
      <c r="AH473" s="37">
        <v>0</v>
      </c>
      <c r="AI473" s="37">
        <v>95</v>
      </c>
      <c r="AJ473" s="37">
        <v>4</v>
      </c>
      <c r="AK473" s="37" t="str">
        <f>VLOOKUP(Mecze[[#This Row],[Match ID]],Meczusie[Mecz]:Meczusie[RodzajMeczu],2,FALSE)</f>
        <v>Liga</v>
      </c>
    </row>
    <row r="474" spans="1:37" x14ac:dyDescent="0.25">
      <c r="A474" s="76">
        <v>2</v>
      </c>
      <c r="B474" s="3" t="s">
        <v>285</v>
      </c>
      <c r="C474" s="2" t="s">
        <v>157</v>
      </c>
      <c r="D474" s="1">
        <v>0</v>
      </c>
      <c r="E474" s="1">
        <v>0</v>
      </c>
      <c r="F474" s="1">
        <v>0</v>
      </c>
      <c r="G474" s="1">
        <v>3</v>
      </c>
      <c r="H474" s="4">
        <v>0.67</v>
      </c>
      <c r="I474" s="1">
        <v>0</v>
      </c>
      <c r="J474" s="4"/>
      <c r="K474" s="1">
        <v>0</v>
      </c>
      <c r="L474" s="1">
        <v>3</v>
      </c>
      <c r="M474" s="32">
        <f>IF(Mecze[[#This Row],[PR]]=0,0,Mecze[[#This Row],[PR]]/Mecze[[#This Row],[CZAS]])</f>
        <v>3.1578947368421054E-2</v>
      </c>
      <c r="N474" s="32">
        <f>IF(Mecze[[#This Row],[OU]]=0,0,Mecze[[#This Row],[OU]]/Mecze[[#This Row],[CZAS]])</f>
        <v>0</v>
      </c>
      <c r="O474" s="32">
        <f>IF(Mecze[[#This Row],[PC]]=0,0,Mecze[[#This Row],[PC]]/Mecze[[#This Row],[CZAS]])</f>
        <v>2.1052631578947368E-2</v>
      </c>
      <c r="P474" s="32">
        <f>IF(Mecze[[#This Row],[SC]]=0,0,Mecze[[#This Row],[SC]]/Mecze[[#This Row],[CZAS]])</f>
        <v>0</v>
      </c>
      <c r="Q474" s="32">
        <f>IF(Mecze[[#This Row],[OB]]=0,0,Mecze[[#This Row],[OB]]/Mecze[[#This Row],[CZAS]])</f>
        <v>0</v>
      </c>
      <c r="R474" s="32">
        <f>IF(Mecze[[#This Row],[BR]]=0,0,Mecze[[#This Row],[BR]]/Mecze[[#This Row],[CZAS]])</f>
        <v>0</v>
      </c>
      <c r="S474" s="44">
        <f>IF(Mecze[[#This Row],[Role]]="BR",SUMPRODUCT(Mecze[[#This Row],[/PR:90]:[/BR:90]],Brudnopis!$E$23:$J$23),0)</f>
        <v>0</v>
      </c>
      <c r="T474" s="44">
        <f>IF(Mecze[[#This Row],[Role]]&lt;&gt;"BR",SUMPRODUCT(Mecze[[#This Row],[/PR:90]:[/BR:90]],Brudnopis!$E$24:$J$24),0)</f>
        <v>5.2631578947368418E-2</v>
      </c>
      <c r="U474" s="44">
        <f>IF(Mecze[[#This Row],[Role]]&lt;&gt;"BR",SUMPRODUCT(Mecze[[#This Row],[/PR:90]:[/BR:90]],Brudnopis!$E$25:$J$25),0)</f>
        <v>6.3157894736842107E-2</v>
      </c>
      <c r="V474" s="44">
        <f>IF(Mecze[[#This Row],[Role]]&lt;&gt;"BR",SUMPRODUCT(Mecze[[#This Row],[/PR:90]:[/BR:90]],Brudnopis!$E$26:$J$26),0)</f>
        <v>5.2631578947368418E-2</v>
      </c>
      <c r="W474" s="44">
        <f>IF(Mecze[[#This Row],[Role]]&lt;&gt;"BR",SUMPRODUCT(Mecze[[#This Row],[/PR:90]:[/BR:90]],Brudnopis!$E$27:$J$27),0)</f>
        <v>5.5263157894736847E-2</v>
      </c>
      <c r="X474" s="44">
        <f>IF(Mecze[[#This Row],[Role]]&lt;&gt;"BR",SUMPRODUCT(Mecze[[#This Row],[/PR:90]:[/BR:90]],Brudnopis!$E$28:$J$28),0)</f>
        <v>2.1052631578947368E-2</v>
      </c>
      <c r="Y474" s="35">
        <f>IF(Mecze[[#This Row],[Role]]="BR",Mecze[[#This Row],[/OB:90]]+Mecze[[#This Row],[/PC:90]],SUM(Mecze[[#This Row],[/PR:90]:[/BR:90]]))</f>
        <v>5.2631578947368418E-2</v>
      </c>
      <c r="Z474" s="35">
        <f>IF(Mecze[[#This Row],[KC]]=0,SUM(Mecze[[#This Row],[/BRI]:[/NPI]]),SUM(Mecze[[#This Row],[/BRI]:[/NPI]])*0.6)</f>
        <v>0.24473684210526317</v>
      </c>
      <c r="AA474" s="10">
        <f>IFERROR(Mecze[[#This Row],[BR]]/Mecze[[#This Row],[ST]],0)</f>
        <v>0</v>
      </c>
      <c r="AB474">
        <f>ROUND(Mecze[[#This Row],[PD]]*Mecze[[#This Row],[%PC]],0)</f>
        <v>2</v>
      </c>
      <c r="AC474">
        <f>ROUND(Mecze[[#This Row],[OD]]*Mecze[[#This Row],[%OU]],0)</f>
        <v>0</v>
      </c>
      <c r="AD474" s="36" t="s">
        <v>167</v>
      </c>
      <c r="AE474" s="36">
        <v>27</v>
      </c>
      <c r="AF474" s="71">
        <v>2.35</v>
      </c>
      <c r="AG474" s="37">
        <v>0</v>
      </c>
      <c r="AH474" s="37">
        <v>0</v>
      </c>
      <c r="AI474" s="37">
        <v>95</v>
      </c>
      <c r="AJ474" s="37">
        <v>4</v>
      </c>
      <c r="AK474" s="37" t="str">
        <f>VLOOKUP(Mecze[[#This Row],[Match ID]],Meczusie[Mecz]:Meczusie[RodzajMeczu],2,FALSE)</f>
        <v>Liga</v>
      </c>
    </row>
    <row r="475" spans="1:37" x14ac:dyDescent="0.25">
      <c r="A475" s="76">
        <v>15</v>
      </c>
      <c r="B475" s="3" t="s">
        <v>286</v>
      </c>
      <c r="C475" s="2" t="s">
        <v>165</v>
      </c>
      <c r="D475" s="1">
        <v>0</v>
      </c>
      <c r="E475" s="1">
        <v>1</v>
      </c>
      <c r="F475" s="1">
        <v>1</v>
      </c>
      <c r="G475" s="1">
        <v>1</v>
      </c>
      <c r="H475" s="4">
        <v>1</v>
      </c>
      <c r="I475" s="1">
        <v>1</v>
      </c>
      <c r="J475" s="4">
        <v>1</v>
      </c>
      <c r="K475" s="1">
        <v>0</v>
      </c>
      <c r="L475" s="1">
        <v>1</v>
      </c>
      <c r="M475" s="32">
        <f>IF(Mecze[[#This Row],[PR]]=0,0,Mecze[[#This Row],[PR]]/Mecze[[#This Row],[CZAS]])</f>
        <v>1.0526315789473684E-2</v>
      </c>
      <c r="N475" s="32">
        <f>IF(Mecze[[#This Row],[OU]]=0,0,Mecze[[#This Row],[OU]]/Mecze[[#This Row],[CZAS]])</f>
        <v>1.0526315789473684E-2</v>
      </c>
      <c r="O475" s="32">
        <f>IF(Mecze[[#This Row],[PC]]=0,0,Mecze[[#This Row],[PC]]/Mecze[[#This Row],[CZAS]])</f>
        <v>1.0526315789473684E-2</v>
      </c>
      <c r="P475" s="32">
        <f>IF(Mecze[[#This Row],[SC]]=0,0,Mecze[[#This Row],[SC]]/Mecze[[#This Row],[CZAS]])</f>
        <v>1.0526315789473684E-2</v>
      </c>
      <c r="Q475" s="32">
        <f>IF(Mecze[[#This Row],[OB]]=0,0,Mecze[[#This Row],[OB]]/Mecze[[#This Row],[CZAS]])</f>
        <v>0</v>
      </c>
      <c r="R475" s="32">
        <f>IF(Mecze[[#This Row],[BR]]=0,0,Mecze[[#This Row],[BR]]/Mecze[[#This Row],[CZAS]])</f>
        <v>0</v>
      </c>
      <c r="S475" s="44">
        <f>IF(Mecze[[#This Row],[Role]]="BR",SUMPRODUCT(Mecze[[#This Row],[/PR:90]:[/BR:90]],Brudnopis!$E$23:$J$23),0)</f>
        <v>0</v>
      </c>
      <c r="T475" s="44">
        <f>IF(Mecze[[#This Row],[Role]]&lt;&gt;"BR",SUMPRODUCT(Mecze[[#This Row],[/PR:90]:[/BR:90]],Brudnopis!$E$24:$J$24),0)</f>
        <v>4.7368421052631574E-2</v>
      </c>
      <c r="U475" s="44">
        <f>IF(Mecze[[#This Row],[Role]]&lt;&gt;"BR",SUMPRODUCT(Mecze[[#This Row],[/PR:90]:[/BR:90]],Brudnopis!$E$25:$J$25),0)</f>
        <v>4.736842105263158E-2</v>
      </c>
      <c r="V475" s="44">
        <f>IF(Mecze[[#This Row],[Role]]&lt;&gt;"BR",SUMPRODUCT(Mecze[[#This Row],[/PR:90]:[/BR:90]],Brudnopis!$E$26:$J$26),0)</f>
        <v>4.2105263157894736E-2</v>
      </c>
      <c r="W475" s="44">
        <f>IF(Mecze[[#This Row],[Role]]&lt;&gt;"BR",SUMPRODUCT(Mecze[[#This Row],[/PR:90]:[/BR:90]],Brudnopis!$E$27:$J$27),0)</f>
        <v>4.2105263157894736E-2</v>
      </c>
      <c r="X475" s="44">
        <f>IF(Mecze[[#This Row],[Role]]&lt;&gt;"BR",SUMPRODUCT(Mecze[[#This Row],[/PR:90]:[/BR:90]],Brudnopis!$E$28:$J$28),0)</f>
        <v>3.1578947368421054E-2</v>
      </c>
      <c r="Y475" s="35">
        <f>IF(Mecze[[#This Row],[Role]]="BR",Mecze[[#This Row],[/OB:90]]+Mecze[[#This Row],[/PC:90]],SUM(Mecze[[#This Row],[/PR:90]:[/BR:90]]))</f>
        <v>4.2105263157894736E-2</v>
      </c>
      <c r="Z475" s="35">
        <f>IF(Mecze[[#This Row],[KC]]=0,SUM(Mecze[[#This Row],[/BRI]:[/NPI]]),SUM(Mecze[[#This Row],[/BRI]:[/NPI]])*0.6)</f>
        <v>0.21052631578947367</v>
      </c>
      <c r="AA475" s="10">
        <f>IFERROR(Mecze[[#This Row],[BR]]/Mecze[[#This Row],[ST]],0)</f>
        <v>0</v>
      </c>
      <c r="AB475">
        <f>ROUND(Mecze[[#This Row],[PD]]*Mecze[[#This Row],[%PC]],0)</f>
        <v>1</v>
      </c>
      <c r="AC475">
        <f>ROUND(Mecze[[#This Row],[OD]]*Mecze[[#This Row],[%OU]],0)</f>
        <v>1</v>
      </c>
      <c r="AD475" s="36" t="s">
        <v>46</v>
      </c>
      <c r="AE475" s="36">
        <v>27</v>
      </c>
      <c r="AF475" s="71">
        <v>1.94</v>
      </c>
      <c r="AG475" s="37">
        <v>0</v>
      </c>
      <c r="AH475" s="37">
        <v>0</v>
      </c>
      <c r="AI475" s="37">
        <v>95</v>
      </c>
      <c r="AJ475" s="37">
        <v>4</v>
      </c>
      <c r="AK475" s="37" t="str">
        <f>VLOOKUP(Mecze[[#This Row],[Match ID]],Meczusie[Mecz]:Meczusie[RodzajMeczu],2,FALSE)</f>
        <v>Liga</v>
      </c>
    </row>
    <row r="476" spans="1:37" x14ac:dyDescent="0.25">
      <c r="A476" s="76">
        <v>1</v>
      </c>
      <c r="B476" s="3" t="s">
        <v>261</v>
      </c>
      <c r="C476" s="2" t="s">
        <v>155</v>
      </c>
      <c r="D476" s="1">
        <v>0</v>
      </c>
      <c r="E476" s="1">
        <v>0</v>
      </c>
      <c r="F476" s="1">
        <v>0</v>
      </c>
      <c r="G476" s="1">
        <v>10</v>
      </c>
      <c r="H476" s="4">
        <v>0.4</v>
      </c>
      <c r="I476" s="1">
        <v>0</v>
      </c>
      <c r="J476" s="4"/>
      <c r="K476" s="1">
        <v>9</v>
      </c>
      <c r="L476" s="1">
        <v>0</v>
      </c>
      <c r="M476" s="32">
        <f>IF(Mecze[[#This Row],[PR]]=0,0,Mecze[[#This Row],[PR]]/Mecze[[#This Row],[CZAS]])</f>
        <v>0</v>
      </c>
      <c r="N476" s="32">
        <f>IF(Mecze[[#This Row],[OU]]=0,0,Mecze[[#This Row],[OU]]/Mecze[[#This Row],[CZAS]])</f>
        <v>0</v>
      </c>
      <c r="O476" s="32">
        <f>IF(Mecze[[#This Row],[PC]]=0,0,Mecze[[#This Row],[PC]]/Mecze[[#This Row],[CZAS]])</f>
        <v>4.1237113402061855E-2</v>
      </c>
      <c r="P476" s="32">
        <f>IF(Mecze[[#This Row],[SC]]=0,0,Mecze[[#This Row],[SC]]/Mecze[[#This Row],[CZAS]])</f>
        <v>0</v>
      </c>
      <c r="Q476" s="32">
        <f>IF(Mecze[[#This Row],[OB]]=0,0,Mecze[[#This Row],[OB]]/Mecze[[#This Row],[CZAS]])</f>
        <v>9.2783505154639179E-2</v>
      </c>
      <c r="R476" s="32">
        <f>IF(Mecze[[#This Row],[BR]]=0,0,Mecze[[#This Row],[BR]]/Mecze[[#This Row],[CZAS]])</f>
        <v>0</v>
      </c>
      <c r="S476" s="44">
        <f>IF(Mecze[[#This Row],[Role]]="BR",SUMPRODUCT(Mecze[[#This Row],[/PR:90]:[/BR:90]],Brudnopis!$E$23:$J$23),0)</f>
        <v>0.40206185567010311</v>
      </c>
      <c r="T476" s="44">
        <f>IF(Mecze[[#This Row],[Role]]&lt;&gt;"BR",SUMPRODUCT(Mecze[[#This Row],[/PR:90]:[/BR:90]],Brudnopis!$E$24:$J$24),0)</f>
        <v>0</v>
      </c>
      <c r="U476" s="44">
        <f>IF(Mecze[[#This Row],[Role]]&lt;&gt;"BR",SUMPRODUCT(Mecze[[#This Row],[/PR:90]:[/BR:90]],Brudnopis!$E$25:$J$25),0)</f>
        <v>0</v>
      </c>
      <c r="V476" s="44">
        <f>IF(Mecze[[#This Row],[Role]]&lt;&gt;"BR",SUMPRODUCT(Mecze[[#This Row],[/PR:90]:[/BR:90]],Brudnopis!$E$26:$J$26),0)</f>
        <v>0</v>
      </c>
      <c r="W476" s="44">
        <f>IF(Mecze[[#This Row],[Role]]&lt;&gt;"BR",SUMPRODUCT(Mecze[[#This Row],[/PR:90]:[/BR:90]],Brudnopis!$E$27:$J$27),0)</f>
        <v>0</v>
      </c>
      <c r="X476" s="44">
        <f>IF(Mecze[[#This Row],[Role]]&lt;&gt;"BR",SUMPRODUCT(Mecze[[#This Row],[/PR:90]:[/BR:90]],Brudnopis!$E$28:$J$28),0)</f>
        <v>0</v>
      </c>
      <c r="Y476" s="35">
        <f>IF(Mecze[[#This Row],[Role]]="BR",Mecze[[#This Row],[/OB:90]]+Mecze[[#This Row],[/PC:90]],SUM(Mecze[[#This Row],[/PR:90]:[/BR:90]]))</f>
        <v>0.13402061855670103</v>
      </c>
      <c r="Z476" s="35">
        <f>IF(Mecze[[#This Row],[KC]]=0,SUM(Mecze[[#This Row],[/BRI]:[/NPI]]),SUM(Mecze[[#This Row],[/BRI]:[/NPI]])*0.6)</f>
        <v>0.40206185567010311</v>
      </c>
      <c r="AA476" s="10">
        <f>IFERROR(Mecze[[#This Row],[BR]]/Mecze[[#This Row],[ST]],0)</f>
        <v>0</v>
      </c>
      <c r="AB476">
        <f>ROUND(Mecze[[#This Row],[PD]]*Mecze[[#This Row],[%PC]],0)</f>
        <v>4</v>
      </c>
      <c r="AC476">
        <f>ROUND(Mecze[[#This Row],[OD]]*Mecze[[#This Row],[%OU]],0)</f>
        <v>0</v>
      </c>
      <c r="AD476" s="36" t="s">
        <v>40</v>
      </c>
      <c r="AE476" s="36">
        <v>28</v>
      </c>
      <c r="AF476" s="71">
        <v>10.19</v>
      </c>
      <c r="AG476" s="37">
        <v>0</v>
      </c>
      <c r="AH476" s="37">
        <v>0</v>
      </c>
      <c r="AI476" s="37">
        <v>97</v>
      </c>
      <c r="AJ476" s="37">
        <v>3</v>
      </c>
      <c r="AK476" s="37" t="str">
        <f>VLOOKUP(Mecze[[#This Row],[Match ID]],Meczusie[Mecz]:Meczusie[RodzajMeczu],2,FALSE)</f>
        <v>Liga</v>
      </c>
    </row>
    <row r="477" spans="1:37" x14ac:dyDescent="0.25">
      <c r="A477" s="76">
        <v>13</v>
      </c>
      <c r="B477" s="3" t="s">
        <v>262</v>
      </c>
      <c r="C477" s="2" t="s">
        <v>157</v>
      </c>
      <c r="D477" s="1">
        <v>0</v>
      </c>
      <c r="E477" s="1">
        <v>0</v>
      </c>
      <c r="F477" s="1">
        <v>0</v>
      </c>
      <c r="G477" s="1">
        <v>5</v>
      </c>
      <c r="H477" s="4">
        <v>0.2</v>
      </c>
      <c r="I477" s="1">
        <v>3</v>
      </c>
      <c r="J477" s="4">
        <v>0.67</v>
      </c>
      <c r="K477" s="1">
        <v>0</v>
      </c>
      <c r="L477" s="1">
        <v>3</v>
      </c>
      <c r="M477" s="32">
        <f>IF(Mecze[[#This Row],[PR]]=0,0,Mecze[[#This Row],[PR]]/Mecze[[#This Row],[CZAS]])</f>
        <v>3.0927835051546393E-2</v>
      </c>
      <c r="N477" s="32">
        <f>IF(Mecze[[#This Row],[OU]]=0,0,Mecze[[#This Row],[OU]]/Mecze[[#This Row],[CZAS]])</f>
        <v>2.0618556701030927E-2</v>
      </c>
      <c r="O477" s="32">
        <f>IF(Mecze[[#This Row],[PC]]=0,0,Mecze[[#This Row],[PC]]/Mecze[[#This Row],[CZAS]])</f>
        <v>1.0309278350515464E-2</v>
      </c>
      <c r="P477" s="32">
        <f>IF(Mecze[[#This Row],[SC]]=0,0,Mecze[[#This Row],[SC]]/Mecze[[#This Row],[CZAS]])</f>
        <v>0</v>
      </c>
      <c r="Q477" s="32">
        <f>IF(Mecze[[#This Row],[OB]]=0,0,Mecze[[#This Row],[OB]]/Mecze[[#This Row],[CZAS]])</f>
        <v>0</v>
      </c>
      <c r="R477" s="32">
        <f>IF(Mecze[[#This Row],[BR]]=0,0,Mecze[[#This Row],[BR]]/Mecze[[#This Row],[CZAS]])</f>
        <v>0</v>
      </c>
      <c r="S477" s="44">
        <f>IF(Mecze[[#This Row],[Role]]="BR",SUMPRODUCT(Mecze[[#This Row],[/PR:90]:[/BR:90]],Brudnopis!$E$23:$J$23),0)</f>
        <v>0</v>
      </c>
      <c r="T477" s="44">
        <f>IF(Mecze[[#This Row],[Role]]&lt;&gt;"BR",SUMPRODUCT(Mecze[[#This Row],[/PR:90]:[/BR:90]],Brudnopis!$E$24:$J$24),0)</f>
        <v>7.2164948453608255E-2</v>
      </c>
      <c r="U477" s="44">
        <f>IF(Mecze[[#This Row],[Role]]&lt;&gt;"BR",SUMPRODUCT(Mecze[[#This Row],[/PR:90]:[/BR:90]],Brudnopis!$E$25:$J$25),0)</f>
        <v>6.7010309278350513E-2</v>
      </c>
      <c r="V477" s="44">
        <f>IF(Mecze[[#This Row],[Role]]&lt;&gt;"BR",SUMPRODUCT(Mecze[[#This Row],[/PR:90]:[/BR:90]],Brudnopis!$E$26:$J$26),0)</f>
        <v>6.1855670103092779E-2</v>
      </c>
      <c r="W477" s="44">
        <f>IF(Mecze[[#This Row],[Role]]&lt;&gt;"BR",SUMPRODUCT(Mecze[[#This Row],[/PR:90]:[/BR:90]],Brudnopis!$E$27:$J$27),0)</f>
        <v>5.4123711340206188E-2</v>
      </c>
      <c r="X477" s="44">
        <f>IF(Mecze[[#This Row],[Role]]&lt;&gt;"BR",SUMPRODUCT(Mecze[[#This Row],[/PR:90]:[/BR:90]],Brudnopis!$E$28:$J$28),0)</f>
        <v>1.0309278350515464E-2</v>
      </c>
      <c r="Y477" s="35">
        <f>IF(Mecze[[#This Row],[Role]]="BR",Mecze[[#This Row],[/OB:90]]+Mecze[[#This Row],[/PC:90]],SUM(Mecze[[#This Row],[/PR:90]:[/BR:90]]))</f>
        <v>6.1855670103092779E-2</v>
      </c>
      <c r="Z477" s="35">
        <f>IF(Mecze[[#This Row],[KC]]=0,SUM(Mecze[[#This Row],[/BRI]:[/NPI]]),SUM(Mecze[[#This Row],[/BRI]:[/NPI]])*0.6)</f>
        <v>0.2654639175257732</v>
      </c>
      <c r="AA477" s="10">
        <f>IFERROR(Mecze[[#This Row],[BR]]/Mecze[[#This Row],[ST]],0)</f>
        <v>0</v>
      </c>
      <c r="AB477">
        <f>ROUND(Mecze[[#This Row],[PD]]*Mecze[[#This Row],[%PC]],0)</f>
        <v>1</v>
      </c>
      <c r="AC477">
        <f>ROUND(Mecze[[#This Row],[OD]]*Mecze[[#This Row],[%OU]],0)</f>
        <v>2</v>
      </c>
      <c r="AD477" s="36" t="s">
        <v>175</v>
      </c>
      <c r="AE477" s="36">
        <v>28</v>
      </c>
      <c r="AF477" s="71">
        <v>8.7899999999999991</v>
      </c>
      <c r="AG477" s="37">
        <v>0</v>
      </c>
      <c r="AH477" s="37">
        <v>0</v>
      </c>
      <c r="AI477" s="37">
        <v>97</v>
      </c>
      <c r="AJ477" s="37">
        <v>3</v>
      </c>
      <c r="AK477" s="37" t="str">
        <f>VLOOKUP(Mecze[[#This Row],[Match ID]],Meczusie[Mecz]:Meczusie[RodzajMeczu],2,FALSE)</f>
        <v>Liga</v>
      </c>
    </row>
    <row r="478" spans="1:37" x14ac:dyDescent="0.25">
      <c r="A478" s="76">
        <v>4</v>
      </c>
      <c r="B478" s="3" t="s">
        <v>264</v>
      </c>
      <c r="C478" s="2" t="s">
        <v>157</v>
      </c>
      <c r="D478" s="1">
        <v>0</v>
      </c>
      <c r="E478" s="1">
        <v>0</v>
      </c>
      <c r="F478" s="1">
        <v>0</v>
      </c>
      <c r="G478" s="1">
        <v>3</v>
      </c>
      <c r="H478" s="4">
        <v>1</v>
      </c>
      <c r="I478" s="1">
        <v>2</v>
      </c>
      <c r="J478" s="4">
        <v>0.5</v>
      </c>
      <c r="K478" s="1">
        <v>0</v>
      </c>
      <c r="L478" s="1">
        <v>1</v>
      </c>
      <c r="M478" s="32">
        <f>IF(Mecze[[#This Row],[PR]]=0,0,Mecze[[#This Row],[PR]]/Mecze[[#This Row],[CZAS]])</f>
        <v>1.0309278350515464E-2</v>
      </c>
      <c r="N478" s="32">
        <f>IF(Mecze[[#This Row],[OU]]=0,0,Mecze[[#This Row],[OU]]/Mecze[[#This Row],[CZAS]])</f>
        <v>1.0309278350515464E-2</v>
      </c>
      <c r="O478" s="32">
        <f>IF(Mecze[[#This Row],[PC]]=0,0,Mecze[[#This Row],[PC]]/Mecze[[#This Row],[CZAS]])</f>
        <v>3.0927835051546393E-2</v>
      </c>
      <c r="P478" s="32">
        <f>IF(Mecze[[#This Row],[SC]]=0,0,Mecze[[#This Row],[SC]]/Mecze[[#This Row],[CZAS]])</f>
        <v>0</v>
      </c>
      <c r="Q478" s="32">
        <f>IF(Mecze[[#This Row],[OB]]=0,0,Mecze[[#This Row],[OB]]/Mecze[[#This Row],[CZAS]])</f>
        <v>0</v>
      </c>
      <c r="R478" s="32">
        <f>IF(Mecze[[#This Row],[BR]]=0,0,Mecze[[#This Row],[BR]]/Mecze[[#This Row],[CZAS]])</f>
        <v>0</v>
      </c>
      <c r="S478" s="44">
        <f>IF(Mecze[[#This Row],[Role]]="BR",SUMPRODUCT(Mecze[[#This Row],[/PR:90]:[/BR:90]],Brudnopis!$E$23:$J$23),0)</f>
        <v>0</v>
      </c>
      <c r="T478" s="44">
        <f>IF(Mecze[[#This Row],[Role]]&lt;&gt;"BR",SUMPRODUCT(Mecze[[#This Row],[/PR:90]:[/BR:90]],Brudnopis!$E$24:$J$24),0)</f>
        <v>5.6701030927835051E-2</v>
      </c>
      <c r="U478" s="44">
        <f>IF(Mecze[[#This Row],[Role]]&lt;&gt;"BR",SUMPRODUCT(Mecze[[#This Row],[/PR:90]:[/BR:90]],Brudnopis!$E$25:$J$25),0)</f>
        <v>6.7010309278350513E-2</v>
      </c>
      <c r="V478" s="44">
        <f>IF(Mecze[[#This Row],[Role]]&lt;&gt;"BR",SUMPRODUCT(Mecze[[#This Row],[/PR:90]:[/BR:90]],Brudnopis!$E$26:$J$26),0)</f>
        <v>5.1546391752577317E-2</v>
      </c>
      <c r="W478" s="44">
        <f>IF(Mecze[[#This Row],[Role]]&lt;&gt;"BR",SUMPRODUCT(Mecze[[#This Row],[/PR:90]:[/BR:90]],Brudnopis!$E$27:$J$27),0)</f>
        <v>6.1855670103092786E-2</v>
      </c>
      <c r="X478" s="44">
        <f>IF(Mecze[[#This Row],[Role]]&lt;&gt;"BR",SUMPRODUCT(Mecze[[#This Row],[/PR:90]:[/BR:90]],Brudnopis!$E$28:$J$28),0)</f>
        <v>3.0927835051546393E-2</v>
      </c>
      <c r="Y478" s="35">
        <f>IF(Mecze[[#This Row],[Role]]="BR",Mecze[[#This Row],[/OB:90]]+Mecze[[#This Row],[/PC:90]],SUM(Mecze[[#This Row],[/PR:90]:[/BR:90]]))</f>
        <v>5.1546391752577317E-2</v>
      </c>
      <c r="Z478" s="35">
        <f>IF(Mecze[[#This Row],[KC]]=0,SUM(Mecze[[#This Row],[/BRI]:[/NPI]]),SUM(Mecze[[#This Row],[/BRI]:[/NPI]])*0.6)</f>
        <v>0.26804123711340205</v>
      </c>
      <c r="AA478" s="10">
        <f>IFERROR(Mecze[[#This Row],[BR]]/Mecze[[#This Row],[ST]],0)</f>
        <v>0</v>
      </c>
      <c r="AB478">
        <f>ROUND(Mecze[[#This Row],[PD]]*Mecze[[#This Row],[%PC]],0)</f>
        <v>3</v>
      </c>
      <c r="AC478">
        <f>ROUND(Mecze[[#This Row],[OD]]*Mecze[[#This Row],[%OU]],0)</f>
        <v>1</v>
      </c>
      <c r="AD478" s="36" t="s">
        <v>174</v>
      </c>
      <c r="AE478" s="36">
        <v>28</v>
      </c>
      <c r="AF478" s="71">
        <v>7.25</v>
      </c>
      <c r="AG478" s="37">
        <v>0</v>
      </c>
      <c r="AH478" s="37">
        <v>0</v>
      </c>
      <c r="AI478" s="37">
        <v>97</v>
      </c>
      <c r="AJ478" s="37">
        <v>3</v>
      </c>
      <c r="AK478" s="37" t="str">
        <f>VLOOKUP(Mecze[[#This Row],[Match ID]],Meczusie[Mecz]:Meczusie[RodzajMeczu],2,FALSE)</f>
        <v>Liga</v>
      </c>
    </row>
    <row r="479" spans="1:37" x14ac:dyDescent="0.25">
      <c r="A479" s="76">
        <v>6</v>
      </c>
      <c r="B479" s="3" t="s">
        <v>263</v>
      </c>
      <c r="C479" s="2" t="s">
        <v>157</v>
      </c>
      <c r="D479" s="1">
        <v>0</v>
      </c>
      <c r="E479" s="1">
        <v>0</v>
      </c>
      <c r="F479" s="1">
        <v>0</v>
      </c>
      <c r="G479" s="1">
        <v>10</v>
      </c>
      <c r="H479" s="4">
        <v>0.7</v>
      </c>
      <c r="I479" s="1">
        <v>6</v>
      </c>
      <c r="J479" s="4">
        <v>0.33</v>
      </c>
      <c r="K479" s="1">
        <v>0</v>
      </c>
      <c r="L479" s="1">
        <v>6</v>
      </c>
      <c r="M479" s="32">
        <f>IF(Mecze[[#This Row],[PR]]=0,0,Mecze[[#This Row],[PR]]/Mecze[[#This Row],[CZAS]])</f>
        <v>6.1855670103092786E-2</v>
      </c>
      <c r="N479" s="32">
        <f>IF(Mecze[[#This Row],[OU]]=0,0,Mecze[[#This Row],[OU]]/Mecze[[#This Row],[CZAS]])</f>
        <v>2.0618556701030927E-2</v>
      </c>
      <c r="O479" s="32">
        <f>IF(Mecze[[#This Row],[PC]]=0,0,Mecze[[#This Row],[PC]]/Mecze[[#This Row],[CZAS]])</f>
        <v>7.2164948453608241E-2</v>
      </c>
      <c r="P479" s="32">
        <f>IF(Mecze[[#This Row],[SC]]=0,0,Mecze[[#This Row],[SC]]/Mecze[[#This Row],[CZAS]])</f>
        <v>0</v>
      </c>
      <c r="Q479" s="32">
        <f>IF(Mecze[[#This Row],[OB]]=0,0,Mecze[[#This Row],[OB]]/Mecze[[#This Row],[CZAS]])</f>
        <v>0</v>
      </c>
      <c r="R479" s="32">
        <f>IF(Mecze[[#This Row],[BR]]=0,0,Mecze[[#This Row],[BR]]/Mecze[[#This Row],[CZAS]])</f>
        <v>0</v>
      </c>
      <c r="S479" s="44">
        <f>IF(Mecze[[#This Row],[Role]]="BR",SUMPRODUCT(Mecze[[#This Row],[/PR:90]:[/BR:90]],Brudnopis!$E$23:$J$23),0)</f>
        <v>0</v>
      </c>
      <c r="T479" s="44">
        <f>IF(Mecze[[#This Row],[Role]]&lt;&gt;"BR",SUMPRODUCT(Mecze[[#This Row],[/PR:90]:[/BR:90]],Brudnopis!$E$24:$J$24),0)</f>
        <v>0.16494845360824742</v>
      </c>
      <c r="U479" s="44">
        <f>IF(Mecze[[#This Row],[Role]]&lt;&gt;"BR",SUMPRODUCT(Mecze[[#This Row],[/PR:90]:[/BR:90]],Brudnopis!$E$25:$J$25),0)</f>
        <v>0.19072164948453607</v>
      </c>
      <c r="V479" s="44">
        <f>IF(Mecze[[#This Row],[Role]]&lt;&gt;"BR",SUMPRODUCT(Mecze[[#This Row],[/PR:90]:[/BR:90]],Brudnopis!$E$26:$J$26),0)</f>
        <v>0.15463917525773196</v>
      </c>
      <c r="W479" s="44">
        <f>IF(Mecze[[#This Row],[Role]]&lt;&gt;"BR",SUMPRODUCT(Mecze[[#This Row],[/PR:90]:[/BR:90]],Brudnopis!$E$27:$J$27),0)</f>
        <v>0.17010309278350516</v>
      </c>
      <c r="X479" s="44">
        <f>IF(Mecze[[#This Row],[Role]]&lt;&gt;"BR",SUMPRODUCT(Mecze[[#This Row],[/PR:90]:[/BR:90]],Brudnopis!$E$28:$J$28),0)</f>
        <v>7.2164948453608241E-2</v>
      </c>
      <c r="Y479" s="35">
        <f>IF(Mecze[[#This Row],[Role]]="BR",Mecze[[#This Row],[/OB:90]]+Mecze[[#This Row],[/PC:90]],SUM(Mecze[[#This Row],[/PR:90]:[/BR:90]]))</f>
        <v>0.15463917525773196</v>
      </c>
      <c r="Z479" s="35">
        <f>IF(Mecze[[#This Row],[KC]]=0,SUM(Mecze[[#This Row],[/BRI]:[/NPI]]),SUM(Mecze[[#This Row],[/BRI]:[/NPI]])*0.6)</f>
        <v>0.75257731958762886</v>
      </c>
      <c r="AA479" s="10">
        <f>IFERROR(Mecze[[#This Row],[BR]]/Mecze[[#This Row],[ST]],0)</f>
        <v>0</v>
      </c>
      <c r="AB479">
        <f>ROUND(Mecze[[#This Row],[PD]]*Mecze[[#This Row],[%PC]],0)</f>
        <v>7</v>
      </c>
      <c r="AC479">
        <f>ROUND(Mecze[[#This Row],[OD]]*Mecze[[#This Row],[%OU]],0)</f>
        <v>2</v>
      </c>
      <c r="AD479" s="36" t="s">
        <v>47</v>
      </c>
      <c r="AE479" s="36">
        <v>28</v>
      </c>
      <c r="AF479" s="71">
        <v>8.3000000000000007</v>
      </c>
      <c r="AG479" s="37">
        <v>0</v>
      </c>
      <c r="AH479" s="37">
        <v>0</v>
      </c>
      <c r="AI479" s="37">
        <v>97</v>
      </c>
      <c r="AJ479" s="37">
        <v>3</v>
      </c>
      <c r="AK479" s="37" t="str">
        <f>VLOOKUP(Mecze[[#This Row],[Match ID]],Meczusie[Mecz]:Meczusie[RodzajMeczu],2,FALSE)</f>
        <v>Liga</v>
      </c>
    </row>
    <row r="480" spans="1:37" x14ac:dyDescent="0.25">
      <c r="A480" s="76">
        <v>2</v>
      </c>
      <c r="B480" s="3" t="s">
        <v>265</v>
      </c>
      <c r="C480" s="2" t="s">
        <v>157</v>
      </c>
      <c r="D480" s="1">
        <v>0</v>
      </c>
      <c r="E480" s="1">
        <v>0</v>
      </c>
      <c r="F480" s="1">
        <v>0</v>
      </c>
      <c r="G480" s="1">
        <v>8</v>
      </c>
      <c r="H480" s="4">
        <v>0.75</v>
      </c>
      <c r="I480" s="1">
        <v>5</v>
      </c>
      <c r="J480" s="4">
        <v>0.4</v>
      </c>
      <c r="K480" s="1">
        <v>0</v>
      </c>
      <c r="L480" s="1">
        <v>4</v>
      </c>
      <c r="M480" s="32">
        <f>IF(Mecze[[#This Row],[PR]]=0,0,Mecze[[#This Row],[PR]]/Mecze[[#This Row],[CZAS]])</f>
        <v>4.1237113402061855E-2</v>
      </c>
      <c r="N480" s="32">
        <f>IF(Mecze[[#This Row],[OU]]=0,0,Mecze[[#This Row],[OU]]/Mecze[[#This Row],[CZAS]])</f>
        <v>2.0618556701030927E-2</v>
      </c>
      <c r="O480" s="32">
        <f>IF(Mecze[[#This Row],[PC]]=0,0,Mecze[[#This Row],[PC]]/Mecze[[#This Row],[CZAS]])</f>
        <v>6.1855670103092786E-2</v>
      </c>
      <c r="P480" s="32">
        <f>IF(Mecze[[#This Row],[SC]]=0,0,Mecze[[#This Row],[SC]]/Mecze[[#This Row],[CZAS]])</f>
        <v>0</v>
      </c>
      <c r="Q480" s="32">
        <f>IF(Mecze[[#This Row],[OB]]=0,0,Mecze[[#This Row],[OB]]/Mecze[[#This Row],[CZAS]])</f>
        <v>0</v>
      </c>
      <c r="R480" s="32">
        <f>IF(Mecze[[#This Row],[BR]]=0,0,Mecze[[#This Row],[BR]]/Mecze[[#This Row],[CZAS]])</f>
        <v>0</v>
      </c>
      <c r="S480" s="44">
        <f>IF(Mecze[[#This Row],[Role]]="BR",SUMPRODUCT(Mecze[[#This Row],[/PR:90]:[/BR:90]],Brudnopis!$E$23:$J$23),0)</f>
        <v>0</v>
      </c>
      <c r="T480" s="44">
        <f>IF(Mecze[[#This Row],[Role]]&lt;&gt;"BR",SUMPRODUCT(Mecze[[#This Row],[/PR:90]:[/BR:90]],Brudnopis!$E$24:$J$24),0)</f>
        <v>0.13402061855670103</v>
      </c>
      <c r="U480" s="44">
        <f>IF(Mecze[[#This Row],[Role]]&lt;&gt;"BR",SUMPRODUCT(Mecze[[#This Row],[/PR:90]:[/BR:90]],Brudnopis!$E$25:$J$25),0)</f>
        <v>0.15463917525773196</v>
      </c>
      <c r="V480" s="44">
        <f>IF(Mecze[[#This Row],[Role]]&lt;&gt;"BR",SUMPRODUCT(Mecze[[#This Row],[/PR:90]:[/BR:90]],Brudnopis!$E$26:$J$26),0)</f>
        <v>0.12371134020618557</v>
      </c>
      <c r="W480" s="44">
        <f>IF(Mecze[[#This Row],[Role]]&lt;&gt;"BR",SUMPRODUCT(Mecze[[#This Row],[/PR:90]:[/BR:90]],Brudnopis!$E$27:$J$27),0)</f>
        <v>0.13917525773195877</v>
      </c>
      <c r="X480" s="44">
        <f>IF(Mecze[[#This Row],[Role]]&lt;&gt;"BR",SUMPRODUCT(Mecze[[#This Row],[/PR:90]:[/BR:90]],Brudnopis!$E$28:$J$28),0)</f>
        <v>6.1855670103092786E-2</v>
      </c>
      <c r="Y480" s="35">
        <f>IF(Mecze[[#This Row],[Role]]="BR",Mecze[[#This Row],[/OB:90]]+Mecze[[#This Row],[/PC:90]],SUM(Mecze[[#This Row],[/PR:90]:[/BR:90]]))</f>
        <v>0.12371134020618557</v>
      </c>
      <c r="Z480" s="35">
        <f>IF(Mecze[[#This Row],[KC]]=0,SUM(Mecze[[#This Row],[/BRI]:[/NPI]]),SUM(Mecze[[#This Row],[/BRI]:[/NPI]])*0.6)</f>
        <v>0.61340206185567014</v>
      </c>
      <c r="AA480" s="10">
        <f>IFERROR(Mecze[[#This Row],[BR]]/Mecze[[#This Row],[ST]],0)</f>
        <v>0</v>
      </c>
      <c r="AB480">
        <f>ROUND(Mecze[[#This Row],[PD]]*Mecze[[#This Row],[%PC]],0)</f>
        <v>6</v>
      </c>
      <c r="AC480">
        <f>ROUND(Mecze[[#This Row],[OD]]*Mecze[[#This Row],[%OU]],0)</f>
        <v>2</v>
      </c>
      <c r="AD480" s="36" t="s">
        <v>47</v>
      </c>
      <c r="AE480" s="36">
        <v>28</v>
      </c>
      <c r="AF480" s="71">
        <v>7.88</v>
      </c>
      <c r="AG480" s="37">
        <v>0</v>
      </c>
      <c r="AH480" s="37">
        <v>0</v>
      </c>
      <c r="AI480" s="37">
        <v>97</v>
      </c>
      <c r="AJ480" s="37">
        <v>3</v>
      </c>
      <c r="AK480" s="37" t="str">
        <f>VLOOKUP(Mecze[[#This Row],[Match ID]],Meczusie[Mecz]:Meczusie[RodzajMeczu],2,FALSE)</f>
        <v>Liga</v>
      </c>
    </row>
    <row r="481" spans="1:37" x14ac:dyDescent="0.25">
      <c r="A481" s="76">
        <v>9</v>
      </c>
      <c r="B481" s="3" t="s">
        <v>266</v>
      </c>
      <c r="C481" s="2" t="s">
        <v>160</v>
      </c>
      <c r="D481" s="1">
        <v>0</v>
      </c>
      <c r="E481" s="1">
        <v>0</v>
      </c>
      <c r="F481" s="1">
        <v>0</v>
      </c>
      <c r="G481" s="1">
        <v>16</v>
      </c>
      <c r="H481" s="4">
        <v>0.88</v>
      </c>
      <c r="I481" s="1">
        <v>6</v>
      </c>
      <c r="J481" s="4">
        <v>0.5</v>
      </c>
      <c r="K481" s="1">
        <v>0</v>
      </c>
      <c r="L481" s="1">
        <v>9</v>
      </c>
      <c r="M481" s="32">
        <f>IF(Mecze[[#This Row],[PR]]=0,0,Mecze[[#This Row],[PR]]/Mecze[[#This Row],[CZAS]])</f>
        <v>9.2783505154639179E-2</v>
      </c>
      <c r="N481" s="32">
        <f>IF(Mecze[[#This Row],[OU]]=0,0,Mecze[[#This Row],[OU]]/Mecze[[#This Row],[CZAS]])</f>
        <v>3.0927835051546393E-2</v>
      </c>
      <c r="O481" s="32">
        <f>IF(Mecze[[#This Row],[PC]]=0,0,Mecze[[#This Row],[PC]]/Mecze[[#This Row],[CZAS]])</f>
        <v>0.14432989690721648</v>
      </c>
      <c r="P481" s="32">
        <f>IF(Mecze[[#This Row],[SC]]=0,0,Mecze[[#This Row],[SC]]/Mecze[[#This Row],[CZAS]])</f>
        <v>0</v>
      </c>
      <c r="Q481" s="32">
        <f>IF(Mecze[[#This Row],[OB]]=0,0,Mecze[[#This Row],[OB]]/Mecze[[#This Row],[CZAS]])</f>
        <v>0</v>
      </c>
      <c r="R481" s="32">
        <f>IF(Mecze[[#This Row],[BR]]=0,0,Mecze[[#This Row],[BR]]/Mecze[[#This Row],[CZAS]])</f>
        <v>0</v>
      </c>
      <c r="S481" s="44">
        <f>IF(Mecze[[#This Row],[Role]]="BR",SUMPRODUCT(Mecze[[#This Row],[/PR:90]:[/BR:90]],Brudnopis!$E$23:$J$23),0)</f>
        <v>0</v>
      </c>
      <c r="T481" s="44">
        <f>IF(Mecze[[#This Row],[Role]]&lt;&gt;"BR",SUMPRODUCT(Mecze[[#This Row],[/PR:90]:[/BR:90]],Brudnopis!$E$24:$J$24),0)</f>
        <v>0.28350515463917525</v>
      </c>
      <c r="U481" s="44">
        <f>IF(Mecze[[#This Row],[Role]]&lt;&gt;"BR",SUMPRODUCT(Mecze[[#This Row],[/PR:90]:[/BR:90]],Brudnopis!$E$25:$J$25),0)</f>
        <v>0.34020618556701032</v>
      </c>
      <c r="V481" s="44">
        <f>IF(Mecze[[#This Row],[Role]]&lt;&gt;"BR",SUMPRODUCT(Mecze[[#This Row],[/PR:90]:[/BR:90]],Brudnopis!$E$26:$J$26),0)</f>
        <v>0.26804123711340205</v>
      </c>
      <c r="W481" s="44">
        <f>IF(Mecze[[#This Row],[Role]]&lt;&gt;"BR",SUMPRODUCT(Mecze[[#This Row],[/PR:90]:[/BR:90]],Brudnopis!$E$27:$J$27),0)</f>
        <v>0.30927835051546393</v>
      </c>
      <c r="X481" s="44">
        <f>IF(Mecze[[#This Row],[Role]]&lt;&gt;"BR",SUMPRODUCT(Mecze[[#This Row],[/PR:90]:[/BR:90]],Brudnopis!$E$28:$J$28),0)</f>
        <v>0.14432989690721648</v>
      </c>
      <c r="Y481" s="35">
        <f>IF(Mecze[[#This Row],[Role]]="BR",Mecze[[#This Row],[/OB:90]]+Mecze[[#This Row],[/PC:90]],SUM(Mecze[[#This Row],[/PR:90]:[/BR:90]]))</f>
        <v>0.26804123711340205</v>
      </c>
      <c r="Z481" s="35">
        <f>IF(Mecze[[#This Row],[KC]]=0,SUM(Mecze[[#This Row],[/BRI]:[/NPI]]),SUM(Mecze[[#This Row],[/BRI]:[/NPI]])*0.6)</f>
        <v>1.3453608247422679</v>
      </c>
      <c r="AA481" s="10">
        <f>IFERROR(Mecze[[#This Row],[BR]]/Mecze[[#This Row],[ST]],0)</f>
        <v>0</v>
      </c>
      <c r="AB481">
        <f>ROUND(Mecze[[#This Row],[PD]]*Mecze[[#This Row],[%PC]],0)</f>
        <v>14</v>
      </c>
      <c r="AC481">
        <f>ROUND(Mecze[[#This Row],[OD]]*Mecze[[#This Row],[%OU]],0)</f>
        <v>3</v>
      </c>
      <c r="AD481" s="36" t="s">
        <v>67</v>
      </c>
      <c r="AE481" s="36">
        <v>28</v>
      </c>
      <c r="AF481" s="71">
        <v>11.05</v>
      </c>
      <c r="AG481" s="37">
        <v>0</v>
      </c>
      <c r="AH481" s="37">
        <v>0</v>
      </c>
      <c r="AI481" s="37">
        <v>97</v>
      </c>
      <c r="AJ481" s="37">
        <v>3</v>
      </c>
      <c r="AK481" s="37" t="str">
        <f>VLOOKUP(Mecze[[#This Row],[Match ID]],Meczusie[Mecz]:Meczusie[RodzajMeczu],2,FALSE)</f>
        <v>Liga</v>
      </c>
    </row>
    <row r="482" spans="1:37" x14ac:dyDescent="0.25">
      <c r="A482" s="76">
        <v>5</v>
      </c>
      <c r="B482" s="3" t="s">
        <v>267</v>
      </c>
      <c r="C482" s="2" t="s">
        <v>160</v>
      </c>
      <c r="D482" s="1">
        <v>0</v>
      </c>
      <c r="E482" s="1">
        <v>2</v>
      </c>
      <c r="F482" s="1">
        <v>2</v>
      </c>
      <c r="G482" s="1">
        <v>16</v>
      </c>
      <c r="H482" s="4">
        <v>0.88</v>
      </c>
      <c r="I482" s="1">
        <v>7</v>
      </c>
      <c r="J482" s="4">
        <v>0.71</v>
      </c>
      <c r="K482" s="1">
        <v>0</v>
      </c>
      <c r="L482" s="1">
        <v>1</v>
      </c>
      <c r="M482" s="32">
        <f>IF(Mecze[[#This Row],[PR]]=0,0,Mecze[[#This Row],[PR]]/Mecze[[#This Row],[CZAS]])</f>
        <v>1.0309278350515464E-2</v>
      </c>
      <c r="N482" s="32">
        <f>IF(Mecze[[#This Row],[OU]]=0,0,Mecze[[#This Row],[OU]]/Mecze[[#This Row],[CZAS]])</f>
        <v>5.1546391752577317E-2</v>
      </c>
      <c r="O482" s="32">
        <f>IF(Mecze[[#This Row],[PC]]=0,0,Mecze[[#This Row],[PC]]/Mecze[[#This Row],[CZAS]])</f>
        <v>0.14432989690721648</v>
      </c>
      <c r="P482" s="32">
        <f>IF(Mecze[[#This Row],[SC]]=0,0,Mecze[[#This Row],[SC]]/Mecze[[#This Row],[CZAS]])</f>
        <v>2.0618556701030927E-2</v>
      </c>
      <c r="Q482" s="32">
        <f>IF(Mecze[[#This Row],[OB]]=0,0,Mecze[[#This Row],[OB]]/Mecze[[#This Row],[CZAS]])</f>
        <v>0</v>
      </c>
      <c r="R482" s="32">
        <f>IF(Mecze[[#This Row],[BR]]=0,0,Mecze[[#This Row],[BR]]/Mecze[[#This Row],[CZAS]])</f>
        <v>0</v>
      </c>
      <c r="S482" s="44">
        <f>IF(Mecze[[#This Row],[Role]]="BR",SUMPRODUCT(Mecze[[#This Row],[/PR:90]:[/BR:90]],Brudnopis!$E$23:$J$23),0)</f>
        <v>0</v>
      </c>
      <c r="T482" s="44">
        <f>IF(Mecze[[#This Row],[Role]]&lt;&gt;"BR",SUMPRODUCT(Mecze[[#This Row],[/PR:90]:[/BR:90]],Brudnopis!$E$24:$J$24),0)</f>
        <v>0.25257731958762886</v>
      </c>
      <c r="U482" s="44">
        <f>IF(Mecze[[#This Row],[Role]]&lt;&gt;"BR",SUMPRODUCT(Mecze[[#This Row],[/PR:90]:[/BR:90]],Brudnopis!$E$25:$J$25),0)</f>
        <v>0.29896907216494839</v>
      </c>
      <c r="V482" s="44">
        <f>IF(Mecze[[#This Row],[Role]]&lt;&gt;"BR",SUMPRODUCT(Mecze[[#This Row],[/PR:90]:[/BR:90]],Brudnopis!$E$26:$J$26),0)</f>
        <v>0.22680412371134021</v>
      </c>
      <c r="W482" s="44">
        <f>IF(Mecze[[#This Row],[Role]]&lt;&gt;"BR",SUMPRODUCT(Mecze[[#This Row],[/PR:90]:[/BR:90]],Brudnopis!$E$27:$J$27),0)</f>
        <v>0.28350515463917519</v>
      </c>
      <c r="X482" s="44">
        <f>IF(Mecze[[#This Row],[Role]]&lt;&gt;"BR",SUMPRODUCT(Mecze[[#This Row],[/PR:90]:[/BR:90]],Brudnopis!$E$28:$J$28),0)</f>
        <v>0.18556701030927833</v>
      </c>
      <c r="Y482" s="35">
        <f>IF(Mecze[[#This Row],[Role]]="BR",Mecze[[#This Row],[/OB:90]]+Mecze[[#This Row],[/PC:90]],SUM(Mecze[[#This Row],[/PR:90]:[/BR:90]]))</f>
        <v>0.22680412371134021</v>
      </c>
      <c r="Z482" s="35">
        <f>IF(Mecze[[#This Row],[KC]]=0,SUM(Mecze[[#This Row],[/BRI]:[/NPI]]),SUM(Mecze[[#This Row],[/BRI]:[/NPI]])*0.6)</f>
        <v>1.2474226804123709</v>
      </c>
      <c r="AA482" s="10">
        <f>IFERROR(Mecze[[#This Row],[BR]]/Mecze[[#This Row],[ST]],0)</f>
        <v>0</v>
      </c>
      <c r="AB482">
        <f>ROUND(Mecze[[#This Row],[PD]]*Mecze[[#This Row],[%PC]],0)</f>
        <v>14</v>
      </c>
      <c r="AC482">
        <f>ROUND(Mecze[[#This Row],[OD]]*Mecze[[#This Row],[%OU]],0)</f>
        <v>5</v>
      </c>
      <c r="AD482" s="36" t="s">
        <v>67</v>
      </c>
      <c r="AE482" s="36">
        <v>28</v>
      </c>
      <c r="AF482" s="71">
        <v>9.83</v>
      </c>
      <c r="AG482" s="37">
        <v>0</v>
      </c>
      <c r="AH482" s="37">
        <v>0</v>
      </c>
      <c r="AI482" s="37">
        <v>97</v>
      </c>
      <c r="AJ482" s="37">
        <v>3</v>
      </c>
      <c r="AK482" s="37" t="str">
        <f>VLOOKUP(Mecze[[#This Row],[Match ID]],Meczusie[Mecz]:Meczusie[RodzajMeczu],2,FALSE)</f>
        <v>Liga</v>
      </c>
    </row>
    <row r="483" spans="1:37" x14ac:dyDescent="0.25">
      <c r="A483" s="76">
        <v>3</v>
      </c>
      <c r="B483" s="3" t="s">
        <v>268</v>
      </c>
      <c r="C483" s="2" t="s">
        <v>160</v>
      </c>
      <c r="D483" s="1">
        <v>0</v>
      </c>
      <c r="E483" s="1">
        <v>3</v>
      </c>
      <c r="F483" s="1">
        <v>2</v>
      </c>
      <c r="G483" s="1">
        <v>7</v>
      </c>
      <c r="H483" s="4">
        <v>0.43</v>
      </c>
      <c r="I483" s="1">
        <v>4</v>
      </c>
      <c r="J483" s="4">
        <v>0.75</v>
      </c>
      <c r="K483" s="1">
        <v>0</v>
      </c>
      <c r="L483" s="1">
        <v>2</v>
      </c>
      <c r="M483" s="32">
        <f>IF(Mecze[[#This Row],[PR]]=0,0,Mecze[[#This Row],[PR]]/Mecze[[#This Row],[CZAS]])</f>
        <v>2.0618556701030927E-2</v>
      </c>
      <c r="N483" s="32">
        <f>IF(Mecze[[#This Row],[OU]]=0,0,Mecze[[#This Row],[OU]]/Mecze[[#This Row],[CZAS]])</f>
        <v>3.0927835051546393E-2</v>
      </c>
      <c r="O483" s="32">
        <f>IF(Mecze[[#This Row],[PC]]=0,0,Mecze[[#This Row],[PC]]/Mecze[[#This Row],[CZAS]])</f>
        <v>3.0927835051546393E-2</v>
      </c>
      <c r="P483" s="32">
        <f>IF(Mecze[[#This Row],[SC]]=0,0,Mecze[[#This Row],[SC]]/Mecze[[#This Row],[CZAS]])</f>
        <v>2.0618556701030927E-2</v>
      </c>
      <c r="Q483" s="32">
        <f>IF(Mecze[[#This Row],[OB]]=0,0,Mecze[[#This Row],[OB]]/Mecze[[#This Row],[CZAS]])</f>
        <v>0</v>
      </c>
      <c r="R483" s="32">
        <f>IF(Mecze[[#This Row],[BR]]=0,0,Mecze[[#This Row],[BR]]/Mecze[[#This Row],[CZAS]])</f>
        <v>0</v>
      </c>
      <c r="S483" s="44">
        <f>IF(Mecze[[#This Row],[Role]]="BR",SUMPRODUCT(Mecze[[#This Row],[/PR:90]:[/BR:90]],Brudnopis!$E$23:$J$23),0)</f>
        <v>0</v>
      </c>
      <c r="T483" s="44">
        <f>IF(Mecze[[#This Row],[Role]]&lt;&gt;"BR",SUMPRODUCT(Mecze[[#This Row],[/PR:90]:[/BR:90]],Brudnopis!$E$24:$J$24),0)</f>
        <v>0.11855670103092783</v>
      </c>
      <c r="U483" s="44">
        <f>IF(Mecze[[#This Row],[Role]]&lt;&gt;"BR",SUMPRODUCT(Mecze[[#This Row],[/PR:90]:[/BR:90]],Brudnopis!$E$25:$J$25),0)</f>
        <v>0.11855670103092783</v>
      </c>
      <c r="V483" s="44">
        <f>IF(Mecze[[#This Row],[Role]]&lt;&gt;"BR",SUMPRODUCT(Mecze[[#This Row],[/PR:90]:[/BR:90]],Brudnopis!$E$26:$J$26),0)</f>
        <v>0.10309278350515463</v>
      </c>
      <c r="W483" s="44">
        <f>IF(Mecze[[#This Row],[Role]]&lt;&gt;"BR",SUMPRODUCT(Mecze[[#This Row],[/PR:90]:[/BR:90]],Brudnopis!$E$27:$J$27),0)</f>
        <v>0.1056701030927835</v>
      </c>
      <c r="X483" s="44">
        <f>IF(Mecze[[#This Row],[Role]]&lt;&gt;"BR",SUMPRODUCT(Mecze[[#This Row],[/PR:90]:[/BR:90]],Brudnopis!$E$28:$J$28),0)</f>
        <v>7.2164948453608241E-2</v>
      </c>
      <c r="Y483" s="35">
        <f>IF(Mecze[[#This Row],[Role]]="BR",Mecze[[#This Row],[/OB:90]]+Mecze[[#This Row],[/PC:90]],SUM(Mecze[[#This Row],[/PR:90]:[/BR:90]]))</f>
        <v>0.10309278350515463</v>
      </c>
      <c r="Z483" s="35">
        <f>IF(Mecze[[#This Row],[KC]]=0,SUM(Mecze[[#This Row],[/BRI]:[/NPI]]),SUM(Mecze[[#This Row],[/BRI]:[/NPI]])*0.6)</f>
        <v>0.51804123711340211</v>
      </c>
      <c r="AA483" s="10">
        <f>IFERROR(Mecze[[#This Row],[BR]]/Mecze[[#This Row],[ST]],0)</f>
        <v>0</v>
      </c>
      <c r="AB483">
        <f>ROUND(Mecze[[#This Row],[PD]]*Mecze[[#This Row],[%PC]],0)</f>
        <v>3</v>
      </c>
      <c r="AC483">
        <f>ROUND(Mecze[[#This Row],[OD]]*Mecze[[#This Row],[%OU]],0)</f>
        <v>3</v>
      </c>
      <c r="AD483" s="36" t="s">
        <v>44</v>
      </c>
      <c r="AE483" s="36">
        <v>28</v>
      </c>
      <c r="AF483" s="71">
        <v>7.92</v>
      </c>
      <c r="AG483" s="37">
        <v>0</v>
      </c>
      <c r="AH483" s="37">
        <v>0</v>
      </c>
      <c r="AI483" s="37">
        <v>97</v>
      </c>
      <c r="AJ483" s="37">
        <v>3</v>
      </c>
      <c r="AK483" s="37" t="str">
        <f>VLOOKUP(Mecze[[#This Row],[Match ID]],Meczusie[Mecz]:Meczusie[RodzajMeczu],2,FALSE)</f>
        <v>Liga</v>
      </c>
    </row>
    <row r="484" spans="1:37" x14ac:dyDescent="0.25">
      <c r="A484" s="76">
        <v>8</v>
      </c>
      <c r="B484" s="3" t="s">
        <v>269</v>
      </c>
      <c r="C484" s="2" t="s">
        <v>165</v>
      </c>
      <c r="D484" s="1">
        <v>1</v>
      </c>
      <c r="E484" s="1">
        <v>3</v>
      </c>
      <c r="F484" s="1">
        <v>3</v>
      </c>
      <c r="G484" s="1">
        <v>8</v>
      </c>
      <c r="H484" s="4">
        <v>0.88</v>
      </c>
      <c r="I484" s="1">
        <v>0</v>
      </c>
      <c r="J484" s="4"/>
      <c r="K484" s="1">
        <v>0</v>
      </c>
      <c r="L484" s="1">
        <v>2</v>
      </c>
      <c r="M484" s="32">
        <f>IF(Mecze[[#This Row],[PR]]=0,0,Mecze[[#This Row],[PR]]/Mecze[[#This Row],[CZAS]])</f>
        <v>2.0618556701030927E-2</v>
      </c>
      <c r="N484" s="32">
        <f>IF(Mecze[[#This Row],[OU]]=0,0,Mecze[[#This Row],[OU]]/Mecze[[#This Row],[CZAS]])</f>
        <v>0</v>
      </c>
      <c r="O484" s="32">
        <f>IF(Mecze[[#This Row],[PC]]=0,0,Mecze[[#This Row],[PC]]/Mecze[[#This Row],[CZAS]])</f>
        <v>7.2164948453608241E-2</v>
      </c>
      <c r="P484" s="32">
        <f>IF(Mecze[[#This Row],[SC]]=0,0,Mecze[[#This Row],[SC]]/Mecze[[#This Row],[CZAS]])</f>
        <v>3.0927835051546393E-2</v>
      </c>
      <c r="Q484" s="32">
        <f>IF(Mecze[[#This Row],[OB]]=0,0,Mecze[[#This Row],[OB]]/Mecze[[#This Row],[CZAS]])</f>
        <v>0</v>
      </c>
      <c r="R484" s="32">
        <f>IF(Mecze[[#This Row],[BR]]=0,0,Mecze[[#This Row],[BR]]/Mecze[[#This Row],[CZAS]])</f>
        <v>1.0309278350515464E-2</v>
      </c>
      <c r="S484" s="44">
        <f>IF(Mecze[[#This Row],[Role]]="BR",SUMPRODUCT(Mecze[[#This Row],[/PR:90]:[/BR:90]],Brudnopis!$E$23:$J$23),0)</f>
        <v>0</v>
      </c>
      <c r="T484" s="44">
        <f>IF(Mecze[[#This Row],[Role]]&lt;&gt;"BR",SUMPRODUCT(Mecze[[#This Row],[/PR:90]:[/BR:90]],Brudnopis!$E$24:$J$24),0)</f>
        <v>0.13917525773195877</v>
      </c>
      <c r="U484" s="44">
        <f>IF(Mecze[[#This Row],[Role]]&lt;&gt;"BR",SUMPRODUCT(Mecze[[#This Row],[/PR:90]:[/BR:90]],Brudnopis!$E$25:$J$25),0)</f>
        <v>0.17525773195876287</v>
      </c>
      <c r="V484" s="44">
        <f>IF(Mecze[[#This Row],[Role]]&lt;&gt;"BR",SUMPRODUCT(Mecze[[#This Row],[/PR:90]:[/BR:90]],Brudnopis!$E$26:$J$26),0)</f>
        <v>0.14432989690721648</v>
      </c>
      <c r="W484" s="44">
        <f>IF(Mecze[[#This Row],[Role]]&lt;&gt;"BR",SUMPRODUCT(Mecze[[#This Row],[/PR:90]:[/BR:90]],Brudnopis!$E$27:$J$27),0)</f>
        <v>0.1752577319587629</v>
      </c>
      <c r="X484" s="44">
        <f>IF(Mecze[[#This Row],[Role]]&lt;&gt;"BR",SUMPRODUCT(Mecze[[#This Row],[/PR:90]:[/BR:90]],Brudnopis!$E$28:$J$28),0)</f>
        <v>0.16494845360824742</v>
      </c>
      <c r="Y484" s="35">
        <f>IF(Mecze[[#This Row],[Role]]="BR",Mecze[[#This Row],[/OB:90]]+Mecze[[#This Row],[/PC:90]],SUM(Mecze[[#This Row],[/PR:90]:[/BR:90]]))</f>
        <v>0.13402061855670103</v>
      </c>
      <c r="Z484" s="35">
        <f>IF(Mecze[[#This Row],[KC]]=0,SUM(Mecze[[#This Row],[/BRI]:[/NPI]]),SUM(Mecze[[#This Row],[/BRI]:[/NPI]])*0.6)</f>
        <v>0.79896907216494839</v>
      </c>
      <c r="AA484" s="10">
        <f>IFERROR(Mecze[[#This Row],[BR]]/Mecze[[#This Row],[ST]],0)</f>
        <v>0.33333333333333331</v>
      </c>
      <c r="AB484">
        <f>ROUND(Mecze[[#This Row],[PD]]*Mecze[[#This Row],[%PC]],0)</f>
        <v>7</v>
      </c>
      <c r="AC484">
        <f>ROUND(Mecze[[#This Row],[OD]]*Mecze[[#This Row],[%OU]],0)</f>
        <v>0</v>
      </c>
      <c r="AD484" s="36" t="s">
        <v>272</v>
      </c>
      <c r="AE484" s="36">
        <v>28</v>
      </c>
      <c r="AF484" s="71">
        <v>9.14</v>
      </c>
      <c r="AG484" s="37">
        <v>0</v>
      </c>
      <c r="AH484" s="37">
        <v>0</v>
      </c>
      <c r="AI484" s="37">
        <v>97</v>
      </c>
      <c r="AJ484" s="37">
        <v>3</v>
      </c>
      <c r="AK484" s="37" t="str">
        <f>VLOOKUP(Mecze[[#This Row],[Match ID]],Meczusie[Mecz]:Meczusie[RodzajMeczu],2,FALSE)</f>
        <v>Liga</v>
      </c>
    </row>
    <row r="485" spans="1:37" x14ac:dyDescent="0.25">
      <c r="A485" s="76">
        <v>11</v>
      </c>
      <c r="B485" s="3" t="s">
        <v>270</v>
      </c>
      <c r="C485" s="2" t="s">
        <v>165</v>
      </c>
      <c r="D485" s="1">
        <v>2</v>
      </c>
      <c r="E485" s="1">
        <v>5</v>
      </c>
      <c r="F485" s="1">
        <v>4</v>
      </c>
      <c r="G485" s="1">
        <v>11</v>
      </c>
      <c r="H485" s="4">
        <v>0.64</v>
      </c>
      <c r="I485" s="1">
        <v>0</v>
      </c>
      <c r="J485" s="4"/>
      <c r="K485" s="1">
        <v>0</v>
      </c>
      <c r="L485" s="1">
        <v>1</v>
      </c>
      <c r="M485" s="32">
        <f>IF(Mecze[[#This Row],[PR]]=0,0,Mecze[[#This Row],[PR]]/Mecze[[#This Row],[CZAS]])</f>
        <v>1.0309278350515464E-2</v>
      </c>
      <c r="N485" s="32">
        <f>IF(Mecze[[#This Row],[OU]]=0,0,Mecze[[#This Row],[OU]]/Mecze[[#This Row],[CZAS]])</f>
        <v>0</v>
      </c>
      <c r="O485" s="32">
        <f>IF(Mecze[[#This Row],[PC]]=0,0,Mecze[[#This Row],[PC]]/Mecze[[#This Row],[CZAS]])</f>
        <v>7.2164948453608241E-2</v>
      </c>
      <c r="P485" s="32">
        <f>IF(Mecze[[#This Row],[SC]]=0,0,Mecze[[#This Row],[SC]]/Mecze[[#This Row],[CZAS]])</f>
        <v>4.1237113402061855E-2</v>
      </c>
      <c r="Q485" s="32">
        <f>IF(Mecze[[#This Row],[OB]]=0,0,Mecze[[#This Row],[OB]]/Mecze[[#This Row],[CZAS]])</f>
        <v>0</v>
      </c>
      <c r="R485" s="32">
        <f>IF(Mecze[[#This Row],[BR]]=0,0,Mecze[[#This Row],[BR]]/Mecze[[#This Row],[CZAS]])</f>
        <v>2.0618556701030927E-2</v>
      </c>
      <c r="S485" s="44">
        <f>IF(Mecze[[#This Row],[Role]]="BR",SUMPRODUCT(Mecze[[#This Row],[/PR:90]:[/BR:90]],Brudnopis!$E$23:$J$23),0)</f>
        <v>0</v>
      </c>
      <c r="T485" s="44">
        <f>IF(Mecze[[#This Row],[Role]]&lt;&gt;"BR",SUMPRODUCT(Mecze[[#This Row],[/PR:90]:[/BR:90]],Brudnopis!$E$24:$J$24),0)</f>
        <v>0.15463917525773196</v>
      </c>
      <c r="U485" s="44">
        <f>IF(Mecze[[#This Row],[Role]]&lt;&gt;"BR",SUMPRODUCT(Mecze[[#This Row],[/PR:90]:[/BR:90]],Brudnopis!$E$25:$J$25),0)</f>
        <v>0.19072164948453607</v>
      </c>
      <c r="V485" s="44">
        <f>IF(Mecze[[#This Row],[Role]]&lt;&gt;"BR",SUMPRODUCT(Mecze[[#This Row],[/PR:90]:[/BR:90]],Brudnopis!$E$26:$J$26),0)</f>
        <v>0.16494845360824742</v>
      </c>
      <c r="W485" s="44">
        <f>IF(Mecze[[#This Row],[Role]]&lt;&gt;"BR",SUMPRODUCT(Mecze[[#This Row],[/PR:90]:[/BR:90]],Brudnopis!$E$27:$J$27),0)</f>
        <v>0.19845360824742267</v>
      </c>
      <c r="X485" s="44">
        <f>IF(Mecze[[#This Row],[Role]]&lt;&gt;"BR",SUMPRODUCT(Mecze[[#This Row],[/PR:90]:[/BR:90]],Brudnopis!$E$28:$J$28),0)</f>
        <v>0.21649484536082475</v>
      </c>
      <c r="Y485" s="35">
        <f>IF(Mecze[[#This Row],[Role]]="BR",Mecze[[#This Row],[/OB:90]]+Mecze[[#This Row],[/PC:90]],SUM(Mecze[[#This Row],[/PR:90]:[/BR:90]]))</f>
        <v>0.14432989690721651</v>
      </c>
      <c r="Z485" s="35">
        <f>IF(Mecze[[#This Row],[KC]]=0,SUM(Mecze[[#This Row],[/BRI]:[/NPI]]),SUM(Mecze[[#This Row],[/BRI]:[/NPI]])*0.6)</f>
        <v>0.92525773195876282</v>
      </c>
      <c r="AA485" s="10">
        <f>IFERROR(Mecze[[#This Row],[BR]]/Mecze[[#This Row],[ST]],0)</f>
        <v>0.4</v>
      </c>
      <c r="AB485">
        <f>ROUND(Mecze[[#This Row],[PD]]*Mecze[[#This Row],[%PC]],0)</f>
        <v>7</v>
      </c>
      <c r="AC485">
        <f>ROUND(Mecze[[#This Row],[OD]]*Mecze[[#This Row],[%OU]],0)</f>
        <v>0</v>
      </c>
      <c r="AD485" s="36" t="s">
        <v>273</v>
      </c>
      <c r="AE485" s="36">
        <v>28</v>
      </c>
      <c r="AF485" s="71">
        <v>10.74</v>
      </c>
      <c r="AG485" s="37">
        <v>0</v>
      </c>
      <c r="AH485" s="37">
        <v>0</v>
      </c>
      <c r="AI485" s="37">
        <v>97</v>
      </c>
      <c r="AJ485" s="37">
        <v>3</v>
      </c>
      <c r="AK485" s="37" t="str">
        <f>VLOOKUP(Mecze[[#This Row],[Match ID]],Meczusie[Mecz]:Meczusie[RodzajMeczu],2,FALSE)</f>
        <v>Liga</v>
      </c>
    </row>
    <row r="486" spans="1:37" x14ac:dyDescent="0.25">
      <c r="A486" s="76">
        <v>10</v>
      </c>
      <c r="B486" s="3" t="s">
        <v>271</v>
      </c>
      <c r="C486" s="2" t="s">
        <v>165</v>
      </c>
      <c r="D486" s="1">
        <v>1</v>
      </c>
      <c r="E486" s="1">
        <v>6</v>
      </c>
      <c r="F486" s="1">
        <v>5</v>
      </c>
      <c r="G486" s="1">
        <v>4</v>
      </c>
      <c r="H486" s="4">
        <v>0.5</v>
      </c>
      <c r="I486" s="1">
        <v>4</v>
      </c>
      <c r="J486" s="4">
        <v>0.5</v>
      </c>
      <c r="K486" s="1">
        <v>0</v>
      </c>
      <c r="L486" s="1">
        <v>0</v>
      </c>
      <c r="M486" s="32">
        <f>IF(Mecze[[#This Row],[PR]]=0,0,Mecze[[#This Row],[PR]]/Mecze[[#This Row],[CZAS]])</f>
        <v>0</v>
      </c>
      <c r="N486" s="32">
        <f>IF(Mecze[[#This Row],[OU]]=0,0,Mecze[[#This Row],[OU]]/Mecze[[#This Row],[CZAS]])</f>
        <v>2.0618556701030927E-2</v>
      </c>
      <c r="O486" s="32">
        <f>IF(Mecze[[#This Row],[PC]]=0,0,Mecze[[#This Row],[PC]]/Mecze[[#This Row],[CZAS]])</f>
        <v>2.0618556701030927E-2</v>
      </c>
      <c r="P486" s="32">
        <f>IF(Mecze[[#This Row],[SC]]=0,0,Mecze[[#This Row],[SC]]/Mecze[[#This Row],[CZAS]])</f>
        <v>5.1546391752577317E-2</v>
      </c>
      <c r="Q486" s="32">
        <f>IF(Mecze[[#This Row],[OB]]=0,0,Mecze[[#This Row],[OB]]/Mecze[[#This Row],[CZAS]])</f>
        <v>0</v>
      </c>
      <c r="R486" s="32">
        <f>IF(Mecze[[#This Row],[BR]]=0,0,Mecze[[#This Row],[BR]]/Mecze[[#This Row],[CZAS]])</f>
        <v>1.0309278350515464E-2</v>
      </c>
      <c r="S486" s="44">
        <f>IF(Mecze[[#This Row],[Role]]="BR",SUMPRODUCT(Mecze[[#This Row],[/PR:90]:[/BR:90]],Brudnopis!$E$23:$J$23),0)</f>
        <v>0</v>
      </c>
      <c r="T486" s="44">
        <f>IF(Mecze[[#This Row],[Role]]&lt;&gt;"BR",SUMPRODUCT(Mecze[[#This Row],[/PR:90]:[/BR:90]],Brudnopis!$E$24:$J$24),0)</f>
        <v>0.11855670103092783</v>
      </c>
      <c r="U486" s="44">
        <f>IF(Mecze[[#This Row],[Role]]&lt;&gt;"BR",SUMPRODUCT(Mecze[[#This Row],[/PR:90]:[/BR:90]],Brudnopis!$E$25:$J$25),0)</f>
        <v>0.11855670103092783</v>
      </c>
      <c r="V486" s="44">
        <f>IF(Mecze[[#This Row],[Role]]&lt;&gt;"BR",SUMPRODUCT(Mecze[[#This Row],[/PR:90]:[/BR:90]],Brudnopis!$E$26:$J$26),0)</f>
        <v>0.1134020618556701</v>
      </c>
      <c r="W486" s="44">
        <f>IF(Mecze[[#This Row],[Role]]&lt;&gt;"BR",SUMPRODUCT(Mecze[[#This Row],[/PR:90]:[/BR:90]],Brudnopis!$E$27:$J$27),0)</f>
        <v>0.11855670103092783</v>
      </c>
      <c r="X486" s="44">
        <f>IF(Mecze[[#This Row],[Role]]&lt;&gt;"BR",SUMPRODUCT(Mecze[[#This Row],[/PR:90]:[/BR:90]],Brudnopis!$E$28:$J$28),0)</f>
        <v>0.15463917525773196</v>
      </c>
      <c r="Y486" s="35">
        <f>IF(Mecze[[#This Row],[Role]]="BR",Mecze[[#This Row],[/OB:90]]+Mecze[[#This Row],[/PC:90]],SUM(Mecze[[#This Row],[/PR:90]:[/BR:90]]))</f>
        <v>0.10309278350515465</v>
      </c>
      <c r="Z486" s="35">
        <f>IF(Mecze[[#This Row],[KC]]=0,SUM(Mecze[[#This Row],[/BRI]:[/NPI]]),SUM(Mecze[[#This Row],[/BRI]:[/NPI]])*0.6)</f>
        <v>0.62371134020618557</v>
      </c>
      <c r="AA486" s="10">
        <f>IFERROR(Mecze[[#This Row],[BR]]/Mecze[[#This Row],[ST]],0)</f>
        <v>0.16666666666666666</v>
      </c>
      <c r="AB486">
        <f>ROUND(Mecze[[#This Row],[PD]]*Mecze[[#This Row],[%PC]],0)</f>
        <v>2</v>
      </c>
      <c r="AC486">
        <f>ROUND(Mecze[[#This Row],[OD]]*Mecze[[#This Row],[%OU]],0)</f>
        <v>2</v>
      </c>
      <c r="AD486" s="36" t="s">
        <v>46</v>
      </c>
      <c r="AE486" s="36">
        <v>28</v>
      </c>
      <c r="AF486" s="71">
        <v>7.33</v>
      </c>
      <c r="AG486" s="37">
        <v>0</v>
      </c>
      <c r="AH486" s="37">
        <v>0</v>
      </c>
      <c r="AI486" s="37">
        <v>97</v>
      </c>
      <c r="AJ486" s="37">
        <v>3</v>
      </c>
      <c r="AK486" s="37" t="str">
        <f>VLOOKUP(Mecze[[#This Row],[Match ID]],Meczusie[Mecz]:Meczusie[RodzajMeczu],2,FALSE)</f>
        <v>Liga</v>
      </c>
    </row>
    <row r="487" spans="1:37" x14ac:dyDescent="0.25">
      <c r="A487" s="76">
        <v>1</v>
      </c>
      <c r="B487" s="3" t="s">
        <v>247</v>
      </c>
      <c r="C487" s="2" t="s">
        <v>155</v>
      </c>
      <c r="D487" s="1">
        <v>0</v>
      </c>
      <c r="E487" s="1">
        <v>0</v>
      </c>
      <c r="F487" s="1">
        <v>0</v>
      </c>
      <c r="G487" s="1">
        <v>14</v>
      </c>
      <c r="H487" s="4">
        <v>0.43</v>
      </c>
      <c r="I487" s="1">
        <v>0</v>
      </c>
      <c r="J487" s="4"/>
      <c r="K487" s="1">
        <v>11</v>
      </c>
      <c r="L487" s="1">
        <v>0</v>
      </c>
      <c r="M487" s="32">
        <f>IF(Mecze[[#This Row],[PR]]=0,0,Mecze[[#This Row],[PR]]/Mecze[[#This Row],[CZAS]])</f>
        <v>0</v>
      </c>
      <c r="N487" s="32">
        <f>IF(Mecze[[#This Row],[OU]]=0,0,Mecze[[#This Row],[OU]]/Mecze[[#This Row],[CZAS]])</f>
        <v>0</v>
      </c>
      <c r="O487" s="32">
        <f>IF(Mecze[[#This Row],[PC]]=0,0,Mecze[[#This Row],[PC]]/Mecze[[#This Row],[CZAS]])</f>
        <v>6.1855670103092786E-2</v>
      </c>
      <c r="P487" s="32">
        <f>IF(Mecze[[#This Row],[SC]]=0,0,Mecze[[#This Row],[SC]]/Mecze[[#This Row],[CZAS]])</f>
        <v>0</v>
      </c>
      <c r="Q487" s="32">
        <f>IF(Mecze[[#This Row],[OB]]=0,0,Mecze[[#This Row],[OB]]/Mecze[[#This Row],[CZAS]])</f>
        <v>0.1134020618556701</v>
      </c>
      <c r="R487" s="32">
        <f>IF(Mecze[[#This Row],[BR]]=0,0,Mecze[[#This Row],[BR]]/Mecze[[#This Row],[CZAS]])</f>
        <v>0</v>
      </c>
      <c r="S487" s="44">
        <f>IF(Mecze[[#This Row],[Role]]="BR",SUMPRODUCT(Mecze[[#This Row],[/PR:90]:[/BR:90]],Brudnopis!$E$23:$J$23),0)</f>
        <v>0.52577319587628868</v>
      </c>
      <c r="T487" s="44">
        <f>IF(Mecze[[#This Row],[Role]]&lt;&gt;"BR",SUMPRODUCT(Mecze[[#This Row],[/PR:90]:[/BR:90]],Brudnopis!$E$24:$J$24),0)</f>
        <v>0</v>
      </c>
      <c r="U487" s="44">
        <f>IF(Mecze[[#This Row],[Role]]&lt;&gt;"BR",SUMPRODUCT(Mecze[[#This Row],[/PR:90]:[/BR:90]],Brudnopis!$E$25:$J$25),0)</f>
        <v>0</v>
      </c>
      <c r="V487" s="44">
        <f>IF(Mecze[[#This Row],[Role]]&lt;&gt;"BR",SUMPRODUCT(Mecze[[#This Row],[/PR:90]:[/BR:90]],Brudnopis!$E$26:$J$26),0)</f>
        <v>0</v>
      </c>
      <c r="W487" s="44">
        <f>IF(Mecze[[#This Row],[Role]]&lt;&gt;"BR",SUMPRODUCT(Mecze[[#This Row],[/PR:90]:[/BR:90]],Brudnopis!$E$27:$J$27),0)</f>
        <v>0</v>
      </c>
      <c r="X487" s="44">
        <f>IF(Mecze[[#This Row],[Role]]&lt;&gt;"BR",SUMPRODUCT(Mecze[[#This Row],[/PR:90]:[/BR:90]],Brudnopis!$E$28:$J$28),0)</f>
        <v>0</v>
      </c>
      <c r="Y487" s="35">
        <f>IF(Mecze[[#This Row],[Role]]="BR",Mecze[[#This Row],[/OB:90]]+Mecze[[#This Row],[/PC:90]],SUM(Mecze[[#This Row],[/PR:90]:[/BR:90]]))</f>
        <v>0.17525773195876287</v>
      </c>
      <c r="Z487" s="35">
        <f>IF(Mecze[[#This Row],[KC]]=0,SUM(Mecze[[#This Row],[/BRI]:[/NPI]]),SUM(Mecze[[#This Row],[/BRI]:[/NPI]])*0.6)</f>
        <v>0.52577319587628868</v>
      </c>
      <c r="AA487" s="10">
        <f>IFERROR(Mecze[[#This Row],[BR]]/Mecze[[#This Row],[ST]],0)</f>
        <v>0</v>
      </c>
      <c r="AB487">
        <f>ROUND(Mecze[[#This Row],[PD]]*Mecze[[#This Row],[%PC]],0)</f>
        <v>6</v>
      </c>
      <c r="AC487">
        <f>ROUND(Mecze[[#This Row],[OD]]*Mecze[[#This Row],[%OU]],0)</f>
        <v>0</v>
      </c>
      <c r="AD487" s="36" t="s">
        <v>40</v>
      </c>
      <c r="AE487" s="36">
        <v>28</v>
      </c>
      <c r="AF487" s="71">
        <v>4.43</v>
      </c>
      <c r="AG487" s="37">
        <v>0</v>
      </c>
      <c r="AH487" s="37">
        <v>0</v>
      </c>
      <c r="AI487" s="37">
        <v>97</v>
      </c>
      <c r="AJ487" s="37">
        <v>6</v>
      </c>
      <c r="AK487" s="37" t="str">
        <f>VLOOKUP(Mecze[[#This Row],[Match ID]],Meczusie[Mecz]:Meczusie[RodzajMeczu],2,FALSE)</f>
        <v>Liga</v>
      </c>
    </row>
    <row r="488" spans="1:37" x14ac:dyDescent="0.25">
      <c r="A488" s="76">
        <v>101</v>
      </c>
      <c r="B488" s="3" t="s">
        <v>248</v>
      </c>
      <c r="C488" s="2" t="s">
        <v>157</v>
      </c>
      <c r="D488" s="1">
        <v>0</v>
      </c>
      <c r="E488" s="1">
        <v>0</v>
      </c>
      <c r="F488" s="1">
        <v>0</v>
      </c>
      <c r="G488" s="1">
        <v>2</v>
      </c>
      <c r="H488" s="4">
        <v>1</v>
      </c>
      <c r="I488" s="1">
        <v>7</v>
      </c>
      <c r="J488" s="4">
        <v>0.56999999999999995</v>
      </c>
      <c r="K488" s="1">
        <v>0</v>
      </c>
      <c r="L488" s="1">
        <v>2</v>
      </c>
      <c r="M488" s="32">
        <f>IF(Mecze[[#This Row],[PR]]=0,0,Mecze[[#This Row],[PR]]/Mecze[[#This Row],[CZAS]])</f>
        <v>7.6923076923076927E-2</v>
      </c>
      <c r="N488" s="32">
        <f>IF(Mecze[[#This Row],[OU]]=0,0,Mecze[[#This Row],[OU]]/Mecze[[#This Row],[CZAS]])</f>
        <v>0.15384615384615385</v>
      </c>
      <c r="O488" s="32">
        <f>IF(Mecze[[#This Row],[PC]]=0,0,Mecze[[#This Row],[PC]]/Mecze[[#This Row],[CZAS]])</f>
        <v>7.6923076923076927E-2</v>
      </c>
      <c r="P488" s="32">
        <f>IF(Mecze[[#This Row],[SC]]=0,0,Mecze[[#This Row],[SC]]/Mecze[[#This Row],[CZAS]])</f>
        <v>0</v>
      </c>
      <c r="Q488" s="32">
        <f>IF(Mecze[[#This Row],[OB]]=0,0,Mecze[[#This Row],[OB]]/Mecze[[#This Row],[CZAS]])</f>
        <v>0</v>
      </c>
      <c r="R488" s="32">
        <f>IF(Mecze[[#This Row],[BR]]=0,0,Mecze[[#This Row],[BR]]/Mecze[[#This Row],[CZAS]])</f>
        <v>0</v>
      </c>
      <c r="S488" s="44">
        <f>IF(Mecze[[#This Row],[Role]]="BR",SUMPRODUCT(Mecze[[#This Row],[/PR:90]:[/BR:90]],Brudnopis!$E$23:$J$23),0)</f>
        <v>0</v>
      </c>
      <c r="T488" s="44">
        <f>IF(Mecze[[#This Row],[Role]]&lt;&gt;"BR",SUMPRODUCT(Mecze[[#This Row],[/PR:90]:[/BR:90]],Brudnopis!$E$24:$J$24),0)</f>
        <v>0.38461538461538464</v>
      </c>
      <c r="U488" s="44">
        <f>IF(Mecze[[#This Row],[Role]]&lt;&gt;"BR",SUMPRODUCT(Mecze[[#This Row],[/PR:90]:[/BR:90]],Brudnopis!$E$25:$J$25),0)</f>
        <v>0.34615384615384615</v>
      </c>
      <c r="V488" s="44">
        <f>IF(Mecze[[#This Row],[Role]]&lt;&gt;"BR",SUMPRODUCT(Mecze[[#This Row],[/PR:90]:[/BR:90]],Brudnopis!$E$26:$J$26),0)</f>
        <v>0.30769230769230771</v>
      </c>
      <c r="W488" s="44">
        <f>IF(Mecze[[#This Row],[Role]]&lt;&gt;"BR",SUMPRODUCT(Mecze[[#This Row],[/PR:90]:[/BR:90]],Brudnopis!$E$27:$J$27),0)</f>
        <v>0.28846153846153844</v>
      </c>
      <c r="X488" s="44">
        <f>IF(Mecze[[#This Row],[Role]]&lt;&gt;"BR",SUMPRODUCT(Mecze[[#This Row],[/PR:90]:[/BR:90]],Brudnopis!$E$28:$J$28),0)</f>
        <v>7.6923076923076927E-2</v>
      </c>
      <c r="Y488" s="35">
        <f>IF(Mecze[[#This Row],[Role]]="BR",Mecze[[#This Row],[/OB:90]]+Mecze[[#This Row],[/PC:90]],SUM(Mecze[[#This Row],[/PR:90]:[/BR:90]]))</f>
        <v>0.30769230769230771</v>
      </c>
      <c r="Z488" s="35">
        <f>IF(Mecze[[#This Row],[KC]]=0,SUM(Mecze[[#This Row],[/BRI]:[/NPI]]),SUM(Mecze[[#This Row],[/BRI]:[/NPI]])*0.6)</f>
        <v>0.84230769230769231</v>
      </c>
      <c r="AA488" s="10">
        <f>IFERROR(Mecze[[#This Row],[BR]]/Mecze[[#This Row],[ST]],0)</f>
        <v>0</v>
      </c>
      <c r="AB488">
        <f>ROUND(Mecze[[#This Row],[PD]]*Mecze[[#This Row],[%PC]],0)</f>
        <v>2</v>
      </c>
      <c r="AC488">
        <f>ROUND(Mecze[[#This Row],[OD]]*Mecze[[#This Row],[%OU]],0)</f>
        <v>4</v>
      </c>
      <c r="AD488" s="36" t="s">
        <v>47</v>
      </c>
      <c r="AE488" s="36">
        <v>28</v>
      </c>
      <c r="AF488" s="71">
        <v>-2.29</v>
      </c>
      <c r="AG488" s="37">
        <v>0</v>
      </c>
      <c r="AH488" s="37">
        <v>1</v>
      </c>
      <c r="AI488" s="37">
        <v>26</v>
      </c>
      <c r="AJ488" s="37">
        <v>6</v>
      </c>
      <c r="AK488" s="37" t="str">
        <f>VLOOKUP(Mecze[[#This Row],[Match ID]],Meczusie[Mecz]:Meczusie[RodzajMeczu],2,FALSE)</f>
        <v>Liga</v>
      </c>
    </row>
    <row r="489" spans="1:37" x14ac:dyDescent="0.25">
      <c r="A489" s="76">
        <v>2</v>
      </c>
      <c r="B489" s="3" t="s">
        <v>249</v>
      </c>
      <c r="C489" s="2" t="s">
        <v>157</v>
      </c>
      <c r="D489" s="1">
        <v>0</v>
      </c>
      <c r="E489" s="1">
        <v>0</v>
      </c>
      <c r="F489" s="1">
        <v>0</v>
      </c>
      <c r="G489" s="1">
        <v>7</v>
      </c>
      <c r="H489" s="4">
        <v>0.43</v>
      </c>
      <c r="I489" s="1">
        <v>8</v>
      </c>
      <c r="J489" s="4">
        <v>0.38</v>
      </c>
      <c r="K489" s="1">
        <v>0</v>
      </c>
      <c r="L489" s="1">
        <v>7</v>
      </c>
      <c r="M489" s="32">
        <f>IF(Mecze[[#This Row],[PR]]=0,0,Mecze[[#This Row],[PR]]/Mecze[[#This Row],[CZAS]])</f>
        <v>7.2164948453608241E-2</v>
      </c>
      <c r="N489" s="32">
        <f>IF(Mecze[[#This Row],[OU]]=0,0,Mecze[[#This Row],[OU]]/Mecze[[#This Row],[CZAS]])</f>
        <v>3.0927835051546393E-2</v>
      </c>
      <c r="O489" s="32">
        <f>IF(Mecze[[#This Row],[PC]]=0,0,Mecze[[#This Row],[PC]]/Mecze[[#This Row],[CZAS]])</f>
        <v>3.0927835051546393E-2</v>
      </c>
      <c r="P489" s="32">
        <f>IF(Mecze[[#This Row],[SC]]=0,0,Mecze[[#This Row],[SC]]/Mecze[[#This Row],[CZAS]])</f>
        <v>0</v>
      </c>
      <c r="Q489" s="32">
        <f>IF(Mecze[[#This Row],[OB]]=0,0,Mecze[[#This Row],[OB]]/Mecze[[#This Row],[CZAS]])</f>
        <v>0</v>
      </c>
      <c r="R489" s="32">
        <f>IF(Mecze[[#This Row],[BR]]=0,0,Mecze[[#This Row],[BR]]/Mecze[[#This Row],[CZAS]])</f>
        <v>0</v>
      </c>
      <c r="S489" s="44">
        <f>IF(Mecze[[#This Row],[Role]]="BR",SUMPRODUCT(Mecze[[#This Row],[/PR:90]:[/BR:90]],Brudnopis!$E$23:$J$23),0)</f>
        <v>0</v>
      </c>
      <c r="T489" s="44">
        <f>IF(Mecze[[#This Row],[Role]]&lt;&gt;"BR",SUMPRODUCT(Mecze[[#This Row],[/PR:90]:[/BR:90]],Brudnopis!$E$24:$J$24),0)</f>
        <v>0.14948453608247422</v>
      </c>
      <c r="U489" s="44">
        <f>IF(Mecze[[#This Row],[Role]]&lt;&gt;"BR",SUMPRODUCT(Mecze[[#This Row],[/PR:90]:[/BR:90]],Brudnopis!$E$25:$J$25),0)</f>
        <v>0.14948453608247422</v>
      </c>
      <c r="V489" s="44">
        <f>IF(Mecze[[#This Row],[Role]]&lt;&gt;"BR",SUMPRODUCT(Mecze[[#This Row],[/PR:90]:[/BR:90]],Brudnopis!$E$26:$J$26),0)</f>
        <v>0.13402061855670103</v>
      </c>
      <c r="W489" s="44">
        <f>IF(Mecze[[#This Row],[Role]]&lt;&gt;"BR",SUMPRODUCT(Mecze[[#This Row],[/PR:90]:[/BR:90]],Brudnopis!$E$27:$J$27),0)</f>
        <v>0.12371134020618557</v>
      </c>
      <c r="X489" s="44">
        <f>IF(Mecze[[#This Row],[Role]]&lt;&gt;"BR",SUMPRODUCT(Mecze[[#This Row],[/PR:90]:[/BR:90]],Brudnopis!$E$28:$J$28),0)</f>
        <v>3.0927835051546393E-2</v>
      </c>
      <c r="Y489" s="35">
        <f>IF(Mecze[[#This Row],[Role]]="BR",Mecze[[#This Row],[/OB:90]]+Mecze[[#This Row],[/PC:90]],SUM(Mecze[[#This Row],[/PR:90]:[/BR:90]]))</f>
        <v>0.13402061855670103</v>
      </c>
      <c r="Z489" s="35">
        <f>IF(Mecze[[#This Row],[KC]]=0,SUM(Mecze[[#This Row],[/BRI]:[/NPI]]),SUM(Mecze[[#This Row],[/BRI]:[/NPI]])*0.6)</f>
        <v>0.58762886597938147</v>
      </c>
      <c r="AA489" s="10">
        <f>IFERROR(Mecze[[#This Row],[BR]]/Mecze[[#This Row],[ST]],0)</f>
        <v>0</v>
      </c>
      <c r="AB489">
        <f>ROUND(Mecze[[#This Row],[PD]]*Mecze[[#This Row],[%PC]],0)</f>
        <v>3</v>
      </c>
      <c r="AC489">
        <f>ROUND(Mecze[[#This Row],[OD]]*Mecze[[#This Row],[%OU]],0)</f>
        <v>3</v>
      </c>
      <c r="AD489" s="36" t="s">
        <v>167</v>
      </c>
      <c r="AE489" s="36">
        <v>28</v>
      </c>
      <c r="AF489" s="71">
        <v>2.0499999999999998</v>
      </c>
      <c r="AG489" s="37">
        <v>0</v>
      </c>
      <c r="AH489" s="37">
        <v>0</v>
      </c>
      <c r="AI489" s="37">
        <v>97</v>
      </c>
      <c r="AJ489" s="37">
        <v>6</v>
      </c>
      <c r="AK489" s="37" t="str">
        <f>VLOOKUP(Mecze[[#This Row],[Match ID]],Meczusie[Mecz]:Meczusie[RodzajMeczu],2,FALSE)</f>
        <v>Liga</v>
      </c>
    </row>
    <row r="490" spans="1:37" x14ac:dyDescent="0.25">
      <c r="A490" s="76">
        <v>11</v>
      </c>
      <c r="B490" s="3" t="s">
        <v>250</v>
      </c>
      <c r="C490" s="2" t="s">
        <v>157</v>
      </c>
      <c r="D490" s="1">
        <v>0</v>
      </c>
      <c r="E490" s="1">
        <v>0</v>
      </c>
      <c r="F490" s="1">
        <v>0</v>
      </c>
      <c r="G490" s="1">
        <v>5</v>
      </c>
      <c r="H490" s="4">
        <v>0.6</v>
      </c>
      <c r="I490" s="1">
        <v>10</v>
      </c>
      <c r="J490" s="4">
        <v>0.5</v>
      </c>
      <c r="K490" s="1">
        <v>0</v>
      </c>
      <c r="L490" s="1">
        <v>4</v>
      </c>
      <c r="M490" s="32">
        <f>IF(Mecze[[#This Row],[PR]]=0,0,Mecze[[#This Row],[PR]]/Mecze[[#This Row],[CZAS]])</f>
        <v>4.1237113402061855E-2</v>
      </c>
      <c r="N490" s="32">
        <f>IF(Mecze[[#This Row],[OU]]=0,0,Mecze[[#This Row],[OU]]/Mecze[[#This Row],[CZAS]])</f>
        <v>5.1546391752577317E-2</v>
      </c>
      <c r="O490" s="32">
        <f>IF(Mecze[[#This Row],[PC]]=0,0,Mecze[[#This Row],[PC]]/Mecze[[#This Row],[CZAS]])</f>
        <v>3.0927835051546393E-2</v>
      </c>
      <c r="P490" s="32">
        <f>IF(Mecze[[#This Row],[SC]]=0,0,Mecze[[#This Row],[SC]]/Mecze[[#This Row],[CZAS]])</f>
        <v>0</v>
      </c>
      <c r="Q490" s="32">
        <f>IF(Mecze[[#This Row],[OB]]=0,0,Mecze[[#This Row],[OB]]/Mecze[[#This Row],[CZAS]])</f>
        <v>0</v>
      </c>
      <c r="R490" s="32">
        <f>IF(Mecze[[#This Row],[BR]]=0,0,Mecze[[#This Row],[BR]]/Mecze[[#This Row],[CZAS]])</f>
        <v>0</v>
      </c>
      <c r="S490" s="44">
        <f>IF(Mecze[[#This Row],[Role]]="BR",SUMPRODUCT(Mecze[[#This Row],[/PR:90]:[/BR:90]],Brudnopis!$E$23:$J$23),0)</f>
        <v>0</v>
      </c>
      <c r="T490" s="44">
        <f>IF(Mecze[[#This Row],[Role]]&lt;&gt;"BR",SUMPRODUCT(Mecze[[#This Row],[/PR:90]:[/BR:90]],Brudnopis!$E$24:$J$24),0)</f>
        <v>0.14948453608247422</v>
      </c>
      <c r="U490" s="44">
        <f>IF(Mecze[[#This Row],[Role]]&lt;&gt;"BR",SUMPRODUCT(Mecze[[#This Row],[/PR:90]:[/BR:90]],Brudnopis!$E$25:$J$25),0)</f>
        <v>0.13917525773195877</v>
      </c>
      <c r="V490" s="44">
        <f>IF(Mecze[[#This Row],[Role]]&lt;&gt;"BR",SUMPRODUCT(Mecze[[#This Row],[/PR:90]:[/BR:90]],Brudnopis!$E$26:$J$26),0)</f>
        <v>0.12371134020618557</v>
      </c>
      <c r="W490" s="44">
        <f>IF(Mecze[[#This Row],[Role]]&lt;&gt;"BR",SUMPRODUCT(Mecze[[#This Row],[/PR:90]:[/BR:90]],Brudnopis!$E$27:$J$27),0)</f>
        <v>0.11597938144329897</v>
      </c>
      <c r="X490" s="44">
        <f>IF(Mecze[[#This Row],[Role]]&lt;&gt;"BR",SUMPRODUCT(Mecze[[#This Row],[/PR:90]:[/BR:90]],Brudnopis!$E$28:$J$28),0)</f>
        <v>3.0927835051546393E-2</v>
      </c>
      <c r="Y490" s="35">
        <f>IF(Mecze[[#This Row],[Role]]="BR",Mecze[[#This Row],[/OB:90]]+Mecze[[#This Row],[/PC:90]],SUM(Mecze[[#This Row],[/PR:90]:[/BR:90]]))</f>
        <v>0.12371134020618557</v>
      </c>
      <c r="Z490" s="35">
        <f>IF(Mecze[[#This Row],[KC]]=0,SUM(Mecze[[#This Row],[/BRI]:[/NPI]]),SUM(Mecze[[#This Row],[/BRI]:[/NPI]])*0.6)</f>
        <v>0.55927835051546393</v>
      </c>
      <c r="AA490" s="10">
        <f>IFERROR(Mecze[[#This Row],[BR]]/Mecze[[#This Row],[ST]],0)</f>
        <v>0</v>
      </c>
      <c r="AB490">
        <f>ROUND(Mecze[[#This Row],[PD]]*Mecze[[#This Row],[%PC]],0)</f>
        <v>3</v>
      </c>
      <c r="AC490">
        <f>ROUND(Mecze[[#This Row],[OD]]*Mecze[[#This Row],[%OU]],0)</f>
        <v>5</v>
      </c>
      <c r="AD490" s="36" t="s">
        <v>168</v>
      </c>
      <c r="AE490" s="36">
        <v>28</v>
      </c>
      <c r="AF490" s="71">
        <v>2.54</v>
      </c>
      <c r="AG490" s="37">
        <v>0</v>
      </c>
      <c r="AH490" s="37">
        <v>0</v>
      </c>
      <c r="AI490" s="37">
        <v>97</v>
      </c>
      <c r="AJ490" s="37">
        <v>6</v>
      </c>
      <c r="AK490" s="37" t="str">
        <f>VLOOKUP(Mecze[[#This Row],[Match ID]],Meczusie[Mecz]:Meczusie[RodzajMeczu],2,FALSE)</f>
        <v>Liga</v>
      </c>
    </row>
    <row r="491" spans="1:37" x14ac:dyDescent="0.25">
      <c r="A491" s="76">
        <v>7</v>
      </c>
      <c r="B491" s="3" t="s">
        <v>251</v>
      </c>
      <c r="C491" s="2" t="s">
        <v>160</v>
      </c>
      <c r="D491" s="1">
        <v>0</v>
      </c>
      <c r="E491" s="1">
        <v>0</v>
      </c>
      <c r="F491" s="1">
        <v>0</v>
      </c>
      <c r="G491" s="1">
        <v>13</v>
      </c>
      <c r="H491" s="4">
        <v>0.85</v>
      </c>
      <c r="I491" s="1">
        <v>10</v>
      </c>
      <c r="J491" s="4">
        <v>0.5</v>
      </c>
      <c r="K491" s="1">
        <v>0</v>
      </c>
      <c r="L491" s="1">
        <v>4</v>
      </c>
      <c r="M491" s="32">
        <f>IF(Mecze[[#This Row],[PR]]=0,0,Mecze[[#This Row],[PR]]/Mecze[[#This Row],[CZAS]])</f>
        <v>4.1237113402061855E-2</v>
      </c>
      <c r="N491" s="32">
        <f>IF(Mecze[[#This Row],[OU]]=0,0,Mecze[[#This Row],[OU]]/Mecze[[#This Row],[CZAS]])</f>
        <v>5.1546391752577317E-2</v>
      </c>
      <c r="O491" s="32">
        <f>IF(Mecze[[#This Row],[PC]]=0,0,Mecze[[#This Row],[PC]]/Mecze[[#This Row],[CZAS]])</f>
        <v>0.1134020618556701</v>
      </c>
      <c r="P491" s="32">
        <f>IF(Mecze[[#This Row],[SC]]=0,0,Mecze[[#This Row],[SC]]/Mecze[[#This Row],[CZAS]])</f>
        <v>0</v>
      </c>
      <c r="Q491" s="32">
        <f>IF(Mecze[[#This Row],[OB]]=0,0,Mecze[[#This Row],[OB]]/Mecze[[#This Row],[CZAS]])</f>
        <v>0</v>
      </c>
      <c r="R491" s="32">
        <f>IF(Mecze[[#This Row],[BR]]=0,0,Mecze[[#This Row],[BR]]/Mecze[[#This Row],[CZAS]])</f>
        <v>0</v>
      </c>
      <c r="S491" s="44">
        <f>IF(Mecze[[#This Row],[Role]]="BR",SUMPRODUCT(Mecze[[#This Row],[/PR:90]:[/BR:90]],Brudnopis!$E$23:$J$23),0)</f>
        <v>0</v>
      </c>
      <c r="T491" s="44">
        <f>IF(Mecze[[#This Row],[Role]]&lt;&gt;"BR",SUMPRODUCT(Mecze[[#This Row],[/PR:90]:[/BR:90]],Brudnopis!$E$24:$J$24),0)</f>
        <v>0.23195876288659795</v>
      </c>
      <c r="U491" s="44">
        <f>IF(Mecze[[#This Row],[Role]]&lt;&gt;"BR",SUMPRODUCT(Mecze[[#This Row],[/PR:90]:[/BR:90]],Brudnopis!$E$25:$J$25),0)</f>
        <v>0.26288659793814434</v>
      </c>
      <c r="V491" s="44">
        <f>IF(Mecze[[#This Row],[Role]]&lt;&gt;"BR",SUMPRODUCT(Mecze[[#This Row],[/PR:90]:[/BR:90]],Brudnopis!$E$26:$J$26),0)</f>
        <v>0.20618556701030927</v>
      </c>
      <c r="W491" s="44">
        <f>IF(Mecze[[#This Row],[Role]]&lt;&gt;"BR",SUMPRODUCT(Mecze[[#This Row],[/PR:90]:[/BR:90]],Brudnopis!$E$27:$J$27),0)</f>
        <v>0.23969072164948454</v>
      </c>
      <c r="X491" s="44">
        <f>IF(Mecze[[#This Row],[Role]]&lt;&gt;"BR",SUMPRODUCT(Mecze[[#This Row],[/PR:90]:[/BR:90]],Brudnopis!$E$28:$J$28),0)</f>
        <v>0.1134020618556701</v>
      </c>
      <c r="Y491" s="35">
        <f>IF(Mecze[[#This Row],[Role]]="BR",Mecze[[#This Row],[/OB:90]]+Mecze[[#This Row],[/PC:90]],SUM(Mecze[[#This Row],[/PR:90]:[/BR:90]]))</f>
        <v>0.20618556701030927</v>
      </c>
      <c r="Z491" s="35">
        <f>IF(Mecze[[#This Row],[KC]]=0,SUM(Mecze[[#This Row],[/BRI]:[/NPI]]),SUM(Mecze[[#This Row],[/BRI]:[/NPI]])*0.6)</f>
        <v>1.0541237113402062</v>
      </c>
      <c r="AA491" s="10">
        <f>IFERROR(Mecze[[#This Row],[BR]]/Mecze[[#This Row],[ST]],0)</f>
        <v>0</v>
      </c>
      <c r="AB491">
        <f>ROUND(Mecze[[#This Row],[PD]]*Mecze[[#This Row],[%PC]],0)</f>
        <v>11</v>
      </c>
      <c r="AC491">
        <f>ROUND(Mecze[[#This Row],[OD]]*Mecze[[#This Row],[%OU]],0)</f>
        <v>5</v>
      </c>
      <c r="AD491" s="36" t="s">
        <v>41</v>
      </c>
      <c r="AE491" s="36">
        <v>28</v>
      </c>
      <c r="AF491" s="71">
        <v>5.66</v>
      </c>
      <c r="AG491" s="37">
        <v>0</v>
      </c>
      <c r="AH491" s="37">
        <v>0</v>
      </c>
      <c r="AI491" s="37">
        <v>97</v>
      </c>
      <c r="AJ491" s="37">
        <v>6</v>
      </c>
      <c r="AK491" s="37" t="str">
        <f>VLOOKUP(Mecze[[#This Row],[Match ID]],Meczusie[Mecz]:Meczusie[RodzajMeczu],2,FALSE)</f>
        <v>Liga</v>
      </c>
    </row>
    <row r="492" spans="1:37" x14ac:dyDescent="0.25">
      <c r="A492" s="76">
        <v>10</v>
      </c>
      <c r="B492" s="3" t="s">
        <v>252</v>
      </c>
      <c r="C492" s="2" t="s">
        <v>160</v>
      </c>
      <c r="D492" s="1">
        <v>0</v>
      </c>
      <c r="E492" s="1">
        <v>0</v>
      </c>
      <c r="F492" s="1">
        <v>0</v>
      </c>
      <c r="G492" s="1">
        <v>7</v>
      </c>
      <c r="H492" s="4">
        <v>1</v>
      </c>
      <c r="I492" s="1">
        <v>4</v>
      </c>
      <c r="J492" s="4">
        <v>0.5</v>
      </c>
      <c r="K492" s="1">
        <v>0</v>
      </c>
      <c r="L492" s="1">
        <v>4</v>
      </c>
      <c r="M492" s="32">
        <f>IF(Mecze[[#This Row],[PR]]=0,0,Mecze[[#This Row],[PR]]/Mecze[[#This Row],[CZAS]])</f>
        <v>5.128205128205128E-2</v>
      </c>
      <c r="N492" s="32">
        <f>IF(Mecze[[#This Row],[OU]]=0,0,Mecze[[#This Row],[OU]]/Mecze[[#This Row],[CZAS]])</f>
        <v>2.564102564102564E-2</v>
      </c>
      <c r="O492" s="32">
        <f>IF(Mecze[[#This Row],[PC]]=0,0,Mecze[[#This Row],[PC]]/Mecze[[#This Row],[CZAS]])</f>
        <v>8.9743589743589744E-2</v>
      </c>
      <c r="P492" s="32">
        <f>IF(Mecze[[#This Row],[SC]]=0,0,Mecze[[#This Row],[SC]]/Mecze[[#This Row],[CZAS]])</f>
        <v>0</v>
      </c>
      <c r="Q492" s="32">
        <f>IF(Mecze[[#This Row],[OB]]=0,0,Mecze[[#This Row],[OB]]/Mecze[[#This Row],[CZAS]])</f>
        <v>0</v>
      </c>
      <c r="R492" s="32">
        <f>IF(Mecze[[#This Row],[BR]]=0,0,Mecze[[#This Row],[BR]]/Mecze[[#This Row],[CZAS]])</f>
        <v>0</v>
      </c>
      <c r="S492" s="44">
        <f>IF(Mecze[[#This Row],[Role]]="BR",SUMPRODUCT(Mecze[[#This Row],[/PR:90]:[/BR:90]],Brudnopis!$E$23:$J$23),0)</f>
        <v>0</v>
      </c>
      <c r="T492" s="44">
        <f>IF(Mecze[[#This Row],[Role]]&lt;&gt;"BR",SUMPRODUCT(Mecze[[#This Row],[/PR:90]:[/BR:90]],Brudnopis!$E$24:$J$24),0)</f>
        <v>0.17948717948717949</v>
      </c>
      <c r="U492" s="44">
        <f>IF(Mecze[[#This Row],[Role]]&lt;&gt;"BR",SUMPRODUCT(Mecze[[#This Row],[/PR:90]:[/BR:90]],Brudnopis!$E$25:$J$25),0)</f>
        <v>0.21153846153846154</v>
      </c>
      <c r="V492" s="44">
        <f>IF(Mecze[[#This Row],[Role]]&lt;&gt;"BR",SUMPRODUCT(Mecze[[#This Row],[/PR:90]:[/BR:90]],Brudnopis!$E$26:$J$26),0)</f>
        <v>0.16666666666666669</v>
      </c>
      <c r="W492" s="44">
        <f>IF(Mecze[[#This Row],[Role]]&lt;&gt;"BR",SUMPRODUCT(Mecze[[#This Row],[/PR:90]:[/BR:90]],Brudnopis!$E$27:$J$27),0)</f>
        <v>0.19230769230769229</v>
      </c>
      <c r="X492" s="44">
        <f>IF(Mecze[[#This Row],[Role]]&lt;&gt;"BR",SUMPRODUCT(Mecze[[#This Row],[/PR:90]:[/BR:90]],Brudnopis!$E$28:$J$28),0)</f>
        <v>8.9743589743589744E-2</v>
      </c>
      <c r="Y492" s="35">
        <f>IF(Mecze[[#This Row],[Role]]="BR",Mecze[[#This Row],[/OB:90]]+Mecze[[#This Row],[/PC:90]],SUM(Mecze[[#This Row],[/PR:90]:[/BR:90]]))</f>
        <v>0.16666666666666669</v>
      </c>
      <c r="Z492" s="35">
        <f>IF(Mecze[[#This Row],[KC]]=0,SUM(Mecze[[#This Row],[/BRI]:[/NPI]]),SUM(Mecze[[#This Row],[/BRI]:[/NPI]])*0.6)</f>
        <v>0.83974358974358976</v>
      </c>
      <c r="AA492" s="10">
        <f>IFERROR(Mecze[[#This Row],[BR]]/Mecze[[#This Row],[ST]],0)</f>
        <v>0</v>
      </c>
      <c r="AB492">
        <f>ROUND(Mecze[[#This Row],[PD]]*Mecze[[#This Row],[%PC]],0)</f>
        <v>7</v>
      </c>
      <c r="AC492">
        <f>ROUND(Mecze[[#This Row],[OD]]*Mecze[[#This Row],[%OU]],0)</f>
        <v>2</v>
      </c>
      <c r="AD492" s="36" t="s">
        <v>318</v>
      </c>
      <c r="AE492" s="36">
        <v>28</v>
      </c>
      <c r="AF492" s="71">
        <v>6.87</v>
      </c>
      <c r="AG492" s="37">
        <v>0</v>
      </c>
      <c r="AH492" s="37">
        <v>0</v>
      </c>
      <c r="AI492" s="37">
        <v>78</v>
      </c>
      <c r="AJ492" s="37">
        <v>6</v>
      </c>
      <c r="AK492" s="37" t="str">
        <f>VLOOKUP(Mecze[[#This Row],[Match ID]],Meczusie[Mecz]:Meczusie[RodzajMeczu],2,FALSE)</f>
        <v>Liga</v>
      </c>
    </row>
    <row r="493" spans="1:37" x14ac:dyDescent="0.25">
      <c r="A493" s="76">
        <v>3</v>
      </c>
      <c r="B493" s="3" t="s">
        <v>253</v>
      </c>
      <c r="C493" s="2" t="s">
        <v>160</v>
      </c>
      <c r="D493" s="1">
        <v>0</v>
      </c>
      <c r="E493" s="1">
        <v>0</v>
      </c>
      <c r="F493" s="1">
        <v>0</v>
      </c>
      <c r="G493" s="1">
        <v>9</v>
      </c>
      <c r="H493" s="4">
        <v>0.44</v>
      </c>
      <c r="I493" s="1">
        <v>4</v>
      </c>
      <c r="J493" s="4">
        <v>0.25</v>
      </c>
      <c r="K493" s="1">
        <v>0</v>
      </c>
      <c r="L493" s="1">
        <v>3</v>
      </c>
      <c r="M493" s="32">
        <f>IF(Mecze[[#This Row],[PR]]=0,0,Mecze[[#This Row],[PR]]/Mecze[[#This Row],[CZAS]])</f>
        <v>3.0927835051546393E-2</v>
      </c>
      <c r="N493" s="32">
        <f>IF(Mecze[[#This Row],[OU]]=0,0,Mecze[[#This Row],[OU]]/Mecze[[#This Row],[CZAS]])</f>
        <v>1.0309278350515464E-2</v>
      </c>
      <c r="O493" s="32">
        <f>IF(Mecze[[#This Row],[PC]]=0,0,Mecze[[#This Row],[PC]]/Mecze[[#This Row],[CZAS]])</f>
        <v>4.1237113402061855E-2</v>
      </c>
      <c r="P493" s="32">
        <f>IF(Mecze[[#This Row],[SC]]=0,0,Mecze[[#This Row],[SC]]/Mecze[[#This Row],[CZAS]])</f>
        <v>0</v>
      </c>
      <c r="Q493" s="32">
        <f>IF(Mecze[[#This Row],[OB]]=0,0,Mecze[[#This Row],[OB]]/Mecze[[#This Row],[CZAS]])</f>
        <v>0</v>
      </c>
      <c r="R493" s="32">
        <f>IF(Mecze[[#This Row],[BR]]=0,0,Mecze[[#This Row],[BR]]/Mecze[[#This Row],[CZAS]])</f>
        <v>0</v>
      </c>
      <c r="S493" s="44">
        <f>IF(Mecze[[#This Row],[Role]]="BR",SUMPRODUCT(Mecze[[#This Row],[/PR:90]:[/BR:90]],Brudnopis!$E$23:$J$23),0)</f>
        <v>0</v>
      </c>
      <c r="T493" s="44">
        <f>IF(Mecze[[#This Row],[Role]]&lt;&gt;"BR",SUMPRODUCT(Mecze[[#This Row],[/PR:90]:[/BR:90]],Brudnopis!$E$24:$J$24),0)</f>
        <v>8.7628865979381437E-2</v>
      </c>
      <c r="U493" s="44">
        <f>IF(Mecze[[#This Row],[Role]]&lt;&gt;"BR",SUMPRODUCT(Mecze[[#This Row],[/PR:90]:[/BR:90]],Brudnopis!$E$25:$J$25),0)</f>
        <v>0.10309278350515463</v>
      </c>
      <c r="V493" s="44">
        <f>IF(Mecze[[#This Row],[Role]]&lt;&gt;"BR",SUMPRODUCT(Mecze[[#This Row],[/PR:90]:[/BR:90]],Brudnopis!$E$26:$J$26),0)</f>
        <v>8.247422680412371E-2</v>
      </c>
      <c r="W493" s="44">
        <f>IF(Mecze[[#This Row],[Role]]&lt;&gt;"BR",SUMPRODUCT(Mecze[[#This Row],[/PR:90]:[/BR:90]],Brudnopis!$E$27:$J$27),0)</f>
        <v>9.2783505154639179E-2</v>
      </c>
      <c r="X493" s="44">
        <f>IF(Mecze[[#This Row],[Role]]&lt;&gt;"BR",SUMPRODUCT(Mecze[[#This Row],[/PR:90]:[/BR:90]],Brudnopis!$E$28:$J$28),0)</f>
        <v>4.1237113402061855E-2</v>
      </c>
      <c r="Y493" s="35">
        <f>IF(Mecze[[#This Row],[Role]]="BR",Mecze[[#This Row],[/OB:90]]+Mecze[[#This Row],[/PC:90]],SUM(Mecze[[#This Row],[/PR:90]:[/BR:90]]))</f>
        <v>8.247422680412371E-2</v>
      </c>
      <c r="Z493" s="35">
        <f>IF(Mecze[[#This Row],[KC]]=0,SUM(Mecze[[#This Row],[/BRI]:[/NPI]]),SUM(Mecze[[#This Row],[/BRI]:[/NPI]])*0.6)</f>
        <v>0.40721649484536082</v>
      </c>
      <c r="AA493" s="10">
        <f>IFERROR(Mecze[[#This Row],[BR]]/Mecze[[#This Row],[ST]],0)</f>
        <v>0</v>
      </c>
      <c r="AB493">
        <f>ROUND(Mecze[[#This Row],[PD]]*Mecze[[#This Row],[%PC]],0)</f>
        <v>4</v>
      </c>
      <c r="AC493">
        <f>ROUND(Mecze[[#This Row],[OD]]*Mecze[[#This Row],[%OU]],0)</f>
        <v>1</v>
      </c>
      <c r="AD493" s="36" t="s">
        <v>319</v>
      </c>
      <c r="AE493" s="36">
        <v>28</v>
      </c>
      <c r="AF493" s="71">
        <v>3.33</v>
      </c>
      <c r="AG493" s="37">
        <v>0</v>
      </c>
      <c r="AH493" s="37">
        <v>0</v>
      </c>
      <c r="AI493" s="37">
        <v>97</v>
      </c>
      <c r="AJ493" s="37">
        <v>6</v>
      </c>
      <c r="AK493" s="37" t="str">
        <f>VLOOKUP(Mecze[[#This Row],[Match ID]],Meczusie[Mecz]:Meczusie[RodzajMeczu],2,FALSE)</f>
        <v>Liga</v>
      </c>
    </row>
    <row r="494" spans="1:37" x14ac:dyDescent="0.25">
      <c r="A494" s="76">
        <v>8</v>
      </c>
      <c r="B494" s="3" t="s">
        <v>254</v>
      </c>
      <c r="C494" s="2" t="s">
        <v>160</v>
      </c>
      <c r="D494" s="1">
        <v>0</v>
      </c>
      <c r="E494" s="1">
        <v>6</v>
      </c>
      <c r="F494" s="1">
        <v>5</v>
      </c>
      <c r="G494" s="1">
        <v>10</v>
      </c>
      <c r="H494" s="4">
        <v>0.7</v>
      </c>
      <c r="I494" s="1">
        <v>4</v>
      </c>
      <c r="J494" s="4">
        <v>0</v>
      </c>
      <c r="K494" s="1">
        <v>0</v>
      </c>
      <c r="L494" s="1">
        <v>3</v>
      </c>
      <c r="M494" s="32">
        <f>IF(Mecze[[#This Row],[PR]]=0,0,Mecze[[#This Row],[PR]]/Mecze[[#This Row],[CZAS]])</f>
        <v>3.0927835051546393E-2</v>
      </c>
      <c r="N494" s="32">
        <f>IF(Mecze[[#This Row],[OU]]=0,0,Mecze[[#This Row],[OU]]/Mecze[[#This Row],[CZAS]])</f>
        <v>0</v>
      </c>
      <c r="O494" s="32">
        <f>IF(Mecze[[#This Row],[PC]]=0,0,Mecze[[#This Row],[PC]]/Mecze[[#This Row],[CZAS]])</f>
        <v>7.2164948453608241E-2</v>
      </c>
      <c r="P494" s="32">
        <f>IF(Mecze[[#This Row],[SC]]=0,0,Mecze[[#This Row],[SC]]/Mecze[[#This Row],[CZAS]])</f>
        <v>5.1546391752577317E-2</v>
      </c>
      <c r="Q494" s="32">
        <f>IF(Mecze[[#This Row],[OB]]=0,0,Mecze[[#This Row],[OB]]/Mecze[[#This Row],[CZAS]])</f>
        <v>0</v>
      </c>
      <c r="R494" s="32">
        <f>IF(Mecze[[#This Row],[BR]]=0,0,Mecze[[#This Row],[BR]]/Mecze[[#This Row],[CZAS]])</f>
        <v>0</v>
      </c>
      <c r="S494" s="44">
        <f>IF(Mecze[[#This Row],[Role]]="BR",SUMPRODUCT(Mecze[[#This Row],[/PR:90]:[/BR:90]],Brudnopis!$E$23:$J$23),0)</f>
        <v>0</v>
      </c>
      <c r="T494" s="44">
        <f>IF(Mecze[[#This Row],[Role]]&lt;&gt;"BR",SUMPRODUCT(Mecze[[#This Row],[/PR:90]:[/BR:90]],Brudnopis!$E$24:$J$24),0)</f>
        <v>0.15463917525773196</v>
      </c>
      <c r="U494" s="44">
        <f>IF(Mecze[[#This Row],[Role]]&lt;&gt;"BR",SUMPRODUCT(Mecze[[#This Row],[/PR:90]:[/BR:90]],Brudnopis!$E$25:$J$25),0)</f>
        <v>0.19072164948453607</v>
      </c>
      <c r="V494" s="44">
        <f>IF(Mecze[[#This Row],[Role]]&lt;&gt;"BR",SUMPRODUCT(Mecze[[#This Row],[/PR:90]:[/BR:90]],Brudnopis!$E$26:$J$26),0)</f>
        <v>0.15463917525773196</v>
      </c>
      <c r="W494" s="44">
        <f>IF(Mecze[[#This Row],[Role]]&lt;&gt;"BR",SUMPRODUCT(Mecze[[#This Row],[/PR:90]:[/BR:90]],Brudnopis!$E$27:$J$27),0)</f>
        <v>0.18298969072164945</v>
      </c>
      <c r="X494" s="44">
        <f>IF(Mecze[[#This Row],[Role]]&lt;&gt;"BR",SUMPRODUCT(Mecze[[#This Row],[/PR:90]:[/BR:90]],Brudnopis!$E$28:$J$28),0)</f>
        <v>0.17525773195876287</v>
      </c>
      <c r="Y494" s="35">
        <f>IF(Mecze[[#This Row],[Role]]="BR",Mecze[[#This Row],[/OB:90]]+Mecze[[#This Row],[/PC:90]],SUM(Mecze[[#This Row],[/PR:90]:[/BR:90]]))</f>
        <v>0.15463917525773196</v>
      </c>
      <c r="Z494" s="35">
        <f>IF(Mecze[[#This Row],[KC]]=0,SUM(Mecze[[#This Row],[/BRI]:[/NPI]]),SUM(Mecze[[#This Row],[/BRI]:[/NPI]])*0.6)</f>
        <v>0.85824742268041243</v>
      </c>
      <c r="AA494" s="10">
        <f>IFERROR(Mecze[[#This Row],[BR]]/Mecze[[#This Row],[ST]],0)</f>
        <v>0</v>
      </c>
      <c r="AB494">
        <f>ROUND(Mecze[[#This Row],[PD]]*Mecze[[#This Row],[%PC]],0)</f>
        <v>7</v>
      </c>
      <c r="AC494">
        <f>ROUND(Mecze[[#This Row],[OD]]*Mecze[[#This Row],[%OU]],0)</f>
        <v>0</v>
      </c>
      <c r="AD494" s="36" t="s">
        <v>44</v>
      </c>
      <c r="AE494" s="36">
        <v>28</v>
      </c>
      <c r="AF494" s="71">
        <v>5.69</v>
      </c>
      <c r="AG494" s="37">
        <v>0</v>
      </c>
      <c r="AH494" s="37">
        <v>0</v>
      </c>
      <c r="AI494" s="37">
        <v>97</v>
      </c>
      <c r="AJ494" s="37">
        <v>6</v>
      </c>
      <c r="AK494" s="37" t="str">
        <f>VLOOKUP(Mecze[[#This Row],[Match ID]],Meczusie[Mecz]:Meczusie[RodzajMeczu],2,FALSE)</f>
        <v>Liga</v>
      </c>
    </row>
    <row r="495" spans="1:37" x14ac:dyDescent="0.25">
      <c r="A495" s="76">
        <v>6</v>
      </c>
      <c r="B495" s="3" t="s">
        <v>255</v>
      </c>
      <c r="C495" s="2" t="s">
        <v>165</v>
      </c>
      <c r="D495" s="1">
        <v>0</v>
      </c>
      <c r="E495" s="1">
        <v>0</v>
      </c>
      <c r="F495" s="1">
        <v>0</v>
      </c>
      <c r="G495" s="1">
        <v>2</v>
      </c>
      <c r="H495" s="4">
        <v>0</v>
      </c>
      <c r="I495" s="1">
        <v>0</v>
      </c>
      <c r="J495" s="4"/>
      <c r="K495" s="1">
        <v>0</v>
      </c>
      <c r="L495" s="1">
        <v>0</v>
      </c>
      <c r="M495" s="32">
        <f>IF(Mecze[[#This Row],[PR]]=0,0,Mecze[[#This Row],[PR]]/Mecze[[#This Row],[CZAS]])</f>
        <v>0</v>
      </c>
      <c r="N495" s="32">
        <f>IF(Mecze[[#This Row],[OU]]=0,0,Mecze[[#This Row],[OU]]/Mecze[[#This Row],[CZAS]])</f>
        <v>0</v>
      </c>
      <c r="O495" s="32">
        <f>IF(Mecze[[#This Row],[PC]]=0,0,Mecze[[#This Row],[PC]]/Mecze[[#This Row],[CZAS]])</f>
        <v>0</v>
      </c>
      <c r="P495" s="32">
        <f>IF(Mecze[[#This Row],[SC]]=0,0,Mecze[[#This Row],[SC]]/Mecze[[#This Row],[CZAS]])</f>
        <v>0</v>
      </c>
      <c r="Q495" s="32">
        <f>IF(Mecze[[#This Row],[OB]]=0,0,Mecze[[#This Row],[OB]]/Mecze[[#This Row],[CZAS]])</f>
        <v>0</v>
      </c>
      <c r="R495" s="32">
        <f>IF(Mecze[[#This Row],[BR]]=0,0,Mecze[[#This Row],[BR]]/Mecze[[#This Row],[CZAS]])</f>
        <v>0</v>
      </c>
      <c r="S495" s="44">
        <f>IF(Mecze[[#This Row],[Role]]="BR",SUMPRODUCT(Mecze[[#This Row],[/PR:90]:[/BR:90]],Brudnopis!$E$23:$J$23),0)</f>
        <v>0</v>
      </c>
      <c r="T495" s="44">
        <f>IF(Mecze[[#This Row],[Role]]&lt;&gt;"BR",SUMPRODUCT(Mecze[[#This Row],[/PR:90]:[/BR:90]],Brudnopis!$E$24:$J$24),0)</f>
        <v>0</v>
      </c>
      <c r="U495" s="44">
        <f>IF(Mecze[[#This Row],[Role]]&lt;&gt;"BR",SUMPRODUCT(Mecze[[#This Row],[/PR:90]:[/BR:90]],Brudnopis!$E$25:$J$25),0)</f>
        <v>0</v>
      </c>
      <c r="V495" s="44">
        <f>IF(Mecze[[#This Row],[Role]]&lt;&gt;"BR",SUMPRODUCT(Mecze[[#This Row],[/PR:90]:[/BR:90]],Brudnopis!$E$26:$J$26),0)</f>
        <v>0</v>
      </c>
      <c r="W495" s="44">
        <f>IF(Mecze[[#This Row],[Role]]&lt;&gt;"BR",SUMPRODUCT(Mecze[[#This Row],[/PR:90]:[/BR:90]],Brudnopis!$E$27:$J$27),0)</f>
        <v>0</v>
      </c>
      <c r="X495" s="44">
        <f>IF(Mecze[[#This Row],[Role]]&lt;&gt;"BR",SUMPRODUCT(Mecze[[#This Row],[/PR:90]:[/BR:90]],Brudnopis!$E$28:$J$28),0)</f>
        <v>0</v>
      </c>
      <c r="Y495" s="35">
        <f>IF(Mecze[[#This Row],[Role]]="BR",Mecze[[#This Row],[/OB:90]]+Mecze[[#This Row],[/PC:90]],SUM(Mecze[[#This Row],[/PR:90]:[/BR:90]]))</f>
        <v>0</v>
      </c>
      <c r="Z495" s="35">
        <f>IF(Mecze[[#This Row],[KC]]=0,SUM(Mecze[[#This Row],[/BRI]:[/NPI]]),SUM(Mecze[[#This Row],[/BRI]:[/NPI]])*0.6)</f>
        <v>0</v>
      </c>
      <c r="AA495" s="10">
        <f>IFERROR(Mecze[[#This Row],[BR]]/Mecze[[#This Row],[ST]],0)</f>
        <v>0</v>
      </c>
      <c r="AB495">
        <f>ROUND(Mecze[[#This Row],[PD]]*Mecze[[#This Row],[%PC]],0)</f>
        <v>0</v>
      </c>
      <c r="AC495">
        <f>ROUND(Mecze[[#This Row],[OD]]*Mecze[[#This Row],[%OU]],0)</f>
        <v>0</v>
      </c>
      <c r="AD495" s="36" t="s">
        <v>232</v>
      </c>
      <c r="AE495" s="36">
        <v>28</v>
      </c>
      <c r="AF495" s="71">
        <v>2.71</v>
      </c>
      <c r="AG495" s="37">
        <v>0</v>
      </c>
      <c r="AH495" s="37">
        <v>0</v>
      </c>
      <c r="AI495" s="37">
        <v>97</v>
      </c>
      <c r="AJ495" s="37">
        <v>6</v>
      </c>
      <c r="AK495" s="37" t="str">
        <f>VLOOKUP(Mecze[[#This Row],[Match ID]],Meczusie[Mecz]:Meczusie[RodzajMeczu],2,FALSE)</f>
        <v>Liga</v>
      </c>
    </row>
    <row r="496" spans="1:37" x14ac:dyDescent="0.25">
      <c r="A496" s="76">
        <v>5</v>
      </c>
      <c r="B496" s="3" t="s">
        <v>256</v>
      </c>
      <c r="C496" s="2" t="s">
        <v>165</v>
      </c>
      <c r="D496" s="1">
        <v>0</v>
      </c>
      <c r="E496" s="1">
        <v>3</v>
      </c>
      <c r="F496" s="1">
        <v>2</v>
      </c>
      <c r="G496" s="1">
        <v>11</v>
      </c>
      <c r="H496" s="4">
        <v>0.91</v>
      </c>
      <c r="I496" s="1">
        <v>4</v>
      </c>
      <c r="J496" s="4">
        <v>0.25</v>
      </c>
      <c r="K496" s="1">
        <v>0</v>
      </c>
      <c r="L496" s="1">
        <v>2</v>
      </c>
      <c r="M496" s="32">
        <f>IF(Mecze[[#This Row],[PR]]=0,0,Mecze[[#This Row],[PR]]/Mecze[[#This Row],[CZAS]])</f>
        <v>2.0618556701030927E-2</v>
      </c>
      <c r="N496" s="32">
        <f>IF(Mecze[[#This Row],[OU]]=0,0,Mecze[[#This Row],[OU]]/Mecze[[#This Row],[CZAS]])</f>
        <v>1.0309278350515464E-2</v>
      </c>
      <c r="O496" s="32">
        <f>IF(Mecze[[#This Row],[PC]]=0,0,Mecze[[#This Row],[PC]]/Mecze[[#This Row],[CZAS]])</f>
        <v>0.10309278350515463</v>
      </c>
      <c r="P496" s="32">
        <f>IF(Mecze[[#This Row],[SC]]=0,0,Mecze[[#This Row],[SC]]/Mecze[[#This Row],[CZAS]])</f>
        <v>2.0618556701030927E-2</v>
      </c>
      <c r="Q496" s="32">
        <f>IF(Mecze[[#This Row],[OB]]=0,0,Mecze[[#This Row],[OB]]/Mecze[[#This Row],[CZAS]])</f>
        <v>0</v>
      </c>
      <c r="R496" s="32">
        <f>IF(Mecze[[#This Row],[BR]]=0,0,Mecze[[#This Row],[BR]]/Mecze[[#This Row],[CZAS]])</f>
        <v>0</v>
      </c>
      <c r="S496" s="44">
        <f>IF(Mecze[[#This Row],[Role]]="BR",SUMPRODUCT(Mecze[[#This Row],[/PR:90]:[/BR:90]],Brudnopis!$E$23:$J$23),0)</f>
        <v>0</v>
      </c>
      <c r="T496" s="44">
        <f>IF(Mecze[[#This Row],[Role]]&lt;&gt;"BR",SUMPRODUCT(Mecze[[#This Row],[/PR:90]:[/BR:90]],Brudnopis!$E$24:$J$24),0)</f>
        <v>0.15979381443298971</v>
      </c>
      <c r="U496" s="44">
        <f>IF(Mecze[[#This Row],[Role]]&lt;&gt;"BR",SUMPRODUCT(Mecze[[#This Row],[/PR:90]:[/BR:90]],Brudnopis!$E$25:$J$25),0)</f>
        <v>0.2061855670103093</v>
      </c>
      <c r="V496" s="44">
        <f>IF(Mecze[[#This Row],[Role]]&lt;&gt;"BR",SUMPRODUCT(Mecze[[#This Row],[/PR:90]:[/BR:90]],Brudnopis!$E$26:$J$26),0)</f>
        <v>0.15463917525773196</v>
      </c>
      <c r="W496" s="44">
        <f>IF(Mecze[[#This Row],[Role]]&lt;&gt;"BR",SUMPRODUCT(Mecze[[#This Row],[/PR:90]:[/BR:90]],Brudnopis!$E$27:$J$27),0)</f>
        <v>0.1984536082474227</v>
      </c>
      <c r="X496" s="44">
        <f>IF(Mecze[[#This Row],[Role]]&lt;&gt;"BR",SUMPRODUCT(Mecze[[#This Row],[/PR:90]:[/BR:90]],Brudnopis!$E$28:$J$28),0)</f>
        <v>0.14432989690721648</v>
      </c>
      <c r="Y496" s="35">
        <f>IF(Mecze[[#This Row],[Role]]="BR",Mecze[[#This Row],[/OB:90]]+Mecze[[#This Row],[/PC:90]],SUM(Mecze[[#This Row],[/PR:90]:[/BR:90]]))</f>
        <v>0.15463917525773196</v>
      </c>
      <c r="Z496" s="35">
        <f>IF(Mecze[[#This Row],[KC]]=0,SUM(Mecze[[#This Row],[/BRI]:[/NPI]]),SUM(Mecze[[#This Row],[/BRI]:[/NPI]])*0.6)</f>
        <v>0.86340206185567014</v>
      </c>
      <c r="AA496" s="10">
        <f>IFERROR(Mecze[[#This Row],[BR]]/Mecze[[#This Row],[ST]],0)</f>
        <v>0</v>
      </c>
      <c r="AB496">
        <f>ROUND(Mecze[[#This Row],[PD]]*Mecze[[#This Row],[%PC]],0)</f>
        <v>10</v>
      </c>
      <c r="AC496">
        <f>ROUND(Mecze[[#This Row],[OD]]*Mecze[[#This Row],[%OU]],0)</f>
        <v>1</v>
      </c>
      <c r="AD496" s="36" t="s">
        <v>46</v>
      </c>
      <c r="AE496" s="36">
        <v>28</v>
      </c>
      <c r="AF496" s="71">
        <v>5.4</v>
      </c>
      <c r="AG496" s="37">
        <v>0</v>
      </c>
      <c r="AH496" s="37">
        <v>0</v>
      </c>
      <c r="AI496" s="37">
        <v>97</v>
      </c>
      <c r="AJ496" s="37">
        <v>6</v>
      </c>
      <c r="AK496" s="37" t="str">
        <f>VLOOKUP(Mecze[[#This Row],[Match ID]],Meczusie[Mecz]:Meczusie[RodzajMeczu],2,FALSE)</f>
        <v>Liga</v>
      </c>
    </row>
    <row r="497" spans="1:37" x14ac:dyDescent="0.25">
      <c r="A497" s="76">
        <v>100</v>
      </c>
      <c r="B497" s="3" t="s">
        <v>257</v>
      </c>
      <c r="C497" s="2" t="s">
        <v>165</v>
      </c>
      <c r="D497" s="1">
        <v>0</v>
      </c>
      <c r="E497" s="1">
        <v>3</v>
      </c>
      <c r="F497" s="1">
        <v>2</v>
      </c>
      <c r="G497" s="1">
        <v>10</v>
      </c>
      <c r="H497" s="4">
        <v>0.8</v>
      </c>
      <c r="I497" s="1">
        <v>6</v>
      </c>
      <c r="J497" s="4">
        <v>0.33</v>
      </c>
      <c r="K497" s="1">
        <v>0</v>
      </c>
      <c r="L497" s="1">
        <v>1</v>
      </c>
      <c r="M497" s="32">
        <f>IF(Mecze[[#This Row],[PR]]=0,0,Mecze[[#This Row],[PR]]/Mecze[[#This Row],[CZAS]])</f>
        <v>1.1363636363636364E-2</v>
      </c>
      <c r="N497" s="32">
        <f>IF(Mecze[[#This Row],[OU]]=0,0,Mecze[[#This Row],[OU]]/Mecze[[#This Row],[CZAS]])</f>
        <v>2.2727272727272728E-2</v>
      </c>
      <c r="O497" s="32">
        <f>IF(Mecze[[#This Row],[PC]]=0,0,Mecze[[#This Row],[PC]]/Mecze[[#This Row],[CZAS]])</f>
        <v>9.0909090909090912E-2</v>
      </c>
      <c r="P497" s="32">
        <f>IF(Mecze[[#This Row],[SC]]=0,0,Mecze[[#This Row],[SC]]/Mecze[[#This Row],[CZAS]])</f>
        <v>2.2727272727272728E-2</v>
      </c>
      <c r="Q497" s="32">
        <f>IF(Mecze[[#This Row],[OB]]=0,0,Mecze[[#This Row],[OB]]/Mecze[[#This Row],[CZAS]])</f>
        <v>0</v>
      </c>
      <c r="R497" s="32">
        <f>IF(Mecze[[#This Row],[BR]]=0,0,Mecze[[#This Row],[BR]]/Mecze[[#This Row],[CZAS]])</f>
        <v>0</v>
      </c>
      <c r="S497" s="44">
        <f>IF(Mecze[[#This Row],[Role]]="BR",SUMPRODUCT(Mecze[[#This Row],[/PR:90]:[/BR:90]],Brudnopis!$E$23:$J$23),0)</f>
        <v>0</v>
      </c>
      <c r="T497" s="44">
        <f>IF(Mecze[[#This Row],[Role]]&lt;&gt;"BR",SUMPRODUCT(Mecze[[#This Row],[/PR:90]:[/BR:90]],Brudnopis!$E$24:$J$24),0)</f>
        <v>0.15909090909090909</v>
      </c>
      <c r="U497" s="44">
        <f>IF(Mecze[[#This Row],[Role]]&lt;&gt;"BR",SUMPRODUCT(Mecze[[#This Row],[/PR:90]:[/BR:90]],Brudnopis!$E$25:$J$25),0)</f>
        <v>0.19318181818181818</v>
      </c>
      <c r="V497" s="44">
        <f>IF(Mecze[[#This Row],[Role]]&lt;&gt;"BR",SUMPRODUCT(Mecze[[#This Row],[/PR:90]:[/BR:90]],Brudnopis!$E$26:$J$26),0)</f>
        <v>0.14772727272727273</v>
      </c>
      <c r="W497" s="44">
        <f>IF(Mecze[[#This Row],[Role]]&lt;&gt;"BR",SUMPRODUCT(Mecze[[#This Row],[/PR:90]:[/BR:90]],Brudnopis!$E$27:$J$27),0)</f>
        <v>0.18465909090909091</v>
      </c>
      <c r="X497" s="44">
        <f>IF(Mecze[[#This Row],[Role]]&lt;&gt;"BR",SUMPRODUCT(Mecze[[#This Row],[/PR:90]:[/BR:90]],Brudnopis!$E$28:$J$28),0)</f>
        <v>0.13636363636363635</v>
      </c>
      <c r="Y497" s="35">
        <f>IF(Mecze[[#This Row],[Role]]="BR",Mecze[[#This Row],[/OB:90]]+Mecze[[#This Row],[/PC:90]],SUM(Mecze[[#This Row],[/PR:90]:[/BR:90]]))</f>
        <v>0.14772727272727273</v>
      </c>
      <c r="Z497" s="35">
        <f>IF(Mecze[[#This Row],[KC]]=0,SUM(Mecze[[#This Row],[/BRI]:[/NPI]]),SUM(Mecze[[#This Row],[/BRI]:[/NPI]])*0.6)</f>
        <v>0.82102272727272729</v>
      </c>
      <c r="AA497" s="10">
        <f>IFERROR(Mecze[[#This Row],[BR]]/Mecze[[#This Row],[ST]],0)</f>
        <v>0</v>
      </c>
      <c r="AB497">
        <f>ROUND(Mecze[[#This Row],[PD]]*Mecze[[#This Row],[%PC]],0)</f>
        <v>8</v>
      </c>
      <c r="AC497">
        <f>ROUND(Mecze[[#This Row],[OD]]*Mecze[[#This Row],[%OU]],0)</f>
        <v>2</v>
      </c>
      <c r="AD497" s="36" t="s">
        <v>46</v>
      </c>
      <c r="AE497" s="36">
        <v>28</v>
      </c>
      <c r="AF497" s="71">
        <v>5.4</v>
      </c>
      <c r="AG497" s="37">
        <v>0</v>
      </c>
      <c r="AH497" s="37">
        <v>0</v>
      </c>
      <c r="AI497" s="37">
        <v>88</v>
      </c>
      <c r="AJ497" s="37">
        <v>6</v>
      </c>
      <c r="AK497" s="37" t="str">
        <f>VLOOKUP(Mecze[[#This Row],[Match ID]],Meczusie[Mecz]:Meczusie[RodzajMeczu],2,FALSE)</f>
        <v>Liga</v>
      </c>
    </row>
    <row r="498" spans="1:37" x14ac:dyDescent="0.25">
      <c r="A498" s="76">
        <v>20</v>
      </c>
      <c r="B498" s="3" t="s">
        <v>391</v>
      </c>
      <c r="C498" s="2" t="s">
        <v>165</v>
      </c>
      <c r="D498" s="1">
        <v>0</v>
      </c>
      <c r="E498" s="1">
        <v>0</v>
      </c>
      <c r="F498" s="1">
        <v>0</v>
      </c>
      <c r="G498" s="1">
        <v>1</v>
      </c>
      <c r="H498" s="4">
        <v>1</v>
      </c>
      <c r="I498" s="1">
        <v>0</v>
      </c>
      <c r="J498" s="4"/>
      <c r="K498" s="1">
        <v>0</v>
      </c>
      <c r="L498" s="1">
        <v>0</v>
      </c>
      <c r="M498" s="32">
        <f>IF(Mecze[[#This Row],[PR]]=0,0,Mecze[[#This Row],[PR]]/Mecze[[#This Row],[CZAS]])</f>
        <v>0</v>
      </c>
      <c r="N498" s="32">
        <f>IF(Mecze[[#This Row],[OU]]=0,0,Mecze[[#This Row],[OU]]/Mecze[[#This Row],[CZAS]])</f>
        <v>0</v>
      </c>
      <c r="O498" s="32">
        <f>IF(Mecze[[#This Row],[PC]]=0,0,Mecze[[#This Row],[PC]]/Mecze[[#This Row],[CZAS]])</f>
        <v>0.1111111111111111</v>
      </c>
      <c r="P498" s="32">
        <f>IF(Mecze[[#This Row],[SC]]=0,0,Mecze[[#This Row],[SC]]/Mecze[[#This Row],[CZAS]])</f>
        <v>0</v>
      </c>
      <c r="Q498" s="32">
        <f>IF(Mecze[[#This Row],[OB]]=0,0,Mecze[[#This Row],[OB]]/Mecze[[#This Row],[CZAS]])</f>
        <v>0</v>
      </c>
      <c r="R498" s="32">
        <f>IF(Mecze[[#This Row],[BR]]=0,0,Mecze[[#This Row],[BR]]/Mecze[[#This Row],[CZAS]])</f>
        <v>0</v>
      </c>
      <c r="S498" s="44">
        <f>IF(Mecze[[#This Row],[Role]]="BR",SUMPRODUCT(Mecze[[#This Row],[/PR:90]:[/BR:90]],Brudnopis!$E$23:$J$23),0)</f>
        <v>0</v>
      </c>
      <c r="T498" s="44">
        <f>IF(Mecze[[#This Row],[Role]]&lt;&gt;"BR",SUMPRODUCT(Mecze[[#This Row],[/PR:90]:[/BR:90]],Brudnopis!$E$24:$J$24),0)</f>
        <v>0.1111111111111111</v>
      </c>
      <c r="U498" s="44">
        <f>IF(Mecze[[#This Row],[Role]]&lt;&gt;"BR",SUMPRODUCT(Mecze[[#This Row],[/PR:90]:[/BR:90]],Brudnopis!$E$25:$J$25),0)</f>
        <v>0.16666666666666666</v>
      </c>
      <c r="V498" s="44">
        <f>IF(Mecze[[#This Row],[Role]]&lt;&gt;"BR",SUMPRODUCT(Mecze[[#This Row],[/PR:90]:[/BR:90]],Brudnopis!$E$26:$J$26),0)</f>
        <v>0.1111111111111111</v>
      </c>
      <c r="W498" s="44">
        <f>IF(Mecze[[#This Row],[Role]]&lt;&gt;"BR",SUMPRODUCT(Mecze[[#This Row],[/PR:90]:[/BR:90]],Brudnopis!$E$27:$J$27),0)</f>
        <v>0.16666666666666666</v>
      </c>
      <c r="X498" s="44">
        <f>IF(Mecze[[#This Row],[Role]]&lt;&gt;"BR",SUMPRODUCT(Mecze[[#This Row],[/PR:90]:[/BR:90]],Brudnopis!$E$28:$J$28),0)</f>
        <v>0.1111111111111111</v>
      </c>
      <c r="Y498" s="35">
        <f>IF(Mecze[[#This Row],[Role]]="BR",Mecze[[#This Row],[/OB:90]]+Mecze[[#This Row],[/PC:90]],SUM(Mecze[[#This Row],[/PR:90]:[/BR:90]]))</f>
        <v>0.1111111111111111</v>
      </c>
      <c r="Z498" s="35">
        <f>IF(Mecze[[#This Row],[KC]]=0,SUM(Mecze[[#This Row],[/BRI]:[/NPI]]),SUM(Mecze[[#This Row],[/BRI]:[/NPI]])*0.6)</f>
        <v>0.66666666666666674</v>
      </c>
      <c r="AA498" s="10">
        <f>IFERROR(Mecze[[#This Row],[BR]]/Mecze[[#This Row],[ST]],0)</f>
        <v>0</v>
      </c>
      <c r="AB498">
        <f>ROUND(Mecze[[#This Row],[PD]]*Mecze[[#This Row],[%PC]],0)</f>
        <v>1</v>
      </c>
      <c r="AC498">
        <f>ROUND(Mecze[[#This Row],[OD]]*Mecze[[#This Row],[%OU]],0)</f>
        <v>0</v>
      </c>
      <c r="AD498" s="36" t="s">
        <v>46</v>
      </c>
      <c r="AE498" s="36">
        <v>28</v>
      </c>
      <c r="AF498" s="71">
        <v>0.5</v>
      </c>
      <c r="AG498" s="37">
        <v>0</v>
      </c>
      <c r="AH498" s="37">
        <v>0</v>
      </c>
      <c r="AI498" s="37">
        <v>9</v>
      </c>
      <c r="AJ498" s="37">
        <v>6</v>
      </c>
      <c r="AK498" s="37" t="str">
        <f>VLOOKUP(Mecze[[#This Row],[Match ID]],Meczusie[Mecz]:Meczusie[RodzajMeczu],2,FALSE)</f>
        <v>Liga</v>
      </c>
    </row>
    <row r="499" spans="1:37" x14ac:dyDescent="0.25">
      <c r="A499" s="76">
        <v>9</v>
      </c>
      <c r="B499" s="3" t="s">
        <v>258</v>
      </c>
      <c r="C499" s="2" t="s">
        <v>160</v>
      </c>
      <c r="D499" s="1">
        <v>0</v>
      </c>
      <c r="E499" s="1">
        <v>0</v>
      </c>
      <c r="F499" s="1">
        <v>0</v>
      </c>
      <c r="G499" s="1">
        <v>1</v>
      </c>
      <c r="H499" s="4">
        <v>0</v>
      </c>
      <c r="I499" s="1">
        <v>0</v>
      </c>
      <c r="J499" s="4"/>
      <c r="K499" s="1">
        <v>0</v>
      </c>
      <c r="L499" s="1">
        <v>0</v>
      </c>
      <c r="M499" s="32">
        <f>IF(Mecze[[#This Row],[PR]]=0,0,Mecze[[#This Row],[PR]]/Mecze[[#This Row],[CZAS]])</f>
        <v>0</v>
      </c>
      <c r="N499" s="32">
        <f>IF(Mecze[[#This Row],[OU]]=0,0,Mecze[[#This Row],[OU]]/Mecze[[#This Row],[CZAS]])</f>
        <v>0</v>
      </c>
      <c r="O499" s="32">
        <f>IF(Mecze[[#This Row],[PC]]=0,0,Mecze[[#This Row],[PC]]/Mecze[[#This Row],[CZAS]])</f>
        <v>0</v>
      </c>
      <c r="P499" s="32">
        <f>IF(Mecze[[#This Row],[SC]]=0,0,Mecze[[#This Row],[SC]]/Mecze[[#This Row],[CZAS]])</f>
        <v>0</v>
      </c>
      <c r="Q499" s="32">
        <f>IF(Mecze[[#This Row],[OB]]=0,0,Mecze[[#This Row],[OB]]/Mecze[[#This Row],[CZAS]])</f>
        <v>0</v>
      </c>
      <c r="R499" s="32">
        <f>IF(Mecze[[#This Row],[BR]]=0,0,Mecze[[#This Row],[BR]]/Mecze[[#This Row],[CZAS]])</f>
        <v>0</v>
      </c>
      <c r="S499" s="44">
        <f>IF(Mecze[[#This Row],[Role]]="BR",SUMPRODUCT(Mecze[[#This Row],[/PR:90]:[/BR:90]],Brudnopis!$E$23:$J$23),0)</f>
        <v>0</v>
      </c>
      <c r="T499" s="44">
        <f>IF(Mecze[[#This Row],[Role]]&lt;&gt;"BR",SUMPRODUCT(Mecze[[#This Row],[/PR:90]:[/BR:90]],Brudnopis!$E$24:$J$24),0)</f>
        <v>0</v>
      </c>
      <c r="U499" s="44">
        <f>IF(Mecze[[#This Row],[Role]]&lt;&gt;"BR",SUMPRODUCT(Mecze[[#This Row],[/PR:90]:[/BR:90]],Brudnopis!$E$25:$J$25),0)</f>
        <v>0</v>
      </c>
      <c r="V499" s="44">
        <f>IF(Mecze[[#This Row],[Role]]&lt;&gt;"BR",SUMPRODUCT(Mecze[[#This Row],[/PR:90]:[/BR:90]],Brudnopis!$E$26:$J$26),0)</f>
        <v>0</v>
      </c>
      <c r="W499" s="44">
        <f>IF(Mecze[[#This Row],[Role]]&lt;&gt;"BR",SUMPRODUCT(Mecze[[#This Row],[/PR:90]:[/BR:90]],Brudnopis!$E$27:$J$27),0)</f>
        <v>0</v>
      </c>
      <c r="X499" s="44">
        <f>IF(Mecze[[#This Row],[Role]]&lt;&gt;"BR",SUMPRODUCT(Mecze[[#This Row],[/PR:90]:[/BR:90]],Brudnopis!$E$28:$J$28),0)</f>
        <v>0</v>
      </c>
      <c r="Y499" s="35">
        <f>IF(Mecze[[#This Row],[Role]]="BR",Mecze[[#This Row],[/OB:90]]+Mecze[[#This Row],[/PC:90]],SUM(Mecze[[#This Row],[/PR:90]:[/BR:90]]))</f>
        <v>0</v>
      </c>
      <c r="Z499" s="35">
        <f>IF(Mecze[[#This Row],[KC]]=0,SUM(Mecze[[#This Row],[/BRI]:[/NPI]]),SUM(Mecze[[#This Row],[/BRI]:[/NPI]])*0.6)</f>
        <v>0</v>
      </c>
      <c r="AA499" s="10">
        <f>IFERROR(Mecze[[#This Row],[BR]]/Mecze[[#This Row],[ST]],0)</f>
        <v>0</v>
      </c>
      <c r="AB499">
        <f>ROUND(Mecze[[#This Row],[PD]]*Mecze[[#This Row],[%PC]],0)</f>
        <v>0</v>
      </c>
      <c r="AC499">
        <f>ROUND(Mecze[[#This Row],[OD]]*Mecze[[#This Row],[%OU]],0)</f>
        <v>0</v>
      </c>
      <c r="AD499" s="36" t="s">
        <v>318</v>
      </c>
      <c r="AE499" s="36">
        <v>28</v>
      </c>
      <c r="AF499" s="71">
        <v>0.5</v>
      </c>
      <c r="AG499" s="37">
        <v>0</v>
      </c>
      <c r="AH499" s="37">
        <v>0</v>
      </c>
      <c r="AI499" s="37">
        <v>19</v>
      </c>
      <c r="AJ499" s="37">
        <v>6</v>
      </c>
      <c r="AK499" s="37" t="str">
        <f>VLOOKUP(Mecze[[#This Row],[Match ID]],Meczusie[Mecz]:Meczusie[RodzajMeczu],2,FALSE)</f>
        <v>Liga</v>
      </c>
    </row>
    <row r="500" spans="1:37" x14ac:dyDescent="0.25">
      <c r="A500" s="76">
        <v>49</v>
      </c>
      <c r="B500" s="3" t="s">
        <v>358</v>
      </c>
      <c r="C500" s="2" t="s">
        <v>155</v>
      </c>
      <c r="D500" s="1">
        <v>0</v>
      </c>
      <c r="E500" s="1">
        <v>0</v>
      </c>
      <c r="F500" s="1">
        <v>0</v>
      </c>
      <c r="G500" s="1">
        <v>3</v>
      </c>
      <c r="H500" s="4">
        <v>0</v>
      </c>
      <c r="I500" s="1">
        <v>0</v>
      </c>
      <c r="J500" s="4"/>
      <c r="K500" s="1">
        <v>2</v>
      </c>
      <c r="L500" s="1">
        <v>0</v>
      </c>
      <c r="M500" s="32">
        <f>IF(Mecze[[#This Row],[PR]]=0,0,Mecze[[#This Row],[PR]]/Mecze[[#This Row],[CZAS]])</f>
        <v>0</v>
      </c>
      <c r="N500" s="32">
        <f>IF(Mecze[[#This Row],[OU]]=0,0,Mecze[[#This Row],[OU]]/Mecze[[#This Row],[CZAS]])</f>
        <v>0</v>
      </c>
      <c r="O500" s="32">
        <f>IF(Mecze[[#This Row],[PC]]=0,0,Mecze[[#This Row],[PC]]/Mecze[[#This Row],[CZAS]])</f>
        <v>0</v>
      </c>
      <c r="P500" s="32">
        <f>IF(Mecze[[#This Row],[SC]]=0,0,Mecze[[#This Row],[SC]]/Mecze[[#This Row],[CZAS]])</f>
        <v>0</v>
      </c>
      <c r="Q500" s="32">
        <f>IF(Mecze[[#This Row],[OB]]=0,0,Mecze[[#This Row],[OB]]/Mecze[[#This Row],[CZAS]])</f>
        <v>2.0618556701030927E-2</v>
      </c>
      <c r="R500" s="32">
        <f>IF(Mecze[[#This Row],[BR]]=0,0,Mecze[[#This Row],[BR]]/Mecze[[#This Row],[CZAS]])</f>
        <v>0</v>
      </c>
      <c r="S500" s="44">
        <f>IF(Mecze[[#This Row],[Role]]="BR",SUMPRODUCT(Mecze[[#This Row],[/PR:90]:[/BR:90]],Brudnopis!$E$23:$J$23),0)</f>
        <v>6.1855670103092786E-2</v>
      </c>
      <c r="T500" s="44">
        <f>IF(Mecze[[#This Row],[Role]]&lt;&gt;"BR",SUMPRODUCT(Mecze[[#This Row],[/PR:90]:[/BR:90]],Brudnopis!$E$24:$J$24),0)</f>
        <v>0</v>
      </c>
      <c r="U500" s="44">
        <f>IF(Mecze[[#This Row],[Role]]&lt;&gt;"BR",SUMPRODUCT(Mecze[[#This Row],[/PR:90]:[/BR:90]],Brudnopis!$E$25:$J$25),0)</f>
        <v>0</v>
      </c>
      <c r="V500" s="44">
        <f>IF(Mecze[[#This Row],[Role]]&lt;&gt;"BR",SUMPRODUCT(Mecze[[#This Row],[/PR:90]:[/BR:90]],Brudnopis!$E$26:$J$26),0)</f>
        <v>0</v>
      </c>
      <c r="W500" s="44">
        <f>IF(Mecze[[#This Row],[Role]]&lt;&gt;"BR",SUMPRODUCT(Mecze[[#This Row],[/PR:90]:[/BR:90]],Brudnopis!$E$27:$J$27),0)</f>
        <v>0</v>
      </c>
      <c r="X500" s="44">
        <f>IF(Mecze[[#This Row],[Role]]&lt;&gt;"BR",SUMPRODUCT(Mecze[[#This Row],[/PR:90]:[/BR:90]],Brudnopis!$E$28:$J$28),0)</f>
        <v>0</v>
      </c>
      <c r="Y500" s="35">
        <f>IF(Mecze[[#This Row],[Role]]="BR",Mecze[[#This Row],[/OB:90]]+Mecze[[#This Row],[/PC:90]],SUM(Mecze[[#This Row],[/PR:90]:[/BR:90]]))</f>
        <v>2.0618556701030927E-2</v>
      </c>
      <c r="Z500" s="35">
        <f>IF(Mecze[[#This Row],[KC]]=0,SUM(Mecze[[#This Row],[/BRI]:[/NPI]]),SUM(Mecze[[#This Row],[/BRI]:[/NPI]])*0.6)</f>
        <v>6.1855670103092786E-2</v>
      </c>
      <c r="AA500" s="10">
        <f>IFERROR(Mecze[[#This Row],[BR]]/Mecze[[#This Row],[ST]],0)</f>
        <v>0</v>
      </c>
      <c r="AB500">
        <f>ROUND(Mecze[[#This Row],[PD]]*Mecze[[#This Row],[%PC]],0)</f>
        <v>0</v>
      </c>
      <c r="AC500">
        <f>ROUND(Mecze[[#This Row],[OD]]*Mecze[[#This Row],[%OU]],0)</f>
        <v>0</v>
      </c>
      <c r="AD500" s="42" t="s">
        <v>40</v>
      </c>
      <c r="AE500" s="36">
        <v>29</v>
      </c>
      <c r="AF500" s="71">
        <v>1.28</v>
      </c>
      <c r="AG500" s="37">
        <v>0</v>
      </c>
      <c r="AH500" s="37">
        <v>0</v>
      </c>
      <c r="AI500" s="37">
        <v>97</v>
      </c>
      <c r="AJ500" s="37">
        <v>1</v>
      </c>
      <c r="AK500" s="37" t="str">
        <f>VLOOKUP(Mecze[[#This Row],[Match ID]],Meczusie[Mecz]:Meczusie[RodzajMeczu],2,FALSE)</f>
        <v>Towarzyski</v>
      </c>
    </row>
    <row r="501" spans="1:37" x14ac:dyDescent="0.25">
      <c r="A501" s="76">
        <v>38</v>
      </c>
      <c r="B501" s="3" t="s">
        <v>359</v>
      </c>
      <c r="C501" s="2" t="s">
        <v>157</v>
      </c>
      <c r="D501" s="1">
        <v>0</v>
      </c>
      <c r="E501" s="1">
        <v>0</v>
      </c>
      <c r="F501" s="1">
        <v>0</v>
      </c>
      <c r="G501" s="1">
        <v>4</v>
      </c>
      <c r="H501" s="4">
        <v>1</v>
      </c>
      <c r="I501" s="1">
        <v>1</v>
      </c>
      <c r="J501" s="4">
        <v>1</v>
      </c>
      <c r="K501" s="1">
        <v>0</v>
      </c>
      <c r="L501" s="1">
        <v>6</v>
      </c>
      <c r="M501" s="32">
        <f>IF(Mecze[[#This Row],[PR]]=0,0,Mecze[[#This Row],[PR]]/Mecze[[#This Row],[CZAS]])</f>
        <v>6.1855670103092786E-2</v>
      </c>
      <c r="N501" s="32">
        <f>IF(Mecze[[#This Row],[OU]]=0,0,Mecze[[#This Row],[OU]]/Mecze[[#This Row],[CZAS]])</f>
        <v>1.0309278350515464E-2</v>
      </c>
      <c r="O501" s="32">
        <f>IF(Mecze[[#This Row],[PC]]=0,0,Mecze[[#This Row],[PC]]/Mecze[[#This Row],[CZAS]])</f>
        <v>4.1237113402061855E-2</v>
      </c>
      <c r="P501" s="32">
        <f>IF(Mecze[[#This Row],[SC]]=0,0,Mecze[[#This Row],[SC]]/Mecze[[#This Row],[CZAS]])</f>
        <v>0</v>
      </c>
      <c r="Q501" s="32">
        <f>IF(Mecze[[#This Row],[OB]]=0,0,Mecze[[#This Row],[OB]]/Mecze[[#This Row],[CZAS]])</f>
        <v>0</v>
      </c>
      <c r="R501" s="32">
        <f>IF(Mecze[[#This Row],[BR]]=0,0,Mecze[[#This Row],[BR]]/Mecze[[#This Row],[CZAS]])</f>
        <v>0</v>
      </c>
      <c r="S501" s="44">
        <f>IF(Mecze[[#This Row],[Role]]="BR",SUMPRODUCT(Mecze[[#This Row],[/PR:90]:[/BR:90]],Brudnopis!$E$23:$J$23),0)</f>
        <v>0</v>
      </c>
      <c r="T501" s="44">
        <f>IF(Mecze[[#This Row],[Role]]&lt;&gt;"BR",SUMPRODUCT(Mecze[[#This Row],[/PR:90]:[/BR:90]],Brudnopis!$E$24:$J$24),0)</f>
        <v>0.11855670103092783</v>
      </c>
      <c r="U501" s="44">
        <f>IF(Mecze[[#This Row],[Role]]&lt;&gt;"BR",SUMPRODUCT(Mecze[[#This Row],[/PR:90]:[/BR:90]],Brudnopis!$E$25:$J$25),0)</f>
        <v>0.13402061855670105</v>
      </c>
      <c r="V501" s="44">
        <f>IF(Mecze[[#This Row],[Role]]&lt;&gt;"BR",SUMPRODUCT(Mecze[[#This Row],[/PR:90]:[/BR:90]],Brudnopis!$E$26:$J$26),0)</f>
        <v>0.11340206185567012</v>
      </c>
      <c r="W501" s="44">
        <f>IF(Mecze[[#This Row],[Role]]&lt;&gt;"BR",SUMPRODUCT(Mecze[[#This Row],[/PR:90]:[/BR:90]],Brudnopis!$E$27:$J$27),0)</f>
        <v>0.11597938144329897</v>
      </c>
      <c r="X501" s="44">
        <f>IF(Mecze[[#This Row],[Role]]&lt;&gt;"BR",SUMPRODUCT(Mecze[[#This Row],[/PR:90]:[/BR:90]],Brudnopis!$E$28:$J$28),0)</f>
        <v>4.1237113402061855E-2</v>
      </c>
      <c r="Y501" s="35">
        <f>IF(Mecze[[#This Row],[Role]]="BR",Mecze[[#This Row],[/OB:90]]+Mecze[[#This Row],[/PC:90]],SUM(Mecze[[#This Row],[/PR:90]:[/BR:90]]))</f>
        <v>0.11340206185567012</v>
      </c>
      <c r="Z501" s="35">
        <f>IF(Mecze[[#This Row],[KC]]=0,SUM(Mecze[[#This Row],[/BRI]:[/NPI]]),SUM(Mecze[[#This Row],[/BRI]:[/NPI]])*0.6)</f>
        <v>0.52319587628865982</v>
      </c>
      <c r="AA501" s="10">
        <f>IFERROR(Mecze[[#This Row],[BR]]/Mecze[[#This Row],[ST]],0)</f>
        <v>0</v>
      </c>
      <c r="AB501">
        <f>ROUND(Mecze[[#This Row],[PD]]*Mecze[[#This Row],[%PC]],0)</f>
        <v>4</v>
      </c>
      <c r="AC501">
        <f>ROUND(Mecze[[#This Row],[OD]]*Mecze[[#This Row],[%OU]],0)</f>
        <v>1</v>
      </c>
      <c r="AD501" s="41" t="s">
        <v>47</v>
      </c>
      <c r="AE501" s="36">
        <v>29</v>
      </c>
      <c r="AF501" s="71">
        <v>1.84</v>
      </c>
      <c r="AG501" s="37">
        <v>0</v>
      </c>
      <c r="AH501" s="37">
        <v>0</v>
      </c>
      <c r="AI501" s="37">
        <v>97</v>
      </c>
      <c r="AJ501" s="37">
        <v>1</v>
      </c>
      <c r="AK501" s="37" t="str">
        <f>VLOOKUP(Mecze[[#This Row],[Match ID]],Meczusie[Mecz]:Meczusie[RodzajMeczu],2,FALSE)</f>
        <v>Towarzyski</v>
      </c>
    </row>
    <row r="502" spans="1:37" x14ac:dyDescent="0.25">
      <c r="A502" s="76">
        <v>4</v>
      </c>
      <c r="B502" s="3" t="s">
        <v>360</v>
      </c>
      <c r="C502" s="2" t="s">
        <v>157</v>
      </c>
      <c r="D502" s="1">
        <v>0</v>
      </c>
      <c r="E502" s="1">
        <v>0</v>
      </c>
      <c r="F502" s="1">
        <v>0</v>
      </c>
      <c r="G502" s="1">
        <v>5</v>
      </c>
      <c r="H502" s="4">
        <v>0.2</v>
      </c>
      <c r="I502" s="1">
        <v>5</v>
      </c>
      <c r="J502" s="4">
        <v>0.8</v>
      </c>
      <c r="K502" s="1">
        <v>0</v>
      </c>
      <c r="L502" s="1">
        <v>10</v>
      </c>
      <c r="M502" s="32">
        <f>IF(Mecze[[#This Row],[PR]]=0,0,Mecze[[#This Row],[PR]]/Mecze[[#This Row],[CZAS]])</f>
        <v>0.10309278350515463</v>
      </c>
      <c r="N502" s="32">
        <f>IF(Mecze[[#This Row],[OU]]=0,0,Mecze[[#This Row],[OU]]/Mecze[[#This Row],[CZAS]])</f>
        <v>4.1237113402061855E-2</v>
      </c>
      <c r="O502" s="32">
        <f>IF(Mecze[[#This Row],[PC]]=0,0,Mecze[[#This Row],[PC]]/Mecze[[#This Row],[CZAS]])</f>
        <v>1.0309278350515464E-2</v>
      </c>
      <c r="P502" s="32">
        <f>IF(Mecze[[#This Row],[SC]]=0,0,Mecze[[#This Row],[SC]]/Mecze[[#This Row],[CZAS]])</f>
        <v>0</v>
      </c>
      <c r="Q502" s="32">
        <f>IF(Mecze[[#This Row],[OB]]=0,0,Mecze[[#This Row],[OB]]/Mecze[[#This Row],[CZAS]])</f>
        <v>0</v>
      </c>
      <c r="R502" s="32">
        <f>IF(Mecze[[#This Row],[BR]]=0,0,Mecze[[#This Row],[BR]]/Mecze[[#This Row],[CZAS]])</f>
        <v>0</v>
      </c>
      <c r="S502" s="44">
        <f>IF(Mecze[[#This Row],[Role]]="BR",SUMPRODUCT(Mecze[[#This Row],[/PR:90]:[/BR:90]],Brudnopis!$E$23:$J$23),0)</f>
        <v>0</v>
      </c>
      <c r="T502" s="44">
        <f>IF(Mecze[[#This Row],[Role]]&lt;&gt;"BR",SUMPRODUCT(Mecze[[#This Row],[/PR:90]:[/BR:90]],Brudnopis!$E$24:$J$24),0)</f>
        <v>0.17525773195876287</v>
      </c>
      <c r="U502" s="44">
        <f>IF(Mecze[[#This Row],[Role]]&lt;&gt;"BR",SUMPRODUCT(Mecze[[#This Row],[/PR:90]:[/BR:90]],Brudnopis!$E$25:$J$25),0)</f>
        <v>0.15979381443298968</v>
      </c>
      <c r="V502" s="44">
        <f>IF(Mecze[[#This Row],[Role]]&lt;&gt;"BR",SUMPRODUCT(Mecze[[#This Row],[/PR:90]:[/BR:90]],Brudnopis!$E$26:$J$26),0)</f>
        <v>0.15463917525773194</v>
      </c>
      <c r="W502" s="44">
        <f>IF(Mecze[[#This Row],[Role]]&lt;&gt;"BR",SUMPRODUCT(Mecze[[#This Row],[/PR:90]:[/BR:90]],Brudnopis!$E$27:$J$27),0)</f>
        <v>0.12371134020618557</v>
      </c>
      <c r="X502" s="44">
        <f>IF(Mecze[[#This Row],[Role]]&lt;&gt;"BR",SUMPRODUCT(Mecze[[#This Row],[/PR:90]:[/BR:90]],Brudnopis!$E$28:$J$28),0)</f>
        <v>1.0309278350515464E-2</v>
      </c>
      <c r="Y502" s="35">
        <f>IF(Mecze[[#This Row],[Role]]="BR",Mecze[[#This Row],[/OB:90]]+Mecze[[#This Row],[/PC:90]],SUM(Mecze[[#This Row],[/PR:90]:[/BR:90]]))</f>
        <v>0.15463917525773194</v>
      </c>
      <c r="Z502" s="35">
        <f>IF(Mecze[[#This Row],[KC]]=0,SUM(Mecze[[#This Row],[/BRI]:[/NPI]]),SUM(Mecze[[#This Row],[/BRI]:[/NPI]])*0.6)</f>
        <v>0.62371134020618546</v>
      </c>
      <c r="AA502" s="10">
        <f>IFERROR(Mecze[[#This Row],[BR]]/Mecze[[#This Row],[ST]],0)</f>
        <v>0</v>
      </c>
      <c r="AB502">
        <f>ROUND(Mecze[[#This Row],[PD]]*Mecze[[#This Row],[%PC]],0)</f>
        <v>1</v>
      </c>
      <c r="AC502">
        <f>ROUND(Mecze[[#This Row],[OD]]*Mecze[[#This Row],[%OU]],0)</f>
        <v>4</v>
      </c>
      <c r="AD502" s="41" t="s">
        <v>168</v>
      </c>
      <c r="AE502" s="36">
        <v>29</v>
      </c>
      <c r="AF502" s="71">
        <v>5</v>
      </c>
      <c r="AG502" s="37">
        <v>0</v>
      </c>
      <c r="AH502" s="37">
        <v>0</v>
      </c>
      <c r="AI502" s="37">
        <v>97</v>
      </c>
      <c r="AJ502" s="37">
        <v>1</v>
      </c>
      <c r="AK502" s="37" t="str">
        <f>VLOOKUP(Mecze[[#This Row],[Match ID]],Meczusie[Mecz]:Meczusie[RodzajMeczu],2,FALSE)</f>
        <v>Towarzyski</v>
      </c>
    </row>
    <row r="503" spans="1:37" x14ac:dyDescent="0.25">
      <c r="A503" s="76">
        <v>42</v>
      </c>
      <c r="B503" s="3" t="s">
        <v>361</v>
      </c>
      <c r="C503" s="2" t="s">
        <v>157</v>
      </c>
      <c r="D503" s="1">
        <v>0</v>
      </c>
      <c r="E503" s="1">
        <v>0</v>
      </c>
      <c r="F503" s="1">
        <v>0</v>
      </c>
      <c r="G503" s="1">
        <v>9</v>
      </c>
      <c r="H503" s="4">
        <v>0.33</v>
      </c>
      <c r="I503" s="1">
        <v>8</v>
      </c>
      <c r="J503" s="4">
        <v>0.63</v>
      </c>
      <c r="K503" s="1">
        <v>0</v>
      </c>
      <c r="L503" s="1">
        <v>9</v>
      </c>
      <c r="M503" s="32">
        <f>IF(Mecze[[#This Row],[PR]]=0,0,Mecze[[#This Row],[PR]]/Mecze[[#This Row],[CZAS]])</f>
        <v>9.2783505154639179E-2</v>
      </c>
      <c r="N503" s="32">
        <f>IF(Mecze[[#This Row],[OU]]=0,0,Mecze[[#This Row],[OU]]/Mecze[[#This Row],[CZAS]])</f>
        <v>5.1546391752577317E-2</v>
      </c>
      <c r="O503" s="32">
        <f>IF(Mecze[[#This Row],[PC]]=0,0,Mecze[[#This Row],[PC]]/Mecze[[#This Row],[CZAS]])</f>
        <v>3.0927835051546393E-2</v>
      </c>
      <c r="P503" s="32">
        <f>IF(Mecze[[#This Row],[SC]]=0,0,Mecze[[#This Row],[SC]]/Mecze[[#This Row],[CZAS]])</f>
        <v>0</v>
      </c>
      <c r="Q503" s="32">
        <f>IF(Mecze[[#This Row],[OB]]=0,0,Mecze[[#This Row],[OB]]/Mecze[[#This Row],[CZAS]])</f>
        <v>0</v>
      </c>
      <c r="R503" s="32">
        <f>IF(Mecze[[#This Row],[BR]]=0,0,Mecze[[#This Row],[BR]]/Mecze[[#This Row],[CZAS]])</f>
        <v>0</v>
      </c>
      <c r="S503" s="44">
        <f>IF(Mecze[[#This Row],[Role]]="BR",SUMPRODUCT(Mecze[[#This Row],[/PR:90]:[/BR:90]],Brudnopis!$E$23:$J$23),0)</f>
        <v>0</v>
      </c>
      <c r="T503" s="44">
        <f>IF(Mecze[[#This Row],[Role]]&lt;&gt;"BR",SUMPRODUCT(Mecze[[#This Row],[/PR:90]:[/BR:90]],Brudnopis!$E$24:$J$24),0)</f>
        <v>0.20103092783505155</v>
      </c>
      <c r="U503" s="44">
        <f>IF(Mecze[[#This Row],[Role]]&lt;&gt;"BR",SUMPRODUCT(Mecze[[#This Row],[/PR:90]:[/BR:90]],Brudnopis!$E$25:$J$25),0)</f>
        <v>0.19072164948453607</v>
      </c>
      <c r="V503" s="44">
        <f>IF(Mecze[[#This Row],[Role]]&lt;&gt;"BR",SUMPRODUCT(Mecze[[#This Row],[/PR:90]:[/BR:90]],Brudnopis!$E$26:$J$26),0)</f>
        <v>0.17525773195876287</v>
      </c>
      <c r="W503" s="44">
        <f>IF(Mecze[[#This Row],[Role]]&lt;&gt;"BR",SUMPRODUCT(Mecze[[#This Row],[/PR:90]:[/BR:90]],Brudnopis!$E$27:$J$27),0)</f>
        <v>0.15463917525773196</v>
      </c>
      <c r="X503" s="44">
        <f>IF(Mecze[[#This Row],[Role]]&lt;&gt;"BR",SUMPRODUCT(Mecze[[#This Row],[/PR:90]:[/BR:90]],Brudnopis!$E$28:$J$28),0)</f>
        <v>3.0927835051546393E-2</v>
      </c>
      <c r="Y503" s="35">
        <f>IF(Mecze[[#This Row],[Role]]="BR",Mecze[[#This Row],[/OB:90]]+Mecze[[#This Row],[/PC:90]],SUM(Mecze[[#This Row],[/PR:90]:[/BR:90]]))</f>
        <v>0.17525773195876287</v>
      </c>
      <c r="Z503" s="35">
        <f>IF(Mecze[[#This Row],[KC]]=0,SUM(Mecze[[#This Row],[/BRI]:[/NPI]]),SUM(Mecze[[#This Row],[/BRI]:[/NPI]])*0.6)</f>
        <v>0.75257731958762886</v>
      </c>
      <c r="AA503" s="10">
        <f>IFERROR(Mecze[[#This Row],[BR]]/Mecze[[#This Row],[ST]],0)</f>
        <v>0</v>
      </c>
      <c r="AB503">
        <f>ROUND(Mecze[[#This Row],[PD]]*Mecze[[#This Row],[%PC]],0)</f>
        <v>3</v>
      </c>
      <c r="AC503">
        <f>ROUND(Mecze[[#This Row],[OD]]*Mecze[[#This Row],[%OU]],0)</f>
        <v>5</v>
      </c>
      <c r="AD503" s="41" t="s">
        <v>167</v>
      </c>
      <c r="AE503" s="36">
        <v>29</v>
      </c>
      <c r="AF503" s="71">
        <v>2.48</v>
      </c>
      <c r="AG503" s="37">
        <v>1</v>
      </c>
      <c r="AH503" s="37">
        <v>0</v>
      </c>
      <c r="AI503" s="37">
        <v>97</v>
      </c>
      <c r="AJ503" s="37">
        <v>1</v>
      </c>
      <c r="AK503" s="37" t="str">
        <f>VLOOKUP(Mecze[[#This Row],[Match ID]],Meczusie[Mecz]:Meczusie[RodzajMeczu],2,FALSE)</f>
        <v>Towarzyski</v>
      </c>
    </row>
    <row r="504" spans="1:37" x14ac:dyDescent="0.25">
      <c r="A504" s="76">
        <v>33</v>
      </c>
      <c r="B504" s="3" t="s">
        <v>362</v>
      </c>
      <c r="C504" s="2" t="s">
        <v>160</v>
      </c>
      <c r="D504" s="1">
        <v>0</v>
      </c>
      <c r="E504" s="1">
        <v>0</v>
      </c>
      <c r="F504" s="1">
        <v>0</v>
      </c>
      <c r="G504" s="1">
        <v>11</v>
      </c>
      <c r="H504" s="4">
        <v>0.55000000000000004</v>
      </c>
      <c r="I504" s="1">
        <v>7</v>
      </c>
      <c r="J504" s="4">
        <v>0.14000000000000001</v>
      </c>
      <c r="K504" s="1">
        <v>0</v>
      </c>
      <c r="L504" s="1">
        <v>14</v>
      </c>
      <c r="M504" s="32">
        <f>IF(Mecze[[#This Row],[PR]]=0,0,Mecze[[#This Row],[PR]]/Mecze[[#This Row],[CZAS]])</f>
        <v>0.14432989690721648</v>
      </c>
      <c r="N504" s="32">
        <f>IF(Mecze[[#This Row],[OU]]=0,0,Mecze[[#This Row],[OU]]/Mecze[[#This Row],[CZAS]])</f>
        <v>1.0309278350515464E-2</v>
      </c>
      <c r="O504" s="32">
        <f>IF(Mecze[[#This Row],[PC]]=0,0,Mecze[[#This Row],[PC]]/Mecze[[#This Row],[CZAS]])</f>
        <v>6.1855670103092786E-2</v>
      </c>
      <c r="P504" s="32">
        <f>IF(Mecze[[#This Row],[SC]]=0,0,Mecze[[#This Row],[SC]]/Mecze[[#This Row],[CZAS]])</f>
        <v>0</v>
      </c>
      <c r="Q504" s="32">
        <f>IF(Mecze[[#This Row],[OB]]=0,0,Mecze[[#This Row],[OB]]/Mecze[[#This Row],[CZAS]])</f>
        <v>0</v>
      </c>
      <c r="R504" s="32">
        <f>IF(Mecze[[#This Row],[BR]]=0,0,Mecze[[#This Row],[BR]]/Mecze[[#This Row],[CZAS]])</f>
        <v>0</v>
      </c>
      <c r="S504" s="44">
        <f>IF(Mecze[[#This Row],[Role]]="BR",SUMPRODUCT(Mecze[[#This Row],[/PR:90]:[/BR:90]],Brudnopis!$E$23:$J$23),0)</f>
        <v>0</v>
      </c>
      <c r="T504" s="44">
        <f>IF(Mecze[[#This Row],[Role]]&lt;&gt;"BR",SUMPRODUCT(Mecze[[#This Row],[/PR:90]:[/BR:90]],Brudnopis!$E$24:$J$24),0)</f>
        <v>0.22164948453608246</v>
      </c>
      <c r="U504" s="44">
        <f>IF(Mecze[[#This Row],[Role]]&lt;&gt;"BR",SUMPRODUCT(Mecze[[#This Row],[/PR:90]:[/BR:90]],Brudnopis!$E$25:$J$25),0)</f>
        <v>0.24742268041237112</v>
      </c>
      <c r="V504" s="44">
        <f>IF(Mecze[[#This Row],[Role]]&lt;&gt;"BR",SUMPRODUCT(Mecze[[#This Row],[/PR:90]:[/BR:90]],Brudnopis!$E$26:$J$26),0)</f>
        <v>0.21649484536082472</v>
      </c>
      <c r="W504" s="44">
        <f>IF(Mecze[[#This Row],[Role]]&lt;&gt;"BR",SUMPRODUCT(Mecze[[#This Row],[/PR:90]:[/BR:90]],Brudnopis!$E$27:$J$27),0)</f>
        <v>0.20876288659793812</v>
      </c>
      <c r="X504" s="44">
        <f>IF(Mecze[[#This Row],[Role]]&lt;&gt;"BR",SUMPRODUCT(Mecze[[#This Row],[/PR:90]:[/BR:90]],Brudnopis!$E$28:$J$28),0)</f>
        <v>6.1855670103092786E-2</v>
      </c>
      <c r="Y504" s="35">
        <f>IF(Mecze[[#This Row],[Role]]="BR",Mecze[[#This Row],[/OB:90]]+Mecze[[#This Row],[/PC:90]],SUM(Mecze[[#This Row],[/PR:90]:[/BR:90]]))</f>
        <v>0.21649484536082472</v>
      </c>
      <c r="Z504" s="35">
        <f>IF(Mecze[[#This Row],[KC]]=0,SUM(Mecze[[#This Row],[/BRI]:[/NPI]]),SUM(Mecze[[#This Row],[/BRI]:[/NPI]])*0.6)</f>
        <v>0.95618556701030921</v>
      </c>
      <c r="AA504" s="10">
        <f>IFERROR(Mecze[[#This Row],[BR]]/Mecze[[#This Row],[ST]],0)</f>
        <v>0</v>
      </c>
      <c r="AB504">
        <f>ROUND(Mecze[[#This Row],[PD]]*Mecze[[#This Row],[%PC]],0)</f>
        <v>6</v>
      </c>
      <c r="AC504">
        <f>ROUND(Mecze[[#This Row],[OD]]*Mecze[[#This Row],[%OU]],0)</f>
        <v>1</v>
      </c>
      <c r="AD504" s="41" t="s">
        <v>41</v>
      </c>
      <c r="AE504" s="36">
        <v>29</v>
      </c>
      <c r="AF504" s="71">
        <v>6.85</v>
      </c>
      <c r="AG504" s="37">
        <v>0</v>
      </c>
      <c r="AH504" s="37">
        <v>0</v>
      </c>
      <c r="AI504" s="37">
        <v>97</v>
      </c>
      <c r="AJ504" s="37">
        <v>1</v>
      </c>
      <c r="AK504" s="37" t="str">
        <f>VLOOKUP(Mecze[[#This Row],[Match ID]],Meczusie[Mecz]:Meczusie[RodzajMeczu],2,FALSE)</f>
        <v>Towarzyski</v>
      </c>
    </row>
    <row r="505" spans="1:37" x14ac:dyDescent="0.25">
      <c r="A505" s="76">
        <v>52</v>
      </c>
      <c r="B505" s="3" t="s">
        <v>408</v>
      </c>
      <c r="C505" s="2" t="s">
        <v>160</v>
      </c>
      <c r="D505" s="1">
        <v>0</v>
      </c>
      <c r="E505" s="1">
        <v>0</v>
      </c>
      <c r="F505" s="1">
        <v>0</v>
      </c>
      <c r="G505" s="1">
        <v>8</v>
      </c>
      <c r="H505" s="4">
        <v>0.5</v>
      </c>
      <c r="I505" s="1">
        <v>5</v>
      </c>
      <c r="J505" s="4">
        <v>0.2</v>
      </c>
      <c r="K505" s="1">
        <v>0</v>
      </c>
      <c r="L505" s="1">
        <v>4</v>
      </c>
      <c r="M505" s="32">
        <f>IF(Mecze[[#This Row],[PR]]=0,0,Mecze[[#This Row],[PR]]/Mecze[[#This Row],[CZAS]])</f>
        <v>4.1237113402061855E-2</v>
      </c>
      <c r="N505" s="32">
        <f>IF(Mecze[[#This Row],[OU]]=0,0,Mecze[[#This Row],[OU]]/Mecze[[#This Row],[CZAS]])</f>
        <v>1.0309278350515464E-2</v>
      </c>
      <c r="O505" s="32">
        <f>IF(Mecze[[#This Row],[PC]]=0,0,Mecze[[#This Row],[PC]]/Mecze[[#This Row],[CZAS]])</f>
        <v>4.1237113402061855E-2</v>
      </c>
      <c r="P505" s="32">
        <f>IF(Mecze[[#This Row],[SC]]=0,0,Mecze[[#This Row],[SC]]/Mecze[[#This Row],[CZAS]])</f>
        <v>0</v>
      </c>
      <c r="Q505" s="32">
        <f>IF(Mecze[[#This Row],[OB]]=0,0,Mecze[[#This Row],[OB]]/Mecze[[#This Row],[CZAS]])</f>
        <v>0</v>
      </c>
      <c r="R505" s="32">
        <f>IF(Mecze[[#This Row],[BR]]=0,0,Mecze[[#This Row],[BR]]/Mecze[[#This Row],[CZAS]])</f>
        <v>0</v>
      </c>
      <c r="S505" s="44">
        <f>IF(Mecze[[#This Row],[Role]]="BR",SUMPRODUCT(Mecze[[#This Row],[/PR:90]:[/BR:90]],Brudnopis!$E$23:$J$23),0)</f>
        <v>0</v>
      </c>
      <c r="T505" s="44">
        <f>IF(Mecze[[#This Row],[Role]]&lt;&gt;"BR",SUMPRODUCT(Mecze[[#This Row],[/PR:90]:[/BR:90]],Brudnopis!$E$24:$J$24),0)</f>
        <v>9.7938144329896906E-2</v>
      </c>
      <c r="U505" s="44">
        <f>IF(Mecze[[#This Row],[Role]]&lt;&gt;"BR",SUMPRODUCT(Mecze[[#This Row],[/PR:90]:[/BR:90]],Brudnopis!$E$25:$J$25),0)</f>
        <v>0.1134020618556701</v>
      </c>
      <c r="V505" s="44">
        <f>IF(Mecze[[#This Row],[Role]]&lt;&gt;"BR",SUMPRODUCT(Mecze[[#This Row],[/PR:90]:[/BR:90]],Brudnopis!$E$26:$J$26),0)</f>
        <v>9.2783505154639179E-2</v>
      </c>
      <c r="W505" s="44">
        <f>IF(Mecze[[#This Row],[Role]]&lt;&gt;"BR",SUMPRODUCT(Mecze[[#This Row],[/PR:90]:[/BR:90]],Brudnopis!$E$27:$J$27),0)</f>
        <v>0.10051546391752578</v>
      </c>
      <c r="X505" s="44">
        <f>IF(Mecze[[#This Row],[Role]]&lt;&gt;"BR",SUMPRODUCT(Mecze[[#This Row],[/PR:90]:[/BR:90]],Brudnopis!$E$28:$J$28),0)</f>
        <v>4.1237113402061855E-2</v>
      </c>
      <c r="Y505" s="35">
        <f>IF(Mecze[[#This Row],[Role]]="BR",Mecze[[#This Row],[/OB:90]]+Mecze[[#This Row],[/PC:90]],SUM(Mecze[[#This Row],[/PR:90]:[/BR:90]]))</f>
        <v>9.2783505154639179E-2</v>
      </c>
      <c r="Z505" s="35">
        <f>IF(Mecze[[#This Row],[KC]]=0,SUM(Mecze[[#This Row],[/BRI]:[/NPI]]),SUM(Mecze[[#This Row],[/BRI]:[/NPI]])*0.6)</f>
        <v>0.44587628865979384</v>
      </c>
      <c r="AA505" s="10">
        <f>IFERROR(Mecze[[#This Row],[BR]]/Mecze[[#This Row],[ST]],0)</f>
        <v>0</v>
      </c>
      <c r="AB505">
        <f>ROUND(Mecze[[#This Row],[PD]]*Mecze[[#This Row],[%PC]],0)</f>
        <v>4</v>
      </c>
      <c r="AC505">
        <f>ROUND(Mecze[[#This Row],[OD]]*Mecze[[#This Row],[%OU]],0)</f>
        <v>1</v>
      </c>
      <c r="AD505" s="41" t="s">
        <v>41</v>
      </c>
      <c r="AE505" s="36">
        <v>29</v>
      </c>
      <c r="AF505" s="71">
        <v>4.75</v>
      </c>
      <c r="AG505" s="37">
        <v>0</v>
      </c>
      <c r="AH505" s="37">
        <v>0</v>
      </c>
      <c r="AI505" s="37">
        <v>97</v>
      </c>
      <c r="AJ505" s="37">
        <v>1</v>
      </c>
      <c r="AK505" s="37" t="str">
        <f>VLOOKUP(Mecze[[#This Row],[Match ID]],Meczusie[Mecz]:Meczusie[RodzajMeczu],2,FALSE)</f>
        <v>Towarzyski</v>
      </c>
    </row>
    <row r="506" spans="1:37" x14ac:dyDescent="0.25">
      <c r="A506" s="76">
        <v>27</v>
      </c>
      <c r="B506" s="3" t="s">
        <v>364</v>
      </c>
      <c r="C506" s="2" t="s">
        <v>160</v>
      </c>
      <c r="D506" s="1">
        <v>0</v>
      </c>
      <c r="E506" s="1">
        <v>0</v>
      </c>
      <c r="F506" s="1">
        <v>0</v>
      </c>
      <c r="G506" s="1">
        <v>13</v>
      </c>
      <c r="H506" s="4">
        <v>0.54</v>
      </c>
      <c r="I506" s="1">
        <v>4</v>
      </c>
      <c r="J506" s="4">
        <v>0.5</v>
      </c>
      <c r="K506" s="1">
        <v>0</v>
      </c>
      <c r="L506" s="1">
        <v>9</v>
      </c>
      <c r="M506" s="32">
        <f>IF(Mecze[[#This Row],[PR]]=0,0,Mecze[[#This Row],[PR]]/Mecze[[#This Row],[CZAS]])</f>
        <v>9.2783505154639179E-2</v>
      </c>
      <c r="N506" s="32">
        <f>IF(Mecze[[#This Row],[OU]]=0,0,Mecze[[#This Row],[OU]]/Mecze[[#This Row],[CZAS]])</f>
        <v>2.0618556701030927E-2</v>
      </c>
      <c r="O506" s="32">
        <f>IF(Mecze[[#This Row],[PC]]=0,0,Mecze[[#This Row],[PC]]/Mecze[[#This Row],[CZAS]])</f>
        <v>7.2164948453608241E-2</v>
      </c>
      <c r="P506" s="32">
        <f>IF(Mecze[[#This Row],[SC]]=0,0,Mecze[[#This Row],[SC]]/Mecze[[#This Row],[CZAS]])</f>
        <v>0</v>
      </c>
      <c r="Q506" s="32">
        <f>IF(Mecze[[#This Row],[OB]]=0,0,Mecze[[#This Row],[OB]]/Mecze[[#This Row],[CZAS]])</f>
        <v>0</v>
      </c>
      <c r="R506" s="32">
        <f>IF(Mecze[[#This Row],[BR]]=0,0,Mecze[[#This Row],[BR]]/Mecze[[#This Row],[CZAS]])</f>
        <v>0</v>
      </c>
      <c r="S506" s="44">
        <f>IF(Mecze[[#This Row],[Role]]="BR",SUMPRODUCT(Mecze[[#This Row],[/PR:90]:[/BR:90]],Brudnopis!$E$23:$J$23),0)</f>
        <v>0</v>
      </c>
      <c r="T506" s="44">
        <f>IF(Mecze[[#This Row],[Role]]&lt;&gt;"BR",SUMPRODUCT(Mecze[[#This Row],[/PR:90]:[/BR:90]],Brudnopis!$E$24:$J$24),0)</f>
        <v>0.19587628865979381</v>
      </c>
      <c r="U506" s="44">
        <f>IF(Mecze[[#This Row],[Role]]&lt;&gt;"BR",SUMPRODUCT(Mecze[[#This Row],[/PR:90]:[/BR:90]],Brudnopis!$E$25:$J$25),0)</f>
        <v>0.22164948453608246</v>
      </c>
      <c r="V506" s="44">
        <f>IF(Mecze[[#This Row],[Role]]&lt;&gt;"BR",SUMPRODUCT(Mecze[[#This Row],[/PR:90]:[/BR:90]],Brudnopis!$E$26:$J$26),0)</f>
        <v>0.18556701030927836</v>
      </c>
      <c r="W506" s="44">
        <f>IF(Mecze[[#This Row],[Role]]&lt;&gt;"BR",SUMPRODUCT(Mecze[[#This Row],[/PR:90]:[/BR:90]],Brudnopis!$E$27:$J$27),0)</f>
        <v>0.19329896907216493</v>
      </c>
      <c r="X506" s="44">
        <f>IF(Mecze[[#This Row],[Role]]&lt;&gt;"BR",SUMPRODUCT(Mecze[[#This Row],[/PR:90]:[/BR:90]],Brudnopis!$E$28:$J$28),0)</f>
        <v>7.2164948453608241E-2</v>
      </c>
      <c r="Y506" s="35">
        <f>IF(Mecze[[#This Row],[Role]]="BR",Mecze[[#This Row],[/OB:90]]+Mecze[[#This Row],[/PC:90]],SUM(Mecze[[#This Row],[/PR:90]:[/BR:90]]))</f>
        <v>0.18556701030927836</v>
      </c>
      <c r="Z506" s="35">
        <f>IF(Mecze[[#This Row],[KC]]=0,SUM(Mecze[[#This Row],[/BRI]:[/NPI]]),SUM(Mecze[[#This Row],[/BRI]:[/NPI]])*0.6)</f>
        <v>0.86855670103092775</v>
      </c>
      <c r="AA506" s="10">
        <f>IFERROR(Mecze[[#This Row],[BR]]/Mecze[[#This Row],[ST]],0)</f>
        <v>0</v>
      </c>
      <c r="AB506">
        <f>ROUND(Mecze[[#This Row],[PD]]*Mecze[[#This Row],[%PC]],0)</f>
        <v>7</v>
      </c>
      <c r="AC506">
        <f>ROUND(Mecze[[#This Row],[OD]]*Mecze[[#This Row],[%OU]],0)</f>
        <v>2</v>
      </c>
      <c r="AD506" s="42" t="s">
        <v>67</v>
      </c>
      <c r="AE506" s="36">
        <v>29</v>
      </c>
      <c r="AF506" s="71">
        <v>4.6900000000000004</v>
      </c>
      <c r="AG506" s="37">
        <v>1</v>
      </c>
      <c r="AH506" s="37">
        <v>0</v>
      </c>
      <c r="AI506" s="37">
        <v>97</v>
      </c>
      <c r="AJ506" s="37">
        <v>1</v>
      </c>
      <c r="AK506" s="37" t="str">
        <f>VLOOKUP(Mecze[[#This Row],[Match ID]],Meczusie[Mecz]:Meczusie[RodzajMeczu],2,FALSE)</f>
        <v>Towarzyski</v>
      </c>
    </row>
    <row r="507" spans="1:37" x14ac:dyDescent="0.25">
      <c r="A507" s="76">
        <v>45</v>
      </c>
      <c r="B507" s="3" t="s">
        <v>394</v>
      </c>
      <c r="C507" s="2" t="s">
        <v>160</v>
      </c>
      <c r="D507" s="1">
        <v>0</v>
      </c>
      <c r="E507" s="1">
        <v>0</v>
      </c>
      <c r="F507" s="1">
        <v>0</v>
      </c>
      <c r="G507" s="1">
        <v>6</v>
      </c>
      <c r="H507" s="4">
        <v>0.67</v>
      </c>
      <c r="I507" s="1">
        <v>5</v>
      </c>
      <c r="J507" s="4">
        <v>0.4</v>
      </c>
      <c r="K507" s="1">
        <v>0</v>
      </c>
      <c r="L507" s="1">
        <v>0</v>
      </c>
      <c r="M507" s="32">
        <f>IF(Mecze[[#This Row],[PR]]=0,0,Mecze[[#This Row],[PR]]/Mecze[[#This Row],[CZAS]])</f>
        <v>0</v>
      </c>
      <c r="N507" s="32">
        <f>IF(Mecze[[#This Row],[OU]]=0,0,Mecze[[#This Row],[OU]]/Mecze[[#This Row],[CZAS]])</f>
        <v>2.0618556701030927E-2</v>
      </c>
      <c r="O507" s="32">
        <f>IF(Mecze[[#This Row],[PC]]=0,0,Mecze[[#This Row],[PC]]/Mecze[[#This Row],[CZAS]])</f>
        <v>4.1237113402061855E-2</v>
      </c>
      <c r="P507" s="32">
        <f>IF(Mecze[[#This Row],[SC]]=0,0,Mecze[[#This Row],[SC]]/Mecze[[#This Row],[CZAS]])</f>
        <v>0</v>
      </c>
      <c r="Q507" s="32">
        <f>IF(Mecze[[#This Row],[OB]]=0,0,Mecze[[#This Row],[OB]]/Mecze[[#This Row],[CZAS]])</f>
        <v>0</v>
      </c>
      <c r="R507" s="32">
        <f>IF(Mecze[[#This Row],[BR]]=0,0,Mecze[[#This Row],[BR]]/Mecze[[#This Row],[CZAS]])</f>
        <v>0</v>
      </c>
      <c r="S507" s="44">
        <f>IF(Mecze[[#This Row],[Role]]="BR",SUMPRODUCT(Mecze[[#This Row],[/PR:90]:[/BR:90]],Brudnopis!$E$23:$J$23),0)</f>
        <v>0</v>
      </c>
      <c r="T507" s="44">
        <f>IF(Mecze[[#This Row],[Role]]&lt;&gt;"BR",SUMPRODUCT(Mecze[[#This Row],[/PR:90]:[/BR:90]],Brudnopis!$E$24:$J$24),0)</f>
        <v>7.2164948453608241E-2</v>
      </c>
      <c r="U507" s="44">
        <f>IF(Mecze[[#This Row],[Role]]&lt;&gt;"BR",SUMPRODUCT(Mecze[[#This Row],[/PR:90]:[/BR:90]],Brudnopis!$E$25:$J$25),0)</f>
        <v>8.247422680412371E-2</v>
      </c>
      <c r="V507" s="44">
        <f>IF(Mecze[[#This Row],[Role]]&lt;&gt;"BR",SUMPRODUCT(Mecze[[#This Row],[/PR:90]:[/BR:90]],Brudnopis!$E$26:$J$26),0)</f>
        <v>6.1855670103092786E-2</v>
      </c>
      <c r="W507" s="44">
        <f>IF(Mecze[[#This Row],[Role]]&lt;&gt;"BR",SUMPRODUCT(Mecze[[#This Row],[/PR:90]:[/BR:90]],Brudnopis!$E$27:$J$27),0)</f>
        <v>7.7319587628865982E-2</v>
      </c>
      <c r="X507" s="44">
        <f>IF(Mecze[[#This Row],[Role]]&lt;&gt;"BR",SUMPRODUCT(Mecze[[#This Row],[/PR:90]:[/BR:90]],Brudnopis!$E$28:$J$28),0)</f>
        <v>4.1237113402061855E-2</v>
      </c>
      <c r="Y507" s="35">
        <f>IF(Mecze[[#This Row],[Role]]="BR",Mecze[[#This Row],[/OB:90]]+Mecze[[#This Row],[/PC:90]],SUM(Mecze[[#This Row],[/PR:90]:[/BR:90]]))</f>
        <v>6.1855670103092786E-2</v>
      </c>
      <c r="Z507" s="35">
        <f>IF(Mecze[[#This Row],[KC]]=0,SUM(Mecze[[#This Row],[/BRI]:[/NPI]]),SUM(Mecze[[#This Row],[/BRI]:[/NPI]])*0.6)</f>
        <v>0.33505154639175261</v>
      </c>
      <c r="AA507" s="10">
        <f>IFERROR(Mecze[[#This Row],[BR]]/Mecze[[#This Row],[ST]],0)</f>
        <v>0</v>
      </c>
      <c r="AB507">
        <f>ROUND(Mecze[[#This Row],[PD]]*Mecze[[#This Row],[%PC]],0)</f>
        <v>4</v>
      </c>
      <c r="AC507">
        <f>ROUND(Mecze[[#This Row],[OD]]*Mecze[[#This Row],[%OU]],0)</f>
        <v>2</v>
      </c>
      <c r="AD507" s="41" t="s">
        <v>44</v>
      </c>
      <c r="AE507" s="36">
        <v>29</v>
      </c>
      <c r="AF507" s="71">
        <v>3.91</v>
      </c>
      <c r="AG507" s="37">
        <v>0</v>
      </c>
      <c r="AH507" s="37">
        <v>0</v>
      </c>
      <c r="AI507" s="37">
        <v>97</v>
      </c>
      <c r="AJ507" s="37">
        <v>1</v>
      </c>
      <c r="AK507" s="37" t="str">
        <f>VLOOKUP(Mecze[[#This Row],[Match ID]],Meczusie[Mecz]:Meczusie[RodzajMeczu],2,FALSE)</f>
        <v>Towarzyski</v>
      </c>
    </row>
    <row r="508" spans="1:37" x14ac:dyDescent="0.25">
      <c r="A508" s="76">
        <v>29</v>
      </c>
      <c r="B508" s="3" t="s">
        <v>367</v>
      </c>
      <c r="C508" s="2" t="s">
        <v>160</v>
      </c>
      <c r="D508" s="1">
        <v>1</v>
      </c>
      <c r="E508" s="1">
        <v>2</v>
      </c>
      <c r="F508" s="1">
        <v>2</v>
      </c>
      <c r="G508" s="1">
        <v>7</v>
      </c>
      <c r="H508" s="4">
        <v>0.14000000000000001</v>
      </c>
      <c r="I508" s="1">
        <v>0</v>
      </c>
      <c r="J508" s="4"/>
      <c r="K508" s="1">
        <v>0</v>
      </c>
      <c r="L508" s="1">
        <v>2</v>
      </c>
      <c r="M508" s="32">
        <f>IF(Mecze[[#This Row],[PR]]=0,0,Mecze[[#This Row],[PR]]/Mecze[[#This Row],[CZAS]])</f>
        <v>2.0618556701030927E-2</v>
      </c>
      <c r="N508" s="32">
        <f>IF(Mecze[[#This Row],[OU]]=0,0,Mecze[[#This Row],[OU]]/Mecze[[#This Row],[CZAS]])</f>
        <v>0</v>
      </c>
      <c r="O508" s="32">
        <f>IF(Mecze[[#This Row],[PC]]=0,0,Mecze[[#This Row],[PC]]/Mecze[[#This Row],[CZAS]])</f>
        <v>1.0309278350515464E-2</v>
      </c>
      <c r="P508" s="32">
        <f>IF(Mecze[[#This Row],[SC]]=0,0,Mecze[[#This Row],[SC]]/Mecze[[#This Row],[CZAS]])</f>
        <v>2.0618556701030927E-2</v>
      </c>
      <c r="Q508" s="32">
        <f>IF(Mecze[[#This Row],[OB]]=0,0,Mecze[[#This Row],[OB]]/Mecze[[#This Row],[CZAS]])</f>
        <v>0</v>
      </c>
      <c r="R508" s="32">
        <f>IF(Mecze[[#This Row],[BR]]=0,0,Mecze[[#This Row],[BR]]/Mecze[[#This Row],[CZAS]])</f>
        <v>1.0309278350515464E-2</v>
      </c>
      <c r="S508" s="44">
        <f>IF(Mecze[[#This Row],[Role]]="BR",SUMPRODUCT(Mecze[[#This Row],[/PR:90]:[/BR:90]],Brudnopis!$E$23:$J$23),0)</f>
        <v>0</v>
      </c>
      <c r="T508" s="44">
        <f>IF(Mecze[[#This Row],[Role]]&lt;&gt;"BR",SUMPRODUCT(Mecze[[#This Row],[/PR:90]:[/BR:90]],Brudnopis!$E$24:$J$24),0)</f>
        <v>6.7010309278350513E-2</v>
      </c>
      <c r="U508" s="44">
        <f>IF(Mecze[[#This Row],[Role]]&lt;&gt;"BR",SUMPRODUCT(Mecze[[#This Row],[/PR:90]:[/BR:90]],Brudnopis!$E$25:$J$25),0)</f>
        <v>7.2164948453608241E-2</v>
      </c>
      <c r="V508" s="44">
        <f>IF(Mecze[[#This Row],[Role]]&lt;&gt;"BR",SUMPRODUCT(Mecze[[#This Row],[/PR:90]:[/BR:90]],Brudnopis!$E$26:$J$26),0)</f>
        <v>7.2164948453608241E-2</v>
      </c>
      <c r="W508" s="44">
        <f>IF(Mecze[[#This Row],[Role]]&lt;&gt;"BR",SUMPRODUCT(Mecze[[#This Row],[/PR:90]:[/BR:90]],Brudnopis!$E$27:$J$27),0)</f>
        <v>7.2164948453608241E-2</v>
      </c>
      <c r="X508" s="44">
        <f>IF(Mecze[[#This Row],[Role]]&lt;&gt;"BR",SUMPRODUCT(Mecze[[#This Row],[/PR:90]:[/BR:90]],Brudnopis!$E$28:$J$28),0)</f>
        <v>8.247422680412371E-2</v>
      </c>
      <c r="Y508" s="35">
        <f>IF(Mecze[[#This Row],[Role]]="BR",Mecze[[#This Row],[/OB:90]]+Mecze[[#This Row],[/PC:90]],SUM(Mecze[[#This Row],[/PR:90]:[/BR:90]]))</f>
        <v>6.1855670103092779E-2</v>
      </c>
      <c r="Z508" s="35">
        <f>IF(Mecze[[#This Row],[KC]]=0,SUM(Mecze[[#This Row],[/BRI]:[/NPI]]),SUM(Mecze[[#This Row],[/BRI]:[/NPI]])*0.6)</f>
        <v>0.36597938144329895</v>
      </c>
      <c r="AA508" s="10">
        <f>IFERROR(Mecze[[#This Row],[BR]]/Mecze[[#This Row],[ST]],0)</f>
        <v>0.5</v>
      </c>
      <c r="AB508">
        <f>ROUND(Mecze[[#This Row],[PD]]*Mecze[[#This Row],[%PC]],0)</f>
        <v>1</v>
      </c>
      <c r="AC508">
        <f>ROUND(Mecze[[#This Row],[OD]]*Mecze[[#This Row],[%OU]],0)</f>
        <v>0</v>
      </c>
      <c r="AD508" s="41" t="s">
        <v>44</v>
      </c>
      <c r="AE508" s="36">
        <v>29</v>
      </c>
      <c r="AF508" s="71">
        <v>5.69</v>
      </c>
      <c r="AG508" s="37">
        <v>0</v>
      </c>
      <c r="AH508" s="37">
        <v>0</v>
      </c>
      <c r="AI508" s="37">
        <v>97</v>
      </c>
      <c r="AJ508" s="37">
        <v>1</v>
      </c>
      <c r="AK508" s="37" t="str">
        <f>VLOOKUP(Mecze[[#This Row],[Match ID]],Meczusie[Mecz]:Meczusie[RodzajMeczu],2,FALSE)</f>
        <v>Towarzyski</v>
      </c>
    </row>
    <row r="509" spans="1:37" x14ac:dyDescent="0.25">
      <c r="A509" s="76">
        <v>46</v>
      </c>
      <c r="B509" s="3" t="s">
        <v>395</v>
      </c>
      <c r="C509" s="2" t="s">
        <v>165</v>
      </c>
      <c r="D509" s="1">
        <v>1</v>
      </c>
      <c r="E509" s="1">
        <v>4</v>
      </c>
      <c r="F509" s="1">
        <v>3</v>
      </c>
      <c r="G509" s="1">
        <v>13</v>
      </c>
      <c r="H509" s="4">
        <v>0.38</v>
      </c>
      <c r="I509" s="1">
        <v>4</v>
      </c>
      <c r="J509" s="4">
        <v>0</v>
      </c>
      <c r="K509" s="1">
        <v>0</v>
      </c>
      <c r="L509" s="1">
        <v>1</v>
      </c>
      <c r="M509" s="32">
        <f>IF(Mecze[[#This Row],[PR]]=0,0,Mecze[[#This Row],[PR]]/Mecze[[#This Row],[CZAS]])</f>
        <v>1.0309278350515464E-2</v>
      </c>
      <c r="N509" s="32">
        <f>IF(Mecze[[#This Row],[OU]]=0,0,Mecze[[#This Row],[OU]]/Mecze[[#This Row],[CZAS]])</f>
        <v>0</v>
      </c>
      <c r="O509" s="32">
        <f>IF(Mecze[[#This Row],[PC]]=0,0,Mecze[[#This Row],[PC]]/Mecze[[#This Row],[CZAS]])</f>
        <v>5.1546391752577317E-2</v>
      </c>
      <c r="P509" s="32">
        <f>IF(Mecze[[#This Row],[SC]]=0,0,Mecze[[#This Row],[SC]]/Mecze[[#This Row],[CZAS]])</f>
        <v>3.0927835051546393E-2</v>
      </c>
      <c r="Q509" s="32">
        <f>IF(Mecze[[#This Row],[OB]]=0,0,Mecze[[#This Row],[OB]]/Mecze[[#This Row],[CZAS]])</f>
        <v>0</v>
      </c>
      <c r="R509" s="32">
        <f>IF(Mecze[[#This Row],[BR]]=0,0,Mecze[[#This Row],[BR]]/Mecze[[#This Row],[CZAS]])</f>
        <v>1.0309278350515464E-2</v>
      </c>
      <c r="S509" s="44">
        <f>IF(Mecze[[#This Row],[Role]]="BR",SUMPRODUCT(Mecze[[#This Row],[/PR:90]:[/BR:90]],Brudnopis!$E$23:$J$23),0)</f>
        <v>0</v>
      </c>
      <c r="T509" s="44">
        <f>IF(Mecze[[#This Row],[Role]]&lt;&gt;"BR",SUMPRODUCT(Mecze[[#This Row],[/PR:90]:[/BR:90]],Brudnopis!$E$24:$J$24),0)</f>
        <v>0.10824742268041238</v>
      </c>
      <c r="U509" s="44">
        <f>IF(Mecze[[#This Row],[Role]]&lt;&gt;"BR",SUMPRODUCT(Mecze[[#This Row],[/PR:90]:[/BR:90]],Brudnopis!$E$25:$J$25),0)</f>
        <v>0.13402061855670105</v>
      </c>
      <c r="V509" s="44">
        <f>IF(Mecze[[#This Row],[Role]]&lt;&gt;"BR",SUMPRODUCT(Mecze[[#This Row],[/PR:90]:[/BR:90]],Brudnopis!$E$26:$J$26),0)</f>
        <v>0.1134020618556701</v>
      </c>
      <c r="W509" s="44">
        <f>IF(Mecze[[#This Row],[Role]]&lt;&gt;"BR",SUMPRODUCT(Mecze[[#This Row],[/PR:90]:[/BR:90]],Brudnopis!$E$27:$J$27),0)</f>
        <v>0.13659793814432991</v>
      </c>
      <c r="X509" s="44">
        <f>IF(Mecze[[#This Row],[Role]]&lt;&gt;"BR",SUMPRODUCT(Mecze[[#This Row],[/PR:90]:[/BR:90]],Brudnopis!$E$28:$J$28),0)</f>
        <v>0.14432989690721648</v>
      </c>
      <c r="Y509" s="35">
        <f>IF(Mecze[[#This Row],[Role]]="BR",Mecze[[#This Row],[/OB:90]]+Mecze[[#This Row],[/PC:90]],SUM(Mecze[[#This Row],[/PR:90]:[/BR:90]]))</f>
        <v>0.10309278350515465</v>
      </c>
      <c r="Z509" s="35">
        <f>IF(Mecze[[#This Row],[KC]]=0,SUM(Mecze[[#This Row],[/BRI]:[/NPI]]),SUM(Mecze[[#This Row],[/BRI]:[/NPI]])*0.6)</f>
        <v>0.63659793814432986</v>
      </c>
      <c r="AA509" s="10">
        <f>IFERROR(Mecze[[#This Row],[BR]]/Mecze[[#This Row],[ST]],0)</f>
        <v>0.25</v>
      </c>
      <c r="AB509">
        <f>ROUND(Mecze[[#This Row],[PD]]*Mecze[[#This Row],[%PC]],0)</f>
        <v>5</v>
      </c>
      <c r="AC509">
        <f>ROUND(Mecze[[#This Row],[OD]]*Mecze[[#This Row],[%OU]],0)</f>
        <v>0</v>
      </c>
      <c r="AD509" s="42" t="s">
        <v>46</v>
      </c>
      <c r="AE509" s="36">
        <v>29</v>
      </c>
      <c r="AF509" s="71">
        <v>5.67</v>
      </c>
      <c r="AG509" s="37">
        <v>0</v>
      </c>
      <c r="AH509" s="37">
        <v>0</v>
      </c>
      <c r="AI509" s="37">
        <v>97</v>
      </c>
      <c r="AJ509" s="37">
        <v>1</v>
      </c>
      <c r="AK509" s="37" t="str">
        <f>VLOOKUP(Mecze[[#This Row],[Match ID]],Meczusie[Mecz]:Meczusie[RodzajMeczu],2,FALSE)</f>
        <v>Towarzyski</v>
      </c>
    </row>
    <row r="510" spans="1:37" x14ac:dyDescent="0.25">
      <c r="A510" s="76">
        <v>26</v>
      </c>
      <c r="B510" s="3" t="s">
        <v>368</v>
      </c>
      <c r="C510" s="2" t="s">
        <v>165</v>
      </c>
      <c r="D510" s="1">
        <v>1</v>
      </c>
      <c r="E510" s="1">
        <v>3</v>
      </c>
      <c r="F510" s="1">
        <v>3</v>
      </c>
      <c r="G510" s="1">
        <v>2</v>
      </c>
      <c r="H510" s="4">
        <v>0.5</v>
      </c>
      <c r="I510" s="1">
        <v>3</v>
      </c>
      <c r="J510" s="4">
        <v>0</v>
      </c>
      <c r="K510" s="1">
        <v>0</v>
      </c>
      <c r="L510" s="1">
        <v>0</v>
      </c>
      <c r="M510" s="32">
        <f>IF(Mecze[[#This Row],[PR]]=0,0,Mecze[[#This Row],[PR]]/Mecze[[#This Row],[CZAS]])</f>
        <v>0</v>
      </c>
      <c r="N510" s="32">
        <f>IF(Mecze[[#This Row],[OU]]=0,0,Mecze[[#This Row],[OU]]/Mecze[[#This Row],[CZAS]])</f>
        <v>0</v>
      </c>
      <c r="O510" s="32">
        <f>IF(Mecze[[#This Row],[PC]]=0,0,Mecze[[#This Row],[PC]]/Mecze[[#This Row],[CZAS]])</f>
        <v>1.0309278350515464E-2</v>
      </c>
      <c r="P510" s="32">
        <f>IF(Mecze[[#This Row],[SC]]=0,0,Mecze[[#This Row],[SC]]/Mecze[[#This Row],[CZAS]])</f>
        <v>3.0927835051546393E-2</v>
      </c>
      <c r="Q510" s="32">
        <f>IF(Mecze[[#This Row],[OB]]=0,0,Mecze[[#This Row],[OB]]/Mecze[[#This Row],[CZAS]])</f>
        <v>0</v>
      </c>
      <c r="R510" s="32">
        <f>IF(Mecze[[#This Row],[BR]]=0,0,Mecze[[#This Row],[BR]]/Mecze[[#This Row],[CZAS]])</f>
        <v>1.0309278350515464E-2</v>
      </c>
      <c r="S510" s="44">
        <f>IF(Mecze[[#This Row],[Role]]="BR",SUMPRODUCT(Mecze[[#This Row],[/PR:90]:[/BR:90]],Brudnopis!$E$23:$J$23),0)</f>
        <v>0</v>
      </c>
      <c r="T510" s="44">
        <f>IF(Mecze[[#This Row],[Role]]&lt;&gt;"BR",SUMPRODUCT(Mecze[[#This Row],[/PR:90]:[/BR:90]],Brudnopis!$E$24:$J$24),0)</f>
        <v>5.6701030927835051E-2</v>
      </c>
      <c r="U510" s="44">
        <f>IF(Mecze[[#This Row],[Role]]&lt;&gt;"BR",SUMPRODUCT(Mecze[[#This Row],[/PR:90]:[/BR:90]],Brudnopis!$E$25:$J$25),0)</f>
        <v>6.1855670103092786E-2</v>
      </c>
      <c r="V510" s="44">
        <f>IF(Mecze[[#This Row],[Role]]&lt;&gt;"BR",SUMPRODUCT(Mecze[[#This Row],[/PR:90]:[/BR:90]],Brudnopis!$E$26:$J$26),0)</f>
        <v>6.1855670103092786E-2</v>
      </c>
      <c r="W510" s="44">
        <f>IF(Mecze[[#This Row],[Role]]&lt;&gt;"BR",SUMPRODUCT(Mecze[[#This Row],[/PR:90]:[/BR:90]],Brudnopis!$E$27:$J$27),0)</f>
        <v>6.7010309278350513E-2</v>
      </c>
      <c r="X510" s="44">
        <f>IF(Mecze[[#This Row],[Role]]&lt;&gt;"BR",SUMPRODUCT(Mecze[[#This Row],[/PR:90]:[/BR:90]],Brudnopis!$E$28:$J$28),0)</f>
        <v>0.10309278350515465</v>
      </c>
      <c r="Y510" s="35">
        <f>IF(Mecze[[#This Row],[Role]]="BR",Mecze[[#This Row],[/OB:90]]+Mecze[[#This Row],[/PC:90]],SUM(Mecze[[#This Row],[/PR:90]:[/BR:90]]))</f>
        <v>5.1546391752577317E-2</v>
      </c>
      <c r="Z510" s="35">
        <f>IF(Mecze[[#This Row],[KC]]=0,SUM(Mecze[[#This Row],[/BRI]:[/NPI]]),SUM(Mecze[[#This Row],[/BRI]:[/NPI]])*0.6)</f>
        <v>0.3505154639175258</v>
      </c>
      <c r="AA510" s="10">
        <f>IFERROR(Mecze[[#This Row],[BR]]/Mecze[[#This Row],[ST]],0)</f>
        <v>0.33333333333333331</v>
      </c>
      <c r="AB510">
        <f>ROUND(Mecze[[#This Row],[PD]]*Mecze[[#This Row],[%PC]],0)</f>
        <v>1</v>
      </c>
      <c r="AC510">
        <f>ROUND(Mecze[[#This Row],[OD]]*Mecze[[#This Row],[%OU]],0)</f>
        <v>0</v>
      </c>
      <c r="AD510" s="42" t="s">
        <v>46</v>
      </c>
      <c r="AE510" s="36">
        <v>29</v>
      </c>
      <c r="AF510" s="71">
        <v>5.67</v>
      </c>
      <c r="AG510" s="37">
        <v>0</v>
      </c>
      <c r="AH510" s="37">
        <v>0</v>
      </c>
      <c r="AI510" s="37">
        <v>97</v>
      </c>
      <c r="AJ510" s="37">
        <v>1</v>
      </c>
      <c r="AK510" s="37" t="str">
        <f>VLOOKUP(Mecze[[#This Row],[Match ID]],Meczusie[Mecz]:Meczusie[RodzajMeczu],2,FALSE)</f>
        <v>Towarzyski</v>
      </c>
    </row>
    <row r="511" spans="1:37" x14ac:dyDescent="0.25">
      <c r="A511" s="76">
        <v>49</v>
      </c>
      <c r="B511" s="3" t="s">
        <v>358</v>
      </c>
      <c r="C511" s="2" t="s">
        <v>155</v>
      </c>
      <c r="D511" s="1">
        <v>0</v>
      </c>
      <c r="E511" s="1">
        <v>0</v>
      </c>
      <c r="F511" s="1">
        <v>0</v>
      </c>
      <c r="G511" s="1">
        <v>10</v>
      </c>
      <c r="H511" s="4">
        <v>0</v>
      </c>
      <c r="I511" s="1">
        <v>0</v>
      </c>
      <c r="J511" s="4"/>
      <c r="K511" s="1">
        <v>6</v>
      </c>
      <c r="L511" s="1">
        <v>0</v>
      </c>
      <c r="M511" s="32">
        <f>IF(Mecze[[#This Row],[PR]]=0,0,Mecze[[#This Row],[PR]]/Mecze[[#This Row],[CZAS]])</f>
        <v>0</v>
      </c>
      <c r="N511" s="32">
        <f>IF(Mecze[[#This Row],[OU]]=0,0,Mecze[[#This Row],[OU]]/Mecze[[#This Row],[CZAS]])</f>
        <v>0</v>
      </c>
      <c r="O511" s="32">
        <f>IF(Mecze[[#This Row],[PC]]=0,0,Mecze[[#This Row],[PC]]/Mecze[[#This Row],[CZAS]])</f>
        <v>0</v>
      </c>
      <c r="P511" s="32">
        <f>IF(Mecze[[#This Row],[SC]]=0,0,Mecze[[#This Row],[SC]]/Mecze[[#This Row],[CZAS]])</f>
        <v>0</v>
      </c>
      <c r="Q511" s="32">
        <f>IF(Mecze[[#This Row],[OB]]=0,0,Mecze[[#This Row],[OB]]/Mecze[[#This Row],[CZAS]])</f>
        <v>6.25E-2</v>
      </c>
      <c r="R511" s="32">
        <f>IF(Mecze[[#This Row],[BR]]=0,0,Mecze[[#This Row],[BR]]/Mecze[[#This Row],[CZAS]])</f>
        <v>0</v>
      </c>
      <c r="S511" s="44">
        <f>IF(Mecze[[#This Row],[Role]]="BR",SUMPRODUCT(Mecze[[#This Row],[/PR:90]:[/BR:90]],Brudnopis!$E$23:$J$23),0)</f>
        <v>0.1875</v>
      </c>
      <c r="T511" s="44">
        <f>IF(Mecze[[#This Row],[Role]]&lt;&gt;"BR",SUMPRODUCT(Mecze[[#This Row],[/PR:90]:[/BR:90]],Brudnopis!$E$24:$J$24),0)</f>
        <v>0</v>
      </c>
      <c r="U511" s="44">
        <f>IF(Mecze[[#This Row],[Role]]&lt;&gt;"BR",SUMPRODUCT(Mecze[[#This Row],[/PR:90]:[/BR:90]],Brudnopis!$E$25:$J$25),0)</f>
        <v>0</v>
      </c>
      <c r="V511" s="44">
        <f>IF(Mecze[[#This Row],[Role]]&lt;&gt;"BR",SUMPRODUCT(Mecze[[#This Row],[/PR:90]:[/BR:90]],Brudnopis!$E$26:$J$26),0)</f>
        <v>0</v>
      </c>
      <c r="W511" s="44">
        <f>IF(Mecze[[#This Row],[Role]]&lt;&gt;"BR",SUMPRODUCT(Mecze[[#This Row],[/PR:90]:[/BR:90]],Brudnopis!$E$27:$J$27),0)</f>
        <v>0</v>
      </c>
      <c r="X511" s="44">
        <f>IF(Mecze[[#This Row],[Role]]&lt;&gt;"BR",SUMPRODUCT(Mecze[[#This Row],[/PR:90]:[/BR:90]],Brudnopis!$E$28:$J$28),0)</f>
        <v>0</v>
      </c>
      <c r="Y511" s="35">
        <f>IF(Mecze[[#This Row],[Role]]="BR",Mecze[[#This Row],[/OB:90]]+Mecze[[#This Row],[/PC:90]],SUM(Mecze[[#This Row],[/PR:90]:[/BR:90]]))</f>
        <v>6.25E-2</v>
      </c>
      <c r="Z511" s="35">
        <f>IF(Mecze[[#This Row],[KC]]=0,SUM(Mecze[[#This Row],[/BRI]:[/NPI]]),SUM(Mecze[[#This Row],[/BRI]:[/NPI]])*0.6)</f>
        <v>0.1875</v>
      </c>
      <c r="AA511" s="10">
        <f>IFERROR(Mecze[[#This Row],[BR]]/Mecze[[#This Row],[ST]],0)</f>
        <v>0</v>
      </c>
      <c r="AB511">
        <f>ROUND(Mecze[[#This Row],[PD]]*Mecze[[#This Row],[%PC]],0)</f>
        <v>0</v>
      </c>
      <c r="AC511">
        <f>ROUND(Mecze[[#This Row],[OD]]*Mecze[[#This Row],[%OU]],0)</f>
        <v>0</v>
      </c>
      <c r="AD511" s="41" t="s">
        <v>40</v>
      </c>
      <c r="AE511" s="36">
        <v>30</v>
      </c>
      <c r="AF511" s="71">
        <v>2.68</v>
      </c>
      <c r="AG511" s="37">
        <v>0</v>
      </c>
      <c r="AH511" s="37">
        <v>0</v>
      </c>
      <c r="AI511" s="37">
        <v>96</v>
      </c>
      <c r="AJ511" s="37">
        <v>1</v>
      </c>
      <c r="AK511" s="37" t="str">
        <f>VLOOKUP(Mecze[[#This Row],[Match ID]],Meczusie[Mecz]:Meczusie[RodzajMeczu],2,FALSE)</f>
        <v>Towarzyski</v>
      </c>
    </row>
    <row r="512" spans="1:37" x14ac:dyDescent="0.25">
      <c r="A512" s="76">
        <v>38</v>
      </c>
      <c r="B512" s="3" t="s">
        <v>359</v>
      </c>
      <c r="C512" s="2" t="s">
        <v>157</v>
      </c>
      <c r="D512" s="1">
        <v>0</v>
      </c>
      <c r="E512" s="1">
        <v>0</v>
      </c>
      <c r="F512" s="1">
        <v>0</v>
      </c>
      <c r="G512" s="1">
        <v>10</v>
      </c>
      <c r="H512" s="4">
        <v>0.4</v>
      </c>
      <c r="I512" s="1">
        <v>4</v>
      </c>
      <c r="J512" s="4">
        <v>0.5</v>
      </c>
      <c r="K512" s="1">
        <v>0</v>
      </c>
      <c r="L512" s="1">
        <v>2</v>
      </c>
      <c r="M512" s="32">
        <f>IF(Mecze[[#This Row],[PR]]=0,0,Mecze[[#This Row],[PR]]/Mecze[[#This Row],[CZAS]])</f>
        <v>2.0833333333333332E-2</v>
      </c>
      <c r="N512" s="32">
        <f>IF(Mecze[[#This Row],[OU]]=0,0,Mecze[[#This Row],[OU]]/Mecze[[#This Row],[CZAS]])</f>
        <v>2.0833333333333332E-2</v>
      </c>
      <c r="O512" s="32">
        <f>IF(Mecze[[#This Row],[PC]]=0,0,Mecze[[#This Row],[PC]]/Mecze[[#This Row],[CZAS]])</f>
        <v>4.1666666666666664E-2</v>
      </c>
      <c r="P512" s="32">
        <f>IF(Mecze[[#This Row],[SC]]=0,0,Mecze[[#This Row],[SC]]/Mecze[[#This Row],[CZAS]])</f>
        <v>0</v>
      </c>
      <c r="Q512" s="32">
        <f>IF(Mecze[[#This Row],[OB]]=0,0,Mecze[[#This Row],[OB]]/Mecze[[#This Row],[CZAS]])</f>
        <v>0</v>
      </c>
      <c r="R512" s="32">
        <f>IF(Mecze[[#This Row],[BR]]=0,0,Mecze[[#This Row],[BR]]/Mecze[[#This Row],[CZAS]])</f>
        <v>0</v>
      </c>
      <c r="S512" s="44">
        <f>IF(Mecze[[#This Row],[Role]]="BR",SUMPRODUCT(Mecze[[#This Row],[/PR:90]:[/BR:90]],Brudnopis!$E$23:$J$23),0)</f>
        <v>0</v>
      </c>
      <c r="T512" s="44">
        <f>IF(Mecze[[#This Row],[Role]]&lt;&gt;"BR",SUMPRODUCT(Mecze[[#This Row],[/PR:90]:[/BR:90]],Brudnopis!$E$24:$J$24),0)</f>
        <v>9.375E-2</v>
      </c>
      <c r="U512" s="44">
        <f>IF(Mecze[[#This Row],[Role]]&lt;&gt;"BR",SUMPRODUCT(Mecze[[#This Row],[/PR:90]:[/BR:90]],Brudnopis!$E$25:$J$25),0)</f>
        <v>0.10416666666666666</v>
      </c>
      <c r="V512" s="44">
        <f>IF(Mecze[[#This Row],[Role]]&lt;&gt;"BR",SUMPRODUCT(Mecze[[#This Row],[/PR:90]:[/BR:90]],Brudnopis!$E$26:$J$26),0)</f>
        <v>8.3333333333333329E-2</v>
      </c>
      <c r="W512" s="44">
        <f>IF(Mecze[[#This Row],[Role]]&lt;&gt;"BR",SUMPRODUCT(Mecze[[#This Row],[/PR:90]:[/BR:90]],Brudnopis!$E$27:$J$27),0)</f>
        <v>9.375E-2</v>
      </c>
      <c r="X512" s="44">
        <f>IF(Mecze[[#This Row],[Role]]&lt;&gt;"BR",SUMPRODUCT(Mecze[[#This Row],[/PR:90]:[/BR:90]],Brudnopis!$E$28:$J$28),0)</f>
        <v>4.1666666666666664E-2</v>
      </c>
      <c r="Y512" s="35">
        <f>IF(Mecze[[#This Row],[Role]]="BR",Mecze[[#This Row],[/OB:90]]+Mecze[[#This Row],[/PC:90]],SUM(Mecze[[#This Row],[/PR:90]:[/BR:90]]))</f>
        <v>8.3333333333333329E-2</v>
      </c>
      <c r="Z512" s="35">
        <f>IF(Mecze[[#This Row],[KC]]=0,SUM(Mecze[[#This Row],[/BRI]:[/NPI]]),SUM(Mecze[[#This Row],[/BRI]:[/NPI]])*0.6)</f>
        <v>0.41666666666666669</v>
      </c>
      <c r="AA512" s="10">
        <f>IFERROR(Mecze[[#This Row],[BR]]/Mecze[[#This Row],[ST]],0)</f>
        <v>0</v>
      </c>
      <c r="AB512">
        <f>ROUND(Mecze[[#This Row],[PD]]*Mecze[[#This Row],[%PC]],0)</f>
        <v>4</v>
      </c>
      <c r="AC512">
        <f>ROUND(Mecze[[#This Row],[OD]]*Mecze[[#This Row],[%OU]],0)</f>
        <v>2</v>
      </c>
      <c r="AD512" s="41" t="s">
        <v>47</v>
      </c>
      <c r="AE512" s="36">
        <v>30</v>
      </c>
      <c r="AF512" s="71">
        <v>2.12</v>
      </c>
      <c r="AG512" s="37">
        <v>0</v>
      </c>
      <c r="AH512" s="37">
        <v>0</v>
      </c>
      <c r="AI512" s="37">
        <v>96</v>
      </c>
      <c r="AJ512" s="37">
        <v>1</v>
      </c>
      <c r="AK512" s="37" t="str">
        <f>VLOOKUP(Mecze[[#This Row],[Match ID]],Meczusie[Mecz]:Meczusie[RodzajMeczu],2,FALSE)</f>
        <v>Towarzyski</v>
      </c>
    </row>
    <row r="513" spans="1:37" x14ac:dyDescent="0.25">
      <c r="A513" s="76">
        <v>4</v>
      </c>
      <c r="B513" s="3" t="s">
        <v>360</v>
      </c>
      <c r="C513" s="2" t="s">
        <v>157</v>
      </c>
      <c r="D513" s="1">
        <v>0</v>
      </c>
      <c r="E513" s="1">
        <v>0</v>
      </c>
      <c r="F513" s="1">
        <v>0</v>
      </c>
      <c r="G513" s="1">
        <v>11</v>
      </c>
      <c r="H513" s="4">
        <v>0.55000000000000004</v>
      </c>
      <c r="I513" s="1">
        <v>6</v>
      </c>
      <c r="J513" s="4">
        <v>0.83</v>
      </c>
      <c r="K513" s="1">
        <v>0</v>
      </c>
      <c r="L513" s="1">
        <v>12</v>
      </c>
      <c r="M513" s="32">
        <f>IF(Mecze[[#This Row],[PR]]=0,0,Mecze[[#This Row],[PR]]/Mecze[[#This Row],[CZAS]])</f>
        <v>0.125</v>
      </c>
      <c r="N513" s="32">
        <f>IF(Mecze[[#This Row],[OU]]=0,0,Mecze[[#This Row],[OU]]/Mecze[[#This Row],[CZAS]])</f>
        <v>5.2083333333333336E-2</v>
      </c>
      <c r="O513" s="32">
        <f>IF(Mecze[[#This Row],[PC]]=0,0,Mecze[[#This Row],[PC]]/Mecze[[#This Row],[CZAS]])</f>
        <v>6.25E-2</v>
      </c>
      <c r="P513" s="32">
        <f>IF(Mecze[[#This Row],[SC]]=0,0,Mecze[[#This Row],[SC]]/Mecze[[#This Row],[CZAS]])</f>
        <v>0</v>
      </c>
      <c r="Q513" s="32">
        <f>IF(Mecze[[#This Row],[OB]]=0,0,Mecze[[#This Row],[OB]]/Mecze[[#This Row],[CZAS]])</f>
        <v>0</v>
      </c>
      <c r="R513" s="32">
        <f>IF(Mecze[[#This Row],[BR]]=0,0,Mecze[[#This Row],[BR]]/Mecze[[#This Row],[CZAS]])</f>
        <v>0</v>
      </c>
      <c r="S513" s="44">
        <f>IF(Mecze[[#This Row],[Role]]="BR",SUMPRODUCT(Mecze[[#This Row],[/PR:90]:[/BR:90]],Brudnopis!$E$23:$J$23),0)</f>
        <v>0</v>
      </c>
      <c r="T513" s="44">
        <f>IF(Mecze[[#This Row],[Role]]&lt;&gt;"BR",SUMPRODUCT(Mecze[[#This Row],[/PR:90]:[/BR:90]],Brudnopis!$E$24:$J$24),0)</f>
        <v>0.265625</v>
      </c>
      <c r="U513" s="44">
        <f>IF(Mecze[[#This Row],[Role]]&lt;&gt;"BR",SUMPRODUCT(Mecze[[#This Row],[/PR:90]:[/BR:90]],Brudnopis!$E$25:$J$25),0)</f>
        <v>0.27083333333333337</v>
      </c>
      <c r="V513" s="44">
        <f>IF(Mecze[[#This Row],[Role]]&lt;&gt;"BR",SUMPRODUCT(Mecze[[#This Row],[/PR:90]:[/BR:90]],Brudnopis!$E$26:$J$26),0)</f>
        <v>0.23958333333333334</v>
      </c>
      <c r="W513" s="44">
        <f>IF(Mecze[[#This Row],[Role]]&lt;&gt;"BR",SUMPRODUCT(Mecze[[#This Row],[/PR:90]:[/BR:90]],Brudnopis!$E$27:$J$27),0)</f>
        <v>0.2265625</v>
      </c>
      <c r="X513" s="44">
        <f>IF(Mecze[[#This Row],[Role]]&lt;&gt;"BR",SUMPRODUCT(Mecze[[#This Row],[/PR:90]:[/BR:90]],Brudnopis!$E$28:$J$28),0)</f>
        <v>6.25E-2</v>
      </c>
      <c r="Y513" s="35">
        <f>IF(Mecze[[#This Row],[Role]]="BR",Mecze[[#This Row],[/OB:90]]+Mecze[[#This Row],[/PC:90]],SUM(Mecze[[#This Row],[/PR:90]:[/BR:90]]))</f>
        <v>0.23958333333333334</v>
      </c>
      <c r="Z513" s="35">
        <f>IF(Mecze[[#This Row],[KC]]=0,SUM(Mecze[[#This Row],[/BRI]:[/NPI]]),SUM(Mecze[[#This Row],[/BRI]:[/NPI]])*0.6)</f>
        <v>1.0651041666666667</v>
      </c>
      <c r="AA513" s="10">
        <f>IFERROR(Mecze[[#This Row],[BR]]/Mecze[[#This Row],[ST]],0)</f>
        <v>0</v>
      </c>
      <c r="AB513">
        <f>ROUND(Mecze[[#This Row],[PD]]*Mecze[[#This Row],[%PC]],0)</f>
        <v>6</v>
      </c>
      <c r="AC513">
        <f>ROUND(Mecze[[#This Row],[OD]]*Mecze[[#This Row],[%OU]],0)</f>
        <v>5</v>
      </c>
      <c r="AD513" s="41" t="s">
        <v>168</v>
      </c>
      <c r="AE513" s="36">
        <v>30</v>
      </c>
      <c r="AF513" s="71">
        <v>5.42</v>
      </c>
      <c r="AG513" s="37">
        <v>0</v>
      </c>
      <c r="AH513" s="37">
        <v>0</v>
      </c>
      <c r="AI513" s="37">
        <v>96</v>
      </c>
      <c r="AJ513" s="37">
        <v>1</v>
      </c>
      <c r="AK513" s="37" t="str">
        <f>VLOOKUP(Mecze[[#This Row],[Match ID]],Meczusie[Mecz]:Meczusie[RodzajMeczu],2,FALSE)</f>
        <v>Towarzyski</v>
      </c>
    </row>
    <row r="514" spans="1:37" x14ac:dyDescent="0.25">
      <c r="A514" s="76">
        <v>42</v>
      </c>
      <c r="B514" s="3" t="s">
        <v>361</v>
      </c>
      <c r="C514" s="2" t="s">
        <v>157</v>
      </c>
      <c r="D514" s="1">
        <v>0</v>
      </c>
      <c r="E514" s="1">
        <v>0</v>
      </c>
      <c r="F514" s="1">
        <v>0</v>
      </c>
      <c r="G514" s="1">
        <v>12</v>
      </c>
      <c r="H514" s="4">
        <v>0.25</v>
      </c>
      <c r="I514" s="1">
        <v>6</v>
      </c>
      <c r="J514" s="4">
        <v>0.5</v>
      </c>
      <c r="K514" s="1">
        <v>0</v>
      </c>
      <c r="L514" s="1">
        <v>7</v>
      </c>
      <c r="M514" s="32">
        <f>IF(Mecze[[#This Row],[PR]]=0,0,Mecze[[#This Row],[PR]]/Mecze[[#This Row],[CZAS]])</f>
        <v>7.2916666666666671E-2</v>
      </c>
      <c r="N514" s="32">
        <f>IF(Mecze[[#This Row],[OU]]=0,0,Mecze[[#This Row],[OU]]/Mecze[[#This Row],[CZAS]])</f>
        <v>3.125E-2</v>
      </c>
      <c r="O514" s="32">
        <f>IF(Mecze[[#This Row],[PC]]=0,0,Mecze[[#This Row],[PC]]/Mecze[[#This Row],[CZAS]])</f>
        <v>3.125E-2</v>
      </c>
      <c r="P514" s="32">
        <f>IF(Mecze[[#This Row],[SC]]=0,0,Mecze[[#This Row],[SC]]/Mecze[[#This Row],[CZAS]])</f>
        <v>0</v>
      </c>
      <c r="Q514" s="32">
        <f>IF(Mecze[[#This Row],[OB]]=0,0,Mecze[[#This Row],[OB]]/Mecze[[#This Row],[CZAS]])</f>
        <v>0</v>
      </c>
      <c r="R514" s="32">
        <f>IF(Mecze[[#This Row],[BR]]=0,0,Mecze[[#This Row],[BR]]/Mecze[[#This Row],[CZAS]])</f>
        <v>0</v>
      </c>
      <c r="S514" s="44">
        <f>IF(Mecze[[#This Row],[Role]]="BR",SUMPRODUCT(Mecze[[#This Row],[/PR:90]:[/BR:90]],Brudnopis!$E$23:$J$23),0)</f>
        <v>0</v>
      </c>
      <c r="T514" s="44">
        <f>IF(Mecze[[#This Row],[Role]]&lt;&gt;"BR",SUMPRODUCT(Mecze[[#This Row],[/PR:90]:[/BR:90]],Brudnopis!$E$24:$J$24),0)</f>
        <v>0.15104166666666669</v>
      </c>
      <c r="U514" s="44">
        <f>IF(Mecze[[#This Row],[Role]]&lt;&gt;"BR",SUMPRODUCT(Mecze[[#This Row],[/PR:90]:[/BR:90]],Brudnopis!$E$25:$J$25),0)</f>
        <v>0.15104166666666669</v>
      </c>
      <c r="V514" s="44">
        <f>IF(Mecze[[#This Row],[Role]]&lt;&gt;"BR",SUMPRODUCT(Mecze[[#This Row],[/PR:90]:[/BR:90]],Brudnopis!$E$26:$J$26),0)</f>
        <v>0.13541666666666669</v>
      </c>
      <c r="W514" s="44">
        <f>IF(Mecze[[#This Row],[Role]]&lt;&gt;"BR",SUMPRODUCT(Mecze[[#This Row],[/PR:90]:[/BR:90]],Brudnopis!$E$27:$J$27),0)</f>
        <v>0.125</v>
      </c>
      <c r="X514" s="44">
        <f>IF(Mecze[[#This Row],[Role]]&lt;&gt;"BR",SUMPRODUCT(Mecze[[#This Row],[/PR:90]:[/BR:90]],Brudnopis!$E$28:$J$28),0)</f>
        <v>3.125E-2</v>
      </c>
      <c r="Y514" s="35">
        <f>IF(Mecze[[#This Row],[Role]]="BR",Mecze[[#This Row],[/OB:90]]+Mecze[[#This Row],[/PC:90]],SUM(Mecze[[#This Row],[/PR:90]:[/BR:90]]))</f>
        <v>0.13541666666666669</v>
      </c>
      <c r="Z514" s="35">
        <f>IF(Mecze[[#This Row],[KC]]=0,SUM(Mecze[[#This Row],[/BRI]:[/NPI]]),SUM(Mecze[[#This Row],[/BRI]:[/NPI]])*0.6)</f>
        <v>0.59375</v>
      </c>
      <c r="AA514" s="10">
        <f>IFERROR(Mecze[[#This Row],[BR]]/Mecze[[#This Row],[ST]],0)</f>
        <v>0</v>
      </c>
      <c r="AB514">
        <f>ROUND(Mecze[[#This Row],[PD]]*Mecze[[#This Row],[%PC]],0)</f>
        <v>3</v>
      </c>
      <c r="AC514">
        <f>ROUND(Mecze[[#This Row],[OD]]*Mecze[[#This Row],[%OU]],0)</f>
        <v>3</v>
      </c>
      <c r="AD514" s="41" t="s">
        <v>167</v>
      </c>
      <c r="AE514" s="36">
        <v>30</v>
      </c>
      <c r="AF514" s="71">
        <v>3.17</v>
      </c>
      <c r="AG514" s="37">
        <v>0</v>
      </c>
      <c r="AH514" s="37">
        <v>0</v>
      </c>
      <c r="AI514" s="37">
        <v>96</v>
      </c>
      <c r="AJ514" s="37">
        <v>1</v>
      </c>
      <c r="AK514" s="37" t="str">
        <f>VLOOKUP(Mecze[[#This Row],[Match ID]],Meczusie[Mecz]:Meczusie[RodzajMeczu],2,FALSE)</f>
        <v>Towarzyski</v>
      </c>
    </row>
    <row r="515" spans="1:37" x14ac:dyDescent="0.25">
      <c r="A515" s="76">
        <v>33</v>
      </c>
      <c r="B515" s="3" t="s">
        <v>362</v>
      </c>
      <c r="C515" s="2" t="s">
        <v>160</v>
      </c>
      <c r="D515" s="1">
        <v>0</v>
      </c>
      <c r="E515" s="1">
        <v>0</v>
      </c>
      <c r="F515" s="1">
        <v>0</v>
      </c>
      <c r="G515" s="1">
        <v>12</v>
      </c>
      <c r="H515" s="4">
        <v>0.5</v>
      </c>
      <c r="I515" s="1">
        <v>8</v>
      </c>
      <c r="J515" s="4">
        <v>0.38</v>
      </c>
      <c r="K515" s="1">
        <v>0</v>
      </c>
      <c r="L515" s="1">
        <v>9</v>
      </c>
      <c r="M515" s="32">
        <f>IF(Mecze[[#This Row],[PR]]=0,0,Mecze[[#This Row],[PR]]/Mecze[[#This Row],[CZAS]])</f>
        <v>9.375E-2</v>
      </c>
      <c r="N515" s="32">
        <f>IF(Mecze[[#This Row],[OU]]=0,0,Mecze[[#This Row],[OU]]/Mecze[[#This Row],[CZAS]])</f>
        <v>3.125E-2</v>
      </c>
      <c r="O515" s="32">
        <f>IF(Mecze[[#This Row],[PC]]=0,0,Mecze[[#This Row],[PC]]/Mecze[[#This Row],[CZAS]])</f>
        <v>6.25E-2</v>
      </c>
      <c r="P515" s="32">
        <f>IF(Mecze[[#This Row],[SC]]=0,0,Mecze[[#This Row],[SC]]/Mecze[[#This Row],[CZAS]])</f>
        <v>0</v>
      </c>
      <c r="Q515" s="32">
        <f>IF(Mecze[[#This Row],[OB]]=0,0,Mecze[[#This Row],[OB]]/Mecze[[#This Row],[CZAS]])</f>
        <v>0</v>
      </c>
      <c r="R515" s="32">
        <f>IF(Mecze[[#This Row],[BR]]=0,0,Mecze[[#This Row],[BR]]/Mecze[[#This Row],[CZAS]])</f>
        <v>0</v>
      </c>
      <c r="S515" s="44">
        <f>IF(Mecze[[#This Row],[Role]]="BR",SUMPRODUCT(Mecze[[#This Row],[/PR:90]:[/BR:90]],Brudnopis!$E$23:$J$23),0)</f>
        <v>0</v>
      </c>
      <c r="T515" s="44">
        <f>IF(Mecze[[#This Row],[Role]]&lt;&gt;"BR",SUMPRODUCT(Mecze[[#This Row],[/PR:90]:[/BR:90]],Brudnopis!$E$24:$J$24),0)</f>
        <v>0.203125</v>
      </c>
      <c r="U515" s="44">
        <f>IF(Mecze[[#This Row],[Role]]&lt;&gt;"BR",SUMPRODUCT(Mecze[[#This Row],[/PR:90]:[/BR:90]],Brudnopis!$E$25:$J$25),0)</f>
        <v>0.21875</v>
      </c>
      <c r="V515" s="44">
        <f>IF(Mecze[[#This Row],[Role]]&lt;&gt;"BR",SUMPRODUCT(Mecze[[#This Row],[/PR:90]:[/BR:90]],Brudnopis!$E$26:$J$26),0)</f>
        <v>0.1875</v>
      </c>
      <c r="W515" s="44">
        <f>IF(Mecze[[#This Row],[Role]]&lt;&gt;"BR",SUMPRODUCT(Mecze[[#This Row],[/PR:90]:[/BR:90]],Brudnopis!$E$27:$J$27),0)</f>
        <v>0.1875</v>
      </c>
      <c r="X515" s="44">
        <f>IF(Mecze[[#This Row],[Role]]&lt;&gt;"BR",SUMPRODUCT(Mecze[[#This Row],[/PR:90]:[/BR:90]],Brudnopis!$E$28:$J$28),0)</f>
        <v>6.25E-2</v>
      </c>
      <c r="Y515" s="35">
        <f>IF(Mecze[[#This Row],[Role]]="BR",Mecze[[#This Row],[/OB:90]]+Mecze[[#This Row],[/PC:90]],SUM(Mecze[[#This Row],[/PR:90]:[/BR:90]]))</f>
        <v>0.1875</v>
      </c>
      <c r="Z515" s="35">
        <f>IF(Mecze[[#This Row],[KC]]=0,SUM(Mecze[[#This Row],[/BRI]:[/NPI]]),SUM(Mecze[[#This Row],[/BRI]:[/NPI]])*0.6)</f>
        <v>0.859375</v>
      </c>
      <c r="AA515" s="10">
        <f>IFERROR(Mecze[[#This Row],[BR]]/Mecze[[#This Row],[ST]],0)</f>
        <v>0</v>
      </c>
      <c r="AB515">
        <f>ROUND(Mecze[[#This Row],[PD]]*Mecze[[#This Row],[%PC]],0)</f>
        <v>6</v>
      </c>
      <c r="AC515">
        <f>ROUND(Mecze[[#This Row],[OD]]*Mecze[[#This Row],[%OU]],0)</f>
        <v>3</v>
      </c>
      <c r="AD515" s="41" t="s">
        <v>41</v>
      </c>
      <c r="AE515" s="36">
        <v>30</v>
      </c>
      <c r="AF515" s="71">
        <v>5.8</v>
      </c>
      <c r="AG515" s="37">
        <v>0</v>
      </c>
      <c r="AH515" s="37">
        <v>0</v>
      </c>
      <c r="AI515" s="37">
        <v>96</v>
      </c>
      <c r="AJ515" s="37">
        <v>1</v>
      </c>
      <c r="AK515" s="37" t="str">
        <f>VLOOKUP(Mecze[[#This Row],[Match ID]],Meczusie[Mecz]:Meczusie[RodzajMeczu],2,FALSE)</f>
        <v>Towarzyski</v>
      </c>
    </row>
    <row r="516" spans="1:37" x14ac:dyDescent="0.25">
      <c r="A516" s="76">
        <v>52</v>
      </c>
      <c r="B516" s="3" t="s">
        <v>408</v>
      </c>
      <c r="C516" s="2" t="s">
        <v>160</v>
      </c>
      <c r="D516" s="1">
        <v>0</v>
      </c>
      <c r="E516" s="1">
        <v>0</v>
      </c>
      <c r="F516" s="1">
        <v>0</v>
      </c>
      <c r="G516" s="1">
        <v>11</v>
      </c>
      <c r="H516" s="4">
        <v>0.45</v>
      </c>
      <c r="I516" s="1">
        <v>7</v>
      </c>
      <c r="J516" s="4">
        <v>0.28999999999999998</v>
      </c>
      <c r="K516" s="1">
        <v>0</v>
      </c>
      <c r="L516" s="1">
        <v>4</v>
      </c>
      <c r="M516" s="32">
        <f>IF(Mecze[[#This Row],[PR]]=0,0,Mecze[[#This Row],[PR]]/Mecze[[#This Row],[CZAS]])</f>
        <v>4.1666666666666664E-2</v>
      </c>
      <c r="N516" s="32">
        <f>IF(Mecze[[#This Row],[OU]]=0,0,Mecze[[#This Row],[OU]]/Mecze[[#This Row],[CZAS]])</f>
        <v>2.0833333333333332E-2</v>
      </c>
      <c r="O516" s="32">
        <f>IF(Mecze[[#This Row],[PC]]=0,0,Mecze[[#This Row],[PC]]/Mecze[[#This Row],[CZAS]])</f>
        <v>5.2083333333333336E-2</v>
      </c>
      <c r="P516" s="32">
        <f>IF(Mecze[[#This Row],[SC]]=0,0,Mecze[[#This Row],[SC]]/Mecze[[#This Row],[CZAS]])</f>
        <v>0</v>
      </c>
      <c r="Q516" s="32">
        <f>IF(Mecze[[#This Row],[OB]]=0,0,Mecze[[#This Row],[OB]]/Mecze[[#This Row],[CZAS]])</f>
        <v>0</v>
      </c>
      <c r="R516" s="32">
        <f>IF(Mecze[[#This Row],[BR]]=0,0,Mecze[[#This Row],[BR]]/Mecze[[#This Row],[CZAS]])</f>
        <v>0</v>
      </c>
      <c r="S516" s="44">
        <f>IF(Mecze[[#This Row],[Role]]="BR",SUMPRODUCT(Mecze[[#This Row],[/PR:90]:[/BR:90]],Brudnopis!$E$23:$J$23),0)</f>
        <v>0</v>
      </c>
      <c r="T516" s="44">
        <f>IF(Mecze[[#This Row],[Role]]&lt;&gt;"BR",SUMPRODUCT(Mecze[[#This Row],[/PR:90]:[/BR:90]],Brudnopis!$E$24:$J$24),0)</f>
        <v>0.125</v>
      </c>
      <c r="U516" s="44">
        <f>IF(Mecze[[#This Row],[Role]]&lt;&gt;"BR",SUMPRODUCT(Mecze[[#This Row],[/PR:90]:[/BR:90]],Brudnopis!$E$25:$J$25),0)</f>
        <v>0.140625</v>
      </c>
      <c r="V516" s="44">
        <f>IF(Mecze[[#This Row],[Role]]&lt;&gt;"BR",SUMPRODUCT(Mecze[[#This Row],[/PR:90]:[/BR:90]],Brudnopis!$E$26:$J$26),0)</f>
        <v>0.11458333333333334</v>
      </c>
      <c r="W516" s="44">
        <f>IF(Mecze[[#This Row],[Role]]&lt;&gt;"BR",SUMPRODUCT(Mecze[[#This Row],[/PR:90]:[/BR:90]],Brudnopis!$E$27:$J$27),0)</f>
        <v>0.125</v>
      </c>
      <c r="X516" s="44">
        <f>IF(Mecze[[#This Row],[Role]]&lt;&gt;"BR",SUMPRODUCT(Mecze[[#This Row],[/PR:90]:[/BR:90]],Brudnopis!$E$28:$J$28),0)</f>
        <v>5.2083333333333336E-2</v>
      </c>
      <c r="Y516" s="35">
        <f>IF(Mecze[[#This Row],[Role]]="BR",Mecze[[#This Row],[/OB:90]]+Mecze[[#This Row],[/PC:90]],SUM(Mecze[[#This Row],[/PR:90]:[/BR:90]]))</f>
        <v>0.11458333333333334</v>
      </c>
      <c r="Z516" s="35">
        <f>IF(Mecze[[#This Row],[KC]]=0,SUM(Mecze[[#This Row],[/BRI]:[/NPI]]),SUM(Mecze[[#This Row],[/BRI]:[/NPI]])*0.6)</f>
        <v>0.55729166666666674</v>
      </c>
      <c r="AA516" s="10">
        <f>IFERROR(Mecze[[#This Row],[BR]]/Mecze[[#This Row],[ST]],0)</f>
        <v>0</v>
      </c>
      <c r="AB516">
        <f>ROUND(Mecze[[#This Row],[PD]]*Mecze[[#This Row],[%PC]],0)</f>
        <v>5</v>
      </c>
      <c r="AC516">
        <f>ROUND(Mecze[[#This Row],[OD]]*Mecze[[#This Row],[%OU]],0)</f>
        <v>2</v>
      </c>
      <c r="AD516" s="41" t="s">
        <v>41</v>
      </c>
      <c r="AE516" s="36">
        <v>30</v>
      </c>
      <c r="AF516" s="71">
        <v>3.54</v>
      </c>
      <c r="AG516" s="37">
        <v>0</v>
      </c>
      <c r="AH516" s="37">
        <v>0</v>
      </c>
      <c r="AI516" s="37">
        <v>96</v>
      </c>
      <c r="AJ516" s="37">
        <v>1</v>
      </c>
      <c r="AK516" s="37" t="str">
        <f>VLOOKUP(Mecze[[#This Row],[Match ID]],Meczusie[Mecz]:Meczusie[RodzajMeczu],2,FALSE)</f>
        <v>Towarzyski</v>
      </c>
    </row>
    <row r="517" spans="1:37" x14ac:dyDescent="0.25">
      <c r="A517" s="76">
        <v>27</v>
      </c>
      <c r="B517" s="3" t="s">
        <v>364</v>
      </c>
      <c r="C517" s="2" t="s">
        <v>160</v>
      </c>
      <c r="D517" s="1">
        <v>0</v>
      </c>
      <c r="E517" s="1">
        <v>1</v>
      </c>
      <c r="F517" s="1">
        <v>0</v>
      </c>
      <c r="G517" s="1">
        <v>1</v>
      </c>
      <c r="H517" s="4">
        <v>1</v>
      </c>
      <c r="I517" s="1">
        <v>0</v>
      </c>
      <c r="J517" s="4"/>
      <c r="K517" s="1">
        <v>0</v>
      </c>
      <c r="L517" s="1">
        <v>0</v>
      </c>
      <c r="M517" s="32">
        <f>IF(Mecze[[#This Row],[PR]]=0,0,Mecze[[#This Row],[PR]]/Mecze[[#This Row],[CZAS]])</f>
        <v>0</v>
      </c>
      <c r="N517" s="32">
        <f>IF(Mecze[[#This Row],[OU]]=0,0,Mecze[[#This Row],[OU]]/Mecze[[#This Row],[CZAS]])</f>
        <v>0</v>
      </c>
      <c r="O517" s="32">
        <f>IF(Mecze[[#This Row],[PC]]=0,0,Mecze[[#This Row],[PC]]/Mecze[[#This Row],[CZAS]])</f>
        <v>1.0416666666666666E-2</v>
      </c>
      <c r="P517" s="32">
        <f>IF(Mecze[[#This Row],[SC]]=0,0,Mecze[[#This Row],[SC]]/Mecze[[#This Row],[CZAS]])</f>
        <v>0</v>
      </c>
      <c r="Q517" s="32">
        <f>IF(Mecze[[#This Row],[OB]]=0,0,Mecze[[#This Row],[OB]]/Mecze[[#This Row],[CZAS]])</f>
        <v>0</v>
      </c>
      <c r="R517" s="32">
        <f>IF(Mecze[[#This Row],[BR]]=0,0,Mecze[[#This Row],[BR]]/Mecze[[#This Row],[CZAS]])</f>
        <v>0</v>
      </c>
      <c r="S517" s="44">
        <f>IF(Mecze[[#This Row],[Role]]="BR",SUMPRODUCT(Mecze[[#This Row],[/PR:90]:[/BR:90]],Brudnopis!$E$23:$J$23),0)</f>
        <v>0</v>
      </c>
      <c r="T517" s="44">
        <f>IF(Mecze[[#This Row],[Role]]&lt;&gt;"BR",SUMPRODUCT(Mecze[[#This Row],[/PR:90]:[/BR:90]],Brudnopis!$E$24:$J$24),0)</f>
        <v>1.0416666666666666E-2</v>
      </c>
      <c r="U517" s="44">
        <f>IF(Mecze[[#This Row],[Role]]&lt;&gt;"BR",SUMPRODUCT(Mecze[[#This Row],[/PR:90]:[/BR:90]],Brudnopis!$E$25:$J$25),0)</f>
        <v>1.5625E-2</v>
      </c>
      <c r="V517" s="44">
        <f>IF(Mecze[[#This Row],[Role]]&lt;&gt;"BR",SUMPRODUCT(Mecze[[#This Row],[/PR:90]:[/BR:90]],Brudnopis!$E$26:$J$26),0)</f>
        <v>1.0416666666666666E-2</v>
      </c>
      <c r="W517" s="44">
        <f>IF(Mecze[[#This Row],[Role]]&lt;&gt;"BR",SUMPRODUCT(Mecze[[#This Row],[/PR:90]:[/BR:90]],Brudnopis!$E$27:$J$27),0)</f>
        <v>1.5625E-2</v>
      </c>
      <c r="X517" s="44">
        <f>IF(Mecze[[#This Row],[Role]]&lt;&gt;"BR",SUMPRODUCT(Mecze[[#This Row],[/PR:90]:[/BR:90]],Brudnopis!$E$28:$J$28),0)</f>
        <v>1.0416666666666666E-2</v>
      </c>
      <c r="Y517" s="35">
        <f>IF(Mecze[[#This Row],[Role]]="BR",Mecze[[#This Row],[/OB:90]]+Mecze[[#This Row],[/PC:90]],SUM(Mecze[[#This Row],[/PR:90]:[/BR:90]]))</f>
        <v>1.0416666666666666E-2</v>
      </c>
      <c r="Z517" s="35">
        <f>IF(Mecze[[#This Row],[KC]]=0,SUM(Mecze[[#This Row],[/BRI]:[/NPI]]),SUM(Mecze[[#This Row],[/BRI]:[/NPI]])*0.6)</f>
        <v>6.2499999999999993E-2</v>
      </c>
      <c r="AA517" s="10">
        <f>IFERROR(Mecze[[#This Row],[BR]]/Mecze[[#This Row],[ST]],0)</f>
        <v>0</v>
      </c>
      <c r="AB517">
        <f>ROUND(Mecze[[#This Row],[PD]]*Mecze[[#This Row],[%PC]],0)</f>
        <v>1</v>
      </c>
      <c r="AC517">
        <f>ROUND(Mecze[[#This Row],[OD]]*Mecze[[#This Row],[%OU]],0)</f>
        <v>0</v>
      </c>
      <c r="AD517" s="41" t="s">
        <v>44</v>
      </c>
      <c r="AE517" s="36">
        <v>30</v>
      </c>
      <c r="AF517" s="71">
        <v>2.7</v>
      </c>
      <c r="AG517" s="37">
        <v>0</v>
      </c>
      <c r="AH517" s="37">
        <v>0</v>
      </c>
      <c r="AI517" s="37">
        <v>96</v>
      </c>
      <c r="AJ517" s="37">
        <v>1</v>
      </c>
      <c r="AK517" s="37" t="str">
        <f>VLOOKUP(Mecze[[#This Row],[Match ID]],Meczusie[Mecz]:Meczusie[RodzajMeczu],2,FALSE)</f>
        <v>Towarzyski</v>
      </c>
    </row>
    <row r="518" spans="1:37" x14ac:dyDescent="0.25">
      <c r="A518" s="76">
        <v>45</v>
      </c>
      <c r="B518" s="3" t="s">
        <v>394</v>
      </c>
      <c r="C518" s="2" t="s">
        <v>160</v>
      </c>
      <c r="D518" s="1">
        <v>0</v>
      </c>
      <c r="E518" s="1">
        <v>0</v>
      </c>
      <c r="F518" s="1">
        <v>0</v>
      </c>
      <c r="G518" s="1">
        <v>4</v>
      </c>
      <c r="H518" s="4">
        <v>0.75</v>
      </c>
      <c r="I518" s="1">
        <v>1</v>
      </c>
      <c r="J518" s="4">
        <v>0</v>
      </c>
      <c r="K518" s="1">
        <v>0</v>
      </c>
      <c r="L518" s="1">
        <v>1</v>
      </c>
      <c r="M518" s="32">
        <f>IF(Mecze[[#This Row],[PR]]=0,0,Mecze[[#This Row],[PR]]/Mecze[[#This Row],[CZAS]])</f>
        <v>1.0416666666666666E-2</v>
      </c>
      <c r="N518" s="32">
        <f>IF(Mecze[[#This Row],[OU]]=0,0,Mecze[[#This Row],[OU]]/Mecze[[#This Row],[CZAS]])</f>
        <v>0</v>
      </c>
      <c r="O518" s="32">
        <f>IF(Mecze[[#This Row],[PC]]=0,0,Mecze[[#This Row],[PC]]/Mecze[[#This Row],[CZAS]])</f>
        <v>3.125E-2</v>
      </c>
      <c r="P518" s="32">
        <f>IF(Mecze[[#This Row],[SC]]=0,0,Mecze[[#This Row],[SC]]/Mecze[[#This Row],[CZAS]])</f>
        <v>0</v>
      </c>
      <c r="Q518" s="32">
        <f>IF(Mecze[[#This Row],[OB]]=0,0,Mecze[[#This Row],[OB]]/Mecze[[#This Row],[CZAS]])</f>
        <v>0</v>
      </c>
      <c r="R518" s="32">
        <f>IF(Mecze[[#This Row],[BR]]=0,0,Mecze[[#This Row],[BR]]/Mecze[[#This Row],[CZAS]])</f>
        <v>0</v>
      </c>
      <c r="S518" s="44">
        <f>IF(Mecze[[#This Row],[Role]]="BR",SUMPRODUCT(Mecze[[#This Row],[/PR:90]:[/BR:90]],Brudnopis!$E$23:$J$23),0)</f>
        <v>0</v>
      </c>
      <c r="T518" s="44">
        <f>IF(Mecze[[#This Row],[Role]]&lt;&gt;"BR",SUMPRODUCT(Mecze[[#This Row],[/PR:90]:[/BR:90]],Brudnopis!$E$24:$J$24),0)</f>
        <v>4.1666666666666664E-2</v>
      </c>
      <c r="U518" s="44">
        <f>IF(Mecze[[#This Row],[Role]]&lt;&gt;"BR",SUMPRODUCT(Mecze[[#This Row],[/PR:90]:[/BR:90]],Brudnopis!$E$25:$J$25),0)</f>
        <v>5.7291666666666664E-2</v>
      </c>
      <c r="V518" s="44">
        <f>IF(Mecze[[#This Row],[Role]]&lt;&gt;"BR",SUMPRODUCT(Mecze[[#This Row],[/PR:90]:[/BR:90]],Brudnopis!$E$26:$J$26),0)</f>
        <v>4.1666666666666664E-2</v>
      </c>
      <c r="W518" s="44">
        <f>IF(Mecze[[#This Row],[Role]]&lt;&gt;"BR",SUMPRODUCT(Mecze[[#This Row],[/PR:90]:[/BR:90]],Brudnopis!$E$27:$J$27),0)</f>
        <v>5.46875E-2</v>
      </c>
      <c r="X518" s="44">
        <f>IF(Mecze[[#This Row],[Role]]&lt;&gt;"BR",SUMPRODUCT(Mecze[[#This Row],[/PR:90]:[/BR:90]],Brudnopis!$E$28:$J$28),0)</f>
        <v>3.125E-2</v>
      </c>
      <c r="Y518" s="35">
        <f>IF(Mecze[[#This Row],[Role]]="BR",Mecze[[#This Row],[/OB:90]]+Mecze[[#This Row],[/PC:90]],SUM(Mecze[[#This Row],[/PR:90]:[/BR:90]]))</f>
        <v>4.1666666666666664E-2</v>
      </c>
      <c r="Z518" s="35">
        <f>IF(Mecze[[#This Row],[KC]]=0,SUM(Mecze[[#This Row],[/BRI]:[/NPI]]),SUM(Mecze[[#This Row],[/BRI]:[/NPI]])*0.6)</f>
        <v>0.2265625</v>
      </c>
      <c r="AA518" s="10">
        <f>IFERROR(Mecze[[#This Row],[BR]]/Mecze[[#This Row],[ST]],0)</f>
        <v>0</v>
      </c>
      <c r="AB518">
        <f>ROUND(Mecze[[#This Row],[PD]]*Mecze[[#This Row],[%PC]],0)</f>
        <v>3</v>
      </c>
      <c r="AC518">
        <f>ROUND(Mecze[[#This Row],[OD]]*Mecze[[#This Row],[%OU]],0)</f>
        <v>0</v>
      </c>
      <c r="AD518" s="42" t="s">
        <v>44</v>
      </c>
      <c r="AE518" s="36">
        <v>30</v>
      </c>
      <c r="AF518" s="71">
        <v>2.91</v>
      </c>
      <c r="AG518" s="37">
        <v>0</v>
      </c>
      <c r="AH518" s="37">
        <v>0</v>
      </c>
      <c r="AI518" s="37">
        <v>96</v>
      </c>
      <c r="AJ518" s="37">
        <v>1</v>
      </c>
      <c r="AK518" s="37" t="str">
        <f>VLOOKUP(Mecze[[#This Row],[Match ID]],Meczusie[Mecz]:Meczusie[RodzajMeczu],2,FALSE)</f>
        <v>Towarzyski</v>
      </c>
    </row>
    <row r="519" spans="1:37" x14ac:dyDescent="0.25">
      <c r="A519" s="76">
        <v>29</v>
      </c>
      <c r="B519" s="3" t="s">
        <v>367</v>
      </c>
      <c r="C519" s="2" t="s">
        <v>165</v>
      </c>
      <c r="D519" s="1">
        <v>0</v>
      </c>
      <c r="E519" s="1">
        <v>0</v>
      </c>
      <c r="F519" s="1">
        <v>0</v>
      </c>
      <c r="G519" s="1">
        <v>8</v>
      </c>
      <c r="H519" s="4">
        <v>0.38</v>
      </c>
      <c r="I519" s="1">
        <v>10</v>
      </c>
      <c r="J519" s="4">
        <v>0.2</v>
      </c>
      <c r="K519" s="1">
        <v>0</v>
      </c>
      <c r="L519" s="1">
        <v>1</v>
      </c>
      <c r="M519" s="32">
        <f>IF(Mecze[[#This Row],[PR]]=0,0,Mecze[[#This Row],[PR]]/Mecze[[#This Row],[CZAS]])</f>
        <v>1.0416666666666666E-2</v>
      </c>
      <c r="N519" s="32">
        <f>IF(Mecze[[#This Row],[OU]]=0,0,Mecze[[#This Row],[OU]]/Mecze[[#This Row],[CZAS]])</f>
        <v>2.0833333333333332E-2</v>
      </c>
      <c r="O519" s="32">
        <f>IF(Mecze[[#This Row],[PC]]=0,0,Mecze[[#This Row],[PC]]/Mecze[[#This Row],[CZAS]])</f>
        <v>3.125E-2</v>
      </c>
      <c r="P519" s="32">
        <f>IF(Mecze[[#This Row],[SC]]=0,0,Mecze[[#This Row],[SC]]/Mecze[[#This Row],[CZAS]])</f>
        <v>0</v>
      </c>
      <c r="Q519" s="32">
        <f>IF(Mecze[[#This Row],[OB]]=0,0,Mecze[[#This Row],[OB]]/Mecze[[#This Row],[CZAS]])</f>
        <v>0</v>
      </c>
      <c r="R519" s="32">
        <f>IF(Mecze[[#This Row],[BR]]=0,0,Mecze[[#This Row],[BR]]/Mecze[[#This Row],[CZAS]])</f>
        <v>0</v>
      </c>
      <c r="S519" s="44">
        <f>IF(Mecze[[#This Row],[Role]]="BR",SUMPRODUCT(Mecze[[#This Row],[/PR:90]:[/BR:90]],Brudnopis!$E$23:$J$23),0)</f>
        <v>0</v>
      </c>
      <c r="T519" s="44">
        <f>IF(Mecze[[#This Row],[Role]]&lt;&gt;"BR",SUMPRODUCT(Mecze[[#This Row],[/PR:90]:[/BR:90]],Brudnopis!$E$24:$J$24),0)</f>
        <v>7.2916666666666657E-2</v>
      </c>
      <c r="U519" s="44">
        <f>IF(Mecze[[#This Row],[Role]]&lt;&gt;"BR",SUMPRODUCT(Mecze[[#This Row],[/PR:90]:[/BR:90]],Brudnopis!$E$25:$J$25),0)</f>
        <v>7.8125E-2</v>
      </c>
      <c r="V519" s="44">
        <f>IF(Mecze[[#This Row],[Role]]&lt;&gt;"BR",SUMPRODUCT(Mecze[[#This Row],[/PR:90]:[/BR:90]],Brudnopis!$E$26:$J$26),0)</f>
        <v>6.25E-2</v>
      </c>
      <c r="W519" s="44">
        <f>IF(Mecze[[#This Row],[Role]]&lt;&gt;"BR",SUMPRODUCT(Mecze[[#This Row],[/PR:90]:[/BR:90]],Brudnopis!$E$27:$J$27),0)</f>
        <v>7.03125E-2</v>
      </c>
      <c r="X519" s="44">
        <f>IF(Mecze[[#This Row],[Role]]&lt;&gt;"BR",SUMPRODUCT(Mecze[[#This Row],[/PR:90]:[/BR:90]],Brudnopis!$E$28:$J$28),0)</f>
        <v>3.125E-2</v>
      </c>
      <c r="Y519" s="35">
        <f>IF(Mecze[[#This Row],[Role]]="BR",Mecze[[#This Row],[/OB:90]]+Mecze[[#This Row],[/PC:90]],SUM(Mecze[[#This Row],[/PR:90]:[/BR:90]]))</f>
        <v>6.25E-2</v>
      </c>
      <c r="Z519" s="35">
        <f>IF(Mecze[[#This Row],[KC]]=0,SUM(Mecze[[#This Row],[/BRI]:[/NPI]]),SUM(Mecze[[#This Row],[/BRI]:[/NPI]])*0.6)</f>
        <v>0.31510416666666663</v>
      </c>
      <c r="AA519" s="10">
        <f>IFERROR(Mecze[[#This Row],[BR]]/Mecze[[#This Row],[ST]],0)</f>
        <v>0</v>
      </c>
      <c r="AB519">
        <f>ROUND(Mecze[[#This Row],[PD]]*Mecze[[#This Row],[%PC]],0)</f>
        <v>3</v>
      </c>
      <c r="AC519">
        <f>ROUND(Mecze[[#This Row],[OD]]*Mecze[[#This Row],[%OU]],0)</f>
        <v>2</v>
      </c>
      <c r="AD519" s="42" t="s">
        <v>46</v>
      </c>
      <c r="AE519" s="36">
        <v>30</v>
      </c>
      <c r="AF519" s="71">
        <v>2.71</v>
      </c>
      <c r="AG519" s="37">
        <v>0</v>
      </c>
      <c r="AH519" s="37">
        <v>0</v>
      </c>
      <c r="AI519" s="37">
        <v>96</v>
      </c>
      <c r="AJ519" s="37">
        <v>1</v>
      </c>
      <c r="AK519" s="37" t="str">
        <f>VLOOKUP(Mecze[[#This Row],[Match ID]],Meczusie[Mecz]:Meczusie[RodzajMeczu],2,FALSE)</f>
        <v>Towarzyski</v>
      </c>
    </row>
    <row r="520" spans="1:37" x14ac:dyDescent="0.25">
      <c r="A520" s="76">
        <v>46</v>
      </c>
      <c r="B520" s="3" t="s">
        <v>395</v>
      </c>
      <c r="C520" s="2" t="s">
        <v>165</v>
      </c>
      <c r="D520" s="1">
        <v>1</v>
      </c>
      <c r="E520" s="1">
        <v>2</v>
      </c>
      <c r="F520" s="1">
        <v>2</v>
      </c>
      <c r="G520" s="1">
        <v>6</v>
      </c>
      <c r="H520" s="4">
        <v>0.67</v>
      </c>
      <c r="I520" s="1">
        <v>6</v>
      </c>
      <c r="J520" s="4">
        <v>0.33</v>
      </c>
      <c r="K520" s="1">
        <v>0</v>
      </c>
      <c r="L520" s="1">
        <v>0</v>
      </c>
      <c r="M520" s="32">
        <f>IF(Mecze[[#This Row],[PR]]=0,0,Mecze[[#This Row],[PR]]/Mecze[[#This Row],[CZAS]])</f>
        <v>0</v>
      </c>
      <c r="N520" s="32">
        <f>IF(Mecze[[#This Row],[OU]]=0,0,Mecze[[#This Row],[OU]]/Mecze[[#This Row],[CZAS]])</f>
        <v>2.0833333333333332E-2</v>
      </c>
      <c r="O520" s="32">
        <f>IF(Mecze[[#This Row],[PC]]=0,0,Mecze[[#This Row],[PC]]/Mecze[[#This Row],[CZAS]])</f>
        <v>4.1666666666666664E-2</v>
      </c>
      <c r="P520" s="32">
        <f>IF(Mecze[[#This Row],[SC]]=0,0,Mecze[[#This Row],[SC]]/Mecze[[#This Row],[CZAS]])</f>
        <v>2.0833333333333332E-2</v>
      </c>
      <c r="Q520" s="32">
        <f>IF(Mecze[[#This Row],[OB]]=0,0,Mecze[[#This Row],[OB]]/Mecze[[#This Row],[CZAS]])</f>
        <v>0</v>
      </c>
      <c r="R520" s="32">
        <f>IF(Mecze[[#This Row],[BR]]=0,0,Mecze[[#This Row],[BR]]/Mecze[[#This Row],[CZAS]])</f>
        <v>1.0416666666666666E-2</v>
      </c>
      <c r="S520" s="44">
        <f>IF(Mecze[[#This Row],[Role]]="BR",SUMPRODUCT(Mecze[[#This Row],[/PR:90]:[/BR:90]],Brudnopis!$E$23:$J$23),0)</f>
        <v>0</v>
      </c>
      <c r="T520" s="44">
        <f>IF(Mecze[[#This Row],[Role]]&lt;&gt;"BR",SUMPRODUCT(Mecze[[#This Row],[/PR:90]:[/BR:90]],Brudnopis!$E$24:$J$24),0)</f>
        <v>0.10937499999999999</v>
      </c>
      <c r="U520" s="44">
        <f>IF(Mecze[[#This Row],[Role]]&lt;&gt;"BR",SUMPRODUCT(Mecze[[#This Row],[/PR:90]:[/BR:90]],Brudnopis!$E$25:$J$25),0)</f>
        <v>0.11979166666666666</v>
      </c>
      <c r="V520" s="44">
        <f>IF(Mecze[[#This Row],[Role]]&lt;&gt;"BR",SUMPRODUCT(Mecze[[#This Row],[/PR:90]:[/BR:90]],Brudnopis!$E$26:$J$26),0)</f>
        <v>0.10416666666666666</v>
      </c>
      <c r="W520" s="44">
        <f>IF(Mecze[[#This Row],[Role]]&lt;&gt;"BR",SUMPRODUCT(Mecze[[#This Row],[/PR:90]:[/BR:90]],Brudnopis!$E$27:$J$27),0)</f>
        <v>0.11979166666666666</v>
      </c>
      <c r="X520" s="44">
        <f>IF(Mecze[[#This Row],[Role]]&lt;&gt;"BR",SUMPRODUCT(Mecze[[#This Row],[/PR:90]:[/BR:90]],Brudnopis!$E$28:$J$28),0)</f>
        <v>0.11458333333333333</v>
      </c>
      <c r="Y520" s="35">
        <f>IF(Mecze[[#This Row],[Role]]="BR",Mecze[[#This Row],[/OB:90]]+Mecze[[#This Row],[/PC:90]],SUM(Mecze[[#This Row],[/PR:90]:[/BR:90]]))</f>
        <v>9.375E-2</v>
      </c>
      <c r="Z520" s="35">
        <f>IF(Mecze[[#This Row],[KC]]=0,SUM(Mecze[[#This Row],[/BRI]:[/NPI]]),SUM(Mecze[[#This Row],[/BRI]:[/NPI]])*0.6)</f>
        <v>0.56770833333333326</v>
      </c>
      <c r="AA520" s="10">
        <f>IFERROR(Mecze[[#This Row],[BR]]/Mecze[[#This Row],[ST]],0)</f>
        <v>0.5</v>
      </c>
      <c r="AB520">
        <f>ROUND(Mecze[[#This Row],[PD]]*Mecze[[#This Row],[%PC]],0)</f>
        <v>4</v>
      </c>
      <c r="AC520">
        <f>ROUND(Mecze[[#This Row],[OD]]*Mecze[[#This Row],[%OU]],0)</f>
        <v>2</v>
      </c>
      <c r="AD520" s="41" t="s">
        <v>46</v>
      </c>
      <c r="AE520" s="36">
        <v>30</v>
      </c>
      <c r="AF520" s="71">
        <v>6.78</v>
      </c>
      <c r="AG520" s="37">
        <v>0</v>
      </c>
      <c r="AH520" s="37">
        <v>0</v>
      </c>
      <c r="AI520" s="37">
        <v>96</v>
      </c>
      <c r="AJ520" s="37">
        <v>1</v>
      </c>
      <c r="AK520" s="37" t="str">
        <f>VLOOKUP(Mecze[[#This Row],[Match ID]],Meczusie[Mecz]:Meczusie[RodzajMeczu],2,FALSE)</f>
        <v>Towarzyski</v>
      </c>
    </row>
    <row r="521" spans="1:37" x14ac:dyDescent="0.25">
      <c r="A521" s="76">
        <v>26</v>
      </c>
      <c r="B521" s="3" t="s">
        <v>368</v>
      </c>
      <c r="C521" s="2" t="s">
        <v>165</v>
      </c>
      <c r="D521" s="1">
        <v>0</v>
      </c>
      <c r="E521" s="1">
        <v>4</v>
      </c>
      <c r="F521" s="1">
        <v>4</v>
      </c>
      <c r="G521" s="1">
        <v>4</v>
      </c>
      <c r="H521" s="4">
        <v>0.25</v>
      </c>
      <c r="I521" s="1">
        <v>5</v>
      </c>
      <c r="J521" s="4">
        <v>0.4</v>
      </c>
      <c r="K521" s="1">
        <v>0</v>
      </c>
      <c r="L521" s="1">
        <v>0</v>
      </c>
      <c r="M521" s="32">
        <f>IF(Mecze[[#This Row],[PR]]=0,0,Mecze[[#This Row],[PR]]/Mecze[[#This Row],[CZAS]])</f>
        <v>0</v>
      </c>
      <c r="N521" s="32">
        <f>IF(Mecze[[#This Row],[OU]]=0,0,Mecze[[#This Row],[OU]]/Mecze[[#This Row],[CZAS]])</f>
        <v>2.0833333333333332E-2</v>
      </c>
      <c r="O521" s="32">
        <f>IF(Mecze[[#This Row],[PC]]=0,0,Mecze[[#This Row],[PC]]/Mecze[[#This Row],[CZAS]])</f>
        <v>1.0416666666666666E-2</v>
      </c>
      <c r="P521" s="32">
        <f>IF(Mecze[[#This Row],[SC]]=0,0,Mecze[[#This Row],[SC]]/Mecze[[#This Row],[CZAS]])</f>
        <v>4.1666666666666664E-2</v>
      </c>
      <c r="Q521" s="32">
        <f>IF(Mecze[[#This Row],[OB]]=0,0,Mecze[[#This Row],[OB]]/Mecze[[#This Row],[CZAS]])</f>
        <v>0</v>
      </c>
      <c r="R521" s="32">
        <f>IF(Mecze[[#This Row],[BR]]=0,0,Mecze[[#This Row],[BR]]/Mecze[[#This Row],[CZAS]])</f>
        <v>0</v>
      </c>
      <c r="S521" s="44">
        <f>IF(Mecze[[#This Row],[Role]]="BR",SUMPRODUCT(Mecze[[#This Row],[/PR:90]:[/BR:90]],Brudnopis!$E$23:$J$23),0)</f>
        <v>0</v>
      </c>
      <c r="T521" s="44">
        <f>IF(Mecze[[#This Row],[Role]]&lt;&gt;"BR",SUMPRODUCT(Mecze[[#This Row],[/PR:90]:[/BR:90]],Brudnopis!$E$24:$J$24),0)</f>
        <v>8.3333333333333329E-2</v>
      </c>
      <c r="U521" s="44">
        <f>IF(Mecze[[#This Row],[Role]]&lt;&gt;"BR",SUMPRODUCT(Mecze[[#This Row],[/PR:90]:[/BR:90]],Brudnopis!$E$25:$J$25),0)</f>
        <v>7.8125E-2</v>
      </c>
      <c r="V521" s="44">
        <f>IF(Mecze[[#This Row],[Role]]&lt;&gt;"BR",SUMPRODUCT(Mecze[[#This Row],[/PR:90]:[/BR:90]],Brudnopis!$E$26:$J$26),0)</f>
        <v>7.2916666666666657E-2</v>
      </c>
      <c r="W521" s="44">
        <f>IF(Mecze[[#This Row],[Role]]&lt;&gt;"BR",SUMPRODUCT(Mecze[[#This Row],[/PR:90]:[/BR:90]],Brudnopis!$E$27:$J$27),0)</f>
        <v>7.2916666666666657E-2</v>
      </c>
      <c r="X521" s="44">
        <f>IF(Mecze[[#This Row],[Role]]&lt;&gt;"BR",SUMPRODUCT(Mecze[[#This Row],[/PR:90]:[/BR:90]],Brudnopis!$E$28:$J$28),0)</f>
        <v>9.375E-2</v>
      </c>
      <c r="Y521" s="35">
        <f>IF(Mecze[[#This Row],[Role]]="BR",Mecze[[#This Row],[/OB:90]]+Mecze[[#This Row],[/PC:90]],SUM(Mecze[[#This Row],[/PR:90]:[/BR:90]]))</f>
        <v>7.2916666666666657E-2</v>
      </c>
      <c r="Z521" s="35">
        <f>IF(Mecze[[#This Row],[KC]]=0,SUM(Mecze[[#This Row],[/BRI]:[/NPI]]),SUM(Mecze[[#This Row],[/BRI]:[/NPI]])*0.6)</f>
        <v>0.40104166666666663</v>
      </c>
      <c r="AA521" s="10">
        <f>IFERROR(Mecze[[#This Row],[BR]]/Mecze[[#This Row],[ST]],0)</f>
        <v>0</v>
      </c>
      <c r="AB521">
        <f>ROUND(Mecze[[#This Row],[PD]]*Mecze[[#This Row],[%PC]],0)</f>
        <v>1</v>
      </c>
      <c r="AC521">
        <f>ROUND(Mecze[[#This Row],[OD]]*Mecze[[#This Row],[%OU]],0)</f>
        <v>2</v>
      </c>
      <c r="AD521" s="42" t="s">
        <v>46</v>
      </c>
      <c r="AE521" s="36">
        <v>30</v>
      </c>
      <c r="AF521" s="71">
        <v>2.48</v>
      </c>
      <c r="AG521" s="37">
        <v>1</v>
      </c>
      <c r="AH521" s="37">
        <v>0</v>
      </c>
      <c r="AI521" s="37">
        <v>96</v>
      </c>
      <c r="AJ521" s="37">
        <v>1</v>
      </c>
      <c r="AK521" s="37" t="str">
        <f>VLOOKUP(Mecze[[#This Row],[Match ID]],Meczusie[Mecz]:Meczusie[RodzajMeczu],2,FALSE)</f>
        <v>Towarzyski</v>
      </c>
    </row>
    <row r="522" spans="1:37" x14ac:dyDescent="0.25">
      <c r="A522" s="76">
        <v>1</v>
      </c>
      <c r="B522" s="3" t="s">
        <v>247</v>
      </c>
      <c r="C522" s="2" t="s">
        <v>155</v>
      </c>
      <c r="D522" s="1">
        <v>0</v>
      </c>
      <c r="E522" s="1">
        <v>0</v>
      </c>
      <c r="F522" s="1">
        <v>0</v>
      </c>
      <c r="G522" s="1">
        <v>12</v>
      </c>
      <c r="H522" s="4">
        <v>0.25</v>
      </c>
      <c r="I522" s="1">
        <v>0</v>
      </c>
      <c r="J522" s="4"/>
      <c r="K522" s="1">
        <v>8</v>
      </c>
      <c r="L522" s="1">
        <v>0</v>
      </c>
      <c r="M522" s="32">
        <f>IF(Mecze[[#This Row],[PR]]=0,0,Mecze[[#This Row],[PR]]/Mecze[[#This Row],[CZAS]])</f>
        <v>0</v>
      </c>
      <c r="N522" s="32">
        <f>IF(Mecze[[#This Row],[OU]]=0,0,Mecze[[#This Row],[OU]]/Mecze[[#This Row],[CZAS]])</f>
        <v>0</v>
      </c>
      <c r="O522" s="32">
        <f>IF(Mecze[[#This Row],[PC]]=0,0,Mecze[[#This Row],[PC]]/Mecze[[#This Row],[CZAS]])</f>
        <v>3.0927835051546393E-2</v>
      </c>
      <c r="P522" s="32">
        <f>IF(Mecze[[#This Row],[SC]]=0,0,Mecze[[#This Row],[SC]]/Mecze[[#This Row],[CZAS]])</f>
        <v>0</v>
      </c>
      <c r="Q522" s="32">
        <f>IF(Mecze[[#This Row],[OB]]=0,0,Mecze[[#This Row],[OB]]/Mecze[[#This Row],[CZAS]])</f>
        <v>8.247422680412371E-2</v>
      </c>
      <c r="R522" s="32">
        <f>IF(Mecze[[#This Row],[BR]]=0,0,Mecze[[#This Row],[BR]]/Mecze[[#This Row],[CZAS]])</f>
        <v>0</v>
      </c>
      <c r="S522" s="44">
        <f>IF(Mecze[[#This Row],[Role]]="BR",SUMPRODUCT(Mecze[[#This Row],[/PR:90]:[/BR:90]],Brudnopis!$E$23:$J$23),0)</f>
        <v>0.34020618556701032</v>
      </c>
      <c r="T522" s="44">
        <f>IF(Mecze[[#This Row],[Role]]&lt;&gt;"BR",SUMPRODUCT(Mecze[[#This Row],[/PR:90]:[/BR:90]],Brudnopis!$E$24:$J$24),0)</f>
        <v>0</v>
      </c>
      <c r="U522" s="44">
        <f>IF(Mecze[[#This Row],[Role]]&lt;&gt;"BR",SUMPRODUCT(Mecze[[#This Row],[/PR:90]:[/BR:90]],Brudnopis!$E$25:$J$25),0)</f>
        <v>0</v>
      </c>
      <c r="V522" s="44">
        <f>IF(Mecze[[#This Row],[Role]]&lt;&gt;"BR",SUMPRODUCT(Mecze[[#This Row],[/PR:90]:[/BR:90]],Brudnopis!$E$26:$J$26),0)</f>
        <v>0</v>
      </c>
      <c r="W522" s="44">
        <f>IF(Mecze[[#This Row],[Role]]&lt;&gt;"BR",SUMPRODUCT(Mecze[[#This Row],[/PR:90]:[/BR:90]],Brudnopis!$E$27:$J$27),0)</f>
        <v>0</v>
      </c>
      <c r="X522" s="44">
        <f>IF(Mecze[[#This Row],[Role]]&lt;&gt;"BR",SUMPRODUCT(Mecze[[#This Row],[/PR:90]:[/BR:90]],Brudnopis!$E$28:$J$28),0)</f>
        <v>0</v>
      </c>
      <c r="Y522" s="35">
        <f>IF(Mecze[[#This Row],[Role]]="BR",Mecze[[#This Row],[/OB:90]]+Mecze[[#This Row],[/PC:90]],SUM(Mecze[[#This Row],[/PR:90]:[/BR:90]]))</f>
        <v>0.1134020618556701</v>
      </c>
      <c r="Z522" s="35">
        <f>IF(Mecze[[#This Row],[KC]]=0,SUM(Mecze[[#This Row],[/BRI]:[/NPI]]),SUM(Mecze[[#This Row],[/BRI]:[/NPI]])*0.6)</f>
        <v>0.34020618556701032</v>
      </c>
      <c r="AA522" s="10">
        <f>IFERROR(Mecze[[#This Row],[BR]]/Mecze[[#This Row],[ST]],0)</f>
        <v>0</v>
      </c>
      <c r="AB522">
        <f>ROUND(Mecze[[#This Row],[PD]]*Mecze[[#This Row],[%PC]],0)</f>
        <v>3</v>
      </c>
      <c r="AC522">
        <f>ROUND(Mecze[[#This Row],[OD]]*Mecze[[#This Row],[%OU]],0)</f>
        <v>0</v>
      </c>
      <c r="AD522" s="41" t="s">
        <v>40</v>
      </c>
      <c r="AE522" s="36">
        <v>31</v>
      </c>
      <c r="AF522" s="71">
        <v>6.72</v>
      </c>
      <c r="AG522" s="37">
        <v>0</v>
      </c>
      <c r="AH522" s="37">
        <v>0</v>
      </c>
      <c r="AI522" s="37">
        <v>97</v>
      </c>
      <c r="AJ522" s="37">
        <v>6</v>
      </c>
      <c r="AK522" s="37" t="str">
        <f>VLOOKUP(Mecze[[#This Row],[Match ID]],Meczusie[Mecz]:Meczusie[RodzajMeczu],2,FALSE)</f>
        <v>Liga</v>
      </c>
    </row>
    <row r="523" spans="1:37" x14ac:dyDescent="0.25">
      <c r="A523" s="76">
        <v>11</v>
      </c>
      <c r="B523" s="3" t="s">
        <v>250</v>
      </c>
      <c r="C523" s="2" t="s">
        <v>157</v>
      </c>
      <c r="D523" s="1">
        <v>0</v>
      </c>
      <c r="E523" s="1">
        <v>0</v>
      </c>
      <c r="F523" s="1">
        <v>0</v>
      </c>
      <c r="G523" s="1">
        <v>5</v>
      </c>
      <c r="H523" s="4">
        <v>0.4</v>
      </c>
      <c r="I523" s="1">
        <v>10</v>
      </c>
      <c r="J523" s="4">
        <v>0.5</v>
      </c>
      <c r="K523" s="1">
        <v>0</v>
      </c>
      <c r="L523" s="1">
        <v>3</v>
      </c>
      <c r="M523" s="32">
        <f>IF(Mecze[[#This Row],[PR]]=0,0,Mecze[[#This Row],[PR]]/Mecze[[#This Row],[CZAS]])</f>
        <v>3.0927835051546393E-2</v>
      </c>
      <c r="N523" s="32">
        <f>IF(Mecze[[#This Row],[OU]]=0,0,Mecze[[#This Row],[OU]]/Mecze[[#This Row],[CZAS]])</f>
        <v>5.1546391752577317E-2</v>
      </c>
      <c r="O523" s="32">
        <f>IF(Mecze[[#This Row],[PC]]=0,0,Mecze[[#This Row],[PC]]/Mecze[[#This Row],[CZAS]])</f>
        <v>2.0618556701030927E-2</v>
      </c>
      <c r="P523" s="32">
        <f>IF(Mecze[[#This Row],[SC]]=0,0,Mecze[[#This Row],[SC]]/Mecze[[#This Row],[CZAS]])</f>
        <v>0</v>
      </c>
      <c r="Q523" s="32">
        <f>IF(Mecze[[#This Row],[OB]]=0,0,Mecze[[#This Row],[OB]]/Mecze[[#This Row],[CZAS]])</f>
        <v>0</v>
      </c>
      <c r="R523" s="32">
        <f>IF(Mecze[[#This Row],[BR]]=0,0,Mecze[[#This Row],[BR]]/Mecze[[#This Row],[CZAS]])</f>
        <v>0</v>
      </c>
      <c r="S523" s="44">
        <f>IF(Mecze[[#This Row],[Role]]="BR",SUMPRODUCT(Mecze[[#This Row],[/PR:90]:[/BR:90]],Brudnopis!$E$23:$J$23),0)</f>
        <v>0</v>
      </c>
      <c r="T523" s="44">
        <f>IF(Mecze[[#This Row],[Role]]&lt;&gt;"BR",SUMPRODUCT(Mecze[[#This Row],[/PR:90]:[/BR:90]],Brudnopis!$E$24:$J$24),0)</f>
        <v>0.12886597938144331</v>
      </c>
      <c r="U523" s="44">
        <f>IF(Mecze[[#This Row],[Role]]&lt;&gt;"BR",SUMPRODUCT(Mecze[[#This Row],[/PR:90]:[/BR:90]],Brudnopis!$E$25:$J$25),0)</f>
        <v>0.1134020618556701</v>
      </c>
      <c r="V523" s="44">
        <f>IF(Mecze[[#This Row],[Role]]&lt;&gt;"BR",SUMPRODUCT(Mecze[[#This Row],[/PR:90]:[/BR:90]],Brudnopis!$E$26:$J$26),0)</f>
        <v>0.10309278350515463</v>
      </c>
      <c r="W523" s="44">
        <f>IF(Mecze[[#This Row],[Role]]&lt;&gt;"BR",SUMPRODUCT(Mecze[[#This Row],[/PR:90]:[/BR:90]],Brudnopis!$E$27:$J$27),0)</f>
        <v>9.2783505154639179E-2</v>
      </c>
      <c r="X523" s="44">
        <f>IF(Mecze[[#This Row],[Role]]&lt;&gt;"BR",SUMPRODUCT(Mecze[[#This Row],[/PR:90]:[/BR:90]],Brudnopis!$E$28:$J$28),0)</f>
        <v>2.0618556701030927E-2</v>
      </c>
      <c r="Y523" s="35">
        <f>IF(Mecze[[#This Row],[Role]]="BR",Mecze[[#This Row],[/OB:90]]+Mecze[[#This Row],[/PC:90]],SUM(Mecze[[#This Row],[/PR:90]:[/BR:90]]))</f>
        <v>0.10309278350515463</v>
      </c>
      <c r="Z523" s="35">
        <f>IF(Mecze[[#This Row],[KC]]=0,SUM(Mecze[[#This Row],[/BRI]:[/NPI]]),SUM(Mecze[[#This Row],[/BRI]:[/NPI]])*0.6)</f>
        <v>0.45876288659793812</v>
      </c>
      <c r="AA523" s="10">
        <f>IFERROR(Mecze[[#This Row],[BR]]/Mecze[[#This Row],[ST]],0)</f>
        <v>0</v>
      </c>
      <c r="AB523">
        <f>ROUND(Mecze[[#This Row],[PD]]*Mecze[[#This Row],[%PC]],0)</f>
        <v>2</v>
      </c>
      <c r="AC523">
        <f>ROUND(Mecze[[#This Row],[OD]]*Mecze[[#This Row],[%OU]],0)</f>
        <v>5</v>
      </c>
      <c r="AD523" s="41" t="s">
        <v>47</v>
      </c>
      <c r="AE523" s="36">
        <v>31</v>
      </c>
      <c r="AF523" s="71">
        <v>4.5599999999999996</v>
      </c>
      <c r="AG523" s="37">
        <v>1</v>
      </c>
      <c r="AH523" s="37">
        <v>0</v>
      </c>
      <c r="AI523" s="37">
        <v>97</v>
      </c>
      <c r="AJ523" s="37">
        <v>6</v>
      </c>
      <c r="AK523" s="37" t="str">
        <f>VLOOKUP(Mecze[[#This Row],[Match ID]],Meczusie[Mecz]:Meczusie[RodzajMeczu],2,FALSE)</f>
        <v>Liga</v>
      </c>
    </row>
    <row r="524" spans="1:37" x14ac:dyDescent="0.25">
      <c r="A524" s="76">
        <v>7</v>
      </c>
      <c r="B524" s="3" t="s">
        <v>251</v>
      </c>
      <c r="C524" s="2" t="s">
        <v>157</v>
      </c>
      <c r="D524" s="1">
        <v>0</v>
      </c>
      <c r="E524" s="1">
        <v>0</v>
      </c>
      <c r="F524" s="1">
        <v>0</v>
      </c>
      <c r="G524" s="1">
        <v>12</v>
      </c>
      <c r="H524" s="4">
        <v>0.42</v>
      </c>
      <c r="I524" s="1">
        <v>7</v>
      </c>
      <c r="J524" s="4">
        <v>0.71</v>
      </c>
      <c r="K524" s="1">
        <v>0</v>
      </c>
      <c r="L524" s="1">
        <v>9</v>
      </c>
      <c r="M524" s="32">
        <f>IF(Mecze[[#This Row],[PR]]=0,0,Mecze[[#This Row],[PR]]/Mecze[[#This Row],[CZAS]])</f>
        <v>9.2783505154639179E-2</v>
      </c>
      <c r="N524" s="32">
        <f>IF(Mecze[[#This Row],[OU]]=0,0,Mecze[[#This Row],[OU]]/Mecze[[#This Row],[CZAS]])</f>
        <v>5.1546391752577317E-2</v>
      </c>
      <c r="O524" s="32">
        <f>IF(Mecze[[#This Row],[PC]]=0,0,Mecze[[#This Row],[PC]]/Mecze[[#This Row],[CZAS]])</f>
        <v>5.1546391752577317E-2</v>
      </c>
      <c r="P524" s="32">
        <f>IF(Mecze[[#This Row],[SC]]=0,0,Mecze[[#This Row],[SC]]/Mecze[[#This Row],[CZAS]])</f>
        <v>0</v>
      </c>
      <c r="Q524" s="32">
        <f>IF(Mecze[[#This Row],[OB]]=0,0,Mecze[[#This Row],[OB]]/Mecze[[#This Row],[CZAS]])</f>
        <v>0</v>
      </c>
      <c r="R524" s="32">
        <f>IF(Mecze[[#This Row],[BR]]=0,0,Mecze[[#This Row],[BR]]/Mecze[[#This Row],[CZAS]])</f>
        <v>0</v>
      </c>
      <c r="S524" s="44">
        <f>IF(Mecze[[#This Row],[Role]]="BR",SUMPRODUCT(Mecze[[#This Row],[/PR:90]:[/BR:90]],Brudnopis!$E$23:$J$23),0)</f>
        <v>0</v>
      </c>
      <c r="T524" s="44">
        <f>IF(Mecze[[#This Row],[Role]]&lt;&gt;"BR",SUMPRODUCT(Mecze[[#This Row],[/PR:90]:[/BR:90]],Brudnopis!$E$24:$J$24),0)</f>
        <v>0.22164948453608246</v>
      </c>
      <c r="U524" s="44">
        <f>IF(Mecze[[#This Row],[Role]]&lt;&gt;"BR",SUMPRODUCT(Mecze[[#This Row],[/PR:90]:[/BR:90]],Brudnopis!$E$25:$J$25),0)</f>
        <v>0.22164948453608246</v>
      </c>
      <c r="V524" s="44">
        <f>IF(Mecze[[#This Row],[Role]]&lt;&gt;"BR",SUMPRODUCT(Mecze[[#This Row],[/PR:90]:[/BR:90]],Brudnopis!$E$26:$J$26),0)</f>
        <v>0.19587628865979378</v>
      </c>
      <c r="W524" s="44">
        <f>IF(Mecze[[#This Row],[Role]]&lt;&gt;"BR",SUMPRODUCT(Mecze[[#This Row],[/PR:90]:[/BR:90]],Brudnopis!$E$27:$J$27),0)</f>
        <v>0.18556701030927836</v>
      </c>
      <c r="X524" s="44">
        <f>IF(Mecze[[#This Row],[Role]]&lt;&gt;"BR",SUMPRODUCT(Mecze[[#This Row],[/PR:90]:[/BR:90]],Brudnopis!$E$28:$J$28),0)</f>
        <v>5.1546391752577317E-2</v>
      </c>
      <c r="Y524" s="35">
        <f>IF(Mecze[[#This Row],[Role]]="BR",Mecze[[#This Row],[/OB:90]]+Mecze[[#This Row],[/PC:90]],SUM(Mecze[[#This Row],[/PR:90]:[/BR:90]]))</f>
        <v>0.19587628865979378</v>
      </c>
      <c r="Z524" s="35">
        <f>IF(Mecze[[#This Row],[KC]]=0,SUM(Mecze[[#This Row],[/BRI]:[/NPI]]),SUM(Mecze[[#This Row],[/BRI]:[/NPI]])*0.6)</f>
        <v>0.87628865979381443</v>
      </c>
      <c r="AA524" s="10">
        <f>IFERROR(Mecze[[#This Row],[BR]]/Mecze[[#This Row],[ST]],0)</f>
        <v>0</v>
      </c>
      <c r="AB524">
        <f>ROUND(Mecze[[#This Row],[PD]]*Mecze[[#This Row],[%PC]],0)</f>
        <v>5</v>
      </c>
      <c r="AC524">
        <f>ROUND(Mecze[[#This Row],[OD]]*Mecze[[#This Row],[%OU]],0)</f>
        <v>5</v>
      </c>
      <c r="AD524" s="41" t="s">
        <v>167</v>
      </c>
      <c r="AE524" s="36">
        <v>31</v>
      </c>
      <c r="AF524" s="71">
        <v>6.93</v>
      </c>
      <c r="AG524" s="37">
        <v>0</v>
      </c>
      <c r="AH524" s="37">
        <v>0</v>
      </c>
      <c r="AI524" s="37">
        <v>97</v>
      </c>
      <c r="AJ524" s="37">
        <v>6</v>
      </c>
      <c r="AK524" s="37" t="str">
        <f>VLOOKUP(Mecze[[#This Row],[Match ID]],Meczusie[Mecz]:Meczusie[RodzajMeczu],2,FALSE)</f>
        <v>Liga</v>
      </c>
    </row>
    <row r="525" spans="1:37" x14ac:dyDescent="0.25">
      <c r="A525" s="76">
        <v>2</v>
      </c>
      <c r="B525" s="3" t="s">
        <v>249</v>
      </c>
      <c r="C525" s="2" t="s">
        <v>157</v>
      </c>
      <c r="D525" s="1">
        <v>0</v>
      </c>
      <c r="E525" s="1">
        <v>0</v>
      </c>
      <c r="F525" s="1">
        <v>0</v>
      </c>
      <c r="G525" s="1">
        <v>6</v>
      </c>
      <c r="H525" s="4">
        <v>0.67</v>
      </c>
      <c r="I525" s="1">
        <v>7</v>
      </c>
      <c r="J525" s="4">
        <v>0.43</v>
      </c>
      <c r="K525" s="1">
        <v>0</v>
      </c>
      <c r="L525" s="1">
        <v>4</v>
      </c>
      <c r="M525" s="32">
        <f>IF(Mecze[[#This Row],[PR]]=0,0,Mecze[[#This Row],[PR]]/Mecze[[#This Row],[CZAS]])</f>
        <v>4.1237113402061855E-2</v>
      </c>
      <c r="N525" s="32">
        <f>IF(Mecze[[#This Row],[OU]]=0,0,Mecze[[#This Row],[OU]]/Mecze[[#This Row],[CZAS]])</f>
        <v>3.0927835051546393E-2</v>
      </c>
      <c r="O525" s="32">
        <f>IF(Mecze[[#This Row],[PC]]=0,0,Mecze[[#This Row],[PC]]/Mecze[[#This Row],[CZAS]])</f>
        <v>4.1237113402061855E-2</v>
      </c>
      <c r="P525" s="32">
        <f>IF(Mecze[[#This Row],[SC]]=0,0,Mecze[[#This Row],[SC]]/Mecze[[#This Row],[CZAS]])</f>
        <v>0</v>
      </c>
      <c r="Q525" s="32">
        <f>IF(Mecze[[#This Row],[OB]]=0,0,Mecze[[#This Row],[OB]]/Mecze[[#This Row],[CZAS]])</f>
        <v>0</v>
      </c>
      <c r="R525" s="32">
        <f>IF(Mecze[[#This Row],[BR]]=0,0,Mecze[[#This Row],[BR]]/Mecze[[#This Row],[CZAS]])</f>
        <v>0</v>
      </c>
      <c r="S525" s="44">
        <f>IF(Mecze[[#This Row],[Role]]="BR",SUMPRODUCT(Mecze[[#This Row],[/PR:90]:[/BR:90]],Brudnopis!$E$23:$J$23),0)</f>
        <v>0</v>
      </c>
      <c r="T525" s="44">
        <f>IF(Mecze[[#This Row],[Role]]&lt;&gt;"BR",SUMPRODUCT(Mecze[[#This Row],[/PR:90]:[/BR:90]],Brudnopis!$E$24:$J$24),0)</f>
        <v>0.12886597938144329</v>
      </c>
      <c r="U525" s="44">
        <f>IF(Mecze[[#This Row],[Role]]&lt;&gt;"BR",SUMPRODUCT(Mecze[[#This Row],[/PR:90]:[/BR:90]],Brudnopis!$E$25:$J$25),0)</f>
        <v>0.13402061855670103</v>
      </c>
      <c r="V525" s="44">
        <f>IF(Mecze[[#This Row],[Role]]&lt;&gt;"BR",SUMPRODUCT(Mecze[[#This Row],[/PR:90]:[/BR:90]],Brudnopis!$E$26:$J$26),0)</f>
        <v>0.11340206185567009</v>
      </c>
      <c r="W525" s="44">
        <f>IF(Mecze[[#This Row],[Role]]&lt;&gt;"BR",SUMPRODUCT(Mecze[[#This Row],[/PR:90]:[/BR:90]],Brudnopis!$E$27:$J$27),0)</f>
        <v>0.11597938144329897</v>
      </c>
      <c r="X525" s="44">
        <f>IF(Mecze[[#This Row],[Role]]&lt;&gt;"BR",SUMPRODUCT(Mecze[[#This Row],[/PR:90]:[/BR:90]],Brudnopis!$E$28:$J$28),0)</f>
        <v>4.1237113402061855E-2</v>
      </c>
      <c r="Y525" s="35">
        <f>IF(Mecze[[#This Row],[Role]]="BR",Mecze[[#This Row],[/OB:90]]+Mecze[[#This Row],[/PC:90]],SUM(Mecze[[#This Row],[/PR:90]:[/BR:90]]))</f>
        <v>0.11340206185567009</v>
      </c>
      <c r="Z525" s="35">
        <f>IF(Mecze[[#This Row],[KC]]=0,SUM(Mecze[[#This Row],[/BRI]:[/NPI]]),SUM(Mecze[[#This Row],[/BRI]:[/NPI]])*0.6)</f>
        <v>0.53350515463917514</v>
      </c>
      <c r="AA525" s="10">
        <f>IFERROR(Mecze[[#This Row],[BR]]/Mecze[[#This Row],[ST]],0)</f>
        <v>0</v>
      </c>
      <c r="AB525">
        <f>ROUND(Mecze[[#This Row],[PD]]*Mecze[[#This Row],[%PC]],0)</f>
        <v>4</v>
      </c>
      <c r="AC525">
        <f>ROUND(Mecze[[#This Row],[OD]]*Mecze[[#This Row],[%OU]],0)</f>
        <v>3</v>
      </c>
      <c r="AD525" s="41" t="s">
        <v>168</v>
      </c>
      <c r="AE525" s="36">
        <v>31</v>
      </c>
      <c r="AF525" s="71">
        <v>3.65</v>
      </c>
      <c r="AG525" s="37">
        <v>1</v>
      </c>
      <c r="AH525" s="37">
        <v>0</v>
      </c>
      <c r="AI525" s="37">
        <v>97</v>
      </c>
      <c r="AJ525" s="37">
        <v>6</v>
      </c>
      <c r="AK525" s="37" t="str">
        <f>VLOOKUP(Mecze[[#This Row],[Match ID]],Meczusie[Mecz]:Meczusie[RodzajMeczu],2,FALSE)</f>
        <v>Liga</v>
      </c>
    </row>
    <row r="526" spans="1:37" x14ac:dyDescent="0.25">
      <c r="A526" s="76">
        <v>24</v>
      </c>
      <c r="B526" s="3" t="s">
        <v>409</v>
      </c>
      <c r="C526" s="2" t="s">
        <v>160</v>
      </c>
      <c r="D526" s="1">
        <v>0</v>
      </c>
      <c r="E526" s="1">
        <v>0</v>
      </c>
      <c r="F526" s="1">
        <v>0</v>
      </c>
      <c r="G526" s="1">
        <v>3</v>
      </c>
      <c r="H526" s="4">
        <v>1</v>
      </c>
      <c r="I526" s="1">
        <v>6</v>
      </c>
      <c r="J526" s="4">
        <v>0.17</v>
      </c>
      <c r="K526" s="1">
        <v>0</v>
      </c>
      <c r="L526" s="1">
        <v>1</v>
      </c>
      <c r="M526" s="32">
        <f>IF(Mecze[[#This Row],[PR]]=0,0,Mecze[[#This Row],[PR]]/Mecze[[#This Row],[CZAS]])</f>
        <v>1.0309278350515464E-2</v>
      </c>
      <c r="N526" s="32">
        <f>IF(Mecze[[#This Row],[OU]]=0,0,Mecze[[#This Row],[OU]]/Mecze[[#This Row],[CZAS]])</f>
        <v>1.0309278350515464E-2</v>
      </c>
      <c r="O526" s="32">
        <f>IF(Mecze[[#This Row],[PC]]=0,0,Mecze[[#This Row],[PC]]/Mecze[[#This Row],[CZAS]])</f>
        <v>3.0927835051546393E-2</v>
      </c>
      <c r="P526" s="32">
        <f>IF(Mecze[[#This Row],[SC]]=0,0,Mecze[[#This Row],[SC]]/Mecze[[#This Row],[CZAS]])</f>
        <v>0</v>
      </c>
      <c r="Q526" s="32">
        <f>IF(Mecze[[#This Row],[OB]]=0,0,Mecze[[#This Row],[OB]]/Mecze[[#This Row],[CZAS]])</f>
        <v>0</v>
      </c>
      <c r="R526" s="32">
        <f>IF(Mecze[[#This Row],[BR]]=0,0,Mecze[[#This Row],[BR]]/Mecze[[#This Row],[CZAS]])</f>
        <v>0</v>
      </c>
      <c r="S526" s="44">
        <f>IF(Mecze[[#This Row],[Role]]="BR",SUMPRODUCT(Mecze[[#This Row],[/PR:90]:[/BR:90]],Brudnopis!$E$23:$J$23),0)</f>
        <v>0</v>
      </c>
      <c r="T526" s="44">
        <f>IF(Mecze[[#This Row],[Role]]&lt;&gt;"BR",SUMPRODUCT(Mecze[[#This Row],[/PR:90]:[/BR:90]],Brudnopis!$E$24:$J$24),0)</f>
        <v>5.6701030927835051E-2</v>
      </c>
      <c r="U526" s="44">
        <f>IF(Mecze[[#This Row],[Role]]&lt;&gt;"BR",SUMPRODUCT(Mecze[[#This Row],[/PR:90]:[/BR:90]],Brudnopis!$E$25:$J$25),0)</f>
        <v>6.7010309278350513E-2</v>
      </c>
      <c r="V526" s="44">
        <f>IF(Mecze[[#This Row],[Role]]&lt;&gt;"BR",SUMPRODUCT(Mecze[[#This Row],[/PR:90]:[/BR:90]],Brudnopis!$E$26:$J$26),0)</f>
        <v>5.1546391752577317E-2</v>
      </c>
      <c r="W526" s="44">
        <f>IF(Mecze[[#This Row],[Role]]&lt;&gt;"BR",SUMPRODUCT(Mecze[[#This Row],[/PR:90]:[/BR:90]],Brudnopis!$E$27:$J$27),0)</f>
        <v>6.1855670103092786E-2</v>
      </c>
      <c r="X526" s="44">
        <f>IF(Mecze[[#This Row],[Role]]&lt;&gt;"BR",SUMPRODUCT(Mecze[[#This Row],[/PR:90]:[/BR:90]],Brudnopis!$E$28:$J$28),0)</f>
        <v>3.0927835051546393E-2</v>
      </c>
      <c r="Y526" s="35">
        <f>IF(Mecze[[#This Row],[Role]]="BR",Mecze[[#This Row],[/OB:90]]+Mecze[[#This Row],[/PC:90]],SUM(Mecze[[#This Row],[/PR:90]:[/BR:90]]))</f>
        <v>5.1546391752577317E-2</v>
      </c>
      <c r="Z526" s="35">
        <f>IF(Mecze[[#This Row],[KC]]=0,SUM(Mecze[[#This Row],[/BRI]:[/NPI]]),SUM(Mecze[[#This Row],[/BRI]:[/NPI]])*0.6)</f>
        <v>0.26804123711340205</v>
      </c>
      <c r="AA526" s="10">
        <f>IFERROR(Mecze[[#This Row],[BR]]/Mecze[[#This Row],[ST]],0)</f>
        <v>0</v>
      </c>
      <c r="AB526">
        <f>ROUND(Mecze[[#This Row],[PD]]*Mecze[[#This Row],[%PC]],0)</f>
        <v>3</v>
      </c>
      <c r="AC526">
        <f>ROUND(Mecze[[#This Row],[OD]]*Mecze[[#This Row],[%OU]],0)</f>
        <v>1</v>
      </c>
      <c r="AD526" s="42" t="s">
        <v>41</v>
      </c>
      <c r="AE526" s="36">
        <v>31</v>
      </c>
      <c r="AF526" s="71">
        <v>4.13</v>
      </c>
      <c r="AG526" s="37">
        <v>0</v>
      </c>
      <c r="AH526" s="37">
        <v>0</v>
      </c>
      <c r="AI526" s="37">
        <v>97</v>
      </c>
      <c r="AJ526" s="37">
        <v>6</v>
      </c>
      <c r="AK526" s="37" t="str">
        <f>VLOOKUP(Mecze[[#This Row],[Match ID]],Meczusie[Mecz]:Meczusie[RodzajMeczu],2,FALSE)</f>
        <v>Liga</v>
      </c>
    </row>
    <row r="527" spans="1:37" x14ac:dyDescent="0.25">
      <c r="A527" s="76">
        <v>10</v>
      </c>
      <c r="B527" s="3" t="s">
        <v>252</v>
      </c>
      <c r="C527" s="2" t="s">
        <v>160</v>
      </c>
      <c r="D527" s="1">
        <v>0</v>
      </c>
      <c r="E527" s="1">
        <v>0</v>
      </c>
      <c r="F527" s="1">
        <v>0</v>
      </c>
      <c r="G527" s="1">
        <v>7</v>
      </c>
      <c r="H527" s="4">
        <v>0.86</v>
      </c>
      <c r="I527" s="1">
        <v>6</v>
      </c>
      <c r="J527" s="4">
        <v>0.33</v>
      </c>
      <c r="K527" s="1">
        <v>0</v>
      </c>
      <c r="L527" s="1">
        <v>6</v>
      </c>
      <c r="M527" s="32">
        <f>IF(Mecze[[#This Row],[PR]]=0,0,Mecze[[#This Row],[PR]]/Mecze[[#This Row],[CZAS]])</f>
        <v>7.6923076923076927E-2</v>
      </c>
      <c r="N527" s="32">
        <f>IF(Mecze[[#This Row],[OU]]=0,0,Mecze[[#This Row],[OU]]/Mecze[[#This Row],[CZAS]])</f>
        <v>2.564102564102564E-2</v>
      </c>
      <c r="O527" s="32">
        <f>IF(Mecze[[#This Row],[PC]]=0,0,Mecze[[#This Row],[PC]]/Mecze[[#This Row],[CZAS]])</f>
        <v>7.6923076923076927E-2</v>
      </c>
      <c r="P527" s="32">
        <f>IF(Mecze[[#This Row],[SC]]=0,0,Mecze[[#This Row],[SC]]/Mecze[[#This Row],[CZAS]])</f>
        <v>0</v>
      </c>
      <c r="Q527" s="32">
        <f>IF(Mecze[[#This Row],[OB]]=0,0,Mecze[[#This Row],[OB]]/Mecze[[#This Row],[CZAS]])</f>
        <v>0</v>
      </c>
      <c r="R527" s="32">
        <f>IF(Mecze[[#This Row],[BR]]=0,0,Mecze[[#This Row],[BR]]/Mecze[[#This Row],[CZAS]])</f>
        <v>0</v>
      </c>
      <c r="S527" s="44">
        <f>IF(Mecze[[#This Row],[Role]]="BR",SUMPRODUCT(Mecze[[#This Row],[/PR:90]:[/BR:90]],Brudnopis!$E$23:$J$23),0)</f>
        <v>0</v>
      </c>
      <c r="T527" s="44">
        <f>IF(Mecze[[#This Row],[Role]]&lt;&gt;"BR",SUMPRODUCT(Mecze[[#This Row],[/PR:90]:[/BR:90]],Brudnopis!$E$24:$J$24),0)</f>
        <v>0.19230769230769232</v>
      </c>
      <c r="U527" s="44">
        <f>IF(Mecze[[#This Row],[Role]]&lt;&gt;"BR",SUMPRODUCT(Mecze[[#This Row],[/PR:90]:[/BR:90]],Brudnopis!$E$25:$J$25),0)</f>
        <v>0.21794871794871795</v>
      </c>
      <c r="V527" s="44">
        <f>IF(Mecze[[#This Row],[Role]]&lt;&gt;"BR",SUMPRODUCT(Mecze[[#This Row],[/PR:90]:[/BR:90]],Brudnopis!$E$26:$J$26),0)</f>
        <v>0.17948717948717949</v>
      </c>
      <c r="W527" s="44">
        <f>IF(Mecze[[#This Row],[Role]]&lt;&gt;"BR",SUMPRODUCT(Mecze[[#This Row],[/PR:90]:[/BR:90]],Brudnopis!$E$27:$J$27),0)</f>
        <v>0.19230769230769232</v>
      </c>
      <c r="X527" s="44">
        <f>IF(Mecze[[#This Row],[Role]]&lt;&gt;"BR",SUMPRODUCT(Mecze[[#This Row],[/PR:90]:[/BR:90]],Brudnopis!$E$28:$J$28),0)</f>
        <v>7.6923076923076927E-2</v>
      </c>
      <c r="Y527" s="35">
        <f>IF(Mecze[[#This Row],[Role]]="BR",Mecze[[#This Row],[/OB:90]]+Mecze[[#This Row],[/PC:90]],SUM(Mecze[[#This Row],[/PR:90]:[/BR:90]]))</f>
        <v>0.17948717948717949</v>
      </c>
      <c r="Z527" s="35">
        <f>IF(Mecze[[#This Row],[KC]]=0,SUM(Mecze[[#This Row],[/BRI]:[/NPI]]),SUM(Mecze[[#This Row],[/BRI]:[/NPI]])*0.6)</f>
        <v>0.85897435897435903</v>
      </c>
      <c r="AA527" s="10">
        <f>IFERROR(Mecze[[#This Row],[BR]]/Mecze[[#This Row],[ST]],0)</f>
        <v>0</v>
      </c>
      <c r="AB527">
        <f>ROUND(Mecze[[#This Row],[PD]]*Mecze[[#This Row],[%PC]],0)</f>
        <v>6</v>
      </c>
      <c r="AC527">
        <f>ROUND(Mecze[[#This Row],[OD]]*Mecze[[#This Row],[%OU]],0)</f>
        <v>2</v>
      </c>
      <c r="AD527" s="42" t="s">
        <v>318</v>
      </c>
      <c r="AE527" s="36">
        <v>31</v>
      </c>
      <c r="AF527" s="71">
        <v>7.3</v>
      </c>
      <c r="AG527" s="37">
        <v>0</v>
      </c>
      <c r="AH527" s="37">
        <v>0</v>
      </c>
      <c r="AI527" s="37">
        <v>78</v>
      </c>
      <c r="AJ527" s="37">
        <v>6</v>
      </c>
      <c r="AK527" s="37" t="str">
        <f>VLOOKUP(Mecze[[#This Row],[Match ID]],Meczusie[Mecz]:Meczusie[RodzajMeczu],2,FALSE)</f>
        <v>Liga</v>
      </c>
    </row>
    <row r="528" spans="1:37" x14ac:dyDescent="0.25">
      <c r="A528" s="76">
        <v>3</v>
      </c>
      <c r="B528" s="3" t="s">
        <v>253</v>
      </c>
      <c r="C528" s="2" t="s">
        <v>160</v>
      </c>
      <c r="D528" s="1">
        <v>1</v>
      </c>
      <c r="E528" s="1">
        <v>3</v>
      </c>
      <c r="F528" s="1">
        <v>1</v>
      </c>
      <c r="G528" s="1">
        <v>6</v>
      </c>
      <c r="H528" s="4">
        <v>0.33</v>
      </c>
      <c r="I528" s="1">
        <v>8</v>
      </c>
      <c r="J528" s="4">
        <v>0.88</v>
      </c>
      <c r="K528" s="1">
        <v>0</v>
      </c>
      <c r="L528" s="1">
        <v>5</v>
      </c>
      <c r="M528" s="32">
        <f>IF(Mecze[[#This Row],[PR]]=0,0,Mecze[[#This Row],[PR]]/Mecze[[#This Row],[CZAS]])</f>
        <v>5.1546391752577317E-2</v>
      </c>
      <c r="N528" s="32">
        <f>IF(Mecze[[#This Row],[OU]]=0,0,Mecze[[#This Row],[OU]]/Mecze[[#This Row],[CZAS]])</f>
        <v>7.2164948453608241E-2</v>
      </c>
      <c r="O528" s="32">
        <f>IF(Mecze[[#This Row],[PC]]=0,0,Mecze[[#This Row],[PC]]/Mecze[[#This Row],[CZAS]])</f>
        <v>2.0618556701030927E-2</v>
      </c>
      <c r="P528" s="32">
        <f>IF(Mecze[[#This Row],[SC]]=0,0,Mecze[[#This Row],[SC]]/Mecze[[#This Row],[CZAS]])</f>
        <v>1.0309278350515464E-2</v>
      </c>
      <c r="Q528" s="32">
        <f>IF(Mecze[[#This Row],[OB]]=0,0,Mecze[[#This Row],[OB]]/Mecze[[#This Row],[CZAS]])</f>
        <v>0</v>
      </c>
      <c r="R528" s="32">
        <f>IF(Mecze[[#This Row],[BR]]=0,0,Mecze[[#This Row],[BR]]/Mecze[[#This Row],[CZAS]])</f>
        <v>1.0309278350515464E-2</v>
      </c>
      <c r="S528" s="44">
        <f>IF(Mecze[[#This Row],[Role]]="BR",SUMPRODUCT(Mecze[[#This Row],[/PR:90]:[/BR:90]],Brudnopis!$E$23:$J$23),0)</f>
        <v>0</v>
      </c>
      <c r="T528" s="44">
        <f>IF(Mecze[[#This Row],[Role]]&lt;&gt;"BR",SUMPRODUCT(Mecze[[#This Row],[/PR:90]:[/BR:90]],Brudnopis!$E$24:$J$24),0)</f>
        <v>0.20618556701030927</v>
      </c>
      <c r="U528" s="44">
        <f>IF(Mecze[[#This Row],[Role]]&lt;&gt;"BR",SUMPRODUCT(Mecze[[#This Row],[/PR:90]:[/BR:90]],Brudnopis!$E$25:$J$25),0)</f>
        <v>0.18041237113402062</v>
      </c>
      <c r="V528" s="44">
        <f>IF(Mecze[[#This Row],[Role]]&lt;&gt;"BR",SUMPRODUCT(Mecze[[#This Row],[/PR:90]:[/BR:90]],Brudnopis!$E$26:$J$26),0)</f>
        <v>0.17525773195876287</v>
      </c>
      <c r="W528" s="44">
        <f>IF(Mecze[[#This Row],[Role]]&lt;&gt;"BR",SUMPRODUCT(Mecze[[#This Row],[/PR:90]:[/BR:90]],Brudnopis!$E$27:$J$27),0)</f>
        <v>0.15463917525773196</v>
      </c>
      <c r="X528" s="44">
        <f>IF(Mecze[[#This Row],[Role]]&lt;&gt;"BR",SUMPRODUCT(Mecze[[#This Row],[/PR:90]:[/BR:90]],Brudnopis!$E$28:$J$28),0)</f>
        <v>7.2164948453608241E-2</v>
      </c>
      <c r="Y528" s="35">
        <f>IF(Mecze[[#This Row],[Role]]="BR",Mecze[[#This Row],[/OB:90]]+Mecze[[#This Row],[/PC:90]],SUM(Mecze[[#This Row],[/PR:90]:[/BR:90]]))</f>
        <v>0.16494845360824739</v>
      </c>
      <c r="Z528" s="35">
        <f>IF(Mecze[[#This Row],[KC]]=0,SUM(Mecze[[#This Row],[/BRI]:[/NPI]]),SUM(Mecze[[#This Row],[/BRI]:[/NPI]])*0.6)</f>
        <v>0.78865979381443296</v>
      </c>
      <c r="AA528" s="10">
        <f>IFERROR(Mecze[[#This Row],[BR]]/Mecze[[#This Row],[ST]],0)</f>
        <v>0.33333333333333331</v>
      </c>
      <c r="AB528">
        <f>ROUND(Mecze[[#This Row],[PD]]*Mecze[[#This Row],[%PC]],0)</f>
        <v>2</v>
      </c>
      <c r="AC528">
        <f>ROUND(Mecze[[#This Row],[OD]]*Mecze[[#This Row],[%OU]],0)</f>
        <v>7</v>
      </c>
      <c r="AD528" s="41" t="s">
        <v>319</v>
      </c>
      <c r="AE528" s="36">
        <v>31</v>
      </c>
      <c r="AF528" s="71">
        <v>7.31</v>
      </c>
      <c r="AG528" s="37">
        <v>0</v>
      </c>
      <c r="AH528" s="37">
        <v>0</v>
      </c>
      <c r="AI528" s="37">
        <v>97</v>
      </c>
      <c r="AJ528" s="37">
        <v>6</v>
      </c>
      <c r="AK528" s="37" t="str">
        <f>VLOOKUP(Mecze[[#This Row],[Match ID]],Meczusie[Mecz]:Meczusie[RodzajMeczu],2,FALSE)</f>
        <v>Liga</v>
      </c>
    </row>
    <row r="529" spans="1:37" x14ac:dyDescent="0.25">
      <c r="A529" s="76">
        <v>8</v>
      </c>
      <c r="B529" s="3" t="s">
        <v>254</v>
      </c>
      <c r="C529" s="2" t="s">
        <v>160</v>
      </c>
      <c r="D529" s="1">
        <v>0</v>
      </c>
      <c r="E529" s="1">
        <v>1</v>
      </c>
      <c r="F529" s="1">
        <v>1</v>
      </c>
      <c r="G529" s="1">
        <v>8</v>
      </c>
      <c r="H529" s="4">
        <v>0.63</v>
      </c>
      <c r="I529" s="1">
        <v>6</v>
      </c>
      <c r="J529" s="4">
        <v>0.17</v>
      </c>
      <c r="K529" s="1">
        <v>0</v>
      </c>
      <c r="L529" s="1">
        <v>0</v>
      </c>
      <c r="M529" s="32">
        <f>IF(Mecze[[#This Row],[PR]]=0,0,Mecze[[#This Row],[PR]]/Mecze[[#This Row],[CZAS]])</f>
        <v>0</v>
      </c>
      <c r="N529" s="32">
        <f>IF(Mecze[[#This Row],[OU]]=0,0,Mecze[[#This Row],[OU]]/Mecze[[#This Row],[CZAS]])</f>
        <v>1.0309278350515464E-2</v>
      </c>
      <c r="O529" s="32">
        <f>IF(Mecze[[#This Row],[PC]]=0,0,Mecze[[#This Row],[PC]]/Mecze[[#This Row],[CZAS]])</f>
        <v>5.1546391752577317E-2</v>
      </c>
      <c r="P529" s="32">
        <f>IF(Mecze[[#This Row],[SC]]=0,0,Mecze[[#This Row],[SC]]/Mecze[[#This Row],[CZAS]])</f>
        <v>1.0309278350515464E-2</v>
      </c>
      <c r="Q529" s="32">
        <f>IF(Mecze[[#This Row],[OB]]=0,0,Mecze[[#This Row],[OB]]/Mecze[[#This Row],[CZAS]])</f>
        <v>0</v>
      </c>
      <c r="R529" s="32">
        <f>IF(Mecze[[#This Row],[BR]]=0,0,Mecze[[#This Row],[BR]]/Mecze[[#This Row],[CZAS]])</f>
        <v>0</v>
      </c>
      <c r="S529" s="44">
        <f>IF(Mecze[[#This Row],[Role]]="BR",SUMPRODUCT(Mecze[[#This Row],[/PR:90]:[/BR:90]],Brudnopis!$E$23:$J$23),0)</f>
        <v>0</v>
      </c>
      <c r="T529" s="44">
        <f>IF(Mecze[[#This Row],[Role]]&lt;&gt;"BR",SUMPRODUCT(Mecze[[#This Row],[/PR:90]:[/BR:90]],Brudnopis!$E$24:$J$24),0)</f>
        <v>7.7319587628865982E-2</v>
      </c>
      <c r="U529" s="44">
        <f>IF(Mecze[[#This Row],[Role]]&lt;&gt;"BR",SUMPRODUCT(Mecze[[#This Row],[/PR:90]:[/BR:90]],Brudnopis!$E$25:$J$25),0)</f>
        <v>9.793814432989692E-2</v>
      </c>
      <c r="V529" s="44">
        <f>IF(Mecze[[#This Row],[Role]]&lt;&gt;"BR",SUMPRODUCT(Mecze[[#This Row],[/PR:90]:[/BR:90]],Brudnopis!$E$26:$J$26),0)</f>
        <v>7.2164948453608241E-2</v>
      </c>
      <c r="W529" s="44">
        <f>IF(Mecze[[#This Row],[Role]]&lt;&gt;"BR",SUMPRODUCT(Mecze[[#This Row],[/PR:90]:[/BR:90]],Brudnopis!$E$27:$J$27),0)</f>
        <v>9.5360824742268049E-2</v>
      </c>
      <c r="X529" s="44">
        <f>IF(Mecze[[#This Row],[Role]]&lt;&gt;"BR",SUMPRODUCT(Mecze[[#This Row],[/PR:90]:[/BR:90]],Brudnopis!$E$28:$J$28),0)</f>
        <v>7.2164948453608241E-2</v>
      </c>
      <c r="Y529" s="35">
        <f>IF(Mecze[[#This Row],[Role]]="BR",Mecze[[#This Row],[/OB:90]]+Mecze[[#This Row],[/PC:90]],SUM(Mecze[[#This Row],[/PR:90]:[/BR:90]]))</f>
        <v>7.2164948453608241E-2</v>
      </c>
      <c r="Z529" s="35">
        <f>IF(Mecze[[#This Row],[KC]]=0,SUM(Mecze[[#This Row],[/BRI]:[/NPI]]),SUM(Mecze[[#This Row],[/BRI]:[/NPI]])*0.6)</f>
        <v>0.41494845360824739</v>
      </c>
      <c r="AA529" s="10">
        <f>IFERROR(Mecze[[#This Row],[BR]]/Mecze[[#This Row],[ST]],0)</f>
        <v>0</v>
      </c>
      <c r="AB529">
        <f>ROUND(Mecze[[#This Row],[PD]]*Mecze[[#This Row],[%PC]],0)</f>
        <v>5</v>
      </c>
      <c r="AC529">
        <f>ROUND(Mecze[[#This Row],[OD]]*Mecze[[#This Row],[%OU]],0)</f>
        <v>1</v>
      </c>
      <c r="AD529" s="41" t="s">
        <v>44</v>
      </c>
      <c r="AE529" s="36">
        <v>31</v>
      </c>
      <c r="AF529" s="71">
        <v>5.36</v>
      </c>
      <c r="AG529" s="37">
        <v>0</v>
      </c>
      <c r="AH529" s="37">
        <v>0</v>
      </c>
      <c r="AI529" s="37">
        <v>97</v>
      </c>
      <c r="AJ529" s="37">
        <v>6</v>
      </c>
      <c r="AK529" s="37" t="str">
        <f>VLOOKUP(Mecze[[#This Row],[Match ID]],Meczusie[Mecz]:Meczusie[RodzajMeczu],2,FALSE)</f>
        <v>Liga</v>
      </c>
    </row>
    <row r="530" spans="1:37" x14ac:dyDescent="0.25">
      <c r="A530" s="76">
        <v>6</v>
      </c>
      <c r="B530" s="3" t="s">
        <v>255</v>
      </c>
      <c r="C530" s="2" t="s">
        <v>165</v>
      </c>
      <c r="D530" s="1">
        <v>0</v>
      </c>
      <c r="E530" s="1">
        <v>0</v>
      </c>
      <c r="F530" s="1">
        <v>0</v>
      </c>
      <c r="G530" s="1">
        <v>1</v>
      </c>
      <c r="H530" s="4">
        <v>0</v>
      </c>
      <c r="I530" s="1">
        <v>0</v>
      </c>
      <c r="J530" s="4"/>
      <c r="K530" s="1">
        <v>0</v>
      </c>
      <c r="L530" s="1">
        <v>0</v>
      </c>
      <c r="M530" s="32">
        <f>IF(Mecze[[#This Row],[PR]]=0,0,Mecze[[#This Row],[PR]]/Mecze[[#This Row],[CZAS]])</f>
        <v>0</v>
      </c>
      <c r="N530" s="32">
        <f>IF(Mecze[[#This Row],[OU]]=0,0,Mecze[[#This Row],[OU]]/Mecze[[#This Row],[CZAS]])</f>
        <v>0</v>
      </c>
      <c r="O530" s="32">
        <f>IF(Mecze[[#This Row],[PC]]=0,0,Mecze[[#This Row],[PC]]/Mecze[[#This Row],[CZAS]])</f>
        <v>0</v>
      </c>
      <c r="P530" s="32">
        <f>IF(Mecze[[#This Row],[SC]]=0,0,Mecze[[#This Row],[SC]]/Mecze[[#This Row],[CZAS]])</f>
        <v>0</v>
      </c>
      <c r="Q530" s="32">
        <f>IF(Mecze[[#This Row],[OB]]=0,0,Mecze[[#This Row],[OB]]/Mecze[[#This Row],[CZAS]])</f>
        <v>0</v>
      </c>
      <c r="R530" s="32">
        <f>IF(Mecze[[#This Row],[BR]]=0,0,Mecze[[#This Row],[BR]]/Mecze[[#This Row],[CZAS]])</f>
        <v>0</v>
      </c>
      <c r="S530" s="44">
        <f>IF(Mecze[[#This Row],[Role]]="BR",SUMPRODUCT(Mecze[[#This Row],[/PR:90]:[/BR:90]],Brudnopis!$E$23:$J$23),0)</f>
        <v>0</v>
      </c>
      <c r="T530" s="44">
        <f>IF(Mecze[[#This Row],[Role]]&lt;&gt;"BR",SUMPRODUCT(Mecze[[#This Row],[/PR:90]:[/BR:90]],Brudnopis!$E$24:$J$24),0)</f>
        <v>0</v>
      </c>
      <c r="U530" s="44">
        <f>IF(Mecze[[#This Row],[Role]]&lt;&gt;"BR",SUMPRODUCT(Mecze[[#This Row],[/PR:90]:[/BR:90]],Brudnopis!$E$25:$J$25),0)</f>
        <v>0</v>
      </c>
      <c r="V530" s="44">
        <f>IF(Mecze[[#This Row],[Role]]&lt;&gt;"BR",SUMPRODUCT(Mecze[[#This Row],[/PR:90]:[/BR:90]],Brudnopis!$E$26:$J$26),0)</f>
        <v>0</v>
      </c>
      <c r="W530" s="44">
        <f>IF(Mecze[[#This Row],[Role]]&lt;&gt;"BR",SUMPRODUCT(Mecze[[#This Row],[/PR:90]:[/BR:90]],Brudnopis!$E$27:$J$27),0)</f>
        <v>0</v>
      </c>
      <c r="X530" s="44">
        <f>IF(Mecze[[#This Row],[Role]]&lt;&gt;"BR",SUMPRODUCT(Mecze[[#This Row],[/PR:90]:[/BR:90]],Brudnopis!$E$28:$J$28),0)</f>
        <v>0</v>
      </c>
      <c r="Y530" s="35">
        <f>IF(Mecze[[#This Row],[Role]]="BR",Mecze[[#This Row],[/OB:90]]+Mecze[[#This Row],[/PC:90]],SUM(Mecze[[#This Row],[/PR:90]:[/BR:90]]))</f>
        <v>0</v>
      </c>
      <c r="Z530" s="35">
        <f>IF(Mecze[[#This Row],[KC]]=0,SUM(Mecze[[#This Row],[/BRI]:[/NPI]]),SUM(Mecze[[#This Row],[/BRI]:[/NPI]])*0.6)</f>
        <v>0</v>
      </c>
      <c r="AA530" s="10">
        <f>IFERROR(Mecze[[#This Row],[BR]]/Mecze[[#This Row],[ST]],0)</f>
        <v>0</v>
      </c>
      <c r="AB530">
        <f>ROUND(Mecze[[#This Row],[PD]]*Mecze[[#This Row],[%PC]],0)</f>
        <v>0</v>
      </c>
      <c r="AC530">
        <f>ROUND(Mecze[[#This Row],[OD]]*Mecze[[#This Row],[%OU]],0)</f>
        <v>0</v>
      </c>
      <c r="AD530" s="41" t="s">
        <v>232</v>
      </c>
      <c r="AE530" s="36">
        <v>31</v>
      </c>
      <c r="AF530" s="71">
        <v>3.93</v>
      </c>
      <c r="AG530" s="37">
        <v>0</v>
      </c>
      <c r="AH530" s="37">
        <v>0</v>
      </c>
      <c r="AI530" s="37">
        <v>97</v>
      </c>
      <c r="AJ530" s="37">
        <v>6</v>
      </c>
      <c r="AK530" s="37" t="str">
        <f>VLOOKUP(Mecze[[#This Row],[Match ID]],Meczusie[Mecz]:Meczusie[RodzajMeczu],2,FALSE)</f>
        <v>Liga</v>
      </c>
    </row>
    <row r="531" spans="1:37" x14ac:dyDescent="0.25">
      <c r="A531" s="76">
        <v>5</v>
      </c>
      <c r="B531" s="3" t="s">
        <v>256</v>
      </c>
      <c r="C531" s="2" t="s">
        <v>165</v>
      </c>
      <c r="D531" s="1">
        <v>1</v>
      </c>
      <c r="E531" s="1">
        <v>8</v>
      </c>
      <c r="F531" s="1">
        <v>7</v>
      </c>
      <c r="G531" s="1">
        <v>7</v>
      </c>
      <c r="H531" s="4">
        <v>0.86</v>
      </c>
      <c r="I531" s="1">
        <v>5</v>
      </c>
      <c r="J531" s="4">
        <v>0.6</v>
      </c>
      <c r="K531" s="1">
        <v>0</v>
      </c>
      <c r="L531" s="1">
        <v>2</v>
      </c>
      <c r="M531" s="32">
        <f>IF(Mecze[[#This Row],[PR]]=0,0,Mecze[[#This Row],[PR]]/Mecze[[#This Row],[CZAS]])</f>
        <v>2.0618556701030927E-2</v>
      </c>
      <c r="N531" s="32">
        <f>IF(Mecze[[#This Row],[OU]]=0,0,Mecze[[#This Row],[OU]]/Mecze[[#This Row],[CZAS]])</f>
        <v>3.0927835051546393E-2</v>
      </c>
      <c r="O531" s="32">
        <f>IF(Mecze[[#This Row],[PC]]=0,0,Mecze[[#This Row],[PC]]/Mecze[[#This Row],[CZAS]])</f>
        <v>6.1855670103092786E-2</v>
      </c>
      <c r="P531" s="32">
        <f>IF(Mecze[[#This Row],[SC]]=0,0,Mecze[[#This Row],[SC]]/Mecze[[#This Row],[CZAS]])</f>
        <v>7.2164948453608241E-2</v>
      </c>
      <c r="Q531" s="32">
        <f>IF(Mecze[[#This Row],[OB]]=0,0,Mecze[[#This Row],[OB]]/Mecze[[#This Row],[CZAS]])</f>
        <v>0</v>
      </c>
      <c r="R531" s="32">
        <f>IF(Mecze[[#This Row],[BR]]=0,0,Mecze[[#This Row],[BR]]/Mecze[[#This Row],[CZAS]])</f>
        <v>1.0309278350515464E-2</v>
      </c>
      <c r="S531" s="44">
        <f>IF(Mecze[[#This Row],[Role]]="BR",SUMPRODUCT(Mecze[[#This Row],[/PR:90]:[/BR:90]],Brudnopis!$E$23:$J$23),0)</f>
        <v>0</v>
      </c>
      <c r="T531" s="44">
        <f>IF(Mecze[[#This Row],[Role]]&lt;&gt;"BR",SUMPRODUCT(Mecze[[#This Row],[/PR:90]:[/BR:90]],Brudnopis!$E$24:$J$24),0)</f>
        <v>0.21649484536082472</v>
      </c>
      <c r="U531" s="44">
        <f>IF(Mecze[[#This Row],[Role]]&lt;&gt;"BR",SUMPRODUCT(Mecze[[#This Row],[/PR:90]:[/BR:90]],Brudnopis!$E$25:$J$25),0)</f>
        <v>0.23195876288659792</v>
      </c>
      <c r="V531" s="44">
        <f>IF(Mecze[[#This Row],[Role]]&lt;&gt;"BR",SUMPRODUCT(Mecze[[#This Row],[/PR:90]:[/BR:90]],Brudnopis!$E$26:$J$26),0)</f>
        <v>0.2061855670103093</v>
      </c>
      <c r="W531" s="44">
        <f>IF(Mecze[[#This Row],[Role]]&lt;&gt;"BR",SUMPRODUCT(Mecze[[#This Row],[/PR:90]:[/BR:90]],Brudnopis!$E$27:$J$27),0)</f>
        <v>0.22422680412371135</v>
      </c>
      <c r="X531" s="44">
        <f>IF(Mecze[[#This Row],[Role]]&lt;&gt;"BR",SUMPRODUCT(Mecze[[#This Row],[/PR:90]:[/BR:90]],Brudnopis!$E$28:$J$28),0)</f>
        <v>0.23711340206185566</v>
      </c>
      <c r="Y531" s="35">
        <f>IF(Mecze[[#This Row],[Role]]="BR",Mecze[[#This Row],[/OB:90]]+Mecze[[#This Row],[/PC:90]],SUM(Mecze[[#This Row],[/PR:90]:[/BR:90]]))</f>
        <v>0.19587628865979381</v>
      </c>
      <c r="Z531" s="35">
        <f>IF(Mecze[[#This Row],[KC]]=0,SUM(Mecze[[#This Row],[/BRI]:[/NPI]]),SUM(Mecze[[#This Row],[/BRI]:[/NPI]])*0.6)</f>
        <v>1.115979381443299</v>
      </c>
      <c r="AA531" s="10">
        <f>IFERROR(Mecze[[#This Row],[BR]]/Mecze[[#This Row],[ST]],0)</f>
        <v>0.125</v>
      </c>
      <c r="AB531">
        <f>ROUND(Mecze[[#This Row],[PD]]*Mecze[[#This Row],[%PC]],0)</f>
        <v>6</v>
      </c>
      <c r="AC531">
        <f>ROUND(Mecze[[#This Row],[OD]]*Mecze[[#This Row],[%OU]],0)</f>
        <v>3</v>
      </c>
      <c r="AD531" s="41" t="s">
        <v>46</v>
      </c>
      <c r="AE531" s="36">
        <v>31</v>
      </c>
      <c r="AF531" s="71">
        <v>10.02</v>
      </c>
      <c r="AG531" s="37">
        <v>0</v>
      </c>
      <c r="AH531" s="37">
        <v>0</v>
      </c>
      <c r="AI531" s="37">
        <v>97</v>
      </c>
      <c r="AJ531" s="37">
        <v>6</v>
      </c>
      <c r="AK531" s="37" t="str">
        <f>VLOOKUP(Mecze[[#This Row],[Match ID]],Meczusie[Mecz]:Meczusie[RodzajMeczu],2,FALSE)</f>
        <v>Liga</v>
      </c>
    </row>
    <row r="532" spans="1:37" x14ac:dyDescent="0.25">
      <c r="A532" s="76">
        <v>100</v>
      </c>
      <c r="B532" s="3" t="s">
        <v>257</v>
      </c>
      <c r="C532" s="2" t="s">
        <v>165</v>
      </c>
      <c r="D532" s="1">
        <v>0</v>
      </c>
      <c r="E532" s="1">
        <v>2</v>
      </c>
      <c r="F532" s="1">
        <v>2</v>
      </c>
      <c r="G532" s="1">
        <v>4</v>
      </c>
      <c r="H532" s="4">
        <v>0.5</v>
      </c>
      <c r="I532" s="1">
        <v>1</v>
      </c>
      <c r="J532" s="4">
        <v>1</v>
      </c>
      <c r="K532" s="1">
        <v>0</v>
      </c>
      <c r="L532" s="1">
        <v>1</v>
      </c>
      <c r="M532" s="32">
        <f>IF(Mecze[[#This Row],[PR]]=0,0,Mecze[[#This Row],[PR]]/Mecze[[#This Row],[CZAS]])</f>
        <v>1.1904761904761904E-2</v>
      </c>
      <c r="N532" s="32">
        <f>IF(Mecze[[#This Row],[OU]]=0,0,Mecze[[#This Row],[OU]]/Mecze[[#This Row],[CZAS]])</f>
        <v>1.1904761904761904E-2</v>
      </c>
      <c r="O532" s="32">
        <f>IF(Mecze[[#This Row],[PC]]=0,0,Mecze[[#This Row],[PC]]/Mecze[[#This Row],[CZAS]])</f>
        <v>2.3809523809523808E-2</v>
      </c>
      <c r="P532" s="32">
        <f>IF(Mecze[[#This Row],[SC]]=0,0,Mecze[[#This Row],[SC]]/Mecze[[#This Row],[CZAS]])</f>
        <v>2.3809523809523808E-2</v>
      </c>
      <c r="Q532" s="32">
        <f>IF(Mecze[[#This Row],[OB]]=0,0,Mecze[[#This Row],[OB]]/Mecze[[#This Row],[CZAS]])</f>
        <v>0</v>
      </c>
      <c r="R532" s="32">
        <f>IF(Mecze[[#This Row],[BR]]=0,0,Mecze[[#This Row],[BR]]/Mecze[[#This Row],[CZAS]])</f>
        <v>0</v>
      </c>
      <c r="S532" s="44">
        <f>IF(Mecze[[#This Row],[Role]]="BR",SUMPRODUCT(Mecze[[#This Row],[/PR:90]:[/BR:90]],Brudnopis!$E$23:$J$23),0)</f>
        <v>0</v>
      </c>
      <c r="T532" s="44">
        <f>IF(Mecze[[#This Row],[Role]]&lt;&gt;"BR",SUMPRODUCT(Mecze[[#This Row],[/PR:90]:[/BR:90]],Brudnopis!$E$24:$J$24),0)</f>
        <v>7.7380952380952384E-2</v>
      </c>
      <c r="U532" s="44">
        <f>IF(Mecze[[#This Row],[Role]]&lt;&gt;"BR",SUMPRODUCT(Mecze[[#This Row],[/PR:90]:[/BR:90]],Brudnopis!$E$25:$J$25),0)</f>
        <v>8.3333333333333329E-2</v>
      </c>
      <c r="V532" s="44">
        <f>IF(Mecze[[#This Row],[Role]]&lt;&gt;"BR",SUMPRODUCT(Mecze[[#This Row],[/PR:90]:[/BR:90]],Brudnopis!$E$26:$J$26),0)</f>
        <v>7.1428571428571425E-2</v>
      </c>
      <c r="W532" s="44">
        <f>IF(Mecze[[#This Row],[Role]]&lt;&gt;"BR",SUMPRODUCT(Mecze[[#This Row],[/PR:90]:[/BR:90]],Brudnopis!$E$27:$J$27),0)</f>
        <v>7.7380952380952384E-2</v>
      </c>
      <c r="X532" s="44">
        <f>IF(Mecze[[#This Row],[Role]]&lt;&gt;"BR",SUMPRODUCT(Mecze[[#This Row],[/PR:90]:[/BR:90]],Brudnopis!$E$28:$J$28),0)</f>
        <v>7.1428571428571425E-2</v>
      </c>
      <c r="Y532" s="35">
        <f>IF(Mecze[[#This Row],[Role]]="BR",Mecze[[#This Row],[/OB:90]]+Mecze[[#This Row],[/PC:90]],SUM(Mecze[[#This Row],[/PR:90]:[/BR:90]]))</f>
        <v>7.1428571428571425E-2</v>
      </c>
      <c r="Z532" s="35">
        <f>IF(Mecze[[#This Row],[KC]]=0,SUM(Mecze[[#This Row],[/BRI]:[/NPI]]),SUM(Mecze[[#This Row],[/BRI]:[/NPI]])*0.6)</f>
        <v>0.38095238095238093</v>
      </c>
      <c r="AA532" s="10">
        <f>IFERROR(Mecze[[#This Row],[BR]]/Mecze[[#This Row],[ST]],0)</f>
        <v>0</v>
      </c>
      <c r="AB532">
        <f>ROUND(Mecze[[#This Row],[PD]]*Mecze[[#This Row],[%PC]],0)</f>
        <v>2</v>
      </c>
      <c r="AC532">
        <f>ROUND(Mecze[[#This Row],[OD]]*Mecze[[#This Row],[%OU]],0)</f>
        <v>1</v>
      </c>
      <c r="AD532" s="41" t="s">
        <v>46</v>
      </c>
      <c r="AE532" s="36">
        <v>31</v>
      </c>
      <c r="AF532" s="71">
        <v>4.37</v>
      </c>
      <c r="AG532" s="37">
        <v>0</v>
      </c>
      <c r="AH532" s="37">
        <v>0</v>
      </c>
      <c r="AI532" s="37">
        <v>84</v>
      </c>
      <c r="AJ532" s="37">
        <v>6</v>
      </c>
      <c r="AK532" s="37" t="str">
        <f>VLOOKUP(Mecze[[#This Row],[Match ID]],Meczusie[Mecz]:Meczusie[RodzajMeczu],2,FALSE)</f>
        <v>Liga</v>
      </c>
    </row>
    <row r="533" spans="1:37" x14ac:dyDescent="0.25">
      <c r="A533" s="76">
        <v>9</v>
      </c>
      <c r="B533" s="3" t="s">
        <v>258</v>
      </c>
      <c r="C533" s="2" t="s">
        <v>160</v>
      </c>
      <c r="D533" s="1">
        <v>0</v>
      </c>
      <c r="E533" s="1">
        <v>0</v>
      </c>
      <c r="F533" s="1">
        <v>0</v>
      </c>
      <c r="G533" s="1">
        <v>0</v>
      </c>
      <c r="H533" s="72"/>
      <c r="I533" s="1">
        <v>0</v>
      </c>
      <c r="J533" s="4"/>
      <c r="K533" s="1">
        <v>0</v>
      </c>
      <c r="L533" s="1">
        <v>0</v>
      </c>
      <c r="M533" s="32">
        <f>IF(Mecze[[#This Row],[PR]]=0,0,Mecze[[#This Row],[PR]]/Mecze[[#This Row],[CZAS]])</f>
        <v>0</v>
      </c>
      <c r="N533" s="32">
        <f>IF(Mecze[[#This Row],[OU]]=0,0,Mecze[[#This Row],[OU]]/Mecze[[#This Row],[CZAS]])</f>
        <v>0</v>
      </c>
      <c r="O533" s="32">
        <f>IF(Mecze[[#This Row],[PC]]=0,0,Mecze[[#This Row],[PC]]/Mecze[[#This Row],[CZAS]])</f>
        <v>0</v>
      </c>
      <c r="P533" s="32">
        <f>IF(Mecze[[#This Row],[SC]]=0,0,Mecze[[#This Row],[SC]]/Mecze[[#This Row],[CZAS]])</f>
        <v>0</v>
      </c>
      <c r="Q533" s="32">
        <f>IF(Mecze[[#This Row],[OB]]=0,0,Mecze[[#This Row],[OB]]/Mecze[[#This Row],[CZAS]])</f>
        <v>0</v>
      </c>
      <c r="R533" s="32">
        <f>IF(Mecze[[#This Row],[BR]]=0,0,Mecze[[#This Row],[BR]]/Mecze[[#This Row],[CZAS]])</f>
        <v>0</v>
      </c>
      <c r="S533" s="44">
        <f>IF(Mecze[[#This Row],[Role]]="BR",SUMPRODUCT(Mecze[[#This Row],[/PR:90]:[/BR:90]],Brudnopis!$E$23:$J$23),0)</f>
        <v>0</v>
      </c>
      <c r="T533" s="44">
        <f>IF(Mecze[[#This Row],[Role]]&lt;&gt;"BR",SUMPRODUCT(Mecze[[#This Row],[/PR:90]:[/BR:90]],Brudnopis!$E$24:$J$24),0)</f>
        <v>0</v>
      </c>
      <c r="U533" s="44">
        <f>IF(Mecze[[#This Row],[Role]]&lt;&gt;"BR",SUMPRODUCT(Mecze[[#This Row],[/PR:90]:[/BR:90]],Brudnopis!$E$25:$J$25),0)</f>
        <v>0</v>
      </c>
      <c r="V533" s="44">
        <f>IF(Mecze[[#This Row],[Role]]&lt;&gt;"BR",SUMPRODUCT(Mecze[[#This Row],[/PR:90]:[/BR:90]],Brudnopis!$E$26:$J$26),0)</f>
        <v>0</v>
      </c>
      <c r="W533" s="44">
        <f>IF(Mecze[[#This Row],[Role]]&lt;&gt;"BR",SUMPRODUCT(Mecze[[#This Row],[/PR:90]:[/BR:90]],Brudnopis!$E$27:$J$27),0)</f>
        <v>0</v>
      </c>
      <c r="X533" s="44">
        <f>IF(Mecze[[#This Row],[Role]]&lt;&gt;"BR",SUMPRODUCT(Mecze[[#This Row],[/PR:90]:[/BR:90]],Brudnopis!$E$28:$J$28),0)</f>
        <v>0</v>
      </c>
      <c r="Y533" s="35">
        <f>IF(Mecze[[#This Row],[Role]]="BR",Mecze[[#This Row],[/OB:90]]+Mecze[[#This Row],[/PC:90]],SUM(Mecze[[#This Row],[/PR:90]:[/BR:90]]))</f>
        <v>0</v>
      </c>
      <c r="Z533" s="35">
        <f>IF(Mecze[[#This Row],[KC]]=0,SUM(Mecze[[#This Row],[/BRI]:[/NPI]]),SUM(Mecze[[#This Row],[/BRI]:[/NPI]])*0.6)</f>
        <v>0</v>
      </c>
      <c r="AA533" s="10">
        <f>IFERROR(Mecze[[#This Row],[BR]]/Mecze[[#This Row],[ST]],0)</f>
        <v>0</v>
      </c>
      <c r="AB533">
        <f>ROUND(Mecze[[#This Row],[PD]]*Mecze[[#This Row],[%PC]],0)</f>
        <v>0</v>
      </c>
      <c r="AC533">
        <f>ROUND(Mecze[[#This Row],[OD]]*Mecze[[#This Row],[%OU]],0)</f>
        <v>0</v>
      </c>
      <c r="AD533" s="42" t="s">
        <v>318</v>
      </c>
      <c r="AE533" s="36">
        <v>31</v>
      </c>
      <c r="AF533" s="71">
        <v>1.72</v>
      </c>
      <c r="AG533" s="37">
        <v>0</v>
      </c>
      <c r="AH533" s="37">
        <v>0</v>
      </c>
      <c r="AI533" s="37">
        <v>19</v>
      </c>
      <c r="AJ533" s="37">
        <v>6</v>
      </c>
      <c r="AK533" s="37" t="str">
        <f>VLOOKUP(Mecze[[#This Row],[Match ID]],Meczusie[Mecz]:Meczusie[RodzajMeczu],2,FALSE)</f>
        <v>Liga</v>
      </c>
    </row>
    <row r="534" spans="1:37" x14ac:dyDescent="0.25">
      <c r="A534" s="76">
        <v>20</v>
      </c>
      <c r="B534" s="3" t="s">
        <v>391</v>
      </c>
      <c r="C534" s="2" t="s">
        <v>165</v>
      </c>
      <c r="D534" s="1">
        <v>0</v>
      </c>
      <c r="E534" s="1">
        <v>1</v>
      </c>
      <c r="F534" s="1">
        <v>1</v>
      </c>
      <c r="G534" s="1">
        <v>0</v>
      </c>
      <c r="H534" s="72"/>
      <c r="I534" s="1">
        <v>1</v>
      </c>
      <c r="J534" s="4">
        <v>0</v>
      </c>
      <c r="K534" s="1">
        <v>0</v>
      </c>
      <c r="L534" s="1">
        <v>0</v>
      </c>
      <c r="M534" s="32">
        <f>IF(Mecze[[#This Row],[PR]]=0,0,Mecze[[#This Row],[PR]]/Mecze[[#This Row],[CZAS]])</f>
        <v>0</v>
      </c>
      <c r="N534" s="32">
        <f>IF(Mecze[[#This Row],[OU]]=0,0,Mecze[[#This Row],[OU]]/Mecze[[#This Row],[CZAS]])</f>
        <v>0</v>
      </c>
      <c r="O534" s="32">
        <f>IF(Mecze[[#This Row],[PC]]=0,0,Mecze[[#This Row],[PC]]/Mecze[[#This Row],[CZAS]])</f>
        <v>0</v>
      </c>
      <c r="P534" s="32">
        <f>IF(Mecze[[#This Row],[SC]]=0,0,Mecze[[#This Row],[SC]]/Mecze[[#This Row],[CZAS]])</f>
        <v>6.6666666666666666E-2</v>
      </c>
      <c r="Q534" s="32">
        <f>IF(Mecze[[#This Row],[OB]]=0,0,Mecze[[#This Row],[OB]]/Mecze[[#This Row],[CZAS]])</f>
        <v>0</v>
      </c>
      <c r="R534" s="32">
        <f>IF(Mecze[[#This Row],[BR]]=0,0,Mecze[[#This Row],[BR]]/Mecze[[#This Row],[CZAS]])</f>
        <v>0</v>
      </c>
      <c r="S534" s="44">
        <f>IF(Mecze[[#This Row],[Role]]="BR",SUMPRODUCT(Mecze[[#This Row],[/PR:90]:[/BR:90]],Brudnopis!$E$23:$J$23),0)</f>
        <v>0</v>
      </c>
      <c r="T534" s="44">
        <f>IF(Mecze[[#This Row],[Role]]&lt;&gt;"BR",SUMPRODUCT(Mecze[[#This Row],[/PR:90]:[/BR:90]],Brudnopis!$E$24:$J$24),0)</f>
        <v>6.6666666666666666E-2</v>
      </c>
      <c r="U534" s="44">
        <f>IF(Mecze[[#This Row],[Role]]&lt;&gt;"BR",SUMPRODUCT(Mecze[[#This Row],[/PR:90]:[/BR:90]],Brudnopis!$E$25:$J$25),0)</f>
        <v>6.6666666666666666E-2</v>
      </c>
      <c r="V534" s="44">
        <f>IF(Mecze[[#This Row],[Role]]&lt;&gt;"BR",SUMPRODUCT(Mecze[[#This Row],[/PR:90]:[/BR:90]],Brudnopis!$E$26:$J$26),0)</f>
        <v>6.6666666666666666E-2</v>
      </c>
      <c r="W534" s="44">
        <f>IF(Mecze[[#This Row],[Role]]&lt;&gt;"BR",SUMPRODUCT(Mecze[[#This Row],[/PR:90]:[/BR:90]],Brudnopis!$E$27:$J$27),0)</f>
        <v>6.6666666666666666E-2</v>
      </c>
      <c r="X534" s="44">
        <f>IF(Mecze[[#This Row],[Role]]&lt;&gt;"BR",SUMPRODUCT(Mecze[[#This Row],[/PR:90]:[/BR:90]],Brudnopis!$E$28:$J$28),0)</f>
        <v>0.13333333333333333</v>
      </c>
      <c r="Y534" s="35">
        <f>IF(Mecze[[#This Row],[Role]]="BR",Mecze[[#This Row],[/OB:90]]+Mecze[[#This Row],[/PC:90]],SUM(Mecze[[#This Row],[/PR:90]:[/BR:90]]))</f>
        <v>6.6666666666666666E-2</v>
      </c>
      <c r="Z534" s="35">
        <f>IF(Mecze[[#This Row],[KC]]=0,SUM(Mecze[[#This Row],[/BRI]:[/NPI]]),SUM(Mecze[[#This Row],[/BRI]:[/NPI]])*0.6)</f>
        <v>0.4</v>
      </c>
      <c r="AA534" s="10">
        <f>IFERROR(Mecze[[#This Row],[BR]]/Mecze[[#This Row],[ST]],0)</f>
        <v>0</v>
      </c>
      <c r="AB534">
        <f>ROUND(Mecze[[#This Row],[PD]]*Mecze[[#This Row],[%PC]],0)</f>
        <v>0</v>
      </c>
      <c r="AC534">
        <f>ROUND(Mecze[[#This Row],[OD]]*Mecze[[#This Row],[%OU]],0)</f>
        <v>0</v>
      </c>
      <c r="AD534" s="36" t="s">
        <v>46</v>
      </c>
      <c r="AE534" s="36">
        <v>31</v>
      </c>
      <c r="AF534" s="71">
        <v>1.94</v>
      </c>
      <c r="AG534" s="37">
        <v>0</v>
      </c>
      <c r="AH534" s="37">
        <v>0</v>
      </c>
      <c r="AI534" s="37">
        <v>15</v>
      </c>
      <c r="AJ534" s="37">
        <v>6</v>
      </c>
      <c r="AK534" s="37" t="str">
        <f>VLOOKUP(Mecze[[#This Row],[Match ID]],Meczusie[Mecz]:Meczusie[RodzajMeczu],2,FALSE)</f>
        <v>Liga</v>
      </c>
    </row>
    <row r="535" spans="1:37" x14ac:dyDescent="0.25">
      <c r="A535" s="76">
        <v>1</v>
      </c>
      <c r="B535" s="3" t="s">
        <v>288</v>
      </c>
      <c r="C535" s="2" t="s">
        <v>155</v>
      </c>
      <c r="D535" s="1">
        <v>0</v>
      </c>
      <c r="E535" s="1">
        <v>0</v>
      </c>
      <c r="F535" s="1">
        <v>0</v>
      </c>
      <c r="G535" s="1">
        <v>13</v>
      </c>
      <c r="H535" s="4">
        <v>0.77</v>
      </c>
      <c r="I535" s="1">
        <v>0</v>
      </c>
      <c r="J535" s="4"/>
      <c r="K535" s="1">
        <v>10</v>
      </c>
      <c r="L535" s="1">
        <v>0</v>
      </c>
      <c r="M535" s="32">
        <f>IF(Mecze[[#This Row],[PR]]=0,0,Mecze[[#This Row],[PR]]/Mecze[[#This Row],[CZAS]])</f>
        <v>0</v>
      </c>
      <c r="N535" s="32">
        <f>IF(Mecze[[#This Row],[OU]]=0,0,Mecze[[#This Row],[OU]]/Mecze[[#This Row],[CZAS]])</f>
        <v>0</v>
      </c>
      <c r="O535" s="32">
        <f>IF(Mecze[[#This Row],[PC]]=0,0,Mecze[[#This Row],[PC]]/Mecze[[#This Row],[CZAS]])</f>
        <v>0.10309278350515463</v>
      </c>
      <c r="P535" s="32">
        <f>IF(Mecze[[#This Row],[SC]]=0,0,Mecze[[#This Row],[SC]]/Mecze[[#This Row],[CZAS]])</f>
        <v>0</v>
      </c>
      <c r="Q535" s="32">
        <f>IF(Mecze[[#This Row],[OB]]=0,0,Mecze[[#This Row],[OB]]/Mecze[[#This Row],[CZAS]])</f>
        <v>0.10309278350515463</v>
      </c>
      <c r="R535" s="32">
        <f>IF(Mecze[[#This Row],[BR]]=0,0,Mecze[[#This Row],[BR]]/Mecze[[#This Row],[CZAS]])</f>
        <v>0</v>
      </c>
      <c r="S535" s="44">
        <f>IF(Mecze[[#This Row],[Role]]="BR",SUMPRODUCT(Mecze[[#This Row],[/PR:90]:[/BR:90]],Brudnopis!$E$23:$J$23),0)</f>
        <v>0.61855670103092786</v>
      </c>
      <c r="T535" s="44">
        <f>IF(Mecze[[#This Row],[Role]]&lt;&gt;"BR",SUMPRODUCT(Mecze[[#This Row],[/PR:90]:[/BR:90]],Brudnopis!$E$24:$J$24),0)</f>
        <v>0</v>
      </c>
      <c r="U535" s="44">
        <f>IF(Mecze[[#This Row],[Role]]&lt;&gt;"BR",SUMPRODUCT(Mecze[[#This Row],[/PR:90]:[/BR:90]],Brudnopis!$E$25:$J$25),0)</f>
        <v>0</v>
      </c>
      <c r="V535" s="44">
        <f>IF(Mecze[[#This Row],[Role]]&lt;&gt;"BR",SUMPRODUCT(Mecze[[#This Row],[/PR:90]:[/BR:90]],Brudnopis!$E$26:$J$26),0)</f>
        <v>0</v>
      </c>
      <c r="W535" s="44">
        <f>IF(Mecze[[#This Row],[Role]]&lt;&gt;"BR",SUMPRODUCT(Mecze[[#This Row],[/PR:90]:[/BR:90]],Brudnopis!$E$27:$J$27),0)</f>
        <v>0</v>
      </c>
      <c r="X535" s="44">
        <f>IF(Mecze[[#This Row],[Role]]&lt;&gt;"BR",SUMPRODUCT(Mecze[[#This Row],[/PR:90]:[/BR:90]],Brudnopis!$E$28:$J$28),0)</f>
        <v>0</v>
      </c>
      <c r="Y535" s="35">
        <f>IF(Mecze[[#This Row],[Role]]="BR",Mecze[[#This Row],[/OB:90]]+Mecze[[#This Row],[/PC:90]],SUM(Mecze[[#This Row],[/PR:90]:[/BR:90]]))</f>
        <v>0.20618556701030927</v>
      </c>
      <c r="Z535" s="35">
        <f>IF(Mecze[[#This Row],[KC]]=0,SUM(Mecze[[#This Row],[/BRI]:[/NPI]]),SUM(Mecze[[#This Row],[/BRI]:[/NPI]])*0.6)</f>
        <v>0.61855670103092786</v>
      </c>
      <c r="AA535" s="10">
        <f>IFERROR(Mecze[[#This Row],[BR]]/Mecze[[#This Row],[ST]],0)</f>
        <v>0</v>
      </c>
      <c r="AB535">
        <f>ROUND(Mecze[[#This Row],[PD]]*Mecze[[#This Row],[%PC]],0)</f>
        <v>10</v>
      </c>
      <c r="AC535">
        <f>ROUND(Mecze[[#This Row],[OD]]*Mecze[[#This Row],[%OU]],0)</f>
        <v>0</v>
      </c>
      <c r="AD535" s="36" t="s">
        <v>40</v>
      </c>
      <c r="AE535" s="36">
        <v>31</v>
      </c>
      <c r="AF535" s="71">
        <v>6.31</v>
      </c>
      <c r="AG535" s="37">
        <v>0</v>
      </c>
      <c r="AH535" s="37">
        <v>0</v>
      </c>
      <c r="AI535" s="37">
        <v>97</v>
      </c>
      <c r="AJ535" s="37">
        <v>9</v>
      </c>
      <c r="AK535" s="37" t="str">
        <f>VLOOKUP(Mecze[[#This Row],[Match ID]],Meczusie[Mecz]:Meczusie[RodzajMeczu],2,FALSE)</f>
        <v>Liga</v>
      </c>
    </row>
    <row r="536" spans="1:37" x14ac:dyDescent="0.25">
      <c r="A536" s="76">
        <v>4</v>
      </c>
      <c r="B536" s="3" t="s">
        <v>289</v>
      </c>
      <c r="C536" s="2" t="s">
        <v>157</v>
      </c>
      <c r="D536" s="1">
        <v>0</v>
      </c>
      <c r="E536" s="1">
        <v>0</v>
      </c>
      <c r="F536" s="1">
        <v>0</v>
      </c>
      <c r="G536" s="1">
        <v>9</v>
      </c>
      <c r="H536" s="4">
        <v>0.67</v>
      </c>
      <c r="I536" s="1">
        <v>4</v>
      </c>
      <c r="J536" s="4">
        <v>0.5</v>
      </c>
      <c r="K536" s="1">
        <v>0</v>
      </c>
      <c r="L536" s="1">
        <v>4</v>
      </c>
      <c r="M536" s="32">
        <f>IF(Mecze[[#This Row],[PR]]=0,0,Mecze[[#This Row],[PR]]/Mecze[[#This Row],[CZAS]])</f>
        <v>4.1237113402061855E-2</v>
      </c>
      <c r="N536" s="32">
        <f>IF(Mecze[[#This Row],[OU]]=0,0,Mecze[[#This Row],[OU]]/Mecze[[#This Row],[CZAS]])</f>
        <v>2.0618556701030927E-2</v>
      </c>
      <c r="O536" s="32">
        <f>IF(Mecze[[#This Row],[PC]]=0,0,Mecze[[#This Row],[PC]]/Mecze[[#This Row],[CZAS]])</f>
        <v>6.1855670103092786E-2</v>
      </c>
      <c r="P536" s="32">
        <f>IF(Mecze[[#This Row],[SC]]=0,0,Mecze[[#This Row],[SC]]/Mecze[[#This Row],[CZAS]])</f>
        <v>0</v>
      </c>
      <c r="Q536" s="32">
        <f>IF(Mecze[[#This Row],[OB]]=0,0,Mecze[[#This Row],[OB]]/Mecze[[#This Row],[CZAS]])</f>
        <v>0</v>
      </c>
      <c r="R536" s="32">
        <f>IF(Mecze[[#This Row],[BR]]=0,0,Mecze[[#This Row],[BR]]/Mecze[[#This Row],[CZAS]])</f>
        <v>0</v>
      </c>
      <c r="S536" s="44">
        <f>IF(Mecze[[#This Row],[Role]]="BR",SUMPRODUCT(Mecze[[#This Row],[/PR:90]:[/BR:90]],Brudnopis!$E$23:$J$23),0)</f>
        <v>0</v>
      </c>
      <c r="T536" s="44">
        <f>IF(Mecze[[#This Row],[Role]]&lt;&gt;"BR",SUMPRODUCT(Mecze[[#This Row],[/PR:90]:[/BR:90]],Brudnopis!$E$24:$J$24),0)</f>
        <v>0.13402061855670103</v>
      </c>
      <c r="U536" s="44">
        <f>IF(Mecze[[#This Row],[Role]]&lt;&gt;"BR",SUMPRODUCT(Mecze[[#This Row],[/PR:90]:[/BR:90]],Brudnopis!$E$25:$J$25),0)</f>
        <v>0.15463917525773196</v>
      </c>
      <c r="V536" s="44">
        <f>IF(Mecze[[#This Row],[Role]]&lt;&gt;"BR",SUMPRODUCT(Mecze[[#This Row],[/PR:90]:[/BR:90]],Brudnopis!$E$26:$J$26),0)</f>
        <v>0.12371134020618557</v>
      </c>
      <c r="W536" s="44">
        <f>IF(Mecze[[#This Row],[Role]]&lt;&gt;"BR",SUMPRODUCT(Mecze[[#This Row],[/PR:90]:[/BR:90]],Brudnopis!$E$27:$J$27),0)</f>
        <v>0.13917525773195877</v>
      </c>
      <c r="X536" s="44">
        <f>IF(Mecze[[#This Row],[Role]]&lt;&gt;"BR",SUMPRODUCT(Mecze[[#This Row],[/PR:90]:[/BR:90]],Brudnopis!$E$28:$J$28),0)</f>
        <v>6.1855670103092786E-2</v>
      </c>
      <c r="Y536" s="35">
        <f>IF(Mecze[[#This Row],[Role]]="BR",Mecze[[#This Row],[/OB:90]]+Mecze[[#This Row],[/PC:90]],SUM(Mecze[[#This Row],[/PR:90]:[/BR:90]]))</f>
        <v>0.12371134020618557</v>
      </c>
      <c r="Z536" s="35">
        <f>IF(Mecze[[#This Row],[KC]]=0,SUM(Mecze[[#This Row],[/BRI]:[/NPI]]),SUM(Mecze[[#This Row],[/BRI]:[/NPI]])*0.6)</f>
        <v>0.61340206185567014</v>
      </c>
      <c r="AA536" s="10">
        <f>IFERROR(Mecze[[#This Row],[BR]]/Mecze[[#This Row],[ST]],0)</f>
        <v>0</v>
      </c>
      <c r="AB536">
        <f>ROUND(Mecze[[#This Row],[PD]]*Mecze[[#This Row],[%PC]],0)</f>
        <v>6</v>
      </c>
      <c r="AC536">
        <f>ROUND(Mecze[[#This Row],[OD]]*Mecze[[#This Row],[%OU]],0)</f>
        <v>2</v>
      </c>
      <c r="AD536" s="36" t="s">
        <v>168</v>
      </c>
      <c r="AE536" s="36">
        <v>31</v>
      </c>
      <c r="AF536" s="71">
        <v>3.55</v>
      </c>
      <c r="AG536" s="37">
        <v>0</v>
      </c>
      <c r="AH536" s="37">
        <v>0</v>
      </c>
      <c r="AI536" s="37">
        <v>97</v>
      </c>
      <c r="AJ536" s="37">
        <v>9</v>
      </c>
      <c r="AK536" s="37" t="str">
        <f>VLOOKUP(Mecze[[#This Row],[Match ID]],Meczusie[Mecz]:Meczusie[RodzajMeczu],2,FALSE)</f>
        <v>Liga</v>
      </c>
    </row>
    <row r="537" spans="1:37" x14ac:dyDescent="0.25">
      <c r="A537" s="76">
        <v>2</v>
      </c>
      <c r="B537" s="3" t="s">
        <v>290</v>
      </c>
      <c r="C537" s="2" t="s">
        <v>157</v>
      </c>
      <c r="D537" s="1">
        <v>0</v>
      </c>
      <c r="E537" s="1">
        <v>1</v>
      </c>
      <c r="F537" s="1">
        <v>1</v>
      </c>
      <c r="G537" s="1">
        <v>11</v>
      </c>
      <c r="H537" s="4">
        <v>0.73</v>
      </c>
      <c r="I537" s="1">
        <v>3</v>
      </c>
      <c r="J537" s="4">
        <v>0.33</v>
      </c>
      <c r="K537" s="1">
        <v>0</v>
      </c>
      <c r="L537" s="1">
        <v>12</v>
      </c>
      <c r="M537" s="32">
        <f>IF(Mecze[[#This Row],[PR]]=0,0,Mecze[[#This Row],[PR]]/Mecze[[#This Row],[CZAS]])</f>
        <v>0.12371134020618557</v>
      </c>
      <c r="N537" s="32">
        <f>IF(Mecze[[#This Row],[OU]]=0,0,Mecze[[#This Row],[OU]]/Mecze[[#This Row],[CZAS]])</f>
        <v>1.0309278350515464E-2</v>
      </c>
      <c r="O537" s="32">
        <f>IF(Mecze[[#This Row],[PC]]=0,0,Mecze[[#This Row],[PC]]/Mecze[[#This Row],[CZAS]])</f>
        <v>8.247422680412371E-2</v>
      </c>
      <c r="P537" s="32">
        <f>IF(Mecze[[#This Row],[SC]]=0,0,Mecze[[#This Row],[SC]]/Mecze[[#This Row],[CZAS]])</f>
        <v>1.0309278350515464E-2</v>
      </c>
      <c r="Q537" s="32">
        <f>IF(Mecze[[#This Row],[OB]]=0,0,Mecze[[#This Row],[OB]]/Mecze[[#This Row],[CZAS]])</f>
        <v>0</v>
      </c>
      <c r="R537" s="32">
        <f>IF(Mecze[[#This Row],[BR]]=0,0,Mecze[[#This Row],[BR]]/Mecze[[#This Row],[CZAS]])</f>
        <v>0</v>
      </c>
      <c r="S537" s="44">
        <f>IF(Mecze[[#This Row],[Role]]="BR",SUMPRODUCT(Mecze[[#This Row],[/PR:90]:[/BR:90]],Brudnopis!$E$23:$J$23),0)</f>
        <v>0</v>
      </c>
      <c r="T537" s="44">
        <f>IF(Mecze[[#This Row],[Role]]&lt;&gt;"BR",SUMPRODUCT(Mecze[[#This Row],[/PR:90]:[/BR:90]],Brudnopis!$E$24:$J$24),0)</f>
        <v>0.23195876288659792</v>
      </c>
      <c r="U537" s="44">
        <f>IF(Mecze[[#This Row],[Role]]&lt;&gt;"BR",SUMPRODUCT(Mecze[[#This Row],[/PR:90]:[/BR:90]],Brudnopis!$E$25:$J$25),0)</f>
        <v>0.26804123711340205</v>
      </c>
      <c r="V537" s="44">
        <f>IF(Mecze[[#This Row],[Role]]&lt;&gt;"BR",SUMPRODUCT(Mecze[[#This Row],[/PR:90]:[/BR:90]],Brudnopis!$E$26:$J$26),0)</f>
        <v>0.22680412371134021</v>
      </c>
      <c r="W537" s="44">
        <f>IF(Mecze[[#This Row],[Role]]&lt;&gt;"BR",SUMPRODUCT(Mecze[[#This Row],[/PR:90]:[/BR:90]],Brudnopis!$E$27:$J$27),0)</f>
        <v>0.2345360824742268</v>
      </c>
      <c r="X537" s="44">
        <f>IF(Mecze[[#This Row],[Role]]&lt;&gt;"BR",SUMPRODUCT(Mecze[[#This Row],[/PR:90]:[/BR:90]],Brudnopis!$E$28:$J$28),0)</f>
        <v>0.10309278350515463</v>
      </c>
      <c r="Y537" s="35">
        <f>IF(Mecze[[#This Row],[Role]]="BR",Mecze[[#This Row],[/OB:90]]+Mecze[[#This Row],[/PC:90]],SUM(Mecze[[#This Row],[/PR:90]:[/BR:90]]))</f>
        <v>0.22680412371134021</v>
      </c>
      <c r="Z537" s="35">
        <f>IF(Mecze[[#This Row],[KC]]=0,SUM(Mecze[[#This Row],[/BRI]:[/NPI]]),SUM(Mecze[[#This Row],[/BRI]:[/NPI]])*0.6)</f>
        <v>1.0644329896907216</v>
      </c>
      <c r="AA537" s="10">
        <f>IFERROR(Mecze[[#This Row],[BR]]/Mecze[[#This Row],[ST]],0)</f>
        <v>0</v>
      </c>
      <c r="AB537">
        <f>ROUND(Mecze[[#This Row],[PD]]*Mecze[[#This Row],[%PC]],0)</f>
        <v>8</v>
      </c>
      <c r="AC537">
        <f>ROUND(Mecze[[#This Row],[OD]]*Mecze[[#This Row],[%OU]],0)</f>
        <v>1</v>
      </c>
      <c r="AD537" s="41" t="s">
        <v>47</v>
      </c>
      <c r="AE537" s="36">
        <v>31</v>
      </c>
      <c r="AF537" s="71">
        <v>4.1100000000000003</v>
      </c>
      <c r="AG537" s="37">
        <v>0</v>
      </c>
      <c r="AH537" s="37">
        <v>0</v>
      </c>
      <c r="AI537" s="37">
        <v>97</v>
      </c>
      <c r="AJ537" s="37">
        <v>9</v>
      </c>
      <c r="AK537" s="37" t="str">
        <f>VLOOKUP(Mecze[[#This Row],[Match ID]],Meczusie[Mecz]:Meczusie[RodzajMeczu],2,FALSE)</f>
        <v>Liga</v>
      </c>
    </row>
    <row r="538" spans="1:37" x14ac:dyDescent="0.25">
      <c r="A538" s="76">
        <v>16</v>
      </c>
      <c r="B538" s="3" t="s">
        <v>405</v>
      </c>
      <c r="C538" s="2" t="s">
        <v>157</v>
      </c>
      <c r="D538" s="1">
        <v>0</v>
      </c>
      <c r="E538" s="1">
        <v>0</v>
      </c>
      <c r="F538" s="1">
        <v>0</v>
      </c>
      <c r="G538" s="1">
        <v>10</v>
      </c>
      <c r="H538" s="4">
        <v>0.6</v>
      </c>
      <c r="I538" s="1">
        <v>7</v>
      </c>
      <c r="J538" s="4">
        <v>0.71</v>
      </c>
      <c r="K538" s="1">
        <v>0</v>
      </c>
      <c r="L538" s="1">
        <v>1</v>
      </c>
      <c r="M538" s="32">
        <f>IF(Mecze[[#This Row],[PR]]=0,0,Mecze[[#This Row],[PR]]/Mecze[[#This Row],[CZAS]])</f>
        <v>1.0309278350515464E-2</v>
      </c>
      <c r="N538" s="32">
        <f>IF(Mecze[[#This Row],[OU]]=0,0,Mecze[[#This Row],[OU]]/Mecze[[#This Row],[CZAS]])</f>
        <v>5.1546391752577317E-2</v>
      </c>
      <c r="O538" s="32">
        <f>IF(Mecze[[#This Row],[PC]]=0,0,Mecze[[#This Row],[PC]]/Mecze[[#This Row],[CZAS]])</f>
        <v>6.1855670103092786E-2</v>
      </c>
      <c r="P538" s="32">
        <f>IF(Mecze[[#This Row],[SC]]=0,0,Mecze[[#This Row],[SC]]/Mecze[[#This Row],[CZAS]])</f>
        <v>0</v>
      </c>
      <c r="Q538" s="32">
        <f>IF(Mecze[[#This Row],[OB]]=0,0,Mecze[[#This Row],[OB]]/Mecze[[#This Row],[CZAS]])</f>
        <v>0</v>
      </c>
      <c r="R538" s="32">
        <f>IF(Mecze[[#This Row],[BR]]=0,0,Mecze[[#This Row],[BR]]/Mecze[[#This Row],[CZAS]])</f>
        <v>0</v>
      </c>
      <c r="S538" s="44">
        <f>IF(Mecze[[#This Row],[Role]]="BR",SUMPRODUCT(Mecze[[#This Row],[/PR:90]:[/BR:90]],Brudnopis!$E$23:$J$23),0)</f>
        <v>0</v>
      </c>
      <c r="T538" s="44">
        <f>IF(Mecze[[#This Row],[Role]]&lt;&gt;"BR",SUMPRODUCT(Mecze[[#This Row],[/PR:90]:[/BR:90]],Brudnopis!$E$24:$J$24),0)</f>
        <v>0.14948453608247425</v>
      </c>
      <c r="U538" s="44">
        <f>IF(Mecze[[#This Row],[Role]]&lt;&gt;"BR",SUMPRODUCT(Mecze[[#This Row],[/PR:90]:[/BR:90]],Brudnopis!$E$25:$J$25),0)</f>
        <v>0.15463917525773196</v>
      </c>
      <c r="V538" s="44">
        <f>IF(Mecze[[#This Row],[Role]]&lt;&gt;"BR",SUMPRODUCT(Mecze[[#This Row],[/PR:90]:[/BR:90]],Brudnopis!$E$26:$J$26),0)</f>
        <v>0.12371134020618557</v>
      </c>
      <c r="W538" s="44">
        <f>IF(Mecze[[#This Row],[Role]]&lt;&gt;"BR",SUMPRODUCT(Mecze[[#This Row],[/PR:90]:[/BR:90]],Brudnopis!$E$27:$J$27),0)</f>
        <v>0.13917525773195877</v>
      </c>
      <c r="X538" s="44">
        <f>IF(Mecze[[#This Row],[Role]]&lt;&gt;"BR",SUMPRODUCT(Mecze[[#This Row],[/PR:90]:[/BR:90]],Brudnopis!$E$28:$J$28),0)</f>
        <v>6.1855670103092786E-2</v>
      </c>
      <c r="Y538" s="35">
        <f>IF(Mecze[[#This Row],[Role]]="BR",Mecze[[#This Row],[/OB:90]]+Mecze[[#This Row],[/PC:90]],SUM(Mecze[[#This Row],[/PR:90]:[/BR:90]]))</f>
        <v>0.12371134020618557</v>
      </c>
      <c r="Z538" s="35">
        <f>IF(Mecze[[#This Row],[KC]]=0,SUM(Mecze[[#This Row],[/BRI]:[/NPI]]),SUM(Mecze[[#This Row],[/BRI]:[/NPI]])*0.6)</f>
        <v>0.62886597938144329</v>
      </c>
      <c r="AA538" s="10">
        <f>IFERROR(Mecze[[#This Row],[BR]]/Mecze[[#This Row],[ST]],0)</f>
        <v>0</v>
      </c>
      <c r="AB538">
        <f>ROUND(Mecze[[#This Row],[PD]]*Mecze[[#This Row],[%PC]],0)</f>
        <v>6</v>
      </c>
      <c r="AC538">
        <f>ROUND(Mecze[[#This Row],[OD]]*Mecze[[#This Row],[%OU]],0)</f>
        <v>5</v>
      </c>
      <c r="AD538" s="41" t="s">
        <v>167</v>
      </c>
      <c r="AE538" s="36">
        <v>31</v>
      </c>
      <c r="AF538" s="71">
        <v>2.92</v>
      </c>
      <c r="AG538" s="37">
        <v>0</v>
      </c>
      <c r="AH538" s="37">
        <v>0</v>
      </c>
      <c r="AI538" s="37">
        <v>97</v>
      </c>
      <c r="AJ538" s="37">
        <v>9</v>
      </c>
      <c r="AK538" s="37" t="str">
        <f>VLOOKUP(Mecze[[#This Row],[Match ID]],Meczusie[Mecz]:Meczusie[RodzajMeczu],2,FALSE)</f>
        <v>Liga</v>
      </c>
    </row>
    <row r="539" spans="1:37" x14ac:dyDescent="0.25">
      <c r="A539" s="76">
        <v>3</v>
      </c>
      <c r="B539" s="3" t="s">
        <v>292</v>
      </c>
      <c r="C539" s="2" t="s">
        <v>160</v>
      </c>
      <c r="D539" s="1">
        <v>0</v>
      </c>
      <c r="E539" s="1">
        <v>0</v>
      </c>
      <c r="F539" s="1">
        <v>0</v>
      </c>
      <c r="G539" s="1">
        <v>5</v>
      </c>
      <c r="H539" s="4">
        <v>1</v>
      </c>
      <c r="I539" s="1">
        <v>0</v>
      </c>
      <c r="J539" s="4"/>
      <c r="K539" s="1">
        <v>0</v>
      </c>
      <c r="L539" s="1">
        <v>1</v>
      </c>
      <c r="M539" s="32">
        <f>IF(Mecze[[#This Row],[PR]]=0,0,Mecze[[#This Row],[PR]]/Mecze[[#This Row],[CZAS]])</f>
        <v>1.0309278350515464E-2</v>
      </c>
      <c r="N539" s="32">
        <f>IF(Mecze[[#This Row],[OU]]=0,0,Mecze[[#This Row],[OU]]/Mecze[[#This Row],[CZAS]])</f>
        <v>0</v>
      </c>
      <c r="O539" s="32">
        <f>IF(Mecze[[#This Row],[PC]]=0,0,Mecze[[#This Row],[PC]]/Mecze[[#This Row],[CZAS]])</f>
        <v>5.1546391752577317E-2</v>
      </c>
      <c r="P539" s="32">
        <f>IF(Mecze[[#This Row],[SC]]=0,0,Mecze[[#This Row],[SC]]/Mecze[[#This Row],[CZAS]])</f>
        <v>0</v>
      </c>
      <c r="Q539" s="32">
        <f>IF(Mecze[[#This Row],[OB]]=0,0,Mecze[[#This Row],[OB]]/Mecze[[#This Row],[CZAS]])</f>
        <v>0</v>
      </c>
      <c r="R539" s="32">
        <f>IF(Mecze[[#This Row],[BR]]=0,0,Mecze[[#This Row],[BR]]/Mecze[[#This Row],[CZAS]])</f>
        <v>0</v>
      </c>
      <c r="S539" s="44">
        <f>IF(Mecze[[#This Row],[Role]]="BR",SUMPRODUCT(Mecze[[#This Row],[/PR:90]:[/BR:90]],Brudnopis!$E$23:$J$23),0)</f>
        <v>0</v>
      </c>
      <c r="T539" s="44">
        <f>IF(Mecze[[#This Row],[Role]]&lt;&gt;"BR",SUMPRODUCT(Mecze[[#This Row],[/PR:90]:[/BR:90]],Brudnopis!$E$24:$J$24),0)</f>
        <v>6.1855670103092779E-2</v>
      </c>
      <c r="U539" s="44">
        <f>IF(Mecze[[#This Row],[Role]]&lt;&gt;"BR",SUMPRODUCT(Mecze[[#This Row],[/PR:90]:[/BR:90]],Brudnopis!$E$25:$J$25),0)</f>
        <v>8.7628865979381451E-2</v>
      </c>
      <c r="V539" s="44">
        <f>IF(Mecze[[#This Row],[Role]]&lt;&gt;"BR",SUMPRODUCT(Mecze[[#This Row],[/PR:90]:[/BR:90]],Brudnopis!$E$26:$J$26),0)</f>
        <v>6.1855670103092779E-2</v>
      </c>
      <c r="W539" s="44">
        <f>IF(Mecze[[#This Row],[Role]]&lt;&gt;"BR",SUMPRODUCT(Mecze[[#This Row],[/PR:90]:[/BR:90]],Brudnopis!$E$27:$J$27),0)</f>
        <v>8.505154639175258E-2</v>
      </c>
      <c r="X539" s="44">
        <f>IF(Mecze[[#This Row],[Role]]&lt;&gt;"BR",SUMPRODUCT(Mecze[[#This Row],[/PR:90]:[/BR:90]],Brudnopis!$E$28:$J$28),0)</f>
        <v>5.1546391752577317E-2</v>
      </c>
      <c r="Y539" s="35">
        <f>IF(Mecze[[#This Row],[Role]]="BR",Mecze[[#This Row],[/OB:90]]+Mecze[[#This Row],[/PC:90]],SUM(Mecze[[#This Row],[/PR:90]:[/BR:90]]))</f>
        <v>6.1855670103092779E-2</v>
      </c>
      <c r="Z539" s="35">
        <f>IF(Mecze[[#This Row],[KC]]=0,SUM(Mecze[[#This Row],[/BRI]:[/NPI]]),SUM(Mecze[[#This Row],[/BRI]:[/NPI]])*0.6)</f>
        <v>0.34793814432989689</v>
      </c>
      <c r="AA539" s="10">
        <f>IFERROR(Mecze[[#This Row],[BR]]/Mecze[[#This Row],[ST]],0)</f>
        <v>0</v>
      </c>
      <c r="AB539">
        <f>ROUND(Mecze[[#This Row],[PD]]*Mecze[[#This Row],[%PC]],0)</f>
        <v>5</v>
      </c>
      <c r="AC539">
        <f>ROUND(Mecze[[#This Row],[OD]]*Mecze[[#This Row],[%OU]],0)</f>
        <v>0</v>
      </c>
      <c r="AD539" s="41" t="s">
        <v>173</v>
      </c>
      <c r="AE539" s="36">
        <v>31</v>
      </c>
      <c r="AF539" s="71">
        <v>6.24</v>
      </c>
      <c r="AG539" s="37">
        <v>0</v>
      </c>
      <c r="AH539" s="37">
        <v>0</v>
      </c>
      <c r="AI539" s="37">
        <v>97</v>
      </c>
      <c r="AJ539" s="37">
        <v>9</v>
      </c>
      <c r="AK539" s="37" t="str">
        <f>VLOOKUP(Mecze[[#This Row],[Match ID]],Meczusie[Mecz]:Meczusie[RodzajMeczu],2,FALSE)</f>
        <v>Liga</v>
      </c>
    </row>
    <row r="540" spans="1:37" x14ac:dyDescent="0.25">
      <c r="A540" s="76">
        <v>14</v>
      </c>
      <c r="B540" s="3" t="s">
        <v>293</v>
      </c>
      <c r="C540" s="2" t="s">
        <v>160</v>
      </c>
      <c r="D540" s="1">
        <v>0</v>
      </c>
      <c r="E540" s="1">
        <v>0</v>
      </c>
      <c r="F540" s="1">
        <v>0</v>
      </c>
      <c r="G540" s="1">
        <v>8</v>
      </c>
      <c r="H540" s="4">
        <v>1</v>
      </c>
      <c r="I540" s="1">
        <v>2</v>
      </c>
      <c r="J540" s="4">
        <v>1</v>
      </c>
      <c r="K540" s="1">
        <v>0</v>
      </c>
      <c r="L540" s="1">
        <v>3</v>
      </c>
      <c r="M540" s="32">
        <f>IF(Mecze[[#This Row],[PR]]=0,0,Mecze[[#This Row],[PR]]/Mecze[[#This Row],[CZAS]])</f>
        <v>3.0927835051546393E-2</v>
      </c>
      <c r="N540" s="32">
        <f>IF(Mecze[[#This Row],[OU]]=0,0,Mecze[[#This Row],[OU]]/Mecze[[#This Row],[CZAS]])</f>
        <v>2.0618556701030927E-2</v>
      </c>
      <c r="O540" s="32">
        <f>IF(Mecze[[#This Row],[PC]]=0,0,Mecze[[#This Row],[PC]]/Mecze[[#This Row],[CZAS]])</f>
        <v>8.247422680412371E-2</v>
      </c>
      <c r="P540" s="32">
        <f>IF(Mecze[[#This Row],[SC]]=0,0,Mecze[[#This Row],[SC]]/Mecze[[#This Row],[CZAS]])</f>
        <v>0</v>
      </c>
      <c r="Q540" s="32">
        <f>IF(Mecze[[#This Row],[OB]]=0,0,Mecze[[#This Row],[OB]]/Mecze[[#This Row],[CZAS]])</f>
        <v>0</v>
      </c>
      <c r="R540" s="32">
        <f>IF(Mecze[[#This Row],[BR]]=0,0,Mecze[[#This Row],[BR]]/Mecze[[#This Row],[CZAS]])</f>
        <v>0</v>
      </c>
      <c r="S540" s="44">
        <f>IF(Mecze[[#This Row],[Role]]="BR",SUMPRODUCT(Mecze[[#This Row],[/PR:90]:[/BR:90]],Brudnopis!$E$23:$J$23),0)</f>
        <v>0</v>
      </c>
      <c r="T540" s="44">
        <f>IF(Mecze[[#This Row],[Role]]&lt;&gt;"BR",SUMPRODUCT(Mecze[[#This Row],[/PR:90]:[/BR:90]],Brudnopis!$E$24:$J$24),0)</f>
        <v>0.14432989690721648</v>
      </c>
      <c r="U540" s="44">
        <f>IF(Mecze[[#This Row],[Role]]&lt;&gt;"BR",SUMPRODUCT(Mecze[[#This Row],[/PR:90]:[/BR:90]],Brudnopis!$E$25:$J$25),0)</f>
        <v>0.17525773195876287</v>
      </c>
      <c r="V540" s="44">
        <f>IF(Mecze[[#This Row],[Role]]&lt;&gt;"BR",SUMPRODUCT(Mecze[[#This Row],[/PR:90]:[/BR:90]],Brudnopis!$E$26:$J$26),0)</f>
        <v>0.13402061855670103</v>
      </c>
      <c r="W540" s="44">
        <f>IF(Mecze[[#This Row],[Role]]&lt;&gt;"BR",SUMPRODUCT(Mecze[[#This Row],[/PR:90]:[/BR:90]],Brudnopis!$E$27:$J$27),0)</f>
        <v>0.16237113402061856</v>
      </c>
      <c r="X540" s="44">
        <f>IF(Mecze[[#This Row],[Role]]&lt;&gt;"BR",SUMPRODUCT(Mecze[[#This Row],[/PR:90]:[/BR:90]],Brudnopis!$E$28:$J$28),0)</f>
        <v>8.247422680412371E-2</v>
      </c>
      <c r="Y540" s="35">
        <f>IF(Mecze[[#This Row],[Role]]="BR",Mecze[[#This Row],[/OB:90]]+Mecze[[#This Row],[/PC:90]],SUM(Mecze[[#This Row],[/PR:90]:[/BR:90]]))</f>
        <v>0.13402061855670103</v>
      </c>
      <c r="Z540" s="35">
        <f>IF(Mecze[[#This Row],[KC]]=0,SUM(Mecze[[#This Row],[/BRI]:[/NPI]]),SUM(Mecze[[#This Row],[/BRI]:[/NPI]])*0.6)</f>
        <v>0.69845360824742264</v>
      </c>
      <c r="AA540" s="10">
        <f>IFERROR(Mecze[[#This Row],[BR]]/Mecze[[#This Row],[ST]],0)</f>
        <v>0</v>
      </c>
      <c r="AB540">
        <f>ROUND(Mecze[[#This Row],[PD]]*Mecze[[#This Row],[%PC]],0)</f>
        <v>8</v>
      </c>
      <c r="AC540">
        <f>ROUND(Mecze[[#This Row],[OD]]*Mecze[[#This Row],[%OU]],0)</f>
        <v>2</v>
      </c>
      <c r="AD540" s="41" t="s">
        <v>172</v>
      </c>
      <c r="AE540" s="36">
        <v>31</v>
      </c>
      <c r="AF540" s="71">
        <v>6.66</v>
      </c>
      <c r="AG540" s="37">
        <v>0</v>
      </c>
      <c r="AH540" s="37">
        <v>0</v>
      </c>
      <c r="AI540" s="37">
        <v>97</v>
      </c>
      <c r="AJ540" s="37">
        <v>9</v>
      </c>
      <c r="AK540" s="37" t="str">
        <f>VLOOKUP(Mecze[[#This Row],[Match ID]],Meczusie[Mecz]:Meczusie[RodzajMeczu],2,FALSE)</f>
        <v>Liga</v>
      </c>
    </row>
    <row r="541" spans="1:37" x14ac:dyDescent="0.25">
      <c r="A541" s="76">
        <v>8</v>
      </c>
      <c r="B541" s="3" t="s">
        <v>294</v>
      </c>
      <c r="C541" s="2" t="s">
        <v>160</v>
      </c>
      <c r="D541" s="1">
        <v>0</v>
      </c>
      <c r="E541" s="1">
        <v>1</v>
      </c>
      <c r="F541" s="1">
        <v>0</v>
      </c>
      <c r="G541" s="1">
        <v>25</v>
      </c>
      <c r="H541" s="4">
        <v>0.84</v>
      </c>
      <c r="I541" s="1">
        <v>7</v>
      </c>
      <c r="J541" s="4">
        <v>0.43</v>
      </c>
      <c r="K541" s="1">
        <v>0</v>
      </c>
      <c r="L541" s="1">
        <v>9</v>
      </c>
      <c r="M541" s="32">
        <f>IF(Mecze[[#This Row],[PR]]=0,0,Mecze[[#This Row],[PR]]/Mecze[[#This Row],[CZAS]])</f>
        <v>9.2783505154639179E-2</v>
      </c>
      <c r="N541" s="32">
        <f>IF(Mecze[[#This Row],[OU]]=0,0,Mecze[[#This Row],[OU]]/Mecze[[#This Row],[CZAS]])</f>
        <v>3.0927835051546393E-2</v>
      </c>
      <c r="O541" s="32">
        <f>IF(Mecze[[#This Row],[PC]]=0,0,Mecze[[#This Row],[PC]]/Mecze[[#This Row],[CZAS]])</f>
        <v>0.21649484536082475</v>
      </c>
      <c r="P541" s="32">
        <f>IF(Mecze[[#This Row],[SC]]=0,0,Mecze[[#This Row],[SC]]/Mecze[[#This Row],[CZAS]])</f>
        <v>0</v>
      </c>
      <c r="Q541" s="32">
        <f>IF(Mecze[[#This Row],[OB]]=0,0,Mecze[[#This Row],[OB]]/Mecze[[#This Row],[CZAS]])</f>
        <v>0</v>
      </c>
      <c r="R541" s="32">
        <f>IF(Mecze[[#This Row],[BR]]=0,0,Mecze[[#This Row],[BR]]/Mecze[[#This Row],[CZAS]])</f>
        <v>0</v>
      </c>
      <c r="S541" s="44">
        <f>IF(Mecze[[#This Row],[Role]]="BR",SUMPRODUCT(Mecze[[#This Row],[/PR:90]:[/BR:90]],Brudnopis!$E$23:$J$23),0)</f>
        <v>0</v>
      </c>
      <c r="T541" s="44">
        <f>IF(Mecze[[#This Row],[Role]]&lt;&gt;"BR",SUMPRODUCT(Mecze[[#This Row],[/PR:90]:[/BR:90]],Brudnopis!$E$24:$J$24),0)</f>
        <v>0.35567010309278352</v>
      </c>
      <c r="U541" s="44">
        <f>IF(Mecze[[#This Row],[Role]]&lt;&gt;"BR",SUMPRODUCT(Mecze[[#This Row],[/PR:90]:[/BR:90]],Brudnopis!$E$25:$J$25),0)</f>
        <v>0.4484536082474227</v>
      </c>
      <c r="V541" s="44">
        <f>IF(Mecze[[#This Row],[Role]]&lt;&gt;"BR",SUMPRODUCT(Mecze[[#This Row],[/PR:90]:[/BR:90]],Brudnopis!$E$26:$J$26),0)</f>
        <v>0.34020618556701032</v>
      </c>
      <c r="W541" s="44">
        <f>IF(Mecze[[#This Row],[Role]]&lt;&gt;"BR",SUMPRODUCT(Mecze[[#This Row],[/PR:90]:[/BR:90]],Brudnopis!$E$27:$J$27),0)</f>
        <v>0.4175257731958763</v>
      </c>
      <c r="X541" s="44">
        <f>IF(Mecze[[#This Row],[Role]]&lt;&gt;"BR",SUMPRODUCT(Mecze[[#This Row],[/PR:90]:[/BR:90]],Brudnopis!$E$28:$J$28),0)</f>
        <v>0.21649484536082475</v>
      </c>
      <c r="Y541" s="35">
        <f>IF(Mecze[[#This Row],[Role]]="BR",Mecze[[#This Row],[/OB:90]]+Mecze[[#This Row],[/PC:90]],SUM(Mecze[[#This Row],[/PR:90]:[/BR:90]]))</f>
        <v>0.34020618556701032</v>
      </c>
      <c r="Z541" s="35">
        <f>IF(Mecze[[#This Row],[KC]]=0,SUM(Mecze[[#This Row],[/BRI]:[/NPI]]),SUM(Mecze[[#This Row],[/BRI]:[/NPI]])*0.6)</f>
        <v>1.7783505154639174</v>
      </c>
      <c r="AA541" s="10">
        <f>IFERROR(Mecze[[#This Row],[BR]]/Mecze[[#This Row],[ST]],0)</f>
        <v>0</v>
      </c>
      <c r="AB541">
        <f>ROUND(Mecze[[#This Row],[PD]]*Mecze[[#This Row],[%PC]],0)</f>
        <v>21</v>
      </c>
      <c r="AC541">
        <f>ROUND(Mecze[[#This Row],[OD]]*Mecze[[#This Row],[%OU]],0)</f>
        <v>3</v>
      </c>
      <c r="AD541" s="41" t="s">
        <v>67</v>
      </c>
      <c r="AE541" s="36">
        <v>31</v>
      </c>
      <c r="AF541" s="71">
        <v>6.71</v>
      </c>
      <c r="AG541" s="37">
        <v>0</v>
      </c>
      <c r="AH541" s="37">
        <v>0</v>
      </c>
      <c r="AI541" s="37">
        <v>97</v>
      </c>
      <c r="AJ541" s="37">
        <v>9</v>
      </c>
      <c r="AK541" s="37" t="str">
        <f>VLOOKUP(Mecze[[#This Row],[Match ID]],Meczusie[Mecz]:Meczusie[RodzajMeczu],2,FALSE)</f>
        <v>Liga</v>
      </c>
    </row>
    <row r="542" spans="1:37" x14ac:dyDescent="0.25">
      <c r="A542" s="76">
        <v>11</v>
      </c>
      <c r="B542" s="3" t="s">
        <v>410</v>
      </c>
      <c r="C542" s="2" t="s">
        <v>160</v>
      </c>
      <c r="D542" s="1">
        <v>0</v>
      </c>
      <c r="E542" s="1">
        <v>1</v>
      </c>
      <c r="F542" s="1">
        <v>0</v>
      </c>
      <c r="G542" s="1">
        <v>10</v>
      </c>
      <c r="H542" s="4">
        <v>0.6</v>
      </c>
      <c r="I542" s="1">
        <v>3</v>
      </c>
      <c r="J542" s="4">
        <v>0.67</v>
      </c>
      <c r="K542" s="1">
        <v>0</v>
      </c>
      <c r="L542" s="1">
        <v>1</v>
      </c>
      <c r="M542" s="32">
        <f>IF(Mecze[[#This Row],[PR]]=0,0,Mecze[[#This Row],[PR]]/Mecze[[#This Row],[CZAS]])</f>
        <v>1.0309278350515464E-2</v>
      </c>
      <c r="N542" s="32">
        <f>IF(Mecze[[#This Row],[OU]]=0,0,Mecze[[#This Row],[OU]]/Mecze[[#This Row],[CZAS]])</f>
        <v>2.0618556701030927E-2</v>
      </c>
      <c r="O542" s="32">
        <f>IF(Mecze[[#This Row],[PC]]=0,0,Mecze[[#This Row],[PC]]/Mecze[[#This Row],[CZAS]])</f>
        <v>6.1855670103092786E-2</v>
      </c>
      <c r="P542" s="32">
        <f>IF(Mecze[[#This Row],[SC]]=0,0,Mecze[[#This Row],[SC]]/Mecze[[#This Row],[CZAS]])</f>
        <v>0</v>
      </c>
      <c r="Q542" s="32">
        <f>IF(Mecze[[#This Row],[OB]]=0,0,Mecze[[#This Row],[OB]]/Mecze[[#This Row],[CZAS]])</f>
        <v>0</v>
      </c>
      <c r="R542" s="32">
        <f>IF(Mecze[[#This Row],[BR]]=0,0,Mecze[[#This Row],[BR]]/Mecze[[#This Row],[CZAS]])</f>
        <v>0</v>
      </c>
      <c r="S542" s="44">
        <f>IF(Mecze[[#This Row],[Role]]="BR",SUMPRODUCT(Mecze[[#This Row],[/PR:90]:[/BR:90]],Brudnopis!$E$23:$J$23),0)</f>
        <v>0</v>
      </c>
      <c r="T542" s="44">
        <f>IF(Mecze[[#This Row],[Role]]&lt;&gt;"BR",SUMPRODUCT(Mecze[[#This Row],[/PR:90]:[/BR:90]],Brudnopis!$E$24:$J$24),0)</f>
        <v>0.10309278350515463</v>
      </c>
      <c r="U542" s="44">
        <f>IF(Mecze[[#This Row],[Role]]&lt;&gt;"BR",SUMPRODUCT(Mecze[[#This Row],[/PR:90]:[/BR:90]],Brudnopis!$E$25:$J$25),0)</f>
        <v>0.12371134020618557</v>
      </c>
      <c r="V542" s="44">
        <f>IF(Mecze[[#This Row],[Role]]&lt;&gt;"BR",SUMPRODUCT(Mecze[[#This Row],[/PR:90]:[/BR:90]],Brudnopis!$E$26:$J$26),0)</f>
        <v>9.2783505154639179E-2</v>
      </c>
      <c r="W542" s="44">
        <f>IF(Mecze[[#This Row],[Role]]&lt;&gt;"BR",SUMPRODUCT(Mecze[[#This Row],[/PR:90]:[/BR:90]],Brudnopis!$E$27:$J$27),0)</f>
        <v>0.11597938144329897</v>
      </c>
      <c r="X542" s="44">
        <f>IF(Mecze[[#This Row],[Role]]&lt;&gt;"BR",SUMPRODUCT(Mecze[[#This Row],[/PR:90]:[/BR:90]],Brudnopis!$E$28:$J$28),0)</f>
        <v>6.1855670103092786E-2</v>
      </c>
      <c r="Y542" s="35">
        <f>IF(Mecze[[#This Row],[Role]]="BR",Mecze[[#This Row],[/OB:90]]+Mecze[[#This Row],[/PC:90]],SUM(Mecze[[#This Row],[/PR:90]:[/BR:90]]))</f>
        <v>9.2783505154639179E-2</v>
      </c>
      <c r="Z542" s="35">
        <f>IF(Mecze[[#This Row],[KC]]=0,SUM(Mecze[[#This Row],[/BRI]:[/NPI]]),SUM(Mecze[[#This Row],[/BRI]:[/NPI]])*0.6)</f>
        <v>0.49742268041237114</v>
      </c>
      <c r="AA542" s="10">
        <f>IFERROR(Mecze[[#This Row],[BR]]/Mecze[[#This Row],[ST]],0)</f>
        <v>0</v>
      </c>
      <c r="AB542">
        <f>ROUND(Mecze[[#This Row],[PD]]*Mecze[[#This Row],[%PC]],0)</f>
        <v>6</v>
      </c>
      <c r="AC542">
        <f>ROUND(Mecze[[#This Row],[OD]]*Mecze[[#This Row],[%OU]],0)</f>
        <v>2</v>
      </c>
      <c r="AD542" s="42" t="s">
        <v>299</v>
      </c>
      <c r="AE542" s="36">
        <v>31</v>
      </c>
      <c r="AF542" s="71">
        <v>4.12</v>
      </c>
      <c r="AG542" s="37">
        <v>0</v>
      </c>
      <c r="AH542" s="37">
        <v>0</v>
      </c>
      <c r="AI542" s="37">
        <v>97</v>
      </c>
      <c r="AJ542" s="37">
        <v>9</v>
      </c>
      <c r="AK542" s="37" t="str">
        <f>VLOOKUP(Mecze[[#This Row],[Match ID]],Meczusie[Mecz]:Meczusie[RodzajMeczu],2,FALSE)</f>
        <v>Liga</v>
      </c>
    </row>
    <row r="543" spans="1:37" x14ac:dyDescent="0.25">
      <c r="A543" s="76">
        <v>13</v>
      </c>
      <c r="B543" s="3" t="s">
        <v>295</v>
      </c>
      <c r="C543" s="2" t="s">
        <v>160</v>
      </c>
      <c r="D543" s="1">
        <v>0</v>
      </c>
      <c r="E543" s="1">
        <v>1</v>
      </c>
      <c r="F543" s="1">
        <v>1</v>
      </c>
      <c r="G543" s="1">
        <v>16</v>
      </c>
      <c r="H543" s="4">
        <v>0.69</v>
      </c>
      <c r="I543" s="1">
        <v>2</v>
      </c>
      <c r="J543" s="4">
        <v>0.5</v>
      </c>
      <c r="K543" s="1">
        <v>0</v>
      </c>
      <c r="L543" s="1">
        <v>0</v>
      </c>
      <c r="M543" s="32">
        <f>IF(Mecze[[#This Row],[PR]]=0,0,Mecze[[#This Row],[PR]]/Mecze[[#This Row],[CZAS]])</f>
        <v>0</v>
      </c>
      <c r="N543" s="32">
        <f>IF(Mecze[[#This Row],[OU]]=0,0,Mecze[[#This Row],[OU]]/Mecze[[#This Row],[CZAS]])</f>
        <v>1.0309278350515464E-2</v>
      </c>
      <c r="O543" s="32">
        <f>IF(Mecze[[#This Row],[PC]]=0,0,Mecze[[#This Row],[PC]]/Mecze[[#This Row],[CZAS]])</f>
        <v>0.1134020618556701</v>
      </c>
      <c r="P543" s="32">
        <f>IF(Mecze[[#This Row],[SC]]=0,0,Mecze[[#This Row],[SC]]/Mecze[[#This Row],[CZAS]])</f>
        <v>1.0309278350515464E-2</v>
      </c>
      <c r="Q543" s="32">
        <f>IF(Mecze[[#This Row],[OB]]=0,0,Mecze[[#This Row],[OB]]/Mecze[[#This Row],[CZAS]])</f>
        <v>0</v>
      </c>
      <c r="R543" s="32">
        <f>IF(Mecze[[#This Row],[BR]]=0,0,Mecze[[#This Row],[BR]]/Mecze[[#This Row],[CZAS]])</f>
        <v>0</v>
      </c>
      <c r="S543" s="44">
        <f>IF(Mecze[[#This Row],[Role]]="BR",SUMPRODUCT(Mecze[[#This Row],[/PR:90]:[/BR:90]],Brudnopis!$E$23:$J$23),0)</f>
        <v>0</v>
      </c>
      <c r="T543" s="44">
        <f>IF(Mecze[[#This Row],[Role]]&lt;&gt;"BR",SUMPRODUCT(Mecze[[#This Row],[/PR:90]:[/BR:90]],Brudnopis!$E$24:$J$24),0)</f>
        <v>0.13917525773195874</v>
      </c>
      <c r="U543" s="44">
        <f>IF(Mecze[[#This Row],[Role]]&lt;&gt;"BR",SUMPRODUCT(Mecze[[#This Row],[/PR:90]:[/BR:90]],Brudnopis!$E$25:$J$25),0)</f>
        <v>0.19072164948453607</v>
      </c>
      <c r="V543" s="44">
        <f>IF(Mecze[[#This Row],[Role]]&lt;&gt;"BR",SUMPRODUCT(Mecze[[#This Row],[/PR:90]:[/BR:90]],Brudnopis!$E$26:$J$26),0)</f>
        <v>0.13402061855670103</v>
      </c>
      <c r="W543" s="44">
        <f>IF(Mecze[[#This Row],[Role]]&lt;&gt;"BR",SUMPRODUCT(Mecze[[#This Row],[/PR:90]:[/BR:90]],Brudnopis!$E$27:$J$27),0)</f>
        <v>0.18814432989690721</v>
      </c>
      <c r="X543" s="44">
        <f>IF(Mecze[[#This Row],[Role]]&lt;&gt;"BR",SUMPRODUCT(Mecze[[#This Row],[/PR:90]:[/BR:90]],Brudnopis!$E$28:$J$28),0)</f>
        <v>0.13402061855670103</v>
      </c>
      <c r="Y543" s="35">
        <f>IF(Mecze[[#This Row],[Role]]="BR",Mecze[[#This Row],[/OB:90]]+Mecze[[#This Row],[/PC:90]],SUM(Mecze[[#This Row],[/PR:90]:[/BR:90]]))</f>
        <v>0.13402061855670103</v>
      </c>
      <c r="Z543" s="35">
        <f>IF(Mecze[[#This Row],[KC]]=0,SUM(Mecze[[#This Row],[/BRI]:[/NPI]]),SUM(Mecze[[#This Row],[/BRI]:[/NPI]])*0.6)</f>
        <v>0.786082474226804</v>
      </c>
      <c r="AA543" s="10">
        <f>IFERROR(Mecze[[#This Row],[BR]]/Mecze[[#This Row],[ST]],0)</f>
        <v>0</v>
      </c>
      <c r="AB543">
        <f>ROUND(Mecze[[#This Row],[PD]]*Mecze[[#This Row],[%PC]],0)</f>
        <v>11</v>
      </c>
      <c r="AC543">
        <f>ROUND(Mecze[[#This Row],[OD]]*Mecze[[#This Row],[%OU]],0)</f>
        <v>1</v>
      </c>
      <c r="AD543" s="41" t="s">
        <v>171</v>
      </c>
      <c r="AE543" s="36">
        <v>31</v>
      </c>
      <c r="AF543" s="71">
        <v>4.1399999999999997</v>
      </c>
      <c r="AG543" s="37">
        <v>0</v>
      </c>
      <c r="AH543" s="37">
        <v>0</v>
      </c>
      <c r="AI543" s="37">
        <v>97</v>
      </c>
      <c r="AJ543" s="37">
        <v>9</v>
      </c>
      <c r="AK543" s="37" t="str">
        <f>VLOOKUP(Mecze[[#This Row],[Match ID]],Meczusie[Mecz]:Meczusie[RodzajMeczu],2,FALSE)</f>
        <v>Liga</v>
      </c>
    </row>
    <row r="544" spans="1:37" x14ac:dyDescent="0.25">
      <c r="A544" s="76">
        <v>9</v>
      </c>
      <c r="B544" s="3" t="s">
        <v>296</v>
      </c>
      <c r="C544" s="2" t="s">
        <v>165</v>
      </c>
      <c r="D544" s="1">
        <v>1</v>
      </c>
      <c r="E544" s="1">
        <v>3</v>
      </c>
      <c r="F544" s="1">
        <v>2</v>
      </c>
      <c r="G544" s="1">
        <v>7</v>
      </c>
      <c r="H544" s="4">
        <v>0.71</v>
      </c>
      <c r="I544" s="1">
        <v>2</v>
      </c>
      <c r="J544" s="4">
        <v>1</v>
      </c>
      <c r="K544" s="1">
        <v>0</v>
      </c>
      <c r="L544" s="1">
        <v>0</v>
      </c>
      <c r="M544" s="32">
        <f>IF(Mecze[[#This Row],[PR]]=0,0,Mecze[[#This Row],[PR]]/Mecze[[#This Row],[CZAS]])</f>
        <v>0</v>
      </c>
      <c r="N544" s="32">
        <f>IF(Mecze[[#This Row],[OU]]=0,0,Mecze[[#This Row],[OU]]/Mecze[[#This Row],[CZAS]])</f>
        <v>2.0618556701030927E-2</v>
      </c>
      <c r="O544" s="32">
        <f>IF(Mecze[[#This Row],[PC]]=0,0,Mecze[[#This Row],[PC]]/Mecze[[#This Row],[CZAS]])</f>
        <v>5.1546391752577317E-2</v>
      </c>
      <c r="P544" s="32">
        <f>IF(Mecze[[#This Row],[SC]]=0,0,Mecze[[#This Row],[SC]]/Mecze[[#This Row],[CZAS]])</f>
        <v>2.0618556701030927E-2</v>
      </c>
      <c r="Q544" s="32">
        <f>IF(Mecze[[#This Row],[OB]]=0,0,Mecze[[#This Row],[OB]]/Mecze[[#This Row],[CZAS]])</f>
        <v>0</v>
      </c>
      <c r="R544" s="32">
        <f>IF(Mecze[[#This Row],[BR]]=0,0,Mecze[[#This Row],[BR]]/Mecze[[#This Row],[CZAS]])</f>
        <v>1.0309278350515464E-2</v>
      </c>
      <c r="S544" s="44">
        <f>IF(Mecze[[#This Row],[Role]]="BR",SUMPRODUCT(Mecze[[#This Row],[/PR:90]:[/BR:90]],Brudnopis!$E$23:$J$23),0)</f>
        <v>0</v>
      </c>
      <c r="T544" s="44">
        <f>IF(Mecze[[#This Row],[Role]]&lt;&gt;"BR",SUMPRODUCT(Mecze[[#This Row],[/PR:90]:[/BR:90]],Brudnopis!$E$24:$J$24),0)</f>
        <v>0.11855670103092783</v>
      </c>
      <c r="U544" s="44">
        <f>IF(Mecze[[#This Row],[Role]]&lt;&gt;"BR",SUMPRODUCT(Mecze[[#This Row],[/PR:90]:[/BR:90]],Brudnopis!$E$25:$J$25),0)</f>
        <v>0.13402061855670103</v>
      </c>
      <c r="V544" s="44">
        <f>IF(Mecze[[#This Row],[Role]]&lt;&gt;"BR",SUMPRODUCT(Mecze[[#This Row],[/PR:90]:[/BR:90]],Brudnopis!$E$26:$J$26),0)</f>
        <v>0.11340206185567009</v>
      </c>
      <c r="W544" s="44">
        <f>IF(Mecze[[#This Row],[Role]]&lt;&gt;"BR",SUMPRODUCT(Mecze[[#This Row],[/PR:90]:[/BR:90]],Brudnopis!$E$27:$J$27),0)</f>
        <v>0.13402061855670103</v>
      </c>
      <c r="X544" s="44">
        <f>IF(Mecze[[#This Row],[Role]]&lt;&gt;"BR",SUMPRODUCT(Mecze[[#This Row],[/PR:90]:[/BR:90]],Brudnopis!$E$28:$J$28),0)</f>
        <v>0.12371134020618557</v>
      </c>
      <c r="Y544" s="35">
        <f>IF(Mecze[[#This Row],[Role]]="BR",Mecze[[#This Row],[/OB:90]]+Mecze[[#This Row],[/PC:90]],SUM(Mecze[[#This Row],[/PR:90]:[/BR:90]]))</f>
        <v>0.10309278350515463</v>
      </c>
      <c r="Z544" s="35">
        <f>IF(Mecze[[#This Row],[KC]]=0,SUM(Mecze[[#This Row],[/BRI]:[/NPI]]),SUM(Mecze[[#This Row],[/BRI]:[/NPI]])*0.6)</f>
        <v>0.62371134020618557</v>
      </c>
      <c r="AA544" s="10">
        <f>IFERROR(Mecze[[#This Row],[BR]]/Mecze[[#This Row],[ST]],0)</f>
        <v>0.33333333333333331</v>
      </c>
      <c r="AB544">
        <f>ROUND(Mecze[[#This Row],[PD]]*Mecze[[#This Row],[%PC]],0)</f>
        <v>5</v>
      </c>
      <c r="AC544">
        <f>ROUND(Mecze[[#This Row],[OD]]*Mecze[[#This Row],[%OU]],0)</f>
        <v>2</v>
      </c>
      <c r="AD544" s="41" t="s">
        <v>272</v>
      </c>
      <c r="AE544" s="36">
        <v>31</v>
      </c>
      <c r="AF544" s="71">
        <v>6.78</v>
      </c>
      <c r="AG544" s="37">
        <v>0</v>
      </c>
      <c r="AH544" s="37">
        <v>0</v>
      </c>
      <c r="AI544" s="37">
        <v>97</v>
      </c>
      <c r="AJ544" s="37">
        <v>9</v>
      </c>
      <c r="AK544" s="37" t="str">
        <f>VLOOKUP(Mecze[[#This Row],[Match ID]],Meczusie[Mecz]:Meczusie[RodzajMeczu],2,FALSE)</f>
        <v>Liga</v>
      </c>
    </row>
    <row r="545" spans="1:37" x14ac:dyDescent="0.25">
      <c r="A545" s="76">
        <v>6</v>
      </c>
      <c r="B545" s="3" t="s">
        <v>297</v>
      </c>
      <c r="C545" s="2" t="s">
        <v>165</v>
      </c>
      <c r="D545" s="1">
        <v>0</v>
      </c>
      <c r="E545" s="1">
        <v>6</v>
      </c>
      <c r="F545" s="1">
        <v>5</v>
      </c>
      <c r="G545" s="1">
        <v>14</v>
      </c>
      <c r="H545" s="4">
        <v>0.79</v>
      </c>
      <c r="I545" s="1">
        <v>0</v>
      </c>
      <c r="J545" s="4"/>
      <c r="K545" s="1">
        <v>0</v>
      </c>
      <c r="L545" s="1">
        <v>2</v>
      </c>
      <c r="M545" s="32">
        <f>IF(Mecze[[#This Row],[PR]]=0,0,Mecze[[#This Row],[PR]]/Mecze[[#This Row],[CZAS]])</f>
        <v>2.0618556701030927E-2</v>
      </c>
      <c r="N545" s="32">
        <f>IF(Mecze[[#This Row],[OU]]=0,0,Mecze[[#This Row],[OU]]/Mecze[[#This Row],[CZAS]])</f>
        <v>0</v>
      </c>
      <c r="O545" s="32">
        <f>IF(Mecze[[#This Row],[PC]]=0,0,Mecze[[#This Row],[PC]]/Mecze[[#This Row],[CZAS]])</f>
        <v>0.1134020618556701</v>
      </c>
      <c r="P545" s="32">
        <f>IF(Mecze[[#This Row],[SC]]=0,0,Mecze[[#This Row],[SC]]/Mecze[[#This Row],[CZAS]])</f>
        <v>5.1546391752577317E-2</v>
      </c>
      <c r="Q545" s="32">
        <f>IF(Mecze[[#This Row],[OB]]=0,0,Mecze[[#This Row],[OB]]/Mecze[[#This Row],[CZAS]])</f>
        <v>0</v>
      </c>
      <c r="R545" s="32">
        <f>IF(Mecze[[#This Row],[BR]]=0,0,Mecze[[#This Row],[BR]]/Mecze[[#This Row],[CZAS]])</f>
        <v>0</v>
      </c>
      <c r="S545" s="44">
        <f>IF(Mecze[[#This Row],[Role]]="BR",SUMPRODUCT(Mecze[[#This Row],[/PR:90]:[/BR:90]],Brudnopis!$E$23:$J$23),0)</f>
        <v>0</v>
      </c>
      <c r="T545" s="44">
        <f>IF(Mecze[[#This Row],[Role]]&lt;&gt;"BR",SUMPRODUCT(Mecze[[#This Row],[/PR:90]:[/BR:90]],Brudnopis!$E$24:$J$24),0)</f>
        <v>0.18556701030927836</v>
      </c>
      <c r="U545" s="44">
        <f>IF(Mecze[[#This Row],[Role]]&lt;&gt;"BR",SUMPRODUCT(Mecze[[#This Row],[/PR:90]:[/BR:90]],Brudnopis!$E$25:$J$25),0)</f>
        <v>0.24226804123711343</v>
      </c>
      <c r="V545" s="44">
        <f>IF(Mecze[[#This Row],[Role]]&lt;&gt;"BR",SUMPRODUCT(Mecze[[#This Row],[/PR:90]:[/BR:90]],Brudnopis!$E$26:$J$26),0)</f>
        <v>0.18556701030927836</v>
      </c>
      <c r="W545" s="44">
        <f>IF(Mecze[[#This Row],[Role]]&lt;&gt;"BR",SUMPRODUCT(Mecze[[#This Row],[/PR:90]:[/BR:90]],Brudnopis!$E$27:$J$27),0)</f>
        <v>0.23711340206185566</v>
      </c>
      <c r="X545" s="44">
        <f>IF(Mecze[[#This Row],[Role]]&lt;&gt;"BR",SUMPRODUCT(Mecze[[#This Row],[/PR:90]:[/BR:90]],Brudnopis!$E$28:$J$28),0)</f>
        <v>0.21649484536082475</v>
      </c>
      <c r="Y545" s="35">
        <f>IF(Mecze[[#This Row],[Role]]="BR",Mecze[[#This Row],[/OB:90]]+Mecze[[#This Row],[/PC:90]],SUM(Mecze[[#This Row],[/PR:90]:[/BR:90]]))</f>
        <v>0.18556701030927836</v>
      </c>
      <c r="Z545" s="35">
        <f>IF(Mecze[[#This Row],[KC]]=0,SUM(Mecze[[#This Row],[/BRI]:[/NPI]]),SUM(Mecze[[#This Row],[/BRI]:[/NPI]])*0.6)</f>
        <v>1.0670103092783507</v>
      </c>
      <c r="AA545" s="10">
        <f>IFERROR(Mecze[[#This Row],[BR]]/Mecze[[#This Row],[ST]],0)</f>
        <v>0</v>
      </c>
      <c r="AB545">
        <f>ROUND(Mecze[[#This Row],[PD]]*Mecze[[#This Row],[%PC]],0)</f>
        <v>11</v>
      </c>
      <c r="AC545">
        <f>ROUND(Mecze[[#This Row],[OD]]*Mecze[[#This Row],[%OU]],0)</f>
        <v>0</v>
      </c>
      <c r="AD545" s="42" t="s">
        <v>46</v>
      </c>
      <c r="AE545" s="36">
        <v>31</v>
      </c>
      <c r="AF545" s="71">
        <v>5.14</v>
      </c>
      <c r="AG545" s="37">
        <v>0</v>
      </c>
      <c r="AH545" s="37">
        <v>0</v>
      </c>
      <c r="AI545" s="37">
        <v>97</v>
      </c>
      <c r="AJ545" s="37">
        <v>9</v>
      </c>
      <c r="AK545" s="37" t="str">
        <f>VLOOKUP(Mecze[[#This Row],[Match ID]],Meczusie[Mecz]:Meczusie[RodzajMeczu],2,FALSE)</f>
        <v>Liga</v>
      </c>
    </row>
    <row r="546" spans="1:37" x14ac:dyDescent="0.25">
      <c r="A546" s="76">
        <v>1</v>
      </c>
      <c r="B546" s="3" t="s">
        <v>169</v>
      </c>
      <c r="C546" s="2" t="s">
        <v>155</v>
      </c>
      <c r="D546" s="1">
        <v>0</v>
      </c>
      <c r="E546" s="1">
        <v>0</v>
      </c>
      <c r="F546" s="1">
        <v>0</v>
      </c>
      <c r="G546" s="1">
        <v>10</v>
      </c>
      <c r="H546" s="4">
        <v>0.8</v>
      </c>
      <c r="I546" s="1">
        <v>0</v>
      </c>
      <c r="J546" s="4"/>
      <c r="K546" s="1">
        <v>10</v>
      </c>
      <c r="L546" s="1">
        <v>0</v>
      </c>
      <c r="M546" s="32">
        <f>IF(Mecze[[#This Row],[PR]]=0,0,Mecze[[#This Row],[PR]]/Mecze[[#This Row],[CZAS]])</f>
        <v>0</v>
      </c>
      <c r="N546" s="32">
        <f>IF(Mecze[[#This Row],[OU]]=0,0,Mecze[[#This Row],[OU]]/Mecze[[#This Row],[CZAS]])</f>
        <v>0</v>
      </c>
      <c r="O546" s="32">
        <f>IF(Mecze[[#This Row],[PC]]=0,0,Mecze[[#This Row],[PC]]/Mecze[[#This Row],[CZAS]])</f>
        <v>8.4210526315789472E-2</v>
      </c>
      <c r="P546" s="32">
        <f>IF(Mecze[[#This Row],[SC]]=0,0,Mecze[[#This Row],[SC]]/Mecze[[#This Row],[CZAS]])</f>
        <v>0</v>
      </c>
      <c r="Q546" s="32">
        <f>IF(Mecze[[#This Row],[OB]]=0,0,Mecze[[#This Row],[OB]]/Mecze[[#This Row],[CZAS]])</f>
        <v>0.10526315789473684</v>
      </c>
      <c r="R546" s="32">
        <f>IF(Mecze[[#This Row],[BR]]=0,0,Mecze[[#This Row],[BR]]/Mecze[[#This Row],[CZAS]])</f>
        <v>0</v>
      </c>
      <c r="S546" s="44">
        <f>IF(Mecze[[#This Row],[Role]]="BR",SUMPRODUCT(Mecze[[#This Row],[/PR:90]:[/BR:90]],Brudnopis!$E$23:$J$23),0)</f>
        <v>0.56842105263157894</v>
      </c>
      <c r="T546" s="44">
        <f>IF(Mecze[[#This Row],[Role]]&lt;&gt;"BR",SUMPRODUCT(Mecze[[#This Row],[/PR:90]:[/BR:90]],Brudnopis!$E$24:$J$24),0)</f>
        <v>0</v>
      </c>
      <c r="U546" s="44">
        <f>IF(Mecze[[#This Row],[Role]]&lt;&gt;"BR",SUMPRODUCT(Mecze[[#This Row],[/PR:90]:[/BR:90]],Brudnopis!$E$25:$J$25),0)</f>
        <v>0</v>
      </c>
      <c r="V546" s="44">
        <f>IF(Mecze[[#This Row],[Role]]&lt;&gt;"BR",SUMPRODUCT(Mecze[[#This Row],[/PR:90]:[/BR:90]],Brudnopis!$E$26:$J$26),0)</f>
        <v>0</v>
      </c>
      <c r="W546" s="44">
        <f>IF(Mecze[[#This Row],[Role]]&lt;&gt;"BR",SUMPRODUCT(Mecze[[#This Row],[/PR:90]:[/BR:90]],Brudnopis!$E$27:$J$27),0)</f>
        <v>0</v>
      </c>
      <c r="X546" s="44">
        <f>IF(Mecze[[#This Row],[Role]]&lt;&gt;"BR",SUMPRODUCT(Mecze[[#This Row],[/PR:90]:[/BR:90]],Brudnopis!$E$28:$J$28),0)</f>
        <v>0</v>
      </c>
      <c r="Y546" s="35">
        <f>IF(Mecze[[#This Row],[Role]]="BR",Mecze[[#This Row],[/OB:90]]+Mecze[[#This Row],[/PC:90]],SUM(Mecze[[#This Row],[/PR:90]:[/BR:90]]))</f>
        <v>0.18947368421052629</v>
      </c>
      <c r="Z546" s="35">
        <f>IF(Mecze[[#This Row],[KC]]=0,SUM(Mecze[[#This Row],[/BRI]:[/NPI]]),SUM(Mecze[[#This Row],[/BRI]:[/NPI]])*0.6)</f>
        <v>0.56842105263157894</v>
      </c>
      <c r="AA546" s="10">
        <f>IFERROR(Mecze[[#This Row],[BR]]/Mecze[[#This Row],[ST]],0)</f>
        <v>0</v>
      </c>
      <c r="AB546">
        <f>ROUND(Mecze[[#This Row],[PD]]*Mecze[[#This Row],[%PC]],0)</f>
        <v>8</v>
      </c>
      <c r="AC546">
        <f>ROUND(Mecze[[#This Row],[OD]]*Mecze[[#This Row],[%OU]],0)</f>
        <v>0</v>
      </c>
      <c r="AD546" s="41" t="s">
        <v>40</v>
      </c>
      <c r="AE546" s="36">
        <v>32</v>
      </c>
      <c r="AF546" s="71">
        <v>8.42</v>
      </c>
      <c r="AG546" s="37">
        <v>0</v>
      </c>
      <c r="AH546" s="37">
        <v>0</v>
      </c>
      <c r="AI546" s="37">
        <v>95</v>
      </c>
      <c r="AJ546" s="37">
        <v>1</v>
      </c>
      <c r="AK546" s="37" t="str">
        <f>VLOOKUP(Mecze[[#This Row],[Match ID]],Meczusie[Mecz]:Meczusie[RodzajMeczu],2,FALSE)</f>
        <v>Liga</v>
      </c>
    </row>
    <row r="547" spans="1:37" x14ac:dyDescent="0.25">
      <c r="A547" s="76">
        <v>2</v>
      </c>
      <c r="B547" s="3" t="s">
        <v>156</v>
      </c>
      <c r="C547" s="2" t="s">
        <v>157</v>
      </c>
      <c r="D547" s="1">
        <v>0</v>
      </c>
      <c r="E547" s="1">
        <v>0</v>
      </c>
      <c r="F547" s="1">
        <v>0</v>
      </c>
      <c r="G547" s="1">
        <v>7</v>
      </c>
      <c r="H547" s="4">
        <v>0.71</v>
      </c>
      <c r="I547" s="1">
        <v>9</v>
      </c>
      <c r="J547" s="4">
        <v>0.44</v>
      </c>
      <c r="K547" s="1">
        <v>0</v>
      </c>
      <c r="L547" s="1">
        <v>4</v>
      </c>
      <c r="M547" s="32">
        <f>IF(Mecze[[#This Row],[PR]]=0,0,Mecze[[#This Row],[PR]]/Mecze[[#This Row],[CZAS]])</f>
        <v>4.2105263157894736E-2</v>
      </c>
      <c r="N547" s="32">
        <f>IF(Mecze[[#This Row],[OU]]=0,0,Mecze[[#This Row],[OU]]/Mecze[[#This Row],[CZAS]])</f>
        <v>4.2105263157894736E-2</v>
      </c>
      <c r="O547" s="32">
        <f>IF(Mecze[[#This Row],[PC]]=0,0,Mecze[[#This Row],[PC]]/Mecze[[#This Row],[CZAS]])</f>
        <v>5.2631578947368418E-2</v>
      </c>
      <c r="P547" s="32">
        <f>IF(Mecze[[#This Row],[SC]]=0,0,Mecze[[#This Row],[SC]]/Mecze[[#This Row],[CZAS]])</f>
        <v>0</v>
      </c>
      <c r="Q547" s="32">
        <f>IF(Mecze[[#This Row],[OB]]=0,0,Mecze[[#This Row],[OB]]/Mecze[[#This Row],[CZAS]])</f>
        <v>0</v>
      </c>
      <c r="R547" s="32">
        <f>IF(Mecze[[#This Row],[BR]]=0,0,Mecze[[#This Row],[BR]]/Mecze[[#This Row],[CZAS]])</f>
        <v>0</v>
      </c>
      <c r="S547" s="44">
        <f>IF(Mecze[[#This Row],[Role]]="BR",SUMPRODUCT(Mecze[[#This Row],[/PR:90]:[/BR:90]],Brudnopis!$E$23:$J$23),0)</f>
        <v>0</v>
      </c>
      <c r="T547" s="44">
        <f>IF(Mecze[[#This Row],[Role]]&lt;&gt;"BR",SUMPRODUCT(Mecze[[#This Row],[/PR:90]:[/BR:90]],Brudnopis!$E$24:$J$24),0)</f>
        <v>0.15789473684210525</v>
      </c>
      <c r="U547" s="44">
        <f>IF(Mecze[[#This Row],[Role]]&lt;&gt;"BR",SUMPRODUCT(Mecze[[#This Row],[/PR:90]:[/BR:90]],Brudnopis!$E$25:$J$25),0)</f>
        <v>0.16315789473684211</v>
      </c>
      <c r="V547" s="44">
        <f>IF(Mecze[[#This Row],[Role]]&lt;&gt;"BR",SUMPRODUCT(Mecze[[#This Row],[/PR:90]:[/BR:90]],Brudnopis!$E$26:$J$26),0)</f>
        <v>0.13684210526315788</v>
      </c>
      <c r="W547" s="44">
        <f>IF(Mecze[[#This Row],[Role]]&lt;&gt;"BR",SUMPRODUCT(Mecze[[#This Row],[/PR:90]:[/BR:90]],Brudnopis!$E$27:$J$27),0)</f>
        <v>0.14210526315789473</v>
      </c>
      <c r="X547" s="44">
        <f>IF(Mecze[[#This Row],[Role]]&lt;&gt;"BR",SUMPRODUCT(Mecze[[#This Row],[/PR:90]:[/BR:90]],Brudnopis!$E$28:$J$28),0)</f>
        <v>5.2631578947368418E-2</v>
      </c>
      <c r="Y547" s="35">
        <f>IF(Mecze[[#This Row],[Role]]="BR",Mecze[[#This Row],[/OB:90]]+Mecze[[#This Row],[/PC:90]],SUM(Mecze[[#This Row],[/PR:90]:[/BR:90]]))</f>
        <v>0.13684210526315788</v>
      </c>
      <c r="Z547" s="35">
        <f>IF(Mecze[[#This Row],[KC]]=0,SUM(Mecze[[#This Row],[/BRI]:[/NPI]]),SUM(Mecze[[#This Row],[/BRI]:[/NPI]])*0.6)</f>
        <v>0.65263157894736845</v>
      </c>
      <c r="AA547" s="10">
        <f>IFERROR(Mecze[[#This Row],[BR]]/Mecze[[#This Row],[ST]],0)</f>
        <v>0</v>
      </c>
      <c r="AB547">
        <f>ROUND(Mecze[[#This Row],[PD]]*Mecze[[#This Row],[%PC]],0)</f>
        <v>5</v>
      </c>
      <c r="AC547">
        <f>ROUND(Mecze[[#This Row],[OD]]*Mecze[[#This Row],[%OU]],0)</f>
        <v>4</v>
      </c>
      <c r="AD547" s="41" t="s">
        <v>47</v>
      </c>
      <c r="AE547" s="36">
        <v>32</v>
      </c>
      <c r="AF547" s="71">
        <v>3.65</v>
      </c>
      <c r="AG547" s="37">
        <v>0</v>
      </c>
      <c r="AH547" s="37">
        <v>0</v>
      </c>
      <c r="AI547" s="37">
        <v>95</v>
      </c>
      <c r="AJ547" s="37">
        <v>1</v>
      </c>
      <c r="AK547" s="37" t="str">
        <f>VLOOKUP(Mecze[[#This Row],[Match ID]],Meczusie[Mecz]:Meczusie[RodzajMeczu],2,FALSE)</f>
        <v>Liga</v>
      </c>
    </row>
    <row r="548" spans="1:37" x14ac:dyDescent="0.25">
      <c r="A548" s="76">
        <v>18</v>
      </c>
      <c r="B548" s="3" t="s">
        <v>211</v>
      </c>
      <c r="C548" s="2" t="s">
        <v>157</v>
      </c>
      <c r="D548" s="1">
        <v>0</v>
      </c>
      <c r="E548" s="1">
        <v>0</v>
      </c>
      <c r="F548" s="1">
        <v>0</v>
      </c>
      <c r="G548" s="1">
        <v>2</v>
      </c>
      <c r="H548" s="4">
        <v>0</v>
      </c>
      <c r="I548" s="1">
        <v>4</v>
      </c>
      <c r="J548" s="4">
        <v>0.5</v>
      </c>
      <c r="K548" s="1">
        <v>0</v>
      </c>
      <c r="L548" s="1">
        <v>3</v>
      </c>
      <c r="M548" s="32">
        <f>IF(Mecze[[#This Row],[PR]]=0,0,Mecze[[#This Row],[PR]]/Mecze[[#This Row],[CZAS]])</f>
        <v>3.1578947368421054E-2</v>
      </c>
      <c r="N548" s="32">
        <f>IF(Mecze[[#This Row],[OU]]=0,0,Mecze[[#This Row],[OU]]/Mecze[[#This Row],[CZAS]])</f>
        <v>2.1052631578947368E-2</v>
      </c>
      <c r="O548" s="32">
        <f>IF(Mecze[[#This Row],[PC]]=0,0,Mecze[[#This Row],[PC]]/Mecze[[#This Row],[CZAS]])</f>
        <v>0</v>
      </c>
      <c r="P548" s="32">
        <f>IF(Mecze[[#This Row],[SC]]=0,0,Mecze[[#This Row],[SC]]/Mecze[[#This Row],[CZAS]])</f>
        <v>0</v>
      </c>
      <c r="Q548" s="32">
        <f>IF(Mecze[[#This Row],[OB]]=0,0,Mecze[[#This Row],[OB]]/Mecze[[#This Row],[CZAS]])</f>
        <v>0</v>
      </c>
      <c r="R548" s="32">
        <f>IF(Mecze[[#This Row],[BR]]=0,0,Mecze[[#This Row],[BR]]/Mecze[[#This Row],[CZAS]])</f>
        <v>0</v>
      </c>
      <c r="S548" s="44">
        <f>IF(Mecze[[#This Row],[Role]]="BR",SUMPRODUCT(Mecze[[#This Row],[/PR:90]:[/BR:90]],Brudnopis!$E$23:$J$23),0)</f>
        <v>0</v>
      </c>
      <c r="T548" s="44">
        <f>IF(Mecze[[#This Row],[Role]]&lt;&gt;"BR",SUMPRODUCT(Mecze[[#This Row],[/PR:90]:[/BR:90]],Brudnopis!$E$24:$J$24),0)</f>
        <v>6.3157894736842107E-2</v>
      </c>
      <c r="U548" s="44">
        <f>IF(Mecze[[#This Row],[Role]]&lt;&gt;"BR",SUMPRODUCT(Mecze[[#This Row],[/PR:90]:[/BR:90]],Brudnopis!$E$25:$J$25),0)</f>
        <v>5.2631578947368418E-2</v>
      </c>
      <c r="V548" s="44">
        <f>IF(Mecze[[#This Row],[Role]]&lt;&gt;"BR",SUMPRODUCT(Mecze[[#This Row],[/PR:90]:[/BR:90]],Brudnopis!$E$26:$J$26),0)</f>
        <v>5.2631578947368418E-2</v>
      </c>
      <c r="W548" s="44">
        <f>IF(Mecze[[#This Row],[Role]]&lt;&gt;"BR",SUMPRODUCT(Mecze[[#This Row],[/PR:90]:[/BR:90]],Brudnopis!$E$27:$J$27),0)</f>
        <v>3.9473684210526314E-2</v>
      </c>
      <c r="X548" s="44">
        <f>IF(Mecze[[#This Row],[Role]]&lt;&gt;"BR",SUMPRODUCT(Mecze[[#This Row],[/PR:90]:[/BR:90]],Brudnopis!$E$28:$J$28),0)</f>
        <v>0</v>
      </c>
      <c r="Y548" s="35">
        <f>IF(Mecze[[#This Row],[Role]]="BR",Mecze[[#This Row],[/OB:90]]+Mecze[[#This Row],[/PC:90]],SUM(Mecze[[#This Row],[/PR:90]:[/BR:90]]))</f>
        <v>5.2631578947368418E-2</v>
      </c>
      <c r="Z548" s="35">
        <f>IF(Mecze[[#This Row],[KC]]=0,SUM(Mecze[[#This Row],[/BRI]:[/NPI]]),SUM(Mecze[[#This Row],[/BRI]:[/NPI]])*0.6)</f>
        <v>0.20789473684210524</v>
      </c>
      <c r="AA548" s="10">
        <f>IFERROR(Mecze[[#This Row],[BR]]/Mecze[[#This Row],[ST]],0)</f>
        <v>0</v>
      </c>
      <c r="AB548">
        <f>ROUND(Mecze[[#This Row],[PD]]*Mecze[[#This Row],[%PC]],0)</f>
        <v>0</v>
      </c>
      <c r="AC548">
        <f>ROUND(Mecze[[#This Row],[OD]]*Mecze[[#This Row],[%OU]],0)</f>
        <v>2</v>
      </c>
      <c r="AD548" s="41" t="s">
        <v>168</v>
      </c>
      <c r="AE548" s="36">
        <v>32</v>
      </c>
      <c r="AF548" s="71">
        <v>4.5599999999999996</v>
      </c>
      <c r="AG548" s="37">
        <v>0</v>
      </c>
      <c r="AH548" s="37">
        <v>0</v>
      </c>
      <c r="AI548" s="37">
        <v>95</v>
      </c>
      <c r="AJ548" s="37">
        <v>1</v>
      </c>
      <c r="AK548" s="37" t="str">
        <f>VLOOKUP(Mecze[[#This Row],[Match ID]],Meczusie[Mecz]:Meczusie[RodzajMeczu],2,FALSE)</f>
        <v>Liga</v>
      </c>
    </row>
    <row r="549" spans="1:37" x14ac:dyDescent="0.25">
      <c r="A549" s="76">
        <v>5</v>
      </c>
      <c r="B549" s="3" t="s">
        <v>161</v>
      </c>
      <c r="C549" s="2" t="s">
        <v>157</v>
      </c>
      <c r="D549" s="1">
        <v>0</v>
      </c>
      <c r="E549" s="1">
        <v>0</v>
      </c>
      <c r="F549" s="1">
        <v>0</v>
      </c>
      <c r="G549" s="1">
        <v>6</v>
      </c>
      <c r="H549" s="4">
        <v>0.83</v>
      </c>
      <c r="I549" s="1">
        <v>3</v>
      </c>
      <c r="J549" s="4">
        <v>0.67</v>
      </c>
      <c r="K549" s="1">
        <v>0</v>
      </c>
      <c r="L549" s="1">
        <v>8</v>
      </c>
      <c r="M549" s="32">
        <f>IF(Mecze[[#This Row],[PR]]=0,0,Mecze[[#This Row],[PR]]/Mecze[[#This Row],[CZAS]])</f>
        <v>8.4210526315789472E-2</v>
      </c>
      <c r="N549" s="32">
        <f>IF(Mecze[[#This Row],[OU]]=0,0,Mecze[[#This Row],[OU]]/Mecze[[#This Row],[CZAS]])</f>
        <v>2.1052631578947368E-2</v>
      </c>
      <c r="O549" s="32">
        <f>IF(Mecze[[#This Row],[PC]]=0,0,Mecze[[#This Row],[PC]]/Mecze[[#This Row],[CZAS]])</f>
        <v>5.2631578947368418E-2</v>
      </c>
      <c r="P549" s="32">
        <f>IF(Mecze[[#This Row],[SC]]=0,0,Mecze[[#This Row],[SC]]/Mecze[[#This Row],[CZAS]])</f>
        <v>0</v>
      </c>
      <c r="Q549" s="32">
        <f>IF(Mecze[[#This Row],[OB]]=0,0,Mecze[[#This Row],[OB]]/Mecze[[#This Row],[CZAS]])</f>
        <v>0</v>
      </c>
      <c r="R549" s="32">
        <f>IF(Mecze[[#This Row],[BR]]=0,0,Mecze[[#This Row],[BR]]/Mecze[[#This Row],[CZAS]])</f>
        <v>0</v>
      </c>
      <c r="S549" s="44">
        <f>IF(Mecze[[#This Row],[Role]]="BR",SUMPRODUCT(Mecze[[#This Row],[/PR:90]:[/BR:90]],Brudnopis!$E$23:$J$23),0)</f>
        <v>0</v>
      </c>
      <c r="T549" s="44">
        <f>IF(Mecze[[#This Row],[Role]]&lt;&gt;"BR",SUMPRODUCT(Mecze[[#This Row],[/PR:90]:[/BR:90]],Brudnopis!$E$24:$J$24),0)</f>
        <v>0.16842105263157894</v>
      </c>
      <c r="U549" s="44">
        <f>IF(Mecze[[#This Row],[Role]]&lt;&gt;"BR",SUMPRODUCT(Mecze[[#This Row],[/PR:90]:[/BR:90]],Brudnopis!$E$25:$J$25),0)</f>
        <v>0.18421052631578946</v>
      </c>
      <c r="V549" s="44">
        <f>IF(Mecze[[#This Row],[Role]]&lt;&gt;"BR",SUMPRODUCT(Mecze[[#This Row],[/PR:90]:[/BR:90]],Brudnopis!$E$26:$J$26),0)</f>
        <v>0.15789473684210525</v>
      </c>
      <c r="W549" s="44">
        <f>IF(Mecze[[#This Row],[Role]]&lt;&gt;"BR",SUMPRODUCT(Mecze[[#This Row],[/PR:90]:[/BR:90]],Brudnopis!$E$27:$J$27),0)</f>
        <v>0.15789473684210525</v>
      </c>
      <c r="X549" s="44">
        <f>IF(Mecze[[#This Row],[Role]]&lt;&gt;"BR",SUMPRODUCT(Mecze[[#This Row],[/PR:90]:[/BR:90]],Brudnopis!$E$28:$J$28),0)</f>
        <v>5.2631578947368418E-2</v>
      </c>
      <c r="Y549" s="35">
        <f>IF(Mecze[[#This Row],[Role]]="BR",Mecze[[#This Row],[/OB:90]]+Mecze[[#This Row],[/PC:90]],SUM(Mecze[[#This Row],[/PR:90]:[/BR:90]]))</f>
        <v>0.15789473684210525</v>
      </c>
      <c r="Z549" s="35">
        <f>IF(Mecze[[#This Row],[KC]]=0,SUM(Mecze[[#This Row],[/BRI]:[/NPI]]),SUM(Mecze[[#This Row],[/BRI]:[/NPI]])*0.6)</f>
        <v>0.72105263157894739</v>
      </c>
      <c r="AA549" s="10">
        <f>IFERROR(Mecze[[#This Row],[BR]]/Mecze[[#This Row],[ST]],0)</f>
        <v>0</v>
      </c>
      <c r="AB549">
        <f>ROUND(Mecze[[#This Row],[PD]]*Mecze[[#This Row],[%PC]],0)</f>
        <v>5</v>
      </c>
      <c r="AC549">
        <f>ROUND(Mecze[[#This Row],[OD]]*Mecze[[#This Row],[%OU]],0)</f>
        <v>2</v>
      </c>
      <c r="AD549" s="36" t="s">
        <v>167</v>
      </c>
      <c r="AE549" s="36">
        <v>32</v>
      </c>
      <c r="AF549" s="71">
        <v>5.61</v>
      </c>
      <c r="AG549" s="37">
        <v>0</v>
      </c>
      <c r="AH549" s="37">
        <v>0</v>
      </c>
      <c r="AI549" s="37">
        <v>95</v>
      </c>
      <c r="AJ549" s="37">
        <v>1</v>
      </c>
      <c r="AK549" s="37" t="str">
        <f>VLOOKUP(Mecze[[#This Row],[Match ID]],Meczusie[Mecz]:Meczusie[RodzajMeczu],2,FALSE)</f>
        <v>Liga</v>
      </c>
    </row>
    <row r="550" spans="1:37" x14ac:dyDescent="0.25">
      <c r="A550" s="76">
        <v>13</v>
      </c>
      <c r="B550" s="3" t="s">
        <v>162</v>
      </c>
      <c r="C550" s="2" t="s">
        <v>160</v>
      </c>
      <c r="D550" s="1">
        <v>0</v>
      </c>
      <c r="E550" s="1">
        <v>0</v>
      </c>
      <c r="F550" s="1">
        <v>0</v>
      </c>
      <c r="G550" s="1">
        <v>11</v>
      </c>
      <c r="H550" s="4">
        <v>0.73</v>
      </c>
      <c r="I550" s="1">
        <v>5</v>
      </c>
      <c r="J550" s="4">
        <v>0.8</v>
      </c>
      <c r="K550" s="1">
        <v>0</v>
      </c>
      <c r="L550" s="1">
        <v>2</v>
      </c>
      <c r="M550" s="32">
        <f>IF(Mecze[[#This Row],[PR]]=0,0,Mecze[[#This Row],[PR]]/Mecze[[#This Row],[CZAS]])</f>
        <v>2.1052631578947368E-2</v>
      </c>
      <c r="N550" s="32">
        <f>IF(Mecze[[#This Row],[OU]]=0,0,Mecze[[#This Row],[OU]]/Mecze[[#This Row],[CZAS]])</f>
        <v>4.2105263157894736E-2</v>
      </c>
      <c r="O550" s="32">
        <f>IF(Mecze[[#This Row],[PC]]=0,0,Mecze[[#This Row],[PC]]/Mecze[[#This Row],[CZAS]])</f>
        <v>8.4210526315789472E-2</v>
      </c>
      <c r="P550" s="32">
        <f>IF(Mecze[[#This Row],[SC]]=0,0,Mecze[[#This Row],[SC]]/Mecze[[#This Row],[CZAS]])</f>
        <v>0</v>
      </c>
      <c r="Q550" s="32">
        <f>IF(Mecze[[#This Row],[OB]]=0,0,Mecze[[#This Row],[OB]]/Mecze[[#This Row],[CZAS]])</f>
        <v>0</v>
      </c>
      <c r="R550" s="32">
        <f>IF(Mecze[[#This Row],[BR]]=0,0,Mecze[[#This Row],[BR]]/Mecze[[#This Row],[CZAS]])</f>
        <v>0</v>
      </c>
      <c r="S550" s="44">
        <f>IF(Mecze[[#This Row],[Role]]="BR",SUMPRODUCT(Mecze[[#This Row],[/PR:90]:[/BR:90]],Brudnopis!$E$23:$J$23),0)</f>
        <v>0</v>
      </c>
      <c r="T550" s="44">
        <f>IF(Mecze[[#This Row],[Role]]&lt;&gt;"BR",SUMPRODUCT(Mecze[[#This Row],[/PR:90]:[/BR:90]],Brudnopis!$E$24:$J$24),0)</f>
        <v>0.16842105263157894</v>
      </c>
      <c r="U550" s="44">
        <f>IF(Mecze[[#This Row],[Role]]&lt;&gt;"BR",SUMPRODUCT(Mecze[[#This Row],[/PR:90]:[/BR:90]],Brudnopis!$E$25:$J$25),0)</f>
        <v>0.18947368421052632</v>
      </c>
      <c r="V550" s="44">
        <f>IF(Mecze[[#This Row],[Role]]&lt;&gt;"BR",SUMPRODUCT(Mecze[[#This Row],[/PR:90]:[/BR:90]],Brudnopis!$E$26:$J$26),0)</f>
        <v>0.14736842105263159</v>
      </c>
      <c r="W550" s="44">
        <f>IF(Mecze[[#This Row],[Role]]&lt;&gt;"BR",SUMPRODUCT(Mecze[[#This Row],[/PR:90]:[/BR:90]],Brudnopis!$E$27:$J$27),0)</f>
        <v>0.1736842105263158</v>
      </c>
      <c r="X550" s="44">
        <f>IF(Mecze[[#This Row],[Role]]&lt;&gt;"BR",SUMPRODUCT(Mecze[[#This Row],[/PR:90]:[/BR:90]],Brudnopis!$E$28:$J$28),0)</f>
        <v>8.4210526315789472E-2</v>
      </c>
      <c r="Y550" s="35">
        <f>IF(Mecze[[#This Row],[Role]]="BR",Mecze[[#This Row],[/OB:90]]+Mecze[[#This Row],[/PC:90]],SUM(Mecze[[#This Row],[/PR:90]:[/BR:90]]))</f>
        <v>0.14736842105263159</v>
      </c>
      <c r="Z550" s="35">
        <f>IF(Mecze[[#This Row],[KC]]=0,SUM(Mecze[[#This Row],[/BRI]:[/NPI]]),SUM(Mecze[[#This Row],[/BRI]:[/NPI]])*0.6)</f>
        <v>0.76315789473684215</v>
      </c>
      <c r="AA550" s="10">
        <f>IFERROR(Mecze[[#This Row],[BR]]/Mecze[[#This Row],[ST]],0)</f>
        <v>0</v>
      </c>
      <c r="AB550">
        <f>ROUND(Mecze[[#This Row],[PD]]*Mecze[[#This Row],[%PC]],0)</f>
        <v>8</v>
      </c>
      <c r="AC550">
        <f>ROUND(Mecze[[#This Row],[OD]]*Mecze[[#This Row],[%OU]],0)</f>
        <v>4</v>
      </c>
      <c r="AD550" s="36" t="s">
        <v>41</v>
      </c>
      <c r="AE550" s="36">
        <v>32</v>
      </c>
      <c r="AF550" s="71">
        <v>5.55</v>
      </c>
      <c r="AG550" s="37">
        <v>0</v>
      </c>
      <c r="AH550" s="37">
        <v>0</v>
      </c>
      <c r="AI550" s="37">
        <v>95</v>
      </c>
      <c r="AJ550" s="37">
        <v>1</v>
      </c>
      <c r="AK550" s="37" t="str">
        <f>VLOOKUP(Mecze[[#This Row],[Match ID]],Meczusie[Mecz]:Meczusie[RodzajMeczu],2,FALSE)</f>
        <v>Liga</v>
      </c>
    </row>
    <row r="551" spans="1:37" x14ac:dyDescent="0.25">
      <c r="A551" s="76">
        <v>6</v>
      </c>
      <c r="B551" s="3" t="s">
        <v>159</v>
      </c>
      <c r="C551" s="2" t="s">
        <v>160</v>
      </c>
      <c r="D551" s="1">
        <v>0</v>
      </c>
      <c r="E551" s="1">
        <v>0</v>
      </c>
      <c r="F551" s="1">
        <v>0</v>
      </c>
      <c r="G551" s="1">
        <v>8</v>
      </c>
      <c r="H551" s="4">
        <v>0.75</v>
      </c>
      <c r="I551" s="1">
        <v>10</v>
      </c>
      <c r="J551" s="4">
        <v>0.7</v>
      </c>
      <c r="K551" s="1">
        <v>0</v>
      </c>
      <c r="L551" s="1">
        <v>4</v>
      </c>
      <c r="M551" s="32">
        <f>IF(Mecze[[#This Row],[PR]]=0,0,Mecze[[#This Row],[PR]]/Mecze[[#This Row],[CZAS]])</f>
        <v>4.2105263157894736E-2</v>
      </c>
      <c r="N551" s="32">
        <f>IF(Mecze[[#This Row],[OU]]=0,0,Mecze[[#This Row],[OU]]/Mecze[[#This Row],[CZAS]])</f>
        <v>7.3684210526315783E-2</v>
      </c>
      <c r="O551" s="32">
        <f>IF(Mecze[[#This Row],[PC]]=0,0,Mecze[[#This Row],[PC]]/Mecze[[#This Row],[CZAS]])</f>
        <v>6.3157894736842107E-2</v>
      </c>
      <c r="P551" s="32">
        <f>IF(Mecze[[#This Row],[SC]]=0,0,Mecze[[#This Row],[SC]]/Mecze[[#This Row],[CZAS]])</f>
        <v>0</v>
      </c>
      <c r="Q551" s="32">
        <f>IF(Mecze[[#This Row],[OB]]=0,0,Mecze[[#This Row],[OB]]/Mecze[[#This Row],[CZAS]])</f>
        <v>0</v>
      </c>
      <c r="R551" s="32">
        <f>IF(Mecze[[#This Row],[BR]]=0,0,Mecze[[#This Row],[BR]]/Mecze[[#This Row],[CZAS]])</f>
        <v>0</v>
      </c>
      <c r="S551" s="44">
        <f>IF(Mecze[[#This Row],[Role]]="BR",SUMPRODUCT(Mecze[[#This Row],[/PR:90]:[/BR:90]],Brudnopis!$E$23:$J$23),0)</f>
        <v>0</v>
      </c>
      <c r="T551" s="44">
        <f>IF(Mecze[[#This Row],[Role]]&lt;&gt;"BR",SUMPRODUCT(Mecze[[#This Row],[/PR:90]:[/BR:90]],Brudnopis!$E$24:$J$24),0)</f>
        <v>0.2157894736842105</v>
      </c>
      <c r="U551" s="44">
        <f>IF(Mecze[[#This Row],[Role]]&lt;&gt;"BR",SUMPRODUCT(Mecze[[#This Row],[/PR:90]:[/BR:90]],Brudnopis!$E$25:$J$25),0)</f>
        <v>0.21052631578947367</v>
      </c>
      <c r="V551" s="44">
        <f>IF(Mecze[[#This Row],[Role]]&lt;&gt;"BR",SUMPRODUCT(Mecze[[#This Row],[/PR:90]:[/BR:90]],Brudnopis!$E$26:$J$26),0)</f>
        <v>0.17894736842105263</v>
      </c>
      <c r="W551" s="44">
        <f>IF(Mecze[[#This Row],[Role]]&lt;&gt;"BR",SUMPRODUCT(Mecze[[#This Row],[/PR:90]:[/BR:90]],Brudnopis!$E$27:$J$27),0)</f>
        <v>0.18157894736842106</v>
      </c>
      <c r="X551" s="44">
        <f>IF(Mecze[[#This Row],[Role]]&lt;&gt;"BR",SUMPRODUCT(Mecze[[#This Row],[/PR:90]:[/BR:90]],Brudnopis!$E$28:$J$28),0)</f>
        <v>6.3157894736842107E-2</v>
      </c>
      <c r="Y551" s="35">
        <f>IF(Mecze[[#This Row],[Role]]="BR",Mecze[[#This Row],[/OB:90]]+Mecze[[#This Row],[/PC:90]],SUM(Mecze[[#This Row],[/PR:90]:[/BR:90]]))</f>
        <v>0.17894736842105263</v>
      </c>
      <c r="Z551" s="35">
        <f>IF(Mecze[[#This Row],[KC]]=0,SUM(Mecze[[#This Row],[/BRI]:[/NPI]]),SUM(Mecze[[#This Row],[/BRI]:[/NPI]])*0.6)</f>
        <v>0.85</v>
      </c>
      <c r="AA551" s="10">
        <f>IFERROR(Mecze[[#This Row],[BR]]/Mecze[[#This Row],[ST]],0)</f>
        <v>0</v>
      </c>
      <c r="AB551">
        <f>ROUND(Mecze[[#This Row],[PD]]*Mecze[[#This Row],[%PC]],0)</f>
        <v>6</v>
      </c>
      <c r="AC551">
        <f>ROUND(Mecze[[#This Row],[OD]]*Mecze[[#This Row],[%OU]],0)</f>
        <v>7</v>
      </c>
      <c r="AD551" s="36" t="s">
        <v>41</v>
      </c>
      <c r="AE551" s="36">
        <v>32</v>
      </c>
      <c r="AF551" s="71">
        <v>5.97</v>
      </c>
      <c r="AG551" s="37">
        <v>0</v>
      </c>
      <c r="AH551" s="37">
        <v>0</v>
      </c>
      <c r="AI551" s="37">
        <v>95</v>
      </c>
      <c r="AJ551" s="37">
        <v>1</v>
      </c>
      <c r="AK551" s="37" t="str">
        <f>VLOOKUP(Mecze[[#This Row],[Match ID]],Meczusie[Mecz]:Meczusie[RodzajMeczu],2,FALSE)</f>
        <v>Liga</v>
      </c>
    </row>
    <row r="552" spans="1:37" x14ac:dyDescent="0.25">
      <c r="A552" s="76">
        <v>15</v>
      </c>
      <c r="B552" s="3" t="s">
        <v>170</v>
      </c>
      <c r="C552" s="2" t="s">
        <v>160</v>
      </c>
      <c r="D552" s="1">
        <v>0</v>
      </c>
      <c r="E552" s="1">
        <v>1</v>
      </c>
      <c r="F552" s="1">
        <v>0</v>
      </c>
      <c r="G552" s="1">
        <v>11</v>
      </c>
      <c r="H552" s="4">
        <v>0.73</v>
      </c>
      <c r="I552" s="1">
        <v>4</v>
      </c>
      <c r="J552" s="4">
        <v>0.75</v>
      </c>
      <c r="K552" s="1">
        <v>0</v>
      </c>
      <c r="L552" s="1">
        <v>1</v>
      </c>
      <c r="M552" s="32">
        <f>IF(Mecze[[#This Row],[PR]]=0,0,Mecze[[#This Row],[PR]]/Mecze[[#This Row],[CZAS]])</f>
        <v>1.0526315789473684E-2</v>
      </c>
      <c r="N552" s="32">
        <f>IF(Mecze[[#This Row],[OU]]=0,0,Mecze[[#This Row],[OU]]/Mecze[[#This Row],[CZAS]])</f>
        <v>3.1578947368421054E-2</v>
      </c>
      <c r="O552" s="32">
        <f>IF(Mecze[[#This Row],[PC]]=0,0,Mecze[[#This Row],[PC]]/Mecze[[#This Row],[CZAS]])</f>
        <v>8.4210526315789472E-2</v>
      </c>
      <c r="P552" s="32">
        <f>IF(Mecze[[#This Row],[SC]]=0,0,Mecze[[#This Row],[SC]]/Mecze[[#This Row],[CZAS]])</f>
        <v>0</v>
      </c>
      <c r="Q552" s="32">
        <f>IF(Mecze[[#This Row],[OB]]=0,0,Mecze[[#This Row],[OB]]/Mecze[[#This Row],[CZAS]])</f>
        <v>0</v>
      </c>
      <c r="R552" s="32">
        <f>IF(Mecze[[#This Row],[BR]]=0,0,Mecze[[#This Row],[BR]]/Mecze[[#This Row],[CZAS]])</f>
        <v>0</v>
      </c>
      <c r="S552" s="44">
        <f>IF(Mecze[[#This Row],[Role]]="BR",SUMPRODUCT(Mecze[[#This Row],[/PR:90]:[/BR:90]],Brudnopis!$E$23:$J$23),0)</f>
        <v>0</v>
      </c>
      <c r="T552" s="44">
        <f>IF(Mecze[[#This Row],[Role]]&lt;&gt;"BR",SUMPRODUCT(Mecze[[#This Row],[/PR:90]:[/BR:90]],Brudnopis!$E$24:$J$24),0)</f>
        <v>0.14210526315789473</v>
      </c>
      <c r="U552" s="44">
        <f>IF(Mecze[[#This Row],[Role]]&lt;&gt;"BR",SUMPRODUCT(Mecze[[#This Row],[/PR:90]:[/BR:90]],Brudnopis!$E$25:$J$25),0)</f>
        <v>0.16842105263157894</v>
      </c>
      <c r="V552" s="44">
        <f>IF(Mecze[[#This Row],[Role]]&lt;&gt;"BR",SUMPRODUCT(Mecze[[#This Row],[/PR:90]:[/BR:90]],Brudnopis!$E$26:$J$26),0)</f>
        <v>0.12631578947368421</v>
      </c>
      <c r="W552" s="44">
        <f>IF(Mecze[[#This Row],[Role]]&lt;&gt;"BR",SUMPRODUCT(Mecze[[#This Row],[/PR:90]:[/BR:90]],Brudnopis!$E$27:$J$27),0)</f>
        <v>0.15789473684210525</v>
      </c>
      <c r="X552" s="44">
        <f>IF(Mecze[[#This Row],[Role]]&lt;&gt;"BR",SUMPRODUCT(Mecze[[#This Row],[/PR:90]:[/BR:90]],Brudnopis!$E$28:$J$28),0)</f>
        <v>8.4210526315789472E-2</v>
      </c>
      <c r="Y552" s="35">
        <f>IF(Mecze[[#This Row],[Role]]="BR",Mecze[[#This Row],[/OB:90]]+Mecze[[#This Row],[/PC:90]],SUM(Mecze[[#This Row],[/PR:90]:[/BR:90]]))</f>
        <v>0.12631578947368421</v>
      </c>
      <c r="Z552" s="35">
        <f>IF(Mecze[[#This Row],[KC]]=0,SUM(Mecze[[#This Row],[/BRI]:[/NPI]]),SUM(Mecze[[#This Row],[/BRI]:[/NPI]])*0.6)</f>
        <v>0.67894736842105263</v>
      </c>
      <c r="AA552" s="10">
        <f>IFERROR(Mecze[[#This Row],[BR]]/Mecze[[#This Row],[ST]],0)</f>
        <v>0</v>
      </c>
      <c r="AB552">
        <f>ROUND(Mecze[[#This Row],[PD]]*Mecze[[#This Row],[%PC]],0)</f>
        <v>8</v>
      </c>
      <c r="AC552">
        <f>ROUND(Mecze[[#This Row],[OD]]*Mecze[[#This Row],[%OU]],0)</f>
        <v>3</v>
      </c>
      <c r="AD552" s="36" t="s">
        <v>67</v>
      </c>
      <c r="AE552" s="36">
        <v>32</v>
      </c>
      <c r="AF552" s="71">
        <v>5.34</v>
      </c>
      <c r="AG552" s="37">
        <v>0</v>
      </c>
      <c r="AH552" s="37">
        <v>0</v>
      </c>
      <c r="AI552" s="37">
        <v>95</v>
      </c>
      <c r="AJ552" s="37">
        <v>1</v>
      </c>
      <c r="AK552" s="37" t="str">
        <f>VLOOKUP(Mecze[[#This Row],[Match ID]],Meczusie[Mecz]:Meczusie[RodzajMeczu],2,FALSE)</f>
        <v>Liga</v>
      </c>
    </row>
    <row r="553" spans="1:37" x14ac:dyDescent="0.25">
      <c r="A553" s="76">
        <v>14</v>
      </c>
      <c r="B553" s="3" t="s">
        <v>164</v>
      </c>
      <c r="C553" s="2" t="s">
        <v>160</v>
      </c>
      <c r="D553" s="1">
        <v>2</v>
      </c>
      <c r="E553" s="1">
        <v>3</v>
      </c>
      <c r="F553" s="1">
        <v>3</v>
      </c>
      <c r="G553" s="1">
        <v>9</v>
      </c>
      <c r="H553" s="4">
        <v>0.78</v>
      </c>
      <c r="I553" s="1">
        <v>4</v>
      </c>
      <c r="J553" s="4">
        <v>0.75</v>
      </c>
      <c r="K553" s="1">
        <v>0</v>
      </c>
      <c r="L553" s="1">
        <v>1</v>
      </c>
      <c r="M553" s="32">
        <f>IF(Mecze[[#This Row],[PR]]=0,0,Mecze[[#This Row],[PR]]/Mecze[[#This Row],[CZAS]])</f>
        <v>1.0526315789473684E-2</v>
      </c>
      <c r="N553" s="32">
        <f>IF(Mecze[[#This Row],[OU]]=0,0,Mecze[[#This Row],[OU]]/Mecze[[#This Row],[CZAS]])</f>
        <v>3.1578947368421054E-2</v>
      </c>
      <c r="O553" s="32">
        <f>IF(Mecze[[#This Row],[PC]]=0,0,Mecze[[#This Row],[PC]]/Mecze[[#This Row],[CZAS]])</f>
        <v>7.3684210526315783E-2</v>
      </c>
      <c r="P553" s="32">
        <f>IF(Mecze[[#This Row],[SC]]=0,0,Mecze[[#This Row],[SC]]/Mecze[[#This Row],[CZAS]])</f>
        <v>3.1578947368421054E-2</v>
      </c>
      <c r="Q553" s="32">
        <f>IF(Mecze[[#This Row],[OB]]=0,0,Mecze[[#This Row],[OB]]/Mecze[[#This Row],[CZAS]])</f>
        <v>0</v>
      </c>
      <c r="R553" s="32">
        <f>IF(Mecze[[#This Row],[BR]]=0,0,Mecze[[#This Row],[BR]]/Mecze[[#This Row],[CZAS]])</f>
        <v>2.1052631578947368E-2</v>
      </c>
      <c r="S553" s="44">
        <f>IF(Mecze[[#This Row],[Role]]="BR",SUMPRODUCT(Mecze[[#This Row],[/PR:90]:[/BR:90]],Brudnopis!$E$23:$J$23),0)</f>
        <v>0</v>
      </c>
      <c r="T553" s="44">
        <f>IF(Mecze[[#This Row],[Role]]&lt;&gt;"BR",SUMPRODUCT(Mecze[[#This Row],[/PR:90]:[/BR:90]],Brudnopis!$E$24:$J$24),0)</f>
        <v>0.19473684210526315</v>
      </c>
      <c r="U553" s="44">
        <f>IF(Mecze[[#This Row],[Role]]&lt;&gt;"BR",SUMPRODUCT(Mecze[[#This Row],[/PR:90]:[/BR:90]],Brudnopis!$E$25:$J$25),0)</f>
        <v>0.21578947368421048</v>
      </c>
      <c r="V553" s="44">
        <f>IF(Mecze[[#This Row],[Role]]&lt;&gt;"BR",SUMPRODUCT(Mecze[[#This Row],[/PR:90]:[/BR:90]],Brudnopis!$E$26:$J$26),0)</f>
        <v>0.18947368421052632</v>
      </c>
      <c r="W553" s="44">
        <f>IF(Mecze[[#This Row],[Role]]&lt;&gt;"BR",SUMPRODUCT(Mecze[[#This Row],[/PR:90]:[/BR:90]],Brudnopis!$E$27:$J$27),0)</f>
        <v>0.2157894736842105</v>
      </c>
      <c r="X553" s="44">
        <f>IF(Mecze[[#This Row],[Role]]&lt;&gt;"BR",SUMPRODUCT(Mecze[[#This Row],[/PR:90]:[/BR:90]],Brudnopis!$E$28:$J$28),0)</f>
        <v>0.19999999999999998</v>
      </c>
      <c r="Y553" s="35">
        <f>IF(Mecze[[#This Row],[Role]]="BR",Mecze[[#This Row],[/OB:90]]+Mecze[[#This Row],[/PC:90]],SUM(Mecze[[#This Row],[/PR:90]:[/BR:90]]))</f>
        <v>0.16842105263157897</v>
      </c>
      <c r="Z553" s="35">
        <f>IF(Mecze[[#This Row],[KC]]=0,SUM(Mecze[[#This Row],[/BRI]:[/NPI]]),SUM(Mecze[[#This Row],[/BRI]:[/NPI]])*0.6)</f>
        <v>1.0157894736842106</v>
      </c>
      <c r="AA553" s="10">
        <f>IFERROR(Mecze[[#This Row],[BR]]/Mecze[[#This Row],[ST]],0)</f>
        <v>0.66666666666666663</v>
      </c>
      <c r="AB553">
        <f>ROUND(Mecze[[#This Row],[PD]]*Mecze[[#This Row],[%PC]],0)</f>
        <v>7</v>
      </c>
      <c r="AC553">
        <f>ROUND(Mecze[[#This Row],[OD]]*Mecze[[#This Row],[%OU]],0)</f>
        <v>3</v>
      </c>
      <c r="AD553" s="36" t="s">
        <v>44</v>
      </c>
      <c r="AE553" s="36">
        <v>32</v>
      </c>
      <c r="AF553" s="71">
        <v>10.25</v>
      </c>
      <c r="AG553" s="37">
        <v>0</v>
      </c>
      <c r="AH553" s="37">
        <v>0</v>
      </c>
      <c r="AI553" s="37">
        <v>95</v>
      </c>
      <c r="AJ553" s="37">
        <v>1</v>
      </c>
      <c r="AK553" s="37" t="str">
        <f>VLOOKUP(Mecze[[#This Row],[Match ID]],Meczusie[Mecz]:Meczusie[RodzajMeczu],2,FALSE)</f>
        <v>Liga</v>
      </c>
    </row>
    <row r="554" spans="1:37" x14ac:dyDescent="0.25">
      <c r="A554" s="76">
        <v>8</v>
      </c>
      <c r="B554" s="3" t="s">
        <v>154</v>
      </c>
      <c r="C554" s="2" t="s">
        <v>160</v>
      </c>
      <c r="D554" s="1">
        <v>0</v>
      </c>
      <c r="E554" s="1">
        <v>1</v>
      </c>
      <c r="F554" s="1">
        <v>0</v>
      </c>
      <c r="G554" s="1">
        <v>5</v>
      </c>
      <c r="H554" s="4">
        <v>0.6</v>
      </c>
      <c r="I554" s="1">
        <v>0</v>
      </c>
      <c r="J554" s="4"/>
      <c r="K554" s="1">
        <v>0</v>
      </c>
      <c r="L554" s="1">
        <v>2</v>
      </c>
      <c r="M554" s="32">
        <f>IF(Mecze[[#This Row],[PR]]=0,0,Mecze[[#This Row],[PR]]/Mecze[[#This Row],[CZAS]])</f>
        <v>2.1052631578947368E-2</v>
      </c>
      <c r="N554" s="32">
        <f>IF(Mecze[[#This Row],[OU]]=0,0,Mecze[[#This Row],[OU]]/Mecze[[#This Row],[CZAS]])</f>
        <v>0</v>
      </c>
      <c r="O554" s="32">
        <f>IF(Mecze[[#This Row],[PC]]=0,0,Mecze[[#This Row],[PC]]/Mecze[[#This Row],[CZAS]])</f>
        <v>3.1578947368421054E-2</v>
      </c>
      <c r="P554" s="32">
        <f>IF(Mecze[[#This Row],[SC]]=0,0,Mecze[[#This Row],[SC]]/Mecze[[#This Row],[CZAS]])</f>
        <v>0</v>
      </c>
      <c r="Q554" s="32">
        <f>IF(Mecze[[#This Row],[OB]]=0,0,Mecze[[#This Row],[OB]]/Mecze[[#This Row],[CZAS]])</f>
        <v>0</v>
      </c>
      <c r="R554" s="32">
        <f>IF(Mecze[[#This Row],[BR]]=0,0,Mecze[[#This Row],[BR]]/Mecze[[#This Row],[CZAS]])</f>
        <v>0</v>
      </c>
      <c r="S554" s="44">
        <f>IF(Mecze[[#This Row],[Role]]="BR",SUMPRODUCT(Mecze[[#This Row],[/PR:90]:[/BR:90]],Brudnopis!$E$23:$J$23),0)</f>
        <v>0</v>
      </c>
      <c r="T554" s="44">
        <f>IF(Mecze[[#This Row],[Role]]&lt;&gt;"BR",SUMPRODUCT(Mecze[[#This Row],[/PR:90]:[/BR:90]],Brudnopis!$E$24:$J$24),0)</f>
        <v>5.2631578947368418E-2</v>
      </c>
      <c r="U554" s="44">
        <f>IF(Mecze[[#This Row],[Role]]&lt;&gt;"BR",SUMPRODUCT(Mecze[[#This Row],[/PR:90]:[/BR:90]],Brudnopis!$E$25:$J$25),0)</f>
        <v>6.8421052631578952E-2</v>
      </c>
      <c r="V554" s="44">
        <f>IF(Mecze[[#This Row],[Role]]&lt;&gt;"BR",SUMPRODUCT(Mecze[[#This Row],[/PR:90]:[/BR:90]],Brudnopis!$E$26:$J$26),0)</f>
        <v>5.2631578947368418E-2</v>
      </c>
      <c r="W554" s="44">
        <f>IF(Mecze[[#This Row],[Role]]&lt;&gt;"BR",SUMPRODUCT(Mecze[[#This Row],[/PR:90]:[/BR:90]],Brudnopis!$E$27:$J$27),0)</f>
        <v>6.3157894736842107E-2</v>
      </c>
      <c r="X554" s="44">
        <f>IF(Mecze[[#This Row],[Role]]&lt;&gt;"BR",SUMPRODUCT(Mecze[[#This Row],[/PR:90]:[/BR:90]],Brudnopis!$E$28:$J$28),0)</f>
        <v>3.1578947368421054E-2</v>
      </c>
      <c r="Y554" s="35">
        <f>IF(Mecze[[#This Row],[Role]]="BR",Mecze[[#This Row],[/OB:90]]+Mecze[[#This Row],[/PC:90]],SUM(Mecze[[#This Row],[/PR:90]:[/BR:90]]))</f>
        <v>5.2631578947368418E-2</v>
      </c>
      <c r="Z554" s="35">
        <f>IF(Mecze[[#This Row],[KC]]=0,SUM(Mecze[[#This Row],[/BRI]:[/NPI]]),SUM(Mecze[[#This Row],[/BRI]:[/NPI]])*0.6)</f>
        <v>0.26842105263157895</v>
      </c>
      <c r="AA554" s="10">
        <f>IFERROR(Mecze[[#This Row],[BR]]/Mecze[[#This Row],[ST]],0)</f>
        <v>0</v>
      </c>
      <c r="AB554">
        <f>ROUND(Mecze[[#This Row],[PD]]*Mecze[[#This Row],[%PC]],0)</f>
        <v>3</v>
      </c>
      <c r="AC554">
        <f>ROUND(Mecze[[#This Row],[OD]]*Mecze[[#This Row],[%OU]],0)</f>
        <v>0</v>
      </c>
      <c r="AD554" s="36" t="s">
        <v>44</v>
      </c>
      <c r="AE554" s="36">
        <v>32</v>
      </c>
      <c r="AF554" s="71">
        <v>5.55</v>
      </c>
      <c r="AG554" s="37">
        <v>0</v>
      </c>
      <c r="AH554" s="37">
        <v>0</v>
      </c>
      <c r="AI554" s="37">
        <v>95</v>
      </c>
      <c r="AJ554" s="37">
        <v>1</v>
      </c>
      <c r="AK554" s="37" t="str">
        <f>VLOOKUP(Mecze[[#This Row],[Match ID]],Meczusie[Mecz]:Meczusie[RodzajMeczu],2,FALSE)</f>
        <v>Liga</v>
      </c>
    </row>
    <row r="555" spans="1:37" x14ac:dyDescent="0.25">
      <c r="A555" s="76">
        <v>9</v>
      </c>
      <c r="B555" s="3" t="s">
        <v>411</v>
      </c>
      <c r="C555" s="2" t="s">
        <v>165</v>
      </c>
      <c r="D555" s="1">
        <v>1</v>
      </c>
      <c r="E555" s="1">
        <v>5</v>
      </c>
      <c r="F555" s="1">
        <v>5</v>
      </c>
      <c r="G555" s="1">
        <v>5</v>
      </c>
      <c r="H555" s="4">
        <v>0.4</v>
      </c>
      <c r="I555" s="1">
        <v>3</v>
      </c>
      <c r="J555" s="4">
        <v>0.33</v>
      </c>
      <c r="K555" s="1">
        <v>0</v>
      </c>
      <c r="L555" s="1">
        <v>0</v>
      </c>
      <c r="M555" s="32">
        <f>IF(Mecze[[#This Row],[PR]]=0,0,Mecze[[#This Row],[PR]]/Mecze[[#This Row],[CZAS]])</f>
        <v>0</v>
      </c>
      <c r="N555" s="32">
        <f>IF(Mecze[[#This Row],[OU]]=0,0,Mecze[[#This Row],[OU]]/Mecze[[#This Row],[CZAS]])</f>
        <v>1.0526315789473684E-2</v>
      </c>
      <c r="O555" s="32">
        <f>IF(Mecze[[#This Row],[PC]]=0,0,Mecze[[#This Row],[PC]]/Mecze[[#This Row],[CZAS]])</f>
        <v>2.1052631578947368E-2</v>
      </c>
      <c r="P555" s="32">
        <f>IF(Mecze[[#This Row],[SC]]=0,0,Mecze[[#This Row],[SC]]/Mecze[[#This Row],[CZAS]])</f>
        <v>5.2631578947368418E-2</v>
      </c>
      <c r="Q555" s="32">
        <f>IF(Mecze[[#This Row],[OB]]=0,0,Mecze[[#This Row],[OB]]/Mecze[[#This Row],[CZAS]])</f>
        <v>0</v>
      </c>
      <c r="R555" s="32">
        <f>IF(Mecze[[#This Row],[BR]]=0,0,Mecze[[#This Row],[BR]]/Mecze[[#This Row],[CZAS]])</f>
        <v>1.0526315789473684E-2</v>
      </c>
      <c r="S555" s="44">
        <f>IF(Mecze[[#This Row],[Role]]="BR",SUMPRODUCT(Mecze[[#This Row],[/PR:90]:[/BR:90]],Brudnopis!$E$23:$J$23),0)</f>
        <v>0</v>
      </c>
      <c r="T555" s="44">
        <f>IF(Mecze[[#This Row],[Role]]&lt;&gt;"BR",SUMPRODUCT(Mecze[[#This Row],[/PR:90]:[/BR:90]],Brudnopis!$E$24:$J$24),0)</f>
        <v>0.10526315789473684</v>
      </c>
      <c r="U555" s="44">
        <f>IF(Mecze[[#This Row],[Role]]&lt;&gt;"BR",SUMPRODUCT(Mecze[[#This Row],[/PR:90]:[/BR:90]],Brudnopis!$E$25:$J$25),0)</f>
        <v>0.11052631578947367</v>
      </c>
      <c r="V555" s="44">
        <f>IF(Mecze[[#This Row],[Role]]&lt;&gt;"BR",SUMPRODUCT(Mecze[[#This Row],[/PR:90]:[/BR:90]],Brudnopis!$E$26:$J$26),0)</f>
        <v>0.10526315789473684</v>
      </c>
      <c r="W555" s="44">
        <f>IF(Mecze[[#This Row],[Role]]&lt;&gt;"BR",SUMPRODUCT(Mecze[[#This Row],[/PR:90]:[/BR:90]],Brudnopis!$E$27:$J$27),0)</f>
        <v>0.1131578947368421</v>
      </c>
      <c r="X555" s="44">
        <f>IF(Mecze[[#This Row],[Role]]&lt;&gt;"BR",SUMPRODUCT(Mecze[[#This Row],[/PR:90]:[/BR:90]],Brudnopis!$E$28:$J$28),0)</f>
        <v>0.15789473684210525</v>
      </c>
      <c r="Y555" s="35">
        <f>IF(Mecze[[#This Row],[Role]]="BR",Mecze[[#This Row],[/OB:90]]+Mecze[[#This Row],[/PC:90]],SUM(Mecze[[#This Row],[/PR:90]:[/BR:90]]))</f>
        <v>9.4736842105263161E-2</v>
      </c>
      <c r="Z555" s="35">
        <f>IF(Mecze[[#This Row],[KC]]=0,SUM(Mecze[[#This Row],[/BRI]:[/NPI]]),SUM(Mecze[[#This Row],[/BRI]:[/NPI]])*0.6)</f>
        <v>0.59210526315789469</v>
      </c>
      <c r="AA555" s="10">
        <f>IFERROR(Mecze[[#This Row],[BR]]/Mecze[[#This Row],[ST]],0)</f>
        <v>0.2</v>
      </c>
      <c r="AB555">
        <f>ROUND(Mecze[[#This Row],[PD]]*Mecze[[#This Row],[%PC]],0)</f>
        <v>2</v>
      </c>
      <c r="AC555">
        <f>ROUND(Mecze[[#This Row],[OD]]*Mecze[[#This Row],[%OU]],0)</f>
        <v>1</v>
      </c>
      <c r="AD555" s="36" t="s">
        <v>46</v>
      </c>
      <c r="AE555" s="36">
        <v>32</v>
      </c>
      <c r="AF555" s="71">
        <v>7.33</v>
      </c>
      <c r="AG555" s="37">
        <v>0</v>
      </c>
      <c r="AH555" s="37">
        <v>0</v>
      </c>
      <c r="AI555" s="37">
        <v>95</v>
      </c>
      <c r="AJ555" s="37">
        <v>1</v>
      </c>
      <c r="AK555" s="37" t="str">
        <f>VLOOKUP(Mecze[[#This Row],[Match ID]],Meczusie[Mecz]:Meczusie[RodzajMeczu],2,FALSE)</f>
        <v>Liga</v>
      </c>
    </row>
    <row r="556" spans="1:37" x14ac:dyDescent="0.25">
      <c r="A556" s="76">
        <v>19</v>
      </c>
      <c r="B556" s="3" t="s">
        <v>166</v>
      </c>
      <c r="C556" s="2" t="s">
        <v>165</v>
      </c>
      <c r="D556" s="1">
        <v>2</v>
      </c>
      <c r="E556" s="1">
        <v>5</v>
      </c>
      <c r="F556" s="1">
        <v>5</v>
      </c>
      <c r="G556" s="1">
        <v>4</v>
      </c>
      <c r="H556" s="4">
        <v>0.5</v>
      </c>
      <c r="I556" s="1">
        <v>3</v>
      </c>
      <c r="J556" s="4">
        <v>0</v>
      </c>
      <c r="K556" s="1">
        <v>0</v>
      </c>
      <c r="L556" s="1">
        <v>0</v>
      </c>
      <c r="M556" s="32">
        <f>IF(Mecze[[#This Row],[PR]]=0,0,Mecze[[#This Row],[PR]]/Mecze[[#This Row],[CZAS]])</f>
        <v>0</v>
      </c>
      <c r="N556" s="32">
        <f>IF(Mecze[[#This Row],[OU]]=0,0,Mecze[[#This Row],[OU]]/Mecze[[#This Row],[CZAS]])</f>
        <v>0</v>
      </c>
      <c r="O556" s="32">
        <f>IF(Mecze[[#This Row],[PC]]=0,0,Mecze[[#This Row],[PC]]/Mecze[[#This Row],[CZAS]])</f>
        <v>2.1052631578947368E-2</v>
      </c>
      <c r="P556" s="32">
        <f>IF(Mecze[[#This Row],[SC]]=0,0,Mecze[[#This Row],[SC]]/Mecze[[#This Row],[CZAS]])</f>
        <v>5.2631578947368418E-2</v>
      </c>
      <c r="Q556" s="32">
        <f>IF(Mecze[[#This Row],[OB]]=0,0,Mecze[[#This Row],[OB]]/Mecze[[#This Row],[CZAS]])</f>
        <v>0</v>
      </c>
      <c r="R556" s="32">
        <f>IF(Mecze[[#This Row],[BR]]=0,0,Mecze[[#This Row],[BR]]/Mecze[[#This Row],[CZAS]])</f>
        <v>2.1052631578947368E-2</v>
      </c>
      <c r="S556" s="44">
        <f>IF(Mecze[[#This Row],[Role]]="BR",SUMPRODUCT(Mecze[[#This Row],[/PR:90]:[/BR:90]],Brudnopis!$E$23:$J$23),0)</f>
        <v>0</v>
      </c>
      <c r="T556" s="44">
        <f>IF(Mecze[[#This Row],[Role]]&lt;&gt;"BR",SUMPRODUCT(Mecze[[#This Row],[/PR:90]:[/BR:90]],Brudnopis!$E$24:$J$24),0)</f>
        <v>0.10526315789473684</v>
      </c>
      <c r="U556" s="44">
        <f>IF(Mecze[[#This Row],[Role]]&lt;&gt;"BR",SUMPRODUCT(Mecze[[#This Row],[/PR:90]:[/BR:90]],Brudnopis!$E$25:$J$25),0)</f>
        <v>0.11578947368421053</v>
      </c>
      <c r="V556" s="44">
        <f>IF(Mecze[[#This Row],[Role]]&lt;&gt;"BR",SUMPRODUCT(Mecze[[#This Row],[/PR:90]:[/BR:90]],Brudnopis!$E$26:$J$26),0)</f>
        <v>0.11578947368421053</v>
      </c>
      <c r="W556" s="44">
        <f>IF(Mecze[[#This Row],[Role]]&lt;&gt;"BR",SUMPRODUCT(Mecze[[#This Row],[/PR:90]:[/BR:90]],Brudnopis!$E$27:$J$27),0)</f>
        <v>0.12631578947368421</v>
      </c>
      <c r="X556" s="44">
        <f>IF(Mecze[[#This Row],[Role]]&lt;&gt;"BR",SUMPRODUCT(Mecze[[#This Row],[/PR:90]:[/BR:90]],Brudnopis!$E$28:$J$28),0)</f>
        <v>0.18947368421052632</v>
      </c>
      <c r="Y556" s="35">
        <f>IF(Mecze[[#This Row],[Role]]="BR",Mecze[[#This Row],[/OB:90]]+Mecze[[#This Row],[/PC:90]],SUM(Mecze[[#This Row],[/PR:90]:[/BR:90]]))</f>
        <v>9.4736842105263147E-2</v>
      </c>
      <c r="Z556" s="35">
        <f>IF(Mecze[[#This Row],[KC]]=0,SUM(Mecze[[#This Row],[/BRI]:[/NPI]]),SUM(Mecze[[#This Row],[/BRI]:[/NPI]])*0.6)</f>
        <v>0.65263157894736845</v>
      </c>
      <c r="AA556" s="10">
        <f>IFERROR(Mecze[[#This Row],[BR]]/Mecze[[#This Row],[ST]],0)</f>
        <v>0.4</v>
      </c>
      <c r="AB556">
        <f>ROUND(Mecze[[#This Row],[PD]]*Mecze[[#This Row],[%PC]],0)</f>
        <v>2</v>
      </c>
      <c r="AC556">
        <f>ROUND(Mecze[[#This Row],[OD]]*Mecze[[#This Row],[%OU]],0)</f>
        <v>0</v>
      </c>
      <c r="AD556" s="36" t="s">
        <v>46</v>
      </c>
      <c r="AE556" s="36">
        <v>32</v>
      </c>
      <c r="AF556" s="71">
        <v>9.6300000000000008</v>
      </c>
      <c r="AG556" s="37">
        <v>0</v>
      </c>
      <c r="AH556" s="37">
        <v>0</v>
      </c>
      <c r="AI556" s="37">
        <v>95</v>
      </c>
      <c r="AJ556" s="37">
        <v>1</v>
      </c>
      <c r="AK556" s="37" t="str">
        <f>VLOOKUP(Mecze[[#This Row],[Match ID]],Meczusie[Mecz]:Meczusie[RodzajMeczu],2,FALSE)</f>
        <v>Liga</v>
      </c>
    </row>
    <row r="557" spans="1:37" x14ac:dyDescent="0.25">
      <c r="A557" s="76">
        <v>1</v>
      </c>
      <c r="B557" s="3" t="s">
        <v>304</v>
      </c>
      <c r="C557" s="2" t="s">
        <v>155</v>
      </c>
      <c r="D557" s="1">
        <v>0</v>
      </c>
      <c r="E557" s="1">
        <v>0</v>
      </c>
      <c r="F557" s="1">
        <v>0</v>
      </c>
      <c r="G557" s="1">
        <v>9</v>
      </c>
      <c r="H557" s="4">
        <v>0.67</v>
      </c>
      <c r="I557" s="1">
        <v>0</v>
      </c>
      <c r="J557" s="4"/>
      <c r="K557" s="1">
        <v>8</v>
      </c>
      <c r="L557" s="1">
        <v>0</v>
      </c>
      <c r="M557" s="32">
        <f>IF(Mecze[[#This Row],[PR]]=0,0,Mecze[[#This Row],[PR]]/Mecze[[#This Row],[CZAS]])</f>
        <v>0</v>
      </c>
      <c r="N557" s="32">
        <f>IF(Mecze[[#This Row],[OU]]=0,0,Mecze[[#This Row],[OU]]/Mecze[[#This Row],[CZAS]])</f>
        <v>0</v>
      </c>
      <c r="O557" s="32">
        <f>IF(Mecze[[#This Row],[PC]]=0,0,Mecze[[#This Row],[PC]]/Mecze[[#This Row],[CZAS]])</f>
        <v>6.3157894736842107E-2</v>
      </c>
      <c r="P557" s="32">
        <f>IF(Mecze[[#This Row],[SC]]=0,0,Mecze[[#This Row],[SC]]/Mecze[[#This Row],[CZAS]])</f>
        <v>0</v>
      </c>
      <c r="Q557" s="32">
        <f>IF(Mecze[[#This Row],[OB]]=0,0,Mecze[[#This Row],[OB]]/Mecze[[#This Row],[CZAS]])</f>
        <v>8.4210526315789472E-2</v>
      </c>
      <c r="R557" s="32">
        <f>IF(Mecze[[#This Row],[BR]]=0,0,Mecze[[#This Row],[BR]]/Mecze[[#This Row],[CZAS]])</f>
        <v>0</v>
      </c>
      <c r="S557" s="44">
        <f>IF(Mecze[[#This Row],[Role]]="BR",SUMPRODUCT(Mecze[[#This Row],[/PR:90]:[/BR:90]],Brudnopis!$E$23:$J$23),0)</f>
        <v>0.44210526315789478</v>
      </c>
      <c r="T557" s="44">
        <f>IF(Mecze[[#This Row],[Role]]&lt;&gt;"BR",SUMPRODUCT(Mecze[[#This Row],[/PR:90]:[/BR:90]],Brudnopis!$E$24:$J$24),0)</f>
        <v>0</v>
      </c>
      <c r="U557" s="44">
        <f>IF(Mecze[[#This Row],[Role]]&lt;&gt;"BR",SUMPRODUCT(Mecze[[#This Row],[/PR:90]:[/BR:90]],Brudnopis!$E$25:$J$25),0)</f>
        <v>0</v>
      </c>
      <c r="V557" s="44">
        <f>IF(Mecze[[#This Row],[Role]]&lt;&gt;"BR",SUMPRODUCT(Mecze[[#This Row],[/PR:90]:[/BR:90]],Brudnopis!$E$26:$J$26),0)</f>
        <v>0</v>
      </c>
      <c r="W557" s="44">
        <f>IF(Mecze[[#This Row],[Role]]&lt;&gt;"BR",SUMPRODUCT(Mecze[[#This Row],[/PR:90]:[/BR:90]],Brudnopis!$E$27:$J$27),0)</f>
        <v>0</v>
      </c>
      <c r="X557" s="44">
        <f>IF(Mecze[[#This Row],[Role]]&lt;&gt;"BR",SUMPRODUCT(Mecze[[#This Row],[/PR:90]:[/BR:90]],Brudnopis!$E$28:$J$28),0)</f>
        <v>0</v>
      </c>
      <c r="Y557" s="35">
        <f>IF(Mecze[[#This Row],[Role]]="BR",Mecze[[#This Row],[/OB:90]]+Mecze[[#This Row],[/PC:90]],SUM(Mecze[[#This Row],[/PR:90]:[/BR:90]]))</f>
        <v>0.14736842105263159</v>
      </c>
      <c r="Z557" s="35">
        <f>IF(Mecze[[#This Row],[KC]]=0,SUM(Mecze[[#This Row],[/BRI]:[/NPI]]),SUM(Mecze[[#This Row],[/BRI]:[/NPI]])*0.6)</f>
        <v>0.44210526315789478</v>
      </c>
      <c r="AA557" s="10">
        <f>IFERROR(Mecze[[#This Row],[BR]]/Mecze[[#This Row],[ST]],0)</f>
        <v>0</v>
      </c>
      <c r="AB557">
        <f>ROUND(Mecze[[#This Row],[PD]]*Mecze[[#This Row],[%PC]],0)</f>
        <v>6</v>
      </c>
      <c r="AC557">
        <f>ROUND(Mecze[[#This Row],[OD]]*Mecze[[#This Row],[%OU]],0)</f>
        <v>0</v>
      </c>
      <c r="AD557" s="36" t="s">
        <v>40</v>
      </c>
      <c r="AE557" s="36">
        <v>32</v>
      </c>
      <c r="AF557" s="71">
        <v>4.5999999999999996</v>
      </c>
      <c r="AG557" s="37">
        <v>0</v>
      </c>
      <c r="AH557" s="37">
        <v>0</v>
      </c>
      <c r="AI557" s="37">
        <v>95</v>
      </c>
      <c r="AJ557" s="37">
        <v>8</v>
      </c>
      <c r="AK557" s="37" t="str">
        <f>VLOOKUP(Mecze[[#This Row],[Match ID]],Meczusie[Mecz]:Meczusie[RodzajMeczu],2,FALSE)</f>
        <v>Liga</v>
      </c>
    </row>
    <row r="558" spans="1:37" x14ac:dyDescent="0.25">
      <c r="A558" s="76">
        <v>5</v>
      </c>
      <c r="B558" s="3" t="s">
        <v>305</v>
      </c>
      <c r="C558" s="2" t="s">
        <v>157</v>
      </c>
      <c r="D558" s="1">
        <v>0</v>
      </c>
      <c r="E558" s="1">
        <v>0</v>
      </c>
      <c r="F558" s="1">
        <v>0</v>
      </c>
      <c r="G558" s="1">
        <v>12</v>
      </c>
      <c r="H558" s="4">
        <v>0.83</v>
      </c>
      <c r="I558" s="1">
        <v>3</v>
      </c>
      <c r="J558" s="4">
        <v>1</v>
      </c>
      <c r="K558" s="1">
        <v>0</v>
      </c>
      <c r="L558" s="1">
        <v>5</v>
      </c>
      <c r="M558" s="32">
        <f>IF(Mecze[[#This Row],[PR]]=0,0,Mecze[[#This Row],[PR]]/Mecze[[#This Row],[CZAS]])</f>
        <v>5.2631578947368418E-2</v>
      </c>
      <c r="N558" s="32">
        <f>IF(Mecze[[#This Row],[OU]]=0,0,Mecze[[#This Row],[OU]]/Mecze[[#This Row],[CZAS]])</f>
        <v>3.1578947368421054E-2</v>
      </c>
      <c r="O558" s="32">
        <f>IF(Mecze[[#This Row],[PC]]=0,0,Mecze[[#This Row],[PC]]/Mecze[[#This Row],[CZAS]])</f>
        <v>0.10526315789473684</v>
      </c>
      <c r="P558" s="32">
        <f>IF(Mecze[[#This Row],[SC]]=0,0,Mecze[[#This Row],[SC]]/Mecze[[#This Row],[CZAS]])</f>
        <v>0</v>
      </c>
      <c r="Q558" s="32">
        <f>IF(Mecze[[#This Row],[OB]]=0,0,Mecze[[#This Row],[OB]]/Mecze[[#This Row],[CZAS]])</f>
        <v>0</v>
      </c>
      <c r="R558" s="32">
        <f>IF(Mecze[[#This Row],[BR]]=0,0,Mecze[[#This Row],[BR]]/Mecze[[#This Row],[CZAS]])</f>
        <v>0</v>
      </c>
      <c r="S558" s="44">
        <f>IF(Mecze[[#This Row],[Role]]="BR",SUMPRODUCT(Mecze[[#This Row],[/PR:90]:[/BR:90]],Brudnopis!$E$23:$J$23),0)</f>
        <v>0</v>
      </c>
      <c r="T558" s="44">
        <f>IF(Mecze[[#This Row],[Role]]&lt;&gt;"BR",SUMPRODUCT(Mecze[[#This Row],[/PR:90]:[/BR:90]],Brudnopis!$E$24:$J$24),0)</f>
        <v>0.20526315789473684</v>
      </c>
      <c r="U558" s="44">
        <f>IF(Mecze[[#This Row],[Role]]&lt;&gt;"BR",SUMPRODUCT(Mecze[[#This Row],[/PR:90]:[/BR:90]],Brudnopis!$E$25:$J$25),0)</f>
        <v>0.24210526315789471</v>
      </c>
      <c r="V558" s="44">
        <f>IF(Mecze[[#This Row],[Role]]&lt;&gt;"BR",SUMPRODUCT(Mecze[[#This Row],[/PR:90]:[/BR:90]],Brudnopis!$E$26:$J$26),0)</f>
        <v>0.18947368421052629</v>
      </c>
      <c r="W558" s="44">
        <f>IF(Mecze[[#This Row],[Role]]&lt;&gt;"BR",SUMPRODUCT(Mecze[[#This Row],[/PR:90]:[/BR:90]],Brudnopis!$E$27:$J$27),0)</f>
        <v>0.22105263157894736</v>
      </c>
      <c r="X558" s="44">
        <f>IF(Mecze[[#This Row],[Role]]&lt;&gt;"BR",SUMPRODUCT(Mecze[[#This Row],[/PR:90]:[/BR:90]],Brudnopis!$E$28:$J$28),0)</f>
        <v>0.10526315789473684</v>
      </c>
      <c r="Y558" s="35">
        <f>IF(Mecze[[#This Row],[Role]]="BR",Mecze[[#This Row],[/OB:90]]+Mecze[[#This Row],[/PC:90]],SUM(Mecze[[#This Row],[/PR:90]:[/BR:90]]))</f>
        <v>0.18947368421052629</v>
      </c>
      <c r="Z558" s="35">
        <f>IF(Mecze[[#This Row],[KC]]=0,SUM(Mecze[[#This Row],[/BRI]:[/NPI]]),SUM(Mecze[[#This Row],[/BRI]:[/NPI]])*0.6)</f>
        <v>0.9631578947368421</v>
      </c>
      <c r="AA558" s="10">
        <f>IFERROR(Mecze[[#This Row],[BR]]/Mecze[[#This Row],[ST]],0)</f>
        <v>0</v>
      </c>
      <c r="AB558">
        <f>ROUND(Mecze[[#This Row],[PD]]*Mecze[[#This Row],[%PC]],0)</f>
        <v>10</v>
      </c>
      <c r="AC558">
        <f>ROUND(Mecze[[#This Row],[OD]]*Mecze[[#This Row],[%OU]],0)</f>
        <v>3</v>
      </c>
      <c r="AD558" s="36" t="s">
        <v>47</v>
      </c>
      <c r="AE558" s="36">
        <v>32</v>
      </c>
      <c r="AF558" s="71">
        <v>4.78</v>
      </c>
      <c r="AG558" s="37">
        <v>0</v>
      </c>
      <c r="AH558" s="37">
        <v>0</v>
      </c>
      <c r="AI558" s="37">
        <v>95</v>
      </c>
      <c r="AJ558" s="37">
        <v>8</v>
      </c>
      <c r="AK558" s="37" t="str">
        <f>VLOOKUP(Mecze[[#This Row],[Match ID]],Meczusie[Mecz]:Meczusie[RodzajMeczu],2,FALSE)</f>
        <v>Liga</v>
      </c>
    </row>
    <row r="559" spans="1:37" x14ac:dyDescent="0.25">
      <c r="A559" s="76">
        <v>23</v>
      </c>
      <c r="B559" s="3" t="s">
        <v>306</v>
      </c>
      <c r="C559" s="2" t="s">
        <v>157</v>
      </c>
      <c r="D559" s="1">
        <v>0</v>
      </c>
      <c r="E559" s="1">
        <v>0</v>
      </c>
      <c r="F559" s="1">
        <v>0</v>
      </c>
      <c r="G559" s="1">
        <v>11</v>
      </c>
      <c r="H559" s="4">
        <v>0.55000000000000004</v>
      </c>
      <c r="I559" s="1">
        <v>8</v>
      </c>
      <c r="J559" s="4">
        <v>0.38</v>
      </c>
      <c r="K559" s="1">
        <v>0</v>
      </c>
      <c r="L559" s="1">
        <v>4</v>
      </c>
      <c r="M559" s="32">
        <f>IF(Mecze[[#This Row],[PR]]=0,0,Mecze[[#This Row],[PR]]/Mecze[[#This Row],[CZAS]])</f>
        <v>5.2631578947368418E-2</v>
      </c>
      <c r="N559" s="32">
        <f>IF(Mecze[[#This Row],[OU]]=0,0,Mecze[[#This Row],[OU]]/Mecze[[#This Row],[CZAS]])</f>
        <v>3.9473684210526314E-2</v>
      </c>
      <c r="O559" s="32">
        <f>IF(Mecze[[#This Row],[PC]]=0,0,Mecze[[#This Row],[PC]]/Mecze[[#This Row],[CZAS]])</f>
        <v>7.8947368421052627E-2</v>
      </c>
      <c r="P559" s="32">
        <f>IF(Mecze[[#This Row],[SC]]=0,0,Mecze[[#This Row],[SC]]/Mecze[[#This Row],[CZAS]])</f>
        <v>0</v>
      </c>
      <c r="Q559" s="32">
        <f>IF(Mecze[[#This Row],[OB]]=0,0,Mecze[[#This Row],[OB]]/Mecze[[#This Row],[CZAS]])</f>
        <v>0</v>
      </c>
      <c r="R559" s="32">
        <f>IF(Mecze[[#This Row],[BR]]=0,0,Mecze[[#This Row],[BR]]/Mecze[[#This Row],[CZAS]])</f>
        <v>0</v>
      </c>
      <c r="S559" s="44">
        <f>IF(Mecze[[#This Row],[Role]]="BR",SUMPRODUCT(Mecze[[#This Row],[/PR:90]:[/BR:90]],Brudnopis!$E$23:$J$23),0)</f>
        <v>0</v>
      </c>
      <c r="T559" s="44">
        <f>IF(Mecze[[#This Row],[Role]]&lt;&gt;"BR",SUMPRODUCT(Mecze[[#This Row],[/PR:90]:[/BR:90]],Brudnopis!$E$24:$J$24),0)</f>
        <v>0.19078947368421051</v>
      </c>
      <c r="U559" s="44">
        <f>IF(Mecze[[#This Row],[Role]]&lt;&gt;"BR",SUMPRODUCT(Mecze[[#This Row],[/PR:90]:[/BR:90]],Brudnopis!$E$25:$J$25),0)</f>
        <v>0.21052631578947367</v>
      </c>
      <c r="V559" s="44">
        <f>IF(Mecze[[#This Row],[Role]]&lt;&gt;"BR",SUMPRODUCT(Mecze[[#This Row],[/PR:90]:[/BR:90]],Brudnopis!$E$26:$J$26),0)</f>
        <v>0.17105263157894735</v>
      </c>
      <c r="W559" s="44">
        <f>IF(Mecze[[#This Row],[Role]]&lt;&gt;"BR",SUMPRODUCT(Mecze[[#This Row],[/PR:90]:[/BR:90]],Brudnopis!$E$27:$J$27),0)</f>
        <v>0.1875</v>
      </c>
      <c r="X559" s="44">
        <f>IF(Mecze[[#This Row],[Role]]&lt;&gt;"BR",SUMPRODUCT(Mecze[[#This Row],[/PR:90]:[/BR:90]],Brudnopis!$E$28:$J$28),0)</f>
        <v>7.8947368421052627E-2</v>
      </c>
      <c r="Y559" s="35">
        <f>IF(Mecze[[#This Row],[Role]]="BR",Mecze[[#This Row],[/OB:90]]+Mecze[[#This Row],[/PC:90]],SUM(Mecze[[#This Row],[/PR:90]:[/BR:90]]))</f>
        <v>0.17105263157894735</v>
      </c>
      <c r="Z559" s="35">
        <f>IF(Mecze[[#This Row],[KC]]=0,SUM(Mecze[[#This Row],[/BRI]:[/NPI]]),SUM(Mecze[[#This Row],[/BRI]:[/NPI]])*0.6)</f>
        <v>0.83881578947368418</v>
      </c>
      <c r="AA559" s="10">
        <f>IFERROR(Mecze[[#This Row],[BR]]/Mecze[[#This Row],[ST]],0)</f>
        <v>0</v>
      </c>
      <c r="AB559">
        <f>ROUND(Mecze[[#This Row],[PD]]*Mecze[[#This Row],[%PC]],0)</f>
        <v>6</v>
      </c>
      <c r="AC559">
        <f>ROUND(Mecze[[#This Row],[OD]]*Mecze[[#This Row],[%OU]],0)</f>
        <v>3</v>
      </c>
      <c r="AD559" s="36" t="s">
        <v>167</v>
      </c>
      <c r="AE559" s="36">
        <v>32</v>
      </c>
      <c r="AF559" s="71">
        <v>1.42</v>
      </c>
      <c r="AG559" s="37">
        <v>0</v>
      </c>
      <c r="AH559" s="37">
        <v>0</v>
      </c>
      <c r="AI559" s="37">
        <v>76</v>
      </c>
      <c r="AJ559" s="37">
        <v>8</v>
      </c>
      <c r="AK559" s="37" t="str">
        <f>VLOOKUP(Mecze[[#This Row],[Match ID]],Meczusie[Mecz]:Meczusie[RodzajMeczu],2,FALSE)</f>
        <v>Liga</v>
      </c>
    </row>
    <row r="560" spans="1:37" x14ac:dyDescent="0.25">
      <c r="A560" s="76">
        <v>2</v>
      </c>
      <c r="B560" s="3" t="s">
        <v>307</v>
      </c>
      <c r="C560" s="2" t="s">
        <v>157</v>
      </c>
      <c r="D560" s="1">
        <v>0</v>
      </c>
      <c r="E560" s="1">
        <v>0</v>
      </c>
      <c r="F560" s="1">
        <v>0</v>
      </c>
      <c r="G560" s="1">
        <v>7</v>
      </c>
      <c r="H560" s="4">
        <v>0.86</v>
      </c>
      <c r="I560" s="1">
        <v>2</v>
      </c>
      <c r="J560" s="4">
        <v>0</v>
      </c>
      <c r="K560" s="1">
        <v>0</v>
      </c>
      <c r="L560" s="1">
        <v>4</v>
      </c>
      <c r="M560" s="32">
        <f>IF(Mecze[[#This Row],[PR]]=0,0,Mecze[[#This Row],[PR]]/Mecze[[#This Row],[CZAS]])</f>
        <v>4.2105263157894736E-2</v>
      </c>
      <c r="N560" s="32">
        <f>IF(Mecze[[#This Row],[OU]]=0,0,Mecze[[#This Row],[OU]]/Mecze[[#This Row],[CZAS]])</f>
        <v>0</v>
      </c>
      <c r="O560" s="32">
        <f>IF(Mecze[[#This Row],[PC]]=0,0,Mecze[[#This Row],[PC]]/Mecze[[#This Row],[CZAS]])</f>
        <v>6.3157894736842107E-2</v>
      </c>
      <c r="P560" s="32">
        <f>IF(Mecze[[#This Row],[SC]]=0,0,Mecze[[#This Row],[SC]]/Mecze[[#This Row],[CZAS]])</f>
        <v>0</v>
      </c>
      <c r="Q560" s="32">
        <f>IF(Mecze[[#This Row],[OB]]=0,0,Mecze[[#This Row],[OB]]/Mecze[[#This Row],[CZAS]])</f>
        <v>0</v>
      </c>
      <c r="R560" s="32">
        <f>IF(Mecze[[#This Row],[BR]]=0,0,Mecze[[#This Row],[BR]]/Mecze[[#This Row],[CZAS]])</f>
        <v>0</v>
      </c>
      <c r="S560" s="44">
        <f>IF(Mecze[[#This Row],[Role]]="BR",SUMPRODUCT(Mecze[[#This Row],[/PR:90]:[/BR:90]],Brudnopis!$E$23:$J$23),0)</f>
        <v>0</v>
      </c>
      <c r="T560" s="44">
        <f>IF(Mecze[[#This Row],[Role]]&lt;&gt;"BR",SUMPRODUCT(Mecze[[#This Row],[/PR:90]:[/BR:90]],Brudnopis!$E$24:$J$24),0)</f>
        <v>0.10526315789473684</v>
      </c>
      <c r="U560" s="44">
        <f>IF(Mecze[[#This Row],[Role]]&lt;&gt;"BR",SUMPRODUCT(Mecze[[#This Row],[/PR:90]:[/BR:90]],Brudnopis!$E$25:$J$25),0)</f>
        <v>0.1368421052631579</v>
      </c>
      <c r="V560" s="44">
        <f>IF(Mecze[[#This Row],[Role]]&lt;&gt;"BR",SUMPRODUCT(Mecze[[#This Row],[/PR:90]:[/BR:90]],Brudnopis!$E$26:$J$26),0)</f>
        <v>0.10526315789473684</v>
      </c>
      <c r="W560" s="44">
        <f>IF(Mecze[[#This Row],[Role]]&lt;&gt;"BR",SUMPRODUCT(Mecze[[#This Row],[/PR:90]:[/BR:90]],Brudnopis!$E$27:$J$27),0)</f>
        <v>0.12631578947368421</v>
      </c>
      <c r="X560" s="44">
        <f>IF(Mecze[[#This Row],[Role]]&lt;&gt;"BR",SUMPRODUCT(Mecze[[#This Row],[/PR:90]:[/BR:90]],Brudnopis!$E$28:$J$28),0)</f>
        <v>6.3157894736842107E-2</v>
      </c>
      <c r="Y560" s="35">
        <f>IF(Mecze[[#This Row],[Role]]="BR",Mecze[[#This Row],[/OB:90]]+Mecze[[#This Row],[/PC:90]],SUM(Mecze[[#This Row],[/PR:90]:[/BR:90]]))</f>
        <v>0.10526315789473684</v>
      </c>
      <c r="Z560" s="35">
        <f>IF(Mecze[[#This Row],[KC]]=0,SUM(Mecze[[#This Row],[/BRI]:[/NPI]]),SUM(Mecze[[#This Row],[/BRI]:[/NPI]])*0.6)</f>
        <v>0.5368421052631579</v>
      </c>
      <c r="AA560" s="10">
        <f>IFERROR(Mecze[[#This Row],[BR]]/Mecze[[#This Row],[ST]],0)</f>
        <v>0</v>
      </c>
      <c r="AB560">
        <f>ROUND(Mecze[[#This Row],[PD]]*Mecze[[#This Row],[%PC]],0)</f>
        <v>6</v>
      </c>
      <c r="AC560">
        <f>ROUND(Mecze[[#This Row],[OD]]*Mecze[[#This Row],[%OU]],0)</f>
        <v>0</v>
      </c>
      <c r="AD560" s="36" t="s">
        <v>168</v>
      </c>
      <c r="AE560" s="36">
        <v>32</v>
      </c>
      <c r="AF560" s="71">
        <v>1.42</v>
      </c>
      <c r="AG560" s="37">
        <v>0</v>
      </c>
      <c r="AH560" s="37">
        <v>0</v>
      </c>
      <c r="AI560" s="37">
        <v>95</v>
      </c>
      <c r="AJ560" s="37">
        <v>8</v>
      </c>
      <c r="AK560" s="37" t="str">
        <f>VLOOKUP(Mecze[[#This Row],[Match ID]],Meczusie[Mecz]:Meczusie[RodzajMeczu],2,FALSE)</f>
        <v>Liga</v>
      </c>
    </row>
    <row r="561" spans="1:37" x14ac:dyDescent="0.25">
      <c r="A561" s="76">
        <v>6</v>
      </c>
      <c r="B561" s="3" t="s">
        <v>308</v>
      </c>
      <c r="C561" s="2" t="s">
        <v>160</v>
      </c>
      <c r="D561" s="1">
        <v>0</v>
      </c>
      <c r="E561" s="1">
        <v>0</v>
      </c>
      <c r="F561" s="1">
        <v>0</v>
      </c>
      <c r="G561" s="1">
        <v>15</v>
      </c>
      <c r="H561" s="4">
        <v>0.8</v>
      </c>
      <c r="I561" s="1">
        <v>3</v>
      </c>
      <c r="J561" s="4">
        <v>0.67</v>
      </c>
      <c r="K561" s="1">
        <v>0</v>
      </c>
      <c r="L561" s="1">
        <v>2</v>
      </c>
      <c r="M561" s="32">
        <f>IF(Mecze[[#This Row],[PR]]=0,0,Mecze[[#This Row],[PR]]/Mecze[[#This Row],[CZAS]])</f>
        <v>2.1052631578947368E-2</v>
      </c>
      <c r="N561" s="32">
        <f>IF(Mecze[[#This Row],[OU]]=0,0,Mecze[[#This Row],[OU]]/Mecze[[#This Row],[CZAS]])</f>
        <v>2.1052631578947368E-2</v>
      </c>
      <c r="O561" s="32">
        <f>IF(Mecze[[#This Row],[PC]]=0,0,Mecze[[#This Row],[PC]]/Mecze[[#This Row],[CZAS]])</f>
        <v>0.12631578947368421</v>
      </c>
      <c r="P561" s="32">
        <f>IF(Mecze[[#This Row],[SC]]=0,0,Mecze[[#This Row],[SC]]/Mecze[[#This Row],[CZAS]])</f>
        <v>0</v>
      </c>
      <c r="Q561" s="32">
        <f>IF(Mecze[[#This Row],[OB]]=0,0,Mecze[[#This Row],[OB]]/Mecze[[#This Row],[CZAS]])</f>
        <v>0</v>
      </c>
      <c r="R561" s="32">
        <f>IF(Mecze[[#This Row],[BR]]=0,0,Mecze[[#This Row],[BR]]/Mecze[[#This Row],[CZAS]])</f>
        <v>0</v>
      </c>
      <c r="S561" s="44">
        <f>IF(Mecze[[#This Row],[Role]]="BR",SUMPRODUCT(Mecze[[#This Row],[/PR:90]:[/BR:90]],Brudnopis!$E$23:$J$23),0)</f>
        <v>0</v>
      </c>
      <c r="T561" s="44">
        <f>IF(Mecze[[#This Row],[Role]]&lt;&gt;"BR",SUMPRODUCT(Mecze[[#This Row],[/PR:90]:[/BR:90]],Brudnopis!$E$24:$J$24),0)</f>
        <v>0.17894736842105263</v>
      </c>
      <c r="U561" s="44">
        <f>IF(Mecze[[#This Row],[Role]]&lt;&gt;"BR",SUMPRODUCT(Mecze[[#This Row],[/PR:90]:[/BR:90]],Brudnopis!$E$25:$J$25),0)</f>
        <v>0.23157894736842105</v>
      </c>
      <c r="V561" s="44">
        <f>IF(Mecze[[#This Row],[Role]]&lt;&gt;"BR",SUMPRODUCT(Mecze[[#This Row],[/PR:90]:[/BR:90]],Brudnopis!$E$26:$J$26),0)</f>
        <v>0.16842105263157894</v>
      </c>
      <c r="W561" s="44">
        <f>IF(Mecze[[#This Row],[Role]]&lt;&gt;"BR",SUMPRODUCT(Mecze[[#This Row],[/PR:90]:[/BR:90]],Brudnopis!$E$27:$J$27),0)</f>
        <v>0.22105263157894739</v>
      </c>
      <c r="X561" s="44">
        <f>IF(Mecze[[#This Row],[Role]]&lt;&gt;"BR",SUMPRODUCT(Mecze[[#This Row],[/PR:90]:[/BR:90]],Brudnopis!$E$28:$J$28),0)</f>
        <v>0.12631578947368421</v>
      </c>
      <c r="Y561" s="35">
        <f>IF(Mecze[[#This Row],[Role]]="BR",Mecze[[#This Row],[/OB:90]]+Mecze[[#This Row],[/PC:90]],SUM(Mecze[[#This Row],[/PR:90]:[/BR:90]]))</f>
        <v>0.16842105263157894</v>
      </c>
      <c r="Z561" s="35">
        <f>IF(Mecze[[#This Row],[KC]]=0,SUM(Mecze[[#This Row],[/BRI]:[/NPI]]),SUM(Mecze[[#This Row],[/BRI]:[/NPI]])*0.6)</f>
        <v>0.9263157894736842</v>
      </c>
      <c r="AA561" s="10">
        <f>IFERROR(Mecze[[#This Row],[BR]]/Mecze[[#This Row],[ST]],0)</f>
        <v>0</v>
      </c>
      <c r="AB561">
        <f>ROUND(Mecze[[#This Row],[PD]]*Mecze[[#This Row],[%PC]],0)</f>
        <v>12</v>
      </c>
      <c r="AC561">
        <f>ROUND(Mecze[[#This Row],[OD]]*Mecze[[#This Row],[%OU]],0)</f>
        <v>2</v>
      </c>
      <c r="AD561" s="36" t="s">
        <v>41</v>
      </c>
      <c r="AE561" s="36">
        <v>32</v>
      </c>
      <c r="AF561" s="71">
        <v>5.24</v>
      </c>
      <c r="AG561" s="37">
        <v>0</v>
      </c>
      <c r="AH561" s="37">
        <v>0</v>
      </c>
      <c r="AI561" s="37">
        <v>95</v>
      </c>
      <c r="AJ561" s="37">
        <v>8</v>
      </c>
      <c r="AK561" s="37" t="str">
        <f>VLOOKUP(Mecze[[#This Row],[Match ID]],Meczusie[Mecz]:Meczusie[RodzajMeczu],2,FALSE)</f>
        <v>Liga</v>
      </c>
    </row>
    <row r="562" spans="1:37" x14ac:dyDescent="0.25">
      <c r="A562" s="76">
        <v>16</v>
      </c>
      <c r="B562" s="3" t="s">
        <v>309</v>
      </c>
      <c r="C562" s="2" t="s">
        <v>160</v>
      </c>
      <c r="D562" s="1">
        <v>0</v>
      </c>
      <c r="E562" s="1">
        <v>0</v>
      </c>
      <c r="F562" s="1">
        <v>0</v>
      </c>
      <c r="G562" s="1">
        <v>8</v>
      </c>
      <c r="H562" s="4">
        <v>0.38</v>
      </c>
      <c r="I562" s="1">
        <v>4</v>
      </c>
      <c r="J562" s="4">
        <v>0.5</v>
      </c>
      <c r="K562" s="1">
        <v>0</v>
      </c>
      <c r="L562" s="1">
        <v>4</v>
      </c>
      <c r="M562" s="32">
        <f>IF(Mecze[[#This Row],[PR]]=0,0,Mecze[[#This Row],[PR]]/Mecze[[#This Row],[CZAS]])</f>
        <v>4.2105263157894736E-2</v>
      </c>
      <c r="N562" s="32">
        <f>IF(Mecze[[#This Row],[OU]]=0,0,Mecze[[#This Row],[OU]]/Mecze[[#This Row],[CZAS]])</f>
        <v>2.1052631578947368E-2</v>
      </c>
      <c r="O562" s="32">
        <f>IF(Mecze[[#This Row],[PC]]=0,0,Mecze[[#This Row],[PC]]/Mecze[[#This Row],[CZAS]])</f>
        <v>3.1578947368421054E-2</v>
      </c>
      <c r="P562" s="32">
        <f>IF(Mecze[[#This Row],[SC]]=0,0,Mecze[[#This Row],[SC]]/Mecze[[#This Row],[CZAS]])</f>
        <v>0</v>
      </c>
      <c r="Q562" s="32">
        <f>IF(Mecze[[#This Row],[OB]]=0,0,Mecze[[#This Row],[OB]]/Mecze[[#This Row],[CZAS]])</f>
        <v>0</v>
      </c>
      <c r="R562" s="32">
        <f>IF(Mecze[[#This Row],[BR]]=0,0,Mecze[[#This Row],[BR]]/Mecze[[#This Row],[CZAS]])</f>
        <v>0</v>
      </c>
      <c r="S562" s="44">
        <f>IF(Mecze[[#This Row],[Role]]="BR",SUMPRODUCT(Mecze[[#This Row],[/PR:90]:[/BR:90]],Brudnopis!$E$23:$J$23),0)</f>
        <v>0</v>
      </c>
      <c r="T562" s="44">
        <f>IF(Mecze[[#This Row],[Role]]&lt;&gt;"BR",SUMPRODUCT(Mecze[[#This Row],[/PR:90]:[/BR:90]],Brudnopis!$E$24:$J$24),0)</f>
        <v>0.10526315789473685</v>
      </c>
      <c r="U562" s="44">
        <f>IF(Mecze[[#This Row],[Role]]&lt;&gt;"BR",SUMPRODUCT(Mecze[[#This Row],[/PR:90]:[/BR:90]],Brudnopis!$E$25:$J$25),0)</f>
        <v>0.11052631578947369</v>
      </c>
      <c r="V562" s="44">
        <f>IF(Mecze[[#This Row],[Role]]&lt;&gt;"BR",SUMPRODUCT(Mecze[[#This Row],[/PR:90]:[/BR:90]],Brudnopis!$E$26:$J$26),0)</f>
        <v>9.4736842105263161E-2</v>
      </c>
      <c r="W562" s="44">
        <f>IF(Mecze[[#This Row],[Role]]&lt;&gt;"BR",SUMPRODUCT(Mecze[[#This Row],[/PR:90]:[/BR:90]],Brudnopis!$E$27:$J$27),0)</f>
        <v>9.4736842105263161E-2</v>
      </c>
      <c r="X562" s="44">
        <f>IF(Mecze[[#This Row],[Role]]&lt;&gt;"BR",SUMPRODUCT(Mecze[[#This Row],[/PR:90]:[/BR:90]],Brudnopis!$E$28:$J$28),0)</f>
        <v>3.1578947368421054E-2</v>
      </c>
      <c r="Y562" s="35">
        <f>IF(Mecze[[#This Row],[Role]]="BR",Mecze[[#This Row],[/OB:90]]+Mecze[[#This Row],[/PC:90]],SUM(Mecze[[#This Row],[/PR:90]:[/BR:90]]))</f>
        <v>9.4736842105263161E-2</v>
      </c>
      <c r="Z562" s="35">
        <f>IF(Mecze[[#This Row],[KC]]=0,SUM(Mecze[[#This Row],[/BRI]:[/NPI]]),SUM(Mecze[[#This Row],[/BRI]:[/NPI]])*0.6)</f>
        <v>0.43684210526315792</v>
      </c>
      <c r="AA562" s="10">
        <f>IFERROR(Mecze[[#This Row],[BR]]/Mecze[[#This Row],[ST]],0)</f>
        <v>0</v>
      </c>
      <c r="AB562">
        <f>ROUND(Mecze[[#This Row],[PD]]*Mecze[[#This Row],[%PC]],0)</f>
        <v>3</v>
      </c>
      <c r="AC562">
        <f>ROUND(Mecze[[#This Row],[OD]]*Mecze[[#This Row],[%OU]],0)</f>
        <v>2</v>
      </c>
      <c r="AD562" s="36" t="s">
        <v>172</v>
      </c>
      <c r="AE562" s="36">
        <v>32</v>
      </c>
      <c r="AF562" s="71">
        <v>3.54</v>
      </c>
      <c r="AG562" s="37">
        <v>0</v>
      </c>
      <c r="AH562" s="37">
        <v>0</v>
      </c>
      <c r="AI562" s="37">
        <v>95</v>
      </c>
      <c r="AJ562" s="37">
        <v>8</v>
      </c>
      <c r="AK562" s="37" t="str">
        <f>VLOOKUP(Mecze[[#This Row],[Match ID]],Meczusie[Mecz]:Meczusie[RodzajMeczu],2,FALSE)</f>
        <v>Liga</v>
      </c>
    </row>
    <row r="563" spans="1:37" x14ac:dyDescent="0.25">
      <c r="A563" s="76">
        <v>12</v>
      </c>
      <c r="B563" s="3" t="s">
        <v>315</v>
      </c>
      <c r="C563" s="2" t="s">
        <v>160</v>
      </c>
      <c r="D563" s="1">
        <v>0</v>
      </c>
      <c r="E563" s="1">
        <v>0</v>
      </c>
      <c r="F563" s="1">
        <v>0</v>
      </c>
      <c r="G563" s="1">
        <v>5</v>
      </c>
      <c r="H563" s="4">
        <v>1</v>
      </c>
      <c r="I563" s="1">
        <v>2</v>
      </c>
      <c r="J563" s="4">
        <v>0</v>
      </c>
      <c r="K563" s="1">
        <v>0</v>
      </c>
      <c r="L563" s="1">
        <v>2</v>
      </c>
      <c r="M563" s="32">
        <f>IF(Mecze[[#This Row],[PR]]=0,0,Mecze[[#This Row],[PR]]/Mecze[[#This Row],[CZAS]])</f>
        <v>3.125E-2</v>
      </c>
      <c r="N563" s="32">
        <f>IF(Mecze[[#This Row],[OU]]=0,0,Mecze[[#This Row],[OU]]/Mecze[[#This Row],[CZAS]])</f>
        <v>0</v>
      </c>
      <c r="O563" s="32">
        <f>IF(Mecze[[#This Row],[PC]]=0,0,Mecze[[#This Row],[PC]]/Mecze[[#This Row],[CZAS]])</f>
        <v>7.8125E-2</v>
      </c>
      <c r="P563" s="32">
        <f>IF(Mecze[[#This Row],[SC]]=0,0,Mecze[[#This Row],[SC]]/Mecze[[#This Row],[CZAS]])</f>
        <v>0</v>
      </c>
      <c r="Q563" s="32">
        <f>IF(Mecze[[#This Row],[OB]]=0,0,Mecze[[#This Row],[OB]]/Mecze[[#This Row],[CZAS]])</f>
        <v>0</v>
      </c>
      <c r="R563" s="32">
        <f>IF(Mecze[[#This Row],[BR]]=0,0,Mecze[[#This Row],[BR]]/Mecze[[#This Row],[CZAS]])</f>
        <v>0</v>
      </c>
      <c r="S563" s="44">
        <f>IF(Mecze[[#This Row],[Role]]="BR",SUMPRODUCT(Mecze[[#This Row],[/PR:90]:[/BR:90]],Brudnopis!$E$23:$J$23),0)</f>
        <v>0</v>
      </c>
      <c r="T563" s="44">
        <f>IF(Mecze[[#This Row],[Role]]&lt;&gt;"BR",SUMPRODUCT(Mecze[[#This Row],[/PR:90]:[/BR:90]],Brudnopis!$E$24:$J$24),0)</f>
        <v>0.109375</v>
      </c>
      <c r="U563" s="44">
        <f>IF(Mecze[[#This Row],[Role]]&lt;&gt;"BR",SUMPRODUCT(Mecze[[#This Row],[/PR:90]:[/BR:90]],Brudnopis!$E$25:$J$25),0)</f>
        <v>0.1484375</v>
      </c>
      <c r="V563" s="44">
        <f>IF(Mecze[[#This Row],[Role]]&lt;&gt;"BR",SUMPRODUCT(Mecze[[#This Row],[/PR:90]:[/BR:90]],Brudnopis!$E$26:$J$26),0)</f>
        <v>0.109375</v>
      </c>
      <c r="W563" s="44">
        <f>IF(Mecze[[#This Row],[Role]]&lt;&gt;"BR",SUMPRODUCT(Mecze[[#This Row],[/PR:90]:[/BR:90]],Brudnopis!$E$27:$J$27),0)</f>
        <v>0.140625</v>
      </c>
      <c r="X563" s="44">
        <f>IF(Mecze[[#This Row],[Role]]&lt;&gt;"BR",SUMPRODUCT(Mecze[[#This Row],[/PR:90]:[/BR:90]],Brudnopis!$E$28:$J$28),0)</f>
        <v>7.8125E-2</v>
      </c>
      <c r="Y563" s="35">
        <f>IF(Mecze[[#This Row],[Role]]="BR",Mecze[[#This Row],[/OB:90]]+Mecze[[#This Row],[/PC:90]],SUM(Mecze[[#This Row],[/PR:90]:[/BR:90]]))</f>
        <v>0.109375</v>
      </c>
      <c r="Z563" s="35">
        <f>IF(Mecze[[#This Row],[KC]]=0,SUM(Mecze[[#This Row],[/BRI]:[/NPI]]),SUM(Mecze[[#This Row],[/BRI]:[/NPI]])*0.6)</f>
        <v>0.5859375</v>
      </c>
      <c r="AA563" s="10">
        <f>IFERROR(Mecze[[#This Row],[BR]]/Mecze[[#This Row],[ST]],0)</f>
        <v>0</v>
      </c>
      <c r="AB563">
        <f>ROUND(Mecze[[#This Row],[PD]]*Mecze[[#This Row],[%PC]],0)</f>
        <v>5</v>
      </c>
      <c r="AC563">
        <f>ROUND(Mecze[[#This Row],[OD]]*Mecze[[#This Row],[%OU]],0)</f>
        <v>0</v>
      </c>
      <c r="AD563" s="36" t="s">
        <v>319</v>
      </c>
      <c r="AE563" s="36">
        <v>32</v>
      </c>
      <c r="AF563" s="71">
        <v>6.45</v>
      </c>
      <c r="AG563" s="37">
        <v>0</v>
      </c>
      <c r="AH563" s="37">
        <v>0</v>
      </c>
      <c r="AI563" s="37">
        <v>64</v>
      </c>
      <c r="AJ563" s="37">
        <v>8</v>
      </c>
      <c r="AK563" s="37" t="str">
        <f>VLOOKUP(Mecze[[#This Row],[Match ID]],Meczusie[Mecz]:Meczusie[RodzajMeczu],2,FALSE)</f>
        <v>Liga</v>
      </c>
    </row>
    <row r="564" spans="1:37" x14ac:dyDescent="0.25">
      <c r="A564" s="76">
        <v>7</v>
      </c>
      <c r="B564" s="3" t="s">
        <v>311</v>
      </c>
      <c r="C564" s="2" t="s">
        <v>160</v>
      </c>
      <c r="D564" s="1">
        <v>0</v>
      </c>
      <c r="E564" s="1">
        <v>2</v>
      </c>
      <c r="F564" s="1">
        <v>1</v>
      </c>
      <c r="G564" s="1">
        <v>3</v>
      </c>
      <c r="H564" s="4">
        <v>1</v>
      </c>
      <c r="I564" s="1">
        <v>2</v>
      </c>
      <c r="J564" s="4">
        <v>0.5</v>
      </c>
      <c r="K564" s="1">
        <v>0</v>
      </c>
      <c r="L564" s="1">
        <v>0</v>
      </c>
      <c r="M564" s="32">
        <f>IF(Mecze[[#This Row],[PR]]=0,0,Mecze[[#This Row],[PR]]/Mecze[[#This Row],[CZAS]])</f>
        <v>0</v>
      </c>
      <c r="N564" s="32">
        <f>IF(Mecze[[#This Row],[OU]]=0,0,Mecze[[#This Row],[OU]]/Mecze[[#This Row],[CZAS]])</f>
        <v>1.0526315789473684E-2</v>
      </c>
      <c r="O564" s="32">
        <f>IF(Mecze[[#This Row],[PC]]=0,0,Mecze[[#This Row],[PC]]/Mecze[[#This Row],[CZAS]])</f>
        <v>3.1578947368421054E-2</v>
      </c>
      <c r="P564" s="32">
        <f>IF(Mecze[[#This Row],[SC]]=0,0,Mecze[[#This Row],[SC]]/Mecze[[#This Row],[CZAS]])</f>
        <v>1.0526315789473684E-2</v>
      </c>
      <c r="Q564" s="32">
        <f>IF(Mecze[[#This Row],[OB]]=0,0,Mecze[[#This Row],[OB]]/Mecze[[#This Row],[CZAS]])</f>
        <v>0</v>
      </c>
      <c r="R564" s="32">
        <f>IF(Mecze[[#This Row],[BR]]=0,0,Mecze[[#This Row],[BR]]/Mecze[[#This Row],[CZAS]])</f>
        <v>0</v>
      </c>
      <c r="S564" s="44">
        <f>IF(Mecze[[#This Row],[Role]]="BR",SUMPRODUCT(Mecze[[#This Row],[/PR:90]:[/BR:90]],Brudnopis!$E$23:$J$23),0)</f>
        <v>0</v>
      </c>
      <c r="T564" s="44">
        <f>IF(Mecze[[#This Row],[Role]]&lt;&gt;"BR",SUMPRODUCT(Mecze[[#This Row],[/PR:90]:[/BR:90]],Brudnopis!$E$24:$J$24),0)</f>
        <v>5.7894736842105263E-2</v>
      </c>
      <c r="U564" s="44">
        <f>IF(Mecze[[#This Row],[Role]]&lt;&gt;"BR",SUMPRODUCT(Mecze[[#This Row],[/PR:90]:[/BR:90]],Brudnopis!$E$25:$J$25),0)</f>
        <v>6.8421052631578952E-2</v>
      </c>
      <c r="V564" s="44">
        <f>IF(Mecze[[#This Row],[Role]]&lt;&gt;"BR",SUMPRODUCT(Mecze[[#This Row],[/PR:90]:[/BR:90]],Brudnopis!$E$26:$J$26),0)</f>
        <v>5.2631578947368418E-2</v>
      </c>
      <c r="W564" s="44">
        <f>IF(Mecze[[#This Row],[Role]]&lt;&gt;"BR",SUMPRODUCT(Mecze[[#This Row],[/PR:90]:[/BR:90]],Brudnopis!$E$27:$J$27),0)</f>
        <v>6.5789473684210537E-2</v>
      </c>
      <c r="X564" s="44">
        <f>IF(Mecze[[#This Row],[Role]]&lt;&gt;"BR",SUMPRODUCT(Mecze[[#This Row],[/PR:90]:[/BR:90]],Brudnopis!$E$28:$J$28),0)</f>
        <v>5.2631578947368418E-2</v>
      </c>
      <c r="Y564" s="35">
        <f>IF(Mecze[[#This Row],[Role]]="BR",Mecze[[#This Row],[/OB:90]]+Mecze[[#This Row],[/PC:90]],SUM(Mecze[[#This Row],[/PR:90]:[/BR:90]]))</f>
        <v>5.2631578947368418E-2</v>
      </c>
      <c r="Z564" s="35">
        <f>IF(Mecze[[#This Row],[KC]]=0,SUM(Mecze[[#This Row],[/BRI]:[/NPI]]),SUM(Mecze[[#This Row],[/BRI]:[/NPI]])*0.6)</f>
        <v>0.29736842105263162</v>
      </c>
      <c r="AA564" s="10">
        <f>IFERROR(Mecze[[#This Row],[BR]]/Mecze[[#This Row],[ST]],0)</f>
        <v>0</v>
      </c>
      <c r="AB564">
        <f>ROUND(Mecze[[#This Row],[PD]]*Mecze[[#This Row],[%PC]],0)</f>
        <v>3</v>
      </c>
      <c r="AC564">
        <f>ROUND(Mecze[[#This Row],[OD]]*Mecze[[#This Row],[%OU]],0)</f>
        <v>1</v>
      </c>
      <c r="AD564" s="36" t="s">
        <v>44</v>
      </c>
      <c r="AE564" s="36">
        <v>32</v>
      </c>
      <c r="AF564" s="71">
        <v>2.93</v>
      </c>
      <c r="AG564" s="37">
        <v>0</v>
      </c>
      <c r="AH564" s="37">
        <v>0</v>
      </c>
      <c r="AI564" s="37">
        <v>95</v>
      </c>
      <c r="AJ564" s="37">
        <v>8</v>
      </c>
      <c r="AK564" s="37" t="str">
        <f>VLOOKUP(Mecze[[#This Row],[Match ID]],Meczusie[Mecz]:Meczusie[RodzajMeczu],2,FALSE)</f>
        <v>Liga</v>
      </c>
    </row>
    <row r="565" spans="1:37" x14ac:dyDescent="0.25">
      <c r="A565" s="76">
        <v>14</v>
      </c>
      <c r="B565" s="3" t="s">
        <v>312</v>
      </c>
      <c r="C565" s="2" t="s">
        <v>165</v>
      </c>
      <c r="D565" s="1">
        <v>2</v>
      </c>
      <c r="E565" s="1">
        <v>3</v>
      </c>
      <c r="F565" s="1">
        <v>3</v>
      </c>
      <c r="G565" s="1">
        <v>11</v>
      </c>
      <c r="H565" s="4">
        <v>0.82</v>
      </c>
      <c r="I565" s="1">
        <v>1</v>
      </c>
      <c r="J565" s="4">
        <v>1</v>
      </c>
      <c r="K565" s="1">
        <v>0</v>
      </c>
      <c r="L565" s="1">
        <v>1</v>
      </c>
      <c r="M565" s="32">
        <f>IF(Mecze[[#This Row],[PR]]=0,0,Mecze[[#This Row],[PR]]/Mecze[[#This Row],[CZAS]])</f>
        <v>1.0526315789473684E-2</v>
      </c>
      <c r="N565" s="32">
        <f>IF(Mecze[[#This Row],[OU]]=0,0,Mecze[[#This Row],[OU]]/Mecze[[#This Row],[CZAS]])</f>
        <v>1.0526315789473684E-2</v>
      </c>
      <c r="O565" s="32">
        <f>IF(Mecze[[#This Row],[PC]]=0,0,Mecze[[#This Row],[PC]]/Mecze[[#This Row],[CZAS]])</f>
        <v>9.4736842105263161E-2</v>
      </c>
      <c r="P565" s="32">
        <f>IF(Mecze[[#This Row],[SC]]=0,0,Mecze[[#This Row],[SC]]/Mecze[[#This Row],[CZAS]])</f>
        <v>3.1578947368421054E-2</v>
      </c>
      <c r="Q565" s="32">
        <f>IF(Mecze[[#This Row],[OB]]=0,0,Mecze[[#This Row],[OB]]/Mecze[[#This Row],[CZAS]])</f>
        <v>0</v>
      </c>
      <c r="R565" s="32">
        <f>IF(Mecze[[#This Row],[BR]]=0,0,Mecze[[#This Row],[BR]]/Mecze[[#This Row],[CZAS]])</f>
        <v>2.1052631578947368E-2</v>
      </c>
      <c r="S565" s="44">
        <f>IF(Mecze[[#This Row],[Role]]="BR",SUMPRODUCT(Mecze[[#This Row],[/PR:90]:[/BR:90]],Brudnopis!$E$23:$J$23),0)</f>
        <v>0</v>
      </c>
      <c r="T565" s="44">
        <f>IF(Mecze[[#This Row],[Role]]&lt;&gt;"BR",SUMPRODUCT(Mecze[[#This Row],[/PR:90]:[/BR:90]],Brudnopis!$E$24:$J$24),0)</f>
        <v>0.18421052631578949</v>
      </c>
      <c r="U565" s="44">
        <f>IF(Mecze[[#This Row],[Role]]&lt;&gt;"BR",SUMPRODUCT(Mecze[[#This Row],[/PR:90]:[/BR:90]],Brudnopis!$E$25:$J$25),0)</f>
        <v>0.22631578947368419</v>
      </c>
      <c r="V565" s="44">
        <f>IF(Mecze[[#This Row],[Role]]&lt;&gt;"BR",SUMPRODUCT(Mecze[[#This Row],[/PR:90]:[/BR:90]],Brudnopis!$E$26:$J$26),0)</f>
        <v>0.18947368421052632</v>
      </c>
      <c r="W565" s="44">
        <f>IF(Mecze[[#This Row],[Role]]&lt;&gt;"BR",SUMPRODUCT(Mecze[[#This Row],[/PR:90]:[/BR:90]],Brudnopis!$E$27:$J$27),0)</f>
        <v>0.23157894736842102</v>
      </c>
      <c r="X565" s="44">
        <f>IF(Mecze[[#This Row],[Role]]&lt;&gt;"BR",SUMPRODUCT(Mecze[[#This Row],[/PR:90]:[/BR:90]],Brudnopis!$E$28:$J$28),0)</f>
        <v>0.22105263157894736</v>
      </c>
      <c r="Y565" s="35">
        <f>IF(Mecze[[#This Row],[Role]]="BR",Mecze[[#This Row],[/OB:90]]+Mecze[[#This Row],[/PC:90]],SUM(Mecze[[#This Row],[/PR:90]:[/BR:90]]))</f>
        <v>0.16842105263157897</v>
      </c>
      <c r="Z565" s="35">
        <f>IF(Mecze[[#This Row],[KC]]=0,SUM(Mecze[[#This Row],[/BRI]:[/NPI]]),SUM(Mecze[[#This Row],[/BRI]:[/NPI]])*0.6)</f>
        <v>1.0526315789473684</v>
      </c>
      <c r="AA565" s="10">
        <f>IFERROR(Mecze[[#This Row],[BR]]/Mecze[[#This Row],[ST]],0)</f>
        <v>0.66666666666666663</v>
      </c>
      <c r="AB565">
        <f>ROUND(Mecze[[#This Row],[PD]]*Mecze[[#This Row],[%PC]],0)</f>
        <v>9</v>
      </c>
      <c r="AC565">
        <f>ROUND(Mecze[[#This Row],[OD]]*Mecze[[#This Row],[%OU]],0)</f>
        <v>1</v>
      </c>
      <c r="AD565" s="36" t="s">
        <v>273</v>
      </c>
      <c r="AE565" s="36">
        <v>32</v>
      </c>
      <c r="AF565" s="71">
        <v>10.220000000000001</v>
      </c>
      <c r="AG565" s="37">
        <v>0</v>
      </c>
      <c r="AH565" s="37">
        <v>0</v>
      </c>
      <c r="AI565" s="37">
        <v>95</v>
      </c>
      <c r="AJ565" s="37">
        <v>8</v>
      </c>
      <c r="AK565" s="37" t="str">
        <f>VLOOKUP(Mecze[[#This Row],[Match ID]],Meczusie[Mecz]:Meczusie[RodzajMeczu],2,FALSE)</f>
        <v>Liga</v>
      </c>
    </row>
    <row r="566" spans="1:37" x14ac:dyDescent="0.25">
      <c r="A566" s="76">
        <v>13</v>
      </c>
      <c r="B566" s="3" t="s">
        <v>313</v>
      </c>
      <c r="C566" s="2" t="s">
        <v>165</v>
      </c>
      <c r="D566" s="1">
        <v>0</v>
      </c>
      <c r="E566" s="1">
        <v>2</v>
      </c>
      <c r="F566" s="1">
        <v>2</v>
      </c>
      <c r="G566" s="1">
        <v>5</v>
      </c>
      <c r="H566" s="4">
        <v>1</v>
      </c>
      <c r="I566" s="1">
        <v>2</v>
      </c>
      <c r="J566" s="4">
        <v>1</v>
      </c>
      <c r="K566" s="1">
        <v>0</v>
      </c>
      <c r="L566" s="1">
        <v>0</v>
      </c>
      <c r="M566" s="32">
        <f>IF(Mecze[[#This Row],[PR]]=0,0,Mecze[[#This Row],[PR]]/Mecze[[#This Row],[CZAS]])</f>
        <v>0</v>
      </c>
      <c r="N566" s="32">
        <f>IF(Mecze[[#This Row],[OU]]=0,0,Mecze[[#This Row],[OU]]/Mecze[[#This Row],[CZAS]])</f>
        <v>2.6315789473684209E-2</v>
      </c>
      <c r="O566" s="32">
        <f>IF(Mecze[[#This Row],[PC]]=0,0,Mecze[[#This Row],[PC]]/Mecze[[#This Row],[CZAS]])</f>
        <v>6.5789473684210523E-2</v>
      </c>
      <c r="P566" s="32">
        <f>IF(Mecze[[#This Row],[SC]]=0,0,Mecze[[#This Row],[SC]]/Mecze[[#This Row],[CZAS]])</f>
        <v>2.6315789473684209E-2</v>
      </c>
      <c r="Q566" s="32">
        <f>IF(Mecze[[#This Row],[OB]]=0,0,Mecze[[#This Row],[OB]]/Mecze[[#This Row],[CZAS]])</f>
        <v>0</v>
      </c>
      <c r="R566" s="32">
        <f>IF(Mecze[[#This Row],[BR]]=0,0,Mecze[[#This Row],[BR]]/Mecze[[#This Row],[CZAS]])</f>
        <v>0</v>
      </c>
      <c r="S566" s="44">
        <f>IF(Mecze[[#This Row],[Role]]="BR",SUMPRODUCT(Mecze[[#This Row],[/PR:90]:[/BR:90]],Brudnopis!$E$23:$J$23),0)</f>
        <v>0</v>
      </c>
      <c r="T566" s="44">
        <f>IF(Mecze[[#This Row],[Role]]&lt;&gt;"BR",SUMPRODUCT(Mecze[[#This Row],[/PR:90]:[/BR:90]],Brudnopis!$E$24:$J$24),0)</f>
        <v>0.13157894736842105</v>
      </c>
      <c r="U566" s="44">
        <f>IF(Mecze[[#This Row],[Role]]&lt;&gt;"BR",SUMPRODUCT(Mecze[[#This Row],[/PR:90]:[/BR:90]],Brudnopis!$E$25:$J$25),0)</f>
        <v>0.15131578947368421</v>
      </c>
      <c r="V566" s="44">
        <f>IF(Mecze[[#This Row],[Role]]&lt;&gt;"BR",SUMPRODUCT(Mecze[[#This Row],[/PR:90]:[/BR:90]],Brudnopis!$E$26:$J$26),0)</f>
        <v>0.11842105263157894</v>
      </c>
      <c r="W566" s="44">
        <f>IF(Mecze[[#This Row],[Role]]&lt;&gt;"BR",SUMPRODUCT(Mecze[[#This Row],[/PR:90]:[/BR:90]],Brudnopis!$E$27:$J$27),0)</f>
        <v>0.14473684210526316</v>
      </c>
      <c r="X566" s="44">
        <f>IF(Mecze[[#This Row],[Role]]&lt;&gt;"BR",SUMPRODUCT(Mecze[[#This Row],[/PR:90]:[/BR:90]],Brudnopis!$E$28:$J$28),0)</f>
        <v>0.11842105263157894</v>
      </c>
      <c r="Y566" s="35">
        <f>IF(Mecze[[#This Row],[Role]]="BR",Mecze[[#This Row],[/OB:90]]+Mecze[[#This Row],[/PC:90]],SUM(Mecze[[#This Row],[/PR:90]:[/BR:90]]))</f>
        <v>0.11842105263157894</v>
      </c>
      <c r="Z566" s="35">
        <f>IF(Mecze[[#This Row],[KC]]=0,SUM(Mecze[[#This Row],[/BRI]:[/NPI]]),SUM(Mecze[[#This Row],[/BRI]:[/NPI]])*0.6)</f>
        <v>0.66447368421052633</v>
      </c>
      <c r="AA566" s="10">
        <f>IFERROR(Mecze[[#This Row],[BR]]/Mecze[[#This Row],[ST]],0)</f>
        <v>0</v>
      </c>
      <c r="AB566">
        <f>ROUND(Mecze[[#This Row],[PD]]*Mecze[[#This Row],[%PC]],0)</f>
        <v>5</v>
      </c>
      <c r="AC566">
        <f>ROUND(Mecze[[#This Row],[OD]]*Mecze[[#This Row],[%OU]],0)</f>
        <v>2</v>
      </c>
      <c r="AD566" s="36" t="s">
        <v>272</v>
      </c>
      <c r="AE566" s="36">
        <v>32</v>
      </c>
      <c r="AF566" s="71">
        <v>5.18</v>
      </c>
      <c r="AG566" s="37">
        <v>1</v>
      </c>
      <c r="AH566" s="37">
        <v>0</v>
      </c>
      <c r="AI566" s="37">
        <v>76</v>
      </c>
      <c r="AJ566" s="37">
        <v>8</v>
      </c>
      <c r="AK566" s="37" t="str">
        <f>VLOOKUP(Mecze[[#This Row],[Match ID]],Meczusie[Mecz]:Meczusie[RodzajMeczu],2,FALSE)</f>
        <v>Liga</v>
      </c>
    </row>
    <row r="567" spans="1:37" x14ac:dyDescent="0.25">
      <c r="A567" s="76">
        <v>8</v>
      </c>
      <c r="B567" s="3" t="s">
        <v>314</v>
      </c>
      <c r="C567" s="2" t="s">
        <v>165</v>
      </c>
      <c r="D567" s="1">
        <v>1</v>
      </c>
      <c r="E567" s="1">
        <v>4</v>
      </c>
      <c r="F567" s="1">
        <v>4</v>
      </c>
      <c r="G567" s="1">
        <v>16</v>
      </c>
      <c r="H567" s="4">
        <v>0.88</v>
      </c>
      <c r="I567" s="1">
        <v>3</v>
      </c>
      <c r="J567" s="4">
        <v>0.67</v>
      </c>
      <c r="K567" s="1">
        <v>0</v>
      </c>
      <c r="L567" s="1">
        <v>0</v>
      </c>
      <c r="M567" s="32">
        <f>IF(Mecze[[#This Row],[PR]]=0,0,Mecze[[#This Row],[PR]]/Mecze[[#This Row],[CZAS]])</f>
        <v>0</v>
      </c>
      <c r="N567" s="32">
        <f>IF(Mecze[[#This Row],[OU]]=0,0,Mecze[[#This Row],[OU]]/Mecze[[#This Row],[CZAS]])</f>
        <v>2.1052631578947368E-2</v>
      </c>
      <c r="O567" s="32">
        <f>IF(Mecze[[#This Row],[PC]]=0,0,Mecze[[#This Row],[PC]]/Mecze[[#This Row],[CZAS]])</f>
        <v>0.14736842105263157</v>
      </c>
      <c r="P567" s="32">
        <f>IF(Mecze[[#This Row],[SC]]=0,0,Mecze[[#This Row],[SC]]/Mecze[[#This Row],[CZAS]])</f>
        <v>4.2105263157894736E-2</v>
      </c>
      <c r="Q567" s="32">
        <f>IF(Mecze[[#This Row],[OB]]=0,0,Mecze[[#This Row],[OB]]/Mecze[[#This Row],[CZAS]])</f>
        <v>0</v>
      </c>
      <c r="R567" s="32">
        <f>IF(Mecze[[#This Row],[BR]]=0,0,Mecze[[#This Row],[BR]]/Mecze[[#This Row],[CZAS]])</f>
        <v>1.0526315789473684E-2</v>
      </c>
      <c r="S567" s="44">
        <f>IF(Mecze[[#This Row],[Role]]="BR",SUMPRODUCT(Mecze[[#This Row],[/PR:90]:[/BR:90]],Brudnopis!$E$23:$J$23),0)</f>
        <v>0</v>
      </c>
      <c r="T567" s="44">
        <f>IF(Mecze[[#This Row],[Role]]&lt;&gt;"BR",SUMPRODUCT(Mecze[[#This Row],[/PR:90]:[/BR:90]],Brudnopis!$E$24:$J$24),0)</f>
        <v>0.23684210526315788</v>
      </c>
      <c r="U567" s="44">
        <f>IF(Mecze[[#This Row],[Role]]&lt;&gt;"BR",SUMPRODUCT(Mecze[[#This Row],[/PR:90]:[/BR:90]],Brudnopis!$E$25:$J$25),0)</f>
        <v>0.3</v>
      </c>
      <c r="V567" s="44">
        <f>IF(Mecze[[#This Row],[Role]]&lt;&gt;"BR",SUMPRODUCT(Mecze[[#This Row],[/PR:90]:[/BR:90]],Brudnopis!$E$26:$J$26),0)</f>
        <v>0.23157894736842105</v>
      </c>
      <c r="W567" s="44">
        <f>IF(Mecze[[#This Row],[Role]]&lt;&gt;"BR",SUMPRODUCT(Mecze[[#This Row],[/PR:90]:[/BR:90]],Brudnopis!$E$27:$J$27),0)</f>
        <v>0.3</v>
      </c>
      <c r="X567" s="44">
        <f>IF(Mecze[[#This Row],[Role]]&lt;&gt;"BR",SUMPRODUCT(Mecze[[#This Row],[/PR:90]:[/BR:90]],Brudnopis!$E$28:$J$28),0)</f>
        <v>0.26315789473684209</v>
      </c>
      <c r="Y567" s="35">
        <f>IF(Mecze[[#This Row],[Role]]="BR",Mecze[[#This Row],[/OB:90]]+Mecze[[#This Row],[/PC:90]],SUM(Mecze[[#This Row],[/PR:90]:[/BR:90]]))</f>
        <v>0.22105263157894736</v>
      </c>
      <c r="Z567" s="35">
        <f>IF(Mecze[[#This Row],[KC]]=0,SUM(Mecze[[#This Row],[/BRI]:[/NPI]]),SUM(Mecze[[#This Row],[/BRI]:[/NPI]])*0.6)</f>
        <v>1.331578947368421</v>
      </c>
      <c r="AA567" s="10">
        <f>IFERROR(Mecze[[#This Row],[BR]]/Mecze[[#This Row],[ST]],0)</f>
        <v>0.25</v>
      </c>
      <c r="AB567">
        <f>ROUND(Mecze[[#This Row],[PD]]*Mecze[[#This Row],[%PC]],0)</f>
        <v>14</v>
      </c>
      <c r="AC567">
        <f>ROUND(Mecze[[#This Row],[OD]]*Mecze[[#This Row],[%OU]],0)</f>
        <v>2</v>
      </c>
      <c r="AD567" s="36" t="s">
        <v>46</v>
      </c>
      <c r="AE567" s="36">
        <v>32</v>
      </c>
      <c r="AF567" s="71">
        <v>8.14</v>
      </c>
      <c r="AG567" s="37">
        <v>0</v>
      </c>
      <c r="AH567" s="37">
        <v>0</v>
      </c>
      <c r="AI567" s="37">
        <v>95</v>
      </c>
      <c r="AJ567" s="37">
        <v>8</v>
      </c>
      <c r="AK567" s="37" t="str">
        <f>VLOOKUP(Mecze[[#This Row],[Match ID]],Meczusie[Mecz]:Meczusie[RodzajMeczu],2,FALSE)</f>
        <v>Liga</v>
      </c>
    </row>
    <row r="568" spans="1:37" x14ac:dyDescent="0.25">
      <c r="A568" s="76">
        <v>17</v>
      </c>
      <c r="B568" s="3" t="s">
        <v>317</v>
      </c>
      <c r="C568" s="2" t="s">
        <v>165</v>
      </c>
      <c r="D568" s="1">
        <v>0</v>
      </c>
      <c r="E568" s="1">
        <v>2</v>
      </c>
      <c r="F568" s="1">
        <v>2</v>
      </c>
      <c r="G568" s="1">
        <v>2</v>
      </c>
      <c r="H568" s="4">
        <v>0.5</v>
      </c>
      <c r="I568" s="1">
        <v>1</v>
      </c>
      <c r="J568" s="4">
        <v>1</v>
      </c>
      <c r="K568" s="1">
        <v>0</v>
      </c>
      <c r="L568" s="1">
        <v>0</v>
      </c>
      <c r="M568" s="32">
        <f>IF(Mecze[[#This Row],[PR]]=0,0,Mecze[[#This Row],[PR]]/Mecze[[#This Row],[CZAS]])</f>
        <v>0</v>
      </c>
      <c r="N568" s="32">
        <f>IF(Mecze[[#This Row],[OU]]=0,0,Mecze[[#This Row],[OU]]/Mecze[[#This Row],[CZAS]])</f>
        <v>5.2631578947368418E-2</v>
      </c>
      <c r="O568" s="32">
        <f>IF(Mecze[[#This Row],[PC]]=0,0,Mecze[[#This Row],[PC]]/Mecze[[#This Row],[CZAS]])</f>
        <v>5.2631578947368418E-2</v>
      </c>
      <c r="P568" s="32">
        <f>IF(Mecze[[#This Row],[SC]]=0,0,Mecze[[#This Row],[SC]]/Mecze[[#This Row],[CZAS]])</f>
        <v>0.10526315789473684</v>
      </c>
      <c r="Q568" s="32">
        <f>IF(Mecze[[#This Row],[OB]]=0,0,Mecze[[#This Row],[OB]]/Mecze[[#This Row],[CZAS]])</f>
        <v>0</v>
      </c>
      <c r="R568" s="32">
        <f>IF(Mecze[[#This Row],[BR]]=0,0,Mecze[[#This Row],[BR]]/Mecze[[#This Row],[CZAS]])</f>
        <v>0</v>
      </c>
      <c r="S568" s="44">
        <f>IF(Mecze[[#This Row],[Role]]="BR",SUMPRODUCT(Mecze[[#This Row],[/PR:90]:[/BR:90]],Brudnopis!$E$23:$J$23),0)</f>
        <v>0</v>
      </c>
      <c r="T568" s="44">
        <f>IF(Mecze[[#This Row],[Role]]&lt;&gt;"BR",SUMPRODUCT(Mecze[[#This Row],[/PR:90]:[/BR:90]],Brudnopis!$E$24:$J$24),0)</f>
        <v>0.23684210526315788</v>
      </c>
      <c r="U568" s="44">
        <f>IF(Mecze[[#This Row],[Role]]&lt;&gt;"BR",SUMPRODUCT(Mecze[[#This Row],[/PR:90]:[/BR:90]],Brudnopis!$E$25:$J$25),0)</f>
        <v>0.23684210526315788</v>
      </c>
      <c r="V568" s="44">
        <f>IF(Mecze[[#This Row],[Role]]&lt;&gt;"BR",SUMPRODUCT(Mecze[[#This Row],[/PR:90]:[/BR:90]],Brudnopis!$E$26:$J$26),0)</f>
        <v>0.21052631578947367</v>
      </c>
      <c r="W568" s="44">
        <f>IF(Mecze[[#This Row],[Role]]&lt;&gt;"BR",SUMPRODUCT(Mecze[[#This Row],[/PR:90]:[/BR:90]],Brudnopis!$E$27:$J$27),0)</f>
        <v>0.22368421052631576</v>
      </c>
      <c r="X568" s="44">
        <f>IF(Mecze[[#This Row],[Role]]&lt;&gt;"BR",SUMPRODUCT(Mecze[[#This Row],[/PR:90]:[/BR:90]],Brudnopis!$E$28:$J$28),0)</f>
        <v>0.26315789473684209</v>
      </c>
      <c r="Y568" s="35">
        <f>IF(Mecze[[#This Row],[Role]]="BR",Mecze[[#This Row],[/OB:90]]+Mecze[[#This Row],[/PC:90]],SUM(Mecze[[#This Row],[/PR:90]:[/BR:90]]))</f>
        <v>0.21052631578947367</v>
      </c>
      <c r="Z568" s="35">
        <f>IF(Mecze[[#This Row],[KC]]=0,SUM(Mecze[[#This Row],[/BRI]:[/NPI]]),SUM(Mecze[[#This Row],[/BRI]:[/NPI]])*0.6)</f>
        <v>1.1710526315789471</v>
      </c>
      <c r="AA568" s="10">
        <f>IFERROR(Mecze[[#This Row],[BR]]/Mecze[[#This Row],[ST]],0)</f>
        <v>0</v>
      </c>
      <c r="AB568">
        <f>ROUND(Mecze[[#This Row],[PD]]*Mecze[[#This Row],[%PC]],0)</f>
        <v>1</v>
      </c>
      <c r="AC568">
        <f>ROUND(Mecze[[#This Row],[OD]]*Mecze[[#This Row],[%OU]],0)</f>
        <v>1</v>
      </c>
      <c r="AD568" s="36" t="s">
        <v>272</v>
      </c>
      <c r="AE568" s="36">
        <v>32</v>
      </c>
      <c r="AF568" s="71">
        <v>0.94</v>
      </c>
      <c r="AG568" s="37">
        <v>0</v>
      </c>
      <c r="AH568" s="37">
        <v>0</v>
      </c>
      <c r="AI568" s="37">
        <v>19</v>
      </c>
      <c r="AJ568" s="37">
        <v>8</v>
      </c>
      <c r="AK568" s="37" t="str">
        <f>VLOOKUP(Mecze[[#This Row],[Match ID]],Meczusie[Mecz]:Meczusie[RodzajMeczu],2,FALSE)</f>
        <v>Liga</v>
      </c>
    </row>
    <row r="569" spans="1:37" x14ac:dyDescent="0.25">
      <c r="A569" s="76">
        <v>4</v>
      </c>
      <c r="B569" s="3" t="s">
        <v>316</v>
      </c>
      <c r="C569" s="2" t="s">
        <v>157</v>
      </c>
      <c r="D569" s="1">
        <v>0</v>
      </c>
      <c r="E569" s="1">
        <v>0</v>
      </c>
      <c r="F569" s="1">
        <v>0</v>
      </c>
      <c r="G569" s="1">
        <v>2</v>
      </c>
      <c r="H569" s="4">
        <v>0.5</v>
      </c>
      <c r="I569" s="1">
        <v>2</v>
      </c>
      <c r="J569" s="4">
        <v>0.5</v>
      </c>
      <c r="K569" s="1">
        <v>0</v>
      </c>
      <c r="L569" s="1">
        <v>2</v>
      </c>
      <c r="M569" s="32">
        <f>IF(Mecze[[#This Row],[PR]]=0,0,Mecze[[#This Row],[PR]]/Mecze[[#This Row],[CZAS]])</f>
        <v>0.10526315789473684</v>
      </c>
      <c r="N569" s="32">
        <f>IF(Mecze[[#This Row],[OU]]=0,0,Mecze[[#This Row],[OU]]/Mecze[[#This Row],[CZAS]])</f>
        <v>5.2631578947368418E-2</v>
      </c>
      <c r="O569" s="32">
        <f>IF(Mecze[[#This Row],[PC]]=0,0,Mecze[[#This Row],[PC]]/Mecze[[#This Row],[CZAS]])</f>
        <v>5.2631578947368418E-2</v>
      </c>
      <c r="P569" s="32">
        <f>IF(Mecze[[#This Row],[SC]]=0,0,Mecze[[#This Row],[SC]]/Mecze[[#This Row],[CZAS]])</f>
        <v>0</v>
      </c>
      <c r="Q569" s="32">
        <f>IF(Mecze[[#This Row],[OB]]=0,0,Mecze[[#This Row],[OB]]/Mecze[[#This Row],[CZAS]])</f>
        <v>0</v>
      </c>
      <c r="R569" s="32">
        <f>IF(Mecze[[#This Row],[BR]]=0,0,Mecze[[#This Row],[BR]]/Mecze[[#This Row],[CZAS]])</f>
        <v>0</v>
      </c>
      <c r="S569" s="44">
        <f>IF(Mecze[[#This Row],[Role]]="BR",SUMPRODUCT(Mecze[[#This Row],[/PR:90]:[/BR:90]],Brudnopis!$E$23:$J$23),0)</f>
        <v>0</v>
      </c>
      <c r="T569" s="44">
        <f>IF(Mecze[[#This Row],[Role]]&lt;&gt;"BR",SUMPRODUCT(Mecze[[#This Row],[/PR:90]:[/BR:90]],Brudnopis!$E$24:$J$24),0)</f>
        <v>0.23684210526315788</v>
      </c>
      <c r="U569" s="44">
        <f>IF(Mecze[[#This Row],[Role]]&lt;&gt;"BR",SUMPRODUCT(Mecze[[#This Row],[/PR:90]:[/BR:90]],Brudnopis!$E$25:$J$25),0)</f>
        <v>0.23684210526315788</v>
      </c>
      <c r="V569" s="44">
        <f>IF(Mecze[[#This Row],[Role]]&lt;&gt;"BR",SUMPRODUCT(Mecze[[#This Row],[/PR:90]:[/BR:90]],Brudnopis!$E$26:$J$26),0)</f>
        <v>0.21052631578947367</v>
      </c>
      <c r="W569" s="44">
        <f>IF(Mecze[[#This Row],[Role]]&lt;&gt;"BR",SUMPRODUCT(Mecze[[#This Row],[/PR:90]:[/BR:90]],Brudnopis!$E$27:$J$27),0)</f>
        <v>0.19736842105263158</v>
      </c>
      <c r="X569" s="44">
        <f>IF(Mecze[[#This Row],[Role]]&lt;&gt;"BR",SUMPRODUCT(Mecze[[#This Row],[/PR:90]:[/BR:90]],Brudnopis!$E$28:$J$28),0)</f>
        <v>5.2631578947368418E-2</v>
      </c>
      <c r="Y569" s="35">
        <f>IF(Mecze[[#This Row],[Role]]="BR",Mecze[[#This Row],[/OB:90]]+Mecze[[#This Row],[/PC:90]],SUM(Mecze[[#This Row],[/PR:90]:[/BR:90]]))</f>
        <v>0.21052631578947367</v>
      </c>
      <c r="Z569" s="35">
        <f>IF(Mecze[[#This Row],[KC]]=0,SUM(Mecze[[#This Row],[/BRI]:[/NPI]]),SUM(Mecze[[#This Row],[/BRI]:[/NPI]])*0.6)</f>
        <v>0.93421052631578938</v>
      </c>
      <c r="AA569" s="10">
        <f>IFERROR(Mecze[[#This Row],[BR]]/Mecze[[#This Row],[ST]],0)</f>
        <v>0</v>
      </c>
      <c r="AB569">
        <f>ROUND(Mecze[[#This Row],[PD]]*Mecze[[#This Row],[%PC]],0)</f>
        <v>1</v>
      </c>
      <c r="AC569">
        <f>ROUND(Mecze[[#This Row],[OD]]*Mecze[[#This Row],[%OU]],0)</f>
        <v>1</v>
      </c>
      <c r="AD569" s="36" t="s">
        <v>167</v>
      </c>
      <c r="AE569" s="36">
        <v>32</v>
      </c>
      <c r="AF569" s="71">
        <v>-1.2</v>
      </c>
      <c r="AG569" s="37">
        <v>0</v>
      </c>
      <c r="AH569" s="37">
        <v>0</v>
      </c>
      <c r="AI569" s="37">
        <v>19</v>
      </c>
      <c r="AJ569" s="37">
        <v>8</v>
      </c>
      <c r="AK569" s="37" t="str">
        <f>VLOOKUP(Mecze[[#This Row],[Match ID]],Meczusie[Mecz]:Meczusie[RodzajMeczu],2,FALSE)</f>
        <v>Liga</v>
      </c>
    </row>
    <row r="570" spans="1:37" x14ac:dyDescent="0.25">
      <c r="A570" s="76">
        <v>15</v>
      </c>
      <c r="B570" s="3" t="s">
        <v>310</v>
      </c>
      <c r="C570" s="2" t="s">
        <v>160</v>
      </c>
      <c r="D570" s="1">
        <v>0</v>
      </c>
      <c r="E570" s="1">
        <v>0</v>
      </c>
      <c r="F570" s="1">
        <v>0</v>
      </c>
      <c r="G570" s="1">
        <v>0</v>
      </c>
      <c r="H570" s="72"/>
      <c r="I570" s="1">
        <v>0</v>
      </c>
      <c r="J570" s="4"/>
      <c r="K570" s="1">
        <v>0</v>
      </c>
      <c r="L570" s="1">
        <v>0</v>
      </c>
      <c r="M570" s="32">
        <f>IF(Mecze[[#This Row],[PR]]=0,0,Mecze[[#This Row],[PR]]/Mecze[[#This Row],[CZAS]])</f>
        <v>0</v>
      </c>
      <c r="N570" s="32">
        <f>IF(Mecze[[#This Row],[OU]]=0,0,Mecze[[#This Row],[OU]]/Mecze[[#This Row],[CZAS]])</f>
        <v>0</v>
      </c>
      <c r="O570" s="32">
        <f>IF(Mecze[[#This Row],[PC]]=0,0,Mecze[[#This Row],[PC]]/Mecze[[#This Row],[CZAS]])</f>
        <v>0</v>
      </c>
      <c r="P570" s="32">
        <f>IF(Mecze[[#This Row],[SC]]=0,0,Mecze[[#This Row],[SC]]/Mecze[[#This Row],[CZAS]])</f>
        <v>0</v>
      </c>
      <c r="Q570" s="32">
        <f>IF(Mecze[[#This Row],[OB]]=0,0,Mecze[[#This Row],[OB]]/Mecze[[#This Row],[CZAS]])</f>
        <v>0</v>
      </c>
      <c r="R570" s="32">
        <f>IF(Mecze[[#This Row],[BR]]=0,0,Mecze[[#This Row],[BR]]/Mecze[[#This Row],[CZAS]])</f>
        <v>0</v>
      </c>
      <c r="S570" s="44">
        <f>IF(Mecze[[#This Row],[Role]]="BR",SUMPRODUCT(Mecze[[#This Row],[/PR:90]:[/BR:90]],Brudnopis!$E$23:$J$23),0)</f>
        <v>0</v>
      </c>
      <c r="T570" s="44">
        <f>IF(Mecze[[#This Row],[Role]]&lt;&gt;"BR",SUMPRODUCT(Mecze[[#This Row],[/PR:90]:[/BR:90]],Brudnopis!$E$24:$J$24),0)</f>
        <v>0</v>
      </c>
      <c r="U570" s="44">
        <f>IF(Mecze[[#This Row],[Role]]&lt;&gt;"BR",SUMPRODUCT(Mecze[[#This Row],[/PR:90]:[/BR:90]],Brudnopis!$E$25:$J$25),0)</f>
        <v>0</v>
      </c>
      <c r="V570" s="44">
        <f>IF(Mecze[[#This Row],[Role]]&lt;&gt;"BR",SUMPRODUCT(Mecze[[#This Row],[/PR:90]:[/BR:90]],Brudnopis!$E$26:$J$26),0)</f>
        <v>0</v>
      </c>
      <c r="W570" s="44">
        <f>IF(Mecze[[#This Row],[Role]]&lt;&gt;"BR",SUMPRODUCT(Mecze[[#This Row],[/PR:90]:[/BR:90]],Brudnopis!$E$27:$J$27),0)</f>
        <v>0</v>
      </c>
      <c r="X570" s="44">
        <f>IF(Mecze[[#This Row],[Role]]&lt;&gt;"BR",SUMPRODUCT(Mecze[[#This Row],[/PR:90]:[/BR:90]],Brudnopis!$E$28:$J$28),0)</f>
        <v>0</v>
      </c>
      <c r="Y570" s="35">
        <f>IF(Mecze[[#This Row],[Role]]="BR",Mecze[[#This Row],[/OB:90]]+Mecze[[#This Row],[/PC:90]],SUM(Mecze[[#This Row],[/PR:90]:[/BR:90]]))</f>
        <v>0</v>
      </c>
      <c r="Z570" s="35">
        <f>IF(Mecze[[#This Row],[KC]]=0,SUM(Mecze[[#This Row],[/BRI]:[/NPI]]),SUM(Mecze[[#This Row],[/BRI]:[/NPI]])*0.6)</f>
        <v>0</v>
      </c>
      <c r="AA570" s="10">
        <f>IFERROR(Mecze[[#This Row],[BR]]/Mecze[[#This Row],[ST]],0)</f>
        <v>0</v>
      </c>
      <c r="AB570">
        <f>ROUND(Mecze[[#This Row],[PD]]*Mecze[[#This Row],[%PC]],0)</f>
        <v>0</v>
      </c>
      <c r="AC570">
        <f>ROUND(Mecze[[#This Row],[OD]]*Mecze[[#This Row],[%OU]],0)</f>
        <v>0</v>
      </c>
      <c r="AD570" s="36" t="s">
        <v>319</v>
      </c>
      <c r="AE570" s="36">
        <v>32</v>
      </c>
      <c r="AF570" s="71">
        <v>0.5</v>
      </c>
      <c r="AG570" s="37">
        <v>0</v>
      </c>
      <c r="AH570" s="37">
        <v>0</v>
      </c>
      <c r="AI570" s="37">
        <v>31</v>
      </c>
      <c r="AJ570" s="37">
        <v>8</v>
      </c>
      <c r="AK570" s="37" t="str">
        <f>VLOOKUP(Mecze[[#This Row],[Match ID]],Meczusie[Mecz]:Meczusie[RodzajMeczu],2,FALSE)</f>
        <v>Liga</v>
      </c>
    </row>
    <row r="571" spans="1:37" x14ac:dyDescent="0.25">
      <c r="A571" s="76">
        <v>1</v>
      </c>
      <c r="B571" s="3" t="s">
        <v>274</v>
      </c>
      <c r="C571" s="2" t="s">
        <v>155</v>
      </c>
      <c r="D571" s="1">
        <v>0</v>
      </c>
      <c r="E571" s="1">
        <v>0</v>
      </c>
      <c r="F571" s="1">
        <v>0</v>
      </c>
      <c r="G571" s="1">
        <v>5</v>
      </c>
      <c r="H571" s="4">
        <v>0.6</v>
      </c>
      <c r="I571" s="1">
        <v>0</v>
      </c>
      <c r="J571" s="4"/>
      <c r="K571" s="1">
        <v>4</v>
      </c>
      <c r="L571" s="1">
        <v>0</v>
      </c>
      <c r="M571" s="32">
        <f>IF(Mecze[[#This Row],[PR]]=0,0,Mecze[[#This Row],[PR]]/Mecze[[#This Row],[CZAS]])</f>
        <v>0</v>
      </c>
      <c r="N571" s="32">
        <f>IF(Mecze[[#This Row],[OU]]=0,0,Mecze[[#This Row],[OU]]/Mecze[[#This Row],[CZAS]])</f>
        <v>0</v>
      </c>
      <c r="O571" s="32">
        <f>IF(Mecze[[#This Row],[PC]]=0,0,Mecze[[#This Row],[PC]]/Mecze[[#This Row],[CZAS]])</f>
        <v>3.0612244897959183E-2</v>
      </c>
      <c r="P571" s="32">
        <f>IF(Mecze[[#This Row],[SC]]=0,0,Mecze[[#This Row],[SC]]/Mecze[[#This Row],[CZAS]])</f>
        <v>0</v>
      </c>
      <c r="Q571" s="32">
        <f>IF(Mecze[[#This Row],[OB]]=0,0,Mecze[[#This Row],[OB]]/Mecze[[#This Row],[CZAS]])</f>
        <v>4.0816326530612242E-2</v>
      </c>
      <c r="R571" s="32">
        <f>IF(Mecze[[#This Row],[BR]]=0,0,Mecze[[#This Row],[BR]]/Mecze[[#This Row],[CZAS]])</f>
        <v>0</v>
      </c>
      <c r="S571" s="44">
        <f>IF(Mecze[[#This Row],[Role]]="BR",SUMPRODUCT(Mecze[[#This Row],[/PR:90]:[/BR:90]],Brudnopis!$E$23:$J$23),0)</f>
        <v>0.21428571428571427</v>
      </c>
      <c r="T571" s="44">
        <f>IF(Mecze[[#This Row],[Role]]&lt;&gt;"BR",SUMPRODUCT(Mecze[[#This Row],[/PR:90]:[/BR:90]],Brudnopis!$E$24:$J$24),0)</f>
        <v>0</v>
      </c>
      <c r="U571" s="44">
        <f>IF(Mecze[[#This Row],[Role]]&lt;&gt;"BR",SUMPRODUCT(Mecze[[#This Row],[/PR:90]:[/BR:90]],Brudnopis!$E$25:$J$25),0)</f>
        <v>0</v>
      </c>
      <c r="V571" s="44">
        <f>IF(Mecze[[#This Row],[Role]]&lt;&gt;"BR",SUMPRODUCT(Mecze[[#This Row],[/PR:90]:[/BR:90]],Brudnopis!$E$26:$J$26),0)</f>
        <v>0</v>
      </c>
      <c r="W571" s="44">
        <f>IF(Mecze[[#This Row],[Role]]&lt;&gt;"BR",SUMPRODUCT(Mecze[[#This Row],[/PR:90]:[/BR:90]],Brudnopis!$E$27:$J$27),0)</f>
        <v>0</v>
      </c>
      <c r="X571" s="44">
        <f>IF(Mecze[[#This Row],[Role]]&lt;&gt;"BR",SUMPRODUCT(Mecze[[#This Row],[/PR:90]:[/BR:90]],Brudnopis!$E$28:$J$28),0)</f>
        <v>0</v>
      </c>
      <c r="Y571" s="35">
        <f>IF(Mecze[[#This Row],[Role]]="BR",Mecze[[#This Row],[/OB:90]]+Mecze[[#This Row],[/PC:90]],SUM(Mecze[[#This Row],[/PR:90]:[/BR:90]]))</f>
        <v>7.1428571428571425E-2</v>
      </c>
      <c r="Z571" s="35">
        <f>IF(Mecze[[#This Row],[KC]]=0,SUM(Mecze[[#This Row],[/BRI]:[/NPI]]),SUM(Mecze[[#This Row],[/BRI]:[/NPI]])*0.6)</f>
        <v>0.21428571428571427</v>
      </c>
      <c r="AA571" s="10">
        <f>IFERROR(Mecze[[#This Row],[BR]]/Mecze[[#This Row],[ST]],0)</f>
        <v>0</v>
      </c>
      <c r="AB571">
        <f>ROUND(Mecze[[#This Row],[PD]]*Mecze[[#This Row],[%PC]],0)</f>
        <v>3</v>
      </c>
      <c r="AC571">
        <f>ROUND(Mecze[[#This Row],[OD]]*Mecze[[#This Row],[%OU]],0)</f>
        <v>0</v>
      </c>
      <c r="AD571" s="36" t="s">
        <v>40</v>
      </c>
      <c r="AE571" s="36">
        <v>33</v>
      </c>
      <c r="AF571" s="71">
        <v>4.21</v>
      </c>
      <c r="AG571" s="37">
        <v>0</v>
      </c>
      <c r="AH571" s="37">
        <v>0</v>
      </c>
      <c r="AI571" s="37">
        <v>98</v>
      </c>
      <c r="AJ571" s="37">
        <v>4</v>
      </c>
      <c r="AK571" s="37" t="str">
        <f>VLOOKUP(Mecze[[#This Row],[Match ID]],Meczusie[Mecz]:Meczusie[RodzajMeczu],2,FALSE)</f>
        <v>Liga</v>
      </c>
    </row>
    <row r="572" spans="1:37" x14ac:dyDescent="0.25">
      <c r="A572" s="76">
        <v>9</v>
      </c>
      <c r="B572" s="3" t="s">
        <v>275</v>
      </c>
      <c r="C572" s="2" t="s">
        <v>157</v>
      </c>
      <c r="D572" s="1">
        <v>0</v>
      </c>
      <c r="E572" s="1">
        <v>0</v>
      </c>
      <c r="F572" s="1">
        <v>0</v>
      </c>
      <c r="G572" s="1">
        <v>9</v>
      </c>
      <c r="H572" s="4">
        <v>1</v>
      </c>
      <c r="I572" s="1">
        <v>3</v>
      </c>
      <c r="J572" s="4">
        <v>0.67</v>
      </c>
      <c r="K572" s="1">
        <v>0</v>
      </c>
      <c r="L572" s="1">
        <v>4</v>
      </c>
      <c r="M572" s="32">
        <f>IF(Mecze[[#This Row],[PR]]=0,0,Mecze[[#This Row],[PR]]/Mecze[[#This Row],[CZAS]])</f>
        <v>4.0816326530612242E-2</v>
      </c>
      <c r="N572" s="32">
        <f>IF(Mecze[[#This Row],[OU]]=0,0,Mecze[[#This Row],[OU]]/Mecze[[#This Row],[CZAS]])</f>
        <v>2.0408163265306121E-2</v>
      </c>
      <c r="O572" s="32">
        <f>IF(Mecze[[#This Row],[PC]]=0,0,Mecze[[#This Row],[PC]]/Mecze[[#This Row],[CZAS]])</f>
        <v>9.1836734693877556E-2</v>
      </c>
      <c r="P572" s="32">
        <f>IF(Mecze[[#This Row],[SC]]=0,0,Mecze[[#This Row],[SC]]/Mecze[[#This Row],[CZAS]])</f>
        <v>0</v>
      </c>
      <c r="Q572" s="32">
        <f>IF(Mecze[[#This Row],[OB]]=0,0,Mecze[[#This Row],[OB]]/Mecze[[#This Row],[CZAS]])</f>
        <v>0</v>
      </c>
      <c r="R572" s="32">
        <f>IF(Mecze[[#This Row],[BR]]=0,0,Mecze[[#This Row],[BR]]/Mecze[[#This Row],[CZAS]])</f>
        <v>0</v>
      </c>
      <c r="S572" s="44">
        <f>IF(Mecze[[#This Row],[Role]]="BR",SUMPRODUCT(Mecze[[#This Row],[/PR:90]:[/BR:90]],Brudnopis!$E$23:$J$23),0)</f>
        <v>0</v>
      </c>
      <c r="T572" s="44">
        <f>IF(Mecze[[#This Row],[Role]]&lt;&gt;"BR",SUMPRODUCT(Mecze[[#This Row],[/PR:90]:[/BR:90]],Brudnopis!$E$24:$J$24),0)</f>
        <v>0.16326530612244899</v>
      </c>
      <c r="U572" s="44">
        <f>IF(Mecze[[#This Row],[Role]]&lt;&gt;"BR",SUMPRODUCT(Mecze[[#This Row],[/PR:90]:[/BR:90]],Brudnopis!$E$25:$J$25),0)</f>
        <v>0.19897959183673469</v>
      </c>
      <c r="V572" s="44">
        <f>IF(Mecze[[#This Row],[Role]]&lt;&gt;"BR",SUMPRODUCT(Mecze[[#This Row],[/PR:90]:[/BR:90]],Brudnopis!$E$26:$J$26),0)</f>
        <v>0.15306122448979592</v>
      </c>
      <c r="W572" s="44">
        <f>IF(Mecze[[#This Row],[Role]]&lt;&gt;"BR",SUMPRODUCT(Mecze[[#This Row],[/PR:90]:[/BR:90]],Brudnopis!$E$27:$J$27),0)</f>
        <v>0.18367346938775511</v>
      </c>
      <c r="X572" s="44">
        <f>IF(Mecze[[#This Row],[Role]]&lt;&gt;"BR",SUMPRODUCT(Mecze[[#This Row],[/PR:90]:[/BR:90]],Brudnopis!$E$28:$J$28),0)</f>
        <v>9.1836734693877556E-2</v>
      </c>
      <c r="Y572" s="35">
        <f>IF(Mecze[[#This Row],[Role]]="BR",Mecze[[#This Row],[/OB:90]]+Mecze[[#This Row],[/PC:90]],SUM(Mecze[[#This Row],[/PR:90]:[/BR:90]]))</f>
        <v>0.15306122448979592</v>
      </c>
      <c r="Z572" s="35">
        <f>IF(Mecze[[#This Row],[KC]]=0,SUM(Mecze[[#This Row],[/BRI]:[/NPI]]),SUM(Mecze[[#This Row],[/BRI]:[/NPI]])*0.6)</f>
        <v>0.79081632653061229</v>
      </c>
      <c r="AA572" s="10">
        <f>IFERROR(Mecze[[#This Row],[BR]]/Mecze[[#This Row],[ST]],0)</f>
        <v>0</v>
      </c>
      <c r="AB572">
        <f>ROUND(Mecze[[#This Row],[PD]]*Mecze[[#This Row],[%PC]],0)</f>
        <v>9</v>
      </c>
      <c r="AC572">
        <f>ROUND(Mecze[[#This Row],[OD]]*Mecze[[#This Row],[%OU]],0)</f>
        <v>2</v>
      </c>
      <c r="AD572" s="36" t="s">
        <v>47</v>
      </c>
      <c r="AE572" s="36">
        <v>33</v>
      </c>
      <c r="AF572" s="71">
        <v>3.55</v>
      </c>
      <c r="AG572" s="37">
        <v>0</v>
      </c>
      <c r="AH572" s="37">
        <v>0</v>
      </c>
      <c r="AI572" s="37">
        <v>98</v>
      </c>
      <c r="AJ572" s="37">
        <v>4</v>
      </c>
      <c r="AK572" s="37" t="str">
        <f>VLOOKUP(Mecze[[#This Row],[Match ID]],Meczusie[Mecz]:Meczusie[RodzajMeczu],2,FALSE)</f>
        <v>Liga</v>
      </c>
    </row>
    <row r="573" spans="1:37" x14ac:dyDescent="0.25">
      <c r="A573" s="76">
        <v>4</v>
      </c>
      <c r="B573" s="3" t="s">
        <v>276</v>
      </c>
      <c r="C573" s="2" t="s">
        <v>157</v>
      </c>
      <c r="D573" s="1">
        <v>0</v>
      </c>
      <c r="E573" s="1">
        <v>0</v>
      </c>
      <c r="F573" s="1">
        <v>0</v>
      </c>
      <c r="G573" s="1">
        <v>15</v>
      </c>
      <c r="H573" s="4">
        <v>0.8</v>
      </c>
      <c r="I573" s="1">
        <v>16</v>
      </c>
      <c r="J573" s="4">
        <v>0.5</v>
      </c>
      <c r="K573" s="1">
        <v>0</v>
      </c>
      <c r="L573" s="1">
        <v>26</v>
      </c>
      <c r="M573" s="32">
        <f>IF(Mecze[[#This Row],[PR]]=0,0,Mecze[[#This Row],[PR]]/Mecze[[#This Row],[CZAS]])</f>
        <v>0.26530612244897961</v>
      </c>
      <c r="N573" s="32">
        <f>IF(Mecze[[#This Row],[OU]]=0,0,Mecze[[#This Row],[OU]]/Mecze[[#This Row],[CZAS]])</f>
        <v>8.1632653061224483E-2</v>
      </c>
      <c r="O573" s="32">
        <f>IF(Mecze[[#This Row],[PC]]=0,0,Mecze[[#This Row],[PC]]/Mecze[[#This Row],[CZAS]])</f>
        <v>0.12244897959183673</v>
      </c>
      <c r="P573" s="32">
        <f>IF(Mecze[[#This Row],[SC]]=0,0,Mecze[[#This Row],[SC]]/Mecze[[#This Row],[CZAS]])</f>
        <v>0</v>
      </c>
      <c r="Q573" s="32">
        <f>IF(Mecze[[#This Row],[OB]]=0,0,Mecze[[#This Row],[OB]]/Mecze[[#This Row],[CZAS]])</f>
        <v>0</v>
      </c>
      <c r="R573" s="32">
        <f>IF(Mecze[[#This Row],[BR]]=0,0,Mecze[[#This Row],[BR]]/Mecze[[#This Row],[CZAS]])</f>
        <v>0</v>
      </c>
      <c r="S573" s="44">
        <f>IF(Mecze[[#This Row],[Role]]="BR",SUMPRODUCT(Mecze[[#This Row],[/PR:90]:[/BR:90]],Brudnopis!$E$23:$J$23),0)</f>
        <v>0</v>
      </c>
      <c r="T573" s="44">
        <f>IF(Mecze[[#This Row],[Role]]&lt;&gt;"BR",SUMPRODUCT(Mecze[[#This Row],[/PR:90]:[/BR:90]],Brudnopis!$E$24:$J$24),0)</f>
        <v>0.51020408163265307</v>
      </c>
      <c r="U573" s="44">
        <f>IF(Mecze[[#This Row],[Role]]&lt;&gt;"BR",SUMPRODUCT(Mecze[[#This Row],[/PR:90]:[/BR:90]],Brudnopis!$E$25:$J$25),0)</f>
        <v>0.53061224489795911</v>
      </c>
      <c r="V573" s="44">
        <f>IF(Mecze[[#This Row],[Role]]&lt;&gt;"BR",SUMPRODUCT(Mecze[[#This Row],[/PR:90]:[/BR:90]],Brudnopis!$E$26:$J$26),0)</f>
        <v>0.46938775510204078</v>
      </c>
      <c r="W573" s="44">
        <f>IF(Mecze[[#This Row],[Role]]&lt;&gt;"BR",SUMPRODUCT(Mecze[[#This Row],[/PR:90]:[/BR:90]],Brudnopis!$E$27:$J$27),0)</f>
        <v>0.44387755102040816</v>
      </c>
      <c r="X573" s="44">
        <f>IF(Mecze[[#This Row],[Role]]&lt;&gt;"BR",SUMPRODUCT(Mecze[[#This Row],[/PR:90]:[/BR:90]],Brudnopis!$E$28:$J$28),0)</f>
        <v>0.12244897959183673</v>
      </c>
      <c r="Y573" s="35">
        <f>IF(Mecze[[#This Row],[Role]]="BR",Mecze[[#This Row],[/OB:90]]+Mecze[[#This Row],[/PC:90]],SUM(Mecze[[#This Row],[/PR:90]:[/BR:90]]))</f>
        <v>0.46938775510204078</v>
      </c>
      <c r="Z573" s="35">
        <f>IF(Mecze[[#This Row],[KC]]=0,SUM(Mecze[[#This Row],[/BRI]:[/NPI]]),SUM(Mecze[[#This Row],[/BRI]:[/NPI]])*0.6)</f>
        <v>2.0765306122448979</v>
      </c>
      <c r="AA573" s="10">
        <f>IFERROR(Mecze[[#This Row],[BR]]/Mecze[[#This Row],[ST]],0)</f>
        <v>0</v>
      </c>
      <c r="AB573">
        <f>ROUND(Mecze[[#This Row],[PD]]*Mecze[[#This Row],[%PC]],0)</f>
        <v>12</v>
      </c>
      <c r="AC573">
        <f>ROUND(Mecze[[#This Row],[OD]]*Mecze[[#This Row],[%OU]],0)</f>
        <v>8</v>
      </c>
      <c r="AD573" s="36" t="s">
        <v>168</v>
      </c>
      <c r="AE573" s="36">
        <v>33</v>
      </c>
      <c r="AF573" s="71">
        <v>8.17</v>
      </c>
      <c r="AG573" s="37">
        <v>0</v>
      </c>
      <c r="AH573" s="37">
        <v>0</v>
      </c>
      <c r="AI573" s="37">
        <v>98</v>
      </c>
      <c r="AJ573" s="37">
        <v>4</v>
      </c>
      <c r="AK573" s="37" t="str">
        <f>VLOOKUP(Mecze[[#This Row],[Match ID]],Meczusie[Mecz]:Meczusie[RodzajMeczu],2,FALSE)</f>
        <v>Liga</v>
      </c>
    </row>
    <row r="574" spans="1:37" x14ac:dyDescent="0.25">
      <c r="A574" s="76">
        <v>5</v>
      </c>
      <c r="B574" s="3" t="s">
        <v>277</v>
      </c>
      <c r="C574" s="2" t="s">
        <v>157</v>
      </c>
      <c r="D574" s="1">
        <v>0</v>
      </c>
      <c r="E574" s="1">
        <v>0</v>
      </c>
      <c r="F574" s="1">
        <v>0</v>
      </c>
      <c r="G574" s="1">
        <v>10</v>
      </c>
      <c r="H574" s="4">
        <v>0.7</v>
      </c>
      <c r="I574" s="1">
        <v>6</v>
      </c>
      <c r="J574" s="4">
        <v>0.67</v>
      </c>
      <c r="K574" s="1">
        <v>0</v>
      </c>
      <c r="L574" s="1">
        <v>4</v>
      </c>
      <c r="M574" s="32">
        <f>IF(Mecze[[#This Row],[PR]]=0,0,Mecze[[#This Row],[PR]]/Mecze[[#This Row],[CZAS]])</f>
        <v>4.4444444444444446E-2</v>
      </c>
      <c r="N574" s="32">
        <f>IF(Mecze[[#This Row],[OU]]=0,0,Mecze[[#This Row],[OU]]/Mecze[[#This Row],[CZAS]])</f>
        <v>4.4444444444444446E-2</v>
      </c>
      <c r="O574" s="32">
        <f>IF(Mecze[[#This Row],[PC]]=0,0,Mecze[[#This Row],[PC]]/Mecze[[#This Row],[CZAS]])</f>
        <v>7.7777777777777779E-2</v>
      </c>
      <c r="P574" s="32">
        <f>IF(Mecze[[#This Row],[SC]]=0,0,Mecze[[#This Row],[SC]]/Mecze[[#This Row],[CZAS]])</f>
        <v>0</v>
      </c>
      <c r="Q574" s="32">
        <f>IF(Mecze[[#This Row],[OB]]=0,0,Mecze[[#This Row],[OB]]/Mecze[[#This Row],[CZAS]])</f>
        <v>0</v>
      </c>
      <c r="R574" s="32">
        <f>IF(Mecze[[#This Row],[BR]]=0,0,Mecze[[#This Row],[BR]]/Mecze[[#This Row],[CZAS]])</f>
        <v>0</v>
      </c>
      <c r="S574" s="44">
        <f>IF(Mecze[[#This Row],[Role]]="BR",SUMPRODUCT(Mecze[[#This Row],[/PR:90]:[/BR:90]],Brudnopis!$E$23:$J$23),0)</f>
        <v>0</v>
      </c>
      <c r="T574" s="44">
        <f>IF(Mecze[[#This Row],[Role]]&lt;&gt;"BR",SUMPRODUCT(Mecze[[#This Row],[/PR:90]:[/BR:90]],Brudnopis!$E$24:$J$24),0)</f>
        <v>0.18888888888888888</v>
      </c>
      <c r="U574" s="44">
        <f>IF(Mecze[[#This Row],[Role]]&lt;&gt;"BR",SUMPRODUCT(Mecze[[#This Row],[/PR:90]:[/BR:90]],Brudnopis!$E$25:$J$25),0)</f>
        <v>0.20555555555555555</v>
      </c>
      <c r="V574" s="44">
        <f>IF(Mecze[[#This Row],[Role]]&lt;&gt;"BR",SUMPRODUCT(Mecze[[#This Row],[/PR:90]:[/BR:90]],Brudnopis!$E$26:$J$26),0)</f>
        <v>0.16666666666666669</v>
      </c>
      <c r="W574" s="44">
        <f>IF(Mecze[[#This Row],[Role]]&lt;&gt;"BR",SUMPRODUCT(Mecze[[#This Row],[/PR:90]:[/BR:90]],Brudnopis!$E$27:$J$27),0)</f>
        <v>0.18333333333333335</v>
      </c>
      <c r="X574" s="44">
        <f>IF(Mecze[[#This Row],[Role]]&lt;&gt;"BR",SUMPRODUCT(Mecze[[#This Row],[/PR:90]:[/BR:90]],Brudnopis!$E$28:$J$28),0)</f>
        <v>7.7777777777777779E-2</v>
      </c>
      <c r="Y574" s="35">
        <f>IF(Mecze[[#This Row],[Role]]="BR",Mecze[[#This Row],[/OB:90]]+Mecze[[#This Row],[/PC:90]],SUM(Mecze[[#This Row],[/PR:90]:[/BR:90]]))</f>
        <v>0.16666666666666669</v>
      </c>
      <c r="Z574" s="35">
        <f>IF(Mecze[[#This Row],[KC]]=0,SUM(Mecze[[#This Row],[/BRI]:[/NPI]]),SUM(Mecze[[#This Row],[/BRI]:[/NPI]])*0.6)</f>
        <v>0.82222222222222219</v>
      </c>
      <c r="AA574" s="10">
        <f>IFERROR(Mecze[[#This Row],[BR]]/Mecze[[#This Row],[ST]],0)</f>
        <v>0</v>
      </c>
      <c r="AB574">
        <f>ROUND(Mecze[[#This Row],[PD]]*Mecze[[#This Row],[%PC]],0)</f>
        <v>7</v>
      </c>
      <c r="AC574">
        <f>ROUND(Mecze[[#This Row],[OD]]*Mecze[[#This Row],[%OU]],0)</f>
        <v>4</v>
      </c>
      <c r="AD574" s="36" t="s">
        <v>167</v>
      </c>
      <c r="AE574" s="36">
        <v>33</v>
      </c>
      <c r="AF574" s="71">
        <v>3.55</v>
      </c>
      <c r="AG574" s="37">
        <v>0</v>
      </c>
      <c r="AH574" s="37">
        <v>0</v>
      </c>
      <c r="AI574" s="37">
        <v>90</v>
      </c>
      <c r="AJ574" s="37">
        <v>4</v>
      </c>
      <c r="AK574" s="37" t="str">
        <f>VLOOKUP(Mecze[[#This Row],[Match ID]],Meczusie[Mecz]:Meczusie[RodzajMeczu],2,FALSE)</f>
        <v>Liga</v>
      </c>
    </row>
    <row r="575" spans="1:37" x14ac:dyDescent="0.25">
      <c r="A575" s="76">
        <v>12</v>
      </c>
      <c r="B575" s="3" t="s">
        <v>278</v>
      </c>
      <c r="C575" s="2" t="s">
        <v>160</v>
      </c>
      <c r="D575" s="1">
        <v>0</v>
      </c>
      <c r="E575" s="1">
        <v>0</v>
      </c>
      <c r="F575" s="1">
        <v>0</v>
      </c>
      <c r="G575" s="1">
        <v>22</v>
      </c>
      <c r="H575" s="4">
        <v>0.95</v>
      </c>
      <c r="I575" s="1">
        <v>3</v>
      </c>
      <c r="J575" s="4">
        <v>0.67</v>
      </c>
      <c r="K575" s="1">
        <v>0</v>
      </c>
      <c r="L575" s="1">
        <v>7</v>
      </c>
      <c r="M575" s="32">
        <f>IF(Mecze[[#This Row],[PR]]=0,0,Mecze[[#This Row],[PR]]/Mecze[[#This Row],[CZAS]])</f>
        <v>7.1428571428571425E-2</v>
      </c>
      <c r="N575" s="32">
        <f>IF(Mecze[[#This Row],[OU]]=0,0,Mecze[[#This Row],[OU]]/Mecze[[#This Row],[CZAS]])</f>
        <v>2.0408163265306121E-2</v>
      </c>
      <c r="O575" s="32">
        <f>IF(Mecze[[#This Row],[PC]]=0,0,Mecze[[#This Row],[PC]]/Mecze[[#This Row],[CZAS]])</f>
        <v>0.21428571428571427</v>
      </c>
      <c r="P575" s="32">
        <f>IF(Mecze[[#This Row],[SC]]=0,0,Mecze[[#This Row],[SC]]/Mecze[[#This Row],[CZAS]])</f>
        <v>0</v>
      </c>
      <c r="Q575" s="32">
        <f>IF(Mecze[[#This Row],[OB]]=0,0,Mecze[[#This Row],[OB]]/Mecze[[#This Row],[CZAS]])</f>
        <v>0</v>
      </c>
      <c r="R575" s="32">
        <f>IF(Mecze[[#This Row],[BR]]=0,0,Mecze[[#This Row],[BR]]/Mecze[[#This Row],[CZAS]])</f>
        <v>0</v>
      </c>
      <c r="S575" s="44">
        <f>IF(Mecze[[#This Row],[Role]]="BR",SUMPRODUCT(Mecze[[#This Row],[/PR:90]:[/BR:90]],Brudnopis!$E$23:$J$23),0)</f>
        <v>0</v>
      </c>
      <c r="T575" s="44">
        <f>IF(Mecze[[#This Row],[Role]]&lt;&gt;"BR",SUMPRODUCT(Mecze[[#This Row],[/PR:90]:[/BR:90]],Brudnopis!$E$24:$J$24),0)</f>
        <v>0.31632653061224492</v>
      </c>
      <c r="U575" s="44">
        <f>IF(Mecze[[#This Row],[Role]]&lt;&gt;"BR",SUMPRODUCT(Mecze[[#This Row],[/PR:90]:[/BR:90]],Brudnopis!$E$25:$J$25),0)</f>
        <v>0.41326530612244894</v>
      </c>
      <c r="V575" s="44">
        <f>IF(Mecze[[#This Row],[Role]]&lt;&gt;"BR",SUMPRODUCT(Mecze[[#This Row],[/PR:90]:[/BR:90]],Brudnopis!$E$26:$J$26),0)</f>
        <v>0.30612244897959184</v>
      </c>
      <c r="W575" s="44">
        <f>IF(Mecze[[#This Row],[Role]]&lt;&gt;"BR",SUMPRODUCT(Mecze[[#This Row],[/PR:90]:[/BR:90]],Brudnopis!$E$27:$J$27),0)</f>
        <v>0.39030612244897955</v>
      </c>
      <c r="X575" s="44">
        <f>IF(Mecze[[#This Row],[Role]]&lt;&gt;"BR",SUMPRODUCT(Mecze[[#This Row],[/PR:90]:[/BR:90]],Brudnopis!$E$28:$J$28),0)</f>
        <v>0.21428571428571427</v>
      </c>
      <c r="Y575" s="35">
        <f>IF(Mecze[[#This Row],[Role]]="BR",Mecze[[#This Row],[/OB:90]]+Mecze[[#This Row],[/PC:90]],SUM(Mecze[[#This Row],[/PR:90]:[/BR:90]]))</f>
        <v>0.30612244897959184</v>
      </c>
      <c r="Z575" s="35">
        <f>IF(Mecze[[#This Row],[KC]]=0,SUM(Mecze[[#This Row],[/BRI]:[/NPI]]),SUM(Mecze[[#This Row],[/BRI]:[/NPI]])*0.6)</f>
        <v>1.6403061224489794</v>
      </c>
      <c r="AA575" s="10">
        <f>IFERROR(Mecze[[#This Row],[BR]]/Mecze[[#This Row],[ST]],0)</f>
        <v>0</v>
      </c>
      <c r="AB575">
        <f>ROUND(Mecze[[#This Row],[PD]]*Mecze[[#This Row],[%PC]],0)</f>
        <v>21</v>
      </c>
      <c r="AC575">
        <f>ROUND(Mecze[[#This Row],[OD]]*Mecze[[#This Row],[%OU]],0)</f>
        <v>2</v>
      </c>
      <c r="AD575" s="36" t="s">
        <v>41</v>
      </c>
      <c r="AE575" s="36">
        <v>33</v>
      </c>
      <c r="AF575" s="71">
        <v>6.29</v>
      </c>
      <c r="AG575" s="37">
        <v>0</v>
      </c>
      <c r="AH575" s="37">
        <v>0</v>
      </c>
      <c r="AI575" s="37">
        <v>98</v>
      </c>
      <c r="AJ575" s="37">
        <v>4</v>
      </c>
      <c r="AK575" s="37" t="str">
        <f>VLOOKUP(Mecze[[#This Row],[Match ID]],Meczusie[Mecz]:Meczusie[RodzajMeczu],2,FALSE)</f>
        <v>Liga</v>
      </c>
    </row>
    <row r="576" spans="1:37" x14ac:dyDescent="0.25">
      <c r="A576" s="76">
        <v>7</v>
      </c>
      <c r="B576" s="3" t="s">
        <v>279</v>
      </c>
      <c r="C576" s="2" t="s">
        <v>160</v>
      </c>
      <c r="D576" s="1">
        <v>0</v>
      </c>
      <c r="E576" s="1">
        <v>1</v>
      </c>
      <c r="F576" s="1">
        <v>0</v>
      </c>
      <c r="G576" s="1">
        <v>10</v>
      </c>
      <c r="H576" s="4">
        <v>0.9</v>
      </c>
      <c r="I576" s="1">
        <v>0</v>
      </c>
      <c r="J576" s="4"/>
      <c r="K576" s="1">
        <v>0</v>
      </c>
      <c r="L576" s="1">
        <v>4</v>
      </c>
      <c r="M576" s="32">
        <f>IF(Mecze[[#This Row],[PR]]=0,0,Mecze[[#This Row],[PR]]/Mecze[[#This Row],[CZAS]])</f>
        <v>4.0816326530612242E-2</v>
      </c>
      <c r="N576" s="32">
        <f>IF(Mecze[[#This Row],[OU]]=0,0,Mecze[[#This Row],[OU]]/Mecze[[#This Row],[CZAS]])</f>
        <v>0</v>
      </c>
      <c r="O576" s="32">
        <f>IF(Mecze[[#This Row],[PC]]=0,0,Mecze[[#This Row],[PC]]/Mecze[[#This Row],[CZAS]])</f>
        <v>9.1836734693877556E-2</v>
      </c>
      <c r="P576" s="32">
        <f>IF(Mecze[[#This Row],[SC]]=0,0,Mecze[[#This Row],[SC]]/Mecze[[#This Row],[CZAS]])</f>
        <v>0</v>
      </c>
      <c r="Q576" s="32">
        <f>IF(Mecze[[#This Row],[OB]]=0,0,Mecze[[#This Row],[OB]]/Mecze[[#This Row],[CZAS]])</f>
        <v>0</v>
      </c>
      <c r="R576" s="32">
        <f>IF(Mecze[[#This Row],[BR]]=0,0,Mecze[[#This Row],[BR]]/Mecze[[#This Row],[CZAS]])</f>
        <v>0</v>
      </c>
      <c r="S576" s="44">
        <f>IF(Mecze[[#This Row],[Role]]="BR",SUMPRODUCT(Mecze[[#This Row],[/PR:90]:[/BR:90]],Brudnopis!$E$23:$J$23),0)</f>
        <v>0</v>
      </c>
      <c r="T576" s="44">
        <f>IF(Mecze[[#This Row],[Role]]&lt;&gt;"BR",SUMPRODUCT(Mecze[[#This Row],[/PR:90]:[/BR:90]],Brudnopis!$E$24:$J$24),0)</f>
        <v>0.1326530612244898</v>
      </c>
      <c r="U576" s="44">
        <f>IF(Mecze[[#This Row],[Role]]&lt;&gt;"BR",SUMPRODUCT(Mecze[[#This Row],[/PR:90]:[/BR:90]],Brudnopis!$E$25:$J$25),0)</f>
        <v>0.17857142857142858</v>
      </c>
      <c r="V576" s="44">
        <f>IF(Mecze[[#This Row],[Role]]&lt;&gt;"BR",SUMPRODUCT(Mecze[[#This Row],[/PR:90]:[/BR:90]],Brudnopis!$E$26:$J$26),0)</f>
        <v>0.1326530612244898</v>
      </c>
      <c r="W576" s="44">
        <f>IF(Mecze[[#This Row],[Role]]&lt;&gt;"BR",SUMPRODUCT(Mecze[[#This Row],[/PR:90]:[/BR:90]],Brudnopis!$E$27:$J$27),0)</f>
        <v>0.16836734693877553</v>
      </c>
      <c r="X576" s="44">
        <f>IF(Mecze[[#This Row],[Role]]&lt;&gt;"BR",SUMPRODUCT(Mecze[[#This Row],[/PR:90]:[/BR:90]],Brudnopis!$E$28:$J$28),0)</f>
        <v>9.1836734693877556E-2</v>
      </c>
      <c r="Y576" s="35">
        <f>IF(Mecze[[#This Row],[Role]]="BR",Mecze[[#This Row],[/OB:90]]+Mecze[[#This Row],[/PC:90]],SUM(Mecze[[#This Row],[/PR:90]:[/BR:90]]))</f>
        <v>0.1326530612244898</v>
      </c>
      <c r="Z576" s="35">
        <f>IF(Mecze[[#This Row],[KC]]=0,SUM(Mecze[[#This Row],[/BRI]:[/NPI]]),SUM(Mecze[[#This Row],[/BRI]:[/NPI]])*0.6)</f>
        <v>0.70408163265306123</v>
      </c>
      <c r="AA576" s="10">
        <f>IFERROR(Mecze[[#This Row],[BR]]/Mecze[[#This Row],[ST]],0)</f>
        <v>0</v>
      </c>
      <c r="AB576">
        <f>ROUND(Mecze[[#This Row],[PD]]*Mecze[[#This Row],[%PC]],0)</f>
        <v>9</v>
      </c>
      <c r="AC576">
        <f>ROUND(Mecze[[#This Row],[OD]]*Mecze[[#This Row],[%OU]],0)</f>
        <v>0</v>
      </c>
      <c r="AD576" s="36" t="s">
        <v>41</v>
      </c>
      <c r="AE576" s="36">
        <v>33</v>
      </c>
      <c r="AF576" s="71">
        <v>5.66</v>
      </c>
      <c r="AG576" s="37">
        <v>0</v>
      </c>
      <c r="AH576" s="37">
        <v>0</v>
      </c>
      <c r="AI576" s="37">
        <v>98</v>
      </c>
      <c r="AJ576" s="37">
        <v>4</v>
      </c>
      <c r="AK576" s="37" t="str">
        <f>VLOOKUP(Mecze[[#This Row],[Match ID]],Meczusie[Mecz]:Meczusie[RodzajMeczu],2,FALSE)</f>
        <v>Liga</v>
      </c>
    </row>
    <row r="577" spans="1:37" x14ac:dyDescent="0.25">
      <c r="A577" s="76">
        <v>6</v>
      </c>
      <c r="B577" s="3" t="s">
        <v>280</v>
      </c>
      <c r="C577" s="2" t="s">
        <v>160</v>
      </c>
      <c r="D577" s="1">
        <v>0</v>
      </c>
      <c r="E577" s="1">
        <v>0</v>
      </c>
      <c r="F577" s="1">
        <v>0</v>
      </c>
      <c r="G577" s="1">
        <v>16</v>
      </c>
      <c r="H577" s="4">
        <v>0.81</v>
      </c>
      <c r="I577" s="1">
        <v>1</v>
      </c>
      <c r="J577" s="4">
        <v>0</v>
      </c>
      <c r="K577" s="1">
        <v>0</v>
      </c>
      <c r="L577" s="1">
        <v>3</v>
      </c>
      <c r="M577" s="32">
        <f>IF(Mecze[[#This Row],[PR]]=0,0,Mecze[[#This Row],[PR]]/Mecze[[#This Row],[CZAS]])</f>
        <v>3.0612244897959183E-2</v>
      </c>
      <c r="N577" s="32">
        <f>IF(Mecze[[#This Row],[OU]]=0,0,Mecze[[#This Row],[OU]]/Mecze[[#This Row],[CZAS]])</f>
        <v>0</v>
      </c>
      <c r="O577" s="32">
        <f>IF(Mecze[[#This Row],[PC]]=0,0,Mecze[[#This Row],[PC]]/Mecze[[#This Row],[CZAS]])</f>
        <v>0.1326530612244898</v>
      </c>
      <c r="P577" s="32">
        <f>IF(Mecze[[#This Row],[SC]]=0,0,Mecze[[#This Row],[SC]]/Mecze[[#This Row],[CZAS]])</f>
        <v>0</v>
      </c>
      <c r="Q577" s="32">
        <f>IF(Mecze[[#This Row],[OB]]=0,0,Mecze[[#This Row],[OB]]/Mecze[[#This Row],[CZAS]])</f>
        <v>0</v>
      </c>
      <c r="R577" s="32">
        <f>IF(Mecze[[#This Row],[BR]]=0,0,Mecze[[#This Row],[BR]]/Mecze[[#This Row],[CZAS]])</f>
        <v>0</v>
      </c>
      <c r="S577" s="44">
        <f>IF(Mecze[[#This Row],[Role]]="BR",SUMPRODUCT(Mecze[[#This Row],[/PR:90]:[/BR:90]],Brudnopis!$E$23:$J$23),0)</f>
        <v>0</v>
      </c>
      <c r="T577" s="44">
        <f>IF(Mecze[[#This Row],[Role]]&lt;&gt;"BR",SUMPRODUCT(Mecze[[#This Row],[/PR:90]:[/BR:90]],Brudnopis!$E$24:$J$24),0)</f>
        <v>0.16326530612244899</v>
      </c>
      <c r="U577" s="44">
        <f>IF(Mecze[[#This Row],[Role]]&lt;&gt;"BR",SUMPRODUCT(Mecze[[#This Row],[/PR:90]:[/BR:90]],Brudnopis!$E$25:$J$25),0)</f>
        <v>0.22959183673469388</v>
      </c>
      <c r="V577" s="44">
        <f>IF(Mecze[[#This Row],[Role]]&lt;&gt;"BR",SUMPRODUCT(Mecze[[#This Row],[/PR:90]:[/BR:90]],Brudnopis!$E$26:$J$26),0)</f>
        <v>0.16326530612244899</v>
      </c>
      <c r="W577" s="44">
        <f>IF(Mecze[[#This Row],[Role]]&lt;&gt;"BR",SUMPRODUCT(Mecze[[#This Row],[/PR:90]:[/BR:90]],Brudnopis!$E$27:$J$27),0)</f>
        <v>0.22193877551020408</v>
      </c>
      <c r="X577" s="44">
        <f>IF(Mecze[[#This Row],[Role]]&lt;&gt;"BR",SUMPRODUCT(Mecze[[#This Row],[/PR:90]:[/BR:90]],Brudnopis!$E$28:$J$28),0)</f>
        <v>0.1326530612244898</v>
      </c>
      <c r="Y577" s="35">
        <f>IF(Mecze[[#This Row],[Role]]="BR",Mecze[[#This Row],[/OB:90]]+Mecze[[#This Row],[/PC:90]],SUM(Mecze[[#This Row],[/PR:90]:[/BR:90]]))</f>
        <v>0.16326530612244899</v>
      </c>
      <c r="Z577" s="35">
        <f>IF(Mecze[[#This Row],[KC]]=0,SUM(Mecze[[#This Row],[/BRI]:[/NPI]]),SUM(Mecze[[#This Row],[/BRI]:[/NPI]])*0.6)</f>
        <v>0.91071428571428581</v>
      </c>
      <c r="AA577" s="10">
        <f>IFERROR(Mecze[[#This Row],[BR]]/Mecze[[#This Row],[ST]],0)</f>
        <v>0</v>
      </c>
      <c r="AB577">
        <f>ROUND(Mecze[[#This Row],[PD]]*Mecze[[#This Row],[%PC]],0)</f>
        <v>13</v>
      </c>
      <c r="AC577">
        <f>ROUND(Mecze[[#This Row],[OD]]*Mecze[[#This Row],[%OU]],0)</f>
        <v>0</v>
      </c>
      <c r="AD577" s="36" t="s">
        <v>67</v>
      </c>
      <c r="AE577" s="36">
        <v>33</v>
      </c>
      <c r="AF577" s="71">
        <v>5.45</v>
      </c>
      <c r="AG577" s="37">
        <v>0</v>
      </c>
      <c r="AH577" s="37">
        <v>0</v>
      </c>
      <c r="AI577" s="37">
        <v>98</v>
      </c>
      <c r="AJ577" s="37">
        <v>4</v>
      </c>
      <c r="AK577" s="37" t="str">
        <f>VLOOKUP(Mecze[[#This Row],[Match ID]],Meczusie[Mecz]:Meczusie[RodzajMeczu],2,FALSE)</f>
        <v>Liga</v>
      </c>
    </row>
    <row r="578" spans="1:37" x14ac:dyDescent="0.25">
      <c r="A578" s="76">
        <v>14</v>
      </c>
      <c r="B578" s="3" t="s">
        <v>281</v>
      </c>
      <c r="C578" s="2" t="s">
        <v>160</v>
      </c>
      <c r="D578" s="1">
        <v>0</v>
      </c>
      <c r="E578" s="1">
        <v>1</v>
      </c>
      <c r="F578" s="1">
        <v>0</v>
      </c>
      <c r="G578" s="1">
        <v>10</v>
      </c>
      <c r="H578" s="4">
        <v>0.7</v>
      </c>
      <c r="I578" s="1">
        <v>0</v>
      </c>
      <c r="J578" s="4"/>
      <c r="K578" s="1">
        <v>0</v>
      </c>
      <c r="L578" s="1">
        <v>0</v>
      </c>
      <c r="M578" s="32">
        <f>IF(Mecze[[#This Row],[PR]]=0,0,Mecze[[#This Row],[PR]]/Mecze[[#This Row],[CZAS]])</f>
        <v>0</v>
      </c>
      <c r="N578" s="32">
        <f>IF(Mecze[[#This Row],[OU]]=0,0,Mecze[[#This Row],[OU]]/Mecze[[#This Row],[CZAS]])</f>
        <v>0</v>
      </c>
      <c r="O578" s="32">
        <f>IF(Mecze[[#This Row],[PC]]=0,0,Mecze[[#This Row],[PC]]/Mecze[[#This Row],[CZAS]])</f>
        <v>7.1428571428571425E-2</v>
      </c>
      <c r="P578" s="32">
        <f>IF(Mecze[[#This Row],[SC]]=0,0,Mecze[[#This Row],[SC]]/Mecze[[#This Row],[CZAS]])</f>
        <v>0</v>
      </c>
      <c r="Q578" s="32">
        <f>IF(Mecze[[#This Row],[OB]]=0,0,Mecze[[#This Row],[OB]]/Mecze[[#This Row],[CZAS]])</f>
        <v>0</v>
      </c>
      <c r="R578" s="32">
        <f>IF(Mecze[[#This Row],[BR]]=0,0,Mecze[[#This Row],[BR]]/Mecze[[#This Row],[CZAS]])</f>
        <v>0</v>
      </c>
      <c r="S578" s="44">
        <f>IF(Mecze[[#This Row],[Role]]="BR",SUMPRODUCT(Mecze[[#This Row],[/PR:90]:[/BR:90]],Brudnopis!$E$23:$J$23),0)</f>
        <v>0</v>
      </c>
      <c r="T578" s="44">
        <f>IF(Mecze[[#This Row],[Role]]&lt;&gt;"BR",SUMPRODUCT(Mecze[[#This Row],[/PR:90]:[/BR:90]],Brudnopis!$E$24:$J$24),0)</f>
        <v>7.1428571428571425E-2</v>
      </c>
      <c r="U578" s="44">
        <f>IF(Mecze[[#This Row],[Role]]&lt;&gt;"BR",SUMPRODUCT(Mecze[[#This Row],[/PR:90]:[/BR:90]],Brudnopis!$E$25:$J$25),0)</f>
        <v>0.10714285714285714</v>
      </c>
      <c r="V578" s="44">
        <f>IF(Mecze[[#This Row],[Role]]&lt;&gt;"BR",SUMPRODUCT(Mecze[[#This Row],[/PR:90]:[/BR:90]],Brudnopis!$E$26:$J$26),0)</f>
        <v>7.1428571428571425E-2</v>
      </c>
      <c r="W578" s="44">
        <f>IF(Mecze[[#This Row],[Role]]&lt;&gt;"BR",SUMPRODUCT(Mecze[[#This Row],[/PR:90]:[/BR:90]],Brudnopis!$E$27:$J$27),0)</f>
        <v>0.10714285714285714</v>
      </c>
      <c r="X578" s="44">
        <f>IF(Mecze[[#This Row],[Role]]&lt;&gt;"BR",SUMPRODUCT(Mecze[[#This Row],[/PR:90]:[/BR:90]],Brudnopis!$E$28:$J$28),0)</f>
        <v>7.1428571428571425E-2</v>
      </c>
      <c r="Y578" s="35">
        <f>IF(Mecze[[#This Row],[Role]]="BR",Mecze[[#This Row],[/OB:90]]+Mecze[[#This Row],[/PC:90]],SUM(Mecze[[#This Row],[/PR:90]:[/BR:90]]))</f>
        <v>7.1428571428571425E-2</v>
      </c>
      <c r="Z578" s="35">
        <f>IF(Mecze[[#This Row],[KC]]=0,SUM(Mecze[[#This Row],[/BRI]:[/NPI]]),SUM(Mecze[[#This Row],[/BRI]:[/NPI]])*0.6)</f>
        <v>0.42857142857142849</v>
      </c>
      <c r="AA578" s="10">
        <f>IFERROR(Mecze[[#This Row],[BR]]/Mecze[[#This Row],[ST]],0)</f>
        <v>0</v>
      </c>
      <c r="AB578">
        <f>ROUND(Mecze[[#This Row],[PD]]*Mecze[[#This Row],[%PC]],0)</f>
        <v>7</v>
      </c>
      <c r="AC578">
        <f>ROUND(Mecze[[#This Row],[OD]]*Mecze[[#This Row],[%OU]],0)</f>
        <v>0</v>
      </c>
      <c r="AD578" s="36" t="s">
        <v>171</v>
      </c>
      <c r="AE578" s="36">
        <v>33</v>
      </c>
      <c r="AF578" s="71">
        <v>3.91</v>
      </c>
      <c r="AG578" s="37">
        <v>0</v>
      </c>
      <c r="AH578" s="37">
        <v>0</v>
      </c>
      <c r="AI578" s="37">
        <v>98</v>
      </c>
      <c r="AJ578" s="37">
        <v>4</v>
      </c>
      <c r="AK578" s="37" t="str">
        <f>VLOOKUP(Mecze[[#This Row],[Match ID]],Meczusie[Mecz]:Meczusie[RodzajMeczu],2,FALSE)</f>
        <v>Liga</v>
      </c>
    </row>
    <row r="579" spans="1:37" x14ac:dyDescent="0.25">
      <c r="A579" s="76">
        <v>11</v>
      </c>
      <c r="B579" s="3" t="s">
        <v>282</v>
      </c>
      <c r="C579" s="2" t="s">
        <v>165</v>
      </c>
      <c r="D579" s="1">
        <v>0</v>
      </c>
      <c r="E579" s="1">
        <v>1</v>
      </c>
      <c r="F579" s="1">
        <v>1</v>
      </c>
      <c r="G579" s="1">
        <v>9</v>
      </c>
      <c r="H579" s="4">
        <v>0.78</v>
      </c>
      <c r="I579" s="1">
        <v>2</v>
      </c>
      <c r="J579" s="4">
        <v>0.5</v>
      </c>
      <c r="K579" s="1">
        <v>0</v>
      </c>
      <c r="L579" s="1">
        <v>0</v>
      </c>
      <c r="M579" s="32">
        <f>IF(Mecze[[#This Row],[PR]]=0,0,Mecze[[#This Row],[PR]]/Mecze[[#This Row],[CZAS]])</f>
        <v>0</v>
      </c>
      <c r="N579" s="32">
        <f>IF(Mecze[[#This Row],[OU]]=0,0,Mecze[[#This Row],[OU]]/Mecze[[#This Row],[CZAS]])</f>
        <v>1.1111111111111112E-2</v>
      </c>
      <c r="O579" s="32">
        <f>IF(Mecze[[#This Row],[PC]]=0,0,Mecze[[#This Row],[PC]]/Mecze[[#This Row],[CZAS]])</f>
        <v>7.7777777777777779E-2</v>
      </c>
      <c r="P579" s="32">
        <f>IF(Mecze[[#This Row],[SC]]=0,0,Mecze[[#This Row],[SC]]/Mecze[[#This Row],[CZAS]])</f>
        <v>1.1111111111111112E-2</v>
      </c>
      <c r="Q579" s="32">
        <f>IF(Mecze[[#This Row],[OB]]=0,0,Mecze[[#This Row],[OB]]/Mecze[[#This Row],[CZAS]])</f>
        <v>0</v>
      </c>
      <c r="R579" s="32">
        <f>IF(Mecze[[#This Row],[BR]]=0,0,Mecze[[#This Row],[BR]]/Mecze[[#This Row],[CZAS]])</f>
        <v>0</v>
      </c>
      <c r="S579" s="44">
        <f>IF(Mecze[[#This Row],[Role]]="BR",SUMPRODUCT(Mecze[[#This Row],[/PR:90]:[/BR:90]],Brudnopis!$E$23:$J$23),0)</f>
        <v>0</v>
      </c>
      <c r="T579" s="44">
        <f>IF(Mecze[[#This Row],[Role]]&lt;&gt;"BR",SUMPRODUCT(Mecze[[#This Row],[/PR:90]:[/BR:90]],Brudnopis!$E$24:$J$24),0)</f>
        <v>0.10555555555555556</v>
      </c>
      <c r="U579" s="44">
        <f>IF(Mecze[[#This Row],[Role]]&lt;&gt;"BR",SUMPRODUCT(Mecze[[#This Row],[/PR:90]:[/BR:90]],Brudnopis!$E$25:$J$25),0)</f>
        <v>0.13888888888888887</v>
      </c>
      <c r="V579" s="44">
        <f>IF(Mecze[[#This Row],[Role]]&lt;&gt;"BR",SUMPRODUCT(Mecze[[#This Row],[/PR:90]:[/BR:90]],Brudnopis!$E$26:$J$26),0)</f>
        <v>0.1</v>
      </c>
      <c r="W579" s="44">
        <f>IF(Mecze[[#This Row],[Role]]&lt;&gt;"BR",SUMPRODUCT(Mecze[[#This Row],[/PR:90]:[/BR:90]],Brudnopis!$E$27:$J$27),0)</f>
        <v>0.1361111111111111</v>
      </c>
      <c r="X579" s="44">
        <f>IF(Mecze[[#This Row],[Role]]&lt;&gt;"BR",SUMPRODUCT(Mecze[[#This Row],[/PR:90]:[/BR:90]],Brudnopis!$E$28:$J$28),0)</f>
        <v>0.1</v>
      </c>
      <c r="Y579" s="35">
        <f>IF(Mecze[[#This Row],[Role]]="BR",Mecze[[#This Row],[/OB:90]]+Mecze[[#This Row],[/PC:90]],SUM(Mecze[[#This Row],[/PR:90]:[/BR:90]]))</f>
        <v>0.1</v>
      </c>
      <c r="Z579" s="35">
        <f>IF(Mecze[[#This Row],[KC]]=0,SUM(Mecze[[#This Row],[/BRI]:[/NPI]]),SUM(Mecze[[#This Row],[/BRI]:[/NPI]])*0.6)</f>
        <v>0.58055555555555549</v>
      </c>
      <c r="AA579" s="10">
        <f>IFERROR(Mecze[[#This Row],[BR]]/Mecze[[#This Row],[ST]],0)</f>
        <v>0</v>
      </c>
      <c r="AB579">
        <f>ROUND(Mecze[[#This Row],[PD]]*Mecze[[#This Row],[%PC]],0)</f>
        <v>7</v>
      </c>
      <c r="AC579">
        <f>ROUND(Mecze[[#This Row],[OD]]*Mecze[[#This Row],[%OU]],0)</f>
        <v>1</v>
      </c>
      <c r="AD579" s="36" t="s">
        <v>46</v>
      </c>
      <c r="AE579" s="36">
        <v>33</v>
      </c>
      <c r="AF579" s="71">
        <v>4.26</v>
      </c>
      <c r="AG579" s="37">
        <v>0</v>
      </c>
      <c r="AH579" s="37">
        <v>0</v>
      </c>
      <c r="AI579" s="37">
        <v>90</v>
      </c>
      <c r="AJ579" s="37">
        <v>4</v>
      </c>
      <c r="AK579" s="37" t="str">
        <f>VLOOKUP(Mecze[[#This Row],[Match ID]],Meczusie[Mecz]:Meczusie[RodzajMeczu],2,FALSE)</f>
        <v>Liga</v>
      </c>
    </row>
    <row r="580" spans="1:37" x14ac:dyDescent="0.25">
      <c r="A580" s="76">
        <v>8</v>
      </c>
      <c r="B580" s="3" t="s">
        <v>283</v>
      </c>
      <c r="C580" s="2" t="s">
        <v>165</v>
      </c>
      <c r="D580" s="1">
        <v>1</v>
      </c>
      <c r="E580" s="1">
        <v>7</v>
      </c>
      <c r="F580" s="1">
        <v>6</v>
      </c>
      <c r="G580" s="1">
        <v>15</v>
      </c>
      <c r="H580" s="4">
        <v>0.67</v>
      </c>
      <c r="I580" s="1">
        <v>1</v>
      </c>
      <c r="J580" s="4">
        <v>0</v>
      </c>
      <c r="K580" s="1">
        <v>0</v>
      </c>
      <c r="L580" s="1">
        <v>0</v>
      </c>
      <c r="M580" s="32">
        <f>IF(Mecze[[#This Row],[PR]]=0,0,Mecze[[#This Row],[PR]]/Mecze[[#This Row],[CZAS]])</f>
        <v>0</v>
      </c>
      <c r="N580" s="32">
        <f>IF(Mecze[[#This Row],[OU]]=0,0,Mecze[[#This Row],[OU]]/Mecze[[#This Row],[CZAS]])</f>
        <v>0</v>
      </c>
      <c r="O580" s="32">
        <f>IF(Mecze[[#This Row],[PC]]=0,0,Mecze[[#This Row],[PC]]/Mecze[[#This Row],[CZAS]])</f>
        <v>0.10204081632653061</v>
      </c>
      <c r="P580" s="32">
        <f>IF(Mecze[[#This Row],[SC]]=0,0,Mecze[[#This Row],[SC]]/Mecze[[#This Row],[CZAS]])</f>
        <v>6.1224489795918366E-2</v>
      </c>
      <c r="Q580" s="32">
        <f>IF(Mecze[[#This Row],[OB]]=0,0,Mecze[[#This Row],[OB]]/Mecze[[#This Row],[CZAS]])</f>
        <v>0</v>
      </c>
      <c r="R580" s="32">
        <f>IF(Mecze[[#This Row],[BR]]=0,0,Mecze[[#This Row],[BR]]/Mecze[[#This Row],[CZAS]])</f>
        <v>1.020408163265306E-2</v>
      </c>
      <c r="S580" s="44">
        <f>IF(Mecze[[#This Row],[Role]]="BR",SUMPRODUCT(Mecze[[#This Row],[/PR:90]:[/BR:90]],Brudnopis!$E$23:$J$23),0)</f>
        <v>0</v>
      </c>
      <c r="T580" s="44">
        <f>IF(Mecze[[#This Row],[Role]]&lt;&gt;"BR",SUMPRODUCT(Mecze[[#This Row],[/PR:90]:[/BR:90]],Brudnopis!$E$24:$J$24),0)</f>
        <v>0.17857142857142858</v>
      </c>
      <c r="U580" s="44">
        <f>IF(Mecze[[#This Row],[Role]]&lt;&gt;"BR",SUMPRODUCT(Mecze[[#This Row],[/PR:90]:[/BR:90]],Brudnopis!$E$25:$J$25),0)</f>
        <v>0.22959183673469388</v>
      </c>
      <c r="V580" s="44">
        <f>IF(Mecze[[#This Row],[Role]]&lt;&gt;"BR",SUMPRODUCT(Mecze[[#This Row],[/PR:90]:[/BR:90]],Brudnopis!$E$26:$J$26),0)</f>
        <v>0.18367346938775511</v>
      </c>
      <c r="W580" s="44">
        <f>IF(Mecze[[#This Row],[Role]]&lt;&gt;"BR",SUMPRODUCT(Mecze[[#This Row],[/PR:90]:[/BR:90]],Brudnopis!$E$27:$J$27),0)</f>
        <v>0.23469387755102042</v>
      </c>
      <c r="X580" s="44">
        <f>IF(Mecze[[#This Row],[Role]]&lt;&gt;"BR",SUMPRODUCT(Mecze[[#This Row],[/PR:90]:[/BR:90]],Brudnopis!$E$28:$J$28),0)</f>
        <v>0.25510204081632654</v>
      </c>
      <c r="Y580" s="35">
        <f>IF(Mecze[[#This Row],[Role]]="BR",Mecze[[#This Row],[/OB:90]]+Mecze[[#This Row],[/PC:90]],SUM(Mecze[[#This Row],[/PR:90]:[/BR:90]]))</f>
        <v>0.17346938775510207</v>
      </c>
      <c r="Z580" s="35">
        <f>IF(Mecze[[#This Row],[KC]]=0,SUM(Mecze[[#This Row],[/BRI]:[/NPI]]),SUM(Mecze[[#This Row],[/BRI]:[/NPI]])*0.6)</f>
        <v>1.0816326530612246</v>
      </c>
      <c r="AA580" s="10">
        <f>IFERROR(Mecze[[#This Row],[BR]]/Mecze[[#This Row],[ST]],0)</f>
        <v>0.14285714285714285</v>
      </c>
      <c r="AB580">
        <f>ROUND(Mecze[[#This Row],[PD]]*Mecze[[#This Row],[%PC]],0)</f>
        <v>10</v>
      </c>
      <c r="AC580">
        <f>ROUND(Mecze[[#This Row],[OD]]*Mecze[[#This Row],[%OU]],0)</f>
        <v>0</v>
      </c>
      <c r="AD580" s="36" t="s">
        <v>273</v>
      </c>
      <c r="AE580" s="36">
        <v>33</v>
      </c>
      <c r="AF580" s="71">
        <v>7.66</v>
      </c>
      <c r="AG580" s="37">
        <v>0</v>
      </c>
      <c r="AH580" s="37">
        <v>0</v>
      </c>
      <c r="AI580" s="37">
        <v>98</v>
      </c>
      <c r="AJ580" s="37">
        <v>4</v>
      </c>
      <c r="AK580" s="37" t="str">
        <f>VLOOKUP(Mecze[[#This Row],[Match ID]],Meczusie[Mecz]:Meczusie[RodzajMeczu],2,FALSE)</f>
        <v>Liga</v>
      </c>
    </row>
    <row r="581" spans="1:37" x14ac:dyDescent="0.25">
      <c r="A581" s="76">
        <v>10</v>
      </c>
      <c r="B581" s="3" t="s">
        <v>284</v>
      </c>
      <c r="C581" s="2" t="s">
        <v>165</v>
      </c>
      <c r="D581" s="1">
        <v>1</v>
      </c>
      <c r="E581" s="1">
        <v>13</v>
      </c>
      <c r="F581" s="1">
        <v>13</v>
      </c>
      <c r="G581" s="1">
        <v>8</v>
      </c>
      <c r="H581" s="4">
        <v>0.63</v>
      </c>
      <c r="I581" s="1">
        <v>0</v>
      </c>
      <c r="J581" s="4"/>
      <c r="K581" s="1">
        <v>0</v>
      </c>
      <c r="L581" s="1">
        <v>0</v>
      </c>
      <c r="M581" s="32">
        <f>IF(Mecze[[#This Row],[PR]]=0,0,Mecze[[#This Row],[PR]]/Mecze[[#This Row],[CZAS]])</f>
        <v>0</v>
      </c>
      <c r="N581" s="32">
        <f>IF(Mecze[[#This Row],[OU]]=0,0,Mecze[[#This Row],[OU]]/Mecze[[#This Row],[CZAS]])</f>
        <v>0</v>
      </c>
      <c r="O581" s="32">
        <f>IF(Mecze[[#This Row],[PC]]=0,0,Mecze[[#This Row],[PC]]/Mecze[[#This Row],[CZAS]])</f>
        <v>5.1020408163265307E-2</v>
      </c>
      <c r="P581" s="32">
        <f>IF(Mecze[[#This Row],[SC]]=0,0,Mecze[[#This Row],[SC]]/Mecze[[#This Row],[CZAS]])</f>
        <v>0.1326530612244898</v>
      </c>
      <c r="Q581" s="32">
        <f>IF(Mecze[[#This Row],[OB]]=0,0,Mecze[[#This Row],[OB]]/Mecze[[#This Row],[CZAS]])</f>
        <v>0</v>
      </c>
      <c r="R581" s="32">
        <f>IF(Mecze[[#This Row],[BR]]=0,0,Mecze[[#This Row],[BR]]/Mecze[[#This Row],[CZAS]])</f>
        <v>1.020408163265306E-2</v>
      </c>
      <c r="S581" s="44">
        <f>IF(Mecze[[#This Row],[Role]]="BR",SUMPRODUCT(Mecze[[#This Row],[/PR:90]:[/BR:90]],Brudnopis!$E$23:$J$23),0)</f>
        <v>0</v>
      </c>
      <c r="T581" s="44">
        <f>IF(Mecze[[#This Row],[Role]]&lt;&gt;"BR",SUMPRODUCT(Mecze[[#This Row],[/PR:90]:[/BR:90]],Brudnopis!$E$24:$J$24),0)</f>
        <v>0.19897959183673469</v>
      </c>
      <c r="U581" s="44">
        <f>IF(Mecze[[#This Row],[Role]]&lt;&gt;"BR",SUMPRODUCT(Mecze[[#This Row],[/PR:90]:[/BR:90]],Brudnopis!$E$25:$J$25),0)</f>
        <v>0.22448979591836735</v>
      </c>
      <c r="V581" s="44">
        <f>IF(Mecze[[#This Row],[Role]]&lt;&gt;"BR",SUMPRODUCT(Mecze[[#This Row],[/PR:90]:[/BR:90]],Brudnopis!$E$26:$J$26),0)</f>
        <v>0.20408163265306123</v>
      </c>
      <c r="W581" s="44">
        <f>IF(Mecze[[#This Row],[Role]]&lt;&gt;"BR",SUMPRODUCT(Mecze[[#This Row],[/PR:90]:[/BR:90]],Brudnopis!$E$27:$J$27),0)</f>
        <v>0.22959183673469388</v>
      </c>
      <c r="X581" s="44">
        <f>IF(Mecze[[#This Row],[Role]]&lt;&gt;"BR",SUMPRODUCT(Mecze[[#This Row],[/PR:90]:[/BR:90]],Brudnopis!$E$28:$J$28),0)</f>
        <v>0.34693877551020408</v>
      </c>
      <c r="Y581" s="35">
        <f>IF(Mecze[[#This Row],[Role]]="BR",Mecze[[#This Row],[/OB:90]]+Mecze[[#This Row],[/PC:90]],SUM(Mecze[[#This Row],[/PR:90]:[/BR:90]]))</f>
        <v>0.19387755102040818</v>
      </c>
      <c r="Z581" s="35">
        <f>IF(Mecze[[#This Row],[KC]]=0,SUM(Mecze[[#This Row],[/BRI]:[/NPI]]),SUM(Mecze[[#This Row],[/BRI]:[/NPI]])*0.6)</f>
        <v>1.2040816326530612</v>
      </c>
      <c r="AA581" s="10">
        <f>IFERROR(Mecze[[#This Row],[BR]]/Mecze[[#This Row],[ST]],0)</f>
        <v>7.6923076923076927E-2</v>
      </c>
      <c r="AB581">
        <f>ROUND(Mecze[[#This Row],[PD]]*Mecze[[#This Row],[%PC]],0)</f>
        <v>5</v>
      </c>
      <c r="AC581">
        <f>ROUND(Mecze[[#This Row],[OD]]*Mecze[[#This Row],[%OU]],0)</f>
        <v>0</v>
      </c>
      <c r="AD581" s="36" t="s">
        <v>46</v>
      </c>
      <c r="AE581" s="36">
        <v>33</v>
      </c>
      <c r="AF581" s="71">
        <v>9.1999999999999993</v>
      </c>
      <c r="AG581" s="37">
        <v>0</v>
      </c>
      <c r="AH581" s="37">
        <v>0</v>
      </c>
      <c r="AI581" s="37">
        <v>98</v>
      </c>
      <c r="AJ581" s="37">
        <v>4</v>
      </c>
      <c r="AK581" s="37" t="str">
        <f>VLOOKUP(Mecze[[#This Row],[Match ID]],Meczusie[Mecz]:Meczusie[RodzajMeczu],2,FALSE)</f>
        <v>Liga</v>
      </c>
    </row>
    <row r="582" spans="1:37" x14ac:dyDescent="0.25">
      <c r="A582" s="76">
        <v>2</v>
      </c>
      <c r="B582" s="3" t="s">
        <v>285</v>
      </c>
      <c r="C582" s="2" t="s">
        <v>157</v>
      </c>
      <c r="D582" s="1">
        <v>0</v>
      </c>
      <c r="E582" s="1">
        <v>0</v>
      </c>
      <c r="F582" s="1">
        <v>0</v>
      </c>
      <c r="G582" s="1">
        <v>0</v>
      </c>
      <c r="H582" s="72"/>
      <c r="I582" s="1">
        <v>1</v>
      </c>
      <c r="J582" s="4">
        <v>1</v>
      </c>
      <c r="K582" s="1">
        <v>0</v>
      </c>
      <c r="L582" s="1">
        <v>0</v>
      </c>
      <c r="M582" s="32">
        <f>IF(Mecze[[#This Row],[PR]]=0,0,Mecze[[#This Row],[PR]]/Mecze[[#This Row],[CZAS]])</f>
        <v>0</v>
      </c>
      <c r="N582" s="32">
        <f>IF(Mecze[[#This Row],[OU]]=0,0,Mecze[[#This Row],[OU]]/Mecze[[#This Row],[CZAS]])</f>
        <v>0.25</v>
      </c>
      <c r="O582" s="32">
        <f>IF(Mecze[[#This Row],[PC]]=0,0,Mecze[[#This Row],[PC]]/Mecze[[#This Row],[CZAS]])</f>
        <v>0</v>
      </c>
      <c r="P582" s="32">
        <f>IF(Mecze[[#This Row],[SC]]=0,0,Mecze[[#This Row],[SC]]/Mecze[[#This Row],[CZAS]])</f>
        <v>0</v>
      </c>
      <c r="Q582" s="32">
        <f>IF(Mecze[[#This Row],[OB]]=0,0,Mecze[[#This Row],[OB]]/Mecze[[#This Row],[CZAS]])</f>
        <v>0</v>
      </c>
      <c r="R582" s="32">
        <f>IF(Mecze[[#This Row],[BR]]=0,0,Mecze[[#This Row],[BR]]/Mecze[[#This Row],[CZAS]])</f>
        <v>0</v>
      </c>
      <c r="S582" s="44">
        <f>IF(Mecze[[#This Row],[Role]]="BR",SUMPRODUCT(Mecze[[#This Row],[/PR:90]:[/BR:90]],Brudnopis!$E$23:$J$23),0)</f>
        <v>0</v>
      </c>
      <c r="T582" s="44">
        <f>IF(Mecze[[#This Row],[Role]]&lt;&gt;"BR",SUMPRODUCT(Mecze[[#This Row],[/PR:90]:[/BR:90]],Brudnopis!$E$24:$J$24),0)</f>
        <v>0.375</v>
      </c>
      <c r="U582" s="44">
        <f>IF(Mecze[[#This Row],[Role]]&lt;&gt;"BR",SUMPRODUCT(Mecze[[#This Row],[/PR:90]:[/BR:90]],Brudnopis!$E$25:$J$25),0)</f>
        <v>0.25</v>
      </c>
      <c r="V582" s="44">
        <f>IF(Mecze[[#This Row],[Role]]&lt;&gt;"BR",SUMPRODUCT(Mecze[[#This Row],[/PR:90]:[/BR:90]],Brudnopis!$E$26:$J$26),0)</f>
        <v>0.25</v>
      </c>
      <c r="W582" s="44">
        <f>IF(Mecze[[#This Row],[Role]]&lt;&gt;"BR",SUMPRODUCT(Mecze[[#This Row],[/PR:90]:[/BR:90]],Brudnopis!$E$27:$J$27),0)</f>
        <v>0.1875</v>
      </c>
      <c r="X582" s="44">
        <f>IF(Mecze[[#This Row],[Role]]&lt;&gt;"BR",SUMPRODUCT(Mecze[[#This Row],[/PR:90]:[/BR:90]],Brudnopis!$E$28:$J$28),0)</f>
        <v>0</v>
      </c>
      <c r="Y582" s="35">
        <f>IF(Mecze[[#This Row],[Role]]="BR",Mecze[[#This Row],[/OB:90]]+Mecze[[#This Row],[/PC:90]],SUM(Mecze[[#This Row],[/PR:90]:[/BR:90]]))</f>
        <v>0.25</v>
      </c>
      <c r="Z582" s="35">
        <f>IF(Mecze[[#This Row],[KC]]=0,SUM(Mecze[[#This Row],[/BRI]:[/NPI]]),SUM(Mecze[[#This Row],[/BRI]:[/NPI]])*0.6)</f>
        <v>0.63749999999999996</v>
      </c>
      <c r="AA582" s="10">
        <f>IFERROR(Mecze[[#This Row],[BR]]/Mecze[[#This Row],[ST]],0)</f>
        <v>0</v>
      </c>
      <c r="AB582">
        <f>ROUND(Mecze[[#This Row],[PD]]*Mecze[[#This Row],[%PC]],0)</f>
        <v>0</v>
      </c>
      <c r="AC582">
        <f>ROUND(Mecze[[#This Row],[OD]]*Mecze[[#This Row],[%OU]],0)</f>
        <v>1</v>
      </c>
      <c r="AD582" s="36" t="s">
        <v>167</v>
      </c>
      <c r="AE582" s="36">
        <v>33</v>
      </c>
      <c r="AF582" s="71">
        <v>-2.82</v>
      </c>
      <c r="AG582" s="37">
        <v>0</v>
      </c>
      <c r="AH582" s="37">
        <v>1</v>
      </c>
      <c r="AI582" s="37">
        <v>4</v>
      </c>
      <c r="AJ582" s="37">
        <v>4</v>
      </c>
      <c r="AK582" s="37" t="str">
        <f>VLOOKUP(Mecze[[#This Row],[Match ID]],Meczusie[Mecz]:Meczusie[RodzajMeczu],2,FALSE)</f>
        <v>Liga</v>
      </c>
    </row>
    <row r="583" spans="1:37" x14ac:dyDescent="0.25">
      <c r="A583" s="76">
        <v>15</v>
      </c>
      <c r="B583" s="3" t="s">
        <v>286</v>
      </c>
      <c r="C583" s="2" t="s">
        <v>165</v>
      </c>
      <c r="D583" s="1">
        <v>0</v>
      </c>
      <c r="E583" s="1">
        <v>1</v>
      </c>
      <c r="F583" s="1">
        <v>1</v>
      </c>
      <c r="G583" s="1">
        <v>0</v>
      </c>
      <c r="H583" s="72"/>
      <c r="I583" s="1">
        <v>0</v>
      </c>
      <c r="J583" s="4"/>
      <c r="K583" s="1">
        <v>0</v>
      </c>
      <c r="L583" s="1">
        <v>0</v>
      </c>
      <c r="M583" s="32">
        <f>IF(Mecze[[#This Row],[PR]]=0,0,Mecze[[#This Row],[PR]]/Mecze[[#This Row],[CZAS]])</f>
        <v>0</v>
      </c>
      <c r="N583" s="32">
        <f>IF(Mecze[[#This Row],[OU]]=0,0,Mecze[[#This Row],[OU]]/Mecze[[#This Row],[CZAS]])</f>
        <v>0</v>
      </c>
      <c r="O583" s="32">
        <f>IF(Mecze[[#This Row],[PC]]=0,0,Mecze[[#This Row],[PC]]/Mecze[[#This Row],[CZAS]])</f>
        <v>0</v>
      </c>
      <c r="P583" s="32">
        <f>IF(Mecze[[#This Row],[SC]]=0,0,Mecze[[#This Row],[SC]]/Mecze[[#This Row],[CZAS]])</f>
        <v>0.125</v>
      </c>
      <c r="Q583" s="32">
        <f>IF(Mecze[[#This Row],[OB]]=0,0,Mecze[[#This Row],[OB]]/Mecze[[#This Row],[CZAS]])</f>
        <v>0</v>
      </c>
      <c r="R583" s="32">
        <f>IF(Mecze[[#This Row],[BR]]=0,0,Mecze[[#This Row],[BR]]/Mecze[[#This Row],[CZAS]])</f>
        <v>0</v>
      </c>
      <c r="S583" s="44">
        <f>IF(Mecze[[#This Row],[Role]]="BR",SUMPRODUCT(Mecze[[#This Row],[/PR:90]:[/BR:90]],Brudnopis!$E$23:$J$23),0)</f>
        <v>0</v>
      </c>
      <c r="T583" s="44">
        <f>IF(Mecze[[#This Row],[Role]]&lt;&gt;"BR",SUMPRODUCT(Mecze[[#This Row],[/PR:90]:[/BR:90]],Brudnopis!$E$24:$J$24),0)</f>
        <v>0.125</v>
      </c>
      <c r="U583" s="44">
        <f>IF(Mecze[[#This Row],[Role]]&lt;&gt;"BR",SUMPRODUCT(Mecze[[#This Row],[/PR:90]:[/BR:90]],Brudnopis!$E$25:$J$25),0)</f>
        <v>0.125</v>
      </c>
      <c r="V583" s="44">
        <f>IF(Mecze[[#This Row],[Role]]&lt;&gt;"BR",SUMPRODUCT(Mecze[[#This Row],[/PR:90]:[/BR:90]],Brudnopis!$E$26:$J$26),0)</f>
        <v>0.125</v>
      </c>
      <c r="W583" s="44">
        <f>IF(Mecze[[#This Row],[Role]]&lt;&gt;"BR",SUMPRODUCT(Mecze[[#This Row],[/PR:90]:[/BR:90]],Brudnopis!$E$27:$J$27),0)</f>
        <v>0.125</v>
      </c>
      <c r="X583" s="44">
        <f>IF(Mecze[[#This Row],[Role]]&lt;&gt;"BR",SUMPRODUCT(Mecze[[#This Row],[/PR:90]:[/BR:90]],Brudnopis!$E$28:$J$28),0)</f>
        <v>0.25</v>
      </c>
      <c r="Y583" s="35">
        <f>IF(Mecze[[#This Row],[Role]]="BR",Mecze[[#This Row],[/OB:90]]+Mecze[[#This Row],[/PC:90]],SUM(Mecze[[#This Row],[/PR:90]:[/BR:90]]))</f>
        <v>0.125</v>
      </c>
      <c r="Z583" s="35">
        <f>IF(Mecze[[#This Row],[KC]]=0,SUM(Mecze[[#This Row],[/BRI]:[/NPI]]),SUM(Mecze[[#This Row],[/BRI]:[/NPI]])*0.6)</f>
        <v>0.75</v>
      </c>
      <c r="AA583" s="10">
        <f>IFERROR(Mecze[[#This Row],[BR]]/Mecze[[#This Row],[ST]],0)</f>
        <v>0</v>
      </c>
      <c r="AB583">
        <f>ROUND(Mecze[[#This Row],[PD]]*Mecze[[#This Row],[%PC]],0)</f>
        <v>0</v>
      </c>
      <c r="AC583">
        <f>ROUND(Mecze[[#This Row],[OD]]*Mecze[[#This Row],[%OU]],0)</f>
        <v>0</v>
      </c>
      <c r="AD583" s="36" t="s">
        <v>46</v>
      </c>
      <c r="AE583" s="36">
        <v>33</v>
      </c>
      <c r="AF583" s="71">
        <v>0.72</v>
      </c>
      <c r="AG583" s="37">
        <v>0</v>
      </c>
      <c r="AH583" s="37">
        <v>0</v>
      </c>
      <c r="AI583" s="37">
        <v>8</v>
      </c>
      <c r="AJ583" s="37">
        <v>4</v>
      </c>
      <c r="AK583" s="37" t="str">
        <f>VLOOKUP(Mecze[[#This Row],[Match ID]],Meczusie[Mecz]:Meczusie[RodzajMeczu],2,FALSE)</f>
        <v>Liga</v>
      </c>
    </row>
    <row r="584" spans="1:37" x14ac:dyDescent="0.25">
      <c r="A584" s="76">
        <v>110</v>
      </c>
      <c r="B584" s="3" t="s">
        <v>333</v>
      </c>
      <c r="C584" s="2" t="s">
        <v>155</v>
      </c>
      <c r="D584" s="1">
        <v>0</v>
      </c>
      <c r="E584" s="1">
        <v>0</v>
      </c>
      <c r="F584" s="1">
        <v>0</v>
      </c>
      <c r="G584" s="1">
        <v>17</v>
      </c>
      <c r="H584" s="4">
        <v>0.53</v>
      </c>
      <c r="I584" s="1">
        <v>0</v>
      </c>
      <c r="J584" s="4"/>
      <c r="K584" s="1">
        <v>20</v>
      </c>
      <c r="L584" s="1">
        <v>0</v>
      </c>
      <c r="M584" s="32">
        <f>IF(Mecze[[#This Row],[PR]]=0,0,Mecze[[#This Row],[PR]]/Mecze[[#This Row],[CZAS]])</f>
        <v>0</v>
      </c>
      <c r="N584" s="32">
        <f>IF(Mecze[[#This Row],[OU]]=0,0,Mecze[[#This Row],[OU]]/Mecze[[#This Row],[CZAS]])</f>
        <v>0</v>
      </c>
      <c r="O584" s="32">
        <f>IF(Mecze[[#This Row],[PC]]=0,0,Mecze[[#This Row],[PC]]/Mecze[[#This Row],[CZAS]])</f>
        <v>9.1836734693877556E-2</v>
      </c>
      <c r="P584" s="32">
        <f>IF(Mecze[[#This Row],[SC]]=0,0,Mecze[[#This Row],[SC]]/Mecze[[#This Row],[CZAS]])</f>
        <v>0</v>
      </c>
      <c r="Q584" s="32">
        <f>IF(Mecze[[#This Row],[OB]]=0,0,Mecze[[#This Row],[OB]]/Mecze[[#This Row],[CZAS]])</f>
        <v>0.20408163265306123</v>
      </c>
      <c r="R584" s="32">
        <f>IF(Mecze[[#This Row],[BR]]=0,0,Mecze[[#This Row],[BR]]/Mecze[[#This Row],[CZAS]])</f>
        <v>0</v>
      </c>
      <c r="S584" s="44">
        <f>IF(Mecze[[#This Row],[Role]]="BR",SUMPRODUCT(Mecze[[#This Row],[/PR:90]:[/BR:90]],Brudnopis!$E$23:$J$23),0)</f>
        <v>0.88775510204081631</v>
      </c>
      <c r="T584" s="44">
        <f>IF(Mecze[[#This Row],[Role]]&lt;&gt;"BR",SUMPRODUCT(Mecze[[#This Row],[/PR:90]:[/BR:90]],Brudnopis!$E$24:$J$24),0)</f>
        <v>0</v>
      </c>
      <c r="U584" s="44">
        <f>IF(Mecze[[#This Row],[Role]]&lt;&gt;"BR",SUMPRODUCT(Mecze[[#This Row],[/PR:90]:[/BR:90]],Brudnopis!$E$25:$J$25),0)</f>
        <v>0</v>
      </c>
      <c r="V584" s="44">
        <f>IF(Mecze[[#This Row],[Role]]&lt;&gt;"BR",SUMPRODUCT(Mecze[[#This Row],[/PR:90]:[/BR:90]],Brudnopis!$E$26:$J$26),0)</f>
        <v>0</v>
      </c>
      <c r="W584" s="44">
        <f>IF(Mecze[[#This Row],[Role]]&lt;&gt;"BR",SUMPRODUCT(Mecze[[#This Row],[/PR:90]:[/BR:90]],Brudnopis!$E$27:$J$27),0)</f>
        <v>0</v>
      </c>
      <c r="X584" s="44">
        <f>IF(Mecze[[#This Row],[Role]]&lt;&gt;"BR",SUMPRODUCT(Mecze[[#This Row],[/PR:90]:[/BR:90]],Brudnopis!$E$28:$J$28),0)</f>
        <v>0</v>
      </c>
      <c r="Y584" s="35">
        <f>IF(Mecze[[#This Row],[Role]]="BR",Mecze[[#This Row],[/OB:90]]+Mecze[[#This Row],[/PC:90]],SUM(Mecze[[#This Row],[/PR:90]:[/BR:90]]))</f>
        <v>0.29591836734693877</v>
      </c>
      <c r="Z584" s="35">
        <f>IF(Mecze[[#This Row],[KC]]=0,SUM(Mecze[[#This Row],[/BRI]:[/NPI]]),SUM(Mecze[[#This Row],[/BRI]:[/NPI]])*0.6)</f>
        <v>0.88775510204081631</v>
      </c>
      <c r="AA584" s="10">
        <f>IFERROR(Mecze[[#This Row],[BR]]/Mecze[[#This Row],[ST]],0)</f>
        <v>0</v>
      </c>
      <c r="AB584">
        <f>ROUND(Mecze[[#This Row],[PD]]*Mecze[[#This Row],[%PC]],0)</f>
        <v>9</v>
      </c>
      <c r="AC584">
        <f>ROUND(Mecze[[#This Row],[OD]]*Mecze[[#This Row],[%OU]],0)</f>
        <v>0</v>
      </c>
      <c r="AD584" s="36" t="s">
        <v>40</v>
      </c>
      <c r="AE584" s="36">
        <v>33</v>
      </c>
      <c r="AF584" s="71">
        <v>9.81</v>
      </c>
      <c r="AG584" s="37">
        <v>0</v>
      </c>
      <c r="AH584" s="37">
        <v>0</v>
      </c>
      <c r="AI584" s="37">
        <v>98</v>
      </c>
      <c r="AJ584" s="37">
        <v>7</v>
      </c>
      <c r="AK584" s="37" t="str">
        <f>VLOOKUP(Mecze[[#This Row],[Match ID]],Meczusie[Mecz]:Meczusie[RodzajMeczu],2,FALSE)</f>
        <v>Liga</v>
      </c>
    </row>
    <row r="585" spans="1:37" x14ac:dyDescent="0.25">
      <c r="A585" s="76">
        <v>204</v>
      </c>
      <c r="B585" s="3" t="s">
        <v>334</v>
      </c>
      <c r="C585" s="2" t="s">
        <v>157</v>
      </c>
      <c r="D585" s="1">
        <v>1</v>
      </c>
      <c r="E585" s="1">
        <v>1</v>
      </c>
      <c r="F585" s="1">
        <v>1</v>
      </c>
      <c r="G585" s="1">
        <v>8</v>
      </c>
      <c r="H585" s="4">
        <v>0.38</v>
      </c>
      <c r="I585" s="1">
        <v>5</v>
      </c>
      <c r="J585" s="4">
        <v>0.4</v>
      </c>
      <c r="K585" s="1">
        <v>0</v>
      </c>
      <c r="L585" s="1">
        <v>4</v>
      </c>
      <c r="M585" s="32">
        <f>IF(Mecze[[#This Row],[PR]]=0,0,Mecze[[#This Row],[PR]]/Mecze[[#This Row],[CZAS]])</f>
        <v>4.0816326530612242E-2</v>
      </c>
      <c r="N585" s="32">
        <f>IF(Mecze[[#This Row],[OU]]=0,0,Mecze[[#This Row],[OU]]/Mecze[[#This Row],[CZAS]])</f>
        <v>2.0408163265306121E-2</v>
      </c>
      <c r="O585" s="32">
        <f>IF(Mecze[[#This Row],[PC]]=0,0,Mecze[[#This Row],[PC]]/Mecze[[#This Row],[CZAS]])</f>
        <v>3.0612244897959183E-2</v>
      </c>
      <c r="P585" s="32">
        <f>IF(Mecze[[#This Row],[SC]]=0,0,Mecze[[#This Row],[SC]]/Mecze[[#This Row],[CZAS]])</f>
        <v>1.020408163265306E-2</v>
      </c>
      <c r="Q585" s="32">
        <f>IF(Mecze[[#This Row],[OB]]=0,0,Mecze[[#This Row],[OB]]/Mecze[[#This Row],[CZAS]])</f>
        <v>0</v>
      </c>
      <c r="R585" s="32">
        <f>IF(Mecze[[#This Row],[BR]]=0,0,Mecze[[#This Row],[BR]]/Mecze[[#This Row],[CZAS]])</f>
        <v>1.020408163265306E-2</v>
      </c>
      <c r="S585" s="44">
        <f>IF(Mecze[[#This Row],[Role]]="BR",SUMPRODUCT(Mecze[[#This Row],[/PR:90]:[/BR:90]],Brudnopis!$E$23:$J$23),0)</f>
        <v>0</v>
      </c>
      <c r="T585" s="44">
        <f>IF(Mecze[[#This Row],[Role]]&lt;&gt;"BR",SUMPRODUCT(Mecze[[#This Row],[/PR:90]:[/BR:90]],Brudnopis!$E$24:$J$24),0)</f>
        <v>0.12755102040816327</v>
      </c>
      <c r="U585" s="44">
        <f>IF(Mecze[[#This Row],[Role]]&lt;&gt;"BR",SUMPRODUCT(Mecze[[#This Row],[/PR:90]:[/BR:90]],Brudnopis!$E$25:$J$25),0)</f>
        <v>0.13265306122448978</v>
      </c>
      <c r="V585" s="44">
        <f>IF(Mecze[[#This Row],[Role]]&lt;&gt;"BR",SUMPRODUCT(Mecze[[#This Row],[/PR:90]:[/BR:90]],Brudnopis!$E$26:$J$26),0)</f>
        <v>0.12244897959183672</v>
      </c>
      <c r="W585" s="44">
        <f>IF(Mecze[[#This Row],[Role]]&lt;&gt;"BR",SUMPRODUCT(Mecze[[#This Row],[/PR:90]:[/BR:90]],Brudnopis!$E$27:$J$27),0)</f>
        <v>0.12244897959183672</v>
      </c>
      <c r="X585" s="44">
        <f>IF(Mecze[[#This Row],[Role]]&lt;&gt;"BR",SUMPRODUCT(Mecze[[#This Row],[/PR:90]:[/BR:90]],Brudnopis!$E$28:$J$28),0)</f>
        <v>8.1632653061224497E-2</v>
      </c>
      <c r="Y585" s="35">
        <f>IF(Mecze[[#This Row],[Role]]="BR",Mecze[[#This Row],[/OB:90]]+Mecze[[#This Row],[/PC:90]],SUM(Mecze[[#This Row],[/PR:90]:[/BR:90]]))</f>
        <v>0.11224489795918366</v>
      </c>
      <c r="Z585" s="35">
        <f>IF(Mecze[[#This Row],[KC]]=0,SUM(Mecze[[#This Row],[/BRI]:[/NPI]]),SUM(Mecze[[#This Row],[/BRI]:[/NPI]])*0.6)</f>
        <v>0.58673469387755095</v>
      </c>
      <c r="AA585" s="10">
        <f>IFERROR(Mecze[[#This Row],[BR]]/Mecze[[#This Row],[ST]],0)</f>
        <v>1</v>
      </c>
      <c r="AB585">
        <f>ROUND(Mecze[[#This Row],[PD]]*Mecze[[#This Row],[%PC]],0)</f>
        <v>3</v>
      </c>
      <c r="AC585">
        <f>ROUND(Mecze[[#This Row],[OD]]*Mecze[[#This Row],[%OU]],0)</f>
        <v>2</v>
      </c>
      <c r="AD585" s="36" t="s">
        <v>47</v>
      </c>
      <c r="AE585" s="36">
        <v>33</v>
      </c>
      <c r="AF585" s="71">
        <v>2.4300000000000002</v>
      </c>
      <c r="AG585" s="37">
        <v>0</v>
      </c>
      <c r="AH585" s="37">
        <v>0</v>
      </c>
      <c r="AI585" s="37">
        <v>98</v>
      </c>
      <c r="AJ585" s="37">
        <v>7</v>
      </c>
      <c r="AK585" s="37" t="str">
        <f>VLOOKUP(Mecze[[#This Row],[Match ID]],Meczusie[Mecz]:Meczusie[RodzajMeczu],2,FALSE)</f>
        <v>Liga</v>
      </c>
    </row>
    <row r="586" spans="1:37" x14ac:dyDescent="0.25">
      <c r="A586" s="76">
        <v>150</v>
      </c>
      <c r="B586" s="3" t="s">
        <v>335</v>
      </c>
      <c r="C586" s="2" t="s">
        <v>157</v>
      </c>
      <c r="D586" s="1">
        <v>0</v>
      </c>
      <c r="E586" s="1">
        <v>0</v>
      </c>
      <c r="F586" s="1">
        <v>0</v>
      </c>
      <c r="G586" s="1">
        <v>8</v>
      </c>
      <c r="H586" s="4">
        <v>0.63</v>
      </c>
      <c r="I586" s="1">
        <v>7</v>
      </c>
      <c r="J586" s="4">
        <v>0</v>
      </c>
      <c r="K586" s="1">
        <v>0</v>
      </c>
      <c r="L586" s="1">
        <v>6</v>
      </c>
      <c r="M586" s="32">
        <f>IF(Mecze[[#This Row],[PR]]=0,0,Mecze[[#This Row],[PR]]/Mecze[[#This Row],[CZAS]])</f>
        <v>6.1224489795918366E-2</v>
      </c>
      <c r="N586" s="32">
        <f>IF(Mecze[[#This Row],[OU]]=0,0,Mecze[[#This Row],[OU]]/Mecze[[#This Row],[CZAS]])</f>
        <v>0</v>
      </c>
      <c r="O586" s="32">
        <f>IF(Mecze[[#This Row],[PC]]=0,0,Mecze[[#This Row],[PC]]/Mecze[[#This Row],[CZAS]])</f>
        <v>5.1020408163265307E-2</v>
      </c>
      <c r="P586" s="32">
        <f>IF(Mecze[[#This Row],[SC]]=0,0,Mecze[[#This Row],[SC]]/Mecze[[#This Row],[CZAS]])</f>
        <v>0</v>
      </c>
      <c r="Q586" s="32">
        <f>IF(Mecze[[#This Row],[OB]]=0,0,Mecze[[#This Row],[OB]]/Mecze[[#This Row],[CZAS]])</f>
        <v>0</v>
      </c>
      <c r="R586" s="32">
        <f>IF(Mecze[[#This Row],[BR]]=0,0,Mecze[[#This Row],[BR]]/Mecze[[#This Row],[CZAS]])</f>
        <v>0</v>
      </c>
      <c r="S586" s="44">
        <f>IF(Mecze[[#This Row],[Role]]="BR",SUMPRODUCT(Mecze[[#This Row],[/PR:90]:[/BR:90]],Brudnopis!$E$23:$J$23),0)</f>
        <v>0</v>
      </c>
      <c r="T586" s="44">
        <f>IF(Mecze[[#This Row],[Role]]&lt;&gt;"BR",SUMPRODUCT(Mecze[[#This Row],[/PR:90]:[/BR:90]],Brudnopis!$E$24:$J$24),0)</f>
        <v>0.11224489795918367</v>
      </c>
      <c r="U586" s="44">
        <f>IF(Mecze[[#This Row],[Role]]&lt;&gt;"BR",SUMPRODUCT(Mecze[[#This Row],[/PR:90]:[/BR:90]],Brudnopis!$E$25:$J$25),0)</f>
        <v>0.13775510204081631</v>
      </c>
      <c r="V586" s="44">
        <f>IF(Mecze[[#This Row],[Role]]&lt;&gt;"BR",SUMPRODUCT(Mecze[[#This Row],[/PR:90]:[/BR:90]],Brudnopis!$E$26:$J$26),0)</f>
        <v>0.11224489795918367</v>
      </c>
      <c r="W586" s="44">
        <f>IF(Mecze[[#This Row],[Role]]&lt;&gt;"BR",SUMPRODUCT(Mecze[[#This Row],[/PR:90]:[/BR:90]],Brudnopis!$E$27:$J$27),0)</f>
        <v>0.12244897959183673</v>
      </c>
      <c r="X586" s="44">
        <f>IF(Mecze[[#This Row],[Role]]&lt;&gt;"BR",SUMPRODUCT(Mecze[[#This Row],[/PR:90]:[/BR:90]],Brudnopis!$E$28:$J$28),0)</f>
        <v>5.1020408163265307E-2</v>
      </c>
      <c r="Y586" s="35">
        <f>IF(Mecze[[#This Row],[Role]]="BR",Mecze[[#This Row],[/OB:90]]+Mecze[[#This Row],[/PC:90]],SUM(Mecze[[#This Row],[/PR:90]:[/BR:90]]))</f>
        <v>0.11224489795918367</v>
      </c>
      <c r="Z586" s="35">
        <f>IF(Mecze[[#This Row],[KC]]=0,SUM(Mecze[[#This Row],[/BRI]:[/NPI]]),SUM(Mecze[[#This Row],[/BRI]:[/NPI]])*0.6)</f>
        <v>0.53571428571428581</v>
      </c>
      <c r="AA586" s="10">
        <f>IFERROR(Mecze[[#This Row],[BR]]/Mecze[[#This Row],[ST]],0)</f>
        <v>0</v>
      </c>
      <c r="AB586">
        <f>ROUND(Mecze[[#This Row],[PD]]*Mecze[[#This Row],[%PC]],0)</f>
        <v>5</v>
      </c>
      <c r="AC586">
        <f>ROUND(Mecze[[#This Row],[OD]]*Mecze[[#This Row],[%OU]],0)</f>
        <v>0</v>
      </c>
      <c r="AD586" s="36" t="s">
        <v>167</v>
      </c>
      <c r="AE586" s="36">
        <v>33</v>
      </c>
      <c r="AF586" s="71">
        <v>2.85</v>
      </c>
      <c r="AG586" s="37">
        <v>0</v>
      </c>
      <c r="AH586" s="37">
        <v>0</v>
      </c>
      <c r="AI586" s="37">
        <v>98</v>
      </c>
      <c r="AJ586" s="37">
        <v>7</v>
      </c>
      <c r="AK586" s="37" t="str">
        <f>VLOOKUP(Mecze[[#This Row],[Match ID]],Meczusie[Mecz]:Meczusie[RodzajMeczu],2,FALSE)</f>
        <v>Liga</v>
      </c>
    </row>
    <row r="587" spans="1:37" x14ac:dyDescent="0.25">
      <c r="A587" s="76">
        <v>76</v>
      </c>
      <c r="B587" s="3" t="s">
        <v>336</v>
      </c>
      <c r="C587" s="2" t="s">
        <v>157</v>
      </c>
      <c r="D587" s="1">
        <v>0</v>
      </c>
      <c r="E587" s="1">
        <v>0</v>
      </c>
      <c r="F587" s="1">
        <v>0</v>
      </c>
      <c r="G587" s="1">
        <v>1</v>
      </c>
      <c r="H587" s="4">
        <v>0</v>
      </c>
      <c r="I587" s="1">
        <v>2</v>
      </c>
      <c r="J587" s="4">
        <v>0</v>
      </c>
      <c r="K587" s="1">
        <v>0</v>
      </c>
      <c r="L587" s="1">
        <v>3</v>
      </c>
      <c r="M587" s="32">
        <f>IF(Mecze[[#This Row],[PR]]=0,0,Mecze[[#This Row],[PR]]/Mecze[[#This Row],[CZAS]])</f>
        <v>3.0612244897959183E-2</v>
      </c>
      <c r="N587" s="32">
        <f>IF(Mecze[[#This Row],[OU]]=0,0,Mecze[[#This Row],[OU]]/Mecze[[#This Row],[CZAS]])</f>
        <v>0</v>
      </c>
      <c r="O587" s="32">
        <f>IF(Mecze[[#This Row],[PC]]=0,0,Mecze[[#This Row],[PC]]/Mecze[[#This Row],[CZAS]])</f>
        <v>0</v>
      </c>
      <c r="P587" s="32">
        <f>IF(Mecze[[#This Row],[SC]]=0,0,Mecze[[#This Row],[SC]]/Mecze[[#This Row],[CZAS]])</f>
        <v>0</v>
      </c>
      <c r="Q587" s="32">
        <f>IF(Mecze[[#This Row],[OB]]=0,0,Mecze[[#This Row],[OB]]/Mecze[[#This Row],[CZAS]])</f>
        <v>0</v>
      </c>
      <c r="R587" s="32">
        <f>IF(Mecze[[#This Row],[BR]]=0,0,Mecze[[#This Row],[BR]]/Mecze[[#This Row],[CZAS]])</f>
        <v>0</v>
      </c>
      <c r="S587" s="44">
        <f>IF(Mecze[[#This Row],[Role]]="BR",SUMPRODUCT(Mecze[[#This Row],[/PR:90]:[/BR:90]],Brudnopis!$E$23:$J$23),0)</f>
        <v>0</v>
      </c>
      <c r="T587" s="44">
        <f>IF(Mecze[[#This Row],[Role]]&lt;&gt;"BR",SUMPRODUCT(Mecze[[#This Row],[/PR:90]:[/BR:90]],Brudnopis!$E$24:$J$24),0)</f>
        <v>3.0612244897959183E-2</v>
      </c>
      <c r="U587" s="44">
        <f>IF(Mecze[[#This Row],[Role]]&lt;&gt;"BR",SUMPRODUCT(Mecze[[#This Row],[/PR:90]:[/BR:90]],Brudnopis!$E$25:$J$25),0)</f>
        <v>3.0612244897959183E-2</v>
      </c>
      <c r="V587" s="44">
        <f>IF(Mecze[[#This Row],[Role]]&lt;&gt;"BR",SUMPRODUCT(Mecze[[#This Row],[/PR:90]:[/BR:90]],Brudnopis!$E$26:$J$26),0)</f>
        <v>3.0612244897959183E-2</v>
      </c>
      <c r="W587" s="44">
        <f>IF(Mecze[[#This Row],[Role]]&lt;&gt;"BR",SUMPRODUCT(Mecze[[#This Row],[/PR:90]:[/BR:90]],Brudnopis!$E$27:$J$27),0)</f>
        <v>2.2959183673469385E-2</v>
      </c>
      <c r="X587" s="44">
        <f>IF(Mecze[[#This Row],[Role]]&lt;&gt;"BR",SUMPRODUCT(Mecze[[#This Row],[/PR:90]:[/BR:90]],Brudnopis!$E$28:$J$28),0)</f>
        <v>0</v>
      </c>
      <c r="Y587" s="35">
        <f>IF(Mecze[[#This Row],[Role]]="BR",Mecze[[#This Row],[/OB:90]]+Mecze[[#This Row],[/PC:90]],SUM(Mecze[[#This Row],[/PR:90]:[/BR:90]]))</f>
        <v>3.0612244897959183E-2</v>
      </c>
      <c r="Z587" s="35">
        <f>IF(Mecze[[#This Row],[KC]]=0,SUM(Mecze[[#This Row],[/BRI]:[/NPI]]),SUM(Mecze[[#This Row],[/BRI]:[/NPI]])*0.6)</f>
        <v>0.11479591836734693</v>
      </c>
      <c r="AA587" s="10">
        <f>IFERROR(Mecze[[#This Row],[BR]]/Mecze[[#This Row],[ST]],0)</f>
        <v>0</v>
      </c>
      <c r="AB587">
        <f>ROUND(Mecze[[#This Row],[PD]]*Mecze[[#This Row],[%PC]],0)</f>
        <v>0</v>
      </c>
      <c r="AC587">
        <f>ROUND(Mecze[[#This Row],[OD]]*Mecze[[#This Row],[%OU]],0)</f>
        <v>0</v>
      </c>
      <c r="AD587" s="36" t="s">
        <v>168</v>
      </c>
      <c r="AE587" s="36">
        <v>33</v>
      </c>
      <c r="AF587" s="71">
        <v>2.2200000000000002</v>
      </c>
      <c r="AG587" s="37">
        <v>0</v>
      </c>
      <c r="AH587" s="37">
        <v>0</v>
      </c>
      <c r="AI587" s="37">
        <v>98</v>
      </c>
      <c r="AJ587" s="37">
        <v>7</v>
      </c>
      <c r="AK587" s="37" t="str">
        <f>VLOOKUP(Mecze[[#This Row],[Match ID]],Meczusie[Mecz]:Meczusie[RodzajMeczu],2,FALSE)</f>
        <v>Liga</v>
      </c>
    </row>
    <row r="588" spans="1:37" x14ac:dyDescent="0.25">
      <c r="A588" s="76">
        <v>151</v>
      </c>
      <c r="B588" s="3" t="s">
        <v>337</v>
      </c>
      <c r="C588" s="2" t="s">
        <v>160</v>
      </c>
      <c r="D588" s="1">
        <v>0</v>
      </c>
      <c r="E588" s="1">
        <v>0</v>
      </c>
      <c r="F588" s="1">
        <v>0</v>
      </c>
      <c r="G588" s="1">
        <v>13</v>
      </c>
      <c r="H588" s="4">
        <v>0.69</v>
      </c>
      <c r="I588" s="1">
        <v>11</v>
      </c>
      <c r="J588" s="4">
        <v>0.45</v>
      </c>
      <c r="K588" s="1">
        <v>0</v>
      </c>
      <c r="L588" s="1">
        <v>1</v>
      </c>
      <c r="M588" s="32">
        <f>IF(Mecze[[#This Row],[PR]]=0,0,Mecze[[#This Row],[PR]]/Mecze[[#This Row],[CZAS]])</f>
        <v>1.020408163265306E-2</v>
      </c>
      <c r="N588" s="32">
        <f>IF(Mecze[[#This Row],[OU]]=0,0,Mecze[[#This Row],[OU]]/Mecze[[#This Row],[CZAS]])</f>
        <v>5.1020408163265307E-2</v>
      </c>
      <c r="O588" s="32">
        <f>IF(Mecze[[#This Row],[PC]]=0,0,Mecze[[#This Row],[PC]]/Mecze[[#This Row],[CZAS]])</f>
        <v>9.1836734693877556E-2</v>
      </c>
      <c r="P588" s="32">
        <f>IF(Mecze[[#This Row],[SC]]=0,0,Mecze[[#This Row],[SC]]/Mecze[[#This Row],[CZAS]])</f>
        <v>0</v>
      </c>
      <c r="Q588" s="32">
        <f>IF(Mecze[[#This Row],[OB]]=0,0,Mecze[[#This Row],[OB]]/Mecze[[#This Row],[CZAS]])</f>
        <v>0</v>
      </c>
      <c r="R588" s="32">
        <f>IF(Mecze[[#This Row],[BR]]=0,0,Mecze[[#This Row],[BR]]/Mecze[[#This Row],[CZAS]])</f>
        <v>0</v>
      </c>
      <c r="S588" s="44">
        <f>IF(Mecze[[#This Row],[Role]]="BR",SUMPRODUCT(Mecze[[#This Row],[/PR:90]:[/BR:90]],Brudnopis!$E$23:$J$23),0)</f>
        <v>0</v>
      </c>
      <c r="T588" s="44">
        <f>IF(Mecze[[#This Row],[Role]]&lt;&gt;"BR",SUMPRODUCT(Mecze[[#This Row],[/PR:90]:[/BR:90]],Brudnopis!$E$24:$J$24),0)</f>
        <v>0.17857142857142858</v>
      </c>
      <c r="U588" s="44">
        <f>IF(Mecze[[#This Row],[Role]]&lt;&gt;"BR",SUMPRODUCT(Mecze[[#This Row],[/PR:90]:[/BR:90]],Brudnopis!$E$25:$J$25),0)</f>
        <v>0.19897959183673469</v>
      </c>
      <c r="V588" s="44">
        <f>IF(Mecze[[#This Row],[Role]]&lt;&gt;"BR",SUMPRODUCT(Mecze[[#This Row],[/PR:90]:[/BR:90]],Brudnopis!$E$26:$J$26),0)</f>
        <v>0.15306122448979592</v>
      </c>
      <c r="W588" s="44">
        <f>IF(Mecze[[#This Row],[Role]]&lt;&gt;"BR",SUMPRODUCT(Mecze[[#This Row],[/PR:90]:[/BR:90]],Brudnopis!$E$27:$J$27),0)</f>
        <v>0.18367346938775511</v>
      </c>
      <c r="X588" s="44">
        <f>IF(Mecze[[#This Row],[Role]]&lt;&gt;"BR",SUMPRODUCT(Mecze[[#This Row],[/PR:90]:[/BR:90]],Brudnopis!$E$28:$J$28),0)</f>
        <v>9.1836734693877556E-2</v>
      </c>
      <c r="Y588" s="35">
        <f>IF(Mecze[[#This Row],[Role]]="BR",Mecze[[#This Row],[/OB:90]]+Mecze[[#This Row],[/PC:90]],SUM(Mecze[[#This Row],[/PR:90]:[/BR:90]]))</f>
        <v>0.15306122448979592</v>
      </c>
      <c r="Z588" s="35">
        <f>IF(Mecze[[#This Row],[KC]]=0,SUM(Mecze[[#This Row],[/BRI]:[/NPI]]),SUM(Mecze[[#This Row],[/BRI]:[/NPI]])*0.6)</f>
        <v>0.80612244897959173</v>
      </c>
      <c r="AA588" s="10">
        <f>IFERROR(Mecze[[#This Row],[BR]]/Mecze[[#This Row],[ST]],0)</f>
        <v>0</v>
      </c>
      <c r="AB588">
        <f>ROUND(Mecze[[#This Row],[PD]]*Mecze[[#This Row],[%PC]],0)</f>
        <v>9</v>
      </c>
      <c r="AC588">
        <f>ROUND(Mecze[[#This Row],[OD]]*Mecze[[#This Row],[%OU]],0)</f>
        <v>5</v>
      </c>
      <c r="AD588" s="36" t="s">
        <v>41</v>
      </c>
      <c r="AE588" s="36">
        <v>33</v>
      </c>
      <c r="AF588" s="71">
        <v>4.12</v>
      </c>
      <c r="AG588" s="37">
        <v>0</v>
      </c>
      <c r="AH588" s="37">
        <v>0</v>
      </c>
      <c r="AI588" s="37">
        <v>98</v>
      </c>
      <c r="AJ588" s="37">
        <v>7</v>
      </c>
      <c r="AK588" s="37" t="str">
        <f>VLOOKUP(Mecze[[#This Row],[Match ID]],Meczusie[Mecz]:Meczusie[RodzajMeczu],2,FALSE)</f>
        <v>Liga</v>
      </c>
    </row>
    <row r="589" spans="1:37" x14ac:dyDescent="0.25">
      <c r="A589" s="76">
        <v>159</v>
      </c>
      <c r="B589" s="3" t="s">
        <v>338</v>
      </c>
      <c r="C589" s="2" t="s">
        <v>160</v>
      </c>
      <c r="D589" s="1">
        <v>0</v>
      </c>
      <c r="E589" s="1">
        <v>0</v>
      </c>
      <c r="F589" s="1">
        <v>0</v>
      </c>
      <c r="G589" s="1">
        <v>10</v>
      </c>
      <c r="H589" s="4">
        <v>0.5</v>
      </c>
      <c r="I589" s="1">
        <v>12</v>
      </c>
      <c r="J589" s="4">
        <v>0.42</v>
      </c>
      <c r="K589" s="1">
        <v>0</v>
      </c>
      <c r="L589" s="1">
        <v>1</v>
      </c>
      <c r="M589" s="32">
        <f>IF(Mecze[[#This Row],[PR]]=0,0,Mecze[[#This Row],[PR]]/Mecze[[#This Row],[CZAS]])</f>
        <v>1.020408163265306E-2</v>
      </c>
      <c r="N589" s="32">
        <f>IF(Mecze[[#This Row],[OU]]=0,0,Mecze[[#This Row],[OU]]/Mecze[[#This Row],[CZAS]])</f>
        <v>5.1020408163265307E-2</v>
      </c>
      <c r="O589" s="32">
        <f>IF(Mecze[[#This Row],[PC]]=0,0,Mecze[[#This Row],[PC]]/Mecze[[#This Row],[CZAS]])</f>
        <v>5.1020408163265307E-2</v>
      </c>
      <c r="P589" s="32">
        <f>IF(Mecze[[#This Row],[SC]]=0,0,Mecze[[#This Row],[SC]]/Mecze[[#This Row],[CZAS]])</f>
        <v>0</v>
      </c>
      <c r="Q589" s="32">
        <f>IF(Mecze[[#This Row],[OB]]=0,0,Mecze[[#This Row],[OB]]/Mecze[[#This Row],[CZAS]])</f>
        <v>0</v>
      </c>
      <c r="R589" s="32">
        <f>IF(Mecze[[#This Row],[BR]]=0,0,Mecze[[#This Row],[BR]]/Mecze[[#This Row],[CZAS]])</f>
        <v>0</v>
      </c>
      <c r="S589" s="44">
        <f>IF(Mecze[[#This Row],[Role]]="BR",SUMPRODUCT(Mecze[[#This Row],[/PR:90]:[/BR:90]],Brudnopis!$E$23:$J$23),0)</f>
        <v>0</v>
      </c>
      <c r="T589" s="44">
        <f>IF(Mecze[[#This Row],[Role]]&lt;&gt;"BR",SUMPRODUCT(Mecze[[#This Row],[/PR:90]:[/BR:90]],Brudnopis!$E$24:$J$24),0)</f>
        <v>0.13775510204081631</v>
      </c>
      <c r="U589" s="44">
        <f>IF(Mecze[[#This Row],[Role]]&lt;&gt;"BR",SUMPRODUCT(Mecze[[#This Row],[/PR:90]:[/BR:90]],Brudnopis!$E$25:$J$25),0)</f>
        <v>0.13775510204081631</v>
      </c>
      <c r="V589" s="44">
        <f>IF(Mecze[[#This Row],[Role]]&lt;&gt;"BR",SUMPRODUCT(Mecze[[#This Row],[/PR:90]:[/BR:90]],Brudnopis!$E$26:$J$26),0)</f>
        <v>0.11224489795918367</v>
      </c>
      <c r="W589" s="44">
        <f>IF(Mecze[[#This Row],[Role]]&lt;&gt;"BR",SUMPRODUCT(Mecze[[#This Row],[/PR:90]:[/BR:90]],Brudnopis!$E$27:$J$27),0)</f>
        <v>0.12244897959183673</v>
      </c>
      <c r="X589" s="44">
        <f>IF(Mecze[[#This Row],[Role]]&lt;&gt;"BR",SUMPRODUCT(Mecze[[#This Row],[/PR:90]:[/BR:90]],Brudnopis!$E$28:$J$28),0)</f>
        <v>5.1020408163265307E-2</v>
      </c>
      <c r="Y589" s="35">
        <f>IF(Mecze[[#This Row],[Role]]="BR",Mecze[[#This Row],[/OB:90]]+Mecze[[#This Row],[/PC:90]],SUM(Mecze[[#This Row],[/PR:90]:[/BR:90]]))</f>
        <v>0.11224489795918367</v>
      </c>
      <c r="Z589" s="35">
        <f>IF(Mecze[[#This Row],[KC]]=0,SUM(Mecze[[#This Row],[/BRI]:[/NPI]]),SUM(Mecze[[#This Row],[/BRI]:[/NPI]])*0.6)</f>
        <v>0.56122448979591844</v>
      </c>
      <c r="AA589" s="10">
        <f>IFERROR(Mecze[[#This Row],[BR]]/Mecze[[#This Row],[ST]],0)</f>
        <v>0</v>
      </c>
      <c r="AB589">
        <f>ROUND(Mecze[[#This Row],[PD]]*Mecze[[#This Row],[%PC]],0)</f>
        <v>5</v>
      </c>
      <c r="AC589">
        <f>ROUND(Mecze[[#This Row],[OD]]*Mecze[[#This Row],[%OU]],0)</f>
        <v>5</v>
      </c>
      <c r="AD589" s="36" t="s">
        <v>41</v>
      </c>
      <c r="AE589" s="36">
        <v>33</v>
      </c>
      <c r="AF589" s="71">
        <v>4.12</v>
      </c>
      <c r="AG589" s="37">
        <v>0</v>
      </c>
      <c r="AH589" s="37">
        <v>0</v>
      </c>
      <c r="AI589" s="37">
        <v>98</v>
      </c>
      <c r="AJ589" s="37">
        <v>7</v>
      </c>
      <c r="AK589" s="37" t="str">
        <f>VLOOKUP(Mecze[[#This Row],[Match ID]],Meczusie[Mecz]:Meczusie[RodzajMeczu],2,FALSE)</f>
        <v>Liga</v>
      </c>
    </row>
    <row r="590" spans="1:37" x14ac:dyDescent="0.25">
      <c r="A590" s="76">
        <v>200</v>
      </c>
      <c r="B590" s="3" t="s">
        <v>339</v>
      </c>
      <c r="C590" s="2" t="s">
        <v>160</v>
      </c>
      <c r="D590" s="1">
        <v>0</v>
      </c>
      <c r="E590" s="1">
        <v>0</v>
      </c>
      <c r="F590" s="1">
        <v>0</v>
      </c>
      <c r="G590" s="1">
        <v>19</v>
      </c>
      <c r="H590" s="4">
        <v>0.68</v>
      </c>
      <c r="I590" s="1">
        <v>9</v>
      </c>
      <c r="J590" s="4">
        <v>0.67</v>
      </c>
      <c r="K590" s="1">
        <v>0</v>
      </c>
      <c r="L590" s="1">
        <v>7</v>
      </c>
      <c r="M590" s="32">
        <f>IF(Mecze[[#This Row],[PR]]=0,0,Mecze[[#This Row],[PR]]/Mecze[[#This Row],[CZAS]])</f>
        <v>7.1428571428571425E-2</v>
      </c>
      <c r="N590" s="32">
        <f>IF(Mecze[[#This Row],[OU]]=0,0,Mecze[[#This Row],[OU]]/Mecze[[#This Row],[CZAS]])</f>
        <v>6.1224489795918366E-2</v>
      </c>
      <c r="O590" s="32">
        <f>IF(Mecze[[#This Row],[PC]]=0,0,Mecze[[#This Row],[PC]]/Mecze[[#This Row],[CZAS]])</f>
        <v>0.1326530612244898</v>
      </c>
      <c r="P590" s="32">
        <f>IF(Mecze[[#This Row],[SC]]=0,0,Mecze[[#This Row],[SC]]/Mecze[[#This Row],[CZAS]])</f>
        <v>0</v>
      </c>
      <c r="Q590" s="32">
        <f>IF(Mecze[[#This Row],[OB]]=0,0,Mecze[[#This Row],[OB]]/Mecze[[#This Row],[CZAS]])</f>
        <v>0</v>
      </c>
      <c r="R590" s="32">
        <f>IF(Mecze[[#This Row],[BR]]=0,0,Mecze[[#This Row],[BR]]/Mecze[[#This Row],[CZAS]])</f>
        <v>0</v>
      </c>
      <c r="S590" s="44">
        <f>IF(Mecze[[#This Row],[Role]]="BR",SUMPRODUCT(Mecze[[#This Row],[/PR:90]:[/BR:90]],Brudnopis!$E$23:$J$23),0)</f>
        <v>0</v>
      </c>
      <c r="T590" s="44">
        <f>IF(Mecze[[#This Row],[Role]]&lt;&gt;"BR",SUMPRODUCT(Mecze[[#This Row],[/PR:90]:[/BR:90]],Brudnopis!$E$24:$J$24),0)</f>
        <v>0.29591836734693877</v>
      </c>
      <c r="U590" s="44">
        <f>IF(Mecze[[#This Row],[Role]]&lt;&gt;"BR",SUMPRODUCT(Mecze[[#This Row],[/PR:90]:[/BR:90]],Brudnopis!$E$25:$J$25),0)</f>
        <v>0.33163265306122447</v>
      </c>
      <c r="V590" s="44">
        <f>IF(Mecze[[#This Row],[Role]]&lt;&gt;"BR",SUMPRODUCT(Mecze[[#This Row],[/PR:90]:[/BR:90]],Brudnopis!$E$26:$J$26),0)</f>
        <v>0.26530612244897955</v>
      </c>
      <c r="W590" s="44">
        <f>IF(Mecze[[#This Row],[Role]]&lt;&gt;"BR",SUMPRODUCT(Mecze[[#This Row],[/PR:90]:[/BR:90]],Brudnopis!$E$27:$J$27),0)</f>
        <v>0.29846938775510201</v>
      </c>
      <c r="X590" s="44">
        <f>IF(Mecze[[#This Row],[Role]]&lt;&gt;"BR",SUMPRODUCT(Mecze[[#This Row],[/PR:90]:[/BR:90]],Brudnopis!$E$28:$J$28),0)</f>
        <v>0.1326530612244898</v>
      </c>
      <c r="Y590" s="35">
        <f>IF(Mecze[[#This Row],[Role]]="BR",Mecze[[#This Row],[/OB:90]]+Mecze[[#This Row],[/PC:90]],SUM(Mecze[[#This Row],[/PR:90]:[/BR:90]]))</f>
        <v>0.26530612244897955</v>
      </c>
      <c r="Z590" s="35">
        <f>IF(Mecze[[#This Row],[KC]]=0,SUM(Mecze[[#This Row],[/BRI]:[/NPI]]),SUM(Mecze[[#This Row],[/BRI]:[/NPI]])*0.6)</f>
        <v>1.3239795918367347</v>
      </c>
      <c r="AA590" s="10">
        <f>IFERROR(Mecze[[#This Row],[BR]]/Mecze[[#This Row],[ST]],0)</f>
        <v>0</v>
      </c>
      <c r="AB590">
        <f>ROUND(Mecze[[#This Row],[PD]]*Mecze[[#This Row],[%PC]],0)</f>
        <v>13</v>
      </c>
      <c r="AC590">
        <f>ROUND(Mecze[[#This Row],[OD]]*Mecze[[#This Row],[%OU]],0)</f>
        <v>6</v>
      </c>
      <c r="AD590" s="36" t="s">
        <v>67</v>
      </c>
      <c r="AE590" s="36">
        <v>33</v>
      </c>
      <c r="AF590" s="71">
        <v>5.38</v>
      </c>
      <c r="AG590" s="37">
        <v>0</v>
      </c>
      <c r="AH590" s="37">
        <v>0</v>
      </c>
      <c r="AI590" s="37">
        <v>98</v>
      </c>
      <c r="AJ590" s="37">
        <v>7</v>
      </c>
      <c r="AK590" s="37" t="str">
        <f>VLOOKUP(Mecze[[#This Row],[Match ID]],Meczusie[Mecz]:Meczusie[RodzajMeczu],2,FALSE)</f>
        <v>Liga</v>
      </c>
    </row>
    <row r="591" spans="1:37" x14ac:dyDescent="0.25">
      <c r="A591" s="76">
        <v>202</v>
      </c>
      <c r="B591" s="3" t="s">
        <v>340</v>
      </c>
      <c r="C591" s="2" t="s">
        <v>160</v>
      </c>
      <c r="D591" s="1">
        <v>0</v>
      </c>
      <c r="E591" s="1">
        <v>0</v>
      </c>
      <c r="F591" s="1">
        <v>0</v>
      </c>
      <c r="G591" s="1">
        <v>6</v>
      </c>
      <c r="H591" s="4">
        <v>1</v>
      </c>
      <c r="I591" s="1">
        <v>16</v>
      </c>
      <c r="J591" s="4">
        <v>0.31</v>
      </c>
      <c r="K591" s="1">
        <v>0</v>
      </c>
      <c r="L591" s="1">
        <v>2</v>
      </c>
      <c r="M591" s="32">
        <f>IF(Mecze[[#This Row],[PR]]=0,0,Mecze[[#This Row],[PR]]/Mecze[[#This Row],[CZAS]])</f>
        <v>2.0408163265306121E-2</v>
      </c>
      <c r="N591" s="32">
        <f>IF(Mecze[[#This Row],[OU]]=0,0,Mecze[[#This Row],[OU]]/Mecze[[#This Row],[CZAS]])</f>
        <v>5.1020408163265307E-2</v>
      </c>
      <c r="O591" s="32">
        <f>IF(Mecze[[#This Row],[PC]]=0,0,Mecze[[#This Row],[PC]]/Mecze[[#This Row],[CZAS]])</f>
        <v>6.1224489795918366E-2</v>
      </c>
      <c r="P591" s="32">
        <f>IF(Mecze[[#This Row],[SC]]=0,0,Mecze[[#This Row],[SC]]/Mecze[[#This Row],[CZAS]])</f>
        <v>0</v>
      </c>
      <c r="Q591" s="32">
        <f>IF(Mecze[[#This Row],[OB]]=0,0,Mecze[[#This Row],[OB]]/Mecze[[#This Row],[CZAS]])</f>
        <v>0</v>
      </c>
      <c r="R591" s="32">
        <f>IF(Mecze[[#This Row],[BR]]=0,0,Mecze[[#This Row],[BR]]/Mecze[[#This Row],[CZAS]])</f>
        <v>0</v>
      </c>
      <c r="S591" s="44">
        <f>IF(Mecze[[#This Row],[Role]]="BR",SUMPRODUCT(Mecze[[#This Row],[/PR:90]:[/BR:90]],Brudnopis!$E$23:$J$23),0)</f>
        <v>0</v>
      </c>
      <c r="T591" s="44">
        <f>IF(Mecze[[#This Row],[Role]]&lt;&gt;"BR",SUMPRODUCT(Mecze[[#This Row],[/PR:90]:[/BR:90]],Brudnopis!$E$24:$J$24),0)</f>
        <v>0.15816326530612246</v>
      </c>
      <c r="U591" s="44">
        <f>IF(Mecze[[#This Row],[Role]]&lt;&gt;"BR",SUMPRODUCT(Mecze[[#This Row],[/PR:90]:[/BR:90]],Brudnopis!$E$25:$J$25),0)</f>
        <v>0.16326530612244897</v>
      </c>
      <c r="V591" s="44">
        <f>IF(Mecze[[#This Row],[Role]]&lt;&gt;"BR",SUMPRODUCT(Mecze[[#This Row],[/PR:90]:[/BR:90]],Brudnopis!$E$26:$J$26),0)</f>
        <v>0.13265306122448978</v>
      </c>
      <c r="W591" s="44">
        <f>IF(Mecze[[#This Row],[Role]]&lt;&gt;"BR",SUMPRODUCT(Mecze[[#This Row],[/PR:90]:[/BR:90]],Brudnopis!$E$27:$J$27),0)</f>
        <v>0.14540816326530612</v>
      </c>
      <c r="X591" s="44">
        <f>IF(Mecze[[#This Row],[Role]]&lt;&gt;"BR",SUMPRODUCT(Mecze[[#This Row],[/PR:90]:[/BR:90]],Brudnopis!$E$28:$J$28),0)</f>
        <v>6.1224489795918366E-2</v>
      </c>
      <c r="Y591" s="35">
        <f>IF(Mecze[[#This Row],[Role]]="BR",Mecze[[#This Row],[/OB:90]]+Mecze[[#This Row],[/PC:90]],SUM(Mecze[[#This Row],[/PR:90]:[/BR:90]]))</f>
        <v>0.13265306122448978</v>
      </c>
      <c r="Z591" s="35">
        <f>IF(Mecze[[#This Row],[KC]]=0,SUM(Mecze[[#This Row],[/BRI]:[/NPI]]),SUM(Mecze[[#This Row],[/BRI]:[/NPI]])*0.6)</f>
        <v>0.66071428571428559</v>
      </c>
      <c r="AA591" s="10">
        <f>IFERROR(Mecze[[#This Row],[BR]]/Mecze[[#This Row],[ST]],0)</f>
        <v>0</v>
      </c>
      <c r="AB591">
        <f>ROUND(Mecze[[#This Row],[PD]]*Mecze[[#This Row],[%PC]],0)</f>
        <v>6</v>
      </c>
      <c r="AC591">
        <f>ROUND(Mecze[[#This Row],[OD]]*Mecze[[#This Row],[%OU]],0)</f>
        <v>5</v>
      </c>
      <c r="AD591" s="36" t="s">
        <v>44</v>
      </c>
      <c r="AE591" s="36">
        <v>33</v>
      </c>
      <c r="AF591" s="71">
        <v>6.45</v>
      </c>
      <c r="AG591" s="37">
        <v>0</v>
      </c>
      <c r="AH591" s="37">
        <v>0</v>
      </c>
      <c r="AI591" s="37">
        <v>98</v>
      </c>
      <c r="AJ591" s="37">
        <v>7</v>
      </c>
      <c r="AK591" s="37" t="str">
        <f>VLOOKUP(Mecze[[#This Row],[Match ID]],Meczusie[Mecz]:Meczusie[RodzajMeczu],2,FALSE)</f>
        <v>Liga</v>
      </c>
    </row>
    <row r="592" spans="1:37" x14ac:dyDescent="0.25">
      <c r="A592" s="76">
        <v>70</v>
      </c>
      <c r="B592" s="3" t="s">
        <v>341</v>
      </c>
      <c r="C592" s="2" t="s">
        <v>160</v>
      </c>
      <c r="D592" s="1">
        <v>0</v>
      </c>
      <c r="E592" s="1">
        <v>0</v>
      </c>
      <c r="F592" s="1">
        <v>0</v>
      </c>
      <c r="G592" s="1">
        <v>15</v>
      </c>
      <c r="H592" s="4">
        <v>0.53</v>
      </c>
      <c r="I592" s="1">
        <v>0</v>
      </c>
      <c r="J592" s="4"/>
      <c r="K592" s="1">
        <v>0</v>
      </c>
      <c r="L592" s="1">
        <v>1</v>
      </c>
      <c r="M592" s="32">
        <f>IF(Mecze[[#This Row],[PR]]=0,0,Mecze[[#This Row],[PR]]/Mecze[[#This Row],[CZAS]])</f>
        <v>1.020408163265306E-2</v>
      </c>
      <c r="N592" s="32">
        <f>IF(Mecze[[#This Row],[OU]]=0,0,Mecze[[#This Row],[OU]]/Mecze[[#This Row],[CZAS]])</f>
        <v>0</v>
      </c>
      <c r="O592" s="32">
        <f>IF(Mecze[[#This Row],[PC]]=0,0,Mecze[[#This Row],[PC]]/Mecze[[#This Row],[CZAS]])</f>
        <v>8.1632653061224483E-2</v>
      </c>
      <c r="P592" s="32">
        <f>IF(Mecze[[#This Row],[SC]]=0,0,Mecze[[#This Row],[SC]]/Mecze[[#This Row],[CZAS]])</f>
        <v>0</v>
      </c>
      <c r="Q592" s="32">
        <f>IF(Mecze[[#This Row],[OB]]=0,0,Mecze[[#This Row],[OB]]/Mecze[[#This Row],[CZAS]])</f>
        <v>0</v>
      </c>
      <c r="R592" s="32">
        <f>IF(Mecze[[#This Row],[BR]]=0,0,Mecze[[#This Row],[BR]]/Mecze[[#This Row],[CZAS]])</f>
        <v>0</v>
      </c>
      <c r="S592" s="44">
        <f>IF(Mecze[[#This Row],[Role]]="BR",SUMPRODUCT(Mecze[[#This Row],[/PR:90]:[/BR:90]],Brudnopis!$E$23:$J$23),0)</f>
        <v>0</v>
      </c>
      <c r="T592" s="44">
        <f>IF(Mecze[[#This Row],[Role]]&lt;&gt;"BR",SUMPRODUCT(Mecze[[#This Row],[/PR:90]:[/BR:90]],Brudnopis!$E$24:$J$24),0)</f>
        <v>9.1836734693877542E-2</v>
      </c>
      <c r="U592" s="44">
        <f>IF(Mecze[[#This Row],[Role]]&lt;&gt;"BR",SUMPRODUCT(Mecze[[#This Row],[/PR:90]:[/BR:90]],Brudnopis!$E$25:$J$25),0)</f>
        <v>0.1326530612244898</v>
      </c>
      <c r="V592" s="44">
        <f>IF(Mecze[[#This Row],[Role]]&lt;&gt;"BR",SUMPRODUCT(Mecze[[#This Row],[/PR:90]:[/BR:90]],Brudnopis!$E$26:$J$26),0)</f>
        <v>9.1836734693877542E-2</v>
      </c>
      <c r="W592" s="44">
        <f>IF(Mecze[[#This Row],[Role]]&lt;&gt;"BR",SUMPRODUCT(Mecze[[#This Row],[/PR:90]:[/BR:90]],Brudnopis!$E$27:$J$27),0)</f>
        <v>0.13010204081632654</v>
      </c>
      <c r="X592" s="44">
        <f>IF(Mecze[[#This Row],[Role]]&lt;&gt;"BR",SUMPRODUCT(Mecze[[#This Row],[/PR:90]:[/BR:90]],Brudnopis!$E$28:$J$28),0)</f>
        <v>8.1632653061224483E-2</v>
      </c>
      <c r="Y592" s="35">
        <f>IF(Mecze[[#This Row],[Role]]="BR",Mecze[[#This Row],[/OB:90]]+Mecze[[#This Row],[/PC:90]],SUM(Mecze[[#This Row],[/PR:90]:[/BR:90]]))</f>
        <v>9.1836734693877542E-2</v>
      </c>
      <c r="Z592" s="35">
        <f>IF(Mecze[[#This Row],[KC]]=0,SUM(Mecze[[#This Row],[/BRI]:[/NPI]]),SUM(Mecze[[#This Row],[/BRI]:[/NPI]])*0.6)</f>
        <v>0.52806122448979598</v>
      </c>
      <c r="AA592" s="10">
        <f>IFERROR(Mecze[[#This Row],[BR]]/Mecze[[#This Row],[ST]],0)</f>
        <v>0</v>
      </c>
      <c r="AB592">
        <f>ROUND(Mecze[[#This Row],[PD]]*Mecze[[#This Row],[%PC]],0)</f>
        <v>8</v>
      </c>
      <c r="AC592">
        <f>ROUND(Mecze[[#This Row],[OD]]*Mecze[[#This Row],[%OU]],0)</f>
        <v>0</v>
      </c>
      <c r="AD592" s="36" t="s">
        <v>299</v>
      </c>
      <c r="AE592" s="36">
        <v>33</v>
      </c>
      <c r="AF592" s="71">
        <v>4.12</v>
      </c>
      <c r="AG592" s="37">
        <v>0</v>
      </c>
      <c r="AH592" s="37">
        <v>0</v>
      </c>
      <c r="AI592" s="37">
        <v>98</v>
      </c>
      <c r="AJ592" s="37">
        <v>7</v>
      </c>
      <c r="AK592" s="37" t="str">
        <f>VLOOKUP(Mecze[[#This Row],[Match ID]],Meczusie[Mecz]:Meczusie[RodzajMeczu],2,FALSE)</f>
        <v>Liga</v>
      </c>
    </row>
    <row r="593" spans="1:37" x14ac:dyDescent="0.25">
      <c r="A593" s="76">
        <v>203</v>
      </c>
      <c r="B593" s="3" t="s">
        <v>342</v>
      </c>
      <c r="C593" s="2" t="s">
        <v>165</v>
      </c>
      <c r="D593" s="1">
        <v>1</v>
      </c>
      <c r="E593" s="1">
        <v>6</v>
      </c>
      <c r="F593" s="1">
        <v>6</v>
      </c>
      <c r="G593" s="1">
        <v>6</v>
      </c>
      <c r="H593" s="4">
        <v>0.5</v>
      </c>
      <c r="I593" s="1">
        <v>1</v>
      </c>
      <c r="J593" s="4">
        <v>0</v>
      </c>
      <c r="K593" s="1">
        <v>0</v>
      </c>
      <c r="L593" s="1">
        <v>1</v>
      </c>
      <c r="M593" s="32">
        <f>IF(Mecze[[#This Row],[PR]]=0,0,Mecze[[#This Row],[PR]]/Mecze[[#This Row],[CZAS]])</f>
        <v>1.020408163265306E-2</v>
      </c>
      <c r="N593" s="32">
        <f>IF(Mecze[[#This Row],[OU]]=0,0,Mecze[[#This Row],[OU]]/Mecze[[#This Row],[CZAS]])</f>
        <v>0</v>
      </c>
      <c r="O593" s="32">
        <f>IF(Mecze[[#This Row],[PC]]=0,0,Mecze[[#This Row],[PC]]/Mecze[[#This Row],[CZAS]])</f>
        <v>3.0612244897959183E-2</v>
      </c>
      <c r="P593" s="32">
        <f>IF(Mecze[[#This Row],[SC]]=0,0,Mecze[[#This Row],[SC]]/Mecze[[#This Row],[CZAS]])</f>
        <v>6.1224489795918366E-2</v>
      </c>
      <c r="Q593" s="32">
        <f>IF(Mecze[[#This Row],[OB]]=0,0,Mecze[[#This Row],[OB]]/Mecze[[#This Row],[CZAS]])</f>
        <v>0</v>
      </c>
      <c r="R593" s="32">
        <f>IF(Mecze[[#This Row],[BR]]=0,0,Mecze[[#This Row],[BR]]/Mecze[[#This Row],[CZAS]])</f>
        <v>1.020408163265306E-2</v>
      </c>
      <c r="S593" s="44">
        <f>IF(Mecze[[#This Row],[Role]]="BR",SUMPRODUCT(Mecze[[#This Row],[/PR:90]:[/BR:90]],Brudnopis!$E$23:$J$23),0)</f>
        <v>0</v>
      </c>
      <c r="T593" s="44">
        <f>IF(Mecze[[#This Row],[Role]]&lt;&gt;"BR",SUMPRODUCT(Mecze[[#This Row],[/PR:90]:[/BR:90]],Brudnopis!$E$24:$J$24),0)</f>
        <v>0.11734693877551021</v>
      </c>
      <c r="U593" s="44">
        <f>IF(Mecze[[#This Row],[Role]]&lt;&gt;"BR",SUMPRODUCT(Mecze[[#This Row],[/PR:90]:[/BR:90]],Brudnopis!$E$25:$J$25),0)</f>
        <v>0.13265306122448978</v>
      </c>
      <c r="V593" s="44">
        <f>IF(Mecze[[#This Row],[Role]]&lt;&gt;"BR",SUMPRODUCT(Mecze[[#This Row],[/PR:90]:[/BR:90]],Brudnopis!$E$26:$J$26),0)</f>
        <v>0.12244897959183673</v>
      </c>
      <c r="W593" s="44">
        <f>IF(Mecze[[#This Row],[Role]]&lt;&gt;"BR",SUMPRODUCT(Mecze[[#This Row],[/PR:90]:[/BR:90]],Brudnopis!$E$27:$J$27),0)</f>
        <v>0.13520408163265304</v>
      </c>
      <c r="X593" s="44">
        <f>IF(Mecze[[#This Row],[Role]]&lt;&gt;"BR",SUMPRODUCT(Mecze[[#This Row],[/PR:90]:[/BR:90]],Brudnopis!$E$28:$J$28),0)</f>
        <v>0.18367346938775511</v>
      </c>
      <c r="Y593" s="35">
        <f>IF(Mecze[[#This Row],[Role]]="BR",Mecze[[#This Row],[/OB:90]]+Mecze[[#This Row],[/PC:90]],SUM(Mecze[[#This Row],[/PR:90]:[/BR:90]]))</f>
        <v>0.11224489795918367</v>
      </c>
      <c r="Z593" s="35">
        <f>IF(Mecze[[#This Row],[KC]]=0,SUM(Mecze[[#This Row],[/BRI]:[/NPI]]),SUM(Mecze[[#This Row],[/BRI]:[/NPI]])*0.6)</f>
        <v>0.69132653061224492</v>
      </c>
      <c r="AA593" s="10">
        <f>IFERROR(Mecze[[#This Row],[BR]]/Mecze[[#This Row],[ST]],0)</f>
        <v>0.16666666666666666</v>
      </c>
      <c r="AB593">
        <f>ROUND(Mecze[[#This Row],[PD]]*Mecze[[#This Row],[%PC]],0)</f>
        <v>3</v>
      </c>
      <c r="AC593">
        <f>ROUND(Mecze[[#This Row],[OD]]*Mecze[[#This Row],[%OU]],0)</f>
        <v>0</v>
      </c>
      <c r="AD593" s="36" t="s">
        <v>46</v>
      </c>
      <c r="AE593" s="36">
        <v>33</v>
      </c>
      <c r="AF593" s="71">
        <v>7.66</v>
      </c>
      <c r="AG593" s="37">
        <v>0</v>
      </c>
      <c r="AH593" s="37">
        <v>0</v>
      </c>
      <c r="AI593" s="37">
        <v>98</v>
      </c>
      <c r="AJ593" s="37">
        <v>7</v>
      </c>
      <c r="AK593" s="37" t="str">
        <f>VLOOKUP(Mecze[[#This Row],[Match ID]],Meczusie[Mecz]:Meczusie[RodzajMeczu],2,FALSE)</f>
        <v>Liga</v>
      </c>
    </row>
    <row r="594" spans="1:37" x14ac:dyDescent="0.25">
      <c r="A594" s="76">
        <v>104</v>
      </c>
      <c r="B594" s="3" t="s">
        <v>343</v>
      </c>
      <c r="C594" s="2" t="s">
        <v>165</v>
      </c>
      <c r="D594" s="1">
        <v>0</v>
      </c>
      <c r="E594" s="1">
        <v>0</v>
      </c>
      <c r="F594" s="1">
        <v>0</v>
      </c>
      <c r="G594" s="1">
        <v>14</v>
      </c>
      <c r="H594" s="4">
        <v>0.56999999999999995</v>
      </c>
      <c r="I594" s="1">
        <v>1</v>
      </c>
      <c r="J594" s="4">
        <v>1</v>
      </c>
      <c r="K594" s="1">
        <v>0</v>
      </c>
      <c r="L594" s="1">
        <v>0</v>
      </c>
      <c r="M594" s="32">
        <f>IF(Mecze[[#This Row],[PR]]=0,0,Mecze[[#This Row],[PR]]/Mecze[[#This Row],[CZAS]])</f>
        <v>0</v>
      </c>
      <c r="N594" s="32">
        <f>IF(Mecze[[#This Row],[OU]]=0,0,Mecze[[#This Row],[OU]]/Mecze[[#This Row],[CZAS]])</f>
        <v>1.020408163265306E-2</v>
      </c>
      <c r="O594" s="32">
        <f>IF(Mecze[[#This Row],[PC]]=0,0,Mecze[[#This Row],[PC]]/Mecze[[#This Row],[CZAS]])</f>
        <v>8.1632653061224483E-2</v>
      </c>
      <c r="P594" s="32">
        <f>IF(Mecze[[#This Row],[SC]]=0,0,Mecze[[#This Row],[SC]]/Mecze[[#This Row],[CZAS]])</f>
        <v>0</v>
      </c>
      <c r="Q594" s="32">
        <f>IF(Mecze[[#This Row],[OB]]=0,0,Mecze[[#This Row],[OB]]/Mecze[[#This Row],[CZAS]])</f>
        <v>0</v>
      </c>
      <c r="R594" s="32">
        <f>IF(Mecze[[#This Row],[BR]]=0,0,Mecze[[#This Row],[BR]]/Mecze[[#This Row],[CZAS]])</f>
        <v>0</v>
      </c>
      <c r="S594" s="44">
        <f>IF(Mecze[[#This Row],[Role]]="BR",SUMPRODUCT(Mecze[[#This Row],[/PR:90]:[/BR:90]],Brudnopis!$E$23:$J$23),0)</f>
        <v>0</v>
      </c>
      <c r="T594" s="44">
        <f>IF(Mecze[[#This Row],[Role]]&lt;&gt;"BR",SUMPRODUCT(Mecze[[#This Row],[/PR:90]:[/BR:90]],Brudnopis!$E$24:$J$24),0)</f>
        <v>9.6938775510204078E-2</v>
      </c>
      <c r="U594" s="44">
        <f>IF(Mecze[[#This Row],[Role]]&lt;&gt;"BR",SUMPRODUCT(Mecze[[#This Row],[/PR:90]:[/BR:90]],Brudnopis!$E$25:$J$25),0)</f>
        <v>0.1326530612244898</v>
      </c>
      <c r="V594" s="44">
        <f>IF(Mecze[[#This Row],[Role]]&lt;&gt;"BR",SUMPRODUCT(Mecze[[#This Row],[/PR:90]:[/BR:90]],Brudnopis!$E$26:$J$26),0)</f>
        <v>9.1836734693877542E-2</v>
      </c>
      <c r="W594" s="44">
        <f>IF(Mecze[[#This Row],[Role]]&lt;&gt;"BR",SUMPRODUCT(Mecze[[#This Row],[/PR:90]:[/BR:90]],Brudnopis!$E$27:$J$27),0)</f>
        <v>0.13010204081632654</v>
      </c>
      <c r="X594" s="44">
        <f>IF(Mecze[[#This Row],[Role]]&lt;&gt;"BR",SUMPRODUCT(Mecze[[#This Row],[/PR:90]:[/BR:90]],Brudnopis!$E$28:$J$28),0)</f>
        <v>8.1632653061224483E-2</v>
      </c>
      <c r="Y594" s="35">
        <f>IF(Mecze[[#This Row],[Role]]="BR",Mecze[[#This Row],[/OB:90]]+Mecze[[#This Row],[/PC:90]],SUM(Mecze[[#This Row],[/PR:90]:[/BR:90]]))</f>
        <v>9.1836734693877542E-2</v>
      </c>
      <c r="Z594" s="35">
        <f>IF(Mecze[[#This Row],[KC]]=0,SUM(Mecze[[#This Row],[/BRI]:[/NPI]]),SUM(Mecze[[#This Row],[/BRI]:[/NPI]])*0.6)</f>
        <v>0.53316326530612246</v>
      </c>
      <c r="AA594" s="10">
        <f>IFERROR(Mecze[[#This Row],[BR]]/Mecze[[#This Row],[ST]],0)</f>
        <v>0</v>
      </c>
      <c r="AB594">
        <f>ROUND(Mecze[[#This Row],[PD]]*Mecze[[#This Row],[%PC]],0)</f>
        <v>8</v>
      </c>
      <c r="AC594">
        <f>ROUND(Mecze[[#This Row],[OD]]*Mecze[[#This Row],[%OU]],0)</f>
        <v>1</v>
      </c>
      <c r="AD594" s="36" t="s">
        <v>355</v>
      </c>
      <c r="AE594" s="36">
        <v>33</v>
      </c>
      <c r="AF594" s="71">
        <v>4.04</v>
      </c>
      <c r="AG594" s="37">
        <v>0</v>
      </c>
      <c r="AH594" s="37">
        <v>0</v>
      </c>
      <c r="AI594" s="37">
        <v>98</v>
      </c>
      <c r="AJ594" s="37">
        <v>7</v>
      </c>
      <c r="AK594" s="37" t="str">
        <f>VLOOKUP(Mecze[[#This Row],[Match ID]],Meczusie[Mecz]:Meczusie[RodzajMeczu],2,FALSE)</f>
        <v>Liga</v>
      </c>
    </row>
    <row r="595" spans="1:37" x14ac:dyDescent="0.25">
      <c r="A595" s="76">
        <v>1</v>
      </c>
      <c r="B595" s="3" t="s">
        <v>220</v>
      </c>
      <c r="C595" s="2" t="s">
        <v>155</v>
      </c>
      <c r="D595" s="1">
        <v>0</v>
      </c>
      <c r="E595" s="1">
        <v>0</v>
      </c>
      <c r="F595" s="1">
        <v>0</v>
      </c>
      <c r="G595" s="1">
        <v>1</v>
      </c>
      <c r="H595" s="4">
        <v>1</v>
      </c>
      <c r="I595" s="1">
        <v>0</v>
      </c>
      <c r="J595" s="4"/>
      <c r="K595" s="1">
        <v>0</v>
      </c>
      <c r="L595" s="1">
        <v>0</v>
      </c>
      <c r="M595" s="32">
        <f>IF(Mecze[[#This Row],[PR]]=0,0,Mecze[[#This Row],[PR]]/Mecze[[#This Row],[CZAS]])</f>
        <v>0</v>
      </c>
      <c r="N595" s="32">
        <f>IF(Mecze[[#This Row],[OU]]=0,0,Mecze[[#This Row],[OU]]/Mecze[[#This Row],[CZAS]])</f>
        <v>0</v>
      </c>
      <c r="O595" s="32">
        <f>IF(Mecze[[#This Row],[PC]]=0,0,Mecze[[#This Row],[PC]]/Mecze[[#This Row],[CZAS]])</f>
        <v>0.01</v>
      </c>
      <c r="P595" s="32">
        <f>IF(Mecze[[#This Row],[SC]]=0,0,Mecze[[#This Row],[SC]]/Mecze[[#This Row],[CZAS]])</f>
        <v>0</v>
      </c>
      <c r="Q595" s="32">
        <f>IF(Mecze[[#This Row],[OB]]=0,0,Mecze[[#This Row],[OB]]/Mecze[[#This Row],[CZAS]])</f>
        <v>0</v>
      </c>
      <c r="R595" s="32">
        <f>IF(Mecze[[#This Row],[BR]]=0,0,Mecze[[#This Row],[BR]]/Mecze[[#This Row],[CZAS]])</f>
        <v>0</v>
      </c>
      <c r="S595" s="44">
        <f>IF(Mecze[[#This Row],[Role]]="BR",SUMPRODUCT(Mecze[[#This Row],[/PR:90]:[/BR:90]],Brudnopis!$E$23:$J$23),0)</f>
        <v>0.03</v>
      </c>
      <c r="T595" s="44">
        <f>IF(Mecze[[#This Row],[Role]]&lt;&gt;"BR",SUMPRODUCT(Mecze[[#This Row],[/PR:90]:[/BR:90]],Brudnopis!$E$24:$J$24),0)</f>
        <v>0</v>
      </c>
      <c r="U595" s="44">
        <f>IF(Mecze[[#This Row],[Role]]&lt;&gt;"BR",SUMPRODUCT(Mecze[[#This Row],[/PR:90]:[/BR:90]],Brudnopis!$E$25:$J$25),0)</f>
        <v>0</v>
      </c>
      <c r="V595" s="44">
        <f>IF(Mecze[[#This Row],[Role]]&lt;&gt;"BR",SUMPRODUCT(Mecze[[#This Row],[/PR:90]:[/BR:90]],Brudnopis!$E$26:$J$26),0)</f>
        <v>0</v>
      </c>
      <c r="W595" s="44">
        <f>IF(Mecze[[#This Row],[Role]]&lt;&gt;"BR",SUMPRODUCT(Mecze[[#This Row],[/PR:90]:[/BR:90]],Brudnopis!$E$27:$J$27),0)</f>
        <v>0</v>
      </c>
      <c r="X595" s="44">
        <f>IF(Mecze[[#This Row],[Role]]&lt;&gt;"BR",SUMPRODUCT(Mecze[[#This Row],[/PR:90]:[/BR:90]],Brudnopis!$E$28:$J$28),0)</f>
        <v>0</v>
      </c>
      <c r="Y595" s="35">
        <f>IF(Mecze[[#This Row],[Role]]="BR",Mecze[[#This Row],[/OB:90]]+Mecze[[#This Row],[/PC:90]],SUM(Mecze[[#This Row],[/PR:90]:[/BR:90]]))</f>
        <v>0.01</v>
      </c>
      <c r="Z595" s="35">
        <f>IF(Mecze[[#This Row],[KC]]=0,SUM(Mecze[[#This Row],[/BRI]:[/NPI]]),SUM(Mecze[[#This Row],[/BRI]:[/NPI]])*0.6)</f>
        <v>0.03</v>
      </c>
      <c r="AA595" s="10">
        <f>IFERROR(Mecze[[#This Row],[BR]]/Mecze[[#This Row],[ST]],0)</f>
        <v>0</v>
      </c>
      <c r="AB595">
        <f>ROUND(Mecze[[#This Row],[PD]]*Mecze[[#This Row],[%PC]],0)</f>
        <v>1</v>
      </c>
      <c r="AC595">
        <f>ROUND(Mecze[[#This Row],[OD]]*Mecze[[#This Row],[%OU]],0)</f>
        <v>0</v>
      </c>
      <c r="AD595" s="36" t="s">
        <v>40</v>
      </c>
      <c r="AE595" s="36">
        <v>34</v>
      </c>
      <c r="AF595" s="71">
        <v>7.04</v>
      </c>
      <c r="AG595" s="37">
        <v>0</v>
      </c>
      <c r="AH595" s="37">
        <v>0</v>
      </c>
      <c r="AI595" s="37">
        <v>100</v>
      </c>
      <c r="AJ595" s="37">
        <v>2</v>
      </c>
      <c r="AK595" s="37" t="str">
        <f>VLOOKUP(Mecze[[#This Row],[Match ID]],Meczusie[Mecz]:Meczusie[RodzajMeczu],2,FALSE)</f>
        <v>Liga</v>
      </c>
    </row>
    <row r="596" spans="1:37" x14ac:dyDescent="0.25">
      <c r="A596" s="76">
        <v>3</v>
      </c>
      <c r="B596" s="3" t="s">
        <v>222</v>
      </c>
      <c r="C596" s="2" t="s">
        <v>157</v>
      </c>
      <c r="D596" s="1">
        <v>0</v>
      </c>
      <c r="E596" s="1">
        <v>0</v>
      </c>
      <c r="F596" s="1">
        <v>0</v>
      </c>
      <c r="G596" s="1">
        <v>6</v>
      </c>
      <c r="H596" s="4">
        <v>1</v>
      </c>
      <c r="I596" s="1">
        <v>1</v>
      </c>
      <c r="J596" s="4">
        <v>1</v>
      </c>
      <c r="K596" s="1">
        <v>0</v>
      </c>
      <c r="L596" s="1">
        <v>4</v>
      </c>
      <c r="M596" s="32">
        <f>IF(Mecze[[#This Row],[PR]]=0,0,Mecze[[#This Row],[PR]]/Mecze[[#This Row],[CZAS]])</f>
        <v>0.04</v>
      </c>
      <c r="N596" s="32">
        <f>IF(Mecze[[#This Row],[OU]]=0,0,Mecze[[#This Row],[OU]]/Mecze[[#This Row],[CZAS]])</f>
        <v>0.01</v>
      </c>
      <c r="O596" s="32">
        <f>IF(Mecze[[#This Row],[PC]]=0,0,Mecze[[#This Row],[PC]]/Mecze[[#This Row],[CZAS]])</f>
        <v>0.06</v>
      </c>
      <c r="P596" s="32">
        <f>IF(Mecze[[#This Row],[SC]]=0,0,Mecze[[#This Row],[SC]]/Mecze[[#This Row],[CZAS]])</f>
        <v>0</v>
      </c>
      <c r="Q596" s="32">
        <f>IF(Mecze[[#This Row],[OB]]=0,0,Mecze[[#This Row],[OB]]/Mecze[[#This Row],[CZAS]])</f>
        <v>0</v>
      </c>
      <c r="R596" s="32">
        <f>IF(Mecze[[#This Row],[BR]]=0,0,Mecze[[#This Row],[BR]]/Mecze[[#This Row],[CZAS]])</f>
        <v>0</v>
      </c>
      <c r="S596" s="44">
        <f>IF(Mecze[[#This Row],[Role]]="BR",SUMPRODUCT(Mecze[[#This Row],[/PR:90]:[/BR:90]],Brudnopis!$E$23:$J$23),0)</f>
        <v>0</v>
      </c>
      <c r="T596" s="44">
        <f>IF(Mecze[[#This Row],[Role]]&lt;&gt;"BR",SUMPRODUCT(Mecze[[#This Row],[/PR:90]:[/BR:90]],Brudnopis!$E$24:$J$24),0)</f>
        <v>0.11499999999999999</v>
      </c>
      <c r="U596" s="44">
        <f>IF(Mecze[[#This Row],[Role]]&lt;&gt;"BR",SUMPRODUCT(Mecze[[#This Row],[/PR:90]:[/BR:90]],Brudnopis!$E$25:$J$25),0)</f>
        <v>0.14000000000000001</v>
      </c>
      <c r="V596" s="44">
        <f>IF(Mecze[[#This Row],[Role]]&lt;&gt;"BR",SUMPRODUCT(Mecze[[#This Row],[/PR:90]:[/BR:90]],Brudnopis!$E$26:$J$26),0)</f>
        <v>0.11</v>
      </c>
      <c r="W596" s="44">
        <f>IF(Mecze[[#This Row],[Role]]&lt;&gt;"BR",SUMPRODUCT(Mecze[[#This Row],[/PR:90]:[/BR:90]],Brudnopis!$E$27:$J$27),0)</f>
        <v>0.1275</v>
      </c>
      <c r="X596" s="44">
        <f>IF(Mecze[[#This Row],[Role]]&lt;&gt;"BR",SUMPRODUCT(Mecze[[#This Row],[/PR:90]:[/BR:90]],Brudnopis!$E$28:$J$28),0)</f>
        <v>0.06</v>
      </c>
      <c r="Y596" s="35">
        <f>IF(Mecze[[#This Row],[Role]]="BR",Mecze[[#This Row],[/OB:90]]+Mecze[[#This Row],[/PC:90]],SUM(Mecze[[#This Row],[/PR:90]:[/BR:90]]))</f>
        <v>0.11</v>
      </c>
      <c r="Z596" s="35">
        <f>IF(Mecze[[#This Row],[KC]]=0,SUM(Mecze[[#This Row],[/BRI]:[/NPI]]),SUM(Mecze[[#This Row],[/BRI]:[/NPI]])*0.6)</f>
        <v>0.55249999999999999</v>
      </c>
      <c r="AA596" s="10">
        <f>IFERROR(Mecze[[#This Row],[BR]]/Mecze[[#This Row],[ST]],0)</f>
        <v>0</v>
      </c>
      <c r="AB596">
        <f>ROUND(Mecze[[#This Row],[PD]]*Mecze[[#This Row],[%PC]],0)</f>
        <v>6</v>
      </c>
      <c r="AC596">
        <f>ROUND(Mecze[[#This Row],[OD]]*Mecze[[#This Row],[%OU]],0)</f>
        <v>1</v>
      </c>
      <c r="AD596" s="36" t="s">
        <v>47</v>
      </c>
      <c r="AE596" s="36">
        <v>34</v>
      </c>
      <c r="AF596" s="71">
        <v>7.88</v>
      </c>
      <c r="AG596" s="37">
        <v>0</v>
      </c>
      <c r="AH596" s="37">
        <v>0</v>
      </c>
      <c r="AI596" s="37">
        <v>100</v>
      </c>
      <c r="AJ596" s="37">
        <v>2</v>
      </c>
      <c r="AK596" s="37" t="str">
        <f>VLOOKUP(Mecze[[#This Row],[Match ID]],Meczusie[Mecz]:Meczusie[RodzajMeczu],2,FALSE)</f>
        <v>Liga</v>
      </c>
    </row>
    <row r="597" spans="1:37" x14ac:dyDescent="0.25">
      <c r="A597" s="76">
        <v>4</v>
      </c>
      <c r="B597" s="3" t="s">
        <v>221</v>
      </c>
      <c r="C597" s="2" t="s">
        <v>157</v>
      </c>
      <c r="D597" s="1">
        <v>0</v>
      </c>
      <c r="E597" s="1">
        <v>0</v>
      </c>
      <c r="F597" s="1">
        <v>0</v>
      </c>
      <c r="G597" s="1">
        <v>13</v>
      </c>
      <c r="H597" s="4">
        <v>0.69</v>
      </c>
      <c r="I597" s="1">
        <v>3</v>
      </c>
      <c r="J597" s="4">
        <v>1</v>
      </c>
      <c r="K597" s="1">
        <v>0</v>
      </c>
      <c r="L597" s="1">
        <v>11</v>
      </c>
      <c r="M597" s="32">
        <f>IF(Mecze[[#This Row],[PR]]=0,0,Mecze[[#This Row],[PR]]/Mecze[[#This Row],[CZAS]])</f>
        <v>0.11</v>
      </c>
      <c r="N597" s="32">
        <f>IF(Mecze[[#This Row],[OU]]=0,0,Mecze[[#This Row],[OU]]/Mecze[[#This Row],[CZAS]])</f>
        <v>0.03</v>
      </c>
      <c r="O597" s="32">
        <f>IF(Mecze[[#This Row],[PC]]=0,0,Mecze[[#This Row],[PC]]/Mecze[[#This Row],[CZAS]])</f>
        <v>0.09</v>
      </c>
      <c r="P597" s="32">
        <f>IF(Mecze[[#This Row],[SC]]=0,0,Mecze[[#This Row],[SC]]/Mecze[[#This Row],[CZAS]])</f>
        <v>0</v>
      </c>
      <c r="Q597" s="32">
        <f>IF(Mecze[[#This Row],[OB]]=0,0,Mecze[[#This Row],[OB]]/Mecze[[#This Row],[CZAS]])</f>
        <v>0</v>
      </c>
      <c r="R597" s="32">
        <f>IF(Mecze[[#This Row],[BR]]=0,0,Mecze[[#This Row],[BR]]/Mecze[[#This Row],[CZAS]])</f>
        <v>0</v>
      </c>
      <c r="S597" s="44">
        <f>IF(Mecze[[#This Row],[Role]]="BR",SUMPRODUCT(Mecze[[#This Row],[/PR:90]:[/BR:90]],Brudnopis!$E$23:$J$23),0)</f>
        <v>0</v>
      </c>
      <c r="T597" s="44">
        <f>IF(Mecze[[#This Row],[Role]]&lt;&gt;"BR",SUMPRODUCT(Mecze[[#This Row],[/PR:90]:[/BR:90]],Brudnopis!$E$24:$J$24),0)</f>
        <v>0.245</v>
      </c>
      <c r="U597" s="44">
        <f>IF(Mecze[[#This Row],[Role]]&lt;&gt;"BR",SUMPRODUCT(Mecze[[#This Row],[/PR:90]:[/BR:90]],Brudnopis!$E$25:$J$25),0)</f>
        <v>0.27500000000000002</v>
      </c>
      <c r="V597" s="44">
        <f>IF(Mecze[[#This Row],[Role]]&lt;&gt;"BR",SUMPRODUCT(Mecze[[#This Row],[/PR:90]:[/BR:90]],Brudnopis!$E$26:$J$26),0)</f>
        <v>0.23</v>
      </c>
      <c r="W597" s="44">
        <f>IF(Mecze[[#This Row],[Role]]&lt;&gt;"BR",SUMPRODUCT(Mecze[[#This Row],[/PR:90]:[/BR:90]],Brudnopis!$E$27:$J$27),0)</f>
        <v>0.24000000000000002</v>
      </c>
      <c r="X597" s="44">
        <f>IF(Mecze[[#This Row],[Role]]&lt;&gt;"BR",SUMPRODUCT(Mecze[[#This Row],[/PR:90]:[/BR:90]],Brudnopis!$E$28:$J$28),0)</f>
        <v>0.09</v>
      </c>
      <c r="Y597" s="35">
        <f>IF(Mecze[[#This Row],[Role]]="BR",Mecze[[#This Row],[/OB:90]]+Mecze[[#This Row],[/PC:90]],SUM(Mecze[[#This Row],[/PR:90]:[/BR:90]]))</f>
        <v>0.23</v>
      </c>
      <c r="Z597" s="35">
        <f>IF(Mecze[[#This Row],[KC]]=0,SUM(Mecze[[#This Row],[/BRI]:[/NPI]]),SUM(Mecze[[#This Row],[/BRI]:[/NPI]])*0.6)</f>
        <v>1.08</v>
      </c>
      <c r="AA597" s="10">
        <f>IFERROR(Mecze[[#This Row],[BR]]/Mecze[[#This Row],[ST]],0)</f>
        <v>0</v>
      </c>
      <c r="AB597">
        <f>ROUND(Mecze[[#This Row],[PD]]*Mecze[[#This Row],[%PC]],0)</f>
        <v>9</v>
      </c>
      <c r="AC597">
        <f>ROUND(Mecze[[#This Row],[OD]]*Mecze[[#This Row],[%OU]],0)</f>
        <v>3</v>
      </c>
      <c r="AD597" s="36" t="s">
        <v>47</v>
      </c>
      <c r="AE597" s="36">
        <v>34</v>
      </c>
      <c r="AF597" s="71">
        <v>12.5</v>
      </c>
      <c r="AG597" s="37">
        <v>0</v>
      </c>
      <c r="AH597" s="37">
        <v>0</v>
      </c>
      <c r="AI597" s="37">
        <v>100</v>
      </c>
      <c r="AJ597" s="37">
        <v>2</v>
      </c>
      <c r="AK597" s="37" t="str">
        <f>VLOOKUP(Mecze[[#This Row],[Match ID]],Meczusie[Mecz]:Meczusie[RodzajMeczu],2,FALSE)</f>
        <v>Liga</v>
      </c>
    </row>
    <row r="598" spans="1:37" x14ac:dyDescent="0.25">
      <c r="A598" s="76">
        <v>2</v>
      </c>
      <c r="B598" s="3" t="s">
        <v>224</v>
      </c>
      <c r="C598" s="2" t="s">
        <v>157</v>
      </c>
      <c r="D598" s="1">
        <v>0</v>
      </c>
      <c r="E598" s="1">
        <v>0</v>
      </c>
      <c r="F598" s="1">
        <v>0</v>
      </c>
      <c r="G598" s="1">
        <v>0</v>
      </c>
      <c r="H598" s="72"/>
      <c r="I598" s="1">
        <v>0</v>
      </c>
      <c r="J598" s="4"/>
      <c r="K598" s="1">
        <v>0</v>
      </c>
      <c r="L598" s="1">
        <v>0</v>
      </c>
      <c r="M598" s="32">
        <f>IF(Mecze[[#This Row],[PR]]=0,0,Mecze[[#This Row],[PR]]/Mecze[[#This Row],[CZAS]])</f>
        <v>0</v>
      </c>
      <c r="N598" s="32">
        <f>IF(Mecze[[#This Row],[OU]]=0,0,Mecze[[#This Row],[OU]]/Mecze[[#This Row],[CZAS]])</f>
        <v>0</v>
      </c>
      <c r="O598" s="32">
        <f>IF(Mecze[[#This Row],[PC]]=0,0,Mecze[[#This Row],[PC]]/Mecze[[#This Row],[CZAS]])</f>
        <v>0</v>
      </c>
      <c r="P598" s="32">
        <f>IF(Mecze[[#This Row],[SC]]=0,0,Mecze[[#This Row],[SC]]/Mecze[[#This Row],[CZAS]])</f>
        <v>0</v>
      </c>
      <c r="Q598" s="32">
        <f>IF(Mecze[[#This Row],[OB]]=0,0,Mecze[[#This Row],[OB]]/Mecze[[#This Row],[CZAS]])</f>
        <v>0</v>
      </c>
      <c r="R598" s="32">
        <f>IF(Mecze[[#This Row],[BR]]=0,0,Mecze[[#This Row],[BR]]/Mecze[[#This Row],[CZAS]])</f>
        <v>0</v>
      </c>
      <c r="S598" s="44">
        <f>IF(Mecze[[#This Row],[Role]]="BR",SUMPRODUCT(Mecze[[#This Row],[/PR:90]:[/BR:90]],Brudnopis!$E$23:$J$23),0)</f>
        <v>0</v>
      </c>
      <c r="T598" s="44">
        <f>IF(Mecze[[#This Row],[Role]]&lt;&gt;"BR",SUMPRODUCT(Mecze[[#This Row],[/PR:90]:[/BR:90]],Brudnopis!$E$24:$J$24),0)</f>
        <v>0</v>
      </c>
      <c r="U598" s="44">
        <f>IF(Mecze[[#This Row],[Role]]&lt;&gt;"BR",SUMPRODUCT(Mecze[[#This Row],[/PR:90]:[/BR:90]],Brudnopis!$E$25:$J$25),0)</f>
        <v>0</v>
      </c>
      <c r="V598" s="44">
        <f>IF(Mecze[[#This Row],[Role]]&lt;&gt;"BR",SUMPRODUCT(Mecze[[#This Row],[/PR:90]:[/BR:90]],Brudnopis!$E$26:$J$26),0)</f>
        <v>0</v>
      </c>
      <c r="W598" s="44">
        <f>IF(Mecze[[#This Row],[Role]]&lt;&gt;"BR",SUMPRODUCT(Mecze[[#This Row],[/PR:90]:[/BR:90]],Brudnopis!$E$27:$J$27),0)</f>
        <v>0</v>
      </c>
      <c r="X598" s="44">
        <f>IF(Mecze[[#This Row],[Role]]&lt;&gt;"BR",SUMPRODUCT(Mecze[[#This Row],[/PR:90]:[/BR:90]],Brudnopis!$E$28:$J$28),0)</f>
        <v>0</v>
      </c>
      <c r="Y598" s="35">
        <f>IF(Mecze[[#This Row],[Role]]="BR",Mecze[[#This Row],[/OB:90]]+Mecze[[#This Row],[/PC:90]],SUM(Mecze[[#This Row],[/PR:90]:[/BR:90]]))</f>
        <v>0</v>
      </c>
      <c r="Z598" s="35">
        <f>IF(Mecze[[#This Row],[KC]]=0,SUM(Mecze[[#This Row],[/BRI]:[/NPI]]),SUM(Mecze[[#This Row],[/BRI]:[/NPI]])*0.6)</f>
        <v>0</v>
      </c>
      <c r="AA598" s="10">
        <f>IFERROR(Mecze[[#This Row],[BR]]/Mecze[[#This Row],[ST]],0)</f>
        <v>0</v>
      </c>
      <c r="AB598">
        <f>ROUND(Mecze[[#This Row],[PD]]*Mecze[[#This Row],[%PC]],0)</f>
        <v>0</v>
      </c>
      <c r="AC598">
        <f>ROUND(Mecze[[#This Row],[OD]]*Mecze[[#This Row],[%OU]],0)</f>
        <v>0</v>
      </c>
      <c r="AD598" s="36" t="s">
        <v>175</v>
      </c>
      <c r="AE598" s="36">
        <v>34</v>
      </c>
      <c r="AF598" s="71">
        <v>7.04</v>
      </c>
      <c r="AG598" s="37">
        <v>0</v>
      </c>
      <c r="AH598" s="37">
        <v>0</v>
      </c>
      <c r="AI598" s="37">
        <v>100</v>
      </c>
      <c r="AJ598" s="37">
        <v>2</v>
      </c>
      <c r="AK598" s="37" t="str">
        <f>VLOOKUP(Mecze[[#This Row],[Match ID]],Meczusie[Mecz]:Meczusie[RodzajMeczu],2,FALSE)</f>
        <v>Liga</v>
      </c>
    </row>
    <row r="599" spans="1:37" x14ac:dyDescent="0.25">
      <c r="A599" s="76">
        <v>5</v>
      </c>
      <c r="B599" s="3" t="s">
        <v>223</v>
      </c>
      <c r="C599" s="2" t="s">
        <v>157</v>
      </c>
      <c r="D599" s="1">
        <v>0</v>
      </c>
      <c r="E599" s="1">
        <v>0</v>
      </c>
      <c r="F599" s="1">
        <v>0</v>
      </c>
      <c r="G599" s="1">
        <v>8</v>
      </c>
      <c r="H599" s="4">
        <v>0.63</v>
      </c>
      <c r="I599" s="1">
        <v>1</v>
      </c>
      <c r="J599" s="4">
        <v>1</v>
      </c>
      <c r="K599" s="1">
        <v>0</v>
      </c>
      <c r="L599" s="1">
        <v>6</v>
      </c>
      <c r="M599" s="32">
        <f>IF(Mecze[[#This Row],[PR]]=0,0,Mecze[[#This Row],[PR]]/Mecze[[#This Row],[CZAS]])</f>
        <v>0.06</v>
      </c>
      <c r="N599" s="32">
        <f>IF(Mecze[[#This Row],[OU]]=0,0,Mecze[[#This Row],[OU]]/Mecze[[#This Row],[CZAS]])</f>
        <v>0.01</v>
      </c>
      <c r="O599" s="32">
        <f>IF(Mecze[[#This Row],[PC]]=0,0,Mecze[[#This Row],[PC]]/Mecze[[#This Row],[CZAS]])</f>
        <v>0.05</v>
      </c>
      <c r="P599" s="32">
        <f>IF(Mecze[[#This Row],[SC]]=0,0,Mecze[[#This Row],[SC]]/Mecze[[#This Row],[CZAS]])</f>
        <v>0</v>
      </c>
      <c r="Q599" s="32">
        <f>IF(Mecze[[#This Row],[OB]]=0,0,Mecze[[#This Row],[OB]]/Mecze[[#This Row],[CZAS]])</f>
        <v>0</v>
      </c>
      <c r="R599" s="32">
        <f>IF(Mecze[[#This Row],[BR]]=0,0,Mecze[[#This Row],[BR]]/Mecze[[#This Row],[CZAS]])</f>
        <v>0</v>
      </c>
      <c r="S599" s="44">
        <f>IF(Mecze[[#This Row],[Role]]="BR",SUMPRODUCT(Mecze[[#This Row],[/PR:90]:[/BR:90]],Brudnopis!$E$23:$J$23),0)</f>
        <v>0</v>
      </c>
      <c r="T599" s="44">
        <f>IF(Mecze[[#This Row],[Role]]&lt;&gt;"BR",SUMPRODUCT(Mecze[[#This Row],[/PR:90]:[/BR:90]],Brudnopis!$E$24:$J$24),0)</f>
        <v>0.125</v>
      </c>
      <c r="U599" s="44">
        <f>IF(Mecze[[#This Row],[Role]]&lt;&gt;"BR",SUMPRODUCT(Mecze[[#This Row],[/PR:90]:[/BR:90]],Brudnopis!$E$25:$J$25),0)</f>
        <v>0.14500000000000002</v>
      </c>
      <c r="V599" s="44">
        <f>IF(Mecze[[#This Row],[Role]]&lt;&gt;"BR",SUMPRODUCT(Mecze[[#This Row],[/PR:90]:[/BR:90]],Brudnopis!$E$26:$J$26),0)</f>
        <v>0.12</v>
      </c>
      <c r="W599" s="44">
        <f>IF(Mecze[[#This Row],[Role]]&lt;&gt;"BR",SUMPRODUCT(Mecze[[#This Row],[/PR:90]:[/BR:90]],Brudnopis!$E$27:$J$27),0)</f>
        <v>0.1275</v>
      </c>
      <c r="X599" s="44">
        <f>IF(Mecze[[#This Row],[Role]]&lt;&gt;"BR",SUMPRODUCT(Mecze[[#This Row],[/PR:90]:[/BR:90]],Brudnopis!$E$28:$J$28),0)</f>
        <v>0.05</v>
      </c>
      <c r="Y599" s="35">
        <f>IF(Mecze[[#This Row],[Role]]="BR",Mecze[[#This Row],[/OB:90]]+Mecze[[#This Row],[/PC:90]],SUM(Mecze[[#This Row],[/PR:90]:[/BR:90]]))</f>
        <v>0.12</v>
      </c>
      <c r="Z599" s="35">
        <f>IF(Mecze[[#This Row],[KC]]=0,SUM(Mecze[[#This Row],[/BRI]:[/NPI]]),SUM(Mecze[[#This Row],[/BRI]:[/NPI]])*0.6)</f>
        <v>0.56750000000000012</v>
      </c>
      <c r="AA599" s="10">
        <f>IFERROR(Mecze[[#This Row],[BR]]/Mecze[[#This Row],[ST]],0)</f>
        <v>0</v>
      </c>
      <c r="AB599">
        <f>ROUND(Mecze[[#This Row],[PD]]*Mecze[[#This Row],[%PC]],0)</f>
        <v>5</v>
      </c>
      <c r="AC599">
        <f>ROUND(Mecze[[#This Row],[OD]]*Mecze[[#This Row],[%OU]],0)</f>
        <v>1</v>
      </c>
      <c r="AD599" s="36" t="s">
        <v>174</v>
      </c>
      <c r="AE599" s="36">
        <v>34</v>
      </c>
      <c r="AF599" s="71">
        <v>8.3000000000000007</v>
      </c>
      <c r="AG599" s="37">
        <v>0</v>
      </c>
      <c r="AH599" s="37">
        <v>0</v>
      </c>
      <c r="AI599" s="37">
        <v>100</v>
      </c>
      <c r="AJ599" s="37">
        <v>2</v>
      </c>
      <c r="AK599" s="37" t="str">
        <f>VLOOKUP(Mecze[[#This Row],[Match ID]],Meczusie[Mecz]:Meczusie[RodzajMeczu],2,FALSE)</f>
        <v>Liga</v>
      </c>
    </row>
    <row r="600" spans="1:37" x14ac:dyDescent="0.25">
      <c r="A600" s="76">
        <v>7</v>
      </c>
      <c r="B600" s="3" t="s">
        <v>226</v>
      </c>
      <c r="C600" s="2" t="s">
        <v>160</v>
      </c>
      <c r="D600" s="1">
        <v>1</v>
      </c>
      <c r="E600" s="1">
        <v>1</v>
      </c>
      <c r="F600" s="1">
        <v>1</v>
      </c>
      <c r="G600" s="1">
        <v>14</v>
      </c>
      <c r="H600" s="4">
        <v>0.5</v>
      </c>
      <c r="I600" s="1">
        <v>2</v>
      </c>
      <c r="J600" s="4">
        <v>1</v>
      </c>
      <c r="K600" s="1">
        <v>0</v>
      </c>
      <c r="L600" s="1">
        <v>9</v>
      </c>
      <c r="M600" s="32">
        <f>IF(Mecze[[#This Row],[PR]]=0,0,Mecze[[#This Row],[PR]]/Mecze[[#This Row],[CZAS]])</f>
        <v>0.09</v>
      </c>
      <c r="N600" s="32">
        <f>IF(Mecze[[#This Row],[OU]]=0,0,Mecze[[#This Row],[OU]]/Mecze[[#This Row],[CZAS]])</f>
        <v>0.02</v>
      </c>
      <c r="O600" s="32">
        <f>IF(Mecze[[#This Row],[PC]]=0,0,Mecze[[#This Row],[PC]]/Mecze[[#This Row],[CZAS]])</f>
        <v>7.0000000000000007E-2</v>
      </c>
      <c r="P600" s="32">
        <f>IF(Mecze[[#This Row],[SC]]=0,0,Mecze[[#This Row],[SC]]/Mecze[[#This Row],[CZAS]])</f>
        <v>0.01</v>
      </c>
      <c r="Q600" s="32">
        <f>IF(Mecze[[#This Row],[OB]]=0,0,Mecze[[#This Row],[OB]]/Mecze[[#This Row],[CZAS]])</f>
        <v>0</v>
      </c>
      <c r="R600" s="32">
        <f>IF(Mecze[[#This Row],[BR]]=0,0,Mecze[[#This Row],[BR]]/Mecze[[#This Row],[CZAS]])</f>
        <v>0.01</v>
      </c>
      <c r="S600" s="44">
        <f>IF(Mecze[[#This Row],[Role]]="BR",SUMPRODUCT(Mecze[[#This Row],[/PR:90]:[/BR:90]],Brudnopis!$E$23:$J$23),0)</f>
        <v>0</v>
      </c>
      <c r="T600" s="44">
        <f>IF(Mecze[[#This Row],[Role]]&lt;&gt;"BR",SUMPRODUCT(Mecze[[#This Row],[/PR:90]:[/BR:90]],Brudnopis!$E$24:$J$24),0)</f>
        <v>0.21500000000000002</v>
      </c>
      <c r="U600" s="44">
        <f>IF(Mecze[[#This Row],[Role]]&lt;&gt;"BR",SUMPRODUCT(Mecze[[#This Row],[/PR:90]:[/BR:90]],Brudnopis!$E$25:$J$25),0)</f>
        <v>0.24000000000000005</v>
      </c>
      <c r="V600" s="44">
        <f>IF(Mecze[[#This Row],[Role]]&lt;&gt;"BR",SUMPRODUCT(Mecze[[#This Row],[/PR:90]:[/BR:90]],Brudnopis!$E$26:$J$26),0)</f>
        <v>0.21</v>
      </c>
      <c r="W600" s="44">
        <f>IF(Mecze[[#This Row],[Role]]&lt;&gt;"BR",SUMPRODUCT(Mecze[[#This Row],[/PR:90]:[/BR:90]],Brudnopis!$E$27:$J$27),0)</f>
        <v>0.2175</v>
      </c>
      <c r="X600" s="44">
        <f>IF(Mecze[[#This Row],[Role]]&lt;&gt;"BR",SUMPRODUCT(Mecze[[#This Row],[/PR:90]:[/BR:90]],Brudnopis!$E$28:$J$28),0)</f>
        <v>0.12000000000000001</v>
      </c>
      <c r="Y600" s="35">
        <f>IF(Mecze[[#This Row],[Role]]="BR",Mecze[[#This Row],[/OB:90]]+Mecze[[#This Row],[/PC:90]],SUM(Mecze[[#This Row],[/PR:90]:[/BR:90]]))</f>
        <v>0.2</v>
      </c>
      <c r="Z600" s="35">
        <f>IF(Mecze[[#This Row],[KC]]=0,SUM(Mecze[[#This Row],[/BRI]:[/NPI]]),SUM(Mecze[[#This Row],[/BRI]:[/NPI]])*0.6)</f>
        <v>1.0025000000000002</v>
      </c>
      <c r="AA600" s="10">
        <f>IFERROR(Mecze[[#This Row],[BR]]/Mecze[[#This Row],[ST]],0)</f>
        <v>1</v>
      </c>
      <c r="AB600">
        <f>ROUND(Mecze[[#This Row],[PD]]*Mecze[[#This Row],[%PC]],0)</f>
        <v>7</v>
      </c>
      <c r="AC600">
        <f>ROUND(Mecze[[#This Row],[OD]]*Mecze[[#This Row],[%OU]],0)</f>
        <v>2</v>
      </c>
      <c r="AD600" s="36" t="s">
        <v>41</v>
      </c>
      <c r="AE600" s="36">
        <v>34</v>
      </c>
      <c r="AF600" s="71">
        <v>12.48</v>
      </c>
      <c r="AG600" s="37">
        <v>0</v>
      </c>
      <c r="AH600" s="37">
        <v>0</v>
      </c>
      <c r="AI600" s="37">
        <v>100</v>
      </c>
      <c r="AJ600" s="37">
        <v>2</v>
      </c>
      <c r="AK600" s="37" t="str">
        <f>VLOOKUP(Mecze[[#This Row],[Match ID]],Meczusie[Mecz]:Meczusie[RodzajMeczu],2,FALSE)</f>
        <v>Liga</v>
      </c>
    </row>
    <row r="601" spans="1:37" x14ac:dyDescent="0.25">
      <c r="A601" s="76">
        <v>6</v>
      </c>
      <c r="B601" s="3" t="s">
        <v>225</v>
      </c>
      <c r="C601" s="2" t="s">
        <v>160</v>
      </c>
      <c r="D601" s="1">
        <v>0</v>
      </c>
      <c r="E601" s="1">
        <v>0</v>
      </c>
      <c r="F601" s="1">
        <v>0</v>
      </c>
      <c r="G601" s="1">
        <v>9</v>
      </c>
      <c r="H601" s="4">
        <v>0.78</v>
      </c>
      <c r="I601" s="1">
        <v>2</v>
      </c>
      <c r="J601" s="4">
        <v>0.5</v>
      </c>
      <c r="K601" s="1">
        <v>0</v>
      </c>
      <c r="L601" s="1">
        <v>6</v>
      </c>
      <c r="M601" s="32">
        <f>IF(Mecze[[#This Row],[PR]]=0,0,Mecze[[#This Row],[PR]]/Mecze[[#This Row],[CZAS]])</f>
        <v>0.06</v>
      </c>
      <c r="N601" s="32">
        <f>IF(Mecze[[#This Row],[OU]]=0,0,Mecze[[#This Row],[OU]]/Mecze[[#This Row],[CZAS]])</f>
        <v>0.01</v>
      </c>
      <c r="O601" s="32">
        <f>IF(Mecze[[#This Row],[PC]]=0,0,Mecze[[#This Row],[PC]]/Mecze[[#This Row],[CZAS]])</f>
        <v>7.0000000000000007E-2</v>
      </c>
      <c r="P601" s="32">
        <f>IF(Mecze[[#This Row],[SC]]=0,0,Mecze[[#This Row],[SC]]/Mecze[[#This Row],[CZAS]])</f>
        <v>0</v>
      </c>
      <c r="Q601" s="32">
        <f>IF(Mecze[[#This Row],[OB]]=0,0,Mecze[[#This Row],[OB]]/Mecze[[#This Row],[CZAS]])</f>
        <v>0</v>
      </c>
      <c r="R601" s="32">
        <f>IF(Mecze[[#This Row],[BR]]=0,0,Mecze[[#This Row],[BR]]/Mecze[[#This Row],[CZAS]])</f>
        <v>0</v>
      </c>
      <c r="S601" s="44">
        <f>IF(Mecze[[#This Row],[Role]]="BR",SUMPRODUCT(Mecze[[#This Row],[/PR:90]:[/BR:90]],Brudnopis!$E$23:$J$23),0)</f>
        <v>0</v>
      </c>
      <c r="T601" s="44">
        <f>IF(Mecze[[#This Row],[Role]]&lt;&gt;"BR",SUMPRODUCT(Mecze[[#This Row],[/PR:90]:[/BR:90]],Brudnopis!$E$24:$J$24),0)</f>
        <v>0.14500000000000002</v>
      </c>
      <c r="U601" s="44">
        <f>IF(Mecze[[#This Row],[Role]]&lt;&gt;"BR",SUMPRODUCT(Mecze[[#This Row],[/PR:90]:[/BR:90]],Brudnopis!$E$25:$J$25),0)</f>
        <v>0.17499999999999999</v>
      </c>
      <c r="V601" s="44">
        <f>IF(Mecze[[#This Row],[Role]]&lt;&gt;"BR",SUMPRODUCT(Mecze[[#This Row],[/PR:90]:[/BR:90]],Brudnopis!$E$26:$J$26),0)</f>
        <v>0.14000000000000001</v>
      </c>
      <c r="W601" s="44">
        <f>IF(Mecze[[#This Row],[Role]]&lt;&gt;"BR",SUMPRODUCT(Mecze[[#This Row],[/PR:90]:[/BR:90]],Brudnopis!$E$27:$J$27),0)</f>
        <v>0.1575</v>
      </c>
      <c r="X601" s="44">
        <f>IF(Mecze[[#This Row],[Role]]&lt;&gt;"BR",SUMPRODUCT(Mecze[[#This Row],[/PR:90]:[/BR:90]],Brudnopis!$E$28:$J$28),0)</f>
        <v>7.0000000000000007E-2</v>
      </c>
      <c r="Y601" s="35">
        <f>IF(Mecze[[#This Row],[Role]]="BR",Mecze[[#This Row],[/OB:90]]+Mecze[[#This Row],[/PC:90]],SUM(Mecze[[#This Row],[/PR:90]:[/BR:90]]))</f>
        <v>0.14000000000000001</v>
      </c>
      <c r="Z601" s="35">
        <f>IF(Mecze[[#This Row],[KC]]=0,SUM(Mecze[[#This Row],[/BRI]:[/NPI]]),SUM(Mecze[[#This Row],[/BRI]:[/NPI]])*0.6)</f>
        <v>0.6875</v>
      </c>
      <c r="AA601" s="10">
        <f>IFERROR(Mecze[[#This Row],[BR]]/Mecze[[#This Row],[ST]],0)</f>
        <v>0</v>
      </c>
      <c r="AB601">
        <f>ROUND(Mecze[[#This Row],[PD]]*Mecze[[#This Row],[%PC]],0)</f>
        <v>7</v>
      </c>
      <c r="AC601">
        <f>ROUND(Mecze[[#This Row],[OD]]*Mecze[[#This Row],[%OU]],0)</f>
        <v>1</v>
      </c>
      <c r="AD601" s="36" t="s">
        <v>41</v>
      </c>
      <c r="AE601" s="36">
        <v>34</v>
      </c>
      <c r="AF601" s="71">
        <v>9.51</v>
      </c>
      <c r="AG601" s="37">
        <v>0</v>
      </c>
      <c r="AH601" s="37">
        <v>0</v>
      </c>
      <c r="AI601" s="37">
        <v>100</v>
      </c>
      <c r="AJ601" s="37">
        <v>2</v>
      </c>
      <c r="AK601" s="37" t="str">
        <f>VLOOKUP(Mecze[[#This Row],[Match ID]],Meczusie[Mecz]:Meczusie[RodzajMeczu],2,FALSE)</f>
        <v>Liga</v>
      </c>
    </row>
    <row r="602" spans="1:37" x14ac:dyDescent="0.25">
      <c r="A602" s="76">
        <v>9</v>
      </c>
      <c r="B602" s="3" t="s">
        <v>227</v>
      </c>
      <c r="C602" s="2" t="s">
        <v>160</v>
      </c>
      <c r="D602" s="1">
        <v>1</v>
      </c>
      <c r="E602" s="1">
        <v>3</v>
      </c>
      <c r="F602" s="1">
        <v>2</v>
      </c>
      <c r="G602" s="1">
        <v>8</v>
      </c>
      <c r="H602" s="4">
        <v>1</v>
      </c>
      <c r="I602" s="1">
        <v>2</v>
      </c>
      <c r="J602" s="4">
        <v>1</v>
      </c>
      <c r="K602" s="1">
        <v>0</v>
      </c>
      <c r="L602" s="1">
        <v>2</v>
      </c>
      <c r="M602" s="32">
        <f>IF(Mecze[[#This Row],[PR]]=0,0,Mecze[[#This Row],[PR]]/Mecze[[#This Row],[CZAS]])</f>
        <v>0.02</v>
      </c>
      <c r="N602" s="32">
        <f>IF(Mecze[[#This Row],[OU]]=0,0,Mecze[[#This Row],[OU]]/Mecze[[#This Row],[CZAS]])</f>
        <v>0.02</v>
      </c>
      <c r="O602" s="32">
        <f>IF(Mecze[[#This Row],[PC]]=0,0,Mecze[[#This Row],[PC]]/Mecze[[#This Row],[CZAS]])</f>
        <v>0.08</v>
      </c>
      <c r="P602" s="32">
        <f>IF(Mecze[[#This Row],[SC]]=0,0,Mecze[[#This Row],[SC]]/Mecze[[#This Row],[CZAS]])</f>
        <v>0.02</v>
      </c>
      <c r="Q602" s="32">
        <f>IF(Mecze[[#This Row],[OB]]=0,0,Mecze[[#This Row],[OB]]/Mecze[[#This Row],[CZAS]])</f>
        <v>0</v>
      </c>
      <c r="R602" s="32">
        <f>IF(Mecze[[#This Row],[BR]]=0,0,Mecze[[#This Row],[BR]]/Mecze[[#This Row],[CZAS]])</f>
        <v>0.01</v>
      </c>
      <c r="S602" s="44">
        <f>IF(Mecze[[#This Row],[Role]]="BR",SUMPRODUCT(Mecze[[#This Row],[/PR:90]:[/BR:90]],Brudnopis!$E$23:$J$23),0)</f>
        <v>0</v>
      </c>
      <c r="T602" s="44">
        <f>IF(Mecze[[#This Row],[Role]]&lt;&gt;"BR",SUMPRODUCT(Mecze[[#This Row],[/PR:90]:[/BR:90]],Brudnopis!$E$24:$J$24),0)</f>
        <v>0.16499999999999998</v>
      </c>
      <c r="U602" s="44">
        <f>IF(Mecze[[#This Row],[Role]]&lt;&gt;"BR",SUMPRODUCT(Mecze[[#This Row],[/PR:90]:[/BR:90]],Brudnopis!$E$25:$J$25),0)</f>
        <v>0.19500000000000001</v>
      </c>
      <c r="V602" s="44">
        <f>IF(Mecze[[#This Row],[Role]]&lt;&gt;"BR",SUMPRODUCT(Mecze[[#This Row],[/PR:90]:[/BR:90]],Brudnopis!$E$26:$J$26),0)</f>
        <v>0.15999999999999998</v>
      </c>
      <c r="W602" s="44">
        <f>IF(Mecze[[#This Row],[Role]]&lt;&gt;"BR",SUMPRODUCT(Mecze[[#This Row],[/PR:90]:[/BR:90]],Brudnopis!$E$27:$J$27),0)</f>
        <v>0.18999999999999997</v>
      </c>
      <c r="X602" s="44">
        <f>IF(Mecze[[#This Row],[Role]]&lt;&gt;"BR",SUMPRODUCT(Mecze[[#This Row],[/PR:90]:[/BR:90]],Brudnopis!$E$28:$J$28),0)</f>
        <v>0.15</v>
      </c>
      <c r="Y602" s="35">
        <f>IF(Mecze[[#This Row],[Role]]="BR",Mecze[[#This Row],[/OB:90]]+Mecze[[#This Row],[/PC:90]],SUM(Mecze[[#This Row],[/PR:90]:[/BR:90]]))</f>
        <v>0.15</v>
      </c>
      <c r="Z602" s="35">
        <f>IF(Mecze[[#This Row],[KC]]=0,SUM(Mecze[[#This Row],[/BRI]:[/NPI]]),SUM(Mecze[[#This Row],[/BRI]:[/NPI]])*0.6)</f>
        <v>0.86</v>
      </c>
      <c r="AA602" s="10">
        <f>IFERROR(Mecze[[#This Row],[BR]]/Mecze[[#This Row],[ST]],0)</f>
        <v>0.33333333333333331</v>
      </c>
      <c r="AB602">
        <f>ROUND(Mecze[[#This Row],[PD]]*Mecze[[#This Row],[%PC]],0)</f>
        <v>8</v>
      </c>
      <c r="AC602">
        <f>ROUND(Mecze[[#This Row],[OD]]*Mecze[[#This Row],[%OU]],0)</f>
        <v>2</v>
      </c>
      <c r="AD602" s="36" t="s">
        <v>67</v>
      </c>
      <c r="AE602" s="36">
        <v>34</v>
      </c>
      <c r="AF602" s="71">
        <v>13.36</v>
      </c>
      <c r="AG602" s="37">
        <v>0</v>
      </c>
      <c r="AH602" s="37">
        <v>0</v>
      </c>
      <c r="AI602" s="37">
        <v>100</v>
      </c>
      <c r="AJ602" s="37">
        <v>2</v>
      </c>
      <c r="AK602" s="37" t="str">
        <f>VLOOKUP(Mecze[[#This Row],[Match ID]],Meczusie[Mecz]:Meczusie[RodzajMeczu],2,FALSE)</f>
        <v>Liga</v>
      </c>
    </row>
    <row r="603" spans="1:37" x14ac:dyDescent="0.25">
      <c r="A603" s="76">
        <v>8</v>
      </c>
      <c r="B603" s="3" t="s">
        <v>228</v>
      </c>
      <c r="C603" s="2" t="s">
        <v>160</v>
      </c>
      <c r="D603" s="1">
        <v>0</v>
      </c>
      <c r="E603" s="1">
        <v>1</v>
      </c>
      <c r="F603" s="1">
        <v>0</v>
      </c>
      <c r="G603" s="1">
        <v>3</v>
      </c>
      <c r="H603" s="4">
        <v>1</v>
      </c>
      <c r="I603" s="1">
        <v>0</v>
      </c>
      <c r="J603" s="4"/>
      <c r="K603" s="1">
        <v>0</v>
      </c>
      <c r="L603" s="1">
        <v>0</v>
      </c>
      <c r="M603" s="32">
        <f>IF(Mecze[[#This Row],[PR]]=0,0,Mecze[[#This Row],[PR]]/Mecze[[#This Row],[CZAS]])</f>
        <v>0</v>
      </c>
      <c r="N603" s="32">
        <f>IF(Mecze[[#This Row],[OU]]=0,0,Mecze[[#This Row],[OU]]/Mecze[[#This Row],[CZAS]])</f>
        <v>0</v>
      </c>
      <c r="O603" s="32">
        <f>IF(Mecze[[#This Row],[PC]]=0,0,Mecze[[#This Row],[PC]]/Mecze[[#This Row],[CZAS]])</f>
        <v>0.03</v>
      </c>
      <c r="P603" s="32">
        <f>IF(Mecze[[#This Row],[SC]]=0,0,Mecze[[#This Row],[SC]]/Mecze[[#This Row],[CZAS]])</f>
        <v>0</v>
      </c>
      <c r="Q603" s="32">
        <f>IF(Mecze[[#This Row],[OB]]=0,0,Mecze[[#This Row],[OB]]/Mecze[[#This Row],[CZAS]])</f>
        <v>0</v>
      </c>
      <c r="R603" s="32">
        <f>IF(Mecze[[#This Row],[BR]]=0,0,Mecze[[#This Row],[BR]]/Mecze[[#This Row],[CZAS]])</f>
        <v>0</v>
      </c>
      <c r="S603" s="44">
        <f>IF(Mecze[[#This Row],[Role]]="BR",SUMPRODUCT(Mecze[[#This Row],[/PR:90]:[/BR:90]],Brudnopis!$E$23:$J$23),0)</f>
        <v>0</v>
      </c>
      <c r="T603" s="44">
        <f>IF(Mecze[[#This Row],[Role]]&lt;&gt;"BR",SUMPRODUCT(Mecze[[#This Row],[/PR:90]:[/BR:90]],Brudnopis!$E$24:$J$24),0)</f>
        <v>0.03</v>
      </c>
      <c r="U603" s="44">
        <f>IF(Mecze[[#This Row],[Role]]&lt;&gt;"BR",SUMPRODUCT(Mecze[[#This Row],[/PR:90]:[/BR:90]],Brudnopis!$E$25:$J$25),0)</f>
        <v>4.4999999999999998E-2</v>
      </c>
      <c r="V603" s="44">
        <f>IF(Mecze[[#This Row],[Role]]&lt;&gt;"BR",SUMPRODUCT(Mecze[[#This Row],[/PR:90]:[/BR:90]],Brudnopis!$E$26:$J$26),0)</f>
        <v>0.03</v>
      </c>
      <c r="W603" s="44">
        <f>IF(Mecze[[#This Row],[Role]]&lt;&gt;"BR",SUMPRODUCT(Mecze[[#This Row],[/PR:90]:[/BR:90]],Brudnopis!$E$27:$J$27),0)</f>
        <v>4.4999999999999998E-2</v>
      </c>
      <c r="X603" s="44">
        <f>IF(Mecze[[#This Row],[Role]]&lt;&gt;"BR",SUMPRODUCT(Mecze[[#This Row],[/PR:90]:[/BR:90]],Brudnopis!$E$28:$J$28),0)</f>
        <v>0.03</v>
      </c>
      <c r="Y603" s="35">
        <f>IF(Mecze[[#This Row],[Role]]="BR",Mecze[[#This Row],[/OB:90]]+Mecze[[#This Row],[/PC:90]],SUM(Mecze[[#This Row],[/PR:90]:[/BR:90]]))</f>
        <v>0.03</v>
      </c>
      <c r="Z603" s="35">
        <f>IF(Mecze[[#This Row],[KC]]=0,SUM(Mecze[[#This Row],[/BRI]:[/NPI]]),SUM(Mecze[[#This Row],[/BRI]:[/NPI]])*0.6)</f>
        <v>0.18</v>
      </c>
      <c r="AA603" s="10">
        <f>IFERROR(Mecze[[#This Row],[BR]]/Mecze[[#This Row],[ST]],0)</f>
        <v>0</v>
      </c>
      <c r="AB603">
        <f>ROUND(Mecze[[#This Row],[PD]]*Mecze[[#This Row],[%PC]],0)</f>
        <v>3</v>
      </c>
      <c r="AC603">
        <f>ROUND(Mecze[[#This Row],[OD]]*Mecze[[#This Row],[%OU]],0)</f>
        <v>0</v>
      </c>
      <c r="AD603" s="36" t="s">
        <v>171</v>
      </c>
      <c r="AE603" s="36">
        <v>34</v>
      </c>
      <c r="AF603" s="71">
        <v>7.04</v>
      </c>
      <c r="AG603" s="37">
        <v>0</v>
      </c>
      <c r="AH603" s="37">
        <v>0</v>
      </c>
      <c r="AI603" s="37">
        <v>100</v>
      </c>
      <c r="AJ603" s="37">
        <v>2</v>
      </c>
      <c r="AK603" s="37" t="str">
        <f>VLOOKUP(Mecze[[#This Row],[Match ID]],Meczusie[Mecz]:Meczusie[RodzajMeczu],2,FALSE)</f>
        <v>Liga</v>
      </c>
    </row>
    <row r="604" spans="1:37" x14ac:dyDescent="0.25">
      <c r="A604" s="76">
        <v>11</v>
      </c>
      <c r="B604" s="3" t="s">
        <v>229</v>
      </c>
      <c r="C604" s="2" t="s">
        <v>165</v>
      </c>
      <c r="D604" s="1">
        <v>6</v>
      </c>
      <c r="E604" s="1">
        <v>18</v>
      </c>
      <c r="F604" s="1">
        <v>14</v>
      </c>
      <c r="G604" s="1">
        <v>1</v>
      </c>
      <c r="H604" s="4">
        <v>1</v>
      </c>
      <c r="I604" s="1">
        <v>4</v>
      </c>
      <c r="J604" s="4">
        <v>0.5</v>
      </c>
      <c r="K604" s="1">
        <v>0</v>
      </c>
      <c r="L604" s="1">
        <v>0</v>
      </c>
      <c r="M604" s="32">
        <f>IF(Mecze[[#This Row],[PR]]=0,0,Mecze[[#This Row],[PR]]/Mecze[[#This Row],[CZAS]])</f>
        <v>0</v>
      </c>
      <c r="N604" s="32">
        <f>IF(Mecze[[#This Row],[OU]]=0,0,Mecze[[#This Row],[OU]]/Mecze[[#This Row],[CZAS]])</f>
        <v>0.02</v>
      </c>
      <c r="O604" s="32">
        <f>IF(Mecze[[#This Row],[PC]]=0,0,Mecze[[#This Row],[PC]]/Mecze[[#This Row],[CZAS]])</f>
        <v>0.01</v>
      </c>
      <c r="P604" s="32">
        <f>IF(Mecze[[#This Row],[SC]]=0,0,Mecze[[#This Row],[SC]]/Mecze[[#This Row],[CZAS]])</f>
        <v>0.14000000000000001</v>
      </c>
      <c r="Q604" s="32">
        <f>IF(Mecze[[#This Row],[OB]]=0,0,Mecze[[#This Row],[OB]]/Mecze[[#This Row],[CZAS]])</f>
        <v>0</v>
      </c>
      <c r="R604" s="32">
        <f>IF(Mecze[[#This Row],[BR]]=0,0,Mecze[[#This Row],[BR]]/Mecze[[#This Row],[CZAS]])</f>
        <v>0.06</v>
      </c>
      <c r="S604" s="44">
        <f>IF(Mecze[[#This Row],[Role]]="BR",SUMPRODUCT(Mecze[[#This Row],[/PR:90]:[/BR:90]],Brudnopis!$E$23:$J$23),0)</f>
        <v>0</v>
      </c>
      <c r="T604" s="44">
        <f>IF(Mecze[[#This Row],[Role]]&lt;&gt;"BR",SUMPRODUCT(Mecze[[#This Row],[/PR:90]:[/BR:90]],Brudnopis!$E$24:$J$24),0)</f>
        <v>0.27</v>
      </c>
      <c r="U604" s="44">
        <f>IF(Mecze[[#This Row],[Role]]&lt;&gt;"BR",SUMPRODUCT(Mecze[[#This Row],[/PR:90]:[/BR:90]],Brudnopis!$E$25:$J$25),0)</f>
        <v>0.26500000000000001</v>
      </c>
      <c r="V604" s="44">
        <f>IF(Mecze[[#This Row],[Role]]&lt;&gt;"BR",SUMPRODUCT(Mecze[[#This Row],[/PR:90]:[/BR:90]],Brudnopis!$E$26:$J$26),0)</f>
        <v>0.29000000000000004</v>
      </c>
      <c r="W604" s="44">
        <f>IF(Mecze[[#This Row],[Role]]&lt;&gt;"BR",SUMPRODUCT(Mecze[[#This Row],[/PR:90]:[/BR:90]],Brudnopis!$E$27:$J$27),0)</f>
        <v>0.29000000000000004</v>
      </c>
      <c r="X604" s="44">
        <f>IF(Mecze[[#This Row],[Role]]&lt;&gt;"BR",SUMPRODUCT(Mecze[[#This Row],[/PR:90]:[/BR:90]],Brudnopis!$E$28:$J$28),0)</f>
        <v>0.47000000000000003</v>
      </c>
      <c r="Y604" s="35">
        <f>IF(Mecze[[#This Row],[Role]]="BR",Mecze[[#This Row],[/OB:90]]+Mecze[[#This Row],[/PC:90]],SUM(Mecze[[#This Row],[/PR:90]:[/BR:90]]))</f>
        <v>0.23</v>
      </c>
      <c r="Z604" s="35">
        <f>IF(Mecze[[#This Row],[KC]]=0,SUM(Mecze[[#This Row],[/BRI]:[/NPI]]),SUM(Mecze[[#This Row],[/BRI]:[/NPI]])*0.6)</f>
        <v>1.5850000000000002</v>
      </c>
      <c r="AA604" s="10">
        <f>IFERROR(Mecze[[#This Row],[BR]]/Mecze[[#This Row],[ST]],0)</f>
        <v>0.33333333333333331</v>
      </c>
      <c r="AB604">
        <f>ROUND(Mecze[[#This Row],[PD]]*Mecze[[#This Row],[%PC]],0)</f>
        <v>1</v>
      </c>
      <c r="AC604">
        <f>ROUND(Mecze[[#This Row],[OD]]*Mecze[[#This Row],[%OU]],0)</f>
        <v>2</v>
      </c>
      <c r="AD604" s="36" t="s">
        <v>46</v>
      </c>
      <c r="AE604" s="36">
        <v>34</v>
      </c>
      <c r="AF604" s="71">
        <v>18.600000000000001</v>
      </c>
      <c r="AG604" s="37">
        <v>0</v>
      </c>
      <c r="AH604" s="37">
        <v>0</v>
      </c>
      <c r="AI604" s="37">
        <v>100</v>
      </c>
      <c r="AJ604" s="37">
        <v>2</v>
      </c>
      <c r="AK604" s="37" t="str">
        <f>VLOOKUP(Mecze[[#This Row],[Match ID]],Meczusie[Mecz]:Meczusie[RodzajMeczu],2,FALSE)</f>
        <v>Liga</v>
      </c>
    </row>
    <row r="605" spans="1:37" x14ac:dyDescent="0.25">
      <c r="A605" s="76">
        <v>10</v>
      </c>
      <c r="B605" s="3" t="s">
        <v>230</v>
      </c>
      <c r="C605" s="2" t="s">
        <v>165</v>
      </c>
      <c r="D605" s="1">
        <v>0</v>
      </c>
      <c r="E605" s="1">
        <v>0</v>
      </c>
      <c r="F605" s="1">
        <v>0</v>
      </c>
      <c r="G605" s="1">
        <v>24</v>
      </c>
      <c r="H605" s="4">
        <v>0.63</v>
      </c>
      <c r="I605" s="1">
        <v>0</v>
      </c>
      <c r="J605" s="4"/>
      <c r="K605" s="1">
        <v>0</v>
      </c>
      <c r="L605" s="1">
        <v>0</v>
      </c>
      <c r="M605" s="32">
        <f>IF(Mecze[[#This Row],[PR]]=0,0,Mecze[[#This Row],[PR]]/Mecze[[#This Row],[CZAS]])</f>
        <v>0</v>
      </c>
      <c r="N605" s="32">
        <f>IF(Mecze[[#This Row],[OU]]=0,0,Mecze[[#This Row],[OU]]/Mecze[[#This Row],[CZAS]])</f>
        <v>0</v>
      </c>
      <c r="O605" s="32">
        <f>IF(Mecze[[#This Row],[PC]]=0,0,Mecze[[#This Row],[PC]]/Mecze[[#This Row],[CZAS]])</f>
        <v>0.15</v>
      </c>
      <c r="P605" s="32">
        <f>IF(Mecze[[#This Row],[SC]]=0,0,Mecze[[#This Row],[SC]]/Mecze[[#This Row],[CZAS]])</f>
        <v>0</v>
      </c>
      <c r="Q605" s="32">
        <f>IF(Mecze[[#This Row],[OB]]=0,0,Mecze[[#This Row],[OB]]/Mecze[[#This Row],[CZAS]])</f>
        <v>0</v>
      </c>
      <c r="R605" s="32">
        <f>IF(Mecze[[#This Row],[BR]]=0,0,Mecze[[#This Row],[BR]]/Mecze[[#This Row],[CZAS]])</f>
        <v>0</v>
      </c>
      <c r="S605" s="44">
        <f>IF(Mecze[[#This Row],[Role]]="BR",SUMPRODUCT(Mecze[[#This Row],[/PR:90]:[/BR:90]],Brudnopis!$E$23:$J$23),0)</f>
        <v>0</v>
      </c>
      <c r="T605" s="44">
        <f>IF(Mecze[[#This Row],[Role]]&lt;&gt;"BR",SUMPRODUCT(Mecze[[#This Row],[/PR:90]:[/BR:90]],Brudnopis!$E$24:$J$24),0)</f>
        <v>0.15</v>
      </c>
      <c r="U605" s="44">
        <f>IF(Mecze[[#This Row],[Role]]&lt;&gt;"BR",SUMPRODUCT(Mecze[[#This Row],[/PR:90]:[/BR:90]],Brudnopis!$E$25:$J$25),0)</f>
        <v>0.22499999999999998</v>
      </c>
      <c r="V605" s="44">
        <f>IF(Mecze[[#This Row],[Role]]&lt;&gt;"BR",SUMPRODUCT(Mecze[[#This Row],[/PR:90]:[/BR:90]],Brudnopis!$E$26:$J$26),0)</f>
        <v>0.15</v>
      </c>
      <c r="W605" s="44">
        <f>IF(Mecze[[#This Row],[Role]]&lt;&gt;"BR",SUMPRODUCT(Mecze[[#This Row],[/PR:90]:[/BR:90]],Brudnopis!$E$27:$J$27),0)</f>
        <v>0.22499999999999998</v>
      </c>
      <c r="X605" s="44">
        <f>IF(Mecze[[#This Row],[Role]]&lt;&gt;"BR",SUMPRODUCT(Mecze[[#This Row],[/PR:90]:[/BR:90]],Brudnopis!$E$28:$J$28),0)</f>
        <v>0.15</v>
      </c>
      <c r="Y605" s="35">
        <f>IF(Mecze[[#This Row],[Role]]="BR",Mecze[[#This Row],[/OB:90]]+Mecze[[#This Row],[/PC:90]],SUM(Mecze[[#This Row],[/PR:90]:[/BR:90]]))</f>
        <v>0.15</v>
      </c>
      <c r="Z605" s="35">
        <f>IF(Mecze[[#This Row],[KC]]=0,SUM(Mecze[[#This Row],[/BRI]:[/NPI]]),SUM(Mecze[[#This Row],[/BRI]:[/NPI]])*0.6)</f>
        <v>0.9</v>
      </c>
      <c r="AA605" s="10">
        <f>IFERROR(Mecze[[#This Row],[BR]]/Mecze[[#This Row],[ST]],0)</f>
        <v>0</v>
      </c>
      <c r="AB605">
        <f>ROUND(Mecze[[#This Row],[PD]]*Mecze[[#This Row],[%PC]],0)</f>
        <v>15</v>
      </c>
      <c r="AC605">
        <f>ROUND(Mecze[[#This Row],[OD]]*Mecze[[#This Row],[%OU]],0)</f>
        <v>0</v>
      </c>
      <c r="AD605" s="36" t="s">
        <v>232</v>
      </c>
      <c r="AE605" s="36">
        <v>34</v>
      </c>
      <c r="AF605" s="71">
        <v>5.26</v>
      </c>
      <c r="AG605" s="37">
        <v>0</v>
      </c>
      <c r="AH605" s="37">
        <v>0</v>
      </c>
      <c r="AI605" s="37">
        <v>100</v>
      </c>
      <c r="AJ605" s="37">
        <v>2</v>
      </c>
      <c r="AK605" s="37" t="str">
        <f>VLOOKUP(Mecze[[#This Row],[Match ID]],Meczusie[Mecz]:Meczusie[RodzajMeczu],2,FALSE)</f>
        <v>Liga</v>
      </c>
    </row>
    <row r="606" spans="1:37" x14ac:dyDescent="0.25">
      <c r="A606" s="76">
        <v>12</v>
      </c>
      <c r="B606" s="3" t="s">
        <v>231</v>
      </c>
      <c r="C606" s="2" t="s">
        <v>165</v>
      </c>
      <c r="D606" s="1">
        <v>4</v>
      </c>
      <c r="E606" s="1">
        <v>6</v>
      </c>
      <c r="F606" s="1">
        <v>4</v>
      </c>
      <c r="G606" s="1">
        <v>1</v>
      </c>
      <c r="H606" s="4">
        <v>1</v>
      </c>
      <c r="I606" s="1">
        <v>1</v>
      </c>
      <c r="J606" s="4">
        <v>1</v>
      </c>
      <c r="K606" s="1">
        <v>0</v>
      </c>
      <c r="L606" s="1">
        <v>1</v>
      </c>
      <c r="M606" s="32">
        <f>IF(Mecze[[#This Row],[PR]]=0,0,Mecze[[#This Row],[PR]]/Mecze[[#This Row],[CZAS]])</f>
        <v>0.01</v>
      </c>
      <c r="N606" s="32">
        <f>IF(Mecze[[#This Row],[OU]]=0,0,Mecze[[#This Row],[OU]]/Mecze[[#This Row],[CZAS]])</f>
        <v>0.01</v>
      </c>
      <c r="O606" s="32">
        <f>IF(Mecze[[#This Row],[PC]]=0,0,Mecze[[#This Row],[PC]]/Mecze[[#This Row],[CZAS]])</f>
        <v>0.01</v>
      </c>
      <c r="P606" s="32">
        <f>IF(Mecze[[#This Row],[SC]]=0,0,Mecze[[#This Row],[SC]]/Mecze[[#This Row],[CZAS]])</f>
        <v>0.04</v>
      </c>
      <c r="Q606" s="32">
        <f>IF(Mecze[[#This Row],[OB]]=0,0,Mecze[[#This Row],[OB]]/Mecze[[#This Row],[CZAS]])</f>
        <v>0</v>
      </c>
      <c r="R606" s="32">
        <f>IF(Mecze[[#This Row],[BR]]=0,0,Mecze[[#This Row],[BR]]/Mecze[[#This Row],[CZAS]])</f>
        <v>0.04</v>
      </c>
      <c r="S606" s="44">
        <f>IF(Mecze[[#This Row],[Role]]="BR",SUMPRODUCT(Mecze[[#This Row],[/PR:90]:[/BR:90]],Brudnopis!$E$23:$J$23),0)</f>
        <v>0</v>
      </c>
      <c r="T606" s="44">
        <f>IF(Mecze[[#This Row],[Role]]&lt;&gt;"BR",SUMPRODUCT(Mecze[[#This Row],[/PR:90]:[/BR:90]],Brudnopis!$E$24:$J$24),0)</f>
        <v>0.13500000000000001</v>
      </c>
      <c r="U606" s="44">
        <f>IF(Mecze[[#This Row],[Role]]&lt;&gt;"BR",SUMPRODUCT(Mecze[[#This Row],[/PR:90]:[/BR:90]],Brudnopis!$E$25:$J$25),0)</f>
        <v>0.13500000000000001</v>
      </c>
      <c r="V606" s="44">
        <f>IF(Mecze[[#This Row],[Role]]&lt;&gt;"BR",SUMPRODUCT(Mecze[[#This Row],[/PR:90]:[/BR:90]],Brudnopis!$E$26:$J$26),0)</f>
        <v>0.15000000000000002</v>
      </c>
      <c r="W606" s="44">
        <f>IF(Mecze[[#This Row],[Role]]&lt;&gt;"BR",SUMPRODUCT(Mecze[[#This Row],[/PR:90]:[/BR:90]],Brudnopis!$E$27:$J$27),0)</f>
        <v>0.15000000000000002</v>
      </c>
      <c r="X606" s="44">
        <f>IF(Mecze[[#This Row],[Role]]&lt;&gt;"BR",SUMPRODUCT(Mecze[[#This Row],[/PR:90]:[/BR:90]],Brudnopis!$E$28:$J$28),0)</f>
        <v>0.21</v>
      </c>
      <c r="Y606" s="35">
        <f>IF(Mecze[[#This Row],[Role]]="BR",Mecze[[#This Row],[/OB:90]]+Mecze[[#This Row],[/PC:90]],SUM(Mecze[[#This Row],[/PR:90]:[/BR:90]]))</f>
        <v>0.11000000000000001</v>
      </c>
      <c r="Z606" s="35">
        <f>IF(Mecze[[#This Row],[KC]]=0,SUM(Mecze[[#This Row],[/BRI]:[/NPI]]),SUM(Mecze[[#This Row],[/BRI]:[/NPI]])*0.6)</f>
        <v>0.78</v>
      </c>
      <c r="AA606" s="10">
        <f>IFERROR(Mecze[[#This Row],[BR]]/Mecze[[#This Row],[ST]],0)</f>
        <v>0.66666666666666663</v>
      </c>
      <c r="AB606">
        <f>ROUND(Mecze[[#This Row],[PD]]*Mecze[[#This Row],[%PC]],0)</f>
        <v>1</v>
      </c>
      <c r="AC606">
        <f>ROUND(Mecze[[#This Row],[OD]]*Mecze[[#This Row],[%OU]],0)</f>
        <v>1</v>
      </c>
      <c r="AD606" s="36" t="s">
        <v>46</v>
      </c>
      <c r="AE606" s="36">
        <v>34</v>
      </c>
      <c r="AF606" s="71">
        <v>11.8</v>
      </c>
      <c r="AG606" s="37">
        <v>0</v>
      </c>
      <c r="AH606" s="37">
        <v>0</v>
      </c>
      <c r="AI606" s="37">
        <v>100</v>
      </c>
      <c r="AJ606" s="37">
        <v>2</v>
      </c>
      <c r="AK606" s="37" t="str">
        <f>VLOOKUP(Mecze[[#This Row],[Match ID]],Meczusie[Mecz]:Meczusie[RodzajMeczu],2,FALSE)</f>
        <v>Liga</v>
      </c>
    </row>
    <row r="607" spans="1:37" x14ac:dyDescent="0.25">
      <c r="A607" s="76">
        <v>1</v>
      </c>
      <c r="B607" s="3" t="s">
        <v>320</v>
      </c>
      <c r="C607" s="2" t="s">
        <v>155</v>
      </c>
      <c r="D607" s="1">
        <v>0</v>
      </c>
      <c r="E607" s="1">
        <v>0</v>
      </c>
      <c r="F607" s="1">
        <v>0</v>
      </c>
      <c r="G607" s="1">
        <v>14</v>
      </c>
      <c r="H607" s="4">
        <v>0.71</v>
      </c>
      <c r="I607" s="1">
        <v>0</v>
      </c>
      <c r="J607" s="4"/>
      <c r="K607" s="1">
        <v>13</v>
      </c>
      <c r="L607" s="1">
        <v>0</v>
      </c>
      <c r="M607" s="32">
        <f>IF(Mecze[[#This Row],[PR]]=0,0,Mecze[[#This Row],[PR]]/Mecze[[#This Row],[CZAS]])</f>
        <v>0</v>
      </c>
      <c r="N607" s="32">
        <f>IF(Mecze[[#This Row],[OU]]=0,0,Mecze[[#This Row],[OU]]/Mecze[[#This Row],[CZAS]])</f>
        <v>0</v>
      </c>
      <c r="O607" s="32">
        <f>IF(Mecze[[#This Row],[PC]]=0,0,Mecze[[#This Row],[PC]]/Mecze[[#This Row],[CZAS]])</f>
        <v>0.10204081632653061</v>
      </c>
      <c r="P607" s="32">
        <f>IF(Mecze[[#This Row],[SC]]=0,0,Mecze[[#This Row],[SC]]/Mecze[[#This Row],[CZAS]])</f>
        <v>0</v>
      </c>
      <c r="Q607" s="32">
        <f>IF(Mecze[[#This Row],[OB]]=0,0,Mecze[[#This Row],[OB]]/Mecze[[#This Row],[CZAS]])</f>
        <v>0.1326530612244898</v>
      </c>
      <c r="R607" s="32">
        <f>IF(Mecze[[#This Row],[BR]]=0,0,Mecze[[#This Row],[BR]]/Mecze[[#This Row],[CZAS]])</f>
        <v>0</v>
      </c>
      <c r="S607" s="44">
        <f>IF(Mecze[[#This Row],[Role]]="BR",SUMPRODUCT(Mecze[[#This Row],[/PR:90]:[/BR:90]],Brudnopis!$E$23:$J$23),0)</f>
        <v>0.70408163265306123</v>
      </c>
      <c r="T607" s="44">
        <f>IF(Mecze[[#This Row],[Role]]&lt;&gt;"BR",SUMPRODUCT(Mecze[[#This Row],[/PR:90]:[/BR:90]],Brudnopis!$E$24:$J$24),0)</f>
        <v>0</v>
      </c>
      <c r="U607" s="44">
        <f>IF(Mecze[[#This Row],[Role]]&lt;&gt;"BR",SUMPRODUCT(Mecze[[#This Row],[/PR:90]:[/BR:90]],Brudnopis!$E$25:$J$25),0)</f>
        <v>0</v>
      </c>
      <c r="V607" s="44">
        <f>IF(Mecze[[#This Row],[Role]]&lt;&gt;"BR",SUMPRODUCT(Mecze[[#This Row],[/PR:90]:[/BR:90]],Brudnopis!$E$26:$J$26),0)</f>
        <v>0</v>
      </c>
      <c r="W607" s="44">
        <f>IF(Mecze[[#This Row],[Role]]&lt;&gt;"BR",SUMPRODUCT(Mecze[[#This Row],[/PR:90]:[/BR:90]],Brudnopis!$E$27:$J$27),0)</f>
        <v>0</v>
      </c>
      <c r="X607" s="44">
        <f>IF(Mecze[[#This Row],[Role]]&lt;&gt;"BR",SUMPRODUCT(Mecze[[#This Row],[/PR:90]:[/BR:90]],Brudnopis!$E$28:$J$28),0)</f>
        <v>0</v>
      </c>
      <c r="Y607" s="35">
        <f>IF(Mecze[[#This Row],[Role]]="BR",Mecze[[#This Row],[/OB:90]]+Mecze[[#This Row],[/PC:90]],SUM(Mecze[[#This Row],[/PR:90]:[/BR:90]]))</f>
        <v>0.23469387755102042</v>
      </c>
      <c r="Z607" s="35">
        <f>IF(Mecze[[#This Row],[KC]]=0,SUM(Mecze[[#This Row],[/BRI]:[/NPI]]),SUM(Mecze[[#This Row],[/BRI]:[/NPI]])*0.6)</f>
        <v>0.70408163265306123</v>
      </c>
      <c r="AA607" s="10">
        <f>IFERROR(Mecze[[#This Row],[BR]]/Mecze[[#This Row],[ST]],0)</f>
        <v>0</v>
      </c>
      <c r="AB607">
        <f>ROUND(Mecze[[#This Row],[PD]]*Mecze[[#This Row],[%PC]],0)</f>
        <v>10</v>
      </c>
      <c r="AC607">
        <f>ROUND(Mecze[[#This Row],[OD]]*Mecze[[#This Row],[%OU]],0)</f>
        <v>0</v>
      </c>
      <c r="AD607" s="36" t="s">
        <v>40</v>
      </c>
      <c r="AE607" s="36">
        <v>35</v>
      </c>
      <c r="AF607" s="71">
        <v>8.58</v>
      </c>
      <c r="AG607" s="37">
        <v>0</v>
      </c>
      <c r="AH607" s="37">
        <v>0</v>
      </c>
      <c r="AI607" s="37">
        <v>98</v>
      </c>
      <c r="AJ607" s="37">
        <v>11</v>
      </c>
      <c r="AK607" s="37" t="str">
        <f>VLOOKUP(Mecze[[#This Row],[Match ID]],Meczusie[Mecz]:Meczusie[RodzajMeczu],2,FALSE)</f>
        <v>Liga</v>
      </c>
    </row>
    <row r="608" spans="1:37" x14ac:dyDescent="0.25">
      <c r="A608" s="76">
        <v>4</v>
      </c>
      <c r="B608" s="3" t="s">
        <v>321</v>
      </c>
      <c r="C608" s="2" t="s">
        <v>157</v>
      </c>
      <c r="D608" s="1">
        <v>0</v>
      </c>
      <c r="E608" s="1">
        <v>0</v>
      </c>
      <c r="F608" s="1">
        <v>0</v>
      </c>
      <c r="G608" s="1">
        <v>9</v>
      </c>
      <c r="H608" s="4">
        <v>0.67</v>
      </c>
      <c r="I608" s="1">
        <v>3</v>
      </c>
      <c r="J608" s="4">
        <v>0.67</v>
      </c>
      <c r="K608" s="1">
        <v>0</v>
      </c>
      <c r="L608" s="1">
        <v>5</v>
      </c>
      <c r="M608" s="32">
        <f>IF(Mecze[[#This Row],[PR]]=0,0,Mecze[[#This Row],[PR]]/Mecze[[#This Row],[CZAS]])</f>
        <v>5.1020408163265307E-2</v>
      </c>
      <c r="N608" s="32">
        <f>IF(Mecze[[#This Row],[OU]]=0,0,Mecze[[#This Row],[OU]]/Mecze[[#This Row],[CZAS]])</f>
        <v>2.0408163265306121E-2</v>
      </c>
      <c r="O608" s="32">
        <f>IF(Mecze[[#This Row],[PC]]=0,0,Mecze[[#This Row],[PC]]/Mecze[[#This Row],[CZAS]])</f>
        <v>6.1224489795918366E-2</v>
      </c>
      <c r="P608" s="32">
        <f>IF(Mecze[[#This Row],[SC]]=0,0,Mecze[[#This Row],[SC]]/Mecze[[#This Row],[CZAS]])</f>
        <v>0</v>
      </c>
      <c r="Q608" s="32">
        <f>IF(Mecze[[#This Row],[OB]]=0,0,Mecze[[#This Row],[OB]]/Mecze[[#This Row],[CZAS]])</f>
        <v>0</v>
      </c>
      <c r="R608" s="32">
        <f>IF(Mecze[[#This Row],[BR]]=0,0,Mecze[[#This Row],[BR]]/Mecze[[#This Row],[CZAS]])</f>
        <v>0</v>
      </c>
      <c r="S608" s="44">
        <f>IF(Mecze[[#This Row],[Role]]="BR",SUMPRODUCT(Mecze[[#This Row],[/PR:90]:[/BR:90]],Brudnopis!$E$23:$J$23),0)</f>
        <v>0</v>
      </c>
      <c r="T608" s="44">
        <f>IF(Mecze[[#This Row],[Role]]&lt;&gt;"BR",SUMPRODUCT(Mecze[[#This Row],[/PR:90]:[/BR:90]],Brudnopis!$E$24:$J$24),0)</f>
        <v>0.14285714285714285</v>
      </c>
      <c r="U608" s="44">
        <f>IF(Mecze[[#This Row],[Role]]&lt;&gt;"BR",SUMPRODUCT(Mecze[[#This Row],[/PR:90]:[/BR:90]],Brudnopis!$E$25:$J$25),0)</f>
        <v>0.16326530612244897</v>
      </c>
      <c r="V608" s="44">
        <f>IF(Mecze[[#This Row],[Role]]&lt;&gt;"BR",SUMPRODUCT(Mecze[[#This Row],[/PR:90]:[/BR:90]],Brudnopis!$E$26:$J$26),0)</f>
        <v>0.13265306122448978</v>
      </c>
      <c r="W608" s="44">
        <f>IF(Mecze[[#This Row],[Role]]&lt;&gt;"BR",SUMPRODUCT(Mecze[[#This Row],[/PR:90]:[/BR:90]],Brudnopis!$E$27:$J$27),0)</f>
        <v>0.14540816326530612</v>
      </c>
      <c r="X608" s="44">
        <f>IF(Mecze[[#This Row],[Role]]&lt;&gt;"BR",SUMPRODUCT(Mecze[[#This Row],[/PR:90]:[/BR:90]],Brudnopis!$E$28:$J$28),0)</f>
        <v>6.1224489795918366E-2</v>
      </c>
      <c r="Y608" s="35">
        <f>IF(Mecze[[#This Row],[Role]]="BR",Mecze[[#This Row],[/OB:90]]+Mecze[[#This Row],[/PC:90]],SUM(Mecze[[#This Row],[/PR:90]:[/BR:90]]))</f>
        <v>0.13265306122448978</v>
      </c>
      <c r="Z608" s="35">
        <f>IF(Mecze[[#This Row],[KC]]=0,SUM(Mecze[[#This Row],[/BRI]:[/NPI]]),SUM(Mecze[[#This Row],[/BRI]:[/NPI]])*0.6)</f>
        <v>0.64540816326530603</v>
      </c>
      <c r="AA608" s="10">
        <f>IFERROR(Mecze[[#This Row],[BR]]/Mecze[[#This Row],[ST]],0)</f>
        <v>0</v>
      </c>
      <c r="AB608">
        <f>ROUND(Mecze[[#This Row],[PD]]*Mecze[[#This Row],[%PC]],0)</f>
        <v>6</v>
      </c>
      <c r="AC608">
        <f>ROUND(Mecze[[#This Row],[OD]]*Mecze[[#This Row],[%OU]],0)</f>
        <v>2</v>
      </c>
      <c r="AD608" s="36" t="s">
        <v>47</v>
      </c>
      <c r="AE608" s="36">
        <v>35</v>
      </c>
      <c r="AF608" s="71">
        <v>4.9800000000000004</v>
      </c>
      <c r="AG608" s="37">
        <v>0</v>
      </c>
      <c r="AH608" s="37">
        <v>0</v>
      </c>
      <c r="AI608" s="37">
        <v>98</v>
      </c>
      <c r="AJ608" s="37">
        <v>11</v>
      </c>
      <c r="AK608" s="37" t="str">
        <f>VLOOKUP(Mecze[[#This Row],[Match ID]],Meczusie[Mecz]:Meczusie[RodzajMeczu],2,FALSE)</f>
        <v>Liga</v>
      </c>
    </row>
    <row r="609" spans="1:37" x14ac:dyDescent="0.25">
      <c r="A609" s="76">
        <v>7</v>
      </c>
      <c r="B609" s="3" t="s">
        <v>322</v>
      </c>
      <c r="C609" s="2" t="s">
        <v>157</v>
      </c>
      <c r="D609" s="1">
        <v>0</v>
      </c>
      <c r="E609" s="1">
        <v>0</v>
      </c>
      <c r="F609" s="1">
        <v>0</v>
      </c>
      <c r="G609" s="1">
        <v>5</v>
      </c>
      <c r="H609" s="4">
        <v>0.8</v>
      </c>
      <c r="I609" s="1">
        <v>8</v>
      </c>
      <c r="J609" s="4">
        <v>0.38</v>
      </c>
      <c r="K609" s="1">
        <v>0</v>
      </c>
      <c r="L609" s="1">
        <v>5</v>
      </c>
      <c r="M609" s="32">
        <f>IF(Mecze[[#This Row],[PR]]=0,0,Mecze[[#This Row],[PR]]/Mecze[[#This Row],[CZAS]])</f>
        <v>5.1020408163265307E-2</v>
      </c>
      <c r="N609" s="32">
        <f>IF(Mecze[[#This Row],[OU]]=0,0,Mecze[[#This Row],[OU]]/Mecze[[#This Row],[CZAS]])</f>
        <v>3.0612244897959183E-2</v>
      </c>
      <c r="O609" s="32">
        <f>IF(Mecze[[#This Row],[PC]]=0,0,Mecze[[#This Row],[PC]]/Mecze[[#This Row],[CZAS]])</f>
        <v>4.0816326530612242E-2</v>
      </c>
      <c r="P609" s="32">
        <f>IF(Mecze[[#This Row],[SC]]=0,0,Mecze[[#This Row],[SC]]/Mecze[[#This Row],[CZAS]])</f>
        <v>0</v>
      </c>
      <c r="Q609" s="32">
        <f>IF(Mecze[[#This Row],[OB]]=0,0,Mecze[[#This Row],[OB]]/Mecze[[#This Row],[CZAS]])</f>
        <v>0</v>
      </c>
      <c r="R609" s="32">
        <f>IF(Mecze[[#This Row],[BR]]=0,0,Mecze[[#This Row],[BR]]/Mecze[[#This Row],[CZAS]])</f>
        <v>0</v>
      </c>
      <c r="S609" s="44">
        <f>IF(Mecze[[#This Row],[Role]]="BR",SUMPRODUCT(Mecze[[#This Row],[/PR:90]:[/BR:90]],Brudnopis!$E$23:$J$23),0)</f>
        <v>0</v>
      </c>
      <c r="T609" s="44">
        <f>IF(Mecze[[#This Row],[Role]]&lt;&gt;"BR",SUMPRODUCT(Mecze[[#This Row],[/PR:90]:[/BR:90]],Brudnopis!$E$24:$J$24),0)</f>
        <v>0.13775510204081631</v>
      </c>
      <c r="U609" s="44">
        <f>IF(Mecze[[#This Row],[Role]]&lt;&gt;"BR",SUMPRODUCT(Mecze[[#This Row],[/PR:90]:[/BR:90]],Brudnopis!$E$25:$J$25),0)</f>
        <v>0.14285714285714285</v>
      </c>
      <c r="V609" s="44">
        <f>IF(Mecze[[#This Row],[Role]]&lt;&gt;"BR",SUMPRODUCT(Mecze[[#This Row],[/PR:90]:[/BR:90]],Brudnopis!$E$26:$J$26),0)</f>
        <v>0.12244897959183673</v>
      </c>
      <c r="W609" s="44">
        <f>IF(Mecze[[#This Row],[Role]]&lt;&gt;"BR",SUMPRODUCT(Mecze[[#This Row],[/PR:90]:[/BR:90]],Brudnopis!$E$27:$J$27),0)</f>
        <v>0.12244897959183673</v>
      </c>
      <c r="X609" s="44">
        <f>IF(Mecze[[#This Row],[Role]]&lt;&gt;"BR",SUMPRODUCT(Mecze[[#This Row],[/PR:90]:[/BR:90]],Brudnopis!$E$28:$J$28),0)</f>
        <v>4.0816326530612242E-2</v>
      </c>
      <c r="Y609" s="35">
        <f>IF(Mecze[[#This Row],[Role]]="BR",Mecze[[#This Row],[/OB:90]]+Mecze[[#This Row],[/PC:90]],SUM(Mecze[[#This Row],[/PR:90]:[/BR:90]]))</f>
        <v>0.12244897959183673</v>
      </c>
      <c r="Z609" s="35">
        <f>IF(Mecze[[#This Row],[KC]]=0,SUM(Mecze[[#This Row],[/BRI]:[/NPI]]),SUM(Mecze[[#This Row],[/BRI]:[/NPI]])*0.6)</f>
        <v>0.56632653061224492</v>
      </c>
      <c r="AA609" s="10">
        <f>IFERROR(Mecze[[#This Row],[BR]]/Mecze[[#This Row],[ST]],0)</f>
        <v>0</v>
      </c>
      <c r="AB609">
        <f>ROUND(Mecze[[#This Row],[PD]]*Mecze[[#This Row],[%PC]],0)</f>
        <v>4</v>
      </c>
      <c r="AC609">
        <f>ROUND(Mecze[[#This Row],[OD]]*Mecze[[#This Row],[%OU]],0)</f>
        <v>3</v>
      </c>
      <c r="AD609" s="36" t="s">
        <v>47</v>
      </c>
      <c r="AE609" s="36">
        <v>35</v>
      </c>
      <c r="AF609" s="71">
        <v>3.86</v>
      </c>
      <c r="AG609" s="37">
        <v>0</v>
      </c>
      <c r="AH609" s="37">
        <v>0</v>
      </c>
      <c r="AI609" s="37">
        <v>98</v>
      </c>
      <c r="AJ609" s="37">
        <v>11</v>
      </c>
      <c r="AK609" s="37" t="str">
        <f>VLOOKUP(Mecze[[#This Row],[Match ID]],Meczusie[Mecz]:Meczusie[RodzajMeczu],2,FALSE)</f>
        <v>Liga</v>
      </c>
    </row>
    <row r="610" spans="1:37" x14ac:dyDescent="0.25">
      <c r="A610" s="76">
        <v>2</v>
      </c>
      <c r="B610" s="3" t="s">
        <v>392</v>
      </c>
      <c r="C610" s="2" t="s">
        <v>157</v>
      </c>
      <c r="D610" s="1">
        <v>0</v>
      </c>
      <c r="E610" s="1">
        <v>0</v>
      </c>
      <c r="F610" s="1">
        <v>0</v>
      </c>
      <c r="G610" s="1">
        <v>2</v>
      </c>
      <c r="H610" s="4">
        <v>0.5</v>
      </c>
      <c r="I610" s="1">
        <v>1</v>
      </c>
      <c r="J610" s="4">
        <v>1</v>
      </c>
      <c r="K610" s="1">
        <v>0</v>
      </c>
      <c r="L610" s="1">
        <v>3</v>
      </c>
      <c r="M610" s="32">
        <f>IF(Mecze[[#This Row],[PR]]=0,0,Mecze[[#This Row],[PR]]/Mecze[[#This Row],[CZAS]])</f>
        <v>3.0612244897959183E-2</v>
      </c>
      <c r="N610" s="32">
        <f>IF(Mecze[[#This Row],[OU]]=0,0,Mecze[[#This Row],[OU]]/Mecze[[#This Row],[CZAS]])</f>
        <v>1.020408163265306E-2</v>
      </c>
      <c r="O610" s="32">
        <f>IF(Mecze[[#This Row],[PC]]=0,0,Mecze[[#This Row],[PC]]/Mecze[[#This Row],[CZAS]])</f>
        <v>1.020408163265306E-2</v>
      </c>
      <c r="P610" s="32">
        <f>IF(Mecze[[#This Row],[SC]]=0,0,Mecze[[#This Row],[SC]]/Mecze[[#This Row],[CZAS]])</f>
        <v>0</v>
      </c>
      <c r="Q610" s="32">
        <f>IF(Mecze[[#This Row],[OB]]=0,0,Mecze[[#This Row],[OB]]/Mecze[[#This Row],[CZAS]])</f>
        <v>0</v>
      </c>
      <c r="R610" s="32">
        <f>IF(Mecze[[#This Row],[BR]]=0,0,Mecze[[#This Row],[BR]]/Mecze[[#This Row],[CZAS]])</f>
        <v>0</v>
      </c>
      <c r="S610" s="44">
        <f>IF(Mecze[[#This Row],[Role]]="BR",SUMPRODUCT(Mecze[[#This Row],[/PR:90]:[/BR:90]],Brudnopis!$E$23:$J$23),0)</f>
        <v>0</v>
      </c>
      <c r="T610" s="44">
        <f>IF(Mecze[[#This Row],[Role]]&lt;&gt;"BR",SUMPRODUCT(Mecze[[#This Row],[/PR:90]:[/BR:90]],Brudnopis!$E$24:$J$24),0)</f>
        <v>5.612244897959183E-2</v>
      </c>
      <c r="U610" s="44">
        <f>IF(Mecze[[#This Row],[Role]]&lt;&gt;"BR",SUMPRODUCT(Mecze[[#This Row],[/PR:90]:[/BR:90]],Brudnopis!$E$25:$J$25),0)</f>
        <v>5.612244897959183E-2</v>
      </c>
      <c r="V610" s="44">
        <f>IF(Mecze[[#This Row],[Role]]&lt;&gt;"BR",SUMPRODUCT(Mecze[[#This Row],[/PR:90]:[/BR:90]],Brudnopis!$E$26:$J$26),0)</f>
        <v>5.10204081632653E-2</v>
      </c>
      <c r="W610" s="44">
        <f>IF(Mecze[[#This Row],[Role]]&lt;&gt;"BR",SUMPRODUCT(Mecze[[#This Row],[/PR:90]:[/BR:90]],Brudnopis!$E$27:$J$27),0)</f>
        <v>4.5918367346938771E-2</v>
      </c>
      <c r="X610" s="44">
        <f>IF(Mecze[[#This Row],[Role]]&lt;&gt;"BR",SUMPRODUCT(Mecze[[#This Row],[/PR:90]:[/BR:90]],Brudnopis!$E$28:$J$28),0)</f>
        <v>1.020408163265306E-2</v>
      </c>
      <c r="Y610" s="35">
        <f>IF(Mecze[[#This Row],[Role]]="BR",Mecze[[#This Row],[/OB:90]]+Mecze[[#This Row],[/PC:90]],SUM(Mecze[[#This Row],[/PR:90]:[/BR:90]]))</f>
        <v>5.10204081632653E-2</v>
      </c>
      <c r="Z610" s="35">
        <f>IF(Mecze[[#This Row],[KC]]=0,SUM(Mecze[[#This Row],[/BRI]:[/NPI]]),SUM(Mecze[[#This Row],[/BRI]:[/NPI]])*0.6)</f>
        <v>0.21938775510204081</v>
      </c>
      <c r="AA610" s="10">
        <f>IFERROR(Mecze[[#This Row],[BR]]/Mecze[[#This Row],[ST]],0)</f>
        <v>0</v>
      </c>
      <c r="AB610">
        <f>ROUND(Mecze[[#This Row],[PD]]*Mecze[[#This Row],[%PC]],0)</f>
        <v>1</v>
      </c>
      <c r="AC610">
        <f>ROUND(Mecze[[#This Row],[OD]]*Mecze[[#This Row],[%OU]],0)</f>
        <v>1</v>
      </c>
      <c r="AD610" s="36" t="s">
        <v>175</v>
      </c>
      <c r="AE610" s="36">
        <v>35</v>
      </c>
      <c r="AF610" s="71">
        <v>3.44</v>
      </c>
      <c r="AG610" s="37">
        <v>0</v>
      </c>
      <c r="AH610" s="37">
        <v>0</v>
      </c>
      <c r="AI610" s="37">
        <v>98</v>
      </c>
      <c r="AJ610" s="37">
        <v>11</v>
      </c>
      <c r="AK610" s="37" t="str">
        <f>VLOOKUP(Mecze[[#This Row],[Match ID]],Meczusie[Mecz]:Meczusie[RodzajMeczu],2,FALSE)</f>
        <v>Liga</v>
      </c>
    </row>
    <row r="611" spans="1:37" x14ac:dyDescent="0.25">
      <c r="A611" s="76">
        <v>6</v>
      </c>
      <c r="B611" s="3" t="s">
        <v>324</v>
      </c>
      <c r="C611" s="2" t="s">
        <v>157</v>
      </c>
      <c r="D611" s="1">
        <v>0</v>
      </c>
      <c r="E611" s="1">
        <v>0</v>
      </c>
      <c r="F611" s="1">
        <v>0</v>
      </c>
      <c r="G611" s="1">
        <v>3</v>
      </c>
      <c r="H611" s="4">
        <v>0.33</v>
      </c>
      <c r="I611" s="1">
        <v>2</v>
      </c>
      <c r="J611" s="4">
        <v>1</v>
      </c>
      <c r="K611" s="1">
        <v>0</v>
      </c>
      <c r="L611" s="1">
        <v>5</v>
      </c>
      <c r="M611" s="32">
        <f>IF(Mecze[[#This Row],[PR]]=0,0,Mecze[[#This Row],[PR]]/Mecze[[#This Row],[CZAS]])</f>
        <v>5.1020408163265307E-2</v>
      </c>
      <c r="N611" s="32">
        <f>IF(Mecze[[#This Row],[OU]]=0,0,Mecze[[#This Row],[OU]]/Mecze[[#This Row],[CZAS]])</f>
        <v>2.0408163265306121E-2</v>
      </c>
      <c r="O611" s="32">
        <f>IF(Mecze[[#This Row],[PC]]=0,0,Mecze[[#This Row],[PC]]/Mecze[[#This Row],[CZAS]])</f>
        <v>1.020408163265306E-2</v>
      </c>
      <c r="P611" s="32">
        <f>IF(Mecze[[#This Row],[SC]]=0,0,Mecze[[#This Row],[SC]]/Mecze[[#This Row],[CZAS]])</f>
        <v>0</v>
      </c>
      <c r="Q611" s="32">
        <f>IF(Mecze[[#This Row],[OB]]=0,0,Mecze[[#This Row],[OB]]/Mecze[[#This Row],[CZAS]])</f>
        <v>0</v>
      </c>
      <c r="R611" s="32">
        <f>IF(Mecze[[#This Row],[BR]]=0,0,Mecze[[#This Row],[BR]]/Mecze[[#This Row],[CZAS]])</f>
        <v>0</v>
      </c>
      <c r="S611" s="44">
        <f>IF(Mecze[[#This Row],[Role]]="BR",SUMPRODUCT(Mecze[[#This Row],[/PR:90]:[/BR:90]],Brudnopis!$E$23:$J$23),0)</f>
        <v>0</v>
      </c>
      <c r="T611" s="44">
        <f>IF(Mecze[[#This Row],[Role]]&lt;&gt;"BR",SUMPRODUCT(Mecze[[#This Row],[/PR:90]:[/BR:90]],Brudnopis!$E$24:$J$24),0)</f>
        <v>9.1836734693877556E-2</v>
      </c>
      <c r="U611" s="44">
        <f>IF(Mecze[[#This Row],[Role]]&lt;&gt;"BR",SUMPRODUCT(Mecze[[#This Row],[/PR:90]:[/BR:90]],Brudnopis!$E$25:$J$25),0)</f>
        <v>8.673469387755102E-2</v>
      </c>
      <c r="V611" s="44">
        <f>IF(Mecze[[#This Row],[Role]]&lt;&gt;"BR",SUMPRODUCT(Mecze[[#This Row],[/PR:90]:[/BR:90]],Brudnopis!$E$26:$J$26),0)</f>
        <v>8.1632653061224483E-2</v>
      </c>
      <c r="W611" s="44">
        <f>IF(Mecze[[#This Row],[Role]]&lt;&gt;"BR",SUMPRODUCT(Mecze[[#This Row],[/PR:90]:[/BR:90]],Brudnopis!$E$27:$J$27),0)</f>
        <v>6.887755102040817E-2</v>
      </c>
      <c r="X611" s="44">
        <f>IF(Mecze[[#This Row],[Role]]&lt;&gt;"BR",SUMPRODUCT(Mecze[[#This Row],[/PR:90]:[/BR:90]],Brudnopis!$E$28:$J$28),0)</f>
        <v>1.020408163265306E-2</v>
      </c>
      <c r="Y611" s="35">
        <f>IF(Mecze[[#This Row],[Role]]="BR",Mecze[[#This Row],[/OB:90]]+Mecze[[#This Row],[/PC:90]],SUM(Mecze[[#This Row],[/PR:90]:[/BR:90]]))</f>
        <v>8.1632653061224483E-2</v>
      </c>
      <c r="Z611" s="35">
        <f>IF(Mecze[[#This Row],[KC]]=0,SUM(Mecze[[#This Row],[/BRI]:[/NPI]]),SUM(Mecze[[#This Row],[/BRI]:[/NPI]])*0.6)</f>
        <v>0.3392857142857143</v>
      </c>
      <c r="AA611" s="10">
        <f>IFERROR(Mecze[[#This Row],[BR]]/Mecze[[#This Row],[ST]],0)</f>
        <v>0</v>
      </c>
      <c r="AB611">
        <f>ROUND(Mecze[[#This Row],[PD]]*Mecze[[#This Row],[%PC]],0)</f>
        <v>1</v>
      </c>
      <c r="AC611">
        <f>ROUND(Mecze[[#This Row],[OD]]*Mecze[[#This Row],[%OU]],0)</f>
        <v>2</v>
      </c>
      <c r="AD611" s="36" t="s">
        <v>174</v>
      </c>
      <c r="AE611" s="36">
        <v>35</v>
      </c>
      <c r="AF611" s="71">
        <v>3.86</v>
      </c>
      <c r="AG611" s="37">
        <v>0</v>
      </c>
      <c r="AH611" s="37">
        <v>0</v>
      </c>
      <c r="AI611" s="37">
        <v>98</v>
      </c>
      <c r="AJ611" s="37">
        <v>11</v>
      </c>
      <c r="AK611" s="37" t="str">
        <f>VLOOKUP(Mecze[[#This Row],[Match ID]],Meczusie[Mecz]:Meczusie[RodzajMeczu],2,FALSE)</f>
        <v>Liga</v>
      </c>
    </row>
    <row r="612" spans="1:37" x14ac:dyDescent="0.25">
      <c r="A612" s="76">
        <v>5</v>
      </c>
      <c r="B612" s="3" t="s">
        <v>325</v>
      </c>
      <c r="C612" s="2" t="s">
        <v>160</v>
      </c>
      <c r="D612" s="1">
        <v>0</v>
      </c>
      <c r="E612" s="1">
        <v>0</v>
      </c>
      <c r="F612" s="1">
        <v>0</v>
      </c>
      <c r="G612" s="1">
        <v>13</v>
      </c>
      <c r="H612" s="4">
        <v>0.69</v>
      </c>
      <c r="I612" s="1">
        <v>6</v>
      </c>
      <c r="J612" s="4">
        <v>0.5</v>
      </c>
      <c r="K612" s="1">
        <v>0</v>
      </c>
      <c r="L612" s="1">
        <v>4</v>
      </c>
      <c r="M612" s="32">
        <f>IF(Mecze[[#This Row],[PR]]=0,0,Mecze[[#This Row],[PR]]/Mecze[[#This Row],[CZAS]])</f>
        <v>4.0816326530612242E-2</v>
      </c>
      <c r="N612" s="32">
        <f>IF(Mecze[[#This Row],[OU]]=0,0,Mecze[[#This Row],[OU]]/Mecze[[#This Row],[CZAS]])</f>
        <v>3.0612244897959183E-2</v>
      </c>
      <c r="O612" s="32">
        <f>IF(Mecze[[#This Row],[PC]]=0,0,Mecze[[#This Row],[PC]]/Mecze[[#This Row],[CZAS]])</f>
        <v>9.1836734693877556E-2</v>
      </c>
      <c r="P612" s="32">
        <f>IF(Mecze[[#This Row],[SC]]=0,0,Mecze[[#This Row],[SC]]/Mecze[[#This Row],[CZAS]])</f>
        <v>0</v>
      </c>
      <c r="Q612" s="32">
        <f>IF(Mecze[[#This Row],[OB]]=0,0,Mecze[[#This Row],[OB]]/Mecze[[#This Row],[CZAS]])</f>
        <v>0</v>
      </c>
      <c r="R612" s="32">
        <f>IF(Mecze[[#This Row],[BR]]=0,0,Mecze[[#This Row],[BR]]/Mecze[[#This Row],[CZAS]])</f>
        <v>0</v>
      </c>
      <c r="S612" s="44">
        <f>IF(Mecze[[#This Row],[Role]]="BR",SUMPRODUCT(Mecze[[#This Row],[/PR:90]:[/BR:90]],Brudnopis!$E$23:$J$23),0)</f>
        <v>0</v>
      </c>
      <c r="T612" s="44">
        <f>IF(Mecze[[#This Row],[Role]]&lt;&gt;"BR",SUMPRODUCT(Mecze[[#This Row],[/PR:90]:[/BR:90]],Brudnopis!$E$24:$J$24),0)</f>
        <v>0.17857142857142855</v>
      </c>
      <c r="U612" s="44">
        <f>IF(Mecze[[#This Row],[Role]]&lt;&gt;"BR",SUMPRODUCT(Mecze[[#This Row],[/PR:90]:[/BR:90]],Brudnopis!$E$25:$J$25),0)</f>
        <v>0.20918367346938777</v>
      </c>
      <c r="V612" s="44">
        <f>IF(Mecze[[#This Row],[Role]]&lt;&gt;"BR",SUMPRODUCT(Mecze[[#This Row],[/PR:90]:[/BR:90]],Brudnopis!$E$26:$J$26),0)</f>
        <v>0.16326530612244899</v>
      </c>
      <c r="W612" s="44">
        <f>IF(Mecze[[#This Row],[Role]]&lt;&gt;"BR",SUMPRODUCT(Mecze[[#This Row],[/PR:90]:[/BR:90]],Brudnopis!$E$27:$J$27),0)</f>
        <v>0.19132653061224492</v>
      </c>
      <c r="X612" s="44">
        <f>IF(Mecze[[#This Row],[Role]]&lt;&gt;"BR",SUMPRODUCT(Mecze[[#This Row],[/PR:90]:[/BR:90]],Brudnopis!$E$28:$J$28),0)</f>
        <v>9.1836734693877556E-2</v>
      </c>
      <c r="Y612" s="35">
        <f>IF(Mecze[[#This Row],[Role]]="BR",Mecze[[#This Row],[/OB:90]]+Mecze[[#This Row],[/PC:90]],SUM(Mecze[[#This Row],[/PR:90]:[/BR:90]]))</f>
        <v>0.16326530612244899</v>
      </c>
      <c r="Z612" s="35">
        <f>IF(Mecze[[#This Row],[KC]]=0,SUM(Mecze[[#This Row],[/BRI]:[/NPI]]),SUM(Mecze[[#This Row],[/BRI]:[/NPI]])*0.6)</f>
        <v>0.83418367346938771</v>
      </c>
      <c r="AA612" s="10">
        <f>IFERROR(Mecze[[#This Row],[BR]]/Mecze[[#This Row],[ST]],0)</f>
        <v>0</v>
      </c>
      <c r="AB612">
        <f>ROUND(Mecze[[#This Row],[PD]]*Mecze[[#This Row],[%PC]],0)</f>
        <v>9</v>
      </c>
      <c r="AC612">
        <f>ROUND(Mecze[[#This Row],[OD]]*Mecze[[#This Row],[%OU]],0)</f>
        <v>3</v>
      </c>
      <c r="AD612" s="36" t="s">
        <v>41</v>
      </c>
      <c r="AE612" s="36">
        <v>35</v>
      </c>
      <c r="AF612" s="71">
        <v>5.97</v>
      </c>
      <c r="AG612" s="37">
        <v>0</v>
      </c>
      <c r="AH612" s="37">
        <v>0</v>
      </c>
      <c r="AI612" s="37">
        <v>98</v>
      </c>
      <c r="AJ612" s="37">
        <v>11</v>
      </c>
      <c r="AK612" s="37" t="str">
        <f>VLOOKUP(Mecze[[#This Row],[Match ID]],Meczusie[Mecz]:Meczusie[RodzajMeczu],2,FALSE)</f>
        <v>Liga</v>
      </c>
    </row>
    <row r="613" spans="1:37" x14ac:dyDescent="0.25">
      <c r="A613" s="76">
        <v>8</v>
      </c>
      <c r="B613" s="3" t="s">
        <v>326</v>
      </c>
      <c r="C613" s="2" t="s">
        <v>160</v>
      </c>
      <c r="D613" s="1">
        <v>0</v>
      </c>
      <c r="E613" s="1">
        <v>0</v>
      </c>
      <c r="F613" s="1">
        <v>0</v>
      </c>
      <c r="G613" s="1">
        <v>6</v>
      </c>
      <c r="H613" s="4">
        <v>0.5</v>
      </c>
      <c r="I613" s="1">
        <v>2</v>
      </c>
      <c r="J613" s="4">
        <v>0</v>
      </c>
      <c r="K613" s="1">
        <v>0</v>
      </c>
      <c r="L613" s="1">
        <v>0</v>
      </c>
      <c r="M613" s="32">
        <f>IF(Mecze[[#This Row],[PR]]=0,0,Mecze[[#This Row],[PR]]/Mecze[[#This Row],[CZAS]])</f>
        <v>0</v>
      </c>
      <c r="N613" s="32">
        <f>IF(Mecze[[#This Row],[OU]]=0,0,Mecze[[#This Row],[OU]]/Mecze[[#This Row],[CZAS]])</f>
        <v>0</v>
      </c>
      <c r="O613" s="32">
        <f>IF(Mecze[[#This Row],[PC]]=0,0,Mecze[[#This Row],[PC]]/Mecze[[#This Row],[CZAS]])</f>
        <v>3.0612244897959183E-2</v>
      </c>
      <c r="P613" s="32">
        <f>IF(Mecze[[#This Row],[SC]]=0,0,Mecze[[#This Row],[SC]]/Mecze[[#This Row],[CZAS]])</f>
        <v>0</v>
      </c>
      <c r="Q613" s="32">
        <f>IF(Mecze[[#This Row],[OB]]=0,0,Mecze[[#This Row],[OB]]/Mecze[[#This Row],[CZAS]])</f>
        <v>0</v>
      </c>
      <c r="R613" s="32">
        <f>IF(Mecze[[#This Row],[BR]]=0,0,Mecze[[#This Row],[BR]]/Mecze[[#This Row],[CZAS]])</f>
        <v>0</v>
      </c>
      <c r="S613" s="44">
        <f>IF(Mecze[[#This Row],[Role]]="BR",SUMPRODUCT(Mecze[[#This Row],[/PR:90]:[/BR:90]],Brudnopis!$E$23:$J$23),0)</f>
        <v>0</v>
      </c>
      <c r="T613" s="44">
        <f>IF(Mecze[[#This Row],[Role]]&lt;&gt;"BR",SUMPRODUCT(Mecze[[#This Row],[/PR:90]:[/BR:90]],Brudnopis!$E$24:$J$24),0)</f>
        <v>3.0612244897959183E-2</v>
      </c>
      <c r="U613" s="44">
        <f>IF(Mecze[[#This Row],[Role]]&lt;&gt;"BR",SUMPRODUCT(Mecze[[#This Row],[/PR:90]:[/BR:90]],Brudnopis!$E$25:$J$25),0)</f>
        <v>4.5918367346938771E-2</v>
      </c>
      <c r="V613" s="44">
        <f>IF(Mecze[[#This Row],[Role]]&lt;&gt;"BR",SUMPRODUCT(Mecze[[#This Row],[/PR:90]:[/BR:90]],Brudnopis!$E$26:$J$26),0)</f>
        <v>3.0612244897959183E-2</v>
      </c>
      <c r="W613" s="44">
        <f>IF(Mecze[[#This Row],[Role]]&lt;&gt;"BR",SUMPRODUCT(Mecze[[#This Row],[/PR:90]:[/BR:90]],Brudnopis!$E$27:$J$27),0)</f>
        <v>4.5918367346938771E-2</v>
      </c>
      <c r="X613" s="44">
        <f>IF(Mecze[[#This Row],[Role]]&lt;&gt;"BR",SUMPRODUCT(Mecze[[#This Row],[/PR:90]:[/BR:90]],Brudnopis!$E$28:$J$28),0)</f>
        <v>3.0612244897959183E-2</v>
      </c>
      <c r="Y613" s="35">
        <f>IF(Mecze[[#This Row],[Role]]="BR",Mecze[[#This Row],[/OB:90]]+Mecze[[#This Row],[/PC:90]],SUM(Mecze[[#This Row],[/PR:90]:[/BR:90]]))</f>
        <v>3.0612244897959183E-2</v>
      </c>
      <c r="Z613" s="35">
        <f>IF(Mecze[[#This Row],[KC]]=0,SUM(Mecze[[#This Row],[/BRI]:[/NPI]]),SUM(Mecze[[#This Row],[/BRI]:[/NPI]])*0.6)</f>
        <v>0.18367346938775511</v>
      </c>
      <c r="AA613" s="10">
        <f>IFERROR(Mecze[[#This Row],[BR]]/Mecze[[#This Row],[ST]],0)</f>
        <v>0</v>
      </c>
      <c r="AB613">
        <f>ROUND(Mecze[[#This Row],[PD]]*Mecze[[#This Row],[%PC]],0)</f>
        <v>3</v>
      </c>
      <c r="AC613">
        <f>ROUND(Mecze[[#This Row],[OD]]*Mecze[[#This Row],[%OU]],0)</f>
        <v>0</v>
      </c>
      <c r="AD613" s="36" t="s">
        <v>318</v>
      </c>
      <c r="AE613" s="36">
        <v>35</v>
      </c>
      <c r="AF613" s="71">
        <v>5.13</v>
      </c>
      <c r="AG613" s="37">
        <v>0</v>
      </c>
      <c r="AH613" s="37">
        <v>0</v>
      </c>
      <c r="AI613" s="37">
        <v>98</v>
      </c>
      <c r="AJ613" s="37">
        <v>11</v>
      </c>
      <c r="AK613" s="37" t="str">
        <f>VLOOKUP(Mecze[[#This Row],[Match ID]],Meczusie[Mecz]:Meczusie[RodzajMeczu],2,FALSE)</f>
        <v>Liga</v>
      </c>
    </row>
    <row r="614" spans="1:37" x14ac:dyDescent="0.25">
      <c r="A614" s="76">
        <v>9</v>
      </c>
      <c r="B614" s="3" t="s">
        <v>327</v>
      </c>
      <c r="C614" s="2" t="s">
        <v>160</v>
      </c>
      <c r="D614" s="1">
        <v>1</v>
      </c>
      <c r="E614" s="1">
        <v>3</v>
      </c>
      <c r="F614" s="1">
        <v>3</v>
      </c>
      <c r="G614" s="1">
        <v>13</v>
      </c>
      <c r="H614" s="4">
        <v>0.77</v>
      </c>
      <c r="I614" s="1">
        <v>4</v>
      </c>
      <c r="J614" s="4">
        <v>0.5</v>
      </c>
      <c r="K614" s="1">
        <v>0</v>
      </c>
      <c r="L614" s="1">
        <v>3</v>
      </c>
      <c r="M614" s="32">
        <f>IF(Mecze[[#This Row],[PR]]=0,0,Mecze[[#This Row],[PR]]/Mecze[[#This Row],[CZAS]])</f>
        <v>3.0612244897959183E-2</v>
      </c>
      <c r="N614" s="32">
        <f>IF(Mecze[[#This Row],[OU]]=0,0,Mecze[[#This Row],[OU]]/Mecze[[#This Row],[CZAS]])</f>
        <v>2.0408163265306121E-2</v>
      </c>
      <c r="O614" s="32">
        <f>IF(Mecze[[#This Row],[PC]]=0,0,Mecze[[#This Row],[PC]]/Mecze[[#This Row],[CZAS]])</f>
        <v>0.10204081632653061</v>
      </c>
      <c r="P614" s="32">
        <f>IF(Mecze[[#This Row],[SC]]=0,0,Mecze[[#This Row],[SC]]/Mecze[[#This Row],[CZAS]])</f>
        <v>3.0612244897959183E-2</v>
      </c>
      <c r="Q614" s="32">
        <f>IF(Mecze[[#This Row],[OB]]=0,0,Mecze[[#This Row],[OB]]/Mecze[[#This Row],[CZAS]])</f>
        <v>0</v>
      </c>
      <c r="R614" s="32">
        <f>IF(Mecze[[#This Row],[BR]]=0,0,Mecze[[#This Row],[BR]]/Mecze[[#This Row],[CZAS]])</f>
        <v>1.020408163265306E-2</v>
      </c>
      <c r="S614" s="44">
        <f>IF(Mecze[[#This Row],[Role]]="BR",SUMPRODUCT(Mecze[[#This Row],[/PR:90]:[/BR:90]],Brudnopis!$E$23:$J$23),0)</f>
        <v>0</v>
      </c>
      <c r="T614" s="44">
        <f>IF(Mecze[[#This Row],[Role]]&lt;&gt;"BR",SUMPRODUCT(Mecze[[#This Row],[/PR:90]:[/BR:90]],Brudnopis!$E$24:$J$24),0)</f>
        <v>0.20918367346938777</v>
      </c>
      <c r="U614" s="44">
        <f>IF(Mecze[[#This Row],[Role]]&lt;&gt;"BR",SUMPRODUCT(Mecze[[#This Row],[/PR:90]:[/BR:90]],Brudnopis!$E$25:$J$25),0)</f>
        <v>0.25</v>
      </c>
      <c r="V614" s="44">
        <f>IF(Mecze[[#This Row],[Role]]&lt;&gt;"BR",SUMPRODUCT(Mecze[[#This Row],[/PR:90]:[/BR:90]],Brudnopis!$E$26:$J$26),0)</f>
        <v>0.20408163265306123</v>
      </c>
      <c r="W614" s="44">
        <f>IF(Mecze[[#This Row],[Role]]&lt;&gt;"BR",SUMPRODUCT(Mecze[[#This Row],[/PR:90]:[/BR:90]],Brudnopis!$E$27:$J$27),0)</f>
        <v>0.24234693877551022</v>
      </c>
      <c r="X614" s="44">
        <f>IF(Mecze[[#This Row],[Role]]&lt;&gt;"BR",SUMPRODUCT(Mecze[[#This Row],[/PR:90]:[/BR:90]],Brudnopis!$E$28:$J$28),0)</f>
        <v>0.19387755102040818</v>
      </c>
      <c r="Y614" s="35">
        <f>IF(Mecze[[#This Row],[Role]]="BR",Mecze[[#This Row],[/OB:90]]+Mecze[[#This Row],[/PC:90]],SUM(Mecze[[#This Row],[/PR:90]:[/BR:90]]))</f>
        <v>0.19387755102040818</v>
      </c>
      <c r="Z614" s="35">
        <f>IF(Mecze[[#This Row],[KC]]=0,SUM(Mecze[[#This Row],[/BRI]:[/NPI]]),SUM(Mecze[[#This Row],[/BRI]:[/NPI]])*0.6)</f>
        <v>1.0994897959183674</v>
      </c>
      <c r="AA614" s="10">
        <f>IFERROR(Mecze[[#This Row],[BR]]/Mecze[[#This Row],[ST]],0)</f>
        <v>0.33333333333333331</v>
      </c>
      <c r="AB614">
        <f>ROUND(Mecze[[#This Row],[PD]]*Mecze[[#This Row],[%PC]],0)</f>
        <v>10</v>
      </c>
      <c r="AC614">
        <f>ROUND(Mecze[[#This Row],[OD]]*Mecze[[#This Row],[%OU]],0)</f>
        <v>2</v>
      </c>
      <c r="AD614" s="36" t="s">
        <v>44</v>
      </c>
      <c r="AE614" s="36">
        <v>35</v>
      </c>
      <c r="AF614" s="71">
        <v>8.56</v>
      </c>
      <c r="AG614" s="37">
        <v>0</v>
      </c>
      <c r="AH614" s="37">
        <v>0</v>
      </c>
      <c r="AI614" s="37">
        <v>98</v>
      </c>
      <c r="AJ614" s="37">
        <v>11</v>
      </c>
      <c r="AK614" s="37" t="str">
        <f>VLOOKUP(Mecze[[#This Row],[Match ID]],Meczusie[Mecz]:Meczusie[RodzajMeczu],2,FALSE)</f>
        <v>Liga</v>
      </c>
    </row>
    <row r="615" spans="1:37" x14ac:dyDescent="0.25">
      <c r="A615" s="76">
        <v>10</v>
      </c>
      <c r="B615" s="3" t="s">
        <v>328</v>
      </c>
      <c r="C615" s="2" t="s">
        <v>165</v>
      </c>
      <c r="D615" s="1">
        <v>2</v>
      </c>
      <c r="E615" s="1">
        <v>4</v>
      </c>
      <c r="F615" s="1">
        <v>3</v>
      </c>
      <c r="G615" s="1">
        <v>9</v>
      </c>
      <c r="H615" s="4">
        <v>0.67</v>
      </c>
      <c r="I615" s="1">
        <v>2</v>
      </c>
      <c r="J615" s="4">
        <v>0</v>
      </c>
      <c r="K615" s="1">
        <v>0</v>
      </c>
      <c r="L615" s="1">
        <v>1</v>
      </c>
      <c r="M615" s="32">
        <f>IF(Mecze[[#This Row],[PR]]=0,0,Mecze[[#This Row],[PR]]/Mecze[[#This Row],[CZAS]])</f>
        <v>1.020408163265306E-2</v>
      </c>
      <c r="N615" s="32">
        <f>IF(Mecze[[#This Row],[OU]]=0,0,Mecze[[#This Row],[OU]]/Mecze[[#This Row],[CZAS]])</f>
        <v>0</v>
      </c>
      <c r="O615" s="32">
        <f>IF(Mecze[[#This Row],[PC]]=0,0,Mecze[[#This Row],[PC]]/Mecze[[#This Row],[CZAS]])</f>
        <v>6.1224489795918366E-2</v>
      </c>
      <c r="P615" s="32">
        <f>IF(Mecze[[#This Row],[SC]]=0,0,Mecze[[#This Row],[SC]]/Mecze[[#This Row],[CZAS]])</f>
        <v>3.0612244897959183E-2</v>
      </c>
      <c r="Q615" s="32">
        <f>IF(Mecze[[#This Row],[OB]]=0,0,Mecze[[#This Row],[OB]]/Mecze[[#This Row],[CZAS]])</f>
        <v>0</v>
      </c>
      <c r="R615" s="32">
        <f>IF(Mecze[[#This Row],[BR]]=0,0,Mecze[[#This Row],[BR]]/Mecze[[#This Row],[CZAS]])</f>
        <v>2.0408163265306121E-2</v>
      </c>
      <c r="S615" s="44">
        <f>IF(Mecze[[#This Row],[Role]]="BR",SUMPRODUCT(Mecze[[#This Row],[/PR:90]:[/BR:90]],Brudnopis!$E$23:$J$23),0)</f>
        <v>0</v>
      </c>
      <c r="T615" s="44">
        <f>IF(Mecze[[#This Row],[Role]]&lt;&gt;"BR",SUMPRODUCT(Mecze[[#This Row],[/PR:90]:[/BR:90]],Brudnopis!$E$24:$J$24),0)</f>
        <v>0.1326530612244898</v>
      </c>
      <c r="U615" s="44">
        <f>IF(Mecze[[#This Row],[Role]]&lt;&gt;"BR",SUMPRODUCT(Mecze[[#This Row],[/PR:90]:[/BR:90]],Brudnopis!$E$25:$J$25),0)</f>
        <v>0.16326530612244897</v>
      </c>
      <c r="V615" s="44">
        <f>IF(Mecze[[#This Row],[Role]]&lt;&gt;"BR",SUMPRODUCT(Mecze[[#This Row],[/PR:90]:[/BR:90]],Brudnopis!$E$26:$J$26),0)</f>
        <v>0.14285714285714285</v>
      </c>
      <c r="W615" s="44">
        <f>IF(Mecze[[#This Row],[Role]]&lt;&gt;"BR",SUMPRODUCT(Mecze[[#This Row],[/PR:90]:[/BR:90]],Brudnopis!$E$27:$J$27),0)</f>
        <v>0.17091836734693874</v>
      </c>
      <c r="X615" s="44">
        <f>IF(Mecze[[#This Row],[Role]]&lt;&gt;"BR",SUMPRODUCT(Mecze[[#This Row],[/PR:90]:[/BR:90]],Brudnopis!$E$28:$J$28),0)</f>
        <v>0.18367346938775508</v>
      </c>
      <c r="Y615" s="35">
        <f>IF(Mecze[[#This Row],[Role]]="BR",Mecze[[#This Row],[/OB:90]]+Mecze[[#This Row],[/PC:90]],SUM(Mecze[[#This Row],[/PR:90]:[/BR:90]]))</f>
        <v>0.12244897959183673</v>
      </c>
      <c r="Z615" s="35">
        <f>IF(Mecze[[#This Row],[KC]]=0,SUM(Mecze[[#This Row],[/BRI]:[/NPI]]),SUM(Mecze[[#This Row],[/BRI]:[/NPI]])*0.6)</f>
        <v>0.79336734693877542</v>
      </c>
      <c r="AA615" s="10">
        <f>IFERROR(Mecze[[#This Row],[BR]]/Mecze[[#This Row],[ST]],0)</f>
        <v>0.5</v>
      </c>
      <c r="AB615">
        <f>ROUND(Mecze[[#This Row],[PD]]*Mecze[[#This Row],[%PC]],0)</f>
        <v>6</v>
      </c>
      <c r="AC615">
        <f>ROUND(Mecze[[#This Row],[OD]]*Mecze[[#This Row],[%OU]],0)</f>
        <v>0</v>
      </c>
      <c r="AD615" s="36" t="s">
        <v>46</v>
      </c>
      <c r="AE615" s="36">
        <v>35</v>
      </c>
      <c r="AF615" s="71">
        <v>10.52</v>
      </c>
      <c r="AG615" s="37">
        <v>0</v>
      </c>
      <c r="AH615" s="37">
        <v>0</v>
      </c>
      <c r="AI615" s="37">
        <v>98</v>
      </c>
      <c r="AJ615" s="37">
        <v>11</v>
      </c>
      <c r="AK615" s="37" t="str">
        <f>VLOOKUP(Mecze[[#This Row],[Match ID]],Meczusie[Mecz]:Meczusie[RodzajMeczu],2,FALSE)</f>
        <v>Liga</v>
      </c>
    </row>
    <row r="616" spans="1:37" x14ac:dyDescent="0.25">
      <c r="A616" s="76">
        <v>11</v>
      </c>
      <c r="B616" s="3" t="s">
        <v>329</v>
      </c>
      <c r="C616" s="2" t="s">
        <v>165</v>
      </c>
      <c r="D616" s="1">
        <v>1</v>
      </c>
      <c r="E616" s="1">
        <v>6</v>
      </c>
      <c r="F616" s="1">
        <v>3</v>
      </c>
      <c r="G616" s="1">
        <v>9</v>
      </c>
      <c r="H616" s="4">
        <v>0.44</v>
      </c>
      <c r="I616" s="1">
        <v>2</v>
      </c>
      <c r="J616" s="4">
        <v>0.5</v>
      </c>
      <c r="K616" s="1">
        <v>0</v>
      </c>
      <c r="L616" s="1">
        <v>0</v>
      </c>
      <c r="M616" s="32">
        <f>IF(Mecze[[#This Row],[PR]]=0,0,Mecze[[#This Row],[PR]]/Mecze[[#This Row],[CZAS]])</f>
        <v>0</v>
      </c>
      <c r="N616" s="32">
        <f>IF(Mecze[[#This Row],[OU]]=0,0,Mecze[[#This Row],[OU]]/Mecze[[#This Row],[CZAS]])</f>
        <v>1.020408163265306E-2</v>
      </c>
      <c r="O616" s="32">
        <f>IF(Mecze[[#This Row],[PC]]=0,0,Mecze[[#This Row],[PC]]/Mecze[[#This Row],[CZAS]])</f>
        <v>4.0816326530612242E-2</v>
      </c>
      <c r="P616" s="32">
        <f>IF(Mecze[[#This Row],[SC]]=0,0,Mecze[[#This Row],[SC]]/Mecze[[#This Row],[CZAS]])</f>
        <v>3.0612244897959183E-2</v>
      </c>
      <c r="Q616" s="32">
        <f>IF(Mecze[[#This Row],[OB]]=0,0,Mecze[[#This Row],[OB]]/Mecze[[#This Row],[CZAS]])</f>
        <v>0</v>
      </c>
      <c r="R616" s="32">
        <f>IF(Mecze[[#This Row],[BR]]=0,0,Mecze[[#This Row],[BR]]/Mecze[[#This Row],[CZAS]])</f>
        <v>1.020408163265306E-2</v>
      </c>
      <c r="S616" s="44">
        <f>IF(Mecze[[#This Row],[Role]]="BR",SUMPRODUCT(Mecze[[#This Row],[/PR:90]:[/BR:90]],Brudnopis!$E$23:$J$23),0)</f>
        <v>0</v>
      </c>
      <c r="T616" s="44">
        <f>IF(Mecze[[#This Row],[Role]]&lt;&gt;"BR",SUMPRODUCT(Mecze[[#This Row],[/PR:90]:[/BR:90]],Brudnopis!$E$24:$J$24),0)</f>
        <v>0.1020408163265306</v>
      </c>
      <c r="U616" s="44">
        <f>IF(Mecze[[#This Row],[Role]]&lt;&gt;"BR",SUMPRODUCT(Mecze[[#This Row],[/PR:90]:[/BR:90]],Brudnopis!$E$25:$J$25),0)</f>
        <v>0.11734693877551021</v>
      </c>
      <c r="V616" s="44">
        <f>IF(Mecze[[#This Row],[Role]]&lt;&gt;"BR",SUMPRODUCT(Mecze[[#This Row],[/PR:90]:[/BR:90]],Brudnopis!$E$26:$J$26),0)</f>
        <v>0.1020408163265306</v>
      </c>
      <c r="W616" s="44">
        <f>IF(Mecze[[#This Row],[Role]]&lt;&gt;"BR",SUMPRODUCT(Mecze[[#This Row],[/PR:90]:[/BR:90]],Brudnopis!$E$27:$J$27),0)</f>
        <v>0.11989795918367346</v>
      </c>
      <c r="X616" s="44">
        <f>IF(Mecze[[#This Row],[Role]]&lt;&gt;"BR",SUMPRODUCT(Mecze[[#This Row],[/PR:90]:[/BR:90]],Brudnopis!$E$28:$J$28),0)</f>
        <v>0.1326530612244898</v>
      </c>
      <c r="Y616" s="35">
        <f>IF(Mecze[[#This Row],[Role]]="BR",Mecze[[#This Row],[/OB:90]]+Mecze[[#This Row],[/PC:90]],SUM(Mecze[[#This Row],[/PR:90]:[/BR:90]]))</f>
        <v>9.1836734693877542E-2</v>
      </c>
      <c r="Z616" s="35">
        <f>IF(Mecze[[#This Row],[KC]]=0,SUM(Mecze[[#This Row],[/BRI]:[/NPI]]),SUM(Mecze[[#This Row],[/BRI]:[/NPI]])*0.6)</f>
        <v>0.57397959183673464</v>
      </c>
      <c r="AA616" s="10">
        <f>IFERROR(Mecze[[#This Row],[BR]]/Mecze[[#This Row],[ST]],0)</f>
        <v>0.16666666666666666</v>
      </c>
      <c r="AB616">
        <f>ROUND(Mecze[[#This Row],[PD]]*Mecze[[#This Row],[%PC]],0)</f>
        <v>4</v>
      </c>
      <c r="AC616">
        <f>ROUND(Mecze[[#This Row],[OD]]*Mecze[[#This Row],[%OU]],0)</f>
        <v>1</v>
      </c>
      <c r="AD616" s="36" t="s">
        <v>273</v>
      </c>
      <c r="AE616" s="36">
        <v>35</v>
      </c>
      <c r="AF616" s="71">
        <v>6.89</v>
      </c>
      <c r="AG616" s="37">
        <v>0</v>
      </c>
      <c r="AH616" s="37">
        <v>0</v>
      </c>
      <c r="AI616" s="37">
        <v>98</v>
      </c>
      <c r="AJ616" s="37">
        <v>11</v>
      </c>
      <c r="AK616" s="37" t="str">
        <f>VLOOKUP(Mecze[[#This Row],[Match ID]],Meczusie[Mecz]:Meczusie[RodzajMeczu],2,FALSE)</f>
        <v>Liga</v>
      </c>
    </row>
    <row r="617" spans="1:37" x14ac:dyDescent="0.25">
      <c r="A617" s="76">
        <v>14</v>
      </c>
      <c r="B617" s="3" t="s">
        <v>330</v>
      </c>
      <c r="C617" s="2" t="s">
        <v>165</v>
      </c>
      <c r="D617" s="1">
        <v>1</v>
      </c>
      <c r="E617" s="1">
        <v>4</v>
      </c>
      <c r="F617" s="1">
        <v>3</v>
      </c>
      <c r="G617" s="1">
        <v>3</v>
      </c>
      <c r="H617" s="4">
        <v>0.67</v>
      </c>
      <c r="I617" s="1">
        <v>0</v>
      </c>
      <c r="J617" s="4"/>
      <c r="K617" s="1">
        <v>0</v>
      </c>
      <c r="L617" s="1">
        <v>0</v>
      </c>
      <c r="M617" s="32">
        <f>IF(Mecze[[#This Row],[PR]]=0,0,Mecze[[#This Row],[PR]]/Mecze[[#This Row],[CZAS]])</f>
        <v>0</v>
      </c>
      <c r="N617" s="32">
        <f>IF(Mecze[[#This Row],[OU]]=0,0,Mecze[[#This Row],[OU]]/Mecze[[#This Row],[CZAS]])</f>
        <v>0</v>
      </c>
      <c r="O617" s="32">
        <f>IF(Mecze[[#This Row],[PC]]=0,0,Mecze[[#This Row],[PC]]/Mecze[[#This Row],[CZAS]])</f>
        <v>2.0408163265306121E-2</v>
      </c>
      <c r="P617" s="32">
        <f>IF(Mecze[[#This Row],[SC]]=0,0,Mecze[[#This Row],[SC]]/Mecze[[#This Row],[CZAS]])</f>
        <v>3.0612244897959183E-2</v>
      </c>
      <c r="Q617" s="32">
        <f>IF(Mecze[[#This Row],[OB]]=0,0,Mecze[[#This Row],[OB]]/Mecze[[#This Row],[CZAS]])</f>
        <v>0</v>
      </c>
      <c r="R617" s="32">
        <f>IF(Mecze[[#This Row],[BR]]=0,0,Mecze[[#This Row],[BR]]/Mecze[[#This Row],[CZAS]])</f>
        <v>1.020408163265306E-2</v>
      </c>
      <c r="S617" s="44">
        <f>IF(Mecze[[#This Row],[Role]]="BR",SUMPRODUCT(Mecze[[#This Row],[/PR:90]:[/BR:90]],Brudnopis!$E$23:$J$23),0)</f>
        <v>0</v>
      </c>
      <c r="T617" s="44">
        <f>IF(Mecze[[#This Row],[Role]]&lt;&gt;"BR",SUMPRODUCT(Mecze[[#This Row],[/PR:90]:[/BR:90]],Brudnopis!$E$24:$J$24),0)</f>
        <v>6.6326530612244902E-2</v>
      </c>
      <c r="U617" s="44">
        <f>IF(Mecze[[#This Row],[Role]]&lt;&gt;"BR",SUMPRODUCT(Mecze[[#This Row],[/PR:90]:[/BR:90]],Brudnopis!$E$25:$J$25),0)</f>
        <v>7.6530612244897961E-2</v>
      </c>
      <c r="V617" s="44">
        <f>IF(Mecze[[#This Row],[Role]]&lt;&gt;"BR",SUMPRODUCT(Mecze[[#This Row],[/PR:90]:[/BR:90]],Brudnopis!$E$26:$J$26),0)</f>
        <v>7.1428571428571425E-2</v>
      </c>
      <c r="W617" s="44">
        <f>IF(Mecze[[#This Row],[Role]]&lt;&gt;"BR",SUMPRODUCT(Mecze[[#This Row],[/PR:90]:[/BR:90]],Brudnopis!$E$27:$J$27),0)</f>
        <v>8.1632653061224483E-2</v>
      </c>
      <c r="X617" s="44">
        <f>IF(Mecze[[#This Row],[Role]]&lt;&gt;"BR",SUMPRODUCT(Mecze[[#This Row],[/PR:90]:[/BR:90]],Brudnopis!$E$28:$J$28),0)</f>
        <v>0.11224489795918366</v>
      </c>
      <c r="Y617" s="35">
        <f>IF(Mecze[[#This Row],[Role]]="BR",Mecze[[#This Row],[/OB:90]]+Mecze[[#This Row],[/PC:90]],SUM(Mecze[[#This Row],[/PR:90]:[/BR:90]]))</f>
        <v>6.1224489795918366E-2</v>
      </c>
      <c r="Z617" s="35">
        <f>IF(Mecze[[#This Row],[KC]]=0,SUM(Mecze[[#This Row],[/BRI]:[/NPI]]),SUM(Mecze[[#This Row],[/BRI]:[/NPI]])*0.6)</f>
        <v>0.40816326530612246</v>
      </c>
      <c r="AA617" s="10">
        <f>IFERROR(Mecze[[#This Row],[BR]]/Mecze[[#This Row],[ST]],0)</f>
        <v>0.25</v>
      </c>
      <c r="AB617">
        <f>ROUND(Mecze[[#This Row],[PD]]*Mecze[[#This Row],[%PC]],0)</f>
        <v>2</v>
      </c>
      <c r="AC617">
        <f>ROUND(Mecze[[#This Row],[OD]]*Mecze[[#This Row],[%OU]],0)</f>
        <v>0</v>
      </c>
      <c r="AD617" s="36" t="s">
        <v>272</v>
      </c>
      <c r="AE617" s="36">
        <v>35</v>
      </c>
      <c r="AF617" s="71">
        <v>6.89</v>
      </c>
      <c r="AG617" s="37">
        <v>0</v>
      </c>
      <c r="AH617" s="37">
        <v>0</v>
      </c>
      <c r="AI617" s="37">
        <v>98</v>
      </c>
      <c r="AJ617" s="37">
        <v>11</v>
      </c>
      <c r="AK617" s="37" t="str">
        <f>VLOOKUP(Mecze[[#This Row],[Match ID]],Meczusie[Mecz]:Meczusie[RodzajMeczu],2,FALSE)</f>
        <v>Liga</v>
      </c>
    </row>
    <row r="618" spans="1:37" x14ac:dyDescent="0.25">
      <c r="A618" s="76">
        <v>1</v>
      </c>
      <c r="B618" s="3" t="s">
        <v>236</v>
      </c>
      <c r="C618" s="2" t="s">
        <v>155</v>
      </c>
      <c r="D618" s="1">
        <v>0</v>
      </c>
      <c r="E618" s="1">
        <v>0</v>
      </c>
      <c r="F618" s="1">
        <v>0</v>
      </c>
      <c r="G618" s="1">
        <v>9</v>
      </c>
      <c r="H618" s="4">
        <v>0.33</v>
      </c>
      <c r="I618" s="1">
        <v>0</v>
      </c>
      <c r="J618" s="4"/>
      <c r="K618" s="1">
        <v>5</v>
      </c>
      <c r="L618" s="1">
        <v>0</v>
      </c>
      <c r="M618" s="32">
        <f>IF(Mecze[[#This Row],[PR]]=0,0,Mecze[[#This Row],[PR]]/Mecze[[#This Row],[CZAS]])</f>
        <v>0</v>
      </c>
      <c r="N618" s="32">
        <f>IF(Mecze[[#This Row],[OU]]=0,0,Mecze[[#This Row],[OU]]/Mecze[[#This Row],[CZAS]])</f>
        <v>0</v>
      </c>
      <c r="O618" s="32">
        <f>IF(Mecze[[#This Row],[PC]]=0,0,Mecze[[#This Row],[PC]]/Mecze[[#This Row],[CZAS]])</f>
        <v>3.0612244897959183E-2</v>
      </c>
      <c r="P618" s="32">
        <f>IF(Mecze[[#This Row],[SC]]=0,0,Mecze[[#This Row],[SC]]/Mecze[[#This Row],[CZAS]])</f>
        <v>0</v>
      </c>
      <c r="Q618" s="32">
        <f>IF(Mecze[[#This Row],[OB]]=0,0,Mecze[[#This Row],[OB]]/Mecze[[#This Row],[CZAS]])</f>
        <v>5.1020408163265307E-2</v>
      </c>
      <c r="R618" s="32">
        <f>IF(Mecze[[#This Row],[BR]]=0,0,Mecze[[#This Row],[BR]]/Mecze[[#This Row],[CZAS]])</f>
        <v>0</v>
      </c>
      <c r="S618" s="44">
        <f>IF(Mecze[[#This Row],[Role]]="BR",SUMPRODUCT(Mecze[[#This Row],[/PR:90]:[/BR:90]],Brudnopis!$E$23:$J$23),0)</f>
        <v>0.24489795918367346</v>
      </c>
      <c r="T618" s="44">
        <f>IF(Mecze[[#This Row],[Role]]&lt;&gt;"BR",SUMPRODUCT(Mecze[[#This Row],[/PR:90]:[/BR:90]],Brudnopis!$E$24:$J$24),0)</f>
        <v>0</v>
      </c>
      <c r="U618" s="44">
        <f>IF(Mecze[[#This Row],[Role]]&lt;&gt;"BR",SUMPRODUCT(Mecze[[#This Row],[/PR:90]:[/BR:90]],Brudnopis!$E$25:$J$25),0)</f>
        <v>0</v>
      </c>
      <c r="V618" s="44">
        <f>IF(Mecze[[#This Row],[Role]]&lt;&gt;"BR",SUMPRODUCT(Mecze[[#This Row],[/PR:90]:[/BR:90]],Brudnopis!$E$26:$J$26),0)</f>
        <v>0</v>
      </c>
      <c r="W618" s="44">
        <f>IF(Mecze[[#This Row],[Role]]&lt;&gt;"BR",SUMPRODUCT(Mecze[[#This Row],[/PR:90]:[/BR:90]],Brudnopis!$E$27:$J$27),0)</f>
        <v>0</v>
      </c>
      <c r="X618" s="44">
        <f>IF(Mecze[[#This Row],[Role]]&lt;&gt;"BR",SUMPRODUCT(Mecze[[#This Row],[/PR:90]:[/BR:90]],Brudnopis!$E$28:$J$28),0)</f>
        <v>0</v>
      </c>
      <c r="Y618" s="35">
        <f>IF(Mecze[[#This Row],[Role]]="BR",Mecze[[#This Row],[/OB:90]]+Mecze[[#This Row],[/PC:90]],SUM(Mecze[[#This Row],[/PR:90]:[/BR:90]]))</f>
        <v>8.1632653061224497E-2</v>
      </c>
      <c r="Z618" s="35">
        <f>IF(Mecze[[#This Row],[KC]]=0,SUM(Mecze[[#This Row],[/BRI]:[/NPI]]),SUM(Mecze[[#This Row],[/BRI]:[/NPI]])*0.6)</f>
        <v>0.24489795918367346</v>
      </c>
      <c r="AA618" s="10">
        <f>IFERROR(Mecze[[#This Row],[BR]]/Mecze[[#This Row],[ST]],0)</f>
        <v>0</v>
      </c>
      <c r="AB618">
        <f>ROUND(Mecze[[#This Row],[PD]]*Mecze[[#This Row],[%PC]],0)</f>
        <v>3</v>
      </c>
      <c r="AC618">
        <f>ROUND(Mecze[[#This Row],[OD]]*Mecze[[#This Row],[%OU]],0)</f>
        <v>0</v>
      </c>
      <c r="AD618" s="36" t="s">
        <v>40</v>
      </c>
      <c r="AE618" s="36">
        <v>35</v>
      </c>
      <c r="AF618" s="71">
        <v>2.33</v>
      </c>
      <c r="AG618" s="37">
        <v>0</v>
      </c>
      <c r="AH618" s="37">
        <v>0</v>
      </c>
      <c r="AI618" s="37">
        <v>98</v>
      </c>
      <c r="AJ618" s="37">
        <v>10</v>
      </c>
      <c r="AK618" s="37" t="str">
        <f>VLOOKUP(Mecze[[#This Row],[Match ID]],Meczusie[Mecz]:Meczusie[RodzajMeczu],2,FALSE)</f>
        <v>Liga</v>
      </c>
    </row>
    <row r="619" spans="1:37" x14ac:dyDescent="0.25">
      <c r="A619" s="76">
        <v>3</v>
      </c>
      <c r="B619" s="3" t="s">
        <v>237</v>
      </c>
      <c r="C619" s="2" t="s">
        <v>157</v>
      </c>
      <c r="D619" s="1">
        <v>0</v>
      </c>
      <c r="E619" s="1">
        <v>0</v>
      </c>
      <c r="F619" s="1">
        <v>0</v>
      </c>
      <c r="G619" s="1">
        <v>8</v>
      </c>
      <c r="H619" s="4">
        <v>1</v>
      </c>
      <c r="I619" s="1">
        <v>10</v>
      </c>
      <c r="J619" s="4">
        <v>0.3</v>
      </c>
      <c r="K619" s="1">
        <v>0</v>
      </c>
      <c r="L619" s="1">
        <v>4</v>
      </c>
      <c r="M619" s="32">
        <f>IF(Mecze[[#This Row],[PR]]=0,0,Mecze[[#This Row],[PR]]/Mecze[[#This Row],[CZAS]])</f>
        <v>4.0816326530612242E-2</v>
      </c>
      <c r="N619" s="32">
        <f>IF(Mecze[[#This Row],[OU]]=0,0,Mecze[[#This Row],[OU]]/Mecze[[#This Row],[CZAS]])</f>
        <v>3.0612244897959183E-2</v>
      </c>
      <c r="O619" s="32">
        <f>IF(Mecze[[#This Row],[PC]]=0,0,Mecze[[#This Row],[PC]]/Mecze[[#This Row],[CZAS]])</f>
        <v>8.1632653061224483E-2</v>
      </c>
      <c r="P619" s="32">
        <f>IF(Mecze[[#This Row],[SC]]=0,0,Mecze[[#This Row],[SC]]/Mecze[[#This Row],[CZAS]])</f>
        <v>0</v>
      </c>
      <c r="Q619" s="32">
        <f>IF(Mecze[[#This Row],[OB]]=0,0,Mecze[[#This Row],[OB]]/Mecze[[#This Row],[CZAS]])</f>
        <v>0</v>
      </c>
      <c r="R619" s="32">
        <f>IF(Mecze[[#This Row],[BR]]=0,0,Mecze[[#This Row],[BR]]/Mecze[[#This Row],[CZAS]])</f>
        <v>0</v>
      </c>
      <c r="S619" s="44">
        <f>IF(Mecze[[#This Row],[Role]]="BR",SUMPRODUCT(Mecze[[#This Row],[/PR:90]:[/BR:90]],Brudnopis!$E$23:$J$23),0)</f>
        <v>0</v>
      </c>
      <c r="T619" s="44">
        <f>IF(Mecze[[#This Row],[Role]]&lt;&gt;"BR",SUMPRODUCT(Mecze[[#This Row],[/PR:90]:[/BR:90]],Brudnopis!$E$24:$J$24),0)</f>
        <v>0.16836734693877548</v>
      </c>
      <c r="U619" s="44">
        <f>IF(Mecze[[#This Row],[Role]]&lt;&gt;"BR",SUMPRODUCT(Mecze[[#This Row],[/PR:90]:[/BR:90]],Brudnopis!$E$25:$J$25),0)</f>
        <v>0.19387755102040816</v>
      </c>
      <c r="V619" s="44">
        <f>IF(Mecze[[#This Row],[Role]]&lt;&gt;"BR",SUMPRODUCT(Mecze[[#This Row],[/PR:90]:[/BR:90]],Brudnopis!$E$26:$J$26),0)</f>
        <v>0.15306122448979592</v>
      </c>
      <c r="W619" s="44">
        <f>IF(Mecze[[#This Row],[Role]]&lt;&gt;"BR",SUMPRODUCT(Mecze[[#This Row],[/PR:90]:[/BR:90]],Brudnopis!$E$27:$J$27),0)</f>
        <v>0.17602040816326531</v>
      </c>
      <c r="X619" s="44">
        <f>IF(Mecze[[#This Row],[Role]]&lt;&gt;"BR",SUMPRODUCT(Mecze[[#This Row],[/PR:90]:[/BR:90]],Brudnopis!$E$28:$J$28),0)</f>
        <v>8.1632653061224483E-2</v>
      </c>
      <c r="Y619" s="35">
        <f>IF(Mecze[[#This Row],[Role]]="BR",Mecze[[#This Row],[/OB:90]]+Mecze[[#This Row],[/PC:90]],SUM(Mecze[[#This Row],[/PR:90]:[/BR:90]]))</f>
        <v>0.15306122448979592</v>
      </c>
      <c r="Z619" s="35">
        <f>IF(Mecze[[#This Row],[KC]]=0,SUM(Mecze[[#This Row],[/BRI]:[/NPI]]),SUM(Mecze[[#This Row],[/BRI]:[/NPI]])*0.6)</f>
        <v>0.77295918367346939</v>
      </c>
      <c r="AA619" s="10">
        <f>IFERROR(Mecze[[#This Row],[BR]]/Mecze[[#This Row],[ST]],0)</f>
        <v>0</v>
      </c>
      <c r="AB619">
        <f>ROUND(Mecze[[#This Row],[PD]]*Mecze[[#This Row],[%PC]],0)</f>
        <v>8</v>
      </c>
      <c r="AC619">
        <f>ROUND(Mecze[[#This Row],[OD]]*Mecze[[#This Row],[%OU]],0)</f>
        <v>3</v>
      </c>
      <c r="AD619" s="36" t="s">
        <v>47</v>
      </c>
      <c r="AE619" s="36">
        <v>35</v>
      </c>
      <c r="AF619" s="71">
        <v>1.42</v>
      </c>
      <c r="AG619" s="37">
        <v>0</v>
      </c>
      <c r="AH619" s="37">
        <v>0</v>
      </c>
      <c r="AI619" s="37">
        <v>98</v>
      </c>
      <c r="AJ619" s="37">
        <v>10</v>
      </c>
      <c r="AK619" s="37" t="str">
        <f>VLOOKUP(Mecze[[#This Row],[Match ID]],Meczusie[Mecz]:Meczusie[RodzajMeczu],2,FALSE)</f>
        <v>Liga</v>
      </c>
    </row>
    <row r="620" spans="1:37" x14ac:dyDescent="0.25">
      <c r="A620" s="76">
        <v>4</v>
      </c>
      <c r="B620" s="3" t="s">
        <v>238</v>
      </c>
      <c r="C620" s="2" t="s">
        <v>157</v>
      </c>
      <c r="D620" s="1">
        <v>0</v>
      </c>
      <c r="E620" s="1">
        <v>0</v>
      </c>
      <c r="F620" s="1">
        <v>0</v>
      </c>
      <c r="G620" s="1">
        <v>3</v>
      </c>
      <c r="H620" s="4">
        <v>0.67</v>
      </c>
      <c r="I620" s="1">
        <v>3</v>
      </c>
      <c r="J620" s="4">
        <v>0.67</v>
      </c>
      <c r="K620" s="1">
        <v>0</v>
      </c>
      <c r="L620" s="1">
        <v>2</v>
      </c>
      <c r="M620" s="32">
        <f>IF(Mecze[[#This Row],[PR]]=0,0,Mecze[[#This Row],[PR]]/Mecze[[#This Row],[CZAS]])</f>
        <v>2.0408163265306121E-2</v>
      </c>
      <c r="N620" s="32">
        <f>IF(Mecze[[#This Row],[OU]]=0,0,Mecze[[#This Row],[OU]]/Mecze[[#This Row],[CZAS]])</f>
        <v>2.0408163265306121E-2</v>
      </c>
      <c r="O620" s="32">
        <f>IF(Mecze[[#This Row],[PC]]=0,0,Mecze[[#This Row],[PC]]/Mecze[[#This Row],[CZAS]])</f>
        <v>2.0408163265306121E-2</v>
      </c>
      <c r="P620" s="32">
        <f>IF(Mecze[[#This Row],[SC]]=0,0,Mecze[[#This Row],[SC]]/Mecze[[#This Row],[CZAS]])</f>
        <v>0</v>
      </c>
      <c r="Q620" s="32">
        <f>IF(Mecze[[#This Row],[OB]]=0,0,Mecze[[#This Row],[OB]]/Mecze[[#This Row],[CZAS]])</f>
        <v>0</v>
      </c>
      <c r="R620" s="32">
        <f>IF(Mecze[[#This Row],[BR]]=0,0,Mecze[[#This Row],[BR]]/Mecze[[#This Row],[CZAS]])</f>
        <v>0</v>
      </c>
      <c r="S620" s="44">
        <f>IF(Mecze[[#This Row],[Role]]="BR",SUMPRODUCT(Mecze[[#This Row],[/PR:90]:[/BR:90]],Brudnopis!$E$23:$J$23),0)</f>
        <v>0</v>
      </c>
      <c r="T620" s="44">
        <f>IF(Mecze[[#This Row],[Role]]&lt;&gt;"BR",SUMPRODUCT(Mecze[[#This Row],[/PR:90]:[/BR:90]],Brudnopis!$E$24:$J$24),0)</f>
        <v>7.1428571428571425E-2</v>
      </c>
      <c r="U620" s="44">
        <f>IF(Mecze[[#This Row],[Role]]&lt;&gt;"BR",SUMPRODUCT(Mecze[[#This Row],[/PR:90]:[/BR:90]],Brudnopis!$E$25:$J$25),0)</f>
        <v>7.1428571428571425E-2</v>
      </c>
      <c r="V620" s="44">
        <f>IF(Mecze[[#This Row],[Role]]&lt;&gt;"BR",SUMPRODUCT(Mecze[[#This Row],[/PR:90]:[/BR:90]],Brudnopis!$E$26:$J$26),0)</f>
        <v>6.1224489795918366E-2</v>
      </c>
      <c r="W620" s="44">
        <f>IF(Mecze[[#This Row],[Role]]&lt;&gt;"BR",SUMPRODUCT(Mecze[[#This Row],[/PR:90]:[/BR:90]],Brudnopis!$E$27:$J$27),0)</f>
        <v>6.1224489795918366E-2</v>
      </c>
      <c r="X620" s="44">
        <f>IF(Mecze[[#This Row],[Role]]&lt;&gt;"BR",SUMPRODUCT(Mecze[[#This Row],[/PR:90]:[/BR:90]],Brudnopis!$E$28:$J$28),0)</f>
        <v>2.0408163265306121E-2</v>
      </c>
      <c r="Y620" s="35">
        <f>IF(Mecze[[#This Row],[Role]]="BR",Mecze[[#This Row],[/OB:90]]+Mecze[[#This Row],[/PC:90]],SUM(Mecze[[#This Row],[/PR:90]:[/BR:90]]))</f>
        <v>6.1224489795918366E-2</v>
      </c>
      <c r="Z620" s="35">
        <f>IF(Mecze[[#This Row],[KC]]=0,SUM(Mecze[[#This Row],[/BRI]:[/NPI]]),SUM(Mecze[[#This Row],[/BRI]:[/NPI]])*0.6)</f>
        <v>0.28571428571428575</v>
      </c>
      <c r="AA620" s="10">
        <f>IFERROR(Mecze[[#This Row],[BR]]/Mecze[[#This Row],[ST]],0)</f>
        <v>0</v>
      </c>
      <c r="AB620">
        <f>ROUND(Mecze[[#This Row],[PD]]*Mecze[[#This Row],[%PC]],0)</f>
        <v>2</v>
      </c>
      <c r="AC620">
        <f>ROUND(Mecze[[#This Row],[OD]]*Mecze[[#This Row],[%OU]],0)</f>
        <v>2</v>
      </c>
      <c r="AD620" s="36" t="s">
        <v>47</v>
      </c>
      <c r="AE620" s="36">
        <v>35</v>
      </c>
      <c r="AF620" s="71">
        <v>1.01</v>
      </c>
      <c r="AG620" s="37">
        <v>1</v>
      </c>
      <c r="AH620" s="37">
        <v>0</v>
      </c>
      <c r="AI620" s="37">
        <v>98</v>
      </c>
      <c r="AJ620" s="37">
        <v>10</v>
      </c>
      <c r="AK620" s="37" t="str">
        <f>VLOOKUP(Mecze[[#This Row],[Match ID]],Meczusie[Mecz]:Meczusie[RodzajMeczu],2,FALSE)</f>
        <v>Liga</v>
      </c>
    </row>
    <row r="621" spans="1:37" x14ac:dyDescent="0.25">
      <c r="A621" s="76">
        <v>12</v>
      </c>
      <c r="B621" s="3" t="s">
        <v>239</v>
      </c>
      <c r="C621" s="2" t="s">
        <v>157</v>
      </c>
      <c r="D621" s="1">
        <v>0</v>
      </c>
      <c r="E621" s="1">
        <v>0</v>
      </c>
      <c r="F621" s="1">
        <v>0</v>
      </c>
      <c r="G621" s="1">
        <v>8</v>
      </c>
      <c r="H621" s="4">
        <v>0.63</v>
      </c>
      <c r="I621" s="1">
        <v>6</v>
      </c>
      <c r="J621" s="4">
        <v>0.67</v>
      </c>
      <c r="K621" s="1">
        <v>0</v>
      </c>
      <c r="L621" s="1">
        <v>7</v>
      </c>
      <c r="M621" s="32">
        <f>IF(Mecze[[#This Row],[PR]]=0,0,Mecze[[#This Row],[PR]]/Mecze[[#This Row],[CZAS]])</f>
        <v>7.1428571428571425E-2</v>
      </c>
      <c r="N621" s="32">
        <f>IF(Mecze[[#This Row],[OU]]=0,0,Mecze[[#This Row],[OU]]/Mecze[[#This Row],[CZAS]])</f>
        <v>4.0816326530612242E-2</v>
      </c>
      <c r="O621" s="32">
        <f>IF(Mecze[[#This Row],[PC]]=0,0,Mecze[[#This Row],[PC]]/Mecze[[#This Row],[CZAS]])</f>
        <v>5.1020408163265307E-2</v>
      </c>
      <c r="P621" s="32">
        <f>IF(Mecze[[#This Row],[SC]]=0,0,Mecze[[#This Row],[SC]]/Mecze[[#This Row],[CZAS]])</f>
        <v>0</v>
      </c>
      <c r="Q621" s="32">
        <f>IF(Mecze[[#This Row],[OB]]=0,0,Mecze[[#This Row],[OB]]/Mecze[[#This Row],[CZAS]])</f>
        <v>0</v>
      </c>
      <c r="R621" s="32">
        <f>IF(Mecze[[#This Row],[BR]]=0,0,Mecze[[#This Row],[BR]]/Mecze[[#This Row],[CZAS]])</f>
        <v>0</v>
      </c>
      <c r="S621" s="44">
        <f>IF(Mecze[[#This Row],[Role]]="BR",SUMPRODUCT(Mecze[[#This Row],[/PR:90]:[/BR:90]],Brudnopis!$E$23:$J$23),0)</f>
        <v>0</v>
      </c>
      <c r="T621" s="44">
        <f>IF(Mecze[[#This Row],[Role]]&lt;&gt;"BR",SUMPRODUCT(Mecze[[#This Row],[/PR:90]:[/BR:90]],Brudnopis!$E$24:$J$24),0)</f>
        <v>0.18367346938775508</v>
      </c>
      <c r="U621" s="44">
        <f>IF(Mecze[[#This Row],[Role]]&lt;&gt;"BR",SUMPRODUCT(Mecze[[#This Row],[/PR:90]:[/BR:90]],Brudnopis!$E$25:$J$25),0)</f>
        <v>0.18877551020408162</v>
      </c>
      <c r="V621" s="44">
        <f>IF(Mecze[[#This Row],[Role]]&lt;&gt;"BR",SUMPRODUCT(Mecze[[#This Row],[/PR:90]:[/BR:90]],Brudnopis!$E$26:$J$26),0)</f>
        <v>0.16326530612244897</v>
      </c>
      <c r="W621" s="44">
        <f>IF(Mecze[[#This Row],[Role]]&lt;&gt;"BR",SUMPRODUCT(Mecze[[#This Row],[/PR:90]:[/BR:90]],Brudnopis!$E$27:$J$27),0)</f>
        <v>0.1607142857142857</v>
      </c>
      <c r="X621" s="44">
        <f>IF(Mecze[[#This Row],[Role]]&lt;&gt;"BR",SUMPRODUCT(Mecze[[#This Row],[/PR:90]:[/BR:90]],Brudnopis!$E$28:$J$28),0)</f>
        <v>5.1020408163265307E-2</v>
      </c>
      <c r="Y621" s="35">
        <f>IF(Mecze[[#This Row],[Role]]="BR",Mecze[[#This Row],[/OB:90]]+Mecze[[#This Row],[/PC:90]],SUM(Mecze[[#This Row],[/PR:90]:[/BR:90]]))</f>
        <v>0.16326530612244897</v>
      </c>
      <c r="Z621" s="35">
        <f>IF(Mecze[[#This Row],[KC]]=0,SUM(Mecze[[#This Row],[/BRI]:[/NPI]]),SUM(Mecze[[#This Row],[/BRI]:[/NPI]])*0.6)</f>
        <v>0.74744897959183665</v>
      </c>
      <c r="AA621" s="10">
        <f>IFERROR(Mecze[[#This Row],[BR]]/Mecze[[#This Row],[ST]],0)</f>
        <v>0</v>
      </c>
      <c r="AB621">
        <f>ROUND(Mecze[[#This Row],[PD]]*Mecze[[#This Row],[%PC]],0)</f>
        <v>5</v>
      </c>
      <c r="AC621">
        <f>ROUND(Mecze[[#This Row],[OD]]*Mecze[[#This Row],[%OU]],0)</f>
        <v>4</v>
      </c>
      <c r="AD621" s="36" t="s">
        <v>175</v>
      </c>
      <c r="AE621" s="36">
        <v>35</v>
      </c>
      <c r="AF621" s="71">
        <v>3.17</v>
      </c>
      <c r="AG621" s="37">
        <v>0</v>
      </c>
      <c r="AH621" s="37">
        <v>0</v>
      </c>
      <c r="AI621" s="37">
        <v>98</v>
      </c>
      <c r="AJ621" s="37">
        <v>10</v>
      </c>
      <c r="AK621" s="37" t="str">
        <f>VLOOKUP(Mecze[[#This Row],[Match ID]],Meczusie[Mecz]:Meczusie[RodzajMeczu],2,FALSE)</f>
        <v>Liga</v>
      </c>
    </row>
    <row r="622" spans="1:37" x14ac:dyDescent="0.25">
      <c r="A622" s="76">
        <v>13</v>
      </c>
      <c r="B622" s="3" t="s">
        <v>403</v>
      </c>
      <c r="C622" s="2" t="s">
        <v>157</v>
      </c>
      <c r="D622" s="1">
        <v>0</v>
      </c>
      <c r="E622" s="1">
        <v>0</v>
      </c>
      <c r="F622" s="1">
        <v>0</v>
      </c>
      <c r="G622" s="1">
        <v>4</v>
      </c>
      <c r="H622" s="4">
        <v>0.5</v>
      </c>
      <c r="I622" s="1">
        <v>1</v>
      </c>
      <c r="J622" s="4">
        <v>0</v>
      </c>
      <c r="K622" s="1">
        <v>0</v>
      </c>
      <c r="L622" s="1">
        <v>3</v>
      </c>
      <c r="M622" s="32">
        <f>IF(Mecze[[#This Row],[PR]]=0,0,Mecze[[#This Row],[PR]]/Mecze[[#This Row],[CZAS]])</f>
        <v>3.0612244897959183E-2</v>
      </c>
      <c r="N622" s="32">
        <f>IF(Mecze[[#This Row],[OU]]=0,0,Mecze[[#This Row],[OU]]/Mecze[[#This Row],[CZAS]])</f>
        <v>0</v>
      </c>
      <c r="O622" s="32">
        <f>IF(Mecze[[#This Row],[PC]]=0,0,Mecze[[#This Row],[PC]]/Mecze[[#This Row],[CZAS]])</f>
        <v>2.0408163265306121E-2</v>
      </c>
      <c r="P622" s="32">
        <f>IF(Mecze[[#This Row],[SC]]=0,0,Mecze[[#This Row],[SC]]/Mecze[[#This Row],[CZAS]])</f>
        <v>0</v>
      </c>
      <c r="Q622" s="32">
        <f>IF(Mecze[[#This Row],[OB]]=0,0,Mecze[[#This Row],[OB]]/Mecze[[#This Row],[CZAS]])</f>
        <v>0</v>
      </c>
      <c r="R622" s="32">
        <f>IF(Mecze[[#This Row],[BR]]=0,0,Mecze[[#This Row],[BR]]/Mecze[[#This Row],[CZAS]])</f>
        <v>0</v>
      </c>
      <c r="S622" s="44">
        <f>IF(Mecze[[#This Row],[Role]]="BR",SUMPRODUCT(Mecze[[#This Row],[/PR:90]:[/BR:90]],Brudnopis!$E$23:$J$23),0)</f>
        <v>0</v>
      </c>
      <c r="T622" s="44">
        <f>IF(Mecze[[#This Row],[Role]]&lt;&gt;"BR",SUMPRODUCT(Mecze[[#This Row],[/PR:90]:[/BR:90]],Brudnopis!$E$24:$J$24),0)</f>
        <v>5.1020408163265307E-2</v>
      </c>
      <c r="U622" s="44">
        <f>IF(Mecze[[#This Row],[Role]]&lt;&gt;"BR",SUMPRODUCT(Mecze[[#This Row],[/PR:90]:[/BR:90]],Brudnopis!$E$25:$J$25),0)</f>
        <v>6.1224489795918366E-2</v>
      </c>
      <c r="V622" s="44">
        <f>IF(Mecze[[#This Row],[Role]]&lt;&gt;"BR",SUMPRODUCT(Mecze[[#This Row],[/PR:90]:[/BR:90]],Brudnopis!$E$26:$J$26),0)</f>
        <v>5.1020408163265307E-2</v>
      </c>
      <c r="W622" s="44">
        <f>IF(Mecze[[#This Row],[Role]]&lt;&gt;"BR",SUMPRODUCT(Mecze[[#This Row],[/PR:90]:[/BR:90]],Brudnopis!$E$27:$J$27),0)</f>
        <v>5.3571428571428568E-2</v>
      </c>
      <c r="X622" s="44">
        <f>IF(Mecze[[#This Row],[Role]]&lt;&gt;"BR",SUMPRODUCT(Mecze[[#This Row],[/PR:90]:[/BR:90]],Brudnopis!$E$28:$J$28),0)</f>
        <v>2.0408163265306121E-2</v>
      </c>
      <c r="Y622" s="35">
        <f>IF(Mecze[[#This Row],[Role]]="BR",Mecze[[#This Row],[/OB:90]]+Mecze[[#This Row],[/PC:90]],SUM(Mecze[[#This Row],[/PR:90]:[/BR:90]]))</f>
        <v>5.1020408163265307E-2</v>
      </c>
      <c r="Z622" s="35">
        <f>IF(Mecze[[#This Row],[KC]]=0,SUM(Mecze[[#This Row],[/BRI]:[/NPI]]),SUM(Mecze[[#This Row],[/BRI]:[/NPI]])*0.6)</f>
        <v>0.23724489795918369</v>
      </c>
      <c r="AA622" s="10">
        <f>IFERROR(Mecze[[#This Row],[BR]]/Mecze[[#This Row],[ST]],0)</f>
        <v>0</v>
      </c>
      <c r="AB622">
        <f>ROUND(Mecze[[#This Row],[PD]]*Mecze[[#This Row],[%PC]],0)</f>
        <v>2</v>
      </c>
      <c r="AC622">
        <f>ROUND(Mecze[[#This Row],[OD]]*Mecze[[#This Row],[%OU]],0)</f>
        <v>0</v>
      </c>
      <c r="AD622" s="36" t="s">
        <v>174</v>
      </c>
      <c r="AE622" s="36">
        <v>35</v>
      </c>
      <c r="AF622" s="71">
        <v>1.21</v>
      </c>
      <c r="AG622" s="37">
        <v>0</v>
      </c>
      <c r="AH622" s="37">
        <v>0</v>
      </c>
      <c r="AI622" s="37">
        <v>98</v>
      </c>
      <c r="AJ622" s="37">
        <v>10</v>
      </c>
      <c r="AK622" s="37" t="str">
        <f>VLOOKUP(Mecze[[#This Row],[Match ID]],Meczusie[Mecz]:Meczusie[RodzajMeczu],2,FALSE)</f>
        <v>Liga</v>
      </c>
    </row>
    <row r="623" spans="1:37" x14ac:dyDescent="0.25">
      <c r="A623" s="76">
        <v>7</v>
      </c>
      <c r="B623" s="3" t="s">
        <v>241</v>
      </c>
      <c r="C623" s="2" t="s">
        <v>160</v>
      </c>
      <c r="D623" s="1">
        <v>0</v>
      </c>
      <c r="E623" s="1">
        <v>1</v>
      </c>
      <c r="F623" s="1">
        <v>1</v>
      </c>
      <c r="G623" s="1">
        <v>10</v>
      </c>
      <c r="H623" s="4">
        <v>0.8</v>
      </c>
      <c r="I623" s="1">
        <v>9</v>
      </c>
      <c r="J623" s="4">
        <v>0.22</v>
      </c>
      <c r="K623" s="1">
        <v>0</v>
      </c>
      <c r="L623" s="1">
        <v>4</v>
      </c>
      <c r="M623" s="32">
        <f>IF(Mecze[[#This Row],[PR]]=0,0,Mecze[[#This Row],[PR]]/Mecze[[#This Row],[CZAS]])</f>
        <v>4.0816326530612242E-2</v>
      </c>
      <c r="N623" s="32">
        <f>IF(Mecze[[#This Row],[OU]]=0,0,Mecze[[#This Row],[OU]]/Mecze[[#This Row],[CZAS]])</f>
        <v>2.0408163265306121E-2</v>
      </c>
      <c r="O623" s="32">
        <f>IF(Mecze[[#This Row],[PC]]=0,0,Mecze[[#This Row],[PC]]/Mecze[[#This Row],[CZAS]])</f>
        <v>8.1632653061224483E-2</v>
      </c>
      <c r="P623" s="32">
        <f>IF(Mecze[[#This Row],[SC]]=0,0,Mecze[[#This Row],[SC]]/Mecze[[#This Row],[CZAS]])</f>
        <v>1.020408163265306E-2</v>
      </c>
      <c r="Q623" s="32">
        <f>IF(Mecze[[#This Row],[OB]]=0,0,Mecze[[#This Row],[OB]]/Mecze[[#This Row],[CZAS]])</f>
        <v>0</v>
      </c>
      <c r="R623" s="32">
        <f>IF(Mecze[[#This Row],[BR]]=0,0,Mecze[[#This Row],[BR]]/Mecze[[#This Row],[CZAS]])</f>
        <v>0</v>
      </c>
      <c r="S623" s="44">
        <f>IF(Mecze[[#This Row],[Role]]="BR",SUMPRODUCT(Mecze[[#This Row],[/PR:90]:[/BR:90]],Brudnopis!$E$23:$J$23),0)</f>
        <v>0</v>
      </c>
      <c r="T623" s="44">
        <f>IF(Mecze[[#This Row],[Role]]&lt;&gt;"BR",SUMPRODUCT(Mecze[[#This Row],[/PR:90]:[/BR:90]],Brudnopis!$E$24:$J$24),0)</f>
        <v>0.16326530612244899</v>
      </c>
      <c r="U623" s="44">
        <f>IF(Mecze[[#This Row],[Role]]&lt;&gt;"BR",SUMPRODUCT(Mecze[[#This Row],[/PR:90]:[/BR:90]],Brudnopis!$E$25:$J$25),0)</f>
        <v>0.19387755102040816</v>
      </c>
      <c r="V623" s="44">
        <f>IF(Mecze[[#This Row],[Role]]&lt;&gt;"BR",SUMPRODUCT(Mecze[[#This Row],[/PR:90]:[/BR:90]],Brudnopis!$E$26:$J$26),0)</f>
        <v>0.15306122448979592</v>
      </c>
      <c r="W623" s="44">
        <f>IF(Mecze[[#This Row],[Role]]&lt;&gt;"BR",SUMPRODUCT(Mecze[[#This Row],[/PR:90]:[/BR:90]],Brudnopis!$E$27:$J$27),0)</f>
        <v>0.17857142857142858</v>
      </c>
      <c r="X623" s="44">
        <f>IF(Mecze[[#This Row],[Role]]&lt;&gt;"BR",SUMPRODUCT(Mecze[[#This Row],[/PR:90]:[/BR:90]],Brudnopis!$E$28:$J$28),0)</f>
        <v>0.1020408163265306</v>
      </c>
      <c r="Y623" s="35">
        <f>IF(Mecze[[#This Row],[Role]]="BR",Mecze[[#This Row],[/OB:90]]+Mecze[[#This Row],[/PC:90]],SUM(Mecze[[#This Row],[/PR:90]:[/BR:90]]))</f>
        <v>0.15306122448979592</v>
      </c>
      <c r="Z623" s="35">
        <f>IF(Mecze[[#This Row],[KC]]=0,SUM(Mecze[[#This Row],[/BRI]:[/NPI]]),SUM(Mecze[[#This Row],[/BRI]:[/NPI]])*0.6)</f>
        <v>0.79081632653061229</v>
      </c>
      <c r="AA623" s="10">
        <f>IFERROR(Mecze[[#This Row],[BR]]/Mecze[[#This Row],[ST]],0)</f>
        <v>0</v>
      </c>
      <c r="AB623">
        <f>ROUND(Mecze[[#This Row],[PD]]*Mecze[[#This Row],[%PC]],0)</f>
        <v>8</v>
      </c>
      <c r="AC623">
        <f>ROUND(Mecze[[#This Row],[OD]]*Mecze[[#This Row],[%OU]],0)</f>
        <v>2</v>
      </c>
      <c r="AD623" s="36" t="s">
        <v>41</v>
      </c>
      <c r="AE623" s="36">
        <v>35</v>
      </c>
      <c r="AF623" s="71">
        <v>5.89</v>
      </c>
      <c r="AG623" s="37">
        <v>0</v>
      </c>
      <c r="AH623" s="37">
        <v>0</v>
      </c>
      <c r="AI623" s="37">
        <v>98</v>
      </c>
      <c r="AJ623" s="37">
        <v>10</v>
      </c>
      <c r="AK623" s="37" t="str">
        <f>VLOOKUP(Mecze[[#This Row],[Match ID]],Meczusie[Mecz]:Meczusie[RodzajMeczu],2,FALSE)</f>
        <v>Liga</v>
      </c>
    </row>
    <row r="624" spans="1:37" x14ac:dyDescent="0.25">
      <c r="A624" s="76">
        <v>5</v>
      </c>
      <c r="B624" s="3" t="s">
        <v>242</v>
      </c>
      <c r="C624" s="2" t="s">
        <v>160</v>
      </c>
      <c r="D624" s="1">
        <v>0</v>
      </c>
      <c r="E624" s="1">
        <v>0</v>
      </c>
      <c r="F624" s="1">
        <v>0</v>
      </c>
      <c r="G624" s="1">
        <v>8</v>
      </c>
      <c r="H624" s="4">
        <v>0.75</v>
      </c>
      <c r="I624" s="1">
        <v>3</v>
      </c>
      <c r="J624" s="4">
        <v>0.67</v>
      </c>
      <c r="K624" s="1">
        <v>0</v>
      </c>
      <c r="L624" s="1">
        <v>2</v>
      </c>
      <c r="M624" s="32">
        <f>IF(Mecze[[#This Row],[PR]]=0,0,Mecze[[#This Row],[PR]]/Mecze[[#This Row],[CZAS]])</f>
        <v>2.0408163265306121E-2</v>
      </c>
      <c r="N624" s="32">
        <f>IF(Mecze[[#This Row],[OU]]=0,0,Mecze[[#This Row],[OU]]/Mecze[[#This Row],[CZAS]])</f>
        <v>2.0408163265306121E-2</v>
      </c>
      <c r="O624" s="32">
        <f>IF(Mecze[[#This Row],[PC]]=0,0,Mecze[[#This Row],[PC]]/Mecze[[#This Row],[CZAS]])</f>
        <v>6.1224489795918366E-2</v>
      </c>
      <c r="P624" s="32">
        <f>IF(Mecze[[#This Row],[SC]]=0,0,Mecze[[#This Row],[SC]]/Mecze[[#This Row],[CZAS]])</f>
        <v>0</v>
      </c>
      <c r="Q624" s="32">
        <f>IF(Mecze[[#This Row],[OB]]=0,0,Mecze[[#This Row],[OB]]/Mecze[[#This Row],[CZAS]])</f>
        <v>0</v>
      </c>
      <c r="R624" s="32">
        <f>IF(Mecze[[#This Row],[BR]]=0,0,Mecze[[#This Row],[BR]]/Mecze[[#This Row],[CZAS]])</f>
        <v>0</v>
      </c>
      <c r="S624" s="44">
        <f>IF(Mecze[[#This Row],[Role]]="BR",SUMPRODUCT(Mecze[[#This Row],[/PR:90]:[/BR:90]],Brudnopis!$E$23:$J$23),0)</f>
        <v>0</v>
      </c>
      <c r="T624" s="44">
        <f>IF(Mecze[[#This Row],[Role]]&lt;&gt;"BR",SUMPRODUCT(Mecze[[#This Row],[/PR:90]:[/BR:90]],Brudnopis!$E$24:$J$24),0)</f>
        <v>0.11224489795918367</v>
      </c>
      <c r="U624" s="44">
        <f>IF(Mecze[[#This Row],[Role]]&lt;&gt;"BR",SUMPRODUCT(Mecze[[#This Row],[/PR:90]:[/BR:90]],Brudnopis!$E$25:$J$25),0)</f>
        <v>0.13265306122448978</v>
      </c>
      <c r="V624" s="44">
        <f>IF(Mecze[[#This Row],[Role]]&lt;&gt;"BR",SUMPRODUCT(Mecze[[#This Row],[/PR:90]:[/BR:90]],Brudnopis!$E$26:$J$26),0)</f>
        <v>0.10204081632653061</v>
      </c>
      <c r="W624" s="44">
        <f>IF(Mecze[[#This Row],[Role]]&lt;&gt;"BR",SUMPRODUCT(Mecze[[#This Row],[/PR:90]:[/BR:90]],Brudnopis!$E$27:$J$27),0)</f>
        <v>0.12244897959183673</v>
      </c>
      <c r="X624" s="44">
        <f>IF(Mecze[[#This Row],[Role]]&lt;&gt;"BR",SUMPRODUCT(Mecze[[#This Row],[/PR:90]:[/BR:90]],Brudnopis!$E$28:$J$28),0)</f>
        <v>6.1224489795918366E-2</v>
      </c>
      <c r="Y624" s="35">
        <f>IF(Mecze[[#This Row],[Role]]="BR",Mecze[[#This Row],[/OB:90]]+Mecze[[#This Row],[/PC:90]],SUM(Mecze[[#This Row],[/PR:90]:[/BR:90]]))</f>
        <v>0.10204081632653061</v>
      </c>
      <c r="Z624" s="35">
        <f>IF(Mecze[[#This Row],[KC]]=0,SUM(Mecze[[#This Row],[/BRI]:[/NPI]]),SUM(Mecze[[#This Row],[/BRI]:[/NPI]])*0.6)</f>
        <v>0.53061224489795911</v>
      </c>
      <c r="AA624" s="10">
        <f>IFERROR(Mecze[[#This Row],[BR]]/Mecze[[#This Row],[ST]],0)</f>
        <v>0</v>
      </c>
      <c r="AB624">
        <f>ROUND(Mecze[[#This Row],[PD]]*Mecze[[#This Row],[%PC]],0)</f>
        <v>6</v>
      </c>
      <c r="AC624">
        <f>ROUND(Mecze[[#This Row],[OD]]*Mecze[[#This Row],[%OU]],0)</f>
        <v>2</v>
      </c>
      <c r="AD624" s="36" t="s">
        <v>41</v>
      </c>
      <c r="AE624" s="36">
        <v>35</v>
      </c>
      <c r="AF624" s="71">
        <v>4.33</v>
      </c>
      <c r="AG624" s="37">
        <v>0</v>
      </c>
      <c r="AH624" s="37">
        <v>0</v>
      </c>
      <c r="AI624" s="37">
        <v>98</v>
      </c>
      <c r="AJ624" s="37">
        <v>10</v>
      </c>
      <c r="AK624" s="37" t="str">
        <f>VLOOKUP(Mecze[[#This Row],[Match ID]],Meczusie[Mecz]:Meczusie[RodzajMeczu],2,FALSE)</f>
        <v>Liga</v>
      </c>
    </row>
    <row r="625" spans="1:37" x14ac:dyDescent="0.25">
      <c r="A625" s="76">
        <v>11</v>
      </c>
      <c r="B625" s="3" t="s">
        <v>243</v>
      </c>
      <c r="C625" s="2" t="s">
        <v>160</v>
      </c>
      <c r="D625" s="1">
        <v>1</v>
      </c>
      <c r="E625" s="1">
        <v>1</v>
      </c>
      <c r="F625" s="1">
        <v>1</v>
      </c>
      <c r="G625" s="1">
        <v>18</v>
      </c>
      <c r="H625" s="4">
        <v>0.83</v>
      </c>
      <c r="I625" s="1">
        <v>7</v>
      </c>
      <c r="J625" s="4">
        <v>0.28999999999999998</v>
      </c>
      <c r="K625" s="1">
        <v>0</v>
      </c>
      <c r="L625" s="1">
        <v>5</v>
      </c>
      <c r="M625" s="32">
        <f>IF(Mecze[[#This Row],[PR]]=0,0,Mecze[[#This Row],[PR]]/Mecze[[#This Row],[CZAS]])</f>
        <v>5.1020408163265307E-2</v>
      </c>
      <c r="N625" s="32">
        <f>IF(Mecze[[#This Row],[OU]]=0,0,Mecze[[#This Row],[OU]]/Mecze[[#This Row],[CZAS]])</f>
        <v>2.0408163265306121E-2</v>
      </c>
      <c r="O625" s="32">
        <f>IF(Mecze[[#This Row],[PC]]=0,0,Mecze[[#This Row],[PC]]/Mecze[[#This Row],[CZAS]])</f>
        <v>0.15306122448979592</v>
      </c>
      <c r="P625" s="32">
        <f>IF(Mecze[[#This Row],[SC]]=0,0,Mecze[[#This Row],[SC]]/Mecze[[#This Row],[CZAS]])</f>
        <v>1.020408163265306E-2</v>
      </c>
      <c r="Q625" s="32">
        <f>IF(Mecze[[#This Row],[OB]]=0,0,Mecze[[#This Row],[OB]]/Mecze[[#This Row],[CZAS]])</f>
        <v>0</v>
      </c>
      <c r="R625" s="32">
        <f>IF(Mecze[[#This Row],[BR]]=0,0,Mecze[[#This Row],[BR]]/Mecze[[#This Row],[CZAS]])</f>
        <v>1.020408163265306E-2</v>
      </c>
      <c r="S625" s="44">
        <f>IF(Mecze[[#This Row],[Role]]="BR",SUMPRODUCT(Mecze[[#This Row],[/PR:90]:[/BR:90]],Brudnopis!$E$23:$J$23),0)</f>
        <v>0</v>
      </c>
      <c r="T625" s="44">
        <f>IF(Mecze[[#This Row],[Role]]&lt;&gt;"BR",SUMPRODUCT(Mecze[[#This Row],[/PR:90]:[/BR:90]],Brudnopis!$E$24:$J$24),0)</f>
        <v>0.26020408163265307</v>
      </c>
      <c r="U625" s="44">
        <f>IF(Mecze[[#This Row],[Role]]&lt;&gt;"BR",SUMPRODUCT(Mecze[[#This Row],[/PR:90]:[/BR:90]],Brudnopis!$E$25:$J$25),0)</f>
        <v>0.32653061224489799</v>
      </c>
      <c r="V625" s="44">
        <f>IF(Mecze[[#This Row],[Role]]&lt;&gt;"BR",SUMPRODUCT(Mecze[[#This Row],[/PR:90]:[/BR:90]],Brudnopis!$E$26:$J$26),0)</f>
        <v>0.25510204081632654</v>
      </c>
      <c r="W625" s="44">
        <f>IF(Mecze[[#This Row],[Role]]&lt;&gt;"BR",SUMPRODUCT(Mecze[[#This Row],[/PR:90]:[/BR:90]],Brudnopis!$E$27:$J$27),0)</f>
        <v>0.31377551020408168</v>
      </c>
      <c r="X625" s="44">
        <f>IF(Mecze[[#This Row],[Role]]&lt;&gt;"BR",SUMPRODUCT(Mecze[[#This Row],[/PR:90]:[/BR:90]],Brudnopis!$E$28:$J$28),0)</f>
        <v>0.20408163265306123</v>
      </c>
      <c r="Y625" s="35">
        <f>IF(Mecze[[#This Row],[Role]]="BR",Mecze[[#This Row],[/OB:90]]+Mecze[[#This Row],[/PC:90]],SUM(Mecze[[#This Row],[/PR:90]:[/BR:90]]))</f>
        <v>0.24489795918367349</v>
      </c>
      <c r="Z625" s="35">
        <f>IF(Mecze[[#This Row],[KC]]=0,SUM(Mecze[[#This Row],[/BRI]:[/NPI]]),SUM(Mecze[[#This Row],[/BRI]:[/NPI]])*0.6)</f>
        <v>1.3596938775510206</v>
      </c>
      <c r="AA625" s="10">
        <f>IFERROR(Mecze[[#This Row],[BR]]/Mecze[[#This Row],[ST]],0)</f>
        <v>1</v>
      </c>
      <c r="AB625">
        <f>ROUND(Mecze[[#This Row],[PD]]*Mecze[[#This Row],[%PC]],0)</f>
        <v>15</v>
      </c>
      <c r="AC625">
        <f>ROUND(Mecze[[#This Row],[OD]]*Mecze[[#This Row],[%OU]],0)</f>
        <v>2</v>
      </c>
      <c r="AD625" s="36" t="s">
        <v>67</v>
      </c>
      <c r="AE625" s="36">
        <v>35</v>
      </c>
      <c r="AF625" s="71">
        <v>8.2100000000000009</v>
      </c>
      <c r="AG625" s="37">
        <v>0</v>
      </c>
      <c r="AH625" s="37">
        <v>0</v>
      </c>
      <c r="AI625" s="37">
        <v>98</v>
      </c>
      <c r="AJ625" s="37">
        <v>10</v>
      </c>
      <c r="AK625" s="37" t="str">
        <f>VLOOKUP(Mecze[[#This Row],[Match ID]],Meczusie[Mecz]:Meczusie[RodzajMeczu],2,FALSE)</f>
        <v>Liga</v>
      </c>
    </row>
    <row r="626" spans="1:37" x14ac:dyDescent="0.25">
      <c r="A626" s="76">
        <v>14</v>
      </c>
      <c r="B626" s="3" t="s">
        <v>244</v>
      </c>
      <c r="C626" s="2" t="s">
        <v>165</v>
      </c>
      <c r="D626" s="1">
        <v>0</v>
      </c>
      <c r="E626" s="1">
        <v>7</v>
      </c>
      <c r="F626" s="1">
        <v>6</v>
      </c>
      <c r="G626" s="1">
        <v>7</v>
      </c>
      <c r="H626" s="4">
        <v>0.56999999999999995</v>
      </c>
      <c r="I626" s="1">
        <v>1</v>
      </c>
      <c r="J626" s="4">
        <v>0</v>
      </c>
      <c r="K626" s="1">
        <v>0</v>
      </c>
      <c r="L626" s="1">
        <v>2</v>
      </c>
      <c r="M626" s="32">
        <f>IF(Mecze[[#This Row],[PR]]=0,0,Mecze[[#This Row],[PR]]/Mecze[[#This Row],[CZAS]])</f>
        <v>2.0408163265306121E-2</v>
      </c>
      <c r="N626" s="32">
        <f>IF(Mecze[[#This Row],[OU]]=0,0,Mecze[[#This Row],[OU]]/Mecze[[#This Row],[CZAS]])</f>
        <v>0</v>
      </c>
      <c r="O626" s="32">
        <f>IF(Mecze[[#This Row],[PC]]=0,0,Mecze[[#This Row],[PC]]/Mecze[[#This Row],[CZAS]])</f>
        <v>4.0816326530612242E-2</v>
      </c>
      <c r="P626" s="32">
        <f>IF(Mecze[[#This Row],[SC]]=0,0,Mecze[[#This Row],[SC]]/Mecze[[#This Row],[CZAS]])</f>
        <v>6.1224489795918366E-2</v>
      </c>
      <c r="Q626" s="32">
        <f>IF(Mecze[[#This Row],[OB]]=0,0,Mecze[[#This Row],[OB]]/Mecze[[#This Row],[CZAS]])</f>
        <v>0</v>
      </c>
      <c r="R626" s="32">
        <f>IF(Mecze[[#This Row],[BR]]=0,0,Mecze[[#This Row],[BR]]/Mecze[[#This Row],[CZAS]])</f>
        <v>0</v>
      </c>
      <c r="S626" s="44">
        <f>IF(Mecze[[#This Row],[Role]]="BR",SUMPRODUCT(Mecze[[#This Row],[/PR:90]:[/BR:90]],Brudnopis!$E$23:$J$23),0)</f>
        <v>0</v>
      </c>
      <c r="T626" s="44">
        <f>IF(Mecze[[#This Row],[Role]]&lt;&gt;"BR",SUMPRODUCT(Mecze[[#This Row],[/PR:90]:[/BR:90]],Brudnopis!$E$24:$J$24),0)</f>
        <v>0.12244897959183673</v>
      </c>
      <c r="U626" s="44">
        <f>IF(Mecze[[#This Row],[Role]]&lt;&gt;"BR",SUMPRODUCT(Mecze[[#This Row],[/PR:90]:[/BR:90]],Brudnopis!$E$25:$J$25),0)</f>
        <v>0.14285714285714285</v>
      </c>
      <c r="V626" s="44">
        <f>IF(Mecze[[#This Row],[Role]]&lt;&gt;"BR",SUMPRODUCT(Mecze[[#This Row],[/PR:90]:[/BR:90]],Brudnopis!$E$26:$J$26),0)</f>
        <v>0.12244897959183673</v>
      </c>
      <c r="W626" s="44">
        <f>IF(Mecze[[#This Row],[Role]]&lt;&gt;"BR",SUMPRODUCT(Mecze[[#This Row],[/PR:90]:[/BR:90]],Brudnopis!$E$27:$J$27),0)</f>
        <v>0.13775510204081631</v>
      </c>
      <c r="X626" s="44">
        <f>IF(Mecze[[#This Row],[Role]]&lt;&gt;"BR",SUMPRODUCT(Mecze[[#This Row],[/PR:90]:[/BR:90]],Brudnopis!$E$28:$J$28),0)</f>
        <v>0.16326530612244897</v>
      </c>
      <c r="Y626" s="35">
        <f>IF(Mecze[[#This Row],[Role]]="BR",Mecze[[#This Row],[/OB:90]]+Mecze[[#This Row],[/PC:90]],SUM(Mecze[[#This Row],[/PR:90]:[/BR:90]]))</f>
        <v>0.12244897959183673</v>
      </c>
      <c r="Z626" s="35">
        <f>IF(Mecze[[#This Row],[KC]]=0,SUM(Mecze[[#This Row],[/BRI]:[/NPI]]),SUM(Mecze[[#This Row],[/BRI]:[/NPI]])*0.6)</f>
        <v>0.68877551020408156</v>
      </c>
      <c r="AA626" s="10">
        <f>IFERROR(Mecze[[#This Row],[BR]]/Mecze[[#This Row],[ST]],0)</f>
        <v>0</v>
      </c>
      <c r="AB626">
        <f>ROUND(Mecze[[#This Row],[PD]]*Mecze[[#This Row],[%PC]],0)</f>
        <v>4</v>
      </c>
      <c r="AC626">
        <f>ROUND(Mecze[[#This Row],[OD]]*Mecze[[#This Row],[%OU]],0)</f>
        <v>0</v>
      </c>
      <c r="AD626" s="36" t="s">
        <v>46</v>
      </c>
      <c r="AE626" s="36">
        <v>35</v>
      </c>
      <c r="AF626" s="71">
        <v>5.36</v>
      </c>
      <c r="AG626" s="37">
        <v>0</v>
      </c>
      <c r="AH626" s="37">
        <v>0</v>
      </c>
      <c r="AI626" s="37">
        <v>98</v>
      </c>
      <c r="AJ626" s="37">
        <v>10</v>
      </c>
      <c r="AK626" s="37" t="str">
        <f>VLOOKUP(Mecze[[#This Row],[Match ID]],Meczusie[Mecz]:Meczusie[RodzajMeczu],2,FALSE)</f>
        <v>Liga</v>
      </c>
    </row>
    <row r="627" spans="1:37" x14ac:dyDescent="0.25">
      <c r="A627" s="76">
        <v>8</v>
      </c>
      <c r="B627" s="3" t="s">
        <v>245</v>
      </c>
      <c r="C627" s="2" t="s">
        <v>165</v>
      </c>
      <c r="D627" s="1">
        <v>1</v>
      </c>
      <c r="E627" s="1">
        <v>5</v>
      </c>
      <c r="F627" s="1">
        <v>2</v>
      </c>
      <c r="G627" s="1">
        <v>5</v>
      </c>
      <c r="H627" s="4">
        <v>0.4</v>
      </c>
      <c r="I627" s="1">
        <v>1</v>
      </c>
      <c r="J627" s="4">
        <v>0</v>
      </c>
      <c r="K627" s="1">
        <v>0</v>
      </c>
      <c r="L627" s="1">
        <v>1</v>
      </c>
      <c r="M627" s="32">
        <f>IF(Mecze[[#This Row],[PR]]=0,0,Mecze[[#This Row],[PR]]/Mecze[[#This Row],[CZAS]])</f>
        <v>1.020408163265306E-2</v>
      </c>
      <c r="N627" s="32">
        <f>IF(Mecze[[#This Row],[OU]]=0,0,Mecze[[#This Row],[OU]]/Mecze[[#This Row],[CZAS]])</f>
        <v>0</v>
      </c>
      <c r="O627" s="32">
        <f>IF(Mecze[[#This Row],[PC]]=0,0,Mecze[[#This Row],[PC]]/Mecze[[#This Row],[CZAS]])</f>
        <v>2.0408163265306121E-2</v>
      </c>
      <c r="P627" s="32">
        <f>IF(Mecze[[#This Row],[SC]]=0,0,Mecze[[#This Row],[SC]]/Mecze[[#This Row],[CZAS]])</f>
        <v>2.0408163265306121E-2</v>
      </c>
      <c r="Q627" s="32">
        <f>IF(Mecze[[#This Row],[OB]]=0,0,Mecze[[#This Row],[OB]]/Mecze[[#This Row],[CZAS]])</f>
        <v>0</v>
      </c>
      <c r="R627" s="32">
        <f>IF(Mecze[[#This Row],[BR]]=0,0,Mecze[[#This Row],[BR]]/Mecze[[#This Row],[CZAS]])</f>
        <v>1.020408163265306E-2</v>
      </c>
      <c r="S627" s="44">
        <f>IF(Mecze[[#This Row],[Role]]="BR",SUMPRODUCT(Mecze[[#This Row],[/PR:90]:[/BR:90]],Brudnopis!$E$23:$J$23),0)</f>
        <v>0</v>
      </c>
      <c r="T627" s="44">
        <f>IF(Mecze[[#This Row],[Role]]&lt;&gt;"BR",SUMPRODUCT(Mecze[[#This Row],[/PR:90]:[/BR:90]],Brudnopis!$E$24:$J$24),0)</f>
        <v>6.6326530612244902E-2</v>
      </c>
      <c r="U627" s="44">
        <f>IF(Mecze[[#This Row],[Role]]&lt;&gt;"BR",SUMPRODUCT(Mecze[[#This Row],[/PR:90]:[/BR:90]],Brudnopis!$E$25:$J$25),0)</f>
        <v>7.6530612244897961E-2</v>
      </c>
      <c r="V627" s="44">
        <f>IF(Mecze[[#This Row],[Role]]&lt;&gt;"BR",SUMPRODUCT(Mecze[[#This Row],[/PR:90]:[/BR:90]],Brudnopis!$E$26:$J$26),0)</f>
        <v>7.1428571428571425E-2</v>
      </c>
      <c r="W627" s="44">
        <f>IF(Mecze[[#This Row],[Role]]&lt;&gt;"BR",SUMPRODUCT(Mecze[[#This Row],[/PR:90]:[/BR:90]],Brudnopis!$E$27:$J$27),0)</f>
        <v>7.9081632653061215E-2</v>
      </c>
      <c r="X627" s="44">
        <f>IF(Mecze[[#This Row],[Role]]&lt;&gt;"BR",SUMPRODUCT(Mecze[[#This Row],[/PR:90]:[/BR:90]],Brudnopis!$E$28:$J$28),0)</f>
        <v>9.1836734693877542E-2</v>
      </c>
      <c r="Y627" s="35">
        <f>IF(Mecze[[#This Row],[Role]]="BR",Mecze[[#This Row],[/OB:90]]+Mecze[[#This Row],[/PC:90]],SUM(Mecze[[#This Row],[/PR:90]:[/BR:90]]))</f>
        <v>6.1224489795918366E-2</v>
      </c>
      <c r="Z627" s="35">
        <f>IF(Mecze[[#This Row],[KC]]=0,SUM(Mecze[[#This Row],[/BRI]:[/NPI]]),SUM(Mecze[[#This Row],[/BRI]:[/NPI]])*0.6)</f>
        <v>0.38520408163265302</v>
      </c>
      <c r="AA627" s="10">
        <f>IFERROR(Mecze[[#This Row],[BR]]/Mecze[[#This Row],[ST]],0)</f>
        <v>0.2</v>
      </c>
      <c r="AB627">
        <f>ROUND(Mecze[[#This Row],[PD]]*Mecze[[#This Row],[%PC]],0)</f>
        <v>2</v>
      </c>
      <c r="AC627">
        <f>ROUND(Mecze[[#This Row],[OD]]*Mecze[[#This Row],[%OU]],0)</f>
        <v>0</v>
      </c>
      <c r="AD627" s="36" t="s">
        <v>46</v>
      </c>
      <c r="AE627" s="36">
        <v>35</v>
      </c>
      <c r="AF627" s="71">
        <v>5.45</v>
      </c>
      <c r="AG627" s="37">
        <v>0</v>
      </c>
      <c r="AH627" s="37">
        <v>0</v>
      </c>
      <c r="AI627" s="37">
        <v>98</v>
      </c>
      <c r="AJ627" s="37">
        <v>10</v>
      </c>
      <c r="AK627" s="37" t="str">
        <f>VLOOKUP(Mecze[[#This Row],[Match ID]],Meczusie[Mecz]:Meczusie[RodzajMeczu],2,FALSE)</f>
        <v>Liga</v>
      </c>
    </row>
    <row r="628" spans="1:37" x14ac:dyDescent="0.25">
      <c r="A628" s="76">
        <v>10</v>
      </c>
      <c r="B628" s="3" t="s">
        <v>246</v>
      </c>
      <c r="C628" s="2" t="s">
        <v>165</v>
      </c>
      <c r="D628" s="1">
        <v>0</v>
      </c>
      <c r="E628" s="1">
        <v>6</v>
      </c>
      <c r="F628" s="1">
        <v>5</v>
      </c>
      <c r="G628" s="1">
        <v>9</v>
      </c>
      <c r="H628" s="4">
        <v>0.89</v>
      </c>
      <c r="I628" s="1">
        <v>2</v>
      </c>
      <c r="J628" s="4">
        <v>0.5</v>
      </c>
      <c r="K628" s="1">
        <v>0</v>
      </c>
      <c r="L628" s="1">
        <v>0</v>
      </c>
      <c r="M628" s="32">
        <f>IF(Mecze[[#This Row],[PR]]=0,0,Mecze[[#This Row],[PR]]/Mecze[[#This Row],[CZAS]])</f>
        <v>0</v>
      </c>
      <c r="N628" s="32">
        <f>IF(Mecze[[#This Row],[OU]]=0,0,Mecze[[#This Row],[OU]]/Mecze[[#This Row],[CZAS]])</f>
        <v>1.020408163265306E-2</v>
      </c>
      <c r="O628" s="32">
        <f>IF(Mecze[[#This Row],[PC]]=0,0,Mecze[[#This Row],[PC]]/Mecze[[#This Row],[CZAS]])</f>
        <v>8.1632653061224483E-2</v>
      </c>
      <c r="P628" s="32">
        <f>IF(Mecze[[#This Row],[SC]]=0,0,Mecze[[#This Row],[SC]]/Mecze[[#This Row],[CZAS]])</f>
        <v>5.1020408163265307E-2</v>
      </c>
      <c r="Q628" s="32">
        <f>IF(Mecze[[#This Row],[OB]]=0,0,Mecze[[#This Row],[OB]]/Mecze[[#This Row],[CZAS]])</f>
        <v>0</v>
      </c>
      <c r="R628" s="32">
        <f>IF(Mecze[[#This Row],[BR]]=0,0,Mecze[[#This Row],[BR]]/Mecze[[#This Row],[CZAS]])</f>
        <v>0</v>
      </c>
      <c r="S628" s="44">
        <f>IF(Mecze[[#This Row],[Role]]="BR",SUMPRODUCT(Mecze[[#This Row],[/PR:90]:[/BR:90]],Brudnopis!$E$23:$J$23),0)</f>
        <v>0</v>
      </c>
      <c r="T628" s="44">
        <f>IF(Mecze[[#This Row],[Role]]&lt;&gt;"BR",SUMPRODUCT(Mecze[[#This Row],[/PR:90]:[/BR:90]],Brudnopis!$E$24:$J$24),0)</f>
        <v>0.14795918367346939</v>
      </c>
      <c r="U628" s="44">
        <f>IF(Mecze[[#This Row],[Role]]&lt;&gt;"BR",SUMPRODUCT(Mecze[[#This Row],[/PR:90]:[/BR:90]],Brudnopis!$E$25:$J$25),0)</f>
        <v>0.18367346938775511</v>
      </c>
      <c r="V628" s="44">
        <f>IF(Mecze[[#This Row],[Role]]&lt;&gt;"BR",SUMPRODUCT(Mecze[[#This Row],[/PR:90]:[/BR:90]],Brudnopis!$E$26:$J$26),0)</f>
        <v>0.14285714285714285</v>
      </c>
      <c r="W628" s="44">
        <f>IF(Mecze[[#This Row],[Role]]&lt;&gt;"BR",SUMPRODUCT(Mecze[[#This Row],[/PR:90]:[/BR:90]],Brudnopis!$E$27:$J$27),0)</f>
        <v>0.18112244897959184</v>
      </c>
      <c r="X628" s="44">
        <f>IF(Mecze[[#This Row],[Role]]&lt;&gt;"BR",SUMPRODUCT(Mecze[[#This Row],[/PR:90]:[/BR:90]],Brudnopis!$E$28:$J$28),0)</f>
        <v>0.18367346938775508</v>
      </c>
      <c r="Y628" s="35">
        <f>IF(Mecze[[#This Row],[Role]]="BR",Mecze[[#This Row],[/OB:90]]+Mecze[[#This Row],[/PC:90]],SUM(Mecze[[#This Row],[/PR:90]:[/BR:90]]))</f>
        <v>0.14285714285714285</v>
      </c>
      <c r="Z628" s="35">
        <f>IF(Mecze[[#This Row],[KC]]=0,SUM(Mecze[[#This Row],[/BRI]:[/NPI]]),SUM(Mecze[[#This Row],[/BRI]:[/NPI]])*0.6)</f>
        <v>0.83928571428571419</v>
      </c>
      <c r="AA628" s="10">
        <f>IFERROR(Mecze[[#This Row],[BR]]/Mecze[[#This Row],[ST]],0)</f>
        <v>0</v>
      </c>
      <c r="AB628">
        <f>ROUND(Mecze[[#This Row],[PD]]*Mecze[[#This Row],[%PC]],0)</f>
        <v>8</v>
      </c>
      <c r="AC628">
        <f>ROUND(Mecze[[#This Row],[OD]]*Mecze[[#This Row],[%OU]],0)</f>
        <v>1</v>
      </c>
      <c r="AD628" s="36" t="s">
        <v>46</v>
      </c>
      <c r="AE628" s="36">
        <v>35</v>
      </c>
      <c r="AF628" s="71">
        <v>6.06</v>
      </c>
      <c r="AG628" s="37">
        <v>0</v>
      </c>
      <c r="AH628" s="37">
        <v>0</v>
      </c>
      <c r="AI628" s="37">
        <v>98</v>
      </c>
      <c r="AJ628" s="37">
        <v>10</v>
      </c>
      <c r="AK628" s="37" t="str">
        <f>VLOOKUP(Mecze[[#This Row],[Match ID]],Meczusie[Mecz]:Meczusie[RodzajMeczu],2,FALSE)</f>
        <v>Liga</v>
      </c>
    </row>
    <row r="629" spans="1:37" x14ac:dyDescent="0.25">
      <c r="A629" s="76">
        <v>1</v>
      </c>
      <c r="B629" s="3" t="s">
        <v>344</v>
      </c>
      <c r="C629" s="2" t="s">
        <v>155</v>
      </c>
      <c r="D629" s="1">
        <v>0</v>
      </c>
      <c r="E629" s="1">
        <v>0</v>
      </c>
      <c r="F629" s="1">
        <v>0</v>
      </c>
      <c r="G629" s="1">
        <v>21</v>
      </c>
      <c r="H629" s="4">
        <v>0.48</v>
      </c>
      <c r="I629" s="1">
        <v>0</v>
      </c>
      <c r="J629" s="4"/>
      <c r="K629" s="1">
        <v>26</v>
      </c>
      <c r="L629" s="1">
        <v>0</v>
      </c>
      <c r="M629" s="32">
        <f>IF(Mecze[[#This Row],[PR]]=0,0,Mecze[[#This Row],[PR]]/Mecze[[#This Row],[CZAS]])</f>
        <v>0</v>
      </c>
      <c r="N629" s="32">
        <f>IF(Mecze[[#This Row],[OU]]=0,0,Mecze[[#This Row],[OU]]/Mecze[[#This Row],[CZAS]])</f>
        <v>0</v>
      </c>
      <c r="O629" s="32">
        <f>IF(Mecze[[#This Row],[PC]]=0,0,Mecze[[#This Row],[PC]]/Mecze[[#This Row],[CZAS]])</f>
        <v>0.10416666666666667</v>
      </c>
      <c r="P629" s="32">
        <f>IF(Mecze[[#This Row],[SC]]=0,0,Mecze[[#This Row],[SC]]/Mecze[[#This Row],[CZAS]])</f>
        <v>0</v>
      </c>
      <c r="Q629" s="32">
        <f>IF(Mecze[[#This Row],[OB]]=0,0,Mecze[[#This Row],[OB]]/Mecze[[#This Row],[CZAS]])</f>
        <v>0.27083333333333331</v>
      </c>
      <c r="R629" s="32">
        <f>IF(Mecze[[#This Row],[BR]]=0,0,Mecze[[#This Row],[BR]]/Mecze[[#This Row],[CZAS]])</f>
        <v>0</v>
      </c>
      <c r="S629" s="44">
        <f>IF(Mecze[[#This Row],[Role]]="BR",SUMPRODUCT(Mecze[[#This Row],[/PR:90]:[/BR:90]],Brudnopis!$E$23:$J$23),0)</f>
        <v>1.125</v>
      </c>
      <c r="T629" s="44">
        <f>IF(Mecze[[#This Row],[Role]]&lt;&gt;"BR",SUMPRODUCT(Mecze[[#This Row],[/PR:90]:[/BR:90]],Brudnopis!$E$24:$J$24),0)</f>
        <v>0</v>
      </c>
      <c r="U629" s="44">
        <f>IF(Mecze[[#This Row],[Role]]&lt;&gt;"BR",SUMPRODUCT(Mecze[[#This Row],[/PR:90]:[/BR:90]],Brudnopis!$E$25:$J$25),0)</f>
        <v>0</v>
      </c>
      <c r="V629" s="44">
        <f>IF(Mecze[[#This Row],[Role]]&lt;&gt;"BR",SUMPRODUCT(Mecze[[#This Row],[/PR:90]:[/BR:90]],Brudnopis!$E$26:$J$26),0)</f>
        <v>0</v>
      </c>
      <c r="W629" s="44">
        <f>IF(Mecze[[#This Row],[Role]]&lt;&gt;"BR",SUMPRODUCT(Mecze[[#This Row],[/PR:90]:[/BR:90]],Brudnopis!$E$27:$J$27),0)</f>
        <v>0</v>
      </c>
      <c r="X629" s="44">
        <f>IF(Mecze[[#This Row],[Role]]&lt;&gt;"BR",SUMPRODUCT(Mecze[[#This Row],[/PR:90]:[/BR:90]],Brudnopis!$E$28:$J$28),0)</f>
        <v>0</v>
      </c>
      <c r="Y629" s="35">
        <f>IF(Mecze[[#This Row],[Role]]="BR",Mecze[[#This Row],[/OB:90]]+Mecze[[#This Row],[/PC:90]],SUM(Mecze[[#This Row],[/PR:90]:[/BR:90]]))</f>
        <v>0.375</v>
      </c>
      <c r="Z629" s="35">
        <f>IF(Mecze[[#This Row],[KC]]=0,SUM(Mecze[[#This Row],[/BRI]:[/NPI]]),SUM(Mecze[[#This Row],[/BRI]:[/NPI]])*0.6)</f>
        <v>1.125</v>
      </c>
      <c r="AA629" s="10">
        <f>IFERROR(Mecze[[#This Row],[BR]]/Mecze[[#This Row],[ST]],0)</f>
        <v>0</v>
      </c>
      <c r="AB629">
        <f>ROUND(Mecze[[#This Row],[PD]]*Mecze[[#This Row],[%PC]],0)</f>
        <v>10</v>
      </c>
      <c r="AC629">
        <f>ROUND(Mecze[[#This Row],[OD]]*Mecze[[#This Row],[%OU]],0)</f>
        <v>0</v>
      </c>
      <c r="AD629" s="36" t="s">
        <v>40</v>
      </c>
      <c r="AE629" s="36">
        <v>36</v>
      </c>
      <c r="AF629" s="71">
        <v>10.69</v>
      </c>
      <c r="AG629" s="37">
        <v>0</v>
      </c>
      <c r="AH629" s="37">
        <v>0</v>
      </c>
      <c r="AI629" s="37">
        <v>96</v>
      </c>
      <c r="AJ629" s="37">
        <v>5</v>
      </c>
      <c r="AK629" s="37" t="str">
        <f>VLOOKUP(Mecze[[#This Row],[Match ID]],Meczusie[Mecz]:Meczusie[RodzajMeczu],2,FALSE)</f>
        <v>Liga</v>
      </c>
    </row>
    <row r="630" spans="1:37" x14ac:dyDescent="0.25">
      <c r="A630" s="76">
        <v>2</v>
      </c>
      <c r="B630" s="3" t="s">
        <v>345</v>
      </c>
      <c r="C630" s="2" t="s">
        <v>157</v>
      </c>
      <c r="D630" s="1">
        <v>0</v>
      </c>
      <c r="E630" s="1">
        <v>0</v>
      </c>
      <c r="F630" s="1">
        <v>0</v>
      </c>
      <c r="G630" s="1">
        <v>5</v>
      </c>
      <c r="H630" s="4">
        <v>0.6</v>
      </c>
      <c r="I630" s="1">
        <v>7</v>
      </c>
      <c r="J630" s="4">
        <v>0.43</v>
      </c>
      <c r="K630" s="1">
        <v>0</v>
      </c>
      <c r="L630" s="1">
        <v>4</v>
      </c>
      <c r="M630" s="32">
        <f>IF(Mecze[[#This Row],[PR]]=0,0,Mecze[[#This Row],[PR]]/Mecze[[#This Row],[CZAS]])</f>
        <v>4.1666666666666664E-2</v>
      </c>
      <c r="N630" s="32">
        <f>IF(Mecze[[#This Row],[OU]]=0,0,Mecze[[#This Row],[OU]]/Mecze[[#This Row],[CZAS]])</f>
        <v>3.125E-2</v>
      </c>
      <c r="O630" s="32">
        <f>IF(Mecze[[#This Row],[PC]]=0,0,Mecze[[#This Row],[PC]]/Mecze[[#This Row],[CZAS]])</f>
        <v>3.125E-2</v>
      </c>
      <c r="P630" s="32">
        <f>IF(Mecze[[#This Row],[SC]]=0,0,Mecze[[#This Row],[SC]]/Mecze[[#This Row],[CZAS]])</f>
        <v>0</v>
      </c>
      <c r="Q630" s="32">
        <f>IF(Mecze[[#This Row],[OB]]=0,0,Mecze[[#This Row],[OB]]/Mecze[[#This Row],[CZAS]])</f>
        <v>0</v>
      </c>
      <c r="R630" s="32">
        <f>IF(Mecze[[#This Row],[BR]]=0,0,Mecze[[#This Row],[BR]]/Mecze[[#This Row],[CZAS]])</f>
        <v>0</v>
      </c>
      <c r="S630" s="44">
        <f>IF(Mecze[[#This Row],[Role]]="BR",SUMPRODUCT(Mecze[[#This Row],[/PR:90]:[/BR:90]],Brudnopis!$E$23:$J$23),0)</f>
        <v>0</v>
      </c>
      <c r="T630" s="44">
        <f>IF(Mecze[[#This Row],[Role]]&lt;&gt;"BR",SUMPRODUCT(Mecze[[#This Row],[/PR:90]:[/BR:90]],Brudnopis!$E$24:$J$24),0)</f>
        <v>0.11979166666666666</v>
      </c>
      <c r="U630" s="44">
        <f>IF(Mecze[[#This Row],[Role]]&lt;&gt;"BR",SUMPRODUCT(Mecze[[#This Row],[/PR:90]:[/BR:90]],Brudnopis!$E$25:$J$25),0)</f>
        <v>0.11979166666666666</v>
      </c>
      <c r="V630" s="44">
        <f>IF(Mecze[[#This Row],[Role]]&lt;&gt;"BR",SUMPRODUCT(Mecze[[#This Row],[/PR:90]:[/BR:90]],Brudnopis!$E$26:$J$26),0)</f>
        <v>0.10416666666666666</v>
      </c>
      <c r="W630" s="44">
        <f>IF(Mecze[[#This Row],[Role]]&lt;&gt;"BR",SUMPRODUCT(Mecze[[#This Row],[/PR:90]:[/BR:90]],Brudnopis!$E$27:$J$27),0)</f>
        <v>0.1015625</v>
      </c>
      <c r="X630" s="44">
        <f>IF(Mecze[[#This Row],[Role]]&lt;&gt;"BR",SUMPRODUCT(Mecze[[#This Row],[/PR:90]:[/BR:90]],Brudnopis!$E$28:$J$28),0)</f>
        <v>3.125E-2</v>
      </c>
      <c r="Y630" s="35">
        <f>IF(Mecze[[#This Row],[Role]]="BR",Mecze[[#This Row],[/OB:90]]+Mecze[[#This Row],[/PC:90]],SUM(Mecze[[#This Row],[/PR:90]:[/BR:90]]))</f>
        <v>0.10416666666666666</v>
      </c>
      <c r="Z630" s="35">
        <f>IF(Mecze[[#This Row],[KC]]=0,SUM(Mecze[[#This Row],[/BRI]:[/NPI]]),SUM(Mecze[[#This Row],[/BRI]:[/NPI]])*0.6)</f>
        <v>0.4765625</v>
      </c>
      <c r="AA630" s="10">
        <f>IFERROR(Mecze[[#This Row],[BR]]/Mecze[[#This Row],[ST]],0)</f>
        <v>0</v>
      </c>
      <c r="AB630">
        <f>ROUND(Mecze[[#This Row],[PD]]*Mecze[[#This Row],[%PC]],0)</f>
        <v>3</v>
      </c>
      <c r="AC630">
        <f>ROUND(Mecze[[#This Row],[OD]]*Mecze[[#This Row],[%OU]],0)</f>
        <v>3</v>
      </c>
      <c r="AD630" s="36" t="s">
        <v>47</v>
      </c>
      <c r="AE630" s="36">
        <v>36</v>
      </c>
      <c r="AF630" s="71">
        <v>2.4300000000000002</v>
      </c>
      <c r="AG630" s="37">
        <v>0</v>
      </c>
      <c r="AH630" s="37">
        <v>0</v>
      </c>
      <c r="AI630" s="37">
        <v>96</v>
      </c>
      <c r="AJ630" s="37">
        <v>5</v>
      </c>
      <c r="AK630" s="37" t="str">
        <f>VLOOKUP(Mecze[[#This Row],[Match ID]],Meczusie[Mecz]:Meczusie[RodzajMeczu],2,FALSE)</f>
        <v>Liga</v>
      </c>
    </row>
    <row r="631" spans="1:37" x14ac:dyDescent="0.25">
      <c r="A631" s="76">
        <v>4</v>
      </c>
      <c r="B631" s="3" t="s">
        <v>346</v>
      </c>
      <c r="C631" s="2" t="s">
        <v>157</v>
      </c>
      <c r="D631" s="1">
        <v>0</v>
      </c>
      <c r="E631" s="1">
        <v>1</v>
      </c>
      <c r="F631" s="1">
        <v>1</v>
      </c>
      <c r="G631" s="1">
        <v>19</v>
      </c>
      <c r="H631" s="4">
        <v>0.68</v>
      </c>
      <c r="I631" s="1">
        <v>13</v>
      </c>
      <c r="J631" s="4">
        <v>0.54</v>
      </c>
      <c r="K631" s="1">
        <v>0</v>
      </c>
      <c r="L631" s="1">
        <v>8</v>
      </c>
      <c r="M631" s="32">
        <f>IF(Mecze[[#This Row],[PR]]=0,0,Mecze[[#This Row],[PR]]/Mecze[[#This Row],[CZAS]])</f>
        <v>8.3333333333333329E-2</v>
      </c>
      <c r="N631" s="32">
        <f>IF(Mecze[[#This Row],[OU]]=0,0,Mecze[[#This Row],[OU]]/Mecze[[#This Row],[CZAS]])</f>
        <v>7.2916666666666671E-2</v>
      </c>
      <c r="O631" s="32">
        <f>IF(Mecze[[#This Row],[PC]]=0,0,Mecze[[#This Row],[PC]]/Mecze[[#This Row],[CZAS]])</f>
        <v>0.13541666666666666</v>
      </c>
      <c r="P631" s="32">
        <f>IF(Mecze[[#This Row],[SC]]=0,0,Mecze[[#This Row],[SC]]/Mecze[[#This Row],[CZAS]])</f>
        <v>1.0416666666666666E-2</v>
      </c>
      <c r="Q631" s="32">
        <f>IF(Mecze[[#This Row],[OB]]=0,0,Mecze[[#This Row],[OB]]/Mecze[[#This Row],[CZAS]])</f>
        <v>0</v>
      </c>
      <c r="R631" s="32">
        <f>IF(Mecze[[#This Row],[BR]]=0,0,Mecze[[#This Row],[BR]]/Mecze[[#This Row],[CZAS]])</f>
        <v>0</v>
      </c>
      <c r="S631" s="44">
        <f>IF(Mecze[[#This Row],[Role]]="BR",SUMPRODUCT(Mecze[[#This Row],[/PR:90]:[/BR:90]],Brudnopis!$E$23:$J$23),0)</f>
        <v>0</v>
      </c>
      <c r="T631" s="44">
        <f>IF(Mecze[[#This Row],[Role]]&lt;&gt;"BR",SUMPRODUCT(Mecze[[#This Row],[/PR:90]:[/BR:90]],Brudnopis!$E$24:$J$24),0)</f>
        <v>0.33854166666666669</v>
      </c>
      <c r="U631" s="44">
        <f>IF(Mecze[[#This Row],[Role]]&lt;&gt;"BR",SUMPRODUCT(Mecze[[#This Row],[/PR:90]:[/BR:90]],Brudnopis!$E$25:$J$25),0)</f>
        <v>0.36979166666666669</v>
      </c>
      <c r="V631" s="44">
        <f>IF(Mecze[[#This Row],[Role]]&lt;&gt;"BR",SUMPRODUCT(Mecze[[#This Row],[/PR:90]:[/BR:90]],Brudnopis!$E$26:$J$26),0)</f>
        <v>0.30208333333333331</v>
      </c>
      <c r="W631" s="44">
        <f>IF(Mecze[[#This Row],[Role]]&lt;&gt;"BR",SUMPRODUCT(Mecze[[#This Row],[/PR:90]:[/BR:90]],Brudnopis!$E$27:$J$27),0)</f>
        <v>0.33072916666666669</v>
      </c>
      <c r="X631" s="44">
        <f>IF(Mecze[[#This Row],[Role]]&lt;&gt;"BR",SUMPRODUCT(Mecze[[#This Row],[/PR:90]:[/BR:90]],Brudnopis!$E$28:$J$28),0)</f>
        <v>0.15625</v>
      </c>
      <c r="Y631" s="35">
        <f>IF(Mecze[[#This Row],[Role]]="BR",Mecze[[#This Row],[/OB:90]]+Mecze[[#This Row],[/PC:90]],SUM(Mecze[[#This Row],[/PR:90]:[/BR:90]]))</f>
        <v>0.30208333333333331</v>
      </c>
      <c r="Z631" s="35">
        <f>IF(Mecze[[#This Row],[KC]]=0,SUM(Mecze[[#This Row],[/BRI]:[/NPI]]),SUM(Mecze[[#This Row],[/BRI]:[/NPI]])*0.6)</f>
        <v>1.4973958333333335</v>
      </c>
      <c r="AA631" s="10">
        <f>IFERROR(Mecze[[#This Row],[BR]]/Mecze[[#This Row],[ST]],0)</f>
        <v>0</v>
      </c>
      <c r="AB631">
        <f>ROUND(Mecze[[#This Row],[PD]]*Mecze[[#This Row],[%PC]],0)</f>
        <v>13</v>
      </c>
      <c r="AC631">
        <f>ROUND(Mecze[[#This Row],[OD]]*Mecze[[#This Row],[%OU]],0)</f>
        <v>7</v>
      </c>
      <c r="AD631" s="36" t="s">
        <v>47</v>
      </c>
      <c r="AE631" s="36">
        <v>36</v>
      </c>
      <c r="AF631" s="71">
        <v>4.3899999999999997</v>
      </c>
      <c r="AG631" s="37">
        <v>0</v>
      </c>
      <c r="AH631" s="37">
        <v>0</v>
      </c>
      <c r="AI631" s="37">
        <v>96</v>
      </c>
      <c r="AJ631" s="37">
        <v>5</v>
      </c>
      <c r="AK631" s="37" t="str">
        <f>VLOOKUP(Mecze[[#This Row],[Match ID]],Meczusie[Mecz]:Meczusie[RodzajMeczu],2,FALSE)</f>
        <v>Liga</v>
      </c>
    </row>
    <row r="632" spans="1:37" x14ac:dyDescent="0.25">
      <c r="A632" s="76">
        <v>5</v>
      </c>
      <c r="B632" s="3" t="s">
        <v>347</v>
      </c>
      <c r="C632" s="2" t="s">
        <v>157</v>
      </c>
      <c r="D632" s="1">
        <v>0</v>
      </c>
      <c r="E632" s="1">
        <v>0</v>
      </c>
      <c r="F632" s="1">
        <v>0</v>
      </c>
      <c r="G632" s="1">
        <v>2</v>
      </c>
      <c r="H632" s="4">
        <v>0</v>
      </c>
      <c r="I632" s="1">
        <v>3</v>
      </c>
      <c r="J632" s="4">
        <v>0</v>
      </c>
      <c r="K632" s="1">
        <v>0</v>
      </c>
      <c r="L632" s="1">
        <v>2</v>
      </c>
      <c r="M632" s="32">
        <f>IF(Mecze[[#This Row],[PR]]=0,0,Mecze[[#This Row],[PR]]/Mecze[[#This Row],[CZAS]])</f>
        <v>2.0833333333333332E-2</v>
      </c>
      <c r="N632" s="32">
        <f>IF(Mecze[[#This Row],[OU]]=0,0,Mecze[[#This Row],[OU]]/Mecze[[#This Row],[CZAS]])</f>
        <v>0</v>
      </c>
      <c r="O632" s="32">
        <f>IF(Mecze[[#This Row],[PC]]=0,0,Mecze[[#This Row],[PC]]/Mecze[[#This Row],[CZAS]])</f>
        <v>0</v>
      </c>
      <c r="P632" s="32">
        <f>IF(Mecze[[#This Row],[SC]]=0,0,Mecze[[#This Row],[SC]]/Mecze[[#This Row],[CZAS]])</f>
        <v>0</v>
      </c>
      <c r="Q632" s="32">
        <f>IF(Mecze[[#This Row],[OB]]=0,0,Mecze[[#This Row],[OB]]/Mecze[[#This Row],[CZAS]])</f>
        <v>0</v>
      </c>
      <c r="R632" s="32">
        <f>IF(Mecze[[#This Row],[BR]]=0,0,Mecze[[#This Row],[BR]]/Mecze[[#This Row],[CZAS]])</f>
        <v>0</v>
      </c>
      <c r="S632" s="44">
        <f>IF(Mecze[[#This Row],[Role]]="BR",SUMPRODUCT(Mecze[[#This Row],[/PR:90]:[/BR:90]],Brudnopis!$E$23:$J$23),0)</f>
        <v>0</v>
      </c>
      <c r="T632" s="44">
        <f>IF(Mecze[[#This Row],[Role]]&lt;&gt;"BR",SUMPRODUCT(Mecze[[#This Row],[/PR:90]:[/BR:90]],Brudnopis!$E$24:$J$24),0)</f>
        <v>2.0833333333333332E-2</v>
      </c>
      <c r="U632" s="44">
        <f>IF(Mecze[[#This Row],[Role]]&lt;&gt;"BR",SUMPRODUCT(Mecze[[#This Row],[/PR:90]:[/BR:90]],Brudnopis!$E$25:$J$25),0)</f>
        <v>2.0833333333333332E-2</v>
      </c>
      <c r="V632" s="44">
        <f>IF(Mecze[[#This Row],[Role]]&lt;&gt;"BR",SUMPRODUCT(Mecze[[#This Row],[/PR:90]:[/BR:90]],Brudnopis!$E$26:$J$26),0)</f>
        <v>2.0833333333333332E-2</v>
      </c>
      <c r="W632" s="44">
        <f>IF(Mecze[[#This Row],[Role]]&lt;&gt;"BR",SUMPRODUCT(Mecze[[#This Row],[/PR:90]:[/BR:90]],Brudnopis!$E$27:$J$27),0)</f>
        <v>1.5625E-2</v>
      </c>
      <c r="X632" s="44">
        <f>IF(Mecze[[#This Row],[Role]]&lt;&gt;"BR",SUMPRODUCT(Mecze[[#This Row],[/PR:90]:[/BR:90]],Brudnopis!$E$28:$J$28),0)</f>
        <v>0</v>
      </c>
      <c r="Y632" s="35">
        <f>IF(Mecze[[#This Row],[Role]]="BR",Mecze[[#This Row],[/OB:90]]+Mecze[[#This Row],[/PC:90]],SUM(Mecze[[#This Row],[/PR:90]:[/BR:90]]))</f>
        <v>2.0833333333333332E-2</v>
      </c>
      <c r="Z632" s="35">
        <f>IF(Mecze[[#This Row],[KC]]=0,SUM(Mecze[[#This Row],[/BRI]:[/NPI]]),SUM(Mecze[[#This Row],[/BRI]:[/NPI]])*0.6)</f>
        <v>7.8125E-2</v>
      </c>
      <c r="AA632" s="10">
        <f>IFERROR(Mecze[[#This Row],[BR]]/Mecze[[#This Row],[ST]],0)</f>
        <v>0</v>
      </c>
      <c r="AB632">
        <f>ROUND(Mecze[[#This Row],[PD]]*Mecze[[#This Row],[%PC]],0)</f>
        <v>0</v>
      </c>
      <c r="AC632">
        <f>ROUND(Mecze[[#This Row],[OD]]*Mecze[[#This Row],[%OU]],0)</f>
        <v>0</v>
      </c>
      <c r="AD632" s="36" t="s">
        <v>175</v>
      </c>
      <c r="AE632" s="36">
        <v>36</v>
      </c>
      <c r="AF632" s="71">
        <v>2.0099999999999998</v>
      </c>
      <c r="AG632" s="37">
        <v>0</v>
      </c>
      <c r="AH632" s="37">
        <v>0</v>
      </c>
      <c r="AI632" s="37">
        <v>96</v>
      </c>
      <c r="AJ632" s="37">
        <v>5</v>
      </c>
      <c r="AK632" s="37" t="str">
        <f>VLOOKUP(Mecze[[#This Row],[Match ID]],Meczusie[Mecz]:Meczusie[RodzajMeczu],2,FALSE)</f>
        <v>Liga</v>
      </c>
    </row>
    <row r="633" spans="1:37" x14ac:dyDescent="0.25">
      <c r="A633" s="76">
        <v>3</v>
      </c>
      <c r="B633" s="3" t="s">
        <v>348</v>
      </c>
      <c r="C633" s="2" t="s">
        <v>157</v>
      </c>
      <c r="D633" s="1">
        <v>0</v>
      </c>
      <c r="E633" s="1">
        <v>0</v>
      </c>
      <c r="F633" s="1">
        <v>0</v>
      </c>
      <c r="G633" s="1">
        <v>3</v>
      </c>
      <c r="H633" s="4">
        <v>0.33</v>
      </c>
      <c r="I633" s="1">
        <v>5</v>
      </c>
      <c r="J633" s="4">
        <v>0.2</v>
      </c>
      <c r="K633" s="1">
        <v>0</v>
      </c>
      <c r="L633" s="1">
        <v>3</v>
      </c>
      <c r="M633" s="32">
        <f>IF(Mecze[[#This Row],[PR]]=0,0,Mecze[[#This Row],[PR]]/Mecze[[#This Row],[CZAS]])</f>
        <v>3.125E-2</v>
      </c>
      <c r="N633" s="32">
        <f>IF(Mecze[[#This Row],[OU]]=0,0,Mecze[[#This Row],[OU]]/Mecze[[#This Row],[CZAS]])</f>
        <v>1.0416666666666666E-2</v>
      </c>
      <c r="O633" s="32">
        <f>IF(Mecze[[#This Row],[PC]]=0,0,Mecze[[#This Row],[PC]]/Mecze[[#This Row],[CZAS]])</f>
        <v>1.0416666666666666E-2</v>
      </c>
      <c r="P633" s="32">
        <f>IF(Mecze[[#This Row],[SC]]=0,0,Mecze[[#This Row],[SC]]/Mecze[[#This Row],[CZAS]])</f>
        <v>0</v>
      </c>
      <c r="Q633" s="32">
        <f>IF(Mecze[[#This Row],[OB]]=0,0,Mecze[[#This Row],[OB]]/Mecze[[#This Row],[CZAS]])</f>
        <v>0</v>
      </c>
      <c r="R633" s="32">
        <f>IF(Mecze[[#This Row],[BR]]=0,0,Mecze[[#This Row],[BR]]/Mecze[[#This Row],[CZAS]])</f>
        <v>0</v>
      </c>
      <c r="S633" s="44">
        <f>IF(Mecze[[#This Row],[Role]]="BR",SUMPRODUCT(Mecze[[#This Row],[/PR:90]:[/BR:90]],Brudnopis!$E$23:$J$23),0)</f>
        <v>0</v>
      </c>
      <c r="T633" s="44">
        <f>IF(Mecze[[#This Row],[Role]]&lt;&gt;"BR",SUMPRODUCT(Mecze[[#This Row],[/PR:90]:[/BR:90]],Brudnopis!$E$24:$J$24),0)</f>
        <v>5.7291666666666664E-2</v>
      </c>
      <c r="U633" s="44">
        <f>IF(Mecze[[#This Row],[Role]]&lt;&gt;"BR",SUMPRODUCT(Mecze[[#This Row],[/PR:90]:[/BR:90]],Brudnopis!$E$25:$J$25),0)</f>
        <v>5.7291666666666664E-2</v>
      </c>
      <c r="V633" s="44">
        <f>IF(Mecze[[#This Row],[Role]]&lt;&gt;"BR",SUMPRODUCT(Mecze[[#This Row],[/PR:90]:[/BR:90]],Brudnopis!$E$26:$J$26),0)</f>
        <v>5.2083333333333329E-2</v>
      </c>
      <c r="W633" s="44">
        <f>IF(Mecze[[#This Row],[Role]]&lt;&gt;"BR",SUMPRODUCT(Mecze[[#This Row],[/PR:90]:[/BR:90]],Brudnopis!$E$27:$J$27),0)</f>
        <v>4.6875E-2</v>
      </c>
      <c r="X633" s="44">
        <f>IF(Mecze[[#This Row],[Role]]&lt;&gt;"BR",SUMPRODUCT(Mecze[[#This Row],[/PR:90]:[/BR:90]],Brudnopis!$E$28:$J$28),0)</f>
        <v>1.0416666666666666E-2</v>
      </c>
      <c r="Y633" s="35">
        <f>IF(Mecze[[#This Row],[Role]]="BR",Mecze[[#This Row],[/OB:90]]+Mecze[[#This Row],[/PC:90]],SUM(Mecze[[#This Row],[/PR:90]:[/BR:90]]))</f>
        <v>5.2083333333333329E-2</v>
      </c>
      <c r="Z633" s="35">
        <f>IF(Mecze[[#This Row],[KC]]=0,SUM(Mecze[[#This Row],[/BRI]:[/NPI]]),SUM(Mecze[[#This Row],[/BRI]:[/NPI]])*0.6)</f>
        <v>0.22395833333333331</v>
      </c>
      <c r="AA633" s="10">
        <f>IFERROR(Mecze[[#This Row],[BR]]/Mecze[[#This Row],[ST]],0)</f>
        <v>0</v>
      </c>
      <c r="AB633">
        <f>ROUND(Mecze[[#This Row],[PD]]*Mecze[[#This Row],[%PC]],0)</f>
        <v>1</v>
      </c>
      <c r="AC633">
        <f>ROUND(Mecze[[#This Row],[OD]]*Mecze[[#This Row],[%OU]],0)</f>
        <v>1</v>
      </c>
      <c r="AD633" s="36" t="s">
        <v>174</v>
      </c>
      <c r="AE633" s="36">
        <v>36</v>
      </c>
      <c r="AF633" s="71">
        <v>2.2200000000000002</v>
      </c>
      <c r="AG633" s="37">
        <v>0</v>
      </c>
      <c r="AH633" s="37">
        <v>0</v>
      </c>
      <c r="AI633" s="37">
        <v>96</v>
      </c>
      <c r="AJ633" s="37">
        <v>5</v>
      </c>
      <c r="AK633" s="37" t="str">
        <f>VLOOKUP(Mecze[[#This Row],[Match ID]],Meczusie[Mecz]:Meczusie[RodzajMeczu],2,FALSE)</f>
        <v>Liga</v>
      </c>
    </row>
    <row r="634" spans="1:37" x14ac:dyDescent="0.25">
      <c r="A634" s="76">
        <v>6</v>
      </c>
      <c r="B634" s="3" t="s">
        <v>349</v>
      </c>
      <c r="C634" s="2" t="s">
        <v>160</v>
      </c>
      <c r="D634" s="1">
        <v>0</v>
      </c>
      <c r="E634" s="1">
        <v>0</v>
      </c>
      <c r="F634" s="1">
        <v>0</v>
      </c>
      <c r="G634" s="1">
        <v>9</v>
      </c>
      <c r="H634" s="4">
        <v>0.67</v>
      </c>
      <c r="I634" s="1">
        <v>8</v>
      </c>
      <c r="J634" s="4">
        <v>0.38</v>
      </c>
      <c r="K634" s="1">
        <v>0</v>
      </c>
      <c r="L634" s="1">
        <v>2</v>
      </c>
      <c r="M634" s="32">
        <f>IF(Mecze[[#This Row],[PR]]=0,0,Mecze[[#This Row],[PR]]/Mecze[[#This Row],[CZAS]])</f>
        <v>2.0833333333333332E-2</v>
      </c>
      <c r="N634" s="32">
        <f>IF(Mecze[[#This Row],[OU]]=0,0,Mecze[[#This Row],[OU]]/Mecze[[#This Row],[CZAS]])</f>
        <v>3.125E-2</v>
      </c>
      <c r="O634" s="32">
        <f>IF(Mecze[[#This Row],[PC]]=0,0,Mecze[[#This Row],[PC]]/Mecze[[#This Row],[CZAS]])</f>
        <v>6.25E-2</v>
      </c>
      <c r="P634" s="32">
        <f>IF(Mecze[[#This Row],[SC]]=0,0,Mecze[[#This Row],[SC]]/Mecze[[#This Row],[CZAS]])</f>
        <v>0</v>
      </c>
      <c r="Q634" s="32">
        <f>IF(Mecze[[#This Row],[OB]]=0,0,Mecze[[#This Row],[OB]]/Mecze[[#This Row],[CZAS]])</f>
        <v>0</v>
      </c>
      <c r="R634" s="32">
        <f>IF(Mecze[[#This Row],[BR]]=0,0,Mecze[[#This Row],[BR]]/Mecze[[#This Row],[CZAS]])</f>
        <v>0</v>
      </c>
      <c r="S634" s="44">
        <f>IF(Mecze[[#This Row],[Role]]="BR",SUMPRODUCT(Mecze[[#This Row],[/PR:90]:[/BR:90]],Brudnopis!$E$23:$J$23),0)</f>
        <v>0</v>
      </c>
      <c r="T634" s="44">
        <f>IF(Mecze[[#This Row],[Role]]&lt;&gt;"BR",SUMPRODUCT(Mecze[[#This Row],[/PR:90]:[/BR:90]],Brudnopis!$E$24:$J$24),0)</f>
        <v>0.13020833333333331</v>
      </c>
      <c r="U634" s="44">
        <f>IF(Mecze[[#This Row],[Role]]&lt;&gt;"BR",SUMPRODUCT(Mecze[[#This Row],[/PR:90]:[/BR:90]],Brudnopis!$E$25:$J$25),0)</f>
        <v>0.14583333333333331</v>
      </c>
      <c r="V634" s="44">
        <f>IF(Mecze[[#This Row],[Role]]&lt;&gt;"BR",SUMPRODUCT(Mecze[[#This Row],[/PR:90]:[/BR:90]],Brudnopis!$E$26:$J$26),0)</f>
        <v>0.11458333333333333</v>
      </c>
      <c r="W634" s="44">
        <f>IF(Mecze[[#This Row],[Role]]&lt;&gt;"BR",SUMPRODUCT(Mecze[[#This Row],[/PR:90]:[/BR:90]],Brudnopis!$E$27:$J$27),0)</f>
        <v>0.1328125</v>
      </c>
      <c r="X634" s="44">
        <f>IF(Mecze[[#This Row],[Role]]&lt;&gt;"BR",SUMPRODUCT(Mecze[[#This Row],[/PR:90]:[/BR:90]],Brudnopis!$E$28:$J$28),0)</f>
        <v>6.25E-2</v>
      </c>
      <c r="Y634" s="35">
        <f>IF(Mecze[[#This Row],[Role]]="BR",Mecze[[#This Row],[/OB:90]]+Mecze[[#This Row],[/PC:90]],SUM(Mecze[[#This Row],[/PR:90]:[/BR:90]]))</f>
        <v>0.11458333333333333</v>
      </c>
      <c r="Z634" s="35">
        <f>IF(Mecze[[#This Row],[KC]]=0,SUM(Mecze[[#This Row],[/BRI]:[/NPI]]),SUM(Mecze[[#This Row],[/BRI]:[/NPI]])*0.6)</f>
        <v>0.5859375</v>
      </c>
      <c r="AA634" s="10">
        <f>IFERROR(Mecze[[#This Row],[BR]]/Mecze[[#This Row],[ST]],0)</f>
        <v>0</v>
      </c>
      <c r="AB634">
        <f>ROUND(Mecze[[#This Row],[PD]]*Mecze[[#This Row],[%PC]],0)</f>
        <v>6</v>
      </c>
      <c r="AC634">
        <f>ROUND(Mecze[[#This Row],[OD]]*Mecze[[#This Row],[%OU]],0)</f>
        <v>3</v>
      </c>
      <c r="AD634" s="36" t="s">
        <v>41</v>
      </c>
      <c r="AE634" s="36">
        <v>36</v>
      </c>
      <c r="AF634" s="71">
        <v>4.33</v>
      </c>
      <c r="AG634" s="37">
        <v>0</v>
      </c>
      <c r="AH634" s="37">
        <v>0</v>
      </c>
      <c r="AI634" s="37">
        <v>96</v>
      </c>
      <c r="AJ634" s="37">
        <v>5</v>
      </c>
      <c r="AK634" s="37" t="str">
        <f>VLOOKUP(Mecze[[#This Row],[Match ID]],Meczusie[Mecz]:Meczusie[RodzajMeczu],2,FALSE)</f>
        <v>Liga</v>
      </c>
    </row>
    <row r="635" spans="1:37" x14ac:dyDescent="0.25">
      <c r="A635" s="76">
        <v>7</v>
      </c>
      <c r="B635" s="3" t="s">
        <v>350</v>
      </c>
      <c r="C635" s="2" t="s">
        <v>160</v>
      </c>
      <c r="D635" s="1">
        <v>0</v>
      </c>
      <c r="E635" s="1">
        <v>2</v>
      </c>
      <c r="F635" s="1">
        <v>2</v>
      </c>
      <c r="G635" s="1">
        <v>7</v>
      </c>
      <c r="H635" s="4">
        <v>0.14000000000000001</v>
      </c>
      <c r="I635" s="1">
        <v>7</v>
      </c>
      <c r="J635" s="4">
        <v>0.43</v>
      </c>
      <c r="K635" s="1">
        <v>0</v>
      </c>
      <c r="L635" s="1">
        <v>3</v>
      </c>
      <c r="M635" s="32">
        <f>IF(Mecze[[#This Row],[PR]]=0,0,Mecze[[#This Row],[PR]]/Mecze[[#This Row],[CZAS]])</f>
        <v>3.125E-2</v>
      </c>
      <c r="N635" s="32">
        <f>IF(Mecze[[#This Row],[OU]]=0,0,Mecze[[#This Row],[OU]]/Mecze[[#This Row],[CZAS]])</f>
        <v>3.125E-2</v>
      </c>
      <c r="O635" s="32">
        <f>IF(Mecze[[#This Row],[PC]]=0,0,Mecze[[#This Row],[PC]]/Mecze[[#This Row],[CZAS]])</f>
        <v>1.0416666666666666E-2</v>
      </c>
      <c r="P635" s="32">
        <f>IF(Mecze[[#This Row],[SC]]=0,0,Mecze[[#This Row],[SC]]/Mecze[[#This Row],[CZAS]])</f>
        <v>2.0833333333333332E-2</v>
      </c>
      <c r="Q635" s="32">
        <f>IF(Mecze[[#This Row],[OB]]=0,0,Mecze[[#This Row],[OB]]/Mecze[[#This Row],[CZAS]])</f>
        <v>0</v>
      </c>
      <c r="R635" s="32">
        <f>IF(Mecze[[#This Row],[BR]]=0,0,Mecze[[#This Row],[BR]]/Mecze[[#This Row],[CZAS]])</f>
        <v>0</v>
      </c>
      <c r="S635" s="44">
        <f>IF(Mecze[[#This Row],[Role]]="BR",SUMPRODUCT(Mecze[[#This Row],[/PR:90]:[/BR:90]],Brudnopis!$E$23:$J$23),0)</f>
        <v>0</v>
      </c>
      <c r="T635" s="44">
        <f>IF(Mecze[[#This Row],[Role]]&lt;&gt;"BR",SUMPRODUCT(Mecze[[#This Row],[/PR:90]:[/BR:90]],Brudnopis!$E$24:$J$24),0)</f>
        <v>0.109375</v>
      </c>
      <c r="U635" s="44">
        <f>IF(Mecze[[#This Row],[Role]]&lt;&gt;"BR",SUMPRODUCT(Mecze[[#This Row],[/PR:90]:[/BR:90]],Brudnopis!$E$25:$J$25),0)</f>
        <v>9.8958333333333329E-2</v>
      </c>
      <c r="V635" s="44">
        <f>IF(Mecze[[#This Row],[Role]]&lt;&gt;"BR",SUMPRODUCT(Mecze[[#This Row],[/PR:90]:[/BR:90]],Brudnopis!$E$26:$J$26),0)</f>
        <v>9.375E-2</v>
      </c>
      <c r="W635" s="44">
        <f>IF(Mecze[[#This Row],[Role]]&lt;&gt;"BR",SUMPRODUCT(Mecze[[#This Row],[/PR:90]:[/BR:90]],Brudnopis!$E$27:$J$27),0)</f>
        <v>8.3333333333333329E-2</v>
      </c>
      <c r="X635" s="44">
        <f>IF(Mecze[[#This Row],[Role]]&lt;&gt;"BR",SUMPRODUCT(Mecze[[#This Row],[/PR:90]:[/BR:90]],Brudnopis!$E$28:$J$28),0)</f>
        <v>5.2083333333333329E-2</v>
      </c>
      <c r="Y635" s="35">
        <f>IF(Mecze[[#This Row],[Role]]="BR",Mecze[[#This Row],[/OB:90]]+Mecze[[#This Row],[/PC:90]],SUM(Mecze[[#This Row],[/PR:90]:[/BR:90]]))</f>
        <v>9.375E-2</v>
      </c>
      <c r="Z635" s="35">
        <f>IF(Mecze[[#This Row],[KC]]=0,SUM(Mecze[[#This Row],[/BRI]:[/NPI]]),SUM(Mecze[[#This Row],[/BRI]:[/NPI]])*0.6)</f>
        <v>0.43749999999999994</v>
      </c>
      <c r="AA635" s="10">
        <f>IFERROR(Mecze[[#This Row],[BR]]/Mecze[[#This Row],[ST]],0)</f>
        <v>0</v>
      </c>
      <c r="AB635">
        <f>ROUND(Mecze[[#This Row],[PD]]*Mecze[[#This Row],[%PC]],0)</f>
        <v>1</v>
      </c>
      <c r="AC635">
        <f>ROUND(Mecze[[#This Row],[OD]]*Mecze[[#This Row],[%OU]],0)</f>
        <v>3</v>
      </c>
      <c r="AD635" s="36" t="s">
        <v>67</v>
      </c>
      <c r="AE635" s="36">
        <v>36</v>
      </c>
      <c r="AF635" s="71">
        <v>3.79</v>
      </c>
      <c r="AG635" s="37">
        <v>0</v>
      </c>
      <c r="AH635" s="37">
        <v>0</v>
      </c>
      <c r="AI635" s="37">
        <v>96</v>
      </c>
      <c r="AJ635" s="37">
        <v>5</v>
      </c>
      <c r="AK635" s="37" t="str">
        <f>VLOOKUP(Mecze[[#This Row],[Match ID]],Meczusie[Mecz]:Meczusie[RodzajMeczu],2,FALSE)</f>
        <v>Liga</v>
      </c>
    </row>
    <row r="636" spans="1:37" x14ac:dyDescent="0.25">
      <c r="A636" s="76">
        <v>8</v>
      </c>
      <c r="B636" s="3" t="s">
        <v>351</v>
      </c>
      <c r="C636" s="2" t="s">
        <v>160</v>
      </c>
      <c r="D636" s="1">
        <v>0</v>
      </c>
      <c r="E636" s="1">
        <v>2</v>
      </c>
      <c r="F636" s="1">
        <v>2</v>
      </c>
      <c r="G636" s="1">
        <v>6</v>
      </c>
      <c r="H636" s="4">
        <v>0.67</v>
      </c>
      <c r="I636" s="1">
        <v>4</v>
      </c>
      <c r="J636" s="4">
        <v>0.25</v>
      </c>
      <c r="K636" s="1">
        <v>0</v>
      </c>
      <c r="L636" s="1">
        <v>2</v>
      </c>
      <c r="M636" s="32">
        <f>IF(Mecze[[#This Row],[PR]]=0,0,Mecze[[#This Row],[PR]]/Mecze[[#This Row],[CZAS]])</f>
        <v>2.0833333333333332E-2</v>
      </c>
      <c r="N636" s="32">
        <f>IF(Mecze[[#This Row],[OU]]=0,0,Mecze[[#This Row],[OU]]/Mecze[[#This Row],[CZAS]])</f>
        <v>1.0416666666666666E-2</v>
      </c>
      <c r="O636" s="32">
        <f>IF(Mecze[[#This Row],[PC]]=0,0,Mecze[[#This Row],[PC]]/Mecze[[#This Row],[CZAS]])</f>
        <v>4.1666666666666664E-2</v>
      </c>
      <c r="P636" s="32">
        <f>IF(Mecze[[#This Row],[SC]]=0,0,Mecze[[#This Row],[SC]]/Mecze[[#This Row],[CZAS]])</f>
        <v>2.0833333333333332E-2</v>
      </c>
      <c r="Q636" s="32">
        <f>IF(Mecze[[#This Row],[OB]]=0,0,Mecze[[#This Row],[OB]]/Mecze[[#This Row],[CZAS]])</f>
        <v>0</v>
      </c>
      <c r="R636" s="32">
        <f>IF(Mecze[[#This Row],[BR]]=0,0,Mecze[[#This Row],[BR]]/Mecze[[#This Row],[CZAS]])</f>
        <v>0</v>
      </c>
      <c r="S636" s="44">
        <f>IF(Mecze[[#This Row],[Role]]="BR",SUMPRODUCT(Mecze[[#This Row],[/PR:90]:[/BR:90]],Brudnopis!$E$23:$J$23),0)</f>
        <v>0</v>
      </c>
      <c r="T636" s="44">
        <f>IF(Mecze[[#This Row],[Role]]&lt;&gt;"BR",SUMPRODUCT(Mecze[[#This Row],[/PR:90]:[/BR:90]],Brudnopis!$E$24:$J$24),0)</f>
        <v>9.8958333333333329E-2</v>
      </c>
      <c r="U636" s="44">
        <f>IF(Mecze[[#This Row],[Role]]&lt;&gt;"BR",SUMPRODUCT(Mecze[[#This Row],[/PR:90]:[/BR:90]],Brudnopis!$E$25:$J$25),0)</f>
        <v>0.11458333333333333</v>
      </c>
      <c r="V636" s="44">
        <f>IF(Mecze[[#This Row],[Role]]&lt;&gt;"BR",SUMPRODUCT(Mecze[[#This Row],[/PR:90]:[/BR:90]],Brudnopis!$E$26:$J$26),0)</f>
        <v>9.3749999999999986E-2</v>
      </c>
      <c r="W636" s="44">
        <f>IF(Mecze[[#This Row],[Role]]&lt;&gt;"BR",SUMPRODUCT(Mecze[[#This Row],[/PR:90]:[/BR:90]],Brudnopis!$E$27:$J$27),0)</f>
        <v>0.10677083333333333</v>
      </c>
      <c r="X636" s="44">
        <f>IF(Mecze[[#This Row],[Role]]&lt;&gt;"BR",SUMPRODUCT(Mecze[[#This Row],[/PR:90]:[/BR:90]],Brudnopis!$E$28:$J$28),0)</f>
        <v>8.3333333333333329E-2</v>
      </c>
      <c r="Y636" s="35">
        <f>IF(Mecze[[#This Row],[Role]]="BR",Mecze[[#This Row],[/OB:90]]+Mecze[[#This Row],[/PC:90]],SUM(Mecze[[#This Row],[/PR:90]:[/BR:90]]))</f>
        <v>9.3749999999999986E-2</v>
      </c>
      <c r="Z636" s="35">
        <f>IF(Mecze[[#This Row],[KC]]=0,SUM(Mecze[[#This Row],[/BRI]:[/NPI]]),SUM(Mecze[[#This Row],[/BRI]:[/NPI]])*0.6)</f>
        <v>0.49739583333333326</v>
      </c>
      <c r="AA636" s="10">
        <f>IFERROR(Mecze[[#This Row],[BR]]/Mecze[[#This Row],[ST]],0)</f>
        <v>0</v>
      </c>
      <c r="AB636">
        <f>ROUND(Mecze[[#This Row],[PD]]*Mecze[[#This Row],[%PC]],0)</f>
        <v>4</v>
      </c>
      <c r="AC636">
        <f>ROUND(Mecze[[#This Row],[OD]]*Mecze[[#This Row],[%OU]],0)</f>
        <v>1</v>
      </c>
      <c r="AD636" s="36" t="s">
        <v>67</v>
      </c>
      <c r="AE636" s="36">
        <v>36</v>
      </c>
      <c r="AF636" s="71">
        <v>4.79</v>
      </c>
      <c r="AG636" s="37">
        <v>0</v>
      </c>
      <c r="AH636" s="37">
        <v>0</v>
      </c>
      <c r="AI636" s="37">
        <v>96</v>
      </c>
      <c r="AJ636" s="37">
        <v>5</v>
      </c>
      <c r="AK636" s="37" t="str">
        <f>VLOOKUP(Mecze[[#This Row],[Match ID]],Meczusie[Mecz]:Meczusie[RodzajMeczu],2,FALSE)</f>
        <v>Liga</v>
      </c>
    </row>
    <row r="637" spans="1:37" x14ac:dyDescent="0.25">
      <c r="A637" s="76">
        <v>10</v>
      </c>
      <c r="B637" s="3" t="s">
        <v>352</v>
      </c>
      <c r="C637" s="2" t="s">
        <v>165</v>
      </c>
      <c r="D637" s="1">
        <v>0</v>
      </c>
      <c r="E637" s="1">
        <v>2</v>
      </c>
      <c r="F637" s="1">
        <v>2</v>
      </c>
      <c r="G637" s="1">
        <v>9</v>
      </c>
      <c r="H637" s="4">
        <v>0.44</v>
      </c>
      <c r="I637" s="1">
        <v>5</v>
      </c>
      <c r="J637" s="4">
        <v>0.8</v>
      </c>
      <c r="K637" s="1">
        <v>0</v>
      </c>
      <c r="L637" s="1">
        <v>2</v>
      </c>
      <c r="M637" s="32">
        <f>IF(Mecze[[#This Row],[PR]]=0,0,Mecze[[#This Row],[PR]]/Mecze[[#This Row],[CZAS]])</f>
        <v>2.0833333333333332E-2</v>
      </c>
      <c r="N637" s="32">
        <f>IF(Mecze[[#This Row],[OU]]=0,0,Mecze[[#This Row],[OU]]/Mecze[[#This Row],[CZAS]])</f>
        <v>4.1666666666666664E-2</v>
      </c>
      <c r="O637" s="32">
        <f>IF(Mecze[[#This Row],[PC]]=0,0,Mecze[[#This Row],[PC]]/Mecze[[#This Row],[CZAS]])</f>
        <v>4.1666666666666664E-2</v>
      </c>
      <c r="P637" s="32">
        <f>IF(Mecze[[#This Row],[SC]]=0,0,Mecze[[#This Row],[SC]]/Mecze[[#This Row],[CZAS]])</f>
        <v>2.0833333333333332E-2</v>
      </c>
      <c r="Q637" s="32">
        <f>IF(Mecze[[#This Row],[OB]]=0,0,Mecze[[#This Row],[OB]]/Mecze[[#This Row],[CZAS]])</f>
        <v>0</v>
      </c>
      <c r="R637" s="32">
        <f>IF(Mecze[[#This Row],[BR]]=0,0,Mecze[[#This Row],[BR]]/Mecze[[#This Row],[CZAS]])</f>
        <v>0</v>
      </c>
      <c r="S637" s="44">
        <f>IF(Mecze[[#This Row],[Role]]="BR",SUMPRODUCT(Mecze[[#This Row],[/PR:90]:[/BR:90]],Brudnopis!$E$23:$J$23),0)</f>
        <v>0</v>
      </c>
      <c r="T637" s="44">
        <f>IF(Mecze[[#This Row],[Role]]&lt;&gt;"BR",SUMPRODUCT(Mecze[[#This Row],[/PR:90]:[/BR:90]],Brudnopis!$E$24:$J$24),0)</f>
        <v>0.14583333333333334</v>
      </c>
      <c r="U637" s="44">
        <f>IF(Mecze[[#This Row],[Role]]&lt;&gt;"BR",SUMPRODUCT(Mecze[[#This Row],[/PR:90]:[/BR:90]],Brudnopis!$E$25:$J$25),0)</f>
        <v>0.14583333333333334</v>
      </c>
      <c r="V637" s="44">
        <f>IF(Mecze[[#This Row],[Role]]&lt;&gt;"BR",SUMPRODUCT(Mecze[[#This Row],[/PR:90]:[/BR:90]],Brudnopis!$E$26:$J$26),0)</f>
        <v>0.12499999999999999</v>
      </c>
      <c r="W637" s="44">
        <f>IF(Mecze[[#This Row],[Role]]&lt;&gt;"BR",SUMPRODUCT(Mecze[[#This Row],[/PR:90]:[/BR:90]],Brudnopis!$E$27:$J$27),0)</f>
        <v>0.13020833333333334</v>
      </c>
      <c r="X637" s="44">
        <f>IF(Mecze[[#This Row],[Role]]&lt;&gt;"BR",SUMPRODUCT(Mecze[[#This Row],[/PR:90]:[/BR:90]],Brudnopis!$E$28:$J$28),0)</f>
        <v>8.3333333333333329E-2</v>
      </c>
      <c r="Y637" s="35">
        <f>IF(Mecze[[#This Row],[Role]]="BR",Mecze[[#This Row],[/OB:90]]+Mecze[[#This Row],[/PC:90]],SUM(Mecze[[#This Row],[/PR:90]:[/BR:90]]))</f>
        <v>0.12499999999999999</v>
      </c>
      <c r="Z637" s="35">
        <f>IF(Mecze[[#This Row],[KC]]=0,SUM(Mecze[[#This Row],[/BRI]:[/NPI]]),SUM(Mecze[[#This Row],[/BRI]:[/NPI]])*0.6)</f>
        <v>0.63020833333333337</v>
      </c>
      <c r="AA637" s="10">
        <f>IFERROR(Mecze[[#This Row],[BR]]/Mecze[[#This Row],[ST]],0)</f>
        <v>0</v>
      </c>
      <c r="AB637">
        <f>ROUND(Mecze[[#This Row],[PD]]*Mecze[[#This Row],[%PC]],0)</f>
        <v>4</v>
      </c>
      <c r="AC637">
        <f>ROUND(Mecze[[#This Row],[OD]]*Mecze[[#This Row],[%OU]],0)</f>
        <v>4</v>
      </c>
      <c r="AD637" s="36" t="s">
        <v>46</v>
      </c>
      <c r="AE637" s="36">
        <v>36</v>
      </c>
      <c r="AF637" s="71">
        <v>3.15</v>
      </c>
      <c r="AG637" s="37">
        <v>0</v>
      </c>
      <c r="AH637" s="37">
        <v>0</v>
      </c>
      <c r="AI637" s="37">
        <v>96</v>
      </c>
      <c r="AJ637" s="37">
        <v>5</v>
      </c>
      <c r="AK637" s="37" t="str">
        <f>VLOOKUP(Mecze[[#This Row],[Match ID]],Meczusie[Mecz]:Meczusie[RodzajMeczu],2,FALSE)</f>
        <v>Liga</v>
      </c>
    </row>
    <row r="638" spans="1:37" x14ac:dyDescent="0.25">
      <c r="A638" s="76">
        <v>11</v>
      </c>
      <c r="B638" s="3" t="s">
        <v>353</v>
      </c>
      <c r="C638" s="2" t="s">
        <v>165</v>
      </c>
      <c r="D638" s="1">
        <v>0</v>
      </c>
      <c r="E638" s="1">
        <v>2</v>
      </c>
      <c r="F638" s="1">
        <v>2</v>
      </c>
      <c r="G638" s="1">
        <v>5</v>
      </c>
      <c r="H638" s="4">
        <v>0.8</v>
      </c>
      <c r="I638" s="1">
        <v>3</v>
      </c>
      <c r="J638" s="4">
        <v>0</v>
      </c>
      <c r="K638" s="1">
        <v>0</v>
      </c>
      <c r="L638" s="1">
        <v>0</v>
      </c>
      <c r="M638" s="32">
        <f>IF(Mecze[[#This Row],[PR]]=0,0,Mecze[[#This Row],[PR]]/Mecze[[#This Row],[CZAS]])</f>
        <v>0</v>
      </c>
      <c r="N638" s="32">
        <f>IF(Mecze[[#This Row],[OU]]=0,0,Mecze[[#This Row],[OU]]/Mecze[[#This Row],[CZAS]])</f>
        <v>0</v>
      </c>
      <c r="O638" s="32">
        <f>IF(Mecze[[#This Row],[PC]]=0,0,Mecze[[#This Row],[PC]]/Mecze[[#This Row],[CZAS]])</f>
        <v>4.1666666666666664E-2</v>
      </c>
      <c r="P638" s="32">
        <f>IF(Mecze[[#This Row],[SC]]=0,0,Mecze[[#This Row],[SC]]/Mecze[[#This Row],[CZAS]])</f>
        <v>2.0833333333333332E-2</v>
      </c>
      <c r="Q638" s="32">
        <f>IF(Mecze[[#This Row],[OB]]=0,0,Mecze[[#This Row],[OB]]/Mecze[[#This Row],[CZAS]])</f>
        <v>0</v>
      </c>
      <c r="R638" s="32">
        <f>IF(Mecze[[#This Row],[BR]]=0,0,Mecze[[#This Row],[BR]]/Mecze[[#This Row],[CZAS]])</f>
        <v>0</v>
      </c>
      <c r="S638" s="44">
        <f>IF(Mecze[[#This Row],[Role]]="BR",SUMPRODUCT(Mecze[[#This Row],[/PR:90]:[/BR:90]],Brudnopis!$E$23:$J$23),0)</f>
        <v>0</v>
      </c>
      <c r="T638" s="44">
        <f>IF(Mecze[[#This Row],[Role]]&lt;&gt;"BR",SUMPRODUCT(Mecze[[#This Row],[/PR:90]:[/BR:90]],Brudnopis!$E$24:$J$24),0)</f>
        <v>6.25E-2</v>
      </c>
      <c r="U638" s="44">
        <f>IF(Mecze[[#This Row],[Role]]&lt;&gt;"BR",SUMPRODUCT(Mecze[[#This Row],[/PR:90]:[/BR:90]],Brudnopis!$E$25:$J$25),0)</f>
        <v>8.3333333333333329E-2</v>
      </c>
      <c r="V638" s="44">
        <f>IF(Mecze[[#This Row],[Role]]&lt;&gt;"BR",SUMPRODUCT(Mecze[[#This Row],[/PR:90]:[/BR:90]],Brudnopis!$E$26:$J$26),0)</f>
        <v>6.25E-2</v>
      </c>
      <c r="W638" s="44">
        <f>IF(Mecze[[#This Row],[Role]]&lt;&gt;"BR",SUMPRODUCT(Mecze[[#This Row],[/PR:90]:[/BR:90]],Brudnopis!$E$27:$J$27),0)</f>
        <v>8.3333333333333329E-2</v>
      </c>
      <c r="X638" s="44">
        <f>IF(Mecze[[#This Row],[Role]]&lt;&gt;"BR",SUMPRODUCT(Mecze[[#This Row],[/PR:90]:[/BR:90]],Brudnopis!$E$28:$J$28),0)</f>
        <v>8.3333333333333329E-2</v>
      </c>
      <c r="Y638" s="35">
        <f>IF(Mecze[[#This Row],[Role]]="BR",Mecze[[#This Row],[/OB:90]]+Mecze[[#This Row],[/PC:90]],SUM(Mecze[[#This Row],[/PR:90]:[/BR:90]]))</f>
        <v>6.25E-2</v>
      </c>
      <c r="Z638" s="35">
        <f>IF(Mecze[[#This Row],[KC]]=0,SUM(Mecze[[#This Row],[/BRI]:[/NPI]]),SUM(Mecze[[#This Row],[/BRI]:[/NPI]])*0.6)</f>
        <v>0.37499999999999994</v>
      </c>
      <c r="AA638" s="10">
        <f>IFERROR(Mecze[[#This Row],[BR]]/Mecze[[#This Row],[ST]],0)</f>
        <v>0</v>
      </c>
      <c r="AB638">
        <f>ROUND(Mecze[[#This Row],[PD]]*Mecze[[#This Row],[%PC]],0)</f>
        <v>4</v>
      </c>
      <c r="AC638">
        <f>ROUND(Mecze[[#This Row],[OD]]*Mecze[[#This Row],[%OU]],0)</f>
        <v>0</v>
      </c>
      <c r="AD638" s="36" t="s">
        <v>272</v>
      </c>
      <c r="AE638" s="36">
        <v>36</v>
      </c>
      <c r="AF638" s="71">
        <v>5.4</v>
      </c>
      <c r="AG638" s="37">
        <v>0</v>
      </c>
      <c r="AH638" s="37">
        <v>0</v>
      </c>
      <c r="AI638" s="37">
        <v>96</v>
      </c>
      <c r="AJ638" s="37">
        <v>5</v>
      </c>
      <c r="AK638" s="37" t="str">
        <f>VLOOKUP(Mecze[[#This Row],[Match ID]],Meczusie[Mecz]:Meczusie[RodzajMeczu],2,FALSE)</f>
        <v>Liga</v>
      </c>
    </row>
    <row r="639" spans="1:37" x14ac:dyDescent="0.25">
      <c r="A639" s="76">
        <v>9</v>
      </c>
      <c r="B639" s="3" t="s">
        <v>354</v>
      </c>
      <c r="C639" s="2" t="s">
        <v>165</v>
      </c>
      <c r="D639" s="1">
        <v>1</v>
      </c>
      <c r="E639" s="1">
        <v>3</v>
      </c>
      <c r="F639" s="1">
        <v>3</v>
      </c>
      <c r="G639" s="1">
        <v>6</v>
      </c>
      <c r="H639" s="4">
        <v>0.67</v>
      </c>
      <c r="I639" s="1">
        <v>1</v>
      </c>
      <c r="J639" s="4">
        <v>0</v>
      </c>
      <c r="K639" s="1">
        <v>0</v>
      </c>
      <c r="L639" s="1">
        <v>0</v>
      </c>
      <c r="M639" s="32">
        <f>IF(Mecze[[#This Row],[PR]]=0,0,Mecze[[#This Row],[PR]]/Mecze[[#This Row],[CZAS]])</f>
        <v>0</v>
      </c>
      <c r="N639" s="32">
        <f>IF(Mecze[[#This Row],[OU]]=0,0,Mecze[[#This Row],[OU]]/Mecze[[#This Row],[CZAS]])</f>
        <v>0</v>
      </c>
      <c r="O639" s="32">
        <f>IF(Mecze[[#This Row],[PC]]=0,0,Mecze[[#This Row],[PC]]/Mecze[[#This Row],[CZAS]])</f>
        <v>4.1666666666666664E-2</v>
      </c>
      <c r="P639" s="32">
        <f>IF(Mecze[[#This Row],[SC]]=0,0,Mecze[[#This Row],[SC]]/Mecze[[#This Row],[CZAS]])</f>
        <v>3.125E-2</v>
      </c>
      <c r="Q639" s="32">
        <f>IF(Mecze[[#This Row],[OB]]=0,0,Mecze[[#This Row],[OB]]/Mecze[[#This Row],[CZAS]])</f>
        <v>0</v>
      </c>
      <c r="R639" s="32">
        <f>IF(Mecze[[#This Row],[BR]]=0,0,Mecze[[#This Row],[BR]]/Mecze[[#This Row],[CZAS]])</f>
        <v>1.0416666666666666E-2</v>
      </c>
      <c r="S639" s="44">
        <f>IF(Mecze[[#This Row],[Role]]="BR",SUMPRODUCT(Mecze[[#This Row],[/PR:90]:[/BR:90]],Brudnopis!$E$23:$J$23),0)</f>
        <v>0</v>
      </c>
      <c r="T639" s="44">
        <f>IF(Mecze[[#This Row],[Role]]&lt;&gt;"BR",SUMPRODUCT(Mecze[[#This Row],[/PR:90]:[/BR:90]],Brudnopis!$E$24:$J$24),0)</f>
        <v>8.8541666666666657E-2</v>
      </c>
      <c r="U639" s="44">
        <f>IF(Mecze[[#This Row],[Role]]&lt;&gt;"BR",SUMPRODUCT(Mecze[[#This Row],[/PR:90]:[/BR:90]],Brudnopis!$E$25:$J$25),0)</f>
        <v>0.109375</v>
      </c>
      <c r="V639" s="44">
        <f>IF(Mecze[[#This Row],[Role]]&lt;&gt;"BR",SUMPRODUCT(Mecze[[#This Row],[/PR:90]:[/BR:90]],Brudnopis!$E$26:$J$26),0)</f>
        <v>9.3749999999999986E-2</v>
      </c>
      <c r="W639" s="44">
        <f>IF(Mecze[[#This Row],[Role]]&lt;&gt;"BR",SUMPRODUCT(Mecze[[#This Row],[/PR:90]:[/BR:90]],Brudnopis!$E$27:$J$27),0)</f>
        <v>0.11458333333333333</v>
      </c>
      <c r="X639" s="44">
        <f>IF(Mecze[[#This Row],[Role]]&lt;&gt;"BR",SUMPRODUCT(Mecze[[#This Row],[/PR:90]:[/BR:90]],Brudnopis!$E$28:$J$28),0)</f>
        <v>0.13541666666666666</v>
      </c>
      <c r="Y639" s="35">
        <f>IF(Mecze[[#This Row],[Role]]="BR",Mecze[[#This Row],[/OB:90]]+Mecze[[#This Row],[/PC:90]],SUM(Mecze[[#This Row],[/PR:90]:[/BR:90]]))</f>
        <v>8.3333333333333329E-2</v>
      </c>
      <c r="Z639" s="35">
        <f>IF(Mecze[[#This Row],[KC]]=0,SUM(Mecze[[#This Row],[/BRI]:[/NPI]]),SUM(Mecze[[#This Row],[/BRI]:[/NPI]])*0.6)</f>
        <v>0.54166666666666663</v>
      </c>
      <c r="AA639" s="10">
        <f>IFERROR(Mecze[[#This Row],[BR]]/Mecze[[#This Row],[ST]],0)</f>
        <v>0.33333333333333331</v>
      </c>
      <c r="AB639">
        <f>ROUND(Mecze[[#This Row],[PD]]*Mecze[[#This Row],[%PC]],0)</f>
        <v>4</v>
      </c>
      <c r="AC639">
        <f>ROUND(Mecze[[#This Row],[OD]]*Mecze[[#This Row],[%OU]],0)</f>
        <v>0</v>
      </c>
      <c r="AD639" s="36" t="s">
        <v>273</v>
      </c>
      <c r="AE639" s="36">
        <v>36</v>
      </c>
      <c r="AF639" s="71">
        <v>7</v>
      </c>
      <c r="AG639" s="37">
        <v>0</v>
      </c>
      <c r="AH639" s="37">
        <v>0</v>
      </c>
      <c r="AI639" s="37">
        <v>96</v>
      </c>
      <c r="AJ639" s="37">
        <v>5</v>
      </c>
      <c r="AK639" s="37" t="str">
        <f>VLOOKUP(Mecze[[#This Row],[Match ID]],Meczusie[Mecz]:Meczusie[RodzajMeczu],2,FALSE)</f>
        <v>Liga</v>
      </c>
    </row>
    <row r="640" spans="1:37" x14ac:dyDescent="0.25">
      <c r="A640" s="76">
        <v>1</v>
      </c>
      <c r="B640" s="3" t="s">
        <v>261</v>
      </c>
      <c r="C640" s="2" t="s">
        <v>155</v>
      </c>
      <c r="D640" s="1">
        <v>0</v>
      </c>
      <c r="E640" s="1">
        <v>0</v>
      </c>
      <c r="F640" s="1">
        <v>0</v>
      </c>
      <c r="G640" s="1">
        <v>9</v>
      </c>
      <c r="H640" s="4">
        <v>0.44</v>
      </c>
      <c r="I640" s="1">
        <v>0</v>
      </c>
      <c r="J640" s="4"/>
      <c r="K640" s="1">
        <v>11</v>
      </c>
      <c r="L640" s="1">
        <v>0</v>
      </c>
      <c r="M640" s="32">
        <f>IF(Mecze[[#This Row],[PR]]=0,0,Mecze[[#This Row],[PR]]/Mecze[[#This Row],[CZAS]])</f>
        <v>0</v>
      </c>
      <c r="N640" s="32">
        <f>IF(Mecze[[#This Row],[OU]]=0,0,Mecze[[#This Row],[OU]]/Mecze[[#This Row],[CZAS]])</f>
        <v>0</v>
      </c>
      <c r="O640" s="32">
        <f>IF(Mecze[[#This Row],[PC]]=0,0,Mecze[[#This Row],[PC]]/Mecze[[#This Row],[CZAS]])</f>
        <v>4.1666666666666664E-2</v>
      </c>
      <c r="P640" s="32">
        <f>IF(Mecze[[#This Row],[SC]]=0,0,Mecze[[#This Row],[SC]]/Mecze[[#This Row],[CZAS]])</f>
        <v>0</v>
      </c>
      <c r="Q640" s="32">
        <f>IF(Mecze[[#This Row],[OB]]=0,0,Mecze[[#This Row],[OB]]/Mecze[[#This Row],[CZAS]])</f>
        <v>0.11458333333333333</v>
      </c>
      <c r="R640" s="32">
        <f>IF(Mecze[[#This Row],[BR]]=0,0,Mecze[[#This Row],[BR]]/Mecze[[#This Row],[CZAS]])</f>
        <v>0</v>
      </c>
      <c r="S640" s="44">
        <f>IF(Mecze[[#This Row],[Role]]="BR",SUMPRODUCT(Mecze[[#This Row],[/PR:90]:[/BR:90]],Brudnopis!$E$23:$J$23),0)</f>
        <v>0.46875</v>
      </c>
      <c r="T640" s="44">
        <f>IF(Mecze[[#This Row],[Role]]&lt;&gt;"BR",SUMPRODUCT(Mecze[[#This Row],[/PR:90]:[/BR:90]],Brudnopis!$E$24:$J$24),0)</f>
        <v>0</v>
      </c>
      <c r="U640" s="44">
        <f>IF(Mecze[[#This Row],[Role]]&lt;&gt;"BR",SUMPRODUCT(Mecze[[#This Row],[/PR:90]:[/BR:90]],Brudnopis!$E$25:$J$25),0)</f>
        <v>0</v>
      </c>
      <c r="V640" s="44">
        <f>IF(Mecze[[#This Row],[Role]]&lt;&gt;"BR",SUMPRODUCT(Mecze[[#This Row],[/PR:90]:[/BR:90]],Brudnopis!$E$26:$J$26),0)</f>
        <v>0</v>
      </c>
      <c r="W640" s="44">
        <f>IF(Mecze[[#This Row],[Role]]&lt;&gt;"BR",SUMPRODUCT(Mecze[[#This Row],[/PR:90]:[/BR:90]],Brudnopis!$E$27:$J$27),0)</f>
        <v>0</v>
      </c>
      <c r="X640" s="44">
        <f>IF(Mecze[[#This Row],[Role]]&lt;&gt;"BR",SUMPRODUCT(Mecze[[#This Row],[/PR:90]:[/BR:90]],Brudnopis!$E$28:$J$28),0)</f>
        <v>0</v>
      </c>
      <c r="Y640" s="35">
        <f>IF(Mecze[[#This Row],[Role]]="BR",Mecze[[#This Row],[/OB:90]]+Mecze[[#This Row],[/PC:90]],SUM(Mecze[[#This Row],[/PR:90]:[/BR:90]]))</f>
        <v>0.15625</v>
      </c>
      <c r="Z640" s="35">
        <f>IF(Mecze[[#This Row],[KC]]=0,SUM(Mecze[[#This Row],[/BRI]:[/NPI]]),SUM(Mecze[[#This Row],[/BRI]:[/NPI]])*0.6)</f>
        <v>0.46875</v>
      </c>
      <c r="AA640" s="10">
        <f>IFERROR(Mecze[[#This Row],[BR]]/Mecze[[#This Row],[ST]],0)</f>
        <v>0</v>
      </c>
      <c r="AB640">
        <f>ROUND(Mecze[[#This Row],[PD]]*Mecze[[#This Row],[%PC]],0)</f>
        <v>4</v>
      </c>
      <c r="AC640">
        <f>ROUND(Mecze[[#This Row],[OD]]*Mecze[[#This Row],[%OU]],0)</f>
        <v>0</v>
      </c>
      <c r="AD640" s="36" t="s">
        <v>40</v>
      </c>
      <c r="AE640" s="36">
        <v>36</v>
      </c>
      <c r="AF640" s="71">
        <v>7.77</v>
      </c>
      <c r="AG640" s="37">
        <v>0</v>
      </c>
      <c r="AH640" s="37">
        <v>0</v>
      </c>
      <c r="AI640" s="37">
        <v>96</v>
      </c>
      <c r="AJ640" s="37">
        <v>3</v>
      </c>
      <c r="AK640" s="37" t="str">
        <f>VLOOKUP(Mecze[[#This Row],[Match ID]],Meczusie[Mecz]:Meczusie[RodzajMeczu],2,FALSE)</f>
        <v>Liga</v>
      </c>
    </row>
    <row r="641" spans="1:37" x14ac:dyDescent="0.25">
      <c r="A641" s="76">
        <v>13</v>
      </c>
      <c r="B641" s="3" t="s">
        <v>262</v>
      </c>
      <c r="C641" s="2" t="s">
        <v>157</v>
      </c>
      <c r="D641" s="1">
        <v>0</v>
      </c>
      <c r="E641" s="1">
        <v>0</v>
      </c>
      <c r="F641" s="1">
        <v>0</v>
      </c>
      <c r="G641" s="1">
        <v>4</v>
      </c>
      <c r="H641" s="4">
        <v>1</v>
      </c>
      <c r="I641" s="1">
        <v>3</v>
      </c>
      <c r="J641" s="4">
        <v>0.67</v>
      </c>
      <c r="K641" s="1">
        <v>0</v>
      </c>
      <c r="L641" s="1">
        <v>4</v>
      </c>
      <c r="M641" s="32">
        <f>IF(Mecze[[#This Row],[PR]]=0,0,Mecze[[#This Row],[PR]]/Mecze[[#This Row],[CZAS]])</f>
        <v>4.1666666666666664E-2</v>
      </c>
      <c r="N641" s="32">
        <f>IF(Mecze[[#This Row],[OU]]=0,0,Mecze[[#This Row],[OU]]/Mecze[[#This Row],[CZAS]])</f>
        <v>2.0833333333333332E-2</v>
      </c>
      <c r="O641" s="32">
        <f>IF(Mecze[[#This Row],[PC]]=0,0,Mecze[[#This Row],[PC]]/Mecze[[#This Row],[CZAS]])</f>
        <v>4.1666666666666664E-2</v>
      </c>
      <c r="P641" s="32">
        <f>IF(Mecze[[#This Row],[SC]]=0,0,Mecze[[#This Row],[SC]]/Mecze[[#This Row],[CZAS]])</f>
        <v>0</v>
      </c>
      <c r="Q641" s="32">
        <f>IF(Mecze[[#This Row],[OB]]=0,0,Mecze[[#This Row],[OB]]/Mecze[[#This Row],[CZAS]])</f>
        <v>0</v>
      </c>
      <c r="R641" s="32">
        <f>IF(Mecze[[#This Row],[BR]]=0,0,Mecze[[#This Row],[BR]]/Mecze[[#This Row],[CZAS]])</f>
        <v>0</v>
      </c>
      <c r="S641" s="44">
        <f>IF(Mecze[[#This Row],[Role]]="BR",SUMPRODUCT(Mecze[[#This Row],[/PR:90]:[/BR:90]],Brudnopis!$E$23:$J$23),0)</f>
        <v>0</v>
      </c>
      <c r="T641" s="44">
        <f>IF(Mecze[[#This Row],[Role]]&lt;&gt;"BR",SUMPRODUCT(Mecze[[#This Row],[/PR:90]:[/BR:90]],Brudnopis!$E$24:$J$24),0)</f>
        <v>0.11458333333333331</v>
      </c>
      <c r="U641" s="44">
        <f>IF(Mecze[[#This Row],[Role]]&lt;&gt;"BR",SUMPRODUCT(Mecze[[#This Row],[/PR:90]:[/BR:90]],Brudnopis!$E$25:$J$25),0)</f>
        <v>0.125</v>
      </c>
      <c r="V641" s="44">
        <f>IF(Mecze[[#This Row],[Role]]&lt;&gt;"BR",SUMPRODUCT(Mecze[[#This Row],[/PR:90]:[/BR:90]],Brudnopis!$E$26:$J$26),0)</f>
        <v>0.10416666666666666</v>
      </c>
      <c r="W641" s="44">
        <f>IF(Mecze[[#This Row],[Role]]&lt;&gt;"BR",SUMPRODUCT(Mecze[[#This Row],[/PR:90]:[/BR:90]],Brudnopis!$E$27:$J$27),0)</f>
        <v>0.109375</v>
      </c>
      <c r="X641" s="44">
        <f>IF(Mecze[[#This Row],[Role]]&lt;&gt;"BR",SUMPRODUCT(Mecze[[#This Row],[/PR:90]:[/BR:90]],Brudnopis!$E$28:$J$28),0)</f>
        <v>4.1666666666666664E-2</v>
      </c>
      <c r="Y641" s="35">
        <f>IF(Mecze[[#This Row],[Role]]="BR",Mecze[[#This Row],[/OB:90]]+Mecze[[#This Row],[/PC:90]],SUM(Mecze[[#This Row],[/PR:90]:[/BR:90]]))</f>
        <v>0.10416666666666666</v>
      </c>
      <c r="Z641" s="35">
        <f>IF(Mecze[[#This Row],[KC]]=0,SUM(Mecze[[#This Row],[/BRI]:[/NPI]]),SUM(Mecze[[#This Row],[/BRI]:[/NPI]])*0.6)</f>
        <v>0.49479166666666669</v>
      </c>
      <c r="AA641" s="10">
        <f>IFERROR(Mecze[[#This Row],[BR]]/Mecze[[#This Row],[ST]],0)</f>
        <v>0</v>
      </c>
      <c r="AB641">
        <f>ROUND(Mecze[[#This Row],[PD]]*Mecze[[#This Row],[%PC]],0)</f>
        <v>4</v>
      </c>
      <c r="AC641">
        <f>ROUND(Mecze[[#This Row],[OD]]*Mecze[[#This Row],[%OU]],0)</f>
        <v>2</v>
      </c>
      <c r="AD641" s="36" t="s">
        <v>175</v>
      </c>
      <c r="AE641" s="36">
        <v>36</v>
      </c>
      <c r="AF641" s="71">
        <v>5.88</v>
      </c>
      <c r="AG641" s="37">
        <v>0</v>
      </c>
      <c r="AH641" s="37">
        <v>0</v>
      </c>
      <c r="AI641" s="37">
        <v>96</v>
      </c>
      <c r="AJ641" s="37">
        <v>3</v>
      </c>
      <c r="AK641" s="37" t="str">
        <f>VLOOKUP(Mecze[[#This Row],[Match ID]],Meczusie[Mecz]:Meczusie[RodzajMeczu],2,FALSE)</f>
        <v>Liga</v>
      </c>
    </row>
    <row r="642" spans="1:37" x14ac:dyDescent="0.25">
      <c r="A642" s="76">
        <v>4</v>
      </c>
      <c r="B642" s="3" t="s">
        <v>264</v>
      </c>
      <c r="C642" s="2" t="s">
        <v>157</v>
      </c>
      <c r="D642" s="1">
        <v>0</v>
      </c>
      <c r="E642" s="1">
        <v>0</v>
      </c>
      <c r="F642" s="1">
        <v>0</v>
      </c>
      <c r="G642" s="1">
        <v>3</v>
      </c>
      <c r="H642" s="4">
        <v>0.67</v>
      </c>
      <c r="I642" s="1">
        <v>5</v>
      </c>
      <c r="J642" s="4">
        <v>0.2</v>
      </c>
      <c r="K642" s="1">
        <v>0</v>
      </c>
      <c r="L642" s="1">
        <v>2</v>
      </c>
      <c r="M642" s="32">
        <f>IF(Mecze[[#This Row],[PR]]=0,0,Mecze[[#This Row],[PR]]/Mecze[[#This Row],[CZAS]])</f>
        <v>2.0833333333333332E-2</v>
      </c>
      <c r="N642" s="32">
        <f>IF(Mecze[[#This Row],[OU]]=0,0,Mecze[[#This Row],[OU]]/Mecze[[#This Row],[CZAS]])</f>
        <v>1.0416666666666666E-2</v>
      </c>
      <c r="O642" s="32">
        <f>IF(Mecze[[#This Row],[PC]]=0,0,Mecze[[#This Row],[PC]]/Mecze[[#This Row],[CZAS]])</f>
        <v>2.0833333333333332E-2</v>
      </c>
      <c r="P642" s="32">
        <f>IF(Mecze[[#This Row],[SC]]=0,0,Mecze[[#This Row],[SC]]/Mecze[[#This Row],[CZAS]])</f>
        <v>0</v>
      </c>
      <c r="Q642" s="32">
        <f>IF(Mecze[[#This Row],[OB]]=0,0,Mecze[[#This Row],[OB]]/Mecze[[#This Row],[CZAS]])</f>
        <v>0</v>
      </c>
      <c r="R642" s="32">
        <f>IF(Mecze[[#This Row],[BR]]=0,0,Mecze[[#This Row],[BR]]/Mecze[[#This Row],[CZAS]])</f>
        <v>0</v>
      </c>
      <c r="S642" s="44">
        <f>IF(Mecze[[#This Row],[Role]]="BR",SUMPRODUCT(Mecze[[#This Row],[/PR:90]:[/BR:90]],Brudnopis!$E$23:$J$23),0)</f>
        <v>0</v>
      </c>
      <c r="T642" s="44">
        <f>IF(Mecze[[#This Row],[Role]]&lt;&gt;"BR",SUMPRODUCT(Mecze[[#This Row],[/PR:90]:[/BR:90]],Brudnopis!$E$24:$J$24),0)</f>
        <v>5.7291666666666657E-2</v>
      </c>
      <c r="U642" s="44">
        <f>IF(Mecze[[#This Row],[Role]]&lt;&gt;"BR",SUMPRODUCT(Mecze[[#This Row],[/PR:90]:[/BR:90]],Brudnopis!$E$25:$J$25),0)</f>
        <v>6.25E-2</v>
      </c>
      <c r="V642" s="44">
        <f>IF(Mecze[[#This Row],[Role]]&lt;&gt;"BR",SUMPRODUCT(Mecze[[#This Row],[/PR:90]:[/BR:90]],Brudnopis!$E$26:$J$26),0)</f>
        <v>5.2083333333333329E-2</v>
      </c>
      <c r="W642" s="44">
        <f>IF(Mecze[[#This Row],[Role]]&lt;&gt;"BR",SUMPRODUCT(Mecze[[#This Row],[/PR:90]:[/BR:90]],Brudnopis!$E$27:$J$27),0)</f>
        <v>5.46875E-2</v>
      </c>
      <c r="X642" s="44">
        <f>IF(Mecze[[#This Row],[Role]]&lt;&gt;"BR",SUMPRODUCT(Mecze[[#This Row],[/PR:90]:[/BR:90]],Brudnopis!$E$28:$J$28),0)</f>
        <v>2.0833333333333332E-2</v>
      </c>
      <c r="Y642" s="35">
        <f>IF(Mecze[[#This Row],[Role]]="BR",Mecze[[#This Row],[/OB:90]]+Mecze[[#This Row],[/PC:90]],SUM(Mecze[[#This Row],[/PR:90]:[/BR:90]]))</f>
        <v>5.2083333333333329E-2</v>
      </c>
      <c r="Z642" s="35">
        <f>IF(Mecze[[#This Row],[KC]]=0,SUM(Mecze[[#This Row],[/BRI]:[/NPI]]),SUM(Mecze[[#This Row],[/BRI]:[/NPI]])*0.6)</f>
        <v>0.24739583333333334</v>
      </c>
      <c r="AA642" s="10">
        <f>IFERROR(Mecze[[#This Row],[BR]]/Mecze[[#This Row],[ST]],0)</f>
        <v>0</v>
      </c>
      <c r="AB642">
        <f>ROUND(Mecze[[#This Row],[PD]]*Mecze[[#This Row],[%PC]],0)</f>
        <v>2</v>
      </c>
      <c r="AC642">
        <f>ROUND(Mecze[[#This Row],[OD]]*Mecze[[#This Row],[%OU]],0)</f>
        <v>1</v>
      </c>
      <c r="AD642" s="36" t="s">
        <v>174</v>
      </c>
      <c r="AE642" s="36">
        <v>36</v>
      </c>
      <c r="AF642" s="71">
        <v>4.34</v>
      </c>
      <c r="AG642" s="37">
        <v>0</v>
      </c>
      <c r="AH642" s="37">
        <v>0</v>
      </c>
      <c r="AI642" s="37">
        <v>96</v>
      </c>
      <c r="AJ642" s="37">
        <v>3</v>
      </c>
      <c r="AK642" s="37" t="str">
        <f>VLOOKUP(Mecze[[#This Row],[Match ID]],Meczusie[Mecz]:Meczusie[RodzajMeczu],2,FALSE)</f>
        <v>Liga</v>
      </c>
    </row>
    <row r="643" spans="1:37" x14ac:dyDescent="0.25">
      <c r="A643" s="76">
        <v>6</v>
      </c>
      <c r="B643" s="3" t="s">
        <v>263</v>
      </c>
      <c r="C643" s="2" t="s">
        <v>157</v>
      </c>
      <c r="D643" s="1">
        <v>0</v>
      </c>
      <c r="E643" s="1">
        <v>0</v>
      </c>
      <c r="F643" s="1">
        <v>0</v>
      </c>
      <c r="G643" s="1">
        <v>19</v>
      </c>
      <c r="H643" s="4">
        <v>0.89</v>
      </c>
      <c r="I643" s="1">
        <v>8</v>
      </c>
      <c r="J643" s="4">
        <v>0.75</v>
      </c>
      <c r="K643" s="1">
        <v>0</v>
      </c>
      <c r="L643" s="1">
        <v>12</v>
      </c>
      <c r="M643" s="32">
        <f>IF(Mecze[[#This Row],[PR]]=0,0,Mecze[[#This Row],[PR]]/Mecze[[#This Row],[CZAS]])</f>
        <v>0.125</v>
      </c>
      <c r="N643" s="32">
        <f>IF(Mecze[[#This Row],[OU]]=0,0,Mecze[[#This Row],[OU]]/Mecze[[#This Row],[CZAS]])</f>
        <v>6.25E-2</v>
      </c>
      <c r="O643" s="32">
        <f>IF(Mecze[[#This Row],[PC]]=0,0,Mecze[[#This Row],[PC]]/Mecze[[#This Row],[CZAS]])</f>
        <v>0.17708333333333334</v>
      </c>
      <c r="P643" s="32">
        <f>IF(Mecze[[#This Row],[SC]]=0,0,Mecze[[#This Row],[SC]]/Mecze[[#This Row],[CZAS]])</f>
        <v>0</v>
      </c>
      <c r="Q643" s="32">
        <f>IF(Mecze[[#This Row],[OB]]=0,0,Mecze[[#This Row],[OB]]/Mecze[[#This Row],[CZAS]])</f>
        <v>0</v>
      </c>
      <c r="R643" s="32">
        <f>IF(Mecze[[#This Row],[BR]]=0,0,Mecze[[#This Row],[BR]]/Mecze[[#This Row],[CZAS]])</f>
        <v>0</v>
      </c>
      <c r="S643" s="44">
        <f>IF(Mecze[[#This Row],[Role]]="BR",SUMPRODUCT(Mecze[[#This Row],[/PR:90]:[/BR:90]],Brudnopis!$E$23:$J$23),0)</f>
        <v>0</v>
      </c>
      <c r="T643" s="44">
        <f>IF(Mecze[[#This Row],[Role]]&lt;&gt;"BR",SUMPRODUCT(Mecze[[#This Row],[/PR:90]:[/BR:90]],Brudnopis!$E$24:$J$24),0)</f>
        <v>0.39583333333333337</v>
      </c>
      <c r="U643" s="44">
        <f>IF(Mecze[[#This Row],[Role]]&lt;&gt;"BR",SUMPRODUCT(Mecze[[#This Row],[/PR:90]:[/BR:90]],Brudnopis!$E$25:$J$25),0)</f>
        <v>0.453125</v>
      </c>
      <c r="V643" s="44">
        <f>IF(Mecze[[#This Row],[Role]]&lt;&gt;"BR",SUMPRODUCT(Mecze[[#This Row],[/PR:90]:[/BR:90]],Brudnopis!$E$26:$J$26),0)</f>
        <v>0.36458333333333337</v>
      </c>
      <c r="W643" s="44">
        <f>IF(Mecze[[#This Row],[Role]]&lt;&gt;"BR",SUMPRODUCT(Mecze[[#This Row],[/PR:90]:[/BR:90]],Brudnopis!$E$27:$J$27),0)</f>
        <v>0.40625</v>
      </c>
      <c r="X643" s="44">
        <f>IF(Mecze[[#This Row],[Role]]&lt;&gt;"BR",SUMPRODUCT(Mecze[[#This Row],[/PR:90]:[/BR:90]],Brudnopis!$E$28:$J$28),0)</f>
        <v>0.17708333333333334</v>
      </c>
      <c r="Y643" s="35">
        <f>IF(Mecze[[#This Row],[Role]]="BR",Mecze[[#This Row],[/OB:90]]+Mecze[[#This Row],[/PC:90]],SUM(Mecze[[#This Row],[/PR:90]:[/BR:90]]))</f>
        <v>0.36458333333333337</v>
      </c>
      <c r="Z643" s="35">
        <f>IF(Mecze[[#This Row],[KC]]=0,SUM(Mecze[[#This Row],[/BRI]:[/NPI]]),SUM(Mecze[[#This Row],[/BRI]:[/NPI]])*0.6)</f>
        <v>1.796875</v>
      </c>
      <c r="AA643" s="10">
        <f>IFERROR(Mecze[[#This Row],[BR]]/Mecze[[#This Row],[ST]],0)</f>
        <v>0</v>
      </c>
      <c r="AB643">
        <f>ROUND(Mecze[[#This Row],[PD]]*Mecze[[#This Row],[%PC]],0)</f>
        <v>17</v>
      </c>
      <c r="AC643">
        <f>ROUND(Mecze[[#This Row],[OD]]*Mecze[[#This Row],[%OU]],0)</f>
        <v>6</v>
      </c>
      <c r="AD643" s="36" t="s">
        <v>47</v>
      </c>
      <c r="AE643" s="36">
        <v>36</v>
      </c>
      <c r="AF643" s="71">
        <v>7.56</v>
      </c>
      <c r="AG643" s="37">
        <v>0</v>
      </c>
      <c r="AH643" s="37">
        <v>0</v>
      </c>
      <c r="AI643" s="37">
        <v>96</v>
      </c>
      <c r="AJ643" s="37">
        <v>3</v>
      </c>
      <c r="AK643" s="37" t="str">
        <f>VLOOKUP(Mecze[[#This Row],[Match ID]],Meczusie[Mecz]:Meczusie[RodzajMeczu],2,FALSE)</f>
        <v>Liga</v>
      </c>
    </row>
    <row r="644" spans="1:37" x14ac:dyDescent="0.25">
      <c r="A644" s="76">
        <v>2</v>
      </c>
      <c r="B644" s="3" t="s">
        <v>265</v>
      </c>
      <c r="C644" s="2" t="s">
        <v>157</v>
      </c>
      <c r="D644" s="1">
        <v>0</v>
      </c>
      <c r="E644" s="1">
        <v>0</v>
      </c>
      <c r="F644" s="1">
        <v>0</v>
      </c>
      <c r="G644" s="1">
        <v>9</v>
      </c>
      <c r="H644" s="4">
        <v>0.78</v>
      </c>
      <c r="I644" s="1">
        <v>7</v>
      </c>
      <c r="J644" s="4">
        <v>0.86</v>
      </c>
      <c r="K644" s="1">
        <v>0</v>
      </c>
      <c r="L644" s="1">
        <v>5</v>
      </c>
      <c r="M644" s="32">
        <f>IF(Mecze[[#This Row],[PR]]=0,0,Mecze[[#This Row],[PR]]/Mecze[[#This Row],[CZAS]])</f>
        <v>5.2083333333333336E-2</v>
      </c>
      <c r="N644" s="32">
        <f>IF(Mecze[[#This Row],[OU]]=0,0,Mecze[[#This Row],[OU]]/Mecze[[#This Row],[CZAS]])</f>
        <v>6.25E-2</v>
      </c>
      <c r="O644" s="32">
        <f>IF(Mecze[[#This Row],[PC]]=0,0,Mecze[[#This Row],[PC]]/Mecze[[#This Row],[CZAS]])</f>
        <v>7.2916666666666671E-2</v>
      </c>
      <c r="P644" s="32">
        <f>IF(Mecze[[#This Row],[SC]]=0,0,Mecze[[#This Row],[SC]]/Mecze[[#This Row],[CZAS]])</f>
        <v>0</v>
      </c>
      <c r="Q644" s="32">
        <f>IF(Mecze[[#This Row],[OB]]=0,0,Mecze[[#This Row],[OB]]/Mecze[[#This Row],[CZAS]])</f>
        <v>0</v>
      </c>
      <c r="R644" s="32">
        <f>IF(Mecze[[#This Row],[BR]]=0,0,Mecze[[#This Row],[BR]]/Mecze[[#This Row],[CZAS]])</f>
        <v>0</v>
      </c>
      <c r="S644" s="44">
        <f>IF(Mecze[[#This Row],[Role]]="BR",SUMPRODUCT(Mecze[[#This Row],[/PR:90]:[/BR:90]],Brudnopis!$E$23:$J$23),0)</f>
        <v>0</v>
      </c>
      <c r="T644" s="44">
        <f>IF(Mecze[[#This Row],[Role]]&lt;&gt;"BR",SUMPRODUCT(Mecze[[#This Row],[/PR:90]:[/BR:90]],Brudnopis!$E$24:$J$24),0)</f>
        <v>0.21875</v>
      </c>
      <c r="U644" s="44">
        <f>IF(Mecze[[#This Row],[Role]]&lt;&gt;"BR",SUMPRODUCT(Mecze[[#This Row],[/PR:90]:[/BR:90]],Brudnopis!$E$25:$J$25),0)</f>
        <v>0.22395833333333334</v>
      </c>
      <c r="V644" s="44">
        <f>IF(Mecze[[#This Row],[Role]]&lt;&gt;"BR",SUMPRODUCT(Mecze[[#This Row],[/PR:90]:[/BR:90]],Brudnopis!$E$26:$J$26),0)</f>
        <v>0.1875</v>
      </c>
      <c r="W644" s="44">
        <f>IF(Mecze[[#This Row],[Role]]&lt;&gt;"BR",SUMPRODUCT(Mecze[[#This Row],[/PR:90]:[/BR:90]],Brudnopis!$E$27:$J$27),0)</f>
        <v>0.1953125</v>
      </c>
      <c r="X644" s="44">
        <f>IF(Mecze[[#This Row],[Role]]&lt;&gt;"BR",SUMPRODUCT(Mecze[[#This Row],[/PR:90]:[/BR:90]],Brudnopis!$E$28:$J$28),0)</f>
        <v>7.2916666666666671E-2</v>
      </c>
      <c r="Y644" s="35">
        <f>IF(Mecze[[#This Row],[Role]]="BR",Mecze[[#This Row],[/OB:90]]+Mecze[[#This Row],[/PC:90]],SUM(Mecze[[#This Row],[/PR:90]:[/BR:90]]))</f>
        <v>0.1875</v>
      </c>
      <c r="Z644" s="35">
        <f>IF(Mecze[[#This Row],[KC]]=0,SUM(Mecze[[#This Row],[/BRI]:[/NPI]]),SUM(Mecze[[#This Row],[/BRI]:[/NPI]])*0.6)</f>
        <v>0.8984375</v>
      </c>
      <c r="AA644" s="10">
        <f>IFERROR(Mecze[[#This Row],[BR]]/Mecze[[#This Row],[ST]],0)</f>
        <v>0</v>
      </c>
      <c r="AB644">
        <f>ROUND(Mecze[[#This Row],[PD]]*Mecze[[#This Row],[%PC]],0)</f>
        <v>7</v>
      </c>
      <c r="AC644">
        <f>ROUND(Mecze[[#This Row],[OD]]*Mecze[[#This Row],[%OU]],0)</f>
        <v>6</v>
      </c>
      <c r="AD644" s="36" t="s">
        <v>47</v>
      </c>
      <c r="AE644" s="36">
        <v>36</v>
      </c>
      <c r="AF644" s="71">
        <v>6.18</v>
      </c>
      <c r="AG644" s="37">
        <v>1</v>
      </c>
      <c r="AH644" s="37">
        <v>0</v>
      </c>
      <c r="AI644" s="37">
        <v>96</v>
      </c>
      <c r="AJ644" s="37">
        <v>3</v>
      </c>
      <c r="AK644" s="37" t="str">
        <f>VLOOKUP(Mecze[[#This Row],[Match ID]],Meczusie[Mecz]:Meczusie[RodzajMeczu],2,FALSE)</f>
        <v>Liga</v>
      </c>
    </row>
    <row r="645" spans="1:37" x14ac:dyDescent="0.25">
      <c r="A645" s="76">
        <v>9</v>
      </c>
      <c r="B645" s="3" t="s">
        <v>266</v>
      </c>
      <c r="C645" s="2" t="s">
        <v>160</v>
      </c>
      <c r="D645" s="1">
        <v>0</v>
      </c>
      <c r="E645" s="1">
        <v>0</v>
      </c>
      <c r="F645" s="1">
        <v>0</v>
      </c>
      <c r="G645" s="1">
        <v>18</v>
      </c>
      <c r="H645" s="4">
        <v>0.72</v>
      </c>
      <c r="I645" s="1">
        <v>5</v>
      </c>
      <c r="J645" s="4">
        <v>0.8</v>
      </c>
      <c r="K645" s="1">
        <v>0</v>
      </c>
      <c r="L645" s="1">
        <v>3</v>
      </c>
      <c r="M645" s="32">
        <f>IF(Mecze[[#This Row],[PR]]=0,0,Mecze[[#This Row],[PR]]/Mecze[[#This Row],[CZAS]])</f>
        <v>3.125E-2</v>
      </c>
      <c r="N645" s="32">
        <f>IF(Mecze[[#This Row],[OU]]=0,0,Mecze[[#This Row],[OU]]/Mecze[[#This Row],[CZAS]])</f>
        <v>4.1666666666666664E-2</v>
      </c>
      <c r="O645" s="32">
        <f>IF(Mecze[[#This Row],[PC]]=0,0,Mecze[[#This Row],[PC]]/Mecze[[#This Row],[CZAS]])</f>
        <v>0.13541666666666666</v>
      </c>
      <c r="P645" s="32">
        <f>IF(Mecze[[#This Row],[SC]]=0,0,Mecze[[#This Row],[SC]]/Mecze[[#This Row],[CZAS]])</f>
        <v>0</v>
      </c>
      <c r="Q645" s="32">
        <f>IF(Mecze[[#This Row],[OB]]=0,0,Mecze[[#This Row],[OB]]/Mecze[[#This Row],[CZAS]])</f>
        <v>0</v>
      </c>
      <c r="R645" s="32">
        <f>IF(Mecze[[#This Row],[BR]]=0,0,Mecze[[#This Row],[BR]]/Mecze[[#This Row],[CZAS]])</f>
        <v>0</v>
      </c>
      <c r="S645" s="44">
        <f>IF(Mecze[[#This Row],[Role]]="BR",SUMPRODUCT(Mecze[[#This Row],[/PR:90]:[/BR:90]],Brudnopis!$E$23:$J$23),0)</f>
        <v>0</v>
      </c>
      <c r="T645" s="44">
        <f>IF(Mecze[[#This Row],[Role]]&lt;&gt;"BR",SUMPRODUCT(Mecze[[#This Row],[/PR:90]:[/BR:90]],Brudnopis!$E$24:$J$24),0)</f>
        <v>0.22916666666666666</v>
      </c>
      <c r="U645" s="44">
        <f>IF(Mecze[[#This Row],[Role]]&lt;&gt;"BR",SUMPRODUCT(Mecze[[#This Row],[/PR:90]:[/BR:90]],Brudnopis!$E$25:$J$25),0)</f>
        <v>0.27604166666666663</v>
      </c>
      <c r="V645" s="44">
        <f>IF(Mecze[[#This Row],[Role]]&lt;&gt;"BR",SUMPRODUCT(Mecze[[#This Row],[/PR:90]:[/BR:90]],Brudnopis!$E$26:$J$26),0)</f>
        <v>0.20833333333333331</v>
      </c>
      <c r="W645" s="44">
        <f>IF(Mecze[[#This Row],[Role]]&lt;&gt;"BR",SUMPRODUCT(Mecze[[#This Row],[/PR:90]:[/BR:90]],Brudnopis!$E$27:$J$27),0)</f>
        <v>0.2578125</v>
      </c>
      <c r="X645" s="44">
        <f>IF(Mecze[[#This Row],[Role]]&lt;&gt;"BR",SUMPRODUCT(Mecze[[#This Row],[/PR:90]:[/BR:90]],Brudnopis!$E$28:$J$28),0)</f>
        <v>0.13541666666666666</v>
      </c>
      <c r="Y645" s="35">
        <f>IF(Mecze[[#This Row],[Role]]="BR",Mecze[[#This Row],[/OB:90]]+Mecze[[#This Row],[/PC:90]],SUM(Mecze[[#This Row],[/PR:90]:[/BR:90]]))</f>
        <v>0.20833333333333331</v>
      </c>
      <c r="Z645" s="35">
        <f>IF(Mecze[[#This Row],[KC]]=0,SUM(Mecze[[#This Row],[/BRI]:[/NPI]]),SUM(Mecze[[#This Row],[/BRI]:[/NPI]])*0.6)</f>
        <v>1.1067708333333333</v>
      </c>
      <c r="AA645" s="10">
        <f>IFERROR(Mecze[[#This Row],[BR]]/Mecze[[#This Row],[ST]],0)</f>
        <v>0</v>
      </c>
      <c r="AB645">
        <f>ROUND(Mecze[[#This Row],[PD]]*Mecze[[#This Row],[%PC]],0)</f>
        <v>13</v>
      </c>
      <c r="AC645">
        <f>ROUND(Mecze[[#This Row],[OD]]*Mecze[[#This Row],[%OU]],0)</f>
        <v>4</v>
      </c>
      <c r="AD645" s="36" t="s">
        <v>67</v>
      </c>
      <c r="AE645" s="36">
        <v>36</v>
      </c>
      <c r="AF645" s="71">
        <v>5.76</v>
      </c>
      <c r="AG645" s="37">
        <v>0</v>
      </c>
      <c r="AH645" s="37">
        <v>0</v>
      </c>
      <c r="AI645" s="37">
        <v>96</v>
      </c>
      <c r="AJ645" s="37">
        <v>3</v>
      </c>
      <c r="AK645" s="37" t="str">
        <f>VLOOKUP(Mecze[[#This Row],[Match ID]],Meczusie[Mecz]:Meczusie[RodzajMeczu],2,FALSE)</f>
        <v>Liga</v>
      </c>
    </row>
    <row r="646" spans="1:37" x14ac:dyDescent="0.25">
      <c r="A646" s="76">
        <v>5</v>
      </c>
      <c r="B646" s="3" t="s">
        <v>267</v>
      </c>
      <c r="C646" s="2" t="s">
        <v>160</v>
      </c>
      <c r="D646" s="1">
        <v>0</v>
      </c>
      <c r="E646" s="1">
        <v>1</v>
      </c>
      <c r="F646" s="1">
        <v>1</v>
      </c>
      <c r="G646" s="1">
        <v>15</v>
      </c>
      <c r="H646" s="4">
        <v>0.73</v>
      </c>
      <c r="I646" s="1">
        <v>5</v>
      </c>
      <c r="J646" s="4">
        <v>0.4</v>
      </c>
      <c r="K646" s="1">
        <v>0</v>
      </c>
      <c r="L646" s="1">
        <v>6</v>
      </c>
      <c r="M646" s="32">
        <f>IF(Mecze[[#This Row],[PR]]=0,0,Mecze[[#This Row],[PR]]/Mecze[[#This Row],[CZAS]])</f>
        <v>6.25E-2</v>
      </c>
      <c r="N646" s="32">
        <f>IF(Mecze[[#This Row],[OU]]=0,0,Mecze[[#This Row],[OU]]/Mecze[[#This Row],[CZAS]])</f>
        <v>2.0833333333333332E-2</v>
      </c>
      <c r="O646" s="32">
        <f>IF(Mecze[[#This Row],[PC]]=0,0,Mecze[[#This Row],[PC]]/Mecze[[#This Row],[CZAS]])</f>
        <v>0.11458333333333333</v>
      </c>
      <c r="P646" s="32">
        <f>IF(Mecze[[#This Row],[SC]]=0,0,Mecze[[#This Row],[SC]]/Mecze[[#This Row],[CZAS]])</f>
        <v>1.0416666666666666E-2</v>
      </c>
      <c r="Q646" s="32">
        <f>IF(Mecze[[#This Row],[OB]]=0,0,Mecze[[#This Row],[OB]]/Mecze[[#This Row],[CZAS]])</f>
        <v>0</v>
      </c>
      <c r="R646" s="32">
        <f>IF(Mecze[[#This Row],[BR]]=0,0,Mecze[[#This Row],[BR]]/Mecze[[#This Row],[CZAS]])</f>
        <v>0</v>
      </c>
      <c r="S646" s="44">
        <f>IF(Mecze[[#This Row],[Role]]="BR",SUMPRODUCT(Mecze[[#This Row],[/PR:90]:[/BR:90]],Brudnopis!$E$23:$J$23),0)</f>
        <v>0</v>
      </c>
      <c r="T646" s="44">
        <f>IF(Mecze[[#This Row],[Role]]&lt;&gt;"BR",SUMPRODUCT(Mecze[[#This Row],[/PR:90]:[/BR:90]],Brudnopis!$E$24:$J$24),0)</f>
        <v>0.21874999999999997</v>
      </c>
      <c r="U646" s="44">
        <f>IF(Mecze[[#This Row],[Role]]&lt;&gt;"BR",SUMPRODUCT(Mecze[[#This Row],[/PR:90]:[/BR:90]],Brudnopis!$E$25:$J$25),0)</f>
        <v>0.265625</v>
      </c>
      <c r="V646" s="44">
        <f>IF(Mecze[[#This Row],[Role]]&lt;&gt;"BR",SUMPRODUCT(Mecze[[#This Row],[/PR:90]:[/BR:90]],Brudnopis!$E$26:$J$26),0)</f>
        <v>0.20833333333333331</v>
      </c>
      <c r="W646" s="44">
        <f>IF(Mecze[[#This Row],[Role]]&lt;&gt;"BR",SUMPRODUCT(Mecze[[#This Row],[/PR:90]:[/BR:90]],Brudnopis!$E$27:$J$27),0)</f>
        <v>0.24479166666666666</v>
      </c>
      <c r="X646" s="44">
        <f>IF(Mecze[[#This Row],[Role]]&lt;&gt;"BR",SUMPRODUCT(Mecze[[#This Row],[/PR:90]:[/BR:90]],Brudnopis!$E$28:$J$28),0)</f>
        <v>0.13541666666666666</v>
      </c>
      <c r="Y646" s="35">
        <f>IF(Mecze[[#This Row],[Role]]="BR",Mecze[[#This Row],[/OB:90]]+Mecze[[#This Row],[/PC:90]],SUM(Mecze[[#This Row],[/PR:90]:[/BR:90]]))</f>
        <v>0.20833333333333331</v>
      </c>
      <c r="Z646" s="35">
        <f>IF(Mecze[[#This Row],[KC]]=0,SUM(Mecze[[#This Row],[/BRI]:[/NPI]]),SUM(Mecze[[#This Row],[/BRI]:[/NPI]])*0.6)</f>
        <v>1.0729166666666665</v>
      </c>
      <c r="AA646" s="10">
        <f>IFERROR(Mecze[[#This Row],[BR]]/Mecze[[#This Row],[ST]],0)</f>
        <v>0</v>
      </c>
      <c r="AB646">
        <f>ROUND(Mecze[[#This Row],[PD]]*Mecze[[#This Row],[%PC]],0)</f>
        <v>11</v>
      </c>
      <c r="AC646">
        <f>ROUND(Mecze[[#This Row],[OD]]*Mecze[[#This Row],[%OU]],0)</f>
        <v>2</v>
      </c>
      <c r="AD646" s="36" t="s">
        <v>67</v>
      </c>
      <c r="AE646" s="36">
        <v>36</v>
      </c>
      <c r="AF646" s="71">
        <v>6.62</v>
      </c>
      <c r="AG646" s="37">
        <v>0</v>
      </c>
      <c r="AH646" s="37">
        <v>0</v>
      </c>
      <c r="AI646" s="37">
        <v>96</v>
      </c>
      <c r="AJ646" s="37">
        <v>3</v>
      </c>
      <c r="AK646" s="37" t="str">
        <f>VLOOKUP(Mecze[[#This Row],[Match ID]],Meczusie[Mecz]:Meczusie[RodzajMeczu],2,FALSE)</f>
        <v>Liga</v>
      </c>
    </row>
    <row r="647" spans="1:37" x14ac:dyDescent="0.25">
      <c r="A647" s="76">
        <v>3</v>
      </c>
      <c r="B647" s="3" t="s">
        <v>268</v>
      </c>
      <c r="C647" s="2" t="s">
        <v>160</v>
      </c>
      <c r="D647" s="1">
        <v>0</v>
      </c>
      <c r="E647" s="1">
        <v>4</v>
      </c>
      <c r="F647" s="1">
        <v>3</v>
      </c>
      <c r="G647" s="1">
        <v>8</v>
      </c>
      <c r="H647" s="4">
        <v>0.75</v>
      </c>
      <c r="I647" s="1">
        <v>4</v>
      </c>
      <c r="J647" s="4">
        <v>0.5</v>
      </c>
      <c r="K647" s="1">
        <v>0</v>
      </c>
      <c r="L647" s="1">
        <v>2</v>
      </c>
      <c r="M647" s="32">
        <f>IF(Mecze[[#This Row],[PR]]=0,0,Mecze[[#This Row],[PR]]/Mecze[[#This Row],[CZAS]])</f>
        <v>2.0833333333333332E-2</v>
      </c>
      <c r="N647" s="32">
        <f>IF(Mecze[[#This Row],[OU]]=0,0,Mecze[[#This Row],[OU]]/Mecze[[#This Row],[CZAS]])</f>
        <v>2.0833333333333332E-2</v>
      </c>
      <c r="O647" s="32">
        <f>IF(Mecze[[#This Row],[PC]]=0,0,Mecze[[#This Row],[PC]]/Mecze[[#This Row],[CZAS]])</f>
        <v>6.25E-2</v>
      </c>
      <c r="P647" s="32">
        <f>IF(Mecze[[#This Row],[SC]]=0,0,Mecze[[#This Row],[SC]]/Mecze[[#This Row],[CZAS]])</f>
        <v>3.125E-2</v>
      </c>
      <c r="Q647" s="32">
        <f>IF(Mecze[[#This Row],[OB]]=0,0,Mecze[[#This Row],[OB]]/Mecze[[#This Row],[CZAS]])</f>
        <v>0</v>
      </c>
      <c r="R647" s="32">
        <f>IF(Mecze[[#This Row],[BR]]=0,0,Mecze[[#This Row],[BR]]/Mecze[[#This Row],[CZAS]])</f>
        <v>0</v>
      </c>
      <c r="S647" s="44">
        <f>IF(Mecze[[#This Row],[Role]]="BR",SUMPRODUCT(Mecze[[#This Row],[/PR:90]:[/BR:90]],Brudnopis!$E$23:$J$23),0)</f>
        <v>0</v>
      </c>
      <c r="T647" s="44">
        <f>IF(Mecze[[#This Row],[Role]]&lt;&gt;"BR",SUMPRODUCT(Mecze[[#This Row],[/PR:90]:[/BR:90]],Brudnopis!$E$24:$J$24),0)</f>
        <v>0.14583333333333331</v>
      </c>
      <c r="U647" s="44">
        <f>IF(Mecze[[#This Row],[Role]]&lt;&gt;"BR",SUMPRODUCT(Mecze[[#This Row],[/PR:90]:[/BR:90]],Brudnopis!$E$25:$J$25),0)</f>
        <v>0.16666666666666666</v>
      </c>
      <c r="V647" s="44">
        <f>IF(Mecze[[#This Row],[Role]]&lt;&gt;"BR",SUMPRODUCT(Mecze[[#This Row],[/PR:90]:[/BR:90]],Brudnopis!$E$26:$J$26),0)</f>
        <v>0.13541666666666666</v>
      </c>
      <c r="W647" s="44">
        <f>IF(Mecze[[#This Row],[Role]]&lt;&gt;"BR",SUMPRODUCT(Mecze[[#This Row],[/PR:90]:[/BR:90]],Brudnopis!$E$27:$J$27),0)</f>
        <v>0.15625</v>
      </c>
      <c r="X647" s="44">
        <f>IF(Mecze[[#This Row],[Role]]&lt;&gt;"BR",SUMPRODUCT(Mecze[[#This Row],[/PR:90]:[/BR:90]],Brudnopis!$E$28:$J$28),0)</f>
        <v>0.125</v>
      </c>
      <c r="Y647" s="35">
        <f>IF(Mecze[[#This Row],[Role]]="BR",Mecze[[#This Row],[/OB:90]]+Mecze[[#This Row],[/PC:90]],SUM(Mecze[[#This Row],[/PR:90]:[/BR:90]]))</f>
        <v>0.13541666666666666</v>
      </c>
      <c r="Z647" s="35">
        <f>IF(Mecze[[#This Row],[KC]]=0,SUM(Mecze[[#This Row],[/BRI]:[/NPI]]),SUM(Mecze[[#This Row],[/BRI]:[/NPI]])*0.6)</f>
        <v>0.72916666666666663</v>
      </c>
      <c r="AA647" s="10">
        <f>IFERROR(Mecze[[#This Row],[BR]]/Mecze[[#This Row],[ST]],0)</f>
        <v>0</v>
      </c>
      <c r="AB647">
        <f>ROUND(Mecze[[#This Row],[PD]]*Mecze[[#This Row],[%PC]],0)</f>
        <v>6</v>
      </c>
      <c r="AC647">
        <f>ROUND(Mecze[[#This Row],[OD]]*Mecze[[#This Row],[%OU]],0)</f>
        <v>2</v>
      </c>
      <c r="AD647" s="36" t="s">
        <v>44</v>
      </c>
      <c r="AE647" s="36">
        <v>36</v>
      </c>
      <c r="AF647" s="71">
        <v>6.24</v>
      </c>
      <c r="AG647" s="37">
        <v>0</v>
      </c>
      <c r="AH647" s="37">
        <v>0</v>
      </c>
      <c r="AI647" s="37">
        <v>96</v>
      </c>
      <c r="AJ647" s="37">
        <v>3</v>
      </c>
      <c r="AK647" s="37" t="str">
        <f>VLOOKUP(Mecze[[#This Row],[Match ID]],Meczusie[Mecz]:Meczusie[RodzajMeczu],2,FALSE)</f>
        <v>Liga</v>
      </c>
    </row>
    <row r="648" spans="1:37" x14ac:dyDescent="0.25">
      <c r="A648" s="76">
        <v>8</v>
      </c>
      <c r="B648" s="3" t="s">
        <v>269</v>
      </c>
      <c r="C648" s="2" t="s">
        <v>165</v>
      </c>
      <c r="D648" s="1">
        <v>0</v>
      </c>
      <c r="E648" s="1">
        <v>3</v>
      </c>
      <c r="F648" s="1">
        <v>3</v>
      </c>
      <c r="G648" s="1">
        <v>3</v>
      </c>
      <c r="H648" s="4">
        <v>0.67</v>
      </c>
      <c r="I648" s="1">
        <v>3</v>
      </c>
      <c r="J648" s="4">
        <v>0.33</v>
      </c>
      <c r="K648" s="1">
        <v>0</v>
      </c>
      <c r="L648" s="1">
        <v>3</v>
      </c>
      <c r="M648" s="32">
        <f>IF(Mecze[[#This Row],[PR]]=0,0,Mecze[[#This Row],[PR]]/Mecze[[#This Row],[CZAS]])</f>
        <v>3.125E-2</v>
      </c>
      <c r="N648" s="32">
        <f>IF(Mecze[[#This Row],[OU]]=0,0,Mecze[[#This Row],[OU]]/Mecze[[#This Row],[CZAS]])</f>
        <v>1.0416666666666666E-2</v>
      </c>
      <c r="O648" s="32">
        <f>IF(Mecze[[#This Row],[PC]]=0,0,Mecze[[#This Row],[PC]]/Mecze[[#This Row],[CZAS]])</f>
        <v>2.0833333333333332E-2</v>
      </c>
      <c r="P648" s="32">
        <f>IF(Mecze[[#This Row],[SC]]=0,0,Mecze[[#This Row],[SC]]/Mecze[[#This Row],[CZAS]])</f>
        <v>3.125E-2</v>
      </c>
      <c r="Q648" s="32">
        <f>IF(Mecze[[#This Row],[OB]]=0,0,Mecze[[#This Row],[OB]]/Mecze[[#This Row],[CZAS]])</f>
        <v>0</v>
      </c>
      <c r="R648" s="32">
        <f>IF(Mecze[[#This Row],[BR]]=0,0,Mecze[[#This Row],[BR]]/Mecze[[#This Row],[CZAS]])</f>
        <v>0</v>
      </c>
      <c r="S648" s="44">
        <f>IF(Mecze[[#This Row],[Role]]="BR",SUMPRODUCT(Mecze[[#This Row],[/PR:90]:[/BR:90]],Brudnopis!$E$23:$J$23),0)</f>
        <v>0</v>
      </c>
      <c r="T648" s="44">
        <f>IF(Mecze[[#This Row],[Role]]&lt;&gt;"BR",SUMPRODUCT(Mecze[[#This Row],[/PR:90]:[/BR:90]],Brudnopis!$E$24:$J$24),0)</f>
        <v>9.8958333333333329E-2</v>
      </c>
      <c r="U648" s="44">
        <f>IF(Mecze[[#This Row],[Role]]&lt;&gt;"BR",SUMPRODUCT(Mecze[[#This Row],[/PR:90]:[/BR:90]],Brudnopis!$E$25:$J$25),0)</f>
        <v>0.10416666666666666</v>
      </c>
      <c r="V648" s="44">
        <f>IF(Mecze[[#This Row],[Role]]&lt;&gt;"BR",SUMPRODUCT(Mecze[[#This Row],[/PR:90]:[/BR:90]],Brudnopis!$E$26:$J$26),0)</f>
        <v>9.375E-2</v>
      </c>
      <c r="W648" s="44">
        <f>IF(Mecze[[#This Row],[Role]]&lt;&gt;"BR",SUMPRODUCT(Mecze[[#This Row],[/PR:90]:[/BR:90]],Brudnopis!$E$27:$J$27),0)</f>
        <v>9.375E-2</v>
      </c>
      <c r="X648" s="44">
        <f>IF(Mecze[[#This Row],[Role]]&lt;&gt;"BR",SUMPRODUCT(Mecze[[#This Row],[/PR:90]:[/BR:90]],Brudnopis!$E$28:$J$28),0)</f>
        <v>8.3333333333333329E-2</v>
      </c>
      <c r="Y648" s="35">
        <f>IF(Mecze[[#This Row],[Role]]="BR",Mecze[[#This Row],[/OB:90]]+Mecze[[#This Row],[/PC:90]],SUM(Mecze[[#This Row],[/PR:90]:[/BR:90]]))</f>
        <v>9.375E-2</v>
      </c>
      <c r="Z648" s="35">
        <f>IF(Mecze[[#This Row],[KC]]=0,SUM(Mecze[[#This Row],[/BRI]:[/NPI]]),SUM(Mecze[[#This Row],[/BRI]:[/NPI]])*0.6)</f>
        <v>0.47395833333333331</v>
      </c>
      <c r="AA648" s="10">
        <f>IFERROR(Mecze[[#This Row],[BR]]/Mecze[[#This Row],[ST]],0)</f>
        <v>0</v>
      </c>
      <c r="AB648">
        <f>ROUND(Mecze[[#This Row],[PD]]*Mecze[[#This Row],[%PC]],0)</f>
        <v>2</v>
      </c>
      <c r="AC648">
        <f>ROUND(Mecze[[#This Row],[OD]]*Mecze[[#This Row],[%OU]],0)</f>
        <v>1</v>
      </c>
      <c r="AD648" s="36" t="s">
        <v>272</v>
      </c>
      <c r="AE648" s="36">
        <v>36</v>
      </c>
      <c r="AF648" s="71">
        <v>4.59</v>
      </c>
      <c r="AG648" s="37">
        <v>0</v>
      </c>
      <c r="AH648" s="37">
        <v>0</v>
      </c>
      <c r="AI648" s="37">
        <v>96</v>
      </c>
      <c r="AJ648" s="37">
        <v>3</v>
      </c>
      <c r="AK648" s="37" t="str">
        <f>VLOOKUP(Mecze[[#This Row],[Match ID]],Meczusie[Mecz]:Meczusie[RodzajMeczu],2,FALSE)</f>
        <v>Liga</v>
      </c>
    </row>
    <row r="649" spans="1:37" x14ac:dyDescent="0.25">
      <c r="A649" s="76">
        <v>11</v>
      </c>
      <c r="B649" s="3" t="s">
        <v>270</v>
      </c>
      <c r="C649" s="2" t="s">
        <v>165</v>
      </c>
      <c r="D649" s="1">
        <v>1</v>
      </c>
      <c r="E649" s="1">
        <v>10</v>
      </c>
      <c r="F649" s="1">
        <v>10</v>
      </c>
      <c r="G649" s="1">
        <v>12</v>
      </c>
      <c r="H649" s="4">
        <v>0.75</v>
      </c>
      <c r="I649" s="1">
        <v>0</v>
      </c>
      <c r="J649" s="4"/>
      <c r="K649" s="1">
        <v>0</v>
      </c>
      <c r="L649" s="1">
        <v>5</v>
      </c>
      <c r="M649" s="32">
        <f>IF(Mecze[[#This Row],[PR]]=0,0,Mecze[[#This Row],[PR]]/Mecze[[#This Row],[CZAS]])</f>
        <v>5.2083333333333336E-2</v>
      </c>
      <c r="N649" s="32">
        <f>IF(Mecze[[#This Row],[OU]]=0,0,Mecze[[#This Row],[OU]]/Mecze[[#This Row],[CZAS]])</f>
        <v>0</v>
      </c>
      <c r="O649" s="32">
        <f>IF(Mecze[[#This Row],[PC]]=0,0,Mecze[[#This Row],[PC]]/Mecze[[#This Row],[CZAS]])</f>
        <v>9.375E-2</v>
      </c>
      <c r="P649" s="32">
        <f>IF(Mecze[[#This Row],[SC]]=0,0,Mecze[[#This Row],[SC]]/Mecze[[#This Row],[CZAS]])</f>
        <v>0.10416666666666667</v>
      </c>
      <c r="Q649" s="32">
        <f>IF(Mecze[[#This Row],[OB]]=0,0,Mecze[[#This Row],[OB]]/Mecze[[#This Row],[CZAS]])</f>
        <v>0</v>
      </c>
      <c r="R649" s="32">
        <f>IF(Mecze[[#This Row],[BR]]=0,0,Mecze[[#This Row],[BR]]/Mecze[[#This Row],[CZAS]])</f>
        <v>1.0416666666666666E-2</v>
      </c>
      <c r="S649" s="44">
        <f>IF(Mecze[[#This Row],[Role]]="BR",SUMPRODUCT(Mecze[[#This Row],[/PR:90]:[/BR:90]],Brudnopis!$E$23:$J$23),0)</f>
        <v>0</v>
      </c>
      <c r="T649" s="44">
        <f>IF(Mecze[[#This Row],[Role]]&lt;&gt;"BR",SUMPRODUCT(Mecze[[#This Row],[/PR:90]:[/BR:90]],Brudnopis!$E$24:$J$24),0)</f>
        <v>0.265625</v>
      </c>
      <c r="U649" s="44">
        <f>IF(Mecze[[#This Row],[Role]]&lt;&gt;"BR",SUMPRODUCT(Mecze[[#This Row],[/PR:90]:[/BR:90]],Brudnopis!$E$25:$J$25),0)</f>
        <v>0.3125</v>
      </c>
      <c r="V649" s="44">
        <f>IF(Mecze[[#This Row],[Role]]&lt;&gt;"BR",SUMPRODUCT(Mecze[[#This Row],[/PR:90]:[/BR:90]],Brudnopis!$E$26:$J$26),0)</f>
        <v>0.27083333333333331</v>
      </c>
      <c r="W649" s="44">
        <f>IF(Mecze[[#This Row],[Role]]&lt;&gt;"BR",SUMPRODUCT(Mecze[[#This Row],[/PR:90]:[/BR:90]],Brudnopis!$E$27:$J$27),0)</f>
        <v>0.3046875</v>
      </c>
      <c r="X649" s="44">
        <f>IF(Mecze[[#This Row],[Role]]&lt;&gt;"BR",SUMPRODUCT(Mecze[[#This Row],[/PR:90]:[/BR:90]],Brudnopis!$E$28:$J$28),0)</f>
        <v>0.33333333333333337</v>
      </c>
      <c r="Y649" s="35">
        <f>IF(Mecze[[#This Row],[Role]]="BR",Mecze[[#This Row],[/OB:90]]+Mecze[[#This Row],[/PC:90]],SUM(Mecze[[#This Row],[/PR:90]:[/BR:90]]))</f>
        <v>0.26041666666666669</v>
      </c>
      <c r="Z649" s="35">
        <f>IF(Mecze[[#This Row],[KC]]=0,SUM(Mecze[[#This Row],[/BRI]:[/NPI]]),SUM(Mecze[[#This Row],[/BRI]:[/NPI]])*0.6)</f>
        <v>1.4869791666666665</v>
      </c>
      <c r="AA649" s="10">
        <f>IFERROR(Mecze[[#This Row],[BR]]/Mecze[[#This Row],[ST]],0)</f>
        <v>0.1</v>
      </c>
      <c r="AB649">
        <f>ROUND(Mecze[[#This Row],[PD]]*Mecze[[#This Row],[%PC]],0)</f>
        <v>9</v>
      </c>
      <c r="AC649">
        <f>ROUND(Mecze[[#This Row],[OD]]*Mecze[[#This Row],[%OU]],0)</f>
        <v>0</v>
      </c>
      <c r="AD649" s="36" t="s">
        <v>273</v>
      </c>
      <c r="AE649" s="36">
        <v>36</v>
      </c>
      <c r="AF649" s="71">
        <v>9.76</v>
      </c>
      <c r="AG649" s="37">
        <v>0</v>
      </c>
      <c r="AH649" s="37">
        <v>0</v>
      </c>
      <c r="AI649" s="37">
        <v>96</v>
      </c>
      <c r="AJ649" s="37">
        <v>3</v>
      </c>
      <c r="AK649" s="37" t="str">
        <f>VLOOKUP(Mecze[[#This Row],[Match ID]],Meczusie[Mecz]:Meczusie[RodzajMeczu],2,FALSE)</f>
        <v>Liga</v>
      </c>
    </row>
    <row r="650" spans="1:37" x14ac:dyDescent="0.25">
      <c r="A650" s="76">
        <v>10</v>
      </c>
      <c r="B650" s="3" t="s">
        <v>271</v>
      </c>
      <c r="C650" s="2" t="s">
        <v>165</v>
      </c>
      <c r="D650" s="1">
        <v>1</v>
      </c>
      <c r="E650" s="1">
        <v>12</v>
      </c>
      <c r="F650" s="1">
        <v>12</v>
      </c>
      <c r="G650" s="1">
        <v>4</v>
      </c>
      <c r="H650" s="4">
        <v>0.75</v>
      </c>
      <c r="I650" s="1">
        <v>1</v>
      </c>
      <c r="J650" s="4">
        <v>0</v>
      </c>
      <c r="K650" s="1">
        <v>0</v>
      </c>
      <c r="L650" s="1">
        <v>0</v>
      </c>
      <c r="M650" s="32">
        <f>IF(Mecze[[#This Row],[PR]]=0,0,Mecze[[#This Row],[PR]]/Mecze[[#This Row],[CZAS]])</f>
        <v>0</v>
      </c>
      <c r="N650" s="32">
        <f>IF(Mecze[[#This Row],[OU]]=0,0,Mecze[[#This Row],[OU]]/Mecze[[#This Row],[CZAS]])</f>
        <v>0</v>
      </c>
      <c r="O650" s="32">
        <f>IF(Mecze[[#This Row],[PC]]=0,0,Mecze[[#This Row],[PC]]/Mecze[[#This Row],[CZAS]])</f>
        <v>3.125E-2</v>
      </c>
      <c r="P650" s="32">
        <f>IF(Mecze[[#This Row],[SC]]=0,0,Mecze[[#This Row],[SC]]/Mecze[[#This Row],[CZAS]])</f>
        <v>0.125</v>
      </c>
      <c r="Q650" s="32">
        <f>IF(Mecze[[#This Row],[OB]]=0,0,Mecze[[#This Row],[OB]]/Mecze[[#This Row],[CZAS]])</f>
        <v>0</v>
      </c>
      <c r="R650" s="32">
        <f>IF(Mecze[[#This Row],[BR]]=0,0,Mecze[[#This Row],[BR]]/Mecze[[#This Row],[CZAS]])</f>
        <v>1.0416666666666666E-2</v>
      </c>
      <c r="S650" s="44">
        <f>IF(Mecze[[#This Row],[Role]]="BR",SUMPRODUCT(Mecze[[#This Row],[/PR:90]:[/BR:90]],Brudnopis!$E$23:$J$23),0)</f>
        <v>0</v>
      </c>
      <c r="T650" s="44">
        <f>IF(Mecze[[#This Row],[Role]]&lt;&gt;"BR",SUMPRODUCT(Mecze[[#This Row],[/PR:90]:[/BR:90]],Brudnopis!$E$24:$J$24),0)</f>
        <v>0.171875</v>
      </c>
      <c r="U650" s="44">
        <f>IF(Mecze[[#This Row],[Role]]&lt;&gt;"BR",SUMPRODUCT(Mecze[[#This Row],[/PR:90]:[/BR:90]],Brudnopis!$E$25:$J$25),0)</f>
        <v>0.1875</v>
      </c>
      <c r="V650" s="44">
        <f>IF(Mecze[[#This Row],[Role]]&lt;&gt;"BR",SUMPRODUCT(Mecze[[#This Row],[/PR:90]:[/BR:90]],Brudnopis!$E$26:$J$26),0)</f>
        <v>0.17708333333333334</v>
      </c>
      <c r="W650" s="44">
        <f>IF(Mecze[[#This Row],[Role]]&lt;&gt;"BR",SUMPRODUCT(Mecze[[#This Row],[/PR:90]:[/BR:90]],Brudnopis!$E$27:$J$27),0)</f>
        <v>0.19270833333333334</v>
      </c>
      <c r="X650" s="44">
        <f>IF(Mecze[[#This Row],[Role]]&lt;&gt;"BR",SUMPRODUCT(Mecze[[#This Row],[/PR:90]:[/BR:90]],Brudnopis!$E$28:$J$28),0)</f>
        <v>0.3125</v>
      </c>
      <c r="Y650" s="35">
        <f>IF(Mecze[[#This Row],[Role]]="BR",Mecze[[#This Row],[/OB:90]]+Mecze[[#This Row],[/PC:90]],SUM(Mecze[[#This Row],[/PR:90]:[/BR:90]]))</f>
        <v>0.16666666666666666</v>
      </c>
      <c r="Z650" s="35">
        <f>IF(Mecze[[#This Row],[KC]]=0,SUM(Mecze[[#This Row],[/BRI]:[/NPI]]),SUM(Mecze[[#This Row],[/BRI]:[/NPI]])*0.6)</f>
        <v>1.0416666666666667</v>
      </c>
      <c r="AA650" s="10">
        <f>IFERROR(Mecze[[#This Row],[BR]]/Mecze[[#This Row],[ST]],0)</f>
        <v>8.3333333333333329E-2</v>
      </c>
      <c r="AB650">
        <f>ROUND(Mecze[[#This Row],[PD]]*Mecze[[#This Row],[%PC]],0)</f>
        <v>3</v>
      </c>
      <c r="AC650">
        <f>ROUND(Mecze[[#This Row],[OD]]*Mecze[[#This Row],[%OU]],0)</f>
        <v>0</v>
      </c>
      <c r="AD650" s="36" t="s">
        <v>46</v>
      </c>
      <c r="AE650" s="36">
        <v>36</v>
      </c>
      <c r="AF650" s="71">
        <v>8.8699999999999992</v>
      </c>
      <c r="AG650" s="37">
        <v>0</v>
      </c>
      <c r="AH650" s="37">
        <v>0</v>
      </c>
      <c r="AI650" s="37">
        <v>96</v>
      </c>
      <c r="AJ650" s="37">
        <v>3</v>
      </c>
      <c r="AK650" s="37" t="str">
        <f>VLOOKUP(Mecze[[#This Row],[Match ID]],Meczusie[Mecz]:Meczusie[RodzajMeczu],2,FALSE)</f>
        <v>Liga</v>
      </c>
    </row>
    <row r="651" spans="1:37" x14ac:dyDescent="0.25">
      <c r="A651" s="76">
        <v>1</v>
      </c>
      <c r="B651" s="3" t="s">
        <v>169</v>
      </c>
      <c r="C651" s="2" t="s">
        <v>155</v>
      </c>
      <c r="D651" s="1">
        <v>0</v>
      </c>
      <c r="E651" s="1">
        <v>0</v>
      </c>
      <c r="F651" s="1">
        <v>0</v>
      </c>
      <c r="G651" s="1">
        <v>2</v>
      </c>
      <c r="H651" s="4">
        <v>0.5</v>
      </c>
      <c r="I651" s="1">
        <v>0</v>
      </c>
      <c r="J651" s="4"/>
      <c r="K651" s="1">
        <v>4</v>
      </c>
      <c r="L651" s="1">
        <v>0</v>
      </c>
      <c r="M651" s="32">
        <f>IF(Mecze[[#This Row],[PR]]=0,0,Mecze[[#This Row],[PR]]/Mecze[[#This Row],[CZAS]])</f>
        <v>0</v>
      </c>
      <c r="N651" s="32">
        <f>IF(Mecze[[#This Row],[OU]]=0,0,Mecze[[#This Row],[OU]]/Mecze[[#This Row],[CZAS]])</f>
        <v>0</v>
      </c>
      <c r="O651" s="32">
        <f>IF(Mecze[[#This Row],[PC]]=0,0,Mecze[[#This Row],[PC]]/Mecze[[#This Row],[CZAS]])</f>
        <v>1.0309278350515464E-2</v>
      </c>
      <c r="P651" s="32">
        <f>IF(Mecze[[#This Row],[SC]]=0,0,Mecze[[#This Row],[SC]]/Mecze[[#This Row],[CZAS]])</f>
        <v>0</v>
      </c>
      <c r="Q651" s="32">
        <f>IF(Mecze[[#This Row],[OB]]=0,0,Mecze[[#This Row],[OB]]/Mecze[[#This Row],[CZAS]])</f>
        <v>4.1237113402061855E-2</v>
      </c>
      <c r="R651" s="32">
        <f>IF(Mecze[[#This Row],[BR]]=0,0,Mecze[[#This Row],[BR]]/Mecze[[#This Row],[CZAS]])</f>
        <v>0</v>
      </c>
      <c r="S651" s="44">
        <f>IF(Mecze[[#This Row],[Role]]="BR",SUMPRODUCT(Mecze[[#This Row],[/PR:90]:[/BR:90]],Brudnopis!$E$23:$J$23),0)</f>
        <v>0.15463917525773196</v>
      </c>
      <c r="T651" s="44">
        <f>IF(Mecze[[#This Row],[Role]]&lt;&gt;"BR",SUMPRODUCT(Mecze[[#This Row],[/PR:90]:[/BR:90]],Brudnopis!$E$24:$J$24),0)</f>
        <v>0</v>
      </c>
      <c r="U651" s="44">
        <f>IF(Mecze[[#This Row],[Role]]&lt;&gt;"BR",SUMPRODUCT(Mecze[[#This Row],[/PR:90]:[/BR:90]],Brudnopis!$E$25:$J$25),0)</f>
        <v>0</v>
      </c>
      <c r="V651" s="44">
        <f>IF(Mecze[[#This Row],[Role]]&lt;&gt;"BR",SUMPRODUCT(Mecze[[#This Row],[/PR:90]:[/BR:90]],Brudnopis!$E$26:$J$26),0)</f>
        <v>0</v>
      </c>
      <c r="W651" s="44">
        <f>IF(Mecze[[#This Row],[Role]]&lt;&gt;"BR",SUMPRODUCT(Mecze[[#This Row],[/PR:90]:[/BR:90]],Brudnopis!$E$27:$J$27),0)</f>
        <v>0</v>
      </c>
      <c r="X651" s="44">
        <f>IF(Mecze[[#This Row],[Role]]&lt;&gt;"BR",SUMPRODUCT(Mecze[[#This Row],[/PR:90]:[/BR:90]],Brudnopis!$E$28:$J$28),0)</f>
        <v>0</v>
      </c>
      <c r="Y651" s="35">
        <f>IF(Mecze[[#This Row],[Role]]="BR",Mecze[[#This Row],[/OB:90]]+Mecze[[#This Row],[/PC:90]],SUM(Mecze[[#This Row],[/PR:90]:[/BR:90]]))</f>
        <v>5.1546391752577317E-2</v>
      </c>
      <c r="Z651" s="35">
        <f>IF(Mecze[[#This Row],[KC]]=0,SUM(Mecze[[#This Row],[/BRI]:[/NPI]]),SUM(Mecze[[#This Row],[/BRI]:[/NPI]])*0.6)</f>
        <v>0.15463917525773196</v>
      </c>
      <c r="AA651" s="10">
        <f>IFERROR(Mecze[[#This Row],[BR]]/Mecze[[#This Row],[ST]],0)</f>
        <v>0</v>
      </c>
      <c r="AB651">
        <f>ROUND(Mecze[[#This Row],[PD]]*Mecze[[#This Row],[%PC]],0)</f>
        <v>1</v>
      </c>
      <c r="AC651">
        <f>ROUND(Mecze[[#This Row],[OD]]*Mecze[[#This Row],[%OU]],0)</f>
        <v>0</v>
      </c>
      <c r="AD651" s="36" t="s">
        <v>40</v>
      </c>
      <c r="AE651" s="36">
        <v>37</v>
      </c>
      <c r="AF651" s="71">
        <v>4.21</v>
      </c>
      <c r="AG651" s="37">
        <v>0</v>
      </c>
      <c r="AH651" s="37">
        <v>0</v>
      </c>
      <c r="AI651" s="37">
        <v>97</v>
      </c>
      <c r="AJ651" s="37">
        <v>1</v>
      </c>
      <c r="AK651" s="37" t="str">
        <f>VLOOKUP(Mecze[[#This Row],[Match ID]],Meczusie[Mecz]:Meczusie[RodzajMeczu],2,FALSE)</f>
        <v>Towarzyski</v>
      </c>
    </row>
    <row r="652" spans="1:37" x14ac:dyDescent="0.25">
      <c r="A652" s="76">
        <v>6</v>
      </c>
      <c r="B652" s="3" t="s">
        <v>159</v>
      </c>
      <c r="C652" s="2" t="s">
        <v>157</v>
      </c>
      <c r="D652" s="1">
        <v>0</v>
      </c>
      <c r="E652" s="1">
        <v>0</v>
      </c>
      <c r="F652" s="1">
        <v>0</v>
      </c>
      <c r="G652" s="1">
        <v>6</v>
      </c>
      <c r="H652" s="4">
        <v>0.67</v>
      </c>
      <c r="I652" s="1">
        <v>2</v>
      </c>
      <c r="J652" s="4">
        <v>0</v>
      </c>
      <c r="K652" s="1">
        <v>0</v>
      </c>
      <c r="L652" s="1">
        <v>5</v>
      </c>
      <c r="M652" s="32">
        <f>IF(Mecze[[#This Row],[PR]]=0,0,Mecze[[#This Row],[PR]]/Mecze[[#This Row],[CZAS]])</f>
        <v>5.1546391752577317E-2</v>
      </c>
      <c r="N652" s="32">
        <f>IF(Mecze[[#This Row],[OU]]=0,0,Mecze[[#This Row],[OU]]/Mecze[[#This Row],[CZAS]])</f>
        <v>0</v>
      </c>
      <c r="O652" s="32">
        <f>IF(Mecze[[#This Row],[PC]]=0,0,Mecze[[#This Row],[PC]]/Mecze[[#This Row],[CZAS]])</f>
        <v>4.1237113402061855E-2</v>
      </c>
      <c r="P652" s="32">
        <f>IF(Mecze[[#This Row],[SC]]=0,0,Mecze[[#This Row],[SC]]/Mecze[[#This Row],[CZAS]])</f>
        <v>0</v>
      </c>
      <c r="Q652" s="32">
        <f>IF(Mecze[[#This Row],[OB]]=0,0,Mecze[[#This Row],[OB]]/Mecze[[#This Row],[CZAS]])</f>
        <v>0</v>
      </c>
      <c r="R652" s="32">
        <f>IF(Mecze[[#This Row],[BR]]=0,0,Mecze[[#This Row],[BR]]/Mecze[[#This Row],[CZAS]])</f>
        <v>0</v>
      </c>
      <c r="S652" s="44">
        <f>IF(Mecze[[#This Row],[Role]]="BR",SUMPRODUCT(Mecze[[#This Row],[/PR:90]:[/BR:90]],Brudnopis!$E$23:$J$23),0)</f>
        <v>0</v>
      </c>
      <c r="T652" s="44">
        <f>IF(Mecze[[#This Row],[Role]]&lt;&gt;"BR",SUMPRODUCT(Mecze[[#This Row],[/PR:90]:[/BR:90]],Brudnopis!$E$24:$J$24),0)</f>
        <v>9.2783505154639179E-2</v>
      </c>
      <c r="U652" s="44">
        <f>IF(Mecze[[#This Row],[Role]]&lt;&gt;"BR",SUMPRODUCT(Mecze[[#This Row],[/PR:90]:[/BR:90]],Brudnopis!$E$25:$J$25),0)</f>
        <v>0.1134020618556701</v>
      </c>
      <c r="V652" s="44">
        <f>IF(Mecze[[#This Row],[Role]]&lt;&gt;"BR",SUMPRODUCT(Mecze[[#This Row],[/PR:90]:[/BR:90]],Brudnopis!$E$26:$J$26),0)</f>
        <v>9.2783505154639179E-2</v>
      </c>
      <c r="W652" s="44">
        <f>IF(Mecze[[#This Row],[Role]]&lt;&gt;"BR",SUMPRODUCT(Mecze[[#This Row],[/PR:90]:[/BR:90]],Brudnopis!$E$27:$J$27),0)</f>
        <v>0.10051546391752578</v>
      </c>
      <c r="X652" s="44">
        <f>IF(Mecze[[#This Row],[Role]]&lt;&gt;"BR",SUMPRODUCT(Mecze[[#This Row],[/PR:90]:[/BR:90]],Brudnopis!$E$28:$J$28),0)</f>
        <v>4.1237113402061855E-2</v>
      </c>
      <c r="Y652" s="35">
        <f>IF(Mecze[[#This Row],[Role]]="BR",Mecze[[#This Row],[/OB:90]]+Mecze[[#This Row],[/PC:90]],SUM(Mecze[[#This Row],[/PR:90]:[/BR:90]]))</f>
        <v>9.2783505154639179E-2</v>
      </c>
      <c r="Z652" s="35">
        <f>IF(Mecze[[#This Row],[KC]]=0,SUM(Mecze[[#This Row],[/BRI]:[/NPI]]),SUM(Mecze[[#This Row],[/BRI]:[/NPI]])*0.6)</f>
        <v>0.44072164948453613</v>
      </c>
      <c r="AA652" s="10">
        <f>IFERROR(Mecze[[#This Row],[BR]]/Mecze[[#This Row],[ST]],0)</f>
        <v>0</v>
      </c>
      <c r="AB652">
        <f>ROUND(Mecze[[#This Row],[PD]]*Mecze[[#This Row],[%PC]],0)</f>
        <v>4</v>
      </c>
      <c r="AC652">
        <f>ROUND(Mecze[[#This Row],[OD]]*Mecze[[#This Row],[%OU]],0)</f>
        <v>0</v>
      </c>
      <c r="AD652" s="36" t="s">
        <v>47</v>
      </c>
      <c r="AE652" s="36">
        <v>37</v>
      </c>
      <c r="AF652" s="71">
        <v>3.86</v>
      </c>
      <c r="AG652" s="37">
        <v>0</v>
      </c>
      <c r="AH652" s="37">
        <v>0</v>
      </c>
      <c r="AI652" s="37">
        <v>97</v>
      </c>
      <c r="AJ652" s="37">
        <v>1</v>
      </c>
      <c r="AK652" s="37" t="str">
        <f>VLOOKUP(Mecze[[#This Row],[Match ID]],Meczusie[Mecz]:Meczusie[RodzajMeczu],2,FALSE)</f>
        <v>Towarzyski</v>
      </c>
    </row>
    <row r="653" spans="1:37" x14ac:dyDescent="0.25">
      <c r="A653" s="76">
        <v>4</v>
      </c>
      <c r="B653" s="3" t="s">
        <v>360</v>
      </c>
      <c r="C653" s="2" t="s">
        <v>157</v>
      </c>
      <c r="D653" s="1">
        <v>0</v>
      </c>
      <c r="E653" s="1">
        <v>0</v>
      </c>
      <c r="F653" s="1">
        <v>0</v>
      </c>
      <c r="G653" s="1">
        <v>6</v>
      </c>
      <c r="H653" s="4">
        <v>0.5</v>
      </c>
      <c r="I653" s="1">
        <v>1</v>
      </c>
      <c r="J653" s="4">
        <v>1</v>
      </c>
      <c r="K653" s="1">
        <v>0</v>
      </c>
      <c r="L653" s="1">
        <v>9</v>
      </c>
      <c r="M653" s="32">
        <f>IF(Mecze[[#This Row],[PR]]=0,0,Mecze[[#This Row],[PR]]/Mecze[[#This Row],[CZAS]])</f>
        <v>9.2783505154639179E-2</v>
      </c>
      <c r="N653" s="32">
        <f>IF(Mecze[[#This Row],[OU]]=0,0,Mecze[[#This Row],[OU]]/Mecze[[#This Row],[CZAS]])</f>
        <v>1.0309278350515464E-2</v>
      </c>
      <c r="O653" s="32">
        <f>IF(Mecze[[#This Row],[PC]]=0,0,Mecze[[#This Row],[PC]]/Mecze[[#This Row],[CZAS]])</f>
        <v>3.0927835051546393E-2</v>
      </c>
      <c r="P653" s="32">
        <f>IF(Mecze[[#This Row],[SC]]=0,0,Mecze[[#This Row],[SC]]/Mecze[[#This Row],[CZAS]])</f>
        <v>0</v>
      </c>
      <c r="Q653" s="32">
        <f>IF(Mecze[[#This Row],[OB]]=0,0,Mecze[[#This Row],[OB]]/Mecze[[#This Row],[CZAS]])</f>
        <v>0</v>
      </c>
      <c r="R653" s="32">
        <f>IF(Mecze[[#This Row],[BR]]=0,0,Mecze[[#This Row],[BR]]/Mecze[[#This Row],[CZAS]])</f>
        <v>0</v>
      </c>
      <c r="S653" s="44">
        <f>IF(Mecze[[#This Row],[Role]]="BR",SUMPRODUCT(Mecze[[#This Row],[/PR:90]:[/BR:90]],Brudnopis!$E$23:$J$23),0)</f>
        <v>0</v>
      </c>
      <c r="T653" s="44">
        <f>IF(Mecze[[#This Row],[Role]]&lt;&gt;"BR",SUMPRODUCT(Mecze[[#This Row],[/PR:90]:[/BR:90]],Brudnopis!$E$24:$J$24),0)</f>
        <v>0.13917525773195877</v>
      </c>
      <c r="U653" s="44">
        <f>IF(Mecze[[#This Row],[Role]]&lt;&gt;"BR",SUMPRODUCT(Mecze[[#This Row],[/PR:90]:[/BR:90]],Brudnopis!$E$25:$J$25),0)</f>
        <v>0.14948453608247425</v>
      </c>
      <c r="V653" s="44">
        <f>IF(Mecze[[#This Row],[Role]]&lt;&gt;"BR",SUMPRODUCT(Mecze[[#This Row],[/PR:90]:[/BR:90]],Brudnopis!$E$26:$J$26),0)</f>
        <v>0.13402061855670105</v>
      </c>
      <c r="W653" s="44">
        <f>IF(Mecze[[#This Row],[Role]]&lt;&gt;"BR",SUMPRODUCT(Mecze[[#This Row],[/PR:90]:[/BR:90]],Brudnopis!$E$27:$J$27),0)</f>
        <v>0.12371134020618557</v>
      </c>
      <c r="X653" s="44">
        <f>IF(Mecze[[#This Row],[Role]]&lt;&gt;"BR",SUMPRODUCT(Mecze[[#This Row],[/PR:90]:[/BR:90]],Brudnopis!$E$28:$J$28),0)</f>
        <v>3.0927835051546393E-2</v>
      </c>
      <c r="Y653" s="35">
        <f>IF(Mecze[[#This Row],[Role]]="BR",Mecze[[#This Row],[/OB:90]]+Mecze[[#This Row],[/PC:90]],SUM(Mecze[[#This Row],[/PR:90]:[/BR:90]]))</f>
        <v>0.13402061855670105</v>
      </c>
      <c r="Z653" s="35">
        <f>IF(Mecze[[#This Row],[KC]]=0,SUM(Mecze[[#This Row],[/BRI]:[/NPI]]),SUM(Mecze[[#This Row],[/BRI]:[/NPI]])*0.6)</f>
        <v>0.57731958762886604</v>
      </c>
      <c r="AA653" s="10">
        <f>IFERROR(Mecze[[#This Row],[BR]]/Mecze[[#This Row],[ST]],0)</f>
        <v>0</v>
      </c>
      <c r="AB653">
        <f>ROUND(Mecze[[#This Row],[PD]]*Mecze[[#This Row],[%PC]],0)</f>
        <v>3</v>
      </c>
      <c r="AC653">
        <f>ROUND(Mecze[[#This Row],[OD]]*Mecze[[#This Row],[%OU]],0)</f>
        <v>1</v>
      </c>
      <c r="AD653" s="36" t="s">
        <v>167</v>
      </c>
      <c r="AE653" s="36">
        <v>37</v>
      </c>
      <c r="AF653" s="71">
        <v>4.7</v>
      </c>
      <c r="AG653" s="37">
        <v>0</v>
      </c>
      <c r="AH653" s="37">
        <v>0</v>
      </c>
      <c r="AI653" s="37">
        <v>97</v>
      </c>
      <c r="AJ653" s="37">
        <v>1</v>
      </c>
      <c r="AK653" s="37" t="str">
        <f>VLOOKUP(Mecze[[#This Row],[Match ID]],Meczusie[Mecz]:Meczusie[RodzajMeczu],2,FALSE)</f>
        <v>Towarzyski</v>
      </c>
    </row>
    <row r="654" spans="1:37" x14ac:dyDescent="0.25">
      <c r="A654" s="76">
        <v>3</v>
      </c>
      <c r="B654" s="3" t="s">
        <v>158</v>
      </c>
      <c r="C654" s="2" t="s">
        <v>157</v>
      </c>
      <c r="D654" s="1">
        <v>0</v>
      </c>
      <c r="E654" s="1">
        <v>0</v>
      </c>
      <c r="F654" s="1">
        <v>0</v>
      </c>
      <c r="G654" s="1">
        <v>11</v>
      </c>
      <c r="H654" s="4">
        <v>0.91</v>
      </c>
      <c r="I654" s="1">
        <v>7</v>
      </c>
      <c r="J654" s="4">
        <v>0.86</v>
      </c>
      <c r="K654" s="1">
        <v>0</v>
      </c>
      <c r="L654" s="1">
        <v>7</v>
      </c>
      <c r="M654" s="32">
        <f>IF(Mecze[[#This Row],[PR]]=0,0,Mecze[[#This Row],[PR]]/Mecze[[#This Row],[CZAS]])</f>
        <v>7.2164948453608241E-2</v>
      </c>
      <c r="N654" s="32">
        <f>IF(Mecze[[#This Row],[OU]]=0,0,Mecze[[#This Row],[OU]]/Mecze[[#This Row],[CZAS]])</f>
        <v>6.1855670103092786E-2</v>
      </c>
      <c r="O654" s="32">
        <f>IF(Mecze[[#This Row],[PC]]=0,0,Mecze[[#This Row],[PC]]/Mecze[[#This Row],[CZAS]])</f>
        <v>0.10309278350515463</v>
      </c>
      <c r="P654" s="32">
        <f>IF(Mecze[[#This Row],[SC]]=0,0,Mecze[[#This Row],[SC]]/Mecze[[#This Row],[CZAS]])</f>
        <v>0</v>
      </c>
      <c r="Q654" s="32">
        <f>IF(Mecze[[#This Row],[OB]]=0,0,Mecze[[#This Row],[OB]]/Mecze[[#This Row],[CZAS]])</f>
        <v>0</v>
      </c>
      <c r="R654" s="32">
        <f>IF(Mecze[[#This Row],[BR]]=0,0,Mecze[[#This Row],[BR]]/Mecze[[#This Row],[CZAS]])</f>
        <v>0</v>
      </c>
      <c r="S654" s="44">
        <f>IF(Mecze[[#This Row],[Role]]="BR",SUMPRODUCT(Mecze[[#This Row],[/PR:90]:[/BR:90]],Brudnopis!$E$23:$J$23),0)</f>
        <v>0</v>
      </c>
      <c r="T654" s="44">
        <f>IF(Mecze[[#This Row],[Role]]&lt;&gt;"BR",SUMPRODUCT(Mecze[[#This Row],[/PR:90]:[/BR:90]],Brudnopis!$E$24:$J$24),0)</f>
        <v>0.26804123711340205</v>
      </c>
      <c r="U654" s="44">
        <f>IF(Mecze[[#This Row],[Role]]&lt;&gt;"BR",SUMPRODUCT(Mecze[[#This Row],[/PR:90]:[/BR:90]],Brudnopis!$E$25:$J$25),0)</f>
        <v>0.28865979381443296</v>
      </c>
      <c r="V654" s="44">
        <f>IF(Mecze[[#This Row],[Role]]&lt;&gt;"BR",SUMPRODUCT(Mecze[[#This Row],[/PR:90]:[/BR:90]],Brudnopis!$E$26:$J$26),0)</f>
        <v>0.23711340206185566</v>
      </c>
      <c r="W654" s="44">
        <f>IF(Mecze[[#This Row],[Role]]&lt;&gt;"BR",SUMPRODUCT(Mecze[[#This Row],[/PR:90]:[/BR:90]],Brudnopis!$E$27:$J$27),0)</f>
        <v>0.25515463917525771</v>
      </c>
      <c r="X654" s="44">
        <f>IF(Mecze[[#This Row],[Role]]&lt;&gt;"BR",SUMPRODUCT(Mecze[[#This Row],[/PR:90]:[/BR:90]],Brudnopis!$E$28:$J$28),0)</f>
        <v>0.10309278350515463</v>
      </c>
      <c r="Y654" s="35">
        <f>IF(Mecze[[#This Row],[Role]]="BR",Mecze[[#This Row],[/OB:90]]+Mecze[[#This Row],[/PC:90]],SUM(Mecze[[#This Row],[/PR:90]:[/BR:90]]))</f>
        <v>0.23711340206185566</v>
      </c>
      <c r="Z654" s="35">
        <f>IF(Mecze[[#This Row],[KC]]=0,SUM(Mecze[[#This Row],[/BRI]:[/NPI]]),SUM(Mecze[[#This Row],[/BRI]:[/NPI]])*0.6)</f>
        <v>1.1520618556701032</v>
      </c>
      <c r="AA654" s="10">
        <f>IFERROR(Mecze[[#This Row],[BR]]/Mecze[[#This Row],[ST]],0)</f>
        <v>0</v>
      </c>
      <c r="AB654">
        <f>ROUND(Mecze[[#This Row],[PD]]*Mecze[[#This Row],[%PC]],0)</f>
        <v>10</v>
      </c>
      <c r="AC654">
        <f>ROUND(Mecze[[#This Row],[OD]]*Mecze[[#This Row],[%OU]],0)</f>
        <v>6</v>
      </c>
      <c r="AD654" s="36" t="s">
        <v>168</v>
      </c>
      <c r="AE654" s="36">
        <v>37</v>
      </c>
      <c r="AF654" s="71">
        <v>6.6</v>
      </c>
      <c r="AG654" s="37">
        <v>0</v>
      </c>
      <c r="AH654" s="37">
        <v>0</v>
      </c>
      <c r="AI654" s="37">
        <v>97</v>
      </c>
      <c r="AJ654" s="37">
        <v>1</v>
      </c>
      <c r="AK654" s="37" t="str">
        <f>VLOOKUP(Mecze[[#This Row],[Match ID]],Meczusie[Mecz]:Meczusie[RodzajMeczu],2,FALSE)</f>
        <v>Towarzyski</v>
      </c>
    </row>
    <row r="655" spans="1:37" x14ac:dyDescent="0.25">
      <c r="A655" s="76">
        <v>17</v>
      </c>
      <c r="B655" s="3" t="s">
        <v>413</v>
      </c>
      <c r="C655" s="2" t="s">
        <v>160</v>
      </c>
      <c r="D655" s="1">
        <v>0</v>
      </c>
      <c r="E655" s="1">
        <v>1</v>
      </c>
      <c r="F655" s="1">
        <v>1</v>
      </c>
      <c r="G655" s="1">
        <v>2</v>
      </c>
      <c r="H655" s="4">
        <v>0.5</v>
      </c>
      <c r="I655" s="1">
        <v>1</v>
      </c>
      <c r="J655" s="4">
        <v>1</v>
      </c>
      <c r="K655" s="1">
        <v>0</v>
      </c>
      <c r="L655" s="1">
        <v>2</v>
      </c>
      <c r="M655" s="32">
        <f>IF(Mecze[[#This Row],[PR]]=0,0,Mecze[[#This Row],[PR]]/Mecze[[#This Row],[CZAS]])</f>
        <v>2.0618556701030927E-2</v>
      </c>
      <c r="N655" s="32">
        <f>IF(Mecze[[#This Row],[OU]]=0,0,Mecze[[#This Row],[OU]]/Mecze[[#This Row],[CZAS]])</f>
        <v>1.0309278350515464E-2</v>
      </c>
      <c r="O655" s="32">
        <f>IF(Mecze[[#This Row],[PC]]=0,0,Mecze[[#This Row],[PC]]/Mecze[[#This Row],[CZAS]])</f>
        <v>1.0309278350515464E-2</v>
      </c>
      <c r="P655" s="32">
        <f>IF(Mecze[[#This Row],[SC]]=0,0,Mecze[[#This Row],[SC]]/Mecze[[#This Row],[CZAS]])</f>
        <v>1.0309278350515464E-2</v>
      </c>
      <c r="Q655" s="32">
        <f>IF(Mecze[[#This Row],[OB]]=0,0,Mecze[[#This Row],[OB]]/Mecze[[#This Row],[CZAS]])</f>
        <v>0</v>
      </c>
      <c r="R655" s="32">
        <f>IF(Mecze[[#This Row],[BR]]=0,0,Mecze[[#This Row],[BR]]/Mecze[[#This Row],[CZAS]])</f>
        <v>0</v>
      </c>
      <c r="S655" s="44">
        <f>IF(Mecze[[#This Row],[Role]]="BR",SUMPRODUCT(Mecze[[#This Row],[/PR:90]:[/BR:90]],Brudnopis!$E$23:$J$23),0)</f>
        <v>0</v>
      </c>
      <c r="T655" s="44">
        <f>IF(Mecze[[#This Row],[Role]]&lt;&gt;"BR",SUMPRODUCT(Mecze[[#This Row],[/PR:90]:[/BR:90]],Brudnopis!$E$24:$J$24),0)</f>
        <v>5.6701030927835044E-2</v>
      </c>
      <c r="U655" s="44">
        <f>IF(Mecze[[#This Row],[Role]]&lt;&gt;"BR",SUMPRODUCT(Mecze[[#This Row],[/PR:90]:[/BR:90]],Brudnopis!$E$25:$J$25),0)</f>
        <v>5.6701030927835051E-2</v>
      </c>
      <c r="V655" s="44">
        <f>IF(Mecze[[#This Row],[Role]]&lt;&gt;"BR",SUMPRODUCT(Mecze[[#This Row],[/PR:90]:[/BR:90]],Brudnopis!$E$26:$J$26),0)</f>
        <v>5.1546391752577317E-2</v>
      </c>
      <c r="W655" s="44">
        <f>IF(Mecze[[#This Row],[Role]]&lt;&gt;"BR",SUMPRODUCT(Mecze[[#This Row],[/PR:90]:[/BR:90]],Brudnopis!$E$27:$J$27),0)</f>
        <v>4.8969072164948453E-2</v>
      </c>
      <c r="X655" s="44">
        <f>IF(Mecze[[#This Row],[Role]]&lt;&gt;"BR",SUMPRODUCT(Mecze[[#This Row],[/PR:90]:[/BR:90]],Brudnopis!$E$28:$J$28),0)</f>
        <v>3.0927835051546393E-2</v>
      </c>
      <c r="Y655" s="35">
        <f>IF(Mecze[[#This Row],[Role]]="BR",Mecze[[#This Row],[/OB:90]]+Mecze[[#This Row],[/PC:90]],SUM(Mecze[[#This Row],[/PR:90]:[/BR:90]]))</f>
        <v>5.1546391752577317E-2</v>
      </c>
      <c r="Z655" s="35">
        <f>IF(Mecze[[#This Row],[KC]]=0,SUM(Mecze[[#This Row],[/BRI]:[/NPI]]),SUM(Mecze[[#This Row],[/BRI]:[/NPI]])*0.6)</f>
        <v>0.24484536082474223</v>
      </c>
      <c r="AA655" s="10">
        <f>IFERROR(Mecze[[#This Row],[BR]]/Mecze[[#This Row],[ST]],0)</f>
        <v>0</v>
      </c>
      <c r="AB655">
        <f>ROUND(Mecze[[#This Row],[PD]]*Mecze[[#This Row],[%PC]],0)</f>
        <v>1</v>
      </c>
      <c r="AC655">
        <f>ROUND(Mecze[[#This Row],[OD]]*Mecze[[#This Row],[%OU]],0)</f>
        <v>1</v>
      </c>
      <c r="AD655" s="36" t="s">
        <v>172</v>
      </c>
      <c r="AE655" s="36">
        <v>37</v>
      </c>
      <c r="AF655" s="71">
        <v>4.57</v>
      </c>
      <c r="AG655" s="37">
        <v>0</v>
      </c>
      <c r="AH655" s="37">
        <v>0</v>
      </c>
      <c r="AI655" s="37">
        <v>97</v>
      </c>
      <c r="AJ655" s="37">
        <v>1</v>
      </c>
      <c r="AK655" s="37" t="str">
        <f>VLOOKUP(Mecze[[#This Row],[Match ID]],Meczusie[Mecz]:Meczusie[RodzajMeczu],2,FALSE)</f>
        <v>Towarzyski</v>
      </c>
    </row>
    <row r="656" spans="1:37" x14ac:dyDescent="0.25">
      <c r="A656" s="76">
        <v>5</v>
      </c>
      <c r="B656" s="3" t="s">
        <v>161</v>
      </c>
      <c r="C656" s="2" t="s">
        <v>160</v>
      </c>
      <c r="D656" s="1">
        <v>0</v>
      </c>
      <c r="E656" s="1">
        <v>1</v>
      </c>
      <c r="F656" s="1">
        <v>1</v>
      </c>
      <c r="G656" s="1">
        <v>20</v>
      </c>
      <c r="H656" s="4">
        <v>0.8</v>
      </c>
      <c r="I656" s="1">
        <v>8</v>
      </c>
      <c r="J656" s="4">
        <v>0.63</v>
      </c>
      <c r="K656" s="1">
        <v>0</v>
      </c>
      <c r="L656" s="1">
        <v>10</v>
      </c>
      <c r="M656" s="32">
        <f>IF(Mecze[[#This Row],[PR]]=0,0,Mecze[[#This Row],[PR]]/Mecze[[#This Row],[CZAS]])</f>
        <v>0.10309278350515463</v>
      </c>
      <c r="N656" s="32">
        <f>IF(Mecze[[#This Row],[OU]]=0,0,Mecze[[#This Row],[OU]]/Mecze[[#This Row],[CZAS]])</f>
        <v>5.1546391752577317E-2</v>
      </c>
      <c r="O656" s="32">
        <f>IF(Mecze[[#This Row],[PC]]=0,0,Mecze[[#This Row],[PC]]/Mecze[[#This Row],[CZAS]])</f>
        <v>0.16494845360824742</v>
      </c>
      <c r="P656" s="32">
        <f>IF(Mecze[[#This Row],[SC]]=0,0,Mecze[[#This Row],[SC]]/Mecze[[#This Row],[CZAS]])</f>
        <v>1.0309278350515464E-2</v>
      </c>
      <c r="Q656" s="32">
        <f>IF(Mecze[[#This Row],[OB]]=0,0,Mecze[[#This Row],[OB]]/Mecze[[#This Row],[CZAS]])</f>
        <v>0</v>
      </c>
      <c r="R656" s="32">
        <f>IF(Mecze[[#This Row],[BR]]=0,0,Mecze[[#This Row],[BR]]/Mecze[[#This Row],[CZAS]])</f>
        <v>0</v>
      </c>
      <c r="S656" s="44">
        <f>IF(Mecze[[#This Row],[Role]]="BR",SUMPRODUCT(Mecze[[#This Row],[/PR:90]:[/BR:90]],Brudnopis!$E$23:$J$23),0)</f>
        <v>0</v>
      </c>
      <c r="T656" s="44">
        <f>IF(Mecze[[#This Row],[Role]]&lt;&gt;"BR",SUMPRODUCT(Mecze[[#This Row],[/PR:90]:[/BR:90]],Brudnopis!$E$24:$J$24),0)</f>
        <v>0.35567010309278352</v>
      </c>
      <c r="U656" s="44">
        <f>IF(Mecze[[#This Row],[Role]]&lt;&gt;"BR",SUMPRODUCT(Mecze[[#This Row],[/PR:90]:[/BR:90]],Brudnopis!$E$25:$J$25),0)</f>
        <v>0.41237113402061859</v>
      </c>
      <c r="V656" s="44">
        <f>IF(Mecze[[#This Row],[Role]]&lt;&gt;"BR",SUMPRODUCT(Mecze[[#This Row],[/PR:90]:[/BR:90]],Brudnopis!$E$26:$J$26),0)</f>
        <v>0.32989690721649484</v>
      </c>
      <c r="W656" s="44">
        <f>IF(Mecze[[#This Row],[Role]]&lt;&gt;"BR",SUMPRODUCT(Mecze[[#This Row],[/PR:90]:[/BR:90]],Brudnopis!$E$27:$J$27),0)</f>
        <v>0.37371134020618563</v>
      </c>
      <c r="X656" s="44">
        <f>IF(Mecze[[#This Row],[Role]]&lt;&gt;"BR",SUMPRODUCT(Mecze[[#This Row],[/PR:90]:[/BR:90]],Brudnopis!$E$28:$J$28),0)</f>
        <v>0.18556701030927836</v>
      </c>
      <c r="Y656" s="35">
        <f>IF(Mecze[[#This Row],[Role]]="BR",Mecze[[#This Row],[/OB:90]]+Mecze[[#This Row],[/PC:90]],SUM(Mecze[[#This Row],[/PR:90]:[/BR:90]]))</f>
        <v>0.32989690721649484</v>
      </c>
      <c r="Z656" s="35">
        <f>IF(Mecze[[#This Row],[KC]]=0,SUM(Mecze[[#This Row],[/BRI]:[/NPI]]),SUM(Mecze[[#This Row],[/BRI]:[/NPI]])*0.6)</f>
        <v>1.6572164948453609</v>
      </c>
      <c r="AA656" s="10">
        <f>IFERROR(Mecze[[#This Row],[BR]]/Mecze[[#This Row],[ST]],0)</f>
        <v>0</v>
      </c>
      <c r="AB656">
        <f>ROUND(Mecze[[#This Row],[PD]]*Mecze[[#This Row],[%PC]],0)</f>
        <v>16</v>
      </c>
      <c r="AC656">
        <f>ROUND(Mecze[[#This Row],[OD]]*Mecze[[#This Row],[%OU]],0)</f>
        <v>5</v>
      </c>
      <c r="AD656" s="36" t="s">
        <v>41</v>
      </c>
      <c r="AE656" s="36">
        <v>37</v>
      </c>
      <c r="AF656" s="71">
        <v>8.3699999999999992</v>
      </c>
      <c r="AG656" s="37">
        <v>0</v>
      </c>
      <c r="AH656" s="37">
        <v>0</v>
      </c>
      <c r="AI656" s="37">
        <v>97</v>
      </c>
      <c r="AJ656" s="37">
        <v>1</v>
      </c>
      <c r="AK656" s="37" t="str">
        <f>VLOOKUP(Mecze[[#This Row],[Match ID]],Meczusie[Mecz]:Meczusie[RodzajMeczu],2,FALSE)</f>
        <v>Towarzyski</v>
      </c>
    </row>
    <row r="657" spans="1:37" x14ac:dyDescent="0.25">
      <c r="A657" s="76">
        <v>8</v>
      </c>
      <c r="B657" s="3" t="s">
        <v>154</v>
      </c>
      <c r="C657" s="2" t="s">
        <v>160</v>
      </c>
      <c r="D657" s="1">
        <v>0</v>
      </c>
      <c r="E657" s="1">
        <v>0</v>
      </c>
      <c r="F657" s="1">
        <v>0</v>
      </c>
      <c r="G657" s="1">
        <v>6</v>
      </c>
      <c r="H657" s="4">
        <v>0.67</v>
      </c>
      <c r="I657" s="1">
        <v>1</v>
      </c>
      <c r="J657" s="4">
        <v>0</v>
      </c>
      <c r="K657" s="1">
        <v>0</v>
      </c>
      <c r="L657" s="1">
        <v>7</v>
      </c>
      <c r="M657" s="32">
        <f>IF(Mecze[[#This Row],[PR]]=0,0,Mecze[[#This Row],[PR]]/Mecze[[#This Row],[CZAS]])</f>
        <v>7.2164948453608241E-2</v>
      </c>
      <c r="N657" s="32">
        <f>IF(Mecze[[#This Row],[OU]]=0,0,Mecze[[#This Row],[OU]]/Mecze[[#This Row],[CZAS]])</f>
        <v>0</v>
      </c>
      <c r="O657" s="32">
        <f>IF(Mecze[[#This Row],[PC]]=0,0,Mecze[[#This Row],[PC]]/Mecze[[#This Row],[CZAS]])</f>
        <v>4.1237113402061855E-2</v>
      </c>
      <c r="P657" s="32">
        <f>IF(Mecze[[#This Row],[SC]]=0,0,Mecze[[#This Row],[SC]]/Mecze[[#This Row],[CZAS]])</f>
        <v>0</v>
      </c>
      <c r="Q657" s="32">
        <f>IF(Mecze[[#This Row],[OB]]=0,0,Mecze[[#This Row],[OB]]/Mecze[[#This Row],[CZAS]])</f>
        <v>0</v>
      </c>
      <c r="R657" s="32">
        <f>IF(Mecze[[#This Row],[BR]]=0,0,Mecze[[#This Row],[BR]]/Mecze[[#This Row],[CZAS]])</f>
        <v>0</v>
      </c>
      <c r="S657" s="44">
        <f>IF(Mecze[[#This Row],[Role]]="BR",SUMPRODUCT(Mecze[[#This Row],[/PR:90]:[/BR:90]],Brudnopis!$E$23:$J$23),0)</f>
        <v>0</v>
      </c>
      <c r="T657" s="44">
        <f>IF(Mecze[[#This Row],[Role]]&lt;&gt;"BR",SUMPRODUCT(Mecze[[#This Row],[/PR:90]:[/BR:90]],Brudnopis!$E$24:$J$24),0)</f>
        <v>0.11340206185567009</v>
      </c>
      <c r="U657" s="44">
        <f>IF(Mecze[[#This Row],[Role]]&lt;&gt;"BR",SUMPRODUCT(Mecze[[#This Row],[/PR:90]:[/BR:90]],Brudnopis!$E$25:$J$25),0)</f>
        <v>0.13402061855670103</v>
      </c>
      <c r="V657" s="44">
        <f>IF(Mecze[[#This Row],[Role]]&lt;&gt;"BR",SUMPRODUCT(Mecze[[#This Row],[/PR:90]:[/BR:90]],Brudnopis!$E$26:$J$26),0)</f>
        <v>0.11340206185567009</v>
      </c>
      <c r="W657" s="44">
        <f>IF(Mecze[[#This Row],[Role]]&lt;&gt;"BR",SUMPRODUCT(Mecze[[#This Row],[/PR:90]:[/BR:90]],Brudnopis!$E$27:$J$27),0)</f>
        <v>0.11597938144329897</v>
      </c>
      <c r="X657" s="44">
        <f>IF(Mecze[[#This Row],[Role]]&lt;&gt;"BR",SUMPRODUCT(Mecze[[#This Row],[/PR:90]:[/BR:90]],Brudnopis!$E$28:$J$28),0)</f>
        <v>4.1237113402061855E-2</v>
      </c>
      <c r="Y657" s="35">
        <f>IF(Mecze[[#This Row],[Role]]="BR",Mecze[[#This Row],[/OB:90]]+Mecze[[#This Row],[/PC:90]],SUM(Mecze[[#This Row],[/PR:90]:[/BR:90]]))</f>
        <v>0.11340206185567009</v>
      </c>
      <c r="Z657" s="35">
        <f>IF(Mecze[[#This Row],[KC]]=0,SUM(Mecze[[#This Row],[/BRI]:[/NPI]]),SUM(Mecze[[#This Row],[/BRI]:[/NPI]])*0.6)</f>
        <v>0.518041237113402</v>
      </c>
      <c r="AA657" s="10">
        <f>IFERROR(Mecze[[#This Row],[BR]]/Mecze[[#This Row],[ST]],0)</f>
        <v>0</v>
      </c>
      <c r="AB657">
        <f>ROUND(Mecze[[#This Row],[PD]]*Mecze[[#This Row],[%PC]],0)</f>
        <v>4</v>
      </c>
      <c r="AC657">
        <f>ROUND(Mecze[[#This Row],[OD]]*Mecze[[#This Row],[%OU]],0)</f>
        <v>0</v>
      </c>
      <c r="AD657" s="36" t="s">
        <v>173</v>
      </c>
      <c r="AE657" s="36">
        <v>37</v>
      </c>
      <c r="AF657" s="71">
        <v>6.6</v>
      </c>
      <c r="AG657" s="37">
        <v>0</v>
      </c>
      <c r="AH657" s="37">
        <v>0</v>
      </c>
      <c r="AI657" s="37">
        <v>97</v>
      </c>
      <c r="AJ657" s="37">
        <v>1</v>
      </c>
      <c r="AK657" s="37" t="str">
        <f>VLOOKUP(Mecze[[#This Row],[Match ID]],Meczusie[Mecz]:Meczusie[RodzajMeczu],2,FALSE)</f>
        <v>Towarzyski</v>
      </c>
    </row>
    <row r="658" spans="1:37" x14ac:dyDescent="0.25">
      <c r="A658" s="76">
        <v>15</v>
      </c>
      <c r="B658" s="3" t="s">
        <v>170</v>
      </c>
      <c r="C658" s="2" t="s">
        <v>160</v>
      </c>
      <c r="D658" s="1">
        <v>0</v>
      </c>
      <c r="E658" s="1">
        <v>2</v>
      </c>
      <c r="F658" s="1">
        <v>1</v>
      </c>
      <c r="G658" s="1">
        <v>12</v>
      </c>
      <c r="H658" s="4">
        <v>0.75</v>
      </c>
      <c r="I658" s="1">
        <v>2</v>
      </c>
      <c r="J658" s="4">
        <v>0.5</v>
      </c>
      <c r="K658" s="1">
        <v>0</v>
      </c>
      <c r="L658" s="1">
        <v>6</v>
      </c>
      <c r="M658" s="32">
        <f>IF(Mecze[[#This Row],[PR]]=0,0,Mecze[[#This Row],[PR]]/Mecze[[#This Row],[CZAS]])</f>
        <v>6.1855670103092786E-2</v>
      </c>
      <c r="N658" s="32">
        <f>IF(Mecze[[#This Row],[OU]]=0,0,Mecze[[#This Row],[OU]]/Mecze[[#This Row],[CZAS]])</f>
        <v>1.0309278350515464E-2</v>
      </c>
      <c r="O658" s="32">
        <f>IF(Mecze[[#This Row],[PC]]=0,0,Mecze[[#This Row],[PC]]/Mecze[[#This Row],[CZAS]])</f>
        <v>9.2783505154639179E-2</v>
      </c>
      <c r="P658" s="32">
        <f>IF(Mecze[[#This Row],[SC]]=0,0,Mecze[[#This Row],[SC]]/Mecze[[#This Row],[CZAS]])</f>
        <v>1.0309278350515464E-2</v>
      </c>
      <c r="Q658" s="32">
        <f>IF(Mecze[[#This Row],[OB]]=0,0,Mecze[[#This Row],[OB]]/Mecze[[#This Row],[CZAS]])</f>
        <v>0</v>
      </c>
      <c r="R658" s="32">
        <f>IF(Mecze[[#This Row],[BR]]=0,0,Mecze[[#This Row],[BR]]/Mecze[[#This Row],[CZAS]])</f>
        <v>0</v>
      </c>
      <c r="S658" s="44">
        <f>IF(Mecze[[#This Row],[Role]]="BR",SUMPRODUCT(Mecze[[#This Row],[/PR:90]:[/BR:90]],Brudnopis!$E$23:$J$23),0)</f>
        <v>0</v>
      </c>
      <c r="T658" s="44">
        <f>IF(Mecze[[#This Row],[Role]]&lt;&gt;"BR",SUMPRODUCT(Mecze[[#This Row],[/PR:90]:[/BR:90]],Brudnopis!$E$24:$J$24),0)</f>
        <v>0.18041237113402062</v>
      </c>
      <c r="U658" s="44">
        <f>IF(Mecze[[#This Row],[Role]]&lt;&gt;"BR",SUMPRODUCT(Mecze[[#This Row],[/PR:90]:[/BR:90]],Brudnopis!$E$25:$J$25),0)</f>
        <v>0.22164948453608249</v>
      </c>
      <c r="V658" s="44">
        <f>IF(Mecze[[#This Row],[Role]]&lt;&gt;"BR",SUMPRODUCT(Mecze[[#This Row],[/PR:90]:[/BR:90]],Brudnopis!$E$26:$J$26),0)</f>
        <v>0.1752577319587629</v>
      </c>
      <c r="W658" s="44">
        <f>IF(Mecze[[#This Row],[Role]]&lt;&gt;"BR",SUMPRODUCT(Mecze[[#This Row],[/PR:90]:[/BR:90]],Brudnopis!$E$27:$J$27),0)</f>
        <v>0.20360824742268041</v>
      </c>
      <c r="X658" s="44">
        <f>IF(Mecze[[#This Row],[Role]]&lt;&gt;"BR",SUMPRODUCT(Mecze[[#This Row],[/PR:90]:[/BR:90]],Brudnopis!$E$28:$J$28),0)</f>
        <v>0.1134020618556701</v>
      </c>
      <c r="Y658" s="35">
        <f>IF(Mecze[[#This Row],[Role]]="BR",Mecze[[#This Row],[/OB:90]]+Mecze[[#This Row],[/PC:90]],SUM(Mecze[[#This Row],[/PR:90]:[/BR:90]]))</f>
        <v>0.1752577319587629</v>
      </c>
      <c r="Z658" s="35">
        <f>IF(Mecze[[#This Row],[KC]]=0,SUM(Mecze[[#This Row],[/BRI]:[/NPI]]),SUM(Mecze[[#This Row],[/BRI]:[/NPI]])*0.6)</f>
        <v>0.89432989690721665</v>
      </c>
      <c r="AA658" s="10">
        <f>IFERROR(Mecze[[#This Row],[BR]]/Mecze[[#This Row],[ST]],0)</f>
        <v>0</v>
      </c>
      <c r="AB658">
        <f>ROUND(Mecze[[#This Row],[PD]]*Mecze[[#This Row],[%PC]],0)</f>
        <v>9</v>
      </c>
      <c r="AC658">
        <f>ROUND(Mecze[[#This Row],[OD]]*Mecze[[#This Row],[%OU]],0)</f>
        <v>1</v>
      </c>
      <c r="AD658" s="36" t="s">
        <v>44</v>
      </c>
      <c r="AE658" s="36">
        <v>37</v>
      </c>
      <c r="AF658" s="71">
        <v>6.62</v>
      </c>
      <c r="AG658" s="37">
        <v>0</v>
      </c>
      <c r="AH658" s="37">
        <v>0</v>
      </c>
      <c r="AI658" s="37">
        <v>97</v>
      </c>
      <c r="AJ658" s="37">
        <v>1</v>
      </c>
      <c r="AK658" s="37" t="str">
        <f>VLOOKUP(Mecze[[#This Row],[Match ID]],Meczusie[Mecz]:Meczusie[RodzajMeczu],2,FALSE)</f>
        <v>Towarzyski</v>
      </c>
    </row>
    <row r="659" spans="1:37" x14ac:dyDescent="0.25">
      <c r="A659" s="76">
        <v>14</v>
      </c>
      <c r="B659" s="3" t="s">
        <v>164</v>
      </c>
      <c r="C659" s="2" t="s">
        <v>160</v>
      </c>
      <c r="D659" s="1">
        <v>1</v>
      </c>
      <c r="E659" s="1">
        <v>3</v>
      </c>
      <c r="F659" s="1">
        <v>3</v>
      </c>
      <c r="G659" s="1">
        <v>12</v>
      </c>
      <c r="H659" s="4">
        <v>0.67</v>
      </c>
      <c r="I659" s="1">
        <v>1</v>
      </c>
      <c r="J659" s="4">
        <v>0</v>
      </c>
      <c r="K659" s="1">
        <v>0</v>
      </c>
      <c r="L659" s="1">
        <v>6</v>
      </c>
      <c r="M659" s="32">
        <f>IF(Mecze[[#This Row],[PR]]=0,0,Mecze[[#This Row],[PR]]/Mecze[[#This Row],[CZAS]])</f>
        <v>6.1855670103092786E-2</v>
      </c>
      <c r="N659" s="32">
        <f>IF(Mecze[[#This Row],[OU]]=0,0,Mecze[[#This Row],[OU]]/Mecze[[#This Row],[CZAS]])</f>
        <v>0</v>
      </c>
      <c r="O659" s="32">
        <f>IF(Mecze[[#This Row],[PC]]=0,0,Mecze[[#This Row],[PC]]/Mecze[[#This Row],[CZAS]])</f>
        <v>8.247422680412371E-2</v>
      </c>
      <c r="P659" s="32">
        <f>IF(Mecze[[#This Row],[SC]]=0,0,Mecze[[#This Row],[SC]]/Mecze[[#This Row],[CZAS]])</f>
        <v>3.0927835051546393E-2</v>
      </c>
      <c r="Q659" s="32">
        <f>IF(Mecze[[#This Row],[OB]]=0,0,Mecze[[#This Row],[OB]]/Mecze[[#This Row],[CZAS]])</f>
        <v>0</v>
      </c>
      <c r="R659" s="32">
        <f>IF(Mecze[[#This Row],[BR]]=0,0,Mecze[[#This Row],[BR]]/Mecze[[#This Row],[CZAS]])</f>
        <v>1.0309278350515464E-2</v>
      </c>
      <c r="S659" s="44">
        <f>IF(Mecze[[#This Row],[Role]]="BR",SUMPRODUCT(Mecze[[#This Row],[/PR:90]:[/BR:90]],Brudnopis!$E$23:$J$23),0)</f>
        <v>0</v>
      </c>
      <c r="T659" s="44">
        <f>IF(Mecze[[#This Row],[Role]]&lt;&gt;"BR",SUMPRODUCT(Mecze[[#This Row],[/PR:90]:[/BR:90]],Brudnopis!$E$24:$J$24),0)</f>
        <v>0.19072164948453607</v>
      </c>
      <c r="U659" s="44">
        <f>IF(Mecze[[#This Row],[Role]]&lt;&gt;"BR",SUMPRODUCT(Mecze[[#This Row],[/PR:90]:[/BR:90]],Brudnopis!$E$25:$J$25),0)</f>
        <v>0.23195876288659795</v>
      </c>
      <c r="V659" s="44">
        <f>IF(Mecze[[#This Row],[Role]]&lt;&gt;"BR",SUMPRODUCT(Mecze[[#This Row],[/PR:90]:[/BR:90]],Brudnopis!$E$26:$J$26),0)</f>
        <v>0.19587628865979381</v>
      </c>
      <c r="W659" s="44">
        <f>IF(Mecze[[#This Row],[Role]]&lt;&gt;"BR",SUMPRODUCT(Mecze[[#This Row],[/PR:90]:[/BR:90]],Brudnopis!$E$27:$J$27),0)</f>
        <v>0.22164948453608249</v>
      </c>
      <c r="X659" s="44">
        <f>IF(Mecze[[#This Row],[Role]]&lt;&gt;"BR",SUMPRODUCT(Mecze[[#This Row],[/PR:90]:[/BR:90]],Brudnopis!$E$28:$J$28),0)</f>
        <v>0.17525773195876287</v>
      </c>
      <c r="Y659" s="35">
        <f>IF(Mecze[[#This Row],[Role]]="BR",Mecze[[#This Row],[/OB:90]]+Mecze[[#This Row],[/PC:90]],SUM(Mecze[[#This Row],[/PR:90]:[/BR:90]]))</f>
        <v>0.18556701030927833</v>
      </c>
      <c r="Z659" s="35">
        <f>IF(Mecze[[#This Row],[KC]]=0,SUM(Mecze[[#This Row],[/BRI]:[/NPI]]),SUM(Mecze[[#This Row],[/BRI]:[/NPI]])*0.6)</f>
        <v>1.0154639175257731</v>
      </c>
      <c r="AA659" s="10">
        <f>IFERROR(Mecze[[#This Row],[BR]]/Mecze[[#This Row],[ST]],0)</f>
        <v>0.33333333333333331</v>
      </c>
      <c r="AB659">
        <f>ROUND(Mecze[[#This Row],[PD]]*Mecze[[#This Row],[%PC]],0)</f>
        <v>8</v>
      </c>
      <c r="AC659">
        <f>ROUND(Mecze[[#This Row],[OD]]*Mecze[[#This Row],[%OU]],0)</f>
        <v>0</v>
      </c>
      <c r="AD659" s="36" t="s">
        <v>44</v>
      </c>
      <c r="AE659" s="36">
        <v>37</v>
      </c>
      <c r="AF659" s="71">
        <v>9.19</v>
      </c>
      <c r="AG659" s="37">
        <v>0</v>
      </c>
      <c r="AH659" s="37">
        <v>0</v>
      </c>
      <c r="AI659" s="37">
        <v>97</v>
      </c>
      <c r="AJ659" s="37">
        <v>1</v>
      </c>
      <c r="AK659" s="37" t="str">
        <f>VLOOKUP(Mecze[[#This Row],[Match ID]],Meczusie[Mecz]:Meczusie[RodzajMeczu],2,FALSE)</f>
        <v>Towarzyski</v>
      </c>
    </row>
    <row r="660" spans="1:37" x14ac:dyDescent="0.25">
      <c r="A660" s="76">
        <v>9</v>
      </c>
      <c r="B660" s="3" t="s">
        <v>411</v>
      </c>
      <c r="C660" s="2" t="s">
        <v>165</v>
      </c>
      <c r="D660" s="1">
        <v>0</v>
      </c>
      <c r="E660" s="1">
        <v>1</v>
      </c>
      <c r="F660" s="1">
        <v>1</v>
      </c>
      <c r="G660" s="1">
        <v>2</v>
      </c>
      <c r="H660" s="4">
        <v>0.5</v>
      </c>
      <c r="I660" s="1">
        <v>3</v>
      </c>
      <c r="J660" s="4">
        <v>0.33</v>
      </c>
      <c r="K660" s="1">
        <v>0</v>
      </c>
      <c r="L660" s="1">
        <v>1</v>
      </c>
      <c r="M660" s="32">
        <f>IF(Mecze[[#This Row],[PR]]=0,0,Mecze[[#This Row],[PR]]/Mecze[[#This Row],[CZAS]])</f>
        <v>1.0309278350515464E-2</v>
      </c>
      <c r="N660" s="32">
        <f>IF(Mecze[[#This Row],[OU]]=0,0,Mecze[[#This Row],[OU]]/Mecze[[#This Row],[CZAS]])</f>
        <v>1.0309278350515464E-2</v>
      </c>
      <c r="O660" s="32">
        <f>IF(Mecze[[#This Row],[PC]]=0,0,Mecze[[#This Row],[PC]]/Mecze[[#This Row],[CZAS]])</f>
        <v>1.0309278350515464E-2</v>
      </c>
      <c r="P660" s="32">
        <f>IF(Mecze[[#This Row],[SC]]=0,0,Mecze[[#This Row],[SC]]/Mecze[[#This Row],[CZAS]])</f>
        <v>1.0309278350515464E-2</v>
      </c>
      <c r="Q660" s="32">
        <f>IF(Mecze[[#This Row],[OB]]=0,0,Mecze[[#This Row],[OB]]/Mecze[[#This Row],[CZAS]])</f>
        <v>0</v>
      </c>
      <c r="R660" s="32">
        <f>IF(Mecze[[#This Row],[BR]]=0,0,Mecze[[#This Row],[BR]]/Mecze[[#This Row],[CZAS]])</f>
        <v>0</v>
      </c>
      <c r="S660" s="44">
        <f>IF(Mecze[[#This Row],[Role]]="BR",SUMPRODUCT(Mecze[[#This Row],[/PR:90]:[/BR:90]],Brudnopis!$E$23:$J$23),0)</f>
        <v>0</v>
      </c>
      <c r="T660" s="44">
        <f>IF(Mecze[[#This Row],[Role]]&lt;&gt;"BR",SUMPRODUCT(Mecze[[#This Row],[/PR:90]:[/BR:90]],Brudnopis!$E$24:$J$24),0)</f>
        <v>4.6391752577319582E-2</v>
      </c>
      <c r="U660" s="44">
        <f>IF(Mecze[[#This Row],[Role]]&lt;&gt;"BR",SUMPRODUCT(Mecze[[#This Row],[/PR:90]:[/BR:90]],Brudnopis!$E$25:$J$25),0)</f>
        <v>4.6391752577319582E-2</v>
      </c>
      <c r="V660" s="44">
        <f>IF(Mecze[[#This Row],[Role]]&lt;&gt;"BR",SUMPRODUCT(Mecze[[#This Row],[/PR:90]:[/BR:90]],Brudnopis!$E$26:$J$26),0)</f>
        <v>4.1237113402061855E-2</v>
      </c>
      <c r="W660" s="44">
        <f>IF(Mecze[[#This Row],[Role]]&lt;&gt;"BR",SUMPRODUCT(Mecze[[#This Row],[/PR:90]:[/BR:90]],Brudnopis!$E$27:$J$27),0)</f>
        <v>4.1237113402061855E-2</v>
      </c>
      <c r="X660" s="44">
        <f>IF(Mecze[[#This Row],[Role]]&lt;&gt;"BR",SUMPRODUCT(Mecze[[#This Row],[/PR:90]:[/BR:90]],Brudnopis!$E$28:$J$28),0)</f>
        <v>3.0927835051546393E-2</v>
      </c>
      <c r="Y660" s="35">
        <f>IF(Mecze[[#This Row],[Role]]="BR",Mecze[[#This Row],[/OB:90]]+Mecze[[#This Row],[/PC:90]],SUM(Mecze[[#This Row],[/PR:90]:[/BR:90]]))</f>
        <v>4.1237113402061855E-2</v>
      </c>
      <c r="Z660" s="35">
        <f>IF(Mecze[[#This Row],[KC]]=0,SUM(Mecze[[#This Row],[/BRI]:[/NPI]]),SUM(Mecze[[#This Row],[/BRI]:[/NPI]])*0.6)</f>
        <v>0.20618556701030927</v>
      </c>
      <c r="AA660" s="10">
        <f>IFERROR(Mecze[[#This Row],[BR]]/Mecze[[#This Row],[ST]],0)</f>
        <v>0</v>
      </c>
      <c r="AB660">
        <f>ROUND(Mecze[[#This Row],[PD]]*Mecze[[#This Row],[%PC]],0)</f>
        <v>1</v>
      </c>
      <c r="AC660">
        <f>ROUND(Mecze[[#This Row],[OD]]*Mecze[[#This Row],[%OU]],0)</f>
        <v>1</v>
      </c>
      <c r="AD660" s="36" t="s">
        <v>46</v>
      </c>
      <c r="AE660" s="36">
        <v>37</v>
      </c>
      <c r="AF660" s="71">
        <v>4.1500000000000004</v>
      </c>
      <c r="AG660" s="37">
        <v>0</v>
      </c>
      <c r="AH660" s="37">
        <v>0</v>
      </c>
      <c r="AI660" s="37">
        <v>97</v>
      </c>
      <c r="AJ660" s="37">
        <v>1</v>
      </c>
      <c r="AK660" s="37" t="str">
        <f>VLOOKUP(Mecze[[#This Row],[Match ID]],Meczusie[Mecz]:Meczusie[RodzajMeczu],2,FALSE)</f>
        <v>Towarzyski</v>
      </c>
    </row>
    <row r="661" spans="1:37" x14ac:dyDescent="0.25">
      <c r="A661" s="76">
        <v>19</v>
      </c>
      <c r="B661" s="3" t="s">
        <v>166</v>
      </c>
      <c r="C661" s="2" t="s">
        <v>165</v>
      </c>
      <c r="D661" s="1">
        <v>8</v>
      </c>
      <c r="E661" s="1">
        <v>22</v>
      </c>
      <c r="F661" s="1">
        <v>19</v>
      </c>
      <c r="G661" s="1">
        <v>6</v>
      </c>
      <c r="H661" s="4">
        <v>0.83</v>
      </c>
      <c r="I661" s="1">
        <v>4</v>
      </c>
      <c r="J661" s="4">
        <v>0.5</v>
      </c>
      <c r="K661" s="1">
        <v>0</v>
      </c>
      <c r="L661" s="1">
        <v>0</v>
      </c>
      <c r="M661" s="32">
        <f>IF(Mecze[[#This Row],[PR]]=0,0,Mecze[[#This Row],[PR]]/Mecze[[#This Row],[CZAS]])</f>
        <v>0</v>
      </c>
      <c r="N661" s="32">
        <f>IF(Mecze[[#This Row],[OU]]=0,0,Mecze[[#This Row],[OU]]/Mecze[[#This Row],[CZAS]])</f>
        <v>2.0618556701030927E-2</v>
      </c>
      <c r="O661" s="32">
        <f>IF(Mecze[[#This Row],[PC]]=0,0,Mecze[[#This Row],[PC]]/Mecze[[#This Row],[CZAS]])</f>
        <v>5.1546391752577317E-2</v>
      </c>
      <c r="P661" s="32">
        <f>IF(Mecze[[#This Row],[SC]]=0,0,Mecze[[#This Row],[SC]]/Mecze[[#This Row],[CZAS]])</f>
        <v>0.19587628865979381</v>
      </c>
      <c r="Q661" s="32">
        <f>IF(Mecze[[#This Row],[OB]]=0,0,Mecze[[#This Row],[OB]]/Mecze[[#This Row],[CZAS]])</f>
        <v>0</v>
      </c>
      <c r="R661" s="32">
        <f>IF(Mecze[[#This Row],[BR]]=0,0,Mecze[[#This Row],[BR]]/Mecze[[#This Row],[CZAS]])</f>
        <v>8.247422680412371E-2</v>
      </c>
      <c r="S661" s="44">
        <f>IF(Mecze[[#This Row],[Role]]="BR",SUMPRODUCT(Mecze[[#This Row],[/PR:90]:[/BR:90]],Brudnopis!$E$23:$J$23),0)</f>
        <v>0</v>
      </c>
      <c r="T661" s="44">
        <f>IF(Mecze[[#This Row],[Role]]&lt;&gt;"BR",SUMPRODUCT(Mecze[[#This Row],[/PR:90]:[/BR:90]],Brudnopis!$E$24:$J$24),0)</f>
        <v>0.40206185567010311</v>
      </c>
      <c r="U661" s="44">
        <f>IF(Mecze[[#This Row],[Role]]&lt;&gt;"BR",SUMPRODUCT(Mecze[[#This Row],[/PR:90]:[/BR:90]],Brudnopis!$E$25:$J$25),0)</f>
        <v>0.4175257731958763</v>
      </c>
      <c r="V661" s="44">
        <f>IF(Mecze[[#This Row],[Role]]&lt;&gt;"BR",SUMPRODUCT(Mecze[[#This Row],[/PR:90]:[/BR:90]],Brudnopis!$E$26:$J$26),0)</f>
        <v>0.4329896907216495</v>
      </c>
      <c r="W661" s="44">
        <f>IF(Mecze[[#This Row],[Role]]&lt;&gt;"BR",SUMPRODUCT(Mecze[[#This Row],[/PR:90]:[/BR:90]],Brudnopis!$E$27:$J$27),0)</f>
        <v>0.45360824742268036</v>
      </c>
      <c r="X661" s="44">
        <f>IF(Mecze[[#This Row],[Role]]&lt;&gt;"BR",SUMPRODUCT(Mecze[[#This Row],[/PR:90]:[/BR:90]],Brudnopis!$E$28:$J$28),0)</f>
        <v>0.69072164948453607</v>
      </c>
      <c r="Y661" s="35">
        <f>IF(Mecze[[#This Row],[Role]]="BR",Mecze[[#This Row],[/OB:90]]+Mecze[[#This Row],[/PC:90]],SUM(Mecze[[#This Row],[/PR:90]:[/BR:90]]))</f>
        <v>0.35051546391752575</v>
      </c>
      <c r="Z661" s="35">
        <f>IF(Mecze[[#This Row],[KC]]=0,SUM(Mecze[[#This Row],[/BRI]:[/NPI]]),SUM(Mecze[[#This Row],[/BRI]:[/NPI]])*0.6)</f>
        <v>2.3969072164948453</v>
      </c>
      <c r="AA661" s="10">
        <f>IFERROR(Mecze[[#This Row],[BR]]/Mecze[[#This Row],[ST]],0)</f>
        <v>0.36363636363636365</v>
      </c>
      <c r="AB661">
        <f>ROUND(Mecze[[#This Row],[PD]]*Mecze[[#This Row],[%PC]],0)</f>
        <v>5</v>
      </c>
      <c r="AC661">
        <f>ROUND(Mecze[[#This Row],[OD]]*Mecze[[#This Row],[%OU]],0)</f>
        <v>2</v>
      </c>
      <c r="AD661" s="36" t="s">
        <v>46</v>
      </c>
      <c r="AE661" s="36">
        <v>37</v>
      </c>
      <c r="AF661" s="71">
        <v>28.76</v>
      </c>
      <c r="AG661" s="37">
        <v>0</v>
      </c>
      <c r="AH661" s="37">
        <v>0</v>
      </c>
      <c r="AI661" s="37">
        <v>97</v>
      </c>
      <c r="AJ661" s="37">
        <v>1</v>
      </c>
      <c r="AK661" s="37" t="str">
        <f>VLOOKUP(Mecze[[#This Row],[Match ID]],Meczusie[Mecz]:Meczusie[RodzajMeczu],2,FALSE)</f>
        <v>Towarzyski</v>
      </c>
    </row>
    <row r="662" spans="1:37" x14ac:dyDescent="0.25">
      <c r="A662" s="76">
        <v>1</v>
      </c>
      <c r="B662" s="3" t="s">
        <v>169</v>
      </c>
      <c r="C662" s="2" t="s">
        <v>155</v>
      </c>
      <c r="D662" s="1">
        <v>0</v>
      </c>
      <c r="E662" s="1">
        <v>0</v>
      </c>
      <c r="F662" s="1">
        <v>0</v>
      </c>
      <c r="G662" s="1">
        <v>2</v>
      </c>
      <c r="H662" s="4">
        <v>1</v>
      </c>
      <c r="I662" s="1">
        <v>0</v>
      </c>
      <c r="J662" s="4"/>
      <c r="K662" s="1">
        <v>3</v>
      </c>
      <c r="L662" s="1">
        <v>0</v>
      </c>
      <c r="M662" s="32">
        <f>IF(Mecze[[#This Row],[PR]]=0,0,Mecze[[#This Row],[PR]]/Mecze[[#This Row],[CZAS]])</f>
        <v>0</v>
      </c>
      <c r="N662" s="32">
        <f>IF(Mecze[[#This Row],[OU]]=0,0,Mecze[[#This Row],[OU]]/Mecze[[#This Row],[CZAS]])</f>
        <v>0</v>
      </c>
      <c r="O662" s="32">
        <f>IF(Mecze[[#This Row],[PC]]=0,0,Mecze[[#This Row],[PC]]/Mecze[[#This Row],[CZAS]])</f>
        <v>2.0408163265306121E-2</v>
      </c>
      <c r="P662" s="32">
        <f>IF(Mecze[[#This Row],[SC]]=0,0,Mecze[[#This Row],[SC]]/Mecze[[#This Row],[CZAS]])</f>
        <v>0</v>
      </c>
      <c r="Q662" s="32">
        <f>IF(Mecze[[#This Row],[OB]]=0,0,Mecze[[#This Row],[OB]]/Mecze[[#This Row],[CZAS]])</f>
        <v>3.0612244897959183E-2</v>
      </c>
      <c r="R662" s="32">
        <f>IF(Mecze[[#This Row],[BR]]=0,0,Mecze[[#This Row],[BR]]/Mecze[[#This Row],[CZAS]])</f>
        <v>0</v>
      </c>
      <c r="S662" s="44">
        <f>IF(Mecze[[#This Row],[Role]]="BR",SUMPRODUCT(Mecze[[#This Row],[/PR:90]:[/BR:90]],Brudnopis!$E$23:$J$23),0)</f>
        <v>0.15306122448979592</v>
      </c>
      <c r="T662" s="44">
        <f>IF(Mecze[[#This Row],[Role]]&lt;&gt;"BR",SUMPRODUCT(Mecze[[#This Row],[/PR:90]:[/BR:90]],Brudnopis!$E$24:$J$24),0)</f>
        <v>0</v>
      </c>
      <c r="U662" s="44">
        <f>IF(Mecze[[#This Row],[Role]]&lt;&gt;"BR",SUMPRODUCT(Mecze[[#This Row],[/PR:90]:[/BR:90]],Brudnopis!$E$25:$J$25),0)</f>
        <v>0</v>
      </c>
      <c r="V662" s="44">
        <f>IF(Mecze[[#This Row],[Role]]&lt;&gt;"BR",SUMPRODUCT(Mecze[[#This Row],[/PR:90]:[/BR:90]],Brudnopis!$E$26:$J$26),0)</f>
        <v>0</v>
      </c>
      <c r="W662" s="44">
        <f>IF(Mecze[[#This Row],[Role]]&lt;&gt;"BR",SUMPRODUCT(Mecze[[#This Row],[/PR:90]:[/BR:90]],Brudnopis!$E$27:$J$27),0)</f>
        <v>0</v>
      </c>
      <c r="X662" s="44">
        <f>IF(Mecze[[#This Row],[Role]]&lt;&gt;"BR",SUMPRODUCT(Mecze[[#This Row],[/PR:90]:[/BR:90]],Brudnopis!$E$28:$J$28),0)</f>
        <v>0</v>
      </c>
      <c r="Y662" s="35">
        <f>IF(Mecze[[#This Row],[Role]]="BR",Mecze[[#This Row],[/OB:90]]+Mecze[[#This Row],[/PC:90]],SUM(Mecze[[#This Row],[/PR:90]:[/BR:90]]))</f>
        <v>5.1020408163265307E-2</v>
      </c>
      <c r="Z662" s="35">
        <f>IF(Mecze[[#This Row],[KC]]=0,SUM(Mecze[[#This Row],[/BRI]:[/NPI]]),SUM(Mecze[[#This Row],[/BRI]:[/NPI]])*0.6)</f>
        <v>0.15306122448979592</v>
      </c>
      <c r="AA662" s="10">
        <f>IFERROR(Mecze[[#This Row],[BR]]/Mecze[[#This Row],[ST]],0)</f>
        <v>0</v>
      </c>
      <c r="AB662">
        <f>ROUND(Mecze[[#This Row],[PD]]*Mecze[[#This Row],[%PC]],0)</f>
        <v>2</v>
      </c>
      <c r="AC662">
        <f>ROUND(Mecze[[#This Row],[OD]]*Mecze[[#This Row],[%OU]],0)</f>
        <v>0</v>
      </c>
      <c r="AD662" s="36" t="s">
        <v>40</v>
      </c>
      <c r="AE662" s="36">
        <v>38</v>
      </c>
      <c r="AF662" s="71">
        <v>3.86</v>
      </c>
      <c r="AG662" s="37">
        <v>0</v>
      </c>
      <c r="AH662" s="37">
        <v>0</v>
      </c>
      <c r="AI662" s="37">
        <v>98</v>
      </c>
      <c r="AJ662" s="37">
        <v>1</v>
      </c>
      <c r="AK662" s="37" t="str">
        <f>VLOOKUP(Mecze[[#This Row],[Match ID]],Meczusie[Mecz]:Meczusie[RodzajMeczu],2,FALSE)</f>
        <v>Towarzyski</v>
      </c>
    </row>
    <row r="663" spans="1:37" x14ac:dyDescent="0.25">
      <c r="A663" s="76">
        <v>6</v>
      </c>
      <c r="B663" s="3" t="s">
        <v>159</v>
      </c>
      <c r="C663" s="2" t="s">
        <v>157</v>
      </c>
      <c r="D663" s="1">
        <v>0</v>
      </c>
      <c r="E663" s="1">
        <v>0</v>
      </c>
      <c r="F663" s="1">
        <v>0</v>
      </c>
      <c r="G663" s="1">
        <v>10</v>
      </c>
      <c r="H663" s="4">
        <v>0.7</v>
      </c>
      <c r="I663" s="1">
        <v>3</v>
      </c>
      <c r="J663" s="4">
        <v>0</v>
      </c>
      <c r="K663" s="1">
        <v>0</v>
      </c>
      <c r="L663" s="1">
        <v>8</v>
      </c>
      <c r="M663" s="32">
        <f>IF(Mecze[[#This Row],[PR]]=0,0,Mecze[[#This Row],[PR]]/Mecze[[#This Row],[CZAS]])</f>
        <v>8.1632653061224483E-2</v>
      </c>
      <c r="N663" s="32">
        <f>IF(Mecze[[#This Row],[OU]]=0,0,Mecze[[#This Row],[OU]]/Mecze[[#This Row],[CZAS]])</f>
        <v>0</v>
      </c>
      <c r="O663" s="32">
        <f>IF(Mecze[[#This Row],[PC]]=0,0,Mecze[[#This Row],[PC]]/Mecze[[#This Row],[CZAS]])</f>
        <v>7.1428571428571425E-2</v>
      </c>
      <c r="P663" s="32">
        <f>IF(Mecze[[#This Row],[SC]]=0,0,Mecze[[#This Row],[SC]]/Mecze[[#This Row],[CZAS]])</f>
        <v>0</v>
      </c>
      <c r="Q663" s="32">
        <f>IF(Mecze[[#This Row],[OB]]=0,0,Mecze[[#This Row],[OB]]/Mecze[[#This Row],[CZAS]])</f>
        <v>0</v>
      </c>
      <c r="R663" s="32">
        <f>IF(Mecze[[#This Row],[BR]]=0,0,Mecze[[#This Row],[BR]]/Mecze[[#This Row],[CZAS]])</f>
        <v>0</v>
      </c>
      <c r="S663" s="44">
        <f>IF(Mecze[[#This Row],[Role]]="BR",SUMPRODUCT(Mecze[[#This Row],[/PR:90]:[/BR:90]],Brudnopis!$E$23:$J$23),0)</f>
        <v>0</v>
      </c>
      <c r="T663" s="44">
        <f>IF(Mecze[[#This Row],[Role]]&lt;&gt;"BR",SUMPRODUCT(Mecze[[#This Row],[/PR:90]:[/BR:90]],Brudnopis!$E$24:$J$24),0)</f>
        <v>0.15306122448979592</v>
      </c>
      <c r="U663" s="44">
        <f>IF(Mecze[[#This Row],[Role]]&lt;&gt;"BR",SUMPRODUCT(Mecze[[#This Row],[/PR:90]:[/BR:90]],Brudnopis!$E$25:$J$25),0)</f>
        <v>0.18877551020408162</v>
      </c>
      <c r="V663" s="44">
        <f>IF(Mecze[[#This Row],[Role]]&lt;&gt;"BR",SUMPRODUCT(Mecze[[#This Row],[/PR:90]:[/BR:90]],Brudnopis!$E$26:$J$26),0)</f>
        <v>0.15306122448979592</v>
      </c>
      <c r="W663" s="44">
        <f>IF(Mecze[[#This Row],[Role]]&lt;&gt;"BR",SUMPRODUCT(Mecze[[#This Row],[/PR:90]:[/BR:90]],Brudnopis!$E$27:$J$27),0)</f>
        <v>0.1683673469387755</v>
      </c>
      <c r="X663" s="44">
        <f>IF(Mecze[[#This Row],[Role]]&lt;&gt;"BR",SUMPRODUCT(Mecze[[#This Row],[/PR:90]:[/BR:90]],Brudnopis!$E$28:$J$28),0)</f>
        <v>7.1428571428571425E-2</v>
      </c>
      <c r="Y663" s="35">
        <f>IF(Mecze[[#This Row],[Role]]="BR",Mecze[[#This Row],[/OB:90]]+Mecze[[#This Row],[/PC:90]],SUM(Mecze[[#This Row],[/PR:90]:[/BR:90]]))</f>
        <v>0.15306122448979592</v>
      </c>
      <c r="Z663" s="35">
        <f>IF(Mecze[[#This Row],[KC]]=0,SUM(Mecze[[#This Row],[/BRI]:[/NPI]]),SUM(Mecze[[#This Row],[/BRI]:[/NPI]])*0.6)</f>
        <v>0.73469387755102034</v>
      </c>
      <c r="AA663" s="10">
        <f>IFERROR(Mecze[[#This Row],[BR]]/Mecze[[#This Row],[ST]],0)</f>
        <v>0</v>
      </c>
      <c r="AB663">
        <f>ROUND(Mecze[[#This Row],[PD]]*Mecze[[#This Row],[%PC]],0)</f>
        <v>7</v>
      </c>
      <c r="AC663">
        <f>ROUND(Mecze[[#This Row],[OD]]*Mecze[[#This Row],[%OU]],0)</f>
        <v>0</v>
      </c>
      <c r="AD663" s="36" t="s">
        <v>47</v>
      </c>
      <c r="AE663" s="36">
        <v>38</v>
      </c>
      <c r="AF663" s="71">
        <v>4.49</v>
      </c>
      <c r="AG663" s="37">
        <v>0</v>
      </c>
      <c r="AH663" s="37">
        <v>0</v>
      </c>
      <c r="AI663" s="37">
        <v>98</v>
      </c>
      <c r="AJ663" s="37">
        <v>1</v>
      </c>
      <c r="AK663" s="37" t="str">
        <f>VLOOKUP(Mecze[[#This Row],[Match ID]],Meczusie[Mecz]:Meczusie[RodzajMeczu],2,FALSE)</f>
        <v>Towarzyski</v>
      </c>
    </row>
    <row r="664" spans="1:37" x14ac:dyDescent="0.25">
      <c r="A664" s="76">
        <v>4</v>
      </c>
      <c r="B664" s="3" t="s">
        <v>360</v>
      </c>
      <c r="C664" s="2" t="s">
        <v>157</v>
      </c>
      <c r="D664" s="1">
        <v>0</v>
      </c>
      <c r="E664" s="1">
        <v>0</v>
      </c>
      <c r="F664" s="1">
        <v>0</v>
      </c>
      <c r="G664" s="1">
        <v>5</v>
      </c>
      <c r="H664" s="4">
        <v>0.8</v>
      </c>
      <c r="I664" s="1">
        <v>2</v>
      </c>
      <c r="J664" s="4">
        <v>0.5</v>
      </c>
      <c r="K664" s="1">
        <v>0</v>
      </c>
      <c r="L664" s="1">
        <v>7</v>
      </c>
      <c r="M664" s="32">
        <f>IF(Mecze[[#This Row],[PR]]=0,0,Mecze[[#This Row],[PR]]/Mecze[[#This Row],[CZAS]])</f>
        <v>7.1428571428571425E-2</v>
      </c>
      <c r="N664" s="32">
        <f>IF(Mecze[[#This Row],[OU]]=0,0,Mecze[[#This Row],[OU]]/Mecze[[#This Row],[CZAS]])</f>
        <v>1.020408163265306E-2</v>
      </c>
      <c r="O664" s="32">
        <f>IF(Mecze[[#This Row],[PC]]=0,0,Mecze[[#This Row],[PC]]/Mecze[[#This Row],[CZAS]])</f>
        <v>4.0816326530612242E-2</v>
      </c>
      <c r="P664" s="32">
        <f>IF(Mecze[[#This Row],[SC]]=0,0,Mecze[[#This Row],[SC]]/Mecze[[#This Row],[CZAS]])</f>
        <v>0</v>
      </c>
      <c r="Q664" s="32">
        <f>IF(Mecze[[#This Row],[OB]]=0,0,Mecze[[#This Row],[OB]]/Mecze[[#This Row],[CZAS]])</f>
        <v>0</v>
      </c>
      <c r="R664" s="32">
        <f>IF(Mecze[[#This Row],[BR]]=0,0,Mecze[[#This Row],[BR]]/Mecze[[#This Row],[CZAS]])</f>
        <v>0</v>
      </c>
      <c r="S664" s="44">
        <f>IF(Mecze[[#This Row],[Role]]="BR",SUMPRODUCT(Mecze[[#This Row],[/PR:90]:[/BR:90]],Brudnopis!$E$23:$J$23),0)</f>
        <v>0</v>
      </c>
      <c r="T664" s="44">
        <f>IF(Mecze[[#This Row],[Role]]&lt;&gt;"BR",SUMPRODUCT(Mecze[[#This Row],[/PR:90]:[/BR:90]],Brudnopis!$E$24:$J$24),0)</f>
        <v>0.12755102040816327</v>
      </c>
      <c r="U664" s="44">
        <f>IF(Mecze[[#This Row],[Role]]&lt;&gt;"BR",SUMPRODUCT(Mecze[[#This Row],[/PR:90]:[/BR:90]],Brudnopis!$E$25:$J$25),0)</f>
        <v>0.14285714285714285</v>
      </c>
      <c r="V664" s="44">
        <f>IF(Mecze[[#This Row],[Role]]&lt;&gt;"BR",SUMPRODUCT(Mecze[[#This Row],[/PR:90]:[/BR:90]],Brudnopis!$E$26:$J$26),0)</f>
        <v>0.12244897959183673</v>
      </c>
      <c r="W664" s="44">
        <f>IF(Mecze[[#This Row],[Role]]&lt;&gt;"BR",SUMPRODUCT(Mecze[[#This Row],[/PR:90]:[/BR:90]],Brudnopis!$E$27:$J$27),0)</f>
        <v>0.12244897959183673</v>
      </c>
      <c r="X664" s="44">
        <f>IF(Mecze[[#This Row],[Role]]&lt;&gt;"BR",SUMPRODUCT(Mecze[[#This Row],[/PR:90]:[/BR:90]],Brudnopis!$E$28:$J$28),0)</f>
        <v>4.0816326530612242E-2</v>
      </c>
      <c r="Y664" s="35">
        <f>IF(Mecze[[#This Row],[Role]]="BR",Mecze[[#This Row],[/OB:90]]+Mecze[[#This Row],[/PC:90]],SUM(Mecze[[#This Row],[/PR:90]:[/BR:90]]))</f>
        <v>0.12244897959183673</v>
      </c>
      <c r="Z664" s="35">
        <f>IF(Mecze[[#This Row],[KC]]=0,SUM(Mecze[[#This Row],[/BRI]:[/NPI]]),SUM(Mecze[[#This Row],[/BRI]:[/NPI]])*0.6)</f>
        <v>0.55612244897959195</v>
      </c>
      <c r="AA664" s="10">
        <f>IFERROR(Mecze[[#This Row],[BR]]/Mecze[[#This Row],[ST]],0)</f>
        <v>0</v>
      </c>
      <c r="AB664">
        <f>ROUND(Mecze[[#This Row],[PD]]*Mecze[[#This Row],[%PC]],0)</f>
        <v>4</v>
      </c>
      <c r="AC664">
        <f>ROUND(Mecze[[#This Row],[OD]]*Mecze[[#This Row],[%OU]],0)</f>
        <v>1</v>
      </c>
      <c r="AD664" s="36" t="s">
        <v>167</v>
      </c>
      <c r="AE664" s="36">
        <v>38</v>
      </c>
      <c r="AF664" s="71">
        <v>4.28</v>
      </c>
      <c r="AG664" s="37">
        <v>0</v>
      </c>
      <c r="AH664" s="37">
        <v>0</v>
      </c>
      <c r="AI664" s="37">
        <v>98</v>
      </c>
      <c r="AJ664" s="37">
        <v>1</v>
      </c>
      <c r="AK664" s="37" t="str">
        <f>VLOOKUP(Mecze[[#This Row],[Match ID]],Meczusie[Mecz]:Meczusie[RodzajMeczu],2,FALSE)</f>
        <v>Towarzyski</v>
      </c>
    </row>
    <row r="665" spans="1:37" x14ac:dyDescent="0.25">
      <c r="A665" s="76">
        <v>3</v>
      </c>
      <c r="B665" s="3" t="s">
        <v>158</v>
      </c>
      <c r="C665" s="2" t="s">
        <v>157</v>
      </c>
      <c r="D665" s="1">
        <v>0</v>
      </c>
      <c r="E665" s="1">
        <v>0</v>
      </c>
      <c r="F665" s="1">
        <v>0</v>
      </c>
      <c r="G665" s="1">
        <v>13</v>
      </c>
      <c r="H665" s="4">
        <v>0.77</v>
      </c>
      <c r="I665" s="1">
        <v>9</v>
      </c>
      <c r="J665" s="4">
        <v>1</v>
      </c>
      <c r="K665" s="1">
        <v>0</v>
      </c>
      <c r="L665" s="1">
        <v>8</v>
      </c>
      <c r="M665" s="32">
        <f>IF(Mecze[[#This Row],[PR]]=0,0,Mecze[[#This Row],[PR]]/Mecze[[#This Row],[CZAS]])</f>
        <v>8.1632653061224483E-2</v>
      </c>
      <c r="N665" s="32">
        <f>IF(Mecze[[#This Row],[OU]]=0,0,Mecze[[#This Row],[OU]]/Mecze[[#This Row],[CZAS]])</f>
        <v>9.1836734693877556E-2</v>
      </c>
      <c r="O665" s="32">
        <f>IF(Mecze[[#This Row],[PC]]=0,0,Mecze[[#This Row],[PC]]/Mecze[[#This Row],[CZAS]])</f>
        <v>0.10204081632653061</v>
      </c>
      <c r="P665" s="32">
        <f>IF(Mecze[[#This Row],[SC]]=0,0,Mecze[[#This Row],[SC]]/Mecze[[#This Row],[CZAS]])</f>
        <v>0</v>
      </c>
      <c r="Q665" s="32">
        <f>IF(Mecze[[#This Row],[OB]]=0,0,Mecze[[#This Row],[OB]]/Mecze[[#This Row],[CZAS]])</f>
        <v>0</v>
      </c>
      <c r="R665" s="32">
        <f>IF(Mecze[[#This Row],[BR]]=0,0,Mecze[[#This Row],[BR]]/Mecze[[#This Row],[CZAS]])</f>
        <v>0</v>
      </c>
      <c r="S665" s="44">
        <f>IF(Mecze[[#This Row],[Role]]="BR",SUMPRODUCT(Mecze[[#This Row],[/PR:90]:[/BR:90]],Brudnopis!$E$23:$J$23),0)</f>
        <v>0</v>
      </c>
      <c r="T665" s="44">
        <f>IF(Mecze[[#This Row],[Role]]&lt;&gt;"BR",SUMPRODUCT(Mecze[[#This Row],[/PR:90]:[/BR:90]],Brudnopis!$E$24:$J$24),0)</f>
        <v>0.32142857142857145</v>
      </c>
      <c r="U665" s="44">
        <f>IF(Mecze[[#This Row],[Role]]&lt;&gt;"BR",SUMPRODUCT(Mecze[[#This Row],[/PR:90]:[/BR:90]],Brudnopis!$E$25:$J$25),0)</f>
        <v>0.32653061224489799</v>
      </c>
      <c r="V665" s="44">
        <f>IF(Mecze[[#This Row],[Role]]&lt;&gt;"BR",SUMPRODUCT(Mecze[[#This Row],[/PR:90]:[/BR:90]],Brudnopis!$E$26:$J$26),0)</f>
        <v>0.27551020408163263</v>
      </c>
      <c r="W665" s="44">
        <f>IF(Mecze[[#This Row],[Role]]&lt;&gt;"BR",SUMPRODUCT(Mecze[[#This Row],[/PR:90]:[/BR:90]],Brudnopis!$E$27:$J$27),0)</f>
        <v>0.28316326530612246</v>
      </c>
      <c r="X665" s="44">
        <f>IF(Mecze[[#This Row],[Role]]&lt;&gt;"BR",SUMPRODUCT(Mecze[[#This Row],[/PR:90]:[/BR:90]],Brudnopis!$E$28:$J$28),0)</f>
        <v>0.10204081632653061</v>
      </c>
      <c r="Y665" s="35">
        <f>IF(Mecze[[#This Row],[Role]]="BR",Mecze[[#This Row],[/OB:90]]+Mecze[[#This Row],[/PC:90]],SUM(Mecze[[#This Row],[/PR:90]:[/BR:90]]))</f>
        <v>0.27551020408163263</v>
      </c>
      <c r="Z665" s="35">
        <f>IF(Mecze[[#This Row],[KC]]=0,SUM(Mecze[[#This Row],[/BRI]:[/NPI]]),SUM(Mecze[[#This Row],[/BRI]:[/NPI]])*0.6)</f>
        <v>1.3086734693877551</v>
      </c>
      <c r="AA665" s="10">
        <f>IFERROR(Mecze[[#This Row],[BR]]/Mecze[[#This Row],[ST]],0)</f>
        <v>0</v>
      </c>
      <c r="AB665">
        <f>ROUND(Mecze[[#This Row],[PD]]*Mecze[[#This Row],[%PC]],0)</f>
        <v>10</v>
      </c>
      <c r="AC665">
        <f>ROUND(Mecze[[#This Row],[OD]]*Mecze[[#This Row],[%OU]],0)</f>
        <v>9</v>
      </c>
      <c r="AD665" s="36" t="s">
        <v>168</v>
      </c>
      <c r="AE665" s="36">
        <v>38</v>
      </c>
      <c r="AF665" s="71">
        <v>7.64</v>
      </c>
      <c r="AG665" s="37">
        <v>0</v>
      </c>
      <c r="AH665" s="37">
        <v>0</v>
      </c>
      <c r="AI665" s="37">
        <v>98</v>
      </c>
      <c r="AJ665" s="37">
        <v>1</v>
      </c>
      <c r="AK665" s="37" t="str">
        <f>VLOOKUP(Mecze[[#This Row],[Match ID]],Meczusie[Mecz]:Meczusie[RodzajMeczu],2,FALSE)</f>
        <v>Towarzyski</v>
      </c>
    </row>
    <row r="666" spans="1:37" x14ac:dyDescent="0.25">
      <c r="A666" s="76">
        <v>5</v>
      </c>
      <c r="B666" s="3" t="s">
        <v>161</v>
      </c>
      <c r="C666" s="2" t="s">
        <v>160</v>
      </c>
      <c r="D666" s="1">
        <v>0</v>
      </c>
      <c r="E666" s="1">
        <v>0</v>
      </c>
      <c r="F666" s="1">
        <v>0</v>
      </c>
      <c r="G666" s="1">
        <v>8</v>
      </c>
      <c r="H666" s="4">
        <v>0.5</v>
      </c>
      <c r="I666" s="1">
        <v>2</v>
      </c>
      <c r="J666" s="4">
        <v>0.5</v>
      </c>
      <c r="K666" s="1">
        <v>0</v>
      </c>
      <c r="L666" s="1">
        <v>5</v>
      </c>
      <c r="M666" s="32">
        <f>IF(Mecze[[#This Row],[PR]]=0,0,Mecze[[#This Row],[PR]]/Mecze[[#This Row],[CZAS]])</f>
        <v>5.1020408163265307E-2</v>
      </c>
      <c r="N666" s="32">
        <f>IF(Mecze[[#This Row],[OU]]=0,0,Mecze[[#This Row],[OU]]/Mecze[[#This Row],[CZAS]])</f>
        <v>1.020408163265306E-2</v>
      </c>
      <c r="O666" s="32">
        <f>IF(Mecze[[#This Row],[PC]]=0,0,Mecze[[#This Row],[PC]]/Mecze[[#This Row],[CZAS]])</f>
        <v>4.0816326530612242E-2</v>
      </c>
      <c r="P666" s="32">
        <f>IF(Mecze[[#This Row],[SC]]=0,0,Mecze[[#This Row],[SC]]/Mecze[[#This Row],[CZAS]])</f>
        <v>0</v>
      </c>
      <c r="Q666" s="32">
        <f>IF(Mecze[[#This Row],[OB]]=0,0,Mecze[[#This Row],[OB]]/Mecze[[#This Row],[CZAS]])</f>
        <v>0</v>
      </c>
      <c r="R666" s="32">
        <f>IF(Mecze[[#This Row],[BR]]=0,0,Mecze[[#This Row],[BR]]/Mecze[[#This Row],[CZAS]])</f>
        <v>0</v>
      </c>
      <c r="S666" s="44">
        <f>IF(Mecze[[#This Row],[Role]]="BR",SUMPRODUCT(Mecze[[#This Row],[/PR:90]:[/BR:90]],Brudnopis!$E$23:$J$23),0)</f>
        <v>0</v>
      </c>
      <c r="T666" s="44">
        <f>IF(Mecze[[#This Row],[Role]]&lt;&gt;"BR",SUMPRODUCT(Mecze[[#This Row],[/PR:90]:[/BR:90]],Brudnopis!$E$24:$J$24),0)</f>
        <v>0.10714285714285715</v>
      </c>
      <c r="U666" s="44">
        <f>IF(Mecze[[#This Row],[Role]]&lt;&gt;"BR",SUMPRODUCT(Mecze[[#This Row],[/PR:90]:[/BR:90]],Brudnopis!$E$25:$J$25),0)</f>
        <v>0.12244897959183673</v>
      </c>
      <c r="V666" s="44">
        <f>IF(Mecze[[#This Row],[Role]]&lt;&gt;"BR",SUMPRODUCT(Mecze[[#This Row],[/PR:90]:[/BR:90]],Brudnopis!$E$26:$J$26),0)</f>
        <v>0.10204081632653061</v>
      </c>
      <c r="W666" s="44">
        <f>IF(Mecze[[#This Row],[Role]]&lt;&gt;"BR",SUMPRODUCT(Mecze[[#This Row],[/PR:90]:[/BR:90]],Brudnopis!$E$27:$J$27),0)</f>
        <v>0.10714285714285715</v>
      </c>
      <c r="X666" s="44">
        <f>IF(Mecze[[#This Row],[Role]]&lt;&gt;"BR",SUMPRODUCT(Mecze[[#This Row],[/PR:90]:[/BR:90]],Brudnopis!$E$28:$J$28),0)</f>
        <v>4.0816326530612242E-2</v>
      </c>
      <c r="Y666" s="35">
        <f>IF(Mecze[[#This Row],[Role]]="BR",Mecze[[#This Row],[/OB:90]]+Mecze[[#This Row],[/PC:90]],SUM(Mecze[[#This Row],[/PR:90]:[/BR:90]]))</f>
        <v>0.10204081632653061</v>
      </c>
      <c r="Z666" s="35">
        <f>IF(Mecze[[#This Row],[KC]]=0,SUM(Mecze[[#This Row],[/BRI]:[/NPI]]),SUM(Mecze[[#This Row],[/BRI]:[/NPI]])*0.6)</f>
        <v>0.47959183673469385</v>
      </c>
      <c r="AA666" s="10">
        <f>IFERROR(Mecze[[#This Row],[BR]]/Mecze[[#This Row],[ST]],0)</f>
        <v>0</v>
      </c>
      <c r="AB666">
        <f>ROUND(Mecze[[#This Row],[PD]]*Mecze[[#This Row],[%PC]],0)</f>
        <v>4</v>
      </c>
      <c r="AC666">
        <f>ROUND(Mecze[[#This Row],[OD]]*Mecze[[#This Row],[%OU]],0)</f>
        <v>1</v>
      </c>
      <c r="AD666" s="36" t="s">
        <v>41</v>
      </c>
      <c r="AE666" s="36">
        <v>38</v>
      </c>
      <c r="AF666" s="71">
        <v>6.18</v>
      </c>
      <c r="AG666" s="37">
        <v>0</v>
      </c>
      <c r="AH666" s="37">
        <v>0</v>
      </c>
      <c r="AI666" s="37">
        <v>98</v>
      </c>
      <c r="AJ666" s="37">
        <v>1</v>
      </c>
      <c r="AK666" s="37" t="str">
        <f>VLOOKUP(Mecze[[#This Row],[Match ID]],Meczusie[Mecz]:Meczusie[RodzajMeczu],2,FALSE)</f>
        <v>Towarzyski</v>
      </c>
    </row>
    <row r="667" spans="1:37" x14ac:dyDescent="0.25">
      <c r="A667" s="76">
        <v>17</v>
      </c>
      <c r="B667" s="3" t="s">
        <v>413</v>
      </c>
      <c r="C667" s="2" t="s">
        <v>160</v>
      </c>
      <c r="D667" s="1">
        <v>0</v>
      </c>
      <c r="E667" s="1">
        <v>0</v>
      </c>
      <c r="F667" s="1">
        <v>0</v>
      </c>
      <c r="G667" s="1">
        <v>3</v>
      </c>
      <c r="H667" s="4">
        <v>1</v>
      </c>
      <c r="I667" s="1">
        <v>3</v>
      </c>
      <c r="J667" s="4">
        <v>1</v>
      </c>
      <c r="K667" s="1">
        <v>0</v>
      </c>
      <c r="L667" s="1">
        <v>0</v>
      </c>
      <c r="M667" s="32">
        <f>IF(Mecze[[#This Row],[PR]]=0,0,Mecze[[#This Row],[PR]]/Mecze[[#This Row],[CZAS]])</f>
        <v>0</v>
      </c>
      <c r="N667" s="32">
        <f>IF(Mecze[[#This Row],[OU]]=0,0,Mecze[[#This Row],[OU]]/Mecze[[#This Row],[CZAS]])</f>
        <v>0.14285714285714285</v>
      </c>
      <c r="O667" s="32">
        <f>IF(Mecze[[#This Row],[PC]]=0,0,Mecze[[#This Row],[PC]]/Mecze[[#This Row],[CZAS]])</f>
        <v>0.14285714285714285</v>
      </c>
      <c r="P667" s="32">
        <f>IF(Mecze[[#This Row],[SC]]=0,0,Mecze[[#This Row],[SC]]/Mecze[[#This Row],[CZAS]])</f>
        <v>0</v>
      </c>
      <c r="Q667" s="32">
        <f>IF(Mecze[[#This Row],[OB]]=0,0,Mecze[[#This Row],[OB]]/Mecze[[#This Row],[CZAS]])</f>
        <v>0</v>
      </c>
      <c r="R667" s="32">
        <f>IF(Mecze[[#This Row],[BR]]=0,0,Mecze[[#This Row],[BR]]/Mecze[[#This Row],[CZAS]])</f>
        <v>0</v>
      </c>
      <c r="S667" s="44">
        <f>IF(Mecze[[#This Row],[Role]]="BR",SUMPRODUCT(Mecze[[#This Row],[/PR:90]:[/BR:90]],Brudnopis!$E$23:$J$23),0)</f>
        <v>0</v>
      </c>
      <c r="T667" s="44">
        <f>IF(Mecze[[#This Row],[Role]]&lt;&gt;"BR",SUMPRODUCT(Mecze[[#This Row],[/PR:90]:[/BR:90]],Brudnopis!$E$24:$J$24),0)</f>
        <v>0.3571428571428571</v>
      </c>
      <c r="U667" s="44">
        <f>IF(Mecze[[#This Row],[Role]]&lt;&gt;"BR",SUMPRODUCT(Mecze[[#This Row],[/PR:90]:[/BR:90]],Brudnopis!$E$25:$J$25),0)</f>
        <v>0.3571428571428571</v>
      </c>
      <c r="V667" s="44">
        <f>IF(Mecze[[#This Row],[Role]]&lt;&gt;"BR",SUMPRODUCT(Mecze[[#This Row],[/PR:90]:[/BR:90]],Brudnopis!$E$26:$J$26),0)</f>
        <v>0.2857142857142857</v>
      </c>
      <c r="W667" s="44">
        <f>IF(Mecze[[#This Row],[Role]]&lt;&gt;"BR",SUMPRODUCT(Mecze[[#This Row],[/PR:90]:[/BR:90]],Brudnopis!$E$27:$J$27),0)</f>
        <v>0.3214285714285714</v>
      </c>
      <c r="X667" s="44">
        <f>IF(Mecze[[#This Row],[Role]]&lt;&gt;"BR",SUMPRODUCT(Mecze[[#This Row],[/PR:90]:[/BR:90]],Brudnopis!$E$28:$J$28),0)</f>
        <v>0.14285714285714285</v>
      </c>
      <c r="Y667" s="35">
        <f>IF(Mecze[[#This Row],[Role]]="BR",Mecze[[#This Row],[/OB:90]]+Mecze[[#This Row],[/PC:90]],SUM(Mecze[[#This Row],[/PR:90]:[/BR:90]]))</f>
        <v>0.2857142857142857</v>
      </c>
      <c r="Z667" s="35">
        <f>IF(Mecze[[#This Row],[KC]]=0,SUM(Mecze[[#This Row],[/BRI]:[/NPI]]),SUM(Mecze[[#This Row],[/BRI]:[/NPI]])*0.6)</f>
        <v>0.87857142857142834</v>
      </c>
      <c r="AA667" s="10">
        <f>IFERROR(Mecze[[#This Row],[BR]]/Mecze[[#This Row],[ST]],0)</f>
        <v>0</v>
      </c>
      <c r="AB667">
        <f>ROUND(Mecze[[#This Row],[PD]]*Mecze[[#This Row],[%PC]],0)</f>
        <v>3</v>
      </c>
      <c r="AC667">
        <f>ROUND(Mecze[[#This Row],[OD]]*Mecze[[#This Row],[%OU]],0)</f>
        <v>3</v>
      </c>
      <c r="AD667" s="36" t="s">
        <v>41</v>
      </c>
      <c r="AE667" s="36">
        <v>38</v>
      </c>
      <c r="AF667" s="71">
        <v>-0.49</v>
      </c>
      <c r="AG667" s="37">
        <v>0</v>
      </c>
      <c r="AH667" s="37">
        <v>1</v>
      </c>
      <c r="AI667" s="37">
        <v>21</v>
      </c>
      <c r="AJ667" s="37">
        <v>1</v>
      </c>
      <c r="AK667" s="37" t="str">
        <f>VLOOKUP(Mecze[[#This Row],[Match ID]],Meczusie[Mecz]:Meczusie[RodzajMeczu],2,FALSE)</f>
        <v>Towarzyski</v>
      </c>
    </row>
    <row r="668" spans="1:37" x14ac:dyDescent="0.25">
      <c r="A668" s="76">
        <v>8</v>
      </c>
      <c r="B668" s="3" t="s">
        <v>154</v>
      </c>
      <c r="C668" s="2" t="s">
        <v>160</v>
      </c>
      <c r="D668" s="1">
        <v>0</v>
      </c>
      <c r="E668" s="1">
        <v>0</v>
      </c>
      <c r="F668" s="1">
        <v>0</v>
      </c>
      <c r="G668" s="1">
        <v>16</v>
      </c>
      <c r="H668" s="4">
        <v>0.69</v>
      </c>
      <c r="I668" s="1">
        <v>0</v>
      </c>
      <c r="J668" s="4"/>
      <c r="K668" s="1">
        <v>0</v>
      </c>
      <c r="L668" s="1">
        <v>3</v>
      </c>
      <c r="M668" s="32">
        <f>IF(Mecze[[#This Row],[PR]]=0,0,Mecze[[#This Row],[PR]]/Mecze[[#This Row],[CZAS]])</f>
        <v>3.0612244897959183E-2</v>
      </c>
      <c r="N668" s="32">
        <f>IF(Mecze[[#This Row],[OU]]=0,0,Mecze[[#This Row],[OU]]/Mecze[[#This Row],[CZAS]])</f>
        <v>0</v>
      </c>
      <c r="O668" s="32">
        <f>IF(Mecze[[#This Row],[PC]]=0,0,Mecze[[#This Row],[PC]]/Mecze[[#This Row],[CZAS]])</f>
        <v>0.11224489795918367</v>
      </c>
      <c r="P668" s="32">
        <f>IF(Mecze[[#This Row],[SC]]=0,0,Mecze[[#This Row],[SC]]/Mecze[[#This Row],[CZAS]])</f>
        <v>0</v>
      </c>
      <c r="Q668" s="32">
        <f>IF(Mecze[[#This Row],[OB]]=0,0,Mecze[[#This Row],[OB]]/Mecze[[#This Row],[CZAS]])</f>
        <v>0</v>
      </c>
      <c r="R668" s="32">
        <f>IF(Mecze[[#This Row],[BR]]=0,0,Mecze[[#This Row],[BR]]/Mecze[[#This Row],[CZAS]])</f>
        <v>0</v>
      </c>
      <c r="S668" s="44">
        <f>IF(Mecze[[#This Row],[Role]]="BR",SUMPRODUCT(Mecze[[#This Row],[/PR:90]:[/BR:90]],Brudnopis!$E$23:$J$23),0)</f>
        <v>0</v>
      </c>
      <c r="T668" s="44">
        <f>IF(Mecze[[#This Row],[Role]]&lt;&gt;"BR",SUMPRODUCT(Mecze[[#This Row],[/PR:90]:[/BR:90]],Brudnopis!$E$24:$J$24),0)</f>
        <v>0.14285714285714285</v>
      </c>
      <c r="U668" s="44">
        <f>IF(Mecze[[#This Row],[Role]]&lt;&gt;"BR",SUMPRODUCT(Mecze[[#This Row],[/PR:90]:[/BR:90]],Brudnopis!$E$25:$J$25),0)</f>
        <v>0.19897959183673469</v>
      </c>
      <c r="V668" s="44">
        <f>IF(Mecze[[#This Row],[Role]]&lt;&gt;"BR",SUMPRODUCT(Mecze[[#This Row],[/PR:90]:[/BR:90]],Brudnopis!$E$26:$J$26),0)</f>
        <v>0.14285714285714285</v>
      </c>
      <c r="W668" s="44">
        <f>IF(Mecze[[#This Row],[Role]]&lt;&gt;"BR",SUMPRODUCT(Mecze[[#This Row],[/PR:90]:[/BR:90]],Brudnopis!$E$27:$J$27),0)</f>
        <v>0.19132653061224489</v>
      </c>
      <c r="X668" s="44">
        <f>IF(Mecze[[#This Row],[Role]]&lt;&gt;"BR",SUMPRODUCT(Mecze[[#This Row],[/PR:90]:[/BR:90]],Brudnopis!$E$28:$J$28),0)</f>
        <v>0.11224489795918367</v>
      </c>
      <c r="Y668" s="35">
        <f>IF(Mecze[[#This Row],[Role]]="BR",Mecze[[#This Row],[/OB:90]]+Mecze[[#This Row],[/PC:90]],SUM(Mecze[[#This Row],[/PR:90]:[/BR:90]]))</f>
        <v>0.14285714285714285</v>
      </c>
      <c r="Z668" s="35">
        <f>IF(Mecze[[#This Row],[KC]]=0,SUM(Mecze[[#This Row],[/BRI]:[/NPI]]),SUM(Mecze[[#This Row],[/BRI]:[/NPI]])*0.6)</f>
        <v>0.78826530612244894</v>
      </c>
      <c r="AA668" s="10">
        <f>IFERROR(Mecze[[#This Row],[BR]]/Mecze[[#This Row],[ST]],0)</f>
        <v>0</v>
      </c>
      <c r="AB668">
        <f>ROUND(Mecze[[#This Row],[PD]]*Mecze[[#This Row],[%PC]],0)</f>
        <v>11</v>
      </c>
      <c r="AC668">
        <f>ROUND(Mecze[[#This Row],[OD]]*Mecze[[#This Row],[%OU]],0)</f>
        <v>0</v>
      </c>
      <c r="AD668" s="36" t="s">
        <v>67</v>
      </c>
      <c r="AE668" s="36">
        <v>38</v>
      </c>
      <c r="AF668" s="71">
        <v>5.76</v>
      </c>
      <c r="AG668" s="37">
        <v>0</v>
      </c>
      <c r="AH668" s="37">
        <v>0</v>
      </c>
      <c r="AI668" s="37">
        <v>98</v>
      </c>
      <c r="AJ668" s="37">
        <v>1</v>
      </c>
      <c r="AK668" s="37" t="str">
        <f>VLOOKUP(Mecze[[#This Row],[Match ID]],Meczusie[Mecz]:Meczusie[RodzajMeczu],2,FALSE)</f>
        <v>Towarzyski</v>
      </c>
    </row>
    <row r="669" spans="1:37" x14ac:dyDescent="0.25">
      <c r="A669" s="76">
        <v>15</v>
      </c>
      <c r="B669" s="3" t="s">
        <v>170</v>
      </c>
      <c r="C669" s="2" t="s">
        <v>160</v>
      </c>
      <c r="D669" s="1">
        <v>0</v>
      </c>
      <c r="E669" s="1">
        <v>3</v>
      </c>
      <c r="F669" s="1">
        <v>1</v>
      </c>
      <c r="G669" s="1">
        <v>11</v>
      </c>
      <c r="H669" s="4">
        <v>0.73</v>
      </c>
      <c r="I669" s="1">
        <v>2</v>
      </c>
      <c r="J669" s="4">
        <v>0</v>
      </c>
      <c r="K669" s="1">
        <v>0</v>
      </c>
      <c r="L669" s="1">
        <v>1</v>
      </c>
      <c r="M669" s="32">
        <f>IF(Mecze[[#This Row],[PR]]=0,0,Mecze[[#This Row],[PR]]/Mecze[[#This Row],[CZAS]])</f>
        <v>1.020408163265306E-2</v>
      </c>
      <c r="N669" s="32">
        <f>IF(Mecze[[#This Row],[OU]]=0,0,Mecze[[#This Row],[OU]]/Mecze[[#This Row],[CZAS]])</f>
        <v>0</v>
      </c>
      <c r="O669" s="32">
        <f>IF(Mecze[[#This Row],[PC]]=0,0,Mecze[[#This Row],[PC]]/Mecze[[#This Row],[CZAS]])</f>
        <v>8.1632653061224483E-2</v>
      </c>
      <c r="P669" s="32">
        <f>IF(Mecze[[#This Row],[SC]]=0,0,Mecze[[#This Row],[SC]]/Mecze[[#This Row],[CZAS]])</f>
        <v>1.020408163265306E-2</v>
      </c>
      <c r="Q669" s="32">
        <f>IF(Mecze[[#This Row],[OB]]=0,0,Mecze[[#This Row],[OB]]/Mecze[[#This Row],[CZAS]])</f>
        <v>0</v>
      </c>
      <c r="R669" s="32">
        <f>IF(Mecze[[#This Row],[BR]]=0,0,Mecze[[#This Row],[BR]]/Mecze[[#This Row],[CZAS]])</f>
        <v>0</v>
      </c>
      <c r="S669" s="44">
        <f>IF(Mecze[[#This Row],[Role]]="BR",SUMPRODUCT(Mecze[[#This Row],[/PR:90]:[/BR:90]],Brudnopis!$E$23:$J$23),0)</f>
        <v>0</v>
      </c>
      <c r="T669" s="44">
        <f>IF(Mecze[[#This Row],[Role]]&lt;&gt;"BR",SUMPRODUCT(Mecze[[#This Row],[/PR:90]:[/BR:90]],Brudnopis!$E$24:$J$24),0)</f>
        <v>0.1020408163265306</v>
      </c>
      <c r="U669" s="44">
        <f>IF(Mecze[[#This Row],[Role]]&lt;&gt;"BR",SUMPRODUCT(Mecze[[#This Row],[/PR:90]:[/BR:90]],Brudnopis!$E$25:$J$25),0)</f>
        <v>0.14285714285714288</v>
      </c>
      <c r="V669" s="44">
        <f>IF(Mecze[[#This Row],[Role]]&lt;&gt;"BR",SUMPRODUCT(Mecze[[#This Row],[/PR:90]:[/BR:90]],Brudnopis!$E$26:$J$26),0)</f>
        <v>0.1020408163265306</v>
      </c>
      <c r="W669" s="44">
        <f>IF(Mecze[[#This Row],[Role]]&lt;&gt;"BR",SUMPRODUCT(Mecze[[#This Row],[/PR:90]:[/BR:90]],Brudnopis!$E$27:$J$27),0)</f>
        <v>0.14030612244897961</v>
      </c>
      <c r="X669" s="44">
        <f>IF(Mecze[[#This Row],[Role]]&lt;&gt;"BR",SUMPRODUCT(Mecze[[#This Row],[/PR:90]:[/BR:90]],Brudnopis!$E$28:$J$28),0)</f>
        <v>0.1020408163265306</v>
      </c>
      <c r="Y669" s="35">
        <f>IF(Mecze[[#This Row],[Role]]="BR",Mecze[[#This Row],[/OB:90]]+Mecze[[#This Row],[/PC:90]],SUM(Mecze[[#This Row],[/PR:90]:[/BR:90]]))</f>
        <v>0.1020408163265306</v>
      </c>
      <c r="Z669" s="35">
        <f>IF(Mecze[[#This Row],[KC]]=0,SUM(Mecze[[#This Row],[/BRI]:[/NPI]]),SUM(Mecze[[#This Row],[/BRI]:[/NPI]])*0.6)</f>
        <v>0.5892857142857143</v>
      </c>
      <c r="AA669" s="10">
        <f>IFERROR(Mecze[[#This Row],[BR]]/Mecze[[#This Row],[ST]],0)</f>
        <v>0</v>
      </c>
      <c r="AB669">
        <f>ROUND(Mecze[[#This Row],[PD]]*Mecze[[#This Row],[%PC]],0)</f>
        <v>8</v>
      </c>
      <c r="AC669">
        <f>ROUND(Mecze[[#This Row],[OD]]*Mecze[[#This Row],[%OU]],0)</f>
        <v>0</v>
      </c>
      <c r="AD669" s="36" t="s">
        <v>44</v>
      </c>
      <c r="AE669" s="36">
        <v>38</v>
      </c>
      <c r="AF669" s="71">
        <v>5.57</v>
      </c>
      <c r="AG669" s="37">
        <v>0</v>
      </c>
      <c r="AH669" s="37">
        <v>0</v>
      </c>
      <c r="AI669" s="37">
        <v>98</v>
      </c>
      <c r="AJ669" s="37">
        <v>1</v>
      </c>
      <c r="AK669" s="37" t="str">
        <f>VLOOKUP(Mecze[[#This Row],[Match ID]],Meczusie[Mecz]:Meczusie[RodzajMeczu],2,FALSE)</f>
        <v>Towarzyski</v>
      </c>
    </row>
    <row r="670" spans="1:37" x14ac:dyDescent="0.25">
      <c r="A670" s="76">
        <v>14</v>
      </c>
      <c r="B670" s="3" t="s">
        <v>164</v>
      </c>
      <c r="C670" s="2" t="s">
        <v>160</v>
      </c>
      <c r="D670" s="1">
        <v>1</v>
      </c>
      <c r="E670" s="1">
        <v>2</v>
      </c>
      <c r="F670" s="1">
        <v>1</v>
      </c>
      <c r="G670" s="1">
        <v>10</v>
      </c>
      <c r="H670" s="4">
        <v>0.8</v>
      </c>
      <c r="I670" s="1">
        <v>2</v>
      </c>
      <c r="J670" s="4">
        <v>0.5</v>
      </c>
      <c r="K670" s="1">
        <v>0</v>
      </c>
      <c r="L670" s="1">
        <v>3</v>
      </c>
      <c r="M670" s="32">
        <f>IF(Mecze[[#This Row],[PR]]=0,0,Mecze[[#This Row],[PR]]/Mecze[[#This Row],[CZAS]])</f>
        <v>3.0612244897959183E-2</v>
      </c>
      <c r="N670" s="32">
        <f>IF(Mecze[[#This Row],[OU]]=0,0,Mecze[[#This Row],[OU]]/Mecze[[#This Row],[CZAS]])</f>
        <v>1.020408163265306E-2</v>
      </c>
      <c r="O670" s="32">
        <f>IF(Mecze[[#This Row],[PC]]=0,0,Mecze[[#This Row],[PC]]/Mecze[[#This Row],[CZAS]])</f>
        <v>8.1632653061224483E-2</v>
      </c>
      <c r="P670" s="32">
        <f>IF(Mecze[[#This Row],[SC]]=0,0,Mecze[[#This Row],[SC]]/Mecze[[#This Row],[CZAS]])</f>
        <v>1.020408163265306E-2</v>
      </c>
      <c r="Q670" s="32">
        <f>IF(Mecze[[#This Row],[OB]]=0,0,Mecze[[#This Row],[OB]]/Mecze[[#This Row],[CZAS]])</f>
        <v>0</v>
      </c>
      <c r="R670" s="32">
        <f>IF(Mecze[[#This Row],[BR]]=0,0,Mecze[[#This Row],[BR]]/Mecze[[#This Row],[CZAS]])</f>
        <v>1.020408163265306E-2</v>
      </c>
      <c r="S670" s="44">
        <f>IF(Mecze[[#This Row],[Role]]="BR",SUMPRODUCT(Mecze[[#This Row],[/PR:90]:[/BR:90]],Brudnopis!$E$23:$J$23),0)</f>
        <v>0</v>
      </c>
      <c r="T670" s="44">
        <f>IF(Mecze[[#This Row],[Role]]&lt;&gt;"BR",SUMPRODUCT(Mecze[[#This Row],[/PR:90]:[/BR:90]],Brudnopis!$E$24:$J$24),0)</f>
        <v>0.15306122448979589</v>
      </c>
      <c r="U670" s="44">
        <f>IF(Mecze[[#This Row],[Role]]&lt;&gt;"BR",SUMPRODUCT(Mecze[[#This Row],[/PR:90]:[/BR:90]],Brudnopis!$E$25:$J$25),0)</f>
        <v>0.18877551020408162</v>
      </c>
      <c r="V670" s="44">
        <f>IF(Mecze[[#This Row],[Role]]&lt;&gt;"BR",SUMPRODUCT(Mecze[[#This Row],[/PR:90]:[/BR:90]],Brudnopis!$E$26:$J$26),0)</f>
        <v>0.15306122448979592</v>
      </c>
      <c r="W670" s="44">
        <f>IF(Mecze[[#This Row],[Role]]&lt;&gt;"BR",SUMPRODUCT(Mecze[[#This Row],[/PR:90]:[/BR:90]],Brudnopis!$E$27:$J$27),0)</f>
        <v>0.18367346938775511</v>
      </c>
      <c r="X670" s="44">
        <f>IF(Mecze[[#This Row],[Role]]&lt;&gt;"BR",SUMPRODUCT(Mecze[[#This Row],[/PR:90]:[/BR:90]],Brudnopis!$E$28:$J$28),0)</f>
        <v>0.13265306122448978</v>
      </c>
      <c r="Y670" s="35">
        <f>IF(Mecze[[#This Row],[Role]]="BR",Mecze[[#This Row],[/OB:90]]+Mecze[[#This Row],[/PC:90]],SUM(Mecze[[#This Row],[/PR:90]:[/BR:90]]))</f>
        <v>0.14285714285714288</v>
      </c>
      <c r="Z670" s="35">
        <f>IF(Mecze[[#This Row],[KC]]=0,SUM(Mecze[[#This Row],[/BRI]:[/NPI]]),SUM(Mecze[[#This Row],[/BRI]:[/NPI]])*0.6)</f>
        <v>0.81122448979591844</v>
      </c>
      <c r="AA670" s="10">
        <f>IFERROR(Mecze[[#This Row],[BR]]/Mecze[[#This Row],[ST]],0)</f>
        <v>0.5</v>
      </c>
      <c r="AB670">
        <f>ROUND(Mecze[[#This Row],[PD]]*Mecze[[#This Row],[%PC]],0)</f>
        <v>8</v>
      </c>
      <c r="AC670">
        <f>ROUND(Mecze[[#This Row],[OD]]*Mecze[[#This Row],[%OU]],0)</f>
        <v>1</v>
      </c>
      <c r="AD670" s="36" t="s">
        <v>44</v>
      </c>
      <c r="AE670" s="36">
        <v>38</v>
      </c>
      <c r="AF670" s="71">
        <v>9.01</v>
      </c>
      <c r="AG670" s="37">
        <v>0</v>
      </c>
      <c r="AH670" s="37">
        <v>0</v>
      </c>
      <c r="AI670" s="37">
        <v>98</v>
      </c>
      <c r="AJ670" s="37">
        <v>1</v>
      </c>
      <c r="AK670" s="37" t="str">
        <f>VLOOKUP(Mecze[[#This Row],[Match ID]],Meczusie[Mecz]:Meczusie[RodzajMeczu],2,FALSE)</f>
        <v>Towarzyski</v>
      </c>
    </row>
    <row r="671" spans="1:37" x14ac:dyDescent="0.25">
      <c r="A671" s="76">
        <v>9</v>
      </c>
      <c r="B671" s="3" t="s">
        <v>411</v>
      </c>
      <c r="C671" s="2" t="s">
        <v>165</v>
      </c>
      <c r="D671" s="1">
        <v>1</v>
      </c>
      <c r="E671" s="1">
        <v>1</v>
      </c>
      <c r="F671" s="1">
        <v>1</v>
      </c>
      <c r="G671" s="1">
        <v>6</v>
      </c>
      <c r="H671" s="4">
        <v>0.17</v>
      </c>
      <c r="I671" s="1">
        <v>5</v>
      </c>
      <c r="J671" s="4">
        <v>0.4</v>
      </c>
      <c r="K671" s="1">
        <v>0</v>
      </c>
      <c r="L671" s="1">
        <v>4</v>
      </c>
      <c r="M671" s="32">
        <f>IF(Mecze[[#This Row],[PR]]=0,0,Mecze[[#This Row],[PR]]/Mecze[[#This Row],[CZAS]])</f>
        <v>4.0816326530612242E-2</v>
      </c>
      <c r="N671" s="32">
        <f>IF(Mecze[[#This Row],[OU]]=0,0,Mecze[[#This Row],[OU]]/Mecze[[#This Row],[CZAS]])</f>
        <v>2.0408163265306121E-2</v>
      </c>
      <c r="O671" s="32">
        <f>IF(Mecze[[#This Row],[PC]]=0,0,Mecze[[#This Row],[PC]]/Mecze[[#This Row],[CZAS]])</f>
        <v>1.020408163265306E-2</v>
      </c>
      <c r="P671" s="32">
        <f>IF(Mecze[[#This Row],[SC]]=0,0,Mecze[[#This Row],[SC]]/Mecze[[#This Row],[CZAS]])</f>
        <v>1.020408163265306E-2</v>
      </c>
      <c r="Q671" s="32">
        <f>IF(Mecze[[#This Row],[OB]]=0,0,Mecze[[#This Row],[OB]]/Mecze[[#This Row],[CZAS]])</f>
        <v>0</v>
      </c>
      <c r="R671" s="32">
        <f>IF(Mecze[[#This Row],[BR]]=0,0,Mecze[[#This Row],[BR]]/Mecze[[#This Row],[CZAS]])</f>
        <v>1.020408163265306E-2</v>
      </c>
      <c r="S671" s="44">
        <f>IF(Mecze[[#This Row],[Role]]="BR",SUMPRODUCT(Mecze[[#This Row],[/PR:90]:[/BR:90]],Brudnopis!$E$23:$J$23),0)</f>
        <v>0</v>
      </c>
      <c r="T671" s="44">
        <f>IF(Mecze[[#This Row],[Role]]&lt;&gt;"BR",SUMPRODUCT(Mecze[[#This Row],[/PR:90]:[/BR:90]],Brudnopis!$E$24:$J$24),0)</f>
        <v>0.10714285714285714</v>
      </c>
      <c r="U671" s="44">
        <f>IF(Mecze[[#This Row],[Role]]&lt;&gt;"BR",SUMPRODUCT(Mecze[[#This Row],[/PR:90]:[/BR:90]],Brudnopis!$E$25:$J$25),0)</f>
        <v>0.10204081632653061</v>
      </c>
      <c r="V671" s="44">
        <f>IF(Mecze[[#This Row],[Role]]&lt;&gt;"BR",SUMPRODUCT(Mecze[[#This Row],[/PR:90]:[/BR:90]],Brudnopis!$E$26:$J$26),0)</f>
        <v>0.1020408163265306</v>
      </c>
      <c r="W671" s="44">
        <f>IF(Mecze[[#This Row],[Role]]&lt;&gt;"BR",SUMPRODUCT(Mecze[[#This Row],[/PR:90]:[/BR:90]],Brudnopis!$E$27:$J$27),0)</f>
        <v>9.1836734693877542E-2</v>
      </c>
      <c r="X671" s="44">
        <f>IF(Mecze[[#This Row],[Role]]&lt;&gt;"BR",SUMPRODUCT(Mecze[[#This Row],[/PR:90]:[/BR:90]],Brudnopis!$E$28:$J$28),0)</f>
        <v>6.1224489795918366E-2</v>
      </c>
      <c r="Y671" s="35">
        <f>IF(Mecze[[#This Row],[Role]]="BR",Mecze[[#This Row],[/OB:90]]+Mecze[[#This Row],[/PC:90]],SUM(Mecze[[#This Row],[/PR:90]:[/BR:90]]))</f>
        <v>9.1836734693877542E-2</v>
      </c>
      <c r="Z671" s="35">
        <f>IF(Mecze[[#This Row],[KC]]=0,SUM(Mecze[[#This Row],[/BRI]:[/NPI]]),SUM(Mecze[[#This Row],[/BRI]:[/NPI]])*0.6)</f>
        <v>0.4642857142857143</v>
      </c>
      <c r="AA671" s="10">
        <f>IFERROR(Mecze[[#This Row],[BR]]/Mecze[[#This Row],[ST]],0)</f>
        <v>1</v>
      </c>
      <c r="AB671">
        <f>ROUND(Mecze[[#This Row],[PD]]*Mecze[[#This Row],[%PC]],0)</f>
        <v>1</v>
      </c>
      <c r="AC671">
        <f>ROUND(Mecze[[#This Row],[OD]]*Mecze[[#This Row],[%OU]],0)</f>
        <v>2</v>
      </c>
      <c r="AD671" s="36" t="s">
        <v>46</v>
      </c>
      <c r="AE671" s="36">
        <v>38</v>
      </c>
      <c r="AF671" s="71">
        <v>6.45</v>
      </c>
      <c r="AG671" s="37">
        <v>0</v>
      </c>
      <c r="AH671" s="37">
        <v>0</v>
      </c>
      <c r="AI671" s="37">
        <v>98</v>
      </c>
      <c r="AJ671" s="37">
        <v>1</v>
      </c>
      <c r="AK671" s="37" t="str">
        <f>VLOOKUP(Mecze[[#This Row],[Match ID]],Meczusie[Mecz]:Meczusie[RodzajMeczu],2,FALSE)</f>
        <v>Towarzyski</v>
      </c>
    </row>
    <row r="672" spans="1:37" x14ac:dyDescent="0.25">
      <c r="A672" s="76">
        <v>19</v>
      </c>
      <c r="B672" s="3" t="s">
        <v>166</v>
      </c>
      <c r="C672" s="2" t="s">
        <v>165</v>
      </c>
      <c r="D672" s="1">
        <v>4</v>
      </c>
      <c r="E672" s="1">
        <v>17</v>
      </c>
      <c r="F672" s="1">
        <v>13</v>
      </c>
      <c r="G672" s="1">
        <v>5</v>
      </c>
      <c r="H672" s="4">
        <v>0.8</v>
      </c>
      <c r="I672" s="1">
        <v>2</v>
      </c>
      <c r="J672" s="4">
        <v>0</v>
      </c>
      <c r="K672" s="1">
        <v>0</v>
      </c>
      <c r="L672" s="1">
        <v>0</v>
      </c>
      <c r="M672" s="32">
        <f>IF(Mecze[[#This Row],[PR]]=0,0,Mecze[[#This Row],[PR]]/Mecze[[#This Row],[CZAS]])</f>
        <v>0</v>
      </c>
      <c r="N672" s="32">
        <f>IF(Mecze[[#This Row],[OU]]=0,0,Mecze[[#This Row],[OU]]/Mecze[[#This Row],[CZAS]])</f>
        <v>0</v>
      </c>
      <c r="O672" s="32">
        <f>IF(Mecze[[#This Row],[PC]]=0,0,Mecze[[#This Row],[PC]]/Mecze[[#This Row],[CZAS]])</f>
        <v>4.0816326530612242E-2</v>
      </c>
      <c r="P672" s="32">
        <f>IF(Mecze[[#This Row],[SC]]=0,0,Mecze[[#This Row],[SC]]/Mecze[[#This Row],[CZAS]])</f>
        <v>0.1326530612244898</v>
      </c>
      <c r="Q672" s="32">
        <f>IF(Mecze[[#This Row],[OB]]=0,0,Mecze[[#This Row],[OB]]/Mecze[[#This Row],[CZAS]])</f>
        <v>0</v>
      </c>
      <c r="R672" s="32">
        <f>IF(Mecze[[#This Row],[BR]]=0,0,Mecze[[#This Row],[BR]]/Mecze[[#This Row],[CZAS]])</f>
        <v>4.0816326530612242E-2</v>
      </c>
      <c r="S672" s="44">
        <f>IF(Mecze[[#This Row],[Role]]="BR",SUMPRODUCT(Mecze[[#This Row],[/PR:90]:[/BR:90]],Brudnopis!$E$23:$J$23),0)</f>
        <v>0</v>
      </c>
      <c r="T672" s="44">
        <f>IF(Mecze[[#This Row],[Role]]&lt;&gt;"BR",SUMPRODUCT(Mecze[[#This Row],[/PR:90]:[/BR:90]],Brudnopis!$E$24:$J$24),0)</f>
        <v>0.23469387755102039</v>
      </c>
      <c r="U672" s="44">
        <f>IF(Mecze[[#This Row],[Role]]&lt;&gt;"BR",SUMPRODUCT(Mecze[[#This Row],[/PR:90]:[/BR:90]],Brudnopis!$E$25:$J$25),0)</f>
        <v>0.25510204081632654</v>
      </c>
      <c r="V672" s="44">
        <f>IF(Mecze[[#This Row],[Role]]&lt;&gt;"BR",SUMPRODUCT(Mecze[[#This Row],[/PR:90]:[/BR:90]],Brudnopis!$E$26:$J$26),0)</f>
        <v>0.25510204081632654</v>
      </c>
      <c r="W672" s="44">
        <f>IF(Mecze[[#This Row],[Role]]&lt;&gt;"BR",SUMPRODUCT(Mecze[[#This Row],[/PR:90]:[/BR:90]],Brudnopis!$E$27:$J$27),0)</f>
        <v>0.27551020408163263</v>
      </c>
      <c r="X672" s="44">
        <f>IF(Mecze[[#This Row],[Role]]&lt;&gt;"BR",SUMPRODUCT(Mecze[[#This Row],[/PR:90]:[/BR:90]],Brudnopis!$E$28:$J$28),0)</f>
        <v>0.4285714285714286</v>
      </c>
      <c r="Y672" s="35">
        <f>IF(Mecze[[#This Row],[Role]]="BR",Mecze[[#This Row],[/OB:90]]+Mecze[[#This Row],[/PC:90]],SUM(Mecze[[#This Row],[/PR:90]:[/BR:90]]))</f>
        <v>0.21428571428571427</v>
      </c>
      <c r="Z672" s="35">
        <f>IF(Mecze[[#This Row],[KC]]=0,SUM(Mecze[[#This Row],[/BRI]:[/NPI]]),SUM(Mecze[[#This Row],[/BRI]:[/NPI]])*0.6)</f>
        <v>1.4489795918367347</v>
      </c>
      <c r="AA672" s="10">
        <f>IFERROR(Mecze[[#This Row],[BR]]/Mecze[[#This Row],[ST]],0)</f>
        <v>0.23529411764705882</v>
      </c>
      <c r="AB672">
        <f>ROUND(Mecze[[#This Row],[PD]]*Mecze[[#This Row],[%PC]],0)</f>
        <v>4</v>
      </c>
      <c r="AC672">
        <f>ROUND(Mecze[[#This Row],[OD]]*Mecze[[#This Row],[%OU]],0)</f>
        <v>0</v>
      </c>
      <c r="AD672" s="36" t="s">
        <v>46</v>
      </c>
      <c r="AE672" s="36">
        <v>38</v>
      </c>
      <c r="AF672" s="71">
        <v>18.239999999999998</v>
      </c>
      <c r="AG672" s="37">
        <v>0</v>
      </c>
      <c r="AH672" s="37">
        <v>0</v>
      </c>
      <c r="AI672" s="37">
        <v>98</v>
      </c>
      <c r="AJ672" s="37">
        <v>1</v>
      </c>
      <c r="AK672" s="37" t="str">
        <f>VLOOKUP(Mecze[[#This Row],[Match ID]],Meczusie[Mecz]:Meczusie[RodzajMeczu],2,FALSE)</f>
        <v>Towarzyski</v>
      </c>
    </row>
    <row r="673" spans="1:37" x14ac:dyDescent="0.25">
      <c r="A673" s="76">
        <v>49</v>
      </c>
      <c r="B673" s="3" t="s">
        <v>358</v>
      </c>
      <c r="C673" s="2" t="s">
        <v>155</v>
      </c>
      <c r="D673" s="1">
        <v>0</v>
      </c>
      <c r="E673" s="1">
        <v>0</v>
      </c>
      <c r="F673" s="1">
        <v>0</v>
      </c>
      <c r="G673" s="1">
        <v>4</v>
      </c>
      <c r="H673" s="4">
        <v>0</v>
      </c>
      <c r="I673" s="1">
        <v>0</v>
      </c>
      <c r="J673" s="4"/>
      <c r="K673" s="1">
        <v>2</v>
      </c>
      <c r="L673" s="1">
        <v>0</v>
      </c>
      <c r="M673" s="32">
        <f>IF(Mecze[[#This Row],[PR]]=0,0,Mecze[[#This Row],[PR]]/Mecze[[#This Row],[CZAS]])</f>
        <v>0</v>
      </c>
      <c r="N673" s="32">
        <f>IF(Mecze[[#This Row],[OU]]=0,0,Mecze[[#This Row],[OU]]/Mecze[[#This Row],[CZAS]])</f>
        <v>0</v>
      </c>
      <c r="O673" s="32">
        <f>IF(Mecze[[#This Row],[PC]]=0,0,Mecze[[#This Row],[PC]]/Mecze[[#This Row],[CZAS]])</f>
        <v>0</v>
      </c>
      <c r="P673" s="32">
        <f>IF(Mecze[[#This Row],[SC]]=0,0,Mecze[[#This Row],[SC]]/Mecze[[#This Row],[CZAS]])</f>
        <v>0</v>
      </c>
      <c r="Q673" s="32">
        <f>IF(Mecze[[#This Row],[OB]]=0,0,Mecze[[#This Row],[OB]]/Mecze[[#This Row],[CZAS]])</f>
        <v>2.0408163265306121E-2</v>
      </c>
      <c r="R673" s="32">
        <f>IF(Mecze[[#This Row],[BR]]=0,0,Mecze[[#This Row],[BR]]/Mecze[[#This Row],[CZAS]])</f>
        <v>0</v>
      </c>
      <c r="S673" s="44">
        <f>IF(Mecze[[#This Row],[Role]]="BR",SUMPRODUCT(Mecze[[#This Row],[/PR:90]:[/BR:90]],Brudnopis!$E$23:$J$23),0)</f>
        <v>6.1224489795918366E-2</v>
      </c>
      <c r="T673" s="44">
        <f>IF(Mecze[[#This Row],[Role]]&lt;&gt;"BR",SUMPRODUCT(Mecze[[#This Row],[/PR:90]:[/BR:90]],Brudnopis!$E$24:$J$24),0)</f>
        <v>0</v>
      </c>
      <c r="U673" s="44">
        <f>IF(Mecze[[#This Row],[Role]]&lt;&gt;"BR",SUMPRODUCT(Mecze[[#This Row],[/PR:90]:[/BR:90]],Brudnopis!$E$25:$J$25),0)</f>
        <v>0</v>
      </c>
      <c r="V673" s="44">
        <f>IF(Mecze[[#This Row],[Role]]&lt;&gt;"BR",SUMPRODUCT(Mecze[[#This Row],[/PR:90]:[/BR:90]],Brudnopis!$E$26:$J$26),0)</f>
        <v>0</v>
      </c>
      <c r="W673" s="44">
        <f>IF(Mecze[[#This Row],[Role]]&lt;&gt;"BR",SUMPRODUCT(Mecze[[#This Row],[/PR:90]:[/BR:90]],Brudnopis!$E$27:$J$27),0)</f>
        <v>0</v>
      </c>
      <c r="X673" s="44">
        <f>IF(Mecze[[#This Row],[Role]]&lt;&gt;"BR",SUMPRODUCT(Mecze[[#This Row],[/PR:90]:[/BR:90]],Brudnopis!$E$28:$J$28),0)</f>
        <v>0</v>
      </c>
      <c r="Y673" s="35">
        <f>IF(Mecze[[#This Row],[Role]]="BR",Mecze[[#This Row],[/OB:90]]+Mecze[[#This Row],[/PC:90]],SUM(Mecze[[#This Row],[/PR:90]:[/BR:90]]))</f>
        <v>2.0408163265306121E-2</v>
      </c>
      <c r="Z673" s="35">
        <f>IF(Mecze[[#This Row],[KC]]=0,SUM(Mecze[[#This Row],[/BRI]:[/NPI]]),SUM(Mecze[[#This Row],[/BRI]:[/NPI]])*0.6)</f>
        <v>6.1224489795918366E-2</v>
      </c>
      <c r="AA673" s="10">
        <f>IFERROR(Mecze[[#This Row],[BR]]/Mecze[[#This Row],[ST]],0)</f>
        <v>0</v>
      </c>
      <c r="AB673">
        <f>ROUND(Mecze[[#This Row],[PD]]*Mecze[[#This Row],[%PC]],0)</f>
        <v>0</v>
      </c>
      <c r="AC673">
        <f>ROUND(Mecze[[#This Row],[OD]]*Mecze[[#This Row],[%OU]],0)</f>
        <v>0</v>
      </c>
      <c r="AD673" s="36" t="s">
        <v>40</v>
      </c>
      <c r="AE673" s="36">
        <v>39</v>
      </c>
      <c r="AF673" s="71">
        <v>2.29</v>
      </c>
      <c r="AG673" s="37">
        <v>0</v>
      </c>
      <c r="AH673" s="37">
        <v>0</v>
      </c>
      <c r="AI673" s="37">
        <v>98</v>
      </c>
      <c r="AJ673" s="37">
        <v>1</v>
      </c>
      <c r="AK673" s="37" t="str">
        <f>VLOOKUP(Mecze[[#This Row],[Match ID]],Meczusie[Mecz]:Meczusie[RodzajMeczu],2,FALSE)</f>
        <v>Towarzyski</v>
      </c>
    </row>
    <row r="674" spans="1:37" x14ac:dyDescent="0.25">
      <c r="A674" s="76">
        <v>38</v>
      </c>
      <c r="B674" s="3" t="s">
        <v>359</v>
      </c>
      <c r="C674" s="2" t="s">
        <v>157</v>
      </c>
      <c r="D674" s="1">
        <v>0</v>
      </c>
      <c r="E674" s="1">
        <v>0</v>
      </c>
      <c r="F674" s="1">
        <v>0</v>
      </c>
      <c r="G674" s="1">
        <v>5</v>
      </c>
      <c r="H674" s="4">
        <v>0.4</v>
      </c>
      <c r="I674" s="1">
        <v>6</v>
      </c>
      <c r="J674" s="4">
        <v>0</v>
      </c>
      <c r="K674" s="1">
        <v>0</v>
      </c>
      <c r="L674" s="1">
        <v>13</v>
      </c>
      <c r="M674" s="32">
        <f>IF(Mecze[[#This Row],[PR]]=0,0,Mecze[[#This Row],[PR]]/Mecze[[#This Row],[CZAS]])</f>
        <v>0.1326530612244898</v>
      </c>
      <c r="N674" s="32">
        <f>IF(Mecze[[#This Row],[OU]]=0,0,Mecze[[#This Row],[OU]]/Mecze[[#This Row],[CZAS]])</f>
        <v>0</v>
      </c>
      <c r="O674" s="32">
        <f>IF(Mecze[[#This Row],[PC]]=0,0,Mecze[[#This Row],[PC]]/Mecze[[#This Row],[CZAS]])</f>
        <v>2.0408163265306121E-2</v>
      </c>
      <c r="P674" s="32">
        <f>IF(Mecze[[#This Row],[SC]]=0,0,Mecze[[#This Row],[SC]]/Mecze[[#This Row],[CZAS]])</f>
        <v>0</v>
      </c>
      <c r="Q674" s="32">
        <f>IF(Mecze[[#This Row],[OB]]=0,0,Mecze[[#This Row],[OB]]/Mecze[[#This Row],[CZAS]])</f>
        <v>0</v>
      </c>
      <c r="R674" s="32">
        <f>IF(Mecze[[#This Row],[BR]]=0,0,Mecze[[#This Row],[BR]]/Mecze[[#This Row],[CZAS]])</f>
        <v>0</v>
      </c>
      <c r="S674" s="44">
        <f>IF(Mecze[[#This Row],[Role]]="BR",SUMPRODUCT(Mecze[[#This Row],[/PR:90]:[/BR:90]],Brudnopis!$E$23:$J$23),0)</f>
        <v>0</v>
      </c>
      <c r="T674" s="44">
        <f>IF(Mecze[[#This Row],[Role]]&lt;&gt;"BR",SUMPRODUCT(Mecze[[#This Row],[/PR:90]:[/BR:90]],Brudnopis!$E$24:$J$24),0)</f>
        <v>0.15306122448979592</v>
      </c>
      <c r="U674" s="44">
        <f>IF(Mecze[[#This Row],[Role]]&lt;&gt;"BR",SUMPRODUCT(Mecze[[#This Row],[/PR:90]:[/BR:90]],Brudnopis!$E$25:$J$25),0)</f>
        <v>0.16326530612244899</v>
      </c>
      <c r="V674" s="44">
        <f>IF(Mecze[[#This Row],[Role]]&lt;&gt;"BR",SUMPRODUCT(Mecze[[#This Row],[/PR:90]:[/BR:90]],Brudnopis!$E$26:$J$26),0)</f>
        <v>0.15306122448979592</v>
      </c>
      <c r="W674" s="44">
        <f>IF(Mecze[[#This Row],[Role]]&lt;&gt;"BR",SUMPRODUCT(Mecze[[#This Row],[/PR:90]:[/BR:90]],Brudnopis!$E$27:$J$27),0)</f>
        <v>0.13010204081632654</v>
      </c>
      <c r="X674" s="44">
        <f>IF(Mecze[[#This Row],[Role]]&lt;&gt;"BR",SUMPRODUCT(Mecze[[#This Row],[/PR:90]:[/BR:90]],Brudnopis!$E$28:$J$28),0)</f>
        <v>2.0408163265306121E-2</v>
      </c>
      <c r="Y674" s="35">
        <f>IF(Mecze[[#This Row],[Role]]="BR",Mecze[[#This Row],[/OB:90]]+Mecze[[#This Row],[/PC:90]],SUM(Mecze[[#This Row],[/PR:90]:[/BR:90]]))</f>
        <v>0.15306122448979592</v>
      </c>
      <c r="Z674" s="35">
        <f>IF(Mecze[[#This Row],[KC]]=0,SUM(Mecze[[#This Row],[/BRI]:[/NPI]]),SUM(Mecze[[#This Row],[/BRI]:[/NPI]])*0.6)</f>
        <v>0.61989795918367352</v>
      </c>
      <c r="AA674" s="10">
        <f>IFERROR(Mecze[[#This Row],[BR]]/Mecze[[#This Row],[ST]],0)</f>
        <v>0</v>
      </c>
      <c r="AB674">
        <f>ROUND(Mecze[[#This Row],[PD]]*Mecze[[#This Row],[%PC]],0)</f>
        <v>2</v>
      </c>
      <c r="AC674">
        <f>ROUND(Mecze[[#This Row],[OD]]*Mecze[[#This Row],[%OU]],0)</f>
        <v>0</v>
      </c>
      <c r="AD674" s="36" t="s">
        <v>47</v>
      </c>
      <c r="AE674" s="36">
        <v>39</v>
      </c>
      <c r="AF674" s="71">
        <v>4.32</v>
      </c>
      <c r="AG674" s="37">
        <v>0</v>
      </c>
      <c r="AH674" s="37">
        <v>0</v>
      </c>
      <c r="AI674" s="37">
        <v>98</v>
      </c>
      <c r="AJ674" s="37">
        <v>1</v>
      </c>
      <c r="AK674" s="37" t="str">
        <f>VLOOKUP(Mecze[[#This Row],[Match ID]],Meczusie[Mecz]:Meczusie[RodzajMeczu],2,FALSE)</f>
        <v>Towarzyski</v>
      </c>
    </row>
    <row r="675" spans="1:37" x14ac:dyDescent="0.25">
      <c r="A675" s="76">
        <v>4</v>
      </c>
      <c r="B675" s="3" t="s">
        <v>360</v>
      </c>
      <c r="C675" s="2" t="s">
        <v>157</v>
      </c>
      <c r="D675" s="1">
        <v>0</v>
      </c>
      <c r="E675" s="1">
        <v>0</v>
      </c>
      <c r="F675" s="1">
        <v>0</v>
      </c>
      <c r="G675" s="1">
        <v>6</v>
      </c>
      <c r="H675" s="4">
        <v>0.67</v>
      </c>
      <c r="I675" s="1">
        <v>4</v>
      </c>
      <c r="J675" s="4">
        <v>0.5</v>
      </c>
      <c r="K675" s="1">
        <v>0</v>
      </c>
      <c r="L675" s="1">
        <v>9</v>
      </c>
      <c r="M675" s="32">
        <f>IF(Mecze[[#This Row],[PR]]=0,0,Mecze[[#This Row],[PR]]/Mecze[[#This Row],[CZAS]])</f>
        <v>9.1836734693877556E-2</v>
      </c>
      <c r="N675" s="32">
        <f>IF(Mecze[[#This Row],[OU]]=0,0,Mecze[[#This Row],[OU]]/Mecze[[#This Row],[CZAS]])</f>
        <v>2.0408163265306121E-2</v>
      </c>
      <c r="O675" s="32">
        <f>IF(Mecze[[#This Row],[PC]]=0,0,Mecze[[#This Row],[PC]]/Mecze[[#This Row],[CZAS]])</f>
        <v>4.0816326530612242E-2</v>
      </c>
      <c r="P675" s="32">
        <f>IF(Mecze[[#This Row],[SC]]=0,0,Mecze[[#This Row],[SC]]/Mecze[[#This Row],[CZAS]])</f>
        <v>0</v>
      </c>
      <c r="Q675" s="32">
        <f>IF(Mecze[[#This Row],[OB]]=0,0,Mecze[[#This Row],[OB]]/Mecze[[#This Row],[CZAS]])</f>
        <v>0</v>
      </c>
      <c r="R675" s="32">
        <f>IF(Mecze[[#This Row],[BR]]=0,0,Mecze[[#This Row],[BR]]/Mecze[[#This Row],[CZAS]])</f>
        <v>0</v>
      </c>
      <c r="S675" s="44">
        <f>IF(Mecze[[#This Row],[Role]]="BR",SUMPRODUCT(Mecze[[#This Row],[/PR:90]:[/BR:90]],Brudnopis!$E$23:$J$23),0)</f>
        <v>0</v>
      </c>
      <c r="T675" s="44">
        <f>IF(Mecze[[#This Row],[Role]]&lt;&gt;"BR",SUMPRODUCT(Mecze[[#This Row],[/PR:90]:[/BR:90]],Brudnopis!$E$24:$J$24),0)</f>
        <v>0.16326530612244897</v>
      </c>
      <c r="U675" s="44">
        <f>IF(Mecze[[#This Row],[Role]]&lt;&gt;"BR",SUMPRODUCT(Mecze[[#This Row],[/PR:90]:[/BR:90]],Brudnopis!$E$25:$J$25),0)</f>
        <v>0.17346938775510204</v>
      </c>
      <c r="V675" s="44">
        <f>IF(Mecze[[#This Row],[Role]]&lt;&gt;"BR",SUMPRODUCT(Mecze[[#This Row],[/PR:90]:[/BR:90]],Brudnopis!$E$26:$J$26),0)</f>
        <v>0.15306122448979592</v>
      </c>
      <c r="W675" s="44">
        <f>IF(Mecze[[#This Row],[Role]]&lt;&gt;"BR",SUMPRODUCT(Mecze[[#This Row],[/PR:90]:[/BR:90]],Brudnopis!$E$27:$J$27),0)</f>
        <v>0.14540816326530615</v>
      </c>
      <c r="X675" s="44">
        <f>IF(Mecze[[#This Row],[Role]]&lt;&gt;"BR",SUMPRODUCT(Mecze[[#This Row],[/PR:90]:[/BR:90]],Brudnopis!$E$28:$J$28),0)</f>
        <v>4.0816326530612242E-2</v>
      </c>
      <c r="Y675" s="35">
        <f>IF(Mecze[[#This Row],[Role]]="BR",Mecze[[#This Row],[/OB:90]]+Mecze[[#This Row],[/PC:90]],SUM(Mecze[[#This Row],[/PR:90]:[/BR:90]]))</f>
        <v>0.15306122448979592</v>
      </c>
      <c r="Z675" s="35">
        <f>IF(Mecze[[#This Row],[KC]]=0,SUM(Mecze[[#This Row],[/BRI]:[/NPI]]),SUM(Mecze[[#This Row],[/BRI]:[/NPI]])*0.6)</f>
        <v>0.67602040816326536</v>
      </c>
      <c r="AA675" s="10">
        <f>IFERROR(Mecze[[#This Row],[BR]]/Mecze[[#This Row],[ST]],0)</f>
        <v>0</v>
      </c>
      <c r="AB675">
        <f>ROUND(Mecze[[#This Row],[PD]]*Mecze[[#This Row],[%PC]],0)</f>
        <v>4</v>
      </c>
      <c r="AC675">
        <f>ROUND(Mecze[[#This Row],[OD]]*Mecze[[#This Row],[%OU]],0)</f>
        <v>2</v>
      </c>
      <c r="AD675" s="36" t="s">
        <v>168</v>
      </c>
      <c r="AE675" s="36">
        <v>39</v>
      </c>
      <c r="AF675" s="71">
        <v>4.5999999999999996</v>
      </c>
      <c r="AG675" s="37">
        <v>0</v>
      </c>
      <c r="AH675" s="37">
        <v>0</v>
      </c>
      <c r="AI675" s="37">
        <v>98</v>
      </c>
      <c r="AJ675" s="37">
        <v>1</v>
      </c>
      <c r="AK675" s="37" t="str">
        <f>VLOOKUP(Mecze[[#This Row],[Match ID]],Meczusie[Mecz]:Meczusie[RodzajMeczu],2,FALSE)</f>
        <v>Towarzyski</v>
      </c>
    </row>
    <row r="676" spans="1:37" x14ac:dyDescent="0.25">
      <c r="A676" s="76">
        <v>42</v>
      </c>
      <c r="B676" s="3" t="s">
        <v>361</v>
      </c>
      <c r="C676" s="2" t="s">
        <v>157</v>
      </c>
      <c r="D676" s="1">
        <v>0</v>
      </c>
      <c r="E676" s="1">
        <v>0</v>
      </c>
      <c r="F676" s="1">
        <v>0</v>
      </c>
      <c r="G676" s="1">
        <v>7</v>
      </c>
      <c r="H676" s="4">
        <v>0.56999999999999995</v>
      </c>
      <c r="I676" s="1">
        <v>4</v>
      </c>
      <c r="J676" s="4">
        <v>0.5</v>
      </c>
      <c r="K676" s="1">
        <v>0</v>
      </c>
      <c r="L676" s="1">
        <v>6</v>
      </c>
      <c r="M676" s="32">
        <f>IF(Mecze[[#This Row],[PR]]=0,0,Mecze[[#This Row],[PR]]/Mecze[[#This Row],[CZAS]])</f>
        <v>6.1224489795918366E-2</v>
      </c>
      <c r="N676" s="32">
        <f>IF(Mecze[[#This Row],[OU]]=0,0,Mecze[[#This Row],[OU]]/Mecze[[#This Row],[CZAS]])</f>
        <v>2.0408163265306121E-2</v>
      </c>
      <c r="O676" s="32">
        <f>IF(Mecze[[#This Row],[PC]]=0,0,Mecze[[#This Row],[PC]]/Mecze[[#This Row],[CZAS]])</f>
        <v>4.0816326530612242E-2</v>
      </c>
      <c r="P676" s="32">
        <f>IF(Mecze[[#This Row],[SC]]=0,0,Mecze[[#This Row],[SC]]/Mecze[[#This Row],[CZAS]])</f>
        <v>0</v>
      </c>
      <c r="Q676" s="32">
        <f>IF(Mecze[[#This Row],[OB]]=0,0,Mecze[[#This Row],[OB]]/Mecze[[#This Row],[CZAS]])</f>
        <v>0</v>
      </c>
      <c r="R676" s="32">
        <f>IF(Mecze[[#This Row],[BR]]=0,0,Mecze[[#This Row],[BR]]/Mecze[[#This Row],[CZAS]])</f>
        <v>0</v>
      </c>
      <c r="S676" s="44">
        <f>IF(Mecze[[#This Row],[Role]]="BR",SUMPRODUCT(Mecze[[#This Row],[/PR:90]:[/BR:90]],Brudnopis!$E$23:$J$23),0)</f>
        <v>0</v>
      </c>
      <c r="T676" s="44">
        <f>IF(Mecze[[#This Row],[Role]]&lt;&gt;"BR",SUMPRODUCT(Mecze[[#This Row],[/PR:90]:[/BR:90]],Brudnopis!$E$24:$J$24),0)</f>
        <v>0.13265306122448978</v>
      </c>
      <c r="U676" s="44">
        <f>IF(Mecze[[#This Row],[Role]]&lt;&gt;"BR",SUMPRODUCT(Mecze[[#This Row],[/PR:90]:[/BR:90]],Brudnopis!$E$25:$J$25),0)</f>
        <v>0.14285714285714285</v>
      </c>
      <c r="V676" s="44">
        <f>IF(Mecze[[#This Row],[Role]]&lt;&gt;"BR",SUMPRODUCT(Mecze[[#This Row],[/PR:90]:[/BR:90]],Brudnopis!$E$26:$J$26),0)</f>
        <v>0.12244897959183673</v>
      </c>
      <c r="W676" s="44">
        <f>IF(Mecze[[#This Row],[Role]]&lt;&gt;"BR",SUMPRODUCT(Mecze[[#This Row],[/PR:90]:[/BR:90]],Brudnopis!$E$27:$J$27),0)</f>
        <v>0.12244897959183673</v>
      </c>
      <c r="X676" s="44">
        <f>IF(Mecze[[#This Row],[Role]]&lt;&gt;"BR",SUMPRODUCT(Mecze[[#This Row],[/PR:90]:[/BR:90]],Brudnopis!$E$28:$J$28),0)</f>
        <v>4.0816326530612242E-2</v>
      </c>
      <c r="Y676" s="35">
        <f>IF(Mecze[[#This Row],[Role]]="BR",Mecze[[#This Row],[/OB:90]]+Mecze[[#This Row],[/PC:90]],SUM(Mecze[[#This Row],[/PR:90]:[/BR:90]]))</f>
        <v>0.12244897959183673</v>
      </c>
      <c r="Z676" s="35">
        <f>IF(Mecze[[#This Row],[KC]]=0,SUM(Mecze[[#This Row],[/BRI]:[/NPI]]),SUM(Mecze[[#This Row],[/BRI]:[/NPI]])*0.6)</f>
        <v>0.56122448979591844</v>
      </c>
      <c r="AA676" s="10">
        <f>IFERROR(Mecze[[#This Row],[BR]]/Mecze[[#This Row],[ST]],0)</f>
        <v>0</v>
      </c>
      <c r="AB676">
        <f>ROUND(Mecze[[#This Row],[PD]]*Mecze[[#This Row],[%PC]],0)</f>
        <v>4</v>
      </c>
      <c r="AC676">
        <f>ROUND(Mecze[[#This Row],[OD]]*Mecze[[#This Row],[%OU]],0)</f>
        <v>2</v>
      </c>
      <c r="AD676" s="36" t="s">
        <v>167</v>
      </c>
      <c r="AE676" s="36">
        <v>39</v>
      </c>
      <c r="AF676" s="71">
        <v>3.97</v>
      </c>
      <c r="AG676" s="37">
        <v>0</v>
      </c>
      <c r="AH676" s="37">
        <v>0</v>
      </c>
      <c r="AI676" s="37">
        <v>98</v>
      </c>
      <c r="AJ676" s="37">
        <v>1</v>
      </c>
      <c r="AK676" s="37" t="str">
        <f>VLOOKUP(Mecze[[#This Row],[Match ID]],Meczusie[Mecz]:Meczusie[RodzajMeczu],2,FALSE)</f>
        <v>Towarzyski</v>
      </c>
    </row>
    <row r="677" spans="1:37" x14ac:dyDescent="0.25">
      <c r="A677" s="76">
        <v>33</v>
      </c>
      <c r="B677" s="3" t="s">
        <v>362</v>
      </c>
      <c r="C677" s="2" t="s">
        <v>160</v>
      </c>
      <c r="D677" s="1">
        <v>0</v>
      </c>
      <c r="E677" s="1">
        <v>0</v>
      </c>
      <c r="F677" s="1">
        <v>0</v>
      </c>
      <c r="G677" s="1">
        <v>18</v>
      </c>
      <c r="H677" s="4">
        <v>0.22</v>
      </c>
      <c r="I677" s="1">
        <v>7</v>
      </c>
      <c r="J677" s="4">
        <v>0</v>
      </c>
      <c r="K677" s="1">
        <v>0</v>
      </c>
      <c r="L677" s="1">
        <v>11</v>
      </c>
      <c r="M677" s="32">
        <f>IF(Mecze[[#This Row],[PR]]=0,0,Mecze[[#This Row],[PR]]/Mecze[[#This Row],[CZAS]])</f>
        <v>0.11224489795918367</v>
      </c>
      <c r="N677" s="32">
        <f>IF(Mecze[[#This Row],[OU]]=0,0,Mecze[[#This Row],[OU]]/Mecze[[#This Row],[CZAS]])</f>
        <v>0</v>
      </c>
      <c r="O677" s="32">
        <f>IF(Mecze[[#This Row],[PC]]=0,0,Mecze[[#This Row],[PC]]/Mecze[[#This Row],[CZAS]])</f>
        <v>4.0816326530612242E-2</v>
      </c>
      <c r="P677" s="32">
        <f>IF(Mecze[[#This Row],[SC]]=0,0,Mecze[[#This Row],[SC]]/Mecze[[#This Row],[CZAS]])</f>
        <v>0</v>
      </c>
      <c r="Q677" s="32">
        <f>IF(Mecze[[#This Row],[OB]]=0,0,Mecze[[#This Row],[OB]]/Mecze[[#This Row],[CZAS]])</f>
        <v>0</v>
      </c>
      <c r="R677" s="32">
        <f>IF(Mecze[[#This Row],[BR]]=0,0,Mecze[[#This Row],[BR]]/Mecze[[#This Row],[CZAS]])</f>
        <v>0</v>
      </c>
      <c r="S677" s="44">
        <f>IF(Mecze[[#This Row],[Role]]="BR",SUMPRODUCT(Mecze[[#This Row],[/PR:90]:[/BR:90]],Brudnopis!$E$23:$J$23),0)</f>
        <v>0</v>
      </c>
      <c r="T677" s="44">
        <f>IF(Mecze[[#This Row],[Role]]&lt;&gt;"BR",SUMPRODUCT(Mecze[[#This Row],[/PR:90]:[/BR:90]],Brudnopis!$E$24:$J$24),0)</f>
        <v>0.15306122448979592</v>
      </c>
      <c r="U677" s="44">
        <f>IF(Mecze[[#This Row],[Role]]&lt;&gt;"BR",SUMPRODUCT(Mecze[[#This Row],[/PR:90]:[/BR:90]],Brudnopis!$E$25:$J$25),0)</f>
        <v>0.17346938775510204</v>
      </c>
      <c r="V677" s="44">
        <f>IF(Mecze[[#This Row],[Role]]&lt;&gt;"BR",SUMPRODUCT(Mecze[[#This Row],[/PR:90]:[/BR:90]],Brudnopis!$E$26:$J$26),0)</f>
        <v>0.15306122448979592</v>
      </c>
      <c r="W677" s="44">
        <f>IF(Mecze[[#This Row],[Role]]&lt;&gt;"BR",SUMPRODUCT(Mecze[[#This Row],[/PR:90]:[/BR:90]],Brudnopis!$E$27:$J$27),0)</f>
        <v>0.14540816326530612</v>
      </c>
      <c r="X677" s="44">
        <f>IF(Mecze[[#This Row],[Role]]&lt;&gt;"BR",SUMPRODUCT(Mecze[[#This Row],[/PR:90]:[/BR:90]],Brudnopis!$E$28:$J$28),0)</f>
        <v>4.0816326530612242E-2</v>
      </c>
      <c r="Y677" s="35">
        <f>IF(Mecze[[#This Row],[Role]]="BR",Mecze[[#This Row],[/OB:90]]+Mecze[[#This Row],[/PC:90]],SUM(Mecze[[#This Row],[/PR:90]:[/BR:90]]))</f>
        <v>0.15306122448979592</v>
      </c>
      <c r="Z677" s="35">
        <f>IF(Mecze[[#This Row],[KC]]=0,SUM(Mecze[[#This Row],[/BRI]:[/NPI]]),SUM(Mecze[[#This Row],[/BRI]:[/NPI]])*0.6)</f>
        <v>0.66581632653061229</v>
      </c>
      <c r="AA677" s="10">
        <f>IFERROR(Mecze[[#This Row],[BR]]/Mecze[[#This Row],[ST]],0)</f>
        <v>0</v>
      </c>
      <c r="AB677">
        <f>ROUND(Mecze[[#This Row],[PD]]*Mecze[[#This Row],[%PC]],0)</f>
        <v>4</v>
      </c>
      <c r="AC677">
        <f>ROUND(Mecze[[#This Row],[OD]]*Mecze[[#This Row],[%OU]],0)</f>
        <v>0</v>
      </c>
      <c r="AD677" s="36" t="s">
        <v>41</v>
      </c>
      <c r="AE677" s="36">
        <v>39</v>
      </c>
      <c r="AF677" s="71">
        <v>5.01</v>
      </c>
      <c r="AG677" s="37">
        <v>0</v>
      </c>
      <c r="AH677" s="37">
        <v>0</v>
      </c>
      <c r="AI677" s="37">
        <v>98</v>
      </c>
      <c r="AJ677" s="37">
        <v>1</v>
      </c>
      <c r="AK677" s="37" t="str">
        <f>VLOOKUP(Mecze[[#This Row],[Match ID]],Meczusie[Mecz]:Meczusie[RodzajMeczu],2,FALSE)</f>
        <v>Towarzyski</v>
      </c>
    </row>
    <row r="678" spans="1:37" x14ac:dyDescent="0.25">
      <c r="A678" s="76">
        <v>22</v>
      </c>
      <c r="B678" s="3" t="s">
        <v>363</v>
      </c>
      <c r="C678" s="2" t="s">
        <v>160</v>
      </c>
      <c r="D678" s="1">
        <v>0</v>
      </c>
      <c r="E678" s="1">
        <v>0</v>
      </c>
      <c r="F678" s="1">
        <v>0</v>
      </c>
      <c r="G678" s="1">
        <v>15</v>
      </c>
      <c r="H678" s="4">
        <v>0.4</v>
      </c>
      <c r="I678" s="1">
        <v>7</v>
      </c>
      <c r="J678" s="4">
        <v>0.14000000000000001</v>
      </c>
      <c r="K678" s="1">
        <v>0</v>
      </c>
      <c r="L678" s="1">
        <v>11</v>
      </c>
      <c r="M678" s="32">
        <f>IF(Mecze[[#This Row],[PR]]=0,0,Mecze[[#This Row],[PR]]/Mecze[[#This Row],[CZAS]])</f>
        <v>0.11224489795918367</v>
      </c>
      <c r="N678" s="32">
        <f>IF(Mecze[[#This Row],[OU]]=0,0,Mecze[[#This Row],[OU]]/Mecze[[#This Row],[CZAS]])</f>
        <v>1.020408163265306E-2</v>
      </c>
      <c r="O678" s="32">
        <f>IF(Mecze[[#This Row],[PC]]=0,0,Mecze[[#This Row],[PC]]/Mecze[[#This Row],[CZAS]])</f>
        <v>6.1224489795918366E-2</v>
      </c>
      <c r="P678" s="32">
        <f>IF(Mecze[[#This Row],[SC]]=0,0,Mecze[[#This Row],[SC]]/Mecze[[#This Row],[CZAS]])</f>
        <v>0</v>
      </c>
      <c r="Q678" s="32">
        <f>IF(Mecze[[#This Row],[OB]]=0,0,Mecze[[#This Row],[OB]]/Mecze[[#This Row],[CZAS]])</f>
        <v>0</v>
      </c>
      <c r="R678" s="32">
        <f>IF(Mecze[[#This Row],[BR]]=0,0,Mecze[[#This Row],[BR]]/Mecze[[#This Row],[CZAS]])</f>
        <v>0</v>
      </c>
      <c r="S678" s="44">
        <f>IF(Mecze[[#This Row],[Role]]="BR",SUMPRODUCT(Mecze[[#This Row],[/PR:90]:[/BR:90]],Brudnopis!$E$23:$J$23),0)</f>
        <v>0</v>
      </c>
      <c r="T678" s="44">
        <f>IF(Mecze[[#This Row],[Role]]&lt;&gt;"BR",SUMPRODUCT(Mecze[[#This Row],[/PR:90]:[/BR:90]],Brudnopis!$E$24:$J$24),0)</f>
        <v>0.18877551020408162</v>
      </c>
      <c r="U678" s="44">
        <f>IF(Mecze[[#This Row],[Role]]&lt;&gt;"BR",SUMPRODUCT(Mecze[[#This Row],[/PR:90]:[/BR:90]],Brudnopis!$E$25:$J$25),0)</f>
        <v>0.21428571428571427</v>
      </c>
      <c r="V678" s="44">
        <f>IF(Mecze[[#This Row],[Role]]&lt;&gt;"BR",SUMPRODUCT(Mecze[[#This Row],[/PR:90]:[/BR:90]],Brudnopis!$E$26:$J$26),0)</f>
        <v>0.18367346938775508</v>
      </c>
      <c r="W678" s="44">
        <f>IF(Mecze[[#This Row],[Role]]&lt;&gt;"BR",SUMPRODUCT(Mecze[[#This Row],[/PR:90]:[/BR:90]],Brudnopis!$E$27:$J$27),0)</f>
        <v>0.18367346938775508</v>
      </c>
      <c r="X678" s="44">
        <f>IF(Mecze[[#This Row],[Role]]&lt;&gt;"BR",SUMPRODUCT(Mecze[[#This Row],[/PR:90]:[/BR:90]],Brudnopis!$E$28:$J$28),0)</f>
        <v>6.1224489795918366E-2</v>
      </c>
      <c r="Y678" s="35">
        <f>IF(Mecze[[#This Row],[Role]]="BR",Mecze[[#This Row],[/OB:90]]+Mecze[[#This Row],[/PC:90]],SUM(Mecze[[#This Row],[/PR:90]:[/BR:90]]))</f>
        <v>0.18367346938775508</v>
      </c>
      <c r="Z678" s="35">
        <f>IF(Mecze[[#This Row],[KC]]=0,SUM(Mecze[[#This Row],[/BRI]:[/NPI]]),SUM(Mecze[[#This Row],[/BRI]:[/NPI]])*0.6)</f>
        <v>0.83163265306122436</v>
      </c>
      <c r="AA678" s="10">
        <f>IFERROR(Mecze[[#This Row],[BR]]/Mecze[[#This Row],[ST]],0)</f>
        <v>0</v>
      </c>
      <c r="AB678">
        <f>ROUND(Mecze[[#This Row],[PD]]*Mecze[[#This Row],[%PC]],0)</f>
        <v>6</v>
      </c>
      <c r="AC678">
        <f>ROUND(Mecze[[#This Row],[OD]]*Mecze[[#This Row],[%OU]],0)</f>
        <v>1</v>
      </c>
      <c r="AD678" s="36" t="s">
        <v>41</v>
      </c>
      <c r="AE678" s="36">
        <v>39</v>
      </c>
      <c r="AF678" s="71">
        <v>5.01</v>
      </c>
      <c r="AG678" s="37">
        <v>0</v>
      </c>
      <c r="AH678" s="37">
        <v>0</v>
      </c>
      <c r="AI678" s="37">
        <v>98</v>
      </c>
      <c r="AJ678" s="37">
        <v>1</v>
      </c>
      <c r="AK678" s="37" t="str">
        <f>VLOOKUP(Mecze[[#This Row],[Match ID]],Meczusie[Mecz]:Meczusie[RodzajMeczu],2,FALSE)</f>
        <v>Towarzyski</v>
      </c>
    </row>
    <row r="679" spans="1:37" x14ac:dyDescent="0.25">
      <c r="A679" s="76">
        <v>48</v>
      </c>
      <c r="B679" s="3" t="s">
        <v>414</v>
      </c>
      <c r="C679" s="2" t="s">
        <v>160</v>
      </c>
      <c r="D679" s="1">
        <v>0</v>
      </c>
      <c r="E679" s="1">
        <v>0</v>
      </c>
      <c r="F679" s="1">
        <v>0</v>
      </c>
      <c r="G679" s="1">
        <v>1</v>
      </c>
      <c r="H679" s="4">
        <v>0</v>
      </c>
      <c r="I679" s="1">
        <v>2</v>
      </c>
      <c r="J679" s="4">
        <v>0.5</v>
      </c>
      <c r="K679" s="1">
        <v>0</v>
      </c>
      <c r="L679" s="1">
        <v>0</v>
      </c>
      <c r="M679" s="32">
        <f>IF(Mecze[[#This Row],[PR]]=0,0,Mecze[[#This Row],[PR]]/Mecze[[#This Row],[CZAS]])</f>
        <v>0</v>
      </c>
      <c r="N679" s="32">
        <f>IF(Mecze[[#This Row],[OU]]=0,0,Mecze[[#This Row],[OU]]/Mecze[[#This Row],[CZAS]])</f>
        <v>1.020408163265306E-2</v>
      </c>
      <c r="O679" s="32">
        <f>IF(Mecze[[#This Row],[PC]]=0,0,Mecze[[#This Row],[PC]]/Mecze[[#This Row],[CZAS]])</f>
        <v>0</v>
      </c>
      <c r="P679" s="32">
        <f>IF(Mecze[[#This Row],[SC]]=0,0,Mecze[[#This Row],[SC]]/Mecze[[#This Row],[CZAS]])</f>
        <v>0</v>
      </c>
      <c r="Q679" s="32">
        <f>IF(Mecze[[#This Row],[OB]]=0,0,Mecze[[#This Row],[OB]]/Mecze[[#This Row],[CZAS]])</f>
        <v>0</v>
      </c>
      <c r="R679" s="32">
        <f>IF(Mecze[[#This Row],[BR]]=0,0,Mecze[[#This Row],[BR]]/Mecze[[#This Row],[CZAS]])</f>
        <v>0</v>
      </c>
      <c r="S679" s="44">
        <f>IF(Mecze[[#This Row],[Role]]="BR",SUMPRODUCT(Mecze[[#This Row],[/PR:90]:[/BR:90]],Brudnopis!$E$23:$J$23),0)</f>
        <v>0</v>
      </c>
      <c r="T679" s="44">
        <f>IF(Mecze[[#This Row],[Role]]&lt;&gt;"BR",SUMPRODUCT(Mecze[[#This Row],[/PR:90]:[/BR:90]],Brudnopis!$E$24:$J$24),0)</f>
        <v>1.5306122448979591E-2</v>
      </c>
      <c r="U679" s="44">
        <f>IF(Mecze[[#This Row],[Role]]&lt;&gt;"BR",SUMPRODUCT(Mecze[[#This Row],[/PR:90]:[/BR:90]],Brudnopis!$E$25:$J$25),0)</f>
        <v>1.020408163265306E-2</v>
      </c>
      <c r="V679" s="44">
        <f>IF(Mecze[[#This Row],[Role]]&lt;&gt;"BR",SUMPRODUCT(Mecze[[#This Row],[/PR:90]:[/BR:90]],Brudnopis!$E$26:$J$26),0)</f>
        <v>1.020408163265306E-2</v>
      </c>
      <c r="W679" s="44">
        <f>IF(Mecze[[#This Row],[Role]]&lt;&gt;"BR",SUMPRODUCT(Mecze[[#This Row],[/PR:90]:[/BR:90]],Brudnopis!$E$27:$J$27),0)</f>
        <v>7.6530612244897957E-3</v>
      </c>
      <c r="X679" s="44">
        <f>IF(Mecze[[#This Row],[Role]]&lt;&gt;"BR",SUMPRODUCT(Mecze[[#This Row],[/PR:90]:[/BR:90]],Brudnopis!$E$28:$J$28),0)</f>
        <v>0</v>
      </c>
      <c r="Y679" s="35">
        <f>IF(Mecze[[#This Row],[Role]]="BR",Mecze[[#This Row],[/OB:90]]+Mecze[[#This Row],[/PC:90]],SUM(Mecze[[#This Row],[/PR:90]:[/BR:90]]))</f>
        <v>1.020408163265306E-2</v>
      </c>
      <c r="Z679" s="35">
        <f>IF(Mecze[[#This Row],[KC]]=0,SUM(Mecze[[#This Row],[/BRI]:[/NPI]]),SUM(Mecze[[#This Row],[/BRI]:[/NPI]])*0.6)</f>
        <v>4.336734693877551E-2</v>
      </c>
      <c r="AA679" s="10">
        <f>IFERROR(Mecze[[#This Row],[BR]]/Mecze[[#This Row],[ST]],0)</f>
        <v>0</v>
      </c>
      <c r="AB679">
        <f>ROUND(Mecze[[#This Row],[PD]]*Mecze[[#This Row],[%PC]],0)</f>
        <v>0</v>
      </c>
      <c r="AC679">
        <f>ROUND(Mecze[[#This Row],[OD]]*Mecze[[#This Row],[%OU]],0)</f>
        <v>1</v>
      </c>
      <c r="AD679" s="36" t="s">
        <v>44</v>
      </c>
      <c r="AE679" s="36">
        <v>39</v>
      </c>
      <c r="AF679" s="71">
        <v>2.7</v>
      </c>
      <c r="AG679" s="37">
        <v>0</v>
      </c>
      <c r="AH679" s="37">
        <v>0</v>
      </c>
      <c r="AI679" s="37">
        <v>98</v>
      </c>
      <c r="AJ679" s="37">
        <v>1</v>
      </c>
      <c r="AK679" s="37" t="str">
        <f>VLOOKUP(Mecze[[#This Row],[Match ID]],Meczusie[Mecz]:Meczusie[RodzajMeczu],2,FALSE)</f>
        <v>Towarzyski</v>
      </c>
    </row>
    <row r="680" spans="1:37" x14ac:dyDescent="0.25">
      <c r="A680" s="76">
        <v>27</v>
      </c>
      <c r="B680" s="3" t="s">
        <v>364</v>
      </c>
      <c r="C680" s="2" t="s">
        <v>160</v>
      </c>
      <c r="D680" s="1">
        <v>0</v>
      </c>
      <c r="E680" s="1">
        <v>0</v>
      </c>
      <c r="F680" s="1">
        <v>0</v>
      </c>
      <c r="G680" s="1">
        <v>9</v>
      </c>
      <c r="H680" s="4">
        <v>0.33</v>
      </c>
      <c r="I680" s="1">
        <v>2</v>
      </c>
      <c r="J680" s="4">
        <v>0</v>
      </c>
      <c r="K680" s="1">
        <v>0</v>
      </c>
      <c r="L680" s="1">
        <v>2</v>
      </c>
      <c r="M680" s="32">
        <f>IF(Mecze[[#This Row],[PR]]=0,0,Mecze[[#This Row],[PR]]/Mecze[[#This Row],[CZAS]])</f>
        <v>2.0408163265306121E-2</v>
      </c>
      <c r="N680" s="32">
        <f>IF(Mecze[[#This Row],[OU]]=0,0,Mecze[[#This Row],[OU]]/Mecze[[#This Row],[CZAS]])</f>
        <v>0</v>
      </c>
      <c r="O680" s="32">
        <f>IF(Mecze[[#This Row],[PC]]=0,0,Mecze[[#This Row],[PC]]/Mecze[[#This Row],[CZAS]])</f>
        <v>3.0612244897959183E-2</v>
      </c>
      <c r="P680" s="32">
        <f>IF(Mecze[[#This Row],[SC]]=0,0,Mecze[[#This Row],[SC]]/Mecze[[#This Row],[CZAS]])</f>
        <v>0</v>
      </c>
      <c r="Q680" s="32">
        <f>IF(Mecze[[#This Row],[OB]]=0,0,Mecze[[#This Row],[OB]]/Mecze[[#This Row],[CZAS]])</f>
        <v>0</v>
      </c>
      <c r="R680" s="32">
        <f>IF(Mecze[[#This Row],[BR]]=0,0,Mecze[[#This Row],[BR]]/Mecze[[#This Row],[CZAS]])</f>
        <v>0</v>
      </c>
      <c r="S680" s="44">
        <f>IF(Mecze[[#This Row],[Role]]="BR",SUMPRODUCT(Mecze[[#This Row],[/PR:90]:[/BR:90]],Brudnopis!$E$23:$J$23),0)</f>
        <v>0</v>
      </c>
      <c r="T680" s="44">
        <f>IF(Mecze[[#This Row],[Role]]&lt;&gt;"BR",SUMPRODUCT(Mecze[[#This Row],[/PR:90]:[/BR:90]],Brudnopis!$E$24:$J$24),0)</f>
        <v>5.1020408163265307E-2</v>
      </c>
      <c r="U680" s="44">
        <f>IF(Mecze[[#This Row],[Role]]&lt;&gt;"BR",SUMPRODUCT(Mecze[[#This Row],[/PR:90]:[/BR:90]],Brudnopis!$E$25:$J$25),0)</f>
        <v>6.6326530612244888E-2</v>
      </c>
      <c r="V680" s="44">
        <f>IF(Mecze[[#This Row],[Role]]&lt;&gt;"BR",SUMPRODUCT(Mecze[[#This Row],[/PR:90]:[/BR:90]],Brudnopis!$E$26:$J$26),0)</f>
        <v>5.1020408163265307E-2</v>
      </c>
      <c r="W680" s="44">
        <f>IF(Mecze[[#This Row],[Role]]&lt;&gt;"BR",SUMPRODUCT(Mecze[[#This Row],[/PR:90]:[/BR:90]],Brudnopis!$E$27:$J$27),0)</f>
        <v>6.1224489795918366E-2</v>
      </c>
      <c r="X680" s="44">
        <f>IF(Mecze[[#This Row],[Role]]&lt;&gt;"BR",SUMPRODUCT(Mecze[[#This Row],[/PR:90]:[/BR:90]],Brudnopis!$E$28:$J$28),0)</f>
        <v>3.0612244897959183E-2</v>
      </c>
      <c r="Y680" s="35">
        <f>IF(Mecze[[#This Row],[Role]]="BR",Mecze[[#This Row],[/OB:90]]+Mecze[[#This Row],[/PC:90]],SUM(Mecze[[#This Row],[/PR:90]:[/BR:90]]))</f>
        <v>5.1020408163265307E-2</v>
      </c>
      <c r="Z680" s="35">
        <f>IF(Mecze[[#This Row],[KC]]=0,SUM(Mecze[[#This Row],[/BRI]:[/NPI]]),SUM(Mecze[[#This Row],[/BRI]:[/NPI]])*0.6)</f>
        <v>0.26020408163265302</v>
      </c>
      <c r="AA680" s="10">
        <f>IFERROR(Mecze[[#This Row],[BR]]/Mecze[[#This Row],[ST]],0)</f>
        <v>0</v>
      </c>
      <c r="AB680">
        <f>ROUND(Mecze[[#This Row],[PD]]*Mecze[[#This Row],[%PC]],0)</f>
        <v>3</v>
      </c>
      <c r="AC680">
        <f>ROUND(Mecze[[#This Row],[OD]]*Mecze[[#This Row],[%OU]],0)</f>
        <v>0</v>
      </c>
      <c r="AD680" s="36" t="s">
        <v>44</v>
      </c>
      <c r="AE680" s="36">
        <v>39</v>
      </c>
      <c r="AF680" s="71">
        <v>3.12</v>
      </c>
      <c r="AG680" s="37">
        <v>0</v>
      </c>
      <c r="AH680" s="37">
        <v>0</v>
      </c>
      <c r="AI680" s="37">
        <v>98</v>
      </c>
      <c r="AJ680" s="37">
        <v>1</v>
      </c>
      <c r="AK680" s="37" t="str">
        <f>VLOOKUP(Mecze[[#This Row],[Match ID]],Meczusie[Mecz]:Meczusie[RodzajMeczu],2,FALSE)</f>
        <v>Towarzyski</v>
      </c>
    </row>
    <row r="681" spans="1:37" x14ac:dyDescent="0.25">
      <c r="A681" s="76">
        <v>53</v>
      </c>
      <c r="B681" s="3" t="s">
        <v>415</v>
      </c>
      <c r="C681" s="2" t="s">
        <v>165</v>
      </c>
      <c r="D681" s="1">
        <v>0</v>
      </c>
      <c r="E681" s="1">
        <v>2</v>
      </c>
      <c r="F681" s="1">
        <v>2</v>
      </c>
      <c r="G681" s="1">
        <v>5</v>
      </c>
      <c r="H681" s="4">
        <v>0.4</v>
      </c>
      <c r="I681" s="1">
        <v>5</v>
      </c>
      <c r="J681" s="4">
        <v>0.2</v>
      </c>
      <c r="K681" s="1">
        <v>0</v>
      </c>
      <c r="L681" s="1">
        <v>0</v>
      </c>
      <c r="M681" s="32">
        <f>IF(Mecze[[#This Row],[PR]]=0,0,Mecze[[#This Row],[PR]]/Mecze[[#This Row],[CZAS]])</f>
        <v>0</v>
      </c>
      <c r="N681" s="32">
        <f>IF(Mecze[[#This Row],[OU]]=0,0,Mecze[[#This Row],[OU]]/Mecze[[#This Row],[CZAS]])</f>
        <v>1.020408163265306E-2</v>
      </c>
      <c r="O681" s="32">
        <f>IF(Mecze[[#This Row],[PC]]=0,0,Mecze[[#This Row],[PC]]/Mecze[[#This Row],[CZAS]])</f>
        <v>2.0408163265306121E-2</v>
      </c>
      <c r="P681" s="32">
        <f>IF(Mecze[[#This Row],[SC]]=0,0,Mecze[[#This Row],[SC]]/Mecze[[#This Row],[CZAS]])</f>
        <v>2.0408163265306121E-2</v>
      </c>
      <c r="Q681" s="32">
        <f>IF(Mecze[[#This Row],[OB]]=0,0,Mecze[[#This Row],[OB]]/Mecze[[#This Row],[CZAS]])</f>
        <v>0</v>
      </c>
      <c r="R681" s="32">
        <f>IF(Mecze[[#This Row],[BR]]=0,0,Mecze[[#This Row],[BR]]/Mecze[[#This Row],[CZAS]])</f>
        <v>0</v>
      </c>
      <c r="S681" s="44">
        <f>IF(Mecze[[#This Row],[Role]]="BR",SUMPRODUCT(Mecze[[#This Row],[/PR:90]:[/BR:90]],Brudnopis!$E$23:$J$23),0)</f>
        <v>0</v>
      </c>
      <c r="T681" s="44">
        <f>IF(Mecze[[#This Row],[Role]]&lt;&gt;"BR",SUMPRODUCT(Mecze[[#This Row],[/PR:90]:[/BR:90]],Brudnopis!$E$24:$J$24),0)</f>
        <v>5.612244897959183E-2</v>
      </c>
      <c r="U681" s="44">
        <f>IF(Mecze[[#This Row],[Role]]&lt;&gt;"BR",SUMPRODUCT(Mecze[[#This Row],[/PR:90]:[/BR:90]],Brudnopis!$E$25:$J$25),0)</f>
        <v>6.1224489795918366E-2</v>
      </c>
      <c r="V681" s="44">
        <f>IF(Mecze[[#This Row],[Role]]&lt;&gt;"BR",SUMPRODUCT(Mecze[[#This Row],[/PR:90]:[/BR:90]],Brudnopis!$E$26:$J$26),0)</f>
        <v>5.1020408163265307E-2</v>
      </c>
      <c r="W681" s="44">
        <f>IF(Mecze[[#This Row],[Role]]&lt;&gt;"BR",SUMPRODUCT(Mecze[[#This Row],[/PR:90]:[/BR:90]],Brudnopis!$E$27:$J$27),0)</f>
        <v>5.8673469387755098E-2</v>
      </c>
      <c r="X681" s="44">
        <f>IF(Mecze[[#This Row],[Role]]&lt;&gt;"BR",SUMPRODUCT(Mecze[[#This Row],[/PR:90]:[/BR:90]],Brudnopis!$E$28:$J$28),0)</f>
        <v>6.1224489795918366E-2</v>
      </c>
      <c r="Y681" s="35">
        <f>IF(Mecze[[#This Row],[Role]]="BR",Mecze[[#This Row],[/OB:90]]+Mecze[[#This Row],[/PC:90]],SUM(Mecze[[#This Row],[/PR:90]:[/BR:90]]))</f>
        <v>5.1020408163265307E-2</v>
      </c>
      <c r="Z681" s="35">
        <f>IF(Mecze[[#This Row],[KC]]=0,SUM(Mecze[[#This Row],[/BRI]:[/NPI]]),SUM(Mecze[[#This Row],[/BRI]:[/NPI]])*0.6)</f>
        <v>0.28826530612244899</v>
      </c>
      <c r="AA681" s="10">
        <f>IFERROR(Mecze[[#This Row],[BR]]/Mecze[[#This Row],[ST]],0)</f>
        <v>0</v>
      </c>
      <c r="AB681">
        <f>ROUND(Mecze[[#This Row],[PD]]*Mecze[[#This Row],[%PC]],0)</f>
        <v>2</v>
      </c>
      <c r="AC681">
        <f>ROUND(Mecze[[#This Row],[OD]]*Mecze[[#This Row],[%OU]],0)</f>
        <v>1</v>
      </c>
      <c r="AD681" s="36" t="s">
        <v>46</v>
      </c>
      <c r="AE681" s="36">
        <v>39</v>
      </c>
      <c r="AF681" s="71">
        <v>3.15</v>
      </c>
      <c r="AG681" s="37">
        <v>0</v>
      </c>
      <c r="AH681" s="37">
        <v>0</v>
      </c>
      <c r="AI681" s="37">
        <v>98</v>
      </c>
      <c r="AJ681" s="37">
        <v>1</v>
      </c>
      <c r="AK681" s="37" t="str">
        <f>VLOOKUP(Mecze[[#This Row],[Match ID]],Meczusie[Mecz]:Meczusie[RodzajMeczu],2,FALSE)</f>
        <v>Towarzyski</v>
      </c>
    </row>
    <row r="682" spans="1:37" x14ac:dyDescent="0.25">
      <c r="A682" s="76">
        <v>29</v>
      </c>
      <c r="B682" s="3" t="s">
        <v>367</v>
      </c>
      <c r="C682" s="2" t="s">
        <v>165</v>
      </c>
      <c r="D682" s="1">
        <v>0</v>
      </c>
      <c r="E682" s="1">
        <v>0</v>
      </c>
      <c r="F682" s="1">
        <v>0</v>
      </c>
      <c r="G682" s="1">
        <v>12</v>
      </c>
      <c r="H682" s="4">
        <v>0.25</v>
      </c>
      <c r="I682" s="1">
        <v>5</v>
      </c>
      <c r="J682" s="4">
        <v>0.2</v>
      </c>
      <c r="K682" s="1">
        <v>0</v>
      </c>
      <c r="L682" s="1">
        <v>0</v>
      </c>
      <c r="M682" s="32">
        <f>IF(Mecze[[#This Row],[PR]]=0,0,Mecze[[#This Row],[PR]]/Mecze[[#This Row],[CZAS]])</f>
        <v>0</v>
      </c>
      <c r="N682" s="32">
        <f>IF(Mecze[[#This Row],[OU]]=0,0,Mecze[[#This Row],[OU]]/Mecze[[#This Row],[CZAS]])</f>
        <v>1.020408163265306E-2</v>
      </c>
      <c r="O682" s="32">
        <f>IF(Mecze[[#This Row],[PC]]=0,0,Mecze[[#This Row],[PC]]/Mecze[[#This Row],[CZAS]])</f>
        <v>3.0612244897959183E-2</v>
      </c>
      <c r="P682" s="32">
        <f>IF(Mecze[[#This Row],[SC]]=0,0,Mecze[[#This Row],[SC]]/Mecze[[#This Row],[CZAS]])</f>
        <v>0</v>
      </c>
      <c r="Q682" s="32">
        <f>IF(Mecze[[#This Row],[OB]]=0,0,Mecze[[#This Row],[OB]]/Mecze[[#This Row],[CZAS]])</f>
        <v>0</v>
      </c>
      <c r="R682" s="32">
        <f>IF(Mecze[[#This Row],[BR]]=0,0,Mecze[[#This Row],[BR]]/Mecze[[#This Row],[CZAS]])</f>
        <v>0</v>
      </c>
      <c r="S682" s="44">
        <f>IF(Mecze[[#This Row],[Role]]="BR",SUMPRODUCT(Mecze[[#This Row],[/PR:90]:[/BR:90]],Brudnopis!$E$23:$J$23),0)</f>
        <v>0</v>
      </c>
      <c r="T682" s="44">
        <f>IF(Mecze[[#This Row],[Role]]&lt;&gt;"BR",SUMPRODUCT(Mecze[[#This Row],[/PR:90]:[/BR:90]],Brudnopis!$E$24:$J$24),0)</f>
        <v>4.5918367346938771E-2</v>
      </c>
      <c r="U682" s="44">
        <f>IF(Mecze[[#This Row],[Role]]&lt;&gt;"BR",SUMPRODUCT(Mecze[[#This Row],[/PR:90]:[/BR:90]],Brudnopis!$E$25:$J$25),0)</f>
        <v>5.612244897959183E-2</v>
      </c>
      <c r="V682" s="44">
        <f>IF(Mecze[[#This Row],[Role]]&lt;&gt;"BR",SUMPRODUCT(Mecze[[#This Row],[/PR:90]:[/BR:90]],Brudnopis!$E$26:$J$26),0)</f>
        <v>4.0816326530612242E-2</v>
      </c>
      <c r="W682" s="44">
        <f>IF(Mecze[[#This Row],[Role]]&lt;&gt;"BR",SUMPRODUCT(Mecze[[#This Row],[/PR:90]:[/BR:90]],Brudnopis!$E$27:$J$27),0)</f>
        <v>5.3571428571428568E-2</v>
      </c>
      <c r="X682" s="44">
        <f>IF(Mecze[[#This Row],[Role]]&lt;&gt;"BR",SUMPRODUCT(Mecze[[#This Row],[/PR:90]:[/BR:90]],Brudnopis!$E$28:$J$28),0)</f>
        <v>3.0612244897959183E-2</v>
      </c>
      <c r="Y682" s="35">
        <f>IF(Mecze[[#This Row],[Role]]="BR",Mecze[[#This Row],[/OB:90]]+Mecze[[#This Row],[/PC:90]],SUM(Mecze[[#This Row],[/PR:90]:[/BR:90]]))</f>
        <v>4.0816326530612242E-2</v>
      </c>
      <c r="Z682" s="35">
        <f>IF(Mecze[[#This Row],[KC]]=0,SUM(Mecze[[#This Row],[/BRI]:[/NPI]]),SUM(Mecze[[#This Row],[/BRI]:[/NPI]])*0.6)</f>
        <v>0.22704081632653061</v>
      </c>
      <c r="AA682" s="10">
        <f>IFERROR(Mecze[[#This Row],[BR]]/Mecze[[#This Row],[ST]],0)</f>
        <v>0</v>
      </c>
      <c r="AB682">
        <f>ROUND(Mecze[[#This Row],[PD]]*Mecze[[#This Row],[%PC]],0)</f>
        <v>3</v>
      </c>
      <c r="AC682">
        <f>ROUND(Mecze[[#This Row],[OD]]*Mecze[[#This Row],[%OU]],0)</f>
        <v>1</v>
      </c>
      <c r="AD682" s="36" t="s">
        <v>272</v>
      </c>
      <c r="AE682" s="36">
        <v>39</v>
      </c>
      <c r="AF682" s="71">
        <v>2.71</v>
      </c>
      <c r="AG682" s="37">
        <v>0</v>
      </c>
      <c r="AH682" s="37">
        <v>0</v>
      </c>
      <c r="AI682" s="37">
        <v>98</v>
      </c>
      <c r="AJ682" s="37">
        <v>1</v>
      </c>
      <c r="AK682" s="37" t="str">
        <f>VLOOKUP(Mecze[[#This Row],[Match ID]],Meczusie[Mecz]:Meczusie[RodzajMeczu],2,FALSE)</f>
        <v>Towarzyski</v>
      </c>
    </row>
    <row r="683" spans="1:37" x14ac:dyDescent="0.25">
      <c r="A683" s="76">
        <v>26</v>
      </c>
      <c r="B683" s="3" t="s">
        <v>368</v>
      </c>
      <c r="C683" s="2" t="s">
        <v>165</v>
      </c>
      <c r="D683" s="1">
        <v>1</v>
      </c>
      <c r="E683" s="1">
        <v>2</v>
      </c>
      <c r="F683" s="1">
        <v>2</v>
      </c>
      <c r="G683" s="1">
        <v>11</v>
      </c>
      <c r="H683" s="4">
        <v>0.73</v>
      </c>
      <c r="I683" s="1">
        <v>2</v>
      </c>
      <c r="J683" s="4">
        <v>0.5</v>
      </c>
      <c r="K683" s="1">
        <v>0</v>
      </c>
      <c r="L683" s="1">
        <v>0</v>
      </c>
      <c r="M683" s="32">
        <f>IF(Mecze[[#This Row],[PR]]=0,0,Mecze[[#This Row],[PR]]/Mecze[[#This Row],[CZAS]])</f>
        <v>0</v>
      </c>
      <c r="N683" s="32">
        <f>IF(Mecze[[#This Row],[OU]]=0,0,Mecze[[#This Row],[OU]]/Mecze[[#This Row],[CZAS]])</f>
        <v>1.020408163265306E-2</v>
      </c>
      <c r="O683" s="32">
        <f>IF(Mecze[[#This Row],[PC]]=0,0,Mecze[[#This Row],[PC]]/Mecze[[#This Row],[CZAS]])</f>
        <v>8.1632653061224483E-2</v>
      </c>
      <c r="P683" s="32">
        <f>IF(Mecze[[#This Row],[SC]]=0,0,Mecze[[#This Row],[SC]]/Mecze[[#This Row],[CZAS]])</f>
        <v>2.0408163265306121E-2</v>
      </c>
      <c r="Q683" s="32">
        <f>IF(Mecze[[#This Row],[OB]]=0,0,Mecze[[#This Row],[OB]]/Mecze[[#This Row],[CZAS]])</f>
        <v>0</v>
      </c>
      <c r="R683" s="32">
        <f>IF(Mecze[[#This Row],[BR]]=0,0,Mecze[[#This Row],[BR]]/Mecze[[#This Row],[CZAS]])</f>
        <v>1.020408163265306E-2</v>
      </c>
      <c r="S683" s="44">
        <f>IF(Mecze[[#This Row],[Role]]="BR",SUMPRODUCT(Mecze[[#This Row],[/PR:90]:[/BR:90]],Brudnopis!$E$23:$J$23),0)</f>
        <v>0</v>
      </c>
      <c r="T683" s="44">
        <f>IF(Mecze[[#This Row],[Role]]&lt;&gt;"BR",SUMPRODUCT(Mecze[[#This Row],[/PR:90]:[/BR:90]],Brudnopis!$E$24:$J$24),0)</f>
        <v>0.13265306122448978</v>
      </c>
      <c r="U683" s="44">
        <f>IF(Mecze[[#This Row],[Role]]&lt;&gt;"BR",SUMPRODUCT(Mecze[[#This Row],[/PR:90]:[/BR:90]],Brudnopis!$E$25:$J$25),0)</f>
        <v>0.1683673469387755</v>
      </c>
      <c r="V683" s="44">
        <f>IF(Mecze[[#This Row],[Role]]&lt;&gt;"BR",SUMPRODUCT(Mecze[[#This Row],[/PR:90]:[/BR:90]],Brudnopis!$E$26:$J$26),0)</f>
        <v>0.13265306122448978</v>
      </c>
      <c r="W683" s="44">
        <f>IF(Mecze[[#This Row],[Role]]&lt;&gt;"BR",SUMPRODUCT(Mecze[[#This Row],[/PR:90]:[/BR:90]],Brudnopis!$E$27:$J$27),0)</f>
        <v>0.17091836734693877</v>
      </c>
      <c r="X683" s="44">
        <f>IF(Mecze[[#This Row],[Role]]&lt;&gt;"BR",SUMPRODUCT(Mecze[[#This Row],[/PR:90]:[/BR:90]],Brudnopis!$E$28:$J$28),0)</f>
        <v>0.15306122448979592</v>
      </c>
      <c r="Y683" s="35">
        <f>IF(Mecze[[#This Row],[Role]]="BR",Mecze[[#This Row],[/OB:90]]+Mecze[[#This Row],[/PC:90]],SUM(Mecze[[#This Row],[/PR:90]:[/BR:90]]))</f>
        <v>0.12244897959183672</v>
      </c>
      <c r="Z683" s="35">
        <f>IF(Mecze[[#This Row],[KC]]=0,SUM(Mecze[[#This Row],[/BRI]:[/NPI]]),SUM(Mecze[[#This Row],[/BRI]:[/NPI]])*0.6)</f>
        <v>0.75765306122448983</v>
      </c>
      <c r="AA683" s="10">
        <f>IFERROR(Mecze[[#This Row],[BR]]/Mecze[[#This Row],[ST]],0)</f>
        <v>0.5</v>
      </c>
      <c r="AB683">
        <f>ROUND(Mecze[[#This Row],[PD]]*Mecze[[#This Row],[%PC]],0)</f>
        <v>8</v>
      </c>
      <c r="AC683">
        <f>ROUND(Mecze[[#This Row],[OD]]*Mecze[[#This Row],[%OU]],0)</f>
        <v>1</v>
      </c>
      <c r="AD683" s="36" t="s">
        <v>46</v>
      </c>
      <c r="AE683" s="36">
        <v>39</v>
      </c>
      <c r="AF683" s="71">
        <v>6.78</v>
      </c>
      <c r="AG683" s="37">
        <v>0</v>
      </c>
      <c r="AH683" s="37">
        <v>0</v>
      </c>
      <c r="AI683" s="37">
        <v>98</v>
      </c>
      <c r="AJ683" s="37">
        <v>1</v>
      </c>
      <c r="AK683" s="37" t="str">
        <f>VLOOKUP(Mecze[[#This Row],[Match ID]],Meczusie[Mecz]:Meczusie[RodzajMeczu],2,FALSE)</f>
        <v>Towarzyski</v>
      </c>
    </row>
    <row r="684" spans="1:37" x14ac:dyDescent="0.25">
      <c r="A684" s="76">
        <v>1</v>
      </c>
      <c r="B684" s="3" t="s">
        <v>261</v>
      </c>
      <c r="C684" s="2" t="s">
        <v>155</v>
      </c>
      <c r="D684" s="1">
        <v>0</v>
      </c>
      <c r="E684" s="1">
        <v>0</v>
      </c>
      <c r="F684" s="1">
        <v>0</v>
      </c>
      <c r="G684" s="1">
        <v>9</v>
      </c>
      <c r="H684" s="4">
        <v>0.78</v>
      </c>
      <c r="I684" s="1">
        <v>0</v>
      </c>
      <c r="J684" s="4"/>
      <c r="K684" s="1">
        <v>11</v>
      </c>
      <c r="L684" s="1">
        <v>0</v>
      </c>
      <c r="M684" s="32">
        <f>IF(Mecze[[#This Row],[PR]]=0,0,Mecze[[#This Row],[PR]]/Mecze[[#This Row],[CZAS]])</f>
        <v>0</v>
      </c>
      <c r="N684" s="32">
        <f>IF(Mecze[[#This Row],[OU]]=0,0,Mecze[[#This Row],[OU]]/Mecze[[#This Row],[CZAS]])</f>
        <v>0</v>
      </c>
      <c r="O684" s="32">
        <f>IF(Mecze[[#This Row],[PC]]=0,0,Mecze[[#This Row],[PC]]/Mecze[[#This Row],[CZAS]])</f>
        <v>7.2916666666666671E-2</v>
      </c>
      <c r="P684" s="32">
        <f>IF(Mecze[[#This Row],[SC]]=0,0,Mecze[[#This Row],[SC]]/Mecze[[#This Row],[CZAS]])</f>
        <v>0</v>
      </c>
      <c r="Q684" s="32">
        <f>IF(Mecze[[#This Row],[OB]]=0,0,Mecze[[#This Row],[OB]]/Mecze[[#This Row],[CZAS]])</f>
        <v>0.11458333333333333</v>
      </c>
      <c r="R684" s="32">
        <f>IF(Mecze[[#This Row],[BR]]=0,0,Mecze[[#This Row],[BR]]/Mecze[[#This Row],[CZAS]])</f>
        <v>0</v>
      </c>
      <c r="S684" s="44">
        <f>IF(Mecze[[#This Row],[Role]]="BR",SUMPRODUCT(Mecze[[#This Row],[/PR:90]:[/BR:90]],Brudnopis!$E$23:$J$23),0)</f>
        <v>0.5625</v>
      </c>
      <c r="T684" s="44">
        <f>IF(Mecze[[#This Row],[Role]]&lt;&gt;"BR",SUMPRODUCT(Mecze[[#This Row],[/PR:90]:[/BR:90]],Brudnopis!$E$24:$J$24),0)</f>
        <v>0</v>
      </c>
      <c r="U684" s="44">
        <f>IF(Mecze[[#This Row],[Role]]&lt;&gt;"BR",SUMPRODUCT(Mecze[[#This Row],[/PR:90]:[/BR:90]],Brudnopis!$E$25:$J$25),0)</f>
        <v>0</v>
      </c>
      <c r="V684" s="44">
        <f>IF(Mecze[[#This Row],[Role]]&lt;&gt;"BR",SUMPRODUCT(Mecze[[#This Row],[/PR:90]:[/BR:90]],Brudnopis!$E$26:$J$26),0)</f>
        <v>0</v>
      </c>
      <c r="W684" s="44">
        <f>IF(Mecze[[#This Row],[Role]]&lt;&gt;"BR",SUMPRODUCT(Mecze[[#This Row],[/PR:90]:[/BR:90]],Brudnopis!$E$27:$J$27),0)</f>
        <v>0</v>
      </c>
      <c r="X684" s="44">
        <f>IF(Mecze[[#This Row],[Role]]&lt;&gt;"BR",SUMPRODUCT(Mecze[[#This Row],[/PR:90]:[/BR:90]],Brudnopis!$E$28:$J$28),0)</f>
        <v>0</v>
      </c>
      <c r="Y684" s="35">
        <f>IF(Mecze[[#This Row],[Role]]="BR",Mecze[[#This Row],[/OB:90]]+Mecze[[#This Row],[/PC:90]],SUM(Mecze[[#This Row],[/PR:90]:[/BR:90]]))</f>
        <v>0.1875</v>
      </c>
      <c r="Z684" s="35">
        <f>IF(Mecze[[#This Row],[KC]]=0,SUM(Mecze[[#This Row],[/BRI]:[/NPI]]),SUM(Mecze[[#This Row],[/BRI]:[/NPI]])*0.6)</f>
        <v>0.5625</v>
      </c>
      <c r="AA684" s="10">
        <f>IFERROR(Mecze[[#This Row],[BR]]/Mecze[[#This Row],[ST]],0)</f>
        <v>0</v>
      </c>
      <c r="AB684">
        <f>ROUND(Mecze[[#This Row],[PD]]*Mecze[[#This Row],[%PC]],0)</f>
        <v>7</v>
      </c>
      <c r="AC684">
        <f>ROUND(Mecze[[#This Row],[OD]]*Mecze[[#This Row],[%OU]],0)</f>
        <v>0</v>
      </c>
      <c r="AD684" s="36" t="s">
        <v>40</v>
      </c>
      <c r="AE684" s="36">
        <v>40</v>
      </c>
      <c r="AF684" s="71">
        <v>8.99</v>
      </c>
      <c r="AG684" s="37">
        <v>0</v>
      </c>
      <c r="AH684" s="37">
        <v>0</v>
      </c>
      <c r="AI684" s="37">
        <v>96</v>
      </c>
      <c r="AJ684" s="37">
        <v>3</v>
      </c>
      <c r="AK684" s="37" t="str">
        <f>VLOOKUP(Mecze[[#This Row],[Match ID]],Meczusie[Mecz]:Meczusie[RodzajMeczu],2,FALSE)</f>
        <v>Liga</v>
      </c>
    </row>
    <row r="685" spans="1:37" x14ac:dyDescent="0.25">
      <c r="A685" s="76">
        <v>13</v>
      </c>
      <c r="B685" s="3" t="s">
        <v>262</v>
      </c>
      <c r="C685" s="2" t="s">
        <v>157</v>
      </c>
      <c r="D685" s="1">
        <v>0</v>
      </c>
      <c r="E685" s="1">
        <v>0</v>
      </c>
      <c r="F685" s="1">
        <v>0</v>
      </c>
      <c r="G685" s="1">
        <v>8</v>
      </c>
      <c r="H685" s="4">
        <v>0.63</v>
      </c>
      <c r="I685" s="1">
        <v>4</v>
      </c>
      <c r="J685" s="4">
        <v>0.5</v>
      </c>
      <c r="K685" s="1">
        <v>0</v>
      </c>
      <c r="L685" s="1">
        <v>3</v>
      </c>
      <c r="M685" s="32">
        <f>IF(Mecze[[#This Row],[PR]]=0,0,Mecze[[#This Row],[PR]]/Mecze[[#This Row],[CZAS]])</f>
        <v>3.125E-2</v>
      </c>
      <c r="N685" s="32">
        <f>IF(Mecze[[#This Row],[OU]]=0,0,Mecze[[#This Row],[OU]]/Mecze[[#This Row],[CZAS]])</f>
        <v>2.0833333333333332E-2</v>
      </c>
      <c r="O685" s="32">
        <f>IF(Mecze[[#This Row],[PC]]=0,0,Mecze[[#This Row],[PC]]/Mecze[[#This Row],[CZAS]])</f>
        <v>5.2083333333333336E-2</v>
      </c>
      <c r="P685" s="32">
        <f>IF(Mecze[[#This Row],[SC]]=0,0,Mecze[[#This Row],[SC]]/Mecze[[#This Row],[CZAS]])</f>
        <v>0</v>
      </c>
      <c r="Q685" s="32">
        <f>IF(Mecze[[#This Row],[OB]]=0,0,Mecze[[#This Row],[OB]]/Mecze[[#This Row],[CZAS]])</f>
        <v>0</v>
      </c>
      <c r="R685" s="32">
        <f>IF(Mecze[[#This Row],[BR]]=0,0,Mecze[[#This Row],[BR]]/Mecze[[#This Row],[CZAS]])</f>
        <v>0</v>
      </c>
      <c r="S685" s="44">
        <f>IF(Mecze[[#This Row],[Role]]="BR",SUMPRODUCT(Mecze[[#This Row],[/PR:90]:[/BR:90]],Brudnopis!$E$23:$J$23),0)</f>
        <v>0</v>
      </c>
      <c r="T685" s="44">
        <f>IF(Mecze[[#This Row],[Role]]&lt;&gt;"BR",SUMPRODUCT(Mecze[[#This Row],[/PR:90]:[/BR:90]],Brudnopis!$E$24:$J$24),0)</f>
        <v>0.11458333333333334</v>
      </c>
      <c r="U685" s="44">
        <f>IF(Mecze[[#This Row],[Role]]&lt;&gt;"BR",SUMPRODUCT(Mecze[[#This Row],[/PR:90]:[/BR:90]],Brudnopis!$E$25:$J$25),0)</f>
        <v>0.13020833333333331</v>
      </c>
      <c r="V685" s="44">
        <f>IF(Mecze[[#This Row],[Role]]&lt;&gt;"BR",SUMPRODUCT(Mecze[[#This Row],[/PR:90]:[/BR:90]],Brudnopis!$E$26:$J$26),0)</f>
        <v>0.10416666666666666</v>
      </c>
      <c r="W685" s="44">
        <f>IF(Mecze[[#This Row],[Role]]&lt;&gt;"BR",SUMPRODUCT(Mecze[[#This Row],[/PR:90]:[/BR:90]],Brudnopis!$E$27:$J$27),0)</f>
        <v>0.1171875</v>
      </c>
      <c r="X685" s="44">
        <f>IF(Mecze[[#This Row],[Role]]&lt;&gt;"BR",SUMPRODUCT(Mecze[[#This Row],[/PR:90]:[/BR:90]],Brudnopis!$E$28:$J$28),0)</f>
        <v>5.2083333333333336E-2</v>
      </c>
      <c r="Y685" s="35">
        <f>IF(Mecze[[#This Row],[Role]]="BR",Mecze[[#This Row],[/OB:90]]+Mecze[[#This Row],[/PC:90]],SUM(Mecze[[#This Row],[/PR:90]:[/BR:90]]))</f>
        <v>0.10416666666666666</v>
      </c>
      <c r="Z685" s="35">
        <f>IF(Mecze[[#This Row],[KC]]=0,SUM(Mecze[[#This Row],[/BRI]:[/NPI]]),SUM(Mecze[[#This Row],[/BRI]:[/NPI]])*0.6)</f>
        <v>0.51822916666666663</v>
      </c>
      <c r="AA685" s="10">
        <f>IFERROR(Mecze[[#This Row],[BR]]/Mecze[[#This Row],[ST]],0)</f>
        <v>0</v>
      </c>
      <c r="AB685">
        <f>ROUND(Mecze[[#This Row],[PD]]*Mecze[[#This Row],[%PC]],0)</f>
        <v>5</v>
      </c>
      <c r="AC685">
        <f>ROUND(Mecze[[#This Row],[OD]]*Mecze[[#This Row],[%OU]],0)</f>
        <v>2</v>
      </c>
      <c r="AD685" s="36" t="s">
        <v>175</v>
      </c>
      <c r="AE685" s="36">
        <v>40</v>
      </c>
      <c r="AF685" s="71">
        <v>5.67</v>
      </c>
      <c r="AG685" s="37">
        <v>0</v>
      </c>
      <c r="AH685" s="37">
        <v>0</v>
      </c>
      <c r="AI685" s="37">
        <v>96</v>
      </c>
      <c r="AJ685" s="37">
        <v>3</v>
      </c>
      <c r="AK685" s="37" t="str">
        <f>VLOOKUP(Mecze[[#This Row],[Match ID]],Meczusie[Mecz]:Meczusie[RodzajMeczu],2,FALSE)</f>
        <v>Liga</v>
      </c>
    </row>
    <row r="686" spans="1:37" x14ac:dyDescent="0.25">
      <c r="A686" s="76">
        <v>4</v>
      </c>
      <c r="B686" s="3" t="s">
        <v>264</v>
      </c>
      <c r="C686" s="2" t="s">
        <v>157</v>
      </c>
      <c r="D686" s="1">
        <v>0</v>
      </c>
      <c r="E686" s="1">
        <v>0</v>
      </c>
      <c r="F686" s="1">
        <v>0</v>
      </c>
      <c r="G686" s="1">
        <v>5</v>
      </c>
      <c r="H686" s="4">
        <v>0.6</v>
      </c>
      <c r="I686" s="1">
        <v>9</v>
      </c>
      <c r="J686" s="4">
        <v>0.33</v>
      </c>
      <c r="K686" s="1">
        <v>0</v>
      </c>
      <c r="L686" s="1">
        <v>9</v>
      </c>
      <c r="M686" s="32">
        <f>IF(Mecze[[#This Row],[PR]]=0,0,Mecze[[#This Row],[PR]]/Mecze[[#This Row],[CZAS]])</f>
        <v>9.375E-2</v>
      </c>
      <c r="N686" s="32">
        <f>IF(Mecze[[#This Row],[OU]]=0,0,Mecze[[#This Row],[OU]]/Mecze[[#This Row],[CZAS]])</f>
        <v>3.125E-2</v>
      </c>
      <c r="O686" s="32">
        <f>IF(Mecze[[#This Row],[PC]]=0,0,Mecze[[#This Row],[PC]]/Mecze[[#This Row],[CZAS]])</f>
        <v>3.125E-2</v>
      </c>
      <c r="P686" s="32">
        <f>IF(Mecze[[#This Row],[SC]]=0,0,Mecze[[#This Row],[SC]]/Mecze[[#This Row],[CZAS]])</f>
        <v>0</v>
      </c>
      <c r="Q686" s="32">
        <f>IF(Mecze[[#This Row],[OB]]=0,0,Mecze[[#This Row],[OB]]/Mecze[[#This Row],[CZAS]])</f>
        <v>0</v>
      </c>
      <c r="R686" s="32">
        <f>IF(Mecze[[#This Row],[BR]]=0,0,Mecze[[#This Row],[BR]]/Mecze[[#This Row],[CZAS]])</f>
        <v>0</v>
      </c>
      <c r="S686" s="44">
        <f>IF(Mecze[[#This Row],[Role]]="BR",SUMPRODUCT(Mecze[[#This Row],[/PR:90]:[/BR:90]],Brudnopis!$E$23:$J$23),0)</f>
        <v>0</v>
      </c>
      <c r="T686" s="44">
        <f>IF(Mecze[[#This Row],[Role]]&lt;&gt;"BR",SUMPRODUCT(Mecze[[#This Row],[/PR:90]:[/BR:90]],Brudnopis!$E$24:$J$24),0)</f>
        <v>0.171875</v>
      </c>
      <c r="U686" s="44">
        <f>IF(Mecze[[#This Row],[Role]]&lt;&gt;"BR",SUMPRODUCT(Mecze[[#This Row],[/PR:90]:[/BR:90]],Brudnopis!$E$25:$J$25),0)</f>
        <v>0.171875</v>
      </c>
      <c r="V686" s="44">
        <f>IF(Mecze[[#This Row],[Role]]&lt;&gt;"BR",SUMPRODUCT(Mecze[[#This Row],[/PR:90]:[/BR:90]],Brudnopis!$E$26:$J$26),0)</f>
        <v>0.15625</v>
      </c>
      <c r="W686" s="44">
        <f>IF(Mecze[[#This Row],[Role]]&lt;&gt;"BR",SUMPRODUCT(Mecze[[#This Row],[/PR:90]:[/BR:90]],Brudnopis!$E$27:$J$27),0)</f>
        <v>0.140625</v>
      </c>
      <c r="X686" s="44">
        <f>IF(Mecze[[#This Row],[Role]]&lt;&gt;"BR",SUMPRODUCT(Mecze[[#This Row],[/PR:90]:[/BR:90]],Brudnopis!$E$28:$J$28),0)</f>
        <v>3.125E-2</v>
      </c>
      <c r="Y686" s="35">
        <f>IF(Mecze[[#This Row],[Role]]="BR",Mecze[[#This Row],[/OB:90]]+Mecze[[#This Row],[/PC:90]],SUM(Mecze[[#This Row],[/PR:90]:[/BR:90]]))</f>
        <v>0.15625</v>
      </c>
      <c r="Z686" s="35">
        <f>IF(Mecze[[#This Row],[KC]]=0,SUM(Mecze[[#This Row],[/BRI]:[/NPI]]),SUM(Mecze[[#This Row],[/BRI]:[/NPI]])*0.6)</f>
        <v>0.671875</v>
      </c>
      <c r="AA686" s="10">
        <f>IFERROR(Mecze[[#This Row],[BR]]/Mecze[[#This Row],[ST]],0)</f>
        <v>0</v>
      </c>
      <c r="AB686">
        <f>ROUND(Mecze[[#This Row],[PD]]*Mecze[[#This Row],[%PC]],0)</f>
        <v>3</v>
      </c>
      <c r="AC686">
        <f>ROUND(Mecze[[#This Row],[OD]]*Mecze[[#This Row],[%OU]],0)</f>
        <v>3</v>
      </c>
      <c r="AD686" s="36" t="s">
        <v>174</v>
      </c>
      <c r="AE686" s="36">
        <v>40</v>
      </c>
      <c r="AF686" s="71">
        <v>5.81</v>
      </c>
      <c r="AG686" s="37">
        <v>0</v>
      </c>
      <c r="AH686" s="37">
        <v>0</v>
      </c>
      <c r="AI686" s="37">
        <v>96</v>
      </c>
      <c r="AJ686" s="37">
        <v>3</v>
      </c>
      <c r="AK686" s="37" t="str">
        <f>VLOOKUP(Mecze[[#This Row],[Match ID]],Meczusie[Mecz]:Meczusie[RodzajMeczu],2,FALSE)</f>
        <v>Liga</v>
      </c>
    </row>
    <row r="687" spans="1:37" x14ac:dyDescent="0.25">
      <c r="A687" s="76">
        <v>6</v>
      </c>
      <c r="B687" s="3" t="s">
        <v>263</v>
      </c>
      <c r="C687" s="2" t="s">
        <v>157</v>
      </c>
      <c r="D687" s="1">
        <v>0</v>
      </c>
      <c r="E687" s="1">
        <v>0</v>
      </c>
      <c r="F687" s="1">
        <v>0</v>
      </c>
      <c r="G687" s="1">
        <v>7</v>
      </c>
      <c r="H687" s="4">
        <v>0.71</v>
      </c>
      <c r="I687" s="1">
        <v>2</v>
      </c>
      <c r="J687" s="4">
        <v>0.5</v>
      </c>
      <c r="K687" s="1">
        <v>0</v>
      </c>
      <c r="L687" s="1">
        <v>0</v>
      </c>
      <c r="M687" s="32">
        <f>IF(Mecze[[#This Row],[PR]]=0,0,Mecze[[#This Row],[PR]]/Mecze[[#This Row],[CZAS]])</f>
        <v>0</v>
      </c>
      <c r="N687" s="32">
        <f>IF(Mecze[[#This Row],[OU]]=0,0,Mecze[[#This Row],[OU]]/Mecze[[#This Row],[CZAS]])</f>
        <v>1.0416666666666666E-2</v>
      </c>
      <c r="O687" s="32">
        <f>IF(Mecze[[#This Row],[PC]]=0,0,Mecze[[#This Row],[PC]]/Mecze[[#This Row],[CZAS]])</f>
        <v>5.2083333333333336E-2</v>
      </c>
      <c r="P687" s="32">
        <f>IF(Mecze[[#This Row],[SC]]=0,0,Mecze[[#This Row],[SC]]/Mecze[[#This Row],[CZAS]])</f>
        <v>0</v>
      </c>
      <c r="Q687" s="32">
        <f>IF(Mecze[[#This Row],[OB]]=0,0,Mecze[[#This Row],[OB]]/Mecze[[#This Row],[CZAS]])</f>
        <v>0</v>
      </c>
      <c r="R687" s="32">
        <f>IF(Mecze[[#This Row],[BR]]=0,0,Mecze[[#This Row],[BR]]/Mecze[[#This Row],[CZAS]])</f>
        <v>0</v>
      </c>
      <c r="S687" s="44">
        <f>IF(Mecze[[#This Row],[Role]]="BR",SUMPRODUCT(Mecze[[#This Row],[/PR:90]:[/BR:90]],Brudnopis!$E$23:$J$23),0)</f>
        <v>0</v>
      </c>
      <c r="T687" s="44">
        <f>IF(Mecze[[#This Row],[Role]]&lt;&gt;"BR",SUMPRODUCT(Mecze[[#This Row],[/PR:90]:[/BR:90]],Brudnopis!$E$24:$J$24),0)</f>
        <v>6.7708333333333343E-2</v>
      </c>
      <c r="U687" s="44">
        <f>IF(Mecze[[#This Row],[Role]]&lt;&gt;"BR",SUMPRODUCT(Mecze[[#This Row],[/PR:90]:[/BR:90]],Brudnopis!$E$25:$J$25),0)</f>
        <v>8.8541666666666671E-2</v>
      </c>
      <c r="V687" s="44">
        <f>IF(Mecze[[#This Row],[Role]]&lt;&gt;"BR",SUMPRODUCT(Mecze[[#This Row],[/PR:90]:[/BR:90]],Brudnopis!$E$26:$J$26),0)</f>
        <v>6.25E-2</v>
      </c>
      <c r="W687" s="44">
        <f>IF(Mecze[[#This Row],[Role]]&lt;&gt;"BR",SUMPRODUCT(Mecze[[#This Row],[/PR:90]:[/BR:90]],Brudnopis!$E$27:$J$27),0)</f>
        <v>8.59375E-2</v>
      </c>
      <c r="X687" s="44">
        <f>IF(Mecze[[#This Row],[Role]]&lt;&gt;"BR",SUMPRODUCT(Mecze[[#This Row],[/PR:90]:[/BR:90]],Brudnopis!$E$28:$J$28),0)</f>
        <v>5.2083333333333336E-2</v>
      </c>
      <c r="Y687" s="35">
        <f>IF(Mecze[[#This Row],[Role]]="BR",Mecze[[#This Row],[/OB:90]]+Mecze[[#This Row],[/PC:90]],SUM(Mecze[[#This Row],[/PR:90]:[/BR:90]]))</f>
        <v>6.25E-2</v>
      </c>
      <c r="Z687" s="35">
        <f>IF(Mecze[[#This Row],[KC]]=0,SUM(Mecze[[#This Row],[/BRI]:[/NPI]]),SUM(Mecze[[#This Row],[/BRI]:[/NPI]])*0.6)</f>
        <v>0.35677083333333331</v>
      </c>
      <c r="AA687" s="10">
        <f>IFERROR(Mecze[[#This Row],[BR]]/Mecze[[#This Row],[ST]],0)</f>
        <v>0</v>
      </c>
      <c r="AB687">
        <f>ROUND(Mecze[[#This Row],[PD]]*Mecze[[#This Row],[%PC]],0)</f>
        <v>5</v>
      </c>
      <c r="AC687">
        <f>ROUND(Mecze[[#This Row],[OD]]*Mecze[[#This Row],[%OU]],0)</f>
        <v>1</v>
      </c>
      <c r="AD687" s="36" t="s">
        <v>47</v>
      </c>
      <c r="AE687" s="36">
        <v>40</v>
      </c>
      <c r="AF687" s="71">
        <v>3.92</v>
      </c>
      <c r="AG687" s="37">
        <v>0</v>
      </c>
      <c r="AH687" s="37">
        <v>0</v>
      </c>
      <c r="AI687" s="37">
        <v>96</v>
      </c>
      <c r="AJ687" s="37">
        <v>3</v>
      </c>
      <c r="AK687" s="37" t="str">
        <f>VLOOKUP(Mecze[[#This Row],[Match ID]],Meczusie[Mecz]:Meczusie[RodzajMeczu],2,FALSE)</f>
        <v>Liga</v>
      </c>
    </row>
    <row r="688" spans="1:37" x14ac:dyDescent="0.25">
      <c r="A688" s="76">
        <v>2</v>
      </c>
      <c r="B688" s="3" t="s">
        <v>265</v>
      </c>
      <c r="C688" s="2" t="s">
        <v>157</v>
      </c>
      <c r="D688" s="1">
        <v>0</v>
      </c>
      <c r="E688" s="1">
        <v>0</v>
      </c>
      <c r="F688" s="1">
        <v>0</v>
      </c>
      <c r="G688" s="1">
        <v>12</v>
      </c>
      <c r="H688" s="4">
        <v>0.75</v>
      </c>
      <c r="I688" s="1">
        <v>5</v>
      </c>
      <c r="J688" s="4">
        <v>0.4</v>
      </c>
      <c r="K688" s="1">
        <v>0</v>
      </c>
      <c r="L688" s="1">
        <v>12</v>
      </c>
      <c r="M688" s="32">
        <f>IF(Mecze[[#This Row],[PR]]=0,0,Mecze[[#This Row],[PR]]/Mecze[[#This Row],[CZAS]])</f>
        <v>0.125</v>
      </c>
      <c r="N688" s="32">
        <f>IF(Mecze[[#This Row],[OU]]=0,0,Mecze[[#This Row],[OU]]/Mecze[[#This Row],[CZAS]])</f>
        <v>2.0833333333333332E-2</v>
      </c>
      <c r="O688" s="32">
        <f>IF(Mecze[[#This Row],[PC]]=0,0,Mecze[[#This Row],[PC]]/Mecze[[#This Row],[CZAS]])</f>
        <v>9.375E-2</v>
      </c>
      <c r="P688" s="32">
        <f>IF(Mecze[[#This Row],[SC]]=0,0,Mecze[[#This Row],[SC]]/Mecze[[#This Row],[CZAS]])</f>
        <v>0</v>
      </c>
      <c r="Q688" s="32">
        <f>IF(Mecze[[#This Row],[OB]]=0,0,Mecze[[#This Row],[OB]]/Mecze[[#This Row],[CZAS]])</f>
        <v>0</v>
      </c>
      <c r="R688" s="32">
        <f>IF(Mecze[[#This Row],[BR]]=0,0,Mecze[[#This Row],[BR]]/Mecze[[#This Row],[CZAS]])</f>
        <v>0</v>
      </c>
      <c r="S688" s="44">
        <f>IF(Mecze[[#This Row],[Role]]="BR",SUMPRODUCT(Mecze[[#This Row],[/PR:90]:[/BR:90]],Brudnopis!$E$23:$J$23),0)</f>
        <v>0</v>
      </c>
      <c r="T688" s="44">
        <f>IF(Mecze[[#This Row],[Role]]&lt;&gt;"BR",SUMPRODUCT(Mecze[[#This Row],[/PR:90]:[/BR:90]],Brudnopis!$E$24:$J$24),0)</f>
        <v>0.25</v>
      </c>
      <c r="U688" s="44">
        <f>IF(Mecze[[#This Row],[Role]]&lt;&gt;"BR",SUMPRODUCT(Mecze[[#This Row],[/PR:90]:[/BR:90]],Brudnopis!$E$25:$J$25),0)</f>
        <v>0.28645833333333337</v>
      </c>
      <c r="V688" s="44">
        <f>IF(Mecze[[#This Row],[Role]]&lt;&gt;"BR",SUMPRODUCT(Mecze[[#This Row],[/PR:90]:[/BR:90]],Brudnopis!$E$26:$J$26),0)</f>
        <v>0.23958333333333334</v>
      </c>
      <c r="W688" s="44">
        <f>IF(Mecze[[#This Row],[Role]]&lt;&gt;"BR",SUMPRODUCT(Mecze[[#This Row],[/PR:90]:[/BR:90]],Brudnopis!$E$27:$J$27),0)</f>
        <v>0.25</v>
      </c>
      <c r="X688" s="44">
        <f>IF(Mecze[[#This Row],[Role]]&lt;&gt;"BR",SUMPRODUCT(Mecze[[#This Row],[/PR:90]:[/BR:90]],Brudnopis!$E$28:$J$28),0)</f>
        <v>9.375E-2</v>
      </c>
      <c r="Y688" s="35">
        <f>IF(Mecze[[#This Row],[Role]]="BR",Mecze[[#This Row],[/OB:90]]+Mecze[[#This Row],[/PC:90]],SUM(Mecze[[#This Row],[/PR:90]:[/BR:90]]))</f>
        <v>0.23958333333333334</v>
      </c>
      <c r="Z688" s="35">
        <f>IF(Mecze[[#This Row],[KC]]=0,SUM(Mecze[[#This Row],[/BRI]:[/NPI]]),SUM(Mecze[[#This Row],[/BRI]:[/NPI]])*0.6)</f>
        <v>1.1197916666666667</v>
      </c>
      <c r="AA688" s="10">
        <f>IFERROR(Mecze[[#This Row],[BR]]/Mecze[[#This Row],[ST]],0)</f>
        <v>0</v>
      </c>
      <c r="AB688">
        <f>ROUND(Mecze[[#This Row],[PD]]*Mecze[[#This Row],[%PC]],0)</f>
        <v>9</v>
      </c>
      <c r="AC688">
        <f>ROUND(Mecze[[#This Row],[OD]]*Mecze[[#This Row],[%OU]],0)</f>
        <v>2</v>
      </c>
      <c r="AD688" s="36" t="s">
        <v>47</v>
      </c>
      <c r="AE688" s="36">
        <v>40</v>
      </c>
      <c r="AF688" s="71">
        <v>6.44</v>
      </c>
      <c r="AG688" s="37">
        <v>0</v>
      </c>
      <c r="AH688" s="37">
        <v>0</v>
      </c>
      <c r="AI688" s="37">
        <v>96</v>
      </c>
      <c r="AJ688" s="37">
        <v>3</v>
      </c>
      <c r="AK688" s="37" t="str">
        <f>VLOOKUP(Mecze[[#This Row],[Match ID]],Meczusie[Mecz]:Meczusie[RodzajMeczu],2,FALSE)</f>
        <v>Liga</v>
      </c>
    </row>
    <row r="689" spans="1:37" x14ac:dyDescent="0.25">
      <c r="A689" s="76">
        <v>9</v>
      </c>
      <c r="B689" s="3" t="s">
        <v>266</v>
      </c>
      <c r="C689" s="2" t="s">
        <v>160</v>
      </c>
      <c r="D689" s="1">
        <v>0</v>
      </c>
      <c r="E689" s="1">
        <v>0</v>
      </c>
      <c r="F689" s="1">
        <v>0</v>
      </c>
      <c r="G689" s="1">
        <v>18</v>
      </c>
      <c r="H689" s="4">
        <v>0.89</v>
      </c>
      <c r="I689" s="1">
        <v>7</v>
      </c>
      <c r="J689" s="4">
        <v>0.43</v>
      </c>
      <c r="K689" s="1">
        <v>0</v>
      </c>
      <c r="L689" s="1">
        <v>5</v>
      </c>
      <c r="M689" s="32">
        <f>IF(Mecze[[#This Row],[PR]]=0,0,Mecze[[#This Row],[PR]]/Mecze[[#This Row],[CZAS]])</f>
        <v>5.2083333333333336E-2</v>
      </c>
      <c r="N689" s="32">
        <f>IF(Mecze[[#This Row],[OU]]=0,0,Mecze[[#This Row],[OU]]/Mecze[[#This Row],[CZAS]])</f>
        <v>3.125E-2</v>
      </c>
      <c r="O689" s="32">
        <f>IF(Mecze[[#This Row],[PC]]=0,0,Mecze[[#This Row],[PC]]/Mecze[[#This Row],[CZAS]])</f>
        <v>0.16666666666666666</v>
      </c>
      <c r="P689" s="32">
        <f>IF(Mecze[[#This Row],[SC]]=0,0,Mecze[[#This Row],[SC]]/Mecze[[#This Row],[CZAS]])</f>
        <v>0</v>
      </c>
      <c r="Q689" s="32">
        <f>IF(Mecze[[#This Row],[OB]]=0,0,Mecze[[#This Row],[OB]]/Mecze[[#This Row],[CZAS]])</f>
        <v>0</v>
      </c>
      <c r="R689" s="32">
        <f>IF(Mecze[[#This Row],[BR]]=0,0,Mecze[[#This Row],[BR]]/Mecze[[#This Row],[CZAS]])</f>
        <v>0</v>
      </c>
      <c r="S689" s="44">
        <f>IF(Mecze[[#This Row],[Role]]="BR",SUMPRODUCT(Mecze[[#This Row],[/PR:90]:[/BR:90]],Brudnopis!$E$23:$J$23),0)</f>
        <v>0</v>
      </c>
      <c r="T689" s="44">
        <f>IF(Mecze[[#This Row],[Role]]&lt;&gt;"BR",SUMPRODUCT(Mecze[[#This Row],[/PR:90]:[/BR:90]],Brudnopis!$E$24:$J$24),0)</f>
        <v>0.265625</v>
      </c>
      <c r="U689" s="44">
        <f>IF(Mecze[[#This Row],[Role]]&lt;&gt;"BR",SUMPRODUCT(Mecze[[#This Row],[/PR:90]:[/BR:90]],Brudnopis!$E$25:$J$25),0)</f>
        <v>0.33333333333333337</v>
      </c>
      <c r="V689" s="44">
        <f>IF(Mecze[[#This Row],[Role]]&lt;&gt;"BR",SUMPRODUCT(Mecze[[#This Row],[/PR:90]:[/BR:90]],Brudnopis!$E$26:$J$26),0)</f>
        <v>0.25</v>
      </c>
      <c r="W689" s="44">
        <f>IF(Mecze[[#This Row],[Role]]&lt;&gt;"BR",SUMPRODUCT(Mecze[[#This Row],[/PR:90]:[/BR:90]],Brudnopis!$E$27:$J$27),0)</f>
        <v>0.3125</v>
      </c>
      <c r="X689" s="44">
        <f>IF(Mecze[[#This Row],[Role]]&lt;&gt;"BR",SUMPRODUCT(Mecze[[#This Row],[/PR:90]:[/BR:90]],Brudnopis!$E$28:$J$28),0)</f>
        <v>0.16666666666666666</v>
      </c>
      <c r="Y689" s="35">
        <f>IF(Mecze[[#This Row],[Role]]="BR",Mecze[[#This Row],[/OB:90]]+Mecze[[#This Row],[/PC:90]],SUM(Mecze[[#This Row],[/PR:90]:[/BR:90]]))</f>
        <v>0.25</v>
      </c>
      <c r="Z689" s="35">
        <f>IF(Mecze[[#This Row],[KC]]=0,SUM(Mecze[[#This Row],[/BRI]:[/NPI]]),SUM(Mecze[[#This Row],[/BRI]:[/NPI]])*0.6)</f>
        <v>1.3281250000000002</v>
      </c>
      <c r="AA689" s="10">
        <f>IFERROR(Mecze[[#This Row],[BR]]/Mecze[[#This Row],[ST]],0)</f>
        <v>0</v>
      </c>
      <c r="AB689">
        <f>ROUND(Mecze[[#This Row],[PD]]*Mecze[[#This Row],[%PC]],0)</f>
        <v>16</v>
      </c>
      <c r="AC689">
        <f>ROUND(Mecze[[#This Row],[OD]]*Mecze[[#This Row],[%OU]],0)</f>
        <v>3</v>
      </c>
      <c r="AD689" s="36" t="s">
        <v>67</v>
      </c>
      <c r="AE689" s="36">
        <v>40</v>
      </c>
      <c r="AF689" s="71">
        <v>7.09</v>
      </c>
      <c r="AG689" s="37">
        <v>0</v>
      </c>
      <c r="AH689" s="37">
        <v>0</v>
      </c>
      <c r="AI689" s="37">
        <v>96</v>
      </c>
      <c r="AJ689" s="37">
        <v>3</v>
      </c>
      <c r="AK689" s="37" t="str">
        <f>VLOOKUP(Mecze[[#This Row],[Match ID]],Meczusie[Mecz]:Meczusie[RodzajMeczu],2,FALSE)</f>
        <v>Liga</v>
      </c>
    </row>
    <row r="690" spans="1:37" x14ac:dyDescent="0.25">
      <c r="A690" s="76">
        <v>5</v>
      </c>
      <c r="B690" s="3" t="s">
        <v>267</v>
      </c>
      <c r="C690" s="2" t="s">
        <v>160</v>
      </c>
      <c r="D690" s="1">
        <v>0</v>
      </c>
      <c r="E690" s="1">
        <v>0</v>
      </c>
      <c r="F690" s="1">
        <v>0</v>
      </c>
      <c r="G690" s="1">
        <v>13</v>
      </c>
      <c r="H690" s="4">
        <v>0.77</v>
      </c>
      <c r="I690" s="1">
        <v>2</v>
      </c>
      <c r="J690" s="4">
        <v>0</v>
      </c>
      <c r="K690" s="1">
        <v>0</v>
      </c>
      <c r="L690" s="1">
        <v>6</v>
      </c>
      <c r="M690" s="32">
        <f>IF(Mecze[[#This Row],[PR]]=0,0,Mecze[[#This Row],[PR]]/Mecze[[#This Row],[CZAS]])</f>
        <v>6.25E-2</v>
      </c>
      <c r="N690" s="32">
        <f>IF(Mecze[[#This Row],[OU]]=0,0,Mecze[[#This Row],[OU]]/Mecze[[#This Row],[CZAS]])</f>
        <v>0</v>
      </c>
      <c r="O690" s="32">
        <f>IF(Mecze[[#This Row],[PC]]=0,0,Mecze[[#This Row],[PC]]/Mecze[[#This Row],[CZAS]])</f>
        <v>0.10416666666666667</v>
      </c>
      <c r="P690" s="32">
        <f>IF(Mecze[[#This Row],[SC]]=0,0,Mecze[[#This Row],[SC]]/Mecze[[#This Row],[CZAS]])</f>
        <v>0</v>
      </c>
      <c r="Q690" s="32">
        <f>IF(Mecze[[#This Row],[OB]]=0,0,Mecze[[#This Row],[OB]]/Mecze[[#This Row],[CZAS]])</f>
        <v>0</v>
      </c>
      <c r="R690" s="32">
        <f>IF(Mecze[[#This Row],[BR]]=0,0,Mecze[[#This Row],[BR]]/Mecze[[#This Row],[CZAS]])</f>
        <v>0</v>
      </c>
      <c r="S690" s="44">
        <f>IF(Mecze[[#This Row],[Role]]="BR",SUMPRODUCT(Mecze[[#This Row],[/PR:90]:[/BR:90]],Brudnopis!$E$23:$J$23),0)</f>
        <v>0</v>
      </c>
      <c r="T690" s="44">
        <f>IF(Mecze[[#This Row],[Role]]&lt;&gt;"BR",SUMPRODUCT(Mecze[[#This Row],[/PR:90]:[/BR:90]],Brudnopis!$E$24:$J$24),0)</f>
        <v>0.16666666666666669</v>
      </c>
      <c r="U690" s="44">
        <f>IF(Mecze[[#This Row],[Role]]&lt;&gt;"BR",SUMPRODUCT(Mecze[[#This Row],[/PR:90]:[/BR:90]],Brudnopis!$E$25:$J$25),0)</f>
        <v>0.21875</v>
      </c>
      <c r="V690" s="44">
        <f>IF(Mecze[[#This Row],[Role]]&lt;&gt;"BR",SUMPRODUCT(Mecze[[#This Row],[/PR:90]:[/BR:90]],Brudnopis!$E$26:$J$26),0)</f>
        <v>0.16666666666666669</v>
      </c>
      <c r="W690" s="44">
        <f>IF(Mecze[[#This Row],[Role]]&lt;&gt;"BR",SUMPRODUCT(Mecze[[#This Row],[/PR:90]:[/BR:90]],Brudnopis!$E$27:$J$27),0)</f>
        <v>0.203125</v>
      </c>
      <c r="X690" s="44">
        <f>IF(Mecze[[#This Row],[Role]]&lt;&gt;"BR",SUMPRODUCT(Mecze[[#This Row],[/PR:90]:[/BR:90]],Brudnopis!$E$28:$J$28),0)</f>
        <v>0.10416666666666667</v>
      </c>
      <c r="Y690" s="35">
        <f>IF(Mecze[[#This Row],[Role]]="BR",Mecze[[#This Row],[/OB:90]]+Mecze[[#This Row],[/PC:90]],SUM(Mecze[[#This Row],[/PR:90]:[/BR:90]]))</f>
        <v>0.16666666666666669</v>
      </c>
      <c r="Z690" s="35">
        <f>IF(Mecze[[#This Row],[KC]]=0,SUM(Mecze[[#This Row],[/BRI]:[/NPI]]),SUM(Mecze[[#This Row],[/BRI]:[/NPI]])*0.6)</f>
        <v>0.859375</v>
      </c>
      <c r="AA690" s="10">
        <f>IFERROR(Mecze[[#This Row],[BR]]/Mecze[[#This Row],[ST]],0)</f>
        <v>0</v>
      </c>
      <c r="AB690">
        <f>ROUND(Mecze[[#This Row],[PD]]*Mecze[[#This Row],[%PC]],0)</f>
        <v>10</v>
      </c>
      <c r="AC690">
        <f>ROUND(Mecze[[#This Row],[OD]]*Mecze[[#This Row],[%OU]],0)</f>
        <v>0</v>
      </c>
      <c r="AD690" s="36" t="s">
        <v>67</v>
      </c>
      <c r="AE690" s="36">
        <v>40</v>
      </c>
      <c r="AF690" s="71">
        <v>6.39</v>
      </c>
      <c r="AG690" s="37">
        <v>0</v>
      </c>
      <c r="AH690" s="37">
        <v>0</v>
      </c>
      <c r="AI690" s="37">
        <v>96</v>
      </c>
      <c r="AJ690" s="37">
        <v>3</v>
      </c>
      <c r="AK690" s="37" t="str">
        <f>VLOOKUP(Mecze[[#This Row],[Match ID]],Meczusie[Mecz]:Meczusie[RodzajMeczu],2,FALSE)</f>
        <v>Liga</v>
      </c>
    </row>
    <row r="691" spans="1:37" x14ac:dyDescent="0.25">
      <c r="A691" s="76">
        <v>3</v>
      </c>
      <c r="B691" s="3" t="s">
        <v>268</v>
      </c>
      <c r="C691" s="2" t="s">
        <v>160</v>
      </c>
      <c r="D691" s="1">
        <v>1</v>
      </c>
      <c r="E691" s="1">
        <v>2</v>
      </c>
      <c r="F691" s="1">
        <v>2</v>
      </c>
      <c r="G691" s="1">
        <v>10</v>
      </c>
      <c r="H691" s="4">
        <v>0.6</v>
      </c>
      <c r="I691" s="1">
        <v>5</v>
      </c>
      <c r="J691" s="4">
        <v>0.4</v>
      </c>
      <c r="K691" s="1">
        <v>0</v>
      </c>
      <c r="L691" s="1">
        <v>0</v>
      </c>
      <c r="M691" s="32">
        <f>IF(Mecze[[#This Row],[PR]]=0,0,Mecze[[#This Row],[PR]]/Mecze[[#This Row],[CZAS]])</f>
        <v>0</v>
      </c>
      <c r="N691" s="32">
        <f>IF(Mecze[[#This Row],[OU]]=0,0,Mecze[[#This Row],[OU]]/Mecze[[#This Row],[CZAS]])</f>
        <v>2.0833333333333332E-2</v>
      </c>
      <c r="O691" s="32">
        <f>IF(Mecze[[#This Row],[PC]]=0,0,Mecze[[#This Row],[PC]]/Mecze[[#This Row],[CZAS]])</f>
        <v>6.25E-2</v>
      </c>
      <c r="P691" s="32">
        <f>IF(Mecze[[#This Row],[SC]]=0,0,Mecze[[#This Row],[SC]]/Mecze[[#This Row],[CZAS]])</f>
        <v>2.0833333333333332E-2</v>
      </c>
      <c r="Q691" s="32">
        <f>IF(Mecze[[#This Row],[OB]]=0,0,Mecze[[#This Row],[OB]]/Mecze[[#This Row],[CZAS]])</f>
        <v>0</v>
      </c>
      <c r="R691" s="32">
        <f>IF(Mecze[[#This Row],[BR]]=0,0,Mecze[[#This Row],[BR]]/Mecze[[#This Row],[CZAS]])</f>
        <v>1.0416666666666666E-2</v>
      </c>
      <c r="S691" s="44">
        <f>IF(Mecze[[#This Row],[Role]]="BR",SUMPRODUCT(Mecze[[#This Row],[/PR:90]:[/BR:90]],Brudnopis!$E$23:$J$23),0)</f>
        <v>0</v>
      </c>
      <c r="T691" s="44">
        <f>IF(Mecze[[#This Row],[Role]]&lt;&gt;"BR",SUMPRODUCT(Mecze[[#This Row],[/PR:90]:[/BR:90]],Brudnopis!$E$24:$J$24),0)</f>
        <v>0.13020833333333331</v>
      </c>
      <c r="U691" s="44">
        <f>IF(Mecze[[#This Row],[Role]]&lt;&gt;"BR",SUMPRODUCT(Mecze[[#This Row],[/PR:90]:[/BR:90]],Brudnopis!$E$25:$J$25),0)</f>
        <v>0.15104166666666666</v>
      </c>
      <c r="V691" s="44">
        <f>IF(Mecze[[#This Row],[Role]]&lt;&gt;"BR",SUMPRODUCT(Mecze[[#This Row],[/PR:90]:[/BR:90]],Brudnopis!$E$26:$J$26),0)</f>
        <v>0.12499999999999999</v>
      </c>
      <c r="W691" s="44">
        <f>IF(Mecze[[#This Row],[Role]]&lt;&gt;"BR",SUMPRODUCT(Mecze[[#This Row],[/PR:90]:[/BR:90]],Brudnopis!$E$27:$J$27),0)</f>
        <v>0.15104166666666669</v>
      </c>
      <c r="X691" s="44">
        <f>IF(Mecze[[#This Row],[Role]]&lt;&gt;"BR",SUMPRODUCT(Mecze[[#This Row],[/PR:90]:[/BR:90]],Brudnopis!$E$28:$J$28),0)</f>
        <v>0.13541666666666666</v>
      </c>
      <c r="Y691" s="35">
        <f>IF(Mecze[[#This Row],[Role]]="BR",Mecze[[#This Row],[/OB:90]]+Mecze[[#This Row],[/PC:90]],SUM(Mecze[[#This Row],[/PR:90]:[/BR:90]]))</f>
        <v>0.11458333333333333</v>
      </c>
      <c r="Z691" s="35">
        <f>IF(Mecze[[#This Row],[KC]]=0,SUM(Mecze[[#This Row],[/BRI]:[/NPI]]),SUM(Mecze[[#This Row],[/BRI]:[/NPI]])*0.6)</f>
        <v>0.69270833333333337</v>
      </c>
      <c r="AA691" s="10">
        <f>IFERROR(Mecze[[#This Row],[BR]]/Mecze[[#This Row],[ST]],0)</f>
        <v>0.5</v>
      </c>
      <c r="AB691">
        <f>ROUND(Mecze[[#This Row],[PD]]*Mecze[[#This Row],[%PC]],0)</f>
        <v>6</v>
      </c>
      <c r="AC691">
        <f>ROUND(Mecze[[#This Row],[OD]]*Mecze[[#This Row],[%OU]],0)</f>
        <v>2</v>
      </c>
      <c r="AD691" s="36" t="s">
        <v>44</v>
      </c>
      <c r="AE691" s="36">
        <v>40</v>
      </c>
      <c r="AF691" s="71">
        <v>7.7</v>
      </c>
      <c r="AG691" s="37">
        <v>0</v>
      </c>
      <c r="AH691" s="37">
        <v>0</v>
      </c>
      <c r="AI691" s="37">
        <v>96</v>
      </c>
      <c r="AJ691" s="37">
        <v>3</v>
      </c>
      <c r="AK691" s="37" t="str">
        <f>VLOOKUP(Mecze[[#This Row],[Match ID]],Meczusie[Mecz]:Meczusie[RodzajMeczu],2,FALSE)</f>
        <v>Liga</v>
      </c>
    </row>
    <row r="692" spans="1:37" x14ac:dyDescent="0.25">
      <c r="A692" s="76">
        <v>8</v>
      </c>
      <c r="B692" s="3" t="s">
        <v>269</v>
      </c>
      <c r="C692" s="2" t="s">
        <v>165</v>
      </c>
      <c r="D692" s="1">
        <v>1</v>
      </c>
      <c r="E692" s="1">
        <v>5</v>
      </c>
      <c r="F692" s="1">
        <v>4</v>
      </c>
      <c r="G692" s="1">
        <v>8</v>
      </c>
      <c r="H692" s="4">
        <v>0.5</v>
      </c>
      <c r="I692" s="1">
        <v>3</v>
      </c>
      <c r="J692" s="4">
        <v>0.33</v>
      </c>
      <c r="K692" s="1">
        <v>0</v>
      </c>
      <c r="L692" s="1">
        <v>1</v>
      </c>
      <c r="M692" s="32">
        <f>IF(Mecze[[#This Row],[PR]]=0,0,Mecze[[#This Row],[PR]]/Mecze[[#This Row],[CZAS]])</f>
        <v>1.0416666666666666E-2</v>
      </c>
      <c r="N692" s="32">
        <f>IF(Mecze[[#This Row],[OU]]=0,0,Mecze[[#This Row],[OU]]/Mecze[[#This Row],[CZAS]])</f>
        <v>1.0416666666666666E-2</v>
      </c>
      <c r="O692" s="32">
        <f>IF(Mecze[[#This Row],[PC]]=0,0,Mecze[[#This Row],[PC]]/Mecze[[#This Row],[CZAS]])</f>
        <v>4.1666666666666664E-2</v>
      </c>
      <c r="P692" s="32">
        <f>IF(Mecze[[#This Row],[SC]]=0,0,Mecze[[#This Row],[SC]]/Mecze[[#This Row],[CZAS]])</f>
        <v>4.1666666666666664E-2</v>
      </c>
      <c r="Q692" s="32">
        <f>IF(Mecze[[#This Row],[OB]]=0,0,Mecze[[#This Row],[OB]]/Mecze[[#This Row],[CZAS]])</f>
        <v>0</v>
      </c>
      <c r="R692" s="32">
        <f>IF(Mecze[[#This Row],[BR]]=0,0,Mecze[[#This Row],[BR]]/Mecze[[#This Row],[CZAS]])</f>
        <v>1.0416666666666666E-2</v>
      </c>
      <c r="S692" s="44">
        <f>IF(Mecze[[#This Row],[Role]]="BR",SUMPRODUCT(Mecze[[#This Row],[/PR:90]:[/BR:90]],Brudnopis!$E$23:$J$23),0)</f>
        <v>0</v>
      </c>
      <c r="T692" s="44">
        <f>IF(Mecze[[#This Row],[Role]]&lt;&gt;"BR",SUMPRODUCT(Mecze[[#This Row],[/PR:90]:[/BR:90]],Brudnopis!$E$24:$J$24),0)</f>
        <v>0.125</v>
      </c>
      <c r="U692" s="44">
        <f>IF(Mecze[[#This Row],[Role]]&lt;&gt;"BR",SUMPRODUCT(Mecze[[#This Row],[/PR:90]:[/BR:90]],Brudnopis!$E$25:$J$25),0)</f>
        <v>0.140625</v>
      </c>
      <c r="V692" s="44">
        <f>IF(Mecze[[#This Row],[Role]]&lt;&gt;"BR",SUMPRODUCT(Mecze[[#This Row],[/PR:90]:[/BR:90]],Brudnopis!$E$26:$J$26),0)</f>
        <v>0.12499999999999999</v>
      </c>
      <c r="W692" s="44">
        <f>IF(Mecze[[#This Row],[Role]]&lt;&gt;"BR",SUMPRODUCT(Mecze[[#This Row],[/PR:90]:[/BR:90]],Brudnopis!$E$27:$J$27),0)</f>
        <v>0.140625</v>
      </c>
      <c r="X692" s="44">
        <f>IF(Mecze[[#This Row],[Role]]&lt;&gt;"BR",SUMPRODUCT(Mecze[[#This Row],[/PR:90]:[/BR:90]],Brudnopis!$E$28:$J$28),0)</f>
        <v>0.15625</v>
      </c>
      <c r="Y692" s="35">
        <f>IF(Mecze[[#This Row],[Role]]="BR",Mecze[[#This Row],[/OB:90]]+Mecze[[#This Row],[/PC:90]],SUM(Mecze[[#This Row],[/PR:90]:[/BR:90]]))</f>
        <v>0.11458333333333333</v>
      </c>
      <c r="Z692" s="35">
        <f>IF(Mecze[[#This Row],[KC]]=0,SUM(Mecze[[#This Row],[/BRI]:[/NPI]]),SUM(Mecze[[#This Row],[/BRI]:[/NPI]])*0.6)</f>
        <v>0.6875</v>
      </c>
      <c r="AA692" s="10">
        <f>IFERROR(Mecze[[#This Row],[BR]]/Mecze[[#This Row],[ST]],0)</f>
        <v>0.2</v>
      </c>
      <c r="AB692">
        <f>ROUND(Mecze[[#This Row],[PD]]*Mecze[[#This Row],[%PC]],0)</f>
        <v>4</v>
      </c>
      <c r="AC692">
        <f>ROUND(Mecze[[#This Row],[OD]]*Mecze[[#This Row],[%OU]],0)</f>
        <v>1</v>
      </c>
      <c r="AD692" s="36" t="s">
        <v>272</v>
      </c>
      <c r="AE692" s="36">
        <v>40</v>
      </c>
      <c r="AF692" s="71">
        <v>8.44</v>
      </c>
      <c r="AG692" s="37">
        <v>0</v>
      </c>
      <c r="AH692" s="37">
        <v>0</v>
      </c>
      <c r="AI692" s="37">
        <v>96</v>
      </c>
      <c r="AJ692" s="37">
        <v>3</v>
      </c>
      <c r="AK692" s="37" t="str">
        <f>VLOOKUP(Mecze[[#This Row],[Match ID]],Meczusie[Mecz]:Meczusie[RodzajMeczu],2,FALSE)</f>
        <v>Liga</v>
      </c>
    </row>
    <row r="693" spans="1:37" x14ac:dyDescent="0.25">
      <c r="A693" s="76">
        <v>11</v>
      </c>
      <c r="B693" s="3" t="s">
        <v>270</v>
      </c>
      <c r="C693" s="2" t="s">
        <v>165</v>
      </c>
      <c r="D693" s="1">
        <v>0</v>
      </c>
      <c r="E693" s="1">
        <v>6</v>
      </c>
      <c r="F693" s="1">
        <v>4</v>
      </c>
      <c r="G693" s="1">
        <v>7</v>
      </c>
      <c r="H693" s="4">
        <v>0.86</v>
      </c>
      <c r="I693" s="1">
        <v>0</v>
      </c>
      <c r="J693" s="4"/>
      <c r="K693" s="1">
        <v>0</v>
      </c>
      <c r="L693" s="1">
        <v>0</v>
      </c>
      <c r="M693" s="32">
        <f>IF(Mecze[[#This Row],[PR]]=0,0,Mecze[[#This Row],[PR]]/Mecze[[#This Row],[CZAS]])</f>
        <v>0</v>
      </c>
      <c r="N693" s="32">
        <f>IF(Mecze[[#This Row],[OU]]=0,0,Mecze[[#This Row],[OU]]/Mecze[[#This Row],[CZAS]])</f>
        <v>0</v>
      </c>
      <c r="O693" s="32">
        <f>IF(Mecze[[#This Row],[PC]]=0,0,Mecze[[#This Row],[PC]]/Mecze[[#This Row],[CZAS]])</f>
        <v>6.25E-2</v>
      </c>
      <c r="P693" s="32">
        <f>IF(Mecze[[#This Row],[SC]]=0,0,Mecze[[#This Row],[SC]]/Mecze[[#This Row],[CZAS]])</f>
        <v>4.1666666666666664E-2</v>
      </c>
      <c r="Q693" s="32">
        <f>IF(Mecze[[#This Row],[OB]]=0,0,Mecze[[#This Row],[OB]]/Mecze[[#This Row],[CZAS]])</f>
        <v>0</v>
      </c>
      <c r="R693" s="32">
        <f>IF(Mecze[[#This Row],[BR]]=0,0,Mecze[[#This Row],[BR]]/Mecze[[#This Row],[CZAS]])</f>
        <v>0</v>
      </c>
      <c r="S693" s="44">
        <f>IF(Mecze[[#This Row],[Role]]="BR",SUMPRODUCT(Mecze[[#This Row],[/PR:90]:[/BR:90]],Brudnopis!$E$23:$J$23),0)</f>
        <v>0</v>
      </c>
      <c r="T693" s="44">
        <f>IF(Mecze[[#This Row],[Role]]&lt;&gt;"BR",SUMPRODUCT(Mecze[[#This Row],[/PR:90]:[/BR:90]],Brudnopis!$E$24:$J$24),0)</f>
        <v>0.10416666666666666</v>
      </c>
      <c r="U693" s="44">
        <f>IF(Mecze[[#This Row],[Role]]&lt;&gt;"BR",SUMPRODUCT(Mecze[[#This Row],[/PR:90]:[/BR:90]],Brudnopis!$E$25:$J$25),0)</f>
        <v>0.13541666666666666</v>
      </c>
      <c r="V693" s="44">
        <f>IF(Mecze[[#This Row],[Role]]&lt;&gt;"BR",SUMPRODUCT(Mecze[[#This Row],[/PR:90]:[/BR:90]],Brudnopis!$E$26:$J$26),0)</f>
        <v>0.10416666666666666</v>
      </c>
      <c r="W693" s="44">
        <f>IF(Mecze[[#This Row],[Role]]&lt;&gt;"BR",SUMPRODUCT(Mecze[[#This Row],[/PR:90]:[/BR:90]],Brudnopis!$E$27:$J$27),0)</f>
        <v>0.13541666666666666</v>
      </c>
      <c r="X693" s="44">
        <f>IF(Mecze[[#This Row],[Role]]&lt;&gt;"BR",SUMPRODUCT(Mecze[[#This Row],[/PR:90]:[/BR:90]],Brudnopis!$E$28:$J$28),0)</f>
        <v>0.14583333333333331</v>
      </c>
      <c r="Y693" s="35">
        <f>IF(Mecze[[#This Row],[Role]]="BR",Mecze[[#This Row],[/OB:90]]+Mecze[[#This Row],[/PC:90]],SUM(Mecze[[#This Row],[/PR:90]:[/BR:90]]))</f>
        <v>0.10416666666666666</v>
      </c>
      <c r="Z693" s="35">
        <f>IF(Mecze[[#This Row],[KC]]=0,SUM(Mecze[[#This Row],[/BRI]:[/NPI]]),SUM(Mecze[[#This Row],[/BRI]:[/NPI]])*0.6)</f>
        <v>0.625</v>
      </c>
      <c r="AA693" s="10">
        <f>IFERROR(Mecze[[#This Row],[BR]]/Mecze[[#This Row],[ST]],0)</f>
        <v>0</v>
      </c>
      <c r="AB693">
        <f>ROUND(Mecze[[#This Row],[PD]]*Mecze[[#This Row],[%PC]],0)</f>
        <v>6</v>
      </c>
      <c r="AC693">
        <f>ROUND(Mecze[[#This Row],[OD]]*Mecze[[#This Row],[%OU]],0)</f>
        <v>0</v>
      </c>
      <c r="AD693" s="36" t="s">
        <v>273</v>
      </c>
      <c r="AE693" s="36">
        <v>40</v>
      </c>
      <c r="AF693" s="71">
        <v>7.06</v>
      </c>
      <c r="AG693" s="37">
        <v>0</v>
      </c>
      <c r="AH693" s="37">
        <v>0</v>
      </c>
      <c r="AI693" s="37">
        <v>96</v>
      </c>
      <c r="AJ693" s="37">
        <v>3</v>
      </c>
      <c r="AK693" s="37" t="str">
        <f>VLOOKUP(Mecze[[#This Row],[Match ID]],Meczusie[Mecz]:Meczusie[RodzajMeczu],2,FALSE)</f>
        <v>Liga</v>
      </c>
    </row>
    <row r="694" spans="1:37" x14ac:dyDescent="0.25">
      <c r="A694" s="76">
        <v>10</v>
      </c>
      <c r="B694" s="3" t="s">
        <v>271</v>
      </c>
      <c r="C694" s="2" t="s">
        <v>165</v>
      </c>
      <c r="D694" s="1">
        <v>0</v>
      </c>
      <c r="E694" s="1">
        <v>5</v>
      </c>
      <c r="F694" s="1">
        <v>3</v>
      </c>
      <c r="G694" s="1">
        <v>3</v>
      </c>
      <c r="H694" s="4">
        <v>0.67</v>
      </c>
      <c r="I694" s="1">
        <v>2</v>
      </c>
      <c r="J694" s="4">
        <v>0</v>
      </c>
      <c r="K694" s="1">
        <v>0</v>
      </c>
      <c r="L694" s="1">
        <v>0</v>
      </c>
      <c r="M694" s="32">
        <f>IF(Mecze[[#This Row],[PR]]=0,0,Mecze[[#This Row],[PR]]/Mecze[[#This Row],[CZAS]])</f>
        <v>0</v>
      </c>
      <c r="N694" s="32">
        <f>IF(Mecze[[#This Row],[OU]]=0,0,Mecze[[#This Row],[OU]]/Mecze[[#This Row],[CZAS]])</f>
        <v>0</v>
      </c>
      <c r="O694" s="32">
        <f>IF(Mecze[[#This Row],[PC]]=0,0,Mecze[[#This Row],[PC]]/Mecze[[#This Row],[CZAS]])</f>
        <v>2.0833333333333332E-2</v>
      </c>
      <c r="P694" s="32">
        <f>IF(Mecze[[#This Row],[SC]]=0,0,Mecze[[#This Row],[SC]]/Mecze[[#This Row],[CZAS]])</f>
        <v>3.125E-2</v>
      </c>
      <c r="Q694" s="32">
        <f>IF(Mecze[[#This Row],[OB]]=0,0,Mecze[[#This Row],[OB]]/Mecze[[#This Row],[CZAS]])</f>
        <v>0</v>
      </c>
      <c r="R694" s="32">
        <f>IF(Mecze[[#This Row],[BR]]=0,0,Mecze[[#This Row],[BR]]/Mecze[[#This Row],[CZAS]])</f>
        <v>0</v>
      </c>
      <c r="S694" s="44">
        <f>IF(Mecze[[#This Row],[Role]]="BR",SUMPRODUCT(Mecze[[#This Row],[/PR:90]:[/BR:90]],Brudnopis!$E$23:$J$23),0)</f>
        <v>0</v>
      </c>
      <c r="T694" s="44">
        <f>IF(Mecze[[#This Row],[Role]]&lt;&gt;"BR",SUMPRODUCT(Mecze[[#This Row],[/PR:90]:[/BR:90]],Brudnopis!$E$24:$J$24),0)</f>
        <v>5.2083333333333329E-2</v>
      </c>
      <c r="U694" s="44">
        <f>IF(Mecze[[#This Row],[Role]]&lt;&gt;"BR",SUMPRODUCT(Mecze[[#This Row],[/PR:90]:[/BR:90]],Brudnopis!$E$25:$J$25),0)</f>
        <v>6.25E-2</v>
      </c>
      <c r="V694" s="44">
        <f>IF(Mecze[[#This Row],[Role]]&lt;&gt;"BR",SUMPRODUCT(Mecze[[#This Row],[/PR:90]:[/BR:90]],Brudnopis!$E$26:$J$26),0)</f>
        <v>5.2083333333333329E-2</v>
      </c>
      <c r="W694" s="44">
        <f>IF(Mecze[[#This Row],[Role]]&lt;&gt;"BR",SUMPRODUCT(Mecze[[#This Row],[/PR:90]:[/BR:90]],Brudnopis!$E$27:$J$27),0)</f>
        <v>6.25E-2</v>
      </c>
      <c r="X694" s="44">
        <f>IF(Mecze[[#This Row],[Role]]&lt;&gt;"BR",SUMPRODUCT(Mecze[[#This Row],[/PR:90]:[/BR:90]],Brudnopis!$E$28:$J$28),0)</f>
        <v>8.3333333333333329E-2</v>
      </c>
      <c r="Y694" s="35">
        <f>IF(Mecze[[#This Row],[Role]]="BR",Mecze[[#This Row],[/OB:90]]+Mecze[[#This Row],[/PC:90]],SUM(Mecze[[#This Row],[/PR:90]:[/BR:90]]))</f>
        <v>5.2083333333333329E-2</v>
      </c>
      <c r="Z694" s="35">
        <f>IF(Mecze[[#This Row],[KC]]=0,SUM(Mecze[[#This Row],[/BRI]:[/NPI]]),SUM(Mecze[[#This Row],[/BRI]:[/NPI]])*0.6)</f>
        <v>0.3125</v>
      </c>
      <c r="AA694" s="10">
        <f>IFERROR(Mecze[[#This Row],[BR]]/Mecze[[#This Row],[ST]],0)</f>
        <v>0</v>
      </c>
      <c r="AB694">
        <f>ROUND(Mecze[[#This Row],[PD]]*Mecze[[#This Row],[%PC]],0)</f>
        <v>2</v>
      </c>
      <c r="AC694">
        <f>ROUND(Mecze[[#This Row],[OD]]*Mecze[[#This Row],[%OU]],0)</f>
        <v>0</v>
      </c>
      <c r="AD694" s="36" t="s">
        <v>46</v>
      </c>
      <c r="AE694" s="36">
        <v>40</v>
      </c>
      <c r="AF694" s="71">
        <v>4.59</v>
      </c>
      <c r="AG694" s="37">
        <v>0</v>
      </c>
      <c r="AH694" s="37">
        <v>0</v>
      </c>
      <c r="AI694" s="37">
        <v>96</v>
      </c>
      <c r="AJ694" s="37">
        <v>3</v>
      </c>
      <c r="AK694" s="37" t="str">
        <f>VLOOKUP(Mecze[[#This Row],[Match ID]],Meczusie[Mecz]:Meczusie[RodzajMeczu],2,FALSE)</f>
        <v>Liga</v>
      </c>
    </row>
    <row r="695" spans="1:37" x14ac:dyDescent="0.25">
      <c r="A695" s="76">
        <v>1</v>
      </c>
      <c r="B695" s="3" t="s">
        <v>320</v>
      </c>
      <c r="C695" s="2" t="s">
        <v>155</v>
      </c>
      <c r="D695" s="1">
        <v>0</v>
      </c>
      <c r="E695" s="1">
        <v>0</v>
      </c>
      <c r="F695" s="1">
        <v>0</v>
      </c>
      <c r="G695" s="1">
        <v>14</v>
      </c>
      <c r="H695" s="4">
        <v>0.71</v>
      </c>
      <c r="I695" s="1">
        <v>0</v>
      </c>
      <c r="J695" s="4"/>
      <c r="K695" s="1">
        <v>11</v>
      </c>
      <c r="L695" s="1">
        <v>0</v>
      </c>
      <c r="M695" s="32">
        <f>IF(Mecze[[#This Row],[PR]]=0,0,Mecze[[#This Row],[PR]]/Mecze[[#This Row],[CZAS]])</f>
        <v>0</v>
      </c>
      <c r="N695" s="32">
        <f>IF(Mecze[[#This Row],[OU]]=0,0,Mecze[[#This Row],[OU]]/Mecze[[#This Row],[CZAS]])</f>
        <v>0</v>
      </c>
      <c r="O695" s="32">
        <f>IF(Mecze[[#This Row],[PC]]=0,0,Mecze[[#This Row],[PC]]/Mecze[[#This Row],[CZAS]])</f>
        <v>0.10416666666666667</v>
      </c>
      <c r="P695" s="32">
        <f>IF(Mecze[[#This Row],[SC]]=0,0,Mecze[[#This Row],[SC]]/Mecze[[#This Row],[CZAS]])</f>
        <v>0</v>
      </c>
      <c r="Q695" s="32">
        <f>IF(Mecze[[#This Row],[OB]]=0,0,Mecze[[#This Row],[OB]]/Mecze[[#This Row],[CZAS]])</f>
        <v>0.11458333333333333</v>
      </c>
      <c r="R695" s="32">
        <f>IF(Mecze[[#This Row],[BR]]=0,0,Mecze[[#This Row],[BR]]/Mecze[[#This Row],[CZAS]])</f>
        <v>0</v>
      </c>
      <c r="S695" s="44">
        <f>IF(Mecze[[#This Row],[Role]]="BR",SUMPRODUCT(Mecze[[#This Row],[/PR:90]:[/BR:90]],Brudnopis!$E$23:$J$23),0)</f>
        <v>0.65625</v>
      </c>
      <c r="T695" s="44">
        <f>IF(Mecze[[#This Row],[Role]]&lt;&gt;"BR",SUMPRODUCT(Mecze[[#This Row],[/PR:90]:[/BR:90]],Brudnopis!$E$24:$J$24),0)</f>
        <v>0</v>
      </c>
      <c r="U695" s="44">
        <f>IF(Mecze[[#This Row],[Role]]&lt;&gt;"BR",SUMPRODUCT(Mecze[[#This Row],[/PR:90]:[/BR:90]],Brudnopis!$E$25:$J$25),0)</f>
        <v>0</v>
      </c>
      <c r="V695" s="44">
        <f>IF(Mecze[[#This Row],[Role]]&lt;&gt;"BR",SUMPRODUCT(Mecze[[#This Row],[/PR:90]:[/BR:90]],Brudnopis!$E$26:$J$26),0)</f>
        <v>0</v>
      </c>
      <c r="W695" s="44">
        <f>IF(Mecze[[#This Row],[Role]]&lt;&gt;"BR",SUMPRODUCT(Mecze[[#This Row],[/PR:90]:[/BR:90]],Brudnopis!$E$27:$J$27),0)</f>
        <v>0</v>
      </c>
      <c r="X695" s="44">
        <f>IF(Mecze[[#This Row],[Role]]&lt;&gt;"BR",SUMPRODUCT(Mecze[[#This Row],[/PR:90]:[/BR:90]],Brudnopis!$E$28:$J$28),0)</f>
        <v>0</v>
      </c>
      <c r="Y695" s="35">
        <f>IF(Mecze[[#This Row],[Role]]="BR",Mecze[[#This Row],[/OB:90]]+Mecze[[#This Row],[/PC:90]],SUM(Mecze[[#This Row],[/PR:90]:[/BR:90]]))</f>
        <v>0.21875</v>
      </c>
      <c r="Z695" s="35">
        <f>IF(Mecze[[#This Row],[KC]]=0,SUM(Mecze[[#This Row],[/BRI]:[/NPI]]),SUM(Mecze[[#This Row],[/BRI]:[/NPI]])*0.6)</f>
        <v>0.65625</v>
      </c>
      <c r="AA695" s="10">
        <f>IFERROR(Mecze[[#This Row],[BR]]/Mecze[[#This Row],[ST]],0)</f>
        <v>0</v>
      </c>
      <c r="AB695">
        <f>ROUND(Mecze[[#This Row],[PD]]*Mecze[[#This Row],[%PC]],0)</f>
        <v>10</v>
      </c>
      <c r="AC695">
        <f>ROUND(Mecze[[#This Row],[OD]]*Mecze[[#This Row],[%OU]],0)</f>
        <v>0</v>
      </c>
      <c r="AD695" s="36" t="s">
        <v>40</v>
      </c>
      <c r="AE695" s="36">
        <v>40</v>
      </c>
      <c r="AF695" s="71">
        <v>6.66</v>
      </c>
      <c r="AG695" s="37">
        <v>0</v>
      </c>
      <c r="AH695" s="37">
        <v>0</v>
      </c>
      <c r="AI695" s="37">
        <v>96</v>
      </c>
      <c r="AJ695" s="37">
        <v>11</v>
      </c>
      <c r="AK695" s="37" t="str">
        <f>VLOOKUP(Mecze[[#This Row],[Match ID]],Meczusie[Mecz]:Meczusie[RodzajMeczu],2,FALSE)</f>
        <v>Liga</v>
      </c>
    </row>
    <row r="696" spans="1:37" x14ac:dyDescent="0.25">
      <c r="A696" s="76">
        <v>4</v>
      </c>
      <c r="B696" s="3" t="s">
        <v>321</v>
      </c>
      <c r="C696" s="2" t="s">
        <v>157</v>
      </c>
      <c r="D696" s="1">
        <v>0</v>
      </c>
      <c r="E696" s="1">
        <v>0</v>
      </c>
      <c r="F696" s="1">
        <v>0</v>
      </c>
      <c r="G696" s="1">
        <v>0</v>
      </c>
      <c r="H696" s="72"/>
      <c r="I696" s="1">
        <v>1</v>
      </c>
      <c r="J696" s="4">
        <v>1</v>
      </c>
      <c r="K696" s="1">
        <v>0</v>
      </c>
      <c r="L696" s="1">
        <v>0</v>
      </c>
      <c r="M696" s="32">
        <f>IF(Mecze[[#This Row],[PR]]=0,0,Mecze[[#This Row],[PR]]/Mecze[[#This Row],[CZAS]])</f>
        <v>0</v>
      </c>
      <c r="N696" s="32">
        <f>IF(Mecze[[#This Row],[OU]]=0,0,Mecze[[#This Row],[OU]]/Mecze[[#This Row],[CZAS]])</f>
        <v>0.1</v>
      </c>
      <c r="O696" s="32">
        <f>IF(Mecze[[#This Row],[PC]]=0,0,Mecze[[#This Row],[PC]]/Mecze[[#This Row],[CZAS]])</f>
        <v>0</v>
      </c>
      <c r="P696" s="32">
        <f>IF(Mecze[[#This Row],[SC]]=0,0,Mecze[[#This Row],[SC]]/Mecze[[#This Row],[CZAS]])</f>
        <v>0</v>
      </c>
      <c r="Q696" s="32">
        <f>IF(Mecze[[#This Row],[OB]]=0,0,Mecze[[#This Row],[OB]]/Mecze[[#This Row],[CZAS]])</f>
        <v>0</v>
      </c>
      <c r="R696" s="32">
        <f>IF(Mecze[[#This Row],[BR]]=0,0,Mecze[[#This Row],[BR]]/Mecze[[#This Row],[CZAS]])</f>
        <v>0</v>
      </c>
      <c r="S696" s="44">
        <f>IF(Mecze[[#This Row],[Role]]="BR",SUMPRODUCT(Mecze[[#This Row],[/PR:90]:[/BR:90]],Brudnopis!$E$23:$J$23),0)</f>
        <v>0</v>
      </c>
      <c r="T696" s="44">
        <f>IF(Mecze[[#This Row],[Role]]&lt;&gt;"BR",SUMPRODUCT(Mecze[[#This Row],[/PR:90]:[/BR:90]],Brudnopis!$E$24:$J$24),0)</f>
        <v>0.15000000000000002</v>
      </c>
      <c r="U696" s="44">
        <f>IF(Mecze[[#This Row],[Role]]&lt;&gt;"BR",SUMPRODUCT(Mecze[[#This Row],[/PR:90]:[/BR:90]],Brudnopis!$E$25:$J$25),0)</f>
        <v>0.1</v>
      </c>
      <c r="V696" s="44">
        <f>IF(Mecze[[#This Row],[Role]]&lt;&gt;"BR",SUMPRODUCT(Mecze[[#This Row],[/PR:90]:[/BR:90]],Brudnopis!$E$26:$J$26),0)</f>
        <v>0.1</v>
      </c>
      <c r="W696" s="44">
        <f>IF(Mecze[[#This Row],[Role]]&lt;&gt;"BR",SUMPRODUCT(Mecze[[#This Row],[/PR:90]:[/BR:90]],Brudnopis!$E$27:$J$27),0)</f>
        <v>7.5000000000000011E-2</v>
      </c>
      <c r="X696" s="44">
        <f>IF(Mecze[[#This Row],[Role]]&lt;&gt;"BR",SUMPRODUCT(Mecze[[#This Row],[/PR:90]:[/BR:90]],Brudnopis!$E$28:$J$28),0)</f>
        <v>0</v>
      </c>
      <c r="Y696" s="35">
        <f>IF(Mecze[[#This Row],[Role]]="BR",Mecze[[#This Row],[/OB:90]]+Mecze[[#This Row],[/PC:90]],SUM(Mecze[[#This Row],[/PR:90]:[/BR:90]]))</f>
        <v>0.1</v>
      </c>
      <c r="Z696" s="35">
        <f>IF(Mecze[[#This Row],[KC]]=0,SUM(Mecze[[#This Row],[/BRI]:[/NPI]]),SUM(Mecze[[#This Row],[/BRI]:[/NPI]])*0.6)</f>
        <v>0.255</v>
      </c>
      <c r="AA696" s="10">
        <f>IFERROR(Mecze[[#This Row],[BR]]/Mecze[[#This Row],[ST]],0)</f>
        <v>0</v>
      </c>
      <c r="AB696">
        <f>ROUND(Mecze[[#This Row],[PD]]*Mecze[[#This Row],[%PC]],0)</f>
        <v>0</v>
      </c>
      <c r="AC696">
        <f>ROUND(Mecze[[#This Row],[OD]]*Mecze[[#This Row],[%OU]],0)</f>
        <v>1</v>
      </c>
      <c r="AD696" s="36" t="s">
        <v>47</v>
      </c>
      <c r="AE696" s="36">
        <v>40</v>
      </c>
      <c r="AF696" s="71">
        <v>-2.82</v>
      </c>
      <c r="AG696" s="37">
        <v>0</v>
      </c>
      <c r="AH696" s="37">
        <v>1</v>
      </c>
      <c r="AI696" s="37">
        <v>10</v>
      </c>
      <c r="AJ696" s="37">
        <v>11</v>
      </c>
      <c r="AK696" s="37" t="str">
        <f>VLOOKUP(Mecze[[#This Row],[Match ID]],Meczusie[Mecz]:Meczusie[RodzajMeczu],2,FALSE)</f>
        <v>Liga</v>
      </c>
    </row>
    <row r="697" spans="1:37" x14ac:dyDescent="0.25">
      <c r="A697" s="76">
        <v>7</v>
      </c>
      <c r="B697" s="3" t="s">
        <v>322</v>
      </c>
      <c r="C697" s="2" t="s">
        <v>157</v>
      </c>
      <c r="D697" s="1">
        <v>0</v>
      </c>
      <c r="E697" s="1">
        <v>0</v>
      </c>
      <c r="F697" s="1">
        <v>0</v>
      </c>
      <c r="G697" s="1">
        <v>13</v>
      </c>
      <c r="H697" s="4">
        <v>0.62</v>
      </c>
      <c r="I697" s="1">
        <v>8</v>
      </c>
      <c r="J697" s="4">
        <v>0.75</v>
      </c>
      <c r="K697" s="1">
        <v>0</v>
      </c>
      <c r="L697" s="1">
        <v>6</v>
      </c>
      <c r="M697" s="32">
        <f>IF(Mecze[[#This Row],[PR]]=0,0,Mecze[[#This Row],[PR]]/Mecze[[#This Row],[CZAS]])</f>
        <v>6.25E-2</v>
      </c>
      <c r="N697" s="32">
        <f>IF(Mecze[[#This Row],[OU]]=0,0,Mecze[[#This Row],[OU]]/Mecze[[#This Row],[CZAS]])</f>
        <v>6.25E-2</v>
      </c>
      <c r="O697" s="32">
        <f>IF(Mecze[[#This Row],[PC]]=0,0,Mecze[[#This Row],[PC]]/Mecze[[#This Row],[CZAS]])</f>
        <v>8.3333333333333329E-2</v>
      </c>
      <c r="P697" s="32">
        <f>IF(Mecze[[#This Row],[SC]]=0,0,Mecze[[#This Row],[SC]]/Mecze[[#This Row],[CZAS]])</f>
        <v>0</v>
      </c>
      <c r="Q697" s="32">
        <f>IF(Mecze[[#This Row],[OB]]=0,0,Mecze[[#This Row],[OB]]/Mecze[[#This Row],[CZAS]])</f>
        <v>0</v>
      </c>
      <c r="R697" s="32">
        <f>IF(Mecze[[#This Row],[BR]]=0,0,Mecze[[#This Row],[BR]]/Mecze[[#This Row],[CZAS]])</f>
        <v>0</v>
      </c>
      <c r="S697" s="44">
        <f>IF(Mecze[[#This Row],[Role]]="BR",SUMPRODUCT(Mecze[[#This Row],[/PR:90]:[/BR:90]],Brudnopis!$E$23:$J$23),0)</f>
        <v>0</v>
      </c>
      <c r="T697" s="44">
        <f>IF(Mecze[[#This Row],[Role]]&lt;&gt;"BR",SUMPRODUCT(Mecze[[#This Row],[/PR:90]:[/BR:90]],Brudnopis!$E$24:$J$24),0)</f>
        <v>0.23958333333333331</v>
      </c>
      <c r="U697" s="44">
        <f>IF(Mecze[[#This Row],[Role]]&lt;&gt;"BR",SUMPRODUCT(Mecze[[#This Row],[/PR:90]:[/BR:90]],Brudnopis!$E$25:$J$25),0)</f>
        <v>0.25</v>
      </c>
      <c r="V697" s="44">
        <f>IF(Mecze[[#This Row],[Role]]&lt;&gt;"BR",SUMPRODUCT(Mecze[[#This Row],[/PR:90]:[/BR:90]],Brudnopis!$E$26:$J$26),0)</f>
        <v>0.20833333333333331</v>
      </c>
      <c r="W697" s="44">
        <f>IF(Mecze[[#This Row],[Role]]&lt;&gt;"BR",SUMPRODUCT(Mecze[[#This Row],[/PR:90]:[/BR:90]],Brudnopis!$E$27:$J$27),0)</f>
        <v>0.21875</v>
      </c>
      <c r="X697" s="44">
        <f>IF(Mecze[[#This Row],[Role]]&lt;&gt;"BR",SUMPRODUCT(Mecze[[#This Row],[/PR:90]:[/BR:90]],Brudnopis!$E$28:$J$28),0)</f>
        <v>8.3333333333333329E-2</v>
      </c>
      <c r="Y697" s="35">
        <f>IF(Mecze[[#This Row],[Role]]="BR",Mecze[[#This Row],[/OB:90]]+Mecze[[#This Row],[/PC:90]],SUM(Mecze[[#This Row],[/PR:90]:[/BR:90]]))</f>
        <v>0.20833333333333331</v>
      </c>
      <c r="Z697" s="35">
        <f>IF(Mecze[[#This Row],[KC]]=0,SUM(Mecze[[#This Row],[/BRI]:[/NPI]]),SUM(Mecze[[#This Row],[/BRI]:[/NPI]])*0.6)</f>
        <v>1</v>
      </c>
      <c r="AA697" s="10">
        <f>IFERROR(Mecze[[#This Row],[BR]]/Mecze[[#This Row],[ST]],0)</f>
        <v>0</v>
      </c>
      <c r="AB697">
        <f>ROUND(Mecze[[#This Row],[PD]]*Mecze[[#This Row],[%PC]],0)</f>
        <v>8</v>
      </c>
      <c r="AC697">
        <f>ROUND(Mecze[[#This Row],[OD]]*Mecze[[#This Row],[%OU]],0)</f>
        <v>6</v>
      </c>
      <c r="AD697" s="36" t="s">
        <v>47</v>
      </c>
      <c r="AE697" s="36">
        <v>40</v>
      </c>
      <c r="AF697" s="71">
        <v>3.97</v>
      </c>
      <c r="AG697" s="37">
        <v>0</v>
      </c>
      <c r="AH697" s="37">
        <v>0</v>
      </c>
      <c r="AI697" s="37">
        <v>96</v>
      </c>
      <c r="AJ697" s="37">
        <v>11</v>
      </c>
      <c r="AK697" s="37" t="str">
        <f>VLOOKUP(Mecze[[#This Row],[Match ID]],Meczusie[Mecz]:Meczusie[RodzajMeczu],2,FALSE)</f>
        <v>Liga</v>
      </c>
    </row>
    <row r="698" spans="1:37" x14ac:dyDescent="0.25">
      <c r="A698" s="76">
        <v>2</v>
      </c>
      <c r="B698" s="3" t="s">
        <v>392</v>
      </c>
      <c r="C698" s="2" t="s">
        <v>157</v>
      </c>
      <c r="D698" s="1">
        <v>0</v>
      </c>
      <c r="E698" s="1">
        <v>0</v>
      </c>
      <c r="F698" s="1">
        <v>0</v>
      </c>
      <c r="G698" s="1">
        <v>6</v>
      </c>
      <c r="H698" s="4">
        <v>0.83</v>
      </c>
      <c r="I698" s="1">
        <v>4</v>
      </c>
      <c r="J698" s="4">
        <v>0.75</v>
      </c>
      <c r="K698" s="1">
        <v>0</v>
      </c>
      <c r="L698" s="1">
        <v>3</v>
      </c>
      <c r="M698" s="32">
        <f>IF(Mecze[[#This Row],[PR]]=0,0,Mecze[[#This Row],[PR]]/Mecze[[#This Row],[CZAS]])</f>
        <v>3.125E-2</v>
      </c>
      <c r="N698" s="32">
        <f>IF(Mecze[[#This Row],[OU]]=0,0,Mecze[[#This Row],[OU]]/Mecze[[#This Row],[CZAS]])</f>
        <v>3.125E-2</v>
      </c>
      <c r="O698" s="32">
        <f>IF(Mecze[[#This Row],[PC]]=0,0,Mecze[[#This Row],[PC]]/Mecze[[#This Row],[CZAS]])</f>
        <v>5.2083333333333336E-2</v>
      </c>
      <c r="P698" s="32">
        <f>IF(Mecze[[#This Row],[SC]]=0,0,Mecze[[#This Row],[SC]]/Mecze[[#This Row],[CZAS]])</f>
        <v>0</v>
      </c>
      <c r="Q698" s="32">
        <f>IF(Mecze[[#This Row],[OB]]=0,0,Mecze[[#This Row],[OB]]/Mecze[[#This Row],[CZAS]])</f>
        <v>0</v>
      </c>
      <c r="R698" s="32">
        <f>IF(Mecze[[#This Row],[BR]]=0,0,Mecze[[#This Row],[BR]]/Mecze[[#This Row],[CZAS]])</f>
        <v>0</v>
      </c>
      <c r="S698" s="44">
        <f>IF(Mecze[[#This Row],[Role]]="BR",SUMPRODUCT(Mecze[[#This Row],[/PR:90]:[/BR:90]],Brudnopis!$E$23:$J$23),0)</f>
        <v>0</v>
      </c>
      <c r="T698" s="44">
        <f>IF(Mecze[[#This Row],[Role]]&lt;&gt;"BR",SUMPRODUCT(Mecze[[#This Row],[/PR:90]:[/BR:90]],Brudnopis!$E$24:$J$24),0)</f>
        <v>0.13020833333333334</v>
      </c>
      <c r="U698" s="44">
        <f>IF(Mecze[[#This Row],[Role]]&lt;&gt;"BR",SUMPRODUCT(Mecze[[#This Row],[/PR:90]:[/BR:90]],Brudnopis!$E$25:$J$25),0)</f>
        <v>0.140625</v>
      </c>
      <c r="V698" s="44">
        <f>IF(Mecze[[#This Row],[Role]]&lt;&gt;"BR",SUMPRODUCT(Mecze[[#This Row],[/PR:90]:[/BR:90]],Brudnopis!$E$26:$J$26),0)</f>
        <v>0.11458333333333334</v>
      </c>
      <c r="W698" s="44">
        <f>IF(Mecze[[#This Row],[Role]]&lt;&gt;"BR",SUMPRODUCT(Mecze[[#This Row],[/PR:90]:[/BR:90]],Brudnopis!$E$27:$J$27),0)</f>
        <v>0.125</v>
      </c>
      <c r="X698" s="44">
        <f>IF(Mecze[[#This Row],[Role]]&lt;&gt;"BR",SUMPRODUCT(Mecze[[#This Row],[/PR:90]:[/BR:90]],Brudnopis!$E$28:$J$28),0)</f>
        <v>5.2083333333333336E-2</v>
      </c>
      <c r="Y698" s="35">
        <f>IF(Mecze[[#This Row],[Role]]="BR",Mecze[[#This Row],[/OB:90]]+Mecze[[#This Row],[/PC:90]],SUM(Mecze[[#This Row],[/PR:90]:[/BR:90]]))</f>
        <v>0.11458333333333334</v>
      </c>
      <c r="Z698" s="35">
        <f>IF(Mecze[[#This Row],[KC]]=0,SUM(Mecze[[#This Row],[/BRI]:[/NPI]]),SUM(Mecze[[#This Row],[/BRI]:[/NPI]])*0.6)</f>
        <v>0.56250000000000011</v>
      </c>
      <c r="AA698" s="10">
        <f>IFERROR(Mecze[[#This Row],[BR]]/Mecze[[#This Row],[ST]],0)</f>
        <v>0</v>
      </c>
      <c r="AB698">
        <f>ROUND(Mecze[[#This Row],[PD]]*Mecze[[#This Row],[%PC]],0)</f>
        <v>5</v>
      </c>
      <c r="AC698">
        <f>ROUND(Mecze[[#This Row],[OD]]*Mecze[[#This Row],[%OU]],0)</f>
        <v>3</v>
      </c>
      <c r="AD698" s="36" t="s">
        <v>175</v>
      </c>
      <c r="AE698" s="36">
        <v>40</v>
      </c>
      <c r="AF698" s="71">
        <v>3.34</v>
      </c>
      <c r="AG698" s="37">
        <v>0</v>
      </c>
      <c r="AH698" s="37">
        <v>0</v>
      </c>
      <c r="AI698" s="37">
        <v>96</v>
      </c>
      <c r="AJ698" s="37">
        <v>11</v>
      </c>
      <c r="AK698" s="37" t="str">
        <f>VLOOKUP(Mecze[[#This Row],[Match ID]],Meczusie[Mecz]:Meczusie[RodzajMeczu],2,FALSE)</f>
        <v>Liga</v>
      </c>
    </row>
    <row r="699" spans="1:37" x14ac:dyDescent="0.25">
      <c r="A699" s="76">
        <v>6</v>
      </c>
      <c r="B699" s="3" t="s">
        <v>324</v>
      </c>
      <c r="C699" s="2" t="s">
        <v>157</v>
      </c>
      <c r="D699" s="1">
        <v>0</v>
      </c>
      <c r="E699" s="1">
        <v>0</v>
      </c>
      <c r="F699" s="1">
        <v>0</v>
      </c>
      <c r="G699" s="1">
        <v>8</v>
      </c>
      <c r="H699" s="4">
        <v>0.88</v>
      </c>
      <c r="I699" s="1">
        <v>3</v>
      </c>
      <c r="J699" s="4">
        <v>0.67</v>
      </c>
      <c r="K699" s="1">
        <v>0</v>
      </c>
      <c r="L699" s="1">
        <v>5</v>
      </c>
      <c r="M699" s="32">
        <f>IF(Mecze[[#This Row],[PR]]=0,0,Mecze[[#This Row],[PR]]/Mecze[[#This Row],[CZAS]])</f>
        <v>5.2083333333333336E-2</v>
      </c>
      <c r="N699" s="32">
        <f>IF(Mecze[[#This Row],[OU]]=0,0,Mecze[[#This Row],[OU]]/Mecze[[#This Row],[CZAS]])</f>
        <v>2.0833333333333332E-2</v>
      </c>
      <c r="O699" s="32">
        <f>IF(Mecze[[#This Row],[PC]]=0,0,Mecze[[#This Row],[PC]]/Mecze[[#This Row],[CZAS]])</f>
        <v>7.2916666666666671E-2</v>
      </c>
      <c r="P699" s="32">
        <f>IF(Mecze[[#This Row],[SC]]=0,0,Mecze[[#This Row],[SC]]/Mecze[[#This Row],[CZAS]])</f>
        <v>0</v>
      </c>
      <c r="Q699" s="32">
        <f>IF(Mecze[[#This Row],[OB]]=0,0,Mecze[[#This Row],[OB]]/Mecze[[#This Row],[CZAS]])</f>
        <v>0</v>
      </c>
      <c r="R699" s="32">
        <f>IF(Mecze[[#This Row],[BR]]=0,0,Mecze[[#This Row],[BR]]/Mecze[[#This Row],[CZAS]])</f>
        <v>0</v>
      </c>
      <c r="S699" s="44">
        <f>IF(Mecze[[#This Row],[Role]]="BR",SUMPRODUCT(Mecze[[#This Row],[/PR:90]:[/BR:90]],Brudnopis!$E$23:$J$23),0)</f>
        <v>0</v>
      </c>
      <c r="T699" s="44">
        <f>IF(Mecze[[#This Row],[Role]]&lt;&gt;"BR",SUMPRODUCT(Mecze[[#This Row],[/PR:90]:[/BR:90]],Brudnopis!$E$24:$J$24),0)</f>
        <v>0.15625</v>
      </c>
      <c r="U699" s="44">
        <f>IF(Mecze[[#This Row],[Role]]&lt;&gt;"BR",SUMPRODUCT(Mecze[[#This Row],[/PR:90]:[/BR:90]],Brudnopis!$E$25:$J$25),0)</f>
        <v>0.18229166666666669</v>
      </c>
      <c r="V699" s="44">
        <f>IF(Mecze[[#This Row],[Role]]&lt;&gt;"BR",SUMPRODUCT(Mecze[[#This Row],[/PR:90]:[/BR:90]],Brudnopis!$E$26:$J$26),0)</f>
        <v>0.14583333333333334</v>
      </c>
      <c r="W699" s="44">
        <f>IF(Mecze[[#This Row],[Role]]&lt;&gt;"BR",SUMPRODUCT(Mecze[[#This Row],[/PR:90]:[/BR:90]],Brudnopis!$E$27:$J$27),0)</f>
        <v>0.1640625</v>
      </c>
      <c r="X699" s="44">
        <f>IF(Mecze[[#This Row],[Role]]&lt;&gt;"BR",SUMPRODUCT(Mecze[[#This Row],[/PR:90]:[/BR:90]],Brudnopis!$E$28:$J$28),0)</f>
        <v>7.2916666666666671E-2</v>
      </c>
      <c r="Y699" s="35">
        <f>IF(Mecze[[#This Row],[Role]]="BR",Mecze[[#This Row],[/OB:90]]+Mecze[[#This Row],[/PC:90]],SUM(Mecze[[#This Row],[/PR:90]:[/BR:90]]))</f>
        <v>0.14583333333333334</v>
      </c>
      <c r="Z699" s="35">
        <f>IF(Mecze[[#This Row],[KC]]=0,SUM(Mecze[[#This Row],[/BRI]:[/NPI]]),SUM(Mecze[[#This Row],[/BRI]:[/NPI]])*0.6)</f>
        <v>0.72135416666666663</v>
      </c>
      <c r="AA699" s="10">
        <f>IFERROR(Mecze[[#This Row],[BR]]/Mecze[[#This Row],[ST]],0)</f>
        <v>0</v>
      </c>
      <c r="AB699">
        <f>ROUND(Mecze[[#This Row],[PD]]*Mecze[[#This Row],[%PC]],0)</f>
        <v>7</v>
      </c>
      <c r="AC699">
        <f>ROUND(Mecze[[#This Row],[OD]]*Mecze[[#This Row],[%OU]],0)</f>
        <v>2</v>
      </c>
      <c r="AD699" s="36" t="s">
        <v>174</v>
      </c>
      <c r="AE699" s="36">
        <v>40</v>
      </c>
      <c r="AF699" s="71">
        <v>3.76</v>
      </c>
      <c r="AG699" s="37">
        <v>0</v>
      </c>
      <c r="AH699" s="37">
        <v>0</v>
      </c>
      <c r="AI699" s="37">
        <v>96</v>
      </c>
      <c r="AJ699" s="37">
        <v>11</v>
      </c>
      <c r="AK699" s="37" t="str">
        <f>VLOOKUP(Mecze[[#This Row],[Match ID]],Meczusie[Mecz]:Meczusie[RodzajMeczu],2,FALSE)</f>
        <v>Liga</v>
      </c>
    </row>
    <row r="700" spans="1:37" x14ac:dyDescent="0.25">
      <c r="A700" s="76">
        <v>5</v>
      </c>
      <c r="B700" s="3" t="s">
        <v>325</v>
      </c>
      <c r="C700" s="2" t="s">
        <v>160</v>
      </c>
      <c r="D700" s="1">
        <v>0</v>
      </c>
      <c r="E700" s="1">
        <v>0</v>
      </c>
      <c r="F700" s="1">
        <v>0</v>
      </c>
      <c r="G700" s="1">
        <v>14</v>
      </c>
      <c r="H700" s="4">
        <v>0.86</v>
      </c>
      <c r="I700" s="1">
        <v>13</v>
      </c>
      <c r="J700" s="4">
        <v>0.54</v>
      </c>
      <c r="K700" s="1">
        <v>0</v>
      </c>
      <c r="L700" s="1">
        <v>2</v>
      </c>
      <c r="M700" s="32">
        <f>IF(Mecze[[#This Row],[PR]]=0,0,Mecze[[#This Row],[PR]]/Mecze[[#This Row],[CZAS]])</f>
        <v>2.0833333333333332E-2</v>
      </c>
      <c r="N700" s="32">
        <f>IF(Mecze[[#This Row],[OU]]=0,0,Mecze[[#This Row],[OU]]/Mecze[[#This Row],[CZAS]])</f>
        <v>7.2916666666666671E-2</v>
      </c>
      <c r="O700" s="32">
        <f>IF(Mecze[[#This Row],[PC]]=0,0,Mecze[[#This Row],[PC]]/Mecze[[#This Row],[CZAS]])</f>
        <v>0.125</v>
      </c>
      <c r="P700" s="32">
        <f>IF(Mecze[[#This Row],[SC]]=0,0,Mecze[[#This Row],[SC]]/Mecze[[#This Row],[CZAS]])</f>
        <v>0</v>
      </c>
      <c r="Q700" s="32">
        <f>IF(Mecze[[#This Row],[OB]]=0,0,Mecze[[#This Row],[OB]]/Mecze[[#This Row],[CZAS]])</f>
        <v>0</v>
      </c>
      <c r="R700" s="32">
        <f>IF(Mecze[[#This Row],[BR]]=0,0,Mecze[[#This Row],[BR]]/Mecze[[#This Row],[CZAS]])</f>
        <v>0</v>
      </c>
      <c r="S700" s="44">
        <f>IF(Mecze[[#This Row],[Role]]="BR",SUMPRODUCT(Mecze[[#This Row],[/PR:90]:[/BR:90]],Brudnopis!$E$23:$J$23),0)</f>
        <v>0</v>
      </c>
      <c r="T700" s="44">
        <f>IF(Mecze[[#This Row],[Role]]&lt;&gt;"BR",SUMPRODUCT(Mecze[[#This Row],[/PR:90]:[/BR:90]],Brudnopis!$E$24:$J$24),0)</f>
        <v>0.25520833333333337</v>
      </c>
      <c r="U700" s="44">
        <f>IF(Mecze[[#This Row],[Role]]&lt;&gt;"BR",SUMPRODUCT(Mecze[[#This Row],[/PR:90]:[/BR:90]],Brudnopis!$E$25:$J$25),0)</f>
        <v>0.28125</v>
      </c>
      <c r="V700" s="44">
        <f>IF(Mecze[[#This Row],[Role]]&lt;&gt;"BR",SUMPRODUCT(Mecze[[#This Row],[/PR:90]:[/BR:90]],Brudnopis!$E$26:$J$26),0)</f>
        <v>0.21875</v>
      </c>
      <c r="W700" s="44">
        <f>IF(Mecze[[#This Row],[Role]]&lt;&gt;"BR",SUMPRODUCT(Mecze[[#This Row],[/PR:90]:[/BR:90]],Brudnopis!$E$27:$J$27),0)</f>
        <v>0.2578125</v>
      </c>
      <c r="X700" s="44">
        <f>IF(Mecze[[#This Row],[Role]]&lt;&gt;"BR",SUMPRODUCT(Mecze[[#This Row],[/PR:90]:[/BR:90]],Brudnopis!$E$28:$J$28),0)</f>
        <v>0.125</v>
      </c>
      <c r="Y700" s="35">
        <f>IF(Mecze[[#This Row],[Role]]="BR",Mecze[[#This Row],[/OB:90]]+Mecze[[#This Row],[/PC:90]],SUM(Mecze[[#This Row],[/PR:90]:[/BR:90]]))</f>
        <v>0.21875</v>
      </c>
      <c r="Z700" s="35">
        <f>IF(Mecze[[#This Row],[KC]]=0,SUM(Mecze[[#This Row],[/BRI]:[/NPI]]),SUM(Mecze[[#This Row],[/BRI]:[/NPI]])*0.6)</f>
        <v>1.1380208333333335</v>
      </c>
      <c r="AA700" s="10">
        <f>IFERROR(Mecze[[#This Row],[BR]]/Mecze[[#This Row],[ST]],0)</f>
        <v>0</v>
      </c>
      <c r="AB700">
        <f>ROUND(Mecze[[#This Row],[PD]]*Mecze[[#This Row],[%PC]],0)</f>
        <v>12</v>
      </c>
      <c r="AC700">
        <f>ROUND(Mecze[[#This Row],[OD]]*Mecze[[#This Row],[%OU]],0)</f>
        <v>7</v>
      </c>
      <c r="AD700" s="36" t="s">
        <v>41</v>
      </c>
      <c r="AE700" s="36">
        <v>40</v>
      </c>
      <c r="AF700" s="71">
        <v>5.24</v>
      </c>
      <c r="AG700" s="37">
        <v>0</v>
      </c>
      <c r="AH700" s="37">
        <v>0</v>
      </c>
      <c r="AI700" s="37">
        <v>96</v>
      </c>
      <c r="AJ700" s="37">
        <v>11</v>
      </c>
      <c r="AK700" s="37" t="str">
        <f>VLOOKUP(Mecze[[#This Row],[Match ID]],Meczusie[Mecz]:Meczusie[RodzajMeczu],2,FALSE)</f>
        <v>Liga</v>
      </c>
    </row>
    <row r="701" spans="1:37" x14ac:dyDescent="0.25">
      <c r="A701" s="76">
        <v>8</v>
      </c>
      <c r="B701" s="3" t="s">
        <v>326</v>
      </c>
      <c r="C701" s="2" t="s">
        <v>160</v>
      </c>
      <c r="D701" s="1">
        <v>0</v>
      </c>
      <c r="E701" s="1">
        <v>0</v>
      </c>
      <c r="F701" s="1">
        <v>0</v>
      </c>
      <c r="G701" s="1">
        <v>16</v>
      </c>
      <c r="H701" s="4">
        <v>0.56000000000000005</v>
      </c>
      <c r="I701" s="1">
        <v>2</v>
      </c>
      <c r="J701" s="4">
        <v>0</v>
      </c>
      <c r="K701" s="1">
        <v>0</v>
      </c>
      <c r="L701" s="1">
        <v>3</v>
      </c>
      <c r="M701" s="32">
        <f>IF(Mecze[[#This Row],[PR]]=0,0,Mecze[[#This Row],[PR]]/Mecze[[#This Row],[CZAS]])</f>
        <v>3.125E-2</v>
      </c>
      <c r="N701" s="32">
        <f>IF(Mecze[[#This Row],[OU]]=0,0,Mecze[[#This Row],[OU]]/Mecze[[#This Row],[CZAS]])</f>
        <v>0</v>
      </c>
      <c r="O701" s="32">
        <f>IF(Mecze[[#This Row],[PC]]=0,0,Mecze[[#This Row],[PC]]/Mecze[[#This Row],[CZAS]])</f>
        <v>9.375E-2</v>
      </c>
      <c r="P701" s="32">
        <f>IF(Mecze[[#This Row],[SC]]=0,0,Mecze[[#This Row],[SC]]/Mecze[[#This Row],[CZAS]])</f>
        <v>0</v>
      </c>
      <c r="Q701" s="32">
        <f>IF(Mecze[[#This Row],[OB]]=0,0,Mecze[[#This Row],[OB]]/Mecze[[#This Row],[CZAS]])</f>
        <v>0</v>
      </c>
      <c r="R701" s="32">
        <f>IF(Mecze[[#This Row],[BR]]=0,0,Mecze[[#This Row],[BR]]/Mecze[[#This Row],[CZAS]])</f>
        <v>0</v>
      </c>
      <c r="S701" s="44">
        <f>IF(Mecze[[#This Row],[Role]]="BR",SUMPRODUCT(Mecze[[#This Row],[/PR:90]:[/BR:90]],Brudnopis!$E$23:$J$23),0)</f>
        <v>0</v>
      </c>
      <c r="T701" s="44">
        <f>IF(Mecze[[#This Row],[Role]]&lt;&gt;"BR",SUMPRODUCT(Mecze[[#This Row],[/PR:90]:[/BR:90]],Brudnopis!$E$24:$J$24),0)</f>
        <v>0.125</v>
      </c>
      <c r="U701" s="44">
        <f>IF(Mecze[[#This Row],[Role]]&lt;&gt;"BR",SUMPRODUCT(Mecze[[#This Row],[/PR:90]:[/BR:90]],Brudnopis!$E$25:$J$25),0)</f>
        <v>0.171875</v>
      </c>
      <c r="V701" s="44">
        <f>IF(Mecze[[#This Row],[Role]]&lt;&gt;"BR",SUMPRODUCT(Mecze[[#This Row],[/PR:90]:[/BR:90]],Brudnopis!$E$26:$J$26),0)</f>
        <v>0.125</v>
      </c>
      <c r="W701" s="44">
        <f>IF(Mecze[[#This Row],[Role]]&lt;&gt;"BR",SUMPRODUCT(Mecze[[#This Row],[/PR:90]:[/BR:90]],Brudnopis!$E$27:$J$27),0)</f>
        <v>0.1640625</v>
      </c>
      <c r="X701" s="44">
        <f>IF(Mecze[[#This Row],[Role]]&lt;&gt;"BR",SUMPRODUCT(Mecze[[#This Row],[/PR:90]:[/BR:90]],Brudnopis!$E$28:$J$28),0)</f>
        <v>9.375E-2</v>
      </c>
      <c r="Y701" s="35">
        <f>IF(Mecze[[#This Row],[Role]]="BR",Mecze[[#This Row],[/OB:90]]+Mecze[[#This Row],[/PC:90]],SUM(Mecze[[#This Row],[/PR:90]:[/BR:90]]))</f>
        <v>0.125</v>
      </c>
      <c r="Z701" s="35">
        <f>IF(Mecze[[#This Row],[KC]]=0,SUM(Mecze[[#This Row],[/BRI]:[/NPI]]),SUM(Mecze[[#This Row],[/BRI]:[/NPI]])*0.6)</f>
        <v>0.6796875</v>
      </c>
      <c r="AA701" s="10">
        <f>IFERROR(Mecze[[#This Row],[BR]]/Mecze[[#This Row],[ST]],0)</f>
        <v>0</v>
      </c>
      <c r="AB701">
        <f>ROUND(Mecze[[#This Row],[PD]]*Mecze[[#This Row],[%PC]],0)</f>
        <v>9</v>
      </c>
      <c r="AC701">
        <f>ROUND(Mecze[[#This Row],[OD]]*Mecze[[#This Row],[%OU]],0)</f>
        <v>0</v>
      </c>
      <c r="AD701" s="36" t="s">
        <v>318</v>
      </c>
      <c r="AE701" s="36">
        <v>40</v>
      </c>
      <c r="AF701" s="71">
        <v>4.54</v>
      </c>
      <c r="AG701" s="37">
        <v>0</v>
      </c>
      <c r="AH701" s="37">
        <v>0</v>
      </c>
      <c r="AI701" s="37">
        <v>96</v>
      </c>
      <c r="AJ701" s="37">
        <v>11</v>
      </c>
      <c r="AK701" s="37" t="str">
        <f>VLOOKUP(Mecze[[#This Row],[Match ID]],Meczusie[Mecz]:Meczusie[RodzajMeczu],2,FALSE)</f>
        <v>Liga</v>
      </c>
    </row>
    <row r="702" spans="1:37" x14ac:dyDescent="0.25">
      <c r="A702" s="76">
        <v>9</v>
      </c>
      <c r="B702" s="3" t="s">
        <v>327</v>
      </c>
      <c r="C702" s="2" t="s">
        <v>160</v>
      </c>
      <c r="D702" s="1">
        <v>1</v>
      </c>
      <c r="E702" s="1">
        <v>3</v>
      </c>
      <c r="F702" s="1">
        <v>3</v>
      </c>
      <c r="G702" s="1">
        <v>17</v>
      </c>
      <c r="H702" s="4">
        <v>0.76</v>
      </c>
      <c r="I702" s="1">
        <v>5</v>
      </c>
      <c r="J702" s="4">
        <v>0.4</v>
      </c>
      <c r="K702" s="1">
        <v>0</v>
      </c>
      <c r="L702" s="1">
        <v>2</v>
      </c>
      <c r="M702" s="32">
        <f>IF(Mecze[[#This Row],[PR]]=0,0,Mecze[[#This Row],[PR]]/Mecze[[#This Row],[CZAS]])</f>
        <v>2.0833333333333332E-2</v>
      </c>
      <c r="N702" s="32">
        <f>IF(Mecze[[#This Row],[OU]]=0,0,Mecze[[#This Row],[OU]]/Mecze[[#This Row],[CZAS]])</f>
        <v>2.0833333333333332E-2</v>
      </c>
      <c r="O702" s="32">
        <f>IF(Mecze[[#This Row],[PC]]=0,0,Mecze[[#This Row],[PC]]/Mecze[[#This Row],[CZAS]])</f>
        <v>0.13541666666666666</v>
      </c>
      <c r="P702" s="32">
        <f>IF(Mecze[[#This Row],[SC]]=0,0,Mecze[[#This Row],[SC]]/Mecze[[#This Row],[CZAS]])</f>
        <v>3.125E-2</v>
      </c>
      <c r="Q702" s="32">
        <f>IF(Mecze[[#This Row],[OB]]=0,0,Mecze[[#This Row],[OB]]/Mecze[[#This Row],[CZAS]])</f>
        <v>0</v>
      </c>
      <c r="R702" s="32">
        <f>IF(Mecze[[#This Row],[BR]]=0,0,Mecze[[#This Row],[BR]]/Mecze[[#This Row],[CZAS]])</f>
        <v>1.0416666666666666E-2</v>
      </c>
      <c r="S702" s="44">
        <f>IF(Mecze[[#This Row],[Role]]="BR",SUMPRODUCT(Mecze[[#This Row],[/PR:90]:[/BR:90]],Brudnopis!$E$23:$J$23),0)</f>
        <v>0</v>
      </c>
      <c r="T702" s="44">
        <f>IF(Mecze[[#This Row],[Role]]&lt;&gt;"BR",SUMPRODUCT(Mecze[[#This Row],[/PR:90]:[/BR:90]],Brudnopis!$E$24:$J$24),0)</f>
        <v>0.234375</v>
      </c>
      <c r="U702" s="44">
        <f>IF(Mecze[[#This Row],[Role]]&lt;&gt;"BR",SUMPRODUCT(Mecze[[#This Row],[/PR:90]:[/BR:90]],Brudnopis!$E$25:$J$25),0)</f>
        <v>0.29166666666666663</v>
      </c>
      <c r="V702" s="44">
        <f>IF(Mecze[[#This Row],[Role]]&lt;&gt;"BR",SUMPRODUCT(Mecze[[#This Row],[/PR:90]:[/BR:90]],Brudnopis!$E$26:$J$26),0)</f>
        <v>0.22916666666666666</v>
      </c>
      <c r="W702" s="44">
        <f>IF(Mecze[[#This Row],[Role]]&lt;&gt;"BR",SUMPRODUCT(Mecze[[#This Row],[/PR:90]:[/BR:90]],Brudnopis!$E$27:$J$27),0)</f>
        <v>0.28645833333333331</v>
      </c>
      <c r="X702" s="44">
        <f>IF(Mecze[[#This Row],[Role]]&lt;&gt;"BR",SUMPRODUCT(Mecze[[#This Row],[/PR:90]:[/BR:90]],Brudnopis!$E$28:$J$28),0)</f>
        <v>0.22916666666666666</v>
      </c>
      <c r="Y702" s="35">
        <f>IF(Mecze[[#This Row],[Role]]="BR",Mecze[[#This Row],[/OB:90]]+Mecze[[#This Row],[/PC:90]],SUM(Mecze[[#This Row],[/PR:90]:[/BR:90]]))</f>
        <v>0.21874999999999997</v>
      </c>
      <c r="Z702" s="35">
        <f>IF(Mecze[[#This Row],[KC]]=0,SUM(Mecze[[#This Row],[/BRI]:[/NPI]]),SUM(Mecze[[#This Row],[/BRI]:[/NPI]])*0.6)</f>
        <v>1.2708333333333333</v>
      </c>
      <c r="AA702" s="10">
        <f>IFERROR(Mecze[[#This Row],[BR]]/Mecze[[#This Row],[ST]],0)</f>
        <v>0.33333333333333331</v>
      </c>
      <c r="AB702">
        <f>ROUND(Mecze[[#This Row],[PD]]*Mecze[[#This Row],[%PC]],0)</f>
        <v>13</v>
      </c>
      <c r="AC702">
        <f>ROUND(Mecze[[#This Row],[OD]]*Mecze[[#This Row],[%OU]],0)</f>
        <v>2</v>
      </c>
      <c r="AD702" s="36" t="s">
        <v>44</v>
      </c>
      <c r="AE702" s="36">
        <v>40</v>
      </c>
      <c r="AF702" s="71">
        <v>7.13</v>
      </c>
      <c r="AG702" s="37">
        <v>0</v>
      </c>
      <c r="AH702" s="37">
        <v>0</v>
      </c>
      <c r="AI702" s="37">
        <v>96</v>
      </c>
      <c r="AJ702" s="37">
        <v>11</v>
      </c>
      <c r="AK702" s="37" t="str">
        <f>VLOOKUP(Mecze[[#This Row],[Match ID]],Meczusie[Mecz]:Meczusie[RodzajMeczu],2,FALSE)</f>
        <v>Liga</v>
      </c>
    </row>
    <row r="703" spans="1:37" x14ac:dyDescent="0.25">
      <c r="A703" s="76">
        <v>10</v>
      </c>
      <c r="B703" s="3" t="s">
        <v>328</v>
      </c>
      <c r="C703" s="2" t="s">
        <v>165</v>
      </c>
      <c r="D703" s="1">
        <v>0</v>
      </c>
      <c r="E703" s="1">
        <v>1</v>
      </c>
      <c r="F703" s="1">
        <v>1</v>
      </c>
      <c r="G703" s="1">
        <v>12</v>
      </c>
      <c r="H703" s="4">
        <v>0.67</v>
      </c>
      <c r="I703" s="1">
        <v>3</v>
      </c>
      <c r="J703" s="4">
        <v>0.33</v>
      </c>
      <c r="K703" s="1">
        <v>0</v>
      </c>
      <c r="L703" s="1">
        <v>5</v>
      </c>
      <c r="M703" s="32">
        <f>IF(Mecze[[#This Row],[PR]]=0,0,Mecze[[#This Row],[PR]]/Mecze[[#This Row],[CZAS]])</f>
        <v>5.2083333333333336E-2</v>
      </c>
      <c r="N703" s="32">
        <f>IF(Mecze[[#This Row],[OU]]=0,0,Mecze[[#This Row],[OU]]/Mecze[[#This Row],[CZAS]])</f>
        <v>1.0416666666666666E-2</v>
      </c>
      <c r="O703" s="32">
        <f>IF(Mecze[[#This Row],[PC]]=0,0,Mecze[[#This Row],[PC]]/Mecze[[#This Row],[CZAS]])</f>
        <v>8.3333333333333329E-2</v>
      </c>
      <c r="P703" s="32">
        <f>IF(Mecze[[#This Row],[SC]]=0,0,Mecze[[#This Row],[SC]]/Mecze[[#This Row],[CZAS]])</f>
        <v>1.0416666666666666E-2</v>
      </c>
      <c r="Q703" s="32">
        <f>IF(Mecze[[#This Row],[OB]]=0,0,Mecze[[#This Row],[OB]]/Mecze[[#This Row],[CZAS]])</f>
        <v>0</v>
      </c>
      <c r="R703" s="32">
        <f>IF(Mecze[[#This Row],[BR]]=0,0,Mecze[[#This Row],[BR]]/Mecze[[#This Row],[CZAS]])</f>
        <v>0</v>
      </c>
      <c r="S703" s="44">
        <f>IF(Mecze[[#This Row],[Role]]="BR",SUMPRODUCT(Mecze[[#This Row],[/PR:90]:[/BR:90]],Brudnopis!$E$23:$J$23),0)</f>
        <v>0</v>
      </c>
      <c r="T703" s="44">
        <f>IF(Mecze[[#This Row],[Role]]&lt;&gt;"BR",SUMPRODUCT(Mecze[[#This Row],[/PR:90]:[/BR:90]],Brudnopis!$E$24:$J$24),0)</f>
        <v>0.16145833333333334</v>
      </c>
      <c r="U703" s="44">
        <f>IF(Mecze[[#This Row],[Role]]&lt;&gt;"BR",SUMPRODUCT(Mecze[[#This Row],[/PR:90]:[/BR:90]],Brudnopis!$E$25:$J$25),0)</f>
        <v>0.19791666666666666</v>
      </c>
      <c r="V703" s="44">
        <f>IF(Mecze[[#This Row],[Role]]&lt;&gt;"BR",SUMPRODUCT(Mecze[[#This Row],[/PR:90]:[/BR:90]],Brudnopis!$E$26:$J$26),0)</f>
        <v>0.15624999999999997</v>
      </c>
      <c r="W703" s="44">
        <f>IF(Mecze[[#This Row],[Role]]&lt;&gt;"BR",SUMPRODUCT(Mecze[[#This Row],[/PR:90]:[/BR:90]],Brudnopis!$E$27:$J$27),0)</f>
        <v>0.18229166666666666</v>
      </c>
      <c r="X703" s="44">
        <f>IF(Mecze[[#This Row],[Role]]&lt;&gt;"BR",SUMPRODUCT(Mecze[[#This Row],[/PR:90]:[/BR:90]],Brudnopis!$E$28:$J$28),0)</f>
        <v>0.10416666666666666</v>
      </c>
      <c r="Y703" s="35">
        <f>IF(Mecze[[#This Row],[Role]]="BR",Mecze[[#This Row],[/OB:90]]+Mecze[[#This Row],[/PC:90]],SUM(Mecze[[#This Row],[/PR:90]:[/BR:90]]))</f>
        <v>0.15624999999999997</v>
      </c>
      <c r="Z703" s="35">
        <f>IF(Mecze[[#This Row],[KC]]=0,SUM(Mecze[[#This Row],[/BRI]:[/NPI]]),SUM(Mecze[[#This Row],[/BRI]:[/NPI]])*0.6)</f>
        <v>0.80208333333333326</v>
      </c>
      <c r="AA703" s="10">
        <f>IFERROR(Mecze[[#This Row],[BR]]/Mecze[[#This Row],[ST]],0)</f>
        <v>0</v>
      </c>
      <c r="AB703">
        <f>ROUND(Mecze[[#This Row],[PD]]*Mecze[[#This Row],[%PC]],0)</f>
        <v>8</v>
      </c>
      <c r="AC703">
        <f>ROUND(Mecze[[#This Row],[OD]]*Mecze[[#This Row],[%OU]],0)</f>
        <v>1</v>
      </c>
      <c r="AD703" s="36" t="s">
        <v>46</v>
      </c>
      <c r="AE703" s="36">
        <v>40</v>
      </c>
      <c r="AF703" s="71">
        <v>4.26</v>
      </c>
      <c r="AG703" s="37">
        <v>0</v>
      </c>
      <c r="AH703" s="37">
        <v>0</v>
      </c>
      <c r="AI703" s="37">
        <v>96</v>
      </c>
      <c r="AJ703" s="37">
        <v>11</v>
      </c>
      <c r="AK703" s="37" t="str">
        <f>VLOOKUP(Mecze[[#This Row],[Match ID]],Meczusie[Mecz]:Meczusie[RodzajMeczu],2,FALSE)</f>
        <v>Liga</v>
      </c>
    </row>
    <row r="704" spans="1:37" x14ac:dyDescent="0.25">
      <c r="A704" s="76">
        <v>11</v>
      </c>
      <c r="B704" s="3" t="s">
        <v>329</v>
      </c>
      <c r="C704" s="2" t="s">
        <v>165</v>
      </c>
      <c r="D704" s="1">
        <v>0</v>
      </c>
      <c r="E704" s="1">
        <v>5</v>
      </c>
      <c r="F704" s="1">
        <v>5</v>
      </c>
      <c r="G704" s="1">
        <v>8</v>
      </c>
      <c r="H704" s="4">
        <v>1</v>
      </c>
      <c r="I704" s="1">
        <v>5</v>
      </c>
      <c r="J704" s="4">
        <v>0.2</v>
      </c>
      <c r="K704" s="1">
        <v>0</v>
      </c>
      <c r="L704" s="1">
        <v>0</v>
      </c>
      <c r="M704" s="32">
        <f>IF(Mecze[[#This Row],[PR]]=0,0,Mecze[[#This Row],[PR]]/Mecze[[#This Row],[CZAS]])</f>
        <v>0</v>
      </c>
      <c r="N704" s="32">
        <f>IF(Mecze[[#This Row],[OU]]=0,0,Mecze[[#This Row],[OU]]/Mecze[[#This Row],[CZAS]])</f>
        <v>1.0416666666666666E-2</v>
      </c>
      <c r="O704" s="32">
        <f>IF(Mecze[[#This Row],[PC]]=0,0,Mecze[[#This Row],[PC]]/Mecze[[#This Row],[CZAS]])</f>
        <v>8.3333333333333329E-2</v>
      </c>
      <c r="P704" s="32">
        <f>IF(Mecze[[#This Row],[SC]]=0,0,Mecze[[#This Row],[SC]]/Mecze[[#This Row],[CZAS]])</f>
        <v>5.2083333333333336E-2</v>
      </c>
      <c r="Q704" s="32">
        <f>IF(Mecze[[#This Row],[OB]]=0,0,Mecze[[#This Row],[OB]]/Mecze[[#This Row],[CZAS]])</f>
        <v>0</v>
      </c>
      <c r="R704" s="32">
        <f>IF(Mecze[[#This Row],[BR]]=0,0,Mecze[[#This Row],[BR]]/Mecze[[#This Row],[CZAS]])</f>
        <v>0</v>
      </c>
      <c r="S704" s="44">
        <f>IF(Mecze[[#This Row],[Role]]="BR",SUMPRODUCT(Mecze[[#This Row],[/PR:90]:[/BR:90]],Brudnopis!$E$23:$J$23),0)</f>
        <v>0</v>
      </c>
      <c r="T704" s="44">
        <f>IF(Mecze[[#This Row],[Role]]&lt;&gt;"BR",SUMPRODUCT(Mecze[[#This Row],[/PR:90]:[/BR:90]],Brudnopis!$E$24:$J$24),0)</f>
        <v>0.15104166666666666</v>
      </c>
      <c r="U704" s="44">
        <f>IF(Mecze[[#This Row],[Role]]&lt;&gt;"BR",SUMPRODUCT(Mecze[[#This Row],[/PR:90]:[/BR:90]],Brudnopis!$E$25:$J$25),0)</f>
        <v>0.1875</v>
      </c>
      <c r="V704" s="44">
        <f>IF(Mecze[[#This Row],[Role]]&lt;&gt;"BR",SUMPRODUCT(Mecze[[#This Row],[/PR:90]:[/BR:90]],Brudnopis!$E$26:$J$26),0)</f>
        <v>0.14583333333333334</v>
      </c>
      <c r="W704" s="44">
        <f>IF(Mecze[[#This Row],[Role]]&lt;&gt;"BR",SUMPRODUCT(Mecze[[#This Row],[/PR:90]:[/BR:90]],Brudnopis!$E$27:$J$27),0)</f>
        <v>0.18489583333333334</v>
      </c>
      <c r="X704" s="44">
        <f>IF(Mecze[[#This Row],[Role]]&lt;&gt;"BR",SUMPRODUCT(Mecze[[#This Row],[/PR:90]:[/BR:90]],Brudnopis!$E$28:$J$28),0)</f>
        <v>0.1875</v>
      </c>
      <c r="Y704" s="35">
        <f>IF(Mecze[[#This Row],[Role]]="BR",Mecze[[#This Row],[/OB:90]]+Mecze[[#This Row],[/PC:90]],SUM(Mecze[[#This Row],[/PR:90]:[/BR:90]]))</f>
        <v>0.14583333333333334</v>
      </c>
      <c r="Z704" s="35">
        <f>IF(Mecze[[#This Row],[KC]]=0,SUM(Mecze[[#This Row],[/BRI]:[/NPI]]),SUM(Mecze[[#This Row],[/BRI]:[/NPI]])*0.6)</f>
        <v>0.85677083333333337</v>
      </c>
      <c r="AA704" s="10">
        <f>IFERROR(Mecze[[#This Row],[BR]]/Mecze[[#This Row],[ST]],0)</f>
        <v>0</v>
      </c>
      <c r="AB704">
        <f>ROUND(Mecze[[#This Row],[PD]]*Mecze[[#This Row],[%PC]],0)</f>
        <v>8</v>
      </c>
      <c r="AC704">
        <f>ROUND(Mecze[[#This Row],[OD]]*Mecze[[#This Row],[%OU]],0)</f>
        <v>1</v>
      </c>
      <c r="AD704" s="36" t="s">
        <v>273</v>
      </c>
      <c r="AE704" s="36">
        <v>40</v>
      </c>
      <c r="AF704" s="71">
        <v>6.95</v>
      </c>
      <c r="AG704" s="37">
        <v>0</v>
      </c>
      <c r="AH704" s="37">
        <v>0</v>
      </c>
      <c r="AI704" s="37">
        <v>96</v>
      </c>
      <c r="AJ704" s="37">
        <v>11</v>
      </c>
      <c r="AK704" s="37" t="str">
        <f>VLOOKUP(Mecze[[#This Row],[Match ID]],Meczusie[Mecz]:Meczusie[RodzajMeczu],2,FALSE)</f>
        <v>Liga</v>
      </c>
    </row>
    <row r="705" spans="1:37" x14ac:dyDescent="0.25">
      <c r="A705" s="76">
        <v>14</v>
      </c>
      <c r="B705" s="3" t="s">
        <v>330</v>
      </c>
      <c r="C705" s="2" t="s">
        <v>165</v>
      </c>
      <c r="D705" s="1">
        <v>0</v>
      </c>
      <c r="E705" s="1">
        <v>3</v>
      </c>
      <c r="F705" s="1">
        <v>3</v>
      </c>
      <c r="G705" s="1">
        <v>18</v>
      </c>
      <c r="H705" s="4">
        <v>0.56000000000000005</v>
      </c>
      <c r="I705" s="1">
        <v>6</v>
      </c>
      <c r="J705" s="4">
        <v>0.33</v>
      </c>
      <c r="K705" s="1">
        <v>0</v>
      </c>
      <c r="L705" s="1">
        <v>1</v>
      </c>
      <c r="M705" s="32">
        <f>IF(Mecze[[#This Row],[PR]]=0,0,Mecze[[#This Row],[PR]]/Mecze[[#This Row],[CZAS]])</f>
        <v>1.0416666666666666E-2</v>
      </c>
      <c r="N705" s="32">
        <f>IF(Mecze[[#This Row],[OU]]=0,0,Mecze[[#This Row],[OU]]/Mecze[[#This Row],[CZAS]])</f>
        <v>2.0833333333333332E-2</v>
      </c>
      <c r="O705" s="32">
        <f>IF(Mecze[[#This Row],[PC]]=0,0,Mecze[[#This Row],[PC]]/Mecze[[#This Row],[CZAS]])</f>
        <v>0.10416666666666667</v>
      </c>
      <c r="P705" s="32">
        <f>IF(Mecze[[#This Row],[SC]]=0,0,Mecze[[#This Row],[SC]]/Mecze[[#This Row],[CZAS]])</f>
        <v>3.125E-2</v>
      </c>
      <c r="Q705" s="32">
        <f>IF(Mecze[[#This Row],[OB]]=0,0,Mecze[[#This Row],[OB]]/Mecze[[#This Row],[CZAS]])</f>
        <v>0</v>
      </c>
      <c r="R705" s="32">
        <f>IF(Mecze[[#This Row],[BR]]=0,0,Mecze[[#This Row],[BR]]/Mecze[[#This Row],[CZAS]])</f>
        <v>0</v>
      </c>
      <c r="S705" s="44">
        <f>IF(Mecze[[#This Row],[Role]]="BR",SUMPRODUCT(Mecze[[#This Row],[/PR:90]:[/BR:90]],Brudnopis!$E$23:$J$23),0)</f>
        <v>0</v>
      </c>
      <c r="T705" s="44">
        <f>IF(Mecze[[#This Row],[Role]]&lt;&gt;"BR",SUMPRODUCT(Mecze[[#This Row],[/PR:90]:[/BR:90]],Brudnopis!$E$24:$J$24),0)</f>
        <v>0.17708333333333334</v>
      </c>
      <c r="U705" s="44">
        <f>IF(Mecze[[#This Row],[Role]]&lt;&gt;"BR",SUMPRODUCT(Mecze[[#This Row],[/PR:90]:[/BR:90]],Brudnopis!$E$25:$J$25),0)</f>
        <v>0.21875</v>
      </c>
      <c r="V705" s="44">
        <f>IF(Mecze[[#This Row],[Role]]&lt;&gt;"BR",SUMPRODUCT(Mecze[[#This Row],[/PR:90]:[/BR:90]],Brudnopis!$E$26:$J$26),0)</f>
        <v>0.16666666666666669</v>
      </c>
      <c r="W705" s="44">
        <f>IF(Mecze[[#This Row],[Role]]&lt;&gt;"BR",SUMPRODUCT(Mecze[[#This Row],[/PR:90]:[/BR:90]],Brudnopis!$E$27:$J$27),0)</f>
        <v>0.2109375</v>
      </c>
      <c r="X705" s="44">
        <f>IF(Mecze[[#This Row],[Role]]&lt;&gt;"BR",SUMPRODUCT(Mecze[[#This Row],[/PR:90]:[/BR:90]],Brudnopis!$E$28:$J$28),0)</f>
        <v>0.16666666666666669</v>
      </c>
      <c r="Y705" s="35">
        <f>IF(Mecze[[#This Row],[Role]]="BR",Mecze[[#This Row],[/OB:90]]+Mecze[[#This Row],[/PC:90]],SUM(Mecze[[#This Row],[/PR:90]:[/BR:90]]))</f>
        <v>0.16666666666666669</v>
      </c>
      <c r="Z705" s="35">
        <f>IF(Mecze[[#This Row],[KC]]=0,SUM(Mecze[[#This Row],[/BRI]:[/NPI]]),SUM(Mecze[[#This Row],[/BRI]:[/NPI]])*0.6)</f>
        <v>0.94010416666666674</v>
      </c>
      <c r="AA705" s="10">
        <f>IFERROR(Mecze[[#This Row],[BR]]/Mecze[[#This Row],[ST]],0)</f>
        <v>0</v>
      </c>
      <c r="AB705">
        <f>ROUND(Mecze[[#This Row],[PD]]*Mecze[[#This Row],[%PC]],0)</f>
        <v>10</v>
      </c>
      <c r="AC705">
        <f>ROUND(Mecze[[#This Row],[OD]]*Mecze[[#This Row],[%OU]],0)</f>
        <v>2</v>
      </c>
      <c r="AD705" s="36" t="s">
        <v>272</v>
      </c>
      <c r="AE705" s="36">
        <v>40</v>
      </c>
      <c r="AF705" s="71">
        <v>4.7</v>
      </c>
      <c r="AG705" s="37">
        <v>0</v>
      </c>
      <c r="AH705" s="37">
        <v>0</v>
      </c>
      <c r="AI705" s="37">
        <v>96</v>
      </c>
      <c r="AJ705" s="37">
        <v>11</v>
      </c>
      <c r="AK705" s="37" t="str">
        <f>VLOOKUP(Mecze[[#This Row],[Match ID]],Meczusie[Mecz]:Meczusie[RodzajMeczu],2,FALSE)</f>
        <v>Liga</v>
      </c>
    </row>
    <row r="706" spans="1:37" x14ac:dyDescent="0.25">
      <c r="A706" s="76">
        <v>1</v>
      </c>
      <c r="B706" s="3" t="s">
        <v>288</v>
      </c>
      <c r="C706" s="2" t="s">
        <v>155</v>
      </c>
      <c r="D706" s="1">
        <v>0</v>
      </c>
      <c r="E706" s="1">
        <v>0</v>
      </c>
      <c r="F706" s="1">
        <v>0</v>
      </c>
      <c r="G706" s="1">
        <v>21</v>
      </c>
      <c r="H706" s="4">
        <v>0.62</v>
      </c>
      <c r="I706" s="1">
        <v>0</v>
      </c>
      <c r="J706" s="4"/>
      <c r="K706" s="1">
        <v>24</v>
      </c>
      <c r="L706" s="1">
        <v>0</v>
      </c>
      <c r="M706" s="32">
        <f>IF(Mecze[[#This Row],[PR]]=0,0,Mecze[[#This Row],[PR]]/Mecze[[#This Row],[CZAS]])</f>
        <v>0</v>
      </c>
      <c r="N706" s="32">
        <f>IF(Mecze[[#This Row],[OU]]=0,0,Mecze[[#This Row],[OU]]/Mecze[[#This Row],[CZAS]])</f>
        <v>0</v>
      </c>
      <c r="O706" s="32">
        <f>IF(Mecze[[#This Row],[PC]]=0,0,Mecze[[#This Row],[PC]]/Mecze[[#This Row],[CZAS]])</f>
        <v>0.13541666666666666</v>
      </c>
      <c r="P706" s="32">
        <f>IF(Mecze[[#This Row],[SC]]=0,0,Mecze[[#This Row],[SC]]/Mecze[[#This Row],[CZAS]])</f>
        <v>0</v>
      </c>
      <c r="Q706" s="32">
        <f>IF(Mecze[[#This Row],[OB]]=0,0,Mecze[[#This Row],[OB]]/Mecze[[#This Row],[CZAS]])</f>
        <v>0.25</v>
      </c>
      <c r="R706" s="32">
        <f>IF(Mecze[[#This Row],[BR]]=0,0,Mecze[[#This Row],[BR]]/Mecze[[#This Row],[CZAS]])</f>
        <v>0</v>
      </c>
      <c r="S706" s="44">
        <f>IF(Mecze[[#This Row],[Role]]="BR",SUMPRODUCT(Mecze[[#This Row],[/PR:90]:[/BR:90]],Brudnopis!$E$23:$J$23),0)</f>
        <v>1.15625</v>
      </c>
      <c r="T706" s="44">
        <f>IF(Mecze[[#This Row],[Role]]&lt;&gt;"BR",SUMPRODUCT(Mecze[[#This Row],[/PR:90]:[/BR:90]],Brudnopis!$E$24:$J$24),0)</f>
        <v>0</v>
      </c>
      <c r="U706" s="44">
        <f>IF(Mecze[[#This Row],[Role]]&lt;&gt;"BR",SUMPRODUCT(Mecze[[#This Row],[/PR:90]:[/BR:90]],Brudnopis!$E$25:$J$25),0)</f>
        <v>0</v>
      </c>
      <c r="V706" s="44">
        <f>IF(Mecze[[#This Row],[Role]]&lt;&gt;"BR",SUMPRODUCT(Mecze[[#This Row],[/PR:90]:[/BR:90]],Brudnopis!$E$26:$J$26),0)</f>
        <v>0</v>
      </c>
      <c r="W706" s="44">
        <f>IF(Mecze[[#This Row],[Role]]&lt;&gt;"BR",SUMPRODUCT(Mecze[[#This Row],[/PR:90]:[/BR:90]],Brudnopis!$E$27:$J$27),0)</f>
        <v>0</v>
      </c>
      <c r="X706" s="44">
        <f>IF(Mecze[[#This Row],[Role]]&lt;&gt;"BR",SUMPRODUCT(Mecze[[#This Row],[/PR:90]:[/BR:90]],Brudnopis!$E$28:$J$28),0)</f>
        <v>0</v>
      </c>
      <c r="Y706" s="35">
        <f>IF(Mecze[[#This Row],[Role]]="BR",Mecze[[#This Row],[/OB:90]]+Mecze[[#This Row],[/PC:90]],SUM(Mecze[[#This Row],[/PR:90]:[/BR:90]]))</f>
        <v>0.38541666666666663</v>
      </c>
      <c r="Z706" s="35">
        <f>IF(Mecze[[#This Row],[KC]]=0,SUM(Mecze[[#This Row],[/BRI]:[/NPI]]),SUM(Mecze[[#This Row],[/BRI]:[/NPI]])*0.6)</f>
        <v>1.15625</v>
      </c>
      <c r="AA706" s="10">
        <f>IFERROR(Mecze[[#This Row],[BR]]/Mecze[[#This Row],[ST]],0)</f>
        <v>0</v>
      </c>
      <c r="AB706">
        <f>ROUND(Mecze[[#This Row],[PD]]*Mecze[[#This Row],[%PC]],0)</f>
        <v>13</v>
      </c>
      <c r="AC706">
        <f>ROUND(Mecze[[#This Row],[OD]]*Mecze[[#This Row],[%OU]],0)</f>
        <v>0</v>
      </c>
      <c r="AD706" s="36" t="s">
        <v>40</v>
      </c>
      <c r="AE706" s="36">
        <v>41</v>
      </c>
      <c r="AF706" s="71">
        <v>11.21</v>
      </c>
      <c r="AG706" s="37">
        <v>0</v>
      </c>
      <c r="AH706" s="37">
        <v>0</v>
      </c>
      <c r="AI706" s="37">
        <v>96</v>
      </c>
      <c r="AJ706" s="37">
        <v>9</v>
      </c>
      <c r="AK706" s="37" t="str">
        <f>VLOOKUP(Mecze[[#This Row],[Match ID]],Meczusie[Mecz]:Meczusie[RodzajMeczu],2,FALSE)</f>
        <v>Liga</v>
      </c>
    </row>
    <row r="707" spans="1:37" x14ac:dyDescent="0.25">
      <c r="A707" s="76">
        <v>4</v>
      </c>
      <c r="B707" s="3" t="s">
        <v>289</v>
      </c>
      <c r="C707" s="2" t="s">
        <v>157</v>
      </c>
      <c r="D707" s="1">
        <v>0</v>
      </c>
      <c r="E707" s="1">
        <v>0</v>
      </c>
      <c r="F707" s="1">
        <v>0</v>
      </c>
      <c r="G707" s="1">
        <v>2</v>
      </c>
      <c r="H707" s="4">
        <v>0</v>
      </c>
      <c r="I707" s="1">
        <v>6</v>
      </c>
      <c r="J707" s="4">
        <v>0.17</v>
      </c>
      <c r="K707" s="1">
        <v>0</v>
      </c>
      <c r="L707" s="1">
        <v>6</v>
      </c>
      <c r="M707" s="32">
        <f>IF(Mecze[[#This Row],[PR]]=0,0,Mecze[[#This Row],[PR]]/Mecze[[#This Row],[CZAS]])</f>
        <v>6.25E-2</v>
      </c>
      <c r="N707" s="32">
        <f>IF(Mecze[[#This Row],[OU]]=0,0,Mecze[[#This Row],[OU]]/Mecze[[#This Row],[CZAS]])</f>
        <v>1.0416666666666666E-2</v>
      </c>
      <c r="O707" s="32">
        <f>IF(Mecze[[#This Row],[PC]]=0,0,Mecze[[#This Row],[PC]]/Mecze[[#This Row],[CZAS]])</f>
        <v>0</v>
      </c>
      <c r="P707" s="32">
        <f>IF(Mecze[[#This Row],[SC]]=0,0,Mecze[[#This Row],[SC]]/Mecze[[#This Row],[CZAS]])</f>
        <v>0</v>
      </c>
      <c r="Q707" s="32">
        <f>IF(Mecze[[#This Row],[OB]]=0,0,Mecze[[#This Row],[OB]]/Mecze[[#This Row],[CZAS]])</f>
        <v>0</v>
      </c>
      <c r="R707" s="32">
        <f>IF(Mecze[[#This Row],[BR]]=0,0,Mecze[[#This Row],[BR]]/Mecze[[#This Row],[CZAS]])</f>
        <v>0</v>
      </c>
      <c r="S707" s="44">
        <f>IF(Mecze[[#This Row],[Role]]="BR",SUMPRODUCT(Mecze[[#This Row],[/PR:90]:[/BR:90]],Brudnopis!$E$23:$J$23),0)</f>
        <v>0</v>
      </c>
      <c r="T707" s="44">
        <f>IF(Mecze[[#This Row],[Role]]&lt;&gt;"BR",SUMPRODUCT(Mecze[[#This Row],[/PR:90]:[/BR:90]],Brudnopis!$E$24:$J$24),0)</f>
        <v>7.8125E-2</v>
      </c>
      <c r="U707" s="44">
        <f>IF(Mecze[[#This Row],[Role]]&lt;&gt;"BR",SUMPRODUCT(Mecze[[#This Row],[/PR:90]:[/BR:90]],Brudnopis!$E$25:$J$25),0)</f>
        <v>7.2916666666666671E-2</v>
      </c>
      <c r="V707" s="44">
        <f>IF(Mecze[[#This Row],[Role]]&lt;&gt;"BR",SUMPRODUCT(Mecze[[#This Row],[/PR:90]:[/BR:90]],Brudnopis!$E$26:$J$26),0)</f>
        <v>7.2916666666666671E-2</v>
      </c>
      <c r="W707" s="44">
        <f>IF(Mecze[[#This Row],[Role]]&lt;&gt;"BR",SUMPRODUCT(Mecze[[#This Row],[/PR:90]:[/BR:90]],Brudnopis!$E$27:$J$27),0)</f>
        <v>5.46875E-2</v>
      </c>
      <c r="X707" s="44">
        <f>IF(Mecze[[#This Row],[Role]]&lt;&gt;"BR",SUMPRODUCT(Mecze[[#This Row],[/PR:90]:[/BR:90]],Brudnopis!$E$28:$J$28),0)</f>
        <v>0</v>
      </c>
      <c r="Y707" s="35">
        <f>IF(Mecze[[#This Row],[Role]]="BR",Mecze[[#This Row],[/OB:90]]+Mecze[[#This Row],[/PC:90]],SUM(Mecze[[#This Row],[/PR:90]:[/BR:90]]))</f>
        <v>7.2916666666666671E-2</v>
      </c>
      <c r="Z707" s="35">
        <f>IF(Mecze[[#This Row],[KC]]=0,SUM(Mecze[[#This Row],[/BRI]:[/NPI]]),SUM(Mecze[[#This Row],[/BRI]:[/NPI]])*0.6)</f>
        <v>0.27864583333333337</v>
      </c>
      <c r="AA707" s="10">
        <f>IFERROR(Mecze[[#This Row],[BR]]/Mecze[[#This Row],[ST]],0)</f>
        <v>0</v>
      </c>
      <c r="AB707">
        <f>ROUND(Mecze[[#This Row],[PD]]*Mecze[[#This Row],[%PC]],0)</f>
        <v>0</v>
      </c>
      <c r="AC707">
        <f>ROUND(Mecze[[#This Row],[OD]]*Mecze[[#This Row],[%OU]],0)</f>
        <v>1</v>
      </c>
      <c r="AD707" s="36" t="s">
        <v>168</v>
      </c>
      <c r="AE707" s="36">
        <v>41</v>
      </c>
      <c r="AF707" s="71">
        <v>2.85</v>
      </c>
      <c r="AG707" s="37">
        <v>0</v>
      </c>
      <c r="AH707" s="37">
        <v>0</v>
      </c>
      <c r="AI707" s="37">
        <v>96</v>
      </c>
      <c r="AJ707" s="37">
        <v>9</v>
      </c>
      <c r="AK707" s="37" t="str">
        <f>VLOOKUP(Mecze[[#This Row],[Match ID]],Meczusie[Mecz]:Meczusie[RodzajMeczu],2,FALSE)</f>
        <v>Liga</v>
      </c>
    </row>
    <row r="708" spans="1:37" x14ac:dyDescent="0.25">
      <c r="A708" s="76">
        <v>2</v>
      </c>
      <c r="B708" s="3" t="s">
        <v>290</v>
      </c>
      <c r="C708" s="2" t="s">
        <v>157</v>
      </c>
      <c r="D708" s="1">
        <v>0</v>
      </c>
      <c r="E708" s="1">
        <v>2</v>
      </c>
      <c r="F708" s="1">
        <v>2</v>
      </c>
      <c r="G708" s="1">
        <v>8</v>
      </c>
      <c r="H708" s="4">
        <v>0.5</v>
      </c>
      <c r="I708" s="1">
        <v>6</v>
      </c>
      <c r="J708" s="4">
        <v>0.17</v>
      </c>
      <c r="K708" s="1">
        <v>0</v>
      </c>
      <c r="L708" s="1">
        <v>6</v>
      </c>
      <c r="M708" s="32">
        <f>IF(Mecze[[#This Row],[PR]]=0,0,Mecze[[#This Row],[PR]]/Mecze[[#This Row],[CZAS]])</f>
        <v>6.25E-2</v>
      </c>
      <c r="N708" s="32">
        <f>IF(Mecze[[#This Row],[OU]]=0,0,Mecze[[#This Row],[OU]]/Mecze[[#This Row],[CZAS]])</f>
        <v>1.0416666666666666E-2</v>
      </c>
      <c r="O708" s="32">
        <f>IF(Mecze[[#This Row],[PC]]=0,0,Mecze[[#This Row],[PC]]/Mecze[[#This Row],[CZAS]])</f>
        <v>4.1666666666666664E-2</v>
      </c>
      <c r="P708" s="32">
        <f>IF(Mecze[[#This Row],[SC]]=0,0,Mecze[[#This Row],[SC]]/Mecze[[#This Row],[CZAS]])</f>
        <v>2.0833333333333332E-2</v>
      </c>
      <c r="Q708" s="32">
        <f>IF(Mecze[[#This Row],[OB]]=0,0,Mecze[[#This Row],[OB]]/Mecze[[#This Row],[CZAS]])</f>
        <v>0</v>
      </c>
      <c r="R708" s="32">
        <f>IF(Mecze[[#This Row],[BR]]=0,0,Mecze[[#This Row],[BR]]/Mecze[[#This Row],[CZAS]])</f>
        <v>0</v>
      </c>
      <c r="S708" s="44">
        <f>IF(Mecze[[#This Row],[Role]]="BR",SUMPRODUCT(Mecze[[#This Row],[/PR:90]:[/BR:90]],Brudnopis!$E$23:$J$23),0)</f>
        <v>0</v>
      </c>
      <c r="T708" s="44">
        <f>IF(Mecze[[#This Row],[Role]]&lt;&gt;"BR",SUMPRODUCT(Mecze[[#This Row],[/PR:90]:[/BR:90]],Brudnopis!$E$24:$J$24),0)</f>
        <v>0.140625</v>
      </c>
      <c r="U708" s="44">
        <f>IF(Mecze[[#This Row],[Role]]&lt;&gt;"BR",SUMPRODUCT(Mecze[[#This Row],[/PR:90]:[/BR:90]],Brudnopis!$E$25:$J$25),0)</f>
        <v>0.15625000000000003</v>
      </c>
      <c r="V708" s="44">
        <f>IF(Mecze[[#This Row],[Role]]&lt;&gt;"BR",SUMPRODUCT(Mecze[[#This Row],[/PR:90]:[/BR:90]],Brudnopis!$E$26:$J$26),0)</f>
        <v>0.13541666666666669</v>
      </c>
      <c r="W708" s="44">
        <f>IF(Mecze[[#This Row],[Role]]&lt;&gt;"BR",SUMPRODUCT(Mecze[[#This Row],[/PR:90]:[/BR:90]],Brudnopis!$E$27:$J$27),0)</f>
        <v>0.13802083333333334</v>
      </c>
      <c r="X708" s="44">
        <f>IF(Mecze[[#This Row],[Role]]&lt;&gt;"BR",SUMPRODUCT(Mecze[[#This Row],[/PR:90]:[/BR:90]],Brudnopis!$E$28:$J$28),0)</f>
        <v>8.3333333333333329E-2</v>
      </c>
      <c r="Y708" s="35">
        <f>IF(Mecze[[#This Row],[Role]]="BR",Mecze[[#This Row],[/OB:90]]+Mecze[[#This Row],[/PC:90]],SUM(Mecze[[#This Row],[/PR:90]:[/BR:90]]))</f>
        <v>0.13541666666666669</v>
      </c>
      <c r="Z708" s="35">
        <f>IF(Mecze[[#This Row],[KC]]=0,SUM(Mecze[[#This Row],[/BRI]:[/NPI]]),SUM(Mecze[[#This Row],[/BRI]:[/NPI]])*0.6)</f>
        <v>0.65364583333333337</v>
      </c>
      <c r="AA708" s="10">
        <f>IFERROR(Mecze[[#This Row],[BR]]/Mecze[[#This Row],[ST]],0)</f>
        <v>0</v>
      </c>
      <c r="AB708">
        <f>ROUND(Mecze[[#This Row],[PD]]*Mecze[[#This Row],[%PC]],0)</f>
        <v>4</v>
      </c>
      <c r="AC708">
        <f>ROUND(Mecze[[#This Row],[OD]]*Mecze[[#This Row],[%OU]],0)</f>
        <v>1</v>
      </c>
      <c r="AD708" s="36" t="s">
        <v>47</v>
      </c>
      <c r="AE708" s="36">
        <v>41</v>
      </c>
      <c r="AF708" s="71">
        <v>2.85</v>
      </c>
      <c r="AG708" s="37">
        <v>0</v>
      </c>
      <c r="AH708" s="37">
        <v>0</v>
      </c>
      <c r="AI708" s="37">
        <v>96</v>
      </c>
      <c r="AJ708" s="37">
        <v>9</v>
      </c>
      <c r="AK708" s="37" t="str">
        <f>VLOOKUP(Mecze[[#This Row],[Match ID]],Meczusie[Mecz]:Meczusie[RodzajMeczu],2,FALSE)</f>
        <v>Liga</v>
      </c>
    </row>
    <row r="709" spans="1:37" x14ac:dyDescent="0.25">
      <c r="A709" s="76">
        <v>16</v>
      </c>
      <c r="B709" s="3" t="s">
        <v>405</v>
      </c>
      <c r="C709" s="2" t="s">
        <v>157</v>
      </c>
      <c r="D709" s="1">
        <v>0</v>
      </c>
      <c r="E709" s="1">
        <v>0</v>
      </c>
      <c r="F709" s="1">
        <v>0</v>
      </c>
      <c r="G709" s="1">
        <v>8</v>
      </c>
      <c r="H709" s="4">
        <v>0.63</v>
      </c>
      <c r="I709" s="1">
        <v>7</v>
      </c>
      <c r="J709" s="4">
        <v>0.28999999999999998</v>
      </c>
      <c r="K709" s="1">
        <v>0</v>
      </c>
      <c r="L709" s="1">
        <v>7</v>
      </c>
      <c r="M709" s="32">
        <f>IF(Mecze[[#This Row],[PR]]=0,0,Mecze[[#This Row],[PR]]/Mecze[[#This Row],[CZAS]])</f>
        <v>7.2916666666666671E-2</v>
      </c>
      <c r="N709" s="32">
        <f>IF(Mecze[[#This Row],[OU]]=0,0,Mecze[[#This Row],[OU]]/Mecze[[#This Row],[CZAS]])</f>
        <v>2.0833333333333332E-2</v>
      </c>
      <c r="O709" s="32">
        <f>IF(Mecze[[#This Row],[PC]]=0,0,Mecze[[#This Row],[PC]]/Mecze[[#This Row],[CZAS]])</f>
        <v>5.2083333333333336E-2</v>
      </c>
      <c r="P709" s="32">
        <f>IF(Mecze[[#This Row],[SC]]=0,0,Mecze[[#This Row],[SC]]/Mecze[[#This Row],[CZAS]])</f>
        <v>0</v>
      </c>
      <c r="Q709" s="32">
        <f>IF(Mecze[[#This Row],[OB]]=0,0,Mecze[[#This Row],[OB]]/Mecze[[#This Row],[CZAS]])</f>
        <v>0</v>
      </c>
      <c r="R709" s="32">
        <f>IF(Mecze[[#This Row],[BR]]=0,0,Mecze[[#This Row],[BR]]/Mecze[[#This Row],[CZAS]])</f>
        <v>0</v>
      </c>
      <c r="S709" s="44">
        <f>IF(Mecze[[#This Row],[Role]]="BR",SUMPRODUCT(Mecze[[#This Row],[/PR:90]:[/BR:90]],Brudnopis!$E$23:$J$23),0)</f>
        <v>0</v>
      </c>
      <c r="T709" s="44">
        <f>IF(Mecze[[#This Row],[Role]]&lt;&gt;"BR",SUMPRODUCT(Mecze[[#This Row],[/PR:90]:[/BR:90]],Brudnopis!$E$24:$J$24),0)</f>
        <v>0.15625</v>
      </c>
      <c r="U709" s="44">
        <f>IF(Mecze[[#This Row],[Role]]&lt;&gt;"BR",SUMPRODUCT(Mecze[[#This Row],[/PR:90]:[/BR:90]],Brudnopis!$E$25:$J$25),0)</f>
        <v>0.171875</v>
      </c>
      <c r="V709" s="44">
        <f>IF(Mecze[[#This Row],[Role]]&lt;&gt;"BR",SUMPRODUCT(Mecze[[#This Row],[/PR:90]:[/BR:90]],Brudnopis!$E$26:$J$26),0)</f>
        <v>0.14583333333333334</v>
      </c>
      <c r="W709" s="44">
        <f>IF(Mecze[[#This Row],[Role]]&lt;&gt;"BR",SUMPRODUCT(Mecze[[#This Row],[/PR:90]:[/BR:90]],Brudnopis!$E$27:$J$27),0)</f>
        <v>0.1484375</v>
      </c>
      <c r="X709" s="44">
        <f>IF(Mecze[[#This Row],[Role]]&lt;&gt;"BR",SUMPRODUCT(Mecze[[#This Row],[/PR:90]:[/BR:90]],Brudnopis!$E$28:$J$28),0)</f>
        <v>5.2083333333333336E-2</v>
      </c>
      <c r="Y709" s="35">
        <f>IF(Mecze[[#This Row],[Role]]="BR",Mecze[[#This Row],[/OB:90]]+Mecze[[#This Row],[/PC:90]],SUM(Mecze[[#This Row],[/PR:90]:[/BR:90]]))</f>
        <v>0.14583333333333334</v>
      </c>
      <c r="Z709" s="35">
        <f>IF(Mecze[[#This Row],[KC]]=0,SUM(Mecze[[#This Row],[/BRI]:[/NPI]]),SUM(Mecze[[#This Row],[/BRI]:[/NPI]])*0.6)</f>
        <v>0.67447916666666674</v>
      </c>
      <c r="AA709" s="10">
        <f>IFERROR(Mecze[[#This Row],[BR]]/Mecze[[#This Row],[ST]],0)</f>
        <v>0</v>
      </c>
      <c r="AB709">
        <f>ROUND(Mecze[[#This Row],[PD]]*Mecze[[#This Row],[%PC]],0)</f>
        <v>5</v>
      </c>
      <c r="AC709">
        <f>ROUND(Mecze[[#This Row],[OD]]*Mecze[[#This Row],[%OU]],0)</f>
        <v>2</v>
      </c>
      <c r="AD709" s="36" t="s">
        <v>167</v>
      </c>
      <c r="AE709" s="36">
        <v>41</v>
      </c>
      <c r="AF709" s="71">
        <v>1.95</v>
      </c>
      <c r="AG709" s="37">
        <v>1</v>
      </c>
      <c r="AH709" s="37">
        <v>0</v>
      </c>
      <c r="AI709" s="37">
        <v>96</v>
      </c>
      <c r="AJ709" s="37">
        <v>9</v>
      </c>
      <c r="AK709" s="37" t="str">
        <f>VLOOKUP(Mecze[[#This Row],[Match ID]],Meczusie[Mecz]:Meczusie[RodzajMeczu],2,FALSE)</f>
        <v>Liga</v>
      </c>
    </row>
    <row r="710" spans="1:37" x14ac:dyDescent="0.25">
      <c r="A710" s="76">
        <v>14</v>
      </c>
      <c r="B710" s="3" t="s">
        <v>293</v>
      </c>
      <c r="C710" s="2" t="s">
        <v>160</v>
      </c>
      <c r="D710" s="1">
        <v>0</v>
      </c>
      <c r="E710" s="1">
        <v>0</v>
      </c>
      <c r="F710" s="1">
        <v>0</v>
      </c>
      <c r="G710" s="1">
        <v>4</v>
      </c>
      <c r="H710" s="4">
        <v>1</v>
      </c>
      <c r="I710" s="1">
        <v>0</v>
      </c>
      <c r="J710" s="4"/>
      <c r="K710" s="1">
        <v>0</v>
      </c>
      <c r="L710" s="1">
        <v>1</v>
      </c>
      <c r="M710" s="32">
        <f>IF(Mecze[[#This Row],[PR]]=0,0,Mecze[[#This Row],[PR]]/Mecze[[#This Row],[CZAS]])</f>
        <v>1.0416666666666666E-2</v>
      </c>
      <c r="N710" s="32">
        <f>IF(Mecze[[#This Row],[OU]]=0,0,Mecze[[#This Row],[OU]]/Mecze[[#This Row],[CZAS]])</f>
        <v>0</v>
      </c>
      <c r="O710" s="32">
        <f>IF(Mecze[[#This Row],[PC]]=0,0,Mecze[[#This Row],[PC]]/Mecze[[#This Row],[CZAS]])</f>
        <v>4.1666666666666664E-2</v>
      </c>
      <c r="P710" s="32">
        <f>IF(Mecze[[#This Row],[SC]]=0,0,Mecze[[#This Row],[SC]]/Mecze[[#This Row],[CZAS]])</f>
        <v>0</v>
      </c>
      <c r="Q710" s="32">
        <f>IF(Mecze[[#This Row],[OB]]=0,0,Mecze[[#This Row],[OB]]/Mecze[[#This Row],[CZAS]])</f>
        <v>0</v>
      </c>
      <c r="R710" s="32">
        <f>IF(Mecze[[#This Row],[BR]]=0,0,Mecze[[#This Row],[BR]]/Mecze[[#This Row],[CZAS]])</f>
        <v>0</v>
      </c>
      <c r="S710" s="44">
        <f>IF(Mecze[[#This Row],[Role]]="BR",SUMPRODUCT(Mecze[[#This Row],[/PR:90]:[/BR:90]],Brudnopis!$E$23:$J$23),0)</f>
        <v>0</v>
      </c>
      <c r="T710" s="44">
        <f>IF(Mecze[[#This Row],[Role]]&lt;&gt;"BR",SUMPRODUCT(Mecze[[#This Row],[/PR:90]:[/BR:90]],Brudnopis!$E$24:$J$24),0)</f>
        <v>5.2083333333333329E-2</v>
      </c>
      <c r="U710" s="44">
        <f>IF(Mecze[[#This Row],[Role]]&lt;&gt;"BR",SUMPRODUCT(Mecze[[#This Row],[/PR:90]:[/BR:90]],Brudnopis!$E$25:$J$25),0)</f>
        <v>7.2916666666666671E-2</v>
      </c>
      <c r="V710" s="44">
        <f>IF(Mecze[[#This Row],[Role]]&lt;&gt;"BR",SUMPRODUCT(Mecze[[#This Row],[/PR:90]:[/BR:90]],Brudnopis!$E$26:$J$26),0)</f>
        <v>5.2083333333333329E-2</v>
      </c>
      <c r="W710" s="44">
        <f>IF(Mecze[[#This Row],[Role]]&lt;&gt;"BR",SUMPRODUCT(Mecze[[#This Row],[/PR:90]:[/BR:90]],Brudnopis!$E$27:$J$27),0)</f>
        <v>7.03125E-2</v>
      </c>
      <c r="X710" s="44">
        <f>IF(Mecze[[#This Row],[Role]]&lt;&gt;"BR",SUMPRODUCT(Mecze[[#This Row],[/PR:90]:[/BR:90]],Brudnopis!$E$28:$J$28),0)</f>
        <v>4.1666666666666664E-2</v>
      </c>
      <c r="Y710" s="35">
        <f>IF(Mecze[[#This Row],[Role]]="BR",Mecze[[#This Row],[/OB:90]]+Mecze[[#This Row],[/PC:90]],SUM(Mecze[[#This Row],[/PR:90]:[/BR:90]]))</f>
        <v>5.2083333333333329E-2</v>
      </c>
      <c r="Z710" s="35">
        <f>IF(Mecze[[#This Row],[KC]]=0,SUM(Mecze[[#This Row],[/BRI]:[/NPI]]),SUM(Mecze[[#This Row],[/BRI]:[/NPI]])*0.6)</f>
        <v>0.2890625</v>
      </c>
      <c r="AA710" s="10">
        <f>IFERROR(Mecze[[#This Row],[BR]]/Mecze[[#This Row],[ST]],0)</f>
        <v>0</v>
      </c>
      <c r="AB710">
        <f>ROUND(Mecze[[#This Row],[PD]]*Mecze[[#This Row],[%PC]],0)</f>
        <v>4</v>
      </c>
      <c r="AC710">
        <f>ROUND(Mecze[[#This Row],[OD]]*Mecze[[#This Row],[%OU]],0)</f>
        <v>0</v>
      </c>
      <c r="AD710" s="36" t="s">
        <v>172</v>
      </c>
      <c r="AE710" s="36">
        <v>41</v>
      </c>
      <c r="AF710" s="71">
        <v>2.91</v>
      </c>
      <c r="AG710" s="37">
        <v>0</v>
      </c>
      <c r="AH710" s="37">
        <v>0</v>
      </c>
      <c r="AI710" s="37">
        <v>96</v>
      </c>
      <c r="AJ710" s="37">
        <v>9</v>
      </c>
      <c r="AK710" s="37" t="str">
        <f>VLOOKUP(Mecze[[#This Row],[Match ID]],Meczusie[Mecz]:Meczusie[RodzajMeczu],2,FALSE)</f>
        <v>Liga</v>
      </c>
    </row>
    <row r="711" spans="1:37" x14ac:dyDescent="0.25">
      <c r="A711" s="76">
        <v>3</v>
      </c>
      <c r="B711" s="3" t="s">
        <v>292</v>
      </c>
      <c r="C711" s="2" t="s">
        <v>160</v>
      </c>
      <c r="D711" s="1">
        <v>0</v>
      </c>
      <c r="E711" s="1">
        <v>0</v>
      </c>
      <c r="F711" s="1">
        <v>0</v>
      </c>
      <c r="G711" s="1">
        <v>3</v>
      </c>
      <c r="H711" s="4">
        <v>0.33</v>
      </c>
      <c r="I711" s="1">
        <v>2</v>
      </c>
      <c r="J711" s="4">
        <v>1</v>
      </c>
      <c r="K711" s="1">
        <v>0</v>
      </c>
      <c r="L711" s="1">
        <v>0</v>
      </c>
      <c r="M711" s="32">
        <f>IF(Mecze[[#This Row],[PR]]=0,0,Mecze[[#This Row],[PR]]/Mecze[[#This Row],[CZAS]])</f>
        <v>0</v>
      </c>
      <c r="N711" s="32">
        <f>IF(Mecze[[#This Row],[OU]]=0,0,Mecze[[#This Row],[OU]]/Mecze[[#This Row],[CZAS]])</f>
        <v>2.0833333333333332E-2</v>
      </c>
      <c r="O711" s="32">
        <f>IF(Mecze[[#This Row],[PC]]=0,0,Mecze[[#This Row],[PC]]/Mecze[[#This Row],[CZAS]])</f>
        <v>1.0416666666666666E-2</v>
      </c>
      <c r="P711" s="32">
        <f>IF(Mecze[[#This Row],[SC]]=0,0,Mecze[[#This Row],[SC]]/Mecze[[#This Row],[CZAS]])</f>
        <v>0</v>
      </c>
      <c r="Q711" s="32">
        <f>IF(Mecze[[#This Row],[OB]]=0,0,Mecze[[#This Row],[OB]]/Mecze[[#This Row],[CZAS]])</f>
        <v>0</v>
      </c>
      <c r="R711" s="32">
        <f>IF(Mecze[[#This Row],[BR]]=0,0,Mecze[[#This Row],[BR]]/Mecze[[#This Row],[CZAS]])</f>
        <v>0</v>
      </c>
      <c r="S711" s="44">
        <f>IF(Mecze[[#This Row],[Role]]="BR",SUMPRODUCT(Mecze[[#This Row],[/PR:90]:[/BR:90]],Brudnopis!$E$23:$J$23),0)</f>
        <v>0</v>
      </c>
      <c r="T711" s="44">
        <f>IF(Mecze[[#This Row],[Role]]&lt;&gt;"BR",SUMPRODUCT(Mecze[[#This Row],[/PR:90]:[/BR:90]],Brudnopis!$E$24:$J$24),0)</f>
        <v>4.1666666666666664E-2</v>
      </c>
      <c r="U711" s="44">
        <f>IF(Mecze[[#This Row],[Role]]&lt;&gt;"BR",SUMPRODUCT(Mecze[[#This Row],[/PR:90]:[/BR:90]],Brudnopis!$E$25:$J$25),0)</f>
        <v>3.6458333333333329E-2</v>
      </c>
      <c r="V711" s="44">
        <f>IF(Mecze[[#This Row],[Role]]&lt;&gt;"BR",SUMPRODUCT(Mecze[[#This Row],[/PR:90]:[/BR:90]],Brudnopis!$E$26:$J$26),0)</f>
        <v>3.125E-2</v>
      </c>
      <c r="W711" s="44">
        <f>IF(Mecze[[#This Row],[Role]]&lt;&gt;"BR",SUMPRODUCT(Mecze[[#This Row],[/PR:90]:[/BR:90]],Brudnopis!$E$27:$J$27),0)</f>
        <v>3.125E-2</v>
      </c>
      <c r="X711" s="44">
        <f>IF(Mecze[[#This Row],[Role]]&lt;&gt;"BR",SUMPRODUCT(Mecze[[#This Row],[/PR:90]:[/BR:90]],Brudnopis!$E$28:$J$28),0)</f>
        <v>1.0416666666666666E-2</v>
      </c>
      <c r="Y711" s="35">
        <f>IF(Mecze[[#This Row],[Role]]="BR",Mecze[[#This Row],[/OB:90]]+Mecze[[#This Row],[/PC:90]],SUM(Mecze[[#This Row],[/PR:90]:[/BR:90]]))</f>
        <v>3.125E-2</v>
      </c>
      <c r="Z711" s="35">
        <f>IF(Mecze[[#This Row],[KC]]=0,SUM(Mecze[[#This Row],[/BRI]:[/NPI]]),SUM(Mecze[[#This Row],[/BRI]:[/NPI]])*0.6)</f>
        <v>0.15104166666666666</v>
      </c>
      <c r="AA711" s="10">
        <f>IFERROR(Mecze[[#This Row],[BR]]/Mecze[[#This Row],[ST]],0)</f>
        <v>0</v>
      </c>
      <c r="AB711">
        <f>ROUND(Mecze[[#This Row],[PD]]*Mecze[[#This Row],[%PC]],0)</f>
        <v>1</v>
      </c>
      <c r="AC711">
        <f>ROUND(Mecze[[#This Row],[OD]]*Mecze[[#This Row],[%OU]],0)</f>
        <v>2</v>
      </c>
      <c r="AD711" s="36" t="s">
        <v>173</v>
      </c>
      <c r="AE711" s="36">
        <v>41</v>
      </c>
      <c r="AF711" s="71">
        <v>2.7</v>
      </c>
      <c r="AG711" s="37">
        <v>0</v>
      </c>
      <c r="AH711" s="37">
        <v>0</v>
      </c>
      <c r="AI711" s="37">
        <v>96</v>
      </c>
      <c r="AJ711" s="37">
        <v>9</v>
      </c>
      <c r="AK711" s="37" t="str">
        <f>VLOOKUP(Mecze[[#This Row],[Match ID]],Meczusie[Mecz]:Meczusie[RodzajMeczu],2,FALSE)</f>
        <v>Liga</v>
      </c>
    </row>
    <row r="712" spans="1:37" x14ac:dyDescent="0.25">
      <c r="A712" s="76">
        <v>8</v>
      </c>
      <c r="B712" s="3" t="s">
        <v>294</v>
      </c>
      <c r="C712" s="2" t="s">
        <v>160</v>
      </c>
      <c r="D712" s="1">
        <v>0</v>
      </c>
      <c r="E712" s="1">
        <v>0</v>
      </c>
      <c r="F712" s="1">
        <v>0</v>
      </c>
      <c r="G712" s="1">
        <v>24</v>
      </c>
      <c r="H712" s="4">
        <v>0.71</v>
      </c>
      <c r="I712" s="1">
        <v>10</v>
      </c>
      <c r="J712" s="4">
        <v>0.3</v>
      </c>
      <c r="K712" s="1">
        <v>0</v>
      </c>
      <c r="L712" s="1">
        <v>11</v>
      </c>
      <c r="M712" s="32">
        <f>IF(Mecze[[#This Row],[PR]]=0,0,Mecze[[#This Row],[PR]]/Mecze[[#This Row],[CZAS]])</f>
        <v>0.11458333333333333</v>
      </c>
      <c r="N712" s="32">
        <f>IF(Mecze[[#This Row],[OU]]=0,0,Mecze[[#This Row],[OU]]/Mecze[[#This Row],[CZAS]])</f>
        <v>3.125E-2</v>
      </c>
      <c r="O712" s="32">
        <f>IF(Mecze[[#This Row],[PC]]=0,0,Mecze[[#This Row],[PC]]/Mecze[[#This Row],[CZAS]])</f>
        <v>0.17708333333333334</v>
      </c>
      <c r="P712" s="32">
        <f>IF(Mecze[[#This Row],[SC]]=0,0,Mecze[[#This Row],[SC]]/Mecze[[#This Row],[CZAS]])</f>
        <v>0</v>
      </c>
      <c r="Q712" s="32">
        <f>IF(Mecze[[#This Row],[OB]]=0,0,Mecze[[#This Row],[OB]]/Mecze[[#This Row],[CZAS]])</f>
        <v>0</v>
      </c>
      <c r="R712" s="32">
        <f>IF(Mecze[[#This Row],[BR]]=0,0,Mecze[[#This Row],[BR]]/Mecze[[#This Row],[CZAS]])</f>
        <v>0</v>
      </c>
      <c r="S712" s="44">
        <f>IF(Mecze[[#This Row],[Role]]="BR",SUMPRODUCT(Mecze[[#This Row],[/PR:90]:[/BR:90]],Brudnopis!$E$23:$J$23),0)</f>
        <v>0</v>
      </c>
      <c r="T712" s="44">
        <f>IF(Mecze[[#This Row],[Role]]&lt;&gt;"BR",SUMPRODUCT(Mecze[[#This Row],[/PR:90]:[/BR:90]],Brudnopis!$E$24:$J$24),0)</f>
        <v>0.33854166666666663</v>
      </c>
      <c r="U712" s="44">
        <f>IF(Mecze[[#This Row],[Role]]&lt;&gt;"BR",SUMPRODUCT(Mecze[[#This Row],[/PR:90]:[/BR:90]],Brudnopis!$E$25:$J$25),0)</f>
        <v>0.41145833333333331</v>
      </c>
      <c r="V712" s="44">
        <f>IF(Mecze[[#This Row],[Role]]&lt;&gt;"BR",SUMPRODUCT(Mecze[[#This Row],[/PR:90]:[/BR:90]],Brudnopis!$E$26:$J$26),0)</f>
        <v>0.32291666666666663</v>
      </c>
      <c r="W712" s="44">
        <f>IF(Mecze[[#This Row],[Role]]&lt;&gt;"BR",SUMPRODUCT(Mecze[[#This Row],[/PR:90]:[/BR:90]],Brudnopis!$E$27:$J$27),0)</f>
        <v>0.375</v>
      </c>
      <c r="X712" s="44">
        <f>IF(Mecze[[#This Row],[Role]]&lt;&gt;"BR",SUMPRODUCT(Mecze[[#This Row],[/PR:90]:[/BR:90]],Brudnopis!$E$28:$J$28),0)</f>
        <v>0.17708333333333334</v>
      </c>
      <c r="Y712" s="35">
        <f>IF(Mecze[[#This Row],[Role]]="BR",Mecze[[#This Row],[/OB:90]]+Mecze[[#This Row],[/PC:90]],SUM(Mecze[[#This Row],[/PR:90]:[/BR:90]]))</f>
        <v>0.32291666666666663</v>
      </c>
      <c r="Z712" s="35">
        <f>IF(Mecze[[#This Row],[KC]]=0,SUM(Mecze[[#This Row],[/BRI]:[/NPI]]),SUM(Mecze[[#This Row],[/BRI]:[/NPI]])*0.6)</f>
        <v>1.6249999999999998</v>
      </c>
      <c r="AA712" s="10">
        <f>IFERROR(Mecze[[#This Row],[BR]]/Mecze[[#This Row],[ST]],0)</f>
        <v>0</v>
      </c>
      <c r="AB712">
        <f>ROUND(Mecze[[#This Row],[PD]]*Mecze[[#This Row],[%PC]],0)</f>
        <v>17</v>
      </c>
      <c r="AC712">
        <f>ROUND(Mecze[[#This Row],[OD]]*Mecze[[#This Row],[%OU]],0)</f>
        <v>3</v>
      </c>
      <c r="AD712" s="36" t="s">
        <v>67</v>
      </c>
      <c r="AE712" s="36">
        <v>41</v>
      </c>
      <c r="AF712" s="71">
        <v>6.22</v>
      </c>
      <c r="AG712" s="37">
        <v>0</v>
      </c>
      <c r="AH712" s="37">
        <v>0</v>
      </c>
      <c r="AI712" s="37">
        <v>96</v>
      </c>
      <c r="AJ712" s="37">
        <v>9</v>
      </c>
      <c r="AK712" s="37" t="str">
        <f>VLOOKUP(Mecze[[#This Row],[Match ID]],Meczusie[Mecz]:Meczusie[RodzajMeczu],2,FALSE)</f>
        <v>Liga</v>
      </c>
    </row>
    <row r="713" spans="1:37" x14ac:dyDescent="0.25">
      <c r="A713" s="76">
        <v>11</v>
      </c>
      <c r="B713" s="3" t="s">
        <v>410</v>
      </c>
      <c r="C713" s="2" t="s">
        <v>160</v>
      </c>
      <c r="D713" s="1">
        <v>0</v>
      </c>
      <c r="E713" s="1">
        <v>0</v>
      </c>
      <c r="F713" s="1">
        <v>0</v>
      </c>
      <c r="G713" s="1">
        <v>10</v>
      </c>
      <c r="H713" s="4">
        <v>0.6</v>
      </c>
      <c r="I713" s="1">
        <v>2</v>
      </c>
      <c r="J713" s="4">
        <v>1</v>
      </c>
      <c r="K713" s="1">
        <v>0</v>
      </c>
      <c r="L713" s="1">
        <v>1</v>
      </c>
      <c r="M713" s="32">
        <f>IF(Mecze[[#This Row],[PR]]=0,0,Mecze[[#This Row],[PR]]/Mecze[[#This Row],[CZAS]])</f>
        <v>1.0416666666666666E-2</v>
      </c>
      <c r="N713" s="32">
        <f>IF(Mecze[[#This Row],[OU]]=0,0,Mecze[[#This Row],[OU]]/Mecze[[#This Row],[CZAS]])</f>
        <v>2.0833333333333332E-2</v>
      </c>
      <c r="O713" s="32">
        <f>IF(Mecze[[#This Row],[PC]]=0,0,Mecze[[#This Row],[PC]]/Mecze[[#This Row],[CZAS]])</f>
        <v>6.25E-2</v>
      </c>
      <c r="P713" s="32">
        <f>IF(Mecze[[#This Row],[SC]]=0,0,Mecze[[#This Row],[SC]]/Mecze[[#This Row],[CZAS]])</f>
        <v>0</v>
      </c>
      <c r="Q713" s="32">
        <f>IF(Mecze[[#This Row],[OB]]=0,0,Mecze[[#This Row],[OB]]/Mecze[[#This Row],[CZAS]])</f>
        <v>0</v>
      </c>
      <c r="R713" s="32">
        <f>IF(Mecze[[#This Row],[BR]]=0,0,Mecze[[#This Row],[BR]]/Mecze[[#This Row],[CZAS]])</f>
        <v>0</v>
      </c>
      <c r="S713" s="44">
        <f>IF(Mecze[[#This Row],[Role]]="BR",SUMPRODUCT(Mecze[[#This Row],[/PR:90]:[/BR:90]],Brudnopis!$E$23:$J$23),0)</f>
        <v>0</v>
      </c>
      <c r="T713" s="44">
        <f>IF(Mecze[[#This Row],[Role]]&lt;&gt;"BR",SUMPRODUCT(Mecze[[#This Row],[/PR:90]:[/BR:90]],Brudnopis!$E$24:$J$24),0)</f>
        <v>0.10416666666666666</v>
      </c>
      <c r="U713" s="44">
        <f>IF(Mecze[[#This Row],[Role]]&lt;&gt;"BR",SUMPRODUCT(Mecze[[#This Row],[/PR:90]:[/BR:90]],Brudnopis!$E$25:$J$25),0)</f>
        <v>0.125</v>
      </c>
      <c r="V713" s="44">
        <f>IF(Mecze[[#This Row],[Role]]&lt;&gt;"BR",SUMPRODUCT(Mecze[[#This Row],[/PR:90]:[/BR:90]],Brudnopis!$E$26:$J$26),0)</f>
        <v>9.375E-2</v>
      </c>
      <c r="W713" s="44">
        <f>IF(Mecze[[#This Row],[Role]]&lt;&gt;"BR",SUMPRODUCT(Mecze[[#This Row],[/PR:90]:[/BR:90]],Brudnopis!$E$27:$J$27),0)</f>
        <v>0.1171875</v>
      </c>
      <c r="X713" s="44">
        <f>IF(Mecze[[#This Row],[Role]]&lt;&gt;"BR",SUMPRODUCT(Mecze[[#This Row],[/PR:90]:[/BR:90]],Brudnopis!$E$28:$J$28),0)</f>
        <v>6.25E-2</v>
      </c>
      <c r="Y713" s="35">
        <f>IF(Mecze[[#This Row],[Role]]="BR",Mecze[[#This Row],[/OB:90]]+Mecze[[#This Row],[/PC:90]],SUM(Mecze[[#This Row],[/PR:90]:[/BR:90]]))</f>
        <v>9.375E-2</v>
      </c>
      <c r="Z713" s="35">
        <f>IF(Mecze[[#This Row],[KC]]=0,SUM(Mecze[[#This Row],[/BRI]:[/NPI]]),SUM(Mecze[[#This Row],[/BRI]:[/NPI]])*0.6)</f>
        <v>0.50260416666666663</v>
      </c>
      <c r="AA713" s="10">
        <f>IFERROR(Mecze[[#This Row],[BR]]/Mecze[[#This Row],[ST]],0)</f>
        <v>0</v>
      </c>
      <c r="AB713">
        <f>ROUND(Mecze[[#This Row],[PD]]*Mecze[[#This Row],[%PC]],0)</f>
        <v>6</v>
      </c>
      <c r="AC713">
        <f>ROUND(Mecze[[#This Row],[OD]]*Mecze[[#This Row],[%OU]],0)</f>
        <v>2</v>
      </c>
      <c r="AD713" s="36" t="s">
        <v>299</v>
      </c>
      <c r="AE713" s="36">
        <v>41</v>
      </c>
      <c r="AF713" s="71">
        <v>4.12</v>
      </c>
      <c r="AG713" s="37">
        <v>0</v>
      </c>
      <c r="AH713" s="37">
        <v>0</v>
      </c>
      <c r="AI713" s="37">
        <v>96</v>
      </c>
      <c r="AJ713" s="37">
        <v>9</v>
      </c>
      <c r="AK713" s="37" t="str">
        <f>VLOOKUP(Mecze[[#This Row],[Match ID]],Meczusie[Mecz]:Meczusie[RodzajMeczu],2,FALSE)</f>
        <v>Liga</v>
      </c>
    </row>
    <row r="714" spans="1:37" x14ac:dyDescent="0.25">
      <c r="A714" s="76">
        <v>13</v>
      </c>
      <c r="B714" s="3" t="s">
        <v>295</v>
      </c>
      <c r="C714" s="2" t="s">
        <v>160</v>
      </c>
      <c r="D714" s="1">
        <v>0</v>
      </c>
      <c r="E714" s="1">
        <v>0</v>
      </c>
      <c r="F714" s="1">
        <v>0</v>
      </c>
      <c r="G714" s="1">
        <v>2</v>
      </c>
      <c r="H714" s="4">
        <v>1</v>
      </c>
      <c r="I714" s="1">
        <v>1</v>
      </c>
      <c r="J714" s="4">
        <v>0</v>
      </c>
      <c r="K714" s="1">
        <v>0</v>
      </c>
      <c r="L714" s="1">
        <v>1</v>
      </c>
      <c r="M714" s="32">
        <f>IF(Mecze[[#This Row],[PR]]=0,0,Mecze[[#This Row],[PR]]/Mecze[[#This Row],[CZAS]])</f>
        <v>1.0416666666666666E-2</v>
      </c>
      <c r="N714" s="32">
        <f>IF(Mecze[[#This Row],[OU]]=0,0,Mecze[[#This Row],[OU]]/Mecze[[#This Row],[CZAS]])</f>
        <v>0</v>
      </c>
      <c r="O714" s="32">
        <f>IF(Mecze[[#This Row],[PC]]=0,0,Mecze[[#This Row],[PC]]/Mecze[[#This Row],[CZAS]])</f>
        <v>2.0833333333333332E-2</v>
      </c>
      <c r="P714" s="32">
        <f>IF(Mecze[[#This Row],[SC]]=0,0,Mecze[[#This Row],[SC]]/Mecze[[#This Row],[CZAS]])</f>
        <v>0</v>
      </c>
      <c r="Q714" s="32">
        <f>IF(Mecze[[#This Row],[OB]]=0,0,Mecze[[#This Row],[OB]]/Mecze[[#This Row],[CZAS]])</f>
        <v>0</v>
      </c>
      <c r="R714" s="32">
        <f>IF(Mecze[[#This Row],[BR]]=0,0,Mecze[[#This Row],[BR]]/Mecze[[#This Row],[CZAS]])</f>
        <v>0</v>
      </c>
      <c r="S714" s="44">
        <f>IF(Mecze[[#This Row],[Role]]="BR",SUMPRODUCT(Mecze[[#This Row],[/PR:90]:[/BR:90]],Brudnopis!$E$23:$J$23),0)</f>
        <v>0</v>
      </c>
      <c r="T714" s="44">
        <f>IF(Mecze[[#This Row],[Role]]&lt;&gt;"BR",SUMPRODUCT(Mecze[[#This Row],[/PR:90]:[/BR:90]],Brudnopis!$E$24:$J$24),0)</f>
        <v>3.125E-2</v>
      </c>
      <c r="U714" s="44">
        <f>IF(Mecze[[#This Row],[Role]]&lt;&gt;"BR",SUMPRODUCT(Mecze[[#This Row],[/PR:90]:[/BR:90]],Brudnopis!$E$25:$J$25),0)</f>
        <v>4.1666666666666664E-2</v>
      </c>
      <c r="V714" s="44">
        <f>IF(Mecze[[#This Row],[Role]]&lt;&gt;"BR",SUMPRODUCT(Mecze[[#This Row],[/PR:90]:[/BR:90]],Brudnopis!$E$26:$J$26),0)</f>
        <v>3.125E-2</v>
      </c>
      <c r="W714" s="44">
        <f>IF(Mecze[[#This Row],[Role]]&lt;&gt;"BR",SUMPRODUCT(Mecze[[#This Row],[/PR:90]:[/BR:90]],Brudnopis!$E$27:$J$27),0)</f>
        <v>3.90625E-2</v>
      </c>
      <c r="X714" s="44">
        <f>IF(Mecze[[#This Row],[Role]]&lt;&gt;"BR",SUMPRODUCT(Mecze[[#This Row],[/PR:90]:[/BR:90]],Brudnopis!$E$28:$J$28),0)</f>
        <v>2.0833333333333332E-2</v>
      </c>
      <c r="Y714" s="35">
        <f>IF(Mecze[[#This Row],[Role]]="BR",Mecze[[#This Row],[/OB:90]]+Mecze[[#This Row],[/PC:90]],SUM(Mecze[[#This Row],[/PR:90]:[/BR:90]]))</f>
        <v>3.125E-2</v>
      </c>
      <c r="Z714" s="35">
        <f>IF(Mecze[[#This Row],[KC]]=0,SUM(Mecze[[#This Row],[/BRI]:[/NPI]]),SUM(Mecze[[#This Row],[/BRI]:[/NPI]])*0.6)</f>
        <v>0.1640625</v>
      </c>
      <c r="AA714" s="10">
        <f>IFERROR(Mecze[[#This Row],[BR]]/Mecze[[#This Row],[ST]],0)</f>
        <v>0</v>
      </c>
      <c r="AB714">
        <f>ROUND(Mecze[[#This Row],[PD]]*Mecze[[#This Row],[%PC]],0)</f>
        <v>2</v>
      </c>
      <c r="AC714">
        <f>ROUND(Mecze[[#This Row],[OD]]*Mecze[[#This Row],[%OU]],0)</f>
        <v>0</v>
      </c>
      <c r="AD714" s="36" t="s">
        <v>171</v>
      </c>
      <c r="AE714" s="36">
        <v>41</v>
      </c>
      <c r="AF714" s="71">
        <v>2.91</v>
      </c>
      <c r="AG714" s="37">
        <v>0</v>
      </c>
      <c r="AH714" s="37">
        <v>0</v>
      </c>
      <c r="AI714" s="37">
        <v>96</v>
      </c>
      <c r="AJ714" s="37">
        <v>9</v>
      </c>
      <c r="AK714" s="37" t="str">
        <f>VLOOKUP(Mecze[[#This Row],[Match ID]],Meczusie[Mecz]:Meczusie[RodzajMeczu],2,FALSE)</f>
        <v>Liga</v>
      </c>
    </row>
    <row r="715" spans="1:37" x14ac:dyDescent="0.25">
      <c r="A715" s="76">
        <v>9</v>
      </c>
      <c r="B715" s="3" t="s">
        <v>296</v>
      </c>
      <c r="C715" s="2" t="s">
        <v>165</v>
      </c>
      <c r="D715" s="1">
        <v>1</v>
      </c>
      <c r="E715" s="1">
        <v>4</v>
      </c>
      <c r="F715" s="1">
        <v>3</v>
      </c>
      <c r="G715" s="1">
        <v>6</v>
      </c>
      <c r="H715" s="4">
        <v>1</v>
      </c>
      <c r="I715" s="1">
        <v>2</v>
      </c>
      <c r="J715" s="4">
        <v>1</v>
      </c>
      <c r="K715" s="1">
        <v>0</v>
      </c>
      <c r="L715" s="1">
        <v>0</v>
      </c>
      <c r="M715" s="32">
        <f>IF(Mecze[[#This Row],[PR]]=0,0,Mecze[[#This Row],[PR]]/Mecze[[#This Row],[CZAS]])</f>
        <v>0</v>
      </c>
      <c r="N715" s="32">
        <f>IF(Mecze[[#This Row],[OU]]=0,0,Mecze[[#This Row],[OU]]/Mecze[[#This Row],[CZAS]])</f>
        <v>2.0833333333333332E-2</v>
      </c>
      <c r="O715" s="32">
        <f>IF(Mecze[[#This Row],[PC]]=0,0,Mecze[[#This Row],[PC]]/Mecze[[#This Row],[CZAS]])</f>
        <v>6.25E-2</v>
      </c>
      <c r="P715" s="32">
        <f>IF(Mecze[[#This Row],[SC]]=0,0,Mecze[[#This Row],[SC]]/Mecze[[#This Row],[CZAS]])</f>
        <v>3.125E-2</v>
      </c>
      <c r="Q715" s="32">
        <f>IF(Mecze[[#This Row],[OB]]=0,0,Mecze[[#This Row],[OB]]/Mecze[[#This Row],[CZAS]])</f>
        <v>0</v>
      </c>
      <c r="R715" s="32">
        <f>IF(Mecze[[#This Row],[BR]]=0,0,Mecze[[#This Row],[BR]]/Mecze[[#This Row],[CZAS]])</f>
        <v>1.0416666666666666E-2</v>
      </c>
      <c r="S715" s="44">
        <f>IF(Mecze[[#This Row],[Role]]="BR",SUMPRODUCT(Mecze[[#This Row],[/PR:90]:[/BR:90]],Brudnopis!$E$23:$J$23),0)</f>
        <v>0</v>
      </c>
      <c r="T715" s="44">
        <f>IF(Mecze[[#This Row],[Role]]&lt;&gt;"BR",SUMPRODUCT(Mecze[[#This Row],[/PR:90]:[/BR:90]],Brudnopis!$E$24:$J$24),0)</f>
        <v>0.140625</v>
      </c>
      <c r="U715" s="44">
        <f>IF(Mecze[[#This Row],[Role]]&lt;&gt;"BR",SUMPRODUCT(Mecze[[#This Row],[/PR:90]:[/BR:90]],Brudnopis!$E$25:$J$25),0)</f>
        <v>0.16145833333333331</v>
      </c>
      <c r="V715" s="44">
        <f>IF(Mecze[[#This Row],[Role]]&lt;&gt;"BR",SUMPRODUCT(Mecze[[#This Row],[/PR:90]:[/BR:90]],Brudnopis!$E$26:$J$26),0)</f>
        <v>0.13541666666666666</v>
      </c>
      <c r="W715" s="44">
        <f>IF(Mecze[[#This Row],[Role]]&lt;&gt;"BR",SUMPRODUCT(Mecze[[#This Row],[/PR:90]:[/BR:90]],Brudnopis!$E$27:$J$27),0)</f>
        <v>0.16145833333333334</v>
      </c>
      <c r="X715" s="44">
        <f>IF(Mecze[[#This Row],[Role]]&lt;&gt;"BR",SUMPRODUCT(Mecze[[#This Row],[/PR:90]:[/BR:90]],Brudnopis!$E$28:$J$28),0)</f>
        <v>0.15625</v>
      </c>
      <c r="Y715" s="35">
        <f>IF(Mecze[[#This Row],[Role]]="BR",Mecze[[#This Row],[/OB:90]]+Mecze[[#This Row],[/PC:90]],SUM(Mecze[[#This Row],[/PR:90]:[/BR:90]]))</f>
        <v>0.125</v>
      </c>
      <c r="Z715" s="35">
        <f>IF(Mecze[[#This Row],[KC]]=0,SUM(Mecze[[#This Row],[/BRI]:[/NPI]]),SUM(Mecze[[#This Row],[/BRI]:[/NPI]])*0.6)</f>
        <v>0.75520833333333337</v>
      </c>
      <c r="AA715" s="10">
        <f>IFERROR(Mecze[[#This Row],[BR]]/Mecze[[#This Row],[ST]],0)</f>
        <v>0.25</v>
      </c>
      <c r="AB715">
        <f>ROUND(Mecze[[#This Row],[PD]]*Mecze[[#This Row],[%PC]],0)</f>
        <v>6</v>
      </c>
      <c r="AC715">
        <f>ROUND(Mecze[[#This Row],[OD]]*Mecze[[#This Row],[%OU]],0)</f>
        <v>2</v>
      </c>
      <c r="AD715" s="36" t="s">
        <v>272</v>
      </c>
      <c r="AE715" s="36">
        <v>41</v>
      </c>
      <c r="AF715" s="71">
        <v>8.81</v>
      </c>
      <c r="AG715" s="37">
        <v>0</v>
      </c>
      <c r="AH715" s="37">
        <v>0</v>
      </c>
      <c r="AI715" s="37">
        <v>96</v>
      </c>
      <c r="AJ715" s="37">
        <v>9</v>
      </c>
      <c r="AK715" s="37" t="str">
        <f>VLOOKUP(Mecze[[#This Row],[Match ID]],Meczusie[Mecz]:Meczusie[RodzajMeczu],2,FALSE)</f>
        <v>Liga</v>
      </c>
    </row>
    <row r="716" spans="1:37" x14ac:dyDescent="0.25">
      <c r="A716" s="76">
        <v>6</v>
      </c>
      <c r="B716" s="3" t="s">
        <v>297</v>
      </c>
      <c r="C716" s="2" t="s">
        <v>165</v>
      </c>
      <c r="D716" s="1">
        <v>0</v>
      </c>
      <c r="E716" s="1">
        <v>6</v>
      </c>
      <c r="F716" s="1">
        <v>6</v>
      </c>
      <c r="G716" s="1">
        <v>12</v>
      </c>
      <c r="H716" s="4">
        <v>0.57999999999999996</v>
      </c>
      <c r="I716" s="1">
        <v>3</v>
      </c>
      <c r="J716" s="4">
        <v>0</v>
      </c>
      <c r="K716" s="1">
        <v>0</v>
      </c>
      <c r="L716" s="1">
        <v>2</v>
      </c>
      <c r="M716" s="32">
        <f>IF(Mecze[[#This Row],[PR]]=0,0,Mecze[[#This Row],[PR]]/Mecze[[#This Row],[CZAS]])</f>
        <v>2.0833333333333332E-2</v>
      </c>
      <c r="N716" s="32">
        <f>IF(Mecze[[#This Row],[OU]]=0,0,Mecze[[#This Row],[OU]]/Mecze[[#This Row],[CZAS]])</f>
        <v>0</v>
      </c>
      <c r="O716" s="32">
        <f>IF(Mecze[[#This Row],[PC]]=0,0,Mecze[[#This Row],[PC]]/Mecze[[#This Row],[CZAS]])</f>
        <v>7.2916666666666671E-2</v>
      </c>
      <c r="P716" s="32">
        <f>IF(Mecze[[#This Row],[SC]]=0,0,Mecze[[#This Row],[SC]]/Mecze[[#This Row],[CZAS]])</f>
        <v>6.25E-2</v>
      </c>
      <c r="Q716" s="32">
        <f>IF(Mecze[[#This Row],[OB]]=0,0,Mecze[[#This Row],[OB]]/Mecze[[#This Row],[CZAS]])</f>
        <v>0</v>
      </c>
      <c r="R716" s="32">
        <f>IF(Mecze[[#This Row],[BR]]=0,0,Mecze[[#This Row],[BR]]/Mecze[[#This Row],[CZAS]])</f>
        <v>0</v>
      </c>
      <c r="S716" s="44">
        <f>IF(Mecze[[#This Row],[Role]]="BR",SUMPRODUCT(Mecze[[#This Row],[/PR:90]:[/BR:90]],Brudnopis!$E$23:$J$23),0)</f>
        <v>0</v>
      </c>
      <c r="T716" s="44">
        <f>IF(Mecze[[#This Row],[Role]]&lt;&gt;"BR",SUMPRODUCT(Mecze[[#This Row],[/PR:90]:[/BR:90]],Brudnopis!$E$24:$J$24),0)</f>
        <v>0.15625</v>
      </c>
      <c r="U716" s="44">
        <f>IF(Mecze[[#This Row],[Role]]&lt;&gt;"BR",SUMPRODUCT(Mecze[[#This Row],[/PR:90]:[/BR:90]],Brudnopis!$E$25:$J$25),0)</f>
        <v>0.19270833333333334</v>
      </c>
      <c r="V716" s="44">
        <f>IF(Mecze[[#This Row],[Role]]&lt;&gt;"BR",SUMPRODUCT(Mecze[[#This Row],[/PR:90]:[/BR:90]],Brudnopis!$E$26:$J$26),0)</f>
        <v>0.15625</v>
      </c>
      <c r="W716" s="44">
        <f>IF(Mecze[[#This Row],[Role]]&lt;&gt;"BR",SUMPRODUCT(Mecze[[#This Row],[/PR:90]:[/BR:90]],Brudnopis!$E$27:$J$27),0)</f>
        <v>0.1875</v>
      </c>
      <c r="X716" s="44">
        <f>IF(Mecze[[#This Row],[Role]]&lt;&gt;"BR",SUMPRODUCT(Mecze[[#This Row],[/PR:90]:[/BR:90]],Brudnopis!$E$28:$J$28),0)</f>
        <v>0.19791666666666669</v>
      </c>
      <c r="Y716" s="35">
        <f>IF(Mecze[[#This Row],[Role]]="BR",Mecze[[#This Row],[/OB:90]]+Mecze[[#This Row],[/PC:90]],SUM(Mecze[[#This Row],[/PR:90]:[/BR:90]]))</f>
        <v>0.15625</v>
      </c>
      <c r="Z716" s="35">
        <f>IF(Mecze[[#This Row],[KC]]=0,SUM(Mecze[[#This Row],[/BRI]:[/NPI]]),SUM(Mecze[[#This Row],[/BRI]:[/NPI]])*0.6)</f>
        <v>0.890625</v>
      </c>
      <c r="AA716" s="10">
        <f>IFERROR(Mecze[[#This Row],[BR]]/Mecze[[#This Row],[ST]],0)</f>
        <v>0</v>
      </c>
      <c r="AB716">
        <f>ROUND(Mecze[[#This Row],[PD]]*Mecze[[#This Row],[%PC]],0)</f>
        <v>7</v>
      </c>
      <c r="AC716">
        <f>ROUND(Mecze[[#This Row],[OD]]*Mecze[[#This Row],[%OU]],0)</f>
        <v>0</v>
      </c>
      <c r="AD716" s="36" t="s">
        <v>46</v>
      </c>
      <c r="AE716" s="36">
        <v>41</v>
      </c>
      <c r="AF716" s="71">
        <v>5.36</v>
      </c>
      <c r="AG716" s="37">
        <v>0</v>
      </c>
      <c r="AH716" s="37">
        <v>0</v>
      </c>
      <c r="AI716" s="37">
        <v>96</v>
      </c>
      <c r="AJ716" s="37">
        <v>9</v>
      </c>
      <c r="AK716" s="37" t="str">
        <f>VLOOKUP(Mecze[[#This Row],[Match ID]],Meczusie[Mecz]:Meczusie[RodzajMeczu],2,FALSE)</f>
        <v>Liga</v>
      </c>
    </row>
    <row r="717" spans="1:37" x14ac:dyDescent="0.25">
      <c r="A717" s="76">
        <v>1</v>
      </c>
      <c r="B717" s="3" t="s">
        <v>344</v>
      </c>
      <c r="C717" s="2" t="s">
        <v>155</v>
      </c>
      <c r="D717" s="1">
        <v>0</v>
      </c>
      <c r="E717" s="1">
        <v>0</v>
      </c>
      <c r="F717" s="1">
        <v>0</v>
      </c>
      <c r="G717" s="1">
        <v>9</v>
      </c>
      <c r="H717" s="4">
        <v>0.56000000000000005</v>
      </c>
      <c r="I717" s="1">
        <v>0</v>
      </c>
      <c r="J717" s="4"/>
      <c r="K717" s="1">
        <v>10</v>
      </c>
      <c r="L717" s="1">
        <v>0</v>
      </c>
      <c r="M717" s="32">
        <f>IF(Mecze[[#This Row],[PR]]=0,0,Mecze[[#This Row],[PR]]/Mecze[[#This Row],[CZAS]])</f>
        <v>0</v>
      </c>
      <c r="N717" s="32">
        <f>IF(Mecze[[#This Row],[OU]]=0,0,Mecze[[#This Row],[OU]]/Mecze[[#This Row],[CZAS]])</f>
        <v>0</v>
      </c>
      <c r="O717" s="32">
        <f>IF(Mecze[[#This Row],[PC]]=0,0,Mecze[[#This Row],[PC]]/Mecze[[#This Row],[CZAS]])</f>
        <v>5.2083333333333336E-2</v>
      </c>
      <c r="P717" s="32">
        <f>IF(Mecze[[#This Row],[SC]]=0,0,Mecze[[#This Row],[SC]]/Mecze[[#This Row],[CZAS]])</f>
        <v>0</v>
      </c>
      <c r="Q717" s="32">
        <f>IF(Mecze[[#This Row],[OB]]=0,0,Mecze[[#This Row],[OB]]/Mecze[[#This Row],[CZAS]])</f>
        <v>0.10416666666666667</v>
      </c>
      <c r="R717" s="32">
        <f>IF(Mecze[[#This Row],[BR]]=0,0,Mecze[[#This Row],[BR]]/Mecze[[#This Row],[CZAS]])</f>
        <v>0</v>
      </c>
      <c r="S717" s="44">
        <f>IF(Mecze[[#This Row],[Role]]="BR",SUMPRODUCT(Mecze[[#This Row],[/PR:90]:[/BR:90]],Brudnopis!$E$23:$J$23),0)</f>
        <v>0.46875</v>
      </c>
      <c r="T717" s="44">
        <f>IF(Mecze[[#This Row],[Role]]&lt;&gt;"BR",SUMPRODUCT(Mecze[[#This Row],[/PR:90]:[/BR:90]],Brudnopis!$E$24:$J$24),0)</f>
        <v>0</v>
      </c>
      <c r="U717" s="44">
        <f>IF(Mecze[[#This Row],[Role]]&lt;&gt;"BR",SUMPRODUCT(Mecze[[#This Row],[/PR:90]:[/BR:90]],Brudnopis!$E$25:$J$25),0)</f>
        <v>0</v>
      </c>
      <c r="V717" s="44">
        <f>IF(Mecze[[#This Row],[Role]]&lt;&gt;"BR",SUMPRODUCT(Mecze[[#This Row],[/PR:90]:[/BR:90]],Brudnopis!$E$26:$J$26),0)</f>
        <v>0</v>
      </c>
      <c r="W717" s="44">
        <f>IF(Mecze[[#This Row],[Role]]&lt;&gt;"BR",SUMPRODUCT(Mecze[[#This Row],[/PR:90]:[/BR:90]],Brudnopis!$E$27:$J$27),0)</f>
        <v>0</v>
      </c>
      <c r="X717" s="44">
        <f>IF(Mecze[[#This Row],[Role]]&lt;&gt;"BR",SUMPRODUCT(Mecze[[#This Row],[/PR:90]:[/BR:90]],Brudnopis!$E$28:$J$28),0)</f>
        <v>0</v>
      </c>
      <c r="Y717" s="35">
        <f>IF(Mecze[[#This Row],[Role]]="BR",Mecze[[#This Row],[/OB:90]]+Mecze[[#This Row],[/PC:90]],SUM(Mecze[[#This Row],[/PR:90]:[/BR:90]]))</f>
        <v>0.15625</v>
      </c>
      <c r="Z717" s="35">
        <f>IF(Mecze[[#This Row],[KC]]=0,SUM(Mecze[[#This Row],[/BRI]:[/NPI]]),SUM(Mecze[[#This Row],[/BRI]:[/NPI]])*0.6)</f>
        <v>0.46875</v>
      </c>
      <c r="AA717" s="10">
        <f>IFERROR(Mecze[[#This Row],[BR]]/Mecze[[#This Row],[ST]],0)</f>
        <v>0</v>
      </c>
      <c r="AB717">
        <f>ROUND(Mecze[[#This Row],[PD]]*Mecze[[#This Row],[%PC]],0)</f>
        <v>5</v>
      </c>
      <c r="AC717">
        <f>ROUND(Mecze[[#This Row],[OD]]*Mecze[[#This Row],[%OU]],0)</f>
        <v>0</v>
      </c>
      <c r="AD717" s="36" t="s">
        <v>40</v>
      </c>
      <c r="AE717" s="36">
        <v>41</v>
      </c>
      <c r="AF717" s="71">
        <v>8.64</v>
      </c>
      <c r="AG717" s="37">
        <v>0</v>
      </c>
      <c r="AH717" s="37">
        <v>0</v>
      </c>
      <c r="AI717" s="37">
        <v>96</v>
      </c>
      <c r="AJ717" s="37">
        <v>5</v>
      </c>
      <c r="AK717" s="37" t="str">
        <f>VLOOKUP(Mecze[[#This Row],[Match ID]],Meczusie[Mecz]:Meczusie[RodzajMeczu],2,FALSE)</f>
        <v>Liga</v>
      </c>
    </row>
    <row r="718" spans="1:37" x14ac:dyDescent="0.25">
      <c r="A718" s="76">
        <v>2</v>
      </c>
      <c r="B718" s="3" t="s">
        <v>345</v>
      </c>
      <c r="C718" s="2" t="s">
        <v>157</v>
      </c>
      <c r="D718" s="1">
        <v>0</v>
      </c>
      <c r="E718" s="1">
        <v>0</v>
      </c>
      <c r="F718" s="1">
        <v>0</v>
      </c>
      <c r="G718" s="1">
        <v>10</v>
      </c>
      <c r="H718" s="4">
        <v>0.6</v>
      </c>
      <c r="I718" s="1">
        <v>6</v>
      </c>
      <c r="J718" s="4">
        <v>0.5</v>
      </c>
      <c r="K718" s="1">
        <v>0</v>
      </c>
      <c r="L718" s="1">
        <v>7</v>
      </c>
      <c r="M718" s="32">
        <f>IF(Mecze[[#This Row],[PR]]=0,0,Mecze[[#This Row],[PR]]/Mecze[[#This Row],[CZAS]])</f>
        <v>7.2916666666666671E-2</v>
      </c>
      <c r="N718" s="32">
        <f>IF(Mecze[[#This Row],[OU]]=0,0,Mecze[[#This Row],[OU]]/Mecze[[#This Row],[CZAS]])</f>
        <v>3.125E-2</v>
      </c>
      <c r="O718" s="32">
        <f>IF(Mecze[[#This Row],[PC]]=0,0,Mecze[[#This Row],[PC]]/Mecze[[#This Row],[CZAS]])</f>
        <v>6.25E-2</v>
      </c>
      <c r="P718" s="32">
        <f>IF(Mecze[[#This Row],[SC]]=0,0,Mecze[[#This Row],[SC]]/Mecze[[#This Row],[CZAS]])</f>
        <v>0</v>
      </c>
      <c r="Q718" s="32">
        <f>IF(Mecze[[#This Row],[OB]]=0,0,Mecze[[#This Row],[OB]]/Mecze[[#This Row],[CZAS]])</f>
        <v>0</v>
      </c>
      <c r="R718" s="32">
        <f>IF(Mecze[[#This Row],[BR]]=0,0,Mecze[[#This Row],[BR]]/Mecze[[#This Row],[CZAS]])</f>
        <v>0</v>
      </c>
      <c r="S718" s="44">
        <f>IF(Mecze[[#This Row],[Role]]="BR",SUMPRODUCT(Mecze[[#This Row],[/PR:90]:[/BR:90]],Brudnopis!$E$23:$J$23),0)</f>
        <v>0</v>
      </c>
      <c r="T718" s="44">
        <f>IF(Mecze[[#This Row],[Role]]&lt;&gt;"BR",SUMPRODUCT(Mecze[[#This Row],[/PR:90]:[/BR:90]],Brudnopis!$E$24:$J$24),0)</f>
        <v>0.18229166666666669</v>
      </c>
      <c r="U718" s="44">
        <f>IF(Mecze[[#This Row],[Role]]&lt;&gt;"BR",SUMPRODUCT(Mecze[[#This Row],[/PR:90]:[/BR:90]],Brudnopis!$E$25:$J$25),0)</f>
        <v>0.19791666666666669</v>
      </c>
      <c r="V718" s="44">
        <f>IF(Mecze[[#This Row],[Role]]&lt;&gt;"BR",SUMPRODUCT(Mecze[[#This Row],[/PR:90]:[/BR:90]],Brudnopis!$E$26:$J$26),0)</f>
        <v>0.16666666666666669</v>
      </c>
      <c r="W718" s="44">
        <f>IF(Mecze[[#This Row],[Role]]&lt;&gt;"BR",SUMPRODUCT(Mecze[[#This Row],[/PR:90]:[/BR:90]],Brudnopis!$E$27:$J$27),0)</f>
        <v>0.171875</v>
      </c>
      <c r="X718" s="44">
        <f>IF(Mecze[[#This Row],[Role]]&lt;&gt;"BR",SUMPRODUCT(Mecze[[#This Row],[/PR:90]:[/BR:90]],Brudnopis!$E$28:$J$28),0)</f>
        <v>6.25E-2</v>
      </c>
      <c r="Y718" s="35">
        <f>IF(Mecze[[#This Row],[Role]]="BR",Mecze[[#This Row],[/OB:90]]+Mecze[[#This Row],[/PC:90]],SUM(Mecze[[#This Row],[/PR:90]:[/BR:90]]))</f>
        <v>0.16666666666666669</v>
      </c>
      <c r="Z718" s="35">
        <f>IF(Mecze[[#This Row],[KC]]=0,SUM(Mecze[[#This Row],[/BRI]:[/NPI]]),SUM(Mecze[[#This Row],[/BRI]:[/NPI]])*0.6)</f>
        <v>0.78125</v>
      </c>
      <c r="AA718" s="10">
        <f>IFERROR(Mecze[[#This Row],[BR]]/Mecze[[#This Row],[ST]],0)</f>
        <v>0</v>
      </c>
      <c r="AB718">
        <f>ROUND(Mecze[[#This Row],[PD]]*Mecze[[#This Row],[%PC]],0)</f>
        <v>6</v>
      </c>
      <c r="AC718">
        <f>ROUND(Mecze[[#This Row],[OD]]*Mecze[[#This Row],[%OU]],0)</f>
        <v>3</v>
      </c>
      <c r="AD718" s="36" t="s">
        <v>47</v>
      </c>
      <c r="AE718" s="36">
        <v>41</v>
      </c>
      <c r="AF718" s="71">
        <v>6.51</v>
      </c>
      <c r="AG718" s="37">
        <v>0</v>
      </c>
      <c r="AH718" s="37">
        <v>0</v>
      </c>
      <c r="AI718" s="37">
        <v>96</v>
      </c>
      <c r="AJ718" s="37">
        <v>5</v>
      </c>
      <c r="AK718" s="37" t="str">
        <f>VLOOKUP(Mecze[[#This Row],[Match ID]],Meczusie[Mecz]:Meczusie[RodzajMeczu],2,FALSE)</f>
        <v>Liga</v>
      </c>
    </row>
    <row r="719" spans="1:37" x14ac:dyDescent="0.25">
      <c r="A719" s="76">
        <v>4</v>
      </c>
      <c r="B719" s="3" t="s">
        <v>346</v>
      </c>
      <c r="C719" s="2" t="s">
        <v>157</v>
      </c>
      <c r="D719" s="1">
        <v>0</v>
      </c>
      <c r="E719" s="1">
        <v>1</v>
      </c>
      <c r="F719" s="1">
        <v>1</v>
      </c>
      <c r="G719" s="1">
        <v>8</v>
      </c>
      <c r="H719" s="4">
        <v>0.5</v>
      </c>
      <c r="I719" s="1">
        <v>2</v>
      </c>
      <c r="J719" s="4">
        <v>0</v>
      </c>
      <c r="K719" s="1">
        <v>0</v>
      </c>
      <c r="L719" s="1">
        <v>4</v>
      </c>
      <c r="M719" s="32">
        <f>IF(Mecze[[#This Row],[PR]]=0,0,Mecze[[#This Row],[PR]]/Mecze[[#This Row],[CZAS]])</f>
        <v>4.1666666666666664E-2</v>
      </c>
      <c r="N719" s="32">
        <f>IF(Mecze[[#This Row],[OU]]=0,0,Mecze[[#This Row],[OU]]/Mecze[[#This Row],[CZAS]])</f>
        <v>0</v>
      </c>
      <c r="O719" s="32">
        <f>IF(Mecze[[#This Row],[PC]]=0,0,Mecze[[#This Row],[PC]]/Mecze[[#This Row],[CZAS]])</f>
        <v>4.1666666666666664E-2</v>
      </c>
      <c r="P719" s="32">
        <f>IF(Mecze[[#This Row],[SC]]=0,0,Mecze[[#This Row],[SC]]/Mecze[[#This Row],[CZAS]])</f>
        <v>1.0416666666666666E-2</v>
      </c>
      <c r="Q719" s="32">
        <f>IF(Mecze[[#This Row],[OB]]=0,0,Mecze[[#This Row],[OB]]/Mecze[[#This Row],[CZAS]])</f>
        <v>0</v>
      </c>
      <c r="R719" s="32">
        <f>IF(Mecze[[#This Row],[BR]]=0,0,Mecze[[#This Row],[BR]]/Mecze[[#This Row],[CZAS]])</f>
        <v>0</v>
      </c>
      <c r="S719" s="44">
        <f>IF(Mecze[[#This Row],[Role]]="BR",SUMPRODUCT(Mecze[[#This Row],[/PR:90]:[/BR:90]],Brudnopis!$E$23:$J$23),0)</f>
        <v>0</v>
      </c>
      <c r="T719" s="44">
        <f>IF(Mecze[[#This Row],[Role]]&lt;&gt;"BR",SUMPRODUCT(Mecze[[#This Row],[/PR:90]:[/BR:90]],Brudnopis!$E$24:$J$24),0)</f>
        <v>9.375E-2</v>
      </c>
      <c r="U719" s="44">
        <f>IF(Mecze[[#This Row],[Role]]&lt;&gt;"BR",SUMPRODUCT(Mecze[[#This Row],[/PR:90]:[/BR:90]],Brudnopis!$E$25:$J$25),0)</f>
        <v>0.11458333333333333</v>
      </c>
      <c r="V719" s="44">
        <f>IF(Mecze[[#This Row],[Role]]&lt;&gt;"BR",SUMPRODUCT(Mecze[[#This Row],[/PR:90]:[/BR:90]],Brudnopis!$E$26:$J$26),0)</f>
        <v>9.375E-2</v>
      </c>
      <c r="W719" s="44">
        <f>IF(Mecze[[#This Row],[Role]]&lt;&gt;"BR",SUMPRODUCT(Mecze[[#This Row],[/PR:90]:[/BR:90]],Brudnopis!$E$27:$J$27),0)</f>
        <v>0.10416666666666667</v>
      </c>
      <c r="X719" s="44">
        <f>IF(Mecze[[#This Row],[Role]]&lt;&gt;"BR",SUMPRODUCT(Mecze[[#This Row],[/PR:90]:[/BR:90]],Brudnopis!$E$28:$J$28),0)</f>
        <v>6.25E-2</v>
      </c>
      <c r="Y719" s="35">
        <f>IF(Mecze[[#This Row],[Role]]="BR",Mecze[[#This Row],[/OB:90]]+Mecze[[#This Row],[/PC:90]],SUM(Mecze[[#This Row],[/PR:90]:[/BR:90]]))</f>
        <v>9.375E-2</v>
      </c>
      <c r="Z719" s="35">
        <f>IF(Mecze[[#This Row],[KC]]=0,SUM(Mecze[[#This Row],[/BRI]:[/NPI]]),SUM(Mecze[[#This Row],[/BRI]:[/NPI]])*0.6)</f>
        <v>0.46875</v>
      </c>
      <c r="AA719" s="10">
        <f>IFERROR(Mecze[[#This Row],[BR]]/Mecze[[#This Row],[ST]],0)</f>
        <v>0</v>
      </c>
      <c r="AB719">
        <f>ROUND(Mecze[[#This Row],[PD]]*Mecze[[#This Row],[%PC]],0)</f>
        <v>4</v>
      </c>
      <c r="AC719">
        <f>ROUND(Mecze[[#This Row],[OD]]*Mecze[[#This Row],[%OU]],0)</f>
        <v>0</v>
      </c>
      <c r="AD719" s="36" t="s">
        <v>47</v>
      </c>
      <c r="AE719" s="36">
        <v>41</v>
      </c>
      <c r="AF719" s="71">
        <v>4.76</v>
      </c>
      <c r="AG719" s="37">
        <v>0</v>
      </c>
      <c r="AH719" s="37">
        <v>0</v>
      </c>
      <c r="AI719" s="37">
        <v>96</v>
      </c>
      <c r="AJ719" s="37">
        <v>5</v>
      </c>
      <c r="AK719" s="37" t="str">
        <f>VLOOKUP(Mecze[[#This Row],[Match ID]],Meczusie[Mecz]:Meczusie[RodzajMeczu],2,FALSE)</f>
        <v>Liga</v>
      </c>
    </row>
    <row r="720" spans="1:37" x14ac:dyDescent="0.25">
      <c r="A720" s="76">
        <v>5</v>
      </c>
      <c r="B720" s="3" t="s">
        <v>347</v>
      </c>
      <c r="C720" s="2" t="s">
        <v>157</v>
      </c>
      <c r="D720" s="1">
        <v>0</v>
      </c>
      <c r="E720" s="1">
        <v>0</v>
      </c>
      <c r="F720" s="1">
        <v>0</v>
      </c>
      <c r="G720" s="1">
        <v>6</v>
      </c>
      <c r="H720" s="4">
        <v>0.33</v>
      </c>
      <c r="I720" s="1">
        <v>2</v>
      </c>
      <c r="J720" s="4">
        <v>1</v>
      </c>
      <c r="K720" s="1">
        <v>0</v>
      </c>
      <c r="L720" s="1">
        <v>4</v>
      </c>
      <c r="M720" s="32">
        <f>IF(Mecze[[#This Row],[PR]]=0,0,Mecze[[#This Row],[PR]]/Mecze[[#This Row],[CZAS]])</f>
        <v>4.1666666666666664E-2</v>
      </c>
      <c r="N720" s="32">
        <f>IF(Mecze[[#This Row],[OU]]=0,0,Mecze[[#This Row],[OU]]/Mecze[[#This Row],[CZAS]])</f>
        <v>2.0833333333333332E-2</v>
      </c>
      <c r="O720" s="32">
        <f>IF(Mecze[[#This Row],[PC]]=0,0,Mecze[[#This Row],[PC]]/Mecze[[#This Row],[CZAS]])</f>
        <v>2.0833333333333332E-2</v>
      </c>
      <c r="P720" s="32">
        <f>IF(Mecze[[#This Row],[SC]]=0,0,Mecze[[#This Row],[SC]]/Mecze[[#This Row],[CZAS]])</f>
        <v>0</v>
      </c>
      <c r="Q720" s="32">
        <f>IF(Mecze[[#This Row],[OB]]=0,0,Mecze[[#This Row],[OB]]/Mecze[[#This Row],[CZAS]])</f>
        <v>0</v>
      </c>
      <c r="R720" s="32">
        <f>IF(Mecze[[#This Row],[BR]]=0,0,Mecze[[#This Row],[BR]]/Mecze[[#This Row],[CZAS]])</f>
        <v>0</v>
      </c>
      <c r="S720" s="44">
        <f>IF(Mecze[[#This Row],[Role]]="BR",SUMPRODUCT(Mecze[[#This Row],[/PR:90]:[/BR:90]],Brudnopis!$E$23:$J$23),0)</f>
        <v>0</v>
      </c>
      <c r="T720" s="44">
        <f>IF(Mecze[[#This Row],[Role]]&lt;&gt;"BR",SUMPRODUCT(Mecze[[#This Row],[/PR:90]:[/BR:90]],Brudnopis!$E$24:$J$24),0)</f>
        <v>9.3749999999999986E-2</v>
      </c>
      <c r="U720" s="44">
        <f>IF(Mecze[[#This Row],[Role]]&lt;&gt;"BR",SUMPRODUCT(Mecze[[#This Row],[/PR:90]:[/BR:90]],Brudnopis!$E$25:$J$25),0)</f>
        <v>9.375E-2</v>
      </c>
      <c r="V720" s="44">
        <f>IF(Mecze[[#This Row],[Role]]&lt;&gt;"BR",SUMPRODUCT(Mecze[[#This Row],[/PR:90]:[/BR:90]],Brudnopis!$E$26:$J$26),0)</f>
        <v>8.3333333333333329E-2</v>
      </c>
      <c r="W720" s="44">
        <f>IF(Mecze[[#This Row],[Role]]&lt;&gt;"BR",SUMPRODUCT(Mecze[[#This Row],[/PR:90]:[/BR:90]],Brudnopis!$E$27:$J$27),0)</f>
        <v>7.8125E-2</v>
      </c>
      <c r="X720" s="44">
        <f>IF(Mecze[[#This Row],[Role]]&lt;&gt;"BR",SUMPRODUCT(Mecze[[#This Row],[/PR:90]:[/BR:90]],Brudnopis!$E$28:$J$28),0)</f>
        <v>2.0833333333333332E-2</v>
      </c>
      <c r="Y720" s="35">
        <f>IF(Mecze[[#This Row],[Role]]="BR",Mecze[[#This Row],[/OB:90]]+Mecze[[#This Row],[/PC:90]],SUM(Mecze[[#This Row],[/PR:90]:[/BR:90]]))</f>
        <v>8.3333333333333329E-2</v>
      </c>
      <c r="Z720" s="35">
        <f>IF(Mecze[[#This Row],[KC]]=0,SUM(Mecze[[#This Row],[/BRI]:[/NPI]]),SUM(Mecze[[#This Row],[/BRI]:[/NPI]])*0.6)</f>
        <v>0.36979166666666663</v>
      </c>
      <c r="AA720" s="10">
        <f>IFERROR(Mecze[[#This Row],[BR]]/Mecze[[#This Row],[ST]],0)</f>
        <v>0</v>
      </c>
      <c r="AB720">
        <f>ROUND(Mecze[[#This Row],[PD]]*Mecze[[#This Row],[%PC]],0)</f>
        <v>2</v>
      </c>
      <c r="AC720">
        <f>ROUND(Mecze[[#This Row],[OD]]*Mecze[[#This Row],[%OU]],0)</f>
        <v>2</v>
      </c>
      <c r="AD720" s="36" t="s">
        <v>175</v>
      </c>
      <c r="AE720" s="36">
        <v>41</v>
      </c>
      <c r="AF720" s="71">
        <v>4.76</v>
      </c>
      <c r="AG720" s="37">
        <v>0</v>
      </c>
      <c r="AH720" s="37">
        <v>0</v>
      </c>
      <c r="AI720" s="37">
        <v>96</v>
      </c>
      <c r="AJ720" s="37">
        <v>5</v>
      </c>
      <c r="AK720" s="37" t="str">
        <f>VLOOKUP(Mecze[[#This Row],[Match ID]],Meczusie[Mecz]:Meczusie[RodzajMeczu],2,FALSE)</f>
        <v>Liga</v>
      </c>
    </row>
    <row r="721" spans="1:37" x14ac:dyDescent="0.25">
      <c r="A721" s="76">
        <v>3</v>
      </c>
      <c r="B721" s="3" t="s">
        <v>348</v>
      </c>
      <c r="C721" s="2" t="s">
        <v>157</v>
      </c>
      <c r="D721" s="1">
        <v>0</v>
      </c>
      <c r="E721" s="1">
        <v>0</v>
      </c>
      <c r="F721" s="1">
        <v>0</v>
      </c>
      <c r="G721" s="1">
        <v>13</v>
      </c>
      <c r="H721" s="4">
        <v>0.54</v>
      </c>
      <c r="I721" s="1">
        <v>11</v>
      </c>
      <c r="J721" s="4">
        <v>0.73</v>
      </c>
      <c r="K721" s="1">
        <v>0</v>
      </c>
      <c r="L721" s="1">
        <v>10</v>
      </c>
      <c r="M721" s="32">
        <f>IF(Mecze[[#This Row],[PR]]=0,0,Mecze[[#This Row],[PR]]/Mecze[[#This Row],[CZAS]])</f>
        <v>0.10416666666666667</v>
      </c>
      <c r="N721" s="32">
        <f>IF(Mecze[[#This Row],[OU]]=0,0,Mecze[[#This Row],[OU]]/Mecze[[#This Row],[CZAS]])</f>
        <v>8.3333333333333329E-2</v>
      </c>
      <c r="O721" s="32">
        <f>IF(Mecze[[#This Row],[PC]]=0,0,Mecze[[#This Row],[PC]]/Mecze[[#This Row],[CZAS]])</f>
        <v>7.2916666666666671E-2</v>
      </c>
      <c r="P721" s="32">
        <f>IF(Mecze[[#This Row],[SC]]=0,0,Mecze[[#This Row],[SC]]/Mecze[[#This Row],[CZAS]])</f>
        <v>0</v>
      </c>
      <c r="Q721" s="32">
        <f>IF(Mecze[[#This Row],[OB]]=0,0,Mecze[[#This Row],[OB]]/Mecze[[#This Row],[CZAS]])</f>
        <v>0</v>
      </c>
      <c r="R721" s="32">
        <f>IF(Mecze[[#This Row],[BR]]=0,0,Mecze[[#This Row],[BR]]/Mecze[[#This Row],[CZAS]])</f>
        <v>0</v>
      </c>
      <c r="S721" s="44">
        <f>IF(Mecze[[#This Row],[Role]]="BR",SUMPRODUCT(Mecze[[#This Row],[/PR:90]:[/BR:90]],Brudnopis!$E$23:$J$23),0)</f>
        <v>0</v>
      </c>
      <c r="T721" s="44">
        <f>IF(Mecze[[#This Row],[Role]]&lt;&gt;"BR",SUMPRODUCT(Mecze[[#This Row],[/PR:90]:[/BR:90]],Brudnopis!$E$24:$J$24),0)</f>
        <v>0.30208333333333337</v>
      </c>
      <c r="U721" s="44">
        <f>IF(Mecze[[#This Row],[Role]]&lt;&gt;"BR",SUMPRODUCT(Mecze[[#This Row],[/PR:90]:[/BR:90]],Brudnopis!$E$25:$J$25),0)</f>
        <v>0.296875</v>
      </c>
      <c r="V721" s="44">
        <f>IF(Mecze[[#This Row],[Role]]&lt;&gt;"BR",SUMPRODUCT(Mecze[[#This Row],[/PR:90]:[/BR:90]],Brudnopis!$E$26:$J$26),0)</f>
        <v>0.26041666666666669</v>
      </c>
      <c r="W721" s="44">
        <f>IF(Mecze[[#This Row],[Role]]&lt;&gt;"BR",SUMPRODUCT(Mecze[[#This Row],[/PR:90]:[/BR:90]],Brudnopis!$E$27:$J$27),0)</f>
        <v>0.25</v>
      </c>
      <c r="X721" s="44">
        <f>IF(Mecze[[#This Row],[Role]]&lt;&gt;"BR",SUMPRODUCT(Mecze[[#This Row],[/PR:90]:[/BR:90]],Brudnopis!$E$28:$J$28),0)</f>
        <v>7.2916666666666671E-2</v>
      </c>
      <c r="Y721" s="35">
        <f>IF(Mecze[[#This Row],[Role]]="BR",Mecze[[#This Row],[/OB:90]]+Mecze[[#This Row],[/PC:90]],SUM(Mecze[[#This Row],[/PR:90]:[/BR:90]]))</f>
        <v>0.26041666666666669</v>
      </c>
      <c r="Z721" s="35">
        <f>IF(Mecze[[#This Row],[KC]]=0,SUM(Mecze[[#This Row],[/BRI]:[/NPI]]),SUM(Mecze[[#This Row],[/BRI]:[/NPI]])*0.6)</f>
        <v>1.1822916666666667</v>
      </c>
      <c r="AA721" s="10">
        <f>IFERROR(Mecze[[#This Row],[BR]]/Mecze[[#This Row],[ST]],0)</f>
        <v>0</v>
      </c>
      <c r="AB721">
        <f>ROUND(Mecze[[#This Row],[PD]]*Mecze[[#This Row],[%PC]],0)</f>
        <v>7</v>
      </c>
      <c r="AC721">
        <f>ROUND(Mecze[[#This Row],[OD]]*Mecze[[#This Row],[%OU]],0)</f>
        <v>8</v>
      </c>
      <c r="AD721" s="36" t="s">
        <v>174</v>
      </c>
      <c r="AE721" s="36">
        <v>41</v>
      </c>
      <c r="AF721" s="71">
        <v>7.14</v>
      </c>
      <c r="AG721" s="37">
        <v>0</v>
      </c>
      <c r="AH721" s="37">
        <v>0</v>
      </c>
      <c r="AI721" s="37">
        <v>96</v>
      </c>
      <c r="AJ721" s="37">
        <v>5</v>
      </c>
      <c r="AK721" s="37" t="str">
        <f>VLOOKUP(Mecze[[#This Row],[Match ID]],Meczusie[Mecz]:Meczusie[RodzajMeczu],2,FALSE)</f>
        <v>Liga</v>
      </c>
    </row>
    <row r="722" spans="1:37" x14ac:dyDescent="0.25">
      <c r="A722" s="76">
        <v>6</v>
      </c>
      <c r="B722" s="3" t="s">
        <v>349</v>
      </c>
      <c r="C722" s="2" t="s">
        <v>160</v>
      </c>
      <c r="D722" s="1">
        <v>0</v>
      </c>
      <c r="E722" s="1">
        <v>0</v>
      </c>
      <c r="F722" s="1">
        <v>0</v>
      </c>
      <c r="G722" s="1">
        <v>11</v>
      </c>
      <c r="H722" s="4">
        <v>0.73</v>
      </c>
      <c r="I722" s="1">
        <v>6</v>
      </c>
      <c r="J722" s="4">
        <v>0.83</v>
      </c>
      <c r="K722" s="1">
        <v>0</v>
      </c>
      <c r="L722" s="1">
        <v>1</v>
      </c>
      <c r="M722" s="32">
        <f>IF(Mecze[[#This Row],[PR]]=0,0,Mecze[[#This Row],[PR]]/Mecze[[#This Row],[CZAS]])</f>
        <v>1.0416666666666666E-2</v>
      </c>
      <c r="N722" s="32">
        <f>IF(Mecze[[#This Row],[OU]]=0,0,Mecze[[#This Row],[OU]]/Mecze[[#This Row],[CZAS]])</f>
        <v>5.2083333333333336E-2</v>
      </c>
      <c r="O722" s="32">
        <f>IF(Mecze[[#This Row],[PC]]=0,0,Mecze[[#This Row],[PC]]/Mecze[[#This Row],[CZAS]])</f>
        <v>8.3333333333333329E-2</v>
      </c>
      <c r="P722" s="32">
        <f>IF(Mecze[[#This Row],[SC]]=0,0,Mecze[[#This Row],[SC]]/Mecze[[#This Row],[CZAS]])</f>
        <v>0</v>
      </c>
      <c r="Q722" s="32">
        <f>IF(Mecze[[#This Row],[OB]]=0,0,Mecze[[#This Row],[OB]]/Mecze[[#This Row],[CZAS]])</f>
        <v>0</v>
      </c>
      <c r="R722" s="32">
        <f>IF(Mecze[[#This Row],[BR]]=0,0,Mecze[[#This Row],[BR]]/Mecze[[#This Row],[CZAS]])</f>
        <v>0</v>
      </c>
      <c r="S722" s="44">
        <f>IF(Mecze[[#This Row],[Role]]="BR",SUMPRODUCT(Mecze[[#This Row],[/PR:90]:[/BR:90]],Brudnopis!$E$23:$J$23),0)</f>
        <v>0</v>
      </c>
      <c r="T722" s="44">
        <f>IF(Mecze[[#This Row],[Role]]&lt;&gt;"BR",SUMPRODUCT(Mecze[[#This Row],[/PR:90]:[/BR:90]],Brudnopis!$E$24:$J$24),0)</f>
        <v>0.171875</v>
      </c>
      <c r="U722" s="44">
        <f>IF(Mecze[[#This Row],[Role]]&lt;&gt;"BR",SUMPRODUCT(Mecze[[#This Row],[/PR:90]:[/BR:90]],Brudnopis!$E$25:$J$25),0)</f>
        <v>0.1875</v>
      </c>
      <c r="V722" s="44">
        <f>IF(Mecze[[#This Row],[Role]]&lt;&gt;"BR",SUMPRODUCT(Mecze[[#This Row],[/PR:90]:[/BR:90]],Brudnopis!$E$26:$J$26),0)</f>
        <v>0.14583333333333331</v>
      </c>
      <c r="W722" s="44">
        <f>IF(Mecze[[#This Row],[Role]]&lt;&gt;"BR",SUMPRODUCT(Mecze[[#This Row],[/PR:90]:[/BR:90]],Brudnopis!$E$27:$J$27),0)</f>
        <v>0.171875</v>
      </c>
      <c r="X722" s="44">
        <f>IF(Mecze[[#This Row],[Role]]&lt;&gt;"BR",SUMPRODUCT(Mecze[[#This Row],[/PR:90]:[/BR:90]],Brudnopis!$E$28:$J$28),0)</f>
        <v>8.3333333333333329E-2</v>
      </c>
      <c r="Y722" s="35">
        <f>IF(Mecze[[#This Row],[Role]]="BR",Mecze[[#This Row],[/OB:90]]+Mecze[[#This Row],[/PC:90]],SUM(Mecze[[#This Row],[/PR:90]:[/BR:90]]))</f>
        <v>0.14583333333333331</v>
      </c>
      <c r="Z722" s="35">
        <f>IF(Mecze[[#This Row],[KC]]=0,SUM(Mecze[[#This Row],[/BRI]:[/NPI]]),SUM(Mecze[[#This Row],[/BRI]:[/NPI]])*0.6)</f>
        <v>0.76041666666666663</v>
      </c>
      <c r="AA722" s="10">
        <f>IFERROR(Mecze[[#This Row],[BR]]/Mecze[[#This Row],[ST]],0)</f>
        <v>0</v>
      </c>
      <c r="AB722">
        <f>ROUND(Mecze[[#This Row],[PD]]*Mecze[[#This Row],[%PC]],0)</f>
        <v>8</v>
      </c>
      <c r="AC722">
        <f>ROUND(Mecze[[#This Row],[OD]]*Mecze[[#This Row],[%OU]],0)</f>
        <v>5</v>
      </c>
      <c r="AD722" s="36" t="s">
        <v>41</v>
      </c>
      <c r="AE722" s="36">
        <v>41</v>
      </c>
      <c r="AF722" s="71">
        <v>5.34</v>
      </c>
      <c r="AG722" s="37">
        <v>0</v>
      </c>
      <c r="AH722" s="37">
        <v>0</v>
      </c>
      <c r="AI722" s="37">
        <v>96</v>
      </c>
      <c r="AJ722" s="37">
        <v>5</v>
      </c>
      <c r="AK722" s="37" t="str">
        <f>VLOOKUP(Mecze[[#This Row],[Match ID]],Meczusie[Mecz]:Meczusie[RodzajMeczu],2,FALSE)</f>
        <v>Liga</v>
      </c>
    </row>
    <row r="723" spans="1:37" x14ac:dyDescent="0.25">
      <c r="A723" s="76">
        <v>7</v>
      </c>
      <c r="B723" s="3" t="s">
        <v>350</v>
      </c>
      <c r="C723" s="2" t="s">
        <v>160</v>
      </c>
      <c r="D723" s="1">
        <v>0</v>
      </c>
      <c r="E723" s="1">
        <v>5</v>
      </c>
      <c r="F723" s="1">
        <v>5</v>
      </c>
      <c r="G723" s="1">
        <v>9</v>
      </c>
      <c r="H723" s="4">
        <v>0.44</v>
      </c>
      <c r="I723" s="1">
        <v>1</v>
      </c>
      <c r="J723" s="4">
        <v>0</v>
      </c>
      <c r="K723" s="1">
        <v>0</v>
      </c>
      <c r="L723" s="1">
        <v>2</v>
      </c>
      <c r="M723" s="32">
        <f>IF(Mecze[[#This Row],[PR]]=0,0,Mecze[[#This Row],[PR]]/Mecze[[#This Row],[CZAS]])</f>
        <v>2.0833333333333332E-2</v>
      </c>
      <c r="N723" s="32">
        <f>IF(Mecze[[#This Row],[OU]]=0,0,Mecze[[#This Row],[OU]]/Mecze[[#This Row],[CZAS]])</f>
        <v>0</v>
      </c>
      <c r="O723" s="32">
        <f>IF(Mecze[[#This Row],[PC]]=0,0,Mecze[[#This Row],[PC]]/Mecze[[#This Row],[CZAS]])</f>
        <v>4.1666666666666664E-2</v>
      </c>
      <c r="P723" s="32">
        <f>IF(Mecze[[#This Row],[SC]]=0,0,Mecze[[#This Row],[SC]]/Mecze[[#This Row],[CZAS]])</f>
        <v>5.2083333333333336E-2</v>
      </c>
      <c r="Q723" s="32">
        <f>IF(Mecze[[#This Row],[OB]]=0,0,Mecze[[#This Row],[OB]]/Mecze[[#This Row],[CZAS]])</f>
        <v>0</v>
      </c>
      <c r="R723" s="32">
        <f>IF(Mecze[[#This Row],[BR]]=0,0,Mecze[[#This Row],[BR]]/Mecze[[#This Row],[CZAS]])</f>
        <v>0</v>
      </c>
      <c r="S723" s="44">
        <f>IF(Mecze[[#This Row],[Role]]="BR",SUMPRODUCT(Mecze[[#This Row],[/PR:90]:[/BR:90]],Brudnopis!$E$23:$J$23),0)</f>
        <v>0</v>
      </c>
      <c r="T723" s="44">
        <f>IF(Mecze[[#This Row],[Role]]&lt;&gt;"BR",SUMPRODUCT(Mecze[[#This Row],[/PR:90]:[/BR:90]],Brudnopis!$E$24:$J$24),0)</f>
        <v>0.11458333333333334</v>
      </c>
      <c r="U723" s="44">
        <f>IF(Mecze[[#This Row],[Role]]&lt;&gt;"BR",SUMPRODUCT(Mecze[[#This Row],[/PR:90]:[/BR:90]],Brudnopis!$E$25:$J$25),0)</f>
        <v>0.13541666666666666</v>
      </c>
      <c r="V723" s="44">
        <f>IF(Mecze[[#This Row],[Role]]&lt;&gt;"BR",SUMPRODUCT(Mecze[[#This Row],[/PR:90]:[/BR:90]],Brudnopis!$E$26:$J$26),0)</f>
        <v>0.11458333333333334</v>
      </c>
      <c r="W723" s="44">
        <f>IF(Mecze[[#This Row],[Role]]&lt;&gt;"BR",SUMPRODUCT(Mecze[[#This Row],[/PR:90]:[/BR:90]],Brudnopis!$E$27:$J$27),0)</f>
        <v>0.13020833333333334</v>
      </c>
      <c r="X723" s="44">
        <f>IF(Mecze[[#This Row],[Role]]&lt;&gt;"BR",SUMPRODUCT(Mecze[[#This Row],[/PR:90]:[/BR:90]],Brudnopis!$E$28:$J$28),0)</f>
        <v>0.14583333333333334</v>
      </c>
      <c r="Y723" s="35">
        <f>IF(Mecze[[#This Row],[Role]]="BR",Mecze[[#This Row],[/OB:90]]+Mecze[[#This Row],[/PC:90]],SUM(Mecze[[#This Row],[/PR:90]:[/BR:90]]))</f>
        <v>0.11458333333333334</v>
      </c>
      <c r="Z723" s="35">
        <f>IF(Mecze[[#This Row],[KC]]=0,SUM(Mecze[[#This Row],[/BRI]:[/NPI]]),SUM(Mecze[[#This Row],[/BRI]:[/NPI]])*0.6)</f>
        <v>0.64062500000000011</v>
      </c>
      <c r="AA723" s="10">
        <f>IFERROR(Mecze[[#This Row],[BR]]/Mecze[[#This Row],[ST]],0)</f>
        <v>0</v>
      </c>
      <c r="AB723">
        <f>ROUND(Mecze[[#This Row],[PD]]*Mecze[[#This Row],[%PC]],0)</f>
        <v>4</v>
      </c>
      <c r="AC723">
        <f>ROUND(Mecze[[#This Row],[OD]]*Mecze[[#This Row],[%OU]],0)</f>
        <v>0</v>
      </c>
      <c r="AD723" s="36" t="s">
        <v>67</v>
      </c>
      <c r="AE723" s="36">
        <v>41</v>
      </c>
      <c r="AF723" s="71">
        <v>5.49</v>
      </c>
      <c r="AG723" s="37">
        <v>0</v>
      </c>
      <c r="AH723" s="37">
        <v>0</v>
      </c>
      <c r="AI723" s="37">
        <v>96</v>
      </c>
      <c r="AJ723" s="37">
        <v>5</v>
      </c>
      <c r="AK723" s="37" t="str">
        <f>VLOOKUP(Mecze[[#This Row],[Match ID]],Meczusie[Mecz]:Meczusie[RodzajMeczu],2,FALSE)</f>
        <v>Liga</v>
      </c>
    </row>
    <row r="724" spans="1:37" x14ac:dyDescent="0.25">
      <c r="A724" s="76">
        <v>8</v>
      </c>
      <c r="B724" s="3" t="s">
        <v>351</v>
      </c>
      <c r="C724" s="2" t="s">
        <v>160</v>
      </c>
      <c r="D724" s="1">
        <v>0</v>
      </c>
      <c r="E724" s="1">
        <v>2</v>
      </c>
      <c r="F724" s="1">
        <v>2</v>
      </c>
      <c r="G724" s="1">
        <v>10</v>
      </c>
      <c r="H724" s="4">
        <v>0.9</v>
      </c>
      <c r="I724" s="1">
        <v>4</v>
      </c>
      <c r="J724" s="4">
        <v>0.75</v>
      </c>
      <c r="K724" s="1">
        <v>0</v>
      </c>
      <c r="L724" s="1">
        <v>6</v>
      </c>
      <c r="M724" s="32">
        <f>IF(Mecze[[#This Row],[PR]]=0,0,Mecze[[#This Row],[PR]]/Mecze[[#This Row],[CZAS]])</f>
        <v>6.25E-2</v>
      </c>
      <c r="N724" s="32">
        <f>IF(Mecze[[#This Row],[OU]]=0,0,Mecze[[#This Row],[OU]]/Mecze[[#This Row],[CZAS]])</f>
        <v>3.125E-2</v>
      </c>
      <c r="O724" s="32">
        <f>IF(Mecze[[#This Row],[PC]]=0,0,Mecze[[#This Row],[PC]]/Mecze[[#This Row],[CZAS]])</f>
        <v>9.375E-2</v>
      </c>
      <c r="P724" s="32">
        <f>IF(Mecze[[#This Row],[SC]]=0,0,Mecze[[#This Row],[SC]]/Mecze[[#This Row],[CZAS]])</f>
        <v>2.0833333333333332E-2</v>
      </c>
      <c r="Q724" s="32">
        <f>IF(Mecze[[#This Row],[OB]]=0,0,Mecze[[#This Row],[OB]]/Mecze[[#This Row],[CZAS]])</f>
        <v>0</v>
      </c>
      <c r="R724" s="32">
        <f>IF(Mecze[[#This Row],[BR]]=0,0,Mecze[[#This Row],[BR]]/Mecze[[#This Row],[CZAS]])</f>
        <v>0</v>
      </c>
      <c r="S724" s="44">
        <f>IF(Mecze[[#This Row],[Role]]="BR",SUMPRODUCT(Mecze[[#This Row],[/PR:90]:[/BR:90]],Brudnopis!$E$23:$J$23),0)</f>
        <v>0</v>
      </c>
      <c r="T724" s="44">
        <f>IF(Mecze[[#This Row],[Role]]&lt;&gt;"BR",SUMPRODUCT(Mecze[[#This Row],[/PR:90]:[/BR:90]],Brudnopis!$E$24:$J$24),0)</f>
        <v>0.22395833333333334</v>
      </c>
      <c r="U724" s="44">
        <f>IF(Mecze[[#This Row],[Role]]&lt;&gt;"BR",SUMPRODUCT(Mecze[[#This Row],[/PR:90]:[/BR:90]],Brudnopis!$E$25:$J$25),0)</f>
        <v>0.25520833333333331</v>
      </c>
      <c r="V724" s="44">
        <f>IF(Mecze[[#This Row],[Role]]&lt;&gt;"BR",SUMPRODUCT(Mecze[[#This Row],[/PR:90]:[/BR:90]],Brudnopis!$E$26:$J$26),0)</f>
        <v>0.20833333333333334</v>
      </c>
      <c r="W724" s="44">
        <f>IF(Mecze[[#This Row],[Role]]&lt;&gt;"BR",SUMPRODUCT(Mecze[[#This Row],[/PR:90]:[/BR:90]],Brudnopis!$E$27:$J$27),0)</f>
        <v>0.23177083333333334</v>
      </c>
      <c r="X724" s="44">
        <f>IF(Mecze[[#This Row],[Role]]&lt;&gt;"BR",SUMPRODUCT(Mecze[[#This Row],[/PR:90]:[/BR:90]],Brudnopis!$E$28:$J$28),0)</f>
        <v>0.13541666666666666</v>
      </c>
      <c r="Y724" s="35">
        <f>IF(Mecze[[#This Row],[Role]]="BR",Mecze[[#This Row],[/OB:90]]+Mecze[[#This Row],[/PC:90]],SUM(Mecze[[#This Row],[/PR:90]:[/BR:90]]))</f>
        <v>0.20833333333333334</v>
      </c>
      <c r="Z724" s="35">
        <f>IF(Mecze[[#This Row],[KC]]=0,SUM(Mecze[[#This Row],[/BRI]:[/NPI]]),SUM(Mecze[[#This Row],[/BRI]:[/NPI]])*0.6)</f>
        <v>1.0546875</v>
      </c>
      <c r="AA724" s="10">
        <f>IFERROR(Mecze[[#This Row],[BR]]/Mecze[[#This Row],[ST]],0)</f>
        <v>0</v>
      </c>
      <c r="AB724">
        <f>ROUND(Mecze[[#This Row],[PD]]*Mecze[[#This Row],[%PC]],0)</f>
        <v>9</v>
      </c>
      <c r="AC724">
        <f>ROUND(Mecze[[#This Row],[OD]]*Mecze[[#This Row],[%OU]],0)</f>
        <v>3</v>
      </c>
      <c r="AD724" s="36" t="s">
        <v>67</v>
      </c>
      <c r="AE724" s="36">
        <v>41</v>
      </c>
      <c r="AF724" s="71">
        <v>7.76</v>
      </c>
      <c r="AG724" s="37">
        <v>0</v>
      </c>
      <c r="AH724" s="37">
        <v>0</v>
      </c>
      <c r="AI724" s="37">
        <v>96</v>
      </c>
      <c r="AJ724" s="37">
        <v>5</v>
      </c>
      <c r="AK724" s="37" t="str">
        <f>VLOOKUP(Mecze[[#This Row],[Match ID]],Meczusie[Mecz]:Meczusie[RodzajMeczu],2,FALSE)</f>
        <v>Liga</v>
      </c>
    </row>
    <row r="725" spans="1:37" x14ac:dyDescent="0.25">
      <c r="A725" s="76">
        <v>10</v>
      </c>
      <c r="B725" s="3" t="s">
        <v>352</v>
      </c>
      <c r="C725" s="2" t="s">
        <v>165</v>
      </c>
      <c r="D725" s="1">
        <v>2</v>
      </c>
      <c r="E725" s="1">
        <v>9</v>
      </c>
      <c r="F725" s="1">
        <v>9</v>
      </c>
      <c r="G725" s="1">
        <v>3</v>
      </c>
      <c r="H725" s="4">
        <v>1</v>
      </c>
      <c r="I725" s="1">
        <v>7</v>
      </c>
      <c r="J725" s="4">
        <v>0.71</v>
      </c>
      <c r="K725" s="1">
        <v>0</v>
      </c>
      <c r="L725" s="1">
        <v>0</v>
      </c>
      <c r="M725" s="32">
        <f>IF(Mecze[[#This Row],[PR]]=0,0,Mecze[[#This Row],[PR]]/Mecze[[#This Row],[CZAS]])</f>
        <v>0</v>
      </c>
      <c r="N725" s="32">
        <f>IF(Mecze[[#This Row],[OU]]=0,0,Mecze[[#This Row],[OU]]/Mecze[[#This Row],[CZAS]])</f>
        <v>5.2083333333333336E-2</v>
      </c>
      <c r="O725" s="32">
        <f>IF(Mecze[[#This Row],[PC]]=0,0,Mecze[[#This Row],[PC]]/Mecze[[#This Row],[CZAS]])</f>
        <v>3.125E-2</v>
      </c>
      <c r="P725" s="32">
        <f>IF(Mecze[[#This Row],[SC]]=0,0,Mecze[[#This Row],[SC]]/Mecze[[#This Row],[CZAS]])</f>
        <v>9.375E-2</v>
      </c>
      <c r="Q725" s="32">
        <f>IF(Mecze[[#This Row],[OB]]=0,0,Mecze[[#This Row],[OB]]/Mecze[[#This Row],[CZAS]])</f>
        <v>0</v>
      </c>
      <c r="R725" s="32">
        <f>IF(Mecze[[#This Row],[BR]]=0,0,Mecze[[#This Row],[BR]]/Mecze[[#This Row],[CZAS]])</f>
        <v>2.0833333333333332E-2</v>
      </c>
      <c r="S725" s="44">
        <f>IF(Mecze[[#This Row],[Role]]="BR",SUMPRODUCT(Mecze[[#This Row],[/PR:90]:[/BR:90]],Brudnopis!$E$23:$J$23),0)</f>
        <v>0</v>
      </c>
      <c r="T725" s="44">
        <f>IF(Mecze[[#This Row],[Role]]&lt;&gt;"BR",SUMPRODUCT(Mecze[[#This Row],[/PR:90]:[/BR:90]],Brudnopis!$E$24:$J$24),0)</f>
        <v>0.234375</v>
      </c>
      <c r="U725" s="44">
        <f>IF(Mecze[[#This Row],[Role]]&lt;&gt;"BR",SUMPRODUCT(Mecze[[#This Row],[/PR:90]:[/BR:90]],Brudnopis!$E$25:$J$25),0)</f>
        <v>0.22395833333333334</v>
      </c>
      <c r="V725" s="44">
        <f>IF(Mecze[[#This Row],[Role]]&lt;&gt;"BR",SUMPRODUCT(Mecze[[#This Row],[/PR:90]:[/BR:90]],Brudnopis!$E$26:$J$26),0)</f>
        <v>0.21875</v>
      </c>
      <c r="W725" s="44">
        <f>IF(Mecze[[#This Row],[Role]]&lt;&gt;"BR",SUMPRODUCT(Mecze[[#This Row],[/PR:90]:[/BR:90]],Brudnopis!$E$27:$J$27),0)</f>
        <v>0.22135416666666666</v>
      </c>
      <c r="X725" s="44">
        <f>IF(Mecze[[#This Row],[Role]]&lt;&gt;"BR",SUMPRODUCT(Mecze[[#This Row],[/PR:90]:[/BR:90]],Brudnopis!$E$28:$J$28),0)</f>
        <v>0.28125</v>
      </c>
      <c r="Y725" s="35">
        <f>IF(Mecze[[#This Row],[Role]]="BR",Mecze[[#This Row],[/OB:90]]+Mecze[[#This Row],[/PC:90]],SUM(Mecze[[#This Row],[/PR:90]:[/BR:90]]))</f>
        <v>0.19791666666666669</v>
      </c>
      <c r="Z725" s="35">
        <f>IF(Mecze[[#This Row],[KC]]=0,SUM(Mecze[[#This Row],[/BRI]:[/NPI]]),SUM(Mecze[[#This Row],[/BRI]:[/NPI]])*0.6)</f>
        <v>1.1796875</v>
      </c>
      <c r="AA725" s="10">
        <f>IFERROR(Mecze[[#This Row],[BR]]/Mecze[[#This Row],[ST]],0)</f>
        <v>0.22222222222222221</v>
      </c>
      <c r="AB725">
        <f>ROUND(Mecze[[#This Row],[PD]]*Mecze[[#This Row],[%PC]],0)</f>
        <v>3</v>
      </c>
      <c r="AC725">
        <f>ROUND(Mecze[[#This Row],[OD]]*Mecze[[#This Row],[%OU]],0)</f>
        <v>5</v>
      </c>
      <c r="AD725" s="36" t="s">
        <v>46</v>
      </c>
      <c r="AE725" s="36">
        <v>41</v>
      </c>
      <c r="AF725" s="71">
        <v>10.51</v>
      </c>
      <c r="AG725" s="37">
        <v>0</v>
      </c>
      <c r="AH725" s="37">
        <v>0</v>
      </c>
      <c r="AI725" s="37">
        <v>96</v>
      </c>
      <c r="AJ725" s="37">
        <v>5</v>
      </c>
      <c r="AK725" s="37" t="str">
        <f>VLOOKUP(Mecze[[#This Row],[Match ID]],Meczusie[Mecz]:Meczusie[RodzajMeczu],2,FALSE)</f>
        <v>Liga</v>
      </c>
    </row>
    <row r="726" spans="1:37" x14ac:dyDescent="0.25">
      <c r="A726" s="76">
        <v>11</v>
      </c>
      <c r="B726" s="3" t="s">
        <v>353</v>
      </c>
      <c r="C726" s="2" t="s">
        <v>165</v>
      </c>
      <c r="D726" s="1">
        <v>0</v>
      </c>
      <c r="E726" s="1">
        <v>3</v>
      </c>
      <c r="F726" s="1">
        <v>3</v>
      </c>
      <c r="G726" s="1">
        <v>3</v>
      </c>
      <c r="H726" s="4">
        <v>0.67</v>
      </c>
      <c r="I726" s="1">
        <v>3</v>
      </c>
      <c r="J726" s="4">
        <v>0.33</v>
      </c>
      <c r="K726" s="1">
        <v>0</v>
      </c>
      <c r="L726" s="1">
        <v>1</v>
      </c>
      <c r="M726" s="32">
        <f>IF(Mecze[[#This Row],[PR]]=0,0,Mecze[[#This Row],[PR]]/Mecze[[#This Row],[CZAS]])</f>
        <v>1.0416666666666666E-2</v>
      </c>
      <c r="N726" s="32">
        <f>IF(Mecze[[#This Row],[OU]]=0,0,Mecze[[#This Row],[OU]]/Mecze[[#This Row],[CZAS]])</f>
        <v>1.0416666666666666E-2</v>
      </c>
      <c r="O726" s="32">
        <f>IF(Mecze[[#This Row],[PC]]=0,0,Mecze[[#This Row],[PC]]/Mecze[[#This Row],[CZAS]])</f>
        <v>2.0833333333333332E-2</v>
      </c>
      <c r="P726" s="32">
        <f>IF(Mecze[[#This Row],[SC]]=0,0,Mecze[[#This Row],[SC]]/Mecze[[#This Row],[CZAS]])</f>
        <v>3.125E-2</v>
      </c>
      <c r="Q726" s="32">
        <f>IF(Mecze[[#This Row],[OB]]=0,0,Mecze[[#This Row],[OB]]/Mecze[[#This Row],[CZAS]])</f>
        <v>0</v>
      </c>
      <c r="R726" s="32">
        <f>IF(Mecze[[#This Row],[BR]]=0,0,Mecze[[#This Row],[BR]]/Mecze[[#This Row],[CZAS]])</f>
        <v>0</v>
      </c>
      <c r="S726" s="44">
        <f>IF(Mecze[[#This Row],[Role]]="BR",SUMPRODUCT(Mecze[[#This Row],[/PR:90]:[/BR:90]],Brudnopis!$E$23:$J$23),0)</f>
        <v>0</v>
      </c>
      <c r="T726" s="44">
        <f>IF(Mecze[[#This Row],[Role]]&lt;&gt;"BR",SUMPRODUCT(Mecze[[#This Row],[/PR:90]:[/BR:90]],Brudnopis!$E$24:$J$24),0)</f>
        <v>7.8125E-2</v>
      </c>
      <c r="U726" s="44">
        <f>IF(Mecze[[#This Row],[Role]]&lt;&gt;"BR",SUMPRODUCT(Mecze[[#This Row],[/PR:90]:[/BR:90]],Brudnopis!$E$25:$J$25),0)</f>
        <v>8.3333333333333329E-2</v>
      </c>
      <c r="V726" s="44">
        <f>IF(Mecze[[#This Row],[Role]]&lt;&gt;"BR",SUMPRODUCT(Mecze[[#This Row],[/PR:90]:[/BR:90]],Brudnopis!$E$26:$J$26),0)</f>
        <v>7.2916666666666657E-2</v>
      </c>
      <c r="W726" s="44">
        <f>IF(Mecze[[#This Row],[Role]]&lt;&gt;"BR",SUMPRODUCT(Mecze[[#This Row],[/PR:90]:[/BR:90]],Brudnopis!$E$27:$J$27),0)</f>
        <v>7.8125E-2</v>
      </c>
      <c r="X726" s="44">
        <f>IF(Mecze[[#This Row],[Role]]&lt;&gt;"BR",SUMPRODUCT(Mecze[[#This Row],[/PR:90]:[/BR:90]],Brudnopis!$E$28:$J$28),0)</f>
        <v>8.3333333333333329E-2</v>
      </c>
      <c r="Y726" s="35">
        <f>IF(Mecze[[#This Row],[Role]]="BR",Mecze[[#This Row],[/OB:90]]+Mecze[[#This Row],[/PC:90]],SUM(Mecze[[#This Row],[/PR:90]:[/BR:90]]))</f>
        <v>7.2916666666666657E-2</v>
      </c>
      <c r="Z726" s="35">
        <f>IF(Mecze[[#This Row],[KC]]=0,SUM(Mecze[[#This Row],[/BRI]:[/NPI]]),SUM(Mecze[[#This Row],[/BRI]:[/NPI]])*0.6)</f>
        <v>0.39583333333333331</v>
      </c>
      <c r="AA726" s="10">
        <f>IFERROR(Mecze[[#This Row],[BR]]/Mecze[[#This Row],[ST]],0)</f>
        <v>0</v>
      </c>
      <c r="AB726">
        <f>ROUND(Mecze[[#This Row],[PD]]*Mecze[[#This Row],[%PC]],0)</f>
        <v>2</v>
      </c>
      <c r="AC726">
        <f>ROUND(Mecze[[#This Row],[OD]]*Mecze[[#This Row],[%OU]],0)</f>
        <v>1</v>
      </c>
      <c r="AD726" s="36" t="s">
        <v>272</v>
      </c>
      <c r="AE726" s="36">
        <v>41</v>
      </c>
      <c r="AF726" s="71">
        <v>4.59</v>
      </c>
      <c r="AG726" s="37">
        <v>0</v>
      </c>
      <c r="AH726" s="37">
        <v>0</v>
      </c>
      <c r="AI726" s="37">
        <v>96</v>
      </c>
      <c r="AJ726" s="37">
        <v>5</v>
      </c>
      <c r="AK726" s="37" t="str">
        <f>VLOOKUP(Mecze[[#This Row],[Match ID]],Meczusie[Mecz]:Meczusie[RodzajMeczu],2,FALSE)</f>
        <v>Liga</v>
      </c>
    </row>
    <row r="727" spans="1:37" x14ac:dyDescent="0.25">
      <c r="A727" s="76">
        <v>9</v>
      </c>
      <c r="B727" s="3" t="s">
        <v>354</v>
      </c>
      <c r="C727" s="2" t="s">
        <v>165</v>
      </c>
      <c r="D727" s="1">
        <v>0</v>
      </c>
      <c r="E727" s="1">
        <v>6</v>
      </c>
      <c r="F727" s="1">
        <v>6</v>
      </c>
      <c r="G727" s="1">
        <v>11</v>
      </c>
      <c r="H727" s="4">
        <v>0.73</v>
      </c>
      <c r="I727" s="1">
        <v>5</v>
      </c>
      <c r="J727" s="4">
        <v>0.2</v>
      </c>
      <c r="K727" s="1">
        <v>0</v>
      </c>
      <c r="L727" s="1">
        <v>0</v>
      </c>
      <c r="M727" s="32">
        <f>IF(Mecze[[#This Row],[PR]]=0,0,Mecze[[#This Row],[PR]]/Mecze[[#This Row],[CZAS]])</f>
        <v>0</v>
      </c>
      <c r="N727" s="32">
        <f>IF(Mecze[[#This Row],[OU]]=0,0,Mecze[[#This Row],[OU]]/Mecze[[#This Row],[CZAS]])</f>
        <v>1.0416666666666666E-2</v>
      </c>
      <c r="O727" s="32">
        <f>IF(Mecze[[#This Row],[PC]]=0,0,Mecze[[#This Row],[PC]]/Mecze[[#This Row],[CZAS]])</f>
        <v>8.3333333333333329E-2</v>
      </c>
      <c r="P727" s="32">
        <f>IF(Mecze[[#This Row],[SC]]=0,0,Mecze[[#This Row],[SC]]/Mecze[[#This Row],[CZAS]])</f>
        <v>6.25E-2</v>
      </c>
      <c r="Q727" s="32">
        <f>IF(Mecze[[#This Row],[OB]]=0,0,Mecze[[#This Row],[OB]]/Mecze[[#This Row],[CZAS]])</f>
        <v>0</v>
      </c>
      <c r="R727" s="32">
        <f>IF(Mecze[[#This Row],[BR]]=0,0,Mecze[[#This Row],[BR]]/Mecze[[#This Row],[CZAS]])</f>
        <v>0</v>
      </c>
      <c r="S727" s="44">
        <f>IF(Mecze[[#This Row],[Role]]="BR",SUMPRODUCT(Mecze[[#This Row],[/PR:90]:[/BR:90]],Brudnopis!$E$23:$J$23),0)</f>
        <v>0</v>
      </c>
      <c r="T727" s="44">
        <f>IF(Mecze[[#This Row],[Role]]&lt;&gt;"BR",SUMPRODUCT(Mecze[[#This Row],[/PR:90]:[/BR:90]],Brudnopis!$E$24:$J$24),0)</f>
        <v>0.16145833333333331</v>
      </c>
      <c r="U727" s="44">
        <f>IF(Mecze[[#This Row],[Role]]&lt;&gt;"BR",SUMPRODUCT(Mecze[[#This Row],[/PR:90]:[/BR:90]],Brudnopis!$E$25:$J$25),0)</f>
        <v>0.19791666666666666</v>
      </c>
      <c r="V727" s="44">
        <f>IF(Mecze[[#This Row],[Role]]&lt;&gt;"BR",SUMPRODUCT(Mecze[[#This Row],[/PR:90]:[/BR:90]],Brudnopis!$E$26:$J$26),0)</f>
        <v>0.15625</v>
      </c>
      <c r="W727" s="44">
        <f>IF(Mecze[[#This Row],[Role]]&lt;&gt;"BR",SUMPRODUCT(Mecze[[#This Row],[/PR:90]:[/BR:90]],Brudnopis!$E$27:$J$27),0)</f>
        <v>0.1953125</v>
      </c>
      <c r="X727" s="44">
        <f>IF(Mecze[[#This Row],[Role]]&lt;&gt;"BR",SUMPRODUCT(Mecze[[#This Row],[/PR:90]:[/BR:90]],Brudnopis!$E$28:$J$28),0)</f>
        <v>0.20833333333333331</v>
      </c>
      <c r="Y727" s="35">
        <f>IF(Mecze[[#This Row],[Role]]="BR",Mecze[[#This Row],[/OB:90]]+Mecze[[#This Row],[/PC:90]],SUM(Mecze[[#This Row],[/PR:90]:[/BR:90]]))</f>
        <v>0.15625</v>
      </c>
      <c r="Z727" s="35">
        <f>IF(Mecze[[#This Row],[KC]]=0,SUM(Mecze[[#This Row],[/BRI]:[/NPI]]),SUM(Mecze[[#This Row],[/BRI]:[/NPI]])*0.6)</f>
        <v>0.91927083333333326</v>
      </c>
      <c r="AA727" s="10">
        <f>IFERROR(Mecze[[#This Row],[BR]]/Mecze[[#This Row],[ST]],0)</f>
        <v>0</v>
      </c>
      <c r="AB727">
        <f>ROUND(Mecze[[#This Row],[PD]]*Mecze[[#This Row],[%PC]],0)</f>
        <v>8</v>
      </c>
      <c r="AC727">
        <f>ROUND(Mecze[[#This Row],[OD]]*Mecze[[#This Row],[%OU]],0)</f>
        <v>1</v>
      </c>
      <c r="AD727" s="36" t="s">
        <v>273</v>
      </c>
      <c r="AE727" s="36">
        <v>41</v>
      </c>
      <c r="AF727" s="71">
        <v>6.58</v>
      </c>
      <c r="AG727" s="37">
        <v>0</v>
      </c>
      <c r="AH727" s="37">
        <v>0</v>
      </c>
      <c r="AI727" s="37">
        <v>96</v>
      </c>
      <c r="AJ727" s="37">
        <v>5</v>
      </c>
      <c r="AK727" s="37" t="str">
        <f>VLOOKUP(Mecze[[#This Row],[Match ID]],Meczusie[Mecz]:Meczusie[RodzajMeczu],2,FALSE)</f>
        <v>Liga</v>
      </c>
    </row>
    <row r="728" spans="1:37" x14ac:dyDescent="0.25">
      <c r="A728" s="76">
        <v>1</v>
      </c>
      <c r="B728" s="3" t="s">
        <v>304</v>
      </c>
      <c r="C728" s="2" t="s">
        <v>155</v>
      </c>
      <c r="D728" s="1">
        <v>0</v>
      </c>
      <c r="E728" s="1">
        <v>0</v>
      </c>
      <c r="F728" s="1">
        <v>0</v>
      </c>
      <c r="G728" s="1">
        <v>15</v>
      </c>
      <c r="H728" s="4">
        <v>0.53</v>
      </c>
      <c r="I728" s="1">
        <v>0</v>
      </c>
      <c r="J728" s="4"/>
      <c r="K728" s="1">
        <v>8</v>
      </c>
      <c r="L728" s="1">
        <v>0</v>
      </c>
      <c r="M728" s="32">
        <f>IF(Mecze[[#This Row],[PR]]=0,0,Mecze[[#This Row],[PR]]/Mecze[[#This Row],[CZAS]])</f>
        <v>0</v>
      </c>
      <c r="N728" s="32">
        <f>IF(Mecze[[#This Row],[OU]]=0,0,Mecze[[#This Row],[OU]]/Mecze[[#This Row],[CZAS]])</f>
        <v>0</v>
      </c>
      <c r="O728" s="32">
        <f>IF(Mecze[[#This Row],[PC]]=0,0,Mecze[[#This Row],[PC]]/Mecze[[#This Row],[CZAS]])</f>
        <v>8.4210526315789472E-2</v>
      </c>
      <c r="P728" s="32">
        <f>IF(Mecze[[#This Row],[SC]]=0,0,Mecze[[#This Row],[SC]]/Mecze[[#This Row],[CZAS]])</f>
        <v>0</v>
      </c>
      <c r="Q728" s="32">
        <f>IF(Mecze[[#This Row],[OB]]=0,0,Mecze[[#This Row],[OB]]/Mecze[[#This Row],[CZAS]])</f>
        <v>8.4210526315789472E-2</v>
      </c>
      <c r="R728" s="32">
        <f>IF(Mecze[[#This Row],[BR]]=0,0,Mecze[[#This Row],[BR]]/Mecze[[#This Row],[CZAS]])</f>
        <v>0</v>
      </c>
      <c r="S728" s="44">
        <f>IF(Mecze[[#This Row],[Role]]="BR",SUMPRODUCT(Mecze[[#This Row],[/PR:90]:[/BR:90]],Brudnopis!$E$23:$J$23),0)</f>
        <v>0.50526315789473686</v>
      </c>
      <c r="T728" s="44">
        <f>IF(Mecze[[#This Row],[Role]]&lt;&gt;"BR",SUMPRODUCT(Mecze[[#This Row],[/PR:90]:[/BR:90]],Brudnopis!$E$24:$J$24),0)</f>
        <v>0</v>
      </c>
      <c r="U728" s="44">
        <f>IF(Mecze[[#This Row],[Role]]&lt;&gt;"BR",SUMPRODUCT(Mecze[[#This Row],[/PR:90]:[/BR:90]],Brudnopis!$E$25:$J$25),0)</f>
        <v>0</v>
      </c>
      <c r="V728" s="44">
        <f>IF(Mecze[[#This Row],[Role]]&lt;&gt;"BR",SUMPRODUCT(Mecze[[#This Row],[/PR:90]:[/BR:90]],Brudnopis!$E$26:$J$26),0)</f>
        <v>0</v>
      </c>
      <c r="W728" s="44">
        <f>IF(Mecze[[#This Row],[Role]]&lt;&gt;"BR",SUMPRODUCT(Mecze[[#This Row],[/PR:90]:[/BR:90]],Brudnopis!$E$27:$J$27),0)</f>
        <v>0</v>
      </c>
      <c r="X728" s="44">
        <f>IF(Mecze[[#This Row],[Role]]&lt;&gt;"BR",SUMPRODUCT(Mecze[[#This Row],[/PR:90]:[/BR:90]],Brudnopis!$E$28:$J$28),0)</f>
        <v>0</v>
      </c>
      <c r="Y728" s="35">
        <f>IF(Mecze[[#This Row],[Role]]="BR",Mecze[[#This Row],[/OB:90]]+Mecze[[#This Row],[/PC:90]],SUM(Mecze[[#This Row],[/PR:90]:[/BR:90]]))</f>
        <v>0.16842105263157894</v>
      </c>
      <c r="Z728" s="35">
        <f>IF(Mecze[[#This Row],[KC]]=0,SUM(Mecze[[#This Row],[/BRI]:[/NPI]]),SUM(Mecze[[#This Row],[/BRI]:[/NPI]])*0.6)</f>
        <v>0.50526315789473686</v>
      </c>
      <c r="AA728" s="10">
        <f>IFERROR(Mecze[[#This Row],[BR]]/Mecze[[#This Row],[ST]],0)</f>
        <v>0</v>
      </c>
      <c r="AB728">
        <f>ROUND(Mecze[[#This Row],[PD]]*Mecze[[#This Row],[%PC]],0)</f>
        <v>8</v>
      </c>
      <c r="AC728">
        <f>ROUND(Mecze[[#This Row],[OD]]*Mecze[[#This Row],[%OU]],0)</f>
        <v>0</v>
      </c>
      <c r="AD728" s="36" t="s">
        <v>40</v>
      </c>
      <c r="AE728" s="36">
        <v>42</v>
      </c>
      <c r="AF728" s="71">
        <v>5.61</v>
      </c>
      <c r="AG728" s="37">
        <v>0</v>
      </c>
      <c r="AH728" s="37">
        <v>0</v>
      </c>
      <c r="AI728" s="37">
        <v>95</v>
      </c>
      <c r="AJ728" s="37">
        <v>8</v>
      </c>
      <c r="AK728" s="37" t="str">
        <f>VLOOKUP(Mecze[[#This Row],[Match ID]],Meczusie[Mecz]:Meczusie[RodzajMeczu],2,FALSE)</f>
        <v>Liga</v>
      </c>
    </row>
    <row r="729" spans="1:37" x14ac:dyDescent="0.25">
      <c r="A729" s="76">
        <v>5</v>
      </c>
      <c r="B729" s="3" t="s">
        <v>305</v>
      </c>
      <c r="C729" s="2" t="s">
        <v>157</v>
      </c>
      <c r="D729" s="1">
        <v>0</v>
      </c>
      <c r="E729" s="1">
        <v>0</v>
      </c>
      <c r="F729" s="1">
        <v>0</v>
      </c>
      <c r="G729" s="1">
        <v>9</v>
      </c>
      <c r="H729" s="4">
        <v>0.89</v>
      </c>
      <c r="I729" s="1">
        <v>2</v>
      </c>
      <c r="J729" s="4">
        <v>1</v>
      </c>
      <c r="K729" s="1">
        <v>0</v>
      </c>
      <c r="L729" s="1">
        <v>10</v>
      </c>
      <c r="M729" s="32">
        <f>IF(Mecze[[#This Row],[PR]]=0,0,Mecze[[#This Row],[PR]]/Mecze[[#This Row],[CZAS]])</f>
        <v>0.10526315789473684</v>
      </c>
      <c r="N729" s="32">
        <f>IF(Mecze[[#This Row],[OU]]=0,0,Mecze[[#This Row],[OU]]/Mecze[[#This Row],[CZAS]])</f>
        <v>2.1052631578947368E-2</v>
      </c>
      <c r="O729" s="32">
        <f>IF(Mecze[[#This Row],[PC]]=0,0,Mecze[[#This Row],[PC]]/Mecze[[#This Row],[CZAS]])</f>
        <v>8.4210526315789472E-2</v>
      </c>
      <c r="P729" s="32">
        <f>IF(Mecze[[#This Row],[SC]]=0,0,Mecze[[#This Row],[SC]]/Mecze[[#This Row],[CZAS]])</f>
        <v>0</v>
      </c>
      <c r="Q729" s="32">
        <f>IF(Mecze[[#This Row],[OB]]=0,0,Mecze[[#This Row],[OB]]/Mecze[[#This Row],[CZAS]])</f>
        <v>0</v>
      </c>
      <c r="R729" s="32">
        <f>IF(Mecze[[#This Row],[BR]]=0,0,Mecze[[#This Row],[BR]]/Mecze[[#This Row],[CZAS]])</f>
        <v>0</v>
      </c>
      <c r="S729" s="44">
        <f>IF(Mecze[[#This Row],[Role]]="BR",SUMPRODUCT(Mecze[[#This Row],[/PR:90]:[/BR:90]],Brudnopis!$E$23:$J$23),0)</f>
        <v>0</v>
      </c>
      <c r="T729" s="44">
        <f>IF(Mecze[[#This Row],[Role]]&lt;&gt;"BR",SUMPRODUCT(Mecze[[#This Row],[/PR:90]:[/BR:90]],Brudnopis!$E$24:$J$24),0)</f>
        <v>0.22105263157894733</v>
      </c>
      <c r="U729" s="44">
        <f>IF(Mecze[[#This Row],[Role]]&lt;&gt;"BR",SUMPRODUCT(Mecze[[#This Row],[/PR:90]:[/BR:90]],Brudnopis!$E$25:$J$25),0)</f>
        <v>0.25263157894736843</v>
      </c>
      <c r="V729" s="44">
        <f>IF(Mecze[[#This Row],[Role]]&lt;&gt;"BR",SUMPRODUCT(Mecze[[#This Row],[/PR:90]:[/BR:90]],Brudnopis!$E$26:$J$26),0)</f>
        <v>0.21052631578947367</v>
      </c>
      <c r="W729" s="44">
        <f>IF(Mecze[[#This Row],[Role]]&lt;&gt;"BR",SUMPRODUCT(Mecze[[#This Row],[/PR:90]:[/BR:90]],Brudnopis!$E$27:$J$27),0)</f>
        <v>0.22105263157894736</v>
      </c>
      <c r="X729" s="44">
        <f>IF(Mecze[[#This Row],[Role]]&lt;&gt;"BR",SUMPRODUCT(Mecze[[#This Row],[/PR:90]:[/BR:90]],Brudnopis!$E$28:$J$28),0)</f>
        <v>8.4210526315789472E-2</v>
      </c>
      <c r="Y729" s="35">
        <f>IF(Mecze[[#This Row],[Role]]="BR",Mecze[[#This Row],[/OB:90]]+Mecze[[#This Row],[/PC:90]],SUM(Mecze[[#This Row],[/PR:90]:[/BR:90]]))</f>
        <v>0.21052631578947367</v>
      </c>
      <c r="Z729" s="35">
        <f>IF(Mecze[[#This Row],[KC]]=0,SUM(Mecze[[#This Row],[/BRI]:[/NPI]]),SUM(Mecze[[#This Row],[/BRI]:[/NPI]])*0.6)</f>
        <v>0.98947368421052628</v>
      </c>
      <c r="AA729" s="10">
        <f>IFERROR(Mecze[[#This Row],[BR]]/Mecze[[#This Row],[ST]],0)</f>
        <v>0</v>
      </c>
      <c r="AB729">
        <f>ROUND(Mecze[[#This Row],[PD]]*Mecze[[#This Row],[%PC]],0)</f>
        <v>8</v>
      </c>
      <c r="AC729">
        <f>ROUND(Mecze[[#This Row],[OD]]*Mecze[[#This Row],[%OU]],0)</f>
        <v>2</v>
      </c>
      <c r="AD729" s="36" t="s">
        <v>47</v>
      </c>
      <c r="AE729" s="36">
        <v>42</v>
      </c>
      <c r="AF729" s="71">
        <v>3.69</v>
      </c>
      <c r="AG729" s="37">
        <v>0</v>
      </c>
      <c r="AH729" s="37">
        <v>0</v>
      </c>
      <c r="AI729" s="37">
        <v>95</v>
      </c>
      <c r="AJ729" s="37">
        <v>8</v>
      </c>
      <c r="AK729" s="37" t="str">
        <f>VLOOKUP(Mecze[[#This Row],[Match ID]],Meczusie[Mecz]:Meczusie[RodzajMeczu],2,FALSE)</f>
        <v>Liga</v>
      </c>
    </row>
    <row r="730" spans="1:37" x14ac:dyDescent="0.25">
      <c r="A730" s="76">
        <v>23</v>
      </c>
      <c r="B730" s="3" t="s">
        <v>306</v>
      </c>
      <c r="C730" s="2" t="s">
        <v>157</v>
      </c>
      <c r="D730" s="1">
        <v>0</v>
      </c>
      <c r="E730" s="1">
        <v>0</v>
      </c>
      <c r="F730" s="1">
        <v>0</v>
      </c>
      <c r="G730" s="1">
        <v>4</v>
      </c>
      <c r="H730" s="4">
        <v>0.5</v>
      </c>
      <c r="I730" s="1">
        <v>5</v>
      </c>
      <c r="J730" s="4">
        <v>0.2</v>
      </c>
      <c r="K730" s="1">
        <v>0</v>
      </c>
      <c r="L730" s="1">
        <v>3</v>
      </c>
      <c r="M730" s="32">
        <f>IF(Mecze[[#This Row],[PR]]=0,0,Mecze[[#This Row],[PR]]/Mecze[[#This Row],[CZAS]])</f>
        <v>4.2253521126760563E-2</v>
      </c>
      <c r="N730" s="32">
        <f>IF(Mecze[[#This Row],[OU]]=0,0,Mecze[[#This Row],[OU]]/Mecze[[#This Row],[CZAS]])</f>
        <v>1.4084507042253521E-2</v>
      </c>
      <c r="O730" s="32">
        <f>IF(Mecze[[#This Row],[PC]]=0,0,Mecze[[#This Row],[PC]]/Mecze[[#This Row],[CZAS]])</f>
        <v>2.8169014084507043E-2</v>
      </c>
      <c r="P730" s="32">
        <f>IF(Mecze[[#This Row],[SC]]=0,0,Mecze[[#This Row],[SC]]/Mecze[[#This Row],[CZAS]])</f>
        <v>0</v>
      </c>
      <c r="Q730" s="32">
        <f>IF(Mecze[[#This Row],[OB]]=0,0,Mecze[[#This Row],[OB]]/Mecze[[#This Row],[CZAS]])</f>
        <v>0</v>
      </c>
      <c r="R730" s="32">
        <f>IF(Mecze[[#This Row],[BR]]=0,0,Mecze[[#This Row],[BR]]/Mecze[[#This Row],[CZAS]])</f>
        <v>0</v>
      </c>
      <c r="S730" s="44">
        <f>IF(Mecze[[#This Row],[Role]]="BR",SUMPRODUCT(Mecze[[#This Row],[/PR:90]:[/BR:90]],Brudnopis!$E$23:$J$23),0)</f>
        <v>0</v>
      </c>
      <c r="T730" s="44">
        <f>IF(Mecze[[#This Row],[Role]]&lt;&gt;"BR",SUMPRODUCT(Mecze[[#This Row],[/PR:90]:[/BR:90]],Brudnopis!$E$24:$J$24),0)</f>
        <v>9.154929577464789E-2</v>
      </c>
      <c r="U730" s="44">
        <f>IF(Mecze[[#This Row],[Role]]&lt;&gt;"BR",SUMPRODUCT(Mecze[[#This Row],[/PR:90]:[/BR:90]],Brudnopis!$E$25:$J$25),0)</f>
        <v>9.8591549295774655E-2</v>
      </c>
      <c r="V730" s="44">
        <f>IF(Mecze[[#This Row],[Role]]&lt;&gt;"BR",SUMPRODUCT(Mecze[[#This Row],[/PR:90]:[/BR:90]],Brudnopis!$E$26:$J$26),0)</f>
        <v>8.4507042253521125E-2</v>
      </c>
      <c r="W730" s="44">
        <f>IF(Mecze[[#This Row],[Role]]&lt;&gt;"BR",SUMPRODUCT(Mecze[[#This Row],[/PR:90]:[/BR:90]],Brudnopis!$E$27:$J$27),0)</f>
        <v>8.4507042253521125E-2</v>
      </c>
      <c r="X730" s="44">
        <f>IF(Mecze[[#This Row],[Role]]&lt;&gt;"BR",SUMPRODUCT(Mecze[[#This Row],[/PR:90]:[/BR:90]],Brudnopis!$E$28:$J$28),0)</f>
        <v>2.8169014084507043E-2</v>
      </c>
      <c r="Y730" s="35">
        <f>IF(Mecze[[#This Row],[Role]]="BR",Mecze[[#This Row],[/OB:90]]+Mecze[[#This Row],[/PC:90]],SUM(Mecze[[#This Row],[/PR:90]:[/BR:90]]))</f>
        <v>8.4507042253521125E-2</v>
      </c>
      <c r="Z730" s="35">
        <f>IF(Mecze[[#This Row],[KC]]=0,SUM(Mecze[[#This Row],[/BRI]:[/NPI]]),SUM(Mecze[[#This Row],[/BRI]:[/NPI]])*0.6)</f>
        <v>0.38732394366197187</v>
      </c>
      <c r="AA730" s="10">
        <f>IFERROR(Mecze[[#This Row],[BR]]/Mecze[[#This Row],[ST]],0)</f>
        <v>0</v>
      </c>
      <c r="AB730">
        <f>ROUND(Mecze[[#This Row],[PD]]*Mecze[[#This Row],[%PC]],0)</f>
        <v>2</v>
      </c>
      <c r="AC730">
        <f>ROUND(Mecze[[#This Row],[OD]]*Mecze[[#This Row],[%OU]],0)</f>
        <v>1</v>
      </c>
      <c r="AD730" s="36" t="s">
        <v>167</v>
      </c>
      <c r="AE730" s="36">
        <v>42</v>
      </c>
      <c r="AF730" s="71">
        <v>2.2200000000000002</v>
      </c>
      <c r="AG730" s="37">
        <v>0</v>
      </c>
      <c r="AH730" s="37">
        <v>0</v>
      </c>
      <c r="AI730" s="37">
        <v>71</v>
      </c>
      <c r="AJ730" s="37">
        <v>8</v>
      </c>
      <c r="AK730" s="37" t="str">
        <f>VLOOKUP(Mecze[[#This Row],[Match ID]],Meczusie[Mecz]:Meczusie[RodzajMeczu],2,FALSE)</f>
        <v>Liga</v>
      </c>
    </row>
    <row r="731" spans="1:37" x14ac:dyDescent="0.25">
      <c r="A731" s="76">
        <v>2</v>
      </c>
      <c r="B731" s="3" t="s">
        <v>307</v>
      </c>
      <c r="C731" s="2" t="s">
        <v>157</v>
      </c>
      <c r="D731" s="1">
        <v>0</v>
      </c>
      <c r="E731" s="1">
        <v>0</v>
      </c>
      <c r="F731" s="1">
        <v>0</v>
      </c>
      <c r="G731" s="1">
        <v>7</v>
      </c>
      <c r="H731" s="4">
        <v>0.43</v>
      </c>
      <c r="I731" s="1">
        <v>8</v>
      </c>
      <c r="J731" s="4">
        <v>0.5</v>
      </c>
      <c r="K731" s="1">
        <v>0</v>
      </c>
      <c r="L731" s="1">
        <v>5</v>
      </c>
      <c r="M731" s="32">
        <f>IF(Mecze[[#This Row],[PR]]=0,0,Mecze[[#This Row],[PR]]/Mecze[[#This Row],[CZAS]])</f>
        <v>5.2631578947368418E-2</v>
      </c>
      <c r="N731" s="32">
        <f>IF(Mecze[[#This Row],[OU]]=0,0,Mecze[[#This Row],[OU]]/Mecze[[#This Row],[CZAS]])</f>
        <v>4.2105263157894736E-2</v>
      </c>
      <c r="O731" s="32">
        <f>IF(Mecze[[#This Row],[PC]]=0,0,Mecze[[#This Row],[PC]]/Mecze[[#This Row],[CZAS]])</f>
        <v>3.1578947368421054E-2</v>
      </c>
      <c r="P731" s="32">
        <f>IF(Mecze[[#This Row],[SC]]=0,0,Mecze[[#This Row],[SC]]/Mecze[[#This Row],[CZAS]])</f>
        <v>0</v>
      </c>
      <c r="Q731" s="32">
        <f>IF(Mecze[[#This Row],[OB]]=0,0,Mecze[[#This Row],[OB]]/Mecze[[#This Row],[CZAS]])</f>
        <v>0</v>
      </c>
      <c r="R731" s="32">
        <f>IF(Mecze[[#This Row],[BR]]=0,0,Mecze[[#This Row],[BR]]/Mecze[[#This Row],[CZAS]])</f>
        <v>0</v>
      </c>
      <c r="S731" s="44">
        <f>IF(Mecze[[#This Row],[Role]]="BR",SUMPRODUCT(Mecze[[#This Row],[/PR:90]:[/BR:90]],Brudnopis!$E$23:$J$23),0)</f>
        <v>0</v>
      </c>
      <c r="T731" s="44">
        <f>IF(Mecze[[#This Row],[Role]]&lt;&gt;"BR",SUMPRODUCT(Mecze[[#This Row],[/PR:90]:[/BR:90]],Brudnopis!$E$24:$J$24),0)</f>
        <v>0.14736842105263159</v>
      </c>
      <c r="U731" s="44">
        <f>IF(Mecze[[#This Row],[Role]]&lt;&gt;"BR",SUMPRODUCT(Mecze[[#This Row],[/PR:90]:[/BR:90]],Brudnopis!$E$25:$J$25),0)</f>
        <v>0.14210526315789473</v>
      </c>
      <c r="V731" s="44">
        <f>IF(Mecze[[#This Row],[Role]]&lt;&gt;"BR",SUMPRODUCT(Mecze[[#This Row],[/PR:90]:[/BR:90]],Brudnopis!$E$26:$J$26),0)</f>
        <v>0.12631578947368421</v>
      </c>
      <c r="W731" s="44">
        <f>IF(Mecze[[#This Row],[Role]]&lt;&gt;"BR",SUMPRODUCT(Mecze[[#This Row],[/PR:90]:[/BR:90]],Brudnopis!$E$27:$J$27),0)</f>
        <v>0.11842105263157895</v>
      </c>
      <c r="X731" s="44">
        <f>IF(Mecze[[#This Row],[Role]]&lt;&gt;"BR",SUMPRODUCT(Mecze[[#This Row],[/PR:90]:[/BR:90]],Brudnopis!$E$28:$J$28),0)</f>
        <v>3.1578947368421054E-2</v>
      </c>
      <c r="Y731" s="35">
        <f>IF(Mecze[[#This Row],[Role]]="BR",Mecze[[#This Row],[/OB:90]]+Mecze[[#This Row],[/PC:90]],SUM(Mecze[[#This Row],[/PR:90]:[/BR:90]]))</f>
        <v>0.12631578947368421</v>
      </c>
      <c r="Z731" s="35">
        <f>IF(Mecze[[#This Row],[KC]]=0,SUM(Mecze[[#This Row],[/BRI]:[/NPI]]),SUM(Mecze[[#This Row],[/BRI]:[/NPI]])*0.6)</f>
        <v>0.56578947368421051</v>
      </c>
      <c r="AA731" s="10">
        <f>IFERROR(Mecze[[#This Row],[BR]]/Mecze[[#This Row],[ST]],0)</f>
        <v>0</v>
      </c>
      <c r="AB731">
        <f>ROUND(Mecze[[#This Row],[PD]]*Mecze[[#This Row],[%PC]],0)</f>
        <v>3</v>
      </c>
      <c r="AC731">
        <f>ROUND(Mecze[[#This Row],[OD]]*Mecze[[#This Row],[%OU]],0)</f>
        <v>4</v>
      </c>
      <c r="AD731" s="36" t="s">
        <v>168</v>
      </c>
      <c r="AE731" s="36">
        <v>42</v>
      </c>
      <c r="AF731" s="71">
        <v>3.76</v>
      </c>
      <c r="AG731" s="37">
        <v>0</v>
      </c>
      <c r="AH731" s="37">
        <v>0</v>
      </c>
      <c r="AI731" s="37">
        <v>95</v>
      </c>
      <c r="AJ731" s="37">
        <v>8</v>
      </c>
      <c r="AK731" s="37" t="str">
        <f>VLOOKUP(Mecze[[#This Row],[Match ID]],Meczusie[Mecz]:Meczusie[RodzajMeczu],2,FALSE)</f>
        <v>Liga</v>
      </c>
    </row>
    <row r="732" spans="1:37" x14ac:dyDescent="0.25">
      <c r="A732" s="76">
        <v>6</v>
      </c>
      <c r="B732" s="3" t="s">
        <v>308</v>
      </c>
      <c r="C732" s="2" t="s">
        <v>160</v>
      </c>
      <c r="D732" s="1">
        <v>0</v>
      </c>
      <c r="E732" s="1">
        <v>0</v>
      </c>
      <c r="F732" s="1">
        <v>0</v>
      </c>
      <c r="G732" s="1">
        <v>16</v>
      </c>
      <c r="H732" s="4">
        <v>0.81</v>
      </c>
      <c r="I732" s="1">
        <v>7</v>
      </c>
      <c r="J732" s="4">
        <v>0.43</v>
      </c>
      <c r="K732" s="1">
        <v>0</v>
      </c>
      <c r="L732" s="1">
        <v>7</v>
      </c>
      <c r="M732" s="32">
        <f>IF(Mecze[[#This Row],[PR]]=0,0,Mecze[[#This Row],[PR]]/Mecze[[#This Row],[CZAS]])</f>
        <v>7.3684210526315783E-2</v>
      </c>
      <c r="N732" s="32">
        <f>IF(Mecze[[#This Row],[OU]]=0,0,Mecze[[#This Row],[OU]]/Mecze[[#This Row],[CZAS]])</f>
        <v>3.1578947368421054E-2</v>
      </c>
      <c r="O732" s="32">
        <f>IF(Mecze[[#This Row],[PC]]=0,0,Mecze[[#This Row],[PC]]/Mecze[[#This Row],[CZAS]])</f>
        <v>0.1368421052631579</v>
      </c>
      <c r="P732" s="32">
        <f>IF(Mecze[[#This Row],[SC]]=0,0,Mecze[[#This Row],[SC]]/Mecze[[#This Row],[CZAS]])</f>
        <v>0</v>
      </c>
      <c r="Q732" s="32">
        <f>IF(Mecze[[#This Row],[OB]]=0,0,Mecze[[#This Row],[OB]]/Mecze[[#This Row],[CZAS]])</f>
        <v>0</v>
      </c>
      <c r="R732" s="32">
        <f>IF(Mecze[[#This Row],[BR]]=0,0,Mecze[[#This Row],[BR]]/Mecze[[#This Row],[CZAS]])</f>
        <v>0</v>
      </c>
      <c r="S732" s="44">
        <f>IF(Mecze[[#This Row],[Role]]="BR",SUMPRODUCT(Mecze[[#This Row],[/PR:90]:[/BR:90]],Brudnopis!$E$23:$J$23),0)</f>
        <v>0</v>
      </c>
      <c r="T732" s="44">
        <f>IF(Mecze[[#This Row],[Role]]&lt;&gt;"BR",SUMPRODUCT(Mecze[[#This Row],[/PR:90]:[/BR:90]],Brudnopis!$E$24:$J$24),0)</f>
        <v>0.25789473684210529</v>
      </c>
      <c r="U732" s="44">
        <f>IF(Mecze[[#This Row],[Role]]&lt;&gt;"BR",SUMPRODUCT(Mecze[[#This Row],[/PR:90]:[/BR:90]],Brudnopis!$E$25:$J$25),0)</f>
        <v>0.31052631578947371</v>
      </c>
      <c r="V732" s="44">
        <f>IF(Mecze[[#This Row],[Role]]&lt;&gt;"BR",SUMPRODUCT(Mecze[[#This Row],[/PR:90]:[/BR:90]],Brudnopis!$E$26:$J$26),0)</f>
        <v>0.24210526315789474</v>
      </c>
      <c r="W732" s="44">
        <f>IF(Mecze[[#This Row],[Role]]&lt;&gt;"BR",SUMPRODUCT(Mecze[[#This Row],[/PR:90]:[/BR:90]],Brudnopis!$E$27:$J$27),0)</f>
        <v>0.28421052631578947</v>
      </c>
      <c r="X732" s="44">
        <f>IF(Mecze[[#This Row],[Role]]&lt;&gt;"BR",SUMPRODUCT(Mecze[[#This Row],[/PR:90]:[/BR:90]],Brudnopis!$E$28:$J$28),0)</f>
        <v>0.1368421052631579</v>
      </c>
      <c r="Y732" s="35">
        <f>IF(Mecze[[#This Row],[Role]]="BR",Mecze[[#This Row],[/OB:90]]+Mecze[[#This Row],[/PC:90]],SUM(Mecze[[#This Row],[/PR:90]:[/BR:90]]))</f>
        <v>0.24210526315789474</v>
      </c>
      <c r="Z732" s="35">
        <f>IF(Mecze[[#This Row],[KC]]=0,SUM(Mecze[[#This Row],[/BRI]:[/NPI]]),SUM(Mecze[[#This Row],[/BRI]:[/NPI]])*0.6)</f>
        <v>1.2315789473684209</v>
      </c>
      <c r="AA732" s="10">
        <f>IFERROR(Mecze[[#This Row],[BR]]/Mecze[[#This Row],[ST]],0)</f>
        <v>0</v>
      </c>
      <c r="AB732">
        <f>ROUND(Mecze[[#This Row],[PD]]*Mecze[[#This Row],[%PC]],0)</f>
        <v>13</v>
      </c>
      <c r="AC732">
        <f>ROUND(Mecze[[#This Row],[OD]]*Mecze[[#This Row],[%OU]],0)</f>
        <v>3</v>
      </c>
      <c r="AD732" s="36" t="s">
        <v>41</v>
      </c>
      <c r="AE732" s="36">
        <v>42</v>
      </c>
      <c r="AF732" s="71">
        <v>6.29</v>
      </c>
      <c r="AG732" s="37">
        <v>0</v>
      </c>
      <c r="AH732" s="37">
        <v>0</v>
      </c>
      <c r="AI732" s="37">
        <v>95</v>
      </c>
      <c r="AJ732" s="37">
        <v>8</v>
      </c>
      <c r="AK732" s="37" t="str">
        <f>VLOOKUP(Mecze[[#This Row],[Match ID]],Meczusie[Mecz]:Meczusie[RodzajMeczu],2,FALSE)</f>
        <v>Liga</v>
      </c>
    </row>
    <row r="733" spans="1:37" x14ac:dyDescent="0.25">
      <c r="A733" s="76">
        <v>16</v>
      </c>
      <c r="B733" s="3" t="s">
        <v>309</v>
      </c>
      <c r="C733" s="2" t="s">
        <v>160</v>
      </c>
      <c r="D733" s="1">
        <v>0</v>
      </c>
      <c r="E733" s="1">
        <v>0</v>
      </c>
      <c r="F733" s="1">
        <v>0</v>
      </c>
      <c r="G733" s="1">
        <v>8</v>
      </c>
      <c r="H733" s="4">
        <v>1</v>
      </c>
      <c r="I733" s="1">
        <v>5</v>
      </c>
      <c r="J733" s="4">
        <v>0.4</v>
      </c>
      <c r="K733" s="1">
        <v>0</v>
      </c>
      <c r="L733" s="1">
        <v>2</v>
      </c>
      <c r="M733" s="32">
        <f>IF(Mecze[[#This Row],[PR]]=0,0,Mecze[[#This Row],[PR]]/Mecze[[#This Row],[CZAS]])</f>
        <v>2.1052631578947368E-2</v>
      </c>
      <c r="N733" s="32">
        <f>IF(Mecze[[#This Row],[OU]]=0,0,Mecze[[#This Row],[OU]]/Mecze[[#This Row],[CZAS]])</f>
        <v>2.1052631578947368E-2</v>
      </c>
      <c r="O733" s="32">
        <f>IF(Mecze[[#This Row],[PC]]=0,0,Mecze[[#This Row],[PC]]/Mecze[[#This Row],[CZAS]])</f>
        <v>8.4210526315789472E-2</v>
      </c>
      <c r="P733" s="32">
        <f>IF(Mecze[[#This Row],[SC]]=0,0,Mecze[[#This Row],[SC]]/Mecze[[#This Row],[CZAS]])</f>
        <v>0</v>
      </c>
      <c r="Q733" s="32">
        <f>IF(Mecze[[#This Row],[OB]]=0,0,Mecze[[#This Row],[OB]]/Mecze[[#This Row],[CZAS]])</f>
        <v>0</v>
      </c>
      <c r="R733" s="32">
        <f>IF(Mecze[[#This Row],[BR]]=0,0,Mecze[[#This Row],[BR]]/Mecze[[#This Row],[CZAS]])</f>
        <v>0</v>
      </c>
      <c r="S733" s="44">
        <f>IF(Mecze[[#This Row],[Role]]="BR",SUMPRODUCT(Mecze[[#This Row],[/PR:90]:[/BR:90]],Brudnopis!$E$23:$J$23),0)</f>
        <v>0</v>
      </c>
      <c r="T733" s="44">
        <f>IF(Mecze[[#This Row],[Role]]&lt;&gt;"BR",SUMPRODUCT(Mecze[[#This Row],[/PR:90]:[/BR:90]],Brudnopis!$E$24:$J$24),0)</f>
        <v>0.13684210526315788</v>
      </c>
      <c r="U733" s="44">
        <f>IF(Mecze[[#This Row],[Role]]&lt;&gt;"BR",SUMPRODUCT(Mecze[[#This Row],[/PR:90]:[/BR:90]],Brudnopis!$E$25:$J$25),0)</f>
        <v>0.16842105263157894</v>
      </c>
      <c r="V733" s="44">
        <f>IF(Mecze[[#This Row],[Role]]&lt;&gt;"BR",SUMPRODUCT(Mecze[[#This Row],[/PR:90]:[/BR:90]],Brudnopis!$E$26:$J$26),0)</f>
        <v>0.12631578947368421</v>
      </c>
      <c r="W733" s="44">
        <f>IF(Mecze[[#This Row],[Role]]&lt;&gt;"BR",SUMPRODUCT(Mecze[[#This Row],[/PR:90]:[/BR:90]],Brudnopis!$E$27:$J$27),0)</f>
        <v>0.15789473684210525</v>
      </c>
      <c r="X733" s="44">
        <f>IF(Mecze[[#This Row],[Role]]&lt;&gt;"BR",SUMPRODUCT(Mecze[[#This Row],[/PR:90]:[/BR:90]],Brudnopis!$E$28:$J$28),0)</f>
        <v>8.4210526315789472E-2</v>
      </c>
      <c r="Y733" s="35">
        <f>IF(Mecze[[#This Row],[Role]]="BR",Mecze[[#This Row],[/OB:90]]+Mecze[[#This Row],[/PC:90]],SUM(Mecze[[#This Row],[/PR:90]:[/BR:90]]))</f>
        <v>0.12631578947368421</v>
      </c>
      <c r="Z733" s="35">
        <f>IF(Mecze[[#This Row],[KC]]=0,SUM(Mecze[[#This Row],[/BRI]:[/NPI]]),SUM(Mecze[[#This Row],[/BRI]:[/NPI]])*0.6)</f>
        <v>0.67368421052631577</v>
      </c>
      <c r="AA733" s="10">
        <f>IFERROR(Mecze[[#This Row],[BR]]/Mecze[[#This Row],[ST]],0)</f>
        <v>0</v>
      </c>
      <c r="AB733">
        <f>ROUND(Mecze[[#This Row],[PD]]*Mecze[[#This Row],[%PC]],0)</f>
        <v>8</v>
      </c>
      <c r="AC733">
        <f>ROUND(Mecze[[#This Row],[OD]]*Mecze[[#This Row],[%OU]],0)</f>
        <v>2</v>
      </c>
      <c r="AD733" s="36" t="s">
        <v>172</v>
      </c>
      <c r="AE733" s="36">
        <v>42</v>
      </c>
      <c r="AF733" s="71">
        <v>6.45</v>
      </c>
      <c r="AG733" s="37">
        <v>0</v>
      </c>
      <c r="AH733" s="37">
        <v>0</v>
      </c>
      <c r="AI733" s="37">
        <v>95</v>
      </c>
      <c r="AJ733" s="37">
        <v>8</v>
      </c>
      <c r="AK733" s="37" t="str">
        <f>VLOOKUP(Mecze[[#This Row],[Match ID]],Meczusie[Mecz]:Meczusie[RodzajMeczu],2,FALSE)</f>
        <v>Liga</v>
      </c>
    </row>
    <row r="734" spans="1:37" x14ac:dyDescent="0.25">
      <c r="A734" s="76">
        <v>68</v>
      </c>
      <c r="B734" s="3" t="s">
        <v>416</v>
      </c>
      <c r="C734" s="2" t="s">
        <v>160</v>
      </c>
      <c r="D734" s="1">
        <v>0</v>
      </c>
      <c r="E734" s="1">
        <v>0</v>
      </c>
      <c r="F734" s="1">
        <v>0</v>
      </c>
      <c r="G734" s="1">
        <v>7</v>
      </c>
      <c r="H734" s="4">
        <v>0.71</v>
      </c>
      <c r="I734" s="1">
        <v>5</v>
      </c>
      <c r="J734" s="4">
        <v>0</v>
      </c>
      <c r="K734" s="1">
        <v>0</v>
      </c>
      <c r="L734" s="1">
        <v>5</v>
      </c>
      <c r="M734" s="32">
        <f>IF(Mecze[[#This Row],[PR]]=0,0,Mecze[[#This Row],[PR]]/Mecze[[#This Row],[CZAS]])</f>
        <v>5.2631578947368418E-2</v>
      </c>
      <c r="N734" s="32">
        <f>IF(Mecze[[#This Row],[OU]]=0,0,Mecze[[#This Row],[OU]]/Mecze[[#This Row],[CZAS]])</f>
        <v>0</v>
      </c>
      <c r="O734" s="32">
        <f>IF(Mecze[[#This Row],[PC]]=0,0,Mecze[[#This Row],[PC]]/Mecze[[#This Row],[CZAS]])</f>
        <v>5.2631578947368418E-2</v>
      </c>
      <c r="P734" s="32">
        <f>IF(Mecze[[#This Row],[SC]]=0,0,Mecze[[#This Row],[SC]]/Mecze[[#This Row],[CZAS]])</f>
        <v>0</v>
      </c>
      <c r="Q734" s="32">
        <f>IF(Mecze[[#This Row],[OB]]=0,0,Mecze[[#This Row],[OB]]/Mecze[[#This Row],[CZAS]])</f>
        <v>0</v>
      </c>
      <c r="R734" s="32">
        <f>IF(Mecze[[#This Row],[BR]]=0,0,Mecze[[#This Row],[BR]]/Mecze[[#This Row],[CZAS]])</f>
        <v>0</v>
      </c>
      <c r="S734" s="44">
        <f>IF(Mecze[[#This Row],[Role]]="BR",SUMPRODUCT(Mecze[[#This Row],[/PR:90]:[/BR:90]],Brudnopis!$E$23:$J$23),0)</f>
        <v>0</v>
      </c>
      <c r="T734" s="44">
        <f>IF(Mecze[[#This Row],[Role]]&lt;&gt;"BR",SUMPRODUCT(Mecze[[#This Row],[/PR:90]:[/BR:90]],Brudnopis!$E$24:$J$24),0)</f>
        <v>0.10526315789473684</v>
      </c>
      <c r="U734" s="44">
        <f>IF(Mecze[[#This Row],[Role]]&lt;&gt;"BR",SUMPRODUCT(Mecze[[#This Row],[/PR:90]:[/BR:90]],Brudnopis!$E$25:$J$25),0)</f>
        <v>0.13157894736842105</v>
      </c>
      <c r="V734" s="44">
        <f>IF(Mecze[[#This Row],[Role]]&lt;&gt;"BR",SUMPRODUCT(Mecze[[#This Row],[/PR:90]:[/BR:90]],Brudnopis!$E$26:$J$26),0)</f>
        <v>0.10526315789473684</v>
      </c>
      <c r="W734" s="44">
        <f>IF(Mecze[[#This Row],[Role]]&lt;&gt;"BR",SUMPRODUCT(Mecze[[#This Row],[/PR:90]:[/BR:90]],Brudnopis!$E$27:$J$27),0)</f>
        <v>0.11842105263157894</v>
      </c>
      <c r="X734" s="44">
        <f>IF(Mecze[[#This Row],[Role]]&lt;&gt;"BR",SUMPRODUCT(Mecze[[#This Row],[/PR:90]:[/BR:90]],Brudnopis!$E$28:$J$28),0)</f>
        <v>5.2631578947368418E-2</v>
      </c>
      <c r="Y734" s="35">
        <f>IF(Mecze[[#This Row],[Role]]="BR",Mecze[[#This Row],[/OB:90]]+Mecze[[#This Row],[/PC:90]],SUM(Mecze[[#This Row],[/PR:90]:[/BR:90]]))</f>
        <v>0.10526315789473684</v>
      </c>
      <c r="Z734" s="35">
        <f>IF(Mecze[[#This Row],[KC]]=0,SUM(Mecze[[#This Row],[/BRI]:[/NPI]]),SUM(Mecze[[#This Row],[/BRI]:[/NPI]])*0.6)</f>
        <v>0.51315789473684204</v>
      </c>
      <c r="AA734" s="10">
        <f>IFERROR(Mecze[[#This Row],[BR]]/Mecze[[#This Row],[ST]],0)</f>
        <v>0</v>
      </c>
      <c r="AB734">
        <f>ROUND(Mecze[[#This Row],[PD]]*Mecze[[#This Row],[%PC]],0)</f>
        <v>5</v>
      </c>
      <c r="AC734">
        <f>ROUND(Mecze[[#This Row],[OD]]*Mecze[[#This Row],[%OU]],0)</f>
        <v>0</v>
      </c>
      <c r="AD734" s="36" t="s">
        <v>319</v>
      </c>
      <c r="AE734" s="36">
        <v>42</v>
      </c>
      <c r="AF734" s="71">
        <v>4.96</v>
      </c>
      <c r="AG734" s="37">
        <v>0</v>
      </c>
      <c r="AH734" s="37">
        <v>0</v>
      </c>
      <c r="AI734" s="37">
        <v>95</v>
      </c>
      <c r="AJ734" s="37">
        <v>8</v>
      </c>
      <c r="AK734" s="37" t="str">
        <f>VLOOKUP(Mecze[[#This Row],[Match ID]],Meczusie[Mecz]:Meczusie[RodzajMeczu],2,FALSE)</f>
        <v>Liga</v>
      </c>
    </row>
    <row r="735" spans="1:37" x14ac:dyDescent="0.25">
      <c r="A735" s="76">
        <v>7</v>
      </c>
      <c r="B735" s="3" t="s">
        <v>311</v>
      </c>
      <c r="C735" s="2" t="s">
        <v>160</v>
      </c>
      <c r="D735" s="1">
        <v>0</v>
      </c>
      <c r="E735" s="1">
        <v>1</v>
      </c>
      <c r="F735" s="1">
        <v>1</v>
      </c>
      <c r="G735" s="1">
        <v>8</v>
      </c>
      <c r="H735" s="4">
        <v>0.75</v>
      </c>
      <c r="I735" s="1">
        <v>4</v>
      </c>
      <c r="J735" s="4">
        <v>0.5</v>
      </c>
      <c r="K735" s="1">
        <v>0</v>
      </c>
      <c r="L735" s="1">
        <v>3</v>
      </c>
      <c r="M735" s="32">
        <f>IF(Mecze[[#This Row],[PR]]=0,0,Mecze[[#This Row],[PR]]/Mecze[[#This Row],[CZAS]])</f>
        <v>3.1578947368421054E-2</v>
      </c>
      <c r="N735" s="32">
        <f>IF(Mecze[[#This Row],[OU]]=0,0,Mecze[[#This Row],[OU]]/Mecze[[#This Row],[CZAS]])</f>
        <v>2.1052631578947368E-2</v>
      </c>
      <c r="O735" s="32">
        <f>IF(Mecze[[#This Row],[PC]]=0,0,Mecze[[#This Row],[PC]]/Mecze[[#This Row],[CZAS]])</f>
        <v>6.3157894736842107E-2</v>
      </c>
      <c r="P735" s="32">
        <f>IF(Mecze[[#This Row],[SC]]=0,0,Mecze[[#This Row],[SC]]/Mecze[[#This Row],[CZAS]])</f>
        <v>1.0526315789473684E-2</v>
      </c>
      <c r="Q735" s="32">
        <f>IF(Mecze[[#This Row],[OB]]=0,0,Mecze[[#This Row],[OB]]/Mecze[[#This Row],[CZAS]])</f>
        <v>0</v>
      </c>
      <c r="R735" s="32">
        <f>IF(Mecze[[#This Row],[BR]]=0,0,Mecze[[#This Row],[BR]]/Mecze[[#This Row],[CZAS]])</f>
        <v>0</v>
      </c>
      <c r="S735" s="44">
        <f>IF(Mecze[[#This Row],[Role]]="BR",SUMPRODUCT(Mecze[[#This Row],[/PR:90]:[/BR:90]],Brudnopis!$E$23:$J$23),0)</f>
        <v>0</v>
      </c>
      <c r="T735" s="44">
        <f>IF(Mecze[[#This Row],[Role]]&lt;&gt;"BR",SUMPRODUCT(Mecze[[#This Row],[/PR:90]:[/BR:90]],Brudnopis!$E$24:$J$24),0)</f>
        <v>0.1368421052631579</v>
      </c>
      <c r="U735" s="44">
        <f>IF(Mecze[[#This Row],[Role]]&lt;&gt;"BR",SUMPRODUCT(Mecze[[#This Row],[/PR:90]:[/BR:90]],Brudnopis!$E$25:$J$25),0)</f>
        <v>0.15789473684210528</v>
      </c>
      <c r="V735" s="44">
        <f>IF(Mecze[[#This Row],[Role]]&lt;&gt;"BR",SUMPRODUCT(Mecze[[#This Row],[/PR:90]:[/BR:90]],Brudnopis!$E$26:$J$26),0)</f>
        <v>0.12631578947368421</v>
      </c>
      <c r="W735" s="44">
        <f>IF(Mecze[[#This Row],[Role]]&lt;&gt;"BR",SUMPRODUCT(Mecze[[#This Row],[/PR:90]:[/BR:90]],Brudnopis!$E$27:$J$27),0)</f>
        <v>0.14473684210526316</v>
      </c>
      <c r="X735" s="44">
        <f>IF(Mecze[[#This Row],[Role]]&lt;&gt;"BR",SUMPRODUCT(Mecze[[#This Row],[/PR:90]:[/BR:90]],Brudnopis!$E$28:$J$28),0)</f>
        <v>8.4210526315789472E-2</v>
      </c>
      <c r="Y735" s="35">
        <f>IF(Mecze[[#This Row],[Role]]="BR",Mecze[[#This Row],[/OB:90]]+Mecze[[#This Row],[/PC:90]],SUM(Mecze[[#This Row],[/PR:90]:[/BR:90]]))</f>
        <v>0.12631578947368421</v>
      </c>
      <c r="Z735" s="35">
        <f>IF(Mecze[[#This Row],[KC]]=0,SUM(Mecze[[#This Row],[/BRI]:[/NPI]]),SUM(Mecze[[#This Row],[/BRI]:[/NPI]])*0.6)</f>
        <v>0.65000000000000013</v>
      </c>
      <c r="AA735" s="10">
        <f>IFERROR(Mecze[[#This Row],[BR]]/Mecze[[#This Row],[ST]],0)</f>
        <v>0</v>
      </c>
      <c r="AB735">
        <f>ROUND(Mecze[[#This Row],[PD]]*Mecze[[#This Row],[%PC]],0)</f>
        <v>6</v>
      </c>
      <c r="AC735">
        <f>ROUND(Mecze[[#This Row],[OD]]*Mecze[[#This Row],[%OU]],0)</f>
        <v>2</v>
      </c>
      <c r="AD735" s="36" t="s">
        <v>44</v>
      </c>
      <c r="AE735" s="36">
        <v>42</v>
      </c>
      <c r="AF735" s="71">
        <v>4.7699999999999996</v>
      </c>
      <c r="AG735" s="37">
        <v>0</v>
      </c>
      <c r="AH735" s="37">
        <v>0</v>
      </c>
      <c r="AI735" s="37">
        <v>95</v>
      </c>
      <c r="AJ735" s="37">
        <v>8</v>
      </c>
      <c r="AK735" s="37" t="str">
        <f>VLOOKUP(Mecze[[#This Row],[Match ID]],Meczusie[Mecz]:Meczusie[RodzajMeczu],2,FALSE)</f>
        <v>Liga</v>
      </c>
    </row>
    <row r="736" spans="1:37" x14ac:dyDescent="0.25">
      <c r="A736" s="76">
        <v>14</v>
      </c>
      <c r="B736" s="3" t="s">
        <v>312</v>
      </c>
      <c r="C736" s="2" t="s">
        <v>165</v>
      </c>
      <c r="D736" s="1">
        <v>0</v>
      </c>
      <c r="E736" s="1">
        <v>3</v>
      </c>
      <c r="F736" s="1">
        <v>2</v>
      </c>
      <c r="G736" s="1">
        <v>9</v>
      </c>
      <c r="H736" s="4">
        <v>0.78</v>
      </c>
      <c r="I736" s="1">
        <v>4</v>
      </c>
      <c r="J736" s="4">
        <v>0.5</v>
      </c>
      <c r="K736" s="1">
        <v>0</v>
      </c>
      <c r="L736" s="1">
        <v>0</v>
      </c>
      <c r="M736" s="32">
        <f>IF(Mecze[[#This Row],[PR]]=0,0,Mecze[[#This Row],[PR]]/Mecze[[#This Row],[CZAS]])</f>
        <v>0</v>
      </c>
      <c r="N736" s="32">
        <f>IF(Mecze[[#This Row],[OU]]=0,0,Mecze[[#This Row],[OU]]/Mecze[[#This Row],[CZAS]])</f>
        <v>2.1052631578947368E-2</v>
      </c>
      <c r="O736" s="32">
        <f>IF(Mecze[[#This Row],[PC]]=0,0,Mecze[[#This Row],[PC]]/Mecze[[#This Row],[CZAS]])</f>
        <v>7.3684210526315783E-2</v>
      </c>
      <c r="P736" s="32">
        <f>IF(Mecze[[#This Row],[SC]]=0,0,Mecze[[#This Row],[SC]]/Mecze[[#This Row],[CZAS]])</f>
        <v>2.1052631578947368E-2</v>
      </c>
      <c r="Q736" s="32">
        <f>IF(Mecze[[#This Row],[OB]]=0,0,Mecze[[#This Row],[OB]]/Mecze[[#This Row],[CZAS]])</f>
        <v>0</v>
      </c>
      <c r="R736" s="32">
        <f>IF(Mecze[[#This Row],[BR]]=0,0,Mecze[[#This Row],[BR]]/Mecze[[#This Row],[CZAS]])</f>
        <v>0</v>
      </c>
      <c r="S736" s="44">
        <f>IF(Mecze[[#This Row],[Role]]="BR",SUMPRODUCT(Mecze[[#This Row],[/PR:90]:[/BR:90]],Brudnopis!$E$23:$J$23),0)</f>
        <v>0</v>
      </c>
      <c r="T736" s="44">
        <f>IF(Mecze[[#This Row],[Role]]&lt;&gt;"BR",SUMPRODUCT(Mecze[[#This Row],[/PR:90]:[/BR:90]],Brudnopis!$E$24:$J$24),0)</f>
        <v>0.12631578947368421</v>
      </c>
      <c r="U736" s="44">
        <f>IF(Mecze[[#This Row],[Role]]&lt;&gt;"BR",SUMPRODUCT(Mecze[[#This Row],[/PR:90]:[/BR:90]],Brudnopis!$E$25:$J$25),0)</f>
        <v>0.15263157894736842</v>
      </c>
      <c r="V736" s="44">
        <f>IF(Mecze[[#This Row],[Role]]&lt;&gt;"BR",SUMPRODUCT(Mecze[[#This Row],[/PR:90]:[/BR:90]],Brudnopis!$E$26:$J$26),0)</f>
        <v>0.11578947368421051</v>
      </c>
      <c r="W736" s="44">
        <f>IF(Mecze[[#This Row],[Role]]&lt;&gt;"BR",SUMPRODUCT(Mecze[[#This Row],[/PR:90]:[/BR:90]],Brudnopis!$E$27:$J$27),0)</f>
        <v>0.14736842105263157</v>
      </c>
      <c r="X736" s="44">
        <f>IF(Mecze[[#This Row],[Role]]&lt;&gt;"BR",SUMPRODUCT(Mecze[[#This Row],[/PR:90]:[/BR:90]],Brudnopis!$E$28:$J$28),0)</f>
        <v>0.11578947368421053</v>
      </c>
      <c r="Y736" s="35">
        <f>IF(Mecze[[#This Row],[Role]]="BR",Mecze[[#This Row],[/OB:90]]+Mecze[[#This Row],[/PC:90]],SUM(Mecze[[#This Row],[/PR:90]:[/BR:90]]))</f>
        <v>0.11578947368421051</v>
      </c>
      <c r="Z736" s="35">
        <f>IF(Mecze[[#This Row],[KC]]=0,SUM(Mecze[[#This Row],[/BRI]:[/NPI]]),SUM(Mecze[[#This Row],[/BRI]:[/NPI]])*0.6)</f>
        <v>0.6578947368421052</v>
      </c>
      <c r="AA736" s="10">
        <f>IFERROR(Mecze[[#This Row],[BR]]/Mecze[[#This Row],[ST]],0)</f>
        <v>0</v>
      </c>
      <c r="AB736">
        <f>ROUND(Mecze[[#This Row],[PD]]*Mecze[[#This Row],[%PC]],0)</f>
        <v>7</v>
      </c>
      <c r="AC736">
        <f>ROUND(Mecze[[#This Row],[OD]]*Mecze[[#This Row],[%OU]],0)</f>
        <v>2</v>
      </c>
      <c r="AD736" s="36" t="s">
        <v>273</v>
      </c>
      <c r="AE736" s="36">
        <v>42</v>
      </c>
      <c r="AF736" s="71">
        <v>4.4800000000000004</v>
      </c>
      <c r="AG736" s="37">
        <v>0</v>
      </c>
      <c r="AH736" s="37">
        <v>0</v>
      </c>
      <c r="AI736" s="37">
        <v>95</v>
      </c>
      <c r="AJ736" s="37">
        <v>8</v>
      </c>
      <c r="AK736" s="37" t="str">
        <f>VLOOKUP(Mecze[[#This Row],[Match ID]],Meczusie[Mecz]:Meczusie[RodzajMeczu],2,FALSE)</f>
        <v>Liga</v>
      </c>
    </row>
    <row r="737" spans="1:37" x14ac:dyDescent="0.25">
      <c r="A737" s="76">
        <v>13</v>
      </c>
      <c r="B737" s="3" t="s">
        <v>313</v>
      </c>
      <c r="C737" s="2" t="s">
        <v>165</v>
      </c>
      <c r="D737" s="1">
        <v>0</v>
      </c>
      <c r="E737" s="1">
        <v>5</v>
      </c>
      <c r="F737" s="1">
        <v>5</v>
      </c>
      <c r="G737" s="1">
        <v>2</v>
      </c>
      <c r="H737" s="4">
        <v>0</v>
      </c>
      <c r="I737" s="1">
        <v>2</v>
      </c>
      <c r="J737" s="4">
        <v>0.5</v>
      </c>
      <c r="K737" s="1">
        <v>0</v>
      </c>
      <c r="L737" s="1">
        <v>0</v>
      </c>
      <c r="M737" s="32">
        <f>IF(Mecze[[#This Row],[PR]]=0,0,Mecze[[#This Row],[PR]]/Mecze[[#This Row],[CZAS]])</f>
        <v>0</v>
      </c>
      <c r="N737" s="32">
        <f>IF(Mecze[[#This Row],[OU]]=0,0,Mecze[[#This Row],[OU]]/Mecze[[#This Row],[CZAS]])</f>
        <v>1.4084507042253521E-2</v>
      </c>
      <c r="O737" s="32">
        <f>IF(Mecze[[#This Row],[PC]]=0,0,Mecze[[#This Row],[PC]]/Mecze[[#This Row],[CZAS]])</f>
        <v>0</v>
      </c>
      <c r="P737" s="32">
        <f>IF(Mecze[[#This Row],[SC]]=0,0,Mecze[[#This Row],[SC]]/Mecze[[#This Row],[CZAS]])</f>
        <v>7.0422535211267609E-2</v>
      </c>
      <c r="Q737" s="32">
        <f>IF(Mecze[[#This Row],[OB]]=0,0,Mecze[[#This Row],[OB]]/Mecze[[#This Row],[CZAS]])</f>
        <v>0</v>
      </c>
      <c r="R737" s="32">
        <f>IF(Mecze[[#This Row],[BR]]=0,0,Mecze[[#This Row],[BR]]/Mecze[[#This Row],[CZAS]])</f>
        <v>0</v>
      </c>
      <c r="S737" s="44">
        <f>IF(Mecze[[#This Row],[Role]]="BR",SUMPRODUCT(Mecze[[#This Row],[/PR:90]:[/BR:90]],Brudnopis!$E$23:$J$23),0)</f>
        <v>0</v>
      </c>
      <c r="T737" s="44">
        <f>IF(Mecze[[#This Row],[Role]]&lt;&gt;"BR",SUMPRODUCT(Mecze[[#This Row],[/PR:90]:[/BR:90]],Brudnopis!$E$24:$J$24),0)</f>
        <v>9.154929577464789E-2</v>
      </c>
      <c r="U737" s="44">
        <f>IF(Mecze[[#This Row],[Role]]&lt;&gt;"BR",SUMPRODUCT(Mecze[[#This Row],[/PR:90]:[/BR:90]],Brudnopis!$E$25:$J$25),0)</f>
        <v>8.4507042253521125E-2</v>
      </c>
      <c r="V737" s="44">
        <f>IF(Mecze[[#This Row],[Role]]&lt;&gt;"BR",SUMPRODUCT(Mecze[[#This Row],[/PR:90]:[/BR:90]],Brudnopis!$E$26:$J$26),0)</f>
        <v>8.4507042253521125E-2</v>
      </c>
      <c r="W737" s="44">
        <f>IF(Mecze[[#This Row],[Role]]&lt;&gt;"BR",SUMPRODUCT(Mecze[[#This Row],[/PR:90]:[/BR:90]],Brudnopis!$E$27:$J$27),0)</f>
        <v>8.098591549295775E-2</v>
      </c>
      <c r="X737" s="44">
        <f>IF(Mecze[[#This Row],[Role]]&lt;&gt;"BR",SUMPRODUCT(Mecze[[#This Row],[/PR:90]:[/BR:90]],Brudnopis!$E$28:$J$28),0)</f>
        <v>0.14084507042253522</v>
      </c>
      <c r="Y737" s="35">
        <f>IF(Mecze[[#This Row],[Role]]="BR",Mecze[[#This Row],[/OB:90]]+Mecze[[#This Row],[/PC:90]],SUM(Mecze[[#This Row],[/PR:90]:[/BR:90]]))</f>
        <v>8.4507042253521125E-2</v>
      </c>
      <c r="Z737" s="35">
        <f>IF(Mecze[[#This Row],[KC]]=0,SUM(Mecze[[#This Row],[/BRI]:[/NPI]]),SUM(Mecze[[#This Row],[/BRI]:[/NPI]])*0.6)</f>
        <v>0.48239436619718312</v>
      </c>
      <c r="AA737" s="10">
        <f>IFERROR(Mecze[[#This Row],[BR]]/Mecze[[#This Row],[ST]],0)</f>
        <v>0</v>
      </c>
      <c r="AB737">
        <f>ROUND(Mecze[[#This Row],[PD]]*Mecze[[#This Row],[%PC]],0)</f>
        <v>0</v>
      </c>
      <c r="AC737">
        <f>ROUND(Mecze[[#This Row],[OD]]*Mecze[[#This Row],[%OU]],0)</f>
        <v>1</v>
      </c>
      <c r="AD737" s="36" t="s">
        <v>272</v>
      </c>
      <c r="AE737" s="36">
        <v>42</v>
      </c>
      <c r="AF737" s="71">
        <v>3.81</v>
      </c>
      <c r="AG737" s="37">
        <v>0</v>
      </c>
      <c r="AH737" s="37">
        <v>0</v>
      </c>
      <c r="AI737" s="37">
        <v>71</v>
      </c>
      <c r="AJ737" s="37">
        <v>8</v>
      </c>
      <c r="AK737" s="37" t="str">
        <f>VLOOKUP(Mecze[[#This Row],[Match ID]],Meczusie[Mecz]:Meczusie[RodzajMeczu],2,FALSE)</f>
        <v>Liga</v>
      </c>
    </row>
    <row r="738" spans="1:37" x14ac:dyDescent="0.25">
      <c r="A738" s="76">
        <v>8</v>
      </c>
      <c r="B738" s="3" t="s">
        <v>314</v>
      </c>
      <c r="C738" s="2" t="s">
        <v>165</v>
      </c>
      <c r="D738" s="1">
        <v>0</v>
      </c>
      <c r="E738" s="1">
        <v>3</v>
      </c>
      <c r="F738" s="1">
        <v>2</v>
      </c>
      <c r="G738" s="1">
        <v>4</v>
      </c>
      <c r="H738" s="4">
        <v>1</v>
      </c>
      <c r="I738" s="1">
        <v>1</v>
      </c>
      <c r="J738" s="4">
        <v>0</v>
      </c>
      <c r="K738" s="1">
        <v>0</v>
      </c>
      <c r="L738" s="1">
        <v>0</v>
      </c>
      <c r="M738" s="32">
        <f>IF(Mecze[[#This Row],[PR]]=0,0,Mecze[[#This Row],[PR]]/Mecze[[#This Row],[CZAS]])</f>
        <v>0</v>
      </c>
      <c r="N738" s="32">
        <f>IF(Mecze[[#This Row],[OU]]=0,0,Mecze[[#This Row],[OU]]/Mecze[[#This Row],[CZAS]])</f>
        <v>0</v>
      </c>
      <c r="O738" s="32">
        <f>IF(Mecze[[#This Row],[PC]]=0,0,Mecze[[#This Row],[PC]]/Mecze[[#This Row],[CZAS]])</f>
        <v>4.2105263157894736E-2</v>
      </c>
      <c r="P738" s="32">
        <f>IF(Mecze[[#This Row],[SC]]=0,0,Mecze[[#This Row],[SC]]/Mecze[[#This Row],[CZAS]])</f>
        <v>2.1052631578947368E-2</v>
      </c>
      <c r="Q738" s="32">
        <f>IF(Mecze[[#This Row],[OB]]=0,0,Mecze[[#This Row],[OB]]/Mecze[[#This Row],[CZAS]])</f>
        <v>0</v>
      </c>
      <c r="R738" s="32">
        <f>IF(Mecze[[#This Row],[BR]]=0,0,Mecze[[#This Row],[BR]]/Mecze[[#This Row],[CZAS]])</f>
        <v>0</v>
      </c>
      <c r="S738" s="44">
        <f>IF(Mecze[[#This Row],[Role]]="BR",SUMPRODUCT(Mecze[[#This Row],[/PR:90]:[/BR:90]],Brudnopis!$E$23:$J$23),0)</f>
        <v>0</v>
      </c>
      <c r="T738" s="44">
        <f>IF(Mecze[[#This Row],[Role]]&lt;&gt;"BR",SUMPRODUCT(Mecze[[#This Row],[/PR:90]:[/BR:90]],Brudnopis!$E$24:$J$24),0)</f>
        <v>6.3157894736842107E-2</v>
      </c>
      <c r="U738" s="44">
        <f>IF(Mecze[[#This Row],[Role]]&lt;&gt;"BR",SUMPRODUCT(Mecze[[#This Row],[/PR:90]:[/BR:90]],Brudnopis!$E$25:$J$25),0)</f>
        <v>8.4210526315789472E-2</v>
      </c>
      <c r="V738" s="44">
        <f>IF(Mecze[[#This Row],[Role]]&lt;&gt;"BR",SUMPRODUCT(Mecze[[#This Row],[/PR:90]:[/BR:90]],Brudnopis!$E$26:$J$26),0)</f>
        <v>6.3157894736842107E-2</v>
      </c>
      <c r="W738" s="44">
        <f>IF(Mecze[[#This Row],[Role]]&lt;&gt;"BR",SUMPRODUCT(Mecze[[#This Row],[/PR:90]:[/BR:90]],Brudnopis!$E$27:$J$27),0)</f>
        <v>8.4210526315789472E-2</v>
      </c>
      <c r="X738" s="44">
        <f>IF(Mecze[[#This Row],[Role]]&lt;&gt;"BR",SUMPRODUCT(Mecze[[#This Row],[/PR:90]:[/BR:90]],Brudnopis!$E$28:$J$28),0)</f>
        <v>8.4210526315789472E-2</v>
      </c>
      <c r="Y738" s="35">
        <f>IF(Mecze[[#This Row],[Role]]="BR",Mecze[[#This Row],[/OB:90]]+Mecze[[#This Row],[/PC:90]],SUM(Mecze[[#This Row],[/PR:90]:[/BR:90]]))</f>
        <v>6.3157894736842107E-2</v>
      </c>
      <c r="Z738" s="35">
        <f>IF(Mecze[[#This Row],[KC]]=0,SUM(Mecze[[#This Row],[/BRI]:[/NPI]]),SUM(Mecze[[#This Row],[/BRI]:[/NPI]])*0.6)</f>
        <v>0.37894736842105264</v>
      </c>
      <c r="AA738" s="10">
        <f>IFERROR(Mecze[[#This Row],[BR]]/Mecze[[#This Row],[ST]],0)</f>
        <v>0</v>
      </c>
      <c r="AB738">
        <f>ROUND(Mecze[[#This Row],[PD]]*Mecze[[#This Row],[%PC]],0)</f>
        <v>4</v>
      </c>
      <c r="AC738">
        <f>ROUND(Mecze[[#This Row],[OD]]*Mecze[[#This Row],[%OU]],0)</f>
        <v>0</v>
      </c>
      <c r="AD738" s="36" t="s">
        <v>46</v>
      </c>
      <c r="AE738" s="36">
        <v>42</v>
      </c>
      <c r="AF738" s="71">
        <v>3.15</v>
      </c>
      <c r="AG738" s="37">
        <v>0</v>
      </c>
      <c r="AH738" s="37">
        <v>0</v>
      </c>
      <c r="AI738" s="37">
        <v>95</v>
      </c>
      <c r="AJ738" s="37">
        <v>8</v>
      </c>
      <c r="AK738" s="37" t="str">
        <f>VLOOKUP(Mecze[[#This Row],[Match ID]],Meczusie[Mecz]:Meczusie[RodzajMeczu],2,FALSE)</f>
        <v>Liga</v>
      </c>
    </row>
    <row r="739" spans="1:37" x14ac:dyDescent="0.25">
      <c r="A739" s="76">
        <v>17</v>
      </c>
      <c r="B739" s="3" t="s">
        <v>317</v>
      </c>
      <c r="C739" s="2" t="s">
        <v>165</v>
      </c>
      <c r="D739" s="1">
        <v>0</v>
      </c>
      <c r="E739" s="1">
        <v>1</v>
      </c>
      <c r="F739" s="1">
        <v>1</v>
      </c>
      <c r="G739" s="1">
        <v>2</v>
      </c>
      <c r="H739" s="4">
        <v>0.5</v>
      </c>
      <c r="I739" s="1">
        <v>0</v>
      </c>
      <c r="J739" s="4"/>
      <c r="K739" s="1">
        <v>0</v>
      </c>
      <c r="L739" s="1">
        <v>0</v>
      </c>
      <c r="M739" s="32">
        <f>IF(Mecze[[#This Row],[PR]]=0,0,Mecze[[#This Row],[PR]]/Mecze[[#This Row],[CZAS]])</f>
        <v>0</v>
      </c>
      <c r="N739" s="32">
        <f>IF(Mecze[[#This Row],[OU]]=0,0,Mecze[[#This Row],[OU]]/Mecze[[#This Row],[CZAS]])</f>
        <v>0</v>
      </c>
      <c r="O739" s="32">
        <f>IF(Mecze[[#This Row],[PC]]=0,0,Mecze[[#This Row],[PC]]/Mecze[[#This Row],[CZAS]])</f>
        <v>4.1666666666666664E-2</v>
      </c>
      <c r="P739" s="32">
        <f>IF(Mecze[[#This Row],[SC]]=0,0,Mecze[[#This Row],[SC]]/Mecze[[#This Row],[CZAS]])</f>
        <v>4.1666666666666664E-2</v>
      </c>
      <c r="Q739" s="32">
        <f>IF(Mecze[[#This Row],[OB]]=0,0,Mecze[[#This Row],[OB]]/Mecze[[#This Row],[CZAS]])</f>
        <v>0</v>
      </c>
      <c r="R739" s="32">
        <f>IF(Mecze[[#This Row],[BR]]=0,0,Mecze[[#This Row],[BR]]/Mecze[[#This Row],[CZAS]])</f>
        <v>0</v>
      </c>
      <c r="S739" s="44">
        <f>IF(Mecze[[#This Row],[Role]]="BR",SUMPRODUCT(Mecze[[#This Row],[/PR:90]:[/BR:90]],Brudnopis!$E$23:$J$23),0)</f>
        <v>0</v>
      </c>
      <c r="T739" s="44">
        <f>IF(Mecze[[#This Row],[Role]]&lt;&gt;"BR",SUMPRODUCT(Mecze[[#This Row],[/PR:90]:[/BR:90]],Brudnopis!$E$24:$J$24),0)</f>
        <v>8.3333333333333329E-2</v>
      </c>
      <c r="U739" s="44">
        <f>IF(Mecze[[#This Row],[Role]]&lt;&gt;"BR",SUMPRODUCT(Mecze[[#This Row],[/PR:90]:[/BR:90]],Brudnopis!$E$25:$J$25),0)</f>
        <v>0.10416666666666666</v>
      </c>
      <c r="V739" s="44">
        <f>IF(Mecze[[#This Row],[Role]]&lt;&gt;"BR",SUMPRODUCT(Mecze[[#This Row],[/PR:90]:[/BR:90]],Brudnopis!$E$26:$J$26),0)</f>
        <v>8.3333333333333329E-2</v>
      </c>
      <c r="W739" s="44">
        <f>IF(Mecze[[#This Row],[Role]]&lt;&gt;"BR",SUMPRODUCT(Mecze[[#This Row],[/PR:90]:[/BR:90]],Brudnopis!$E$27:$J$27),0)</f>
        <v>0.10416666666666666</v>
      </c>
      <c r="X739" s="44">
        <f>IF(Mecze[[#This Row],[Role]]&lt;&gt;"BR",SUMPRODUCT(Mecze[[#This Row],[/PR:90]:[/BR:90]],Brudnopis!$E$28:$J$28),0)</f>
        <v>0.125</v>
      </c>
      <c r="Y739" s="35">
        <f>IF(Mecze[[#This Row],[Role]]="BR",Mecze[[#This Row],[/OB:90]]+Mecze[[#This Row],[/PC:90]],SUM(Mecze[[#This Row],[/PR:90]:[/BR:90]]))</f>
        <v>8.3333333333333329E-2</v>
      </c>
      <c r="Z739" s="35">
        <f>IF(Mecze[[#This Row],[KC]]=0,SUM(Mecze[[#This Row],[/BRI]:[/NPI]]),SUM(Mecze[[#This Row],[/BRI]:[/NPI]])*0.6)</f>
        <v>0.5</v>
      </c>
      <c r="AA739" s="10">
        <f>IFERROR(Mecze[[#This Row],[BR]]/Mecze[[#This Row],[ST]],0)</f>
        <v>0</v>
      </c>
      <c r="AB739">
        <f>ROUND(Mecze[[#This Row],[PD]]*Mecze[[#This Row],[%PC]],0)</f>
        <v>1</v>
      </c>
      <c r="AC739">
        <f>ROUND(Mecze[[#This Row],[OD]]*Mecze[[#This Row],[%OU]],0)</f>
        <v>0</v>
      </c>
      <c r="AD739" s="36" t="s">
        <v>272</v>
      </c>
      <c r="AE739" s="36">
        <v>42</v>
      </c>
      <c r="AF739" s="71">
        <v>0.72</v>
      </c>
      <c r="AG739" s="37">
        <v>0</v>
      </c>
      <c r="AH739" s="37">
        <v>0</v>
      </c>
      <c r="AI739" s="37">
        <v>24</v>
      </c>
      <c r="AJ739" s="37">
        <v>8</v>
      </c>
      <c r="AK739" s="37" t="str">
        <f>VLOOKUP(Mecze[[#This Row],[Match ID]],Meczusie[Mecz]:Meczusie[RodzajMeczu],2,FALSE)</f>
        <v>Liga</v>
      </c>
    </row>
    <row r="740" spans="1:37" x14ac:dyDescent="0.25">
      <c r="A740" s="76">
        <v>4</v>
      </c>
      <c r="B740" s="3" t="s">
        <v>316</v>
      </c>
      <c r="C740" s="2" t="s">
        <v>157</v>
      </c>
      <c r="D740" s="1">
        <v>0</v>
      </c>
      <c r="E740" s="1">
        <v>0</v>
      </c>
      <c r="F740" s="1">
        <v>0</v>
      </c>
      <c r="G740" s="1">
        <v>2</v>
      </c>
      <c r="H740" s="4">
        <v>0</v>
      </c>
      <c r="I740" s="1">
        <v>2</v>
      </c>
      <c r="J740" s="4">
        <v>0.5</v>
      </c>
      <c r="K740" s="1">
        <v>0</v>
      </c>
      <c r="L740" s="1">
        <v>0</v>
      </c>
      <c r="M740" s="32">
        <f>IF(Mecze[[#This Row],[PR]]=0,0,Mecze[[#This Row],[PR]]/Mecze[[#This Row],[CZAS]])</f>
        <v>0</v>
      </c>
      <c r="N740" s="32">
        <f>IF(Mecze[[#This Row],[OU]]=0,0,Mecze[[#This Row],[OU]]/Mecze[[#This Row],[CZAS]])</f>
        <v>4.1666666666666664E-2</v>
      </c>
      <c r="O740" s="32">
        <f>IF(Mecze[[#This Row],[PC]]=0,0,Mecze[[#This Row],[PC]]/Mecze[[#This Row],[CZAS]])</f>
        <v>0</v>
      </c>
      <c r="P740" s="32">
        <f>IF(Mecze[[#This Row],[SC]]=0,0,Mecze[[#This Row],[SC]]/Mecze[[#This Row],[CZAS]])</f>
        <v>0</v>
      </c>
      <c r="Q740" s="32">
        <f>IF(Mecze[[#This Row],[OB]]=0,0,Mecze[[#This Row],[OB]]/Mecze[[#This Row],[CZAS]])</f>
        <v>0</v>
      </c>
      <c r="R740" s="32">
        <f>IF(Mecze[[#This Row],[BR]]=0,0,Mecze[[#This Row],[BR]]/Mecze[[#This Row],[CZAS]])</f>
        <v>0</v>
      </c>
      <c r="S740" s="44">
        <f>IF(Mecze[[#This Row],[Role]]="BR",SUMPRODUCT(Mecze[[#This Row],[/PR:90]:[/BR:90]],Brudnopis!$E$23:$J$23),0)</f>
        <v>0</v>
      </c>
      <c r="T740" s="44">
        <f>IF(Mecze[[#This Row],[Role]]&lt;&gt;"BR",SUMPRODUCT(Mecze[[#This Row],[/PR:90]:[/BR:90]],Brudnopis!$E$24:$J$24),0)</f>
        <v>6.25E-2</v>
      </c>
      <c r="U740" s="44">
        <f>IF(Mecze[[#This Row],[Role]]&lt;&gt;"BR",SUMPRODUCT(Mecze[[#This Row],[/PR:90]:[/BR:90]],Brudnopis!$E$25:$J$25),0)</f>
        <v>4.1666666666666664E-2</v>
      </c>
      <c r="V740" s="44">
        <f>IF(Mecze[[#This Row],[Role]]&lt;&gt;"BR",SUMPRODUCT(Mecze[[#This Row],[/PR:90]:[/BR:90]],Brudnopis!$E$26:$J$26),0)</f>
        <v>4.1666666666666664E-2</v>
      </c>
      <c r="W740" s="44">
        <f>IF(Mecze[[#This Row],[Role]]&lt;&gt;"BR",SUMPRODUCT(Mecze[[#This Row],[/PR:90]:[/BR:90]],Brudnopis!$E$27:$J$27),0)</f>
        <v>3.125E-2</v>
      </c>
      <c r="X740" s="44">
        <f>IF(Mecze[[#This Row],[Role]]&lt;&gt;"BR",SUMPRODUCT(Mecze[[#This Row],[/PR:90]:[/BR:90]],Brudnopis!$E$28:$J$28),0)</f>
        <v>0</v>
      </c>
      <c r="Y740" s="35">
        <f>IF(Mecze[[#This Row],[Role]]="BR",Mecze[[#This Row],[/OB:90]]+Mecze[[#This Row],[/PC:90]],SUM(Mecze[[#This Row],[/PR:90]:[/BR:90]]))</f>
        <v>4.1666666666666664E-2</v>
      </c>
      <c r="Z740" s="35">
        <f>IF(Mecze[[#This Row],[KC]]=0,SUM(Mecze[[#This Row],[/BRI]:[/NPI]]),SUM(Mecze[[#This Row],[/BRI]:[/NPI]])*0.6)</f>
        <v>0.17708333333333331</v>
      </c>
      <c r="AA740" s="10">
        <f>IFERROR(Mecze[[#This Row],[BR]]/Mecze[[#This Row],[ST]],0)</f>
        <v>0</v>
      </c>
      <c r="AB740">
        <f>ROUND(Mecze[[#This Row],[PD]]*Mecze[[#This Row],[%PC]],0)</f>
        <v>0</v>
      </c>
      <c r="AC740">
        <f>ROUND(Mecze[[#This Row],[OD]]*Mecze[[#This Row],[%OU]],0)</f>
        <v>1</v>
      </c>
      <c r="AD740" s="36" t="s">
        <v>167</v>
      </c>
      <c r="AE740" s="36">
        <v>42</v>
      </c>
      <c r="AF740" s="71">
        <v>-0.61</v>
      </c>
      <c r="AG740" s="37">
        <v>0</v>
      </c>
      <c r="AH740" s="37">
        <v>0</v>
      </c>
      <c r="AI740" s="37">
        <v>24</v>
      </c>
      <c r="AJ740" s="37">
        <v>8</v>
      </c>
      <c r="AK740" s="37" t="str">
        <f>VLOOKUP(Mecze[[#This Row],[Match ID]],Meczusie[Mecz]:Meczusie[RodzajMeczu],2,FALSE)</f>
        <v>Liga</v>
      </c>
    </row>
    <row r="741" spans="1:37" x14ac:dyDescent="0.25">
      <c r="A741" s="76">
        <v>102</v>
      </c>
      <c r="B741" s="3" t="s">
        <v>417</v>
      </c>
      <c r="C741" s="2" t="s">
        <v>155</v>
      </c>
      <c r="D741" s="1">
        <v>0</v>
      </c>
      <c r="E741" s="1">
        <v>0</v>
      </c>
      <c r="F741" s="1">
        <v>0</v>
      </c>
      <c r="G741" s="1">
        <v>14</v>
      </c>
      <c r="H741" s="4">
        <v>0.43</v>
      </c>
      <c r="I741" s="1">
        <v>0</v>
      </c>
      <c r="J741" s="4"/>
      <c r="K741" s="1">
        <v>11</v>
      </c>
      <c r="L741" s="1">
        <v>0</v>
      </c>
      <c r="M741" s="32">
        <f>IF(Mecze[[#This Row],[PR]]=0,0,Mecze[[#This Row],[PR]]/Mecze[[#This Row],[CZAS]])</f>
        <v>0</v>
      </c>
      <c r="N741" s="32">
        <f>IF(Mecze[[#This Row],[OU]]=0,0,Mecze[[#This Row],[OU]]/Mecze[[#This Row],[CZAS]])</f>
        <v>0</v>
      </c>
      <c r="O741" s="32">
        <f>IF(Mecze[[#This Row],[PC]]=0,0,Mecze[[#This Row],[PC]]/Mecze[[#This Row],[CZAS]])</f>
        <v>6.3157894736842107E-2</v>
      </c>
      <c r="P741" s="32">
        <f>IF(Mecze[[#This Row],[SC]]=0,0,Mecze[[#This Row],[SC]]/Mecze[[#This Row],[CZAS]])</f>
        <v>0</v>
      </c>
      <c r="Q741" s="32">
        <f>IF(Mecze[[#This Row],[OB]]=0,0,Mecze[[#This Row],[OB]]/Mecze[[#This Row],[CZAS]])</f>
        <v>0.11578947368421053</v>
      </c>
      <c r="R741" s="32">
        <f>IF(Mecze[[#This Row],[BR]]=0,0,Mecze[[#This Row],[BR]]/Mecze[[#This Row],[CZAS]])</f>
        <v>0</v>
      </c>
      <c r="S741" s="44">
        <f>IF(Mecze[[#This Row],[Role]]="BR",SUMPRODUCT(Mecze[[#This Row],[/PR:90]:[/BR:90]],Brudnopis!$E$23:$J$23),0)</f>
        <v>0.5368421052631579</v>
      </c>
      <c r="T741" s="44">
        <f>IF(Mecze[[#This Row],[Role]]&lt;&gt;"BR",SUMPRODUCT(Mecze[[#This Row],[/PR:90]:[/BR:90]],Brudnopis!$E$24:$J$24),0)</f>
        <v>0</v>
      </c>
      <c r="U741" s="44">
        <f>IF(Mecze[[#This Row],[Role]]&lt;&gt;"BR",SUMPRODUCT(Mecze[[#This Row],[/PR:90]:[/BR:90]],Brudnopis!$E$25:$J$25),0)</f>
        <v>0</v>
      </c>
      <c r="V741" s="44">
        <f>IF(Mecze[[#This Row],[Role]]&lt;&gt;"BR",SUMPRODUCT(Mecze[[#This Row],[/PR:90]:[/BR:90]],Brudnopis!$E$26:$J$26),0)</f>
        <v>0</v>
      </c>
      <c r="W741" s="44">
        <f>IF(Mecze[[#This Row],[Role]]&lt;&gt;"BR",SUMPRODUCT(Mecze[[#This Row],[/PR:90]:[/BR:90]],Brudnopis!$E$27:$J$27),0)</f>
        <v>0</v>
      </c>
      <c r="X741" s="44">
        <f>IF(Mecze[[#This Row],[Role]]&lt;&gt;"BR",SUMPRODUCT(Mecze[[#This Row],[/PR:90]:[/BR:90]],Brudnopis!$E$28:$J$28),0)</f>
        <v>0</v>
      </c>
      <c r="Y741" s="35">
        <f>IF(Mecze[[#This Row],[Role]]="BR",Mecze[[#This Row],[/OB:90]]+Mecze[[#This Row],[/PC:90]],SUM(Mecze[[#This Row],[/PR:90]:[/BR:90]]))</f>
        <v>0.17894736842105263</v>
      </c>
      <c r="Z741" s="35">
        <f>IF(Mecze[[#This Row],[KC]]=0,SUM(Mecze[[#This Row],[/BRI]:[/NPI]]),SUM(Mecze[[#This Row],[/BRI]:[/NPI]])*0.6)</f>
        <v>0.5368421052631579</v>
      </c>
      <c r="AA741" s="10">
        <f>IFERROR(Mecze[[#This Row],[BR]]/Mecze[[#This Row],[ST]],0)</f>
        <v>0</v>
      </c>
      <c r="AB741">
        <f>ROUND(Mecze[[#This Row],[PD]]*Mecze[[#This Row],[%PC]],0)</f>
        <v>6</v>
      </c>
      <c r="AC741">
        <f>ROUND(Mecze[[#This Row],[OD]]*Mecze[[#This Row],[%OU]],0)</f>
        <v>0</v>
      </c>
      <c r="AD741" s="36" t="s">
        <v>40</v>
      </c>
      <c r="AE741" s="36">
        <v>42</v>
      </c>
      <c r="AF741" s="71">
        <v>10.89</v>
      </c>
      <c r="AG741" s="37">
        <v>0</v>
      </c>
      <c r="AH741" s="37">
        <v>0</v>
      </c>
      <c r="AI741" s="37">
        <v>95</v>
      </c>
      <c r="AJ741" s="37">
        <v>6</v>
      </c>
      <c r="AK741" s="37" t="str">
        <f>VLOOKUP(Mecze[[#This Row],[Match ID]],Meczusie[Mecz]:Meczusie[RodzajMeczu],2,FALSE)</f>
        <v>Liga</v>
      </c>
    </row>
    <row r="742" spans="1:37" x14ac:dyDescent="0.25">
      <c r="A742" s="76">
        <v>101</v>
      </c>
      <c r="B742" s="3" t="s">
        <v>248</v>
      </c>
      <c r="C742" s="2" t="s">
        <v>157</v>
      </c>
      <c r="D742" s="1">
        <v>0</v>
      </c>
      <c r="E742" s="1">
        <v>0</v>
      </c>
      <c r="F742" s="1">
        <v>0</v>
      </c>
      <c r="G742" s="1">
        <v>7</v>
      </c>
      <c r="H742" s="4">
        <v>1</v>
      </c>
      <c r="I742" s="1">
        <v>8</v>
      </c>
      <c r="J742" s="4">
        <v>0.5</v>
      </c>
      <c r="K742" s="1">
        <v>0</v>
      </c>
      <c r="L742" s="1">
        <v>3</v>
      </c>
      <c r="M742" s="32">
        <f>IF(Mecze[[#This Row],[PR]]=0,0,Mecze[[#This Row],[PR]]/Mecze[[#This Row],[CZAS]])</f>
        <v>3.1578947368421054E-2</v>
      </c>
      <c r="N742" s="32">
        <f>IF(Mecze[[#This Row],[OU]]=0,0,Mecze[[#This Row],[OU]]/Mecze[[#This Row],[CZAS]])</f>
        <v>4.2105263157894736E-2</v>
      </c>
      <c r="O742" s="32">
        <f>IF(Mecze[[#This Row],[PC]]=0,0,Mecze[[#This Row],[PC]]/Mecze[[#This Row],[CZAS]])</f>
        <v>7.3684210526315783E-2</v>
      </c>
      <c r="P742" s="32">
        <f>IF(Mecze[[#This Row],[SC]]=0,0,Mecze[[#This Row],[SC]]/Mecze[[#This Row],[CZAS]])</f>
        <v>0</v>
      </c>
      <c r="Q742" s="32">
        <f>IF(Mecze[[#This Row],[OB]]=0,0,Mecze[[#This Row],[OB]]/Mecze[[#This Row],[CZAS]])</f>
        <v>0</v>
      </c>
      <c r="R742" s="32">
        <f>IF(Mecze[[#This Row],[BR]]=0,0,Mecze[[#This Row],[BR]]/Mecze[[#This Row],[CZAS]])</f>
        <v>0</v>
      </c>
      <c r="S742" s="44">
        <f>IF(Mecze[[#This Row],[Role]]="BR",SUMPRODUCT(Mecze[[#This Row],[/PR:90]:[/BR:90]],Brudnopis!$E$23:$J$23),0)</f>
        <v>0</v>
      </c>
      <c r="T742" s="44">
        <f>IF(Mecze[[#This Row],[Role]]&lt;&gt;"BR",SUMPRODUCT(Mecze[[#This Row],[/PR:90]:[/BR:90]],Brudnopis!$E$24:$J$24),0)</f>
        <v>0.16842105263157894</v>
      </c>
      <c r="U742" s="44">
        <f>IF(Mecze[[#This Row],[Role]]&lt;&gt;"BR",SUMPRODUCT(Mecze[[#This Row],[/PR:90]:[/BR:90]],Brudnopis!$E$25:$J$25),0)</f>
        <v>0.18421052631578946</v>
      </c>
      <c r="V742" s="44">
        <f>IF(Mecze[[#This Row],[Role]]&lt;&gt;"BR",SUMPRODUCT(Mecze[[#This Row],[/PR:90]:[/BR:90]],Brudnopis!$E$26:$J$26),0)</f>
        <v>0.14736842105263159</v>
      </c>
      <c r="W742" s="44">
        <f>IF(Mecze[[#This Row],[Role]]&lt;&gt;"BR",SUMPRODUCT(Mecze[[#This Row],[/PR:90]:[/BR:90]],Brudnopis!$E$27:$J$27),0)</f>
        <v>0.16578947368421051</v>
      </c>
      <c r="X742" s="44">
        <f>IF(Mecze[[#This Row],[Role]]&lt;&gt;"BR",SUMPRODUCT(Mecze[[#This Row],[/PR:90]:[/BR:90]],Brudnopis!$E$28:$J$28),0)</f>
        <v>7.3684210526315783E-2</v>
      </c>
      <c r="Y742" s="35">
        <f>IF(Mecze[[#This Row],[Role]]="BR",Mecze[[#This Row],[/OB:90]]+Mecze[[#This Row],[/PC:90]],SUM(Mecze[[#This Row],[/PR:90]:[/BR:90]]))</f>
        <v>0.14736842105263159</v>
      </c>
      <c r="Z742" s="35">
        <f>IF(Mecze[[#This Row],[KC]]=0,SUM(Mecze[[#This Row],[/BRI]:[/NPI]]),SUM(Mecze[[#This Row],[/BRI]:[/NPI]])*0.6)</f>
        <v>0.73947368421052628</v>
      </c>
      <c r="AA742" s="10">
        <f>IFERROR(Mecze[[#This Row],[BR]]/Mecze[[#This Row],[ST]],0)</f>
        <v>0</v>
      </c>
      <c r="AB742">
        <f>ROUND(Mecze[[#This Row],[PD]]*Mecze[[#This Row],[%PC]],0)</f>
        <v>7</v>
      </c>
      <c r="AC742">
        <f>ROUND(Mecze[[#This Row],[OD]]*Mecze[[#This Row],[%OU]],0)</f>
        <v>4</v>
      </c>
      <c r="AD742" s="36" t="s">
        <v>47</v>
      </c>
      <c r="AE742" s="36">
        <v>42</v>
      </c>
      <c r="AF742" s="71">
        <v>8.7899999999999991</v>
      </c>
      <c r="AG742" s="37">
        <v>0</v>
      </c>
      <c r="AH742" s="37">
        <v>0</v>
      </c>
      <c r="AI742" s="37">
        <v>95</v>
      </c>
      <c r="AJ742" s="37">
        <v>6</v>
      </c>
      <c r="AK742" s="37" t="str">
        <f>VLOOKUP(Mecze[[#This Row],[Match ID]],Meczusie[Mecz]:Meczusie[RodzajMeczu],2,FALSE)</f>
        <v>Liga</v>
      </c>
    </row>
    <row r="743" spans="1:37" x14ac:dyDescent="0.25">
      <c r="A743" s="76">
        <v>2</v>
      </c>
      <c r="B743" s="3" t="s">
        <v>249</v>
      </c>
      <c r="C743" s="2" t="s">
        <v>157</v>
      </c>
      <c r="D743" s="1">
        <v>0</v>
      </c>
      <c r="E743" s="1">
        <v>0</v>
      </c>
      <c r="F743" s="1">
        <v>0</v>
      </c>
      <c r="G743" s="1">
        <v>10</v>
      </c>
      <c r="H743" s="4">
        <v>0.7</v>
      </c>
      <c r="I743" s="1">
        <v>9</v>
      </c>
      <c r="J743" s="4">
        <v>0.67</v>
      </c>
      <c r="K743" s="1">
        <v>0</v>
      </c>
      <c r="L743" s="1">
        <v>4</v>
      </c>
      <c r="M743" s="32">
        <f>IF(Mecze[[#This Row],[PR]]=0,0,Mecze[[#This Row],[PR]]/Mecze[[#This Row],[CZAS]])</f>
        <v>4.2105263157894736E-2</v>
      </c>
      <c r="N743" s="32">
        <f>IF(Mecze[[#This Row],[OU]]=0,0,Mecze[[#This Row],[OU]]/Mecze[[#This Row],[CZAS]])</f>
        <v>6.3157894736842107E-2</v>
      </c>
      <c r="O743" s="32">
        <f>IF(Mecze[[#This Row],[PC]]=0,0,Mecze[[#This Row],[PC]]/Mecze[[#This Row],[CZAS]])</f>
        <v>7.3684210526315783E-2</v>
      </c>
      <c r="P743" s="32">
        <f>IF(Mecze[[#This Row],[SC]]=0,0,Mecze[[#This Row],[SC]]/Mecze[[#This Row],[CZAS]])</f>
        <v>0</v>
      </c>
      <c r="Q743" s="32">
        <f>IF(Mecze[[#This Row],[OB]]=0,0,Mecze[[#This Row],[OB]]/Mecze[[#This Row],[CZAS]])</f>
        <v>0</v>
      </c>
      <c r="R743" s="32">
        <f>IF(Mecze[[#This Row],[BR]]=0,0,Mecze[[#This Row],[BR]]/Mecze[[#This Row],[CZAS]])</f>
        <v>0</v>
      </c>
      <c r="S743" s="44">
        <f>IF(Mecze[[#This Row],[Role]]="BR",SUMPRODUCT(Mecze[[#This Row],[/PR:90]:[/BR:90]],Brudnopis!$E$23:$J$23),0)</f>
        <v>0</v>
      </c>
      <c r="T743" s="44">
        <f>IF(Mecze[[#This Row],[Role]]&lt;&gt;"BR",SUMPRODUCT(Mecze[[#This Row],[/PR:90]:[/BR:90]],Brudnopis!$E$24:$J$24),0)</f>
        <v>0.21052631578947367</v>
      </c>
      <c r="U743" s="44">
        <f>IF(Mecze[[#This Row],[Role]]&lt;&gt;"BR",SUMPRODUCT(Mecze[[#This Row],[/PR:90]:[/BR:90]],Brudnopis!$E$25:$J$25),0)</f>
        <v>0.2157894736842105</v>
      </c>
      <c r="V743" s="44">
        <f>IF(Mecze[[#This Row],[Role]]&lt;&gt;"BR",SUMPRODUCT(Mecze[[#This Row],[/PR:90]:[/BR:90]],Brudnopis!$E$26:$J$26),0)</f>
        <v>0.17894736842105263</v>
      </c>
      <c r="W743" s="44">
        <f>IF(Mecze[[#This Row],[Role]]&lt;&gt;"BR",SUMPRODUCT(Mecze[[#This Row],[/PR:90]:[/BR:90]],Brudnopis!$E$27:$J$27),0)</f>
        <v>0.18947368421052629</v>
      </c>
      <c r="X743" s="44">
        <f>IF(Mecze[[#This Row],[Role]]&lt;&gt;"BR",SUMPRODUCT(Mecze[[#This Row],[/PR:90]:[/BR:90]],Brudnopis!$E$28:$J$28),0)</f>
        <v>7.3684210526315783E-2</v>
      </c>
      <c r="Y743" s="35">
        <f>IF(Mecze[[#This Row],[Role]]="BR",Mecze[[#This Row],[/OB:90]]+Mecze[[#This Row],[/PC:90]],SUM(Mecze[[#This Row],[/PR:90]:[/BR:90]]))</f>
        <v>0.17894736842105263</v>
      </c>
      <c r="Z743" s="35">
        <f>IF(Mecze[[#This Row],[KC]]=0,SUM(Mecze[[#This Row],[/BRI]:[/NPI]]),SUM(Mecze[[#This Row],[/BRI]:[/NPI]])*0.6)</f>
        <v>0.86842105263157898</v>
      </c>
      <c r="AA743" s="10">
        <f>IFERROR(Mecze[[#This Row],[BR]]/Mecze[[#This Row],[ST]],0)</f>
        <v>0</v>
      </c>
      <c r="AB743">
        <f>ROUND(Mecze[[#This Row],[PD]]*Mecze[[#This Row],[%PC]],0)</f>
        <v>7</v>
      </c>
      <c r="AC743">
        <f>ROUND(Mecze[[#This Row],[OD]]*Mecze[[#This Row],[%OU]],0)</f>
        <v>6</v>
      </c>
      <c r="AD743" s="36" t="s">
        <v>167</v>
      </c>
      <c r="AE743" s="36">
        <v>42</v>
      </c>
      <c r="AF743" s="71">
        <v>9</v>
      </c>
      <c r="AG743" s="37">
        <v>0</v>
      </c>
      <c r="AH743" s="37">
        <v>0</v>
      </c>
      <c r="AI743" s="37">
        <v>95</v>
      </c>
      <c r="AJ743" s="37">
        <v>6</v>
      </c>
      <c r="AK743" s="37" t="str">
        <f>VLOOKUP(Mecze[[#This Row],[Match ID]],Meczusie[Mecz]:Meczusie[RodzajMeczu],2,FALSE)</f>
        <v>Liga</v>
      </c>
    </row>
    <row r="744" spans="1:37" x14ac:dyDescent="0.25">
      <c r="A744" s="76">
        <v>7</v>
      </c>
      <c r="B744" s="3" t="s">
        <v>251</v>
      </c>
      <c r="C744" s="2" t="s">
        <v>157</v>
      </c>
      <c r="D744" s="1">
        <v>0</v>
      </c>
      <c r="E744" s="1">
        <v>0</v>
      </c>
      <c r="F744" s="1">
        <v>0</v>
      </c>
      <c r="G744" s="1">
        <v>3</v>
      </c>
      <c r="H744" s="4">
        <v>0.67</v>
      </c>
      <c r="I744" s="1">
        <v>7</v>
      </c>
      <c r="J744" s="4">
        <v>0.43</v>
      </c>
      <c r="K744" s="1">
        <v>0</v>
      </c>
      <c r="L744" s="1">
        <v>4</v>
      </c>
      <c r="M744" s="32">
        <f>IF(Mecze[[#This Row],[PR]]=0,0,Mecze[[#This Row],[PR]]/Mecze[[#This Row],[CZAS]])</f>
        <v>4.2105263157894736E-2</v>
      </c>
      <c r="N744" s="32">
        <f>IF(Mecze[[#This Row],[OU]]=0,0,Mecze[[#This Row],[OU]]/Mecze[[#This Row],[CZAS]])</f>
        <v>3.1578947368421054E-2</v>
      </c>
      <c r="O744" s="32">
        <f>IF(Mecze[[#This Row],[PC]]=0,0,Mecze[[#This Row],[PC]]/Mecze[[#This Row],[CZAS]])</f>
        <v>2.1052631578947368E-2</v>
      </c>
      <c r="P744" s="32">
        <f>IF(Mecze[[#This Row],[SC]]=0,0,Mecze[[#This Row],[SC]]/Mecze[[#This Row],[CZAS]])</f>
        <v>0</v>
      </c>
      <c r="Q744" s="32">
        <f>IF(Mecze[[#This Row],[OB]]=0,0,Mecze[[#This Row],[OB]]/Mecze[[#This Row],[CZAS]])</f>
        <v>0</v>
      </c>
      <c r="R744" s="32">
        <f>IF(Mecze[[#This Row],[BR]]=0,0,Mecze[[#This Row],[BR]]/Mecze[[#This Row],[CZAS]])</f>
        <v>0</v>
      </c>
      <c r="S744" s="44">
        <f>IF(Mecze[[#This Row],[Role]]="BR",SUMPRODUCT(Mecze[[#This Row],[/PR:90]:[/BR:90]],Brudnopis!$E$23:$J$23),0)</f>
        <v>0</v>
      </c>
      <c r="T744" s="44">
        <f>IF(Mecze[[#This Row],[Role]]&lt;&gt;"BR",SUMPRODUCT(Mecze[[#This Row],[/PR:90]:[/BR:90]],Brudnopis!$E$24:$J$24),0)</f>
        <v>0.11052631578947368</v>
      </c>
      <c r="U744" s="44">
        <f>IF(Mecze[[#This Row],[Role]]&lt;&gt;"BR",SUMPRODUCT(Mecze[[#This Row],[/PR:90]:[/BR:90]],Brudnopis!$E$25:$J$25),0)</f>
        <v>0.10526315789473685</v>
      </c>
      <c r="V744" s="44">
        <f>IF(Mecze[[#This Row],[Role]]&lt;&gt;"BR",SUMPRODUCT(Mecze[[#This Row],[/PR:90]:[/BR:90]],Brudnopis!$E$26:$J$26),0)</f>
        <v>9.4736842105263161E-2</v>
      </c>
      <c r="W744" s="44">
        <f>IF(Mecze[[#This Row],[Role]]&lt;&gt;"BR",SUMPRODUCT(Mecze[[#This Row],[/PR:90]:[/BR:90]],Brudnopis!$E$27:$J$27),0)</f>
        <v>8.6842105263157901E-2</v>
      </c>
      <c r="X744" s="44">
        <f>IF(Mecze[[#This Row],[Role]]&lt;&gt;"BR",SUMPRODUCT(Mecze[[#This Row],[/PR:90]:[/BR:90]],Brudnopis!$E$28:$J$28),0)</f>
        <v>2.1052631578947368E-2</v>
      </c>
      <c r="Y744" s="35">
        <f>IF(Mecze[[#This Row],[Role]]="BR",Mecze[[#This Row],[/OB:90]]+Mecze[[#This Row],[/PC:90]],SUM(Mecze[[#This Row],[/PR:90]:[/BR:90]]))</f>
        <v>9.4736842105263161E-2</v>
      </c>
      <c r="Z744" s="35">
        <f>IF(Mecze[[#This Row],[KC]]=0,SUM(Mecze[[#This Row],[/BRI]:[/NPI]]),SUM(Mecze[[#This Row],[/BRI]:[/NPI]])*0.6)</f>
        <v>0.41842105263157897</v>
      </c>
      <c r="AA744" s="10">
        <f>IFERROR(Mecze[[#This Row],[BR]]/Mecze[[#This Row],[ST]],0)</f>
        <v>0</v>
      </c>
      <c r="AB744">
        <f>ROUND(Mecze[[#This Row],[PD]]*Mecze[[#This Row],[%PC]],0)</f>
        <v>2</v>
      </c>
      <c r="AC744">
        <f>ROUND(Mecze[[#This Row],[OD]]*Mecze[[#This Row],[%OU]],0)</f>
        <v>3</v>
      </c>
      <c r="AD744" s="36" t="s">
        <v>168</v>
      </c>
      <c r="AE744" s="36">
        <v>42</v>
      </c>
      <c r="AF744" s="71">
        <v>7.88</v>
      </c>
      <c r="AG744" s="37">
        <v>0</v>
      </c>
      <c r="AH744" s="37">
        <v>0</v>
      </c>
      <c r="AI744" s="37">
        <v>95</v>
      </c>
      <c r="AJ744" s="37">
        <v>6</v>
      </c>
      <c r="AK744" s="37" t="str">
        <f>VLOOKUP(Mecze[[#This Row],[Match ID]],Meczusie[Mecz]:Meczusie[RodzajMeczu],2,FALSE)</f>
        <v>Liga</v>
      </c>
    </row>
    <row r="745" spans="1:37" x14ac:dyDescent="0.25">
      <c r="A745" s="76">
        <v>11</v>
      </c>
      <c r="B745" s="3" t="s">
        <v>250</v>
      </c>
      <c r="C745" s="2" t="s">
        <v>160</v>
      </c>
      <c r="D745" s="1">
        <v>0</v>
      </c>
      <c r="E745" s="1">
        <v>2</v>
      </c>
      <c r="F745" s="1">
        <v>1</v>
      </c>
      <c r="G745" s="1">
        <v>10</v>
      </c>
      <c r="H745" s="4">
        <v>0.8</v>
      </c>
      <c r="I745" s="1">
        <v>5</v>
      </c>
      <c r="J745" s="4">
        <v>1</v>
      </c>
      <c r="K745" s="1">
        <v>0</v>
      </c>
      <c r="L745" s="1">
        <v>2</v>
      </c>
      <c r="M745" s="32">
        <f>IF(Mecze[[#This Row],[PR]]=0,0,Mecze[[#This Row],[PR]]/Mecze[[#This Row],[CZAS]])</f>
        <v>2.1052631578947368E-2</v>
      </c>
      <c r="N745" s="32">
        <f>IF(Mecze[[#This Row],[OU]]=0,0,Mecze[[#This Row],[OU]]/Mecze[[#This Row],[CZAS]])</f>
        <v>5.2631578947368418E-2</v>
      </c>
      <c r="O745" s="32">
        <f>IF(Mecze[[#This Row],[PC]]=0,0,Mecze[[#This Row],[PC]]/Mecze[[#This Row],[CZAS]])</f>
        <v>8.4210526315789472E-2</v>
      </c>
      <c r="P745" s="32">
        <f>IF(Mecze[[#This Row],[SC]]=0,0,Mecze[[#This Row],[SC]]/Mecze[[#This Row],[CZAS]])</f>
        <v>1.0526315789473684E-2</v>
      </c>
      <c r="Q745" s="32">
        <f>IF(Mecze[[#This Row],[OB]]=0,0,Mecze[[#This Row],[OB]]/Mecze[[#This Row],[CZAS]])</f>
        <v>0</v>
      </c>
      <c r="R745" s="32">
        <f>IF(Mecze[[#This Row],[BR]]=0,0,Mecze[[#This Row],[BR]]/Mecze[[#This Row],[CZAS]])</f>
        <v>0</v>
      </c>
      <c r="S745" s="44">
        <f>IF(Mecze[[#This Row],[Role]]="BR",SUMPRODUCT(Mecze[[#This Row],[/PR:90]:[/BR:90]],Brudnopis!$E$23:$J$23),0)</f>
        <v>0</v>
      </c>
      <c r="T745" s="44">
        <f>IF(Mecze[[#This Row],[Role]]&lt;&gt;"BR",SUMPRODUCT(Mecze[[#This Row],[/PR:90]:[/BR:90]],Brudnopis!$E$24:$J$24),0)</f>
        <v>0.19473684210526315</v>
      </c>
      <c r="U745" s="44">
        <f>IF(Mecze[[#This Row],[Role]]&lt;&gt;"BR",SUMPRODUCT(Mecze[[#This Row],[/PR:90]:[/BR:90]],Brudnopis!$E$25:$J$25),0)</f>
        <v>0.2105263157894737</v>
      </c>
      <c r="V745" s="44">
        <f>IF(Mecze[[#This Row],[Role]]&lt;&gt;"BR",SUMPRODUCT(Mecze[[#This Row],[/PR:90]:[/BR:90]],Brudnopis!$E$26:$J$26),0)</f>
        <v>0.16842105263157894</v>
      </c>
      <c r="W745" s="44">
        <f>IF(Mecze[[#This Row],[Role]]&lt;&gt;"BR",SUMPRODUCT(Mecze[[#This Row],[/PR:90]:[/BR:90]],Brudnopis!$E$27:$J$27),0)</f>
        <v>0.19210526315789475</v>
      </c>
      <c r="X745" s="44">
        <f>IF(Mecze[[#This Row],[Role]]&lt;&gt;"BR",SUMPRODUCT(Mecze[[#This Row],[/PR:90]:[/BR:90]],Brudnopis!$E$28:$J$28),0)</f>
        <v>0.10526315789473684</v>
      </c>
      <c r="Y745" s="35">
        <f>IF(Mecze[[#This Row],[Role]]="BR",Mecze[[#This Row],[/OB:90]]+Mecze[[#This Row],[/PC:90]],SUM(Mecze[[#This Row],[/PR:90]:[/BR:90]]))</f>
        <v>0.16842105263157894</v>
      </c>
      <c r="Z745" s="35">
        <f>IF(Mecze[[#This Row],[KC]]=0,SUM(Mecze[[#This Row],[/BRI]:[/NPI]]),SUM(Mecze[[#This Row],[/BRI]:[/NPI]])*0.6)</f>
        <v>0.87105263157894741</v>
      </c>
      <c r="AA745" s="10">
        <f>IFERROR(Mecze[[#This Row],[BR]]/Mecze[[#This Row],[ST]],0)</f>
        <v>0</v>
      </c>
      <c r="AB745">
        <f>ROUND(Mecze[[#This Row],[PD]]*Mecze[[#This Row],[%PC]],0)</f>
        <v>8</v>
      </c>
      <c r="AC745">
        <f>ROUND(Mecze[[#This Row],[OD]]*Mecze[[#This Row],[%OU]],0)</f>
        <v>5</v>
      </c>
      <c r="AD745" s="36" t="s">
        <v>41</v>
      </c>
      <c r="AE745" s="36">
        <v>42</v>
      </c>
      <c r="AF745" s="71">
        <v>9.81</v>
      </c>
      <c r="AG745" s="37">
        <v>0</v>
      </c>
      <c r="AH745" s="37">
        <v>0</v>
      </c>
      <c r="AI745" s="37">
        <v>95</v>
      </c>
      <c r="AJ745" s="37">
        <v>6</v>
      </c>
      <c r="AK745" s="37" t="str">
        <f>VLOOKUP(Mecze[[#This Row],[Match ID]],Meczusie[Mecz]:Meczusie[RodzajMeczu],2,FALSE)</f>
        <v>Liga</v>
      </c>
    </row>
    <row r="746" spans="1:37" x14ac:dyDescent="0.25">
      <c r="A746" s="76">
        <v>10</v>
      </c>
      <c r="B746" s="3" t="s">
        <v>252</v>
      </c>
      <c r="C746" s="2" t="s">
        <v>160</v>
      </c>
      <c r="D746" s="1">
        <v>0</v>
      </c>
      <c r="E746" s="1">
        <v>0</v>
      </c>
      <c r="F746" s="1">
        <v>0</v>
      </c>
      <c r="G746" s="1">
        <v>8</v>
      </c>
      <c r="H746" s="4">
        <v>0.38</v>
      </c>
      <c r="I746" s="1">
        <v>5</v>
      </c>
      <c r="J746" s="4">
        <v>0.2</v>
      </c>
      <c r="K746" s="1">
        <v>0</v>
      </c>
      <c r="L746" s="1">
        <v>2</v>
      </c>
      <c r="M746" s="32">
        <f>IF(Mecze[[#This Row],[PR]]=0,0,Mecze[[#This Row],[PR]]/Mecze[[#This Row],[CZAS]])</f>
        <v>2.8169014084507043E-2</v>
      </c>
      <c r="N746" s="32">
        <f>IF(Mecze[[#This Row],[OU]]=0,0,Mecze[[#This Row],[OU]]/Mecze[[#This Row],[CZAS]])</f>
        <v>1.4084507042253521E-2</v>
      </c>
      <c r="O746" s="32">
        <f>IF(Mecze[[#This Row],[PC]]=0,0,Mecze[[#This Row],[PC]]/Mecze[[#This Row],[CZAS]])</f>
        <v>4.2253521126760563E-2</v>
      </c>
      <c r="P746" s="32">
        <f>IF(Mecze[[#This Row],[SC]]=0,0,Mecze[[#This Row],[SC]]/Mecze[[#This Row],[CZAS]])</f>
        <v>0</v>
      </c>
      <c r="Q746" s="32">
        <f>IF(Mecze[[#This Row],[OB]]=0,0,Mecze[[#This Row],[OB]]/Mecze[[#This Row],[CZAS]])</f>
        <v>0</v>
      </c>
      <c r="R746" s="32">
        <f>IF(Mecze[[#This Row],[BR]]=0,0,Mecze[[#This Row],[BR]]/Mecze[[#This Row],[CZAS]])</f>
        <v>0</v>
      </c>
      <c r="S746" s="44">
        <f>IF(Mecze[[#This Row],[Role]]="BR",SUMPRODUCT(Mecze[[#This Row],[/PR:90]:[/BR:90]],Brudnopis!$E$23:$J$23),0)</f>
        <v>0</v>
      </c>
      <c r="T746" s="44">
        <f>IF(Mecze[[#This Row],[Role]]&lt;&gt;"BR",SUMPRODUCT(Mecze[[#This Row],[/PR:90]:[/BR:90]],Brudnopis!$E$24:$J$24),0)</f>
        <v>9.154929577464789E-2</v>
      </c>
      <c r="U746" s="44">
        <f>IF(Mecze[[#This Row],[Role]]&lt;&gt;"BR",SUMPRODUCT(Mecze[[#This Row],[/PR:90]:[/BR:90]],Brudnopis!$E$25:$J$25),0)</f>
        <v>0.10563380281690141</v>
      </c>
      <c r="V746" s="44">
        <f>IF(Mecze[[#This Row],[Role]]&lt;&gt;"BR",SUMPRODUCT(Mecze[[#This Row],[/PR:90]:[/BR:90]],Brudnopis!$E$26:$J$26),0)</f>
        <v>8.4507042253521125E-2</v>
      </c>
      <c r="W746" s="44">
        <f>IF(Mecze[[#This Row],[Role]]&lt;&gt;"BR",SUMPRODUCT(Mecze[[#This Row],[/PR:90]:[/BR:90]],Brudnopis!$E$27:$J$27),0)</f>
        <v>9.5070422535211266E-2</v>
      </c>
      <c r="X746" s="44">
        <f>IF(Mecze[[#This Row],[Role]]&lt;&gt;"BR",SUMPRODUCT(Mecze[[#This Row],[/PR:90]:[/BR:90]],Brudnopis!$E$28:$J$28),0)</f>
        <v>4.2253521126760563E-2</v>
      </c>
      <c r="Y746" s="35">
        <f>IF(Mecze[[#This Row],[Role]]="BR",Mecze[[#This Row],[/OB:90]]+Mecze[[#This Row],[/PC:90]],SUM(Mecze[[#This Row],[/PR:90]:[/BR:90]]))</f>
        <v>8.4507042253521125E-2</v>
      </c>
      <c r="Z746" s="35">
        <f>IF(Mecze[[#This Row],[KC]]=0,SUM(Mecze[[#This Row],[/BRI]:[/NPI]]),SUM(Mecze[[#This Row],[/BRI]:[/NPI]])*0.6)</f>
        <v>0.41901408450704225</v>
      </c>
      <c r="AA746" s="10">
        <f>IFERROR(Mecze[[#This Row],[BR]]/Mecze[[#This Row],[ST]],0)</f>
        <v>0</v>
      </c>
      <c r="AB746">
        <f>ROUND(Mecze[[#This Row],[PD]]*Mecze[[#This Row],[%PC]],0)</f>
        <v>3</v>
      </c>
      <c r="AC746">
        <f>ROUND(Mecze[[#This Row],[OD]]*Mecze[[#This Row],[%OU]],0)</f>
        <v>1</v>
      </c>
      <c r="AD746" s="36" t="s">
        <v>318</v>
      </c>
      <c r="AE746" s="36">
        <v>42</v>
      </c>
      <c r="AF746" s="71">
        <v>7.46</v>
      </c>
      <c r="AG746" s="37">
        <v>0</v>
      </c>
      <c r="AH746" s="37">
        <v>0</v>
      </c>
      <c r="AI746" s="37">
        <v>71</v>
      </c>
      <c r="AJ746" s="37">
        <v>6</v>
      </c>
      <c r="AK746" s="37" t="str">
        <f>VLOOKUP(Mecze[[#This Row],[Match ID]],Meczusie[Mecz]:Meczusie[RodzajMeczu],2,FALSE)</f>
        <v>Liga</v>
      </c>
    </row>
    <row r="747" spans="1:37" x14ac:dyDescent="0.25">
      <c r="A747" s="76">
        <v>3</v>
      </c>
      <c r="B747" s="3" t="s">
        <v>253</v>
      </c>
      <c r="C747" s="2" t="s">
        <v>160</v>
      </c>
      <c r="D747" s="1">
        <v>0</v>
      </c>
      <c r="E747" s="1">
        <v>2</v>
      </c>
      <c r="F747" s="1">
        <v>0</v>
      </c>
      <c r="G747" s="1">
        <v>7</v>
      </c>
      <c r="H747" s="4">
        <v>0.56999999999999995</v>
      </c>
      <c r="I747" s="1">
        <v>2</v>
      </c>
      <c r="J747" s="4">
        <v>0.5</v>
      </c>
      <c r="K747" s="1">
        <v>0</v>
      </c>
      <c r="L747" s="1">
        <v>5</v>
      </c>
      <c r="M747" s="32">
        <f>IF(Mecze[[#This Row],[PR]]=0,0,Mecze[[#This Row],[PR]]/Mecze[[#This Row],[CZAS]])</f>
        <v>5.2631578947368418E-2</v>
      </c>
      <c r="N747" s="32">
        <f>IF(Mecze[[#This Row],[OU]]=0,0,Mecze[[#This Row],[OU]]/Mecze[[#This Row],[CZAS]])</f>
        <v>1.0526315789473684E-2</v>
      </c>
      <c r="O747" s="32">
        <f>IF(Mecze[[#This Row],[PC]]=0,0,Mecze[[#This Row],[PC]]/Mecze[[#This Row],[CZAS]])</f>
        <v>4.2105263157894736E-2</v>
      </c>
      <c r="P747" s="32">
        <f>IF(Mecze[[#This Row],[SC]]=0,0,Mecze[[#This Row],[SC]]/Mecze[[#This Row],[CZAS]])</f>
        <v>0</v>
      </c>
      <c r="Q747" s="32">
        <f>IF(Mecze[[#This Row],[OB]]=0,0,Mecze[[#This Row],[OB]]/Mecze[[#This Row],[CZAS]])</f>
        <v>0</v>
      </c>
      <c r="R747" s="32">
        <f>IF(Mecze[[#This Row],[BR]]=0,0,Mecze[[#This Row],[BR]]/Mecze[[#This Row],[CZAS]])</f>
        <v>0</v>
      </c>
      <c r="S747" s="44">
        <f>IF(Mecze[[#This Row],[Role]]="BR",SUMPRODUCT(Mecze[[#This Row],[/PR:90]:[/BR:90]],Brudnopis!$E$23:$J$23),0)</f>
        <v>0</v>
      </c>
      <c r="T747" s="44">
        <f>IF(Mecze[[#This Row],[Role]]&lt;&gt;"BR",SUMPRODUCT(Mecze[[#This Row],[/PR:90]:[/BR:90]],Brudnopis!$E$24:$J$24),0)</f>
        <v>0.11052631578947367</v>
      </c>
      <c r="U747" s="44">
        <f>IF(Mecze[[#This Row],[Role]]&lt;&gt;"BR",SUMPRODUCT(Mecze[[#This Row],[/PR:90]:[/BR:90]],Brudnopis!$E$25:$J$25),0)</f>
        <v>0.12631578947368421</v>
      </c>
      <c r="V747" s="44">
        <f>IF(Mecze[[#This Row],[Role]]&lt;&gt;"BR",SUMPRODUCT(Mecze[[#This Row],[/PR:90]:[/BR:90]],Brudnopis!$E$26:$J$26),0)</f>
        <v>0.10526315789473684</v>
      </c>
      <c r="W747" s="44">
        <f>IF(Mecze[[#This Row],[Role]]&lt;&gt;"BR",SUMPRODUCT(Mecze[[#This Row],[/PR:90]:[/BR:90]],Brudnopis!$E$27:$J$27),0)</f>
        <v>0.11052631578947368</v>
      </c>
      <c r="X747" s="44">
        <f>IF(Mecze[[#This Row],[Role]]&lt;&gt;"BR",SUMPRODUCT(Mecze[[#This Row],[/PR:90]:[/BR:90]],Brudnopis!$E$28:$J$28),0)</f>
        <v>4.2105263157894736E-2</v>
      </c>
      <c r="Y747" s="35">
        <f>IF(Mecze[[#This Row],[Role]]="BR",Mecze[[#This Row],[/OB:90]]+Mecze[[#This Row],[/PC:90]],SUM(Mecze[[#This Row],[/PR:90]:[/BR:90]]))</f>
        <v>0.10526315789473684</v>
      </c>
      <c r="Z747" s="35">
        <f>IF(Mecze[[#This Row],[KC]]=0,SUM(Mecze[[#This Row],[/BRI]:[/NPI]]),SUM(Mecze[[#This Row],[/BRI]:[/NPI]])*0.6)</f>
        <v>0.49473684210526314</v>
      </c>
      <c r="AA747" s="10">
        <f>IFERROR(Mecze[[#This Row],[BR]]/Mecze[[#This Row],[ST]],0)</f>
        <v>0</v>
      </c>
      <c r="AB747">
        <f>ROUND(Mecze[[#This Row],[PD]]*Mecze[[#This Row],[%PC]],0)</f>
        <v>4</v>
      </c>
      <c r="AC747">
        <f>ROUND(Mecze[[#This Row],[OD]]*Mecze[[#This Row],[%OU]],0)</f>
        <v>1</v>
      </c>
      <c r="AD747" s="36" t="s">
        <v>319</v>
      </c>
      <c r="AE747" s="36">
        <v>42</v>
      </c>
      <c r="AF747" s="71">
        <v>9.3000000000000007</v>
      </c>
      <c r="AG747" s="37">
        <v>0</v>
      </c>
      <c r="AH747" s="37">
        <v>0</v>
      </c>
      <c r="AI747" s="37">
        <v>95</v>
      </c>
      <c r="AJ747" s="37">
        <v>6</v>
      </c>
      <c r="AK747" s="37" t="str">
        <f>VLOOKUP(Mecze[[#This Row],[Match ID]],Meczusie[Mecz]:Meczusie[RodzajMeczu],2,FALSE)</f>
        <v>Liga</v>
      </c>
    </row>
    <row r="748" spans="1:37" x14ac:dyDescent="0.25">
      <c r="A748" s="76">
        <v>8</v>
      </c>
      <c r="B748" s="3" t="s">
        <v>254</v>
      </c>
      <c r="C748" s="2" t="s">
        <v>160</v>
      </c>
      <c r="D748" s="1">
        <v>0</v>
      </c>
      <c r="E748" s="1">
        <v>4</v>
      </c>
      <c r="F748" s="1">
        <v>3</v>
      </c>
      <c r="G748" s="1">
        <v>6</v>
      </c>
      <c r="H748" s="4">
        <v>1</v>
      </c>
      <c r="I748" s="1">
        <v>4</v>
      </c>
      <c r="J748" s="4">
        <v>0.75</v>
      </c>
      <c r="K748" s="1">
        <v>0</v>
      </c>
      <c r="L748" s="1">
        <v>2</v>
      </c>
      <c r="M748" s="32">
        <f>IF(Mecze[[#This Row],[PR]]=0,0,Mecze[[#This Row],[PR]]/Mecze[[#This Row],[CZAS]])</f>
        <v>2.1052631578947368E-2</v>
      </c>
      <c r="N748" s="32">
        <f>IF(Mecze[[#This Row],[OU]]=0,0,Mecze[[#This Row],[OU]]/Mecze[[#This Row],[CZAS]])</f>
        <v>3.1578947368421054E-2</v>
      </c>
      <c r="O748" s="32">
        <f>IF(Mecze[[#This Row],[PC]]=0,0,Mecze[[#This Row],[PC]]/Mecze[[#This Row],[CZAS]])</f>
        <v>6.3157894736842107E-2</v>
      </c>
      <c r="P748" s="32">
        <f>IF(Mecze[[#This Row],[SC]]=0,0,Mecze[[#This Row],[SC]]/Mecze[[#This Row],[CZAS]])</f>
        <v>3.1578947368421054E-2</v>
      </c>
      <c r="Q748" s="32">
        <f>IF(Mecze[[#This Row],[OB]]=0,0,Mecze[[#This Row],[OB]]/Mecze[[#This Row],[CZAS]])</f>
        <v>0</v>
      </c>
      <c r="R748" s="32">
        <f>IF(Mecze[[#This Row],[BR]]=0,0,Mecze[[#This Row],[BR]]/Mecze[[#This Row],[CZAS]])</f>
        <v>0</v>
      </c>
      <c r="S748" s="44">
        <f>IF(Mecze[[#This Row],[Role]]="BR",SUMPRODUCT(Mecze[[#This Row],[/PR:90]:[/BR:90]],Brudnopis!$E$23:$J$23),0)</f>
        <v>0</v>
      </c>
      <c r="T748" s="44">
        <f>IF(Mecze[[#This Row],[Role]]&lt;&gt;"BR",SUMPRODUCT(Mecze[[#This Row],[/PR:90]:[/BR:90]],Brudnopis!$E$24:$J$24),0)</f>
        <v>0.16315789473684211</v>
      </c>
      <c r="U748" s="44">
        <f>IF(Mecze[[#This Row],[Role]]&lt;&gt;"BR",SUMPRODUCT(Mecze[[#This Row],[/PR:90]:[/BR:90]],Brudnopis!$E$25:$J$25),0)</f>
        <v>0.17894736842105263</v>
      </c>
      <c r="V748" s="44">
        <f>IF(Mecze[[#This Row],[Role]]&lt;&gt;"BR",SUMPRODUCT(Mecze[[#This Row],[/PR:90]:[/BR:90]],Brudnopis!$E$26:$J$26),0)</f>
        <v>0.14736842105263159</v>
      </c>
      <c r="W748" s="44">
        <f>IF(Mecze[[#This Row],[Role]]&lt;&gt;"BR",SUMPRODUCT(Mecze[[#This Row],[/PR:90]:[/BR:90]],Brudnopis!$E$27:$J$27),0)</f>
        <v>0.16578947368421054</v>
      </c>
      <c r="X748" s="44">
        <f>IF(Mecze[[#This Row],[Role]]&lt;&gt;"BR",SUMPRODUCT(Mecze[[#This Row],[/PR:90]:[/BR:90]],Brudnopis!$E$28:$J$28),0)</f>
        <v>0.12631578947368421</v>
      </c>
      <c r="Y748" s="35">
        <f>IF(Mecze[[#This Row],[Role]]="BR",Mecze[[#This Row],[/OB:90]]+Mecze[[#This Row],[/PC:90]],SUM(Mecze[[#This Row],[/PR:90]:[/BR:90]]))</f>
        <v>0.14736842105263159</v>
      </c>
      <c r="Z748" s="35">
        <f>IF(Mecze[[#This Row],[KC]]=0,SUM(Mecze[[#This Row],[/BRI]:[/NPI]]),SUM(Mecze[[#This Row],[/BRI]:[/NPI]])*0.6)</f>
        <v>0.78157894736842115</v>
      </c>
      <c r="AA748" s="10">
        <f>IFERROR(Mecze[[#This Row],[BR]]/Mecze[[#This Row],[ST]],0)</f>
        <v>0</v>
      </c>
      <c r="AB748">
        <f>ROUND(Mecze[[#This Row],[PD]]*Mecze[[#This Row],[%PC]],0)</f>
        <v>6</v>
      </c>
      <c r="AC748">
        <f>ROUND(Mecze[[#This Row],[OD]]*Mecze[[#This Row],[%OU]],0)</f>
        <v>3</v>
      </c>
      <c r="AD748" s="36" t="s">
        <v>44</v>
      </c>
      <c r="AE748" s="36">
        <v>42</v>
      </c>
      <c r="AF748" s="71">
        <v>11.48</v>
      </c>
      <c r="AG748" s="37">
        <v>0</v>
      </c>
      <c r="AH748" s="37">
        <v>0</v>
      </c>
      <c r="AI748" s="37">
        <v>95</v>
      </c>
      <c r="AJ748" s="37">
        <v>6</v>
      </c>
      <c r="AK748" s="37" t="str">
        <f>VLOOKUP(Mecze[[#This Row],[Match ID]],Meczusie[Mecz]:Meczusie[RodzajMeczu],2,FALSE)</f>
        <v>Liga</v>
      </c>
    </row>
    <row r="749" spans="1:37" x14ac:dyDescent="0.25">
      <c r="A749" s="76">
        <v>6</v>
      </c>
      <c r="B749" s="3" t="s">
        <v>255</v>
      </c>
      <c r="C749" s="2" t="s">
        <v>165</v>
      </c>
      <c r="D749" s="1">
        <v>0</v>
      </c>
      <c r="E749" s="1">
        <v>0</v>
      </c>
      <c r="F749" s="1">
        <v>0</v>
      </c>
      <c r="G749" s="1">
        <v>6</v>
      </c>
      <c r="H749" s="4">
        <v>0.5</v>
      </c>
      <c r="I749" s="1">
        <v>0</v>
      </c>
      <c r="J749" s="4"/>
      <c r="K749" s="1">
        <v>0</v>
      </c>
      <c r="L749" s="1">
        <v>0</v>
      </c>
      <c r="M749" s="32">
        <f>IF(Mecze[[#This Row],[PR]]=0,0,Mecze[[#This Row],[PR]]/Mecze[[#This Row],[CZAS]])</f>
        <v>0</v>
      </c>
      <c r="N749" s="32">
        <f>IF(Mecze[[#This Row],[OU]]=0,0,Mecze[[#This Row],[OU]]/Mecze[[#This Row],[CZAS]])</f>
        <v>0</v>
      </c>
      <c r="O749" s="32">
        <f>IF(Mecze[[#This Row],[PC]]=0,0,Mecze[[#This Row],[PC]]/Mecze[[#This Row],[CZAS]])</f>
        <v>3.1578947368421054E-2</v>
      </c>
      <c r="P749" s="32">
        <f>IF(Mecze[[#This Row],[SC]]=0,0,Mecze[[#This Row],[SC]]/Mecze[[#This Row],[CZAS]])</f>
        <v>0</v>
      </c>
      <c r="Q749" s="32">
        <f>IF(Mecze[[#This Row],[OB]]=0,0,Mecze[[#This Row],[OB]]/Mecze[[#This Row],[CZAS]])</f>
        <v>0</v>
      </c>
      <c r="R749" s="32">
        <f>IF(Mecze[[#This Row],[BR]]=0,0,Mecze[[#This Row],[BR]]/Mecze[[#This Row],[CZAS]])</f>
        <v>0</v>
      </c>
      <c r="S749" s="44">
        <f>IF(Mecze[[#This Row],[Role]]="BR",SUMPRODUCT(Mecze[[#This Row],[/PR:90]:[/BR:90]],Brudnopis!$E$23:$J$23),0)</f>
        <v>0</v>
      </c>
      <c r="T749" s="44">
        <f>IF(Mecze[[#This Row],[Role]]&lt;&gt;"BR",SUMPRODUCT(Mecze[[#This Row],[/PR:90]:[/BR:90]],Brudnopis!$E$24:$J$24),0)</f>
        <v>3.1578947368421054E-2</v>
      </c>
      <c r="U749" s="44">
        <f>IF(Mecze[[#This Row],[Role]]&lt;&gt;"BR",SUMPRODUCT(Mecze[[#This Row],[/PR:90]:[/BR:90]],Brudnopis!$E$25:$J$25),0)</f>
        <v>4.736842105263158E-2</v>
      </c>
      <c r="V749" s="44">
        <f>IF(Mecze[[#This Row],[Role]]&lt;&gt;"BR",SUMPRODUCT(Mecze[[#This Row],[/PR:90]:[/BR:90]],Brudnopis!$E$26:$J$26),0)</f>
        <v>3.1578947368421054E-2</v>
      </c>
      <c r="W749" s="44">
        <f>IF(Mecze[[#This Row],[Role]]&lt;&gt;"BR",SUMPRODUCT(Mecze[[#This Row],[/PR:90]:[/BR:90]],Brudnopis!$E$27:$J$27),0)</f>
        <v>4.736842105263158E-2</v>
      </c>
      <c r="X749" s="44">
        <f>IF(Mecze[[#This Row],[Role]]&lt;&gt;"BR",SUMPRODUCT(Mecze[[#This Row],[/PR:90]:[/BR:90]],Brudnopis!$E$28:$J$28),0)</f>
        <v>3.1578947368421054E-2</v>
      </c>
      <c r="Y749" s="35">
        <f>IF(Mecze[[#This Row],[Role]]="BR",Mecze[[#This Row],[/OB:90]]+Mecze[[#This Row],[/PC:90]],SUM(Mecze[[#This Row],[/PR:90]:[/BR:90]]))</f>
        <v>3.1578947368421054E-2</v>
      </c>
      <c r="Z749" s="35">
        <f>IF(Mecze[[#This Row],[KC]]=0,SUM(Mecze[[#This Row],[/BRI]:[/NPI]]),SUM(Mecze[[#This Row],[/BRI]:[/NPI]])*0.6)</f>
        <v>0.18947368421052629</v>
      </c>
      <c r="AA749" s="10">
        <f>IFERROR(Mecze[[#This Row],[BR]]/Mecze[[#This Row],[ST]],0)</f>
        <v>0</v>
      </c>
      <c r="AB749">
        <f>ROUND(Mecze[[#This Row],[PD]]*Mecze[[#This Row],[%PC]],0)</f>
        <v>3</v>
      </c>
      <c r="AC749">
        <f>ROUND(Mecze[[#This Row],[OD]]*Mecze[[#This Row],[%OU]],0)</f>
        <v>0</v>
      </c>
      <c r="AD749" s="36" t="s">
        <v>232</v>
      </c>
      <c r="AE749" s="36">
        <v>42</v>
      </c>
      <c r="AF749" s="71">
        <v>5.26</v>
      </c>
      <c r="AG749" s="37">
        <v>0</v>
      </c>
      <c r="AH749" s="37">
        <v>0</v>
      </c>
      <c r="AI749" s="37">
        <v>95</v>
      </c>
      <c r="AJ749" s="37">
        <v>6</v>
      </c>
      <c r="AK749" s="37" t="str">
        <f>VLOOKUP(Mecze[[#This Row],[Match ID]],Meczusie[Mecz]:Meczusie[RodzajMeczu],2,FALSE)</f>
        <v>Liga</v>
      </c>
    </row>
    <row r="750" spans="1:37" x14ac:dyDescent="0.25">
      <c r="A750" s="76">
        <v>5</v>
      </c>
      <c r="B750" s="3" t="s">
        <v>256</v>
      </c>
      <c r="C750" s="2" t="s">
        <v>165</v>
      </c>
      <c r="D750" s="1">
        <v>1</v>
      </c>
      <c r="E750" s="1">
        <v>5</v>
      </c>
      <c r="F750" s="1">
        <v>3</v>
      </c>
      <c r="G750" s="1">
        <v>12</v>
      </c>
      <c r="H750" s="4">
        <v>0.57999999999999996</v>
      </c>
      <c r="I750" s="1">
        <v>2</v>
      </c>
      <c r="J750" s="4">
        <v>0</v>
      </c>
      <c r="K750" s="1">
        <v>0</v>
      </c>
      <c r="L750" s="1">
        <v>3</v>
      </c>
      <c r="M750" s="32">
        <f>IF(Mecze[[#This Row],[PR]]=0,0,Mecze[[#This Row],[PR]]/Mecze[[#This Row],[CZAS]])</f>
        <v>3.1578947368421054E-2</v>
      </c>
      <c r="N750" s="32">
        <f>IF(Mecze[[#This Row],[OU]]=0,0,Mecze[[#This Row],[OU]]/Mecze[[#This Row],[CZAS]])</f>
        <v>0</v>
      </c>
      <c r="O750" s="32">
        <f>IF(Mecze[[#This Row],[PC]]=0,0,Mecze[[#This Row],[PC]]/Mecze[[#This Row],[CZAS]])</f>
        <v>7.3684210526315783E-2</v>
      </c>
      <c r="P750" s="32">
        <f>IF(Mecze[[#This Row],[SC]]=0,0,Mecze[[#This Row],[SC]]/Mecze[[#This Row],[CZAS]])</f>
        <v>3.1578947368421054E-2</v>
      </c>
      <c r="Q750" s="32">
        <f>IF(Mecze[[#This Row],[OB]]=0,0,Mecze[[#This Row],[OB]]/Mecze[[#This Row],[CZAS]])</f>
        <v>0</v>
      </c>
      <c r="R750" s="32">
        <f>IF(Mecze[[#This Row],[BR]]=0,0,Mecze[[#This Row],[BR]]/Mecze[[#This Row],[CZAS]])</f>
        <v>1.0526315789473684E-2</v>
      </c>
      <c r="S750" s="44">
        <f>IF(Mecze[[#This Row],[Role]]="BR",SUMPRODUCT(Mecze[[#This Row],[/PR:90]:[/BR:90]],Brudnopis!$E$23:$J$23),0)</f>
        <v>0</v>
      </c>
      <c r="T750" s="44">
        <f>IF(Mecze[[#This Row],[Role]]&lt;&gt;"BR",SUMPRODUCT(Mecze[[#This Row],[/PR:90]:[/BR:90]],Brudnopis!$E$24:$J$24),0)</f>
        <v>0.1526315789473684</v>
      </c>
      <c r="U750" s="44">
        <f>IF(Mecze[[#This Row],[Role]]&lt;&gt;"BR",SUMPRODUCT(Mecze[[#This Row],[/PR:90]:[/BR:90]],Brudnopis!$E$25:$J$25),0)</f>
        <v>0.18947368421052629</v>
      </c>
      <c r="V750" s="44">
        <f>IF(Mecze[[#This Row],[Role]]&lt;&gt;"BR",SUMPRODUCT(Mecze[[#This Row],[/PR:90]:[/BR:90]],Brudnopis!$E$26:$J$26),0)</f>
        <v>0.15789473684210525</v>
      </c>
      <c r="W750" s="44">
        <f>IF(Mecze[[#This Row],[Role]]&lt;&gt;"BR",SUMPRODUCT(Mecze[[#This Row],[/PR:90]:[/BR:90]],Brudnopis!$E$27:$J$27),0)</f>
        <v>0.18684210526315786</v>
      </c>
      <c r="X750" s="44">
        <f>IF(Mecze[[#This Row],[Role]]&lt;&gt;"BR",SUMPRODUCT(Mecze[[#This Row],[/PR:90]:[/BR:90]],Brudnopis!$E$28:$J$28),0)</f>
        <v>0.16842105263157892</v>
      </c>
      <c r="Y750" s="35">
        <f>IF(Mecze[[#This Row],[Role]]="BR",Mecze[[#This Row],[/OB:90]]+Mecze[[#This Row],[/PC:90]],SUM(Mecze[[#This Row],[/PR:90]:[/BR:90]]))</f>
        <v>0.14736842105263157</v>
      </c>
      <c r="Z750" s="35">
        <f>IF(Mecze[[#This Row],[KC]]=0,SUM(Mecze[[#This Row],[/BRI]:[/NPI]]),SUM(Mecze[[#This Row],[/BRI]:[/NPI]])*0.6)</f>
        <v>0.85526315789473673</v>
      </c>
      <c r="AA750" s="10">
        <f>IFERROR(Mecze[[#This Row],[BR]]/Mecze[[#This Row],[ST]],0)</f>
        <v>0.2</v>
      </c>
      <c r="AB750">
        <f>ROUND(Mecze[[#This Row],[PD]]*Mecze[[#This Row],[%PC]],0)</f>
        <v>7</v>
      </c>
      <c r="AC750">
        <f>ROUND(Mecze[[#This Row],[OD]]*Mecze[[#This Row],[%OU]],0)</f>
        <v>0</v>
      </c>
      <c r="AD750" s="36" t="s">
        <v>46</v>
      </c>
      <c r="AE750" s="36">
        <v>42</v>
      </c>
      <c r="AF750" s="71">
        <v>8.2200000000000006</v>
      </c>
      <c r="AG750" s="37">
        <v>0</v>
      </c>
      <c r="AH750" s="37">
        <v>0</v>
      </c>
      <c r="AI750" s="37">
        <v>95</v>
      </c>
      <c r="AJ750" s="37">
        <v>6</v>
      </c>
      <c r="AK750" s="37" t="str">
        <f>VLOOKUP(Mecze[[#This Row],[Match ID]],Meczusie[Mecz]:Meczusie[RodzajMeczu],2,FALSE)</f>
        <v>Liga</v>
      </c>
    </row>
    <row r="751" spans="1:37" x14ac:dyDescent="0.25">
      <c r="A751" s="76">
        <v>100</v>
      </c>
      <c r="B751" s="3" t="s">
        <v>257</v>
      </c>
      <c r="C751" s="2" t="s">
        <v>165</v>
      </c>
      <c r="D751" s="1">
        <v>2</v>
      </c>
      <c r="E751" s="1">
        <v>7</v>
      </c>
      <c r="F751" s="1">
        <v>6</v>
      </c>
      <c r="G751" s="1">
        <v>7</v>
      </c>
      <c r="H751" s="4">
        <v>0.56999999999999995</v>
      </c>
      <c r="I751" s="1">
        <v>0</v>
      </c>
      <c r="J751" s="4"/>
      <c r="K751" s="1">
        <v>0</v>
      </c>
      <c r="L751" s="1">
        <v>0</v>
      </c>
      <c r="M751" s="32">
        <f>IF(Mecze[[#This Row],[PR]]=0,0,Mecze[[#This Row],[PR]]/Mecze[[#This Row],[CZAS]])</f>
        <v>0</v>
      </c>
      <c r="N751" s="32">
        <f>IF(Mecze[[#This Row],[OU]]=0,0,Mecze[[#This Row],[OU]]/Mecze[[#This Row],[CZAS]])</f>
        <v>0</v>
      </c>
      <c r="O751" s="32">
        <f>IF(Mecze[[#This Row],[PC]]=0,0,Mecze[[#This Row],[PC]]/Mecze[[#This Row],[CZAS]])</f>
        <v>4.5977011494252873E-2</v>
      </c>
      <c r="P751" s="32">
        <f>IF(Mecze[[#This Row],[SC]]=0,0,Mecze[[#This Row],[SC]]/Mecze[[#This Row],[CZAS]])</f>
        <v>6.8965517241379309E-2</v>
      </c>
      <c r="Q751" s="32">
        <f>IF(Mecze[[#This Row],[OB]]=0,0,Mecze[[#This Row],[OB]]/Mecze[[#This Row],[CZAS]])</f>
        <v>0</v>
      </c>
      <c r="R751" s="32">
        <f>IF(Mecze[[#This Row],[BR]]=0,0,Mecze[[#This Row],[BR]]/Mecze[[#This Row],[CZAS]])</f>
        <v>2.2988505747126436E-2</v>
      </c>
      <c r="S751" s="44">
        <f>IF(Mecze[[#This Row],[Role]]="BR",SUMPRODUCT(Mecze[[#This Row],[/PR:90]:[/BR:90]],Brudnopis!$E$23:$J$23),0)</f>
        <v>0</v>
      </c>
      <c r="T751" s="44">
        <f>IF(Mecze[[#This Row],[Role]]&lt;&gt;"BR",SUMPRODUCT(Mecze[[#This Row],[/PR:90]:[/BR:90]],Brudnopis!$E$24:$J$24),0)</f>
        <v>0.14942528735632182</v>
      </c>
      <c r="U751" s="44">
        <f>IF(Mecze[[#This Row],[Role]]&lt;&gt;"BR",SUMPRODUCT(Mecze[[#This Row],[/PR:90]:[/BR:90]],Brudnopis!$E$25:$J$25),0)</f>
        <v>0.17241379310344829</v>
      </c>
      <c r="V751" s="44">
        <f>IF(Mecze[[#This Row],[Role]]&lt;&gt;"BR",SUMPRODUCT(Mecze[[#This Row],[/PR:90]:[/BR:90]],Brudnopis!$E$26:$J$26),0)</f>
        <v>0.16091954022988506</v>
      </c>
      <c r="W751" s="44">
        <f>IF(Mecze[[#This Row],[Role]]&lt;&gt;"BR",SUMPRODUCT(Mecze[[#This Row],[/PR:90]:[/BR:90]],Brudnopis!$E$27:$J$27),0)</f>
        <v>0.18390804597701149</v>
      </c>
      <c r="X751" s="44">
        <f>IF(Mecze[[#This Row],[Role]]&lt;&gt;"BR",SUMPRODUCT(Mecze[[#This Row],[/PR:90]:[/BR:90]],Brudnopis!$E$28:$J$28),0)</f>
        <v>0.25287356321839083</v>
      </c>
      <c r="Y751" s="35">
        <f>IF(Mecze[[#This Row],[Role]]="BR",Mecze[[#This Row],[/OB:90]]+Mecze[[#This Row],[/PC:90]],SUM(Mecze[[#This Row],[/PR:90]:[/BR:90]]))</f>
        <v>0.13793103448275862</v>
      </c>
      <c r="Z751" s="35">
        <f>IF(Mecze[[#This Row],[KC]]=0,SUM(Mecze[[#This Row],[/BRI]:[/NPI]]),SUM(Mecze[[#This Row],[/BRI]:[/NPI]])*0.6)</f>
        <v>0.91954022988505746</v>
      </c>
      <c r="AA751" s="10">
        <f>IFERROR(Mecze[[#This Row],[BR]]/Mecze[[#This Row],[ST]],0)</f>
        <v>0.2857142857142857</v>
      </c>
      <c r="AB751">
        <f>ROUND(Mecze[[#This Row],[PD]]*Mecze[[#This Row],[%PC]],0)</f>
        <v>4</v>
      </c>
      <c r="AC751">
        <f>ROUND(Mecze[[#This Row],[OD]]*Mecze[[#This Row],[%OU]],0)</f>
        <v>0</v>
      </c>
      <c r="AD751" s="36" t="s">
        <v>46</v>
      </c>
      <c r="AE751" s="36">
        <v>42</v>
      </c>
      <c r="AF751" s="71">
        <v>11.18</v>
      </c>
      <c r="AG751" s="37">
        <v>0</v>
      </c>
      <c r="AH751" s="37">
        <v>0</v>
      </c>
      <c r="AI751" s="37">
        <v>87</v>
      </c>
      <c r="AJ751" s="37">
        <v>6</v>
      </c>
      <c r="AK751" s="37" t="str">
        <f>VLOOKUP(Mecze[[#This Row],[Match ID]],Meczusie[Mecz]:Meczusie[RodzajMeczu],2,FALSE)</f>
        <v>Liga</v>
      </c>
    </row>
    <row r="752" spans="1:37" x14ac:dyDescent="0.25">
      <c r="A752" s="76">
        <v>20</v>
      </c>
      <c r="B752" s="3" t="s">
        <v>391</v>
      </c>
      <c r="C752" s="2" t="s">
        <v>165</v>
      </c>
      <c r="D752" s="1">
        <v>0</v>
      </c>
      <c r="E752" s="1">
        <v>0</v>
      </c>
      <c r="F752" s="1">
        <v>0</v>
      </c>
      <c r="G752" s="1">
        <v>1</v>
      </c>
      <c r="H752" s="4">
        <v>0</v>
      </c>
      <c r="I752" s="1">
        <v>0</v>
      </c>
      <c r="J752" s="4"/>
      <c r="K752" s="1">
        <v>0</v>
      </c>
      <c r="L752" s="1">
        <v>0</v>
      </c>
      <c r="M752" s="32">
        <f>IF(Mecze[[#This Row],[PR]]=0,0,Mecze[[#This Row],[PR]]/Mecze[[#This Row],[CZAS]])</f>
        <v>0</v>
      </c>
      <c r="N752" s="32">
        <f>IF(Mecze[[#This Row],[OU]]=0,0,Mecze[[#This Row],[OU]]/Mecze[[#This Row],[CZAS]])</f>
        <v>0</v>
      </c>
      <c r="O752" s="32">
        <f>IF(Mecze[[#This Row],[PC]]=0,0,Mecze[[#This Row],[PC]]/Mecze[[#This Row],[CZAS]])</f>
        <v>0</v>
      </c>
      <c r="P752" s="32">
        <f>IF(Mecze[[#This Row],[SC]]=0,0,Mecze[[#This Row],[SC]]/Mecze[[#This Row],[CZAS]])</f>
        <v>0</v>
      </c>
      <c r="Q752" s="32">
        <f>IF(Mecze[[#This Row],[OB]]=0,0,Mecze[[#This Row],[OB]]/Mecze[[#This Row],[CZAS]])</f>
        <v>0</v>
      </c>
      <c r="R752" s="32">
        <f>IF(Mecze[[#This Row],[BR]]=0,0,Mecze[[#This Row],[BR]]/Mecze[[#This Row],[CZAS]])</f>
        <v>0</v>
      </c>
      <c r="S752" s="44">
        <f>IF(Mecze[[#This Row],[Role]]="BR",SUMPRODUCT(Mecze[[#This Row],[/PR:90]:[/BR:90]],Brudnopis!$E$23:$J$23),0)</f>
        <v>0</v>
      </c>
      <c r="T752" s="44">
        <f>IF(Mecze[[#This Row],[Role]]&lt;&gt;"BR",SUMPRODUCT(Mecze[[#This Row],[/PR:90]:[/BR:90]],Brudnopis!$E$24:$J$24),0)</f>
        <v>0</v>
      </c>
      <c r="U752" s="44">
        <f>IF(Mecze[[#This Row],[Role]]&lt;&gt;"BR",SUMPRODUCT(Mecze[[#This Row],[/PR:90]:[/BR:90]],Brudnopis!$E$25:$J$25),0)</f>
        <v>0</v>
      </c>
      <c r="V752" s="44">
        <f>IF(Mecze[[#This Row],[Role]]&lt;&gt;"BR",SUMPRODUCT(Mecze[[#This Row],[/PR:90]:[/BR:90]],Brudnopis!$E$26:$J$26),0)</f>
        <v>0</v>
      </c>
      <c r="W752" s="44">
        <f>IF(Mecze[[#This Row],[Role]]&lt;&gt;"BR",SUMPRODUCT(Mecze[[#This Row],[/PR:90]:[/BR:90]],Brudnopis!$E$27:$J$27),0)</f>
        <v>0</v>
      </c>
      <c r="X752" s="44">
        <f>IF(Mecze[[#This Row],[Role]]&lt;&gt;"BR",SUMPRODUCT(Mecze[[#This Row],[/PR:90]:[/BR:90]],Brudnopis!$E$28:$J$28),0)</f>
        <v>0</v>
      </c>
      <c r="Y752" s="35">
        <f>IF(Mecze[[#This Row],[Role]]="BR",Mecze[[#This Row],[/OB:90]]+Mecze[[#This Row],[/PC:90]],SUM(Mecze[[#This Row],[/PR:90]:[/BR:90]]))</f>
        <v>0</v>
      </c>
      <c r="Z752" s="35">
        <f>IF(Mecze[[#This Row],[KC]]=0,SUM(Mecze[[#This Row],[/BRI]:[/NPI]]),SUM(Mecze[[#This Row],[/BRI]:[/NPI]])*0.6)</f>
        <v>0</v>
      </c>
      <c r="AA752" s="10">
        <f>IFERROR(Mecze[[#This Row],[BR]]/Mecze[[#This Row],[ST]],0)</f>
        <v>0</v>
      </c>
      <c r="AB752">
        <f>ROUND(Mecze[[#This Row],[PD]]*Mecze[[#This Row],[%PC]],0)</f>
        <v>0</v>
      </c>
      <c r="AC752">
        <f>ROUND(Mecze[[#This Row],[OD]]*Mecze[[#This Row],[%OU]],0)</f>
        <v>0</v>
      </c>
      <c r="AD752" s="36" t="s">
        <v>46</v>
      </c>
      <c r="AE752" s="36">
        <v>42</v>
      </c>
      <c r="AF752" s="71">
        <v>1.72</v>
      </c>
      <c r="AG752" s="37">
        <v>0</v>
      </c>
      <c r="AH752" s="37">
        <v>0</v>
      </c>
      <c r="AI752" s="37">
        <v>8</v>
      </c>
      <c r="AJ752" s="37">
        <v>6</v>
      </c>
      <c r="AK752" s="37" t="str">
        <f>VLOOKUP(Mecze[[#This Row],[Match ID]],Meczusie[Mecz]:Meczusie[RodzajMeczu],2,FALSE)</f>
        <v>Liga</v>
      </c>
    </row>
    <row r="753" spans="1:37" x14ac:dyDescent="0.25">
      <c r="A753" s="76">
        <v>9</v>
      </c>
      <c r="B753" s="3" t="s">
        <v>258</v>
      </c>
      <c r="C753" s="2" t="s">
        <v>160</v>
      </c>
      <c r="D753" s="1">
        <v>0</v>
      </c>
      <c r="E753" s="1">
        <v>0</v>
      </c>
      <c r="F753" s="1">
        <v>0</v>
      </c>
      <c r="G753" s="1">
        <v>3</v>
      </c>
      <c r="H753" s="4">
        <v>0.67</v>
      </c>
      <c r="I753" s="1">
        <v>2</v>
      </c>
      <c r="J753" s="4">
        <v>0</v>
      </c>
      <c r="K753" s="1">
        <v>0</v>
      </c>
      <c r="L753" s="1">
        <v>3</v>
      </c>
      <c r="M753" s="32">
        <f>IF(Mecze[[#This Row],[PR]]=0,0,Mecze[[#This Row],[PR]]/Mecze[[#This Row],[CZAS]])</f>
        <v>0.125</v>
      </c>
      <c r="N753" s="32">
        <f>IF(Mecze[[#This Row],[OU]]=0,0,Mecze[[#This Row],[OU]]/Mecze[[#This Row],[CZAS]])</f>
        <v>0</v>
      </c>
      <c r="O753" s="32">
        <f>IF(Mecze[[#This Row],[PC]]=0,0,Mecze[[#This Row],[PC]]/Mecze[[#This Row],[CZAS]])</f>
        <v>8.3333333333333329E-2</v>
      </c>
      <c r="P753" s="32">
        <f>IF(Mecze[[#This Row],[SC]]=0,0,Mecze[[#This Row],[SC]]/Mecze[[#This Row],[CZAS]])</f>
        <v>0</v>
      </c>
      <c r="Q753" s="32">
        <f>IF(Mecze[[#This Row],[OB]]=0,0,Mecze[[#This Row],[OB]]/Mecze[[#This Row],[CZAS]])</f>
        <v>0</v>
      </c>
      <c r="R753" s="32">
        <f>IF(Mecze[[#This Row],[BR]]=0,0,Mecze[[#This Row],[BR]]/Mecze[[#This Row],[CZAS]])</f>
        <v>0</v>
      </c>
      <c r="S753" s="44">
        <f>IF(Mecze[[#This Row],[Role]]="BR",SUMPRODUCT(Mecze[[#This Row],[/PR:90]:[/BR:90]],Brudnopis!$E$23:$J$23),0)</f>
        <v>0</v>
      </c>
      <c r="T753" s="44">
        <f>IF(Mecze[[#This Row],[Role]]&lt;&gt;"BR",SUMPRODUCT(Mecze[[#This Row],[/PR:90]:[/BR:90]],Brudnopis!$E$24:$J$24),0)</f>
        <v>0.20833333333333331</v>
      </c>
      <c r="U753" s="44">
        <f>IF(Mecze[[#This Row],[Role]]&lt;&gt;"BR",SUMPRODUCT(Mecze[[#This Row],[/PR:90]:[/BR:90]],Brudnopis!$E$25:$J$25),0)</f>
        <v>0.25</v>
      </c>
      <c r="V753" s="44">
        <f>IF(Mecze[[#This Row],[Role]]&lt;&gt;"BR",SUMPRODUCT(Mecze[[#This Row],[/PR:90]:[/BR:90]],Brudnopis!$E$26:$J$26),0)</f>
        <v>0.20833333333333331</v>
      </c>
      <c r="W753" s="44">
        <f>IF(Mecze[[#This Row],[Role]]&lt;&gt;"BR",SUMPRODUCT(Mecze[[#This Row],[/PR:90]:[/BR:90]],Brudnopis!$E$27:$J$27),0)</f>
        <v>0.21875</v>
      </c>
      <c r="X753" s="44">
        <f>IF(Mecze[[#This Row],[Role]]&lt;&gt;"BR",SUMPRODUCT(Mecze[[#This Row],[/PR:90]:[/BR:90]],Brudnopis!$E$28:$J$28),0)</f>
        <v>8.3333333333333329E-2</v>
      </c>
      <c r="Y753" s="35">
        <f>IF(Mecze[[#This Row],[Role]]="BR",Mecze[[#This Row],[/OB:90]]+Mecze[[#This Row],[/PC:90]],SUM(Mecze[[#This Row],[/PR:90]:[/BR:90]]))</f>
        <v>0.20833333333333331</v>
      </c>
      <c r="Z753" s="35">
        <f>IF(Mecze[[#This Row],[KC]]=0,SUM(Mecze[[#This Row],[/BRI]:[/NPI]]),SUM(Mecze[[#This Row],[/BRI]:[/NPI]])*0.6)</f>
        <v>0.96875</v>
      </c>
      <c r="AA753" s="10">
        <f>IFERROR(Mecze[[#This Row],[BR]]/Mecze[[#This Row],[ST]],0)</f>
        <v>0</v>
      </c>
      <c r="AB753">
        <f>ROUND(Mecze[[#This Row],[PD]]*Mecze[[#This Row],[%PC]],0)</f>
        <v>2</v>
      </c>
      <c r="AC753">
        <f>ROUND(Mecze[[#This Row],[OD]]*Mecze[[#This Row],[%OU]],0)</f>
        <v>0</v>
      </c>
      <c r="AD753" s="36" t="s">
        <v>318</v>
      </c>
      <c r="AE753" s="36">
        <v>42</v>
      </c>
      <c r="AF753" s="71">
        <v>5.47</v>
      </c>
      <c r="AG753" s="37">
        <v>0</v>
      </c>
      <c r="AH753" s="37">
        <v>0</v>
      </c>
      <c r="AI753" s="37">
        <v>24</v>
      </c>
      <c r="AJ753" s="37">
        <v>6</v>
      </c>
      <c r="AK753" s="37" t="str">
        <f>VLOOKUP(Mecze[[#This Row],[Match ID]],Meczusie[Mecz]:Meczusie[RodzajMeczu],2,FALSE)</f>
        <v>Liga</v>
      </c>
    </row>
    <row r="754" spans="1:37" x14ac:dyDescent="0.25">
      <c r="A754" s="76">
        <v>110</v>
      </c>
      <c r="B754" s="3" t="s">
        <v>333</v>
      </c>
      <c r="C754" s="2" t="s">
        <v>155</v>
      </c>
      <c r="D754" s="1">
        <v>0</v>
      </c>
      <c r="E754" s="1">
        <v>0</v>
      </c>
      <c r="F754" s="1">
        <v>0</v>
      </c>
      <c r="G754" s="1">
        <v>6</v>
      </c>
      <c r="H754" s="4">
        <v>0.67</v>
      </c>
      <c r="I754" s="1">
        <v>0</v>
      </c>
      <c r="J754" s="4"/>
      <c r="K754" s="1">
        <v>4</v>
      </c>
      <c r="L754" s="1">
        <v>0</v>
      </c>
      <c r="M754" s="32">
        <f>IF(Mecze[[#This Row],[PR]]=0,0,Mecze[[#This Row],[PR]]/Mecze[[#This Row],[CZAS]])</f>
        <v>0</v>
      </c>
      <c r="N754" s="32">
        <f>IF(Mecze[[#This Row],[OU]]=0,0,Mecze[[#This Row],[OU]]/Mecze[[#This Row],[CZAS]])</f>
        <v>0</v>
      </c>
      <c r="O754" s="32">
        <f>IF(Mecze[[#This Row],[PC]]=0,0,Mecze[[#This Row],[PC]]/Mecze[[#This Row],[CZAS]])</f>
        <v>4.1666666666666664E-2</v>
      </c>
      <c r="P754" s="32">
        <f>IF(Mecze[[#This Row],[SC]]=0,0,Mecze[[#This Row],[SC]]/Mecze[[#This Row],[CZAS]])</f>
        <v>0</v>
      </c>
      <c r="Q754" s="32">
        <f>IF(Mecze[[#This Row],[OB]]=0,0,Mecze[[#This Row],[OB]]/Mecze[[#This Row],[CZAS]])</f>
        <v>4.1666666666666664E-2</v>
      </c>
      <c r="R754" s="32">
        <f>IF(Mecze[[#This Row],[BR]]=0,0,Mecze[[#This Row],[BR]]/Mecze[[#This Row],[CZAS]])</f>
        <v>0</v>
      </c>
      <c r="S754" s="44">
        <f>IF(Mecze[[#This Row],[Role]]="BR",SUMPRODUCT(Mecze[[#This Row],[/PR:90]:[/BR:90]],Brudnopis!$E$23:$J$23),0)</f>
        <v>0.25</v>
      </c>
      <c r="T754" s="44">
        <f>IF(Mecze[[#This Row],[Role]]&lt;&gt;"BR",SUMPRODUCT(Mecze[[#This Row],[/PR:90]:[/BR:90]],Brudnopis!$E$24:$J$24),0)</f>
        <v>0</v>
      </c>
      <c r="U754" s="44">
        <f>IF(Mecze[[#This Row],[Role]]&lt;&gt;"BR",SUMPRODUCT(Mecze[[#This Row],[/PR:90]:[/BR:90]],Brudnopis!$E$25:$J$25),0)</f>
        <v>0</v>
      </c>
      <c r="V754" s="44">
        <f>IF(Mecze[[#This Row],[Role]]&lt;&gt;"BR",SUMPRODUCT(Mecze[[#This Row],[/PR:90]:[/BR:90]],Brudnopis!$E$26:$J$26),0)</f>
        <v>0</v>
      </c>
      <c r="W754" s="44">
        <f>IF(Mecze[[#This Row],[Role]]&lt;&gt;"BR",SUMPRODUCT(Mecze[[#This Row],[/PR:90]:[/BR:90]],Brudnopis!$E$27:$J$27),0)</f>
        <v>0</v>
      </c>
      <c r="X754" s="44">
        <f>IF(Mecze[[#This Row],[Role]]&lt;&gt;"BR",SUMPRODUCT(Mecze[[#This Row],[/PR:90]:[/BR:90]],Brudnopis!$E$28:$J$28),0)</f>
        <v>0</v>
      </c>
      <c r="Y754" s="35">
        <f>IF(Mecze[[#This Row],[Role]]="BR",Mecze[[#This Row],[/OB:90]]+Mecze[[#This Row],[/PC:90]],SUM(Mecze[[#This Row],[/PR:90]:[/BR:90]]))</f>
        <v>8.3333333333333329E-2</v>
      </c>
      <c r="Z754" s="35">
        <f>IF(Mecze[[#This Row],[KC]]=0,SUM(Mecze[[#This Row],[/BRI]:[/NPI]]),SUM(Mecze[[#This Row],[/BRI]:[/NPI]])*0.6)</f>
        <v>0.25</v>
      </c>
      <c r="AA754" s="10">
        <f>IFERROR(Mecze[[#This Row],[BR]]/Mecze[[#This Row],[ST]],0)</f>
        <v>0</v>
      </c>
      <c r="AB754">
        <f>ROUND(Mecze[[#This Row],[PD]]*Mecze[[#This Row],[%PC]],0)</f>
        <v>4</v>
      </c>
      <c r="AC754">
        <f>ROUND(Mecze[[#This Row],[OD]]*Mecze[[#This Row],[%OU]],0)</f>
        <v>0</v>
      </c>
      <c r="AD754" s="36" t="s">
        <v>40</v>
      </c>
      <c r="AE754" s="36">
        <v>43</v>
      </c>
      <c r="AF754" s="71">
        <v>5.32</v>
      </c>
      <c r="AG754" s="37">
        <v>0</v>
      </c>
      <c r="AH754" s="37">
        <v>0</v>
      </c>
      <c r="AI754" s="37">
        <v>96</v>
      </c>
      <c r="AJ754" s="37">
        <v>7</v>
      </c>
      <c r="AK754" s="37" t="str">
        <f>VLOOKUP(Mecze[[#This Row],[Match ID]],Meczusie[Mecz]:Meczusie[RodzajMeczu],2,FALSE)</f>
        <v>Liga</v>
      </c>
    </row>
    <row r="755" spans="1:37" x14ac:dyDescent="0.25">
      <c r="A755" s="76">
        <v>204</v>
      </c>
      <c r="B755" s="3" t="s">
        <v>334</v>
      </c>
      <c r="C755" s="2" t="s">
        <v>157</v>
      </c>
      <c r="D755" s="1">
        <v>0</v>
      </c>
      <c r="E755" s="1">
        <v>0</v>
      </c>
      <c r="F755" s="1">
        <v>0</v>
      </c>
      <c r="G755" s="1">
        <v>6</v>
      </c>
      <c r="H755" s="4">
        <v>0.83</v>
      </c>
      <c r="I755" s="1">
        <v>0</v>
      </c>
      <c r="J755" s="4"/>
      <c r="K755" s="1">
        <v>0</v>
      </c>
      <c r="L755" s="1">
        <v>7</v>
      </c>
      <c r="M755" s="32">
        <f>IF(Mecze[[#This Row],[PR]]=0,0,Mecze[[#This Row],[PR]]/Mecze[[#This Row],[CZAS]])</f>
        <v>7.2916666666666671E-2</v>
      </c>
      <c r="N755" s="32">
        <f>IF(Mecze[[#This Row],[OU]]=0,0,Mecze[[#This Row],[OU]]/Mecze[[#This Row],[CZAS]])</f>
        <v>0</v>
      </c>
      <c r="O755" s="32">
        <f>IF(Mecze[[#This Row],[PC]]=0,0,Mecze[[#This Row],[PC]]/Mecze[[#This Row],[CZAS]])</f>
        <v>5.2083333333333336E-2</v>
      </c>
      <c r="P755" s="32">
        <f>IF(Mecze[[#This Row],[SC]]=0,0,Mecze[[#This Row],[SC]]/Mecze[[#This Row],[CZAS]])</f>
        <v>0</v>
      </c>
      <c r="Q755" s="32">
        <f>IF(Mecze[[#This Row],[OB]]=0,0,Mecze[[#This Row],[OB]]/Mecze[[#This Row],[CZAS]])</f>
        <v>0</v>
      </c>
      <c r="R755" s="32">
        <f>IF(Mecze[[#This Row],[BR]]=0,0,Mecze[[#This Row],[BR]]/Mecze[[#This Row],[CZAS]])</f>
        <v>0</v>
      </c>
      <c r="S755" s="44">
        <f>IF(Mecze[[#This Row],[Role]]="BR",SUMPRODUCT(Mecze[[#This Row],[/PR:90]:[/BR:90]],Brudnopis!$E$23:$J$23),0)</f>
        <v>0</v>
      </c>
      <c r="T755" s="44">
        <f>IF(Mecze[[#This Row],[Role]]&lt;&gt;"BR",SUMPRODUCT(Mecze[[#This Row],[/PR:90]:[/BR:90]],Brudnopis!$E$24:$J$24),0)</f>
        <v>0.125</v>
      </c>
      <c r="U755" s="44">
        <f>IF(Mecze[[#This Row],[Role]]&lt;&gt;"BR",SUMPRODUCT(Mecze[[#This Row],[/PR:90]:[/BR:90]],Brudnopis!$E$25:$J$25),0)</f>
        <v>0.15104166666666669</v>
      </c>
      <c r="V755" s="44">
        <f>IF(Mecze[[#This Row],[Role]]&lt;&gt;"BR",SUMPRODUCT(Mecze[[#This Row],[/PR:90]:[/BR:90]],Brudnopis!$E$26:$J$26),0)</f>
        <v>0.125</v>
      </c>
      <c r="W755" s="44">
        <f>IF(Mecze[[#This Row],[Role]]&lt;&gt;"BR",SUMPRODUCT(Mecze[[#This Row],[/PR:90]:[/BR:90]],Brudnopis!$E$27:$J$27),0)</f>
        <v>0.1328125</v>
      </c>
      <c r="X755" s="44">
        <f>IF(Mecze[[#This Row],[Role]]&lt;&gt;"BR",SUMPRODUCT(Mecze[[#This Row],[/PR:90]:[/BR:90]],Brudnopis!$E$28:$J$28),0)</f>
        <v>5.2083333333333336E-2</v>
      </c>
      <c r="Y755" s="35">
        <f>IF(Mecze[[#This Row],[Role]]="BR",Mecze[[#This Row],[/OB:90]]+Mecze[[#This Row],[/PC:90]],SUM(Mecze[[#This Row],[/PR:90]:[/BR:90]]))</f>
        <v>0.125</v>
      </c>
      <c r="Z755" s="35">
        <f>IF(Mecze[[#This Row],[KC]]=0,SUM(Mecze[[#This Row],[/BRI]:[/NPI]]),SUM(Mecze[[#This Row],[/BRI]:[/NPI]])*0.6)</f>
        <v>0.58593750000000011</v>
      </c>
      <c r="AA755" s="10">
        <f>IFERROR(Mecze[[#This Row],[BR]]/Mecze[[#This Row],[ST]],0)</f>
        <v>0</v>
      </c>
      <c r="AB755">
        <f>ROUND(Mecze[[#This Row],[PD]]*Mecze[[#This Row],[%PC]],0)</f>
        <v>5</v>
      </c>
      <c r="AC755">
        <f>ROUND(Mecze[[#This Row],[OD]]*Mecze[[#This Row],[%OU]],0)</f>
        <v>0</v>
      </c>
      <c r="AD755" s="36" t="s">
        <v>47</v>
      </c>
      <c r="AE755" s="36">
        <v>43</v>
      </c>
      <c r="AF755" s="71">
        <v>4.17</v>
      </c>
      <c r="AG755" s="37">
        <v>0</v>
      </c>
      <c r="AH755" s="37">
        <v>0</v>
      </c>
      <c r="AI755" s="37">
        <v>96</v>
      </c>
      <c r="AJ755" s="37">
        <v>7</v>
      </c>
      <c r="AK755" s="37" t="str">
        <f>VLOOKUP(Mecze[[#This Row],[Match ID]],Meczusie[Mecz]:Meczusie[RodzajMeczu],2,FALSE)</f>
        <v>Liga</v>
      </c>
    </row>
    <row r="756" spans="1:37" x14ac:dyDescent="0.25">
      <c r="A756" s="76">
        <v>76</v>
      </c>
      <c r="B756" s="3" t="s">
        <v>336</v>
      </c>
      <c r="C756" s="2" t="s">
        <v>157</v>
      </c>
      <c r="D756" s="1">
        <v>0</v>
      </c>
      <c r="E756" s="1">
        <v>0</v>
      </c>
      <c r="F756" s="1">
        <v>0</v>
      </c>
      <c r="G756" s="1">
        <v>12</v>
      </c>
      <c r="H756" s="4">
        <v>0.42</v>
      </c>
      <c r="I756" s="1">
        <v>8</v>
      </c>
      <c r="J756" s="4">
        <v>0.63</v>
      </c>
      <c r="K756" s="1">
        <v>0</v>
      </c>
      <c r="L756" s="1">
        <v>9</v>
      </c>
      <c r="M756" s="32">
        <f>IF(Mecze[[#This Row],[PR]]=0,0,Mecze[[#This Row],[PR]]/Mecze[[#This Row],[CZAS]])</f>
        <v>9.375E-2</v>
      </c>
      <c r="N756" s="32">
        <f>IF(Mecze[[#This Row],[OU]]=0,0,Mecze[[#This Row],[OU]]/Mecze[[#This Row],[CZAS]])</f>
        <v>5.2083333333333336E-2</v>
      </c>
      <c r="O756" s="32">
        <f>IF(Mecze[[#This Row],[PC]]=0,0,Mecze[[#This Row],[PC]]/Mecze[[#This Row],[CZAS]])</f>
        <v>5.2083333333333336E-2</v>
      </c>
      <c r="P756" s="32">
        <f>IF(Mecze[[#This Row],[SC]]=0,0,Mecze[[#This Row],[SC]]/Mecze[[#This Row],[CZAS]])</f>
        <v>0</v>
      </c>
      <c r="Q756" s="32">
        <f>IF(Mecze[[#This Row],[OB]]=0,0,Mecze[[#This Row],[OB]]/Mecze[[#This Row],[CZAS]])</f>
        <v>0</v>
      </c>
      <c r="R756" s="32">
        <f>IF(Mecze[[#This Row],[BR]]=0,0,Mecze[[#This Row],[BR]]/Mecze[[#This Row],[CZAS]])</f>
        <v>0</v>
      </c>
      <c r="S756" s="44">
        <f>IF(Mecze[[#This Row],[Role]]="BR",SUMPRODUCT(Mecze[[#This Row],[/PR:90]:[/BR:90]],Brudnopis!$E$23:$J$23),0)</f>
        <v>0</v>
      </c>
      <c r="T756" s="44">
        <f>IF(Mecze[[#This Row],[Role]]&lt;&gt;"BR",SUMPRODUCT(Mecze[[#This Row],[/PR:90]:[/BR:90]],Brudnopis!$E$24:$J$24),0)</f>
        <v>0.22395833333333334</v>
      </c>
      <c r="U756" s="44">
        <f>IF(Mecze[[#This Row],[Role]]&lt;&gt;"BR",SUMPRODUCT(Mecze[[#This Row],[/PR:90]:[/BR:90]],Brudnopis!$E$25:$J$25),0)</f>
        <v>0.22395833333333334</v>
      </c>
      <c r="V756" s="44">
        <f>IF(Mecze[[#This Row],[Role]]&lt;&gt;"BR",SUMPRODUCT(Mecze[[#This Row],[/PR:90]:[/BR:90]],Brudnopis!$E$26:$J$26),0)</f>
        <v>0.19791666666666669</v>
      </c>
      <c r="W756" s="44">
        <f>IF(Mecze[[#This Row],[Role]]&lt;&gt;"BR",SUMPRODUCT(Mecze[[#This Row],[/PR:90]:[/BR:90]],Brudnopis!$E$27:$J$27),0)</f>
        <v>0.1875</v>
      </c>
      <c r="X756" s="44">
        <f>IF(Mecze[[#This Row],[Role]]&lt;&gt;"BR",SUMPRODUCT(Mecze[[#This Row],[/PR:90]:[/BR:90]],Brudnopis!$E$28:$J$28),0)</f>
        <v>5.2083333333333336E-2</v>
      </c>
      <c r="Y756" s="35">
        <f>IF(Mecze[[#This Row],[Role]]="BR",Mecze[[#This Row],[/OB:90]]+Mecze[[#This Row],[/PC:90]],SUM(Mecze[[#This Row],[/PR:90]:[/BR:90]]))</f>
        <v>0.19791666666666669</v>
      </c>
      <c r="Z756" s="35">
        <f>IF(Mecze[[#This Row],[KC]]=0,SUM(Mecze[[#This Row],[/BRI]:[/NPI]]),SUM(Mecze[[#This Row],[/BRI]:[/NPI]])*0.6)</f>
        <v>0.88541666666666674</v>
      </c>
      <c r="AA756" s="10">
        <f>IFERROR(Mecze[[#This Row],[BR]]/Mecze[[#This Row],[ST]],0)</f>
        <v>0</v>
      </c>
      <c r="AB756">
        <f>ROUND(Mecze[[#This Row],[PD]]*Mecze[[#This Row],[%PC]],0)</f>
        <v>5</v>
      </c>
      <c r="AC756">
        <f>ROUND(Mecze[[#This Row],[OD]]*Mecze[[#This Row],[%OU]],0)</f>
        <v>5</v>
      </c>
      <c r="AD756" s="36" t="s">
        <v>168</v>
      </c>
      <c r="AE756" s="36">
        <v>43</v>
      </c>
      <c r="AF756" s="71">
        <v>5.71</v>
      </c>
      <c r="AG756" s="37">
        <v>0</v>
      </c>
      <c r="AH756" s="37">
        <v>0</v>
      </c>
      <c r="AI756" s="37">
        <v>96</v>
      </c>
      <c r="AJ756" s="37">
        <v>7</v>
      </c>
      <c r="AK756" s="37" t="str">
        <f>VLOOKUP(Mecze[[#This Row],[Match ID]],Meczusie[Mecz]:Meczusie[RodzajMeczu],2,FALSE)</f>
        <v>Liga</v>
      </c>
    </row>
    <row r="757" spans="1:37" x14ac:dyDescent="0.25">
      <c r="A757" s="76">
        <v>150</v>
      </c>
      <c r="B757" s="3" t="s">
        <v>335</v>
      </c>
      <c r="C757" s="2" t="s">
        <v>157</v>
      </c>
      <c r="D757" s="1">
        <v>0</v>
      </c>
      <c r="E757" s="1">
        <v>0</v>
      </c>
      <c r="F757" s="1">
        <v>0</v>
      </c>
      <c r="G757" s="1">
        <v>12</v>
      </c>
      <c r="H757" s="4">
        <v>0.83</v>
      </c>
      <c r="I757" s="1">
        <v>2</v>
      </c>
      <c r="J757" s="4">
        <v>0.5</v>
      </c>
      <c r="K757" s="1">
        <v>0</v>
      </c>
      <c r="L757" s="1">
        <v>10</v>
      </c>
      <c r="M757" s="32">
        <f>IF(Mecze[[#This Row],[PR]]=0,0,Mecze[[#This Row],[PR]]/Mecze[[#This Row],[CZAS]])</f>
        <v>0.10416666666666667</v>
      </c>
      <c r="N757" s="32">
        <f>IF(Mecze[[#This Row],[OU]]=0,0,Mecze[[#This Row],[OU]]/Mecze[[#This Row],[CZAS]])</f>
        <v>1.0416666666666666E-2</v>
      </c>
      <c r="O757" s="32">
        <f>IF(Mecze[[#This Row],[PC]]=0,0,Mecze[[#This Row],[PC]]/Mecze[[#This Row],[CZAS]])</f>
        <v>0.10416666666666667</v>
      </c>
      <c r="P757" s="32">
        <f>IF(Mecze[[#This Row],[SC]]=0,0,Mecze[[#This Row],[SC]]/Mecze[[#This Row],[CZAS]])</f>
        <v>0</v>
      </c>
      <c r="Q757" s="32">
        <f>IF(Mecze[[#This Row],[OB]]=0,0,Mecze[[#This Row],[OB]]/Mecze[[#This Row],[CZAS]])</f>
        <v>0</v>
      </c>
      <c r="R757" s="32">
        <f>IF(Mecze[[#This Row],[BR]]=0,0,Mecze[[#This Row],[BR]]/Mecze[[#This Row],[CZAS]])</f>
        <v>0</v>
      </c>
      <c r="S757" s="44">
        <f>IF(Mecze[[#This Row],[Role]]="BR",SUMPRODUCT(Mecze[[#This Row],[/PR:90]:[/BR:90]],Brudnopis!$E$23:$J$23),0)</f>
        <v>0</v>
      </c>
      <c r="T757" s="44">
        <f>IF(Mecze[[#This Row],[Role]]&lt;&gt;"BR",SUMPRODUCT(Mecze[[#This Row],[/PR:90]:[/BR:90]],Brudnopis!$E$24:$J$24),0)</f>
        <v>0.22395833333333334</v>
      </c>
      <c r="U757" s="44">
        <f>IF(Mecze[[#This Row],[Role]]&lt;&gt;"BR",SUMPRODUCT(Mecze[[#This Row],[/PR:90]:[/BR:90]],Brudnopis!$E$25:$J$25),0)</f>
        <v>0.27083333333333337</v>
      </c>
      <c r="V757" s="44">
        <f>IF(Mecze[[#This Row],[Role]]&lt;&gt;"BR",SUMPRODUCT(Mecze[[#This Row],[/PR:90]:[/BR:90]],Brudnopis!$E$26:$J$26),0)</f>
        <v>0.21875</v>
      </c>
      <c r="W757" s="44">
        <f>IF(Mecze[[#This Row],[Role]]&lt;&gt;"BR",SUMPRODUCT(Mecze[[#This Row],[/PR:90]:[/BR:90]],Brudnopis!$E$27:$J$27),0)</f>
        <v>0.2421875</v>
      </c>
      <c r="X757" s="44">
        <f>IF(Mecze[[#This Row],[Role]]&lt;&gt;"BR",SUMPRODUCT(Mecze[[#This Row],[/PR:90]:[/BR:90]],Brudnopis!$E$28:$J$28),0)</f>
        <v>0.10416666666666667</v>
      </c>
      <c r="Y757" s="35">
        <f>IF(Mecze[[#This Row],[Role]]="BR",Mecze[[#This Row],[/OB:90]]+Mecze[[#This Row],[/PC:90]],SUM(Mecze[[#This Row],[/PR:90]:[/BR:90]]))</f>
        <v>0.21875</v>
      </c>
      <c r="Z757" s="35">
        <f>IF(Mecze[[#This Row],[KC]]=0,SUM(Mecze[[#This Row],[/BRI]:[/NPI]]),SUM(Mecze[[#This Row],[/BRI]:[/NPI]])*0.6)</f>
        <v>1.0598958333333335</v>
      </c>
      <c r="AA757" s="10">
        <f>IFERROR(Mecze[[#This Row],[BR]]/Mecze[[#This Row],[ST]],0)</f>
        <v>0</v>
      </c>
      <c r="AB757">
        <f>ROUND(Mecze[[#This Row],[PD]]*Mecze[[#This Row],[%PC]],0)</f>
        <v>10</v>
      </c>
      <c r="AC757">
        <f>ROUND(Mecze[[#This Row],[OD]]*Mecze[[#This Row],[%OU]],0)</f>
        <v>1</v>
      </c>
      <c r="AD757" s="36" t="s">
        <v>167</v>
      </c>
      <c r="AE757" s="36">
        <v>43</v>
      </c>
      <c r="AF757" s="71">
        <v>4.8</v>
      </c>
      <c r="AG757" s="37">
        <v>0</v>
      </c>
      <c r="AH757" s="37">
        <v>0</v>
      </c>
      <c r="AI757" s="37">
        <v>96</v>
      </c>
      <c r="AJ757" s="37">
        <v>7</v>
      </c>
      <c r="AK757" s="37" t="str">
        <f>VLOOKUP(Mecze[[#This Row],[Match ID]],Meczusie[Mecz]:Meczusie[RodzajMeczu],2,FALSE)</f>
        <v>Liga</v>
      </c>
    </row>
    <row r="758" spans="1:37" x14ac:dyDescent="0.25">
      <c r="A758" s="76">
        <v>161</v>
      </c>
      <c r="B758" s="3" t="s">
        <v>418</v>
      </c>
      <c r="C758" s="2" t="s">
        <v>160</v>
      </c>
      <c r="D758" s="1">
        <v>0</v>
      </c>
      <c r="E758" s="1">
        <v>0</v>
      </c>
      <c r="F758" s="1">
        <v>0</v>
      </c>
      <c r="G758" s="1">
        <v>14</v>
      </c>
      <c r="H758" s="4">
        <v>0.71</v>
      </c>
      <c r="I758" s="1">
        <v>4</v>
      </c>
      <c r="J758" s="4">
        <v>1</v>
      </c>
      <c r="K758" s="1">
        <v>0</v>
      </c>
      <c r="L758" s="1">
        <v>4</v>
      </c>
      <c r="M758" s="32">
        <f>IF(Mecze[[#This Row],[PR]]=0,0,Mecze[[#This Row],[PR]]/Mecze[[#This Row],[CZAS]])</f>
        <v>4.1666666666666664E-2</v>
      </c>
      <c r="N758" s="32">
        <f>IF(Mecze[[#This Row],[OU]]=0,0,Mecze[[#This Row],[OU]]/Mecze[[#This Row],[CZAS]])</f>
        <v>4.1666666666666664E-2</v>
      </c>
      <c r="O758" s="32">
        <f>IF(Mecze[[#This Row],[PC]]=0,0,Mecze[[#This Row],[PC]]/Mecze[[#This Row],[CZAS]])</f>
        <v>0.10416666666666667</v>
      </c>
      <c r="P758" s="32">
        <f>IF(Mecze[[#This Row],[SC]]=0,0,Mecze[[#This Row],[SC]]/Mecze[[#This Row],[CZAS]])</f>
        <v>0</v>
      </c>
      <c r="Q758" s="32">
        <f>IF(Mecze[[#This Row],[OB]]=0,0,Mecze[[#This Row],[OB]]/Mecze[[#This Row],[CZAS]])</f>
        <v>0</v>
      </c>
      <c r="R758" s="32">
        <f>IF(Mecze[[#This Row],[BR]]=0,0,Mecze[[#This Row],[BR]]/Mecze[[#This Row],[CZAS]])</f>
        <v>0</v>
      </c>
      <c r="S758" s="44">
        <f>IF(Mecze[[#This Row],[Role]]="BR",SUMPRODUCT(Mecze[[#This Row],[/PR:90]:[/BR:90]],Brudnopis!$E$23:$J$23),0)</f>
        <v>0</v>
      </c>
      <c r="T758" s="44">
        <f>IF(Mecze[[#This Row],[Role]]&lt;&gt;"BR",SUMPRODUCT(Mecze[[#This Row],[/PR:90]:[/BR:90]],Brudnopis!$E$24:$J$24),0)</f>
        <v>0.20833333333333331</v>
      </c>
      <c r="U758" s="44">
        <f>IF(Mecze[[#This Row],[Role]]&lt;&gt;"BR",SUMPRODUCT(Mecze[[#This Row],[/PR:90]:[/BR:90]],Brudnopis!$E$25:$J$25),0)</f>
        <v>0.23958333333333331</v>
      </c>
      <c r="V758" s="44">
        <f>IF(Mecze[[#This Row],[Role]]&lt;&gt;"BR",SUMPRODUCT(Mecze[[#This Row],[/PR:90]:[/BR:90]],Brudnopis!$E$26:$J$26),0)</f>
        <v>0.1875</v>
      </c>
      <c r="W758" s="44">
        <f>IF(Mecze[[#This Row],[Role]]&lt;&gt;"BR",SUMPRODUCT(Mecze[[#This Row],[/PR:90]:[/BR:90]],Brudnopis!$E$27:$J$27),0)</f>
        <v>0.21875</v>
      </c>
      <c r="X758" s="44">
        <f>IF(Mecze[[#This Row],[Role]]&lt;&gt;"BR",SUMPRODUCT(Mecze[[#This Row],[/PR:90]:[/BR:90]],Brudnopis!$E$28:$J$28),0)</f>
        <v>0.10416666666666667</v>
      </c>
      <c r="Y758" s="35">
        <f>IF(Mecze[[#This Row],[Role]]="BR",Mecze[[#This Row],[/OB:90]]+Mecze[[#This Row],[/PC:90]],SUM(Mecze[[#This Row],[/PR:90]:[/BR:90]]))</f>
        <v>0.1875</v>
      </c>
      <c r="Z758" s="35">
        <f>IF(Mecze[[#This Row],[KC]]=0,SUM(Mecze[[#This Row],[/BRI]:[/NPI]]),SUM(Mecze[[#This Row],[/BRI]:[/NPI]])*0.6)</f>
        <v>0.95833333333333326</v>
      </c>
      <c r="AA758" s="10">
        <f>IFERROR(Mecze[[#This Row],[BR]]/Mecze[[#This Row],[ST]],0)</f>
        <v>0</v>
      </c>
      <c r="AB758">
        <f>ROUND(Mecze[[#This Row],[PD]]*Mecze[[#This Row],[%PC]],0)</f>
        <v>10</v>
      </c>
      <c r="AC758">
        <f>ROUND(Mecze[[#This Row],[OD]]*Mecze[[#This Row],[%OU]],0)</f>
        <v>4</v>
      </c>
      <c r="AD758" s="36" t="s">
        <v>41</v>
      </c>
      <c r="AE758" s="36">
        <v>43</v>
      </c>
      <c r="AF758" s="71">
        <v>4.75</v>
      </c>
      <c r="AG758" s="37">
        <v>0</v>
      </c>
      <c r="AH758" s="37">
        <v>0</v>
      </c>
      <c r="AI758" s="37">
        <v>96</v>
      </c>
      <c r="AJ758" s="37">
        <v>7</v>
      </c>
      <c r="AK758" s="37" t="str">
        <f>VLOOKUP(Mecze[[#This Row],[Match ID]],Meczusie[Mecz]:Meczusie[RodzajMeczu],2,FALSE)</f>
        <v>Liga</v>
      </c>
    </row>
    <row r="759" spans="1:37" x14ac:dyDescent="0.25">
      <c r="A759" s="76">
        <v>159</v>
      </c>
      <c r="B759" s="3" t="s">
        <v>338</v>
      </c>
      <c r="C759" s="2" t="s">
        <v>160</v>
      </c>
      <c r="D759" s="1">
        <v>0</v>
      </c>
      <c r="E759" s="1">
        <v>0</v>
      </c>
      <c r="F759" s="1">
        <v>0</v>
      </c>
      <c r="G759" s="1">
        <v>12</v>
      </c>
      <c r="H759" s="4">
        <v>0.75</v>
      </c>
      <c r="I759" s="1">
        <v>6</v>
      </c>
      <c r="J759" s="4">
        <v>0.5</v>
      </c>
      <c r="K759" s="1">
        <v>0</v>
      </c>
      <c r="L759" s="1">
        <v>6</v>
      </c>
      <c r="M759" s="32">
        <f>IF(Mecze[[#This Row],[PR]]=0,0,Mecze[[#This Row],[PR]]/Mecze[[#This Row],[CZAS]])</f>
        <v>6.25E-2</v>
      </c>
      <c r="N759" s="32">
        <f>IF(Mecze[[#This Row],[OU]]=0,0,Mecze[[#This Row],[OU]]/Mecze[[#This Row],[CZAS]])</f>
        <v>3.125E-2</v>
      </c>
      <c r="O759" s="32">
        <f>IF(Mecze[[#This Row],[PC]]=0,0,Mecze[[#This Row],[PC]]/Mecze[[#This Row],[CZAS]])</f>
        <v>9.375E-2</v>
      </c>
      <c r="P759" s="32">
        <f>IF(Mecze[[#This Row],[SC]]=0,0,Mecze[[#This Row],[SC]]/Mecze[[#This Row],[CZAS]])</f>
        <v>0</v>
      </c>
      <c r="Q759" s="32">
        <f>IF(Mecze[[#This Row],[OB]]=0,0,Mecze[[#This Row],[OB]]/Mecze[[#This Row],[CZAS]])</f>
        <v>0</v>
      </c>
      <c r="R759" s="32">
        <f>IF(Mecze[[#This Row],[BR]]=0,0,Mecze[[#This Row],[BR]]/Mecze[[#This Row],[CZAS]])</f>
        <v>0</v>
      </c>
      <c r="S759" s="44">
        <f>IF(Mecze[[#This Row],[Role]]="BR",SUMPRODUCT(Mecze[[#This Row],[/PR:90]:[/BR:90]],Brudnopis!$E$23:$J$23),0)</f>
        <v>0</v>
      </c>
      <c r="T759" s="44">
        <f>IF(Mecze[[#This Row],[Role]]&lt;&gt;"BR",SUMPRODUCT(Mecze[[#This Row],[/PR:90]:[/BR:90]],Brudnopis!$E$24:$J$24),0)</f>
        <v>0.203125</v>
      </c>
      <c r="U759" s="44">
        <f>IF(Mecze[[#This Row],[Role]]&lt;&gt;"BR",SUMPRODUCT(Mecze[[#This Row],[/PR:90]:[/BR:90]],Brudnopis!$E$25:$J$25),0)</f>
        <v>0.234375</v>
      </c>
      <c r="V759" s="44">
        <f>IF(Mecze[[#This Row],[Role]]&lt;&gt;"BR",SUMPRODUCT(Mecze[[#This Row],[/PR:90]:[/BR:90]],Brudnopis!$E$26:$J$26),0)</f>
        <v>0.1875</v>
      </c>
      <c r="W759" s="44">
        <f>IF(Mecze[[#This Row],[Role]]&lt;&gt;"BR",SUMPRODUCT(Mecze[[#This Row],[/PR:90]:[/BR:90]],Brudnopis!$E$27:$J$27),0)</f>
        <v>0.2109375</v>
      </c>
      <c r="X759" s="44">
        <f>IF(Mecze[[#This Row],[Role]]&lt;&gt;"BR",SUMPRODUCT(Mecze[[#This Row],[/PR:90]:[/BR:90]],Brudnopis!$E$28:$J$28),0)</f>
        <v>9.375E-2</v>
      </c>
      <c r="Y759" s="35">
        <f>IF(Mecze[[#This Row],[Role]]="BR",Mecze[[#This Row],[/OB:90]]+Mecze[[#This Row],[/PC:90]],SUM(Mecze[[#This Row],[/PR:90]:[/BR:90]]))</f>
        <v>0.1875</v>
      </c>
      <c r="Z759" s="35">
        <f>IF(Mecze[[#This Row],[KC]]=0,SUM(Mecze[[#This Row],[/BRI]:[/NPI]]),SUM(Mecze[[#This Row],[/BRI]:[/NPI]])*0.6)</f>
        <v>0.9296875</v>
      </c>
      <c r="AA759" s="10">
        <f>IFERROR(Mecze[[#This Row],[BR]]/Mecze[[#This Row],[ST]],0)</f>
        <v>0</v>
      </c>
      <c r="AB759">
        <f>ROUND(Mecze[[#This Row],[PD]]*Mecze[[#This Row],[%PC]],0)</f>
        <v>9</v>
      </c>
      <c r="AC759">
        <f>ROUND(Mecze[[#This Row],[OD]]*Mecze[[#This Row],[%OU]],0)</f>
        <v>3</v>
      </c>
      <c r="AD759" s="36" t="s">
        <v>41</v>
      </c>
      <c r="AE759" s="36">
        <v>43</v>
      </c>
      <c r="AF759" s="71">
        <v>5.17</v>
      </c>
      <c r="AG759" s="37">
        <v>0</v>
      </c>
      <c r="AH759" s="37">
        <v>0</v>
      </c>
      <c r="AI759" s="37">
        <v>96</v>
      </c>
      <c r="AJ759" s="37">
        <v>7</v>
      </c>
      <c r="AK759" s="37" t="str">
        <f>VLOOKUP(Mecze[[#This Row],[Match ID]],Meczusie[Mecz]:Meczusie[RodzajMeczu],2,FALSE)</f>
        <v>Liga</v>
      </c>
    </row>
    <row r="760" spans="1:37" x14ac:dyDescent="0.25">
      <c r="A760" s="76">
        <v>200</v>
      </c>
      <c r="B760" s="3" t="s">
        <v>339</v>
      </c>
      <c r="C760" s="2" t="s">
        <v>160</v>
      </c>
      <c r="D760" s="1">
        <v>0</v>
      </c>
      <c r="E760" s="1">
        <v>2</v>
      </c>
      <c r="F760" s="1">
        <v>1</v>
      </c>
      <c r="G760" s="1">
        <v>14</v>
      </c>
      <c r="H760" s="4">
        <v>0.56999999999999995</v>
      </c>
      <c r="I760" s="1">
        <v>10</v>
      </c>
      <c r="J760" s="4">
        <v>0.5</v>
      </c>
      <c r="K760" s="1">
        <v>0</v>
      </c>
      <c r="L760" s="1">
        <v>6</v>
      </c>
      <c r="M760" s="32">
        <f>IF(Mecze[[#This Row],[PR]]=0,0,Mecze[[#This Row],[PR]]/Mecze[[#This Row],[CZAS]])</f>
        <v>6.25E-2</v>
      </c>
      <c r="N760" s="32">
        <f>IF(Mecze[[#This Row],[OU]]=0,0,Mecze[[#This Row],[OU]]/Mecze[[#This Row],[CZAS]])</f>
        <v>5.2083333333333336E-2</v>
      </c>
      <c r="O760" s="32">
        <f>IF(Mecze[[#This Row],[PC]]=0,0,Mecze[[#This Row],[PC]]/Mecze[[#This Row],[CZAS]])</f>
        <v>8.3333333333333329E-2</v>
      </c>
      <c r="P760" s="32">
        <f>IF(Mecze[[#This Row],[SC]]=0,0,Mecze[[#This Row],[SC]]/Mecze[[#This Row],[CZAS]])</f>
        <v>1.0416666666666666E-2</v>
      </c>
      <c r="Q760" s="32">
        <f>IF(Mecze[[#This Row],[OB]]=0,0,Mecze[[#This Row],[OB]]/Mecze[[#This Row],[CZAS]])</f>
        <v>0</v>
      </c>
      <c r="R760" s="32">
        <f>IF(Mecze[[#This Row],[BR]]=0,0,Mecze[[#This Row],[BR]]/Mecze[[#This Row],[CZAS]])</f>
        <v>0</v>
      </c>
      <c r="S760" s="44">
        <f>IF(Mecze[[#This Row],[Role]]="BR",SUMPRODUCT(Mecze[[#This Row],[/PR:90]:[/BR:90]],Brudnopis!$E$23:$J$23),0)</f>
        <v>0</v>
      </c>
      <c r="T760" s="44">
        <f>IF(Mecze[[#This Row],[Role]]&lt;&gt;"BR",SUMPRODUCT(Mecze[[#This Row],[/PR:90]:[/BR:90]],Brudnopis!$E$24:$J$24),0)</f>
        <v>0.23437499999999997</v>
      </c>
      <c r="U760" s="44">
        <f>IF(Mecze[[#This Row],[Role]]&lt;&gt;"BR",SUMPRODUCT(Mecze[[#This Row],[/PR:90]:[/BR:90]],Brudnopis!$E$25:$J$25),0)</f>
        <v>0.25</v>
      </c>
      <c r="V760" s="44">
        <f>IF(Mecze[[#This Row],[Role]]&lt;&gt;"BR",SUMPRODUCT(Mecze[[#This Row],[/PR:90]:[/BR:90]],Brudnopis!$E$26:$J$26),0)</f>
        <v>0.20833333333333334</v>
      </c>
      <c r="W760" s="44">
        <f>IF(Mecze[[#This Row],[Role]]&lt;&gt;"BR",SUMPRODUCT(Mecze[[#This Row],[/PR:90]:[/BR:90]],Brudnopis!$E$27:$J$27),0)</f>
        <v>0.22135416666666666</v>
      </c>
      <c r="X760" s="44">
        <f>IF(Mecze[[#This Row],[Role]]&lt;&gt;"BR",SUMPRODUCT(Mecze[[#This Row],[/PR:90]:[/BR:90]],Brudnopis!$E$28:$J$28),0)</f>
        <v>0.10416666666666666</v>
      </c>
      <c r="Y760" s="35">
        <f>IF(Mecze[[#This Row],[Role]]="BR",Mecze[[#This Row],[/OB:90]]+Mecze[[#This Row],[/PC:90]],SUM(Mecze[[#This Row],[/PR:90]:[/BR:90]]))</f>
        <v>0.20833333333333334</v>
      </c>
      <c r="Z760" s="35">
        <f>IF(Mecze[[#This Row],[KC]]=0,SUM(Mecze[[#This Row],[/BRI]:[/NPI]]),SUM(Mecze[[#This Row],[/BRI]:[/NPI]])*0.6)</f>
        <v>1.0182291666666667</v>
      </c>
      <c r="AA760" s="10">
        <f>IFERROR(Mecze[[#This Row],[BR]]/Mecze[[#This Row],[ST]],0)</f>
        <v>0</v>
      </c>
      <c r="AB760">
        <f>ROUND(Mecze[[#This Row],[PD]]*Mecze[[#This Row],[%PC]],0)</f>
        <v>8</v>
      </c>
      <c r="AC760">
        <f>ROUND(Mecze[[#This Row],[OD]]*Mecze[[#This Row],[%OU]],0)</f>
        <v>5</v>
      </c>
      <c r="AD760" s="36" t="s">
        <v>67</v>
      </c>
      <c r="AE760" s="36">
        <v>43</v>
      </c>
      <c r="AF760" s="71">
        <v>5.4</v>
      </c>
      <c r="AG760" s="37">
        <v>0</v>
      </c>
      <c r="AH760" s="37">
        <v>0</v>
      </c>
      <c r="AI760" s="37">
        <v>96</v>
      </c>
      <c r="AJ760" s="37">
        <v>7</v>
      </c>
      <c r="AK760" s="37" t="str">
        <f>VLOOKUP(Mecze[[#This Row],[Match ID]],Meczusie[Mecz]:Meczusie[RodzajMeczu],2,FALSE)</f>
        <v>Liga</v>
      </c>
    </row>
    <row r="761" spans="1:37" x14ac:dyDescent="0.25">
      <c r="A761" s="76">
        <v>151</v>
      </c>
      <c r="B761" s="3" t="s">
        <v>337</v>
      </c>
      <c r="C761" s="2" t="s">
        <v>160</v>
      </c>
      <c r="D761" s="1">
        <v>0</v>
      </c>
      <c r="E761" s="1">
        <v>0</v>
      </c>
      <c r="F761" s="1">
        <v>0</v>
      </c>
      <c r="G761" s="1">
        <v>8</v>
      </c>
      <c r="H761" s="4">
        <v>0.63</v>
      </c>
      <c r="I761" s="1">
        <v>0</v>
      </c>
      <c r="J761" s="4"/>
      <c r="K761" s="1">
        <v>0</v>
      </c>
      <c r="L761" s="1">
        <v>0</v>
      </c>
      <c r="M761" s="32">
        <f>IF(Mecze[[#This Row],[PR]]=0,0,Mecze[[#This Row],[PR]]/Mecze[[#This Row],[CZAS]])</f>
        <v>0</v>
      </c>
      <c r="N761" s="32">
        <f>IF(Mecze[[#This Row],[OU]]=0,0,Mecze[[#This Row],[OU]]/Mecze[[#This Row],[CZAS]])</f>
        <v>0</v>
      </c>
      <c r="O761" s="32">
        <f>IF(Mecze[[#This Row],[PC]]=0,0,Mecze[[#This Row],[PC]]/Mecze[[#This Row],[CZAS]])</f>
        <v>5.2083333333333336E-2</v>
      </c>
      <c r="P761" s="32">
        <f>IF(Mecze[[#This Row],[SC]]=0,0,Mecze[[#This Row],[SC]]/Mecze[[#This Row],[CZAS]])</f>
        <v>0</v>
      </c>
      <c r="Q761" s="32">
        <f>IF(Mecze[[#This Row],[OB]]=0,0,Mecze[[#This Row],[OB]]/Mecze[[#This Row],[CZAS]])</f>
        <v>0</v>
      </c>
      <c r="R761" s="32">
        <f>IF(Mecze[[#This Row],[BR]]=0,0,Mecze[[#This Row],[BR]]/Mecze[[#This Row],[CZAS]])</f>
        <v>0</v>
      </c>
      <c r="S761" s="44">
        <f>IF(Mecze[[#This Row],[Role]]="BR",SUMPRODUCT(Mecze[[#This Row],[/PR:90]:[/BR:90]],Brudnopis!$E$23:$J$23),0)</f>
        <v>0</v>
      </c>
      <c r="T761" s="44">
        <f>IF(Mecze[[#This Row],[Role]]&lt;&gt;"BR",SUMPRODUCT(Mecze[[#This Row],[/PR:90]:[/BR:90]],Brudnopis!$E$24:$J$24),0)</f>
        <v>5.2083333333333336E-2</v>
      </c>
      <c r="U761" s="44">
        <f>IF(Mecze[[#This Row],[Role]]&lt;&gt;"BR",SUMPRODUCT(Mecze[[#This Row],[/PR:90]:[/BR:90]],Brudnopis!$E$25:$J$25),0)</f>
        <v>7.8125E-2</v>
      </c>
      <c r="V761" s="44">
        <f>IF(Mecze[[#This Row],[Role]]&lt;&gt;"BR",SUMPRODUCT(Mecze[[#This Row],[/PR:90]:[/BR:90]],Brudnopis!$E$26:$J$26),0)</f>
        <v>5.2083333333333336E-2</v>
      </c>
      <c r="W761" s="44">
        <f>IF(Mecze[[#This Row],[Role]]&lt;&gt;"BR",SUMPRODUCT(Mecze[[#This Row],[/PR:90]:[/BR:90]],Brudnopis!$E$27:$J$27),0)</f>
        <v>7.8125E-2</v>
      </c>
      <c r="X761" s="44">
        <f>IF(Mecze[[#This Row],[Role]]&lt;&gt;"BR",SUMPRODUCT(Mecze[[#This Row],[/PR:90]:[/BR:90]],Brudnopis!$E$28:$J$28),0)</f>
        <v>5.2083333333333336E-2</v>
      </c>
      <c r="Y761" s="35">
        <f>IF(Mecze[[#This Row],[Role]]="BR",Mecze[[#This Row],[/OB:90]]+Mecze[[#This Row],[/PC:90]],SUM(Mecze[[#This Row],[/PR:90]:[/BR:90]]))</f>
        <v>5.2083333333333336E-2</v>
      </c>
      <c r="Z761" s="35">
        <f>IF(Mecze[[#This Row],[KC]]=0,SUM(Mecze[[#This Row],[/BRI]:[/NPI]]),SUM(Mecze[[#This Row],[/BRI]:[/NPI]])*0.6)</f>
        <v>0.3125</v>
      </c>
      <c r="AA761" s="10">
        <f>IFERROR(Mecze[[#This Row],[BR]]/Mecze[[#This Row],[ST]],0)</f>
        <v>0</v>
      </c>
      <c r="AB761">
        <f>ROUND(Mecze[[#This Row],[PD]]*Mecze[[#This Row],[%PC]],0)</f>
        <v>5</v>
      </c>
      <c r="AC761">
        <f>ROUND(Mecze[[#This Row],[OD]]*Mecze[[#This Row],[%OU]],0)</f>
        <v>0</v>
      </c>
      <c r="AD761" s="36" t="s">
        <v>299</v>
      </c>
      <c r="AE761" s="36">
        <v>43</v>
      </c>
      <c r="AF761" s="71">
        <v>3.91</v>
      </c>
      <c r="AG761" s="37">
        <v>0</v>
      </c>
      <c r="AH761" s="37">
        <v>0</v>
      </c>
      <c r="AI761" s="37">
        <v>96</v>
      </c>
      <c r="AJ761" s="37">
        <v>7</v>
      </c>
      <c r="AK761" s="37" t="str">
        <f>VLOOKUP(Mecze[[#This Row],[Match ID]],Meczusie[Mecz]:Meczusie[RodzajMeczu],2,FALSE)</f>
        <v>Liga</v>
      </c>
    </row>
    <row r="762" spans="1:37" x14ac:dyDescent="0.25">
      <c r="A762" s="76">
        <v>202</v>
      </c>
      <c r="B762" s="3" t="s">
        <v>340</v>
      </c>
      <c r="C762" s="2" t="s">
        <v>160</v>
      </c>
      <c r="D762" s="1">
        <v>0</v>
      </c>
      <c r="E762" s="1">
        <v>3</v>
      </c>
      <c r="F762" s="1">
        <v>3</v>
      </c>
      <c r="G762" s="1">
        <v>6</v>
      </c>
      <c r="H762" s="4">
        <v>0.83</v>
      </c>
      <c r="I762" s="1">
        <v>8</v>
      </c>
      <c r="J762" s="4">
        <v>0.5</v>
      </c>
      <c r="K762" s="1">
        <v>0</v>
      </c>
      <c r="L762" s="1">
        <v>0</v>
      </c>
      <c r="M762" s="32">
        <f>IF(Mecze[[#This Row],[PR]]=0,0,Mecze[[#This Row],[PR]]/Mecze[[#This Row],[CZAS]])</f>
        <v>0</v>
      </c>
      <c r="N762" s="32">
        <f>IF(Mecze[[#This Row],[OU]]=0,0,Mecze[[#This Row],[OU]]/Mecze[[#This Row],[CZAS]])</f>
        <v>4.1666666666666664E-2</v>
      </c>
      <c r="O762" s="32">
        <f>IF(Mecze[[#This Row],[PC]]=0,0,Mecze[[#This Row],[PC]]/Mecze[[#This Row],[CZAS]])</f>
        <v>5.2083333333333336E-2</v>
      </c>
      <c r="P762" s="32">
        <f>IF(Mecze[[#This Row],[SC]]=0,0,Mecze[[#This Row],[SC]]/Mecze[[#This Row],[CZAS]])</f>
        <v>3.125E-2</v>
      </c>
      <c r="Q762" s="32">
        <f>IF(Mecze[[#This Row],[OB]]=0,0,Mecze[[#This Row],[OB]]/Mecze[[#This Row],[CZAS]])</f>
        <v>0</v>
      </c>
      <c r="R762" s="32">
        <f>IF(Mecze[[#This Row],[BR]]=0,0,Mecze[[#This Row],[BR]]/Mecze[[#This Row],[CZAS]])</f>
        <v>0</v>
      </c>
      <c r="S762" s="44">
        <f>IF(Mecze[[#This Row],[Role]]="BR",SUMPRODUCT(Mecze[[#This Row],[/PR:90]:[/BR:90]],Brudnopis!$E$23:$J$23),0)</f>
        <v>0</v>
      </c>
      <c r="T762" s="44">
        <f>IF(Mecze[[#This Row],[Role]]&lt;&gt;"BR",SUMPRODUCT(Mecze[[#This Row],[/PR:90]:[/BR:90]],Brudnopis!$E$24:$J$24),0)</f>
        <v>0.14583333333333334</v>
      </c>
      <c r="U762" s="44">
        <f>IF(Mecze[[#This Row],[Role]]&lt;&gt;"BR",SUMPRODUCT(Mecze[[#This Row],[/PR:90]:[/BR:90]],Brudnopis!$E$25:$J$25),0)</f>
        <v>0.15104166666666666</v>
      </c>
      <c r="V762" s="44">
        <f>IF(Mecze[[#This Row],[Role]]&lt;&gt;"BR",SUMPRODUCT(Mecze[[#This Row],[/PR:90]:[/BR:90]],Brudnopis!$E$26:$J$26),0)</f>
        <v>0.125</v>
      </c>
      <c r="W762" s="44">
        <f>IF(Mecze[[#This Row],[Role]]&lt;&gt;"BR",SUMPRODUCT(Mecze[[#This Row],[/PR:90]:[/BR:90]],Brudnopis!$E$27:$J$27),0)</f>
        <v>0.140625</v>
      </c>
      <c r="X762" s="44">
        <f>IF(Mecze[[#This Row],[Role]]&lt;&gt;"BR",SUMPRODUCT(Mecze[[#This Row],[/PR:90]:[/BR:90]],Brudnopis!$E$28:$J$28),0)</f>
        <v>0.11458333333333334</v>
      </c>
      <c r="Y762" s="35">
        <f>IF(Mecze[[#This Row],[Role]]="BR",Mecze[[#This Row],[/OB:90]]+Mecze[[#This Row],[/PC:90]],SUM(Mecze[[#This Row],[/PR:90]:[/BR:90]]))</f>
        <v>0.125</v>
      </c>
      <c r="Z762" s="35">
        <f>IF(Mecze[[#This Row],[KC]]=0,SUM(Mecze[[#This Row],[/BRI]:[/NPI]]),SUM(Mecze[[#This Row],[/BRI]:[/NPI]])*0.6)</f>
        <v>0.67708333333333337</v>
      </c>
      <c r="AA762" s="10">
        <f>IFERROR(Mecze[[#This Row],[BR]]/Mecze[[#This Row],[ST]],0)</f>
        <v>0</v>
      </c>
      <c r="AB762">
        <f>ROUND(Mecze[[#This Row],[PD]]*Mecze[[#This Row],[%PC]],0)</f>
        <v>5</v>
      </c>
      <c r="AC762">
        <f>ROUND(Mecze[[#This Row],[OD]]*Mecze[[#This Row],[%OU]],0)</f>
        <v>4</v>
      </c>
      <c r="AD762" s="36" t="s">
        <v>44</v>
      </c>
      <c r="AE762" s="36">
        <v>43</v>
      </c>
      <c r="AF762" s="71">
        <v>5.51</v>
      </c>
      <c r="AG762" s="37">
        <v>0</v>
      </c>
      <c r="AH762" s="37">
        <v>0</v>
      </c>
      <c r="AI762" s="37">
        <v>96</v>
      </c>
      <c r="AJ762" s="37">
        <v>7</v>
      </c>
      <c r="AK762" s="37" t="str">
        <f>VLOOKUP(Mecze[[#This Row],[Match ID]],Meczusie[Mecz]:Meczusie[RodzajMeczu],2,FALSE)</f>
        <v>Liga</v>
      </c>
    </row>
    <row r="763" spans="1:37" x14ac:dyDescent="0.25">
      <c r="A763" s="76">
        <v>203</v>
      </c>
      <c r="B763" s="3" t="s">
        <v>342</v>
      </c>
      <c r="C763" s="2" t="s">
        <v>165</v>
      </c>
      <c r="D763" s="1">
        <v>0</v>
      </c>
      <c r="E763" s="1">
        <v>11</v>
      </c>
      <c r="F763" s="1">
        <v>10</v>
      </c>
      <c r="G763" s="1">
        <v>8</v>
      </c>
      <c r="H763" s="4">
        <v>0.63</v>
      </c>
      <c r="I763" s="1">
        <v>1</v>
      </c>
      <c r="J763" s="4">
        <v>0</v>
      </c>
      <c r="K763" s="1">
        <v>0</v>
      </c>
      <c r="L763" s="1">
        <v>2</v>
      </c>
      <c r="M763" s="32">
        <f>IF(Mecze[[#This Row],[PR]]=0,0,Mecze[[#This Row],[PR]]/Mecze[[#This Row],[CZAS]])</f>
        <v>2.0833333333333332E-2</v>
      </c>
      <c r="N763" s="32">
        <f>IF(Mecze[[#This Row],[OU]]=0,0,Mecze[[#This Row],[OU]]/Mecze[[#This Row],[CZAS]])</f>
        <v>0</v>
      </c>
      <c r="O763" s="32">
        <f>IF(Mecze[[#This Row],[PC]]=0,0,Mecze[[#This Row],[PC]]/Mecze[[#This Row],[CZAS]])</f>
        <v>5.2083333333333336E-2</v>
      </c>
      <c r="P763" s="32">
        <f>IF(Mecze[[#This Row],[SC]]=0,0,Mecze[[#This Row],[SC]]/Mecze[[#This Row],[CZAS]])</f>
        <v>0.10416666666666667</v>
      </c>
      <c r="Q763" s="32">
        <f>IF(Mecze[[#This Row],[OB]]=0,0,Mecze[[#This Row],[OB]]/Mecze[[#This Row],[CZAS]])</f>
        <v>0</v>
      </c>
      <c r="R763" s="32">
        <f>IF(Mecze[[#This Row],[BR]]=0,0,Mecze[[#This Row],[BR]]/Mecze[[#This Row],[CZAS]])</f>
        <v>0</v>
      </c>
      <c r="S763" s="44">
        <f>IF(Mecze[[#This Row],[Role]]="BR",SUMPRODUCT(Mecze[[#This Row],[/PR:90]:[/BR:90]],Brudnopis!$E$23:$J$23),0)</f>
        <v>0</v>
      </c>
      <c r="T763" s="44">
        <f>IF(Mecze[[#This Row],[Role]]&lt;&gt;"BR",SUMPRODUCT(Mecze[[#This Row],[/PR:90]:[/BR:90]],Brudnopis!$E$24:$J$24),0)</f>
        <v>0.17708333333333334</v>
      </c>
      <c r="U763" s="44">
        <f>IF(Mecze[[#This Row],[Role]]&lt;&gt;"BR",SUMPRODUCT(Mecze[[#This Row],[/PR:90]:[/BR:90]],Brudnopis!$E$25:$J$25),0)</f>
        <v>0.203125</v>
      </c>
      <c r="V763" s="44">
        <f>IF(Mecze[[#This Row],[Role]]&lt;&gt;"BR",SUMPRODUCT(Mecze[[#This Row],[/PR:90]:[/BR:90]],Brudnopis!$E$26:$J$26),0)</f>
        <v>0.17708333333333334</v>
      </c>
      <c r="W763" s="44">
        <f>IF(Mecze[[#This Row],[Role]]&lt;&gt;"BR",SUMPRODUCT(Mecze[[#This Row],[/PR:90]:[/BR:90]],Brudnopis!$E$27:$J$27),0)</f>
        <v>0.19791666666666669</v>
      </c>
      <c r="X763" s="44">
        <f>IF(Mecze[[#This Row],[Role]]&lt;&gt;"BR",SUMPRODUCT(Mecze[[#This Row],[/PR:90]:[/BR:90]],Brudnopis!$E$28:$J$28),0)</f>
        <v>0.26041666666666669</v>
      </c>
      <c r="Y763" s="35">
        <f>IF(Mecze[[#This Row],[Role]]="BR",Mecze[[#This Row],[/OB:90]]+Mecze[[#This Row],[/PC:90]],SUM(Mecze[[#This Row],[/PR:90]:[/BR:90]]))</f>
        <v>0.17708333333333334</v>
      </c>
      <c r="Z763" s="35">
        <f>IF(Mecze[[#This Row],[KC]]=0,SUM(Mecze[[#This Row],[/BRI]:[/NPI]]),SUM(Mecze[[#This Row],[/BRI]:[/NPI]])*0.6)</f>
        <v>1.0156250000000002</v>
      </c>
      <c r="AA763" s="10">
        <f>IFERROR(Mecze[[#This Row],[BR]]/Mecze[[#This Row],[ST]],0)</f>
        <v>0</v>
      </c>
      <c r="AB763">
        <f>ROUND(Mecze[[#This Row],[PD]]*Mecze[[#This Row],[%PC]],0)</f>
        <v>5</v>
      </c>
      <c r="AC763">
        <f>ROUND(Mecze[[#This Row],[OD]]*Mecze[[#This Row],[%OU]],0)</f>
        <v>0</v>
      </c>
      <c r="AD763" s="36" t="s">
        <v>46</v>
      </c>
      <c r="AE763" s="36">
        <v>43</v>
      </c>
      <c r="AF763" s="71">
        <v>6.24</v>
      </c>
      <c r="AG763" s="37">
        <v>0</v>
      </c>
      <c r="AH763" s="37">
        <v>0</v>
      </c>
      <c r="AI763" s="37">
        <v>96</v>
      </c>
      <c r="AJ763" s="37">
        <v>7</v>
      </c>
      <c r="AK763" s="37" t="str">
        <f>VLOOKUP(Mecze[[#This Row],[Match ID]],Meczusie[Mecz]:Meczusie[RodzajMeczu],2,FALSE)</f>
        <v>Liga</v>
      </c>
    </row>
    <row r="764" spans="1:37" x14ac:dyDescent="0.25">
      <c r="A764" s="76">
        <v>104</v>
      </c>
      <c r="B764" s="3" t="s">
        <v>343</v>
      </c>
      <c r="C764" s="2" t="s">
        <v>165</v>
      </c>
      <c r="D764" s="1">
        <v>0</v>
      </c>
      <c r="E764" s="1">
        <v>0</v>
      </c>
      <c r="F764" s="1">
        <v>0</v>
      </c>
      <c r="G764" s="1">
        <v>24</v>
      </c>
      <c r="H764" s="4">
        <v>0.83</v>
      </c>
      <c r="I764" s="1">
        <v>5</v>
      </c>
      <c r="J764" s="4">
        <v>0.4</v>
      </c>
      <c r="K764" s="1">
        <v>0</v>
      </c>
      <c r="L764" s="1">
        <v>0</v>
      </c>
      <c r="M764" s="32">
        <f>IF(Mecze[[#This Row],[PR]]=0,0,Mecze[[#This Row],[PR]]/Mecze[[#This Row],[CZAS]])</f>
        <v>0</v>
      </c>
      <c r="N764" s="32">
        <f>IF(Mecze[[#This Row],[OU]]=0,0,Mecze[[#This Row],[OU]]/Mecze[[#This Row],[CZAS]])</f>
        <v>2.0833333333333332E-2</v>
      </c>
      <c r="O764" s="32">
        <f>IF(Mecze[[#This Row],[PC]]=0,0,Mecze[[#This Row],[PC]]/Mecze[[#This Row],[CZAS]])</f>
        <v>0.20833333333333334</v>
      </c>
      <c r="P764" s="32">
        <f>IF(Mecze[[#This Row],[SC]]=0,0,Mecze[[#This Row],[SC]]/Mecze[[#This Row],[CZAS]])</f>
        <v>0</v>
      </c>
      <c r="Q764" s="32">
        <f>IF(Mecze[[#This Row],[OB]]=0,0,Mecze[[#This Row],[OB]]/Mecze[[#This Row],[CZAS]])</f>
        <v>0</v>
      </c>
      <c r="R764" s="32">
        <f>IF(Mecze[[#This Row],[BR]]=0,0,Mecze[[#This Row],[BR]]/Mecze[[#This Row],[CZAS]])</f>
        <v>0</v>
      </c>
      <c r="S764" s="44">
        <f>IF(Mecze[[#This Row],[Role]]="BR",SUMPRODUCT(Mecze[[#This Row],[/PR:90]:[/BR:90]],Brudnopis!$E$23:$J$23),0)</f>
        <v>0</v>
      </c>
      <c r="T764" s="44">
        <f>IF(Mecze[[#This Row],[Role]]&lt;&gt;"BR",SUMPRODUCT(Mecze[[#This Row],[/PR:90]:[/BR:90]],Brudnopis!$E$24:$J$24),0)</f>
        <v>0.23958333333333334</v>
      </c>
      <c r="U764" s="44">
        <f>IF(Mecze[[#This Row],[Role]]&lt;&gt;"BR",SUMPRODUCT(Mecze[[#This Row],[/PR:90]:[/BR:90]],Brudnopis!$E$25:$J$25),0)</f>
        <v>0.33333333333333331</v>
      </c>
      <c r="V764" s="44">
        <f>IF(Mecze[[#This Row],[Role]]&lt;&gt;"BR",SUMPRODUCT(Mecze[[#This Row],[/PR:90]:[/BR:90]],Brudnopis!$E$26:$J$26),0)</f>
        <v>0.22916666666666669</v>
      </c>
      <c r="W764" s="44">
        <f>IF(Mecze[[#This Row],[Role]]&lt;&gt;"BR",SUMPRODUCT(Mecze[[#This Row],[/PR:90]:[/BR:90]],Brudnopis!$E$27:$J$27),0)</f>
        <v>0.328125</v>
      </c>
      <c r="X764" s="44">
        <f>IF(Mecze[[#This Row],[Role]]&lt;&gt;"BR",SUMPRODUCT(Mecze[[#This Row],[/PR:90]:[/BR:90]],Brudnopis!$E$28:$J$28),0)</f>
        <v>0.20833333333333334</v>
      </c>
      <c r="Y764" s="35">
        <f>IF(Mecze[[#This Row],[Role]]="BR",Mecze[[#This Row],[/OB:90]]+Mecze[[#This Row],[/PC:90]],SUM(Mecze[[#This Row],[/PR:90]:[/BR:90]]))</f>
        <v>0.22916666666666669</v>
      </c>
      <c r="Z764" s="35">
        <f>IF(Mecze[[#This Row],[KC]]=0,SUM(Mecze[[#This Row],[/BRI]:[/NPI]]),SUM(Mecze[[#This Row],[/BRI]:[/NPI]])*0.6)</f>
        <v>1.3385416666666665</v>
      </c>
      <c r="AA764" s="10">
        <f>IFERROR(Mecze[[#This Row],[BR]]/Mecze[[#This Row],[ST]],0)</f>
        <v>0</v>
      </c>
      <c r="AB764">
        <f>ROUND(Mecze[[#This Row],[PD]]*Mecze[[#This Row],[%PC]],0)</f>
        <v>20</v>
      </c>
      <c r="AC764">
        <f>ROUND(Mecze[[#This Row],[OD]]*Mecze[[#This Row],[%OU]],0)</f>
        <v>2</v>
      </c>
      <c r="AD764" s="36" t="s">
        <v>355</v>
      </c>
      <c r="AE764" s="36">
        <v>43</v>
      </c>
      <c r="AF764" s="71">
        <v>4.96</v>
      </c>
      <c r="AG764" s="37">
        <v>0</v>
      </c>
      <c r="AH764" s="37">
        <v>0</v>
      </c>
      <c r="AI764" s="37">
        <v>96</v>
      </c>
      <c r="AJ764" s="37">
        <v>7</v>
      </c>
      <c r="AK764" s="37" t="str">
        <f>VLOOKUP(Mecze[[#This Row],[Match ID]],Meczusie[Mecz]:Meczusie[RodzajMeczu],2,FALSE)</f>
        <v>Liga</v>
      </c>
    </row>
    <row r="765" spans="1:37" x14ac:dyDescent="0.25">
      <c r="A765" s="76">
        <v>1</v>
      </c>
      <c r="B765" s="3" t="s">
        <v>169</v>
      </c>
      <c r="C765" s="2" t="s">
        <v>155</v>
      </c>
      <c r="D765" s="1">
        <v>0</v>
      </c>
      <c r="E765" s="1">
        <v>0</v>
      </c>
      <c r="F765" s="1">
        <v>0</v>
      </c>
      <c r="G765" s="1">
        <v>13</v>
      </c>
      <c r="H765" s="4">
        <v>0.62</v>
      </c>
      <c r="I765" s="1">
        <v>0</v>
      </c>
      <c r="J765" s="4"/>
      <c r="K765" s="1">
        <v>13</v>
      </c>
      <c r="L765" s="1">
        <v>0</v>
      </c>
      <c r="M765" s="32">
        <f>IF(Mecze[[#This Row],[PR]]=0,0,Mecze[[#This Row],[PR]]/Mecze[[#This Row],[CZAS]])</f>
        <v>0</v>
      </c>
      <c r="N765" s="32">
        <f>IF(Mecze[[#This Row],[OU]]=0,0,Mecze[[#This Row],[OU]]/Mecze[[#This Row],[CZAS]])</f>
        <v>0</v>
      </c>
      <c r="O765" s="32">
        <f>IF(Mecze[[#This Row],[PC]]=0,0,Mecze[[#This Row],[PC]]/Mecze[[#This Row],[CZAS]])</f>
        <v>8.3333333333333329E-2</v>
      </c>
      <c r="P765" s="32">
        <f>IF(Mecze[[#This Row],[SC]]=0,0,Mecze[[#This Row],[SC]]/Mecze[[#This Row],[CZAS]])</f>
        <v>0</v>
      </c>
      <c r="Q765" s="32">
        <f>IF(Mecze[[#This Row],[OB]]=0,0,Mecze[[#This Row],[OB]]/Mecze[[#This Row],[CZAS]])</f>
        <v>0.13541666666666666</v>
      </c>
      <c r="R765" s="32">
        <f>IF(Mecze[[#This Row],[BR]]=0,0,Mecze[[#This Row],[BR]]/Mecze[[#This Row],[CZAS]])</f>
        <v>0</v>
      </c>
      <c r="S765" s="44">
        <f>IF(Mecze[[#This Row],[Role]]="BR",SUMPRODUCT(Mecze[[#This Row],[/PR:90]:[/BR:90]],Brudnopis!$E$23:$J$23),0)</f>
        <v>0.65625</v>
      </c>
      <c r="T765" s="44">
        <f>IF(Mecze[[#This Row],[Role]]&lt;&gt;"BR",SUMPRODUCT(Mecze[[#This Row],[/PR:90]:[/BR:90]],Brudnopis!$E$24:$J$24),0)</f>
        <v>0</v>
      </c>
      <c r="U765" s="44">
        <f>IF(Mecze[[#This Row],[Role]]&lt;&gt;"BR",SUMPRODUCT(Mecze[[#This Row],[/PR:90]:[/BR:90]],Brudnopis!$E$25:$J$25),0)</f>
        <v>0</v>
      </c>
      <c r="V765" s="44">
        <f>IF(Mecze[[#This Row],[Role]]&lt;&gt;"BR",SUMPRODUCT(Mecze[[#This Row],[/PR:90]:[/BR:90]],Brudnopis!$E$26:$J$26),0)</f>
        <v>0</v>
      </c>
      <c r="W765" s="44">
        <f>IF(Mecze[[#This Row],[Role]]&lt;&gt;"BR",SUMPRODUCT(Mecze[[#This Row],[/PR:90]:[/BR:90]],Brudnopis!$E$27:$J$27),0)</f>
        <v>0</v>
      </c>
      <c r="X765" s="44">
        <f>IF(Mecze[[#This Row],[Role]]&lt;&gt;"BR",SUMPRODUCT(Mecze[[#This Row],[/PR:90]:[/BR:90]],Brudnopis!$E$28:$J$28),0)</f>
        <v>0</v>
      </c>
      <c r="Y765" s="35">
        <f>IF(Mecze[[#This Row],[Role]]="BR",Mecze[[#This Row],[/OB:90]]+Mecze[[#This Row],[/PC:90]],SUM(Mecze[[#This Row],[/PR:90]:[/BR:90]]))</f>
        <v>0.21875</v>
      </c>
      <c r="Z765" s="35">
        <f>IF(Mecze[[#This Row],[KC]]=0,SUM(Mecze[[#This Row],[/BRI]:[/NPI]]),SUM(Mecze[[#This Row],[/BRI]:[/NPI]])*0.6)</f>
        <v>0.65625</v>
      </c>
      <c r="AA765" s="10">
        <f>IFERROR(Mecze[[#This Row],[BR]]/Mecze[[#This Row],[ST]],0)</f>
        <v>0</v>
      </c>
      <c r="AB765">
        <f>ROUND(Mecze[[#This Row],[PD]]*Mecze[[#This Row],[%PC]],0)</f>
        <v>8</v>
      </c>
      <c r="AC765">
        <f>ROUND(Mecze[[#This Row],[OD]]*Mecze[[#This Row],[%OU]],0)</f>
        <v>0</v>
      </c>
      <c r="AD765" s="36" t="s">
        <v>40</v>
      </c>
      <c r="AE765" s="36">
        <v>43</v>
      </c>
      <c r="AF765" s="71">
        <v>12.81</v>
      </c>
      <c r="AG765" s="37">
        <v>0</v>
      </c>
      <c r="AH765" s="37">
        <v>0</v>
      </c>
      <c r="AI765" s="37">
        <v>96</v>
      </c>
      <c r="AJ765" s="37">
        <v>1</v>
      </c>
      <c r="AK765" s="37" t="str">
        <f>VLOOKUP(Mecze[[#This Row],[Match ID]],Meczusie[Mecz]:Meczusie[RodzajMeczu],2,FALSE)</f>
        <v>Liga</v>
      </c>
    </row>
    <row r="766" spans="1:37" x14ac:dyDescent="0.25">
      <c r="A766" s="76">
        <v>2</v>
      </c>
      <c r="B766" s="3" t="s">
        <v>156</v>
      </c>
      <c r="C766" s="2" t="s">
        <v>157</v>
      </c>
      <c r="D766" s="1">
        <v>0</v>
      </c>
      <c r="E766" s="1">
        <v>0</v>
      </c>
      <c r="F766" s="1">
        <v>0</v>
      </c>
      <c r="G766" s="1">
        <v>6</v>
      </c>
      <c r="H766" s="4">
        <v>0.5</v>
      </c>
      <c r="I766" s="1">
        <v>5</v>
      </c>
      <c r="J766" s="4">
        <v>0.8</v>
      </c>
      <c r="K766" s="1">
        <v>0</v>
      </c>
      <c r="L766" s="1">
        <v>3</v>
      </c>
      <c r="M766" s="32">
        <f>IF(Mecze[[#This Row],[PR]]=0,0,Mecze[[#This Row],[PR]]/Mecze[[#This Row],[CZAS]])</f>
        <v>3.125E-2</v>
      </c>
      <c r="N766" s="32">
        <f>IF(Mecze[[#This Row],[OU]]=0,0,Mecze[[#This Row],[OU]]/Mecze[[#This Row],[CZAS]])</f>
        <v>4.1666666666666664E-2</v>
      </c>
      <c r="O766" s="32">
        <f>IF(Mecze[[#This Row],[PC]]=0,0,Mecze[[#This Row],[PC]]/Mecze[[#This Row],[CZAS]])</f>
        <v>3.125E-2</v>
      </c>
      <c r="P766" s="32">
        <f>IF(Mecze[[#This Row],[SC]]=0,0,Mecze[[#This Row],[SC]]/Mecze[[#This Row],[CZAS]])</f>
        <v>0</v>
      </c>
      <c r="Q766" s="32">
        <f>IF(Mecze[[#This Row],[OB]]=0,0,Mecze[[#This Row],[OB]]/Mecze[[#This Row],[CZAS]])</f>
        <v>0</v>
      </c>
      <c r="R766" s="32">
        <f>IF(Mecze[[#This Row],[BR]]=0,0,Mecze[[#This Row],[BR]]/Mecze[[#This Row],[CZAS]])</f>
        <v>0</v>
      </c>
      <c r="S766" s="44">
        <f>IF(Mecze[[#This Row],[Role]]="BR",SUMPRODUCT(Mecze[[#This Row],[/PR:90]:[/BR:90]],Brudnopis!$E$23:$J$23),0)</f>
        <v>0</v>
      </c>
      <c r="T766" s="44">
        <f>IF(Mecze[[#This Row],[Role]]&lt;&gt;"BR",SUMPRODUCT(Mecze[[#This Row],[/PR:90]:[/BR:90]],Brudnopis!$E$24:$J$24),0)</f>
        <v>0.125</v>
      </c>
      <c r="U766" s="44">
        <f>IF(Mecze[[#This Row],[Role]]&lt;&gt;"BR",SUMPRODUCT(Mecze[[#This Row],[/PR:90]:[/BR:90]],Brudnopis!$E$25:$J$25),0)</f>
        <v>0.11979166666666666</v>
      </c>
      <c r="V766" s="44">
        <f>IF(Mecze[[#This Row],[Role]]&lt;&gt;"BR",SUMPRODUCT(Mecze[[#This Row],[/PR:90]:[/BR:90]],Brudnopis!$E$26:$J$26),0)</f>
        <v>0.10416666666666666</v>
      </c>
      <c r="W766" s="44">
        <f>IF(Mecze[[#This Row],[Role]]&lt;&gt;"BR",SUMPRODUCT(Mecze[[#This Row],[/PR:90]:[/BR:90]],Brudnopis!$E$27:$J$27),0)</f>
        <v>0.1015625</v>
      </c>
      <c r="X766" s="44">
        <f>IF(Mecze[[#This Row],[Role]]&lt;&gt;"BR",SUMPRODUCT(Mecze[[#This Row],[/PR:90]:[/BR:90]],Brudnopis!$E$28:$J$28),0)</f>
        <v>3.125E-2</v>
      </c>
      <c r="Y766" s="35">
        <f>IF(Mecze[[#This Row],[Role]]="BR",Mecze[[#This Row],[/OB:90]]+Mecze[[#This Row],[/PC:90]],SUM(Mecze[[#This Row],[/PR:90]:[/BR:90]]))</f>
        <v>0.10416666666666666</v>
      </c>
      <c r="Z766" s="35">
        <f>IF(Mecze[[#This Row],[KC]]=0,SUM(Mecze[[#This Row],[/BRI]:[/NPI]]),SUM(Mecze[[#This Row],[/BRI]:[/NPI]])*0.6)</f>
        <v>0.48177083333333331</v>
      </c>
      <c r="AA766" s="10">
        <f>IFERROR(Mecze[[#This Row],[BR]]/Mecze[[#This Row],[ST]],0)</f>
        <v>0</v>
      </c>
      <c r="AB766">
        <f>ROUND(Mecze[[#This Row],[PD]]*Mecze[[#This Row],[%PC]],0)</f>
        <v>3</v>
      </c>
      <c r="AC766">
        <f>ROUND(Mecze[[#This Row],[OD]]*Mecze[[#This Row],[%OU]],0)</f>
        <v>4</v>
      </c>
      <c r="AD766" s="36" t="s">
        <v>47</v>
      </c>
      <c r="AE766" s="36">
        <v>43</v>
      </c>
      <c r="AF766" s="71">
        <v>9.99</v>
      </c>
      <c r="AG766" s="37">
        <v>0</v>
      </c>
      <c r="AH766" s="37">
        <v>0</v>
      </c>
      <c r="AI766" s="37">
        <v>96</v>
      </c>
      <c r="AJ766" s="37">
        <v>1</v>
      </c>
      <c r="AK766" s="37" t="str">
        <f>VLOOKUP(Mecze[[#This Row],[Match ID]],Meczusie[Mecz]:Meczusie[RodzajMeczu],2,FALSE)</f>
        <v>Liga</v>
      </c>
    </row>
    <row r="767" spans="1:37" x14ac:dyDescent="0.25">
      <c r="A767" s="76">
        <v>18</v>
      </c>
      <c r="B767" s="3" t="s">
        <v>211</v>
      </c>
      <c r="C767" s="2" t="s">
        <v>157</v>
      </c>
      <c r="D767" s="1">
        <v>0</v>
      </c>
      <c r="E767" s="1">
        <v>0</v>
      </c>
      <c r="F767" s="1">
        <v>0</v>
      </c>
      <c r="G767" s="1">
        <v>18</v>
      </c>
      <c r="H767" s="4">
        <v>0.44</v>
      </c>
      <c r="I767" s="1">
        <v>34</v>
      </c>
      <c r="J767" s="4">
        <v>0.53</v>
      </c>
      <c r="K767" s="1">
        <v>0</v>
      </c>
      <c r="L767" s="1">
        <v>16</v>
      </c>
      <c r="M767" s="32">
        <f>IF(Mecze[[#This Row],[PR]]=0,0,Mecze[[#This Row],[PR]]/Mecze[[#This Row],[CZAS]])</f>
        <v>0.16666666666666666</v>
      </c>
      <c r="N767" s="32">
        <f>IF(Mecze[[#This Row],[OU]]=0,0,Mecze[[#This Row],[OU]]/Mecze[[#This Row],[CZAS]])</f>
        <v>0.1875</v>
      </c>
      <c r="O767" s="32">
        <f>IF(Mecze[[#This Row],[PC]]=0,0,Mecze[[#This Row],[PC]]/Mecze[[#This Row],[CZAS]])</f>
        <v>8.3333333333333329E-2</v>
      </c>
      <c r="P767" s="32">
        <f>IF(Mecze[[#This Row],[SC]]=0,0,Mecze[[#This Row],[SC]]/Mecze[[#This Row],[CZAS]])</f>
        <v>0</v>
      </c>
      <c r="Q767" s="32">
        <f>IF(Mecze[[#This Row],[OB]]=0,0,Mecze[[#This Row],[OB]]/Mecze[[#This Row],[CZAS]])</f>
        <v>0</v>
      </c>
      <c r="R767" s="32">
        <f>IF(Mecze[[#This Row],[BR]]=0,0,Mecze[[#This Row],[BR]]/Mecze[[#This Row],[CZAS]])</f>
        <v>0</v>
      </c>
      <c r="S767" s="44">
        <f>IF(Mecze[[#This Row],[Role]]="BR",SUMPRODUCT(Mecze[[#This Row],[/PR:90]:[/BR:90]],Brudnopis!$E$23:$J$23),0)</f>
        <v>0</v>
      </c>
      <c r="T767" s="44">
        <f>IF(Mecze[[#This Row],[Role]]&lt;&gt;"BR",SUMPRODUCT(Mecze[[#This Row],[/PR:90]:[/BR:90]],Brudnopis!$E$24:$J$24),0)</f>
        <v>0.53125</v>
      </c>
      <c r="U767" s="44">
        <f>IF(Mecze[[#This Row],[Role]]&lt;&gt;"BR",SUMPRODUCT(Mecze[[#This Row],[/PR:90]:[/BR:90]],Brudnopis!$E$25:$J$25),0)</f>
        <v>0.47916666666666663</v>
      </c>
      <c r="V767" s="44">
        <f>IF(Mecze[[#This Row],[Role]]&lt;&gt;"BR",SUMPRODUCT(Mecze[[#This Row],[/PR:90]:[/BR:90]],Brudnopis!$E$26:$J$26),0)</f>
        <v>0.43749999999999994</v>
      </c>
      <c r="W767" s="44">
        <f>IF(Mecze[[#This Row],[Role]]&lt;&gt;"BR",SUMPRODUCT(Mecze[[#This Row],[/PR:90]:[/BR:90]],Brudnopis!$E$27:$J$27),0)</f>
        <v>0.390625</v>
      </c>
      <c r="X767" s="44">
        <f>IF(Mecze[[#This Row],[Role]]&lt;&gt;"BR",SUMPRODUCT(Mecze[[#This Row],[/PR:90]:[/BR:90]],Brudnopis!$E$28:$J$28),0)</f>
        <v>8.3333333333333329E-2</v>
      </c>
      <c r="Y767" s="35">
        <f>IF(Mecze[[#This Row],[Role]]="BR",Mecze[[#This Row],[/OB:90]]+Mecze[[#This Row],[/PC:90]],SUM(Mecze[[#This Row],[/PR:90]:[/BR:90]]))</f>
        <v>0.43749999999999994</v>
      </c>
      <c r="Z767" s="35">
        <f>IF(Mecze[[#This Row],[KC]]=0,SUM(Mecze[[#This Row],[/BRI]:[/NPI]]),SUM(Mecze[[#This Row],[/BRI]:[/NPI]])*0.6)</f>
        <v>1.9218749999999998</v>
      </c>
      <c r="AA767" s="10">
        <f>IFERROR(Mecze[[#This Row],[BR]]/Mecze[[#This Row],[ST]],0)</f>
        <v>0</v>
      </c>
      <c r="AB767">
        <f>ROUND(Mecze[[#This Row],[PD]]*Mecze[[#This Row],[%PC]],0)</f>
        <v>8</v>
      </c>
      <c r="AC767">
        <f>ROUND(Mecze[[#This Row],[OD]]*Mecze[[#This Row],[%OU]],0)</f>
        <v>18</v>
      </c>
      <c r="AD767" s="36" t="s">
        <v>168</v>
      </c>
      <c r="AE767" s="36">
        <v>43</v>
      </c>
      <c r="AF767" s="71">
        <v>11.52</v>
      </c>
      <c r="AG767" s="37">
        <v>0</v>
      </c>
      <c r="AH767" s="37">
        <v>0</v>
      </c>
      <c r="AI767" s="37">
        <v>96</v>
      </c>
      <c r="AJ767" s="37">
        <v>1</v>
      </c>
      <c r="AK767" s="37" t="str">
        <f>VLOOKUP(Mecze[[#This Row],[Match ID]],Meczusie[Mecz]:Meczusie[RodzajMeczu],2,FALSE)</f>
        <v>Liga</v>
      </c>
    </row>
    <row r="768" spans="1:37" x14ac:dyDescent="0.25">
      <c r="A768" s="76">
        <v>5</v>
      </c>
      <c r="B768" s="3" t="s">
        <v>161</v>
      </c>
      <c r="C768" s="2" t="s">
        <v>157</v>
      </c>
      <c r="D768" s="1">
        <v>0</v>
      </c>
      <c r="E768" s="1">
        <v>0</v>
      </c>
      <c r="F768" s="1">
        <v>0</v>
      </c>
      <c r="G768" s="1">
        <v>8</v>
      </c>
      <c r="H768" s="4">
        <v>0.75</v>
      </c>
      <c r="I768" s="1">
        <v>7</v>
      </c>
      <c r="J768" s="4">
        <v>0.43</v>
      </c>
      <c r="K768" s="1">
        <v>0</v>
      </c>
      <c r="L768" s="1">
        <v>5</v>
      </c>
      <c r="M768" s="32">
        <f>IF(Mecze[[#This Row],[PR]]=0,0,Mecze[[#This Row],[PR]]/Mecze[[#This Row],[CZAS]])</f>
        <v>5.2083333333333336E-2</v>
      </c>
      <c r="N768" s="32">
        <f>IF(Mecze[[#This Row],[OU]]=0,0,Mecze[[#This Row],[OU]]/Mecze[[#This Row],[CZAS]])</f>
        <v>3.125E-2</v>
      </c>
      <c r="O768" s="32">
        <f>IF(Mecze[[#This Row],[PC]]=0,0,Mecze[[#This Row],[PC]]/Mecze[[#This Row],[CZAS]])</f>
        <v>6.25E-2</v>
      </c>
      <c r="P768" s="32">
        <f>IF(Mecze[[#This Row],[SC]]=0,0,Mecze[[#This Row],[SC]]/Mecze[[#This Row],[CZAS]])</f>
        <v>0</v>
      </c>
      <c r="Q768" s="32">
        <f>IF(Mecze[[#This Row],[OB]]=0,0,Mecze[[#This Row],[OB]]/Mecze[[#This Row],[CZAS]])</f>
        <v>0</v>
      </c>
      <c r="R768" s="32">
        <f>IF(Mecze[[#This Row],[BR]]=0,0,Mecze[[#This Row],[BR]]/Mecze[[#This Row],[CZAS]])</f>
        <v>0</v>
      </c>
      <c r="S768" s="44">
        <f>IF(Mecze[[#This Row],[Role]]="BR",SUMPRODUCT(Mecze[[#This Row],[/PR:90]:[/BR:90]],Brudnopis!$E$23:$J$23),0)</f>
        <v>0</v>
      </c>
      <c r="T768" s="44">
        <f>IF(Mecze[[#This Row],[Role]]&lt;&gt;"BR",SUMPRODUCT(Mecze[[#This Row],[/PR:90]:[/BR:90]],Brudnopis!$E$24:$J$24),0)</f>
        <v>0.16145833333333334</v>
      </c>
      <c r="U768" s="44">
        <f>IF(Mecze[[#This Row],[Role]]&lt;&gt;"BR",SUMPRODUCT(Mecze[[#This Row],[/PR:90]:[/BR:90]],Brudnopis!$E$25:$J$25),0)</f>
        <v>0.17708333333333334</v>
      </c>
      <c r="V768" s="44">
        <f>IF(Mecze[[#This Row],[Role]]&lt;&gt;"BR",SUMPRODUCT(Mecze[[#This Row],[/PR:90]:[/BR:90]],Brudnopis!$E$26:$J$26),0)</f>
        <v>0.14583333333333334</v>
      </c>
      <c r="W768" s="44">
        <f>IF(Mecze[[#This Row],[Role]]&lt;&gt;"BR",SUMPRODUCT(Mecze[[#This Row],[/PR:90]:[/BR:90]],Brudnopis!$E$27:$J$27),0)</f>
        <v>0.15625</v>
      </c>
      <c r="X768" s="44">
        <f>IF(Mecze[[#This Row],[Role]]&lt;&gt;"BR",SUMPRODUCT(Mecze[[#This Row],[/PR:90]:[/BR:90]],Brudnopis!$E$28:$J$28),0)</f>
        <v>6.25E-2</v>
      </c>
      <c r="Y768" s="35">
        <f>IF(Mecze[[#This Row],[Role]]="BR",Mecze[[#This Row],[/OB:90]]+Mecze[[#This Row],[/PC:90]],SUM(Mecze[[#This Row],[/PR:90]:[/BR:90]]))</f>
        <v>0.14583333333333334</v>
      </c>
      <c r="Z768" s="35">
        <f>IF(Mecze[[#This Row],[KC]]=0,SUM(Mecze[[#This Row],[/BRI]:[/NPI]]),SUM(Mecze[[#This Row],[/BRI]:[/NPI]])*0.6)</f>
        <v>0.703125</v>
      </c>
      <c r="AA768" s="10">
        <f>IFERROR(Mecze[[#This Row],[BR]]/Mecze[[#This Row],[ST]],0)</f>
        <v>0</v>
      </c>
      <c r="AB768">
        <f>ROUND(Mecze[[#This Row],[PD]]*Mecze[[#This Row],[%PC]],0)</f>
        <v>6</v>
      </c>
      <c r="AC768">
        <f>ROUND(Mecze[[#This Row],[OD]]*Mecze[[#This Row],[%OU]],0)</f>
        <v>3</v>
      </c>
      <c r="AD768" s="36" t="s">
        <v>167</v>
      </c>
      <c r="AE768" s="36">
        <v>43</v>
      </c>
      <c r="AF768" s="71">
        <v>8.09</v>
      </c>
      <c r="AG768" s="37">
        <v>0</v>
      </c>
      <c r="AH768" s="37">
        <v>0</v>
      </c>
      <c r="AI768" s="37">
        <v>96</v>
      </c>
      <c r="AJ768" s="37">
        <v>1</v>
      </c>
      <c r="AK768" s="37" t="str">
        <f>VLOOKUP(Mecze[[#This Row],[Match ID]],Meczusie[Mecz]:Meczusie[RodzajMeczu],2,FALSE)</f>
        <v>Liga</v>
      </c>
    </row>
    <row r="769" spans="1:37" x14ac:dyDescent="0.25">
      <c r="A769" s="76">
        <v>13</v>
      </c>
      <c r="B769" s="3" t="s">
        <v>162</v>
      </c>
      <c r="C769" s="2" t="s">
        <v>160</v>
      </c>
      <c r="D769" s="1">
        <v>0</v>
      </c>
      <c r="E769" s="1">
        <v>0</v>
      </c>
      <c r="F769" s="1">
        <v>0</v>
      </c>
      <c r="G769" s="1">
        <v>13</v>
      </c>
      <c r="H769" s="4">
        <v>0.69</v>
      </c>
      <c r="I769" s="1">
        <v>1</v>
      </c>
      <c r="J769" s="4">
        <v>1</v>
      </c>
      <c r="K769" s="1">
        <v>0</v>
      </c>
      <c r="L769" s="1">
        <v>2</v>
      </c>
      <c r="M769" s="32">
        <f>IF(Mecze[[#This Row],[PR]]=0,0,Mecze[[#This Row],[PR]]/Mecze[[#This Row],[CZAS]])</f>
        <v>2.0833333333333332E-2</v>
      </c>
      <c r="N769" s="32">
        <f>IF(Mecze[[#This Row],[OU]]=0,0,Mecze[[#This Row],[OU]]/Mecze[[#This Row],[CZAS]])</f>
        <v>1.0416666666666666E-2</v>
      </c>
      <c r="O769" s="32">
        <f>IF(Mecze[[#This Row],[PC]]=0,0,Mecze[[#This Row],[PC]]/Mecze[[#This Row],[CZAS]])</f>
        <v>9.375E-2</v>
      </c>
      <c r="P769" s="32">
        <f>IF(Mecze[[#This Row],[SC]]=0,0,Mecze[[#This Row],[SC]]/Mecze[[#This Row],[CZAS]])</f>
        <v>0</v>
      </c>
      <c r="Q769" s="32">
        <f>IF(Mecze[[#This Row],[OB]]=0,0,Mecze[[#This Row],[OB]]/Mecze[[#This Row],[CZAS]])</f>
        <v>0</v>
      </c>
      <c r="R769" s="32">
        <f>IF(Mecze[[#This Row],[BR]]=0,0,Mecze[[#This Row],[BR]]/Mecze[[#This Row],[CZAS]])</f>
        <v>0</v>
      </c>
      <c r="S769" s="44">
        <f>IF(Mecze[[#This Row],[Role]]="BR",SUMPRODUCT(Mecze[[#This Row],[/PR:90]:[/BR:90]],Brudnopis!$E$23:$J$23),0)</f>
        <v>0</v>
      </c>
      <c r="T769" s="44">
        <f>IF(Mecze[[#This Row],[Role]]&lt;&gt;"BR",SUMPRODUCT(Mecze[[#This Row],[/PR:90]:[/BR:90]],Brudnopis!$E$24:$J$24),0)</f>
        <v>0.13020833333333331</v>
      </c>
      <c r="U769" s="44">
        <f>IF(Mecze[[#This Row],[Role]]&lt;&gt;"BR",SUMPRODUCT(Mecze[[#This Row],[/PR:90]:[/BR:90]],Brudnopis!$E$25:$J$25),0)</f>
        <v>0.171875</v>
      </c>
      <c r="V769" s="44">
        <f>IF(Mecze[[#This Row],[Role]]&lt;&gt;"BR",SUMPRODUCT(Mecze[[#This Row],[/PR:90]:[/BR:90]],Brudnopis!$E$26:$J$26),0)</f>
        <v>0.125</v>
      </c>
      <c r="W769" s="44">
        <f>IF(Mecze[[#This Row],[Role]]&lt;&gt;"BR",SUMPRODUCT(Mecze[[#This Row],[/PR:90]:[/BR:90]],Brudnopis!$E$27:$J$27),0)</f>
        <v>0.1640625</v>
      </c>
      <c r="X769" s="44">
        <f>IF(Mecze[[#This Row],[Role]]&lt;&gt;"BR",SUMPRODUCT(Mecze[[#This Row],[/PR:90]:[/BR:90]],Brudnopis!$E$28:$J$28),0)</f>
        <v>9.375E-2</v>
      </c>
      <c r="Y769" s="35">
        <f>IF(Mecze[[#This Row],[Role]]="BR",Mecze[[#This Row],[/OB:90]]+Mecze[[#This Row],[/PC:90]],SUM(Mecze[[#This Row],[/PR:90]:[/BR:90]]))</f>
        <v>0.125</v>
      </c>
      <c r="Z769" s="35">
        <f>IF(Mecze[[#This Row],[KC]]=0,SUM(Mecze[[#This Row],[/BRI]:[/NPI]]),SUM(Mecze[[#This Row],[/BRI]:[/NPI]])*0.6)</f>
        <v>0.68489583333333326</v>
      </c>
      <c r="AA769" s="10">
        <f>IFERROR(Mecze[[#This Row],[BR]]/Mecze[[#This Row],[ST]],0)</f>
        <v>0</v>
      </c>
      <c r="AB769">
        <f>ROUND(Mecze[[#This Row],[PD]]*Mecze[[#This Row],[%PC]],0)</f>
        <v>9</v>
      </c>
      <c r="AC769">
        <f>ROUND(Mecze[[#This Row],[OD]]*Mecze[[#This Row],[%OU]],0)</f>
        <v>1</v>
      </c>
      <c r="AD769" s="36" t="s">
        <v>41</v>
      </c>
      <c r="AE769" s="36">
        <v>43</v>
      </c>
      <c r="AF769" s="71">
        <v>8.67</v>
      </c>
      <c r="AG769" s="37">
        <v>0</v>
      </c>
      <c r="AH769" s="37">
        <v>0</v>
      </c>
      <c r="AI769" s="37">
        <v>96</v>
      </c>
      <c r="AJ769" s="37">
        <v>1</v>
      </c>
      <c r="AK769" s="37" t="str">
        <f>VLOOKUP(Mecze[[#This Row],[Match ID]],Meczusie[Mecz]:Meczusie[RodzajMeczu],2,FALSE)</f>
        <v>Liga</v>
      </c>
    </row>
    <row r="770" spans="1:37" x14ac:dyDescent="0.25">
      <c r="A770" s="76">
        <v>6</v>
      </c>
      <c r="B770" s="3" t="s">
        <v>159</v>
      </c>
      <c r="C770" s="2" t="s">
        <v>160</v>
      </c>
      <c r="D770" s="1">
        <v>0</v>
      </c>
      <c r="E770" s="1">
        <v>0</v>
      </c>
      <c r="F770" s="1">
        <v>0</v>
      </c>
      <c r="G770" s="1">
        <v>7</v>
      </c>
      <c r="H770" s="4">
        <v>0.28999999999999998</v>
      </c>
      <c r="I770" s="1">
        <v>4</v>
      </c>
      <c r="J770" s="4">
        <v>0</v>
      </c>
      <c r="K770" s="1">
        <v>0</v>
      </c>
      <c r="L770" s="1">
        <v>1</v>
      </c>
      <c r="M770" s="32">
        <f>IF(Mecze[[#This Row],[PR]]=0,0,Mecze[[#This Row],[PR]]/Mecze[[#This Row],[CZAS]])</f>
        <v>1.0416666666666666E-2</v>
      </c>
      <c r="N770" s="32">
        <f>IF(Mecze[[#This Row],[OU]]=0,0,Mecze[[#This Row],[OU]]/Mecze[[#This Row],[CZAS]])</f>
        <v>0</v>
      </c>
      <c r="O770" s="32">
        <f>IF(Mecze[[#This Row],[PC]]=0,0,Mecze[[#This Row],[PC]]/Mecze[[#This Row],[CZAS]])</f>
        <v>2.0833333333333332E-2</v>
      </c>
      <c r="P770" s="32">
        <f>IF(Mecze[[#This Row],[SC]]=0,0,Mecze[[#This Row],[SC]]/Mecze[[#This Row],[CZAS]])</f>
        <v>0</v>
      </c>
      <c r="Q770" s="32">
        <f>IF(Mecze[[#This Row],[OB]]=0,0,Mecze[[#This Row],[OB]]/Mecze[[#This Row],[CZAS]])</f>
        <v>0</v>
      </c>
      <c r="R770" s="32">
        <f>IF(Mecze[[#This Row],[BR]]=0,0,Mecze[[#This Row],[BR]]/Mecze[[#This Row],[CZAS]])</f>
        <v>0</v>
      </c>
      <c r="S770" s="44">
        <f>IF(Mecze[[#This Row],[Role]]="BR",SUMPRODUCT(Mecze[[#This Row],[/PR:90]:[/BR:90]],Brudnopis!$E$23:$J$23),0)</f>
        <v>0</v>
      </c>
      <c r="T770" s="44">
        <f>IF(Mecze[[#This Row],[Role]]&lt;&gt;"BR",SUMPRODUCT(Mecze[[#This Row],[/PR:90]:[/BR:90]],Brudnopis!$E$24:$J$24),0)</f>
        <v>3.125E-2</v>
      </c>
      <c r="U770" s="44">
        <f>IF(Mecze[[#This Row],[Role]]&lt;&gt;"BR",SUMPRODUCT(Mecze[[#This Row],[/PR:90]:[/BR:90]],Brudnopis!$E$25:$J$25),0)</f>
        <v>4.1666666666666664E-2</v>
      </c>
      <c r="V770" s="44">
        <f>IF(Mecze[[#This Row],[Role]]&lt;&gt;"BR",SUMPRODUCT(Mecze[[#This Row],[/PR:90]:[/BR:90]],Brudnopis!$E$26:$J$26),0)</f>
        <v>3.125E-2</v>
      </c>
      <c r="W770" s="44">
        <f>IF(Mecze[[#This Row],[Role]]&lt;&gt;"BR",SUMPRODUCT(Mecze[[#This Row],[/PR:90]:[/BR:90]],Brudnopis!$E$27:$J$27),0)</f>
        <v>3.90625E-2</v>
      </c>
      <c r="X770" s="44">
        <f>IF(Mecze[[#This Row],[Role]]&lt;&gt;"BR",SUMPRODUCT(Mecze[[#This Row],[/PR:90]:[/BR:90]],Brudnopis!$E$28:$J$28),0)</f>
        <v>2.0833333333333332E-2</v>
      </c>
      <c r="Y770" s="35">
        <f>IF(Mecze[[#This Row],[Role]]="BR",Mecze[[#This Row],[/OB:90]]+Mecze[[#This Row],[/PC:90]],SUM(Mecze[[#This Row],[/PR:90]:[/BR:90]]))</f>
        <v>3.125E-2</v>
      </c>
      <c r="Z770" s="35">
        <f>IF(Mecze[[#This Row],[KC]]=0,SUM(Mecze[[#This Row],[/BRI]:[/NPI]]),SUM(Mecze[[#This Row],[/BRI]:[/NPI]])*0.6)</f>
        <v>0.1640625</v>
      </c>
      <c r="AA770" s="10">
        <f>IFERROR(Mecze[[#This Row],[BR]]/Mecze[[#This Row],[ST]],0)</f>
        <v>0</v>
      </c>
      <c r="AB770">
        <f>ROUND(Mecze[[#This Row],[PD]]*Mecze[[#This Row],[%PC]],0)</f>
        <v>2</v>
      </c>
      <c r="AC770">
        <f>ROUND(Mecze[[#This Row],[OD]]*Mecze[[#This Row],[%OU]],0)</f>
        <v>0</v>
      </c>
      <c r="AD770" s="36" t="s">
        <v>41</v>
      </c>
      <c r="AE770" s="36">
        <v>43</v>
      </c>
      <c r="AF770" s="71">
        <v>7.25</v>
      </c>
      <c r="AG770" s="37">
        <v>0</v>
      </c>
      <c r="AH770" s="37">
        <v>0</v>
      </c>
      <c r="AI770" s="37">
        <v>96</v>
      </c>
      <c r="AJ770" s="37">
        <v>1</v>
      </c>
      <c r="AK770" s="37" t="str">
        <f>VLOOKUP(Mecze[[#This Row],[Match ID]],Meczusie[Mecz]:Meczusie[RodzajMeczu],2,FALSE)</f>
        <v>Liga</v>
      </c>
    </row>
    <row r="771" spans="1:37" x14ac:dyDescent="0.25">
      <c r="A771" s="76">
        <v>15</v>
      </c>
      <c r="B771" s="3" t="s">
        <v>170</v>
      </c>
      <c r="C771" s="2" t="s">
        <v>160</v>
      </c>
      <c r="D771" s="1">
        <v>0</v>
      </c>
      <c r="E771" s="1">
        <v>0</v>
      </c>
      <c r="F771" s="1">
        <v>0</v>
      </c>
      <c r="G771" s="1">
        <v>12</v>
      </c>
      <c r="H771" s="4">
        <v>0.5</v>
      </c>
      <c r="I771" s="1">
        <v>5</v>
      </c>
      <c r="J771" s="4">
        <v>0.8</v>
      </c>
      <c r="K771" s="1">
        <v>0</v>
      </c>
      <c r="L771" s="1">
        <v>5</v>
      </c>
      <c r="M771" s="32">
        <f>IF(Mecze[[#This Row],[PR]]=0,0,Mecze[[#This Row],[PR]]/Mecze[[#This Row],[CZAS]])</f>
        <v>5.2083333333333336E-2</v>
      </c>
      <c r="N771" s="32">
        <f>IF(Mecze[[#This Row],[OU]]=0,0,Mecze[[#This Row],[OU]]/Mecze[[#This Row],[CZAS]])</f>
        <v>4.1666666666666664E-2</v>
      </c>
      <c r="O771" s="32">
        <f>IF(Mecze[[#This Row],[PC]]=0,0,Mecze[[#This Row],[PC]]/Mecze[[#This Row],[CZAS]])</f>
        <v>6.25E-2</v>
      </c>
      <c r="P771" s="32">
        <f>IF(Mecze[[#This Row],[SC]]=0,0,Mecze[[#This Row],[SC]]/Mecze[[#This Row],[CZAS]])</f>
        <v>0</v>
      </c>
      <c r="Q771" s="32">
        <f>IF(Mecze[[#This Row],[OB]]=0,0,Mecze[[#This Row],[OB]]/Mecze[[#This Row],[CZAS]])</f>
        <v>0</v>
      </c>
      <c r="R771" s="32">
        <f>IF(Mecze[[#This Row],[BR]]=0,0,Mecze[[#This Row],[BR]]/Mecze[[#This Row],[CZAS]])</f>
        <v>0</v>
      </c>
      <c r="S771" s="44">
        <f>IF(Mecze[[#This Row],[Role]]="BR",SUMPRODUCT(Mecze[[#This Row],[/PR:90]:[/BR:90]],Brudnopis!$E$23:$J$23),0)</f>
        <v>0</v>
      </c>
      <c r="T771" s="44">
        <f>IF(Mecze[[#This Row],[Role]]&lt;&gt;"BR",SUMPRODUCT(Mecze[[#This Row],[/PR:90]:[/BR:90]],Brudnopis!$E$24:$J$24),0)</f>
        <v>0.17708333333333334</v>
      </c>
      <c r="U771" s="44">
        <f>IF(Mecze[[#This Row],[Role]]&lt;&gt;"BR",SUMPRODUCT(Mecze[[#This Row],[/PR:90]:[/BR:90]],Brudnopis!$E$25:$J$25),0)</f>
        <v>0.1875</v>
      </c>
      <c r="V771" s="44">
        <f>IF(Mecze[[#This Row],[Role]]&lt;&gt;"BR",SUMPRODUCT(Mecze[[#This Row],[/PR:90]:[/BR:90]],Brudnopis!$E$26:$J$26),0)</f>
        <v>0.15625</v>
      </c>
      <c r="W771" s="44">
        <f>IF(Mecze[[#This Row],[Role]]&lt;&gt;"BR",SUMPRODUCT(Mecze[[#This Row],[/PR:90]:[/BR:90]],Brudnopis!$E$27:$J$27),0)</f>
        <v>0.1640625</v>
      </c>
      <c r="X771" s="44">
        <f>IF(Mecze[[#This Row],[Role]]&lt;&gt;"BR",SUMPRODUCT(Mecze[[#This Row],[/PR:90]:[/BR:90]],Brudnopis!$E$28:$J$28),0)</f>
        <v>6.25E-2</v>
      </c>
      <c r="Y771" s="35">
        <f>IF(Mecze[[#This Row],[Role]]="BR",Mecze[[#This Row],[/OB:90]]+Mecze[[#This Row],[/PC:90]],SUM(Mecze[[#This Row],[/PR:90]:[/BR:90]]))</f>
        <v>0.15625</v>
      </c>
      <c r="Z771" s="35">
        <f>IF(Mecze[[#This Row],[KC]]=0,SUM(Mecze[[#This Row],[/BRI]:[/NPI]]),SUM(Mecze[[#This Row],[/BRI]:[/NPI]])*0.6)</f>
        <v>0.74739583333333337</v>
      </c>
      <c r="AA771" s="10">
        <f>IFERROR(Mecze[[#This Row],[BR]]/Mecze[[#This Row],[ST]],0)</f>
        <v>0</v>
      </c>
      <c r="AB771">
        <f>ROUND(Mecze[[#This Row],[PD]]*Mecze[[#This Row],[%PC]],0)</f>
        <v>6</v>
      </c>
      <c r="AC771">
        <f>ROUND(Mecze[[#This Row],[OD]]*Mecze[[#This Row],[%OU]],0)</f>
        <v>4</v>
      </c>
      <c r="AD771" s="36" t="s">
        <v>67</v>
      </c>
      <c r="AE771" s="36">
        <v>43</v>
      </c>
      <c r="AF771" s="71">
        <v>9.3000000000000007</v>
      </c>
      <c r="AG771" s="37">
        <v>0</v>
      </c>
      <c r="AH771" s="37">
        <v>0</v>
      </c>
      <c r="AI771" s="37">
        <v>96</v>
      </c>
      <c r="AJ771" s="37">
        <v>1</v>
      </c>
      <c r="AK771" s="37" t="str">
        <f>VLOOKUP(Mecze[[#This Row],[Match ID]],Meczusie[Mecz]:Meczusie[RodzajMeczu],2,FALSE)</f>
        <v>Liga</v>
      </c>
    </row>
    <row r="772" spans="1:37" x14ac:dyDescent="0.25">
      <c r="A772" s="76">
        <v>14</v>
      </c>
      <c r="B772" s="3" t="s">
        <v>164</v>
      </c>
      <c r="C772" s="2" t="s">
        <v>160</v>
      </c>
      <c r="D772" s="1">
        <v>0</v>
      </c>
      <c r="E772" s="1">
        <v>0</v>
      </c>
      <c r="F772" s="1">
        <v>0</v>
      </c>
      <c r="G772" s="1">
        <v>7</v>
      </c>
      <c r="H772" s="4">
        <v>0.56999999999999995</v>
      </c>
      <c r="I772" s="1">
        <v>0</v>
      </c>
      <c r="J772" s="4"/>
      <c r="K772" s="1">
        <v>0</v>
      </c>
      <c r="L772" s="1">
        <v>1</v>
      </c>
      <c r="M772" s="32">
        <f>IF(Mecze[[#This Row],[PR]]=0,0,Mecze[[#This Row],[PR]]/Mecze[[#This Row],[CZAS]])</f>
        <v>1.0416666666666666E-2</v>
      </c>
      <c r="N772" s="32">
        <f>IF(Mecze[[#This Row],[OU]]=0,0,Mecze[[#This Row],[OU]]/Mecze[[#This Row],[CZAS]])</f>
        <v>0</v>
      </c>
      <c r="O772" s="32">
        <f>IF(Mecze[[#This Row],[PC]]=0,0,Mecze[[#This Row],[PC]]/Mecze[[#This Row],[CZAS]])</f>
        <v>4.1666666666666664E-2</v>
      </c>
      <c r="P772" s="32">
        <f>IF(Mecze[[#This Row],[SC]]=0,0,Mecze[[#This Row],[SC]]/Mecze[[#This Row],[CZAS]])</f>
        <v>0</v>
      </c>
      <c r="Q772" s="32">
        <f>IF(Mecze[[#This Row],[OB]]=0,0,Mecze[[#This Row],[OB]]/Mecze[[#This Row],[CZAS]])</f>
        <v>0</v>
      </c>
      <c r="R772" s="32">
        <f>IF(Mecze[[#This Row],[BR]]=0,0,Mecze[[#This Row],[BR]]/Mecze[[#This Row],[CZAS]])</f>
        <v>0</v>
      </c>
      <c r="S772" s="44">
        <f>IF(Mecze[[#This Row],[Role]]="BR",SUMPRODUCT(Mecze[[#This Row],[/PR:90]:[/BR:90]],Brudnopis!$E$23:$J$23),0)</f>
        <v>0</v>
      </c>
      <c r="T772" s="44">
        <f>IF(Mecze[[#This Row],[Role]]&lt;&gt;"BR",SUMPRODUCT(Mecze[[#This Row],[/PR:90]:[/BR:90]],Brudnopis!$E$24:$J$24),0)</f>
        <v>5.2083333333333329E-2</v>
      </c>
      <c r="U772" s="44">
        <f>IF(Mecze[[#This Row],[Role]]&lt;&gt;"BR",SUMPRODUCT(Mecze[[#This Row],[/PR:90]:[/BR:90]],Brudnopis!$E$25:$J$25),0)</f>
        <v>7.2916666666666671E-2</v>
      </c>
      <c r="V772" s="44">
        <f>IF(Mecze[[#This Row],[Role]]&lt;&gt;"BR",SUMPRODUCT(Mecze[[#This Row],[/PR:90]:[/BR:90]],Brudnopis!$E$26:$J$26),0)</f>
        <v>5.2083333333333329E-2</v>
      </c>
      <c r="W772" s="44">
        <f>IF(Mecze[[#This Row],[Role]]&lt;&gt;"BR",SUMPRODUCT(Mecze[[#This Row],[/PR:90]:[/BR:90]],Brudnopis!$E$27:$J$27),0)</f>
        <v>7.03125E-2</v>
      </c>
      <c r="X772" s="44">
        <f>IF(Mecze[[#This Row],[Role]]&lt;&gt;"BR",SUMPRODUCT(Mecze[[#This Row],[/PR:90]:[/BR:90]],Brudnopis!$E$28:$J$28),0)</f>
        <v>4.1666666666666664E-2</v>
      </c>
      <c r="Y772" s="35">
        <f>IF(Mecze[[#This Row],[Role]]="BR",Mecze[[#This Row],[/OB:90]]+Mecze[[#This Row],[/PC:90]],SUM(Mecze[[#This Row],[/PR:90]:[/BR:90]]))</f>
        <v>5.2083333333333329E-2</v>
      </c>
      <c r="Z772" s="35">
        <f>IF(Mecze[[#This Row],[KC]]=0,SUM(Mecze[[#This Row],[/BRI]:[/NPI]]),SUM(Mecze[[#This Row],[/BRI]:[/NPI]])*0.6)</f>
        <v>0.2890625</v>
      </c>
      <c r="AA772" s="10">
        <f>IFERROR(Mecze[[#This Row],[BR]]/Mecze[[#This Row],[ST]],0)</f>
        <v>0</v>
      </c>
      <c r="AB772">
        <f>ROUND(Mecze[[#This Row],[PD]]*Mecze[[#This Row],[%PC]],0)</f>
        <v>4</v>
      </c>
      <c r="AC772">
        <f>ROUND(Mecze[[#This Row],[OD]]*Mecze[[#This Row],[%OU]],0)</f>
        <v>0</v>
      </c>
      <c r="AD772" s="36" t="s">
        <v>44</v>
      </c>
      <c r="AE772" s="36">
        <v>43</v>
      </c>
      <c r="AF772" s="71">
        <v>8.4600000000000009</v>
      </c>
      <c r="AG772" s="37">
        <v>0</v>
      </c>
      <c r="AH772" s="37">
        <v>0</v>
      </c>
      <c r="AI772" s="37">
        <v>96</v>
      </c>
      <c r="AJ772" s="37">
        <v>1</v>
      </c>
      <c r="AK772" s="37" t="str">
        <f>VLOOKUP(Mecze[[#This Row],[Match ID]],Meczusie[Mecz]:Meczusie[RodzajMeczu],2,FALSE)</f>
        <v>Liga</v>
      </c>
    </row>
    <row r="773" spans="1:37" x14ac:dyDescent="0.25">
      <c r="A773" s="76">
        <v>8</v>
      </c>
      <c r="B773" s="3" t="s">
        <v>154</v>
      </c>
      <c r="C773" s="2" t="s">
        <v>160</v>
      </c>
      <c r="D773" s="1">
        <v>0</v>
      </c>
      <c r="E773" s="1">
        <v>0</v>
      </c>
      <c r="F773" s="1">
        <v>0</v>
      </c>
      <c r="G773" s="1">
        <v>3</v>
      </c>
      <c r="H773" s="4">
        <v>1</v>
      </c>
      <c r="I773" s="1">
        <v>2</v>
      </c>
      <c r="J773" s="4">
        <v>0.5</v>
      </c>
      <c r="K773" s="1">
        <v>0</v>
      </c>
      <c r="L773" s="1">
        <v>1</v>
      </c>
      <c r="M773" s="32">
        <f>IF(Mecze[[#This Row],[PR]]=0,0,Mecze[[#This Row],[PR]]/Mecze[[#This Row],[CZAS]])</f>
        <v>1.0416666666666666E-2</v>
      </c>
      <c r="N773" s="32">
        <f>IF(Mecze[[#This Row],[OU]]=0,0,Mecze[[#This Row],[OU]]/Mecze[[#This Row],[CZAS]])</f>
        <v>1.0416666666666666E-2</v>
      </c>
      <c r="O773" s="32">
        <f>IF(Mecze[[#This Row],[PC]]=0,0,Mecze[[#This Row],[PC]]/Mecze[[#This Row],[CZAS]])</f>
        <v>3.125E-2</v>
      </c>
      <c r="P773" s="32">
        <f>IF(Mecze[[#This Row],[SC]]=0,0,Mecze[[#This Row],[SC]]/Mecze[[#This Row],[CZAS]])</f>
        <v>0</v>
      </c>
      <c r="Q773" s="32">
        <f>IF(Mecze[[#This Row],[OB]]=0,0,Mecze[[#This Row],[OB]]/Mecze[[#This Row],[CZAS]])</f>
        <v>0</v>
      </c>
      <c r="R773" s="32">
        <f>IF(Mecze[[#This Row],[BR]]=0,0,Mecze[[#This Row],[BR]]/Mecze[[#This Row],[CZAS]])</f>
        <v>0</v>
      </c>
      <c r="S773" s="44">
        <f>IF(Mecze[[#This Row],[Role]]="BR",SUMPRODUCT(Mecze[[#This Row],[/PR:90]:[/BR:90]],Brudnopis!$E$23:$J$23),0)</f>
        <v>0</v>
      </c>
      <c r="T773" s="44">
        <f>IF(Mecze[[#This Row],[Role]]&lt;&gt;"BR",SUMPRODUCT(Mecze[[#This Row],[/PR:90]:[/BR:90]],Brudnopis!$E$24:$J$24),0)</f>
        <v>5.7291666666666664E-2</v>
      </c>
      <c r="U773" s="44">
        <f>IF(Mecze[[#This Row],[Role]]&lt;&gt;"BR",SUMPRODUCT(Mecze[[#This Row],[/PR:90]:[/BR:90]],Brudnopis!$E$25:$J$25),0)</f>
        <v>6.7708333333333329E-2</v>
      </c>
      <c r="V773" s="44">
        <f>IF(Mecze[[#This Row],[Role]]&lt;&gt;"BR",SUMPRODUCT(Mecze[[#This Row],[/PR:90]:[/BR:90]],Brudnopis!$E$26:$J$26),0)</f>
        <v>5.2083333333333329E-2</v>
      </c>
      <c r="W773" s="44">
        <f>IF(Mecze[[#This Row],[Role]]&lt;&gt;"BR",SUMPRODUCT(Mecze[[#This Row],[/PR:90]:[/BR:90]],Brudnopis!$E$27:$J$27),0)</f>
        <v>6.25E-2</v>
      </c>
      <c r="X773" s="44">
        <f>IF(Mecze[[#This Row],[Role]]&lt;&gt;"BR",SUMPRODUCT(Mecze[[#This Row],[/PR:90]:[/BR:90]],Brudnopis!$E$28:$J$28),0)</f>
        <v>3.125E-2</v>
      </c>
      <c r="Y773" s="35">
        <f>IF(Mecze[[#This Row],[Role]]="BR",Mecze[[#This Row],[/OB:90]]+Mecze[[#This Row],[/PC:90]],SUM(Mecze[[#This Row],[/PR:90]:[/BR:90]]))</f>
        <v>5.2083333333333329E-2</v>
      </c>
      <c r="Z773" s="35">
        <f>IF(Mecze[[#This Row],[KC]]=0,SUM(Mecze[[#This Row],[/BRI]:[/NPI]]),SUM(Mecze[[#This Row],[/BRI]:[/NPI]])*0.6)</f>
        <v>0.27083333333333331</v>
      </c>
      <c r="AA773" s="10">
        <f>IFERROR(Mecze[[#This Row],[BR]]/Mecze[[#This Row],[ST]],0)</f>
        <v>0</v>
      </c>
      <c r="AB773">
        <f>ROUND(Mecze[[#This Row],[PD]]*Mecze[[#This Row],[%PC]],0)</f>
        <v>3</v>
      </c>
      <c r="AC773">
        <f>ROUND(Mecze[[#This Row],[OD]]*Mecze[[#This Row],[%OU]],0)</f>
        <v>1</v>
      </c>
      <c r="AD773" s="36" t="s">
        <v>44</v>
      </c>
      <c r="AE773" s="36">
        <v>43</v>
      </c>
      <c r="AF773" s="71">
        <v>7.25</v>
      </c>
      <c r="AG773" s="37">
        <v>0</v>
      </c>
      <c r="AH773" s="37">
        <v>0</v>
      </c>
      <c r="AI773" s="37">
        <v>96</v>
      </c>
      <c r="AJ773" s="37">
        <v>1</v>
      </c>
      <c r="AK773" s="37" t="str">
        <f>VLOOKUP(Mecze[[#This Row],[Match ID]],Meczusie[Mecz]:Meczusie[RodzajMeczu],2,FALSE)</f>
        <v>Liga</v>
      </c>
    </row>
    <row r="774" spans="1:37" x14ac:dyDescent="0.25">
      <c r="A774" s="76">
        <v>9</v>
      </c>
      <c r="B774" s="3" t="s">
        <v>411</v>
      </c>
      <c r="C774" s="2" t="s">
        <v>165</v>
      </c>
      <c r="D774" s="1">
        <v>1</v>
      </c>
      <c r="E774" s="1">
        <v>4</v>
      </c>
      <c r="F774" s="1">
        <v>4</v>
      </c>
      <c r="G774" s="1">
        <v>4</v>
      </c>
      <c r="H774" s="4">
        <v>0.5</v>
      </c>
      <c r="I774" s="1">
        <v>0</v>
      </c>
      <c r="J774" s="4"/>
      <c r="K774" s="1">
        <v>0</v>
      </c>
      <c r="L774" s="1">
        <v>0</v>
      </c>
      <c r="M774" s="32">
        <f>IF(Mecze[[#This Row],[PR]]=0,0,Mecze[[#This Row],[PR]]/Mecze[[#This Row],[CZAS]])</f>
        <v>0</v>
      </c>
      <c r="N774" s="32">
        <f>IF(Mecze[[#This Row],[OU]]=0,0,Mecze[[#This Row],[OU]]/Mecze[[#This Row],[CZAS]])</f>
        <v>0</v>
      </c>
      <c r="O774" s="32">
        <f>IF(Mecze[[#This Row],[PC]]=0,0,Mecze[[#This Row],[PC]]/Mecze[[#This Row],[CZAS]])</f>
        <v>2.0833333333333332E-2</v>
      </c>
      <c r="P774" s="32">
        <f>IF(Mecze[[#This Row],[SC]]=0,0,Mecze[[#This Row],[SC]]/Mecze[[#This Row],[CZAS]])</f>
        <v>4.1666666666666664E-2</v>
      </c>
      <c r="Q774" s="32">
        <f>IF(Mecze[[#This Row],[OB]]=0,0,Mecze[[#This Row],[OB]]/Mecze[[#This Row],[CZAS]])</f>
        <v>0</v>
      </c>
      <c r="R774" s="32">
        <f>IF(Mecze[[#This Row],[BR]]=0,0,Mecze[[#This Row],[BR]]/Mecze[[#This Row],[CZAS]])</f>
        <v>1.0416666666666666E-2</v>
      </c>
      <c r="S774" s="44">
        <f>IF(Mecze[[#This Row],[Role]]="BR",SUMPRODUCT(Mecze[[#This Row],[/PR:90]:[/BR:90]],Brudnopis!$E$23:$J$23),0)</f>
        <v>0</v>
      </c>
      <c r="T774" s="44">
        <f>IF(Mecze[[#This Row],[Role]]&lt;&gt;"BR",SUMPRODUCT(Mecze[[#This Row],[/PR:90]:[/BR:90]],Brudnopis!$E$24:$J$24),0)</f>
        <v>7.8125E-2</v>
      </c>
      <c r="U774" s="44">
        <f>IF(Mecze[[#This Row],[Role]]&lt;&gt;"BR",SUMPRODUCT(Mecze[[#This Row],[/PR:90]:[/BR:90]],Brudnopis!$E$25:$J$25),0)</f>
        <v>8.8541666666666657E-2</v>
      </c>
      <c r="V774" s="44">
        <f>IF(Mecze[[#This Row],[Role]]&lt;&gt;"BR",SUMPRODUCT(Mecze[[#This Row],[/PR:90]:[/BR:90]],Brudnopis!$E$26:$J$26),0)</f>
        <v>8.3333333333333329E-2</v>
      </c>
      <c r="W774" s="44">
        <f>IF(Mecze[[#This Row],[Role]]&lt;&gt;"BR",SUMPRODUCT(Mecze[[#This Row],[/PR:90]:[/BR:90]],Brudnopis!$E$27:$J$27),0)</f>
        <v>9.3749999999999986E-2</v>
      </c>
      <c r="X774" s="44">
        <f>IF(Mecze[[#This Row],[Role]]&lt;&gt;"BR",SUMPRODUCT(Mecze[[#This Row],[/PR:90]:[/BR:90]],Brudnopis!$E$28:$J$28),0)</f>
        <v>0.13541666666666666</v>
      </c>
      <c r="Y774" s="35">
        <f>IF(Mecze[[#This Row],[Role]]="BR",Mecze[[#This Row],[/OB:90]]+Mecze[[#This Row],[/PC:90]],SUM(Mecze[[#This Row],[/PR:90]:[/BR:90]]))</f>
        <v>7.2916666666666671E-2</v>
      </c>
      <c r="Z774" s="35">
        <f>IF(Mecze[[#This Row],[KC]]=0,SUM(Mecze[[#This Row],[/BRI]:[/NPI]]),SUM(Mecze[[#This Row],[/BRI]:[/NPI]])*0.6)</f>
        <v>0.47916666666666663</v>
      </c>
      <c r="AA774" s="10">
        <f>IFERROR(Mecze[[#This Row],[BR]]/Mecze[[#This Row],[ST]],0)</f>
        <v>0.25</v>
      </c>
      <c r="AB774">
        <f>ROUND(Mecze[[#This Row],[PD]]*Mecze[[#This Row],[%PC]],0)</f>
        <v>2</v>
      </c>
      <c r="AC774">
        <f>ROUND(Mecze[[#This Row],[OD]]*Mecze[[#This Row],[%OU]],0)</f>
        <v>0</v>
      </c>
      <c r="AD774" s="36" t="s">
        <v>46</v>
      </c>
      <c r="AE774" s="36">
        <v>43</v>
      </c>
      <c r="AF774" s="71">
        <v>7.11</v>
      </c>
      <c r="AG774" s="37">
        <v>0</v>
      </c>
      <c r="AH774" s="37">
        <v>0</v>
      </c>
      <c r="AI774" s="37">
        <v>96</v>
      </c>
      <c r="AJ774" s="37">
        <v>1</v>
      </c>
      <c r="AK774" s="37" t="str">
        <f>VLOOKUP(Mecze[[#This Row],[Match ID]],Meczusie[Mecz]:Meczusie[RodzajMeczu],2,FALSE)</f>
        <v>Liga</v>
      </c>
    </row>
    <row r="775" spans="1:37" x14ac:dyDescent="0.25">
      <c r="A775" s="76">
        <v>19</v>
      </c>
      <c r="B775" s="3" t="s">
        <v>166</v>
      </c>
      <c r="C775" s="2" t="s">
        <v>165</v>
      </c>
      <c r="D775" s="1">
        <v>0</v>
      </c>
      <c r="E775" s="1">
        <v>4</v>
      </c>
      <c r="F775" s="1">
        <v>1</v>
      </c>
      <c r="G775" s="1">
        <v>8</v>
      </c>
      <c r="H775" s="4">
        <v>0.5</v>
      </c>
      <c r="I775" s="1">
        <v>1</v>
      </c>
      <c r="J775" s="4">
        <v>0</v>
      </c>
      <c r="K775" s="1">
        <v>0</v>
      </c>
      <c r="L775" s="1">
        <v>0</v>
      </c>
      <c r="M775" s="32">
        <f>IF(Mecze[[#This Row],[PR]]=0,0,Mecze[[#This Row],[PR]]/Mecze[[#This Row],[CZAS]])</f>
        <v>0</v>
      </c>
      <c r="N775" s="32">
        <f>IF(Mecze[[#This Row],[OU]]=0,0,Mecze[[#This Row],[OU]]/Mecze[[#This Row],[CZAS]])</f>
        <v>0</v>
      </c>
      <c r="O775" s="32">
        <f>IF(Mecze[[#This Row],[PC]]=0,0,Mecze[[#This Row],[PC]]/Mecze[[#This Row],[CZAS]])</f>
        <v>4.1666666666666664E-2</v>
      </c>
      <c r="P775" s="32">
        <f>IF(Mecze[[#This Row],[SC]]=0,0,Mecze[[#This Row],[SC]]/Mecze[[#This Row],[CZAS]])</f>
        <v>1.0416666666666666E-2</v>
      </c>
      <c r="Q775" s="32">
        <f>IF(Mecze[[#This Row],[OB]]=0,0,Mecze[[#This Row],[OB]]/Mecze[[#This Row],[CZAS]])</f>
        <v>0</v>
      </c>
      <c r="R775" s="32">
        <f>IF(Mecze[[#This Row],[BR]]=0,0,Mecze[[#This Row],[BR]]/Mecze[[#This Row],[CZAS]])</f>
        <v>0</v>
      </c>
      <c r="S775" s="44">
        <f>IF(Mecze[[#This Row],[Role]]="BR",SUMPRODUCT(Mecze[[#This Row],[/PR:90]:[/BR:90]],Brudnopis!$E$23:$J$23),0)</f>
        <v>0</v>
      </c>
      <c r="T775" s="44">
        <f>IF(Mecze[[#This Row],[Role]]&lt;&gt;"BR",SUMPRODUCT(Mecze[[#This Row],[/PR:90]:[/BR:90]],Brudnopis!$E$24:$J$24),0)</f>
        <v>5.2083333333333329E-2</v>
      </c>
      <c r="U775" s="44">
        <f>IF(Mecze[[#This Row],[Role]]&lt;&gt;"BR",SUMPRODUCT(Mecze[[#This Row],[/PR:90]:[/BR:90]],Brudnopis!$E$25:$J$25),0)</f>
        <v>7.2916666666666671E-2</v>
      </c>
      <c r="V775" s="44">
        <f>IF(Mecze[[#This Row],[Role]]&lt;&gt;"BR",SUMPRODUCT(Mecze[[#This Row],[/PR:90]:[/BR:90]],Brudnopis!$E$26:$J$26),0)</f>
        <v>5.2083333333333329E-2</v>
      </c>
      <c r="W775" s="44">
        <f>IF(Mecze[[#This Row],[Role]]&lt;&gt;"BR",SUMPRODUCT(Mecze[[#This Row],[/PR:90]:[/BR:90]],Brudnopis!$E$27:$J$27),0)</f>
        <v>7.2916666666666671E-2</v>
      </c>
      <c r="X775" s="44">
        <f>IF(Mecze[[#This Row],[Role]]&lt;&gt;"BR",SUMPRODUCT(Mecze[[#This Row],[/PR:90]:[/BR:90]],Brudnopis!$E$28:$J$28),0)</f>
        <v>6.25E-2</v>
      </c>
      <c r="Y775" s="35">
        <f>IF(Mecze[[#This Row],[Role]]="BR",Mecze[[#This Row],[/OB:90]]+Mecze[[#This Row],[/PC:90]],SUM(Mecze[[#This Row],[/PR:90]:[/BR:90]]))</f>
        <v>5.2083333333333329E-2</v>
      </c>
      <c r="Z775" s="35">
        <f>IF(Mecze[[#This Row],[KC]]=0,SUM(Mecze[[#This Row],[/BRI]:[/NPI]]),SUM(Mecze[[#This Row],[/BRI]:[/NPI]])*0.6)</f>
        <v>0.3125</v>
      </c>
      <c r="AA775" s="10">
        <f>IFERROR(Mecze[[#This Row],[BR]]/Mecze[[#This Row],[ST]],0)</f>
        <v>0</v>
      </c>
      <c r="AB775">
        <f>ROUND(Mecze[[#This Row],[PD]]*Mecze[[#This Row],[%PC]],0)</f>
        <v>4</v>
      </c>
      <c r="AC775">
        <f>ROUND(Mecze[[#This Row],[OD]]*Mecze[[#This Row],[%OU]],0)</f>
        <v>0</v>
      </c>
      <c r="AD775" s="36" t="s">
        <v>46</v>
      </c>
      <c r="AE775" s="36">
        <v>43</v>
      </c>
      <c r="AF775" s="71">
        <v>5.48</v>
      </c>
      <c r="AG775" s="37">
        <v>0</v>
      </c>
      <c r="AH775" s="37">
        <v>0</v>
      </c>
      <c r="AI775" s="37">
        <v>96</v>
      </c>
      <c r="AJ775" s="37">
        <v>1</v>
      </c>
      <c r="AK775" s="37" t="str">
        <f>VLOOKUP(Mecze[[#This Row],[Match ID]],Meczusie[Mecz]:Meczusie[RodzajMeczu],2,FALSE)</f>
        <v>Liga</v>
      </c>
    </row>
    <row r="776" spans="1:37" x14ac:dyDescent="0.25">
      <c r="A776" s="76">
        <v>1</v>
      </c>
      <c r="B776" s="3" t="s">
        <v>220</v>
      </c>
      <c r="C776" s="2" t="s">
        <v>155</v>
      </c>
      <c r="D776" s="1">
        <v>0</v>
      </c>
      <c r="E776" s="1">
        <v>0</v>
      </c>
      <c r="F776" s="1">
        <v>0</v>
      </c>
      <c r="G776" s="1">
        <v>5</v>
      </c>
      <c r="H776" s="4">
        <v>0.8</v>
      </c>
      <c r="I776" s="1">
        <v>0</v>
      </c>
      <c r="J776" s="4"/>
      <c r="K776" s="1">
        <v>7</v>
      </c>
      <c r="L776" s="1">
        <v>0</v>
      </c>
      <c r="M776" s="32">
        <f>IF(Mecze[[#This Row],[PR]]=0,0,Mecze[[#This Row],[PR]]/Mecze[[#This Row],[CZAS]])</f>
        <v>0</v>
      </c>
      <c r="N776" s="32">
        <f>IF(Mecze[[#This Row],[OU]]=0,0,Mecze[[#This Row],[OU]]/Mecze[[#This Row],[CZAS]])</f>
        <v>0</v>
      </c>
      <c r="O776" s="32">
        <f>IF(Mecze[[#This Row],[PC]]=0,0,Mecze[[#This Row],[PC]]/Mecze[[#This Row],[CZAS]])</f>
        <v>4.1666666666666664E-2</v>
      </c>
      <c r="P776" s="32">
        <f>IF(Mecze[[#This Row],[SC]]=0,0,Mecze[[#This Row],[SC]]/Mecze[[#This Row],[CZAS]])</f>
        <v>0</v>
      </c>
      <c r="Q776" s="32">
        <f>IF(Mecze[[#This Row],[OB]]=0,0,Mecze[[#This Row],[OB]]/Mecze[[#This Row],[CZAS]])</f>
        <v>7.2916666666666671E-2</v>
      </c>
      <c r="R776" s="32">
        <f>IF(Mecze[[#This Row],[BR]]=0,0,Mecze[[#This Row],[BR]]/Mecze[[#This Row],[CZAS]])</f>
        <v>0</v>
      </c>
      <c r="S776" s="44">
        <f>IF(Mecze[[#This Row],[Role]]="BR",SUMPRODUCT(Mecze[[#This Row],[/PR:90]:[/BR:90]],Brudnopis!$E$23:$J$23),0)</f>
        <v>0.34375</v>
      </c>
      <c r="T776" s="44">
        <f>IF(Mecze[[#This Row],[Role]]&lt;&gt;"BR",SUMPRODUCT(Mecze[[#This Row],[/PR:90]:[/BR:90]],Brudnopis!$E$24:$J$24),0)</f>
        <v>0</v>
      </c>
      <c r="U776" s="44">
        <f>IF(Mecze[[#This Row],[Role]]&lt;&gt;"BR",SUMPRODUCT(Mecze[[#This Row],[/PR:90]:[/BR:90]],Brudnopis!$E$25:$J$25),0)</f>
        <v>0</v>
      </c>
      <c r="V776" s="44">
        <f>IF(Mecze[[#This Row],[Role]]&lt;&gt;"BR",SUMPRODUCT(Mecze[[#This Row],[/PR:90]:[/BR:90]],Brudnopis!$E$26:$J$26),0)</f>
        <v>0</v>
      </c>
      <c r="W776" s="44">
        <f>IF(Mecze[[#This Row],[Role]]&lt;&gt;"BR",SUMPRODUCT(Mecze[[#This Row],[/PR:90]:[/BR:90]],Brudnopis!$E$27:$J$27),0)</f>
        <v>0</v>
      </c>
      <c r="X776" s="44">
        <f>IF(Mecze[[#This Row],[Role]]&lt;&gt;"BR",SUMPRODUCT(Mecze[[#This Row],[/PR:90]:[/BR:90]],Brudnopis!$E$28:$J$28),0)</f>
        <v>0</v>
      </c>
      <c r="Y776" s="35">
        <f>IF(Mecze[[#This Row],[Role]]="BR",Mecze[[#This Row],[/OB:90]]+Mecze[[#This Row],[/PC:90]],SUM(Mecze[[#This Row],[/PR:90]:[/BR:90]]))</f>
        <v>0.11458333333333334</v>
      </c>
      <c r="Z776" s="35">
        <f>IF(Mecze[[#This Row],[KC]]=0,SUM(Mecze[[#This Row],[/BRI]:[/NPI]]),SUM(Mecze[[#This Row],[/BRI]:[/NPI]])*0.6)</f>
        <v>0.34375</v>
      </c>
      <c r="AA776" s="10">
        <f>IFERROR(Mecze[[#This Row],[BR]]/Mecze[[#This Row],[ST]],0)</f>
        <v>0</v>
      </c>
      <c r="AB776">
        <f>ROUND(Mecze[[#This Row],[PD]]*Mecze[[#This Row],[%PC]],0)</f>
        <v>4</v>
      </c>
      <c r="AC776">
        <f>ROUND(Mecze[[#This Row],[OD]]*Mecze[[#This Row],[%OU]],0)</f>
        <v>0</v>
      </c>
      <c r="AD776" s="36" t="s">
        <v>40</v>
      </c>
      <c r="AE776" s="36">
        <v>44</v>
      </c>
      <c r="AF776" s="71">
        <v>7.37</v>
      </c>
      <c r="AG776" s="37">
        <v>0</v>
      </c>
      <c r="AH776" s="37">
        <v>0</v>
      </c>
      <c r="AI776" s="37">
        <v>96</v>
      </c>
      <c r="AJ776" s="37">
        <v>2</v>
      </c>
      <c r="AK776" s="37" t="str">
        <f>VLOOKUP(Mecze[[#This Row],[Match ID]],Meczusie[Mecz]:Meczusie[RodzajMeczu],2,FALSE)</f>
        <v>Liga</v>
      </c>
    </row>
    <row r="777" spans="1:37" x14ac:dyDescent="0.25">
      <c r="A777" s="76">
        <v>3</v>
      </c>
      <c r="B777" s="3" t="s">
        <v>222</v>
      </c>
      <c r="C777" s="2" t="s">
        <v>157</v>
      </c>
      <c r="D777" s="1">
        <v>0</v>
      </c>
      <c r="E777" s="1">
        <v>0</v>
      </c>
      <c r="F777" s="1">
        <v>0</v>
      </c>
      <c r="G777" s="1">
        <v>8</v>
      </c>
      <c r="H777" s="4">
        <v>0.63</v>
      </c>
      <c r="I777" s="1">
        <v>8</v>
      </c>
      <c r="J777" s="4">
        <v>0.5</v>
      </c>
      <c r="K777" s="1">
        <v>0</v>
      </c>
      <c r="L777" s="1">
        <v>4</v>
      </c>
      <c r="M777" s="32">
        <f>IF(Mecze[[#This Row],[PR]]=0,0,Mecze[[#This Row],[PR]]/Mecze[[#This Row],[CZAS]])</f>
        <v>4.1666666666666664E-2</v>
      </c>
      <c r="N777" s="32">
        <f>IF(Mecze[[#This Row],[OU]]=0,0,Mecze[[#This Row],[OU]]/Mecze[[#This Row],[CZAS]])</f>
        <v>4.1666666666666664E-2</v>
      </c>
      <c r="O777" s="32">
        <f>IF(Mecze[[#This Row],[PC]]=0,0,Mecze[[#This Row],[PC]]/Mecze[[#This Row],[CZAS]])</f>
        <v>5.2083333333333336E-2</v>
      </c>
      <c r="P777" s="32">
        <f>IF(Mecze[[#This Row],[SC]]=0,0,Mecze[[#This Row],[SC]]/Mecze[[#This Row],[CZAS]])</f>
        <v>0</v>
      </c>
      <c r="Q777" s="32">
        <f>IF(Mecze[[#This Row],[OB]]=0,0,Mecze[[#This Row],[OB]]/Mecze[[#This Row],[CZAS]])</f>
        <v>0</v>
      </c>
      <c r="R777" s="32">
        <f>IF(Mecze[[#This Row],[BR]]=0,0,Mecze[[#This Row],[BR]]/Mecze[[#This Row],[CZAS]])</f>
        <v>0</v>
      </c>
      <c r="S777" s="44">
        <f>IF(Mecze[[#This Row],[Role]]="BR",SUMPRODUCT(Mecze[[#This Row],[/PR:90]:[/BR:90]],Brudnopis!$E$23:$J$23),0)</f>
        <v>0</v>
      </c>
      <c r="T777" s="44">
        <f>IF(Mecze[[#This Row],[Role]]&lt;&gt;"BR",SUMPRODUCT(Mecze[[#This Row],[/PR:90]:[/BR:90]],Brudnopis!$E$24:$J$24),0)</f>
        <v>0.15625</v>
      </c>
      <c r="U777" s="44">
        <f>IF(Mecze[[#This Row],[Role]]&lt;&gt;"BR",SUMPRODUCT(Mecze[[#This Row],[/PR:90]:[/BR:90]],Brudnopis!$E$25:$J$25),0)</f>
        <v>0.16145833333333331</v>
      </c>
      <c r="V777" s="44">
        <f>IF(Mecze[[#This Row],[Role]]&lt;&gt;"BR",SUMPRODUCT(Mecze[[#This Row],[/PR:90]:[/BR:90]],Brudnopis!$E$26:$J$26),0)</f>
        <v>0.13541666666666666</v>
      </c>
      <c r="W777" s="44">
        <f>IF(Mecze[[#This Row],[Role]]&lt;&gt;"BR",SUMPRODUCT(Mecze[[#This Row],[/PR:90]:[/BR:90]],Brudnopis!$E$27:$J$27),0)</f>
        <v>0.140625</v>
      </c>
      <c r="X777" s="44">
        <f>IF(Mecze[[#This Row],[Role]]&lt;&gt;"BR",SUMPRODUCT(Mecze[[#This Row],[/PR:90]:[/BR:90]],Brudnopis!$E$28:$J$28),0)</f>
        <v>5.2083333333333336E-2</v>
      </c>
      <c r="Y777" s="35">
        <f>IF(Mecze[[#This Row],[Role]]="BR",Mecze[[#This Row],[/OB:90]]+Mecze[[#This Row],[/PC:90]],SUM(Mecze[[#This Row],[/PR:90]:[/BR:90]]))</f>
        <v>0.13541666666666666</v>
      </c>
      <c r="Z777" s="35">
        <f>IF(Mecze[[#This Row],[KC]]=0,SUM(Mecze[[#This Row],[/BRI]:[/NPI]]),SUM(Mecze[[#This Row],[/BRI]:[/NPI]])*0.6)</f>
        <v>0.64583333333333337</v>
      </c>
      <c r="AA777" s="10">
        <f>IFERROR(Mecze[[#This Row],[BR]]/Mecze[[#This Row],[ST]],0)</f>
        <v>0</v>
      </c>
      <c r="AB777">
        <f>ROUND(Mecze[[#This Row],[PD]]*Mecze[[#This Row],[%PC]],0)</f>
        <v>5</v>
      </c>
      <c r="AC777">
        <f>ROUND(Mecze[[#This Row],[OD]]*Mecze[[#This Row],[%OU]],0)</f>
        <v>4</v>
      </c>
      <c r="AD777" s="36" t="s">
        <v>47</v>
      </c>
      <c r="AE777" s="36">
        <v>44</v>
      </c>
      <c r="AF777" s="71">
        <v>3.66</v>
      </c>
      <c r="AG777" s="37">
        <v>1</v>
      </c>
      <c r="AH777" s="37">
        <v>0</v>
      </c>
      <c r="AI777" s="37">
        <v>96</v>
      </c>
      <c r="AJ777" s="37">
        <v>2</v>
      </c>
      <c r="AK777" s="37" t="str">
        <f>VLOOKUP(Mecze[[#This Row],[Match ID]],Meczusie[Mecz]:Meczusie[RodzajMeczu],2,FALSE)</f>
        <v>Liga</v>
      </c>
    </row>
    <row r="778" spans="1:37" x14ac:dyDescent="0.25">
      <c r="A778" s="76">
        <v>4</v>
      </c>
      <c r="B778" s="3" t="s">
        <v>221</v>
      </c>
      <c r="C778" s="2" t="s">
        <v>157</v>
      </c>
      <c r="D778" s="1">
        <v>0</v>
      </c>
      <c r="E778" s="1">
        <v>0</v>
      </c>
      <c r="F778" s="1">
        <v>0</v>
      </c>
      <c r="G778" s="1">
        <v>14</v>
      </c>
      <c r="H778" s="4">
        <v>0.71</v>
      </c>
      <c r="I778" s="1">
        <v>5</v>
      </c>
      <c r="J778" s="4">
        <v>0.8</v>
      </c>
      <c r="K778" s="1">
        <v>0</v>
      </c>
      <c r="L778" s="1">
        <v>7</v>
      </c>
      <c r="M778" s="32">
        <f>IF(Mecze[[#This Row],[PR]]=0,0,Mecze[[#This Row],[PR]]/Mecze[[#This Row],[CZAS]])</f>
        <v>7.2916666666666671E-2</v>
      </c>
      <c r="N778" s="32">
        <f>IF(Mecze[[#This Row],[OU]]=0,0,Mecze[[#This Row],[OU]]/Mecze[[#This Row],[CZAS]])</f>
        <v>4.1666666666666664E-2</v>
      </c>
      <c r="O778" s="32">
        <f>IF(Mecze[[#This Row],[PC]]=0,0,Mecze[[#This Row],[PC]]/Mecze[[#This Row],[CZAS]])</f>
        <v>0.10416666666666667</v>
      </c>
      <c r="P778" s="32">
        <f>IF(Mecze[[#This Row],[SC]]=0,0,Mecze[[#This Row],[SC]]/Mecze[[#This Row],[CZAS]])</f>
        <v>0</v>
      </c>
      <c r="Q778" s="32">
        <f>IF(Mecze[[#This Row],[OB]]=0,0,Mecze[[#This Row],[OB]]/Mecze[[#This Row],[CZAS]])</f>
        <v>0</v>
      </c>
      <c r="R778" s="32">
        <f>IF(Mecze[[#This Row],[BR]]=0,0,Mecze[[#This Row],[BR]]/Mecze[[#This Row],[CZAS]])</f>
        <v>0</v>
      </c>
      <c r="S778" s="44">
        <f>IF(Mecze[[#This Row],[Role]]="BR",SUMPRODUCT(Mecze[[#This Row],[/PR:90]:[/BR:90]],Brudnopis!$E$23:$J$23),0)</f>
        <v>0</v>
      </c>
      <c r="T778" s="44">
        <f>IF(Mecze[[#This Row],[Role]]&lt;&gt;"BR",SUMPRODUCT(Mecze[[#This Row],[/PR:90]:[/BR:90]],Brudnopis!$E$24:$J$24),0)</f>
        <v>0.23958333333333337</v>
      </c>
      <c r="U778" s="44">
        <f>IF(Mecze[[#This Row],[Role]]&lt;&gt;"BR",SUMPRODUCT(Mecze[[#This Row],[/PR:90]:[/BR:90]],Brudnopis!$E$25:$J$25),0)</f>
        <v>0.27083333333333337</v>
      </c>
      <c r="V778" s="44">
        <f>IF(Mecze[[#This Row],[Role]]&lt;&gt;"BR",SUMPRODUCT(Mecze[[#This Row],[/PR:90]:[/BR:90]],Brudnopis!$E$26:$J$26),0)</f>
        <v>0.21875</v>
      </c>
      <c r="W778" s="44">
        <f>IF(Mecze[[#This Row],[Role]]&lt;&gt;"BR",SUMPRODUCT(Mecze[[#This Row],[/PR:90]:[/BR:90]],Brudnopis!$E$27:$J$27),0)</f>
        <v>0.2421875</v>
      </c>
      <c r="X778" s="44">
        <f>IF(Mecze[[#This Row],[Role]]&lt;&gt;"BR",SUMPRODUCT(Mecze[[#This Row],[/PR:90]:[/BR:90]],Brudnopis!$E$28:$J$28),0)</f>
        <v>0.10416666666666667</v>
      </c>
      <c r="Y778" s="35">
        <f>IF(Mecze[[#This Row],[Role]]="BR",Mecze[[#This Row],[/OB:90]]+Mecze[[#This Row],[/PC:90]],SUM(Mecze[[#This Row],[/PR:90]:[/BR:90]]))</f>
        <v>0.21875</v>
      </c>
      <c r="Z778" s="35">
        <f>IF(Mecze[[#This Row],[KC]]=0,SUM(Mecze[[#This Row],[/BRI]:[/NPI]]),SUM(Mecze[[#This Row],[/BRI]:[/NPI]])*0.6)</f>
        <v>1.0755208333333335</v>
      </c>
      <c r="AA778" s="10">
        <f>IFERROR(Mecze[[#This Row],[BR]]/Mecze[[#This Row],[ST]],0)</f>
        <v>0</v>
      </c>
      <c r="AB778">
        <f>ROUND(Mecze[[#This Row],[PD]]*Mecze[[#This Row],[%PC]],0)</f>
        <v>10</v>
      </c>
      <c r="AC778">
        <f>ROUND(Mecze[[#This Row],[OD]]*Mecze[[#This Row],[%OU]],0)</f>
        <v>4</v>
      </c>
      <c r="AD778" s="36" t="s">
        <v>47</v>
      </c>
      <c r="AE778" s="36">
        <v>44</v>
      </c>
      <c r="AF778" s="71">
        <v>6.6</v>
      </c>
      <c r="AG778" s="37">
        <v>0</v>
      </c>
      <c r="AH778" s="37">
        <v>0</v>
      </c>
      <c r="AI778" s="37">
        <v>96</v>
      </c>
      <c r="AJ778" s="37">
        <v>2</v>
      </c>
      <c r="AK778" s="37" t="str">
        <f>VLOOKUP(Mecze[[#This Row],[Match ID]],Meczusie[Mecz]:Meczusie[RodzajMeczu],2,FALSE)</f>
        <v>Liga</v>
      </c>
    </row>
    <row r="779" spans="1:37" x14ac:dyDescent="0.25">
      <c r="A779" s="76">
        <v>5</v>
      </c>
      <c r="B779" s="3" t="s">
        <v>223</v>
      </c>
      <c r="C779" s="2" t="s">
        <v>157</v>
      </c>
      <c r="D779" s="1">
        <v>0</v>
      </c>
      <c r="E779" s="1">
        <v>0</v>
      </c>
      <c r="F779" s="1">
        <v>0</v>
      </c>
      <c r="G779" s="1">
        <v>6</v>
      </c>
      <c r="H779" s="4">
        <v>0.5</v>
      </c>
      <c r="I779" s="1">
        <v>3</v>
      </c>
      <c r="J779" s="4">
        <v>0.67</v>
      </c>
      <c r="K779" s="1">
        <v>0</v>
      </c>
      <c r="L779" s="1">
        <v>1</v>
      </c>
      <c r="M779" s="32">
        <f>IF(Mecze[[#This Row],[PR]]=0,0,Mecze[[#This Row],[PR]]/Mecze[[#This Row],[CZAS]])</f>
        <v>1.0416666666666666E-2</v>
      </c>
      <c r="N779" s="32">
        <f>IF(Mecze[[#This Row],[OU]]=0,0,Mecze[[#This Row],[OU]]/Mecze[[#This Row],[CZAS]])</f>
        <v>2.0833333333333332E-2</v>
      </c>
      <c r="O779" s="32">
        <f>IF(Mecze[[#This Row],[PC]]=0,0,Mecze[[#This Row],[PC]]/Mecze[[#This Row],[CZAS]])</f>
        <v>3.125E-2</v>
      </c>
      <c r="P779" s="32">
        <f>IF(Mecze[[#This Row],[SC]]=0,0,Mecze[[#This Row],[SC]]/Mecze[[#This Row],[CZAS]])</f>
        <v>0</v>
      </c>
      <c r="Q779" s="32">
        <f>IF(Mecze[[#This Row],[OB]]=0,0,Mecze[[#This Row],[OB]]/Mecze[[#This Row],[CZAS]])</f>
        <v>0</v>
      </c>
      <c r="R779" s="32">
        <f>IF(Mecze[[#This Row],[BR]]=0,0,Mecze[[#This Row],[BR]]/Mecze[[#This Row],[CZAS]])</f>
        <v>0</v>
      </c>
      <c r="S779" s="44">
        <f>IF(Mecze[[#This Row],[Role]]="BR",SUMPRODUCT(Mecze[[#This Row],[/PR:90]:[/BR:90]],Brudnopis!$E$23:$J$23),0)</f>
        <v>0</v>
      </c>
      <c r="T779" s="44">
        <f>IF(Mecze[[#This Row],[Role]]&lt;&gt;"BR",SUMPRODUCT(Mecze[[#This Row],[/PR:90]:[/BR:90]],Brudnopis!$E$24:$J$24),0)</f>
        <v>7.2916666666666657E-2</v>
      </c>
      <c r="U779" s="44">
        <f>IF(Mecze[[#This Row],[Role]]&lt;&gt;"BR",SUMPRODUCT(Mecze[[#This Row],[/PR:90]:[/BR:90]],Brudnopis!$E$25:$J$25),0)</f>
        <v>7.8125E-2</v>
      </c>
      <c r="V779" s="44">
        <f>IF(Mecze[[#This Row],[Role]]&lt;&gt;"BR",SUMPRODUCT(Mecze[[#This Row],[/PR:90]:[/BR:90]],Brudnopis!$E$26:$J$26),0)</f>
        <v>6.25E-2</v>
      </c>
      <c r="W779" s="44">
        <f>IF(Mecze[[#This Row],[Role]]&lt;&gt;"BR",SUMPRODUCT(Mecze[[#This Row],[/PR:90]:[/BR:90]],Brudnopis!$E$27:$J$27),0)</f>
        <v>7.03125E-2</v>
      </c>
      <c r="X779" s="44">
        <f>IF(Mecze[[#This Row],[Role]]&lt;&gt;"BR",SUMPRODUCT(Mecze[[#This Row],[/PR:90]:[/BR:90]],Brudnopis!$E$28:$J$28),0)</f>
        <v>3.125E-2</v>
      </c>
      <c r="Y779" s="35">
        <f>IF(Mecze[[#This Row],[Role]]="BR",Mecze[[#This Row],[/OB:90]]+Mecze[[#This Row],[/PC:90]],SUM(Mecze[[#This Row],[/PR:90]:[/BR:90]]))</f>
        <v>6.25E-2</v>
      </c>
      <c r="Z779" s="35">
        <f>IF(Mecze[[#This Row],[KC]]=0,SUM(Mecze[[#This Row],[/BRI]:[/NPI]]),SUM(Mecze[[#This Row],[/BRI]:[/NPI]])*0.6)</f>
        <v>0.31510416666666663</v>
      </c>
      <c r="AA779" s="10">
        <f>IFERROR(Mecze[[#This Row],[BR]]/Mecze[[#This Row],[ST]],0)</f>
        <v>0</v>
      </c>
      <c r="AB779">
        <f>ROUND(Mecze[[#This Row],[PD]]*Mecze[[#This Row],[%PC]],0)</f>
        <v>3</v>
      </c>
      <c r="AC779">
        <f>ROUND(Mecze[[#This Row],[OD]]*Mecze[[#This Row],[%OU]],0)</f>
        <v>2</v>
      </c>
      <c r="AD779" s="36" t="s">
        <v>174</v>
      </c>
      <c r="AE779" s="36">
        <v>44</v>
      </c>
      <c r="AF779" s="71">
        <v>4.1399999999999997</v>
      </c>
      <c r="AG779" s="37">
        <v>0</v>
      </c>
      <c r="AH779" s="37">
        <v>0</v>
      </c>
      <c r="AI779" s="37">
        <v>96</v>
      </c>
      <c r="AJ779" s="37">
        <v>2</v>
      </c>
      <c r="AK779" s="37" t="str">
        <f>VLOOKUP(Mecze[[#This Row],[Match ID]],Meczusie[Mecz]:Meczusie[RodzajMeczu],2,FALSE)</f>
        <v>Liga</v>
      </c>
    </row>
    <row r="780" spans="1:37" x14ac:dyDescent="0.25">
      <c r="A780" s="76">
        <v>2</v>
      </c>
      <c r="B780" s="3" t="s">
        <v>224</v>
      </c>
      <c r="C780" s="2" t="s">
        <v>157</v>
      </c>
      <c r="D780" s="1">
        <v>0</v>
      </c>
      <c r="E780" s="1">
        <v>0</v>
      </c>
      <c r="F780" s="1">
        <v>0</v>
      </c>
      <c r="G780" s="1">
        <v>3</v>
      </c>
      <c r="H780" s="4">
        <v>1</v>
      </c>
      <c r="I780" s="1">
        <v>2</v>
      </c>
      <c r="J780" s="4">
        <v>0.5</v>
      </c>
      <c r="K780" s="1">
        <v>0</v>
      </c>
      <c r="L780" s="1">
        <v>4</v>
      </c>
      <c r="M780" s="32">
        <f>IF(Mecze[[#This Row],[PR]]=0,0,Mecze[[#This Row],[PR]]/Mecze[[#This Row],[CZAS]])</f>
        <v>4.1666666666666664E-2</v>
      </c>
      <c r="N780" s="32">
        <f>IF(Mecze[[#This Row],[OU]]=0,0,Mecze[[#This Row],[OU]]/Mecze[[#This Row],[CZAS]])</f>
        <v>1.0416666666666666E-2</v>
      </c>
      <c r="O780" s="32">
        <f>IF(Mecze[[#This Row],[PC]]=0,0,Mecze[[#This Row],[PC]]/Mecze[[#This Row],[CZAS]])</f>
        <v>3.125E-2</v>
      </c>
      <c r="P780" s="32">
        <f>IF(Mecze[[#This Row],[SC]]=0,0,Mecze[[#This Row],[SC]]/Mecze[[#This Row],[CZAS]])</f>
        <v>0</v>
      </c>
      <c r="Q780" s="32">
        <f>IF(Mecze[[#This Row],[OB]]=0,0,Mecze[[#This Row],[OB]]/Mecze[[#This Row],[CZAS]])</f>
        <v>0</v>
      </c>
      <c r="R780" s="32">
        <f>IF(Mecze[[#This Row],[BR]]=0,0,Mecze[[#This Row],[BR]]/Mecze[[#This Row],[CZAS]])</f>
        <v>0</v>
      </c>
      <c r="S780" s="44">
        <f>IF(Mecze[[#This Row],[Role]]="BR",SUMPRODUCT(Mecze[[#This Row],[/PR:90]:[/BR:90]],Brudnopis!$E$23:$J$23),0)</f>
        <v>0</v>
      </c>
      <c r="T780" s="44">
        <f>IF(Mecze[[#This Row],[Role]]&lt;&gt;"BR",SUMPRODUCT(Mecze[[#This Row],[/PR:90]:[/BR:90]],Brudnopis!$E$24:$J$24),0)</f>
        <v>8.8541666666666657E-2</v>
      </c>
      <c r="U780" s="44">
        <f>IF(Mecze[[#This Row],[Role]]&lt;&gt;"BR",SUMPRODUCT(Mecze[[#This Row],[/PR:90]:[/BR:90]],Brudnopis!$E$25:$J$25),0)</f>
        <v>9.8958333333333329E-2</v>
      </c>
      <c r="V780" s="44">
        <f>IF(Mecze[[#This Row],[Role]]&lt;&gt;"BR",SUMPRODUCT(Mecze[[#This Row],[/PR:90]:[/BR:90]],Brudnopis!$E$26:$J$26),0)</f>
        <v>8.3333333333333329E-2</v>
      </c>
      <c r="W780" s="44">
        <f>IF(Mecze[[#This Row],[Role]]&lt;&gt;"BR",SUMPRODUCT(Mecze[[#This Row],[/PR:90]:[/BR:90]],Brudnopis!$E$27:$J$27),0)</f>
        <v>8.59375E-2</v>
      </c>
      <c r="X780" s="44">
        <f>IF(Mecze[[#This Row],[Role]]&lt;&gt;"BR",SUMPRODUCT(Mecze[[#This Row],[/PR:90]:[/BR:90]],Brudnopis!$E$28:$J$28),0)</f>
        <v>3.125E-2</v>
      </c>
      <c r="Y780" s="35">
        <f>IF(Mecze[[#This Row],[Role]]="BR",Mecze[[#This Row],[/OB:90]]+Mecze[[#This Row],[/PC:90]],SUM(Mecze[[#This Row],[/PR:90]:[/BR:90]]))</f>
        <v>8.3333333333333329E-2</v>
      </c>
      <c r="Z780" s="35">
        <f>IF(Mecze[[#This Row],[KC]]=0,SUM(Mecze[[#This Row],[/BRI]:[/NPI]]),SUM(Mecze[[#This Row],[/BRI]:[/NPI]])*0.6)</f>
        <v>0.38802083333333331</v>
      </c>
      <c r="AA780" s="10">
        <f>IFERROR(Mecze[[#This Row],[BR]]/Mecze[[#This Row],[ST]],0)</f>
        <v>0</v>
      </c>
      <c r="AB780">
        <f>ROUND(Mecze[[#This Row],[PD]]*Mecze[[#This Row],[%PC]],0)</f>
        <v>3</v>
      </c>
      <c r="AC780">
        <f>ROUND(Mecze[[#This Row],[OD]]*Mecze[[#This Row],[%OU]],0)</f>
        <v>1</v>
      </c>
      <c r="AD780" s="36" t="s">
        <v>175</v>
      </c>
      <c r="AE780" s="36">
        <v>44</v>
      </c>
      <c r="AF780" s="71">
        <v>3.65</v>
      </c>
      <c r="AG780" s="37">
        <v>0</v>
      </c>
      <c r="AH780" s="37">
        <v>0</v>
      </c>
      <c r="AI780" s="37">
        <v>96</v>
      </c>
      <c r="AJ780" s="37">
        <v>2</v>
      </c>
      <c r="AK780" s="37" t="str">
        <f>VLOOKUP(Mecze[[#This Row],[Match ID]],Meczusie[Mecz]:Meczusie[RodzajMeczu],2,FALSE)</f>
        <v>Liga</v>
      </c>
    </row>
    <row r="781" spans="1:37" x14ac:dyDescent="0.25">
      <c r="A781" s="76">
        <v>7</v>
      </c>
      <c r="B781" s="3" t="s">
        <v>226</v>
      </c>
      <c r="C781" s="2" t="s">
        <v>160</v>
      </c>
      <c r="D781" s="1">
        <v>0</v>
      </c>
      <c r="E781" s="1">
        <v>1</v>
      </c>
      <c r="F781" s="1">
        <v>1</v>
      </c>
      <c r="G781" s="1">
        <v>15</v>
      </c>
      <c r="H781" s="4">
        <v>0.8</v>
      </c>
      <c r="I781" s="1">
        <v>9</v>
      </c>
      <c r="J781" s="4">
        <v>0.56000000000000005</v>
      </c>
      <c r="K781" s="1">
        <v>0</v>
      </c>
      <c r="L781" s="1">
        <v>5</v>
      </c>
      <c r="M781" s="32">
        <f>IF(Mecze[[#This Row],[PR]]=0,0,Mecze[[#This Row],[PR]]/Mecze[[#This Row],[CZAS]])</f>
        <v>5.2083333333333336E-2</v>
      </c>
      <c r="N781" s="32">
        <f>IF(Mecze[[#This Row],[OU]]=0,0,Mecze[[#This Row],[OU]]/Mecze[[#This Row],[CZAS]])</f>
        <v>5.2083333333333336E-2</v>
      </c>
      <c r="O781" s="32">
        <f>IF(Mecze[[#This Row],[PC]]=0,0,Mecze[[#This Row],[PC]]/Mecze[[#This Row],[CZAS]])</f>
        <v>0.125</v>
      </c>
      <c r="P781" s="32">
        <f>IF(Mecze[[#This Row],[SC]]=0,0,Mecze[[#This Row],[SC]]/Mecze[[#This Row],[CZAS]])</f>
        <v>1.0416666666666666E-2</v>
      </c>
      <c r="Q781" s="32">
        <f>IF(Mecze[[#This Row],[OB]]=0,0,Mecze[[#This Row],[OB]]/Mecze[[#This Row],[CZAS]])</f>
        <v>0</v>
      </c>
      <c r="R781" s="32">
        <f>IF(Mecze[[#This Row],[BR]]=0,0,Mecze[[#This Row],[BR]]/Mecze[[#This Row],[CZAS]])</f>
        <v>0</v>
      </c>
      <c r="S781" s="44">
        <f>IF(Mecze[[#This Row],[Role]]="BR",SUMPRODUCT(Mecze[[#This Row],[/PR:90]:[/BR:90]],Brudnopis!$E$23:$J$23),0)</f>
        <v>0</v>
      </c>
      <c r="T781" s="44">
        <f>IF(Mecze[[#This Row],[Role]]&lt;&gt;"BR",SUMPRODUCT(Mecze[[#This Row],[/PR:90]:[/BR:90]],Brudnopis!$E$24:$J$24),0)</f>
        <v>0.26562500000000006</v>
      </c>
      <c r="U781" s="44">
        <f>IF(Mecze[[#This Row],[Role]]&lt;&gt;"BR",SUMPRODUCT(Mecze[[#This Row],[/PR:90]:[/BR:90]],Brudnopis!$E$25:$J$25),0)</f>
        <v>0.30208333333333337</v>
      </c>
      <c r="V781" s="44">
        <f>IF(Mecze[[#This Row],[Role]]&lt;&gt;"BR",SUMPRODUCT(Mecze[[#This Row],[/PR:90]:[/BR:90]],Brudnopis!$E$26:$J$26),0)</f>
        <v>0.23958333333333334</v>
      </c>
      <c r="W781" s="44">
        <f>IF(Mecze[[#This Row],[Role]]&lt;&gt;"BR",SUMPRODUCT(Mecze[[#This Row],[/PR:90]:[/BR:90]],Brudnopis!$E$27:$J$27),0)</f>
        <v>0.27604166666666669</v>
      </c>
      <c r="X781" s="44">
        <f>IF(Mecze[[#This Row],[Role]]&lt;&gt;"BR",SUMPRODUCT(Mecze[[#This Row],[/PR:90]:[/BR:90]],Brudnopis!$E$28:$J$28),0)</f>
        <v>0.14583333333333334</v>
      </c>
      <c r="Y781" s="35">
        <f>IF(Mecze[[#This Row],[Role]]="BR",Mecze[[#This Row],[/OB:90]]+Mecze[[#This Row],[/PC:90]],SUM(Mecze[[#This Row],[/PR:90]:[/BR:90]]))</f>
        <v>0.23958333333333334</v>
      </c>
      <c r="Z781" s="35">
        <f>IF(Mecze[[#This Row],[KC]]=0,SUM(Mecze[[#This Row],[/BRI]:[/NPI]]),SUM(Mecze[[#This Row],[/BRI]:[/NPI]])*0.6)</f>
        <v>1.2291666666666667</v>
      </c>
      <c r="AA781" s="10">
        <f>IFERROR(Mecze[[#This Row],[BR]]/Mecze[[#This Row],[ST]],0)</f>
        <v>0</v>
      </c>
      <c r="AB781">
        <f>ROUND(Mecze[[#This Row],[PD]]*Mecze[[#This Row],[%PC]],0)</f>
        <v>12</v>
      </c>
      <c r="AC781">
        <f>ROUND(Mecze[[#This Row],[OD]]*Mecze[[#This Row],[%OU]],0)</f>
        <v>5</v>
      </c>
      <c r="AD781" s="36" t="s">
        <v>41</v>
      </c>
      <c r="AE781" s="36">
        <v>44</v>
      </c>
      <c r="AF781" s="71">
        <v>6.21</v>
      </c>
      <c r="AG781" s="37">
        <v>1</v>
      </c>
      <c r="AH781" s="37">
        <v>0</v>
      </c>
      <c r="AI781" s="37">
        <v>96</v>
      </c>
      <c r="AJ781" s="37">
        <v>2</v>
      </c>
      <c r="AK781" s="37" t="str">
        <f>VLOOKUP(Mecze[[#This Row],[Match ID]],Meczusie[Mecz]:Meczusie[RodzajMeczu],2,FALSE)</f>
        <v>Liga</v>
      </c>
    </row>
    <row r="782" spans="1:37" x14ac:dyDescent="0.25">
      <c r="A782" s="76">
        <v>6</v>
      </c>
      <c r="B782" s="3" t="s">
        <v>225</v>
      </c>
      <c r="C782" s="2" t="s">
        <v>160</v>
      </c>
      <c r="D782" s="1">
        <v>0</v>
      </c>
      <c r="E782" s="1">
        <v>0</v>
      </c>
      <c r="F782" s="1">
        <v>0</v>
      </c>
      <c r="G782" s="1">
        <v>15</v>
      </c>
      <c r="H782" s="4">
        <v>0.53</v>
      </c>
      <c r="I782" s="1">
        <v>6</v>
      </c>
      <c r="J782" s="4">
        <v>0.83</v>
      </c>
      <c r="K782" s="1">
        <v>0</v>
      </c>
      <c r="L782" s="1">
        <v>4</v>
      </c>
      <c r="M782" s="32">
        <f>IF(Mecze[[#This Row],[PR]]=0,0,Mecze[[#This Row],[PR]]/Mecze[[#This Row],[CZAS]])</f>
        <v>4.1666666666666664E-2</v>
      </c>
      <c r="N782" s="32">
        <f>IF(Mecze[[#This Row],[OU]]=0,0,Mecze[[#This Row],[OU]]/Mecze[[#This Row],[CZAS]])</f>
        <v>5.2083333333333336E-2</v>
      </c>
      <c r="O782" s="32">
        <f>IF(Mecze[[#This Row],[PC]]=0,0,Mecze[[#This Row],[PC]]/Mecze[[#This Row],[CZAS]])</f>
        <v>8.3333333333333329E-2</v>
      </c>
      <c r="P782" s="32">
        <f>IF(Mecze[[#This Row],[SC]]=0,0,Mecze[[#This Row],[SC]]/Mecze[[#This Row],[CZAS]])</f>
        <v>0</v>
      </c>
      <c r="Q782" s="32">
        <f>IF(Mecze[[#This Row],[OB]]=0,0,Mecze[[#This Row],[OB]]/Mecze[[#This Row],[CZAS]])</f>
        <v>0</v>
      </c>
      <c r="R782" s="32">
        <f>IF(Mecze[[#This Row],[BR]]=0,0,Mecze[[#This Row],[BR]]/Mecze[[#This Row],[CZAS]])</f>
        <v>0</v>
      </c>
      <c r="S782" s="44">
        <f>IF(Mecze[[#This Row],[Role]]="BR",SUMPRODUCT(Mecze[[#This Row],[/PR:90]:[/BR:90]],Brudnopis!$E$23:$J$23),0)</f>
        <v>0</v>
      </c>
      <c r="T782" s="44">
        <f>IF(Mecze[[#This Row],[Role]]&lt;&gt;"BR",SUMPRODUCT(Mecze[[#This Row],[/PR:90]:[/BR:90]],Brudnopis!$E$24:$J$24),0)</f>
        <v>0.203125</v>
      </c>
      <c r="U782" s="44">
        <f>IF(Mecze[[#This Row],[Role]]&lt;&gt;"BR",SUMPRODUCT(Mecze[[#This Row],[/PR:90]:[/BR:90]],Brudnopis!$E$25:$J$25),0)</f>
        <v>0.21875</v>
      </c>
      <c r="V782" s="44">
        <f>IF(Mecze[[#This Row],[Role]]&lt;&gt;"BR",SUMPRODUCT(Mecze[[#This Row],[/PR:90]:[/BR:90]],Brudnopis!$E$26:$J$26),0)</f>
        <v>0.17708333333333331</v>
      </c>
      <c r="W782" s="44">
        <f>IF(Mecze[[#This Row],[Role]]&lt;&gt;"BR",SUMPRODUCT(Mecze[[#This Row],[/PR:90]:[/BR:90]],Brudnopis!$E$27:$J$27),0)</f>
        <v>0.1953125</v>
      </c>
      <c r="X782" s="44">
        <f>IF(Mecze[[#This Row],[Role]]&lt;&gt;"BR",SUMPRODUCT(Mecze[[#This Row],[/PR:90]:[/BR:90]],Brudnopis!$E$28:$J$28),0)</f>
        <v>8.3333333333333329E-2</v>
      </c>
      <c r="Y782" s="35">
        <f>IF(Mecze[[#This Row],[Role]]="BR",Mecze[[#This Row],[/OB:90]]+Mecze[[#This Row],[/PC:90]],SUM(Mecze[[#This Row],[/PR:90]:[/BR:90]]))</f>
        <v>0.17708333333333331</v>
      </c>
      <c r="Z782" s="35">
        <f>IF(Mecze[[#This Row],[KC]]=0,SUM(Mecze[[#This Row],[/BRI]:[/NPI]]),SUM(Mecze[[#This Row],[/BRI]:[/NPI]])*0.6)</f>
        <v>0.87760416666666663</v>
      </c>
      <c r="AA782" s="10">
        <f>IFERROR(Mecze[[#This Row],[BR]]/Mecze[[#This Row],[ST]],0)</f>
        <v>0</v>
      </c>
      <c r="AB782">
        <f>ROUND(Mecze[[#This Row],[PD]]*Mecze[[#This Row],[%PC]],0)</f>
        <v>8</v>
      </c>
      <c r="AC782">
        <f>ROUND(Mecze[[#This Row],[OD]]*Mecze[[#This Row],[%OU]],0)</f>
        <v>5</v>
      </c>
      <c r="AD782" s="36" t="s">
        <v>41</v>
      </c>
      <c r="AE782" s="36">
        <v>44</v>
      </c>
      <c r="AF782" s="71">
        <v>5.97</v>
      </c>
      <c r="AG782" s="37">
        <v>0</v>
      </c>
      <c r="AH782" s="37">
        <v>0</v>
      </c>
      <c r="AI782" s="37">
        <v>96</v>
      </c>
      <c r="AJ782" s="37">
        <v>2</v>
      </c>
      <c r="AK782" s="37" t="str">
        <f>VLOOKUP(Mecze[[#This Row],[Match ID]],Meczusie[Mecz]:Meczusie[RodzajMeczu],2,FALSE)</f>
        <v>Liga</v>
      </c>
    </row>
    <row r="783" spans="1:37" x14ac:dyDescent="0.25">
      <c r="A783" s="76">
        <v>9</v>
      </c>
      <c r="B783" s="3" t="s">
        <v>227</v>
      </c>
      <c r="C783" s="2" t="s">
        <v>160</v>
      </c>
      <c r="D783" s="1">
        <v>0</v>
      </c>
      <c r="E783" s="1">
        <v>0</v>
      </c>
      <c r="F783" s="1">
        <v>0</v>
      </c>
      <c r="G783" s="1">
        <v>13</v>
      </c>
      <c r="H783" s="4">
        <v>0.85</v>
      </c>
      <c r="I783" s="1">
        <v>12</v>
      </c>
      <c r="J783" s="4">
        <v>0.33</v>
      </c>
      <c r="K783" s="1">
        <v>0</v>
      </c>
      <c r="L783" s="1">
        <v>3</v>
      </c>
      <c r="M783" s="32">
        <f>IF(Mecze[[#This Row],[PR]]=0,0,Mecze[[#This Row],[PR]]/Mecze[[#This Row],[CZAS]])</f>
        <v>3.125E-2</v>
      </c>
      <c r="N783" s="32">
        <f>IF(Mecze[[#This Row],[OU]]=0,0,Mecze[[#This Row],[OU]]/Mecze[[#This Row],[CZAS]])</f>
        <v>4.1666666666666664E-2</v>
      </c>
      <c r="O783" s="32">
        <f>IF(Mecze[[#This Row],[PC]]=0,0,Mecze[[#This Row],[PC]]/Mecze[[#This Row],[CZAS]])</f>
        <v>0.11458333333333333</v>
      </c>
      <c r="P783" s="32">
        <f>IF(Mecze[[#This Row],[SC]]=0,0,Mecze[[#This Row],[SC]]/Mecze[[#This Row],[CZAS]])</f>
        <v>0</v>
      </c>
      <c r="Q783" s="32">
        <f>IF(Mecze[[#This Row],[OB]]=0,0,Mecze[[#This Row],[OB]]/Mecze[[#This Row],[CZAS]])</f>
        <v>0</v>
      </c>
      <c r="R783" s="32">
        <f>IF(Mecze[[#This Row],[BR]]=0,0,Mecze[[#This Row],[BR]]/Mecze[[#This Row],[CZAS]])</f>
        <v>0</v>
      </c>
      <c r="S783" s="44">
        <f>IF(Mecze[[#This Row],[Role]]="BR",SUMPRODUCT(Mecze[[#This Row],[/PR:90]:[/BR:90]],Brudnopis!$E$23:$J$23),0)</f>
        <v>0</v>
      </c>
      <c r="T783" s="44">
        <f>IF(Mecze[[#This Row],[Role]]&lt;&gt;"BR",SUMPRODUCT(Mecze[[#This Row],[/PR:90]:[/BR:90]],Brudnopis!$E$24:$J$24),0)</f>
        <v>0.20833333333333331</v>
      </c>
      <c r="U783" s="44">
        <f>IF(Mecze[[#This Row],[Role]]&lt;&gt;"BR",SUMPRODUCT(Mecze[[#This Row],[/PR:90]:[/BR:90]],Brudnopis!$E$25:$J$25),0)</f>
        <v>0.24479166666666666</v>
      </c>
      <c r="V783" s="44">
        <f>IF(Mecze[[#This Row],[Role]]&lt;&gt;"BR",SUMPRODUCT(Mecze[[#This Row],[/PR:90]:[/BR:90]],Brudnopis!$E$26:$J$26),0)</f>
        <v>0.1875</v>
      </c>
      <c r="W783" s="44">
        <f>IF(Mecze[[#This Row],[Role]]&lt;&gt;"BR",SUMPRODUCT(Mecze[[#This Row],[/PR:90]:[/BR:90]],Brudnopis!$E$27:$J$27),0)</f>
        <v>0.2265625</v>
      </c>
      <c r="X783" s="44">
        <f>IF(Mecze[[#This Row],[Role]]&lt;&gt;"BR",SUMPRODUCT(Mecze[[#This Row],[/PR:90]:[/BR:90]],Brudnopis!$E$28:$J$28),0)</f>
        <v>0.11458333333333333</v>
      </c>
      <c r="Y783" s="35">
        <f>IF(Mecze[[#This Row],[Role]]="BR",Mecze[[#This Row],[/OB:90]]+Mecze[[#This Row],[/PC:90]],SUM(Mecze[[#This Row],[/PR:90]:[/BR:90]]))</f>
        <v>0.1875</v>
      </c>
      <c r="Z783" s="35">
        <f>IF(Mecze[[#This Row],[KC]]=0,SUM(Mecze[[#This Row],[/BRI]:[/NPI]]),SUM(Mecze[[#This Row],[/BRI]:[/NPI]])*0.6)</f>
        <v>0.98177083333333337</v>
      </c>
      <c r="AA783" s="10">
        <f>IFERROR(Mecze[[#This Row],[BR]]/Mecze[[#This Row],[ST]],0)</f>
        <v>0</v>
      </c>
      <c r="AB783">
        <f>ROUND(Mecze[[#This Row],[PD]]*Mecze[[#This Row],[%PC]],0)</f>
        <v>11</v>
      </c>
      <c r="AC783">
        <f>ROUND(Mecze[[#This Row],[OD]]*Mecze[[#This Row],[%OU]],0)</f>
        <v>4</v>
      </c>
      <c r="AD783" s="36" t="s">
        <v>67</v>
      </c>
      <c r="AE783" s="36">
        <v>44</v>
      </c>
      <c r="AF783" s="71">
        <v>6.67</v>
      </c>
      <c r="AG783" s="37">
        <v>0</v>
      </c>
      <c r="AH783" s="37">
        <v>0</v>
      </c>
      <c r="AI783" s="37">
        <v>96</v>
      </c>
      <c r="AJ783" s="37">
        <v>2</v>
      </c>
      <c r="AK783" s="37" t="str">
        <f>VLOOKUP(Mecze[[#This Row],[Match ID]],Meczusie[Mecz]:Meczusie[RodzajMeczu],2,FALSE)</f>
        <v>Liga</v>
      </c>
    </row>
    <row r="784" spans="1:37" x14ac:dyDescent="0.25">
      <c r="A784" s="76">
        <v>8</v>
      </c>
      <c r="B784" s="3" t="s">
        <v>228</v>
      </c>
      <c r="C784" s="2" t="s">
        <v>160</v>
      </c>
      <c r="D784" s="1">
        <v>0</v>
      </c>
      <c r="E784" s="1">
        <v>0</v>
      </c>
      <c r="F784" s="1">
        <v>0</v>
      </c>
      <c r="G784" s="1">
        <v>9</v>
      </c>
      <c r="H784" s="4">
        <v>0.78</v>
      </c>
      <c r="I784" s="1">
        <v>0</v>
      </c>
      <c r="J784" s="4"/>
      <c r="K784" s="1">
        <v>0</v>
      </c>
      <c r="L784" s="1">
        <v>0</v>
      </c>
      <c r="M784" s="32">
        <f>IF(Mecze[[#This Row],[PR]]=0,0,Mecze[[#This Row],[PR]]/Mecze[[#This Row],[CZAS]])</f>
        <v>0</v>
      </c>
      <c r="N784" s="32">
        <f>IF(Mecze[[#This Row],[OU]]=0,0,Mecze[[#This Row],[OU]]/Mecze[[#This Row],[CZAS]])</f>
        <v>0</v>
      </c>
      <c r="O784" s="32">
        <f>IF(Mecze[[#This Row],[PC]]=0,0,Mecze[[#This Row],[PC]]/Mecze[[#This Row],[CZAS]])</f>
        <v>7.2916666666666671E-2</v>
      </c>
      <c r="P784" s="32">
        <f>IF(Mecze[[#This Row],[SC]]=0,0,Mecze[[#This Row],[SC]]/Mecze[[#This Row],[CZAS]])</f>
        <v>0</v>
      </c>
      <c r="Q784" s="32">
        <f>IF(Mecze[[#This Row],[OB]]=0,0,Mecze[[#This Row],[OB]]/Mecze[[#This Row],[CZAS]])</f>
        <v>0</v>
      </c>
      <c r="R784" s="32">
        <f>IF(Mecze[[#This Row],[BR]]=0,0,Mecze[[#This Row],[BR]]/Mecze[[#This Row],[CZAS]])</f>
        <v>0</v>
      </c>
      <c r="S784" s="44">
        <f>IF(Mecze[[#This Row],[Role]]="BR",SUMPRODUCT(Mecze[[#This Row],[/PR:90]:[/BR:90]],Brudnopis!$E$23:$J$23),0)</f>
        <v>0</v>
      </c>
      <c r="T784" s="44">
        <f>IF(Mecze[[#This Row],[Role]]&lt;&gt;"BR",SUMPRODUCT(Mecze[[#This Row],[/PR:90]:[/BR:90]],Brudnopis!$E$24:$J$24),0)</f>
        <v>7.2916666666666671E-2</v>
      </c>
      <c r="U784" s="44">
        <f>IF(Mecze[[#This Row],[Role]]&lt;&gt;"BR",SUMPRODUCT(Mecze[[#This Row],[/PR:90]:[/BR:90]],Brudnopis!$E$25:$J$25),0)</f>
        <v>0.109375</v>
      </c>
      <c r="V784" s="44">
        <f>IF(Mecze[[#This Row],[Role]]&lt;&gt;"BR",SUMPRODUCT(Mecze[[#This Row],[/PR:90]:[/BR:90]],Brudnopis!$E$26:$J$26),0)</f>
        <v>7.2916666666666671E-2</v>
      </c>
      <c r="W784" s="44">
        <f>IF(Mecze[[#This Row],[Role]]&lt;&gt;"BR",SUMPRODUCT(Mecze[[#This Row],[/PR:90]:[/BR:90]],Brudnopis!$E$27:$J$27),0)</f>
        <v>0.109375</v>
      </c>
      <c r="X784" s="44">
        <f>IF(Mecze[[#This Row],[Role]]&lt;&gt;"BR",SUMPRODUCT(Mecze[[#This Row],[/PR:90]:[/BR:90]],Brudnopis!$E$28:$J$28),0)</f>
        <v>7.2916666666666671E-2</v>
      </c>
      <c r="Y784" s="35">
        <f>IF(Mecze[[#This Row],[Role]]="BR",Mecze[[#This Row],[/OB:90]]+Mecze[[#This Row],[/PC:90]],SUM(Mecze[[#This Row],[/PR:90]:[/BR:90]]))</f>
        <v>7.2916666666666671E-2</v>
      </c>
      <c r="Z784" s="35">
        <f>IF(Mecze[[#This Row],[KC]]=0,SUM(Mecze[[#This Row],[/BRI]:[/NPI]]),SUM(Mecze[[#This Row],[/BRI]:[/NPI]])*0.6)</f>
        <v>0.43750000000000006</v>
      </c>
      <c r="AA784" s="10">
        <f>IFERROR(Mecze[[#This Row],[BR]]/Mecze[[#This Row],[ST]],0)</f>
        <v>0</v>
      </c>
      <c r="AB784">
        <f>ROUND(Mecze[[#This Row],[PD]]*Mecze[[#This Row],[%PC]],0)</f>
        <v>7</v>
      </c>
      <c r="AC784">
        <f>ROUND(Mecze[[#This Row],[OD]]*Mecze[[#This Row],[%OU]],0)</f>
        <v>0</v>
      </c>
      <c r="AD784" s="36" t="s">
        <v>171</v>
      </c>
      <c r="AE784" s="36">
        <v>44</v>
      </c>
      <c r="AF784" s="71">
        <v>5.13</v>
      </c>
      <c r="AG784" s="37">
        <v>0</v>
      </c>
      <c r="AH784" s="37">
        <v>0</v>
      </c>
      <c r="AI784" s="37">
        <v>96</v>
      </c>
      <c r="AJ784" s="37">
        <v>2</v>
      </c>
      <c r="AK784" s="37" t="str">
        <f>VLOOKUP(Mecze[[#This Row],[Match ID]],Meczusie[Mecz]:Meczusie[RodzajMeczu],2,FALSE)</f>
        <v>Liga</v>
      </c>
    </row>
    <row r="785" spans="1:37" x14ac:dyDescent="0.25">
      <c r="A785" s="76">
        <v>11</v>
      </c>
      <c r="B785" s="3" t="s">
        <v>229</v>
      </c>
      <c r="C785" s="2" t="s">
        <v>165</v>
      </c>
      <c r="D785" s="1">
        <v>2</v>
      </c>
      <c r="E785" s="1">
        <v>11</v>
      </c>
      <c r="F785" s="1">
        <v>10</v>
      </c>
      <c r="G785" s="1">
        <v>1</v>
      </c>
      <c r="H785" s="4">
        <v>1</v>
      </c>
      <c r="I785" s="1">
        <v>0</v>
      </c>
      <c r="J785" s="4"/>
      <c r="K785" s="1">
        <v>0</v>
      </c>
      <c r="L785" s="1">
        <v>1</v>
      </c>
      <c r="M785" s="32">
        <f>IF(Mecze[[#This Row],[PR]]=0,0,Mecze[[#This Row],[PR]]/Mecze[[#This Row],[CZAS]])</f>
        <v>1.7543859649122806E-2</v>
      </c>
      <c r="N785" s="32">
        <f>IF(Mecze[[#This Row],[OU]]=0,0,Mecze[[#This Row],[OU]]/Mecze[[#This Row],[CZAS]])</f>
        <v>0</v>
      </c>
      <c r="O785" s="32">
        <f>IF(Mecze[[#This Row],[PC]]=0,0,Mecze[[#This Row],[PC]]/Mecze[[#This Row],[CZAS]])</f>
        <v>1.7543859649122806E-2</v>
      </c>
      <c r="P785" s="32">
        <f>IF(Mecze[[#This Row],[SC]]=0,0,Mecze[[#This Row],[SC]]/Mecze[[#This Row],[CZAS]])</f>
        <v>0.17543859649122806</v>
      </c>
      <c r="Q785" s="32">
        <f>IF(Mecze[[#This Row],[OB]]=0,0,Mecze[[#This Row],[OB]]/Mecze[[#This Row],[CZAS]])</f>
        <v>0</v>
      </c>
      <c r="R785" s="32">
        <f>IF(Mecze[[#This Row],[BR]]=0,0,Mecze[[#This Row],[BR]]/Mecze[[#This Row],[CZAS]])</f>
        <v>3.5087719298245612E-2</v>
      </c>
      <c r="S785" s="44">
        <f>IF(Mecze[[#This Row],[Role]]="BR",SUMPRODUCT(Mecze[[#This Row],[/PR:90]:[/BR:90]],Brudnopis!$E$23:$J$23),0)</f>
        <v>0</v>
      </c>
      <c r="T785" s="44">
        <f>IF(Mecze[[#This Row],[Role]]&lt;&gt;"BR",SUMPRODUCT(Mecze[[#This Row],[/PR:90]:[/BR:90]],Brudnopis!$E$24:$J$24),0)</f>
        <v>0.26315789473684209</v>
      </c>
      <c r="U785" s="44">
        <f>IF(Mecze[[#This Row],[Role]]&lt;&gt;"BR",SUMPRODUCT(Mecze[[#This Row],[/PR:90]:[/BR:90]],Brudnopis!$E$25:$J$25),0)</f>
        <v>0.27192982456140347</v>
      </c>
      <c r="V785" s="44">
        <f>IF(Mecze[[#This Row],[Role]]&lt;&gt;"BR",SUMPRODUCT(Mecze[[#This Row],[/PR:90]:[/BR:90]],Brudnopis!$E$26:$J$26),0)</f>
        <v>0.2807017543859649</v>
      </c>
      <c r="W785" s="44">
        <f>IF(Mecze[[#This Row],[Role]]&lt;&gt;"BR",SUMPRODUCT(Mecze[[#This Row],[/PR:90]:[/BR:90]],Brudnopis!$E$27:$J$27),0)</f>
        <v>0.28508771929824561</v>
      </c>
      <c r="X785" s="44">
        <f>IF(Mecze[[#This Row],[Role]]&lt;&gt;"BR",SUMPRODUCT(Mecze[[#This Row],[/PR:90]:[/BR:90]],Brudnopis!$E$28:$J$28),0)</f>
        <v>0.47368421052631576</v>
      </c>
      <c r="Y785" s="35">
        <f>IF(Mecze[[#This Row],[Role]]="BR",Mecze[[#This Row],[/OB:90]]+Mecze[[#This Row],[/PC:90]],SUM(Mecze[[#This Row],[/PR:90]:[/BR:90]]))</f>
        <v>0.24561403508771928</v>
      </c>
      <c r="Z785" s="35">
        <f>IF(Mecze[[#This Row],[KC]]=0,SUM(Mecze[[#This Row],[/BRI]:[/NPI]]),SUM(Mecze[[#This Row],[/BRI]:[/NPI]])*0.6)</f>
        <v>1.5745614035087716</v>
      </c>
      <c r="AA785" s="10">
        <f>IFERROR(Mecze[[#This Row],[BR]]/Mecze[[#This Row],[ST]],0)</f>
        <v>0.18181818181818182</v>
      </c>
      <c r="AB785">
        <f>ROUND(Mecze[[#This Row],[PD]]*Mecze[[#This Row],[%PC]],0)</f>
        <v>1</v>
      </c>
      <c r="AC785">
        <f>ROUND(Mecze[[#This Row],[OD]]*Mecze[[#This Row],[%OU]],0)</f>
        <v>0</v>
      </c>
      <c r="AD785" s="36" t="s">
        <v>46</v>
      </c>
      <c r="AE785" s="36">
        <v>44</v>
      </c>
      <c r="AF785" s="71">
        <v>8.52</v>
      </c>
      <c r="AG785" s="37">
        <v>0</v>
      </c>
      <c r="AH785" s="37">
        <v>0</v>
      </c>
      <c r="AI785" s="37">
        <v>57</v>
      </c>
      <c r="AJ785" s="37">
        <v>2</v>
      </c>
      <c r="AK785" s="37" t="str">
        <f>VLOOKUP(Mecze[[#This Row],[Match ID]],Meczusie[Mecz]:Meczusie[RodzajMeczu],2,FALSE)</f>
        <v>Liga</v>
      </c>
    </row>
    <row r="786" spans="1:37" x14ac:dyDescent="0.25">
      <c r="A786" s="76">
        <v>10</v>
      </c>
      <c r="B786" s="3" t="s">
        <v>230</v>
      </c>
      <c r="C786" s="2" t="s">
        <v>165</v>
      </c>
      <c r="D786" s="1">
        <v>0</v>
      </c>
      <c r="E786" s="1">
        <v>0</v>
      </c>
      <c r="F786" s="1">
        <v>0</v>
      </c>
      <c r="G786" s="1">
        <v>15</v>
      </c>
      <c r="H786" s="4">
        <v>0.67</v>
      </c>
      <c r="I786" s="1">
        <v>1</v>
      </c>
      <c r="J786" s="4">
        <v>1</v>
      </c>
      <c r="K786" s="1">
        <v>0</v>
      </c>
      <c r="L786" s="1">
        <v>0</v>
      </c>
      <c r="M786" s="32">
        <f>IF(Mecze[[#This Row],[PR]]=0,0,Mecze[[#This Row],[PR]]/Mecze[[#This Row],[CZAS]])</f>
        <v>0</v>
      </c>
      <c r="N786" s="32">
        <f>IF(Mecze[[#This Row],[OU]]=0,0,Mecze[[#This Row],[OU]]/Mecze[[#This Row],[CZAS]])</f>
        <v>1.0416666666666666E-2</v>
      </c>
      <c r="O786" s="32">
        <f>IF(Mecze[[#This Row],[PC]]=0,0,Mecze[[#This Row],[PC]]/Mecze[[#This Row],[CZAS]])</f>
        <v>0.10416666666666667</v>
      </c>
      <c r="P786" s="32">
        <f>IF(Mecze[[#This Row],[SC]]=0,0,Mecze[[#This Row],[SC]]/Mecze[[#This Row],[CZAS]])</f>
        <v>0</v>
      </c>
      <c r="Q786" s="32">
        <f>IF(Mecze[[#This Row],[OB]]=0,0,Mecze[[#This Row],[OB]]/Mecze[[#This Row],[CZAS]])</f>
        <v>0</v>
      </c>
      <c r="R786" s="32">
        <f>IF(Mecze[[#This Row],[BR]]=0,0,Mecze[[#This Row],[BR]]/Mecze[[#This Row],[CZAS]])</f>
        <v>0</v>
      </c>
      <c r="S786" s="44">
        <f>IF(Mecze[[#This Row],[Role]]="BR",SUMPRODUCT(Mecze[[#This Row],[/PR:90]:[/BR:90]],Brudnopis!$E$23:$J$23),0)</f>
        <v>0</v>
      </c>
      <c r="T786" s="44">
        <f>IF(Mecze[[#This Row],[Role]]&lt;&gt;"BR",SUMPRODUCT(Mecze[[#This Row],[/PR:90]:[/BR:90]],Brudnopis!$E$24:$J$24),0)</f>
        <v>0.11979166666666667</v>
      </c>
      <c r="U786" s="44">
        <f>IF(Mecze[[#This Row],[Role]]&lt;&gt;"BR",SUMPRODUCT(Mecze[[#This Row],[/PR:90]:[/BR:90]],Brudnopis!$E$25:$J$25),0)</f>
        <v>0.16666666666666666</v>
      </c>
      <c r="V786" s="44">
        <f>IF(Mecze[[#This Row],[Role]]&lt;&gt;"BR",SUMPRODUCT(Mecze[[#This Row],[/PR:90]:[/BR:90]],Brudnopis!$E$26:$J$26),0)</f>
        <v>0.11458333333333334</v>
      </c>
      <c r="W786" s="44">
        <f>IF(Mecze[[#This Row],[Role]]&lt;&gt;"BR",SUMPRODUCT(Mecze[[#This Row],[/PR:90]:[/BR:90]],Brudnopis!$E$27:$J$27),0)</f>
        <v>0.1640625</v>
      </c>
      <c r="X786" s="44">
        <f>IF(Mecze[[#This Row],[Role]]&lt;&gt;"BR",SUMPRODUCT(Mecze[[#This Row],[/PR:90]:[/BR:90]],Brudnopis!$E$28:$J$28),0)</f>
        <v>0.10416666666666667</v>
      </c>
      <c r="Y786" s="35">
        <f>IF(Mecze[[#This Row],[Role]]="BR",Mecze[[#This Row],[/OB:90]]+Mecze[[#This Row],[/PC:90]],SUM(Mecze[[#This Row],[/PR:90]:[/BR:90]]))</f>
        <v>0.11458333333333334</v>
      </c>
      <c r="Z786" s="35">
        <f>IF(Mecze[[#This Row],[KC]]=0,SUM(Mecze[[#This Row],[/BRI]:[/NPI]]),SUM(Mecze[[#This Row],[/BRI]:[/NPI]])*0.6)</f>
        <v>0.66927083333333326</v>
      </c>
      <c r="AA786" s="10">
        <f>IFERROR(Mecze[[#This Row],[BR]]/Mecze[[#This Row],[ST]],0)</f>
        <v>0</v>
      </c>
      <c r="AB786">
        <f>ROUND(Mecze[[#This Row],[PD]]*Mecze[[#This Row],[%PC]],0)</f>
        <v>10</v>
      </c>
      <c r="AC786">
        <f>ROUND(Mecze[[#This Row],[OD]]*Mecze[[#This Row],[%OU]],0)</f>
        <v>1</v>
      </c>
      <c r="AD786" s="36" t="s">
        <v>232</v>
      </c>
      <c r="AE786" s="36">
        <v>44</v>
      </c>
      <c r="AF786" s="71">
        <v>5.26</v>
      </c>
      <c r="AG786" s="37">
        <v>0</v>
      </c>
      <c r="AH786" s="37">
        <v>0</v>
      </c>
      <c r="AI786" s="37">
        <v>96</v>
      </c>
      <c r="AJ786" s="37">
        <v>2</v>
      </c>
      <c r="AK786" s="37" t="str">
        <f>VLOOKUP(Mecze[[#This Row],[Match ID]],Meczusie[Mecz]:Meczusie[RodzajMeczu],2,FALSE)</f>
        <v>Liga</v>
      </c>
    </row>
    <row r="787" spans="1:37" x14ac:dyDescent="0.25">
      <c r="A787" s="76">
        <v>12</v>
      </c>
      <c r="B787" s="3" t="s">
        <v>231</v>
      </c>
      <c r="C787" s="2" t="s">
        <v>165</v>
      </c>
      <c r="D787" s="1">
        <v>2</v>
      </c>
      <c r="E787" s="1">
        <v>7</v>
      </c>
      <c r="F787" s="1">
        <v>7</v>
      </c>
      <c r="G787" s="1">
        <v>1</v>
      </c>
      <c r="H787" s="4">
        <v>1</v>
      </c>
      <c r="I787" s="1">
        <v>0</v>
      </c>
      <c r="J787" s="4"/>
      <c r="K787" s="1">
        <v>0</v>
      </c>
      <c r="L787" s="1">
        <v>0</v>
      </c>
      <c r="M787" s="32">
        <f>IF(Mecze[[#This Row],[PR]]=0,0,Mecze[[#This Row],[PR]]/Mecze[[#This Row],[CZAS]])</f>
        <v>0</v>
      </c>
      <c r="N787" s="32">
        <f>IF(Mecze[[#This Row],[OU]]=0,0,Mecze[[#This Row],[OU]]/Mecze[[#This Row],[CZAS]])</f>
        <v>0</v>
      </c>
      <c r="O787" s="32">
        <f>IF(Mecze[[#This Row],[PC]]=0,0,Mecze[[#This Row],[PC]]/Mecze[[#This Row],[CZAS]])</f>
        <v>2.564102564102564E-2</v>
      </c>
      <c r="P787" s="32">
        <f>IF(Mecze[[#This Row],[SC]]=0,0,Mecze[[#This Row],[SC]]/Mecze[[#This Row],[CZAS]])</f>
        <v>0.17948717948717949</v>
      </c>
      <c r="Q787" s="32">
        <f>IF(Mecze[[#This Row],[OB]]=0,0,Mecze[[#This Row],[OB]]/Mecze[[#This Row],[CZAS]])</f>
        <v>0</v>
      </c>
      <c r="R787" s="32">
        <f>IF(Mecze[[#This Row],[BR]]=0,0,Mecze[[#This Row],[BR]]/Mecze[[#This Row],[CZAS]])</f>
        <v>5.128205128205128E-2</v>
      </c>
      <c r="S787" s="44">
        <f>IF(Mecze[[#This Row],[Role]]="BR",SUMPRODUCT(Mecze[[#This Row],[/PR:90]:[/BR:90]],Brudnopis!$E$23:$J$23),0)</f>
        <v>0</v>
      </c>
      <c r="T787" s="44">
        <f>IF(Mecze[[#This Row],[Role]]&lt;&gt;"BR",SUMPRODUCT(Mecze[[#This Row],[/PR:90]:[/BR:90]],Brudnopis!$E$24:$J$24),0)</f>
        <v>0.28205128205128205</v>
      </c>
      <c r="U787" s="44">
        <f>IF(Mecze[[#This Row],[Role]]&lt;&gt;"BR",SUMPRODUCT(Mecze[[#This Row],[/PR:90]:[/BR:90]],Brudnopis!$E$25:$J$25),0)</f>
        <v>0.29487179487179488</v>
      </c>
      <c r="V787" s="44">
        <f>IF(Mecze[[#This Row],[Role]]&lt;&gt;"BR",SUMPRODUCT(Mecze[[#This Row],[/PR:90]:[/BR:90]],Brudnopis!$E$26:$J$26),0)</f>
        <v>0.30769230769230771</v>
      </c>
      <c r="W787" s="44">
        <f>IF(Mecze[[#This Row],[Role]]&lt;&gt;"BR",SUMPRODUCT(Mecze[[#This Row],[/PR:90]:[/BR:90]],Brudnopis!$E$27:$J$27),0)</f>
        <v>0.32051282051282048</v>
      </c>
      <c r="X787" s="44">
        <f>IF(Mecze[[#This Row],[Role]]&lt;&gt;"BR",SUMPRODUCT(Mecze[[#This Row],[/PR:90]:[/BR:90]],Brudnopis!$E$28:$J$28),0)</f>
        <v>0.53846153846153855</v>
      </c>
      <c r="Y787" s="35">
        <f>IF(Mecze[[#This Row],[Role]]="BR",Mecze[[#This Row],[/OB:90]]+Mecze[[#This Row],[/PC:90]],SUM(Mecze[[#This Row],[/PR:90]:[/BR:90]]))</f>
        <v>0.25641025641025639</v>
      </c>
      <c r="Z787" s="35">
        <f>IF(Mecze[[#This Row],[KC]]=0,SUM(Mecze[[#This Row],[/BRI]:[/NPI]]),SUM(Mecze[[#This Row],[/BRI]:[/NPI]])*0.6)</f>
        <v>1.7435897435897436</v>
      </c>
      <c r="AA787" s="10">
        <f>IFERROR(Mecze[[#This Row],[BR]]/Mecze[[#This Row],[ST]],0)</f>
        <v>0.2857142857142857</v>
      </c>
      <c r="AB787">
        <f>ROUND(Mecze[[#This Row],[PD]]*Mecze[[#This Row],[%PC]],0)</f>
        <v>1</v>
      </c>
      <c r="AC787">
        <f>ROUND(Mecze[[#This Row],[OD]]*Mecze[[#This Row],[%OU]],0)</f>
        <v>0</v>
      </c>
      <c r="AD787" s="36" t="s">
        <v>46</v>
      </c>
      <c r="AE787" s="36">
        <v>44</v>
      </c>
      <c r="AF787" s="71">
        <v>7.86</v>
      </c>
      <c r="AG787" s="37">
        <v>0</v>
      </c>
      <c r="AH787" s="37">
        <v>0</v>
      </c>
      <c r="AI787" s="37">
        <v>39</v>
      </c>
      <c r="AJ787" s="37">
        <v>2</v>
      </c>
      <c r="AK787" s="37" t="str">
        <f>VLOOKUP(Mecze[[#This Row],[Match ID]],Meczusie[Mecz]:Meczusie[RodzajMeczu],2,FALSE)</f>
        <v>Liga</v>
      </c>
    </row>
    <row r="788" spans="1:37" x14ac:dyDescent="0.25">
      <c r="A788" s="76">
        <v>1</v>
      </c>
      <c r="B788" s="3" t="s">
        <v>274</v>
      </c>
      <c r="C788" s="2" t="s">
        <v>155</v>
      </c>
      <c r="D788" s="1">
        <v>0</v>
      </c>
      <c r="E788" s="1">
        <v>0</v>
      </c>
      <c r="F788" s="1">
        <v>0</v>
      </c>
      <c r="G788" s="1">
        <v>13</v>
      </c>
      <c r="H788" s="4">
        <v>0.38</v>
      </c>
      <c r="I788" s="1">
        <v>0</v>
      </c>
      <c r="J788" s="4"/>
      <c r="K788" s="1">
        <v>11</v>
      </c>
      <c r="L788" s="1">
        <v>0</v>
      </c>
      <c r="M788" s="32">
        <f>IF(Mecze[[#This Row],[PR]]=0,0,Mecze[[#This Row],[PR]]/Mecze[[#This Row],[CZAS]])</f>
        <v>0</v>
      </c>
      <c r="N788" s="32">
        <f>IF(Mecze[[#This Row],[OU]]=0,0,Mecze[[#This Row],[OU]]/Mecze[[#This Row],[CZAS]])</f>
        <v>0</v>
      </c>
      <c r="O788" s="32">
        <f>IF(Mecze[[#This Row],[PC]]=0,0,Mecze[[#This Row],[PC]]/Mecze[[#This Row],[CZAS]])</f>
        <v>5.2083333333333336E-2</v>
      </c>
      <c r="P788" s="32">
        <f>IF(Mecze[[#This Row],[SC]]=0,0,Mecze[[#This Row],[SC]]/Mecze[[#This Row],[CZAS]])</f>
        <v>0</v>
      </c>
      <c r="Q788" s="32">
        <f>IF(Mecze[[#This Row],[OB]]=0,0,Mecze[[#This Row],[OB]]/Mecze[[#This Row],[CZAS]])</f>
        <v>0.11458333333333333</v>
      </c>
      <c r="R788" s="32">
        <f>IF(Mecze[[#This Row],[BR]]=0,0,Mecze[[#This Row],[BR]]/Mecze[[#This Row],[CZAS]])</f>
        <v>0</v>
      </c>
      <c r="S788" s="44">
        <f>IF(Mecze[[#This Row],[Role]]="BR",SUMPRODUCT(Mecze[[#This Row],[/PR:90]:[/BR:90]],Brudnopis!$E$23:$J$23),0)</f>
        <v>0.5</v>
      </c>
      <c r="T788" s="44">
        <f>IF(Mecze[[#This Row],[Role]]&lt;&gt;"BR",SUMPRODUCT(Mecze[[#This Row],[/PR:90]:[/BR:90]],Brudnopis!$E$24:$J$24),0)</f>
        <v>0</v>
      </c>
      <c r="U788" s="44">
        <f>IF(Mecze[[#This Row],[Role]]&lt;&gt;"BR",SUMPRODUCT(Mecze[[#This Row],[/PR:90]:[/BR:90]],Brudnopis!$E$25:$J$25),0)</f>
        <v>0</v>
      </c>
      <c r="V788" s="44">
        <f>IF(Mecze[[#This Row],[Role]]&lt;&gt;"BR",SUMPRODUCT(Mecze[[#This Row],[/PR:90]:[/BR:90]],Brudnopis!$E$26:$J$26),0)</f>
        <v>0</v>
      </c>
      <c r="W788" s="44">
        <f>IF(Mecze[[#This Row],[Role]]&lt;&gt;"BR",SUMPRODUCT(Mecze[[#This Row],[/PR:90]:[/BR:90]],Brudnopis!$E$27:$J$27),0)</f>
        <v>0</v>
      </c>
      <c r="X788" s="44">
        <f>IF(Mecze[[#This Row],[Role]]&lt;&gt;"BR",SUMPRODUCT(Mecze[[#This Row],[/PR:90]:[/BR:90]],Brudnopis!$E$28:$J$28),0)</f>
        <v>0</v>
      </c>
      <c r="Y788" s="35">
        <f>IF(Mecze[[#This Row],[Role]]="BR",Mecze[[#This Row],[/OB:90]]+Mecze[[#This Row],[/PC:90]],SUM(Mecze[[#This Row],[/PR:90]:[/BR:90]]))</f>
        <v>0.16666666666666666</v>
      </c>
      <c r="Z788" s="35">
        <f>IF(Mecze[[#This Row],[KC]]=0,SUM(Mecze[[#This Row],[/BRI]:[/NPI]]),SUM(Mecze[[#This Row],[/BRI]:[/NPI]])*0.6)</f>
        <v>0.5</v>
      </c>
      <c r="AA788" s="10">
        <f>IFERROR(Mecze[[#This Row],[BR]]/Mecze[[#This Row],[ST]],0)</f>
        <v>0</v>
      </c>
      <c r="AB788">
        <f>ROUND(Mecze[[#This Row],[PD]]*Mecze[[#This Row],[%PC]],0)</f>
        <v>5</v>
      </c>
      <c r="AC788">
        <f>ROUND(Mecze[[#This Row],[OD]]*Mecze[[#This Row],[%OU]],0)</f>
        <v>0</v>
      </c>
      <c r="AD788" s="36" t="s">
        <v>40</v>
      </c>
      <c r="AE788" s="36">
        <v>44</v>
      </c>
      <c r="AF788" s="71">
        <v>4.43</v>
      </c>
      <c r="AG788" s="37">
        <v>0</v>
      </c>
      <c r="AH788" s="37">
        <v>0</v>
      </c>
      <c r="AI788" s="37">
        <v>96</v>
      </c>
      <c r="AJ788" s="37">
        <v>4</v>
      </c>
      <c r="AK788" s="37" t="str">
        <f>VLOOKUP(Mecze[[#This Row],[Match ID]],Meczusie[Mecz]:Meczusie[RodzajMeczu],2,FALSE)</f>
        <v>Liga</v>
      </c>
    </row>
    <row r="789" spans="1:37" x14ac:dyDescent="0.25">
      <c r="A789" s="76">
        <v>9</v>
      </c>
      <c r="B789" s="3" t="s">
        <v>275</v>
      </c>
      <c r="C789" s="2" t="s">
        <v>157</v>
      </c>
      <c r="D789" s="1">
        <v>0</v>
      </c>
      <c r="E789" s="1">
        <v>0</v>
      </c>
      <c r="F789" s="1">
        <v>0</v>
      </c>
      <c r="G789" s="1">
        <v>4</v>
      </c>
      <c r="H789" s="4">
        <v>0.75</v>
      </c>
      <c r="I789" s="1">
        <v>4</v>
      </c>
      <c r="J789" s="4">
        <v>0.25</v>
      </c>
      <c r="K789" s="1">
        <v>0</v>
      </c>
      <c r="L789" s="1">
        <v>1</v>
      </c>
      <c r="M789" s="32">
        <f>IF(Mecze[[#This Row],[PR]]=0,0,Mecze[[#This Row],[PR]]/Mecze[[#This Row],[CZAS]])</f>
        <v>1.0416666666666666E-2</v>
      </c>
      <c r="N789" s="32">
        <f>IF(Mecze[[#This Row],[OU]]=0,0,Mecze[[#This Row],[OU]]/Mecze[[#This Row],[CZAS]])</f>
        <v>1.0416666666666666E-2</v>
      </c>
      <c r="O789" s="32">
        <f>IF(Mecze[[#This Row],[PC]]=0,0,Mecze[[#This Row],[PC]]/Mecze[[#This Row],[CZAS]])</f>
        <v>3.125E-2</v>
      </c>
      <c r="P789" s="32">
        <f>IF(Mecze[[#This Row],[SC]]=0,0,Mecze[[#This Row],[SC]]/Mecze[[#This Row],[CZAS]])</f>
        <v>0</v>
      </c>
      <c r="Q789" s="32">
        <f>IF(Mecze[[#This Row],[OB]]=0,0,Mecze[[#This Row],[OB]]/Mecze[[#This Row],[CZAS]])</f>
        <v>0</v>
      </c>
      <c r="R789" s="32">
        <f>IF(Mecze[[#This Row],[BR]]=0,0,Mecze[[#This Row],[BR]]/Mecze[[#This Row],[CZAS]])</f>
        <v>0</v>
      </c>
      <c r="S789" s="44">
        <f>IF(Mecze[[#This Row],[Role]]="BR",SUMPRODUCT(Mecze[[#This Row],[/PR:90]:[/BR:90]],Brudnopis!$E$23:$J$23),0)</f>
        <v>0</v>
      </c>
      <c r="T789" s="44">
        <f>IF(Mecze[[#This Row],[Role]]&lt;&gt;"BR",SUMPRODUCT(Mecze[[#This Row],[/PR:90]:[/BR:90]],Brudnopis!$E$24:$J$24),0)</f>
        <v>5.7291666666666664E-2</v>
      </c>
      <c r="U789" s="44">
        <f>IF(Mecze[[#This Row],[Role]]&lt;&gt;"BR",SUMPRODUCT(Mecze[[#This Row],[/PR:90]:[/BR:90]],Brudnopis!$E$25:$J$25),0)</f>
        <v>6.7708333333333329E-2</v>
      </c>
      <c r="V789" s="44">
        <f>IF(Mecze[[#This Row],[Role]]&lt;&gt;"BR",SUMPRODUCT(Mecze[[#This Row],[/PR:90]:[/BR:90]],Brudnopis!$E$26:$J$26),0)</f>
        <v>5.2083333333333329E-2</v>
      </c>
      <c r="W789" s="44">
        <f>IF(Mecze[[#This Row],[Role]]&lt;&gt;"BR",SUMPRODUCT(Mecze[[#This Row],[/PR:90]:[/BR:90]],Brudnopis!$E$27:$J$27),0)</f>
        <v>6.25E-2</v>
      </c>
      <c r="X789" s="44">
        <f>IF(Mecze[[#This Row],[Role]]&lt;&gt;"BR",SUMPRODUCT(Mecze[[#This Row],[/PR:90]:[/BR:90]],Brudnopis!$E$28:$J$28),0)</f>
        <v>3.125E-2</v>
      </c>
      <c r="Y789" s="35">
        <f>IF(Mecze[[#This Row],[Role]]="BR",Mecze[[#This Row],[/OB:90]]+Mecze[[#This Row],[/PC:90]],SUM(Mecze[[#This Row],[/PR:90]:[/BR:90]]))</f>
        <v>5.2083333333333329E-2</v>
      </c>
      <c r="Z789" s="35">
        <f>IF(Mecze[[#This Row],[KC]]=0,SUM(Mecze[[#This Row],[/BRI]:[/NPI]]),SUM(Mecze[[#This Row],[/BRI]:[/NPI]])*0.6)</f>
        <v>0.27083333333333331</v>
      </c>
      <c r="AA789" s="10">
        <f>IFERROR(Mecze[[#This Row],[BR]]/Mecze[[#This Row],[ST]],0)</f>
        <v>0</v>
      </c>
      <c r="AB789">
        <f>ROUND(Mecze[[#This Row],[PD]]*Mecze[[#This Row],[%PC]],0)</f>
        <v>3</v>
      </c>
      <c r="AC789">
        <f>ROUND(Mecze[[#This Row],[OD]]*Mecze[[#This Row],[%OU]],0)</f>
        <v>1</v>
      </c>
      <c r="AD789" s="36" t="s">
        <v>47</v>
      </c>
      <c r="AE789" s="36">
        <v>44</v>
      </c>
      <c r="AF789" s="71">
        <v>0.79</v>
      </c>
      <c r="AG789" s="37">
        <v>0</v>
      </c>
      <c r="AH789" s="37">
        <v>0</v>
      </c>
      <c r="AI789" s="37">
        <v>96</v>
      </c>
      <c r="AJ789" s="37">
        <v>4</v>
      </c>
      <c r="AK789" s="37" t="str">
        <f>VLOOKUP(Mecze[[#This Row],[Match ID]],Meczusie[Mecz]:Meczusie[RodzajMeczu],2,FALSE)</f>
        <v>Liga</v>
      </c>
    </row>
    <row r="790" spans="1:37" x14ac:dyDescent="0.25">
      <c r="A790" s="76">
        <v>4</v>
      </c>
      <c r="B790" s="3" t="s">
        <v>276</v>
      </c>
      <c r="C790" s="2" t="s">
        <v>157</v>
      </c>
      <c r="D790" s="1">
        <v>0</v>
      </c>
      <c r="E790" s="1">
        <v>0</v>
      </c>
      <c r="F790" s="1">
        <v>0</v>
      </c>
      <c r="G790" s="1">
        <v>5</v>
      </c>
      <c r="H790" s="4">
        <v>0.4</v>
      </c>
      <c r="I790" s="1">
        <v>12</v>
      </c>
      <c r="J790" s="4">
        <v>0.33</v>
      </c>
      <c r="K790" s="1">
        <v>0</v>
      </c>
      <c r="L790" s="1">
        <v>8</v>
      </c>
      <c r="M790" s="32">
        <f>IF(Mecze[[#This Row],[PR]]=0,0,Mecze[[#This Row],[PR]]/Mecze[[#This Row],[CZAS]])</f>
        <v>8.3333333333333329E-2</v>
      </c>
      <c r="N790" s="32">
        <f>IF(Mecze[[#This Row],[OU]]=0,0,Mecze[[#This Row],[OU]]/Mecze[[#This Row],[CZAS]])</f>
        <v>4.1666666666666664E-2</v>
      </c>
      <c r="O790" s="32">
        <f>IF(Mecze[[#This Row],[PC]]=0,0,Mecze[[#This Row],[PC]]/Mecze[[#This Row],[CZAS]])</f>
        <v>2.0833333333333332E-2</v>
      </c>
      <c r="P790" s="32">
        <f>IF(Mecze[[#This Row],[SC]]=0,0,Mecze[[#This Row],[SC]]/Mecze[[#This Row],[CZAS]])</f>
        <v>0</v>
      </c>
      <c r="Q790" s="32">
        <f>IF(Mecze[[#This Row],[OB]]=0,0,Mecze[[#This Row],[OB]]/Mecze[[#This Row],[CZAS]])</f>
        <v>0</v>
      </c>
      <c r="R790" s="32">
        <f>IF(Mecze[[#This Row],[BR]]=0,0,Mecze[[#This Row],[BR]]/Mecze[[#This Row],[CZAS]])</f>
        <v>0</v>
      </c>
      <c r="S790" s="44">
        <f>IF(Mecze[[#This Row],[Role]]="BR",SUMPRODUCT(Mecze[[#This Row],[/PR:90]:[/BR:90]],Brudnopis!$E$23:$J$23),0)</f>
        <v>0</v>
      </c>
      <c r="T790" s="44">
        <f>IF(Mecze[[#This Row],[Role]]&lt;&gt;"BR",SUMPRODUCT(Mecze[[#This Row],[/PR:90]:[/BR:90]],Brudnopis!$E$24:$J$24),0)</f>
        <v>0.16666666666666666</v>
      </c>
      <c r="U790" s="44">
        <f>IF(Mecze[[#This Row],[Role]]&lt;&gt;"BR",SUMPRODUCT(Mecze[[#This Row],[/PR:90]:[/BR:90]],Brudnopis!$E$25:$J$25),0)</f>
        <v>0.15625</v>
      </c>
      <c r="V790" s="44">
        <f>IF(Mecze[[#This Row],[Role]]&lt;&gt;"BR",SUMPRODUCT(Mecze[[#This Row],[/PR:90]:[/BR:90]],Brudnopis!$E$26:$J$26),0)</f>
        <v>0.14583333333333334</v>
      </c>
      <c r="W790" s="44">
        <f>IF(Mecze[[#This Row],[Role]]&lt;&gt;"BR",SUMPRODUCT(Mecze[[#This Row],[/PR:90]:[/BR:90]],Brudnopis!$E$27:$J$27),0)</f>
        <v>0.125</v>
      </c>
      <c r="X790" s="44">
        <f>IF(Mecze[[#This Row],[Role]]&lt;&gt;"BR",SUMPRODUCT(Mecze[[#This Row],[/PR:90]:[/BR:90]],Brudnopis!$E$28:$J$28),0)</f>
        <v>2.0833333333333332E-2</v>
      </c>
      <c r="Y790" s="35">
        <f>IF(Mecze[[#This Row],[Role]]="BR",Mecze[[#This Row],[/OB:90]]+Mecze[[#This Row],[/PC:90]],SUM(Mecze[[#This Row],[/PR:90]:[/BR:90]]))</f>
        <v>0.14583333333333334</v>
      </c>
      <c r="Z790" s="35">
        <f>IF(Mecze[[#This Row],[KC]]=0,SUM(Mecze[[#This Row],[/BRI]:[/NPI]]),SUM(Mecze[[#This Row],[/BRI]:[/NPI]])*0.6)</f>
        <v>0.61458333333333337</v>
      </c>
      <c r="AA790" s="10">
        <f>IFERROR(Mecze[[#This Row],[BR]]/Mecze[[#This Row],[ST]],0)</f>
        <v>0</v>
      </c>
      <c r="AB790">
        <f>ROUND(Mecze[[#This Row],[PD]]*Mecze[[#This Row],[%PC]],0)</f>
        <v>2</v>
      </c>
      <c r="AC790">
        <f>ROUND(Mecze[[#This Row],[OD]]*Mecze[[#This Row],[%OU]],0)</f>
        <v>4</v>
      </c>
      <c r="AD790" s="36" t="s">
        <v>168</v>
      </c>
      <c r="AE790" s="36">
        <v>44</v>
      </c>
      <c r="AF790" s="71">
        <v>2.2599999999999998</v>
      </c>
      <c r="AG790" s="37">
        <v>0</v>
      </c>
      <c r="AH790" s="37">
        <v>0</v>
      </c>
      <c r="AI790" s="37">
        <v>96</v>
      </c>
      <c r="AJ790" s="37">
        <v>4</v>
      </c>
      <c r="AK790" s="37" t="str">
        <f>VLOOKUP(Mecze[[#This Row],[Match ID]],Meczusie[Mecz]:Meczusie[RodzajMeczu],2,FALSE)</f>
        <v>Liga</v>
      </c>
    </row>
    <row r="791" spans="1:37" x14ac:dyDescent="0.25">
      <c r="A791" s="76">
        <v>5</v>
      </c>
      <c r="B791" s="3" t="s">
        <v>277</v>
      </c>
      <c r="C791" s="2" t="s">
        <v>157</v>
      </c>
      <c r="D791" s="1">
        <v>0</v>
      </c>
      <c r="E791" s="1">
        <v>0</v>
      </c>
      <c r="F791" s="1">
        <v>0</v>
      </c>
      <c r="G791" s="1">
        <v>11</v>
      </c>
      <c r="H791" s="4">
        <v>0.45</v>
      </c>
      <c r="I791" s="1">
        <v>14</v>
      </c>
      <c r="J791" s="4">
        <v>0.28999999999999998</v>
      </c>
      <c r="K791" s="1">
        <v>0</v>
      </c>
      <c r="L791" s="1">
        <v>12</v>
      </c>
      <c r="M791" s="32">
        <f>IF(Mecze[[#This Row],[PR]]=0,0,Mecze[[#This Row],[PR]]/Mecze[[#This Row],[CZAS]])</f>
        <v>0.125</v>
      </c>
      <c r="N791" s="32">
        <f>IF(Mecze[[#This Row],[OU]]=0,0,Mecze[[#This Row],[OU]]/Mecze[[#This Row],[CZAS]])</f>
        <v>4.1666666666666664E-2</v>
      </c>
      <c r="O791" s="32">
        <f>IF(Mecze[[#This Row],[PC]]=0,0,Mecze[[#This Row],[PC]]/Mecze[[#This Row],[CZAS]])</f>
        <v>5.2083333333333336E-2</v>
      </c>
      <c r="P791" s="32">
        <f>IF(Mecze[[#This Row],[SC]]=0,0,Mecze[[#This Row],[SC]]/Mecze[[#This Row],[CZAS]])</f>
        <v>0</v>
      </c>
      <c r="Q791" s="32">
        <f>IF(Mecze[[#This Row],[OB]]=0,0,Mecze[[#This Row],[OB]]/Mecze[[#This Row],[CZAS]])</f>
        <v>0</v>
      </c>
      <c r="R791" s="32">
        <f>IF(Mecze[[#This Row],[BR]]=0,0,Mecze[[#This Row],[BR]]/Mecze[[#This Row],[CZAS]])</f>
        <v>0</v>
      </c>
      <c r="S791" s="44">
        <f>IF(Mecze[[#This Row],[Role]]="BR",SUMPRODUCT(Mecze[[#This Row],[/PR:90]:[/BR:90]],Brudnopis!$E$23:$J$23),0)</f>
        <v>0</v>
      </c>
      <c r="T791" s="44">
        <f>IF(Mecze[[#This Row],[Role]]&lt;&gt;"BR",SUMPRODUCT(Mecze[[#This Row],[/PR:90]:[/BR:90]],Brudnopis!$E$24:$J$24),0)</f>
        <v>0.23958333333333334</v>
      </c>
      <c r="U791" s="44">
        <f>IF(Mecze[[#This Row],[Role]]&lt;&gt;"BR",SUMPRODUCT(Mecze[[#This Row],[/PR:90]:[/BR:90]],Brudnopis!$E$25:$J$25),0)</f>
        <v>0.24479166666666666</v>
      </c>
      <c r="V791" s="44">
        <f>IF(Mecze[[#This Row],[Role]]&lt;&gt;"BR",SUMPRODUCT(Mecze[[#This Row],[/PR:90]:[/BR:90]],Brudnopis!$E$26:$J$26),0)</f>
        <v>0.21875</v>
      </c>
      <c r="W791" s="44">
        <f>IF(Mecze[[#This Row],[Role]]&lt;&gt;"BR",SUMPRODUCT(Mecze[[#This Row],[/PR:90]:[/BR:90]],Brudnopis!$E$27:$J$27),0)</f>
        <v>0.203125</v>
      </c>
      <c r="X791" s="44">
        <f>IF(Mecze[[#This Row],[Role]]&lt;&gt;"BR",SUMPRODUCT(Mecze[[#This Row],[/PR:90]:[/BR:90]],Brudnopis!$E$28:$J$28),0)</f>
        <v>5.2083333333333336E-2</v>
      </c>
      <c r="Y791" s="35">
        <f>IF(Mecze[[#This Row],[Role]]="BR",Mecze[[#This Row],[/OB:90]]+Mecze[[#This Row],[/PC:90]],SUM(Mecze[[#This Row],[/PR:90]:[/BR:90]]))</f>
        <v>0.21875</v>
      </c>
      <c r="Z791" s="35">
        <f>IF(Mecze[[#This Row],[KC]]=0,SUM(Mecze[[#This Row],[/BRI]:[/NPI]]),SUM(Mecze[[#This Row],[/BRI]:[/NPI]])*0.6)</f>
        <v>0.95833333333333337</v>
      </c>
      <c r="AA791" s="10">
        <f>IFERROR(Mecze[[#This Row],[BR]]/Mecze[[#This Row],[ST]],0)</f>
        <v>0</v>
      </c>
      <c r="AB791">
        <f>ROUND(Mecze[[#This Row],[PD]]*Mecze[[#This Row],[%PC]],0)</f>
        <v>5</v>
      </c>
      <c r="AC791">
        <f>ROUND(Mecze[[#This Row],[OD]]*Mecze[[#This Row],[%OU]],0)</f>
        <v>4</v>
      </c>
      <c r="AD791" s="36" t="s">
        <v>167</v>
      </c>
      <c r="AE791" s="36">
        <v>44</v>
      </c>
      <c r="AF791" s="71">
        <v>3.1</v>
      </c>
      <c r="AG791" s="37">
        <v>0</v>
      </c>
      <c r="AH791" s="37">
        <v>0</v>
      </c>
      <c r="AI791" s="37">
        <v>96</v>
      </c>
      <c r="AJ791" s="37">
        <v>4</v>
      </c>
      <c r="AK791" s="37" t="str">
        <f>VLOOKUP(Mecze[[#This Row],[Match ID]],Meczusie[Mecz]:Meczusie[RodzajMeczu],2,FALSE)</f>
        <v>Liga</v>
      </c>
    </row>
    <row r="792" spans="1:37" x14ac:dyDescent="0.25">
      <c r="A792" s="76">
        <v>12</v>
      </c>
      <c r="B792" s="3" t="s">
        <v>278</v>
      </c>
      <c r="C792" s="2" t="s">
        <v>160</v>
      </c>
      <c r="D792" s="1">
        <v>0</v>
      </c>
      <c r="E792" s="1">
        <v>0</v>
      </c>
      <c r="F792" s="1">
        <v>0</v>
      </c>
      <c r="G792" s="1">
        <v>8</v>
      </c>
      <c r="H792" s="4">
        <v>0.75</v>
      </c>
      <c r="I792" s="1">
        <v>4</v>
      </c>
      <c r="J792" s="4">
        <v>0.75</v>
      </c>
      <c r="K792" s="1">
        <v>0</v>
      </c>
      <c r="L792" s="1">
        <v>0</v>
      </c>
      <c r="M792" s="32">
        <f>IF(Mecze[[#This Row],[PR]]=0,0,Mecze[[#This Row],[PR]]/Mecze[[#This Row],[CZAS]])</f>
        <v>0</v>
      </c>
      <c r="N792" s="32">
        <f>IF(Mecze[[#This Row],[OU]]=0,0,Mecze[[#This Row],[OU]]/Mecze[[#This Row],[CZAS]])</f>
        <v>3.125E-2</v>
      </c>
      <c r="O792" s="32">
        <f>IF(Mecze[[#This Row],[PC]]=0,0,Mecze[[#This Row],[PC]]/Mecze[[#This Row],[CZAS]])</f>
        <v>6.25E-2</v>
      </c>
      <c r="P792" s="32">
        <f>IF(Mecze[[#This Row],[SC]]=0,0,Mecze[[#This Row],[SC]]/Mecze[[#This Row],[CZAS]])</f>
        <v>0</v>
      </c>
      <c r="Q792" s="32">
        <f>IF(Mecze[[#This Row],[OB]]=0,0,Mecze[[#This Row],[OB]]/Mecze[[#This Row],[CZAS]])</f>
        <v>0</v>
      </c>
      <c r="R792" s="32">
        <f>IF(Mecze[[#This Row],[BR]]=0,0,Mecze[[#This Row],[BR]]/Mecze[[#This Row],[CZAS]])</f>
        <v>0</v>
      </c>
      <c r="S792" s="44">
        <f>IF(Mecze[[#This Row],[Role]]="BR",SUMPRODUCT(Mecze[[#This Row],[/PR:90]:[/BR:90]],Brudnopis!$E$23:$J$23),0)</f>
        <v>0</v>
      </c>
      <c r="T792" s="44">
        <f>IF(Mecze[[#This Row],[Role]]&lt;&gt;"BR",SUMPRODUCT(Mecze[[#This Row],[/PR:90]:[/BR:90]],Brudnopis!$E$24:$J$24),0)</f>
        <v>0.109375</v>
      </c>
      <c r="U792" s="44">
        <f>IF(Mecze[[#This Row],[Role]]&lt;&gt;"BR",SUMPRODUCT(Mecze[[#This Row],[/PR:90]:[/BR:90]],Brudnopis!$E$25:$J$25),0)</f>
        <v>0.125</v>
      </c>
      <c r="V792" s="44">
        <f>IF(Mecze[[#This Row],[Role]]&lt;&gt;"BR",SUMPRODUCT(Mecze[[#This Row],[/PR:90]:[/BR:90]],Brudnopis!$E$26:$J$26),0)</f>
        <v>9.375E-2</v>
      </c>
      <c r="W792" s="44">
        <f>IF(Mecze[[#This Row],[Role]]&lt;&gt;"BR",SUMPRODUCT(Mecze[[#This Row],[/PR:90]:[/BR:90]],Brudnopis!$E$27:$J$27),0)</f>
        <v>0.1171875</v>
      </c>
      <c r="X792" s="44">
        <f>IF(Mecze[[#This Row],[Role]]&lt;&gt;"BR",SUMPRODUCT(Mecze[[#This Row],[/PR:90]:[/BR:90]],Brudnopis!$E$28:$J$28),0)</f>
        <v>6.25E-2</v>
      </c>
      <c r="Y792" s="35">
        <f>IF(Mecze[[#This Row],[Role]]="BR",Mecze[[#This Row],[/OB:90]]+Mecze[[#This Row],[/PC:90]],SUM(Mecze[[#This Row],[/PR:90]:[/BR:90]]))</f>
        <v>9.375E-2</v>
      </c>
      <c r="Z792" s="35">
        <f>IF(Mecze[[#This Row],[KC]]=0,SUM(Mecze[[#This Row],[/BRI]:[/NPI]]),SUM(Mecze[[#This Row],[/BRI]:[/NPI]])*0.6)</f>
        <v>0.5078125</v>
      </c>
      <c r="AA792" s="10">
        <f>IFERROR(Mecze[[#This Row],[BR]]/Mecze[[#This Row],[ST]],0)</f>
        <v>0</v>
      </c>
      <c r="AB792">
        <f>ROUND(Mecze[[#This Row],[PD]]*Mecze[[#This Row],[%PC]],0)</f>
        <v>6</v>
      </c>
      <c r="AC792">
        <f>ROUND(Mecze[[#This Row],[OD]]*Mecze[[#This Row],[%OU]],0)</f>
        <v>3</v>
      </c>
      <c r="AD792" s="36" t="s">
        <v>41</v>
      </c>
      <c r="AE792" s="36">
        <v>44</v>
      </c>
      <c r="AF792" s="71">
        <v>3.91</v>
      </c>
      <c r="AG792" s="37">
        <v>0</v>
      </c>
      <c r="AH792" s="37">
        <v>0</v>
      </c>
      <c r="AI792" s="37">
        <v>96</v>
      </c>
      <c r="AJ792" s="37">
        <v>4</v>
      </c>
      <c r="AK792" s="37" t="str">
        <f>VLOOKUP(Mecze[[#This Row],[Match ID]],Meczusie[Mecz]:Meczusie[RodzajMeczu],2,FALSE)</f>
        <v>Liga</v>
      </c>
    </row>
    <row r="793" spans="1:37" x14ac:dyDescent="0.25">
      <c r="A793" s="76">
        <v>7</v>
      </c>
      <c r="B793" s="3" t="s">
        <v>279</v>
      </c>
      <c r="C793" s="2" t="s">
        <v>160</v>
      </c>
      <c r="D793" s="1">
        <v>0</v>
      </c>
      <c r="E793" s="1">
        <v>0</v>
      </c>
      <c r="F793" s="1">
        <v>0</v>
      </c>
      <c r="G793" s="1">
        <v>13</v>
      </c>
      <c r="H793" s="4">
        <v>0.85</v>
      </c>
      <c r="I793" s="1">
        <v>0</v>
      </c>
      <c r="J793" s="4"/>
      <c r="K793" s="1">
        <v>0</v>
      </c>
      <c r="L793" s="1">
        <v>1</v>
      </c>
      <c r="M793" s="32">
        <f>IF(Mecze[[#This Row],[PR]]=0,0,Mecze[[#This Row],[PR]]/Mecze[[#This Row],[CZAS]])</f>
        <v>1.0416666666666666E-2</v>
      </c>
      <c r="N793" s="32">
        <f>IF(Mecze[[#This Row],[OU]]=0,0,Mecze[[#This Row],[OU]]/Mecze[[#This Row],[CZAS]])</f>
        <v>0</v>
      </c>
      <c r="O793" s="32">
        <f>IF(Mecze[[#This Row],[PC]]=0,0,Mecze[[#This Row],[PC]]/Mecze[[#This Row],[CZAS]])</f>
        <v>0.11458333333333333</v>
      </c>
      <c r="P793" s="32">
        <f>IF(Mecze[[#This Row],[SC]]=0,0,Mecze[[#This Row],[SC]]/Mecze[[#This Row],[CZAS]])</f>
        <v>0</v>
      </c>
      <c r="Q793" s="32">
        <f>IF(Mecze[[#This Row],[OB]]=0,0,Mecze[[#This Row],[OB]]/Mecze[[#This Row],[CZAS]])</f>
        <v>0</v>
      </c>
      <c r="R793" s="32">
        <f>IF(Mecze[[#This Row],[BR]]=0,0,Mecze[[#This Row],[BR]]/Mecze[[#This Row],[CZAS]])</f>
        <v>0</v>
      </c>
      <c r="S793" s="44">
        <f>IF(Mecze[[#This Row],[Role]]="BR",SUMPRODUCT(Mecze[[#This Row],[/PR:90]:[/BR:90]],Brudnopis!$E$23:$J$23),0)</f>
        <v>0</v>
      </c>
      <c r="T793" s="44">
        <f>IF(Mecze[[#This Row],[Role]]&lt;&gt;"BR",SUMPRODUCT(Mecze[[#This Row],[/PR:90]:[/BR:90]],Brudnopis!$E$24:$J$24),0)</f>
        <v>0.125</v>
      </c>
      <c r="U793" s="44">
        <f>IF(Mecze[[#This Row],[Role]]&lt;&gt;"BR",SUMPRODUCT(Mecze[[#This Row],[/PR:90]:[/BR:90]],Brudnopis!$E$25:$J$25),0)</f>
        <v>0.18229166666666666</v>
      </c>
      <c r="V793" s="44">
        <f>IF(Mecze[[#This Row],[Role]]&lt;&gt;"BR",SUMPRODUCT(Mecze[[#This Row],[/PR:90]:[/BR:90]],Brudnopis!$E$26:$J$26),0)</f>
        <v>0.125</v>
      </c>
      <c r="W793" s="44">
        <f>IF(Mecze[[#This Row],[Role]]&lt;&gt;"BR",SUMPRODUCT(Mecze[[#This Row],[/PR:90]:[/BR:90]],Brudnopis!$E$27:$J$27),0)</f>
        <v>0.1796875</v>
      </c>
      <c r="X793" s="44">
        <f>IF(Mecze[[#This Row],[Role]]&lt;&gt;"BR",SUMPRODUCT(Mecze[[#This Row],[/PR:90]:[/BR:90]],Brudnopis!$E$28:$J$28),0)</f>
        <v>0.11458333333333333</v>
      </c>
      <c r="Y793" s="35">
        <f>IF(Mecze[[#This Row],[Role]]="BR",Mecze[[#This Row],[/OB:90]]+Mecze[[#This Row],[/PC:90]],SUM(Mecze[[#This Row],[/PR:90]:[/BR:90]]))</f>
        <v>0.125</v>
      </c>
      <c r="Z793" s="35">
        <f>IF(Mecze[[#This Row],[KC]]=0,SUM(Mecze[[#This Row],[/BRI]:[/NPI]]),SUM(Mecze[[#This Row],[/BRI]:[/NPI]])*0.6)</f>
        <v>0.7265625</v>
      </c>
      <c r="AA793" s="10">
        <f>IFERROR(Mecze[[#This Row],[BR]]/Mecze[[#This Row],[ST]],0)</f>
        <v>0</v>
      </c>
      <c r="AB793">
        <f>ROUND(Mecze[[#This Row],[PD]]*Mecze[[#This Row],[%PC]],0)</f>
        <v>11</v>
      </c>
      <c r="AC793">
        <f>ROUND(Mecze[[#This Row],[OD]]*Mecze[[#This Row],[%OU]],0)</f>
        <v>0</v>
      </c>
      <c r="AD793" s="36" t="s">
        <v>41</v>
      </c>
      <c r="AE793" s="36">
        <v>44</v>
      </c>
      <c r="AF793" s="71">
        <v>5.03</v>
      </c>
      <c r="AG793" s="37">
        <v>0</v>
      </c>
      <c r="AH793" s="37">
        <v>0</v>
      </c>
      <c r="AI793" s="37">
        <v>96</v>
      </c>
      <c r="AJ793" s="37">
        <v>4</v>
      </c>
      <c r="AK793" s="37" t="str">
        <f>VLOOKUP(Mecze[[#This Row],[Match ID]],Meczusie[Mecz]:Meczusie[RodzajMeczu],2,FALSE)</f>
        <v>Liga</v>
      </c>
    </row>
    <row r="794" spans="1:37" x14ac:dyDescent="0.25">
      <c r="A794" s="76">
        <v>6</v>
      </c>
      <c r="B794" s="3" t="s">
        <v>280</v>
      </c>
      <c r="C794" s="2" t="s">
        <v>160</v>
      </c>
      <c r="D794" s="1">
        <v>0</v>
      </c>
      <c r="E794" s="1">
        <v>0</v>
      </c>
      <c r="F794" s="1">
        <v>0</v>
      </c>
      <c r="G794" s="1">
        <v>13</v>
      </c>
      <c r="H794" s="4">
        <v>0.92</v>
      </c>
      <c r="I794" s="1">
        <v>4</v>
      </c>
      <c r="J794" s="4">
        <v>0.75</v>
      </c>
      <c r="K794" s="1">
        <v>0</v>
      </c>
      <c r="L794" s="1">
        <v>1</v>
      </c>
      <c r="M794" s="32">
        <f>IF(Mecze[[#This Row],[PR]]=0,0,Mecze[[#This Row],[PR]]/Mecze[[#This Row],[CZAS]])</f>
        <v>1.0416666666666666E-2</v>
      </c>
      <c r="N794" s="32">
        <f>IF(Mecze[[#This Row],[OU]]=0,0,Mecze[[#This Row],[OU]]/Mecze[[#This Row],[CZAS]])</f>
        <v>3.125E-2</v>
      </c>
      <c r="O794" s="32">
        <f>IF(Mecze[[#This Row],[PC]]=0,0,Mecze[[#This Row],[PC]]/Mecze[[#This Row],[CZAS]])</f>
        <v>0.125</v>
      </c>
      <c r="P794" s="32">
        <f>IF(Mecze[[#This Row],[SC]]=0,0,Mecze[[#This Row],[SC]]/Mecze[[#This Row],[CZAS]])</f>
        <v>0</v>
      </c>
      <c r="Q794" s="32">
        <f>IF(Mecze[[#This Row],[OB]]=0,0,Mecze[[#This Row],[OB]]/Mecze[[#This Row],[CZAS]])</f>
        <v>0</v>
      </c>
      <c r="R794" s="32">
        <f>IF(Mecze[[#This Row],[BR]]=0,0,Mecze[[#This Row],[BR]]/Mecze[[#This Row],[CZAS]])</f>
        <v>0</v>
      </c>
      <c r="S794" s="44">
        <f>IF(Mecze[[#This Row],[Role]]="BR",SUMPRODUCT(Mecze[[#This Row],[/PR:90]:[/BR:90]],Brudnopis!$E$23:$J$23),0)</f>
        <v>0</v>
      </c>
      <c r="T794" s="44">
        <f>IF(Mecze[[#This Row],[Role]]&lt;&gt;"BR",SUMPRODUCT(Mecze[[#This Row],[/PR:90]:[/BR:90]],Brudnopis!$E$24:$J$24),0)</f>
        <v>0.18229166666666666</v>
      </c>
      <c r="U794" s="44">
        <f>IF(Mecze[[#This Row],[Role]]&lt;&gt;"BR",SUMPRODUCT(Mecze[[#This Row],[/PR:90]:[/BR:90]],Brudnopis!$E$25:$J$25),0)</f>
        <v>0.22916666666666666</v>
      </c>
      <c r="V794" s="44">
        <f>IF(Mecze[[#This Row],[Role]]&lt;&gt;"BR",SUMPRODUCT(Mecze[[#This Row],[/PR:90]:[/BR:90]],Brudnopis!$E$26:$J$26),0)</f>
        <v>0.16666666666666666</v>
      </c>
      <c r="W794" s="44">
        <f>IF(Mecze[[#This Row],[Role]]&lt;&gt;"BR",SUMPRODUCT(Mecze[[#This Row],[/PR:90]:[/BR:90]],Brudnopis!$E$27:$J$27),0)</f>
        <v>0.21875</v>
      </c>
      <c r="X794" s="44">
        <f>IF(Mecze[[#This Row],[Role]]&lt;&gt;"BR",SUMPRODUCT(Mecze[[#This Row],[/PR:90]:[/BR:90]],Brudnopis!$E$28:$J$28),0)</f>
        <v>0.125</v>
      </c>
      <c r="Y794" s="35">
        <f>IF(Mecze[[#This Row],[Role]]="BR",Mecze[[#This Row],[/OB:90]]+Mecze[[#This Row],[/PC:90]],SUM(Mecze[[#This Row],[/PR:90]:[/BR:90]]))</f>
        <v>0.16666666666666666</v>
      </c>
      <c r="Z794" s="35">
        <f>IF(Mecze[[#This Row],[KC]]=0,SUM(Mecze[[#This Row],[/BRI]:[/NPI]]),SUM(Mecze[[#This Row],[/BRI]:[/NPI]])*0.6)</f>
        <v>0.921875</v>
      </c>
      <c r="AA794" s="10">
        <f>IFERROR(Mecze[[#This Row],[BR]]/Mecze[[#This Row],[ST]],0)</f>
        <v>0</v>
      </c>
      <c r="AB794">
        <f>ROUND(Mecze[[#This Row],[PD]]*Mecze[[#This Row],[%PC]],0)</f>
        <v>12</v>
      </c>
      <c r="AC794">
        <f>ROUND(Mecze[[#This Row],[OD]]*Mecze[[#This Row],[%OU]],0)</f>
        <v>3</v>
      </c>
      <c r="AD794" s="36" t="s">
        <v>67</v>
      </c>
      <c r="AE794" s="36">
        <v>44</v>
      </c>
      <c r="AF794" s="71">
        <v>5.03</v>
      </c>
      <c r="AG794" s="37">
        <v>0</v>
      </c>
      <c r="AH794" s="37">
        <v>0</v>
      </c>
      <c r="AI794" s="37">
        <v>96</v>
      </c>
      <c r="AJ794" s="37">
        <v>4</v>
      </c>
      <c r="AK794" s="37" t="str">
        <f>VLOOKUP(Mecze[[#This Row],[Match ID]],Meczusie[Mecz]:Meczusie[RodzajMeczu],2,FALSE)</f>
        <v>Liga</v>
      </c>
    </row>
    <row r="795" spans="1:37" x14ac:dyDescent="0.25">
      <c r="A795" s="76">
        <v>14</v>
      </c>
      <c r="B795" s="3" t="s">
        <v>281</v>
      </c>
      <c r="C795" s="2" t="s">
        <v>160</v>
      </c>
      <c r="D795" s="1">
        <v>0</v>
      </c>
      <c r="E795" s="1">
        <v>1</v>
      </c>
      <c r="F795" s="1">
        <v>1</v>
      </c>
      <c r="G795" s="1">
        <v>2</v>
      </c>
      <c r="H795" s="4">
        <v>0.5</v>
      </c>
      <c r="I795" s="1">
        <v>0</v>
      </c>
      <c r="J795" s="4"/>
      <c r="K795" s="1">
        <v>0</v>
      </c>
      <c r="L795" s="1">
        <v>0</v>
      </c>
      <c r="M795" s="32">
        <f>IF(Mecze[[#This Row],[PR]]=0,0,Mecze[[#This Row],[PR]]/Mecze[[#This Row],[CZAS]])</f>
        <v>0</v>
      </c>
      <c r="N795" s="32">
        <f>IF(Mecze[[#This Row],[OU]]=0,0,Mecze[[#This Row],[OU]]/Mecze[[#This Row],[CZAS]])</f>
        <v>0</v>
      </c>
      <c r="O795" s="32">
        <f>IF(Mecze[[#This Row],[PC]]=0,0,Mecze[[#This Row],[PC]]/Mecze[[#This Row],[CZAS]])</f>
        <v>1.0416666666666666E-2</v>
      </c>
      <c r="P795" s="32">
        <f>IF(Mecze[[#This Row],[SC]]=0,0,Mecze[[#This Row],[SC]]/Mecze[[#This Row],[CZAS]])</f>
        <v>1.0416666666666666E-2</v>
      </c>
      <c r="Q795" s="32">
        <f>IF(Mecze[[#This Row],[OB]]=0,0,Mecze[[#This Row],[OB]]/Mecze[[#This Row],[CZAS]])</f>
        <v>0</v>
      </c>
      <c r="R795" s="32">
        <f>IF(Mecze[[#This Row],[BR]]=0,0,Mecze[[#This Row],[BR]]/Mecze[[#This Row],[CZAS]])</f>
        <v>0</v>
      </c>
      <c r="S795" s="44">
        <f>IF(Mecze[[#This Row],[Role]]="BR",SUMPRODUCT(Mecze[[#This Row],[/PR:90]:[/BR:90]],Brudnopis!$E$23:$J$23),0)</f>
        <v>0</v>
      </c>
      <c r="T795" s="44">
        <f>IF(Mecze[[#This Row],[Role]]&lt;&gt;"BR",SUMPRODUCT(Mecze[[#This Row],[/PR:90]:[/BR:90]],Brudnopis!$E$24:$J$24),0)</f>
        <v>2.0833333333333332E-2</v>
      </c>
      <c r="U795" s="44">
        <f>IF(Mecze[[#This Row],[Role]]&lt;&gt;"BR",SUMPRODUCT(Mecze[[#This Row],[/PR:90]:[/BR:90]],Brudnopis!$E$25:$J$25),0)</f>
        <v>2.6041666666666664E-2</v>
      </c>
      <c r="V795" s="44">
        <f>IF(Mecze[[#This Row],[Role]]&lt;&gt;"BR",SUMPRODUCT(Mecze[[#This Row],[/PR:90]:[/BR:90]],Brudnopis!$E$26:$J$26),0)</f>
        <v>2.0833333333333332E-2</v>
      </c>
      <c r="W795" s="44">
        <f>IF(Mecze[[#This Row],[Role]]&lt;&gt;"BR",SUMPRODUCT(Mecze[[#This Row],[/PR:90]:[/BR:90]],Brudnopis!$E$27:$J$27),0)</f>
        <v>2.6041666666666664E-2</v>
      </c>
      <c r="X795" s="44">
        <f>IF(Mecze[[#This Row],[Role]]&lt;&gt;"BR",SUMPRODUCT(Mecze[[#This Row],[/PR:90]:[/BR:90]],Brudnopis!$E$28:$J$28),0)</f>
        <v>3.125E-2</v>
      </c>
      <c r="Y795" s="35">
        <f>IF(Mecze[[#This Row],[Role]]="BR",Mecze[[#This Row],[/OB:90]]+Mecze[[#This Row],[/PC:90]],SUM(Mecze[[#This Row],[/PR:90]:[/BR:90]]))</f>
        <v>2.0833333333333332E-2</v>
      </c>
      <c r="Z795" s="35">
        <f>IF(Mecze[[#This Row],[KC]]=0,SUM(Mecze[[#This Row],[/BRI]:[/NPI]]),SUM(Mecze[[#This Row],[/BRI]:[/NPI]])*0.6)</f>
        <v>0.125</v>
      </c>
      <c r="AA795" s="10">
        <f>IFERROR(Mecze[[#This Row],[BR]]/Mecze[[#This Row],[ST]],0)</f>
        <v>0</v>
      </c>
      <c r="AB795">
        <f>ROUND(Mecze[[#This Row],[PD]]*Mecze[[#This Row],[%PC]],0)</f>
        <v>1</v>
      </c>
      <c r="AC795">
        <f>ROUND(Mecze[[#This Row],[OD]]*Mecze[[#This Row],[%OU]],0)</f>
        <v>0</v>
      </c>
      <c r="AD795" s="36" t="s">
        <v>171</v>
      </c>
      <c r="AE795" s="36">
        <v>44</v>
      </c>
      <c r="AF795" s="71">
        <v>2.93</v>
      </c>
      <c r="AG795" s="37">
        <v>0</v>
      </c>
      <c r="AH795" s="37">
        <v>0</v>
      </c>
      <c r="AI795" s="37">
        <v>96</v>
      </c>
      <c r="AJ795" s="37">
        <v>4</v>
      </c>
      <c r="AK795" s="37" t="str">
        <f>VLOOKUP(Mecze[[#This Row],[Match ID]],Meczusie[Mecz]:Meczusie[RodzajMeczu],2,FALSE)</f>
        <v>Liga</v>
      </c>
    </row>
    <row r="796" spans="1:37" x14ac:dyDescent="0.25">
      <c r="A796" s="76">
        <v>11</v>
      </c>
      <c r="B796" s="3" t="s">
        <v>282</v>
      </c>
      <c r="C796" s="2" t="s">
        <v>165</v>
      </c>
      <c r="D796" s="1">
        <v>1</v>
      </c>
      <c r="E796" s="1">
        <v>3</v>
      </c>
      <c r="F796" s="1">
        <v>3</v>
      </c>
      <c r="G796" s="1">
        <v>3</v>
      </c>
      <c r="H796" s="4">
        <v>0.33</v>
      </c>
      <c r="I796" s="1">
        <v>0</v>
      </c>
      <c r="J796" s="4"/>
      <c r="K796" s="1">
        <v>0</v>
      </c>
      <c r="L796" s="1">
        <v>2</v>
      </c>
      <c r="M796" s="32">
        <f>IF(Mecze[[#This Row],[PR]]=0,0,Mecze[[#This Row],[PR]]/Mecze[[#This Row],[CZAS]])</f>
        <v>2.6315789473684209E-2</v>
      </c>
      <c r="N796" s="32">
        <f>IF(Mecze[[#This Row],[OU]]=0,0,Mecze[[#This Row],[OU]]/Mecze[[#This Row],[CZAS]])</f>
        <v>0</v>
      </c>
      <c r="O796" s="32">
        <f>IF(Mecze[[#This Row],[PC]]=0,0,Mecze[[#This Row],[PC]]/Mecze[[#This Row],[CZAS]])</f>
        <v>1.3157894736842105E-2</v>
      </c>
      <c r="P796" s="32">
        <f>IF(Mecze[[#This Row],[SC]]=0,0,Mecze[[#This Row],[SC]]/Mecze[[#This Row],[CZAS]])</f>
        <v>3.9473684210526314E-2</v>
      </c>
      <c r="Q796" s="32">
        <f>IF(Mecze[[#This Row],[OB]]=0,0,Mecze[[#This Row],[OB]]/Mecze[[#This Row],[CZAS]])</f>
        <v>0</v>
      </c>
      <c r="R796" s="32">
        <f>IF(Mecze[[#This Row],[BR]]=0,0,Mecze[[#This Row],[BR]]/Mecze[[#This Row],[CZAS]])</f>
        <v>1.3157894736842105E-2</v>
      </c>
      <c r="S796" s="44">
        <f>IF(Mecze[[#This Row],[Role]]="BR",SUMPRODUCT(Mecze[[#This Row],[/PR:90]:[/BR:90]],Brudnopis!$E$23:$J$23),0)</f>
        <v>0</v>
      </c>
      <c r="T796" s="44">
        <f>IF(Mecze[[#This Row],[Role]]&lt;&gt;"BR",SUMPRODUCT(Mecze[[#This Row],[/PR:90]:[/BR:90]],Brudnopis!$E$24:$J$24),0)</f>
        <v>9.8684210526315791E-2</v>
      </c>
      <c r="U796" s="44">
        <f>IF(Mecze[[#This Row],[Role]]&lt;&gt;"BR",SUMPRODUCT(Mecze[[#This Row],[/PR:90]:[/BR:90]],Brudnopis!$E$25:$J$25),0)</f>
        <v>0.10526315789473684</v>
      </c>
      <c r="V796" s="44">
        <f>IF(Mecze[[#This Row],[Role]]&lt;&gt;"BR",SUMPRODUCT(Mecze[[#This Row],[/PR:90]:[/BR:90]],Brudnopis!$E$26:$J$26),0)</f>
        <v>0.10526315789473684</v>
      </c>
      <c r="W796" s="44">
        <f>IF(Mecze[[#This Row],[Role]]&lt;&gt;"BR",SUMPRODUCT(Mecze[[#This Row],[/PR:90]:[/BR:90]],Brudnopis!$E$27:$J$27),0)</f>
        <v>0.10526315789473684</v>
      </c>
      <c r="X796" s="44">
        <f>IF(Mecze[[#This Row],[Role]]&lt;&gt;"BR",SUMPRODUCT(Mecze[[#This Row],[/PR:90]:[/BR:90]],Brudnopis!$E$28:$J$28),0)</f>
        <v>0.13157894736842105</v>
      </c>
      <c r="Y796" s="35">
        <f>IF(Mecze[[#This Row],[Role]]="BR",Mecze[[#This Row],[/OB:90]]+Mecze[[#This Row],[/PC:90]],SUM(Mecze[[#This Row],[/PR:90]:[/BR:90]]))</f>
        <v>9.2105263157894732E-2</v>
      </c>
      <c r="Z796" s="35">
        <f>IF(Mecze[[#This Row],[KC]]=0,SUM(Mecze[[#This Row],[/BRI]:[/NPI]]),SUM(Mecze[[#This Row],[/BRI]:[/NPI]])*0.6)</f>
        <v>0.54605263157894735</v>
      </c>
      <c r="AA796" s="10">
        <f>IFERROR(Mecze[[#This Row],[BR]]/Mecze[[#This Row],[ST]],0)</f>
        <v>0.33333333333333331</v>
      </c>
      <c r="AB796">
        <f>ROUND(Mecze[[#This Row],[PD]]*Mecze[[#This Row],[%PC]],0)</f>
        <v>1</v>
      </c>
      <c r="AC796">
        <f>ROUND(Mecze[[#This Row],[OD]]*Mecze[[#This Row],[%OU]],0)</f>
        <v>0</v>
      </c>
      <c r="AD796" s="36" t="s">
        <v>46</v>
      </c>
      <c r="AE796" s="36">
        <v>44</v>
      </c>
      <c r="AF796" s="71">
        <v>5.67</v>
      </c>
      <c r="AG796" s="37">
        <v>0</v>
      </c>
      <c r="AH796" s="37">
        <v>0</v>
      </c>
      <c r="AI796" s="37">
        <v>76</v>
      </c>
      <c r="AJ796" s="37">
        <v>4</v>
      </c>
      <c r="AK796" s="37" t="str">
        <f>VLOOKUP(Mecze[[#This Row],[Match ID]],Meczusie[Mecz]:Meczusie[RodzajMeczu],2,FALSE)</f>
        <v>Liga</v>
      </c>
    </row>
    <row r="797" spans="1:37" x14ac:dyDescent="0.25">
      <c r="A797" s="76">
        <v>8</v>
      </c>
      <c r="B797" s="3" t="s">
        <v>283</v>
      </c>
      <c r="C797" s="2" t="s">
        <v>165</v>
      </c>
      <c r="D797" s="1">
        <v>1</v>
      </c>
      <c r="E797" s="1">
        <v>4</v>
      </c>
      <c r="F797" s="1">
        <v>4</v>
      </c>
      <c r="G797" s="1">
        <v>12</v>
      </c>
      <c r="H797" s="4">
        <v>0.92</v>
      </c>
      <c r="I797" s="1">
        <v>2</v>
      </c>
      <c r="J797" s="4">
        <v>0</v>
      </c>
      <c r="K797" s="1">
        <v>0</v>
      </c>
      <c r="L797" s="1">
        <v>0</v>
      </c>
      <c r="M797" s="32">
        <f>IF(Mecze[[#This Row],[PR]]=0,0,Mecze[[#This Row],[PR]]/Mecze[[#This Row],[CZAS]])</f>
        <v>0</v>
      </c>
      <c r="N797" s="32">
        <f>IF(Mecze[[#This Row],[OU]]=0,0,Mecze[[#This Row],[OU]]/Mecze[[#This Row],[CZAS]])</f>
        <v>0</v>
      </c>
      <c r="O797" s="32">
        <f>IF(Mecze[[#This Row],[PC]]=0,0,Mecze[[#This Row],[PC]]/Mecze[[#This Row],[CZAS]])</f>
        <v>0.11458333333333333</v>
      </c>
      <c r="P797" s="32">
        <f>IF(Mecze[[#This Row],[SC]]=0,0,Mecze[[#This Row],[SC]]/Mecze[[#This Row],[CZAS]])</f>
        <v>4.1666666666666664E-2</v>
      </c>
      <c r="Q797" s="32">
        <f>IF(Mecze[[#This Row],[OB]]=0,0,Mecze[[#This Row],[OB]]/Mecze[[#This Row],[CZAS]])</f>
        <v>0</v>
      </c>
      <c r="R797" s="32">
        <f>IF(Mecze[[#This Row],[BR]]=0,0,Mecze[[#This Row],[BR]]/Mecze[[#This Row],[CZAS]])</f>
        <v>1.0416666666666666E-2</v>
      </c>
      <c r="S797" s="44">
        <f>IF(Mecze[[#This Row],[Role]]="BR",SUMPRODUCT(Mecze[[#This Row],[/PR:90]:[/BR:90]],Brudnopis!$E$23:$J$23),0)</f>
        <v>0</v>
      </c>
      <c r="T797" s="44">
        <f>IF(Mecze[[#This Row],[Role]]&lt;&gt;"BR",SUMPRODUCT(Mecze[[#This Row],[/PR:90]:[/BR:90]],Brudnopis!$E$24:$J$24),0)</f>
        <v>0.171875</v>
      </c>
      <c r="U797" s="44">
        <f>IF(Mecze[[#This Row],[Role]]&lt;&gt;"BR",SUMPRODUCT(Mecze[[#This Row],[/PR:90]:[/BR:90]],Brudnopis!$E$25:$J$25),0)</f>
        <v>0.22916666666666666</v>
      </c>
      <c r="V797" s="44">
        <f>IF(Mecze[[#This Row],[Role]]&lt;&gt;"BR",SUMPRODUCT(Mecze[[#This Row],[/PR:90]:[/BR:90]],Brudnopis!$E$26:$J$26),0)</f>
        <v>0.17708333333333334</v>
      </c>
      <c r="W797" s="44">
        <f>IF(Mecze[[#This Row],[Role]]&lt;&gt;"BR",SUMPRODUCT(Mecze[[#This Row],[/PR:90]:[/BR:90]],Brudnopis!$E$27:$J$27),0)</f>
        <v>0.234375</v>
      </c>
      <c r="X797" s="44">
        <f>IF(Mecze[[#This Row],[Role]]&lt;&gt;"BR",SUMPRODUCT(Mecze[[#This Row],[/PR:90]:[/BR:90]],Brudnopis!$E$28:$J$28),0)</f>
        <v>0.22916666666666666</v>
      </c>
      <c r="Y797" s="35">
        <f>IF(Mecze[[#This Row],[Role]]="BR",Mecze[[#This Row],[/OB:90]]+Mecze[[#This Row],[/PC:90]],SUM(Mecze[[#This Row],[/PR:90]:[/BR:90]]))</f>
        <v>0.16666666666666666</v>
      </c>
      <c r="Z797" s="35">
        <f>IF(Mecze[[#This Row],[KC]]=0,SUM(Mecze[[#This Row],[/BRI]:[/NPI]]),SUM(Mecze[[#This Row],[/BRI]:[/NPI]])*0.6)</f>
        <v>1.0416666666666667</v>
      </c>
      <c r="AA797" s="10">
        <f>IFERROR(Mecze[[#This Row],[BR]]/Mecze[[#This Row],[ST]],0)</f>
        <v>0.25</v>
      </c>
      <c r="AB797">
        <f>ROUND(Mecze[[#This Row],[PD]]*Mecze[[#This Row],[%PC]],0)</f>
        <v>11</v>
      </c>
      <c r="AC797">
        <f>ROUND(Mecze[[#This Row],[OD]]*Mecze[[#This Row],[%OU]],0)</f>
        <v>0</v>
      </c>
      <c r="AD797" s="36" t="s">
        <v>273</v>
      </c>
      <c r="AE797" s="36">
        <v>44</v>
      </c>
      <c r="AF797" s="71">
        <v>8.14</v>
      </c>
      <c r="AG797" s="37">
        <v>0</v>
      </c>
      <c r="AH797" s="37">
        <v>0</v>
      </c>
      <c r="AI797" s="37">
        <v>96</v>
      </c>
      <c r="AJ797" s="37">
        <v>4</v>
      </c>
      <c r="AK797" s="37" t="str">
        <f>VLOOKUP(Mecze[[#This Row],[Match ID]],Meczusie[Mecz]:Meczusie[RodzajMeczu],2,FALSE)</f>
        <v>Liga</v>
      </c>
    </row>
    <row r="798" spans="1:37" x14ac:dyDescent="0.25">
      <c r="A798" s="76">
        <v>10</v>
      </c>
      <c r="B798" s="3" t="s">
        <v>284</v>
      </c>
      <c r="C798" s="2" t="s">
        <v>165</v>
      </c>
      <c r="D798" s="1">
        <v>0</v>
      </c>
      <c r="E798" s="1">
        <v>0</v>
      </c>
      <c r="F798" s="1">
        <v>0</v>
      </c>
      <c r="G798" s="1">
        <v>10</v>
      </c>
      <c r="H798" s="4">
        <v>0.8</v>
      </c>
      <c r="I798" s="1">
        <v>1</v>
      </c>
      <c r="J798" s="4">
        <v>0</v>
      </c>
      <c r="K798" s="1">
        <v>0</v>
      </c>
      <c r="L798" s="1">
        <v>1</v>
      </c>
      <c r="M798" s="32">
        <f>IF(Mecze[[#This Row],[PR]]=0,0,Mecze[[#This Row],[PR]]/Mecze[[#This Row],[CZAS]])</f>
        <v>1.0416666666666666E-2</v>
      </c>
      <c r="N798" s="32">
        <f>IF(Mecze[[#This Row],[OU]]=0,0,Mecze[[#This Row],[OU]]/Mecze[[#This Row],[CZAS]])</f>
        <v>0</v>
      </c>
      <c r="O798" s="32">
        <f>IF(Mecze[[#This Row],[PC]]=0,0,Mecze[[#This Row],[PC]]/Mecze[[#This Row],[CZAS]])</f>
        <v>8.3333333333333329E-2</v>
      </c>
      <c r="P798" s="32">
        <f>IF(Mecze[[#This Row],[SC]]=0,0,Mecze[[#This Row],[SC]]/Mecze[[#This Row],[CZAS]])</f>
        <v>0</v>
      </c>
      <c r="Q798" s="32">
        <f>IF(Mecze[[#This Row],[OB]]=0,0,Mecze[[#This Row],[OB]]/Mecze[[#This Row],[CZAS]])</f>
        <v>0</v>
      </c>
      <c r="R798" s="32">
        <f>IF(Mecze[[#This Row],[BR]]=0,0,Mecze[[#This Row],[BR]]/Mecze[[#This Row],[CZAS]])</f>
        <v>0</v>
      </c>
      <c r="S798" s="44">
        <f>IF(Mecze[[#This Row],[Role]]="BR",SUMPRODUCT(Mecze[[#This Row],[/PR:90]:[/BR:90]],Brudnopis!$E$23:$J$23),0)</f>
        <v>0</v>
      </c>
      <c r="T798" s="44">
        <f>IF(Mecze[[#This Row],[Role]]&lt;&gt;"BR",SUMPRODUCT(Mecze[[#This Row],[/PR:90]:[/BR:90]],Brudnopis!$E$24:$J$24),0)</f>
        <v>9.375E-2</v>
      </c>
      <c r="U798" s="44">
        <f>IF(Mecze[[#This Row],[Role]]&lt;&gt;"BR",SUMPRODUCT(Mecze[[#This Row],[/PR:90]:[/BR:90]],Brudnopis!$E$25:$J$25),0)</f>
        <v>0.13541666666666666</v>
      </c>
      <c r="V798" s="44">
        <f>IF(Mecze[[#This Row],[Role]]&lt;&gt;"BR",SUMPRODUCT(Mecze[[#This Row],[/PR:90]:[/BR:90]],Brudnopis!$E$26:$J$26),0)</f>
        <v>9.375E-2</v>
      </c>
      <c r="W798" s="44">
        <f>IF(Mecze[[#This Row],[Role]]&lt;&gt;"BR",SUMPRODUCT(Mecze[[#This Row],[/PR:90]:[/BR:90]],Brudnopis!$E$27:$J$27),0)</f>
        <v>0.1328125</v>
      </c>
      <c r="X798" s="44">
        <f>IF(Mecze[[#This Row],[Role]]&lt;&gt;"BR",SUMPRODUCT(Mecze[[#This Row],[/PR:90]:[/BR:90]],Brudnopis!$E$28:$J$28),0)</f>
        <v>8.3333333333333329E-2</v>
      </c>
      <c r="Y798" s="35">
        <f>IF(Mecze[[#This Row],[Role]]="BR",Mecze[[#This Row],[/OB:90]]+Mecze[[#This Row],[/PC:90]],SUM(Mecze[[#This Row],[/PR:90]:[/BR:90]]))</f>
        <v>9.375E-2</v>
      </c>
      <c r="Z798" s="35">
        <f>IF(Mecze[[#This Row],[KC]]=0,SUM(Mecze[[#This Row],[/BRI]:[/NPI]]),SUM(Mecze[[#This Row],[/BRI]:[/NPI]])*0.6)</f>
        <v>0.5390625</v>
      </c>
      <c r="AA798" s="10">
        <f>IFERROR(Mecze[[#This Row],[BR]]/Mecze[[#This Row],[ST]],0)</f>
        <v>0</v>
      </c>
      <c r="AB798">
        <f>ROUND(Mecze[[#This Row],[PD]]*Mecze[[#This Row],[%PC]],0)</f>
        <v>8</v>
      </c>
      <c r="AC798">
        <f>ROUND(Mecze[[#This Row],[OD]]*Mecze[[#This Row],[%OU]],0)</f>
        <v>0</v>
      </c>
      <c r="AD798" s="36" t="s">
        <v>46</v>
      </c>
      <c r="AE798" s="36">
        <v>44</v>
      </c>
      <c r="AF798" s="71">
        <v>4.96</v>
      </c>
      <c r="AG798" s="37">
        <v>0</v>
      </c>
      <c r="AH798" s="37">
        <v>0</v>
      </c>
      <c r="AI798" s="37">
        <v>96</v>
      </c>
      <c r="AJ798" s="37">
        <v>4</v>
      </c>
      <c r="AK798" s="37" t="str">
        <f>VLOOKUP(Mecze[[#This Row],[Match ID]],Meczusie[Mecz]:Meczusie[RodzajMeczu],2,FALSE)</f>
        <v>Liga</v>
      </c>
    </row>
    <row r="799" spans="1:37" x14ac:dyDescent="0.25">
      <c r="A799" s="76">
        <v>15</v>
      </c>
      <c r="B799" s="3" t="s">
        <v>286</v>
      </c>
      <c r="C799" s="2" t="s">
        <v>165</v>
      </c>
      <c r="D799" s="1">
        <v>0</v>
      </c>
      <c r="E799" s="1">
        <v>0</v>
      </c>
      <c r="F799" s="1">
        <v>0</v>
      </c>
      <c r="G799" s="1">
        <v>0</v>
      </c>
      <c r="H799" s="72"/>
      <c r="I799" s="1">
        <v>0</v>
      </c>
      <c r="J799" s="4"/>
      <c r="K799" s="1">
        <v>0</v>
      </c>
      <c r="L799" s="1">
        <v>0</v>
      </c>
      <c r="M799" s="32">
        <f>IF(Mecze[[#This Row],[PR]]=0,0,Mecze[[#This Row],[PR]]/Mecze[[#This Row],[CZAS]])</f>
        <v>0</v>
      </c>
      <c r="N799" s="32">
        <f>IF(Mecze[[#This Row],[OU]]=0,0,Mecze[[#This Row],[OU]]/Mecze[[#This Row],[CZAS]])</f>
        <v>0</v>
      </c>
      <c r="O799" s="32">
        <f>IF(Mecze[[#This Row],[PC]]=0,0,Mecze[[#This Row],[PC]]/Mecze[[#This Row],[CZAS]])</f>
        <v>0</v>
      </c>
      <c r="P799" s="32">
        <f>IF(Mecze[[#This Row],[SC]]=0,0,Mecze[[#This Row],[SC]]/Mecze[[#This Row],[CZAS]])</f>
        <v>0</v>
      </c>
      <c r="Q799" s="32">
        <f>IF(Mecze[[#This Row],[OB]]=0,0,Mecze[[#This Row],[OB]]/Mecze[[#This Row],[CZAS]])</f>
        <v>0</v>
      </c>
      <c r="R799" s="32">
        <f>IF(Mecze[[#This Row],[BR]]=0,0,Mecze[[#This Row],[BR]]/Mecze[[#This Row],[CZAS]])</f>
        <v>0</v>
      </c>
      <c r="S799" s="44">
        <f>IF(Mecze[[#This Row],[Role]]="BR",SUMPRODUCT(Mecze[[#This Row],[/PR:90]:[/BR:90]],Brudnopis!$E$23:$J$23),0)</f>
        <v>0</v>
      </c>
      <c r="T799" s="44">
        <f>IF(Mecze[[#This Row],[Role]]&lt;&gt;"BR",SUMPRODUCT(Mecze[[#This Row],[/PR:90]:[/BR:90]],Brudnopis!$E$24:$J$24),0)</f>
        <v>0</v>
      </c>
      <c r="U799" s="44">
        <f>IF(Mecze[[#This Row],[Role]]&lt;&gt;"BR",SUMPRODUCT(Mecze[[#This Row],[/PR:90]:[/BR:90]],Brudnopis!$E$25:$J$25),0)</f>
        <v>0</v>
      </c>
      <c r="V799" s="44">
        <f>IF(Mecze[[#This Row],[Role]]&lt;&gt;"BR",SUMPRODUCT(Mecze[[#This Row],[/PR:90]:[/BR:90]],Brudnopis!$E$26:$J$26),0)</f>
        <v>0</v>
      </c>
      <c r="W799" s="44">
        <f>IF(Mecze[[#This Row],[Role]]&lt;&gt;"BR",SUMPRODUCT(Mecze[[#This Row],[/PR:90]:[/BR:90]],Brudnopis!$E$27:$J$27),0)</f>
        <v>0</v>
      </c>
      <c r="X799" s="44">
        <f>IF(Mecze[[#This Row],[Role]]&lt;&gt;"BR",SUMPRODUCT(Mecze[[#This Row],[/PR:90]:[/BR:90]],Brudnopis!$E$28:$J$28),0)</f>
        <v>0</v>
      </c>
      <c r="Y799" s="35">
        <f>IF(Mecze[[#This Row],[Role]]="BR",Mecze[[#This Row],[/OB:90]]+Mecze[[#This Row],[/PC:90]],SUM(Mecze[[#This Row],[/PR:90]:[/BR:90]]))</f>
        <v>0</v>
      </c>
      <c r="Z799" s="35">
        <f>IF(Mecze[[#This Row],[KC]]=0,SUM(Mecze[[#This Row],[/BRI]:[/NPI]]),SUM(Mecze[[#This Row],[/BRI]:[/NPI]])*0.6)</f>
        <v>0</v>
      </c>
      <c r="AA799" s="10">
        <f>IFERROR(Mecze[[#This Row],[BR]]/Mecze[[#This Row],[ST]],0)</f>
        <v>0</v>
      </c>
      <c r="AB799">
        <f>ROUND(Mecze[[#This Row],[PD]]*Mecze[[#This Row],[%PC]],0)</f>
        <v>0</v>
      </c>
      <c r="AC799">
        <f>ROUND(Mecze[[#This Row],[OD]]*Mecze[[#This Row],[%OU]],0)</f>
        <v>0</v>
      </c>
      <c r="AD799" s="36" t="s">
        <v>46</v>
      </c>
      <c r="AE799" s="36">
        <v>44</v>
      </c>
      <c r="AF799" s="71">
        <v>0.5</v>
      </c>
      <c r="AG799" s="37">
        <v>0</v>
      </c>
      <c r="AH799" s="37">
        <v>0</v>
      </c>
      <c r="AI799" s="37">
        <v>20</v>
      </c>
      <c r="AJ799" s="37">
        <v>4</v>
      </c>
      <c r="AK799" s="37" t="str">
        <f>VLOOKUP(Mecze[[#This Row],[Match ID]],Meczusie[Mecz]:Meczusie[RodzajMeczu],2,FALSE)</f>
        <v>Liga</v>
      </c>
    </row>
    <row r="800" spans="1:37" x14ac:dyDescent="0.25">
      <c r="A800" s="76">
        <v>1</v>
      </c>
      <c r="B800" s="3" t="s">
        <v>236</v>
      </c>
      <c r="C800" s="2" t="s">
        <v>155</v>
      </c>
      <c r="D800" s="1">
        <v>0</v>
      </c>
      <c r="E800" s="1">
        <v>0</v>
      </c>
      <c r="F800" s="1">
        <v>0</v>
      </c>
      <c r="G800" s="1">
        <v>1</v>
      </c>
      <c r="H800" s="4">
        <v>0</v>
      </c>
      <c r="I800" s="1">
        <v>0</v>
      </c>
      <c r="J800" s="4"/>
      <c r="K800" s="1">
        <v>1</v>
      </c>
      <c r="L800" s="1">
        <v>0</v>
      </c>
      <c r="M800" s="32">
        <f>IF(Mecze[[#This Row],[PR]]=0,0,Mecze[[#This Row],[PR]]/Mecze[[#This Row],[CZAS]])</f>
        <v>0</v>
      </c>
      <c r="N800" s="32">
        <f>IF(Mecze[[#This Row],[OU]]=0,0,Mecze[[#This Row],[OU]]/Mecze[[#This Row],[CZAS]])</f>
        <v>0</v>
      </c>
      <c r="O800" s="32">
        <f>IF(Mecze[[#This Row],[PC]]=0,0,Mecze[[#This Row],[PC]]/Mecze[[#This Row],[CZAS]])</f>
        <v>0</v>
      </c>
      <c r="P800" s="32">
        <f>IF(Mecze[[#This Row],[SC]]=0,0,Mecze[[#This Row],[SC]]/Mecze[[#This Row],[CZAS]])</f>
        <v>0</v>
      </c>
      <c r="Q800" s="32">
        <f>IF(Mecze[[#This Row],[OB]]=0,0,Mecze[[#This Row],[OB]]/Mecze[[#This Row],[CZAS]])</f>
        <v>1.020408163265306E-2</v>
      </c>
      <c r="R800" s="32">
        <f>IF(Mecze[[#This Row],[BR]]=0,0,Mecze[[#This Row],[BR]]/Mecze[[#This Row],[CZAS]])</f>
        <v>0</v>
      </c>
      <c r="S800" s="44">
        <f>IF(Mecze[[#This Row],[Role]]="BR",SUMPRODUCT(Mecze[[#This Row],[/PR:90]:[/BR:90]],Brudnopis!$E$23:$J$23),0)</f>
        <v>3.0612244897959183E-2</v>
      </c>
      <c r="T800" s="44">
        <f>IF(Mecze[[#This Row],[Role]]&lt;&gt;"BR",SUMPRODUCT(Mecze[[#This Row],[/PR:90]:[/BR:90]],Brudnopis!$E$24:$J$24),0)</f>
        <v>0</v>
      </c>
      <c r="U800" s="44">
        <f>IF(Mecze[[#This Row],[Role]]&lt;&gt;"BR",SUMPRODUCT(Mecze[[#This Row],[/PR:90]:[/BR:90]],Brudnopis!$E$25:$J$25),0)</f>
        <v>0</v>
      </c>
      <c r="V800" s="44">
        <f>IF(Mecze[[#This Row],[Role]]&lt;&gt;"BR",SUMPRODUCT(Mecze[[#This Row],[/PR:90]:[/BR:90]],Brudnopis!$E$26:$J$26),0)</f>
        <v>0</v>
      </c>
      <c r="W800" s="44">
        <f>IF(Mecze[[#This Row],[Role]]&lt;&gt;"BR",SUMPRODUCT(Mecze[[#This Row],[/PR:90]:[/BR:90]],Brudnopis!$E$27:$J$27),0)</f>
        <v>0</v>
      </c>
      <c r="X800" s="44">
        <f>IF(Mecze[[#This Row],[Role]]&lt;&gt;"BR",SUMPRODUCT(Mecze[[#This Row],[/PR:90]:[/BR:90]],Brudnopis!$E$28:$J$28),0)</f>
        <v>0</v>
      </c>
      <c r="Y800" s="35">
        <f>IF(Mecze[[#This Row],[Role]]="BR",Mecze[[#This Row],[/OB:90]]+Mecze[[#This Row],[/PC:90]],SUM(Mecze[[#This Row],[/PR:90]:[/BR:90]]))</f>
        <v>1.020408163265306E-2</v>
      </c>
      <c r="Z800" s="35">
        <f>IF(Mecze[[#This Row],[KC]]=0,SUM(Mecze[[#This Row],[/BRI]:[/NPI]]),SUM(Mecze[[#This Row],[/BRI]:[/NPI]])*0.6)</f>
        <v>3.0612244897959183E-2</v>
      </c>
      <c r="AA800" s="10">
        <f>IFERROR(Mecze[[#This Row],[BR]]/Mecze[[#This Row],[ST]],0)</f>
        <v>0</v>
      </c>
      <c r="AB800">
        <f>ROUND(Mecze[[#This Row],[PD]]*Mecze[[#This Row],[%PC]],0)</f>
        <v>0</v>
      </c>
      <c r="AC800">
        <f>ROUND(Mecze[[#This Row],[OD]]*Mecze[[#This Row],[%OU]],0)</f>
        <v>0</v>
      </c>
      <c r="AD800" s="36" t="s">
        <v>40</v>
      </c>
      <c r="AE800" s="36">
        <v>45</v>
      </c>
      <c r="AF800" s="71">
        <v>7.39</v>
      </c>
      <c r="AG800" s="37">
        <v>0</v>
      </c>
      <c r="AH800" s="37">
        <v>0</v>
      </c>
      <c r="AI800" s="37">
        <v>98</v>
      </c>
      <c r="AJ800" s="37">
        <v>10</v>
      </c>
      <c r="AK800" s="37" t="str">
        <f>VLOOKUP(Mecze[[#This Row],[Match ID]],Meczusie[Mecz]:Meczusie[RodzajMeczu],2,FALSE)</f>
        <v>Liga</v>
      </c>
    </row>
    <row r="801" spans="1:37" x14ac:dyDescent="0.25">
      <c r="A801" s="76">
        <v>3</v>
      </c>
      <c r="B801" s="3" t="s">
        <v>237</v>
      </c>
      <c r="C801" s="2" t="s">
        <v>157</v>
      </c>
      <c r="D801" s="1">
        <v>0</v>
      </c>
      <c r="E801" s="1">
        <v>0</v>
      </c>
      <c r="F801" s="1">
        <v>0</v>
      </c>
      <c r="G801" s="1">
        <v>7</v>
      </c>
      <c r="H801" s="4">
        <v>0.86</v>
      </c>
      <c r="I801" s="1">
        <v>1</v>
      </c>
      <c r="J801" s="4">
        <v>1</v>
      </c>
      <c r="K801" s="1">
        <v>0</v>
      </c>
      <c r="L801" s="1">
        <v>8</v>
      </c>
      <c r="M801" s="32">
        <f>IF(Mecze[[#This Row],[PR]]=0,0,Mecze[[#This Row],[PR]]/Mecze[[#This Row],[CZAS]])</f>
        <v>8.1632653061224483E-2</v>
      </c>
      <c r="N801" s="32">
        <f>IF(Mecze[[#This Row],[OU]]=0,0,Mecze[[#This Row],[OU]]/Mecze[[#This Row],[CZAS]])</f>
        <v>1.020408163265306E-2</v>
      </c>
      <c r="O801" s="32">
        <f>IF(Mecze[[#This Row],[PC]]=0,0,Mecze[[#This Row],[PC]]/Mecze[[#This Row],[CZAS]])</f>
        <v>6.1224489795918366E-2</v>
      </c>
      <c r="P801" s="32">
        <f>IF(Mecze[[#This Row],[SC]]=0,0,Mecze[[#This Row],[SC]]/Mecze[[#This Row],[CZAS]])</f>
        <v>0</v>
      </c>
      <c r="Q801" s="32">
        <f>IF(Mecze[[#This Row],[OB]]=0,0,Mecze[[#This Row],[OB]]/Mecze[[#This Row],[CZAS]])</f>
        <v>0</v>
      </c>
      <c r="R801" s="32">
        <f>IF(Mecze[[#This Row],[BR]]=0,0,Mecze[[#This Row],[BR]]/Mecze[[#This Row],[CZAS]])</f>
        <v>0</v>
      </c>
      <c r="S801" s="44">
        <f>IF(Mecze[[#This Row],[Role]]="BR",SUMPRODUCT(Mecze[[#This Row],[/PR:90]:[/BR:90]],Brudnopis!$E$23:$J$23),0)</f>
        <v>0</v>
      </c>
      <c r="T801" s="44">
        <f>IF(Mecze[[#This Row],[Role]]&lt;&gt;"BR",SUMPRODUCT(Mecze[[#This Row],[/PR:90]:[/BR:90]],Brudnopis!$E$24:$J$24),0)</f>
        <v>0.15816326530612246</v>
      </c>
      <c r="U801" s="44">
        <f>IF(Mecze[[#This Row],[Role]]&lt;&gt;"BR",SUMPRODUCT(Mecze[[#This Row],[/PR:90]:[/BR:90]],Brudnopis!$E$25:$J$25),0)</f>
        <v>0.18367346938775508</v>
      </c>
      <c r="V801" s="44">
        <f>IF(Mecze[[#This Row],[Role]]&lt;&gt;"BR",SUMPRODUCT(Mecze[[#This Row],[/PR:90]:[/BR:90]],Brudnopis!$E$26:$J$26),0)</f>
        <v>0.15306122448979592</v>
      </c>
      <c r="W801" s="44">
        <f>IF(Mecze[[#This Row],[Role]]&lt;&gt;"BR",SUMPRODUCT(Mecze[[#This Row],[/PR:90]:[/BR:90]],Brudnopis!$E$27:$J$27),0)</f>
        <v>0.1607142857142857</v>
      </c>
      <c r="X801" s="44">
        <f>IF(Mecze[[#This Row],[Role]]&lt;&gt;"BR",SUMPRODUCT(Mecze[[#This Row],[/PR:90]:[/BR:90]],Brudnopis!$E$28:$J$28),0)</f>
        <v>6.1224489795918366E-2</v>
      </c>
      <c r="Y801" s="35">
        <f>IF(Mecze[[#This Row],[Role]]="BR",Mecze[[#This Row],[/OB:90]]+Mecze[[#This Row],[/PC:90]],SUM(Mecze[[#This Row],[/PR:90]:[/BR:90]]))</f>
        <v>0.15306122448979592</v>
      </c>
      <c r="Z801" s="35">
        <f>IF(Mecze[[#This Row],[KC]]=0,SUM(Mecze[[#This Row],[/BRI]:[/NPI]]),SUM(Mecze[[#This Row],[/BRI]:[/NPI]])*0.6)</f>
        <v>0.71683673469387743</v>
      </c>
      <c r="AA801" s="10">
        <f>IFERROR(Mecze[[#This Row],[BR]]/Mecze[[#This Row],[ST]],0)</f>
        <v>0</v>
      </c>
      <c r="AB801">
        <f>ROUND(Mecze[[#This Row],[PD]]*Mecze[[#This Row],[%PC]],0)</f>
        <v>6</v>
      </c>
      <c r="AC801">
        <f>ROUND(Mecze[[#This Row],[OD]]*Mecze[[#This Row],[%OU]],0)</f>
        <v>1</v>
      </c>
      <c r="AD801" s="36" t="s">
        <v>47</v>
      </c>
      <c r="AE801" s="36">
        <v>45</v>
      </c>
      <c r="AF801" s="71">
        <v>8.7200000000000006</v>
      </c>
      <c r="AG801" s="37">
        <v>0</v>
      </c>
      <c r="AH801" s="37">
        <v>0</v>
      </c>
      <c r="AI801" s="37">
        <v>98</v>
      </c>
      <c r="AJ801" s="37">
        <v>10</v>
      </c>
      <c r="AK801" s="37" t="str">
        <f>VLOOKUP(Mecze[[#This Row],[Match ID]],Meczusie[Mecz]:Meczusie[RodzajMeczu],2,FALSE)</f>
        <v>Liga</v>
      </c>
    </row>
    <row r="802" spans="1:37" x14ac:dyDescent="0.25">
      <c r="A802" s="76">
        <v>4</v>
      </c>
      <c r="B802" s="3" t="s">
        <v>238</v>
      </c>
      <c r="C802" s="2" t="s">
        <v>157</v>
      </c>
      <c r="D802" s="1">
        <v>0</v>
      </c>
      <c r="E802" s="1">
        <v>0</v>
      </c>
      <c r="F802" s="1">
        <v>0</v>
      </c>
      <c r="G802" s="1">
        <v>5</v>
      </c>
      <c r="H802" s="4">
        <v>0.4</v>
      </c>
      <c r="I802" s="1">
        <v>1</v>
      </c>
      <c r="J802" s="4">
        <v>1</v>
      </c>
      <c r="K802" s="1">
        <v>0</v>
      </c>
      <c r="L802" s="1">
        <v>3</v>
      </c>
      <c r="M802" s="32">
        <f>IF(Mecze[[#This Row],[PR]]=0,0,Mecze[[#This Row],[PR]]/Mecze[[#This Row],[CZAS]])</f>
        <v>3.0612244897959183E-2</v>
      </c>
      <c r="N802" s="32">
        <f>IF(Mecze[[#This Row],[OU]]=0,0,Mecze[[#This Row],[OU]]/Mecze[[#This Row],[CZAS]])</f>
        <v>1.020408163265306E-2</v>
      </c>
      <c r="O802" s="32">
        <f>IF(Mecze[[#This Row],[PC]]=0,0,Mecze[[#This Row],[PC]]/Mecze[[#This Row],[CZAS]])</f>
        <v>2.0408163265306121E-2</v>
      </c>
      <c r="P802" s="32">
        <f>IF(Mecze[[#This Row],[SC]]=0,0,Mecze[[#This Row],[SC]]/Mecze[[#This Row],[CZAS]])</f>
        <v>0</v>
      </c>
      <c r="Q802" s="32">
        <f>IF(Mecze[[#This Row],[OB]]=0,0,Mecze[[#This Row],[OB]]/Mecze[[#This Row],[CZAS]])</f>
        <v>0</v>
      </c>
      <c r="R802" s="32">
        <f>IF(Mecze[[#This Row],[BR]]=0,0,Mecze[[#This Row],[BR]]/Mecze[[#This Row],[CZAS]])</f>
        <v>0</v>
      </c>
      <c r="S802" s="44">
        <f>IF(Mecze[[#This Row],[Role]]="BR",SUMPRODUCT(Mecze[[#This Row],[/PR:90]:[/BR:90]],Brudnopis!$E$23:$J$23),0)</f>
        <v>0</v>
      </c>
      <c r="T802" s="44">
        <f>IF(Mecze[[#This Row],[Role]]&lt;&gt;"BR",SUMPRODUCT(Mecze[[#This Row],[/PR:90]:[/BR:90]],Brudnopis!$E$24:$J$24),0)</f>
        <v>6.6326530612244888E-2</v>
      </c>
      <c r="U802" s="44">
        <f>IF(Mecze[[#This Row],[Role]]&lt;&gt;"BR",SUMPRODUCT(Mecze[[#This Row],[/PR:90]:[/BR:90]],Brudnopis!$E$25:$J$25),0)</f>
        <v>7.1428571428571425E-2</v>
      </c>
      <c r="V802" s="44">
        <f>IF(Mecze[[#This Row],[Role]]&lt;&gt;"BR",SUMPRODUCT(Mecze[[#This Row],[/PR:90]:[/BR:90]],Brudnopis!$E$26:$J$26),0)</f>
        <v>6.1224489795918366E-2</v>
      </c>
      <c r="W802" s="44">
        <f>IF(Mecze[[#This Row],[Role]]&lt;&gt;"BR",SUMPRODUCT(Mecze[[#This Row],[/PR:90]:[/BR:90]],Brudnopis!$E$27:$J$27),0)</f>
        <v>6.1224489795918366E-2</v>
      </c>
      <c r="X802" s="44">
        <f>IF(Mecze[[#This Row],[Role]]&lt;&gt;"BR",SUMPRODUCT(Mecze[[#This Row],[/PR:90]:[/BR:90]],Brudnopis!$E$28:$J$28),0)</f>
        <v>2.0408163265306121E-2</v>
      </c>
      <c r="Y802" s="35">
        <f>IF(Mecze[[#This Row],[Role]]="BR",Mecze[[#This Row],[/OB:90]]+Mecze[[#This Row],[/PC:90]],SUM(Mecze[[#This Row],[/PR:90]:[/BR:90]]))</f>
        <v>6.1224489795918366E-2</v>
      </c>
      <c r="Z802" s="35">
        <f>IF(Mecze[[#This Row],[KC]]=0,SUM(Mecze[[#This Row],[/BRI]:[/NPI]]),SUM(Mecze[[#This Row],[/BRI]:[/NPI]])*0.6)</f>
        <v>0.28061224489795922</v>
      </c>
      <c r="AA802" s="10">
        <f>IFERROR(Mecze[[#This Row],[BR]]/Mecze[[#This Row],[ST]],0)</f>
        <v>0</v>
      </c>
      <c r="AB802">
        <f>ROUND(Mecze[[#This Row],[PD]]*Mecze[[#This Row],[%PC]],0)</f>
        <v>2</v>
      </c>
      <c r="AC802">
        <f>ROUND(Mecze[[#This Row],[OD]]*Mecze[[#This Row],[%OU]],0)</f>
        <v>1</v>
      </c>
      <c r="AD802" s="36" t="s">
        <v>47</v>
      </c>
      <c r="AE802" s="36">
        <v>45</v>
      </c>
      <c r="AF802" s="71">
        <v>7.67</v>
      </c>
      <c r="AG802" s="37">
        <v>0</v>
      </c>
      <c r="AH802" s="37">
        <v>0</v>
      </c>
      <c r="AI802" s="37">
        <v>98</v>
      </c>
      <c r="AJ802" s="37">
        <v>10</v>
      </c>
      <c r="AK802" s="37" t="str">
        <f>VLOOKUP(Mecze[[#This Row],[Match ID]],Meczusie[Mecz]:Meczusie[RodzajMeczu],2,FALSE)</f>
        <v>Liga</v>
      </c>
    </row>
    <row r="803" spans="1:37" x14ac:dyDescent="0.25">
      <c r="A803" s="76">
        <v>12</v>
      </c>
      <c r="B803" s="3" t="s">
        <v>239</v>
      </c>
      <c r="C803" s="2" t="s">
        <v>157</v>
      </c>
      <c r="D803" s="1">
        <v>0</v>
      </c>
      <c r="E803" s="1">
        <v>0</v>
      </c>
      <c r="F803" s="1">
        <v>0</v>
      </c>
      <c r="G803" s="1">
        <v>0</v>
      </c>
      <c r="H803" s="72"/>
      <c r="I803" s="1">
        <v>0</v>
      </c>
      <c r="J803" s="4"/>
      <c r="K803" s="1">
        <v>0</v>
      </c>
      <c r="L803" s="1">
        <v>0</v>
      </c>
      <c r="M803" s="32">
        <f>IF(Mecze[[#This Row],[PR]]=0,0,Mecze[[#This Row],[PR]]/Mecze[[#This Row],[CZAS]])</f>
        <v>0</v>
      </c>
      <c r="N803" s="32">
        <f>IF(Mecze[[#This Row],[OU]]=0,0,Mecze[[#This Row],[OU]]/Mecze[[#This Row],[CZAS]])</f>
        <v>0</v>
      </c>
      <c r="O803" s="32">
        <f>IF(Mecze[[#This Row],[PC]]=0,0,Mecze[[#This Row],[PC]]/Mecze[[#This Row],[CZAS]])</f>
        <v>0</v>
      </c>
      <c r="P803" s="32">
        <f>IF(Mecze[[#This Row],[SC]]=0,0,Mecze[[#This Row],[SC]]/Mecze[[#This Row],[CZAS]])</f>
        <v>0</v>
      </c>
      <c r="Q803" s="32">
        <f>IF(Mecze[[#This Row],[OB]]=0,0,Mecze[[#This Row],[OB]]/Mecze[[#This Row],[CZAS]])</f>
        <v>0</v>
      </c>
      <c r="R803" s="32">
        <f>IF(Mecze[[#This Row],[BR]]=0,0,Mecze[[#This Row],[BR]]/Mecze[[#This Row],[CZAS]])</f>
        <v>0</v>
      </c>
      <c r="S803" s="44">
        <f>IF(Mecze[[#This Row],[Role]]="BR",SUMPRODUCT(Mecze[[#This Row],[/PR:90]:[/BR:90]],Brudnopis!$E$23:$J$23),0)</f>
        <v>0</v>
      </c>
      <c r="T803" s="44">
        <f>IF(Mecze[[#This Row],[Role]]&lt;&gt;"BR",SUMPRODUCT(Mecze[[#This Row],[/PR:90]:[/BR:90]],Brudnopis!$E$24:$J$24),0)</f>
        <v>0</v>
      </c>
      <c r="U803" s="44">
        <f>IF(Mecze[[#This Row],[Role]]&lt;&gt;"BR",SUMPRODUCT(Mecze[[#This Row],[/PR:90]:[/BR:90]],Brudnopis!$E$25:$J$25),0)</f>
        <v>0</v>
      </c>
      <c r="V803" s="44">
        <f>IF(Mecze[[#This Row],[Role]]&lt;&gt;"BR",SUMPRODUCT(Mecze[[#This Row],[/PR:90]:[/BR:90]],Brudnopis!$E$26:$J$26),0)</f>
        <v>0</v>
      </c>
      <c r="W803" s="44">
        <f>IF(Mecze[[#This Row],[Role]]&lt;&gt;"BR",SUMPRODUCT(Mecze[[#This Row],[/PR:90]:[/BR:90]],Brudnopis!$E$27:$J$27),0)</f>
        <v>0</v>
      </c>
      <c r="X803" s="44">
        <f>IF(Mecze[[#This Row],[Role]]&lt;&gt;"BR",SUMPRODUCT(Mecze[[#This Row],[/PR:90]:[/BR:90]],Brudnopis!$E$28:$J$28),0)</f>
        <v>0</v>
      </c>
      <c r="Y803" s="35">
        <f>IF(Mecze[[#This Row],[Role]]="BR",Mecze[[#This Row],[/OB:90]]+Mecze[[#This Row],[/PC:90]],SUM(Mecze[[#This Row],[/PR:90]:[/BR:90]]))</f>
        <v>0</v>
      </c>
      <c r="Z803" s="35">
        <f>IF(Mecze[[#This Row],[KC]]=0,SUM(Mecze[[#This Row],[/BRI]:[/NPI]]),SUM(Mecze[[#This Row],[/BRI]:[/NPI]])*0.6)</f>
        <v>0</v>
      </c>
      <c r="AA803" s="10">
        <f>IFERROR(Mecze[[#This Row],[BR]]/Mecze[[#This Row],[ST]],0)</f>
        <v>0</v>
      </c>
      <c r="AB803">
        <f>ROUND(Mecze[[#This Row],[PD]]*Mecze[[#This Row],[%PC]],0)</f>
        <v>0</v>
      </c>
      <c r="AC803">
        <f>ROUND(Mecze[[#This Row],[OD]]*Mecze[[#This Row],[%OU]],0)</f>
        <v>0</v>
      </c>
      <c r="AD803" s="36" t="s">
        <v>175</v>
      </c>
      <c r="AE803" s="36">
        <v>45</v>
      </c>
      <c r="AF803" s="71">
        <v>7.04</v>
      </c>
      <c r="AG803" s="37">
        <v>0</v>
      </c>
      <c r="AH803" s="37">
        <v>0</v>
      </c>
      <c r="AI803" s="37">
        <v>98</v>
      </c>
      <c r="AJ803" s="37">
        <v>10</v>
      </c>
      <c r="AK803" s="37" t="str">
        <f>VLOOKUP(Mecze[[#This Row],[Match ID]],Meczusie[Mecz]:Meczusie[RodzajMeczu],2,FALSE)</f>
        <v>Liga</v>
      </c>
    </row>
    <row r="804" spans="1:37" x14ac:dyDescent="0.25">
      <c r="A804" s="76">
        <v>2</v>
      </c>
      <c r="B804" s="3" t="s">
        <v>240</v>
      </c>
      <c r="C804" s="2" t="s">
        <v>157</v>
      </c>
      <c r="D804" s="1">
        <v>0</v>
      </c>
      <c r="E804" s="1">
        <v>0</v>
      </c>
      <c r="F804" s="1">
        <v>0</v>
      </c>
      <c r="G804" s="1">
        <v>9</v>
      </c>
      <c r="H804" s="4">
        <v>0.67</v>
      </c>
      <c r="I804" s="1">
        <v>1</v>
      </c>
      <c r="J804" s="4">
        <v>1</v>
      </c>
      <c r="K804" s="1">
        <v>0</v>
      </c>
      <c r="L804" s="1">
        <v>9</v>
      </c>
      <c r="M804" s="32">
        <f>IF(Mecze[[#This Row],[PR]]=0,0,Mecze[[#This Row],[PR]]/Mecze[[#This Row],[CZAS]])</f>
        <v>9.1836734693877556E-2</v>
      </c>
      <c r="N804" s="32">
        <f>IF(Mecze[[#This Row],[OU]]=0,0,Mecze[[#This Row],[OU]]/Mecze[[#This Row],[CZAS]])</f>
        <v>1.020408163265306E-2</v>
      </c>
      <c r="O804" s="32">
        <f>IF(Mecze[[#This Row],[PC]]=0,0,Mecze[[#This Row],[PC]]/Mecze[[#This Row],[CZAS]])</f>
        <v>6.1224489795918366E-2</v>
      </c>
      <c r="P804" s="32">
        <f>IF(Mecze[[#This Row],[SC]]=0,0,Mecze[[#This Row],[SC]]/Mecze[[#This Row],[CZAS]])</f>
        <v>0</v>
      </c>
      <c r="Q804" s="32">
        <f>IF(Mecze[[#This Row],[OB]]=0,0,Mecze[[#This Row],[OB]]/Mecze[[#This Row],[CZAS]])</f>
        <v>0</v>
      </c>
      <c r="R804" s="32">
        <f>IF(Mecze[[#This Row],[BR]]=0,0,Mecze[[#This Row],[BR]]/Mecze[[#This Row],[CZAS]])</f>
        <v>0</v>
      </c>
      <c r="S804" s="44">
        <f>IF(Mecze[[#This Row],[Role]]="BR",SUMPRODUCT(Mecze[[#This Row],[/PR:90]:[/BR:90]],Brudnopis!$E$23:$J$23),0)</f>
        <v>0</v>
      </c>
      <c r="T804" s="44">
        <f>IF(Mecze[[#This Row],[Role]]&lt;&gt;"BR",SUMPRODUCT(Mecze[[#This Row],[/PR:90]:[/BR:90]],Brudnopis!$E$24:$J$24),0)</f>
        <v>0.16836734693877553</v>
      </c>
      <c r="U804" s="44">
        <f>IF(Mecze[[#This Row],[Role]]&lt;&gt;"BR",SUMPRODUCT(Mecze[[#This Row],[/PR:90]:[/BR:90]],Brudnopis!$E$25:$J$25),0)</f>
        <v>0.19387755102040816</v>
      </c>
      <c r="V804" s="44">
        <f>IF(Mecze[[#This Row],[Role]]&lt;&gt;"BR",SUMPRODUCT(Mecze[[#This Row],[/PR:90]:[/BR:90]],Brudnopis!$E$26:$J$26),0)</f>
        <v>0.16326530612244899</v>
      </c>
      <c r="W804" s="44">
        <f>IF(Mecze[[#This Row],[Role]]&lt;&gt;"BR",SUMPRODUCT(Mecze[[#This Row],[/PR:90]:[/BR:90]],Brudnopis!$E$27:$J$27),0)</f>
        <v>0.1683673469387755</v>
      </c>
      <c r="X804" s="44">
        <f>IF(Mecze[[#This Row],[Role]]&lt;&gt;"BR",SUMPRODUCT(Mecze[[#This Row],[/PR:90]:[/BR:90]],Brudnopis!$E$28:$J$28),0)</f>
        <v>6.1224489795918366E-2</v>
      </c>
      <c r="Y804" s="35">
        <f>IF(Mecze[[#This Row],[Role]]="BR",Mecze[[#This Row],[/OB:90]]+Mecze[[#This Row],[/PC:90]],SUM(Mecze[[#This Row],[/PR:90]:[/BR:90]]))</f>
        <v>0.16326530612244899</v>
      </c>
      <c r="Z804" s="35">
        <f>IF(Mecze[[#This Row],[KC]]=0,SUM(Mecze[[#This Row],[/BRI]:[/NPI]]),SUM(Mecze[[#This Row],[/BRI]:[/NPI]])*0.6)</f>
        <v>0.75510204081632648</v>
      </c>
      <c r="AA804" s="10">
        <f>IFERROR(Mecze[[#This Row],[BR]]/Mecze[[#This Row],[ST]],0)</f>
        <v>0</v>
      </c>
      <c r="AB804">
        <f>ROUND(Mecze[[#This Row],[PD]]*Mecze[[#This Row],[%PC]],0)</f>
        <v>6</v>
      </c>
      <c r="AC804">
        <f>ROUND(Mecze[[#This Row],[OD]]*Mecze[[#This Row],[%OU]],0)</f>
        <v>1</v>
      </c>
      <c r="AD804" s="36" t="s">
        <v>174</v>
      </c>
      <c r="AE804" s="36">
        <v>45</v>
      </c>
      <c r="AF804" s="71">
        <v>8.93</v>
      </c>
      <c r="AG804" s="37">
        <v>0</v>
      </c>
      <c r="AH804" s="37">
        <v>0</v>
      </c>
      <c r="AI804" s="37">
        <v>98</v>
      </c>
      <c r="AJ804" s="37">
        <v>10</v>
      </c>
      <c r="AK804" s="37" t="str">
        <f>VLOOKUP(Mecze[[#This Row],[Match ID]],Meczusie[Mecz]:Meczusie[RodzajMeczu],2,FALSE)</f>
        <v>Liga</v>
      </c>
    </row>
    <row r="805" spans="1:37" x14ac:dyDescent="0.25">
      <c r="A805" s="76">
        <v>7</v>
      </c>
      <c r="B805" s="3" t="s">
        <v>241</v>
      </c>
      <c r="C805" s="2" t="s">
        <v>160</v>
      </c>
      <c r="D805" s="1">
        <v>0</v>
      </c>
      <c r="E805" s="1">
        <v>0</v>
      </c>
      <c r="F805" s="1">
        <v>0</v>
      </c>
      <c r="G805" s="1">
        <v>6</v>
      </c>
      <c r="H805" s="4">
        <v>0.67</v>
      </c>
      <c r="I805" s="1">
        <v>0</v>
      </c>
      <c r="J805" s="4"/>
      <c r="K805" s="1">
        <v>0</v>
      </c>
      <c r="L805" s="1">
        <v>3</v>
      </c>
      <c r="M805" s="32">
        <f>IF(Mecze[[#This Row],[PR]]=0,0,Mecze[[#This Row],[PR]]/Mecze[[#This Row],[CZAS]])</f>
        <v>3.0612244897959183E-2</v>
      </c>
      <c r="N805" s="32">
        <f>IF(Mecze[[#This Row],[OU]]=0,0,Mecze[[#This Row],[OU]]/Mecze[[#This Row],[CZAS]])</f>
        <v>0</v>
      </c>
      <c r="O805" s="32">
        <f>IF(Mecze[[#This Row],[PC]]=0,0,Mecze[[#This Row],[PC]]/Mecze[[#This Row],[CZAS]])</f>
        <v>4.0816326530612242E-2</v>
      </c>
      <c r="P805" s="32">
        <f>IF(Mecze[[#This Row],[SC]]=0,0,Mecze[[#This Row],[SC]]/Mecze[[#This Row],[CZAS]])</f>
        <v>0</v>
      </c>
      <c r="Q805" s="32">
        <f>IF(Mecze[[#This Row],[OB]]=0,0,Mecze[[#This Row],[OB]]/Mecze[[#This Row],[CZAS]])</f>
        <v>0</v>
      </c>
      <c r="R805" s="32">
        <f>IF(Mecze[[#This Row],[BR]]=0,0,Mecze[[#This Row],[BR]]/Mecze[[#This Row],[CZAS]])</f>
        <v>0</v>
      </c>
      <c r="S805" s="44">
        <f>IF(Mecze[[#This Row],[Role]]="BR",SUMPRODUCT(Mecze[[#This Row],[/PR:90]:[/BR:90]],Brudnopis!$E$23:$J$23),0)</f>
        <v>0</v>
      </c>
      <c r="T805" s="44">
        <f>IF(Mecze[[#This Row],[Role]]&lt;&gt;"BR",SUMPRODUCT(Mecze[[#This Row],[/PR:90]:[/BR:90]],Brudnopis!$E$24:$J$24),0)</f>
        <v>7.1428571428571425E-2</v>
      </c>
      <c r="U805" s="44">
        <f>IF(Mecze[[#This Row],[Role]]&lt;&gt;"BR",SUMPRODUCT(Mecze[[#This Row],[/PR:90]:[/BR:90]],Brudnopis!$E$25:$J$25),0)</f>
        <v>9.1836734693877542E-2</v>
      </c>
      <c r="V805" s="44">
        <f>IF(Mecze[[#This Row],[Role]]&lt;&gt;"BR",SUMPRODUCT(Mecze[[#This Row],[/PR:90]:[/BR:90]],Brudnopis!$E$26:$J$26),0)</f>
        <v>7.1428571428571425E-2</v>
      </c>
      <c r="W805" s="44">
        <f>IF(Mecze[[#This Row],[Role]]&lt;&gt;"BR",SUMPRODUCT(Mecze[[#This Row],[/PR:90]:[/BR:90]],Brudnopis!$E$27:$J$27),0)</f>
        <v>8.4183673469387751E-2</v>
      </c>
      <c r="X805" s="44">
        <f>IF(Mecze[[#This Row],[Role]]&lt;&gt;"BR",SUMPRODUCT(Mecze[[#This Row],[/PR:90]:[/BR:90]],Brudnopis!$E$28:$J$28),0)</f>
        <v>4.0816326530612242E-2</v>
      </c>
      <c r="Y805" s="35">
        <f>IF(Mecze[[#This Row],[Role]]="BR",Mecze[[#This Row],[/OB:90]]+Mecze[[#This Row],[/PC:90]],SUM(Mecze[[#This Row],[/PR:90]:[/BR:90]]))</f>
        <v>7.1428571428571425E-2</v>
      </c>
      <c r="Z805" s="35">
        <f>IF(Mecze[[#This Row],[KC]]=0,SUM(Mecze[[#This Row],[/BRI]:[/NPI]]),SUM(Mecze[[#This Row],[/BRI]:[/NPI]])*0.6)</f>
        <v>0.35969387755102039</v>
      </c>
      <c r="AA805" s="10">
        <f>IFERROR(Mecze[[#This Row],[BR]]/Mecze[[#This Row],[ST]],0)</f>
        <v>0</v>
      </c>
      <c r="AB805">
        <f>ROUND(Mecze[[#This Row],[PD]]*Mecze[[#This Row],[%PC]],0)</f>
        <v>4</v>
      </c>
      <c r="AC805">
        <f>ROUND(Mecze[[#This Row],[OD]]*Mecze[[#This Row],[%OU]],0)</f>
        <v>0</v>
      </c>
      <c r="AD805" s="36" t="s">
        <v>41</v>
      </c>
      <c r="AE805" s="36">
        <v>45</v>
      </c>
      <c r="AF805" s="71">
        <v>8.8800000000000008</v>
      </c>
      <c r="AG805" s="37">
        <v>0</v>
      </c>
      <c r="AH805" s="37">
        <v>0</v>
      </c>
      <c r="AI805" s="37">
        <v>98</v>
      </c>
      <c r="AJ805" s="37">
        <v>10</v>
      </c>
      <c r="AK805" s="37" t="str">
        <f>VLOOKUP(Mecze[[#This Row],[Match ID]],Meczusie[Mecz]:Meczusie[RodzajMeczu],2,FALSE)</f>
        <v>Liga</v>
      </c>
    </row>
    <row r="806" spans="1:37" x14ac:dyDescent="0.25">
      <c r="A806" s="76">
        <v>5</v>
      </c>
      <c r="B806" s="3" t="s">
        <v>242</v>
      </c>
      <c r="C806" s="2" t="s">
        <v>160</v>
      </c>
      <c r="D806" s="1">
        <v>0</v>
      </c>
      <c r="E806" s="1">
        <v>0</v>
      </c>
      <c r="F806" s="1">
        <v>0</v>
      </c>
      <c r="G806" s="1">
        <v>12</v>
      </c>
      <c r="H806" s="4">
        <v>0.92</v>
      </c>
      <c r="I806" s="1">
        <v>4</v>
      </c>
      <c r="J806" s="4">
        <v>0.5</v>
      </c>
      <c r="K806" s="1">
        <v>0</v>
      </c>
      <c r="L806" s="1">
        <v>7</v>
      </c>
      <c r="M806" s="32">
        <f>IF(Mecze[[#This Row],[PR]]=0,0,Mecze[[#This Row],[PR]]/Mecze[[#This Row],[CZAS]])</f>
        <v>7.1428571428571425E-2</v>
      </c>
      <c r="N806" s="32">
        <f>IF(Mecze[[#This Row],[OU]]=0,0,Mecze[[#This Row],[OU]]/Mecze[[#This Row],[CZAS]])</f>
        <v>2.0408163265306121E-2</v>
      </c>
      <c r="O806" s="32">
        <f>IF(Mecze[[#This Row],[PC]]=0,0,Mecze[[#This Row],[PC]]/Mecze[[#This Row],[CZAS]])</f>
        <v>0.11224489795918367</v>
      </c>
      <c r="P806" s="32">
        <f>IF(Mecze[[#This Row],[SC]]=0,0,Mecze[[#This Row],[SC]]/Mecze[[#This Row],[CZAS]])</f>
        <v>0</v>
      </c>
      <c r="Q806" s="32">
        <f>IF(Mecze[[#This Row],[OB]]=0,0,Mecze[[#This Row],[OB]]/Mecze[[#This Row],[CZAS]])</f>
        <v>0</v>
      </c>
      <c r="R806" s="32">
        <f>IF(Mecze[[#This Row],[BR]]=0,0,Mecze[[#This Row],[BR]]/Mecze[[#This Row],[CZAS]])</f>
        <v>0</v>
      </c>
      <c r="S806" s="44">
        <f>IF(Mecze[[#This Row],[Role]]="BR",SUMPRODUCT(Mecze[[#This Row],[/PR:90]:[/BR:90]],Brudnopis!$E$23:$J$23),0)</f>
        <v>0</v>
      </c>
      <c r="T806" s="44">
        <f>IF(Mecze[[#This Row],[Role]]&lt;&gt;"BR",SUMPRODUCT(Mecze[[#This Row],[/PR:90]:[/BR:90]],Brudnopis!$E$24:$J$24),0)</f>
        <v>0.2142857142857143</v>
      </c>
      <c r="U806" s="44">
        <f>IF(Mecze[[#This Row],[Role]]&lt;&gt;"BR",SUMPRODUCT(Mecze[[#This Row],[/PR:90]:[/BR:90]],Brudnopis!$E$25:$J$25),0)</f>
        <v>0.26020408163265307</v>
      </c>
      <c r="V806" s="44">
        <f>IF(Mecze[[#This Row],[Role]]&lt;&gt;"BR",SUMPRODUCT(Mecze[[#This Row],[/PR:90]:[/BR:90]],Brudnopis!$E$26:$J$26),0)</f>
        <v>0.20408163265306123</v>
      </c>
      <c r="W806" s="44">
        <f>IF(Mecze[[#This Row],[Role]]&lt;&gt;"BR",SUMPRODUCT(Mecze[[#This Row],[/PR:90]:[/BR:90]],Brudnopis!$E$27:$J$27),0)</f>
        <v>0.23724489795918366</v>
      </c>
      <c r="X806" s="44">
        <f>IF(Mecze[[#This Row],[Role]]&lt;&gt;"BR",SUMPRODUCT(Mecze[[#This Row],[/PR:90]:[/BR:90]],Brudnopis!$E$28:$J$28),0)</f>
        <v>0.11224489795918367</v>
      </c>
      <c r="Y806" s="35">
        <f>IF(Mecze[[#This Row],[Role]]="BR",Mecze[[#This Row],[/OB:90]]+Mecze[[#This Row],[/PC:90]],SUM(Mecze[[#This Row],[/PR:90]:[/BR:90]]))</f>
        <v>0.20408163265306123</v>
      </c>
      <c r="Z806" s="35">
        <f>IF(Mecze[[#This Row],[KC]]=0,SUM(Mecze[[#This Row],[/BRI]:[/NPI]]),SUM(Mecze[[#This Row],[/BRI]:[/NPI]])*0.6)</f>
        <v>1.028061224489796</v>
      </c>
      <c r="AA806" s="10">
        <f>IFERROR(Mecze[[#This Row],[BR]]/Mecze[[#This Row],[ST]],0)</f>
        <v>0</v>
      </c>
      <c r="AB806">
        <f>ROUND(Mecze[[#This Row],[PD]]*Mecze[[#This Row],[%PC]],0)</f>
        <v>11</v>
      </c>
      <c r="AC806">
        <f>ROUND(Mecze[[#This Row],[OD]]*Mecze[[#This Row],[%OU]],0)</f>
        <v>2</v>
      </c>
      <c r="AD806" s="36" t="s">
        <v>41</v>
      </c>
      <c r="AE806" s="36">
        <v>45</v>
      </c>
      <c r="AF806" s="71">
        <v>10.63</v>
      </c>
      <c r="AG806" s="37">
        <v>0</v>
      </c>
      <c r="AH806" s="37">
        <v>0</v>
      </c>
      <c r="AI806" s="37">
        <v>98</v>
      </c>
      <c r="AJ806" s="37">
        <v>10</v>
      </c>
      <c r="AK806" s="37" t="str">
        <f>VLOOKUP(Mecze[[#This Row],[Match ID]],Meczusie[Mecz]:Meczusie[RodzajMeczu],2,FALSE)</f>
        <v>Liga</v>
      </c>
    </row>
    <row r="807" spans="1:37" x14ac:dyDescent="0.25">
      <c r="A807" s="76">
        <v>11</v>
      </c>
      <c r="B807" s="3" t="s">
        <v>243</v>
      </c>
      <c r="C807" s="2" t="s">
        <v>160</v>
      </c>
      <c r="D807" s="1">
        <v>1</v>
      </c>
      <c r="E807" s="1">
        <v>3</v>
      </c>
      <c r="F807" s="1">
        <v>2</v>
      </c>
      <c r="G807" s="1">
        <v>11</v>
      </c>
      <c r="H807" s="4">
        <v>0.82</v>
      </c>
      <c r="I807" s="1">
        <v>7</v>
      </c>
      <c r="J807" s="4">
        <v>0.28999999999999998</v>
      </c>
      <c r="K807" s="1">
        <v>0</v>
      </c>
      <c r="L807" s="1">
        <v>10</v>
      </c>
      <c r="M807" s="32">
        <f>IF(Mecze[[#This Row],[PR]]=0,0,Mecze[[#This Row],[PR]]/Mecze[[#This Row],[CZAS]])</f>
        <v>0.10204081632653061</v>
      </c>
      <c r="N807" s="32">
        <f>IF(Mecze[[#This Row],[OU]]=0,0,Mecze[[#This Row],[OU]]/Mecze[[#This Row],[CZAS]])</f>
        <v>2.0408163265306121E-2</v>
      </c>
      <c r="O807" s="32">
        <f>IF(Mecze[[#This Row],[PC]]=0,0,Mecze[[#This Row],[PC]]/Mecze[[#This Row],[CZAS]])</f>
        <v>9.1836734693877556E-2</v>
      </c>
      <c r="P807" s="32">
        <f>IF(Mecze[[#This Row],[SC]]=0,0,Mecze[[#This Row],[SC]]/Mecze[[#This Row],[CZAS]])</f>
        <v>2.0408163265306121E-2</v>
      </c>
      <c r="Q807" s="32">
        <f>IF(Mecze[[#This Row],[OB]]=0,0,Mecze[[#This Row],[OB]]/Mecze[[#This Row],[CZAS]])</f>
        <v>0</v>
      </c>
      <c r="R807" s="32">
        <f>IF(Mecze[[#This Row],[BR]]=0,0,Mecze[[#This Row],[BR]]/Mecze[[#This Row],[CZAS]])</f>
        <v>1.020408163265306E-2</v>
      </c>
      <c r="S807" s="44">
        <f>IF(Mecze[[#This Row],[Role]]="BR",SUMPRODUCT(Mecze[[#This Row],[/PR:90]:[/BR:90]],Brudnopis!$E$23:$J$23),0)</f>
        <v>0</v>
      </c>
      <c r="T807" s="44">
        <f>IF(Mecze[[#This Row],[Role]]&lt;&gt;"BR",SUMPRODUCT(Mecze[[#This Row],[/PR:90]:[/BR:90]],Brudnopis!$E$24:$J$24),0)</f>
        <v>0.26020408163265307</v>
      </c>
      <c r="U807" s="44">
        <f>IF(Mecze[[#This Row],[Role]]&lt;&gt;"BR",SUMPRODUCT(Mecze[[#This Row],[/PR:90]:[/BR:90]],Brudnopis!$E$25:$J$25),0)</f>
        <v>0.29591836734693883</v>
      </c>
      <c r="V807" s="44">
        <f>IF(Mecze[[#This Row],[Role]]&lt;&gt;"BR",SUMPRODUCT(Mecze[[#This Row],[/PR:90]:[/BR:90]],Brudnopis!$E$26:$J$26),0)</f>
        <v>0.25510204081632654</v>
      </c>
      <c r="W807" s="44">
        <f>IF(Mecze[[#This Row],[Role]]&lt;&gt;"BR",SUMPRODUCT(Mecze[[#This Row],[/PR:90]:[/BR:90]],Brudnopis!$E$27:$J$27),0)</f>
        <v>0.2704081632653062</v>
      </c>
      <c r="X807" s="44">
        <f>IF(Mecze[[#This Row],[Role]]&lt;&gt;"BR",SUMPRODUCT(Mecze[[#This Row],[/PR:90]:[/BR:90]],Brudnopis!$E$28:$J$28),0)</f>
        <v>0.16326530612244899</v>
      </c>
      <c r="Y807" s="35">
        <f>IF(Mecze[[#This Row],[Role]]="BR",Mecze[[#This Row],[/OB:90]]+Mecze[[#This Row],[/PC:90]],SUM(Mecze[[#This Row],[/PR:90]:[/BR:90]]))</f>
        <v>0.24489795918367349</v>
      </c>
      <c r="Z807" s="35">
        <f>IF(Mecze[[#This Row],[KC]]=0,SUM(Mecze[[#This Row],[/BRI]:[/NPI]]),SUM(Mecze[[#This Row],[/BRI]:[/NPI]])*0.6)</f>
        <v>1.2448979591836735</v>
      </c>
      <c r="AA807" s="10">
        <f>IFERROR(Mecze[[#This Row],[BR]]/Mecze[[#This Row],[ST]],0)</f>
        <v>0.33333333333333331</v>
      </c>
      <c r="AB807">
        <f>ROUND(Mecze[[#This Row],[PD]]*Mecze[[#This Row],[%PC]],0)</f>
        <v>9</v>
      </c>
      <c r="AC807">
        <f>ROUND(Mecze[[#This Row],[OD]]*Mecze[[#This Row],[%OU]],0)</f>
        <v>2</v>
      </c>
      <c r="AD807" s="36" t="s">
        <v>67</v>
      </c>
      <c r="AE807" s="36">
        <v>45</v>
      </c>
      <c r="AF807" s="71">
        <v>13.83</v>
      </c>
      <c r="AG807" s="37">
        <v>0</v>
      </c>
      <c r="AH807" s="37">
        <v>0</v>
      </c>
      <c r="AI807" s="37">
        <v>98</v>
      </c>
      <c r="AJ807" s="37">
        <v>10</v>
      </c>
      <c r="AK807" s="37" t="str">
        <f>VLOOKUP(Mecze[[#This Row],[Match ID]],Meczusie[Mecz]:Meczusie[RodzajMeczu],2,FALSE)</f>
        <v>Liga</v>
      </c>
    </row>
    <row r="808" spans="1:37" x14ac:dyDescent="0.25">
      <c r="A808" s="76">
        <v>8</v>
      </c>
      <c r="B808" s="3" t="s">
        <v>245</v>
      </c>
      <c r="C808" s="2" t="s">
        <v>165</v>
      </c>
      <c r="D808" s="1">
        <v>1</v>
      </c>
      <c r="E808" s="1">
        <v>1</v>
      </c>
      <c r="F808" s="1">
        <v>1</v>
      </c>
      <c r="G808" s="1">
        <v>9</v>
      </c>
      <c r="H808" s="4">
        <v>0.78</v>
      </c>
      <c r="I808" s="1">
        <v>4</v>
      </c>
      <c r="J808" s="4">
        <v>0.5</v>
      </c>
      <c r="K808" s="1">
        <v>0</v>
      </c>
      <c r="L808" s="1">
        <v>2</v>
      </c>
      <c r="M808" s="32">
        <f>IF(Mecze[[#This Row],[PR]]=0,0,Mecze[[#This Row],[PR]]/Mecze[[#This Row],[CZAS]])</f>
        <v>2.0408163265306121E-2</v>
      </c>
      <c r="N808" s="32">
        <f>IF(Mecze[[#This Row],[OU]]=0,0,Mecze[[#This Row],[OU]]/Mecze[[#This Row],[CZAS]])</f>
        <v>2.0408163265306121E-2</v>
      </c>
      <c r="O808" s="32">
        <f>IF(Mecze[[#This Row],[PC]]=0,0,Mecze[[#This Row],[PC]]/Mecze[[#This Row],[CZAS]])</f>
        <v>7.1428571428571425E-2</v>
      </c>
      <c r="P808" s="32">
        <f>IF(Mecze[[#This Row],[SC]]=0,0,Mecze[[#This Row],[SC]]/Mecze[[#This Row],[CZAS]])</f>
        <v>1.020408163265306E-2</v>
      </c>
      <c r="Q808" s="32">
        <f>IF(Mecze[[#This Row],[OB]]=0,0,Mecze[[#This Row],[OB]]/Mecze[[#This Row],[CZAS]])</f>
        <v>0</v>
      </c>
      <c r="R808" s="32">
        <f>IF(Mecze[[#This Row],[BR]]=0,0,Mecze[[#This Row],[BR]]/Mecze[[#This Row],[CZAS]])</f>
        <v>1.020408163265306E-2</v>
      </c>
      <c r="S808" s="44">
        <f>IF(Mecze[[#This Row],[Role]]="BR",SUMPRODUCT(Mecze[[#This Row],[/PR:90]:[/BR:90]],Brudnopis!$E$23:$J$23),0)</f>
        <v>0</v>
      </c>
      <c r="T808" s="44">
        <f>IF(Mecze[[#This Row],[Role]]&lt;&gt;"BR",SUMPRODUCT(Mecze[[#This Row],[/PR:90]:[/BR:90]],Brudnopis!$E$24:$J$24),0)</f>
        <v>0.14795918367346939</v>
      </c>
      <c r="U808" s="44">
        <f>IF(Mecze[[#This Row],[Role]]&lt;&gt;"BR",SUMPRODUCT(Mecze[[#This Row],[/PR:90]:[/BR:90]],Brudnopis!$E$25:$J$25),0)</f>
        <v>0.17346938775510204</v>
      </c>
      <c r="V808" s="44">
        <f>IF(Mecze[[#This Row],[Role]]&lt;&gt;"BR",SUMPRODUCT(Mecze[[#This Row],[/PR:90]:[/BR:90]],Brudnopis!$E$26:$J$26),0)</f>
        <v>0.14285714285714285</v>
      </c>
      <c r="W808" s="44">
        <f>IF(Mecze[[#This Row],[Role]]&lt;&gt;"BR",SUMPRODUCT(Mecze[[#This Row],[/PR:90]:[/BR:90]],Brudnopis!$E$27:$J$27),0)</f>
        <v>0.1683673469387755</v>
      </c>
      <c r="X808" s="44">
        <f>IF(Mecze[[#This Row],[Role]]&lt;&gt;"BR",SUMPRODUCT(Mecze[[#This Row],[/PR:90]:[/BR:90]],Brudnopis!$E$28:$J$28),0)</f>
        <v>0.12244897959183673</v>
      </c>
      <c r="Y808" s="35">
        <f>IF(Mecze[[#This Row],[Role]]="BR",Mecze[[#This Row],[/OB:90]]+Mecze[[#This Row],[/PC:90]],SUM(Mecze[[#This Row],[/PR:90]:[/BR:90]]))</f>
        <v>0.13265306122448978</v>
      </c>
      <c r="Z808" s="35">
        <f>IF(Mecze[[#This Row],[KC]]=0,SUM(Mecze[[#This Row],[/BRI]:[/NPI]]),SUM(Mecze[[#This Row],[/BRI]:[/NPI]])*0.6)</f>
        <v>0.75510204081632648</v>
      </c>
      <c r="AA808" s="10">
        <f>IFERROR(Mecze[[#This Row],[BR]]/Mecze[[#This Row],[ST]],0)</f>
        <v>1</v>
      </c>
      <c r="AB808">
        <f>ROUND(Mecze[[#This Row],[PD]]*Mecze[[#This Row],[%PC]],0)</f>
        <v>7</v>
      </c>
      <c r="AC808">
        <f>ROUND(Mecze[[#This Row],[OD]]*Mecze[[#This Row],[%OU]],0)</f>
        <v>2</v>
      </c>
      <c r="AD808" s="36" t="s">
        <v>46</v>
      </c>
      <c r="AE808" s="36">
        <v>45</v>
      </c>
      <c r="AF808" s="71">
        <v>7.78</v>
      </c>
      <c r="AG808" s="37">
        <v>0</v>
      </c>
      <c r="AH808" s="37">
        <v>0</v>
      </c>
      <c r="AI808" s="37">
        <v>98</v>
      </c>
      <c r="AJ808" s="37">
        <v>10</v>
      </c>
      <c r="AK808" s="37" t="str">
        <f>VLOOKUP(Mecze[[#This Row],[Match ID]],Meczusie[Mecz]:Meczusie[RodzajMeczu],2,FALSE)</f>
        <v>Liga</v>
      </c>
    </row>
    <row r="809" spans="1:37" x14ac:dyDescent="0.25">
      <c r="A809" s="76">
        <v>14</v>
      </c>
      <c r="B809" s="3" t="s">
        <v>244</v>
      </c>
      <c r="C809" s="2" t="s">
        <v>165</v>
      </c>
      <c r="D809" s="1">
        <v>0</v>
      </c>
      <c r="E809" s="1">
        <v>0</v>
      </c>
      <c r="F809" s="1">
        <v>0</v>
      </c>
      <c r="G809" s="1">
        <v>17</v>
      </c>
      <c r="H809" s="4">
        <v>0.76</v>
      </c>
      <c r="I809" s="1">
        <v>4</v>
      </c>
      <c r="J809" s="4">
        <v>0.75</v>
      </c>
      <c r="K809" s="1">
        <v>0</v>
      </c>
      <c r="L809" s="1">
        <v>4</v>
      </c>
      <c r="M809" s="32">
        <f>IF(Mecze[[#This Row],[PR]]=0,0,Mecze[[#This Row],[PR]]/Mecze[[#This Row],[CZAS]])</f>
        <v>4.0816326530612242E-2</v>
      </c>
      <c r="N809" s="32">
        <f>IF(Mecze[[#This Row],[OU]]=0,0,Mecze[[#This Row],[OU]]/Mecze[[#This Row],[CZAS]])</f>
        <v>3.0612244897959183E-2</v>
      </c>
      <c r="O809" s="32">
        <f>IF(Mecze[[#This Row],[PC]]=0,0,Mecze[[#This Row],[PC]]/Mecze[[#This Row],[CZAS]])</f>
        <v>0.1326530612244898</v>
      </c>
      <c r="P809" s="32">
        <f>IF(Mecze[[#This Row],[SC]]=0,0,Mecze[[#This Row],[SC]]/Mecze[[#This Row],[CZAS]])</f>
        <v>0</v>
      </c>
      <c r="Q809" s="32">
        <f>IF(Mecze[[#This Row],[OB]]=0,0,Mecze[[#This Row],[OB]]/Mecze[[#This Row],[CZAS]])</f>
        <v>0</v>
      </c>
      <c r="R809" s="32">
        <f>IF(Mecze[[#This Row],[BR]]=0,0,Mecze[[#This Row],[BR]]/Mecze[[#This Row],[CZAS]])</f>
        <v>0</v>
      </c>
      <c r="S809" s="44">
        <f>IF(Mecze[[#This Row],[Role]]="BR",SUMPRODUCT(Mecze[[#This Row],[/PR:90]:[/BR:90]],Brudnopis!$E$23:$J$23),0)</f>
        <v>0</v>
      </c>
      <c r="T809" s="44">
        <f>IF(Mecze[[#This Row],[Role]]&lt;&gt;"BR",SUMPRODUCT(Mecze[[#This Row],[/PR:90]:[/BR:90]],Brudnopis!$E$24:$J$24),0)</f>
        <v>0.21938775510204081</v>
      </c>
      <c r="U809" s="44">
        <f>IF(Mecze[[#This Row],[Role]]&lt;&gt;"BR",SUMPRODUCT(Mecze[[#This Row],[/PR:90]:[/BR:90]],Brudnopis!$E$25:$J$25),0)</f>
        <v>0.27040816326530615</v>
      </c>
      <c r="V809" s="44">
        <f>IF(Mecze[[#This Row],[Role]]&lt;&gt;"BR",SUMPRODUCT(Mecze[[#This Row],[/PR:90]:[/BR:90]],Brudnopis!$E$26:$J$26),0)</f>
        <v>0.20408163265306123</v>
      </c>
      <c r="W809" s="44">
        <f>IF(Mecze[[#This Row],[Role]]&lt;&gt;"BR",SUMPRODUCT(Mecze[[#This Row],[/PR:90]:[/BR:90]],Brudnopis!$E$27:$J$27),0)</f>
        <v>0.25255102040816324</v>
      </c>
      <c r="X809" s="44">
        <f>IF(Mecze[[#This Row],[Role]]&lt;&gt;"BR",SUMPRODUCT(Mecze[[#This Row],[/PR:90]:[/BR:90]],Brudnopis!$E$28:$J$28),0)</f>
        <v>0.1326530612244898</v>
      </c>
      <c r="Y809" s="35">
        <f>IF(Mecze[[#This Row],[Role]]="BR",Mecze[[#This Row],[/OB:90]]+Mecze[[#This Row],[/PC:90]],SUM(Mecze[[#This Row],[/PR:90]:[/BR:90]]))</f>
        <v>0.20408163265306123</v>
      </c>
      <c r="Z809" s="35">
        <f>IF(Mecze[[#This Row],[KC]]=0,SUM(Mecze[[#This Row],[/BRI]:[/NPI]]),SUM(Mecze[[#This Row],[/BRI]:[/NPI]])*0.6)</f>
        <v>1.0790816326530612</v>
      </c>
      <c r="AA809" s="10">
        <f>IFERROR(Mecze[[#This Row],[BR]]/Mecze[[#This Row],[ST]],0)</f>
        <v>0</v>
      </c>
      <c r="AB809">
        <f>ROUND(Mecze[[#This Row],[PD]]*Mecze[[#This Row],[%PC]],0)</f>
        <v>13</v>
      </c>
      <c r="AC809">
        <f>ROUND(Mecze[[#This Row],[OD]]*Mecze[[#This Row],[%OU]],0)</f>
        <v>3</v>
      </c>
      <c r="AD809" s="36" t="s">
        <v>46</v>
      </c>
      <c r="AE809" s="36">
        <v>45</v>
      </c>
      <c r="AF809" s="71">
        <v>5.26</v>
      </c>
      <c r="AG809" s="37">
        <v>0</v>
      </c>
      <c r="AH809" s="37">
        <v>0</v>
      </c>
      <c r="AI809" s="37">
        <v>98</v>
      </c>
      <c r="AJ809" s="37">
        <v>10</v>
      </c>
      <c r="AK809" s="37" t="str">
        <f>VLOOKUP(Mecze[[#This Row],[Match ID]],Meczusie[Mecz]:Meczusie[RodzajMeczu],2,FALSE)</f>
        <v>Liga</v>
      </c>
    </row>
    <row r="810" spans="1:37" x14ac:dyDescent="0.25">
      <c r="A810" s="76">
        <v>10</v>
      </c>
      <c r="B810" s="3" t="s">
        <v>246</v>
      </c>
      <c r="C810" s="2" t="s">
        <v>165</v>
      </c>
      <c r="D810" s="1">
        <v>9</v>
      </c>
      <c r="E810" s="1">
        <v>23</v>
      </c>
      <c r="F810" s="1">
        <v>20</v>
      </c>
      <c r="G810" s="1">
        <v>6</v>
      </c>
      <c r="H810" s="4">
        <v>0.17</v>
      </c>
      <c r="I810" s="1">
        <v>5</v>
      </c>
      <c r="J810" s="4">
        <v>0</v>
      </c>
      <c r="K810" s="1">
        <v>0</v>
      </c>
      <c r="L810" s="1">
        <v>1</v>
      </c>
      <c r="M810" s="32">
        <f>IF(Mecze[[#This Row],[PR]]=0,0,Mecze[[#This Row],[PR]]/Mecze[[#This Row],[CZAS]])</f>
        <v>1.020408163265306E-2</v>
      </c>
      <c r="N810" s="32">
        <f>IF(Mecze[[#This Row],[OU]]=0,0,Mecze[[#This Row],[OU]]/Mecze[[#This Row],[CZAS]])</f>
        <v>0</v>
      </c>
      <c r="O810" s="32">
        <f>IF(Mecze[[#This Row],[PC]]=0,0,Mecze[[#This Row],[PC]]/Mecze[[#This Row],[CZAS]])</f>
        <v>1.020408163265306E-2</v>
      </c>
      <c r="P810" s="32">
        <f>IF(Mecze[[#This Row],[SC]]=0,0,Mecze[[#This Row],[SC]]/Mecze[[#This Row],[CZAS]])</f>
        <v>0.20408163265306123</v>
      </c>
      <c r="Q810" s="32">
        <f>IF(Mecze[[#This Row],[OB]]=0,0,Mecze[[#This Row],[OB]]/Mecze[[#This Row],[CZAS]])</f>
        <v>0</v>
      </c>
      <c r="R810" s="32">
        <f>IF(Mecze[[#This Row],[BR]]=0,0,Mecze[[#This Row],[BR]]/Mecze[[#This Row],[CZAS]])</f>
        <v>9.1836734693877556E-2</v>
      </c>
      <c r="S810" s="44">
        <f>IF(Mecze[[#This Row],[Role]]="BR",SUMPRODUCT(Mecze[[#This Row],[/PR:90]:[/BR:90]],Brudnopis!$E$23:$J$23),0)</f>
        <v>0</v>
      </c>
      <c r="T810" s="44">
        <f>IF(Mecze[[#This Row],[Role]]&lt;&gt;"BR",SUMPRODUCT(Mecze[[#This Row],[/PR:90]:[/BR:90]],Brudnopis!$E$24:$J$24),0)</f>
        <v>0.36224489795918369</v>
      </c>
      <c r="U810" s="44">
        <f>IF(Mecze[[#This Row],[Role]]&lt;&gt;"BR",SUMPRODUCT(Mecze[[#This Row],[/PR:90]:[/BR:90]],Brudnopis!$E$25:$J$25),0)</f>
        <v>0.36734693877551022</v>
      </c>
      <c r="V810" s="44">
        <f>IF(Mecze[[#This Row],[Role]]&lt;&gt;"BR",SUMPRODUCT(Mecze[[#This Row],[/PR:90]:[/BR:90]],Brudnopis!$E$26:$J$26),0)</f>
        <v>0.40816326530612246</v>
      </c>
      <c r="W810" s="44">
        <f>IF(Mecze[[#This Row],[Role]]&lt;&gt;"BR",SUMPRODUCT(Mecze[[#This Row],[/PR:90]:[/BR:90]],Brudnopis!$E$27:$J$27),0)</f>
        <v>0.4107142857142857</v>
      </c>
      <c r="X810" s="44">
        <f>IF(Mecze[[#This Row],[Role]]&lt;&gt;"BR",SUMPRODUCT(Mecze[[#This Row],[/PR:90]:[/BR:90]],Brudnopis!$E$28:$J$28),0)</f>
        <v>0.69387755102040827</v>
      </c>
      <c r="Y810" s="35">
        <f>IF(Mecze[[#This Row],[Role]]="BR",Mecze[[#This Row],[/OB:90]]+Mecze[[#This Row],[/PC:90]],SUM(Mecze[[#This Row],[/PR:90]:[/BR:90]]))</f>
        <v>0.31632653061224492</v>
      </c>
      <c r="Z810" s="35">
        <f>IF(Mecze[[#This Row],[KC]]=0,SUM(Mecze[[#This Row],[/BRI]:[/NPI]]),SUM(Mecze[[#This Row],[/BRI]:[/NPI]])*0.6)</f>
        <v>2.2423469387755102</v>
      </c>
      <c r="AA810" s="10">
        <f>IFERROR(Mecze[[#This Row],[BR]]/Mecze[[#This Row],[ST]],0)</f>
        <v>0.39130434782608697</v>
      </c>
      <c r="AB810">
        <f>ROUND(Mecze[[#This Row],[PD]]*Mecze[[#This Row],[%PC]],0)</f>
        <v>1</v>
      </c>
      <c r="AC810">
        <f>ROUND(Mecze[[#This Row],[OD]]*Mecze[[#This Row],[%OU]],0)</f>
        <v>0</v>
      </c>
      <c r="AD810" s="36" t="s">
        <v>46</v>
      </c>
      <c r="AE810" s="36">
        <v>45</v>
      </c>
      <c r="AF810" s="71">
        <v>29.03</v>
      </c>
      <c r="AG810" s="37">
        <v>0</v>
      </c>
      <c r="AH810" s="37">
        <v>0</v>
      </c>
      <c r="AI810" s="37">
        <v>98</v>
      </c>
      <c r="AJ810" s="37">
        <v>10</v>
      </c>
      <c r="AK810" s="37" t="str">
        <f>VLOOKUP(Mecze[[#This Row],[Match ID]],Meczusie[Mecz]:Meczusie[RodzajMeczu],2,FALSE)</f>
        <v>Liga</v>
      </c>
    </row>
    <row r="811" spans="1:37" x14ac:dyDescent="0.25">
      <c r="A811" s="76">
        <v>13</v>
      </c>
      <c r="B811" s="3" t="s">
        <v>403</v>
      </c>
      <c r="C811" s="2" t="s">
        <v>160</v>
      </c>
      <c r="D811" s="1">
        <v>0</v>
      </c>
      <c r="E811" s="1">
        <v>0</v>
      </c>
      <c r="F811" s="1">
        <v>0</v>
      </c>
      <c r="G811" s="1">
        <v>0</v>
      </c>
      <c r="H811" s="72"/>
      <c r="I811" s="1">
        <v>0</v>
      </c>
      <c r="J811" s="4"/>
      <c r="K811" s="1">
        <v>0</v>
      </c>
      <c r="L811" s="1">
        <v>0</v>
      </c>
      <c r="M811" s="32">
        <f>IF(Mecze[[#This Row],[PR]]=0,0,Mecze[[#This Row],[PR]]/Mecze[[#This Row],[CZAS]])</f>
        <v>0</v>
      </c>
      <c r="N811" s="32">
        <f>IF(Mecze[[#This Row],[OU]]=0,0,Mecze[[#This Row],[OU]]/Mecze[[#This Row],[CZAS]])</f>
        <v>0</v>
      </c>
      <c r="O811" s="32">
        <f>IF(Mecze[[#This Row],[PC]]=0,0,Mecze[[#This Row],[PC]]/Mecze[[#This Row],[CZAS]])</f>
        <v>0</v>
      </c>
      <c r="P811" s="32">
        <f>IF(Mecze[[#This Row],[SC]]=0,0,Mecze[[#This Row],[SC]]/Mecze[[#This Row],[CZAS]])</f>
        <v>0</v>
      </c>
      <c r="Q811" s="32">
        <f>IF(Mecze[[#This Row],[OB]]=0,0,Mecze[[#This Row],[OB]]/Mecze[[#This Row],[CZAS]])</f>
        <v>0</v>
      </c>
      <c r="R811" s="32">
        <f>IF(Mecze[[#This Row],[BR]]=0,0,Mecze[[#This Row],[BR]]/Mecze[[#This Row],[CZAS]])</f>
        <v>0</v>
      </c>
      <c r="S811" s="44">
        <f>IF(Mecze[[#This Row],[Role]]="BR",SUMPRODUCT(Mecze[[#This Row],[/PR:90]:[/BR:90]],Brudnopis!$E$23:$J$23),0)</f>
        <v>0</v>
      </c>
      <c r="T811" s="44">
        <f>IF(Mecze[[#This Row],[Role]]&lt;&gt;"BR",SUMPRODUCT(Mecze[[#This Row],[/PR:90]:[/BR:90]],Brudnopis!$E$24:$J$24),0)</f>
        <v>0</v>
      </c>
      <c r="U811" s="44">
        <f>IF(Mecze[[#This Row],[Role]]&lt;&gt;"BR",SUMPRODUCT(Mecze[[#This Row],[/PR:90]:[/BR:90]],Brudnopis!$E$25:$J$25),0)</f>
        <v>0</v>
      </c>
      <c r="V811" s="44">
        <f>IF(Mecze[[#This Row],[Role]]&lt;&gt;"BR",SUMPRODUCT(Mecze[[#This Row],[/PR:90]:[/BR:90]],Brudnopis!$E$26:$J$26),0)</f>
        <v>0</v>
      </c>
      <c r="W811" s="44">
        <f>IF(Mecze[[#This Row],[Role]]&lt;&gt;"BR",SUMPRODUCT(Mecze[[#This Row],[/PR:90]:[/BR:90]],Brudnopis!$E$27:$J$27),0)</f>
        <v>0</v>
      </c>
      <c r="X811" s="44">
        <f>IF(Mecze[[#This Row],[Role]]&lt;&gt;"BR",SUMPRODUCT(Mecze[[#This Row],[/PR:90]:[/BR:90]],Brudnopis!$E$28:$J$28),0)</f>
        <v>0</v>
      </c>
      <c r="Y811" s="35">
        <f>IF(Mecze[[#This Row],[Role]]="BR",Mecze[[#This Row],[/OB:90]]+Mecze[[#This Row],[/PC:90]],SUM(Mecze[[#This Row],[/PR:90]:[/BR:90]]))</f>
        <v>0</v>
      </c>
      <c r="Z811" s="35">
        <f>IF(Mecze[[#This Row],[KC]]=0,SUM(Mecze[[#This Row],[/BRI]:[/NPI]]),SUM(Mecze[[#This Row],[/BRI]:[/NPI]])*0.6)</f>
        <v>0</v>
      </c>
      <c r="AA811" s="10">
        <f>IFERROR(Mecze[[#This Row],[BR]]/Mecze[[#This Row],[ST]],0)</f>
        <v>0</v>
      </c>
      <c r="AB811">
        <f>ROUND(Mecze[[#This Row],[PD]]*Mecze[[#This Row],[%PC]],0)</f>
        <v>0</v>
      </c>
      <c r="AC811">
        <f>ROUND(Mecze[[#This Row],[OD]]*Mecze[[#This Row],[%OU]],0)</f>
        <v>0</v>
      </c>
      <c r="AD811" s="36" t="s">
        <v>41</v>
      </c>
      <c r="AE811" s="36">
        <v>45</v>
      </c>
      <c r="AF811" s="71">
        <v>4.84</v>
      </c>
      <c r="AG811" s="37">
        <v>0</v>
      </c>
      <c r="AH811" s="37">
        <v>0</v>
      </c>
      <c r="AI811" s="37">
        <v>98</v>
      </c>
      <c r="AJ811" s="37">
        <v>10</v>
      </c>
      <c r="AK811" s="37" t="str">
        <f>VLOOKUP(Mecze[[#This Row],[Match ID]],Meczusie[Mecz]:Meczusie[RodzajMeczu],2,FALSE)</f>
        <v>Liga</v>
      </c>
    </row>
    <row r="812" spans="1:37" x14ac:dyDescent="0.25">
      <c r="A812" s="76">
        <v>49</v>
      </c>
      <c r="B812" s="3" t="s">
        <v>358</v>
      </c>
      <c r="C812" s="2" t="s">
        <v>155</v>
      </c>
      <c r="D812" s="1">
        <v>0</v>
      </c>
      <c r="E812" s="1">
        <v>0</v>
      </c>
      <c r="F812" s="1">
        <v>0</v>
      </c>
      <c r="G812" s="1">
        <v>5</v>
      </c>
      <c r="H812" s="4">
        <v>0.4</v>
      </c>
      <c r="I812" s="1">
        <v>0</v>
      </c>
      <c r="J812" s="4"/>
      <c r="K812" s="1">
        <v>2</v>
      </c>
      <c r="L812" s="1">
        <v>0</v>
      </c>
      <c r="M812" s="32">
        <f>IF(Mecze[[#This Row],[PR]]=0,0,Mecze[[#This Row],[PR]]/Mecze[[#This Row],[CZAS]])</f>
        <v>0</v>
      </c>
      <c r="N812" s="32">
        <f>IF(Mecze[[#This Row],[OU]]=0,0,Mecze[[#This Row],[OU]]/Mecze[[#This Row],[CZAS]])</f>
        <v>0</v>
      </c>
      <c r="O812" s="32">
        <f>IF(Mecze[[#This Row],[PC]]=0,0,Mecze[[#This Row],[PC]]/Mecze[[#This Row],[CZAS]])</f>
        <v>2.0833333333333332E-2</v>
      </c>
      <c r="P812" s="32">
        <f>IF(Mecze[[#This Row],[SC]]=0,0,Mecze[[#This Row],[SC]]/Mecze[[#This Row],[CZAS]])</f>
        <v>0</v>
      </c>
      <c r="Q812" s="32">
        <f>IF(Mecze[[#This Row],[OB]]=0,0,Mecze[[#This Row],[OB]]/Mecze[[#This Row],[CZAS]])</f>
        <v>2.0833333333333332E-2</v>
      </c>
      <c r="R812" s="32">
        <f>IF(Mecze[[#This Row],[BR]]=0,0,Mecze[[#This Row],[BR]]/Mecze[[#This Row],[CZAS]])</f>
        <v>0</v>
      </c>
      <c r="S812" s="44">
        <f>IF(Mecze[[#This Row],[Role]]="BR",SUMPRODUCT(Mecze[[#This Row],[/PR:90]:[/BR:90]],Brudnopis!$E$23:$J$23),0)</f>
        <v>0.125</v>
      </c>
      <c r="T812" s="44">
        <f>IF(Mecze[[#This Row],[Role]]&lt;&gt;"BR",SUMPRODUCT(Mecze[[#This Row],[/PR:90]:[/BR:90]],Brudnopis!$E$24:$J$24),0)</f>
        <v>0</v>
      </c>
      <c r="U812" s="44">
        <f>IF(Mecze[[#This Row],[Role]]&lt;&gt;"BR",SUMPRODUCT(Mecze[[#This Row],[/PR:90]:[/BR:90]],Brudnopis!$E$25:$J$25),0)</f>
        <v>0</v>
      </c>
      <c r="V812" s="44">
        <f>IF(Mecze[[#This Row],[Role]]&lt;&gt;"BR",SUMPRODUCT(Mecze[[#This Row],[/PR:90]:[/BR:90]],Brudnopis!$E$26:$J$26),0)</f>
        <v>0</v>
      </c>
      <c r="W812" s="44">
        <f>IF(Mecze[[#This Row],[Role]]&lt;&gt;"BR",SUMPRODUCT(Mecze[[#This Row],[/PR:90]:[/BR:90]],Brudnopis!$E$27:$J$27),0)</f>
        <v>0</v>
      </c>
      <c r="X812" s="44">
        <f>IF(Mecze[[#This Row],[Role]]&lt;&gt;"BR",SUMPRODUCT(Mecze[[#This Row],[/PR:90]:[/BR:90]],Brudnopis!$E$28:$J$28),0)</f>
        <v>0</v>
      </c>
      <c r="Y812" s="35">
        <f>IF(Mecze[[#This Row],[Role]]="BR",Mecze[[#This Row],[/OB:90]]+Mecze[[#This Row],[/PC:90]],SUM(Mecze[[#This Row],[/PR:90]:[/BR:90]]))</f>
        <v>4.1666666666666664E-2</v>
      </c>
      <c r="Z812" s="35">
        <f>IF(Mecze[[#This Row],[KC]]=0,SUM(Mecze[[#This Row],[/BRI]:[/NPI]]),SUM(Mecze[[#This Row],[/BRI]:[/NPI]])*0.6)</f>
        <v>0.125</v>
      </c>
      <c r="AA812" s="10">
        <f>IFERROR(Mecze[[#This Row],[BR]]/Mecze[[#This Row],[ST]],0)</f>
        <v>0</v>
      </c>
      <c r="AB812">
        <f>ROUND(Mecze[[#This Row],[PD]]*Mecze[[#This Row],[%PC]],0)</f>
        <v>2</v>
      </c>
      <c r="AC812">
        <f>ROUND(Mecze[[#This Row],[OD]]*Mecze[[#This Row],[%OU]],0)</f>
        <v>0</v>
      </c>
      <c r="AD812" s="36" t="s">
        <v>40</v>
      </c>
      <c r="AE812" s="36">
        <v>46</v>
      </c>
      <c r="AF812" s="71">
        <v>3.4</v>
      </c>
      <c r="AG812" s="37">
        <v>0</v>
      </c>
      <c r="AH812" s="37">
        <v>0</v>
      </c>
      <c r="AI812" s="37">
        <v>96</v>
      </c>
      <c r="AJ812" s="37">
        <v>1</v>
      </c>
      <c r="AK812" s="37" t="str">
        <f>VLOOKUP(Mecze[[#This Row],[Match ID]],Meczusie[Mecz]:Meczusie[RodzajMeczu],2,FALSE)</f>
        <v>Towarzyski</v>
      </c>
    </row>
    <row r="813" spans="1:37" x14ac:dyDescent="0.25">
      <c r="A813" s="76">
        <v>38</v>
      </c>
      <c r="B813" s="3" t="s">
        <v>359</v>
      </c>
      <c r="C813" s="2" t="s">
        <v>157</v>
      </c>
      <c r="D813" s="1">
        <v>0</v>
      </c>
      <c r="E813" s="1">
        <v>0</v>
      </c>
      <c r="F813" s="1">
        <v>0</v>
      </c>
      <c r="G813" s="1">
        <v>12</v>
      </c>
      <c r="H813" s="4">
        <v>0.57999999999999996</v>
      </c>
      <c r="I813" s="1">
        <v>4</v>
      </c>
      <c r="J813" s="4">
        <v>0.5</v>
      </c>
      <c r="K813" s="1">
        <v>0</v>
      </c>
      <c r="L813" s="1">
        <v>9</v>
      </c>
      <c r="M813" s="32">
        <f>IF(Mecze[[#This Row],[PR]]=0,0,Mecze[[#This Row],[PR]]/Mecze[[#This Row],[CZAS]])</f>
        <v>9.375E-2</v>
      </c>
      <c r="N813" s="32">
        <f>IF(Mecze[[#This Row],[OU]]=0,0,Mecze[[#This Row],[OU]]/Mecze[[#This Row],[CZAS]])</f>
        <v>2.0833333333333332E-2</v>
      </c>
      <c r="O813" s="32">
        <f>IF(Mecze[[#This Row],[PC]]=0,0,Mecze[[#This Row],[PC]]/Mecze[[#This Row],[CZAS]])</f>
        <v>7.2916666666666671E-2</v>
      </c>
      <c r="P813" s="32">
        <f>IF(Mecze[[#This Row],[SC]]=0,0,Mecze[[#This Row],[SC]]/Mecze[[#This Row],[CZAS]])</f>
        <v>0</v>
      </c>
      <c r="Q813" s="32">
        <f>IF(Mecze[[#This Row],[OB]]=0,0,Mecze[[#This Row],[OB]]/Mecze[[#This Row],[CZAS]])</f>
        <v>0</v>
      </c>
      <c r="R813" s="32">
        <f>IF(Mecze[[#This Row],[BR]]=0,0,Mecze[[#This Row],[BR]]/Mecze[[#This Row],[CZAS]])</f>
        <v>0</v>
      </c>
      <c r="S813" s="44">
        <f>IF(Mecze[[#This Row],[Role]]="BR",SUMPRODUCT(Mecze[[#This Row],[/PR:90]:[/BR:90]],Brudnopis!$E$23:$J$23),0)</f>
        <v>0</v>
      </c>
      <c r="T813" s="44">
        <f>IF(Mecze[[#This Row],[Role]]&lt;&gt;"BR",SUMPRODUCT(Mecze[[#This Row],[/PR:90]:[/BR:90]],Brudnopis!$E$24:$J$24),0)</f>
        <v>0.19791666666666669</v>
      </c>
      <c r="U813" s="44">
        <f>IF(Mecze[[#This Row],[Role]]&lt;&gt;"BR",SUMPRODUCT(Mecze[[#This Row],[/PR:90]:[/BR:90]],Brudnopis!$E$25:$J$25),0)</f>
        <v>0.22395833333333331</v>
      </c>
      <c r="V813" s="44">
        <f>IF(Mecze[[#This Row],[Role]]&lt;&gt;"BR",SUMPRODUCT(Mecze[[#This Row],[/PR:90]:[/BR:90]],Brudnopis!$E$26:$J$26),0)</f>
        <v>0.1875</v>
      </c>
      <c r="W813" s="44">
        <f>IF(Mecze[[#This Row],[Role]]&lt;&gt;"BR",SUMPRODUCT(Mecze[[#This Row],[/PR:90]:[/BR:90]],Brudnopis!$E$27:$J$27),0)</f>
        <v>0.1953125</v>
      </c>
      <c r="X813" s="44">
        <f>IF(Mecze[[#This Row],[Role]]&lt;&gt;"BR",SUMPRODUCT(Mecze[[#This Row],[/PR:90]:[/BR:90]],Brudnopis!$E$28:$J$28),0)</f>
        <v>7.2916666666666671E-2</v>
      </c>
      <c r="Y813" s="35">
        <f>IF(Mecze[[#This Row],[Role]]="BR",Mecze[[#This Row],[/OB:90]]+Mecze[[#This Row],[/PC:90]],SUM(Mecze[[#This Row],[/PR:90]:[/BR:90]]))</f>
        <v>0.1875</v>
      </c>
      <c r="Z813" s="35">
        <f>IF(Mecze[[#This Row],[KC]]=0,SUM(Mecze[[#This Row],[/BRI]:[/NPI]]),SUM(Mecze[[#This Row],[/BRI]:[/NPI]])*0.6)</f>
        <v>0.87760416666666663</v>
      </c>
      <c r="AA813" s="10">
        <f>IFERROR(Mecze[[#This Row],[BR]]/Mecze[[#This Row],[ST]],0)</f>
        <v>0</v>
      </c>
      <c r="AB813">
        <f>ROUND(Mecze[[#This Row],[PD]]*Mecze[[#This Row],[%PC]],0)</f>
        <v>7</v>
      </c>
      <c r="AC813">
        <f>ROUND(Mecze[[#This Row],[OD]]*Mecze[[#This Row],[%OU]],0)</f>
        <v>2</v>
      </c>
      <c r="AD813" s="36" t="s">
        <v>47</v>
      </c>
      <c r="AE813" s="36">
        <v>46</v>
      </c>
      <c r="AF813" s="71">
        <v>5.71</v>
      </c>
      <c r="AG813" s="37">
        <v>0</v>
      </c>
      <c r="AH813" s="37">
        <v>0</v>
      </c>
      <c r="AI813" s="37">
        <v>96</v>
      </c>
      <c r="AJ813" s="37">
        <v>1</v>
      </c>
      <c r="AK813" s="37" t="str">
        <f>VLOOKUP(Mecze[[#This Row],[Match ID]],Meczusie[Mecz]:Meczusie[RodzajMeczu],2,FALSE)</f>
        <v>Towarzyski</v>
      </c>
    </row>
    <row r="814" spans="1:37" x14ac:dyDescent="0.25">
      <c r="A814" s="76">
        <v>4</v>
      </c>
      <c r="B814" s="3" t="s">
        <v>360</v>
      </c>
      <c r="C814" s="2" t="s">
        <v>157</v>
      </c>
      <c r="D814" s="1">
        <v>0</v>
      </c>
      <c r="E814" s="1">
        <v>1</v>
      </c>
      <c r="F814" s="1">
        <v>0</v>
      </c>
      <c r="G814" s="1">
        <v>14</v>
      </c>
      <c r="H814" s="4">
        <v>0.43</v>
      </c>
      <c r="I814" s="1">
        <v>4</v>
      </c>
      <c r="J814" s="4">
        <v>0.25</v>
      </c>
      <c r="K814" s="1">
        <v>0</v>
      </c>
      <c r="L814" s="1">
        <v>12</v>
      </c>
      <c r="M814" s="32">
        <f>IF(Mecze[[#This Row],[PR]]=0,0,Mecze[[#This Row],[PR]]/Mecze[[#This Row],[CZAS]])</f>
        <v>0.125</v>
      </c>
      <c r="N814" s="32">
        <f>IF(Mecze[[#This Row],[OU]]=0,0,Mecze[[#This Row],[OU]]/Mecze[[#This Row],[CZAS]])</f>
        <v>1.0416666666666666E-2</v>
      </c>
      <c r="O814" s="32">
        <f>IF(Mecze[[#This Row],[PC]]=0,0,Mecze[[#This Row],[PC]]/Mecze[[#This Row],[CZAS]])</f>
        <v>6.25E-2</v>
      </c>
      <c r="P814" s="32">
        <f>IF(Mecze[[#This Row],[SC]]=0,0,Mecze[[#This Row],[SC]]/Mecze[[#This Row],[CZAS]])</f>
        <v>0</v>
      </c>
      <c r="Q814" s="32">
        <f>IF(Mecze[[#This Row],[OB]]=0,0,Mecze[[#This Row],[OB]]/Mecze[[#This Row],[CZAS]])</f>
        <v>0</v>
      </c>
      <c r="R814" s="32">
        <f>IF(Mecze[[#This Row],[BR]]=0,0,Mecze[[#This Row],[BR]]/Mecze[[#This Row],[CZAS]])</f>
        <v>0</v>
      </c>
      <c r="S814" s="44">
        <f>IF(Mecze[[#This Row],[Role]]="BR",SUMPRODUCT(Mecze[[#This Row],[/PR:90]:[/BR:90]],Brudnopis!$E$23:$J$23),0)</f>
        <v>0</v>
      </c>
      <c r="T814" s="44">
        <f>IF(Mecze[[#This Row],[Role]]&lt;&gt;"BR",SUMPRODUCT(Mecze[[#This Row],[/PR:90]:[/BR:90]],Brudnopis!$E$24:$J$24),0)</f>
        <v>0.203125</v>
      </c>
      <c r="U814" s="44">
        <f>IF(Mecze[[#This Row],[Role]]&lt;&gt;"BR",SUMPRODUCT(Mecze[[#This Row],[/PR:90]:[/BR:90]],Brudnopis!$E$25:$J$25),0)</f>
        <v>0.22916666666666666</v>
      </c>
      <c r="V814" s="44">
        <f>IF(Mecze[[#This Row],[Role]]&lt;&gt;"BR",SUMPRODUCT(Mecze[[#This Row],[/PR:90]:[/BR:90]],Brudnopis!$E$26:$J$26),0)</f>
        <v>0.19791666666666666</v>
      </c>
      <c r="W814" s="44">
        <f>IF(Mecze[[#This Row],[Role]]&lt;&gt;"BR",SUMPRODUCT(Mecze[[#This Row],[/PR:90]:[/BR:90]],Brudnopis!$E$27:$J$27),0)</f>
        <v>0.1953125</v>
      </c>
      <c r="X814" s="44">
        <f>IF(Mecze[[#This Row],[Role]]&lt;&gt;"BR",SUMPRODUCT(Mecze[[#This Row],[/PR:90]:[/BR:90]],Brudnopis!$E$28:$J$28),0)</f>
        <v>6.25E-2</v>
      </c>
      <c r="Y814" s="35">
        <f>IF(Mecze[[#This Row],[Role]]="BR",Mecze[[#This Row],[/OB:90]]+Mecze[[#This Row],[/PC:90]],SUM(Mecze[[#This Row],[/PR:90]:[/BR:90]]))</f>
        <v>0.19791666666666666</v>
      </c>
      <c r="Z814" s="35">
        <f>IF(Mecze[[#This Row],[KC]]=0,SUM(Mecze[[#This Row],[/BRI]:[/NPI]]),SUM(Mecze[[#This Row],[/BRI]:[/NPI]])*0.6)</f>
        <v>0.88802083333333326</v>
      </c>
      <c r="AA814" s="10">
        <f>IFERROR(Mecze[[#This Row],[BR]]/Mecze[[#This Row],[ST]],0)</f>
        <v>0</v>
      </c>
      <c r="AB814">
        <f>ROUND(Mecze[[#This Row],[PD]]*Mecze[[#This Row],[%PC]],0)</f>
        <v>6</v>
      </c>
      <c r="AC814">
        <f>ROUND(Mecze[[#This Row],[OD]]*Mecze[[#This Row],[%OU]],0)</f>
        <v>1</v>
      </c>
      <c r="AD814" s="36" t="s">
        <v>168</v>
      </c>
      <c r="AE814" s="36">
        <v>46</v>
      </c>
      <c r="AF814" s="71">
        <v>5.22</v>
      </c>
      <c r="AG814" s="37">
        <v>0</v>
      </c>
      <c r="AH814" s="37">
        <v>0</v>
      </c>
      <c r="AI814" s="37">
        <v>96</v>
      </c>
      <c r="AJ814" s="37">
        <v>1</v>
      </c>
      <c r="AK814" s="37" t="str">
        <f>VLOOKUP(Mecze[[#This Row],[Match ID]],Meczusie[Mecz]:Meczusie[RodzajMeczu],2,FALSE)</f>
        <v>Towarzyski</v>
      </c>
    </row>
    <row r="815" spans="1:37" x14ac:dyDescent="0.25">
      <c r="A815" s="76">
        <v>42</v>
      </c>
      <c r="B815" s="3" t="s">
        <v>361</v>
      </c>
      <c r="C815" s="2" t="s">
        <v>157</v>
      </c>
      <c r="D815" s="1">
        <v>0</v>
      </c>
      <c r="E815" s="1">
        <v>0</v>
      </c>
      <c r="F815" s="1">
        <v>0</v>
      </c>
      <c r="G815" s="1">
        <v>9</v>
      </c>
      <c r="H815" s="4">
        <v>0.33</v>
      </c>
      <c r="I815" s="1">
        <v>4</v>
      </c>
      <c r="J815" s="4">
        <v>0.25</v>
      </c>
      <c r="K815" s="1">
        <v>0</v>
      </c>
      <c r="L815" s="1">
        <v>10</v>
      </c>
      <c r="M815" s="32">
        <f>IF(Mecze[[#This Row],[PR]]=0,0,Mecze[[#This Row],[PR]]/Mecze[[#This Row],[CZAS]])</f>
        <v>0.10416666666666667</v>
      </c>
      <c r="N815" s="32">
        <f>IF(Mecze[[#This Row],[OU]]=0,0,Mecze[[#This Row],[OU]]/Mecze[[#This Row],[CZAS]])</f>
        <v>1.0416666666666666E-2</v>
      </c>
      <c r="O815" s="32">
        <f>IF(Mecze[[#This Row],[PC]]=0,0,Mecze[[#This Row],[PC]]/Mecze[[#This Row],[CZAS]])</f>
        <v>3.125E-2</v>
      </c>
      <c r="P815" s="32">
        <f>IF(Mecze[[#This Row],[SC]]=0,0,Mecze[[#This Row],[SC]]/Mecze[[#This Row],[CZAS]])</f>
        <v>0</v>
      </c>
      <c r="Q815" s="32">
        <f>IF(Mecze[[#This Row],[OB]]=0,0,Mecze[[#This Row],[OB]]/Mecze[[#This Row],[CZAS]])</f>
        <v>0</v>
      </c>
      <c r="R815" s="32">
        <f>IF(Mecze[[#This Row],[BR]]=0,0,Mecze[[#This Row],[BR]]/Mecze[[#This Row],[CZAS]])</f>
        <v>0</v>
      </c>
      <c r="S815" s="44">
        <f>IF(Mecze[[#This Row],[Role]]="BR",SUMPRODUCT(Mecze[[#This Row],[/PR:90]:[/BR:90]],Brudnopis!$E$23:$J$23),0)</f>
        <v>0</v>
      </c>
      <c r="T815" s="44">
        <f>IF(Mecze[[#This Row],[Role]]&lt;&gt;"BR",SUMPRODUCT(Mecze[[#This Row],[/PR:90]:[/BR:90]],Brudnopis!$E$24:$J$24),0)</f>
        <v>0.15104166666666669</v>
      </c>
      <c r="U815" s="44">
        <f>IF(Mecze[[#This Row],[Role]]&lt;&gt;"BR",SUMPRODUCT(Mecze[[#This Row],[/PR:90]:[/BR:90]],Brudnopis!$E$25:$J$25),0)</f>
        <v>0.16145833333333334</v>
      </c>
      <c r="V815" s="44">
        <f>IF(Mecze[[#This Row],[Role]]&lt;&gt;"BR",SUMPRODUCT(Mecze[[#This Row],[/PR:90]:[/BR:90]],Brudnopis!$E$26:$J$26),0)</f>
        <v>0.14583333333333334</v>
      </c>
      <c r="W815" s="44">
        <f>IF(Mecze[[#This Row],[Role]]&lt;&gt;"BR",SUMPRODUCT(Mecze[[#This Row],[/PR:90]:[/BR:90]],Brudnopis!$E$27:$J$27),0)</f>
        <v>0.1328125</v>
      </c>
      <c r="X815" s="44">
        <f>IF(Mecze[[#This Row],[Role]]&lt;&gt;"BR",SUMPRODUCT(Mecze[[#This Row],[/PR:90]:[/BR:90]],Brudnopis!$E$28:$J$28),0)</f>
        <v>3.125E-2</v>
      </c>
      <c r="Y815" s="35">
        <f>IF(Mecze[[#This Row],[Role]]="BR",Mecze[[#This Row],[/OB:90]]+Mecze[[#This Row],[/PC:90]],SUM(Mecze[[#This Row],[/PR:90]:[/BR:90]]))</f>
        <v>0.14583333333333334</v>
      </c>
      <c r="Z815" s="35">
        <f>IF(Mecze[[#This Row],[KC]]=0,SUM(Mecze[[#This Row],[/BRI]:[/NPI]]),SUM(Mecze[[#This Row],[/BRI]:[/NPI]])*0.6)</f>
        <v>0.62239583333333337</v>
      </c>
      <c r="AA815" s="10">
        <f>IFERROR(Mecze[[#This Row],[BR]]/Mecze[[#This Row],[ST]],0)</f>
        <v>0</v>
      </c>
      <c r="AB815">
        <f>ROUND(Mecze[[#This Row],[PD]]*Mecze[[#This Row],[%PC]],0)</f>
        <v>3</v>
      </c>
      <c r="AC815">
        <f>ROUND(Mecze[[#This Row],[OD]]*Mecze[[#This Row],[%OU]],0)</f>
        <v>1</v>
      </c>
      <c r="AD815" s="36" t="s">
        <v>167</v>
      </c>
      <c r="AE815" s="36">
        <v>46</v>
      </c>
      <c r="AF815" s="71">
        <v>4.8</v>
      </c>
      <c r="AG815" s="37">
        <v>0</v>
      </c>
      <c r="AH815" s="37">
        <v>0</v>
      </c>
      <c r="AI815" s="37">
        <v>96</v>
      </c>
      <c r="AJ815" s="37">
        <v>1</v>
      </c>
      <c r="AK815" s="37" t="str">
        <f>VLOOKUP(Mecze[[#This Row],[Match ID]],Meczusie[Mecz]:Meczusie[RodzajMeczu],2,FALSE)</f>
        <v>Towarzyski</v>
      </c>
    </row>
    <row r="816" spans="1:37" x14ac:dyDescent="0.25">
      <c r="A816" s="76">
        <v>33</v>
      </c>
      <c r="B816" s="3" t="s">
        <v>362</v>
      </c>
      <c r="C816" s="2" t="s">
        <v>160</v>
      </c>
      <c r="D816" s="1">
        <v>0</v>
      </c>
      <c r="E816" s="1">
        <v>0</v>
      </c>
      <c r="F816" s="1">
        <v>0</v>
      </c>
      <c r="G816" s="1">
        <v>12</v>
      </c>
      <c r="H816" s="4">
        <v>0.57999999999999996</v>
      </c>
      <c r="I816" s="1">
        <v>8</v>
      </c>
      <c r="J816" s="4">
        <v>0.25</v>
      </c>
      <c r="K816" s="1">
        <v>0</v>
      </c>
      <c r="L816" s="1">
        <v>11</v>
      </c>
      <c r="M816" s="32">
        <f>IF(Mecze[[#This Row],[PR]]=0,0,Mecze[[#This Row],[PR]]/Mecze[[#This Row],[CZAS]])</f>
        <v>0.11458333333333333</v>
      </c>
      <c r="N816" s="32">
        <f>IF(Mecze[[#This Row],[OU]]=0,0,Mecze[[#This Row],[OU]]/Mecze[[#This Row],[CZAS]])</f>
        <v>2.0833333333333332E-2</v>
      </c>
      <c r="O816" s="32">
        <f>IF(Mecze[[#This Row],[PC]]=0,0,Mecze[[#This Row],[PC]]/Mecze[[#This Row],[CZAS]])</f>
        <v>7.2916666666666671E-2</v>
      </c>
      <c r="P816" s="32">
        <f>IF(Mecze[[#This Row],[SC]]=0,0,Mecze[[#This Row],[SC]]/Mecze[[#This Row],[CZAS]])</f>
        <v>0</v>
      </c>
      <c r="Q816" s="32">
        <f>IF(Mecze[[#This Row],[OB]]=0,0,Mecze[[#This Row],[OB]]/Mecze[[#This Row],[CZAS]])</f>
        <v>0</v>
      </c>
      <c r="R816" s="32">
        <f>IF(Mecze[[#This Row],[BR]]=0,0,Mecze[[#This Row],[BR]]/Mecze[[#This Row],[CZAS]])</f>
        <v>0</v>
      </c>
      <c r="S816" s="44">
        <f>IF(Mecze[[#This Row],[Role]]="BR",SUMPRODUCT(Mecze[[#This Row],[/PR:90]:[/BR:90]],Brudnopis!$E$23:$J$23),0)</f>
        <v>0</v>
      </c>
      <c r="T816" s="44">
        <f>IF(Mecze[[#This Row],[Role]]&lt;&gt;"BR",SUMPRODUCT(Mecze[[#This Row],[/PR:90]:[/BR:90]],Brudnopis!$E$24:$J$24),0)</f>
        <v>0.21875</v>
      </c>
      <c r="U816" s="44">
        <f>IF(Mecze[[#This Row],[Role]]&lt;&gt;"BR",SUMPRODUCT(Mecze[[#This Row],[/PR:90]:[/BR:90]],Brudnopis!$E$25:$J$25),0)</f>
        <v>0.24479166666666666</v>
      </c>
      <c r="V816" s="44">
        <f>IF(Mecze[[#This Row],[Role]]&lt;&gt;"BR",SUMPRODUCT(Mecze[[#This Row],[/PR:90]:[/BR:90]],Brudnopis!$E$26:$J$26),0)</f>
        <v>0.20833333333333331</v>
      </c>
      <c r="W816" s="44">
        <f>IF(Mecze[[#This Row],[Role]]&lt;&gt;"BR",SUMPRODUCT(Mecze[[#This Row],[/PR:90]:[/BR:90]],Brudnopis!$E$27:$J$27),0)</f>
        <v>0.2109375</v>
      </c>
      <c r="X816" s="44">
        <f>IF(Mecze[[#This Row],[Role]]&lt;&gt;"BR",SUMPRODUCT(Mecze[[#This Row],[/PR:90]:[/BR:90]],Brudnopis!$E$28:$J$28),0)</f>
        <v>7.2916666666666671E-2</v>
      </c>
      <c r="Y816" s="35">
        <f>IF(Mecze[[#This Row],[Role]]="BR",Mecze[[#This Row],[/OB:90]]+Mecze[[#This Row],[/PC:90]],SUM(Mecze[[#This Row],[/PR:90]:[/BR:90]]))</f>
        <v>0.20833333333333331</v>
      </c>
      <c r="Z816" s="35">
        <f>IF(Mecze[[#This Row],[KC]]=0,SUM(Mecze[[#This Row],[/BRI]:[/NPI]]),SUM(Mecze[[#This Row],[/BRI]:[/NPI]])*0.6)</f>
        <v>0.95572916666666663</v>
      </c>
      <c r="AA816" s="10">
        <f>IFERROR(Mecze[[#This Row],[BR]]/Mecze[[#This Row],[ST]],0)</f>
        <v>0</v>
      </c>
      <c r="AB816">
        <f>ROUND(Mecze[[#This Row],[PD]]*Mecze[[#This Row],[%PC]],0)</f>
        <v>7</v>
      </c>
      <c r="AC816">
        <f>ROUND(Mecze[[#This Row],[OD]]*Mecze[[#This Row],[%OU]],0)</f>
        <v>2</v>
      </c>
      <c r="AD816" s="36" t="s">
        <v>41</v>
      </c>
      <c r="AE816" s="36">
        <v>46</v>
      </c>
      <c r="AF816" s="71">
        <v>5.1100000000000003</v>
      </c>
      <c r="AG816" s="37">
        <v>1</v>
      </c>
      <c r="AH816" s="37">
        <v>0</v>
      </c>
      <c r="AI816" s="37">
        <v>96</v>
      </c>
      <c r="AJ816" s="37">
        <v>1</v>
      </c>
      <c r="AK816" s="37" t="str">
        <f>VLOOKUP(Mecze[[#This Row],[Match ID]],Meczusie[Mecz]:Meczusie[RodzajMeczu],2,FALSE)</f>
        <v>Towarzyski</v>
      </c>
    </row>
    <row r="817" spans="1:37" x14ac:dyDescent="0.25">
      <c r="A817" s="76">
        <v>22</v>
      </c>
      <c r="B817" s="3" t="s">
        <v>363</v>
      </c>
      <c r="C817" s="2" t="s">
        <v>160</v>
      </c>
      <c r="D817" s="1">
        <v>0</v>
      </c>
      <c r="E817" s="1">
        <v>0</v>
      </c>
      <c r="F817" s="1">
        <v>0</v>
      </c>
      <c r="G817" s="1">
        <v>14</v>
      </c>
      <c r="H817" s="4">
        <v>0.64</v>
      </c>
      <c r="I817" s="1">
        <v>4</v>
      </c>
      <c r="J817" s="4">
        <v>0.75</v>
      </c>
      <c r="K817" s="1">
        <v>0</v>
      </c>
      <c r="L817" s="1">
        <v>11</v>
      </c>
      <c r="M817" s="32">
        <f>IF(Mecze[[#This Row],[PR]]=0,0,Mecze[[#This Row],[PR]]/Mecze[[#This Row],[CZAS]])</f>
        <v>0.11458333333333333</v>
      </c>
      <c r="N817" s="32">
        <f>IF(Mecze[[#This Row],[OU]]=0,0,Mecze[[#This Row],[OU]]/Mecze[[#This Row],[CZAS]])</f>
        <v>3.125E-2</v>
      </c>
      <c r="O817" s="32">
        <f>IF(Mecze[[#This Row],[PC]]=0,0,Mecze[[#This Row],[PC]]/Mecze[[#This Row],[CZAS]])</f>
        <v>9.375E-2</v>
      </c>
      <c r="P817" s="32">
        <f>IF(Mecze[[#This Row],[SC]]=0,0,Mecze[[#This Row],[SC]]/Mecze[[#This Row],[CZAS]])</f>
        <v>0</v>
      </c>
      <c r="Q817" s="32">
        <f>IF(Mecze[[#This Row],[OB]]=0,0,Mecze[[#This Row],[OB]]/Mecze[[#This Row],[CZAS]])</f>
        <v>0</v>
      </c>
      <c r="R817" s="32">
        <f>IF(Mecze[[#This Row],[BR]]=0,0,Mecze[[#This Row],[BR]]/Mecze[[#This Row],[CZAS]])</f>
        <v>0</v>
      </c>
      <c r="S817" s="44">
        <f>IF(Mecze[[#This Row],[Role]]="BR",SUMPRODUCT(Mecze[[#This Row],[/PR:90]:[/BR:90]],Brudnopis!$E$23:$J$23),0)</f>
        <v>0</v>
      </c>
      <c r="T817" s="44">
        <f>IF(Mecze[[#This Row],[Role]]&lt;&gt;"BR",SUMPRODUCT(Mecze[[#This Row],[/PR:90]:[/BR:90]],Brudnopis!$E$24:$J$24),0)</f>
        <v>0.25520833333333331</v>
      </c>
      <c r="U817" s="44">
        <f>IF(Mecze[[#This Row],[Role]]&lt;&gt;"BR",SUMPRODUCT(Mecze[[#This Row],[/PR:90]:[/BR:90]],Brudnopis!$E$25:$J$25),0)</f>
        <v>0.28645833333333331</v>
      </c>
      <c r="V817" s="44">
        <f>IF(Mecze[[#This Row],[Role]]&lt;&gt;"BR",SUMPRODUCT(Mecze[[#This Row],[/PR:90]:[/BR:90]],Brudnopis!$E$26:$J$26),0)</f>
        <v>0.23958333333333331</v>
      </c>
      <c r="W817" s="44">
        <f>IF(Mecze[[#This Row],[Role]]&lt;&gt;"BR",SUMPRODUCT(Mecze[[#This Row],[/PR:90]:[/BR:90]],Brudnopis!$E$27:$J$27),0)</f>
        <v>0.25</v>
      </c>
      <c r="X817" s="44">
        <f>IF(Mecze[[#This Row],[Role]]&lt;&gt;"BR",SUMPRODUCT(Mecze[[#This Row],[/PR:90]:[/BR:90]],Brudnopis!$E$28:$J$28),0)</f>
        <v>9.375E-2</v>
      </c>
      <c r="Y817" s="35">
        <f>IF(Mecze[[#This Row],[Role]]="BR",Mecze[[#This Row],[/OB:90]]+Mecze[[#This Row],[/PC:90]],SUM(Mecze[[#This Row],[/PR:90]:[/BR:90]]))</f>
        <v>0.23958333333333331</v>
      </c>
      <c r="Z817" s="35">
        <f>IF(Mecze[[#This Row],[KC]]=0,SUM(Mecze[[#This Row],[/BRI]:[/NPI]]),SUM(Mecze[[#This Row],[/BRI]:[/NPI]])*0.6)</f>
        <v>1.125</v>
      </c>
      <c r="AA817" s="10">
        <f>IFERROR(Mecze[[#This Row],[BR]]/Mecze[[#This Row],[ST]],0)</f>
        <v>0</v>
      </c>
      <c r="AB817">
        <f>ROUND(Mecze[[#This Row],[PD]]*Mecze[[#This Row],[%PC]],0)</f>
        <v>9</v>
      </c>
      <c r="AC817">
        <f>ROUND(Mecze[[#This Row],[OD]]*Mecze[[#This Row],[%OU]],0)</f>
        <v>3</v>
      </c>
      <c r="AD817" s="36" t="s">
        <v>41</v>
      </c>
      <c r="AE817" s="36">
        <v>46</v>
      </c>
      <c r="AF817" s="71">
        <v>6.22</v>
      </c>
      <c r="AG817" s="37">
        <v>0</v>
      </c>
      <c r="AH817" s="37">
        <v>0</v>
      </c>
      <c r="AI817" s="37">
        <v>96</v>
      </c>
      <c r="AJ817" s="37">
        <v>1</v>
      </c>
      <c r="AK817" s="37" t="str">
        <f>VLOOKUP(Mecze[[#This Row],[Match ID]],Meczusie[Mecz]:Meczusie[RodzajMeczu],2,FALSE)</f>
        <v>Towarzyski</v>
      </c>
    </row>
    <row r="818" spans="1:37" x14ac:dyDescent="0.25">
      <c r="A818" s="76">
        <v>27</v>
      </c>
      <c r="B818" s="3" t="s">
        <v>364</v>
      </c>
      <c r="C818" s="2" t="s">
        <v>160</v>
      </c>
      <c r="D818" s="1">
        <v>0</v>
      </c>
      <c r="E818" s="1">
        <v>0</v>
      </c>
      <c r="F818" s="1">
        <v>0</v>
      </c>
      <c r="G818" s="1">
        <v>6</v>
      </c>
      <c r="H818" s="4">
        <v>0.17</v>
      </c>
      <c r="I818" s="1">
        <v>1</v>
      </c>
      <c r="J818" s="4">
        <v>0</v>
      </c>
      <c r="K818" s="1">
        <v>0</v>
      </c>
      <c r="L818" s="1">
        <v>0</v>
      </c>
      <c r="M818" s="32">
        <f>IF(Mecze[[#This Row],[PR]]=0,0,Mecze[[#This Row],[PR]]/Mecze[[#This Row],[CZAS]])</f>
        <v>0</v>
      </c>
      <c r="N818" s="32">
        <f>IF(Mecze[[#This Row],[OU]]=0,0,Mecze[[#This Row],[OU]]/Mecze[[#This Row],[CZAS]])</f>
        <v>0</v>
      </c>
      <c r="O818" s="32">
        <f>IF(Mecze[[#This Row],[PC]]=0,0,Mecze[[#This Row],[PC]]/Mecze[[#This Row],[CZAS]])</f>
        <v>1.0416666666666666E-2</v>
      </c>
      <c r="P818" s="32">
        <f>IF(Mecze[[#This Row],[SC]]=0,0,Mecze[[#This Row],[SC]]/Mecze[[#This Row],[CZAS]])</f>
        <v>0</v>
      </c>
      <c r="Q818" s="32">
        <f>IF(Mecze[[#This Row],[OB]]=0,0,Mecze[[#This Row],[OB]]/Mecze[[#This Row],[CZAS]])</f>
        <v>0</v>
      </c>
      <c r="R818" s="32">
        <f>IF(Mecze[[#This Row],[BR]]=0,0,Mecze[[#This Row],[BR]]/Mecze[[#This Row],[CZAS]])</f>
        <v>0</v>
      </c>
      <c r="S818" s="44">
        <f>IF(Mecze[[#This Row],[Role]]="BR",SUMPRODUCT(Mecze[[#This Row],[/PR:90]:[/BR:90]],Brudnopis!$E$23:$J$23),0)</f>
        <v>0</v>
      </c>
      <c r="T818" s="44">
        <f>IF(Mecze[[#This Row],[Role]]&lt;&gt;"BR",SUMPRODUCT(Mecze[[#This Row],[/PR:90]:[/BR:90]],Brudnopis!$E$24:$J$24),0)</f>
        <v>1.0416666666666666E-2</v>
      </c>
      <c r="U818" s="44">
        <f>IF(Mecze[[#This Row],[Role]]&lt;&gt;"BR",SUMPRODUCT(Mecze[[#This Row],[/PR:90]:[/BR:90]],Brudnopis!$E$25:$J$25),0)</f>
        <v>1.5625E-2</v>
      </c>
      <c r="V818" s="44">
        <f>IF(Mecze[[#This Row],[Role]]&lt;&gt;"BR",SUMPRODUCT(Mecze[[#This Row],[/PR:90]:[/BR:90]],Brudnopis!$E$26:$J$26),0)</f>
        <v>1.0416666666666666E-2</v>
      </c>
      <c r="W818" s="44">
        <f>IF(Mecze[[#This Row],[Role]]&lt;&gt;"BR",SUMPRODUCT(Mecze[[#This Row],[/PR:90]:[/BR:90]],Brudnopis!$E$27:$J$27),0)</f>
        <v>1.5625E-2</v>
      </c>
      <c r="X818" s="44">
        <f>IF(Mecze[[#This Row],[Role]]&lt;&gt;"BR",SUMPRODUCT(Mecze[[#This Row],[/PR:90]:[/BR:90]],Brudnopis!$E$28:$J$28),0)</f>
        <v>1.0416666666666666E-2</v>
      </c>
      <c r="Y818" s="35">
        <f>IF(Mecze[[#This Row],[Role]]="BR",Mecze[[#This Row],[/OB:90]]+Mecze[[#This Row],[/PC:90]],SUM(Mecze[[#This Row],[/PR:90]:[/BR:90]]))</f>
        <v>1.0416666666666666E-2</v>
      </c>
      <c r="Z818" s="35">
        <f>IF(Mecze[[#This Row],[KC]]=0,SUM(Mecze[[#This Row],[/BRI]:[/NPI]]),SUM(Mecze[[#This Row],[/BRI]:[/NPI]])*0.6)</f>
        <v>6.2499999999999993E-2</v>
      </c>
      <c r="AA818" s="10">
        <f>IFERROR(Mecze[[#This Row],[BR]]/Mecze[[#This Row],[ST]],0)</f>
        <v>0</v>
      </c>
      <c r="AB818">
        <f>ROUND(Mecze[[#This Row],[PD]]*Mecze[[#This Row],[%PC]],0)</f>
        <v>1</v>
      </c>
      <c r="AC818">
        <f>ROUND(Mecze[[#This Row],[OD]]*Mecze[[#This Row],[%OU]],0)</f>
        <v>0</v>
      </c>
      <c r="AD818" s="36" t="s">
        <v>44</v>
      </c>
      <c r="AE818" s="36">
        <v>46</v>
      </c>
      <c r="AF818" s="71">
        <v>2.7</v>
      </c>
      <c r="AG818" s="37">
        <v>0</v>
      </c>
      <c r="AH818" s="37">
        <v>0</v>
      </c>
      <c r="AI818" s="37">
        <v>96</v>
      </c>
      <c r="AJ818" s="37">
        <v>1</v>
      </c>
      <c r="AK818" s="37" t="str">
        <f>VLOOKUP(Mecze[[#This Row],[Match ID]],Meczusie[Mecz]:Meczusie[RodzajMeczu],2,FALSE)</f>
        <v>Towarzyski</v>
      </c>
    </row>
    <row r="819" spans="1:37" x14ac:dyDescent="0.25">
      <c r="A819" s="76">
        <v>28</v>
      </c>
      <c r="B819" s="3" t="s">
        <v>419</v>
      </c>
      <c r="C819" s="2" t="s">
        <v>160</v>
      </c>
      <c r="D819" s="1">
        <v>0</v>
      </c>
      <c r="E819" s="1">
        <v>0</v>
      </c>
      <c r="F819" s="1">
        <v>0</v>
      </c>
      <c r="G819" s="1">
        <v>8</v>
      </c>
      <c r="H819" s="4">
        <v>0.38</v>
      </c>
      <c r="I819" s="1">
        <v>1</v>
      </c>
      <c r="J819" s="4">
        <v>0</v>
      </c>
      <c r="K819" s="1">
        <v>0</v>
      </c>
      <c r="L819" s="1">
        <v>3</v>
      </c>
      <c r="M819" s="32">
        <f>IF(Mecze[[#This Row],[PR]]=0,0,Mecze[[#This Row],[PR]]/Mecze[[#This Row],[CZAS]])</f>
        <v>3.125E-2</v>
      </c>
      <c r="N819" s="32">
        <f>IF(Mecze[[#This Row],[OU]]=0,0,Mecze[[#This Row],[OU]]/Mecze[[#This Row],[CZAS]])</f>
        <v>0</v>
      </c>
      <c r="O819" s="32">
        <f>IF(Mecze[[#This Row],[PC]]=0,0,Mecze[[#This Row],[PC]]/Mecze[[#This Row],[CZAS]])</f>
        <v>3.125E-2</v>
      </c>
      <c r="P819" s="32">
        <f>IF(Mecze[[#This Row],[SC]]=0,0,Mecze[[#This Row],[SC]]/Mecze[[#This Row],[CZAS]])</f>
        <v>0</v>
      </c>
      <c r="Q819" s="32">
        <f>IF(Mecze[[#This Row],[OB]]=0,0,Mecze[[#This Row],[OB]]/Mecze[[#This Row],[CZAS]])</f>
        <v>0</v>
      </c>
      <c r="R819" s="32">
        <f>IF(Mecze[[#This Row],[BR]]=0,0,Mecze[[#This Row],[BR]]/Mecze[[#This Row],[CZAS]])</f>
        <v>0</v>
      </c>
      <c r="S819" s="44">
        <f>IF(Mecze[[#This Row],[Role]]="BR",SUMPRODUCT(Mecze[[#This Row],[/PR:90]:[/BR:90]],Brudnopis!$E$23:$J$23),0)</f>
        <v>0</v>
      </c>
      <c r="T819" s="44">
        <f>IF(Mecze[[#This Row],[Role]]&lt;&gt;"BR",SUMPRODUCT(Mecze[[#This Row],[/PR:90]:[/BR:90]],Brudnopis!$E$24:$J$24),0)</f>
        <v>6.25E-2</v>
      </c>
      <c r="U819" s="44">
        <f>IF(Mecze[[#This Row],[Role]]&lt;&gt;"BR",SUMPRODUCT(Mecze[[#This Row],[/PR:90]:[/BR:90]],Brudnopis!$E$25:$J$25),0)</f>
        <v>7.8125E-2</v>
      </c>
      <c r="V819" s="44">
        <f>IF(Mecze[[#This Row],[Role]]&lt;&gt;"BR",SUMPRODUCT(Mecze[[#This Row],[/PR:90]:[/BR:90]],Brudnopis!$E$26:$J$26),0)</f>
        <v>6.25E-2</v>
      </c>
      <c r="W819" s="44">
        <f>IF(Mecze[[#This Row],[Role]]&lt;&gt;"BR",SUMPRODUCT(Mecze[[#This Row],[/PR:90]:[/BR:90]],Brudnopis!$E$27:$J$27),0)</f>
        <v>7.03125E-2</v>
      </c>
      <c r="X819" s="44">
        <f>IF(Mecze[[#This Row],[Role]]&lt;&gt;"BR",SUMPRODUCT(Mecze[[#This Row],[/PR:90]:[/BR:90]],Brudnopis!$E$28:$J$28),0)</f>
        <v>3.125E-2</v>
      </c>
      <c r="Y819" s="35">
        <f>IF(Mecze[[#This Row],[Role]]="BR",Mecze[[#This Row],[/OB:90]]+Mecze[[#This Row],[/PC:90]],SUM(Mecze[[#This Row],[/PR:90]:[/BR:90]]))</f>
        <v>6.25E-2</v>
      </c>
      <c r="Z819" s="35">
        <f>IF(Mecze[[#This Row],[KC]]=0,SUM(Mecze[[#This Row],[/BRI]:[/NPI]]),SUM(Mecze[[#This Row],[/BRI]:[/NPI]])*0.6)</f>
        <v>0.3046875</v>
      </c>
      <c r="AA819" s="10">
        <f>IFERROR(Mecze[[#This Row],[BR]]/Mecze[[#This Row],[ST]],0)</f>
        <v>0</v>
      </c>
      <c r="AB819">
        <f>ROUND(Mecze[[#This Row],[PD]]*Mecze[[#This Row],[%PC]],0)</f>
        <v>3</v>
      </c>
      <c r="AC819">
        <f>ROUND(Mecze[[#This Row],[OD]]*Mecze[[#This Row],[%OU]],0)</f>
        <v>0</v>
      </c>
      <c r="AD819" s="36" t="s">
        <v>44</v>
      </c>
      <c r="AE819" s="36">
        <v>46</v>
      </c>
      <c r="AF819" s="71">
        <v>3.33</v>
      </c>
      <c r="AG819" s="37">
        <v>0</v>
      </c>
      <c r="AH819" s="37">
        <v>0</v>
      </c>
      <c r="AI819" s="37">
        <v>96</v>
      </c>
      <c r="AJ819" s="37">
        <v>1</v>
      </c>
      <c r="AK819" s="37" t="str">
        <f>VLOOKUP(Mecze[[#This Row],[Match ID]],Meczusie[Mecz]:Meczusie[RodzajMeczu],2,FALSE)</f>
        <v>Towarzyski</v>
      </c>
    </row>
    <row r="820" spans="1:37" x14ac:dyDescent="0.25">
      <c r="A820" s="76">
        <v>53</v>
      </c>
      <c r="B820" s="3" t="s">
        <v>415</v>
      </c>
      <c r="C820" s="2" t="s">
        <v>165</v>
      </c>
      <c r="D820" s="1">
        <v>0</v>
      </c>
      <c r="E820" s="1">
        <v>1</v>
      </c>
      <c r="F820" s="1">
        <v>1</v>
      </c>
      <c r="G820" s="1">
        <v>10</v>
      </c>
      <c r="H820" s="4">
        <v>0.4</v>
      </c>
      <c r="I820" s="1">
        <v>3</v>
      </c>
      <c r="J820" s="4">
        <v>0</v>
      </c>
      <c r="K820" s="1">
        <v>0</v>
      </c>
      <c r="L820" s="1">
        <v>0</v>
      </c>
      <c r="M820" s="32">
        <f>IF(Mecze[[#This Row],[PR]]=0,0,Mecze[[#This Row],[PR]]/Mecze[[#This Row],[CZAS]])</f>
        <v>0</v>
      </c>
      <c r="N820" s="32">
        <f>IF(Mecze[[#This Row],[OU]]=0,0,Mecze[[#This Row],[OU]]/Mecze[[#This Row],[CZAS]])</f>
        <v>0</v>
      </c>
      <c r="O820" s="32">
        <f>IF(Mecze[[#This Row],[PC]]=0,0,Mecze[[#This Row],[PC]]/Mecze[[#This Row],[CZAS]])</f>
        <v>4.1666666666666664E-2</v>
      </c>
      <c r="P820" s="32">
        <f>IF(Mecze[[#This Row],[SC]]=0,0,Mecze[[#This Row],[SC]]/Mecze[[#This Row],[CZAS]])</f>
        <v>1.0416666666666666E-2</v>
      </c>
      <c r="Q820" s="32">
        <f>IF(Mecze[[#This Row],[OB]]=0,0,Mecze[[#This Row],[OB]]/Mecze[[#This Row],[CZAS]])</f>
        <v>0</v>
      </c>
      <c r="R820" s="32">
        <f>IF(Mecze[[#This Row],[BR]]=0,0,Mecze[[#This Row],[BR]]/Mecze[[#This Row],[CZAS]])</f>
        <v>0</v>
      </c>
      <c r="S820" s="44">
        <f>IF(Mecze[[#This Row],[Role]]="BR",SUMPRODUCT(Mecze[[#This Row],[/PR:90]:[/BR:90]],Brudnopis!$E$23:$J$23),0)</f>
        <v>0</v>
      </c>
      <c r="T820" s="44">
        <f>IF(Mecze[[#This Row],[Role]]&lt;&gt;"BR",SUMPRODUCT(Mecze[[#This Row],[/PR:90]:[/BR:90]],Brudnopis!$E$24:$J$24),0)</f>
        <v>5.2083333333333329E-2</v>
      </c>
      <c r="U820" s="44">
        <f>IF(Mecze[[#This Row],[Role]]&lt;&gt;"BR",SUMPRODUCT(Mecze[[#This Row],[/PR:90]:[/BR:90]],Brudnopis!$E$25:$J$25),0)</f>
        <v>7.2916666666666671E-2</v>
      </c>
      <c r="V820" s="44">
        <f>IF(Mecze[[#This Row],[Role]]&lt;&gt;"BR",SUMPRODUCT(Mecze[[#This Row],[/PR:90]:[/BR:90]],Brudnopis!$E$26:$J$26),0)</f>
        <v>5.2083333333333329E-2</v>
      </c>
      <c r="W820" s="44">
        <f>IF(Mecze[[#This Row],[Role]]&lt;&gt;"BR",SUMPRODUCT(Mecze[[#This Row],[/PR:90]:[/BR:90]],Brudnopis!$E$27:$J$27),0)</f>
        <v>7.2916666666666671E-2</v>
      </c>
      <c r="X820" s="44">
        <f>IF(Mecze[[#This Row],[Role]]&lt;&gt;"BR",SUMPRODUCT(Mecze[[#This Row],[/PR:90]:[/BR:90]],Brudnopis!$E$28:$J$28),0)</f>
        <v>6.25E-2</v>
      </c>
      <c r="Y820" s="35">
        <f>IF(Mecze[[#This Row],[Role]]="BR",Mecze[[#This Row],[/OB:90]]+Mecze[[#This Row],[/PC:90]],SUM(Mecze[[#This Row],[/PR:90]:[/BR:90]]))</f>
        <v>5.2083333333333329E-2</v>
      </c>
      <c r="Z820" s="35">
        <f>IF(Mecze[[#This Row],[KC]]=0,SUM(Mecze[[#This Row],[/BRI]:[/NPI]]),SUM(Mecze[[#This Row],[/BRI]:[/NPI]])*0.6)</f>
        <v>0.3125</v>
      </c>
      <c r="AA820" s="10">
        <f>IFERROR(Mecze[[#This Row],[BR]]/Mecze[[#This Row],[ST]],0)</f>
        <v>0</v>
      </c>
      <c r="AB820">
        <f>ROUND(Mecze[[#This Row],[PD]]*Mecze[[#This Row],[%PC]],0)</f>
        <v>4</v>
      </c>
      <c r="AC820">
        <f>ROUND(Mecze[[#This Row],[OD]]*Mecze[[#This Row],[%OU]],0)</f>
        <v>0</v>
      </c>
      <c r="AD820" s="36" t="s">
        <v>46</v>
      </c>
      <c r="AE820" s="36">
        <v>46</v>
      </c>
      <c r="AF820" s="71">
        <v>2.93</v>
      </c>
      <c r="AG820" s="37">
        <v>0</v>
      </c>
      <c r="AH820" s="37">
        <v>0</v>
      </c>
      <c r="AI820" s="37">
        <v>96</v>
      </c>
      <c r="AJ820" s="37">
        <v>1</v>
      </c>
      <c r="AK820" s="37" t="str">
        <f>VLOOKUP(Mecze[[#This Row],[Match ID]],Meczusie[Mecz]:Meczusie[RodzajMeczu],2,FALSE)</f>
        <v>Towarzyski</v>
      </c>
    </row>
    <row r="821" spans="1:37" x14ac:dyDescent="0.25">
      <c r="A821" s="76">
        <v>26</v>
      </c>
      <c r="B821" s="3" t="s">
        <v>368</v>
      </c>
      <c r="C821" s="2" t="s">
        <v>165</v>
      </c>
      <c r="D821" s="1">
        <v>1</v>
      </c>
      <c r="E821" s="1">
        <v>4</v>
      </c>
      <c r="F821" s="1">
        <v>4</v>
      </c>
      <c r="G821" s="1">
        <v>6</v>
      </c>
      <c r="H821" s="4">
        <v>0.5</v>
      </c>
      <c r="I821" s="1">
        <v>2</v>
      </c>
      <c r="J821" s="4">
        <v>0</v>
      </c>
      <c r="K821" s="1">
        <v>0</v>
      </c>
      <c r="L821" s="1">
        <v>1</v>
      </c>
      <c r="M821" s="32">
        <f>IF(Mecze[[#This Row],[PR]]=0,0,Mecze[[#This Row],[PR]]/Mecze[[#This Row],[CZAS]])</f>
        <v>1.0416666666666666E-2</v>
      </c>
      <c r="N821" s="32">
        <f>IF(Mecze[[#This Row],[OU]]=0,0,Mecze[[#This Row],[OU]]/Mecze[[#This Row],[CZAS]])</f>
        <v>0</v>
      </c>
      <c r="O821" s="32">
        <f>IF(Mecze[[#This Row],[PC]]=0,0,Mecze[[#This Row],[PC]]/Mecze[[#This Row],[CZAS]])</f>
        <v>3.125E-2</v>
      </c>
      <c r="P821" s="32">
        <f>IF(Mecze[[#This Row],[SC]]=0,0,Mecze[[#This Row],[SC]]/Mecze[[#This Row],[CZAS]])</f>
        <v>4.1666666666666664E-2</v>
      </c>
      <c r="Q821" s="32">
        <f>IF(Mecze[[#This Row],[OB]]=0,0,Mecze[[#This Row],[OB]]/Mecze[[#This Row],[CZAS]])</f>
        <v>0</v>
      </c>
      <c r="R821" s="32">
        <f>IF(Mecze[[#This Row],[BR]]=0,0,Mecze[[#This Row],[BR]]/Mecze[[#This Row],[CZAS]])</f>
        <v>1.0416666666666666E-2</v>
      </c>
      <c r="S821" s="44">
        <f>IF(Mecze[[#This Row],[Role]]="BR",SUMPRODUCT(Mecze[[#This Row],[/PR:90]:[/BR:90]],Brudnopis!$E$23:$J$23),0)</f>
        <v>0</v>
      </c>
      <c r="T821" s="44">
        <f>IF(Mecze[[#This Row],[Role]]&lt;&gt;"BR",SUMPRODUCT(Mecze[[#This Row],[/PR:90]:[/BR:90]],Brudnopis!$E$24:$J$24),0)</f>
        <v>9.8958333333333329E-2</v>
      </c>
      <c r="U821" s="44">
        <f>IF(Mecze[[#This Row],[Role]]&lt;&gt;"BR",SUMPRODUCT(Mecze[[#This Row],[/PR:90]:[/BR:90]],Brudnopis!$E$25:$J$25),0)</f>
        <v>0.11458333333333333</v>
      </c>
      <c r="V821" s="44">
        <f>IF(Mecze[[#This Row],[Role]]&lt;&gt;"BR",SUMPRODUCT(Mecze[[#This Row],[/PR:90]:[/BR:90]],Brudnopis!$E$26:$J$26),0)</f>
        <v>0.10416666666666666</v>
      </c>
      <c r="W821" s="44">
        <f>IF(Mecze[[#This Row],[Role]]&lt;&gt;"BR",SUMPRODUCT(Mecze[[#This Row],[/PR:90]:[/BR:90]],Brudnopis!$E$27:$J$27),0)</f>
        <v>0.11718749999999999</v>
      </c>
      <c r="X821" s="44">
        <f>IF(Mecze[[#This Row],[Role]]&lt;&gt;"BR",SUMPRODUCT(Mecze[[#This Row],[/PR:90]:[/BR:90]],Brudnopis!$E$28:$J$28),0)</f>
        <v>0.14583333333333331</v>
      </c>
      <c r="Y821" s="35">
        <f>IF(Mecze[[#This Row],[Role]]="BR",Mecze[[#This Row],[/OB:90]]+Mecze[[#This Row],[/PC:90]],SUM(Mecze[[#This Row],[/PR:90]:[/BR:90]]))</f>
        <v>9.375E-2</v>
      </c>
      <c r="Z821" s="35">
        <f>IF(Mecze[[#This Row],[KC]]=0,SUM(Mecze[[#This Row],[/BRI]:[/NPI]]),SUM(Mecze[[#This Row],[/BRI]:[/NPI]])*0.6)</f>
        <v>0.58072916666666663</v>
      </c>
      <c r="AA821" s="10">
        <f>IFERROR(Mecze[[#This Row],[BR]]/Mecze[[#This Row],[ST]],0)</f>
        <v>0.25</v>
      </c>
      <c r="AB821">
        <f>ROUND(Mecze[[#This Row],[PD]]*Mecze[[#This Row],[%PC]],0)</f>
        <v>3</v>
      </c>
      <c r="AC821">
        <f>ROUND(Mecze[[#This Row],[OD]]*Mecze[[#This Row],[%OU]],0)</f>
        <v>0</v>
      </c>
      <c r="AD821" s="36" t="s">
        <v>46</v>
      </c>
      <c r="AE821" s="36">
        <v>46</v>
      </c>
      <c r="AF821" s="71">
        <v>7.22</v>
      </c>
      <c r="AG821" s="37">
        <v>0</v>
      </c>
      <c r="AH821" s="37">
        <v>0</v>
      </c>
      <c r="AI821" s="37">
        <v>96</v>
      </c>
      <c r="AJ821" s="37">
        <v>1</v>
      </c>
      <c r="AK821" s="37" t="str">
        <f>VLOOKUP(Mecze[[#This Row],[Match ID]],Meczusie[Mecz]:Meczusie[RodzajMeczu],2,FALSE)</f>
        <v>Towarzyski</v>
      </c>
    </row>
    <row r="822" spans="1:37" x14ac:dyDescent="0.25">
      <c r="A822" s="76">
        <v>48</v>
      </c>
      <c r="B822" s="3" t="s">
        <v>414</v>
      </c>
      <c r="C822" s="2" t="s">
        <v>165</v>
      </c>
      <c r="D822" s="1">
        <v>0</v>
      </c>
      <c r="E822" s="1">
        <v>2</v>
      </c>
      <c r="F822" s="1">
        <v>2</v>
      </c>
      <c r="G822" s="1">
        <v>4</v>
      </c>
      <c r="H822" s="4">
        <v>0.5</v>
      </c>
      <c r="I822" s="1">
        <v>4</v>
      </c>
      <c r="J822" s="4">
        <v>0.25</v>
      </c>
      <c r="K822" s="1">
        <v>0</v>
      </c>
      <c r="L822" s="1">
        <v>0</v>
      </c>
      <c r="M822" s="32">
        <f>IF(Mecze[[#This Row],[PR]]=0,0,Mecze[[#This Row],[PR]]/Mecze[[#This Row],[CZAS]])</f>
        <v>0</v>
      </c>
      <c r="N822" s="32">
        <f>IF(Mecze[[#This Row],[OU]]=0,0,Mecze[[#This Row],[OU]]/Mecze[[#This Row],[CZAS]])</f>
        <v>1.0416666666666666E-2</v>
      </c>
      <c r="O822" s="32">
        <f>IF(Mecze[[#This Row],[PC]]=0,0,Mecze[[#This Row],[PC]]/Mecze[[#This Row],[CZAS]])</f>
        <v>2.0833333333333332E-2</v>
      </c>
      <c r="P822" s="32">
        <f>IF(Mecze[[#This Row],[SC]]=0,0,Mecze[[#This Row],[SC]]/Mecze[[#This Row],[CZAS]])</f>
        <v>2.0833333333333332E-2</v>
      </c>
      <c r="Q822" s="32">
        <f>IF(Mecze[[#This Row],[OB]]=0,0,Mecze[[#This Row],[OB]]/Mecze[[#This Row],[CZAS]])</f>
        <v>0</v>
      </c>
      <c r="R822" s="32">
        <f>IF(Mecze[[#This Row],[BR]]=0,0,Mecze[[#This Row],[BR]]/Mecze[[#This Row],[CZAS]])</f>
        <v>0</v>
      </c>
      <c r="S822" s="44">
        <f>IF(Mecze[[#This Row],[Role]]="BR",SUMPRODUCT(Mecze[[#This Row],[/PR:90]:[/BR:90]],Brudnopis!$E$23:$J$23),0)</f>
        <v>0</v>
      </c>
      <c r="T822" s="44">
        <f>IF(Mecze[[#This Row],[Role]]&lt;&gt;"BR",SUMPRODUCT(Mecze[[#This Row],[/PR:90]:[/BR:90]],Brudnopis!$E$24:$J$24),0)</f>
        <v>5.7291666666666657E-2</v>
      </c>
      <c r="U822" s="44">
        <f>IF(Mecze[[#This Row],[Role]]&lt;&gt;"BR",SUMPRODUCT(Mecze[[#This Row],[/PR:90]:[/BR:90]],Brudnopis!$E$25:$J$25),0)</f>
        <v>6.25E-2</v>
      </c>
      <c r="V822" s="44">
        <f>IF(Mecze[[#This Row],[Role]]&lt;&gt;"BR",SUMPRODUCT(Mecze[[#This Row],[/PR:90]:[/BR:90]],Brudnopis!$E$26:$J$26),0)</f>
        <v>5.2083333333333329E-2</v>
      </c>
      <c r="W822" s="44">
        <f>IF(Mecze[[#This Row],[Role]]&lt;&gt;"BR",SUMPRODUCT(Mecze[[#This Row],[/PR:90]:[/BR:90]],Brudnopis!$E$27:$J$27),0)</f>
        <v>5.9895833333333329E-2</v>
      </c>
      <c r="X822" s="44">
        <f>IF(Mecze[[#This Row],[Role]]&lt;&gt;"BR",SUMPRODUCT(Mecze[[#This Row],[/PR:90]:[/BR:90]],Brudnopis!$E$28:$J$28),0)</f>
        <v>6.25E-2</v>
      </c>
      <c r="Y822" s="35">
        <f>IF(Mecze[[#This Row],[Role]]="BR",Mecze[[#This Row],[/OB:90]]+Mecze[[#This Row],[/PC:90]],SUM(Mecze[[#This Row],[/PR:90]:[/BR:90]]))</f>
        <v>5.2083333333333329E-2</v>
      </c>
      <c r="Z822" s="35">
        <f>IF(Mecze[[#This Row],[KC]]=0,SUM(Mecze[[#This Row],[/BRI]:[/NPI]]),SUM(Mecze[[#This Row],[/BRI]:[/NPI]])*0.6)</f>
        <v>0.29427083333333331</v>
      </c>
      <c r="AA822" s="10">
        <f>IFERROR(Mecze[[#This Row],[BR]]/Mecze[[#This Row],[ST]],0)</f>
        <v>0</v>
      </c>
      <c r="AB822">
        <f>ROUND(Mecze[[#This Row],[PD]]*Mecze[[#This Row],[%PC]],0)</f>
        <v>2</v>
      </c>
      <c r="AC822">
        <f>ROUND(Mecze[[#This Row],[OD]]*Mecze[[#This Row],[%OU]],0)</f>
        <v>1</v>
      </c>
      <c r="AD822" s="36" t="s">
        <v>272</v>
      </c>
      <c r="AE822" s="36">
        <v>46</v>
      </c>
      <c r="AF822" s="71">
        <v>3.15</v>
      </c>
      <c r="AG822" s="37">
        <v>0</v>
      </c>
      <c r="AH822" s="37">
        <v>0</v>
      </c>
      <c r="AI822" s="37">
        <v>96</v>
      </c>
      <c r="AJ822" s="37">
        <v>1</v>
      </c>
      <c r="AK822" s="37" t="str">
        <f>VLOOKUP(Mecze[[#This Row],[Match ID]],Meczusie[Mecz]:Meczusie[RodzajMeczu],2,FALSE)</f>
        <v>Towarzyski</v>
      </c>
    </row>
    <row r="823" spans="1:37" x14ac:dyDescent="0.25">
      <c r="A823" s="76">
        <v>49</v>
      </c>
      <c r="B823" s="3" t="s">
        <v>358</v>
      </c>
      <c r="C823" s="2" t="s">
        <v>155</v>
      </c>
      <c r="D823" s="1">
        <v>0</v>
      </c>
      <c r="E823" s="1">
        <v>0</v>
      </c>
      <c r="F823" s="1">
        <v>0</v>
      </c>
      <c r="G823" s="1">
        <v>4</v>
      </c>
      <c r="H823" s="4">
        <v>0</v>
      </c>
      <c r="I823" s="1">
        <v>0</v>
      </c>
      <c r="J823" s="4"/>
      <c r="K823" s="1">
        <v>2</v>
      </c>
      <c r="L823" s="1">
        <v>0</v>
      </c>
      <c r="M823" s="32">
        <f>IF(Mecze[[#This Row],[PR]]=0,0,Mecze[[#This Row],[PR]]/Mecze[[#This Row],[CZAS]])</f>
        <v>0</v>
      </c>
      <c r="N823" s="32">
        <f>IF(Mecze[[#This Row],[OU]]=0,0,Mecze[[#This Row],[OU]]/Mecze[[#This Row],[CZAS]])</f>
        <v>0</v>
      </c>
      <c r="O823" s="32">
        <f>IF(Mecze[[#This Row],[PC]]=0,0,Mecze[[#This Row],[PC]]/Mecze[[#This Row],[CZAS]])</f>
        <v>0</v>
      </c>
      <c r="P823" s="32">
        <f>IF(Mecze[[#This Row],[SC]]=0,0,Mecze[[#This Row],[SC]]/Mecze[[#This Row],[CZAS]])</f>
        <v>0</v>
      </c>
      <c r="Q823" s="32">
        <f>IF(Mecze[[#This Row],[OB]]=0,0,Mecze[[#This Row],[OB]]/Mecze[[#This Row],[CZAS]])</f>
        <v>2.0833333333333332E-2</v>
      </c>
      <c r="R823" s="32">
        <f>IF(Mecze[[#This Row],[BR]]=0,0,Mecze[[#This Row],[BR]]/Mecze[[#This Row],[CZAS]])</f>
        <v>0</v>
      </c>
      <c r="S823" s="44">
        <f>IF(Mecze[[#This Row],[Role]]="BR",SUMPRODUCT(Mecze[[#This Row],[/PR:90]:[/BR:90]],Brudnopis!$E$23:$J$23),0)</f>
        <v>6.25E-2</v>
      </c>
      <c r="T823" s="44">
        <f>IF(Mecze[[#This Row],[Role]]&lt;&gt;"BR",SUMPRODUCT(Mecze[[#This Row],[/PR:90]:[/BR:90]],Brudnopis!$E$24:$J$24),0)</f>
        <v>0</v>
      </c>
      <c r="U823" s="44">
        <f>IF(Mecze[[#This Row],[Role]]&lt;&gt;"BR",SUMPRODUCT(Mecze[[#This Row],[/PR:90]:[/BR:90]],Brudnopis!$E$25:$J$25),0)</f>
        <v>0</v>
      </c>
      <c r="V823" s="44">
        <f>IF(Mecze[[#This Row],[Role]]&lt;&gt;"BR",SUMPRODUCT(Mecze[[#This Row],[/PR:90]:[/BR:90]],Brudnopis!$E$26:$J$26),0)</f>
        <v>0</v>
      </c>
      <c r="W823" s="44">
        <f>IF(Mecze[[#This Row],[Role]]&lt;&gt;"BR",SUMPRODUCT(Mecze[[#This Row],[/PR:90]:[/BR:90]],Brudnopis!$E$27:$J$27),0)</f>
        <v>0</v>
      </c>
      <c r="X823" s="44">
        <f>IF(Mecze[[#This Row],[Role]]&lt;&gt;"BR",SUMPRODUCT(Mecze[[#This Row],[/PR:90]:[/BR:90]],Brudnopis!$E$28:$J$28),0)</f>
        <v>0</v>
      </c>
      <c r="Y823" s="35">
        <f>IF(Mecze[[#This Row],[Role]]="BR",Mecze[[#This Row],[/OB:90]]+Mecze[[#This Row],[/PC:90]],SUM(Mecze[[#This Row],[/PR:90]:[/BR:90]]))</f>
        <v>2.0833333333333332E-2</v>
      </c>
      <c r="Z823" s="35">
        <f>IF(Mecze[[#This Row],[KC]]=0,SUM(Mecze[[#This Row],[/BRI]:[/NPI]]),SUM(Mecze[[#This Row],[/BRI]:[/NPI]])*0.6)</f>
        <v>6.25E-2</v>
      </c>
      <c r="AA823" s="10">
        <f>IFERROR(Mecze[[#This Row],[BR]]/Mecze[[#This Row],[ST]],0)</f>
        <v>0</v>
      </c>
      <c r="AB823">
        <f>ROUND(Mecze[[#This Row],[PD]]*Mecze[[#This Row],[%PC]],0)</f>
        <v>0</v>
      </c>
      <c r="AC823">
        <f>ROUND(Mecze[[#This Row],[OD]]*Mecze[[#This Row],[%OU]],0)</f>
        <v>0</v>
      </c>
      <c r="AD823" s="41" t="s">
        <v>40</v>
      </c>
      <c r="AE823" s="36">
        <v>47</v>
      </c>
      <c r="AF823" s="71">
        <v>2.29</v>
      </c>
      <c r="AG823" s="37">
        <v>0</v>
      </c>
      <c r="AH823" s="37">
        <v>0</v>
      </c>
      <c r="AI823" s="37">
        <v>96</v>
      </c>
      <c r="AJ823" s="37">
        <v>1</v>
      </c>
      <c r="AK823" s="37" t="str">
        <f>VLOOKUP(Mecze[[#This Row],[Match ID]],Meczusie[Mecz]:Meczusie[RodzajMeczu],2,FALSE)</f>
        <v>Towarzyski</v>
      </c>
    </row>
    <row r="824" spans="1:37" x14ac:dyDescent="0.25">
      <c r="A824" s="76">
        <v>38</v>
      </c>
      <c r="B824" s="3" t="s">
        <v>359</v>
      </c>
      <c r="C824" s="2" t="s">
        <v>157</v>
      </c>
      <c r="D824" s="1">
        <v>0</v>
      </c>
      <c r="E824" s="1">
        <v>0</v>
      </c>
      <c r="F824" s="1">
        <v>0</v>
      </c>
      <c r="G824" s="1">
        <v>8</v>
      </c>
      <c r="H824" s="4">
        <v>0.75</v>
      </c>
      <c r="I824" s="1">
        <v>5</v>
      </c>
      <c r="J824" s="4">
        <v>0.2</v>
      </c>
      <c r="K824" s="1">
        <v>0</v>
      </c>
      <c r="L824" s="1">
        <v>7</v>
      </c>
      <c r="M824" s="32">
        <f>IF(Mecze[[#This Row],[PR]]=0,0,Mecze[[#This Row],[PR]]/Mecze[[#This Row],[CZAS]])</f>
        <v>7.2916666666666671E-2</v>
      </c>
      <c r="N824" s="32">
        <f>IF(Mecze[[#This Row],[OU]]=0,0,Mecze[[#This Row],[OU]]/Mecze[[#This Row],[CZAS]])</f>
        <v>1.0416666666666666E-2</v>
      </c>
      <c r="O824" s="32">
        <f>IF(Mecze[[#This Row],[PC]]=0,0,Mecze[[#This Row],[PC]]/Mecze[[#This Row],[CZAS]])</f>
        <v>6.25E-2</v>
      </c>
      <c r="P824" s="32">
        <f>IF(Mecze[[#This Row],[SC]]=0,0,Mecze[[#This Row],[SC]]/Mecze[[#This Row],[CZAS]])</f>
        <v>0</v>
      </c>
      <c r="Q824" s="32">
        <f>IF(Mecze[[#This Row],[OB]]=0,0,Mecze[[#This Row],[OB]]/Mecze[[#This Row],[CZAS]])</f>
        <v>0</v>
      </c>
      <c r="R824" s="32">
        <f>IF(Mecze[[#This Row],[BR]]=0,0,Mecze[[#This Row],[BR]]/Mecze[[#This Row],[CZAS]])</f>
        <v>0</v>
      </c>
      <c r="S824" s="44">
        <f>IF(Mecze[[#This Row],[Role]]="BR",SUMPRODUCT(Mecze[[#This Row],[/PR:90]:[/BR:90]],Brudnopis!$E$23:$J$23),0)</f>
        <v>0</v>
      </c>
      <c r="T824" s="44">
        <f>IF(Mecze[[#This Row],[Role]]&lt;&gt;"BR",SUMPRODUCT(Mecze[[#This Row],[/PR:90]:[/BR:90]],Brudnopis!$E$24:$J$24),0)</f>
        <v>0.15104166666666669</v>
      </c>
      <c r="U824" s="44">
        <f>IF(Mecze[[#This Row],[Role]]&lt;&gt;"BR",SUMPRODUCT(Mecze[[#This Row],[/PR:90]:[/BR:90]],Brudnopis!$E$25:$J$25),0)</f>
        <v>0.17708333333333334</v>
      </c>
      <c r="V824" s="44">
        <f>IF(Mecze[[#This Row],[Role]]&lt;&gt;"BR",SUMPRODUCT(Mecze[[#This Row],[/PR:90]:[/BR:90]],Brudnopis!$E$26:$J$26),0)</f>
        <v>0.14583333333333334</v>
      </c>
      <c r="W824" s="44">
        <f>IF(Mecze[[#This Row],[Role]]&lt;&gt;"BR",SUMPRODUCT(Mecze[[#This Row],[/PR:90]:[/BR:90]],Brudnopis!$E$27:$J$27),0)</f>
        <v>0.15625</v>
      </c>
      <c r="X824" s="44">
        <f>IF(Mecze[[#This Row],[Role]]&lt;&gt;"BR",SUMPRODUCT(Mecze[[#This Row],[/PR:90]:[/BR:90]],Brudnopis!$E$28:$J$28),0)</f>
        <v>6.25E-2</v>
      </c>
      <c r="Y824" s="35">
        <f>IF(Mecze[[#This Row],[Role]]="BR",Mecze[[#This Row],[/OB:90]]+Mecze[[#This Row],[/PC:90]],SUM(Mecze[[#This Row],[/PR:90]:[/BR:90]]))</f>
        <v>0.14583333333333334</v>
      </c>
      <c r="Z824" s="35">
        <f>IF(Mecze[[#This Row],[KC]]=0,SUM(Mecze[[#This Row],[/BRI]:[/NPI]]),SUM(Mecze[[#This Row],[/BRI]:[/NPI]])*0.6)</f>
        <v>0.69270833333333337</v>
      </c>
      <c r="AA824" s="10">
        <f>IFERROR(Mecze[[#This Row],[BR]]/Mecze[[#This Row],[ST]],0)</f>
        <v>0</v>
      </c>
      <c r="AB824">
        <f>ROUND(Mecze[[#This Row],[PD]]*Mecze[[#This Row],[%PC]],0)</f>
        <v>6</v>
      </c>
      <c r="AC824">
        <f>ROUND(Mecze[[#This Row],[OD]]*Mecze[[#This Row],[%OU]],0)</f>
        <v>1</v>
      </c>
      <c r="AD824" s="41" t="s">
        <v>47</v>
      </c>
      <c r="AE824" s="36">
        <v>47</v>
      </c>
      <c r="AF824" s="71">
        <v>3.06</v>
      </c>
      <c r="AG824" s="37">
        <v>0</v>
      </c>
      <c r="AH824" s="37">
        <v>0</v>
      </c>
      <c r="AI824" s="37">
        <v>96</v>
      </c>
      <c r="AJ824" s="37">
        <v>1</v>
      </c>
      <c r="AK824" s="37" t="str">
        <f>VLOOKUP(Mecze[[#This Row],[Match ID]],Meczusie[Mecz]:Meczusie[RodzajMeczu],2,FALSE)</f>
        <v>Towarzyski</v>
      </c>
    </row>
    <row r="825" spans="1:37" x14ac:dyDescent="0.25">
      <c r="A825" s="76">
        <v>4</v>
      </c>
      <c r="B825" s="3" t="s">
        <v>360</v>
      </c>
      <c r="C825" s="2" t="s">
        <v>157</v>
      </c>
      <c r="D825" s="1">
        <v>0</v>
      </c>
      <c r="E825" s="1">
        <v>0</v>
      </c>
      <c r="F825" s="1">
        <v>0</v>
      </c>
      <c r="G825" s="1">
        <v>19</v>
      </c>
      <c r="H825" s="4">
        <v>0.37</v>
      </c>
      <c r="I825" s="1">
        <v>4</v>
      </c>
      <c r="J825" s="4">
        <v>0.75</v>
      </c>
      <c r="K825" s="1">
        <v>0</v>
      </c>
      <c r="L825" s="1">
        <v>14</v>
      </c>
      <c r="M825" s="32">
        <f>IF(Mecze[[#This Row],[PR]]=0,0,Mecze[[#This Row],[PR]]/Mecze[[#This Row],[CZAS]])</f>
        <v>0.14583333333333334</v>
      </c>
      <c r="N825" s="32">
        <f>IF(Mecze[[#This Row],[OU]]=0,0,Mecze[[#This Row],[OU]]/Mecze[[#This Row],[CZAS]])</f>
        <v>3.125E-2</v>
      </c>
      <c r="O825" s="32">
        <f>IF(Mecze[[#This Row],[PC]]=0,0,Mecze[[#This Row],[PC]]/Mecze[[#This Row],[CZAS]])</f>
        <v>7.2916666666666671E-2</v>
      </c>
      <c r="P825" s="32">
        <f>IF(Mecze[[#This Row],[SC]]=0,0,Mecze[[#This Row],[SC]]/Mecze[[#This Row],[CZAS]])</f>
        <v>0</v>
      </c>
      <c r="Q825" s="32">
        <f>IF(Mecze[[#This Row],[OB]]=0,0,Mecze[[#This Row],[OB]]/Mecze[[#This Row],[CZAS]])</f>
        <v>0</v>
      </c>
      <c r="R825" s="32">
        <f>IF(Mecze[[#This Row],[BR]]=0,0,Mecze[[#This Row],[BR]]/Mecze[[#This Row],[CZAS]])</f>
        <v>0</v>
      </c>
      <c r="S825" s="44">
        <f>IF(Mecze[[#This Row],[Role]]="BR",SUMPRODUCT(Mecze[[#This Row],[/PR:90]:[/BR:90]],Brudnopis!$E$23:$J$23),0)</f>
        <v>0</v>
      </c>
      <c r="T825" s="44">
        <f>IF(Mecze[[#This Row],[Role]]&lt;&gt;"BR",SUMPRODUCT(Mecze[[#This Row],[/PR:90]:[/BR:90]],Brudnopis!$E$24:$J$24),0)</f>
        <v>0.265625</v>
      </c>
      <c r="U825" s="44">
        <f>IF(Mecze[[#This Row],[Role]]&lt;&gt;"BR",SUMPRODUCT(Mecze[[#This Row],[/PR:90]:[/BR:90]],Brudnopis!$E$25:$J$25),0)</f>
        <v>0.28645833333333337</v>
      </c>
      <c r="V825" s="44">
        <f>IF(Mecze[[#This Row],[Role]]&lt;&gt;"BR",SUMPRODUCT(Mecze[[#This Row],[/PR:90]:[/BR:90]],Brudnopis!$E$26:$J$26),0)</f>
        <v>0.25</v>
      </c>
      <c r="W825" s="44">
        <f>IF(Mecze[[#This Row],[Role]]&lt;&gt;"BR",SUMPRODUCT(Mecze[[#This Row],[/PR:90]:[/BR:90]],Brudnopis!$E$27:$J$27),0)</f>
        <v>0.2421875</v>
      </c>
      <c r="X825" s="44">
        <f>IF(Mecze[[#This Row],[Role]]&lt;&gt;"BR",SUMPRODUCT(Mecze[[#This Row],[/PR:90]:[/BR:90]],Brudnopis!$E$28:$J$28),0)</f>
        <v>7.2916666666666671E-2</v>
      </c>
      <c r="Y825" s="35">
        <f>IF(Mecze[[#This Row],[Role]]="BR",Mecze[[#This Row],[/OB:90]]+Mecze[[#This Row],[/PC:90]],SUM(Mecze[[#This Row],[/PR:90]:[/BR:90]]))</f>
        <v>0.25</v>
      </c>
      <c r="Z825" s="35">
        <f>IF(Mecze[[#This Row],[KC]]=0,SUM(Mecze[[#This Row],[/BRI]:[/NPI]]),SUM(Mecze[[#This Row],[/BRI]:[/NPI]])*0.6)</f>
        <v>1.1171875000000002</v>
      </c>
      <c r="AA825" s="10">
        <f>IFERROR(Mecze[[#This Row],[BR]]/Mecze[[#This Row],[ST]],0)</f>
        <v>0</v>
      </c>
      <c r="AB825">
        <f>ROUND(Mecze[[#This Row],[PD]]*Mecze[[#This Row],[%PC]],0)</f>
        <v>7</v>
      </c>
      <c r="AC825">
        <f>ROUND(Mecze[[#This Row],[OD]]*Mecze[[#This Row],[%OU]],0)</f>
        <v>3</v>
      </c>
      <c r="AD825" s="41" t="s">
        <v>168</v>
      </c>
      <c r="AE825" s="36">
        <v>47</v>
      </c>
      <c r="AF825" s="71">
        <v>4.54</v>
      </c>
      <c r="AG825" s="37">
        <v>1</v>
      </c>
      <c r="AH825" s="37">
        <v>0</v>
      </c>
      <c r="AI825" s="37">
        <v>96</v>
      </c>
      <c r="AJ825" s="37">
        <v>1</v>
      </c>
      <c r="AK825" s="37" t="str">
        <f>VLOOKUP(Mecze[[#This Row],[Match ID]],Meczusie[Mecz]:Meczusie[RodzajMeczu],2,FALSE)</f>
        <v>Towarzyski</v>
      </c>
    </row>
    <row r="826" spans="1:37" x14ac:dyDescent="0.25">
      <c r="A826" s="76">
        <v>42</v>
      </c>
      <c r="B826" s="3" t="s">
        <v>361</v>
      </c>
      <c r="C826" s="2" t="s">
        <v>157</v>
      </c>
      <c r="D826" s="1">
        <v>0</v>
      </c>
      <c r="E826" s="1">
        <v>0</v>
      </c>
      <c r="F826" s="1">
        <v>0</v>
      </c>
      <c r="G826" s="1">
        <v>10</v>
      </c>
      <c r="H826" s="4">
        <v>0.4</v>
      </c>
      <c r="I826" s="1">
        <v>8</v>
      </c>
      <c r="J826" s="4">
        <v>0.75</v>
      </c>
      <c r="K826" s="1">
        <v>0</v>
      </c>
      <c r="L826" s="1">
        <v>7</v>
      </c>
      <c r="M826" s="32">
        <f>IF(Mecze[[#This Row],[PR]]=0,0,Mecze[[#This Row],[PR]]/Mecze[[#This Row],[CZAS]])</f>
        <v>7.2916666666666671E-2</v>
      </c>
      <c r="N826" s="32">
        <f>IF(Mecze[[#This Row],[OU]]=0,0,Mecze[[#This Row],[OU]]/Mecze[[#This Row],[CZAS]])</f>
        <v>6.25E-2</v>
      </c>
      <c r="O826" s="32">
        <f>IF(Mecze[[#This Row],[PC]]=0,0,Mecze[[#This Row],[PC]]/Mecze[[#This Row],[CZAS]])</f>
        <v>4.1666666666666664E-2</v>
      </c>
      <c r="P826" s="32">
        <f>IF(Mecze[[#This Row],[SC]]=0,0,Mecze[[#This Row],[SC]]/Mecze[[#This Row],[CZAS]])</f>
        <v>0</v>
      </c>
      <c r="Q826" s="32">
        <f>IF(Mecze[[#This Row],[OB]]=0,0,Mecze[[#This Row],[OB]]/Mecze[[#This Row],[CZAS]])</f>
        <v>0</v>
      </c>
      <c r="R826" s="32">
        <f>IF(Mecze[[#This Row],[BR]]=0,0,Mecze[[#This Row],[BR]]/Mecze[[#This Row],[CZAS]])</f>
        <v>0</v>
      </c>
      <c r="S826" s="44">
        <f>IF(Mecze[[#This Row],[Role]]="BR",SUMPRODUCT(Mecze[[#This Row],[/PR:90]:[/BR:90]],Brudnopis!$E$23:$J$23),0)</f>
        <v>0</v>
      </c>
      <c r="T826" s="44">
        <f>IF(Mecze[[#This Row],[Role]]&lt;&gt;"BR",SUMPRODUCT(Mecze[[#This Row],[/PR:90]:[/BR:90]],Brudnopis!$E$24:$J$24),0)</f>
        <v>0.20833333333333334</v>
      </c>
      <c r="U826" s="44">
        <f>IF(Mecze[[#This Row],[Role]]&lt;&gt;"BR",SUMPRODUCT(Mecze[[#This Row],[/PR:90]:[/BR:90]],Brudnopis!$E$25:$J$25),0)</f>
        <v>0.19791666666666669</v>
      </c>
      <c r="V826" s="44">
        <f>IF(Mecze[[#This Row],[Role]]&lt;&gt;"BR",SUMPRODUCT(Mecze[[#This Row],[/PR:90]:[/BR:90]],Brudnopis!$E$26:$J$26),0)</f>
        <v>0.17708333333333334</v>
      </c>
      <c r="W826" s="44">
        <f>IF(Mecze[[#This Row],[Role]]&lt;&gt;"BR",SUMPRODUCT(Mecze[[#This Row],[/PR:90]:[/BR:90]],Brudnopis!$E$27:$J$27),0)</f>
        <v>0.1640625</v>
      </c>
      <c r="X826" s="44">
        <f>IF(Mecze[[#This Row],[Role]]&lt;&gt;"BR",SUMPRODUCT(Mecze[[#This Row],[/PR:90]:[/BR:90]],Brudnopis!$E$28:$J$28),0)</f>
        <v>4.1666666666666664E-2</v>
      </c>
      <c r="Y826" s="35">
        <f>IF(Mecze[[#This Row],[Role]]="BR",Mecze[[#This Row],[/OB:90]]+Mecze[[#This Row],[/PC:90]],SUM(Mecze[[#This Row],[/PR:90]:[/BR:90]]))</f>
        <v>0.17708333333333334</v>
      </c>
      <c r="Z826" s="35">
        <f>IF(Mecze[[#This Row],[KC]]=0,SUM(Mecze[[#This Row],[/BRI]:[/NPI]]),SUM(Mecze[[#This Row],[/BRI]:[/NPI]])*0.6)</f>
        <v>0.7890625</v>
      </c>
      <c r="AA826" s="10">
        <f>IFERROR(Mecze[[#This Row],[BR]]/Mecze[[#This Row],[ST]],0)</f>
        <v>0</v>
      </c>
      <c r="AB826">
        <f>ROUND(Mecze[[#This Row],[PD]]*Mecze[[#This Row],[%PC]],0)</f>
        <v>4</v>
      </c>
      <c r="AC826">
        <f>ROUND(Mecze[[#This Row],[OD]]*Mecze[[#This Row],[%OU]],0)</f>
        <v>6</v>
      </c>
      <c r="AD826" s="41" t="s">
        <v>167</v>
      </c>
      <c r="AE826" s="36">
        <v>47</v>
      </c>
      <c r="AF826" s="71">
        <v>4.18</v>
      </c>
      <c r="AG826" s="37">
        <v>0</v>
      </c>
      <c r="AH826" s="37">
        <v>0</v>
      </c>
      <c r="AI826" s="37">
        <v>96</v>
      </c>
      <c r="AJ826" s="37">
        <v>1</v>
      </c>
      <c r="AK826" s="37" t="str">
        <f>VLOOKUP(Mecze[[#This Row],[Match ID]],Meczusie[Mecz]:Meczusie[RodzajMeczu],2,FALSE)</f>
        <v>Towarzyski</v>
      </c>
    </row>
    <row r="827" spans="1:37" x14ac:dyDescent="0.25">
      <c r="A827" s="76">
        <v>33</v>
      </c>
      <c r="B827" s="3" t="s">
        <v>362</v>
      </c>
      <c r="C827" s="2" t="s">
        <v>160</v>
      </c>
      <c r="D827" s="1">
        <v>0</v>
      </c>
      <c r="E827" s="1">
        <v>0</v>
      </c>
      <c r="F827" s="1">
        <v>0</v>
      </c>
      <c r="G827" s="1">
        <v>21</v>
      </c>
      <c r="H827" s="4">
        <v>0.33</v>
      </c>
      <c r="I827" s="1">
        <v>10</v>
      </c>
      <c r="J827" s="4">
        <v>0.2</v>
      </c>
      <c r="K827" s="1">
        <v>0</v>
      </c>
      <c r="L827" s="1">
        <v>16</v>
      </c>
      <c r="M827" s="32">
        <f>IF(Mecze[[#This Row],[PR]]=0,0,Mecze[[#This Row],[PR]]/Mecze[[#This Row],[CZAS]])</f>
        <v>0.16666666666666666</v>
      </c>
      <c r="N827" s="32">
        <f>IF(Mecze[[#This Row],[OU]]=0,0,Mecze[[#This Row],[OU]]/Mecze[[#This Row],[CZAS]])</f>
        <v>2.0833333333333332E-2</v>
      </c>
      <c r="O827" s="32">
        <f>IF(Mecze[[#This Row],[PC]]=0,0,Mecze[[#This Row],[PC]]/Mecze[[#This Row],[CZAS]])</f>
        <v>7.2916666666666671E-2</v>
      </c>
      <c r="P827" s="32">
        <f>IF(Mecze[[#This Row],[SC]]=0,0,Mecze[[#This Row],[SC]]/Mecze[[#This Row],[CZAS]])</f>
        <v>0</v>
      </c>
      <c r="Q827" s="32">
        <f>IF(Mecze[[#This Row],[OB]]=0,0,Mecze[[#This Row],[OB]]/Mecze[[#This Row],[CZAS]])</f>
        <v>0</v>
      </c>
      <c r="R827" s="32">
        <f>IF(Mecze[[#This Row],[BR]]=0,0,Mecze[[#This Row],[BR]]/Mecze[[#This Row],[CZAS]])</f>
        <v>0</v>
      </c>
      <c r="S827" s="44">
        <f>IF(Mecze[[#This Row],[Role]]="BR",SUMPRODUCT(Mecze[[#This Row],[/PR:90]:[/BR:90]],Brudnopis!$E$23:$J$23),0)</f>
        <v>0</v>
      </c>
      <c r="T827" s="44">
        <f>IF(Mecze[[#This Row],[Role]]&lt;&gt;"BR",SUMPRODUCT(Mecze[[#This Row],[/PR:90]:[/BR:90]],Brudnopis!$E$24:$J$24),0)</f>
        <v>0.27083333333333331</v>
      </c>
      <c r="U827" s="44">
        <f>IF(Mecze[[#This Row],[Role]]&lt;&gt;"BR",SUMPRODUCT(Mecze[[#This Row],[/PR:90]:[/BR:90]],Brudnopis!$E$25:$J$25),0)</f>
        <v>0.296875</v>
      </c>
      <c r="V827" s="44">
        <f>IF(Mecze[[#This Row],[Role]]&lt;&gt;"BR",SUMPRODUCT(Mecze[[#This Row],[/PR:90]:[/BR:90]],Brudnopis!$E$26:$J$26),0)</f>
        <v>0.26041666666666669</v>
      </c>
      <c r="W827" s="44">
        <f>IF(Mecze[[#This Row],[Role]]&lt;&gt;"BR",SUMPRODUCT(Mecze[[#This Row],[/PR:90]:[/BR:90]],Brudnopis!$E$27:$J$27),0)</f>
        <v>0.25</v>
      </c>
      <c r="X827" s="44">
        <f>IF(Mecze[[#This Row],[Role]]&lt;&gt;"BR",SUMPRODUCT(Mecze[[#This Row],[/PR:90]:[/BR:90]],Brudnopis!$E$28:$J$28),0)</f>
        <v>7.2916666666666671E-2</v>
      </c>
      <c r="Y827" s="35">
        <f>IF(Mecze[[#This Row],[Role]]="BR",Mecze[[#This Row],[/OB:90]]+Mecze[[#This Row],[/PC:90]],SUM(Mecze[[#This Row],[/PR:90]:[/BR:90]]))</f>
        <v>0.26041666666666669</v>
      </c>
      <c r="Z827" s="35">
        <f>IF(Mecze[[#This Row],[KC]]=0,SUM(Mecze[[#This Row],[/BRI]:[/NPI]]),SUM(Mecze[[#This Row],[/BRI]:[/NPI]])*0.6)</f>
        <v>1.1510416666666667</v>
      </c>
      <c r="AA827" s="10">
        <f>IFERROR(Mecze[[#This Row],[BR]]/Mecze[[#This Row],[ST]],0)</f>
        <v>0</v>
      </c>
      <c r="AB827">
        <f>ROUND(Mecze[[#This Row],[PD]]*Mecze[[#This Row],[%PC]],0)</f>
        <v>7</v>
      </c>
      <c r="AC827">
        <f>ROUND(Mecze[[#This Row],[OD]]*Mecze[[#This Row],[%OU]],0)</f>
        <v>2</v>
      </c>
      <c r="AD827" s="41" t="s">
        <v>41</v>
      </c>
      <c r="AE827" s="36">
        <v>47</v>
      </c>
      <c r="AF827" s="71">
        <v>6.06</v>
      </c>
      <c r="AG827" s="37">
        <v>0</v>
      </c>
      <c r="AH827" s="37">
        <v>0</v>
      </c>
      <c r="AI827" s="37">
        <v>96</v>
      </c>
      <c r="AJ827" s="37">
        <v>1</v>
      </c>
      <c r="AK827" s="37" t="str">
        <f>VLOOKUP(Mecze[[#This Row],[Match ID]],Meczusie[Mecz]:Meczusie[RodzajMeczu],2,FALSE)</f>
        <v>Towarzyski</v>
      </c>
    </row>
    <row r="828" spans="1:37" x14ac:dyDescent="0.25">
      <c r="A828" s="76">
        <v>22</v>
      </c>
      <c r="B828" s="3" t="s">
        <v>363</v>
      </c>
      <c r="C828" s="2" t="s">
        <v>160</v>
      </c>
      <c r="D828" s="1">
        <v>0</v>
      </c>
      <c r="E828" s="1">
        <v>0</v>
      </c>
      <c r="F828" s="1">
        <v>0</v>
      </c>
      <c r="G828" s="1">
        <v>14</v>
      </c>
      <c r="H828" s="4">
        <v>0.21</v>
      </c>
      <c r="I828" s="1">
        <v>5</v>
      </c>
      <c r="J828" s="4">
        <v>0.2</v>
      </c>
      <c r="K828" s="1">
        <v>0</v>
      </c>
      <c r="L828" s="1">
        <v>7</v>
      </c>
      <c r="M828" s="32">
        <f>IF(Mecze[[#This Row],[PR]]=0,0,Mecze[[#This Row],[PR]]/Mecze[[#This Row],[CZAS]])</f>
        <v>7.2916666666666671E-2</v>
      </c>
      <c r="N828" s="32">
        <f>IF(Mecze[[#This Row],[OU]]=0,0,Mecze[[#This Row],[OU]]/Mecze[[#This Row],[CZAS]])</f>
        <v>1.0416666666666666E-2</v>
      </c>
      <c r="O828" s="32">
        <f>IF(Mecze[[#This Row],[PC]]=0,0,Mecze[[#This Row],[PC]]/Mecze[[#This Row],[CZAS]])</f>
        <v>3.125E-2</v>
      </c>
      <c r="P828" s="32">
        <f>IF(Mecze[[#This Row],[SC]]=0,0,Mecze[[#This Row],[SC]]/Mecze[[#This Row],[CZAS]])</f>
        <v>0</v>
      </c>
      <c r="Q828" s="32">
        <f>IF(Mecze[[#This Row],[OB]]=0,0,Mecze[[#This Row],[OB]]/Mecze[[#This Row],[CZAS]])</f>
        <v>0</v>
      </c>
      <c r="R828" s="32">
        <f>IF(Mecze[[#This Row],[BR]]=0,0,Mecze[[#This Row],[BR]]/Mecze[[#This Row],[CZAS]])</f>
        <v>0</v>
      </c>
      <c r="S828" s="44">
        <f>IF(Mecze[[#This Row],[Role]]="BR",SUMPRODUCT(Mecze[[#This Row],[/PR:90]:[/BR:90]],Brudnopis!$E$23:$J$23),0)</f>
        <v>0</v>
      </c>
      <c r="T828" s="44">
        <f>IF(Mecze[[#This Row],[Role]]&lt;&gt;"BR",SUMPRODUCT(Mecze[[#This Row],[/PR:90]:[/BR:90]],Brudnopis!$E$24:$J$24),0)</f>
        <v>0.11979166666666667</v>
      </c>
      <c r="U828" s="44">
        <f>IF(Mecze[[#This Row],[Role]]&lt;&gt;"BR",SUMPRODUCT(Mecze[[#This Row],[/PR:90]:[/BR:90]],Brudnopis!$E$25:$J$25),0)</f>
        <v>0.13020833333333334</v>
      </c>
      <c r="V828" s="44">
        <f>IF(Mecze[[#This Row],[Role]]&lt;&gt;"BR",SUMPRODUCT(Mecze[[#This Row],[/PR:90]:[/BR:90]],Brudnopis!$E$26:$J$26),0)</f>
        <v>0.11458333333333334</v>
      </c>
      <c r="W828" s="44">
        <f>IF(Mecze[[#This Row],[Role]]&lt;&gt;"BR",SUMPRODUCT(Mecze[[#This Row],[/PR:90]:[/BR:90]],Brudnopis!$E$27:$J$27),0)</f>
        <v>0.109375</v>
      </c>
      <c r="X828" s="44">
        <f>IF(Mecze[[#This Row],[Role]]&lt;&gt;"BR",SUMPRODUCT(Mecze[[#This Row],[/PR:90]:[/BR:90]],Brudnopis!$E$28:$J$28),0)</f>
        <v>3.125E-2</v>
      </c>
      <c r="Y828" s="35">
        <f>IF(Mecze[[#This Row],[Role]]="BR",Mecze[[#This Row],[/OB:90]]+Mecze[[#This Row],[/PC:90]],SUM(Mecze[[#This Row],[/PR:90]:[/BR:90]]))</f>
        <v>0.11458333333333334</v>
      </c>
      <c r="Z828" s="35">
        <f>IF(Mecze[[#This Row],[KC]]=0,SUM(Mecze[[#This Row],[/BRI]:[/NPI]]),SUM(Mecze[[#This Row],[/BRI]:[/NPI]])*0.6)</f>
        <v>0.50520833333333337</v>
      </c>
      <c r="AA828" s="10">
        <f>IFERROR(Mecze[[#This Row],[BR]]/Mecze[[#This Row],[ST]],0)</f>
        <v>0</v>
      </c>
      <c r="AB828">
        <f>ROUND(Mecze[[#This Row],[PD]]*Mecze[[#This Row],[%PC]],0)</f>
        <v>3</v>
      </c>
      <c r="AC828">
        <f>ROUND(Mecze[[#This Row],[OD]]*Mecze[[#This Row],[%OU]],0)</f>
        <v>1</v>
      </c>
      <c r="AD828" s="41" t="s">
        <v>41</v>
      </c>
      <c r="AE828" s="36">
        <v>47</v>
      </c>
      <c r="AF828" s="71">
        <v>4.17</v>
      </c>
      <c r="AG828" s="37">
        <v>0</v>
      </c>
      <c r="AH828" s="37">
        <v>0</v>
      </c>
      <c r="AI828" s="37">
        <v>96</v>
      </c>
      <c r="AJ828" s="37">
        <v>1</v>
      </c>
      <c r="AK828" s="37" t="str">
        <f>VLOOKUP(Mecze[[#This Row],[Match ID]],Meczusie[Mecz]:Meczusie[RodzajMeczu],2,FALSE)</f>
        <v>Towarzyski</v>
      </c>
    </row>
    <row r="829" spans="1:37" x14ac:dyDescent="0.25">
      <c r="A829" s="76">
        <v>27</v>
      </c>
      <c r="B829" s="3" t="s">
        <v>364</v>
      </c>
      <c r="C829" s="2" t="s">
        <v>160</v>
      </c>
      <c r="D829" s="1">
        <v>0</v>
      </c>
      <c r="E829" s="1">
        <v>0</v>
      </c>
      <c r="F829" s="1">
        <v>0</v>
      </c>
      <c r="G829" s="1">
        <v>3</v>
      </c>
      <c r="H829" s="4">
        <v>0</v>
      </c>
      <c r="I829" s="1">
        <v>1</v>
      </c>
      <c r="J829" s="4">
        <v>1</v>
      </c>
      <c r="K829" s="1">
        <v>0</v>
      </c>
      <c r="L829" s="1">
        <v>2</v>
      </c>
      <c r="M829" s="32">
        <f>IF(Mecze[[#This Row],[PR]]=0,0,Mecze[[#This Row],[PR]]/Mecze[[#This Row],[CZAS]])</f>
        <v>2.0833333333333332E-2</v>
      </c>
      <c r="N829" s="32">
        <f>IF(Mecze[[#This Row],[OU]]=0,0,Mecze[[#This Row],[OU]]/Mecze[[#This Row],[CZAS]])</f>
        <v>1.0416666666666666E-2</v>
      </c>
      <c r="O829" s="32">
        <f>IF(Mecze[[#This Row],[PC]]=0,0,Mecze[[#This Row],[PC]]/Mecze[[#This Row],[CZAS]])</f>
        <v>0</v>
      </c>
      <c r="P829" s="32">
        <f>IF(Mecze[[#This Row],[SC]]=0,0,Mecze[[#This Row],[SC]]/Mecze[[#This Row],[CZAS]])</f>
        <v>0</v>
      </c>
      <c r="Q829" s="32">
        <f>IF(Mecze[[#This Row],[OB]]=0,0,Mecze[[#This Row],[OB]]/Mecze[[#This Row],[CZAS]])</f>
        <v>0</v>
      </c>
      <c r="R829" s="32">
        <f>IF(Mecze[[#This Row],[BR]]=0,0,Mecze[[#This Row],[BR]]/Mecze[[#This Row],[CZAS]])</f>
        <v>0</v>
      </c>
      <c r="S829" s="44">
        <f>IF(Mecze[[#This Row],[Role]]="BR",SUMPRODUCT(Mecze[[#This Row],[/PR:90]:[/BR:90]],Brudnopis!$E$23:$J$23),0)</f>
        <v>0</v>
      </c>
      <c r="T829" s="44">
        <f>IF(Mecze[[#This Row],[Role]]&lt;&gt;"BR",SUMPRODUCT(Mecze[[#This Row],[/PR:90]:[/BR:90]],Brudnopis!$E$24:$J$24),0)</f>
        <v>3.6458333333333329E-2</v>
      </c>
      <c r="U829" s="44">
        <f>IF(Mecze[[#This Row],[Role]]&lt;&gt;"BR",SUMPRODUCT(Mecze[[#This Row],[/PR:90]:[/BR:90]],Brudnopis!$E$25:$J$25),0)</f>
        <v>3.125E-2</v>
      </c>
      <c r="V829" s="44">
        <f>IF(Mecze[[#This Row],[Role]]&lt;&gt;"BR",SUMPRODUCT(Mecze[[#This Row],[/PR:90]:[/BR:90]],Brudnopis!$E$26:$J$26),0)</f>
        <v>3.125E-2</v>
      </c>
      <c r="W829" s="44">
        <f>IF(Mecze[[#This Row],[Role]]&lt;&gt;"BR",SUMPRODUCT(Mecze[[#This Row],[/PR:90]:[/BR:90]],Brudnopis!$E$27:$J$27),0)</f>
        <v>2.34375E-2</v>
      </c>
      <c r="X829" s="44">
        <f>IF(Mecze[[#This Row],[Role]]&lt;&gt;"BR",SUMPRODUCT(Mecze[[#This Row],[/PR:90]:[/BR:90]],Brudnopis!$E$28:$J$28),0)</f>
        <v>0</v>
      </c>
      <c r="Y829" s="35">
        <f>IF(Mecze[[#This Row],[Role]]="BR",Mecze[[#This Row],[/OB:90]]+Mecze[[#This Row],[/PC:90]],SUM(Mecze[[#This Row],[/PR:90]:[/BR:90]]))</f>
        <v>3.125E-2</v>
      </c>
      <c r="Z829" s="35">
        <f>IF(Mecze[[#This Row],[KC]]=0,SUM(Mecze[[#This Row],[/BRI]:[/NPI]]),SUM(Mecze[[#This Row],[/BRI]:[/NPI]])*0.6)</f>
        <v>0.12239583333333333</v>
      </c>
      <c r="AA829" s="10">
        <f>IFERROR(Mecze[[#This Row],[BR]]/Mecze[[#This Row],[ST]],0)</f>
        <v>0</v>
      </c>
      <c r="AB829">
        <f>ROUND(Mecze[[#This Row],[PD]]*Mecze[[#This Row],[%PC]],0)</f>
        <v>0</v>
      </c>
      <c r="AC829">
        <f>ROUND(Mecze[[#This Row],[OD]]*Mecze[[#This Row],[%OU]],0)</f>
        <v>1</v>
      </c>
      <c r="AD829" s="41" t="s">
        <v>44</v>
      </c>
      <c r="AE829" s="36">
        <v>47</v>
      </c>
      <c r="AF829" s="71">
        <v>3.12</v>
      </c>
      <c r="AG829" s="37">
        <v>0</v>
      </c>
      <c r="AH829" s="37">
        <v>0</v>
      </c>
      <c r="AI829" s="37">
        <v>96</v>
      </c>
      <c r="AJ829" s="37">
        <v>1</v>
      </c>
      <c r="AK829" s="37" t="str">
        <f>VLOOKUP(Mecze[[#This Row],[Match ID]],Meczusie[Mecz]:Meczusie[RodzajMeczu],2,FALSE)</f>
        <v>Towarzyski</v>
      </c>
    </row>
    <row r="830" spans="1:37" x14ac:dyDescent="0.25">
      <c r="A830" s="76">
        <v>28</v>
      </c>
      <c r="B830" s="3" t="s">
        <v>419</v>
      </c>
      <c r="C830" s="2" t="s">
        <v>160</v>
      </c>
      <c r="D830" s="1">
        <v>0</v>
      </c>
      <c r="E830" s="1">
        <v>0</v>
      </c>
      <c r="F830" s="1">
        <v>0</v>
      </c>
      <c r="G830" s="1">
        <v>4</v>
      </c>
      <c r="H830" s="4">
        <v>0.75</v>
      </c>
      <c r="I830" s="1">
        <v>0</v>
      </c>
      <c r="J830" s="4"/>
      <c r="K830" s="1">
        <v>0</v>
      </c>
      <c r="L830" s="1">
        <v>0</v>
      </c>
      <c r="M830" s="32">
        <f>IF(Mecze[[#This Row],[PR]]=0,0,Mecze[[#This Row],[PR]]/Mecze[[#This Row],[CZAS]])</f>
        <v>0</v>
      </c>
      <c r="N830" s="32">
        <f>IF(Mecze[[#This Row],[OU]]=0,0,Mecze[[#This Row],[OU]]/Mecze[[#This Row],[CZAS]])</f>
        <v>0</v>
      </c>
      <c r="O830" s="32">
        <f>IF(Mecze[[#This Row],[PC]]=0,0,Mecze[[#This Row],[PC]]/Mecze[[#This Row],[CZAS]])</f>
        <v>3.125E-2</v>
      </c>
      <c r="P830" s="32">
        <f>IF(Mecze[[#This Row],[SC]]=0,0,Mecze[[#This Row],[SC]]/Mecze[[#This Row],[CZAS]])</f>
        <v>0</v>
      </c>
      <c r="Q830" s="32">
        <f>IF(Mecze[[#This Row],[OB]]=0,0,Mecze[[#This Row],[OB]]/Mecze[[#This Row],[CZAS]])</f>
        <v>0</v>
      </c>
      <c r="R830" s="32">
        <f>IF(Mecze[[#This Row],[BR]]=0,0,Mecze[[#This Row],[BR]]/Mecze[[#This Row],[CZAS]])</f>
        <v>0</v>
      </c>
      <c r="S830" s="44">
        <f>IF(Mecze[[#This Row],[Role]]="BR",SUMPRODUCT(Mecze[[#This Row],[/PR:90]:[/BR:90]],Brudnopis!$E$23:$J$23),0)</f>
        <v>0</v>
      </c>
      <c r="T830" s="44">
        <f>IF(Mecze[[#This Row],[Role]]&lt;&gt;"BR",SUMPRODUCT(Mecze[[#This Row],[/PR:90]:[/BR:90]],Brudnopis!$E$24:$J$24),0)</f>
        <v>3.125E-2</v>
      </c>
      <c r="U830" s="44">
        <f>IF(Mecze[[#This Row],[Role]]&lt;&gt;"BR",SUMPRODUCT(Mecze[[#This Row],[/PR:90]:[/BR:90]],Brudnopis!$E$25:$J$25),0)</f>
        <v>4.6875E-2</v>
      </c>
      <c r="V830" s="44">
        <f>IF(Mecze[[#This Row],[Role]]&lt;&gt;"BR",SUMPRODUCT(Mecze[[#This Row],[/PR:90]:[/BR:90]],Brudnopis!$E$26:$J$26),0)</f>
        <v>3.125E-2</v>
      </c>
      <c r="W830" s="44">
        <f>IF(Mecze[[#This Row],[Role]]&lt;&gt;"BR",SUMPRODUCT(Mecze[[#This Row],[/PR:90]:[/BR:90]],Brudnopis!$E$27:$J$27),0)</f>
        <v>4.6875E-2</v>
      </c>
      <c r="X830" s="44">
        <f>IF(Mecze[[#This Row],[Role]]&lt;&gt;"BR",SUMPRODUCT(Mecze[[#This Row],[/PR:90]:[/BR:90]],Brudnopis!$E$28:$J$28),0)</f>
        <v>3.125E-2</v>
      </c>
      <c r="Y830" s="35">
        <f>IF(Mecze[[#This Row],[Role]]="BR",Mecze[[#This Row],[/OB:90]]+Mecze[[#This Row],[/PC:90]],SUM(Mecze[[#This Row],[/PR:90]:[/BR:90]]))</f>
        <v>3.125E-2</v>
      </c>
      <c r="Z830" s="35">
        <f>IF(Mecze[[#This Row],[KC]]=0,SUM(Mecze[[#This Row],[/BRI]:[/NPI]]),SUM(Mecze[[#This Row],[/BRI]:[/NPI]])*0.6)</f>
        <v>0.1875</v>
      </c>
      <c r="AA830" s="10">
        <f>IFERROR(Mecze[[#This Row],[BR]]/Mecze[[#This Row],[ST]],0)</f>
        <v>0</v>
      </c>
      <c r="AB830">
        <f>ROUND(Mecze[[#This Row],[PD]]*Mecze[[#This Row],[%PC]],0)</f>
        <v>3</v>
      </c>
      <c r="AC830">
        <f>ROUND(Mecze[[#This Row],[OD]]*Mecze[[#This Row],[%OU]],0)</f>
        <v>0</v>
      </c>
      <c r="AD830" s="41" t="s">
        <v>44</v>
      </c>
      <c r="AE830" s="36">
        <v>47</v>
      </c>
      <c r="AF830" s="71">
        <v>2.7</v>
      </c>
      <c r="AG830" s="37">
        <v>0</v>
      </c>
      <c r="AH830" s="37">
        <v>0</v>
      </c>
      <c r="AI830" s="37">
        <v>96</v>
      </c>
      <c r="AJ830" s="37">
        <v>1</v>
      </c>
      <c r="AK830" s="37" t="str">
        <f>VLOOKUP(Mecze[[#This Row],[Match ID]],Meczusie[Mecz]:Meczusie[RodzajMeczu],2,FALSE)</f>
        <v>Towarzyski</v>
      </c>
    </row>
    <row r="831" spans="1:37" x14ac:dyDescent="0.25">
      <c r="A831" s="76">
        <v>53</v>
      </c>
      <c r="B831" s="3" t="s">
        <v>415</v>
      </c>
      <c r="C831" s="2" t="s">
        <v>165</v>
      </c>
      <c r="D831" s="1">
        <v>0</v>
      </c>
      <c r="E831" s="1">
        <v>1</v>
      </c>
      <c r="F831" s="1">
        <v>1</v>
      </c>
      <c r="G831" s="1">
        <v>3</v>
      </c>
      <c r="H831" s="4">
        <v>0.67</v>
      </c>
      <c r="I831" s="1">
        <v>3</v>
      </c>
      <c r="J831" s="4">
        <v>0</v>
      </c>
      <c r="K831" s="1">
        <v>0</v>
      </c>
      <c r="L831" s="1">
        <v>1</v>
      </c>
      <c r="M831" s="32">
        <f>IF(Mecze[[#This Row],[PR]]=0,0,Mecze[[#This Row],[PR]]/Mecze[[#This Row],[CZAS]])</f>
        <v>1.0416666666666666E-2</v>
      </c>
      <c r="N831" s="32">
        <f>IF(Mecze[[#This Row],[OU]]=0,0,Mecze[[#This Row],[OU]]/Mecze[[#This Row],[CZAS]])</f>
        <v>0</v>
      </c>
      <c r="O831" s="32">
        <f>IF(Mecze[[#This Row],[PC]]=0,0,Mecze[[#This Row],[PC]]/Mecze[[#This Row],[CZAS]])</f>
        <v>2.0833333333333332E-2</v>
      </c>
      <c r="P831" s="32">
        <f>IF(Mecze[[#This Row],[SC]]=0,0,Mecze[[#This Row],[SC]]/Mecze[[#This Row],[CZAS]])</f>
        <v>1.0416666666666666E-2</v>
      </c>
      <c r="Q831" s="32">
        <f>IF(Mecze[[#This Row],[OB]]=0,0,Mecze[[#This Row],[OB]]/Mecze[[#This Row],[CZAS]])</f>
        <v>0</v>
      </c>
      <c r="R831" s="32">
        <f>IF(Mecze[[#This Row],[BR]]=0,0,Mecze[[#This Row],[BR]]/Mecze[[#This Row],[CZAS]])</f>
        <v>0</v>
      </c>
      <c r="S831" s="44">
        <f>IF(Mecze[[#This Row],[Role]]="BR",SUMPRODUCT(Mecze[[#This Row],[/PR:90]:[/BR:90]],Brudnopis!$E$23:$J$23),0)</f>
        <v>0</v>
      </c>
      <c r="T831" s="44">
        <f>IF(Mecze[[#This Row],[Role]]&lt;&gt;"BR",SUMPRODUCT(Mecze[[#This Row],[/PR:90]:[/BR:90]],Brudnopis!$E$24:$J$24),0)</f>
        <v>4.1666666666666664E-2</v>
      </c>
      <c r="U831" s="44">
        <f>IF(Mecze[[#This Row],[Role]]&lt;&gt;"BR",SUMPRODUCT(Mecze[[#This Row],[/PR:90]:[/BR:90]],Brudnopis!$E$25:$J$25),0)</f>
        <v>5.2083333333333329E-2</v>
      </c>
      <c r="V831" s="44">
        <f>IF(Mecze[[#This Row],[Role]]&lt;&gt;"BR",SUMPRODUCT(Mecze[[#This Row],[/PR:90]:[/BR:90]],Brudnopis!$E$26:$J$26),0)</f>
        <v>4.1666666666666664E-2</v>
      </c>
      <c r="W831" s="44">
        <f>IF(Mecze[[#This Row],[Role]]&lt;&gt;"BR",SUMPRODUCT(Mecze[[#This Row],[/PR:90]:[/BR:90]],Brudnopis!$E$27:$J$27),0)</f>
        <v>4.9479166666666664E-2</v>
      </c>
      <c r="X831" s="44">
        <f>IF(Mecze[[#This Row],[Role]]&lt;&gt;"BR",SUMPRODUCT(Mecze[[#This Row],[/PR:90]:[/BR:90]],Brudnopis!$E$28:$J$28),0)</f>
        <v>4.1666666666666664E-2</v>
      </c>
      <c r="Y831" s="35">
        <f>IF(Mecze[[#This Row],[Role]]="BR",Mecze[[#This Row],[/OB:90]]+Mecze[[#This Row],[/PC:90]],SUM(Mecze[[#This Row],[/PR:90]:[/BR:90]]))</f>
        <v>4.1666666666666664E-2</v>
      </c>
      <c r="Z831" s="35">
        <f>IF(Mecze[[#This Row],[KC]]=0,SUM(Mecze[[#This Row],[/BRI]:[/NPI]]),SUM(Mecze[[#This Row],[/BRI]:[/NPI]])*0.6)</f>
        <v>0.22656249999999997</v>
      </c>
      <c r="AA831" s="10">
        <f>IFERROR(Mecze[[#This Row],[BR]]/Mecze[[#This Row],[ST]],0)</f>
        <v>0</v>
      </c>
      <c r="AB831">
        <f>ROUND(Mecze[[#This Row],[PD]]*Mecze[[#This Row],[%PC]],0)</f>
        <v>2</v>
      </c>
      <c r="AC831">
        <f>ROUND(Mecze[[#This Row],[OD]]*Mecze[[#This Row],[%OU]],0)</f>
        <v>0</v>
      </c>
      <c r="AD831" s="41" t="s">
        <v>46</v>
      </c>
      <c r="AE831" s="36">
        <v>47</v>
      </c>
      <c r="AF831" s="71">
        <v>2.93</v>
      </c>
      <c r="AG831" s="37">
        <v>0</v>
      </c>
      <c r="AH831" s="37">
        <v>0</v>
      </c>
      <c r="AI831" s="37">
        <v>96</v>
      </c>
      <c r="AJ831" s="37">
        <v>1</v>
      </c>
      <c r="AK831" s="37" t="str">
        <f>VLOOKUP(Mecze[[#This Row],[Match ID]],Meczusie[Mecz]:Meczusie[RodzajMeczu],2,FALSE)</f>
        <v>Towarzyski</v>
      </c>
    </row>
    <row r="832" spans="1:37" x14ac:dyDescent="0.25">
      <c r="A832" s="76">
        <v>26</v>
      </c>
      <c r="B832" s="3" t="s">
        <v>368</v>
      </c>
      <c r="C832" s="2" t="s">
        <v>165</v>
      </c>
      <c r="D832" s="1">
        <v>1</v>
      </c>
      <c r="E832" s="1">
        <v>2</v>
      </c>
      <c r="F832" s="1">
        <v>2</v>
      </c>
      <c r="G832" s="1">
        <v>6</v>
      </c>
      <c r="H832" s="4">
        <v>0.5</v>
      </c>
      <c r="I832" s="1">
        <v>4</v>
      </c>
      <c r="J832" s="4">
        <v>0.5</v>
      </c>
      <c r="K832" s="1">
        <v>0</v>
      </c>
      <c r="L832" s="1">
        <v>0</v>
      </c>
      <c r="M832" s="32">
        <f>IF(Mecze[[#This Row],[PR]]=0,0,Mecze[[#This Row],[PR]]/Mecze[[#This Row],[CZAS]])</f>
        <v>0</v>
      </c>
      <c r="N832" s="32">
        <f>IF(Mecze[[#This Row],[OU]]=0,0,Mecze[[#This Row],[OU]]/Mecze[[#This Row],[CZAS]])</f>
        <v>2.0833333333333332E-2</v>
      </c>
      <c r="O832" s="32">
        <f>IF(Mecze[[#This Row],[PC]]=0,0,Mecze[[#This Row],[PC]]/Mecze[[#This Row],[CZAS]])</f>
        <v>3.125E-2</v>
      </c>
      <c r="P832" s="32">
        <f>IF(Mecze[[#This Row],[SC]]=0,0,Mecze[[#This Row],[SC]]/Mecze[[#This Row],[CZAS]])</f>
        <v>2.0833333333333332E-2</v>
      </c>
      <c r="Q832" s="32">
        <f>IF(Mecze[[#This Row],[OB]]=0,0,Mecze[[#This Row],[OB]]/Mecze[[#This Row],[CZAS]])</f>
        <v>0</v>
      </c>
      <c r="R832" s="32">
        <f>IF(Mecze[[#This Row],[BR]]=0,0,Mecze[[#This Row],[BR]]/Mecze[[#This Row],[CZAS]])</f>
        <v>1.0416666666666666E-2</v>
      </c>
      <c r="S832" s="44">
        <f>IF(Mecze[[#This Row],[Role]]="BR",SUMPRODUCT(Mecze[[#This Row],[/PR:90]:[/BR:90]],Brudnopis!$E$23:$J$23),0)</f>
        <v>0</v>
      </c>
      <c r="T832" s="44">
        <f>IF(Mecze[[#This Row],[Role]]&lt;&gt;"BR",SUMPRODUCT(Mecze[[#This Row],[/PR:90]:[/BR:90]],Brudnopis!$E$24:$J$24),0)</f>
        <v>9.8958333333333329E-2</v>
      </c>
      <c r="U832" s="44">
        <f>IF(Mecze[[#This Row],[Role]]&lt;&gt;"BR",SUMPRODUCT(Mecze[[#This Row],[/PR:90]:[/BR:90]],Brudnopis!$E$25:$J$25),0)</f>
        <v>0.10416666666666666</v>
      </c>
      <c r="V832" s="44">
        <f>IF(Mecze[[#This Row],[Role]]&lt;&gt;"BR",SUMPRODUCT(Mecze[[#This Row],[/PR:90]:[/BR:90]],Brudnopis!$E$26:$J$26),0)</f>
        <v>9.3749999999999986E-2</v>
      </c>
      <c r="W832" s="44">
        <f>IF(Mecze[[#This Row],[Role]]&lt;&gt;"BR",SUMPRODUCT(Mecze[[#This Row],[/PR:90]:[/BR:90]],Brudnopis!$E$27:$J$27),0)</f>
        <v>0.10416666666666666</v>
      </c>
      <c r="X832" s="44">
        <f>IF(Mecze[[#This Row],[Role]]&lt;&gt;"BR",SUMPRODUCT(Mecze[[#This Row],[/PR:90]:[/BR:90]],Brudnopis!$E$28:$J$28),0)</f>
        <v>0.10416666666666666</v>
      </c>
      <c r="Y832" s="35">
        <f>IF(Mecze[[#This Row],[Role]]="BR",Mecze[[#This Row],[/OB:90]]+Mecze[[#This Row],[/PC:90]],SUM(Mecze[[#This Row],[/PR:90]:[/BR:90]]))</f>
        <v>8.3333333333333329E-2</v>
      </c>
      <c r="Z832" s="35">
        <f>IF(Mecze[[#This Row],[KC]]=0,SUM(Mecze[[#This Row],[/BRI]:[/NPI]]),SUM(Mecze[[#This Row],[/BRI]:[/NPI]])*0.6)</f>
        <v>0.50520833333333326</v>
      </c>
      <c r="AA832" s="10">
        <f>IFERROR(Mecze[[#This Row],[BR]]/Mecze[[#This Row],[ST]],0)</f>
        <v>0.5</v>
      </c>
      <c r="AB832">
        <f>ROUND(Mecze[[#This Row],[PD]]*Mecze[[#This Row],[%PC]],0)</f>
        <v>3</v>
      </c>
      <c r="AC832">
        <f>ROUND(Mecze[[#This Row],[OD]]*Mecze[[#This Row],[%OU]],0)</f>
        <v>2</v>
      </c>
      <c r="AD832" s="41" t="s">
        <v>46</v>
      </c>
      <c r="AE832" s="36">
        <v>47</v>
      </c>
      <c r="AF832" s="71">
        <v>6.78</v>
      </c>
      <c r="AG832" s="37">
        <v>0</v>
      </c>
      <c r="AH832" s="37">
        <v>0</v>
      </c>
      <c r="AI832" s="37">
        <v>96</v>
      </c>
      <c r="AJ832" s="37">
        <v>1</v>
      </c>
      <c r="AK832" s="37" t="str">
        <f>VLOOKUP(Mecze[[#This Row],[Match ID]],Meczusie[Mecz]:Meczusie[RodzajMeczu],2,FALSE)</f>
        <v>Towarzyski</v>
      </c>
    </row>
    <row r="833" spans="1:37" x14ac:dyDescent="0.25">
      <c r="A833" s="76">
        <v>48</v>
      </c>
      <c r="B833" s="3" t="s">
        <v>414</v>
      </c>
      <c r="C833" s="2" t="s">
        <v>165</v>
      </c>
      <c r="D833" s="1">
        <v>0</v>
      </c>
      <c r="E833" s="1">
        <v>0</v>
      </c>
      <c r="F833" s="1">
        <v>0</v>
      </c>
      <c r="G833" s="1">
        <v>4</v>
      </c>
      <c r="H833" s="4">
        <v>0.75</v>
      </c>
      <c r="I833" s="1">
        <v>7</v>
      </c>
      <c r="J833" s="4">
        <v>0</v>
      </c>
      <c r="K833" s="1">
        <v>0</v>
      </c>
      <c r="L833" s="1">
        <v>0</v>
      </c>
      <c r="M833" s="32">
        <f>IF(Mecze[[#This Row],[PR]]=0,0,Mecze[[#This Row],[PR]]/Mecze[[#This Row],[CZAS]])</f>
        <v>0</v>
      </c>
      <c r="N833" s="32">
        <f>IF(Mecze[[#This Row],[OU]]=0,0,Mecze[[#This Row],[OU]]/Mecze[[#This Row],[CZAS]])</f>
        <v>0</v>
      </c>
      <c r="O833" s="32">
        <f>IF(Mecze[[#This Row],[PC]]=0,0,Mecze[[#This Row],[PC]]/Mecze[[#This Row],[CZAS]])</f>
        <v>3.125E-2</v>
      </c>
      <c r="P833" s="32">
        <f>IF(Mecze[[#This Row],[SC]]=0,0,Mecze[[#This Row],[SC]]/Mecze[[#This Row],[CZAS]])</f>
        <v>0</v>
      </c>
      <c r="Q833" s="32">
        <f>IF(Mecze[[#This Row],[OB]]=0,0,Mecze[[#This Row],[OB]]/Mecze[[#This Row],[CZAS]])</f>
        <v>0</v>
      </c>
      <c r="R833" s="32">
        <f>IF(Mecze[[#This Row],[BR]]=0,0,Mecze[[#This Row],[BR]]/Mecze[[#This Row],[CZAS]])</f>
        <v>0</v>
      </c>
      <c r="S833" s="44">
        <f>IF(Mecze[[#This Row],[Role]]="BR",SUMPRODUCT(Mecze[[#This Row],[/PR:90]:[/BR:90]],Brudnopis!$E$23:$J$23),0)</f>
        <v>0</v>
      </c>
      <c r="T833" s="44">
        <f>IF(Mecze[[#This Row],[Role]]&lt;&gt;"BR",SUMPRODUCT(Mecze[[#This Row],[/PR:90]:[/BR:90]],Brudnopis!$E$24:$J$24),0)</f>
        <v>3.125E-2</v>
      </c>
      <c r="U833" s="44">
        <f>IF(Mecze[[#This Row],[Role]]&lt;&gt;"BR",SUMPRODUCT(Mecze[[#This Row],[/PR:90]:[/BR:90]],Brudnopis!$E$25:$J$25),0)</f>
        <v>4.6875E-2</v>
      </c>
      <c r="V833" s="44">
        <f>IF(Mecze[[#This Row],[Role]]&lt;&gt;"BR",SUMPRODUCT(Mecze[[#This Row],[/PR:90]:[/BR:90]],Brudnopis!$E$26:$J$26),0)</f>
        <v>3.125E-2</v>
      </c>
      <c r="W833" s="44">
        <f>IF(Mecze[[#This Row],[Role]]&lt;&gt;"BR",SUMPRODUCT(Mecze[[#This Row],[/PR:90]:[/BR:90]],Brudnopis!$E$27:$J$27),0)</f>
        <v>4.6875E-2</v>
      </c>
      <c r="X833" s="44">
        <f>IF(Mecze[[#This Row],[Role]]&lt;&gt;"BR",SUMPRODUCT(Mecze[[#This Row],[/PR:90]:[/BR:90]],Brudnopis!$E$28:$J$28),0)</f>
        <v>3.125E-2</v>
      </c>
      <c r="Y833" s="35">
        <f>IF(Mecze[[#This Row],[Role]]="BR",Mecze[[#This Row],[/OB:90]]+Mecze[[#This Row],[/PC:90]],SUM(Mecze[[#This Row],[/PR:90]:[/BR:90]]))</f>
        <v>3.125E-2</v>
      </c>
      <c r="Z833" s="35">
        <f>IF(Mecze[[#This Row],[KC]]=0,SUM(Mecze[[#This Row],[/BRI]:[/NPI]]),SUM(Mecze[[#This Row],[/BRI]:[/NPI]])*0.6)</f>
        <v>0.1875</v>
      </c>
      <c r="AA833" s="10">
        <f>IFERROR(Mecze[[#This Row],[BR]]/Mecze[[#This Row],[ST]],0)</f>
        <v>0</v>
      </c>
      <c r="AB833">
        <f>ROUND(Mecze[[#This Row],[PD]]*Mecze[[#This Row],[%PC]],0)</f>
        <v>3</v>
      </c>
      <c r="AC833">
        <f>ROUND(Mecze[[#This Row],[OD]]*Mecze[[#This Row],[%OU]],0)</f>
        <v>0</v>
      </c>
      <c r="AD833" s="42" t="s">
        <v>272</v>
      </c>
      <c r="AE833" s="36">
        <v>47</v>
      </c>
      <c r="AF833" s="71">
        <v>2.71</v>
      </c>
      <c r="AG833" s="37">
        <v>0</v>
      </c>
      <c r="AH833" s="37">
        <v>0</v>
      </c>
      <c r="AI833" s="37">
        <v>96</v>
      </c>
      <c r="AJ833" s="37">
        <v>1</v>
      </c>
      <c r="AK833" s="37" t="str">
        <f>VLOOKUP(Mecze[[#This Row],[Match ID]],Meczusie[Mecz]:Meczusie[RodzajMeczu],2,FALSE)</f>
        <v>Towarzyski</v>
      </c>
    </row>
    <row r="834" spans="1:37" x14ac:dyDescent="0.25">
      <c r="A834" s="76">
        <v>1</v>
      </c>
      <c r="B834" s="3" t="s">
        <v>169</v>
      </c>
      <c r="C834" s="2" t="s">
        <v>155</v>
      </c>
      <c r="D834" s="1">
        <v>0</v>
      </c>
      <c r="E834" s="1">
        <v>0</v>
      </c>
      <c r="F834" s="1">
        <v>0</v>
      </c>
      <c r="G834" s="1">
        <v>20</v>
      </c>
      <c r="H834" s="4">
        <v>0.45</v>
      </c>
      <c r="I834" s="1">
        <v>0</v>
      </c>
      <c r="J834" s="4"/>
      <c r="K834" s="1">
        <v>16</v>
      </c>
      <c r="L834" s="1">
        <v>0</v>
      </c>
      <c r="M834" s="32">
        <f>IF(Mecze[[#This Row],[PR]]=0,0,Mecze[[#This Row],[PR]]/Mecze[[#This Row],[CZAS]])</f>
        <v>0</v>
      </c>
      <c r="N834" s="32">
        <f>IF(Mecze[[#This Row],[OU]]=0,0,Mecze[[#This Row],[OU]]/Mecze[[#This Row],[CZAS]])</f>
        <v>0</v>
      </c>
      <c r="O834" s="32">
        <f>IF(Mecze[[#This Row],[PC]]=0,0,Mecze[[#This Row],[PC]]/Mecze[[#This Row],[CZAS]])</f>
        <v>9.375E-2</v>
      </c>
      <c r="P834" s="32">
        <f>IF(Mecze[[#This Row],[SC]]=0,0,Mecze[[#This Row],[SC]]/Mecze[[#This Row],[CZAS]])</f>
        <v>0</v>
      </c>
      <c r="Q834" s="32">
        <f>IF(Mecze[[#This Row],[OB]]=0,0,Mecze[[#This Row],[OB]]/Mecze[[#This Row],[CZAS]])</f>
        <v>0.16666666666666666</v>
      </c>
      <c r="R834" s="32">
        <f>IF(Mecze[[#This Row],[BR]]=0,0,Mecze[[#This Row],[BR]]/Mecze[[#This Row],[CZAS]])</f>
        <v>0</v>
      </c>
      <c r="S834" s="44">
        <f>IF(Mecze[[#This Row],[Role]]="BR",SUMPRODUCT(Mecze[[#This Row],[/PR:90]:[/BR:90]],Brudnopis!$E$23:$J$23),0)</f>
        <v>0.78125</v>
      </c>
      <c r="T834" s="44">
        <f>IF(Mecze[[#This Row],[Role]]&lt;&gt;"BR",SUMPRODUCT(Mecze[[#This Row],[/PR:90]:[/BR:90]],Brudnopis!$E$24:$J$24),0)</f>
        <v>0</v>
      </c>
      <c r="U834" s="44">
        <f>IF(Mecze[[#This Row],[Role]]&lt;&gt;"BR",SUMPRODUCT(Mecze[[#This Row],[/PR:90]:[/BR:90]],Brudnopis!$E$25:$J$25),0)</f>
        <v>0</v>
      </c>
      <c r="V834" s="44">
        <f>IF(Mecze[[#This Row],[Role]]&lt;&gt;"BR",SUMPRODUCT(Mecze[[#This Row],[/PR:90]:[/BR:90]],Brudnopis!$E$26:$J$26),0)</f>
        <v>0</v>
      </c>
      <c r="W834" s="44">
        <f>IF(Mecze[[#This Row],[Role]]&lt;&gt;"BR",SUMPRODUCT(Mecze[[#This Row],[/PR:90]:[/BR:90]],Brudnopis!$E$27:$J$27),0)</f>
        <v>0</v>
      </c>
      <c r="X834" s="44">
        <f>IF(Mecze[[#This Row],[Role]]&lt;&gt;"BR",SUMPRODUCT(Mecze[[#This Row],[/PR:90]:[/BR:90]],Brudnopis!$E$28:$J$28),0)</f>
        <v>0</v>
      </c>
      <c r="Y834" s="35">
        <f>IF(Mecze[[#This Row],[Role]]="BR",Mecze[[#This Row],[/OB:90]]+Mecze[[#This Row],[/PC:90]],SUM(Mecze[[#This Row],[/PR:90]:[/BR:90]]))</f>
        <v>0.26041666666666663</v>
      </c>
      <c r="Z834" s="35">
        <f>IF(Mecze[[#This Row],[KC]]=0,SUM(Mecze[[#This Row],[/BRI]:[/NPI]]),SUM(Mecze[[#This Row],[/BRI]:[/NPI]])*0.6)</f>
        <v>0.78125</v>
      </c>
      <c r="AA834" s="10">
        <f>IFERROR(Mecze[[#This Row],[BR]]/Mecze[[#This Row],[ST]],0)</f>
        <v>0</v>
      </c>
      <c r="AB834">
        <f>ROUND(Mecze[[#This Row],[PD]]*Mecze[[#This Row],[%PC]],0)</f>
        <v>9</v>
      </c>
      <c r="AC834">
        <f>ROUND(Mecze[[#This Row],[OD]]*Mecze[[#This Row],[%OU]],0)</f>
        <v>0</v>
      </c>
      <c r="AD834" s="36" t="s">
        <v>40</v>
      </c>
      <c r="AE834" s="36">
        <v>48</v>
      </c>
      <c r="AF834" s="71">
        <v>8.3000000000000007</v>
      </c>
      <c r="AG834" s="37">
        <v>0</v>
      </c>
      <c r="AH834" s="37">
        <v>0</v>
      </c>
      <c r="AI834" s="37">
        <v>96</v>
      </c>
      <c r="AJ834" s="37">
        <v>1</v>
      </c>
      <c r="AK834" s="37" t="str">
        <f>VLOOKUP(Mecze[[#This Row],[Match ID]],Meczusie[Mecz]:Meczusie[RodzajMeczu],2,FALSE)</f>
        <v>Liga</v>
      </c>
    </row>
    <row r="835" spans="1:37" x14ac:dyDescent="0.25">
      <c r="A835" s="76">
        <v>2</v>
      </c>
      <c r="B835" s="3" t="s">
        <v>156</v>
      </c>
      <c r="C835" s="2" t="s">
        <v>157</v>
      </c>
      <c r="D835" s="1">
        <v>0</v>
      </c>
      <c r="E835" s="1">
        <v>0</v>
      </c>
      <c r="F835" s="1">
        <v>0</v>
      </c>
      <c r="G835" s="1">
        <v>8</v>
      </c>
      <c r="H835" s="4">
        <v>0.5</v>
      </c>
      <c r="I835" s="1">
        <v>6</v>
      </c>
      <c r="J835" s="4">
        <v>0.5</v>
      </c>
      <c r="K835" s="1">
        <v>0</v>
      </c>
      <c r="L835" s="1">
        <v>2</v>
      </c>
      <c r="M835" s="32">
        <f>IF(Mecze[[#This Row],[PR]]=0,0,Mecze[[#This Row],[PR]]/Mecze[[#This Row],[CZAS]])</f>
        <v>2.0833333333333332E-2</v>
      </c>
      <c r="N835" s="32">
        <f>IF(Mecze[[#This Row],[OU]]=0,0,Mecze[[#This Row],[OU]]/Mecze[[#This Row],[CZAS]])</f>
        <v>3.125E-2</v>
      </c>
      <c r="O835" s="32">
        <f>IF(Mecze[[#This Row],[PC]]=0,0,Mecze[[#This Row],[PC]]/Mecze[[#This Row],[CZAS]])</f>
        <v>4.1666666666666664E-2</v>
      </c>
      <c r="P835" s="32">
        <f>IF(Mecze[[#This Row],[SC]]=0,0,Mecze[[#This Row],[SC]]/Mecze[[#This Row],[CZAS]])</f>
        <v>0</v>
      </c>
      <c r="Q835" s="32">
        <f>IF(Mecze[[#This Row],[OB]]=0,0,Mecze[[#This Row],[OB]]/Mecze[[#This Row],[CZAS]])</f>
        <v>0</v>
      </c>
      <c r="R835" s="32">
        <f>IF(Mecze[[#This Row],[BR]]=0,0,Mecze[[#This Row],[BR]]/Mecze[[#This Row],[CZAS]])</f>
        <v>0</v>
      </c>
      <c r="S835" s="44">
        <f>IF(Mecze[[#This Row],[Role]]="BR",SUMPRODUCT(Mecze[[#This Row],[/PR:90]:[/BR:90]],Brudnopis!$E$23:$J$23),0)</f>
        <v>0</v>
      </c>
      <c r="T835" s="44">
        <f>IF(Mecze[[#This Row],[Role]]&lt;&gt;"BR",SUMPRODUCT(Mecze[[#This Row],[/PR:90]:[/BR:90]],Brudnopis!$E$24:$J$24),0)</f>
        <v>0.109375</v>
      </c>
      <c r="U835" s="44">
        <f>IF(Mecze[[#This Row],[Role]]&lt;&gt;"BR",SUMPRODUCT(Mecze[[#This Row],[/PR:90]:[/BR:90]],Brudnopis!$E$25:$J$25),0)</f>
        <v>0.11458333333333333</v>
      </c>
      <c r="V835" s="44">
        <f>IF(Mecze[[#This Row],[Role]]&lt;&gt;"BR",SUMPRODUCT(Mecze[[#This Row],[/PR:90]:[/BR:90]],Brudnopis!$E$26:$J$26),0)</f>
        <v>9.375E-2</v>
      </c>
      <c r="W835" s="44">
        <f>IF(Mecze[[#This Row],[Role]]&lt;&gt;"BR",SUMPRODUCT(Mecze[[#This Row],[/PR:90]:[/BR:90]],Brudnopis!$E$27:$J$27),0)</f>
        <v>0.1015625</v>
      </c>
      <c r="X835" s="44">
        <f>IF(Mecze[[#This Row],[Role]]&lt;&gt;"BR",SUMPRODUCT(Mecze[[#This Row],[/PR:90]:[/BR:90]],Brudnopis!$E$28:$J$28),0)</f>
        <v>4.1666666666666664E-2</v>
      </c>
      <c r="Y835" s="35">
        <f>IF(Mecze[[#This Row],[Role]]="BR",Mecze[[#This Row],[/OB:90]]+Mecze[[#This Row],[/PC:90]],SUM(Mecze[[#This Row],[/PR:90]:[/BR:90]]))</f>
        <v>9.375E-2</v>
      </c>
      <c r="Z835" s="35">
        <f>IF(Mecze[[#This Row],[KC]]=0,SUM(Mecze[[#This Row],[/BRI]:[/NPI]]),SUM(Mecze[[#This Row],[/BRI]:[/NPI]])*0.6)</f>
        <v>0.4609375</v>
      </c>
      <c r="AA835" s="10">
        <f>IFERROR(Mecze[[#This Row],[BR]]/Mecze[[#This Row],[ST]],0)</f>
        <v>0</v>
      </c>
      <c r="AB835">
        <f>ROUND(Mecze[[#This Row],[PD]]*Mecze[[#This Row],[%PC]],0)</f>
        <v>4</v>
      </c>
      <c r="AC835">
        <f>ROUND(Mecze[[#This Row],[OD]]*Mecze[[#This Row],[%OU]],0)</f>
        <v>3</v>
      </c>
      <c r="AD835" s="36" t="s">
        <v>47</v>
      </c>
      <c r="AE835" s="36">
        <v>48</v>
      </c>
      <c r="AF835" s="71">
        <v>4.24</v>
      </c>
      <c r="AG835" s="37">
        <v>0</v>
      </c>
      <c r="AH835" s="37">
        <v>0</v>
      </c>
      <c r="AI835" s="37">
        <v>96</v>
      </c>
      <c r="AJ835" s="37">
        <v>1</v>
      </c>
      <c r="AK835" s="37" t="str">
        <f>VLOOKUP(Mecze[[#This Row],[Match ID]],Meczusie[Mecz]:Meczusie[RodzajMeczu],2,FALSE)</f>
        <v>Liga</v>
      </c>
    </row>
    <row r="836" spans="1:37" x14ac:dyDescent="0.25">
      <c r="A836" s="76">
        <v>18</v>
      </c>
      <c r="B836" s="3" t="s">
        <v>211</v>
      </c>
      <c r="C836" s="2" t="s">
        <v>157</v>
      </c>
      <c r="D836" s="1">
        <v>0</v>
      </c>
      <c r="E836" s="1">
        <v>0</v>
      </c>
      <c r="F836" s="1">
        <v>0</v>
      </c>
      <c r="G836" s="1">
        <v>5</v>
      </c>
      <c r="H836" s="4">
        <v>0.4</v>
      </c>
      <c r="I836" s="1">
        <v>13</v>
      </c>
      <c r="J836" s="4">
        <v>0.15</v>
      </c>
      <c r="K836" s="1">
        <v>0</v>
      </c>
      <c r="L836" s="1">
        <v>11</v>
      </c>
      <c r="M836" s="32">
        <f>IF(Mecze[[#This Row],[PR]]=0,0,Mecze[[#This Row],[PR]]/Mecze[[#This Row],[CZAS]])</f>
        <v>0.11458333333333333</v>
      </c>
      <c r="N836" s="32">
        <f>IF(Mecze[[#This Row],[OU]]=0,0,Mecze[[#This Row],[OU]]/Mecze[[#This Row],[CZAS]])</f>
        <v>2.0833333333333332E-2</v>
      </c>
      <c r="O836" s="32">
        <f>IF(Mecze[[#This Row],[PC]]=0,0,Mecze[[#This Row],[PC]]/Mecze[[#This Row],[CZAS]])</f>
        <v>2.0833333333333332E-2</v>
      </c>
      <c r="P836" s="32">
        <f>IF(Mecze[[#This Row],[SC]]=0,0,Mecze[[#This Row],[SC]]/Mecze[[#This Row],[CZAS]])</f>
        <v>0</v>
      </c>
      <c r="Q836" s="32">
        <f>IF(Mecze[[#This Row],[OB]]=0,0,Mecze[[#This Row],[OB]]/Mecze[[#This Row],[CZAS]])</f>
        <v>0</v>
      </c>
      <c r="R836" s="32">
        <f>IF(Mecze[[#This Row],[BR]]=0,0,Mecze[[#This Row],[BR]]/Mecze[[#This Row],[CZAS]])</f>
        <v>0</v>
      </c>
      <c r="S836" s="44">
        <f>IF(Mecze[[#This Row],[Role]]="BR",SUMPRODUCT(Mecze[[#This Row],[/PR:90]:[/BR:90]],Brudnopis!$E$23:$J$23),0)</f>
        <v>0</v>
      </c>
      <c r="T836" s="44">
        <f>IF(Mecze[[#This Row],[Role]]&lt;&gt;"BR",SUMPRODUCT(Mecze[[#This Row],[/PR:90]:[/BR:90]],Brudnopis!$E$24:$J$24),0)</f>
        <v>0.16666666666666666</v>
      </c>
      <c r="U836" s="44">
        <f>IF(Mecze[[#This Row],[Role]]&lt;&gt;"BR",SUMPRODUCT(Mecze[[#This Row],[/PR:90]:[/BR:90]],Brudnopis!$E$25:$J$25),0)</f>
        <v>0.16666666666666666</v>
      </c>
      <c r="V836" s="44">
        <f>IF(Mecze[[#This Row],[Role]]&lt;&gt;"BR",SUMPRODUCT(Mecze[[#This Row],[/PR:90]:[/BR:90]],Brudnopis!$E$26:$J$26),0)</f>
        <v>0.15625</v>
      </c>
      <c r="W836" s="44">
        <f>IF(Mecze[[#This Row],[Role]]&lt;&gt;"BR",SUMPRODUCT(Mecze[[#This Row],[/PR:90]:[/BR:90]],Brudnopis!$E$27:$J$27),0)</f>
        <v>0.1328125</v>
      </c>
      <c r="X836" s="44">
        <f>IF(Mecze[[#This Row],[Role]]&lt;&gt;"BR",SUMPRODUCT(Mecze[[#This Row],[/PR:90]:[/BR:90]],Brudnopis!$E$28:$J$28),0)</f>
        <v>2.0833333333333332E-2</v>
      </c>
      <c r="Y836" s="35">
        <f>IF(Mecze[[#This Row],[Role]]="BR",Mecze[[#This Row],[/OB:90]]+Mecze[[#This Row],[/PC:90]],SUM(Mecze[[#This Row],[/PR:90]:[/BR:90]]))</f>
        <v>0.15625</v>
      </c>
      <c r="Z836" s="35">
        <f>IF(Mecze[[#This Row],[KC]]=0,SUM(Mecze[[#This Row],[/BRI]:[/NPI]]),SUM(Mecze[[#This Row],[/BRI]:[/NPI]])*0.6)</f>
        <v>0.64322916666666663</v>
      </c>
      <c r="AA836" s="10">
        <f>IFERROR(Mecze[[#This Row],[BR]]/Mecze[[#This Row],[ST]],0)</f>
        <v>0</v>
      </c>
      <c r="AB836">
        <f>ROUND(Mecze[[#This Row],[PD]]*Mecze[[#This Row],[%PC]],0)</f>
        <v>2</v>
      </c>
      <c r="AC836">
        <f>ROUND(Mecze[[#This Row],[OD]]*Mecze[[#This Row],[%OU]],0)</f>
        <v>2</v>
      </c>
      <c r="AD836" s="36" t="s">
        <v>168</v>
      </c>
      <c r="AE836" s="36">
        <v>48</v>
      </c>
      <c r="AF836" s="71">
        <v>5.01</v>
      </c>
      <c r="AG836" s="37">
        <v>0</v>
      </c>
      <c r="AH836" s="37">
        <v>0</v>
      </c>
      <c r="AI836" s="37">
        <v>96</v>
      </c>
      <c r="AJ836" s="37">
        <v>1</v>
      </c>
      <c r="AK836" s="37" t="str">
        <f>VLOOKUP(Mecze[[#This Row],[Match ID]],Meczusie[Mecz]:Meczusie[RodzajMeczu],2,FALSE)</f>
        <v>Liga</v>
      </c>
    </row>
    <row r="837" spans="1:37" x14ac:dyDescent="0.25">
      <c r="A837" s="76">
        <v>5</v>
      </c>
      <c r="B837" s="3" t="s">
        <v>161</v>
      </c>
      <c r="C837" s="2" t="s">
        <v>157</v>
      </c>
      <c r="D837" s="1">
        <v>0</v>
      </c>
      <c r="E837" s="1">
        <v>0</v>
      </c>
      <c r="F837" s="1">
        <v>0</v>
      </c>
      <c r="G837" s="1">
        <v>6</v>
      </c>
      <c r="H837" s="4">
        <v>0.5</v>
      </c>
      <c r="I837" s="1">
        <v>13</v>
      </c>
      <c r="J837" s="4">
        <v>0.62</v>
      </c>
      <c r="K837" s="1">
        <v>0</v>
      </c>
      <c r="L837" s="1">
        <v>9</v>
      </c>
      <c r="M837" s="32">
        <f>IF(Mecze[[#This Row],[PR]]=0,0,Mecze[[#This Row],[PR]]/Mecze[[#This Row],[CZAS]])</f>
        <v>9.375E-2</v>
      </c>
      <c r="N837" s="32">
        <f>IF(Mecze[[#This Row],[OU]]=0,0,Mecze[[#This Row],[OU]]/Mecze[[#This Row],[CZAS]])</f>
        <v>8.3333333333333329E-2</v>
      </c>
      <c r="O837" s="32">
        <f>IF(Mecze[[#This Row],[PC]]=0,0,Mecze[[#This Row],[PC]]/Mecze[[#This Row],[CZAS]])</f>
        <v>3.125E-2</v>
      </c>
      <c r="P837" s="32">
        <f>IF(Mecze[[#This Row],[SC]]=0,0,Mecze[[#This Row],[SC]]/Mecze[[#This Row],[CZAS]])</f>
        <v>0</v>
      </c>
      <c r="Q837" s="32">
        <f>IF(Mecze[[#This Row],[OB]]=0,0,Mecze[[#This Row],[OB]]/Mecze[[#This Row],[CZAS]])</f>
        <v>0</v>
      </c>
      <c r="R837" s="32">
        <f>IF(Mecze[[#This Row],[BR]]=0,0,Mecze[[#This Row],[BR]]/Mecze[[#This Row],[CZAS]])</f>
        <v>0</v>
      </c>
      <c r="S837" s="44">
        <f>IF(Mecze[[#This Row],[Role]]="BR",SUMPRODUCT(Mecze[[#This Row],[/PR:90]:[/BR:90]],Brudnopis!$E$23:$J$23),0)</f>
        <v>0</v>
      </c>
      <c r="T837" s="44">
        <f>IF(Mecze[[#This Row],[Role]]&lt;&gt;"BR",SUMPRODUCT(Mecze[[#This Row],[/PR:90]:[/BR:90]],Brudnopis!$E$24:$J$24),0)</f>
        <v>0.25</v>
      </c>
      <c r="U837" s="44">
        <f>IF(Mecze[[#This Row],[Role]]&lt;&gt;"BR",SUMPRODUCT(Mecze[[#This Row],[/PR:90]:[/BR:90]],Brudnopis!$E$25:$J$25),0)</f>
        <v>0.22395833333333331</v>
      </c>
      <c r="V837" s="44">
        <f>IF(Mecze[[#This Row],[Role]]&lt;&gt;"BR",SUMPRODUCT(Mecze[[#This Row],[/PR:90]:[/BR:90]],Brudnopis!$E$26:$J$26),0)</f>
        <v>0.20833333333333331</v>
      </c>
      <c r="W837" s="44">
        <f>IF(Mecze[[#This Row],[Role]]&lt;&gt;"BR",SUMPRODUCT(Mecze[[#This Row],[/PR:90]:[/BR:90]],Brudnopis!$E$27:$J$27),0)</f>
        <v>0.1796875</v>
      </c>
      <c r="X837" s="44">
        <f>IF(Mecze[[#This Row],[Role]]&lt;&gt;"BR",SUMPRODUCT(Mecze[[#This Row],[/PR:90]:[/BR:90]],Brudnopis!$E$28:$J$28),0)</f>
        <v>3.125E-2</v>
      </c>
      <c r="Y837" s="35">
        <f>IF(Mecze[[#This Row],[Role]]="BR",Mecze[[#This Row],[/OB:90]]+Mecze[[#This Row],[/PC:90]],SUM(Mecze[[#This Row],[/PR:90]:[/BR:90]]))</f>
        <v>0.20833333333333331</v>
      </c>
      <c r="Z837" s="35">
        <f>IF(Mecze[[#This Row],[KC]]=0,SUM(Mecze[[#This Row],[/BRI]:[/NPI]]),SUM(Mecze[[#This Row],[/BRI]:[/NPI]])*0.6)</f>
        <v>0.89322916666666663</v>
      </c>
      <c r="AA837" s="10">
        <f>IFERROR(Mecze[[#This Row],[BR]]/Mecze[[#This Row],[ST]],0)</f>
        <v>0</v>
      </c>
      <c r="AB837">
        <f>ROUND(Mecze[[#This Row],[PD]]*Mecze[[#This Row],[%PC]],0)</f>
        <v>3</v>
      </c>
      <c r="AC837">
        <f>ROUND(Mecze[[#This Row],[OD]]*Mecze[[#This Row],[%OU]],0)</f>
        <v>8</v>
      </c>
      <c r="AD837" s="36" t="s">
        <v>167</v>
      </c>
      <c r="AE837" s="36">
        <v>48</v>
      </c>
      <c r="AF837" s="71">
        <v>5.71</v>
      </c>
      <c r="AG837" s="37">
        <v>0</v>
      </c>
      <c r="AH837" s="37">
        <v>0</v>
      </c>
      <c r="AI837" s="37">
        <v>96</v>
      </c>
      <c r="AJ837" s="37">
        <v>1</v>
      </c>
      <c r="AK837" s="37" t="str">
        <f>VLOOKUP(Mecze[[#This Row],[Match ID]],Meczusie[Mecz]:Meczusie[RodzajMeczu],2,FALSE)</f>
        <v>Liga</v>
      </c>
    </row>
    <row r="838" spans="1:37" x14ac:dyDescent="0.25">
      <c r="A838" s="76">
        <v>13</v>
      </c>
      <c r="B838" s="3" t="s">
        <v>162</v>
      </c>
      <c r="C838" s="2" t="s">
        <v>160</v>
      </c>
      <c r="D838" s="1">
        <v>0</v>
      </c>
      <c r="E838" s="1">
        <v>1</v>
      </c>
      <c r="F838" s="1">
        <v>1</v>
      </c>
      <c r="G838" s="1">
        <v>8</v>
      </c>
      <c r="H838" s="4">
        <v>0.75</v>
      </c>
      <c r="I838" s="1">
        <v>4</v>
      </c>
      <c r="J838" s="4">
        <v>0.25</v>
      </c>
      <c r="K838" s="1">
        <v>0</v>
      </c>
      <c r="L838" s="1">
        <v>0</v>
      </c>
      <c r="M838" s="32">
        <f>IF(Mecze[[#This Row],[PR]]=0,0,Mecze[[#This Row],[PR]]/Mecze[[#This Row],[CZAS]])</f>
        <v>0</v>
      </c>
      <c r="N838" s="32">
        <f>IF(Mecze[[#This Row],[OU]]=0,0,Mecze[[#This Row],[OU]]/Mecze[[#This Row],[CZAS]])</f>
        <v>1.0416666666666666E-2</v>
      </c>
      <c r="O838" s="32">
        <f>IF(Mecze[[#This Row],[PC]]=0,0,Mecze[[#This Row],[PC]]/Mecze[[#This Row],[CZAS]])</f>
        <v>6.25E-2</v>
      </c>
      <c r="P838" s="32">
        <f>IF(Mecze[[#This Row],[SC]]=0,0,Mecze[[#This Row],[SC]]/Mecze[[#This Row],[CZAS]])</f>
        <v>1.0416666666666666E-2</v>
      </c>
      <c r="Q838" s="32">
        <f>IF(Mecze[[#This Row],[OB]]=0,0,Mecze[[#This Row],[OB]]/Mecze[[#This Row],[CZAS]])</f>
        <v>0</v>
      </c>
      <c r="R838" s="32">
        <f>IF(Mecze[[#This Row],[BR]]=0,0,Mecze[[#This Row],[BR]]/Mecze[[#This Row],[CZAS]])</f>
        <v>0</v>
      </c>
      <c r="S838" s="44">
        <f>IF(Mecze[[#This Row],[Role]]="BR",SUMPRODUCT(Mecze[[#This Row],[/PR:90]:[/BR:90]],Brudnopis!$E$23:$J$23),0)</f>
        <v>0</v>
      </c>
      <c r="T838" s="44">
        <f>IF(Mecze[[#This Row],[Role]]&lt;&gt;"BR",SUMPRODUCT(Mecze[[#This Row],[/PR:90]:[/BR:90]],Brudnopis!$E$24:$J$24),0)</f>
        <v>8.8541666666666671E-2</v>
      </c>
      <c r="U838" s="44">
        <f>IF(Mecze[[#This Row],[Role]]&lt;&gt;"BR",SUMPRODUCT(Mecze[[#This Row],[/PR:90]:[/BR:90]],Brudnopis!$E$25:$J$25),0)</f>
        <v>0.11458333333333334</v>
      </c>
      <c r="V838" s="44">
        <f>IF(Mecze[[#This Row],[Role]]&lt;&gt;"BR",SUMPRODUCT(Mecze[[#This Row],[/PR:90]:[/BR:90]],Brudnopis!$E$26:$J$26),0)</f>
        <v>8.3333333333333343E-2</v>
      </c>
      <c r="W838" s="44">
        <f>IF(Mecze[[#This Row],[Role]]&lt;&gt;"BR",SUMPRODUCT(Mecze[[#This Row],[/PR:90]:[/BR:90]],Brudnopis!$E$27:$J$27),0)</f>
        <v>0.11197916666666667</v>
      </c>
      <c r="X838" s="44">
        <f>IF(Mecze[[#This Row],[Role]]&lt;&gt;"BR",SUMPRODUCT(Mecze[[#This Row],[/PR:90]:[/BR:90]],Brudnopis!$E$28:$J$28),0)</f>
        <v>8.3333333333333329E-2</v>
      </c>
      <c r="Y838" s="35">
        <f>IF(Mecze[[#This Row],[Role]]="BR",Mecze[[#This Row],[/OB:90]]+Mecze[[#This Row],[/PC:90]],SUM(Mecze[[#This Row],[/PR:90]:[/BR:90]]))</f>
        <v>8.3333333333333343E-2</v>
      </c>
      <c r="Z838" s="35">
        <f>IF(Mecze[[#This Row],[KC]]=0,SUM(Mecze[[#This Row],[/BRI]:[/NPI]]),SUM(Mecze[[#This Row],[/BRI]:[/NPI]])*0.6)</f>
        <v>0.48177083333333337</v>
      </c>
      <c r="AA838" s="10">
        <f>IFERROR(Mecze[[#This Row],[BR]]/Mecze[[#This Row],[ST]],0)</f>
        <v>0</v>
      </c>
      <c r="AB838">
        <f>ROUND(Mecze[[#This Row],[PD]]*Mecze[[#This Row],[%PC]],0)</f>
        <v>6</v>
      </c>
      <c r="AC838">
        <f>ROUND(Mecze[[#This Row],[OD]]*Mecze[[#This Row],[%OU]],0)</f>
        <v>1</v>
      </c>
      <c r="AD838" s="36" t="s">
        <v>41</v>
      </c>
      <c r="AE838" s="36">
        <v>48</v>
      </c>
      <c r="AF838" s="71">
        <v>4.1399999999999997</v>
      </c>
      <c r="AG838" s="37">
        <v>0</v>
      </c>
      <c r="AH838" s="37">
        <v>0</v>
      </c>
      <c r="AI838" s="37">
        <v>96</v>
      </c>
      <c r="AJ838" s="37">
        <v>1</v>
      </c>
      <c r="AK838" s="37" t="str">
        <f>VLOOKUP(Mecze[[#This Row],[Match ID]],Meczusie[Mecz]:Meczusie[RodzajMeczu],2,FALSE)</f>
        <v>Liga</v>
      </c>
    </row>
    <row r="839" spans="1:37" x14ac:dyDescent="0.25">
      <c r="A839" s="76">
        <v>6</v>
      </c>
      <c r="B839" s="3" t="s">
        <v>159</v>
      </c>
      <c r="C839" s="2" t="s">
        <v>160</v>
      </c>
      <c r="D839" s="1">
        <v>0</v>
      </c>
      <c r="E839" s="1">
        <v>0</v>
      </c>
      <c r="F839" s="1">
        <v>0</v>
      </c>
      <c r="G839" s="1">
        <v>7</v>
      </c>
      <c r="H839" s="4">
        <v>0.71</v>
      </c>
      <c r="I839" s="1">
        <v>1</v>
      </c>
      <c r="J839" s="4">
        <v>0</v>
      </c>
      <c r="K839" s="1">
        <v>0</v>
      </c>
      <c r="L839" s="1">
        <v>1</v>
      </c>
      <c r="M839" s="32">
        <f>IF(Mecze[[#This Row],[PR]]=0,0,Mecze[[#This Row],[PR]]/Mecze[[#This Row],[CZAS]])</f>
        <v>1.0416666666666666E-2</v>
      </c>
      <c r="N839" s="32">
        <f>IF(Mecze[[#This Row],[OU]]=0,0,Mecze[[#This Row],[OU]]/Mecze[[#This Row],[CZAS]])</f>
        <v>0</v>
      </c>
      <c r="O839" s="32">
        <f>IF(Mecze[[#This Row],[PC]]=0,0,Mecze[[#This Row],[PC]]/Mecze[[#This Row],[CZAS]])</f>
        <v>5.2083333333333336E-2</v>
      </c>
      <c r="P839" s="32">
        <f>IF(Mecze[[#This Row],[SC]]=0,0,Mecze[[#This Row],[SC]]/Mecze[[#This Row],[CZAS]])</f>
        <v>0</v>
      </c>
      <c r="Q839" s="32">
        <f>IF(Mecze[[#This Row],[OB]]=0,0,Mecze[[#This Row],[OB]]/Mecze[[#This Row],[CZAS]])</f>
        <v>0</v>
      </c>
      <c r="R839" s="32">
        <f>IF(Mecze[[#This Row],[BR]]=0,0,Mecze[[#This Row],[BR]]/Mecze[[#This Row],[CZAS]])</f>
        <v>0</v>
      </c>
      <c r="S839" s="44">
        <f>IF(Mecze[[#This Row],[Role]]="BR",SUMPRODUCT(Mecze[[#This Row],[/PR:90]:[/BR:90]],Brudnopis!$E$23:$J$23),0)</f>
        <v>0</v>
      </c>
      <c r="T839" s="44">
        <f>IF(Mecze[[#This Row],[Role]]&lt;&gt;"BR",SUMPRODUCT(Mecze[[#This Row],[/PR:90]:[/BR:90]],Brudnopis!$E$24:$J$24),0)</f>
        <v>6.25E-2</v>
      </c>
      <c r="U839" s="44">
        <f>IF(Mecze[[#This Row],[Role]]&lt;&gt;"BR",SUMPRODUCT(Mecze[[#This Row],[/PR:90]:[/BR:90]],Brudnopis!$E$25:$J$25),0)</f>
        <v>8.8541666666666671E-2</v>
      </c>
      <c r="V839" s="44">
        <f>IF(Mecze[[#This Row],[Role]]&lt;&gt;"BR",SUMPRODUCT(Mecze[[#This Row],[/PR:90]:[/BR:90]],Brudnopis!$E$26:$J$26),0)</f>
        <v>6.25E-2</v>
      </c>
      <c r="W839" s="44">
        <f>IF(Mecze[[#This Row],[Role]]&lt;&gt;"BR",SUMPRODUCT(Mecze[[#This Row],[/PR:90]:[/BR:90]],Brudnopis!$E$27:$J$27),0)</f>
        <v>8.59375E-2</v>
      </c>
      <c r="X839" s="44">
        <f>IF(Mecze[[#This Row],[Role]]&lt;&gt;"BR",SUMPRODUCT(Mecze[[#This Row],[/PR:90]:[/BR:90]],Brudnopis!$E$28:$J$28),0)</f>
        <v>5.2083333333333336E-2</v>
      </c>
      <c r="Y839" s="35">
        <f>IF(Mecze[[#This Row],[Role]]="BR",Mecze[[#This Row],[/OB:90]]+Mecze[[#This Row],[/PC:90]],SUM(Mecze[[#This Row],[/PR:90]:[/BR:90]]))</f>
        <v>6.25E-2</v>
      </c>
      <c r="Z839" s="35">
        <f>IF(Mecze[[#This Row],[KC]]=0,SUM(Mecze[[#This Row],[/BRI]:[/NPI]]),SUM(Mecze[[#This Row],[/BRI]:[/NPI]])*0.6)</f>
        <v>0.3515625</v>
      </c>
      <c r="AA839" s="10">
        <f>IFERROR(Mecze[[#This Row],[BR]]/Mecze[[#This Row],[ST]],0)</f>
        <v>0</v>
      </c>
      <c r="AB839">
        <f>ROUND(Mecze[[#This Row],[PD]]*Mecze[[#This Row],[%PC]],0)</f>
        <v>5</v>
      </c>
      <c r="AC839">
        <f>ROUND(Mecze[[#This Row],[OD]]*Mecze[[#This Row],[%OU]],0)</f>
        <v>0</v>
      </c>
      <c r="AD839" s="36" t="s">
        <v>41</v>
      </c>
      <c r="AE839" s="36">
        <v>48</v>
      </c>
      <c r="AF839" s="71">
        <v>4.12</v>
      </c>
      <c r="AG839" s="37">
        <v>0</v>
      </c>
      <c r="AH839" s="37">
        <v>0</v>
      </c>
      <c r="AI839" s="37">
        <v>96</v>
      </c>
      <c r="AJ839" s="37">
        <v>1</v>
      </c>
      <c r="AK839" s="37" t="str">
        <f>VLOOKUP(Mecze[[#This Row],[Match ID]],Meczusie[Mecz]:Meczusie[RodzajMeczu],2,FALSE)</f>
        <v>Liga</v>
      </c>
    </row>
    <row r="840" spans="1:37" x14ac:dyDescent="0.25">
      <c r="A840" s="76">
        <v>15</v>
      </c>
      <c r="B840" s="3" t="s">
        <v>170</v>
      </c>
      <c r="C840" s="2" t="s">
        <v>160</v>
      </c>
      <c r="D840" s="1">
        <v>0</v>
      </c>
      <c r="E840" s="1">
        <v>0</v>
      </c>
      <c r="F840" s="1">
        <v>0</v>
      </c>
      <c r="G840" s="1">
        <v>10</v>
      </c>
      <c r="H840" s="4">
        <v>1</v>
      </c>
      <c r="I840" s="1">
        <v>0</v>
      </c>
      <c r="J840" s="4"/>
      <c r="K840" s="1">
        <v>0</v>
      </c>
      <c r="L840" s="1">
        <v>3</v>
      </c>
      <c r="M840" s="32">
        <f>IF(Mecze[[#This Row],[PR]]=0,0,Mecze[[#This Row],[PR]]/Mecze[[#This Row],[CZAS]])</f>
        <v>3.125E-2</v>
      </c>
      <c r="N840" s="32">
        <f>IF(Mecze[[#This Row],[OU]]=0,0,Mecze[[#This Row],[OU]]/Mecze[[#This Row],[CZAS]])</f>
        <v>0</v>
      </c>
      <c r="O840" s="32">
        <f>IF(Mecze[[#This Row],[PC]]=0,0,Mecze[[#This Row],[PC]]/Mecze[[#This Row],[CZAS]])</f>
        <v>0.10416666666666667</v>
      </c>
      <c r="P840" s="32">
        <f>IF(Mecze[[#This Row],[SC]]=0,0,Mecze[[#This Row],[SC]]/Mecze[[#This Row],[CZAS]])</f>
        <v>0</v>
      </c>
      <c r="Q840" s="32">
        <f>IF(Mecze[[#This Row],[OB]]=0,0,Mecze[[#This Row],[OB]]/Mecze[[#This Row],[CZAS]])</f>
        <v>0</v>
      </c>
      <c r="R840" s="32">
        <f>IF(Mecze[[#This Row],[BR]]=0,0,Mecze[[#This Row],[BR]]/Mecze[[#This Row],[CZAS]])</f>
        <v>0</v>
      </c>
      <c r="S840" s="44">
        <f>IF(Mecze[[#This Row],[Role]]="BR",SUMPRODUCT(Mecze[[#This Row],[/PR:90]:[/BR:90]],Brudnopis!$E$23:$J$23),0)</f>
        <v>0</v>
      </c>
      <c r="T840" s="44">
        <f>IF(Mecze[[#This Row],[Role]]&lt;&gt;"BR",SUMPRODUCT(Mecze[[#This Row],[/PR:90]:[/BR:90]],Brudnopis!$E$24:$J$24),0)</f>
        <v>0.13541666666666669</v>
      </c>
      <c r="U840" s="44">
        <f>IF(Mecze[[#This Row],[Role]]&lt;&gt;"BR",SUMPRODUCT(Mecze[[#This Row],[/PR:90]:[/BR:90]],Brudnopis!$E$25:$J$25),0)</f>
        <v>0.1875</v>
      </c>
      <c r="V840" s="44">
        <f>IF(Mecze[[#This Row],[Role]]&lt;&gt;"BR",SUMPRODUCT(Mecze[[#This Row],[/PR:90]:[/BR:90]],Brudnopis!$E$26:$J$26),0)</f>
        <v>0.13541666666666669</v>
      </c>
      <c r="W840" s="44">
        <f>IF(Mecze[[#This Row],[Role]]&lt;&gt;"BR",SUMPRODUCT(Mecze[[#This Row],[/PR:90]:[/BR:90]],Brudnopis!$E$27:$J$27),0)</f>
        <v>0.1796875</v>
      </c>
      <c r="X840" s="44">
        <f>IF(Mecze[[#This Row],[Role]]&lt;&gt;"BR",SUMPRODUCT(Mecze[[#This Row],[/PR:90]:[/BR:90]],Brudnopis!$E$28:$J$28),0)</f>
        <v>0.10416666666666667</v>
      </c>
      <c r="Y840" s="35">
        <f>IF(Mecze[[#This Row],[Role]]="BR",Mecze[[#This Row],[/OB:90]]+Mecze[[#This Row],[/PC:90]],SUM(Mecze[[#This Row],[/PR:90]:[/BR:90]]))</f>
        <v>0.13541666666666669</v>
      </c>
      <c r="Z840" s="35">
        <f>IF(Mecze[[#This Row],[KC]]=0,SUM(Mecze[[#This Row],[/BRI]:[/NPI]]),SUM(Mecze[[#This Row],[/BRI]:[/NPI]])*0.6)</f>
        <v>0.7421875</v>
      </c>
      <c r="AA840" s="10">
        <f>IFERROR(Mecze[[#This Row],[BR]]/Mecze[[#This Row],[ST]],0)</f>
        <v>0</v>
      </c>
      <c r="AB840">
        <f>ROUND(Mecze[[#This Row],[PD]]*Mecze[[#This Row],[%PC]],0)</f>
        <v>10</v>
      </c>
      <c r="AC840">
        <f>ROUND(Mecze[[#This Row],[OD]]*Mecze[[#This Row],[%OU]],0)</f>
        <v>0</v>
      </c>
      <c r="AD840" s="36" t="s">
        <v>67</v>
      </c>
      <c r="AE840" s="36">
        <v>48</v>
      </c>
      <c r="AF840" s="71">
        <v>6.66</v>
      </c>
      <c r="AG840" s="37">
        <v>0</v>
      </c>
      <c r="AH840" s="37">
        <v>0</v>
      </c>
      <c r="AI840" s="37">
        <v>96</v>
      </c>
      <c r="AJ840" s="37">
        <v>1</v>
      </c>
      <c r="AK840" s="37" t="str">
        <f>VLOOKUP(Mecze[[#This Row],[Match ID]],Meczusie[Mecz]:Meczusie[RodzajMeczu],2,FALSE)</f>
        <v>Liga</v>
      </c>
    </row>
    <row r="841" spans="1:37" x14ac:dyDescent="0.25">
      <c r="A841" s="76">
        <v>14</v>
      </c>
      <c r="B841" s="3" t="s">
        <v>164</v>
      </c>
      <c r="C841" s="2" t="s">
        <v>160</v>
      </c>
      <c r="D841" s="1">
        <v>0</v>
      </c>
      <c r="E841" s="1">
        <v>4</v>
      </c>
      <c r="F841" s="1">
        <v>3</v>
      </c>
      <c r="G841" s="1">
        <v>7</v>
      </c>
      <c r="H841" s="4">
        <v>0.56999999999999995</v>
      </c>
      <c r="I841" s="1">
        <v>3</v>
      </c>
      <c r="J841" s="4">
        <v>0.67</v>
      </c>
      <c r="K841" s="1">
        <v>0</v>
      </c>
      <c r="L841" s="1">
        <v>0</v>
      </c>
      <c r="M841" s="32">
        <f>IF(Mecze[[#This Row],[PR]]=0,0,Mecze[[#This Row],[PR]]/Mecze[[#This Row],[CZAS]])</f>
        <v>0</v>
      </c>
      <c r="N841" s="32">
        <f>IF(Mecze[[#This Row],[OU]]=0,0,Mecze[[#This Row],[OU]]/Mecze[[#This Row],[CZAS]])</f>
        <v>2.0833333333333332E-2</v>
      </c>
      <c r="O841" s="32">
        <f>IF(Mecze[[#This Row],[PC]]=0,0,Mecze[[#This Row],[PC]]/Mecze[[#This Row],[CZAS]])</f>
        <v>4.1666666666666664E-2</v>
      </c>
      <c r="P841" s="32">
        <f>IF(Mecze[[#This Row],[SC]]=0,0,Mecze[[#This Row],[SC]]/Mecze[[#This Row],[CZAS]])</f>
        <v>3.125E-2</v>
      </c>
      <c r="Q841" s="32">
        <f>IF(Mecze[[#This Row],[OB]]=0,0,Mecze[[#This Row],[OB]]/Mecze[[#This Row],[CZAS]])</f>
        <v>0</v>
      </c>
      <c r="R841" s="32">
        <f>IF(Mecze[[#This Row],[BR]]=0,0,Mecze[[#This Row],[BR]]/Mecze[[#This Row],[CZAS]])</f>
        <v>0</v>
      </c>
      <c r="S841" s="44">
        <f>IF(Mecze[[#This Row],[Role]]="BR",SUMPRODUCT(Mecze[[#This Row],[/PR:90]:[/BR:90]],Brudnopis!$E$23:$J$23),0)</f>
        <v>0</v>
      </c>
      <c r="T841" s="44">
        <f>IF(Mecze[[#This Row],[Role]]&lt;&gt;"BR",SUMPRODUCT(Mecze[[#This Row],[/PR:90]:[/BR:90]],Brudnopis!$E$24:$J$24),0)</f>
        <v>0.10416666666666666</v>
      </c>
      <c r="U841" s="44">
        <f>IF(Mecze[[#This Row],[Role]]&lt;&gt;"BR",SUMPRODUCT(Mecze[[#This Row],[/PR:90]:[/BR:90]],Brudnopis!$E$25:$J$25),0)</f>
        <v>0.11458333333333333</v>
      </c>
      <c r="V841" s="44">
        <f>IF(Mecze[[#This Row],[Role]]&lt;&gt;"BR",SUMPRODUCT(Mecze[[#This Row],[/PR:90]:[/BR:90]],Brudnopis!$E$26:$J$26),0)</f>
        <v>9.375E-2</v>
      </c>
      <c r="W841" s="44">
        <f>IF(Mecze[[#This Row],[Role]]&lt;&gt;"BR",SUMPRODUCT(Mecze[[#This Row],[/PR:90]:[/BR:90]],Brudnopis!$E$27:$J$27),0)</f>
        <v>0.109375</v>
      </c>
      <c r="X841" s="44">
        <f>IF(Mecze[[#This Row],[Role]]&lt;&gt;"BR",SUMPRODUCT(Mecze[[#This Row],[/PR:90]:[/BR:90]],Brudnopis!$E$28:$J$28),0)</f>
        <v>0.10416666666666666</v>
      </c>
      <c r="Y841" s="35">
        <f>IF(Mecze[[#This Row],[Role]]="BR",Mecze[[#This Row],[/OB:90]]+Mecze[[#This Row],[/PC:90]],SUM(Mecze[[#This Row],[/PR:90]:[/BR:90]]))</f>
        <v>9.375E-2</v>
      </c>
      <c r="Z841" s="35">
        <f>IF(Mecze[[#This Row],[KC]]=0,SUM(Mecze[[#This Row],[/BRI]:[/NPI]]),SUM(Mecze[[#This Row],[/BRI]:[/NPI]])*0.6)</f>
        <v>0.52604166666666663</v>
      </c>
      <c r="AA841" s="10">
        <f>IFERROR(Mecze[[#This Row],[BR]]/Mecze[[#This Row],[ST]],0)</f>
        <v>0</v>
      </c>
      <c r="AB841">
        <f>ROUND(Mecze[[#This Row],[PD]]*Mecze[[#This Row],[%PC]],0)</f>
        <v>4</v>
      </c>
      <c r="AC841">
        <f>ROUND(Mecze[[#This Row],[OD]]*Mecze[[#This Row],[%OU]],0)</f>
        <v>2</v>
      </c>
      <c r="AD841" s="36" t="s">
        <v>44</v>
      </c>
      <c r="AE841" s="36">
        <v>48</v>
      </c>
      <c r="AF841" s="71">
        <v>4.5999999999999996</v>
      </c>
      <c r="AG841" s="37">
        <v>0</v>
      </c>
      <c r="AH841" s="37">
        <v>0</v>
      </c>
      <c r="AI841" s="37">
        <v>96</v>
      </c>
      <c r="AJ841" s="37">
        <v>1</v>
      </c>
      <c r="AK841" s="37" t="str">
        <f>VLOOKUP(Mecze[[#This Row],[Match ID]],Meczusie[Mecz]:Meczusie[RodzajMeczu],2,FALSE)</f>
        <v>Liga</v>
      </c>
    </row>
    <row r="842" spans="1:37" x14ac:dyDescent="0.25">
      <c r="A842" s="76">
        <v>8</v>
      </c>
      <c r="B842" s="3" t="s">
        <v>154</v>
      </c>
      <c r="C842" s="2" t="s">
        <v>160</v>
      </c>
      <c r="D842" s="1">
        <v>0</v>
      </c>
      <c r="E842" s="1">
        <v>2</v>
      </c>
      <c r="F842" s="1">
        <v>2</v>
      </c>
      <c r="G842" s="1">
        <v>3</v>
      </c>
      <c r="H842" s="4">
        <v>0.33</v>
      </c>
      <c r="I842" s="1">
        <v>1</v>
      </c>
      <c r="J842" s="4">
        <v>0</v>
      </c>
      <c r="K842" s="1">
        <v>0</v>
      </c>
      <c r="L842" s="1">
        <v>0</v>
      </c>
      <c r="M842" s="32">
        <f>IF(Mecze[[#This Row],[PR]]=0,0,Mecze[[#This Row],[PR]]/Mecze[[#This Row],[CZAS]])</f>
        <v>0</v>
      </c>
      <c r="N842" s="32">
        <f>IF(Mecze[[#This Row],[OU]]=0,0,Mecze[[#This Row],[OU]]/Mecze[[#This Row],[CZAS]])</f>
        <v>0</v>
      </c>
      <c r="O842" s="32">
        <f>IF(Mecze[[#This Row],[PC]]=0,0,Mecze[[#This Row],[PC]]/Mecze[[#This Row],[CZAS]])</f>
        <v>1.0416666666666666E-2</v>
      </c>
      <c r="P842" s="32">
        <f>IF(Mecze[[#This Row],[SC]]=0,0,Mecze[[#This Row],[SC]]/Mecze[[#This Row],[CZAS]])</f>
        <v>2.0833333333333332E-2</v>
      </c>
      <c r="Q842" s="32">
        <f>IF(Mecze[[#This Row],[OB]]=0,0,Mecze[[#This Row],[OB]]/Mecze[[#This Row],[CZAS]])</f>
        <v>0</v>
      </c>
      <c r="R842" s="32">
        <f>IF(Mecze[[#This Row],[BR]]=0,0,Mecze[[#This Row],[BR]]/Mecze[[#This Row],[CZAS]])</f>
        <v>0</v>
      </c>
      <c r="S842" s="44">
        <f>IF(Mecze[[#This Row],[Role]]="BR",SUMPRODUCT(Mecze[[#This Row],[/PR:90]:[/BR:90]],Brudnopis!$E$23:$J$23),0)</f>
        <v>0</v>
      </c>
      <c r="T842" s="44">
        <f>IF(Mecze[[#This Row],[Role]]&lt;&gt;"BR",SUMPRODUCT(Mecze[[#This Row],[/PR:90]:[/BR:90]],Brudnopis!$E$24:$J$24),0)</f>
        <v>3.125E-2</v>
      </c>
      <c r="U842" s="44">
        <f>IF(Mecze[[#This Row],[Role]]&lt;&gt;"BR",SUMPRODUCT(Mecze[[#This Row],[/PR:90]:[/BR:90]],Brudnopis!$E$25:$J$25),0)</f>
        <v>3.6458333333333329E-2</v>
      </c>
      <c r="V842" s="44">
        <f>IF(Mecze[[#This Row],[Role]]&lt;&gt;"BR",SUMPRODUCT(Mecze[[#This Row],[/PR:90]:[/BR:90]],Brudnopis!$E$26:$J$26),0)</f>
        <v>3.125E-2</v>
      </c>
      <c r="W842" s="44">
        <f>IF(Mecze[[#This Row],[Role]]&lt;&gt;"BR",SUMPRODUCT(Mecze[[#This Row],[/PR:90]:[/BR:90]],Brudnopis!$E$27:$J$27),0)</f>
        <v>3.6458333333333329E-2</v>
      </c>
      <c r="X842" s="44">
        <f>IF(Mecze[[#This Row],[Role]]&lt;&gt;"BR",SUMPRODUCT(Mecze[[#This Row],[/PR:90]:[/BR:90]],Brudnopis!$E$28:$J$28),0)</f>
        <v>5.2083333333333329E-2</v>
      </c>
      <c r="Y842" s="35">
        <f>IF(Mecze[[#This Row],[Role]]="BR",Mecze[[#This Row],[/OB:90]]+Mecze[[#This Row],[/PC:90]],SUM(Mecze[[#This Row],[/PR:90]:[/BR:90]]))</f>
        <v>3.125E-2</v>
      </c>
      <c r="Z842" s="35">
        <f>IF(Mecze[[#This Row],[KC]]=0,SUM(Mecze[[#This Row],[/BRI]:[/NPI]]),SUM(Mecze[[#This Row],[/BRI]:[/NPI]])*0.6)</f>
        <v>0.1875</v>
      </c>
      <c r="AA842" s="10">
        <f>IFERROR(Mecze[[#This Row],[BR]]/Mecze[[#This Row],[ST]],0)</f>
        <v>0</v>
      </c>
      <c r="AB842">
        <f>ROUND(Mecze[[#This Row],[PD]]*Mecze[[#This Row],[%PC]],0)</f>
        <v>1</v>
      </c>
      <c r="AC842">
        <f>ROUND(Mecze[[#This Row],[OD]]*Mecze[[#This Row],[%OU]],0)</f>
        <v>0</v>
      </c>
      <c r="AD842" s="36" t="s">
        <v>44</v>
      </c>
      <c r="AE842" s="36">
        <v>48</v>
      </c>
      <c r="AF842" s="71">
        <v>3.16</v>
      </c>
      <c r="AG842" s="37">
        <v>0</v>
      </c>
      <c r="AH842" s="37">
        <v>0</v>
      </c>
      <c r="AI842" s="37">
        <v>96</v>
      </c>
      <c r="AJ842" s="37">
        <v>1</v>
      </c>
      <c r="AK842" s="37" t="str">
        <f>VLOOKUP(Mecze[[#This Row],[Match ID]],Meczusie[Mecz]:Meczusie[RodzajMeczu],2,FALSE)</f>
        <v>Liga</v>
      </c>
    </row>
    <row r="843" spans="1:37" x14ac:dyDescent="0.25">
      <c r="A843" s="76">
        <v>9</v>
      </c>
      <c r="B843" s="3" t="s">
        <v>411</v>
      </c>
      <c r="C843" s="2" t="s">
        <v>165</v>
      </c>
      <c r="D843" s="1">
        <v>0</v>
      </c>
      <c r="E843" s="1">
        <v>2</v>
      </c>
      <c r="F843" s="1">
        <v>2</v>
      </c>
      <c r="G843" s="1">
        <v>5</v>
      </c>
      <c r="H843" s="4">
        <v>0.8</v>
      </c>
      <c r="I843" s="1">
        <v>1</v>
      </c>
      <c r="J843" s="4">
        <v>1</v>
      </c>
      <c r="K843" s="1">
        <v>0</v>
      </c>
      <c r="L843" s="1">
        <v>0</v>
      </c>
      <c r="M843" s="32">
        <f>IF(Mecze[[#This Row],[PR]]=0,0,Mecze[[#This Row],[PR]]/Mecze[[#This Row],[CZAS]])</f>
        <v>0</v>
      </c>
      <c r="N843" s="32">
        <f>IF(Mecze[[#This Row],[OU]]=0,0,Mecze[[#This Row],[OU]]/Mecze[[#This Row],[CZAS]])</f>
        <v>1.0416666666666666E-2</v>
      </c>
      <c r="O843" s="32">
        <f>IF(Mecze[[#This Row],[PC]]=0,0,Mecze[[#This Row],[PC]]/Mecze[[#This Row],[CZAS]])</f>
        <v>4.1666666666666664E-2</v>
      </c>
      <c r="P843" s="32">
        <f>IF(Mecze[[#This Row],[SC]]=0,0,Mecze[[#This Row],[SC]]/Mecze[[#This Row],[CZAS]])</f>
        <v>2.0833333333333332E-2</v>
      </c>
      <c r="Q843" s="32">
        <f>IF(Mecze[[#This Row],[OB]]=0,0,Mecze[[#This Row],[OB]]/Mecze[[#This Row],[CZAS]])</f>
        <v>0</v>
      </c>
      <c r="R843" s="32">
        <f>IF(Mecze[[#This Row],[BR]]=0,0,Mecze[[#This Row],[BR]]/Mecze[[#This Row],[CZAS]])</f>
        <v>0</v>
      </c>
      <c r="S843" s="44">
        <f>IF(Mecze[[#This Row],[Role]]="BR",SUMPRODUCT(Mecze[[#This Row],[/PR:90]:[/BR:90]],Brudnopis!$E$23:$J$23),0)</f>
        <v>0</v>
      </c>
      <c r="T843" s="44">
        <f>IF(Mecze[[#This Row],[Role]]&lt;&gt;"BR",SUMPRODUCT(Mecze[[#This Row],[/PR:90]:[/BR:90]],Brudnopis!$E$24:$J$24),0)</f>
        <v>7.8125E-2</v>
      </c>
      <c r="U843" s="44">
        <f>IF(Mecze[[#This Row],[Role]]&lt;&gt;"BR",SUMPRODUCT(Mecze[[#This Row],[/PR:90]:[/BR:90]],Brudnopis!$E$25:$J$25),0)</f>
        <v>9.375E-2</v>
      </c>
      <c r="V843" s="44">
        <f>IF(Mecze[[#This Row],[Role]]&lt;&gt;"BR",SUMPRODUCT(Mecze[[#This Row],[/PR:90]:[/BR:90]],Brudnopis!$E$26:$J$26),0)</f>
        <v>7.2916666666666657E-2</v>
      </c>
      <c r="W843" s="44">
        <f>IF(Mecze[[#This Row],[Role]]&lt;&gt;"BR",SUMPRODUCT(Mecze[[#This Row],[/PR:90]:[/BR:90]],Brudnopis!$E$27:$J$27),0)</f>
        <v>9.1145833333333329E-2</v>
      </c>
      <c r="X843" s="44">
        <f>IF(Mecze[[#This Row],[Role]]&lt;&gt;"BR",SUMPRODUCT(Mecze[[#This Row],[/PR:90]:[/BR:90]],Brudnopis!$E$28:$J$28),0)</f>
        <v>8.3333333333333329E-2</v>
      </c>
      <c r="Y843" s="35">
        <f>IF(Mecze[[#This Row],[Role]]="BR",Mecze[[#This Row],[/OB:90]]+Mecze[[#This Row],[/PC:90]],SUM(Mecze[[#This Row],[/PR:90]:[/BR:90]]))</f>
        <v>7.2916666666666657E-2</v>
      </c>
      <c r="Z843" s="35">
        <f>IF(Mecze[[#This Row],[KC]]=0,SUM(Mecze[[#This Row],[/BRI]:[/NPI]]),SUM(Mecze[[#This Row],[/BRI]:[/NPI]])*0.6)</f>
        <v>0.41927083333333331</v>
      </c>
      <c r="AA843" s="10">
        <f>IFERROR(Mecze[[#This Row],[BR]]/Mecze[[#This Row],[ST]],0)</f>
        <v>0</v>
      </c>
      <c r="AB843">
        <f>ROUND(Mecze[[#This Row],[PD]]*Mecze[[#This Row],[%PC]],0)</f>
        <v>4</v>
      </c>
      <c r="AC843">
        <f>ROUND(Mecze[[#This Row],[OD]]*Mecze[[#This Row],[%OU]],0)</f>
        <v>1</v>
      </c>
      <c r="AD843" s="36" t="s">
        <v>46</v>
      </c>
      <c r="AE843" s="36">
        <v>48</v>
      </c>
      <c r="AF843" s="71">
        <v>5.4</v>
      </c>
      <c r="AG843" s="37">
        <v>0</v>
      </c>
      <c r="AH843" s="37">
        <v>0</v>
      </c>
      <c r="AI843" s="37">
        <v>96</v>
      </c>
      <c r="AJ843" s="37">
        <v>1</v>
      </c>
      <c r="AK843" s="37" t="str">
        <f>VLOOKUP(Mecze[[#This Row],[Match ID]],Meczusie[Mecz]:Meczusie[RodzajMeczu],2,FALSE)</f>
        <v>Liga</v>
      </c>
    </row>
    <row r="844" spans="1:37" x14ac:dyDescent="0.25">
      <c r="A844" s="76">
        <v>19</v>
      </c>
      <c r="B844" s="3" t="s">
        <v>166</v>
      </c>
      <c r="C844" s="2" t="s">
        <v>165</v>
      </c>
      <c r="D844" s="1">
        <v>1</v>
      </c>
      <c r="E844" s="1">
        <v>2</v>
      </c>
      <c r="F844" s="1">
        <v>2</v>
      </c>
      <c r="G844" s="1">
        <v>10</v>
      </c>
      <c r="H844" s="4">
        <v>0.9</v>
      </c>
      <c r="I844" s="1">
        <v>2</v>
      </c>
      <c r="J844" s="4">
        <v>0.5</v>
      </c>
      <c r="K844" s="1">
        <v>0</v>
      </c>
      <c r="L844" s="1">
        <v>1</v>
      </c>
      <c r="M844" s="32">
        <f>IF(Mecze[[#This Row],[PR]]=0,0,Mecze[[#This Row],[PR]]/Mecze[[#This Row],[CZAS]])</f>
        <v>1.0416666666666666E-2</v>
      </c>
      <c r="N844" s="32">
        <f>IF(Mecze[[#This Row],[OU]]=0,0,Mecze[[#This Row],[OU]]/Mecze[[#This Row],[CZAS]])</f>
        <v>1.0416666666666666E-2</v>
      </c>
      <c r="O844" s="32">
        <f>IF(Mecze[[#This Row],[PC]]=0,0,Mecze[[#This Row],[PC]]/Mecze[[#This Row],[CZAS]])</f>
        <v>9.375E-2</v>
      </c>
      <c r="P844" s="32">
        <f>IF(Mecze[[#This Row],[SC]]=0,0,Mecze[[#This Row],[SC]]/Mecze[[#This Row],[CZAS]])</f>
        <v>2.0833333333333332E-2</v>
      </c>
      <c r="Q844" s="32">
        <f>IF(Mecze[[#This Row],[OB]]=0,0,Mecze[[#This Row],[OB]]/Mecze[[#This Row],[CZAS]])</f>
        <v>0</v>
      </c>
      <c r="R844" s="32">
        <f>IF(Mecze[[#This Row],[BR]]=0,0,Mecze[[#This Row],[BR]]/Mecze[[#This Row],[CZAS]])</f>
        <v>1.0416666666666666E-2</v>
      </c>
      <c r="S844" s="44">
        <f>IF(Mecze[[#This Row],[Role]]="BR",SUMPRODUCT(Mecze[[#This Row],[/PR:90]:[/BR:90]],Brudnopis!$E$23:$J$23),0)</f>
        <v>0</v>
      </c>
      <c r="T844" s="44">
        <f>IF(Mecze[[#This Row],[Role]]&lt;&gt;"BR",SUMPRODUCT(Mecze[[#This Row],[/PR:90]:[/BR:90]],Brudnopis!$E$24:$J$24),0)</f>
        <v>0.15625</v>
      </c>
      <c r="U844" s="44">
        <f>IF(Mecze[[#This Row],[Role]]&lt;&gt;"BR",SUMPRODUCT(Mecze[[#This Row],[/PR:90]:[/BR:90]],Brudnopis!$E$25:$J$25),0)</f>
        <v>0.19791666666666669</v>
      </c>
      <c r="V844" s="44">
        <f>IF(Mecze[[#This Row],[Role]]&lt;&gt;"BR",SUMPRODUCT(Mecze[[#This Row],[/PR:90]:[/BR:90]],Brudnopis!$E$26:$J$26),0)</f>
        <v>0.15625</v>
      </c>
      <c r="W844" s="44">
        <f>IF(Mecze[[#This Row],[Role]]&lt;&gt;"BR",SUMPRODUCT(Mecze[[#This Row],[/PR:90]:[/BR:90]],Brudnopis!$E$27:$J$27),0)</f>
        <v>0.19791666666666669</v>
      </c>
      <c r="X844" s="44">
        <f>IF(Mecze[[#This Row],[Role]]&lt;&gt;"BR",SUMPRODUCT(Mecze[[#This Row],[/PR:90]:[/BR:90]],Brudnopis!$E$28:$J$28),0)</f>
        <v>0.16666666666666666</v>
      </c>
      <c r="Y844" s="35">
        <f>IF(Mecze[[#This Row],[Role]]="BR",Mecze[[#This Row],[/OB:90]]+Mecze[[#This Row],[/PC:90]],SUM(Mecze[[#This Row],[/PR:90]:[/BR:90]]))</f>
        <v>0.14583333333333331</v>
      </c>
      <c r="Z844" s="35">
        <f>IF(Mecze[[#This Row],[KC]]=0,SUM(Mecze[[#This Row],[/BRI]:[/NPI]]),SUM(Mecze[[#This Row],[/BRI]:[/NPI]])*0.6)</f>
        <v>0.87500000000000011</v>
      </c>
      <c r="AA844" s="10">
        <f>IFERROR(Mecze[[#This Row],[BR]]/Mecze[[#This Row],[ST]],0)</f>
        <v>0.5</v>
      </c>
      <c r="AB844">
        <f>ROUND(Mecze[[#This Row],[PD]]*Mecze[[#This Row],[%PC]],0)</f>
        <v>9</v>
      </c>
      <c r="AC844">
        <f>ROUND(Mecze[[#This Row],[OD]]*Mecze[[#This Row],[%OU]],0)</f>
        <v>1</v>
      </c>
      <c r="AD844" s="36" t="s">
        <v>46</v>
      </c>
      <c r="AE844" s="36">
        <v>48</v>
      </c>
      <c r="AF844" s="71">
        <v>6.59</v>
      </c>
      <c r="AG844" s="37">
        <v>1</v>
      </c>
      <c r="AH844" s="37">
        <v>0</v>
      </c>
      <c r="AI844" s="37">
        <v>96</v>
      </c>
      <c r="AJ844" s="37">
        <v>1</v>
      </c>
      <c r="AK844" s="37" t="str">
        <f>VLOOKUP(Mecze[[#This Row],[Match ID]],Meczusie[Mecz]:Meczusie[RodzajMeczu],2,FALSE)</f>
        <v>Liga</v>
      </c>
    </row>
    <row r="845" spans="1:37" x14ac:dyDescent="0.25">
      <c r="A845" s="76">
        <v>1</v>
      </c>
      <c r="B845" s="3" t="s">
        <v>220</v>
      </c>
      <c r="C845" s="2" t="s">
        <v>155</v>
      </c>
      <c r="D845" s="1">
        <v>0</v>
      </c>
      <c r="E845" s="1">
        <v>0</v>
      </c>
      <c r="F845" s="1">
        <v>0</v>
      </c>
      <c r="G845" s="1">
        <v>9</v>
      </c>
      <c r="H845" s="4">
        <v>0.67</v>
      </c>
      <c r="I845" s="1">
        <v>0</v>
      </c>
      <c r="J845" s="4"/>
      <c r="K845" s="1">
        <v>9</v>
      </c>
      <c r="L845" s="1">
        <v>0</v>
      </c>
      <c r="M845" s="32">
        <f>IF(Mecze[[#This Row],[PR]]=0,0,Mecze[[#This Row],[PR]]/Mecze[[#This Row],[CZAS]])</f>
        <v>0</v>
      </c>
      <c r="N845" s="32">
        <f>IF(Mecze[[#This Row],[OU]]=0,0,Mecze[[#This Row],[OU]]/Mecze[[#This Row],[CZAS]])</f>
        <v>0</v>
      </c>
      <c r="O845" s="32">
        <f>IF(Mecze[[#This Row],[PC]]=0,0,Mecze[[#This Row],[PC]]/Mecze[[#This Row],[CZAS]])</f>
        <v>6.25E-2</v>
      </c>
      <c r="P845" s="32">
        <f>IF(Mecze[[#This Row],[SC]]=0,0,Mecze[[#This Row],[SC]]/Mecze[[#This Row],[CZAS]])</f>
        <v>0</v>
      </c>
      <c r="Q845" s="32">
        <f>IF(Mecze[[#This Row],[OB]]=0,0,Mecze[[#This Row],[OB]]/Mecze[[#This Row],[CZAS]])</f>
        <v>9.375E-2</v>
      </c>
      <c r="R845" s="32">
        <f>IF(Mecze[[#This Row],[BR]]=0,0,Mecze[[#This Row],[BR]]/Mecze[[#This Row],[CZAS]])</f>
        <v>0</v>
      </c>
      <c r="S845" s="44">
        <f>IF(Mecze[[#This Row],[Role]]="BR",SUMPRODUCT(Mecze[[#This Row],[/PR:90]:[/BR:90]],Brudnopis!$E$23:$J$23),0)</f>
        <v>0.46875</v>
      </c>
      <c r="T845" s="44">
        <f>IF(Mecze[[#This Row],[Role]]&lt;&gt;"BR",SUMPRODUCT(Mecze[[#This Row],[/PR:90]:[/BR:90]],Brudnopis!$E$24:$J$24),0)</f>
        <v>0</v>
      </c>
      <c r="U845" s="44">
        <f>IF(Mecze[[#This Row],[Role]]&lt;&gt;"BR",SUMPRODUCT(Mecze[[#This Row],[/PR:90]:[/BR:90]],Brudnopis!$E$25:$J$25),0)</f>
        <v>0</v>
      </c>
      <c r="V845" s="44">
        <f>IF(Mecze[[#This Row],[Role]]&lt;&gt;"BR",SUMPRODUCT(Mecze[[#This Row],[/PR:90]:[/BR:90]],Brudnopis!$E$26:$J$26),0)</f>
        <v>0</v>
      </c>
      <c r="W845" s="44">
        <f>IF(Mecze[[#This Row],[Role]]&lt;&gt;"BR",SUMPRODUCT(Mecze[[#This Row],[/PR:90]:[/BR:90]],Brudnopis!$E$27:$J$27),0)</f>
        <v>0</v>
      </c>
      <c r="X845" s="44">
        <f>IF(Mecze[[#This Row],[Role]]&lt;&gt;"BR",SUMPRODUCT(Mecze[[#This Row],[/PR:90]:[/BR:90]],Brudnopis!$E$28:$J$28),0)</f>
        <v>0</v>
      </c>
      <c r="Y845" s="35">
        <f>IF(Mecze[[#This Row],[Role]]="BR",Mecze[[#This Row],[/OB:90]]+Mecze[[#This Row],[/PC:90]],SUM(Mecze[[#This Row],[/PR:90]:[/BR:90]]))</f>
        <v>0.15625</v>
      </c>
      <c r="Z845" s="35">
        <f>IF(Mecze[[#This Row],[KC]]=0,SUM(Mecze[[#This Row],[/BRI]:[/NPI]]),SUM(Mecze[[#This Row],[/BRI]:[/NPI]])*0.6)</f>
        <v>0.46875</v>
      </c>
      <c r="AA845" s="10">
        <f>IFERROR(Mecze[[#This Row],[BR]]/Mecze[[#This Row],[ST]],0)</f>
        <v>0</v>
      </c>
      <c r="AB845">
        <f>ROUND(Mecze[[#This Row],[PD]]*Mecze[[#This Row],[%PC]],0)</f>
        <v>6</v>
      </c>
      <c r="AC845">
        <f>ROUND(Mecze[[#This Row],[OD]]*Mecze[[#This Row],[%OU]],0)</f>
        <v>0</v>
      </c>
      <c r="AD845" s="36" t="s">
        <v>40</v>
      </c>
      <c r="AE845" s="36">
        <v>48</v>
      </c>
      <c r="AF845" s="71">
        <v>7.07</v>
      </c>
      <c r="AG845" s="37">
        <v>0</v>
      </c>
      <c r="AH845" s="37">
        <v>0</v>
      </c>
      <c r="AI845" s="37">
        <v>96</v>
      </c>
      <c r="AJ845" s="37">
        <v>2</v>
      </c>
      <c r="AK845" s="37" t="str">
        <f>VLOOKUP(Mecze[[#This Row],[Match ID]],Meczusie[Mecz]:Meczusie[RodzajMeczu],2,FALSE)</f>
        <v>Liga</v>
      </c>
    </row>
    <row r="846" spans="1:37" x14ac:dyDescent="0.25">
      <c r="A846" s="76">
        <v>3</v>
      </c>
      <c r="B846" s="3" t="s">
        <v>222</v>
      </c>
      <c r="C846" s="2" t="s">
        <v>157</v>
      </c>
      <c r="D846" s="1">
        <v>0</v>
      </c>
      <c r="E846" s="1">
        <v>0</v>
      </c>
      <c r="F846" s="1">
        <v>0</v>
      </c>
      <c r="G846" s="1">
        <v>11</v>
      </c>
      <c r="H846" s="4">
        <v>0.82</v>
      </c>
      <c r="I846" s="1">
        <v>7</v>
      </c>
      <c r="J846" s="4">
        <v>0.56999999999999995</v>
      </c>
      <c r="K846" s="1">
        <v>0</v>
      </c>
      <c r="L846" s="1">
        <v>9</v>
      </c>
      <c r="M846" s="32">
        <f>IF(Mecze[[#This Row],[PR]]=0,0,Mecze[[#This Row],[PR]]/Mecze[[#This Row],[CZAS]])</f>
        <v>9.375E-2</v>
      </c>
      <c r="N846" s="32">
        <f>IF(Mecze[[#This Row],[OU]]=0,0,Mecze[[#This Row],[OU]]/Mecze[[#This Row],[CZAS]])</f>
        <v>4.1666666666666664E-2</v>
      </c>
      <c r="O846" s="32">
        <f>IF(Mecze[[#This Row],[PC]]=0,0,Mecze[[#This Row],[PC]]/Mecze[[#This Row],[CZAS]])</f>
        <v>9.375E-2</v>
      </c>
      <c r="P846" s="32">
        <f>IF(Mecze[[#This Row],[SC]]=0,0,Mecze[[#This Row],[SC]]/Mecze[[#This Row],[CZAS]])</f>
        <v>0</v>
      </c>
      <c r="Q846" s="32">
        <f>IF(Mecze[[#This Row],[OB]]=0,0,Mecze[[#This Row],[OB]]/Mecze[[#This Row],[CZAS]])</f>
        <v>0</v>
      </c>
      <c r="R846" s="32">
        <f>IF(Mecze[[#This Row],[BR]]=0,0,Mecze[[#This Row],[BR]]/Mecze[[#This Row],[CZAS]])</f>
        <v>0</v>
      </c>
      <c r="S846" s="44">
        <f>IF(Mecze[[#This Row],[Role]]="BR",SUMPRODUCT(Mecze[[#This Row],[/PR:90]:[/BR:90]],Brudnopis!$E$23:$J$23),0)</f>
        <v>0</v>
      </c>
      <c r="T846" s="44">
        <f>IF(Mecze[[#This Row],[Role]]&lt;&gt;"BR",SUMPRODUCT(Mecze[[#This Row],[/PR:90]:[/BR:90]],Brudnopis!$E$24:$J$24),0)</f>
        <v>0.25</v>
      </c>
      <c r="U846" s="44">
        <f>IF(Mecze[[#This Row],[Role]]&lt;&gt;"BR",SUMPRODUCT(Mecze[[#This Row],[/PR:90]:[/BR:90]],Brudnopis!$E$25:$J$25),0)</f>
        <v>0.27604166666666663</v>
      </c>
      <c r="V846" s="44">
        <f>IF(Mecze[[#This Row],[Role]]&lt;&gt;"BR",SUMPRODUCT(Mecze[[#This Row],[/PR:90]:[/BR:90]],Brudnopis!$E$26:$J$26),0)</f>
        <v>0.22916666666666666</v>
      </c>
      <c r="W846" s="44">
        <f>IF(Mecze[[#This Row],[Role]]&lt;&gt;"BR",SUMPRODUCT(Mecze[[#This Row],[/PR:90]:[/BR:90]],Brudnopis!$E$27:$J$27),0)</f>
        <v>0.2421875</v>
      </c>
      <c r="X846" s="44">
        <f>IF(Mecze[[#This Row],[Role]]&lt;&gt;"BR",SUMPRODUCT(Mecze[[#This Row],[/PR:90]:[/BR:90]],Brudnopis!$E$28:$J$28),0)</f>
        <v>9.375E-2</v>
      </c>
      <c r="Y846" s="35">
        <f>IF(Mecze[[#This Row],[Role]]="BR",Mecze[[#This Row],[/OB:90]]+Mecze[[#This Row],[/PC:90]],SUM(Mecze[[#This Row],[/PR:90]:[/BR:90]]))</f>
        <v>0.22916666666666666</v>
      </c>
      <c r="Z846" s="35">
        <f>IF(Mecze[[#This Row],[KC]]=0,SUM(Mecze[[#This Row],[/BRI]:[/NPI]]),SUM(Mecze[[#This Row],[/BRI]:[/NPI]])*0.6)</f>
        <v>1.0911458333333333</v>
      </c>
      <c r="AA846" s="10">
        <f>IFERROR(Mecze[[#This Row],[BR]]/Mecze[[#This Row],[ST]],0)</f>
        <v>0</v>
      </c>
      <c r="AB846">
        <f>ROUND(Mecze[[#This Row],[PD]]*Mecze[[#This Row],[%PC]],0)</f>
        <v>9</v>
      </c>
      <c r="AC846">
        <f>ROUND(Mecze[[#This Row],[OD]]*Mecze[[#This Row],[%OU]],0)</f>
        <v>4</v>
      </c>
      <c r="AD846" s="36" t="s">
        <v>47</v>
      </c>
      <c r="AE846" s="36">
        <v>48</v>
      </c>
      <c r="AF846" s="71">
        <v>5.71</v>
      </c>
      <c r="AG846" s="37">
        <v>0</v>
      </c>
      <c r="AH846" s="37">
        <v>0</v>
      </c>
      <c r="AI846" s="37">
        <v>96</v>
      </c>
      <c r="AJ846" s="37">
        <v>2</v>
      </c>
      <c r="AK846" s="37" t="str">
        <f>VLOOKUP(Mecze[[#This Row],[Match ID]],Meczusie[Mecz]:Meczusie[RodzajMeczu],2,FALSE)</f>
        <v>Liga</v>
      </c>
    </row>
    <row r="847" spans="1:37" x14ac:dyDescent="0.25">
      <c r="A847" s="76">
        <v>4</v>
      </c>
      <c r="B847" s="3" t="s">
        <v>221</v>
      </c>
      <c r="C847" s="2" t="s">
        <v>157</v>
      </c>
      <c r="D847" s="1">
        <v>0</v>
      </c>
      <c r="E847" s="1">
        <v>0</v>
      </c>
      <c r="F847" s="1">
        <v>0</v>
      </c>
      <c r="G847" s="1">
        <v>10</v>
      </c>
      <c r="H847" s="4">
        <v>0.9</v>
      </c>
      <c r="I847" s="1">
        <v>10</v>
      </c>
      <c r="J847" s="4">
        <v>0.6</v>
      </c>
      <c r="K847" s="1">
        <v>0</v>
      </c>
      <c r="L847" s="1">
        <v>6</v>
      </c>
      <c r="M847" s="32">
        <f>IF(Mecze[[#This Row],[PR]]=0,0,Mecze[[#This Row],[PR]]/Mecze[[#This Row],[CZAS]])</f>
        <v>6.25E-2</v>
      </c>
      <c r="N847" s="32">
        <f>IF(Mecze[[#This Row],[OU]]=0,0,Mecze[[#This Row],[OU]]/Mecze[[#This Row],[CZAS]])</f>
        <v>6.25E-2</v>
      </c>
      <c r="O847" s="32">
        <f>IF(Mecze[[#This Row],[PC]]=0,0,Mecze[[#This Row],[PC]]/Mecze[[#This Row],[CZAS]])</f>
        <v>9.375E-2</v>
      </c>
      <c r="P847" s="32">
        <f>IF(Mecze[[#This Row],[SC]]=0,0,Mecze[[#This Row],[SC]]/Mecze[[#This Row],[CZAS]])</f>
        <v>0</v>
      </c>
      <c r="Q847" s="32">
        <f>IF(Mecze[[#This Row],[OB]]=0,0,Mecze[[#This Row],[OB]]/Mecze[[#This Row],[CZAS]])</f>
        <v>0</v>
      </c>
      <c r="R847" s="32">
        <f>IF(Mecze[[#This Row],[BR]]=0,0,Mecze[[#This Row],[BR]]/Mecze[[#This Row],[CZAS]])</f>
        <v>0</v>
      </c>
      <c r="S847" s="44">
        <f>IF(Mecze[[#This Row],[Role]]="BR",SUMPRODUCT(Mecze[[#This Row],[/PR:90]:[/BR:90]],Brudnopis!$E$23:$J$23),0)</f>
        <v>0</v>
      </c>
      <c r="T847" s="44">
        <f>IF(Mecze[[#This Row],[Role]]&lt;&gt;"BR",SUMPRODUCT(Mecze[[#This Row],[/PR:90]:[/BR:90]],Brudnopis!$E$24:$J$24),0)</f>
        <v>0.25</v>
      </c>
      <c r="U847" s="44">
        <f>IF(Mecze[[#This Row],[Role]]&lt;&gt;"BR",SUMPRODUCT(Mecze[[#This Row],[/PR:90]:[/BR:90]],Brudnopis!$E$25:$J$25),0)</f>
        <v>0.265625</v>
      </c>
      <c r="V847" s="44">
        <f>IF(Mecze[[#This Row],[Role]]&lt;&gt;"BR",SUMPRODUCT(Mecze[[#This Row],[/PR:90]:[/BR:90]],Brudnopis!$E$26:$J$26),0)</f>
        <v>0.21875</v>
      </c>
      <c r="W847" s="44">
        <f>IF(Mecze[[#This Row],[Role]]&lt;&gt;"BR",SUMPRODUCT(Mecze[[#This Row],[/PR:90]:[/BR:90]],Brudnopis!$E$27:$J$27),0)</f>
        <v>0.234375</v>
      </c>
      <c r="X847" s="44">
        <f>IF(Mecze[[#This Row],[Role]]&lt;&gt;"BR",SUMPRODUCT(Mecze[[#This Row],[/PR:90]:[/BR:90]],Brudnopis!$E$28:$J$28),0)</f>
        <v>9.375E-2</v>
      </c>
      <c r="Y847" s="35">
        <f>IF(Mecze[[#This Row],[Role]]="BR",Mecze[[#This Row],[/OB:90]]+Mecze[[#This Row],[/PC:90]],SUM(Mecze[[#This Row],[/PR:90]:[/BR:90]]))</f>
        <v>0.21875</v>
      </c>
      <c r="Z847" s="35">
        <f>IF(Mecze[[#This Row],[KC]]=0,SUM(Mecze[[#This Row],[/BRI]:[/NPI]]),SUM(Mecze[[#This Row],[/BRI]:[/NPI]])*0.6)</f>
        <v>1.0625</v>
      </c>
      <c r="AA847" s="10">
        <f>IFERROR(Mecze[[#This Row],[BR]]/Mecze[[#This Row],[ST]],0)</f>
        <v>0</v>
      </c>
      <c r="AB847">
        <f>ROUND(Mecze[[#This Row],[PD]]*Mecze[[#This Row],[%PC]],0)</f>
        <v>9</v>
      </c>
      <c r="AC847">
        <f>ROUND(Mecze[[#This Row],[OD]]*Mecze[[#This Row],[%OU]],0)</f>
        <v>6</v>
      </c>
      <c r="AD847" s="36" t="s">
        <v>47</v>
      </c>
      <c r="AE847" s="36">
        <v>48</v>
      </c>
      <c r="AF847" s="71">
        <v>5.08</v>
      </c>
      <c r="AG847" s="37">
        <v>0</v>
      </c>
      <c r="AH847" s="37">
        <v>0</v>
      </c>
      <c r="AI847" s="37">
        <v>96</v>
      </c>
      <c r="AJ847" s="37">
        <v>2</v>
      </c>
      <c r="AK847" s="37" t="str">
        <f>VLOOKUP(Mecze[[#This Row],[Match ID]],Meczusie[Mecz]:Meczusie[RodzajMeczu],2,FALSE)</f>
        <v>Liga</v>
      </c>
    </row>
    <row r="848" spans="1:37" x14ac:dyDescent="0.25">
      <c r="A848" s="76">
        <v>2</v>
      </c>
      <c r="B848" s="3" t="s">
        <v>224</v>
      </c>
      <c r="C848" s="2" t="s">
        <v>157</v>
      </c>
      <c r="D848" s="1">
        <v>0</v>
      </c>
      <c r="E848" s="1">
        <v>0</v>
      </c>
      <c r="F848" s="1">
        <v>0</v>
      </c>
      <c r="G848" s="1">
        <v>1</v>
      </c>
      <c r="H848" s="4">
        <v>1</v>
      </c>
      <c r="I848" s="1">
        <v>0</v>
      </c>
      <c r="J848" s="4"/>
      <c r="K848" s="1">
        <v>0</v>
      </c>
      <c r="L848" s="1">
        <v>1</v>
      </c>
      <c r="M848" s="32">
        <f>IF(Mecze[[#This Row],[PR]]=0,0,Mecze[[#This Row],[PR]]/Mecze[[#This Row],[CZAS]])</f>
        <v>1.0416666666666666E-2</v>
      </c>
      <c r="N848" s="32">
        <f>IF(Mecze[[#This Row],[OU]]=0,0,Mecze[[#This Row],[OU]]/Mecze[[#This Row],[CZAS]])</f>
        <v>0</v>
      </c>
      <c r="O848" s="32">
        <f>IF(Mecze[[#This Row],[PC]]=0,0,Mecze[[#This Row],[PC]]/Mecze[[#This Row],[CZAS]])</f>
        <v>1.0416666666666666E-2</v>
      </c>
      <c r="P848" s="32">
        <f>IF(Mecze[[#This Row],[SC]]=0,0,Mecze[[#This Row],[SC]]/Mecze[[#This Row],[CZAS]])</f>
        <v>0</v>
      </c>
      <c r="Q848" s="32">
        <f>IF(Mecze[[#This Row],[OB]]=0,0,Mecze[[#This Row],[OB]]/Mecze[[#This Row],[CZAS]])</f>
        <v>0</v>
      </c>
      <c r="R848" s="32">
        <f>IF(Mecze[[#This Row],[BR]]=0,0,Mecze[[#This Row],[BR]]/Mecze[[#This Row],[CZAS]])</f>
        <v>0</v>
      </c>
      <c r="S848" s="44">
        <f>IF(Mecze[[#This Row],[Role]]="BR",SUMPRODUCT(Mecze[[#This Row],[/PR:90]:[/BR:90]],Brudnopis!$E$23:$J$23),0)</f>
        <v>0</v>
      </c>
      <c r="T848" s="44">
        <f>IF(Mecze[[#This Row],[Role]]&lt;&gt;"BR",SUMPRODUCT(Mecze[[#This Row],[/PR:90]:[/BR:90]],Brudnopis!$E$24:$J$24),0)</f>
        <v>2.0833333333333332E-2</v>
      </c>
      <c r="U848" s="44">
        <f>IF(Mecze[[#This Row],[Role]]&lt;&gt;"BR",SUMPRODUCT(Mecze[[#This Row],[/PR:90]:[/BR:90]],Brudnopis!$E$25:$J$25),0)</f>
        <v>2.6041666666666664E-2</v>
      </c>
      <c r="V848" s="44">
        <f>IF(Mecze[[#This Row],[Role]]&lt;&gt;"BR",SUMPRODUCT(Mecze[[#This Row],[/PR:90]:[/BR:90]],Brudnopis!$E$26:$J$26),0)</f>
        <v>2.0833333333333332E-2</v>
      </c>
      <c r="W848" s="44">
        <f>IF(Mecze[[#This Row],[Role]]&lt;&gt;"BR",SUMPRODUCT(Mecze[[#This Row],[/PR:90]:[/BR:90]],Brudnopis!$E$27:$J$27),0)</f>
        <v>2.34375E-2</v>
      </c>
      <c r="X848" s="44">
        <f>IF(Mecze[[#This Row],[Role]]&lt;&gt;"BR",SUMPRODUCT(Mecze[[#This Row],[/PR:90]:[/BR:90]],Brudnopis!$E$28:$J$28),0)</f>
        <v>1.0416666666666666E-2</v>
      </c>
      <c r="Y848" s="35">
        <f>IF(Mecze[[#This Row],[Role]]="BR",Mecze[[#This Row],[/OB:90]]+Mecze[[#This Row],[/PC:90]],SUM(Mecze[[#This Row],[/PR:90]:[/BR:90]]))</f>
        <v>2.0833333333333332E-2</v>
      </c>
      <c r="Z848" s="35">
        <f>IF(Mecze[[#This Row],[KC]]=0,SUM(Mecze[[#This Row],[/BRI]:[/NPI]]),SUM(Mecze[[#This Row],[/BRI]:[/NPI]])*0.6)</f>
        <v>0.1015625</v>
      </c>
      <c r="AA848" s="10">
        <f>IFERROR(Mecze[[#This Row],[BR]]/Mecze[[#This Row],[ST]],0)</f>
        <v>0</v>
      </c>
      <c r="AB848">
        <f>ROUND(Mecze[[#This Row],[PD]]*Mecze[[#This Row],[%PC]],0)</f>
        <v>1</v>
      </c>
      <c r="AC848">
        <f>ROUND(Mecze[[#This Row],[OD]]*Mecze[[#This Row],[%OU]],0)</f>
        <v>0</v>
      </c>
      <c r="AD848" s="36" t="s">
        <v>175</v>
      </c>
      <c r="AE848" s="36">
        <v>48</v>
      </c>
      <c r="AF848" s="71">
        <v>2.91</v>
      </c>
      <c r="AG848" s="37">
        <v>0</v>
      </c>
      <c r="AH848" s="37">
        <v>0</v>
      </c>
      <c r="AI848" s="37">
        <v>96</v>
      </c>
      <c r="AJ848" s="37">
        <v>2</v>
      </c>
      <c r="AK848" s="37" t="str">
        <f>VLOOKUP(Mecze[[#This Row],[Match ID]],Meczusie[Mecz]:Meczusie[RodzajMeczu],2,FALSE)</f>
        <v>Liga</v>
      </c>
    </row>
    <row r="849" spans="1:37" x14ac:dyDescent="0.25">
      <c r="A849" s="76">
        <v>5</v>
      </c>
      <c r="B849" s="3" t="s">
        <v>223</v>
      </c>
      <c r="C849" s="2" t="s">
        <v>157</v>
      </c>
      <c r="D849" s="1">
        <v>0</v>
      </c>
      <c r="E849" s="1">
        <v>0</v>
      </c>
      <c r="F849" s="1">
        <v>0</v>
      </c>
      <c r="G849" s="1">
        <v>2</v>
      </c>
      <c r="H849" s="4">
        <v>1</v>
      </c>
      <c r="I849" s="1">
        <v>1</v>
      </c>
      <c r="J849" s="4">
        <v>1</v>
      </c>
      <c r="K849" s="1">
        <v>0</v>
      </c>
      <c r="L849" s="1">
        <v>1</v>
      </c>
      <c r="M849" s="32">
        <f>IF(Mecze[[#This Row],[PR]]=0,0,Mecze[[#This Row],[PR]]/Mecze[[#This Row],[CZAS]])</f>
        <v>1.6949152542372881E-2</v>
      </c>
      <c r="N849" s="32">
        <f>IF(Mecze[[#This Row],[OU]]=0,0,Mecze[[#This Row],[OU]]/Mecze[[#This Row],[CZAS]])</f>
        <v>1.6949152542372881E-2</v>
      </c>
      <c r="O849" s="32">
        <f>IF(Mecze[[#This Row],[PC]]=0,0,Mecze[[#This Row],[PC]]/Mecze[[#This Row],[CZAS]])</f>
        <v>3.3898305084745763E-2</v>
      </c>
      <c r="P849" s="32">
        <f>IF(Mecze[[#This Row],[SC]]=0,0,Mecze[[#This Row],[SC]]/Mecze[[#This Row],[CZAS]])</f>
        <v>0</v>
      </c>
      <c r="Q849" s="32">
        <f>IF(Mecze[[#This Row],[OB]]=0,0,Mecze[[#This Row],[OB]]/Mecze[[#This Row],[CZAS]])</f>
        <v>0</v>
      </c>
      <c r="R849" s="32">
        <f>IF(Mecze[[#This Row],[BR]]=0,0,Mecze[[#This Row],[BR]]/Mecze[[#This Row],[CZAS]])</f>
        <v>0</v>
      </c>
      <c r="S849" s="44">
        <f>IF(Mecze[[#This Row],[Role]]="BR",SUMPRODUCT(Mecze[[#This Row],[/PR:90]:[/BR:90]],Brudnopis!$E$23:$J$23),0)</f>
        <v>0</v>
      </c>
      <c r="T849" s="44">
        <f>IF(Mecze[[#This Row],[Role]]&lt;&gt;"BR",SUMPRODUCT(Mecze[[#This Row],[/PR:90]:[/BR:90]],Brudnopis!$E$24:$J$24),0)</f>
        <v>7.6271186440677957E-2</v>
      </c>
      <c r="U849" s="44">
        <f>IF(Mecze[[#This Row],[Role]]&lt;&gt;"BR",SUMPRODUCT(Mecze[[#This Row],[/PR:90]:[/BR:90]],Brudnopis!$E$25:$J$25),0)</f>
        <v>8.4745762711864403E-2</v>
      </c>
      <c r="V849" s="44">
        <f>IF(Mecze[[#This Row],[Role]]&lt;&gt;"BR",SUMPRODUCT(Mecze[[#This Row],[/PR:90]:[/BR:90]],Brudnopis!$E$26:$J$26),0)</f>
        <v>6.7796610169491525E-2</v>
      </c>
      <c r="W849" s="44">
        <f>IF(Mecze[[#This Row],[Role]]&lt;&gt;"BR",SUMPRODUCT(Mecze[[#This Row],[/PR:90]:[/BR:90]],Brudnopis!$E$27:$J$27),0)</f>
        <v>7.6271186440677971E-2</v>
      </c>
      <c r="X849" s="44">
        <f>IF(Mecze[[#This Row],[Role]]&lt;&gt;"BR",SUMPRODUCT(Mecze[[#This Row],[/PR:90]:[/BR:90]],Brudnopis!$E$28:$J$28),0)</f>
        <v>3.3898305084745763E-2</v>
      </c>
      <c r="Y849" s="35">
        <f>IF(Mecze[[#This Row],[Role]]="BR",Mecze[[#This Row],[/OB:90]]+Mecze[[#This Row],[/PC:90]],SUM(Mecze[[#This Row],[/PR:90]:[/BR:90]]))</f>
        <v>6.7796610169491525E-2</v>
      </c>
      <c r="Z849" s="35">
        <f>IF(Mecze[[#This Row],[KC]]=0,SUM(Mecze[[#This Row],[/BRI]:[/NPI]]),SUM(Mecze[[#This Row],[/BRI]:[/NPI]])*0.6)</f>
        <v>0.33898305084745767</v>
      </c>
      <c r="AA849" s="10">
        <f>IFERROR(Mecze[[#This Row],[BR]]/Mecze[[#This Row],[ST]],0)</f>
        <v>0</v>
      </c>
      <c r="AB849">
        <f>ROUND(Mecze[[#This Row],[PD]]*Mecze[[#This Row],[%PC]],0)</f>
        <v>2</v>
      </c>
      <c r="AC849">
        <f>ROUND(Mecze[[#This Row],[OD]]*Mecze[[#This Row],[%OU]],0)</f>
        <v>1</v>
      </c>
      <c r="AD849" s="36" t="s">
        <v>174</v>
      </c>
      <c r="AE849" s="36">
        <v>48</v>
      </c>
      <c r="AF849" s="71">
        <v>0.71</v>
      </c>
      <c r="AG849" s="37">
        <v>0</v>
      </c>
      <c r="AH849" s="37">
        <v>0</v>
      </c>
      <c r="AI849" s="37">
        <v>59</v>
      </c>
      <c r="AJ849" s="37">
        <v>2</v>
      </c>
      <c r="AK849" s="37" t="str">
        <f>VLOOKUP(Mecze[[#This Row],[Match ID]],Meczusie[Mecz]:Meczusie[RodzajMeczu],2,FALSE)</f>
        <v>Liga</v>
      </c>
    </row>
    <row r="850" spans="1:37" x14ac:dyDescent="0.25">
      <c r="A850" s="76">
        <v>7</v>
      </c>
      <c r="B850" s="3" t="s">
        <v>226</v>
      </c>
      <c r="C850" s="2" t="s">
        <v>160</v>
      </c>
      <c r="D850" s="1">
        <v>0</v>
      </c>
      <c r="E850" s="1">
        <v>3</v>
      </c>
      <c r="F850" s="1">
        <v>3</v>
      </c>
      <c r="G850" s="1">
        <v>14</v>
      </c>
      <c r="H850" s="4">
        <v>0.64</v>
      </c>
      <c r="I850" s="1">
        <v>6</v>
      </c>
      <c r="J850" s="4">
        <v>0.83</v>
      </c>
      <c r="K850" s="1">
        <v>0</v>
      </c>
      <c r="L850" s="1">
        <v>4</v>
      </c>
      <c r="M850" s="32">
        <f>IF(Mecze[[#This Row],[PR]]=0,0,Mecze[[#This Row],[PR]]/Mecze[[#This Row],[CZAS]])</f>
        <v>4.1666666666666664E-2</v>
      </c>
      <c r="N850" s="32">
        <f>IF(Mecze[[#This Row],[OU]]=0,0,Mecze[[#This Row],[OU]]/Mecze[[#This Row],[CZAS]])</f>
        <v>5.2083333333333336E-2</v>
      </c>
      <c r="O850" s="32">
        <f>IF(Mecze[[#This Row],[PC]]=0,0,Mecze[[#This Row],[PC]]/Mecze[[#This Row],[CZAS]])</f>
        <v>9.375E-2</v>
      </c>
      <c r="P850" s="32">
        <f>IF(Mecze[[#This Row],[SC]]=0,0,Mecze[[#This Row],[SC]]/Mecze[[#This Row],[CZAS]])</f>
        <v>3.125E-2</v>
      </c>
      <c r="Q850" s="32">
        <f>IF(Mecze[[#This Row],[OB]]=0,0,Mecze[[#This Row],[OB]]/Mecze[[#This Row],[CZAS]])</f>
        <v>0</v>
      </c>
      <c r="R850" s="32">
        <f>IF(Mecze[[#This Row],[BR]]=0,0,Mecze[[#This Row],[BR]]/Mecze[[#This Row],[CZAS]])</f>
        <v>0</v>
      </c>
      <c r="S850" s="44">
        <f>IF(Mecze[[#This Row],[Role]]="BR",SUMPRODUCT(Mecze[[#This Row],[/PR:90]:[/BR:90]],Brudnopis!$E$23:$J$23),0)</f>
        <v>0</v>
      </c>
      <c r="T850" s="44">
        <f>IF(Mecze[[#This Row],[Role]]&lt;&gt;"BR",SUMPRODUCT(Mecze[[#This Row],[/PR:90]:[/BR:90]],Brudnopis!$E$24:$J$24),0)</f>
        <v>0.24479166666666666</v>
      </c>
      <c r="U850" s="44">
        <f>IF(Mecze[[#This Row],[Role]]&lt;&gt;"BR",SUMPRODUCT(Mecze[[#This Row],[/PR:90]:[/BR:90]],Brudnopis!$E$25:$J$25),0)</f>
        <v>0.265625</v>
      </c>
      <c r="V850" s="44">
        <f>IF(Mecze[[#This Row],[Role]]&lt;&gt;"BR",SUMPRODUCT(Mecze[[#This Row],[/PR:90]:[/BR:90]],Brudnopis!$E$26:$J$26),0)</f>
        <v>0.21875</v>
      </c>
      <c r="W850" s="44">
        <f>IF(Mecze[[#This Row],[Role]]&lt;&gt;"BR",SUMPRODUCT(Mecze[[#This Row],[/PR:90]:[/BR:90]],Brudnopis!$E$27:$J$27),0)</f>
        <v>0.2421875</v>
      </c>
      <c r="X850" s="44">
        <f>IF(Mecze[[#This Row],[Role]]&lt;&gt;"BR",SUMPRODUCT(Mecze[[#This Row],[/PR:90]:[/BR:90]],Brudnopis!$E$28:$J$28),0)</f>
        <v>0.15625</v>
      </c>
      <c r="Y850" s="35">
        <f>IF(Mecze[[#This Row],[Role]]="BR",Mecze[[#This Row],[/OB:90]]+Mecze[[#This Row],[/PC:90]],SUM(Mecze[[#This Row],[/PR:90]:[/BR:90]]))</f>
        <v>0.21875</v>
      </c>
      <c r="Z850" s="35">
        <f>IF(Mecze[[#This Row],[KC]]=0,SUM(Mecze[[#This Row],[/BRI]:[/NPI]]),SUM(Mecze[[#This Row],[/BRI]:[/NPI]])*0.6)</f>
        <v>1.1276041666666665</v>
      </c>
      <c r="AA850" s="10">
        <f>IFERROR(Mecze[[#This Row],[BR]]/Mecze[[#This Row],[ST]],0)</f>
        <v>0</v>
      </c>
      <c r="AB850">
        <f>ROUND(Mecze[[#This Row],[PD]]*Mecze[[#This Row],[%PC]],0)</f>
        <v>9</v>
      </c>
      <c r="AC850">
        <f>ROUND(Mecze[[#This Row],[OD]]*Mecze[[#This Row],[%OU]],0)</f>
        <v>5</v>
      </c>
      <c r="AD850" s="36" t="s">
        <v>41</v>
      </c>
      <c r="AE850" s="36">
        <v>48</v>
      </c>
      <c r="AF850" s="71">
        <v>5.44</v>
      </c>
      <c r="AG850" s="37">
        <v>0</v>
      </c>
      <c r="AH850" s="37">
        <v>0</v>
      </c>
      <c r="AI850" s="37">
        <v>96</v>
      </c>
      <c r="AJ850" s="37">
        <v>2</v>
      </c>
      <c r="AK850" s="37" t="str">
        <f>VLOOKUP(Mecze[[#This Row],[Match ID]],Meczusie[Mecz]:Meczusie[RodzajMeczu],2,FALSE)</f>
        <v>Liga</v>
      </c>
    </row>
    <row r="851" spans="1:37" x14ac:dyDescent="0.25">
      <c r="A851" s="76">
        <v>6</v>
      </c>
      <c r="B851" s="3" t="s">
        <v>225</v>
      </c>
      <c r="C851" s="2" t="s">
        <v>160</v>
      </c>
      <c r="D851" s="1">
        <v>0</v>
      </c>
      <c r="E851" s="1">
        <v>0</v>
      </c>
      <c r="F851" s="1">
        <v>0</v>
      </c>
      <c r="G851" s="1">
        <v>17</v>
      </c>
      <c r="H851" s="4">
        <v>0.76</v>
      </c>
      <c r="I851" s="1">
        <v>4</v>
      </c>
      <c r="J851" s="4">
        <v>1</v>
      </c>
      <c r="K851" s="1">
        <v>0</v>
      </c>
      <c r="L851" s="1">
        <v>10</v>
      </c>
      <c r="M851" s="32">
        <f>IF(Mecze[[#This Row],[PR]]=0,0,Mecze[[#This Row],[PR]]/Mecze[[#This Row],[CZAS]])</f>
        <v>0.10416666666666667</v>
      </c>
      <c r="N851" s="32">
        <f>IF(Mecze[[#This Row],[OU]]=0,0,Mecze[[#This Row],[OU]]/Mecze[[#This Row],[CZAS]])</f>
        <v>4.1666666666666664E-2</v>
      </c>
      <c r="O851" s="32">
        <f>IF(Mecze[[#This Row],[PC]]=0,0,Mecze[[#This Row],[PC]]/Mecze[[#This Row],[CZAS]])</f>
        <v>0.13541666666666666</v>
      </c>
      <c r="P851" s="32">
        <f>IF(Mecze[[#This Row],[SC]]=0,0,Mecze[[#This Row],[SC]]/Mecze[[#This Row],[CZAS]])</f>
        <v>0</v>
      </c>
      <c r="Q851" s="32">
        <f>IF(Mecze[[#This Row],[OB]]=0,0,Mecze[[#This Row],[OB]]/Mecze[[#This Row],[CZAS]])</f>
        <v>0</v>
      </c>
      <c r="R851" s="32">
        <f>IF(Mecze[[#This Row],[BR]]=0,0,Mecze[[#This Row],[BR]]/Mecze[[#This Row],[CZAS]])</f>
        <v>0</v>
      </c>
      <c r="S851" s="44">
        <f>IF(Mecze[[#This Row],[Role]]="BR",SUMPRODUCT(Mecze[[#This Row],[/PR:90]:[/BR:90]],Brudnopis!$E$23:$J$23),0)</f>
        <v>0</v>
      </c>
      <c r="T851" s="44">
        <f>IF(Mecze[[#This Row],[Role]]&lt;&gt;"BR",SUMPRODUCT(Mecze[[#This Row],[/PR:90]:[/BR:90]],Brudnopis!$E$24:$J$24),0)</f>
        <v>0.30208333333333337</v>
      </c>
      <c r="U851" s="44">
        <f>IF(Mecze[[#This Row],[Role]]&lt;&gt;"BR",SUMPRODUCT(Mecze[[#This Row],[/PR:90]:[/BR:90]],Brudnopis!$E$25:$J$25),0)</f>
        <v>0.34895833333333337</v>
      </c>
      <c r="V851" s="44">
        <f>IF(Mecze[[#This Row],[Role]]&lt;&gt;"BR",SUMPRODUCT(Mecze[[#This Row],[/PR:90]:[/BR:90]],Brudnopis!$E$26:$J$26),0)</f>
        <v>0.28125</v>
      </c>
      <c r="W851" s="44">
        <f>IF(Mecze[[#This Row],[Role]]&lt;&gt;"BR",SUMPRODUCT(Mecze[[#This Row],[/PR:90]:[/BR:90]],Brudnopis!$E$27:$J$27),0)</f>
        <v>0.3125</v>
      </c>
      <c r="X851" s="44">
        <f>IF(Mecze[[#This Row],[Role]]&lt;&gt;"BR",SUMPRODUCT(Mecze[[#This Row],[/PR:90]:[/BR:90]],Brudnopis!$E$28:$J$28),0)</f>
        <v>0.13541666666666666</v>
      </c>
      <c r="Y851" s="35">
        <f>IF(Mecze[[#This Row],[Role]]="BR",Mecze[[#This Row],[/OB:90]]+Mecze[[#This Row],[/PC:90]],SUM(Mecze[[#This Row],[/PR:90]:[/BR:90]]))</f>
        <v>0.28125</v>
      </c>
      <c r="Z851" s="35">
        <f>IF(Mecze[[#This Row],[KC]]=0,SUM(Mecze[[#This Row],[/BRI]:[/NPI]]),SUM(Mecze[[#This Row],[/BRI]:[/NPI]])*0.6)</f>
        <v>1.3802083333333335</v>
      </c>
      <c r="AA851" s="10">
        <f>IFERROR(Mecze[[#This Row],[BR]]/Mecze[[#This Row],[ST]],0)</f>
        <v>0</v>
      </c>
      <c r="AB851">
        <f>ROUND(Mecze[[#This Row],[PD]]*Mecze[[#This Row],[%PC]],0)</f>
        <v>13</v>
      </c>
      <c r="AC851">
        <f>ROUND(Mecze[[#This Row],[OD]]*Mecze[[#This Row],[%OU]],0)</f>
        <v>4</v>
      </c>
      <c r="AD851" s="36" t="s">
        <v>41</v>
      </c>
      <c r="AE851" s="36">
        <v>48</v>
      </c>
      <c r="AF851" s="71">
        <v>6.01</v>
      </c>
      <c r="AG851" s="37">
        <v>0</v>
      </c>
      <c r="AH851" s="37">
        <v>0</v>
      </c>
      <c r="AI851" s="37">
        <v>96</v>
      </c>
      <c r="AJ851" s="37">
        <v>2</v>
      </c>
      <c r="AK851" s="37" t="str">
        <f>VLOOKUP(Mecze[[#This Row],[Match ID]],Meczusie[Mecz]:Meczusie[RodzajMeczu],2,FALSE)</f>
        <v>Liga</v>
      </c>
    </row>
    <row r="852" spans="1:37" x14ac:dyDescent="0.25">
      <c r="A852" s="76">
        <v>9</v>
      </c>
      <c r="B852" s="3" t="s">
        <v>227</v>
      </c>
      <c r="C852" s="2" t="s">
        <v>160</v>
      </c>
      <c r="D852" s="1">
        <v>0</v>
      </c>
      <c r="E852" s="1">
        <v>1</v>
      </c>
      <c r="F852" s="1">
        <v>0</v>
      </c>
      <c r="G852" s="1">
        <v>18</v>
      </c>
      <c r="H852" s="4">
        <v>0.61</v>
      </c>
      <c r="I852" s="1">
        <v>3</v>
      </c>
      <c r="J852" s="4">
        <v>0.67</v>
      </c>
      <c r="K852" s="1">
        <v>0</v>
      </c>
      <c r="L852" s="1">
        <v>0</v>
      </c>
      <c r="M852" s="32">
        <f>IF(Mecze[[#This Row],[PR]]=0,0,Mecze[[#This Row],[PR]]/Mecze[[#This Row],[CZAS]])</f>
        <v>0</v>
      </c>
      <c r="N852" s="32">
        <f>IF(Mecze[[#This Row],[OU]]=0,0,Mecze[[#This Row],[OU]]/Mecze[[#This Row],[CZAS]])</f>
        <v>2.0833333333333332E-2</v>
      </c>
      <c r="O852" s="32">
        <f>IF(Mecze[[#This Row],[PC]]=0,0,Mecze[[#This Row],[PC]]/Mecze[[#This Row],[CZAS]])</f>
        <v>0.11458333333333333</v>
      </c>
      <c r="P852" s="32">
        <f>IF(Mecze[[#This Row],[SC]]=0,0,Mecze[[#This Row],[SC]]/Mecze[[#This Row],[CZAS]])</f>
        <v>0</v>
      </c>
      <c r="Q852" s="32">
        <f>IF(Mecze[[#This Row],[OB]]=0,0,Mecze[[#This Row],[OB]]/Mecze[[#This Row],[CZAS]])</f>
        <v>0</v>
      </c>
      <c r="R852" s="32">
        <f>IF(Mecze[[#This Row],[BR]]=0,0,Mecze[[#This Row],[BR]]/Mecze[[#This Row],[CZAS]])</f>
        <v>0</v>
      </c>
      <c r="S852" s="44">
        <f>IF(Mecze[[#This Row],[Role]]="BR",SUMPRODUCT(Mecze[[#This Row],[/PR:90]:[/BR:90]],Brudnopis!$E$23:$J$23),0)</f>
        <v>0</v>
      </c>
      <c r="T852" s="44">
        <f>IF(Mecze[[#This Row],[Role]]&lt;&gt;"BR",SUMPRODUCT(Mecze[[#This Row],[/PR:90]:[/BR:90]],Brudnopis!$E$24:$J$24),0)</f>
        <v>0.14583333333333331</v>
      </c>
      <c r="U852" s="44">
        <f>IF(Mecze[[#This Row],[Role]]&lt;&gt;"BR",SUMPRODUCT(Mecze[[#This Row],[/PR:90]:[/BR:90]],Brudnopis!$E$25:$J$25),0)</f>
        <v>0.19270833333333334</v>
      </c>
      <c r="V852" s="44">
        <f>IF(Mecze[[#This Row],[Role]]&lt;&gt;"BR",SUMPRODUCT(Mecze[[#This Row],[/PR:90]:[/BR:90]],Brudnopis!$E$26:$J$26),0)</f>
        <v>0.13541666666666666</v>
      </c>
      <c r="W852" s="44">
        <f>IF(Mecze[[#This Row],[Role]]&lt;&gt;"BR",SUMPRODUCT(Mecze[[#This Row],[/PR:90]:[/BR:90]],Brudnopis!$E$27:$J$27),0)</f>
        <v>0.1875</v>
      </c>
      <c r="X852" s="44">
        <f>IF(Mecze[[#This Row],[Role]]&lt;&gt;"BR",SUMPRODUCT(Mecze[[#This Row],[/PR:90]:[/BR:90]],Brudnopis!$E$28:$J$28),0)</f>
        <v>0.11458333333333333</v>
      </c>
      <c r="Y852" s="35">
        <f>IF(Mecze[[#This Row],[Role]]="BR",Mecze[[#This Row],[/OB:90]]+Mecze[[#This Row],[/PC:90]],SUM(Mecze[[#This Row],[/PR:90]:[/BR:90]]))</f>
        <v>0.13541666666666666</v>
      </c>
      <c r="Z852" s="35">
        <f>IF(Mecze[[#This Row],[KC]]=0,SUM(Mecze[[#This Row],[/BRI]:[/NPI]]),SUM(Mecze[[#This Row],[/BRI]:[/NPI]])*0.6)</f>
        <v>0.77604166666666663</v>
      </c>
      <c r="AA852" s="10">
        <f>IFERROR(Mecze[[#This Row],[BR]]/Mecze[[#This Row],[ST]],0)</f>
        <v>0</v>
      </c>
      <c r="AB852">
        <f>ROUND(Mecze[[#This Row],[PD]]*Mecze[[#This Row],[%PC]],0)</f>
        <v>11</v>
      </c>
      <c r="AC852">
        <f>ROUND(Mecze[[#This Row],[OD]]*Mecze[[#This Row],[%OU]],0)</f>
        <v>2</v>
      </c>
      <c r="AD852" s="36" t="s">
        <v>67</v>
      </c>
      <c r="AE852" s="36">
        <v>48</v>
      </c>
      <c r="AF852" s="71">
        <v>3.91</v>
      </c>
      <c r="AG852" s="37">
        <v>0</v>
      </c>
      <c r="AH852" s="37">
        <v>0</v>
      </c>
      <c r="AI852" s="37">
        <v>96</v>
      </c>
      <c r="AJ852" s="37">
        <v>2</v>
      </c>
      <c r="AK852" s="37" t="str">
        <f>VLOOKUP(Mecze[[#This Row],[Match ID]],Meczusie[Mecz]:Meczusie[RodzajMeczu],2,FALSE)</f>
        <v>Liga</v>
      </c>
    </row>
    <row r="853" spans="1:37" x14ac:dyDescent="0.25">
      <c r="A853" s="76">
        <v>8</v>
      </c>
      <c r="B853" s="3" t="s">
        <v>228</v>
      </c>
      <c r="C853" s="2" t="s">
        <v>160</v>
      </c>
      <c r="D853" s="1">
        <v>0</v>
      </c>
      <c r="E853" s="1">
        <v>0</v>
      </c>
      <c r="F853" s="1">
        <v>0</v>
      </c>
      <c r="G853" s="1">
        <v>7</v>
      </c>
      <c r="H853" s="4">
        <v>1</v>
      </c>
      <c r="I853" s="1">
        <v>2</v>
      </c>
      <c r="J853" s="4">
        <v>0.5</v>
      </c>
      <c r="K853" s="1">
        <v>0</v>
      </c>
      <c r="L853" s="1">
        <v>1</v>
      </c>
      <c r="M853" s="32">
        <f>IF(Mecze[[#This Row],[PR]]=0,0,Mecze[[#This Row],[PR]]/Mecze[[#This Row],[CZAS]])</f>
        <v>1.0416666666666666E-2</v>
      </c>
      <c r="N853" s="32">
        <f>IF(Mecze[[#This Row],[OU]]=0,0,Mecze[[#This Row],[OU]]/Mecze[[#This Row],[CZAS]])</f>
        <v>1.0416666666666666E-2</v>
      </c>
      <c r="O853" s="32">
        <f>IF(Mecze[[#This Row],[PC]]=0,0,Mecze[[#This Row],[PC]]/Mecze[[#This Row],[CZAS]])</f>
        <v>7.2916666666666671E-2</v>
      </c>
      <c r="P853" s="32">
        <f>IF(Mecze[[#This Row],[SC]]=0,0,Mecze[[#This Row],[SC]]/Mecze[[#This Row],[CZAS]])</f>
        <v>0</v>
      </c>
      <c r="Q853" s="32">
        <f>IF(Mecze[[#This Row],[OB]]=0,0,Mecze[[#This Row],[OB]]/Mecze[[#This Row],[CZAS]])</f>
        <v>0</v>
      </c>
      <c r="R853" s="32">
        <f>IF(Mecze[[#This Row],[BR]]=0,0,Mecze[[#This Row],[BR]]/Mecze[[#This Row],[CZAS]])</f>
        <v>0</v>
      </c>
      <c r="S853" s="44">
        <f>IF(Mecze[[#This Row],[Role]]="BR",SUMPRODUCT(Mecze[[#This Row],[/PR:90]:[/BR:90]],Brudnopis!$E$23:$J$23),0)</f>
        <v>0</v>
      </c>
      <c r="T853" s="44">
        <f>IF(Mecze[[#This Row],[Role]]&lt;&gt;"BR",SUMPRODUCT(Mecze[[#This Row],[/PR:90]:[/BR:90]],Brudnopis!$E$24:$J$24),0)</f>
        <v>9.8958333333333343E-2</v>
      </c>
      <c r="U853" s="44">
        <f>IF(Mecze[[#This Row],[Role]]&lt;&gt;"BR",SUMPRODUCT(Mecze[[#This Row],[/PR:90]:[/BR:90]],Brudnopis!$E$25:$J$25),0)</f>
        <v>0.13020833333333334</v>
      </c>
      <c r="V853" s="44">
        <f>IF(Mecze[[#This Row],[Role]]&lt;&gt;"BR",SUMPRODUCT(Mecze[[#This Row],[/PR:90]:[/BR:90]],Brudnopis!$E$26:$J$26),0)</f>
        <v>9.375E-2</v>
      </c>
      <c r="W853" s="44">
        <f>IF(Mecze[[#This Row],[Role]]&lt;&gt;"BR",SUMPRODUCT(Mecze[[#This Row],[/PR:90]:[/BR:90]],Brudnopis!$E$27:$J$27),0)</f>
        <v>0.125</v>
      </c>
      <c r="X853" s="44">
        <f>IF(Mecze[[#This Row],[Role]]&lt;&gt;"BR",SUMPRODUCT(Mecze[[#This Row],[/PR:90]:[/BR:90]],Brudnopis!$E$28:$J$28),0)</f>
        <v>7.2916666666666671E-2</v>
      </c>
      <c r="Y853" s="35">
        <f>IF(Mecze[[#This Row],[Role]]="BR",Mecze[[#This Row],[/OB:90]]+Mecze[[#This Row],[/PC:90]],SUM(Mecze[[#This Row],[/PR:90]:[/BR:90]]))</f>
        <v>9.375E-2</v>
      </c>
      <c r="Z853" s="35">
        <f>IF(Mecze[[#This Row],[KC]]=0,SUM(Mecze[[#This Row],[/BRI]:[/NPI]]),SUM(Mecze[[#This Row],[/BRI]:[/NPI]])*0.6)</f>
        <v>0.52083333333333337</v>
      </c>
      <c r="AA853" s="10">
        <f>IFERROR(Mecze[[#This Row],[BR]]/Mecze[[#This Row],[ST]],0)</f>
        <v>0</v>
      </c>
      <c r="AB853">
        <f>ROUND(Mecze[[#This Row],[PD]]*Mecze[[#This Row],[%PC]],0)</f>
        <v>7</v>
      </c>
      <c r="AC853">
        <f>ROUND(Mecze[[#This Row],[OD]]*Mecze[[#This Row],[%OU]],0)</f>
        <v>1</v>
      </c>
      <c r="AD853" s="36" t="s">
        <v>171</v>
      </c>
      <c r="AE853" s="36">
        <v>48</v>
      </c>
      <c r="AF853" s="71">
        <v>6.24</v>
      </c>
      <c r="AG853" s="37">
        <v>0</v>
      </c>
      <c r="AH853" s="37">
        <v>0</v>
      </c>
      <c r="AI853" s="37">
        <v>96</v>
      </c>
      <c r="AJ853" s="37">
        <v>2</v>
      </c>
      <c r="AK853" s="37" t="str">
        <f>VLOOKUP(Mecze[[#This Row],[Match ID]],Meczusie[Mecz]:Meczusie[RodzajMeczu],2,FALSE)</f>
        <v>Liga</v>
      </c>
    </row>
    <row r="854" spans="1:37" x14ac:dyDescent="0.25">
      <c r="A854" s="76">
        <v>11</v>
      </c>
      <c r="B854" s="3" t="s">
        <v>229</v>
      </c>
      <c r="C854" s="2" t="s">
        <v>165</v>
      </c>
      <c r="D854" s="1">
        <v>1</v>
      </c>
      <c r="E854" s="1">
        <v>20</v>
      </c>
      <c r="F854" s="1">
        <v>16</v>
      </c>
      <c r="G854" s="1">
        <v>2</v>
      </c>
      <c r="H854" s="4">
        <v>0.5</v>
      </c>
      <c r="I854" s="1">
        <v>2</v>
      </c>
      <c r="J854" s="4">
        <v>1</v>
      </c>
      <c r="K854" s="1">
        <v>0</v>
      </c>
      <c r="L854" s="1">
        <v>0</v>
      </c>
      <c r="M854" s="32">
        <f>IF(Mecze[[#This Row],[PR]]=0,0,Mecze[[#This Row],[PR]]/Mecze[[#This Row],[CZAS]])</f>
        <v>0</v>
      </c>
      <c r="N854" s="32">
        <f>IF(Mecze[[#This Row],[OU]]=0,0,Mecze[[#This Row],[OU]]/Mecze[[#This Row],[CZAS]])</f>
        <v>2.0833333333333332E-2</v>
      </c>
      <c r="O854" s="32">
        <f>IF(Mecze[[#This Row],[PC]]=0,0,Mecze[[#This Row],[PC]]/Mecze[[#This Row],[CZAS]])</f>
        <v>1.0416666666666666E-2</v>
      </c>
      <c r="P854" s="32">
        <f>IF(Mecze[[#This Row],[SC]]=0,0,Mecze[[#This Row],[SC]]/Mecze[[#This Row],[CZAS]])</f>
        <v>0.16666666666666666</v>
      </c>
      <c r="Q854" s="32">
        <f>IF(Mecze[[#This Row],[OB]]=0,0,Mecze[[#This Row],[OB]]/Mecze[[#This Row],[CZAS]])</f>
        <v>0</v>
      </c>
      <c r="R854" s="32">
        <f>IF(Mecze[[#This Row],[BR]]=0,0,Mecze[[#This Row],[BR]]/Mecze[[#This Row],[CZAS]])</f>
        <v>1.0416666666666666E-2</v>
      </c>
      <c r="S854" s="44">
        <f>IF(Mecze[[#This Row],[Role]]="BR",SUMPRODUCT(Mecze[[#This Row],[/PR:90]:[/BR:90]],Brudnopis!$E$23:$J$23),0)</f>
        <v>0</v>
      </c>
      <c r="T854" s="44">
        <f>IF(Mecze[[#This Row],[Role]]&lt;&gt;"BR",SUMPRODUCT(Mecze[[#This Row],[/PR:90]:[/BR:90]],Brudnopis!$E$24:$J$24),0)</f>
        <v>0.22395833333333331</v>
      </c>
      <c r="U854" s="44">
        <f>IF(Mecze[[#This Row],[Role]]&lt;&gt;"BR",SUMPRODUCT(Mecze[[#This Row],[/PR:90]:[/BR:90]],Brudnopis!$E$25:$J$25),0)</f>
        <v>0.21875</v>
      </c>
      <c r="V854" s="44">
        <f>IF(Mecze[[#This Row],[Role]]&lt;&gt;"BR",SUMPRODUCT(Mecze[[#This Row],[/PR:90]:[/BR:90]],Brudnopis!$E$26:$J$26),0)</f>
        <v>0.21875</v>
      </c>
      <c r="W854" s="44">
        <f>IF(Mecze[[#This Row],[Role]]&lt;&gt;"BR",SUMPRODUCT(Mecze[[#This Row],[/PR:90]:[/BR:90]],Brudnopis!$E$27:$J$27),0)</f>
        <v>0.21875</v>
      </c>
      <c r="X854" s="44">
        <f>IF(Mecze[[#This Row],[Role]]&lt;&gt;"BR",SUMPRODUCT(Mecze[[#This Row],[/PR:90]:[/BR:90]],Brudnopis!$E$28:$J$28),0)</f>
        <v>0.375</v>
      </c>
      <c r="Y854" s="35">
        <f>IF(Mecze[[#This Row],[Role]]="BR",Mecze[[#This Row],[/OB:90]]+Mecze[[#This Row],[/PC:90]],SUM(Mecze[[#This Row],[/PR:90]:[/BR:90]]))</f>
        <v>0.20833333333333331</v>
      </c>
      <c r="Z854" s="35">
        <f>IF(Mecze[[#This Row],[KC]]=0,SUM(Mecze[[#This Row],[/BRI]:[/NPI]]),SUM(Mecze[[#This Row],[/BRI]:[/NPI]])*0.6)</f>
        <v>1.2552083333333333</v>
      </c>
      <c r="AA854" s="10">
        <f>IFERROR(Mecze[[#This Row],[BR]]/Mecze[[#This Row],[ST]],0)</f>
        <v>0.05</v>
      </c>
      <c r="AB854">
        <f>ROUND(Mecze[[#This Row],[PD]]*Mecze[[#This Row],[%PC]],0)</f>
        <v>1</v>
      </c>
      <c r="AC854">
        <f>ROUND(Mecze[[#This Row],[OD]]*Mecze[[#This Row],[%OU]],0)</f>
        <v>2</v>
      </c>
      <c r="AD854" s="36" t="s">
        <v>46</v>
      </c>
      <c r="AE854" s="36">
        <v>48</v>
      </c>
      <c r="AF854" s="71">
        <v>8.5299999999999994</v>
      </c>
      <c r="AG854" s="37">
        <v>0</v>
      </c>
      <c r="AH854" s="37">
        <v>0</v>
      </c>
      <c r="AI854" s="37">
        <v>96</v>
      </c>
      <c r="AJ854" s="37">
        <v>2</v>
      </c>
      <c r="AK854" s="37" t="str">
        <f>VLOOKUP(Mecze[[#This Row],[Match ID]],Meczusie[Mecz]:Meczusie[RodzajMeczu],2,FALSE)</f>
        <v>Liga</v>
      </c>
    </row>
    <row r="855" spans="1:37" x14ac:dyDescent="0.25">
      <c r="A855" s="76">
        <v>10</v>
      </c>
      <c r="B855" s="3" t="s">
        <v>230</v>
      </c>
      <c r="C855" s="2" t="s">
        <v>165</v>
      </c>
      <c r="D855" s="1">
        <v>0</v>
      </c>
      <c r="E855" s="1">
        <v>0</v>
      </c>
      <c r="F855" s="1">
        <v>0</v>
      </c>
      <c r="G855" s="1">
        <v>14</v>
      </c>
      <c r="H855" s="4">
        <v>0.71</v>
      </c>
      <c r="I855" s="1">
        <v>0</v>
      </c>
      <c r="J855" s="4"/>
      <c r="K855" s="1">
        <v>0</v>
      </c>
      <c r="L855" s="1">
        <v>0</v>
      </c>
      <c r="M855" s="32">
        <f>IF(Mecze[[#This Row],[PR]]=0,0,Mecze[[#This Row],[PR]]/Mecze[[#This Row],[CZAS]])</f>
        <v>0</v>
      </c>
      <c r="N855" s="32">
        <f>IF(Mecze[[#This Row],[OU]]=0,0,Mecze[[#This Row],[OU]]/Mecze[[#This Row],[CZAS]])</f>
        <v>0</v>
      </c>
      <c r="O855" s="32">
        <f>IF(Mecze[[#This Row],[PC]]=0,0,Mecze[[#This Row],[PC]]/Mecze[[#This Row],[CZAS]])</f>
        <v>0.10416666666666667</v>
      </c>
      <c r="P855" s="32">
        <f>IF(Mecze[[#This Row],[SC]]=0,0,Mecze[[#This Row],[SC]]/Mecze[[#This Row],[CZAS]])</f>
        <v>0</v>
      </c>
      <c r="Q855" s="32">
        <f>IF(Mecze[[#This Row],[OB]]=0,0,Mecze[[#This Row],[OB]]/Mecze[[#This Row],[CZAS]])</f>
        <v>0</v>
      </c>
      <c r="R855" s="32">
        <f>IF(Mecze[[#This Row],[BR]]=0,0,Mecze[[#This Row],[BR]]/Mecze[[#This Row],[CZAS]])</f>
        <v>0</v>
      </c>
      <c r="S855" s="44">
        <f>IF(Mecze[[#This Row],[Role]]="BR",SUMPRODUCT(Mecze[[#This Row],[/PR:90]:[/BR:90]],Brudnopis!$E$23:$J$23),0)</f>
        <v>0</v>
      </c>
      <c r="T855" s="44">
        <f>IF(Mecze[[#This Row],[Role]]&lt;&gt;"BR",SUMPRODUCT(Mecze[[#This Row],[/PR:90]:[/BR:90]],Brudnopis!$E$24:$J$24),0)</f>
        <v>0.10416666666666667</v>
      </c>
      <c r="U855" s="44">
        <f>IF(Mecze[[#This Row],[Role]]&lt;&gt;"BR",SUMPRODUCT(Mecze[[#This Row],[/PR:90]:[/BR:90]],Brudnopis!$E$25:$J$25),0)</f>
        <v>0.15625</v>
      </c>
      <c r="V855" s="44">
        <f>IF(Mecze[[#This Row],[Role]]&lt;&gt;"BR",SUMPRODUCT(Mecze[[#This Row],[/PR:90]:[/BR:90]],Brudnopis!$E$26:$J$26),0)</f>
        <v>0.10416666666666667</v>
      </c>
      <c r="W855" s="44">
        <f>IF(Mecze[[#This Row],[Role]]&lt;&gt;"BR",SUMPRODUCT(Mecze[[#This Row],[/PR:90]:[/BR:90]],Brudnopis!$E$27:$J$27),0)</f>
        <v>0.15625</v>
      </c>
      <c r="X855" s="44">
        <f>IF(Mecze[[#This Row],[Role]]&lt;&gt;"BR",SUMPRODUCT(Mecze[[#This Row],[/PR:90]:[/BR:90]],Brudnopis!$E$28:$J$28),0)</f>
        <v>0.10416666666666667</v>
      </c>
      <c r="Y855" s="35">
        <f>IF(Mecze[[#This Row],[Role]]="BR",Mecze[[#This Row],[/OB:90]]+Mecze[[#This Row],[/PC:90]],SUM(Mecze[[#This Row],[/PR:90]:[/BR:90]]))</f>
        <v>0.10416666666666667</v>
      </c>
      <c r="Z855" s="35">
        <f>IF(Mecze[[#This Row],[KC]]=0,SUM(Mecze[[#This Row],[/BRI]:[/NPI]]),SUM(Mecze[[#This Row],[/BRI]:[/NPI]])*0.6)</f>
        <v>0.625</v>
      </c>
      <c r="AA855" s="10">
        <f>IFERROR(Mecze[[#This Row],[BR]]/Mecze[[#This Row],[ST]],0)</f>
        <v>0</v>
      </c>
      <c r="AB855">
        <f>ROUND(Mecze[[#This Row],[PD]]*Mecze[[#This Row],[%PC]],0)</f>
        <v>10</v>
      </c>
      <c r="AC855">
        <f>ROUND(Mecze[[#This Row],[OD]]*Mecze[[#This Row],[%OU]],0)</f>
        <v>0</v>
      </c>
      <c r="AD855" s="36" t="s">
        <v>232</v>
      </c>
      <c r="AE855" s="36">
        <v>48</v>
      </c>
      <c r="AF855" s="71">
        <v>4.04</v>
      </c>
      <c r="AG855" s="37">
        <v>0</v>
      </c>
      <c r="AH855" s="37">
        <v>0</v>
      </c>
      <c r="AI855" s="37">
        <v>96</v>
      </c>
      <c r="AJ855" s="37">
        <v>2</v>
      </c>
      <c r="AK855" s="37" t="str">
        <f>VLOOKUP(Mecze[[#This Row],[Match ID]],Meczusie[Mecz]:Meczusie[RodzajMeczu],2,FALSE)</f>
        <v>Liga</v>
      </c>
    </row>
    <row r="856" spans="1:37" x14ac:dyDescent="0.25">
      <c r="A856" s="76">
        <v>12</v>
      </c>
      <c r="B856" s="3" t="s">
        <v>231</v>
      </c>
      <c r="C856" s="2" t="s">
        <v>157</v>
      </c>
      <c r="D856" s="1">
        <v>0</v>
      </c>
      <c r="E856" s="1">
        <v>0</v>
      </c>
      <c r="F856" s="1">
        <v>0</v>
      </c>
      <c r="G856" s="1">
        <v>0</v>
      </c>
      <c r="H856" s="72"/>
      <c r="I856" s="1">
        <v>4</v>
      </c>
      <c r="J856" s="4">
        <v>0.25</v>
      </c>
      <c r="K856" s="1">
        <v>0</v>
      </c>
      <c r="L856" s="1">
        <v>0</v>
      </c>
      <c r="M856" s="32">
        <f>IF(Mecze[[#This Row],[PR]]=0,0,Mecze[[#This Row],[PR]]/Mecze[[#This Row],[CZAS]])</f>
        <v>0</v>
      </c>
      <c r="N856" s="32">
        <f>IF(Mecze[[#This Row],[OU]]=0,0,Mecze[[#This Row],[OU]]/Mecze[[#This Row],[CZAS]])</f>
        <v>2.7027027027027029E-2</v>
      </c>
      <c r="O856" s="32">
        <f>IF(Mecze[[#This Row],[PC]]=0,0,Mecze[[#This Row],[PC]]/Mecze[[#This Row],[CZAS]])</f>
        <v>0</v>
      </c>
      <c r="P856" s="32">
        <f>IF(Mecze[[#This Row],[SC]]=0,0,Mecze[[#This Row],[SC]]/Mecze[[#This Row],[CZAS]])</f>
        <v>0</v>
      </c>
      <c r="Q856" s="32">
        <f>IF(Mecze[[#This Row],[OB]]=0,0,Mecze[[#This Row],[OB]]/Mecze[[#This Row],[CZAS]])</f>
        <v>0</v>
      </c>
      <c r="R856" s="32">
        <f>IF(Mecze[[#This Row],[BR]]=0,0,Mecze[[#This Row],[BR]]/Mecze[[#This Row],[CZAS]])</f>
        <v>0</v>
      </c>
      <c r="S856" s="44">
        <f>IF(Mecze[[#This Row],[Role]]="BR",SUMPRODUCT(Mecze[[#This Row],[/PR:90]:[/BR:90]],Brudnopis!$E$23:$J$23),0)</f>
        <v>0</v>
      </c>
      <c r="T856" s="44">
        <f>IF(Mecze[[#This Row],[Role]]&lt;&gt;"BR",SUMPRODUCT(Mecze[[#This Row],[/PR:90]:[/BR:90]],Brudnopis!$E$24:$J$24),0)</f>
        <v>4.0540540540540543E-2</v>
      </c>
      <c r="U856" s="44">
        <f>IF(Mecze[[#This Row],[Role]]&lt;&gt;"BR",SUMPRODUCT(Mecze[[#This Row],[/PR:90]:[/BR:90]],Brudnopis!$E$25:$J$25),0)</f>
        <v>2.7027027027027029E-2</v>
      </c>
      <c r="V856" s="44">
        <f>IF(Mecze[[#This Row],[Role]]&lt;&gt;"BR",SUMPRODUCT(Mecze[[#This Row],[/PR:90]:[/BR:90]],Brudnopis!$E$26:$J$26),0)</f>
        <v>2.7027027027027029E-2</v>
      </c>
      <c r="W856" s="44">
        <f>IF(Mecze[[#This Row],[Role]]&lt;&gt;"BR",SUMPRODUCT(Mecze[[#This Row],[/PR:90]:[/BR:90]],Brudnopis!$E$27:$J$27),0)</f>
        <v>2.0270270270270271E-2</v>
      </c>
      <c r="X856" s="44">
        <f>IF(Mecze[[#This Row],[Role]]&lt;&gt;"BR",SUMPRODUCT(Mecze[[#This Row],[/PR:90]:[/BR:90]],Brudnopis!$E$28:$J$28),0)</f>
        <v>0</v>
      </c>
      <c r="Y856" s="35">
        <f>IF(Mecze[[#This Row],[Role]]="BR",Mecze[[#This Row],[/OB:90]]+Mecze[[#This Row],[/PC:90]],SUM(Mecze[[#This Row],[/PR:90]:[/BR:90]]))</f>
        <v>2.7027027027027029E-2</v>
      </c>
      <c r="Z856" s="35">
        <f>IF(Mecze[[#This Row],[KC]]=0,SUM(Mecze[[#This Row],[/BRI]:[/NPI]]),SUM(Mecze[[#This Row],[/BRI]:[/NPI]])*0.6)</f>
        <v>0.11486486486486487</v>
      </c>
      <c r="AA856" s="10">
        <f>IFERROR(Mecze[[#This Row],[BR]]/Mecze[[#This Row],[ST]],0)</f>
        <v>0</v>
      </c>
      <c r="AB856">
        <f>ROUND(Mecze[[#This Row],[PD]]*Mecze[[#This Row],[%PC]],0)</f>
        <v>0</v>
      </c>
      <c r="AC856">
        <f>ROUND(Mecze[[#This Row],[OD]]*Mecze[[#This Row],[%OU]],0)</f>
        <v>1</v>
      </c>
      <c r="AD856" s="36" t="s">
        <v>174</v>
      </c>
      <c r="AE856" s="36">
        <v>48</v>
      </c>
      <c r="AF856" s="71">
        <v>0.5</v>
      </c>
      <c r="AG856" s="37">
        <v>0</v>
      </c>
      <c r="AH856" s="37">
        <v>0</v>
      </c>
      <c r="AI856" s="37">
        <v>37</v>
      </c>
      <c r="AJ856" s="37">
        <v>2</v>
      </c>
      <c r="AK856" s="37" t="str">
        <f>VLOOKUP(Mecze[[#This Row],[Match ID]],Meczusie[Mecz]:Meczusie[RodzajMeczu],2,FALSE)</f>
        <v>Liga</v>
      </c>
    </row>
    <row r="857" spans="1:37" x14ac:dyDescent="0.25">
      <c r="A857" s="76">
        <v>1</v>
      </c>
      <c r="B857" s="3" t="s">
        <v>274</v>
      </c>
      <c r="C857" s="2" t="s">
        <v>155</v>
      </c>
      <c r="D857" s="1">
        <v>0</v>
      </c>
      <c r="E857" s="1">
        <v>0</v>
      </c>
      <c r="F857" s="1">
        <v>0</v>
      </c>
      <c r="G857" s="1">
        <v>1</v>
      </c>
      <c r="H857" s="4">
        <v>0</v>
      </c>
      <c r="I857" s="1">
        <v>0</v>
      </c>
      <c r="J857" s="4"/>
      <c r="K857" s="1">
        <v>1</v>
      </c>
      <c r="L857" s="1">
        <v>0</v>
      </c>
      <c r="M857" s="32">
        <f>IF(Mecze[[#This Row],[PR]]=0,0,Mecze[[#This Row],[PR]]/Mecze[[#This Row],[CZAS]])</f>
        <v>0</v>
      </c>
      <c r="N857" s="32">
        <f>IF(Mecze[[#This Row],[OU]]=0,0,Mecze[[#This Row],[OU]]/Mecze[[#This Row],[CZAS]])</f>
        <v>0</v>
      </c>
      <c r="O857" s="32">
        <f>IF(Mecze[[#This Row],[PC]]=0,0,Mecze[[#This Row],[PC]]/Mecze[[#This Row],[CZAS]])</f>
        <v>0</v>
      </c>
      <c r="P857" s="32">
        <f>IF(Mecze[[#This Row],[SC]]=0,0,Mecze[[#This Row],[SC]]/Mecze[[#This Row],[CZAS]])</f>
        <v>0</v>
      </c>
      <c r="Q857" s="32">
        <f>IF(Mecze[[#This Row],[OB]]=0,0,Mecze[[#This Row],[OB]]/Mecze[[#This Row],[CZAS]])</f>
        <v>1.0416666666666666E-2</v>
      </c>
      <c r="R857" s="32">
        <f>IF(Mecze[[#This Row],[BR]]=0,0,Mecze[[#This Row],[BR]]/Mecze[[#This Row],[CZAS]])</f>
        <v>0</v>
      </c>
      <c r="S857" s="44">
        <f>IF(Mecze[[#This Row],[Role]]="BR",SUMPRODUCT(Mecze[[#This Row],[/PR:90]:[/BR:90]],Brudnopis!$E$23:$J$23),0)</f>
        <v>3.125E-2</v>
      </c>
      <c r="T857" s="44">
        <f>IF(Mecze[[#This Row],[Role]]&lt;&gt;"BR",SUMPRODUCT(Mecze[[#This Row],[/PR:90]:[/BR:90]],Brudnopis!$E$24:$J$24),0)</f>
        <v>0</v>
      </c>
      <c r="U857" s="44">
        <f>IF(Mecze[[#This Row],[Role]]&lt;&gt;"BR",SUMPRODUCT(Mecze[[#This Row],[/PR:90]:[/BR:90]],Brudnopis!$E$25:$J$25),0)</f>
        <v>0</v>
      </c>
      <c r="V857" s="44">
        <f>IF(Mecze[[#This Row],[Role]]&lt;&gt;"BR",SUMPRODUCT(Mecze[[#This Row],[/PR:90]:[/BR:90]],Brudnopis!$E$26:$J$26),0)</f>
        <v>0</v>
      </c>
      <c r="W857" s="44">
        <f>IF(Mecze[[#This Row],[Role]]&lt;&gt;"BR",SUMPRODUCT(Mecze[[#This Row],[/PR:90]:[/BR:90]],Brudnopis!$E$27:$J$27),0)</f>
        <v>0</v>
      </c>
      <c r="X857" s="44">
        <f>IF(Mecze[[#This Row],[Role]]&lt;&gt;"BR",SUMPRODUCT(Mecze[[#This Row],[/PR:90]:[/BR:90]],Brudnopis!$E$28:$J$28),0)</f>
        <v>0</v>
      </c>
      <c r="Y857" s="35">
        <f>IF(Mecze[[#This Row],[Role]]="BR",Mecze[[#This Row],[/OB:90]]+Mecze[[#This Row],[/PC:90]],SUM(Mecze[[#This Row],[/PR:90]:[/BR:90]]))</f>
        <v>1.0416666666666666E-2</v>
      </c>
      <c r="Z857" s="35">
        <f>IF(Mecze[[#This Row],[KC]]=0,SUM(Mecze[[#This Row],[/BRI]:[/NPI]]),SUM(Mecze[[#This Row],[/BRI]:[/NPI]])*0.6)</f>
        <v>3.125E-2</v>
      </c>
      <c r="AA857" s="10">
        <f>IFERROR(Mecze[[#This Row],[BR]]/Mecze[[#This Row],[ST]],0)</f>
        <v>0</v>
      </c>
      <c r="AB857">
        <f>ROUND(Mecze[[#This Row],[PD]]*Mecze[[#This Row],[%PC]],0)</f>
        <v>0</v>
      </c>
      <c r="AC857">
        <f>ROUND(Mecze[[#This Row],[OD]]*Mecze[[#This Row],[%OU]],0)</f>
        <v>0</v>
      </c>
      <c r="AD857" s="36" t="s">
        <v>40</v>
      </c>
      <c r="AE857" s="36">
        <v>49</v>
      </c>
      <c r="AF857" s="71">
        <v>7.39</v>
      </c>
      <c r="AG857" s="37">
        <v>0</v>
      </c>
      <c r="AH857" s="37">
        <v>0</v>
      </c>
      <c r="AI857" s="37">
        <v>96</v>
      </c>
      <c r="AJ857" s="37">
        <v>4</v>
      </c>
      <c r="AK857" s="37" t="str">
        <f>VLOOKUP(Mecze[[#This Row],[Match ID]],Meczusie[Mecz]:Meczusie[RodzajMeczu],2,FALSE)</f>
        <v>Liga</v>
      </c>
    </row>
    <row r="858" spans="1:37" x14ac:dyDescent="0.25">
      <c r="A858" s="76">
        <v>9</v>
      </c>
      <c r="B858" s="3" t="s">
        <v>275</v>
      </c>
      <c r="C858" s="2" t="s">
        <v>157</v>
      </c>
      <c r="D858" s="1">
        <v>0</v>
      </c>
      <c r="E858" s="1">
        <v>0</v>
      </c>
      <c r="F858" s="1">
        <v>0</v>
      </c>
      <c r="G858" s="1">
        <v>7</v>
      </c>
      <c r="H858" s="4">
        <v>0.71</v>
      </c>
      <c r="I858" s="1">
        <v>7</v>
      </c>
      <c r="J858" s="4">
        <v>0.56999999999999995</v>
      </c>
      <c r="K858" s="1">
        <v>0</v>
      </c>
      <c r="L858" s="1">
        <v>2</v>
      </c>
      <c r="M858" s="32">
        <f>IF(Mecze[[#This Row],[PR]]=0,0,Mecze[[#This Row],[PR]]/Mecze[[#This Row],[CZAS]])</f>
        <v>2.0833333333333332E-2</v>
      </c>
      <c r="N858" s="32">
        <f>IF(Mecze[[#This Row],[OU]]=0,0,Mecze[[#This Row],[OU]]/Mecze[[#This Row],[CZAS]])</f>
        <v>4.1666666666666664E-2</v>
      </c>
      <c r="O858" s="32">
        <f>IF(Mecze[[#This Row],[PC]]=0,0,Mecze[[#This Row],[PC]]/Mecze[[#This Row],[CZAS]])</f>
        <v>5.2083333333333336E-2</v>
      </c>
      <c r="P858" s="32">
        <f>IF(Mecze[[#This Row],[SC]]=0,0,Mecze[[#This Row],[SC]]/Mecze[[#This Row],[CZAS]])</f>
        <v>0</v>
      </c>
      <c r="Q858" s="32">
        <f>IF(Mecze[[#This Row],[OB]]=0,0,Mecze[[#This Row],[OB]]/Mecze[[#This Row],[CZAS]])</f>
        <v>0</v>
      </c>
      <c r="R858" s="32">
        <f>IF(Mecze[[#This Row],[BR]]=0,0,Mecze[[#This Row],[BR]]/Mecze[[#This Row],[CZAS]])</f>
        <v>0</v>
      </c>
      <c r="S858" s="44">
        <f>IF(Mecze[[#This Row],[Role]]="BR",SUMPRODUCT(Mecze[[#This Row],[/PR:90]:[/BR:90]],Brudnopis!$E$23:$J$23),0)</f>
        <v>0</v>
      </c>
      <c r="T858" s="44">
        <f>IF(Mecze[[#This Row],[Role]]&lt;&gt;"BR",SUMPRODUCT(Mecze[[#This Row],[/PR:90]:[/BR:90]],Brudnopis!$E$24:$J$24),0)</f>
        <v>0.13541666666666666</v>
      </c>
      <c r="U858" s="44">
        <f>IF(Mecze[[#This Row],[Role]]&lt;&gt;"BR",SUMPRODUCT(Mecze[[#This Row],[/PR:90]:[/BR:90]],Brudnopis!$E$25:$J$25),0)</f>
        <v>0.140625</v>
      </c>
      <c r="V858" s="44">
        <f>IF(Mecze[[#This Row],[Role]]&lt;&gt;"BR",SUMPRODUCT(Mecze[[#This Row],[/PR:90]:[/BR:90]],Brudnopis!$E$26:$J$26),0)</f>
        <v>0.11458333333333334</v>
      </c>
      <c r="W858" s="44">
        <f>IF(Mecze[[#This Row],[Role]]&lt;&gt;"BR",SUMPRODUCT(Mecze[[#This Row],[/PR:90]:[/BR:90]],Brudnopis!$E$27:$J$27),0)</f>
        <v>0.125</v>
      </c>
      <c r="X858" s="44">
        <f>IF(Mecze[[#This Row],[Role]]&lt;&gt;"BR",SUMPRODUCT(Mecze[[#This Row],[/PR:90]:[/BR:90]],Brudnopis!$E$28:$J$28),0)</f>
        <v>5.2083333333333336E-2</v>
      </c>
      <c r="Y858" s="35">
        <f>IF(Mecze[[#This Row],[Role]]="BR",Mecze[[#This Row],[/OB:90]]+Mecze[[#This Row],[/PC:90]],SUM(Mecze[[#This Row],[/PR:90]:[/BR:90]]))</f>
        <v>0.11458333333333334</v>
      </c>
      <c r="Z858" s="35">
        <f>IF(Mecze[[#This Row],[KC]]=0,SUM(Mecze[[#This Row],[/BRI]:[/NPI]]),SUM(Mecze[[#This Row],[/BRI]:[/NPI]])*0.6)</f>
        <v>0.56770833333333337</v>
      </c>
      <c r="AA858" s="10">
        <f>IFERROR(Mecze[[#This Row],[BR]]/Mecze[[#This Row],[ST]],0)</f>
        <v>0</v>
      </c>
      <c r="AB858">
        <f>ROUND(Mecze[[#This Row],[PD]]*Mecze[[#This Row],[%PC]],0)</f>
        <v>5</v>
      </c>
      <c r="AC858">
        <f>ROUND(Mecze[[#This Row],[OD]]*Mecze[[#This Row],[%OU]],0)</f>
        <v>4</v>
      </c>
      <c r="AD858" s="36" t="s">
        <v>47</v>
      </c>
      <c r="AE858" s="36">
        <v>49</v>
      </c>
      <c r="AF858" s="71">
        <v>8.58</v>
      </c>
      <c r="AG858" s="37">
        <v>0</v>
      </c>
      <c r="AH858" s="37">
        <v>0</v>
      </c>
      <c r="AI858" s="37">
        <v>96</v>
      </c>
      <c r="AJ858" s="37">
        <v>4</v>
      </c>
      <c r="AK858" s="37" t="str">
        <f>VLOOKUP(Mecze[[#This Row],[Match ID]],Meczusie[Mecz]:Meczusie[RodzajMeczu],2,FALSE)</f>
        <v>Liga</v>
      </c>
    </row>
    <row r="859" spans="1:37" x14ac:dyDescent="0.25">
      <c r="A859" s="76">
        <v>4</v>
      </c>
      <c r="B859" s="3" t="s">
        <v>276</v>
      </c>
      <c r="C859" s="2" t="s">
        <v>157</v>
      </c>
      <c r="D859" s="1">
        <v>0</v>
      </c>
      <c r="E859" s="1">
        <v>0</v>
      </c>
      <c r="F859" s="1">
        <v>0</v>
      </c>
      <c r="G859" s="1">
        <v>10</v>
      </c>
      <c r="H859" s="4">
        <v>0.8</v>
      </c>
      <c r="I859" s="1">
        <v>4</v>
      </c>
      <c r="J859" s="4">
        <v>1</v>
      </c>
      <c r="K859" s="1">
        <v>0</v>
      </c>
      <c r="L859" s="1">
        <v>7</v>
      </c>
      <c r="M859" s="32">
        <f>IF(Mecze[[#This Row],[PR]]=0,0,Mecze[[#This Row],[PR]]/Mecze[[#This Row],[CZAS]])</f>
        <v>7.2916666666666671E-2</v>
      </c>
      <c r="N859" s="32">
        <f>IF(Mecze[[#This Row],[OU]]=0,0,Mecze[[#This Row],[OU]]/Mecze[[#This Row],[CZAS]])</f>
        <v>4.1666666666666664E-2</v>
      </c>
      <c r="O859" s="32">
        <f>IF(Mecze[[#This Row],[PC]]=0,0,Mecze[[#This Row],[PC]]/Mecze[[#This Row],[CZAS]])</f>
        <v>8.3333333333333329E-2</v>
      </c>
      <c r="P859" s="32">
        <f>IF(Mecze[[#This Row],[SC]]=0,0,Mecze[[#This Row],[SC]]/Mecze[[#This Row],[CZAS]])</f>
        <v>0</v>
      </c>
      <c r="Q859" s="32">
        <f>IF(Mecze[[#This Row],[OB]]=0,0,Mecze[[#This Row],[OB]]/Mecze[[#This Row],[CZAS]])</f>
        <v>0</v>
      </c>
      <c r="R859" s="32">
        <f>IF(Mecze[[#This Row],[BR]]=0,0,Mecze[[#This Row],[BR]]/Mecze[[#This Row],[CZAS]])</f>
        <v>0</v>
      </c>
      <c r="S859" s="44">
        <f>IF(Mecze[[#This Row],[Role]]="BR",SUMPRODUCT(Mecze[[#This Row],[/PR:90]:[/BR:90]],Brudnopis!$E$23:$J$23),0)</f>
        <v>0</v>
      </c>
      <c r="T859" s="44">
        <f>IF(Mecze[[#This Row],[Role]]&lt;&gt;"BR",SUMPRODUCT(Mecze[[#This Row],[/PR:90]:[/BR:90]],Brudnopis!$E$24:$J$24),0)</f>
        <v>0.21875</v>
      </c>
      <c r="U859" s="44">
        <f>IF(Mecze[[#This Row],[Role]]&lt;&gt;"BR",SUMPRODUCT(Mecze[[#This Row],[/PR:90]:[/BR:90]],Brudnopis!$E$25:$J$25),0)</f>
        <v>0.23958333333333334</v>
      </c>
      <c r="V859" s="44">
        <f>IF(Mecze[[#This Row],[Role]]&lt;&gt;"BR",SUMPRODUCT(Mecze[[#This Row],[/PR:90]:[/BR:90]],Brudnopis!$E$26:$J$26),0)</f>
        <v>0.19791666666666669</v>
      </c>
      <c r="W859" s="44">
        <f>IF(Mecze[[#This Row],[Role]]&lt;&gt;"BR",SUMPRODUCT(Mecze[[#This Row],[/PR:90]:[/BR:90]],Brudnopis!$E$27:$J$27),0)</f>
        <v>0.2109375</v>
      </c>
      <c r="X859" s="44">
        <f>IF(Mecze[[#This Row],[Role]]&lt;&gt;"BR",SUMPRODUCT(Mecze[[#This Row],[/PR:90]:[/BR:90]],Brudnopis!$E$28:$J$28),0)</f>
        <v>8.3333333333333329E-2</v>
      </c>
      <c r="Y859" s="35">
        <f>IF(Mecze[[#This Row],[Role]]="BR",Mecze[[#This Row],[/OB:90]]+Mecze[[#This Row],[/PC:90]],SUM(Mecze[[#This Row],[/PR:90]:[/BR:90]]))</f>
        <v>0.19791666666666669</v>
      </c>
      <c r="Z859" s="35">
        <f>IF(Mecze[[#This Row],[KC]]=0,SUM(Mecze[[#This Row],[/BRI]:[/NPI]]),SUM(Mecze[[#This Row],[/BRI]:[/NPI]])*0.6)</f>
        <v>0.95052083333333337</v>
      </c>
      <c r="AA859" s="10">
        <f>IFERROR(Mecze[[#This Row],[BR]]/Mecze[[#This Row],[ST]],0)</f>
        <v>0</v>
      </c>
      <c r="AB859">
        <f>ROUND(Mecze[[#This Row],[PD]]*Mecze[[#This Row],[%PC]],0)</f>
        <v>8</v>
      </c>
      <c r="AC859">
        <f>ROUND(Mecze[[#This Row],[OD]]*Mecze[[#This Row],[%OU]],0)</f>
        <v>4</v>
      </c>
      <c r="AD859" s="36" t="s">
        <v>168</v>
      </c>
      <c r="AE859" s="36">
        <v>49</v>
      </c>
      <c r="AF859" s="71">
        <v>11.66</v>
      </c>
      <c r="AG859" s="37">
        <v>0</v>
      </c>
      <c r="AH859" s="37">
        <v>0</v>
      </c>
      <c r="AI859" s="37">
        <v>96</v>
      </c>
      <c r="AJ859" s="37">
        <v>4</v>
      </c>
      <c r="AK859" s="37" t="str">
        <f>VLOOKUP(Mecze[[#This Row],[Match ID]],Meczusie[Mecz]:Meczusie[RodzajMeczu],2,FALSE)</f>
        <v>Liga</v>
      </c>
    </row>
    <row r="860" spans="1:37" x14ac:dyDescent="0.25">
      <c r="A860" s="76">
        <v>5</v>
      </c>
      <c r="B860" s="3" t="s">
        <v>277</v>
      </c>
      <c r="C860" s="2" t="s">
        <v>157</v>
      </c>
      <c r="D860" s="1">
        <v>0</v>
      </c>
      <c r="E860" s="1">
        <v>0</v>
      </c>
      <c r="F860" s="1">
        <v>0</v>
      </c>
      <c r="G860" s="1">
        <v>8</v>
      </c>
      <c r="H860" s="4">
        <v>0.63</v>
      </c>
      <c r="I860" s="1">
        <v>3</v>
      </c>
      <c r="J860" s="4">
        <v>0</v>
      </c>
      <c r="K860" s="1">
        <v>0</v>
      </c>
      <c r="L860" s="1">
        <v>9</v>
      </c>
      <c r="M860" s="32">
        <f>IF(Mecze[[#This Row],[PR]]=0,0,Mecze[[#This Row],[PR]]/Mecze[[#This Row],[CZAS]])</f>
        <v>0.1125</v>
      </c>
      <c r="N860" s="32">
        <f>IF(Mecze[[#This Row],[OU]]=0,0,Mecze[[#This Row],[OU]]/Mecze[[#This Row],[CZAS]])</f>
        <v>0</v>
      </c>
      <c r="O860" s="32">
        <f>IF(Mecze[[#This Row],[PC]]=0,0,Mecze[[#This Row],[PC]]/Mecze[[#This Row],[CZAS]])</f>
        <v>6.25E-2</v>
      </c>
      <c r="P860" s="32">
        <f>IF(Mecze[[#This Row],[SC]]=0,0,Mecze[[#This Row],[SC]]/Mecze[[#This Row],[CZAS]])</f>
        <v>0</v>
      </c>
      <c r="Q860" s="32">
        <f>IF(Mecze[[#This Row],[OB]]=0,0,Mecze[[#This Row],[OB]]/Mecze[[#This Row],[CZAS]])</f>
        <v>0</v>
      </c>
      <c r="R860" s="32">
        <f>IF(Mecze[[#This Row],[BR]]=0,0,Mecze[[#This Row],[BR]]/Mecze[[#This Row],[CZAS]])</f>
        <v>0</v>
      </c>
      <c r="S860" s="44">
        <f>IF(Mecze[[#This Row],[Role]]="BR",SUMPRODUCT(Mecze[[#This Row],[/PR:90]:[/BR:90]],Brudnopis!$E$23:$J$23),0)</f>
        <v>0</v>
      </c>
      <c r="T860" s="44">
        <f>IF(Mecze[[#This Row],[Role]]&lt;&gt;"BR",SUMPRODUCT(Mecze[[#This Row],[/PR:90]:[/BR:90]],Brudnopis!$E$24:$J$24),0)</f>
        <v>0.17499999999999999</v>
      </c>
      <c r="U860" s="44">
        <f>IF(Mecze[[#This Row],[Role]]&lt;&gt;"BR",SUMPRODUCT(Mecze[[#This Row],[/PR:90]:[/BR:90]],Brudnopis!$E$25:$J$25),0)</f>
        <v>0.20624999999999999</v>
      </c>
      <c r="V860" s="44">
        <f>IF(Mecze[[#This Row],[Role]]&lt;&gt;"BR",SUMPRODUCT(Mecze[[#This Row],[/PR:90]:[/BR:90]],Brudnopis!$E$26:$J$26),0)</f>
        <v>0.17499999999999999</v>
      </c>
      <c r="W860" s="44">
        <f>IF(Mecze[[#This Row],[Role]]&lt;&gt;"BR",SUMPRODUCT(Mecze[[#This Row],[/PR:90]:[/BR:90]],Brudnopis!$E$27:$J$27),0)</f>
        <v>0.17812500000000001</v>
      </c>
      <c r="X860" s="44">
        <f>IF(Mecze[[#This Row],[Role]]&lt;&gt;"BR",SUMPRODUCT(Mecze[[#This Row],[/PR:90]:[/BR:90]],Brudnopis!$E$28:$J$28),0)</f>
        <v>6.25E-2</v>
      </c>
      <c r="Y860" s="35">
        <f>IF(Mecze[[#This Row],[Role]]="BR",Mecze[[#This Row],[/OB:90]]+Mecze[[#This Row],[/PC:90]],SUM(Mecze[[#This Row],[/PR:90]:[/BR:90]]))</f>
        <v>0.17499999999999999</v>
      </c>
      <c r="Z860" s="35">
        <f>IF(Mecze[[#This Row],[KC]]=0,SUM(Mecze[[#This Row],[/BRI]:[/NPI]]),SUM(Mecze[[#This Row],[/BRI]:[/NPI]])*0.6)</f>
        <v>0.79687499999999989</v>
      </c>
      <c r="AA860" s="10">
        <f>IFERROR(Mecze[[#This Row],[BR]]/Mecze[[#This Row],[ST]],0)</f>
        <v>0</v>
      </c>
      <c r="AB860">
        <f>ROUND(Mecze[[#This Row],[PD]]*Mecze[[#This Row],[%PC]],0)</f>
        <v>5</v>
      </c>
      <c r="AC860">
        <f>ROUND(Mecze[[#This Row],[OD]]*Mecze[[#This Row],[%OU]],0)</f>
        <v>0</v>
      </c>
      <c r="AD860" s="36" t="s">
        <v>167</v>
      </c>
      <c r="AE860" s="36">
        <v>49</v>
      </c>
      <c r="AF860" s="71">
        <v>8.93</v>
      </c>
      <c r="AG860" s="37">
        <v>0</v>
      </c>
      <c r="AH860" s="37">
        <v>0</v>
      </c>
      <c r="AI860" s="37">
        <v>80</v>
      </c>
      <c r="AJ860" s="37">
        <v>4</v>
      </c>
      <c r="AK860" s="37" t="str">
        <f>VLOOKUP(Mecze[[#This Row],[Match ID]],Meczusie[Mecz]:Meczusie[RodzajMeczu],2,FALSE)</f>
        <v>Liga</v>
      </c>
    </row>
    <row r="861" spans="1:37" x14ac:dyDescent="0.25">
      <c r="A861" s="76">
        <v>12</v>
      </c>
      <c r="B861" s="3" t="s">
        <v>278</v>
      </c>
      <c r="C861" s="2" t="s">
        <v>160</v>
      </c>
      <c r="D861" s="1">
        <v>0</v>
      </c>
      <c r="E861" s="1">
        <v>0</v>
      </c>
      <c r="F861" s="1">
        <v>0</v>
      </c>
      <c r="G861" s="1">
        <v>9</v>
      </c>
      <c r="H861" s="4">
        <v>0.56000000000000005</v>
      </c>
      <c r="I861" s="1">
        <v>4</v>
      </c>
      <c r="J861" s="4">
        <v>0.5</v>
      </c>
      <c r="K861" s="1">
        <v>0</v>
      </c>
      <c r="L861" s="1">
        <v>12</v>
      </c>
      <c r="M861" s="32">
        <f>IF(Mecze[[#This Row],[PR]]=0,0,Mecze[[#This Row],[PR]]/Mecze[[#This Row],[CZAS]])</f>
        <v>0.125</v>
      </c>
      <c r="N861" s="32">
        <f>IF(Mecze[[#This Row],[OU]]=0,0,Mecze[[#This Row],[OU]]/Mecze[[#This Row],[CZAS]])</f>
        <v>2.0833333333333332E-2</v>
      </c>
      <c r="O861" s="32">
        <f>IF(Mecze[[#This Row],[PC]]=0,0,Mecze[[#This Row],[PC]]/Mecze[[#This Row],[CZAS]])</f>
        <v>5.2083333333333336E-2</v>
      </c>
      <c r="P861" s="32">
        <f>IF(Mecze[[#This Row],[SC]]=0,0,Mecze[[#This Row],[SC]]/Mecze[[#This Row],[CZAS]])</f>
        <v>0</v>
      </c>
      <c r="Q861" s="32">
        <f>IF(Mecze[[#This Row],[OB]]=0,0,Mecze[[#This Row],[OB]]/Mecze[[#This Row],[CZAS]])</f>
        <v>0</v>
      </c>
      <c r="R861" s="32">
        <f>IF(Mecze[[#This Row],[BR]]=0,0,Mecze[[#This Row],[BR]]/Mecze[[#This Row],[CZAS]])</f>
        <v>0</v>
      </c>
      <c r="S861" s="44">
        <f>IF(Mecze[[#This Row],[Role]]="BR",SUMPRODUCT(Mecze[[#This Row],[/PR:90]:[/BR:90]],Brudnopis!$E$23:$J$23),0)</f>
        <v>0</v>
      </c>
      <c r="T861" s="44">
        <f>IF(Mecze[[#This Row],[Role]]&lt;&gt;"BR",SUMPRODUCT(Mecze[[#This Row],[/PR:90]:[/BR:90]],Brudnopis!$E$24:$J$24),0)</f>
        <v>0.20833333333333334</v>
      </c>
      <c r="U861" s="44">
        <f>IF(Mecze[[#This Row],[Role]]&lt;&gt;"BR",SUMPRODUCT(Mecze[[#This Row],[/PR:90]:[/BR:90]],Brudnopis!$E$25:$J$25),0)</f>
        <v>0.22395833333333334</v>
      </c>
      <c r="V861" s="44">
        <f>IF(Mecze[[#This Row],[Role]]&lt;&gt;"BR",SUMPRODUCT(Mecze[[#This Row],[/PR:90]:[/BR:90]],Brudnopis!$E$26:$J$26),0)</f>
        <v>0.19791666666666669</v>
      </c>
      <c r="W861" s="44">
        <f>IF(Mecze[[#This Row],[Role]]&lt;&gt;"BR",SUMPRODUCT(Mecze[[#This Row],[/PR:90]:[/BR:90]],Brudnopis!$E$27:$J$27),0)</f>
        <v>0.1875</v>
      </c>
      <c r="X861" s="44">
        <f>IF(Mecze[[#This Row],[Role]]&lt;&gt;"BR",SUMPRODUCT(Mecze[[#This Row],[/PR:90]:[/BR:90]],Brudnopis!$E$28:$J$28),0)</f>
        <v>5.2083333333333336E-2</v>
      </c>
      <c r="Y861" s="35">
        <f>IF(Mecze[[#This Row],[Role]]="BR",Mecze[[#This Row],[/OB:90]]+Mecze[[#This Row],[/PC:90]],SUM(Mecze[[#This Row],[/PR:90]:[/BR:90]]))</f>
        <v>0.19791666666666669</v>
      </c>
      <c r="Z861" s="35">
        <f>IF(Mecze[[#This Row],[KC]]=0,SUM(Mecze[[#This Row],[/BRI]:[/NPI]]),SUM(Mecze[[#This Row],[/BRI]:[/NPI]])*0.6)</f>
        <v>0.86979166666666674</v>
      </c>
      <c r="AA861" s="10">
        <f>IFERROR(Mecze[[#This Row],[BR]]/Mecze[[#This Row],[ST]],0)</f>
        <v>0</v>
      </c>
      <c r="AB861">
        <f>ROUND(Mecze[[#This Row],[PD]]*Mecze[[#This Row],[%PC]],0)</f>
        <v>5</v>
      </c>
      <c r="AC861">
        <f>ROUND(Mecze[[#This Row],[OD]]*Mecze[[#This Row],[%OU]],0)</f>
        <v>2</v>
      </c>
      <c r="AD861" s="36" t="s">
        <v>41</v>
      </c>
      <c r="AE861" s="36">
        <v>49</v>
      </c>
      <c r="AF861" s="71">
        <v>10.77</v>
      </c>
      <c r="AG861" s="37">
        <v>0</v>
      </c>
      <c r="AH861" s="37">
        <v>0</v>
      </c>
      <c r="AI861" s="37">
        <v>96</v>
      </c>
      <c r="AJ861" s="37">
        <v>4</v>
      </c>
      <c r="AK861" s="37" t="str">
        <f>VLOOKUP(Mecze[[#This Row],[Match ID]],Meczusie[Mecz]:Meczusie[RodzajMeczu],2,FALSE)</f>
        <v>Liga</v>
      </c>
    </row>
    <row r="862" spans="1:37" x14ac:dyDescent="0.25">
      <c r="A862" s="76">
        <v>7</v>
      </c>
      <c r="B862" s="3" t="s">
        <v>279</v>
      </c>
      <c r="C862" s="2" t="s">
        <v>160</v>
      </c>
      <c r="D862" s="1">
        <v>0</v>
      </c>
      <c r="E862" s="1">
        <v>0</v>
      </c>
      <c r="F862" s="1">
        <v>0</v>
      </c>
      <c r="G862" s="1">
        <v>6</v>
      </c>
      <c r="H862" s="4">
        <v>1</v>
      </c>
      <c r="I862" s="1">
        <v>5</v>
      </c>
      <c r="J862" s="4">
        <v>0.4</v>
      </c>
      <c r="K862" s="1">
        <v>0</v>
      </c>
      <c r="L862" s="1">
        <v>3</v>
      </c>
      <c r="M862" s="32">
        <f>IF(Mecze[[#This Row],[PR]]=0,0,Mecze[[#This Row],[PR]]/Mecze[[#This Row],[CZAS]])</f>
        <v>3.125E-2</v>
      </c>
      <c r="N862" s="32">
        <f>IF(Mecze[[#This Row],[OU]]=0,0,Mecze[[#This Row],[OU]]/Mecze[[#This Row],[CZAS]])</f>
        <v>2.0833333333333332E-2</v>
      </c>
      <c r="O862" s="32">
        <f>IF(Mecze[[#This Row],[PC]]=0,0,Mecze[[#This Row],[PC]]/Mecze[[#This Row],[CZAS]])</f>
        <v>6.25E-2</v>
      </c>
      <c r="P862" s="32">
        <f>IF(Mecze[[#This Row],[SC]]=0,0,Mecze[[#This Row],[SC]]/Mecze[[#This Row],[CZAS]])</f>
        <v>0</v>
      </c>
      <c r="Q862" s="32">
        <f>IF(Mecze[[#This Row],[OB]]=0,0,Mecze[[#This Row],[OB]]/Mecze[[#This Row],[CZAS]])</f>
        <v>0</v>
      </c>
      <c r="R862" s="32">
        <f>IF(Mecze[[#This Row],[BR]]=0,0,Mecze[[#This Row],[BR]]/Mecze[[#This Row],[CZAS]])</f>
        <v>0</v>
      </c>
      <c r="S862" s="44">
        <f>IF(Mecze[[#This Row],[Role]]="BR",SUMPRODUCT(Mecze[[#This Row],[/PR:90]:[/BR:90]],Brudnopis!$E$23:$J$23),0)</f>
        <v>0</v>
      </c>
      <c r="T862" s="44">
        <f>IF(Mecze[[#This Row],[Role]]&lt;&gt;"BR",SUMPRODUCT(Mecze[[#This Row],[/PR:90]:[/BR:90]],Brudnopis!$E$24:$J$24),0)</f>
        <v>0.125</v>
      </c>
      <c r="U862" s="44">
        <f>IF(Mecze[[#This Row],[Role]]&lt;&gt;"BR",SUMPRODUCT(Mecze[[#This Row],[/PR:90]:[/BR:90]],Brudnopis!$E$25:$J$25),0)</f>
        <v>0.14583333333333331</v>
      </c>
      <c r="V862" s="44">
        <f>IF(Mecze[[#This Row],[Role]]&lt;&gt;"BR",SUMPRODUCT(Mecze[[#This Row],[/PR:90]:[/BR:90]],Brudnopis!$E$26:$J$26),0)</f>
        <v>0.11458333333333333</v>
      </c>
      <c r="W862" s="44">
        <f>IF(Mecze[[#This Row],[Role]]&lt;&gt;"BR",SUMPRODUCT(Mecze[[#This Row],[/PR:90]:[/BR:90]],Brudnopis!$E$27:$J$27),0)</f>
        <v>0.1328125</v>
      </c>
      <c r="X862" s="44">
        <f>IF(Mecze[[#This Row],[Role]]&lt;&gt;"BR",SUMPRODUCT(Mecze[[#This Row],[/PR:90]:[/BR:90]],Brudnopis!$E$28:$J$28),0)</f>
        <v>6.25E-2</v>
      </c>
      <c r="Y862" s="35">
        <f>IF(Mecze[[#This Row],[Role]]="BR",Mecze[[#This Row],[/OB:90]]+Mecze[[#This Row],[/PC:90]],SUM(Mecze[[#This Row],[/PR:90]:[/BR:90]]))</f>
        <v>0.11458333333333333</v>
      </c>
      <c r="Z862" s="35">
        <f>IF(Mecze[[#This Row],[KC]]=0,SUM(Mecze[[#This Row],[/BRI]:[/NPI]]),SUM(Mecze[[#This Row],[/BRI]:[/NPI]])*0.6)</f>
        <v>0.58072916666666663</v>
      </c>
      <c r="AA862" s="10">
        <f>IFERROR(Mecze[[#This Row],[BR]]/Mecze[[#This Row],[ST]],0)</f>
        <v>0</v>
      </c>
      <c r="AB862">
        <f>ROUND(Mecze[[#This Row],[PD]]*Mecze[[#This Row],[%PC]],0)</f>
        <v>6</v>
      </c>
      <c r="AC862">
        <f>ROUND(Mecze[[#This Row],[OD]]*Mecze[[#This Row],[%OU]],0)</f>
        <v>2</v>
      </c>
      <c r="AD862" s="36" t="s">
        <v>41</v>
      </c>
      <c r="AE862" s="36">
        <v>49</v>
      </c>
      <c r="AF862" s="71">
        <v>11</v>
      </c>
      <c r="AG862" s="37">
        <v>0</v>
      </c>
      <c r="AH862" s="37">
        <v>0</v>
      </c>
      <c r="AI862" s="37">
        <v>96</v>
      </c>
      <c r="AJ862" s="37">
        <v>4</v>
      </c>
      <c r="AK862" s="37" t="str">
        <f>VLOOKUP(Mecze[[#This Row],[Match ID]],Meczusie[Mecz]:Meczusie[RodzajMeczu],2,FALSE)</f>
        <v>Liga</v>
      </c>
    </row>
    <row r="863" spans="1:37" x14ac:dyDescent="0.25">
      <c r="A863" s="76">
        <v>6</v>
      </c>
      <c r="B863" s="3" t="s">
        <v>280</v>
      </c>
      <c r="C863" s="2" t="s">
        <v>160</v>
      </c>
      <c r="D863" s="1">
        <v>0</v>
      </c>
      <c r="E863" s="1">
        <v>1</v>
      </c>
      <c r="F863" s="1">
        <v>1</v>
      </c>
      <c r="G863" s="1">
        <v>22</v>
      </c>
      <c r="H863" s="4">
        <v>0.86</v>
      </c>
      <c r="I863" s="1">
        <v>9</v>
      </c>
      <c r="J863" s="4">
        <v>0.78</v>
      </c>
      <c r="K863" s="1">
        <v>0</v>
      </c>
      <c r="L863" s="1">
        <v>11</v>
      </c>
      <c r="M863" s="32">
        <f>IF(Mecze[[#This Row],[PR]]=0,0,Mecze[[#This Row],[PR]]/Mecze[[#This Row],[CZAS]])</f>
        <v>0.11458333333333333</v>
      </c>
      <c r="N863" s="32">
        <f>IF(Mecze[[#This Row],[OU]]=0,0,Mecze[[#This Row],[OU]]/Mecze[[#This Row],[CZAS]])</f>
        <v>7.2916666666666671E-2</v>
      </c>
      <c r="O863" s="32">
        <f>IF(Mecze[[#This Row],[PC]]=0,0,Mecze[[#This Row],[PC]]/Mecze[[#This Row],[CZAS]])</f>
        <v>0.19791666666666666</v>
      </c>
      <c r="P863" s="32">
        <f>IF(Mecze[[#This Row],[SC]]=0,0,Mecze[[#This Row],[SC]]/Mecze[[#This Row],[CZAS]])</f>
        <v>1.0416666666666666E-2</v>
      </c>
      <c r="Q863" s="32">
        <f>IF(Mecze[[#This Row],[OB]]=0,0,Mecze[[#This Row],[OB]]/Mecze[[#This Row],[CZAS]])</f>
        <v>0</v>
      </c>
      <c r="R863" s="32">
        <f>IF(Mecze[[#This Row],[BR]]=0,0,Mecze[[#This Row],[BR]]/Mecze[[#This Row],[CZAS]])</f>
        <v>0</v>
      </c>
      <c r="S863" s="44">
        <f>IF(Mecze[[#This Row],[Role]]="BR",SUMPRODUCT(Mecze[[#This Row],[/PR:90]:[/BR:90]],Brudnopis!$E$23:$J$23),0)</f>
        <v>0</v>
      </c>
      <c r="T863" s="44">
        <f>IF(Mecze[[#This Row],[Role]]&lt;&gt;"BR",SUMPRODUCT(Mecze[[#This Row],[/PR:90]:[/BR:90]],Brudnopis!$E$24:$J$24),0)</f>
        <v>0.43229166666666669</v>
      </c>
      <c r="U863" s="44">
        <f>IF(Mecze[[#This Row],[Role]]&lt;&gt;"BR",SUMPRODUCT(Mecze[[#This Row],[/PR:90]:[/BR:90]],Brudnopis!$E$25:$J$25),0)</f>
        <v>0.49479166666666669</v>
      </c>
      <c r="V863" s="44">
        <f>IF(Mecze[[#This Row],[Role]]&lt;&gt;"BR",SUMPRODUCT(Mecze[[#This Row],[/PR:90]:[/BR:90]],Brudnopis!$E$26:$J$26),0)</f>
        <v>0.39583333333333331</v>
      </c>
      <c r="W863" s="44">
        <f>IF(Mecze[[#This Row],[Role]]&lt;&gt;"BR",SUMPRODUCT(Mecze[[#This Row],[/PR:90]:[/BR:90]],Brudnopis!$E$27:$J$27),0)</f>
        <v>0.44791666666666669</v>
      </c>
      <c r="X863" s="44">
        <f>IF(Mecze[[#This Row],[Role]]&lt;&gt;"BR",SUMPRODUCT(Mecze[[#This Row],[/PR:90]:[/BR:90]],Brudnopis!$E$28:$J$28),0)</f>
        <v>0.21875</v>
      </c>
      <c r="Y863" s="35">
        <f>IF(Mecze[[#This Row],[Role]]="BR",Mecze[[#This Row],[/OB:90]]+Mecze[[#This Row],[/PC:90]],SUM(Mecze[[#This Row],[/PR:90]:[/BR:90]]))</f>
        <v>0.39583333333333331</v>
      </c>
      <c r="Z863" s="35">
        <f>IF(Mecze[[#This Row],[KC]]=0,SUM(Mecze[[#This Row],[/BRI]:[/NPI]]),SUM(Mecze[[#This Row],[/BRI]:[/NPI]])*0.6)</f>
        <v>1.9895833333333335</v>
      </c>
      <c r="AA863" s="10">
        <f>IFERROR(Mecze[[#This Row],[BR]]/Mecze[[#This Row],[ST]],0)</f>
        <v>0</v>
      </c>
      <c r="AB863">
        <f>ROUND(Mecze[[#This Row],[PD]]*Mecze[[#This Row],[%PC]],0)</f>
        <v>19</v>
      </c>
      <c r="AC863">
        <f>ROUND(Mecze[[#This Row],[OD]]*Mecze[[#This Row],[%OU]],0)</f>
        <v>7</v>
      </c>
      <c r="AD863" s="36" t="s">
        <v>67</v>
      </c>
      <c r="AE863" s="36">
        <v>49</v>
      </c>
      <c r="AF863" s="71">
        <v>11.7</v>
      </c>
      <c r="AG863" s="37">
        <v>0</v>
      </c>
      <c r="AH863" s="37">
        <v>0</v>
      </c>
      <c r="AI863" s="37">
        <v>96</v>
      </c>
      <c r="AJ863" s="37">
        <v>4</v>
      </c>
      <c r="AK863" s="37" t="str">
        <f>VLOOKUP(Mecze[[#This Row],[Match ID]],Meczusie[Mecz]:Meczusie[RodzajMeczu],2,FALSE)</f>
        <v>Liga</v>
      </c>
    </row>
    <row r="864" spans="1:37" x14ac:dyDescent="0.25">
      <c r="A864" s="76">
        <v>14</v>
      </c>
      <c r="B864" s="3" t="s">
        <v>281</v>
      </c>
      <c r="C864" s="2" t="s">
        <v>160</v>
      </c>
      <c r="D864" s="1">
        <v>0</v>
      </c>
      <c r="E864" s="1">
        <v>3</v>
      </c>
      <c r="F864" s="1">
        <v>2</v>
      </c>
      <c r="G864" s="1">
        <v>11</v>
      </c>
      <c r="H864" s="4">
        <v>0.91</v>
      </c>
      <c r="I864" s="1">
        <v>3</v>
      </c>
      <c r="J864" s="4">
        <v>0.67</v>
      </c>
      <c r="K864" s="1">
        <v>0</v>
      </c>
      <c r="L864" s="1">
        <v>2</v>
      </c>
      <c r="M864" s="32">
        <f>IF(Mecze[[#This Row],[PR]]=0,0,Mecze[[#This Row],[PR]]/Mecze[[#This Row],[CZAS]])</f>
        <v>2.7397260273972601E-2</v>
      </c>
      <c r="N864" s="32">
        <f>IF(Mecze[[#This Row],[OU]]=0,0,Mecze[[#This Row],[OU]]/Mecze[[#This Row],[CZAS]])</f>
        <v>2.7397260273972601E-2</v>
      </c>
      <c r="O864" s="32">
        <f>IF(Mecze[[#This Row],[PC]]=0,0,Mecze[[#This Row],[PC]]/Mecze[[#This Row],[CZAS]])</f>
        <v>0.13698630136986301</v>
      </c>
      <c r="P864" s="32">
        <f>IF(Mecze[[#This Row],[SC]]=0,0,Mecze[[#This Row],[SC]]/Mecze[[#This Row],[CZAS]])</f>
        <v>2.7397260273972601E-2</v>
      </c>
      <c r="Q864" s="32">
        <f>IF(Mecze[[#This Row],[OB]]=0,0,Mecze[[#This Row],[OB]]/Mecze[[#This Row],[CZAS]])</f>
        <v>0</v>
      </c>
      <c r="R864" s="32">
        <f>IF(Mecze[[#This Row],[BR]]=0,0,Mecze[[#This Row],[BR]]/Mecze[[#This Row],[CZAS]])</f>
        <v>0</v>
      </c>
      <c r="S864" s="44">
        <f>IF(Mecze[[#This Row],[Role]]="BR",SUMPRODUCT(Mecze[[#This Row],[/PR:90]:[/BR:90]],Brudnopis!$E$23:$J$23),0)</f>
        <v>0</v>
      </c>
      <c r="T864" s="44">
        <f>IF(Mecze[[#This Row],[Role]]&lt;&gt;"BR",SUMPRODUCT(Mecze[[#This Row],[/PR:90]:[/BR:90]],Brudnopis!$E$24:$J$24),0)</f>
        <v>0.23287671232876711</v>
      </c>
      <c r="U864" s="44">
        <f>IF(Mecze[[#This Row],[Role]]&lt;&gt;"BR",SUMPRODUCT(Mecze[[#This Row],[/PR:90]:[/BR:90]],Brudnopis!$E$25:$J$25),0)</f>
        <v>0.28767123287671231</v>
      </c>
      <c r="V864" s="44">
        <f>IF(Mecze[[#This Row],[Role]]&lt;&gt;"BR",SUMPRODUCT(Mecze[[#This Row],[/PR:90]:[/BR:90]],Brudnopis!$E$26:$J$26),0)</f>
        <v>0.21917808219178081</v>
      </c>
      <c r="W864" s="44">
        <f>IF(Mecze[[#This Row],[Role]]&lt;&gt;"BR",SUMPRODUCT(Mecze[[#This Row],[/PR:90]:[/BR:90]],Brudnopis!$E$27:$J$27),0)</f>
        <v>0.27397260273972601</v>
      </c>
      <c r="X864" s="44">
        <f>IF(Mecze[[#This Row],[Role]]&lt;&gt;"BR",SUMPRODUCT(Mecze[[#This Row],[/PR:90]:[/BR:90]],Brudnopis!$E$28:$J$28),0)</f>
        <v>0.19178082191780821</v>
      </c>
      <c r="Y864" s="35">
        <f>IF(Mecze[[#This Row],[Role]]="BR",Mecze[[#This Row],[/OB:90]]+Mecze[[#This Row],[/PC:90]],SUM(Mecze[[#This Row],[/PR:90]:[/BR:90]]))</f>
        <v>0.21917808219178081</v>
      </c>
      <c r="Z864" s="35">
        <f>IF(Mecze[[#This Row],[KC]]=0,SUM(Mecze[[#This Row],[/BRI]:[/NPI]]),SUM(Mecze[[#This Row],[/BRI]:[/NPI]])*0.6)</f>
        <v>1.2054794520547945</v>
      </c>
      <c r="AA864" s="10">
        <f>IFERROR(Mecze[[#This Row],[BR]]/Mecze[[#This Row],[ST]],0)</f>
        <v>0</v>
      </c>
      <c r="AB864">
        <f>ROUND(Mecze[[#This Row],[PD]]*Mecze[[#This Row],[%PC]],0)</f>
        <v>10</v>
      </c>
      <c r="AC864">
        <f>ROUND(Mecze[[#This Row],[OD]]*Mecze[[#This Row],[%OU]],0)</f>
        <v>2</v>
      </c>
      <c r="AD864" s="36" t="s">
        <v>171</v>
      </c>
      <c r="AE864" s="36">
        <v>49</v>
      </c>
      <c r="AF864" s="71">
        <v>10.039999999999999</v>
      </c>
      <c r="AG864" s="37">
        <v>0</v>
      </c>
      <c r="AH864" s="37">
        <v>0</v>
      </c>
      <c r="AI864" s="37">
        <v>73</v>
      </c>
      <c r="AJ864" s="37">
        <v>4</v>
      </c>
      <c r="AK864" s="37" t="str">
        <f>VLOOKUP(Mecze[[#This Row],[Match ID]],Meczusie[Mecz]:Meczusie[RodzajMeczu],2,FALSE)</f>
        <v>Liga</v>
      </c>
    </row>
    <row r="865" spans="1:37" x14ac:dyDescent="0.25">
      <c r="A865" s="76">
        <v>11</v>
      </c>
      <c r="B865" s="3" t="s">
        <v>282</v>
      </c>
      <c r="C865" s="2" t="s">
        <v>165</v>
      </c>
      <c r="D865" s="1">
        <v>0</v>
      </c>
      <c r="E865" s="1">
        <v>8</v>
      </c>
      <c r="F865" s="1">
        <v>6</v>
      </c>
      <c r="G865" s="1">
        <v>9</v>
      </c>
      <c r="H865" s="4">
        <v>0.67</v>
      </c>
      <c r="I865" s="1">
        <v>5</v>
      </c>
      <c r="J865" s="4">
        <v>0.4</v>
      </c>
      <c r="K865" s="1">
        <v>0</v>
      </c>
      <c r="L865" s="1">
        <v>4</v>
      </c>
      <c r="M865" s="32">
        <f>IF(Mecze[[#This Row],[PR]]=0,0,Mecze[[#This Row],[PR]]/Mecze[[#This Row],[CZAS]])</f>
        <v>0.05</v>
      </c>
      <c r="N865" s="32">
        <f>IF(Mecze[[#This Row],[OU]]=0,0,Mecze[[#This Row],[OU]]/Mecze[[#This Row],[CZAS]])</f>
        <v>2.5000000000000001E-2</v>
      </c>
      <c r="O865" s="32">
        <f>IF(Mecze[[#This Row],[PC]]=0,0,Mecze[[#This Row],[PC]]/Mecze[[#This Row],[CZAS]])</f>
        <v>7.4999999999999997E-2</v>
      </c>
      <c r="P865" s="32">
        <f>IF(Mecze[[#This Row],[SC]]=0,0,Mecze[[#This Row],[SC]]/Mecze[[#This Row],[CZAS]])</f>
        <v>7.4999999999999997E-2</v>
      </c>
      <c r="Q865" s="32">
        <f>IF(Mecze[[#This Row],[OB]]=0,0,Mecze[[#This Row],[OB]]/Mecze[[#This Row],[CZAS]])</f>
        <v>0</v>
      </c>
      <c r="R865" s="32">
        <f>IF(Mecze[[#This Row],[BR]]=0,0,Mecze[[#This Row],[BR]]/Mecze[[#This Row],[CZAS]])</f>
        <v>0</v>
      </c>
      <c r="S865" s="44">
        <f>IF(Mecze[[#This Row],[Role]]="BR",SUMPRODUCT(Mecze[[#This Row],[/PR:90]:[/BR:90]],Brudnopis!$E$23:$J$23),0)</f>
        <v>0</v>
      </c>
      <c r="T865" s="44">
        <f>IF(Mecze[[#This Row],[Role]]&lt;&gt;"BR",SUMPRODUCT(Mecze[[#This Row],[/PR:90]:[/BR:90]],Brudnopis!$E$24:$J$24),0)</f>
        <v>0.23749999999999999</v>
      </c>
      <c r="U865" s="44">
        <f>IF(Mecze[[#This Row],[Role]]&lt;&gt;"BR",SUMPRODUCT(Mecze[[#This Row],[/PR:90]:[/BR:90]],Brudnopis!$E$25:$J$25),0)</f>
        <v>0.26250000000000001</v>
      </c>
      <c r="V865" s="44">
        <f>IF(Mecze[[#This Row],[Role]]&lt;&gt;"BR",SUMPRODUCT(Mecze[[#This Row],[/PR:90]:[/BR:90]],Brudnopis!$E$26:$J$26),0)</f>
        <v>0.22500000000000003</v>
      </c>
      <c r="W865" s="44">
        <f>IF(Mecze[[#This Row],[Role]]&lt;&gt;"BR",SUMPRODUCT(Mecze[[#This Row],[/PR:90]:[/BR:90]],Brudnopis!$E$27:$J$27),0)</f>
        <v>0.24375000000000002</v>
      </c>
      <c r="X865" s="44">
        <f>IF(Mecze[[#This Row],[Role]]&lt;&gt;"BR",SUMPRODUCT(Mecze[[#This Row],[/PR:90]:[/BR:90]],Brudnopis!$E$28:$J$28),0)</f>
        <v>0.22499999999999998</v>
      </c>
      <c r="Y865" s="35">
        <f>IF(Mecze[[#This Row],[Role]]="BR",Mecze[[#This Row],[/OB:90]]+Mecze[[#This Row],[/PC:90]],SUM(Mecze[[#This Row],[/PR:90]:[/BR:90]]))</f>
        <v>0.22500000000000003</v>
      </c>
      <c r="Z865" s="35">
        <f>IF(Mecze[[#This Row],[KC]]=0,SUM(Mecze[[#This Row],[/BRI]:[/NPI]]),SUM(Mecze[[#This Row],[/BRI]:[/NPI]])*0.6)</f>
        <v>1.1937500000000001</v>
      </c>
      <c r="AA865" s="10">
        <f>IFERROR(Mecze[[#This Row],[BR]]/Mecze[[#This Row],[ST]],0)</f>
        <v>0</v>
      </c>
      <c r="AB865">
        <f>ROUND(Mecze[[#This Row],[PD]]*Mecze[[#This Row],[%PC]],0)</f>
        <v>6</v>
      </c>
      <c r="AC865">
        <f>ROUND(Mecze[[#This Row],[OD]]*Mecze[[#This Row],[%OU]],0)</f>
        <v>2</v>
      </c>
      <c r="AD865" s="36" t="s">
        <v>46</v>
      </c>
      <c r="AE865" s="36">
        <v>49</v>
      </c>
      <c r="AF865" s="71">
        <v>6.58</v>
      </c>
      <c r="AG865" s="37">
        <v>0</v>
      </c>
      <c r="AH865" s="37">
        <v>0</v>
      </c>
      <c r="AI865" s="37">
        <v>80</v>
      </c>
      <c r="AJ865" s="37">
        <v>4</v>
      </c>
      <c r="AK865" s="37" t="str">
        <f>VLOOKUP(Mecze[[#This Row],[Match ID]],Meczusie[Mecz]:Meczusie[RodzajMeczu],2,FALSE)</f>
        <v>Liga</v>
      </c>
    </row>
    <row r="866" spans="1:37" x14ac:dyDescent="0.25">
      <c r="A866" s="76">
        <v>8</v>
      </c>
      <c r="B866" s="3" t="s">
        <v>283</v>
      </c>
      <c r="C866" s="2" t="s">
        <v>165</v>
      </c>
      <c r="D866" s="1">
        <v>2</v>
      </c>
      <c r="E866" s="1">
        <v>7</v>
      </c>
      <c r="F866" s="1">
        <v>7</v>
      </c>
      <c r="G866" s="1">
        <v>9</v>
      </c>
      <c r="H866" s="4">
        <v>0.67</v>
      </c>
      <c r="I866" s="1">
        <v>3</v>
      </c>
      <c r="J866" s="4">
        <v>0.67</v>
      </c>
      <c r="K866" s="1">
        <v>0</v>
      </c>
      <c r="L866" s="1">
        <v>1</v>
      </c>
      <c r="M866" s="32">
        <f>IF(Mecze[[#This Row],[PR]]=0,0,Mecze[[#This Row],[PR]]/Mecze[[#This Row],[CZAS]])</f>
        <v>1.0416666666666666E-2</v>
      </c>
      <c r="N866" s="32">
        <f>IF(Mecze[[#This Row],[OU]]=0,0,Mecze[[#This Row],[OU]]/Mecze[[#This Row],[CZAS]])</f>
        <v>2.0833333333333332E-2</v>
      </c>
      <c r="O866" s="32">
        <f>IF(Mecze[[#This Row],[PC]]=0,0,Mecze[[#This Row],[PC]]/Mecze[[#This Row],[CZAS]])</f>
        <v>6.25E-2</v>
      </c>
      <c r="P866" s="32">
        <f>IF(Mecze[[#This Row],[SC]]=0,0,Mecze[[#This Row],[SC]]/Mecze[[#This Row],[CZAS]])</f>
        <v>7.2916666666666671E-2</v>
      </c>
      <c r="Q866" s="32">
        <f>IF(Mecze[[#This Row],[OB]]=0,0,Mecze[[#This Row],[OB]]/Mecze[[#This Row],[CZAS]])</f>
        <v>0</v>
      </c>
      <c r="R866" s="32">
        <f>IF(Mecze[[#This Row],[BR]]=0,0,Mecze[[#This Row],[BR]]/Mecze[[#This Row],[CZAS]])</f>
        <v>2.0833333333333332E-2</v>
      </c>
      <c r="S866" s="44">
        <f>IF(Mecze[[#This Row],[Role]]="BR",SUMPRODUCT(Mecze[[#This Row],[/PR:90]:[/BR:90]],Brudnopis!$E$23:$J$23),0)</f>
        <v>0</v>
      </c>
      <c r="T866" s="44">
        <f>IF(Mecze[[#This Row],[Role]]&lt;&gt;"BR",SUMPRODUCT(Mecze[[#This Row],[/PR:90]:[/BR:90]],Brudnopis!$E$24:$J$24),0)</f>
        <v>0.20833333333333331</v>
      </c>
      <c r="U866" s="44">
        <f>IF(Mecze[[#This Row],[Role]]&lt;&gt;"BR",SUMPRODUCT(Mecze[[#This Row],[/PR:90]:[/BR:90]],Brudnopis!$E$25:$J$25),0)</f>
        <v>0.22916666666666669</v>
      </c>
      <c r="V866" s="44">
        <f>IF(Mecze[[#This Row],[Role]]&lt;&gt;"BR",SUMPRODUCT(Mecze[[#This Row],[/PR:90]:[/BR:90]],Brudnopis!$E$26:$J$26),0)</f>
        <v>0.20833333333333334</v>
      </c>
      <c r="W866" s="44">
        <f>IF(Mecze[[#This Row],[Role]]&lt;&gt;"BR",SUMPRODUCT(Mecze[[#This Row],[/PR:90]:[/BR:90]],Brudnopis!$E$27:$J$27),0)</f>
        <v>0.23177083333333334</v>
      </c>
      <c r="X866" s="44">
        <f>IF(Mecze[[#This Row],[Role]]&lt;&gt;"BR",SUMPRODUCT(Mecze[[#This Row],[/PR:90]:[/BR:90]],Brudnopis!$E$28:$J$28),0)</f>
        <v>0.27083333333333337</v>
      </c>
      <c r="Y866" s="35">
        <f>IF(Mecze[[#This Row],[Role]]="BR",Mecze[[#This Row],[/OB:90]]+Mecze[[#This Row],[/PC:90]],SUM(Mecze[[#This Row],[/PR:90]:[/BR:90]]))</f>
        <v>0.18750000000000003</v>
      </c>
      <c r="Z866" s="35">
        <f>IF(Mecze[[#This Row],[KC]]=0,SUM(Mecze[[#This Row],[/BRI]:[/NPI]]),SUM(Mecze[[#This Row],[/BRI]:[/NPI]])*0.6)</f>
        <v>1.1484375</v>
      </c>
      <c r="AA866" s="10">
        <f>IFERROR(Mecze[[#This Row],[BR]]/Mecze[[#This Row],[ST]],0)</f>
        <v>0.2857142857142857</v>
      </c>
      <c r="AB866">
        <f>ROUND(Mecze[[#This Row],[PD]]*Mecze[[#This Row],[%PC]],0)</f>
        <v>6</v>
      </c>
      <c r="AC866">
        <f>ROUND(Mecze[[#This Row],[OD]]*Mecze[[#This Row],[%OU]],0)</f>
        <v>2</v>
      </c>
      <c r="AD866" s="36" t="s">
        <v>273</v>
      </c>
      <c r="AE866" s="36">
        <v>49</v>
      </c>
      <c r="AF866" s="71">
        <v>11.4</v>
      </c>
      <c r="AG866" s="37">
        <v>0</v>
      </c>
      <c r="AH866" s="37">
        <v>0</v>
      </c>
      <c r="AI866" s="37">
        <v>96</v>
      </c>
      <c r="AJ866" s="37">
        <v>4</v>
      </c>
      <c r="AK866" s="37" t="str">
        <f>VLOOKUP(Mecze[[#This Row],[Match ID]],Meczusie[Mecz]:Meczusie[RodzajMeczu],2,FALSE)</f>
        <v>Liga</v>
      </c>
    </row>
    <row r="867" spans="1:37" x14ac:dyDescent="0.25">
      <c r="A867" s="76">
        <v>10</v>
      </c>
      <c r="B867" s="3" t="s">
        <v>284</v>
      </c>
      <c r="C867" s="2" t="s">
        <v>165</v>
      </c>
      <c r="D867" s="1">
        <v>1</v>
      </c>
      <c r="E867" s="1">
        <v>11</v>
      </c>
      <c r="F867" s="1">
        <v>9</v>
      </c>
      <c r="G867" s="1">
        <v>6</v>
      </c>
      <c r="H867" s="4">
        <v>0.83</v>
      </c>
      <c r="I867" s="1">
        <v>3</v>
      </c>
      <c r="J867" s="4">
        <v>0.33</v>
      </c>
      <c r="K867" s="1">
        <v>0</v>
      </c>
      <c r="L867" s="1">
        <v>0</v>
      </c>
      <c r="M867" s="32">
        <f>IF(Mecze[[#This Row],[PR]]=0,0,Mecze[[#This Row],[PR]]/Mecze[[#This Row],[CZAS]])</f>
        <v>0</v>
      </c>
      <c r="N867" s="32">
        <f>IF(Mecze[[#This Row],[OU]]=0,0,Mecze[[#This Row],[OU]]/Mecze[[#This Row],[CZAS]])</f>
        <v>1.0416666666666666E-2</v>
      </c>
      <c r="O867" s="32">
        <f>IF(Mecze[[#This Row],[PC]]=0,0,Mecze[[#This Row],[PC]]/Mecze[[#This Row],[CZAS]])</f>
        <v>5.2083333333333336E-2</v>
      </c>
      <c r="P867" s="32">
        <f>IF(Mecze[[#This Row],[SC]]=0,0,Mecze[[#This Row],[SC]]/Mecze[[#This Row],[CZAS]])</f>
        <v>9.375E-2</v>
      </c>
      <c r="Q867" s="32">
        <f>IF(Mecze[[#This Row],[OB]]=0,0,Mecze[[#This Row],[OB]]/Mecze[[#This Row],[CZAS]])</f>
        <v>0</v>
      </c>
      <c r="R867" s="32">
        <f>IF(Mecze[[#This Row],[BR]]=0,0,Mecze[[#This Row],[BR]]/Mecze[[#This Row],[CZAS]])</f>
        <v>1.0416666666666666E-2</v>
      </c>
      <c r="S867" s="44">
        <f>IF(Mecze[[#This Row],[Role]]="BR",SUMPRODUCT(Mecze[[#This Row],[/PR:90]:[/BR:90]],Brudnopis!$E$23:$J$23),0)</f>
        <v>0</v>
      </c>
      <c r="T867" s="44">
        <f>IF(Mecze[[#This Row],[Role]]&lt;&gt;"BR",SUMPRODUCT(Mecze[[#This Row],[/PR:90]:[/BR:90]],Brudnopis!$E$24:$J$24),0)</f>
        <v>0.17708333333333334</v>
      </c>
      <c r="U867" s="44">
        <f>IF(Mecze[[#This Row],[Role]]&lt;&gt;"BR",SUMPRODUCT(Mecze[[#This Row],[/PR:90]:[/BR:90]],Brudnopis!$E$25:$J$25),0)</f>
        <v>0.19791666666666669</v>
      </c>
      <c r="V867" s="44">
        <f>IF(Mecze[[#This Row],[Role]]&lt;&gt;"BR",SUMPRODUCT(Mecze[[#This Row],[/PR:90]:[/BR:90]],Brudnopis!$E$26:$J$26),0)</f>
        <v>0.17708333333333334</v>
      </c>
      <c r="W867" s="44">
        <f>IF(Mecze[[#This Row],[Role]]&lt;&gt;"BR",SUMPRODUCT(Mecze[[#This Row],[/PR:90]:[/BR:90]],Brudnopis!$E$27:$J$27),0)</f>
        <v>0.20052083333333334</v>
      </c>
      <c r="X867" s="44">
        <f>IF(Mecze[[#This Row],[Role]]&lt;&gt;"BR",SUMPRODUCT(Mecze[[#This Row],[/PR:90]:[/BR:90]],Brudnopis!$E$28:$J$28),0)</f>
        <v>0.27083333333333337</v>
      </c>
      <c r="Y867" s="35">
        <f>IF(Mecze[[#This Row],[Role]]="BR",Mecze[[#This Row],[/OB:90]]+Mecze[[#This Row],[/PC:90]],SUM(Mecze[[#This Row],[/PR:90]:[/BR:90]]))</f>
        <v>0.16666666666666666</v>
      </c>
      <c r="Z867" s="35">
        <f>IF(Mecze[[#This Row],[KC]]=0,SUM(Mecze[[#This Row],[/BRI]:[/NPI]]),SUM(Mecze[[#This Row],[/BRI]:[/NPI]])*0.6)</f>
        <v>1.0234375</v>
      </c>
      <c r="AA867" s="10">
        <f>IFERROR(Mecze[[#This Row],[BR]]/Mecze[[#This Row],[ST]],0)</f>
        <v>9.0909090909090912E-2</v>
      </c>
      <c r="AB867">
        <f>ROUND(Mecze[[#This Row],[PD]]*Mecze[[#This Row],[%PC]],0)</f>
        <v>5</v>
      </c>
      <c r="AC867">
        <f>ROUND(Mecze[[#This Row],[OD]]*Mecze[[#This Row],[%OU]],0)</f>
        <v>1</v>
      </c>
      <c r="AD867" s="36" t="s">
        <v>46</v>
      </c>
      <c r="AE867" s="36">
        <v>49</v>
      </c>
      <c r="AF867" s="71">
        <v>10.46</v>
      </c>
      <c r="AG867" s="37">
        <v>0</v>
      </c>
      <c r="AH867" s="37">
        <v>0</v>
      </c>
      <c r="AI867" s="37">
        <v>96</v>
      </c>
      <c r="AJ867" s="37">
        <v>4</v>
      </c>
      <c r="AK867" s="37" t="str">
        <f>VLOOKUP(Mecze[[#This Row],[Match ID]],Meczusie[Mecz]:Meczusie[RodzajMeczu],2,FALSE)</f>
        <v>Liga</v>
      </c>
    </row>
    <row r="868" spans="1:37" x14ac:dyDescent="0.25">
      <c r="A868" s="76">
        <v>2</v>
      </c>
      <c r="B868" s="3" t="s">
        <v>285</v>
      </c>
      <c r="C868" s="2" t="s">
        <v>157</v>
      </c>
      <c r="D868" s="1">
        <v>0</v>
      </c>
      <c r="E868" s="1">
        <v>0</v>
      </c>
      <c r="F868" s="1">
        <v>0</v>
      </c>
      <c r="G868" s="1">
        <v>2</v>
      </c>
      <c r="H868" s="4">
        <v>0.5</v>
      </c>
      <c r="I868" s="1">
        <v>0</v>
      </c>
      <c r="J868" s="4"/>
      <c r="K868" s="1">
        <v>0</v>
      </c>
      <c r="L868" s="1">
        <v>4</v>
      </c>
      <c r="M868" s="32">
        <f>IF(Mecze[[#This Row],[PR]]=0,0,Mecze[[#This Row],[PR]]/Mecze[[#This Row],[CZAS]])</f>
        <v>0.25</v>
      </c>
      <c r="N868" s="32">
        <f>IF(Mecze[[#This Row],[OU]]=0,0,Mecze[[#This Row],[OU]]/Mecze[[#This Row],[CZAS]])</f>
        <v>0</v>
      </c>
      <c r="O868" s="32">
        <f>IF(Mecze[[#This Row],[PC]]=0,0,Mecze[[#This Row],[PC]]/Mecze[[#This Row],[CZAS]])</f>
        <v>6.25E-2</v>
      </c>
      <c r="P868" s="32">
        <f>IF(Mecze[[#This Row],[SC]]=0,0,Mecze[[#This Row],[SC]]/Mecze[[#This Row],[CZAS]])</f>
        <v>0</v>
      </c>
      <c r="Q868" s="32">
        <f>IF(Mecze[[#This Row],[OB]]=0,0,Mecze[[#This Row],[OB]]/Mecze[[#This Row],[CZAS]])</f>
        <v>0</v>
      </c>
      <c r="R868" s="32">
        <f>IF(Mecze[[#This Row],[BR]]=0,0,Mecze[[#This Row],[BR]]/Mecze[[#This Row],[CZAS]])</f>
        <v>0</v>
      </c>
      <c r="S868" s="44">
        <f>IF(Mecze[[#This Row],[Role]]="BR",SUMPRODUCT(Mecze[[#This Row],[/PR:90]:[/BR:90]],Brudnopis!$E$23:$J$23),0)</f>
        <v>0</v>
      </c>
      <c r="T868" s="44">
        <f>IF(Mecze[[#This Row],[Role]]&lt;&gt;"BR",SUMPRODUCT(Mecze[[#This Row],[/PR:90]:[/BR:90]],Brudnopis!$E$24:$J$24),0)</f>
        <v>0.3125</v>
      </c>
      <c r="U868" s="44">
        <f>IF(Mecze[[#This Row],[Role]]&lt;&gt;"BR",SUMPRODUCT(Mecze[[#This Row],[/PR:90]:[/BR:90]],Brudnopis!$E$25:$J$25),0)</f>
        <v>0.34375</v>
      </c>
      <c r="V868" s="44">
        <f>IF(Mecze[[#This Row],[Role]]&lt;&gt;"BR",SUMPRODUCT(Mecze[[#This Row],[/PR:90]:[/BR:90]],Brudnopis!$E$26:$J$26),0)</f>
        <v>0.3125</v>
      </c>
      <c r="W868" s="44">
        <f>IF(Mecze[[#This Row],[Role]]&lt;&gt;"BR",SUMPRODUCT(Mecze[[#This Row],[/PR:90]:[/BR:90]],Brudnopis!$E$27:$J$27),0)</f>
        <v>0.28125</v>
      </c>
      <c r="X868" s="44">
        <f>IF(Mecze[[#This Row],[Role]]&lt;&gt;"BR",SUMPRODUCT(Mecze[[#This Row],[/PR:90]:[/BR:90]],Brudnopis!$E$28:$J$28),0)</f>
        <v>6.25E-2</v>
      </c>
      <c r="Y868" s="35">
        <f>IF(Mecze[[#This Row],[Role]]="BR",Mecze[[#This Row],[/OB:90]]+Mecze[[#This Row],[/PC:90]],SUM(Mecze[[#This Row],[/PR:90]:[/BR:90]]))</f>
        <v>0.3125</v>
      </c>
      <c r="Z868" s="35">
        <f>IF(Mecze[[#This Row],[KC]]=0,SUM(Mecze[[#This Row],[/BRI]:[/NPI]]),SUM(Mecze[[#This Row],[/BRI]:[/NPI]])*0.6)</f>
        <v>1.3125</v>
      </c>
      <c r="AA868" s="10">
        <f>IFERROR(Mecze[[#This Row],[BR]]/Mecze[[#This Row],[ST]],0)</f>
        <v>0</v>
      </c>
      <c r="AB868">
        <f>ROUND(Mecze[[#This Row],[PD]]*Mecze[[#This Row],[%PC]],0)</f>
        <v>1</v>
      </c>
      <c r="AC868">
        <f>ROUND(Mecze[[#This Row],[OD]]*Mecze[[#This Row],[%OU]],0)</f>
        <v>0</v>
      </c>
      <c r="AD868" s="36" t="s">
        <v>167</v>
      </c>
      <c r="AE868" s="36">
        <v>49</v>
      </c>
      <c r="AF868" s="71">
        <v>5.68</v>
      </c>
      <c r="AG868" s="37">
        <v>0</v>
      </c>
      <c r="AH868" s="37">
        <v>0</v>
      </c>
      <c r="AI868" s="37">
        <v>16</v>
      </c>
      <c r="AJ868" s="37">
        <v>4</v>
      </c>
      <c r="AK868" s="37" t="str">
        <f>VLOOKUP(Mecze[[#This Row],[Match ID]],Meczusie[Mecz]:Meczusie[RodzajMeczu],2,FALSE)</f>
        <v>Liga</v>
      </c>
    </row>
    <row r="869" spans="1:37" x14ac:dyDescent="0.25">
      <c r="A869" s="76">
        <v>13</v>
      </c>
      <c r="B869" s="3" t="s">
        <v>287</v>
      </c>
      <c r="C869" s="2" t="s">
        <v>160</v>
      </c>
      <c r="D869" s="1">
        <v>0</v>
      </c>
      <c r="E869" s="1">
        <v>1</v>
      </c>
      <c r="F869" s="1">
        <v>1</v>
      </c>
      <c r="G869" s="1">
        <v>3</v>
      </c>
      <c r="H869" s="4">
        <v>1</v>
      </c>
      <c r="I869" s="1">
        <v>0</v>
      </c>
      <c r="J869" s="4"/>
      <c r="K869" s="1">
        <v>0</v>
      </c>
      <c r="L869" s="1">
        <v>1</v>
      </c>
      <c r="M869" s="32">
        <f>IF(Mecze[[#This Row],[PR]]=0,0,Mecze[[#This Row],[PR]]/Mecze[[#This Row],[CZAS]])</f>
        <v>4.3478260869565216E-2</v>
      </c>
      <c r="N869" s="32">
        <f>IF(Mecze[[#This Row],[OU]]=0,0,Mecze[[#This Row],[OU]]/Mecze[[#This Row],[CZAS]])</f>
        <v>0</v>
      </c>
      <c r="O869" s="32">
        <f>IF(Mecze[[#This Row],[PC]]=0,0,Mecze[[#This Row],[PC]]/Mecze[[#This Row],[CZAS]])</f>
        <v>0.13043478260869565</v>
      </c>
      <c r="P869" s="32">
        <f>IF(Mecze[[#This Row],[SC]]=0,0,Mecze[[#This Row],[SC]]/Mecze[[#This Row],[CZAS]])</f>
        <v>4.3478260869565216E-2</v>
      </c>
      <c r="Q869" s="32">
        <f>IF(Mecze[[#This Row],[OB]]=0,0,Mecze[[#This Row],[OB]]/Mecze[[#This Row],[CZAS]])</f>
        <v>0</v>
      </c>
      <c r="R869" s="32">
        <f>IF(Mecze[[#This Row],[BR]]=0,0,Mecze[[#This Row],[BR]]/Mecze[[#This Row],[CZAS]])</f>
        <v>0</v>
      </c>
      <c r="S869" s="44">
        <f>IF(Mecze[[#This Row],[Role]]="BR",SUMPRODUCT(Mecze[[#This Row],[/PR:90]:[/BR:90]],Brudnopis!$E$23:$J$23),0)</f>
        <v>0</v>
      </c>
      <c r="T869" s="44">
        <f>IF(Mecze[[#This Row],[Role]]&lt;&gt;"BR",SUMPRODUCT(Mecze[[#This Row],[/PR:90]:[/BR:90]],Brudnopis!$E$24:$J$24),0)</f>
        <v>0.21739130434782608</v>
      </c>
      <c r="U869" s="44">
        <f>IF(Mecze[[#This Row],[Role]]&lt;&gt;"BR",SUMPRODUCT(Mecze[[#This Row],[/PR:90]:[/BR:90]],Brudnopis!$E$25:$J$25),0)</f>
        <v>0.28260869565217389</v>
      </c>
      <c r="V869" s="44">
        <f>IF(Mecze[[#This Row],[Role]]&lt;&gt;"BR",SUMPRODUCT(Mecze[[#This Row],[/PR:90]:[/BR:90]],Brudnopis!$E$26:$J$26),0)</f>
        <v>0.21739130434782608</v>
      </c>
      <c r="W869" s="44">
        <f>IF(Mecze[[#This Row],[Role]]&lt;&gt;"BR",SUMPRODUCT(Mecze[[#This Row],[/PR:90]:[/BR:90]],Brudnopis!$E$27:$J$27),0)</f>
        <v>0.27173913043478259</v>
      </c>
      <c r="X869" s="44">
        <f>IF(Mecze[[#This Row],[Role]]&lt;&gt;"BR",SUMPRODUCT(Mecze[[#This Row],[/PR:90]:[/BR:90]],Brudnopis!$E$28:$J$28),0)</f>
        <v>0.21739130434782608</v>
      </c>
      <c r="Y869" s="35">
        <f>IF(Mecze[[#This Row],[Role]]="BR",Mecze[[#This Row],[/OB:90]]+Mecze[[#This Row],[/PC:90]],SUM(Mecze[[#This Row],[/PR:90]:[/BR:90]]))</f>
        <v>0.21739130434782608</v>
      </c>
      <c r="Z869" s="35">
        <f>IF(Mecze[[#This Row],[KC]]=0,SUM(Mecze[[#This Row],[/BRI]:[/NPI]]),SUM(Mecze[[#This Row],[/BRI]:[/NPI]])*0.6)</f>
        <v>1.2065217391304348</v>
      </c>
      <c r="AA869" s="10">
        <f>IFERROR(Mecze[[#This Row],[BR]]/Mecze[[#This Row],[ST]],0)</f>
        <v>0</v>
      </c>
      <c r="AB869">
        <f>ROUND(Mecze[[#This Row],[PD]]*Mecze[[#This Row],[%PC]],0)</f>
        <v>3</v>
      </c>
      <c r="AC869">
        <f>ROUND(Mecze[[#This Row],[OD]]*Mecze[[#This Row],[%OU]],0)</f>
        <v>0</v>
      </c>
      <c r="AD869" s="36" t="s">
        <v>171</v>
      </c>
      <c r="AE869" s="36">
        <v>49</v>
      </c>
      <c r="AF869" s="71">
        <v>5.28</v>
      </c>
      <c r="AG869" s="37">
        <v>0</v>
      </c>
      <c r="AH869" s="37">
        <v>0</v>
      </c>
      <c r="AI869" s="37">
        <v>23</v>
      </c>
      <c r="AJ869" s="37">
        <v>4</v>
      </c>
      <c r="AK869" s="37" t="str">
        <f>VLOOKUP(Mecze[[#This Row],[Match ID]],Meczusie[Mecz]:Meczusie[RodzajMeczu],2,FALSE)</f>
        <v>Liga</v>
      </c>
    </row>
    <row r="870" spans="1:37" x14ac:dyDescent="0.25">
      <c r="A870" s="76">
        <v>15</v>
      </c>
      <c r="B870" s="3" t="s">
        <v>286</v>
      </c>
      <c r="C870" s="2" t="s">
        <v>165</v>
      </c>
      <c r="D870" s="1">
        <v>0</v>
      </c>
      <c r="E870" s="1">
        <v>0</v>
      </c>
      <c r="F870" s="1">
        <v>0</v>
      </c>
      <c r="G870" s="1">
        <v>3</v>
      </c>
      <c r="H870" s="4">
        <v>0.33</v>
      </c>
      <c r="I870" s="1">
        <v>2</v>
      </c>
      <c r="J870" s="4">
        <v>0.5</v>
      </c>
      <c r="K870" s="1">
        <v>0</v>
      </c>
      <c r="L870" s="1">
        <v>0</v>
      </c>
      <c r="M870" s="32">
        <f>IF(Mecze[[#This Row],[PR]]=0,0,Mecze[[#This Row],[PR]]/Mecze[[#This Row],[CZAS]])</f>
        <v>0</v>
      </c>
      <c r="N870" s="32">
        <f>IF(Mecze[[#This Row],[OU]]=0,0,Mecze[[#This Row],[OU]]/Mecze[[#This Row],[CZAS]])</f>
        <v>6.25E-2</v>
      </c>
      <c r="O870" s="32">
        <f>IF(Mecze[[#This Row],[PC]]=0,0,Mecze[[#This Row],[PC]]/Mecze[[#This Row],[CZAS]])</f>
        <v>6.25E-2</v>
      </c>
      <c r="P870" s="32">
        <f>IF(Mecze[[#This Row],[SC]]=0,0,Mecze[[#This Row],[SC]]/Mecze[[#This Row],[CZAS]])</f>
        <v>0</v>
      </c>
      <c r="Q870" s="32">
        <f>IF(Mecze[[#This Row],[OB]]=0,0,Mecze[[#This Row],[OB]]/Mecze[[#This Row],[CZAS]])</f>
        <v>0</v>
      </c>
      <c r="R870" s="32">
        <f>IF(Mecze[[#This Row],[BR]]=0,0,Mecze[[#This Row],[BR]]/Mecze[[#This Row],[CZAS]])</f>
        <v>0</v>
      </c>
      <c r="S870" s="44">
        <f>IF(Mecze[[#This Row],[Role]]="BR",SUMPRODUCT(Mecze[[#This Row],[/PR:90]:[/BR:90]],Brudnopis!$E$23:$J$23),0)</f>
        <v>0</v>
      </c>
      <c r="T870" s="44">
        <f>IF(Mecze[[#This Row],[Role]]&lt;&gt;"BR",SUMPRODUCT(Mecze[[#This Row],[/PR:90]:[/BR:90]],Brudnopis!$E$24:$J$24),0)</f>
        <v>0.15625</v>
      </c>
      <c r="U870" s="44">
        <f>IF(Mecze[[#This Row],[Role]]&lt;&gt;"BR",SUMPRODUCT(Mecze[[#This Row],[/PR:90]:[/BR:90]],Brudnopis!$E$25:$J$25),0)</f>
        <v>0.15625</v>
      </c>
      <c r="V870" s="44">
        <f>IF(Mecze[[#This Row],[Role]]&lt;&gt;"BR",SUMPRODUCT(Mecze[[#This Row],[/PR:90]:[/BR:90]],Brudnopis!$E$26:$J$26),0)</f>
        <v>0.125</v>
      </c>
      <c r="W870" s="44">
        <f>IF(Mecze[[#This Row],[Role]]&lt;&gt;"BR",SUMPRODUCT(Mecze[[#This Row],[/PR:90]:[/BR:90]],Brudnopis!$E$27:$J$27),0)</f>
        <v>0.140625</v>
      </c>
      <c r="X870" s="44">
        <f>IF(Mecze[[#This Row],[Role]]&lt;&gt;"BR",SUMPRODUCT(Mecze[[#This Row],[/PR:90]:[/BR:90]],Brudnopis!$E$28:$J$28),0)</f>
        <v>6.25E-2</v>
      </c>
      <c r="Y870" s="35">
        <f>IF(Mecze[[#This Row],[Role]]="BR",Mecze[[#This Row],[/OB:90]]+Mecze[[#This Row],[/PC:90]],SUM(Mecze[[#This Row],[/PR:90]:[/BR:90]]))</f>
        <v>0.125</v>
      </c>
      <c r="Z870" s="35">
        <f>IF(Mecze[[#This Row],[KC]]=0,SUM(Mecze[[#This Row],[/BRI]:[/NPI]]),SUM(Mecze[[#This Row],[/BRI]:[/NPI]])*0.6)</f>
        <v>0.640625</v>
      </c>
      <c r="AA870" s="10">
        <f>IFERROR(Mecze[[#This Row],[BR]]/Mecze[[#This Row],[ST]],0)</f>
        <v>0</v>
      </c>
      <c r="AB870">
        <f>ROUND(Mecze[[#This Row],[PD]]*Mecze[[#This Row],[%PC]],0)</f>
        <v>1</v>
      </c>
      <c r="AC870">
        <f>ROUND(Mecze[[#This Row],[OD]]*Mecze[[#This Row],[%OU]],0)</f>
        <v>1</v>
      </c>
      <c r="AD870" s="36" t="s">
        <v>46</v>
      </c>
      <c r="AE870" s="36">
        <v>49</v>
      </c>
      <c r="AF870" s="71">
        <v>1.72</v>
      </c>
      <c r="AG870" s="37">
        <v>0</v>
      </c>
      <c r="AH870" s="37">
        <v>0</v>
      </c>
      <c r="AI870" s="37">
        <v>16</v>
      </c>
      <c r="AJ870" s="37">
        <v>4</v>
      </c>
      <c r="AK870" s="37" t="str">
        <f>VLOOKUP(Mecze[[#This Row],[Match ID]],Meczusie[Mecz]:Meczusie[RodzajMeczu],2,FALSE)</f>
        <v>Liga</v>
      </c>
    </row>
    <row r="871" spans="1:37" x14ac:dyDescent="0.25">
      <c r="A871" s="76">
        <v>1</v>
      </c>
      <c r="B871" s="3" t="s">
        <v>236</v>
      </c>
      <c r="C871" s="2" t="s">
        <v>155</v>
      </c>
      <c r="D871" s="1">
        <v>0</v>
      </c>
      <c r="E871" s="1">
        <v>0</v>
      </c>
      <c r="F871" s="1">
        <v>0</v>
      </c>
      <c r="G871" s="1">
        <v>22</v>
      </c>
      <c r="H871" s="4">
        <v>0.18</v>
      </c>
      <c r="I871" s="1">
        <v>0</v>
      </c>
      <c r="J871" s="4"/>
      <c r="K871" s="1">
        <v>23</v>
      </c>
      <c r="L871" s="1">
        <v>0</v>
      </c>
      <c r="M871" s="32">
        <f>IF(Mecze[[#This Row],[PR]]=0,0,Mecze[[#This Row],[PR]]/Mecze[[#This Row],[CZAS]])</f>
        <v>0</v>
      </c>
      <c r="N871" s="32">
        <f>IF(Mecze[[#This Row],[OU]]=0,0,Mecze[[#This Row],[OU]]/Mecze[[#This Row],[CZAS]])</f>
        <v>0</v>
      </c>
      <c r="O871" s="32">
        <f>IF(Mecze[[#This Row],[PC]]=0,0,Mecze[[#This Row],[PC]]/Mecze[[#This Row],[CZAS]])</f>
        <v>4.1666666666666664E-2</v>
      </c>
      <c r="P871" s="32">
        <f>IF(Mecze[[#This Row],[SC]]=0,0,Mecze[[#This Row],[SC]]/Mecze[[#This Row],[CZAS]])</f>
        <v>0</v>
      </c>
      <c r="Q871" s="32">
        <f>IF(Mecze[[#This Row],[OB]]=0,0,Mecze[[#This Row],[OB]]/Mecze[[#This Row],[CZAS]])</f>
        <v>0.23958333333333334</v>
      </c>
      <c r="R871" s="32">
        <f>IF(Mecze[[#This Row],[BR]]=0,0,Mecze[[#This Row],[BR]]/Mecze[[#This Row],[CZAS]])</f>
        <v>0</v>
      </c>
      <c r="S871" s="44">
        <f>IF(Mecze[[#This Row],[Role]]="BR",SUMPRODUCT(Mecze[[#This Row],[/PR:90]:[/BR:90]],Brudnopis!$E$23:$J$23),0)</f>
        <v>0.84375</v>
      </c>
      <c r="T871" s="44">
        <f>IF(Mecze[[#This Row],[Role]]&lt;&gt;"BR",SUMPRODUCT(Mecze[[#This Row],[/PR:90]:[/BR:90]],Brudnopis!$E$24:$J$24),0)</f>
        <v>0</v>
      </c>
      <c r="U871" s="44">
        <f>IF(Mecze[[#This Row],[Role]]&lt;&gt;"BR",SUMPRODUCT(Mecze[[#This Row],[/PR:90]:[/BR:90]],Brudnopis!$E$25:$J$25),0)</f>
        <v>0</v>
      </c>
      <c r="V871" s="44">
        <f>IF(Mecze[[#This Row],[Role]]&lt;&gt;"BR",SUMPRODUCT(Mecze[[#This Row],[/PR:90]:[/BR:90]],Brudnopis!$E$26:$J$26),0)</f>
        <v>0</v>
      </c>
      <c r="W871" s="44">
        <f>IF(Mecze[[#This Row],[Role]]&lt;&gt;"BR",SUMPRODUCT(Mecze[[#This Row],[/PR:90]:[/BR:90]],Brudnopis!$E$27:$J$27),0)</f>
        <v>0</v>
      </c>
      <c r="X871" s="44">
        <f>IF(Mecze[[#This Row],[Role]]&lt;&gt;"BR",SUMPRODUCT(Mecze[[#This Row],[/PR:90]:[/BR:90]],Brudnopis!$E$28:$J$28),0)</f>
        <v>0</v>
      </c>
      <c r="Y871" s="35">
        <f>IF(Mecze[[#This Row],[Role]]="BR",Mecze[[#This Row],[/OB:90]]+Mecze[[#This Row],[/PC:90]],SUM(Mecze[[#This Row],[/PR:90]:[/BR:90]]))</f>
        <v>0.28125</v>
      </c>
      <c r="Z871" s="35">
        <f>IF(Mecze[[#This Row],[KC]]=0,SUM(Mecze[[#This Row],[/BRI]:[/NPI]]),SUM(Mecze[[#This Row],[/BRI]:[/NPI]])*0.6)</f>
        <v>0.84375</v>
      </c>
      <c r="AA871" s="10">
        <f>IFERROR(Mecze[[#This Row],[BR]]/Mecze[[#This Row],[ST]],0)</f>
        <v>0</v>
      </c>
      <c r="AB871">
        <f>ROUND(Mecze[[#This Row],[PD]]*Mecze[[#This Row],[%PC]],0)</f>
        <v>4</v>
      </c>
      <c r="AC871">
        <f>ROUND(Mecze[[#This Row],[OD]]*Mecze[[#This Row],[%OU]],0)</f>
        <v>0</v>
      </c>
      <c r="AD871" s="36" t="s">
        <v>40</v>
      </c>
      <c r="AE871" s="36">
        <v>49</v>
      </c>
      <c r="AF871" s="71">
        <v>9.64</v>
      </c>
      <c r="AG871" s="37">
        <v>0</v>
      </c>
      <c r="AH871" s="37">
        <v>0</v>
      </c>
      <c r="AI871" s="37">
        <v>96</v>
      </c>
      <c r="AJ871" s="37">
        <v>10</v>
      </c>
      <c r="AK871" s="37" t="str">
        <f>VLOOKUP(Mecze[[#This Row],[Match ID]],Meczusie[Mecz]:Meczusie[RodzajMeczu],2,FALSE)</f>
        <v>Liga</v>
      </c>
    </row>
    <row r="872" spans="1:37" x14ac:dyDescent="0.25">
      <c r="A872" s="76">
        <v>3</v>
      </c>
      <c r="B872" s="3" t="s">
        <v>237</v>
      </c>
      <c r="C872" s="2" t="s">
        <v>157</v>
      </c>
      <c r="D872" s="1">
        <v>0</v>
      </c>
      <c r="E872" s="1">
        <v>0</v>
      </c>
      <c r="F872" s="1">
        <v>0</v>
      </c>
      <c r="G872" s="1">
        <v>14</v>
      </c>
      <c r="H872" s="4">
        <v>0.56999999999999995</v>
      </c>
      <c r="I872" s="1">
        <v>11</v>
      </c>
      <c r="J872" s="4">
        <v>0.55000000000000004</v>
      </c>
      <c r="K872" s="1">
        <v>0</v>
      </c>
      <c r="L872" s="1">
        <v>5</v>
      </c>
      <c r="M872" s="32">
        <f>IF(Mecze[[#This Row],[PR]]=0,0,Mecze[[#This Row],[PR]]/Mecze[[#This Row],[CZAS]])</f>
        <v>5.2083333333333336E-2</v>
      </c>
      <c r="N872" s="32">
        <f>IF(Mecze[[#This Row],[OU]]=0,0,Mecze[[#This Row],[OU]]/Mecze[[#This Row],[CZAS]])</f>
        <v>6.25E-2</v>
      </c>
      <c r="O872" s="32">
        <f>IF(Mecze[[#This Row],[PC]]=0,0,Mecze[[#This Row],[PC]]/Mecze[[#This Row],[CZAS]])</f>
        <v>8.3333333333333329E-2</v>
      </c>
      <c r="P872" s="32">
        <f>IF(Mecze[[#This Row],[SC]]=0,0,Mecze[[#This Row],[SC]]/Mecze[[#This Row],[CZAS]])</f>
        <v>0</v>
      </c>
      <c r="Q872" s="32">
        <f>IF(Mecze[[#This Row],[OB]]=0,0,Mecze[[#This Row],[OB]]/Mecze[[#This Row],[CZAS]])</f>
        <v>0</v>
      </c>
      <c r="R872" s="32">
        <f>IF(Mecze[[#This Row],[BR]]=0,0,Mecze[[#This Row],[BR]]/Mecze[[#This Row],[CZAS]])</f>
        <v>0</v>
      </c>
      <c r="S872" s="44">
        <f>IF(Mecze[[#This Row],[Role]]="BR",SUMPRODUCT(Mecze[[#This Row],[/PR:90]:[/BR:90]],Brudnopis!$E$23:$J$23),0)</f>
        <v>0</v>
      </c>
      <c r="T872" s="44">
        <f>IF(Mecze[[#This Row],[Role]]&lt;&gt;"BR",SUMPRODUCT(Mecze[[#This Row],[/PR:90]:[/BR:90]],Brudnopis!$E$24:$J$24),0)</f>
        <v>0.22916666666666669</v>
      </c>
      <c r="U872" s="44">
        <f>IF(Mecze[[#This Row],[Role]]&lt;&gt;"BR",SUMPRODUCT(Mecze[[#This Row],[/PR:90]:[/BR:90]],Brudnopis!$E$25:$J$25),0)</f>
        <v>0.23958333333333334</v>
      </c>
      <c r="V872" s="44">
        <f>IF(Mecze[[#This Row],[Role]]&lt;&gt;"BR",SUMPRODUCT(Mecze[[#This Row],[/PR:90]:[/BR:90]],Brudnopis!$E$26:$J$26),0)</f>
        <v>0.19791666666666669</v>
      </c>
      <c r="W872" s="44">
        <f>IF(Mecze[[#This Row],[Role]]&lt;&gt;"BR",SUMPRODUCT(Mecze[[#This Row],[/PR:90]:[/BR:90]],Brudnopis!$E$27:$J$27),0)</f>
        <v>0.2109375</v>
      </c>
      <c r="X872" s="44">
        <f>IF(Mecze[[#This Row],[Role]]&lt;&gt;"BR",SUMPRODUCT(Mecze[[#This Row],[/PR:90]:[/BR:90]],Brudnopis!$E$28:$J$28),0)</f>
        <v>8.3333333333333329E-2</v>
      </c>
      <c r="Y872" s="35">
        <f>IF(Mecze[[#This Row],[Role]]="BR",Mecze[[#This Row],[/OB:90]]+Mecze[[#This Row],[/PC:90]],SUM(Mecze[[#This Row],[/PR:90]:[/BR:90]]))</f>
        <v>0.19791666666666669</v>
      </c>
      <c r="Z872" s="35">
        <f>IF(Mecze[[#This Row],[KC]]=0,SUM(Mecze[[#This Row],[/BRI]:[/NPI]]),SUM(Mecze[[#This Row],[/BRI]:[/NPI]])*0.6)</f>
        <v>0.96093750000000011</v>
      </c>
      <c r="AA872" s="10">
        <f>IFERROR(Mecze[[#This Row],[BR]]/Mecze[[#This Row],[ST]],0)</f>
        <v>0</v>
      </c>
      <c r="AB872">
        <f>ROUND(Mecze[[#This Row],[PD]]*Mecze[[#This Row],[%PC]],0)</f>
        <v>8</v>
      </c>
      <c r="AC872">
        <f>ROUND(Mecze[[#This Row],[OD]]*Mecze[[#This Row],[%OU]],0)</f>
        <v>6</v>
      </c>
      <c r="AD872" s="36" t="s">
        <v>47</v>
      </c>
      <c r="AE872" s="36">
        <v>49</v>
      </c>
      <c r="AF872" s="71">
        <v>3.76</v>
      </c>
      <c r="AG872" s="37">
        <v>0</v>
      </c>
      <c r="AH872" s="37">
        <v>0</v>
      </c>
      <c r="AI872" s="37">
        <v>96</v>
      </c>
      <c r="AJ872" s="37">
        <v>10</v>
      </c>
      <c r="AK872" s="37" t="str">
        <f>VLOOKUP(Mecze[[#This Row],[Match ID]],Meczusie[Mecz]:Meczusie[RodzajMeczu],2,FALSE)</f>
        <v>Liga</v>
      </c>
    </row>
    <row r="873" spans="1:37" x14ac:dyDescent="0.25">
      <c r="A873" s="76">
        <v>4</v>
      </c>
      <c r="B873" s="3" t="s">
        <v>238</v>
      </c>
      <c r="C873" s="2" t="s">
        <v>157</v>
      </c>
      <c r="D873" s="1">
        <v>0</v>
      </c>
      <c r="E873" s="1">
        <v>0</v>
      </c>
      <c r="F873" s="1">
        <v>0</v>
      </c>
      <c r="G873" s="1">
        <v>4</v>
      </c>
      <c r="H873" s="4">
        <v>0.75</v>
      </c>
      <c r="I873" s="1">
        <v>2</v>
      </c>
      <c r="J873" s="4">
        <v>0.5</v>
      </c>
      <c r="K873" s="1">
        <v>0</v>
      </c>
      <c r="L873" s="1">
        <v>7</v>
      </c>
      <c r="M873" s="32">
        <f>IF(Mecze[[#This Row],[PR]]=0,0,Mecze[[#This Row],[PR]]/Mecze[[#This Row],[CZAS]])</f>
        <v>7.2916666666666671E-2</v>
      </c>
      <c r="N873" s="32">
        <f>IF(Mecze[[#This Row],[OU]]=0,0,Mecze[[#This Row],[OU]]/Mecze[[#This Row],[CZAS]])</f>
        <v>1.0416666666666666E-2</v>
      </c>
      <c r="O873" s="32">
        <f>IF(Mecze[[#This Row],[PC]]=0,0,Mecze[[#This Row],[PC]]/Mecze[[#This Row],[CZAS]])</f>
        <v>3.125E-2</v>
      </c>
      <c r="P873" s="32">
        <f>IF(Mecze[[#This Row],[SC]]=0,0,Mecze[[#This Row],[SC]]/Mecze[[#This Row],[CZAS]])</f>
        <v>0</v>
      </c>
      <c r="Q873" s="32">
        <f>IF(Mecze[[#This Row],[OB]]=0,0,Mecze[[#This Row],[OB]]/Mecze[[#This Row],[CZAS]])</f>
        <v>0</v>
      </c>
      <c r="R873" s="32">
        <f>IF(Mecze[[#This Row],[BR]]=0,0,Mecze[[#This Row],[BR]]/Mecze[[#This Row],[CZAS]])</f>
        <v>0</v>
      </c>
      <c r="S873" s="44">
        <f>IF(Mecze[[#This Row],[Role]]="BR",SUMPRODUCT(Mecze[[#This Row],[/PR:90]:[/BR:90]],Brudnopis!$E$23:$J$23),0)</f>
        <v>0</v>
      </c>
      <c r="T873" s="44">
        <f>IF(Mecze[[#This Row],[Role]]&lt;&gt;"BR",SUMPRODUCT(Mecze[[#This Row],[/PR:90]:[/BR:90]],Brudnopis!$E$24:$J$24),0)</f>
        <v>0.11979166666666667</v>
      </c>
      <c r="U873" s="44">
        <f>IF(Mecze[[#This Row],[Role]]&lt;&gt;"BR",SUMPRODUCT(Mecze[[#This Row],[/PR:90]:[/BR:90]],Brudnopis!$E$25:$J$25),0)</f>
        <v>0.13020833333333334</v>
      </c>
      <c r="V873" s="44">
        <f>IF(Mecze[[#This Row],[Role]]&lt;&gt;"BR",SUMPRODUCT(Mecze[[#This Row],[/PR:90]:[/BR:90]],Brudnopis!$E$26:$J$26),0)</f>
        <v>0.11458333333333334</v>
      </c>
      <c r="W873" s="44">
        <f>IF(Mecze[[#This Row],[Role]]&lt;&gt;"BR",SUMPRODUCT(Mecze[[#This Row],[/PR:90]:[/BR:90]],Brudnopis!$E$27:$J$27),0)</f>
        <v>0.109375</v>
      </c>
      <c r="X873" s="44">
        <f>IF(Mecze[[#This Row],[Role]]&lt;&gt;"BR",SUMPRODUCT(Mecze[[#This Row],[/PR:90]:[/BR:90]],Brudnopis!$E$28:$J$28),0)</f>
        <v>3.125E-2</v>
      </c>
      <c r="Y873" s="35">
        <f>IF(Mecze[[#This Row],[Role]]="BR",Mecze[[#This Row],[/OB:90]]+Mecze[[#This Row],[/PC:90]],SUM(Mecze[[#This Row],[/PR:90]:[/BR:90]]))</f>
        <v>0.11458333333333334</v>
      </c>
      <c r="Z873" s="35">
        <f>IF(Mecze[[#This Row],[KC]]=0,SUM(Mecze[[#This Row],[/BRI]:[/NPI]]),SUM(Mecze[[#This Row],[/BRI]:[/NPI]])*0.6)</f>
        <v>0.50520833333333337</v>
      </c>
      <c r="AA873" s="10">
        <f>IFERROR(Mecze[[#This Row],[BR]]/Mecze[[#This Row],[ST]],0)</f>
        <v>0</v>
      </c>
      <c r="AB873">
        <f>ROUND(Mecze[[#This Row],[PD]]*Mecze[[#This Row],[%PC]],0)</f>
        <v>3</v>
      </c>
      <c r="AC873">
        <f>ROUND(Mecze[[#This Row],[OD]]*Mecze[[#This Row],[%OU]],0)</f>
        <v>1</v>
      </c>
      <c r="AD873" s="36" t="s">
        <v>47</v>
      </c>
      <c r="AE873" s="36">
        <v>49</v>
      </c>
      <c r="AF873" s="71">
        <v>3.06</v>
      </c>
      <c r="AG873" s="37">
        <v>0</v>
      </c>
      <c r="AH873" s="37">
        <v>0</v>
      </c>
      <c r="AI873" s="37">
        <v>96</v>
      </c>
      <c r="AJ873" s="37">
        <v>10</v>
      </c>
      <c r="AK873" s="37" t="str">
        <f>VLOOKUP(Mecze[[#This Row],[Match ID]],Meczusie[Mecz]:Meczusie[RodzajMeczu],2,FALSE)</f>
        <v>Liga</v>
      </c>
    </row>
    <row r="874" spans="1:37" x14ac:dyDescent="0.25">
      <c r="A874" s="76">
        <v>2</v>
      </c>
      <c r="B874" s="3" t="s">
        <v>240</v>
      </c>
      <c r="C874" s="2" t="s">
        <v>157</v>
      </c>
      <c r="D874" s="1">
        <v>0</v>
      </c>
      <c r="E874" s="1">
        <v>0</v>
      </c>
      <c r="F874" s="1">
        <v>0</v>
      </c>
      <c r="G874" s="1">
        <v>5</v>
      </c>
      <c r="H874" s="4">
        <v>0.8</v>
      </c>
      <c r="I874" s="1">
        <v>0</v>
      </c>
      <c r="J874" s="4"/>
      <c r="K874" s="1">
        <v>0</v>
      </c>
      <c r="L874" s="1">
        <v>3</v>
      </c>
      <c r="M874" s="32">
        <f>IF(Mecze[[#This Row],[PR]]=0,0,Mecze[[#This Row],[PR]]/Mecze[[#This Row],[CZAS]])</f>
        <v>3.125E-2</v>
      </c>
      <c r="N874" s="32">
        <f>IF(Mecze[[#This Row],[OU]]=0,0,Mecze[[#This Row],[OU]]/Mecze[[#This Row],[CZAS]])</f>
        <v>0</v>
      </c>
      <c r="O874" s="32">
        <f>IF(Mecze[[#This Row],[PC]]=0,0,Mecze[[#This Row],[PC]]/Mecze[[#This Row],[CZAS]])</f>
        <v>4.1666666666666664E-2</v>
      </c>
      <c r="P874" s="32">
        <f>IF(Mecze[[#This Row],[SC]]=0,0,Mecze[[#This Row],[SC]]/Mecze[[#This Row],[CZAS]])</f>
        <v>0</v>
      </c>
      <c r="Q874" s="32">
        <f>IF(Mecze[[#This Row],[OB]]=0,0,Mecze[[#This Row],[OB]]/Mecze[[#This Row],[CZAS]])</f>
        <v>0</v>
      </c>
      <c r="R874" s="32">
        <f>IF(Mecze[[#This Row],[BR]]=0,0,Mecze[[#This Row],[BR]]/Mecze[[#This Row],[CZAS]])</f>
        <v>0</v>
      </c>
      <c r="S874" s="44">
        <f>IF(Mecze[[#This Row],[Role]]="BR",SUMPRODUCT(Mecze[[#This Row],[/PR:90]:[/BR:90]],Brudnopis!$E$23:$J$23),0)</f>
        <v>0</v>
      </c>
      <c r="T874" s="44">
        <f>IF(Mecze[[#This Row],[Role]]&lt;&gt;"BR",SUMPRODUCT(Mecze[[#This Row],[/PR:90]:[/BR:90]],Brudnopis!$E$24:$J$24),0)</f>
        <v>7.2916666666666657E-2</v>
      </c>
      <c r="U874" s="44">
        <f>IF(Mecze[[#This Row],[Role]]&lt;&gt;"BR",SUMPRODUCT(Mecze[[#This Row],[/PR:90]:[/BR:90]],Brudnopis!$E$25:$J$25),0)</f>
        <v>9.375E-2</v>
      </c>
      <c r="V874" s="44">
        <f>IF(Mecze[[#This Row],[Role]]&lt;&gt;"BR",SUMPRODUCT(Mecze[[#This Row],[/PR:90]:[/BR:90]],Brudnopis!$E$26:$J$26),0)</f>
        <v>7.2916666666666657E-2</v>
      </c>
      <c r="W874" s="44">
        <f>IF(Mecze[[#This Row],[Role]]&lt;&gt;"BR",SUMPRODUCT(Mecze[[#This Row],[/PR:90]:[/BR:90]],Brudnopis!$E$27:$J$27),0)</f>
        <v>8.59375E-2</v>
      </c>
      <c r="X874" s="44">
        <f>IF(Mecze[[#This Row],[Role]]&lt;&gt;"BR",SUMPRODUCT(Mecze[[#This Row],[/PR:90]:[/BR:90]],Brudnopis!$E$28:$J$28),0)</f>
        <v>4.1666666666666664E-2</v>
      </c>
      <c r="Y874" s="35">
        <f>IF(Mecze[[#This Row],[Role]]="BR",Mecze[[#This Row],[/OB:90]]+Mecze[[#This Row],[/PC:90]],SUM(Mecze[[#This Row],[/PR:90]:[/BR:90]]))</f>
        <v>7.2916666666666657E-2</v>
      </c>
      <c r="Z874" s="35">
        <f>IF(Mecze[[#This Row],[KC]]=0,SUM(Mecze[[#This Row],[/BRI]:[/NPI]]),SUM(Mecze[[#This Row],[/BRI]:[/NPI]])*0.6)</f>
        <v>0.3671875</v>
      </c>
      <c r="AA874" s="10">
        <f>IFERROR(Mecze[[#This Row],[BR]]/Mecze[[#This Row],[ST]],0)</f>
        <v>0</v>
      </c>
      <c r="AB874">
        <f>ROUND(Mecze[[#This Row],[PD]]*Mecze[[#This Row],[%PC]],0)</f>
        <v>4</v>
      </c>
      <c r="AC874">
        <f>ROUND(Mecze[[#This Row],[OD]]*Mecze[[#This Row],[%OU]],0)</f>
        <v>0</v>
      </c>
      <c r="AD874" s="36" t="s">
        <v>174</v>
      </c>
      <c r="AE874" s="36">
        <v>49</v>
      </c>
      <c r="AF874" s="71">
        <v>2.2200000000000002</v>
      </c>
      <c r="AG874" s="37">
        <v>0</v>
      </c>
      <c r="AH874" s="37">
        <v>0</v>
      </c>
      <c r="AI874" s="37">
        <v>96</v>
      </c>
      <c r="AJ874" s="37">
        <v>10</v>
      </c>
      <c r="AK874" s="37" t="str">
        <f>VLOOKUP(Mecze[[#This Row],[Match ID]],Meczusie[Mecz]:Meczusie[RodzajMeczu],2,FALSE)</f>
        <v>Liga</v>
      </c>
    </row>
    <row r="875" spans="1:37" x14ac:dyDescent="0.25">
      <c r="A875" s="76">
        <v>12</v>
      </c>
      <c r="B875" s="3" t="s">
        <v>239</v>
      </c>
      <c r="C875" s="2" t="s">
        <v>157</v>
      </c>
      <c r="D875" s="1">
        <v>0</v>
      </c>
      <c r="E875" s="1">
        <v>0</v>
      </c>
      <c r="F875" s="1">
        <v>0</v>
      </c>
      <c r="G875" s="1">
        <v>6</v>
      </c>
      <c r="H875" s="4">
        <v>0.67</v>
      </c>
      <c r="I875" s="1">
        <v>6</v>
      </c>
      <c r="J875" s="4">
        <v>0.17</v>
      </c>
      <c r="K875" s="1">
        <v>0</v>
      </c>
      <c r="L875" s="1">
        <v>3</v>
      </c>
      <c r="M875" s="32">
        <f>IF(Mecze[[#This Row],[PR]]=0,0,Mecze[[#This Row],[PR]]/Mecze[[#This Row],[CZAS]])</f>
        <v>3.125E-2</v>
      </c>
      <c r="N875" s="32">
        <f>IF(Mecze[[#This Row],[OU]]=0,0,Mecze[[#This Row],[OU]]/Mecze[[#This Row],[CZAS]])</f>
        <v>1.0416666666666666E-2</v>
      </c>
      <c r="O875" s="32">
        <f>IF(Mecze[[#This Row],[PC]]=0,0,Mecze[[#This Row],[PC]]/Mecze[[#This Row],[CZAS]])</f>
        <v>4.1666666666666664E-2</v>
      </c>
      <c r="P875" s="32">
        <f>IF(Mecze[[#This Row],[SC]]=0,0,Mecze[[#This Row],[SC]]/Mecze[[#This Row],[CZAS]])</f>
        <v>0</v>
      </c>
      <c r="Q875" s="32">
        <f>IF(Mecze[[#This Row],[OB]]=0,0,Mecze[[#This Row],[OB]]/Mecze[[#This Row],[CZAS]])</f>
        <v>0</v>
      </c>
      <c r="R875" s="32">
        <f>IF(Mecze[[#This Row],[BR]]=0,0,Mecze[[#This Row],[BR]]/Mecze[[#This Row],[CZAS]])</f>
        <v>0</v>
      </c>
      <c r="S875" s="44">
        <f>IF(Mecze[[#This Row],[Role]]="BR",SUMPRODUCT(Mecze[[#This Row],[/PR:90]:[/BR:90]],Brudnopis!$E$23:$J$23),0)</f>
        <v>0</v>
      </c>
      <c r="T875" s="44">
        <f>IF(Mecze[[#This Row],[Role]]&lt;&gt;"BR",SUMPRODUCT(Mecze[[#This Row],[/PR:90]:[/BR:90]],Brudnopis!$E$24:$J$24),0)</f>
        <v>8.8541666666666657E-2</v>
      </c>
      <c r="U875" s="44">
        <f>IF(Mecze[[#This Row],[Role]]&lt;&gt;"BR",SUMPRODUCT(Mecze[[#This Row],[/PR:90]:[/BR:90]],Brudnopis!$E$25:$J$25),0)</f>
        <v>0.10416666666666666</v>
      </c>
      <c r="V875" s="44">
        <f>IF(Mecze[[#This Row],[Role]]&lt;&gt;"BR",SUMPRODUCT(Mecze[[#This Row],[/PR:90]:[/BR:90]],Brudnopis!$E$26:$J$26),0)</f>
        <v>8.3333333333333329E-2</v>
      </c>
      <c r="W875" s="44">
        <f>IF(Mecze[[#This Row],[Role]]&lt;&gt;"BR",SUMPRODUCT(Mecze[[#This Row],[/PR:90]:[/BR:90]],Brudnopis!$E$27:$J$27),0)</f>
        <v>9.375E-2</v>
      </c>
      <c r="X875" s="44">
        <f>IF(Mecze[[#This Row],[Role]]&lt;&gt;"BR",SUMPRODUCT(Mecze[[#This Row],[/PR:90]:[/BR:90]],Brudnopis!$E$28:$J$28),0)</f>
        <v>4.1666666666666664E-2</v>
      </c>
      <c r="Y875" s="35">
        <f>IF(Mecze[[#This Row],[Role]]="BR",Mecze[[#This Row],[/OB:90]]+Mecze[[#This Row],[/PC:90]],SUM(Mecze[[#This Row],[/PR:90]:[/BR:90]]))</f>
        <v>8.3333333333333329E-2</v>
      </c>
      <c r="Z875" s="35">
        <f>IF(Mecze[[#This Row],[KC]]=0,SUM(Mecze[[#This Row],[/BRI]:[/NPI]]),SUM(Mecze[[#This Row],[/BRI]:[/NPI]])*0.6)</f>
        <v>0.41145833333333331</v>
      </c>
      <c r="AA875" s="10">
        <f>IFERROR(Mecze[[#This Row],[BR]]/Mecze[[#This Row],[ST]],0)</f>
        <v>0</v>
      </c>
      <c r="AB875">
        <f>ROUND(Mecze[[#This Row],[PD]]*Mecze[[#This Row],[%PC]],0)</f>
        <v>4</v>
      </c>
      <c r="AC875">
        <f>ROUND(Mecze[[#This Row],[OD]]*Mecze[[#This Row],[%OU]],0)</f>
        <v>1</v>
      </c>
      <c r="AD875" s="36" t="s">
        <v>175</v>
      </c>
      <c r="AE875" s="36">
        <v>49</v>
      </c>
      <c r="AF875" s="71">
        <v>2.2200000000000002</v>
      </c>
      <c r="AG875" s="37">
        <v>0</v>
      </c>
      <c r="AH875" s="37">
        <v>0</v>
      </c>
      <c r="AI875" s="37">
        <v>96</v>
      </c>
      <c r="AJ875" s="37">
        <v>10</v>
      </c>
      <c r="AK875" s="37" t="str">
        <f>VLOOKUP(Mecze[[#This Row],[Match ID]],Meczusie[Mecz]:Meczusie[RodzajMeczu],2,FALSE)</f>
        <v>Liga</v>
      </c>
    </row>
    <row r="876" spans="1:37" x14ac:dyDescent="0.25">
      <c r="A876" s="76">
        <v>7</v>
      </c>
      <c r="B876" s="3" t="s">
        <v>241</v>
      </c>
      <c r="C876" s="2" t="s">
        <v>160</v>
      </c>
      <c r="D876" s="1">
        <v>0</v>
      </c>
      <c r="E876" s="1">
        <v>0</v>
      </c>
      <c r="F876" s="1">
        <v>0</v>
      </c>
      <c r="G876" s="1">
        <v>11</v>
      </c>
      <c r="H876" s="4">
        <v>0.45</v>
      </c>
      <c r="I876" s="1">
        <v>6</v>
      </c>
      <c r="J876" s="4">
        <v>0.33</v>
      </c>
      <c r="K876" s="1">
        <v>0</v>
      </c>
      <c r="L876" s="1">
        <v>4</v>
      </c>
      <c r="M876" s="32">
        <f>IF(Mecze[[#This Row],[PR]]=0,0,Mecze[[#This Row],[PR]]/Mecze[[#This Row],[CZAS]])</f>
        <v>4.1666666666666664E-2</v>
      </c>
      <c r="N876" s="32">
        <f>IF(Mecze[[#This Row],[OU]]=0,0,Mecze[[#This Row],[OU]]/Mecze[[#This Row],[CZAS]])</f>
        <v>2.0833333333333332E-2</v>
      </c>
      <c r="O876" s="32">
        <f>IF(Mecze[[#This Row],[PC]]=0,0,Mecze[[#This Row],[PC]]/Mecze[[#This Row],[CZAS]])</f>
        <v>5.2083333333333336E-2</v>
      </c>
      <c r="P876" s="32">
        <f>IF(Mecze[[#This Row],[SC]]=0,0,Mecze[[#This Row],[SC]]/Mecze[[#This Row],[CZAS]])</f>
        <v>0</v>
      </c>
      <c r="Q876" s="32">
        <f>IF(Mecze[[#This Row],[OB]]=0,0,Mecze[[#This Row],[OB]]/Mecze[[#This Row],[CZAS]])</f>
        <v>0</v>
      </c>
      <c r="R876" s="32">
        <f>IF(Mecze[[#This Row],[BR]]=0,0,Mecze[[#This Row],[BR]]/Mecze[[#This Row],[CZAS]])</f>
        <v>0</v>
      </c>
      <c r="S876" s="44">
        <f>IF(Mecze[[#This Row],[Role]]="BR",SUMPRODUCT(Mecze[[#This Row],[/PR:90]:[/BR:90]],Brudnopis!$E$23:$J$23),0)</f>
        <v>0</v>
      </c>
      <c r="T876" s="44">
        <f>IF(Mecze[[#This Row],[Role]]&lt;&gt;"BR",SUMPRODUCT(Mecze[[#This Row],[/PR:90]:[/BR:90]],Brudnopis!$E$24:$J$24),0)</f>
        <v>0.125</v>
      </c>
      <c r="U876" s="44">
        <f>IF(Mecze[[#This Row],[Role]]&lt;&gt;"BR",SUMPRODUCT(Mecze[[#This Row],[/PR:90]:[/BR:90]],Brudnopis!$E$25:$J$25),0)</f>
        <v>0.140625</v>
      </c>
      <c r="V876" s="44">
        <f>IF(Mecze[[#This Row],[Role]]&lt;&gt;"BR",SUMPRODUCT(Mecze[[#This Row],[/PR:90]:[/BR:90]],Brudnopis!$E$26:$J$26),0)</f>
        <v>0.11458333333333334</v>
      </c>
      <c r="W876" s="44">
        <f>IF(Mecze[[#This Row],[Role]]&lt;&gt;"BR",SUMPRODUCT(Mecze[[#This Row],[/PR:90]:[/BR:90]],Brudnopis!$E$27:$J$27),0)</f>
        <v>0.125</v>
      </c>
      <c r="X876" s="44">
        <f>IF(Mecze[[#This Row],[Role]]&lt;&gt;"BR",SUMPRODUCT(Mecze[[#This Row],[/PR:90]:[/BR:90]],Brudnopis!$E$28:$J$28),0)</f>
        <v>5.2083333333333336E-2</v>
      </c>
      <c r="Y876" s="35">
        <f>IF(Mecze[[#This Row],[Role]]="BR",Mecze[[#This Row],[/OB:90]]+Mecze[[#This Row],[/PC:90]],SUM(Mecze[[#This Row],[/PR:90]:[/BR:90]]))</f>
        <v>0.11458333333333334</v>
      </c>
      <c r="Z876" s="35">
        <f>IF(Mecze[[#This Row],[KC]]=0,SUM(Mecze[[#This Row],[/BRI]:[/NPI]]),SUM(Mecze[[#This Row],[/BRI]:[/NPI]])*0.6)</f>
        <v>0.55729166666666674</v>
      </c>
      <c r="AA876" s="10">
        <f>IFERROR(Mecze[[#This Row],[BR]]/Mecze[[#This Row],[ST]],0)</f>
        <v>0</v>
      </c>
      <c r="AB876">
        <f>ROUND(Mecze[[#This Row],[PD]]*Mecze[[#This Row],[%PC]],0)</f>
        <v>5</v>
      </c>
      <c r="AC876">
        <f>ROUND(Mecze[[#This Row],[OD]]*Mecze[[#This Row],[%OU]],0)</f>
        <v>2</v>
      </c>
      <c r="AD876" s="36" t="s">
        <v>41</v>
      </c>
      <c r="AE876" s="36">
        <v>49</v>
      </c>
      <c r="AF876" s="71">
        <v>3.54</v>
      </c>
      <c r="AG876" s="37">
        <v>0</v>
      </c>
      <c r="AH876" s="37">
        <v>0</v>
      </c>
      <c r="AI876" s="37">
        <v>96</v>
      </c>
      <c r="AJ876" s="37">
        <v>10</v>
      </c>
      <c r="AK876" s="37" t="str">
        <f>VLOOKUP(Mecze[[#This Row],[Match ID]],Meczusie[Mecz]:Meczusie[RodzajMeczu],2,FALSE)</f>
        <v>Liga</v>
      </c>
    </row>
    <row r="877" spans="1:37" x14ac:dyDescent="0.25">
      <c r="A877" s="76">
        <v>5</v>
      </c>
      <c r="B877" s="3" t="s">
        <v>242</v>
      </c>
      <c r="C877" s="2" t="s">
        <v>160</v>
      </c>
      <c r="D877" s="1">
        <v>0</v>
      </c>
      <c r="E877" s="1">
        <v>0</v>
      </c>
      <c r="F877" s="1">
        <v>0</v>
      </c>
      <c r="G877" s="1">
        <v>7</v>
      </c>
      <c r="H877" s="4">
        <v>0.86</v>
      </c>
      <c r="I877" s="1">
        <v>1</v>
      </c>
      <c r="J877" s="4">
        <v>1</v>
      </c>
      <c r="K877" s="1">
        <v>0</v>
      </c>
      <c r="L877" s="1">
        <v>0</v>
      </c>
      <c r="M877" s="32">
        <f>IF(Mecze[[#This Row],[PR]]=0,0,Mecze[[#This Row],[PR]]/Mecze[[#This Row],[CZAS]])</f>
        <v>0</v>
      </c>
      <c r="N877" s="32">
        <f>IF(Mecze[[#This Row],[OU]]=0,0,Mecze[[#This Row],[OU]]/Mecze[[#This Row],[CZAS]])</f>
        <v>1.0416666666666666E-2</v>
      </c>
      <c r="O877" s="32">
        <f>IF(Mecze[[#This Row],[PC]]=0,0,Mecze[[#This Row],[PC]]/Mecze[[#This Row],[CZAS]])</f>
        <v>6.25E-2</v>
      </c>
      <c r="P877" s="32">
        <f>IF(Mecze[[#This Row],[SC]]=0,0,Mecze[[#This Row],[SC]]/Mecze[[#This Row],[CZAS]])</f>
        <v>0</v>
      </c>
      <c r="Q877" s="32">
        <f>IF(Mecze[[#This Row],[OB]]=0,0,Mecze[[#This Row],[OB]]/Mecze[[#This Row],[CZAS]])</f>
        <v>0</v>
      </c>
      <c r="R877" s="32">
        <f>IF(Mecze[[#This Row],[BR]]=0,0,Mecze[[#This Row],[BR]]/Mecze[[#This Row],[CZAS]])</f>
        <v>0</v>
      </c>
      <c r="S877" s="44">
        <f>IF(Mecze[[#This Row],[Role]]="BR",SUMPRODUCT(Mecze[[#This Row],[/PR:90]:[/BR:90]],Brudnopis!$E$23:$J$23),0)</f>
        <v>0</v>
      </c>
      <c r="T877" s="44">
        <f>IF(Mecze[[#This Row],[Role]]&lt;&gt;"BR",SUMPRODUCT(Mecze[[#This Row],[/PR:90]:[/BR:90]],Brudnopis!$E$24:$J$24),0)</f>
        <v>7.8125E-2</v>
      </c>
      <c r="U877" s="44">
        <f>IF(Mecze[[#This Row],[Role]]&lt;&gt;"BR",SUMPRODUCT(Mecze[[#This Row],[/PR:90]:[/BR:90]],Brudnopis!$E$25:$J$25),0)</f>
        <v>0.10416666666666667</v>
      </c>
      <c r="V877" s="44">
        <f>IF(Mecze[[#This Row],[Role]]&lt;&gt;"BR",SUMPRODUCT(Mecze[[#This Row],[/PR:90]:[/BR:90]],Brudnopis!$E$26:$J$26),0)</f>
        <v>7.2916666666666671E-2</v>
      </c>
      <c r="W877" s="44">
        <f>IF(Mecze[[#This Row],[Role]]&lt;&gt;"BR",SUMPRODUCT(Mecze[[#This Row],[/PR:90]:[/BR:90]],Brudnopis!$E$27:$J$27),0)</f>
        <v>0.1015625</v>
      </c>
      <c r="X877" s="44">
        <f>IF(Mecze[[#This Row],[Role]]&lt;&gt;"BR",SUMPRODUCT(Mecze[[#This Row],[/PR:90]:[/BR:90]],Brudnopis!$E$28:$J$28),0)</f>
        <v>6.25E-2</v>
      </c>
      <c r="Y877" s="35">
        <f>IF(Mecze[[#This Row],[Role]]="BR",Mecze[[#This Row],[/OB:90]]+Mecze[[#This Row],[/PC:90]],SUM(Mecze[[#This Row],[/PR:90]:[/BR:90]]))</f>
        <v>7.2916666666666671E-2</v>
      </c>
      <c r="Z877" s="35">
        <f>IF(Mecze[[#This Row],[KC]]=0,SUM(Mecze[[#This Row],[/BRI]:[/NPI]]),SUM(Mecze[[#This Row],[/BRI]:[/NPI]])*0.6)</f>
        <v>0.41927083333333337</v>
      </c>
      <c r="AA877" s="10">
        <f>IFERROR(Mecze[[#This Row],[BR]]/Mecze[[#This Row],[ST]],0)</f>
        <v>0</v>
      </c>
      <c r="AB877">
        <f>ROUND(Mecze[[#This Row],[PD]]*Mecze[[#This Row],[%PC]],0)</f>
        <v>6</v>
      </c>
      <c r="AC877">
        <f>ROUND(Mecze[[#This Row],[OD]]*Mecze[[#This Row],[%OU]],0)</f>
        <v>1</v>
      </c>
      <c r="AD877" s="36" t="s">
        <v>41</v>
      </c>
      <c r="AE877" s="36">
        <v>49</v>
      </c>
      <c r="AF877" s="71">
        <v>4.82</v>
      </c>
      <c r="AG877" s="37">
        <v>0</v>
      </c>
      <c r="AH877" s="37">
        <v>0</v>
      </c>
      <c r="AI877" s="37">
        <v>96</v>
      </c>
      <c r="AJ877" s="37">
        <v>10</v>
      </c>
      <c r="AK877" s="37" t="str">
        <f>VLOOKUP(Mecze[[#This Row],[Match ID]],Meczusie[Mecz]:Meczusie[RodzajMeczu],2,FALSE)</f>
        <v>Liga</v>
      </c>
    </row>
    <row r="878" spans="1:37" x14ac:dyDescent="0.25">
      <c r="A878" s="76">
        <v>11</v>
      </c>
      <c r="B878" s="3" t="s">
        <v>243</v>
      </c>
      <c r="C878" s="2" t="s">
        <v>160</v>
      </c>
      <c r="D878" s="1">
        <v>0</v>
      </c>
      <c r="E878" s="1">
        <v>0</v>
      </c>
      <c r="F878" s="1">
        <v>0</v>
      </c>
      <c r="G878" s="1">
        <v>23</v>
      </c>
      <c r="H878" s="4">
        <v>0.52</v>
      </c>
      <c r="I878" s="1">
        <v>16</v>
      </c>
      <c r="J878" s="4">
        <v>0.38</v>
      </c>
      <c r="K878" s="1">
        <v>0</v>
      </c>
      <c r="L878" s="1">
        <v>3</v>
      </c>
      <c r="M878" s="32">
        <f>IF(Mecze[[#This Row],[PR]]=0,0,Mecze[[#This Row],[PR]]/Mecze[[#This Row],[CZAS]])</f>
        <v>3.125E-2</v>
      </c>
      <c r="N878" s="32">
        <f>IF(Mecze[[#This Row],[OU]]=0,0,Mecze[[#This Row],[OU]]/Mecze[[#This Row],[CZAS]])</f>
        <v>6.25E-2</v>
      </c>
      <c r="O878" s="32">
        <f>IF(Mecze[[#This Row],[PC]]=0,0,Mecze[[#This Row],[PC]]/Mecze[[#This Row],[CZAS]])</f>
        <v>0.125</v>
      </c>
      <c r="P878" s="32">
        <f>IF(Mecze[[#This Row],[SC]]=0,0,Mecze[[#This Row],[SC]]/Mecze[[#This Row],[CZAS]])</f>
        <v>0</v>
      </c>
      <c r="Q878" s="32">
        <f>IF(Mecze[[#This Row],[OB]]=0,0,Mecze[[#This Row],[OB]]/Mecze[[#This Row],[CZAS]])</f>
        <v>0</v>
      </c>
      <c r="R878" s="32">
        <f>IF(Mecze[[#This Row],[BR]]=0,0,Mecze[[#This Row],[BR]]/Mecze[[#This Row],[CZAS]])</f>
        <v>0</v>
      </c>
      <c r="S878" s="44">
        <f>IF(Mecze[[#This Row],[Role]]="BR",SUMPRODUCT(Mecze[[#This Row],[/PR:90]:[/BR:90]],Brudnopis!$E$23:$J$23),0)</f>
        <v>0</v>
      </c>
      <c r="T878" s="44">
        <f>IF(Mecze[[#This Row],[Role]]&lt;&gt;"BR",SUMPRODUCT(Mecze[[#This Row],[/PR:90]:[/BR:90]],Brudnopis!$E$24:$J$24),0)</f>
        <v>0.25</v>
      </c>
      <c r="U878" s="44">
        <f>IF(Mecze[[#This Row],[Role]]&lt;&gt;"BR",SUMPRODUCT(Mecze[[#This Row],[/PR:90]:[/BR:90]],Brudnopis!$E$25:$J$25),0)</f>
        <v>0.28125</v>
      </c>
      <c r="V878" s="44">
        <f>IF(Mecze[[#This Row],[Role]]&lt;&gt;"BR",SUMPRODUCT(Mecze[[#This Row],[/PR:90]:[/BR:90]],Brudnopis!$E$26:$J$26),0)</f>
        <v>0.21875</v>
      </c>
      <c r="W878" s="44">
        <f>IF(Mecze[[#This Row],[Role]]&lt;&gt;"BR",SUMPRODUCT(Mecze[[#This Row],[/PR:90]:[/BR:90]],Brudnopis!$E$27:$J$27),0)</f>
        <v>0.2578125</v>
      </c>
      <c r="X878" s="44">
        <f>IF(Mecze[[#This Row],[Role]]&lt;&gt;"BR",SUMPRODUCT(Mecze[[#This Row],[/PR:90]:[/BR:90]],Brudnopis!$E$28:$J$28),0)</f>
        <v>0.125</v>
      </c>
      <c r="Y878" s="35">
        <f>IF(Mecze[[#This Row],[Role]]="BR",Mecze[[#This Row],[/OB:90]]+Mecze[[#This Row],[/PC:90]],SUM(Mecze[[#This Row],[/PR:90]:[/BR:90]]))</f>
        <v>0.21875</v>
      </c>
      <c r="Z878" s="35">
        <f>IF(Mecze[[#This Row],[KC]]=0,SUM(Mecze[[#This Row],[/BRI]:[/NPI]]),SUM(Mecze[[#This Row],[/BRI]:[/NPI]])*0.6)</f>
        <v>1.1328125</v>
      </c>
      <c r="AA878" s="10">
        <f>IFERROR(Mecze[[#This Row],[BR]]/Mecze[[#This Row],[ST]],0)</f>
        <v>0</v>
      </c>
      <c r="AB878">
        <f>ROUND(Mecze[[#This Row],[PD]]*Mecze[[#This Row],[%PC]],0)</f>
        <v>12</v>
      </c>
      <c r="AC878">
        <f>ROUND(Mecze[[#This Row],[OD]]*Mecze[[#This Row],[%OU]],0)</f>
        <v>6</v>
      </c>
      <c r="AD878" s="36" t="s">
        <v>67</v>
      </c>
      <c r="AE878" s="36">
        <v>49</v>
      </c>
      <c r="AF878" s="71">
        <v>4.54</v>
      </c>
      <c r="AG878" s="37">
        <v>0</v>
      </c>
      <c r="AH878" s="37">
        <v>0</v>
      </c>
      <c r="AI878" s="37">
        <v>96</v>
      </c>
      <c r="AJ878" s="37">
        <v>10</v>
      </c>
      <c r="AK878" s="37" t="str">
        <f>VLOOKUP(Mecze[[#This Row],[Match ID]],Meczusie[Mecz]:Meczusie[RodzajMeczu],2,FALSE)</f>
        <v>Liga</v>
      </c>
    </row>
    <row r="879" spans="1:37" x14ac:dyDescent="0.25">
      <c r="A879" s="76">
        <v>8</v>
      </c>
      <c r="B879" s="3" t="s">
        <v>245</v>
      </c>
      <c r="C879" s="2" t="s">
        <v>165</v>
      </c>
      <c r="D879" s="1">
        <v>0</v>
      </c>
      <c r="E879" s="1">
        <v>0</v>
      </c>
      <c r="F879" s="1">
        <v>0</v>
      </c>
      <c r="G879" s="1">
        <v>6</v>
      </c>
      <c r="H879" s="4">
        <v>0.33</v>
      </c>
      <c r="I879" s="1">
        <v>7</v>
      </c>
      <c r="J879" s="4">
        <v>0.43</v>
      </c>
      <c r="K879" s="1">
        <v>0</v>
      </c>
      <c r="L879" s="1">
        <v>1</v>
      </c>
      <c r="M879" s="32">
        <f>IF(Mecze[[#This Row],[PR]]=0,0,Mecze[[#This Row],[PR]]/Mecze[[#This Row],[CZAS]])</f>
        <v>1.0416666666666666E-2</v>
      </c>
      <c r="N879" s="32">
        <f>IF(Mecze[[#This Row],[OU]]=0,0,Mecze[[#This Row],[OU]]/Mecze[[#This Row],[CZAS]])</f>
        <v>3.125E-2</v>
      </c>
      <c r="O879" s="32">
        <f>IF(Mecze[[#This Row],[PC]]=0,0,Mecze[[#This Row],[PC]]/Mecze[[#This Row],[CZAS]])</f>
        <v>2.0833333333333332E-2</v>
      </c>
      <c r="P879" s="32">
        <f>IF(Mecze[[#This Row],[SC]]=0,0,Mecze[[#This Row],[SC]]/Mecze[[#This Row],[CZAS]])</f>
        <v>0</v>
      </c>
      <c r="Q879" s="32">
        <f>IF(Mecze[[#This Row],[OB]]=0,0,Mecze[[#This Row],[OB]]/Mecze[[#This Row],[CZAS]])</f>
        <v>0</v>
      </c>
      <c r="R879" s="32">
        <f>IF(Mecze[[#This Row],[BR]]=0,0,Mecze[[#This Row],[BR]]/Mecze[[#This Row],[CZAS]])</f>
        <v>0</v>
      </c>
      <c r="S879" s="44">
        <f>IF(Mecze[[#This Row],[Role]]="BR",SUMPRODUCT(Mecze[[#This Row],[/PR:90]:[/BR:90]],Brudnopis!$E$23:$J$23),0)</f>
        <v>0</v>
      </c>
      <c r="T879" s="44">
        <f>IF(Mecze[[#This Row],[Role]]&lt;&gt;"BR",SUMPRODUCT(Mecze[[#This Row],[/PR:90]:[/BR:90]],Brudnopis!$E$24:$J$24),0)</f>
        <v>7.8125E-2</v>
      </c>
      <c r="U879" s="44">
        <f>IF(Mecze[[#This Row],[Role]]&lt;&gt;"BR",SUMPRODUCT(Mecze[[#This Row],[/PR:90]:[/BR:90]],Brudnopis!$E$25:$J$25),0)</f>
        <v>7.2916666666666657E-2</v>
      </c>
      <c r="V879" s="44">
        <f>IF(Mecze[[#This Row],[Role]]&lt;&gt;"BR",SUMPRODUCT(Mecze[[#This Row],[/PR:90]:[/BR:90]],Brudnopis!$E$26:$J$26),0)</f>
        <v>6.25E-2</v>
      </c>
      <c r="W879" s="44">
        <f>IF(Mecze[[#This Row],[Role]]&lt;&gt;"BR",SUMPRODUCT(Mecze[[#This Row],[/PR:90]:[/BR:90]],Brudnopis!$E$27:$J$27),0)</f>
        <v>6.25E-2</v>
      </c>
      <c r="X879" s="44">
        <f>IF(Mecze[[#This Row],[Role]]&lt;&gt;"BR",SUMPRODUCT(Mecze[[#This Row],[/PR:90]:[/BR:90]],Brudnopis!$E$28:$J$28),0)</f>
        <v>2.0833333333333332E-2</v>
      </c>
      <c r="Y879" s="35">
        <f>IF(Mecze[[#This Row],[Role]]="BR",Mecze[[#This Row],[/OB:90]]+Mecze[[#This Row],[/PC:90]],SUM(Mecze[[#This Row],[/PR:90]:[/BR:90]]))</f>
        <v>6.25E-2</v>
      </c>
      <c r="Z879" s="35">
        <f>IF(Mecze[[#This Row],[KC]]=0,SUM(Mecze[[#This Row],[/BRI]:[/NPI]]),SUM(Mecze[[#This Row],[/BRI]:[/NPI]])*0.6)</f>
        <v>0.29687499999999994</v>
      </c>
      <c r="AA879" s="10">
        <f>IFERROR(Mecze[[#This Row],[BR]]/Mecze[[#This Row],[ST]],0)</f>
        <v>0</v>
      </c>
      <c r="AB879">
        <f>ROUND(Mecze[[#This Row],[PD]]*Mecze[[#This Row],[%PC]],0)</f>
        <v>2</v>
      </c>
      <c r="AC879">
        <f>ROUND(Mecze[[#This Row],[OD]]*Mecze[[#This Row],[%OU]],0)</f>
        <v>3</v>
      </c>
      <c r="AD879" s="36" t="s">
        <v>46</v>
      </c>
      <c r="AE879" s="36">
        <v>49</v>
      </c>
      <c r="AF879" s="71">
        <v>2.71</v>
      </c>
      <c r="AG879" s="37">
        <v>0</v>
      </c>
      <c r="AH879" s="37">
        <v>0</v>
      </c>
      <c r="AI879" s="37">
        <v>96</v>
      </c>
      <c r="AJ879" s="37">
        <v>10</v>
      </c>
      <c r="AK879" s="37" t="str">
        <f>VLOOKUP(Mecze[[#This Row],[Match ID]],Meczusie[Mecz]:Meczusie[RodzajMeczu],2,FALSE)</f>
        <v>Liga</v>
      </c>
    </row>
    <row r="880" spans="1:37" x14ac:dyDescent="0.25">
      <c r="A880" s="76">
        <v>14</v>
      </c>
      <c r="B880" s="3" t="s">
        <v>244</v>
      </c>
      <c r="C880" s="2" t="s">
        <v>165</v>
      </c>
      <c r="D880" s="1">
        <v>0</v>
      </c>
      <c r="E880" s="1">
        <v>1</v>
      </c>
      <c r="F880" s="1">
        <v>1</v>
      </c>
      <c r="G880" s="1">
        <v>5</v>
      </c>
      <c r="H880" s="4">
        <v>0.6</v>
      </c>
      <c r="I880" s="1">
        <v>4</v>
      </c>
      <c r="J880" s="4">
        <v>0</v>
      </c>
      <c r="K880" s="1">
        <v>0</v>
      </c>
      <c r="L880" s="1">
        <v>0</v>
      </c>
      <c r="M880" s="32">
        <f>IF(Mecze[[#This Row],[PR]]=0,0,Mecze[[#This Row],[PR]]/Mecze[[#This Row],[CZAS]])</f>
        <v>0</v>
      </c>
      <c r="N880" s="32">
        <f>IF(Mecze[[#This Row],[OU]]=0,0,Mecze[[#This Row],[OU]]/Mecze[[#This Row],[CZAS]])</f>
        <v>0</v>
      </c>
      <c r="O880" s="32">
        <f>IF(Mecze[[#This Row],[PC]]=0,0,Mecze[[#This Row],[PC]]/Mecze[[#This Row],[CZAS]])</f>
        <v>3.125E-2</v>
      </c>
      <c r="P880" s="32">
        <f>IF(Mecze[[#This Row],[SC]]=0,0,Mecze[[#This Row],[SC]]/Mecze[[#This Row],[CZAS]])</f>
        <v>1.0416666666666666E-2</v>
      </c>
      <c r="Q880" s="32">
        <f>IF(Mecze[[#This Row],[OB]]=0,0,Mecze[[#This Row],[OB]]/Mecze[[#This Row],[CZAS]])</f>
        <v>0</v>
      </c>
      <c r="R880" s="32">
        <f>IF(Mecze[[#This Row],[BR]]=0,0,Mecze[[#This Row],[BR]]/Mecze[[#This Row],[CZAS]])</f>
        <v>0</v>
      </c>
      <c r="S880" s="44">
        <f>IF(Mecze[[#This Row],[Role]]="BR",SUMPRODUCT(Mecze[[#This Row],[/PR:90]:[/BR:90]],Brudnopis!$E$23:$J$23),0)</f>
        <v>0</v>
      </c>
      <c r="T880" s="44">
        <f>IF(Mecze[[#This Row],[Role]]&lt;&gt;"BR",SUMPRODUCT(Mecze[[#This Row],[/PR:90]:[/BR:90]],Brudnopis!$E$24:$J$24),0)</f>
        <v>4.1666666666666664E-2</v>
      </c>
      <c r="U880" s="44">
        <f>IF(Mecze[[#This Row],[Role]]&lt;&gt;"BR",SUMPRODUCT(Mecze[[#This Row],[/PR:90]:[/BR:90]],Brudnopis!$E$25:$J$25),0)</f>
        <v>5.7291666666666664E-2</v>
      </c>
      <c r="V880" s="44">
        <f>IF(Mecze[[#This Row],[Role]]&lt;&gt;"BR",SUMPRODUCT(Mecze[[#This Row],[/PR:90]:[/BR:90]],Brudnopis!$E$26:$J$26),0)</f>
        <v>4.1666666666666664E-2</v>
      </c>
      <c r="W880" s="44">
        <f>IF(Mecze[[#This Row],[Role]]&lt;&gt;"BR",SUMPRODUCT(Mecze[[#This Row],[/PR:90]:[/BR:90]],Brudnopis!$E$27:$J$27),0)</f>
        <v>5.7291666666666664E-2</v>
      </c>
      <c r="X880" s="44">
        <f>IF(Mecze[[#This Row],[Role]]&lt;&gt;"BR",SUMPRODUCT(Mecze[[#This Row],[/PR:90]:[/BR:90]],Brudnopis!$E$28:$J$28),0)</f>
        <v>5.2083333333333329E-2</v>
      </c>
      <c r="Y880" s="35">
        <f>IF(Mecze[[#This Row],[Role]]="BR",Mecze[[#This Row],[/OB:90]]+Mecze[[#This Row],[/PC:90]],SUM(Mecze[[#This Row],[/PR:90]:[/BR:90]]))</f>
        <v>4.1666666666666664E-2</v>
      </c>
      <c r="Z880" s="35">
        <f>IF(Mecze[[#This Row],[KC]]=0,SUM(Mecze[[#This Row],[/BRI]:[/NPI]]),SUM(Mecze[[#This Row],[/BRI]:[/NPI]])*0.6)</f>
        <v>0.25</v>
      </c>
      <c r="AA880" s="10">
        <f>IFERROR(Mecze[[#This Row],[BR]]/Mecze[[#This Row],[ST]],0)</f>
        <v>0</v>
      </c>
      <c r="AB880">
        <f>ROUND(Mecze[[#This Row],[PD]]*Mecze[[#This Row],[%PC]],0)</f>
        <v>3</v>
      </c>
      <c r="AC880">
        <f>ROUND(Mecze[[#This Row],[OD]]*Mecze[[#This Row],[%OU]],0)</f>
        <v>0</v>
      </c>
      <c r="AD880" s="36" t="s">
        <v>46</v>
      </c>
      <c r="AE880" s="36">
        <v>49</v>
      </c>
      <c r="AF880" s="71">
        <v>4.26</v>
      </c>
      <c r="AG880" s="37">
        <v>0</v>
      </c>
      <c r="AH880" s="37">
        <v>0</v>
      </c>
      <c r="AI880" s="37">
        <v>96</v>
      </c>
      <c r="AJ880" s="37">
        <v>10</v>
      </c>
      <c r="AK880" s="37" t="str">
        <f>VLOOKUP(Mecze[[#This Row],[Match ID]],Meczusie[Mecz]:Meczusie[RodzajMeczu],2,FALSE)</f>
        <v>Liga</v>
      </c>
    </row>
    <row r="881" spans="1:37" x14ac:dyDescent="0.25">
      <c r="A881" s="76">
        <v>10</v>
      </c>
      <c r="B881" s="3" t="s">
        <v>246</v>
      </c>
      <c r="C881" s="2" t="s">
        <v>165</v>
      </c>
      <c r="D881" s="1">
        <v>0</v>
      </c>
      <c r="E881" s="1">
        <v>0</v>
      </c>
      <c r="F881" s="1">
        <v>0</v>
      </c>
      <c r="G881" s="1">
        <v>9</v>
      </c>
      <c r="H881" s="4">
        <v>0.56000000000000005</v>
      </c>
      <c r="I881" s="1">
        <v>3</v>
      </c>
      <c r="J881" s="4">
        <v>1</v>
      </c>
      <c r="K881" s="1">
        <v>0</v>
      </c>
      <c r="L881" s="1">
        <v>0</v>
      </c>
      <c r="M881" s="32">
        <f>IF(Mecze[[#This Row],[PR]]=0,0,Mecze[[#This Row],[PR]]/Mecze[[#This Row],[CZAS]])</f>
        <v>0</v>
      </c>
      <c r="N881" s="32">
        <f>IF(Mecze[[#This Row],[OU]]=0,0,Mecze[[#This Row],[OU]]/Mecze[[#This Row],[CZAS]])</f>
        <v>3.125E-2</v>
      </c>
      <c r="O881" s="32">
        <f>IF(Mecze[[#This Row],[PC]]=0,0,Mecze[[#This Row],[PC]]/Mecze[[#This Row],[CZAS]])</f>
        <v>5.2083333333333336E-2</v>
      </c>
      <c r="P881" s="32">
        <f>IF(Mecze[[#This Row],[SC]]=0,0,Mecze[[#This Row],[SC]]/Mecze[[#This Row],[CZAS]])</f>
        <v>0</v>
      </c>
      <c r="Q881" s="32">
        <f>IF(Mecze[[#This Row],[OB]]=0,0,Mecze[[#This Row],[OB]]/Mecze[[#This Row],[CZAS]])</f>
        <v>0</v>
      </c>
      <c r="R881" s="32">
        <f>IF(Mecze[[#This Row],[BR]]=0,0,Mecze[[#This Row],[BR]]/Mecze[[#This Row],[CZAS]])</f>
        <v>0</v>
      </c>
      <c r="S881" s="44">
        <f>IF(Mecze[[#This Row],[Role]]="BR",SUMPRODUCT(Mecze[[#This Row],[/PR:90]:[/BR:90]],Brudnopis!$E$23:$J$23),0)</f>
        <v>0</v>
      </c>
      <c r="T881" s="44">
        <f>IF(Mecze[[#This Row],[Role]]&lt;&gt;"BR",SUMPRODUCT(Mecze[[#This Row],[/PR:90]:[/BR:90]],Brudnopis!$E$24:$J$24),0)</f>
        <v>9.8958333333333343E-2</v>
      </c>
      <c r="U881" s="44">
        <f>IF(Mecze[[#This Row],[Role]]&lt;&gt;"BR",SUMPRODUCT(Mecze[[#This Row],[/PR:90]:[/BR:90]],Brudnopis!$E$25:$J$25),0)</f>
        <v>0.109375</v>
      </c>
      <c r="V881" s="44">
        <f>IF(Mecze[[#This Row],[Role]]&lt;&gt;"BR",SUMPRODUCT(Mecze[[#This Row],[/PR:90]:[/BR:90]],Brudnopis!$E$26:$J$26),0)</f>
        <v>8.3333333333333343E-2</v>
      </c>
      <c r="W881" s="44">
        <f>IF(Mecze[[#This Row],[Role]]&lt;&gt;"BR",SUMPRODUCT(Mecze[[#This Row],[/PR:90]:[/BR:90]],Brudnopis!$E$27:$J$27),0)</f>
        <v>0.1015625</v>
      </c>
      <c r="X881" s="44">
        <f>IF(Mecze[[#This Row],[Role]]&lt;&gt;"BR",SUMPRODUCT(Mecze[[#This Row],[/PR:90]:[/BR:90]],Brudnopis!$E$28:$J$28),0)</f>
        <v>5.2083333333333336E-2</v>
      </c>
      <c r="Y881" s="35">
        <f>IF(Mecze[[#This Row],[Role]]="BR",Mecze[[#This Row],[/OB:90]]+Mecze[[#This Row],[/PC:90]],SUM(Mecze[[#This Row],[/PR:90]:[/BR:90]]))</f>
        <v>8.3333333333333343E-2</v>
      </c>
      <c r="Z881" s="35">
        <f>IF(Mecze[[#This Row],[KC]]=0,SUM(Mecze[[#This Row],[/BRI]:[/NPI]]),SUM(Mecze[[#This Row],[/BRI]:[/NPI]])*0.6)</f>
        <v>0.4453125</v>
      </c>
      <c r="AA881" s="10">
        <f>IFERROR(Mecze[[#This Row],[BR]]/Mecze[[#This Row],[ST]],0)</f>
        <v>0</v>
      </c>
      <c r="AB881">
        <f>ROUND(Mecze[[#This Row],[PD]]*Mecze[[#This Row],[%PC]],0)</f>
        <v>5</v>
      </c>
      <c r="AC881">
        <f>ROUND(Mecze[[#This Row],[OD]]*Mecze[[#This Row],[%OU]],0)</f>
        <v>3</v>
      </c>
      <c r="AD881" s="36" t="s">
        <v>46</v>
      </c>
      <c r="AE881" s="36">
        <v>49</v>
      </c>
      <c r="AF881" s="71">
        <v>4.04</v>
      </c>
      <c r="AG881" s="37">
        <v>0</v>
      </c>
      <c r="AH881" s="37">
        <v>0</v>
      </c>
      <c r="AI881" s="37">
        <v>96</v>
      </c>
      <c r="AJ881" s="37">
        <v>10</v>
      </c>
      <c r="AK881" s="37" t="str">
        <f>VLOOKUP(Mecze[[#This Row],[Match ID]],Meczusie[Mecz]:Meczusie[RodzajMeczu],2,FALSE)</f>
        <v>Liga</v>
      </c>
    </row>
    <row r="882" spans="1:37" x14ac:dyDescent="0.25">
      <c r="A882" s="76">
        <v>1</v>
      </c>
      <c r="B882" s="3" t="s">
        <v>261</v>
      </c>
      <c r="C882" s="2" t="s">
        <v>155</v>
      </c>
      <c r="D882" s="1">
        <v>0</v>
      </c>
      <c r="E882" s="1">
        <v>0</v>
      </c>
      <c r="F882" s="1">
        <v>0</v>
      </c>
      <c r="G882" s="1">
        <v>0</v>
      </c>
      <c r="H882" s="72"/>
      <c r="I882" s="1">
        <v>0</v>
      </c>
      <c r="J882" s="4"/>
      <c r="K882" s="1">
        <v>0</v>
      </c>
      <c r="L882" s="1">
        <v>0</v>
      </c>
      <c r="M882" s="32">
        <f>IF(Mecze[[#This Row],[PR]]=0,0,Mecze[[#This Row],[PR]]/Mecze[[#This Row],[CZAS]])</f>
        <v>0</v>
      </c>
      <c r="N882" s="32">
        <f>IF(Mecze[[#This Row],[OU]]=0,0,Mecze[[#This Row],[OU]]/Mecze[[#This Row],[CZAS]])</f>
        <v>0</v>
      </c>
      <c r="O882" s="32">
        <f>IF(Mecze[[#This Row],[PC]]=0,0,Mecze[[#This Row],[PC]]/Mecze[[#This Row],[CZAS]])</f>
        <v>0</v>
      </c>
      <c r="P882" s="32">
        <f>IF(Mecze[[#This Row],[SC]]=0,0,Mecze[[#This Row],[SC]]/Mecze[[#This Row],[CZAS]])</f>
        <v>0</v>
      </c>
      <c r="Q882" s="32">
        <f>IF(Mecze[[#This Row],[OB]]=0,0,Mecze[[#This Row],[OB]]/Mecze[[#This Row],[CZAS]])</f>
        <v>0</v>
      </c>
      <c r="R882" s="32">
        <f>IF(Mecze[[#This Row],[BR]]=0,0,Mecze[[#This Row],[BR]]/Mecze[[#This Row],[CZAS]])</f>
        <v>0</v>
      </c>
      <c r="S882" s="44">
        <f>IF(Mecze[[#This Row],[Role]]="BR",SUMPRODUCT(Mecze[[#This Row],[/PR:90]:[/BR:90]],Brudnopis!$E$23:$J$23),0)</f>
        <v>0</v>
      </c>
      <c r="T882" s="44">
        <f>IF(Mecze[[#This Row],[Role]]&lt;&gt;"BR",SUMPRODUCT(Mecze[[#This Row],[/PR:90]:[/BR:90]],Brudnopis!$E$24:$J$24),0)</f>
        <v>0</v>
      </c>
      <c r="U882" s="44">
        <f>IF(Mecze[[#This Row],[Role]]&lt;&gt;"BR",SUMPRODUCT(Mecze[[#This Row],[/PR:90]:[/BR:90]],Brudnopis!$E$25:$J$25),0)</f>
        <v>0</v>
      </c>
      <c r="V882" s="44">
        <f>IF(Mecze[[#This Row],[Role]]&lt;&gt;"BR",SUMPRODUCT(Mecze[[#This Row],[/PR:90]:[/BR:90]],Brudnopis!$E$26:$J$26),0)</f>
        <v>0</v>
      </c>
      <c r="W882" s="44">
        <f>IF(Mecze[[#This Row],[Role]]&lt;&gt;"BR",SUMPRODUCT(Mecze[[#This Row],[/PR:90]:[/BR:90]],Brudnopis!$E$27:$J$27),0)</f>
        <v>0</v>
      </c>
      <c r="X882" s="44">
        <f>IF(Mecze[[#This Row],[Role]]&lt;&gt;"BR",SUMPRODUCT(Mecze[[#This Row],[/PR:90]:[/BR:90]],Brudnopis!$E$28:$J$28),0)</f>
        <v>0</v>
      </c>
      <c r="Y882" s="35">
        <f>IF(Mecze[[#This Row],[Role]]="BR",Mecze[[#This Row],[/OB:90]]+Mecze[[#This Row],[/PC:90]],SUM(Mecze[[#This Row],[/PR:90]:[/BR:90]]))</f>
        <v>0</v>
      </c>
      <c r="Z882" s="35">
        <f>IF(Mecze[[#This Row],[KC]]=0,SUM(Mecze[[#This Row],[/BRI]:[/NPI]]),SUM(Mecze[[#This Row],[/BRI]:[/NPI]])*0.6)</f>
        <v>0</v>
      </c>
      <c r="AA882" s="10">
        <f>IFERROR(Mecze[[#This Row],[BR]]/Mecze[[#This Row],[ST]],0)</f>
        <v>0</v>
      </c>
      <c r="AB882">
        <f>ROUND(Mecze[[#This Row],[PD]]*Mecze[[#This Row],[%PC]],0)</f>
        <v>0</v>
      </c>
      <c r="AC882">
        <f>ROUND(Mecze[[#This Row],[OD]]*Mecze[[#This Row],[%OU]],0)</f>
        <v>0</v>
      </c>
      <c r="AD882" s="36" t="s">
        <v>40</v>
      </c>
      <c r="AE882" s="36">
        <v>50</v>
      </c>
      <c r="AF882" s="71">
        <v>7.04</v>
      </c>
      <c r="AG882" s="37">
        <v>0</v>
      </c>
      <c r="AH882" s="37">
        <v>0</v>
      </c>
      <c r="AI882" s="37">
        <v>99</v>
      </c>
      <c r="AJ882" s="37">
        <v>3</v>
      </c>
      <c r="AK882" s="37" t="str">
        <f>VLOOKUP(Mecze[[#This Row],[Match ID]],Meczusie[Mecz]:Meczusie[RodzajMeczu],2,FALSE)</f>
        <v>Liga</v>
      </c>
    </row>
    <row r="883" spans="1:37" x14ac:dyDescent="0.25">
      <c r="A883" s="76">
        <v>13</v>
      </c>
      <c r="B883" s="3" t="s">
        <v>262</v>
      </c>
      <c r="C883" s="2" t="s">
        <v>157</v>
      </c>
      <c r="D883" s="1">
        <v>0</v>
      </c>
      <c r="E883" s="1">
        <v>0</v>
      </c>
      <c r="F883" s="1">
        <v>0</v>
      </c>
      <c r="G883" s="1">
        <v>3</v>
      </c>
      <c r="H883" s="4">
        <v>1</v>
      </c>
      <c r="I883" s="1">
        <v>0</v>
      </c>
      <c r="J883" s="4"/>
      <c r="K883" s="1">
        <v>0</v>
      </c>
      <c r="L883" s="1">
        <v>4</v>
      </c>
      <c r="M883" s="32">
        <f>IF(Mecze[[#This Row],[PR]]=0,0,Mecze[[#This Row],[PR]]/Mecze[[#This Row],[CZAS]])</f>
        <v>4.0404040404040407E-2</v>
      </c>
      <c r="N883" s="32">
        <f>IF(Mecze[[#This Row],[OU]]=0,0,Mecze[[#This Row],[OU]]/Mecze[[#This Row],[CZAS]])</f>
        <v>0</v>
      </c>
      <c r="O883" s="32">
        <f>IF(Mecze[[#This Row],[PC]]=0,0,Mecze[[#This Row],[PC]]/Mecze[[#This Row],[CZAS]])</f>
        <v>3.0303030303030304E-2</v>
      </c>
      <c r="P883" s="32">
        <f>IF(Mecze[[#This Row],[SC]]=0,0,Mecze[[#This Row],[SC]]/Mecze[[#This Row],[CZAS]])</f>
        <v>0</v>
      </c>
      <c r="Q883" s="32">
        <f>IF(Mecze[[#This Row],[OB]]=0,0,Mecze[[#This Row],[OB]]/Mecze[[#This Row],[CZAS]])</f>
        <v>0</v>
      </c>
      <c r="R883" s="32">
        <f>IF(Mecze[[#This Row],[BR]]=0,0,Mecze[[#This Row],[BR]]/Mecze[[#This Row],[CZAS]])</f>
        <v>0</v>
      </c>
      <c r="S883" s="44">
        <f>IF(Mecze[[#This Row],[Role]]="BR",SUMPRODUCT(Mecze[[#This Row],[/PR:90]:[/BR:90]],Brudnopis!$E$23:$J$23),0)</f>
        <v>0</v>
      </c>
      <c r="T883" s="44">
        <f>IF(Mecze[[#This Row],[Role]]&lt;&gt;"BR",SUMPRODUCT(Mecze[[#This Row],[/PR:90]:[/BR:90]],Brudnopis!$E$24:$J$24),0)</f>
        <v>7.0707070707070718E-2</v>
      </c>
      <c r="U883" s="44">
        <f>IF(Mecze[[#This Row],[Role]]&lt;&gt;"BR",SUMPRODUCT(Mecze[[#This Row],[/PR:90]:[/BR:90]],Brudnopis!$E$25:$J$25),0)</f>
        <v>8.5858585858585856E-2</v>
      </c>
      <c r="V883" s="44">
        <f>IF(Mecze[[#This Row],[Role]]&lt;&gt;"BR",SUMPRODUCT(Mecze[[#This Row],[/PR:90]:[/BR:90]],Brudnopis!$E$26:$J$26),0)</f>
        <v>7.0707070707070718E-2</v>
      </c>
      <c r="W883" s="44">
        <f>IF(Mecze[[#This Row],[Role]]&lt;&gt;"BR",SUMPRODUCT(Mecze[[#This Row],[/PR:90]:[/BR:90]],Brudnopis!$E$27:$J$27),0)</f>
        <v>7.575757575757576E-2</v>
      </c>
      <c r="X883" s="44">
        <f>IF(Mecze[[#This Row],[Role]]&lt;&gt;"BR",SUMPRODUCT(Mecze[[#This Row],[/PR:90]:[/BR:90]],Brudnopis!$E$28:$J$28),0)</f>
        <v>3.0303030303030304E-2</v>
      </c>
      <c r="Y883" s="35">
        <f>IF(Mecze[[#This Row],[Role]]="BR",Mecze[[#This Row],[/OB:90]]+Mecze[[#This Row],[/PC:90]],SUM(Mecze[[#This Row],[/PR:90]:[/BR:90]]))</f>
        <v>7.0707070707070718E-2</v>
      </c>
      <c r="Z883" s="35">
        <f>IF(Mecze[[#This Row],[KC]]=0,SUM(Mecze[[#This Row],[/BRI]:[/NPI]]),SUM(Mecze[[#This Row],[/BRI]:[/NPI]])*0.6)</f>
        <v>0.33333333333333337</v>
      </c>
      <c r="AA883" s="10">
        <f>IFERROR(Mecze[[#This Row],[BR]]/Mecze[[#This Row],[ST]],0)</f>
        <v>0</v>
      </c>
      <c r="AB883">
        <f>ROUND(Mecze[[#This Row],[PD]]*Mecze[[#This Row],[%PC]],0)</f>
        <v>3</v>
      </c>
      <c r="AC883">
        <f>ROUND(Mecze[[#This Row],[OD]]*Mecze[[#This Row],[%OU]],0)</f>
        <v>0</v>
      </c>
      <c r="AD883" s="36" t="s">
        <v>175</v>
      </c>
      <c r="AE883" s="36">
        <v>50</v>
      </c>
      <c r="AF883" s="71">
        <v>7.88</v>
      </c>
      <c r="AG883" s="37">
        <v>0</v>
      </c>
      <c r="AH883" s="37">
        <v>0</v>
      </c>
      <c r="AI883" s="37">
        <v>99</v>
      </c>
      <c r="AJ883" s="37">
        <v>3</v>
      </c>
      <c r="AK883" s="37" t="str">
        <f>VLOOKUP(Mecze[[#This Row],[Match ID]],Meczusie[Mecz]:Meczusie[RodzajMeczu],2,FALSE)</f>
        <v>Liga</v>
      </c>
    </row>
    <row r="884" spans="1:37" x14ac:dyDescent="0.25">
      <c r="A884" s="76">
        <v>4</v>
      </c>
      <c r="B884" s="3" t="s">
        <v>264</v>
      </c>
      <c r="C884" s="2" t="s">
        <v>157</v>
      </c>
      <c r="D884" s="1">
        <v>0</v>
      </c>
      <c r="E884" s="1">
        <v>0</v>
      </c>
      <c r="F884" s="1">
        <v>0</v>
      </c>
      <c r="G884" s="1">
        <v>9</v>
      </c>
      <c r="H884" s="4">
        <v>0.67</v>
      </c>
      <c r="I884" s="1">
        <v>1</v>
      </c>
      <c r="J884" s="4">
        <v>1</v>
      </c>
      <c r="K884" s="1">
        <v>0</v>
      </c>
      <c r="L884" s="1">
        <v>9</v>
      </c>
      <c r="M884" s="32">
        <f>IF(Mecze[[#This Row],[PR]]=0,0,Mecze[[#This Row],[PR]]/Mecze[[#This Row],[CZAS]])</f>
        <v>9.0909090909090912E-2</v>
      </c>
      <c r="N884" s="32">
        <f>IF(Mecze[[#This Row],[OU]]=0,0,Mecze[[#This Row],[OU]]/Mecze[[#This Row],[CZAS]])</f>
        <v>1.0101010101010102E-2</v>
      </c>
      <c r="O884" s="32">
        <f>IF(Mecze[[#This Row],[PC]]=0,0,Mecze[[#This Row],[PC]]/Mecze[[#This Row],[CZAS]])</f>
        <v>6.0606060606060608E-2</v>
      </c>
      <c r="P884" s="32">
        <f>IF(Mecze[[#This Row],[SC]]=0,0,Mecze[[#This Row],[SC]]/Mecze[[#This Row],[CZAS]])</f>
        <v>0</v>
      </c>
      <c r="Q884" s="32">
        <f>IF(Mecze[[#This Row],[OB]]=0,0,Mecze[[#This Row],[OB]]/Mecze[[#This Row],[CZAS]])</f>
        <v>0</v>
      </c>
      <c r="R884" s="32">
        <f>IF(Mecze[[#This Row],[BR]]=0,0,Mecze[[#This Row],[BR]]/Mecze[[#This Row],[CZAS]])</f>
        <v>0</v>
      </c>
      <c r="S884" s="44">
        <f>IF(Mecze[[#This Row],[Role]]="BR",SUMPRODUCT(Mecze[[#This Row],[/PR:90]:[/BR:90]],Brudnopis!$E$23:$J$23),0)</f>
        <v>0</v>
      </c>
      <c r="T884" s="44">
        <f>IF(Mecze[[#This Row],[Role]]&lt;&gt;"BR",SUMPRODUCT(Mecze[[#This Row],[/PR:90]:[/BR:90]],Brudnopis!$E$24:$J$24),0)</f>
        <v>0.16666666666666669</v>
      </c>
      <c r="U884" s="44">
        <f>IF(Mecze[[#This Row],[Role]]&lt;&gt;"BR",SUMPRODUCT(Mecze[[#This Row],[/PR:90]:[/BR:90]],Brudnopis!$E$25:$J$25),0)</f>
        <v>0.19191919191919193</v>
      </c>
      <c r="V884" s="44">
        <f>IF(Mecze[[#This Row],[Role]]&lt;&gt;"BR",SUMPRODUCT(Mecze[[#This Row],[/PR:90]:[/BR:90]],Brudnopis!$E$26:$J$26),0)</f>
        <v>0.1616161616161616</v>
      </c>
      <c r="W884" s="44">
        <f>IF(Mecze[[#This Row],[Role]]&lt;&gt;"BR",SUMPRODUCT(Mecze[[#This Row],[/PR:90]:[/BR:90]],Brudnopis!$E$27:$J$27),0)</f>
        <v>0.16666666666666666</v>
      </c>
      <c r="X884" s="44">
        <f>IF(Mecze[[#This Row],[Role]]&lt;&gt;"BR",SUMPRODUCT(Mecze[[#This Row],[/PR:90]:[/BR:90]],Brudnopis!$E$28:$J$28),0)</f>
        <v>6.0606060606060608E-2</v>
      </c>
      <c r="Y884" s="35">
        <f>IF(Mecze[[#This Row],[Role]]="BR",Mecze[[#This Row],[/OB:90]]+Mecze[[#This Row],[/PC:90]],SUM(Mecze[[#This Row],[/PR:90]:[/BR:90]]))</f>
        <v>0.1616161616161616</v>
      </c>
      <c r="Z884" s="35">
        <f>IF(Mecze[[#This Row],[KC]]=0,SUM(Mecze[[#This Row],[/BRI]:[/NPI]]),SUM(Mecze[[#This Row],[/BRI]:[/NPI]])*0.6)</f>
        <v>0.7474747474747474</v>
      </c>
      <c r="AA884" s="10">
        <f>IFERROR(Mecze[[#This Row],[BR]]/Mecze[[#This Row],[ST]],0)</f>
        <v>0</v>
      </c>
      <c r="AB884">
        <f>ROUND(Mecze[[#This Row],[PD]]*Mecze[[#This Row],[%PC]],0)</f>
        <v>6</v>
      </c>
      <c r="AC884">
        <f>ROUND(Mecze[[#This Row],[OD]]*Mecze[[#This Row],[%OU]],0)</f>
        <v>1</v>
      </c>
      <c r="AD884" s="36" t="s">
        <v>174</v>
      </c>
      <c r="AE884" s="36">
        <v>50</v>
      </c>
      <c r="AF884" s="71">
        <v>8.93</v>
      </c>
      <c r="AG884" s="37">
        <v>0</v>
      </c>
      <c r="AH884" s="37">
        <v>0</v>
      </c>
      <c r="AI884" s="37">
        <v>99</v>
      </c>
      <c r="AJ884" s="37">
        <v>3</v>
      </c>
      <c r="AK884" s="37" t="str">
        <f>VLOOKUP(Mecze[[#This Row],[Match ID]],Meczusie[Mecz]:Meczusie[RodzajMeczu],2,FALSE)</f>
        <v>Liga</v>
      </c>
    </row>
    <row r="885" spans="1:37" x14ac:dyDescent="0.25">
      <c r="A885" s="76">
        <v>6</v>
      </c>
      <c r="B885" s="3" t="s">
        <v>263</v>
      </c>
      <c r="C885" s="2" t="s">
        <v>157</v>
      </c>
      <c r="D885" s="1">
        <v>0</v>
      </c>
      <c r="E885" s="1">
        <v>0</v>
      </c>
      <c r="F885" s="1">
        <v>0</v>
      </c>
      <c r="G885" s="1">
        <v>13</v>
      </c>
      <c r="H885" s="4">
        <v>0.85</v>
      </c>
      <c r="I885" s="1">
        <v>3</v>
      </c>
      <c r="J885" s="4">
        <v>0</v>
      </c>
      <c r="K885" s="1">
        <v>0</v>
      </c>
      <c r="L885" s="1">
        <v>14</v>
      </c>
      <c r="M885" s="32">
        <f>IF(Mecze[[#This Row],[PR]]=0,0,Mecze[[#This Row],[PR]]/Mecze[[#This Row],[CZAS]])</f>
        <v>0.14141414141414141</v>
      </c>
      <c r="N885" s="32">
        <f>IF(Mecze[[#This Row],[OU]]=0,0,Mecze[[#This Row],[OU]]/Mecze[[#This Row],[CZAS]])</f>
        <v>0</v>
      </c>
      <c r="O885" s="32">
        <f>IF(Mecze[[#This Row],[PC]]=0,0,Mecze[[#This Row],[PC]]/Mecze[[#This Row],[CZAS]])</f>
        <v>0.1111111111111111</v>
      </c>
      <c r="P885" s="32">
        <f>IF(Mecze[[#This Row],[SC]]=0,0,Mecze[[#This Row],[SC]]/Mecze[[#This Row],[CZAS]])</f>
        <v>0</v>
      </c>
      <c r="Q885" s="32">
        <f>IF(Mecze[[#This Row],[OB]]=0,0,Mecze[[#This Row],[OB]]/Mecze[[#This Row],[CZAS]])</f>
        <v>0</v>
      </c>
      <c r="R885" s="32">
        <f>IF(Mecze[[#This Row],[BR]]=0,0,Mecze[[#This Row],[BR]]/Mecze[[#This Row],[CZAS]])</f>
        <v>0</v>
      </c>
      <c r="S885" s="44">
        <f>IF(Mecze[[#This Row],[Role]]="BR",SUMPRODUCT(Mecze[[#This Row],[/PR:90]:[/BR:90]],Brudnopis!$E$23:$J$23),0)</f>
        <v>0</v>
      </c>
      <c r="T885" s="44">
        <f>IF(Mecze[[#This Row],[Role]]&lt;&gt;"BR",SUMPRODUCT(Mecze[[#This Row],[/PR:90]:[/BR:90]],Brudnopis!$E$24:$J$24),0)</f>
        <v>0.25252525252525249</v>
      </c>
      <c r="U885" s="44">
        <f>IF(Mecze[[#This Row],[Role]]&lt;&gt;"BR",SUMPRODUCT(Mecze[[#This Row],[/PR:90]:[/BR:90]],Brudnopis!$E$25:$J$25),0)</f>
        <v>0.30808080808080807</v>
      </c>
      <c r="V885" s="44">
        <f>IF(Mecze[[#This Row],[Role]]&lt;&gt;"BR",SUMPRODUCT(Mecze[[#This Row],[/PR:90]:[/BR:90]],Brudnopis!$E$26:$J$26),0)</f>
        <v>0.25252525252525249</v>
      </c>
      <c r="W885" s="44">
        <f>IF(Mecze[[#This Row],[Role]]&lt;&gt;"BR",SUMPRODUCT(Mecze[[#This Row],[/PR:90]:[/BR:90]],Brudnopis!$E$27:$J$27),0)</f>
        <v>0.27272727272727271</v>
      </c>
      <c r="X885" s="44">
        <f>IF(Mecze[[#This Row],[Role]]&lt;&gt;"BR",SUMPRODUCT(Mecze[[#This Row],[/PR:90]:[/BR:90]],Brudnopis!$E$28:$J$28),0)</f>
        <v>0.1111111111111111</v>
      </c>
      <c r="Y885" s="35">
        <f>IF(Mecze[[#This Row],[Role]]="BR",Mecze[[#This Row],[/OB:90]]+Mecze[[#This Row],[/PC:90]],SUM(Mecze[[#This Row],[/PR:90]:[/BR:90]]))</f>
        <v>0.25252525252525249</v>
      </c>
      <c r="Z885" s="35">
        <f>IF(Mecze[[#This Row],[KC]]=0,SUM(Mecze[[#This Row],[/BRI]:[/NPI]]),SUM(Mecze[[#This Row],[/BRI]:[/NPI]])*0.6)</f>
        <v>1.1969696969696968</v>
      </c>
      <c r="AA885" s="10">
        <f>IFERROR(Mecze[[#This Row],[BR]]/Mecze[[#This Row],[ST]],0)</f>
        <v>0</v>
      </c>
      <c r="AB885">
        <f>ROUND(Mecze[[#This Row],[PD]]*Mecze[[#This Row],[%PC]],0)</f>
        <v>11</v>
      </c>
      <c r="AC885">
        <f>ROUND(Mecze[[#This Row],[OD]]*Mecze[[#This Row],[%OU]],0)</f>
        <v>0</v>
      </c>
      <c r="AD885" s="36" t="s">
        <v>47</v>
      </c>
      <c r="AE885" s="36">
        <v>50</v>
      </c>
      <c r="AF885" s="71">
        <v>9.98</v>
      </c>
      <c r="AG885" s="37">
        <v>0</v>
      </c>
      <c r="AH885" s="37">
        <v>0</v>
      </c>
      <c r="AI885" s="37">
        <v>99</v>
      </c>
      <c r="AJ885" s="37">
        <v>3</v>
      </c>
      <c r="AK885" s="37" t="str">
        <f>VLOOKUP(Mecze[[#This Row],[Match ID]],Meczusie[Mecz]:Meczusie[RodzajMeczu],2,FALSE)</f>
        <v>Liga</v>
      </c>
    </row>
    <row r="886" spans="1:37" x14ac:dyDescent="0.25">
      <c r="A886" s="76">
        <v>2</v>
      </c>
      <c r="B886" s="3" t="s">
        <v>265</v>
      </c>
      <c r="C886" s="2" t="s">
        <v>157</v>
      </c>
      <c r="D886" s="1">
        <v>0</v>
      </c>
      <c r="E886" s="1">
        <v>0</v>
      </c>
      <c r="F886" s="1">
        <v>0</v>
      </c>
      <c r="G886" s="1">
        <v>6</v>
      </c>
      <c r="H886" s="4">
        <v>0.83</v>
      </c>
      <c r="I886" s="1">
        <v>3</v>
      </c>
      <c r="J886" s="4">
        <v>0.67</v>
      </c>
      <c r="K886" s="1">
        <v>0</v>
      </c>
      <c r="L886" s="1">
        <v>4</v>
      </c>
      <c r="M886" s="32">
        <f>IF(Mecze[[#This Row],[PR]]=0,0,Mecze[[#This Row],[PR]]/Mecze[[#This Row],[CZAS]])</f>
        <v>4.0404040404040407E-2</v>
      </c>
      <c r="N886" s="32">
        <f>IF(Mecze[[#This Row],[OU]]=0,0,Mecze[[#This Row],[OU]]/Mecze[[#This Row],[CZAS]])</f>
        <v>2.0202020202020204E-2</v>
      </c>
      <c r="O886" s="32">
        <f>IF(Mecze[[#This Row],[PC]]=0,0,Mecze[[#This Row],[PC]]/Mecze[[#This Row],[CZAS]])</f>
        <v>5.0505050505050504E-2</v>
      </c>
      <c r="P886" s="32">
        <f>IF(Mecze[[#This Row],[SC]]=0,0,Mecze[[#This Row],[SC]]/Mecze[[#This Row],[CZAS]])</f>
        <v>0</v>
      </c>
      <c r="Q886" s="32">
        <f>IF(Mecze[[#This Row],[OB]]=0,0,Mecze[[#This Row],[OB]]/Mecze[[#This Row],[CZAS]])</f>
        <v>0</v>
      </c>
      <c r="R886" s="32">
        <f>IF(Mecze[[#This Row],[BR]]=0,0,Mecze[[#This Row],[BR]]/Mecze[[#This Row],[CZAS]])</f>
        <v>0</v>
      </c>
      <c r="S886" s="44">
        <f>IF(Mecze[[#This Row],[Role]]="BR",SUMPRODUCT(Mecze[[#This Row],[/PR:90]:[/BR:90]],Brudnopis!$E$23:$J$23),0)</f>
        <v>0</v>
      </c>
      <c r="T886" s="44">
        <f>IF(Mecze[[#This Row],[Role]]&lt;&gt;"BR",SUMPRODUCT(Mecze[[#This Row],[/PR:90]:[/BR:90]],Brudnopis!$E$24:$J$24),0)</f>
        <v>0.12121212121212122</v>
      </c>
      <c r="U886" s="44">
        <f>IF(Mecze[[#This Row],[Role]]&lt;&gt;"BR",SUMPRODUCT(Mecze[[#This Row],[/PR:90]:[/BR:90]],Brudnopis!$E$25:$J$25),0)</f>
        <v>0.13636363636363635</v>
      </c>
      <c r="V886" s="44">
        <f>IF(Mecze[[#This Row],[Role]]&lt;&gt;"BR",SUMPRODUCT(Mecze[[#This Row],[/PR:90]:[/BR:90]],Brudnopis!$E$26:$J$26),0)</f>
        <v>0.1111111111111111</v>
      </c>
      <c r="W886" s="44">
        <f>IF(Mecze[[#This Row],[Role]]&lt;&gt;"BR",SUMPRODUCT(Mecze[[#This Row],[/PR:90]:[/BR:90]],Brudnopis!$E$27:$J$27),0)</f>
        <v>0.12121212121212122</v>
      </c>
      <c r="X886" s="44">
        <f>IF(Mecze[[#This Row],[Role]]&lt;&gt;"BR",SUMPRODUCT(Mecze[[#This Row],[/PR:90]:[/BR:90]],Brudnopis!$E$28:$J$28),0)</f>
        <v>5.0505050505050504E-2</v>
      </c>
      <c r="Y886" s="35">
        <f>IF(Mecze[[#This Row],[Role]]="BR",Mecze[[#This Row],[/OB:90]]+Mecze[[#This Row],[/PC:90]],SUM(Mecze[[#This Row],[/PR:90]:[/BR:90]]))</f>
        <v>0.1111111111111111</v>
      </c>
      <c r="Z886" s="35">
        <f>IF(Mecze[[#This Row],[KC]]=0,SUM(Mecze[[#This Row],[/BRI]:[/NPI]]),SUM(Mecze[[#This Row],[/BRI]:[/NPI]])*0.6)</f>
        <v>0.54040404040404044</v>
      </c>
      <c r="AA886" s="10">
        <f>IFERROR(Mecze[[#This Row],[BR]]/Mecze[[#This Row],[ST]],0)</f>
        <v>0</v>
      </c>
      <c r="AB886">
        <f>ROUND(Mecze[[#This Row],[PD]]*Mecze[[#This Row],[%PC]],0)</f>
        <v>5</v>
      </c>
      <c r="AC886">
        <f>ROUND(Mecze[[#This Row],[OD]]*Mecze[[#This Row],[%OU]],0)</f>
        <v>2</v>
      </c>
      <c r="AD886" s="36" t="s">
        <v>47</v>
      </c>
      <c r="AE886" s="36">
        <v>50</v>
      </c>
      <c r="AF886" s="71">
        <v>9</v>
      </c>
      <c r="AG886" s="37">
        <v>0</v>
      </c>
      <c r="AH886" s="37">
        <v>0</v>
      </c>
      <c r="AI886" s="37">
        <v>99</v>
      </c>
      <c r="AJ886" s="37">
        <v>3</v>
      </c>
      <c r="AK886" s="37" t="str">
        <f>VLOOKUP(Mecze[[#This Row],[Match ID]],Meczusie[Mecz]:Meczusie[RodzajMeczu],2,FALSE)</f>
        <v>Liga</v>
      </c>
    </row>
    <row r="887" spans="1:37" x14ac:dyDescent="0.25">
      <c r="A887" s="76">
        <v>9</v>
      </c>
      <c r="B887" s="3" t="s">
        <v>266</v>
      </c>
      <c r="C887" s="2" t="s">
        <v>160</v>
      </c>
      <c r="D887" s="1">
        <v>0</v>
      </c>
      <c r="E887" s="1">
        <v>0</v>
      </c>
      <c r="F887" s="1">
        <v>0</v>
      </c>
      <c r="G887" s="1">
        <v>12</v>
      </c>
      <c r="H887" s="4">
        <v>1</v>
      </c>
      <c r="I887" s="1">
        <v>4</v>
      </c>
      <c r="J887" s="4">
        <v>1</v>
      </c>
      <c r="K887" s="1">
        <v>0</v>
      </c>
      <c r="L887" s="1">
        <v>2</v>
      </c>
      <c r="M887" s="32">
        <f>IF(Mecze[[#This Row],[PR]]=0,0,Mecze[[#This Row],[PR]]/Mecze[[#This Row],[CZAS]])</f>
        <v>2.0202020202020204E-2</v>
      </c>
      <c r="N887" s="32">
        <f>IF(Mecze[[#This Row],[OU]]=0,0,Mecze[[#This Row],[OU]]/Mecze[[#This Row],[CZAS]])</f>
        <v>4.0404040404040407E-2</v>
      </c>
      <c r="O887" s="32">
        <f>IF(Mecze[[#This Row],[PC]]=0,0,Mecze[[#This Row],[PC]]/Mecze[[#This Row],[CZAS]])</f>
        <v>0.12121212121212122</v>
      </c>
      <c r="P887" s="32">
        <f>IF(Mecze[[#This Row],[SC]]=0,0,Mecze[[#This Row],[SC]]/Mecze[[#This Row],[CZAS]])</f>
        <v>0</v>
      </c>
      <c r="Q887" s="32">
        <f>IF(Mecze[[#This Row],[OB]]=0,0,Mecze[[#This Row],[OB]]/Mecze[[#This Row],[CZAS]])</f>
        <v>0</v>
      </c>
      <c r="R887" s="32">
        <f>IF(Mecze[[#This Row],[BR]]=0,0,Mecze[[#This Row],[BR]]/Mecze[[#This Row],[CZAS]])</f>
        <v>0</v>
      </c>
      <c r="S887" s="44">
        <f>IF(Mecze[[#This Row],[Role]]="BR",SUMPRODUCT(Mecze[[#This Row],[/PR:90]:[/BR:90]],Brudnopis!$E$23:$J$23),0)</f>
        <v>0</v>
      </c>
      <c r="T887" s="44">
        <f>IF(Mecze[[#This Row],[Role]]&lt;&gt;"BR",SUMPRODUCT(Mecze[[#This Row],[/PR:90]:[/BR:90]],Brudnopis!$E$24:$J$24),0)</f>
        <v>0.20202020202020204</v>
      </c>
      <c r="U887" s="44">
        <f>IF(Mecze[[#This Row],[Role]]&lt;&gt;"BR",SUMPRODUCT(Mecze[[#This Row],[/PR:90]:[/BR:90]],Brudnopis!$E$25:$J$25),0)</f>
        <v>0.24242424242424243</v>
      </c>
      <c r="V887" s="44">
        <f>IF(Mecze[[#This Row],[Role]]&lt;&gt;"BR",SUMPRODUCT(Mecze[[#This Row],[/PR:90]:[/BR:90]],Brudnopis!$E$26:$J$26),0)</f>
        <v>0.18181818181818182</v>
      </c>
      <c r="W887" s="44">
        <f>IF(Mecze[[#This Row],[Role]]&lt;&gt;"BR",SUMPRODUCT(Mecze[[#This Row],[/PR:90]:[/BR:90]],Brudnopis!$E$27:$J$27),0)</f>
        <v>0.22727272727272729</v>
      </c>
      <c r="X887" s="44">
        <f>IF(Mecze[[#This Row],[Role]]&lt;&gt;"BR",SUMPRODUCT(Mecze[[#This Row],[/PR:90]:[/BR:90]],Brudnopis!$E$28:$J$28),0)</f>
        <v>0.12121212121212122</v>
      </c>
      <c r="Y887" s="35">
        <f>IF(Mecze[[#This Row],[Role]]="BR",Mecze[[#This Row],[/OB:90]]+Mecze[[#This Row],[/PC:90]],SUM(Mecze[[#This Row],[/PR:90]:[/BR:90]]))</f>
        <v>0.18181818181818182</v>
      </c>
      <c r="Z887" s="35">
        <f>IF(Mecze[[#This Row],[KC]]=0,SUM(Mecze[[#This Row],[/BRI]:[/NPI]]),SUM(Mecze[[#This Row],[/BRI]:[/NPI]])*0.6)</f>
        <v>0.97474747474747481</v>
      </c>
      <c r="AA887" s="10">
        <f>IFERROR(Mecze[[#This Row],[BR]]/Mecze[[#This Row],[ST]],0)</f>
        <v>0</v>
      </c>
      <c r="AB887">
        <f>ROUND(Mecze[[#This Row],[PD]]*Mecze[[#This Row],[%PC]],0)</f>
        <v>12</v>
      </c>
      <c r="AC887">
        <f>ROUND(Mecze[[#This Row],[OD]]*Mecze[[#This Row],[%OU]],0)</f>
        <v>4</v>
      </c>
      <c r="AD887" s="36" t="s">
        <v>67</v>
      </c>
      <c r="AE887" s="36">
        <v>50</v>
      </c>
      <c r="AF887" s="71">
        <v>10.79</v>
      </c>
      <c r="AG887" s="37">
        <v>0</v>
      </c>
      <c r="AH887" s="37">
        <v>0</v>
      </c>
      <c r="AI887" s="37">
        <v>99</v>
      </c>
      <c r="AJ887" s="37">
        <v>3</v>
      </c>
      <c r="AK887" s="37" t="str">
        <f>VLOOKUP(Mecze[[#This Row],[Match ID]],Meczusie[Mecz]:Meczusie[RodzajMeczu],2,FALSE)</f>
        <v>Liga</v>
      </c>
    </row>
    <row r="888" spans="1:37" x14ac:dyDescent="0.25">
      <c r="A888" s="76">
        <v>5</v>
      </c>
      <c r="B888" s="3" t="s">
        <v>267</v>
      </c>
      <c r="C888" s="2" t="s">
        <v>160</v>
      </c>
      <c r="D888" s="1">
        <v>0</v>
      </c>
      <c r="E888" s="1">
        <v>0</v>
      </c>
      <c r="F888" s="1">
        <v>0</v>
      </c>
      <c r="G888" s="1">
        <v>6</v>
      </c>
      <c r="H888" s="4">
        <v>1</v>
      </c>
      <c r="I888" s="1">
        <v>1</v>
      </c>
      <c r="J888" s="4">
        <v>1</v>
      </c>
      <c r="K888" s="1">
        <v>0</v>
      </c>
      <c r="L888" s="1">
        <v>5</v>
      </c>
      <c r="M888" s="32">
        <f>IF(Mecze[[#This Row],[PR]]=0,0,Mecze[[#This Row],[PR]]/Mecze[[#This Row],[CZAS]])</f>
        <v>5.0505050505050504E-2</v>
      </c>
      <c r="N888" s="32">
        <f>IF(Mecze[[#This Row],[OU]]=0,0,Mecze[[#This Row],[OU]]/Mecze[[#This Row],[CZAS]])</f>
        <v>1.0101010101010102E-2</v>
      </c>
      <c r="O888" s="32">
        <f>IF(Mecze[[#This Row],[PC]]=0,0,Mecze[[#This Row],[PC]]/Mecze[[#This Row],[CZAS]])</f>
        <v>6.0606060606060608E-2</v>
      </c>
      <c r="P888" s="32">
        <f>IF(Mecze[[#This Row],[SC]]=0,0,Mecze[[#This Row],[SC]]/Mecze[[#This Row],[CZAS]])</f>
        <v>0</v>
      </c>
      <c r="Q888" s="32">
        <f>IF(Mecze[[#This Row],[OB]]=0,0,Mecze[[#This Row],[OB]]/Mecze[[#This Row],[CZAS]])</f>
        <v>0</v>
      </c>
      <c r="R888" s="32">
        <f>IF(Mecze[[#This Row],[BR]]=0,0,Mecze[[#This Row],[BR]]/Mecze[[#This Row],[CZAS]])</f>
        <v>0</v>
      </c>
      <c r="S888" s="44">
        <f>IF(Mecze[[#This Row],[Role]]="BR",SUMPRODUCT(Mecze[[#This Row],[/PR:90]:[/BR:90]],Brudnopis!$E$23:$J$23),0)</f>
        <v>0</v>
      </c>
      <c r="T888" s="44">
        <f>IF(Mecze[[#This Row],[Role]]&lt;&gt;"BR",SUMPRODUCT(Mecze[[#This Row],[/PR:90]:[/BR:90]],Brudnopis!$E$24:$J$24),0)</f>
        <v>0.12626262626262627</v>
      </c>
      <c r="U888" s="44">
        <f>IF(Mecze[[#This Row],[Role]]&lt;&gt;"BR",SUMPRODUCT(Mecze[[#This Row],[/PR:90]:[/BR:90]],Brudnopis!$E$25:$J$25),0)</f>
        <v>0.15151515151515152</v>
      </c>
      <c r="V888" s="44">
        <f>IF(Mecze[[#This Row],[Role]]&lt;&gt;"BR",SUMPRODUCT(Mecze[[#This Row],[/PR:90]:[/BR:90]],Brudnopis!$E$26:$J$26),0)</f>
        <v>0.12121212121212122</v>
      </c>
      <c r="W888" s="44">
        <f>IF(Mecze[[#This Row],[Role]]&lt;&gt;"BR",SUMPRODUCT(Mecze[[#This Row],[/PR:90]:[/BR:90]],Brudnopis!$E$27:$J$27),0)</f>
        <v>0.13636363636363635</v>
      </c>
      <c r="X888" s="44">
        <f>IF(Mecze[[#This Row],[Role]]&lt;&gt;"BR",SUMPRODUCT(Mecze[[#This Row],[/PR:90]:[/BR:90]],Brudnopis!$E$28:$J$28),0)</f>
        <v>6.0606060606060608E-2</v>
      </c>
      <c r="Y888" s="35">
        <f>IF(Mecze[[#This Row],[Role]]="BR",Mecze[[#This Row],[/OB:90]]+Mecze[[#This Row],[/PC:90]],SUM(Mecze[[#This Row],[/PR:90]:[/BR:90]]))</f>
        <v>0.12121212121212122</v>
      </c>
      <c r="Z888" s="35">
        <f>IF(Mecze[[#This Row],[KC]]=0,SUM(Mecze[[#This Row],[/BRI]:[/NPI]]),SUM(Mecze[[#This Row],[/BRI]:[/NPI]])*0.6)</f>
        <v>0.59595959595959602</v>
      </c>
      <c r="AA888" s="10">
        <f>IFERROR(Mecze[[#This Row],[BR]]/Mecze[[#This Row],[ST]],0)</f>
        <v>0</v>
      </c>
      <c r="AB888">
        <f>ROUND(Mecze[[#This Row],[PD]]*Mecze[[#This Row],[%PC]],0)</f>
        <v>6</v>
      </c>
      <c r="AC888">
        <f>ROUND(Mecze[[#This Row],[OD]]*Mecze[[#This Row],[%OU]],0)</f>
        <v>1</v>
      </c>
      <c r="AD888" s="36" t="s">
        <v>67</v>
      </c>
      <c r="AE888" s="36">
        <v>50</v>
      </c>
      <c r="AF888" s="71">
        <v>11.42</v>
      </c>
      <c r="AG888" s="37">
        <v>0</v>
      </c>
      <c r="AH888" s="37">
        <v>0</v>
      </c>
      <c r="AI888" s="37">
        <v>99</v>
      </c>
      <c r="AJ888" s="37">
        <v>3</v>
      </c>
      <c r="AK888" s="37" t="str">
        <f>VLOOKUP(Mecze[[#This Row],[Match ID]],Meczusie[Mecz]:Meczusie[RodzajMeczu],2,FALSE)</f>
        <v>Liga</v>
      </c>
    </row>
    <row r="889" spans="1:37" x14ac:dyDescent="0.25">
      <c r="A889" s="76">
        <v>3</v>
      </c>
      <c r="B889" s="3" t="s">
        <v>268</v>
      </c>
      <c r="C889" s="2" t="s">
        <v>160</v>
      </c>
      <c r="D889" s="1">
        <v>0</v>
      </c>
      <c r="E889" s="1">
        <v>0</v>
      </c>
      <c r="F889" s="1">
        <v>0</v>
      </c>
      <c r="G889" s="1">
        <v>15</v>
      </c>
      <c r="H889" s="4">
        <v>0.87</v>
      </c>
      <c r="I889" s="1">
        <v>4</v>
      </c>
      <c r="J889" s="4">
        <v>0.75</v>
      </c>
      <c r="K889" s="1">
        <v>0</v>
      </c>
      <c r="L889" s="1">
        <v>6</v>
      </c>
      <c r="M889" s="32">
        <f>IF(Mecze[[#This Row],[PR]]=0,0,Mecze[[#This Row],[PR]]/Mecze[[#This Row],[CZAS]])</f>
        <v>6.0606060606060608E-2</v>
      </c>
      <c r="N889" s="32">
        <f>IF(Mecze[[#This Row],[OU]]=0,0,Mecze[[#This Row],[OU]]/Mecze[[#This Row],[CZAS]])</f>
        <v>3.0303030303030304E-2</v>
      </c>
      <c r="O889" s="32">
        <f>IF(Mecze[[#This Row],[PC]]=0,0,Mecze[[#This Row],[PC]]/Mecze[[#This Row],[CZAS]])</f>
        <v>0.13131313131313133</v>
      </c>
      <c r="P889" s="32">
        <f>IF(Mecze[[#This Row],[SC]]=0,0,Mecze[[#This Row],[SC]]/Mecze[[#This Row],[CZAS]])</f>
        <v>0</v>
      </c>
      <c r="Q889" s="32">
        <f>IF(Mecze[[#This Row],[OB]]=0,0,Mecze[[#This Row],[OB]]/Mecze[[#This Row],[CZAS]])</f>
        <v>0</v>
      </c>
      <c r="R889" s="32">
        <f>IF(Mecze[[#This Row],[BR]]=0,0,Mecze[[#This Row],[BR]]/Mecze[[#This Row],[CZAS]])</f>
        <v>0</v>
      </c>
      <c r="S889" s="44">
        <f>IF(Mecze[[#This Row],[Role]]="BR",SUMPRODUCT(Mecze[[#This Row],[/PR:90]:[/BR:90]],Brudnopis!$E$23:$J$23),0)</f>
        <v>0</v>
      </c>
      <c r="T889" s="44">
        <f>IF(Mecze[[#This Row],[Role]]&lt;&gt;"BR",SUMPRODUCT(Mecze[[#This Row],[/PR:90]:[/BR:90]],Brudnopis!$E$24:$J$24),0)</f>
        <v>0.2373737373737374</v>
      </c>
      <c r="U889" s="44">
        <f>IF(Mecze[[#This Row],[Role]]&lt;&gt;"BR",SUMPRODUCT(Mecze[[#This Row],[/PR:90]:[/BR:90]],Brudnopis!$E$25:$J$25),0)</f>
        <v>0.2878787878787879</v>
      </c>
      <c r="V889" s="44">
        <f>IF(Mecze[[#This Row],[Role]]&lt;&gt;"BR",SUMPRODUCT(Mecze[[#This Row],[/PR:90]:[/BR:90]],Brudnopis!$E$26:$J$26),0)</f>
        <v>0.22222222222222224</v>
      </c>
      <c r="W889" s="44">
        <f>IF(Mecze[[#This Row],[Role]]&lt;&gt;"BR",SUMPRODUCT(Mecze[[#This Row],[/PR:90]:[/BR:90]],Brudnopis!$E$27:$J$27),0)</f>
        <v>0.26515151515151514</v>
      </c>
      <c r="X889" s="44">
        <f>IF(Mecze[[#This Row],[Role]]&lt;&gt;"BR",SUMPRODUCT(Mecze[[#This Row],[/PR:90]:[/BR:90]],Brudnopis!$E$28:$J$28),0)</f>
        <v>0.13131313131313133</v>
      </c>
      <c r="Y889" s="35">
        <f>IF(Mecze[[#This Row],[Role]]="BR",Mecze[[#This Row],[/OB:90]]+Mecze[[#This Row],[/PC:90]],SUM(Mecze[[#This Row],[/PR:90]:[/BR:90]]))</f>
        <v>0.22222222222222224</v>
      </c>
      <c r="Z889" s="35">
        <f>IF(Mecze[[#This Row],[KC]]=0,SUM(Mecze[[#This Row],[/BRI]:[/NPI]]),SUM(Mecze[[#This Row],[/BRI]:[/NPI]])*0.6)</f>
        <v>1.1439393939393938</v>
      </c>
      <c r="AA889" s="10">
        <f>IFERROR(Mecze[[#This Row],[BR]]/Mecze[[#This Row],[ST]],0)</f>
        <v>0</v>
      </c>
      <c r="AB889">
        <f>ROUND(Mecze[[#This Row],[PD]]*Mecze[[#This Row],[%PC]],0)</f>
        <v>13</v>
      </c>
      <c r="AC889">
        <f>ROUND(Mecze[[#This Row],[OD]]*Mecze[[#This Row],[%OU]],0)</f>
        <v>3</v>
      </c>
      <c r="AD889" s="36" t="s">
        <v>44</v>
      </c>
      <c r="AE889" s="36">
        <v>50</v>
      </c>
      <c r="AF889" s="71">
        <v>10.42</v>
      </c>
      <c r="AG889" s="37">
        <v>0</v>
      </c>
      <c r="AH889" s="37">
        <v>0</v>
      </c>
      <c r="AI889" s="37">
        <v>99</v>
      </c>
      <c r="AJ889" s="37">
        <v>3</v>
      </c>
      <c r="AK889" s="37" t="str">
        <f>VLOOKUP(Mecze[[#This Row],[Match ID]],Meczusie[Mecz]:Meczusie[RodzajMeczu],2,FALSE)</f>
        <v>Liga</v>
      </c>
    </row>
    <row r="890" spans="1:37" x14ac:dyDescent="0.25">
      <c r="A890" s="76">
        <v>8</v>
      </c>
      <c r="B890" s="3" t="s">
        <v>269</v>
      </c>
      <c r="C890" s="2" t="s">
        <v>165</v>
      </c>
      <c r="D890" s="1">
        <v>1</v>
      </c>
      <c r="E890" s="1">
        <v>4</v>
      </c>
      <c r="F890" s="1">
        <v>2</v>
      </c>
      <c r="G890" s="1">
        <v>10</v>
      </c>
      <c r="H890" s="4">
        <v>0.8</v>
      </c>
      <c r="I890" s="1">
        <v>1</v>
      </c>
      <c r="J890" s="4">
        <v>0</v>
      </c>
      <c r="K890" s="1">
        <v>0</v>
      </c>
      <c r="L890" s="1">
        <v>4</v>
      </c>
      <c r="M890" s="32">
        <f>IF(Mecze[[#This Row],[PR]]=0,0,Mecze[[#This Row],[PR]]/Mecze[[#This Row],[CZAS]])</f>
        <v>4.0404040404040407E-2</v>
      </c>
      <c r="N890" s="32">
        <f>IF(Mecze[[#This Row],[OU]]=0,0,Mecze[[#This Row],[OU]]/Mecze[[#This Row],[CZAS]])</f>
        <v>0</v>
      </c>
      <c r="O890" s="32">
        <f>IF(Mecze[[#This Row],[PC]]=0,0,Mecze[[#This Row],[PC]]/Mecze[[#This Row],[CZAS]])</f>
        <v>8.0808080808080815E-2</v>
      </c>
      <c r="P890" s="32">
        <f>IF(Mecze[[#This Row],[SC]]=0,0,Mecze[[#This Row],[SC]]/Mecze[[#This Row],[CZAS]])</f>
        <v>2.0202020202020204E-2</v>
      </c>
      <c r="Q890" s="32">
        <f>IF(Mecze[[#This Row],[OB]]=0,0,Mecze[[#This Row],[OB]]/Mecze[[#This Row],[CZAS]])</f>
        <v>0</v>
      </c>
      <c r="R890" s="32">
        <f>IF(Mecze[[#This Row],[BR]]=0,0,Mecze[[#This Row],[BR]]/Mecze[[#This Row],[CZAS]])</f>
        <v>1.0101010101010102E-2</v>
      </c>
      <c r="S890" s="44">
        <f>IF(Mecze[[#This Row],[Role]]="BR",SUMPRODUCT(Mecze[[#This Row],[/PR:90]:[/BR:90]],Brudnopis!$E$23:$J$23),0)</f>
        <v>0</v>
      </c>
      <c r="T890" s="44">
        <f>IF(Mecze[[#This Row],[Role]]&lt;&gt;"BR",SUMPRODUCT(Mecze[[#This Row],[/PR:90]:[/BR:90]],Brudnopis!$E$24:$J$24),0)</f>
        <v>0.15656565656565657</v>
      </c>
      <c r="U890" s="44">
        <f>IF(Mecze[[#This Row],[Role]]&lt;&gt;"BR",SUMPRODUCT(Mecze[[#This Row],[/PR:90]:[/BR:90]],Brudnopis!$E$25:$J$25),0)</f>
        <v>0.19696969696969696</v>
      </c>
      <c r="V890" s="44">
        <f>IF(Mecze[[#This Row],[Role]]&lt;&gt;"BR",SUMPRODUCT(Mecze[[#This Row],[/PR:90]:[/BR:90]],Brudnopis!$E$26:$J$26),0)</f>
        <v>0.1616161616161616</v>
      </c>
      <c r="W890" s="44">
        <f>IF(Mecze[[#This Row],[Role]]&lt;&gt;"BR",SUMPRODUCT(Mecze[[#This Row],[/PR:90]:[/BR:90]],Brudnopis!$E$27:$J$27),0)</f>
        <v>0.19191919191919191</v>
      </c>
      <c r="X890" s="44">
        <f>IF(Mecze[[#This Row],[Role]]&lt;&gt;"BR",SUMPRODUCT(Mecze[[#This Row],[/PR:90]:[/BR:90]],Brudnopis!$E$28:$J$28),0)</f>
        <v>0.15151515151515152</v>
      </c>
      <c r="Y890" s="35">
        <f>IF(Mecze[[#This Row],[Role]]="BR",Mecze[[#This Row],[/OB:90]]+Mecze[[#This Row],[/PC:90]],SUM(Mecze[[#This Row],[/PR:90]:[/BR:90]]))</f>
        <v>0.15151515151515152</v>
      </c>
      <c r="Z890" s="35">
        <f>IF(Mecze[[#This Row],[KC]]=0,SUM(Mecze[[#This Row],[/BRI]:[/NPI]]),SUM(Mecze[[#This Row],[/BRI]:[/NPI]])*0.6)</f>
        <v>0.85858585858585856</v>
      </c>
      <c r="AA890" s="10">
        <f>IFERROR(Mecze[[#This Row],[BR]]/Mecze[[#This Row],[ST]],0)</f>
        <v>0.25</v>
      </c>
      <c r="AB890">
        <f>ROUND(Mecze[[#This Row],[PD]]*Mecze[[#This Row],[%PC]],0)</f>
        <v>8</v>
      </c>
      <c r="AC890">
        <f>ROUND(Mecze[[#This Row],[OD]]*Mecze[[#This Row],[%OU]],0)</f>
        <v>0</v>
      </c>
      <c r="AD890" s="36" t="s">
        <v>272</v>
      </c>
      <c r="AE890" s="36">
        <v>50</v>
      </c>
      <c r="AF890" s="71">
        <v>8.92</v>
      </c>
      <c r="AG890" s="37">
        <v>0</v>
      </c>
      <c r="AH890" s="37">
        <v>0</v>
      </c>
      <c r="AI890" s="37">
        <v>99</v>
      </c>
      <c r="AJ890" s="37">
        <v>3</v>
      </c>
      <c r="AK890" s="37" t="str">
        <f>VLOOKUP(Mecze[[#This Row],[Match ID]],Meczusie[Mecz]:Meczusie[RodzajMeczu],2,FALSE)</f>
        <v>Liga</v>
      </c>
    </row>
    <row r="891" spans="1:37" x14ac:dyDescent="0.25">
      <c r="A891" s="76">
        <v>11</v>
      </c>
      <c r="B891" s="3" t="s">
        <v>270</v>
      </c>
      <c r="C891" s="2" t="s">
        <v>165</v>
      </c>
      <c r="D891" s="1">
        <v>2</v>
      </c>
      <c r="E891" s="1">
        <v>6</v>
      </c>
      <c r="F891" s="1">
        <v>4</v>
      </c>
      <c r="G891" s="1">
        <v>8</v>
      </c>
      <c r="H891" s="4">
        <v>0.63</v>
      </c>
      <c r="I891" s="1">
        <v>1</v>
      </c>
      <c r="J891" s="4">
        <v>0</v>
      </c>
      <c r="K891" s="1">
        <v>0</v>
      </c>
      <c r="L891" s="1">
        <v>2</v>
      </c>
      <c r="M891" s="32">
        <f>IF(Mecze[[#This Row],[PR]]=0,0,Mecze[[#This Row],[PR]]/Mecze[[#This Row],[CZAS]])</f>
        <v>2.0202020202020204E-2</v>
      </c>
      <c r="N891" s="32">
        <f>IF(Mecze[[#This Row],[OU]]=0,0,Mecze[[#This Row],[OU]]/Mecze[[#This Row],[CZAS]])</f>
        <v>0</v>
      </c>
      <c r="O891" s="32">
        <f>IF(Mecze[[#This Row],[PC]]=0,0,Mecze[[#This Row],[PC]]/Mecze[[#This Row],[CZAS]])</f>
        <v>5.0505050505050504E-2</v>
      </c>
      <c r="P891" s="32">
        <f>IF(Mecze[[#This Row],[SC]]=0,0,Mecze[[#This Row],[SC]]/Mecze[[#This Row],[CZAS]])</f>
        <v>4.0404040404040407E-2</v>
      </c>
      <c r="Q891" s="32">
        <f>IF(Mecze[[#This Row],[OB]]=0,0,Mecze[[#This Row],[OB]]/Mecze[[#This Row],[CZAS]])</f>
        <v>0</v>
      </c>
      <c r="R891" s="32">
        <f>IF(Mecze[[#This Row],[BR]]=0,0,Mecze[[#This Row],[BR]]/Mecze[[#This Row],[CZAS]])</f>
        <v>2.0202020202020204E-2</v>
      </c>
      <c r="S891" s="44">
        <f>IF(Mecze[[#This Row],[Role]]="BR",SUMPRODUCT(Mecze[[#This Row],[/PR:90]:[/BR:90]],Brudnopis!$E$23:$J$23),0)</f>
        <v>0</v>
      </c>
      <c r="T891" s="44">
        <f>IF(Mecze[[#This Row],[Role]]&lt;&gt;"BR",SUMPRODUCT(Mecze[[#This Row],[/PR:90]:[/BR:90]],Brudnopis!$E$24:$J$24),0)</f>
        <v>0.14141414141414141</v>
      </c>
      <c r="U891" s="44">
        <f>IF(Mecze[[#This Row],[Role]]&lt;&gt;"BR",SUMPRODUCT(Mecze[[#This Row],[/PR:90]:[/BR:90]],Brudnopis!$E$25:$J$25),0)</f>
        <v>0.16666666666666669</v>
      </c>
      <c r="V891" s="44">
        <f>IF(Mecze[[#This Row],[Role]]&lt;&gt;"BR",SUMPRODUCT(Mecze[[#This Row],[/PR:90]:[/BR:90]],Brudnopis!$E$26:$J$26),0)</f>
        <v>0.15151515151515152</v>
      </c>
      <c r="W891" s="44">
        <f>IF(Mecze[[#This Row],[Role]]&lt;&gt;"BR",SUMPRODUCT(Mecze[[#This Row],[/PR:90]:[/BR:90]],Brudnopis!$E$27:$J$27),0)</f>
        <v>0.17171717171717174</v>
      </c>
      <c r="X891" s="44">
        <f>IF(Mecze[[#This Row],[Role]]&lt;&gt;"BR",SUMPRODUCT(Mecze[[#This Row],[/PR:90]:[/BR:90]],Brudnopis!$E$28:$J$28),0)</f>
        <v>0.19191919191919193</v>
      </c>
      <c r="Y891" s="35">
        <f>IF(Mecze[[#This Row],[Role]]="BR",Mecze[[#This Row],[/OB:90]]+Mecze[[#This Row],[/PC:90]],SUM(Mecze[[#This Row],[/PR:90]:[/BR:90]]))</f>
        <v>0.1313131313131313</v>
      </c>
      <c r="Z891" s="35">
        <f>IF(Mecze[[#This Row],[KC]]=0,SUM(Mecze[[#This Row],[/BRI]:[/NPI]]),SUM(Mecze[[#This Row],[/BRI]:[/NPI]])*0.6)</f>
        <v>0.8232323232323232</v>
      </c>
      <c r="AA891" s="10">
        <f>IFERROR(Mecze[[#This Row],[BR]]/Mecze[[#This Row],[ST]],0)</f>
        <v>0.33333333333333331</v>
      </c>
      <c r="AB891">
        <f>ROUND(Mecze[[#This Row],[PD]]*Mecze[[#This Row],[%PC]],0)</f>
        <v>5</v>
      </c>
      <c r="AC891">
        <f>ROUND(Mecze[[#This Row],[OD]]*Mecze[[#This Row],[%OU]],0)</f>
        <v>0</v>
      </c>
      <c r="AD891" s="36" t="s">
        <v>273</v>
      </c>
      <c r="AE891" s="36">
        <v>50</v>
      </c>
      <c r="AF891" s="71">
        <v>10.74</v>
      </c>
      <c r="AG891" s="37">
        <v>0</v>
      </c>
      <c r="AH891" s="37">
        <v>0</v>
      </c>
      <c r="AI891" s="37">
        <v>99</v>
      </c>
      <c r="AJ891" s="37">
        <v>3</v>
      </c>
      <c r="AK891" s="37" t="str">
        <f>VLOOKUP(Mecze[[#This Row],[Match ID]],Meczusie[Mecz]:Meczusie[RodzajMeczu],2,FALSE)</f>
        <v>Liga</v>
      </c>
    </row>
    <row r="892" spans="1:37" x14ac:dyDescent="0.25">
      <c r="A892" s="76">
        <v>10</v>
      </c>
      <c r="B892" s="3" t="s">
        <v>271</v>
      </c>
      <c r="C892" s="2" t="s">
        <v>165</v>
      </c>
      <c r="D892" s="1">
        <v>7</v>
      </c>
      <c r="E892" s="1">
        <v>25</v>
      </c>
      <c r="F892" s="1">
        <v>23</v>
      </c>
      <c r="G892" s="1">
        <v>10</v>
      </c>
      <c r="H892" s="4">
        <v>0.8</v>
      </c>
      <c r="I892" s="1">
        <v>2</v>
      </c>
      <c r="J892" s="4">
        <v>0</v>
      </c>
      <c r="K892" s="1">
        <v>0</v>
      </c>
      <c r="L892" s="1">
        <v>1</v>
      </c>
      <c r="M892" s="32">
        <f>IF(Mecze[[#This Row],[PR]]=0,0,Mecze[[#This Row],[PR]]/Mecze[[#This Row],[CZAS]])</f>
        <v>1.0101010101010102E-2</v>
      </c>
      <c r="N892" s="32">
        <f>IF(Mecze[[#This Row],[OU]]=0,0,Mecze[[#This Row],[OU]]/Mecze[[#This Row],[CZAS]])</f>
        <v>0</v>
      </c>
      <c r="O892" s="32">
        <f>IF(Mecze[[#This Row],[PC]]=0,0,Mecze[[#This Row],[PC]]/Mecze[[#This Row],[CZAS]])</f>
        <v>8.0808080808080815E-2</v>
      </c>
      <c r="P892" s="32">
        <f>IF(Mecze[[#This Row],[SC]]=0,0,Mecze[[#This Row],[SC]]/Mecze[[#This Row],[CZAS]])</f>
        <v>0.23232323232323232</v>
      </c>
      <c r="Q892" s="32">
        <f>IF(Mecze[[#This Row],[OB]]=0,0,Mecze[[#This Row],[OB]]/Mecze[[#This Row],[CZAS]])</f>
        <v>0</v>
      </c>
      <c r="R892" s="32">
        <f>IF(Mecze[[#This Row],[BR]]=0,0,Mecze[[#This Row],[BR]]/Mecze[[#This Row],[CZAS]])</f>
        <v>7.0707070707070704E-2</v>
      </c>
      <c r="S892" s="44">
        <f>IF(Mecze[[#This Row],[Role]]="BR",SUMPRODUCT(Mecze[[#This Row],[/PR:90]:[/BR:90]],Brudnopis!$E$23:$J$23),0)</f>
        <v>0</v>
      </c>
      <c r="T892" s="44">
        <f>IF(Mecze[[#This Row],[Role]]&lt;&gt;"BR",SUMPRODUCT(Mecze[[#This Row],[/PR:90]:[/BR:90]],Brudnopis!$E$24:$J$24),0)</f>
        <v>0.42929292929292928</v>
      </c>
      <c r="U892" s="44">
        <f>IF(Mecze[[#This Row],[Role]]&lt;&gt;"BR",SUMPRODUCT(Mecze[[#This Row],[/PR:90]:[/BR:90]],Brudnopis!$E$25:$J$25),0)</f>
        <v>0.46969696969696972</v>
      </c>
      <c r="V892" s="44">
        <f>IF(Mecze[[#This Row],[Role]]&lt;&gt;"BR",SUMPRODUCT(Mecze[[#This Row],[/PR:90]:[/BR:90]],Brudnopis!$E$26:$J$26),0)</f>
        <v>0.46464646464646464</v>
      </c>
      <c r="W892" s="44">
        <f>IF(Mecze[[#This Row],[Role]]&lt;&gt;"BR",SUMPRODUCT(Mecze[[#This Row],[/PR:90]:[/BR:90]],Brudnopis!$E$27:$J$27),0)</f>
        <v>0.50252525252525249</v>
      </c>
      <c r="X892" s="44">
        <f>IF(Mecze[[#This Row],[Role]]&lt;&gt;"BR",SUMPRODUCT(Mecze[[#This Row],[/PR:90]:[/BR:90]],Brudnopis!$E$28:$J$28),0)</f>
        <v>0.75757575757575757</v>
      </c>
      <c r="Y892" s="35">
        <f>IF(Mecze[[#This Row],[Role]]="BR",Mecze[[#This Row],[/OB:90]]+Mecze[[#This Row],[/PC:90]],SUM(Mecze[[#This Row],[/PR:90]:[/BR:90]]))</f>
        <v>0.39393939393939392</v>
      </c>
      <c r="Z892" s="35">
        <f>IF(Mecze[[#This Row],[KC]]=0,SUM(Mecze[[#This Row],[/BRI]:[/NPI]]),SUM(Mecze[[#This Row],[/BRI]:[/NPI]])*0.6)</f>
        <v>2.6237373737373737</v>
      </c>
      <c r="AA892" s="10">
        <f>IFERROR(Mecze[[#This Row],[BR]]/Mecze[[#This Row],[ST]],0)</f>
        <v>0.28000000000000003</v>
      </c>
      <c r="AB892">
        <f>ROUND(Mecze[[#This Row],[PD]]*Mecze[[#This Row],[%PC]],0)</f>
        <v>8</v>
      </c>
      <c r="AC892">
        <f>ROUND(Mecze[[#This Row],[OD]]*Mecze[[#This Row],[%OU]],0)</f>
        <v>0</v>
      </c>
      <c r="AD892" s="36" t="s">
        <v>46</v>
      </c>
      <c r="AE892" s="36">
        <v>50</v>
      </c>
      <c r="AF892" s="71">
        <v>27.34</v>
      </c>
      <c r="AG892" s="37">
        <v>0</v>
      </c>
      <c r="AH892" s="37">
        <v>0</v>
      </c>
      <c r="AI892" s="37">
        <v>99</v>
      </c>
      <c r="AJ892" s="37">
        <v>3</v>
      </c>
      <c r="AK892" s="37" t="str">
        <f>VLOOKUP(Mecze[[#This Row],[Match ID]],Meczusie[Mecz]:Meczusie[RodzajMeczu],2,FALSE)</f>
        <v>Liga</v>
      </c>
    </row>
    <row r="893" spans="1:37" x14ac:dyDescent="0.25">
      <c r="A893" s="76">
        <v>1</v>
      </c>
      <c r="B893" s="3" t="s">
        <v>320</v>
      </c>
      <c r="C893" s="2" t="s">
        <v>155</v>
      </c>
      <c r="D893" s="1">
        <v>0</v>
      </c>
      <c r="E893" s="1">
        <v>0</v>
      </c>
      <c r="F893" s="1">
        <v>0</v>
      </c>
      <c r="G893" s="1">
        <v>9</v>
      </c>
      <c r="H893" s="4">
        <v>0.56000000000000005</v>
      </c>
      <c r="I893" s="1">
        <v>0</v>
      </c>
      <c r="J893" s="4"/>
      <c r="K893" s="1">
        <v>10</v>
      </c>
      <c r="L893" s="1">
        <v>0</v>
      </c>
      <c r="M893" s="32">
        <f>IF(Mecze[[#This Row],[PR]]=0,0,Mecze[[#This Row],[PR]]/Mecze[[#This Row],[CZAS]])</f>
        <v>0</v>
      </c>
      <c r="N893" s="32">
        <f>IF(Mecze[[#This Row],[OU]]=0,0,Mecze[[#This Row],[OU]]/Mecze[[#This Row],[CZAS]])</f>
        <v>0</v>
      </c>
      <c r="O893" s="32">
        <f>IF(Mecze[[#This Row],[PC]]=0,0,Mecze[[#This Row],[PC]]/Mecze[[#This Row],[CZAS]])</f>
        <v>5.1546391752577317E-2</v>
      </c>
      <c r="P893" s="32">
        <f>IF(Mecze[[#This Row],[SC]]=0,0,Mecze[[#This Row],[SC]]/Mecze[[#This Row],[CZAS]])</f>
        <v>0</v>
      </c>
      <c r="Q893" s="32">
        <f>IF(Mecze[[#This Row],[OB]]=0,0,Mecze[[#This Row],[OB]]/Mecze[[#This Row],[CZAS]])</f>
        <v>0.10309278350515463</v>
      </c>
      <c r="R893" s="32">
        <f>IF(Mecze[[#This Row],[BR]]=0,0,Mecze[[#This Row],[BR]]/Mecze[[#This Row],[CZAS]])</f>
        <v>0</v>
      </c>
      <c r="S893" s="44">
        <f>IF(Mecze[[#This Row],[Role]]="BR",SUMPRODUCT(Mecze[[#This Row],[/PR:90]:[/BR:90]],Brudnopis!$E$23:$J$23),0)</f>
        <v>0.46391752577319589</v>
      </c>
      <c r="T893" s="44">
        <f>IF(Mecze[[#This Row],[Role]]&lt;&gt;"BR",SUMPRODUCT(Mecze[[#This Row],[/PR:90]:[/BR:90]],Brudnopis!$E$24:$J$24),0)</f>
        <v>0</v>
      </c>
      <c r="U893" s="44">
        <f>IF(Mecze[[#This Row],[Role]]&lt;&gt;"BR",SUMPRODUCT(Mecze[[#This Row],[/PR:90]:[/BR:90]],Brudnopis!$E$25:$J$25),0)</f>
        <v>0</v>
      </c>
      <c r="V893" s="44">
        <f>IF(Mecze[[#This Row],[Role]]&lt;&gt;"BR",SUMPRODUCT(Mecze[[#This Row],[/PR:90]:[/BR:90]],Brudnopis!$E$26:$J$26),0)</f>
        <v>0</v>
      </c>
      <c r="W893" s="44">
        <f>IF(Mecze[[#This Row],[Role]]&lt;&gt;"BR",SUMPRODUCT(Mecze[[#This Row],[/PR:90]:[/BR:90]],Brudnopis!$E$27:$J$27),0)</f>
        <v>0</v>
      </c>
      <c r="X893" s="44">
        <f>IF(Mecze[[#This Row],[Role]]&lt;&gt;"BR",SUMPRODUCT(Mecze[[#This Row],[/PR:90]:[/BR:90]],Brudnopis!$E$28:$J$28),0)</f>
        <v>0</v>
      </c>
      <c r="Y893" s="35">
        <f>IF(Mecze[[#This Row],[Role]]="BR",Mecze[[#This Row],[/OB:90]]+Mecze[[#This Row],[/PC:90]],SUM(Mecze[[#This Row],[/PR:90]:[/BR:90]]))</f>
        <v>0.15463917525773196</v>
      </c>
      <c r="Z893" s="35">
        <f>IF(Mecze[[#This Row],[KC]]=0,SUM(Mecze[[#This Row],[/BRI]:[/NPI]]),SUM(Mecze[[#This Row],[/BRI]:[/NPI]])*0.6)</f>
        <v>0.46391752577319589</v>
      </c>
      <c r="AA893" s="10">
        <f>IFERROR(Mecze[[#This Row],[BR]]/Mecze[[#This Row],[ST]],0)</f>
        <v>0</v>
      </c>
      <c r="AB893">
        <f>ROUND(Mecze[[#This Row],[PD]]*Mecze[[#This Row],[%PC]],0)</f>
        <v>5</v>
      </c>
      <c r="AC893">
        <f>ROUND(Mecze[[#This Row],[OD]]*Mecze[[#This Row],[%OU]],0)</f>
        <v>0</v>
      </c>
      <c r="AD893" s="36" t="s">
        <v>40</v>
      </c>
      <c r="AE893" s="36">
        <v>51</v>
      </c>
      <c r="AF893" s="71">
        <v>8.64</v>
      </c>
      <c r="AG893" s="37">
        <v>0</v>
      </c>
      <c r="AH893" s="37">
        <v>0</v>
      </c>
      <c r="AI893" s="37">
        <v>97</v>
      </c>
      <c r="AJ893" s="37">
        <v>11</v>
      </c>
      <c r="AK893" s="37" t="str">
        <f>VLOOKUP(Mecze[[#This Row],[Match ID]],Meczusie[Mecz]:Meczusie[RodzajMeczu],2,FALSE)</f>
        <v>Liga</v>
      </c>
    </row>
    <row r="894" spans="1:37" x14ac:dyDescent="0.25">
      <c r="A894" s="76">
        <v>15</v>
      </c>
      <c r="B894" s="3" t="s">
        <v>323</v>
      </c>
      <c r="C894" s="2" t="s">
        <v>157</v>
      </c>
      <c r="D894" s="1">
        <v>0</v>
      </c>
      <c r="E894" s="1">
        <v>0</v>
      </c>
      <c r="F894" s="1">
        <v>0</v>
      </c>
      <c r="G894" s="1">
        <v>6</v>
      </c>
      <c r="H894" s="4">
        <v>0.67</v>
      </c>
      <c r="I894" s="1">
        <v>6</v>
      </c>
      <c r="J894" s="4">
        <v>0.5</v>
      </c>
      <c r="K894" s="1">
        <v>0</v>
      </c>
      <c r="L894" s="1">
        <v>4</v>
      </c>
      <c r="M894" s="32">
        <f>IF(Mecze[[#This Row],[PR]]=0,0,Mecze[[#This Row],[PR]]/Mecze[[#This Row],[CZAS]])</f>
        <v>4.1237113402061855E-2</v>
      </c>
      <c r="N894" s="32">
        <f>IF(Mecze[[#This Row],[OU]]=0,0,Mecze[[#This Row],[OU]]/Mecze[[#This Row],[CZAS]])</f>
        <v>3.0927835051546393E-2</v>
      </c>
      <c r="O894" s="32">
        <f>IF(Mecze[[#This Row],[PC]]=0,0,Mecze[[#This Row],[PC]]/Mecze[[#This Row],[CZAS]])</f>
        <v>4.1237113402061855E-2</v>
      </c>
      <c r="P894" s="32">
        <f>IF(Mecze[[#This Row],[SC]]=0,0,Mecze[[#This Row],[SC]]/Mecze[[#This Row],[CZAS]])</f>
        <v>0</v>
      </c>
      <c r="Q894" s="32">
        <f>IF(Mecze[[#This Row],[OB]]=0,0,Mecze[[#This Row],[OB]]/Mecze[[#This Row],[CZAS]])</f>
        <v>0</v>
      </c>
      <c r="R894" s="32">
        <f>IF(Mecze[[#This Row],[BR]]=0,0,Mecze[[#This Row],[BR]]/Mecze[[#This Row],[CZAS]])</f>
        <v>0</v>
      </c>
      <c r="S894" s="44">
        <f>IF(Mecze[[#This Row],[Role]]="BR",SUMPRODUCT(Mecze[[#This Row],[/PR:90]:[/BR:90]],Brudnopis!$E$23:$J$23),0)</f>
        <v>0</v>
      </c>
      <c r="T894" s="44">
        <f>IF(Mecze[[#This Row],[Role]]&lt;&gt;"BR",SUMPRODUCT(Mecze[[#This Row],[/PR:90]:[/BR:90]],Brudnopis!$E$24:$J$24),0)</f>
        <v>0.12886597938144329</v>
      </c>
      <c r="U894" s="44">
        <f>IF(Mecze[[#This Row],[Role]]&lt;&gt;"BR",SUMPRODUCT(Mecze[[#This Row],[/PR:90]:[/BR:90]],Brudnopis!$E$25:$J$25),0)</f>
        <v>0.13402061855670103</v>
      </c>
      <c r="V894" s="44">
        <f>IF(Mecze[[#This Row],[Role]]&lt;&gt;"BR",SUMPRODUCT(Mecze[[#This Row],[/PR:90]:[/BR:90]],Brudnopis!$E$26:$J$26),0)</f>
        <v>0.11340206185567009</v>
      </c>
      <c r="W894" s="44">
        <f>IF(Mecze[[#This Row],[Role]]&lt;&gt;"BR",SUMPRODUCT(Mecze[[#This Row],[/PR:90]:[/BR:90]],Brudnopis!$E$27:$J$27),0)</f>
        <v>0.11597938144329897</v>
      </c>
      <c r="X894" s="44">
        <f>IF(Mecze[[#This Row],[Role]]&lt;&gt;"BR",SUMPRODUCT(Mecze[[#This Row],[/PR:90]:[/BR:90]],Brudnopis!$E$28:$J$28),0)</f>
        <v>4.1237113402061855E-2</v>
      </c>
      <c r="Y894" s="35">
        <f>IF(Mecze[[#This Row],[Role]]="BR",Mecze[[#This Row],[/OB:90]]+Mecze[[#This Row],[/PC:90]],SUM(Mecze[[#This Row],[/PR:90]:[/BR:90]]))</f>
        <v>0.11340206185567009</v>
      </c>
      <c r="Z894" s="35">
        <f>IF(Mecze[[#This Row],[KC]]=0,SUM(Mecze[[#This Row],[/BRI]:[/NPI]]),SUM(Mecze[[#This Row],[/BRI]:[/NPI]])*0.6)</f>
        <v>0.53350515463917514</v>
      </c>
      <c r="AA894" s="10">
        <f>IFERROR(Mecze[[#This Row],[BR]]/Mecze[[#This Row],[ST]],0)</f>
        <v>0</v>
      </c>
      <c r="AB894">
        <f>ROUND(Mecze[[#This Row],[PD]]*Mecze[[#This Row],[%PC]],0)</f>
        <v>4</v>
      </c>
      <c r="AC894">
        <f>ROUND(Mecze[[#This Row],[OD]]*Mecze[[#This Row],[%OU]],0)</f>
        <v>3</v>
      </c>
      <c r="AD894" s="36" t="s">
        <v>47</v>
      </c>
      <c r="AE894" s="36">
        <v>51</v>
      </c>
      <c r="AF894" s="71">
        <v>5.88</v>
      </c>
      <c r="AG894" s="37">
        <v>0</v>
      </c>
      <c r="AH894" s="37">
        <v>0</v>
      </c>
      <c r="AI894" s="37">
        <v>97</v>
      </c>
      <c r="AJ894" s="37">
        <v>11</v>
      </c>
      <c r="AK894" s="37" t="str">
        <f>VLOOKUP(Mecze[[#This Row],[Match ID]],Meczusie[Mecz]:Meczusie[RodzajMeczu],2,FALSE)</f>
        <v>Liga</v>
      </c>
    </row>
    <row r="895" spans="1:37" x14ac:dyDescent="0.25">
      <c r="A895" s="76">
        <v>7</v>
      </c>
      <c r="B895" s="3" t="s">
        <v>322</v>
      </c>
      <c r="C895" s="2" t="s">
        <v>157</v>
      </c>
      <c r="D895" s="1">
        <v>0</v>
      </c>
      <c r="E895" s="1">
        <v>0</v>
      </c>
      <c r="F895" s="1">
        <v>0</v>
      </c>
      <c r="G895" s="1">
        <v>7</v>
      </c>
      <c r="H895" s="4">
        <v>1</v>
      </c>
      <c r="I895" s="1">
        <v>8</v>
      </c>
      <c r="J895" s="4">
        <v>0.75</v>
      </c>
      <c r="K895" s="1">
        <v>0</v>
      </c>
      <c r="L895" s="1">
        <v>3</v>
      </c>
      <c r="M895" s="32">
        <f>IF(Mecze[[#This Row],[PR]]=0,0,Mecze[[#This Row],[PR]]/Mecze[[#This Row],[CZAS]])</f>
        <v>3.0927835051546393E-2</v>
      </c>
      <c r="N895" s="32">
        <f>IF(Mecze[[#This Row],[OU]]=0,0,Mecze[[#This Row],[OU]]/Mecze[[#This Row],[CZAS]])</f>
        <v>6.1855670103092786E-2</v>
      </c>
      <c r="O895" s="32">
        <f>IF(Mecze[[#This Row],[PC]]=0,0,Mecze[[#This Row],[PC]]/Mecze[[#This Row],[CZAS]])</f>
        <v>7.2164948453608241E-2</v>
      </c>
      <c r="P895" s="32">
        <f>IF(Mecze[[#This Row],[SC]]=0,0,Mecze[[#This Row],[SC]]/Mecze[[#This Row],[CZAS]])</f>
        <v>0</v>
      </c>
      <c r="Q895" s="32">
        <f>IF(Mecze[[#This Row],[OB]]=0,0,Mecze[[#This Row],[OB]]/Mecze[[#This Row],[CZAS]])</f>
        <v>0</v>
      </c>
      <c r="R895" s="32">
        <f>IF(Mecze[[#This Row],[BR]]=0,0,Mecze[[#This Row],[BR]]/Mecze[[#This Row],[CZAS]])</f>
        <v>0</v>
      </c>
      <c r="S895" s="44">
        <f>IF(Mecze[[#This Row],[Role]]="BR",SUMPRODUCT(Mecze[[#This Row],[/PR:90]:[/BR:90]],Brudnopis!$E$23:$J$23),0)</f>
        <v>0</v>
      </c>
      <c r="T895" s="44">
        <f>IF(Mecze[[#This Row],[Role]]&lt;&gt;"BR",SUMPRODUCT(Mecze[[#This Row],[/PR:90]:[/BR:90]],Brudnopis!$E$24:$J$24),0)</f>
        <v>0.19587628865979381</v>
      </c>
      <c r="U895" s="44">
        <f>IF(Mecze[[#This Row],[Role]]&lt;&gt;"BR",SUMPRODUCT(Mecze[[#This Row],[/PR:90]:[/BR:90]],Brudnopis!$E$25:$J$25),0)</f>
        <v>0.20103092783505155</v>
      </c>
      <c r="V895" s="44">
        <f>IF(Mecze[[#This Row],[Role]]&lt;&gt;"BR",SUMPRODUCT(Mecze[[#This Row],[/PR:90]:[/BR:90]],Brudnopis!$E$26:$J$26),0)</f>
        <v>0.16494845360824742</v>
      </c>
      <c r="W895" s="44">
        <f>IF(Mecze[[#This Row],[Role]]&lt;&gt;"BR",SUMPRODUCT(Mecze[[#This Row],[/PR:90]:[/BR:90]],Brudnopis!$E$27:$J$27),0)</f>
        <v>0.17783505154639173</v>
      </c>
      <c r="X895" s="44">
        <f>IF(Mecze[[#This Row],[Role]]&lt;&gt;"BR",SUMPRODUCT(Mecze[[#This Row],[/PR:90]:[/BR:90]],Brudnopis!$E$28:$J$28),0)</f>
        <v>7.2164948453608241E-2</v>
      </c>
      <c r="Y895" s="35">
        <f>IF(Mecze[[#This Row],[Role]]="BR",Mecze[[#This Row],[/OB:90]]+Mecze[[#This Row],[/PC:90]],SUM(Mecze[[#This Row],[/PR:90]:[/BR:90]]))</f>
        <v>0.16494845360824742</v>
      </c>
      <c r="Z895" s="35">
        <f>IF(Mecze[[#This Row],[KC]]=0,SUM(Mecze[[#This Row],[/BRI]:[/NPI]]),SUM(Mecze[[#This Row],[/BRI]:[/NPI]])*0.6)</f>
        <v>0.81185567010309279</v>
      </c>
      <c r="AA895" s="10">
        <f>IFERROR(Mecze[[#This Row],[BR]]/Mecze[[#This Row],[ST]],0)</f>
        <v>0</v>
      </c>
      <c r="AB895">
        <f>ROUND(Mecze[[#This Row],[PD]]*Mecze[[#This Row],[%PC]],0)</f>
        <v>7</v>
      </c>
      <c r="AC895">
        <f>ROUND(Mecze[[#This Row],[OD]]*Mecze[[#This Row],[%OU]],0)</f>
        <v>6</v>
      </c>
      <c r="AD895" s="36" t="s">
        <v>47</v>
      </c>
      <c r="AE895" s="36">
        <v>51</v>
      </c>
      <c r="AF895" s="71">
        <v>5.67</v>
      </c>
      <c r="AG895" s="37">
        <v>0</v>
      </c>
      <c r="AH895" s="37">
        <v>0</v>
      </c>
      <c r="AI895" s="37">
        <v>97</v>
      </c>
      <c r="AJ895" s="37">
        <v>11</v>
      </c>
      <c r="AK895" s="37" t="str">
        <f>VLOOKUP(Mecze[[#This Row],[Match ID]],Meczusie[Mecz]:Meczusie[RodzajMeczu],2,FALSE)</f>
        <v>Liga</v>
      </c>
    </row>
    <row r="896" spans="1:37" x14ac:dyDescent="0.25">
      <c r="A896" s="76">
        <v>6</v>
      </c>
      <c r="B896" s="3" t="s">
        <v>324</v>
      </c>
      <c r="C896" s="2" t="s">
        <v>157</v>
      </c>
      <c r="D896" s="1">
        <v>0</v>
      </c>
      <c r="E896" s="1">
        <v>0</v>
      </c>
      <c r="F896" s="1">
        <v>0</v>
      </c>
      <c r="G896" s="1">
        <v>16</v>
      </c>
      <c r="H896" s="4">
        <v>0.56000000000000005</v>
      </c>
      <c r="I896" s="1">
        <v>12</v>
      </c>
      <c r="J896" s="4">
        <v>0.57999999999999996</v>
      </c>
      <c r="K896" s="1">
        <v>0</v>
      </c>
      <c r="L896" s="1">
        <v>11</v>
      </c>
      <c r="M896" s="32">
        <f>IF(Mecze[[#This Row],[PR]]=0,0,Mecze[[#This Row],[PR]]/Mecze[[#This Row],[CZAS]])</f>
        <v>0.1134020618556701</v>
      </c>
      <c r="N896" s="32">
        <f>IF(Mecze[[#This Row],[OU]]=0,0,Mecze[[#This Row],[OU]]/Mecze[[#This Row],[CZAS]])</f>
        <v>7.2164948453608241E-2</v>
      </c>
      <c r="O896" s="32">
        <f>IF(Mecze[[#This Row],[PC]]=0,0,Mecze[[#This Row],[PC]]/Mecze[[#This Row],[CZAS]])</f>
        <v>9.2783505154639179E-2</v>
      </c>
      <c r="P896" s="32">
        <f>IF(Mecze[[#This Row],[SC]]=0,0,Mecze[[#This Row],[SC]]/Mecze[[#This Row],[CZAS]])</f>
        <v>0</v>
      </c>
      <c r="Q896" s="32">
        <f>IF(Mecze[[#This Row],[OB]]=0,0,Mecze[[#This Row],[OB]]/Mecze[[#This Row],[CZAS]])</f>
        <v>0</v>
      </c>
      <c r="R896" s="32">
        <f>IF(Mecze[[#This Row],[BR]]=0,0,Mecze[[#This Row],[BR]]/Mecze[[#This Row],[CZAS]])</f>
        <v>0</v>
      </c>
      <c r="S896" s="44">
        <f>IF(Mecze[[#This Row],[Role]]="BR",SUMPRODUCT(Mecze[[#This Row],[/PR:90]:[/BR:90]],Brudnopis!$E$23:$J$23),0)</f>
        <v>0</v>
      </c>
      <c r="T896" s="44">
        <f>IF(Mecze[[#This Row],[Role]]&lt;&gt;"BR",SUMPRODUCT(Mecze[[#This Row],[/PR:90]:[/BR:90]],Brudnopis!$E$24:$J$24),0)</f>
        <v>0.31443298969072164</v>
      </c>
      <c r="U896" s="44">
        <f>IF(Mecze[[#This Row],[Role]]&lt;&gt;"BR",SUMPRODUCT(Mecze[[#This Row],[/PR:90]:[/BR:90]],Brudnopis!$E$25:$J$25),0)</f>
        <v>0.32474226804123713</v>
      </c>
      <c r="V896" s="44">
        <f>IF(Mecze[[#This Row],[Role]]&lt;&gt;"BR",SUMPRODUCT(Mecze[[#This Row],[/PR:90]:[/BR:90]],Brudnopis!$E$26:$J$26),0)</f>
        <v>0.27835051546391754</v>
      </c>
      <c r="W896" s="44">
        <f>IF(Mecze[[#This Row],[Role]]&lt;&gt;"BR",SUMPRODUCT(Mecze[[#This Row],[/PR:90]:[/BR:90]],Brudnopis!$E$27:$J$27),0)</f>
        <v>0.27835051546391754</v>
      </c>
      <c r="X896" s="44">
        <f>IF(Mecze[[#This Row],[Role]]&lt;&gt;"BR",SUMPRODUCT(Mecze[[#This Row],[/PR:90]:[/BR:90]],Brudnopis!$E$28:$J$28),0)</f>
        <v>9.2783505154639179E-2</v>
      </c>
      <c r="Y896" s="35">
        <f>IF(Mecze[[#This Row],[Role]]="BR",Mecze[[#This Row],[/OB:90]]+Mecze[[#This Row],[/PC:90]],SUM(Mecze[[#This Row],[/PR:90]:[/BR:90]]))</f>
        <v>0.27835051546391754</v>
      </c>
      <c r="Z896" s="35">
        <f>IF(Mecze[[#This Row],[KC]]=0,SUM(Mecze[[#This Row],[/BRI]:[/NPI]]),SUM(Mecze[[#This Row],[/BRI]:[/NPI]])*0.6)</f>
        <v>1.2886597938144329</v>
      </c>
      <c r="AA896" s="10">
        <f>IFERROR(Mecze[[#This Row],[BR]]/Mecze[[#This Row],[ST]],0)</f>
        <v>0</v>
      </c>
      <c r="AB896">
        <f>ROUND(Mecze[[#This Row],[PD]]*Mecze[[#This Row],[%PC]],0)</f>
        <v>9</v>
      </c>
      <c r="AC896">
        <f>ROUND(Mecze[[#This Row],[OD]]*Mecze[[#This Row],[%OU]],0)</f>
        <v>7</v>
      </c>
      <c r="AD896" s="36" t="s">
        <v>174</v>
      </c>
      <c r="AE896" s="36">
        <v>51</v>
      </c>
      <c r="AF896" s="71">
        <v>7.35</v>
      </c>
      <c r="AG896" s="37">
        <v>0</v>
      </c>
      <c r="AH896" s="37">
        <v>0</v>
      </c>
      <c r="AI896" s="37">
        <v>97</v>
      </c>
      <c r="AJ896" s="37">
        <v>11</v>
      </c>
      <c r="AK896" s="37" t="str">
        <f>VLOOKUP(Mecze[[#This Row],[Match ID]],Meczusie[Mecz]:Meczusie[RodzajMeczu],2,FALSE)</f>
        <v>Liga</v>
      </c>
    </row>
    <row r="897" spans="1:37" x14ac:dyDescent="0.25">
      <c r="A897" s="76">
        <v>2</v>
      </c>
      <c r="B897" s="3" t="s">
        <v>392</v>
      </c>
      <c r="C897" s="2" t="s">
        <v>157</v>
      </c>
      <c r="D897" s="1">
        <v>0</v>
      </c>
      <c r="E897" s="1">
        <v>0</v>
      </c>
      <c r="F897" s="1">
        <v>0</v>
      </c>
      <c r="G897" s="1">
        <v>8</v>
      </c>
      <c r="H897" s="4">
        <v>0.75</v>
      </c>
      <c r="I897" s="1">
        <v>4</v>
      </c>
      <c r="J897" s="4">
        <v>0.5</v>
      </c>
      <c r="K897" s="1">
        <v>0</v>
      </c>
      <c r="L897" s="1">
        <v>6</v>
      </c>
      <c r="M897" s="32">
        <f>IF(Mecze[[#This Row],[PR]]=0,0,Mecze[[#This Row],[PR]]/Mecze[[#This Row],[CZAS]])</f>
        <v>6.1855670103092786E-2</v>
      </c>
      <c r="N897" s="32">
        <f>IF(Mecze[[#This Row],[OU]]=0,0,Mecze[[#This Row],[OU]]/Mecze[[#This Row],[CZAS]])</f>
        <v>2.0618556701030927E-2</v>
      </c>
      <c r="O897" s="32">
        <f>IF(Mecze[[#This Row],[PC]]=0,0,Mecze[[#This Row],[PC]]/Mecze[[#This Row],[CZAS]])</f>
        <v>6.1855670103092786E-2</v>
      </c>
      <c r="P897" s="32">
        <f>IF(Mecze[[#This Row],[SC]]=0,0,Mecze[[#This Row],[SC]]/Mecze[[#This Row],[CZAS]])</f>
        <v>0</v>
      </c>
      <c r="Q897" s="32">
        <f>IF(Mecze[[#This Row],[OB]]=0,0,Mecze[[#This Row],[OB]]/Mecze[[#This Row],[CZAS]])</f>
        <v>0</v>
      </c>
      <c r="R897" s="32">
        <f>IF(Mecze[[#This Row],[BR]]=0,0,Mecze[[#This Row],[BR]]/Mecze[[#This Row],[CZAS]])</f>
        <v>0</v>
      </c>
      <c r="S897" s="44">
        <f>IF(Mecze[[#This Row],[Role]]="BR",SUMPRODUCT(Mecze[[#This Row],[/PR:90]:[/BR:90]],Brudnopis!$E$23:$J$23),0)</f>
        <v>0</v>
      </c>
      <c r="T897" s="44">
        <f>IF(Mecze[[#This Row],[Role]]&lt;&gt;"BR",SUMPRODUCT(Mecze[[#This Row],[/PR:90]:[/BR:90]],Brudnopis!$E$24:$J$24),0)</f>
        <v>0.15463917525773196</v>
      </c>
      <c r="U897" s="44">
        <f>IF(Mecze[[#This Row],[Role]]&lt;&gt;"BR",SUMPRODUCT(Mecze[[#This Row],[/PR:90]:[/BR:90]],Brudnopis!$E$25:$J$25),0)</f>
        <v>0.17525773195876287</v>
      </c>
      <c r="V897" s="44">
        <f>IF(Mecze[[#This Row],[Role]]&lt;&gt;"BR",SUMPRODUCT(Mecze[[#This Row],[/PR:90]:[/BR:90]],Brudnopis!$E$26:$J$26),0)</f>
        <v>0.14432989690721648</v>
      </c>
      <c r="W897" s="44">
        <f>IF(Mecze[[#This Row],[Role]]&lt;&gt;"BR",SUMPRODUCT(Mecze[[#This Row],[/PR:90]:[/BR:90]],Brudnopis!$E$27:$J$27),0)</f>
        <v>0.15463917525773196</v>
      </c>
      <c r="X897" s="44">
        <f>IF(Mecze[[#This Row],[Role]]&lt;&gt;"BR",SUMPRODUCT(Mecze[[#This Row],[/PR:90]:[/BR:90]],Brudnopis!$E$28:$J$28),0)</f>
        <v>6.1855670103092786E-2</v>
      </c>
      <c r="Y897" s="35">
        <f>IF(Mecze[[#This Row],[Role]]="BR",Mecze[[#This Row],[/OB:90]]+Mecze[[#This Row],[/PC:90]],SUM(Mecze[[#This Row],[/PR:90]:[/BR:90]]))</f>
        <v>0.14432989690721648</v>
      </c>
      <c r="Z897" s="35">
        <f>IF(Mecze[[#This Row],[KC]]=0,SUM(Mecze[[#This Row],[/BRI]:[/NPI]]),SUM(Mecze[[#This Row],[/BRI]:[/NPI]])*0.6)</f>
        <v>0.69072164948453607</v>
      </c>
      <c r="AA897" s="10">
        <f>IFERROR(Mecze[[#This Row],[BR]]/Mecze[[#This Row],[ST]],0)</f>
        <v>0</v>
      </c>
      <c r="AB897">
        <f>ROUND(Mecze[[#This Row],[PD]]*Mecze[[#This Row],[%PC]],0)</f>
        <v>6</v>
      </c>
      <c r="AC897">
        <f>ROUND(Mecze[[#This Row],[OD]]*Mecze[[#This Row],[%OU]],0)</f>
        <v>2</v>
      </c>
      <c r="AD897" s="36" t="s">
        <v>175</v>
      </c>
      <c r="AE897" s="36">
        <v>51</v>
      </c>
      <c r="AF897" s="71">
        <v>6.3</v>
      </c>
      <c r="AG897" s="37">
        <v>0</v>
      </c>
      <c r="AH897" s="37">
        <v>0</v>
      </c>
      <c r="AI897" s="37">
        <v>97</v>
      </c>
      <c r="AJ897" s="37">
        <v>11</v>
      </c>
      <c r="AK897" s="37" t="str">
        <f>VLOOKUP(Mecze[[#This Row],[Match ID]],Meczusie[Mecz]:Meczusie[RodzajMeczu],2,FALSE)</f>
        <v>Liga</v>
      </c>
    </row>
    <row r="898" spans="1:37" x14ac:dyDescent="0.25">
      <c r="A898" s="76">
        <v>5</v>
      </c>
      <c r="B898" s="3" t="s">
        <v>325</v>
      </c>
      <c r="C898" s="2" t="s">
        <v>160</v>
      </c>
      <c r="D898" s="1">
        <v>0</v>
      </c>
      <c r="E898" s="1">
        <v>0</v>
      </c>
      <c r="F898" s="1">
        <v>0</v>
      </c>
      <c r="G898" s="1">
        <v>14</v>
      </c>
      <c r="H898" s="4">
        <v>0.79</v>
      </c>
      <c r="I898" s="1">
        <v>6</v>
      </c>
      <c r="J898" s="4">
        <v>0.5</v>
      </c>
      <c r="K898" s="1">
        <v>0</v>
      </c>
      <c r="L898" s="1">
        <v>2</v>
      </c>
      <c r="M898" s="32">
        <f>IF(Mecze[[#This Row],[PR]]=0,0,Mecze[[#This Row],[PR]]/Mecze[[#This Row],[CZAS]])</f>
        <v>2.0618556701030927E-2</v>
      </c>
      <c r="N898" s="32">
        <f>IF(Mecze[[#This Row],[OU]]=0,0,Mecze[[#This Row],[OU]]/Mecze[[#This Row],[CZAS]])</f>
        <v>3.0927835051546393E-2</v>
      </c>
      <c r="O898" s="32">
        <f>IF(Mecze[[#This Row],[PC]]=0,0,Mecze[[#This Row],[PC]]/Mecze[[#This Row],[CZAS]])</f>
        <v>0.1134020618556701</v>
      </c>
      <c r="P898" s="32">
        <f>IF(Mecze[[#This Row],[SC]]=0,0,Mecze[[#This Row],[SC]]/Mecze[[#This Row],[CZAS]])</f>
        <v>0</v>
      </c>
      <c r="Q898" s="32">
        <f>IF(Mecze[[#This Row],[OB]]=0,0,Mecze[[#This Row],[OB]]/Mecze[[#This Row],[CZAS]])</f>
        <v>0</v>
      </c>
      <c r="R898" s="32">
        <f>IF(Mecze[[#This Row],[BR]]=0,0,Mecze[[#This Row],[BR]]/Mecze[[#This Row],[CZAS]])</f>
        <v>0</v>
      </c>
      <c r="S898" s="44">
        <f>IF(Mecze[[#This Row],[Role]]="BR",SUMPRODUCT(Mecze[[#This Row],[/PR:90]:[/BR:90]],Brudnopis!$E$23:$J$23),0)</f>
        <v>0</v>
      </c>
      <c r="T898" s="44">
        <f>IF(Mecze[[#This Row],[Role]]&lt;&gt;"BR",SUMPRODUCT(Mecze[[#This Row],[/PR:90]:[/BR:90]],Brudnopis!$E$24:$J$24),0)</f>
        <v>0.18041237113402062</v>
      </c>
      <c r="U898" s="44">
        <f>IF(Mecze[[#This Row],[Role]]&lt;&gt;"BR",SUMPRODUCT(Mecze[[#This Row],[/PR:90]:[/BR:90]],Brudnopis!$E$25:$J$25),0)</f>
        <v>0.22164948453608246</v>
      </c>
      <c r="V898" s="44">
        <f>IF(Mecze[[#This Row],[Role]]&lt;&gt;"BR",SUMPRODUCT(Mecze[[#This Row],[/PR:90]:[/BR:90]],Brudnopis!$E$26:$J$26),0)</f>
        <v>0.16494845360824742</v>
      </c>
      <c r="W898" s="44">
        <f>IF(Mecze[[#This Row],[Role]]&lt;&gt;"BR",SUMPRODUCT(Mecze[[#This Row],[/PR:90]:[/BR:90]],Brudnopis!$E$27:$J$27),0)</f>
        <v>0.20876288659793815</v>
      </c>
      <c r="X898" s="44">
        <f>IF(Mecze[[#This Row],[Role]]&lt;&gt;"BR",SUMPRODUCT(Mecze[[#This Row],[/PR:90]:[/BR:90]],Brudnopis!$E$28:$J$28),0)</f>
        <v>0.1134020618556701</v>
      </c>
      <c r="Y898" s="35">
        <f>IF(Mecze[[#This Row],[Role]]="BR",Mecze[[#This Row],[/OB:90]]+Mecze[[#This Row],[/PC:90]],SUM(Mecze[[#This Row],[/PR:90]:[/BR:90]]))</f>
        <v>0.16494845360824742</v>
      </c>
      <c r="Z898" s="35">
        <f>IF(Mecze[[#This Row],[KC]]=0,SUM(Mecze[[#This Row],[/BRI]:[/NPI]]),SUM(Mecze[[#This Row],[/BRI]:[/NPI]])*0.6)</f>
        <v>0.88917525773195882</v>
      </c>
      <c r="AA898" s="10">
        <f>IFERROR(Mecze[[#This Row],[BR]]/Mecze[[#This Row],[ST]],0)</f>
        <v>0</v>
      </c>
      <c r="AB898">
        <f>ROUND(Mecze[[#This Row],[PD]]*Mecze[[#This Row],[%PC]],0)</f>
        <v>11</v>
      </c>
      <c r="AC898">
        <f>ROUND(Mecze[[#This Row],[OD]]*Mecze[[#This Row],[%OU]],0)</f>
        <v>3</v>
      </c>
      <c r="AD898" s="36" t="s">
        <v>41</v>
      </c>
      <c r="AE898" s="36">
        <v>51</v>
      </c>
      <c r="AF898" s="71">
        <v>5.55</v>
      </c>
      <c r="AG898" s="37">
        <v>0</v>
      </c>
      <c r="AH898" s="37">
        <v>0</v>
      </c>
      <c r="AI898" s="37">
        <v>97</v>
      </c>
      <c r="AJ898" s="37">
        <v>11</v>
      </c>
      <c r="AK898" s="37" t="str">
        <f>VLOOKUP(Mecze[[#This Row],[Match ID]],Meczusie[Mecz]:Meczusie[RodzajMeczu],2,FALSE)</f>
        <v>Liga</v>
      </c>
    </row>
    <row r="899" spans="1:37" x14ac:dyDescent="0.25">
      <c r="A899" s="76">
        <v>8</v>
      </c>
      <c r="B899" s="3" t="s">
        <v>326</v>
      </c>
      <c r="C899" s="2" t="s">
        <v>160</v>
      </c>
      <c r="D899" s="1">
        <v>0</v>
      </c>
      <c r="E899" s="1">
        <v>3</v>
      </c>
      <c r="F899" s="1">
        <v>3</v>
      </c>
      <c r="G899" s="1">
        <v>7</v>
      </c>
      <c r="H899" s="4">
        <v>0.56999999999999995</v>
      </c>
      <c r="I899" s="1">
        <v>3</v>
      </c>
      <c r="J899" s="4">
        <v>0.33</v>
      </c>
      <c r="K899" s="1">
        <v>0</v>
      </c>
      <c r="L899" s="1">
        <v>3</v>
      </c>
      <c r="M899" s="32">
        <f>IF(Mecze[[#This Row],[PR]]=0,0,Mecze[[#This Row],[PR]]/Mecze[[#This Row],[CZAS]])</f>
        <v>3.0927835051546393E-2</v>
      </c>
      <c r="N899" s="32">
        <f>IF(Mecze[[#This Row],[OU]]=0,0,Mecze[[#This Row],[OU]]/Mecze[[#This Row],[CZAS]])</f>
        <v>1.0309278350515464E-2</v>
      </c>
      <c r="O899" s="32">
        <f>IF(Mecze[[#This Row],[PC]]=0,0,Mecze[[#This Row],[PC]]/Mecze[[#This Row],[CZAS]])</f>
        <v>4.1237113402061855E-2</v>
      </c>
      <c r="P899" s="32">
        <f>IF(Mecze[[#This Row],[SC]]=0,0,Mecze[[#This Row],[SC]]/Mecze[[#This Row],[CZAS]])</f>
        <v>3.0927835051546393E-2</v>
      </c>
      <c r="Q899" s="32">
        <f>IF(Mecze[[#This Row],[OB]]=0,0,Mecze[[#This Row],[OB]]/Mecze[[#This Row],[CZAS]])</f>
        <v>0</v>
      </c>
      <c r="R899" s="32">
        <f>IF(Mecze[[#This Row],[BR]]=0,0,Mecze[[#This Row],[BR]]/Mecze[[#This Row],[CZAS]])</f>
        <v>0</v>
      </c>
      <c r="S899" s="44">
        <f>IF(Mecze[[#This Row],[Role]]="BR",SUMPRODUCT(Mecze[[#This Row],[/PR:90]:[/BR:90]],Brudnopis!$E$23:$J$23),0)</f>
        <v>0</v>
      </c>
      <c r="T899" s="44">
        <f>IF(Mecze[[#This Row],[Role]]&lt;&gt;"BR",SUMPRODUCT(Mecze[[#This Row],[/PR:90]:[/BR:90]],Brudnopis!$E$24:$J$24),0)</f>
        <v>0.11855670103092783</v>
      </c>
      <c r="U899" s="44">
        <f>IF(Mecze[[#This Row],[Role]]&lt;&gt;"BR",SUMPRODUCT(Mecze[[#This Row],[/PR:90]:[/BR:90]],Brudnopis!$E$25:$J$25),0)</f>
        <v>0.13402061855670103</v>
      </c>
      <c r="V899" s="44">
        <f>IF(Mecze[[#This Row],[Role]]&lt;&gt;"BR",SUMPRODUCT(Mecze[[#This Row],[/PR:90]:[/BR:90]],Brudnopis!$E$26:$J$26),0)</f>
        <v>0.1134020618556701</v>
      </c>
      <c r="W899" s="44">
        <f>IF(Mecze[[#This Row],[Role]]&lt;&gt;"BR",SUMPRODUCT(Mecze[[#This Row],[/PR:90]:[/BR:90]],Brudnopis!$E$27:$J$27),0)</f>
        <v>0.12371134020618557</v>
      </c>
      <c r="X899" s="44">
        <f>IF(Mecze[[#This Row],[Role]]&lt;&gt;"BR",SUMPRODUCT(Mecze[[#This Row],[/PR:90]:[/BR:90]],Brudnopis!$E$28:$J$28),0)</f>
        <v>0.10309278350515463</v>
      </c>
      <c r="Y899" s="35">
        <f>IF(Mecze[[#This Row],[Role]]="BR",Mecze[[#This Row],[/OB:90]]+Mecze[[#This Row],[/PC:90]],SUM(Mecze[[#This Row],[/PR:90]:[/BR:90]]))</f>
        <v>0.1134020618556701</v>
      </c>
      <c r="Z899" s="35">
        <f>IF(Mecze[[#This Row],[KC]]=0,SUM(Mecze[[#This Row],[/BRI]:[/NPI]]),SUM(Mecze[[#This Row],[/BRI]:[/NPI]])*0.6)</f>
        <v>0.59278350515463918</v>
      </c>
      <c r="AA899" s="10">
        <f>IFERROR(Mecze[[#This Row],[BR]]/Mecze[[#This Row],[ST]],0)</f>
        <v>0</v>
      </c>
      <c r="AB899">
        <f>ROUND(Mecze[[#This Row],[PD]]*Mecze[[#This Row],[%PC]],0)</f>
        <v>4</v>
      </c>
      <c r="AC899">
        <f>ROUND(Mecze[[#This Row],[OD]]*Mecze[[#This Row],[%OU]],0)</f>
        <v>1</v>
      </c>
      <c r="AD899" s="36" t="s">
        <v>318</v>
      </c>
      <c r="AE899" s="36">
        <v>51</v>
      </c>
      <c r="AF899" s="71">
        <v>6.45</v>
      </c>
      <c r="AG899" s="37">
        <v>0</v>
      </c>
      <c r="AH899" s="37">
        <v>0</v>
      </c>
      <c r="AI899" s="37">
        <v>97</v>
      </c>
      <c r="AJ899" s="37">
        <v>11</v>
      </c>
      <c r="AK899" s="37" t="str">
        <f>VLOOKUP(Mecze[[#This Row],[Match ID]],Meczusie[Mecz]:Meczusie[RodzajMeczu],2,FALSE)</f>
        <v>Liga</v>
      </c>
    </row>
    <row r="900" spans="1:37" x14ac:dyDescent="0.25">
      <c r="A900" s="76">
        <v>9</v>
      </c>
      <c r="B900" s="3" t="s">
        <v>327</v>
      </c>
      <c r="C900" s="2" t="s">
        <v>160</v>
      </c>
      <c r="D900" s="1">
        <v>0</v>
      </c>
      <c r="E900" s="1">
        <v>3</v>
      </c>
      <c r="F900" s="1">
        <v>3</v>
      </c>
      <c r="G900" s="1">
        <v>14</v>
      </c>
      <c r="H900" s="4">
        <v>0.64</v>
      </c>
      <c r="I900" s="1">
        <v>2</v>
      </c>
      <c r="J900" s="4">
        <v>0.5</v>
      </c>
      <c r="K900" s="1">
        <v>0</v>
      </c>
      <c r="L900" s="1">
        <v>1</v>
      </c>
      <c r="M900" s="32">
        <f>IF(Mecze[[#This Row],[PR]]=0,0,Mecze[[#This Row],[PR]]/Mecze[[#This Row],[CZAS]])</f>
        <v>1.0309278350515464E-2</v>
      </c>
      <c r="N900" s="32">
        <f>IF(Mecze[[#This Row],[OU]]=0,0,Mecze[[#This Row],[OU]]/Mecze[[#This Row],[CZAS]])</f>
        <v>1.0309278350515464E-2</v>
      </c>
      <c r="O900" s="32">
        <f>IF(Mecze[[#This Row],[PC]]=0,0,Mecze[[#This Row],[PC]]/Mecze[[#This Row],[CZAS]])</f>
        <v>9.2783505154639179E-2</v>
      </c>
      <c r="P900" s="32">
        <f>IF(Mecze[[#This Row],[SC]]=0,0,Mecze[[#This Row],[SC]]/Mecze[[#This Row],[CZAS]])</f>
        <v>3.0927835051546393E-2</v>
      </c>
      <c r="Q900" s="32">
        <f>IF(Mecze[[#This Row],[OB]]=0,0,Mecze[[#This Row],[OB]]/Mecze[[#This Row],[CZAS]])</f>
        <v>0</v>
      </c>
      <c r="R900" s="32">
        <f>IF(Mecze[[#This Row],[BR]]=0,0,Mecze[[#This Row],[BR]]/Mecze[[#This Row],[CZAS]])</f>
        <v>0</v>
      </c>
      <c r="S900" s="44">
        <f>IF(Mecze[[#This Row],[Role]]="BR",SUMPRODUCT(Mecze[[#This Row],[/PR:90]:[/BR:90]],Brudnopis!$E$23:$J$23),0)</f>
        <v>0</v>
      </c>
      <c r="T900" s="44">
        <f>IF(Mecze[[#This Row],[Role]]&lt;&gt;"BR",SUMPRODUCT(Mecze[[#This Row],[/PR:90]:[/BR:90]],Brudnopis!$E$24:$J$24),0)</f>
        <v>0.14948453608247422</v>
      </c>
      <c r="U900" s="44">
        <f>IF(Mecze[[#This Row],[Role]]&lt;&gt;"BR",SUMPRODUCT(Mecze[[#This Row],[/PR:90]:[/BR:90]],Brudnopis!$E$25:$J$25),0)</f>
        <v>0.1907216494845361</v>
      </c>
      <c r="V900" s="44">
        <f>IF(Mecze[[#This Row],[Role]]&lt;&gt;"BR",SUMPRODUCT(Mecze[[#This Row],[/PR:90]:[/BR:90]],Brudnopis!$E$26:$J$26),0)</f>
        <v>0.14432989690721648</v>
      </c>
      <c r="W900" s="44">
        <f>IF(Mecze[[#This Row],[Role]]&lt;&gt;"BR",SUMPRODUCT(Mecze[[#This Row],[/PR:90]:[/BR:90]],Brudnopis!$E$27:$J$27),0)</f>
        <v>0.18556701030927836</v>
      </c>
      <c r="X900" s="44">
        <f>IF(Mecze[[#This Row],[Role]]&lt;&gt;"BR",SUMPRODUCT(Mecze[[#This Row],[/PR:90]:[/BR:90]],Brudnopis!$E$28:$J$28),0)</f>
        <v>0.15463917525773196</v>
      </c>
      <c r="Y900" s="35">
        <f>IF(Mecze[[#This Row],[Role]]="BR",Mecze[[#This Row],[/OB:90]]+Mecze[[#This Row],[/PC:90]],SUM(Mecze[[#This Row],[/PR:90]:[/BR:90]]))</f>
        <v>0.14432989690721648</v>
      </c>
      <c r="Z900" s="35">
        <f>IF(Mecze[[#This Row],[KC]]=0,SUM(Mecze[[#This Row],[/BRI]:[/NPI]]),SUM(Mecze[[#This Row],[/BRI]:[/NPI]])*0.6)</f>
        <v>0.82474226804123718</v>
      </c>
      <c r="AA900" s="10">
        <f>IFERROR(Mecze[[#This Row],[BR]]/Mecze[[#This Row],[ST]],0)</f>
        <v>0</v>
      </c>
      <c r="AB900">
        <f>ROUND(Mecze[[#This Row],[PD]]*Mecze[[#This Row],[%PC]],0)</f>
        <v>9</v>
      </c>
      <c r="AC900">
        <f>ROUND(Mecze[[#This Row],[OD]]*Mecze[[#This Row],[%OU]],0)</f>
        <v>1</v>
      </c>
      <c r="AD900" s="36" t="s">
        <v>44</v>
      </c>
      <c r="AE900" s="36">
        <v>51</v>
      </c>
      <c r="AF900" s="71">
        <v>6.03</v>
      </c>
      <c r="AG900" s="37">
        <v>0</v>
      </c>
      <c r="AH900" s="37">
        <v>0</v>
      </c>
      <c r="AI900" s="37">
        <v>97</v>
      </c>
      <c r="AJ900" s="37">
        <v>11</v>
      </c>
      <c r="AK900" s="37" t="str">
        <f>VLOOKUP(Mecze[[#This Row],[Match ID]],Meczusie[Mecz]:Meczusie[RodzajMeczu],2,FALSE)</f>
        <v>Liga</v>
      </c>
    </row>
    <row r="901" spans="1:37" x14ac:dyDescent="0.25">
      <c r="A901" s="76">
        <v>10</v>
      </c>
      <c r="B901" s="3" t="s">
        <v>328</v>
      </c>
      <c r="C901" s="2" t="s">
        <v>165</v>
      </c>
      <c r="D901" s="1">
        <v>0</v>
      </c>
      <c r="E901" s="1">
        <v>3</v>
      </c>
      <c r="F901" s="1">
        <v>3</v>
      </c>
      <c r="G901" s="1">
        <v>4</v>
      </c>
      <c r="H901" s="4">
        <v>1</v>
      </c>
      <c r="I901" s="1">
        <v>3</v>
      </c>
      <c r="J901" s="4">
        <v>0.33</v>
      </c>
      <c r="K901" s="1">
        <v>0</v>
      </c>
      <c r="L901" s="1">
        <v>0</v>
      </c>
      <c r="M901" s="32">
        <f>IF(Mecze[[#This Row],[PR]]=0,0,Mecze[[#This Row],[PR]]/Mecze[[#This Row],[CZAS]])</f>
        <v>0</v>
      </c>
      <c r="N901" s="32">
        <f>IF(Mecze[[#This Row],[OU]]=0,0,Mecze[[#This Row],[OU]]/Mecze[[#This Row],[CZAS]])</f>
        <v>1.0309278350515464E-2</v>
      </c>
      <c r="O901" s="32">
        <f>IF(Mecze[[#This Row],[PC]]=0,0,Mecze[[#This Row],[PC]]/Mecze[[#This Row],[CZAS]])</f>
        <v>4.1237113402061855E-2</v>
      </c>
      <c r="P901" s="32">
        <f>IF(Mecze[[#This Row],[SC]]=0,0,Mecze[[#This Row],[SC]]/Mecze[[#This Row],[CZAS]])</f>
        <v>3.0927835051546393E-2</v>
      </c>
      <c r="Q901" s="32">
        <f>IF(Mecze[[#This Row],[OB]]=0,0,Mecze[[#This Row],[OB]]/Mecze[[#This Row],[CZAS]])</f>
        <v>0</v>
      </c>
      <c r="R901" s="32">
        <f>IF(Mecze[[#This Row],[BR]]=0,0,Mecze[[#This Row],[BR]]/Mecze[[#This Row],[CZAS]])</f>
        <v>0</v>
      </c>
      <c r="S901" s="44">
        <f>IF(Mecze[[#This Row],[Role]]="BR",SUMPRODUCT(Mecze[[#This Row],[/PR:90]:[/BR:90]],Brudnopis!$E$23:$J$23),0)</f>
        <v>0</v>
      </c>
      <c r="T901" s="44">
        <f>IF(Mecze[[#This Row],[Role]]&lt;&gt;"BR",SUMPRODUCT(Mecze[[#This Row],[/PR:90]:[/BR:90]],Brudnopis!$E$24:$J$24),0)</f>
        <v>8.7628865979381437E-2</v>
      </c>
      <c r="U901" s="44">
        <f>IF(Mecze[[#This Row],[Role]]&lt;&gt;"BR",SUMPRODUCT(Mecze[[#This Row],[/PR:90]:[/BR:90]],Brudnopis!$E$25:$J$25),0)</f>
        <v>0.10309278350515465</v>
      </c>
      <c r="V901" s="44">
        <f>IF(Mecze[[#This Row],[Role]]&lt;&gt;"BR",SUMPRODUCT(Mecze[[#This Row],[/PR:90]:[/BR:90]],Brudnopis!$E$26:$J$26),0)</f>
        <v>8.247422680412371E-2</v>
      </c>
      <c r="W901" s="44">
        <f>IF(Mecze[[#This Row],[Role]]&lt;&gt;"BR",SUMPRODUCT(Mecze[[#This Row],[/PR:90]:[/BR:90]],Brudnopis!$E$27:$J$27),0)</f>
        <v>0.10051546391752578</v>
      </c>
      <c r="X901" s="44">
        <f>IF(Mecze[[#This Row],[Role]]&lt;&gt;"BR",SUMPRODUCT(Mecze[[#This Row],[/PR:90]:[/BR:90]],Brudnopis!$E$28:$J$28),0)</f>
        <v>0.10309278350515463</v>
      </c>
      <c r="Y901" s="35">
        <f>IF(Mecze[[#This Row],[Role]]="BR",Mecze[[#This Row],[/OB:90]]+Mecze[[#This Row],[/PC:90]],SUM(Mecze[[#This Row],[/PR:90]:[/BR:90]]))</f>
        <v>8.247422680412371E-2</v>
      </c>
      <c r="Z901" s="35">
        <f>IF(Mecze[[#This Row],[KC]]=0,SUM(Mecze[[#This Row],[/BRI]:[/NPI]]),SUM(Mecze[[#This Row],[/BRI]:[/NPI]])*0.6)</f>
        <v>0.47680412371134018</v>
      </c>
      <c r="AA901" s="10">
        <f>IFERROR(Mecze[[#This Row],[BR]]/Mecze[[#This Row],[ST]],0)</f>
        <v>0</v>
      </c>
      <c r="AB901">
        <f>ROUND(Mecze[[#This Row],[PD]]*Mecze[[#This Row],[%PC]],0)</f>
        <v>4</v>
      </c>
      <c r="AC901">
        <f>ROUND(Mecze[[#This Row],[OD]]*Mecze[[#This Row],[%OU]],0)</f>
        <v>1</v>
      </c>
      <c r="AD901" s="36" t="s">
        <v>46</v>
      </c>
      <c r="AE901" s="36">
        <v>51</v>
      </c>
      <c r="AF901" s="71">
        <v>4.59</v>
      </c>
      <c r="AG901" s="37">
        <v>0</v>
      </c>
      <c r="AH901" s="37">
        <v>0</v>
      </c>
      <c r="AI901" s="37">
        <v>97</v>
      </c>
      <c r="AJ901" s="37">
        <v>11</v>
      </c>
      <c r="AK901" s="37" t="str">
        <f>VLOOKUP(Mecze[[#This Row],[Match ID]],Meczusie[Mecz]:Meczusie[RodzajMeczu],2,FALSE)</f>
        <v>Liga</v>
      </c>
    </row>
    <row r="902" spans="1:37" x14ac:dyDescent="0.25">
      <c r="A902" s="76">
        <v>11</v>
      </c>
      <c r="B902" s="3" t="s">
        <v>329</v>
      </c>
      <c r="C902" s="2" t="s">
        <v>165</v>
      </c>
      <c r="D902" s="1">
        <v>1</v>
      </c>
      <c r="E902" s="1">
        <v>2</v>
      </c>
      <c r="F902" s="1">
        <v>2</v>
      </c>
      <c r="G902" s="1">
        <v>4</v>
      </c>
      <c r="H902" s="4">
        <v>1</v>
      </c>
      <c r="I902" s="1">
        <v>2</v>
      </c>
      <c r="J902" s="4">
        <v>0.5</v>
      </c>
      <c r="K902" s="1">
        <v>0</v>
      </c>
      <c r="L902" s="1">
        <v>0</v>
      </c>
      <c r="M902" s="32">
        <f>IF(Mecze[[#This Row],[PR]]=0,0,Mecze[[#This Row],[PR]]/Mecze[[#This Row],[CZAS]])</f>
        <v>0</v>
      </c>
      <c r="N902" s="32">
        <f>IF(Mecze[[#This Row],[OU]]=0,0,Mecze[[#This Row],[OU]]/Mecze[[#This Row],[CZAS]])</f>
        <v>1.0309278350515464E-2</v>
      </c>
      <c r="O902" s="32">
        <f>IF(Mecze[[#This Row],[PC]]=0,0,Mecze[[#This Row],[PC]]/Mecze[[#This Row],[CZAS]])</f>
        <v>4.1237113402061855E-2</v>
      </c>
      <c r="P902" s="32">
        <f>IF(Mecze[[#This Row],[SC]]=0,0,Mecze[[#This Row],[SC]]/Mecze[[#This Row],[CZAS]])</f>
        <v>2.0618556701030927E-2</v>
      </c>
      <c r="Q902" s="32">
        <f>IF(Mecze[[#This Row],[OB]]=0,0,Mecze[[#This Row],[OB]]/Mecze[[#This Row],[CZAS]])</f>
        <v>0</v>
      </c>
      <c r="R902" s="32">
        <f>IF(Mecze[[#This Row],[BR]]=0,0,Mecze[[#This Row],[BR]]/Mecze[[#This Row],[CZAS]])</f>
        <v>1.0309278350515464E-2</v>
      </c>
      <c r="S902" s="44">
        <f>IF(Mecze[[#This Row],[Role]]="BR",SUMPRODUCT(Mecze[[#This Row],[/PR:90]:[/BR:90]],Brudnopis!$E$23:$J$23),0)</f>
        <v>0</v>
      </c>
      <c r="T902" s="44">
        <f>IF(Mecze[[#This Row],[Role]]&lt;&gt;"BR",SUMPRODUCT(Mecze[[#This Row],[/PR:90]:[/BR:90]],Brudnopis!$E$24:$J$24),0)</f>
        <v>9.2783505154639179E-2</v>
      </c>
      <c r="U902" s="44">
        <f>IF(Mecze[[#This Row],[Role]]&lt;&gt;"BR",SUMPRODUCT(Mecze[[#This Row],[/PR:90]:[/BR:90]],Brudnopis!$E$25:$J$25),0)</f>
        <v>0.10824742268041238</v>
      </c>
      <c r="V902" s="44">
        <f>IF(Mecze[[#This Row],[Role]]&lt;&gt;"BR",SUMPRODUCT(Mecze[[#This Row],[/PR:90]:[/BR:90]],Brudnopis!$E$26:$J$26),0)</f>
        <v>9.2783505154639165E-2</v>
      </c>
      <c r="W902" s="44">
        <f>IF(Mecze[[#This Row],[Role]]&lt;&gt;"BR",SUMPRODUCT(Mecze[[#This Row],[/PR:90]:[/BR:90]],Brudnopis!$E$27:$J$27),0)</f>
        <v>0.11082474226804123</v>
      </c>
      <c r="X902" s="44">
        <f>IF(Mecze[[#This Row],[Role]]&lt;&gt;"BR",SUMPRODUCT(Mecze[[#This Row],[/PR:90]:[/BR:90]],Brudnopis!$E$28:$J$28),0)</f>
        <v>0.1134020618556701</v>
      </c>
      <c r="Y902" s="35">
        <f>IF(Mecze[[#This Row],[Role]]="BR",Mecze[[#This Row],[/OB:90]]+Mecze[[#This Row],[/PC:90]],SUM(Mecze[[#This Row],[/PR:90]:[/BR:90]]))</f>
        <v>8.247422680412371E-2</v>
      </c>
      <c r="Z902" s="35">
        <f>IF(Mecze[[#This Row],[KC]]=0,SUM(Mecze[[#This Row],[/BRI]:[/NPI]]),SUM(Mecze[[#This Row],[/BRI]:[/NPI]])*0.6)</f>
        <v>0.51804123711340211</v>
      </c>
      <c r="AA902" s="10">
        <f>IFERROR(Mecze[[#This Row],[BR]]/Mecze[[#This Row],[ST]],0)</f>
        <v>0.5</v>
      </c>
      <c r="AB902">
        <f>ROUND(Mecze[[#This Row],[PD]]*Mecze[[#This Row],[%PC]],0)</f>
        <v>4</v>
      </c>
      <c r="AC902">
        <f>ROUND(Mecze[[#This Row],[OD]]*Mecze[[#This Row],[%OU]],0)</f>
        <v>1</v>
      </c>
      <c r="AD902" s="36" t="s">
        <v>273</v>
      </c>
      <c r="AE902" s="36">
        <v>51</v>
      </c>
      <c r="AF902" s="71">
        <v>6.67</v>
      </c>
      <c r="AG902" s="37">
        <v>0</v>
      </c>
      <c r="AH902" s="37">
        <v>0</v>
      </c>
      <c r="AI902" s="37">
        <v>97</v>
      </c>
      <c r="AJ902" s="37">
        <v>11</v>
      </c>
      <c r="AK902" s="37" t="str">
        <f>VLOOKUP(Mecze[[#This Row],[Match ID]],Meczusie[Mecz]:Meczusie[RodzajMeczu],2,FALSE)</f>
        <v>Liga</v>
      </c>
    </row>
    <row r="903" spans="1:37" x14ac:dyDescent="0.25">
      <c r="A903" s="76">
        <v>14</v>
      </c>
      <c r="B903" s="3" t="s">
        <v>330</v>
      </c>
      <c r="C903" s="2" t="s">
        <v>165</v>
      </c>
      <c r="D903" s="1">
        <v>1</v>
      </c>
      <c r="E903" s="1">
        <v>3</v>
      </c>
      <c r="F903" s="1">
        <v>3</v>
      </c>
      <c r="G903" s="1">
        <v>3</v>
      </c>
      <c r="H903" s="4">
        <v>0.67</v>
      </c>
      <c r="I903" s="1">
        <v>1</v>
      </c>
      <c r="J903" s="4">
        <v>1</v>
      </c>
      <c r="K903" s="1">
        <v>0</v>
      </c>
      <c r="L903" s="1">
        <v>0</v>
      </c>
      <c r="M903" s="32">
        <f>IF(Mecze[[#This Row],[PR]]=0,0,Mecze[[#This Row],[PR]]/Mecze[[#This Row],[CZAS]])</f>
        <v>0</v>
      </c>
      <c r="N903" s="32">
        <f>IF(Mecze[[#This Row],[OU]]=0,0,Mecze[[#This Row],[OU]]/Mecze[[#This Row],[CZAS]])</f>
        <v>1.0309278350515464E-2</v>
      </c>
      <c r="O903" s="32">
        <f>IF(Mecze[[#This Row],[PC]]=0,0,Mecze[[#This Row],[PC]]/Mecze[[#This Row],[CZAS]])</f>
        <v>2.0618556701030927E-2</v>
      </c>
      <c r="P903" s="32">
        <f>IF(Mecze[[#This Row],[SC]]=0,0,Mecze[[#This Row],[SC]]/Mecze[[#This Row],[CZAS]])</f>
        <v>3.0927835051546393E-2</v>
      </c>
      <c r="Q903" s="32">
        <f>IF(Mecze[[#This Row],[OB]]=0,0,Mecze[[#This Row],[OB]]/Mecze[[#This Row],[CZAS]])</f>
        <v>0</v>
      </c>
      <c r="R903" s="32">
        <f>IF(Mecze[[#This Row],[BR]]=0,0,Mecze[[#This Row],[BR]]/Mecze[[#This Row],[CZAS]])</f>
        <v>1.0309278350515464E-2</v>
      </c>
      <c r="S903" s="44">
        <f>IF(Mecze[[#This Row],[Role]]="BR",SUMPRODUCT(Mecze[[#This Row],[/PR:90]:[/BR:90]],Brudnopis!$E$23:$J$23),0)</f>
        <v>0</v>
      </c>
      <c r="T903" s="44">
        <f>IF(Mecze[[#This Row],[Role]]&lt;&gt;"BR",SUMPRODUCT(Mecze[[#This Row],[/PR:90]:[/BR:90]],Brudnopis!$E$24:$J$24),0)</f>
        <v>8.247422680412371E-2</v>
      </c>
      <c r="U903" s="44">
        <f>IF(Mecze[[#This Row],[Role]]&lt;&gt;"BR",SUMPRODUCT(Mecze[[#This Row],[/PR:90]:[/BR:90]],Brudnopis!$E$25:$J$25),0)</f>
        <v>8.7628865979381437E-2</v>
      </c>
      <c r="V903" s="44">
        <f>IF(Mecze[[#This Row],[Role]]&lt;&gt;"BR",SUMPRODUCT(Mecze[[#This Row],[/PR:90]:[/BR:90]],Brudnopis!$E$26:$J$26),0)</f>
        <v>8.247422680412371E-2</v>
      </c>
      <c r="W903" s="44">
        <f>IF(Mecze[[#This Row],[Role]]&lt;&gt;"BR",SUMPRODUCT(Mecze[[#This Row],[/PR:90]:[/BR:90]],Brudnopis!$E$27:$J$27),0)</f>
        <v>9.0206185567010308E-2</v>
      </c>
      <c r="X903" s="44">
        <f>IF(Mecze[[#This Row],[Role]]&lt;&gt;"BR",SUMPRODUCT(Mecze[[#This Row],[/PR:90]:[/BR:90]],Brudnopis!$E$28:$J$28),0)</f>
        <v>0.1134020618556701</v>
      </c>
      <c r="Y903" s="35">
        <f>IF(Mecze[[#This Row],[Role]]="BR",Mecze[[#This Row],[/OB:90]]+Mecze[[#This Row],[/PC:90]],SUM(Mecze[[#This Row],[/PR:90]:[/BR:90]]))</f>
        <v>7.2164948453608255E-2</v>
      </c>
      <c r="Z903" s="35">
        <f>IF(Mecze[[#This Row],[KC]]=0,SUM(Mecze[[#This Row],[/BRI]:[/NPI]]),SUM(Mecze[[#This Row],[/BRI]:[/NPI]])*0.6)</f>
        <v>0.45618556701030927</v>
      </c>
      <c r="AA903" s="10">
        <f>IFERROR(Mecze[[#This Row],[BR]]/Mecze[[#This Row],[ST]],0)</f>
        <v>0.33333333333333331</v>
      </c>
      <c r="AB903">
        <f>ROUND(Mecze[[#This Row],[PD]]*Mecze[[#This Row],[%PC]],0)</f>
        <v>2</v>
      </c>
      <c r="AC903">
        <f>ROUND(Mecze[[#This Row],[OD]]*Mecze[[#This Row],[%OU]],0)</f>
        <v>1</v>
      </c>
      <c r="AD903" s="36" t="s">
        <v>272</v>
      </c>
      <c r="AE903" s="36">
        <v>51</v>
      </c>
      <c r="AF903" s="71">
        <v>6.89</v>
      </c>
      <c r="AG903" s="37">
        <v>0</v>
      </c>
      <c r="AH903" s="37">
        <v>0</v>
      </c>
      <c r="AI903" s="37">
        <v>97</v>
      </c>
      <c r="AJ903" s="37">
        <v>11</v>
      </c>
      <c r="AK903" s="37" t="str">
        <f>VLOOKUP(Mecze[[#This Row],[Match ID]],Meczusie[Mecz]:Meczusie[RodzajMeczu],2,FALSE)</f>
        <v>Liga</v>
      </c>
    </row>
    <row r="904" spans="1:37" x14ac:dyDescent="0.25">
      <c r="A904" s="76">
        <v>1</v>
      </c>
      <c r="B904" s="3" t="s">
        <v>288</v>
      </c>
      <c r="C904" s="2" t="s">
        <v>155</v>
      </c>
      <c r="D904" s="1">
        <v>0</v>
      </c>
      <c r="E904" s="1">
        <v>0</v>
      </c>
      <c r="F904" s="1">
        <v>0</v>
      </c>
      <c r="G904" s="1">
        <v>9</v>
      </c>
      <c r="H904" s="4">
        <v>0.56000000000000005</v>
      </c>
      <c r="I904" s="1">
        <v>0</v>
      </c>
      <c r="J904" s="4"/>
      <c r="K904" s="1">
        <v>11</v>
      </c>
      <c r="L904" s="1">
        <v>0</v>
      </c>
      <c r="M904" s="32">
        <f>IF(Mecze[[#This Row],[PR]]=0,0,Mecze[[#This Row],[PR]]/Mecze[[#This Row],[CZAS]])</f>
        <v>0</v>
      </c>
      <c r="N904" s="32">
        <f>IF(Mecze[[#This Row],[OU]]=0,0,Mecze[[#This Row],[OU]]/Mecze[[#This Row],[CZAS]])</f>
        <v>0</v>
      </c>
      <c r="O904" s="32">
        <f>IF(Mecze[[#This Row],[PC]]=0,0,Mecze[[#This Row],[PC]]/Mecze[[#This Row],[CZAS]])</f>
        <v>5.1546391752577317E-2</v>
      </c>
      <c r="P904" s="32">
        <f>IF(Mecze[[#This Row],[SC]]=0,0,Mecze[[#This Row],[SC]]/Mecze[[#This Row],[CZAS]])</f>
        <v>0</v>
      </c>
      <c r="Q904" s="32">
        <f>IF(Mecze[[#This Row],[OB]]=0,0,Mecze[[#This Row],[OB]]/Mecze[[#This Row],[CZAS]])</f>
        <v>0.1134020618556701</v>
      </c>
      <c r="R904" s="32">
        <f>IF(Mecze[[#This Row],[BR]]=0,0,Mecze[[#This Row],[BR]]/Mecze[[#This Row],[CZAS]])</f>
        <v>0</v>
      </c>
      <c r="S904" s="44">
        <f>IF(Mecze[[#This Row],[Role]]="BR",SUMPRODUCT(Mecze[[#This Row],[/PR:90]:[/BR:90]],Brudnopis!$E$23:$J$23),0)</f>
        <v>0.49484536082474229</v>
      </c>
      <c r="T904" s="44">
        <f>IF(Mecze[[#This Row],[Role]]&lt;&gt;"BR",SUMPRODUCT(Mecze[[#This Row],[/PR:90]:[/BR:90]],Brudnopis!$E$24:$J$24),0)</f>
        <v>0</v>
      </c>
      <c r="U904" s="44">
        <f>IF(Mecze[[#This Row],[Role]]&lt;&gt;"BR",SUMPRODUCT(Mecze[[#This Row],[/PR:90]:[/BR:90]],Brudnopis!$E$25:$J$25),0)</f>
        <v>0</v>
      </c>
      <c r="V904" s="44">
        <f>IF(Mecze[[#This Row],[Role]]&lt;&gt;"BR",SUMPRODUCT(Mecze[[#This Row],[/PR:90]:[/BR:90]],Brudnopis!$E$26:$J$26),0)</f>
        <v>0</v>
      </c>
      <c r="W904" s="44">
        <f>IF(Mecze[[#This Row],[Role]]&lt;&gt;"BR",SUMPRODUCT(Mecze[[#This Row],[/PR:90]:[/BR:90]],Brudnopis!$E$27:$J$27),0)</f>
        <v>0</v>
      </c>
      <c r="X904" s="44">
        <f>IF(Mecze[[#This Row],[Role]]&lt;&gt;"BR",SUMPRODUCT(Mecze[[#This Row],[/PR:90]:[/BR:90]],Brudnopis!$E$28:$J$28),0)</f>
        <v>0</v>
      </c>
      <c r="Y904" s="35">
        <f>IF(Mecze[[#This Row],[Role]]="BR",Mecze[[#This Row],[/OB:90]]+Mecze[[#This Row],[/PC:90]],SUM(Mecze[[#This Row],[/PR:90]:[/BR:90]]))</f>
        <v>0.16494845360824742</v>
      </c>
      <c r="Z904" s="35">
        <f>IF(Mecze[[#This Row],[KC]]=0,SUM(Mecze[[#This Row],[/BRI]:[/NPI]]),SUM(Mecze[[#This Row],[/BRI]:[/NPI]])*0.6)</f>
        <v>0.49484536082474229</v>
      </c>
      <c r="AA904" s="10">
        <f>IFERROR(Mecze[[#This Row],[BR]]/Mecze[[#This Row],[ST]],0)</f>
        <v>0</v>
      </c>
      <c r="AB904">
        <f>ROUND(Mecze[[#This Row],[PD]]*Mecze[[#This Row],[%PC]],0)</f>
        <v>5</v>
      </c>
      <c r="AC904">
        <f>ROUND(Mecze[[#This Row],[OD]]*Mecze[[#This Row],[%OU]],0)</f>
        <v>0</v>
      </c>
      <c r="AD904" s="36" t="s">
        <v>40</v>
      </c>
      <c r="AE904" s="36">
        <v>51</v>
      </c>
      <c r="AF904" s="71">
        <v>6.66</v>
      </c>
      <c r="AG904" s="37">
        <v>0</v>
      </c>
      <c r="AH904" s="37">
        <v>0</v>
      </c>
      <c r="AI904" s="37">
        <v>97</v>
      </c>
      <c r="AJ904" s="37">
        <v>9</v>
      </c>
      <c r="AK904" s="37" t="str">
        <f>VLOOKUP(Mecze[[#This Row],[Match ID]],Meczusie[Mecz]:Meczusie[RodzajMeczu],2,FALSE)</f>
        <v>Liga</v>
      </c>
    </row>
    <row r="905" spans="1:37" x14ac:dyDescent="0.25">
      <c r="A905" s="76">
        <v>4</v>
      </c>
      <c r="B905" s="3" t="s">
        <v>289</v>
      </c>
      <c r="C905" s="2" t="s">
        <v>157</v>
      </c>
      <c r="D905" s="1">
        <v>0</v>
      </c>
      <c r="E905" s="1">
        <v>0</v>
      </c>
      <c r="F905" s="1">
        <v>0</v>
      </c>
      <c r="G905" s="1">
        <v>9</v>
      </c>
      <c r="H905" s="4">
        <v>0.78</v>
      </c>
      <c r="I905" s="1">
        <v>7</v>
      </c>
      <c r="J905" s="4">
        <v>0.56999999999999995</v>
      </c>
      <c r="K905" s="1">
        <v>0</v>
      </c>
      <c r="L905" s="1">
        <v>5</v>
      </c>
      <c r="M905" s="32">
        <f>IF(Mecze[[#This Row],[PR]]=0,0,Mecze[[#This Row],[PR]]/Mecze[[#This Row],[CZAS]])</f>
        <v>5.1546391752577317E-2</v>
      </c>
      <c r="N905" s="32">
        <f>IF(Mecze[[#This Row],[OU]]=0,0,Mecze[[#This Row],[OU]]/Mecze[[#This Row],[CZAS]])</f>
        <v>4.1237113402061855E-2</v>
      </c>
      <c r="O905" s="32">
        <f>IF(Mecze[[#This Row],[PC]]=0,0,Mecze[[#This Row],[PC]]/Mecze[[#This Row],[CZAS]])</f>
        <v>7.2164948453608241E-2</v>
      </c>
      <c r="P905" s="32">
        <f>IF(Mecze[[#This Row],[SC]]=0,0,Mecze[[#This Row],[SC]]/Mecze[[#This Row],[CZAS]])</f>
        <v>0</v>
      </c>
      <c r="Q905" s="32">
        <f>IF(Mecze[[#This Row],[OB]]=0,0,Mecze[[#This Row],[OB]]/Mecze[[#This Row],[CZAS]])</f>
        <v>0</v>
      </c>
      <c r="R905" s="32">
        <f>IF(Mecze[[#This Row],[BR]]=0,0,Mecze[[#This Row],[BR]]/Mecze[[#This Row],[CZAS]])</f>
        <v>0</v>
      </c>
      <c r="S905" s="44">
        <f>IF(Mecze[[#This Row],[Role]]="BR",SUMPRODUCT(Mecze[[#This Row],[/PR:90]:[/BR:90]],Brudnopis!$E$23:$J$23),0)</f>
        <v>0</v>
      </c>
      <c r="T905" s="44">
        <f>IF(Mecze[[#This Row],[Role]]&lt;&gt;"BR",SUMPRODUCT(Mecze[[#This Row],[/PR:90]:[/BR:90]],Brudnopis!$E$24:$J$24),0)</f>
        <v>0.18556701030927836</v>
      </c>
      <c r="U905" s="44">
        <f>IF(Mecze[[#This Row],[Role]]&lt;&gt;"BR",SUMPRODUCT(Mecze[[#This Row],[/PR:90]:[/BR:90]],Brudnopis!$E$25:$J$25),0)</f>
        <v>0.20103092783505155</v>
      </c>
      <c r="V905" s="44">
        <f>IF(Mecze[[#This Row],[Role]]&lt;&gt;"BR",SUMPRODUCT(Mecze[[#This Row],[/PR:90]:[/BR:90]],Brudnopis!$E$26:$J$26),0)</f>
        <v>0.16494845360824742</v>
      </c>
      <c r="W905" s="44">
        <f>IF(Mecze[[#This Row],[Role]]&lt;&gt;"BR",SUMPRODUCT(Mecze[[#This Row],[/PR:90]:[/BR:90]],Brudnopis!$E$27:$J$27),0)</f>
        <v>0.17783505154639173</v>
      </c>
      <c r="X905" s="44">
        <f>IF(Mecze[[#This Row],[Role]]&lt;&gt;"BR",SUMPRODUCT(Mecze[[#This Row],[/PR:90]:[/BR:90]],Brudnopis!$E$28:$J$28),0)</f>
        <v>7.2164948453608241E-2</v>
      </c>
      <c r="Y905" s="35">
        <f>IF(Mecze[[#This Row],[Role]]="BR",Mecze[[#This Row],[/OB:90]]+Mecze[[#This Row],[/PC:90]],SUM(Mecze[[#This Row],[/PR:90]:[/BR:90]]))</f>
        <v>0.16494845360824742</v>
      </c>
      <c r="Z905" s="35">
        <f>IF(Mecze[[#This Row],[KC]]=0,SUM(Mecze[[#This Row],[/BRI]:[/NPI]]),SUM(Mecze[[#This Row],[/BRI]:[/NPI]])*0.6)</f>
        <v>0.80154639175257736</v>
      </c>
      <c r="AA905" s="10">
        <f>IFERROR(Mecze[[#This Row],[BR]]/Mecze[[#This Row],[ST]],0)</f>
        <v>0</v>
      </c>
      <c r="AB905">
        <f>ROUND(Mecze[[#This Row],[PD]]*Mecze[[#This Row],[%PC]],0)</f>
        <v>7</v>
      </c>
      <c r="AC905">
        <f>ROUND(Mecze[[#This Row],[OD]]*Mecze[[#This Row],[%OU]],0)</f>
        <v>4</v>
      </c>
      <c r="AD905" s="36" t="s">
        <v>168</v>
      </c>
      <c r="AE905" s="36">
        <v>51</v>
      </c>
      <c r="AF905" s="71">
        <v>3.76</v>
      </c>
      <c r="AG905" s="37">
        <v>0</v>
      </c>
      <c r="AH905" s="37">
        <v>0</v>
      </c>
      <c r="AI905" s="37">
        <v>97</v>
      </c>
      <c r="AJ905" s="37">
        <v>9</v>
      </c>
      <c r="AK905" s="37" t="str">
        <f>VLOOKUP(Mecze[[#This Row],[Match ID]],Meczusie[Mecz]:Meczusie[RodzajMeczu],2,FALSE)</f>
        <v>Liga</v>
      </c>
    </row>
    <row r="906" spans="1:37" x14ac:dyDescent="0.25">
      <c r="A906" s="76">
        <v>2</v>
      </c>
      <c r="B906" s="3" t="s">
        <v>290</v>
      </c>
      <c r="C906" s="2" t="s">
        <v>157</v>
      </c>
      <c r="D906" s="1">
        <v>0</v>
      </c>
      <c r="E906" s="1">
        <v>1</v>
      </c>
      <c r="F906" s="1">
        <v>1</v>
      </c>
      <c r="G906" s="1">
        <v>6</v>
      </c>
      <c r="H906" s="4">
        <v>0.33</v>
      </c>
      <c r="I906" s="1">
        <v>3</v>
      </c>
      <c r="J906" s="4">
        <v>0.67</v>
      </c>
      <c r="K906" s="1">
        <v>0</v>
      </c>
      <c r="L906" s="1">
        <v>2</v>
      </c>
      <c r="M906" s="32">
        <f>IF(Mecze[[#This Row],[PR]]=0,0,Mecze[[#This Row],[PR]]/Mecze[[#This Row],[CZAS]])</f>
        <v>3.125E-2</v>
      </c>
      <c r="N906" s="32">
        <f>IF(Mecze[[#This Row],[OU]]=0,0,Mecze[[#This Row],[OU]]/Mecze[[#This Row],[CZAS]])</f>
        <v>3.125E-2</v>
      </c>
      <c r="O906" s="32">
        <f>IF(Mecze[[#This Row],[PC]]=0,0,Mecze[[#This Row],[PC]]/Mecze[[#This Row],[CZAS]])</f>
        <v>3.125E-2</v>
      </c>
      <c r="P906" s="32">
        <f>IF(Mecze[[#This Row],[SC]]=0,0,Mecze[[#This Row],[SC]]/Mecze[[#This Row],[CZAS]])</f>
        <v>1.5625E-2</v>
      </c>
      <c r="Q906" s="32">
        <f>IF(Mecze[[#This Row],[OB]]=0,0,Mecze[[#This Row],[OB]]/Mecze[[#This Row],[CZAS]])</f>
        <v>0</v>
      </c>
      <c r="R906" s="32">
        <f>IF(Mecze[[#This Row],[BR]]=0,0,Mecze[[#This Row],[BR]]/Mecze[[#This Row],[CZAS]])</f>
        <v>0</v>
      </c>
      <c r="S906" s="44">
        <f>IF(Mecze[[#This Row],[Role]]="BR",SUMPRODUCT(Mecze[[#This Row],[/PR:90]:[/BR:90]],Brudnopis!$E$23:$J$23),0)</f>
        <v>0</v>
      </c>
      <c r="T906" s="44">
        <f>IF(Mecze[[#This Row],[Role]]&lt;&gt;"BR",SUMPRODUCT(Mecze[[#This Row],[/PR:90]:[/BR:90]],Brudnopis!$E$24:$J$24),0)</f>
        <v>0.125</v>
      </c>
      <c r="U906" s="44">
        <f>IF(Mecze[[#This Row],[Role]]&lt;&gt;"BR",SUMPRODUCT(Mecze[[#This Row],[/PR:90]:[/BR:90]],Brudnopis!$E$25:$J$25),0)</f>
        <v>0.125</v>
      </c>
      <c r="V906" s="44">
        <f>IF(Mecze[[#This Row],[Role]]&lt;&gt;"BR",SUMPRODUCT(Mecze[[#This Row],[/PR:90]:[/BR:90]],Brudnopis!$E$26:$J$26),0)</f>
        <v>0.109375</v>
      </c>
      <c r="W906" s="44">
        <f>IF(Mecze[[#This Row],[Role]]&lt;&gt;"BR",SUMPRODUCT(Mecze[[#This Row],[/PR:90]:[/BR:90]],Brudnopis!$E$27:$J$27),0)</f>
        <v>0.109375</v>
      </c>
      <c r="X906" s="44">
        <f>IF(Mecze[[#This Row],[Role]]&lt;&gt;"BR",SUMPRODUCT(Mecze[[#This Row],[/PR:90]:[/BR:90]],Brudnopis!$E$28:$J$28),0)</f>
        <v>6.25E-2</v>
      </c>
      <c r="Y906" s="35">
        <f>IF(Mecze[[#This Row],[Role]]="BR",Mecze[[#This Row],[/OB:90]]+Mecze[[#This Row],[/PC:90]],SUM(Mecze[[#This Row],[/PR:90]:[/BR:90]]))</f>
        <v>0.109375</v>
      </c>
      <c r="Z906" s="35">
        <f>IF(Mecze[[#This Row],[KC]]=0,SUM(Mecze[[#This Row],[/BRI]:[/NPI]]),SUM(Mecze[[#This Row],[/BRI]:[/NPI]])*0.6)</f>
        <v>0.31874999999999998</v>
      </c>
      <c r="AA906" s="10">
        <f>IFERROR(Mecze[[#This Row],[BR]]/Mecze[[#This Row],[ST]],0)</f>
        <v>0</v>
      </c>
      <c r="AB906">
        <f>ROUND(Mecze[[#This Row],[PD]]*Mecze[[#This Row],[%PC]],0)</f>
        <v>2</v>
      </c>
      <c r="AC906">
        <f>ROUND(Mecze[[#This Row],[OD]]*Mecze[[#This Row],[%OU]],0)</f>
        <v>2</v>
      </c>
      <c r="AD906" s="36" t="s">
        <v>47</v>
      </c>
      <c r="AE906" s="36">
        <v>51</v>
      </c>
      <c r="AF906" s="71">
        <v>0.92</v>
      </c>
      <c r="AG906" s="37">
        <v>0</v>
      </c>
      <c r="AH906" s="37">
        <v>1</v>
      </c>
      <c r="AI906" s="37">
        <v>64</v>
      </c>
      <c r="AJ906" s="37">
        <v>9</v>
      </c>
      <c r="AK906" s="37" t="str">
        <f>VLOOKUP(Mecze[[#This Row],[Match ID]],Meczusie[Mecz]:Meczusie[RodzajMeczu],2,FALSE)</f>
        <v>Liga</v>
      </c>
    </row>
    <row r="907" spans="1:37" x14ac:dyDescent="0.25">
      <c r="A907" s="76">
        <v>16</v>
      </c>
      <c r="B907" s="3" t="s">
        <v>405</v>
      </c>
      <c r="C907" s="2" t="s">
        <v>157</v>
      </c>
      <c r="D907" s="1">
        <v>0</v>
      </c>
      <c r="E907" s="1">
        <v>0</v>
      </c>
      <c r="F907" s="1">
        <v>0</v>
      </c>
      <c r="G907" s="1">
        <v>9</v>
      </c>
      <c r="H907" s="4">
        <v>0.44</v>
      </c>
      <c r="I907" s="1">
        <v>7</v>
      </c>
      <c r="J907" s="4">
        <v>0.71</v>
      </c>
      <c r="K907" s="1">
        <v>0</v>
      </c>
      <c r="L907" s="1">
        <v>3</v>
      </c>
      <c r="M907" s="32">
        <f>IF(Mecze[[#This Row],[PR]]=0,0,Mecze[[#This Row],[PR]]/Mecze[[#This Row],[CZAS]])</f>
        <v>3.0927835051546393E-2</v>
      </c>
      <c r="N907" s="32">
        <f>IF(Mecze[[#This Row],[OU]]=0,0,Mecze[[#This Row],[OU]]/Mecze[[#This Row],[CZAS]])</f>
        <v>5.1546391752577317E-2</v>
      </c>
      <c r="O907" s="32">
        <f>IF(Mecze[[#This Row],[PC]]=0,0,Mecze[[#This Row],[PC]]/Mecze[[#This Row],[CZAS]])</f>
        <v>4.1237113402061855E-2</v>
      </c>
      <c r="P907" s="32">
        <f>IF(Mecze[[#This Row],[SC]]=0,0,Mecze[[#This Row],[SC]]/Mecze[[#This Row],[CZAS]])</f>
        <v>0</v>
      </c>
      <c r="Q907" s="32">
        <f>IF(Mecze[[#This Row],[OB]]=0,0,Mecze[[#This Row],[OB]]/Mecze[[#This Row],[CZAS]])</f>
        <v>0</v>
      </c>
      <c r="R907" s="32">
        <f>IF(Mecze[[#This Row],[BR]]=0,0,Mecze[[#This Row],[BR]]/Mecze[[#This Row],[CZAS]])</f>
        <v>0</v>
      </c>
      <c r="S907" s="44">
        <f>IF(Mecze[[#This Row],[Role]]="BR",SUMPRODUCT(Mecze[[#This Row],[/PR:90]:[/BR:90]],Brudnopis!$E$23:$J$23),0)</f>
        <v>0</v>
      </c>
      <c r="T907" s="44">
        <f>IF(Mecze[[#This Row],[Role]]&lt;&gt;"BR",SUMPRODUCT(Mecze[[#This Row],[/PR:90]:[/BR:90]],Brudnopis!$E$24:$J$24),0)</f>
        <v>0.14948453608247422</v>
      </c>
      <c r="U907" s="44">
        <f>IF(Mecze[[#This Row],[Role]]&lt;&gt;"BR",SUMPRODUCT(Mecze[[#This Row],[/PR:90]:[/BR:90]],Brudnopis!$E$25:$J$25),0)</f>
        <v>0.14432989690721648</v>
      </c>
      <c r="V907" s="44">
        <f>IF(Mecze[[#This Row],[Role]]&lt;&gt;"BR",SUMPRODUCT(Mecze[[#This Row],[/PR:90]:[/BR:90]],Brudnopis!$E$26:$J$26),0)</f>
        <v>0.12371134020618557</v>
      </c>
      <c r="W907" s="44">
        <f>IF(Mecze[[#This Row],[Role]]&lt;&gt;"BR",SUMPRODUCT(Mecze[[#This Row],[/PR:90]:[/BR:90]],Brudnopis!$E$27:$J$27),0)</f>
        <v>0.12371134020618557</v>
      </c>
      <c r="X907" s="44">
        <f>IF(Mecze[[#This Row],[Role]]&lt;&gt;"BR",SUMPRODUCT(Mecze[[#This Row],[/PR:90]:[/BR:90]],Brudnopis!$E$28:$J$28),0)</f>
        <v>4.1237113402061855E-2</v>
      </c>
      <c r="Y907" s="35">
        <f>IF(Mecze[[#This Row],[Role]]="BR",Mecze[[#This Row],[/OB:90]]+Mecze[[#This Row],[/PC:90]],SUM(Mecze[[#This Row],[/PR:90]:[/BR:90]]))</f>
        <v>0.12371134020618557</v>
      </c>
      <c r="Z907" s="35">
        <f>IF(Mecze[[#This Row],[KC]]=0,SUM(Mecze[[#This Row],[/BRI]:[/NPI]]),SUM(Mecze[[#This Row],[/BRI]:[/NPI]])*0.6)</f>
        <v>0.58247422680412364</v>
      </c>
      <c r="AA907" s="10">
        <f>IFERROR(Mecze[[#This Row],[BR]]/Mecze[[#This Row],[ST]],0)</f>
        <v>0</v>
      </c>
      <c r="AB907">
        <f>ROUND(Mecze[[#This Row],[PD]]*Mecze[[#This Row],[%PC]],0)</f>
        <v>4</v>
      </c>
      <c r="AC907">
        <f>ROUND(Mecze[[#This Row],[OD]]*Mecze[[#This Row],[%OU]],0)</f>
        <v>5</v>
      </c>
      <c r="AD907" s="36" t="s">
        <v>167</v>
      </c>
      <c r="AE907" s="36">
        <v>51</v>
      </c>
      <c r="AF907" s="71">
        <v>2.23</v>
      </c>
      <c r="AG907" s="37">
        <v>1</v>
      </c>
      <c r="AH907" s="37">
        <v>0</v>
      </c>
      <c r="AI907" s="37">
        <v>97</v>
      </c>
      <c r="AJ907" s="37">
        <v>9</v>
      </c>
      <c r="AK907" s="37" t="str">
        <f>VLOOKUP(Mecze[[#This Row],[Match ID]],Meczusie[Mecz]:Meczusie[RodzajMeczu],2,FALSE)</f>
        <v>Liga</v>
      </c>
    </row>
    <row r="908" spans="1:37" x14ac:dyDescent="0.25">
      <c r="A908" s="76">
        <v>3</v>
      </c>
      <c r="B908" s="3" t="s">
        <v>292</v>
      </c>
      <c r="C908" s="2" t="s">
        <v>160</v>
      </c>
      <c r="D908" s="1">
        <v>0</v>
      </c>
      <c r="E908" s="1">
        <v>0</v>
      </c>
      <c r="F908" s="1">
        <v>0</v>
      </c>
      <c r="G908" s="1">
        <v>5</v>
      </c>
      <c r="H908" s="4">
        <v>0.6</v>
      </c>
      <c r="I908" s="1">
        <v>2</v>
      </c>
      <c r="J908" s="4">
        <v>1</v>
      </c>
      <c r="K908" s="1">
        <v>0</v>
      </c>
      <c r="L908" s="1">
        <v>2</v>
      </c>
      <c r="M908" s="32">
        <f>IF(Mecze[[#This Row],[PR]]=0,0,Mecze[[#This Row],[PR]]/Mecze[[#This Row],[CZAS]])</f>
        <v>2.0618556701030927E-2</v>
      </c>
      <c r="N908" s="32">
        <f>IF(Mecze[[#This Row],[OU]]=0,0,Mecze[[#This Row],[OU]]/Mecze[[#This Row],[CZAS]])</f>
        <v>2.0618556701030927E-2</v>
      </c>
      <c r="O908" s="32">
        <f>IF(Mecze[[#This Row],[PC]]=0,0,Mecze[[#This Row],[PC]]/Mecze[[#This Row],[CZAS]])</f>
        <v>3.0927835051546393E-2</v>
      </c>
      <c r="P908" s="32">
        <f>IF(Mecze[[#This Row],[SC]]=0,0,Mecze[[#This Row],[SC]]/Mecze[[#This Row],[CZAS]])</f>
        <v>0</v>
      </c>
      <c r="Q908" s="32">
        <f>IF(Mecze[[#This Row],[OB]]=0,0,Mecze[[#This Row],[OB]]/Mecze[[#This Row],[CZAS]])</f>
        <v>0</v>
      </c>
      <c r="R908" s="32">
        <f>IF(Mecze[[#This Row],[BR]]=0,0,Mecze[[#This Row],[BR]]/Mecze[[#This Row],[CZAS]])</f>
        <v>0</v>
      </c>
      <c r="S908" s="44">
        <f>IF(Mecze[[#This Row],[Role]]="BR",SUMPRODUCT(Mecze[[#This Row],[/PR:90]:[/BR:90]],Brudnopis!$E$23:$J$23),0)</f>
        <v>0</v>
      </c>
      <c r="T908" s="44">
        <f>IF(Mecze[[#This Row],[Role]]&lt;&gt;"BR",SUMPRODUCT(Mecze[[#This Row],[/PR:90]:[/BR:90]],Brudnopis!$E$24:$J$24),0)</f>
        <v>8.247422680412371E-2</v>
      </c>
      <c r="U908" s="44">
        <f>IF(Mecze[[#This Row],[Role]]&lt;&gt;"BR",SUMPRODUCT(Mecze[[#This Row],[/PR:90]:[/BR:90]],Brudnopis!$E$25:$J$25),0)</f>
        <v>8.7628865979381437E-2</v>
      </c>
      <c r="V908" s="44">
        <f>IF(Mecze[[#This Row],[Role]]&lt;&gt;"BR",SUMPRODUCT(Mecze[[#This Row],[/PR:90]:[/BR:90]],Brudnopis!$E$26:$J$26),0)</f>
        <v>7.2164948453608241E-2</v>
      </c>
      <c r="W908" s="44">
        <f>IF(Mecze[[#This Row],[Role]]&lt;&gt;"BR",SUMPRODUCT(Mecze[[#This Row],[/PR:90]:[/BR:90]],Brudnopis!$E$27:$J$27),0)</f>
        <v>7.7319587628865982E-2</v>
      </c>
      <c r="X908" s="44">
        <f>IF(Mecze[[#This Row],[Role]]&lt;&gt;"BR",SUMPRODUCT(Mecze[[#This Row],[/PR:90]:[/BR:90]],Brudnopis!$E$28:$J$28),0)</f>
        <v>3.0927835051546393E-2</v>
      </c>
      <c r="Y908" s="35">
        <f>IF(Mecze[[#This Row],[Role]]="BR",Mecze[[#This Row],[/OB:90]]+Mecze[[#This Row],[/PC:90]],SUM(Mecze[[#This Row],[/PR:90]:[/BR:90]]))</f>
        <v>7.2164948453608241E-2</v>
      </c>
      <c r="Z908" s="35">
        <f>IF(Mecze[[#This Row],[KC]]=0,SUM(Mecze[[#This Row],[/BRI]:[/NPI]]),SUM(Mecze[[#This Row],[/BRI]:[/NPI]])*0.6)</f>
        <v>0.35051546391752575</v>
      </c>
      <c r="AA908" s="10">
        <f>IFERROR(Mecze[[#This Row],[BR]]/Mecze[[#This Row],[ST]],0)</f>
        <v>0</v>
      </c>
      <c r="AB908">
        <f>ROUND(Mecze[[#This Row],[PD]]*Mecze[[#This Row],[%PC]],0)</f>
        <v>3</v>
      </c>
      <c r="AC908">
        <f>ROUND(Mecze[[#This Row],[OD]]*Mecze[[#This Row],[%OU]],0)</f>
        <v>2</v>
      </c>
      <c r="AD908" s="36" t="s">
        <v>173</v>
      </c>
      <c r="AE908" s="36">
        <v>51</v>
      </c>
      <c r="AF908" s="71">
        <v>4.33</v>
      </c>
      <c r="AG908" s="37">
        <v>0</v>
      </c>
      <c r="AH908" s="37">
        <v>0</v>
      </c>
      <c r="AI908" s="37">
        <v>97</v>
      </c>
      <c r="AJ908" s="37">
        <v>9</v>
      </c>
      <c r="AK908" s="37" t="str">
        <f>VLOOKUP(Mecze[[#This Row],[Match ID]],Meczusie[Mecz]:Meczusie[RodzajMeczu],2,FALSE)</f>
        <v>Liga</v>
      </c>
    </row>
    <row r="909" spans="1:37" x14ac:dyDescent="0.25">
      <c r="A909" s="76">
        <v>14</v>
      </c>
      <c r="B909" s="3" t="s">
        <v>293</v>
      </c>
      <c r="C909" s="2" t="s">
        <v>160</v>
      </c>
      <c r="D909" s="1">
        <v>0</v>
      </c>
      <c r="E909" s="1">
        <v>0</v>
      </c>
      <c r="F909" s="1">
        <v>0</v>
      </c>
      <c r="G909" s="1">
        <v>0</v>
      </c>
      <c r="H909" s="72"/>
      <c r="I909" s="1">
        <v>4</v>
      </c>
      <c r="J909" s="4">
        <v>0</v>
      </c>
      <c r="K909" s="1">
        <v>0</v>
      </c>
      <c r="L909" s="1">
        <v>0</v>
      </c>
      <c r="M909" s="32">
        <f>IF(Mecze[[#This Row],[PR]]=0,0,Mecze[[#This Row],[PR]]/Mecze[[#This Row],[CZAS]])</f>
        <v>0</v>
      </c>
      <c r="N909" s="32">
        <f>IF(Mecze[[#This Row],[OU]]=0,0,Mecze[[#This Row],[OU]]/Mecze[[#This Row],[CZAS]])</f>
        <v>0</v>
      </c>
      <c r="O909" s="32">
        <f>IF(Mecze[[#This Row],[PC]]=0,0,Mecze[[#This Row],[PC]]/Mecze[[#This Row],[CZAS]])</f>
        <v>0</v>
      </c>
      <c r="P909" s="32">
        <f>IF(Mecze[[#This Row],[SC]]=0,0,Mecze[[#This Row],[SC]]/Mecze[[#This Row],[CZAS]])</f>
        <v>0</v>
      </c>
      <c r="Q909" s="32">
        <f>IF(Mecze[[#This Row],[OB]]=0,0,Mecze[[#This Row],[OB]]/Mecze[[#This Row],[CZAS]])</f>
        <v>0</v>
      </c>
      <c r="R909" s="32">
        <f>IF(Mecze[[#This Row],[BR]]=0,0,Mecze[[#This Row],[BR]]/Mecze[[#This Row],[CZAS]])</f>
        <v>0</v>
      </c>
      <c r="S909" s="44">
        <f>IF(Mecze[[#This Row],[Role]]="BR",SUMPRODUCT(Mecze[[#This Row],[/PR:90]:[/BR:90]],Brudnopis!$E$23:$J$23),0)</f>
        <v>0</v>
      </c>
      <c r="T909" s="44">
        <f>IF(Mecze[[#This Row],[Role]]&lt;&gt;"BR",SUMPRODUCT(Mecze[[#This Row],[/PR:90]:[/BR:90]],Brudnopis!$E$24:$J$24),0)</f>
        <v>0</v>
      </c>
      <c r="U909" s="44">
        <f>IF(Mecze[[#This Row],[Role]]&lt;&gt;"BR",SUMPRODUCT(Mecze[[#This Row],[/PR:90]:[/BR:90]],Brudnopis!$E$25:$J$25),0)</f>
        <v>0</v>
      </c>
      <c r="V909" s="44">
        <f>IF(Mecze[[#This Row],[Role]]&lt;&gt;"BR",SUMPRODUCT(Mecze[[#This Row],[/PR:90]:[/BR:90]],Brudnopis!$E$26:$J$26),0)</f>
        <v>0</v>
      </c>
      <c r="W909" s="44">
        <f>IF(Mecze[[#This Row],[Role]]&lt;&gt;"BR",SUMPRODUCT(Mecze[[#This Row],[/PR:90]:[/BR:90]],Brudnopis!$E$27:$J$27),0)</f>
        <v>0</v>
      </c>
      <c r="X909" s="44">
        <f>IF(Mecze[[#This Row],[Role]]&lt;&gt;"BR",SUMPRODUCT(Mecze[[#This Row],[/PR:90]:[/BR:90]],Brudnopis!$E$28:$J$28),0)</f>
        <v>0</v>
      </c>
      <c r="Y909" s="35">
        <f>IF(Mecze[[#This Row],[Role]]="BR",Mecze[[#This Row],[/OB:90]]+Mecze[[#This Row],[/PC:90]],SUM(Mecze[[#This Row],[/PR:90]:[/BR:90]]))</f>
        <v>0</v>
      </c>
      <c r="Z909" s="35">
        <f>IF(Mecze[[#This Row],[KC]]=0,SUM(Mecze[[#This Row],[/BRI]:[/NPI]]),SUM(Mecze[[#This Row],[/BRI]:[/NPI]])*0.6)</f>
        <v>0</v>
      </c>
      <c r="AA909" s="10">
        <f>IFERROR(Mecze[[#This Row],[BR]]/Mecze[[#This Row],[ST]],0)</f>
        <v>0</v>
      </c>
      <c r="AB909">
        <f>ROUND(Mecze[[#This Row],[PD]]*Mecze[[#This Row],[%PC]],0)</f>
        <v>0</v>
      </c>
      <c r="AC909">
        <f>ROUND(Mecze[[#This Row],[OD]]*Mecze[[#This Row],[%OU]],0)</f>
        <v>0</v>
      </c>
      <c r="AD909" s="36" t="s">
        <v>172</v>
      </c>
      <c r="AE909" s="36">
        <v>51</v>
      </c>
      <c r="AF909" s="71">
        <v>2.7</v>
      </c>
      <c r="AG909" s="37">
        <v>0</v>
      </c>
      <c r="AH909" s="37">
        <v>0</v>
      </c>
      <c r="AI909" s="37">
        <v>97</v>
      </c>
      <c r="AJ909" s="37">
        <v>9</v>
      </c>
      <c r="AK909" s="37" t="str">
        <f>VLOOKUP(Mecze[[#This Row],[Match ID]],Meczusie[Mecz]:Meczusie[RodzajMeczu],2,FALSE)</f>
        <v>Liga</v>
      </c>
    </row>
    <row r="910" spans="1:37" x14ac:dyDescent="0.25">
      <c r="A910" s="76">
        <v>8</v>
      </c>
      <c r="B910" s="3" t="s">
        <v>294</v>
      </c>
      <c r="C910" s="2" t="s">
        <v>160</v>
      </c>
      <c r="D910" s="1">
        <v>0</v>
      </c>
      <c r="E910" s="1">
        <v>1</v>
      </c>
      <c r="F910" s="1">
        <v>1</v>
      </c>
      <c r="G910" s="1">
        <v>20</v>
      </c>
      <c r="H910" s="4">
        <v>0.8</v>
      </c>
      <c r="I910" s="1">
        <v>11</v>
      </c>
      <c r="J910" s="4">
        <v>0.45</v>
      </c>
      <c r="K910" s="1">
        <v>0</v>
      </c>
      <c r="L910" s="1">
        <v>9</v>
      </c>
      <c r="M910" s="32">
        <f>IF(Mecze[[#This Row],[PR]]=0,0,Mecze[[#This Row],[PR]]/Mecze[[#This Row],[CZAS]])</f>
        <v>9.2783505154639179E-2</v>
      </c>
      <c r="N910" s="32">
        <f>IF(Mecze[[#This Row],[OU]]=0,0,Mecze[[#This Row],[OU]]/Mecze[[#This Row],[CZAS]])</f>
        <v>5.1546391752577317E-2</v>
      </c>
      <c r="O910" s="32">
        <f>IF(Mecze[[#This Row],[PC]]=0,0,Mecze[[#This Row],[PC]]/Mecze[[#This Row],[CZAS]])</f>
        <v>0.16494845360824742</v>
      </c>
      <c r="P910" s="32">
        <f>IF(Mecze[[#This Row],[SC]]=0,0,Mecze[[#This Row],[SC]]/Mecze[[#This Row],[CZAS]])</f>
        <v>1.0309278350515464E-2</v>
      </c>
      <c r="Q910" s="32">
        <f>IF(Mecze[[#This Row],[OB]]=0,0,Mecze[[#This Row],[OB]]/Mecze[[#This Row],[CZAS]])</f>
        <v>0</v>
      </c>
      <c r="R910" s="32">
        <f>IF(Mecze[[#This Row],[BR]]=0,0,Mecze[[#This Row],[BR]]/Mecze[[#This Row],[CZAS]])</f>
        <v>0</v>
      </c>
      <c r="S910" s="44">
        <f>IF(Mecze[[#This Row],[Role]]="BR",SUMPRODUCT(Mecze[[#This Row],[/PR:90]:[/BR:90]],Brudnopis!$E$23:$J$23),0)</f>
        <v>0</v>
      </c>
      <c r="T910" s="44">
        <f>IF(Mecze[[#This Row],[Role]]&lt;&gt;"BR",SUMPRODUCT(Mecze[[#This Row],[/PR:90]:[/BR:90]],Brudnopis!$E$24:$J$24),0)</f>
        <v>0.34536082474226809</v>
      </c>
      <c r="U910" s="44">
        <f>IF(Mecze[[#This Row],[Role]]&lt;&gt;"BR",SUMPRODUCT(Mecze[[#This Row],[/PR:90]:[/BR:90]],Brudnopis!$E$25:$J$25),0)</f>
        <v>0.40206185567010311</v>
      </c>
      <c r="V910" s="44">
        <f>IF(Mecze[[#This Row],[Role]]&lt;&gt;"BR",SUMPRODUCT(Mecze[[#This Row],[/PR:90]:[/BR:90]],Brudnopis!$E$26:$J$26),0)</f>
        <v>0.31958762886597941</v>
      </c>
      <c r="W910" s="44">
        <f>IF(Mecze[[#This Row],[Role]]&lt;&gt;"BR",SUMPRODUCT(Mecze[[#This Row],[/PR:90]:[/BR:90]],Brudnopis!$E$27:$J$27),0)</f>
        <v>0.365979381443299</v>
      </c>
      <c r="X910" s="44">
        <f>IF(Mecze[[#This Row],[Role]]&lt;&gt;"BR",SUMPRODUCT(Mecze[[#This Row],[/PR:90]:[/BR:90]],Brudnopis!$E$28:$J$28),0)</f>
        <v>0.18556701030927836</v>
      </c>
      <c r="Y910" s="35">
        <f>IF(Mecze[[#This Row],[Role]]="BR",Mecze[[#This Row],[/OB:90]]+Mecze[[#This Row],[/PC:90]],SUM(Mecze[[#This Row],[/PR:90]:[/BR:90]]))</f>
        <v>0.31958762886597941</v>
      </c>
      <c r="Z910" s="35">
        <f>IF(Mecze[[#This Row],[KC]]=0,SUM(Mecze[[#This Row],[/BRI]:[/NPI]]),SUM(Mecze[[#This Row],[/BRI]:[/NPI]])*0.6)</f>
        <v>1.6185567010309279</v>
      </c>
      <c r="AA910" s="10">
        <f>IFERROR(Mecze[[#This Row],[BR]]/Mecze[[#This Row],[ST]],0)</f>
        <v>0</v>
      </c>
      <c r="AB910">
        <f>ROUND(Mecze[[#This Row],[PD]]*Mecze[[#This Row],[%PC]],0)</f>
        <v>16</v>
      </c>
      <c r="AC910">
        <f>ROUND(Mecze[[#This Row],[OD]]*Mecze[[#This Row],[%OU]],0)</f>
        <v>5</v>
      </c>
      <c r="AD910" s="36" t="s">
        <v>67</v>
      </c>
      <c r="AE910" s="36">
        <v>51</v>
      </c>
      <c r="AF910" s="71">
        <v>6.94</v>
      </c>
      <c r="AG910" s="37">
        <v>0</v>
      </c>
      <c r="AH910" s="37">
        <v>0</v>
      </c>
      <c r="AI910" s="37">
        <v>97</v>
      </c>
      <c r="AJ910" s="37">
        <v>9</v>
      </c>
      <c r="AK910" s="37" t="str">
        <f>VLOOKUP(Mecze[[#This Row],[Match ID]],Meczusie[Mecz]:Meczusie[RodzajMeczu],2,FALSE)</f>
        <v>Liga</v>
      </c>
    </row>
    <row r="911" spans="1:37" x14ac:dyDescent="0.25">
      <c r="A911" s="76">
        <v>11</v>
      </c>
      <c r="B911" s="3" t="s">
        <v>410</v>
      </c>
      <c r="C911" s="2" t="s">
        <v>160</v>
      </c>
      <c r="D911" s="1">
        <v>0</v>
      </c>
      <c r="E911" s="1">
        <v>3</v>
      </c>
      <c r="F911" s="1">
        <v>2</v>
      </c>
      <c r="G911" s="1">
        <v>7</v>
      </c>
      <c r="H911" s="4">
        <v>1</v>
      </c>
      <c r="I911" s="1">
        <v>3</v>
      </c>
      <c r="J911" s="4">
        <v>0.33</v>
      </c>
      <c r="K911" s="1">
        <v>0</v>
      </c>
      <c r="L911" s="1">
        <v>0</v>
      </c>
      <c r="M911" s="32">
        <f>IF(Mecze[[#This Row],[PR]]=0,0,Mecze[[#This Row],[PR]]/Mecze[[#This Row],[CZAS]])</f>
        <v>0</v>
      </c>
      <c r="N911" s="32">
        <f>IF(Mecze[[#This Row],[OU]]=0,0,Mecze[[#This Row],[OU]]/Mecze[[#This Row],[CZAS]])</f>
        <v>1.0309278350515464E-2</v>
      </c>
      <c r="O911" s="32">
        <f>IF(Mecze[[#This Row],[PC]]=0,0,Mecze[[#This Row],[PC]]/Mecze[[#This Row],[CZAS]])</f>
        <v>7.2164948453608241E-2</v>
      </c>
      <c r="P911" s="32">
        <f>IF(Mecze[[#This Row],[SC]]=0,0,Mecze[[#This Row],[SC]]/Mecze[[#This Row],[CZAS]])</f>
        <v>2.0618556701030927E-2</v>
      </c>
      <c r="Q911" s="32">
        <f>IF(Mecze[[#This Row],[OB]]=0,0,Mecze[[#This Row],[OB]]/Mecze[[#This Row],[CZAS]])</f>
        <v>0</v>
      </c>
      <c r="R911" s="32">
        <f>IF(Mecze[[#This Row],[BR]]=0,0,Mecze[[#This Row],[BR]]/Mecze[[#This Row],[CZAS]])</f>
        <v>0</v>
      </c>
      <c r="S911" s="44">
        <f>IF(Mecze[[#This Row],[Role]]="BR",SUMPRODUCT(Mecze[[#This Row],[/PR:90]:[/BR:90]],Brudnopis!$E$23:$J$23),0)</f>
        <v>0</v>
      </c>
      <c r="T911" s="44">
        <f>IF(Mecze[[#This Row],[Role]]&lt;&gt;"BR",SUMPRODUCT(Mecze[[#This Row],[/PR:90]:[/BR:90]],Brudnopis!$E$24:$J$24),0)</f>
        <v>0.10824742268041236</v>
      </c>
      <c r="U911" s="44">
        <f>IF(Mecze[[#This Row],[Role]]&lt;&gt;"BR",SUMPRODUCT(Mecze[[#This Row],[/PR:90]:[/BR:90]],Brudnopis!$E$25:$J$25),0)</f>
        <v>0.13917525773195877</v>
      </c>
      <c r="V911" s="44">
        <f>IF(Mecze[[#This Row],[Role]]&lt;&gt;"BR",SUMPRODUCT(Mecze[[#This Row],[/PR:90]:[/BR:90]],Brudnopis!$E$26:$J$26),0)</f>
        <v>0.10309278350515463</v>
      </c>
      <c r="W911" s="44">
        <f>IF(Mecze[[#This Row],[Role]]&lt;&gt;"BR",SUMPRODUCT(Mecze[[#This Row],[/PR:90]:[/BR:90]],Brudnopis!$E$27:$J$27),0)</f>
        <v>0.13659793814432988</v>
      </c>
      <c r="X911" s="44">
        <f>IF(Mecze[[#This Row],[Role]]&lt;&gt;"BR",SUMPRODUCT(Mecze[[#This Row],[/PR:90]:[/BR:90]],Brudnopis!$E$28:$J$28),0)</f>
        <v>0.11340206185567009</v>
      </c>
      <c r="Y911" s="35">
        <f>IF(Mecze[[#This Row],[Role]]="BR",Mecze[[#This Row],[/OB:90]]+Mecze[[#This Row],[/PC:90]],SUM(Mecze[[#This Row],[/PR:90]:[/BR:90]]))</f>
        <v>0.10309278350515463</v>
      </c>
      <c r="Z911" s="35">
        <f>IF(Mecze[[#This Row],[KC]]=0,SUM(Mecze[[#This Row],[/BRI]:[/NPI]]),SUM(Mecze[[#This Row],[/BRI]:[/NPI]])*0.6)</f>
        <v>0.60051546391752564</v>
      </c>
      <c r="AA911" s="10">
        <f>IFERROR(Mecze[[#This Row],[BR]]/Mecze[[#This Row],[ST]],0)</f>
        <v>0</v>
      </c>
      <c r="AB911">
        <f>ROUND(Mecze[[#This Row],[PD]]*Mecze[[#This Row],[%PC]],0)</f>
        <v>7</v>
      </c>
      <c r="AC911">
        <f>ROUND(Mecze[[#This Row],[OD]]*Mecze[[#This Row],[%OU]],0)</f>
        <v>1</v>
      </c>
      <c r="AD911" s="36" t="s">
        <v>299</v>
      </c>
      <c r="AE911" s="36">
        <v>51</v>
      </c>
      <c r="AF911" s="71">
        <v>6.49</v>
      </c>
      <c r="AG911" s="37">
        <v>0</v>
      </c>
      <c r="AH911" s="37">
        <v>0</v>
      </c>
      <c r="AI911" s="37">
        <v>97</v>
      </c>
      <c r="AJ911" s="37">
        <v>9</v>
      </c>
      <c r="AK911" s="37" t="str">
        <f>VLOOKUP(Mecze[[#This Row],[Match ID]],Meczusie[Mecz]:Meczusie[RodzajMeczu],2,FALSE)</f>
        <v>Liga</v>
      </c>
    </row>
    <row r="912" spans="1:37" x14ac:dyDescent="0.25">
      <c r="A912" s="76">
        <v>13</v>
      </c>
      <c r="B912" s="3" t="s">
        <v>295</v>
      </c>
      <c r="C912" s="2" t="s">
        <v>160</v>
      </c>
      <c r="D912" s="1">
        <v>0</v>
      </c>
      <c r="E912" s="1">
        <v>1</v>
      </c>
      <c r="F912" s="1">
        <v>1</v>
      </c>
      <c r="G912" s="1">
        <v>6</v>
      </c>
      <c r="H912" s="4">
        <v>1</v>
      </c>
      <c r="I912" s="1">
        <v>3</v>
      </c>
      <c r="J912" s="4">
        <v>0.33</v>
      </c>
      <c r="K912" s="1">
        <v>0</v>
      </c>
      <c r="L912" s="1">
        <v>0</v>
      </c>
      <c r="M912" s="32">
        <f>IF(Mecze[[#This Row],[PR]]=0,0,Mecze[[#This Row],[PR]]/Mecze[[#This Row],[CZAS]])</f>
        <v>0</v>
      </c>
      <c r="N912" s="32">
        <f>IF(Mecze[[#This Row],[OU]]=0,0,Mecze[[#This Row],[OU]]/Mecze[[#This Row],[CZAS]])</f>
        <v>1.0309278350515464E-2</v>
      </c>
      <c r="O912" s="32">
        <f>IF(Mecze[[#This Row],[PC]]=0,0,Mecze[[#This Row],[PC]]/Mecze[[#This Row],[CZAS]])</f>
        <v>6.1855670103092786E-2</v>
      </c>
      <c r="P912" s="32">
        <f>IF(Mecze[[#This Row],[SC]]=0,0,Mecze[[#This Row],[SC]]/Mecze[[#This Row],[CZAS]])</f>
        <v>1.0309278350515464E-2</v>
      </c>
      <c r="Q912" s="32">
        <f>IF(Mecze[[#This Row],[OB]]=0,0,Mecze[[#This Row],[OB]]/Mecze[[#This Row],[CZAS]])</f>
        <v>0</v>
      </c>
      <c r="R912" s="32">
        <f>IF(Mecze[[#This Row],[BR]]=0,0,Mecze[[#This Row],[BR]]/Mecze[[#This Row],[CZAS]])</f>
        <v>0</v>
      </c>
      <c r="S912" s="44">
        <f>IF(Mecze[[#This Row],[Role]]="BR",SUMPRODUCT(Mecze[[#This Row],[/PR:90]:[/BR:90]],Brudnopis!$E$23:$J$23),0)</f>
        <v>0</v>
      </c>
      <c r="T912" s="44">
        <f>IF(Mecze[[#This Row],[Role]]&lt;&gt;"BR",SUMPRODUCT(Mecze[[#This Row],[/PR:90]:[/BR:90]],Brudnopis!$E$24:$J$24),0)</f>
        <v>8.7628865979381451E-2</v>
      </c>
      <c r="U912" s="44">
        <f>IF(Mecze[[#This Row],[Role]]&lt;&gt;"BR",SUMPRODUCT(Mecze[[#This Row],[/PR:90]:[/BR:90]],Brudnopis!$E$25:$J$25),0)</f>
        <v>0.11340206185567012</v>
      </c>
      <c r="V912" s="44">
        <f>IF(Mecze[[#This Row],[Role]]&lt;&gt;"BR",SUMPRODUCT(Mecze[[#This Row],[/PR:90]:[/BR:90]],Brudnopis!$E$26:$J$26),0)</f>
        <v>8.2474226804123724E-2</v>
      </c>
      <c r="W912" s="44">
        <f>IF(Mecze[[#This Row],[Role]]&lt;&gt;"BR",SUMPRODUCT(Mecze[[#This Row],[/PR:90]:[/BR:90]],Brudnopis!$E$27:$J$27),0)</f>
        <v>0.11082474226804125</v>
      </c>
      <c r="X912" s="44">
        <f>IF(Mecze[[#This Row],[Role]]&lt;&gt;"BR",SUMPRODUCT(Mecze[[#This Row],[/PR:90]:[/BR:90]],Brudnopis!$E$28:$J$28),0)</f>
        <v>8.247422680412371E-2</v>
      </c>
      <c r="Y912" s="35">
        <f>IF(Mecze[[#This Row],[Role]]="BR",Mecze[[#This Row],[/OB:90]]+Mecze[[#This Row],[/PC:90]],SUM(Mecze[[#This Row],[/PR:90]:[/BR:90]]))</f>
        <v>8.2474226804123724E-2</v>
      </c>
      <c r="Z912" s="35">
        <f>IF(Mecze[[#This Row],[KC]]=0,SUM(Mecze[[#This Row],[/BRI]:[/NPI]]),SUM(Mecze[[#This Row],[/BRI]:[/NPI]])*0.6)</f>
        <v>0.47680412371134018</v>
      </c>
      <c r="AA912" s="10">
        <f>IFERROR(Mecze[[#This Row],[BR]]/Mecze[[#This Row],[ST]],0)</f>
        <v>0</v>
      </c>
      <c r="AB912">
        <f>ROUND(Mecze[[#This Row],[PD]]*Mecze[[#This Row],[%PC]],0)</f>
        <v>6</v>
      </c>
      <c r="AC912">
        <f>ROUND(Mecze[[#This Row],[OD]]*Mecze[[#This Row],[%OU]],0)</f>
        <v>1</v>
      </c>
      <c r="AD912" s="36" t="s">
        <v>171</v>
      </c>
      <c r="AE912" s="36">
        <v>51</v>
      </c>
      <c r="AF912" s="71">
        <v>5.15</v>
      </c>
      <c r="AG912" s="37">
        <v>1</v>
      </c>
      <c r="AH912" s="37">
        <v>0</v>
      </c>
      <c r="AI912" s="37">
        <v>97</v>
      </c>
      <c r="AJ912" s="37">
        <v>9</v>
      </c>
      <c r="AK912" s="37" t="str">
        <f>VLOOKUP(Mecze[[#This Row],[Match ID]],Meczusie[Mecz]:Meczusie[RodzajMeczu],2,FALSE)</f>
        <v>Liga</v>
      </c>
    </row>
    <row r="913" spans="1:37" x14ac:dyDescent="0.25">
      <c r="A913" s="76">
        <v>9</v>
      </c>
      <c r="B913" s="3" t="s">
        <v>296</v>
      </c>
      <c r="C913" s="2" t="s">
        <v>165</v>
      </c>
      <c r="D913" s="1">
        <v>1</v>
      </c>
      <c r="E913" s="1">
        <v>3</v>
      </c>
      <c r="F913" s="1">
        <v>3</v>
      </c>
      <c r="G913" s="1">
        <v>12</v>
      </c>
      <c r="H913" s="4">
        <v>0.83</v>
      </c>
      <c r="I913" s="1">
        <v>5</v>
      </c>
      <c r="J913" s="4">
        <v>1</v>
      </c>
      <c r="K913" s="1">
        <v>0</v>
      </c>
      <c r="L913" s="1">
        <v>0</v>
      </c>
      <c r="M913" s="32">
        <f>IF(Mecze[[#This Row],[PR]]=0,0,Mecze[[#This Row],[PR]]/Mecze[[#This Row],[CZAS]])</f>
        <v>0</v>
      </c>
      <c r="N913" s="32">
        <f>IF(Mecze[[#This Row],[OU]]=0,0,Mecze[[#This Row],[OU]]/Mecze[[#This Row],[CZAS]])</f>
        <v>5.1546391752577317E-2</v>
      </c>
      <c r="O913" s="32">
        <f>IF(Mecze[[#This Row],[PC]]=0,0,Mecze[[#This Row],[PC]]/Mecze[[#This Row],[CZAS]])</f>
        <v>0.10309278350515463</v>
      </c>
      <c r="P913" s="32">
        <f>IF(Mecze[[#This Row],[SC]]=0,0,Mecze[[#This Row],[SC]]/Mecze[[#This Row],[CZAS]])</f>
        <v>3.0927835051546393E-2</v>
      </c>
      <c r="Q913" s="32">
        <f>IF(Mecze[[#This Row],[OB]]=0,0,Mecze[[#This Row],[OB]]/Mecze[[#This Row],[CZAS]])</f>
        <v>0</v>
      </c>
      <c r="R913" s="32">
        <f>IF(Mecze[[#This Row],[BR]]=0,0,Mecze[[#This Row],[BR]]/Mecze[[#This Row],[CZAS]])</f>
        <v>1.0309278350515464E-2</v>
      </c>
      <c r="S913" s="44">
        <f>IF(Mecze[[#This Row],[Role]]="BR",SUMPRODUCT(Mecze[[#This Row],[/PR:90]:[/BR:90]],Brudnopis!$E$23:$J$23),0)</f>
        <v>0</v>
      </c>
      <c r="T913" s="44">
        <f>IF(Mecze[[#This Row],[Role]]&lt;&gt;"BR",SUMPRODUCT(Mecze[[#This Row],[/PR:90]:[/BR:90]],Brudnopis!$E$24:$J$24),0)</f>
        <v>0.22680412371134021</v>
      </c>
      <c r="U913" s="44">
        <f>IF(Mecze[[#This Row],[Role]]&lt;&gt;"BR",SUMPRODUCT(Mecze[[#This Row],[/PR:90]:[/BR:90]],Brudnopis!$E$25:$J$25),0)</f>
        <v>0.25257731958762886</v>
      </c>
      <c r="V913" s="44">
        <f>IF(Mecze[[#This Row],[Role]]&lt;&gt;"BR",SUMPRODUCT(Mecze[[#This Row],[/PR:90]:[/BR:90]],Brudnopis!$E$26:$J$26),0)</f>
        <v>0.2061855670103093</v>
      </c>
      <c r="W913" s="44">
        <f>IF(Mecze[[#This Row],[Role]]&lt;&gt;"BR",SUMPRODUCT(Mecze[[#This Row],[/PR:90]:[/BR:90]],Brudnopis!$E$27:$J$27),0)</f>
        <v>0.24484536082474229</v>
      </c>
      <c r="X913" s="44">
        <f>IF(Mecze[[#This Row],[Role]]&lt;&gt;"BR",SUMPRODUCT(Mecze[[#This Row],[/PR:90]:[/BR:90]],Brudnopis!$E$28:$J$28),0)</f>
        <v>0.19587628865979381</v>
      </c>
      <c r="Y913" s="35">
        <f>IF(Mecze[[#This Row],[Role]]="BR",Mecze[[#This Row],[/OB:90]]+Mecze[[#This Row],[/PC:90]],SUM(Mecze[[#This Row],[/PR:90]:[/BR:90]]))</f>
        <v>0.19587628865979381</v>
      </c>
      <c r="Z913" s="35">
        <f>IF(Mecze[[#This Row],[KC]]=0,SUM(Mecze[[#This Row],[/BRI]:[/NPI]]),SUM(Mecze[[#This Row],[/BRI]:[/NPI]])*0.6)</f>
        <v>1.1262886597938144</v>
      </c>
      <c r="AA913" s="10">
        <f>IFERROR(Mecze[[#This Row],[BR]]/Mecze[[#This Row],[ST]],0)</f>
        <v>0.33333333333333331</v>
      </c>
      <c r="AB913">
        <f>ROUND(Mecze[[#This Row],[PD]]*Mecze[[#This Row],[%PC]],0)</f>
        <v>10</v>
      </c>
      <c r="AC913">
        <f>ROUND(Mecze[[#This Row],[OD]]*Mecze[[#This Row],[%OU]],0)</f>
        <v>5</v>
      </c>
      <c r="AD913" s="36" t="s">
        <v>272</v>
      </c>
      <c r="AE913" s="36">
        <v>51</v>
      </c>
      <c r="AF913" s="71">
        <v>7.92</v>
      </c>
      <c r="AG913" s="37">
        <v>0</v>
      </c>
      <c r="AH913" s="37">
        <v>0</v>
      </c>
      <c r="AI913" s="37">
        <v>97</v>
      </c>
      <c r="AJ913" s="37">
        <v>9</v>
      </c>
      <c r="AK913" s="37" t="str">
        <f>VLOOKUP(Mecze[[#This Row],[Match ID]],Meczusie[Mecz]:Meczusie[RodzajMeczu],2,FALSE)</f>
        <v>Liga</v>
      </c>
    </row>
    <row r="914" spans="1:37" x14ac:dyDescent="0.25">
      <c r="A914" s="76">
        <v>6</v>
      </c>
      <c r="B914" s="3" t="s">
        <v>297</v>
      </c>
      <c r="C914" s="2" t="s">
        <v>165</v>
      </c>
      <c r="D914" s="1">
        <v>0</v>
      </c>
      <c r="E914" s="1">
        <v>4</v>
      </c>
      <c r="F914" s="1">
        <v>4</v>
      </c>
      <c r="G914" s="1">
        <v>16</v>
      </c>
      <c r="H914" s="4">
        <v>0.56000000000000005</v>
      </c>
      <c r="I914" s="1">
        <v>5</v>
      </c>
      <c r="J914" s="4">
        <v>0.6</v>
      </c>
      <c r="K914" s="1">
        <v>0</v>
      </c>
      <c r="L914" s="1">
        <v>6</v>
      </c>
      <c r="M914" s="32">
        <f>IF(Mecze[[#This Row],[PR]]=0,0,Mecze[[#This Row],[PR]]/Mecze[[#This Row],[CZAS]])</f>
        <v>6.1855670103092786E-2</v>
      </c>
      <c r="N914" s="32">
        <f>IF(Mecze[[#This Row],[OU]]=0,0,Mecze[[#This Row],[OU]]/Mecze[[#This Row],[CZAS]])</f>
        <v>3.0927835051546393E-2</v>
      </c>
      <c r="O914" s="32">
        <f>IF(Mecze[[#This Row],[PC]]=0,0,Mecze[[#This Row],[PC]]/Mecze[[#This Row],[CZAS]])</f>
        <v>9.2783505154639179E-2</v>
      </c>
      <c r="P914" s="32">
        <f>IF(Mecze[[#This Row],[SC]]=0,0,Mecze[[#This Row],[SC]]/Mecze[[#This Row],[CZAS]])</f>
        <v>4.1237113402061855E-2</v>
      </c>
      <c r="Q914" s="32">
        <f>IF(Mecze[[#This Row],[OB]]=0,0,Mecze[[#This Row],[OB]]/Mecze[[#This Row],[CZAS]])</f>
        <v>0</v>
      </c>
      <c r="R914" s="32">
        <f>IF(Mecze[[#This Row],[BR]]=0,0,Mecze[[#This Row],[BR]]/Mecze[[#This Row],[CZAS]])</f>
        <v>0</v>
      </c>
      <c r="S914" s="44">
        <f>IF(Mecze[[#This Row],[Role]]="BR",SUMPRODUCT(Mecze[[#This Row],[/PR:90]:[/BR:90]],Brudnopis!$E$23:$J$23),0)</f>
        <v>0</v>
      </c>
      <c r="T914" s="44">
        <f>IF(Mecze[[#This Row],[Role]]&lt;&gt;"BR",SUMPRODUCT(Mecze[[#This Row],[/PR:90]:[/BR:90]],Brudnopis!$E$24:$J$24),0)</f>
        <v>0.2422680412371134</v>
      </c>
      <c r="U914" s="44">
        <f>IF(Mecze[[#This Row],[Role]]&lt;&gt;"BR",SUMPRODUCT(Mecze[[#This Row],[/PR:90]:[/BR:90]],Brudnopis!$E$25:$J$25),0)</f>
        <v>0.27319587628865982</v>
      </c>
      <c r="V914" s="44">
        <f>IF(Mecze[[#This Row],[Role]]&lt;&gt;"BR",SUMPRODUCT(Mecze[[#This Row],[/PR:90]:[/BR:90]],Brudnopis!$E$26:$J$26),0)</f>
        <v>0.22680412371134021</v>
      </c>
      <c r="W914" s="44">
        <f>IF(Mecze[[#This Row],[Role]]&lt;&gt;"BR",SUMPRODUCT(Mecze[[#This Row],[/PR:90]:[/BR:90]],Brudnopis!$E$27:$J$27),0)</f>
        <v>0.25</v>
      </c>
      <c r="X914" s="44">
        <f>IF(Mecze[[#This Row],[Role]]&lt;&gt;"BR",SUMPRODUCT(Mecze[[#This Row],[/PR:90]:[/BR:90]],Brudnopis!$E$28:$J$28),0)</f>
        <v>0.17525773195876287</v>
      </c>
      <c r="Y914" s="35">
        <f>IF(Mecze[[#This Row],[Role]]="BR",Mecze[[#This Row],[/OB:90]]+Mecze[[#This Row],[/PC:90]],SUM(Mecze[[#This Row],[/PR:90]:[/BR:90]]))</f>
        <v>0.22680412371134021</v>
      </c>
      <c r="Z914" s="35">
        <f>IF(Mecze[[#This Row],[KC]]=0,SUM(Mecze[[#This Row],[/BRI]:[/NPI]]),SUM(Mecze[[#This Row],[/BRI]:[/NPI]])*0.6)</f>
        <v>1.1675257731958764</v>
      </c>
      <c r="AA914" s="10">
        <f>IFERROR(Mecze[[#This Row],[BR]]/Mecze[[#This Row],[ST]],0)</f>
        <v>0</v>
      </c>
      <c r="AB914">
        <f>ROUND(Mecze[[#This Row],[PD]]*Mecze[[#This Row],[%PC]],0)</f>
        <v>9</v>
      </c>
      <c r="AC914">
        <f>ROUND(Mecze[[#This Row],[OD]]*Mecze[[#This Row],[%OU]],0)</f>
        <v>3</v>
      </c>
      <c r="AD914" s="36" t="s">
        <v>46</v>
      </c>
      <c r="AE914" s="36">
        <v>51</v>
      </c>
      <c r="AF914" s="71">
        <v>4.92</v>
      </c>
      <c r="AG914" s="37">
        <v>0</v>
      </c>
      <c r="AH914" s="37">
        <v>0</v>
      </c>
      <c r="AI914" s="37">
        <v>97</v>
      </c>
      <c r="AJ914" s="37">
        <v>9</v>
      </c>
      <c r="AK914" s="37" t="str">
        <f>VLOOKUP(Mecze[[#This Row],[Match ID]],Meczusie[Mecz]:Meczusie[RodzajMeczu],2,FALSE)</f>
        <v>Liga</v>
      </c>
    </row>
    <row r="915" spans="1:37" x14ac:dyDescent="0.25">
      <c r="A915" s="76">
        <v>1</v>
      </c>
      <c r="B915" s="3" t="s">
        <v>344</v>
      </c>
      <c r="C915" s="2" t="s">
        <v>155</v>
      </c>
      <c r="D915" s="1">
        <v>0</v>
      </c>
      <c r="E915" s="1">
        <v>0</v>
      </c>
      <c r="F915" s="1">
        <v>0</v>
      </c>
      <c r="G915" s="1">
        <v>9</v>
      </c>
      <c r="H915" s="4">
        <v>0.67</v>
      </c>
      <c r="I915" s="1">
        <v>0</v>
      </c>
      <c r="J915" s="4"/>
      <c r="K915" s="1">
        <v>12</v>
      </c>
      <c r="L915" s="1">
        <v>0</v>
      </c>
      <c r="M915" s="32">
        <f>IF(Mecze[[#This Row],[PR]]=0,0,Mecze[[#This Row],[PR]]/Mecze[[#This Row],[CZAS]])</f>
        <v>0</v>
      </c>
      <c r="N915" s="32">
        <f>IF(Mecze[[#This Row],[OU]]=0,0,Mecze[[#This Row],[OU]]/Mecze[[#This Row],[CZAS]])</f>
        <v>0</v>
      </c>
      <c r="O915" s="32">
        <f>IF(Mecze[[#This Row],[PC]]=0,0,Mecze[[#This Row],[PC]]/Mecze[[#This Row],[CZAS]])</f>
        <v>6.25E-2</v>
      </c>
      <c r="P915" s="32">
        <f>IF(Mecze[[#This Row],[SC]]=0,0,Mecze[[#This Row],[SC]]/Mecze[[#This Row],[CZAS]])</f>
        <v>0</v>
      </c>
      <c r="Q915" s="32">
        <f>IF(Mecze[[#This Row],[OB]]=0,0,Mecze[[#This Row],[OB]]/Mecze[[#This Row],[CZAS]])</f>
        <v>0.125</v>
      </c>
      <c r="R915" s="32">
        <f>IF(Mecze[[#This Row],[BR]]=0,0,Mecze[[#This Row],[BR]]/Mecze[[#This Row],[CZAS]])</f>
        <v>0</v>
      </c>
      <c r="S915" s="44">
        <f>IF(Mecze[[#This Row],[Role]]="BR",SUMPRODUCT(Mecze[[#This Row],[/PR:90]:[/BR:90]],Brudnopis!$E$23:$J$23),0)</f>
        <v>0.5625</v>
      </c>
      <c r="T915" s="44">
        <f>IF(Mecze[[#This Row],[Role]]&lt;&gt;"BR",SUMPRODUCT(Mecze[[#This Row],[/PR:90]:[/BR:90]],Brudnopis!$E$24:$J$24),0)</f>
        <v>0</v>
      </c>
      <c r="U915" s="44">
        <f>IF(Mecze[[#This Row],[Role]]&lt;&gt;"BR",SUMPRODUCT(Mecze[[#This Row],[/PR:90]:[/BR:90]],Brudnopis!$E$25:$J$25),0)</f>
        <v>0</v>
      </c>
      <c r="V915" s="44">
        <f>IF(Mecze[[#This Row],[Role]]&lt;&gt;"BR",SUMPRODUCT(Mecze[[#This Row],[/PR:90]:[/BR:90]],Brudnopis!$E$26:$J$26),0)</f>
        <v>0</v>
      </c>
      <c r="W915" s="44">
        <f>IF(Mecze[[#This Row],[Role]]&lt;&gt;"BR",SUMPRODUCT(Mecze[[#This Row],[/PR:90]:[/BR:90]],Brudnopis!$E$27:$J$27),0)</f>
        <v>0</v>
      </c>
      <c r="X915" s="44">
        <f>IF(Mecze[[#This Row],[Role]]&lt;&gt;"BR",SUMPRODUCT(Mecze[[#This Row],[/PR:90]:[/BR:90]],Brudnopis!$E$28:$J$28),0)</f>
        <v>0</v>
      </c>
      <c r="Y915" s="35">
        <f>IF(Mecze[[#This Row],[Role]]="BR",Mecze[[#This Row],[/OB:90]]+Mecze[[#This Row],[/PC:90]],SUM(Mecze[[#This Row],[/PR:90]:[/BR:90]]))</f>
        <v>0.1875</v>
      </c>
      <c r="Z915" s="35">
        <f>IF(Mecze[[#This Row],[KC]]=0,SUM(Mecze[[#This Row],[/BRI]:[/NPI]]),SUM(Mecze[[#This Row],[/BRI]:[/NPI]])*0.6)</f>
        <v>0.5625</v>
      </c>
      <c r="AA915" s="10">
        <f>IFERROR(Mecze[[#This Row],[BR]]/Mecze[[#This Row],[ST]],0)</f>
        <v>0</v>
      </c>
      <c r="AB915">
        <f>ROUND(Mecze[[#This Row],[PD]]*Mecze[[#This Row],[%PC]],0)</f>
        <v>6</v>
      </c>
      <c r="AC915">
        <f>ROUND(Mecze[[#This Row],[OD]]*Mecze[[#This Row],[%OU]],0)</f>
        <v>0</v>
      </c>
      <c r="AD915" s="36" t="s">
        <v>40</v>
      </c>
      <c r="AE915" s="36">
        <v>52</v>
      </c>
      <c r="AF915" s="71">
        <v>6</v>
      </c>
      <c r="AG915" s="37">
        <v>0</v>
      </c>
      <c r="AH915" s="37">
        <v>0</v>
      </c>
      <c r="AI915" s="37">
        <v>96</v>
      </c>
      <c r="AJ915" s="37">
        <v>5</v>
      </c>
      <c r="AK915" s="37" t="str">
        <f>VLOOKUP(Mecze[[#This Row],[Match ID]],Meczusie[Mecz]:Meczusie[RodzajMeczu],2,FALSE)</f>
        <v>Liga</v>
      </c>
    </row>
    <row r="916" spans="1:37" x14ac:dyDescent="0.25">
      <c r="A916" s="76">
        <v>2</v>
      </c>
      <c r="B916" s="3" t="s">
        <v>345</v>
      </c>
      <c r="C916" s="2" t="s">
        <v>157</v>
      </c>
      <c r="D916" s="1">
        <v>0</v>
      </c>
      <c r="E916" s="1">
        <v>0</v>
      </c>
      <c r="F916" s="1">
        <v>0</v>
      </c>
      <c r="G916" s="1">
        <v>7</v>
      </c>
      <c r="H916" s="4">
        <v>0.71</v>
      </c>
      <c r="I916" s="1">
        <v>4</v>
      </c>
      <c r="J916" s="4">
        <v>0.75</v>
      </c>
      <c r="K916" s="1">
        <v>0</v>
      </c>
      <c r="L916" s="1">
        <v>4</v>
      </c>
      <c r="M916" s="32">
        <f>IF(Mecze[[#This Row],[PR]]=0,0,Mecze[[#This Row],[PR]]/Mecze[[#This Row],[CZAS]])</f>
        <v>4.1666666666666664E-2</v>
      </c>
      <c r="N916" s="32">
        <f>IF(Mecze[[#This Row],[OU]]=0,0,Mecze[[#This Row],[OU]]/Mecze[[#This Row],[CZAS]])</f>
        <v>3.125E-2</v>
      </c>
      <c r="O916" s="32">
        <f>IF(Mecze[[#This Row],[PC]]=0,0,Mecze[[#This Row],[PC]]/Mecze[[#This Row],[CZAS]])</f>
        <v>5.2083333333333336E-2</v>
      </c>
      <c r="P916" s="32">
        <f>IF(Mecze[[#This Row],[SC]]=0,0,Mecze[[#This Row],[SC]]/Mecze[[#This Row],[CZAS]])</f>
        <v>0</v>
      </c>
      <c r="Q916" s="32">
        <f>IF(Mecze[[#This Row],[OB]]=0,0,Mecze[[#This Row],[OB]]/Mecze[[#This Row],[CZAS]])</f>
        <v>0</v>
      </c>
      <c r="R916" s="32">
        <f>IF(Mecze[[#This Row],[BR]]=0,0,Mecze[[#This Row],[BR]]/Mecze[[#This Row],[CZAS]])</f>
        <v>0</v>
      </c>
      <c r="S916" s="44">
        <f>IF(Mecze[[#This Row],[Role]]="BR",SUMPRODUCT(Mecze[[#This Row],[/PR:90]:[/BR:90]],Brudnopis!$E$23:$J$23),0)</f>
        <v>0</v>
      </c>
      <c r="T916" s="44">
        <f>IF(Mecze[[#This Row],[Role]]&lt;&gt;"BR",SUMPRODUCT(Mecze[[#This Row],[/PR:90]:[/BR:90]],Brudnopis!$E$24:$J$24),0)</f>
        <v>0.140625</v>
      </c>
      <c r="U916" s="44">
        <f>IF(Mecze[[#This Row],[Role]]&lt;&gt;"BR",SUMPRODUCT(Mecze[[#This Row],[/PR:90]:[/BR:90]],Brudnopis!$E$25:$J$25),0)</f>
        <v>0.15104166666666666</v>
      </c>
      <c r="V916" s="44">
        <f>IF(Mecze[[#This Row],[Role]]&lt;&gt;"BR",SUMPRODUCT(Mecze[[#This Row],[/PR:90]:[/BR:90]],Brudnopis!$E$26:$J$26),0)</f>
        <v>0.125</v>
      </c>
      <c r="W916" s="44">
        <f>IF(Mecze[[#This Row],[Role]]&lt;&gt;"BR",SUMPRODUCT(Mecze[[#This Row],[/PR:90]:[/BR:90]],Brudnopis!$E$27:$J$27),0)</f>
        <v>0.1328125</v>
      </c>
      <c r="X916" s="44">
        <f>IF(Mecze[[#This Row],[Role]]&lt;&gt;"BR",SUMPRODUCT(Mecze[[#This Row],[/PR:90]:[/BR:90]],Brudnopis!$E$28:$J$28),0)</f>
        <v>5.2083333333333336E-2</v>
      </c>
      <c r="Y916" s="35">
        <f>IF(Mecze[[#This Row],[Role]]="BR",Mecze[[#This Row],[/OB:90]]+Mecze[[#This Row],[/PC:90]],SUM(Mecze[[#This Row],[/PR:90]:[/BR:90]]))</f>
        <v>0.125</v>
      </c>
      <c r="Z916" s="35">
        <f>IF(Mecze[[#This Row],[KC]]=0,SUM(Mecze[[#This Row],[/BRI]:[/NPI]]),SUM(Mecze[[#This Row],[/BRI]:[/NPI]])*0.6)</f>
        <v>0.6015625</v>
      </c>
      <c r="AA916" s="10">
        <f>IFERROR(Mecze[[#This Row],[BR]]/Mecze[[#This Row],[ST]],0)</f>
        <v>0</v>
      </c>
      <c r="AB916">
        <f>ROUND(Mecze[[#This Row],[PD]]*Mecze[[#This Row],[%PC]],0)</f>
        <v>5</v>
      </c>
      <c r="AC916">
        <f>ROUND(Mecze[[#This Row],[OD]]*Mecze[[#This Row],[%OU]],0)</f>
        <v>3</v>
      </c>
      <c r="AD916" s="36" t="s">
        <v>47</v>
      </c>
      <c r="AE916" s="36">
        <v>52</v>
      </c>
      <c r="AF916" s="71">
        <v>2.54</v>
      </c>
      <c r="AG916" s="37">
        <v>0</v>
      </c>
      <c r="AH916" s="37">
        <v>0</v>
      </c>
      <c r="AI916" s="37">
        <v>96</v>
      </c>
      <c r="AJ916" s="37">
        <v>5</v>
      </c>
      <c r="AK916" s="37" t="str">
        <f>VLOOKUP(Mecze[[#This Row],[Match ID]],Meczusie[Mecz]:Meczusie[RodzajMeczu],2,FALSE)</f>
        <v>Liga</v>
      </c>
    </row>
    <row r="917" spans="1:37" x14ac:dyDescent="0.25">
      <c r="A917" s="76">
        <v>4</v>
      </c>
      <c r="B917" s="3" t="s">
        <v>346</v>
      </c>
      <c r="C917" s="2" t="s">
        <v>157</v>
      </c>
      <c r="D917" s="1">
        <v>0</v>
      </c>
      <c r="E917" s="1">
        <v>0</v>
      </c>
      <c r="F917" s="1">
        <v>0</v>
      </c>
      <c r="G917" s="1">
        <v>15</v>
      </c>
      <c r="H917" s="4">
        <v>0.73</v>
      </c>
      <c r="I917" s="1">
        <v>7</v>
      </c>
      <c r="J917" s="4">
        <v>0.56999999999999995</v>
      </c>
      <c r="K917" s="1">
        <v>0</v>
      </c>
      <c r="L917" s="1">
        <v>5</v>
      </c>
      <c r="M917" s="32">
        <f>IF(Mecze[[#This Row],[PR]]=0,0,Mecze[[#This Row],[PR]]/Mecze[[#This Row],[CZAS]])</f>
        <v>5.2083333333333336E-2</v>
      </c>
      <c r="N917" s="32">
        <f>IF(Mecze[[#This Row],[OU]]=0,0,Mecze[[#This Row],[OU]]/Mecze[[#This Row],[CZAS]])</f>
        <v>4.1666666666666664E-2</v>
      </c>
      <c r="O917" s="32">
        <f>IF(Mecze[[#This Row],[PC]]=0,0,Mecze[[#This Row],[PC]]/Mecze[[#This Row],[CZAS]])</f>
        <v>0.11458333333333333</v>
      </c>
      <c r="P917" s="32">
        <f>IF(Mecze[[#This Row],[SC]]=0,0,Mecze[[#This Row],[SC]]/Mecze[[#This Row],[CZAS]])</f>
        <v>0</v>
      </c>
      <c r="Q917" s="32">
        <f>IF(Mecze[[#This Row],[OB]]=0,0,Mecze[[#This Row],[OB]]/Mecze[[#This Row],[CZAS]])</f>
        <v>0</v>
      </c>
      <c r="R917" s="32">
        <f>IF(Mecze[[#This Row],[BR]]=0,0,Mecze[[#This Row],[BR]]/Mecze[[#This Row],[CZAS]])</f>
        <v>0</v>
      </c>
      <c r="S917" s="44">
        <f>IF(Mecze[[#This Row],[Role]]="BR",SUMPRODUCT(Mecze[[#This Row],[/PR:90]:[/BR:90]],Brudnopis!$E$23:$J$23),0)</f>
        <v>0</v>
      </c>
      <c r="T917" s="44">
        <f>IF(Mecze[[#This Row],[Role]]&lt;&gt;"BR",SUMPRODUCT(Mecze[[#This Row],[/PR:90]:[/BR:90]],Brudnopis!$E$24:$J$24),0)</f>
        <v>0.22916666666666669</v>
      </c>
      <c r="U917" s="44">
        <f>IF(Mecze[[#This Row],[Role]]&lt;&gt;"BR",SUMPRODUCT(Mecze[[#This Row],[/PR:90]:[/BR:90]],Brudnopis!$E$25:$J$25),0)</f>
        <v>0.265625</v>
      </c>
      <c r="V917" s="44">
        <f>IF(Mecze[[#This Row],[Role]]&lt;&gt;"BR",SUMPRODUCT(Mecze[[#This Row],[/PR:90]:[/BR:90]],Brudnopis!$E$26:$J$26),0)</f>
        <v>0.20833333333333331</v>
      </c>
      <c r="W917" s="44">
        <f>IF(Mecze[[#This Row],[Role]]&lt;&gt;"BR",SUMPRODUCT(Mecze[[#This Row],[/PR:90]:[/BR:90]],Brudnopis!$E$27:$J$27),0)</f>
        <v>0.2421875</v>
      </c>
      <c r="X917" s="44">
        <f>IF(Mecze[[#This Row],[Role]]&lt;&gt;"BR",SUMPRODUCT(Mecze[[#This Row],[/PR:90]:[/BR:90]],Brudnopis!$E$28:$J$28),0)</f>
        <v>0.11458333333333333</v>
      </c>
      <c r="Y917" s="35">
        <f>IF(Mecze[[#This Row],[Role]]="BR",Mecze[[#This Row],[/OB:90]]+Mecze[[#This Row],[/PC:90]],SUM(Mecze[[#This Row],[/PR:90]:[/BR:90]]))</f>
        <v>0.20833333333333331</v>
      </c>
      <c r="Z917" s="35">
        <f>IF(Mecze[[#This Row],[KC]]=0,SUM(Mecze[[#This Row],[/BRI]:[/NPI]]),SUM(Mecze[[#This Row],[/BRI]:[/NPI]])*0.6)</f>
        <v>1.0598958333333333</v>
      </c>
      <c r="AA917" s="10">
        <f>IFERROR(Mecze[[#This Row],[BR]]/Mecze[[#This Row],[ST]],0)</f>
        <v>0</v>
      </c>
      <c r="AB917">
        <f>ROUND(Mecze[[#This Row],[PD]]*Mecze[[#This Row],[%PC]],0)</f>
        <v>11</v>
      </c>
      <c r="AC917">
        <f>ROUND(Mecze[[#This Row],[OD]]*Mecze[[#This Row],[%OU]],0)</f>
        <v>4</v>
      </c>
      <c r="AD917" s="36" t="s">
        <v>47</v>
      </c>
      <c r="AE917" s="36">
        <v>52</v>
      </c>
      <c r="AF917" s="71">
        <v>2.75</v>
      </c>
      <c r="AG917" s="37">
        <v>0</v>
      </c>
      <c r="AH917" s="37">
        <v>0</v>
      </c>
      <c r="AI917" s="37">
        <v>96</v>
      </c>
      <c r="AJ917" s="37">
        <v>5</v>
      </c>
      <c r="AK917" s="37" t="str">
        <f>VLOOKUP(Mecze[[#This Row],[Match ID]],Meczusie[Mecz]:Meczusie[RodzajMeczu],2,FALSE)</f>
        <v>Liga</v>
      </c>
    </row>
    <row r="918" spans="1:37" x14ac:dyDescent="0.25">
      <c r="A918" s="76">
        <v>5</v>
      </c>
      <c r="B918" s="3" t="s">
        <v>347</v>
      </c>
      <c r="C918" s="2" t="s">
        <v>157</v>
      </c>
      <c r="D918" s="1">
        <v>0</v>
      </c>
      <c r="E918" s="1">
        <v>0</v>
      </c>
      <c r="F918" s="1">
        <v>0</v>
      </c>
      <c r="G918" s="1">
        <v>5</v>
      </c>
      <c r="H918" s="4">
        <v>0.6</v>
      </c>
      <c r="I918" s="1">
        <v>3</v>
      </c>
      <c r="J918" s="4">
        <v>0.67</v>
      </c>
      <c r="K918" s="1">
        <v>0</v>
      </c>
      <c r="L918" s="1">
        <v>1</v>
      </c>
      <c r="M918" s="32">
        <f>IF(Mecze[[#This Row],[PR]]=0,0,Mecze[[#This Row],[PR]]/Mecze[[#This Row],[CZAS]])</f>
        <v>1.0416666666666666E-2</v>
      </c>
      <c r="N918" s="32">
        <f>IF(Mecze[[#This Row],[OU]]=0,0,Mecze[[#This Row],[OU]]/Mecze[[#This Row],[CZAS]])</f>
        <v>2.0833333333333332E-2</v>
      </c>
      <c r="O918" s="32">
        <f>IF(Mecze[[#This Row],[PC]]=0,0,Mecze[[#This Row],[PC]]/Mecze[[#This Row],[CZAS]])</f>
        <v>3.125E-2</v>
      </c>
      <c r="P918" s="32">
        <f>IF(Mecze[[#This Row],[SC]]=0,0,Mecze[[#This Row],[SC]]/Mecze[[#This Row],[CZAS]])</f>
        <v>0</v>
      </c>
      <c r="Q918" s="32">
        <f>IF(Mecze[[#This Row],[OB]]=0,0,Mecze[[#This Row],[OB]]/Mecze[[#This Row],[CZAS]])</f>
        <v>0</v>
      </c>
      <c r="R918" s="32">
        <f>IF(Mecze[[#This Row],[BR]]=0,0,Mecze[[#This Row],[BR]]/Mecze[[#This Row],[CZAS]])</f>
        <v>0</v>
      </c>
      <c r="S918" s="44">
        <f>IF(Mecze[[#This Row],[Role]]="BR",SUMPRODUCT(Mecze[[#This Row],[/PR:90]:[/BR:90]],Brudnopis!$E$23:$J$23),0)</f>
        <v>0</v>
      </c>
      <c r="T918" s="44">
        <f>IF(Mecze[[#This Row],[Role]]&lt;&gt;"BR",SUMPRODUCT(Mecze[[#This Row],[/PR:90]:[/BR:90]],Brudnopis!$E$24:$J$24),0)</f>
        <v>7.2916666666666657E-2</v>
      </c>
      <c r="U918" s="44">
        <f>IF(Mecze[[#This Row],[Role]]&lt;&gt;"BR",SUMPRODUCT(Mecze[[#This Row],[/PR:90]:[/BR:90]],Brudnopis!$E$25:$J$25),0)</f>
        <v>7.8125E-2</v>
      </c>
      <c r="V918" s="44">
        <f>IF(Mecze[[#This Row],[Role]]&lt;&gt;"BR",SUMPRODUCT(Mecze[[#This Row],[/PR:90]:[/BR:90]],Brudnopis!$E$26:$J$26),0)</f>
        <v>6.25E-2</v>
      </c>
      <c r="W918" s="44">
        <f>IF(Mecze[[#This Row],[Role]]&lt;&gt;"BR",SUMPRODUCT(Mecze[[#This Row],[/PR:90]:[/BR:90]],Brudnopis!$E$27:$J$27),0)</f>
        <v>7.03125E-2</v>
      </c>
      <c r="X918" s="44">
        <f>IF(Mecze[[#This Row],[Role]]&lt;&gt;"BR",SUMPRODUCT(Mecze[[#This Row],[/PR:90]:[/BR:90]],Brudnopis!$E$28:$J$28),0)</f>
        <v>3.125E-2</v>
      </c>
      <c r="Y918" s="35">
        <f>IF(Mecze[[#This Row],[Role]]="BR",Mecze[[#This Row],[/OB:90]]+Mecze[[#This Row],[/PC:90]],SUM(Mecze[[#This Row],[/PR:90]:[/BR:90]]))</f>
        <v>6.25E-2</v>
      </c>
      <c r="Z918" s="35">
        <f>IF(Mecze[[#This Row],[KC]]=0,SUM(Mecze[[#This Row],[/BRI]:[/NPI]]),SUM(Mecze[[#This Row],[/BRI]:[/NPI]])*0.6)</f>
        <v>0.31510416666666663</v>
      </c>
      <c r="AA918" s="10">
        <f>IFERROR(Mecze[[#This Row],[BR]]/Mecze[[#This Row],[ST]],0)</f>
        <v>0</v>
      </c>
      <c r="AB918">
        <f>ROUND(Mecze[[#This Row],[PD]]*Mecze[[#This Row],[%PC]],0)</f>
        <v>3</v>
      </c>
      <c r="AC918">
        <f>ROUND(Mecze[[#This Row],[OD]]*Mecze[[#This Row],[%OU]],0)</f>
        <v>2</v>
      </c>
      <c r="AD918" s="36" t="s">
        <v>175</v>
      </c>
      <c r="AE918" s="36">
        <v>52</v>
      </c>
      <c r="AF918" s="71">
        <v>1.91</v>
      </c>
      <c r="AG918" s="37">
        <v>0</v>
      </c>
      <c r="AH918" s="37">
        <v>0</v>
      </c>
      <c r="AI918" s="37">
        <v>96</v>
      </c>
      <c r="AJ918" s="37">
        <v>5</v>
      </c>
      <c r="AK918" s="37" t="str">
        <f>VLOOKUP(Mecze[[#This Row],[Match ID]],Meczusie[Mecz]:Meczusie[RodzajMeczu],2,FALSE)</f>
        <v>Liga</v>
      </c>
    </row>
    <row r="919" spans="1:37" x14ac:dyDescent="0.25">
      <c r="A919" s="76">
        <v>3</v>
      </c>
      <c r="B919" s="3" t="s">
        <v>348</v>
      </c>
      <c r="C919" s="2" t="s">
        <v>157</v>
      </c>
      <c r="D919" s="1">
        <v>0</v>
      </c>
      <c r="E919" s="1">
        <v>0</v>
      </c>
      <c r="F919" s="1">
        <v>0</v>
      </c>
      <c r="G919" s="1">
        <v>12</v>
      </c>
      <c r="H919" s="4">
        <v>0.75</v>
      </c>
      <c r="I919" s="1">
        <v>8</v>
      </c>
      <c r="J919" s="4">
        <v>0.5</v>
      </c>
      <c r="K919" s="1">
        <v>0</v>
      </c>
      <c r="L919" s="1">
        <v>9</v>
      </c>
      <c r="M919" s="32">
        <f>IF(Mecze[[#This Row],[PR]]=0,0,Mecze[[#This Row],[PR]]/Mecze[[#This Row],[CZAS]])</f>
        <v>9.375E-2</v>
      </c>
      <c r="N919" s="32">
        <f>IF(Mecze[[#This Row],[OU]]=0,0,Mecze[[#This Row],[OU]]/Mecze[[#This Row],[CZAS]])</f>
        <v>4.1666666666666664E-2</v>
      </c>
      <c r="O919" s="32">
        <f>IF(Mecze[[#This Row],[PC]]=0,0,Mecze[[#This Row],[PC]]/Mecze[[#This Row],[CZAS]])</f>
        <v>9.375E-2</v>
      </c>
      <c r="P919" s="32">
        <f>IF(Mecze[[#This Row],[SC]]=0,0,Mecze[[#This Row],[SC]]/Mecze[[#This Row],[CZAS]])</f>
        <v>0</v>
      </c>
      <c r="Q919" s="32">
        <f>IF(Mecze[[#This Row],[OB]]=0,0,Mecze[[#This Row],[OB]]/Mecze[[#This Row],[CZAS]])</f>
        <v>0</v>
      </c>
      <c r="R919" s="32">
        <f>IF(Mecze[[#This Row],[BR]]=0,0,Mecze[[#This Row],[BR]]/Mecze[[#This Row],[CZAS]])</f>
        <v>0</v>
      </c>
      <c r="S919" s="44">
        <f>IF(Mecze[[#This Row],[Role]]="BR",SUMPRODUCT(Mecze[[#This Row],[/PR:90]:[/BR:90]],Brudnopis!$E$23:$J$23),0)</f>
        <v>0</v>
      </c>
      <c r="T919" s="44">
        <f>IF(Mecze[[#This Row],[Role]]&lt;&gt;"BR",SUMPRODUCT(Mecze[[#This Row],[/PR:90]:[/BR:90]],Brudnopis!$E$24:$J$24),0)</f>
        <v>0.25</v>
      </c>
      <c r="U919" s="44">
        <f>IF(Mecze[[#This Row],[Role]]&lt;&gt;"BR",SUMPRODUCT(Mecze[[#This Row],[/PR:90]:[/BR:90]],Brudnopis!$E$25:$J$25),0)</f>
        <v>0.27604166666666663</v>
      </c>
      <c r="V919" s="44">
        <f>IF(Mecze[[#This Row],[Role]]&lt;&gt;"BR",SUMPRODUCT(Mecze[[#This Row],[/PR:90]:[/BR:90]],Brudnopis!$E$26:$J$26),0)</f>
        <v>0.22916666666666666</v>
      </c>
      <c r="W919" s="44">
        <f>IF(Mecze[[#This Row],[Role]]&lt;&gt;"BR",SUMPRODUCT(Mecze[[#This Row],[/PR:90]:[/BR:90]],Brudnopis!$E$27:$J$27),0)</f>
        <v>0.2421875</v>
      </c>
      <c r="X919" s="44">
        <f>IF(Mecze[[#This Row],[Role]]&lt;&gt;"BR",SUMPRODUCT(Mecze[[#This Row],[/PR:90]:[/BR:90]],Brudnopis!$E$28:$J$28),0)</f>
        <v>9.375E-2</v>
      </c>
      <c r="Y919" s="35">
        <f>IF(Mecze[[#This Row],[Role]]="BR",Mecze[[#This Row],[/OB:90]]+Mecze[[#This Row],[/PC:90]],SUM(Mecze[[#This Row],[/PR:90]:[/BR:90]]))</f>
        <v>0.22916666666666666</v>
      </c>
      <c r="Z919" s="35">
        <f>IF(Mecze[[#This Row],[KC]]=0,SUM(Mecze[[#This Row],[/BRI]:[/NPI]]),SUM(Mecze[[#This Row],[/BRI]:[/NPI]])*0.6)</f>
        <v>1.0911458333333333</v>
      </c>
      <c r="AA919" s="10">
        <f>IFERROR(Mecze[[#This Row],[BR]]/Mecze[[#This Row],[ST]],0)</f>
        <v>0</v>
      </c>
      <c r="AB919">
        <f>ROUND(Mecze[[#This Row],[PD]]*Mecze[[#This Row],[%PC]],0)</f>
        <v>9</v>
      </c>
      <c r="AC919">
        <f>ROUND(Mecze[[#This Row],[OD]]*Mecze[[#This Row],[%OU]],0)</f>
        <v>4</v>
      </c>
      <c r="AD919" s="36" t="s">
        <v>174</v>
      </c>
      <c r="AE919" s="36">
        <v>52</v>
      </c>
      <c r="AF919" s="71">
        <v>3.59</v>
      </c>
      <c r="AG919" s="37">
        <v>0</v>
      </c>
      <c r="AH919" s="37">
        <v>0</v>
      </c>
      <c r="AI919" s="37">
        <v>96</v>
      </c>
      <c r="AJ919" s="37">
        <v>5</v>
      </c>
      <c r="AK919" s="37" t="str">
        <f>VLOOKUP(Mecze[[#This Row],[Match ID]],Meczusie[Mecz]:Meczusie[RodzajMeczu],2,FALSE)</f>
        <v>Liga</v>
      </c>
    </row>
    <row r="920" spans="1:37" x14ac:dyDescent="0.25">
      <c r="A920" s="76">
        <v>6</v>
      </c>
      <c r="B920" s="3" t="s">
        <v>349</v>
      </c>
      <c r="C920" s="2" t="s">
        <v>160</v>
      </c>
      <c r="D920" s="1">
        <v>0</v>
      </c>
      <c r="E920" s="1">
        <v>0</v>
      </c>
      <c r="F920" s="1">
        <v>0</v>
      </c>
      <c r="G920" s="1">
        <v>14</v>
      </c>
      <c r="H920" s="4">
        <v>0.64</v>
      </c>
      <c r="I920" s="1">
        <v>7</v>
      </c>
      <c r="J920" s="4">
        <v>0.43</v>
      </c>
      <c r="K920" s="1">
        <v>0</v>
      </c>
      <c r="L920" s="1">
        <v>2</v>
      </c>
      <c r="M920" s="32">
        <f>IF(Mecze[[#This Row],[PR]]=0,0,Mecze[[#This Row],[PR]]/Mecze[[#This Row],[CZAS]])</f>
        <v>2.0833333333333332E-2</v>
      </c>
      <c r="N920" s="32">
        <f>IF(Mecze[[#This Row],[OU]]=0,0,Mecze[[#This Row],[OU]]/Mecze[[#This Row],[CZAS]])</f>
        <v>3.125E-2</v>
      </c>
      <c r="O920" s="32">
        <f>IF(Mecze[[#This Row],[PC]]=0,0,Mecze[[#This Row],[PC]]/Mecze[[#This Row],[CZAS]])</f>
        <v>9.375E-2</v>
      </c>
      <c r="P920" s="32">
        <f>IF(Mecze[[#This Row],[SC]]=0,0,Mecze[[#This Row],[SC]]/Mecze[[#This Row],[CZAS]])</f>
        <v>0</v>
      </c>
      <c r="Q920" s="32">
        <f>IF(Mecze[[#This Row],[OB]]=0,0,Mecze[[#This Row],[OB]]/Mecze[[#This Row],[CZAS]])</f>
        <v>0</v>
      </c>
      <c r="R920" s="32">
        <f>IF(Mecze[[#This Row],[BR]]=0,0,Mecze[[#This Row],[BR]]/Mecze[[#This Row],[CZAS]])</f>
        <v>0</v>
      </c>
      <c r="S920" s="44">
        <f>IF(Mecze[[#This Row],[Role]]="BR",SUMPRODUCT(Mecze[[#This Row],[/PR:90]:[/BR:90]],Brudnopis!$E$23:$J$23),0)</f>
        <v>0</v>
      </c>
      <c r="T920" s="44">
        <f>IF(Mecze[[#This Row],[Role]]&lt;&gt;"BR",SUMPRODUCT(Mecze[[#This Row],[/PR:90]:[/BR:90]],Brudnopis!$E$24:$J$24),0)</f>
        <v>0.16145833333333331</v>
      </c>
      <c r="U920" s="44">
        <f>IF(Mecze[[#This Row],[Role]]&lt;&gt;"BR",SUMPRODUCT(Mecze[[#This Row],[/PR:90]:[/BR:90]],Brudnopis!$E$25:$J$25),0)</f>
        <v>0.19270833333333331</v>
      </c>
      <c r="V920" s="44">
        <f>IF(Mecze[[#This Row],[Role]]&lt;&gt;"BR",SUMPRODUCT(Mecze[[#This Row],[/PR:90]:[/BR:90]],Brudnopis!$E$26:$J$26),0)</f>
        <v>0.14583333333333331</v>
      </c>
      <c r="W920" s="44">
        <f>IF(Mecze[[#This Row],[Role]]&lt;&gt;"BR",SUMPRODUCT(Mecze[[#This Row],[/PR:90]:[/BR:90]],Brudnopis!$E$27:$J$27),0)</f>
        <v>0.1796875</v>
      </c>
      <c r="X920" s="44">
        <f>IF(Mecze[[#This Row],[Role]]&lt;&gt;"BR",SUMPRODUCT(Mecze[[#This Row],[/PR:90]:[/BR:90]],Brudnopis!$E$28:$J$28),0)</f>
        <v>9.375E-2</v>
      </c>
      <c r="Y920" s="35">
        <f>IF(Mecze[[#This Row],[Role]]="BR",Mecze[[#This Row],[/OB:90]]+Mecze[[#This Row],[/PC:90]],SUM(Mecze[[#This Row],[/PR:90]:[/BR:90]]))</f>
        <v>0.14583333333333331</v>
      </c>
      <c r="Z920" s="35">
        <f>IF(Mecze[[#This Row],[KC]]=0,SUM(Mecze[[#This Row],[/BRI]:[/NPI]]),SUM(Mecze[[#This Row],[/BRI]:[/NPI]])*0.6)</f>
        <v>0.7734375</v>
      </c>
      <c r="AA920" s="10">
        <f>IFERROR(Mecze[[#This Row],[BR]]/Mecze[[#This Row],[ST]],0)</f>
        <v>0</v>
      </c>
      <c r="AB920">
        <f>ROUND(Mecze[[#This Row],[PD]]*Mecze[[#This Row],[%PC]],0)</f>
        <v>9</v>
      </c>
      <c r="AC920">
        <f>ROUND(Mecze[[#This Row],[OD]]*Mecze[[#This Row],[%OU]],0)</f>
        <v>3</v>
      </c>
      <c r="AD920" s="36" t="s">
        <v>41</v>
      </c>
      <c r="AE920" s="36">
        <v>52</v>
      </c>
      <c r="AF920" s="71">
        <v>4.33</v>
      </c>
      <c r="AG920" s="37">
        <v>0</v>
      </c>
      <c r="AH920" s="37">
        <v>0</v>
      </c>
      <c r="AI920" s="37">
        <v>96</v>
      </c>
      <c r="AJ920" s="37">
        <v>5</v>
      </c>
      <c r="AK920" s="37" t="str">
        <f>VLOOKUP(Mecze[[#This Row],[Match ID]],Meczusie[Mecz]:Meczusie[RodzajMeczu],2,FALSE)</f>
        <v>Liga</v>
      </c>
    </row>
    <row r="921" spans="1:37" x14ac:dyDescent="0.25">
      <c r="A921" s="76">
        <v>7</v>
      </c>
      <c r="B921" s="3" t="s">
        <v>350</v>
      </c>
      <c r="C921" s="2" t="s">
        <v>160</v>
      </c>
      <c r="D921" s="1">
        <v>1</v>
      </c>
      <c r="E921" s="1">
        <v>2</v>
      </c>
      <c r="F921" s="1">
        <v>1</v>
      </c>
      <c r="G921" s="1">
        <v>11</v>
      </c>
      <c r="H921" s="4">
        <v>0.73</v>
      </c>
      <c r="I921" s="1">
        <v>3</v>
      </c>
      <c r="J921" s="4">
        <v>0.67</v>
      </c>
      <c r="K921" s="1">
        <v>0</v>
      </c>
      <c r="L921" s="1">
        <v>1</v>
      </c>
      <c r="M921" s="32">
        <f>IF(Mecze[[#This Row],[PR]]=0,0,Mecze[[#This Row],[PR]]/Mecze[[#This Row],[CZAS]])</f>
        <v>1.0416666666666666E-2</v>
      </c>
      <c r="N921" s="32">
        <f>IF(Mecze[[#This Row],[OU]]=0,0,Mecze[[#This Row],[OU]]/Mecze[[#This Row],[CZAS]])</f>
        <v>2.0833333333333332E-2</v>
      </c>
      <c r="O921" s="32">
        <f>IF(Mecze[[#This Row],[PC]]=0,0,Mecze[[#This Row],[PC]]/Mecze[[#This Row],[CZAS]])</f>
        <v>8.3333333333333329E-2</v>
      </c>
      <c r="P921" s="32">
        <f>IF(Mecze[[#This Row],[SC]]=0,0,Mecze[[#This Row],[SC]]/Mecze[[#This Row],[CZAS]])</f>
        <v>1.0416666666666666E-2</v>
      </c>
      <c r="Q921" s="32">
        <f>IF(Mecze[[#This Row],[OB]]=0,0,Mecze[[#This Row],[OB]]/Mecze[[#This Row],[CZAS]])</f>
        <v>0</v>
      </c>
      <c r="R921" s="32">
        <f>IF(Mecze[[#This Row],[BR]]=0,0,Mecze[[#This Row],[BR]]/Mecze[[#This Row],[CZAS]])</f>
        <v>1.0416666666666666E-2</v>
      </c>
      <c r="S921" s="44">
        <f>IF(Mecze[[#This Row],[Role]]="BR",SUMPRODUCT(Mecze[[#This Row],[/PR:90]:[/BR:90]],Brudnopis!$E$23:$J$23),0)</f>
        <v>0</v>
      </c>
      <c r="T921" s="44">
        <f>IF(Mecze[[#This Row],[Role]]&lt;&gt;"BR",SUMPRODUCT(Mecze[[#This Row],[/PR:90]:[/BR:90]],Brudnopis!$E$24:$J$24),0)</f>
        <v>0.15104166666666666</v>
      </c>
      <c r="U921" s="44">
        <f>IF(Mecze[[#This Row],[Role]]&lt;&gt;"BR",SUMPRODUCT(Mecze[[#This Row],[/PR:90]:[/BR:90]],Brudnopis!$E$25:$J$25),0)</f>
        <v>0.18229166666666666</v>
      </c>
      <c r="V921" s="44">
        <f>IF(Mecze[[#This Row],[Role]]&lt;&gt;"BR",SUMPRODUCT(Mecze[[#This Row],[/PR:90]:[/BR:90]],Brudnopis!$E$26:$J$26),0)</f>
        <v>0.14583333333333334</v>
      </c>
      <c r="W921" s="44">
        <f>IF(Mecze[[#This Row],[Role]]&lt;&gt;"BR",SUMPRODUCT(Mecze[[#This Row],[/PR:90]:[/BR:90]],Brudnopis!$E$27:$J$27),0)</f>
        <v>0.1796875</v>
      </c>
      <c r="X921" s="44">
        <f>IF(Mecze[[#This Row],[Role]]&lt;&gt;"BR",SUMPRODUCT(Mecze[[#This Row],[/PR:90]:[/BR:90]],Brudnopis!$E$28:$J$28),0)</f>
        <v>0.13541666666666666</v>
      </c>
      <c r="Y921" s="35">
        <f>IF(Mecze[[#This Row],[Role]]="BR",Mecze[[#This Row],[/OB:90]]+Mecze[[#This Row],[/PC:90]],SUM(Mecze[[#This Row],[/PR:90]:[/BR:90]]))</f>
        <v>0.13541666666666666</v>
      </c>
      <c r="Z921" s="35">
        <f>IF(Mecze[[#This Row],[KC]]=0,SUM(Mecze[[#This Row],[/BRI]:[/NPI]]),SUM(Mecze[[#This Row],[/BRI]:[/NPI]])*0.6)</f>
        <v>0.79427083333333326</v>
      </c>
      <c r="AA921" s="10">
        <f>IFERROR(Mecze[[#This Row],[BR]]/Mecze[[#This Row],[ST]],0)</f>
        <v>0.5</v>
      </c>
      <c r="AB921">
        <f>ROUND(Mecze[[#This Row],[PD]]*Mecze[[#This Row],[%PC]],0)</f>
        <v>8</v>
      </c>
      <c r="AC921">
        <f>ROUND(Mecze[[#This Row],[OD]]*Mecze[[#This Row],[%OU]],0)</f>
        <v>2</v>
      </c>
      <c r="AD921" s="36" t="s">
        <v>67</v>
      </c>
      <c r="AE921" s="36">
        <v>52</v>
      </c>
      <c r="AF921" s="71">
        <v>6.46</v>
      </c>
      <c r="AG921" s="37">
        <v>0</v>
      </c>
      <c r="AH921" s="37">
        <v>0</v>
      </c>
      <c r="AI921" s="37">
        <v>96</v>
      </c>
      <c r="AJ921" s="37">
        <v>5</v>
      </c>
      <c r="AK921" s="37" t="str">
        <f>VLOOKUP(Mecze[[#This Row],[Match ID]],Meczusie[Mecz]:Meczusie[RodzajMeczu],2,FALSE)</f>
        <v>Liga</v>
      </c>
    </row>
    <row r="922" spans="1:37" x14ac:dyDescent="0.25">
      <c r="A922" s="76">
        <v>8</v>
      </c>
      <c r="B922" s="3" t="s">
        <v>351</v>
      </c>
      <c r="C922" s="2" t="s">
        <v>160</v>
      </c>
      <c r="D922" s="1">
        <v>0</v>
      </c>
      <c r="E922" s="1">
        <v>0</v>
      </c>
      <c r="F922" s="1">
        <v>0</v>
      </c>
      <c r="G922" s="1">
        <v>9</v>
      </c>
      <c r="H922" s="4">
        <v>0.56000000000000005</v>
      </c>
      <c r="I922" s="1">
        <v>7</v>
      </c>
      <c r="J922" s="4">
        <v>0.43</v>
      </c>
      <c r="K922" s="1">
        <v>0</v>
      </c>
      <c r="L922" s="1">
        <v>2</v>
      </c>
      <c r="M922" s="32">
        <f>IF(Mecze[[#This Row],[PR]]=0,0,Mecze[[#This Row],[PR]]/Mecze[[#This Row],[CZAS]])</f>
        <v>2.0833333333333332E-2</v>
      </c>
      <c r="N922" s="32">
        <f>IF(Mecze[[#This Row],[OU]]=0,0,Mecze[[#This Row],[OU]]/Mecze[[#This Row],[CZAS]])</f>
        <v>3.125E-2</v>
      </c>
      <c r="O922" s="32">
        <f>IF(Mecze[[#This Row],[PC]]=0,0,Mecze[[#This Row],[PC]]/Mecze[[#This Row],[CZAS]])</f>
        <v>5.2083333333333336E-2</v>
      </c>
      <c r="P922" s="32">
        <f>IF(Mecze[[#This Row],[SC]]=0,0,Mecze[[#This Row],[SC]]/Mecze[[#This Row],[CZAS]])</f>
        <v>0</v>
      </c>
      <c r="Q922" s="32">
        <f>IF(Mecze[[#This Row],[OB]]=0,0,Mecze[[#This Row],[OB]]/Mecze[[#This Row],[CZAS]])</f>
        <v>0</v>
      </c>
      <c r="R922" s="32">
        <f>IF(Mecze[[#This Row],[BR]]=0,0,Mecze[[#This Row],[BR]]/Mecze[[#This Row],[CZAS]])</f>
        <v>0</v>
      </c>
      <c r="S922" s="44">
        <f>IF(Mecze[[#This Row],[Role]]="BR",SUMPRODUCT(Mecze[[#This Row],[/PR:90]:[/BR:90]],Brudnopis!$E$23:$J$23),0)</f>
        <v>0</v>
      </c>
      <c r="T922" s="44">
        <f>IF(Mecze[[#This Row],[Role]]&lt;&gt;"BR",SUMPRODUCT(Mecze[[#This Row],[/PR:90]:[/BR:90]],Brudnopis!$E$24:$J$24),0)</f>
        <v>0.11979166666666666</v>
      </c>
      <c r="U922" s="44">
        <f>IF(Mecze[[#This Row],[Role]]&lt;&gt;"BR",SUMPRODUCT(Mecze[[#This Row],[/PR:90]:[/BR:90]],Brudnopis!$E$25:$J$25),0)</f>
        <v>0.13020833333333331</v>
      </c>
      <c r="V922" s="44">
        <f>IF(Mecze[[#This Row],[Role]]&lt;&gt;"BR",SUMPRODUCT(Mecze[[#This Row],[/PR:90]:[/BR:90]],Brudnopis!$E$26:$J$26),0)</f>
        <v>0.10416666666666666</v>
      </c>
      <c r="W922" s="44">
        <f>IF(Mecze[[#This Row],[Role]]&lt;&gt;"BR",SUMPRODUCT(Mecze[[#This Row],[/PR:90]:[/BR:90]],Brudnopis!$E$27:$J$27),0)</f>
        <v>0.1171875</v>
      </c>
      <c r="X922" s="44">
        <f>IF(Mecze[[#This Row],[Role]]&lt;&gt;"BR",SUMPRODUCT(Mecze[[#This Row],[/PR:90]:[/BR:90]],Brudnopis!$E$28:$J$28),0)</f>
        <v>5.2083333333333336E-2</v>
      </c>
      <c r="Y922" s="35">
        <f>IF(Mecze[[#This Row],[Role]]="BR",Mecze[[#This Row],[/OB:90]]+Mecze[[#This Row],[/PC:90]],SUM(Mecze[[#This Row],[/PR:90]:[/BR:90]]))</f>
        <v>0.10416666666666666</v>
      </c>
      <c r="Z922" s="35">
        <f>IF(Mecze[[#This Row],[KC]]=0,SUM(Mecze[[#This Row],[/BRI]:[/NPI]]),SUM(Mecze[[#This Row],[/BRI]:[/NPI]])*0.6)</f>
        <v>0.5234375</v>
      </c>
      <c r="AA922" s="10">
        <f>IFERROR(Mecze[[#This Row],[BR]]/Mecze[[#This Row],[ST]],0)</f>
        <v>0</v>
      </c>
      <c r="AB922">
        <f>ROUND(Mecze[[#This Row],[PD]]*Mecze[[#This Row],[%PC]],0)</f>
        <v>5</v>
      </c>
      <c r="AC922">
        <f>ROUND(Mecze[[#This Row],[OD]]*Mecze[[#This Row],[%OU]],0)</f>
        <v>3</v>
      </c>
      <c r="AD922" s="36" t="s">
        <v>67</v>
      </c>
      <c r="AE922" s="36">
        <v>52</v>
      </c>
      <c r="AF922" s="71">
        <v>3.22</v>
      </c>
      <c r="AG922" s="37">
        <v>1</v>
      </c>
      <c r="AH922" s="37">
        <v>0</v>
      </c>
      <c r="AI922" s="37">
        <v>96</v>
      </c>
      <c r="AJ922" s="37">
        <v>5</v>
      </c>
      <c r="AK922" s="37" t="str">
        <f>VLOOKUP(Mecze[[#This Row],[Match ID]],Meczusie[Mecz]:Meczusie[RodzajMeczu],2,FALSE)</f>
        <v>Liga</v>
      </c>
    </row>
    <row r="923" spans="1:37" x14ac:dyDescent="0.25">
      <c r="A923" s="76">
        <v>10</v>
      </c>
      <c r="B923" s="3" t="s">
        <v>352</v>
      </c>
      <c r="C923" s="2" t="s">
        <v>165</v>
      </c>
      <c r="D923" s="1">
        <v>0</v>
      </c>
      <c r="E923" s="1">
        <v>2</v>
      </c>
      <c r="F923" s="1">
        <v>2</v>
      </c>
      <c r="G923" s="1">
        <v>8</v>
      </c>
      <c r="H923" s="4">
        <v>1</v>
      </c>
      <c r="I923" s="1">
        <v>4</v>
      </c>
      <c r="J923" s="4">
        <v>0.5</v>
      </c>
      <c r="K923" s="1">
        <v>0</v>
      </c>
      <c r="L923" s="1">
        <v>1</v>
      </c>
      <c r="M923" s="32">
        <f>IF(Mecze[[#This Row],[PR]]=0,0,Mecze[[#This Row],[PR]]/Mecze[[#This Row],[CZAS]])</f>
        <v>1.0416666666666666E-2</v>
      </c>
      <c r="N923" s="32">
        <f>IF(Mecze[[#This Row],[OU]]=0,0,Mecze[[#This Row],[OU]]/Mecze[[#This Row],[CZAS]])</f>
        <v>2.0833333333333332E-2</v>
      </c>
      <c r="O923" s="32">
        <f>IF(Mecze[[#This Row],[PC]]=0,0,Mecze[[#This Row],[PC]]/Mecze[[#This Row],[CZAS]])</f>
        <v>8.3333333333333329E-2</v>
      </c>
      <c r="P923" s="32">
        <f>IF(Mecze[[#This Row],[SC]]=0,0,Mecze[[#This Row],[SC]]/Mecze[[#This Row],[CZAS]])</f>
        <v>2.0833333333333332E-2</v>
      </c>
      <c r="Q923" s="32">
        <f>IF(Mecze[[#This Row],[OB]]=0,0,Mecze[[#This Row],[OB]]/Mecze[[#This Row],[CZAS]])</f>
        <v>0</v>
      </c>
      <c r="R923" s="32">
        <f>IF(Mecze[[#This Row],[BR]]=0,0,Mecze[[#This Row],[BR]]/Mecze[[#This Row],[CZAS]])</f>
        <v>0</v>
      </c>
      <c r="S923" s="44">
        <f>IF(Mecze[[#This Row],[Role]]="BR",SUMPRODUCT(Mecze[[#This Row],[/PR:90]:[/BR:90]],Brudnopis!$E$23:$J$23),0)</f>
        <v>0</v>
      </c>
      <c r="T923" s="44">
        <f>IF(Mecze[[#This Row],[Role]]&lt;&gt;"BR",SUMPRODUCT(Mecze[[#This Row],[/PR:90]:[/BR:90]],Brudnopis!$E$24:$J$24),0)</f>
        <v>0.14583333333333334</v>
      </c>
      <c r="U923" s="44">
        <f>IF(Mecze[[#This Row],[Role]]&lt;&gt;"BR",SUMPRODUCT(Mecze[[#This Row],[/PR:90]:[/BR:90]],Brudnopis!$E$25:$J$25),0)</f>
        <v>0.17708333333333334</v>
      </c>
      <c r="V923" s="44">
        <f>IF(Mecze[[#This Row],[Role]]&lt;&gt;"BR",SUMPRODUCT(Mecze[[#This Row],[/PR:90]:[/BR:90]],Brudnopis!$E$26:$J$26),0)</f>
        <v>0.13541666666666666</v>
      </c>
      <c r="W923" s="44">
        <f>IF(Mecze[[#This Row],[Role]]&lt;&gt;"BR",SUMPRODUCT(Mecze[[#This Row],[/PR:90]:[/BR:90]],Brudnopis!$E$27:$J$27),0)</f>
        <v>0.16927083333333334</v>
      </c>
      <c r="X923" s="44">
        <f>IF(Mecze[[#This Row],[Role]]&lt;&gt;"BR",SUMPRODUCT(Mecze[[#This Row],[/PR:90]:[/BR:90]],Brudnopis!$E$28:$J$28),0)</f>
        <v>0.125</v>
      </c>
      <c r="Y923" s="35">
        <f>IF(Mecze[[#This Row],[Role]]="BR",Mecze[[#This Row],[/OB:90]]+Mecze[[#This Row],[/PC:90]],SUM(Mecze[[#This Row],[/PR:90]:[/BR:90]]))</f>
        <v>0.13541666666666666</v>
      </c>
      <c r="Z923" s="35">
        <f>IF(Mecze[[#This Row],[KC]]=0,SUM(Mecze[[#This Row],[/BRI]:[/NPI]]),SUM(Mecze[[#This Row],[/BRI]:[/NPI]])*0.6)</f>
        <v>0.75260416666666674</v>
      </c>
      <c r="AA923" s="10">
        <f>IFERROR(Mecze[[#This Row],[BR]]/Mecze[[#This Row],[ST]],0)</f>
        <v>0</v>
      </c>
      <c r="AB923">
        <f>ROUND(Mecze[[#This Row],[PD]]*Mecze[[#This Row],[%PC]],0)</f>
        <v>8</v>
      </c>
      <c r="AC923">
        <f>ROUND(Mecze[[#This Row],[OD]]*Mecze[[#This Row],[%OU]],0)</f>
        <v>2</v>
      </c>
      <c r="AD923" s="36" t="s">
        <v>46</v>
      </c>
      <c r="AE923" s="36">
        <v>52</v>
      </c>
      <c r="AF923" s="71">
        <v>5.18</v>
      </c>
      <c r="AG923" s="37">
        <v>1</v>
      </c>
      <c r="AH923" s="37">
        <v>0</v>
      </c>
      <c r="AI923" s="37">
        <v>96</v>
      </c>
      <c r="AJ923" s="37">
        <v>5</v>
      </c>
      <c r="AK923" s="37" t="str">
        <f>VLOOKUP(Mecze[[#This Row],[Match ID]],Meczusie[Mecz]:Meczusie[RodzajMeczu],2,FALSE)</f>
        <v>Liga</v>
      </c>
    </row>
    <row r="924" spans="1:37" x14ac:dyDescent="0.25">
      <c r="A924" s="76">
        <v>11</v>
      </c>
      <c r="B924" s="3" t="s">
        <v>353</v>
      </c>
      <c r="C924" s="2" t="s">
        <v>165</v>
      </c>
      <c r="D924" s="1">
        <v>1</v>
      </c>
      <c r="E924" s="1">
        <v>4</v>
      </c>
      <c r="F924" s="1">
        <v>3</v>
      </c>
      <c r="G924" s="1">
        <v>10</v>
      </c>
      <c r="H924" s="4">
        <v>0.6</v>
      </c>
      <c r="I924" s="1">
        <v>4</v>
      </c>
      <c r="J924" s="4">
        <v>0.5</v>
      </c>
      <c r="K924" s="1">
        <v>0</v>
      </c>
      <c r="L924" s="1">
        <v>1</v>
      </c>
      <c r="M924" s="32">
        <f>IF(Mecze[[#This Row],[PR]]=0,0,Mecze[[#This Row],[PR]]/Mecze[[#This Row],[CZAS]])</f>
        <v>1.0416666666666666E-2</v>
      </c>
      <c r="N924" s="32">
        <f>IF(Mecze[[#This Row],[OU]]=0,0,Mecze[[#This Row],[OU]]/Mecze[[#This Row],[CZAS]])</f>
        <v>2.0833333333333332E-2</v>
      </c>
      <c r="O924" s="32">
        <f>IF(Mecze[[#This Row],[PC]]=0,0,Mecze[[#This Row],[PC]]/Mecze[[#This Row],[CZAS]])</f>
        <v>6.25E-2</v>
      </c>
      <c r="P924" s="32">
        <f>IF(Mecze[[#This Row],[SC]]=0,0,Mecze[[#This Row],[SC]]/Mecze[[#This Row],[CZAS]])</f>
        <v>3.125E-2</v>
      </c>
      <c r="Q924" s="32">
        <f>IF(Mecze[[#This Row],[OB]]=0,0,Mecze[[#This Row],[OB]]/Mecze[[#This Row],[CZAS]])</f>
        <v>0</v>
      </c>
      <c r="R924" s="32">
        <f>IF(Mecze[[#This Row],[BR]]=0,0,Mecze[[#This Row],[BR]]/Mecze[[#This Row],[CZAS]])</f>
        <v>1.0416666666666666E-2</v>
      </c>
      <c r="S924" s="44">
        <f>IF(Mecze[[#This Row],[Role]]="BR",SUMPRODUCT(Mecze[[#This Row],[/PR:90]:[/BR:90]],Brudnopis!$E$23:$J$23),0)</f>
        <v>0</v>
      </c>
      <c r="T924" s="44">
        <f>IF(Mecze[[#This Row],[Role]]&lt;&gt;"BR",SUMPRODUCT(Mecze[[#This Row],[/PR:90]:[/BR:90]],Brudnopis!$E$24:$J$24),0)</f>
        <v>0.15104166666666666</v>
      </c>
      <c r="U924" s="44">
        <f>IF(Mecze[[#This Row],[Role]]&lt;&gt;"BR",SUMPRODUCT(Mecze[[#This Row],[/PR:90]:[/BR:90]],Brudnopis!$E$25:$J$25),0)</f>
        <v>0.171875</v>
      </c>
      <c r="V924" s="44">
        <f>IF(Mecze[[#This Row],[Role]]&lt;&gt;"BR",SUMPRODUCT(Mecze[[#This Row],[/PR:90]:[/BR:90]],Brudnopis!$E$26:$J$26),0)</f>
        <v>0.14583333333333334</v>
      </c>
      <c r="W924" s="44">
        <f>IF(Mecze[[#This Row],[Role]]&lt;&gt;"BR",SUMPRODUCT(Mecze[[#This Row],[/PR:90]:[/BR:90]],Brudnopis!$E$27:$J$27),0)</f>
        <v>0.16927083333333334</v>
      </c>
      <c r="X924" s="44">
        <f>IF(Mecze[[#This Row],[Role]]&lt;&gt;"BR",SUMPRODUCT(Mecze[[#This Row],[/PR:90]:[/BR:90]],Brudnopis!$E$28:$J$28),0)</f>
        <v>0.15625</v>
      </c>
      <c r="Y924" s="35">
        <f>IF(Mecze[[#This Row],[Role]]="BR",Mecze[[#This Row],[/OB:90]]+Mecze[[#This Row],[/PC:90]],SUM(Mecze[[#This Row],[/PR:90]:[/BR:90]]))</f>
        <v>0.13541666666666666</v>
      </c>
      <c r="Z924" s="35">
        <f>IF(Mecze[[#This Row],[KC]]=0,SUM(Mecze[[#This Row],[/BRI]:[/NPI]]),SUM(Mecze[[#This Row],[/BRI]:[/NPI]])*0.6)</f>
        <v>0.79427083333333337</v>
      </c>
      <c r="AA924" s="10">
        <f>IFERROR(Mecze[[#This Row],[BR]]/Mecze[[#This Row],[ST]],0)</f>
        <v>0.25</v>
      </c>
      <c r="AB924">
        <f>ROUND(Mecze[[#This Row],[PD]]*Mecze[[#This Row],[%PC]],0)</f>
        <v>6</v>
      </c>
      <c r="AC924">
        <f>ROUND(Mecze[[#This Row],[OD]]*Mecze[[#This Row],[%OU]],0)</f>
        <v>2</v>
      </c>
      <c r="AD924" s="36" t="s">
        <v>272</v>
      </c>
      <c r="AE924" s="36">
        <v>52</v>
      </c>
      <c r="AF924" s="71">
        <v>7</v>
      </c>
      <c r="AG924" s="37">
        <v>0</v>
      </c>
      <c r="AH924" s="37">
        <v>0</v>
      </c>
      <c r="AI924" s="37">
        <v>96</v>
      </c>
      <c r="AJ924" s="37">
        <v>5</v>
      </c>
      <c r="AK924" s="37" t="str">
        <f>VLOOKUP(Mecze[[#This Row],[Match ID]],Meczusie[Mecz]:Meczusie[RodzajMeczu],2,FALSE)</f>
        <v>Liga</v>
      </c>
    </row>
    <row r="925" spans="1:37" x14ac:dyDescent="0.25">
      <c r="A925" s="76">
        <v>9</v>
      </c>
      <c r="B925" s="3" t="s">
        <v>354</v>
      </c>
      <c r="C925" s="2" t="s">
        <v>165</v>
      </c>
      <c r="D925" s="1">
        <v>0</v>
      </c>
      <c r="E925" s="1">
        <v>5</v>
      </c>
      <c r="F925" s="1">
        <v>5</v>
      </c>
      <c r="G925" s="1">
        <v>11</v>
      </c>
      <c r="H925" s="4">
        <v>0.73</v>
      </c>
      <c r="I925" s="1">
        <v>3</v>
      </c>
      <c r="J925" s="4">
        <v>0.33</v>
      </c>
      <c r="K925" s="1">
        <v>0</v>
      </c>
      <c r="L925" s="1">
        <v>0</v>
      </c>
      <c r="M925" s="32">
        <f>IF(Mecze[[#This Row],[PR]]=0,0,Mecze[[#This Row],[PR]]/Mecze[[#This Row],[CZAS]])</f>
        <v>0</v>
      </c>
      <c r="N925" s="32">
        <f>IF(Mecze[[#This Row],[OU]]=0,0,Mecze[[#This Row],[OU]]/Mecze[[#This Row],[CZAS]])</f>
        <v>1.0416666666666666E-2</v>
      </c>
      <c r="O925" s="32">
        <f>IF(Mecze[[#This Row],[PC]]=0,0,Mecze[[#This Row],[PC]]/Mecze[[#This Row],[CZAS]])</f>
        <v>8.3333333333333329E-2</v>
      </c>
      <c r="P925" s="32">
        <f>IF(Mecze[[#This Row],[SC]]=0,0,Mecze[[#This Row],[SC]]/Mecze[[#This Row],[CZAS]])</f>
        <v>5.2083333333333336E-2</v>
      </c>
      <c r="Q925" s="32">
        <f>IF(Mecze[[#This Row],[OB]]=0,0,Mecze[[#This Row],[OB]]/Mecze[[#This Row],[CZAS]])</f>
        <v>0</v>
      </c>
      <c r="R925" s="32">
        <f>IF(Mecze[[#This Row],[BR]]=0,0,Mecze[[#This Row],[BR]]/Mecze[[#This Row],[CZAS]])</f>
        <v>0</v>
      </c>
      <c r="S925" s="44">
        <f>IF(Mecze[[#This Row],[Role]]="BR",SUMPRODUCT(Mecze[[#This Row],[/PR:90]:[/BR:90]],Brudnopis!$E$23:$J$23),0)</f>
        <v>0</v>
      </c>
      <c r="T925" s="44">
        <f>IF(Mecze[[#This Row],[Role]]&lt;&gt;"BR",SUMPRODUCT(Mecze[[#This Row],[/PR:90]:[/BR:90]],Brudnopis!$E$24:$J$24),0)</f>
        <v>0.15104166666666666</v>
      </c>
      <c r="U925" s="44">
        <f>IF(Mecze[[#This Row],[Role]]&lt;&gt;"BR",SUMPRODUCT(Mecze[[#This Row],[/PR:90]:[/BR:90]],Brudnopis!$E$25:$J$25),0)</f>
        <v>0.1875</v>
      </c>
      <c r="V925" s="44">
        <f>IF(Mecze[[#This Row],[Role]]&lt;&gt;"BR",SUMPRODUCT(Mecze[[#This Row],[/PR:90]:[/BR:90]],Brudnopis!$E$26:$J$26),0)</f>
        <v>0.14583333333333334</v>
      </c>
      <c r="W925" s="44">
        <f>IF(Mecze[[#This Row],[Role]]&lt;&gt;"BR",SUMPRODUCT(Mecze[[#This Row],[/PR:90]:[/BR:90]],Brudnopis!$E$27:$J$27),0)</f>
        <v>0.18489583333333334</v>
      </c>
      <c r="X925" s="44">
        <f>IF(Mecze[[#This Row],[Role]]&lt;&gt;"BR",SUMPRODUCT(Mecze[[#This Row],[/PR:90]:[/BR:90]],Brudnopis!$E$28:$J$28),0)</f>
        <v>0.1875</v>
      </c>
      <c r="Y925" s="35">
        <f>IF(Mecze[[#This Row],[Role]]="BR",Mecze[[#This Row],[/OB:90]]+Mecze[[#This Row],[/PC:90]],SUM(Mecze[[#This Row],[/PR:90]:[/BR:90]]))</f>
        <v>0.14583333333333334</v>
      </c>
      <c r="Z925" s="35">
        <f>IF(Mecze[[#This Row],[KC]]=0,SUM(Mecze[[#This Row],[/BRI]:[/NPI]]),SUM(Mecze[[#This Row],[/BRI]:[/NPI]])*0.6)</f>
        <v>0.85677083333333337</v>
      </c>
      <c r="AA925" s="10">
        <f>IFERROR(Mecze[[#This Row],[BR]]/Mecze[[#This Row],[ST]],0)</f>
        <v>0</v>
      </c>
      <c r="AB925">
        <f>ROUND(Mecze[[#This Row],[PD]]*Mecze[[#This Row],[%PC]],0)</f>
        <v>8</v>
      </c>
      <c r="AC925">
        <f>ROUND(Mecze[[#This Row],[OD]]*Mecze[[#This Row],[%OU]],0)</f>
        <v>1</v>
      </c>
      <c r="AD925" s="36" t="s">
        <v>273</v>
      </c>
      <c r="AE925" s="36">
        <v>52</v>
      </c>
      <c r="AF925" s="71">
        <v>5.14</v>
      </c>
      <c r="AG925" s="37">
        <v>0</v>
      </c>
      <c r="AH925" s="37">
        <v>0</v>
      </c>
      <c r="AI925" s="37">
        <v>96</v>
      </c>
      <c r="AJ925" s="37">
        <v>5</v>
      </c>
      <c r="AK925" s="37" t="str">
        <f>VLOOKUP(Mecze[[#This Row],[Match ID]],Meczusie[Mecz]:Meczusie[RodzajMeczu],2,FALSE)</f>
        <v>Liga</v>
      </c>
    </row>
    <row r="926" spans="1:37" x14ac:dyDescent="0.25">
      <c r="A926" s="76">
        <v>1</v>
      </c>
      <c r="B926" s="3" t="s">
        <v>304</v>
      </c>
      <c r="C926" s="2" t="s">
        <v>155</v>
      </c>
      <c r="D926" s="1">
        <v>0</v>
      </c>
      <c r="E926" s="1">
        <v>0</v>
      </c>
      <c r="F926" s="1">
        <v>0</v>
      </c>
      <c r="G926" s="1">
        <v>10</v>
      </c>
      <c r="H926" s="4">
        <v>0.7</v>
      </c>
      <c r="I926" s="1">
        <v>0</v>
      </c>
      <c r="J926" s="4"/>
      <c r="K926" s="1">
        <v>8</v>
      </c>
      <c r="L926" s="1">
        <v>0</v>
      </c>
      <c r="M926" s="32">
        <f>IF(Mecze[[#This Row],[PR]]=0,0,Mecze[[#This Row],[PR]]/Mecze[[#This Row],[CZAS]])</f>
        <v>0</v>
      </c>
      <c r="N926" s="32">
        <f>IF(Mecze[[#This Row],[OU]]=0,0,Mecze[[#This Row],[OU]]/Mecze[[#This Row],[CZAS]])</f>
        <v>0</v>
      </c>
      <c r="O926" s="32">
        <f>IF(Mecze[[#This Row],[PC]]=0,0,Mecze[[#This Row],[PC]]/Mecze[[#This Row],[CZAS]])</f>
        <v>7.2916666666666671E-2</v>
      </c>
      <c r="P926" s="32">
        <f>IF(Mecze[[#This Row],[SC]]=0,0,Mecze[[#This Row],[SC]]/Mecze[[#This Row],[CZAS]])</f>
        <v>0</v>
      </c>
      <c r="Q926" s="32">
        <f>IF(Mecze[[#This Row],[OB]]=0,0,Mecze[[#This Row],[OB]]/Mecze[[#This Row],[CZAS]])</f>
        <v>8.3333333333333329E-2</v>
      </c>
      <c r="R926" s="32">
        <f>IF(Mecze[[#This Row],[BR]]=0,0,Mecze[[#This Row],[BR]]/Mecze[[#This Row],[CZAS]])</f>
        <v>0</v>
      </c>
      <c r="S926" s="44">
        <f>IF(Mecze[[#This Row],[Role]]="BR",SUMPRODUCT(Mecze[[#This Row],[/PR:90]:[/BR:90]],Brudnopis!$E$23:$J$23),0)</f>
        <v>0.46875</v>
      </c>
      <c r="T926" s="44">
        <f>IF(Mecze[[#This Row],[Role]]&lt;&gt;"BR",SUMPRODUCT(Mecze[[#This Row],[/PR:90]:[/BR:90]],Brudnopis!$E$24:$J$24),0)</f>
        <v>0</v>
      </c>
      <c r="U926" s="44">
        <f>IF(Mecze[[#This Row],[Role]]&lt;&gt;"BR",SUMPRODUCT(Mecze[[#This Row],[/PR:90]:[/BR:90]],Brudnopis!$E$25:$J$25),0)</f>
        <v>0</v>
      </c>
      <c r="V926" s="44">
        <f>IF(Mecze[[#This Row],[Role]]&lt;&gt;"BR",SUMPRODUCT(Mecze[[#This Row],[/PR:90]:[/BR:90]],Brudnopis!$E$26:$J$26),0)</f>
        <v>0</v>
      </c>
      <c r="W926" s="44">
        <f>IF(Mecze[[#This Row],[Role]]&lt;&gt;"BR",SUMPRODUCT(Mecze[[#This Row],[/PR:90]:[/BR:90]],Brudnopis!$E$27:$J$27),0)</f>
        <v>0</v>
      </c>
      <c r="X926" s="44">
        <f>IF(Mecze[[#This Row],[Role]]&lt;&gt;"BR",SUMPRODUCT(Mecze[[#This Row],[/PR:90]:[/BR:90]],Brudnopis!$E$28:$J$28),0)</f>
        <v>0</v>
      </c>
      <c r="Y926" s="35">
        <f>IF(Mecze[[#This Row],[Role]]="BR",Mecze[[#This Row],[/OB:90]]+Mecze[[#This Row],[/PC:90]],SUM(Mecze[[#This Row],[/PR:90]:[/BR:90]]))</f>
        <v>0.15625</v>
      </c>
      <c r="Z926" s="35">
        <f>IF(Mecze[[#This Row],[KC]]=0,SUM(Mecze[[#This Row],[/BRI]:[/NPI]]),SUM(Mecze[[#This Row],[/BRI]:[/NPI]])*0.6)</f>
        <v>0.46875</v>
      </c>
      <c r="AA926" s="10">
        <f>IFERROR(Mecze[[#This Row],[BR]]/Mecze[[#This Row],[ST]],0)</f>
        <v>0</v>
      </c>
      <c r="AB926">
        <f>ROUND(Mecze[[#This Row],[PD]]*Mecze[[#This Row],[%PC]],0)</f>
        <v>7</v>
      </c>
      <c r="AC926">
        <f>ROUND(Mecze[[#This Row],[OD]]*Mecze[[#This Row],[%OU]],0)</f>
        <v>0</v>
      </c>
      <c r="AD926" s="36" t="s">
        <v>40</v>
      </c>
      <c r="AE926" s="36">
        <v>52</v>
      </c>
      <c r="AF926" s="71">
        <v>6.83</v>
      </c>
      <c r="AG926" s="37">
        <v>0</v>
      </c>
      <c r="AH926" s="37">
        <v>0</v>
      </c>
      <c r="AI926" s="37">
        <v>96</v>
      </c>
      <c r="AJ926" s="37">
        <v>8</v>
      </c>
      <c r="AK926" s="37" t="str">
        <f>VLOOKUP(Mecze[[#This Row],[Match ID]],Meczusie[Mecz]:Meczusie[RodzajMeczu],2,FALSE)</f>
        <v>Liga</v>
      </c>
    </row>
    <row r="927" spans="1:37" x14ac:dyDescent="0.25">
      <c r="A927" s="76">
        <v>5</v>
      </c>
      <c r="B927" s="3" t="s">
        <v>305</v>
      </c>
      <c r="C927" s="2" t="s">
        <v>157</v>
      </c>
      <c r="D927" s="1">
        <v>0</v>
      </c>
      <c r="E927" s="1">
        <v>0</v>
      </c>
      <c r="F927" s="1">
        <v>0</v>
      </c>
      <c r="G927" s="1">
        <v>6</v>
      </c>
      <c r="H927" s="4">
        <v>1</v>
      </c>
      <c r="I927" s="1">
        <v>4</v>
      </c>
      <c r="J927" s="4">
        <v>0.25</v>
      </c>
      <c r="K927" s="1">
        <v>0</v>
      </c>
      <c r="L927" s="1">
        <v>7</v>
      </c>
      <c r="M927" s="32">
        <f>IF(Mecze[[#This Row],[PR]]=0,0,Mecze[[#This Row],[PR]]/Mecze[[#This Row],[CZAS]])</f>
        <v>7.2916666666666671E-2</v>
      </c>
      <c r="N927" s="32">
        <f>IF(Mecze[[#This Row],[OU]]=0,0,Mecze[[#This Row],[OU]]/Mecze[[#This Row],[CZAS]])</f>
        <v>1.0416666666666666E-2</v>
      </c>
      <c r="O927" s="32">
        <f>IF(Mecze[[#This Row],[PC]]=0,0,Mecze[[#This Row],[PC]]/Mecze[[#This Row],[CZAS]])</f>
        <v>6.25E-2</v>
      </c>
      <c r="P927" s="32">
        <f>IF(Mecze[[#This Row],[SC]]=0,0,Mecze[[#This Row],[SC]]/Mecze[[#This Row],[CZAS]])</f>
        <v>0</v>
      </c>
      <c r="Q927" s="32">
        <f>IF(Mecze[[#This Row],[OB]]=0,0,Mecze[[#This Row],[OB]]/Mecze[[#This Row],[CZAS]])</f>
        <v>0</v>
      </c>
      <c r="R927" s="32">
        <f>IF(Mecze[[#This Row],[BR]]=0,0,Mecze[[#This Row],[BR]]/Mecze[[#This Row],[CZAS]])</f>
        <v>0</v>
      </c>
      <c r="S927" s="44">
        <f>IF(Mecze[[#This Row],[Role]]="BR",SUMPRODUCT(Mecze[[#This Row],[/PR:90]:[/BR:90]],Brudnopis!$E$23:$J$23),0)</f>
        <v>0</v>
      </c>
      <c r="T927" s="44">
        <f>IF(Mecze[[#This Row],[Role]]&lt;&gt;"BR",SUMPRODUCT(Mecze[[#This Row],[/PR:90]:[/BR:90]],Brudnopis!$E$24:$J$24),0)</f>
        <v>0.15104166666666669</v>
      </c>
      <c r="U927" s="44">
        <f>IF(Mecze[[#This Row],[Role]]&lt;&gt;"BR",SUMPRODUCT(Mecze[[#This Row],[/PR:90]:[/BR:90]],Brudnopis!$E$25:$J$25),0)</f>
        <v>0.17708333333333334</v>
      </c>
      <c r="V927" s="44">
        <f>IF(Mecze[[#This Row],[Role]]&lt;&gt;"BR",SUMPRODUCT(Mecze[[#This Row],[/PR:90]:[/BR:90]],Brudnopis!$E$26:$J$26),0)</f>
        <v>0.14583333333333334</v>
      </c>
      <c r="W927" s="44">
        <f>IF(Mecze[[#This Row],[Role]]&lt;&gt;"BR",SUMPRODUCT(Mecze[[#This Row],[/PR:90]:[/BR:90]],Brudnopis!$E$27:$J$27),0)</f>
        <v>0.15625</v>
      </c>
      <c r="X927" s="44">
        <f>IF(Mecze[[#This Row],[Role]]&lt;&gt;"BR",SUMPRODUCT(Mecze[[#This Row],[/PR:90]:[/BR:90]],Brudnopis!$E$28:$J$28),0)</f>
        <v>6.25E-2</v>
      </c>
      <c r="Y927" s="35">
        <f>IF(Mecze[[#This Row],[Role]]="BR",Mecze[[#This Row],[/OB:90]]+Mecze[[#This Row],[/PC:90]],SUM(Mecze[[#This Row],[/PR:90]:[/BR:90]]))</f>
        <v>0.14583333333333334</v>
      </c>
      <c r="Z927" s="35">
        <f>IF(Mecze[[#This Row],[KC]]=0,SUM(Mecze[[#This Row],[/BRI]:[/NPI]]),SUM(Mecze[[#This Row],[/BRI]:[/NPI]])*0.6)</f>
        <v>0.69270833333333337</v>
      </c>
      <c r="AA927" s="10">
        <f>IFERROR(Mecze[[#This Row],[BR]]/Mecze[[#This Row],[ST]],0)</f>
        <v>0</v>
      </c>
      <c r="AB927">
        <f>ROUND(Mecze[[#This Row],[PD]]*Mecze[[#This Row],[%PC]],0)</f>
        <v>6</v>
      </c>
      <c r="AC927">
        <f>ROUND(Mecze[[#This Row],[OD]]*Mecze[[#This Row],[%OU]],0)</f>
        <v>1</v>
      </c>
      <c r="AD927" s="36" t="s">
        <v>47</v>
      </c>
      <c r="AE927" s="36">
        <v>52</v>
      </c>
      <c r="AF927" s="71">
        <v>4.28</v>
      </c>
      <c r="AG927" s="37">
        <v>0</v>
      </c>
      <c r="AH927" s="37">
        <v>0</v>
      </c>
      <c r="AI927" s="37">
        <v>96</v>
      </c>
      <c r="AJ927" s="37">
        <v>8</v>
      </c>
      <c r="AK927" s="37" t="str">
        <f>VLOOKUP(Mecze[[#This Row],[Match ID]],Meczusie[Mecz]:Meczusie[RodzajMeczu],2,FALSE)</f>
        <v>Liga</v>
      </c>
    </row>
    <row r="928" spans="1:37" x14ac:dyDescent="0.25">
      <c r="A928" s="76">
        <v>23</v>
      </c>
      <c r="B928" s="3" t="s">
        <v>306</v>
      </c>
      <c r="C928" s="2" t="s">
        <v>157</v>
      </c>
      <c r="D928" s="1">
        <v>0</v>
      </c>
      <c r="E928" s="1">
        <v>0</v>
      </c>
      <c r="F928" s="1">
        <v>0</v>
      </c>
      <c r="G928" s="1">
        <v>7</v>
      </c>
      <c r="H928" s="4">
        <v>1</v>
      </c>
      <c r="I928" s="1">
        <v>3</v>
      </c>
      <c r="J928" s="4">
        <v>1</v>
      </c>
      <c r="K928" s="1">
        <v>0</v>
      </c>
      <c r="L928" s="1">
        <v>5</v>
      </c>
      <c r="M928" s="32">
        <f>IF(Mecze[[#This Row],[PR]]=0,0,Mecze[[#This Row],[PR]]/Mecze[[#This Row],[CZAS]])</f>
        <v>6.7567567567567571E-2</v>
      </c>
      <c r="N928" s="32">
        <f>IF(Mecze[[#This Row],[OU]]=0,0,Mecze[[#This Row],[OU]]/Mecze[[#This Row],[CZAS]])</f>
        <v>4.0540540540540543E-2</v>
      </c>
      <c r="O928" s="32">
        <f>IF(Mecze[[#This Row],[PC]]=0,0,Mecze[[#This Row],[PC]]/Mecze[[#This Row],[CZAS]])</f>
        <v>9.45945945945946E-2</v>
      </c>
      <c r="P928" s="32">
        <f>IF(Mecze[[#This Row],[SC]]=0,0,Mecze[[#This Row],[SC]]/Mecze[[#This Row],[CZAS]])</f>
        <v>0</v>
      </c>
      <c r="Q928" s="32">
        <f>IF(Mecze[[#This Row],[OB]]=0,0,Mecze[[#This Row],[OB]]/Mecze[[#This Row],[CZAS]])</f>
        <v>0</v>
      </c>
      <c r="R928" s="32">
        <f>IF(Mecze[[#This Row],[BR]]=0,0,Mecze[[#This Row],[BR]]/Mecze[[#This Row],[CZAS]])</f>
        <v>0</v>
      </c>
      <c r="S928" s="44">
        <f>IF(Mecze[[#This Row],[Role]]="BR",SUMPRODUCT(Mecze[[#This Row],[/PR:90]:[/BR:90]],Brudnopis!$E$23:$J$23),0)</f>
        <v>0</v>
      </c>
      <c r="T928" s="44">
        <f>IF(Mecze[[#This Row],[Role]]&lt;&gt;"BR",SUMPRODUCT(Mecze[[#This Row],[/PR:90]:[/BR:90]],Brudnopis!$E$24:$J$24),0)</f>
        <v>0.222972972972973</v>
      </c>
      <c r="U928" s="44">
        <f>IF(Mecze[[#This Row],[Role]]&lt;&gt;"BR",SUMPRODUCT(Mecze[[#This Row],[/PR:90]:[/BR:90]],Brudnopis!$E$25:$J$25),0)</f>
        <v>0.25</v>
      </c>
      <c r="V928" s="44">
        <f>IF(Mecze[[#This Row],[Role]]&lt;&gt;"BR",SUMPRODUCT(Mecze[[#This Row],[/PR:90]:[/BR:90]],Brudnopis!$E$26:$J$26),0)</f>
        <v>0.20270270270270271</v>
      </c>
      <c r="W928" s="44">
        <f>IF(Mecze[[#This Row],[Role]]&lt;&gt;"BR",SUMPRODUCT(Mecze[[#This Row],[/PR:90]:[/BR:90]],Brudnopis!$E$27:$J$27),0)</f>
        <v>0.22297297297297297</v>
      </c>
      <c r="X928" s="44">
        <f>IF(Mecze[[#This Row],[Role]]&lt;&gt;"BR",SUMPRODUCT(Mecze[[#This Row],[/PR:90]:[/BR:90]],Brudnopis!$E$28:$J$28),0)</f>
        <v>9.45945945945946E-2</v>
      </c>
      <c r="Y928" s="35">
        <f>IF(Mecze[[#This Row],[Role]]="BR",Mecze[[#This Row],[/OB:90]]+Mecze[[#This Row],[/PC:90]],SUM(Mecze[[#This Row],[/PR:90]:[/BR:90]]))</f>
        <v>0.20270270270270271</v>
      </c>
      <c r="Z928" s="35">
        <f>IF(Mecze[[#This Row],[KC]]=0,SUM(Mecze[[#This Row],[/BRI]:[/NPI]]),SUM(Mecze[[#This Row],[/BRI]:[/NPI]])*0.6)</f>
        <v>0.99324324324324331</v>
      </c>
      <c r="AA928" s="10">
        <f>IFERROR(Mecze[[#This Row],[BR]]/Mecze[[#This Row],[ST]],0)</f>
        <v>0</v>
      </c>
      <c r="AB928">
        <f>ROUND(Mecze[[#This Row],[PD]]*Mecze[[#This Row],[%PC]],0)</f>
        <v>7</v>
      </c>
      <c r="AC928">
        <f>ROUND(Mecze[[#This Row],[OD]]*Mecze[[#This Row],[%OU]],0)</f>
        <v>3</v>
      </c>
      <c r="AD928" s="36" t="s">
        <v>167</v>
      </c>
      <c r="AE928" s="36">
        <v>52</v>
      </c>
      <c r="AF928" s="71">
        <v>7.01</v>
      </c>
      <c r="AG928" s="37">
        <v>0</v>
      </c>
      <c r="AH928" s="37">
        <v>0</v>
      </c>
      <c r="AI928" s="37">
        <v>74</v>
      </c>
      <c r="AJ928" s="37">
        <v>8</v>
      </c>
      <c r="AK928" s="37" t="str">
        <f>VLOOKUP(Mecze[[#This Row],[Match ID]],Meczusie[Mecz]:Meczusie[RodzajMeczu],2,FALSE)</f>
        <v>Liga</v>
      </c>
    </row>
    <row r="929" spans="1:37" x14ac:dyDescent="0.25">
      <c r="A929" s="76">
        <v>2</v>
      </c>
      <c r="B929" s="3" t="s">
        <v>307</v>
      </c>
      <c r="C929" s="2" t="s">
        <v>157</v>
      </c>
      <c r="D929" s="1">
        <v>0</v>
      </c>
      <c r="E929" s="1">
        <v>0</v>
      </c>
      <c r="F929" s="1">
        <v>0</v>
      </c>
      <c r="G929" s="1">
        <v>4</v>
      </c>
      <c r="H929" s="4">
        <v>1</v>
      </c>
      <c r="I929" s="1">
        <v>3</v>
      </c>
      <c r="J929" s="4">
        <v>0.67</v>
      </c>
      <c r="K929" s="1">
        <v>0</v>
      </c>
      <c r="L929" s="1">
        <v>3</v>
      </c>
      <c r="M929" s="32">
        <f>IF(Mecze[[#This Row],[PR]]=0,0,Mecze[[#This Row],[PR]]/Mecze[[#This Row],[CZAS]])</f>
        <v>3.125E-2</v>
      </c>
      <c r="N929" s="32">
        <f>IF(Mecze[[#This Row],[OU]]=0,0,Mecze[[#This Row],[OU]]/Mecze[[#This Row],[CZAS]])</f>
        <v>2.0833333333333332E-2</v>
      </c>
      <c r="O929" s="32">
        <f>IF(Mecze[[#This Row],[PC]]=0,0,Mecze[[#This Row],[PC]]/Mecze[[#This Row],[CZAS]])</f>
        <v>4.1666666666666664E-2</v>
      </c>
      <c r="P929" s="32">
        <f>IF(Mecze[[#This Row],[SC]]=0,0,Mecze[[#This Row],[SC]]/Mecze[[#This Row],[CZAS]])</f>
        <v>0</v>
      </c>
      <c r="Q929" s="32">
        <f>IF(Mecze[[#This Row],[OB]]=0,0,Mecze[[#This Row],[OB]]/Mecze[[#This Row],[CZAS]])</f>
        <v>0</v>
      </c>
      <c r="R929" s="32">
        <f>IF(Mecze[[#This Row],[BR]]=0,0,Mecze[[#This Row],[BR]]/Mecze[[#This Row],[CZAS]])</f>
        <v>0</v>
      </c>
      <c r="S929" s="44">
        <f>IF(Mecze[[#This Row],[Role]]="BR",SUMPRODUCT(Mecze[[#This Row],[/PR:90]:[/BR:90]],Brudnopis!$E$23:$J$23),0)</f>
        <v>0</v>
      </c>
      <c r="T929" s="44">
        <f>IF(Mecze[[#This Row],[Role]]&lt;&gt;"BR",SUMPRODUCT(Mecze[[#This Row],[/PR:90]:[/BR:90]],Brudnopis!$E$24:$J$24),0)</f>
        <v>0.10416666666666666</v>
      </c>
      <c r="U929" s="44">
        <f>IF(Mecze[[#This Row],[Role]]&lt;&gt;"BR",SUMPRODUCT(Mecze[[#This Row],[/PR:90]:[/BR:90]],Brudnopis!$E$25:$J$25),0)</f>
        <v>0.11458333333333333</v>
      </c>
      <c r="V929" s="44">
        <f>IF(Mecze[[#This Row],[Role]]&lt;&gt;"BR",SUMPRODUCT(Mecze[[#This Row],[/PR:90]:[/BR:90]],Brudnopis!$E$26:$J$26),0)</f>
        <v>9.375E-2</v>
      </c>
      <c r="W929" s="44">
        <f>IF(Mecze[[#This Row],[Role]]&lt;&gt;"BR",SUMPRODUCT(Mecze[[#This Row],[/PR:90]:[/BR:90]],Brudnopis!$E$27:$J$27),0)</f>
        <v>0.1015625</v>
      </c>
      <c r="X929" s="44">
        <f>IF(Mecze[[#This Row],[Role]]&lt;&gt;"BR",SUMPRODUCT(Mecze[[#This Row],[/PR:90]:[/BR:90]],Brudnopis!$E$28:$J$28),0)</f>
        <v>4.1666666666666664E-2</v>
      </c>
      <c r="Y929" s="35">
        <f>IF(Mecze[[#This Row],[Role]]="BR",Mecze[[#This Row],[/OB:90]]+Mecze[[#This Row],[/PC:90]],SUM(Mecze[[#This Row],[/PR:90]:[/BR:90]]))</f>
        <v>9.375E-2</v>
      </c>
      <c r="Z929" s="35">
        <f>IF(Mecze[[#This Row],[KC]]=0,SUM(Mecze[[#This Row],[/BRI]:[/NPI]]),SUM(Mecze[[#This Row],[/BRI]:[/NPI]])*0.6)</f>
        <v>0.45572916666666669</v>
      </c>
      <c r="AA929" s="10">
        <f>IFERROR(Mecze[[#This Row],[BR]]/Mecze[[#This Row],[ST]],0)</f>
        <v>0</v>
      </c>
      <c r="AB929">
        <f>ROUND(Mecze[[#This Row],[PD]]*Mecze[[#This Row],[%PC]],0)</f>
        <v>4</v>
      </c>
      <c r="AC929">
        <f>ROUND(Mecze[[#This Row],[OD]]*Mecze[[#This Row],[%OU]],0)</f>
        <v>2</v>
      </c>
      <c r="AD929" s="36" t="s">
        <v>168</v>
      </c>
      <c r="AE929" s="36">
        <v>52</v>
      </c>
      <c r="AF929" s="71">
        <v>4.5599999999999996</v>
      </c>
      <c r="AG929" s="37">
        <v>0</v>
      </c>
      <c r="AH929" s="37">
        <v>0</v>
      </c>
      <c r="AI929" s="37">
        <v>96</v>
      </c>
      <c r="AJ929" s="37">
        <v>8</v>
      </c>
      <c r="AK929" s="37" t="str">
        <f>VLOOKUP(Mecze[[#This Row],[Match ID]],Meczusie[Mecz]:Meczusie[RodzajMeczu],2,FALSE)</f>
        <v>Liga</v>
      </c>
    </row>
    <row r="930" spans="1:37" x14ac:dyDescent="0.25">
      <c r="A930" s="76">
        <v>6</v>
      </c>
      <c r="B930" s="3" t="s">
        <v>308</v>
      </c>
      <c r="C930" s="2" t="s">
        <v>160</v>
      </c>
      <c r="D930" s="1">
        <v>0</v>
      </c>
      <c r="E930" s="1">
        <v>0</v>
      </c>
      <c r="F930" s="1">
        <v>0</v>
      </c>
      <c r="G930" s="1">
        <v>14</v>
      </c>
      <c r="H930" s="4">
        <v>0.64</v>
      </c>
      <c r="I930" s="1">
        <v>5</v>
      </c>
      <c r="J930" s="4">
        <v>0.6</v>
      </c>
      <c r="K930" s="1">
        <v>0</v>
      </c>
      <c r="L930" s="1">
        <v>2</v>
      </c>
      <c r="M930" s="32">
        <f>IF(Mecze[[#This Row],[PR]]=0,0,Mecze[[#This Row],[PR]]/Mecze[[#This Row],[CZAS]])</f>
        <v>2.4691358024691357E-2</v>
      </c>
      <c r="N930" s="32">
        <f>IF(Mecze[[#This Row],[OU]]=0,0,Mecze[[#This Row],[OU]]/Mecze[[#This Row],[CZAS]])</f>
        <v>3.7037037037037035E-2</v>
      </c>
      <c r="O930" s="32">
        <f>IF(Mecze[[#This Row],[PC]]=0,0,Mecze[[#This Row],[PC]]/Mecze[[#This Row],[CZAS]])</f>
        <v>0.1111111111111111</v>
      </c>
      <c r="P930" s="32">
        <f>IF(Mecze[[#This Row],[SC]]=0,0,Mecze[[#This Row],[SC]]/Mecze[[#This Row],[CZAS]])</f>
        <v>0</v>
      </c>
      <c r="Q930" s="32">
        <f>IF(Mecze[[#This Row],[OB]]=0,0,Mecze[[#This Row],[OB]]/Mecze[[#This Row],[CZAS]])</f>
        <v>0</v>
      </c>
      <c r="R930" s="32">
        <f>IF(Mecze[[#This Row],[BR]]=0,0,Mecze[[#This Row],[BR]]/Mecze[[#This Row],[CZAS]])</f>
        <v>0</v>
      </c>
      <c r="S930" s="44">
        <f>IF(Mecze[[#This Row],[Role]]="BR",SUMPRODUCT(Mecze[[#This Row],[/PR:90]:[/BR:90]],Brudnopis!$E$23:$J$23),0)</f>
        <v>0</v>
      </c>
      <c r="T930" s="44">
        <f>IF(Mecze[[#This Row],[Role]]&lt;&gt;"BR",SUMPRODUCT(Mecze[[#This Row],[/PR:90]:[/BR:90]],Brudnopis!$E$24:$J$24),0)</f>
        <v>0.19135802469135801</v>
      </c>
      <c r="U930" s="44">
        <f>IF(Mecze[[#This Row],[Role]]&lt;&gt;"BR",SUMPRODUCT(Mecze[[#This Row],[/PR:90]:[/BR:90]],Brudnopis!$E$25:$J$25),0)</f>
        <v>0.22839506172839505</v>
      </c>
      <c r="V930" s="44">
        <f>IF(Mecze[[#This Row],[Role]]&lt;&gt;"BR",SUMPRODUCT(Mecze[[#This Row],[/PR:90]:[/BR:90]],Brudnopis!$E$26:$J$26),0)</f>
        <v>0.1728395061728395</v>
      </c>
      <c r="W930" s="44">
        <f>IF(Mecze[[#This Row],[Role]]&lt;&gt;"BR",SUMPRODUCT(Mecze[[#This Row],[/PR:90]:[/BR:90]],Brudnopis!$E$27:$J$27),0)</f>
        <v>0.21296296296296297</v>
      </c>
      <c r="X930" s="44">
        <f>IF(Mecze[[#This Row],[Role]]&lt;&gt;"BR",SUMPRODUCT(Mecze[[#This Row],[/PR:90]:[/BR:90]],Brudnopis!$E$28:$J$28),0)</f>
        <v>0.1111111111111111</v>
      </c>
      <c r="Y930" s="35">
        <f>IF(Mecze[[#This Row],[Role]]="BR",Mecze[[#This Row],[/OB:90]]+Mecze[[#This Row],[/PC:90]],SUM(Mecze[[#This Row],[/PR:90]:[/BR:90]]))</f>
        <v>0.1728395061728395</v>
      </c>
      <c r="Z930" s="35">
        <f>IF(Mecze[[#This Row],[KC]]=0,SUM(Mecze[[#This Row],[/BRI]:[/NPI]]),SUM(Mecze[[#This Row],[/BRI]:[/NPI]])*0.6)</f>
        <v>0.91666666666666674</v>
      </c>
      <c r="AA930" s="10">
        <f>IFERROR(Mecze[[#This Row],[BR]]/Mecze[[#This Row],[ST]],0)</f>
        <v>0</v>
      </c>
      <c r="AB930">
        <f>ROUND(Mecze[[#This Row],[PD]]*Mecze[[#This Row],[%PC]],0)</f>
        <v>9</v>
      </c>
      <c r="AC930">
        <f>ROUND(Mecze[[#This Row],[OD]]*Mecze[[#This Row],[%OU]],0)</f>
        <v>3</v>
      </c>
      <c r="AD930" s="36" t="s">
        <v>41</v>
      </c>
      <c r="AE930" s="36">
        <v>52</v>
      </c>
      <c r="AF930" s="71">
        <v>5.55</v>
      </c>
      <c r="AG930" s="37">
        <v>0</v>
      </c>
      <c r="AH930" s="37">
        <v>0</v>
      </c>
      <c r="AI930" s="37">
        <v>81</v>
      </c>
      <c r="AJ930" s="37">
        <v>8</v>
      </c>
      <c r="AK930" s="37" t="str">
        <f>VLOOKUP(Mecze[[#This Row],[Match ID]],Meczusie[Mecz]:Meczusie[RodzajMeczu],2,FALSE)</f>
        <v>Liga</v>
      </c>
    </row>
    <row r="931" spans="1:37" x14ac:dyDescent="0.25">
      <c r="A931" s="76">
        <v>16</v>
      </c>
      <c r="B931" s="3" t="s">
        <v>309</v>
      </c>
      <c r="C931" s="2" t="s">
        <v>160</v>
      </c>
      <c r="D931" s="1">
        <v>0</v>
      </c>
      <c r="E931" s="1">
        <v>0</v>
      </c>
      <c r="F931" s="1">
        <v>0</v>
      </c>
      <c r="G931" s="1">
        <v>9</v>
      </c>
      <c r="H931" s="4">
        <v>0.78</v>
      </c>
      <c r="I931" s="1">
        <v>7</v>
      </c>
      <c r="J931" s="4">
        <v>0.28999999999999998</v>
      </c>
      <c r="K931" s="1">
        <v>0</v>
      </c>
      <c r="L931" s="1">
        <v>1</v>
      </c>
      <c r="M931" s="32">
        <f>IF(Mecze[[#This Row],[PR]]=0,0,Mecze[[#This Row],[PR]]/Mecze[[#This Row],[CZAS]])</f>
        <v>1.0416666666666666E-2</v>
      </c>
      <c r="N931" s="32">
        <f>IF(Mecze[[#This Row],[OU]]=0,0,Mecze[[#This Row],[OU]]/Mecze[[#This Row],[CZAS]])</f>
        <v>2.0833333333333332E-2</v>
      </c>
      <c r="O931" s="32">
        <f>IF(Mecze[[#This Row],[PC]]=0,0,Mecze[[#This Row],[PC]]/Mecze[[#This Row],[CZAS]])</f>
        <v>7.2916666666666671E-2</v>
      </c>
      <c r="P931" s="32">
        <f>IF(Mecze[[#This Row],[SC]]=0,0,Mecze[[#This Row],[SC]]/Mecze[[#This Row],[CZAS]])</f>
        <v>0</v>
      </c>
      <c r="Q931" s="32">
        <f>IF(Mecze[[#This Row],[OB]]=0,0,Mecze[[#This Row],[OB]]/Mecze[[#This Row],[CZAS]])</f>
        <v>0</v>
      </c>
      <c r="R931" s="32">
        <f>IF(Mecze[[#This Row],[BR]]=0,0,Mecze[[#This Row],[BR]]/Mecze[[#This Row],[CZAS]])</f>
        <v>0</v>
      </c>
      <c r="S931" s="44">
        <f>IF(Mecze[[#This Row],[Role]]="BR",SUMPRODUCT(Mecze[[#This Row],[/PR:90]:[/BR:90]],Brudnopis!$E$23:$J$23),0)</f>
        <v>0</v>
      </c>
      <c r="T931" s="44">
        <f>IF(Mecze[[#This Row],[Role]]&lt;&gt;"BR",SUMPRODUCT(Mecze[[#This Row],[/PR:90]:[/BR:90]],Brudnopis!$E$24:$J$24),0)</f>
        <v>0.11458333333333334</v>
      </c>
      <c r="U931" s="44">
        <f>IF(Mecze[[#This Row],[Role]]&lt;&gt;"BR",SUMPRODUCT(Mecze[[#This Row],[/PR:90]:[/BR:90]],Brudnopis!$E$25:$J$25),0)</f>
        <v>0.140625</v>
      </c>
      <c r="V931" s="44">
        <f>IF(Mecze[[#This Row],[Role]]&lt;&gt;"BR",SUMPRODUCT(Mecze[[#This Row],[/PR:90]:[/BR:90]],Brudnopis!$E$26:$J$26),0)</f>
        <v>0.10416666666666667</v>
      </c>
      <c r="W931" s="44">
        <f>IF(Mecze[[#This Row],[Role]]&lt;&gt;"BR",SUMPRODUCT(Mecze[[#This Row],[/PR:90]:[/BR:90]],Brudnopis!$E$27:$J$27),0)</f>
        <v>0.1328125</v>
      </c>
      <c r="X931" s="44">
        <f>IF(Mecze[[#This Row],[Role]]&lt;&gt;"BR",SUMPRODUCT(Mecze[[#This Row],[/PR:90]:[/BR:90]],Brudnopis!$E$28:$J$28),0)</f>
        <v>7.2916666666666671E-2</v>
      </c>
      <c r="Y931" s="35">
        <f>IF(Mecze[[#This Row],[Role]]="BR",Mecze[[#This Row],[/OB:90]]+Mecze[[#This Row],[/PC:90]],SUM(Mecze[[#This Row],[/PR:90]:[/BR:90]]))</f>
        <v>0.10416666666666667</v>
      </c>
      <c r="Z931" s="35">
        <f>IF(Mecze[[#This Row],[KC]]=0,SUM(Mecze[[#This Row],[/BRI]:[/NPI]]),SUM(Mecze[[#This Row],[/BRI]:[/NPI]])*0.6)</f>
        <v>0.56510416666666674</v>
      </c>
      <c r="AA931" s="10">
        <f>IFERROR(Mecze[[#This Row],[BR]]/Mecze[[#This Row],[ST]],0)</f>
        <v>0</v>
      </c>
      <c r="AB931">
        <f>ROUND(Mecze[[#This Row],[PD]]*Mecze[[#This Row],[%PC]],0)</f>
        <v>7</v>
      </c>
      <c r="AC931">
        <f>ROUND(Mecze[[#This Row],[OD]]*Mecze[[#This Row],[%OU]],0)</f>
        <v>2</v>
      </c>
      <c r="AD931" s="36" t="s">
        <v>172</v>
      </c>
      <c r="AE931" s="36">
        <v>52</v>
      </c>
      <c r="AF931" s="71">
        <v>5.34</v>
      </c>
      <c r="AG931" s="37">
        <v>0</v>
      </c>
      <c r="AH931" s="37">
        <v>0</v>
      </c>
      <c r="AI931" s="37">
        <v>96</v>
      </c>
      <c r="AJ931" s="37">
        <v>8</v>
      </c>
      <c r="AK931" s="37" t="str">
        <f>VLOOKUP(Mecze[[#This Row],[Match ID]],Meczusie[Mecz]:Meczusie[RodzajMeczu],2,FALSE)</f>
        <v>Liga</v>
      </c>
    </row>
    <row r="932" spans="1:37" x14ac:dyDescent="0.25">
      <c r="A932" s="76">
        <v>17</v>
      </c>
      <c r="B932" s="3" t="s">
        <v>317</v>
      </c>
      <c r="C932" s="2" t="s">
        <v>160</v>
      </c>
      <c r="D932" s="1">
        <v>0</v>
      </c>
      <c r="E932" s="1">
        <v>0</v>
      </c>
      <c r="F932" s="1">
        <v>0</v>
      </c>
      <c r="G932" s="1">
        <v>5</v>
      </c>
      <c r="H932" s="4">
        <v>0.8</v>
      </c>
      <c r="I932" s="1">
        <v>6</v>
      </c>
      <c r="J932" s="4">
        <v>0.17</v>
      </c>
      <c r="K932" s="1">
        <v>0</v>
      </c>
      <c r="L932" s="1">
        <v>4</v>
      </c>
      <c r="M932" s="32">
        <f>IF(Mecze[[#This Row],[PR]]=0,0,Mecze[[#This Row],[PR]]/Mecze[[#This Row],[CZAS]])</f>
        <v>4.1666666666666664E-2</v>
      </c>
      <c r="N932" s="32">
        <f>IF(Mecze[[#This Row],[OU]]=0,0,Mecze[[#This Row],[OU]]/Mecze[[#This Row],[CZAS]])</f>
        <v>1.0416666666666666E-2</v>
      </c>
      <c r="O932" s="32">
        <f>IF(Mecze[[#This Row],[PC]]=0,0,Mecze[[#This Row],[PC]]/Mecze[[#This Row],[CZAS]])</f>
        <v>4.1666666666666664E-2</v>
      </c>
      <c r="P932" s="32">
        <f>IF(Mecze[[#This Row],[SC]]=0,0,Mecze[[#This Row],[SC]]/Mecze[[#This Row],[CZAS]])</f>
        <v>0</v>
      </c>
      <c r="Q932" s="32">
        <f>IF(Mecze[[#This Row],[OB]]=0,0,Mecze[[#This Row],[OB]]/Mecze[[#This Row],[CZAS]])</f>
        <v>0</v>
      </c>
      <c r="R932" s="32">
        <f>IF(Mecze[[#This Row],[BR]]=0,0,Mecze[[#This Row],[BR]]/Mecze[[#This Row],[CZAS]])</f>
        <v>0</v>
      </c>
      <c r="S932" s="44">
        <f>IF(Mecze[[#This Row],[Role]]="BR",SUMPRODUCT(Mecze[[#This Row],[/PR:90]:[/BR:90]],Brudnopis!$E$23:$J$23),0)</f>
        <v>0</v>
      </c>
      <c r="T932" s="44">
        <f>IF(Mecze[[#This Row],[Role]]&lt;&gt;"BR",SUMPRODUCT(Mecze[[#This Row],[/PR:90]:[/BR:90]],Brudnopis!$E$24:$J$24),0)</f>
        <v>9.8958333333333329E-2</v>
      </c>
      <c r="U932" s="44">
        <f>IF(Mecze[[#This Row],[Role]]&lt;&gt;"BR",SUMPRODUCT(Mecze[[#This Row],[/PR:90]:[/BR:90]],Brudnopis!$E$25:$J$25),0)</f>
        <v>0.11458333333333333</v>
      </c>
      <c r="V932" s="44">
        <f>IF(Mecze[[#This Row],[Role]]&lt;&gt;"BR",SUMPRODUCT(Mecze[[#This Row],[/PR:90]:[/BR:90]],Brudnopis!$E$26:$J$26),0)</f>
        <v>9.375E-2</v>
      </c>
      <c r="W932" s="44">
        <f>IF(Mecze[[#This Row],[Role]]&lt;&gt;"BR",SUMPRODUCT(Mecze[[#This Row],[/PR:90]:[/BR:90]],Brudnopis!$E$27:$J$27),0)</f>
        <v>0.1015625</v>
      </c>
      <c r="X932" s="44">
        <f>IF(Mecze[[#This Row],[Role]]&lt;&gt;"BR",SUMPRODUCT(Mecze[[#This Row],[/PR:90]:[/BR:90]],Brudnopis!$E$28:$J$28),0)</f>
        <v>4.1666666666666664E-2</v>
      </c>
      <c r="Y932" s="35">
        <f>IF(Mecze[[#This Row],[Role]]="BR",Mecze[[#This Row],[/OB:90]]+Mecze[[#This Row],[/PC:90]],SUM(Mecze[[#This Row],[/PR:90]:[/BR:90]]))</f>
        <v>9.375E-2</v>
      </c>
      <c r="Z932" s="35">
        <f>IF(Mecze[[#This Row],[KC]]=0,SUM(Mecze[[#This Row],[/BRI]:[/NPI]]),SUM(Mecze[[#This Row],[/BRI]:[/NPI]])*0.6)</f>
        <v>0.45052083333333331</v>
      </c>
      <c r="AA932" s="10">
        <f>IFERROR(Mecze[[#This Row],[BR]]/Mecze[[#This Row],[ST]],0)</f>
        <v>0</v>
      </c>
      <c r="AB932">
        <f>ROUND(Mecze[[#This Row],[PD]]*Mecze[[#This Row],[%PC]],0)</f>
        <v>4</v>
      </c>
      <c r="AC932">
        <f>ROUND(Mecze[[#This Row],[OD]]*Mecze[[#This Row],[%OU]],0)</f>
        <v>1</v>
      </c>
      <c r="AD932" s="36" t="s">
        <v>319</v>
      </c>
      <c r="AE932" s="36">
        <v>52</v>
      </c>
      <c r="AF932" s="71">
        <v>6.88</v>
      </c>
      <c r="AG932" s="37">
        <v>0</v>
      </c>
      <c r="AH932" s="37">
        <v>0</v>
      </c>
      <c r="AI932" s="37">
        <v>96</v>
      </c>
      <c r="AJ932" s="37">
        <v>8</v>
      </c>
      <c r="AK932" s="37" t="str">
        <f>VLOOKUP(Mecze[[#This Row],[Match ID]],Meczusie[Mecz]:Meczusie[RodzajMeczu],2,FALSE)</f>
        <v>Liga</v>
      </c>
    </row>
    <row r="933" spans="1:37" x14ac:dyDescent="0.25">
      <c r="A933" s="76">
        <v>7</v>
      </c>
      <c r="B933" s="3" t="s">
        <v>311</v>
      </c>
      <c r="C933" s="2" t="s">
        <v>160</v>
      </c>
      <c r="D933" s="1">
        <v>0</v>
      </c>
      <c r="E933" s="1">
        <v>1</v>
      </c>
      <c r="F933" s="1">
        <v>1</v>
      </c>
      <c r="G933" s="1">
        <v>20</v>
      </c>
      <c r="H933" s="4">
        <v>0.55000000000000004</v>
      </c>
      <c r="I933" s="1">
        <v>8</v>
      </c>
      <c r="J933" s="4">
        <v>0.5</v>
      </c>
      <c r="K933" s="1">
        <v>0</v>
      </c>
      <c r="L933" s="1">
        <v>6</v>
      </c>
      <c r="M933" s="32">
        <f>IF(Mecze[[#This Row],[PR]]=0,0,Mecze[[#This Row],[PR]]/Mecze[[#This Row],[CZAS]])</f>
        <v>6.25E-2</v>
      </c>
      <c r="N933" s="32">
        <f>IF(Mecze[[#This Row],[OU]]=0,0,Mecze[[#This Row],[OU]]/Mecze[[#This Row],[CZAS]])</f>
        <v>4.1666666666666664E-2</v>
      </c>
      <c r="O933" s="32">
        <f>IF(Mecze[[#This Row],[PC]]=0,0,Mecze[[#This Row],[PC]]/Mecze[[#This Row],[CZAS]])</f>
        <v>0.11458333333333333</v>
      </c>
      <c r="P933" s="32">
        <f>IF(Mecze[[#This Row],[SC]]=0,0,Mecze[[#This Row],[SC]]/Mecze[[#This Row],[CZAS]])</f>
        <v>1.0416666666666666E-2</v>
      </c>
      <c r="Q933" s="32">
        <f>IF(Mecze[[#This Row],[OB]]=0,0,Mecze[[#This Row],[OB]]/Mecze[[#This Row],[CZAS]])</f>
        <v>0</v>
      </c>
      <c r="R933" s="32">
        <f>IF(Mecze[[#This Row],[BR]]=0,0,Mecze[[#This Row],[BR]]/Mecze[[#This Row],[CZAS]])</f>
        <v>0</v>
      </c>
      <c r="S933" s="44">
        <f>IF(Mecze[[#This Row],[Role]]="BR",SUMPRODUCT(Mecze[[#This Row],[/PR:90]:[/BR:90]],Brudnopis!$E$23:$J$23),0)</f>
        <v>0</v>
      </c>
      <c r="T933" s="44">
        <f>IF(Mecze[[#This Row],[Role]]&lt;&gt;"BR",SUMPRODUCT(Mecze[[#This Row],[/PR:90]:[/BR:90]],Brudnopis!$E$24:$J$24),0)</f>
        <v>0.24999999999999997</v>
      </c>
      <c r="U933" s="44">
        <f>IF(Mecze[[#This Row],[Role]]&lt;&gt;"BR",SUMPRODUCT(Mecze[[#This Row],[/PR:90]:[/BR:90]],Brudnopis!$E$25:$J$25),0)</f>
        <v>0.28645833333333331</v>
      </c>
      <c r="V933" s="44">
        <f>IF(Mecze[[#This Row],[Role]]&lt;&gt;"BR",SUMPRODUCT(Mecze[[#This Row],[/PR:90]:[/BR:90]],Brudnopis!$E$26:$J$26),0)</f>
        <v>0.22916666666666666</v>
      </c>
      <c r="W933" s="44">
        <f>IF(Mecze[[#This Row],[Role]]&lt;&gt;"BR",SUMPRODUCT(Mecze[[#This Row],[/PR:90]:[/BR:90]],Brudnopis!$E$27:$J$27),0)</f>
        <v>0.26041666666666669</v>
      </c>
      <c r="X933" s="44">
        <f>IF(Mecze[[#This Row],[Role]]&lt;&gt;"BR",SUMPRODUCT(Mecze[[#This Row],[/PR:90]:[/BR:90]],Brudnopis!$E$28:$J$28),0)</f>
        <v>0.13541666666666666</v>
      </c>
      <c r="Y933" s="35">
        <f>IF(Mecze[[#This Row],[Role]]="BR",Mecze[[#This Row],[/OB:90]]+Mecze[[#This Row],[/PC:90]],SUM(Mecze[[#This Row],[/PR:90]:[/BR:90]]))</f>
        <v>0.22916666666666666</v>
      </c>
      <c r="Z933" s="35">
        <f>IF(Mecze[[#This Row],[KC]]=0,SUM(Mecze[[#This Row],[/BRI]:[/NPI]]),SUM(Mecze[[#This Row],[/BRI]:[/NPI]])*0.6)</f>
        <v>1.1614583333333333</v>
      </c>
      <c r="AA933" s="10">
        <f>IFERROR(Mecze[[#This Row],[BR]]/Mecze[[#This Row],[ST]],0)</f>
        <v>0</v>
      </c>
      <c r="AB933">
        <f>ROUND(Mecze[[#This Row],[PD]]*Mecze[[#This Row],[%PC]],0)</f>
        <v>11</v>
      </c>
      <c r="AC933">
        <f>ROUND(Mecze[[#This Row],[OD]]*Mecze[[#This Row],[%OU]],0)</f>
        <v>4</v>
      </c>
      <c r="AD933" s="36" t="s">
        <v>44</v>
      </c>
      <c r="AE933" s="36">
        <v>52</v>
      </c>
      <c r="AF933" s="71">
        <v>6.62</v>
      </c>
      <c r="AG933" s="37">
        <v>0</v>
      </c>
      <c r="AH933" s="37">
        <v>0</v>
      </c>
      <c r="AI933" s="37">
        <v>96</v>
      </c>
      <c r="AJ933" s="37">
        <v>8</v>
      </c>
      <c r="AK933" s="37" t="str">
        <f>VLOOKUP(Mecze[[#This Row],[Match ID]],Meczusie[Mecz]:Meczusie[RodzajMeczu],2,FALSE)</f>
        <v>Liga</v>
      </c>
    </row>
    <row r="934" spans="1:37" x14ac:dyDescent="0.25">
      <c r="A934" s="76">
        <v>14</v>
      </c>
      <c r="B934" s="3" t="s">
        <v>312</v>
      </c>
      <c r="C934" s="2" t="s">
        <v>165</v>
      </c>
      <c r="D934" s="1">
        <v>2</v>
      </c>
      <c r="E934" s="1">
        <v>4</v>
      </c>
      <c r="F934" s="1">
        <v>4</v>
      </c>
      <c r="G934" s="1">
        <v>6</v>
      </c>
      <c r="H934" s="4">
        <v>0.33</v>
      </c>
      <c r="I934" s="1">
        <v>1</v>
      </c>
      <c r="J934" s="4">
        <v>0</v>
      </c>
      <c r="K934" s="1">
        <v>0</v>
      </c>
      <c r="L934" s="1">
        <v>2</v>
      </c>
      <c r="M934" s="32">
        <f>IF(Mecze[[#This Row],[PR]]=0,0,Mecze[[#This Row],[PR]]/Mecze[[#This Row],[CZAS]])</f>
        <v>2.0833333333333332E-2</v>
      </c>
      <c r="N934" s="32">
        <f>IF(Mecze[[#This Row],[OU]]=0,0,Mecze[[#This Row],[OU]]/Mecze[[#This Row],[CZAS]])</f>
        <v>0</v>
      </c>
      <c r="O934" s="32">
        <f>IF(Mecze[[#This Row],[PC]]=0,0,Mecze[[#This Row],[PC]]/Mecze[[#This Row],[CZAS]])</f>
        <v>2.0833333333333332E-2</v>
      </c>
      <c r="P934" s="32">
        <f>IF(Mecze[[#This Row],[SC]]=0,0,Mecze[[#This Row],[SC]]/Mecze[[#This Row],[CZAS]])</f>
        <v>4.1666666666666664E-2</v>
      </c>
      <c r="Q934" s="32">
        <f>IF(Mecze[[#This Row],[OB]]=0,0,Mecze[[#This Row],[OB]]/Mecze[[#This Row],[CZAS]])</f>
        <v>0</v>
      </c>
      <c r="R934" s="32">
        <f>IF(Mecze[[#This Row],[BR]]=0,0,Mecze[[#This Row],[BR]]/Mecze[[#This Row],[CZAS]])</f>
        <v>2.0833333333333332E-2</v>
      </c>
      <c r="S934" s="44">
        <f>IF(Mecze[[#This Row],[Role]]="BR",SUMPRODUCT(Mecze[[#This Row],[/PR:90]:[/BR:90]],Brudnopis!$E$23:$J$23),0)</f>
        <v>0</v>
      </c>
      <c r="T934" s="44">
        <f>IF(Mecze[[#This Row],[Role]]&lt;&gt;"BR",SUMPRODUCT(Mecze[[#This Row],[/PR:90]:[/BR:90]],Brudnopis!$E$24:$J$24),0)</f>
        <v>0.11458333333333333</v>
      </c>
      <c r="U934" s="44">
        <f>IF(Mecze[[#This Row],[Role]]&lt;&gt;"BR",SUMPRODUCT(Mecze[[#This Row],[/PR:90]:[/BR:90]],Brudnopis!$E$25:$J$25),0)</f>
        <v>0.125</v>
      </c>
      <c r="V934" s="44">
        <f>IF(Mecze[[#This Row],[Role]]&lt;&gt;"BR",SUMPRODUCT(Mecze[[#This Row],[/PR:90]:[/BR:90]],Brudnopis!$E$26:$J$26),0)</f>
        <v>0.125</v>
      </c>
      <c r="W934" s="44">
        <f>IF(Mecze[[#This Row],[Role]]&lt;&gt;"BR",SUMPRODUCT(Mecze[[#This Row],[/PR:90]:[/BR:90]],Brudnopis!$E$27:$J$27),0)</f>
        <v>0.13020833333333331</v>
      </c>
      <c r="X934" s="44">
        <f>IF(Mecze[[#This Row],[Role]]&lt;&gt;"BR",SUMPRODUCT(Mecze[[#This Row],[/PR:90]:[/BR:90]],Brudnopis!$E$28:$J$28),0)</f>
        <v>0.16666666666666666</v>
      </c>
      <c r="Y934" s="35">
        <f>IF(Mecze[[#This Row],[Role]]="BR",Mecze[[#This Row],[/OB:90]]+Mecze[[#This Row],[/PC:90]],SUM(Mecze[[#This Row],[/PR:90]:[/BR:90]]))</f>
        <v>0.10416666666666666</v>
      </c>
      <c r="Z934" s="35">
        <f>IF(Mecze[[#This Row],[KC]]=0,SUM(Mecze[[#This Row],[/BRI]:[/NPI]]),SUM(Mecze[[#This Row],[/BRI]:[/NPI]])*0.6)</f>
        <v>0.66145833333333326</v>
      </c>
      <c r="AA934" s="10">
        <f>IFERROR(Mecze[[#This Row],[BR]]/Mecze[[#This Row],[ST]],0)</f>
        <v>0.5</v>
      </c>
      <c r="AB934">
        <f>ROUND(Mecze[[#This Row],[PD]]*Mecze[[#This Row],[%PC]],0)</f>
        <v>2</v>
      </c>
      <c r="AC934">
        <f>ROUND(Mecze[[#This Row],[OD]]*Mecze[[#This Row],[%OU]],0)</f>
        <v>0</v>
      </c>
      <c r="AD934" s="36" t="s">
        <v>273</v>
      </c>
      <c r="AE934" s="36">
        <v>52</v>
      </c>
      <c r="AF934" s="71">
        <v>9.41</v>
      </c>
      <c r="AG934" s="37">
        <v>0</v>
      </c>
      <c r="AH934" s="37">
        <v>0</v>
      </c>
      <c r="AI934" s="37">
        <v>96</v>
      </c>
      <c r="AJ934" s="37">
        <v>8</v>
      </c>
      <c r="AK934" s="37" t="str">
        <f>VLOOKUP(Mecze[[#This Row],[Match ID]],Meczusie[Mecz]:Meczusie[RodzajMeczu],2,FALSE)</f>
        <v>Liga</v>
      </c>
    </row>
    <row r="935" spans="1:37" x14ac:dyDescent="0.25">
      <c r="A935" s="76">
        <v>13</v>
      </c>
      <c r="B935" s="3" t="s">
        <v>313</v>
      </c>
      <c r="C935" s="2" t="s">
        <v>165</v>
      </c>
      <c r="D935" s="1">
        <v>2</v>
      </c>
      <c r="E935" s="1">
        <v>3</v>
      </c>
      <c r="F935" s="1">
        <v>3</v>
      </c>
      <c r="G935" s="1">
        <v>1</v>
      </c>
      <c r="H935" s="4">
        <v>0</v>
      </c>
      <c r="I935" s="1">
        <v>1</v>
      </c>
      <c r="J935" s="4">
        <v>0</v>
      </c>
      <c r="K935" s="1">
        <v>0</v>
      </c>
      <c r="L935" s="1">
        <v>0</v>
      </c>
      <c r="M935" s="32">
        <f>IF(Mecze[[#This Row],[PR]]=0,0,Mecze[[#This Row],[PR]]/Mecze[[#This Row],[CZAS]])</f>
        <v>0</v>
      </c>
      <c r="N935" s="32">
        <f>IF(Mecze[[#This Row],[OU]]=0,0,Mecze[[#This Row],[OU]]/Mecze[[#This Row],[CZAS]])</f>
        <v>0</v>
      </c>
      <c r="O935" s="32">
        <f>IF(Mecze[[#This Row],[PC]]=0,0,Mecze[[#This Row],[PC]]/Mecze[[#This Row],[CZAS]])</f>
        <v>0</v>
      </c>
      <c r="P935" s="32">
        <f>IF(Mecze[[#This Row],[SC]]=0,0,Mecze[[#This Row],[SC]]/Mecze[[#This Row],[CZAS]])</f>
        <v>3.125E-2</v>
      </c>
      <c r="Q935" s="32">
        <f>IF(Mecze[[#This Row],[OB]]=0,0,Mecze[[#This Row],[OB]]/Mecze[[#This Row],[CZAS]])</f>
        <v>0</v>
      </c>
      <c r="R935" s="32">
        <f>IF(Mecze[[#This Row],[BR]]=0,0,Mecze[[#This Row],[BR]]/Mecze[[#This Row],[CZAS]])</f>
        <v>2.0833333333333332E-2</v>
      </c>
      <c r="S935" s="44">
        <f>IF(Mecze[[#This Row],[Role]]="BR",SUMPRODUCT(Mecze[[#This Row],[/PR:90]:[/BR:90]],Brudnopis!$E$23:$J$23),0)</f>
        <v>0</v>
      </c>
      <c r="T935" s="44">
        <f>IF(Mecze[[#This Row],[Role]]&lt;&gt;"BR",SUMPRODUCT(Mecze[[#This Row],[/PR:90]:[/BR:90]],Brudnopis!$E$24:$J$24),0)</f>
        <v>6.25E-2</v>
      </c>
      <c r="U935" s="44">
        <f>IF(Mecze[[#This Row],[Role]]&lt;&gt;"BR",SUMPRODUCT(Mecze[[#This Row],[/PR:90]:[/BR:90]],Brudnopis!$E$25:$J$25),0)</f>
        <v>6.25E-2</v>
      </c>
      <c r="V935" s="44">
        <f>IF(Mecze[[#This Row],[Role]]&lt;&gt;"BR",SUMPRODUCT(Mecze[[#This Row],[/PR:90]:[/BR:90]],Brudnopis!$E$26:$J$26),0)</f>
        <v>7.2916666666666657E-2</v>
      </c>
      <c r="W935" s="44">
        <f>IF(Mecze[[#This Row],[Role]]&lt;&gt;"BR",SUMPRODUCT(Mecze[[#This Row],[/PR:90]:[/BR:90]],Brudnopis!$E$27:$J$27),0)</f>
        <v>7.2916666666666657E-2</v>
      </c>
      <c r="X935" s="44">
        <f>IF(Mecze[[#This Row],[Role]]&lt;&gt;"BR",SUMPRODUCT(Mecze[[#This Row],[/PR:90]:[/BR:90]],Brudnopis!$E$28:$J$28),0)</f>
        <v>0.125</v>
      </c>
      <c r="Y935" s="35">
        <f>IF(Mecze[[#This Row],[Role]]="BR",Mecze[[#This Row],[/OB:90]]+Mecze[[#This Row],[/PC:90]],SUM(Mecze[[#This Row],[/PR:90]:[/BR:90]]))</f>
        <v>5.2083333333333329E-2</v>
      </c>
      <c r="Z935" s="35">
        <f>IF(Mecze[[#This Row],[KC]]=0,SUM(Mecze[[#This Row],[/BRI]:[/NPI]]),SUM(Mecze[[#This Row],[/BRI]:[/NPI]])*0.6)</f>
        <v>0.39583333333333331</v>
      </c>
      <c r="AA935" s="10">
        <f>IFERROR(Mecze[[#This Row],[BR]]/Mecze[[#This Row],[ST]],0)</f>
        <v>0.66666666666666663</v>
      </c>
      <c r="AB935">
        <f>ROUND(Mecze[[#This Row],[PD]]*Mecze[[#This Row],[%PC]],0)</f>
        <v>0</v>
      </c>
      <c r="AC935">
        <f>ROUND(Mecze[[#This Row],[OD]]*Mecze[[#This Row],[%OU]],0)</f>
        <v>0</v>
      </c>
      <c r="AD935" s="36" t="s">
        <v>272</v>
      </c>
      <c r="AE935" s="36">
        <v>52</v>
      </c>
      <c r="AF935" s="71">
        <v>9.19</v>
      </c>
      <c r="AG935" s="37">
        <v>0</v>
      </c>
      <c r="AH935" s="37">
        <v>0</v>
      </c>
      <c r="AI935" s="37">
        <v>96</v>
      </c>
      <c r="AJ935" s="37">
        <v>8</v>
      </c>
      <c r="AK935" s="37" t="str">
        <f>VLOOKUP(Mecze[[#This Row],[Match ID]],Meczusie[Mecz]:Meczusie[RodzajMeczu],2,FALSE)</f>
        <v>Liga</v>
      </c>
    </row>
    <row r="936" spans="1:37" x14ac:dyDescent="0.25">
      <c r="A936" s="76">
        <v>8</v>
      </c>
      <c r="B936" s="3" t="s">
        <v>314</v>
      </c>
      <c r="C936" s="2" t="s">
        <v>165</v>
      </c>
      <c r="D936" s="1">
        <v>0</v>
      </c>
      <c r="E936" s="1">
        <v>8</v>
      </c>
      <c r="F936" s="1">
        <v>7</v>
      </c>
      <c r="G936" s="1">
        <v>5</v>
      </c>
      <c r="H936" s="4">
        <v>0.8</v>
      </c>
      <c r="I936" s="1">
        <v>1</v>
      </c>
      <c r="J936" s="4">
        <v>1</v>
      </c>
      <c r="K936" s="1">
        <v>0</v>
      </c>
      <c r="L936" s="1">
        <v>1</v>
      </c>
      <c r="M936" s="32">
        <f>IF(Mecze[[#This Row],[PR]]=0,0,Mecze[[#This Row],[PR]]/Mecze[[#This Row],[CZAS]])</f>
        <v>1.0416666666666666E-2</v>
      </c>
      <c r="N936" s="32">
        <f>IF(Mecze[[#This Row],[OU]]=0,0,Mecze[[#This Row],[OU]]/Mecze[[#This Row],[CZAS]])</f>
        <v>1.0416666666666666E-2</v>
      </c>
      <c r="O936" s="32">
        <f>IF(Mecze[[#This Row],[PC]]=0,0,Mecze[[#This Row],[PC]]/Mecze[[#This Row],[CZAS]])</f>
        <v>4.1666666666666664E-2</v>
      </c>
      <c r="P936" s="32">
        <f>IF(Mecze[[#This Row],[SC]]=0,0,Mecze[[#This Row],[SC]]/Mecze[[#This Row],[CZAS]])</f>
        <v>7.2916666666666671E-2</v>
      </c>
      <c r="Q936" s="32">
        <f>IF(Mecze[[#This Row],[OB]]=0,0,Mecze[[#This Row],[OB]]/Mecze[[#This Row],[CZAS]])</f>
        <v>0</v>
      </c>
      <c r="R936" s="32">
        <f>IF(Mecze[[#This Row],[BR]]=0,0,Mecze[[#This Row],[BR]]/Mecze[[#This Row],[CZAS]])</f>
        <v>0</v>
      </c>
      <c r="S936" s="44">
        <f>IF(Mecze[[#This Row],[Role]]="BR",SUMPRODUCT(Mecze[[#This Row],[/PR:90]:[/BR:90]],Brudnopis!$E$23:$J$23),0)</f>
        <v>0</v>
      </c>
      <c r="T936" s="44">
        <f>IF(Mecze[[#This Row],[Role]]&lt;&gt;"BR",SUMPRODUCT(Mecze[[#This Row],[/PR:90]:[/BR:90]],Brudnopis!$E$24:$J$24),0)</f>
        <v>0.140625</v>
      </c>
      <c r="U936" s="44">
        <f>IF(Mecze[[#This Row],[Role]]&lt;&gt;"BR",SUMPRODUCT(Mecze[[#This Row],[/PR:90]:[/BR:90]],Brudnopis!$E$25:$J$25),0)</f>
        <v>0.15625</v>
      </c>
      <c r="V936" s="44">
        <f>IF(Mecze[[#This Row],[Role]]&lt;&gt;"BR",SUMPRODUCT(Mecze[[#This Row],[/PR:90]:[/BR:90]],Brudnopis!$E$26:$J$26),0)</f>
        <v>0.13541666666666669</v>
      </c>
      <c r="W936" s="44">
        <f>IF(Mecze[[#This Row],[Role]]&lt;&gt;"BR",SUMPRODUCT(Mecze[[#This Row],[/PR:90]:[/BR:90]],Brudnopis!$E$27:$J$27),0)</f>
        <v>0.15104166666666669</v>
      </c>
      <c r="X936" s="44">
        <f>IF(Mecze[[#This Row],[Role]]&lt;&gt;"BR",SUMPRODUCT(Mecze[[#This Row],[/PR:90]:[/BR:90]],Brudnopis!$E$28:$J$28),0)</f>
        <v>0.1875</v>
      </c>
      <c r="Y936" s="35">
        <f>IF(Mecze[[#This Row],[Role]]="BR",Mecze[[#This Row],[/OB:90]]+Mecze[[#This Row],[/PC:90]],SUM(Mecze[[#This Row],[/PR:90]:[/BR:90]]))</f>
        <v>0.13541666666666669</v>
      </c>
      <c r="Z936" s="35">
        <f>IF(Mecze[[#This Row],[KC]]=0,SUM(Mecze[[#This Row],[/BRI]:[/NPI]]),SUM(Mecze[[#This Row],[/BRI]:[/NPI]])*0.6)</f>
        <v>0.77083333333333337</v>
      </c>
      <c r="AA936" s="10">
        <f>IFERROR(Mecze[[#This Row],[BR]]/Mecze[[#This Row],[ST]],0)</f>
        <v>0</v>
      </c>
      <c r="AB936">
        <f>ROUND(Mecze[[#This Row],[PD]]*Mecze[[#This Row],[%PC]],0)</f>
        <v>4</v>
      </c>
      <c r="AC936">
        <f>ROUND(Mecze[[#This Row],[OD]]*Mecze[[#This Row],[%OU]],0)</f>
        <v>1</v>
      </c>
      <c r="AD936" s="36" t="s">
        <v>46</v>
      </c>
      <c r="AE936" s="36">
        <v>52</v>
      </c>
      <c r="AF936" s="71">
        <v>7.72</v>
      </c>
      <c r="AG936" s="37">
        <v>0</v>
      </c>
      <c r="AH936" s="37">
        <v>0</v>
      </c>
      <c r="AI936" s="37">
        <v>96</v>
      </c>
      <c r="AJ936" s="37">
        <v>8</v>
      </c>
      <c r="AK936" s="37" t="str">
        <f>VLOOKUP(Mecze[[#This Row],[Match ID]],Meczusie[Mecz]:Meczusie[RodzajMeczu],2,FALSE)</f>
        <v>Liga</v>
      </c>
    </row>
    <row r="937" spans="1:37" x14ac:dyDescent="0.25">
      <c r="A937" s="76">
        <v>4</v>
      </c>
      <c r="B937" s="3" t="s">
        <v>316</v>
      </c>
      <c r="C937" s="2" t="s">
        <v>157</v>
      </c>
      <c r="D937" s="1">
        <v>0</v>
      </c>
      <c r="E937" s="1">
        <v>0</v>
      </c>
      <c r="F937" s="1">
        <v>0</v>
      </c>
      <c r="G937" s="1">
        <v>2</v>
      </c>
      <c r="H937" s="4">
        <v>1</v>
      </c>
      <c r="I937" s="1">
        <v>1</v>
      </c>
      <c r="J937" s="4">
        <v>0</v>
      </c>
      <c r="K937" s="1">
        <v>0</v>
      </c>
      <c r="L937" s="1">
        <v>2</v>
      </c>
      <c r="M937" s="32">
        <f>IF(Mecze[[#This Row],[PR]]=0,0,Mecze[[#This Row],[PR]]/Mecze[[#This Row],[CZAS]])</f>
        <v>9.0909090909090912E-2</v>
      </c>
      <c r="N937" s="32">
        <f>IF(Mecze[[#This Row],[OU]]=0,0,Mecze[[#This Row],[OU]]/Mecze[[#This Row],[CZAS]])</f>
        <v>0</v>
      </c>
      <c r="O937" s="32">
        <f>IF(Mecze[[#This Row],[PC]]=0,0,Mecze[[#This Row],[PC]]/Mecze[[#This Row],[CZAS]])</f>
        <v>9.0909090909090912E-2</v>
      </c>
      <c r="P937" s="32">
        <f>IF(Mecze[[#This Row],[SC]]=0,0,Mecze[[#This Row],[SC]]/Mecze[[#This Row],[CZAS]])</f>
        <v>0</v>
      </c>
      <c r="Q937" s="32">
        <f>IF(Mecze[[#This Row],[OB]]=0,0,Mecze[[#This Row],[OB]]/Mecze[[#This Row],[CZAS]])</f>
        <v>0</v>
      </c>
      <c r="R937" s="32">
        <f>IF(Mecze[[#This Row],[BR]]=0,0,Mecze[[#This Row],[BR]]/Mecze[[#This Row],[CZAS]])</f>
        <v>0</v>
      </c>
      <c r="S937" s="44">
        <f>IF(Mecze[[#This Row],[Role]]="BR",SUMPRODUCT(Mecze[[#This Row],[/PR:90]:[/BR:90]],Brudnopis!$E$23:$J$23),0)</f>
        <v>0</v>
      </c>
      <c r="T937" s="44">
        <f>IF(Mecze[[#This Row],[Role]]&lt;&gt;"BR",SUMPRODUCT(Mecze[[#This Row],[/PR:90]:[/BR:90]],Brudnopis!$E$24:$J$24),0)</f>
        <v>0.18181818181818182</v>
      </c>
      <c r="U937" s="44">
        <f>IF(Mecze[[#This Row],[Role]]&lt;&gt;"BR",SUMPRODUCT(Mecze[[#This Row],[/PR:90]:[/BR:90]],Brudnopis!$E$25:$J$25),0)</f>
        <v>0.22727272727272727</v>
      </c>
      <c r="V937" s="44">
        <f>IF(Mecze[[#This Row],[Role]]&lt;&gt;"BR",SUMPRODUCT(Mecze[[#This Row],[/PR:90]:[/BR:90]],Brudnopis!$E$26:$J$26),0)</f>
        <v>0.18181818181818182</v>
      </c>
      <c r="W937" s="44">
        <f>IF(Mecze[[#This Row],[Role]]&lt;&gt;"BR",SUMPRODUCT(Mecze[[#This Row],[/PR:90]:[/BR:90]],Brudnopis!$E$27:$J$27),0)</f>
        <v>0.20454545454545453</v>
      </c>
      <c r="X937" s="44">
        <f>IF(Mecze[[#This Row],[Role]]&lt;&gt;"BR",SUMPRODUCT(Mecze[[#This Row],[/PR:90]:[/BR:90]],Brudnopis!$E$28:$J$28),0)</f>
        <v>9.0909090909090912E-2</v>
      </c>
      <c r="Y937" s="35">
        <f>IF(Mecze[[#This Row],[Role]]="BR",Mecze[[#This Row],[/OB:90]]+Mecze[[#This Row],[/PC:90]],SUM(Mecze[[#This Row],[/PR:90]:[/BR:90]]))</f>
        <v>0.18181818181818182</v>
      </c>
      <c r="Z937" s="35">
        <f>IF(Mecze[[#This Row],[KC]]=0,SUM(Mecze[[#This Row],[/BRI]:[/NPI]]),SUM(Mecze[[#This Row],[/BRI]:[/NPI]])*0.6)</f>
        <v>0.88636363636363635</v>
      </c>
      <c r="AA937" s="10">
        <f>IFERROR(Mecze[[#This Row],[BR]]/Mecze[[#This Row],[ST]],0)</f>
        <v>0</v>
      </c>
      <c r="AB937">
        <f>ROUND(Mecze[[#This Row],[PD]]*Mecze[[#This Row],[%PC]],0)</f>
        <v>2</v>
      </c>
      <c r="AC937">
        <f>ROUND(Mecze[[#This Row],[OD]]*Mecze[[#This Row],[%OU]],0)</f>
        <v>0</v>
      </c>
      <c r="AD937" s="36" t="s">
        <v>167</v>
      </c>
      <c r="AE937" s="36">
        <v>52</v>
      </c>
      <c r="AF937" s="71">
        <v>1.03</v>
      </c>
      <c r="AG937" s="37">
        <v>0</v>
      </c>
      <c r="AH937" s="37">
        <v>0</v>
      </c>
      <c r="AI937" s="37">
        <v>22</v>
      </c>
      <c r="AJ937" s="37">
        <v>8</v>
      </c>
      <c r="AK937" s="37" t="str">
        <f>VLOOKUP(Mecze[[#This Row],[Match ID]],Meczusie[Mecz]:Meczusie[RodzajMeczu],2,FALSE)</f>
        <v>Liga</v>
      </c>
    </row>
    <row r="938" spans="1:37" x14ac:dyDescent="0.25">
      <c r="A938" s="76">
        <v>12</v>
      </c>
      <c r="B938" s="3" t="s">
        <v>315</v>
      </c>
      <c r="C938" s="2" t="s">
        <v>160</v>
      </c>
      <c r="D938" s="1">
        <v>0</v>
      </c>
      <c r="E938" s="1">
        <v>0</v>
      </c>
      <c r="F938" s="1">
        <v>0</v>
      </c>
      <c r="G938" s="1">
        <v>3</v>
      </c>
      <c r="H938" s="4">
        <v>1</v>
      </c>
      <c r="I938" s="1">
        <v>0</v>
      </c>
      <c r="J938" s="4"/>
      <c r="K938" s="1">
        <v>0</v>
      </c>
      <c r="L938" s="1">
        <v>0</v>
      </c>
      <c r="M938" s="32">
        <f>IF(Mecze[[#This Row],[PR]]=0,0,Mecze[[#This Row],[PR]]/Mecze[[#This Row],[CZAS]])</f>
        <v>0</v>
      </c>
      <c r="N938" s="32">
        <f>IF(Mecze[[#This Row],[OU]]=0,0,Mecze[[#This Row],[OU]]/Mecze[[#This Row],[CZAS]])</f>
        <v>0</v>
      </c>
      <c r="O938" s="32">
        <f>IF(Mecze[[#This Row],[PC]]=0,0,Mecze[[#This Row],[PC]]/Mecze[[#This Row],[CZAS]])</f>
        <v>0.2</v>
      </c>
      <c r="P938" s="32">
        <f>IF(Mecze[[#This Row],[SC]]=0,0,Mecze[[#This Row],[SC]]/Mecze[[#This Row],[CZAS]])</f>
        <v>0</v>
      </c>
      <c r="Q938" s="32">
        <f>IF(Mecze[[#This Row],[OB]]=0,0,Mecze[[#This Row],[OB]]/Mecze[[#This Row],[CZAS]])</f>
        <v>0</v>
      </c>
      <c r="R938" s="32">
        <f>IF(Mecze[[#This Row],[BR]]=0,0,Mecze[[#This Row],[BR]]/Mecze[[#This Row],[CZAS]])</f>
        <v>0</v>
      </c>
      <c r="S938" s="44">
        <f>IF(Mecze[[#This Row],[Role]]="BR",SUMPRODUCT(Mecze[[#This Row],[/PR:90]:[/BR:90]],Brudnopis!$E$23:$J$23),0)</f>
        <v>0</v>
      </c>
      <c r="T938" s="44">
        <f>IF(Mecze[[#This Row],[Role]]&lt;&gt;"BR",SUMPRODUCT(Mecze[[#This Row],[/PR:90]:[/BR:90]],Brudnopis!$E$24:$J$24),0)</f>
        <v>0.2</v>
      </c>
      <c r="U938" s="44">
        <f>IF(Mecze[[#This Row],[Role]]&lt;&gt;"BR",SUMPRODUCT(Mecze[[#This Row],[/PR:90]:[/BR:90]],Brudnopis!$E$25:$J$25),0)</f>
        <v>0.30000000000000004</v>
      </c>
      <c r="V938" s="44">
        <f>IF(Mecze[[#This Row],[Role]]&lt;&gt;"BR",SUMPRODUCT(Mecze[[#This Row],[/PR:90]:[/BR:90]],Brudnopis!$E$26:$J$26),0)</f>
        <v>0.2</v>
      </c>
      <c r="W938" s="44">
        <f>IF(Mecze[[#This Row],[Role]]&lt;&gt;"BR",SUMPRODUCT(Mecze[[#This Row],[/PR:90]:[/BR:90]],Brudnopis!$E$27:$J$27),0)</f>
        <v>0.30000000000000004</v>
      </c>
      <c r="X938" s="44">
        <f>IF(Mecze[[#This Row],[Role]]&lt;&gt;"BR",SUMPRODUCT(Mecze[[#This Row],[/PR:90]:[/BR:90]],Brudnopis!$E$28:$J$28),0)</f>
        <v>0.2</v>
      </c>
      <c r="Y938" s="35">
        <f>IF(Mecze[[#This Row],[Role]]="BR",Mecze[[#This Row],[/OB:90]]+Mecze[[#This Row],[/PC:90]],SUM(Mecze[[#This Row],[/PR:90]:[/BR:90]]))</f>
        <v>0.2</v>
      </c>
      <c r="Z938" s="35">
        <f>IF(Mecze[[#This Row],[KC]]=0,SUM(Mecze[[#This Row],[/BRI]:[/NPI]]),SUM(Mecze[[#This Row],[/BRI]:[/NPI]])*0.6)</f>
        <v>1.2</v>
      </c>
      <c r="AA938" s="10">
        <f>IFERROR(Mecze[[#This Row],[BR]]/Mecze[[#This Row],[ST]],0)</f>
        <v>0</v>
      </c>
      <c r="AB938">
        <f>ROUND(Mecze[[#This Row],[PD]]*Mecze[[#This Row],[%PC]],0)</f>
        <v>3</v>
      </c>
      <c r="AC938">
        <f>ROUND(Mecze[[#This Row],[OD]]*Mecze[[#This Row],[%OU]],0)</f>
        <v>0</v>
      </c>
      <c r="AD938" s="36" t="s">
        <v>41</v>
      </c>
      <c r="AE938" s="36">
        <v>52</v>
      </c>
      <c r="AF938" s="71">
        <v>1.72</v>
      </c>
      <c r="AG938" s="37">
        <v>0</v>
      </c>
      <c r="AH938" s="37">
        <v>0</v>
      </c>
      <c r="AI938" s="37">
        <v>15</v>
      </c>
      <c r="AJ938" s="37">
        <v>8</v>
      </c>
      <c r="AK938" s="37" t="str">
        <f>VLOOKUP(Mecze[[#This Row],[Match ID]],Meczusie[Mecz]:Meczusie[RodzajMeczu],2,FALSE)</f>
        <v>Liga</v>
      </c>
    </row>
    <row r="939" spans="1:37" x14ac:dyDescent="0.25">
      <c r="A939" s="76">
        <v>102</v>
      </c>
      <c r="B939" s="3" t="s">
        <v>417</v>
      </c>
      <c r="C939" s="2" t="s">
        <v>155</v>
      </c>
      <c r="D939" s="1">
        <v>0</v>
      </c>
      <c r="E939" s="1">
        <v>0</v>
      </c>
      <c r="F939" s="1">
        <v>0</v>
      </c>
      <c r="G939" s="1">
        <v>10</v>
      </c>
      <c r="H939" s="4">
        <v>0.6</v>
      </c>
      <c r="I939" s="1">
        <v>0</v>
      </c>
      <c r="J939" s="4"/>
      <c r="K939" s="1">
        <v>10</v>
      </c>
      <c r="L939" s="1">
        <v>0</v>
      </c>
      <c r="M939" s="32">
        <f>IF(Mecze[[#This Row],[PR]]=0,0,Mecze[[#This Row],[PR]]/Mecze[[#This Row],[CZAS]])</f>
        <v>0</v>
      </c>
      <c r="N939" s="32">
        <f>IF(Mecze[[#This Row],[OU]]=0,0,Mecze[[#This Row],[OU]]/Mecze[[#This Row],[CZAS]])</f>
        <v>0</v>
      </c>
      <c r="O939" s="32">
        <f>IF(Mecze[[#This Row],[PC]]=0,0,Mecze[[#This Row],[PC]]/Mecze[[#This Row],[CZAS]])</f>
        <v>6.25E-2</v>
      </c>
      <c r="P939" s="32">
        <f>IF(Mecze[[#This Row],[SC]]=0,0,Mecze[[#This Row],[SC]]/Mecze[[#This Row],[CZAS]])</f>
        <v>0</v>
      </c>
      <c r="Q939" s="32">
        <f>IF(Mecze[[#This Row],[OB]]=0,0,Mecze[[#This Row],[OB]]/Mecze[[#This Row],[CZAS]])</f>
        <v>0.10416666666666667</v>
      </c>
      <c r="R939" s="32">
        <f>IF(Mecze[[#This Row],[BR]]=0,0,Mecze[[#This Row],[BR]]/Mecze[[#This Row],[CZAS]])</f>
        <v>0</v>
      </c>
      <c r="S939" s="44">
        <f>IF(Mecze[[#This Row],[Role]]="BR",SUMPRODUCT(Mecze[[#This Row],[/PR:90]:[/BR:90]],Brudnopis!$E$23:$J$23),0)</f>
        <v>0.5</v>
      </c>
      <c r="T939" s="44">
        <f>IF(Mecze[[#This Row],[Role]]&lt;&gt;"BR",SUMPRODUCT(Mecze[[#This Row],[/PR:90]:[/BR:90]],Brudnopis!$E$24:$J$24),0)</f>
        <v>0</v>
      </c>
      <c r="U939" s="44">
        <f>IF(Mecze[[#This Row],[Role]]&lt;&gt;"BR",SUMPRODUCT(Mecze[[#This Row],[/PR:90]:[/BR:90]],Brudnopis!$E$25:$J$25),0)</f>
        <v>0</v>
      </c>
      <c r="V939" s="44">
        <f>IF(Mecze[[#This Row],[Role]]&lt;&gt;"BR",SUMPRODUCT(Mecze[[#This Row],[/PR:90]:[/BR:90]],Brudnopis!$E$26:$J$26),0)</f>
        <v>0</v>
      </c>
      <c r="W939" s="44">
        <f>IF(Mecze[[#This Row],[Role]]&lt;&gt;"BR",SUMPRODUCT(Mecze[[#This Row],[/PR:90]:[/BR:90]],Brudnopis!$E$27:$J$27),0)</f>
        <v>0</v>
      </c>
      <c r="X939" s="44">
        <f>IF(Mecze[[#This Row],[Role]]&lt;&gt;"BR",SUMPRODUCT(Mecze[[#This Row],[/PR:90]:[/BR:90]],Brudnopis!$E$28:$J$28),0)</f>
        <v>0</v>
      </c>
      <c r="Y939" s="35">
        <f>IF(Mecze[[#This Row],[Role]]="BR",Mecze[[#This Row],[/OB:90]]+Mecze[[#This Row],[/PC:90]],SUM(Mecze[[#This Row],[/PR:90]:[/BR:90]]))</f>
        <v>0.16666666666666669</v>
      </c>
      <c r="Z939" s="35">
        <f>IF(Mecze[[#This Row],[KC]]=0,SUM(Mecze[[#This Row],[/BRI]:[/NPI]]),SUM(Mecze[[#This Row],[/BRI]:[/NPI]])*0.6)</f>
        <v>0.5</v>
      </c>
      <c r="AA939" s="10">
        <f>IFERROR(Mecze[[#This Row],[BR]]/Mecze[[#This Row],[ST]],0)</f>
        <v>0</v>
      </c>
      <c r="AB939">
        <f>ROUND(Mecze[[#This Row],[PD]]*Mecze[[#This Row],[%PC]],0)</f>
        <v>6</v>
      </c>
      <c r="AC939">
        <f>ROUND(Mecze[[#This Row],[OD]]*Mecze[[#This Row],[%OU]],0)</f>
        <v>0</v>
      </c>
      <c r="AD939" s="36" t="s">
        <v>40</v>
      </c>
      <c r="AE939" s="36">
        <v>53</v>
      </c>
      <c r="AF939" s="71">
        <v>6.31</v>
      </c>
      <c r="AG939" s="37">
        <v>0</v>
      </c>
      <c r="AH939" s="37">
        <v>0</v>
      </c>
      <c r="AI939" s="37">
        <v>96</v>
      </c>
      <c r="AJ939" s="37">
        <v>6</v>
      </c>
      <c r="AK939" s="37" t="str">
        <f>VLOOKUP(Mecze[[#This Row],[Match ID]],Meczusie[Mecz]:Meczusie[RodzajMeczu],2,FALSE)</f>
        <v>Liga</v>
      </c>
    </row>
    <row r="940" spans="1:37" x14ac:dyDescent="0.25">
      <c r="A940" s="76">
        <v>101</v>
      </c>
      <c r="B940" s="3" t="s">
        <v>248</v>
      </c>
      <c r="C940" s="2" t="s">
        <v>157</v>
      </c>
      <c r="D940" s="1">
        <v>0</v>
      </c>
      <c r="E940" s="1">
        <v>0</v>
      </c>
      <c r="F940" s="1">
        <v>0</v>
      </c>
      <c r="G940" s="1">
        <v>6</v>
      </c>
      <c r="H940" s="4">
        <v>0.83</v>
      </c>
      <c r="I940" s="1">
        <v>0</v>
      </c>
      <c r="J940" s="4"/>
      <c r="K940" s="1">
        <v>0</v>
      </c>
      <c r="L940" s="1">
        <v>3</v>
      </c>
      <c r="M940" s="32">
        <f>IF(Mecze[[#This Row],[PR]]=0,0,Mecze[[#This Row],[PR]]/Mecze[[#This Row],[CZAS]])</f>
        <v>3.125E-2</v>
      </c>
      <c r="N940" s="32">
        <f>IF(Mecze[[#This Row],[OU]]=0,0,Mecze[[#This Row],[OU]]/Mecze[[#This Row],[CZAS]])</f>
        <v>0</v>
      </c>
      <c r="O940" s="32">
        <f>IF(Mecze[[#This Row],[PC]]=0,0,Mecze[[#This Row],[PC]]/Mecze[[#This Row],[CZAS]])</f>
        <v>5.2083333333333336E-2</v>
      </c>
      <c r="P940" s="32">
        <f>IF(Mecze[[#This Row],[SC]]=0,0,Mecze[[#This Row],[SC]]/Mecze[[#This Row],[CZAS]])</f>
        <v>0</v>
      </c>
      <c r="Q940" s="32">
        <f>IF(Mecze[[#This Row],[OB]]=0,0,Mecze[[#This Row],[OB]]/Mecze[[#This Row],[CZAS]])</f>
        <v>0</v>
      </c>
      <c r="R940" s="32">
        <f>IF(Mecze[[#This Row],[BR]]=0,0,Mecze[[#This Row],[BR]]/Mecze[[#This Row],[CZAS]])</f>
        <v>0</v>
      </c>
      <c r="S940" s="44">
        <f>IF(Mecze[[#This Row],[Role]]="BR",SUMPRODUCT(Mecze[[#This Row],[/PR:90]:[/BR:90]],Brudnopis!$E$23:$J$23),0)</f>
        <v>0</v>
      </c>
      <c r="T940" s="44">
        <f>IF(Mecze[[#This Row],[Role]]&lt;&gt;"BR",SUMPRODUCT(Mecze[[#This Row],[/PR:90]:[/BR:90]],Brudnopis!$E$24:$J$24),0)</f>
        <v>8.3333333333333343E-2</v>
      </c>
      <c r="U940" s="44">
        <f>IF(Mecze[[#This Row],[Role]]&lt;&gt;"BR",SUMPRODUCT(Mecze[[#This Row],[/PR:90]:[/BR:90]],Brudnopis!$E$25:$J$25),0)</f>
        <v>0.109375</v>
      </c>
      <c r="V940" s="44">
        <f>IF(Mecze[[#This Row],[Role]]&lt;&gt;"BR",SUMPRODUCT(Mecze[[#This Row],[/PR:90]:[/BR:90]],Brudnopis!$E$26:$J$26),0)</f>
        <v>8.3333333333333343E-2</v>
      </c>
      <c r="W940" s="44">
        <f>IF(Mecze[[#This Row],[Role]]&lt;&gt;"BR",SUMPRODUCT(Mecze[[#This Row],[/PR:90]:[/BR:90]],Brudnopis!$E$27:$J$27),0)</f>
        <v>0.1015625</v>
      </c>
      <c r="X940" s="44">
        <f>IF(Mecze[[#This Row],[Role]]&lt;&gt;"BR",SUMPRODUCT(Mecze[[#This Row],[/PR:90]:[/BR:90]],Brudnopis!$E$28:$J$28),0)</f>
        <v>5.2083333333333336E-2</v>
      </c>
      <c r="Y940" s="35">
        <f>IF(Mecze[[#This Row],[Role]]="BR",Mecze[[#This Row],[/OB:90]]+Mecze[[#This Row],[/PC:90]],SUM(Mecze[[#This Row],[/PR:90]:[/BR:90]]))</f>
        <v>8.3333333333333343E-2</v>
      </c>
      <c r="Z940" s="35">
        <f>IF(Mecze[[#This Row],[KC]]=0,SUM(Mecze[[#This Row],[/BRI]:[/NPI]]),SUM(Mecze[[#This Row],[/BRI]:[/NPI]])*0.6)</f>
        <v>0.4296875</v>
      </c>
      <c r="AA940" s="10">
        <f>IFERROR(Mecze[[#This Row],[BR]]/Mecze[[#This Row],[ST]],0)</f>
        <v>0</v>
      </c>
      <c r="AB940">
        <f>ROUND(Mecze[[#This Row],[PD]]*Mecze[[#This Row],[%PC]],0)</f>
        <v>5</v>
      </c>
      <c r="AC940">
        <f>ROUND(Mecze[[#This Row],[OD]]*Mecze[[#This Row],[%OU]],0)</f>
        <v>0</v>
      </c>
      <c r="AD940" s="36" t="s">
        <v>47</v>
      </c>
      <c r="AE940" s="36">
        <v>53</v>
      </c>
      <c r="AF940" s="71">
        <v>2.2200000000000002</v>
      </c>
      <c r="AG940" s="37">
        <v>0</v>
      </c>
      <c r="AH940" s="37">
        <v>0</v>
      </c>
      <c r="AI940" s="37">
        <v>96</v>
      </c>
      <c r="AJ940" s="37">
        <v>6</v>
      </c>
      <c r="AK940" s="37" t="str">
        <f>VLOOKUP(Mecze[[#This Row],[Match ID]],Meczusie[Mecz]:Meczusie[RodzajMeczu],2,FALSE)</f>
        <v>Liga</v>
      </c>
    </row>
    <row r="941" spans="1:37" x14ac:dyDescent="0.25">
      <c r="A941" s="76">
        <v>105</v>
      </c>
      <c r="B941" s="3" t="s">
        <v>423</v>
      </c>
      <c r="C941" s="2" t="s">
        <v>157</v>
      </c>
      <c r="D941" s="1">
        <v>0</v>
      </c>
      <c r="E941" s="1">
        <v>0</v>
      </c>
      <c r="F941" s="1">
        <v>0</v>
      </c>
      <c r="G941" s="1">
        <v>10</v>
      </c>
      <c r="H941" s="4">
        <v>0.9</v>
      </c>
      <c r="I941" s="1">
        <v>6</v>
      </c>
      <c r="J941" s="4">
        <v>0.83</v>
      </c>
      <c r="K941" s="1">
        <v>0</v>
      </c>
      <c r="L941" s="1">
        <v>2</v>
      </c>
      <c r="M941" s="32">
        <f>IF(Mecze[[#This Row],[PR]]=0,0,Mecze[[#This Row],[PR]]/Mecze[[#This Row],[CZAS]])</f>
        <v>2.0833333333333332E-2</v>
      </c>
      <c r="N941" s="32">
        <f>IF(Mecze[[#This Row],[OU]]=0,0,Mecze[[#This Row],[OU]]/Mecze[[#This Row],[CZAS]])</f>
        <v>5.2083333333333336E-2</v>
      </c>
      <c r="O941" s="32">
        <f>IF(Mecze[[#This Row],[PC]]=0,0,Mecze[[#This Row],[PC]]/Mecze[[#This Row],[CZAS]])</f>
        <v>9.375E-2</v>
      </c>
      <c r="P941" s="32">
        <f>IF(Mecze[[#This Row],[SC]]=0,0,Mecze[[#This Row],[SC]]/Mecze[[#This Row],[CZAS]])</f>
        <v>0</v>
      </c>
      <c r="Q941" s="32">
        <f>IF(Mecze[[#This Row],[OB]]=0,0,Mecze[[#This Row],[OB]]/Mecze[[#This Row],[CZAS]])</f>
        <v>0</v>
      </c>
      <c r="R941" s="32">
        <f>IF(Mecze[[#This Row],[BR]]=0,0,Mecze[[#This Row],[BR]]/Mecze[[#This Row],[CZAS]])</f>
        <v>0</v>
      </c>
      <c r="S941" s="44">
        <f>IF(Mecze[[#This Row],[Role]]="BR",SUMPRODUCT(Mecze[[#This Row],[/PR:90]:[/BR:90]],Brudnopis!$E$23:$J$23),0)</f>
        <v>0</v>
      </c>
      <c r="T941" s="44">
        <f>IF(Mecze[[#This Row],[Role]]&lt;&gt;"BR",SUMPRODUCT(Mecze[[#This Row],[/PR:90]:[/BR:90]],Brudnopis!$E$24:$J$24),0)</f>
        <v>0.19270833333333331</v>
      </c>
      <c r="U941" s="44">
        <f>IF(Mecze[[#This Row],[Role]]&lt;&gt;"BR",SUMPRODUCT(Mecze[[#This Row],[/PR:90]:[/BR:90]],Brudnopis!$E$25:$J$25),0)</f>
        <v>0.21354166666666669</v>
      </c>
      <c r="V941" s="44">
        <f>IF(Mecze[[#This Row],[Role]]&lt;&gt;"BR",SUMPRODUCT(Mecze[[#This Row],[/PR:90]:[/BR:90]],Brudnopis!$E$26:$J$26),0)</f>
        <v>0.16666666666666669</v>
      </c>
      <c r="W941" s="44">
        <f>IF(Mecze[[#This Row],[Role]]&lt;&gt;"BR",SUMPRODUCT(Mecze[[#This Row],[/PR:90]:[/BR:90]],Brudnopis!$E$27:$J$27),0)</f>
        <v>0.1953125</v>
      </c>
      <c r="X941" s="44">
        <f>IF(Mecze[[#This Row],[Role]]&lt;&gt;"BR",SUMPRODUCT(Mecze[[#This Row],[/PR:90]:[/BR:90]],Brudnopis!$E$28:$J$28),0)</f>
        <v>9.375E-2</v>
      </c>
      <c r="Y941" s="35">
        <f>IF(Mecze[[#This Row],[Role]]="BR",Mecze[[#This Row],[/OB:90]]+Mecze[[#This Row],[/PC:90]],SUM(Mecze[[#This Row],[/PR:90]:[/BR:90]]))</f>
        <v>0.16666666666666669</v>
      </c>
      <c r="Z941" s="35">
        <f>IF(Mecze[[#This Row],[KC]]=0,SUM(Mecze[[#This Row],[/BRI]:[/NPI]]),SUM(Mecze[[#This Row],[/BRI]:[/NPI]])*0.6)</f>
        <v>0.86197916666666674</v>
      </c>
      <c r="AA941" s="10">
        <f>IFERROR(Mecze[[#This Row],[BR]]/Mecze[[#This Row],[ST]],0)</f>
        <v>0</v>
      </c>
      <c r="AB941">
        <f>ROUND(Mecze[[#This Row],[PD]]*Mecze[[#This Row],[%PC]],0)</f>
        <v>9</v>
      </c>
      <c r="AC941">
        <f>ROUND(Mecze[[#This Row],[OD]]*Mecze[[#This Row],[%OU]],0)</f>
        <v>5</v>
      </c>
      <c r="AD941" s="36" t="s">
        <v>47</v>
      </c>
      <c r="AE941" s="36">
        <v>53</v>
      </c>
      <c r="AF941" s="71">
        <v>4.33</v>
      </c>
      <c r="AG941" s="37">
        <v>0</v>
      </c>
      <c r="AH941" s="37">
        <v>0</v>
      </c>
      <c r="AI941" s="37">
        <v>96</v>
      </c>
      <c r="AJ941" s="37">
        <v>6</v>
      </c>
      <c r="AK941" s="37" t="str">
        <f>VLOOKUP(Mecze[[#This Row],[Match ID]],Meczusie[Mecz]:Meczusie[RodzajMeczu],2,FALSE)</f>
        <v>Liga</v>
      </c>
    </row>
    <row r="942" spans="1:37" x14ac:dyDescent="0.25">
      <c r="A942" s="76">
        <v>2</v>
      </c>
      <c r="B942" s="3" t="s">
        <v>249</v>
      </c>
      <c r="C942" s="2" t="s">
        <v>157</v>
      </c>
      <c r="D942" s="1">
        <v>0</v>
      </c>
      <c r="E942" s="1">
        <v>0</v>
      </c>
      <c r="F942" s="1">
        <v>0</v>
      </c>
      <c r="G942" s="1">
        <v>2</v>
      </c>
      <c r="H942" s="4">
        <v>1</v>
      </c>
      <c r="I942" s="1">
        <v>0</v>
      </c>
      <c r="J942" s="4"/>
      <c r="K942" s="1">
        <v>0</v>
      </c>
      <c r="L942" s="1">
        <v>0</v>
      </c>
      <c r="M942" s="32">
        <f>IF(Mecze[[#This Row],[PR]]=0,0,Mecze[[#This Row],[PR]]/Mecze[[#This Row],[CZAS]])</f>
        <v>0</v>
      </c>
      <c r="N942" s="32">
        <f>IF(Mecze[[#This Row],[OU]]=0,0,Mecze[[#This Row],[OU]]/Mecze[[#This Row],[CZAS]])</f>
        <v>0</v>
      </c>
      <c r="O942" s="32">
        <f>IF(Mecze[[#This Row],[PC]]=0,0,Mecze[[#This Row],[PC]]/Mecze[[#This Row],[CZAS]])</f>
        <v>2.0833333333333332E-2</v>
      </c>
      <c r="P942" s="32">
        <f>IF(Mecze[[#This Row],[SC]]=0,0,Mecze[[#This Row],[SC]]/Mecze[[#This Row],[CZAS]])</f>
        <v>0</v>
      </c>
      <c r="Q942" s="32">
        <f>IF(Mecze[[#This Row],[OB]]=0,0,Mecze[[#This Row],[OB]]/Mecze[[#This Row],[CZAS]])</f>
        <v>0</v>
      </c>
      <c r="R942" s="32">
        <f>IF(Mecze[[#This Row],[BR]]=0,0,Mecze[[#This Row],[BR]]/Mecze[[#This Row],[CZAS]])</f>
        <v>0</v>
      </c>
      <c r="S942" s="44">
        <f>IF(Mecze[[#This Row],[Role]]="BR",SUMPRODUCT(Mecze[[#This Row],[/PR:90]:[/BR:90]],Brudnopis!$E$23:$J$23),0)</f>
        <v>0</v>
      </c>
      <c r="T942" s="44">
        <f>IF(Mecze[[#This Row],[Role]]&lt;&gt;"BR",SUMPRODUCT(Mecze[[#This Row],[/PR:90]:[/BR:90]],Brudnopis!$E$24:$J$24),0)</f>
        <v>2.0833333333333332E-2</v>
      </c>
      <c r="U942" s="44">
        <f>IF(Mecze[[#This Row],[Role]]&lt;&gt;"BR",SUMPRODUCT(Mecze[[#This Row],[/PR:90]:[/BR:90]],Brudnopis!$E$25:$J$25),0)</f>
        <v>3.125E-2</v>
      </c>
      <c r="V942" s="44">
        <f>IF(Mecze[[#This Row],[Role]]&lt;&gt;"BR",SUMPRODUCT(Mecze[[#This Row],[/PR:90]:[/BR:90]],Brudnopis!$E$26:$J$26),0)</f>
        <v>2.0833333333333332E-2</v>
      </c>
      <c r="W942" s="44">
        <f>IF(Mecze[[#This Row],[Role]]&lt;&gt;"BR",SUMPRODUCT(Mecze[[#This Row],[/PR:90]:[/BR:90]],Brudnopis!$E$27:$J$27),0)</f>
        <v>3.125E-2</v>
      </c>
      <c r="X942" s="44">
        <f>IF(Mecze[[#This Row],[Role]]&lt;&gt;"BR",SUMPRODUCT(Mecze[[#This Row],[/PR:90]:[/BR:90]],Brudnopis!$E$28:$J$28),0)</f>
        <v>2.0833333333333332E-2</v>
      </c>
      <c r="Y942" s="35">
        <f>IF(Mecze[[#This Row],[Role]]="BR",Mecze[[#This Row],[/OB:90]]+Mecze[[#This Row],[/PC:90]],SUM(Mecze[[#This Row],[/PR:90]:[/BR:90]]))</f>
        <v>2.0833333333333332E-2</v>
      </c>
      <c r="Z942" s="35">
        <f>IF(Mecze[[#This Row],[KC]]=0,SUM(Mecze[[#This Row],[/BRI]:[/NPI]]),SUM(Mecze[[#This Row],[/BRI]:[/NPI]])*0.6)</f>
        <v>0.12499999999999999</v>
      </c>
      <c r="AA942" s="10">
        <f>IFERROR(Mecze[[#This Row],[BR]]/Mecze[[#This Row],[ST]],0)</f>
        <v>0</v>
      </c>
      <c r="AB942">
        <f>ROUND(Mecze[[#This Row],[PD]]*Mecze[[#This Row],[%PC]],0)</f>
        <v>2</v>
      </c>
      <c r="AC942">
        <f>ROUND(Mecze[[#This Row],[OD]]*Mecze[[#This Row],[%OU]],0)</f>
        <v>0</v>
      </c>
      <c r="AD942" s="36" t="s">
        <v>175</v>
      </c>
      <c r="AE942" s="36">
        <v>53</v>
      </c>
      <c r="AF942" s="71">
        <v>1.59</v>
      </c>
      <c r="AG942" s="37">
        <v>0</v>
      </c>
      <c r="AH942" s="37">
        <v>0</v>
      </c>
      <c r="AI942" s="37">
        <v>96</v>
      </c>
      <c r="AJ942" s="37">
        <v>6</v>
      </c>
      <c r="AK942" s="37" t="str">
        <f>VLOOKUP(Mecze[[#This Row],[Match ID]],Meczusie[Mecz]:Meczusie[RodzajMeczu],2,FALSE)</f>
        <v>Liga</v>
      </c>
    </row>
    <row r="943" spans="1:37" x14ac:dyDescent="0.25">
      <c r="A943" s="76">
        <v>8</v>
      </c>
      <c r="B943" s="3" t="s">
        <v>254</v>
      </c>
      <c r="C943" s="2" t="s">
        <v>157</v>
      </c>
      <c r="D943" s="1">
        <v>0</v>
      </c>
      <c r="E943" s="1">
        <v>0</v>
      </c>
      <c r="F943" s="1">
        <v>0</v>
      </c>
      <c r="G943" s="1">
        <v>9</v>
      </c>
      <c r="H943" s="4">
        <v>0.78</v>
      </c>
      <c r="I943" s="1">
        <v>3</v>
      </c>
      <c r="J943" s="4">
        <v>0.67</v>
      </c>
      <c r="K943" s="1">
        <v>0</v>
      </c>
      <c r="L943" s="1">
        <v>2</v>
      </c>
      <c r="M943" s="32">
        <f>IF(Mecze[[#This Row],[PR]]=0,0,Mecze[[#This Row],[PR]]/Mecze[[#This Row],[CZAS]])</f>
        <v>3.0303030303030304E-2</v>
      </c>
      <c r="N943" s="32">
        <f>IF(Mecze[[#This Row],[OU]]=0,0,Mecze[[#This Row],[OU]]/Mecze[[#This Row],[CZAS]])</f>
        <v>3.0303030303030304E-2</v>
      </c>
      <c r="O943" s="32">
        <f>IF(Mecze[[#This Row],[PC]]=0,0,Mecze[[#This Row],[PC]]/Mecze[[#This Row],[CZAS]])</f>
        <v>0.10606060606060606</v>
      </c>
      <c r="P943" s="32">
        <f>IF(Mecze[[#This Row],[SC]]=0,0,Mecze[[#This Row],[SC]]/Mecze[[#This Row],[CZAS]])</f>
        <v>0</v>
      </c>
      <c r="Q943" s="32">
        <f>IF(Mecze[[#This Row],[OB]]=0,0,Mecze[[#This Row],[OB]]/Mecze[[#This Row],[CZAS]])</f>
        <v>0</v>
      </c>
      <c r="R943" s="32">
        <f>IF(Mecze[[#This Row],[BR]]=0,0,Mecze[[#This Row],[BR]]/Mecze[[#This Row],[CZAS]])</f>
        <v>0</v>
      </c>
      <c r="S943" s="44">
        <f>IF(Mecze[[#This Row],[Role]]="BR",SUMPRODUCT(Mecze[[#This Row],[/PR:90]:[/BR:90]],Brudnopis!$E$23:$J$23),0)</f>
        <v>0</v>
      </c>
      <c r="T943" s="44">
        <f>IF(Mecze[[#This Row],[Role]]&lt;&gt;"BR",SUMPRODUCT(Mecze[[#This Row],[/PR:90]:[/BR:90]],Brudnopis!$E$24:$J$24),0)</f>
        <v>0.18181818181818182</v>
      </c>
      <c r="U943" s="44">
        <f>IF(Mecze[[#This Row],[Role]]&lt;&gt;"BR",SUMPRODUCT(Mecze[[#This Row],[/PR:90]:[/BR:90]],Brudnopis!$E$25:$J$25),0)</f>
        <v>0.2196969696969697</v>
      </c>
      <c r="V943" s="44">
        <f>IF(Mecze[[#This Row],[Role]]&lt;&gt;"BR",SUMPRODUCT(Mecze[[#This Row],[/PR:90]:[/BR:90]],Brudnopis!$E$26:$J$26),0)</f>
        <v>0.16666666666666669</v>
      </c>
      <c r="W943" s="44">
        <f>IF(Mecze[[#This Row],[Role]]&lt;&gt;"BR",SUMPRODUCT(Mecze[[#This Row],[/PR:90]:[/BR:90]],Brudnopis!$E$27:$J$27),0)</f>
        <v>0.20454545454545453</v>
      </c>
      <c r="X943" s="44">
        <f>IF(Mecze[[#This Row],[Role]]&lt;&gt;"BR",SUMPRODUCT(Mecze[[#This Row],[/PR:90]:[/BR:90]],Brudnopis!$E$28:$J$28),0)</f>
        <v>0.10606060606060606</v>
      </c>
      <c r="Y943" s="35">
        <f>IF(Mecze[[#This Row],[Role]]="BR",Mecze[[#This Row],[/OB:90]]+Mecze[[#This Row],[/PC:90]],SUM(Mecze[[#This Row],[/PR:90]:[/BR:90]]))</f>
        <v>0.16666666666666669</v>
      </c>
      <c r="Z943" s="35">
        <f>IF(Mecze[[#This Row],[KC]]=0,SUM(Mecze[[#This Row],[/BRI]:[/NPI]]),SUM(Mecze[[#This Row],[/BRI]:[/NPI]])*0.6)</f>
        <v>0.87878787878787878</v>
      </c>
      <c r="AA943" s="10">
        <f>IFERROR(Mecze[[#This Row],[BR]]/Mecze[[#This Row],[ST]],0)</f>
        <v>0</v>
      </c>
      <c r="AB943">
        <f>ROUND(Mecze[[#This Row],[PD]]*Mecze[[#This Row],[%PC]],0)</f>
        <v>7</v>
      </c>
      <c r="AC943">
        <f>ROUND(Mecze[[#This Row],[OD]]*Mecze[[#This Row],[%OU]],0)</f>
        <v>2</v>
      </c>
      <c r="AD943" s="36" t="s">
        <v>47</v>
      </c>
      <c r="AE943" s="36">
        <v>53</v>
      </c>
      <c r="AF943" s="71">
        <v>3.13</v>
      </c>
      <c r="AG943" s="37">
        <v>0</v>
      </c>
      <c r="AH943" s="37">
        <v>0</v>
      </c>
      <c r="AI943" s="37">
        <v>66</v>
      </c>
      <c r="AJ943" s="37">
        <v>6</v>
      </c>
      <c r="AK943" s="37" t="str">
        <f>VLOOKUP(Mecze[[#This Row],[Match ID]],Meczusie[Mecz]:Meczusie[RodzajMeczu],2,FALSE)</f>
        <v>Liga</v>
      </c>
    </row>
    <row r="944" spans="1:37" x14ac:dyDescent="0.25">
      <c r="A944" s="76">
        <v>7</v>
      </c>
      <c r="B944" s="3" t="s">
        <v>251</v>
      </c>
      <c r="C944" s="2" t="s">
        <v>157</v>
      </c>
      <c r="D944" s="1">
        <v>0</v>
      </c>
      <c r="E944" s="1">
        <v>0</v>
      </c>
      <c r="F944" s="1">
        <v>0</v>
      </c>
      <c r="G944" s="1">
        <v>14</v>
      </c>
      <c r="H944" s="4">
        <v>0.71</v>
      </c>
      <c r="I944" s="1">
        <v>23</v>
      </c>
      <c r="J944" s="4">
        <v>0.48</v>
      </c>
      <c r="K944" s="1">
        <v>0</v>
      </c>
      <c r="L944" s="1">
        <v>17</v>
      </c>
      <c r="M944" s="32">
        <f>IF(Mecze[[#This Row],[PR]]=0,0,Mecze[[#This Row],[PR]]/Mecze[[#This Row],[CZAS]])</f>
        <v>0.17708333333333334</v>
      </c>
      <c r="N944" s="32">
        <f>IF(Mecze[[#This Row],[OU]]=0,0,Mecze[[#This Row],[OU]]/Mecze[[#This Row],[CZAS]])</f>
        <v>0.11458333333333333</v>
      </c>
      <c r="O944" s="32">
        <f>IF(Mecze[[#This Row],[PC]]=0,0,Mecze[[#This Row],[PC]]/Mecze[[#This Row],[CZAS]])</f>
        <v>0.10416666666666667</v>
      </c>
      <c r="P944" s="32">
        <f>IF(Mecze[[#This Row],[SC]]=0,0,Mecze[[#This Row],[SC]]/Mecze[[#This Row],[CZAS]])</f>
        <v>0</v>
      </c>
      <c r="Q944" s="32">
        <f>IF(Mecze[[#This Row],[OB]]=0,0,Mecze[[#This Row],[OB]]/Mecze[[#This Row],[CZAS]])</f>
        <v>0</v>
      </c>
      <c r="R944" s="32">
        <f>IF(Mecze[[#This Row],[BR]]=0,0,Mecze[[#This Row],[BR]]/Mecze[[#This Row],[CZAS]])</f>
        <v>0</v>
      </c>
      <c r="S944" s="44">
        <f>IF(Mecze[[#This Row],[Role]]="BR",SUMPRODUCT(Mecze[[#This Row],[/PR:90]:[/BR:90]],Brudnopis!$E$23:$J$23),0)</f>
        <v>0</v>
      </c>
      <c r="T944" s="44">
        <f>IF(Mecze[[#This Row],[Role]]&lt;&gt;"BR",SUMPRODUCT(Mecze[[#This Row],[/PR:90]:[/BR:90]],Brudnopis!$E$24:$J$24),0)</f>
        <v>0.45312500000000006</v>
      </c>
      <c r="U944" s="44">
        <f>IF(Mecze[[#This Row],[Role]]&lt;&gt;"BR",SUMPRODUCT(Mecze[[#This Row],[/PR:90]:[/BR:90]],Brudnopis!$E$25:$J$25),0)</f>
        <v>0.44791666666666669</v>
      </c>
      <c r="V944" s="44">
        <f>IF(Mecze[[#This Row],[Role]]&lt;&gt;"BR",SUMPRODUCT(Mecze[[#This Row],[/PR:90]:[/BR:90]],Brudnopis!$E$26:$J$26),0)</f>
        <v>0.39583333333333337</v>
      </c>
      <c r="W944" s="44">
        <f>IF(Mecze[[#This Row],[Role]]&lt;&gt;"BR",SUMPRODUCT(Mecze[[#This Row],[/PR:90]:[/BR:90]],Brudnopis!$E$27:$J$27),0)</f>
        <v>0.375</v>
      </c>
      <c r="X944" s="44">
        <f>IF(Mecze[[#This Row],[Role]]&lt;&gt;"BR",SUMPRODUCT(Mecze[[#This Row],[/PR:90]:[/BR:90]],Brudnopis!$E$28:$J$28),0)</f>
        <v>0.10416666666666667</v>
      </c>
      <c r="Y944" s="35">
        <f>IF(Mecze[[#This Row],[Role]]="BR",Mecze[[#This Row],[/OB:90]]+Mecze[[#This Row],[/PC:90]],SUM(Mecze[[#This Row],[/PR:90]:[/BR:90]]))</f>
        <v>0.39583333333333337</v>
      </c>
      <c r="Z944" s="35">
        <f>IF(Mecze[[#This Row],[KC]]=0,SUM(Mecze[[#This Row],[/BRI]:[/NPI]]),SUM(Mecze[[#This Row],[/BRI]:[/NPI]])*0.6)</f>
        <v>1.7760416666666667</v>
      </c>
      <c r="AA944" s="10">
        <f>IFERROR(Mecze[[#This Row],[BR]]/Mecze[[#This Row],[ST]],0)</f>
        <v>0</v>
      </c>
      <c r="AB944">
        <f>ROUND(Mecze[[#This Row],[PD]]*Mecze[[#This Row],[%PC]],0)</f>
        <v>10</v>
      </c>
      <c r="AC944">
        <f>ROUND(Mecze[[#This Row],[OD]]*Mecze[[#This Row],[%OU]],0)</f>
        <v>11</v>
      </c>
      <c r="AD944" s="36" t="s">
        <v>174</v>
      </c>
      <c r="AE944" s="36">
        <v>53</v>
      </c>
      <c r="AF944" s="71">
        <v>5.16</v>
      </c>
      <c r="AG944" s="37">
        <v>0</v>
      </c>
      <c r="AH944" s="37">
        <v>0</v>
      </c>
      <c r="AI944" s="37">
        <v>96</v>
      </c>
      <c r="AJ944" s="37">
        <v>6</v>
      </c>
      <c r="AK944" s="37" t="str">
        <f>VLOOKUP(Mecze[[#This Row],[Match ID]],Meczusie[Mecz]:Meczusie[RodzajMeczu],2,FALSE)</f>
        <v>Liga</v>
      </c>
    </row>
    <row r="945" spans="1:37" x14ac:dyDescent="0.25">
      <c r="A945" s="76">
        <v>10</v>
      </c>
      <c r="B945" s="3" t="s">
        <v>252</v>
      </c>
      <c r="C945" s="2" t="s">
        <v>160</v>
      </c>
      <c r="D945" s="1">
        <v>0</v>
      </c>
      <c r="E945" s="1">
        <v>0</v>
      </c>
      <c r="F945" s="1">
        <v>0</v>
      </c>
      <c r="G945" s="1">
        <v>12</v>
      </c>
      <c r="H945" s="4">
        <v>0.75</v>
      </c>
      <c r="I945" s="1">
        <v>1</v>
      </c>
      <c r="J945" s="4">
        <v>0</v>
      </c>
      <c r="K945" s="1">
        <v>0</v>
      </c>
      <c r="L945" s="1">
        <v>2</v>
      </c>
      <c r="M945" s="32">
        <f>IF(Mecze[[#This Row],[PR]]=0,0,Mecze[[#This Row],[PR]]/Mecze[[#This Row],[CZAS]])</f>
        <v>2.7397260273972601E-2</v>
      </c>
      <c r="N945" s="32">
        <f>IF(Mecze[[#This Row],[OU]]=0,0,Mecze[[#This Row],[OU]]/Mecze[[#This Row],[CZAS]])</f>
        <v>0</v>
      </c>
      <c r="O945" s="32">
        <f>IF(Mecze[[#This Row],[PC]]=0,0,Mecze[[#This Row],[PC]]/Mecze[[#This Row],[CZAS]])</f>
        <v>0.12328767123287671</v>
      </c>
      <c r="P945" s="32">
        <f>IF(Mecze[[#This Row],[SC]]=0,0,Mecze[[#This Row],[SC]]/Mecze[[#This Row],[CZAS]])</f>
        <v>0</v>
      </c>
      <c r="Q945" s="32">
        <f>IF(Mecze[[#This Row],[OB]]=0,0,Mecze[[#This Row],[OB]]/Mecze[[#This Row],[CZAS]])</f>
        <v>0</v>
      </c>
      <c r="R945" s="32">
        <f>IF(Mecze[[#This Row],[BR]]=0,0,Mecze[[#This Row],[BR]]/Mecze[[#This Row],[CZAS]])</f>
        <v>0</v>
      </c>
      <c r="S945" s="44">
        <f>IF(Mecze[[#This Row],[Role]]="BR",SUMPRODUCT(Mecze[[#This Row],[/PR:90]:[/BR:90]],Brudnopis!$E$23:$J$23),0)</f>
        <v>0</v>
      </c>
      <c r="T945" s="44">
        <f>IF(Mecze[[#This Row],[Role]]&lt;&gt;"BR",SUMPRODUCT(Mecze[[#This Row],[/PR:90]:[/BR:90]],Brudnopis!$E$24:$J$24),0)</f>
        <v>0.15068493150684931</v>
      </c>
      <c r="U945" s="44">
        <f>IF(Mecze[[#This Row],[Role]]&lt;&gt;"BR",SUMPRODUCT(Mecze[[#This Row],[/PR:90]:[/BR:90]],Brudnopis!$E$25:$J$25),0)</f>
        <v>0.21232876712328766</v>
      </c>
      <c r="V945" s="44">
        <f>IF(Mecze[[#This Row],[Role]]&lt;&gt;"BR",SUMPRODUCT(Mecze[[#This Row],[/PR:90]:[/BR:90]],Brudnopis!$E$26:$J$26),0)</f>
        <v>0.15068493150684931</v>
      </c>
      <c r="W945" s="44">
        <f>IF(Mecze[[#This Row],[Role]]&lt;&gt;"BR",SUMPRODUCT(Mecze[[#This Row],[/PR:90]:[/BR:90]],Brudnopis!$E$27:$J$27),0)</f>
        <v>0.20547945205479451</v>
      </c>
      <c r="X945" s="44">
        <f>IF(Mecze[[#This Row],[Role]]&lt;&gt;"BR",SUMPRODUCT(Mecze[[#This Row],[/PR:90]:[/BR:90]],Brudnopis!$E$28:$J$28),0)</f>
        <v>0.12328767123287671</v>
      </c>
      <c r="Y945" s="35">
        <f>IF(Mecze[[#This Row],[Role]]="BR",Mecze[[#This Row],[/OB:90]]+Mecze[[#This Row],[/PC:90]],SUM(Mecze[[#This Row],[/PR:90]:[/BR:90]]))</f>
        <v>0.15068493150684931</v>
      </c>
      <c r="Z945" s="35">
        <f>IF(Mecze[[#This Row],[KC]]=0,SUM(Mecze[[#This Row],[/BRI]:[/NPI]]),SUM(Mecze[[#This Row],[/BRI]:[/NPI]])*0.6)</f>
        <v>0.84246575342465757</v>
      </c>
      <c r="AA945" s="10">
        <f>IFERROR(Mecze[[#This Row],[BR]]/Mecze[[#This Row],[ST]],0)</f>
        <v>0</v>
      </c>
      <c r="AB945">
        <f>ROUND(Mecze[[#This Row],[PD]]*Mecze[[#This Row],[%PC]],0)</f>
        <v>9</v>
      </c>
      <c r="AC945">
        <f>ROUND(Mecze[[#This Row],[OD]]*Mecze[[#This Row],[%OU]],0)</f>
        <v>0</v>
      </c>
      <c r="AD945" s="36" t="s">
        <v>41</v>
      </c>
      <c r="AE945" s="36">
        <v>53</v>
      </c>
      <c r="AF945" s="71">
        <v>4.33</v>
      </c>
      <c r="AG945" s="37">
        <v>0</v>
      </c>
      <c r="AH945" s="37">
        <v>0</v>
      </c>
      <c r="AI945" s="37">
        <v>73</v>
      </c>
      <c r="AJ945" s="37">
        <v>6</v>
      </c>
      <c r="AK945" s="37" t="str">
        <f>VLOOKUP(Mecze[[#This Row],[Match ID]],Meczusie[Mecz]:Meczusie[RodzajMeczu],2,FALSE)</f>
        <v>Liga</v>
      </c>
    </row>
    <row r="946" spans="1:37" x14ac:dyDescent="0.25">
      <c r="A946" s="76">
        <v>3</v>
      </c>
      <c r="B946" s="3" t="s">
        <v>253</v>
      </c>
      <c r="C946" s="2" t="s">
        <v>160</v>
      </c>
      <c r="D946" s="1">
        <v>0</v>
      </c>
      <c r="E946" s="1">
        <v>2</v>
      </c>
      <c r="F946" s="1">
        <v>2</v>
      </c>
      <c r="G946" s="1">
        <v>12</v>
      </c>
      <c r="H946" s="4">
        <v>0.57999999999999996</v>
      </c>
      <c r="I946" s="1">
        <v>2</v>
      </c>
      <c r="J946" s="4">
        <v>0.5</v>
      </c>
      <c r="K946" s="1">
        <v>0</v>
      </c>
      <c r="L946" s="1">
        <v>1</v>
      </c>
      <c r="M946" s="32">
        <f>IF(Mecze[[#This Row],[PR]]=0,0,Mecze[[#This Row],[PR]]/Mecze[[#This Row],[CZAS]])</f>
        <v>1.0416666666666666E-2</v>
      </c>
      <c r="N946" s="32">
        <f>IF(Mecze[[#This Row],[OU]]=0,0,Mecze[[#This Row],[OU]]/Mecze[[#This Row],[CZAS]])</f>
        <v>1.0416666666666666E-2</v>
      </c>
      <c r="O946" s="32">
        <f>IF(Mecze[[#This Row],[PC]]=0,0,Mecze[[#This Row],[PC]]/Mecze[[#This Row],[CZAS]])</f>
        <v>7.2916666666666671E-2</v>
      </c>
      <c r="P946" s="32">
        <f>IF(Mecze[[#This Row],[SC]]=0,0,Mecze[[#This Row],[SC]]/Mecze[[#This Row],[CZAS]])</f>
        <v>2.0833333333333332E-2</v>
      </c>
      <c r="Q946" s="32">
        <f>IF(Mecze[[#This Row],[OB]]=0,0,Mecze[[#This Row],[OB]]/Mecze[[#This Row],[CZAS]])</f>
        <v>0</v>
      </c>
      <c r="R946" s="32">
        <f>IF(Mecze[[#This Row],[BR]]=0,0,Mecze[[#This Row],[BR]]/Mecze[[#This Row],[CZAS]])</f>
        <v>0</v>
      </c>
      <c r="S946" s="44">
        <f>IF(Mecze[[#This Row],[Role]]="BR",SUMPRODUCT(Mecze[[#This Row],[/PR:90]:[/BR:90]],Brudnopis!$E$23:$J$23),0)</f>
        <v>0</v>
      </c>
      <c r="T946" s="44">
        <f>IF(Mecze[[#This Row],[Role]]&lt;&gt;"BR",SUMPRODUCT(Mecze[[#This Row],[/PR:90]:[/BR:90]],Brudnopis!$E$24:$J$24),0)</f>
        <v>0.11979166666666667</v>
      </c>
      <c r="U946" s="44">
        <f>IF(Mecze[[#This Row],[Role]]&lt;&gt;"BR",SUMPRODUCT(Mecze[[#This Row],[/PR:90]:[/BR:90]],Brudnopis!$E$25:$J$25),0)</f>
        <v>0.15104166666666669</v>
      </c>
      <c r="V946" s="44">
        <f>IF(Mecze[[#This Row],[Role]]&lt;&gt;"BR",SUMPRODUCT(Mecze[[#This Row],[/PR:90]:[/BR:90]],Brudnopis!$E$26:$J$26),0)</f>
        <v>0.11458333333333333</v>
      </c>
      <c r="W946" s="44">
        <f>IF(Mecze[[#This Row],[Role]]&lt;&gt;"BR",SUMPRODUCT(Mecze[[#This Row],[/PR:90]:[/BR:90]],Brudnopis!$E$27:$J$27),0)</f>
        <v>0.14583333333333334</v>
      </c>
      <c r="X946" s="44">
        <f>IF(Mecze[[#This Row],[Role]]&lt;&gt;"BR",SUMPRODUCT(Mecze[[#This Row],[/PR:90]:[/BR:90]],Brudnopis!$E$28:$J$28),0)</f>
        <v>0.11458333333333334</v>
      </c>
      <c r="Y946" s="35">
        <f>IF(Mecze[[#This Row],[Role]]="BR",Mecze[[#This Row],[/OB:90]]+Mecze[[#This Row],[/PC:90]],SUM(Mecze[[#This Row],[/PR:90]:[/BR:90]]))</f>
        <v>0.11458333333333333</v>
      </c>
      <c r="Z946" s="35">
        <f>IF(Mecze[[#This Row],[KC]]=0,SUM(Mecze[[#This Row],[/BRI]:[/NPI]]),SUM(Mecze[[#This Row],[/BRI]:[/NPI]])*0.6)</f>
        <v>0.64583333333333337</v>
      </c>
      <c r="AA946" s="10">
        <f>IFERROR(Mecze[[#This Row],[BR]]/Mecze[[#This Row],[ST]],0)</f>
        <v>0</v>
      </c>
      <c r="AB946">
        <f>ROUND(Mecze[[#This Row],[PD]]*Mecze[[#This Row],[%PC]],0)</f>
        <v>7</v>
      </c>
      <c r="AC946">
        <f>ROUND(Mecze[[#This Row],[OD]]*Mecze[[#This Row],[%OU]],0)</f>
        <v>1</v>
      </c>
      <c r="AD946" s="36" t="s">
        <v>319</v>
      </c>
      <c r="AE946" s="36">
        <v>53</v>
      </c>
      <c r="AF946" s="71">
        <v>4.58</v>
      </c>
      <c r="AG946" s="37">
        <v>0</v>
      </c>
      <c r="AH946" s="37">
        <v>0</v>
      </c>
      <c r="AI946" s="37">
        <v>96</v>
      </c>
      <c r="AJ946" s="37">
        <v>6</v>
      </c>
      <c r="AK946" s="37" t="str">
        <f>VLOOKUP(Mecze[[#This Row],[Match ID]],Meczusie[Mecz]:Meczusie[RodzajMeczu],2,FALSE)</f>
        <v>Liga</v>
      </c>
    </row>
    <row r="947" spans="1:37" x14ac:dyDescent="0.25">
      <c r="A947" s="76">
        <v>106</v>
      </c>
      <c r="B947" s="3" t="s">
        <v>424</v>
      </c>
      <c r="C947" s="2" t="s">
        <v>160</v>
      </c>
      <c r="D947" s="1">
        <v>0</v>
      </c>
      <c r="E947" s="1">
        <v>4</v>
      </c>
      <c r="F947" s="1">
        <v>3</v>
      </c>
      <c r="G947" s="1">
        <v>9</v>
      </c>
      <c r="H947" s="4">
        <v>0.89</v>
      </c>
      <c r="I947" s="1">
        <v>3</v>
      </c>
      <c r="J947" s="4">
        <v>0.67</v>
      </c>
      <c r="K947" s="1">
        <v>0</v>
      </c>
      <c r="L947" s="1">
        <v>2</v>
      </c>
      <c r="M947" s="32">
        <f>IF(Mecze[[#This Row],[PR]]=0,0,Mecze[[#This Row],[PR]]/Mecze[[#This Row],[CZAS]])</f>
        <v>2.0833333333333332E-2</v>
      </c>
      <c r="N947" s="32">
        <f>IF(Mecze[[#This Row],[OU]]=0,0,Mecze[[#This Row],[OU]]/Mecze[[#This Row],[CZAS]])</f>
        <v>2.0833333333333332E-2</v>
      </c>
      <c r="O947" s="32">
        <f>IF(Mecze[[#This Row],[PC]]=0,0,Mecze[[#This Row],[PC]]/Mecze[[#This Row],[CZAS]])</f>
        <v>8.3333333333333329E-2</v>
      </c>
      <c r="P947" s="32">
        <f>IF(Mecze[[#This Row],[SC]]=0,0,Mecze[[#This Row],[SC]]/Mecze[[#This Row],[CZAS]])</f>
        <v>3.125E-2</v>
      </c>
      <c r="Q947" s="32">
        <f>IF(Mecze[[#This Row],[OB]]=0,0,Mecze[[#This Row],[OB]]/Mecze[[#This Row],[CZAS]])</f>
        <v>0</v>
      </c>
      <c r="R947" s="32">
        <f>IF(Mecze[[#This Row],[BR]]=0,0,Mecze[[#This Row],[BR]]/Mecze[[#This Row],[CZAS]])</f>
        <v>0</v>
      </c>
      <c r="S947" s="44">
        <f>IF(Mecze[[#This Row],[Role]]="BR",SUMPRODUCT(Mecze[[#This Row],[/PR:90]:[/BR:90]],Brudnopis!$E$23:$J$23),0)</f>
        <v>0</v>
      </c>
      <c r="T947" s="44">
        <f>IF(Mecze[[#This Row],[Role]]&lt;&gt;"BR",SUMPRODUCT(Mecze[[#This Row],[/PR:90]:[/BR:90]],Brudnopis!$E$24:$J$24),0)</f>
        <v>0.16666666666666666</v>
      </c>
      <c r="U947" s="44">
        <f>IF(Mecze[[#This Row],[Role]]&lt;&gt;"BR",SUMPRODUCT(Mecze[[#This Row],[/PR:90]:[/BR:90]],Brudnopis!$E$25:$J$25),0)</f>
        <v>0.19791666666666666</v>
      </c>
      <c r="V947" s="44">
        <f>IF(Mecze[[#This Row],[Role]]&lt;&gt;"BR",SUMPRODUCT(Mecze[[#This Row],[/PR:90]:[/BR:90]],Brudnopis!$E$26:$J$26),0)</f>
        <v>0.15625</v>
      </c>
      <c r="W947" s="44">
        <f>IF(Mecze[[#This Row],[Role]]&lt;&gt;"BR",SUMPRODUCT(Mecze[[#This Row],[/PR:90]:[/BR:90]],Brudnopis!$E$27:$J$27),0)</f>
        <v>0.1875</v>
      </c>
      <c r="X947" s="44">
        <f>IF(Mecze[[#This Row],[Role]]&lt;&gt;"BR",SUMPRODUCT(Mecze[[#This Row],[/PR:90]:[/BR:90]],Brudnopis!$E$28:$J$28),0)</f>
        <v>0.14583333333333331</v>
      </c>
      <c r="Y947" s="35">
        <f>IF(Mecze[[#This Row],[Role]]="BR",Mecze[[#This Row],[/OB:90]]+Mecze[[#This Row],[/PC:90]],SUM(Mecze[[#This Row],[/PR:90]:[/BR:90]]))</f>
        <v>0.15625</v>
      </c>
      <c r="Z947" s="35">
        <f>IF(Mecze[[#This Row],[KC]]=0,SUM(Mecze[[#This Row],[/BRI]:[/NPI]]),SUM(Mecze[[#This Row],[/BRI]:[/NPI]])*0.6)</f>
        <v>0.85416666666666652</v>
      </c>
      <c r="AA947" s="10">
        <f>IFERROR(Mecze[[#This Row],[BR]]/Mecze[[#This Row],[ST]],0)</f>
        <v>0</v>
      </c>
      <c r="AB947">
        <f>ROUND(Mecze[[#This Row],[PD]]*Mecze[[#This Row],[%PC]],0)</f>
        <v>8</v>
      </c>
      <c r="AC947">
        <f>ROUND(Mecze[[#This Row],[OD]]*Mecze[[#This Row],[%OU]],0)</f>
        <v>2</v>
      </c>
      <c r="AD947" s="36" t="s">
        <v>44</v>
      </c>
      <c r="AE947" s="36">
        <v>53</v>
      </c>
      <c r="AF947" s="71">
        <v>5.93</v>
      </c>
      <c r="AG947" s="37">
        <v>0</v>
      </c>
      <c r="AH947" s="37">
        <v>0</v>
      </c>
      <c r="AI947" s="37">
        <v>96</v>
      </c>
      <c r="AJ947" s="37">
        <v>6</v>
      </c>
      <c r="AK947" s="37" t="str">
        <f>VLOOKUP(Mecze[[#This Row],[Match ID]],Meczusie[Mecz]:Meczusie[RodzajMeczu],2,FALSE)</f>
        <v>Liga</v>
      </c>
    </row>
    <row r="948" spans="1:37" x14ac:dyDescent="0.25">
      <c r="A948" s="76">
        <v>100</v>
      </c>
      <c r="B948" s="3" t="s">
        <v>257</v>
      </c>
      <c r="C948" s="2" t="s">
        <v>165</v>
      </c>
      <c r="D948" s="1">
        <v>0</v>
      </c>
      <c r="E948" s="1">
        <v>5</v>
      </c>
      <c r="F948" s="1">
        <v>5</v>
      </c>
      <c r="G948" s="1">
        <v>3</v>
      </c>
      <c r="H948" s="4">
        <v>0.33</v>
      </c>
      <c r="I948" s="1">
        <v>0</v>
      </c>
      <c r="J948" s="4"/>
      <c r="K948" s="1">
        <v>0</v>
      </c>
      <c r="L948" s="1">
        <v>0</v>
      </c>
      <c r="M948" s="32">
        <f>IF(Mecze[[#This Row],[PR]]=0,0,Mecze[[#This Row],[PR]]/Mecze[[#This Row],[CZAS]])</f>
        <v>0</v>
      </c>
      <c r="N948" s="32">
        <f>IF(Mecze[[#This Row],[OU]]=0,0,Mecze[[#This Row],[OU]]/Mecze[[#This Row],[CZAS]])</f>
        <v>0</v>
      </c>
      <c r="O948" s="32">
        <f>IF(Mecze[[#This Row],[PC]]=0,0,Mecze[[#This Row],[PC]]/Mecze[[#This Row],[CZAS]])</f>
        <v>1.1494252873563218E-2</v>
      </c>
      <c r="P948" s="32">
        <f>IF(Mecze[[#This Row],[SC]]=0,0,Mecze[[#This Row],[SC]]/Mecze[[#This Row],[CZAS]])</f>
        <v>5.7471264367816091E-2</v>
      </c>
      <c r="Q948" s="32">
        <f>IF(Mecze[[#This Row],[OB]]=0,0,Mecze[[#This Row],[OB]]/Mecze[[#This Row],[CZAS]])</f>
        <v>0</v>
      </c>
      <c r="R948" s="32">
        <f>IF(Mecze[[#This Row],[BR]]=0,0,Mecze[[#This Row],[BR]]/Mecze[[#This Row],[CZAS]])</f>
        <v>0</v>
      </c>
      <c r="S948" s="44">
        <f>IF(Mecze[[#This Row],[Role]]="BR",SUMPRODUCT(Mecze[[#This Row],[/PR:90]:[/BR:90]],Brudnopis!$E$23:$J$23),0)</f>
        <v>0</v>
      </c>
      <c r="T948" s="44">
        <f>IF(Mecze[[#This Row],[Role]]&lt;&gt;"BR",SUMPRODUCT(Mecze[[#This Row],[/PR:90]:[/BR:90]],Brudnopis!$E$24:$J$24),0)</f>
        <v>6.8965517241379309E-2</v>
      </c>
      <c r="U948" s="44">
        <f>IF(Mecze[[#This Row],[Role]]&lt;&gt;"BR",SUMPRODUCT(Mecze[[#This Row],[/PR:90]:[/BR:90]],Brudnopis!$E$25:$J$25),0)</f>
        <v>7.4712643678160912E-2</v>
      </c>
      <c r="V948" s="44">
        <f>IF(Mecze[[#This Row],[Role]]&lt;&gt;"BR",SUMPRODUCT(Mecze[[#This Row],[/PR:90]:[/BR:90]],Brudnopis!$E$26:$J$26),0)</f>
        <v>6.8965517241379309E-2</v>
      </c>
      <c r="W948" s="44">
        <f>IF(Mecze[[#This Row],[Role]]&lt;&gt;"BR",SUMPRODUCT(Mecze[[#This Row],[/PR:90]:[/BR:90]],Brudnopis!$E$27:$J$27),0)</f>
        <v>7.4712643678160912E-2</v>
      </c>
      <c r="X948" s="44">
        <f>IF(Mecze[[#This Row],[Role]]&lt;&gt;"BR",SUMPRODUCT(Mecze[[#This Row],[/PR:90]:[/BR:90]],Brudnopis!$E$28:$J$28),0)</f>
        <v>0.12643678160919541</v>
      </c>
      <c r="Y948" s="35">
        <f>IF(Mecze[[#This Row],[Role]]="BR",Mecze[[#This Row],[/OB:90]]+Mecze[[#This Row],[/PC:90]],SUM(Mecze[[#This Row],[/PR:90]:[/BR:90]]))</f>
        <v>6.8965517241379309E-2</v>
      </c>
      <c r="Z948" s="35">
        <f>IF(Mecze[[#This Row],[KC]]=0,SUM(Mecze[[#This Row],[/BRI]:[/NPI]]),SUM(Mecze[[#This Row],[/BRI]:[/NPI]])*0.6)</f>
        <v>0.41379310344827586</v>
      </c>
      <c r="AA948" s="10">
        <f>IFERROR(Mecze[[#This Row],[BR]]/Mecze[[#This Row],[ST]],0)</f>
        <v>0</v>
      </c>
      <c r="AB948">
        <f>ROUND(Mecze[[#This Row],[PD]]*Mecze[[#This Row],[%PC]],0)</f>
        <v>1</v>
      </c>
      <c r="AC948">
        <f>ROUND(Mecze[[#This Row],[OD]]*Mecze[[#This Row],[%OU]],0)</f>
        <v>0</v>
      </c>
      <c r="AD948" s="36" t="s">
        <v>46</v>
      </c>
      <c r="AE948" s="36">
        <v>53</v>
      </c>
      <c r="AF948" s="71">
        <v>3.81</v>
      </c>
      <c r="AG948" s="37">
        <v>0</v>
      </c>
      <c r="AH948" s="37">
        <v>0</v>
      </c>
      <c r="AI948" s="37">
        <v>87</v>
      </c>
      <c r="AJ948" s="37">
        <v>6</v>
      </c>
      <c r="AK948" s="37" t="str">
        <f>VLOOKUP(Mecze[[#This Row],[Match ID]],Meczusie[Mecz]:Meczusie[RodzajMeczu],2,FALSE)</f>
        <v>Liga</v>
      </c>
    </row>
    <row r="949" spans="1:37" x14ac:dyDescent="0.25">
      <c r="A949" s="76">
        <v>5</v>
      </c>
      <c r="B949" s="3" t="s">
        <v>256</v>
      </c>
      <c r="C949" s="2" t="s">
        <v>165</v>
      </c>
      <c r="D949" s="1">
        <v>2</v>
      </c>
      <c r="E949" s="1">
        <v>11</v>
      </c>
      <c r="F949" s="1">
        <v>10</v>
      </c>
      <c r="G949" s="1">
        <v>8</v>
      </c>
      <c r="H949" s="4">
        <v>0.75</v>
      </c>
      <c r="I949" s="1">
        <v>5</v>
      </c>
      <c r="J949" s="4">
        <v>0.6</v>
      </c>
      <c r="K949" s="1">
        <v>0</v>
      </c>
      <c r="L949" s="1">
        <v>0</v>
      </c>
      <c r="M949" s="32">
        <f>IF(Mecze[[#This Row],[PR]]=0,0,Mecze[[#This Row],[PR]]/Mecze[[#This Row],[CZAS]])</f>
        <v>0</v>
      </c>
      <c r="N949" s="32">
        <f>IF(Mecze[[#This Row],[OU]]=0,0,Mecze[[#This Row],[OU]]/Mecze[[#This Row],[CZAS]])</f>
        <v>3.125E-2</v>
      </c>
      <c r="O949" s="32">
        <f>IF(Mecze[[#This Row],[PC]]=0,0,Mecze[[#This Row],[PC]]/Mecze[[#This Row],[CZAS]])</f>
        <v>6.25E-2</v>
      </c>
      <c r="P949" s="32">
        <f>IF(Mecze[[#This Row],[SC]]=0,0,Mecze[[#This Row],[SC]]/Mecze[[#This Row],[CZAS]])</f>
        <v>0.10416666666666667</v>
      </c>
      <c r="Q949" s="32">
        <f>IF(Mecze[[#This Row],[OB]]=0,0,Mecze[[#This Row],[OB]]/Mecze[[#This Row],[CZAS]])</f>
        <v>0</v>
      </c>
      <c r="R949" s="32">
        <f>IF(Mecze[[#This Row],[BR]]=0,0,Mecze[[#This Row],[BR]]/Mecze[[#This Row],[CZAS]])</f>
        <v>2.0833333333333332E-2</v>
      </c>
      <c r="S949" s="44">
        <f>IF(Mecze[[#This Row],[Role]]="BR",SUMPRODUCT(Mecze[[#This Row],[/PR:90]:[/BR:90]],Brudnopis!$E$23:$J$23),0)</f>
        <v>0</v>
      </c>
      <c r="T949" s="44">
        <f>IF(Mecze[[#This Row],[Role]]&lt;&gt;"BR",SUMPRODUCT(Mecze[[#This Row],[/PR:90]:[/BR:90]],Brudnopis!$E$24:$J$24),0)</f>
        <v>0.24479166666666669</v>
      </c>
      <c r="U949" s="44">
        <f>IF(Mecze[[#This Row],[Role]]&lt;&gt;"BR",SUMPRODUCT(Mecze[[#This Row],[/PR:90]:[/BR:90]],Brudnopis!$E$25:$J$25),0)</f>
        <v>0.26041666666666669</v>
      </c>
      <c r="V949" s="44">
        <f>IF(Mecze[[#This Row],[Role]]&lt;&gt;"BR",SUMPRODUCT(Mecze[[#This Row],[/PR:90]:[/BR:90]],Brudnopis!$E$26:$J$26),0)</f>
        <v>0.23958333333333334</v>
      </c>
      <c r="W949" s="44">
        <f>IF(Mecze[[#This Row],[Role]]&lt;&gt;"BR",SUMPRODUCT(Mecze[[#This Row],[/PR:90]:[/BR:90]],Brudnopis!$E$27:$J$27),0)</f>
        <v>0.26302083333333337</v>
      </c>
      <c r="X949" s="44">
        <f>IF(Mecze[[#This Row],[Role]]&lt;&gt;"BR",SUMPRODUCT(Mecze[[#This Row],[/PR:90]:[/BR:90]],Brudnopis!$E$28:$J$28),0)</f>
        <v>0.33333333333333337</v>
      </c>
      <c r="Y949" s="35">
        <f>IF(Mecze[[#This Row],[Role]]="BR",Mecze[[#This Row],[/OB:90]]+Mecze[[#This Row],[/PC:90]],SUM(Mecze[[#This Row],[/PR:90]:[/BR:90]]))</f>
        <v>0.21875000000000003</v>
      </c>
      <c r="Z949" s="35">
        <f>IF(Mecze[[#This Row],[KC]]=0,SUM(Mecze[[#This Row],[/BRI]:[/NPI]]),SUM(Mecze[[#This Row],[/BRI]:[/NPI]])*0.6)</f>
        <v>1.3411458333333335</v>
      </c>
      <c r="AA949" s="10">
        <f>IFERROR(Mecze[[#This Row],[BR]]/Mecze[[#This Row],[ST]],0)</f>
        <v>0.18181818181818182</v>
      </c>
      <c r="AB949">
        <f>ROUND(Mecze[[#This Row],[PD]]*Mecze[[#This Row],[%PC]],0)</f>
        <v>6</v>
      </c>
      <c r="AC949">
        <f>ROUND(Mecze[[#This Row],[OD]]*Mecze[[#This Row],[%OU]],0)</f>
        <v>3</v>
      </c>
      <c r="AD949" s="36" t="s">
        <v>46</v>
      </c>
      <c r="AE949" s="36">
        <v>53</v>
      </c>
      <c r="AF949" s="71">
        <v>10.84</v>
      </c>
      <c r="AG949" s="37">
        <v>0</v>
      </c>
      <c r="AH949" s="37">
        <v>0</v>
      </c>
      <c r="AI949" s="37">
        <v>96</v>
      </c>
      <c r="AJ949" s="37">
        <v>6</v>
      </c>
      <c r="AK949" s="37" t="str">
        <f>VLOOKUP(Mecze[[#This Row],[Match ID]],Meczusie[Mecz]:Meczusie[RodzajMeczu],2,FALSE)</f>
        <v>Liga</v>
      </c>
    </row>
    <row r="950" spans="1:37" x14ac:dyDescent="0.25">
      <c r="A950" s="76">
        <v>20</v>
      </c>
      <c r="B950" s="3" t="s">
        <v>391</v>
      </c>
      <c r="C950" s="2" t="s">
        <v>165</v>
      </c>
      <c r="D950" s="1">
        <v>0</v>
      </c>
      <c r="E950" s="1">
        <v>0</v>
      </c>
      <c r="F950" s="1">
        <v>0</v>
      </c>
      <c r="G950" s="1">
        <v>0</v>
      </c>
      <c r="H950" s="72"/>
      <c r="I950" s="1">
        <v>0</v>
      </c>
      <c r="J950" s="4"/>
      <c r="K950" s="1">
        <v>0</v>
      </c>
      <c r="L950" s="1">
        <v>1</v>
      </c>
      <c r="M950" s="32">
        <f>IF(Mecze[[#This Row],[PR]]=0,0,Mecze[[#This Row],[PR]]/Mecze[[#This Row],[CZAS]])</f>
        <v>0.1111111111111111</v>
      </c>
      <c r="N950" s="32">
        <f>IF(Mecze[[#This Row],[OU]]=0,0,Mecze[[#This Row],[OU]]/Mecze[[#This Row],[CZAS]])</f>
        <v>0</v>
      </c>
      <c r="O950" s="32">
        <f>IF(Mecze[[#This Row],[PC]]=0,0,Mecze[[#This Row],[PC]]/Mecze[[#This Row],[CZAS]])</f>
        <v>0</v>
      </c>
      <c r="P950" s="32">
        <f>IF(Mecze[[#This Row],[SC]]=0,0,Mecze[[#This Row],[SC]]/Mecze[[#This Row],[CZAS]])</f>
        <v>0</v>
      </c>
      <c r="Q950" s="32">
        <f>IF(Mecze[[#This Row],[OB]]=0,0,Mecze[[#This Row],[OB]]/Mecze[[#This Row],[CZAS]])</f>
        <v>0</v>
      </c>
      <c r="R950" s="32">
        <f>IF(Mecze[[#This Row],[BR]]=0,0,Mecze[[#This Row],[BR]]/Mecze[[#This Row],[CZAS]])</f>
        <v>0</v>
      </c>
      <c r="S950" s="44">
        <f>IF(Mecze[[#This Row],[Role]]="BR",SUMPRODUCT(Mecze[[#This Row],[/PR:90]:[/BR:90]],Brudnopis!$E$23:$J$23),0)</f>
        <v>0</v>
      </c>
      <c r="T950" s="44">
        <f>IF(Mecze[[#This Row],[Role]]&lt;&gt;"BR",SUMPRODUCT(Mecze[[#This Row],[/PR:90]:[/BR:90]],Brudnopis!$E$24:$J$24),0)</f>
        <v>0.1111111111111111</v>
      </c>
      <c r="U950" s="44">
        <f>IF(Mecze[[#This Row],[Role]]&lt;&gt;"BR",SUMPRODUCT(Mecze[[#This Row],[/PR:90]:[/BR:90]],Brudnopis!$E$25:$J$25),0)</f>
        <v>0.1111111111111111</v>
      </c>
      <c r="V950" s="44">
        <f>IF(Mecze[[#This Row],[Role]]&lt;&gt;"BR",SUMPRODUCT(Mecze[[#This Row],[/PR:90]:[/BR:90]],Brudnopis!$E$26:$J$26),0)</f>
        <v>0.1111111111111111</v>
      </c>
      <c r="W950" s="44">
        <f>IF(Mecze[[#This Row],[Role]]&lt;&gt;"BR",SUMPRODUCT(Mecze[[#This Row],[/PR:90]:[/BR:90]],Brudnopis!$E$27:$J$27),0)</f>
        <v>8.3333333333333329E-2</v>
      </c>
      <c r="X950" s="44">
        <f>IF(Mecze[[#This Row],[Role]]&lt;&gt;"BR",SUMPRODUCT(Mecze[[#This Row],[/PR:90]:[/BR:90]],Brudnopis!$E$28:$J$28),0)</f>
        <v>0</v>
      </c>
      <c r="Y950" s="35">
        <f>IF(Mecze[[#This Row],[Role]]="BR",Mecze[[#This Row],[/OB:90]]+Mecze[[#This Row],[/PC:90]],SUM(Mecze[[#This Row],[/PR:90]:[/BR:90]]))</f>
        <v>0.1111111111111111</v>
      </c>
      <c r="Z950" s="35">
        <f>IF(Mecze[[#This Row],[KC]]=0,SUM(Mecze[[#This Row],[/BRI]:[/NPI]]),SUM(Mecze[[#This Row],[/BRI]:[/NPI]])*0.6)</f>
        <v>0.41666666666666663</v>
      </c>
      <c r="AA950" s="10">
        <f>IFERROR(Mecze[[#This Row],[BR]]/Mecze[[#This Row],[ST]],0)</f>
        <v>0</v>
      </c>
      <c r="AB950">
        <f>ROUND(Mecze[[#This Row],[PD]]*Mecze[[#This Row],[%PC]],0)</f>
        <v>0</v>
      </c>
      <c r="AC950">
        <f>ROUND(Mecze[[#This Row],[OD]]*Mecze[[#This Row],[%OU]],0)</f>
        <v>0</v>
      </c>
      <c r="AD950" s="36" t="s">
        <v>46</v>
      </c>
      <c r="AE950" s="36">
        <v>53</v>
      </c>
      <c r="AF950" s="71">
        <v>0.5</v>
      </c>
      <c r="AG950" s="37">
        <v>0</v>
      </c>
      <c r="AH950" s="37">
        <v>0</v>
      </c>
      <c r="AI950" s="37">
        <v>9</v>
      </c>
      <c r="AJ950" s="37">
        <v>6</v>
      </c>
      <c r="AK950" s="37" t="str">
        <f>VLOOKUP(Mecze[[#This Row],[Match ID]],Meczusie[Mecz]:Meczusie[RodzajMeczu],2,FALSE)</f>
        <v>Liga</v>
      </c>
    </row>
    <row r="951" spans="1:37" x14ac:dyDescent="0.25">
      <c r="A951" s="76">
        <v>9</v>
      </c>
      <c r="B951" s="3" t="s">
        <v>258</v>
      </c>
      <c r="C951" s="2" t="s">
        <v>160</v>
      </c>
      <c r="D951" s="1">
        <v>0</v>
      </c>
      <c r="E951" s="1">
        <v>0</v>
      </c>
      <c r="F951" s="1">
        <v>0</v>
      </c>
      <c r="G951" s="1">
        <v>1</v>
      </c>
      <c r="H951" s="4">
        <v>0</v>
      </c>
      <c r="I951" s="1">
        <v>1</v>
      </c>
      <c r="J951" s="4">
        <v>0</v>
      </c>
      <c r="K951" s="1">
        <v>0</v>
      </c>
      <c r="L951" s="1">
        <v>0</v>
      </c>
      <c r="M951" s="32">
        <f>IF(Mecze[[#This Row],[PR]]=0,0,Mecze[[#This Row],[PR]]/Mecze[[#This Row],[CZAS]])</f>
        <v>0</v>
      </c>
      <c r="N951" s="32">
        <f>IF(Mecze[[#This Row],[OU]]=0,0,Mecze[[#This Row],[OU]]/Mecze[[#This Row],[CZAS]])</f>
        <v>0</v>
      </c>
      <c r="O951" s="32">
        <f>IF(Mecze[[#This Row],[PC]]=0,0,Mecze[[#This Row],[PC]]/Mecze[[#This Row],[CZAS]])</f>
        <v>0</v>
      </c>
      <c r="P951" s="32">
        <f>IF(Mecze[[#This Row],[SC]]=0,0,Mecze[[#This Row],[SC]]/Mecze[[#This Row],[CZAS]])</f>
        <v>0</v>
      </c>
      <c r="Q951" s="32">
        <f>IF(Mecze[[#This Row],[OB]]=0,0,Mecze[[#This Row],[OB]]/Mecze[[#This Row],[CZAS]])</f>
        <v>0</v>
      </c>
      <c r="R951" s="32">
        <f>IF(Mecze[[#This Row],[BR]]=0,0,Mecze[[#This Row],[BR]]/Mecze[[#This Row],[CZAS]])</f>
        <v>0</v>
      </c>
      <c r="S951" s="44">
        <f>IF(Mecze[[#This Row],[Role]]="BR",SUMPRODUCT(Mecze[[#This Row],[/PR:90]:[/BR:90]],Brudnopis!$E$23:$J$23),0)</f>
        <v>0</v>
      </c>
      <c r="T951" s="44">
        <f>IF(Mecze[[#This Row],[Role]]&lt;&gt;"BR",SUMPRODUCT(Mecze[[#This Row],[/PR:90]:[/BR:90]],Brudnopis!$E$24:$J$24),0)</f>
        <v>0</v>
      </c>
      <c r="U951" s="44">
        <f>IF(Mecze[[#This Row],[Role]]&lt;&gt;"BR",SUMPRODUCT(Mecze[[#This Row],[/PR:90]:[/BR:90]],Brudnopis!$E$25:$J$25),0)</f>
        <v>0</v>
      </c>
      <c r="V951" s="44">
        <f>IF(Mecze[[#This Row],[Role]]&lt;&gt;"BR",SUMPRODUCT(Mecze[[#This Row],[/PR:90]:[/BR:90]],Brudnopis!$E$26:$J$26),0)</f>
        <v>0</v>
      </c>
      <c r="W951" s="44">
        <f>IF(Mecze[[#This Row],[Role]]&lt;&gt;"BR",SUMPRODUCT(Mecze[[#This Row],[/PR:90]:[/BR:90]],Brudnopis!$E$27:$J$27),0)</f>
        <v>0</v>
      </c>
      <c r="X951" s="44">
        <f>IF(Mecze[[#This Row],[Role]]&lt;&gt;"BR",SUMPRODUCT(Mecze[[#This Row],[/PR:90]:[/BR:90]],Brudnopis!$E$28:$J$28),0)</f>
        <v>0</v>
      </c>
      <c r="Y951" s="35">
        <f>IF(Mecze[[#This Row],[Role]]="BR",Mecze[[#This Row],[/OB:90]]+Mecze[[#This Row],[/PC:90]],SUM(Mecze[[#This Row],[/PR:90]:[/BR:90]]))</f>
        <v>0</v>
      </c>
      <c r="Z951" s="35">
        <f>IF(Mecze[[#This Row],[KC]]=0,SUM(Mecze[[#This Row],[/BRI]:[/NPI]]),SUM(Mecze[[#This Row],[/BRI]:[/NPI]])*0.6)</f>
        <v>0</v>
      </c>
      <c r="AA951" s="10">
        <f>IFERROR(Mecze[[#This Row],[BR]]/Mecze[[#This Row],[ST]],0)</f>
        <v>0</v>
      </c>
      <c r="AB951">
        <f>ROUND(Mecze[[#This Row],[PD]]*Mecze[[#This Row],[%PC]],0)</f>
        <v>0</v>
      </c>
      <c r="AC951">
        <f>ROUND(Mecze[[#This Row],[OD]]*Mecze[[#This Row],[%OU]],0)</f>
        <v>0</v>
      </c>
      <c r="AD951" s="36" t="s">
        <v>41</v>
      </c>
      <c r="AE951" s="36">
        <v>53</v>
      </c>
      <c r="AF951" s="71">
        <v>0.5</v>
      </c>
      <c r="AG951" s="37">
        <v>0</v>
      </c>
      <c r="AH951" s="37">
        <v>0</v>
      </c>
      <c r="AI951" s="37">
        <v>23</v>
      </c>
      <c r="AJ951" s="37">
        <v>6</v>
      </c>
      <c r="AK951" s="37" t="str">
        <f>VLOOKUP(Mecze[[#This Row],[Match ID]],Meczusie[Mecz]:Meczusie[RodzajMeczu],2,FALSE)</f>
        <v>Liga</v>
      </c>
    </row>
    <row r="952" spans="1:37" x14ac:dyDescent="0.25">
      <c r="A952" s="76">
        <v>11</v>
      </c>
      <c r="B952" s="3" t="s">
        <v>250</v>
      </c>
      <c r="C952" s="2" t="s">
        <v>157</v>
      </c>
      <c r="D952" s="1">
        <v>0</v>
      </c>
      <c r="E952" s="1">
        <v>0</v>
      </c>
      <c r="F952" s="1">
        <v>0</v>
      </c>
      <c r="G952" s="1">
        <v>2</v>
      </c>
      <c r="H952" s="4">
        <v>0.5</v>
      </c>
      <c r="I952" s="1">
        <v>0</v>
      </c>
      <c r="J952" s="4"/>
      <c r="K952" s="1">
        <v>0</v>
      </c>
      <c r="L952" s="1">
        <v>1</v>
      </c>
      <c r="M952" s="32">
        <f>IF(Mecze[[#This Row],[PR]]=0,0,Mecze[[#This Row],[PR]]/Mecze[[#This Row],[CZAS]])</f>
        <v>3.3333333333333333E-2</v>
      </c>
      <c r="N952" s="32">
        <f>IF(Mecze[[#This Row],[OU]]=0,0,Mecze[[#This Row],[OU]]/Mecze[[#This Row],[CZAS]])</f>
        <v>0</v>
      </c>
      <c r="O952" s="32">
        <f>IF(Mecze[[#This Row],[PC]]=0,0,Mecze[[#This Row],[PC]]/Mecze[[#This Row],[CZAS]])</f>
        <v>3.3333333333333333E-2</v>
      </c>
      <c r="P952" s="32">
        <f>IF(Mecze[[#This Row],[SC]]=0,0,Mecze[[#This Row],[SC]]/Mecze[[#This Row],[CZAS]])</f>
        <v>0</v>
      </c>
      <c r="Q952" s="32">
        <f>IF(Mecze[[#This Row],[OB]]=0,0,Mecze[[#This Row],[OB]]/Mecze[[#This Row],[CZAS]])</f>
        <v>0</v>
      </c>
      <c r="R952" s="32">
        <f>IF(Mecze[[#This Row],[BR]]=0,0,Mecze[[#This Row],[BR]]/Mecze[[#This Row],[CZAS]])</f>
        <v>0</v>
      </c>
      <c r="S952" s="44">
        <f>IF(Mecze[[#This Row],[Role]]="BR",SUMPRODUCT(Mecze[[#This Row],[/PR:90]:[/BR:90]],Brudnopis!$E$23:$J$23),0)</f>
        <v>0</v>
      </c>
      <c r="T952" s="44">
        <f>IF(Mecze[[#This Row],[Role]]&lt;&gt;"BR",SUMPRODUCT(Mecze[[#This Row],[/PR:90]:[/BR:90]],Brudnopis!$E$24:$J$24),0)</f>
        <v>6.6666666666666666E-2</v>
      </c>
      <c r="U952" s="44">
        <f>IF(Mecze[[#This Row],[Role]]&lt;&gt;"BR",SUMPRODUCT(Mecze[[#This Row],[/PR:90]:[/BR:90]],Brudnopis!$E$25:$J$25),0)</f>
        <v>8.3333333333333343E-2</v>
      </c>
      <c r="V952" s="44">
        <f>IF(Mecze[[#This Row],[Role]]&lt;&gt;"BR",SUMPRODUCT(Mecze[[#This Row],[/PR:90]:[/BR:90]],Brudnopis!$E$26:$J$26),0)</f>
        <v>6.6666666666666666E-2</v>
      </c>
      <c r="W952" s="44">
        <f>IF(Mecze[[#This Row],[Role]]&lt;&gt;"BR",SUMPRODUCT(Mecze[[#This Row],[/PR:90]:[/BR:90]],Brudnopis!$E$27:$J$27),0)</f>
        <v>7.5000000000000011E-2</v>
      </c>
      <c r="X952" s="44">
        <f>IF(Mecze[[#This Row],[Role]]&lt;&gt;"BR",SUMPRODUCT(Mecze[[#This Row],[/PR:90]:[/BR:90]],Brudnopis!$E$28:$J$28),0)</f>
        <v>3.3333333333333333E-2</v>
      </c>
      <c r="Y952" s="35">
        <f>IF(Mecze[[#This Row],[Role]]="BR",Mecze[[#This Row],[/OB:90]]+Mecze[[#This Row],[/PC:90]],SUM(Mecze[[#This Row],[/PR:90]:[/BR:90]]))</f>
        <v>6.6666666666666666E-2</v>
      </c>
      <c r="Z952" s="35">
        <f>IF(Mecze[[#This Row],[KC]]=0,SUM(Mecze[[#This Row],[/BRI]:[/NPI]]),SUM(Mecze[[#This Row],[/BRI]:[/NPI]])*0.6)</f>
        <v>0.32500000000000001</v>
      </c>
      <c r="AA952" s="10">
        <f>IFERROR(Mecze[[#This Row],[BR]]/Mecze[[#This Row],[ST]],0)</f>
        <v>0</v>
      </c>
      <c r="AB952">
        <f>ROUND(Mecze[[#This Row],[PD]]*Mecze[[#This Row],[%PC]],0)</f>
        <v>1</v>
      </c>
      <c r="AC952">
        <f>ROUND(Mecze[[#This Row],[OD]]*Mecze[[#This Row],[%OU]],0)</f>
        <v>0</v>
      </c>
      <c r="AD952" s="36" t="s">
        <v>47</v>
      </c>
      <c r="AE952" s="36">
        <v>53</v>
      </c>
      <c r="AF952" s="71">
        <v>-0.4</v>
      </c>
      <c r="AG952" s="37">
        <v>0</v>
      </c>
      <c r="AH952" s="37">
        <v>0</v>
      </c>
      <c r="AI952" s="37">
        <v>30</v>
      </c>
      <c r="AJ952" s="37">
        <v>6</v>
      </c>
      <c r="AK952" s="37" t="str">
        <f>VLOOKUP(Mecze[[#This Row],[Match ID]],Meczusie[Mecz]:Meczusie[RodzajMeczu],2,FALSE)</f>
        <v>Liga</v>
      </c>
    </row>
    <row r="953" spans="1:37" x14ac:dyDescent="0.25">
      <c r="A953" s="76">
        <v>110</v>
      </c>
      <c r="B953" s="3" t="s">
        <v>333</v>
      </c>
      <c r="C953" s="2" t="s">
        <v>155</v>
      </c>
      <c r="D953" s="1">
        <v>0</v>
      </c>
      <c r="E953" s="1">
        <v>0</v>
      </c>
      <c r="F953" s="1">
        <v>0</v>
      </c>
      <c r="G953" s="1">
        <v>16</v>
      </c>
      <c r="H953" s="4">
        <v>0.56000000000000005</v>
      </c>
      <c r="I953" s="1">
        <v>0</v>
      </c>
      <c r="J953" s="4"/>
      <c r="K953" s="1">
        <v>17</v>
      </c>
      <c r="L953" s="1">
        <v>0</v>
      </c>
      <c r="M953" s="32">
        <f>IF(Mecze[[#This Row],[PR]]=0,0,Mecze[[#This Row],[PR]]/Mecze[[#This Row],[CZAS]])</f>
        <v>0</v>
      </c>
      <c r="N953" s="32">
        <f>IF(Mecze[[#This Row],[OU]]=0,0,Mecze[[#This Row],[OU]]/Mecze[[#This Row],[CZAS]])</f>
        <v>0</v>
      </c>
      <c r="O953" s="32">
        <f>IF(Mecze[[#This Row],[PC]]=0,0,Mecze[[#This Row],[PC]]/Mecze[[#This Row],[CZAS]])</f>
        <v>9.375E-2</v>
      </c>
      <c r="P953" s="32">
        <f>IF(Mecze[[#This Row],[SC]]=0,0,Mecze[[#This Row],[SC]]/Mecze[[#This Row],[CZAS]])</f>
        <v>0</v>
      </c>
      <c r="Q953" s="32">
        <f>IF(Mecze[[#This Row],[OB]]=0,0,Mecze[[#This Row],[OB]]/Mecze[[#This Row],[CZAS]])</f>
        <v>0.17708333333333334</v>
      </c>
      <c r="R953" s="32">
        <f>IF(Mecze[[#This Row],[BR]]=0,0,Mecze[[#This Row],[BR]]/Mecze[[#This Row],[CZAS]])</f>
        <v>0</v>
      </c>
      <c r="S953" s="44">
        <f>IF(Mecze[[#This Row],[Role]]="BR",SUMPRODUCT(Mecze[[#This Row],[/PR:90]:[/BR:90]],Brudnopis!$E$23:$J$23),0)</f>
        <v>0.8125</v>
      </c>
      <c r="T953" s="44">
        <f>IF(Mecze[[#This Row],[Role]]&lt;&gt;"BR",SUMPRODUCT(Mecze[[#This Row],[/PR:90]:[/BR:90]],Brudnopis!$E$24:$J$24),0)</f>
        <v>0</v>
      </c>
      <c r="U953" s="44">
        <f>IF(Mecze[[#This Row],[Role]]&lt;&gt;"BR",SUMPRODUCT(Mecze[[#This Row],[/PR:90]:[/BR:90]],Brudnopis!$E$25:$J$25),0)</f>
        <v>0</v>
      </c>
      <c r="V953" s="44">
        <f>IF(Mecze[[#This Row],[Role]]&lt;&gt;"BR",SUMPRODUCT(Mecze[[#This Row],[/PR:90]:[/BR:90]],Brudnopis!$E$26:$J$26),0)</f>
        <v>0</v>
      </c>
      <c r="W953" s="44">
        <f>IF(Mecze[[#This Row],[Role]]&lt;&gt;"BR",SUMPRODUCT(Mecze[[#This Row],[/PR:90]:[/BR:90]],Brudnopis!$E$27:$J$27),0)</f>
        <v>0</v>
      </c>
      <c r="X953" s="44">
        <f>IF(Mecze[[#This Row],[Role]]&lt;&gt;"BR",SUMPRODUCT(Mecze[[#This Row],[/PR:90]:[/BR:90]],Brudnopis!$E$28:$J$28),0)</f>
        <v>0</v>
      </c>
      <c r="Y953" s="35">
        <f>IF(Mecze[[#This Row],[Role]]="BR",Mecze[[#This Row],[/OB:90]]+Mecze[[#This Row],[/PC:90]],SUM(Mecze[[#This Row],[/PR:90]:[/BR:90]]))</f>
        <v>0.27083333333333337</v>
      </c>
      <c r="Z953" s="35">
        <f>IF(Mecze[[#This Row],[KC]]=0,SUM(Mecze[[#This Row],[/BRI]:[/NPI]]),SUM(Mecze[[#This Row],[/BRI]:[/NPI]])*0.6)</f>
        <v>0.8125</v>
      </c>
      <c r="AA953" s="10">
        <f>IFERROR(Mecze[[#This Row],[BR]]/Mecze[[#This Row],[ST]],0)</f>
        <v>0</v>
      </c>
      <c r="AB953">
        <f>ROUND(Mecze[[#This Row],[PD]]*Mecze[[#This Row],[%PC]],0)</f>
        <v>9</v>
      </c>
      <c r="AC953">
        <f>ROUND(Mecze[[#This Row],[OD]]*Mecze[[#This Row],[%OU]],0)</f>
        <v>0</v>
      </c>
      <c r="AD953" s="36" t="s">
        <v>40</v>
      </c>
      <c r="AE953" s="36">
        <v>53</v>
      </c>
      <c r="AF953" s="71">
        <v>9.98</v>
      </c>
      <c r="AG953" s="37">
        <v>0</v>
      </c>
      <c r="AH953" s="37">
        <v>0</v>
      </c>
      <c r="AI953" s="37">
        <v>96</v>
      </c>
      <c r="AJ953" s="37">
        <v>7</v>
      </c>
      <c r="AK953" s="37" t="str">
        <f>VLOOKUP(Mecze[[#This Row],[Match ID]],Meczusie[Mecz]:Meczusie[RodzajMeczu],2,FALSE)</f>
        <v>Liga</v>
      </c>
    </row>
    <row r="954" spans="1:37" x14ac:dyDescent="0.25">
      <c r="A954" s="76">
        <v>204</v>
      </c>
      <c r="B954" s="3" t="s">
        <v>334</v>
      </c>
      <c r="C954" s="2" t="s">
        <v>157</v>
      </c>
      <c r="D954" s="1">
        <v>1</v>
      </c>
      <c r="E954" s="1">
        <v>1</v>
      </c>
      <c r="F954" s="1">
        <v>1</v>
      </c>
      <c r="G954" s="1">
        <v>16</v>
      </c>
      <c r="H954" s="4">
        <v>0.75</v>
      </c>
      <c r="I954" s="1">
        <v>7</v>
      </c>
      <c r="J954" s="4">
        <v>0.43</v>
      </c>
      <c r="K954" s="1">
        <v>0</v>
      </c>
      <c r="L954" s="1">
        <v>7</v>
      </c>
      <c r="M954" s="32">
        <f>IF(Mecze[[#This Row],[PR]]=0,0,Mecze[[#This Row],[PR]]/Mecze[[#This Row],[CZAS]])</f>
        <v>7.2916666666666671E-2</v>
      </c>
      <c r="N954" s="32">
        <f>IF(Mecze[[#This Row],[OU]]=0,0,Mecze[[#This Row],[OU]]/Mecze[[#This Row],[CZAS]])</f>
        <v>3.125E-2</v>
      </c>
      <c r="O954" s="32">
        <f>IF(Mecze[[#This Row],[PC]]=0,0,Mecze[[#This Row],[PC]]/Mecze[[#This Row],[CZAS]])</f>
        <v>0.125</v>
      </c>
      <c r="P954" s="32">
        <f>IF(Mecze[[#This Row],[SC]]=0,0,Mecze[[#This Row],[SC]]/Mecze[[#This Row],[CZAS]])</f>
        <v>1.0416666666666666E-2</v>
      </c>
      <c r="Q954" s="32">
        <f>IF(Mecze[[#This Row],[OB]]=0,0,Mecze[[#This Row],[OB]]/Mecze[[#This Row],[CZAS]])</f>
        <v>0</v>
      </c>
      <c r="R954" s="32">
        <f>IF(Mecze[[#This Row],[BR]]=0,0,Mecze[[#This Row],[BR]]/Mecze[[#This Row],[CZAS]])</f>
        <v>1.0416666666666666E-2</v>
      </c>
      <c r="S954" s="44">
        <f>IF(Mecze[[#This Row],[Role]]="BR",SUMPRODUCT(Mecze[[#This Row],[/PR:90]:[/BR:90]],Brudnopis!$E$23:$J$23),0)</f>
        <v>0</v>
      </c>
      <c r="T954" s="44">
        <f>IF(Mecze[[#This Row],[Role]]&lt;&gt;"BR",SUMPRODUCT(Mecze[[#This Row],[/PR:90]:[/BR:90]],Brudnopis!$E$24:$J$24),0)</f>
        <v>0.27083333333333337</v>
      </c>
      <c r="U954" s="44">
        <f>IF(Mecze[[#This Row],[Role]]&lt;&gt;"BR",SUMPRODUCT(Mecze[[#This Row],[/PR:90]:[/BR:90]],Brudnopis!$E$25:$J$25),0)</f>
        <v>0.31770833333333337</v>
      </c>
      <c r="V954" s="44">
        <f>IF(Mecze[[#This Row],[Role]]&lt;&gt;"BR",SUMPRODUCT(Mecze[[#This Row],[/PR:90]:[/BR:90]],Brudnopis!$E$26:$J$26),0)</f>
        <v>0.26041666666666669</v>
      </c>
      <c r="W954" s="44">
        <f>IF(Mecze[[#This Row],[Role]]&lt;&gt;"BR",SUMPRODUCT(Mecze[[#This Row],[/PR:90]:[/BR:90]],Brudnopis!$E$27:$J$27),0)</f>
        <v>0.296875</v>
      </c>
      <c r="X954" s="44">
        <f>IF(Mecze[[#This Row],[Role]]&lt;&gt;"BR",SUMPRODUCT(Mecze[[#This Row],[/PR:90]:[/BR:90]],Brudnopis!$E$28:$J$28),0)</f>
        <v>0.17708333333333334</v>
      </c>
      <c r="Y954" s="35">
        <f>IF(Mecze[[#This Row],[Role]]="BR",Mecze[[#This Row],[/OB:90]]+Mecze[[#This Row],[/PC:90]],SUM(Mecze[[#This Row],[/PR:90]:[/BR:90]]))</f>
        <v>0.25</v>
      </c>
      <c r="Z954" s="35">
        <f>IF(Mecze[[#This Row],[KC]]=0,SUM(Mecze[[#This Row],[/BRI]:[/NPI]]),SUM(Mecze[[#This Row],[/BRI]:[/NPI]])*0.6)</f>
        <v>1.3229166666666667</v>
      </c>
      <c r="AA954" s="10">
        <f>IFERROR(Mecze[[#This Row],[BR]]/Mecze[[#This Row],[ST]],0)</f>
        <v>1</v>
      </c>
      <c r="AB954">
        <f>ROUND(Mecze[[#This Row],[PD]]*Mecze[[#This Row],[%PC]],0)</f>
        <v>12</v>
      </c>
      <c r="AC954">
        <f>ROUND(Mecze[[#This Row],[OD]]*Mecze[[#This Row],[%OU]],0)</f>
        <v>3</v>
      </c>
      <c r="AD954" s="36" t="s">
        <v>47</v>
      </c>
      <c r="AE954" s="36">
        <v>53</v>
      </c>
      <c r="AF954" s="71">
        <v>4.28</v>
      </c>
      <c r="AG954" s="37">
        <v>0</v>
      </c>
      <c r="AH954" s="37">
        <v>0</v>
      </c>
      <c r="AI954" s="37">
        <v>96</v>
      </c>
      <c r="AJ954" s="37">
        <v>7</v>
      </c>
      <c r="AK954" s="37" t="str">
        <f>VLOOKUP(Mecze[[#This Row],[Match ID]],Meczusie[Mecz]:Meczusie[RodzajMeczu],2,FALSE)</f>
        <v>Liga</v>
      </c>
    </row>
    <row r="955" spans="1:37" x14ac:dyDescent="0.25">
      <c r="A955" s="76">
        <v>150</v>
      </c>
      <c r="B955" s="3" t="s">
        <v>335</v>
      </c>
      <c r="C955" s="2" t="s">
        <v>157</v>
      </c>
      <c r="D955" s="1">
        <v>0</v>
      </c>
      <c r="E955" s="1">
        <v>0</v>
      </c>
      <c r="F955" s="1">
        <v>0</v>
      </c>
      <c r="G955" s="1">
        <v>10</v>
      </c>
      <c r="H955" s="4">
        <v>1</v>
      </c>
      <c r="I955" s="1">
        <v>7</v>
      </c>
      <c r="J955" s="4">
        <v>0.86</v>
      </c>
      <c r="K955" s="1">
        <v>0</v>
      </c>
      <c r="L955" s="1">
        <v>3</v>
      </c>
      <c r="M955" s="32">
        <f>IF(Mecze[[#This Row],[PR]]=0,0,Mecze[[#This Row],[PR]]/Mecze[[#This Row],[CZAS]])</f>
        <v>3.125E-2</v>
      </c>
      <c r="N955" s="32">
        <f>IF(Mecze[[#This Row],[OU]]=0,0,Mecze[[#This Row],[OU]]/Mecze[[#This Row],[CZAS]])</f>
        <v>6.25E-2</v>
      </c>
      <c r="O955" s="32">
        <f>IF(Mecze[[#This Row],[PC]]=0,0,Mecze[[#This Row],[PC]]/Mecze[[#This Row],[CZAS]])</f>
        <v>0.10416666666666667</v>
      </c>
      <c r="P955" s="32">
        <f>IF(Mecze[[#This Row],[SC]]=0,0,Mecze[[#This Row],[SC]]/Mecze[[#This Row],[CZAS]])</f>
        <v>0</v>
      </c>
      <c r="Q955" s="32">
        <f>IF(Mecze[[#This Row],[OB]]=0,0,Mecze[[#This Row],[OB]]/Mecze[[#This Row],[CZAS]])</f>
        <v>0</v>
      </c>
      <c r="R955" s="32">
        <f>IF(Mecze[[#This Row],[BR]]=0,0,Mecze[[#This Row],[BR]]/Mecze[[#This Row],[CZAS]])</f>
        <v>0</v>
      </c>
      <c r="S955" s="44">
        <f>IF(Mecze[[#This Row],[Role]]="BR",SUMPRODUCT(Mecze[[#This Row],[/PR:90]:[/BR:90]],Brudnopis!$E$23:$J$23),0)</f>
        <v>0</v>
      </c>
      <c r="T955" s="44">
        <f>IF(Mecze[[#This Row],[Role]]&lt;&gt;"BR",SUMPRODUCT(Mecze[[#This Row],[/PR:90]:[/BR:90]],Brudnopis!$E$24:$J$24),0)</f>
        <v>0.22916666666666669</v>
      </c>
      <c r="U955" s="44">
        <f>IF(Mecze[[#This Row],[Role]]&lt;&gt;"BR",SUMPRODUCT(Mecze[[#This Row],[/PR:90]:[/BR:90]],Brudnopis!$E$25:$J$25),0)</f>
        <v>0.25</v>
      </c>
      <c r="V955" s="44">
        <f>IF(Mecze[[#This Row],[Role]]&lt;&gt;"BR",SUMPRODUCT(Mecze[[#This Row],[/PR:90]:[/BR:90]],Brudnopis!$E$26:$J$26),0)</f>
        <v>0.19791666666666669</v>
      </c>
      <c r="W955" s="44">
        <f>IF(Mecze[[#This Row],[Role]]&lt;&gt;"BR",SUMPRODUCT(Mecze[[#This Row],[/PR:90]:[/BR:90]],Brudnopis!$E$27:$J$27),0)</f>
        <v>0.2265625</v>
      </c>
      <c r="X955" s="44">
        <f>IF(Mecze[[#This Row],[Role]]&lt;&gt;"BR",SUMPRODUCT(Mecze[[#This Row],[/PR:90]:[/BR:90]],Brudnopis!$E$28:$J$28),0)</f>
        <v>0.10416666666666667</v>
      </c>
      <c r="Y955" s="35">
        <f>IF(Mecze[[#This Row],[Role]]="BR",Mecze[[#This Row],[/OB:90]]+Mecze[[#This Row],[/PC:90]],SUM(Mecze[[#This Row],[/PR:90]:[/BR:90]]))</f>
        <v>0.19791666666666669</v>
      </c>
      <c r="Z955" s="35">
        <f>IF(Mecze[[#This Row],[KC]]=0,SUM(Mecze[[#This Row],[/BRI]:[/NPI]]),SUM(Mecze[[#This Row],[/BRI]:[/NPI]])*0.6)</f>
        <v>1.0078125</v>
      </c>
      <c r="AA955" s="10">
        <f>IFERROR(Mecze[[#This Row],[BR]]/Mecze[[#This Row],[ST]],0)</f>
        <v>0</v>
      </c>
      <c r="AB955">
        <f>ROUND(Mecze[[#This Row],[PD]]*Mecze[[#This Row],[%PC]],0)</f>
        <v>10</v>
      </c>
      <c r="AC955">
        <f>ROUND(Mecze[[#This Row],[OD]]*Mecze[[#This Row],[%OU]],0)</f>
        <v>6</v>
      </c>
      <c r="AD955" s="36" t="s">
        <v>167</v>
      </c>
      <c r="AE955" s="36">
        <v>53</v>
      </c>
      <c r="AF955" s="71">
        <v>5.76</v>
      </c>
      <c r="AG955" s="37">
        <v>0</v>
      </c>
      <c r="AH955" s="37">
        <v>0</v>
      </c>
      <c r="AI955" s="37">
        <v>96</v>
      </c>
      <c r="AJ955" s="37">
        <v>7</v>
      </c>
      <c r="AK955" s="37" t="str">
        <f>VLOOKUP(Mecze[[#This Row],[Match ID]],Meczusie[Mecz]:Meczusie[RodzajMeczu],2,FALSE)</f>
        <v>Liga</v>
      </c>
    </row>
    <row r="956" spans="1:37" x14ac:dyDescent="0.25">
      <c r="A956" s="76">
        <v>76</v>
      </c>
      <c r="B956" s="3" t="s">
        <v>336</v>
      </c>
      <c r="C956" s="2" t="s">
        <v>157</v>
      </c>
      <c r="D956" s="1">
        <v>0</v>
      </c>
      <c r="E956" s="1">
        <v>0</v>
      </c>
      <c r="F956" s="1">
        <v>0</v>
      </c>
      <c r="G956" s="1">
        <v>3</v>
      </c>
      <c r="H956" s="4">
        <v>0</v>
      </c>
      <c r="I956" s="1">
        <v>7</v>
      </c>
      <c r="J956" s="4">
        <v>0.14000000000000001</v>
      </c>
      <c r="K956" s="1">
        <v>0</v>
      </c>
      <c r="L956" s="1">
        <v>3</v>
      </c>
      <c r="M956" s="32">
        <f>IF(Mecze[[#This Row],[PR]]=0,0,Mecze[[#This Row],[PR]]/Mecze[[#This Row],[CZAS]])</f>
        <v>3.125E-2</v>
      </c>
      <c r="N956" s="32">
        <f>IF(Mecze[[#This Row],[OU]]=0,0,Mecze[[#This Row],[OU]]/Mecze[[#This Row],[CZAS]])</f>
        <v>1.0416666666666666E-2</v>
      </c>
      <c r="O956" s="32">
        <f>IF(Mecze[[#This Row],[PC]]=0,0,Mecze[[#This Row],[PC]]/Mecze[[#This Row],[CZAS]])</f>
        <v>0</v>
      </c>
      <c r="P956" s="32">
        <f>IF(Mecze[[#This Row],[SC]]=0,0,Mecze[[#This Row],[SC]]/Mecze[[#This Row],[CZAS]])</f>
        <v>0</v>
      </c>
      <c r="Q956" s="32">
        <f>IF(Mecze[[#This Row],[OB]]=0,0,Mecze[[#This Row],[OB]]/Mecze[[#This Row],[CZAS]])</f>
        <v>0</v>
      </c>
      <c r="R956" s="32">
        <f>IF(Mecze[[#This Row],[BR]]=0,0,Mecze[[#This Row],[BR]]/Mecze[[#This Row],[CZAS]])</f>
        <v>0</v>
      </c>
      <c r="S956" s="44">
        <f>IF(Mecze[[#This Row],[Role]]="BR",SUMPRODUCT(Mecze[[#This Row],[/PR:90]:[/BR:90]],Brudnopis!$E$23:$J$23),0)</f>
        <v>0</v>
      </c>
      <c r="T956" s="44">
        <f>IF(Mecze[[#This Row],[Role]]&lt;&gt;"BR",SUMPRODUCT(Mecze[[#This Row],[/PR:90]:[/BR:90]],Brudnopis!$E$24:$J$24),0)</f>
        <v>4.6875E-2</v>
      </c>
      <c r="U956" s="44">
        <f>IF(Mecze[[#This Row],[Role]]&lt;&gt;"BR",SUMPRODUCT(Mecze[[#This Row],[/PR:90]:[/BR:90]],Brudnopis!$E$25:$J$25),0)</f>
        <v>4.1666666666666664E-2</v>
      </c>
      <c r="V956" s="44">
        <f>IF(Mecze[[#This Row],[Role]]&lt;&gt;"BR",SUMPRODUCT(Mecze[[#This Row],[/PR:90]:[/BR:90]],Brudnopis!$E$26:$J$26),0)</f>
        <v>4.1666666666666664E-2</v>
      </c>
      <c r="W956" s="44">
        <f>IF(Mecze[[#This Row],[Role]]&lt;&gt;"BR",SUMPRODUCT(Mecze[[#This Row],[/PR:90]:[/BR:90]],Brudnopis!$E$27:$J$27),0)</f>
        <v>3.125E-2</v>
      </c>
      <c r="X956" s="44">
        <f>IF(Mecze[[#This Row],[Role]]&lt;&gt;"BR",SUMPRODUCT(Mecze[[#This Row],[/PR:90]:[/BR:90]],Brudnopis!$E$28:$J$28),0)</f>
        <v>0</v>
      </c>
      <c r="Y956" s="35">
        <f>IF(Mecze[[#This Row],[Role]]="BR",Mecze[[#This Row],[/OB:90]]+Mecze[[#This Row],[/PC:90]],SUM(Mecze[[#This Row],[/PR:90]:[/BR:90]]))</f>
        <v>4.1666666666666664E-2</v>
      </c>
      <c r="Z956" s="35">
        <f>IF(Mecze[[#This Row],[KC]]=0,SUM(Mecze[[#This Row],[/BRI]:[/NPI]]),SUM(Mecze[[#This Row],[/BRI]:[/NPI]])*0.6)</f>
        <v>0.16145833333333331</v>
      </c>
      <c r="AA956" s="10">
        <f>IFERROR(Mecze[[#This Row],[BR]]/Mecze[[#This Row],[ST]],0)</f>
        <v>0</v>
      </c>
      <c r="AB956">
        <f>ROUND(Mecze[[#This Row],[PD]]*Mecze[[#This Row],[%PC]],0)</f>
        <v>0</v>
      </c>
      <c r="AC956">
        <f>ROUND(Mecze[[#This Row],[OD]]*Mecze[[#This Row],[%OU]],0)</f>
        <v>1</v>
      </c>
      <c r="AD956" s="36" t="s">
        <v>168</v>
      </c>
      <c r="AE956" s="36">
        <v>53</v>
      </c>
      <c r="AF956" s="71">
        <v>3.44</v>
      </c>
      <c r="AG956" s="37">
        <v>0</v>
      </c>
      <c r="AH956" s="37">
        <v>0</v>
      </c>
      <c r="AI956" s="37">
        <v>96</v>
      </c>
      <c r="AJ956" s="37">
        <v>7</v>
      </c>
      <c r="AK956" s="37" t="str">
        <f>VLOOKUP(Mecze[[#This Row],[Match ID]],Meczusie[Mecz]:Meczusie[RodzajMeczu],2,FALSE)</f>
        <v>Liga</v>
      </c>
    </row>
    <row r="957" spans="1:37" x14ac:dyDescent="0.25">
      <c r="A957" s="76">
        <v>116</v>
      </c>
      <c r="B957" s="3" t="s">
        <v>425</v>
      </c>
      <c r="C957" s="2" t="s">
        <v>157</v>
      </c>
      <c r="D957" s="1">
        <v>0</v>
      </c>
      <c r="E957" s="1">
        <v>0</v>
      </c>
      <c r="F957" s="1">
        <v>0</v>
      </c>
      <c r="G957" s="1">
        <v>1</v>
      </c>
      <c r="H957" s="4">
        <v>1</v>
      </c>
      <c r="I957" s="1">
        <v>0</v>
      </c>
      <c r="J957" s="4"/>
      <c r="K957" s="1">
        <v>0</v>
      </c>
      <c r="L957" s="1">
        <v>1</v>
      </c>
      <c r="M957" s="32">
        <f>IF(Mecze[[#This Row],[PR]]=0,0,Mecze[[#This Row],[PR]]/Mecze[[#This Row],[CZAS]])</f>
        <v>1.0416666666666666E-2</v>
      </c>
      <c r="N957" s="32">
        <f>IF(Mecze[[#This Row],[OU]]=0,0,Mecze[[#This Row],[OU]]/Mecze[[#This Row],[CZAS]])</f>
        <v>0</v>
      </c>
      <c r="O957" s="32">
        <f>IF(Mecze[[#This Row],[PC]]=0,0,Mecze[[#This Row],[PC]]/Mecze[[#This Row],[CZAS]])</f>
        <v>1.0416666666666666E-2</v>
      </c>
      <c r="P957" s="32">
        <f>IF(Mecze[[#This Row],[SC]]=0,0,Mecze[[#This Row],[SC]]/Mecze[[#This Row],[CZAS]])</f>
        <v>0</v>
      </c>
      <c r="Q957" s="32">
        <f>IF(Mecze[[#This Row],[OB]]=0,0,Mecze[[#This Row],[OB]]/Mecze[[#This Row],[CZAS]])</f>
        <v>0</v>
      </c>
      <c r="R957" s="32">
        <f>IF(Mecze[[#This Row],[BR]]=0,0,Mecze[[#This Row],[BR]]/Mecze[[#This Row],[CZAS]])</f>
        <v>0</v>
      </c>
      <c r="S957" s="44">
        <f>IF(Mecze[[#This Row],[Role]]="BR",SUMPRODUCT(Mecze[[#This Row],[/PR:90]:[/BR:90]],Brudnopis!$E$23:$J$23),0)</f>
        <v>0</v>
      </c>
      <c r="T957" s="44">
        <f>IF(Mecze[[#This Row],[Role]]&lt;&gt;"BR",SUMPRODUCT(Mecze[[#This Row],[/PR:90]:[/BR:90]],Brudnopis!$E$24:$J$24),0)</f>
        <v>2.0833333333333332E-2</v>
      </c>
      <c r="U957" s="44">
        <f>IF(Mecze[[#This Row],[Role]]&lt;&gt;"BR",SUMPRODUCT(Mecze[[#This Row],[/PR:90]:[/BR:90]],Brudnopis!$E$25:$J$25),0)</f>
        <v>2.6041666666666664E-2</v>
      </c>
      <c r="V957" s="44">
        <f>IF(Mecze[[#This Row],[Role]]&lt;&gt;"BR",SUMPRODUCT(Mecze[[#This Row],[/PR:90]:[/BR:90]],Brudnopis!$E$26:$J$26),0)</f>
        <v>2.0833333333333332E-2</v>
      </c>
      <c r="W957" s="44">
        <f>IF(Mecze[[#This Row],[Role]]&lt;&gt;"BR",SUMPRODUCT(Mecze[[#This Row],[/PR:90]:[/BR:90]],Brudnopis!$E$27:$J$27),0)</f>
        <v>2.34375E-2</v>
      </c>
      <c r="X957" s="44">
        <f>IF(Mecze[[#This Row],[Role]]&lt;&gt;"BR",SUMPRODUCT(Mecze[[#This Row],[/PR:90]:[/BR:90]],Brudnopis!$E$28:$J$28),0)</f>
        <v>1.0416666666666666E-2</v>
      </c>
      <c r="Y957" s="35">
        <f>IF(Mecze[[#This Row],[Role]]="BR",Mecze[[#This Row],[/OB:90]]+Mecze[[#This Row],[/PC:90]],SUM(Mecze[[#This Row],[/PR:90]:[/BR:90]]))</f>
        <v>2.0833333333333332E-2</v>
      </c>
      <c r="Z957" s="35">
        <f>IF(Mecze[[#This Row],[KC]]=0,SUM(Mecze[[#This Row],[/BRI]:[/NPI]]),SUM(Mecze[[#This Row],[/BRI]:[/NPI]])*0.6)</f>
        <v>0.1015625</v>
      </c>
      <c r="AA957" s="10">
        <f>IFERROR(Mecze[[#This Row],[BR]]/Mecze[[#This Row],[ST]],0)</f>
        <v>0</v>
      </c>
      <c r="AB957">
        <f>ROUND(Mecze[[#This Row],[PD]]*Mecze[[#This Row],[%PC]],0)</f>
        <v>1</v>
      </c>
      <c r="AC957">
        <f>ROUND(Mecze[[#This Row],[OD]]*Mecze[[#This Row],[%OU]],0)</f>
        <v>0</v>
      </c>
      <c r="AD957" s="36" t="s">
        <v>175</v>
      </c>
      <c r="AE957" s="36">
        <v>53</v>
      </c>
      <c r="AF957" s="71">
        <v>3.02</v>
      </c>
      <c r="AG957" s="37">
        <v>0</v>
      </c>
      <c r="AH957" s="37">
        <v>0</v>
      </c>
      <c r="AI957" s="37">
        <v>96</v>
      </c>
      <c r="AJ957" s="37">
        <v>7</v>
      </c>
      <c r="AK957" s="37" t="str">
        <f>VLOOKUP(Mecze[[#This Row],[Match ID]],Meczusie[Mecz]:Meczusie[RodzajMeczu],2,FALSE)</f>
        <v>Liga</v>
      </c>
    </row>
    <row r="958" spans="1:37" x14ac:dyDescent="0.25">
      <c r="A958" s="76">
        <v>109</v>
      </c>
      <c r="B958" s="3" t="s">
        <v>404</v>
      </c>
      <c r="C958" s="2" t="s">
        <v>157</v>
      </c>
      <c r="D958" s="1">
        <v>0</v>
      </c>
      <c r="E958" s="1">
        <v>0</v>
      </c>
      <c r="F958" s="1">
        <v>0</v>
      </c>
      <c r="G958" s="1">
        <v>1</v>
      </c>
      <c r="H958" s="4">
        <v>0</v>
      </c>
      <c r="I958" s="1">
        <v>1</v>
      </c>
      <c r="J958" s="4">
        <v>1</v>
      </c>
      <c r="K958" s="1">
        <v>0</v>
      </c>
      <c r="L958" s="1">
        <v>0</v>
      </c>
      <c r="M958" s="32">
        <f>IF(Mecze[[#This Row],[PR]]=0,0,Mecze[[#This Row],[PR]]/Mecze[[#This Row],[CZAS]])</f>
        <v>0</v>
      </c>
      <c r="N958" s="32">
        <f>IF(Mecze[[#This Row],[OU]]=0,0,Mecze[[#This Row],[OU]]/Mecze[[#This Row],[CZAS]])</f>
        <v>1.0416666666666666E-2</v>
      </c>
      <c r="O958" s="32">
        <f>IF(Mecze[[#This Row],[PC]]=0,0,Mecze[[#This Row],[PC]]/Mecze[[#This Row],[CZAS]])</f>
        <v>0</v>
      </c>
      <c r="P958" s="32">
        <f>IF(Mecze[[#This Row],[SC]]=0,0,Mecze[[#This Row],[SC]]/Mecze[[#This Row],[CZAS]])</f>
        <v>0</v>
      </c>
      <c r="Q958" s="32">
        <f>IF(Mecze[[#This Row],[OB]]=0,0,Mecze[[#This Row],[OB]]/Mecze[[#This Row],[CZAS]])</f>
        <v>0</v>
      </c>
      <c r="R958" s="32">
        <f>IF(Mecze[[#This Row],[BR]]=0,0,Mecze[[#This Row],[BR]]/Mecze[[#This Row],[CZAS]])</f>
        <v>0</v>
      </c>
      <c r="S958" s="44">
        <f>IF(Mecze[[#This Row],[Role]]="BR",SUMPRODUCT(Mecze[[#This Row],[/PR:90]:[/BR:90]],Brudnopis!$E$23:$J$23),0)</f>
        <v>0</v>
      </c>
      <c r="T958" s="44">
        <f>IF(Mecze[[#This Row],[Role]]&lt;&gt;"BR",SUMPRODUCT(Mecze[[#This Row],[/PR:90]:[/BR:90]],Brudnopis!$E$24:$J$24),0)</f>
        <v>1.5625E-2</v>
      </c>
      <c r="U958" s="44">
        <f>IF(Mecze[[#This Row],[Role]]&lt;&gt;"BR",SUMPRODUCT(Mecze[[#This Row],[/PR:90]:[/BR:90]],Brudnopis!$E$25:$J$25),0)</f>
        <v>1.0416666666666666E-2</v>
      </c>
      <c r="V958" s="44">
        <f>IF(Mecze[[#This Row],[Role]]&lt;&gt;"BR",SUMPRODUCT(Mecze[[#This Row],[/PR:90]:[/BR:90]],Brudnopis!$E$26:$J$26),0)</f>
        <v>1.0416666666666666E-2</v>
      </c>
      <c r="W958" s="44">
        <f>IF(Mecze[[#This Row],[Role]]&lt;&gt;"BR",SUMPRODUCT(Mecze[[#This Row],[/PR:90]:[/BR:90]],Brudnopis!$E$27:$J$27),0)</f>
        <v>7.8125E-3</v>
      </c>
      <c r="X958" s="44">
        <f>IF(Mecze[[#This Row],[Role]]&lt;&gt;"BR",SUMPRODUCT(Mecze[[#This Row],[/PR:90]:[/BR:90]],Brudnopis!$E$28:$J$28),0)</f>
        <v>0</v>
      </c>
      <c r="Y958" s="35">
        <f>IF(Mecze[[#This Row],[Role]]="BR",Mecze[[#This Row],[/OB:90]]+Mecze[[#This Row],[/PC:90]],SUM(Mecze[[#This Row],[/PR:90]:[/BR:90]]))</f>
        <v>1.0416666666666666E-2</v>
      </c>
      <c r="Z958" s="35">
        <f>IF(Mecze[[#This Row],[KC]]=0,SUM(Mecze[[#This Row],[/BRI]:[/NPI]]),SUM(Mecze[[#This Row],[/BRI]:[/NPI]])*0.6)</f>
        <v>4.4270833333333329E-2</v>
      </c>
      <c r="AA958" s="10">
        <f>IFERROR(Mecze[[#This Row],[BR]]/Mecze[[#This Row],[ST]],0)</f>
        <v>0</v>
      </c>
      <c r="AB958">
        <f>ROUND(Mecze[[#This Row],[PD]]*Mecze[[#This Row],[%PC]],0)</f>
        <v>0</v>
      </c>
      <c r="AC958">
        <f>ROUND(Mecze[[#This Row],[OD]]*Mecze[[#This Row],[%OU]],0)</f>
        <v>1</v>
      </c>
      <c r="AD958" s="36" t="s">
        <v>174</v>
      </c>
      <c r="AE958" s="36">
        <v>53</v>
      </c>
      <c r="AF958" s="71">
        <v>2.81</v>
      </c>
      <c r="AG958" s="37">
        <v>0</v>
      </c>
      <c r="AH958" s="37">
        <v>0</v>
      </c>
      <c r="AI958" s="37">
        <v>96</v>
      </c>
      <c r="AJ958" s="37">
        <v>7</v>
      </c>
      <c r="AK958" s="37" t="str">
        <f>VLOOKUP(Mecze[[#This Row],[Match ID]],Meczusie[Mecz]:Meczusie[RodzajMeczu],2,FALSE)</f>
        <v>Liga</v>
      </c>
    </row>
    <row r="959" spans="1:37" x14ac:dyDescent="0.25">
      <c r="A959" s="76">
        <v>159</v>
      </c>
      <c r="B959" s="3" t="s">
        <v>338</v>
      </c>
      <c r="C959" s="2" t="s">
        <v>160</v>
      </c>
      <c r="D959" s="1">
        <v>0</v>
      </c>
      <c r="E959" s="1">
        <v>0</v>
      </c>
      <c r="F959" s="1">
        <v>0</v>
      </c>
      <c r="G959" s="1">
        <v>16</v>
      </c>
      <c r="H959" s="4">
        <v>0.56000000000000005</v>
      </c>
      <c r="I959" s="1">
        <v>12</v>
      </c>
      <c r="J959" s="4">
        <v>0.57999999999999996</v>
      </c>
      <c r="K959" s="1">
        <v>0</v>
      </c>
      <c r="L959" s="1">
        <v>5</v>
      </c>
      <c r="M959" s="32">
        <f>IF(Mecze[[#This Row],[PR]]=0,0,Mecze[[#This Row],[PR]]/Mecze[[#This Row],[CZAS]])</f>
        <v>5.2083333333333336E-2</v>
      </c>
      <c r="N959" s="32">
        <f>IF(Mecze[[#This Row],[OU]]=0,0,Mecze[[#This Row],[OU]]/Mecze[[#This Row],[CZAS]])</f>
        <v>7.2916666666666671E-2</v>
      </c>
      <c r="O959" s="32">
        <f>IF(Mecze[[#This Row],[PC]]=0,0,Mecze[[#This Row],[PC]]/Mecze[[#This Row],[CZAS]])</f>
        <v>9.375E-2</v>
      </c>
      <c r="P959" s="32">
        <f>IF(Mecze[[#This Row],[SC]]=0,0,Mecze[[#This Row],[SC]]/Mecze[[#This Row],[CZAS]])</f>
        <v>0</v>
      </c>
      <c r="Q959" s="32">
        <f>IF(Mecze[[#This Row],[OB]]=0,0,Mecze[[#This Row],[OB]]/Mecze[[#This Row],[CZAS]])</f>
        <v>0</v>
      </c>
      <c r="R959" s="32">
        <f>IF(Mecze[[#This Row],[BR]]=0,0,Mecze[[#This Row],[BR]]/Mecze[[#This Row],[CZAS]])</f>
        <v>0</v>
      </c>
      <c r="S959" s="44">
        <f>IF(Mecze[[#This Row],[Role]]="BR",SUMPRODUCT(Mecze[[#This Row],[/PR:90]:[/BR:90]],Brudnopis!$E$23:$J$23),0)</f>
        <v>0</v>
      </c>
      <c r="T959" s="44">
        <f>IF(Mecze[[#This Row],[Role]]&lt;&gt;"BR",SUMPRODUCT(Mecze[[#This Row],[/PR:90]:[/BR:90]],Brudnopis!$E$24:$J$24),0)</f>
        <v>0.25520833333333337</v>
      </c>
      <c r="U959" s="44">
        <f>IF(Mecze[[#This Row],[Role]]&lt;&gt;"BR",SUMPRODUCT(Mecze[[#This Row],[/PR:90]:[/BR:90]],Brudnopis!$E$25:$J$25),0)</f>
        <v>0.265625</v>
      </c>
      <c r="V959" s="44">
        <f>IF(Mecze[[#This Row],[Role]]&lt;&gt;"BR",SUMPRODUCT(Mecze[[#This Row],[/PR:90]:[/BR:90]],Brudnopis!$E$26:$J$26),0)</f>
        <v>0.21875</v>
      </c>
      <c r="W959" s="44">
        <f>IF(Mecze[[#This Row],[Role]]&lt;&gt;"BR",SUMPRODUCT(Mecze[[#This Row],[/PR:90]:[/BR:90]],Brudnopis!$E$27:$J$27),0)</f>
        <v>0.234375</v>
      </c>
      <c r="X959" s="44">
        <f>IF(Mecze[[#This Row],[Role]]&lt;&gt;"BR",SUMPRODUCT(Mecze[[#This Row],[/PR:90]:[/BR:90]],Brudnopis!$E$28:$J$28),0)</f>
        <v>9.375E-2</v>
      </c>
      <c r="Y959" s="35">
        <f>IF(Mecze[[#This Row],[Role]]="BR",Mecze[[#This Row],[/OB:90]]+Mecze[[#This Row],[/PC:90]],SUM(Mecze[[#This Row],[/PR:90]:[/BR:90]]))</f>
        <v>0.21875</v>
      </c>
      <c r="Z959" s="35">
        <f>IF(Mecze[[#This Row],[KC]]=0,SUM(Mecze[[#This Row],[/BRI]:[/NPI]]),SUM(Mecze[[#This Row],[/BRI]:[/NPI]])*0.6)</f>
        <v>1.0677083333333335</v>
      </c>
      <c r="AA959" s="10">
        <f>IFERROR(Mecze[[#This Row],[BR]]/Mecze[[#This Row],[ST]],0)</f>
        <v>0</v>
      </c>
      <c r="AB959">
        <f>ROUND(Mecze[[#This Row],[PD]]*Mecze[[#This Row],[%PC]],0)</f>
        <v>9</v>
      </c>
      <c r="AC959">
        <f>ROUND(Mecze[[#This Row],[OD]]*Mecze[[#This Row],[%OU]],0)</f>
        <v>7</v>
      </c>
      <c r="AD959" s="36" t="s">
        <v>41</v>
      </c>
      <c r="AE959" s="36">
        <v>53</v>
      </c>
      <c r="AF959" s="71">
        <v>6.18</v>
      </c>
      <c r="AG959" s="37">
        <v>0</v>
      </c>
      <c r="AH959" s="37">
        <v>0</v>
      </c>
      <c r="AI959" s="37">
        <v>96</v>
      </c>
      <c r="AJ959" s="37">
        <v>7</v>
      </c>
      <c r="AK959" s="37" t="str">
        <f>VLOOKUP(Mecze[[#This Row],[Match ID]],Meczusie[Mecz]:Meczusie[RodzajMeczu],2,FALSE)</f>
        <v>Liga</v>
      </c>
    </row>
    <row r="960" spans="1:37" x14ac:dyDescent="0.25">
      <c r="A960" s="76">
        <v>200</v>
      </c>
      <c r="B960" s="3" t="s">
        <v>339</v>
      </c>
      <c r="C960" s="2" t="s">
        <v>160</v>
      </c>
      <c r="D960" s="1">
        <v>0</v>
      </c>
      <c r="E960" s="1">
        <v>0</v>
      </c>
      <c r="F960" s="1">
        <v>0</v>
      </c>
      <c r="G960" s="1">
        <v>13</v>
      </c>
      <c r="H960" s="4">
        <v>0.69</v>
      </c>
      <c r="I960" s="1">
        <v>6</v>
      </c>
      <c r="J960" s="4">
        <v>0.17</v>
      </c>
      <c r="K960" s="1">
        <v>0</v>
      </c>
      <c r="L960" s="1">
        <v>7</v>
      </c>
      <c r="M960" s="32">
        <f>IF(Mecze[[#This Row],[PR]]=0,0,Mecze[[#This Row],[PR]]/Mecze[[#This Row],[CZAS]])</f>
        <v>7.2916666666666671E-2</v>
      </c>
      <c r="N960" s="32">
        <f>IF(Mecze[[#This Row],[OU]]=0,0,Mecze[[#This Row],[OU]]/Mecze[[#This Row],[CZAS]])</f>
        <v>1.0416666666666666E-2</v>
      </c>
      <c r="O960" s="32">
        <f>IF(Mecze[[#This Row],[PC]]=0,0,Mecze[[#This Row],[PC]]/Mecze[[#This Row],[CZAS]])</f>
        <v>9.375E-2</v>
      </c>
      <c r="P960" s="32">
        <f>IF(Mecze[[#This Row],[SC]]=0,0,Mecze[[#This Row],[SC]]/Mecze[[#This Row],[CZAS]])</f>
        <v>0</v>
      </c>
      <c r="Q960" s="32">
        <f>IF(Mecze[[#This Row],[OB]]=0,0,Mecze[[#This Row],[OB]]/Mecze[[#This Row],[CZAS]])</f>
        <v>0</v>
      </c>
      <c r="R960" s="32">
        <f>IF(Mecze[[#This Row],[BR]]=0,0,Mecze[[#This Row],[BR]]/Mecze[[#This Row],[CZAS]])</f>
        <v>0</v>
      </c>
      <c r="S960" s="44">
        <f>IF(Mecze[[#This Row],[Role]]="BR",SUMPRODUCT(Mecze[[#This Row],[/PR:90]:[/BR:90]],Brudnopis!$E$23:$J$23),0)</f>
        <v>0</v>
      </c>
      <c r="T960" s="44">
        <f>IF(Mecze[[#This Row],[Role]]&lt;&gt;"BR",SUMPRODUCT(Mecze[[#This Row],[/PR:90]:[/BR:90]],Brudnopis!$E$24:$J$24),0)</f>
        <v>0.18229166666666669</v>
      </c>
      <c r="U960" s="44">
        <f>IF(Mecze[[#This Row],[Role]]&lt;&gt;"BR",SUMPRODUCT(Mecze[[#This Row],[/PR:90]:[/BR:90]],Brudnopis!$E$25:$J$25),0)</f>
        <v>0.22395833333333334</v>
      </c>
      <c r="V960" s="44">
        <f>IF(Mecze[[#This Row],[Role]]&lt;&gt;"BR",SUMPRODUCT(Mecze[[#This Row],[/PR:90]:[/BR:90]],Brudnopis!$E$26:$J$26),0)</f>
        <v>0.17708333333333334</v>
      </c>
      <c r="W960" s="44">
        <f>IF(Mecze[[#This Row],[Role]]&lt;&gt;"BR",SUMPRODUCT(Mecze[[#This Row],[/PR:90]:[/BR:90]],Brudnopis!$E$27:$J$27),0)</f>
        <v>0.203125</v>
      </c>
      <c r="X960" s="44">
        <f>IF(Mecze[[#This Row],[Role]]&lt;&gt;"BR",SUMPRODUCT(Mecze[[#This Row],[/PR:90]:[/BR:90]],Brudnopis!$E$28:$J$28),0)</f>
        <v>9.375E-2</v>
      </c>
      <c r="Y960" s="35">
        <f>IF(Mecze[[#This Row],[Role]]="BR",Mecze[[#This Row],[/OB:90]]+Mecze[[#This Row],[/PC:90]],SUM(Mecze[[#This Row],[/PR:90]:[/BR:90]]))</f>
        <v>0.17708333333333334</v>
      </c>
      <c r="Z960" s="35">
        <f>IF(Mecze[[#This Row],[KC]]=0,SUM(Mecze[[#This Row],[/BRI]:[/NPI]]),SUM(Mecze[[#This Row],[/BRI]:[/NPI]])*0.6)</f>
        <v>0.88020833333333337</v>
      </c>
      <c r="AA960" s="10">
        <f>IFERROR(Mecze[[#This Row],[BR]]/Mecze[[#This Row],[ST]],0)</f>
        <v>0</v>
      </c>
      <c r="AB960">
        <f>ROUND(Mecze[[#This Row],[PD]]*Mecze[[#This Row],[%PC]],0)</f>
        <v>9</v>
      </c>
      <c r="AC960">
        <f>ROUND(Mecze[[#This Row],[OD]]*Mecze[[#This Row],[%OU]],0)</f>
        <v>1</v>
      </c>
      <c r="AD960" s="36" t="s">
        <v>41</v>
      </c>
      <c r="AE960" s="36">
        <v>53</v>
      </c>
      <c r="AF960" s="71">
        <v>6.6</v>
      </c>
      <c r="AG960" s="37">
        <v>0</v>
      </c>
      <c r="AH960" s="37">
        <v>0</v>
      </c>
      <c r="AI960" s="37">
        <v>96</v>
      </c>
      <c r="AJ960" s="37">
        <v>7</v>
      </c>
      <c r="AK960" s="37" t="str">
        <f>VLOOKUP(Mecze[[#This Row],[Match ID]],Meczusie[Mecz]:Meczusie[RodzajMeczu],2,FALSE)</f>
        <v>Liga</v>
      </c>
    </row>
    <row r="961" spans="1:37" x14ac:dyDescent="0.25">
      <c r="A961" s="76">
        <v>151</v>
      </c>
      <c r="B961" s="3" t="s">
        <v>337</v>
      </c>
      <c r="C961" s="2" t="s">
        <v>160</v>
      </c>
      <c r="D961" s="1">
        <v>0</v>
      </c>
      <c r="E961" s="1">
        <v>1</v>
      </c>
      <c r="F961" s="1">
        <v>0</v>
      </c>
      <c r="G961" s="1">
        <v>10</v>
      </c>
      <c r="H961" s="4">
        <v>0.7</v>
      </c>
      <c r="I961" s="1">
        <v>0</v>
      </c>
      <c r="J961" s="4"/>
      <c r="K961" s="1">
        <v>0</v>
      </c>
      <c r="L961" s="1">
        <v>0</v>
      </c>
      <c r="M961" s="32">
        <f>IF(Mecze[[#This Row],[PR]]=0,0,Mecze[[#This Row],[PR]]/Mecze[[#This Row],[CZAS]])</f>
        <v>0</v>
      </c>
      <c r="N961" s="32">
        <f>IF(Mecze[[#This Row],[OU]]=0,0,Mecze[[#This Row],[OU]]/Mecze[[#This Row],[CZAS]])</f>
        <v>0</v>
      </c>
      <c r="O961" s="32">
        <f>IF(Mecze[[#This Row],[PC]]=0,0,Mecze[[#This Row],[PC]]/Mecze[[#This Row],[CZAS]])</f>
        <v>7.2916666666666671E-2</v>
      </c>
      <c r="P961" s="32">
        <f>IF(Mecze[[#This Row],[SC]]=0,0,Mecze[[#This Row],[SC]]/Mecze[[#This Row],[CZAS]])</f>
        <v>0</v>
      </c>
      <c r="Q961" s="32">
        <f>IF(Mecze[[#This Row],[OB]]=0,0,Mecze[[#This Row],[OB]]/Mecze[[#This Row],[CZAS]])</f>
        <v>0</v>
      </c>
      <c r="R961" s="32">
        <f>IF(Mecze[[#This Row],[BR]]=0,0,Mecze[[#This Row],[BR]]/Mecze[[#This Row],[CZAS]])</f>
        <v>0</v>
      </c>
      <c r="S961" s="44">
        <f>IF(Mecze[[#This Row],[Role]]="BR",SUMPRODUCT(Mecze[[#This Row],[/PR:90]:[/BR:90]],Brudnopis!$E$23:$J$23),0)</f>
        <v>0</v>
      </c>
      <c r="T961" s="44">
        <f>IF(Mecze[[#This Row],[Role]]&lt;&gt;"BR",SUMPRODUCT(Mecze[[#This Row],[/PR:90]:[/BR:90]],Brudnopis!$E$24:$J$24),0)</f>
        <v>7.2916666666666671E-2</v>
      </c>
      <c r="U961" s="44">
        <f>IF(Mecze[[#This Row],[Role]]&lt;&gt;"BR",SUMPRODUCT(Mecze[[#This Row],[/PR:90]:[/BR:90]],Brudnopis!$E$25:$J$25),0)</f>
        <v>0.109375</v>
      </c>
      <c r="V961" s="44">
        <f>IF(Mecze[[#This Row],[Role]]&lt;&gt;"BR",SUMPRODUCT(Mecze[[#This Row],[/PR:90]:[/BR:90]],Brudnopis!$E$26:$J$26),0)</f>
        <v>7.2916666666666671E-2</v>
      </c>
      <c r="W961" s="44">
        <f>IF(Mecze[[#This Row],[Role]]&lt;&gt;"BR",SUMPRODUCT(Mecze[[#This Row],[/PR:90]:[/BR:90]],Brudnopis!$E$27:$J$27),0)</f>
        <v>0.109375</v>
      </c>
      <c r="X961" s="44">
        <f>IF(Mecze[[#This Row],[Role]]&lt;&gt;"BR",SUMPRODUCT(Mecze[[#This Row],[/PR:90]:[/BR:90]],Brudnopis!$E$28:$J$28),0)</f>
        <v>7.2916666666666671E-2</v>
      </c>
      <c r="Y961" s="35">
        <f>IF(Mecze[[#This Row],[Role]]="BR",Mecze[[#This Row],[/OB:90]]+Mecze[[#This Row],[/PC:90]],SUM(Mecze[[#This Row],[/PR:90]:[/BR:90]]))</f>
        <v>7.2916666666666671E-2</v>
      </c>
      <c r="Z961" s="35">
        <f>IF(Mecze[[#This Row],[KC]]=0,SUM(Mecze[[#This Row],[/BRI]:[/NPI]]),SUM(Mecze[[#This Row],[/BRI]:[/NPI]])*0.6)</f>
        <v>0.43750000000000006</v>
      </c>
      <c r="AA961" s="10">
        <f>IFERROR(Mecze[[#This Row],[BR]]/Mecze[[#This Row],[ST]],0)</f>
        <v>0</v>
      </c>
      <c r="AB961">
        <f>ROUND(Mecze[[#This Row],[PD]]*Mecze[[#This Row],[%PC]],0)</f>
        <v>7</v>
      </c>
      <c r="AC961">
        <f>ROUND(Mecze[[#This Row],[OD]]*Mecze[[#This Row],[%OU]],0)</f>
        <v>0</v>
      </c>
      <c r="AD961" s="36" t="s">
        <v>299</v>
      </c>
      <c r="AE961" s="36">
        <v>53</v>
      </c>
      <c r="AF961" s="71">
        <v>5.13</v>
      </c>
      <c r="AG961" s="37">
        <v>0</v>
      </c>
      <c r="AH961" s="37">
        <v>0</v>
      </c>
      <c r="AI961" s="37">
        <v>96</v>
      </c>
      <c r="AJ961" s="37">
        <v>7</v>
      </c>
      <c r="AK961" s="37" t="str">
        <f>VLOOKUP(Mecze[[#This Row],[Match ID]],Meczusie[Mecz]:Meczusie[RodzajMeczu],2,FALSE)</f>
        <v>Liga</v>
      </c>
    </row>
    <row r="962" spans="1:37" x14ac:dyDescent="0.25">
      <c r="A962" s="76">
        <v>203</v>
      </c>
      <c r="B962" s="3" t="s">
        <v>342</v>
      </c>
      <c r="C962" s="2" t="s">
        <v>165</v>
      </c>
      <c r="D962" s="1">
        <v>2</v>
      </c>
      <c r="E962" s="1">
        <v>12</v>
      </c>
      <c r="F962" s="1">
        <v>10</v>
      </c>
      <c r="G962" s="1">
        <v>3</v>
      </c>
      <c r="H962" s="4">
        <v>1</v>
      </c>
      <c r="I962" s="1">
        <v>3</v>
      </c>
      <c r="J962" s="4">
        <v>0.67</v>
      </c>
      <c r="K962" s="1">
        <v>0</v>
      </c>
      <c r="L962" s="1">
        <v>1</v>
      </c>
      <c r="M962" s="32">
        <f>IF(Mecze[[#This Row],[PR]]=0,0,Mecze[[#This Row],[PR]]/Mecze[[#This Row],[CZAS]])</f>
        <v>1.0416666666666666E-2</v>
      </c>
      <c r="N962" s="32">
        <f>IF(Mecze[[#This Row],[OU]]=0,0,Mecze[[#This Row],[OU]]/Mecze[[#This Row],[CZAS]])</f>
        <v>2.0833333333333332E-2</v>
      </c>
      <c r="O962" s="32">
        <f>IF(Mecze[[#This Row],[PC]]=0,0,Mecze[[#This Row],[PC]]/Mecze[[#This Row],[CZAS]])</f>
        <v>3.125E-2</v>
      </c>
      <c r="P962" s="32">
        <f>IF(Mecze[[#This Row],[SC]]=0,0,Mecze[[#This Row],[SC]]/Mecze[[#This Row],[CZAS]])</f>
        <v>0.10416666666666667</v>
      </c>
      <c r="Q962" s="32">
        <f>IF(Mecze[[#This Row],[OB]]=0,0,Mecze[[#This Row],[OB]]/Mecze[[#This Row],[CZAS]])</f>
        <v>0</v>
      </c>
      <c r="R962" s="32">
        <f>IF(Mecze[[#This Row],[BR]]=0,0,Mecze[[#This Row],[BR]]/Mecze[[#This Row],[CZAS]])</f>
        <v>2.0833333333333332E-2</v>
      </c>
      <c r="S962" s="44">
        <f>IF(Mecze[[#This Row],[Role]]="BR",SUMPRODUCT(Mecze[[#This Row],[/PR:90]:[/BR:90]],Brudnopis!$E$23:$J$23),0)</f>
        <v>0</v>
      </c>
      <c r="T962" s="44">
        <f>IF(Mecze[[#This Row],[Role]]&lt;&gt;"BR",SUMPRODUCT(Mecze[[#This Row],[/PR:90]:[/BR:90]],Brudnopis!$E$24:$J$24),0)</f>
        <v>0.20833333333333331</v>
      </c>
      <c r="U962" s="44">
        <f>IF(Mecze[[#This Row],[Role]]&lt;&gt;"BR",SUMPRODUCT(Mecze[[#This Row],[/PR:90]:[/BR:90]],Brudnopis!$E$25:$J$25),0)</f>
        <v>0.21354166666666669</v>
      </c>
      <c r="V962" s="44">
        <f>IF(Mecze[[#This Row],[Role]]&lt;&gt;"BR",SUMPRODUCT(Mecze[[#This Row],[/PR:90]:[/BR:90]],Brudnopis!$E$26:$J$26),0)</f>
        <v>0.20833333333333334</v>
      </c>
      <c r="W962" s="44">
        <f>IF(Mecze[[#This Row],[Role]]&lt;&gt;"BR",SUMPRODUCT(Mecze[[#This Row],[/PR:90]:[/BR:90]],Brudnopis!$E$27:$J$27),0)</f>
        <v>0.21614583333333334</v>
      </c>
      <c r="X962" s="44">
        <f>IF(Mecze[[#This Row],[Role]]&lt;&gt;"BR",SUMPRODUCT(Mecze[[#This Row],[/PR:90]:[/BR:90]],Brudnopis!$E$28:$J$28),0)</f>
        <v>0.30208333333333337</v>
      </c>
      <c r="Y962" s="35">
        <f>IF(Mecze[[#This Row],[Role]]="BR",Mecze[[#This Row],[/OB:90]]+Mecze[[#This Row],[/PC:90]],SUM(Mecze[[#This Row],[/PR:90]:[/BR:90]]))</f>
        <v>0.18750000000000003</v>
      </c>
      <c r="Z962" s="35">
        <f>IF(Mecze[[#This Row],[KC]]=0,SUM(Mecze[[#This Row],[/BRI]:[/NPI]]),SUM(Mecze[[#This Row],[/BRI]:[/NPI]])*0.6)</f>
        <v>1.1484375</v>
      </c>
      <c r="AA962" s="10">
        <f>IFERROR(Mecze[[#This Row],[BR]]/Mecze[[#This Row],[ST]],0)</f>
        <v>0.16666666666666666</v>
      </c>
      <c r="AB962">
        <f>ROUND(Mecze[[#This Row],[PD]]*Mecze[[#This Row],[%PC]],0)</f>
        <v>3</v>
      </c>
      <c r="AC962">
        <f>ROUND(Mecze[[#This Row],[OD]]*Mecze[[#This Row],[%OU]],0)</f>
        <v>2</v>
      </c>
      <c r="AD962" s="36" t="s">
        <v>46</v>
      </c>
      <c r="AE962" s="36">
        <v>53</v>
      </c>
      <c r="AF962" s="71">
        <v>10.73</v>
      </c>
      <c r="AG962" s="37">
        <v>0</v>
      </c>
      <c r="AH962" s="37">
        <v>0</v>
      </c>
      <c r="AI962" s="37">
        <v>96</v>
      </c>
      <c r="AJ962" s="37">
        <v>7</v>
      </c>
      <c r="AK962" s="37" t="str">
        <f>VLOOKUP(Mecze[[#This Row],[Match ID]],Meczusie[Mecz]:Meczusie[RodzajMeczu],2,FALSE)</f>
        <v>Liga</v>
      </c>
    </row>
    <row r="963" spans="1:37" x14ac:dyDescent="0.25">
      <c r="A963" s="76">
        <v>104</v>
      </c>
      <c r="B963" s="3" t="s">
        <v>343</v>
      </c>
      <c r="C963" s="2" t="s">
        <v>165</v>
      </c>
      <c r="D963" s="1">
        <v>0</v>
      </c>
      <c r="E963" s="1">
        <v>2</v>
      </c>
      <c r="F963" s="1">
        <v>2</v>
      </c>
      <c r="G963" s="1">
        <v>17</v>
      </c>
      <c r="H963" s="4">
        <v>0.88</v>
      </c>
      <c r="I963" s="1">
        <v>5</v>
      </c>
      <c r="J963" s="4">
        <v>0.2</v>
      </c>
      <c r="K963" s="1">
        <v>0</v>
      </c>
      <c r="L963" s="1">
        <v>0</v>
      </c>
      <c r="M963" s="32">
        <f>IF(Mecze[[#This Row],[PR]]=0,0,Mecze[[#This Row],[PR]]/Mecze[[#This Row],[CZAS]])</f>
        <v>0</v>
      </c>
      <c r="N963" s="32">
        <f>IF(Mecze[[#This Row],[OU]]=0,0,Mecze[[#This Row],[OU]]/Mecze[[#This Row],[CZAS]])</f>
        <v>1.0416666666666666E-2</v>
      </c>
      <c r="O963" s="32">
        <f>IF(Mecze[[#This Row],[PC]]=0,0,Mecze[[#This Row],[PC]]/Mecze[[#This Row],[CZAS]])</f>
        <v>0.15625</v>
      </c>
      <c r="P963" s="32">
        <f>IF(Mecze[[#This Row],[SC]]=0,0,Mecze[[#This Row],[SC]]/Mecze[[#This Row],[CZAS]])</f>
        <v>2.0833333333333332E-2</v>
      </c>
      <c r="Q963" s="32">
        <f>IF(Mecze[[#This Row],[OB]]=0,0,Mecze[[#This Row],[OB]]/Mecze[[#This Row],[CZAS]])</f>
        <v>0</v>
      </c>
      <c r="R963" s="32">
        <f>IF(Mecze[[#This Row],[BR]]=0,0,Mecze[[#This Row],[BR]]/Mecze[[#This Row],[CZAS]])</f>
        <v>0</v>
      </c>
      <c r="S963" s="44">
        <f>IF(Mecze[[#This Row],[Role]]="BR",SUMPRODUCT(Mecze[[#This Row],[/PR:90]:[/BR:90]],Brudnopis!$E$23:$J$23),0)</f>
        <v>0</v>
      </c>
      <c r="T963" s="44">
        <f>IF(Mecze[[#This Row],[Role]]&lt;&gt;"BR",SUMPRODUCT(Mecze[[#This Row],[/PR:90]:[/BR:90]],Brudnopis!$E$24:$J$24),0)</f>
        <v>0.19270833333333334</v>
      </c>
      <c r="U963" s="44">
        <f>IF(Mecze[[#This Row],[Role]]&lt;&gt;"BR",SUMPRODUCT(Mecze[[#This Row],[/PR:90]:[/BR:90]],Brudnopis!$E$25:$J$25),0)</f>
        <v>0.265625</v>
      </c>
      <c r="V963" s="44">
        <f>IF(Mecze[[#This Row],[Role]]&lt;&gt;"BR",SUMPRODUCT(Mecze[[#This Row],[/PR:90]:[/BR:90]],Brudnopis!$E$26:$J$26),0)</f>
        <v>0.1875</v>
      </c>
      <c r="W963" s="44">
        <f>IF(Mecze[[#This Row],[Role]]&lt;&gt;"BR",SUMPRODUCT(Mecze[[#This Row],[/PR:90]:[/BR:90]],Brudnopis!$E$27:$J$27),0)</f>
        <v>0.26302083333333331</v>
      </c>
      <c r="X963" s="44">
        <f>IF(Mecze[[#This Row],[Role]]&lt;&gt;"BR",SUMPRODUCT(Mecze[[#This Row],[/PR:90]:[/BR:90]],Brudnopis!$E$28:$J$28),0)</f>
        <v>0.19791666666666666</v>
      </c>
      <c r="Y963" s="35">
        <f>IF(Mecze[[#This Row],[Role]]="BR",Mecze[[#This Row],[/OB:90]]+Mecze[[#This Row],[/PC:90]],SUM(Mecze[[#This Row],[/PR:90]:[/BR:90]]))</f>
        <v>0.1875</v>
      </c>
      <c r="Z963" s="35">
        <f>IF(Mecze[[#This Row],[KC]]=0,SUM(Mecze[[#This Row],[/BRI]:[/NPI]]),SUM(Mecze[[#This Row],[/BRI]:[/NPI]])*0.6)</f>
        <v>1.1067708333333335</v>
      </c>
      <c r="AA963" s="10">
        <f>IFERROR(Mecze[[#This Row],[BR]]/Mecze[[#This Row],[ST]],0)</f>
        <v>0</v>
      </c>
      <c r="AB963">
        <f>ROUND(Mecze[[#This Row],[PD]]*Mecze[[#This Row],[%PC]],0)</f>
        <v>15</v>
      </c>
      <c r="AC963">
        <f>ROUND(Mecze[[#This Row],[OD]]*Mecze[[#This Row],[%OU]],0)</f>
        <v>1</v>
      </c>
      <c r="AD963" s="36" t="s">
        <v>355</v>
      </c>
      <c r="AE963" s="36">
        <v>53</v>
      </c>
      <c r="AF963" s="71">
        <v>6.62</v>
      </c>
      <c r="AG963" s="37">
        <v>0</v>
      </c>
      <c r="AH963" s="37">
        <v>0</v>
      </c>
      <c r="AI963" s="37">
        <v>96</v>
      </c>
      <c r="AJ963" s="37">
        <v>7</v>
      </c>
      <c r="AK963" s="37" t="str">
        <f>VLOOKUP(Mecze[[#This Row],[Match ID]],Meczusie[Mecz]:Meczusie[RodzajMeczu],2,FALSE)</f>
        <v>Liga</v>
      </c>
    </row>
    <row r="964" spans="1:37" x14ac:dyDescent="0.25">
      <c r="A964" s="76">
        <v>49</v>
      </c>
      <c r="B964" s="3" t="s">
        <v>358</v>
      </c>
      <c r="C964" s="2" t="s">
        <v>155</v>
      </c>
      <c r="D964" s="1">
        <v>0</v>
      </c>
      <c r="E964" s="1">
        <v>0</v>
      </c>
      <c r="F964" s="1">
        <v>0</v>
      </c>
      <c r="G964" s="1">
        <v>8</v>
      </c>
      <c r="H964" s="4">
        <v>0</v>
      </c>
      <c r="I964" s="1">
        <v>0</v>
      </c>
      <c r="J964" s="4"/>
      <c r="K964" s="1">
        <v>7</v>
      </c>
      <c r="L964" s="1">
        <v>0</v>
      </c>
      <c r="M964" s="32">
        <f>IF(Mecze[[#This Row],[PR]]=0,0,Mecze[[#This Row],[PR]]/Mecze[[#This Row],[CZAS]])</f>
        <v>0</v>
      </c>
      <c r="N964" s="32">
        <f>IF(Mecze[[#This Row],[OU]]=0,0,Mecze[[#This Row],[OU]]/Mecze[[#This Row],[CZAS]])</f>
        <v>0</v>
      </c>
      <c r="O964" s="32">
        <f>IF(Mecze[[#This Row],[PC]]=0,0,Mecze[[#This Row],[PC]]/Mecze[[#This Row],[CZAS]])</f>
        <v>0</v>
      </c>
      <c r="P964" s="32">
        <f>IF(Mecze[[#This Row],[SC]]=0,0,Mecze[[#This Row],[SC]]/Mecze[[#This Row],[CZAS]])</f>
        <v>0</v>
      </c>
      <c r="Q964" s="32">
        <f>IF(Mecze[[#This Row],[OB]]=0,0,Mecze[[#This Row],[OB]]/Mecze[[#This Row],[CZAS]])</f>
        <v>7.2916666666666671E-2</v>
      </c>
      <c r="R964" s="32">
        <f>IF(Mecze[[#This Row],[BR]]=0,0,Mecze[[#This Row],[BR]]/Mecze[[#This Row],[CZAS]])</f>
        <v>0</v>
      </c>
      <c r="S964" s="44">
        <f>IF(Mecze[[#This Row],[Role]]="BR",SUMPRODUCT(Mecze[[#This Row],[/PR:90]:[/BR:90]],Brudnopis!$E$23:$J$23),0)</f>
        <v>0.21875</v>
      </c>
      <c r="T964" s="44">
        <f>IF(Mecze[[#This Row],[Role]]&lt;&gt;"BR",SUMPRODUCT(Mecze[[#This Row],[/PR:90]:[/BR:90]],Brudnopis!$E$24:$J$24),0)</f>
        <v>0</v>
      </c>
      <c r="U964" s="44">
        <f>IF(Mecze[[#This Row],[Role]]&lt;&gt;"BR",SUMPRODUCT(Mecze[[#This Row],[/PR:90]:[/BR:90]],Brudnopis!$E$25:$J$25),0)</f>
        <v>0</v>
      </c>
      <c r="V964" s="44">
        <f>IF(Mecze[[#This Row],[Role]]&lt;&gt;"BR",SUMPRODUCT(Mecze[[#This Row],[/PR:90]:[/BR:90]],Brudnopis!$E$26:$J$26),0)</f>
        <v>0</v>
      </c>
      <c r="W964" s="44">
        <f>IF(Mecze[[#This Row],[Role]]&lt;&gt;"BR",SUMPRODUCT(Mecze[[#This Row],[/PR:90]:[/BR:90]],Brudnopis!$E$27:$J$27),0)</f>
        <v>0</v>
      </c>
      <c r="X964" s="44">
        <f>IF(Mecze[[#This Row],[Role]]&lt;&gt;"BR",SUMPRODUCT(Mecze[[#This Row],[/PR:90]:[/BR:90]],Brudnopis!$E$28:$J$28),0)</f>
        <v>0</v>
      </c>
      <c r="Y964" s="35">
        <f>IF(Mecze[[#This Row],[Role]]="BR",Mecze[[#This Row],[/OB:90]]+Mecze[[#This Row],[/PC:90]],SUM(Mecze[[#This Row],[/PR:90]:[/BR:90]]))</f>
        <v>7.2916666666666671E-2</v>
      </c>
      <c r="Z964" s="35">
        <f>IF(Mecze[[#This Row],[KC]]=0,SUM(Mecze[[#This Row],[/BRI]:[/NPI]]),SUM(Mecze[[#This Row],[/BRI]:[/NPI]])*0.6)</f>
        <v>0.21875</v>
      </c>
      <c r="AA964" s="10">
        <f>IFERROR(Mecze[[#This Row],[BR]]/Mecze[[#This Row],[ST]],0)</f>
        <v>0</v>
      </c>
      <c r="AB964">
        <f>ROUND(Mecze[[#This Row],[PD]]*Mecze[[#This Row],[%PC]],0)</f>
        <v>0</v>
      </c>
      <c r="AC964">
        <f>ROUND(Mecze[[#This Row],[OD]]*Mecze[[#This Row],[%OU]],0)</f>
        <v>0</v>
      </c>
      <c r="AD964" s="36" t="s">
        <v>40</v>
      </c>
      <c r="AE964" s="36">
        <v>54</v>
      </c>
      <c r="AF964" s="71">
        <v>0.7</v>
      </c>
      <c r="AG964" s="37">
        <v>0</v>
      </c>
      <c r="AH964" s="37">
        <v>0</v>
      </c>
      <c r="AI964" s="37">
        <v>96</v>
      </c>
      <c r="AJ964" s="37">
        <v>1</v>
      </c>
      <c r="AK964" s="37" t="str">
        <f>VLOOKUP(Mecze[[#This Row],[Match ID]],Meczusie[Mecz]:Meczusie[RodzajMeczu],2,FALSE)</f>
        <v>Towarzyski</v>
      </c>
    </row>
    <row r="965" spans="1:37" x14ac:dyDescent="0.25">
      <c r="A965" s="76">
        <v>38</v>
      </c>
      <c r="B965" s="3" t="s">
        <v>359</v>
      </c>
      <c r="C965" s="2" t="s">
        <v>157</v>
      </c>
      <c r="D965" s="1">
        <v>0</v>
      </c>
      <c r="E965" s="1">
        <v>0</v>
      </c>
      <c r="F965" s="1">
        <v>0</v>
      </c>
      <c r="G965" s="1">
        <v>14</v>
      </c>
      <c r="H965" s="4">
        <v>0.64</v>
      </c>
      <c r="I965" s="1">
        <v>5</v>
      </c>
      <c r="J965" s="4">
        <v>0.2</v>
      </c>
      <c r="K965" s="1">
        <v>0</v>
      </c>
      <c r="L965" s="1">
        <v>5</v>
      </c>
      <c r="M965" s="32">
        <f>IF(Mecze[[#This Row],[PR]]=0,0,Mecze[[#This Row],[PR]]/Mecze[[#This Row],[CZAS]])</f>
        <v>5.2083333333333336E-2</v>
      </c>
      <c r="N965" s="32">
        <f>IF(Mecze[[#This Row],[OU]]=0,0,Mecze[[#This Row],[OU]]/Mecze[[#This Row],[CZAS]])</f>
        <v>1.0416666666666666E-2</v>
      </c>
      <c r="O965" s="32">
        <f>IF(Mecze[[#This Row],[PC]]=0,0,Mecze[[#This Row],[PC]]/Mecze[[#This Row],[CZAS]])</f>
        <v>9.375E-2</v>
      </c>
      <c r="P965" s="32">
        <f>IF(Mecze[[#This Row],[SC]]=0,0,Mecze[[#This Row],[SC]]/Mecze[[#This Row],[CZAS]])</f>
        <v>0</v>
      </c>
      <c r="Q965" s="32">
        <f>IF(Mecze[[#This Row],[OB]]=0,0,Mecze[[#This Row],[OB]]/Mecze[[#This Row],[CZAS]])</f>
        <v>0</v>
      </c>
      <c r="R965" s="32">
        <f>IF(Mecze[[#This Row],[BR]]=0,0,Mecze[[#This Row],[BR]]/Mecze[[#This Row],[CZAS]])</f>
        <v>0</v>
      </c>
      <c r="S965" s="44">
        <f>IF(Mecze[[#This Row],[Role]]="BR",SUMPRODUCT(Mecze[[#This Row],[/PR:90]:[/BR:90]],Brudnopis!$E$23:$J$23),0)</f>
        <v>0</v>
      </c>
      <c r="T965" s="44">
        <f>IF(Mecze[[#This Row],[Role]]&lt;&gt;"BR",SUMPRODUCT(Mecze[[#This Row],[/PR:90]:[/BR:90]],Brudnopis!$E$24:$J$24),0)</f>
        <v>0.16145833333333334</v>
      </c>
      <c r="U965" s="44">
        <f>IF(Mecze[[#This Row],[Role]]&lt;&gt;"BR",SUMPRODUCT(Mecze[[#This Row],[/PR:90]:[/BR:90]],Brudnopis!$E$25:$J$25),0)</f>
        <v>0.203125</v>
      </c>
      <c r="V965" s="44">
        <f>IF(Mecze[[#This Row],[Role]]&lt;&gt;"BR",SUMPRODUCT(Mecze[[#This Row],[/PR:90]:[/BR:90]],Brudnopis!$E$26:$J$26),0)</f>
        <v>0.15625</v>
      </c>
      <c r="W965" s="44">
        <f>IF(Mecze[[#This Row],[Role]]&lt;&gt;"BR",SUMPRODUCT(Mecze[[#This Row],[/PR:90]:[/BR:90]],Brudnopis!$E$27:$J$27),0)</f>
        <v>0.1875</v>
      </c>
      <c r="X965" s="44">
        <f>IF(Mecze[[#This Row],[Role]]&lt;&gt;"BR",SUMPRODUCT(Mecze[[#This Row],[/PR:90]:[/BR:90]],Brudnopis!$E$28:$J$28),0)</f>
        <v>9.375E-2</v>
      </c>
      <c r="Y965" s="35">
        <f>IF(Mecze[[#This Row],[Role]]="BR",Mecze[[#This Row],[/OB:90]]+Mecze[[#This Row],[/PC:90]],SUM(Mecze[[#This Row],[/PR:90]:[/BR:90]]))</f>
        <v>0.15625</v>
      </c>
      <c r="Z965" s="35">
        <f>IF(Mecze[[#This Row],[KC]]=0,SUM(Mecze[[#This Row],[/BRI]:[/NPI]]),SUM(Mecze[[#This Row],[/BRI]:[/NPI]])*0.6)</f>
        <v>0.80208333333333337</v>
      </c>
      <c r="AA965" s="10">
        <f>IFERROR(Mecze[[#This Row],[BR]]/Mecze[[#This Row],[ST]],0)</f>
        <v>0</v>
      </c>
      <c r="AB965">
        <f>ROUND(Mecze[[#This Row],[PD]]*Mecze[[#This Row],[%PC]],0)</f>
        <v>9</v>
      </c>
      <c r="AC965">
        <f>ROUND(Mecze[[#This Row],[OD]]*Mecze[[#This Row],[%OU]],0)</f>
        <v>1</v>
      </c>
      <c r="AD965" s="36" t="s">
        <v>47</v>
      </c>
      <c r="AE965" s="36">
        <v>54</v>
      </c>
      <c r="AF965" s="71">
        <v>-1.81</v>
      </c>
      <c r="AG965" s="37">
        <v>1</v>
      </c>
      <c r="AH965" s="37">
        <v>0</v>
      </c>
      <c r="AI965" s="37">
        <v>96</v>
      </c>
      <c r="AJ965" s="37">
        <v>1</v>
      </c>
      <c r="AK965" s="37" t="str">
        <f>VLOOKUP(Mecze[[#This Row],[Match ID]],Meczusie[Mecz]:Meczusie[RodzajMeczu],2,FALSE)</f>
        <v>Towarzyski</v>
      </c>
    </row>
    <row r="966" spans="1:37" x14ac:dyDescent="0.25">
      <c r="A966" s="76">
        <v>4</v>
      </c>
      <c r="B966" s="3" t="s">
        <v>360</v>
      </c>
      <c r="C966" s="2" t="s">
        <v>157</v>
      </c>
      <c r="D966" s="1">
        <v>0</v>
      </c>
      <c r="E966" s="1">
        <v>0</v>
      </c>
      <c r="F966" s="1">
        <v>0</v>
      </c>
      <c r="G966" s="1">
        <v>5</v>
      </c>
      <c r="H966" s="4">
        <v>0.2</v>
      </c>
      <c r="I966" s="1">
        <v>5</v>
      </c>
      <c r="J966" s="4">
        <v>0.4</v>
      </c>
      <c r="K966" s="1">
        <v>0</v>
      </c>
      <c r="L966" s="1">
        <v>6</v>
      </c>
      <c r="M966" s="32">
        <f>IF(Mecze[[#This Row],[PR]]=0,0,Mecze[[#This Row],[PR]]/Mecze[[#This Row],[CZAS]])</f>
        <v>6.25E-2</v>
      </c>
      <c r="N966" s="32">
        <f>IF(Mecze[[#This Row],[OU]]=0,0,Mecze[[#This Row],[OU]]/Mecze[[#This Row],[CZAS]])</f>
        <v>2.0833333333333332E-2</v>
      </c>
      <c r="O966" s="32">
        <f>IF(Mecze[[#This Row],[PC]]=0,0,Mecze[[#This Row],[PC]]/Mecze[[#This Row],[CZAS]])</f>
        <v>1.0416666666666666E-2</v>
      </c>
      <c r="P966" s="32">
        <f>IF(Mecze[[#This Row],[SC]]=0,0,Mecze[[#This Row],[SC]]/Mecze[[#This Row],[CZAS]])</f>
        <v>0</v>
      </c>
      <c r="Q966" s="32">
        <f>IF(Mecze[[#This Row],[OB]]=0,0,Mecze[[#This Row],[OB]]/Mecze[[#This Row],[CZAS]])</f>
        <v>0</v>
      </c>
      <c r="R966" s="32">
        <f>IF(Mecze[[#This Row],[BR]]=0,0,Mecze[[#This Row],[BR]]/Mecze[[#This Row],[CZAS]])</f>
        <v>0</v>
      </c>
      <c r="S966" s="44">
        <f>IF(Mecze[[#This Row],[Role]]="BR",SUMPRODUCT(Mecze[[#This Row],[/PR:90]:[/BR:90]],Brudnopis!$E$23:$J$23),0)</f>
        <v>0</v>
      </c>
      <c r="T966" s="44">
        <f>IF(Mecze[[#This Row],[Role]]&lt;&gt;"BR",SUMPRODUCT(Mecze[[#This Row],[/PR:90]:[/BR:90]],Brudnopis!$E$24:$J$24),0)</f>
        <v>0.10416666666666667</v>
      </c>
      <c r="U966" s="44">
        <f>IF(Mecze[[#This Row],[Role]]&lt;&gt;"BR",SUMPRODUCT(Mecze[[#This Row],[/PR:90]:[/BR:90]],Brudnopis!$E$25:$J$25),0)</f>
        <v>9.8958333333333329E-2</v>
      </c>
      <c r="V966" s="44">
        <f>IF(Mecze[[#This Row],[Role]]&lt;&gt;"BR",SUMPRODUCT(Mecze[[#This Row],[/PR:90]:[/BR:90]],Brudnopis!$E$26:$J$26),0)</f>
        <v>9.375E-2</v>
      </c>
      <c r="W966" s="44">
        <f>IF(Mecze[[#This Row],[Role]]&lt;&gt;"BR",SUMPRODUCT(Mecze[[#This Row],[/PR:90]:[/BR:90]],Brudnopis!$E$27:$J$27),0)</f>
        <v>7.8125E-2</v>
      </c>
      <c r="X966" s="44">
        <f>IF(Mecze[[#This Row],[Role]]&lt;&gt;"BR",SUMPRODUCT(Mecze[[#This Row],[/PR:90]:[/BR:90]],Brudnopis!$E$28:$J$28),0)</f>
        <v>1.0416666666666666E-2</v>
      </c>
      <c r="Y966" s="35">
        <f>IF(Mecze[[#This Row],[Role]]="BR",Mecze[[#This Row],[/OB:90]]+Mecze[[#This Row],[/PC:90]],SUM(Mecze[[#This Row],[/PR:90]:[/BR:90]]))</f>
        <v>9.375E-2</v>
      </c>
      <c r="Z966" s="35">
        <f>IF(Mecze[[#This Row],[KC]]=0,SUM(Mecze[[#This Row],[/BRI]:[/NPI]]),SUM(Mecze[[#This Row],[/BRI]:[/NPI]])*0.6)</f>
        <v>0.38541666666666669</v>
      </c>
      <c r="AA966" s="10">
        <f>IFERROR(Mecze[[#This Row],[BR]]/Mecze[[#This Row],[ST]],0)</f>
        <v>0</v>
      </c>
      <c r="AB966">
        <f>ROUND(Mecze[[#This Row],[PD]]*Mecze[[#This Row],[%PC]],0)</f>
        <v>1</v>
      </c>
      <c r="AC966">
        <f>ROUND(Mecze[[#This Row],[OD]]*Mecze[[#This Row],[%OU]],0)</f>
        <v>2</v>
      </c>
      <c r="AD966" s="36" t="s">
        <v>168</v>
      </c>
      <c r="AE966" s="36">
        <v>54</v>
      </c>
      <c r="AF966" s="71">
        <v>-0.49</v>
      </c>
      <c r="AG966" s="37">
        <v>0</v>
      </c>
      <c r="AH966" s="37">
        <v>0</v>
      </c>
      <c r="AI966" s="37">
        <v>96</v>
      </c>
      <c r="AJ966" s="37">
        <v>1</v>
      </c>
      <c r="AK966" s="37" t="str">
        <f>VLOOKUP(Mecze[[#This Row],[Match ID]],Meczusie[Mecz]:Meczusie[RodzajMeczu],2,FALSE)</f>
        <v>Towarzyski</v>
      </c>
    </row>
    <row r="967" spans="1:37" x14ac:dyDescent="0.25">
      <c r="A967" s="76">
        <v>42</v>
      </c>
      <c r="B967" s="3" t="s">
        <v>361</v>
      </c>
      <c r="C967" s="2" t="s">
        <v>157</v>
      </c>
      <c r="D967" s="1">
        <v>0</v>
      </c>
      <c r="E967" s="1">
        <v>0</v>
      </c>
      <c r="F967" s="1">
        <v>0</v>
      </c>
      <c r="G967" s="1">
        <v>8</v>
      </c>
      <c r="H967" s="4">
        <v>0.38</v>
      </c>
      <c r="I967" s="1">
        <v>7</v>
      </c>
      <c r="J967" s="4">
        <v>0.28999999999999998</v>
      </c>
      <c r="K967" s="1">
        <v>0</v>
      </c>
      <c r="L967" s="1">
        <v>11</v>
      </c>
      <c r="M967" s="32">
        <f>IF(Mecze[[#This Row],[PR]]=0,0,Mecze[[#This Row],[PR]]/Mecze[[#This Row],[CZAS]])</f>
        <v>0.11458333333333333</v>
      </c>
      <c r="N967" s="32">
        <f>IF(Mecze[[#This Row],[OU]]=0,0,Mecze[[#This Row],[OU]]/Mecze[[#This Row],[CZAS]])</f>
        <v>2.0833333333333332E-2</v>
      </c>
      <c r="O967" s="32">
        <f>IF(Mecze[[#This Row],[PC]]=0,0,Mecze[[#This Row],[PC]]/Mecze[[#This Row],[CZAS]])</f>
        <v>3.125E-2</v>
      </c>
      <c r="P967" s="32">
        <f>IF(Mecze[[#This Row],[SC]]=0,0,Mecze[[#This Row],[SC]]/Mecze[[#This Row],[CZAS]])</f>
        <v>0</v>
      </c>
      <c r="Q967" s="32">
        <f>IF(Mecze[[#This Row],[OB]]=0,0,Mecze[[#This Row],[OB]]/Mecze[[#This Row],[CZAS]])</f>
        <v>0</v>
      </c>
      <c r="R967" s="32">
        <f>IF(Mecze[[#This Row],[BR]]=0,0,Mecze[[#This Row],[BR]]/Mecze[[#This Row],[CZAS]])</f>
        <v>0</v>
      </c>
      <c r="S967" s="44">
        <f>IF(Mecze[[#This Row],[Role]]="BR",SUMPRODUCT(Mecze[[#This Row],[/PR:90]:[/BR:90]],Brudnopis!$E$23:$J$23),0)</f>
        <v>0</v>
      </c>
      <c r="T967" s="44">
        <f>IF(Mecze[[#This Row],[Role]]&lt;&gt;"BR",SUMPRODUCT(Mecze[[#This Row],[/PR:90]:[/BR:90]],Brudnopis!$E$24:$J$24),0)</f>
        <v>0.17708333333333331</v>
      </c>
      <c r="U967" s="44">
        <f>IF(Mecze[[#This Row],[Role]]&lt;&gt;"BR",SUMPRODUCT(Mecze[[#This Row],[/PR:90]:[/BR:90]],Brudnopis!$E$25:$J$25),0)</f>
        <v>0.18229166666666666</v>
      </c>
      <c r="V967" s="44">
        <f>IF(Mecze[[#This Row],[Role]]&lt;&gt;"BR",SUMPRODUCT(Mecze[[#This Row],[/PR:90]:[/BR:90]],Brudnopis!$E$26:$J$26),0)</f>
        <v>0.16666666666666666</v>
      </c>
      <c r="W967" s="44">
        <f>IF(Mecze[[#This Row],[Role]]&lt;&gt;"BR",SUMPRODUCT(Mecze[[#This Row],[/PR:90]:[/BR:90]],Brudnopis!$E$27:$J$27),0)</f>
        <v>0.1484375</v>
      </c>
      <c r="X967" s="44">
        <f>IF(Mecze[[#This Row],[Role]]&lt;&gt;"BR",SUMPRODUCT(Mecze[[#This Row],[/PR:90]:[/BR:90]],Brudnopis!$E$28:$J$28),0)</f>
        <v>3.125E-2</v>
      </c>
      <c r="Y967" s="35">
        <f>IF(Mecze[[#This Row],[Role]]="BR",Mecze[[#This Row],[/OB:90]]+Mecze[[#This Row],[/PC:90]],SUM(Mecze[[#This Row],[/PR:90]:[/BR:90]]))</f>
        <v>0.16666666666666666</v>
      </c>
      <c r="Z967" s="35">
        <f>IF(Mecze[[#This Row],[KC]]=0,SUM(Mecze[[#This Row],[/BRI]:[/NPI]]),SUM(Mecze[[#This Row],[/BRI]:[/NPI]])*0.6)</f>
        <v>0.70572916666666663</v>
      </c>
      <c r="AA967" s="10">
        <f>IFERROR(Mecze[[#This Row],[BR]]/Mecze[[#This Row],[ST]],0)</f>
        <v>0</v>
      </c>
      <c r="AB967">
        <f>ROUND(Mecze[[#This Row],[PD]]*Mecze[[#This Row],[%PC]],0)</f>
        <v>3</v>
      </c>
      <c r="AC967">
        <f>ROUND(Mecze[[#This Row],[OD]]*Mecze[[#This Row],[%OU]],0)</f>
        <v>2</v>
      </c>
      <c r="AD967" s="36" t="s">
        <v>167</v>
      </c>
      <c r="AE967" s="36">
        <v>54</v>
      </c>
      <c r="AF967" s="71">
        <v>-0.55000000000000004</v>
      </c>
      <c r="AG967" s="37">
        <v>1</v>
      </c>
      <c r="AH967" s="37">
        <v>0</v>
      </c>
      <c r="AI967" s="37">
        <v>96</v>
      </c>
      <c r="AJ967" s="37">
        <v>1</v>
      </c>
      <c r="AK967" s="37" t="str">
        <f>VLOOKUP(Mecze[[#This Row],[Match ID]],Meczusie[Mecz]:Meczusie[RodzajMeczu],2,FALSE)</f>
        <v>Towarzyski</v>
      </c>
    </row>
    <row r="968" spans="1:37" x14ac:dyDescent="0.25">
      <c r="A968" s="76">
        <v>33</v>
      </c>
      <c r="B968" s="3" t="s">
        <v>362</v>
      </c>
      <c r="C968" s="2" t="s">
        <v>160</v>
      </c>
      <c r="D968" s="1">
        <v>0</v>
      </c>
      <c r="E968" s="1">
        <v>0</v>
      </c>
      <c r="F968" s="1">
        <v>0</v>
      </c>
      <c r="G968" s="1">
        <v>12</v>
      </c>
      <c r="H968" s="4">
        <v>0.5</v>
      </c>
      <c r="I968" s="1">
        <v>11</v>
      </c>
      <c r="J968" s="4">
        <v>0.36</v>
      </c>
      <c r="K968" s="1">
        <v>0</v>
      </c>
      <c r="L968" s="1">
        <v>2</v>
      </c>
      <c r="M968" s="32">
        <f>IF(Mecze[[#This Row],[PR]]=0,0,Mecze[[#This Row],[PR]]/Mecze[[#This Row],[CZAS]])</f>
        <v>2.0833333333333332E-2</v>
      </c>
      <c r="N968" s="32">
        <f>IF(Mecze[[#This Row],[OU]]=0,0,Mecze[[#This Row],[OU]]/Mecze[[#This Row],[CZAS]])</f>
        <v>4.1666666666666664E-2</v>
      </c>
      <c r="O968" s="32">
        <f>IF(Mecze[[#This Row],[PC]]=0,0,Mecze[[#This Row],[PC]]/Mecze[[#This Row],[CZAS]])</f>
        <v>6.25E-2</v>
      </c>
      <c r="P968" s="32">
        <f>IF(Mecze[[#This Row],[SC]]=0,0,Mecze[[#This Row],[SC]]/Mecze[[#This Row],[CZAS]])</f>
        <v>0</v>
      </c>
      <c r="Q968" s="32">
        <f>IF(Mecze[[#This Row],[OB]]=0,0,Mecze[[#This Row],[OB]]/Mecze[[#This Row],[CZAS]])</f>
        <v>0</v>
      </c>
      <c r="R968" s="32">
        <f>IF(Mecze[[#This Row],[BR]]=0,0,Mecze[[#This Row],[BR]]/Mecze[[#This Row],[CZAS]])</f>
        <v>0</v>
      </c>
      <c r="S968" s="44">
        <f>IF(Mecze[[#This Row],[Role]]="BR",SUMPRODUCT(Mecze[[#This Row],[/PR:90]:[/BR:90]],Brudnopis!$E$23:$J$23),0)</f>
        <v>0</v>
      </c>
      <c r="T968" s="44">
        <f>IF(Mecze[[#This Row],[Role]]&lt;&gt;"BR",SUMPRODUCT(Mecze[[#This Row],[/PR:90]:[/BR:90]],Brudnopis!$E$24:$J$24),0)</f>
        <v>0.14583333333333331</v>
      </c>
      <c r="U968" s="44">
        <f>IF(Mecze[[#This Row],[Role]]&lt;&gt;"BR",SUMPRODUCT(Mecze[[#This Row],[/PR:90]:[/BR:90]],Brudnopis!$E$25:$J$25),0)</f>
        <v>0.15625</v>
      </c>
      <c r="V968" s="44">
        <f>IF(Mecze[[#This Row],[Role]]&lt;&gt;"BR",SUMPRODUCT(Mecze[[#This Row],[/PR:90]:[/BR:90]],Brudnopis!$E$26:$J$26),0)</f>
        <v>0.125</v>
      </c>
      <c r="W968" s="44">
        <f>IF(Mecze[[#This Row],[Role]]&lt;&gt;"BR",SUMPRODUCT(Mecze[[#This Row],[/PR:90]:[/BR:90]],Brudnopis!$E$27:$J$27),0)</f>
        <v>0.140625</v>
      </c>
      <c r="X968" s="44">
        <f>IF(Mecze[[#This Row],[Role]]&lt;&gt;"BR",SUMPRODUCT(Mecze[[#This Row],[/PR:90]:[/BR:90]],Brudnopis!$E$28:$J$28),0)</f>
        <v>6.25E-2</v>
      </c>
      <c r="Y968" s="35">
        <f>IF(Mecze[[#This Row],[Role]]="BR",Mecze[[#This Row],[/OB:90]]+Mecze[[#This Row],[/PC:90]],SUM(Mecze[[#This Row],[/PR:90]:[/BR:90]]))</f>
        <v>0.125</v>
      </c>
      <c r="Z968" s="35">
        <f>IF(Mecze[[#This Row],[KC]]=0,SUM(Mecze[[#This Row],[/BRI]:[/NPI]]),SUM(Mecze[[#This Row],[/BRI]:[/NPI]])*0.6)</f>
        <v>0.63020833333333326</v>
      </c>
      <c r="AA968" s="10">
        <f>IFERROR(Mecze[[#This Row],[BR]]/Mecze[[#This Row],[ST]],0)</f>
        <v>0</v>
      </c>
      <c r="AB968">
        <f>ROUND(Mecze[[#This Row],[PD]]*Mecze[[#This Row],[%PC]],0)</f>
        <v>6</v>
      </c>
      <c r="AC968">
        <f>ROUND(Mecze[[#This Row],[OD]]*Mecze[[#This Row],[%OU]],0)</f>
        <v>4</v>
      </c>
      <c r="AD968" s="36" t="s">
        <v>41</v>
      </c>
      <c r="AE968" s="36">
        <v>54</v>
      </c>
      <c r="AF968" s="71">
        <v>4.33</v>
      </c>
      <c r="AG968" s="37">
        <v>0</v>
      </c>
      <c r="AH968" s="37">
        <v>0</v>
      </c>
      <c r="AI968" s="37">
        <v>96</v>
      </c>
      <c r="AJ968" s="37">
        <v>1</v>
      </c>
      <c r="AK968" s="37" t="str">
        <f>VLOOKUP(Mecze[[#This Row],[Match ID]],Meczusie[Mecz]:Meczusie[RodzajMeczu],2,FALSE)</f>
        <v>Towarzyski</v>
      </c>
    </row>
    <row r="969" spans="1:37" x14ac:dyDescent="0.25">
      <c r="A969" s="76">
        <v>22</v>
      </c>
      <c r="B969" s="3" t="s">
        <v>363</v>
      </c>
      <c r="C969" s="2" t="s">
        <v>160</v>
      </c>
      <c r="D969" s="1">
        <v>0</v>
      </c>
      <c r="E969" s="1">
        <v>0</v>
      </c>
      <c r="F969" s="1">
        <v>0</v>
      </c>
      <c r="G969" s="1">
        <v>10</v>
      </c>
      <c r="H969" s="4">
        <v>0.5</v>
      </c>
      <c r="I969" s="1">
        <v>13</v>
      </c>
      <c r="J969" s="4">
        <v>0.08</v>
      </c>
      <c r="K969" s="1">
        <v>0</v>
      </c>
      <c r="L969" s="1">
        <v>4</v>
      </c>
      <c r="M969" s="32">
        <f>IF(Mecze[[#This Row],[PR]]=0,0,Mecze[[#This Row],[PR]]/Mecze[[#This Row],[CZAS]])</f>
        <v>4.1666666666666664E-2</v>
      </c>
      <c r="N969" s="32">
        <f>IF(Mecze[[#This Row],[OU]]=0,0,Mecze[[#This Row],[OU]]/Mecze[[#This Row],[CZAS]])</f>
        <v>1.0416666666666666E-2</v>
      </c>
      <c r="O969" s="32">
        <f>IF(Mecze[[#This Row],[PC]]=0,0,Mecze[[#This Row],[PC]]/Mecze[[#This Row],[CZAS]])</f>
        <v>5.2083333333333336E-2</v>
      </c>
      <c r="P969" s="32">
        <f>IF(Mecze[[#This Row],[SC]]=0,0,Mecze[[#This Row],[SC]]/Mecze[[#This Row],[CZAS]])</f>
        <v>0</v>
      </c>
      <c r="Q969" s="32">
        <f>IF(Mecze[[#This Row],[OB]]=0,0,Mecze[[#This Row],[OB]]/Mecze[[#This Row],[CZAS]])</f>
        <v>0</v>
      </c>
      <c r="R969" s="32">
        <f>IF(Mecze[[#This Row],[BR]]=0,0,Mecze[[#This Row],[BR]]/Mecze[[#This Row],[CZAS]])</f>
        <v>0</v>
      </c>
      <c r="S969" s="44">
        <f>IF(Mecze[[#This Row],[Role]]="BR",SUMPRODUCT(Mecze[[#This Row],[/PR:90]:[/BR:90]],Brudnopis!$E$23:$J$23),0)</f>
        <v>0</v>
      </c>
      <c r="T969" s="44">
        <f>IF(Mecze[[#This Row],[Role]]&lt;&gt;"BR",SUMPRODUCT(Mecze[[#This Row],[/PR:90]:[/BR:90]],Brudnopis!$E$24:$J$24),0)</f>
        <v>0.109375</v>
      </c>
      <c r="U969" s="44">
        <f>IF(Mecze[[#This Row],[Role]]&lt;&gt;"BR",SUMPRODUCT(Mecze[[#This Row],[/PR:90]:[/BR:90]],Brudnopis!$E$25:$J$25),0)</f>
        <v>0.13020833333333331</v>
      </c>
      <c r="V969" s="44">
        <f>IF(Mecze[[#This Row],[Role]]&lt;&gt;"BR",SUMPRODUCT(Mecze[[#This Row],[/PR:90]:[/BR:90]],Brudnopis!$E$26:$J$26),0)</f>
        <v>0.10416666666666666</v>
      </c>
      <c r="W969" s="44">
        <f>IF(Mecze[[#This Row],[Role]]&lt;&gt;"BR",SUMPRODUCT(Mecze[[#This Row],[/PR:90]:[/BR:90]],Brudnopis!$E$27:$J$27),0)</f>
        <v>0.1171875</v>
      </c>
      <c r="X969" s="44">
        <f>IF(Mecze[[#This Row],[Role]]&lt;&gt;"BR",SUMPRODUCT(Mecze[[#This Row],[/PR:90]:[/BR:90]],Brudnopis!$E$28:$J$28),0)</f>
        <v>5.2083333333333336E-2</v>
      </c>
      <c r="Y969" s="35">
        <f>IF(Mecze[[#This Row],[Role]]="BR",Mecze[[#This Row],[/OB:90]]+Mecze[[#This Row],[/PC:90]],SUM(Mecze[[#This Row],[/PR:90]:[/BR:90]]))</f>
        <v>0.10416666666666666</v>
      </c>
      <c r="Z969" s="35">
        <f>IF(Mecze[[#This Row],[KC]]=0,SUM(Mecze[[#This Row],[/BRI]:[/NPI]]),SUM(Mecze[[#This Row],[/BRI]:[/NPI]])*0.6)</f>
        <v>0.51302083333333337</v>
      </c>
      <c r="AA969" s="10">
        <f>IFERROR(Mecze[[#This Row],[BR]]/Mecze[[#This Row],[ST]],0)</f>
        <v>0</v>
      </c>
      <c r="AB969">
        <f>ROUND(Mecze[[#This Row],[PD]]*Mecze[[#This Row],[%PC]],0)</f>
        <v>5</v>
      </c>
      <c r="AC969">
        <f>ROUND(Mecze[[#This Row],[OD]]*Mecze[[#This Row],[%OU]],0)</f>
        <v>1</v>
      </c>
      <c r="AD969" s="36" t="s">
        <v>41</v>
      </c>
      <c r="AE969" s="36">
        <v>54</v>
      </c>
      <c r="AF969" s="71">
        <v>4.75</v>
      </c>
      <c r="AG969" s="37">
        <v>0</v>
      </c>
      <c r="AH969" s="37">
        <v>0</v>
      </c>
      <c r="AI969" s="37">
        <v>96</v>
      </c>
      <c r="AJ969" s="37">
        <v>1</v>
      </c>
      <c r="AK969" s="37" t="str">
        <f>VLOOKUP(Mecze[[#This Row],[Match ID]],Meczusie[Mecz]:Meczusie[RodzajMeczu],2,FALSE)</f>
        <v>Towarzyski</v>
      </c>
    </row>
    <row r="970" spans="1:37" x14ac:dyDescent="0.25">
      <c r="A970" s="76">
        <v>27</v>
      </c>
      <c r="B970" s="3" t="s">
        <v>364</v>
      </c>
      <c r="C970" s="2" t="s">
        <v>160</v>
      </c>
      <c r="D970" s="1">
        <v>0</v>
      </c>
      <c r="E970" s="1">
        <v>0</v>
      </c>
      <c r="F970" s="1">
        <v>0</v>
      </c>
      <c r="G970" s="1">
        <v>3</v>
      </c>
      <c r="H970" s="4">
        <v>0.67</v>
      </c>
      <c r="I970" s="1">
        <v>2</v>
      </c>
      <c r="J970" s="4">
        <v>0</v>
      </c>
      <c r="K970" s="1">
        <v>0</v>
      </c>
      <c r="L970" s="1">
        <v>3</v>
      </c>
      <c r="M970" s="32">
        <f>IF(Mecze[[#This Row],[PR]]=0,0,Mecze[[#This Row],[PR]]/Mecze[[#This Row],[CZAS]])</f>
        <v>3.125E-2</v>
      </c>
      <c r="N970" s="32">
        <f>IF(Mecze[[#This Row],[OU]]=0,0,Mecze[[#This Row],[OU]]/Mecze[[#This Row],[CZAS]])</f>
        <v>0</v>
      </c>
      <c r="O970" s="32">
        <f>IF(Mecze[[#This Row],[PC]]=0,0,Mecze[[#This Row],[PC]]/Mecze[[#This Row],[CZAS]])</f>
        <v>2.0833333333333332E-2</v>
      </c>
      <c r="P970" s="32">
        <f>IF(Mecze[[#This Row],[SC]]=0,0,Mecze[[#This Row],[SC]]/Mecze[[#This Row],[CZAS]])</f>
        <v>0</v>
      </c>
      <c r="Q970" s="32">
        <f>IF(Mecze[[#This Row],[OB]]=0,0,Mecze[[#This Row],[OB]]/Mecze[[#This Row],[CZAS]])</f>
        <v>0</v>
      </c>
      <c r="R970" s="32">
        <f>IF(Mecze[[#This Row],[BR]]=0,0,Mecze[[#This Row],[BR]]/Mecze[[#This Row],[CZAS]])</f>
        <v>0</v>
      </c>
      <c r="S970" s="44">
        <f>IF(Mecze[[#This Row],[Role]]="BR",SUMPRODUCT(Mecze[[#This Row],[/PR:90]:[/BR:90]],Brudnopis!$E$23:$J$23),0)</f>
        <v>0</v>
      </c>
      <c r="T970" s="44">
        <f>IF(Mecze[[#This Row],[Role]]&lt;&gt;"BR",SUMPRODUCT(Mecze[[#This Row],[/PR:90]:[/BR:90]],Brudnopis!$E$24:$J$24),0)</f>
        <v>5.2083333333333329E-2</v>
      </c>
      <c r="U970" s="44">
        <f>IF(Mecze[[#This Row],[Role]]&lt;&gt;"BR",SUMPRODUCT(Mecze[[#This Row],[/PR:90]:[/BR:90]],Brudnopis!$E$25:$J$25),0)</f>
        <v>6.25E-2</v>
      </c>
      <c r="V970" s="44">
        <f>IF(Mecze[[#This Row],[Role]]&lt;&gt;"BR",SUMPRODUCT(Mecze[[#This Row],[/PR:90]:[/BR:90]],Brudnopis!$E$26:$J$26),0)</f>
        <v>5.2083333333333329E-2</v>
      </c>
      <c r="W970" s="44">
        <f>IF(Mecze[[#This Row],[Role]]&lt;&gt;"BR",SUMPRODUCT(Mecze[[#This Row],[/PR:90]:[/BR:90]],Brudnopis!$E$27:$J$27),0)</f>
        <v>5.46875E-2</v>
      </c>
      <c r="X970" s="44">
        <f>IF(Mecze[[#This Row],[Role]]&lt;&gt;"BR",SUMPRODUCT(Mecze[[#This Row],[/PR:90]:[/BR:90]],Brudnopis!$E$28:$J$28),0)</f>
        <v>2.0833333333333332E-2</v>
      </c>
      <c r="Y970" s="35">
        <f>IF(Mecze[[#This Row],[Role]]="BR",Mecze[[#This Row],[/OB:90]]+Mecze[[#This Row],[/PC:90]],SUM(Mecze[[#This Row],[/PR:90]:[/BR:90]]))</f>
        <v>5.2083333333333329E-2</v>
      </c>
      <c r="Z970" s="35">
        <f>IF(Mecze[[#This Row],[KC]]=0,SUM(Mecze[[#This Row],[/BRI]:[/NPI]]),SUM(Mecze[[#This Row],[/BRI]:[/NPI]])*0.6)</f>
        <v>0.2421875</v>
      </c>
      <c r="AA970" s="10">
        <f>IFERROR(Mecze[[#This Row],[BR]]/Mecze[[#This Row],[ST]],0)</f>
        <v>0</v>
      </c>
      <c r="AB970">
        <f>ROUND(Mecze[[#This Row],[PD]]*Mecze[[#This Row],[%PC]],0)</f>
        <v>2</v>
      </c>
      <c r="AC970">
        <f>ROUND(Mecze[[#This Row],[OD]]*Mecze[[#This Row],[%OU]],0)</f>
        <v>0</v>
      </c>
      <c r="AD970" s="36" t="s">
        <v>44</v>
      </c>
      <c r="AE970" s="36">
        <v>54</v>
      </c>
      <c r="AF970" s="71">
        <v>3.33</v>
      </c>
      <c r="AG970" s="37">
        <v>0</v>
      </c>
      <c r="AH970" s="37">
        <v>0</v>
      </c>
      <c r="AI970" s="37">
        <v>96</v>
      </c>
      <c r="AJ970" s="37">
        <v>1</v>
      </c>
      <c r="AK970" s="37" t="str">
        <f>VLOOKUP(Mecze[[#This Row],[Match ID]],Meczusie[Mecz]:Meczusie[RodzajMeczu],2,FALSE)</f>
        <v>Towarzyski</v>
      </c>
    </row>
    <row r="971" spans="1:37" x14ac:dyDescent="0.25">
      <c r="A971" s="76">
        <v>28</v>
      </c>
      <c r="B971" s="3" t="s">
        <v>419</v>
      </c>
      <c r="C971" s="2" t="s">
        <v>160</v>
      </c>
      <c r="D971" s="1">
        <v>0</v>
      </c>
      <c r="E971" s="1">
        <v>0</v>
      </c>
      <c r="F971" s="1">
        <v>0</v>
      </c>
      <c r="G971" s="1">
        <v>2</v>
      </c>
      <c r="H971" s="4">
        <v>0.5</v>
      </c>
      <c r="I971" s="1">
        <v>0</v>
      </c>
      <c r="J971" s="4"/>
      <c r="K971" s="1">
        <v>0</v>
      </c>
      <c r="L971" s="1">
        <v>4</v>
      </c>
      <c r="M971" s="32">
        <f>IF(Mecze[[#This Row],[PR]]=0,0,Mecze[[#This Row],[PR]]/Mecze[[#This Row],[CZAS]])</f>
        <v>4.1666666666666664E-2</v>
      </c>
      <c r="N971" s="32">
        <f>IF(Mecze[[#This Row],[OU]]=0,0,Mecze[[#This Row],[OU]]/Mecze[[#This Row],[CZAS]])</f>
        <v>0</v>
      </c>
      <c r="O971" s="32">
        <f>IF(Mecze[[#This Row],[PC]]=0,0,Mecze[[#This Row],[PC]]/Mecze[[#This Row],[CZAS]])</f>
        <v>1.0416666666666666E-2</v>
      </c>
      <c r="P971" s="32">
        <f>IF(Mecze[[#This Row],[SC]]=0,0,Mecze[[#This Row],[SC]]/Mecze[[#This Row],[CZAS]])</f>
        <v>0</v>
      </c>
      <c r="Q971" s="32">
        <f>IF(Mecze[[#This Row],[OB]]=0,0,Mecze[[#This Row],[OB]]/Mecze[[#This Row],[CZAS]])</f>
        <v>0</v>
      </c>
      <c r="R971" s="32">
        <f>IF(Mecze[[#This Row],[BR]]=0,0,Mecze[[#This Row],[BR]]/Mecze[[#This Row],[CZAS]])</f>
        <v>0</v>
      </c>
      <c r="S971" s="44">
        <f>IF(Mecze[[#This Row],[Role]]="BR",SUMPRODUCT(Mecze[[#This Row],[/PR:90]:[/BR:90]],Brudnopis!$E$23:$J$23),0)</f>
        <v>0</v>
      </c>
      <c r="T971" s="44">
        <f>IF(Mecze[[#This Row],[Role]]&lt;&gt;"BR",SUMPRODUCT(Mecze[[#This Row],[/PR:90]:[/BR:90]],Brudnopis!$E$24:$J$24),0)</f>
        <v>5.2083333333333329E-2</v>
      </c>
      <c r="U971" s="44">
        <f>IF(Mecze[[#This Row],[Role]]&lt;&gt;"BR",SUMPRODUCT(Mecze[[#This Row],[/PR:90]:[/BR:90]],Brudnopis!$E$25:$J$25),0)</f>
        <v>5.7291666666666664E-2</v>
      </c>
      <c r="V971" s="44">
        <f>IF(Mecze[[#This Row],[Role]]&lt;&gt;"BR",SUMPRODUCT(Mecze[[#This Row],[/PR:90]:[/BR:90]],Brudnopis!$E$26:$J$26),0)</f>
        <v>5.2083333333333329E-2</v>
      </c>
      <c r="W971" s="44">
        <f>IF(Mecze[[#This Row],[Role]]&lt;&gt;"BR",SUMPRODUCT(Mecze[[#This Row],[/PR:90]:[/BR:90]],Brudnopis!$E$27:$J$27),0)</f>
        <v>4.6875E-2</v>
      </c>
      <c r="X971" s="44">
        <f>IF(Mecze[[#This Row],[Role]]&lt;&gt;"BR",SUMPRODUCT(Mecze[[#This Row],[/PR:90]:[/BR:90]],Brudnopis!$E$28:$J$28),0)</f>
        <v>1.0416666666666666E-2</v>
      </c>
      <c r="Y971" s="35">
        <f>IF(Mecze[[#This Row],[Role]]="BR",Mecze[[#This Row],[/OB:90]]+Mecze[[#This Row],[/PC:90]],SUM(Mecze[[#This Row],[/PR:90]:[/BR:90]]))</f>
        <v>5.2083333333333329E-2</v>
      </c>
      <c r="Z971" s="35">
        <f>IF(Mecze[[#This Row],[KC]]=0,SUM(Mecze[[#This Row],[/BRI]:[/NPI]]),SUM(Mecze[[#This Row],[/BRI]:[/NPI]])*0.6)</f>
        <v>0.21874999999999997</v>
      </c>
      <c r="AA971" s="10">
        <f>IFERROR(Mecze[[#This Row],[BR]]/Mecze[[#This Row],[ST]],0)</f>
        <v>0</v>
      </c>
      <c r="AB971">
        <f>ROUND(Mecze[[#This Row],[PD]]*Mecze[[#This Row],[%PC]],0)</f>
        <v>1</v>
      </c>
      <c r="AC971">
        <f>ROUND(Mecze[[#This Row],[OD]]*Mecze[[#This Row],[%OU]],0)</f>
        <v>0</v>
      </c>
      <c r="AD971" s="36" t="s">
        <v>44</v>
      </c>
      <c r="AE971" s="36">
        <v>54</v>
      </c>
      <c r="AF971" s="71">
        <v>3.54</v>
      </c>
      <c r="AG971" s="37">
        <v>0</v>
      </c>
      <c r="AH971" s="37">
        <v>0</v>
      </c>
      <c r="AI971" s="37">
        <v>96</v>
      </c>
      <c r="AJ971" s="37">
        <v>1</v>
      </c>
      <c r="AK971" s="37" t="str">
        <f>VLOOKUP(Mecze[[#This Row],[Match ID]],Meczusie[Mecz]:Meczusie[RodzajMeczu],2,FALSE)</f>
        <v>Towarzyski</v>
      </c>
    </row>
    <row r="972" spans="1:37" x14ac:dyDescent="0.25">
      <c r="A972" s="76">
        <v>53</v>
      </c>
      <c r="B972" s="3" t="s">
        <v>415</v>
      </c>
      <c r="C972" s="2" t="s">
        <v>165</v>
      </c>
      <c r="D972" s="1">
        <v>0</v>
      </c>
      <c r="E972" s="1">
        <v>0</v>
      </c>
      <c r="F972" s="1">
        <v>0</v>
      </c>
      <c r="G972" s="1">
        <v>2</v>
      </c>
      <c r="H972" s="4">
        <v>0</v>
      </c>
      <c r="I972" s="1">
        <v>4</v>
      </c>
      <c r="J972" s="4">
        <v>0.25</v>
      </c>
      <c r="K972" s="1">
        <v>0</v>
      </c>
      <c r="L972" s="1">
        <v>0</v>
      </c>
      <c r="M972" s="32">
        <f>IF(Mecze[[#This Row],[PR]]=0,0,Mecze[[#This Row],[PR]]/Mecze[[#This Row],[CZAS]])</f>
        <v>0</v>
      </c>
      <c r="N972" s="32">
        <f>IF(Mecze[[#This Row],[OU]]=0,0,Mecze[[#This Row],[OU]]/Mecze[[#This Row],[CZAS]])</f>
        <v>1.0416666666666666E-2</v>
      </c>
      <c r="O972" s="32">
        <f>IF(Mecze[[#This Row],[PC]]=0,0,Mecze[[#This Row],[PC]]/Mecze[[#This Row],[CZAS]])</f>
        <v>0</v>
      </c>
      <c r="P972" s="32">
        <f>IF(Mecze[[#This Row],[SC]]=0,0,Mecze[[#This Row],[SC]]/Mecze[[#This Row],[CZAS]])</f>
        <v>0</v>
      </c>
      <c r="Q972" s="32">
        <f>IF(Mecze[[#This Row],[OB]]=0,0,Mecze[[#This Row],[OB]]/Mecze[[#This Row],[CZAS]])</f>
        <v>0</v>
      </c>
      <c r="R972" s="32">
        <f>IF(Mecze[[#This Row],[BR]]=0,0,Mecze[[#This Row],[BR]]/Mecze[[#This Row],[CZAS]])</f>
        <v>0</v>
      </c>
      <c r="S972" s="44">
        <f>IF(Mecze[[#This Row],[Role]]="BR",SUMPRODUCT(Mecze[[#This Row],[/PR:90]:[/BR:90]],Brudnopis!$E$23:$J$23),0)</f>
        <v>0</v>
      </c>
      <c r="T972" s="44">
        <f>IF(Mecze[[#This Row],[Role]]&lt;&gt;"BR",SUMPRODUCT(Mecze[[#This Row],[/PR:90]:[/BR:90]],Brudnopis!$E$24:$J$24),0)</f>
        <v>1.5625E-2</v>
      </c>
      <c r="U972" s="44">
        <f>IF(Mecze[[#This Row],[Role]]&lt;&gt;"BR",SUMPRODUCT(Mecze[[#This Row],[/PR:90]:[/BR:90]],Brudnopis!$E$25:$J$25),0)</f>
        <v>1.0416666666666666E-2</v>
      </c>
      <c r="V972" s="44">
        <f>IF(Mecze[[#This Row],[Role]]&lt;&gt;"BR",SUMPRODUCT(Mecze[[#This Row],[/PR:90]:[/BR:90]],Brudnopis!$E$26:$J$26),0)</f>
        <v>1.0416666666666666E-2</v>
      </c>
      <c r="W972" s="44">
        <f>IF(Mecze[[#This Row],[Role]]&lt;&gt;"BR",SUMPRODUCT(Mecze[[#This Row],[/PR:90]:[/BR:90]],Brudnopis!$E$27:$J$27),0)</f>
        <v>7.8125E-3</v>
      </c>
      <c r="X972" s="44">
        <f>IF(Mecze[[#This Row],[Role]]&lt;&gt;"BR",SUMPRODUCT(Mecze[[#This Row],[/PR:90]:[/BR:90]],Brudnopis!$E$28:$J$28),0)</f>
        <v>0</v>
      </c>
      <c r="Y972" s="35">
        <f>IF(Mecze[[#This Row],[Role]]="BR",Mecze[[#This Row],[/OB:90]]+Mecze[[#This Row],[/PC:90]],SUM(Mecze[[#This Row],[/PR:90]:[/BR:90]]))</f>
        <v>1.0416666666666666E-2</v>
      </c>
      <c r="Z972" s="35">
        <f>IF(Mecze[[#This Row],[KC]]=0,SUM(Mecze[[#This Row],[/BRI]:[/NPI]]),SUM(Mecze[[#This Row],[/BRI]:[/NPI]])*0.6)</f>
        <v>4.4270833333333329E-2</v>
      </c>
      <c r="AA972" s="10">
        <f>IFERROR(Mecze[[#This Row],[BR]]/Mecze[[#This Row],[ST]],0)</f>
        <v>0</v>
      </c>
      <c r="AB972">
        <f>ROUND(Mecze[[#This Row],[PD]]*Mecze[[#This Row],[%PC]],0)</f>
        <v>0</v>
      </c>
      <c r="AC972">
        <f>ROUND(Mecze[[#This Row],[OD]]*Mecze[[#This Row],[%OU]],0)</f>
        <v>1</v>
      </c>
      <c r="AD972" s="36" t="s">
        <v>46</v>
      </c>
      <c r="AE972" s="36">
        <v>54</v>
      </c>
      <c r="AF972" s="71">
        <v>2.71</v>
      </c>
      <c r="AG972" s="37">
        <v>0</v>
      </c>
      <c r="AH972" s="37">
        <v>0</v>
      </c>
      <c r="AI972" s="37">
        <v>96</v>
      </c>
      <c r="AJ972" s="37">
        <v>1</v>
      </c>
      <c r="AK972" s="37" t="str">
        <f>VLOOKUP(Mecze[[#This Row],[Match ID]],Meczusie[Mecz]:Meczusie[RodzajMeczu],2,FALSE)</f>
        <v>Towarzyski</v>
      </c>
    </row>
    <row r="973" spans="1:37" x14ac:dyDescent="0.25">
      <c r="A973" s="76">
        <v>26</v>
      </c>
      <c r="B973" s="3" t="s">
        <v>368</v>
      </c>
      <c r="C973" s="2" t="s">
        <v>165</v>
      </c>
      <c r="D973" s="1">
        <v>0</v>
      </c>
      <c r="E973" s="1">
        <v>1</v>
      </c>
      <c r="F973" s="1">
        <v>1</v>
      </c>
      <c r="G973" s="1">
        <v>7</v>
      </c>
      <c r="H973" s="4">
        <v>0.86</v>
      </c>
      <c r="I973" s="1">
        <v>3</v>
      </c>
      <c r="J973" s="4">
        <v>0</v>
      </c>
      <c r="K973" s="1">
        <v>0</v>
      </c>
      <c r="L973" s="1">
        <v>0</v>
      </c>
      <c r="M973" s="32">
        <f>IF(Mecze[[#This Row],[PR]]=0,0,Mecze[[#This Row],[PR]]/Mecze[[#This Row],[CZAS]])</f>
        <v>0</v>
      </c>
      <c r="N973" s="32">
        <f>IF(Mecze[[#This Row],[OU]]=0,0,Mecze[[#This Row],[OU]]/Mecze[[#This Row],[CZAS]])</f>
        <v>0</v>
      </c>
      <c r="O973" s="32">
        <f>IF(Mecze[[#This Row],[PC]]=0,0,Mecze[[#This Row],[PC]]/Mecze[[#This Row],[CZAS]])</f>
        <v>6.25E-2</v>
      </c>
      <c r="P973" s="32">
        <f>IF(Mecze[[#This Row],[SC]]=0,0,Mecze[[#This Row],[SC]]/Mecze[[#This Row],[CZAS]])</f>
        <v>1.0416666666666666E-2</v>
      </c>
      <c r="Q973" s="32">
        <f>IF(Mecze[[#This Row],[OB]]=0,0,Mecze[[#This Row],[OB]]/Mecze[[#This Row],[CZAS]])</f>
        <v>0</v>
      </c>
      <c r="R973" s="32">
        <f>IF(Mecze[[#This Row],[BR]]=0,0,Mecze[[#This Row],[BR]]/Mecze[[#This Row],[CZAS]])</f>
        <v>0</v>
      </c>
      <c r="S973" s="44">
        <f>IF(Mecze[[#This Row],[Role]]="BR",SUMPRODUCT(Mecze[[#This Row],[/PR:90]:[/BR:90]],Brudnopis!$E$23:$J$23),0)</f>
        <v>0</v>
      </c>
      <c r="T973" s="44">
        <f>IF(Mecze[[#This Row],[Role]]&lt;&gt;"BR",SUMPRODUCT(Mecze[[#This Row],[/PR:90]:[/BR:90]],Brudnopis!$E$24:$J$24),0)</f>
        <v>7.2916666666666671E-2</v>
      </c>
      <c r="U973" s="44">
        <f>IF(Mecze[[#This Row],[Role]]&lt;&gt;"BR",SUMPRODUCT(Mecze[[#This Row],[/PR:90]:[/BR:90]],Brudnopis!$E$25:$J$25),0)</f>
        <v>0.10416666666666667</v>
      </c>
      <c r="V973" s="44">
        <f>IF(Mecze[[#This Row],[Role]]&lt;&gt;"BR",SUMPRODUCT(Mecze[[#This Row],[/PR:90]:[/BR:90]],Brudnopis!$E$26:$J$26),0)</f>
        <v>7.2916666666666671E-2</v>
      </c>
      <c r="W973" s="44">
        <f>IF(Mecze[[#This Row],[Role]]&lt;&gt;"BR",SUMPRODUCT(Mecze[[#This Row],[/PR:90]:[/BR:90]],Brudnopis!$E$27:$J$27),0)</f>
        <v>0.10416666666666667</v>
      </c>
      <c r="X973" s="44">
        <f>IF(Mecze[[#This Row],[Role]]&lt;&gt;"BR",SUMPRODUCT(Mecze[[#This Row],[/PR:90]:[/BR:90]],Brudnopis!$E$28:$J$28),0)</f>
        <v>8.3333333333333329E-2</v>
      </c>
      <c r="Y973" s="35">
        <f>IF(Mecze[[#This Row],[Role]]="BR",Mecze[[#This Row],[/OB:90]]+Mecze[[#This Row],[/PC:90]],SUM(Mecze[[#This Row],[/PR:90]:[/BR:90]]))</f>
        <v>7.2916666666666671E-2</v>
      </c>
      <c r="Z973" s="35">
        <f>IF(Mecze[[#This Row],[KC]]=0,SUM(Mecze[[#This Row],[/BRI]:[/NPI]]),SUM(Mecze[[#This Row],[/BRI]:[/NPI]])*0.6)</f>
        <v>0.4375</v>
      </c>
      <c r="AA973" s="10">
        <f>IFERROR(Mecze[[#This Row],[BR]]/Mecze[[#This Row],[ST]],0)</f>
        <v>0</v>
      </c>
      <c r="AB973">
        <f>ROUND(Mecze[[#This Row],[PD]]*Mecze[[#This Row],[%PC]],0)</f>
        <v>6</v>
      </c>
      <c r="AC973">
        <f>ROUND(Mecze[[#This Row],[OD]]*Mecze[[#This Row],[%OU]],0)</f>
        <v>0</v>
      </c>
      <c r="AD973" s="36" t="s">
        <v>46</v>
      </c>
      <c r="AE973" s="36">
        <v>54</v>
      </c>
      <c r="AF973" s="71">
        <v>5.18</v>
      </c>
      <c r="AG973" s="37">
        <v>0</v>
      </c>
      <c r="AH973" s="37">
        <v>0</v>
      </c>
      <c r="AI973" s="37">
        <v>96</v>
      </c>
      <c r="AJ973" s="37">
        <v>1</v>
      </c>
      <c r="AK973" s="37" t="str">
        <f>VLOOKUP(Mecze[[#This Row],[Match ID]],Meczusie[Mecz]:Meczusie[RodzajMeczu],2,FALSE)</f>
        <v>Towarzyski</v>
      </c>
    </row>
    <row r="974" spans="1:37" x14ac:dyDescent="0.25">
      <c r="A974" s="76">
        <v>48</v>
      </c>
      <c r="B974" s="3" t="s">
        <v>414</v>
      </c>
      <c r="C974" s="2" t="s">
        <v>165</v>
      </c>
      <c r="D974" s="1">
        <v>0</v>
      </c>
      <c r="E974" s="1">
        <v>1</v>
      </c>
      <c r="F974" s="1">
        <v>1</v>
      </c>
      <c r="G974" s="1">
        <v>1</v>
      </c>
      <c r="H974" s="4">
        <v>0</v>
      </c>
      <c r="I974" s="1">
        <v>1</v>
      </c>
      <c r="J974" s="4">
        <v>1</v>
      </c>
      <c r="K974" s="1">
        <v>0</v>
      </c>
      <c r="L974" s="1">
        <v>0</v>
      </c>
      <c r="M974" s="32">
        <f>IF(Mecze[[#This Row],[PR]]=0,0,Mecze[[#This Row],[PR]]/Mecze[[#This Row],[CZAS]])</f>
        <v>0</v>
      </c>
      <c r="N974" s="32">
        <f>IF(Mecze[[#This Row],[OU]]=0,0,Mecze[[#This Row],[OU]]/Mecze[[#This Row],[CZAS]])</f>
        <v>1.0416666666666666E-2</v>
      </c>
      <c r="O974" s="32">
        <f>IF(Mecze[[#This Row],[PC]]=0,0,Mecze[[#This Row],[PC]]/Mecze[[#This Row],[CZAS]])</f>
        <v>0</v>
      </c>
      <c r="P974" s="32">
        <f>IF(Mecze[[#This Row],[SC]]=0,0,Mecze[[#This Row],[SC]]/Mecze[[#This Row],[CZAS]])</f>
        <v>1.0416666666666666E-2</v>
      </c>
      <c r="Q974" s="32">
        <f>IF(Mecze[[#This Row],[OB]]=0,0,Mecze[[#This Row],[OB]]/Mecze[[#This Row],[CZAS]])</f>
        <v>0</v>
      </c>
      <c r="R974" s="32">
        <f>IF(Mecze[[#This Row],[BR]]=0,0,Mecze[[#This Row],[BR]]/Mecze[[#This Row],[CZAS]])</f>
        <v>0</v>
      </c>
      <c r="S974" s="44">
        <f>IF(Mecze[[#This Row],[Role]]="BR",SUMPRODUCT(Mecze[[#This Row],[/PR:90]:[/BR:90]],Brudnopis!$E$23:$J$23),0)</f>
        <v>0</v>
      </c>
      <c r="T974" s="44">
        <f>IF(Mecze[[#This Row],[Role]]&lt;&gt;"BR",SUMPRODUCT(Mecze[[#This Row],[/PR:90]:[/BR:90]],Brudnopis!$E$24:$J$24),0)</f>
        <v>2.6041666666666664E-2</v>
      </c>
      <c r="U974" s="44">
        <f>IF(Mecze[[#This Row],[Role]]&lt;&gt;"BR",SUMPRODUCT(Mecze[[#This Row],[/PR:90]:[/BR:90]],Brudnopis!$E$25:$J$25),0)</f>
        <v>2.0833333333333332E-2</v>
      </c>
      <c r="V974" s="44">
        <f>IF(Mecze[[#This Row],[Role]]&lt;&gt;"BR",SUMPRODUCT(Mecze[[#This Row],[/PR:90]:[/BR:90]],Brudnopis!$E$26:$J$26),0)</f>
        <v>2.0833333333333332E-2</v>
      </c>
      <c r="W974" s="44">
        <f>IF(Mecze[[#This Row],[Role]]&lt;&gt;"BR",SUMPRODUCT(Mecze[[#This Row],[/PR:90]:[/BR:90]],Brudnopis!$E$27:$J$27),0)</f>
        <v>1.8229166666666664E-2</v>
      </c>
      <c r="X974" s="44">
        <f>IF(Mecze[[#This Row],[Role]]&lt;&gt;"BR",SUMPRODUCT(Mecze[[#This Row],[/PR:90]:[/BR:90]],Brudnopis!$E$28:$J$28),0)</f>
        <v>2.0833333333333332E-2</v>
      </c>
      <c r="Y974" s="35">
        <f>IF(Mecze[[#This Row],[Role]]="BR",Mecze[[#This Row],[/OB:90]]+Mecze[[#This Row],[/PC:90]],SUM(Mecze[[#This Row],[/PR:90]:[/BR:90]]))</f>
        <v>2.0833333333333332E-2</v>
      </c>
      <c r="Z974" s="35">
        <f>IF(Mecze[[#This Row],[KC]]=0,SUM(Mecze[[#This Row],[/BRI]:[/NPI]]),SUM(Mecze[[#This Row],[/BRI]:[/NPI]])*0.6)</f>
        <v>0.10677083333333333</v>
      </c>
      <c r="AA974" s="10">
        <f>IFERROR(Mecze[[#This Row],[BR]]/Mecze[[#This Row],[ST]],0)</f>
        <v>0</v>
      </c>
      <c r="AB974">
        <f>ROUND(Mecze[[#This Row],[PD]]*Mecze[[#This Row],[%PC]],0)</f>
        <v>0</v>
      </c>
      <c r="AC974">
        <f>ROUND(Mecze[[#This Row],[OD]]*Mecze[[#This Row],[%OU]],0)</f>
        <v>1</v>
      </c>
      <c r="AD974" s="36" t="s">
        <v>272</v>
      </c>
      <c r="AE974" s="36">
        <v>54</v>
      </c>
      <c r="AF974" s="71">
        <v>1.82</v>
      </c>
      <c r="AG974" s="37">
        <v>1</v>
      </c>
      <c r="AH974" s="37">
        <v>0</v>
      </c>
      <c r="AI974" s="37">
        <v>96</v>
      </c>
      <c r="AJ974" s="37">
        <v>1</v>
      </c>
      <c r="AK974" s="37" t="str">
        <f>VLOOKUP(Mecze[[#This Row],[Match ID]],Meczusie[Mecz]:Meczusie[RodzajMeczu],2,FALSE)</f>
        <v>Towarzyski</v>
      </c>
    </row>
    <row r="975" spans="1:37" x14ac:dyDescent="0.25">
      <c r="A975" s="76">
        <v>49</v>
      </c>
      <c r="B975" s="3" t="s">
        <v>358</v>
      </c>
      <c r="C975" s="2" t="s">
        <v>155</v>
      </c>
      <c r="D975" s="1">
        <v>0</v>
      </c>
      <c r="E975" s="1">
        <v>0</v>
      </c>
      <c r="F975" s="1">
        <v>0</v>
      </c>
      <c r="G975" s="1">
        <v>5</v>
      </c>
      <c r="H975" s="4">
        <v>0.2</v>
      </c>
      <c r="I975" s="1">
        <v>0</v>
      </c>
      <c r="J975" s="4"/>
      <c r="K975" s="1">
        <v>5</v>
      </c>
      <c r="L975" s="1">
        <v>0</v>
      </c>
      <c r="M975" s="32">
        <f>IF(Mecze[[#This Row],[PR]]=0,0,Mecze[[#This Row],[PR]]/Mecze[[#This Row],[CZAS]])</f>
        <v>0</v>
      </c>
      <c r="N975" s="32">
        <f>IF(Mecze[[#This Row],[OU]]=0,0,Mecze[[#This Row],[OU]]/Mecze[[#This Row],[CZAS]])</f>
        <v>0</v>
      </c>
      <c r="O975" s="32">
        <f>IF(Mecze[[#This Row],[PC]]=0,0,Mecze[[#This Row],[PC]]/Mecze[[#This Row],[CZAS]])</f>
        <v>1.0416666666666666E-2</v>
      </c>
      <c r="P975" s="32">
        <f>IF(Mecze[[#This Row],[SC]]=0,0,Mecze[[#This Row],[SC]]/Mecze[[#This Row],[CZAS]])</f>
        <v>0</v>
      </c>
      <c r="Q975" s="32">
        <f>IF(Mecze[[#This Row],[OB]]=0,0,Mecze[[#This Row],[OB]]/Mecze[[#This Row],[CZAS]])</f>
        <v>5.2083333333333336E-2</v>
      </c>
      <c r="R975" s="32">
        <f>IF(Mecze[[#This Row],[BR]]=0,0,Mecze[[#This Row],[BR]]/Mecze[[#This Row],[CZAS]])</f>
        <v>0</v>
      </c>
      <c r="S975" s="44">
        <f>IF(Mecze[[#This Row],[Role]]="BR",SUMPRODUCT(Mecze[[#This Row],[/PR:90]:[/BR:90]],Brudnopis!$E$23:$J$23),0)</f>
        <v>0.1875</v>
      </c>
      <c r="T975" s="44">
        <f>IF(Mecze[[#This Row],[Role]]&lt;&gt;"BR",SUMPRODUCT(Mecze[[#This Row],[/PR:90]:[/BR:90]],Brudnopis!$E$24:$J$24),0)</f>
        <v>0</v>
      </c>
      <c r="U975" s="44">
        <f>IF(Mecze[[#This Row],[Role]]&lt;&gt;"BR",SUMPRODUCT(Mecze[[#This Row],[/PR:90]:[/BR:90]],Brudnopis!$E$25:$J$25),0)</f>
        <v>0</v>
      </c>
      <c r="V975" s="44">
        <f>IF(Mecze[[#This Row],[Role]]&lt;&gt;"BR",SUMPRODUCT(Mecze[[#This Row],[/PR:90]:[/BR:90]],Brudnopis!$E$26:$J$26),0)</f>
        <v>0</v>
      </c>
      <c r="W975" s="44">
        <f>IF(Mecze[[#This Row],[Role]]&lt;&gt;"BR",SUMPRODUCT(Mecze[[#This Row],[/PR:90]:[/BR:90]],Brudnopis!$E$27:$J$27),0)</f>
        <v>0</v>
      </c>
      <c r="X975" s="44">
        <f>IF(Mecze[[#This Row],[Role]]&lt;&gt;"BR",SUMPRODUCT(Mecze[[#This Row],[/PR:90]:[/BR:90]],Brudnopis!$E$28:$J$28),0)</f>
        <v>0</v>
      </c>
      <c r="Y975" s="35">
        <f>IF(Mecze[[#This Row],[Role]]="BR",Mecze[[#This Row],[/OB:90]]+Mecze[[#This Row],[/PC:90]],SUM(Mecze[[#This Row],[/PR:90]:[/BR:90]]))</f>
        <v>6.25E-2</v>
      </c>
      <c r="Z975" s="35">
        <f>IF(Mecze[[#This Row],[KC]]=0,SUM(Mecze[[#This Row],[/BRI]:[/NPI]]),SUM(Mecze[[#This Row],[/BRI]:[/NPI]])*0.6)</f>
        <v>0.1875</v>
      </c>
      <c r="AA975" s="10">
        <f>IFERROR(Mecze[[#This Row],[BR]]/Mecze[[#This Row],[ST]],0)</f>
        <v>0</v>
      </c>
      <c r="AB975">
        <f>ROUND(Mecze[[#This Row],[PD]]*Mecze[[#This Row],[%PC]],0)</f>
        <v>1</v>
      </c>
      <c r="AC975">
        <f>ROUND(Mecze[[#This Row],[OD]]*Mecze[[#This Row],[%OU]],0)</f>
        <v>0</v>
      </c>
      <c r="AD975" s="36" t="s">
        <v>40</v>
      </c>
      <c r="AE975" s="36">
        <v>55</v>
      </c>
      <c r="AF975" s="71">
        <v>5.67</v>
      </c>
      <c r="AG975" s="37">
        <v>0</v>
      </c>
      <c r="AH975" s="37">
        <v>0</v>
      </c>
      <c r="AI975" s="37">
        <v>96</v>
      </c>
      <c r="AJ975" s="37">
        <v>1</v>
      </c>
      <c r="AK975" s="37" t="str">
        <f>VLOOKUP(Mecze[[#This Row],[Match ID]],Meczusie[Mecz]:Meczusie[RodzajMeczu],2,FALSE)</f>
        <v>Towarzyski</v>
      </c>
    </row>
    <row r="976" spans="1:37" x14ac:dyDescent="0.25">
      <c r="A976" s="76">
        <v>38</v>
      </c>
      <c r="B976" s="3" t="s">
        <v>359</v>
      </c>
      <c r="C976" s="2" t="s">
        <v>157</v>
      </c>
      <c r="D976" s="1">
        <v>0</v>
      </c>
      <c r="E976" s="1">
        <v>0</v>
      </c>
      <c r="F976" s="1">
        <v>0</v>
      </c>
      <c r="G976" s="1">
        <v>16</v>
      </c>
      <c r="H976" s="4">
        <v>0.44</v>
      </c>
      <c r="I976" s="1">
        <v>16</v>
      </c>
      <c r="J976" s="4">
        <v>0.38</v>
      </c>
      <c r="K976" s="1">
        <v>0</v>
      </c>
      <c r="L976" s="1">
        <v>9</v>
      </c>
      <c r="M976" s="32">
        <f>IF(Mecze[[#This Row],[PR]]=0,0,Mecze[[#This Row],[PR]]/Mecze[[#This Row],[CZAS]])</f>
        <v>9.375E-2</v>
      </c>
      <c r="N976" s="32">
        <f>IF(Mecze[[#This Row],[OU]]=0,0,Mecze[[#This Row],[OU]]/Mecze[[#This Row],[CZAS]])</f>
        <v>6.25E-2</v>
      </c>
      <c r="O976" s="32">
        <f>IF(Mecze[[#This Row],[PC]]=0,0,Mecze[[#This Row],[PC]]/Mecze[[#This Row],[CZAS]])</f>
        <v>7.2916666666666671E-2</v>
      </c>
      <c r="P976" s="32">
        <f>IF(Mecze[[#This Row],[SC]]=0,0,Mecze[[#This Row],[SC]]/Mecze[[#This Row],[CZAS]])</f>
        <v>0</v>
      </c>
      <c r="Q976" s="32">
        <f>IF(Mecze[[#This Row],[OB]]=0,0,Mecze[[#This Row],[OB]]/Mecze[[#This Row],[CZAS]])</f>
        <v>0</v>
      </c>
      <c r="R976" s="32">
        <f>IF(Mecze[[#This Row],[BR]]=0,0,Mecze[[#This Row],[BR]]/Mecze[[#This Row],[CZAS]])</f>
        <v>0</v>
      </c>
      <c r="S976" s="44">
        <f>IF(Mecze[[#This Row],[Role]]="BR",SUMPRODUCT(Mecze[[#This Row],[/PR:90]:[/BR:90]],Brudnopis!$E$23:$J$23),0)</f>
        <v>0</v>
      </c>
      <c r="T976" s="44">
        <f>IF(Mecze[[#This Row],[Role]]&lt;&gt;"BR",SUMPRODUCT(Mecze[[#This Row],[/PR:90]:[/BR:90]],Brudnopis!$E$24:$J$24),0)</f>
        <v>0.26041666666666669</v>
      </c>
      <c r="U976" s="44">
        <f>IF(Mecze[[#This Row],[Role]]&lt;&gt;"BR",SUMPRODUCT(Mecze[[#This Row],[/PR:90]:[/BR:90]],Brudnopis!$E$25:$J$25),0)</f>
        <v>0.265625</v>
      </c>
      <c r="V976" s="44">
        <f>IF(Mecze[[#This Row],[Role]]&lt;&gt;"BR",SUMPRODUCT(Mecze[[#This Row],[/PR:90]:[/BR:90]],Brudnopis!$E$26:$J$26),0)</f>
        <v>0.22916666666666669</v>
      </c>
      <c r="W976" s="44">
        <f>IF(Mecze[[#This Row],[Role]]&lt;&gt;"BR",SUMPRODUCT(Mecze[[#This Row],[/PR:90]:[/BR:90]],Brudnopis!$E$27:$J$27),0)</f>
        <v>0.2265625</v>
      </c>
      <c r="X976" s="44">
        <f>IF(Mecze[[#This Row],[Role]]&lt;&gt;"BR",SUMPRODUCT(Mecze[[#This Row],[/PR:90]:[/BR:90]],Brudnopis!$E$28:$J$28),0)</f>
        <v>7.2916666666666671E-2</v>
      </c>
      <c r="Y976" s="35">
        <f>IF(Mecze[[#This Row],[Role]]="BR",Mecze[[#This Row],[/OB:90]]+Mecze[[#This Row],[/PC:90]],SUM(Mecze[[#This Row],[/PR:90]:[/BR:90]]))</f>
        <v>0.22916666666666669</v>
      </c>
      <c r="Z976" s="35">
        <f>IF(Mecze[[#This Row],[KC]]=0,SUM(Mecze[[#This Row],[/BRI]:[/NPI]]),SUM(Mecze[[#This Row],[/BRI]:[/NPI]])*0.6)</f>
        <v>1.0546875000000002</v>
      </c>
      <c r="AA976" s="10">
        <f>IFERROR(Mecze[[#This Row],[BR]]/Mecze[[#This Row],[ST]],0)</f>
        <v>0</v>
      </c>
      <c r="AB976">
        <f>ROUND(Mecze[[#This Row],[PD]]*Mecze[[#This Row],[%PC]],0)</f>
        <v>7</v>
      </c>
      <c r="AC976">
        <f>ROUND(Mecze[[#This Row],[OD]]*Mecze[[#This Row],[%OU]],0)</f>
        <v>6</v>
      </c>
      <c r="AD976" s="36" t="s">
        <v>47</v>
      </c>
      <c r="AE976" s="36">
        <v>55</v>
      </c>
      <c r="AF976" s="71">
        <v>4.7</v>
      </c>
      <c r="AG976" s="37">
        <v>1</v>
      </c>
      <c r="AH976" s="37">
        <v>0</v>
      </c>
      <c r="AI976" s="37">
        <v>96</v>
      </c>
      <c r="AJ976" s="37">
        <v>1</v>
      </c>
      <c r="AK976" s="37" t="str">
        <f>VLOOKUP(Mecze[[#This Row],[Match ID]],Meczusie[Mecz]:Meczusie[RodzajMeczu],2,FALSE)</f>
        <v>Towarzyski</v>
      </c>
    </row>
    <row r="977" spans="1:37" x14ac:dyDescent="0.25">
      <c r="A977" s="76">
        <v>4</v>
      </c>
      <c r="B977" s="3" t="s">
        <v>360</v>
      </c>
      <c r="C977" s="2" t="s">
        <v>157</v>
      </c>
      <c r="D977" s="1">
        <v>0</v>
      </c>
      <c r="E977" s="1">
        <v>1</v>
      </c>
      <c r="F977" s="1">
        <v>0</v>
      </c>
      <c r="G977" s="1">
        <v>7</v>
      </c>
      <c r="H977" s="4">
        <v>0.43</v>
      </c>
      <c r="I977" s="1">
        <v>2</v>
      </c>
      <c r="J977" s="4">
        <v>1</v>
      </c>
      <c r="K977" s="1">
        <v>0</v>
      </c>
      <c r="L977" s="1">
        <v>11</v>
      </c>
      <c r="M977" s="32">
        <f>IF(Mecze[[#This Row],[PR]]=0,0,Mecze[[#This Row],[PR]]/Mecze[[#This Row],[CZAS]])</f>
        <v>0.11458333333333333</v>
      </c>
      <c r="N977" s="32">
        <f>IF(Mecze[[#This Row],[OU]]=0,0,Mecze[[#This Row],[OU]]/Mecze[[#This Row],[CZAS]])</f>
        <v>2.0833333333333332E-2</v>
      </c>
      <c r="O977" s="32">
        <f>IF(Mecze[[#This Row],[PC]]=0,0,Mecze[[#This Row],[PC]]/Mecze[[#This Row],[CZAS]])</f>
        <v>3.125E-2</v>
      </c>
      <c r="P977" s="32">
        <f>IF(Mecze[[#This Row],[SC]]=0,0,Mecze[[#This Row],[SC]]/Mecze[[#This Row],[CZAS]])</f>
        <v>0</v>
      </c>
      <c r="Q977" s="32">
        <f>IF(Mecze[[#This Row],[OB]]=0,0,Mecze[[#This Row],[OB]]/Mecze[[#This Row],[CZAS]])</f>
        <v>0</v>
      </c>
      <c r="R977" s="32">
        <f>IF(Mecze[[#This Row],[BR]]=0,0,Mecze[[#This Row],[BR]]/Mecze[[#This Row],[CZAS]])</f>
        <v>0</v>
      </c>
      <c r="S977" s="44">
        <f>IF(Mecze[[#This Row],[Role]]="BR",SUMPRODUCT(Mecze[[#This Row],[/PR:90]:[/BR:90]],Brudnopis!$E$23:$J$23),0)</f>
        <v>0</v>
      </c>
      <c r="T977" s="44">
        <f>IF(Mecze[[#This Row],[Role]]&lt;&gt;"BR",SUMPRODUCT(Mecze[[#This Row],[/PR:90]:[/BR:90]],Brudnopis!$E$24:$J$24),0)</f>
        <v>0.17708333333333331</v>
      </c>
      <c r="U977" s="44">
        <f>IF(Mecze[[#This Row],[Role]]&lt;&gt;"BR",SUMPRODUCT(Mecze[[#This Row],[/PR:90]:[/BR:90]],Brudnopis!$E$25:$J$25),0)</f>
        <v>0.18229166666666666</v>
      </c>
      <c r="V977" s="44">
        <f>IF(Mecze[[#This Row],[Role]]&lt;&gt;"BR",SUMPRODUCT(Mecze[[#This Row],[/PR:90]:[/BR:90]],Brudnopis!$E$26:$J$26),0)</f>
        <v>0.16666666666666666</v>
      </c>
      <c r="W977" s="44">
        <f>IF(Mecze[[#This Row],[Role]]&lt;&gt;"BR",SUMPRODUCT(Mecze[[#This Row],[/PR:90]:[/BR:90]],Brudnopis!$E$27:$J$27),0)</f>
        <v>0.1484375</v>
      </c>
      <c r="X977" s="44">
        <f>IF(Mecze[[#This Row],[Role]]&lt;&gt;"BR",SUMPRODUCT(Mecze[[#This Row],[/PR:90]:[/BR:90]],Brudnopis!$E$28:$J$28),0)</f>
        <v>3.125E-2</v>
      </c>
      <c r="Y977" s="35">
        <f>IF(Mecze[[#This Row],[Role]]="BR",Mecze[[#This Row],[/OB:90]]+Mecze[[#This Row],[/PC:90]],SUM(Mecze[[#This Row],[/PR:90]:[/BR:90]]))</f>
        <v>0.16666666666666666</v>
      </c>
      <c r="Z977" s="35">
        <f>IF(Mecze[[#This Row],[KC]]=0,SUM(Mecze[[#This Row],[/BRI]:[/NPI]]),SUM(Mecze[[#This Row],[/BRI]:[/NPI]])*0.6)</f>
        <v>0.70572916666666663</v>
      </c>
      <c r="AA977" s="10">
        <f>IFERROR(Mecze[[#This Row],[BR]]/Mecze[[#This Row],[ST]],0)</f>
        <v>0</v>
      </c>
      <c r="AB977">
        <f>ROUND(Mecze[[#This Row],[PD]]*Mecze[[#This Row],[%PC]],0)</f>
        <v>3</v>
      </c>
      <c r="AC977">
        <f>ROUND(Mecze[[#This Row],[OD]]*Mecze[[#This Row],[%OU]],0)</f>
        <v>2</v>
      </c>
      <c r="AD977" s="36" t="s">
        <v>168</v>
      </c>
      <c r="AE977" s="36">
        <v>55</v>
      </c>
      <c r="AF977" s="71">
        <v>6.23</v>
      </c>
      <c r="AG977" s="37">
        <v>0</v>
      </c>
      <c r="AH977" s="37">
        <v>0</v>
      </c>
      <c r="AI977" s="37">
        <v>96</v>
      </c>
      <c r="AJ977" s="37">
        <v>1</v>
      </c>
      <c r="AK977" s="37" t="str">
        <f>VLOOKUP(Mecze[[#This Row],[Match ID]],Meczusie[Mecz]:Meczusie[RodzajMeczu],2,FALSE)</f>
        <v>Towarzyski</v>
      </c>
    </row>
    <row r="978" spans="1:37" x14ac:dyDescent="0.25">
      <c r="A978" s="76">
        <v>42</v>
      </c>
      <c r="B978" s="3" t="s">
        <v>361</v>
      </c>
      <c r="C978" s="2" t="s">
        <v>157</v>
      </c>
      <c r="D978" s="1">
        <v>0</v>
      </c>
      <c r="E978" s="1">
        <v>0</v>
      </c>
      <c r="F978" s="1">
        <v>0</v>
      </c>
      <c r="G978" s="1">
        <v>4</v>
      </c>
      <c r="H978" s="4">
        <v>0.5</v>
      </c>
      <c r="I978" s="1">
        <v>2</v>
      </c>
      <c r="J978" s="4">
        <v>0.5</v>
      </c>
      <c r="K978" s="1">
        <v>0</v>
      </c>
      <c r="L978" s="1">
        <v>6</v>
      </c>
      <c r="M978" s="32">
        <f>IF(Mecze[[#This Row],[PR]]=0,0,Mecze[[#This Row],[PR]]/Mecze[[#This Row],[CZAS]])</f>
        <v>6.25E-2</v>
      </c>
      <c r="N978" s="32">
        <f>IF(Mecze[[#This Row],[OU]]=0,0,Mecze[[#This Row],[OU]]/Mecze[[#This Row],[CZAS]])</f>
        <v>1.0416666666666666E-2</v>
      </c>
      <c r="O978" s="32">
        <f>IF(Mecze[[#This Row],[PC]]=0,0,Mecze[[#This Row],[PC]]/Mecze[[#This Row],[CZAS]])</f>
        <v>2.0833333333333332E-2</v>
      </c>
      <c r="P978" s="32">
        <f>IF(Mecze[[#This Row],[SC]]=0,0,Mecze[[#This Row],[SC]]/Mecze[[#This Row],[CZAS]])</f>
        <v>0</v>
      </c>
      <c r="Q978" s="32">
        <f>IF(Mecze[[#This Row],[OB]]=0,0,Mecze[[#This Row],[OB]]/Mecze[[#This Row],[CZAS]])</f>
        <v>0</v>
      </c>
      <c r="R978" s="32">
        <f>IF(Mecze[[#This Row],[BR]]=0,0,Mecze[[#This Row],[BR]]/Mecze[[#This Row],[CZAS]])</f>
        <v>0</v>
      </c>
      <c r="S978" s="44">
        <f>IF(Mecze[[#This Row],[Role]]="BR",SUMPRODUCT(Mecze[[#This Row],[/PR:90]:[/BR:90]],Brudnopis!$E$23:$J$23),0)</f>
        <v>0</v>
      </c>
      <c r="T978" s="44">
        <f>IF(Mecze[[#This Row],[Role]]&lt;&gt;"BR",SUMPRODUCT(Mecze[[#This Row],[/PR:90]:[/BR:90]],Brudnopis!$E$24:$J$24),0)</f>
        <v>9.8958333333333329E-2</v>
      </c>
      <c r="U978" s="44">
        <f>IF(Mecze[[#This Row],[Role]]&lt;&gt;"BR",SUMPRODUCT(Mecze[[#This Row],[/PR:90]:[/BR:90]],Brudnopis!$E$25:$J$25),0)</f>
        <v>0.10416666666666667</v>
      </c>
      <c r="V978" s="44">
        <f>IF(Mecze[[#This Row],[Role]]&lt;&gt;"BR",SUMPRODUCT(Mecze[[#This Row],[/PR:90]:[/BR:90]],Brudnopis!$E$26:$J$26),0)</f>
        <v>9.375E-2</v>
      </c>
      <c r="W978" s="44">
        <f>IF(Mecze[[#This Row],[Role]]&lt;&gt;"BR",SUMPRODUCT(Mecze[[#This Row],[/PR:90]:[/BR:90]],Brudnopis!$E$27:$J$27),0)</f>
        <v>8.59375E-2</v>
      </c>
      <c r="X978" s="44">
        <f>IF(Mecze[[#This Row],[Role]]&lt;&gt;"BR",SUMPRODUCT(Mecze[[#This Row],[/PR:90]:[/BR:90]],Brudnopis!$E$28:$J$28),0)</f>
        <v>2.0833333333333332E-2</v>
      </c>
      <c r="Y978" s="35">
        <f>IF(Mecze[[#This Row],[Role]]="BR",Mecze[[#This Row],[/OB:90]]+Mecze[[#This Row],[/PC:90]],SUM(Mecze[[#This Row],[/PR:90]:[/BR:90]]))</f>
        <v>9.375E-2</v>
      </c>
      <c r="Z978" s="35">
        <f>IF(Mecze[[#This Row],[KC]]=0,SUM(Mecze[[#This Row],[/BRI]:[/NPI]]),SUM(Mecze[[#This Row],[/BRI]:[/NPI]])*0.6)</f>
        <v>0.40364583333333331</v>
      </c>
      <c r="AA978" s="10">
        <f>IFERROR(Mecze[[#This Row],[BR]]/Mecze[[#This Row],[ST]],0)</f>
        <v>0</v>
      </c>
      <c r="AB978">
        <f>ROUND(Mecze[[#This Row],[PD]]*Mecze[[#This Row],[%PC]],0)</f>
        <v>2</v>
      </c>
      <c r="AC978">
        <f>ROUND(Mecze[[#This Row],[OD]]*Mecze[[#This Row],[%OU]],0)</f>
        <v>1</v>
      </c>
      <c r="AD978" s="36" t="s">
        <v>167</v>
      </c>
      <c r="AE978" s="36">
        <v>55</v>
      </c>
      <c r="AF978" s="71">
        <v>5.18</v>
      </c>
      <c r="AG978" s="37">
        <v>0</v>
      </c>
      <c r="AH978" s="37">
        <v>0</v>
      </c>
      <c r="AI978" s="37">
        <v>96</v>
      </c>
      <c r="AJ978" s="37">
        <v>1</v>
      </c>
      <c r="AK978" s="37" t="str">
        <f>VLOOKUP(Mecze[[#This Row],[Match ID]],Meczusie[Mecz]:Meczusie[RodzajMeczu],2,FALSE)</f>
        <v>Towarzyski</v>
      </c>
    </row>
    <row r="979" spans="1:37" x14ac:dyDescent="0.25">
      <c r="A979" s="76">
        <v>33</v>
      </c>
      <c r="B979" s="3" t="s">
        <v>362</v>
      </c>
      <c r="C979" s="2" t="s">
        <v>160</v>
      </c>
      <c r="D979" s="1">
        <v>0</v>
      </c>
      <c r="E979" s="1">
        <v>1</v>
      </c>
      <c r="F979" s="1">
        <v>0</v>
      </c>
      <c r="G979" s="1">
        <v>7</v>
      </c>
      <c r="H979" s="4">
        <v>0.28999999999999998</v>
      </c>
      <c r="I979" s="1">
        <v>11</v>
      </c>
      <c r="J979" s="4">
        <v>0.27</v>
      </c>
      <c r="K979" s="1">
        <v>0</v>
      </c>
      <c r="L979" s="1">
        <v>6</v>
      </c>
      <c r="M979" s="32">
        <f>IF(Mecze[[#This Row],[PR]]=0,0,Mecze[[#This Row],[PR]]/Mecze[[#This Row],[CZAS]])</f>
        <v>6.25E-2</v>
      </c>
      <c r="N979" s="32">
        <f>IF(Mecze[[#This Row],[OU]]=0,0,Mecze[[#This Row],[OU]]/Mecze[[#This Row],[CZAS]])</f>
        <v>3.125E-2</v>
      </c>
      <c r="O979" s="32">
        <f>IF(Mecze[[#This Row],[PC]]=0,0,Mecze[[#This Row],[PC]]/Mecze[[#This Row],[CZAS]])</f>
        <v>2.0833333333333332E-2</v>
      </c>
      <c r="P979" s="32">
        <f>IF(Mecze[[#This Row],[SC]]=0,0,Mecze[[#This Row],[SC]]/Mecze[[#This Row],[CZAS]])</f>
        <v>0</v>
      </c>
      <c r="Q979" s="32">
        <f>IF(Mecze[[#This Row],[OB]]=0,0,Mecze[[#This Row],[OB]]/Mecze[[#This Row],[CZAS]])</f>
        <v>0</v>
      </c>
      <c r="R979" s="32">
        <f>IF(Mecze[[#This Row],[BR]]=0,0,Mecze[[#This Row],[BR]]/Mecze[[#This Row],[CZAS]])</f>
        <v>0</v>
      </c>
      <c r="S979" s="44">
        <f>IF(Mecze[[#This Row],[Role]]="BR",SUMPRODUCT(Mecze[[#This Row],[/PR:90]:[/BR:90]],Brudnopis!$E$23:$J$23),0)</f>
        <v>0</v>
      </c>
      <c r="T979" s="44">
        <f>IF(Mecze[[#This Row],[Role]]&lt;&gt;"BR",SUMPRODUCT(Mecze[[#This Row],[/PR:90]:[/BR:90]],Brudnopis!$E$24:$J$24),0)</f>
        <v>0.13020833333333334</v>
      </c>
      <c r="U979" s="44">
        <f>IF(Mecze[[#This Row],[Role]]&lt;&gt;"BR",SUMPRODUCT(Mecze[[#This Row],[/PR:90]:[/BR:90]],Brudnopis!$E$25:$J$25),0)</f>
        <v>0.125</v>
      </c>
      <c r="V979" s="44">
        <f>IF(Mecze[[#This Row],[Role]]&lt;&gt;"BR",SUMPRODUCT(Mecze[[#This Row],[/PR:90]:[/BR:90]],Brudnopis!$E$26:$J$26),0)</f>
        <v>0.11458333333333333</v>
      </c>
      <c r="W979" s="44">
        <f>IF(Mecze[[#This Row],[Role]]&lt;&gt;"BR",SUMPRODUCT(Mecze[[#This Row],[/PR:90]:[/BR:90]],Brudnopis!$E$27:$J$27),0)</f>
        <v>0.1015625</v>
      </c>
      <c r="X979" s="44">
        <f>IF(Mecze[[#This Row],[Role]]&lt;&gt;"BR",SUMPRODUCT(Mecze[[#This Row],[/PR:90]:[/BR:90]],Brudnopis!$E$28:$J$28),0)</f>
        <v>2.0833333333333332E-2</v>
      </c>
      <c r="Y979" s="35">
        <f>IF(Mecze[[#This Row],[Role]]="BR",Mecze[[#This Row],[/OB:90]]+Mecze[[#This Row],[/PC:90]],SUM(Mecze[[#This Row],[/PR:90]:[/BR:90]]))</f>
        <v>0.11458333333333333</v>
      </c>
      <c r="Z979" s="35">
        <f>IF(Mecze[[#This Row],[KC]]=0,SUM(Mecze[[#This Row],[/BRI]:[/NPI]]),SUM(Mecze[[#This Row],[/BRI]:[/NPI]])*0.6)</f>
        <v>0.4921875</v>
      </c>
      <c r="AA979" s="10">
        <f>IFERROR(Mecze[[#This Row],[BR]]/Mecze[[#This Row],[ST]],0)</f>
        <v>0</v>
      </c>
      <c r="AB979">
        <f>ROUND(Mecze[[#This Row],[PD]]*Mecze[[#This Row],[%PC]],0)</f>
        <v>2</v>
      </c>
      <c r="AC979">
        <f>ROUND(Mecze[[#This Row],[OD]]*Mecze[[#This Row],[%OU]],0)</f>
        <v>3</v>
      </c>
      <c r="AD979" s="36" t="s">
        <v>41</v>
      </c>
      <c r="AE979" s="36">
        <v>55</v>
      </c>
      <c r="AF979" s="71">
        <v>5.18</v>
      </c>
      <c r="AG979" s="37">
        <v>0</v>
      </c>
      <c r="AH979" s="37">
        <v>0</v>
      </c>
      <c r="AI979" s="37">
        <v>96</v>
      </c>
      <c r="AJ979" s="37">
        <v>1</v>
      </c>
      <c r="AK979" s="37" t="str">
        <f>VLOOKUP(Mecze[[#This Row],[Match ID]],Meczusie[Mecz]:Meczusie[RodzajMeczu],2,FALSE)</f>
        <v>Towarzyski</v>
      </c>
    </row>
    <row r="980" spans="1:37" x14ac:dyDescent="0.25">
      <c r="A980" s="76">
        <v>22</v>
      </c>
      <c r="B980" s="3" t="s">
        <v>363</v>
      </c>
      <c r="C980" s="2" t="s">
        <v>160</v>
      </c>
      <c r="D980" s="1">
        <v>0</v>
      </c>
      <c r="E980" s="1">
        <v>1</v>
      </c>
      <c r="F980" s="1">
        <v>1</v>
      </c>
      <c r="G980" s="1">
        <v>5</v>
      </c>
      <c r="H980" s="4">
        <v>0.6</v>
      </c>
      <c r="I980" s="1">
        <v>7</v>
      </c>
      <c r="J980" s="4">
        <v>0.56999999999999995</v>
      </c>
      <c r="K980" s="1">
        <v>0</v>
      </c>
      <c r="L980" s="1">
        <v>3</v>
      </c>
      <c r="M980" s="32">
        <f>IF(Mecze[[#This Row],[PR]]=0,0,Mecze[[#This Row],[PR]]/Mecze[[#This Row],[CZAS]])</f>
        <v>3.125E-2</v>
      </c>
      <c r="N980" s="32">
        <f>IF(Mecze[[#This Row],[OU]]=0,0,Mecze[[#This Row],[OU]]/Mecze[[#This Row],[CZAS]])</f>
        <v>4.1666666666666664E-2</v>
      </c>
      <c r="O980" s="32">
        <f>IF(Mecze[[#This Row],[PC]]=0,0,Mecze[[#This Row],[PC]]/Mecze[[#This Row],[CZAS]])</f>
        <v>3.125E-2</v>
      </c>
      <c r="P980" s="32">
        <f>IF(Mecze[[#This Row],[SC]]=0,0,Mecze[[#This Row],[SC]]/Mecze[[#This Row],[CZAS]])</f>
        <v>1.0416666666666666E-2</v>
      </c>
      <c r="Q980" s="32">
        <f>IF(Mecze[[#This Row],[OB]]=0,0,Mecze[[#This Row],[OB]]/Mecze[[#This Row],[CZAS]])</f>
        <v>0</v>
      </c>
      <c r="R980" s="32">
        <f>IF(Mecze[[#This Row],[BR]]=0,0,Mecze[[#This Row],[BR]]/Mecze[[#This Row],[CZAS]])</f>
        <v>0</v>
      </c>
      <c r="S980" s="44">
        <f>IF(Mecze[[#This Row],[Role]]="BR",SUMPRODUCT(Mecze[[#This Row],[/PR:90]:[/BR:90]],Brudnopis!$E$23:$J$23),0)</f>
        <v>0</v>
      </c>
      <c r="T980" s="44">
        <f>IF(Mecze[[#This Row],[Role]]&lt;&gt;"BR",SUMPRODUCT(Mecze[[#This Row],[/PR:90]:[/BR:90]],Brudnopis!$E$24:$J$24),0)</f>
        <v>0.13541666666666666</v>
      </c>
      <c r="U980" s="44">
        <f>IF(Mecze[[#This Row],[Role]]&lt;&gt;"BR",SUMPRODUCT(Mecze[[#This Row],[/PR:90]:[/BR:90]],Brudnopis!$E$25:$J$25),0)</f>
        <v>0.13020833333333331</v>
      </c>
      <c r="V980" s="44">
        <f>IF(Mecze[[#This Row],[Role]]&lt;&gt;"BR",SUMPRODUCT(Mecze[[#This Row],[/PR:90]:[/BR:90]],Brudnopis!$E$26:$J$26),0)</f>
        <v>0.11458333333333333</v>
      </c>
      <c r="W980" s="44">
        <f>IF(Mecze[[#This Row],[Role]]&lt;&gt;"BR",SUMPRODUCT(Mecze[[#This Row],[/PR:90]:[/BR:90]],Brudnopis!$E$27:$J$27),0)</f>
        <v>0.11197916666666667</v>
      </c>
      <c r="X980" s="44">
        <f>IF(Mecze[[#This Row],[Role]]&lt;&gt;"BR",SUMPRODUCT(Mecze[[#This Row],[/PR:90]:[/BR:90]],Brudnopis!$E$28:$J$28),0)</f>
        <v>5.2083333333333329E-2</v>
      </c>
      <c r="Y980" s="35">
        <f>IF(Mecze[[#This Row],[Role]]="BR",Mecze[[#This Row],[/OB:90]]+Mecze[[#This Row],[/PC:90]],SUM(Mecze[[#This Row],[/PR:90]:[/BR:90]]))</f>
        <v>0.11458333333333333</v>
      </c>
      <c r="Z980" s="35">
        <f>IF(Mecze[[#This Row],[KC]]=0,SUM(Mecze[[#This Row],[/BRI]:[/NPI]]),SUM(Mecze[[#This Row],[/BRI]:[/NPI]])*0.6)</f>
        <v>0.54427083333333337</v>
      </c>
      <c r="AA980" s="10">
        <f>IFERROR(Mecze[[#This Row],[BR]]/Mecze[[#This Row],[ST]],0)</f>
        <v>0</v>
      </c>
      <c r="AB980">
        <f>ROUND(Mecze[[#This Row],[PD]]*Mecze[[#This Row],[%PC]],0)</f>
        <v>3</v>
      </c>
      <c r="AC980">
        <f>ROUND(Mecze[[#This Row],[OD]]*Mecze[[#This Row],[%OU]],0)</f>
        <v>4</v>
      </c>
      <c r="AD980" s="36" t="s">
        <v>41</v>
      </c>
      <c r="AE980" s="36">
        <v>55</v>
      </c>
      <c r="AF980" s="71">
        <v>5.99</v>
      </c>
      <c r="AG980" s="37">
        <v>0</v>
      </c>
      <c r="AH980" s="37">
        <v>0</v>
      </c>
      <c r="AI980" s="37">
        <v>96</v>
      </c>
      <c r="AJ980" s="37">
        <v>1</v>
      </c>
      <c r="AK980" s="37" t="str">
        <f>VLOOKUP(Mecze[[#This Row],[Match ID]],Meczusie[Mecz]:Meczusie[RodzajMeczu],2,FALSE)</f>
        <v>Towarzyski</v>
      </c>
    </row>
    <row r="981" spans="1:37" x14ac:dyDescent="0.25">
      <c r="A981" s="76">
        <v>27</v>
      </c>
      <c r="B981" s="3" t="s">
        <v>364</v>
      </c>
      <c r="C981" s="2" t="s">
        <v>160</v>
      </c>
      <c r="D981" s="1">
        <v>2</v>
      </c>
      <c r="E981" s="1">
        <v>2</v>
      </c>
      <c r="F981" s="1">
        <v>2</v>
      </c>
      <c r="G981" s="1">
        <v>4</v>
      </c>
      <c r="H981" s="4">
        <v>0.25</v>
      </c>
      <c r="I981" s="1">
        <v>2</v>
      </c>
      <c r="J981" s="4">
        <v>1</v>
      </c>
      <c r="K981" s="1">
        <v>0</v>
      </c>
      <c r="L981" s="1">
        <v>1</v>
      </c>
      <c r="M981" s="32">
        <f>IF(Mecze[[#This Row],[PR]]=0,0,Mecze[[#This Row],[PR]]/Mecze[[#This Row],[CZAS]])</f>
        <v>1.0416666666666666E-2</v>
      </c>
      <c r="N981" s="32">
        <f>IF(Mecze[[#This Row],[OU]]=0,0,Mecze[[#This Row],[OU]]/Mecze[[#This Row],[CZAS]])</f>
        <v>2.0833333333333332E-2</v>
      </c>
      <c r="O981" s="32">
        <f>IF(Mecze[[#This Row],[PC]]=0,0,Mecze[[#This Row],[PC]]/Mecze[[#This Row],[CZAS]])</f>
        <v>1.0416666666666666E-2</v>
      </c>
      <c r="P981" s="32">
        <f>IF(Mecze[[#This Row],[SC]]=0,0,Mecze[[#This Row],[SC]]/Mecze[[#This Row],[CZAS]])</f>
        <v>2.0833333333333332E-2</v>
      </c>
      <c r="Q981" s="32">
        <f>IF(Mecze[[#This Row],[OB]]=0,0,Mecze[[#This Row],[OB]]/Mecze[[#This Row],[CZAS]])</f>
        <v>0</v>
      </c>
      <c r="R981" s="32">
        <f>IF(Mecze[[#This Row],[BR]]=0,0,Mecze[[#This Row],[BR]]/Mecze[[#This Row],[CZAS]])</f>
        <v>2.0833333333333332E-2</v>
      </c>
      <c r="S981" s="44">
        <f>IF(Mecze[[#This Row],[Role]]="BR",SUMPRODUCT(Mecze[[#This Row],[/PR:90]:[/BR:90]],Brudnopis!$E$23:$J$23),0)</f>
        <v>0</v>
      </c>
      <c r="T981" s="44">
        <f>IF(Mecze[[#This Row],[Role]]&lt;&gt;"BR",SUMPRODUCT(Mecze[[#This Row],[/PR:90]:[/BR:90]],Brudnopis!$E$24:$J$24),0)</f>
        <v>0.10416666666666666</v>
      </c>
      <c r="U981" s="44">
        <f>IF(Mecze[[#This Row],[Role]]&lt;&gt;"BR",SUMPRODUCT(Mecze[[#This Row],[/PR:90]:[/BR:90]],Brudnopis!$E$25:$J$25),0)</f>
        <v>9.8958333333333329E-2</v>
      </c>
      <c r="V981" s="44">
        <f>IF(Mecze[[#This Row],[Role]]&lt;&gt;"BR",SUMPRODUCT(Mecze[[#This Row],[/PR:90]:[/BR:90]],Brudnopis!$E$26:$J$26),0)</f>
        <v>0.10416666666666666</v>
      </c>
      <c r="W981" s="44">
        <f>IF(Mecze[[#This Row],[Role]]&lt;&gt;"BR",SUMPRODUCT(Mecze[[#This Row],[/PR:90]:[/BR:90]],Brudnopis!$E$27:$J$27),0)</f>
        <v>0.1015625</v>
      </c>
      <c r="X981" s="44">
        <f>IF(Mecze[[#This Row],[Role]]&lt;&gt;"BR",SUMPRODUCT(Mecze[[#This Row],[/PR:90]:[/BR:90]],Brudnopis!$E$28:$J$28),0)</f>
        <v>0.11458333333333333</v>
      </c>
      <c r="Y981" s="35">
        <f>IF(Mecze[[#This Row],[Role]]="BR",Mecze[[#This Row],[/OB:90]]+Mecze[[#This Row],[/PC:90]],SUM(Mecze[[#This Row],[/PR:90]:[/BR:90]]))</f>
        <v>8.3333333333333329E-2</v>
      </c>
      <c r="Z981" s="35">
        <f>IF(Mecze[[#This Row],[KC]]=0,SUM(Mecze[[#This Row],[/BRI]:[/NPI]]),SUM(Mecze[[#This Row],[/BRI]:[/NPI]])*0.6)</f>
        <v>0.5234375</v>
      </c>
      <c r="AA981" s="10">
        <f>IFERROR(Mecze[[#This Row],[BR]]/Mecze[[#This Row],[ST]],0)</f>
        <v>1</v>
      </c>
      <c r="AB981">
        <f>ROUND(Mecze[[#This Row],[PD]]*Mecze[[#This Row],[%PC]],0)</f>
        <v>1</v>
      </c>
      <c r="AC981">
        <f>ROUND(Mecze[[#This Row],[OD]]*Mecze[[#This Row],[%OU]],0)</f>
        <v>2</v>
      </c>
      <c r="AD981" s="36" t="s">
        <v>44</v>
      </c>
      <c r="AE981" s="36">
        <v>55</v>
      </c>
      <c r="AF981" s="71">
        <v>8.81</v>
      </c>
      <c r="AG981" s="37">
        <v>0</v>
      </c>
      <c r="AH981" s="37">
        <v>0</v>
      </c>
      <c r="AI981" s="37">
        <v>96</v>
      </c>
      <c r="AJ981" s="37">
        <v>1</v>
      </c>
      <c r="AK981" s="37" t="str">
        <f>VLOOKUP(Mecze[[#This Row],[Match ID]],Meczusie[Mecz]:Meczusie[RodzajMeczu],2,FALSE)</f>
        <v>Towarzyski</v>
      </c>
    </row>
    <row r="982" spans="1:37" x14ac:dyDescent="0.25">
      <c r="A982" s="76">
        <v>28</v>
      </c>
      <c r="B982" s="3" t="s">
        <v>419</v>
      </c>
      <c r="C982" s="2" t="s">
        <v>160</v>
      </c>
      <c r="D982" s="1">
        <v>0</v>
      </c>
      <c r="E982" s="1">
        <v>0</v>
      </c>
      <c r="F982" s="1">
        <v>0</v>
      </c>
      <c r="G982" s="1">
        <v>5</v>
      </c>
      <c r="H982" s="4">
        <v>0.4</v>
      </c>
      <c r="I982" s="1">
        <v>1</v>
      </c>
      <c r="J982" s="4">
        <v>0</v>
      </c>
      <c r="K982" s="1">
        <v>0</v>
      </c>
      <c r="L982" s="1">
        <v>3</v>
      </c>
      <c r="M982" s="32">
        <f>IF(Mecze[[#This Row],[PR]]=0,0,Mecze[[#This Row],[PR]]/Mecze[[#This Row],[CZAS]])</f>
        <v>3.125E-2</v>
      </c>
      <c r="N982" s="32">
        <f>IF(Mecze[[#This Row],[OU]]=0,0,Mecze[[#This Row],[OU]]/Mecze[[#This Row],[CZAS]])</f>
        <v>0</v>
      </c>
      <c r="O982" s="32">
        <f>IF(Mecze[[#This Row],[PC]]=0,0,Mecze[[#This Row],[PC]]/Mecze[[#This Row],[CZAS]])</f>
        <v>2.0833333333333332E-2</v>
      </c>
      <c r="P982" s="32">
        <f>IF(Mecze[[#This Row],[SC]]=0,0,Mecze[[#This Row],[SC]]/Mecze[[#This Row],[CZAS]])</f>
        <v>0</v>
      </c>
      <c r="Q982" s="32">
        <f>IF(Mecze[[#This Row],[OB]]=0,0,Mecze[[#This Row],[OB]]/Mecze[[#This Row],[CZAS]])</f>
        <v>0</v>
      </c>
      <c r="R982" s="32">
        <f>IF(Mecze[[#This Row],[BR]]=0,0,Mecze[[#This Row],[BR]]/Mecze[[#This Row],[CZAS]])</f>
        <v>0</v>
      </c>
      <c r="S982" s="44">
        <f>IF(Mecze[[#This Row],[Role]]="BR",SUMPRODUCT(Mecze[[#This Row],[/PR:90]:[/BR:90]],Brudnopis!$E$23:$J$23),0)</f>
        <v>0</v>
      </c>
      <c r="T982" s="44">
        <f>IF(Mecze[[#This Row],[Role]]&lt;&gt;"BR",SUMPRODUCT(Mecze[[#This Row],[/PR:90]:[/BR:90]],Brudnopis!$E$24:$J$24),0)</f>
        <v>5.2083333333333329E-2</v>
      </c>
      <c r="U982" s="44">
        <f>IF(Mecze[[#This Row],[Role]]&lt;&gt;"BR",SUMPRODUCT(Mecze[[#This Row],[/PR:90]:[/BR:90]],Brudnopis!$E$25:$J$25),0)</f>
        <v>6.25E-2</v>
      </c>
      <c r="V982" s="44">
        <f>IF(Mecze[[#This Row],[Role]]&lt;&gt;"BR",SUMPRODUCT(Mecze[[#This Row],[/PR:90]:[/BR:90]],Brudnopis!$E$26:$J$26),0)</f>
        <v>5.2083333333333329E-2</v>
      </c>
      <c r="W982" s="44">
        <f>IF(Mecze[[#This Row],[Role]]&lt;&gt;"BR",SUMPRODUCT(Mecze[[#This Row],[/PR:90]:[/BR:90]],Brudnopis!$E$27:$J$27),0)</f>
        <v>5.46875E-2</v>
      </c>
      <c r="X982" s="44">
        <f>IF(Mecze[[#This Row],[Role]]&lt;&gt;"BR",SUMPRODUCT(Mecze[[#This Row],[/PR:90]:[/BR:90]],Brudnopis!$E$28:$J$28),0)</f>
        <v>2.0833333333333332E-2</v>
      </c>
      <c r="Y982" s="35">
        <f>IF(Mecze[[#This Row],[Role]]="BR",Mecze[[#This Row],[/OB:90]]+Mecze[[#This Row],[/PC:90]],SUM(Mecze[[#This Row],[/PR:90]:[/BR:90]]))</f>
        <v>5.2083333333333329E-2</v>
      </c>
      <c r="Z982" s="35">
        <f>IF(Mecze[[#This Row],[KC]]=0,SUM(Mecze[[#This Row],[/BRI]:[/NPI]]),SUM(Mecze[[#This Row],[/BRI]:[/NPI]])*0.6)</f>
        <v>0.2421875</v>
      </c>
      <c r="AA982" s="10">
        <f>IFERROR(Mecze[[#This Row],[BR]]/Mecze[[#This Row],[ST]],0)</f>
        <v>0</v>
      </c>
      <c r="AB982">
        <f>ROUND(Mecze[[#This Row],[PD]]*Mecze[[#This Row],[%PC]],0)</f>
        <v>2</v>
      </c>
      <c r="AC982">
        <f>ROUND(Mecze[[#This Row],[OD]]*Mecze[[#This Row],[%OU]],0)</f>
        <v>0</v>
      </c>
      <c r="AD982" s="36" t="s">
        <v>44</v>
      </c>
      <c r="AE982" s="36">
        <v>55</v>
      </c>
      <c r="AF982" s="71">
        <v>4.55</v>
      </c>
      <c r="AG982" s="37">
        <v>0</v>
      </c>
      <c r="AH982" s="37">
        <v>0</v>
      </c>
      <c r="AI982" s="37">
        <v>96</v>
      </c>
      <c r="AJ982" s="37">
        <v>1</v>
      </c>
      <c r="AK982" s="37" t="str">
        <f>VLOOKUP(Mecze[[#This Row],[Match ID]],Meczusie[Mecz]:Meczusie[RodzajMeczu],2,FALSE)</f>
        <v>Towarzyski</v>
      </c>
    </row>
    <row r="983" spans="1:37" x14ac:dyDescent="0.25">
      <c r="A983" s="76">
        <v>53</v>
      </c>
      <c r="B983" s="3" t="s">
        <v>415</v>
      </c>
      <c r="C983" s="2" t="s">
        <v>165</v>
      </c>
      <c r="D983" s="1">
        <v>0</v>
      </c>
      <c r="E983" s="1">
        <v>0</v>
      </c>
      <c r="F983" s="1">
        <v>0</v>
      </c>
      <c r="G983" s="1">
        <v>3</v>
      </c>
      <c r="H983" s="4">
        <v>0.33</v>
      </c>
      <c r="I983" s="1">
        <v>2</v>
      </c>
      <c r="J983" s="4">
        <v>0</v>
      </c>
      <c r="K983" s="1">
        <v>0</v>
      </c>
      <c r="L983" s="1">
        <v>0</v>
      </c>
      <c r="M983" s="32">
        <f>IF(Mecze[[#This Row],[PR]]=0,0,Mecze[[#This Row],[PR]]/Mecze[[#This Row],[CZAS]])</f>
        <v>0</v>
      </c>
      <c r="N983" s="32">
        <f>IF(Mecze[[#This Row],[OU]]=0,0,Mecze[[#This Row],[OU]]/Mecze[[#This Row],[CZAS]])</f>
        <v>0</v>
      </c>
      <c r="O983" s="32">
        <f>IF(Mecze[[#This Row],[PC]]=0,0,Mecze[[#This Row],[PC]]/Mecze[[#This Row],[CZAS]])</f>
        <v>1.0416666666666666E-2</v>
      </c>
      <c r="P983" s="32">
        <f>IF(Mecze[[#This Row],[SC]]=0,0,Mecze[[#This Row],[SC]]/Mecze[[#This Row],[CZAS]])</f>
        <v>0</v>
      </c>
      <c r="Q983" s="32">
        <f>IF(Mecze[[#This Row],[OB]]=0,0,Mecze[[#This Row],[OB]]/Mecze[[#This Row],[CZAS]])</f>
        <v>0</v>
      </c>
      <c r="R983" s="32">
        <f>IF(Mecze[[#This Row],[BR]]=0,0,Mecze[[#This Row],[BR]]/Mecze[[#This Row],[CZAS]])</f>
        <v>0</v>
      </c>
      <c r="S983" s="44">
        <f>IF(Mecze[[#This Row],[Role]]="BR",SUMPRODUCT(Mecze[[#This Row],[/PR:90]:[/BR:90]],Brudnopis!$E$23:$J$23),0)</f>
        <v>0</v>
      </c>
      <c r="T983" s="44">
        <f>IF(Mecze[[#This Row],[Role]]&lt;&gt;"BR",SUMPRODUCT(Mecze[[#This Row],[/PR:90]:[/BR:90]],Brudnopis!$E$24:$J$24),0)</f>
        <v>1.0416666666666666E-2</v>
      </c>
      <c r="U983" s="44">
        <f>IF(Mecze[[#This Row],[Role]]&lt;&gt;"BR",SUMPRODUCT(Mecze[[#This Row],[/PR:90]:[/BR:90]],Brudnopis!$E$25:$J$25),0)</f>
        <v>1.5625E-2</v>
      </c>
      <c r="V983" s="44">
        <f>IF(Mecze[[#This Row],[Role]]&lt;&gt;"BR",SUMPRODUCT(Mecze[[#This Row],[/PR:90]:[/BR:90]],Brudnopis!$E$26:$J$26),0)</f>
        <v>1.0416666666666666E-2</v>
      </c>
      <c r="W983" s="44">
        <f>IF(Mecze[[#This Row],[Role]]&lt;&gt;"BR",SUMPRODUCT(Mecze[[#This Row],[/PR:90]:[/BR:90]],Brudnopis!$E$27:$J$27),0)</f>
        <v>1.5625E-2</v>
      </c>
      <c r="X983" s="44">
        <f>IF(Mecze[[#This Row],[Role]]&lt;&gt;"BR",SUMPRODUCT(Mecze[[#This Row],[/PR:90]:[/BR:90]],Brudnopis!$E$28:$J$28),0)</f>
        <v>1.0416666666666666E-2</v>
      </c>
      <c r="Y983" s="35">
        <f>IF(Mecze[[#This Row],[Role]]="BR",Mecze[[#This Row],[/OB:90]]+Mecze[[#This Row],[/PC:90]],SUM(Mecze[[#This Row],[/PR:90]:[/BR:90]]))</f>
        <v>1.0416666666666666E-2</v>
      </c>
      <c r="Z983" s="35">
        <f>IF(Mecze[[#This Row],[KC]]=0,SUM(Mecze[[#This Row],[/BRI]:[/NPI]]),SUM(Mecze[[#This Row],[/BRI]:[/NPI]])*0.6)</f>
        <v>6.2499999999999993E-2</v>
      </c>
      <c r="AA983" s="10">
        <f>IFERROR(Mecze[[#This Row],[BR]]/Mecze[[#This Row],[ST]],0)</f>
        <v>0</v>
      </c>
      <c r="AB983">
        <f>ROUND(Mecze[[#This Row],[PD]]*Mecze[[#This Row],[%PC]],0)</f>
        <v>1</v>
      </c>
      <c r="AC983">
        <f>ROUND(Mecze[[#This Row],[OD]]*Mecze[[#This Row],[%OU]],0)</f>
        <v>0</v>
      </c>
      <c r="AD983" s="36" t="s">
        <v>46</v>
      </c>
      <c r="AE983" s="36">
        <v>55</v>
      </c>
      <c r="AF983" s="71">
        <v>3.93</v>
      </c>
      <c r="AG983" s="37">
        <v>0</v>
      </c>
      <c r="AH983" s="37">
        <v>0</v>
      </c>
      <c r="AI983" s="37">
        <v>96</v>
      </c>
      <c r="AJ983" s="37">
        <v>1</v>
      </c>
      <c r="AK983" s="37" t="str">
        <f>VLOOKUP(Mecze[[#This Row],[Match ID]],Meczusie[Mecz]:Meczusie[RodzajMeczu],2,FALSE)</f>
        <v>Towarzyski</v>
      </c>
    </row>
    <row r="984" spans="1:37" x14ac:dyDescent="0.25">
      <c r="A984" s="76">
        <v>26</v>
      </c>
      <c r="B984" s="3" t="s">
        <v>368</v>
      </c>
      <c r="C984" s="2" t="s">
        <v>165</v>
      </c>
      <c r="D984" s="1">
        <v>2</v>
      </c>
      <c r="E984" s="1">
        <v>6</v>
      </c>
      <c r="F984" s="1">
        <v>6</v>
      </c>
      <c r="G984" s="1">
        <v>6</v>
      </c>
      <c r="H984" s="4">
        <v>0.67</v>
      </c>
      <c r="I984" s="1">
        <v>4</v>
      </c>
      <c r="J984" s="4">
        <v>0</v>
      </c>
      <c r="K984" s="1">
        <v>0</v>
      </c>
      <c r="L984" s="1">
        <v>1</v>
      </c>
      <c r="M984" s="32">
        <f>IF(Mecze[[#This Row],[PR]]=0,0,Mecze[[#This Row],[PR]]/Mecze[[#This Row],[CZAS]])</f>
        <v>1.0416666666666666E-2</v>
      </c>
      <c r="N984" s="32">
        <f>IF(Mecze[[#This Row],[OU]]=0,0,Mecze[[#This Row],[OU]]/Mecze[[#This Row],[CZAS]])</f>
        <v>0</v>
      </c>
      <c r="O984" s="32">
        <f>IF(Mecze[[#This Row],[PC]]=0,0,Mecze[[#This Row],[PC]]/Mecze[[#This Row],[CZAS]])</f>
        <v>4.1666666666666664E-2</v>
      </c>
      <c r="P984" s="32">
        <f>IF(Mecze[[#This Row],[SC]]=0,0,Mecze[[#This Row],[SC]]/Mecze[[#This Row],[CZAS]])</f>
        <v>6.25E-2</v>
      </c>
      <c r="Q984" s="32">
        <f>IF(Mecze[[#This Row],[OB]]=0,0,Mecze[[#This Row],[OB]]/Mecze[[#This Row],[CZAS]])</f>
        <v>0</v>
      </c>
      <c r="R984" s="32">
        <f>IF(Mecze[[#This Row],[BR]]=0,0,Mecze[[#This Row],[BR]]/Mecze[[#This Row],[CZAS]])</f>
        <v>2.0833333333333332E-2</v>
      </c>
      <c r="S984" s="44">
        <f>IF(Mecze[[#This Row],[Role]]="BR",SUMPRODUCT(Mecze[[#This Row],[/PR:90]:[/BR:90]],Brudnopis!$E$23:$J$23),0)</f>
        <v>0</v>
      </c>
      <c r="T984" s="44">
        <f>IF(Mecze[[#This Row],[Role]]&lt;&gt;"BR",SUMPRODUCT(Mecze[[#This Row],[/PR:90]:[/BR:90]],Brudnopis!$E$24:$J$24),0)</f>
        <v>0.14583333333333331</v>
      </c>
      <c r="U984" s="44">
        <f>IF(Mecze[[#This Row],[Role]]&lt;&gt;"BR",SUMPRODUCT(Mecze[[#This Row],[/PR:90]:[/BR:90]],Brudnopis!$E$25:$J$25),0)</f>
        <v>0.16666666666666669</v>
      </c>
      <c r="V984" s="44">
        <f>IF(Mecze[[#This Row],[Role]]&lt;&gt;"BR",SUMPRODUCT(Mecze[[#This Row],[/PR:90]:[/BR:90]],Brudnopis!$E$26:$J$26),0)</f>
        <v>0.15625</v>
      </c>
      <c r="W984" s="44">
        <f>IF(Mecze[[#This Row],[Role]]&lt;&gt;"BR",SUMPRODUCT(Mecze[[#This Row],[/PR:90]:[/BR:90]],Brudnopis!$E$27:$J$27),0)</f>
        <v>0.17447916666666666</v>
      </c>
      <c r="X984" s="44">
        <f>IF(Mecze[[#This Row],[Role]]&lt;&gt;"BR",SUMPRODUCT(Mecze[[#This Row],[/PR:90]:[/BR:90]],Brudnopis!$E$28:$J$28),0)</f>
        <v>0.22916666666666666</v>
      </c>
      <c r="Y984" s="35">
        <f>IF(Mecze[[#This Row],[Role]]="BR",Mecze[[#This Row],[/OB:90]]+Mecze[[#This Row],[/PC:90]],SUM(Mecze[[#This Row],[/PR:90]:[/BR:90]]))</f>
        <v>0.13541666666666666</v>
      </c>
      <c r="Z984" s="35">
        <f>IF(Mecze[[#This Row],[KC]]=0,SUM(Mecze[[#This Row],[/BRI]:[/NPI]]),SUM(Mecze[[#This Row],[/BRI]:[/NPI]])*0.6)</f>
        <v>0.87239583333333326</v>
      </c>
      <c r="AA984" s="10">
        <f>IFERROR(Mecze[[#This Row],[BR]]/Mecze[[#This Row],[ST]],0)</f>
        <v>0.33333333333333331</v>
      </c>
      <c r="AB984">
        <f>ROUND(Mecze[[#This Row],[PD]]*Mecze[[#This Row],[%PC]],0)</f>
        <v>4</v>
      </c>
      <c r="AC984">
        <f>ROUND(Mecze[[#This Row],[OD]]*Mecze[[#This Row],[%OU]],0)</f>
        <v>0</v>
      </c>
      <c r="AD984" s="36" t="s">
        <v>46</v>
      </c>
      <c r="AE984" s="36">
        <v>55</v>
      </c>
      <c r="AF984" s="71">
        <v>11.18</v>
      </c>
      <c r="AG984" s="37">
        <v>0</v>
      </c>
      <c r="AH984" s="37">
        <v>0</v>
      </c>
      <c r="AI984" s="37">
        <v>96</v>
      </c>
      <c r="AJ984" s="37">
        <v>1</v>
      </c>
      <c r="AK984" s="37" t="str">
        <f>VLOOKUP(Mecze[[#This Row],[Match ID]],Meczusie[Mecz]:Meczusie[RodzajMeczu],2,FALSE)</f>
        <v>Towarzyski</v>
      </c>
    </row>
    <row r="985" spans="1:37" x14ac:dyDescent="0.25">
      <c r="A985" s="76">
        <v>48</v>
      </c>
      <c r="B985" s="3" t="s">
        <v>414</v>
      </c>
      <c r="C985" s="2" t="s">
        <v>165</v>
      </c>
      <c r="D985" s="1">
        <v>1</v>
      </c>
      <c r="E985" s="1">
        <v>1</v>
      </c>
      <c r="F985" s="1">
        <v>1</v>
      </c>
      <c r="G985" s="1">
        <v>6</v>
      </c>
      <c r="H985" s="4">
        <v>0.83</v>
      </c>
      <c r="I985" s="1">
        <v>2</v>
      </c>
      <c r="J985" s="4">
        <v>0</v>
      </c>
      <c r="K985" s="1">
        <v>0</v>
      </c>
      <c r="L985" s="1">
        <v>0</v>
      </c>
      <c r="M985" s="32">
        <f>IF(Mecze[[#This Row],[PR]]=0,0,Mecze[[#This Row],[PR]]/Mecze[[#This Row],[CZAS]])</f>
        <v>0</v>
      </c>
      <c r="N985" s="32">
        <f>IF(Mecze[[#This Row],[OU]]=0,0,Mecze[[#This Row],[OU]]/Mecze[[#This Row],[CZAS]])</f>
        <v>0</v>
      </c>
      <c r="O985" s="32">
        <f>IF(Mecze[[#This Row],[PC]]=0,0,Mecze[[#This Row],[PC]]/Mecze[[#This Row],[CZAS]])</f>
        <v>5.2083333333333336E-2</v>
      </c>
      <c r="P985" s="32">
        <f>IF(Mecze[[#This Row],[SC]]=0,0,Mecze[[#This Row],[SC]]/Mecze[[#This Row],[CZAS]])</f>
        <v>1.0416666666666666E-2</v>
      </c>
      <c r="Q985" s="32">
        <f>IF(Mecze[[#This Row],[OB]]=0,0,Mecze[[#This Row],[OB]]/Mecze[[#This Row],[CZAS]])</f>
        <v>0</v>
      </c>
      <c r="R985" s="32">
        <f>IF(Mecze[[#This Row],[BR]]=0,0,Mecze[[#This Row],[BR]]/Mecze[[#This Row],[CZAS]])</f>
        <v>1.0416666666666666E-2</v>
      </c>
      <c r="S985" s="44">
        <f>IF(Mecze[[#This Row],[Role]]="BR",SUMPRODUCT(Mecze[[#This Row],[/PR:90]:[/BR:90]],Brudnopis!$E$23:$J$23),0)</f>
        <v>0</v>
      </c>
      <c r="T985" s="44">
        <f>IF(Mecze[[#This Row],[Role]]&lt;&gt;"BR",SUMPRODUCT(Mecze[[#This Row],[/PR:90]:[/BR:90]],Brudnopis!$E$24:$J$24),0)</f>
        <v>7.8125E-2</v>
      </c>
      <c r="U985" s="44">
        <f>IF(Mecze[[#This Row],[Role]]&lt;&gt;"BR",SUMPRODUCT(Mecze[[#This Row],[/PR:90]:[/BR:90]],Brudnopis!$E$25:$J$25),0)</f>
        <v>0.10416666666666667</v>
      </c>
      <c r="V985" s="44">
        <f>IF(Mecze[[#This Row],[Role]]&lt;&gt;"BR",SUMPRODUCT(Mecze[[#This Row],[/PR:90]:[/BR:90]],Brudnopis!$E$26:$J$26),0)</f>
        <v>8.3333333333333329E-2</v>
      </c>
      <c r="W985" s="44">
        <f>IF(Mecze[[#This Row],[Role]]&lt;&gt;"BR",SUMPRODUCT(Mecze[[#This Row],[/PR:90]:[/BR:90]],Brudnopis!$E$27:$J$27),0)</f>
        <v>0.109375</v>
      </c>
      <c r="X985" s="44">
        <f>IF(Mecze[[#This Row],[Role]]&lt;&gt;"BR",SUMPRODUCT(Mecze[[#This Row],[/PR:90]:[/BR:90]],Brudnopis!$E$28:$J$28),0)</f>
        <v>0.10416666666666667</v>
      </c>
      <c r="Y985" s="35">
        <f>IF(Mecze[[#This Row],[Role]]="BR",Mecze[[#This Row],[/OB:90]]+Mecze[[#This Row],[/PC:90]],SUM(Mecze[[#This Row],[/PR:90]:[/BR:90]]))</f>
        <v>7.2916666666666671E-2</v>
      </c>
      <c r="Z985" s="35">
        <f>IF(Mecze[[#This Row],[KC]]=0,SUM(Mecze[[#This Row],[/BRI]:[/NPI]]),SUM(Mecze[[#This Row],[/BRI]:[/NPI]])*0.6)</f>
        <v>0.47916666666666669</v>
      </c>
      <c r="AA985" s="10">
        <f>IFERROR(Mecze[[#This Row],[BR]]/Mecze[[#This Row],[ST]],0)</f>
        <v>1</v>
      </c>
      <c r="AB985">
        <f>ROUND(Mecze[[#This Row],[PD]]*Mecze[[#This Row],[%PC]],0)</f>
        <v>5</v>
      </c>
      <c r="AC985">
        <f>ROUND(Mecze[[#This Row],[OD]]*Mecze[[#This Row],[%OU]],0)</f>
        <v>0</v>
      </c>
      <c r="AD985" s="36" t="s">
        <v>272</v>
      </c>
      <c r="AE985" s="36">
        <v>55</v>
      </c>
      <c r="AF985" s="71">
        <v>8.6999999999999993</v>
      </c>
      <c r="AG985" s="37">
        <v>0</v>
      </c>
      <c r="AH985" s="37">
        <v>0</v>
      </c>
      <c r="AI985" s="37">
        <v>96</v>
      </c>
      <c r="AJ985" s="37">
        <v>1</v>
      </c>
      <c r="AK985" s="37" t="str">
        <f>VLOOKUP(Mecze[[#This Row],[Match ID]],Meczusie[Mecz]:Meczusie[RodzajMeczu],2,FALSE)</f>
        <v>Towarzyski</v>
      </c>
    </row>
    <row r="986" spans="1:37" x14ac:dyDescent="0.25">
      <c r="A986" s="76">
        <v>1</v>
      </c>
      <c r="B986" s="3" t="s">
        <v>261</v>
      </c>
      <c r="C986" s="2" t="s">
        <v>155</v>
      </c>
      <c r="D986" s="1">
        <v>0</v>
      </c>
      <c r="E986" s="1">
        <v>0</v>
      </c>
      <c r="F986" s="1">
        <v>0</v>
      </c>
      <c r="G986" s="1">
        <v>8</v>
      </c>
      <c r="H986" s="4">
        <v>0.5</v>
      </c>
      <c r="I986" s="1">
        <v>0</v>
      </c>
      <c r="J986" s="4"/>
      <c r="K986" s="1">
        <v>9</v>
      </c>
      <c r="L986" s="1">
        <v>0</v>
      </c>
      <c r="M986" s="32">
        <f>IF(Mecze[[#This Row],[PR]]=0,0,Mecze[[#This Row],[PR]]/Mecze[[#This Row],[CZAS]])</f>
        <v>0</v>
      </c>
      <c r="N986" s="32">
        <f>IF(Mecze[[#This Row],[OU]]=0,0,Mecze[[#This Row],[OU]]/Mecze[[#This Row],[CZAS]])</f>
        <v>0</v>
      </c>
      <c r="O986" s="32">
        <f>IF(Mecze[[#This Row],[PC]]=0,0,Mecze[[#This Row],[PC]]/Mecze[[#This Row],[CZAS]])</f>
        <v>4.1666666666666664E-2</v>
      </c>
      <c r="P986" s="32">
        <f>IF(Mecze[[#This Row],[SC]]=0,0,Mecze[[#This Row],[SC]]/Mecze[[#This Row],[CZAS]])</f>
        <v>0</v>
      </c>
      <c r="Q986" s="32">
        <f>IF(Mecze[[#This Row],[OB]]=0,0,Mecze[[#This Row],[OB]]/Mecze[[#This Row],[CZAS]])</f>
        <v>9.375E-2</v>
      </c>
      <c r="R986" s="32">
        <f>IF(Mecze[[#This Row],[BR]]=0,0,Mecze[[#This Row],[BR]]/Mecze[[#This Row],[CZAS]])</f>
        <v>0</v>
      </c>
      <c r="S986" s="44">
        <f>IF(Mecze[[#This Row],[Role]]="BR",SUMPRODUCT(Mecze[[#This Row],[/PR:90]:[/BR:90]],Brudnopis!$E$23:$J$23),0)</f>
        <v>0.40625</v>
      </c>
      <c r="T986" s="44">
        <f>IF(Mecze[[#This Row],[Role]]&lt;&gt;"BR",SUMPRODUCT(Mecze[[#This Row],[/PR:90]:[/BR:90]],Brudnopis!$E$24:$J$24),0)</f>
        <v>0</v>
      </c>
      <c r="U986" s="44">
        <f>IF(Mecze[[#This Row],[Role]]&lt;&gt;"BR",SUMPRODUCT(Mecze[[#This Row],[/PR:90]:[/BR:90]],Brudnopis!$E$25:$J$25),0)</f>
        <v>0</v>
      </c>
      <c r="V986" s="44">
        <f>IF(Mecze[[#This Row],[Role]]&lt;&gt;"BR",SUMPRODUCT(Mecze[[#This Row],[/PR:90]:[/BR:90]],Brudnopis!$E$26:$J$26),0)</f>
        <v>0</v>
      </c>
      <c r="W986" s="44">
        <f>IF(Mecze[[#This Row],[Role]]&lt;&gt;"BR",SUMPRODUCT(Mecze[[#This Row],[/PR:90]:[/BR:90]],Brudnopis!$E$27:$J$27),0)</f>
        <v>0</v>
      </c>
      <c r="X986" s="44">
        <f>IF(Mecze[[#This Row],[Role]]&lt;&gt;"BR",SUMPRODUCT(Mecze[[#This Row],[/PR:90]:[/BR:90]],Brudnopis!$E$28:$J$28),0)</f>
        <v>0</v>
      </c>
      <c r="Y986" s="35">
        <f>IF(Mecze[[#This Row],[Role]]="BR",Mecze[[#This Row],[/OB:90]]+Mecze[[#This Row],[/PC:90]],SUM(Mecze[[#This Row],[/PR:90]:[/BR:90]]))</f>
        <v>0.13541666666666666</v>
      </c>
      <c r="Z986" s="35">
        <f>IF(Mecze[[#This Row],[KC]]=0,SUM(Mecze[[#This Row],[/BRI]:[/NPI]]),SUM(Mecze[[#This Row],[/BRI]:[/NPI]])*0.6)</f>
        <v>0.40625</v>
      </c>
      <c r="AA986" s="10">
        <f>IFERROR(Mecze[[#This Row],[BR]]/Mecze[[#This Row],[ST]],0)</f>
        <v>0</v>
      </c>
      <c r="AB986">
        <f>ROUND(Mecze[[#This Row],[PD]]*Mecze[[#This Row],[%PC]],0)</f>
        <v>4</v>
      </c>
      <c r="AC986">
        <f>ROUND(Mecze[[#This Row],[OD]]*Mecze[[#This Row],[%OU]],0)</f>
        <v>0</v>
      </c>
      <c r="AD986" s="36" t="s">
        <v>40</v>
      </c>
      <c r="AE986" s="36">
        <v>56</v>
      </c>
      <c r="AF986" s="71">
        <v>8.2899999999999991</v>
      </c>
      <c r="AG986" s="37">
        <v>0</v>
      </c>
      <c r="AH986" s="37">
        <v>0</v>
      </c>
      <c r="AI986" s="37">
        <v>96</v>
      </c>
      <c r="AJ986" s="37">
        <v>3</v>
      </c>
      <c r="AK986" s="37" t="str">
        <f>VLOOKUP(Mecze[[#This Row],[Match ID]],Meczusie[Mecz]:Meczusie[RodzajMeczu],2,FALSE)</f>
        <v>Liga</v>
      </c>
    </row>
    <row r="987" spans="1:37" x14ac:dyDescent="0.25">
      <c r="A987" s="76">
        <v>13</v>
      </c>
      <c r="B987" s="3" t="s">
        <v>262</v>
      </c>
      <c r="C987" s="2" t="s">
        <v>157</v>
      </c>
      <c r="D987" s="1">
        <v>0</v>
      </c>
      <c r="E987" s="1">
        <v>0</v>
      </c>
      <c r="F987" s="1">
        <v>0</v>
      </c>
      <c r="G987" s="1">
        <v>6</v>
      </c>
      <c r="H987" s="4">
        <v>0.83</v>
      </c>
      <c r="I987" s="1">
        <v>3</v>
      </c>
      <c r="J987" s="4">
        <v>1</v>
      </c>
      <c r="K987" s="1">
        <v>0</v>
      </c>
      <c r="L987" s="1">
        <v>2</v>
      </c>
      <c r="M987" s="32">
        <f>IF(Mecze[[#This Row],[PR]]=0,0,Mecze[[#This Row],[PR]]/Mecze[[#This Row],[CZAS]])</f>
        <v>2.0833333333333332E-2</v>
      </c>
      <c r="N987" s="32">
        <f>IF(Mecze[[#This Row],[OU]]=0,0,Mecze[[#This Row],[OU]]/Mecze[[#This Row],[CZAS]])</f>
        <v>3.125E-2</v>
      </c>
      <c r="O987" s="32">
        <f>IF(Mecze[[#This Row],[PC]]=0,0,Mecze[[#This Row],[PC]]/Mecze[[#This Row],[CZAS]])</f>
        <v>5.2083333333333336E-2</v>
      </c>
      <c r="P987" s="32">
        <f>IF(Mecze[[#This Row],[SC]]=0,0,Mecze[[#This Row],[SC]]/Mecze[[#This Row],[CZAS]])</f>
        <v>0</v>
      </c>
      <c r="Q987" s="32">
        <f>IF(Mecze[[#This Row],[OB]]=0,0,Mecze[[#This Row],[OB]]/Mecze[[#This Row],[CZAS]])</f>
        <v>0</v>
      </c>
      <c r="R987" s="32">
        <f>IF(Mecze[[#This Row],[BR]]=0,0,Mecze[[#This Row],[BR]]/Mecze[[#This Row],[CZAS]])</f>
        <v>0</v>
      </c>
      <c r="S987" s="44">
        <f>IF(Mecze[[#This Row],[Role]]="BR",SUMPRODUCT(Mecze[[#This Row],[/PR:90]:[/BR:90]],Brudnopis!$E$23:$J$23),0)</f>
        <v>0</v>
      </c>
      <c r="T987" s="44">
        <f>IF(Mecze[[#This Row],[Role]]&lt;&gt;"BR",SUMPRODUCT(Mecze[[#This Row],[/PR:90]:[/BR:90]],Brudnopis!$E$24:$J$24),0)</f>
        <v>0.11979166666666666</v>
      </c>
      <c r="U987" s="44">
        <f>IF(Mecze[[#This Row],[Role]]&lt;&gt;"BR",SUMPRODUCT(Mecze[[#This Row],[/PR:90]:[/BR:90]],Brudnopis!$E$25:$J$25),0)</f>
        <v>0.13020833333333331</v>
      </c>
      <c r="V987" s="44">
        <f>IF(Mecze[[#This Row],[Role]]&lt;&gt;"BR",SUMPRODUCT(Mecze[[#This Row],[/PR:90]:[/BR:90]],Brudnopis!$E$26:$J$26),0)</f>
        <v>0.10416666666666666</v>
      </c>
      <c r="W987" s="44">
        <f>IF(Mecze[[#This Row],[Role]]&lt;&gt;"BR",SUMPRODUCT(Mecze[[#This Row],[/PR:90]:[/BR:90]],Brudnopis!$E$27:$J$27),0)</f>
        <v>0.1171875</v>
      </c>
      <c r="X987" s="44">
        <f>IF(Mecze[[#This Row],[Role]]&lt;&gt;"BR",SUMPRODUCT(Mecze[[#This Row],[/PR:90]:[/BR:90]],Brudnopis!$E$28:$J$28),0)</f>
        <v>5.2083333333333336E-2</v>
      </c>
      <c r="Y987" s="35">
        <f>IF(Mecze[[#This Row],[Role]]="BR",Mecze[[#This Row],[/OB:90]]+Mecze[[#This Row],[/PC:90]],SUM(Mecze[[#This Row],[/PR:90]:[/BR:90]]))</f>
        <v>0.10416666666666666</v>
      </c>
      <c r="Z987" s="35">
        <f>IF(Mecze[[#This Row],[KC]]=0,SUM(Mecze[[#This Row],[/BRI]:[/NPI]]),SUM(Mecze[[#This Row],[/BRI]:[/NPI]])*0.6)</f>
        <v>0.5234375</v>
      </c>
      <c r="AA987" s="10">
        <f>IFERROR(Mecze[[#This Row],[BR]]/Mecze[[#This Row],[ST]],0)</f>
        <v>0</v>
      </c>
      <c r="AB987">
        <f>ROUND(Mecze[[#This Row],[PD]]*Mecze[[#This Row],[%PC]],0)</f>
        <v>5</v>
      </c>
      <c r="AC987">
        <f>ROUND(Mecze[[#This Row],[OD]]*Mecze[[#This Row],[%OU]],0)</f>
        <v>3</v>
      </c>
      <c r="AD987" s="36" t="s">
        <v>175</v>
      </c>
      <c r="AE987" s="36">
        <v>56</v>
      </c>
      <c r="AF987" s="71">
        <v>7.49</v>
      </c>
      <c r="AG987" s="37">
        <v>0</v>
      </c>
      <c r="AH987" s="37">
        <v>0</v>
      </c>
      <c r="AI987" s="37">
        <v>96</v>
      </c>
      <c r="AJ987" s="37">
        <v>3</v>
      </c>
      <c r="AK987" s="37" t="str">
        <f>VLOOKUP(Mecze[[#This Row],[Match ID]],Meczusie[Mecz]:Meczusie[RodzajMeczu],2,FALSE)</f>
        <v>Liga</v>
      </c>
    </row>
    <row r="988" spans="1:37" x14ac:dyDescent="0.25">
      <c r="A988" s="76">
        <v>4</v>
      </c>
      <c r="B988" s="3" t="s">
        <v>264</v>
      </c>
      <c r="C988" s="2" t="s">
        <v>157</v>
      </c>
      <c r="D988" s="1">
        <v>0</v>
      </c>
      <c r="E988" s="1">
        <v>0</v>
      </c>
      <c r="F988" s="1">
        <v>0</v>
      </c>
      <c r="G988" s="1">
        <v>6</v>
      </c>
      <c r="H988" s="4">
        <v>0.83</v>
      </c>
      <c r="I988" s="1">
        <v>2</v>
      </c>
      <c r="J988" s="4">
        <v>1</v>
      </c>
      <c r="K988" s="1">
        <v>0</v>
      </c>
      <c r="L988" s="1">
        <v>2</v>
      </c>
      <c r="M988" s="32">
        <f>IF(Mecze[[#This Row],[PR]]=0,0,Mecze[[#This Row],[PR]]/Mecze[[#This Row],[CZAS]])</f>
        <v>2.0833333333333332E-2</v>
      </c>
      <c r="N988" s="32">
        <f>IF(Mecze[[#This Row],[OU]]=0,0,Mecze[[#This Row],[OU]]/Mecze[[#This Row],[CZAS]])</f>
        <v>2.0833333333333332E-2</v>
      </c>
      <c r="O988" s="32">
        <f>IF(Mecze[[#This Row],[PC]]=0,0,Mecze[[#This Row],[PC]]/Mecze[[#This Row],[CZAS]])</f>
        <v>5.2083333333333336E-2</v>
      </c>
      <c r="P988" s="32">
        <f>IF(Mecze[[#This Row],[SC]]=0,0,Mecze[[#This Row],[SC]]/Mecze[[#This Row],[CZAS]])</f>
        <v>0</v>
      </c>
      <c r="Q988" s="32">
        <f>IF(Mecze[[#This Row],[OB]]=0,0,Mecze[[#This Row],[OB]]/Mecze[[#This Row],[CZAS]])</f>
        <v>0</v>
      </c>
      <c r="R988" s="32">
        <f>IF(Mecze[[#This Row],[BR]]=0,0,Mecze[[#This Row],[BR]]/Mecze[[#This Row],[CZAS]])</f>
        <v>0</v>
      </c>
      <c r="S988" s="44">
        <f>IF(Mecze[[#This Row],[Role]]="BR",SUMPRODUCT(Mecze[[#This Row],[/PR:90]:[/BR:90]],Brudnopis!$E$23:$J$23),0)</f>
        <v>0</v>
      </c>
      <c r="T988" s="44">
        <f>IF(Mecze[[#This Row],[Role]]&lt;&gt;"BR",SUMPRODUCT(Mecze[[#This Row],[/PR:90]:[/BR:90]],Brudnopis!$E$24:$J$24),0)</f>
        <v>0.10416666666666666</v>
      </c>
      <c r="U988" s="44">
        <f>IF(Mecze[[#This Row],[Role]]&lt;&gt;"BR",SUMPRODUCT(Mecze[[#This Row],[/PR:90]:[/BR:90]],Brudnopis!$E$25:$J$25),0)</f>
        <v>0.11979166666666666</v>
      </c>
      <c r="V988" s="44">
        <f>IF(Mecze[[#This Row],[Role]]&lt;&gt;"BR",SUMPRODUCT(Mecze[[#This Row],[/PR:90]:[/BR:90]],Brudnopis!$E$26:$J$26),0)</f>
        <v>9.375E-2</v>
      </c>
      <c r="W988" s="44">
        <f>IF(Mecze[[#This Row],[Role]]&lt;&gt;"BR",SUMPRODUCT(Mecze[[#This Row],[/PR:90]:[/BR:90]],Brudnopis!$E$27:$J$27),0)</f>
        <v>0.109375</v>
      </c>
      <c r="X988" s="44">
        <f>IF(Mecze[[#This Row],[Role]]&lt;&gt;"BR",SUMPRODUCT(Mecze[[#This Row],[/PR:90]:[/BR:90]],Brudnopis!$E$28:$J$28),0)</f>
        <v>5.2083333333333336E-2</v>
      </c>
      <c r="Y988" s="35">
        <f>IF(Mecze[[#This Row],[Role]]="BR",Mecze[[#This Row],[/OB:90]]+Mecze[[#This Row],[/PC:90]],SUM(Mecze[[#This Row],[/PR:90]:[/BR:90]]))</f>
        <v>9.375E-2</v>
      </c>
      <c r="Z988" s="35">
        <f>IF(Mecze[[#This Row],[KC]]=0,SUM(Mecze[[#This Row],[/BRI]:[/NPI]]),SUM(Mecze[[#This Row],[/BRI]:[/NPI]])*0.6)</f>
        <v>0.47916666666666663</v>
      </c>
      <c r="AA988" s="10">
        <f>IFERROR(Mecze[[#This Row],[BR]]/Mecze[[#This Row],[ST]],0)</f>
        <v>0</v>
      </c>
      <c r="AB988">
        <f>ROUND(Mecze[[#This Row],[PD]]*Mecze[[#This Row],[%PC]],0)</f>
        <v>5</v>
      </c>
      <c r="AC988">
        <f>ROUND(Mecze[[#This Row],[OD]]*Mecze[[#This Row],[%OU]],0)</f>
        <v>2</v>
      </c>
      <c r="AD988" s="36" t="s">
        <v>174</v>
      </c>
      <c r="AE988" s="36">
        <v>56</v>
      </c>
      <c r="AF988" s="71">
        <v>4.34</v>
      </c>
      <c r="AG988" s="37">
        <v>0</v>
      </c>
      <c r="AH988" s="37">
        <v>0</v>
      </c>
      <c r="AI988" s="37">
        <v>96</v>
      </c>
      <c r="AJ988" s="37">
        <v>3</v>
      </c>
      <c r="AK988" s="37" t="str">
        <f>VLOOKUP(Mecze[[#This Row],[Match ID]],Meczusie[Mecz]:Meczusie[RodzajMeczu],2,FALSE)</f>
        <v>Liga</v>
      </c>
    </row>
    <row r="989" spans="1:37" x14ac:dyDescent="0.25">
      <c r="A989" s="76">
        <v>6</v>
      </c>
      <c r="B989" s="3" t="s">
        <v>263</v>
      </c>
      <c r="C989" s="2" t="s">
        <v>157</v>
      </c>
      <c r="D989" s="1">
        <v>0</v>
      </c>
      <c r="E989" s="1">
        <v>0</v>
      </c>
      <c r="F989" s="1">
        <v>0</v>
      </c>
      <c r="G989" s="1">
        <v>10</v>
      </c>
      <c r="H989" s="4">
        <v>0.8</v>
      </c>
      <c r="I989" s="1">
        <v>6</v>
      </c>
      <c r="J989" s="4">
        <v>0.67</v>
      </c>
      <c r="K989" s="1">
        <v>0</v>
      </c>
      <c r="L989" s="1">
        <v>5</v>
      </c>
      <c r="M989" s="32">
        <f>IF(Mecze[[#This Row],[PR]]=0,0,Mecze[[#This Row],[PR]]/Mecze[[#This Row],[CZAS]])</f>
        <v>5.2083333333333336E-2</v>
      </c>
      <c r="N989" s="32">
        <f>IF(Mecze[[#This Row],[OU]]=0,0,Mecze[[#This Row],[OU]]/Mecze[[#This Row],[CZAS]])</f>
        <v>4.1666666666666664E-2</v>
      </c>
      <c r="O989" s="32">
        <f>IF(Mecze[[#This Row],[PC]]=0,0,Mecze[[#This Row],[PC]]/Mecze[[#This Row],[CZAS]])</f>
        <v>8.3333333333333329E-2</v>
      </c>
      <c r="P989" s="32">
        <f>IF(Mecze[[#This Row],[SC]]=0,0,Mecze[[#This Row],[SC]]/Mecze[[#This Row],[CZAS]])</f>
        <v>0</v>
      </c>
      <c r="Q989" s="32">
        <f>IF(Mecze[[#This Row],[OB]]=0,0,Mecze[[#This Row],[OB]]/Mecze[[#This Row],[CZAS]])</f>
        <v>0</v>
      </c>
      <c r="R989" s="32">
        <f>IF(Mecze[[#This Row],[BR]]=0,0,Mecze[[#This Row],[BR]]/Mecze[[#This Row],[CZAS]])</f>
        <v>0</v>
      </c>
      <c r="S989" s="44">
        <f>IF(Mecze[[#This Row],[Role]]="BR",SUMPRODUCT(Mecze[[#This Row],[/PR:90]:[/BR:90]],Brudnopis!$E$23:$J$23),0)</f>
        <v>0</v>
      </c>
      <c r="T989" s="44">
        <f>IF(Mecze[[#This Row],[Role]]&lt;&gt;"BR",SUMPRODUCT(Mecze[[#This Row],[/PR:90]:[/BR:90]],Brudnopis!$E$24:$J$24),0)</f>
        <v>0.19791666666666669</v>
      </c>
      <c r="U989" s="44">
        <f>IF(Mecze[[#This Row],[Role]]&lt;&gt;"BR",SUMPRODUCT(Mecze[[#This Row],[/PR:90]:[/BR:90]],Brudnopis!$E$25:$J$25),0)</f>
        <v>0.21875</v>
      </c>
      <c r="V989" s="44">
        <f>IF(Mecze[[#This Row],[Role]]&lt;&gt;"BR",SUMPRODUCT(Mecze[[#This Row],[/PR:90]:[/BR:90]],Brudnopis!$E$26:$J$26),0)</f>
        <v>0.17708333333333331</v>
      </c>
      <c r="W989" s="44">
        <f>IF(Mecze[[#This Row],[Role]]&lt;&gt;"BR",SUMPRODUCT(Mecze[[#This Row],[/PR:90]:[/BR:90]],Brudnopis!$E$27:$J$27),0)</f>
        <v>0.1953125</v>
      </c>
      <c r="X989" s="44">
        <f>IF(Mecze[[#This Row],[Role]]&lt;&gt;"BR",SUMPRODUCT(Mecze[[#This Row],[/PR:90]:[/BR:90]],Brudnopis!$E$28:$J$28),0)</f>
        <v>8.3333333333333329E-2</v>
      </c>
      <c r="Y989" s="35">
        <f>IF(Mecze[[#This Row],[Role]]="BR",Mecze[[#This Row],[/OB:90]]+Mecze[[#This Row],[/PC:90]],SUM(Mecze[[#This Row],[/PR:90]:[/BR:90]]))</f>
        <v>0.17708333333333331</v>
      </c>
      <c r="Z989" s="35">
        <f>IF(Mecze[[#This Row],[KC]]=0,SUM(Mecze[[#This Row],[/BRI]:[/NPI]]),SUM(Mecze[[#This Row],[/BRI]:[/NPI]])*0.6)</f>
        <v>0.87239583333333337</v>
      </c>
      <c r="AA989" s="10">
        <f>IFERROR(Mecze[[#This Row],[BR]]/Mecze[[#This Row],[ST]],0)</f>
        <v>0</v>
      </c>
      <c r="AB989">
        <f>ROUND(Mecze[[#This Row],[PD]]*Mecze[[#This Row],[%PC]],0)</f>
        <v>8</v>
      </c>
      <c r="AC989">
        <f>ROUND(Mecze[[#This Row],[OD]]*Mecze[[#This Row],[%OU]],0)</f>
        <v>4</v>
      </c>
      <c r="AD989" s="36" t="s">
        <v>47</v>
      </c>
      <c r="AE989" s="36">
        <v>56</v>
      </c>
      <c r="AF989" s="71">
        <v>6.09</v>
      </c>
      <c r="AG989" s="37">
        <v>0</v>
      </c>
      <c r="AH989" s="37">
        <v>0</v>
      </c>
      <c r="AI989" s="37">
        <v>96</v>
      </c>
      <c r="AJ989" s="37">
        <v>3</v>
      </c>
      <c r="AK989" s="37" t="str">
        <f>VLOOKUP(Mecze[[#This Row],[Match ID]],Meczusie[Mecz]:Meczusie[RodzajMeczu],2,FALSE)</f>
        <v>Liga</v>
      </c>
    </row>
    <row r="990" spans="1:37" x14ac:dyDescent="0.25">
      <c r="A990" s="76">
        <v>2</v>
      </c>
      <c r="B990" s="3" t="s">
        <v>265</v>
      </c>
      <c r="C990" s="2" t="s">
        <v>157</v>
      </c>
      <c r="D990" s="1">
        <v>0</v>
      </c>
      <c r="E990" s="1">
        <v>0</v>
      </c>
      <c r="F990" s="1">
        <v>0</v>
      </c>
      <c r="G990" s="1">
        <v>13</v>
      </c>
      <c r="H990" s="4">
        <v>0.85</v>
      </c>
      <c r="I990" s="1">
        <v>4</v>
      </c>
      <c r="J990" s="4">
        <v>0.25</v>
      </c>
      <c r="K990" s="1">
        <v>0</v>
      </c>
      <c r="L990" s="1">
        <v>11</v>
      </c>
      <c r="M990" s="32">
        <f>IF(Mecze[[#This Row],[PR]]=0,0,Mecze[[#This Row],[PR]]/Mecze[[#This Row],[CZAS]])</f>
        <v>0.11458333333333333</v>
      </c>
      <c r="N990" s="32">
        <f>IF(Mecze[[#This Row],[OU]]=0,0,Mecze[[#This Row],[OU]]/Mecze[[#This Row],[CZAS]])</f>
        <v>1.0416666666666666E-2</v>
      </c>
      <c r="O990" s="32">
        <f>IF(Mecze[[#This Row],[PC]]=0,0,Mecze[[#This Row],[PC]]/Mecze[[#This Row],[CZAS]])</f>
        <v>0.11458333333333333</v>
      </c>
      <c r="P990" s="32">
        <f>IF(Mecze[[#This Row],[SC]]=0,0,Mecze[[#This Row],[SC]]/Mecze[[#This Row],[CZAS]])</f>
        <v>0</v>
      </c>
      <c r="Q990" s="32">
        <f>IF(Mecze[[#This Row],[OB]]=0,0,Mecze[[#This Row],[OB]]/Mecze[[#This Row],[CZAS]])</f>
        <v>0</v>
      </c>
      <c r="R990" s="32">
        <f>IF(Mecze[[#This Row],[BR]]=0,0,Mecze[[#This Row],[BR]]/Mecze[[#This Row],[CZAS]])</f>
        <v>0</v>
      </c>
      <c r="S990" s="44">
        <f>IF(Mecze[[#This Row],[Role]]="BR",SUMPRODUCT(Mecze[[#This Row],[/PR:90]:[/BR:90]],Brudnopis!$E$23:$J$23),0)</f>
        <v>0</v>
      </c>
      <c r="T990" s="44">
        <f>IF(Mecze[[#This Row],[Role]]&lt;&gt;"BR",SUMPRODUCT(Mecze[[#This Row],[/PR:90]:[/BR:90]],Brudnopis!$E$24:$J$24),0)</f>
        <v>0.24479166666666663</v>
      </c>
      <c r="U990" s="44">
        <f>IF(Mecze[[#This Row],[Role]]&lt;&gt;"BR",SUMPRODUCT(Mecze[[#This Row],[/PR:90]:[/BR:90]],Brudnopis!$E$25:$J$25),0)</f>
        <v>0.296875</v>
      </c>
      <c r="V990" s="44">
        <f>IF(Mecze[[#This Row],[Role]]&lt;&gt;"BR",SUMPRODUCT(Mecze[[#This Row],[/PR:90]:[/BR:90]],Brudnopis!$E$26:$J$26),0)</f>
        <v>0.23958333333333331</v>
      </c>
      <c r="W990" s="44">
        <f>IF(Mecze[[#This Row],[Role]]&lt;&gt;"BR",SUMPRODUCT(Mecze[[#This Row],[/PR:90]:[/BR:90]],Brudnopis!$E$27:$J$27),0)</f>
        <v>0.265625</v>
      </c>
      <c r="X990" s="44">
        <f>IF(Mecze[[#This Row],[Role]]&lt;&gt;"BR",SUMPRODUCT(Mecze[[#This Row],[/PR:90]:[/BR:90]],Brudnopis!$E$28:$J$28),0)</f>
        <v>0.11458333333333333</v>
      </c>
      <c r="Y990" s="35">
        <f>IF(Mecze[[#This Row],[Role]]="BR",Mecze[[#This Row],[/OB:90]]+Mecze[[#This Row],[/PC:90]],SUM(Mecze[[#This Row],[/PR:90]:[/BR:90]]))</f>
        <v>0.23958333333333331</v>
      </c>
      <c r="Z990" s="35">
        <f>IF(Mecze[[#This Row],[KC]]=0,SUM(Mecze[[#This Row],[/BRI]:[/NPI]]),SUM(Mecze[[#This Row],[/BRI]:[/NPI]])*0.6)</f>
        <v>1.1614583333333333</v>
      </c>
      <c r="AA990" s="10">
        <f>IFERROR(Mecze[[#This Row],[BR]]/Mecze[[#This Row],[ST]],0)</f>
        <v>0</v>
      </c>
      <c r="AB990">
        <f>ROUND(Mecze[[#This Row],[PD]]*Mecze[[#This Row],[%PC]],0)</f>
        <v>11</v>
      </c>
      <c r="AC990">
        <f>ROUND(Mecze[[#This Row],[OD]]*Mecze[[#This Row],[%OU]],0)</f>
        <v>1</v>
      </c>
      <c r="AD990" s="36" t="s">
        <v>47</v>
      </c>
      <c r="AE990" s="36">
        <v>56</v>
      </c>
      <c r="AF990" s="71">
        <v>6.23</v>
      </c>
      <c r="AG990" s="37">
        <v>0</v>
      </c>
      <c r="AH990" s="37">
        <v>0</v>
      </c>
      <c r="AI990" s="37">
        <v>96</v>
      </c>
      <c r="AJ990" s="37">
        <v>3</v>
      </c>
      <c r="AK990" s="37" t="str">
        <f>VLOOKUP(Mecze[[#This Row],[Match ID]],Meczusie[Mecz]:Meczusie[RodzajMeczu],2,FALSE)</f>
        <v>Liga</v>
      </c>
    </row>
    <row r="991" spans="1:37" x14ac:dyDescent="0.25">
      <c r="A991" s="76">
        <v>9</v>
      </c>
      <c r="B991" s="3" t="s">
        <v>266</v>
      </c>
      <c r="C991" s="2" t="s">
        <v>160</v>
      </c>
      <c r="D991" s="1">
        <v>0</v>
      </c>
      <c r="E991" s="1">
        <v>0</v>
      </c>
      <c r="F991" s="1">
        <v>0</v>
      </c>
      <c r="G991" s="1">
        <v>9</v>
      </c>
      <c r="H991" s="4">
        <v>0.56000000000000005</v>
      </c>
      <c r="I991" s="1">
        <v>2</v>
      </c>
      <c r="J991" s="4">
        <v>0.5</v>
      </c>
      <c r="K991" s="1">
        <v>0</v>
      </c>
      <c r="L991" s="1">
        <v>6</v>
      </c>
      <c r="M991" s="32">
        <f>IF(Mecze[[#This Row],[PR]]=0,0,Mecze[[#This Row],[PR]]/Mecze[[#This Row],[CZAS]])</f>
        <v>9.2307692307692313E-2</v>
      </c>
      <c r="N991" s="32">
        <f>IF(Mecze[[#This Row],[OU]]=0,0,Mecze[[#This Row],[OU]]/Mecze[[#This Row],[CZAS]])</f>
        <v>1.5384615384615385E-2</v>
      </c>
      <c r="O991" s="32">
        <f>IF(Mecze[[#This Row],[PC]]=0,0,Mecze[[#This Row],[PC]]/Mecze[[#This Row],[CZAS]])</f>
        <v>7.6923076923076927E-2</v>
      </c>
      <c r="P991" s="32">
        <f>IF(Mecze[[#This Row],[SC]]=0,0,Mecze[[#This Row],[SC]]/Mecze[[#This Row],[CZAS]])</f>
        <v>0</v>
      </c>
      <c r="Q991" s="32">
        <f>IF(Mecze[[#This Row],[OB]]=0,0,Mecze[[#This Row],[OB]]/Mecze[[#This Row],[CZAS]])</f>
        <v>0</v>
      </c>
      <c r="R991" s="32">
        <f>IF(Mecze[[#This Row],[BR]]=0,0,Mecze[[#This Row],[BR]]/Mecze[[#This Row],[CZAS]])</f>
        <v>0</v>
      </c>
      <c r="S991" s="44">
        <f>IF(Mecze[[#This Row],[Role]]="BR",SUMPRODUCT(Mecze[[#This Row],[/PR:90]:[/BR:90]],Brudnopis!$E$23:$J$23),0)</f>
        <v>0</v>
      </c>
      <c r="T991" s="44">
        <f>IF(Mecze[[#This Row],[Role]]&lt;&gt;"BR",SUMPRODUCT(Mecze[[#This Row],[/PR:90]:[/BR:90]],Brudnopis!$E$24:$J$24),0)</f>
        <v>0.19230769230769232</v>
      </c>
      <c r="U991" s="44">
        <f>IF(Mecze[[#This Row],[Role]]&lt;&gt;"BR",SUMPRODUCT(Mecze[[#This Row],[/PR:90]:[/BR:90]],Brudnopis!$E$25:$J$25),0)</f>
        <v>0.22307692307692309</v>
      </c>
      <c r="V991" s="44">
        <f>IF(Mecze[[#This Row],[Role]]&lt;&gt;"BR",SUMPRODUCT(Mecze[[#This Row],[/PR:90]:[/BR:90]],Brudnopis!$E$26:$J$26),0)</f>
        <v>0.18461538461538463</v>
      </c>
      <c r="W991" s="44">
        <f>IF(Mecze[[#This Row],[Role]]&lt;&gt;"BR",SUMPRODUCT(Mecze[[#This Row],[/PR:90]:[/BR:90]],Brudnopis!$E$27:$J$27),0)</f>
        <v>0.19615384615384618</v>
      </c>
      <c r="X991" s="44">
        <f>IF(Mecze[[#This Row],[Role]]&lt;&gt;"BR",SUMPRODUCT(Mecze[[#This Row],[/PR:90]:[/BR:90]],Brudnopis!$E$28:$J$28),0)</f>
        <v>7.6923076923076927E-2</v>
      </c>
      <c r="Y991" s="35">
        <f>IF(Mecze[[#This Row],[Role]]="BR",Mecze[[#This Row],[/OB:90]]+Mecze[[#This Row],[/PC:90]],SUM(Mecze[[#This Row],[/PR:90]:[/BR:90]]))</f>
        <v>0.18461538461538463</v>
      </c>
      <c r="Z991" s="35">
        <f>IF(Mecze[[#This Row],[KC]]=0,SUM(Mecze[[#This Row],[/BRI]:[/NPI]]),SUM(Mecze[[#This Row],[/BRI]:[/NPI]])*0.6)</f>
        <v>0.87307692307692308</v>
      </c>
      <c r="AA991" s="10">
        <f>IFERROR(Mecze[[#This Row],[BR]]/Mecze[[#This Row],[ST]],0)</f>
        <v>0</v>
      </c>
      <c r="AB991">
        <f>ROUND(Mecze[[#This Row],[PD]]*Mecze[[#This Row],[%PC]],0)</f>
        <v>5</v>
      </c>
      <c r="AC991">
        <f>ROUND(Mecze[[#This Row],[OD]]*Mecze[[#This Row],[%OU]],0)</f>
        <v>1</v>
      </c>
      <c r="AD991" s="36" t="s">
        <v>67</v>
      </c>
      <c r="AE991" s="36">
        <v>56</v>
      </c>
      <c r="AF991" s="71">
        <v>6.39</v>
      </c>
      <c r="AG991" s="37">
        <v>0</v>
      </c>
      <c r="AH991" s="37">
        <v>0</v>
      </c>
      <c r="AI991" s="37">
        <v>65</v>
      </c>
      <c r="AJ991" s="37">
        <v>3</v>
      </c>
      <c r="AK991" s="37" t="str">
        <f>VLOOKUP(Mecze[[#This Row],[Match ID]],Meczusie[Mecz]:Meczusie[RodzajMeczu],2,FALSE)</f>
        <v>Liga</v>
      </c>
    </row>
    <row r="992" spans="1:37" x14ac:dyDescent="0.25">
      <c r="A992" s="76">
        <v>5</v>
      </c>
      <c r="B992" s="3" t="s">
        <v>267</v>
      </c>
      <c r="C992" s="2" t="s">
        <v>160</v>
      </c>
      <c r="D992" s="1">
        <v>0</v>
      </c>
      <c r="E992" s="1">
        <v>0</v>
      </c>
      <c r="F992" s="1">
        <v>0</v>
      </c>
      <c r="G992" s="1">
        <v>17</v>
      </c>
      <c r="H992" s="4">
        <v>0.82</v>
      </c>
      <c r="I992" s="1">
        <v>3</v>
      </c>
      <c r="J992" s="4">
        <v>0.67</v>
      </c>
      <c r="K992" s="1">
        <v>0</v>
      </c>
      <c r="L992" s="1">
        <v>6</v>
      </c>
      <c r="M992" s="32">
        <f>IF(Mecze[[#This Row],[PR]]=0,0,Mecze[[#This Row],[PR]]/Mecze[[#This Row],[CZAS]])</f>
        <v>6.25E-2</v>
      </c>
      <c r="N992" s="32">
        <f>IF(Mecze[[#This Row],[OU]]=0,0,Mecze[[#This Row],[OU]]/Mecze[[#This Row],[CZAS]])</f>
        <v>2.0833333333333332E-2</v>
      </c>
      <c r="O992" s="32">
        <f>IF(Mecze[[#This Row],[PC]]=0,0,Mecze[[#This Row],[PC]]/Mecze[[#This Row],[CZAS]])</f>
        <v>0.14583333333333334</v>
      </c>
      <c r="P992" s="32">
        <f>IF(Mecze[[#This Row],[SC]]=0,0,Mecze[[#This Row],[SC]]/Mecze[[#This Row],[CZAS]])</f>
        <v>0</v>
      </c>
      <c r="Q992" s="32">
        <f>IF(Mecze[[#This Row],[OB]]=0,0,Mecze[[#This Row],[OB]]/Mecze[[#This Row],[CZAS]])</f>
        <v>0</v>
      </c>
      <c r="R992" s="32">
        <f>IF(Mecze[[#This Row],[BR]]=0,0,Mecze[[#This Row],[BR]]/Mecze[[#This Row],[CZAS]])</f>
        <v>0</v>
      </c>
      <c r="S992" s="44">
        <f>IF(Mecze[[#This Row],[Role]]="BR",SUMPRODUCT(Mecze[[#This Row],[/PR:90]:[/BR:90]],Brudnopis!$E$23:$J$23),0)</f>
        <v>0</v>
      </c>
      <c r="T992" s="44">
        <f>IF(Mecze[[#This Row],[Role]]&lt;&gt;"BR",SUMPRODUCT(Mecze[[#This Row],[/PR:90]:[/BR:90]],Brudnopis!$E$24:$J$24),0)</f>
        <v>0.23958333333333334</v>
      </c>
      <c r="U992" s="44">
        <f>IF(Mecze[[#This Row],[Role]]&lt;&gt;"BR",SUMPRODUCT(Mecze[[#This Row],[/PR:90]:[/BR:90]],Brudnopis!$E$25:$J$25),0)</f>
        <v>0.30208333333333331</v>
      </c>
      <c r="V992" s="44">
        <f>IF(Mecze[[#This Row],[Role]]&lt;&gt;"BR",SUMPRODUCT(Mecze[[#This Row],[/PR:90]:[/BR:90]],Brudnopis!$E$26:$J$26),0)</f>
        <v>0.22916666666666669</v>
      </c>
      <c r="W992" s="44">
        <f>IF(Mecze[[#This Row],[Role]]&lt;&gt;"BR",SUMPRODUCT(Mecze[[#This Row],[/PR:90]:[/BR:90]],Brudnopis!$E$27:$J$27),0)</f>
        <v>0.28125</v>
      </c>
      <c r="X992" s="44">
        <f>IF(Mecze[[#This Row],[Role]]&lt;&gt;"BR",SUMPRODUCT(Mecze[[#This Row],[/PR:90]:[/BR:90]],Brudnopis!$E$28:$J$28),0)</f>
        <v>0.14583333333333334</v>
      </c>
      <c r="Y992" s="35">
        <f>IF(Mecze[[#This Row],[Role]]="BR",Mecze[[#This Row],[/OB:90]]+Mecze[[#This Row],[/PC:90]],SUM(Mecze[[#This Row],[/PR:90]:[/BR:90]]))</f>
        <v>0.22916666666666669</v>
      </c>
      <c r="Z992" s="35">
        <f>IF(Mecze[[#This Row],[KC]]=0,SUM(Mecze[[#This Row],[/BRI]:[/NPI]]),SUM(Mecze[[#This Row],[/BRI]:[/NPI]])*0.6)</f>
        <v>1.1979166666666665</v>
      </c>
      <c r="AA992" s="10">
        <f>IFERROR(Mecze[[#This Row],[BR]]/Mecze[[#This Row],[ST]],0)</f>
        <v>0</v>
      </c>
      <c r="AB992">
        <f>ROUND(Mecze[[#This Row],[PD]]*Mecze[[#This Row],[%PC]],0)</f>
        <v>14</v>
      </c>
      <c r="AC992">
        <f>ROUND(Mecze[[#This Row],[OD]]*Mecze[[#This Row],[%OU]],0)</f>
        <v>2</v>
      </c>
      <c r="AD992" s="36" t="s">
        <v>67</v>
      </c>
      <c r="AE992" s="36">
        <v>56</v>
      </c>
      <c r="AF992" s="71">
        <v>7.3</v>
      </c>
      <c r="AG992" s="37">
        <v>0</v>
      </c>
      <c r="AH992" s="37">
        <v>0</v>
      </c>
      <c r="AI992" s="37">
        <v>96</v>
      </c>
      <c r="AJ992" s="37">
        <v>3</v>
      </c>
      <c r="AK992" s="37" t="str">
        <f>VLOOKUP(Mecze[[#This Row],[Match ID]],Meczusie[Mecz]:Meczusie[RodzajMeczu],2,FALSE)</f>
        <v>Liga</v>
      </c>
    </row>
    <row r="993" spans="1:37" x14ac:dyDescent="0.25">
      <c r="A993" s="76">
        <v>3</v>
      </c>
      <c r="B993" s="3" t="s">
        <v>268</v>
      </c>
      <c r="C993" s="2" t="s">
        <v>160</v>
      </c>
      <c r="D993" s="1">
        <v>1</v>
      </c>
      <c r="E993" s="1">
        <v>3</v>
      </c>
      <c r="F993" s="1">
        <v>2</v>
      </c>
      <c r="G993" s="1">
        <v>14</v>
      </c>
      <c r="H993" s="4">
        <v>0.71</v>
      </c>
      <c r="I993" s="1">
        <v>3</v>
      </c>
      <c r="J993" s="4">
        <v>0</v>
      </c>
      <c r="K993" s="1">
        <v>0</v>
      </c>
      <c r="L993" s="1">
        <v>6</v>
      </c>
      <c r="M993" s="32">
        <f>IF(Mecze[[#This Row],[PR]]=0,0,Mecze[[#This Row],[PR]]/Mecze[[#This Row],[CZAS]])</f>
        <v>6.25E-2</v>
      </c>
      <c r="N993" s="32">
        <f>IF(Mecze[[#This Row],[OU]]=0,0,Mecze[[#This Row],[OU]]/Mecze[[#This Row],[CZAS]])</f>
        <v>0</v>
      </c>
      <c r="O993" s="32">
        <f>IF(Mecze[[#This Row],[PC]]=0,0,Mecze[[#This Row],[PC]]/Mecze[[#This Row],[CZAS]])</f>
        <v>0.10416666666666667</v>
      </c>
      <c r="P993" s="32">
        <f>IF(Mecze[[#This Row],[SC]]=0,0,Mecze[[#This Row],[SC]]/Mecze[[#This Row],[CZAS]])</f>
        <v>2.0833333333333332E-2</v>
      </c>
      <c r="Q993" s="32">
        <f>IF(Mecze[[#This Row],[OB]]=0,0,Mecze[[#This Row],[OB]]/Mecze[[#This Row],[CZAS]])</f>
        <v>0</v>
      </c>
      <c r="R993" s="32">
        <f>IF(Mecze[[#This Row],[BR]]=0,0,Mecze[[#This Row],[BR]]/Mecze[[#This Row],[CZAS]])</f>
        <v>1.0416666666666666E-2</v>
      </c>
      <c r="S993" s="44">
        <f>IF(Mecze[[#This Row],[Role]]="BR",SUMPRODUCT(Mecze[[#This Row],[/PR:90]:[/BR:90]],Brudnopis!$E$23:$J$23),0)</f>
        <v>0</v>
      </c>
      <c r="T993" s="44">
        <f>IF(Mecze[[#This Row],[Role]]&lt;&gt;"BR",SUMPRODUCT(Mecze[[#This Row],[/PR:90]:[/BR:90]],Brudnopis!$E$24:$J$24),0)</f>
        <v>0.20312500000000003</v>
      </c>
      <c r="U993" s="44">
        <f>IF(Mecze[[#This Row],[Role]]&lt;&gt;"BR",SUMPRODUCT(Mecze[[#This Row],[/PR:90]:[/BR:90]],Brudnopis!$E$25:$J$25),0)</f>
        <v>0.25520833333333337</v>
      </c>
      <c r="V993" s="44">
        <f>IF(Mecze[[#This Row],[Role]]&lt;&gt;"BR",SUMPRODUCT(Mecze[[#This Row],[/PR:90]:[/BR:90]],Brudnopis!$E$26:$J$26),0)</f>
        <v>0.20833333333333337</v>
      </c>
      <c r="W993" s="44">
        <f>IF(Mecze[[#This Row],[Role]]&lt;&gt;"BR",SUMPRODUCT(Mecze[[#This Row],[/PR:90]:[/BR:90]],Brudnopis!$E$27:$J$27),0)</f>
        <v>0.24479166666666669</v>
      </c>
      <c r="X993" s="44">
        <f>IF(Mecze[[#This Row],[Role]]&lt;&gt;"BR",SUMPRODUCT(Mecze[[#This Row],[/PR:90]:[/BR:90]],Brudnopis!$E$28:$J$28),0)</f>
        <v>0.17708333333333334</v>
      </c>
      <c r="Y993" s="35">
        <f>IF(Mecze[[#This Row],[Role]]="BR",Mecze[[#This Row],[/OB:90]]+Mecze[[#This Row],[/PC:90]],SUM(Mecze[[#This Row],[/PR:90]:[/BR:90]]))</f>
        <v>0.19791666666666669</v>
      </c>
      <c r="Z993" s="35">
        <f>IF(Mecze[[#This Row],[KC]]=0,SUM(Mecze[[#This Row],[/BRI]:[/NPI]]),SUM(Mecze[[#This Row],[/BRI]:[/NPI]])*0.6)</f>
        <v>1.0885416666666667</v>
      </c>
      <c r="AA993" s="10">
        <f>IFERROR(Mecze[[#This Row],[BR]]/Mecze[[#This Row],[ST]],0)</f>
        <v>0.33333333333333331</v>
      </c>
      <c r="AB993">
        <f>ROUND(Mecze[[#This Row],[PD]]*Mecze[[#This Row],[%PC]],0)</f>
        <v>10</v>
      </c>
      <c r="AC993">
        <f>ROUND(Mecze[[#This Row],[OD]]*Mecze[[#This Row],[%OU]],0)</f>
        <v>0</v>
      </c>
      <c r="AD993" s="36" t="s">
        <v>44</v>
      </c>
      <c r="AE993" s="36">
        <v>56</v>
      </c>
      <c r="AF993" s="71">
        <v>8.9600000000000009</v>
      </c>
      <c r="AG993" s="37">
        <v>0</v>
      </c>
      <c r="AH993" s="37">
        <v>0</v>
      </c>
      <c r="AI993" s="37">
        <v>96</v>
      </c>
      <c r="AJ993" s="37">
        <v>3</v>
      </c>
      <c r="AK993" s="37" t="str">
        <f>VLOOKUP(Mecze[[#This Row],[Match ID]],Meczusie[Mecz]:Meczusie[RodzajMeczu],2,FALSE)</f>
        <v>Liga</v>
      </c>
    </row>
    <row r="994" spans="1:37" x14ac:dyDescent="0.25">
      <c r="A994" s="76">
        <v>8</v>
      </c>
      <c r="B994" s="3" t="s">
        <v>269</v>
      </c>
      <c r="C994" s="2" t="s">
        <v>165</v>
      </c>
      <c r="D994" s="1">
        <v>1</v>
      </c>
      <c r="E994" s="1">
        <v>4</v>
      </c>
      <c r="F994" s="1">
        <v>2</v>
      </c>
      <c r="G994" s="1">
        <v>6</v>
      </c>
      <c r="H994" s="4">
        <v>0.83</v>
      </c>
      <c r="I994" s="1">
        <v>9</v>
      </c>
      <c r="J994" s="4">
        <v>0.44</v>
      </c>
      <c r="K994" s="1">
        <v>0</v>
      </c>
      <c r="L994" s="1">
        <v>1</v>
      </c>
      <c r="M994" s="32">
        <f>IF(Mecze[[#This Row],[PR]]=0,0,Mecze[[#This Row],[PR]]/Mecze[[#This Row],[CZAS]])</f>
        <v>1.0416666666666666E-2</v>
      </c>
      <c r="N994" s="32">
        <f>IF(Mecze[[#This Row],[OU]]=0,0,Mecze[[#This Row],[OU]]/Mecze[[#This Row],[CZAS]])</f>
        <v>4.1666666666666664E-2</v>
      </c>
      <c r="O994" s="32">
        <f>IF(Mecze[[#This Row],[PC]]=0,0,Mecze[[#This Row],[PC]]/Mecze[[#This Row],[CZAS]])</f>
        <v>5.2083333333333336E-2</v>
      </c>
      <c r="P994" s="32">
        <f>IF(Mecze[[#This Row],[SC]]=0,0,Mecze[[#This Row],[SC]]/Mecze[[#This Row],[CZAS]])</f>
        <v>2.0833333333333332E-2</v>
      </c>
      <c r="Q994" s="32">
        <f>IF(Mecze[[#This Row],[OB]]=0,0,Mecze[[#This Row],[OB]]/Mecze[[#This Row],[CZAS]])</f>
        <v>0</v>
      </c>
      <c r="R994" s="32">
        <f>IF(Mecze[[#This Row],[BR]]=0,0,Mecze[[#This Row],[BR]]/Mecze[[#This Row],[CZAS]])</f>
        <v>1.0416666666666666E-2</v>
      </c>
      <c r="S994" s="44">
        <f>IF(Mecze[[#This Row],[Role]]="BR",SUMPRODUCT(Mecze[[#This Row],[/PR:90]:[/BR:90]],Brudnopis!$E$23:$J$23),0)</f>
        <v>0</v>
      </c>
      <c r="T994" s="44">
        <f>IF(Mecze[[#This Row],[Role]]&lt;&gt;"BR",SUMPRODUCT(Mecze[[#This Row],[/PR:90]:[/BR:90]],Brudnopis!$E$24:$J$24),0)</f>
        <v>0.16145833333333334</v>
      </c>
      <c r="U994" s="44">
        <f>IF(Mecze[[#This Row],[Role]]&lt;&gt;"BR",SUMPRODUCT(Mecze[[#This Row],[/PR:90]:[/BR:90]],Brudnopis!$E$25:$J$25),0)</f>
        <v>0.16666666666666666</v>
      </c>
      <c r="V994" s="44">
        <f>IF(Mecze[[#This Row],[Role]]&lt;&gt;"BR",SUMPRODUCT(Mecze[[#This Row],[/PR:90]:[/BR:90]],Brudnopis!$E$26:$J$26),0)</f>
        <v>0.14583333333333331</v>
      </c>
      <c r="W994" s="44">
        <f>IF(Mecze[[#This Row],[Role]]&lt;&gt;"BR",SUMPRODUCT(Mecze[[#This Row],[/PR:90]:[/BR:90]],Brudnopis!$E$27:$J$27),0)</f>
        <v>0.15885416666666669</v>
      </c>
      <c r="X994" s="44">
        <f>IF(Mecze[[#This Row],[Role]]&lt;&gt;"BR",SUMPRODUCT(Mecze[[#This Row],[/PR:90]:[/BR:90]],Brudnopis!$E$28:$J$28),0)</f>
        <v>0.125</v>
      </c>
      <c r="Y994" s="35">
        <f>IF(Mecze[[#This Row],[Role]]="BR",Mecze[[#This Row],[/OB:90]]+Mecze[[#This Row],[/PC:90]],SUM(Mecze[[#This Row],[/PR:90]:[/BR:90]]))</f>
        <v>0.13541666666666666</v>
      </c>
      <c r="Z994" s="35">
        <f>IF(Mecze[[#This Row],[KC]]=0,SUM(Mecze[[#This Row],[/BRI]:[/NPI]]),SUM(Mecze[[#This Row],[/BRI]:[/NPI]])*0.6)</f>
        <v>0.7578125</v>
      </c>
      <c r="AA994" s="10">
        <f>IFERROR(Mecze[[#This Row],[BR]]/Mecze[[#This Row],[ST]],0)</f>
        <v>0.25</v>
      </c>
      <c r="AB994">
        <f>ROUND(Mecze[[#This Row],[PD]]*Mecze[[#This Row],[%PC]],0)</f>
        <v>5</v>
      </c>
      <c r="AC994">
        <f>ROUND(Mecze[[#This Row],[OD]]*Mecze[[#This Row],[%OU]],0)</f>
        <v>4</v>
      </c>
      <c r="AD994" s="36" t="s">
        <v>272</v>
      </c>
      <c r="AE994" s="36">
        <v>56</v>
      </c>
      <c r="AF994" s="71">
        <v>8.92</v>
      </c>
      <c r="AG994" s="37">
        <v>0</v>
      </c>
      <c r="AH994" s="37">
        <v>0</v>
      </c>
      <c r="AI994" s="37">
        <v>96</v>
      </c>
      <c r="AJ994" s="37">
        <v>3</v>
      </c>
      <c r="AK994" s="37" t="str">
        <f>VLOOKUP(Mecze[[#This Row],[Match ID]],Meczusie[Mecz]:Meczusie[RodzajMeczu],2,FALSE)</f>
        <v>Liga</v>
      </c>
    </row>
    <row r="995" spans="1:37" x14ac:dyDescent="0.25">
      <c r="A995" s="76">
        <v>11</v>
      </c>
      <c r="B995" s="3" t="s">
        <v>270</v>
      </c>
      <c r="C995" s="2" t="s">
        <v>165</v>
      </c>
      <c r="D995" s="1">
        <v>0</v>
      </c>
      <c r="E995" s="1">
        <v>7</v>
      </c>
      <c r="F995" s="1">
        <v>5</v>
      </c>
      <c r="G995" s="1">
        <v>8</v>
      </c>
      <c r="H995" s="4">
        <v>1</v>
      </c>
      <c r="I995" s="1">
        <v>5</v>
      </c>
      <c r="J995" s="4">
        <v>0.6</v>
      </c>
      <c r="K995" s="1">
        <v>0</v>
      </c>
      <c r="L995" s="1">
        <v>2</v>
      </c>
      <c r="M995" s="32">
        <f>IF(Mecze[[#This Row],[PR]]=0,0,Mecze[[#This Row],[PR]]/Mecze[[#This Row],[CZAS]])</f>
        <v>2.0833333333333332E-2</v>
      </c>
      <c r="N995" s="32">
        <f>IF(Mecze[[#This Row],[OU]]=0,0,Mecze[[#This Row],[OU]]/Mecze[[#This Row],[CZAS]])</f>
        <v>3.125E-2</v>
      </c>
      <c r="O995" s="32">
        <f>IF(Mecze[[#This Row],[PC]]=0,0,Mecze[[#This Row],[PC]]/Mecze[[#This Row],[CZAS]])</f>
        <v>8.3333333333333329E-2</v>
      </c>
      <c r="P995" s="32">
        <f>IF(Mecze[[#This Row],[SC]]=0,0,Mecze[[#This Row],[SC]]/Mecze[[#This Row],[CZAS]])</f>
        <v>5.2083333333333336E-2</v>
      </c>
      <c r="Q995" s="32">
        <f>IF(Mecze[[#This Row],[OB]]=0,0,Mecze[[#This Row],[OB]]/Mecze[[#This Row],[CZAS]])</f>
        <v>0</v>
      </c>
      <c r="R995" s="32">
        <f>IF(Mecze[[#This Row],[BR]]=0,0,Mecze[[#This Row],[BR]]/Mecze[[#This Row],[CZAS]])</f>
        <v>0</v>
      </c>
      <c r="S995" s="44">
        <f>IF(Mecze[[#This Row],[Role]]="BR",SUMPRODUCT(Mecze[[#This Row],[/PR:90]:[/BR:90]],Brudnopis!$E$23:$J$23),0)</f>
        <v>0</v>
      </c>
      <c r="T995" s="44">
        <f>IF(Mecze[[#This Row],[Role]]&lt;&gt;"BR",SUMPRODUCT(Mecze[[#This Row],[/PR:90]:[/BR:90]],Brudnopis!$E$24:$J$24),0)</f>
        <v>0.203125</v>
      </c>
      <c r="U995" s="44">
        <f>IF(Mecze[[#This Row],[Role]]&lt;&gt;"BR",SUMPRODUCT(Mecze[[#This Row],[/PR:90]:[/BR:90]],Brudnopis!$E$25:$J$25),0)</f>
        <v>0.22916666666666666</v>
      </c>
      <c r="V995" s="44">
        <f>IF(Mecze[[#This Row],[Role]]&lt;&gt;"BR",SUMPRODUCT(Mecze[[#This Row],[/PR:90]:[/BR:90]],Brudnopis!$E$26:$J$26),0)</f>
        <v>0.1875</v>
      </c>
      <c r="W995" s="44">
        <f>IF(Mecze[[#This Row],[Role]]&lt;&gt;"BR",SUMPRODUCT(Mecze[[#This Row],[/PR:90]:[/BR:90]],Brudnopis!$E$27:$J$27),0)</f>
        <v>0.21614583333333334</v>
      </c>
      <c r="X995" s="44">
        <f>IF(Mecze[[#This Row],[Role]]&lt;&gt;"BR",SUMPRODUCT(Mecze[[#This Row],[/PR:90]:[/BR:90]],Brudnopis!$E$28:$J$28),0)</f>
        <v>0.1875</v>
      </c>
      <c r="Y995" s="35">
        <f>IF(Mecze[[#This Row],[Role]]="BR",Mecze[[#This Row],[/OB:90]]+Mecze[[#This Row],[/PC:90]],SUM(Mecze[[#This Row],[/PR:90]:[/BR:90]]))</f>
        <v>0.1875</v>
      </c>
      <c r="Z995" s="35">
        <f>IF(Mecze[[#This Row],[KC]]=0,SUM(Mecze[[#This Row],[/BRI]:[/NPI]]),SUM(Mecze[[#This Row],[/BRI]:[/NPI]])*0.6)</f>
        <v>1.0234375</v>
      </c>
      <c r="AA995" s="10">
        <f>IFERROR(Mecze[[#This Row],[BR]]/Mecze[[#This Row],[ST]],0)</f>
        <v>0</v>
      </c>
      <c r="AB995">
        <f>ROUND(Mecze[[#This Row],[PD]]*Mecze[[#This Row],[%PC]],0)</f>
        <v>8</v>
      </c>
      <c r="AC995">
        <f>ROUND(Mecze[[#This Row],[OD]]*Mecze[[#This Row],[%OU]],0)</f>
        <v>3</v>
      </c>
      <c r="AD995" s="36" t="s">
        <v>273</v>
      </c>
      <c r="AE995" s="36">
        <v>56</v>
      </c>
      <c r="AF995" s="71">
        <v>8.17</v>
      </c>
      <c r="AG995" s="37">
        <v>0</v>
      </c>
      <c r="AH995" s="37">
        <v>0</v>
      </c>
      <c r="AI995" s="37">
        <v>96</v>
      </c>
      <c r="AJ995" s="37">
        <v>3</v>
      </c>
      <c r="AK995" s="37" t="str">
        <f>VLOOKUP(Mecze[[#This Row],[Match ID]],Meczusie[Mecz]:Meczusie[RodzajMeczu],2,FALSE)</f>
        <v>Liga</v>
      </c>
    </row>
    <row r="996" spans="1:37" x14ac:dyDescent="0.25">
      <c r="A996" s="76">
        <v>10</v>
      </c>
      <c r="B996" s="3" t="s">
        <v>271</v>
      </c>
      <c r="C996" s="2" t="s">
        <v>165</v>
      </c>
      <c r="D996" s="1">
        <v>1</v>
      </c>
      <c r="E996" s="1">
        <v>8</v>
      </c>
      <c r="F996" s="1">
        <v>8</v>
      </c>
      <c r="G996" s="1">
        <v>10</v>
      </c>
      <c r="H996" s="4">
        <v>0.7</v>
      </c>
      <c r="I996" s="1">
        <v>3</v>
      </c>
      <c r="J996" s="4">
        <v>0.67</v>
      </c>
      <c r="K996" s="1">
        <v>0</v>
      </c>
      <c r="L996" s="1">
        <v>0</v>
      </c>
      <c r="M996" s="32">
        <f>IF(Mecze[[#This Row],[PR]]=0,0,Mecze[[#This Row],[PR]]/Mecze[[#This Row],[CZAS]])</f>
        <v>0</v>
      </c>
      <c r="N996" s="32">
        <f>IF(Mecze[[#This Row],[OU]]=0,0,Mecze[[#This Row],[OU]]/Mecze[[#This Row],[CZAS]])</f>
        <v>2.0833333333333332E-2</v>
      </c>
      <c r="O996" s="32">
        <f>IF(Mecze[[#This Row],[PC]]=0,0,Mecze[[#This Row],[PC]]/Mecze[[#This Row],[CZAS]])</f>
        <v>7.2916666666666671E-2</v>
      </c>
      <c r="P996" s="32">
        <f>IF(Mecze[[#This Row],[SC]]=0,0,Mecze[[#This Row],[SC]]/Mecze[[#This Row],[CZAS]])</f>
        <v>8.3333333333333329E-2</v>
      </c>
      <c r="Q996" s="32">
        <f>IF(Mecze[[#This Row],[OB]]=0,0,Mecze[[#This Row],[OB]]/Mecze[[#This Row],[CZAS]])</f>
        <v>0</v>
      </c>
      <c r="R996" s="32">
        <f>IF(Mecze[[#This Row],[BR]]=0,0,Mecze[[#This Row],[BR]]/Mecze[[#This Row],[CZAS]])</f>
        <v>1.0416666666666666E-2</v>
      </c>
      <c r="S996" s="44">
        <f>IF(Mecze[[#This Row],[Role]]="BR",SUMPRODUCT(Mecze[[#This Row],[/PR:90]:[/BR:90]],Brudnopis!$E$23:$J$23),0)</f>
        <v>0</v>
      </c>
      <c r="T996" s="44">
        <f>IF(Mecze[[#This Row],[Role]]&lt;&gt;"BR",SUMPRODUCT(Mecze[[#This Row],[/PR:90]:[/BR:90]],Brudnopis!$E$24:$J$24),0)</f>
        <v>0.203125</v>
      </c>
      <c r="U996" s="44">
        <f>IF(Mecze[[#This Row],[Role]]&lt;&gt;"BR",SUMPRODUCT(Mecze[[#This Row],[/PR:90]:[/BR:90]],Brudnopis!$E$25:$J$25),0)</f>
        <v>0.22916666666666669</v>
      </c>
      <c r="V996" s="44">
        <f>IF(Mecze[[#This Row],[Role]]&lt;&gt;"BR",SUMPRODUCT(Mecze[[#This Row],[/PR:90]:[/BR:90]],Brudnopis!$E$26:$J$26),0)</f>
        <v>0.19791666666666666</v>
      </c>
      <c r="W996" s="44">
        <f>IF(Mecze[[#This Row],[Role]]&lt;&gt;"BR",SUMPRODUCT(Mecze[[#This Row],[/PR:90]:[/BR:90]],Brudnopis!$E$27:$J$27),0)</f>
        <v>0.22916666666666666</v>
      </c>
      <c r="X996" s="44">
        <f>IF(Mecze[[#This Row],[Role]]&lt;&gt;"BR",SUMPRODUCT(Mecze[[#This Row],[/PR:90]:[/BR:90]],Brudnopis!$E$28:$J$28),0)</f>
        <v>0.27083333333333331</v>
      </c>
      <c r="Y996" s="35">
        <f>IF(Mecze[[#This Row],[Role]]="BR",Mecze[[#This Row],[/OB:90]]+Mecze[[#This Row],[/PC:90]],SUM(Mecze[[#This Row],[/PR:90]:[/BR:90]]))</f>
        <v>0.18749999999999997</v>
      </c>
      <c r="Z996" s="35">
        <f>IF(Mecze[[#This Row],[KC]]=0,SUM(Mecze[[#This Row],[/BRI]:[/NPI]]),SUM(Mecze[[#This Row],[/BRI]:[/NPI]])*0.6)</f>
        <v>1.1302083333333333</v>
      </c>
      <c r="AA996" s="10">
        <f>IFERROR(Mecze[[#This Row],[BR]]/Mecze[[#This Row],[ST]],0)</f>
        <v>0.125</v>
      </c>
      <c r="AB996">
        <f>ROUND(Mecze[[#This Row],[PD]]*Mecze[[#This Row],[%PC]],0)</f>
        <v>7</v>
      </c>
      <c r="AC996">
        <f>ROUND(Mecze[[#This Row],[OD]]*Mecze[[#This Row],[%OU]],0)</f>
        <v>2</v>
      </c>
      <c r="AD996" s="36" t="s">
        <v>46</v>
      </c>
      <c r="AE996" s="36">
        <v>56</v>
      </c>
      <c r="AF996" s="71">
        <v>9.32</v>
      </c>
      <c r="AG996" s="37">
        <v>0</v>
      </c>
      <c r="AH996" s="37">
        <v>0</v>
      </c>
      <c r="AI996" s="37">
        <v>96</v>
      </c>
      <c r="AJ996" s="37">
        <v>3</v>
      </c>
      <c r="AK996" s="37" t="str">
        <f>VLOOKUP(Mecze[[#This Row],[Match ID]],Meczusie[Mecz]:Meczusie[RodzajMeczu],2,FALSE)</f>
        <v>Liga</v>
      </c>
    </row>
    <row r="997" spans="1:37" x14ac:dyDescent="0.25">
      <c r="A997" s="76">
        <v>33</v>
      </c>
      <c r="B997" s="3" t="s">
        <v>428</v>
      </c>
      <c r="C997" s="2" t="s">
        <v>160</v>
      </c>
      <c r="D997" s="1">
        <v>0</v>
      </c>
      <c r="E997" s="1">
        <v>0</v>
      </c>
      <c r="F997" s="1">
        <v>0</v>
      </c>
      <c r="G997" s="1">
        <v>5</v>
      </c>
      <c r="H997" s="4">
        <v>0.4</v>
      </c>
      <c r="I997" s="1">
        <v>3</v>
      </c>
      <c r="J997" s="4">
        <v>0.67</v>
      </c>
      <c r="K997" s="1">
        <v>0</v>
      </c>
      <c r="L997" s="1">
        <v>2</v>
      </c>
      <c r="M997" s="32">
        <f>IF(Mecze[[#This Row],[PR]]=0,0,Mecze[[#This Row],[PR]]/Mecze[[#This Row],[CZAS]])</f>
        <v>6.4516129032258063E-2</v>
      </c>
      <c r="N997" s="32">
        <f>IF(Mecze[[#This Row],[OU]]=0,0,Mecze[[#This Row],[OU]]/Mecze[[#This Row],[CZAS]])</f>
        <v>6.4516129032258063E-2</v>
      </c>
      <c r="O997" s="32">
        <f>IF(Mecze[[#This Row],[PC]]=0,0,Mecze[[#This Row],[PC]]/Mecze[[#This Row],[CZAS]])</f>
        <v>6.4516129032258063E-2</v>
      </c>
      <c r="P997" s="32">
        <f>IF(Mecze[[#This Row],[SC]]=0,0,Mecze[[#This Row],[SC]]/Mecze[[#This Row],[CZAS]])</f>
        <v>0</v>
      </c>
      <c r="Q997" s="32">
        <f>IF(Mecze[[#This Row],[OB]]=0,0,Mecze[[#This Row],[OB]]/Mecze[[#This Row],[CZAS]])</f>
        <v>0</v>
      </c>
      <c r="R997" s="32">
        <f>IF(Mecze[[#This Row],[BR]]=0,0,Mecze[[#This Row],[BR]]/Mecze[[#This Row],[CZAS]])</f>
        <v>0</v>
      </c>
      <c r="S997" s="44">
        <f>IF(Mecze[[#This Row],[Role]]="BR",SUMPRODUCT(Mecze[[#This Row],[/PR:90]:[/BR:90]],Brudnopis!$E$23:$J$23),0)</f>
        <v>0</v>
      </c>
      <c r="T997" s="44">
        <f>IF(Mecze[[#This Row],[Role]]&lt;&gt;"BR",SUMPRODUCT(Mecze[[#This Row],[/PR:90]:[/BR:90]],Brudnopis!$E$24:$J$24),0)</f>
        <v>0.22580645161290322</v>
      </c>
      <c r="U997" s="44">
        <f>IF(Mecze[[#This Row],[Role]]&lt;&gt;"BR",SUMPRODUCT(Mecze[[#This Row],[/PR:90]:[/BR:90]],Brudnopis!$E$25:$J$25),0)</f>
        <v>0.22580645161290322</v>
      </c>
      <c r="V997" s="44">
        <f>IF(Mecze[[#This Row],[Role]]&lt;&gt;"BR",SUMPRODUCT(Mecze[[#This Row],[/PR:90]:[/BR:90]],Brudnopis!$E$26:$J$26),0)</f>
        <v>0.19354838709677419</v>
      </c>
      <c r="W997" s="44">
        <f>IF(Mecze[[#This Row],[Role]]&lt;&gt;"BR",SUMPRODUCT(Mecze[[#This Row],[/PR:90]:[/BR:90]],Brudnopis!$E$27:$J$27),0)</f>
        <v>0.19354838709677419</v>
      </c>
      <c r="X997" s="44">
        <f>IF(Mecze[[#This Row],[Role]]&lt;&gt;"BR",SUMPRODUCT(Mecze[[#This Row],[/PR:90]:[/BR:90]],Brudnopis!$E$28:$J$28),0)</f>
        <v>6.4516129032258063E-2</v>
      </c>
      <c r="Y997" s="35">
        <f>IF(Mecze[[#This Row],[Role]]="BR",Mecze[[#This Row],[/OB:90]]+Mecze[[#This Row],[/PC:90]],SUM(Mecze[[#This Row],[/PR:90]:[/BR:90]]))</f>
        <v>0.19354838709677419</v>
      </c>
      <c r="Z997" s="35">
        <f>IF(Mecze[[#This Row],[KC]]=0,SUM(Mecze[[#This Row],[/BRI]:[/NPI]]),SUM(Mecze[[#This Row],[/BRI]:[/NPI]])*0.6)</f>
        <v>0.90322580645161277</v>
      </c>
      <c r="AA997" s="10">
        <f>IFERROR(Mecze[[#This Row],[BR]]/Mecze[[#This Row],[ST]],0)</f>
        <v>0</v>
      </c>
      <c r="AB997">
        <f>ROUND(Mecze[[#This Row],[PD]]*Mecze[[#This Row],[%PC]],0)</f>
        <v>2</v>
      </c>
      <c r="AC997">
        <f>ROUND(Mecze[[#This Row],[OD]]*Mecze[[#This Row],[%OU]],0)</f>
        <v>2</v>
      </c>
      <c r="AD997" s="36" t="s">
        <v>67</v>
      </c>
      <c r="AE997" s="36">
        <v>56</v>
      </c>
      <c r="AF997" s="71">
        <v>2.14</v>
      </c>
      <c r="AG997" s="37">
        <v>0</v>
      </c>
      <c r="AH997" s="37">
        <v>0</v>
      </c>
      <c r="AI997" s="37">
        <v>31</v>
      </c>
      <c r="AJ997" s="37">
        <v>3</v>
      </c>
      <c r="AK997" s="37" t="str">
        <f>VLOOKUP(Mecze[[#This Row],[Match ID]],Meczusie[Mecz]:Meczusie[RodzajMeczu],2,FALSE)</f>
        <v>Liga</v>
      </c>
    </row>
    <row r="998" spans="1:37" x14ac:dyDescent="0.25">
      <c r="A998" s="76">
        <v>1</v>
      </c>
      <c r="B998" s="3" t="s">
        <v>236</v>
      </c>
      <c r="C998" s="2" t="s">
        <v>155</v>
      </c>
      <c r="D998" s="1">
        <v>0</v>
      </c>
      <c r="E998" s="1">
        <v>0</v>
      </c>
      <c r="F998" s="1">
        <v>0</v>
      </c>
      <c r="G998" s="1">
        <v>17</v>
      </c>
      <c r="H998" s="4">
        <v>0.41</v>
      </c>
      <c r="I998" s="1">
        <v>0</v>
      </c>
      <c r="J998" s="4"/>
      <c r="K998" s="1">
        <v>14</v>
      </c>
      <c r="L998" s="1">
        <v>0</v>
      </c>
      <c r="M998" s="32">
        <f>IF(Mecze[[#This Row],[PR]]=0,0,Mecze[[#This Row],[PR]]/Mecze[[#This Row],[CZAS]])</f>
        <v>0</v>
      </c>
      <c r="N998" s="32">
        <f>IF(Mecze[[#This Row],[OU]]=0,0,Mecze[[#This Row],[OU]]/Mecze[[#This Row],[CZAS]])</f>
        <v>0</v>
      </c>
      <c r="O998" s="32">
        <f>IF(Mecze[[#This Row],[PC]]=0,0,Mecze[[#This Row],[PC]]/Mecze[[#This Row],[CZAS]])</f>
        <v>7.2916666666666671E-2</v>
      </c>
      <c r="P998" s="32">
        <f>IF(Mecze[[#This Row],[SC]]=0,0,Mecze[[#This Row],[SC]]/Mecze[[#This Row],[CZAS]])</f>
        <v>0</v>
      </c>
      <c r="Q998" s="32">
        <f>IF(Mecze[[#This Row],[OB]]=0,0,Mecze[[#This Row],[OB]]/Mecze[[#This Row],[CZAS]])</f>
        <v>0.14583333333333334</v>
      </c>
      <c r="R998" s="32">
        <f>IF(Mecze[[#This Row],[BR]]=0,0,Mecze[[#This Row],[BR]]/Mecze[[#This Row],[CZAS]])</f>
        <v>0</v>
      </c>
      <c r="S998" s="44">
        <f>IF(Mecze[[#This Row],[Role]]="BR",SUMPRODUCT(Mecze[[#This Row],[/PR:90]:[/BR:90]],Brudnopis!$E$23:$J$23),0)</f>
        <v>0.65625</v>
      </c>
      <c r="T998" s="44">
        <f>IF(Mecze[[#This Row],[Role]]&lt;&gt;"BR",SUMPRODUCT(Mecze[[#This Row],[/PR:90]:[/BR:90]],Brudnopis!$E$24:$J$24),0)</f>
        <v>0</v>
      </c>
      <c r="U998" s="44">
        <f>IF(Mecze[[#This Row],[Role]]&lt;&gt;"BR",SUMPRODUCT(Mecze[[#This Row],[/PR:90]:[/BR:90]],Brudnopis!$E$25:$J$25),0)</f>
        <v>0</v>
      </c>
      <c r="V998" s="44">
        <f>IF(Mecze[[#This Row],[Role]]&lt;&gt;"BR",SUMPRODUCT(Mecze[[#This Row],[/PR:90]:[/BR:90]],Brudnopis!$E$26:$J$26),0)</f>
        <v>0</v>
      </c>
      <c r="W998" s="44">
        <f>IF(Mecze[[#This Row],[Role]]&lt;&gt;"BR",SUMPRODUCT(Mecze[[#This Row],[/PR:90]:[/BR:90]],Brudnopis!$E$27:$J$27),0)</f>
        <v>0</v>
      </c>
      <c r="X998" s="44">
        <f>IF(Mecze[[#This Row],[Role]]&lt;&gt;"BR",SUMPRODUCT(Mecze[[#This Row],[/PR:90]:[/BR:90]],Brudnopis!$E$28:$J$28),0)</f>
        <v>0</v>
      </c>
      <c r="Y998" s="35">
        <f>IF(Mecze[[#This Row],[Role]]="BR",Mecze[[#This Row],[/OB:90]]+Mecze[[#This Row],[/PC:90]],SUM(Mecze[[#This Row],[/PR:90]:[/BR:90]]))</f>
        <v>0.21875</v>
      </c>
      <c r="Z998" s="35">
        <f>IF(Mecze[[#This Row],[KC]]=0,SUM(Mecze[[#This Row],[/BRI]:[/NPI]]),SUM(Mecze[[#This Row],[/BRI]:[/NPI]])*0.6)</f>
        <v>0.65625</v>
      </c>
      <c r="AA998" s="10">
        <f>IFERROR(Mecze[[#This Row],[BR]]/Mecze[[#This Row],[ST]],0)</f>
        <v>0</v>
      </c>
      <c r="AB998">
        <f>ROUND(Mecze[[#This Row],[PD]]*Mecze[[#This Row],[%PC]],0)</f>
        <v>7</v>
      </c>
      <c r="AC998">
        <f>ROUND(Mecze[[#This Row],[OD]]*Mecze[[#This Row],[%OU]],0)</f>
        <v>0</v>
      </c>
      <c r="AD998" s="36" t="s">
        <v>40</v>
      </c>
      <c r="AE998" s="36">
        <v>56</v>
      </c>
      <c r="AF998" s="71">
        <v>6.49</v>
      </c>
      <c r="AG998" s="37">
        <v>0</v>
      </c>
      <c r="AH998" s="37">
        <v>0</v>
      </c>
      <c r="AI998" s="37">
        <v>96</v>
      </c>
      <c r="AJ998" s="37">
        <v>10</v>
      </c>
      <c r="AK998" s="37" t="str">
        <f>VLOOKUP(Mecze[[#This Row],[Match ID]],Meczusie[Mecz]:Meczusie[RodzajMeczu],2,FALSE)</f>
        <v>Liga</v>
      </c>
    </row>
    <row r="999" spans="1:37" x14ac:dyDescent="0.25">
      <c r="A999" s="76">
        <v>3</v>
      </c>
      <c r="B999" s="3" t="s">
        <v>237</v>
      </c>
      <c r="C999" s="2" t="s">
        <v>157</v>
      </c>
      <c r="D999" s="1">
        <v>0</v>
      </c>
      <c r="E999" s="1">
        <v>0</v>
      </c>
      <c r="F999" s="1">
        <v>0</v>
      </c>
      <c r="G999" s="1">
        <v>8</v>
      </c>
      <c r="H999" s="4">
        <v>0.38</v>
      </c>
      <c r="I999" s="1">
        <v>9</v>
      </c>
      <c r="J999" s="4">
        <v>0.22</v>
      </c>
      <c r="K999" s="1">
        <v>0</v>
      </c>
      <c r="L999" s="1">
        <v>8</v>
      </c>
      <c r="M999" s="32">
        <f>IF(Mecze[[#This Row],[PR]]=0,0,Mecze[[#This Row],[PR]]/Mecze[[#This Row],[CZAS]])</f>
        <v>8.3333333333333329E-2</v>
      </c>
      <c r="N999" s="32">
        <f>IF(Mecze[[#This Row],[OU]]=0,0,Mecze[[#This Row],[OU]]/Mecze[[#This Row],[CZAS]])</f>
        <v>2.0833333333333332E-2</v>
      </c>
      <c r="O999" s="32">
        <f>IF(Mecze[[#This Row],[PC]]=0,0,Mecze[[#This Row],[PC]]/Mecze[[#This Row],[CZAS]])</f>
        <v>3.125E-2</v>
      </c>
      <c r="P999" s="32">
        <f>IF(Mecze[[#This Row],[SC]]=0,0,Mecze[[#This Row],[SC]]/Mecze[[#This Row],[CZAS]])</f>
        <v>0</v>
      </c>
      <c r="Q999" s="32">
        <f>IF(Mecze[[#This Row],[OB]]=0,0,Mecze[[#This Row],[OB]]/Mecze[[#This Row],[CZAS]])</f>
        <v>0</v>
      </c>
      <c r="R999" s="32">
        <f>IF(Mecze[[#This Row],[BR]]=0,0,Mecze[[#This Row],[BR]]/Mecze[[#This Row],[CZAS]])</f>
        <v>0</v>
      </c>
      <c r="S999" s="44">
        <f>IF(Mecze[[#This Row],[Role]]="BR",SUMPRODUCT(Mecze[[#This Row],[/PR:90]:[/BR:90]],Brudnopis!$E$23:$J$23),0)</f>
        <v>0</v>
      </c>
      <c r="T999" s="44">
        <f>IF(Mecze[[#This Row],[Role]]&lt;&gt;"BR",SUMPRODUCT(Mecze[[#This Row],[/PR:90]:[/BR:90]],Brudnopis!$E$24:$J$24),0)</f>
        <v>0.14583333333333331</v>
      </c>
      <c r="U999" s="44">
        <f>IF(Mecze[[#This Row],[Role]]&lt;&gt;"BR",SUMPRODUCT(Mecze[[#This Row],[/PR:90]:[/BR:90]],Brudnopis!$E$25:$J$25),0)</f>
        <v>0.15104166666666666</v>
      </c>
      <c r="V999" s="44">
        <f>IF(Mecze[[#This Row],[Role]]&lt;&gt;"BR",SUMPRODUCT(Mecze[[#This Row],[/PR:90]:[/BR:90]],Brudnopis!$E$26:$J$26),0)</f>
        <v>0.13541666666666666</v>
      </c>
      <c r="W999" s="44">
        <f>IF(Mecze[[#This Row],[Role]]&lt;&gt;"BR",SUMPRODUCT(Mecze[[#This Row],[/PR:90]:[/BR:90]],Brudnopis!$E$27:$J$27),0)</f>
        <v>0.125</v>
      </c>
      <c r="X999" s="44">
        <f>IF(Mecze[[#This Row],[Role]]&lt;&gt;"BR",SUMPRODUCT(Mecze[[#This Row],[/PR:90]:[/BR:90]],Brudnopis!$E$28:$J$28),0)</f>
        <v>3.125E-2</v>
      </c>
      <c r="Y999" s="35">
        <f>IF(Mecze[[#This Row],[Role]]="BR",Mecze[[#This Row],[/OB:90]]+Mecze[[#This Row],[/PC:90]],SUM(Mecze[[#This Row],[/PR:90]:[/BR:90]]))</f>
        <v>0.13541666666666666</v>
      </c>
      <c r="Z999" s="35">
        <f>IF(Mecze[[#This Row],[KC]]=0,SUM(Mecze[[#This Row],[/BRI]:[/NPI]]),SUM(Mecze[[#This Row],[/BRI]:[/NPI]])*0.6)</f>
        <v>0.58854166666666663</v>
      </c>
      <c r="AA999" s="10">
        <f>IFERROR(Mecze[[#This Row],[BR]]/Mecze[[#This Row],[ST]],0)</f>
        <v>0</v>
      </c>
      <c r="AB999">
        <f>ROUND(Mecze[[#This Row],[PD]]*Mecze[[#This Row],[%PC]],0)</f>
        <v>3</v>
      </c>
      <c r="AC999">
        <f>ROUND(Mecze[[#This Row],[OD]]*Mecze[[#This Row],[%OU]],0)</f>
        <v>2</v>
      </c>
      <c r="AD999" s="36" t="s">
        <v>47</v>
      </c>
      <c r="AE999" s="36">
        <v>56</v>
      </c>
      <c r="AF999" s="71">
        <v>3.27</v>
      </c>
      <c r="AG999" s="37">
        <v>0</v>
      </c>
      <c r="AH999" s="37">
        <v>0</v>
      </c>
      <c r="AI999" s="37">
        <v>96</v>
      </c>
      <c r="AJ999" s="37">
        <v>10</v>
      </c>
      <c r="AK999" s="37" t="str">
        <f>VLOOKUP(Mecze[[#This Row],[Match ID]],Meczusie[Mecz]:Meczusie[RodzajMeczu],2,FALSE)</f>
        <v>Liga</v>
      </c>
    </row>
    <row r="1000" spans="1:37" x14ac:dyDescent="0.25">
      <c r="A1000" s="76">
        <v>4</v>
      </c>
      <c r="B1000" s="3" t="s">
        <v>238</v>
      </c>
      <c r="C1000" s="2" t="s">
        <v>157</v>
      </c>
      <c r="D1000" s="1">
        <v>0</v>
      </c>
      <c r="E1000" s="1">
        <v>0</v>
      </c>
      <c r="F1000" s="1">
        <v>0</v>
      </c>
      <c r="G1000" s="1">
        <v>5</v>
      </c>
      <c r="H1000" s="4">
        <v>0.6</v>
      </c>
      <c r="I1000" s="1">
        <v>8</v>
      </c>
      <c r="J1000" s="4">
        <v>0.5</v>
      </c>
      <c r="K1000" s="1">
        <v>0</v>
      </c>
      <c r="L1000" s="1">
        <v>6</v>
      </c>
      <c r="M1000" s="32">
        <f>IF(Mecze[[#This Row],[PR]]=0,0,Mecze[[#This Row],[PR]]/Mecze[[#This Row],[CZAS]])</f>
        <v>6.25E-2</v>
      </c>
      <c r="N1000" s="32">
        <f>IF(Mecze[[#This Row],[OU]]=0,0,Mecze[[#This Row],[OU]]/Mecze[[#This Row],[CZAS]])</f>
        <v>4.1666666666666664E-2</v>
      </c>
      <c r="O1000" s="32">
        <f>IF(Mecze[[#This Row],[PC]]=0,0,Mecze[[#This Row],[PC]]/Mecze[[#This Row],[CZAS]])</f>
        <v>3.125E-2</v>
      </c>
      <c r="P1000" s="32">
        <f>IF(Mecze[[#This Row],[SC]]=0,0,Mecze[[#This Row],[SC]]/Mecze[[#This Row],[CZAS]])</f>
        <v>0</v>
      </c>
      <c r="Q1000" s="32">
        <f>IF(Mecze[[#This Row],[OB]]=0,0,Mecze[[#This Row],[OB]]/Mecze[[#This Row],[CZAS]])</f>
        <v>0</v>
      </c>
      <c r="R1000" s="32">
        <f>IF(Mecze[[#This Row],[BR]]=0,0,Mecze[[#This Row],[BR]]/Mecze[[#This Row],[CZAS]])</f>
        <v>0</v>
      </c>
      <c r="S1000" s="44">
        <f>IF(Mecze[[#This Row],[Role]]="BR",SUMPRODUCT(Mecze[[#This Row],[/PR:90]:[/BR:90]],Brudnopis!$E$23:$J$23),0)</f>
        <v>0</v>
      </c>
      <c r="T1000" s="44">
        <f>IF(Mecze[[#This Row],[Role]]&lt;&gt;"BR",SUMPRODUCT(Mecze[[#This Row],[/PR:90]:[/BR:90]],Brudnopis!$E$24:$J$24),0)</f>
        <v>0.15625</v>
      </c>
      <c r="U1000" s="44">
        <f>IF(Mecze[[#This Row],[Role]]&lt;&gt;"BR",SUMPRODUCT(Mecze[[#This Row],[/PR:90]:[/BR:90]],Brudnopis!$E$25:$J$25),0)</f>
        <v>0.15104166666666666</v>
      </c>
      <c r="V1000" s="44">
        <f>IF(Mecze[[#This Row],[Role]]&lt;&gt;"BR",SUMPRODUCT(Mecze[[#This Row],[/PR:90]:[/BR:90]],Brudnopis!$E$26:$J$26),0)</f>
        <v>0.13541666666666666</v>
      </c>
      <c r="W1000" s="44">
        <f>IF(Mecze[[#This Row],[Role]]&lt;&gt;"BR",SUMPRODUCT(Mecze[[#This Row],[/PR:90]:[/BR:90]],Brudnopis!$E$27:$J$27),0)</f>
        <v>0.125</v>
      </c>
      <c r="X1000" s="44">
        <f>IF(Mecze[[#This Row],[Role]]&lt;&gt;"BR",SUMPRODUCT(Mecze[[#This Row],[/PR:90]:[/BR:90]],Brudnopis!$E$28:$J$28),0)</f>
        <v>3.125E-2</v>
      </c>
      <c r="Y1000" s="35">
        <f>IF(Mecze[[#This Row],[Role]]="BR",Mecze[[#This Row],[/OB:90]]+Mecze[[#This Row],[/PC:90]],SUM(Mecze[[#This Row],[/PR:90]:[/BR:90]]))</f>
        <v>0.13541666666666666</v>
      </c>
      <c r="Z1000" s="35">
        <f>IF(Mecze[[#This Row],[KC]]=0,SUM(Mecze[[#This Row],[/BRI]:[/NPI]]),SUM(Mecze[[#This Row],[/BRI]:[/NPI]])*0.6)</f>
        <v>0.59895833333333326</v>
      </c>
      <c r="AA1000" s="10">
        <f>IFERROR(Mecze[[#This Row],[BR]]/Mecze[[#This Row],[ST]],0)</f>
        <v>0</v>
      </c>
      <c r="AB1000">
        <f>ROUND(Mecze[[#This Row],[PD]]*Mecze[[#This Row],[%PC]],0)</f>
        <v>3</v>
      </c>
      <c r="AC1000">
        <f>ROUND(Mecze[[#This Row],[OD]]*Mecze[[#This Row],[%OU]],0)</f>
        <v>4</v>
      </c>
      <c r="AD1000" s="36" t="s">
        <v>47</v>
      </c>
      <c r="AE1000" s="36">
        <v>56</v>
      </c>
      <c r="AF1000" s="71">
        <v>2.86</v>
      </c>
      <c r="AG1000" s="37">
        <v>1</v>
      </c>
      <c r="AH1000" s="37">
        <v>0</v>
      </c>
      <c r="AI1000" s="37">
        <v>96</v>
      </c>
      <c r="AJ1000" s="37">
        <v>10</v>
      </c>
      <c r="AK1000" s="37" t="str">
        <f>VLOOKUP(Mecze[[#This Row],[Match ID]],Meczusie[Mecz]:Meczusie[RodzajMeczu],2,FALSE)</f>
        <v>Liga</v>
      </c>
    </row>
    <row r="1001" spans="1:37" x14ac:dyDescent="0.25">
      <c r="A1001" s="76">
        <v>12</v>
      </c>
      <c r="B1001" s="3" t="s">
        <v>239</v>
      </c>
      <c r="C1001" s="2" t="s">
        <v>157</v>
      </c>
      <c r="D1001" s="1">
        <v>0</v>
      </c>
      <c r="E1001" s="1">
        <v>0</v>
      </c>
      <c r="F1001" s="1">
        <v>0</v>
      </c>
      <c r="G1001" s="1">
        <v>2</v>
      </c>
      <c r="H1001" s="4">
        <v>0.5</v>
      </c>
      <c r="I1001" s="1">
        <v>1</v>
      </c>
      <c r="J1001" s="4">
        <v>1</v>
      </c>
      <c r="K1001" s="1">
        <v>0</v>
      </c>
      <c r="L1001" s="1">
        <v>1</v>
      </c>
      <c r="M1001" s="32">
        <f>IF(Mecze[[#This Row],[PR]]=0,0,Mecze[[#This Row],[PR]]/Mecze[[#This Row],[CZAS]])</f>
        <v>1.0416666666666666E-2</v>
      </c>
      <c r="N1001" s="32">
        <f>IF(Mecze[[#This Row],[OU]]=0,0,Mecze[[#This Row],[OU]]/Mecze[[#This Row],[CZAS]])</f>
        <v>1.0416666666666666E-2</v>
      </c>
      <c r="O1001" s="32">
        <f>IF(Mecze[[#This Row],[PC]]=0,0,Mecze[[#This Row],[PC]]/Mecze[[#This Row],[CZAS]])</f>
        <v>1.0416666666666666E-2</v>
      </c>
      <c r="P1001" s="32">
        <f>IF(Mecze[[#This Row],[SC]]=0,0,Mecze[[#This Row],[SC]]/Mecze[[#This Row],[CZAS]])</f>
        <v>0</v>
      </c>
      <c r="Q1001" s="32">
        <f>IF(Mecze[[#This Row],[OB]]=0,0,Mecze[[#This Row],[OB]]/Mecze[[#This Row],[CZAS]])</f>
        <v>0</v>
      </c>
      <c r="R1001" s="32">
        <f>IF(Mecze[[#This Row],[BR]]=0,0,Mecze[[#This Row],[BR]]/Mecze[[#This Row],[CZAS]])</f>
        <v>0</v>
      </c>
      <c r="S1001" s="44">
        <f>IF(Mecze[[#This Row],[Role]]="BR",SUMPRODUCT(Mecze[[#This Row],[/PR:90]:[/BR:90]],Brudnopis!$E$23:$J$23),0)</f>
        <v>0</v>
      </c>
      <c r="T1001" s="44">
        <f>IF(Mecze[[#This Row],[Role]]&lt;&gt;"BR",SUMPRODUCT(Mecze[[#This Row],[/PR:90]:[/BR:90]],Brudnopis!$E$24:$J$24),0)</f>
        <v>3.6458333333333329E-2</v>
      </c>
      <c r="U1001" s="44">
        <f>IF(Mecze[[#This Row],[Role]]&lt;&gt;"BR",SUMPRODUCT(Mecze[[#This Row],[/PR:90]:[/BR:90]],Brudnopis!$E$25:$J$25),0)</f>
        <v>3.6458333333333329E-2</v>
      </c>
      <c r="V1001" s="44">
        <f>IF(Mecze[[#This Row],[Role]]&lt;&gt;"BR",SUMPRODUCT(Mecze[[#This Row],[/PR:90]:[/BR:90]],Brudnopis!$E$26:$J$26),0)</f>
        <v>3.125E-2</v>
      </c>
      <c r="W1001" s="44">
        <f>IF(Mecze[[#This Row],[Role]]&lt;&gt;"BR",SUMPRODUCT(Mecze[[#This Row],[/PR:90]:[/BR:90]],Brudnopis!$E$27:$J$27),0)</f>
        <v>3.125E-2</v>
      </c>
      <c r="X1001" s="44">
        <f>IF(Mecze[[#This Row],[Role]]&lt;&gt;"BR",SUMPRODUCT(Mecze[[#This Row],[/PR:90]:[/BR:90]],Brudnopis!$E$28:$J$28),0)</f>
        <v>1.0416666666666666E-2</v>
      </c>
      <c r="Y1001" s="35">
        <f>IF(Mecze[[#This Row],[Role]]="BR",Mecze[[#This Row],[/OB:90]]+Mecze[[#This Row],[/PC:90]],SUM(Mecze[[#This Row],[/PR:90]:[/BR:90]]))</f>
        <v>3.125E-2</v>
      </c>
      <c r="Z1001" s="35">
        <f>IF(Mecze[[#This Row],[KC]]=0,SUM(Mecze[[#This Row],[/BRI]:[/NPI]]),SUM(Mecze[[#This Row],[/BRI]:[/NPI]])*0.6)</f>
        <v>0.14583333333333331</v>
      </c>
      <c r="AA1001" s="10">
        <f>IFERROR(Mecze[[#This Row],[BR]]/Mecze[[#This Row],[ST]],0)</f>
        <v>0</v>
      </c>
      <c r="AB1001">
        <f>ROUND(Mecze[[#This Row],[PD]]*Mecze[[#This Row],[%PC]],0)</f>
        <v>1</v>
      </c>
      <c r="AC1001">
        <f>ROUND(Mecze[[#This Row],[OD]]*Mecze[[#This Row],[%OU]],0)</f>
        <v>1</v>
      </c>
      <c r="AD1001" s="36" t="s">
        <v>175</v>
      </c>
      <c r="AE1001" s="36">
        <v>56</v>
      </c>
      <c r="AF1001" s="71">
        <v>1.8</v>
      </c>
      <c r="AG1001" s="37">
        <v>0</v>
      </c>
      <c r="AH1001" s="37">
        <v>0</v>
      </c>
      <c r="AI1001" s="37">
        <v>96</v>
      </c>
      <c r="AJ1001" s="37">
        <v>10</v>
      </c>
      <c r="AK1001" s="37" t="str">
        <f>VLOOKUP(Mecze[[#This Row],[Match ID]],Meczusie[Mecz]:Meczusie[RodzajMeczu],2,FALSE)</f>
        <v>Liga</v>
      </c>
    </row>
    <row r="1002" spans="1:37" x14ac:dyDescent="0.25">
      <c r="A1002" s="76">
        <v>2</v>
      </c>
      <c r="B1002" s="3" t="s">
        <v>240</v>
      </c>
      <c r="C1002" s="2" t="s">
        <v>157</v>
      </c>
      <c r="D1002" s="1">
        <v>0</v>
      </c>
      <c r="E1002" s="1">
        <v>0</v>
      </c>
      <c r="F1002" s="1">
        <v>0</v>
      </c>
      <c r="G1002" s="1">
        <v>3</v>
      </c>
      <c r="H1002" s="4">
        <v>0.33</v>
      </c>
      <c r="I1002" s="1">
        <v>4</v>
      </c>
      <c r="J1002" s="4">
        <v>0.25</v>
      </c>
      <c r="K1002" s="1">
        <v>0</v>
      </c>
      <c r="L1002" s="1">
        <v>3</v>
      </c>
      <c r="M1002" s="32">
        <f>IF(Mecze[[#This Row],[PR]]=0,0,Mecze[[#This Row],[PR]]/Mecze[[#This Row],[CZAS]])</f>
        <v>3.125E-2</v>
      </c>
      <c r="N1002" s="32">
        <f>IF(Mecze[[#This Row],[OU]]=0,0,Mecze[[#This Row],[OU]]/Mecze[[#This Row],[CZAS]])</f>
        <v>1.0416666666666666E-2</v>
      </c>
      <c r="O1002" s="32">
        <f>IF(Mecze[[#This Row],[PC]]=0,0,Mecze[[#This Row],[PC]]/Mecze[[#This Row],[CZAS]])</f>
        <v>1.0416666666666666E-2</v>
      </c>
      <c r="P1002" s="32">
        <f>IF(Mecze[[#This Row],[SC]]=0,0,Mecze[[#This Row],[SC]]/Mecze[[#This Row],[CZAS]])</f>
        <v>0</v>
      </c>
      <c r="Q1002" s="32">
        <f>IF(Mecze[[#This Row],[OB]]=0,0,Mecze[[#This Row],[OB]]/Mecze[[#This Row],[CZAS]])</f>
        <v>0</v>
      </c>
      <c r="R1002" s="32">
        <f>IF(Mecze[[#This Row],[BR]]=0,0,Mecze[[#This Row],[BR]]/Mecze[[#This Row],[CZAS]])</f>
        <v>0</v>
      </c>
      <c r="S1002" s="44">
        <f>IF(Mecze[[#This Row],[Role]]="BR",SUMPRODUCT(Mecze[[#This Row],[/PR:90]:[/BR:90]],Brudnopis!$E$23:$J$23),0)</f>
        <v>0</v>
      </c>
      <c r="T1002" s="44">
        <f>IF(Mecze[[#This Row],[Role]]&lt;&gt;"BR",SUMPRODUCT(Mecze[[#This Row],[/PR:90]:[/BR:90]],Brudnopis!$E$24:$J$24),0)</f>
        <v>5.7291666666666664E-2</v>
      </c>
      <c r="U1002" s="44">
        <f>IF(Mecze[[#This Row],[Role]]&lt;&gt;"BR",SUMPRODUCT(Mecze[[#This Row],[/PR:90]:[/BR:90]],Brudnopis!$E$25:$J$25),0)</f>
        <v>5.7291666666666664E-2</v>
      </c>
      <c r="V1002" s="44">
        <f>IF(Mecze[[#This Row],[Role]]&lt;&gt;"BR",SUMPRODUCT(Mecze[[#This Row],[/PR:90]:[/BR:90]],Brudnopis!$E$26:$J$26),0)</f>
        <v>5.2083333333333329E-2</v>
      </c>
      <c r="W1002" s="44">
        <f>IF(Mecze[[#This Row],[Role]]&lt;&gt;"BR",SUMPRODUCT(Mecze[[#This Row],[/PR:90]:[/BR:90]],Brudnopis!$E$27:$J$27),0)</f>
        <v>4.6875E-2</v>
      </c>
      <c r="X1002" s="44">
        <f>IF(Mecze[[#This Row],[Role]]&lt;&gt;"BR",SUMPRODUCT(Mecze[[#This Row],[/PR:90]:[/BR:90]],Brudnopis!$E$28:$J$28),0)</f>
        <v>1.0416666666666666E-2</v>
      </c>
      <c r="Y1002" s="35">
        <f>IF(Mecze[[#This Row],[Role]]="BR",Mecze[[#This Row],[/OB:90]]+Mecze[[#This Row],[/PC:90]],SUM(Mecze[[#This Row],[/PR:90]:[/BR:90]]))</f>
        <v>5.2083333333333329E-2</v>
      </c>
      <c r="Z1002" s="35">
        <f>IF(Mecze[[#This Row],[KC]]=0,SUM(Mecze[[#This Row],[/BRI]:[/NPI]]),SUM(Mecze[[#This Row],[/BRI]:[/NPI]])*0.6)</f>
        <v>0.22395833333333331</v>
      </c>
      <c r="AA1002" s="10">
        <f>IFERROR(Mecze[[#This Row],[BR]]/Mecze[[#This Row],[ST]],0)</f>
        <v>0</v>
      </c>
      <c r="AB1002">
        <f>ROUND(Mecze[[#This Row],[PD]]*Mecze[[#This Row],[%PC]],0)</f>
        <v>1</v>
      </c>
      <c r="AC1002">
        <f>ROUND(Mecze[[#This Row],[OD]]*Mecze[[#This Row],[%OU]],0)</f>
        <v>1</v>
      </c>
      <c r="AD1002" s="36" t="s">
        <v>174</v>
      </c>
      <c r="AE1002" s="36">
        <v>56</v>
      </c>
      <c r="AF1002" s="71">
        <v>2.2200000000000002</v>
      </c>
      <c r="AG1002" s="37">
        <v>0</v>
      </c>
      <c r="AH1002" s="37">
        <v>0</v>
      </c>
      <c r="AI1002" s="37">
        <v>96</v>
      </c>
      <c r="AJ1002" s="37">
        <v>10</v>
      </c>
      <c r="AK1002" s="37" t="str">
        <f>VLOOKUP(Mecze[[#This Row],[Match ID]],Meczusie[Mecz]:Meczusie[RodzajMeczu],2,FALSE)</f>
        <v>Liga</v>
      </c>
    </row>
    <row r="1003" spans="1:37" x14ac:dyDescent="0.25">
      <c r="A1003" s="76">
        <v>7</v>
      </c>
      <c r="B1003" s="3" t="s">
        <v>241</v>
      </c>
      <c r="C1003" s="2" t="s">
        <v>160</v>
      </c>
      <c r="D1003" s="1">
        <v>0</v>
      </c>
      <c r="E1003" s="1">
        <v>0</v>
      </c>
      <c r="F1003" s="1">
        <v>0</v>
      </c>
      <c r="G1003" s="1">
        <v>14</v>
      </c>
      <c r="H1003" s="4">
        <v>0.79</v>
      </c>
      <c r="I1003" s="1">
        <v>3</v>
      </c>
      <c r="J1003" s="4">
        <v>0.67</v>
      </c>
      <c r="K1003" s="1">
        <v>0</v>
      </c>
      <c r="L1003" s="1">
        <v>5</v>
      </c>
      <c r="M1003" s="32">
        <f>IF(Mecze[[#This Row],[PR]]=0,0,Mecze[[#This Row],[PR]]/Mecze[[#This Row],[CZAS]])</f>
        <v>5.2083333333333336E-2</v>
      </c>
      <c r="N1003" s="32">
        <f>IF(Mecze[[#This Row],[OU]]=0,0,Mecze[[#This Row],[OU]]/Mecze[[#This Row],[CZAS]])</f>
        <v>2.0833333333333332E-2</v>
      </c>
      <c r="O1003" s="32">
        <f>IF(Mecze[[#This Row],[PC]]=0,0,Mecze[[#This Row],[PC]]/Mecze[[#This Row],[CZAS]])</f>
        <v>0.11458333333333333</v>
      </c>
      <c r="P1003" s="32">
        <f>IF(Mecze[[#This Row],[SC]]=0,0,Mecze[[#This Row],[SC]]/Mecze[[#This Row],[CZAS]])</f>
        <v>0</v>
      </c>
      <c r="Q1003" s="32">
        <f>IF(Mecze[[#This Row],[OB]]=0,0,Mecze[[#This Row],[OB]]/Mecze[[#This Row],[CZAS]])</f>
        <v>0</v>
      </c>
      <c r="R1003" s="32">
        <f>IF(Mecze[[#This Row],[BR]]=0,0,Mecze[[#This Row],[BR]]/Mecze[[#This Row],[CZAS]])</f>
        <v>0</v>
      </c>
      <c r="S1003" s="44">
        <f>IF(Mecze[[#This Row],[Role]]="BR",SUMPRODUCT(Mecze[[#This Row],[/PR:90]:[/BR:90]],Brudnopis!$E$23:$J$23),0)</f>
        <v>0</v>
      </c>
      <c r="T1003" s="44">
        <f>IF(Mecze[[#This Row],[Role]]&lt;&gt;"BR",SUMPRODUCT(Mecze[[#This Row],[/PR:90]:[/BR:90]],Brudnopis!$E$24:$J$24),0)</f>
        <v>0.19791666666666669</v>
      </c>
      <c r="U1003" s="44">
        <f>IF(Mecze[[#This Row],[Role]]&lt;&gt;"BR",SUMPRODUCT(Mecze[[#This Row],[/PR:90]:[/BR:90]],Brudnopis!$E$25:$J$25),0)</f>
        <v>0.24479166666666669</v>
      </c>
      <c r="V1003" s="44">
        <f>IF(Mecze[[#This Row],[Role]]&lt;&gt;"BR",SUMPRODUCT(Mecze[[#This Row],[/PR:90]:[/BR:90]],Brudnopis!$E$26:$J$26),0)</f>
        <v>0.1875</v>
      </c>
      <c r="W1003" s="44">
        <f>IF(Mecze[[#This Row],[Role]]&lt;&gt;"BR",SUMPRODUCT(Mecze[[#This Row],[/PR:90]:[/BR:90]],Brudnopis!$E$27:$J$27),0)</f>
        <v>0.2265625</v>
      </c>
      <c r="X1003" s="44">
        <f>IF(Mecze[[#This Row],[Role]]&lt;&gt;"BR",SUMPRODUCT(Mecze[[#This Row],[/PR:90]:[/BR:90]],Brudnopis!$E$28:$J$28),0)</f>
        <v>0.11458333333333333</v>
      </c>
      <c r="Y1003" s="35">
        <f>IF(Mecze[[#This Row],[Role]]="BR",Mecze[[#This Row],[/OB:90]]+Mecze[[#This Row],[/PC:90]],SUM(Mecze[[#This Row],[/PR:90]:[/BR:90]]))</f>
        <v>0.1875</v>
      </c>
      <c r="Z1003" s="35">
        <f>IF(Mecze[[#This Row],[KC]]=0,SUM(Mecze[[#This Row],[/BRI]:[/NPI]]),SUM(Mecze[[#This Row],[/BRI]:[/NPI]])*0.6)</f>
        <v>0.97135416666666674</v>
      </c>
      <c r="AA1003" s="10">
        <f>IFERROR(Mecze[[#This Row],[BR]]/Mecze[[#This Row],[ST]],0)</f>
        <v>0</v>
      </c>
      <c r="AB1003">
        <f>ROUND(Mecze[[#This Row],[PD]]*Mecze[[#This Row],[%PC]],0)</f>
        <v>11</v>
      </c>
      <c r="AC1003">
        <f>ROUND(Mecze[[#This Row],[OD]]*Mecze[[#This Row],[%OU]],0)</f>
        <v>2</v>
      </c>
      <c r="AD1003" s="36" t="s">
        <v>41</v>
      </c>
      <c r="AE1003" s="36">
        <v>56</v>
      </c>
      <c r="AF1003" s="71">
        <v>4.96</v>
      </c>
      <c r="AG1003" s="37">
        <v>0</v>
      </c>
      <c r="AH1003" s="37">
        <v>0</v>
      </c>
      <c r="AI1003" s="37">
        <v>96</v>
      </c>
      <c r="AJ1003" s="37">
        <v>10</v>
      </c>
      <c r="AK1003" s="37" t="str">
        <f>VLOOKUP(Mecze[[#This Row],[Match ID]],Meczusie[Mecz]:Meczusie[RodzajMeczu],2,FALSE)</f>
        <v>Liga</v>
      </c>
    </row>
    <row r="1004" spans="1:37" x14ac:dyDescent="0.25">
      <c r="A1004" s="76">
        <v>5</v>
      </c>
      <c r="B1004" s="3" t="s">
        <v>242</v>
      </c>
      <c r="C1004" s="2" t="s">
        <v>160</v>
      </c>
      <c r="D1004" s="1">
        <v>0</v>
      </c>
      <c r="E1004" s="1">
        <v>0</v>
      </c>
      <c r="F1004" s="1">
        <v>0</v>
      </c>
      <c r="G1004" s="1">
        <v>10</v>
      </c>
      <c r="H1004" s="4">
        <v>0.9</v>
      </c>
      <c r="I1004" s="1">
        <v>5</v>
      </c>
      <c r="J1004" s="4">
        <v>0.4</v>
      </c>
      <c r="K1004" s="1">
        <v>0</v>
      </c>
      <c r="L1004" s="1">
        <v>3</v>
      </c>
      <c r="M1004" s="32">
        <f>IF(Mecze[[#This Row],[PR]]=0,0,Mecze[[#This Row],[PR]]/Mecze[[#This Row],[CZAS]])</f>
        <v>3.125E-2</v>
      </c>
      <c r="N1004" s="32">
        <f>IF(Mecze[[#This Row],[OU]]=0,0,Mecze[[#This Row],[OU]]/Mecze[[#This Row],[CZAS]])</f>
        <v>2.0833333333333332E-2</v>
      </c>
      <c r="O1004" s="32">
        <f>IF(Mecze[[#This Row],[PC]]=0,0,Mecze[[#This Row],[PC]]/Mecze[[#This Row],[CZAS]])</f>
        <v>9.375E-2</v>
      </c>
      <c r="P1004" s="32">
        <f>IF(Mecze[[#This Row],[SC]]=0,0,Mecze[[#This Row],[SC]]/Mecze[[#This Row],[CZAS]])</f>
        <v>0</v>
      </c>
      <c r="Q1004" s="32">
        <f>IF(Mecze[[#This Row],[OB]]=0,0,Mecze[[#This Row],[OB]]/Mecze[[#This Row],[CZAS]])</f>
        <v>0</v>
      </c>
      <c r="R1004" s="32">
        <f>IF(Mecze[[#This Row],[BR]]=0,0,Mecze[[#This Row],[BR]]/Mecze[[#This Row],[CZAS]])</f>
        <v>0</v>
      </c>
      <c r="S1004" s="44">
        <f>IF(Mecze[[#This Row],[Role]]="BR",SUMPRODUCT(Mecze[[#This Row],[/PR:90]:[/BR:90]],Brudnopis!$E$23:$J$23),0)</f>
        <v>0</v>
      </c>
      <c r="T1004" s="44">
        <f>IF(Mecze[[#This Row],[Role]]&lt;&gt;"BR",SUMPRODUCT(Mecze[[#This Row],[/PR:90]:[/BR:90]],Brudnopis!$E$24:$J$24),0)</f>
        <v>0.15625</v>
      </c>
      <c r="U1004" s="44">
        <f>IF(Mecze[[#This Row],[Role]]&lt;&gt;"BR",SUMPRODUCT(Mecze[[#This Row],[/PR:90]:[/BR:90]],Brudnopis!$E$25:$J$25),0)</f>
        <v>0.19270833333333331</v>
      </c>
      <c r="V1004" s="44">
        <f>IF(Mecze[[#This Row],[Role]]&lt;&gt;"BR",SUMPRODUCT(Mecze[[#This Row],[/PR:90]:[/BR:90]],Brudnopis!$E$26:$J$26),0)</f>
        <v>0.14583333333333331</v>
      </c>
      <c r="W1004" s="44">
        <f>IF(Mecze[[#This Row],[Role]]&lt;&gt;"BR",SUMPRODUCT(Mecze[[#This Row],[/PR:90]:[/BR:90]],Brudnopis!$E$27:$J$27),0)</f>
        <v>0.1796875</v>
      </c>
      <c r="X1004" s="44">
        <f>IF(Mecze[[#This Row],[Role]]&lt;&gt;"BR",SUMPRODUCT(Mecze[[#This Row],[/PR:90]:[/BR:90]],Brudnopis!$E$28:$J$28),0)</f>
        <v>9.375E-2</v>
      </c>
      <c r="Y1004" s="35">
        <f>IF(Mecze[[#This Row],[Role]]="BR",Mecze[[#This Row],[/OB:90]]+Mecze[[#This Row],[/PC:90]],SUM(Mecze[[#This Row],[/PR:90]:[/BR:90]]))</f>
        <v>0.14583333333333331</v>
      </c>
      <c r="Z1004" s="35">
        <f>IF(Mecze[[#This Row],[KC]]=0,SUM(Mecze[[#This Row],[/BRI]:[/NPI]]),SUM(Mecze[[#This Row],[/BRI]:[/NPI]])*0.6)</f>
        <v>0.76822916666666663</v>
      </c>
      <c r="AA1004" s="10">
        <f>IFERROR(Mecze[[#This Row],[BR]]/Mecze[[#This Row],[ST]],0)</f>
        <v>0</v>
      </c>
      <c r="AB1004">
        <f>ROUND(Mecze[[#This Row],[PD]]*Mecze[[#This Row],[%PC]],0)</f>
        <v>9</v>
      </c>
      <c r="AC1004">
        <f>ROUND(Mecze[[#This Row],[OD]]*Mecze[[#This Row],[%OU]],0)</f>
        <v>2</v>
      </c>
      <c r="AD1004" s="36" t="s">
        <v>41</v>
      </c>
      <c r="AE1004" s="36">
        <v>56</v>
      </c>
      <c r="AF1004" s="71">
        <v>5.45</v>
      </c>
      <c r="AG1004" s="37">
        <v>0</v>
      </c>
      <c r="AH1004" s="37">
        <v>0</v>
      </c>
      <c r="AI1004" s="37">
        <v>96</v>
      </c>
      <c r="AJ1004" s="37">
        <v>10</v>
      </c>
      <c r="AK1004" s="37" t="str">
        <f>VLOOKUP(Mecze[[#This Row],[Match ID]],Meczusie[Mecz]:Meczusie[RodzajMeczu],2,FALSE)</f>
        <v>Liga</v>
      </c>
    </row>
    <row r="1005" spans="1:37" x14ac:dyDescent="0.25">
      <c r="A1005" s="76">
        <v>11</v>
      </c>
      <c r="B1005" s="3" t="s">
        <v>243</v>
      </c>
      <c r="C1005" s="2" t="s">
        <v>160</v>
      </c>
      <c r="D1005" s="1">
        <v>0</v>
      </c>
      <c r="E1005" s="1">
        <v>2</v>
      </c>
      <c r="F1005" s="1">
        <v>2</v>
      </c>
      <c r="G1005" s="1">
        <v>19</v>
      </c>
      <c r="H1005" s="4">
        <v>0.63</v>
      </c>
      <c r="I1005" s="1">
        <v>12</v>
      </c>
      <c r="J1005" s="4">
        <v>0.5</v>
      </c>
      <c r="K1005" s="1">
        <v>0</v>
      </c>
      <c r="L1005" s="1">
        <v>2</v>
      </c>
      <c r="M1005" s="32">
        <f>IF(Mecze[[#This Row],[PR]]=0,0,Mecze[[#This Row],[PR]]/Mecze[[#This Row],[CZAS]])</f>
        <v>2.0833333333333332E-2</v>
      </c>
      <c r="N1005" s="32">
        <f>IF(Mecze[[#This Row],[OU]]=0,0,Mecze[[#This Row],[OU]]/Mecze[[#This Row],[CZAS]])</f>
        <v>6.25E-2</v>
      </c>
      <c r="O1005" s="32">
        <f>IF(Mecze[[#This Row],[PC]]=0,0,Mecze[[#This Row],[PC]]/Mecze[[#This Row],[CZAS]])</f>
        <v>0.125</v>
      </c>
      <c r="P1005" s="32">
        <f>IF(Mecze[[#This Row],[SC]]=0,0,Mecze[[#This Row],[SC]]/Mecze[[#This Row],[CZAS]])</f>
        <v>2.0833333333333332E-2</v>
      </c>
      <c r="Q1005" s="32">
        <f>IF(Mecze[[#This Row],[OB]]=0,0,Mecze[[#This Row],[OB]]/Mecze[[#This Row],[CZAS]])</f>
        <v>0</v>
      </c>
      <c r="R1005" s="32">
        <f>IF(Mecze[[#This Row],[BR]]=0,0,Mecze[[#This Row],[BR]]/Mecze[[#This Row],[CZAS]])</f>
        <v>0</v>
      </c>
      <c r="S1005" s="44">
        <f>IF(Mecze[[#This Row],[Role]]="BR",SUMPRODUCT(Mecze[[#This Row],[/PR:90]:[/BR:90]],Brudnopis!$E$23:$J$23),0)</f>
        <v>0</v>
      </c>
      <c r="T1005" s="44">
        <f>IF(Mecze[[#This Row],[Role]]&lt;&gt;"BR",SUMPRODUCT(Mecze[[#This Row],[/PR:90]:[/BR:90]],Brudnopis!$E$24:$J$24),0)</f>
        <v>0.26041666666666663</v>
      </c>
      <c r="U1005" s="44">
        <f>IF(Mecze[[#This Row],[Role]]&lt;&gt;"BR",SUMPRODUCT(Mecze[[#This Row],[/PR:90]:[/BR:90]],Brudnopis!$E$25:$J$25),0)</f>
        <v>0.29166666666666663</v>
      </c>
      <c r="V1005" s="44">
        <f>IF(Mecze[[#This Row],[Role]]&lt;&gt;"BR",SUMPRODUCT(Mecze[[#This Row],[/PR:90]:[/BR:90]],Brudnopis!$E$26:$J$26),0)</f>
        <v>0.22916666666666666</v>
      </c>
      <c r="W1005" s="44">
        <f>IF(Mecze[[#This Row],[Role]]&lt;&gt;"BR",SUMPRODUCT(Mecze[[#This Row],[/PR:90]:[/BR:90]],Brudnopis!$E$27:$J$27),0)</f>
        <v>0.27083333333333331</v>
      </c>
      <c r="X1005" s="44">
        <f>IF(Mecze[[#This Row],[Role]]&lt;&gt;"BR",SUMPRODUCT(Mecze[[#This Row],[/PR:90]:[/BR:90]],Brudnopis!$E$28:$J$28),0)</f>
        <v>0.16666666666666666</v>
      </c>
      <c r="Y1005" s="35">
        <f>IF(Mecze[[#This Row],[Role]]="BR",Mecze[[#This Row],[/OB:90]]+Mecze[[#This Row],[/PC:90]],SUM(Mecze[[#This Row],[/PR:90]:[/BR:90]]))</f>
        <v>0.22916666666666666</v>
      </c>
      <c r="Z1005" s="35">
        <f>IF(Mecze[[#This Row],[KC]]=0,SUM(Mecze[[#This Row],[/BRI]:[/NPI]]),SUM(Mecze[[#This Row],[/BRI]:[/NPI]])*0.6)</f>
        <v>1.21875</v>
      </c>
      <c r="AA1005" s="10">
        <f>IFERROR(Mecze[[#This Row],[BR]]/Mecze[[#This Row],[ST]],0)</f>
        <v>0</v>
      </c>
      <c r="AB1005">
        <f>ROUND(Mecze[[#This Row],[PD]]*Mecze[[#This Row],[%PC]],0)</f>
        <v>12</v>
      </c>
      <c r="AC1005">
        <f>ROUND(Mecze[[#This Row],[OD]]*Mecze[[#This Row],[%OU]],0)</f>
        <v>6</v>
      </c>
      <c r="AD1005" s="36" t="s">
        <v>67</v>
      </c>
      <c r="AE1005" s="36">
        <v>56</v>
      </c>
      <c r="AF1005" s="71">
        <v>3.68</v>
      </c>
      <c r="AG1005" s="37">
        <v>1</v>
      </c>
      <c r="AH1005" s="37">
        <v>0</v>
      </c>
      <c r="AI1005" s="37">
        <v>96</v>
      </c>
      <c r="AJ1005" s="37">
        <v>10</v>
      </c>
      <c r="AK1005" s="37" t="str">
        <f>VLOOKUP(Mecze[[#This Row],[Match ID]],Meczusie[Mecz]:Meczusie[RodzajMeczu],2,FALSE)</f>
        <v>Liga</v>
      </c>
    </row>
    <row r="1006" spans="1:37" x14ac:dyDescent="0.25">
      <c r="A1006" s="76">
        <v>8</v>
      </c>
      <c r="B1006" s="3" t="s">
        <v>245</v>
      </c>
      <c r="C1006" s="2" t="s">
        <v>165</v>
      </c>
      <c r="D1006" s="1">
        <v>0</v>
      </c>
      <c r="E1006" s="1">
        <v>1</v>
      </c>
      <c r="F1006" s="1">
        <v>1</v>
      </c>
      <c r="G1006" s="1">
        <v>9</v>
      </c>
      <c r="H1006" s="4">
        <v>0.22</v>
      </c>
      <c r="I1006" s="1">
        <v>4</v>
      </c>
      <c r="J1006" s="4">
        <v>0.5</v>
      </c>
      <c r="K1006" s="1">
        <v>0</v>
      </c>
      <c r="L1006" s="1">
        <v>0</v>
      </c>
      <c r="M1006" s="32">
        <f>IF(Mecze[[#This Row],[PR]]=0,0,Mecze[[#This Row],[PR]]/Mecze[[#This Row],[CZAS]])</f>
        <v>0</v>
      </c>
      <c r="N1006" s="32">
        <f>IF(Mecze[[#This Row],[OU]]=0,0,Mecze[[#This Row],[OU]]/Mecze[[#This Row],[CZAS]])</f>
        <v>2.0833333333333332E-2</v>
      </c>
      <c r="O1006" s="32">
        <f>IF(Mecze[[#This Row],[PC]]=0,0,Mecze[[#This Row],[PC]]/Mecze[[#This Row],[CZAS]])</f>
        <v>2.0833333333333332E-2</v>
      </c>
      <c r="P1006" s="32">
        <f>IF(Mecze[[#This Row],[SC]]=0,0,Mecze[[#This Row],[SC]]/Mecze[[#This Row],[CZAS]])</f>
        <v>1.0416666666666666E-2</v>
      </c>
      <c r="Q1006" s="32">
        <f>IF(Mecze[[#This Row],[OB]]=0,0,Mecze[[#This Row],[OB]]/Mecze[[#This Row],[CZAS]])</f>
        <v>0</v>
      </c>
      <c r="R1006" s="32">
        <f>IF(Mecze[[#This Row],[BR]]=0,0,Mecze[[#This Row],[BR]]/Mecze[[#This Row],[CZAS]])</f>
        <v>0</v>
      </c>
      <c r="S1006" s="44">
        <f>IF(Mecze[[#This Row],[Role]]="BR",SUMPRODUCT(Mecze[[#This Row],[/PR:90]:[/BR:90]],Brudnopis!$E$23:$J$23),0)</f>
        <v>0</v>
      </c>
      <c r="T1006" s="44">
        <f>IF(Mecze[[#This Row],[Role]]&lt;&gt;"BR",SUMPRODUCT(Mecze[[#This Row],[/PR:90]:[/BR:90]],Brudnopis!$E$24:$J$24),0)</f>
        <v>6.2499999999999993E-2</v>
      </c>
      <c r="U1006" s="44">
        <f>IF(Mecze[[#This Row],[Role]]&lt;&gt;"BR",SUMPRODUCT(Mecze[[#This Row],[/PR:90]:[/BR:90]],Brudnopis!$E$25:$J$25),0)</f>
        <v>6.2499999999999993E-2</v>
      </c>
      <c r="V1006" s="44">
        <f>IF(Mecze[[#This Row],[Role]]&lt;&gt;"BR",SUMPRODUCT(Mecze[[#This Row],[/PR:90]:[/BR:90]],Brudnopis!$E$26:$J$26),0)</f>
        <v>5.2083333333333329E-2</v>
      </c>
      <c r="W1006" s="44">
        <f>IF(Mecze[[#This Row],[Role]]&lt;&gt;"BR",SUMPRODUCT(Mecze[[#This Row],[/PR:90]:[/BR:90]],Brudnopis!$E$27:$J$27),0)</f>
        <v>5.7291666666666664E-2</v>
      </c>
      <c r="X1006" s="44">
        <f>IF(Mecze[[#This Row],[Role]]&lt;&gt;"BR",SUMPRODUCT(Mecze[[#This Row],[/PR:90]:[/BR:90]],Brudnopis!$E$28:$J$28),0)</f>
        <v>4.1666666666666664E-2</v>
      </c>
      <c r="Y1006" s="35">
        <f>IF(Mecze[[#This Row],[Role]]="BR",Mecze[[#This Row],[/OB:90]]+Mecze[[#This Row],[/PC:90]],SUM(Mecze[[#This Row],[/PR:90]:[/BR:90]]))</f>
        <v>5.2083333333333329E-2</v>
      </c>
      <c r="Z1006" s="35">
        <f>IF(Mecze[[#This Row],[KC]]=0,SUM(Mecze[[#This Row],[/BRI]:[/NPI]]),SUM(Mecze[[#This Row],[/BRI]:[/NPI]])*0.6)</f>
        <v>0.27604166666666663</v>
      </c>
      <c r="AA1006" s="10">
        <f>IFERROR(Mecze[[#This Row],[BR]]/Mecze[[#This Row],[ST]],0)</f>
        <v>0</v>
      </c>
      <c r="AB1006">
        <f>ROUND(Mecze[[#This Row],[PD]]*Mecze[[#This Row],[%PC]],0)</f>
        <v>2</v>
      </c>
      <c r="AC1006">
        <f>ROUND(Mecze[[#This Row],[OD]]*Mecze[[#This Row],[%OU]],0)</f>
        <v>2</v>
      </c>
      <c r="AD1006" s="36" t="s">
        <v>46</v>
      </c>
      <c r="AE1006" s="36">
        <v>56</v>
      </c>
      <c r="AF1006" s="71">
        <v>2.93</v>
      </c>
      <c r="AG1006" s="37">
        <v>0</v>
      </c>
      <c r="AH1006" s="37">
        <v>0</v>
      </c>
      <c r="AI1006" s="37">
        <v>96</v>
      </c>
      <c r="AJ1006" s="37">
        <v>10</v>
      </c>
      <c r="AK1006" s="37" t="str">
        <f>VLOOKUP(Mecze[[#This Row],[Match ID]],Meczusie[Mecz]:Meczusie[RodzajMeczu],2,FALSE)</f>
        <v>Liga</v>
      </c>
    </row>
    <row r="1007" spans="1:37" x14ac:dyDescent="0.25">
      <c r="A1007" s="76">
        <v>14</v>
      </c>
      <c r="B1007" s="3" t="s">
        <v>244</v>
      </c>
      <c r="C1007" s="2" t="s">
        <v>165</v>
      </c>
      <c r="D1007" s="1">
        <v>0</v>
      </c>
      <c r="E1007" s="1">
        <v>2</v>
      </c>
      <c r="F1007" s="1">
        <v>2</v>
      </c>
      <c r="G1007" s="1">
        <v>3</v>
      </c>
      <c r="H1007" s="4">
        <v>0.67</v>
      </c>
      <c r="I1007" s="1">
        <v>2</v>
      </c>
      <c r="J1007" s="4">
        <v>0</v>
      </c>
      <c r="K1007" s="1">
        <v>0</v>
      </c>
      <c r="L1007" s="1">
        <v>0</v>
      </c>
      <c r="M1007" s="32">
        <f>IF(Mecze[[#This Row],[PR]]=0,0,Mecze[[#This Row],[PR]]/Mecze[[#This Row],[CZAS]])</f>
        <v>0</v>
      </c>
      <c r="N1007" s="32">
        <f>IF(Mecze[[#This Row],[OU]]=0,0,Mecze[[#This Row],[OU]]/Mecze[[#This Row],[CZAS]])</f>
        <v>0</v>
      </c>
      <c r="O1007" s="32">
        <f>IF(Mecze[[#This Row],[PC]]=0,0,Mecze[[#This Row],[PC]]/Mecze[[#This Row],[CZAS]])</f>
        <v>2.0833333333333332E-2</v>
      </c>
      <c r="P1007" s="32">
        <f>IF(Mecze[[#This Row],[SC]]=0,0,Mecze[[#This Row],[SC]]/Mecze[[#This Row],[CZAS]])</f>
        <v>2.0833333333333332E-2</v>
      </c>
      <c r="Q1007" s="32">
        <f>IF(Mecze[[#This Row],[OB]]=0,0,Mecze[[#This Row],[OB]]/Mecze[[#This Row],[CZAS]])</f>
        <v>0</v>
      </c>
      <c r="R1007" s="32">
        <f>IF(Mecze[[#This Row],[BR]]=0,0,Mecze[[#This Row],[BR]]/Mecze[[#This Row],[CZAS]])</f>
        <v>0</v>
      </c>
      <c r="S1007" s="44">
        <f>IF(Mecze[[#This Row],[Role]]="BR",SUMPRODUCT(Mecze[[#This Row],[/PR:90]:[/BR:90]],Brudnopis!$E$23:$J$23),0)</f>
        <v>0</v>
      </c>
      <c r="T1007" s="44">
        <f>IF(Mecze[[#This Row],[Role]]&lt;&gt;"BR",SUMPRODUCT(Mecze[[#This Row],[/PR:90]:[/BR:90]],Brudnopis!$E$24:$J$24),0)</f>
        <v>4.1666666666666664E-2</v>
      </c>
      <c r="U1007" s="44">
        <f>IF(Mecze[[#This Row],[Role]]&lt;&gt;"BR",SUMPRODUCT(Mecze[[#This Row],[/PR:90]:[/BR:90]],Brudnopis!$E$25:$J$25),0)</f>
        <v>5.2083333333333329E-2</v>
      </c>
      <c r="V1007" s="44">
        <f>IF(Mecze[[#This Row],[Role]]&lt;&gt;"BR",SUMPRODUCT(Mecze[[#This Row],[/PR:90]:[/BR:90]],Brudnopis!$E$26:$J$26),0)</f>
        <v>4.1666666666666664E-2</v>
      </c>
      <c r="W1007" s="44">
        <f>IF(Mecze[[#This Row],[Role]]&lt;&gt;"BR",SUMPRODUCT(Mecze[[#This Row],[/PR:90]:[/BR:90]],Brudnopis!$E$27:$J$27),0)</f>
        <v>5.2083333333333329E-2</v>
      </c>
      <c r="X1007" s="44">
        <f>IF(Mecze[[#This Row],[Role]]&lt;&gt;"BR",SUMPRODUCT(Mecze[[#This Row],[/PR:90]:[/BR:90]],Brudnopis!$E$28:$J$28),0)</f>
        <v>6.25E-2</v>
      </c>
      <c r="Y1007" s="35">
        <f>IF(Mecze[[#This Row],[Role]]="BR",Mecze[[#This Row],[/OB:90]]+Mecze[[#This Row],[/PC:90]],SUM(Mecze[[#This Row],[/PR:90]:[/BR:90]]))</f>
        <v>4.1666666666666664E-2</v>
      </c>
      <c r="Z1007" s="35">
        <f>IF(Mecze[[#This Row],[KC]]=0,SUM(Mecze[[#This Row],[/BRI]:[/NPI]]),SUM(Mecze[[#This Row],[/BRI]:[/NPI]])*0.6)</f>
        <v>0.25</v>
      </c>
      <c r="AA1007" s="10">
        <f>IFERROR(Mecze[[#This Row],[BR]]/Mecze[[#This Row],[ST]],0)</f>
        <v>0</v>
      </c>
      <c r="AB1007">
        <f>ROUND(Mecze[[#This Row],[PD]]*Mecze[[#This Row],[%PC]],0)</f>
        <v>2</v>
      </c>
      <c r="AC1007">
        <f>ROUND(Mecze[[#This Row],[OD]]*Mecze[[#This Row],[%OU]],0)</f>
        <v>0</v>
      </c>
      <c r="AD1007" s="36" t="s">
        <v>46</v>
      </c>
      <c r="AE1007" s="36">
        <v>56</v>
      </c>
      <c r="AF1007" s="71">
        <v>3.15</v>
      </c>
      <c r="AG1007" s="37">
        <v>0</v>
      </c>
      <c r="AH1007" s="37">
        <v>0</v>
      </c>
      <c r="AI1007" s="37">
        <v>96</v>
      </c>
      <c r="AJ1007" s="37">
        <v>10</v>
      </c>
      <c r="AK1007" s="37" t="str">
        <f>VLOOKUP(Mecze[[#This Row],[Match ID]],Meczusie[Mecz]:Meczusie[RodzajMeczu],2,FALSE)</f>
        <v>Liga</v>
      </c>
    </row>
    <row r="1008" spans="1:37" x14ac:dyDescent="0.25">
      <c r="A1008" s="76">
        <v>10</v>
      </c>
      <c r="B1008" s="3" t="s">
        <v>246</v>
      </c>
      <c r="C1008" s="2" t="s">
        <v>165</v>
      </c>
      <c r="D1008" s="1">
        <v>1</v>
      </c>
      <c r="E1008" s="1">
        <v>5</v>
      </c>
      <c r="F1008" s="1">
        <v>5</v>
      </c>
      <c r="G1008" s="1">
        <v>7</v>
      </c>
      <c r="H1008" s="4">
        <v>0.43</v>
      </c>
      <c r="I1008" s="1">
        <v>1</v>
      </c>
      <c r="J1008" s="4">
        <v>1</v>
      </c>
      <c r="K1008" s="1">
        <v>0</v>
      </c>
      <c r="L1008" s="1">
        <v>0</v>
      </c>
      <c r="M1008" s="32">
        <f>IF(Mecze[[#This Row],[PR]]=0,0,Mecze[[#This Row],[PR]]/Mecze[[#This Row],[CZAS]])</f>
        <v>0</v>
      </c>
      <c r="N1008" s="32">
        <f>IF(Mecze[[#This Row],[OU]]=0,0,Mecze[[#This Row],[OU]]/Mecze[[#This Row],[CZAS]])</f>
        <v>1.0416666666666666E-2</v>
      </c>
      <c r="O1008" s="32">
        <f>IF(Mecze[[#This Row],[PC]]=0,0,Mecze[[#This Row],[PC]]/Mecze[[#This Row],[CZAS]])</f>
        <v>3.125E-2</v>
      </c>
      <c r="P1008" s="32">
        <f>IF(Mecze[[#This Row],[SC]]=0,0,Mecze[[#This Row],[SC]]/Mecze[[#This Row],[CZAS]])</f>
        <v>5.2083333333333336E-2</v>
      </c>
      <c r="Q1008" s="32">
        <f>IF(Mecze[[#This Row],[OB]]=0,0,Mecze[[#This Row],[OB]]/Mecze[[#This Row],[CZAS]])</f>
        <v>0</v>
      </c>
      <c r="R1008" s="32">
        <f>IF(Mecze[[#This Row],[BR]]=0,0,Mecze[[#This Row],[BR]]/Mecze[[#This Row],[CZAS]])</f>
        <v>1.0416666666666666E-2</v>
      </c>
      <c r="S1008" s="44">
        <f>IF(Mecze[[#This Row],[Role]]="BR",SUMPRODUCT(Mecze[[#This Row],[/PR:90]:[/BR:90]],Brudnopis!$E$23:$J$23),0)</f>
        <v>0</v>
      </c>
      <c r="T1008" s="44">
        <f>IF(Mecze[[#This Row],[Role]]&lt;&gt;"BR",SUMPRODUCT(Mecze[[#This Row],[/PR:90]:[/BR:90]],Brudnopis!$E$24:$J$24),0)</f>
        <v>0.11458333333333334</v>
      </c>
      <c r="U1008" s="44">
        <f>IF(Mecze[[#This Row],[Role]]&lt;&gt;"BR",SUMPRODUCT(Mecze[[#This Row],[/PR:90]:[/BR:90]],Brudnopis!$E$25:$J$25),0)</f>
        <v>0.125</v>
      </c>
      <c r="V1008" s="44">
        <f>IF(Mecze[[#This Row],[Role]]&lt;&gt;"BR",SUMPRODUCT(Mecze[[#This Row],[/PR:90]:[/BR:90]],Brudnopis!$E$26:$J$26),0)</f>
        <v>0.11458333333333333</v>
      </c>
      <c r="W1008" s="44">
        <f>IF(Mecze[[#This Row],[Role]]&lt;&gt;"BR",SUMPRODUCT(Mecze[[#This Row],[/PR:90]:[/BR:90]],Brudnopis!$E$27:$J$27),0)</f>
        <v>0.12760416666666669</v>
      </c>
      <c r="X1008" s="44">
        <f>IF(Mecze[[#This Row],[Role]]&lt;&gt;"BR",SUMPRODUCT(Mecze[[#This Row],[/PR:90]:[/BR:90]],Brudnopis!$E$28:$J$28),0)</f>
        <v>0.16666666666666669</v>
      </c>
      <c r="Y1008" s="35">
        <f>IF(Mecze[[#This Row],[Role]]="BR",Mecze[[#This Row],[/OB:90]]+Mecze[[#This Row],[/PC:90]],SUM(Mecze[[#This Row],[/PR:90]:[/BR:90]]))</f>
        <v>0.10416666666666667</v>
      </c>
      <c r="Z1008" s="35">
        <f>IF(Mecze[[#This Row],[KC]]=0,SUM(Mecze[[#This Row],[/BRI]:[/NPI]]),SUM(Mecze[[#This Row],[/BRI]:[/NPI]])*0.6)</f>
        <v>0.6484375</v>
      </c>
      <c r="AA1008" s="10">
        <f>IFERROR(Mecze[[#This Row],[BR]]/Mecze[[#This Row],[ST]],0)</f>
        <v>0.2</v>
      </c>
      <c r="AB1008">
        <f>ROUND(Mecze[[#This Row],[PD]]*Mecze[[#This Row],[%PC]],0)</f>
        <v>3</v>
      </c>
      <c r="AC1008">
        <f>ROUND(Mecze[[#This Row],[OD]]*Mecze[[#This Row],[%OU]],0)</f>
        <v>1</v>
      </c>
      <c r="AD1008" s="36" t="s">
        <v>46</v>
      </c>
      <c r="AE1008" s="36">
        <v>56</v>
      </c>
      <c r="AF1008" s="71">
        <v>6.11</v>
      </c>
      <c r="AG1008" s="37">
        <v>0</v>
      </c>
      <c r="AH1008" s="37">
        <v>0</v>
      </c>
      <c r="AI1008" s="37">
        <v>96</v>
      </c>
      <c r="AJ1008" s="37">
        <v>10</v>
      </c>
      <c r="AK1008" s="37" t="str">
        <f>VLOOKUP(Mecze[[#This Row],[Match ID]],Meczusie[Mecz]:Meczusie[RodzajMeczu],2,FALSE)</f>
        <v>Liga</v>
      </c>
    </row>
    <row r="1009" spans="1:37" x14ac:dyDescent="0.25">
      <c r="A1009" s="76">
        <v>1</v>
      </c>
      <c r="B1009" s="3" t="s">
        <v>304</v>
      </c>
      <c r="C1009" s="2" t="s">
        <v>155</v>
      </c>
      <c r="D1009" s="1">
        <v>0</v>
      </c>
      <c r="E1009" s="1">
        <v>0</v>
      </c>
      <c r="F1009" s="1">
        <v>0</v>
      </c>
      <c r="G1009" s="1">
        <v>10</v>
      </c>
      <c r="H1009" s="4">
        <v>0.6</v>
      </c>
      <c r="I1009" s="1">
        <v>0</v>
      </c>
      <c r="J1009" s="4"/>
      <c r="K1009" s="1">
        <v>5</v>
      </c>
      <c r="L1009" s="1">
        <v>0</v>
      </c>
      <c r="M1009" s="32">
        <f>IF(Mecze[[#This Row],[PR]]=0,0,Mecze[[#This Row],[PR]]/Mecze[[#This Row],[CZAS]])</f>
        <v>0</v>
      </c>
      <c r="N1009" s="32">
        <f>IF(Mecze[[#This Row],[OU]]=0,0,Mecze[[#This Row],[OU]]/Mecze[[#This Row],[CZAS]])</f>
        <v>0</v>
      </c>
      <c r="O1009" s="32">
        <f>IF(Mecze[[#This Row],[PC]]=0,0,Mecze[[#This Row],[PC]]/Mecze[[#This Row],[CZAS]])</f>
        <v>6.1855670103092786E-2</v>
      </c>
      <c r="P1009" s="32">
        <f>IF(Mecze[[#This Row],[SC]]=0,0,Mecze[[#This Row],[SC]]/Mecze[[#This Row],[CZAS]])</f>
        <v>0</v>
      </c>
      <c r="Q1009" s="32">
        <f>IF(Mecze[[#This Row],[OB]]=0,0,Mecze[[#This Row],[OB]]/Mecze[[#This Row],[CZAS]])</f>
        <v>5.1546391752577317E-2</v>
      </c>
      <c r="R1009" s="32">
        <f>IF(Mecze[[#This Row],[BR]]=0,0,Mecze[[#This Row],[BR]]/Mecze[[#This Row],[CZAS]])</f>
        <v>0</v>
      </c>
      <c r="S1009" s="44">
        <f>IF(Mecze[[#This Row],[Role]]="BR",SUMPRODUCT(Mecze[[#This Row],[/PR:90]:[/BR:90]],Brudnopis!$E$23:$J$23),0)</f>
        <v>0.34020618556701032</v>
      </c>
      <c r="T1009" s="44">
        <f>IF(Mecze[[#This Row],[Role]]&lt;&gt;"BR",SUMPRODUCT(Mecze[[#This Row],[/PR:90]:[/BR:90]],Brudnopis!$E$24:$J$24),0)</f>
        <v>0</v>
      </c>
      <c r="U1009" s="44">
        <f>IF(Mecze[[#This Row],[Role]]&lt;&gt;"BR",SUMPRODUCT(Mecze[[#This Row],[/PR:90]:[/BR:90]],Brudnopis!$E$25:$J$25),0)</f>
        <v>0</v>
      </c>
      <c r="V1009" s="44">
        <f>IF(Mecze[[#This Row],[Role]]&lt;&gt;"BR",SUMPRODUCT(Mecze[[#This Row],[/PR:90]:[/BR:90]],Brudnopis!$E$26:$J$26),0)</f>
        <v>0</v>
      </c>
      <c r="W1009" s="44">
        <f>IF(Mecze[[#This Row],[Role]]&lt;&gt;"BR",SUMPRODUCT(Mecze[[#This Row],[/PR:90]:[/BR:90]],Brudnopis!$E$27:$J$27),0)</f>
        <v>0</v>
      </c>
      <c r="X1009" s="44">
        <f>IF(Mecze[[#This Row],[Role]]&lt;&gt;"BR",SUMPRODUCT(Mecze[[#This Row],[/PR:90]:[/BR:90]],Brudnopis!$E$28:$J$28),0)</f>
        <v>0</v>
      </c>
      <c r="Y1009" s="35">
        <f>IF(Mecze[[#This Row],[Role]]="BR",Mecze[[#This Row],[/OB:90]]+Mecze[[#This Row],[/PC:90]],SUM(Mecze[[#This Row],[/PR:90]:[/BR:90]]))</f>
        <v>0.1134020618556701</v>
      </c>
      <c r="Z1009" s="35">
        <f>IF(Mecze[[#This Row],[KC]]=0,SUM(Mecze[[#This Row],[/BRI]:[/NPI]]),SUM(Mecze[[#This Row],[/BRI]:[/NPI]])*0.6)</f>
        <v>0.34020618556701032</v>
      </c>
      <c r="AA1009" s="10">
        <f>IFERROR(Mecze[[#This Row],[BR]]/Mecze[[#This Row],[ST]],0)</f>
        <v>0</v>
      </c>
      <c r="AB1009">
        <f>ROUND(Mecze[[#This Row],[PD]]*Mecze[[#This Row],[%PC]],0)</f>
        <v>6</v>
      </c>
      <c r="AC1009">
        <f>ROUND(Mecze[[#This Row],[OD]]*Mecze[[#This Row],[%OU]],0)</f>
        <v>0</v>
      </c>
      <c r="AD1009" s="36" t="s">
        <v>40</v>
      </c>
      <c r="AE1009" s="36">
        <v>57</v>
      </c>
      <c r="AF1009" s="71">
        <v>6.89</v>
      </c>
      <c r="AG1009" s="37">
        <v>0</v>
      </c>
      <c r="AH1009" s="37">
        <v>0</v>
      </c>
      <c r="AI1009" s="37">
        <v>97</v>
      </c>
      <c r="AJ1009" s="37">
        <v>8</v>
      </c>
      <c r="AK1009" s="37" t="str">
        <f>VLOOKUP(Mecze[[#This Row],[Match ID]],Meczusie[Mecz]:Meczusie[RodzajMeczu],2,FALSE)</f>
        <v>Liga</v>
      </c>
    </row>
    <row r="1010" spans="1:37" x14ac:dyDescent="0.25">
      <c r="A1010" s="76">
        <v>5</v>
      </c>
      <c r="B1010" s="3" t="s">
        <v>305</v>
      </c>
      <c r="C1010" s="2" t="s">
        <v>157</v>
      </c>
      <c r="D1010" s="1">
        <v>0</v>
      </c>
      <c r="E1010" s="1">
        <v>0</v>
      </c>
      <c r="F1010" s="1">
        <v>0</v>
      </c>
      <c r="G1010" s="1">
        <v>1</v>
      </c>
      <c r="H1010" s="4">
        <v>1</v>
      </c>
      <c r="I1010" s="1">
        <v>1</v>
      </c>
      <c r="J1010" s="4">
        <v>1</v>
      </c>
      <c r="K1010" s="1">
        <v>0</v>
      </c>
      <c r="L1010" s="1">
        <v>0</v>
      </c>
      <c r="M1010" s="32">
        <f>IF(Mecze[[#This Row],[PR]]=0,0,Mecze[[#This Row],[PR]]/Mecze[[#This Row],[CZAS]])</f>
        <v>0</v>
      </c>
      <c r="N1010" s="32">
        <f>IF(Mecze[[#This Row],[OU]]=0,0,Mecze[[#This Row],[OU]]/Mecze[[#This Row],[CZAS]])</f>
        <v>1.0309278350515464E-2</v>
      </c>
      <c r="O1010" s="32">
        <f>IF(Mecze[[#This Row],[PC]]=0,0,Mecze[[#This Row],[PC]]/Mecze[[#This Row],[CZAS]])</f>
        <v>1.0309278350515464E-2</v>
      </c>
      <c r="P1010" s="32">
        <f>IF(Mecze[[#This Row],[SC]]=0,0,Mecze[[#This Row],[SC]]/Mecze[[#This Row],[CZAS]])</f>
        <v>0</v>
      </c>
      <c r="Q1010" s="32">
        <f>IF(Mecze[[#This Row],[OB]]=0,0,Mecze[[#This Row],[OB]]/Mecze[[#This Row],[CZAS]])</f>
        <v>0</v>
      </c>
      <c r="R1010" s="32">
        <f>IF(Mecze[[#This Row],[BR]]=0,0,Mecze[[#This Row],[BR]]/Mecze[[#This Row],[CZAS]])</f>
        <v>0</v>
      </c>
      <c r="S1010" s="44">
        <f>IF(Mecze[[#This Row],[Role]]="BR",SUMPRODUCT(Mecze[[#This Row],[/PR:90]:[/BR:90]],Brudnopis!$E$23:$J$23),0)</f>
        <v>0</v>
      </c>
      <c r="T1010" s="44">
        <f>IF(Mecze[[#This Row],[Role]]&lt;&gt;"BR",SUMPRODUCT(Mecze[[#This Row],[/PR:90]:[/BR:90]],Brudnopis!$E$24:$J$24),0)</f>
        <v>2.5773195876288658E-2</v>
      </c>
      <c r="U1010" s="44">
        <f>IF(Mecze[[#This Row],[Role]]&lt;&gt;"BR",SUMPRODUCT(Mecze[[#This Row],[/PR:90]:[/BR:90]],Brudnopis!$E$25:$J$25),0)</f>
        <v>2.5773195876288658E-2</v>
      </c>
      <c r="V1010" s="44">
        <f>IF(Mecze[[#This Row],[Role]]&lt;&gt;"BR",SUMPRODUCT(Mecze[[#This Row],[/PR:90]:[/BR:90]],Brudnopis!$E$26:$J$26),0)</f>
        <v>2.0618556701030927E-2</v>
      </c>
      <c r="W1010" s="44">
        <f>IF(Mecze[[#This Row],[Role]]&lt;&gt;"BR",SUMPRODUCT(Mecze[[#This Row],[/PR:90]:[/BR:90]],Brudnopis!$E$27:$J$27),0)</f>
        <v>2.3195876288659795E-2</v>
      </c>
      <c r="X1010" s="44">
        <f>IF(Mecze[[#This Row],[Role]]&lt;&gt;"BR",SUMPRODUCT(Mecze[[#This Row],[/PR:90]:[/BR:90]],Brudnopis!$E$28:$J$28),0)</f>
        <v>1.0309278350515464E-2</v>
      </c>
      <c r="Y1010" s="35">
        <f>IF(Mecze[[#This Row],[Role]]="BR",Mecze[[#This Row],[/OB:90]]+Mecze[[#This Row],[/PC:90]],SUM(Mecze[[#This Row],[/PR:90]:[/BR:90]]))</f>
        <v>2.0618556701030927E-2</v>
      </c>
      <c r="Z1010" s="35">
        <f>IF(Mecze[[#This Row],[KC]]=0,SUM(Mecze[[#This Row],[/BRI]:[/NPI]]),SUM(Mecze[[#This Row],[/BRI]:[/NPI]])*0.6)</f>
        <v>0.1056701030927835</v>
      </c>
      <c r="AA1010" s="10">
        <f>IFERROR(Mecze[[#This Row],[BR]]/Mecze[[#This Row],[ST]],0)</f>
        <v>0</v>
      </c>
      <c r="AB1010">
        <f>ROUND(Mecze[[#This Row],[PD]]*Mecze[[#This Row],[%PC]],0)</f>
        <v>1</v>
      </c>
      <c r="AC1010">
        <f>ROUND(Mecze[[#This Row],[OD]]*Mecze[[#This Row],[%OU]],0)</f>
        <v>1</v>
      </c>
      <c r="AD1010" s="36" t="s">
        <v>47</v>
      </c>
      <c r="AE1010" s="36">
        <v>57</v>
      </c>
      <c r="AF1010" s="71">
        <v>-0.49</v>
      </c>
      <c r="AG1010" s="37">
        <v>0</v>
      </c>
      <c r="AH1010" s="37">
        <v>0</v>
      </c>
      <c r="AI1010" s="37">
        <v>97</v>
      </c>
      <c r="AJ1010" s="37">
        <v>8</v>
      </c>
      <c r="AK1010" s="37" t="str">
        <f>VLOOKUP(Mecze[[#This Row],[Match ID]],Meczusie[Mecz]:Meczusie[RodzajMeczu],2,FALSE)</f>
        <v>Liga</v>
      </c>
    </row>
    <row r="1011" spans="1:37" x14ac:dyDescent="0.25">
      <c r="A1011" s="76">
        <v>23</v>
      </c>
      <c r="B1011" s="3" t="s">
        <v>306</v>
      </c>
      <c r="C1011" s="2" t="s">
        <v>157</v>
      </c>
      <c r="D1011" s="1">
        <v>0</v>
      </c>
      <c r="E1011" s="1">
        <v>0</v>
      </c>
      <c r="F1011" s="1">
        <v>0</v>
      </c>
      <c r="G1011" s="1">
        <v>4</v>
      </c>
      <c r="H1011" s="4">
        <v>0.75</v>
      </c>
      <c r="I1011" s="1">
        <v>3</v>
      </c>
      <c r="J1011" s="4">
        <v>0.33</v>
      </c>
      <c r="K1011" s="1">
        <v>0</v>
      </c>
      <c r="L1011" s="1">
        <v>3</v>
      </c>
      <c r="M1011" s="32">
        <f>IF(Mecze[[#This Row],[PR]]=0,0,Mecze[[#This Row],[PR]]/Mecze[[#This Row],[CZAS]])</f>
        <v>3.0927835051546393E-2</v>
      </c>
      <c r="N1011" s="32">
        <f>IF(Mecze[[#This Row],[OU]]=0,0,Mecze[[#This Row],[OU]]/Mecze[[#This Row],[CZAS]])</f>
        <v>1.0309278350515464E-2</v>
      </c>
      <c r="O1011" s="32">
        <f>IF(Mecze[[#This Row],[PC]]=0,0,Mecze[[#This Row],[PC]]/Mecze[[#This Row],[CZAS]])</f>
        <v>3.0927835051546393E-2</v>
      </c>
      <c r="P1011" s="32">
        <f>IF(Mecze[[#This Row],[SC]]=0,0,Mecze[[#This Row],[SC]]/Mecze[[#This Row],[CZAS]])</f>
        <v>0</v>
      </c>
      <c r="Q1011" s="32">
        <f>IF(Mecze[[#This Row],[OB]]=0,0,Mecze[[#This Row],[OB]]/Mecze[[#This Row],[CZAS]])</f>
        <v>0</v>
      </c>
      <c r="R1011" s="32">
        <f>IF(Mecze[[#This Row],[BR]]=0,0,Mecze[[#This Row],[BR]]/Mecze[[#This Row],[CZAS]])</f>
        <v>0</v>
      </c>
      <c r="S1011" s="44">
        <f>IF(Mecze[[#This Row],[Role]]="BR",SUMPRODUCT(Mecze[[#This Row],[/PR:90]:[/BR:90]],Brudnopis!$E$23:$J$23),0)</f>
        <v>0</v>
      </c>
      <c r="T1011" s="44">
        <f>IF(Mecze[[#This Row],[Role]]&lt;&gt;"BR",SUMPRODUCT(Mecze[[#This Row],[/PR:90]:[/BR:90]],Brudnopis!$E$24:$J$24),0)</f>
        <v>7.7319587628865982E-2</v>
      </c>
      <c r="U1011" s="44">
        <f>IF(Mecze[[#This Row],[Role]]&lt;&gt;"BR",SUMPRODUCT(Mecze[[#This Row],[/PR:90]:[/BR:90]],Brudnopis!$E$25:$J$25),0)</f>
        <v>8.7628865979381437E-2</v>
      </c>
      <c r="V1011" s="44">
        <f>IF(Mecze[[#This Row],[Role]]&lt;&gt;"BR",SUMPRODUCT(Mecze[[#This Row],[/PR:90]:[/BR:90]],Brudnopis!$E$26:$J$26),0)</f>
        <v>7.2164948453608241E-2</v>
      </c>
      <c r="W1011" s="44">
        <f>IF(Mecze[[#This Row],[Role]]&lt;&gt;"BR",SUMPRODUCT(Mecze[[#This Row],[/PR:90]:[/BR:90]],Brudnopis!$E$27:$J$27),0)</f>
        <v>7.7319587628865982E-2</v>
      </c>
      <c r="X1011" s="44">
        <f>IF(Mecze[[#This Row],[Role]]&lt;&gt;"BR",SUMPRODUCT(Mecze[[#This Row],[/PR:90]:[/BR:90]],Brudnopis!$E$28:$J$28),0)</f>
        <v>3.0927835051546393E-2</v>
      </c>
      <c r="Y1011" s="35">
        <f>IF(Mecze[[#This Row],[Role]]="BR",Mecze[[#This Row],[/OB:90]]+Mecze[[#This Row],[/PC:90]],SUM(Mecze[[#This Row],[/PR:90]:[/BR:90]]))</f>
        <v>7.2164948453608241E-2</v>
      </c>
      <c r="Z1011" s="35">
        <f>IF(Mecze[[#This Row],[KC]]=0,SUM(Mecze[[#This Row],[/BRI]:[/NPI]]),SUM(Mecze[[#This Row],[/BRI]:[/NPI]])*0.6)</f>
        <v>0.20721649484536081</v>
      </c>
      <c r="AA1011" s="10">
        <f>IFERROR(Mecze[[#This Row],[BR]]/Mecze[[#This Row],[ST]],0)</f>
        <v>0</v>
      </c>
      <c r="AB1011">
        <f>ROUND(Mecze[[#This Row],[PD]]*Mecze[[#This Row],[%PC]],0)</f>
        <v>3</v>
      </c>
      <c r="AC1011">
        <f>ROUND(Mecze[[#This Row],[OD]]*Mecze[[#This Row],[%OU]],0)</f>
        <v>1</v>
      </c>
      <c r="AD1011" s="36" t="s">
        <v>167</v>
      </c>
      <c r="AE1011" s="36">
        <v>57</v>
      </c>
      <c r="AF1011" s="71">
        <v>4.55</v>
      </c>
      <c r="AG1011" s="37">
        <v>0</v>
      </c>
      <c r="AH1011" s="37">
        <v>1</v>
      </c>
      <c r="AI1011" s="37">
        <v>97</v>
      </c>
      <c r="AJ1011" s="37">
        <v>8</v>
      </c>
      <c r="AK1011" s="37" t="str">
        <f>VLOOKUP(Mecze[[#This Row],[Match ID]],Meczusie[Mecz]:Meczusie[RodzajMeczu],2,FALSE)</f>
        <v>Liga</v>
      </c>
    </row>
    <row r="1012" spans="1:37" x14ac:dyDescent="0.25">
      <c r="A1012" s="76">
        <v>2</v>
      </c>
      <c r="B1012" s="3" t="s">
        <v>307</v>
      </c>
      <c r="C1012" s="2" t="s">
        <v>157</v>
      </c>
      <c r="D1012" s="1">
        <v>0</v>
      </c>
      <c r="E1012" s="1">
        <v>0</v>
      </c>
      <c r="F1012" s="1">
        <v>0</v>
      </c>
      <c r="G1012" s="1">
        <v>6</v>
      </c>
      <c r="H1012" s="4">
        <v>1</v>
      </c>
      <c r="I1012" s="1">
        <v>4</v>
      </c>
      <c r="J1012" s="4">
        <v>0.5</v>
      </c>
      <c r="K1012" s="1">
        <v>0</v>
      </c>
      <c r="L1012" s="1">
        <v>4</v>
      </c>
      <c r="M1012" s="32">
        <f>IF(Mecze[[#This Row],[PR]]=0,0,Mecze[[#This Row],[PR]]/Mecze[[#This Row],[CZAS]])</f>
        <v>4.1237113402061855E-2</v>
      </c>
      <c r="N1012" s="32">
        <f>IF(Mecze[[#This Row],[OU]]=0,0,Mecze[[#This Row],[OU]]/Mecze[[#This Row],[CZAS]])</f>
        <v>2.0618556701030927E-2</v>
      </c>
      <c r="O1012" s="32">
        <f>IF(Mecze[[#This Row],[PC]]=0,0,Mecze[[#This Row],[PC]]/Mecze[[#This Row],[CZAS]])</f>
        <v>6.1855670103092786E-2</v>
      </c>
      <c r="P1012" s="32">
        <f>IF(Mecze[[#This Row],[SC]]=0,0,Mecze[[#This Row],[SC]]/Mecze[[#This Row],[CZAS]])</f>
        <v>0</v>
      </c>
      <c r="Q1012" s="32">
        <f>IF(Mecze[[#This Row],[OB]]=0,0,Mecze[[#This Row],[OB]]/Mecze[[#This Row],[CZAS]])</f>
        <v>0</v>
      </c>
      <c r="R1012" s="32">
        <f>IF(Mecze[[#This Row],[BR]]=0,0,Mecze[[#This Row],[BR]]/Mecze[[#This Row],[CZAS]])</f>
        <v>0</v>
      </c>
      <c r="S1012" s="44">
        <f>IF(Mecze[[#This Row],[Role]]="BR",SUMPRODUCT(Mecze[[#This Row],[/PR:90]:[/BR:90]],Brudnopis!$E$23:$J$23),0)</f>
        <v>0</v>
      </c>
      <c r="T1012" s="44">
        <f>IF(Mecze[[#This Row],[Role]]&lt;&gt;"BR",SUMPRODUCT(Mecze[[#This Row],[/PR:90]:[/BR:90]],Brudnopis!$E$24:$J$24),0)</f>
        <v>0.13402061855670103</v>
      </c>
      <c r="U1012" s="44">
        <f>IF(Mecze[[#This Row],[Role]]&lt;&gt;"BR",SUMPRODUCT(Mecze[[#This Row],[/PR:90]:[/BR:90]],Brudnopis!$E$25:$J$25),0)</f>
        <v>0.15463917525773196</v>
      </c>
      <c r="V1012" s="44">
        <f>IF(Mecze[[#This Row],[Role]]&lt;&gt;"BR",SUMPRODUCT(Mecze[[#This Row],[/PR:90]:[/BR:90]],Brudnopis!$E$26:$J$26),0)</f>
        <v>0.12371134020618557</v>
      </c>
      <c r="W1012" s="44">
        <f>IF(Mecze[[#This Row],[Role]]&lt;&gt;"BR",SUMPRODUCT(Mecze[[#This Row],[/PR:90]:[/BR:90]],Brudnopis!$E$27:$J$27),0)</f>
        <v>0.13917525773195877</v>
      </c>
      <c r="X1012" s="44">
        <f>IF(Mecze[[#This Row],[Role]]&lt;&gt;"BR",SUMPRODUCT(Mecze[[#This Row],[/PR:90]:[/BR:90]],Brudnopis!$E$28:$J$28),0)</f>
        <v>6.1855670103092786E-2</v>
      </c>
      <c r="Y1012" s="35">
        <f>IF(Mecze[[#This Row],[Role]]="BR",Mecze[[#This Row],[/OB:90]]+Mecze[[#This Row],[/PC:90]],SUM(Mecze[[#This Row],[/PR:90]:[/BR:90]]))</f>
        <v>0.12371134020618557</v>
      </c>
      <c r="Z1012" s="35">
        <f>IF(Mecze[[#This Row],[KC]]=0,SUM(Mecze[[#This Row],[/BRI]:[/NPI]]),SUM(Mecze[[#This Row],[/BRI]:[/NPI]])*0.6)</f>
        <v>0.61340206185567014</v>
      </c>
      <c r="AA1012" s="10">
        <f>IFERROR(Mecze[[#This Row],[BR]]/Mecze[[#This Row],[ST]],0)</f>
        <v>0</v>
      </c>
      <c r="AB1012">
        <f>ROUND(Mecze[[#This Row],[PD]]*Mecze[[#This Row],[%PC]],0)</f>
        <v>6</v>
      </c>
      <c r="AC1012">
        <f>ROUND(Mecze[[#This Row],[OD]]*Mecze[[#This Row],[%OU]],0)</f>
        <v>2</v>
      </c>
      <c r="AD1012" s="36" t="s">
        <v>168</v>
      </c>
      <c r="AE1012" s="36">
        <v>57</v>
      </c>
      <c r="AF1012" s="71">
        <v>4.7699999999999996</v>
      </c>
      <c r="AG1012" s="37">
        <v>1</v>
      </c>
      <c r="AH1012" s="37">
        <v>0</v>
      </c>
      <c r="AI1012" s="37">
        <v>97</v>
      </c>
      <c r="AJ1012" s="37">
        <v>8</v>
      </c>
      <c r="AK1012" s="37" t="str">
        <f>VLOOKUP(Mecze[[#This Row],[Match ID]],Meczusie[Mecz]:Meczusie[RodzajMeczu],2,FALSE)</f>
        <v>Liga</v>
      </c>
    </row>
    <row r="1013" spans="1:37" x14ac:dyDescent="0.25">
      <c r="A1013" s="76">
        <v>6</v>
      </c>
      <c r="B1013" s="3" t="s">
        <v>308</v>
      </c>
      <c r="C1013" s="2" t="s">
        <v>160</v>
      </c>
      <c r="D1013" s="1">
        <v>0</v>
      </c>
      <c r="E1013" s="1">
        <v>0</v>
      </c>
      <c r="F1013" s="1">
        <v>0</v>
      </c>
      <c r="G1013" s="1">
        <v>8</v>
      </c>
      <c r="H1013" s="4">
        <v>0.75</v>
      </c>
      <c r="I1013" s="1">
        <v>6</v>
      </c>
      <c r="J1013" s="4">
        <v>0.5</v>
      </c>
      <c r="K1013" s="1">
        <v>0</v>
      </c>
      <c r="L1013" s="1">
        <v>1</v>
      </c>
      <c r="M1013" s="32">
        <f>IF(Mecze[[#This Row],[PR]]=0,0,Mecze[[#This Row],[PR]]/Mecze[[#This Row],[CZAS]])</f>
        <v>1.0309278350515464E-2</v>
      </c>
      <c r="N1013" s="32">
        <f>IF(Mecze[[#This Row],[OU]]=0,0,Mecze[[#This Row],[OU]]/Mecze[[#This Row],[CZAS]])</f>
        <v>3.0927835051546393E-2</v>
      </c>
      <c r="O1013" s="32">
        <f>IF(Mecze[[#This Row],[PC]]=0,0,Mecze[[#This Row],[PC]]/Mecze[[#This Row],[CZAS]])</f>
        <v>6.1855670103092786E-2</v>
      </c>
      <c r="P1013" s="32">
        <f>IF(Mecze[[#This Row],[SC]]=0,0,Mecze[[#This Row],[SC]]/Mecze[[#This Row],[CZAS]])</f>
        <v>0</v>
      </c>
      <c r="Q1013" s="32">
        <f>IF(Mecze[[#This Row],[OB]]=0,0,Mecze[[#This Row],[OB]]/Mecze[[#This Row],[CZAS]])</f>
        <v>0</v>
      </c>
      <c r="R1013" s="32">
        <f>IF(Mecze[[#This Row],[BR]]=0,0,Mecze[[#This Row],[BR]]/Mecze[[#This Row],[CZAS]])</f>
        <v>0</v>
      </c>
      <c r="S1013" s="44">
        <f>IF(Mecze[[#This Row],[Role]]="BR",SUMPRODUCT(Mecze[[#This Row],[/PR:90]:[/BR:90]],Brudnopis!$E$23:$J$23),0)</f>
        <v>0</v>
      </c>
      <c r="T1013" s="44">
        <f>IF(Mecze[[#This Row],[Role]]&lt;&gt;"BR",SUMPRODUCT(Mecze[[#This Row],[/PR:90]:[/BR:90]],Brudnopis!$E$24:$J$24),0)</f>
        <v>0.11855670103092783</v>
      </c>
      <c r="U1013" s="44">
        <f>IF(Mecze[[#This Row],[Role]]&lt;&gt;"BR",SUMPRODUCT(Mecze[[#This Row],[/PR:90]:[/BR:90]],Brudnopis!$E$25:$J$25),0)</f>
        <v>0.13402061855670103</v>
      </c>
      <c r="V1013" s="44">
        <f>IF(Mecze[[#This Row],[Role]]&lt;&gt;"BR",SUMPRODUCT(Mecze[[#This Row],[/PR:90]:[/BR:90]],Brudnopis!$E$26:$J$26),0)</f>
        <v>0.10309278350515463</v>
      </c>
      <c r="W1013" s="44">
        <f>IF(Mecze[[#This Row],[Role]]&lt;&gt;"BR",SUMPRODUCT(Mecze[[#This Row],[/PR:90]:[/BR:90]],Brudnopis!$E$27:$J$27),0)</f>
        <v>0.12371134020618557</v>
      </c>
      <c r="X1013" s="44">
        <f>IF(Mecze[[#This Row],[Role]]&lt;&gt;"BR",SUMPRODUCT(Mecze[[#This Row],[/PR:90]:[/BR:90]],Brudnopis!$E$28:$J$28),0)</f>
        <v>6.1855670103092786E-2</v>
      </c>
      <c r="Y1013" s="35">
        <f>IF(Mecze[[#This Row],[Role]]="BR",Mecze[[#This Row],[/OB:90]]+Mecze[[#This Row],[/PC:90]],SUM(Mecze[[#This Row],[/PR:90]:[/BR:90]]))</f>
        <v>0.10309278350515463</v>
      </c>
      <c r="Z1013" s="35">
        <f>IF(Mecze[[#This Row],[KC]]=0,SUM(Mecze[[#This Row],[/BRI]:[/NPI]]),SUM(Mecze[[#This Row],[/BRI]:[/NPI]])*0.6)</f>
        <v>0.54123711340206182</v>
      </c>
      <c r="AA1013" s="10">
        <f>IFERROR(Mecze[[#This Row],[BR]]/Mecze[[#This Row],[ST]],0)</f>
        <v>0</v>
      </c>
      <c r="AB1013">
        <f>ROUND(Mecze[[#This Row],[PD]]*Mecze[[#This Row],[%PC]],0)</f>
        <v>6</v>
      </c>
      <c r="AC1013">
        <f>ROUND(Mecze[[#This Row],[OD]]*Mecze[[#This Row],[%OU]],0)</f>
        <v>3</v>
      </c>
      <c r="AD1013" s="36" t="s">
        <v>41</v>
      </c>
      <c r="AE1013" s="36">
        <v>57</v>
      </c>
      <c r="AF1013" s="71">
        <v>5.34</v>
      </c>
      <c r="AG1013" s="37">
        <v>0</v>
      </c>
      <c r="AH1013" s="37">
        <v>0</v>
      </c>
      <c r="AI1013" s="37">
        <v>97</v>
      </c>
      <c r="AJ1013" s="37">
        <v>8</v>
      </c>
      <c r="AK1013" s="37" t="str">
        <f>VLOOKUP(Mecze[[#This Row],[Match ID]],Meczusie[Mecz]:Meczusie[RodzajMeczu],2,FALSE)</f>
        <v>Liga</v>
      </c>
    </row>
    <row r="1014" spans="1:37" x14ac:dyDescent="0.25">
      <c r="A1014" s="76">
        <v>16</v>
      </c>
      <c r="B1014" s="3" t="s">
        <v>309</v>
      </c>
      <c r="C1014" s="2" t="s">
        <v>160</v>
      </c>
      <c r="D1014" s="1">
        <v>0</v>
      </c>
      <c r="E1014" s="1">
        <v>0</v>
      </c>
      <c r="F1014" s="1">
        <v>0</v>
      </c>
      <c r="G1014" s="1">
        <v>7</v>
      </c>
      <c r="H1014" s="4">
        <v>0.56999999999999995</v>
      </c>
      <c r="I1014" s="1">
        <v>7</v>
      </c>
      <c r="J1014" s="4">
        <v>0.71</v>
      </c>
      <c r="K1014" s="1">
        <v>0</v>
      </c>
      <c r="L1014" s="1">
        <v>3</v>
      </c>
      <c r="M1014" s="32">
        <f>IF(Mecze[[#This Row],[PR]]=0,0,Mecze[[#This Row],[PR]]/Mecze[[#This Row],[CZAS]])</f>
        <v>3.0927835051546393E-2</v>
      </c>
      <c r="N1014" s="32">
        <f>IF(Mecze[[#This Row],[OU]]=0,0,Mecze[[#This Row],[OU]]/Mecze[[#This Row],[CZAS]])</f>
        <v>5.1546391752577317E-2</v>
      </c>
      <c r="O1014" s="32">
        <f>IF(Mecze[[#This Row],[PC]]=0,0,Mecze[[#This Row],[PC]]/Mecze[[#This Row],[CZAS]])</f>
        <v>4.1237113402061855E-2</v>
      </c>
      <c r="P1014" s="32">
        <f>IF(Mecze[[#This Row],[SC]]=0,0,Mecze[[#This Row],[SC]]/Mecze[[#This Row],[CZAS]])</f>
        <v>0</v>
      </c>
      <c r="Q1014" s="32">
        <f>IF(Mecze[[#This Row],[OB]]=0,0,Mecze[[#This Row],[OB]]/Mecze[[#This Row],[CZAS]])</f>
        <v>0</v>
      </c>
      <c r="R1014" s="32">
        <f>IF(Mecze[[#This Row],[BR]]=0,0,Mecze[[#This Row],[BR]]/Mecze[[#This Row],[CZAS]])</f>
        <v>0</v>
      </c>
      <c r="S1014" s="44">
        <f>IF(Mecze[[#This Row],[Role]]="BR",SUMPRODUCT(Mecze[[#This Row],[/PR:90]:[/BR:90]],Brudnopis!$E$23:$J$23),0)</f>
        <v>0</v>
      </c>
      <c r="T1014" s="44">
        <f>IF(Mecze[[#This Row],[Role]]&lt;&gt;"BR",SUMPRODUCT(Mecze[[#This Row],[/PR:90]:[/BR:90]],Brudnopis!$E$24:$J$24),0)</f>
        <v>0.14948453608247422</v>
      </c>
      <c r="U1014" s="44">
        <f>IF(Mecze[[#This Row],[Role]]&lt;&gt;"BR",SUMPRODUCT(Mecze[[#This Row],[/PR:90]:[/BR:90]],Brudnopis!$E$25:$J$25),0)</f>
        <v>0.14432989690721648</v>
      </c>
      <c r="V1014" s="44">
        <f>IF(Mecze[[#This Row],[Role]]&lt;&gt;"BR",SUMPRODUCT(Mecze[[#This Row],[/PR:90]:[/BR:90]],Brudnopis!$E$26:$J$26),0)</f>
        <v>0.12371134020618557</v>
      </c>
      <c r="W1014" s="44">
        <f>IF(Mecze[[#This Row],[Role]]&lt;&gt;"BR",SUMPRODUCT(Mecze[[#This Row],[/PR:90]:[/BR:90]],Brudnopis!$E$27:$J$27),0)</f>
        <v>0.12371134020618557</v>
      </c>
      <c r="X1014" s="44">
        <f>IF(Mecze[[#This Row],[Role]]&lt;&gt;"BR",SUMPRODUCT(Mecze[[#This Row],[/PR:90]:[/BR:90]],Brudnopis!$E$28:$J$28),0)</f>
        <v>4.1237113402061855E-2</v>
      </c>
      <c r="Y1014" s="35">
        <f>IF(Mecze[[#This Row],[Role]]="BR",Mecze[[#This Row],[/OB:90]]+Mecze[[#This Row],[/PC:90]],SUM(Mecze[[#This Row],[/PR:90]:[/BR:90]]))</f>
        <v>0.12371134020618557</v>
      </c>
      <c r="Z1014" s="35">
        <f>IF(Mecze[[#This Row],[KC]]=0,SUM(Mecze[[#This Row],[/BRI]:[/NPI]]),SUM(Mecze[[#This Row],[/BRI]:[/NPI]])*0.6)</f>
        <v>0.58247422680412364</v>
      </c>
      <c r="AA1014" s="10">
        <f>IFERROR(Mecze[[#This Row],[BR]]/Mecze[[#This Row],[ST]],0)</f>
        <v>0</v>
      </c>
      <c r="AB1014">
        <f>ROUND(Mecze[[#This Row],[PD]]*Mecze[[#This Row],[%PC]],0)</f>
        <v>4</v>
      </c>
      <c r="AC1014">
        <f>ROUND(Mecze[[#This Row],[OD]]*Mecze[[#This Row],[%OU]],0)</f>
        <v>5</v>
      </c>
      <c r="AD1014" s="36" t="s">
        <v>172</v>
      </c>
      <c r="AE1014" s="36">
        <v>57</v>
      </c>
      <c r="AF1014" s="71">
        <v>5.76</v>
      </c>
      <c r="AG1014" s="37">
        <v>0</v>
      </c>
      <c r="AH1014" s="37">
        <v>0</v>
      </c>
      <c r="AI1014" s="37">
        <v>97</v>
      </c>
      <c r="AJ1014" s="37">
        <v>8</v>
      </c>
      <c r="AK1014" s="37" t="str">
        <f>VLOOKUP(Mecze[[#This Row],[Match ID]],Meczusie[Mecz]:Meczusie[RodzajMeczu],2,FALSE)</f>
        <v>Liga</v>
      </c>
    </row>
    <row r="1015" spans="1:37" x14ac:dyDescent="0.25">
      <c r="A1015" s="76">
        <v>17</v>
      </c>
      <c r="B1015" s="3" t="s">
        <v>317</v>
      </c>
      <c r="C1015" s="2" t="s">
        <v>160</v>
      </c>
      <c r="D1015" s="1">
        <v>0</v>
      </c>
      <c r="E1015" s="1">
        <v>0</v>
      </c>
      <c r="F1015" s="1">
        <v>0</v>
      </c>
      <c r="G1015" s="1">
        <v>2</v>
      </c>
      <c r="H1015" s="4">
        <v>0.5</v>
      </c>
      <c r="I1015" s="1">
        <v>3</v>
      </c>
      <c r="J1015" s="4">
        <v>0.33</v>
      </c>
      <c r="K1015" s="1">
        <v>0</v>
      </c>
      <c r="L1015" s="1">
        <v>5</v>
      </c>
      <c r="M1015" s="32">
        <f>IF(Mecze[[#This Row],[PR]]=0,0,Mecze[[#This Row],[PR]]/Mecze[[#This Row],[CZAS]])</f>
        <v>5.1546391752577317E-2</v>
      </c>
      <c r="N1015" s="32">
        <f>IF(Mecze[[#This Row],[OU]]=0,0,Mecze[[#This Row],[OU]]/Mecze[[#This Row],[CZAS]])</f>
        <v>1.0309278350515464E-2</v>
      </c>
      <c r="O1015" s="32">
        <f>IF(Mecze[[#This Row],[PC]]=0,0,Mecze[[#This Row],[PC]]/Mecze[[#This Row],[CZAS]])</f>
        <v>1.0309278350515464E-2</v>
      </c>
      <c r="P1015" s="32">
        <f>IF(Mecze[[#This Row],[SC]]=0,0,Mecze[[#This Row],[SC]]/Mecze[[#This Row],[CZAS]])</f>
        <v>0</v>
      </c>
      <c r="Q1015" s="32">
        <f>IF(Mecze[[#This Row],[OB]]=0,0,Mecze[[#This Row],[OB]]/Mecze[[#This Row],[CZAS]])</f>
        <v>0</v>
      </c>
      <c r="R1015" s="32">
        <f>IF(Mecze[[#This Row],[BR]]=0,0,Mecze[[#This Row],[BR]]/Mecze[[#This Row],[CZAS]])</f>
        <v>0</v>
      </c>
      <c r="S1015" s="44">
        <f>IF(Mecze[[#This Row],[Role]]="BR",SUMPRODUCT(Mecze[[#This Row],[/PR:90]:[/BR:90]],Brudnopis!$E$23:$J$23),0)</f>
        <v>0</v>
      </c>
      <c r="T1015" s="44">
        <f>IF(Mecze[[#This Row],[Role]]&lt;&gt;"BR",SUMPRODUCT(Mecze[[#This Row],[/PR:90]:[/BR:90]],Brudnopis!$E$24:$J$24),0)</f>
        <v>7.7319587628865982E-2</v>
      </c>
      <c r="U1015" s="44">
        <f>IF(Mecze[[#This Row],[Role]]&lt;&gt;"BR",SUMPRODUCT(Mecze[[#This Row],[/PR:90]:[/BR:90]],Brudnopis!$E$25:$J$25),0)</f>
        <v>7.7319587628865982E-2</v>
      </c>
      <c r="V1015" s="44">
        <f>IF(Mecze[[#This Row],[Role]]&lt;&gt;"BR",SUMPRODUCT(Mecze[[#This Row],[/PR:90]:[/BR:90]],Brudnopis!$E$26:$J$26),0)</f>
        <v>7.2164948453608241E-2</v>
      </c>
      <c r="W1015" s="44">
        <f>IF(Mecze[[#This Row],[Role]]&lt;&gt;"BR",SUMPRODUCT(Mecze[[#This Row],[/PR:90]:[/BR:90]],Brudnopis!$E$27:$J$27),0)</f>
        <v>6.1855670103092786E-2</v>
      </c>
      <c r="X1015" s="44">
        <f>IF(Mecze[[#This Row],[Role]]&lt;&gt;"BR",SUMPRODUCT(Mecze[[#This Row],[/PR:90]:[/BR:90]],Brudnopis!$E$28:$J$28),0)</f>
        <v>1.0309278350515464E-2</v>
      </c>
      <c r="Y1015" s="35">
        <f>IF(Mecze[[#This Row],[Role]]="BR",Mecze[[#This Row],[/OB:90]]+Mecze[[#This Row],[/PC:90]],SUM(Mecze[[#This Row],[/PR:90]:[/BR:90]]))</f>
        <v>7.2164948453608241E-2</v>
      </c>
      <c r="Z1015" s="35">
        <f>IF(Mecze[[#This Row],[KC]]=0,SUM(Mecze[[#This Row],[/BRI]:[/NPI]]),SUM(Mecze[[#This Row],[/BRI]:[/NPI]])*0.6)</f>
        <v>0.29896907216494845</v>
      </c>
      <c r="AA1015" s="10">
        <f>IFERROR(Mecze[[#This Row],[BR]]/Mecze[[#This Row],[ST]],0)</f>
        <v>0</v>
      </c>
      <c r="AB1015">
        <f>ROUND(Mecze[[#This Row],[PD]]*Mecze[[#This Row],[%PC]],0)</f>
        <v>1</v>
      </c>
      <c r="AC1015">
        <f>ROUND(Mecze[[#This Row],[OD]]*Mecze[[#This Row],[%OU]],0)</f>
        <v>1</v>
      </c>
      <c r="AD1015" s="36" t="s">
        <v>319</v>
      </c>
      <c r="AE1015" s="36">
        <v>57</v>
      </c>
      <c r="AF1015" s="71">
        <v>4.97</v>
      </c>
      <c r="AG1015" s="37">
        <v>0</v>
      </c>
      <c r="AH1015" s="37">
        <v>0</v>
      </c>
      <c r="AI1015" s="37">
        <v>97</v>
      </c>
      <c r="AJ1015" s="37">
        <v>8</v>
      </c>
      <c r="AK1015" s="37" t="str">
        <f>VLOOKUP(Mecze[[#This Row],[Match ID]],Meczusie[Mecz]:Meczusie[RodzajMeczu],2,FALSE)</f>
        <v>Liga</v>
      </c>
    </row>
    <row r="1016" spans="1:37" x14ac:dyDescent="0.25">
      <c r="A1016" s="76">
        <v>7</v>
      </c>
      <c r="B1016" s="3" t="s">
        <v>311</v>
      </c>
      <c r="C1016" s="2" t="s">
        <v>160</v>
      </c>
      <c r="D1016" s="1">
        <v>1</v>
      </c>
      <c r="E1016" s="1">
        <v>5</v>
      </c>
      <c r="F1016" s="1">
        <v>4</v>
      </c>
      <c r="G1016" s="1">
        <v>10</v>
      </c>
      <c r="H1016" s="4">
        <v>0.9</v>
      </c>
      <c r="I1016" s="1">
        <v>2</v>
      </c>
      <c r="J1016" s="4">
        <v>0</v>
      </c>
      <c r="K1016" s="1">
        <v>0</v>
      </c>
      <c r="L1016" s="1">
        <v>3</v>
      </c>
      <c r="M1016" s="32">
        <f>IF(Mecze[[#This Row],[PR]]=0,0,Mecze[[#This Row],[PR]]/Mecze[[#This Row],[CZAS]])</f>
        <v>3.0927835051546393E-2</v>
      </c>
      <c r="N1016" s="32">
        <f>IF(Mecze[[#This Row],[OU]]=0,0,Mecze[[#This Row],[OU]]/Mecze[[#This Row],[CZAS]])</f>
        <v>0</v>
      </c>
      <c r="O1016" s="32">
        <f>IF(Mecze[[#This Row],[PC]]=0,0,Mecze[[#This Row],[PC]]/Mecze[[#This Row],[CZAS]])</f>
        <v>9.2783505154639179E-2</v>
      </c>
      <c r="P1016" s="32">
        <f>IF(Mecze[[#This Row],[SC]]=0,0,Mecze[[#This Row],[SC]]/Mecze[[#This Row],[CZAS]])</f>
        <v>4.1237113402061855E-2</v>
      </c>
      <c r="Q1016" s="32">
        <f>IF(Mecze[[#This Row],[OB]]=0,0,Mecze[[#This Row],[OB]]/Mecze[[#This Row],[CZAS]])</f>
        <v>0</v>
      </c>
      <c r="R1016" s="32">
        <f>IF(Mecze[[#This Row],[BR]]=0,0,Mecze[[#This Row],[BR]]/Mecze[[#This Row],[CZAS]])</f>
        <v>1.0309278350515464E-2</v>
      </c>
      <c r="S1016" s="44">
        <f>IF(Mecze[[#This Row],[Role]]="BR",SUMPRODUCT(Mecze[[#This Row],[/PR:90]:[/BR:90]],Brudnopis!$E$23:$J$23),0)</f>
        <v>0</v>
      </c>
      <c r="T1016" s="44">
        <f>IF(Mecze[[#This Row],[Role]]&lt;&gt;"BR",SUMPRODUCT(Mecze[[#This Row],[/PR:90]:[/BR:90]],Brudnopis!$E$24:$J$24),0)</f>
        <v>0.18041237113402062</v>
      </c>
      <c r="U1016" s="44">
        <f>IF(Mecze[[#This Row],[Role]]&lt;&gt;"BR",SUMPRODUCT(Mecze[[#This Row],[/PR:90]:[/BR:90]],Brudnopis!$E$25:$J$25),0)</f>
        <v>0.22680412371134021</v>
      </c>
      <c r="V1016" s="44">
        <f>IF(Mecze[[#This Row],[Role]]&lt;&gt;"BR",SUMPRODUCT(Mecze[[#This Row],[/PR:90]:[/BR:90]],Brudnopis!$E$26:$J$26),0)</f>
        <v>0.18556701030927836</v>
      </c>
      <c r="W1016" s="44">
        <f>IF(Mecze[[#This Row],[Role]]&lt;&gt;"BR",SUMPRODUCT(Mecze[[#This Row],[/PR:90]:[/BR:90]],Brudnopis!$E$27:$J$27),0)</f>
        <v>0.22422680412371135</v>
      </c>
      <c r="X1016" s="44">
        <f>IF(Mecze[[#This Row],[Role]]&lt;&gt;"BR",SUMPRODUCT(Mecze[[#This Row],[/PR:90]:[/BR:90]],Brudnopis!$E$28:$J$28),0)</f>
        <v>0.20618556701030927</v>
      </c>
      <c r="Y1016" s="35">
        <f>IF(Mecze[[#This Row],[Role]]="BR",Mecze[[#This Row],[/OB:90]]+Mecze[[#This Row],[/PC:90]],SUM(Mecze[[#This Row],[/PR:90]:[/BR:90]]))</f>
        <v>0.17525773195876287</v>
      </c>
      <c r="Z1016" s="35">
        <f>IF(Mecze[[#This Row],[KC]]=0,SUM(Mecze[[#This Row],[/BRI]:[/NPI]]),SUM(Mecze[[#This Row],[/BRI]:[/NPI]])*0.6)</f>
        <v>1.0231958762886597</v>
      </c>
      <c r="AA1016" s="10">
        <f>IFERROR(Mecze[[#This Row],[BR]]/Mecze[[#This Row],[ST]],0)</f>
        <v>0.2</v>
      </c>
      <c r="AB1016">
        <f>ROUND(Mecze[[#This Row],[PD]]*Mecze[[#This Row],[%PC]],0)</f>
        <v>9</v>
      </c>
      <c r="AC1016">
        <f>ROUND(Mecze[[#This Row],[OD]]*Mecze[[#This Row],[%OU]],0)</f>
        <v>0</v>
      </c>
      <c r="AD1016" s="36" t="s">
        <v>44</v>
      </c>
      <c r="AE1016" s="36">
        <v>57</v>
      </c>
      <c r="AF1016" s="71">
        <v>9.6999999999999993</v>
      </c>
      <c r="AG1016" s="37">
        <v>0</v>
      </c>
      <c r="AH1016" s="37">
        <v>0</v>
      </c>
      <c r="AI1016" s="37">
        <v>97</v>
      </c>
      <c r="AJ1016" s="37">
        <v>8</v>
      </c>
      <c r="AK1016" s="37" t="str">
        <f>VLOOKUP(Mecze[[#This Row],[Match ID]],Meczusie[Mecz]:Meczusie[RodzajMeczu],2,FALSE)</f>
        <v>Liga</v>
      </c>
    </row>
    <row r="1017" spans="1:37" x14ac:dyDescent="0.25">
      <c r="A1017" s="76">
        <v>14</v>
      </c>
      <c r="B1017" s="3" t="s">
        <v>312</v>
      </c>
      <c r="C1017" s="2" t="s">
        <v>160</v>
      </c>
      <c r="D1017" s="1">
        <v>0</v>
      </c>
      <c r="E1017" s="1">
        <v>10</v>
      </c>
      <c r="F1017" s="1">
        <v>10</v>
      </c>
      <c r="G1017" s="1">
        <v>15</v>
      </c>
      <c r="H1017" s="4">
        <v>0.73</v>
      </c>
      <c r="I1017" s="1">
        <v>7</v>
      </c>
      <c r="J1017" s="4">
        <v>0.56999999999999995</v>
      </c>
      <c r="K1017" s="1">
        <v>0</v>
      </c>
      <c r="L1017" s="1">
        <v>2</v>
      </c>
      <c r="M1017" s="32">
        <f>IF(Mecze[[#This Row],[PR]]=0,0,Mecze[[#This Row],[PR]]/Mecze[[#This Row],[CZAS]])</f>
        <v>2.0618556701030927E-2</v>
      </c>
      <c r="N1017" s="32">
        <f>IF(Mecze[[#This Row],[OU]]=0,0,Mecze[[#This Row],[OU]]/Mecze[[#This Row],[CZAS]])</f>
        <v>4.1237113402061855E-2</v>
      </c>
      <c r="O1017" s="32">
        <f>IF(Mecze[[#This Row],[PC]]=0,0,Mecze[[#This Row],[PC]]/Mecze[[#This Row],[CZAS]])</f>
        <v>0.1134020618556701</v>
      </c>
      <c r="P1017" s="32">
        <f>IF(Mecze[[#This Row],[SC]]=0,0,Mecze[[#This Row],[SC]]/Mecze[[#This Row],[CZAS]])</f>
        <v>0.10309278350515463</v>
      </c>
      <c r="Q1017" s="32">
        <f>IF(Mecze[[#This Row],[OB]]=0,0,Mecze[[#This Row],[OB]]/Mecze[[#This Row],[CZAS]])</f>
        <v>0</v>
      </c>
      <c r="R1017" s="32">
        <f>IF(Mecze[[#This Row],[BR]]=0,0,Mecze[[#This Row],[BR]]/Mecze[[#This Row],[CZAS]])</f>
        <v>0</v>
      </c>
      <c r="S1017" s="44">
        <f>IF(Mecze[[#This Row],[Role]]="BR",SUMPRODUCT(Mecze[[#This Row],[/PR:90]:[/BR:90]],Brudnopis!$E$23:$J$23),0)</f>
        <v>0</v>
      </c>
      <c r="T1017" s="44">
        <f>IF(Mecze[[#This Row],[Role]]&lt;&gt;"BR",SUMPRODUCT(Mecze[[#This Row],[/PR:90]:[/BR:90]],Brudnopis!$E$24:$J$24),0)</f>
        <v>0.29896907216494845</v>
      </c>
      <c r="U1017" s="44">
        <f>IF(Mecze[[#This Row],[Role]]&lt;&gt;"BR",SUMPRODUCT(Mecze[[#This Row],[/PR:90]:[/BR:90]],Brudnopis!$E$25:$J$25),0)</f>
        <v>0.33505154639175261</v>
      </c>
      <c r="V1017" s="44">
        <f>IF(Mecze[[#This Row],[Role]]&lt;&gt;"BR",SUMPRODUCT(Mecze[[#This Row],[/PR:90]:[/BR:90]],Brudnopis!$E$26:$J$26),0)</f>
        <v>0.27835051546391754</v>
      </c>
      <c r="W1017" s="44">
        <f>IF(Mecze[[#This Row],[Role]]&lt;&gt;"BR",SUMPRODUCT(Mecze[[#This Row],[/PR:90]:[/BR:90]],Brudnopis!$E$27:$J$27),0)</f>
        <v>0.31958762886597936</v>
      </c>
      <c r="X1017" s="44">
        <f>IF(Mecze[[#This Row],[Role]]&lt;&gt;"BR",SUMPRODUCT(Mecze[[#This Row],[/PR:90]:[/BR:90]],Brudnopis!$E$28:$J$28),0)</f>
        <v>0.31958762886597936</v>
      </c>
      <c r="Y1017" s="35">
        <f>IF(Mecze[[#This Row],[Role]]="BR",Mecze[[#This Row],[/OB:90]]+Mecze[[#This Row],[/PC:90]],SUM(Mecze[[#This Row],[/PR:90]:[/BR:90]]))</f>
        <v>0.27835051546391754</v>
      </c>
      <c r="Z1017" s="35">
        <f>IF(Mecze[[#This Row],[KC]]=0,SUM(Mecze[[#This Row],[/BRI]:[/NPI]]),SUM(Mecze[[#This Row],[/BRI]:[/NPI]])*0.6)</f>
        <v>1.5515463917525774</v>
      </c>
      <c r="AA1017" s="10">
        <f>IFERROR(Mecze[[#This Row],[BR]]/Mecze[[#This Row],[ST]],0)</f>
        <v>0</v>
      </c>
      <c r="AB1017">
        <f>ROUND(Mecze[[#This Row],[PD]]*Mecze[[#This Row],[%PC]],0)</f>
        <v>11</v>
      </c>
      <c r="AC1017">
        <f>ROUND(Mecze[[#This Row],[OD]]*Mecze[[#This Row],[%OU]],0)</f>
        <v>4</v>
      </c>
      <c r="AD1017" s="36" t="s">
        <v>44</v>
      </c>
      <c r="AE1017" s="36">
        <v>57</v>
      </c>
      <c r="AF1017" s="71">
        <v>7.85</v>
      </c>
      <c r="AG1017" s="37">
        <v>0</v>
      </c>
      <c r="AH1017" s="37">
        <v>0</v>
      </c>
      <c r="AI1017" s="37">
        <v>97</v>
      </c>
      <c r="AJ1017" s="37">
        <v>8</v>
      </c>
      <c r="AK1017" s="37" t="str">
        <f>VLOOKUP(Mecze[[#This Row],[Match ID]],Meczusie[Mecz]:Meczusie[RodzajMeczu],2,FALSE)</f>
        <v>Liga</v>
      </c>
    </row>
    <row r="1018" spans="1:37" x14ac:dyDescent="0.25">
      <c r="A1018" s="76">
        <v>8</v>
      </c>
      <c r="B1018" s="3" t="s">
        <v>314</v>
      </c>
      <c r="C1018" s="2" t="s">
        <v>165</v>
      </c>
      <c r="D1018" s="1">
        <v>1</v>
      </c>
      <c r="E1018" s="1">
        <v>2</v>
      </c>
      <c r="F1018" s="1">
        <v>2</v>
      </c>
      <c r="G1018" s="1">
        <v>8</v>
      </c>
      <c r="H1018" s="4">
        <v>0.88</v>
      </c>
      <c r="I1018" s="1">
        <v>0</v>
      </c>
      <c r="J1018" s="4"/>
      <c r="K1018" s="1">
        <v>0</v>
      </c>
      <c r="L1018" s="1">
        <v>6</v>
      </c>
      <c r="M1018" s="32">
        <f>IF(Mecze[[#This Row],[PR]]=0,0,Mecze[[#This Row],[PR]]/Mecze[[#This Row],[CZAS]])</f>
        <v>6.1855670103092786E-2</v>
      </c>
      <c r="N1018" s="32">
        <f>IF(Mecze[[#This Row],[OU]]=0,0,Mecze[[#This Row],[OU]]/Mecze[[#This Row],[CZAS]])</f>
        <v>0</v>
      </c>
      <c r="O1018" s="32">
        <f>IF(Mecze[[#This Row],[PC]]=0,0,Mecze[[#This Row],[PC]]/Mecze[[#This Row],[CZAS]])</f>
        <v>7.2164948453608241E-2</v>
      </c>
      <c r="P1018" s="32">
        <f>IF(Mecze[[#This Row],[SC]]=0,0,Mecze[[#This Row],[SC]]/Mecze[[#This Row],[CZAS]])</f>
        <v>2.0618556701030927E-2</v>
      </c>
      <c r="Q1018" s="32">
        <f>IF(Mecze[[#This Row],[OB]]=0,0,Mecze[[#This Row],[OB]]/Mecze[[#This Row],[CZAS]])</f>
        <v>0</v>
      </c>
      <c r="R1018" s="32">
        <f>IF(Mecze[[#This Row],[BR]]=0,0,Mecze[[#This Row],[BR]]/Mecze[[#This Row],[CZAS]])</f>
        <v>1.0309278350515464E-2</v>
      </c>
      <c r="S1018" s="44">
        <f>IF(Mecze[[#This Row],[Role]]="BR",SUMPRODUCT(Mecze[[#This Row],[/PR:90]:[/BR:90]],Brudnopis!$E$23:$J$23),0)</f>
        <v>0</v>
      </c>
      <c r="T1018" s="44">
        <f>IF(Mecze[[#This Row],[Role]]&lt;&gt;"BR",SUMPRODUCT(Mecze[[#This Row],[/PR:90]:[/BR:90]],Brudnopis!$E$24:$J$24),0)</f>
        <v>0.17010309278350516</v>
      </c>
      <c r="U1018" s="44">
        <f>IF(Mecze[[#This Row],[Role]]&lt;&gt;"BR",SUMPRODUCT(Mecze[[#This Row],[/PR:90]:[/BR:90]],Brudnopis!$E$25:$J$25),0)</f>
        <v>0.2061855670103093</v>
      </c>
      <c r="V1018" s="44">
        <f>IF(Mecze[[#This Row],[Role]]&lt;&gt;"BR",SUMPRODUCT(Mecze[[#This Row],[/PR:90]:[/BR:90]],Brudnopis!$E$26:$J$26),0)</f>
        <v>0.1752577319587629</v>
      </c>
      <c r="W1018" s="44">
        <f>IF(Mecze[[#This Row],[Role]]&lt;&gt;"BR",SUMPRODUCT(Mecze[[#This Row],[/PR:90]:[/BR:90]],Brudnopis!$E$27:$J$27),0)</f>
        <v>0.19587628865979384</v>
      </c>
      <c r="X1018" s="44">
        <f>IF(Mecze[[#This Row],[Role]]&lt;&gt;"BR",SUMPRODUCT(Mecze[[#This Row],[/PR:90]:[/BR:90]],Brudnopis!$E$28:$J$28),0)</f>
        <v>0.14432989690721648</v>
      </c>
      <c r="Y1018" s="35">
        <f>IF(Mecze[[#This Row],[Role]]="BR",Mecze[[#This Row],[/OB:90]]+Mecze[[#This Row],[/PC:90]],SUM(Mecze[[#This Row],[/PR:90]:[/BR:90]]))</f>
        <v>0.16494845360824742</v>
      </c>
      <c r="Z1018" s="35">
        <f>IF(Mecze[[#This Row],[KC]]=0,SUM(Mecze[[#This Row],[/BRI]:[/NPI]]),SUM(Mecze[[#This Row],[/BRI]:[/NPI]])*0.6)</f>
        <v>0.89175257731958757</v>
      </c>
      <c r="AA1018" s="10">
        <f>IFERROR(Mecze[[#This Row],[BR]]/Mecze[[#This Row],[ST]],0)</f>
        <v>0.5</v>
      </c>
      <c r="AB1018">
        <f>ROUND(Mecze[[#This Row],[PD]]*Mecze[[#This Row],[%PC]],0)</f>
        <v>7</v>
      </c>
      <c r="AC1018">
        <f>ROUND(Mecze[[#This Row],[OD]]*Mecze[[#This Row],[%OU]],0)</f>
        <v>0</v>
      </c>
      <c r="AD1018" s="36" t="s">
        <v>272</v>
      </c>
      <c r="AE1018" s="36">
        <v>57</v>
      </c>
      <c r="AF1018" s="71">
        <v>8.92</v>
      </c>
      <c r="AG1018" s="37">
        <v>0</v>
      </c>
      <c r="AH1018" s="37">
        <v>0</v>
      </c>
      <c r="AI1018" s="37">
        <v>97</v>
      </c>
      <c r="AJ1018" s="37">
        <v>8</v>
      </c>
      <c r="AK1018" s="37" t="str">
        <f>VLOOKUP(Mecze[[#This Row],[Match ID]],Meczusie[Mecz]:Meczusie[RodzajMeczu],2,FALSE)</f>
        <v>Liga</v>
      </c>
    </row>
    <row r="1019" spans="1:37" x14ac:dyDescent="0.25">
      <c r="A1019" s="76">
        <v>13</v>
      </c>
      <c r="B1019" s="3" t="s">
        <v>313</v>
      </c>
      <c r="C1019" s="2" t="s">
        <v>165</v>
      </c>
      <c r="D1019" s="1">
        <v>1</v>
      </c>
      <c r="E1019" s="1">
        <v>11</v>
      </c>
      <c r="F1019" s="1">
        <v>8</v>
      </c>
      <c r="G1019" s="1">
        <v>6</v>
      </c>
      <c r="H1019" s="4">
        <v>0.5</v>
      </c>
      <c r="I1019" s="1">
        <v>1</v>
      </c>
      <c r="J1019" s="4">
        <v>0</v>
      </c>
      <c r="K1019" s="1">
        <v>0</v>
      </c>
      <c r="L1019" s="1">
        <v>0</v>
      </c>
      <c r="M1019" s="32">
        <f>IF(Mecze[[#This Row],[PR]]=0,0,Mecze[[#This Row],[PR]]/Mecze[[#This Row],[CZAS]])</f>
        <v>0</v>
      </c>
      <c r="N1019" s="32">
        <f>IF(Mecze[[#This Row],[OU]]=0,0,Mecze[[#This Row],[OU]]/Mecze[[#This Row],[CZAS]])</f>
        <v>0</v>
      </c>
      <c r="O1019" s="32">
        <f>IF(Mecze[[#This Row],[PC]]=0,0,Mecze[[#This Row],[PC]]/Mecze[[#This Row],[CZAS]])</f>
        <v>3.0927835051546393E-2</v>
      </c>
      <c r="P1019" s="32">
        <f>IF(Mecze[[#This Row],[SC]]=0,0,Mecze[[#This Row],[SC]]/Mecze[[#This Row],[CZAS]])</f>
        <v>8.247422680412371E-2</v>
      </c>
      <c r="Q1019" s="32">
        <f>IF(Mecze[[#This Row],[OB]]=0,0,Mecze[[#This Row],[OB]]/Mecze[[#This Row],[CZAS]])</f>
        <v>0</v>
      </c>
      <c r="R1019" s="32">
        <f>IF(Mecze[[#This Row],[BR]]=0,0,Mecze[[#This Row],[BR]]/Mecze[[#This Row],[CZAS]])</f>
        <v>1.0309278350515464E-2</v>
      </c>
      <c r="S1019" s="44">
        <f>IF(Mecze[[#This Row],[Role]]="BR",SUMPRODUCT(Mecze[[#This Row],[/PR:90]:[/BR:90]],Brudnopis!$E$23:$J$23),0)</f>
        <v>0</v>
      </c>
      <c r="T1019" s="44">
        <f>IF(Mecze[[#This Row],[Role]]&lt;&gt;"BR",SUMPRODUCT(Mecze[[#This Row],[/PR:90]:[/BR:90]],Brudnopis!$E$24:$J$24),0)</f>
        <v>0.12886597938144329</v>
      </c>
      <c r="U1019" s="44">
        <f>IF(Mecze[[#This Row],[Role]]&lt;&gt;"BR",SUMPRODUCT(Mecze[[#This Row],[/PR:90]:[/BR:90]],Brudnopis!$E$25:$J$25),0)</f>
        <v>0.14432989690721648</v>
      </c>
      <c r="V1019" s="44">
        <f>IF(Mecze[[#This Row],[Role]]&lt;&gt;"BR",SUMPRODUCT(Mecze[[#This Row],[/PR:90]:[/BR:90]],Brudnopis!$E$26:$J$26),0)</f>
        <v>0.13402061855670103</v>
      </c>
      <c r="W1019" s="44">
        <f>IF(Mecze[[#This Row],[Role]]&lt;&gt;"BR",SUMPRODUCT(Mecze[[#This Row],[/PR:90]:[/BR:90]],Brudnopis!$E$27:$J$27),0)</f>
        <v>0.14948453608247422</v>
      </c>
      <c r="X1019" s="44">
        <f>IF(Mecze[[#This Row],[Role]]&lt;&gt;"BR",SUMPRODUCT(Mecze[[#This Row],[/PR:90]:[/BR:90]],Brudnopis!$E$28:$J$28),0)</f>
        <v>0.22680412371134021</v>
      </c>
      <c r="Y1019" s="35">
        <f>IF(Mecze[[#This Row],[Role]]="BR",Mecze[[#This Row],[/OB:90]]+Mecze[[#This Row],[/PC:90]],SUM(Mecze[[#This Row],[/PR:90]:[/BR:90]]))</f>
        <v>0.12371134020618557</v>
      </c>
      <c r="Z1019" s="35">
        <f>IF(Mecze[[#This Row],[KC]]=0,SUM(Mecze[[#This Row],[/BRI]:[/NPI]]),SUM(Mecze[[#This Row],[/BRI]:[/NPI]])*0.6)</f>
        <v>0.78350515463917525</v>
      </c>
      <c r="AA1019" s="10">
        <f>IFERROR(Mecze[[#This Row],[BR]]/Mecze[[#This Row],[ST]],0)</f>
        <v>9.0909090909090912E-2</v>
      </c>
      <c r="AB1019">
        <f>ROUND(Mecze[[#This Row],[PD]]*Mecze[[#This Row],[%PC]],0)</f>
        <v>3</v>
      </c>
      <c r="AC1019">
        <f>ROUND(Mecze[[#This Row],[OD]]*Mecze[[#This Row],[%OU]],0)</f>
        <v>0</v>
      </c>
      <c r="AD1019" s="36" t="s">
        <v>46</v>
      </c>
      <c r="AE1019" s="36">
        <v>57</v>
      </c>
      <c r="AF1019" s="71">
        <v>9.32</v>
      </c>
      <c r="AG1019" s="37">
        <v>0</v>
      </c>
      <c r="AH1019" s="37">
        <v>0</v>
      </c>
      <c r="AI1019" s="37">
        <v>97</v>
      </c>
      <c r="AJ1019" s="37">
        <v>8</v>
      </c>
      <c r="AK1019" s="37" t="str">
        <f>VLOOKUP(Mecze[[#This Row],[Match ID]],Meczusie[Mecz]:Meczusie[RodzajMeczu],2,FALSE)</f>
        <v>Liga</v>
      </c>
    </row>
    <row r="1020" spans="1:37" x14ac:dyDescent="0.25">
      <c r="A1020" s="76">
        <v>4</v>
      </c>
      <c r="B1020" s="3" t="s">
        <v>316</v>
      </c>
      <c r="C1020" s="2" t="s">
        <v>157</v>
      </c>
      <c r="D1020" s="1">
        <v>0</v>
      </c>
      <c r="E1020" s="1">
        <v>0</v>
      </c>
      <c r="F1020" s="1">
        <v>0</v>
      </c>
      <c r="G1020" s="1">
        <v>2</v>
      </c>
      <c r="H1020" s="4">
        <v>0.5</v>
      </c>
      <c r="I1020" s="1">
        <v>1</v>
      </c>
      <c r="J1020" s="4">
        <v>1</v>
      </c>
      <c r="K1020" s="1">
        <v>0</v>
      </c>
      <c r="L1020" s="1">
        <v>0</v>
      </c>
      <c r="M1020" s="32">
        <f>IF(Mecze[[#This Row],[PR]]=0,0,Mecze[[#This Row],[PR]]/Mecze[[#This Row],[CZAS]])</f>
        <v>0</v>
      </c>
      <c r="N1020" s="32">
        <f>IF(Mecze[[#This Row],[OU]]=0,0,Mecze[[#This Row],[OU]]/Mecze[[#This Row],[CZAS]])</f>
        <v>1.0309278350515464E-2</v>
      </c>
      <c r="O1020" s="32">
        <f>IF(Mecze[[#This Row],[PC]]=0,0,Mecze[[#This Row],[PC]]/Mecze[[#This Row],[CZAS]])</f>
        <v>1.0309278350515464E-2</v>
      </c>
      <c r="P1020" s="32">
        <f>IF(Mecze[[#This Row],[SC]]=0,0,Mecze[[#This Row],[SC]]/Mecze[[#This Row],[CZAS]])</f>
        <v>0</v>
      </c>
      <c r="Q1020" s="32">
        <f>IF(Mecze[[#This Row],[OB]]=0,0,Mecze[[#This Row],[OB]]/Mecze[[#This Row],[CZAS]])</f>
        <v>0</v>
      </c>
      <c r="R1020" s="32">
        <f>IF(Mecze[[#This Row],[BR]]=0,0,Mecze[[#This Row],[BR]]/Mecze[[#This Row],[CZAS]])</f>
        <v>0</v>
      </c>
      <c r="S1020" s="44">
        <f>IF(Mecze[[#This Row],[Role]]="BR",SUMPRODUCT(Mecze[[#This Row],[/PR:90]:[/BR:90]],Brudnopis!$E$23:$J$23),0)</f>
        <v>0</v>
      </c>
      <c r="T1020" s="44">
        <f>IF(Mecze[[#This Row],[Role]]&lt;&gt;"BR",SUMPRODUCT(Mecze[[#This Row],[/PR:90]:[/BR:90]],Brudnopis!$E$24:$J$24),0)</f>
        <v>2.5773195876288658E-2</v>
      </c>
      <c r="U1020" s="44">
        <f>IF(Mecze[[#This Row],[Role]]&lt;&gt;"BR",SUMPRODUCT(Mecze[[#This Row],[/PR:90]:[/BR:90]],Brudnopis!$E$25:$J$25),0)</f>
        <v>2.5773195876288658E-2</v>
      </c>
      <c r="V1020" s="44">
        <f>IF(Mecze[[#This Row],[Role]]&lt;&gt;"BR",SUMPRODUCT(Mecze[[#This Row],[/PR:90]:[/BR:90]],Brudnopis!$E$26:$J$26),0)</f>
        <v>2.0618556701030927E-2</v>
      </c>
      <c r="W1020" s="44">
        <f>IF(Mecze[[#This Row],[Role]]&lt;&gt;"BR",SUMPRODUCT(Mecze[[#This Row],[/PR:90]:[/BR:90]],Brudnopis!$E$27:$J$27),0)</f>
        <v>2.3195876288659795E-2</v>
      </c>
      <c r="X1020" s="44">
        <f>IF(Mecze[[#This Row],[Role]]&lt;&gt;"BR",SUMPRODUCT(Mecze[[#This Row],[/PR:90]:[/BR:90]],Brudnopis!$E$28:$J$28),0)</f>
        <v>1.0309278350515464E-2</v>
      </c>
      <c r="Y1020" s="35">
        <f>IF(Mecze[[#This Row],[Role]]="BR",Mecze[[#This Row],[/OB:90]]+Mecze[[#This Row],[/PC:90]],SUM(Mecze[[#This Row],[/PR:90]:[/BR:90]]))</f>
        <v>2.0618556701030927E-2</v>
      </c>
      <c r="Z1020" s="35">
        <f>IF(Mecze[[#This Row],[KC]]=0,SUM(Mecze[[#This Row],[/BRI]:[/NPI]]),SUM(Mecze[[#This Row],[/BRI]:[/NPI]])*0.6)</f>
        <v>0.1056701030927835</v>
      </c>
      <c r="AA1020" s="10">
        <f>IFERROR(Mecze[[#This Row],[BR]]/Mecze[[#This Row],[ST]],0)</f>
        <v>0</v>
      </c>
      <c r="AB1020">
        <f>ROUND(Mecze[[#This Row],[PD]]*Mecze[[#This Row],[%PC]],0)</f>
        <v>1</v>
      </c>
      <c r="AC1020">
        <f>ROUND(Mecze[[#This Row],[OD]]*Mecze[[#This Row],[%OU]],0)</f>
        <v>1</v>
      </c>
      <c r="AD1020" s="36" t="s">
        <v>167</v>
      </c>
      <c r="AE1020" s="36">
        <v>57</v>
      </c>
      <c r="AF1020" s="71">
        <v>1.72</v>
      </c>
      <c r="AG1020" s="37">
        <v>0</v>
      </c>
      <c r="AH1020" s="37">
        <v>0</v>
      </c>
      <c r="AI1020" s="37">
        <v>97</v>
      </c>
      <c r="AJ1020" s="37">
        <v>8</v>
      </c>
      <c r="AK1020" s="37" t="str">
        <f>VLOOKUP(Mecze[[#This Row],[Match ID]],Meczusie[Mecz]:Meczusie[RodzajMeczu],2,FALSE)</f>
        <v>Liga</v>
      </c>
    </row>
    <row r="1021" spans="1:37" x14ac:dyDescent="0.25">
      <c r="A1021" s="76">
        <v>15</v>
      </c>
      <c r="B1021" s="3" t="s">
        <v>310</v>
      </c>
      <c r="C1021" s="2" t="s">
        <v>160</v>
      </c>
      <c r="D1021" s="1">
        <v>0</v>
      </c>
      <c r="E1021" s="1">
        <v>0</v>
      </c>
      <c r="F1021" s="1">
        <v>0</v>
      </c>
      <c r="G1021" s="1">
        <v>3</v>
      </c>
      <c r="H1021" s="4">
        <v>0.33</v>
      </c>
      <c r="I1021" s="1">
        <v>2</v>
      </c>
      <c r="J1021" s="4">
        <v>0.5</v>
      </c>
      <c r="K1021" s="1">
        <v>0</v>
      </c>
      <c r="L1021" s="1">
        <v>1</v>
      </c>
      <c r="M1021" s="32">
        <f>IF(Mecze[[#This Row],[PR]]=0,0,Mecze[[#This Row],[PR]]/Mecze[[#This Row],[CZAS]])</f>
        <v>1.0309278350515464E-2</v>
      </c>
      <c r="N1021" s="32">
        <f>IF(Mecze[[#This Row],[OU]]=0,0,Mecze[[#This Row],[OU]]/Mecze[[#This Row],[CZAS]])</f>
        <v>1.0309278350515464E-2</v>
      </c>
      <c r="O1021" s="32">
        <f>IF(Mecze[[#This Row],[PC]]=0,0,Mecze[[#This Row],[PC]]/Mecze[[#This Row],[CZAS]])</f>
        <v>1.0309278350515464E-2</v>
      </c>
      <c r="P1021" s="32">
        <f>IF(Mecze[[#This Row],[SC]]=0,0,Mecze[[#This Row],[SC]]/Mecze[[#This Row],[CZAS]])</f>
        <v>0</v>
      </c>
      <c r="Q1021" s="32">
        <f>IF(Mecze[[#This Row],[OB]]=0,0,Mecze[[#This Row],[OB]]/Mecze[[#This Row],[CZAS]])</f>
        <v>0</v>
      </c>
      <c r="R1021" s="32">
        <f>IF(Mecze[[#This Row],[BR]]=0,0,Mecze[[#This Row],[BR]]/Mecze[[#This Row],[CZAS]])</f>
        <v>0</v>
      </c>
      <c r="S1021" s="44">
        <f>IF(Mecze[[#This Row],[Role]]="BR",SUMPRODUCT(Mecze[[#This Row],[/PR:90]:[/BR:90]],Brudnopis!$E$23:$J$23),0)</f>
        <v>0</v>
      </c>
      <c r="T1021" s="44">
        <f>IF(Mecze[[#This Row],[Role]]&lt;&gt;"BR",SUMPRODUCT(Mecze[[#This Row],[/PR:90]:[/BR:90]],Brudnopis!$E$24:$J$24),0)</f>
        <v>3.608247422680412E-2</v>
      </c>
      <c r="U1021" s="44">
        <f>IF(Mecze[[#This Row],[Role]]&lt;&gt;"BR",SUMPRODUCT(Mecze[[#This Row],[/PR:90]:[/BR:90]],Brudnopis!$E$25:$J$25),0)</f>
        <v>3.608247422680412E-2</v>
      </c>
      <c r="V1021" s="44">
        <f>IF(Mecze[[#This Row],[Role]]&lt;&gt;"BR",SUMPRODUCT(Mecze[[#This Row],[/PR:90]:[/BR:90]],Brudnopis!$E$26:$J$26),0)</f>
        <v>3.0927835051546393E-2</v>
      </c>
      <c r="W1021" s="44">
        <f>IF(Mecze[[#This Row],[Role]]&lt;&gt;"BR",SUMPRODUCT(Mecze[[#This Row],[/PR:90]:[/BR:90]],Brudnopis!$E$27:$J$27),0)</f>
        <v>3.0927835051546393E-2</v>
      </c>
      <c r="X1021" s="44">
        <f>IF(Mecze[[#This Row],[Role]]&lt;&gt;"BR",SUMPRODUCT(Mecze[[#This Row],[/PR:90]:[/BR:90]],Brudnopis!$E$28:$J$28),0)</f>
        <v>1.0309278350515464E-2</v>
      </c>
      <c r="Y1021" s="35">
        <f>IF(Mecze[[#This Row],[Role]]="BR",Mecze[[#This Row],[/OB:90]]+Mecze[[#This Row],[/PC:90]],SUM(Mecze[[#This Row],[/PR:90]:[/BR:90]]))</f>
        <v>3.0927835051546393E-2</v>
      </c>
      <c r="Z1021" s="35">
        <f>IF(Mecze[[#This Row],[KC]]=0,SUM(Mecze[[#This Row],[/BRI]:[/NPI]]),SUM(Mecze[[#This Row],[/BRI]:[/NPI]])*0.6)</f>
        <v>0.14432989690721648</v>
      </c>
      <c r="AA1021" s="10">
        <f>IFERROR(Mecze[[#This Row],[BR]]/Mecze[[#This Row],[ST]],0)</f>
        <v>0</v>
      </c>
      <c r="AB1021">
        <f>ROUND(Mecze[[#This Row],[PD]]*Mecze[[#This Row],[%PC]],0)</f>
        <v>1</v>
      </c>
      <c r="AC1021">
        <f>ROUND(Mecze[[#This Row],[OD]]*Mecze[[#This Row],[%OU]],0)</f>
        <v>1</v>
      </c>
      <c r="AD1021" s="36" t="s">
        <v>319</v>
      </c>
      <c r="AE1021" s="36">
        <v>57</v>
      </c>
      <c r="AF1021" s="71">
        <v>1.93</v>
      </c>
      <c r="AG1021" s="37">
        <v>0</v>
      </c>
      <c r="AH1021" s="37">
        <v>0</v>
      </c>
      <c r="AI1021" s="37">
        <v>97</v>
      </c>
      <c r="AJ1021" s="37">
        <v>8</v>
      </c>
      <c r="AK1021" s="37" t="str">
        <f>VLOOKUP(Mecze[[#This Row],[Match ID]],Meczusie[Mecz]:Meczusie[RodzajMeczu],2,FALSE)</f>
        <v>Liga</v>
      </c>
    </row>
    <row r="1022" spans="1:37" x14ac:dyDescent="0.25">
      <c r="A1022" s="76">
        <v>12</v>
      </c>
      <c r="B1022" s="3" t="s">
        <v>315</v>
      </c>
      <c r="C1022" s="2" t="s">
        <v>160</v>
      </c>
      <c r="D1022" s="1">
        <v>0</v>
      </c>
      <c r="E1022" s="1">
        <v>0</v>
      </c>
      <c r="F1022" s="1">
        <v>0</v>
      </c>
      <c r="G1022" s="1">
        <v>1</v>
      </c>
      <c r="H1022" s="4">
        <v>1</v>
      </c>
      <c r="I1022" s="1">
        <v>2</v>
      </c>
      <c r="J1022" s="4">
        <v>0.5</v>
      </c>
      <c r="K1022" s="1">
        <v>0</v>
      </c>
      <c r="L1022" s="1">
        <v>0</v>
      </c>
      <c r="M1022" s="32">
        <f>IF(Mecze[[#This Row],[PR]]=0,0,Mecze[[#This Row],[PR]]/Mecze[[#This Row],[CZAS]])</f>
        <v>0</v>
      </c>
      <c r="N1022" s="32">
        <f>IF(Mecze[[#This Row],[OU]]=0,0,Mecze[[#This Row],[OU]]/Mecze[[#This Row],[CZAS]])</f>
        <v>1.0309278350515464E-2</v>
      </c>
      <c r="O1022" s="32">
        <f>IF(Mecze[[#This Row],[PC]]=0,0,Mecze[[#This Row],[PC]]/Mecze[[#This Row],[CZAS]])</f>
        <v>1.0309278350515464E-2</v>
      </c>
      <c r="P1022" s="32">
        <f>IF(Mecze[[#This Row],[SC]]=0,0,Mecze[[#This Row],[SC]]/Mecze[[#This Row],[CZAS]])</f>
        <v>0</v>
      </c>
      <c r="Q1022" s="32">
        <f>IF(Mecze[[#This Row],[OB]]=0,0,Mecze[[#This Row],[OB]]/Mecze[[#This Row],[CZAS]])</f>
        <v>0</v>
      </c>
      <c r="R1022" s="32">
        <f>IF(Mecze[[#This Row],[BR]]=0,0,Mecze[[#This Row],[BR]]/Mecze[[#This Row],[CZAS]])</f>
        <v>0</v>
      </c>
      <c r="S1022" s="44">
        <f>IF(Mecze[[#This Row],[Role]]="BR",SUMPRODUCT(Mecze[[#This Row],[/PR:90]:[/BR:90]],Brudnopis!$E$23:$J$23),0)</f>
        <v>0</v>
      </c>
      <c r="T1022" s="44">
        <f>IF(Mecze[[#This Row],[Role]]&lt;&gt;"BR",SUMPRODUCT(Mecze[[#This Row],[/PR:90]:[/BR:90]],Brudnopis!$E$24:$J$24),0)</f>
        <v>2.5773195876288658E-2</v>
      </c>
      <c r="U1022" s="44">
        <f>IF(Mecze[[#This Row],[Role]]&lt;&gt;"BR",SUMPRODUCT(Mecze[[#This Row],[/PR:90]:[/BR:90]],Brudnopis!$E$25:$J$25),0)</f>
        <v>2.5773195876288658E-2</v>
      </c>
      <c r="V1022" s="44">
        <f>IF(Mecze[[#This Row],[Role]]&lt;&gt;"BR",SUMPRODUCT(Mecze[[#This Row],[/PR:90]:[/BR:90]],Brudnopis!$E$26:$J$26),0)</f>
        <v>2.0618556701030927E-2</v>
      </c>
      <c r="W1022" s="44">
        <f>IF(Mecze[[#This Row],[Role]]&lt;&gt;"BR",SUMPRODUCT(Mecze[[#This Row],[/PR:90]:[/BR:90]],Brudnopis!$E$27:$J$27),0)</f>
        <v>2.3195876288659795E-2</v>
      </c>
      <c r="X1022" s="44">
        <f>IF(Mecze[[#This Row],[Role]]&lt;&gt;"BR",SUMPRODUCT(Mecze[[#This Row],[/PR:90]:[/BR:90]],Brudnopis!$E$28:$J$28),0)</f>
        <v>1.0309278350515464E-2</v>
      </c>
      <c r="Y1022" s="35">
        <f>IF(Mecze[[#This Row],[Role]]="BR",Mecze[[#This Row],[/OB:90]]+Mecze[[#This Row],[/PC:90]],SUM(Mecze[[#This Row],[/PR:90]:[/BR:90]]))</f>
        <v>2.0618556701030927E-2</v>
      </c>
      <c r="Z1022" s="35">
        <f>IF(Mecze[[#This Row],[KC]]=0,SUM(Mecze[[#This Row],[/BRI]:[/NPI]]),SUM(Mecze[[#This Row],[/BRI]:[/NPI]])*0.6)</f>
        <v>0.1056701030927835</v>
      </c>
      <c r="AA1022" s="10">
        <f>IFERROR(Mecze[[#This Row],[BR]]/Mecze[[#This Row],[ST]],0)</f>
        <v>0</v>
      </c>
      <c r="AB1022">
        <f>ROUND(Mecze[[#This Row],[PD]]*Mecze[[#This Row],[%PC]],0)</f>
        <v>1</v>
      </c>
      <c r="AC1022">
        <f>ROUND(Mecze[[#This Row],[OD]]*Mecze[[#This Row],[%OU]],0)</f>
        <v>1</v>
      </c>
      <c r="AD1022" s="36" t="s">
        <v>41</v>
      </c>
      <c r="AE1022" s="36">
        <v>57</v>
      </c>
      <c r="AF1022" s="71">
        <v>1.72</v>
      </c>
      <c r="AG1022" s="37">
        <v>0</v>
      </c>
      <c r="AH1022" s="37">
        <v>0</v>
      </c>
      <c r="AI1022" s="37">
        <v>97</v>
      </c>
      <c r="AJ1022" s="37">
        <v>8</v>
      </c>
      <c r="AK1022" s="37" t="str">
        <f>VLOOKUP(Mecze[[#This Row],[Match ID]],Meczusie[Mecz]:Meczusie[RodzajMeczu],2,FALSE)</f>
        <v>Liga</v>
      </c>
    </row>
    <row r="1023" spans="1:37" x14ac:dyDescent="0.25">
      <c r="A1023" s="76">
        <v>1</v>
      </c>
      <c r="B1023" s="3" t="s">
        <v>288</v>
      </c>
      <c r="C1023" s="2" t="s">
        <v>155</v>
      </c>
      <c r="D1023" s="1">
        <v>0</v>
      </c>
      <c r="E1023" s="1">
        <v>0</v>
      </c>
      <c r="F1023" s="1">
        <v>0</v>
      </c>
      <c r="G1023" s="1">
        <v>18</v>
      </c>
      <c r="H1023" s="4">
        <v>0.67</v>
      </c>
      <c r="I1023" s="1">
        <v>0</v>
      </c>
      <c r="J1023" s="4"/>
      <c r="K1023" s="1">
        <v>21</v>
      </c>
      <c r="L1023" s="1">
        <v>0</v>
      </c>
      <c r="M1023" s="32">
        <f>IF(Mecze[[#This Row],[PR]]=0,0,Mecze[[#This Row],[PR]]/Mecze[[#This Row],[CZAS]])</f>
        <v>0</v>
      </c>
      <c r="N1023" s="32">
        <f>IF(Mecze[[#This Row],[OU]]=0,0,Mecze[[#This Row],[OU]]/Mecze[[#This Row],[CZAS]])</f>
        <v>0</v>
      </c>
      <c r="O1023" s="32">
        <f>IF(Mecze[[#This Row],[PC]]=0,0,Mecze[[#This Row],[PC]]/Mecze[[#This Row],[CZAS]])</f>
        <v>0.12371134020618557</v>
      </c>
      <c r="P1023" s="32">
        <f>IF(Mecze[[#This Row],[SC]]=0,0,Mecze[[#This Row],[SC]]/Mecze[[#This Row],[CZAS]])</f>
        <v>0</v>
      </c>
      <c r="Q1023" s="32">
        <f>IF(Mecze[[#This Row],[OB]]=0,0,Mecze[[#This Row],[OB]]/Mecze[[#This Row],[CZAS]])</f>
        <v>0.21649484536082475</v>
      </c>
      <c r="R1023" s="32">
        <f>IF(Mecze[[#This Row],[BR]]=0,0,Mecze[[#This Row],[BR]]/Mecze[[#This Row],[CZAS]])</f>
        <v>0</v>
      </c>
      <c r="S1023" s="44">
        <f>IF(Mecze[[#This Row],[Role]]="BR",SUMPRODUCT(Mecze[[#This Row],[/PR:90]:[/BR:90]],Brudnopis!$E$23:$J$23),0)</f>
        <v>1.0206185567010309</v>
      </c>
      <c r="T1023" s="44">
        <f>IF(Mecze[[#This Row],[Role]]&lt;&gt;"BR",SUMPRODUCT(Mecze[[#This Row],[/PR:90]:[/BR:90]],Brudnopis!$E$24:$J$24),0)</f>
        <v>0</v>
      </c>
      <c r="U1023" s="44">
        <f>IF(Mecze[[#This Row],[Role]]&lt;&gt;"BR",SUMPRODUCT(Mecze[[#This Row],[/PR:90]:[/BR:90]],Brudnopis!$E$25:$J$25),0)</f>
        <v>0</v>
      </c>
      <c r="V1023" s="44">
        <f>IF(Mecze[[#This Row],[Role]]&lt;&gt;"BR",SUMPRODUCT(Mecze[[#This Row],[/PR:90]:[/BR:90]],Brudnopis!$E$26:$J$26),0)</f>
        <v>0</v>
      </c>
      <c r="W1023" s="44">
        <f>IF(Mecze[[#This Row],[Role]]&lt;&gt;"BR",SUMPRODUCT(Mecze[[#This Row],[/PR:90]:[/BR:90]],Brudnopis!$E$27:$J$27),0)</f>
        <v>0</v>
      </c>
      <c r="X1023" s="44">
        <f>IF(Mecze[[#This Row],[Role]]&lt;&gt;"BR",SUMPRODUCT(Mecze[[#This Row],[/PR:90]:[/BR:90]],Brudnopis!$E$28:$J$28),0)</f>
        <v>0</v>
      </c>
      <c r="Y1023" s="35">
        <f>IF(Mecze[[#This Row],[Role]]="BR",Mecze[[#This Row],[/OB:90]]+Mecze[[#This Row],[/PC:90]],SUM(Mecze[[#This Row],[/PR:90]:[/BR:90]]))</f>
        <v>0.34020618556701032</v>
      </c>
      <c r="Z1023" s="35">
        <f>IF(Mecze[[#This Row],[KC]]=0,SUM(Mecze[[#This Row],[/BRI]:[/NPI]]),SUM(Mecze[[#This Row],[/BRI]:[/NPI]])*0.6)</f>
        <v>1.0206185567010309</v>
      </c>
      <c r="AA1023" s="10">
        <f>IFERROR(Mecze[[#This Row],[BR]]/Mecze[[#This Row],[ST]],0)</f>
        <v>0</v>
      </c>
      <c r="AB1023">
        <f>ROUND(Mecze[[#This Row],[PD]]*Mecze[[#This Row],[%PC]],0)</f>
        <v>12</v>
      </c>
      <c r="AC1023">
        <f>ROUND(Mecze[[#This Row],[OD]]*Mecze[[#This Row],[%OU]],0)</f>
        <v>0</v>
      </c>
      <c r="AD1023" s="36" t="s">
        <v>40</v>
      </c>
      <c r="AE1023" s="36">
        <v>57</v>
      </c>
      <c r="AF1023" s="71">
        <v>10.16</v>
      </c>
      <c r="AG1023" s="37">
        <v>0</v>
      </c>
      <c r="AH1023" s="37">
        <v>0</v>
      </c>
      <c r="AI1023" s="37">
        <v>97</v>
      </c>
      <c r="AJ1023" s="37">
        <v>9</v>
      </c>
      <c r="AK1023" s="37" t="str">
        <f>VLOOKUP(Mecze[[#This Row],[Match ID]],Meczusie[Mecz]:Meczusie[RodzajMeczu],2,FALSE)</f>
        <v>Liga</v>
      </c>
    </row>
    <row r="1024" spans="1:37" x14ac:dyDescent="0.25">
      <c r="A1024" s="76">
        <v>4</v>
      </c>
      <c r="B1024" s="3" t="s">
        <v>289</v>
      </c>
      <c r="C1024" s="2" t="s">
        <v>157</v>
      </c>
      <c r="D1024" s="1">
        <v>0</v>
      </c>
      <c r="E1024" s="1">
        <v>0</v>
      </c>
      <c r="F1024" s="1">
        <v>0</v>
      </c>
      <c r="G1024" s="1">
        <v>4</v>
      </c>
      <c r="H1024" s="4">
        <v>0.25</v>
      </c>
      <c r="I1024" s="1">
        <v>3</v>
      </c>
      <c r="J1024" s="4">
        <v>0.33</v>
      </c>
      <c r="K1024" s="1">
        <v>0</v>
      </c>
      <c r="L1024" s="1">
        <v>2</v>
      </c>
      <c r="M1024" s="32">
        <f>IF(Mecze[[#This Row],[PR]]=0,0,Mecze[[#This Row],[PR]]/Mecze[[#This Row],[CZAS]])</f>
        <v>2.0618556701030927E-2</v>
      </c>
      <c r="N1024" s="32">
        <f>IF(Mecze[[#This Row],[OU]]=0,0,Mecze[[#This Row],[OU]]/Mecze[[#This Row],[CZAS]])</f>
        <v>1.0309278350515464E-2</v>
      </c>
      <c r="O1024" s="32">
        <f>IF(Mecze[[#This Row],[PC]]=0,0,Mecze[[#This Row],[PC]]/Mecze[[#This Row],[CZAS]])</f>
        <v>1.0309278350515464E-2</v>
      </c>
      <c r="P1024" s="32">
        <f>IF(Mecze[[#This Row],[SC]]=0,0,Mecze[[#This Row],[SC]]/Mecze[[#This Row],[CZAS]])</f>
        <v>0</v>
      </c>
      <c r="Q1024" s="32">
        <f>IF(Mecze[[#This Row],[OB]]=0,0,Mecze[[#This Row],[OB]]/Mecze[[#This Row],[CZAS]])</f>
        <v>0</v>
      </c>
      <c r="R1024" s="32">
        <f>IF(Mecze[[#This Row],[BR]]=0,0,Mecze[[#This Row],[BR]]/Mecze[[#This Row],[CZAS]])</f>
        <v>0</v>
      </c>
      <c r="S1024" s="44">
        <f>IF(Mecze[[#This Row],[Role]]="BR",SUMPRODUCT(Mecze[[#This Row],[/PR:90]:[/BR:90]],Brudnopis!$E$23:$J$23),0)</f>
        <v>0</v>
      </c>
      <c r="T1024" s="44">
        <f>IF(Mecze[[#This Row],[Role]]&lt;&gt;"BR",SUMPRODUCT(Mecze[[#This Row],[/PR:90]:[/BR:90]],Brudnopis!$E$24:$J$24),0)</f>
        <v>4.6391752577319582E-2</v>
      </c>
      <c r="U1024" s="44">
        <f>IF(Mecze[[#This Row],[Role]]&lt;&gt;"BR",SUMPRODUCT(Mecze[[#This Row],[/PR:90]:[/BR:90]],Brudnopis!$E$25:$J$25),0)</f>
        <v>4.6391752577319589E-2</v>
      </c>
      <c r="V1024" s="44">
        <f>IF(Mecze[[#This Row],[Role]]&lt;&gt;"BR",SUMPRODUCT(Mecze[[#This Row],[/PR:90]:[/BR:90]],Brudnopis!$E$26:$J$26),0)</f>
        <v>4.1237113402061855E-2</v>
      </c>
      <c r="W1024" s="44">
        <f>IF(Mecze[[#This Row],[Role]]&lt;&gt;"BR",SUMPRODUCT(Mecze[[#This Row],[/PR:90]:[/BR:90]],Brudnopis!$E$27:$J$27),0)</f>
        <v>3.8659793814432991E-2</v>
      </c>
      <c r="X1024" s="44">
        <f>IF(Mecze[[#This Row],[Role]]&lt;&gt;"BR",SUMPRODUCT(Mecze[[#This Row],[/PR:90]:[/BR:90]],Brudnopis!$E$28:$J$28),0)</f>
        <v>1.0309278350515464E-2</v>
      </c>
      <c r="Y1024" s="35">
        <f>IF(Mecze[[#This Row],[Role]]="BR",Mecze[[#This Row],[/OB:90]]+Mecze[[#This Row],[/PC:90]],SUM(Mecze[[#This Row],[/PR:90]:[/BR:90]]))</f>
        <v>4.1237113402061855E-2</v>
      </c>
      <c r="Z1024" s="35">
        <f>IF(Mecze[[#This Row],[KC]]=0,SUM(Mecze[[#This Row],[/BRI]:[/NPI]]),SUM(Mecze[[#This Row],[/BRI]:[/NPI]])*0.6)</f>
        <v>0.18298969072164947</v>
      </c>
      <c r="AA1024" s="10">
        <f>IFERROR(Mecze[[#This Row],[BR]]/Mecze[[#This Row],[ST]],0)</f>
        <v>0</v>
      </c>
      <c r="AB1024">
        <f>ROUND(Mecze[[#This Row],[PD]]*Mecze[[#This Row],[%PC]],0)</f>
        <v>1</v>
      </c>
      <c r="AC1024">
        <f>ROUND(Mecze[[#This Row],[OD]]*Mecze[[#This Row],[%OU]],0)</f>
        <v>1</v>
      </c>
      <c r="AD1024" s="36" t="s">
        <v>168</v>
      </c>
      <c r="AE1024" s="36">
        <v>57</v>
      </c>
      <c r="AF1024" s="71">
        <v>2.0099999999999998</v>
      </c>
      <c r="AG1024" s="37">
        <v>0</v>
      </c>
      <c r="AH1024" s="37">
        <v>0</v>
      </c>
      <c r="AI1024" s="37">
        <v>97</v>
      </c>
      <c r="AJ1024" s="37">
        <v>9</v>
      </c>
      <c r="AK1024" s="37" t="str">
        <f>VLOOKUP(Mecze[[#This Row],[Match ID]],Meczusie[Mecz]:Meczusie[RodzajMeczu],2,FALSE)</f>
        <v>Liga</v>
      </c>
    </row>
    <row r="1025" spans="1:37" x14ac:dyDescent="0.25">
      <c r="A1025" s="76">
        <v>15</v>
      </c>
      <c r="B1025" s="3" t="s">
        <v>430</v>
      </c>
      <c r="C1025" s="2" t="s">
        <v>157</v>
      </c>
      <c r="D1025" s="1">
        <v>0</v>
      </c>
      <c r="E1025" s="1">
        <v>0</v>
      </c>
      <c r="F1025" s="1">
        <v>0</v>
      </c>
      <c r="G1025" s="1">
        <v>5</v>
      </c>
      <c r="H1025" s="4">
        <v>0.8</v>
      </c>
      <c r="I1025" s="1">
        <v>3</v>
      </c>
      <c r="J1025" s="4">
        <v>0.67</v>
      </c>
      <c r="K1025" s="1">
        <v>0</v>
      </c>
      <c r="L1025" s="1">
        <v>2</v>
      </c>
      <c r="M1025" s="32">
        <f>IF(Mecze[[#This Row],[PR]]=0,0,Mecze[[#This Row],[PR]]/Mecze[[#This Row],[CZAS]])</f>
        <v>2.0618556701030927E-2</v>
      </c>
      <c r="N1025" s="32">
        <f>IF(Mecze[[#This Row],[OU]]=0,0,Mecze[[#This Row],[OU]]/Mecze[[#This Row],[CZAS]])</f>
        <v>2.0618556701030927E-2</v>
      </c>
      <c r="O1025" s="32">
        <f>IF(Mecze[[#This Row],[PC]]=0,0,Mecze[[#This Row],[PC]]/Mecze[[#This Row],[CZAS]])</f>
        <v>4.1237113402061855E-2</v>
      </c>
      <c r="P1025" s="32">
        <f>IF(Mecze[[#This Row],[SC]]=0,0,Mecze[[#This Row],[SC]]/Mecze[[#This Row],[CZAS]])</f>
        <v>0</v>
      </c>
      <c r="Q1025" s="32">
        <f>IF(Mecze[[#This Row],[OB]]=0,0,Mecze[[#This Row],[OB]]/Mecze[[#This Row],[CZAS]])</f>
        <v>0</v>
      </c>
      <c r="R1025" s="32">
        <f>IF(Mecze[[#This Row],[BR]]=0,0,Mecze[[#This Row],[BR]]/Mecze[[#This Row],[CZAS]])</f>
        <v>0</v>
      </c>
      <c r="S1025" s="44">
        <f>IF(Mecze[[#This Row],[Role]]="BR",SUMPRODUCT(Mecze[[#This Row],[/PR:90]:[/BR:90]],Brudnopis!$E$23:$J$23),0)</f>
        <v>0</v>
      </c>
      <c r="T1025" s="44">
        <f>IF(Mecze[[#This Row],[Role]]&lt;&gt;"BR",SUMPRODUCT(Mecze[[#This Row],[/PR:90]:[/BR:90]],Brudnopis!$E$24:$J$24),0)</f>
        <v>9.2783505154639179E-2</v>
      </c>
      <c r="U1025" s="44">
        <f>IF(Mecze[[#This Row],[Role]]&lt;&gt;"BR",SUMPRODUCT(Mecze[[#This Row],[/PR:90]:[/BR:90]],Brudnopis!$E$25:$J$25),0)</f>
        <v>0.10309278350515463</v>
      </c>
      <c r="V1025" s="44">
        <f>IF(Mecze[[#This Row],[Role]]&lt;&gt;"BR",SUMPRODUCT(Mecze[[#This Row],[/PR:90]:[/BR:90]],Brudnopis!$E$26:$J$26),0)</f>
        <v>8.247422680412371E-2</v>
      </c>
      <c r="W1025" s="44">
        <f>IF(Mecze[[#This Row],[Role]]&lt;&gt;"BR",SUMPRODUCT(Mecze[[#This Row],[/PR:90]:[/BR:90]],Brudnopis!$E$27:$J$27),0)</f>
        <v>9.2783505154639179E-2</v>
      </c>
      <c r="X1025" s="44">
        <f>IF(Mecze[[#This Row],[Role]]&lt;&gt;"BR",SUMPRODUCT(Mecze[[#This Row],[/PR:90]:[/BR:90]],Brudnopis!$E$28:$J$28),0)</f>
        <v>4.1237113402061855E-2</v>
      </c>
      <c r="Y1025" s="35">
        <f>IF(Mecze[[#This Row],[Role]]="BR",Mecze[[#This Row],[/OB:90]]+Mecze[[#This Row],[/PC:90]],SUM(Mecze[[#This Row],[/PR:90]:[/BR:90]]))</f>
        <v>8.247422680412371E-2</v>
      </c>
      <c r="Z1025" s="35">
        <f>IF(Mecze[[#This Row],[KC]]=0,SUM(Mecze[[#This Row],[/BRI]:[/NPI]]),SUM(Mecze[[#This Row],[/BRI]:[/NPI]])*0.6)</f>
        <v>0.41237113402061859</v>
      </c>
      <c r="AA1025" s="10">
        <f>IFERROR(Mecze[[#This Row],[BR]]/Mecze[[#This Row],[ST]],0)</f>
        <v>0</v>
      </c>
      <c r="AB1025">
        <f>ROUND(Mecze[[#This Row],[PD]]*Mecze[[#This Row],[%PC]],0)</f>
        <v>4</v>
      </c>
      <c r="AC1025">
        <f>ROUND(Mecze[[#This Row],[OD]]*Mecze[[#This Row],[%OU]],0)</f>
        <v>2</v>
      </c>
      <c r="AD1025" s="36" t="s">
        <v>47</v>
      </c>
      <c r="AE1025" s="36">
        <v>57</v>
      </c>
      <c r="AF1025" s="71">
        <v>3.13</v>
      </c>
      <c r="AG1025" s="37">
        <v>0</v>
      </c>
      <c r="AH1025" s="37">
        <v>0</v>
      </c>
      <c r="AI1025" s="37">
        <v>97</v>
      </c>
      <c r="AJ1025" s="37">
        <v>9</v>
      </c>
      <c r="AK1025" s="37" t="str">
        <f>VLOOKUP(Mecze[[#This Row],[Match ID]],Meczusie[Mecz]:Meczusie[RodzajMeczu],2,FALSE)</f>
        <v>Liga</v>
      </c>
    </row>
    <row r="1026" spans="1:37" x14ac:dyDescent="0.25">
      <c r="A1026" s="76">
        <v>16</v>
      </c>
      <c r="B1026" s="3" t="s">
        <v>405</v>
      </c>
      <c r="C1026" s="2" t="s">
        <v>157</v>
      </c>
      <c r="D1026" s="1">
        <v>0</v>
      </c>
      <c r="E1026" s="1">
        <v>0</v>
      </c>
      <c r="F1026" s="1">
        <v>0</v>
      </c>
      <c r="G1026" s="1">
        <v>4</v>
      </c>
      <c r="H1026" s="4">
        <v>0.5</v>
      </c>
      <c r="I1026" s="1">
        <v>11</v>
      </c>
      <c r="J1026" s="4">
        <v>0.36</v>
      </c>
      <c r="K1026" s="1">
        <v>0</v>
      </c>
      <c r="L1026" s="1">
        <v>7</v>
      </c>
      <c r="M1026" s="32">
        <f>IF(Mecze[[#This Row],[PR]]=0,0,Mecze[[#This Row],[PR]]/Mecze[[#This Row],[CZAS]])</f>
        <v>7.2164948453608241E-2</v>
      </c>
      <c r="N1026" s="32">
        <f>IF(Mecze[[#This Row],[OU]]=0,0,Mecze[[#This Row],[OU]]/Mecze[[#This Row],[CZAS]])</f>
        <v>4.1237113402061855E-2</v>
      </c>
      <c r="O1026" s="32">
        <f>IF(Mecze[[#This Row],[PC]]=0,0,Mecze[[#This Row],[PC]]/Mecze[[#This Row],[CZAS]])</f>
        <v>2.0618556701030927E-2</v>
      </c>
      <c r="P1026" s="32">
        <f>IF(Mecze[[#This Row],[SC]]=0,0,Mecze[[#This Row],[SC]]/Mecze[[#This Row],[CZAS]])</f>
        <v>0</v>
      </c>
      <c r="Q1026" s="32">
        <f>IF(Mecze[[#This Row],[OB]]=0,0,Mecze[[#This Row],[OB]]/Mecze[[#This Row],[CZAS]])</f>
        <v>0</v>
      </c>
      <c r="R1026" s="32">
        <f>IF(Mecze[[#This Row],[BR]]=0,0,Mecze[[#This Row],[BR]]/Mecze[[#This Row],[CZAS]])</f>
        <v>0</v>
      </c>
      <c r="S1026" s="44">
        <f>IF(Mecze[[#This Row],[Role]]="BR",SUMPRODUCT(Mecze[[#This Row],[/PR:90]:[/BR:90]],Brudnopis!$E$23:$J$23),0)</f>
        <v>0</v>
      </c>
      <c r="T1026" s="44">
        <f>IF(Mecze[[#This Row],[Role]]&lt;&gt;"BR",SUMPRODUCT(Mecze[[#This Row],[/PR:90]:[/BR:90]],Brudnopis!$E$24:$J$24),0)</f>
        <v>0.15463917525773196</v>
      </c>
      <c r="U1026" s="44">
        <f>IF(Mecze[[#This Row],[Role]]&lt;&gt;"BR",SUMPRODUCT(Mecze[[#This Row],[/PR:90]:[/BR:90]],Brudnopis!$E$25:$J$25),0)</f>
        <v>0.14432989690721648</v>
      </c>
      <c r="V1026" s="44">
        <f>IF(Mecze[[#This Row],[Role]]&lt;&gt;"BR",SUMPRODUCT(Mecze[[#This Row],[/PR:90]:[/BR:90]],Brudnopis!$E$26:$J$26),0)</f>
        <v>0.13402061855670103</v>
      </c>
      <c r="W1026" s="44">
        <f>IF(Mecze[[#This Row],[Role]]&lt;&gt;"BR",SUMPRODUCT(Mecze[[#This Row],[/PR:90]:[/BR:90]],Brudnopis!$E$27:$J$27),0)</f>
        <v>0.11597938144329897</v>
      </c>
      <c r="X1026" s="44">
        <f>IF(Mecze[[#This Row],[Role]]&lt;&gt;"BR",SUMPRODUCT(Mecze[[#This Row],[/PR:90]:[/BR:90]],Brudnopis!$E$28:$J$28),0)</f>
        <v>2.0618556701030927E-2</v>
      </c>
      <c r="Y1026" s="35">
        <f>IF(Mecze[[#This Row],[Role]]="BR",Mecze[[#This Row],[/OB:90]]+Mecze[[#This Row],[/PC:90]],SUM(Mecze[[#This Row],[/PR:90]:[/BR:90]]))</f>
        <v>0.13402061855670103</v>
      </c>
      <c r="Z1026" s="35">
        <f>IF(Mecze[[#This Row],[KC]]=0,SUM(Mecze[[#This Row],[/BRI]:[/NPI]]),SUM(Mecze[[#This Row],[/BRI]:[/NPI]])*0.6)</f>
        <v>0.56958762886597947</v>
      </c>
      <c r="AA1026" s="10">
        <f>IFERROR(Mecze[[#This Row],[BR]]/Mecze[[#This Row],[ST]],0)</f>
        <v>0</v>
      </c>
      <c r="AB1026">
        <f>ROUND(Mecze[[#This Row],[PD]]*Mecze[[#This Row],[%PC]],0)</f>
        <v>2</v>
      </c>
      <c r="AC1026">
        <f>ROUND(Mecze[[#This Row],[OD]]*Mecze[[#This Row],[%OU]],0)</f>
        <v>4</v>
      </c>
      <c r="AD1026" s="36" t="s">
        <v>167</v>
      </c>
      <c r="AE1026" s="36">
        <v>57</v>
      </c>
      <c r="AF1026" s="71">
        <v>3.06</v>
      </c>
      <c r="AG1026" s="37">
        <v>0</v>
      </c>
      <c r="AH1026" s="37">
        <v>0</v>
      </c>
      <c r="AI1026" s="37">
        <v>97</v>
      </c>
      <c r="AJ1026" s="37">
        <v>9</v>
      </c>
      <c r="AK1026" s="37" t="str">
        <f>VLOOKUP(Mecze[[#This Row],[Match ID]],Meczusie[Mecz]:Meczusie[RodzajMeczu],2,FALSE)</f>
        <v>Liga</v>
      </c>
    </row>
    <row r="1027" spans="1:37" x14ac:dyDescent="0.25">
      <c r="A1027" s="76">
        <v>3</v>
      </c>
      <c r="B1027" s="3" t="s">
        <v>292</v>
      </c>
      <c r="C1027" s="2" t="s">
        <v>160</v>
      </c>
      <c r="D1027" s="1">
        <v>1</v>
      </c>
      <c r="E1027" s="1">
        <v>1</v>
      </c>
      <c r="F1027" s="1">
        <v>1</v>
      </c>
      <c r="G1027" s="1">
        <v>4</v>
      </c>
      <c r="H1027" s="4">
        <v>1</v>
      </c>
      <c r="I1027" s="1">
        <v>0</v>
      </c>
      <c r="J1027" s="4"/>
      <c r="K1027" s="1">
        <v>0</v>
      </c>
      <c r="L1027" s="1">
        <v>1</v>
      </c>
      <c r="M1027" s="32">
        <f>IF(Mecze[[#This Row],[PR]]=0,0,Mecze[[#This Row],[PR]]/Mecze[[#This Row],[CZAS]])</f>
        <v>1.0309278350515464E-2</v>
      </c>
      <c r="N1027" s="32">
        <f>IF(Mecze[[#This Row],[OU]]=0,0,Mecze[[#This Row],[OU]]/Mecze[[#This Row],[CZAS]])</f>
        <v>0</v>
      </c>
      <c r="O1027" s="32">
        <f>IF(Mecze[[#This Row],[PC]]=0,0,Mecze[[#This Row],[PC]]/Mecze[[#This Row],[CZAS]])</f>
        <v>4.1237113402061855E-2</v>
      </c>
      <c r="P1027" s="32">
        <f>IF(Mecze[[#This Row],[SC]]=0,0,Mecze[[#This Row],[SC]]/Mecze[[#This Row],[CZAS]])</f>
        <v>1.0309278350515464E-2</v>
      </c>
      <c r="Q1027" s="32">
        <f>IF(Mecze[[#This Row],[OB]]=0,0,Mecze[[#This Row],[OB]]/Mecze[[#This Row],[CZAS]])</f>
        <v>0</v>
      </c>
      <c r="R1027" s="32">
        <f>IF(Mecze[[#This Row],[BR]]=0,0,Mecze[[#This Row],[BR]]/Mecze[[#This Row],[CZAS]])</f>
        <v>1.0309278350515464E-2</v>
      </c>
      <c r="S1027" s="44">
        <f>IF(Mecze[[#This Row],[Role]]="BR",SUMPRODUCT(Mecze[[#This Row],[/PR:90]:[/BR:90]],Brudnopis!$E$23:$J$23),0)</f>
        <v>0</v>
      </c>
      <c r="T1027" s="44">
        <f>IF(Mecze[[#This Row],[Role]]&lt;&gt;"BR",SUMPRODUCT(Mecze[[#This Row],[/PR:90]:[/BR:90]],Brudnopis!$E$24:$J$24),0)</f>
        <v>7.7319587628865982E-2</v>
      </c>
      <c r="U1027" s="44">
        <f>IF(Mecze[[#This Row],[Role]]&lt;&gt;"BR",SUMPRODUCT(Mecze[[#This Row],[/PR:90]:[/BR:90]],Brudnopis!$E$25:$J$25),0)</f>
        <v>9.793814432989692E-2</v>
      </c>
      <c r="V1027" s="44">
        <f>IF(Mecze[[#This Row],[Role]]&lt;&gt;"BR",SUMPRODUCT(Mecze[[#This Row],[/PR:90]:[/BR:90]],Brudnopis!$E$26:$J$26),0)</f>
        <v>8.247422680412371E-2</v>
      </c>
      <c r="W1027" s="44">
        <f>IF(Mecze[[#This Row],[Role]]&lt;&gt;"BR",SUMPRODUCT(Mecze[[#This Row],[/PR:90]:[/BR:90]],Brudnopis!$E$27:$J$27),0)</f>
        <v>0.10051546391752578</v>
      </c>
      <c r="X1027" s="44">
        <f>IF(Mecze[[#This Row],[Role]]&lt;&gt;"BR",SUMPRODUCT(Mecze[[#This Row],[/PR:90]:[/BR:90]],Brudnopis!$E$28:$J$28),0)</f>
        <v>9.2783505154639179E-2</v>
      </c>
      <c r="Y1027" s="35">
        <f>IF(Mecze[[#This Row],[Role]]="BR",Mecze[[#This Row],[/OB:90]]+Mecze[[#This Row],[/PC:90]],SUM(Mecze[[#This Row],[/PR:90]:[/BR:90]]))</f>
        <v>7.2164948453608241E-2</v>
      </c>
      <c r="Z1027" s="35">
        <f>IF(Mecze[[#This Row],[KC]]=0,SUM(Mecze[[#This Row],[/BRI]:[/NPI]]),SUM(Mecze[[#This Row],[/BRI]:[/NPI]])*0.6)</f>
        <v>0.45103092783505161</v>
      </c>
      <c r="AA1027" s="10">
        <f>IFERROR(Mecze[[#This Row],[BR]]/Mecze[[#This Row],[ST]],0)</f>
        <v>1</v>
      </c>
      <c r="AB1027">
        <f>ROUND(Mecze[[#This Row],[PD]]*Mecze[[#This Row],[%PC]],0)</f>
        <v>4</v>
      </c>
      <c r="AC1027">
        <f>ROUND(Mecze[[#This Row],[OD]]*Mecze[[#This Row],[%OU]],0)</f>
        <v>0</v>
      </c>
      <c r="AD1027" s="36" t="s">
        <v>173</v>
      </c>
      <c r="AE1027" s="36">
        <v>57</v>
      </c>
      <c r="AF1027" s="71">
        <v>5.25</v>
      </c>
      <c r="AG1027" s="37">
        <v>0</v>
      </c>
      <c r="AH1027" s="37">
        <v>0</v>
      </c>
      <c r="AI1027" s="37">
        <v>97</v>
      </c>
      <c r="AJ1027" s="37">
        <v>9</v>
      </c>
      <c r="AK1027" s="37" t="str">
        <f>VLOOKUP(Mecze[[#This Row],[Match ID]],Meczusie[Mecz]:Meczusie[RodzajMeczu],2,FALSE)</f>
        <v>Liga</v>
      </c>
    </row>
    <row r="1028" spans="1:37" x14ac:dyDescent="0.25">
      <c r="A1028" s="76">
        <v>14</v>
      </c>
      <c r="B1028" s="3" t="s">
        <v>293</v>
      </c>
      <c r="C1028" s="2" t="s">
        <v>160</v>
      </c>
      <c r="D1028" s="1">
        <v>0</v>
      </c>
      <c r="E1028" s="1">
        <v>0</v>
      </c>
      <c r="F1028" s="1">
        <v>0</v>
      </c>
      <c r="G1028" s="1">
        <v>6</v>
      </c>
      <c r="H1028" s="4">
        <v>0.67</v>
      </c>
      <c r="I1028" s="1">
        <v>2</v>
      </c>
      <c r="J1028" s="4">
        <v>0</v>
      </c>
      <c r="K1028" s="1">
        <v>0</v>
      </c>
      <c r="L1028" s="1">
        <v>1</v>
      </c>
      <c r="M1028" s="32">
        <f>IF(Mecze[[#This Row],[PR]]=0,0,Mecze[[#This Row],[PR]]/Mecze[[#This Row],[CZAS]])</f>
        <v>1.0309278350515464E-2</v>
      </c>
      <c r="N1028" s="32">
        <f>IF(Mecze[[#This Row],[OU]]=0,0,Mecze[[#This Row],[OU]]/Mecze[[#This Row],[CZAS]])</f>
        <v>0</v>
      </c>
      <c r="O1028" s="32">
        <f>IF(Mecze[[#This Row],[PC]]=0,0,Mecze[[#This Row],[PC]]/Mecze[[#This Row],[CZAS]])</f>
        <v>4.1237113402061855E-2</v>
      </c>
      <c r="P1028" s="32">
        <f>IF(Mecze[[#This Row],[SC]]=0,0,Mecze[[#This Row],[SC]]/Mecze[[#This Row],[CZAS]])</f>
        <v>0</v>
      </c>
      <c r="Q1028" s="32">
        <f>IF(Mecze[[#This Row],[OB]]=0,0,Mecze[[#This Row],[OB]]/Mecze[[#This Row],[CZAS]])</f>
        <v>0</v>
      </c>
      <c r="R1028" s="32">
        <f>IF(Mecze[[#This Row],[BR]]=0,0,Mecze[[#This Row],[BR]]/Mecze[[#This Row],[CZAS]])</f>
        <v>0</v>
      </c>
      <c r="S1028" s="44">
        <f>IF(Mecze[[#This Row],[Role]]="BR",SUMPRODUCT(Mecze[[#This Row],[/PR:90]:[/BR:90]],Brudnopis!$E$23:$J$23),0)</f>
        <v>0</v>
      </c>
      <c r="T1028" s="44">
        <f>IF(Mecze[[#This Row],[Role]]&lt;&gt;"BR",SUMPRODUCT(Mecze[[#This Row],[/PR:90]:[/BR:90]],Brudnopis!$E$24:$J$24),0)</f>
        <v>5.1546391752577317E-2</v>
      </c>
      <c r="U1028" s="44">
        <f>IF(Mecze[[#This Row],[Role]]&lt;&gt;"BR",SUMPRODUCT(Mecze[[#This Row],[/PR:90]:[/BR:90]],Brudnopis!$E$25:$J$25),0)</f>
        <v>7.2164948453608255E-2</v>
      </c>
      <c r="V1028" s="44">
        <f>IF(Mecze[[#This Row],[Role]]&lt;&gt;"BR",SUMPRODUCT(Mecze[[#This Row],[/PR:90]:[/BR:90]],Brudnopis!$E$26:$J$26),0)</f>
        <v>5.1546391752577317E-2</v>
      </c>
      <c r="W1028" s="44">
        <f>IF(Mecze[[#This Row],[Role]]&lt;&gt;"BR",SUMPRODUCT(Mecze[[#This Row],[/PR:90]:[/BR:90]],Brudnopis!$E$27:$J$27),0)</f>
        <v>6.9587628865979384E-2</v>
      </c>
      <c r="X1028" s="44">
        <f>IF(Mecze[[#This Row],[Role]]&lt;&gt;"BR",SUMPRODUCT(Mecze[[#This Row],[/PR:90]:[/BR:90]],Brudnopis!$E$28:$J$28),0)</f>
        <v>4.1237113402061855E-2</v>
      </c>
      <c r="Y1028" s="35">
        <f>IF(Mecze[[#This Row],[Role]]="BR",Mecze[[#This Row],[/OB:90]]+Mecze[[#This Row],[/PC:90]],SUM(Mecze[[#This Row],[/PR:90]:[/BR:90]]))</f>
        <v>5.1546391752577317E-2</v>
      </c>
      <c r="Z1028" s="35">
        <f>IF(Mecze[[#This Row],[KC]]=0,SUM(Mecze[[#This Row],[/BRI]:[/NPI]]),SUM(Mecze[[#This Row],[/BRI]:[/NPI]])*0.6)</f>
        <v>0.28608247422680411</v>
      </c>
      <c r="AA1028" s="10">
        <f>IFERROR(Mecze[[#This Row],[BR]]/Mecze[[#This Row],[ST]],0)</f>
        <v>0</v>
      </c>
      <c r="AB1028">
        <f>ROUND(Mecze[[#This Row],[PD]]*Mecze[[#This Row],[%PC]],0)</f>
        <v>4</v>
      </c>
      <c r="AC1028">
        <f>ROUND(Mecze[[#This Row],[OD]]*Mecze[[#This Row],[%OU]],0)</f>
        <v>0</v>
      </c>
      <c r="AD1028" s="36" t="s">
        <v>172</v>
      </c>
      <c r="AE1028" s="36">
        <v>57</v>
      </c>
      <c r="AF1028" s="71">
        <v>4.12</v>
      </c>
      <c r="AG1028" s="37">
        <v>0</v>
      </c>
      <c r="AH1028" s="37">
        <v>0</v>
      </c>
      <c r="AI1028" s="37">
        <v>97</v>
      </c>
      <c r="AJ1028" s="37">
        <v>9</v>
      </c>
      <c r="AK1028" s="37" t="str">
        <f>VLOOKUP(Mecze[[#This Row],[Match ID]],Meczusie[Mecz]:Meczusie[RodzajMeczu],2,FALSE)</f>
        <v>Liga</v>
      </c>
    </row>
    <row r="1029" spans="1:37" x14ac:dyDescent="0.25">
      <c r="A1029" s="76">
        <v>8</v>
      </c>
      <c r="B1029" s="3" t="s">
        <v>294</v>
      </c>
      <c r="C1029" s="2" t="s">
        <v>160</v>
      </c>
      <c r="D1029" s="1">
        <v>0</v>
      </c>
      <c r="E1029" s="1">
        <v>0</v>
      </c>
      <c r="F1029" s="1">
        <v>0</v>
      </c>
      <c r="G1029" s="1">
        <v>21</v>
      </c>
      <c r="H1029" s="4">
        <v>0.71</v>
      </c>
      <c r="I1029" s="1">
        <v>10</v>
      </c>
      <c r="J1029" s="4">
        <v>0.5</v>
      </c>
      <c r="K1029" s="1">
        <v>0</v>
      </c>
      <c r="L1029" s="1">
        <v>6</v>
      </c>
      <c r="M1029" s="32">
        <f>IF(Mecze[[#This Row],[PR]]=0,0,Mecze[[#This Row],[PR]]/Mecze[[#This Row],[CZAS]])</f>
        <v>6.1855670103092786E-2</v>
      </c>
      <c r="N1029" s="32">
        <f>IF(Mecze[[#This Row],[OU]]=0,0,Mecze[[#This Row],[OU]]/Mecze[[#This Row],[CZAS]])</f>
        <v>5.1546391752577317E-2</v>
      </c>
      <c r="O1029" s="32">
        <f>IF(Mecze[[#This Row],[PC]]=0,0,Mecze[[#This Row],[PC]]/Mecze[[#This Row],[CZAS]])</f>
        <v>0.15463917525773196</v>
      </c>
      <c r="P1029" s="32">
        <f>IF(Mecze[[#This Row],[SC]]=0,0,Mecze[[#This Row],[SC]]/Mecze[[#This Row],[CZAS]])</f>
        <v>0</v>
      </c>
      <c r="Q1029" s="32">
        <f>IF(Mecze[[#This Row],[OB]]=0,0,Mecze[[#This Row],[OB]]/Mecze[[#This Row],[CZAS]])</f>
        <v>0</v>
      </c>
      <c r="R1029" s="32">
        <f>IF(Mecze[[#This Row],[BR]]=0,0,Mecze[[#This Row],[BR]]/Mecze[[#This Row],[CZAS]])</f>
        <v>0</v>
      </c>
      <c r="S1029" s="44">
        <f>IF(Mecze[[#This Row],[Role]]="BR",SUMPRODUCT(Mecze[[#This Row],[/PR:90]:[/BR:90]],Brudnopis!$E$23:$J$23),0)</f>
        <v>0</v>
      </c>
      <c r="T1029" s="44">
        <f>IF(Mecze[[#This Row],[Role]]&lt;&gt;"BR",SUMPRODUCT(Mecze[[#This Row],[/PR:90]:[/BR:90]],Brudnopis!$E$24:$J$24),0)</f>
        <v>0.29381443298969073</v>
      </c>
      <c r="U1029" s="44">
        <f>IF(Mecze[[#This Row],[Role]]&lt;&gt;"BR",SUMPRODUCT(Mecze[[#This Row],[/PR:90]:[/BR:90]],Brudnopis!$E$25:$J$25),0)</f>
        <v>0.34536082474226804</v>
      </c>
      <c r="V1029" s="44">
        <f>IF(Mecze[[#This Row],[Role]]&lt;&gt;"BR",SUMPRODUCT(Mecze[[#This Row],[/PR:90]:[/BR:90]],Brudnopis!$E$26:$J$26),0)</f>
        <v>0.26804123711340205</v>
      </c>
      <c r="W1029" s="44">
        <f>IF(Mecze[[#This Row],[Role]]&lt;&gt;"BR",SUMPRODUCT(Mecze[[#This Row],[/PR:90]:[/BR:90]],Brudnopis!$E$27:$J$27),0)</f>
        <v>0.3170103092783505</v>
      </c>
      <c r="X1029" s="44">
        <f>IF(Mecze[[#This Row],[Role]]&lt;&gt;"BR",SUMPRODUCT(Mecze[[#This Row],[/PR:90]:[/BR:90]],Brudnopis!$E$28:$J$28),0)</f>
        <v>0.15463917525773196</v>
      </c>
      <c r="Y1029" s="35">
        <f>IF(Mecze[[#This Row],[Role]]="BR",Mecze[[#This Row],[/OB:90]]+Mecze[[#This Row],[/PC:90]],SUM(Mecze[[#This Row],[/PR:90]:[/BR:90]]))</f>
        <v>0.26804123711340205</v>
      </c>
      <c r="Z1029" s="35">
        <f>IF(Mecze[[#This Row],[KC]]=0,SUM(Mecze[[#This Row],[/BRI]:[/NPI]]),SUM(Mecze[[#This Row],[/BRI]:[/NPI]])*0.6)</f>
        <v>1.3788659793814433</v>
      </c>
      <c r="AA1029" s="10">
        <f>IFERROR(Mecze[[#This Row],[BR]]/Mecze[[#This Row],[ST]],0)</f>
        <v>0</v>
      </c>
      <c r="AB1029">
        <f>ROUND(Mecze[[#This Row],[PD]]*Mecze[[#This Row],[%PC]],0)</f>
        <v>15</v>
      </c>
      <c r="AC1029">
        <f>ROUND(Mecze[[#This Row],[OD]]*Mecze[[#This Row],[%OU]],0)</f>
        <v>5</v>
      </c>
      <c r="AD1029" s="36" t="s">
        <v>67</v>
      </c>
      <c r="AE1029" s="36">
        <v>57</v>
      </c>
      <c r="AF1029" s="71">
        <v>5.17</v>
      </c>
      <c r="AG1029" s="37">
        <v>0</v>
      </c>
      <c r="AH1029" s="37">
        <v>0</v>
      </c>
      <c r="AI1029" s="37">
        <v>97</v>
      </c>
      <c r="AJ1029" s="37">
        <v>9</v>
      </c>
      <c r="AK1029" s="37" t="str">
        <f>VLOOKUP(Mecze[[#This Row],[Match ID]],Meczusie[Mecz]:Meczusie[RodzajMeczu],2,FALSE)</f>
        <v>Liga</v>
      </c>
    </row>
    <row r="1030" spans="1:37" x14ac:dyDescent="0.25">
      <c r="A1030" s="76">
        <v>11</v>
      </c>
      <c r="B1030" s="3" t="s">
        <v>410</v>
      </c>
      <c r="C1030" s="2" t="s">
        <v>160</v>
      </c>
      <c r="D1030" s="1">
        <v>0</v>
      </c>
      <c r="E1030" s="1">
        <v>1</v>
      </c>
      <c r="F1030" s="1">
        <v>1</v>
      </c>
      <c r="G1030" s="1">
        <v>8</v>
      </c>
      <c r="H1030" s="4">
        <v>0.63</v>
      </c>
      <c r="I1030" s="1">
        <v>9</v>
      </c>
      <c r="J1030" s="4">
        <v>0.44</v>
      </c>
      <c r="K1030" s="1">
        <v>0</v>
      </c>
      <c r="L1030" s="1">
        <v>1</v>
      </c>
      <c r="M1030" s="32">
        <f>IF(Mecze[[#This Row],[PR]]=0,0,Mecze[[#This Row],[PR]]/Mecze[[#This Row],[CZAS]])</f>
        <v>1.0309278350515464E-2</v>
      </c>
      <c r="N1030" s="32">
        <f>IF(Mecze[[#This Row],[OU]]=0,0,Mecze[[#This Row],[OU]]/Mecze[[#This Row],[CZAS]])</f>
        <v>4.1237113402061855E-2</v>
      </c>
      <c r="O1030" s="32">
        <f>IF(Mecze[[#This Row],[PC]]=0,0,Mecze[[#This Row],[PC]]/Mecze[[#This Row],[CZAS]])</f>
        <v>5.1546391752577317E-2</v>
      </c>
      <c r="P1030" s="32">
        <f>IF(Mecze[[#This Row],[SC]]=0,0,Mecze[[#This Row],[SC]]/Mecze[[#This Row],[CZAS]])</f>
        <v>1.0309278350515464E-2</v>
      </c>
      <c r="Q1030" s="32">
        <f>IF(Mecze[[#This Row],[OB]]=0,0,Mecze[[#This Row],[OB]]/Mecze[[#This Row],[CZAS]])</f>
        <v>0</v>
      </c>
      <c r="R1030" s="32">
        <f>IF(Mecze[[#This Row],[BR]]=0,0,Mecze[[#This Row],[BR]]/Mecze[[#This Row],[CZAS]])</f>
        <v>0</v>
      </c>
      <c r="S1030" s="44">
        <f>IF(Mecze[[#This Row],[Role]]="BR",SUMPRODUCT(Mecze[[#This Row],[/PR:90]:[/BR:90]],Brudnopis!$E$23:$J$23),0)</f>
        <v>0</v>
      </c>
      <c r="T1030" s="44">
        <f>IF(Mecze[[#This Row],[Role]]&lt;&gt;"BR",SUMPRODUCT(Mecze[[#This Row],[/PR:90]:[/BR:90]],Brudnopis!$E$24:$J$24),0)</f>
        <v>0.13402061855670103</v>
      </c>
      <c r="U1030" s="44">
        <f>IF(Mecze[[#This Row],[Role]]&lt;&gt;"BR",SUMPRODUCT(Mecze[[#This Row],[/PR:90]:[/BR:90]],Brudnopis!$E$25:$J$25),0)</f>
        <v>0.13917525773195874</v>
      </c>
      <c r="V1030" s="44">
        <f>IF(Mecze[[#This Row],[Role]]&lt;&gt;"BR",SUMPRODUCT(Mecze[[#This Row],[/PR:90]:[/BR:90]],Brudnopis!$E$26:$J$26),0)</f>
        <v>0.1134020618556701</v>
      </c>
      <c r="W1030" s="44">
        <f>IF(Mecze[[#This Row],[Role]]&lt;&gt;"BR",SUMPRODUCT(Mecze[[#This Row],[/PR:90]:[/BR:90]],Brudnopis!$E$27:$J$27),0)</f>
        <v>0.12628865979381443</v>
      </c>
      <c r="X1030" s="44">
        <f>IF(Mecze[[#This Row],[Role]]&lt;&gt;"BR",SUMPRODUCT(Mecze[[#This Row],[/PR:90]:[/BR:90]],Brudnopis!$E$28:$J$28),0)</f>
        <v>7.2164948453608241E-2</v>
      </c>
      <c r="Y1030" s="35">
        <f>IF(Mecze[[#This Row],[Role]]="BR",Mecze[[#This Row],[/OB:90]]+Mecze[[#This Row],[/PC:90]],SUM(Mecze[[#This Row],[/PR:90]:[/BR:90]]))</f>
        <v>0.1134020618556701</v>
      </c>
      <c r="Z1030" s="35">
        <f>IF(Mecze[[#This Row],[KC]]=0,SUM(Mecze[[#This Row],[/BRI]:[/NPI]]),SUM(Mecze[[#This Row],[/BRI]:[/NPI]])*0.6)</f>
        <v>0.5850515463917525</v>
      </c>
      <c r="AA1030" s="10">
        <f>IFERROR(Mecze[[#This Row],[BR]]/Mecze[[#This Row],[ST]],0)</f>
        <v>0</v>
      </c>
      <c r="AB1030">
        <f>ROUND(Mecze[[#This Row],[PD]]*Mecze[[#This Row],[%PC]],0)</f>
        <v>5</v>
      </c>
      <c r="AC1030">
        <f>ROUND(Mecze[[#This Row],[OD]]*Mecze[[#This Row],[%OU]],0)</f>
        <v>4</v>
      </c>
      <c r="AD1030" s="36" t="s">
        <v>299</v>
      </c>
      <c r="AE1030" s="36">
        <v>57</v>
      </c>
      <c r="AF1030" s="71">
        <v>4.3499999999999996</v>
      </c>
      <c r="AG1030" s="37">
        <v>0</v>
      </c>
      <c r="AH1030" s="37">
        <v>0</v>
      </c>
      <c r="AI1030" s="37">
        <v>97</v>
      </c>
      <c r="AJ1030" s="37">
        <v>9</v>
      </c>
      <c r="AK1030" s="37" t="str">
        <f>VLOOKUP(Mecze[[#This Row],[Match ID]],Meczusie[Mecz]:Meczusie[RodzajMeczu],2,FALSE)</f>
        <v>Liga</v>
      </c>
    </row>
    <row r="1031" spans="1:37" x14ac:dyDescent="0.25">
      <c r="A1031" s="76">
        <v>13</v>
      </c>
      <c r="B1031" s="3" t="s">
        <v>295</v>
      </c>
      <c r="C1031" s="2" t="s">
        <v>160</v>
      </c>
      <c r="D1031" s="1">
        <v>0</v>
      </c>
      <c r="E1031" s="1">
        <v>0</v>
      </c>
      <c r="F1031" s="1">
        <v>0</v>
      </c>
      <c r="G1031" s="1">
        <v>5</v>
      </c>
      <c r="H1031" s="4">
        <v>0.8</v>
      </c>
      <c r="I1031" s="1">
        <v>0</v>
      </c>
      <c r="J1031" s="4"/>
      <c r="K1031" s="1">
        <v>0</v>
      </c>
      <c r="L1031" s="1">
        <v>2</v>
      </c>
      <c r="M1031" s="32">
        <f>IF(Mecze[[#This Row],[PR]]=0,0,Mecze[[#This Row],[PR]]/Mecze[[#This Row],[CZAS]])</f>
        <v>2.0618556701030927E-2</v>
      </c>
      <c r="N1031" s="32">
        <f>IF(Mecze[[#This Row],[OU]]=0,0,Mecze[[#This Row],[OU]]/Mecze[[#This Row],[CZAS]])</f>
        <v>0</v>
      </c>
      <c r="O1031" s="32">
        <f>IF(Mecze[[#This Row],[PC]]=0,0,Mecze[[#This Row],[PC]]/Mecze[[#This Row],[CZAS]])</f>
        <v>4.1237113402061855E-2</v>
      </c>
      <c r="P1031" s="32">
        <f>IF(Mecze[[#This Row],[SC]]=0,0,Mecze[[#This Row],[SC]]/Mecze[[#This Row],[CZAS]])</f>
        <v>0</v>
      </c>
      <c r="Q1031" s="32">
        <f>IF(Mecze[[#This Row],[OB]]=0,0,Mecze[[#This Row],[OB]]/Mecze[[#This Row],[CZAS]])</f>
        <v>0</v>
      </c>
      <c r="R1031" s="32">
        <f>IF(Mecze[[#This Row],[BR]]=0,0,Mecze[[#This Row],[BR]]/Mecze[[#This Row],[CZAS]])</f>
        <v>0</v>
      </c>
      <c r="S1031" s="44">
        <f>IF(Mecze[[#This Row],[Role]]="BR",SUMPRODUCT(Mecze[[#This Row],[/PR:90]:[/BR:90]],Brudnopis!$E$23:$J$23),0)</f>
        <v>0</v>
      </c>
      <c r="T1031" s="44">
        <f>IF(Mecze[[#This Row],[Role]]&lt;&gt;"BR",SUMPRODUCT(Mecze[[#This Row],[/PR:90]:[/BR:90]],Brudnopis!$E$24:$J$24),0)</f>
        <v>6.1855670103092786E-2</v>
      </c>
      <c r="U1031" s="44">
        <f>IF(Mecze[[#This Row],[Role]]&lt;&gt;"BR",SUMPRODUCT(Mecze[[#This Row],[/PR:90]:[/BR:90]],Brudnopis!$E$25:$J$25),0)</f>
        <v>8.247422680412371E-2</v>
      </c>
      <c r="V1031" s="44">
        <f>IF(Mecze[[#This Row],[Role]]&lt;&gt;"BR",SUMPRODUCT(Mecze[[#This Row],[/PR:90]:[/BR:90]],Brudnopis!$E$26:$J$26),0)</f>
        <v>6.1855670103092786E-2</v>
      </c>
      <c r="W1031" s="44">
        <f>IF(Mecze[[#This Row],[Role]]&lt;&gt;"BR",SUMPRODUCT(Mecze[[#This Row],[/PR:90]:[/BR:90]],Brudnopis!$E$27:$J$27),0)</f>
        <v>7.7319587628865982E-2</v>
      </c>
      <c r="X1031" s="44">
        <f>IF(Mecze[[#This Row],[Role]]&lt;&gt;"BR",SUMPRODUCT(Mecze[[#This Row],[/PR:90]:[/BR:90]],Brudnopis!$E$28:$J$28),0)</f>
        <v>4.1237113402061855E-2</v>
      </c>
      <c r="Y1031" s="35">
        <f>IF(Mecze[[#This Row],[Role]]="BR",Mecze[[#This Row],[/OB:90]]+Mecze[[#This Row],[/PC:90]],SUM(Mecze[[#This Row],[/PR:90]:[/BR:90]]))</f>
        <v>6.1855670103092786E-2</v>
      </c>
      <c r="Z1031" s="35">
        <f>IF(Mecze[[#This Row],[KC]]=0,SUM(Mecze[[#This Row],[/BRI]:[/NPI]]),SUM(Mecze[[#This Row],[/BRI]:[/NPI]])*0.6)</f>
        <v>0.32474226804123713</v>
      </c>
      <c r="AA1031" s="10">
        <f>IFERROR(Mecze[[#This Row],[BR]]/Mecze[[#This Row],[ST]],0)</f>
        <v>0</v>
      </c>
      <c r="AB1031">
        <f>ROUND(Mecze[[#This Row],[PD]]*Mecze[[#This Row],[%PC]],0)</f>
        <v>4</v>
      </c>
      <c r="AC1031">
        <f>ROUND(Mecze[[#This Row],[OD]]*Mecze[[#This Row],[%OU]],0)</f>
        <v>0</v>
      </c>
      <c r="AD1031" s="36" t="s">
        <v>171</v>
      </c>
      <c r="AE1031" s="36">
        <v>57</v>
      </c>
      <c r="AF1031" s="71">
        <v>5.24</v>
      </c>
      <c r="AG1031" s="37">
        <v>0</v>
      </c>
      <c r="AH1031" s="37">
        <v>0</v>
      </c>
      <c r="AI1031" s="37">
        <v>97</v>
      </c>
      <c r="AJ1031" s="37">
        <v>9</v>
      </c>
      <c r="AK1031" s="37" t="str">
        <f>VLOOKUP(Mecze[[#This Row],[Match ID]],Meczusie[Mecz]:Meczusie[RodzajMeczu],2,FALSE)</f>
        <v>Liga</v>
      </c>
    </row>
    <row r="1032" spans="1:37" x14ac:dyDescent="0.25">
      <c r="A1032" s="76">
        <v>9</v>
      </c>
      <c r="B1032" s="3" t="s">
        <v>296</v>
      </c>
      <c r="C1032" s="2" t="s">
        <v>165</v>
      </c>
      <c r="D1032" s="1">
        <v>0</v>
      </c>
      <c r="E1032" s="1">
        <v>7</v>
      </c>
      <c r="F1032" s="1">
        <v>3</v>
      </c>
      <c r="G1032" s="1">
        <v>2</v>
      </c>
      <c r="H1032" s="4">
        <v>0</v>
      </c>
      <c r="I1032" s="1">
        <v>0</v>
      </c>
      <c r="J1032" s="4"/>
      <c r="K1032" s="1">
        <v>0</v>
      </c>
      <c r="L1032" s="1">
        <v>0</v>
      </c>
      <c r="M1032" s="32">
        <f>IF(Mecze[[#This Row],[PR]]=0,0,Mecze[[#This Row],[PR]]/Mecze[[#This Row],[CZAS]])</f>
        <v>0</v>
      </c>
      <c r="N1032" s="32">
        <f>IF(Mecze[[#This Row],[OU]]=0,0,Mecze[[#This Row],[OU]]/Mecze[[#This Row],[CZAS]])</f>
        <v>0</v>
      </c>
      <c r="O1032" s="32">
        <f>IF(Mecze[[#This Row],[PC]]=0,0,Mecze[[#This Row],[PC]]/Mecze[[#This Row],[CZAS]])</f>
        <v>0</v>
      </c>
      <c r="P1032" s="32">
        <f>IF(Mecze[[#This Row],[SC]]=0,0,Mecze[[#This Row],[SC]]/Mecze[[#This Row],[CZAS]])</f>
        <v>3.0927835051546393E-2</v>
      </c>
      <c r="Q1032" s="32">
        <f>IF(Mecze[[#This Row],[OB]]=0,0,Mecze[[#This Row],[OB]]/Mecze[[#This Row],[CZAS]])</f>
        <v>0</v>
      </c>
      <c r="R1032" s="32">
        <f>IF(Mecze[[#This Row],[BR]]=0,0,Mecze[[#This Row],[BR]]/Mecze[[#This Row],[CZAS]])</f>
        <v>0</v>
      </c>
      <c r="S1032" s="44">
        <f>IF(Mecze[[#This Row],[Role]]="BR",SUMPRODUCT(Mecze[[#This Row],[/PR:90]:[/BR:90]],Brudnopis!$E$23:$J$23),0)</f>
        <v>0</v>
      </c>
      <c r="T1032" s="44">
        <f>IF(Mecze[[#This Row],[Role]]&lt;&gt;"BR",SUMPRODUCT(Mecze[[#This Row],[/PR:90]:[/BR:90]],Brudnopis!$E$24:$J$24),0)</f>
        <v>3.0927835051546393E-2</v>
      </c>
      <c r="U1032" s="44">
        <f>IF(Mecze[[#This Row],[Role]]&lt;&gt;"BR",SUMPRODUCT(Mecze[[#This Row],[/PR:90]:[/BR:90]],Brudnopis!$E$25:$J$25),0)</f>
        <v>3.0927835051546393E-2</v>
      </c>
      <c r="V1032" s="44">
        <f>IF(Mecze[[#This Row],[Role]]&lt;&gt;"BR",SUMPRODUCT(Mecze[[#This Row],[/PR:90]:[/BR:90]],Brudnopis!$E$26:$J$26),0)</f>
        <v>3.0927835051546393E-2</v>
      </c>
      <c r="W1032" s="44">
        <f>IF(Mecze[[#This Row],[Role]]&lt;&gt;"BR",SUMPRODUCT(Mecze[[#This Row],[/PR:90]:[/BR:90]],Brudnopis!$E$27:$J$27),0)</f>
        <v>3.0927835051546393E-2</v>
      </c>
      <c r="X1032" s="44">
        <f>IF(Mecze[[#This Row],[Role]]&lt;&gt;"BR",SUMPRODUCT(Mecze[[#This Row],[/PR:90]:[/BR:90]],Brudnopis!$E$28:$J$28),0)</f>
        <v>6.1855670103092786E-2</v>
      </c>
      <c r="Y1032" s="35">
        <f>IF(Mecze[[#This Row],[Role]]="BR",Mecze[[#This Row],[/OB:90]]+Mecze[[#This Row],[/PC:90]],SUM(Mecze[[#This Row],[/PR:90]:[/BR:90]]))</f>
        <v>3.0927835051546393E-2</v>
      </c>
      <c r="Z1032" s="35">
        <f>IF(Mecze[[#This Row],[KC]]=0,SUM(Mecze[[#This Row],[/BRI]:[/NPI]]),SUM(Mecze[[#This Row],[/BRI]:[/NPI]])*0.6)</f>
        <v>0.18556701030927836</v>
      </c>
      <c r="AA1032" s="10">
        <f>IFERROR(Mecze[[#This Row],[BR]]/Mecze[[#This Row],[ST]],0)</f>
        <v>0</v>
      </c>
      <c r="AB1032">
        <f>ROUND(Mecze[[#This Row],[PD]]*Mecze[[#This Row],[%PC]],0)</f>
        <v>0</v>
      </c>
      <c r="AC1032">
        <f>ROUND(Mecze[[#This Row],[OD]]*Mecze[[#This Row],[%OU]],0)</f>
        <v>0</v>
      </c>
      <c r="AD1032" s="36" t="s">
        <v>272</v>
      </c>
      <c r="AE1032" s="36">
        <v>57</v>
      </c>
      <c r="AF1032" s="71">
        <v>3.37</v>
      </c>
      <c r="AG1032" s="37">
        <v>0</v>
      </c>
      <c r="AH1032" s="37">
        <v>0</v>
      </c>
      <c r="AI1032" s="37">
        <v>97</v>
      </c>
      <c r="AJ1032" s="37">
        <v>9</v>
      </c>
      <c r="AK1032" s="37" t="str">
        <f>VLOOKUP(Mecze[[#This Row],[Match ID]],Meczusie[Mecz]:Meczusie[RodzajMeczu],2,FALSE)</f>
        <v>Liga</v>
      </c>
    </row>
    <row r="1033" spans="1:37" x14ac:dyDescent="0.25">
      <c r="A1033" s="76">
        <v>6</v>
      </c>
      <c r="B1033" s="3" t="s">
        <v>297</v>
      </c>
      <c r="C1033" s="2" t="s">
        <v>165</v>
      </c>
      <c r="D1033" s="1">
        <v>0</v>
      </c>
      <c r="E1033" s="1">
        <v>1</v>
      </c>
      <c r="F1033" s="1">
        <v>1</v>
      </c>
      <c r="G1033" s="1">
        <v>8</v>
      </c>
      <c r="H1033" s="4">
        <v>0.75</v>
      </c>
      <c r="I1033" s="1">
        <v>2</v>
      </c>
      <c r="J1033" s="4">
        <v>0</v>
      </c>
      <c r="K1033" s="1">
        <v>0</v>
      </c>
      <c r="L1033" s="1">
        <v>1</v>
      </c>
      <c r="M1033" s="32">
        <f>IF(Mecze[[#This Row],[PR]]=0,0,Mecze[[#This Row],[PR]]/Mecze[[#This Row],[CZAS]])</f>
        <v>1.0309278350515464E-2</v>
      </c>
      <c r="N1033" s="32">
        <f>IF(Mecze[[#This Row],[OU]]=0,0,Mecze[[#This Row],[OU]]/Mecze[[#This Row],[CZAS]])</f>
        <v>0</v>
      </c>
      <c r="O1033" s="32">
        <f>IF(Mecze[[#This Row],[PC]]=0,0,Mecze[[#This Row],[PC]]/Mecze[[#This Row],[CZAS]])</f>
        <v>6.1855670103092786E-2</v>
      </c>
      <c r="P1033" s="32">
        <f>IF(Mecze[[#This Row],[SC]]=0,0,Mecze[[#This Row],[SC]]/Mecze[[#This Row],[CZAS]])</f>
        <v>1.0309278350515464E-2</v>
      </c>
      <c r="Q1033" s="32">
        <f>IF(Mecze[[#This Row],[OB]]=0,0,Mecze[[#This Row],[OB]]/Mecze[[#This Row],[CZAS]])</f>
        <v>0</v>
      </c>
      <c r="R1033" s="32">
        <f>IF(Mecze[[#This Row],[BR]]=0,0,Mecze[[#This Row],[BR]]/Mecze[[#This Row],[CZAS]])</f>
        <v>0</v>
      </c>
      <c r="S1033" s="44">
        <f>IF(Mecze[[#This Row],[Role]]="BR",SUMPRODUCT(Mecze[[#This Row],[/PR:90]:[/BR:90]],Brudnopis!$E$23:$J$23),0)</f>
        <v>0</v>
      </c>
      <c r="T1033" s="44">
        <f>IF(Mecze[[#This Row],[Role]]&lt;&gt;"BR",SUMPRODUCT(Mecze[[#This Row],[/PR:90]:[/BR:90]],Brudnopis!$E$24:$J$24),0)</f>
        <v>8.2474226804123724E-2</v>
      </c>
      <c r="U1033" s="44">
        <f>IF(Mecze[[#This Row],[Role]]&lt;&gt;"BR",SUMPRODUCT(Mecze[[#This Row],[/PR:90]:[/BR:90]],Brudnopis!$E$25:$J$25),0)</f>
        <v>0.11340206185567012</v>
      </c>
      <c r="V1033" s="44">
        <f>IF(Mecze[[#This Row],[Role]]&lt;&gt;"BR",SUMPRODUCT(Mecze[[#This Row],[/PR:90]:[/BR:90]],Brudnopis!$E$26:$J$26),0)</f>
        <v>8.2474226804123724E-2</v>
      </c>
      <c r="W1033" s="44">
        <f>IF(Mecze[[#This Row],[Role]]&lt;&gt;"BR",SUMPRODUCT(Mecze[[#This Row],[/PR:90]:[/BR:90]],Brudnopis!$E$27:$J$27),0)</f>
        <v>0.11082474226804125</v>
      </c>
      <c r="X1033" s="44">
        <f>IF(Mecze[[#This Row],[Role]]&lt;&gt;"BR",SUMPRODUCT(Mecze[[#This Row],[/PR:90]:[/BR:90]],Brudnopis!$E$28:$J$28),0)</f>
        <v>8.247422680412371E-2</v>
      </c>
      <c r="Y1033" s="35">
        <f>IF(Mecze[[#This Row],[Role]]="BR",Mecze[[#This Row],[/OB:90]]+Mecze[[#This Row],[/PC:90]],SUM(Mecze[[#This Row],[/PR:90]:[/BR:90]]))</f>
        <v>8.2474226804123724E-2</v>
      </c>
      <c r="Z1033" s="35">
        <f>IF(Mecze[[#This Row],[KC]]=0,SUM(Mecze[[#This Row],[/BRI]:[/NPI]]),SUM(Mecze[[#This Row],[/BRI]:[/NPI]])*0.6)</f>
        <v>0.47164948453608246</v>
      </c>
      <c r="AA1033" s="10">
        <f>IFERROR(Mecze[[#This Row],[BR]]/Mecze[[#This Row],[ST]],0)</f>
        <v>0</v>
      </c>
      <c r="AB1033">
        <f>ROUND(Mecze[[#This Row],[PD]]*Mecze[[#This Row],[%PC]],0)</f>
        <v>6</v>
      </c>
      <c r="AC1033">
        <f>ROUND(Mecze[[#This Row],[OD]]*Mecze[[#This Row],[%OU]],0)</f>
        <v>0</v>
      </c>
      <c r="AD1033" s="36" t="s">
        <v>46</v>
      </c>
      <c r="AE1033" s="36">
        <v>57</v>
      </c>
      <c r="AF1033" s="71">
        <v>4.26</v>
      </c>
      <c r="AG1033" s="37">
        <v>0</v>
      </c>
      <c r="AH1033" s="37">
        <v>0</v>
      </c>
      <c r="AI1033" s="37">
        <v>97</v>
      </c>
      <c r="AJ1033" s="37">
        <v>9</v>
      </c>
      <c r="AK1033" s="37" t="str">
        <f>VLOOKUP(Mecze[[#This Row],[Match ID]],Meczusie[Mecz]:Meczusie[RodzajMeczu],2,FALSE)</f>
        <v>Liga</v>
      </c>
    </row>
    <row r="1034" spans="1:37" x14ac:dyDescent="0.25">
      <c r="A1034" s="76">
        <v>1</v>
      </c>
      <c r="B1034" s="3" t="s">
        <v>220</v>
      </c>
      <c r="C1034" s="2" t="s">
        <v>155</v>
      </c>
      <c r="D1034" s="1">
        <v>0</v>
      </c>
      <c r="E1034" s="1">
        <v>0</v>
      </c>
      <c r="F1034" s="1">
        <v>0</v>
      </c>
      <c r="G1034" s="1">
        <v>6</v>
      </c>
      <c r="H1034" s="4">
        <v>1</v>
      </c>
      <c r="I1034" s="1">
        <v>0</v>
      </c>
      <c r="J1034" s="4"/>
      <c r="K1034" s="1">
        <v>4</v>
      </c>
      <c r="L1034" s="1">
        <v>0</v>
      </c>
      <c r="M1034" s="32">
        <f>IF(Mecze[[#This Row],[PR]]=0,0,Mecze[[#This Row],[PR]]/Mecze[[#This Row],[CZAS]])</f>
        <v>0</v>
      </c>
      <c r="N1034" s="32">
        <f>IF(Mecze[[#This Row],[OU]]=0,0,Mecze[[#This Row],[OU]]/Mecze[[#This Row],[CZAS]])</f>
        <v>0</v>
      </c>
      <c r="O1034" s="32">
        <f>IF(Mecze[[#This Row],[PC]]=0,0,Mecze[[#This Row],[PC]]/Mecze[[#This Row],[CZAS]])</f>
        <v>6.25E-2</v>
      </c>
      <c r="P1034" s="32">
        <f>IF(Mecze[[#This Row],[SC]]=0,0,Mecze[[#This Row],[SC]]/Mecze[[#This Row],[CZAS]])</f>
        <v>0</v>
      </c>
      <c r="Q1034" s="32">
        <f>IF(Mecze[[#This Row],[OB]]=0,0,Mecze[[#This Row],[OB]]/Mecze[[#This Row],[CZAS]])</f>
        <v>4.1666666666666664E-2</v>
      </c>
      <c r="R1034" s="32">
        <f>IF(Mecze[[#This Row],[BR]]=0,0,Mecze[[#This Row],[BR]]/Mecze[[#This Row],[CZAS]])</f>
        <v>0</v>
      </c>
      <c r="S1034" s="44">
        <f>IF(Mecze[[#This Row],[Role]]="BR",SUMPRODUCT(Mecze[[#This Row],[/PR:90]:[/BR:90]],Brudnopis!$E$23:$J$23),0)</f>
        <v>0.3125</v>
      </c>
      <c r="T1034" s="44">
        <f>IF(Mecze[[#This Row],[Role]]&lt;&gt;"BR",SUMPRODUCT(Mecze[[#This Row],[/PR:90]:[/BR:90]],Brudnopis!$E$24:$J$24),0)</f>
        <v>0</v>
      </c>
      <c r="U1034" s="44">
        <f>IF(Mecze[[#This Row],[Role]]&lt;&gt;"BR",SUMPRODUCT(Mecze[[#This Row],[/PR:90]:[/BR:90]],Brudnopis!$E$25:$J$25),0)</f>
        <v>0</v>
      </c>
      <c r="V1034" s="44">
        <f>IF(Mecze[[#This Row],[Role]]&lt;&gt;"BR",SUMPRODUCT(Mecze[[#This Row],[/PR:90]:[/BR:90]],Brudnopis!$E$26:$J$26),0)</f>
        <v>0</v>
      </c>
      <c r="W1034" s="44">
        <f>IF(Mecze[[#This Row],[Role]]&lt;&gt;"BR",SUMPRODUCT(Mecze[[#This Row],[/PR:90]:[/BR:90]],Brudnopis!$E$27:$J$27),0)</f>
        <v>0</v>
      </c>
      <c r="X1034" s="44">
        <f>IF(Mecze[[#This Row],[Role]]&lt;&gt;"BR",SUMPRODUCT(Mecze[[#This Row],[/PR:90]:[/BR:90]],Brudnopis!$E$28:$J$28),0)</f>
        <v>0</v>
      </c>
      <c r="Y1034" s="35">
        <f>IF(Mecze[[#This Row],[Role]]="BR",Mecze[[#This Row],[/OB:90]]+Mecze[[#This Row],[/PC:90]],SUM(Mecze[[#This Row],[/PR:90]:[/BR:90]]))</f>
        <v>0.10416666666666666</v>
      </c>
      <c r="Z1034" s="35">
        <f>IF(Mecze[[#This Row],[KC]]=0,SUM(Mecze[[#This Row],[/BRI]:[/NPI]]),SUM(Mecze[[#This Row],[/BRI]:[/NPI]])*0.6)</f>
        <v>0.3125</v>
      </c>
      <c r="AA1034" s="10">
        <f>IFERROR(Mecze[[#This Row],[BR]]/Mecze[[#This Row],[ST]],0)</f>
        <v>0</v>
      </c>
      <c r="AB1034">
        <f>ROUND(Mecze[[#This Row],[PD]]*Mecze[[#This Row],[%PC]],0)</f>
        <v>6</v>
      </c>
      <c r="AC1034">
        <f>ROUND(Mecze[[#This Row],[OD]]*Mecze[[#This Row],[%OU]],0)</f>
        <v>0</v>
      </c>
      <c r="AD1034" s="36" t="s">
        <v>40</v>
      </c>
      <c r="AE1034" s="36">
        <v>58</v>
      </c>
      <c r="AF1034" s="71">
        <v>8.65</v>
      </c>
      <c r="AG1034" s="37">
        <v>0</v>
      </c>
      <c r="AH1034" s="37">
        <v>0</v>
      </c>
      <c r="AI1034" s="37">
        <v>96</v>
      </c>
      <c r="AJ1034" s="37">
        <v>2</v>
      </c>
      <c r="AK1034" s="37" t="str">
        <f>VLOOKUP(Mecze[[#This Row],[Match ID]],Meczusie[Mecz]:Meczusie[RodzajMeczu],2,FALSE)</f>
        <v>Liga</v>
      </c>
    </row>
    <row r="1035" spans="1:37" x14ac:dyDescent="0.25">
      <c r="A1035" s="76">
        <v>3</v>
      </c>
      <c r="B1035" s="3" t="s">
        <v>222</v>
      </c>
      <c r="C1035" s="2" t="s">
        <v>157</v>
      </c>
      <c r="D1035" s="1">
        <v>0</v>
      </c>
      <c r="E1035" s="1">
        <v>0</v>
      </c>
      <c r="F1035" s="1">
        <v>0</v>
      </c>
      <c r="G1035" s="1">
        <v>11</v>
      </c>
      <c r="H1035" s="4">
        <v>0.73</v>
      </c>
      <c r="I1035" s="1">
        <v>11</v>
      </c>
      <c r="J1035" s="4">
        <v>0.45</v>
      </c>
      <c r="K1035" s="1">
        <v>0</v>
      </c>
      <c r="L1035" s="1">
        <v>5</v>
      </c>
      <c r="M1035" s="32">
        <f>IF(Mecze[[#This Row],[PR]]=0,0,Mecze[[#This Row],[PR]]/Mecze[[#This Row],[CZAS]])</f>
        <v>5.2083333333333336E-2</v>
      </c>
      <c r="N1035" s="32">
        <f>IF(Mecze[[#This Row],[OU]]=0,0,Mecze[[#This Row],[OU]]/Mecze[[#This Row],[CZAS]])</f>
        <v>5.2083333333333336E-2</v>
      </c>
      <c r="O1035" s="32">
        <f>IF(Mecze[[#This Row],[PC]]=0,0,Mecze[[#This Row],[PC]]/Mecze[[#This Row],[CZAS]])</f>
        <v>8.3333333333333329E-2</v>
      </c>
      <c r="P1035" s="32">
        <f>IF(Mecze[[#This Row],[SC]]=0,0,Mecze[[#This Row],[SC]]/Mecze[[#This Row],[CZAS]])</f>
        <v>0</v>
      </c>
      <c r="Q1035" s="32">
        <f>IF(Mecze[[#This Row],[OB]]=0,0,Mecze[[#This Row],[OB]]/Mecze[[#This Row],[CZAS]])</f>
        <v>0</v>
      </c>
      <c r="R1035" s="32">
        <f>IF(Mecze[[#This Row],[BR]]=0,0,Mecze[[#This Row],[BR]]/Mecze[[#This Row],[CZAS]])</f>
        <v>0</v>
      </c>
      <c r="S1035" s="44">
        <f>IF(Mecze[[#This Row],[Role]]="BR",SUMPRODUCT(Mecze[[#This Row],[/PR:90]:[/BR:90]],Brudnopis!$E$23:$J$23),0)</f>
        <v>0</v>
      </c>
      <c r="T1035" s="44">
        <f>IF(Mecze[[#This Row],[Role]]&lt;&gt;"BR",SUMPRODUCT(Mecze[[#This Row],[/PR:90]:[/BR:90]],Brudnopis!$E$24:$J$24),0)</f>
        <v>0.21354166666666669</v>
      </c>
      <c r="U1035" s="44">
        <f>IF(Mecze[[#This Row],[Role]]&lt;&gt;"BR",SUMPRODUCT(Mecze[[#This Row],[/PR:90]:[/BR:90]],Brudnopis!$E$25:$J$25),0)</f>
        <v>0.22916666666666669</v>
      </c>
      <c r="V1035" s="44">
        <f>IF(Mecze[[#This Row],[Role]]&lt;&gt;"BR",SUMPRODUCT(Mecze[[#This Row],[/PR:90]:[/BR:90]],Brudnopis!$E$26:$J$26),0)</f>
        <v>0.1875</v>
      </c>
      <c r="W1035" s="44">
        <f>IF(Mecze[[#This Row],[Role]]&lt;&gt;"BR",SUMPRODUCT(Mecze[[#This Row],[/PR:90]:[/BR:90]],Brudnopis!$E$27:$J$27),0)</f>
        <v>0.203125</v>
      </c>
      <c r="X1035" s="44">
        <f>IF(Mecze[[#This Row],[Role]]&lt;&gt;"BR",SUMPRODUCT(Mecze[[#This Row],[/PR:90]:[/BR:90]],Brudnopis!$E$28:$J$28),0)</f>
        <v>8.3333333333333329E-2</v>
      </c>
      <c r="Y1035" s="35">
        <f>IF(Mecze[[#This Row],[Role]]="BR",Mecze[[#This Row],[/OB:90]]+Mecze[[#This Row],[/PC:90]],SUM(Mecze[[#This Row],[/PR:90]:[/BR:90]]))</f>
        <v>0.1875</v>
      </c>
      <c r="Z1035" s="35">
        <f>IF(Mecze[[#This Row],[KC]]=0,SUM(Mecze[[#This Row],[/BRI]:[/NPI]]),SUM(Mecze[[#This Row],[/BRI]:[/NPI]])*0.6)</f>
        <v>0.91666666666666674</v>
      </c>
      <c r="AA1035" s="10">
        <f>IFERROR(Mecze[[#This Row],[BR]]/Mecze[[#This Row],[ST]],0)</f>
        <v>0</v>
      </c>
      <c r="AB1035">
        <f>ROUND(Mecze[[#This Row],[PD]]*Mecze[[#This Row],[%PC]],0)</f>
        <v>8</v>
      </c>
      <c r="AC1035">
        <f>ROUND(Mecze[[#This Row],[OD]]*Mecze[[#This Row],[%OU]],0)</f>
        <v>5</v>
      </c>
      <c r="AD1035" s="36" t="s">
        <v>47</v>
      </c>
      <c r="AE1035" s="36">
        <v>58</v>
      </c>
      <c r="AF1035" s="71">
        <v>3.86</v>
      </c>
      <c r="AG1035" s="37">
        <v>1</v>
      </c>
      <c r="AH1035" s="37">
        <v>0</v>
      </c>
      <c r="AI1035" s="37">
        <v>96</v>
      </c>
      <c r="AJ1035" s="37">
        <v>2</v>
      </c>
      <c r="AK1035" s="37" t="str">
        <f>VLOOKUP(Mecze[[#This Row],[Match ID]],Meczusie[Mecz]:Meczusie[RodzajMeczu],2,FALSE)</f>
        <v>Liga</v>
      </c>
    </row>
    <row r="1036" spans="1:37" x14ac:dyDescent="0.25">
      <c r="A1036" s="76">
        <v>4</v>
      </c>
      <c r="B1036" s="3" t="s">
        <v>221</v>
      </c>
      <c r="C1036" s="2" t="s">
        <v>157</v>
      </c>
      <c r="D1036" s="1">
        <v>0</v>
      </c>
      <c r="E1036" s="1">
        <v>0</v>
      </c>
      <c r="F1036" s="1">
        <v>0</v>
      </c>
      <c r="G1036" s="1">
        <v>10</v>
      </c>
      <c r="H1036" s="4">
        <v>0.8</v>
      </c>
      <c r="I1036" s="1">
        <v>1</v>
      </c>
      <c r="J1036" s="4">
        <v>1</v>
      </c>
      <c r="K1036" s="1">
        <v>0</v>
      </c>
      <c r="L1036" s="1">
        <v>6</v>
      </c>
      <c r="M1036" s="32">
        <f>IF(Mecze[[#This Row],[PR]]=0,0,Mecze[[#This Row],[PR]]/Mecze[[#This Row],[CZAS]])</f>
        <v>6.25E-2</v>
      </c>
      <c r="N1036" s="32">
        <f>IF(Mecze[[#This Row],[OU]]=0,0,Mecze[[#This Row],[OU]]/Mecze[[#This Row],[CZAS]])</f>
        <v>1.0416666666666666E-2</v>
      </c>
      <c r="O1036" s="32">
        <f>IF(Mecze[[#This Row],[PC]]=0,0,Mecze[[#This Row],[PC]]/Mecze[[#This Row],[CZAS]])</f>
        <v>8.3333333333333329E-2</v>
      </c>
      <c r="P1036" s="32">
        <f>IF(Mecze[[#This Row],[SC]]=0,0,Mecze[[#This Row],[SC]]/Mecze[[#This Row],[CZAS]])</f>
        <v>0</v>
      </c>
      <c r="Q1036" s="32">
        <f>IF(Mecze[[#This Row],[OB]]=0,0,Mecze[[#This Row],[OB]]/Mecze[[#This Row],[CZAS]])</f>
        <v>0</v>
      </c>
      <c r="R1036" s="32">
        <f>IF(Mecze[[#This Row],[BR]]=0,0,Mecze[[#This Row],[BR]]/Mecze[[#This Row],[CZAS]])</f>
        <v>0</v>
      </c>
      <c r="S1036" s="44">
        <f>IF(Mecze[[#This Row],[Role]]="BR",SUMPRODUCT(Mecze[[#This Row],[/PR:90]:[/BR:90]],Brudnopis!$E$23:$J$23),0)</f>
        <v>0</v>
      </c>
      <c r="T1036" s="44">
        <f>IF(Mecze[[#This Row],[Role]]&lt;&gt;"BR",SUMPRODUCT(Mecze[[#This Row],[/PR:90]:[/BR:90]],Brudnopis!$E$24:$J$24),0)</f>
        <v>0.16145833333333331</v>
      </c>
      <c r="U1036" s="44">
        <f>IF(Mecze[[#This Row],[Role]]&lt;&gt;"BR",SUMPRODUCT(Mecze[[#This Row],[/PR:90]:[/BR:90]],Brudnopis!$E$25:$J$25),0)</f>
        <v>0.19791666666666669</v>
      </c>
      <c r="V1036" s="44">
        <f>IF(Mecze[[#This Row],[Role]]&lt;&gt;"BR",SUMPRODUCT(Mecze[[#This Row],[/PR:90]:[/BR:90]],Brudnopis!$E$26:$J$26),0)</f>
        <v>0.15625</v>
      </c>
      <c r="W1036" s="44">
        <f>IF(Mecze[[#This Row],[Role]]&lt;&gt;"BR",SUMPRODUCT(Mecze[[#This Row],[/PR:90]:[/BR:90]],Brudnopis!$E$27:$J$27),0)</f>
        <v>0.1796875</v>
      </c>
      <c r="X1036" s="44">
        <f>IF(Mecze[[#This Row],[Role]]&lt;&gt;"BR",SUMPRODUCT(Mecze[[#This Row],[/PR:90]:[/BR:90]],Brudnopis!$E$28:$J$28),0)</f>
        <v>8.3333333333333329E-2</v>
      </c>
      <c r="Y1036" s="35">
        <f>IF(Mecze[[#This Row],[Role]]="BR",Mecze[[#This Row],[/OB:90]]+Mecze[[#This Row],[/PC:90]],SUM(Mecze[[#This Row],[/PR:90]:[/BR:90]]))</f>
        <v>0.15625</v>
      </c>
      <c r="Z1036" s="35">
        <f>IF(Mecze[[#This Row],[KC]]=0,SUM(Mecze[[#This Row],[/BRI]:[/NPI]]),SUM(Mecze[[#This Row],[/BRI]:[/NPI]])*0.6)</f>
        <v>0.77864583333333337</v>
      </c>
      <c r="AA1036" s="10">
        <f>IFERROR(Mecze[[#This Row],[BR]]/Mecze[[#This Row],[ST]],0)</f>
        <v>0</v>
      </c>
      <c r="AB1036">
        <f>ROUND(Mecze[[#This Row],[PD]]*Mecze[[#This Row],[%PC]],0)</f>
        <v>8</v>
      </c>
      <c r="AC1036">
        <f>ROUND(Mecze[[#This Row],[OD]]*Mecze[[#This Row],[%OU]],0)</f>
        <v>1</v>
      </c>
      <c r="AD1036" s="36" t="s">
        <v>47</v>
      </c>
      <c r="AE1036" s="36">
        <v>58</v>
      </c>
      <c r="AF1036" s="71">
        <v>5.18</v>
      </c>
      <c r="AG1036" s="37">
        <v>0</v>
      </c>
      <c r="AH1036" s="37">
        <v>0</v>
      </c>
      <c r="AI1036" s="37">
        <v>96</v>
      </c>
      <c r="AJ1036" s="37">
        <v>2</v>
      </c>
      <c r="AK1036" s="37" t="str">
        <f>VLOOKUP(Mecze[[#This Row],[Match ID]],Meczusie[Mecz]:Meczusie[RodzajMeczu],2,FALSE)</f>
        <v>Liga</v>
      </c>
    </row>
    <row r="1037" spans="1:37" x14ac:dyDescent="0.25">
      <c r="A1037" s="76">
        <v>5</v>
      </c>
      <c r="B1037" s="3" t="s">
        <v>223</v>
      </c>
      <c r="C1037" s="2" t="s">
        <v>157</v>
      </c>
      <c r="D1037" s="1">
        <v>0</v>
      </c>
      <c r="E1037" s="1">
        <v>0</v>
      </c>
      <c r="F1037" s="1">
        <v>0</v>
      </c>
      <c r="G1037" s="1">
        <v>11</v>
      </c>
      <c r="H1037" s="4">
        <v>0.91</v>
      </c>
      <c r="I1037" s="1">
        <v>11</v>
      </c>
      <c r="J1037" s="4">
        <v>0.55000000000000004</v>
      </c>
      <c r="K1037" s="1">
        <v>0</v>
      </c>
      <c r="L1037" s="1">
        <v>8</v>
      </c>
      <c r="M1037" s="32">
        <f>IF(Mecze[[#This Row],[PR]]=0,0,Mecze[[#This Row],[PR]]/Mecze[[#This Row],[CZAS]])</f>
        <v>8.3333333333333329E-2</v>
      </c>
      <c r="N1037" s="32">
        <f>IF(Mecze[[#This Row],[OU]]=0,0,Mecze[[#This Row],[OU]]/Mecze[[#This Row],[CZAS]])</f>
        <v>6.25E-2</v>
      </c>
      <c r="O1037" s="32">
        <f>IF(Mecze[[#This Row],[PC]]=0,0,Mecze[[#This Row],[PC]]/Mecze[[#This Row],[CZAS]])</f>
        <v>0.10416666666666667</v>
      </c>
      <c r="P1037" s="32">
        <f>IF(Mecze[[#This Row],[SC]]=0,0,Mecze[[#This Row],[SC]]/Mecze[[#This Row],[CZAS]])</f>
        <v>0</v>
      </c>
      <c r="Q1037" s="32">
        <f>IF(Mecze[[#This Row],[OB]]=0,0,Mecze[[#This Row],[OB]]/Mecze[[#This Row],[CZAS]])</f>
        <v>0</v>
      </c>
      <c r="R1037" s="32">
        <f>IF(Mecze[[#This Row],[BR]]=0,0,Mecze[[#This Row],[BR]]/Mecze[[#This Row],[CZAS]])</f>
        <v>0</v>
      </c>
      <c r="S1037" s="44">
        <f>IF(Mecze[[#This Row],[Role]]="BR",SUMPRODUCT(Mecze[[#This Row],[/PR:90]:[/BR:90]],Brudnopis!$E$23:$J$23),0)</f>
        <v>0</v>
      </c>
      <c r="T1037" s="44">
        <f>IF(Mecze[[#This Row],[Role]]&lt;&gt;"BR",SUMPRODUCT(Mecze[[#This Row],[/PR:90]:[/BR:90]],Brudnopis!$E$24:$J$24),0)</f>
        <v>0.28125</v>
      </c>
      <c r="U1037" s="44">
        <f>IF(Mecze[[#This Row],[Role]]&lt;&gt;"BR",SUMPRODUCT(Mecze[[#This Row],[/PR:90]:[/BR:90]],Brudnopis!$E$25:$J$25),0)</f>
        <v>0.30208333333333331</v>
      </c>
      <c r="V1037" s="44">
        <f>IF(Mecze[[#This Row],[Role]]&lt;&gt;"BR",SUMPRODUCT(Mecze[[#This Row],[/PR:90]:[/BR:90]],Brudnopis!$E$26:$J$26),0)</f>
        <v>0.25</v>
      </c>
      <c r="W1037" s="44">
        <f>IF(Mecze[[#This Row],[Role]]&lt;&gt;"BR",SUMPRODUCT(Mecze[[#This Row],[/PR:90]:[/BR:90]],Brudnopis!$E$27:$J$27),0)</f>
        <v>0.265625</v>
      </c>
      <c r="X1037" s="44">
        <f>IF(Mecze[[#This Row],[Role]]&lt;&gt;"BR",SUMPRODUCT(Mecze[[#This Row],[/PR:90]:[/BR:90]],Brudnopis!$E$28:$J$28),0)</f>
        <v>0.10416666666666667</v>
      </c>
      <c r="Y1037" s="35">
        <f>IF(Mecze[[#This Row],[Role]]="BR",Mecze[[#This Row],[/OB:90]]+Mecze[[#This Row],[/PC:90]],SUM(Mecze[[#This Row],[/PR:90]:[/BR:90]]))</f>
        <v>0.25</v>
      </c>
      <c r="Z1037" s="35">
        <f>IF(Mecze[[#This Row],[KC]]=0,SUM(Mecze[[#This Row],[/BRI]:[/NPI]]),SUM(Mecze[[#This Row],[/BRI]:[/NPI]])*0.6)</f>
        <v>1.203125</v>
      </c>
      <c r="AA1037" s="10">
        <f>IFERROR(Mecze[[#This Row],[BR]]/Mecze[[#This Row],[ST]],0)</f>
        <v>0</v>
      </c>
      <c r="AB1037">
        <f>ROUND(Mecze[[#This Row],[PD]]*Mecze[[#This Row],[%PC]],0)</f>
        <v>10</v>
      </c>
      <c r="AC1037">
        <f>ROUND(Mecze[[#This Row],[OD]]*Mecze[[#This Row],[%OU]],0)</f>
        <v>6</v>
      </c>
      <c r="AD1037" s="36" t="s">
        <v>174</v>
      </c>
      <c r="AE1037" s="36">
        <v>58</v>
      </c>
      <c r="AF1037" s="71">
        <v>6.72</v>
      </c>
      <c r="AG1037" s="37">
        <v>0</v>
      </c>
      <c r="AH1037" s="37">
        <v>0</v>
      </c>
      <c r="AI1037" s="37">
        <v>96</v>
      </c>
      <c r="AJ1037" s="37">
        <v>2</v>
      </c>
      <c r="AK1037" s="37" t="str">
        <f>VLOOKUP(Mecze[[#This Row],[Match ID]],Meczusie[Mecz]:Meczusie[RodzajMeczu],2,FALSE)</f>
        <v>Liga</v>
      </c>
    </row>
    <row r="1038" spans="1:37" x14ac:dyDescent="0.25">
      <c r="A1038" s="76">
        <v>2</v>
      </c>
      <c r="B1038" s="3" t="s">
        <v>224</v>
      </c>
      <c r="C1038" s="2" t="s">
        <v>157</v>
      </c>
      <c r="D1038" s="1">
        <v>0</v>
      </c>
      <c r="E1038" s="1">
        <v>0</v>
      </c>
      <c r="F1038" s="1">
        <v>0</v>
      </c>
      <c r="G1038" s="1">
        <v>1</v>
      </c>
      <c r="H1038" s="4">
        <v>1</v>
      </c>
      <c r="I1038" s="1">
        <v>1</v>
      </c>
      <c r="J1038" s="4">
        <v>1</v>
      </c>
      <c r="K1038" s="1">
        <v>0</v>
      </c>
      <c r="L1038" s="1">
        <v>0</v>
      </c>
      <c r="M1038" s="32">
        <f>IF(Mecze[[#This Row],[PR]]=0,0,Mecze[[#This Row],[PR]]/Mecze[[#This Row],[CZAS]])</f>
        <v>0</v>
      </c>
      <c r="N1038" s="32">
        <f>IF(Mecze[[#This Row],[OU]]=0,0,Mecze[[#This Row],[OU]]/Mecze[[#This Row],[CZAS]])</f>
        <v>1.0416666666666666E-2</v>
      </c>
      <c r="O1038" s="32">
        <f>IF(Mecze[[#This Row],[PC]]=0,0,Mecze[[#This Row],[PC]]/Mecze[[#This Row],[CZAS]])</f>
        <v>1.0416666666666666E-2</v>
      </c>
      <c r="P1038" s="32">
        <f>IF(Mecze[[#This Row],[SC]]=0,0,Mecze[[#This Row],[SC]]/Mecze[[#This Row],[CZAS]])</f>
        <v>0</v>
      </c>
      <c r="Q1038" s="32">
        <f>IF(Mecze[[#This Row],[OB]]=0,0,Mecze[[#This Row],[OB]]/Mecze[[#This Row],[CZAS]])</f>
        <v>0</v>
      </c>
      <c r="R1038" s="32">
        <f>IF(Mecze[[#This Row],[BR]]=0,0,Mecze[[#This Row],[BR]]/Mecze[[#This Row],[CZAS]])</f>
        <v>0</v>
      </c>
      <c r="S1038" s="44">
        <f>IF(Mecze[[#This Row],[Role]]="BR",SUMPRODUCT(Mecze[[#This Row],[/PR:90]:[/BR:90]],Brudnopis!$E$23:$J$23),0)</f>
        <v>0</v>
      </c>
      <c r="T1038" s="44">
        <f>IF(Mecze[[#This Row],[Role]]&lt;&gt;"BR",SUMPRODUCT(Mecze[[#This Row],[/PR:90]:[/BR:90]],Brudnopis!$E$24:$J$24),0)</f>
        <v>2.6041666666666664E-2</v>
      </c>
      <c r="U1038" s="44">
        <f>IF(Mecze[[#This Row],[Role]]&lt;&gt;"BR",SUMPRODUCT(Mecze[[#This Row],[/PR:90]:[/BR:90]],Brudnopis!$E$25:$J$25),0)</f>
        <v>2.6041666666666664E-2</v>
      </c>
      <c r="V1038" s="44">
        <f>IF(Mecze[[#This Row],[Role]]&lt;&gt;"BR",SUMPRODUCT(Mecze[[#This Row],[/PR:90]:[/BR:90]],Brudnopis!$E$26:$J$26),0)</f>
        <v>2.0833333333333332E-2</v>
      </c>
      <c r="W1038" s="44">
        <f>IF(Mecze[[#This Row],[Role]]&lt;&gt;"BR",SUMPRODUCT(Mecze[[#This Row],[/PR:90]:[/BR:90]],Brudnopis!$E$27:$J$27),0)</f>
        <v>2.34375E-2</v>
      </c>
      <c r="X1038" s="44">
        <f>IF(Mecze[[#This Row],[Role]]&lt;&gt;"BR",SUMPRODUCT(Mecze[[#This Row],[/PR:90]:[/BR:90]],Brudnopis!$E$28:$J$28),0)</f>
        <v>1.0416666666666666E-2</v>
      </c>
      <c r="Y1038" s="35">
        <f>IF(Mecze[[#This Row],[Role]]="BR",Mecze[[#This Row],[/OB:90]]+Mecze[[#This Row],[/PC:90]],SUM(Mecze[[#This Row],[/PR:90]:[/BR:90]]))</f>
        <v>2.0833333333333332E-2</v>
      </c>
      <c r="Z1038" s="35">
        <f>IF(Mecze[[#This Row],[KC]]=0,SUM(Mecze[[#This Row],[/BRI]:[/NPI]]),SUM(Mecze[[#This Row],[/BRI]:[/NPI]])*0.6)</f>
        <v>0.10677083333333333</v>
      </c>
      <c r="AA1038" s="10">
        <f>IFERROR(Mecze[[#This Row],[BR]]/Mecze[[#This Row],[ST]],0)</f>
        <v>0</v>
      </c>
      <c r="AB1038">
        <f>ROUND(Mecze[[#This Row],[PD]]*Mecze[[#This Row],[%PC]],0)</f>
        <v>1</v>
      </c>
      <c r="AC1038">
        <f>ROUND(Mecze[[#This Row],[OD]]*Mecze[[#This Row],[%OU]],0)</f>
        <v>1</v>
      </c>
      <c r="AD1038" s="36" t="s">
        <v>175</v>
      </c>
      <c r="AE1038" s="36">
        <v>58</v>
      </c>
      <c r="AF1038" s="71">
        <v>3.92</v>
      </c>
      <c r="AG1038" s="37">
        <v>0</v>
      </c>
      <c r="AH1038" s="37">
        <v>0</v>
      </c>
      <c r="AI1038" s="37">
        <v>96</v>
      </c>
      <c r="AJ1038" s="37">
        <v>2</v>
      </c>
      <c r="AK1038" s="37" t="str">
        <f>VLOOKUP(Mecze[[#This Row],[Match ID]],Meczusie[Mecz]:Meczusie[RodzajMeczu],2,FALSE)</f>
        <v>Liga</v>
      </c>
    </row>
    <row r="1039" spans="1:37" x14ac:dyDescent="0.25">
      <c r="A1039" s="76">
        <v>7</v>
      </c>
      <c r="B1039" s="3" t="s">
        <v>226</v>
      </c>
      <c r="C1039" s="2" t="s">
        <v>160</v>
      </c>
      <c r="D1039" s="1">
        <v>2</v>
      </c>
      <c r="E1039" s="1">
        <v>2</v>
      </c>
      <c r="F1039" s="1">
        <v>2</v>
      </c>
      <c r="G1039" s="1">
        <v>16</v>
      </c>
      <c r="H1039" s="4">
        <v>0.81</v>
      </c>
      <c r="I1039" s="1">
        <v>2</v>
      </c>
      <c r="J1039" s="4">
        <v>0</v>
      </c>
      <c r="K1039" s="1">
        <v>0</v>
      </c>
      <c r="L1039" s="1">
        <v>3</v>
      </c>
      <c r="M1039" s="32">
        <f>IF(Mecze[[#This Row],[PR]]=0,0,Mecze[[#This Row],[PR]]/Mecze[[#This Row],[CZAS]])</f>
        <v>3.125E-2</v>
      </c>
      <c r="N1039" s="32">
        <f>IF(Mecze[[#This Row],[OU]]=0,0,Mecze[[#This Row],[OU]]/Mecze[[#This Row],[CZAS]])</f>
        <v>0</v>
      </c>
      <c r="O1039" s="32">
        <f>IF(Mecze[[#This Row],[PC]]=0,0,Mecze[[#This Row],[PC]]/Mecze[[#This Row],[CZAS]])</f>
        <v>0.13541666666666666</v>
      </c>
      <c r="P1039" s="32">
        <f>IF(Mecze[[#This Row],[SC]]=0,0,Mecze[[#This Row],[SC]]/Mecze[[#This Row],[CZAS]])</f>
        <v>2.0833333333333332E-2</v>
      </c>
      <c r="Q1039" s="32">
        <f>IF(Mecze[[#This Row],[OB]]=0,0,Mecze[[#This Row],[OB]]/Mecze[[#This Row],[CZAS]])</f>
        <v>0</v>
      </c>
      <c r="R1039" s="32">
        <f>IF(Mecze[[#This Row],[BR]]=0,0,Mecze[[#This Row],[BR]]/Mecze[[#This Row],[CZAS]])</f>
        <v>2.0833333333333332E-2</v>
      </c>
      <c r="S1039" s="44">
        <f>IF(Mecze[[#This Row],[Role]]="BR",SUMPRODUCT(Mecze[[#This Row],[/PR:90]:[/BR:90]],Brudnopis!$E$23:$J$23),0)</f>
        <v>0</v>
      </c>
      <c r="T1039" s="44">
        <f>IF(Mecze[[#This Row],[Role]]&lt;&gt;"BR",SUMPRODUCT(Mecze[[#This Row],[/PR:90]:[/BR:90]],Brudnopis!$E$24:$J$24),0)</f>
        <v>0.21875</v>
      </c>
      <c r="U1039" s="44">
        <f>IF(Mecze[[#This Row],[Role]]&lt;&gt;"BR",SUMPRODUCT(Mecze[[#This Row],[/PR:90]:[/BR:90]],Brudnopis!$E$25:$J$25),0)</f>
        <v>0.28645833333333331</v>
      </c>
      <c r="V1039" s="44">
        <f>IF(Mecze[[#This Row],[Role]]&lt;&gt;"BR",SUMPRODUCT(Mecze[[#This Row],[/PR:90]:[/BR:90]],Brudnopis!$E$26:$J$26),0)</f>
        <v>0.22916666666666666</v>
      </c>
      <c r="W1039" s="44">
        <f>IF(Mecze[[#This Row],[Role]]&lt;&gt;"BR",SUMPRODUCT(Mecze[[#This Row],[/PR:90]:[/BR:90]],Brudnopis!$E$27:$J$27),0)</f>
        <v>0.2890625</v>
      </c>
      <c r="X1039" s="44">
        <f>IF(Mecze[[#This Row],[Role]]&lt;&gt;"BR",SUMPRODUCT(Mecze[[#This Row],[/PR:90]:[/BR:90]],Brudnopis!$E$28:$J$28),0)</f>
        <v>0.23958333333333331</v>
      </c>
      <c r="Y1039" s="35">
        <f>IF(Mecze[[#This Row],[Role]]="BR",Mecze[[#This Row],[/OB:90]]+Mecze[[#This Row],[/PC:90]],SUM(Mecze[[#This Row],[/PR:90]:[/BR:90]]))</f>
        <v>0.20833333333333334</v>
      </c>
      <c r="Z1039" s="35">
        <f>IF(Mecze[[#This Row],[KC]]=0,SUM(Mecze[[#This Row],[/BRI]:[/NPI]]),SUM(Mecze[[#This Row],[/BRI]:[/NPI]])*0.6)</f>
        <v>1.2630208333333333</v>
      </c>
      <c r="AA1039" s="10">
        <f>IFERROR(Mecze[[#This Row],[BR]]/Mecze[[#This Row],[ST]],0)</f>
        <v>1</v>
      </c>
      <c r="AB1039">
        <f>ROUND(Mecze[[#This Row],[PD]]*Mecze[[#This Row],[%PC]],0)</f>
        <v>13</v>
      </c>
      <c r="AC1039">
        <f>ROUND(Mecze[[#This Row],[OD]]*Mecze[[#This Row],[%OU]],0)</f>
        <v>0</v>
      </c>
      <c r="AD1039" s="36" t="s">
        <v>41</v>
      </c>
      <c r="AE1039" s="36">
        <v>58</v>
      </c>
      <c r="AF1039" s="71">
        <v>11.35</v>
      </c>
      <c r="AG1039" s="37">
        <v>0</v>
      </c>
      <c r="AH1039" s="37">
        <v>0</v>
      </c>
      <c r="AI1039" s="37">
        <v>96</v>
      </c>
      <c r="AJ1039" s="37">
        <v>2</v>
      </c>
      <c r="AK1039" s="37" t="str">
        <f>VLOOKUP(Mecze[[#This Row],[Match ID]],Meczusie[Mecz]:Meczusie[RodzajMeczu],2,FALSE)</f>
        <v>Liga</v>
      </c>
    </row>
    <row r="1040" spans="1:37" x14ac:dyDescent="0.25">
      <c r="A1040" s="76">
        <v>6</v>
      </c>
      <c r="B1040" s="3" t="s">
        <v>225</v>
      </c>
      <c r="C1040" s="2" t="s">
        <v>160</v>
      </c>
      <c r="D1040" s="1">
        <v>0</v>
      </c>
      <c r="E1040" s="1">
        <v>0</v>
      </c>
      <c r="F1040" s="1">
        <v>0</v>
      </c>
      <c r="G1040" s="1">
        <v>8</v>
      </c>
      <c r="H1040" s="4">
        <v>0.88</v>
      </c>
      <c r="I1040" s="1">
        <v>5</v>
      </c>
      <c r="J1040" s="4">
        <v>0.2</v>
      </c>
      <c r="K1040" s="1">
        <v>0</v>
      </c>
      <c r="L1040" s="1">
        <v>3</v>
      </c>
      <c r="M1040" s="32">
        <f>IF(Mecze[[#This Row],[PR]]=0,0,Mecze[[#This Row],[PR]]/Mecze[[#This Row],[CZAS]])</f>
        <v>3.125E-2</v>
      </c>
      <c r="N1040" s="32">
        <f>IF(Mecze[[#This Row],[OU]]=0,0,Mecze[[#This Row],[OU]]/Mecze[[#This Row],[CZAS]])</f>
        <v>1.0416666666666666E-2</v>
      </c>
      <c r="O1040" s="32">
        <f>IF(Mecze[[#This Row],[PC]]=0,0,Mecze[[#This Row],[PC]]/Mecze[[#This Row],[CZAS]])</f>
        <v>7.2916666666666671E-2</v>
      </c>
      <c r="P1040" s="32">
        <f>IF(Mecze[[#This Row],[SC]]=0,0,Mecze[[#This Row],[SC]]/Mecze[[#This Row],[CZAS]])</f>
        <v>0</v>
      </c>
      <c r="Q1040" s="32">
        <f>IF(Mecze[[#This Row],[OB]]=0,0,Mecze[[#This Row],[OB]]/Mecze[[#This Row],[CZAS]])</f>
        <v>0</v>
      </c>
      <c r="R1040" s="32">
        <f>IF(Mecze[[#This Row],[BR]]=0,0,Mecze[[#This Row],[BR]]/Mecze[[#This Row],[CZAS]])</f>
        <v>0</v>
      </c>
      <c r="S1040" s="44">
        <f>IF(Mecze[[#This Row],[Role]]="BR",SUMPRODUCT(Mecze[[#This Row],[/PR:90]:[/BR:90]],Brudnopis!$E$23:$J$23),0)</f>
        <v>0</v>
      </c>
      <c r="T1040" s="44">
        <f>IF(Mecze[[#This Row],[Role]]&lt;&gt;"BR",SUMPRODUCT(Mecze[[#This Row],[/PR:90]:[/BR:90]],Brudnopis!$E$24:$J$24),0)</f>
        <v>0.11979166666666667</v>
      </c>
      <c r="U1040" s="44">
        <f>IF(Mecze[[#This Row],[Role]]&lt;&gt;"BR",SUMPRODUCT(Mecze[[#This Row],[/PR:90]:[/BR:90]],Brudnopis!$E$25:$J$25),0)</f>
        <v>0.15104166666666666</v>
      </c>
      <c r="V1040" s="44">
        <f>IF(Mecze[[#This Row],[Role]]&lt;&gt;"BR",SUMPRODUCT(Mecze[[#This Row],[/PR:90]:[/BR:90]],Brudnopis!$E$26:$J$26),0)</f>
        <v>0.11458333333333334</v>
      </c>
      <c r="W1040" s="44">
        <f>IF(Mecze[[#This Row],[Role]]&lt;&gt;"BR",SUMPRODUCT(Mecze[[#This Row],[/PR:90]:[/BR:90]],Brudnopis!$E$27:$J$27),0)</f>
        <v>0.140625</v>
      </c>
      <c r="X1040" s="44">
        <f>IF(Mecze[[#This Row],[Role]]&lt;&gt;"BR",SUMPRODUCT(Mecze[[#This Row],[/PR:90]:[/BR:90]],Brudnopis!$E$28:$J$28),0)</f>
        <v>7.2916666666666671E-2</v>
      </c>
      <c r="Y1040" s="35">
        <f>IF(Mecze[[#This Row],[Role]]="BR",Mecze[[#This Row],[/OB:90]]+Mecze[[#This Row],[/PC:90]],SUM(Mecze[[#This Row],[/PR:90]:[/BR:90]]))</f>
        <v>0.11458333333333334</v>
      </c>
      <c r="Z1040" s="35">
        <f>IF(Mecze[[#This Row],[KC]]=0,SUM(Mecze[[#This Row],[/BRI]:[/NPI]]),SUM(Mecze[[#This Row],[/BRI]:[/NPI]])*0.6)</f>
        <v>0.59895833333333326</v>
      </c>
      <c r="AA1040" s="10">
        <f>IFERROR(Mecze[[#This Row],[BR]]/Mecze[[#This Row],[ST]],0)</f>
        <v>0</v>
      </c>
      <c r="AB1040">
        <f>ROUND(Mecze[[#This Row],[PD]]*Mecze[[#This Row],[%PC]],0)</f>
        <v>7</v>
      </c>
      <c r="AC1040">
        <f>ROUND(Mecze[[#This Row],[OD]]*Mecze[[#This Row],[%OU]],0)</f>
        <v>1</v>
      </c>
      <c r="AD1040" s="36" t="s">
        <v>41</v>
      </c>
      <c r="AE1040" s="36">
        <v>58</v>
      </c>
      <c r="AF1040" s="71">
        <v>6.67</v>
      </c>
      <c r="AG1040" s="37">
        <v>0</v>
      </c>
      <c r="AH1040" s="37">
        <v>0</v>
      </c>
      <c r="AI1040" s="37">
        <v>96</v>
      </c>
      <c r="AJ1040" s="37">
        <v>2</v>
      </c>
      <c r="AK1040" s="37" t="str">
        <f>VLOOKUP(Mecze[[#This Row],[Match ID]],Meczusie[Mecz]:Meczusie[RodzajMeczu],2,FALSE)</f>
        <v>Liga</v>
      </c>
    </row>
    <row r="1041" spans="1:37" x14ac:dyDescent="0.25">
      <c r="A1041" s="76">
        <v>9</v>
      </c>
      <c r="B1041" s="3" t="s">
        <v>227</v>
      </c>
      <c r="C1041" s="2" t="s">
        <v>160</v>
      </c>
      <c r="D1041" s="1">
        <v>0</v>
      </c>
      <c r="E1041" s="1">
        <v>0</v>
      </c>
      <c r="F1041" s="1">
        <v>0</v>
      </c>
      <c r="G1041" s="1">
        <v>8</v>
      </c>
      <c r="H1041" s="4">
        <v>0.5</v>
      </c>
      <c r="I1041" s="1">
        <v>3</v>
      </c>
      <c r="J1041" s="4">
        <v>0.33</v>
      </c>
      <c r="K1041" s="1">
        <v>0</v>
      </c>
      <c r="L1041" s="1">
        <v>2</v>
      </c>
      <c r="M1041" s="32">
        <f>IF(Mecze[[#This Row],[PR]]=0,0,Mecze[[#This Row],[PR]]/Mecze[[#This Row],[CZAS]])</f>
        <v>2.0833333333333332E-2</v>
      </c>
      <c r="N1041" s="32">
        <f>IF(Mecze[[#This Row],[OU]]=0,0,Mecze[[#This Row],[OU]]/Mecze[[#This Row],[CZAS]])</f>
        <v>1.0416666666666666E-2</v>
      </c>
      <c r="O1041" s="32">
        <f>IF(Mecze[[#This Row],[PC]]=0,0,Mecze[[#This Row],[PC]]/Mecze[[#This Row],[CZAS]])</f>
        <v>4.1666666666666664E-2</v>
      </c>
      <c r="P1041" s="32">
        <f>IF(Mecze[[#This Row],[SC]]=0,0,Mecze[[#This Row],[SC]]/Mecze[[#This Row],[CZAS]])</f>
        <v>0</v>
      </c>
      <c r="Q1041" s="32">
        <f>IF(Mecze[[#This Row],[OB]]=0,0,Mecze[[#This Row],[OB]]/Mecze[[#This Row],[CZAS]])</f>
        <v>0</v>
      </c>
      <c r="R1041" s="32">
        <f>IF(Mecze[[#This Row],[BR]]=0,0,Mecze[[#This Row],[BR]]/Mecze[[#This Row],[CZAS]])</f>
        <v>0</v>
      </c>
      <c r="S1041" s="44">
        <f>IF(Mecze[[#This Row],[Role]]="BR",SUMPRODUCT(Mecze[[#This Row],[/PR:90]:[/BR:90]],Brudnopis!$E$23:$J$23),0)</f>
        <v>0</v>
      </c>
      <c r="T1041" s="44">
        <f>IF(Mecze[[#This Row],[Role]]&lt;&gt;"BR",SUMPRODUCT(Mecze[[#This Row],[/PR:90]:[/BR:90]],Brudnopis!$E$24:$J$24),0)</f>
        <v>7.8125E-2</v>
      </c>
      <c r="U1041" s="44">
        <f>IF(Mecze[[#This Row],[Role]]&lt;&gt;"BR",SUMPRODUCT(Mecze[[#This Row],[/PR:90]:[/BR:90]],Brudnopis!$E$25:$J$25),0)</f>
        <v>9.375E-2</v>
      </c>
      <c r="V1041" s="44">
        <f>IF(Mecze[[#This Row],[Role]]&lt;&gt;"BR",SUMPRODUCT(Mecze[[#This Row],[/PR:90]:[/BR:90]],Brudnopis!$E$26:$J$26),0)</f>
        <v>7.2916666666666657E-2</v>
      </c>
      <c r="W1041" s="44">
        <f>IF(Mecze[[#This Row],[Role]]&lt;&gt;"BR",SUMPRODUCT(Mecze[[#This Row],[/PR:90]:[/BR:90]],Brudnopis!$E$27:$J$27),0)</f>
        <v>8.59375E-2</v>
      </c>
      <c r="X1041" s="44">
        <f>IF(Mecze[[#This Row],[Role]]&lt;&gt;"BR",SUMPRODUCT(Mecze[[#This Row],[/PR:90]:[/BR:90]],Brudnopis!$E$28:$J$28),0)</f>
        <v>4.1666666666666664E-2</v>
      </c>
      <c r="Y1041" s="35">
        <f>IF(Mecze[[#This Row],[Role]]="BR",Mecze[[#This Row],[/OB:90]]+Mecze[[#This Row],[/PC:90]],SUM(Mecze[[#This Row],[/PR:90]:[/BR:90]]))</f>
        <v>7.2916666666666657E-2</v>
      </c>
      <c r="Z1041" s="35">
        <f>IF(Mecze[[#This Row],[KC]]=0,SUM(Mecze[[#This Row],[/BRI]:[/NPI]]),SUM(Mecze[[#This Row],[/BRI]:[/NPI]])*0.6)</f>
        <v>0.37239583333333331</v>
      </c>
      <c r="AA1041" s="10">
        <f>IFERROR(Mecze[[#This Row],[BR]]/Mecze[[#This Row],[ST]],0)</f>
        <v>0</v>
      </c>
      <c r="AB1041">
        <f>ROUND(Mecze[[#This Row],[PD]]*Mecze[[#This Row],[%PC]],0)</f>
        <v>4</v>
      </c>
      <c r="AC1041">
        <f>ROUND(Mecze[[#This Row],[OD]]*Mecze[[#This Row],[%OU]],0)</f>
        <v>1</v>
      </c>
      <c r="AD1041" s="36" t="s">
        <v>67</v>
      </c>
      <c r="AE1041" s="36">
        <v>58</v>
      </c>
      <c r="AF1041" s="71">
        <v>5.55</v>
      </c>
      <c r="AG1041" s="37">
        <v>0</v>
      </c>
      <c r="AH1041" s="37">
        <v>0</v>
      </c>
      <c r="AI1041" s="37">
        <v>96</v>
      </c>
      <c r="AJ1041" s="37">
        <v>2</v>
      </c>
      <c r="AK1041" s="37" t="str">
        <f>VLOOKUP(Mecze[[#This Row],[Match ID]],Meczusie[Mecz]:Meczusie[RodzajMeczu],2,FALSE)</f>
        <v>Liga</v>
      </c>
    </row>
    <row r="1042" spans="1:37" x14ac:dyDescent="0.25">
      <c r="A1042" s="76">
        <v>8</v>
      </c>
      <c r="B1042" s="3" t="s">
        <v>228</v>
      </c>
      <c r="C1042" s="2" t="s">
        <v>160</v>
      </c>
      <c r="D1042" s="1">
        <v>0</v>
      </c>
      <c r="E1042" s="1">
        <v>0</v>
      </c>
      <c r="F1042" s="1">
        <v>0</v>
      </c>
      <c r="G1042" s="1">
        <v>12</v>
      </c>
      <c r="H1042" s="4">
        <v>0.57999999999999996</v>
      </c>
      <c r="I1042" s="1">
        <v>6</v>
      </c>
      <c r="J1042" s="4">
        <v>0.67</v>
      </c>
      <c r="K1042" s="1">
        <v>0</v>
      </c>
      <c r="L1042" s="1">
        <v>5</v>
      </c>
      <c r="M1042" s="32">
        <f>IF(Mecze[[#This Row],[PR]]=0,0,Mecze[[#This Row],[PR]]/Mecze[[#This Row],[CZAS]])</f>
        <v>5.2083333333333336E-2</v>
      </c>
      <c r="N1042" s="32">
        <f>IF(Mecze[[#This Row],[OU]]=0,0,Mecze[[#This Row],[OU]]/Mecze[[#This Row],[CZAS]])</f>
        <v>4.1666666666666664E-2</v>
      </c>
      <c r="O1042" s="32">
        <f>IF(Mecze[[#This Row],[PC]]=0,0,Mecze[[#This Row],[PC]]/Mecze[[#This Row],[CZAS]])</f>
        <v>7.2916666666666671E-2</v>
      </c>
      <c r="P1042" s="32">
        <f>IF(Mecze[[#This Row],[SC]]=0,0,Mecze[[#This Row],[SC]]/Mecze[[#This Row],[CZAS]])</f>
        <v>0</v>
      </c>
      <c r="Q1042" s="32">
        <f>IF(Mecze[[#This Row],[OB]]=0,0,Mecze[[#This Row],[OB]]/Mecze[[#This Row],[CZAS]])</f>
        <v>0</v>
      </c>
      <c r="R1042" s="32">
        <f>IF(Mecze[[#This Row],[BR]]=0,0,Mecze[[#This Row],[BR]]/Mecze[[#This Row],[CZAS]])</f>
        <v>0</v>
      </c>
      <c r="S1042" s="44">
        <f>IF(Mecze[[#This Row],[Role]]="BR",SUMPRODUCT(Mecze[[#This Row],[/PR:90]:[/BR:90]],Brudnopis!$E$23:$J$23),0)</f>
        <v>0</v>
      </c>
      <c r="T1042" s="44">
        <f>IF(Mecze[[#This Row],[Role]]&lt;&gt;"BR",SUMPRODUCT(Mecze[[#This Row],[/PR:90]:[/BR:90]],Brudnopis!$E$24:$J$24),0)</f>
        <v>0.1875</v>
      </c>
      <c r="U1042" s="44">
        <f>IF(Mecze[[#This Row],[Role]]&lt;&gt;"BR",SUMPRODUCT(Mecze[[#This Row],[/PR:90]:[/BR:90]],Brudnopis!$E$25:$J$25),0)</f>
        <v>0.203125</v>
      </c>
      <c r="V1042" s="44">
        <f>IF(Mecze[[#This Row],[Role]]&lt;&gt;"BR",SUMPRODUCT(Mecze[[#This Row],[/PR:90]:[/BR:90]],Brudnopis!$E$26:$J$26),0)</f>
        <v>0.16666666666666669</v>
      </c>
      <c r="W1042" s="44">
        <f>IF(Mecze[[#This Row],[Role]]&lt;&gt;"BR",SUMPRODUCT(Mecze[[#This Row],[/PR:90]:[/BR:90]],Brudnopis!$E$27:$J$27),0)</f>
        <v>0.1796875</v>
      </c>
      <c r="X1042" s="44">
        <f>IF(Mecze[[#This Row],[Role]]&lt;&gt;"BR",SUMPRODUCT(Mecze[[#This Row],[/PR:90]:[/BR:90]],Brudnopis!$E$28:$J$28),0)</f>
        <v>7.2916666666666671E-2</v>
      </c>
      <c r="Y1042" s="35">
        <f>IF(Mecze[[#This Row],[Role]]="BR",Mecze[[#This Row],[/OB:90]]+Mecze[[#This Row],[/PC:90]],SUM(Mecze[[#This Row],[/PR:90]:[/BR:90]]))</f>
        <v>0.16666666666666669</v>
      </c>
      <c r="Z1042" s="35">
        <f>IF(Mecze[[#This Row],[KC]]=0,SUM(Mecze[[#This Row],[/BRI]:[/NPI]]),SUM(Mecze[[#This Row],[/BRI]:[/NPI]])*0.6)</f>
        <v>0.80989583333333337</v>
      </c>
      <c r="AA1042" s="10">
        <f>IFERROR(Mecze[[#This Row],[BR]]/Mecze[[#This Row],[ST]],0)</f>
        <v>0</v>
      </c>
      <c r="AB1042">
        <f>ROUND(Mecze[[#This Row],[PD]]*Mecze[[#This Row],[%PC]],0)</f>
        <v>7</v>
      </c>
      <c r="AC1042">
        <f>ROUND(Mecze[[#This Row],[OD]]*Mecze[[#This Row],[%OU]],0)</f>
        <v>4</v>
      </c>
      <c r="AD1042" s="36" t="s">
        <v>171</v>
      </c>
      <c r="AE1042" s="36">
        <v>58</v>
      </c>
      <c r="AF1042" s="71">
        <v>6.18</v>
      </c>
      <c r="AG1042" s="37">
        <v>0</v>
      </c>
      <c r="AH1042" s="37">
        <v>0</v>
      </c>
      <c r="AI1042" s="37">
        <v>96</v>
      </c>
      <c r="AJ1042" s="37">
        <v>2</v>
      </c>
      <c r="AK1042" s="37" t="str">
        <f>VLOOKUP(Mecze[[#This Row],[Match ID]],Meczusie[Mecz]:Meczusie[RodzajMeczu],2,FALSE)</f>
        <v>Liga</v>
      </c>
    </row>
    <row r="1043" spans="1:37" x14ac:dyDescent="0.25">
      <c r="A1043" s="76">
        <v>11</v>
      </c>
      <c r="B1043" s="3" t="s">
        <v>229</v>
      </c>
      <c r="C1043" s="2" t="s">
        <v>165</v>
      </c>
      <c r="D1043" s="1">
        <v>2</v>
      </c>
      <c r="E1043" s="1">
        <v>5</v>
      </c>
      <c r="F1043" s="1">
        <v>4</v>
      </c>
      <c r="G1043" s="1">
        <v>2</v>
      </c>
      <c r="H1043" s="4">
        <v>1</v>
      </c>
      <c r="I1043" s="1">
        <v>2</v>
      </c>
      <c r="J1043" s="4">
        <v>0</v>
      </c>
      <c r="K1043" s="1">
        <v>0</v>
      </c>
      <c r="L1043" s="1">
        <v>0</v>
      </c>
      <c r="M1043" s="32">
        <f>IF(Mecze[[#This Row],[PR]]=0,0,Mecze[[#This Row],[PR]]/Mecze[[#This Row],[CZAS]])</f>
        <v>0</v>
      </c>
      <c r="N1043" s="32">
        <f>IF(Mecze[[#This Row],[OU]]=0,0,Mecze[[#This Row],[OU]]/Mecze[[#This Row],[CZAS]])</f>
        <v>0</v>
      </c>
      <c r="O1043" s="32">
        <f>IF(Mecze[[#This Row],[PC]]=0,0,Mecze[[#This Row],[PC]]/Mecze[[#This Row],[CZAS]])</f>
        <v>3.4482758620689655E-2</v>
      </c>
      <c r="P1043" s="32">
        <f>IF(Mecze[[#This Row],[SC]]=0,0,Mecze[[#This Row],[SC]]/Mecze[[#This Row],[CZAS]])</f>
        <v>6.8965517241379309E-2</v>
      </c>
      <c r="Q1043" s="32">
        <f>IF(Mecze[[#This Row],[OB]]=0,0,Mecze[[#This Row],[OB]]/Mecze[[#This Row],[CZAS]])</f>
        <v>0</v>
      </c>
      <c r="R1043" s="32">
        <f>IF(Mecze[[#This Row],[BR]]=0,0,Mecze[[#This Row],[BR]]/Mecze[[#This Row],[CZAS]])</f>
        <v>3.4482758620689655E-2</v>
      </c>
      <c r="S1043" s="44">
        <f>IF(Mecze[[#This Row],[Role]]="BR",SUMPRODUCT(Mecze[[#This Row],[/PR:90]:[/BR:90]],Brudnopis!$E$23:$J$23),0)</f>
        <v>0</v>
      </c>
      <c r="T1043" s="44">
        <f>IF(Mecze[[#This Row],[Role]]&lt;&gt;"BR",SUMPRODUCT(Mecze[[#This Row],[/PR:90]:[/BR:90]],Brudnopis!$E$24:$J$24),0)</f>
        <v>0.15517241379310345</v>
      </c>
      <c r="U1043" s="44">
        <f>IF(Mecze[[#This Row],[Role]]&lt;&gt;"BR",SUMPRODUCT(Mecze[[#This Row],[/PR:90]:[/BR:90]],Brudnopis!$E$25:$J$25),0)</f>
        <v>0.17241379310344826</v>
      </c>
      <c r="V1043" s="44">
        <f>IF(Mecze[[#This Row],[Role]]&lt;&gt;"BR",SUMPRODUCT(Mecze[[#This Row],[/PR:90]:[/BR:90]],Brudnopis!$E$26:$J$26),0)</f>
        <v>0.17241379310344829</v>
      </c>
      <c r="W1043" s="44">
        <f>IF(Mecze[[#This Row],[Role]]&lt;&gt;"BR",SUMPRODUCT(Mecze[[#This Row],[/PR:90]:[/BR:90]],Brudnopis!$E$27:$J$27),0)</f>
        <v>0.18965517241379309</v>
      </c>
      <c r="X1043" s="44">
        <f>IF(Mecze[[#This Row],[Role]]&lt;&gt;"BR",SUMPRODUCT(Mecze[[#This Row],[/PR:90]:[/BR:90]],Brudnopis!$E$28:$J$28),0)</f>
        <v>0.27586206896551724</v>
      </c>
      <c r="Y1043" s="35">
        <f>IF(Mecze[[#This Row],[Role]]="BR",Mecze[[#This Row],[/OB:90]]+Mecze[[#This Row],[/PC:90]],SUM(Mecze[[#This Row],[/PR:90]:[/BR:90]]))</f>
        <v>0.13793103448275862</v>
      </c>
      <c r="Z1043" s="35">
        <f>IF(Mecze[[#This Row],[KC]]=0,SUM(Mecze[[#This Row],[/BRI]:[/NPI]]),SUM(Mecze[[#This Row],[/BRI]:[/NPI]])*0.6)</f>
        <v>0.96551724137931039</v>
      </c>
      <c r="AA1043" s="10">
        <f>IFERROR(Mecze[[#This Row],[BR]]/Mecze[[#This Row],[ST]],0)</f>
        <v>0.4</v>
      </c>
      <c r="AB1043">
        <f>ROUND(Mecze[[#This Row],[PD]]*Mecze[[#This Row],[%PC]],0)</f>
        <v>2</v>
      </c>
      <c r="AC1043">
        <f>ROUND(Mecze[[#This Row],[OD]]*Mecze[[#This Row],[%OU]],0)</f>
        <v>0</v>
      </c>
      <c r="AD1043" s="36" t="s">
        <v>46</v>
      </c>
      <c r="AE1043" s="36">
        <v>58</v>
      </c>
      <c r="AF1043" s="71">
        <v>7.2</v>
      </c>
      <c r="AG1043" s="37">
        <v>0</v>
      </c>
      <c r="AH1043" s="37">
        <v>0</v>
      </c>
      <c r="AI1043" s="37">
        <v>58</v>
      </c>
      <c r="AJ1043" s="37">
        <v>2</v>
      </c>
      <c r="AK1043" s="37" t="str">
        <f>VLOOKUP(Mecze[[#This Row],[Match ID]],Meczusie[Mecz]:Meczusie[RodzajMeczu],2,FALSE)</f>
        <v>Liga</v>
      </c>
    </row>
    <row r="1044" spans="1:37" x14ac:dyDescent="0.25">
      <c r="A1044" s="76">
        <v>10</v>
      </c>
      <c r="B1044" s="3" t="s">
        <v>230</v>
      </c>
      <c r="C1044" s="2" t="s">
        <v>165</v>
      </c>
      <c r="D1044" s="1">
        <v>0</v>
      </c>
      <c r="E1044" s="1">
        <v>0</v>
      </c>
      <c r="F1044" s="1">
        <v>0</v>
      </c>
      <c r="G1044" s="1">
        <v>14</v>
      </c>
      <c r="H1044" s="4">
        <v>0.86</v>
      </c>
      <c r="I1044" s="1">
        <v>0</v>
      </c>
      <c r="J1044" s="4"/>
      <c r="K1044" s="1">
        <v>0</v>
      </c>
      <c r="L1044" s="1">
        <v>0</v>
      </c>
      <c r="M1044" s="32">
        <f>IF(Mecze[[#This Row],[PR]]=0,0,Mecze[[#This Row],[PR]]/Mecze[[#This Row],[CZAS]])</f>
        <v>0</v>
      </c>
      <c r="N1044" s="32">
        <f>IF(Mecze[[#This Row],[OU]]=0,0,Mecze[[#This Row],[OU]]/Mecze[[#This Row],[CZAS]])</f>
        <v>0</v>
      </c>
      <c r="O1044" s="32">
        <f>IF(Mecze[[#This Row],[PC]]=0,0,Mecze[[#This Row],[PC]]/Mecze[[#This Row],[CZAS]])</f>
        <v>0.125</v>
      </c>
      <c r="P1044" s="32">
        <f>IF(Mecze[[#This Row],[SC]]=0,0,Mecze[[#This Row],[SC]]/Mecze[[#This Row],[CZAS]])</f>
        <v>0</v>
      </c>
      <c r="Q1044" s="32">
        <f>IF(Mecze[[#This Row],[OB]]=0,0,Mecze[[#This Row],[OB]]/Mecze[[#This Row],[CZAS]])</f>
        <v>0</v>
      </c>
      <c r="R1044" s="32">
        <f>IF(Mecze[[#This Row],[BR]]=0,0,Mecze[[#This Row],[BR]]/Mecze[[#This Row],[CZAS]])</f>
        <v>0</v>
      </c>
      <c r="S1044" s="44">
        <f>IF(Mecze[[#This Row],[Role]]="BR",SUMPRODUCT(Mecze[[#This Row],[/PR:90]:[/BR:90]],Brudnopis!$E$23:$J$23),0)</f>
        <v>0</v>
      </c>
      <c r="T1044" s="44">
        <f>IF(Mecze[[#This Row],[Role]]&lt;&gt;"BR",SUMPRODUCT(Mecze[[#This Row],[/PR:90]:[/BR:90]],Brudnopis!$E$24:$J$24),0)</f>
        <v>0.125</v>
      </c>
      <c r="U1044" s="44">
        <f>IF(Mecze[[#This Row],[Role]]&lt;&gt;"BR",SUMPRODUCT(Mecze[[#This Row],[/PR:90]:[/BR:90]],Brudnopis!$E$25:$J$25),0)</f>
        <v>0.1875</v>
      </c>
      <c r="V1044" s="44">
        <f>IF(Mecze[[#This Row],[Role]]&lt;&gt;"BR",SUMPRODUCT(Mecze[[#This Row],[/PR:90]:[/BR:90]],Brudnopis!$E$26:$J$26),0)</f>
        <v>0.125</v>
      </c>
      <c r="W1044" s="44">
        <f>IF(Mecze[[#This Row],[Role]]&lt;&gt;"BR",SUMPRODUCT(Mecze[[#This Row],[/PR:90]:[/BR:90]],Brudnopis!$E$27:$J$27),0)</f>
        <v>0.1875</v>
      </c>
      <c r="X1044" s="44">
        <f>IF(Mecze[[#This Row],[Role]]&lt;&gt;"BR",SUMPRODUCT(Mecze[[#This Row],[/PR:90]:[/BR:90]],Brudnopis!$E$28:$J$28),0)</f>
        <v>0.125</v>
      </c>
      <c r="Y1044" s="35">
        <f>IF(Mecze[[#This Row],[Role]]="BR",Mecze[[#This Row],[/OB:90]]+Mecze[[#This Row],[/PC:90]],SUM(Mecze[[#This Row],[/PR:90]:[/BR:90]]))</f>
        <v>0.125</v>
      </c>
      <c r="Z1044" s="35">
        <f>IF(Mecze[[#This Row],[KC]]=0,SUM(Mecze[[#This Row],[/BRI]:[/NPI]]),SUM(Mecze[[#This Row],[/BRI]:[/NPI]])*0.6)</f>
        <v>0.75</v>
      </c>
      <c r="AA1044" s="10">
        <f>IFERROR(Mecze[[#This Row],[BR]]/Mecze[[#This Row],[ST]],0)</f>
        <v>0</v>
      </c>
      <c r="AB1044">
        <f>ROUND(Mecze[[#This Row],[PD]]*Mecze[[#This Row],[%PC]],0)</f>
        <v>12</v>
      </c>
      <c r="AC1044">
        <f>ROUND(Mecze[[#This Row],[OD]]*Mecze[[#This Row],[%OU]],0)</f>
        <v>0</v>
      </c>
      <c r="AD1044" s="36" t="s">
        <v>232</v>
      </c>
      <c r="AE1044" s="36">
        <v>58</v>
      </c>
      <c r="AF1044" s="71">
        <v>6.18</v>
      </c>
      <c r="AG1044" s="37">
        <v>0</v>
      </c>
      <c r="AH1044" s="37">
        <v>0</v>
      </c>
      <c r="AI1044" s="37">
        <v>96</v>
      </c>
      <c r="AJ1044" s="37">
        <v>2</v>
      </c>
      <c r="AK1044" s="37" t="str">
        <f>VLOOKUP(Mecze[[#This Row],[Match ID]],Meczusie[Mecz]:Meczusie[RodzajMeczu],2,FALSE)</f>
        <v>Liga</v>
      </c>
    </row>
    <row r="1045" spans="1:37" x14ac:dyDescent="0.25">
      <c r="A1045" s="76">
        <v>12</v>
      </c>
      <c r="B1045" s="3" t="s">
        <v>231</v>
      </c>
      <c r="C1045" s="2" t="s">
        <v>165</v>
      </c>
      <c r="D1045" s="1">
        <v>0</v>
      </c>
      <c r="E1045" s="1">
        <v>4</v>
      </c>
      <c r="F1045" s="1">
        <v>2</v>
      </c>
      <c r="G1045" s="1">
        <v>3</v>
      </c>
      <c r="H1045" s="4">
        <v>0.67</v>
      </c>
      <c r="I1045" s="1">
        <v>2</v>
      </c>
      <c r="J1045" s="4">
        <v>0</v>
      </c>
      <c r="K1045" s="1">
        <v>0</v>
      </c>
      <c r="L1045" s="1">
        <v>2</v>
      </c>
      <c r="M1045" s="32">
        <f>IF(Mecze[[#This Row],[PR]]=0,0,Mecze[[#This Row],[PR]]/Mecze[[#This Row],[CZAS]])</f>
        <v>5.2631578947368418E-2</v>
      </c>
      <c r="N1045" s="32">
        <f>IF(Mecze[[#This Row],[OU]]=0,0,Mecze[[#This Row],[OU]]/Mecze[[#This Row],[CZAS]])</f>
        <v>0</v>
      </c>
      <c r="O1045" s="32">
        <f>IF(Mecze[[#This Row],[PC]]=0,0,Mecze[[#This Row],[PC]]/Mecze[[#This Row],[CZAS]])</f>
        <v>5.2631578947368418E-2</v>
      </c>
      <c r="P1045" s="32">
        <f>IF(Mecze[[#This Row],[SC]]=0,0,Mecze[[#This Row],[SC]]/Mecze[[#This Row],[CZAS]])</f>
        <v>5.2631578947368418E-2</v>
      </c>
      <c r="Q1045" s="32">
        <f>IF(Mecze[[#This Row],[OB]]=0,0,Mecze[[#This Row],[OB]]/Mecze[[#This Row],[CZAS]])</f>
        <v>0</v>
      </c>
      <c r="R1045" s="32">
        <f>IF(Mecze[[#This Row],[BR]]=0,0,Mecze[[#This Row],[BR]]/Mecze[[#This Row],[CZAS]])</f>
        <v>0</v>
      </c>
      <c r="S1045" s="44">
        <f>IF(Mecze[[#This Row],[Role]]="BR",SUMPRODUCT(Mecze[[#This Row],[/PR:90]:[/BR:90]],Brudnopis!$E$23:$J$23),0)</f>
        <v>0</v>
      </c>
      <c r="T1045" s="44">
        <f>IF(Mecze[[#This Row],[Role]]&lt;&gt;"BR",SUMPRODUCT(Mecze[[#This Row],[/PR:90]:[/BR:90]],Brudnopis!$E$24:$J$24),0)</f>
        <v>0.15789473684210525</v>
      </c>
      <c r="U1045" s="44">
        <f>IF(Mecze[[#This Row],[Role]]&lt;&gt;"BR",SUMPRODUCT(Mecze[[#This Row],[/PR:90]:[/BR:90]],Brudnopis!$E$25:$J$25),0)</f>
        <v>0.18421052631578946</v>
      </c>
      <c r="V1045" s="44">
        <f>IF(Mecze[[#This Row],[Role]]&lt;&gt;"BR",SUMPRODUCT(Mecze[[#This Row],[/PR:90]:[/BR:90]],Brudnopis!$E$26:$J$26),0)</f>
        <v>0.15789473684210525</v>
      </c>
      <c r="W1045" s="44">
        <f>IF(Mecze[[#This Row],[Role]]&lt;&gt;"BR",SUMPRODUCT(Mecze[[#This Row],[/PR:90]:[/BR:90]],Brudnopis!$E$27:$J$27),0)</f>
        <v>0.17105263157894735</v>
      </c>
      <c r="X1045" s="44">
        <f>IF(Mecze[[#This Row],[Role]]&lt;&gt;"BR",SUMPRODUCT(Mecze[[#This Row],[/PR:90]:[/BR:90]],Brudnopis!$E$28:$J$28),0)</f>
        <v>0.15789473684210525</v>
      </c>
      <c r="Y1045" s="35">
        <f>IF(Mecze[[#This Row],[Role]]="BR",Mecze[[#This Row],[/OB:90]]+Mecze[[#This Row],[/PC:90]],SUM(Mecze[[#This Row],[/PR:90]:[/BR:90]]))</f>
        <v>0.15789473684210525</v>
      </c>
      <c r="Z1045" s="35">
        <f>IF(Mecze[[#This Row],[KC]]=0,SUM(Mecze[[#This Row],[/BRI]:[/NPI]]),SUM(Mecze[[#This Row],[/BRI]:[/NPI]])*0.6)</f>
        <v>0.82894736842105265</v>
      </c>
      <c r="AA1045" s="10">
        <f>IFERROR(Mecze[[#This Row],[BR]]/Mecze[[#This Row],[ST]],0)</f>
        <v>0</v>
      </c>
      <c r="AB1045">
        <f>ROUND(Mecze[[#This Row],[PD]]*Mecze[[#This Row],[%PC]],0)</f>
        <v>2</v>
      </c>
      <c r="AC1045">
        <f>ROUND(Mecze[[#This Row],[OD]]*Mecze[[#This Row],[%OU]],0)</f>
        <v>0</v>
      </c>
      <c r="AD1045" s="36" t="s">
        <v>46</v>
      </c>
      <c r="AE1045" s="36">
        <v>58</v>
      </c>
      <c r="AF1045" s="71">
        <v>2.16</v>
      </c>
      <c r="AG1045" s="37">
        <v>0</v>
      </c>
      <c r="AH1045" s="37">
        <v>0</v>
      </c>
      <c r="AI1045" s="37">
        <v>38</v>
      </c>
      <c r="AJ1045" s="37">
        <v>2</v>
      </c>
      <c r="AK1045" s="37" t="str">
        <f>VLOOKUP(Mecze[[#This Row],[Match ID]],Meczusie[Mecz]:Meczusie[RodzajMeczu],2,FALSE)</f>
        <v>Liga</v>
      </c>
    </row>
    <row r="1046" spans="1:37" x14ac:dyDescent="0.25">
      <c r="A1046" s="76">
        <v>110</v>
      </c>
      <c r="B1046" s="3" t="s">
        <v>333</v>
      </c>
      <c r="C1046" s="2" t="s">
        <v>155</v>
      </c>
      <c r="D1046" s="1">
        <v>0</v>
      </c>
      <c r="E1046" s="1">
        <v>0</v>
      </c>
      <c r="F1046" s="1">
        <v>0</v>
      </c>
      <c r="G1046" s="1">
        <v>6</v>
      </c>
      <c r="H1046" s="4">
        <v>0.67</v>
      </c>
      <c r="I1046" s="1">
        <v>0</v>
      </c>
      <c r="J1046" s="4"/>
      <c r="K1046" s="1">
        <v>5</v>
      </c>
      <c r="L1046" s="1">
        <v>0</v>
      </c>
      <c r="M1046" s="32">
        <f>IF(Mecze[[#This Row],[PR]]=0,0,Mecze[[#This Row],[PR]]/Mecze[[#This Row],[CZAS]])</f>
        <v>0</v>
      </c>
      <c r="N1046" s="32">
        <f>IF(Mecze[[#This Row],[OU]]=0,0,Mecze[[#This Row],[OU]]/Mecze[[#This Row],[CZAS]])</f>
        <v>0</v>
      </c>
      <c r="O1046" s="32">
        <f>IF(Mecze[[#This Row],[PC]]=0,0,Mecze[[#This Row],[PC]]/Mecze[[#This Row],[CZAS]])</f>
        <v>4.1666666666666664E-2</v>
      </c>
      <c r="P1046" s="32">
        <f>IF(Mecze[[#This Row],[SC]]=0,0,Mecze[[#This Row],[SC]]/Mecze[[#This Row],[CZAS]])</f>
        <v>0</v>
      </c>
      <c r="Q1046" s="32">
        <f>IF(Mecze[[#This Row],[OB]]=0,0,Mecze[[#This Row],[OB]]/Mecze[[#This Row],[CZAS]])</f>
        <v>5.2083333333333336E-2</v>
      </c>
      <c r="R1046" s="32">
        <f>IF(Mecze[[#This Row],[BR]]=0,0,Mecze[[#This Row],[BR]]/Mecze[[#This Row],[CZAS]])</f>
        <v>0</v>
      </c>
      <c r="S1046" s="44">
        <f>IF(Mecze[[#This Row],[Role]]="BR",SUMPRODUCT(Mecze[[#This Row],[/PR:90]:[/BR:90]],Brudnopis!$E$23:$J$23),0)</f>
        <v>0.28125</v>
      </c>
      <c r="T1046" s="44">
        <f>IF(Mecze[[#This Row],[Role]]&lt;&gt;"BR",SUMPRODUCT(Mecze[[#This Row],[/PR:90]:[/BR:90]],Brudnopis!$E$24:$J$24),0)</f>
        <v>0</v>
      </c>
      <c r="U1046" s="44">
        <f>IF(Mecze[[#This Row],[Role]]&lt;&gt;"BR",SUMPRODUCT(Mecze[[#This Row],[/PR:90]:[/BR:90]],Brudnopis!$E$25:$J$25),0)</f>
        <v>0</v>
      </c>
      <c r="V1046" s="44">
        <f>IF(Mecze[[#This Row],[Role]]&lt;&gt;"BR",SUMPRODUCT(Mecze[[#This Row],[/PR:90]:[/BR:90]],Brudnopis!$E$26:$J$26),0)</f>
        <v>0</v>
      </c>
      <c r="W1046" s="44">
        <f>IF(Mecze[[#This Row],[Role]]&lt;&gt;"BR",SUMPRODUCT(Mecze[[#This Row],[/PR:90]:[/BR:90]],Brudnopis!$E$27:$J$27),0)</f>
        <v>0</v>
      </c>
      <c r="X1046" s="44">
        <f>IF(Mecze[[#This Row],[Role]]&lt;&gt;"BR",SUMPRODUCT(Mecze[[#This Row],[/PR:90]:[/BR:90]],Brudnopis!$E$28:$J$28),0)</f>
        <v>0</v>
      </c>
      <c r="Y1046" s="35">
        <f>IF(Mecze[[#This Row],[Role]]="BR",Mecze[[#This Row],[/OB:90]]+Mecze[[#This Row],[/PC:90]],SUM(Mecze[[#This Row],[/PR:90]:[/BR:90]]))</f>
        <v>9.375E-2</v>
      </c>
      <c r="Z1046" s="35">
        <f>IF(Mecze[[#This Row],[KC]]=0,SUM(Mecze[[#This Row],[/BRI]:[/NPI]]),SUM(Mecze[[#This Row],[/BRI]:[/NPI]])*0.6)</f>
        <v>0.28125</v>
      </c>
      <c r="AA1046" s="10">
        <f>IFERROR(Mecze[[#This Row],[BR]]/Mecze[[#This Row],[ST]],0)</f>
        <v>0</v>
      </c>
      <c r="AB1046">
        <f>ROUND(Mecze[[#This Row],[PD]]*Mecze[[#This Row],[%PC]],0)</f>
        <v>4</v>
      </c>
      <c r="AC1046">
        <f>ROUND(Mecze[[#This Row],[OD]]*Mecze[[#This Row],[%OU]],0)</f>
        <v>0</v>
      </c>
      <c r="AD1046" s="36" t="s">
        <v>40</v>
      </c>
      <c r="AE1046" s="36">
        <v>58</v>
      </c>
      <c r="AF1046" s="71">
        <v>3.55</v>
      </c>
      <c r="AG1046" s="37">
        <v>0</v>
      </c>
      <c r="AH1046" s="37">
        <v>0</v>
      </c>
      <c r="AI1046" s="37">
        <v>96</v>
      </c>
      <c r="AJ1046" s="37">
        <v>7</v>
      </c>
      <c r="AK1046" s="37" t="str">
        <f>VLOOKUP(Mecze[[#This Row],[Match ID]],Meczusie[Mecz]:Meczusie[RodzajMeczu],2,FALSE)</f>
        <v>Liga</v>
      </c>
    </row>
    <row r="1047" spans="1:37" x14ac:dyDescent="0.25">
      <c r="A1047" s="76">
        <v>204</v>
      </c>
      <c r="B1047" s="3" t="s">
        <v>334</v>
      </c>
      <c r="C1047" s="2" t="s">
        <v>157</v>
      </c>
      <c r="D1047" s="1">
        <v>0</v>
      </c>
      <c r="E1047" s="1">
        <v>0</v>
      </c>
      <c r="F1047" s="1">
        <v>0</v>
      </c>
      <c r="G1047" s="1">
        <v>12</v>
      </c>
      <c r="H1047" s="4">
        <v>0.83</v>
      </c>
      <c r="I1047" s="1">
        <v>1</v>
      </c>
      <c r="J1047" s="4">
        <v>1</v>
      </c>
      <c r="K1047" s="1">
        <v>0</v>
      </c>
      <c r="L1047" s="1">
        <v>4</v>
      </c>
      <c r="M1047" s="32">
        <f>IF(Mecze[[#This Row],[PR]]=0,0,Mecze[[#This Row],[PR]]/Mecze[[#This Row],[CZAS]])</f>
        <v>4.1666666666666664E-2</v>
      </c>
      <c r="N1047" s="32">
        <f>IF(Mecze[[#This Row],[OU]]=0,0,Mecze[[#This Row],[OU]]/Mecze[[#This Row],[CZAS]])</f>
        <v>1.0416666666666666E-2</v>
      </c>
      <c r="O1047" s="32">
        <f>IF(Mecze[[#This Row],[PC]]=0,0,Mecze[[#This Row],[PC]]/Mecze[[#This Row],[CZAS]])</f>
        <v>0.10416666666666667</v>
      </c>
      <c r="P1047" s="32">
        <f>IF(Mecze[[#This Row],[SC]]=0,0,Mecze[[#This Row],[SC]]/Mecze[[#This Row],[CZAS]])</f>
        <v>0</v>
      </c>
      <c r="Q1047" s="32">
        <f>IF(Mecze[[#This Row],[OB]]=0,0,Mecze[[#This Row],[OB]]/Mecze[[#This Row],[CZAS]])</f>
        <v>0</v>
      </c>
      <c r="R1047" s="32">
        <f>IF(Mecze[[#This Row],[BR]]=0,0,Mecze[[#This Row],[BR]]/Mecze[[#This Row],[CZAS]])</f>
        <v>0</v>
      </c>
      <c r="S1047" s="44">
        <f>IF(Mecze[[#This Row],[Role]]="BR",SUMPRODUCT(Mecze[[#This Row],[/PR:90]:[/BR:90]],Brudnopis!$E$23:$J$23),0)</f>
        <v>0</v>
      </c>
      <c r="T1047" s="44">
        <f>IF(Mecze[[#This Row],[Role]]&lt;&gt;"BR",SUMPRODUCT(Mecze[[#This Row],[/PR:90]:[/BR:90]],Brudnopis!$E$24:$J$24),0)</f>
        <v>0.16145833333333334</v>
      </c>
      <c r="U1047" s="44">
        <f>IF(Mecze[[#This Row],[Role]]&lt;&gt;"BR",SUMPRODUCT(Mecze[[#This Row],[/PR:90]:[/BR:90]],Brudnopis!$E$25:$J$25),0)</f>
        <v>0.20833333333333331</v>
      </c>
      <c r="V1047" s="44">
        <f>IF(Mecze[[#This Row],[Role]]&lt;&gt;"BR",SUMPRODUCT(Mecze[[#This Row],[/PR:90]:[/BR:90]],Brudnopis!$E$26:$J$26),0)</f>
        <v>0.15625</v>
      </c>
      <c r="W1047" s="44">
        <f>IF(Mecze[[#This Row],[Role]]&lt;&gt;"BR",SUMPRODUCT(Mecze[[#This Row],[/PR:90]:[/BR:90]],Brudnopis!$E$27:$J$27),0)</f>
        <v>0.1953125</v>
      </c>
      <c r="X1047" s="44">
        <f>IF(Mecze[[#This Row],[Role]]&lt;&gt;"BR",SUMPRODUCT(Mecze[[#This Row],[/PR:90]:[/BR:90]],Brudnopis!$E$28:$J$28),0)</f>
        <v>0.10416666666666667</v>
      </c>
      <c r="Y1047" s="35">
        <f>IF(Mecze[[#This Row],[Role]]="BR",Mecze[[#This Row],[/OB:90]]+Mecze[[#This Row],[/PC:90]],SUM(Mecze[[#This Row],[/PR:90]:[/BR:90]]))</f>
        <v>0.15625</v>
      </c>
      <c r="Z1047" s="35">
        <f>IF(Mecze[[#This Row],[KC]]=0,SUM(Mecze[[#This Row],[/BRI]:[/NPI]]),SUM(Mecze[[#This Row],[/BRI]:[/NPI]])*0.6)</f>
        <v>0.82552083333333326</v>
      </c>
      <c r="AA1047" s="10">
        <f>IFERROR(Mecze[[#This Row],[BR]]/Mecze[[#This Row],[ST]],0)</f>
        <v>0</v>
      </c>
      <c r="AB1047">
        <f>ROUND(Mecze[[#This Row],[PD]]*Mecze[[#This Row],[%PC]],0)</f>
        <v>10</v>
      </c>
      <c r="AC1047">
        <f>ROUND(Mecze[[#This Row],[OD]]*Mecze[[#This Row],[%OU]],0)</f>
        <v>1</v>
      </c>
      <c r="AD1047" s="36" t="s">
        <v>47</v>
      </c>
      <c r="AE1047" s="36">
        <v>58</v>
      </c>
      <c r="AF1047" s="71">
        <v>1.42</v>
      </c>
      <c r="AG1047" s="37">
        <v>0</v>
      </c>
      <c r="AH1047" s="37">
        <v>0</v>
      </c>
      <c r="AI1047" s="37">
        <v>96</v>
      </c>
      <c r="AJ1047" s="37">
        <v>7</v>
      </c>
      <c r="AK1047" s="37" t="str">
        <f>VLOOKUP(Mecze[[#This Row],[Match ID]],Meczusie[Mecz]:Meczusie[RodzajMeczu],2,FALSE)</f>
        <v>Liga</v>
      </c>
    </row>
    <row r="1048" spans="1:37" x14ac:dyDescent="0.25">
      <c r="A1048" s="76">
        <v>109</v>
      </c>
      <c r="B1048" s="3" t="s">
        <v>404</v>
      </c>
      <c r="C1048" s="2" t="s">
        <v>157</v>
      </c>
      <c r="D1048" s="1">
        <v>0</v>
      </c>
      <c r="E1048" s="1">
        <v>0</v>
      </c>
      <c r="F1048" s="1">
        <v>0</v>
      </c>
      <c r="G1048" s="1">
        <v>5</v>
      </c>
      <c r="H1048" s="4">
        <v>0.8</v>
      </c>
      <c r="I1048" s="1">
        <v>5</v>
      </c>
      <c r="J1048" s="4">
        <v>0.6</v>
      </c>
      <c r="K1048" s="1">
        <v>0</v>
      </c>
      <c r="L1048" s="1">
        <v>1</v>
      </c>
      <c r="M1048" s="32">
        <f>IF(Mecze[[#This Row],[PR]]=0,0,Mecze[[#This Row],[PR]]/Mecze[[#This Row],[CZAS]])</f>
        <v>2.9411764705882353E-2</v>
      </c>
      <c r="N1048" s="32">
        <f>IF(Mecze[[#This Row],[OU]]=0,0,Mecze[[#This Row],[OU]]/Mecze[[#This Row],[CZAS]])</f>
        <v>8.8235294117647065E-2</v>
      </c>
      <c r="O1048" s="32">
        <f>IF(Mecze[[#This Row],[PC]]=0,0,Mecze[[#This Row],[PC]]/Mecze[[#This Row],[CZAS]])</f>
        <v>0.11764705882352941</v>
      </c>
      <c r="P1048" s="32">
        <f>IF(Mecze[[#This Row],[SC]]=0,0,Mecze[[#This Row],[SC]]/Mecze[[#This Row],[CZAS]])</f>
        <v>0</v>
      </c>
      <c r="Q1048" s="32">
        <f>IF(Mecze[[#This Row],[OB]]=0,0,Mecze[[#This Row],[OB]]/Mecze[[#This Row],[CZAS]])</f>
        <v>0</v>
      </c>
      <c r="R1048" s="32">
        <f>IF(Mecze[[#This Row],[BR]]=0,0,Mecze[[#This Row],[BR]]/Mecze[[#This Row],[CZAS]])</f>
        <v>0</v>
      </c>
      <c r="S1048" s="44">
        <f>IF(Mecze[[#This Row],[Role]]="BR",SUMPRODUCT(Mecze[[#This Row],[/PR:90]:[/BR:90]],Brudnopis!$E$23:$J$23),0)</f>
        <v>0</v>
      </c>
      <c r="T1048" s="44">
        <f>IF(Mecze[[#This Row],[Role]]&lt;&gt;"BR",SUMPRODUCT(Mecze[[#This Row],[/PR:90]:[/BR:90]],Brudnopis!$E$24:$J$24),0)</f>
        <v>0.27941176470588236</v>
      </c>
      <c r="U1048" s="44">
        <f>IF(Mecze[[#This Row],[Role]]&lt;&gt;"BR",SUMPRODUCT(Mecze[[#This Row],[/PR:90]:[/BR:90]],Brudnopis!$E$25:$J$25),0)</f>
        <v>0.29411764705882348</v>
      </c>
      <c r="V1048" s="44">
        <f>IF(Mecze[[#This Row],[Role]]&lt;&gt;"BR",SUMPRODUCT(Mecze[[#This Row],[/PR:90]:[/BR:90]],Brudnopis!$E$26:$J$26),0)</f>
        <v>0.23529411764705882</v>
      </c>
      <c r="W1048" s="44">
        <f>IF(Mecze[[#This Row],[Role]]&lt;&gt;"BR",SUMPRODUCT(Mecze[[#This Row],[/PR:90]:[/BR:90]],Brudnopis!$E$27:$J$27),0)</f>
        <v>0.26470588235294112</v>
      </c>
      <c r="X1048" s="44">
        <f>IF(Mecze[[#This Row],[Role]]&lt;&gt;"BR",SUMPRODUCT(Mecze[[#This Row],[/PR:90]:[/BR:90]],Brudnopis!$E$28:$J$28),0)</f>
        <v>0.11764705882352941</v>
      </c>
      <c r="Y1048" s="35">
        <f>IF(Mecze[[#This Row],[Role]]="BR",Mecze[[#This Row],[/OB:90]]+Mecze[[#This Row],[/PC:90]],SUM(Mecze[[#This Row],[/PR:90]:[/BR:90]]))</f>
        <v>0.23529411764705882</v>
      </c>
      <c r="Z1048" s="35">
        <f>IF(Mecze[[#This Row],[KC]]=0,SUM(Mecze[[#This Row],[/BRI]:[/NPI]]),SUM(Mecze[[#This Row],[/BRI]:[/NPI]])*0.6)</f>
        <v>0.71470588235294119</v>
      </c>
      <c r="AA1048" s="10">
        <f>IFERROR(Mecze[[#This Row],[BR]]/Mecze[[#This Row],[ST]],0)</f>
        <v>0</v>
      </c>
      <c r="AB1048">
        <f>ROUND(Mecze[[#This Row],[PD]]*Mecze[[#This Row],[%PC]],0)</f>
        <v>4</v>
      </c>
      <c r="AC1048">
        <f>ROUND(Mecze[[#This Row],[OD]]*Mecze[[#This Row],[%OU]],0)</f>
        <v>3</v>
      </c>
      <c r="AD1048" s="36" t="s">
        <v>168</v>
      </c>
      <c r="AE1048" s="36">
        <v>58</v>
      </c>
      <c r="AF1048" s="71">
        <v>-2.5</v>
      </c>
      <c r="AG1048" s="37">
        <v>0</v>
      </c>
      <c r="AH1048" s="37">
        <v>1</v>
      </c>
      <c r="AI1048" s="37">
        <v>34</v>
      </c>
      <c r="AJ1048" s="37">
        <v>7</v>
      </c>
      <c r="AK1048" s="37" t="str">
        <f>VLOOKUP(Mecze[[#This Row],[Match ID]],Meczusie[Mecz]:Meczusie[RodzajMeczu],2,FALSE)</f>
        <v>Liga</v>
      </c>
    </row>
    <row r="1049" spans="1:37" x14ac:dyDescent="0.25">
      <c r="A1049" s="76">
        <v>150</v>
      </c>
      <c r="B1049" s="3" t="s">
        <v>335</v>
      </c>
      <c r="C1049" s="2" t="s">
        <v>157</v>
      </c>
      <c r="D1049" s="1">
        <v>0</v>
      </c>
      <c r="E1049" s="1">
        <v>0</v>
      </c>
      <c r="F1049" s="1">
        <v>0</v>
      </c>
      <c r="G1049" s="1">
        <v>2</v>
      </c>
      <c r="H1049" s="4">
        <v>1</v>
      </c>
      <c r="I1049" s="1">
        <v>3</v>
      </c>
      <c r="J1049" s="4">
        <v>0.33</v>
      </c>
      <c r="K1049" s="1">
        <v>0</v>
      </c>
      <c r="L1049" s="1">
        <v>1</v>
      </c>
      <c r="M1049" s="32">
        <f>IF(Mecze[[#This Row],[PR]]=0,0,Mecze[[#This Row],[PR]]/Mecze[[#This Row],[CZAS]])</f>
        <v>1.0416666666666666E-2</v>
      </c>
      <c r="N1049" s="32">
        <f>IF(Mecze[[#This Row],[OU]]=0,0,Mecze[[#This Row],[OU]]/Mecze[[#This Row],[CZAS]])</f>
        <v>1.0416666666666666E-2</v>
      </c>
      <c r="O1049" s="32">
        <f>IF(Mecze[[#This Row],[PC]]=0,0,Mecze[[#This Row],[PC]]/Mecze[[#This Row],[CZAS]])</f>
        <v>2.0833333333333332E-2</v>
      </c>
      <c r="P1049" s="32">
        <f>IF(Mecze[[#This Row],[SC]]=0,0,Mecze[[#This Row],[SC]]/Mecze[[#This Row],[CZAS]])</f>
        <v>0</v>
      </c>
      <c r="Q1049" s="32">
        <f>IF(Mecze[[#This Row],[OB]]=0,0,Mecze[[#This Row],[OB]]/Mecze[[#This Row],[CZAS]])</f>
        <v>0</v>
      </c>
      <c r="R1049" s="32">
        <f>IF(Mecze[[#This Row],[BR]]=0,0,Mecze[[#This Row],[BR]]/Mecze[[#This Row],[CZAS]])</f>
        <v>0</v>
      </c>
      <c r="S1049" s="44">
        <f>IF(Mecze[[#This Row],[Role]]="BR",SUMPRODUCT(Mecze[[#This Row],[/PR:90]:[/BR:90]],Brudnopis!$E$23:$J$23),0)</f>
        <v>0</v>
      </c>
      <c r="T1049" s="44">
        <f>IF(Mecze[[#This Row],[Role]]&lt;&gt;"BR",SUMPRODUCT(Mecze[[#This Row],[/PR:90]:[/BR:90]],Brudnopis!$E$24:$J$24),0)</f>
        <v>4.6875E-2</v>
      </c>
      <c r="U1049" s="44">
        <f>IF(Mecze[[#This Row],[Role]]&lt;&gt;"BR",SUMPRODUCT(Mecze[[#This Row],[/PR:90]:[/BR:90]],Brudnopis!$E$25:$J$25),0)</f>
        <v>5.2083333333333329E-2</v>
      </c>
      <c r="V1049" s="44">
        <f>IF(Mecze[[#This Row],[Role]]&lt;&gt;"BR",SUMPRODUCT(Mecze[[#This Row],[/PR:90]:[/BR:90]],Brudnopis!$E$26:$J$26),0)</f>
        <v>4.1666666666666664E-2</v>
      </c>
      <c r="W1049" s="44">
        <f>IF(Mecze[[#This Row],[Role]]&lt;&gt;"BR",SUMPRODUCT(Mecze[[#This Row],[/PR:90]:[/BR:90]],Brudnopis!$E$27:$J$27),0)</f>
        <v>4.6875E-2</v>
      </c>
      <c r="X1049" s="44">
        <f>IF(Mecze[[#This Row],[Role]]&lt;&gt;"BR",SUMPRODUCT(Mecze[[#This Row],[/PR:90]:[/BR:90]],Brudnopis!$E$28:$J$28),0)</f>
        <v>2.0833333333333332E-2</v>
      </c>
      <c r="Y1049" s="35">
        <f>IF(Mecze[[#This Row],[Role]]="BR",Mecze[[#This Row],[/OB:90]]+Mecze[[#This Row],[/PC:90]],SUM(Mecze[[#This Row],[/PR:90]:[/BR:90]]))</f>
        <v>4.1666666666666664E-2</v>
      </c>
      <c r="Z1049" s="35">
        <f>IF(Mecze[[#This Row],[KC]]=0,SUM(Mecze[[#This Row],[/BRI]:[/NPI]]),SUM(Mecze[[#This Row],[/BRI]:[/NPI]])*0.6)</f>
        <v>0.20833333333333334</v>
      </c>
      <c r="AA1049" s="10">
        <f>IFERROR(Mecze[[#This Row],[BR]]/Mecze[[#This Row],[ST]],0)</f>
        <v>0</v>
      </c>
      <c r="AB1049">
        <f>ROUND(Mecze[[#This Row],[PD]]*Mecze[[#This Row],[%PC]],0)</f>
        <v>2</v>
      </c>
      <c r="AC1049">
        <f>ROUND(Mecze[[#This Row],[OD]]*Mecze[[#This Row],[%OU]],0)</f>
        <v>1</v>
      </c>
      <c r="AD1049" s="36" t="s">
        <v>167</v>
      </c>
      <c r="AE1049" s="36">
        <v>58</v>
      </c>
      <c r="AF1049" s="71">
        <v>0.79</v>
      </c>
      <c r="AG1049" s="37">
        <v>0</v>
      </c>
      <c r="AH1049" s="37">
        <v>0</v>
      </c>
      <c r="AI1049" s="37">
        <v>96</v>
      </c>
      <c r="AJ1049" s="37">
        <v>7</v>
      </c>
      <c r="AK1049" s="37" t="str">
        <f>VLOOKUP(Mecze[[#This Row],[Match ID]],Meczusie[Mecz]:Meczusie[RodzajMeczu],2,FALSE)</f>
        <v>Liga</v>
      </c>
    </row>
    <row r="1050" spans="1:37" x14ac:dyDescent="0.25">
      <c r="A1050" s="76">
        <v>116</v>
      </c>
      <c r="B1050" s="3" t="s">
        <v>425</v>
      </c>
      <c r="C1050" s="2" t="s">
        <v>157</v>
      </c>
      <c r="D1050" s="1">
        <v>0</v>
      </c>
      <c r="E1050" s="1">
        <v>0</v>
      </c>
      <c r="F1050" s="1">
        <v>0</v>
      </c>
      <c r="G1050" s="1">
        <v>8</v>
      </c>
      <c r="H1050" s="4">
        <v>0.5</v>
      </c>
      <c r="I1050" s="1">
        <v>14</v>
      </c>
      <c r="J1050" s="4">
        <v>0.43</v>
      </c>
      <c r="K1050" s="1">
        <v>0</v>
      </c>
      <c r="L1050" s="1">
        <v>5</v>
      </c>
      <c r="M1050" s="32">
        <f>IF(Mecze[[#This Row],[PR]]=0,0,Mecze[[#This Row],[PR]]/Mecze[[#This Row],[CZAS]])</f>
        <v>5.2083333333333336E-2</v>
      </c>
      <c r="N1050" s="32">
        <f>IF(Mecze[[#This Row],[OU]]=0,0,Mecze[[#This Row],[OU]]/Mecze[[#This Row],[CZAS]])</f>
        <v>6.25E-2</v>
      </c>
      <c r="O1050" s="32">
        <f>IF(Mecze[[#This Row],[PC]]=0,0,Mecze[[#This Row],[PC]]/Mecze[[#This Row],[CZAS]])</f>
        <v>4.1666666666666664E-2</v>
      </c>
      <c r="P1050" s="32">
        <f>IF(Mecze[[#This Row],[SC]]=0,0,Mecze[[#This Row],[SC]]/Mecze[[#This Row],[CZAS]])</f>
        <v>0</v>
      </c>
      <c r="Q1050" s="32">
        <f>IF(Mecze[[#This Row],[OB]]=0,0,Mecze[[#This Row],[OB]]/Mecze[[#This Row],[CZAS]])</f>
        <v>0</v>
      </c>
      <c r="R1050" s="32">
        <f>IF(Mecze[[#This Row],[BR]]=0,0,Mecze[[#This Row],[BR]]/Mecze[[#This Row],[CZAS]])</f>
        <v>0</v>
      </c>
      <c r="S1050" s="44">
        <f>IF(Mecze[[#This Row],[Role]]="BR",SUMPRODUCT(Mecze[[#This Row],[/PR:90]:[/BR:90]],Brudnopis!$E$23:$J$23),0)</f>
        <v>0</v>
      </c>
      <c r="T1050" s="44">
        <f>IF(Mecze[[#This Row],[Role]]&lt;&gt;"BR",SUMPRODUCT(Mecze[[#This Row],[/PR:90]:[/BR:90]],Brudnopis!$E$24:$J$24),0)</f>
        <v>0.1875</v>
      </c>
      <c r="U1050" s="44">
        <f>IF(Mecze[[#This Row],[Role]]&lt;&gt;"BR",SUMPRODUCT(Mecze[[#This Row],[/PR:90]:[/BR:90]],Brudnopis!$E$25:$J$25),0)</f>
        <v>0.17708333333333334</v>
      </c>
      <c r="V1050" s="44">
        <f>IF(Mecze[[#This Row],[Role]]&lt;&gt;"BR",SUMPRODUCT(Mecze[[#This Row],[/PR:90]:[/BR:90]],Brudnopis!$E$26:$J$26),0)</f>
        <v>0.15625</v>
      </c>
      <c r="W1050" s="44">
        <f>IF(Mecze[[#This Row],[Role]]&lt;&gt;"BR",SUMPRODUCT(Mecze[[#This Row],[/PR:90]:[/BR:90]],Brudnopis!$E$27:$J$27),0)</f>
        <v>0.1484375</v>
      </c>
      <c r="X1050" s="44">
        <f>IF(Mecze[[#This Row],[Role]]&lt;&gt;"BR",SUMPRODUCT(Mecze[[#This Row],[/PR:90]:[/BR:90]],Brudnopis!$E$28:$J$28),0)</f>
        <v>4.1666666666666664E-2</v>
      </c>
      <c r="Y1050" s="35">
        <f>IF(Mecze[[#This Row],[Role]]="BR",Mecze[[#This Row],[/OB:90]]+Mecze[[#This Row],[/PC:90]],SUM(Mecze[[#This Row],[/PR:90]:[/BR:90]]))</f>
        <v>0.15625</v>
      </c>
      <c r="Z1050" s="35">
        <f>IF(Mecze[[#This Row],[KC]]=0,SUM(Mecze[[#This Row],[/BRI]:[/NPI]]),SUM(Mecze[[#This Row],[/BRI]:[/NPI]])*0.6)</f>
        <v>0.7109375</v>
      </c>
      <c r="AA1050" s="10">
        <f>IFERROR(Mecze[[#This Row],[BR]]/Mecze[[#This Row],[ST]],0)</f>
        <v>0</v>
      </c>
      <c r="AB1050">
        <f>ROUND(Mecze[[#This Row],[PD]]*Mecze[[#This Row],[%PC]],0)</f>
        <v>4</v>
      </c>
      <c r="AC1050">
        <f>ROUND(Mecze[[#This Row],[OD]]*Mecze[[#This Row],[%OU]],0)</f>
        <v>6</v>
      </c>
      <c r="AD1050" s="36" t="s">
        <v>175</v>
      </c>
      <c r="AE1050" s="36">
        <v>58</v>
      </c>
      <c r="AF1050" s="71">
        <v>0.52</v>
      </c>
      <c r="AG1050" s="37">
        <v>1</v>
      </c>
      <c r="AH1050" s="37">
        <v>0</v>
      </c>
      <c r="AI1050" s="37">
        <v>96</v>
      </c>
      <c r="AJ1050" s="37">
        <v>7</v>
      </c>
      <c r="AK1050" s="37" t="str">
        <f>VLOOKUP(Mecze[[#This Row],[Match ID]],Meczusie[Mecz]:Meczusie[RodzajMeczu],2,FALSE)</f>
        <v>Liga</v>
      </c>
    </row>
    <row r="1051" spans="1:37" x14ac:dyDescent="0.25">
      <c r="A1051" s="76">
        <v>161</v>
      </c>
      <c r="B1051" s="3" t="s">
        <v>418</v>
      </c>
      <c r="C1051" s="2" t="s">
        <v>157</v>
      </c>
      <c r="D1051" s="1">
        <v>0</v>
      </c>
      <c r="E1051" s="1">
        <v>0</v>
      </c>
      <c r="F1051" s="1">
        <v>0</v>
      </c>
      <c r="G1051" s="1">
        <v>6</v>
      </c>
      <c r="H1051" s="4">
        <v>0.5</v>
      </c>
      <c r="I1051" s="1">
        <v>16</v>
      </c>
      <c r="J1051" s="4">
        <v>0.56000000000000005</v>
      </c>
      <c r="K1051" s="1">
        <v>0</v>
      </c>
      <c r="L1051" s="1">
        <v>3</v>
      </c>
      <c r="M1051" s="32">
        <f>IF(Mecze[[#This Row],[PR]]=0,0,Mecze[[#This Row],[PR]]/Mecze[[#This Row],[CZAS]])</f>
        <v>3.125E-2</v>
      </c>
      <c r="N1051" s="32">
        <f>IF(Mecze[[#This Row],[OU]]=0,0,Mecze[[#This Row],[OU]]/Mecze[[#This Row],[CZAS]])</f>
        <v>9.375E-2</v>
      </c>
      <c r="O1051" s="32">
        <f>IF(Mecze[[#This Row],[PC]]=0,0,Mecze[[#This Row],[PC]]/Mecze[[#This Row],[CZAS]])</f>
        <v>3.125E-2</v>
      </c>
      <c r="P1051" s="32">
        <f>IF(Mecze[[#This Row],[SC]]=0,0,Mecze[[#This Row],[SC]]/Mecze[[#This Row],[CZAS]])</f>
        <v>0</v>
      </c>
      <c r="Q1051" s="32">
        <f>IF(Mecze[[#This Row],[OB]]=0,0,Mecze[[#This Row],[OB]]/Mecze[[#This Row],[CZAS]])</f>
        <v>0</v>
      </c>
      <c r="R1051" s="32">
        <f>IF(Mecze[[#This Row],[BR]]=0,0,Mecze[[#This Row],[BR]]/Mecze[[#This Row],[CZAS]])</f>
        <v>0</v>
      </c>
      <c r="S1051" s="44">
        <f>IF(Mecze[[#This Row],[Role]]="BR",SUMPRODUCT(Mecze[[#This Row],[/PR:90]:[/BR:90]],Brudnopis!$E$23:$J$23),0)</f>
        <v>0</v>
      </c>
      <c r="T1051" s="44">
        <f>IF(Mecze[[#This Row],[Role]]&lt;&gt;"BR",SUMPRODUCT(Mecze[[#This Row],[/PR:90]:[/BR:90]],Brudnopis!$E$24:$J$24),0)</f>
        <v>0.203125</v>
      </c>
      <c r="U1051" s="44">
        <f>IF(Mecze[[#This Row],[Role]]&lt;&gt;"BR",SUMPRODUCT(Mecze[[#This Row],[/PR:90]:[/BR:90]],Brudnopis!$E$25:$J$25),0)</f>
        <v>0.171875</v>
      </c>
      <c r="V1051" s="44">
        <f>IF(Mecze[[#This Row],[Role]]&lt;&gt;"BR",SUMPRODUCT(Mecze[[#This Row],[/PR:90]:[/BR:90]],Brudnopis!$E$26:$J$26),0)</f>
        <v>0.15625</v>
      </c>
      <c r="W1051" s="44">
        <f>IF(Mecze[[#This Row],[Role]]&lt;&gt;"BR",SUMPRODUCT(Mecze[[#This Row],[/PR:90]:[/BR:90]],Brudnopis!$E$27:$J$27),0)</f>
        <v>0.140625</v>
      </c>
      <c r="X1051" s="44">
        <f>IF(Mecze[[#This Row],[Role]]&lt;&gt;"BR",SUMPRODUCT(Mecze[[#This Row],[/PR:90]:[/BR:90]],Brudnopis!$E$28:$J$28),0)</f>
        <v>3.125E-2</v>
      </c>
      <c r="Y1051" s="35">
        <f>IF(Mecze[[#This Row],[Role]]="BR",Mecze[[#This Row],[/OB:90]]+Mecze[[#This Row],[/PC:90]],SUM(Mecze[[#This Row],[/PR:90]:[/BR:90]]))</f>
        <v>0.15625</v>
      </c>
      <c r="Z1051" s="35">
        <f>IF(Mecze[[#This Row],[KC]]=0,SUM(Mecze[[#This Row],[/BRI]:[/NPI]]),SUM(Mecze[[#This Row],[/BRI]:[/NPI]])*0.6)</f>
        <v>0.703125</v>
      </c>
      <c r="AA1051" s="10">
        <f>IFERROR(Mecze[[#This Row],[BR]]/Mecze[[#This Row],[ST]],0)</f>
        <v>0</v>
      </c>
      <c r="AB1051">
        <f>ROUND(Mecze[[#This Row],[PD]]*Mecze[[#This Row],[%PC]],0)</f>
        <v>3</v>
      </c>
      <c r="AC1051">
        <f>ROUND(Mecze[[#This Row],[OD]]*Mecze[[#This Row],[%OU]],0)</f>
        <v>9</v>
      </c>
      <c r="AD1051" s="36" t="s">
        <v>174</v>
      </c>
      <c r="AE1051" s="36">
        <v>58</v>
      </c>
      <c r="AF1051" s="71">
        <v>2.33</v>
      </c>
      <c r="AG1051" s="37">
        <v>0</v>
      </c>
      <c r="AH1051" s="37">
        <v>0</v>
      </c>
      <c r="AI1051" s="37">
        <v>96</v>
      </c>
      <c r="AJ1051" s="37">
        <v>7</v>
      </c>
      <c r="AK1051" s="37" t="str">
        <f>VLOOKUP(Mecze[[#This Row],[Match ID]],Meczusie[Mecz]:Meczusie[RodzajMeczu],2,FALSE)</f>
        <v>Liga</v>
      </c>
    </row>
    <row r="1052" spans="1:37" x14ac:dyDescent="0.25">
      <c r="A1052" s="76">
        <v>159</v>
      </c>
      <c r="B1052" s="3" t="s">
        <v>338</v>
      </c>
      <c r="C1052" s="2" t="s">
        <v>160</v>
      </c>
      <c r="D1052" s="1">
        <v>0</v>
      </c>
      <c r="E1052" s="1">
        <v>0</v>
      </c>
      <c r="F1052" s="1">
        <v>0</v>
      </c>
      <c r="G1052" s="1">
        <v>23</v>
      </c>
      <c r="H1052" s="4">
        <v>0.7</v>
      </c>
      <c r="I1052" s="1">
        <v>6</v>
      </c>
      <c r="J1052" s="4">
        <v>0.5</v>
      </c>
      <c r="K1052" s="1">
        <v>0</v>
      </c>
      <c r="L1052" s="1">
        <v>3</v>
      </c>
      <c r="M1052" s="32">
        <f>IF(Mecze[[#This Row],[PR]]=0,0,Mecze[[#This Row],[PR]]/Mecze[[#This Row],[CZAS]])</f>
        <v>3.125E-2</v>
      </c>
      <c r="N1052" s="32">
        <f>IF(Mecze[[#This Row],[OU]]=0,0,Mecze[[#This Row],[OU]]/Mecze[[#This Row],[CZAS]])</f>
        <v>3.125E-2</v>
      </c>
      <c r="O1052" s="32">
        <f>IF(Mecze[[#This Row],[PC]]=0,0,Mecze[[#This Row],[PC]]/Mecze[[#This Row],[CZAS]])</f>
        <v>0.16666666666666666</v>
      </c>
      <c r="P1052" s="32">
        <f>IF(Mecze[[#This Row],[SC]]=0,0,Mecze[[#This Row],[SC]]/Mecze[[#This Row],[CZAS]])</f>
        <v>0</v>
      </c>
      <c r="Q1052" s="32">
        <f>IF(Mecze[[#This Row],[OB]]=0,0,Mecze[[#This Row],[OB]]/Mecze[[#This Row],[CZAS]])</f>
        <v>0</v>
      </c>
      <c r="R1052" s="32">
        <f>IF(Mecze[[#This Row],[BR]]=0,0,Mecze[[#This Row],[BR]]/Mecze[[#This Row],[CZAS]])</f>
        <v>0</v>
      </c>
      <c r="S1052" s="44">
        <f>IF(Mecze[[#This Row],[Role]]="BR",SUMPRODUCT(Mecze[[#This Row],[/PR:90]:[/BR:90]],Brudnopis!$E$23:$J$23),0)</f>
        <v>0</v>
      </c>
      <c r="T1052" s="44">
        <f>IF(Mecze[[#This Row],[Role]]&lt;&gt;"BR",SUMPRODUCT(Mecze[[#This Row],[/PR:90]:[/BR:90]],Brudnopis!$E$24:$J$24),0)</f>
        <v>0.24479166666666666</v>
      </c>
      <c r="U1052" s="44">
        <f>IF(Mecze[[#This Row],[Role]]&lt;&gt;"BR",SUMPRODUCT(Mecze[[#This Row],[/PR:90]:[/BR:90]],Brudnopis!$E$25:$J$25),0)</f>
        <v>0.3125</v>
      </c>
      <c r="V1052" s="44">
        <f>IF(Mecze[[#This Row],[Role]]&lt;&gt;"BR",SUMPRODUCT(Mecze[[#This Row],[/PR:90]:[/BR:90]],Brudnopis!$E$26:$J$26),0)</f>
        <v>0.22916666666666666</v>
      </c>
      <c r="W1052" s="44">
        <f>IF(Mecze[[#This Row],[Role]]&lt;&gt;"BR",SUMPRODUCT(Mecze[[#This Row],[/PR:90]:[/BR:90]],Brudnopis!$E$27:$J$27),0)</f>
        <v>0.296875</v>
      </c>
      <c r="X1052" s="44">
        <f>IF(Mecze[[#This Row],[Role]]&lt;&gt;"BR",SUMPRODUCT(Mecze[[#This Row],[/PR:90]:[/BR:90]],Brudnopis!$E$28:$J$28),0)</f>
        <v>0.16666666666666666</v>
      </c>
      <c r="Y1052" s="35">
        <f>IF(Mecze[[#This Row],[Role]]="BR",Mecze[[#This Row],[/OB:90]]+Mecze[[#This Row],[/PC:90]],SUM(Mecze[[#This Row],[/PR:90]:[/BR:90]]))</f>
        <v>0.22916666666666666</v>
      </c>
      <c r="Z1052" s="35">
        <f>IF(Mecze[[#This Row],[KC]]=0,SUM(Mecze[[#This Row],[/BRI]:[/NPI]]),SUM(Mecze[[#This Row],[/BRI]:[/NPI]])*0.6)</f>
        <v>1.25</v>
      </c>
      <c r="AA1052" s="10">
        <f>IFERROR(Mecze[[#This Row],[BR]]/Mecze[[#This Row],[ST]],0)</f>
        <v>0</v>
      </c>
      <c r="AB1052">
        <f>ROUND(Mecze[[#This Row],[PD]]*Mecze[[#This Row],[%PC]],0)</f>
        <v>16</v>
      </c>
      <c r="AC1052">
        <f>ROUND(Mecze[[#This Row],[OD]]*Mecze[[#This Row],[%OU]],0)</f>
        <v>3</v>
      </c>
      <c r="AD1052" s="36" t="s">
        <v>41</v>
      </c>
      <c r="AE1052" s="36">
        <v>58</v>
      </c>
      <c r="AF1052" s="71">
        <v>4.54</v>
      </c>
      <c r="AG1052" s="37">
        <v>0</v>
      </c>
      <c r="AH1052" s="37">
        <v>0</v>
      </c>
      <c r="AI1052" s="37">
        <v>96</v>
      </c>
      <c r="AJ1052" s="37">
        <v>7</v>
      </c>
      <c r="AK1052" s="37" t="str">
        <f>VLOOKUP(Mecze[[#This Row],[Match ID]],Meczusie[Mecz]:Meczusie[RodzajMeczu],2,FALSE)</f>
        <v>Liga</v>
      </c>
    </row>
    <row r="1053" spans="1:37" x14ac:dyDescent="0.25">
      <c r="A1053" s="76">
        <v>200</v>
      </c>
      <c r="B1053" s="3" t="s">
        <v>339</v>
      </c>
      <c r="C1053" s="2" t="s">
        <v>160</v>
      </c>
      <c r="D1053" s="1">
        <v>0</v>
      </c>
      <c r="E1053" s="1">
        <v>1</v>
      </c>
      <c r="F1053" s="1">
        <v>1</v>
      </c>
      <c r="G1053" s="1">
        <v>15</v>
      </c>
      <c r="H1053" s="4">
        <v>0.67</v>
      </c>
      <c r="I1053" s="1">
        <v>5</v>
      </c>
      <c r="J1053" s="4">
        <v>0.8</v>
      </c>
      <c r="K1053" s="1">
        <v>0</v>
      </c>
      <c r="L1053" s="1">
        <v>1</v>
      </c>
      <c r="M1053" s="32">
        <f>IF(Mecze[[#This Row],[PR]]=0,0,Mecze[[#This Row],[PR]]/Mecze[[#This Row],[CZAS]])</f>
        <v>1.0416666666666666E-2</v>
      </c>
      <c r="N1053" s="32">
        <f>IF(Mecze[[#This Row],[OU]]=0,0,Mecze[[#This Row],[OU]]/Mecze[[#This Row],[CZAS]])</f>
        <v>4.1666666666666664E-2</v>
      </c>
      <c r="O1053" s="32">
        <f>IF(Mecze[[#This Row],[PC]]=0,0,Mecze[[#This Row],[PC]]/Mecze[[#This Row],[CZAS]])</f>
        <v>0.10416666666666667</v>
      </c>
      <c r="P1053" s="32">
        <f>IF(Mecze[[#This Row],[SC]]=0,0,Mecze[[#This Row],[SC]]/Mecze[[#This Row],[CZAS]])</f>
        <v>1.0416666666666666E-2</v>
      </c>
      <c r="Q1053" s="32">
        <f>IF(Mecze[[#This Row],[OB]]=0,0,Mecze[[#This Row],[OB]]/Mecze[[#This Row],[CZAS]])</f>
        <v>0</v>
      </c>
      <c r="R1053" s="32">
        <f>IF(Mecze[[#This Row],[BR]]=0,0,Mecze[[#This Row],[BR]]/Mecze[[#This Row],[CZAS]])</f>
        <v>0</v>
      </c>
      <c r="S1053" s="44">
        <f>IF(Mecze[[#This Row],[Role]]="BR",SUMPRODUCT(Mecze[[#This Row],[/PR:90]:[/BR:90]],Brudnopis!$E$23:$J$23),0)</f>
        <v>0</v>
      </c>
      <c r="T1053" s="44">
        <f>IF(Mecze[[#This Row],[Role]]&lt;&gt;"BR",SUMPRODUCT(Mecze[[#This Row],[/PR:90]:[/BR:90]],Brudnopis!$E$24:$J$24),0)</f>
        <v>0.1875</v>
      </c>
      <c r="U1053" s="44">
        <f>IF(Mecze[[#This Row],[Role]]&lt;&gt;"BR",SUMPRODUCT(Mecze[[#This Row],[/PR:90]:[/BR:90]],Brudnopis!$E$25:$J$25),0)</f>
        <v>0.21874999999999997</v>
      </c>
      <c r="V1053" s="44">
        <f>IF(Mecze[[#This Row],[Role]]&lt;&gt;"BR",SUMPRODUCT(Mecze[[#This Row],[/PR:90]:[/BR:90]],Brudnopis!$E$26:$J$26),0)</f>
        <v>0.16666666666666666</v>
      </c>
      <c r="W1053" s="44">
        <f>IF(Mecze[[#This Row],[Role]]&lt;&gt;"BR",SUMPRODUCT(Mecze[[#This Row],[/PR:90]:[/BR:90]],Brudnopis!$E$27:$J$27),0)</f>
        <v>0.20572916666666666</v>
      </c>
      <c r="X1053" s="44">
        <f>IF(Mecze[[#This Row],[Role]]&lt;&gt;"BR",SUMPRODUCT(Mecze[[#This Row],[/PR:90]:[/BR:90]],Brudnopis!$E$28:$J$28),0)</f>
        <v>0.125</v>
      </c>
      <c r="Y1053" s="35">
        <f>IF(Mecze[[#This Row],[Role]]="BR",Mecze[[#This Row],[/OB:90]]+Mecze[[#This Row],[/PC:90]],SUM(Mecze[[#This Row],[/PR:90]:[/BR:90]]))</f>
        <v>0.16666666666666666</v>
      </c>
      <c r="Z1053" s="35">
        <f>IF(Mecze[[#This Row],[KC]]=0,SUM(Mecze[[#This Row],[/BRI]:[/NPI]]),SUM(Mecze[[#This Row],[/BRI]:[/NPI]])*0.6)</f>
        <v>0.90364583333333326</v>
      </c>
      <c r="AA1053" s="10">
        <f>IFERROR(Mecze[[#This Row],[BR]]/Mecze[[#This Row],[ST]],0)</f>
        <v>0</v>
      </c>
      <c r="AB1053">
        <f>ROUND(Mecze[[#This Row],[PD]]*Mecze[[#This Row],[%PC]],0)</f>
        <v>10</v>
      </c>
      <c r="AC1053">
        <f>ROUND(Mecze[[#This Row],[OD]]*Mecze[[#This Row],[%OU]],0)</f>
        <v>4</v>
      </c>
      <c r="AD1053" s="36" t="s">
        <v>41</v>
      </c>
      <c r="AE1053" s="36">
        <v>58</v>
      </c>
      <c r="AF1053" s="71">
        <v>4.3499999999999996</v>
      </c>
      <c r="AG1053" s="37">
        <v>0</v>
      </c>
      <c r="AH1053" s="37">
        <v>0</v>
      </c>
      <c r="AI1053" s="37">
        <v>96</v>
      </c>
      <c r="AJ1053" s="37">
        <v>7</v>
      </c>
      <c r="AK1053" s="37" t="str">
        <f>VLOOKUP(Mecze[[#This Row],[Match ID]],Meczusie[Mecz]:Meczusie[RodzajMeczu],2,FALSE)</f>
        <v>Liga</v>
      </c>
    </row>
    <row r="1054" spans="1:37" x14ac:dyDescent="0.25">
      <c r="A1054" s="76">
        <v>151</v>
      </c>
      <c r="B1054" s="3" t="s">
        <v>337</v>
      </c>
      <c r="C1054" s="2" t="s">
        <v>160</v>
      </c>
      <c r="D1054" s="1">
        <v>0</v>
      </c>
      <c r="E1054" s="1">
        <v>0</v>
      </c>
      <c r="F1054" s="1">
        <v>0</v>
      </c>
      <c r="G1054" s="1">
        <v>8</v>
      </c>
      <c r="H1054" s="4">
        <v>0.75</v>
      </c>
      <c r="I1054" s="1">
        <v>1</v>
      </c>
      <c r="J1054" s="4">
        <v>0</v>
      </c>
      <c r="K1054" s="1">
        <v>0</v>
      </c>
      <c r="L1054" s="1">
        <v>0</v>
      </c>
      <c r="M1054" s="32">
        <f>IF(Mecze[[#This Row],[PR]]=0,0,Mecze[[#This Row],[PR]]/Mecze[[#This Row],[CZAS]])</f>
        <v>0</v>
      </c>
      <c r="N1054" s="32">
        <f>IF(Mecze[[#This Row],[OU]]=0,0,Mecze[[#This Row],[OU]]/Mecze[[#This Row],[CZAS]])</f>
        <v>0</v>
      </c>
      <c r="O1054" s="32">
        <f>IF(Mecze[[#This Row],[PC]]=0,0,Mecze[[#This Row],[PC]]/Mecze[[#This Row],[CZAS]])</f>
        <v>6.25E-2</v>
      </c>
      <c r="P1054" s="32">
        <f>IF(Mecze[[#This Row],[SC]]=0,0,Mecze[[#This Row],[SC]]/Mecze[[#This Row],[CZAS]])</f>
        <v>0</v>
      </c>
      <c r="Q1054" s="32">
        <f>IF(Mecze[[#This Row],[OB]]=0,0,Mecze[[#This Row],[OB]]/Mecze[[#This Row],[CZAS]])</f>
        <v>0</v>
      </c>
      <c r="R1054" s="32">
        <f>IF(Mecze[[#This Row],[BR]]=0,0,Mecze[[#This Row],[BR]]/Mecze[[#This Row],[CZAS]])</f>
        <v>0</v>
      </c>
      <c r="S1054" s="44">
        <f>IF(Mecze[[#This Row],[Role]]="BR",SUMPRODUCT(Mecze[[#This Row],[/PR:90]:[/BR:90]],Brudnopis!$E$23:$J$23),0)</f>
        <v>0</v>
      </c>
      <c r="T1054" s="44">
        <f>IF(Mecze[[#This Row],[Role]]&lt;&gt;"BR",SUMPRODUCT(Mecze[[#This Row],[/PR:90]:[/BR:90]],Brudnopis!$E$24:$J$24),0)</f>
        <v>6.25E-2</v>
      </c>
      <c r="U1054" s="44">
        <f>IF(Mecze[[#This Row],[Role]]&lt;&gt;"BR",SUMPRODUCT(Mecze[[#This Row],[/PR:90]:[/BR:90]],Brudnopis!$E$25:$J$25),0)</f>
        <v>9.375E-2</v>
      </c>
      <c r="V1054" s="44">
        <f>IF(Mecze[[#This Row],[Role]]&lt;&gt;"BR",SUMPRODUCT(Mecze[[#This Row],[/PR:90]:[/BR:90]],Brudnopis!$E$26:$J$26),0)</f>
        <v>6.25E-2</v>
      </c>
      <c r="W1054" s="44">
        <f>IF(Mecze[[#This Row],[Role]]&lt;&gt;"BR",SUMPRODUCT(Mecze[[#This Row],[/PR:90]:[/BR:90]],Brudnopis!$E$27:$J$27),0)</f>
        <v>9.375E-2</v>
      </c>
      <c r="X1054" s="44">
        <f>IF(Mecze[[#This Row],[Role]]&lt;&gt;"BR",SUMPRODUCT(Mecze[[#This Row],[/PR:90]:[/BR:90]],Brudnopis!$E$28:$J$28),0)</f>
        <v>6.25E-2</v>
      </c>
      <c r="Y1054" s="35">
        <f>IF(Mecze[[#This Row],[Role]]="BR",Mecze[[#This Row],[/OB:90]]+Mecze[[#This Row],[/PC:90]],SUM(Mecze[[#This Row],[/PR:90]:[/BR:90]]))</f>
        <v>6.25E-2</v>
      </c>
      <c r="Z1054" s="35">
        <f>IF(Mecze[[#This Row],[KC]]=0,SUM(Mecze[[#This Row],[/BRI]:[/NPI]]),SUM(Mecze[[#This Row],[/BRI]:[/NPI]])*0.6)</f>
        <v>0.375</v>
      </c>
      <c r="AA1054" s="10">
        <f>IFERROR(Mecze[[#This Row],[BR]]/Mecze[[#This Row],[ST]],0)</f>
        <v>0</v>
      </c>
      <c r="AB1054">
        <f>ROUND(Mecze[[#This Row],[PD]]*Mecze[[#This Row],[%PC]],0)</f>
        <v>6</v>
      </c>
      <c r="AC1054">
        <f>ROUND(Mecze[[#This Row],[OD]]*Mecze[[#This Row],[%OU]],0)</f>
        <v>0</v>
      </c>
      <c r="AD1054" s="36" t="s">
        <v>299</v>
      </c>
      <c r="AE1054" s="36">
        <v>58</v>
      </c>
      <c r="AF1054" s="71">
        <v>3.91</v>
      </c>
      <c r="AG1054" s="37">
        <v>0</v>
      </c>
      <c r="AH1054" s="37">
        <v>0</v>
      </c>
      <c r="AI1054" s="37">
        <v>96</v>
      </c>
      <c r="AJ1054" s="37">
        <v>7</v>
      </c>
      <c r="AK1054" s="37" t="str">
        <f>VLOOKUP(Mecze[[#This Row],[Match ID]],Meczusie[Mecz]:Meczusie[RodzajMeczu],2,FALSE)</f>
        <v>Liga</v>
      </c>
    </row>
    <row r="1055" spans="1:37" x14ac:dyDescent="0.25">
      <c r="A1055" s="76">
        <v>203</v>
      </c>
      <c r="B1055" s="3" t="s">
        <v>342</v>
      </c>
      <c r="C1055" s="2" t="s">
        <v>165</v>
      </c>
      <c r="D1055" s="1">
        <v>1</v>
      </c>
      <c r="E1055" s="1">
        <v>5</v>
      </c>
      <c r="F1055" s="1">
        <v>4</v>
      </c>
      <c r="G1055" s="1">
        <v>15</v>
      </c>
      <c r="H1055" s="4">
        <v>0.8</v>
      </c>
      <c r="I1055" s="1">
        <v>0</v>
      </c>
      <c r="J1055" s="4"/>
      <c r="K1055" s="1">
        <v>0</v>
      </c>
      <c r="L1055" s="1">
        <v>0</v>
      </c>
      <c r="M1055" s="32">
        <f>IF(Mecze[[#This Row],[PR]]=0,0,Mecze[[#This Row],[PR]]/Mecze[[#This Row],[CZAS]])</f>
        <v>0</v>
      </c>
      <c r="N1055" s="32">
        <f>IF(Mecze[[#This Row],[OU]]=0,0,Mecze[[#This Row],[OU]]/Mecze[[#This Row],[CZAS]])</f>
        <v>0</v>
      </c>
      <c r="O1055" s="32">
        <f>IF(Mecze[[#This Row],[PC]]=0,0,Mecze[[#This Row],[PC]]/Mecze[[#This Row],[CZAS]])</f>
        <v>0.125</v>
      </c>
      <c r="P1055" s="32">
        <f>IF(Mecze[[#This Row],[SC]]=0,0,Mecze[[#This Row],[SC]]/Mecze[[#This Row],[CZAS]])</f>
        <v>4.1666666666666664E-2</v>
      </c>
      <c r="Q1055" s="32">
        <f>IF(Mecze[[#This Row],[OB]]=0,0,Mecze[[#This Row],[OB]]/Mecze[[#This Row],[CZAS]])</f>
        <v>0</v>
      </c>
      <c r="R1055" s="32">
        <f>IF(Mecze[[#This Row],[BR]]=0,0,Mecze[[#This Row],[BR]]/Mecze[[#This Row],[CZAS]])</f>
        <v>1.0416666666666666E-2</v>
      </c>
      <c r="S1055" s="44">
        <f>IF(Mecze[[#This Row],[Role]]="BR",SUMPRODUCT(Mecze[[#This Row],[/PR:90]:[/BR:90]],Brudnopis!$E$23:$J$23),0)</f>
        <v>0</v>
      </c>
      <c r="T1055" s="44">
        <f>IF(Mecze[[#This Row],[Role]]&lt;&gt;"BR",SUMPRODUCT(Mecze[[#This Row],[/PR:90]:[/BR:90]],Brudnopis!$E$24:$J$24),0)</f>
        <v>0.18229166666666666</v>
      </c>
      <c r="U1055" s="44">
        <f>IF(Mecze[[#This Row],[Role]]&lt;&gt;"BR",SUMPRODUCT(Mecze[[#This Row],[/PR:90]:[/BR:90]],Brudnopis!$E$25:$J$25),0)</f>
        <v>0.24479166666666666</v>
      </c>
      <c r="V1055" s="44">
        <f>IF(Mecze[[#This Row],[Role]]&lt;&gt;"BR",SUMPRODUCT(Mecze[[#This Row],[/PR:90]:[/BR:90]],Brudnopis!$E$26:$J$26),0)</f>
        <v>0.1875</v>
      </c>
      <c r="W1055" s="44">
        <f>IF(Mecze[[#This Row],[Role]]&lt;&gt;"BR",SUMPRODUCT(Mecze[[#This Row],[/PR:90]:[/BR:90]],Brudnopis!$E$27:$J$27),0)</f>
        <v>0.25</v>
      </c>
      <c r="X1055" s="44">
        <f>IF(Mecze[[#This Row],[Role]]&lt;&gt;"BR",SUMPRODUCT(Mecze[[#This Row],[/PR:90]:[/BR:90]],Brudnopis!$E$28:$J$28),0)</f>
        <v>0.23958333333333331</v>
      </c>
      <c r="Y1055" s="35">
        <f>IF(Mecze[[#This Row],[Role]]="BR",Mecze[[#This Row],[/OB:90]]+Mecze[[#This Row],[/PC:90]],SUM(Mecze[[#This Row],[/PR:90]:[/BR:90]]))</f>
        <v>0.17708333333333331</v>
      </c>
      <c r="Z1055" s="35">
        <f>IF(Mecze[[#This Row],[KC]]=0,SUM(Mecze[[#This Row],[/BRI]:[/NPI]]),SUM(Mecze[[#This Row],[/BRI]:[/NPI]])*0.6)</f>
        <v>1.1041666666666665</v>
      </c>
      <c r="AA1055" s="10">
        <f>IFERROR(Mecze[[#This Row],[BR]]/Mecze[[#This Row],[ST]],0)</f>
        <v>0.2</v>
      </c>
      <c r="AB1055">
        <f>ROUND(Mecze[[#This Row],[PD]]*Mecze[[#This Row],[%PC]],0)</f>
        <v>12</v>
      </c>
      <c r="AC1055">
        <f>ROUND(Mecze[[#This Row],[OD]]*Mecze[[#This Row],[%OU]],0)</f>
        <v>0</v>
      </c>
      <c r="AD1055" s="36" t="s">
        <v>46</v>
      </c>
      <c r="AE1055" s="36">
        <v>58</v>
      </c>
      <c r="AF1055" s="71">
        <v>8.14</v>
      </c>
      <c r="AG1055" s="37">
        <v>0</v>
      </c>
      <c r="AH1055" s="37">
        <v>0</v>
      </c>
      <c r="AI1055" s="37">
        <v>96</v>
      </c>
      <c r="AJ1055" s="37">
        <v>7</v>
      </c>
      <c r="AK1055" s="37" t="str">
        <f>VLOOKUP(Mecze[[#This Row],[Match ID]],Meczusie[Mecz]:Meczusie[RodzajMeczu],2,FALSE)</f>
        <v>Liga</v>
      </c>
    </row>
    <row r="1056" spans="1:37" x14ac:dyDescent="0.25">
      <c r="A1056" s="76">
        <v>104</v>
      </c>
      <c r="B1056" s="3" t="s">
        <v>343</v>
      </c>
      <c r="C1056" s="2" t="s">
        <v>165</v>
      </c>
      <c r="D1056" s="1">
        <v>0</v>
      </c>
      <c r="E1056" s="1">
        <v>1</v>
      </c>
      <c r="F1056" s="1">
        <v>0</v>
      </c>
      <c r="G1056" s="1">
        <v>13</v>
      </c>
      <c r="H1056" s="4">
        <v>0.46</v>
      </c>
      <c r="I1056" s="1">
        <v>5</v>
      </c>
      <c r="J1056" s="4">
        <v>1</v>
      </c>
      <c r="K1056" s="1">
        <v>0</v>
      </c>
      <c r="L1056" s="1">
        <v>2</v>
      </c>
      <c r="M1056" s="32">
        <f>IF(Mecze[[#This Row],[PR]]=0,0,Mecze[[#This Row],[PR]]/Mecze[[#This Row],[CZAS]])</f>
        <v>2.0833333333333332E-2</v>
      </c>
      <c r="N1056" s="32">
        <f>IF(Mecze[[#This Row],[OU]]=0,0,Mecze[[#This Row],[OU]]/Mecze[[#This Row],[CZAS]])</f>
        <v>5.2083333333333336E-2</v>
      </c>
      <c r="O1056" s="32">
        <f>IF(Mecze[[#This Row],[PC]]=0,0,Mecze[[#This Row],[PC]]/Mecze[[#This Row],[CZAS]])</f>
        <v>6.25E-2</v>
      </c>
      <c r="P1056" s="32">
        <f>IF(Mecze[[#This Row],[SC]]=0,0,Mecze[[#This Row],[SC]]/Mecze[[#This Row],[CZAS]])</f>
        <v>0</v>
      </c>
      <c r="Q1056" s="32">
        <f>IF(Mecze[[#This Row],[OB]]=0,0,Mecze[[#This Row],[OB]]/Mecze[[#This Row],[CZAS]])</f>
        <v>0</v>
      </c>
      <c r="R1056" s="32">
        <f>IF(Mecze[[#This Row],[BR]]=0,0,Mecze[[#This Row],[BR]]/Mecze[[#This Row],[CZAS]])</f>
        <v>0</v>
      </c>
      <c r="S1056" s="44">
        <f>IF(Mecze[[#This Row],[Role]]="BR",SUMPRODUCT(Mecze[[#This Row],[/PR:90]:[/BR:90]],Brudnopis!$E$23:$J$23),0)</f>
        <v>0</v>
      </c>
      <c r="T1056" s="44">
        <f>IF(Mecze[[#This Row],[Role]]&lt;&gt;"BR",SUMPRODUCT(Mecze[[#This Row],[/PR:90]:[/BR:90]],Brudnopis!$E$24:$J$24),0)</f>
        <v>0.16145833333333331</v>
      </c>
      <c r="U1056" s="44">
        <f>IF(Mecze[[#This Row],[Role]]&lt;&gt;"BR",SUMPRODUCT(Mecze[[#This Row],[/PR:90]:[/BR:90]],Brudnopis!$E$25:$J$25),0)</f>
        <v>0.16666666666666669</v>
      </c>
      <c r="V1056" s="44">
        <f>IF(Mecze[[#This Row],[Role]]&lt;&gt;"BR",SUMPRODUCT(Mecze[[#This Row],[/PR:90]:[/BR:90]],Brudnopis!$E$26:$J$26),0)</f>
        <v>0.13541666666666669</v>
      </c>
      <c r="W1056" s="44">
        <f>IF(Mecze[[#This Row],[Role]]&lt;&gt;"BR",SUMPRODUCT(Mecze[[#This Row],[/PR:90]:[/BR:90]],Brudnopis!$E$27:$J$27),0)</f>
        <v>0.1484375</v>
      </c>
      <c r="X1056" s="44">
        <f>IF(Mecze[[#This Row],[Role]]&lt;&gt;"BR",SUMPRODUCT(Mecze[[#This Row],[/PR:90]:[/BR:90]],Brudnopis!$E$28:$J$28),0)</f>
        <v>6.25E-2</v>
      </c>
      <c r="Y1056" s="35">
        <f>IF(Mecze[[#This Row],[Role]]="BR",Mecze[[#This Row],[/OB:90]]+Mecze[[#This Row],[/PC:90]],SUM(Mecze[[#This Row],[/PR:90]:[/BR:90]]))</f>
        <v>0.13541666666666669</v>
      </c>
      <c r="Z1056" s="35">
        <f>IF(Mecze[[#This Row],[KC]]=0,SUM(Mecze[[#This Row],[/BRI]:[/NPI]]),SUM(Mecze[[#This Row],[/BRI]:[/NPI]])*0.6)</f>
        <v>0.67447916666666674</v>
      </c>
      <c r="AA1056" s="10">
        <f>IFERROR(Mecze[[#This Row],[BR]]/Mecze[[#This Row],[ST]],0)</f>
        <v>0</v>
      </c>
      <c r="AB1056">
        <f>ROUND(Mecze[[#This Row],[PD]]*Mecze[[#This Row],[%PC]],0)</f>
        <v>6</v>
      </c>
      <c r="AC1056">
        <f>ROUND(Mecze[[#This Row],[OD]]*Mecze[[#This Row],[%OU]],0)</f>
        <v>5</v>
      </c>
      <c r="AD1056" s="36" t="s">
        <v>355</v>
      </c>
      <c r="AE1056" s="36">
        <v>58</v>
      </c>
      <c r="AF1056" s="71">
        <v>2.71</v>
      </c>
      <c r="AG1056" s="37">
        <v>0</v>
      </c>
      <c r="AH1056" s="37">
        <v>0</v>
      </c>
      <c r="AI1056" s="37">
        <v>96</v>
      </c>
      <c r="AJ1056" s="37">
        <v>7</v>
      </c>
      <c r="AK1056" s="37" t="str">
        <f>VLOOKUP(Mecze[[#This Row],[Match ID]],Meczusie[Mecz]:Meczusie[RodzajMeczu],2,FALSE)</f>
        <v>Liga</v>
      </c>
    </row>
    <row r="1057" spans="1:37" x14ac:dyDescent="0.25">
      <c r="A1057" s="76">
        <v>1</v>
      </c>
      <c r="B1057" s="3" t="s">
        <v>274</v>
      </c>
      <c r="C1057" s="2" t="s">
        <v>155</v>
      </c>
      <c r="D1057" s="1">
        <v>0</v>
      </c>
      <c r="E1057" s="1">
        <v>0</v>
      </c>
      <c r="F1057" s="1">
        <v>0</v>
      </c>
      <c r="G1057" s="1">
        <v>9</v>
      </c>
      <c r="H1057" s="4">
        <v>0.78</v>
      </c>
      <c r="I1057" s="1">
        <v>0</v>
      </c>
      <c r="J1057" s="4"/>
      <c r="K1057" s="1">
        <v>10</v>
      </c>
      <c r="L1057" s="1">
        <v>0</v>
      </c>
      <c r="M1057" s="32">
        <f>IF(Mecze[[#This Row],[PR]]=0,0,Mecze[[#This Row],[PR]]/Mecze[[#This Row],[CZAS]])</f>
        <v>0</v>
      </c>
      <c r="N1057" s="32">
        <f>IF(Mecze[[#This Row],[OU]]=0,0,Mecze[[#This Row],[OU]]/Mecze[[#This Row],[CZAS]])</f>
        <v>0</v>
      </c>
      <c r="O1057" s="32">
        <f>IF(Mecze[[#This Row],[PC]]=0,0,Mecze[[#This Row],[PC]]/Mecze[[#This Row],[CZAS]])</f>
        <v>7.2916666666666671E-2</v>
      </c>
      <c r="P1057" s="32">
        <f>IF(Mecze[[#This Row],[SC]]=0,0,Mecze[[#This Row],[SC]]/Mecze[[#This Row],[CZAS]])</f>
        <v>0</v>
      </c>
      <c r="Q1057" s="32">
        <f>IF(Mecze[[#This Row],[OB]]=0,0,Mecze[[#This Row],[OB]]/Mecze[[#This Row],[CZAS]])</f>
        <v>0.10416666666666667</v>
      </c>
      <c r="R1057" s="32">
        <f>IF(Mecze[[#This Row],[BR]]=0,0,Mecze[[#This Row],[BR]]/Mecze[[#This Row],[CZAS]])</f>
        <v>0</v>
      </c>
      <c r="S1057" s="44">
        <f>IF(Mecze[[#This Row],[Role]]="BR",SUMPRODUCT(Mecze[[#This Row],[/PR:90]:[/BR:90]],Brudnopis!$E$23:$J$23),0)</f>
        <v>0.53125</v>
      </c>
      <c r="T1057" s="44">
        <f>IF(Mecze[[#This Row],[Role]]&lt;&gt;"BR",SUMPRODUCT(Mecze[[#This Row],[/PR:90]:[/BR:90]],Brudnopis!$E$24:$J$24),0)</f>
        <v>0</v>
      </c>
      <c r="U1057" s="44">
        <f>IF(Mecze[[#This Row],[Role]]&lt;&gt;"BR",SUMPRODUCT(Mecze[[#This Row],[/PR:90]:[/BR:90]],Brudnopis!$E$25:$J$25),0)</f>
        <v>0</v>
      </c>
      <c r="V1057" s="44">
        <f>IF(Mecze[[#This Row],[Role]]&lt;&gt;"BR",SUMPRODUCT(Mecze[[#This Row],[/PR:90]:[/BR:90]],Brudnopis!$E$26:$J$26),0)</f>
        <v>0</v>
      </c>
      <c r="W1057" s="44">
        <f>IF(Mecze[[#This Row],[Role]]&lt;&gt;"BR",SUMPRODUCT(Mecze[[#This Row],[/PR:90]:[/BR:90]],Brudnopis!$E$27:$J$27),0)</f>
        <v>0</v>
      </c>
      <c r="X1057" s="44">
        <f>IF(Mecze[[#This Row],[Role]]&lt;&gt;"BR",SUMPRODUCT(Mecze[[#This Row],[/PR:90]:[/BR:90]],Brudnopis!$E$28:$J$28),0)</f>
        <v>0</v>
      </c>
      <c r="Y1057" s="35">
        <f>IF(Mecze[[#This Row],[Role]]="BR",Mecze[[#This Row],[/OB:90]]+Mecze[[#This Row],[/PC:90]],SUM(Mecze[[#This Row],[/PR:90]:[/BR:90]]))</f>
        <v>0.17708333333333334</v>
      </c>
      <c r="Z1057" s="35">
        <f>IF(Mecze[[#This Row],[KC]]=0,SUM(Mecze[[#This Row],[/BRI]:[/NPI]]),SUM(Mecze[[#This Row],[/BRI]:[/NPI]])*0.6)</f>
        <v>0.53125</v>
      </c>
      <c r="AA1057" s="10">
        <f>IFERROR(Mecze[[#This Row],[BR]]/Mecze[[#This Row],[ST]],0)</f>
        <v>0</v>
      </c>
      <c r="AB1057">
        <f>ROUND(Mecze[[#This Row],[PD]]*Mecze[[#This Row],[%PC]],0)</f>
        <v>7</v>
      </c>
      <c r="AC1057">
        <f>ROUND(Mecze[[#This Row],[OD]]*Mecze[[#This Row],[%OU]],0)</f>
        <v>0</v>
      </c>
      <c r="AD1057" s="36" t="s">
        <v>40</v>
      </c>
      <c r="AE1057" s="36">
        <v>59</v>
      </c>
      <c r="AF1057" s="71">
        <v>11.76</v>
      </c>
      <c r="AG1057" s="37">
        <v>0</v>
      </c>
      <c r="AH1057" s="37">
        <v>0</v>
      </c>
      <c r="AI1057" s="37">
        <v>96</v>
      </c>
      <c r="AJ1057" s="37">
        <v>4</v>
      </c>
      <c r="AK1057" s="37" t="str">
        <f>VLOOKUP(Mecze[[#This Row],[Match ID]],Meczusie[Mecz]:Meczusie[RodzajMeczu],2,FALSE)</f>
        <v>Liga</v>
      </c>
    </row>
    <row r="1058" spans="1:37" x14ac:dyDescent="0.25">
      <c r="A1058" s="76">
        <v>9</v>
      </c>
      <c r="B1058" s="3" t="s">
        <v>275</v>
      </c>
      <c r="C1058" s="2" t="s">
        <v>157</v>
      </c>
      <c r="D1058" s="1">
        <v>0</v>
      </c>
      <c r="E1058" s="1">
        <v>0</v>
      </c>
      <c r="F1058" s="1">
        <v>0</v>
      </c>
      <c r="G1058" s="1">
        <v>7</v>
      </c>
      <c r="H1058" s="4">
        <v>0.86</v>
      </c>
      <c r="I1058" s="1">
        <v>2</v>
      </c>
      <c r="J1058" s="4">
        <v>0</v>
      </c>
      <c r="K1058" s="1">
        <v>0</v>
      </c>
      <c r="L1058" s="1">
        <v>10</v>
      </c>
      <c r="M1058" s="32">
        <f>IF(Mecze[[#This Row],[PR]]=0,0,Mecze[[#This Row],[PR]]/Mecze[[#This Row],[CZAS]])</f>
        <v>0.10416666666666667</v>
      </c>
      <c r="N1058" s="32">
        <f>IF(Mecze[[#This Row],[OU]]=0,0,Mecze[[#This Row],[OU]]/Mecze[[#This Row],[CZAS]])</f>
        <v>0</v>
      </c>
      <c r="O1058" s="32">
        <f>IF(Mecze[[#This Row],[PC]]=0,0,Mecze[[#This Row],[PC]]/Mecze[[#This Row],[CZAS]])</f>
        <v>6.25E-2</v>
      </c>
      <c r="P1058" s="32">
        <f>IF(Mecze[[#This Row],[SC]]=0,0,Mecze[[#This Row],[SC]]/Mecze[[#This Row],[CZAS]])</f>
        <v>0</v>
      </c>
      <c r="Q1058" s="32">
        <f>IF(Mecze[[#This Row],[OB]]=0,0,Mecze[[#This Row],[OB]]/Mecze[[#This Row],[CZAS]])</f>
        <v>0</v>
      </c>
      <c r="R1058" s="32">
        <f>IF(Mecze[[#This Row],[BR]]=0,0,Mecze[[#This Row],[BR]]/Mecze[[#This Row],[CZAS]])</f>
        <v>0</v>
      </c>
      <c r="S1058" s="44">
        <f>IF(Mecze[[#This Row],[Role]]="BR",SUMPRODUCT(Mecze[[#This Row],[/PR:90]:[/BR:90]],Brudnopis!$E$23:$J$23),0)</f>
        <v>0</v>
      </c>
      <c r="T1058" s="44">
        <f>IF(Mecze[[#This Row],[Role]]&lt;&gt;"BR",SUMPRODUCT(Mecze[[#This Row],[/PR:90]:[/BR:90]],Brudnopis!$E$24:$J$24),0)</f>
        <v>0.16666666666666669</v>
      </c>
      <c r="U1058" s="44">
        <f>IF(Mecze[[#This Row],[Role]]&lt;&gt;"BR",SUMPRODUCT(Mecze[[#This Row],[/PR:90]:[/BR:90]],Brudnopis!$E$25:$J$25),0)</f>
        <v>0.19791666666666669</v>
      </c>
      <c r="V1058" s="44">
        <f>IF(Mecze[[#This Row],[Role]]&lt;&gt;"BR",SUMPRODUCT(Mecze[[#This Row],[/PR:90]:[/BR:90]],Brudnopis!$E$26:$J$26),0)</f>
        <v>0.16666666666666669</v>
      </c>
      <c r="W1058" s="44">
        <f>IF(Mecze[[#This Row],[Role]]&lt;&gt;"BR",SUMPRODUCT(Mecze[[#This Row],[/PR:90]:[/BR:90]],Brudnopis!$E$27:$J$27),0)</f>
        <v>0.171875</v>
      </c>
      <c r="X1058" s="44">
        <f>IF(Mecze[[#This Row],[Role]]&lt;&gt;"BR",SUMPRODUCT(Mecze[[#This Row],[/PR:90]:[/BR:90]],Brudnopis!$E$28:$J$28),0)</f>
        <v>6.25E-2</v>
      </c>
      <c r="Y1058" s="35">
        <f>IF(Mecze[[#This Row],[Role]]="BR",Mecze[[#This Row],[/OB:90]]+Mecze[[#This Row],[/PC:90]],SUM(Mecze[[#This Row],[/PR:90]:[/BR:90]]))</f>
        <v>0.16666666666666669</v>
      </c>
      <c r="Z1058" s="35">
        <f>IF(Mecze[[#This Row],[KC]]=0,SUM(Mecze[[#This Row],[/BRI]:[/NPI]]),SUM(Mecze[[#This Row],[/BRI]:[/NPI]])*0.6)</f>
        <v>0.765625</v>
      </c>
      <c r="AA1058" s="10">
        <f>IFERROR(Mecze[[#This Row],[BR]]/Mecze[[#This Row],[ST]],0)</f>
        <v>0</v>
      </c>
      <c r="AB1058">
        <f>ROUND(Mecze[[#This Row],[PD]]*Mecze[[#This Row],[%PC]],0)</f>
        <v>6</v>
      </c>
      <c r="AC1058">
        <f>ROUND(Mecze[[#This Row],[OD]]*Mecze[[#This Row],[%OU]],0)</f>
        <v>0</v>
      </c>
      <c r="AD1058" s="36" t="s">
        <v>47</v>
      </c>
      <c r="AE1058" s="36">
        <v>59</v>
      </c>
      <c r="AF1058" s="71">
        <v>9.14</v>
      </c>
      <c r="AG1058" s="37">
        <v>0</v>
      </c>
      <c r="AH1058" s="37">
        <v>0</v>
      </c>
      <c r="AI1058" s="37">
        <v>96</v>
      </c>
      <c r="AJ1058" s="37">
        <v>4</v>
      </c>
      <c r="AK1058" s="37" t="str">
        <f>VLOOKUP(Mecze[[#This Row],[Match ID]],Meczusie[Mecz]:Meczusie[RodzajMeczu],2,FALSE)</f>
        <v>Liga</v>
      </c>
    </row>
    <row r="1059" spans="1:37" x14ac:dyDescent="0.25">
      <c r="A1059" s="76">
        <v>4</v>
      </c>
      <c r="B1059" s="3" t="s">
        <v>276</v>
      </c>
      <c r="C1059" s="2" t="s">
        <v>157</v>
      </c>
      <c r="D1059" s="1">
        <v>0</v>
      </c>
      <c r="E1059" s="1">
        <v>0</v>
      </c>
      <c r="F1059" s="1">
        <v>0</v>
      </c>
      <c r="G1059" s="1">
        <v>7</v>
      </c>
      <c r="H1059" s="4">
        <v>1</v>
      </c>
      <c r="I1059" s="1">
        <v>6</v>
      </c>
      <c r="J1059" s="4">
        <v>0.83</v>
      </c>
      <c r="K1059" s="1">
        <v>0</v>
      </c>
      <c r="L1059" s="1">
        <v>4</v>
      </c>
      <c r="M1059" s="32">
        <f>IF(Mecze[[#This Row],[PR]]=0,0,Mecze[[#This Row],[PR]]/Mecze[[#This Row],[CZAS]])</f>
        <v>4.1666666666666664E-2</v>
      </c>
      <c r="N1059" s="32">
        <f>IF(Mecze[[#This Row],[OU]]=0,0,Mecze[[#This Row],[OU]]/Mecze[[#This Row],[CZAS]])</f>
        <v>5.2083333333333336E-2</v>
      </c>
      <c r="O1059" s="32">
        <f>IF(Mecze[[#This Row],[PC]]=0,0,Mecze[[#This Row],[PC]]/Mecze[[#This Row],[CZAS]])</f>
        <v>7.2916666666666671E-2</v>
      </c>
      <c r="P1059" s="32">
        <f>IF(Mecze[[#This Row],[SC]]=0,0,Mecze[[#This Row],[SC]]/Mecze[[#This Row],[CZAS]])</f>
        <v>0</v>
      </c>
      <c r="Q1059" s="32">
        <f>IF(Mecze[[#This Row],[OB]]=0,0,Mecze[[#This Row],[OB]]/Mecze[[#This Row],[CZAS]])</f>
        <v>0</v>
      </c>
      <c r="R1059" s="32">
        <f>IF(Mecze[[#This Row],[BR]]=0,0,Mecze[[#This Row],[BR]]/Mecze[[#This Row],[CZAS]])</f>
        <v>0</v>
      </c>
      <c r="S1059" s="44">
        <f>IF(Mecze[[#This Row],[Role]]="BR",SUMPRODUCT(Mecze[[#This Row],[/PR:90]:[/BR:90]],Brudnopis!$E$23:$J$23),0)</f>
        <v>0</v>
      </c>
      <c r="T1059" s="44">
        <f>IF(Mecze[[#This Row],[Role]]&lt;&gt;"BR",SUMPRODUCT(Mecze[[#This Row],[/PR:90]:[/BR:90]],Brudnopis!$E$24:$J$24),0)</f>
        <v>0.19270833333333331</v>
      </c>
      <c r="U1059" s="44">
        <f>IF(Mecze[[#This Row],[Role]]&lt;&gt;"BR",SUMPRODUCT(Mecze[[#This Row],[/PR:90]:[/BR:90]],Brudnopis!$E$25:$J$25),0)</f>
        <v>0.203125</v>
      </c>
      <c r="V1059" s="44">
        <f>IF(Mecze[[#This Row],[Role]]&lt;&gt;"BR",SUMPRODUCT(Mecze[[#This Row],[/PR:90]:[/BR:90]],Brudnopis!$E$26:$J$26),0)</f>
        <v>0.16666666666666669</v>
      </c>
      <c r="W1059" s="44">
        <f>IF(Mecze[[#This Row],[Role]]&lt;&gt;"BR",SUMPRODUCT(Mecze[[#This Row],[/PR:90]:[/BR:90]],Brudnopis!$E$27:$J$27),0)</f>
        <v>0.1796875</v>
      </c>
      <c r="X1059" s="44">
        <f>IF(Mecze[[#This Row],[Role]]&lt;&gt;"BR",SUMPRODUCT(Mecze[[#This Row],[/PR:90]:[/BR:90]],Brudnopis!$E$28:$J$28),0)</f>
        <v>7.2916666666666671E-2</v>
      </c>
      <c r="Y1059" s="35">
        <f>IF(Mecze[[#This Row],[Role]]="BR",Mecze[[#This Row],[/OB:90]]+Mecze[[#This Row],[/PC:90]],SUM(Mecze[[#This Row],[/PR:90]:[/BR:90]]))</f>
        <v>0.16666666666666669</v>
      </c>
      <c r="Z1059" s="35">
        <f>IF(Mecze[[#This Row],[KC]]=0,SUM(Mecze[[#This Row],[/BRI]:[/NPI]]),SUM(Mecze[[#This Row],[/BRI]:[/NPI]])*0.6)</f>
        <v>0.81510416666666663</v>
      </c>
      <c r="AA1059" s="10">
        <f>IFERROR(Mecze[[#This Row],[BR]]/Mecze[[#This Row],[ST]],0)</f>
        <v>0</v>
      </c>
      <c r="AB1059">
        <f>ROUND(Mecze[[#This Row],[PD]]*Mecze[[#This Row],[%PC]],0)</f>
        <v>7</v>
      </c>
      <c r="AC1059">
        <f>ROUND(Mecze[[#This Row],[OD]]*Mecze[[#This Row],[%OU]],0)</f>
        <v>5</v>
      </c>
      <c r="AD1059" s="36" t="s">
        <v>168</v>
      </c>
      <c r="AE1059" s="36">
        <v>59</v>
      </c>
      <c r="AF1059" s="71">
        <v>10.199999999999999</v>
      </c>
      <c r="AG1059" s="37">
        <v>0</v>
      </c>
      <c r="AH1059" s="37">
        <v>0</v>
      </c>
      <c r="AI1059" s="37">
        <v>96</v>
      </c>
      <c r="AJ1059" s="37">
        <v>4</v>
      </c>
      <c r="AK1059" s="37" t="str">
        <f>VLOOKUP(Mecze[[#This Row],[Match ID]],Meczusie[Mecz]:Meczusie[RodzajMeczu],2,FALSE)</f>
        <v>Liga</v>
      </c>
    </row>
    <row r="1060" spans="1:37" x14ac:dyDescent="0.25">
      <c r="A1060" s="76">
        <v>5</v>
      </c>
      <c r="B1060" s="3" t="s">
        <v>277</v>
      </c>
      <c r="C1060" s="2" t="s">
        <v>157</v>
      </c>
      <c r="D1060" s="1">
        <v>0</v>
      </c>
      <c r="E1060" s="1">
        <v>0</v>
      </c>
      <c r="F1060" s="1">
        <v>0</v>
      </c>
      <c r="G1060" s="1">
        <v>10</v>
      </c>
      <c r="H1060" s="4">
        <v>0.7</v>
      </c>
      <c r="I1060" s="1">
        <v>7</v>
      </c>
      <c r="J1060" s="4">
        <v>0.43</v>
      </c>
      <c r="K1060" s="1">
        <v>0</v>
      </c>
      <c r="L1060" s="1">
        <v>6</v>
      </c>
      <c r="M1060" s="32">
        <f>IF(Mecze[[#This Row],[PR]]=0,0,Mecze[[#This Row],[PR]]/Mecze[[#This Row],[CZAS]])</f>
        <v>7.2289156626506021E-2</v>
      </c>
      <c r="N1060" s="32">
        <f>IF(Mecze[[#This Row],[OU]]=0,0,Mecze[[#This Row],[OU]]/Mecze[[#This Row],[CZAS]])</f>
        <v>3.614457831325301E-2</v>
      </c>
      <c r="O1060" s="32">
        <f>IF(Mecze[[#This Row],[PC]]=0,0,Mecze[[#This Row],[PC]]/Mecze[[#This Row],[CZAS]])</f>
        <v>8.4337349397590355E-2</v>
      </c>
      <c r="P1060" s="32">
        <f>IF(Mecze[[#This Row],[SC]]=0,0,Mecze[[#This Row],[SC]]/Mecze[[#This Row],[CZAS]])</f>
        <v>0</v>
      </c>
      <c r="Q1060" s="32">
        <f>IF(Mecze[[#This Row],[OB]]=0,0,Mecze[[#This Row],[OB]]/Mecze[[#This Row],[CZAS]])</f>
        <v>0</v>
      </c>
      <c r="R1060" s="32">
        <f>IF(Mecze[[#This Row],[BR]]=0,0,Mecze[[#This Row],[BR]]/Mecze[[#This Row],[CZAS]])</f>
        <v>0</v>
      </c>
      <c r="S1060" s="44">
        <f>IF(Mecze[[#This Row],[Role]]="BR",SUMPRODUCT(Mecze[[#This Row],[/PR:90]:[/BR:90]],Brudnopis!$E$23:$J$23),0)</f>
        <v>0</v>
      </c>
      <c r="T1060" s="44">
        <f>IF(Mecze[[#This Row],[Role]]&lt;&gt;"BR",SUMPRODUCT(Mecze[[#This Row],[/PR:90]:[/BR:90]],Brudnopis!$E$24:$J$24),0)</f>
        <v>0.21084337349397589</v>
      </c>
      <c r="U1060" s="44">
        <f>IF(Mecze[[#This Row],[Role]]&lt;&gt;"BR",SUMPRODUCT(Mecze[[#This Row],[/PR:90]:[/BR:90]],Brudnopis!$E$25:$J$25),0)</f>
        <v>0.23493975903614456</v>
      </c>
      <c r="V1060" s="44">
        <f>IF(Mecze[[#This Row],[Role]]&lt;&gt;"BR",SUMPRODUCT(Mecze[[#This Row],[/PR:90]:[/BR:90]],Brudnopis!$E$26:$J$26),0)</f>
        <v>0.19277108433734938</v>
      </c>
      <c r="W1060" s="44">
        <f>IF(Mecze[[#This Row],[Role]]&lt;&gt;"BR",SUMPRODUCT(Mecze[[#This Row],[/PR:90]:[/BR:90]],Brudnopis!$E$27:$J$27),0)</f>
        <v>0.20783132530120479</v>
      </c>
      <c r="X1060" s="44">
        <f>IF(Mecze[[#This Row],[Role]]&lt;&gt;"BR",SUMPRODUCT(Mecze[[#This Row],[/PR:90]:[/BR:90]],Brudnopis!$E$28:$J$28),0)</f>
        <v>8.4337349397590355E-2</v>
      </c>
      <c r="Y1060" s="35">
        <f>IF(Mecze[[#This Row],[Role]]="BR",Mecze[[#This Row],[/OB:90]]+Mecze[[#This Row],[/PC:90]],SUM(Mecze[[#This Row],[/PR:90]:[/BR:90]]))</f>
        <v>0.19277108433734938</v>
      </c>
      <c r="Z1060" s="35">
        <f>IF(Mecze[[#This Row],[KC]]=0,SUM(Mecze[[#This Row],[/BRI]:[/NPI]]),SUM(Mecze[[#This Row],[/BRI]:[/NPI]])*0.6)</f>
        <v>0.93072289156626486</v>
      </c>
      <c r="AA1060" s="10">
        <f>IFERROR(Mecze[[#This Row],[BR]]/Mecze[[#This Row],[ST]],0)</f>
        <v>0</v>
      </c>
      <c r="AB1060">
        <f>ROUND(Mecze[[#This Row],[PD]]*Mecze[[#This Row],[%PC]],0)</f>
        <v>7</v>
      </c>
      <c r="AC1060">
        <f>ROUND(Mecze[[#This Row],[OD]]*Mecze[[#This Row],[%OU]],0)</f>
        <v>3</v>
      </c>
      <c r="AD1060" s="36" t="s">
        <v>167</v>
      </c>
      <c r="AE1060" s="36">
        <v>59</v>
      </c>
      <c r="AF1060" s="71">
        <v>8.3000000000000007</v>
      </c>
      <c r="AG1060" s="37">
        <v>0</v>
      </c>
      <c r="AH1060" s="37">
        <v>0</v>
      </c>
      <c r="AI1060" s="37">
        <v>83</v>
      </c>
      <c r="AJ1060" s="37">
        <v>4</v>
      </c>
      <c r="AK1060" s="37" t="str">
        <f>VLOOKUP(Mecze[[#This Row],[Match ID]],Meczusie[Mecz]:Meczusie[RodzajMeczu],2,FALSE)</f>
        <v>Liga</v>
      </c>
    </row>
    <row r="1061" spans="1:37" x14ac:dyDescent="0.25">
      <c r="A1061" s="76">
        <v>12</v>
      </c>
      <c r="B1061" s="3" t="s">
        <v>278</v>
      </c>
      <c r="C1061" s="2" t="s">
        <v>160</v>
      </c>
      <c r="D1061" s="1">
        <v>1</v>
      </c>
      <c r="E1061" s="1">
        <v>1</v>
      </c>
      <c r="F1061" s="1">
        <v>1</v>
      </c>
      <c r="G1061" s="1">
        <v>9</v>
      </c>
      <c r="H1061" s="4">
        <v>0.89</v>
      </c>
      <c r="I1061" s="1">
        <v>3</v>
      </c>
      <c r="J1061" s="4">
        <v>0.33</v>
      </c>
      <c r="K1061" s="1">
        <v>0</v>
      </c>
      <c r="L1061" s="1">
        <v>4</v>
      </c>
      <c r="M1061" s="32">
        <f>IF(Mecze[[#This Row],[PR]]=0,0,Mecze[[#This Row],[PR]]/Mecze[[#This Row],[CZAS]])</f>
        <v>4.1666666666666664E-2</v>
      </c>
      <c r="N1061" s="32">
        <f>IF(Mecze[[#This Row],[OU]]=0,0,Mecze[[#This Row],[OU]]/Mecze[[#This Row],[CZAS]])</f>
        <v>1.0416666666666666E-2</v>
      </c>
      <c r="O1061" s="32">
        <f>IF(Mecze[[#This Row],[PC]]=0,0,Mecze[[#This Row],[PC]]/Mecze[[#This Row],[CZAS]])</f>
        <v>8.3333333333333329E-2</v>
      </c>
      <c r="P1061" s="32">
        <f>IF(Mecze[[#This Row],[SC]]=0,0,Mecze[[#This Row],[SC]]/Mecze[[#This Row],[CZAS]])</f>
        <v>1.0416666666666666E-2</v>
      </c>
      <c r="Q1061" s="32">
        <f>IF(Mecze[[#This Row],[OB]]=0,0,Mecze[[#This Row],[OB]]/Mecze[[#This Row],[CZAS]])</f>
        <v>0</v>
      </c>
      <c r="R1061" s="32">
        <f>IF(Mecze[[#This Row],[BR]]=0,0,Mecze[[#This Row],[BR]]/Mecze[[#This Row],[CZAS]])</f>
        <v>1.0416666666666666E-2</v>
      </c>
      <c r="S1061" s="44">
        <f>IF(Mecze[[#This Row],[Role]]="BR",SUMPRODUCT(Mecze[[#This Row],[/PR:90]:[/BR:90]],Brudnopis!$E$23:$J$23),0)</f>
        <v>0</v>
      </c>
      <c r="T1061" s="44">
        <f>IF(Mecze[[#This Row],[Role]]&lt;&gt;"BR",SUMPRODUCT(Mecze[[#This Row],[/PR:90]:[/BR:90]],Brudnopis!$E$24:$J$24),0)</f>
        <v>0.16666666666666666</v>
      </c>
      <c r="U1061" s="44">
        <f>IF(Mecze[[#This Row],[Role]]&lt;&gt;"BR",SUMPRODUCT(Mecze[[#This Row],[/PR:90]:[/BR:90]],Brudnopis!$E$25:$J$25),0)</f>
        <v>0.20312499999999997</v>
      </c>
      <c r="V1061" s="44">
        <f>IF(Mecze[[#This Row],[Role]]&lt;&gt;"BR",SUMPRODUCT(Mecze[[#This Row],[/PR:90]:[/BR:90]],Brudnopis!$E$26:$J$26),0)</f>
        <v>0.16666666666666666</v>
      </c>
      <c r="W1061" s="44">
        <f>IF(Mecze[[#This Row],[Role]]&lt;&gt;"BR",SUMPRODUCT(Mecze[[#This Row],[/PR:90]:[/BR:90]],Brudnopis!$E$27:$J$27),0)</f>
        <v>0.1953125</v>
      </c>
      <c r="X1061" s="44">
        <f>IF(Mecze[[#This Row],[Role]]&lt;&gt;"BR",SUMPRODUCT(Mecze[[#This Row],[/PR:90]:[/BR:90]],Brudnopis!$E$28:$J$28),0)</f>
        <v>0.13541666666666666</v>
      </c>
      <c r="Y1061" s="35">
        <f>IF(Mecze[[#This Row],[Role]]="BR",Mecze[[#This Row],[/OB:90]]+Mecze[[#This Row],[/PC:90]],SUM(Mecze[[#This Row],[/PR:90]:[/BR:90]]))</f>
        <v>0.15624999999999997</v>
      </c>
      <c r="Z1061" s="35">
        <f>IF(Mecze[[#This Row],[KC]]=0,SUM(Mecze[[#This Row],[/BRI]:[/NPI]]),SUM(Mecze[[#This Row],[/BRI]:[/NPI]])*0.6)</f>
        <v>0.86718749999999989</v>
      </c>
      <c r="AA1061" s="10">
        <f>IFERROR(Mecze[[#This Row],[BR]]/Mecze[[#This Row],[ST]],0)</f>
        <v>1</v>
      </c>
      <c r="AB1061">
        <f>ROUND(Mecze[[#This Row],[PD]]*Mecze[[#This Row],[%PC]],0)</f>
        <v>8</v>
      </c>
      <c r="AC1061">
        <f>ROUND(Mecze[[#This Row],[OD]]*Mecze[[#This Row],[%OU]],0)</f>
        <v>1</v>
      </c>
      <c r="AD1061" s="36" t="s">
        <v>41</v>
      </c>
      <c r="AE1061" s="36">
        <v>59</v>
      </c>
      <c r="AF1061" s="71">
        <v>12.34</v>
      </c>
      <c r="AG1061" s="37">
        <v>0</v>
      </c>
      <c r="AH1061" s="37">
        <v>0</v>
      </c>
      <c r="AI1061" s="37">
        <v>96</v>
      </c>
      <c r="AJ1061" s="37">
        <v>4</v>
      </c>
      <c r="AK1061" s="37" t="str">
        <f>VLOOKUP(Mecze[[#This Row],[Match ID]],Meczusie[Mecz]:Meczusie[RodzajMeczu],2,FALSE)</f>
        <v>Liga</v>
      </c>
    </row>
    <row r="1062" spans="1:37" x14ac:dyDescent="0.25">
      <c r="A1062" s="76">
        <v>7</v>
      </c>
      <c r="B1062" s="3" t="s">
        <v>279</v>
      </c>
      <c r="C1062" s="2" t="s">
        <v>160</v>
      </c>
      <c r="D1062" s="1">
        <v>0</v>
      </c>
      <c r="E1062" s="1">
        <v>0</v>
      </c>
      <c r="F1062" s="1">
        <v>0</v>
      </c>
      <c r="G1062" s="1">
        <v>11</v>
      </c>
      <c r="H1062" s="4">
        <v>0.91</v>
      </c>
      <c r="I1062" s="1">
        <v>2</v>
      </c>
      <c r="J1062" s="4">
        <v>1</v>
      </c>
      <c r="K1062" s="1">
        <v>0</v>
      </c>
      <c r="L1062" s="1">
        <v>4</v>
      </c>
      <c r="M1062" s="32">
        <f>IF(Mecze[[#This Row],[PR]]=0,0,Mecze[[#This Row],[PR]]/Mecze[[#This Row],[CZAS]])</f>
        <v>4.1666666666666664E-2</v>
      </c>
      <c r="N1062" s="32">
        <f>IF(Mecze[[#This Row],[OU]]=0,0,Mecze[[#This Row],[OU]]/Mecze[[#This Row],[CZAS]])</f>
        <v>2.0833333333333332E-2</v>
      </c>
      <c r="O1062" s="32">
        <f>IF(Mecze[[#This Row],[PC]]=0,0,Mecze[[#This Row],[PC]]/Mecze[[#This Row],[CZAS]])</f>
        <v>0.10416666666666667</v>
      </c>
      <c r="P1062" s="32">
        <f>IF(Mecze[[#This Row],[SC]]=0,0,Mecze[[#This Row],[SC]]/Mecze[[#This Row],[CZAS]])</f>
        <v>0</v>
      </c>
      <c r="Q1062" s="32">
        <f>IF(Mecze[[#This Row],[OB]]=0,0,Mecze[[#This Row],[OB]]/Mecze[[#This Row],[CZAS]])</f>
        <v>0</v>
      </c>
      <c r="R1062" s="32">
        <f>IF(Mecze[[#This Row],[BR]]=0,0,Mecze[[#This Row],[BR]]/Mecze[[#This Row],[CZAS]])</f>
        <v>0</v>
      </c>
      <c r="S1062" s="44">
        <f>IF(Mecze[[#This Row],[Role]]="BR",SUMPRODUCT(Mecze[[#This Row],[/PR:90]:[/BR:90]],Brudnopis!$E$23:$J$23),0)</f>
        <v>0</v>
      </c>
      <c r="T1062" s="44">
        <f>IF(Mecze[[#This Row],[Role]]&lt;&gt;"BR",SUMPRODUCT(Mecze[[#This Row],[/PR:90]:[/BR:90]],Brudnopis!$E$24:$J$24),0)</f>
        <v>0.17708333333333331</v>
      </c>
      <c r="U1062" s="44">
        <f>IF(Mecze[[#This Row],[Role]]&lt;&gt;"BR",SUMPRODUCT(Mecze[[#This Row],[/PR:90]:[/BR:90]],Brudnopis!$E$25:$J$25),0)</f>
        <v>0.21875</v>
      </c>
      <c r="V1062" s="44">
        <f>IF(Mecze[[#This Row],[Role]]&lt;&gt;"BR",SUMPRODUCT(Mecze[[#This Row],[/PR:90]:[/BR:90]],Brudnopis!$E$26:$J$26),0)</f>
        <v>0.16666666666666669</v>
      </c>
      <c r="W1062" s="44">
        <f>IF(Mecze[[#This Row],[Role]]&lt;&gt;"BR",SUMPRODUCT(Mecze[[#This Row],[/PR:90]:[/BR:90]],Brudnopis!$E$27:$J$27),0)</f>
        <v>0.203125</v>
      </c>
      <c r="X1062" s="44">
        <f>IF(Mecze[[#This Row],[Role]]&lt;&gt;"BR",SUMPRODUCT(Mecze[[#This Row],[/PR:90]:[/BR:90]],Brudnopis!$E$28:$J$28),0)</f>
        <v>0.10416666666666667</v>
      </c>
      <c r="Y1062" s="35">
        <f>IF(Mecze[[#This Row],[Role]]="BR",Mecze[[#This Row],[/OB:90]]+Mecze[[#This Row],[/PC:90]],SUM(Mecze[[#This Row],[/PR:90]:[/BR:90]]))</f>
        <v>0.16666666666666669</v>
      </c>
      <c r="Z1062" s="35">
        <f>IF(Mecze[[#This Row],[KC]]=0,SUM(Mecze[[#This Row],[/BRI]:[/NPI]]),SUM(Mecze[[#This Row],[/BRI]:[/NPI]])*0.6)</f>
        <v>0.86979166666666663</v>
      </c>
      <c r="AA1062" s="10">
        <f>IFERROR(Mecze[[#This Row],[BR]]/Mecze[[#This Row],[ST]],0)</f>
        <v>0</v>
      </c>
      <c r="AB1062">
        <f>ROUND(Mecze[[#This Row],[PD]]*Mecze[[#This Row],[%PC]],0)</f>
        <v>10</v>
      </c>
      <c r="AC1062">
        <f>ROUND(Mecze[[#This Row],[OD]]*Mecze[[#This Row],[%OU]],0)</f>
        <v>2</v>
      </c>
      <c r="AD1062" s="36" t="s">
        <v>41</v>
      </c>
      <c r="AE1062" s="36">
        <v>59</v>
      </c>
      <c r="AF1062" s="71">
        <v>10</v>
      </c>
      <c r="AG1062" s="37">
        <v>0</v>
      </c>
      <c r="AH1062" s="37">
        <v>0</v>
      </c>
      <c r="AI1062" s="37">
        <v>96</v>
      </c>
      <c r="AJ1062" s="37">
        <v>4</v>
      </c>
      <c r="AK1062" s="37" t="str">
        <f>VLOOKUP(Mecze[[#This Row],[Match ID]],Meczusie[Mecz]:Meczusie[RodzajMeczu],2,FALSE)</f>
        <v>Liga</v>
      </c>
    </row>
    <row r="1063" spans="1:37" x14ac:dyDescent="0.25">
      <c r="A1063" s="76">
        <v>6</v>
      </c>
      <c r="B1063" s="3" t="s">
        <v>280</v>
      </c>
      <c r="C1063" s="2" t="s">
        <v>160</v>
      </c>
      <c r="D1063" s="1">
        <v>1</v>
      </c>
      <c r="E1063" s="1">
        <v>1</v>
      </c>
      <c r="F1063" s="1">
        <v>1</v>
      </c>
      <c r="G1063" s="1">
        <v>18</v>
      </c>
      <c r="H1063" s="4">
        <v>0.83</v>
      </c>
      <c r="I1063" s="1">
        <v>10</v>
      </c>
      <c r="J1063" s="4">
        <v>0.5</v>
      </c>
      <c r="K1063" s="1">
        <v>0</v>
      </c>
      <c r="L1063" s="1">
        <v>3</v>
      </c>
      <c r="M1063" s="32">
        <f>IF(Mecze[[#This Row],[PR]]=0,0,Mecze[[#This Row],[PR]]/Mecze[[#This Row],[CZAS]])</f>
        <v>3.125E-2</v>
      </c>
      <c r="N1063" s="32">
        <f>IF(Mecze[[#This Row],[OU]]=0,0,Mecze[[#This Row],[OU]]/Mecze[[#This Row],[CZAS]])</f>
        <v>5.2083333333333336E-2</v>
      </c>
      <c r="O1063" s="32">
        <f>IF(Mecze[[#This Row],[PC]]=0,0,Mecze[[#This Row],[PC]]/Mecze[[#This Row],[CZAS]])</f>
        <v>0.15625</v>
      </c>
      <c r="P1063" s="32">
        <f>IF(Mecze[[#This Row],[SC]]=0,0,Mecze[[#This Row],[SC]]/Mecze[[#This Row],[CZAS]])</f>
        <v>1.0416666666666666E-2</v>
      </c>
      <c r="Q1063" s="32">
        <f>IF(Mecze[[#This Row],[OB]]=0,0,Mecze[[#This Row],[OB]]/Mecze[[#This Row],[CZAS]])</f>
        <v>0</v>
      </c>
      <c r="R1063" s="32">
        <f>IF(Mecze[[#This Row],[BR]]=0,0,Mecze[[#This Row],[BR]]/Mecze[[#This Row],[CZAS]])</f>
        <v>1.0416666666666666E-2</v>
      </c>
      <c r="S1063" s="44">
        <f>IF(Mecze[[#This Row],[Role]]="BR",SUMPRODUCT(Mecze[[#This Row],[/PR:90]:[/BR:90]],Brudnopis!$E$23:$J$23),0)</f>
        <v>0</v>
      </c>
      <c r="T1063" s="44">
        <f>IF(Mecze[[#This Row],[Role]]&lt;&gt;"BR",SUMPRODUCT(Mecze[[#This Row],[/PR:90]:[/BR:90]],Brudnopis!$E$24:$J$24),0)</f>
        <v>0.29166666666666669</v>
      </c>
      <c r="U1063" s="44">
        <f>IF(Mecze[[#This Row],[Role]]&lt;&gt;"BR",SUMPRODUCT(Mecze[[#This Row],[/PR:90]:[/BR:90]],Brudnopis!$E$25:$J$25),0)</f>
        <v>0.34375000000000006</v>
      </c>
      <c r="V1063" s="44">
        <f>IF(Mecze[[#This Row],[Role]]&lt;&gt;"BR",SUMPRODUCT(Mecze[[#This Row],[/PR:90]:[/BR:90]],Brudnopis!$E$26:$J$26),0)</f>
        <v>0.27083333333333331</v>
      </c>
      <c r="W1063" s="44">
        <f>IF(Mecze[[#This Row],[Role]]&lt;&gt;"BR",SUMPRODUCT(Mecze[[#This Row],[/PR:90]:[/BR:90]],Brudnopis!$E$27:$J$27),0)</f>
        <v>0.328125</v>
      </c>
      <c r="X1063" s="44">
        <f>IF(Mecze[[#This Row],[Role]]&lt;&gt;"BR",SUMPRODUCT(Mecze[[#This Row],[/PR:90]:[/BR:90]],Brudnopis!$E$28:$J$28),0)</f>
        <v>0.20833333333333334</v>
      </c>
      <c r="Y1063" s="35">
        <f>IF(Mecze[[#This Row],[Role]]="BR",Mecze[[#This Row],[/OB:90]]+Mecze[[#This Row],[/PC:90]],SUM(Mecze[[#This Row],[/PR:90]:[/BR:90]]))</f>
        <v>0.26041666666666669</v>
      </c>
      <c r="Z1063" s="35">
        <f>IF(Mecze[[#This Row],[KC]]=0,SUM(Mecze[[#This Row],[/BRI]:[/NPI]]),SUM(Mecze[[#This Row],[/BRI]:[/NPI]])*0.6)</f>
        <v>1.4427083333333333</v>
      </c>
      <c r="AA1063" s="10">
        <f>IFERROR(Mecze[[#This Row],[BR]]/Mecze[[#This Row],[ST]],0)</f>
        <v>1</v>
      </c>
      <c r="AB1063">
        <f>ROUND(Mecze[[#This Row],[PD]]*Mecze[[#This Row],[%PC]],0)</f>
        <v>15</v>
      </c>
      <c r="AC1063">
        <f>ROUND(Mecze[[#This Row],[OD]]*Mecze[[#This Row],[%OU]],0)</f>
        <v>5</v>
      </c>
      <c r="AD1063" s="36" t="s">
        <v>67</v>
      </c>
      <c r="AE1063" s="36">
        <v>59</v>
      </c>
      <c r="AF1063" s="71">
        <v>12.13</v>
      </c>
      <c r="AG1063" s="37">
        <v>0</v>
      </c>
      <c r="AH1063" s="37">
        <v>0</v>
      </c>
      <c r="AI1063" s="37">
        <v>96</v>
      </c>
      <c r="AJ1063" s="37">
        <v>4</v>
      </c>
      <c r="AK1063" s="37" t="str">
        <f>VLOOKUP(Mecze[[#This Row],[Match ID]],Meczusie[Mecz]:Meczusie[RodzajMeczu],2,FALSE)</f>
        <v>Liga</v>
      </c>
    </row>
    <row r="1064" spans="1:37" x14ac:dyDescent="0.25">
      <c r="A1064" s="76">
        <v>14</v>
      </c>
      <c r="B1064" s="3" t="s">
        <v>281</v>
      </c>
      <c r="C1064" s="2" t="s">
        <v>160</v>
      </c>
      <c r="D1064" s="1">
        <v>0</v>
      </c>
      <c r="E1064" s="1">
        <v>0</v>
      </c>
      <c r="F1064" s="1">
        <v>0</v>
      </c>
      <c r="G1064" s="1">
        <v>9</v>
      </c>
      <c r="H1064" s="4">
        <v>0.67</v>
      </c>
      <c r="I1064" s="1">
        <v>1</v>
      </c>
      <c r="J1064" s="4">
        <v>1</v>
      </c>
      <c r="K1064" s="1">
        <v>0</v>
      </c>
      <c r="L1064" s="1">
        <v>0</v>
      </c>
      <c r="M1064" s="32">
        <f>IF(Mecze[[#This Row],[PR]]=0,0,Mecze[[#This Row],[PR]]/Mecze[[#This Row],[CZAS]])</f>
        <v>0</v>
      </c>
      <c r="N1064" s="32">
        <f>IF(Mecze[[#This Row],[OU]]=0,0,Mecze[[#This Row],[OU]]/Mecze[[#This Row],[CZAS]])</f>
        <v>1.4925373134328358E-2</v>
      </c>
      <c r="O1064" s="32">
        <f>IF(Mecze[[#This Row],[PC]]=0,0,Mecze[[#This Row],[PC]]/Mecze[[#This Row],[CZAS]])</f>
        <v>8.9552238805970144E-2</v>
      </c>
      <c r="P1064" s="32">
        <f>IF(Mecze[[#This Row],[SC]]=0,0,Mecze[[#This Row],[SC]]/Mecze[[#This Row],[CZAS]])</f>
        <v>0</v>
      </c>
      <c r="Q1064" s="32">
        <f>IF(Mecze[[#This Row],[OB]]=0,0,Mecze[[#This Row],[OB]]/Mecze[[#This Row],[CZAS]])</f>
        <v>0</v>
      </c>
      <c r="R1064" s="32">
        <f>IF(Mecze[[#This Row],[BR]]=0,0,Mecze[[#This Row],[BR]]/Mecze[[#This Row],[CZAS]])</f>
        <v>0</v>
      </c>
      <c r="S1064" s="44">
        <f>IF(Mecze[[#This Row],[Role]]="BR",SUMPRODUCT(Mecze[[#This Row],[/PR:90]:[/BR:90]],Brudnopis!$E$23:$J$23),0)</f>
        <v>0</v>
      </c>
      <c r="T1064" s="44">
        <f>IF(Mecze[[#This Row],[Role]]&lt;&gt;"BR",SUMPRODUCT(Mecze[[#This Row],[/PR:90]:[/BR:90]],Brudnopis!$E$24:$J$24),0)</f>
        <v>0.11194029850746268</v>
      </c>
      <c r="U1064" s="44">
        <f>IF(Mecze[[#This Row],[Role]]&lt;&gt;"BR",SUMPRODUCT(Mecze[[#This Row],[/PR:90]:[/BR:90]],Brudnopis!$E$25:$J$25),0)</f>
        <v>0.14925373134328357</v>
      </c>
      <c r="V1064" s="44">
        <f>IF(Mecze[[#This Row],[Role]]&lt;&gt;"BR",SUMPRODUCT(Mecze[[#This Row],[/PR:90]:[/BR:90]],Brudnopis!$E$26:$J$26),0)</f>
        <v>0.1044776119402985</v>
      </c>
      <c r="W1064" s="44">
        <f>IF(Mecze[[#This Row],[Role]]&lt;&gt;"BR",SUMPRODUCT(Mecze[[#This Row],[/PR:90]:[/BR:90]],Brudnopis!$E$27:$J$27),0)</f>
        <v>0.1455223880597015</v>
      </c>
      <c r="X1064" s="44">
        <f>IF(Mecze[[#This Row],[Role]]&lt;&gt;"BR",SUMPRODUCT(Mecze[[#This Row],[/PR:90]:[/BR:90]],Brudnopis!$E$28:$J$28),0)</f>
        <v>8.9552238805970144E-2</v>
      </c>
      <c r="Y1064" s="35">
        <f>IF(Mecze[[#This Row],[Role]]="BR",Mecze[[#This Row],[/OB:90]]+Mecze[[#This Row],[/PC:90]],SUM(Mecze[[#This Row],[/PR:90]:[/BR:90]]))</f>
        <v>0.1044776119402985</v>
      </c>
      <c r="Z1064" s="35">
        <f>IF(Mecze[[#This Row],[KC]]=0,SUM(Mecze[[#This Row],[/BRI]:[/NPI]]),SUM(Mecze[[#This Row],[/BRI]:[/NPI]])*0.6)</f>
        <v>0.60074626865671643</v>
      </c>
      <c r="AA1064" s="10">
        <f>IFERROR(Mecze[[#This Row],[BR]]/Mecze[[#This Row],[ST]],0)</f>
        <v>0</v>
      </c>
      <c r="AB1064">
        <f>ROUND(Mecze[[#This Row],[PD]]*Mecze[[#This Row],[%PC]],0)</f>
        <v>6</v>
      </c>
      <c r="AC1064">
        <f>ROUND(Mecze[[#This Row],[OD]]*Mecze[[#This Row],[%OU]],0)</f>
        <v>1</v>
      </c>
      <c r="AD1064" s="36" t="s">
        <v>171</v>
      </c>
      <c r="AE1064" s="36">
        <v>59</v>
      </c>
      <c r="AF1064" s="71">
        <v>8.25</v>
      </c>
      <c r="AG1064" s="37">
        <v>0</v>
      </c>
      <c r="AH1064" s="37">
        <v>0</v>
      </c>
      <c r="AI1064" s="37">
        <v>67</v>
      </c>
      <c r="AJ1064" s="37">
        <v>4</v>
      </c>
      <c r="AK1064" s="37" t="str">
        <f>VLOOKUP(Mecze[[#This Row],[Match ID]],Meczusie[Mecz]:Meczusie[RodzajMeczu],2,FALSE)</f>
        <v>Liga</v>
      </c>
    </row>
    <row r="1065" spans="1:37" x14ac:dyDescent="0.25">
      <c r="A1065" s="76">
        <v>11</v>
      </c>
      <c r="B1065" s="3" t="s">
        <v>282</v>
      </c>
      <c r="C1065" s="2" t="s">
        <v>165</v>
      </c>
      <c r="D1065" s="1">
        <v>0</v>
      </c>
      <c r="E1065" s="1">
        <v>6</v>
      </c>
      <c r="F1065" s="1">
        <v>6</v>
      </c>
      <c r="G1065" s="1">
        <v>6</v>
      </c>
      <c r="H1065" s="4">
        <v>0.83</v>
      </c>
      <c r="I1065" s="1">
        <v>2</v>
      </c>
      <c r="J1065" s="4">
        <v>0.5</v>
      </c>
      <c r="K1065" s="1">
        <v>0</v>
      </c>
      <c r="L1065" s="1">
        <v>1</v>
      </c>
      <c r="M1065" s="32">
        <f>IF(Mecze[[#This Row],[PR]]=0,0,Mecze[[#This Row],[PR]]/Mecze[[#This Row],[CZAS]])</f>
        <v>1.2048192771084338E-2</v>
      </c>
      <c r="N1065" s="32">
        <f>IF(Mecze[[#This Row],[OU]]=0,0,Mecze[[#This Row],[OU]]/Mecze[[#This Row],[CZAS]])</f>
        <v>1.2048192771084338E-2</v>
      </c>
      <c r="O1065" s="32">
        <f>IF(Mecze[[#This Row],[PC]]=0,0,Mecze[[#This Row],[PC]]/Mecze[[#This Row],[CZAS]])</f>
        <v>6.0240963855421686E-2</v>
      </c>
      <c r="P1065" s="32">
        <f>IF(Mecze[[#This Row],[SC]]=0,0,Mecze[[#This Row],[SC]]/Mecze[[#This Row],[CZAS]])</f>
        <v>7.2289156626506021E-2</v>
      </c>
      <c r="Q1065" s="32">
        <f>IF(Mecze[[#This Row],[OB]]=0,0,Mecze[[#This Row],[OB]]/Mecze[[#This Row],[CZAS]])</f>
        <v>0</v>
      </c>
      <c r="R1065" s="32">
        <f>IF(Mecze[[#This Row],[BR]]=0,0,Mecze[[#This Row],[BR]]/Mecze[[#This Row],[CZAS]])</f>
        <v>0</v>
      </c>
      <c r="S1065" s="44">
        <f>IF(Mecze[[#This Row],[Role]]="BR",SUMPRODUCT(Mecze[[#This Row],[/PR:90]:[/BR:90]],Brudnopis!$E$23:$J$23),0)</f>
        <v>0</v>
      </c>
      <c r="T1065" s="44">
        <f>IF(Mecze[[#This Row],[Role]]&lt;&gt;"BR",SUMPRODUCT(Mecze[[#This Row],[/PR:90]:[/BR:90]],Brudnopis!$E$24:$J$24),0)</f>
        <v>0.16265060240963855</v>
      </c>
      <c r="U1065" s="44">
        <f>IF(Mecze[[#This Row],[Role]]&lt;&gt;"BR",SUMPRODUCT(Mecze[[#This Row],[/PR:90]:[/BR:90]],Brudnopis!$E$25:$J$25),0)</f>
        <v>0.18674698795180722</v>
      </c>
      <c r="V1065" s="44">
        <f>IF(Mecze[[#This Row],[Role]]&lt;&gt;"BR",SUMPRODUCT(Mecze[[#This Row],[/PR:90]:[/BR:90]],Brudnopis!$E$26:$J$26),0)</f>
        <v>0.15662650602409639</v>
      </c>
      <c r="W1065" s="44">
        <f>IF(Mecze[[#This Row],[Role]]&lt;&gt;"BR",SUMPRODUCT(Mecze[[#This Row],[/PR:90]:[/BR:90]],Brudnopis!$E$27:$J$27),0)</f>
        <v>0.18072289156626506</v>
      </c>
      <c r="X1065" s="44">
        <f>IF(Mecze[[#This Row],[Role]]&lt;&gt;"BR",SUMPRODUCT(Mecze[[#This Row],[/PR:90]:[/BR:90]],Brudnopis!$E$28:$J$28),0)</f>
        <v>0.20481927710843373</v>
      </c>
      <c r="Y1065" s="35">
        <f>IF(Mecze[[#This Row],[Role]]="BR",Mecze[[#This Row],[/OB:90]]+Mecze[[#This Row],[/PC:90]],SUM(Mecze[[#This Row],[/PR:90]:[/BR:90]]))</f>
        <v>0.15662650602409639</v>
      </c>
      <c r="Z1065" s="35">
        <f>IF(Mecze[[#This Row],[KC]]=0,SUM(Mecze[[#This Row],[/BRI]:[/NPI]]),SUM(Mecze[[#This Row],[/BRI]:[/NPI]])*0.6)</f>
        <v>0.89156626506024106</v>
      </c>
      <c r="AA1065" s="10">
        <f>IFERROR(Mecze[[#This Row],[BR]]/Mecze[[#This Row],[ST]],0)</f>
        <v>0</v>
      </c>
      <c r="AB1065">
        <f>ROUND(Mecze[[#This Row],[PD]]*Mecze[[#This Row],[%PC]],0)</f>
        <v>5</v>
      </c>
      <c r="AC1065">
        <f>ROUND(Mecze[[#This Row],[OD]]*Mecze[[#This Row],[%OU]],0)</f>
        <v>1</v>
      </c>
      <c r="AD1065" s="36" t="s">
        <v>46</v>
      </c>
      <c r="AE1065" s="36">
        <v>59</v>
      </c>
      <c r="AF1065" s="71">
        <v>7.5</v>
      </c>
      <c r="AG1065" s="37">
        <v>0</v>
      </c>
      <c r="AH1065" s="37">
        <v>0</v>
      </c>
      <c r="AI1065" s="37">
        <v>83</v>
      </c>
      <c r="AJ1065" s="37">
        <v>4</v>
      </c>
      <c r="AK1065" s="37" t="str">
        <f>VLOOKUP(Mecze[[#This Row],[Match ID]],Meczusie[Mecz]:Meczusie[RodzajMeczu],2,FALSE)</f>
        <v>Liga</v>
      </c>
    </row>
    <row r="1066" spans="1:37" x14ac:dyDescent="0.25">
      <c r="A1066" s="76">
        <v>8</v>
      </c>
      <c r="B1066" s="3" t="s">
        <v>283</v>
      </c>
      <c r="C1066" s="2" t="s">
        <v>165</v>
      </c>
      <c r="D1066" s="1">
        <v>0</v>
      </c>
      <c r="E1066" s="1">
        <v>3</v>
      </c>
      <c r="F1066" s="1">
        <v>3</v>
      </c>
      <c r="G1066" s="1">
        <v>18</v>
      </c>
      <c r="H1066" s="4">
        <v>0.67</v>
      </c>
      <c r="I1066" s="1">
        <v>5</v>
      </c>
      <c r="J1066" s="4">
        <v>0.6</v>
      </c>
      <c r="K1066" s="1">
        <v>0</v>
      </c>
      <c r="L1066" s="1">
        <v>0</v>
      </c>
      <c r="M1066" s="32">
        <f>IF(Mecze[[#This Row],[PR]]=0,0,Mecze[[#This Row],[PR]]/Mecze[[#This Row],[CZAS]])</f>
        <v>0</v>
      </c>
      <c r="N1066" s="32">
        <f>IF(Mecze[[#This Row],[OU]]=0,0,Mecze[[#This Row],[OU]]/Mecze[[#This Row],[CZAS]])</f>
        <v>3.125E-2</v>
      </c>
      <c r="O1066" s="32">
        <f>IF(Mecze[[#This Row],[PC]]=0,0,Mecze[[#This Row],[PC]]/Mecze[[#This Row],[CZAS]])</f>
        <v>0.125</v>
      </c>
      <c r="P1066" s="32">
        <f>IF(Mecze[[#This Row],[SC]]=0,0,Mecze[[#This Row],[SC]]/Mecze[[#This Row],[CZAS]])</f>
        <v>3.125E-2</v>
      </c>
      <c r="Q1066" s="32">
        <f>IF(Mecze[[#This Row],[OB]]=0,0,Mecze[[#This Row],[OB]]/Mecze[[#This Row],[CZAS]])</f>
        <v>0</v>
      </c>
      <c r="R1066" s="32">
        <f>IF(Mecze[[#This Row],[BR]]=0,0,Mecze[[#This Row],[BR]]/Mecze[[#This Row],[CZAS]])</f>
        <v>0</v>
      </c>
      <c r="S1066" s="44">
        <f>IF(Mecze[[#This Row],[Role]]="BR",SUMPRODUCT(Mecze[[#This Row],[/PR:90]:[/BR:90]],Brudnopis!$E$23:$J$23),0)</f>
        <v>0</v>
      </c>
      <c r="T1066" s="44">
        <f>IF(Mecze[[#This Row],[Role]]&lt;&gt;"BR",SUMPRODUCT(Mecze[[#This Row],[/PR:90]:[/BR:90]],Brudnopis!$E$24:$J$24),0)</f>
        <v>0.203125</v>
      </c>
      <c r="U1066" s="44">
        <f>IF(Mecze[[#This Row],[Role]]&lt;&gt;"BR",SUMPRODUCT(Mecze[[#This Row],[/PR:90]:[/BR:90]],Brudnopis!$E$25:$J$25),0)</f>
        <v>0.25</v>
      </c>
      <c r="V1066" s="44">
        <f>IF(Mecze[[#This Row],[Role]]&lt;&gt;"BR",SUMPRODUCT(Mecze[[#This Row],[/PR:90]:[/BR:90]],Brudnopis!$E$26:$J$26),0)</f>
        <v>0.1875</v>
      </c>
      <c r="W1066" s="44">
        <f>IF(Mecze[[#This Row],[Role]]&lt;&gt;"BR",SUMPRODUCT(Mecze[[#This Row],[/PR:90]:[/BR:90]],Brudnopis!$E$27:$J$27),0)</f>
        <v>0.2421875</v>
      </c>
      <c r="X1066" s="44">
        <f>IF(Mecze[[#This Row],[Role]]&lt;&gt;"BR",SUMPRODUCT(Mecze[[#This Row],[/PR:90]:[/BR:90]],Brudnopis!$E$28:$J$28),0)</f>
        <v>0.1875</v>
      </c>
      <c r="Y1066" s="35">
        <f>IF(Mecze[[#This Row],[Role]]="BR",Mecze[[#This Row],[/OB:90]]+Mecze[[#This Row],[/PC:90]],SUM(Mecze[[#This Row],[/PR:90]:[/BR:90]]))</f>
        <v>0.1875</v>
      </c>
      <c r="Z1066" s="35">
        <f>IF(Mecze[[#This Row],[KC]]=0,SUM(Mecze[[#This Row],[/BRI]:[/NPI]]),SUM(Mecze[[#This Row],[/BRI]:[/NPI]])*0.6)</f>
        <v>1.0703125</v>
      </c>
      <c r="AA1066" s="10">
        <f>IFERROR(Mecze[[#This Row],[BR]]/Mecze[[#This Row],[ST]],0)</f>
        <v>0</v>
      </c>
      <c r="AB1066">
        <f>ROUND(Mecze[[#This Row],[PD]]*Mecze[[#This Row],[%PC]],0)</f>
        <v>12</v>
      </c>
      <c r="AC1066">
        <f>ROUND(Mecze[[#This Row],[OD]]*Mecze[[#This Row],[%OU]],0)</f>
        <v>3</v>
      </c>
      <c r="AD1066" s="36" t="s">
        <v>273</v>
      </c>
      <c r="AE1066" s="36">
        <v>59</v>
      </c>
      <c r="AF1066" s="71">
        <v>5.92</v>
      </c>
      <c r="AG1066" s="37">
        <v>0</v>
      </c>
      <c r="AH1066" s="37">
        <v>0</v>
      </c>
      <c r="AI1066" s="37">
        <v>96</v>
      </c>
      <c r="AJ1066" s="37">
        <v>4</v>
      </c>
      <c r="AK1066" s="37" t="str">
        <f>VLOOKUP(Mecze[[#This Row],[Match ID]],Meczusie[Mecz]:Meczusie[RodzajMeczu],2,FALSE)</f>
        <v>Liga</v>
      </c>
    </row>
    <row r="1067" spans="1:37" x14ac:dyDescent="0.25">
      <c r="A1067" s="76">
        <v>10</v>
      </c>
      <c r="B1067" s="3" t="s">
        <v>284</v>
      </c>
      <c r="C1067" s="2" t="s">
        <v>165</v>
      </c>
      <c r="D1067" s="1">
        <v>1</v>
      </c>
      <c r="E1067" s="1">
        <v>10</v>
      </c>
      <c r="F1067" s="1">
        <v>9</v>
      </c>
      <c r="G1067" s="1">
        <v>10</v>
      </c>
      <c r="H1067" s="4">
        <v>0.8</v>
      </c>
      <c r="I1067" s="1">
        <v>0</v>
      </c>
      <c r="J1067" s="4"/>
      <c r="K1067" s="1">
        <v>0</v>
      </c>
      <c r="L1067" s="1">
        <v>1</v>
      </c>
      <c r="M1067" s="32">
        <f>IF(Mecze[[#This Row],[PR]]=0,0,Mecze[[#This Row],[PR]]/Mecze[[#This Row],[CZAS]])</f>
        <v>1.0416666666666666E-2</v>
      </c>
      <c r="N1067" s="32">
        <f>IF(Mecze[[#This Row],[OU]]=0,0,Mecze[[#This Row],[OU]]/Mecze[[#This Row],[CZAS]])</f>
        <v>0</v>
      </c>
      <c r="O1067" s="32">
        <f>IF(Mecze[[#This Row],[PC]]=0,0,Mecze[[#This Row],[PC]]/Mecze[[#This Row],[CZAS]])</f>
        <v>8.3333333333333329E-2</v>
      </c>
      <c r="P1067" s="32">
        <f>IF(Mecze[[#This Row],[SC]]=0,0,Mecze[[#This Row],[SC]]/Mecze[[#This Row],[CZAS]])</f>
        <v>9.375E-2</v>
      </c>
      <c r="Q1067" s="32">
        <f>IF(Mecze[[#This Row],[OB]]=0,0,Mecze[[#This Row],[OB]]/Mecze[[#This Row],[CZAS]])</f>
        <v>0</v>
      </c>
      <c r="R1067" s="32">
        <f>IF(Mecze[[#This Row],[BR]]=0,0,Mecze[[#This Row],[BR]]/Mecze[[#This Row],[CZAS]])</f>
        <v>1.0416666666666666E-2</v>
      </c>
      <c r="S1067" s="44">
        <f>IF(Mecze[[#This Row],[Role]]="BR",SUMPRODUCT(Mecze[[#This Row],[/PR:90]:[/BR:90]],Brudnopis!$E$23:$J$23),0)</f>
        <v>0</v>
      </c>
      <c r="T1067" s="44">
        <f>IF(Mecze[[#This Row],[Role]]&lt;&gt;"BR",SUMPRODUCT(Mecze[[#This Row],[/PR:90]:[/BR:90]],Brudnopis!$E$24:$J$24),0)</f>
        <v>0.203125</v>
      </c>
      <c r="U1067" s="44">
        <f>IF(Mecze[[#This Row],[Role]]&lt;&gt;"BR",SUMPRODUCT(Mecze[[#This Row],[/PR:90]:[/BR:90]],Brudnopis!$E$25:$J$25),0)</f>
        <v>0.24479166666666666</v>
      </c>
      <c r="V1067" s="44">
        <f>IF(Mecze[[#This Row],[Role]]&lt;&gt;"BR",SUMPRODUCT(Mecze[[#This Row],[/PR:90]:[/BR:90]],Brudnopis!$E$26:$J$26),0)</f>
        <v>0.20833333333333334</v>
      </c>
      <c r="W1067" s="44">
        <f>IF(Mecze[[#This Row],[Role]]&lt;&gt;"BR",SUMPRODUCT(Mecze[[#This Row],[/PR:90]:[/BR:90]],Brudnopis!$E$27:$J$27),0)</f>
        <v>0.24739583333333334</v>
      </c>
      <c r="X1067" s="44">
        <f>IF(Mecze[[#This Row],[Role]]&lt;&gt;"BR",SUMPRODUCT(Mecze[[#This Row],[/PR:90]:[/BR:90]],Brudnopis!$E$28:$J$28),0)</f>
        <v>0.30208333333333331</v>
      </c>
      <c r="Y1067" s="35">
        <f>IF(Mecze[[#This Row],[Role]]="BR",Mecze[[#This Row],[/OB:90]]+Mecze[[#This Row],[/PC:90]],SUM(Mecze[[#This Row],[/PR:90]:[/BR:90]]))</f>
        <v>0.19791666666666666</v>
      </c>
      <c r="Z1067" s="35">
        <f>IF(Mecze[[#This Row],[KC]]=0,SUM(Mecze[[#This Row],[/BRI]:[/NPI]]),SUM(Mecze[[#This Row],[/BRI]:[/NPI]])*0.6)</f>
        <v>1.2057291666666667</v>
      </c>
      <c r="AA1067" s="10">
        <f>IFERROR(Mecze[[#This Row],[BR]]/Mecze[[#This Row],[ST]],0)</f>
        <v>0.1</v>
      </c>
      <c r="AB1067">
        <f>ROUND(Mecze[[#This Row],[PD]]*Mecze[[#This Row],[%PC]],0)</f>
        <v>8</v>
      </c>
      <c r="AC1067">
        <f>ROUND(Mecze[[#This Row],[OD]]*Mecze[[#This Row],[%OU]],0)</f>
        <v>0</v>
      </c>
      <c r="AD1067" s="36" t="s">
        <v>46</v>
      </c>
      <c r="AE1067" s="36">
        <v>59</v>
      </c>
      <c r="AF1067" s="71">
        <v>10.46</v>
      </c>
      <c r="AG1067" s="37">
        <v>0</v>
      </c>
      <c r="AH1067" s="37">
        <v>0</v>
      </c>
      <c r="AI1067" s="37">
        <v>96</v>
      </c>
      <c r="AJ1067" s="37">
        <v>4</v>
      </c>
      <c r="AK1067" s="37" t="str">
        <f>VLOOKUP(Mecze[[#This Row],[Match ID]],Meczusie[Mecz]:Meczusie[RodzajMeczu],2,FALSE)</f>
        <v>Liga</v>
      </c>
    </row>
    <row r="1068" spans="1:37" x14ac:dyDescent="0.25">
      <c r="A1068" s="76">
        <v>2</v>
      </c>
      <c r="B1068" s="3" t="s">
        <v>285</v>
      </c>
      <c r="C1068" s="2" t="s">
        <v>157</v>
      </c>
      <c r="D1068" s="1">
        <v>0</v>
      </c>
      <c r="E1068" s="1">
        <v>0</v>
      </c>
      <c r="F1068" s="1">
        <v>0</v>
      </c>
      <c r="G1068" s="1">
        <v>1</v>
      </c>
      <c r="H1068" s="4">
        <v>1</v>
      </c>
      <c r="I1068" s="1">
        <v>2</v>
      </c>
      <c r="J1068" s="4">
        <v>0.5</v>
      </c>
      <c r="K1068" s="1">
        <v>0</v>
      </c>
      <c r="L1068" s="1">
        <v>0</v>
      </c>
      <c r="M1068" s="32">
        <f>IF(Mecze[[#This Row],[PR]]=0,0,Mecze[[#This Row],[PR]]/Mecze[[#This Row],[CZAS]])</f>
        <v>0</v>
      </c>
      <c r="N1068" s="32">
        <f>IF(Mecze[[#This Row],[OU]]=0,0,Mecze[[#This Row],[OU]]/Mecze[[#This Row],[CZAS]])</f>
        <v>7.6923076923076927E-2</v>
      </c>
      <c r="O1068" s="32">
        <f>IF(Mecze[[#This Row],[PC]]=0,0,Mecze[[#This Row],[PC]]/Mecze[[#This Row],[CZAS]])</f>
        <v>7.6923076923076927E-2</v>
      </c>
      <c r="P1068" s="32">
        <f>IF(Mecze[[#This Row],[SC]]=0,0,Mecze[[#This Row],[SC]]/Mecze[[#This Row],[CZAS]])</f>
        <v>0</v>
      </c>
      <c r="Q1068" s="32">
        <f>IF(Mecze[[#This Row],[OB]]=0,0,Mecze[[#This Row],[OB]]/Mecze[[#This Row],[CZAS]])</f>
        <v>0</v>
      </c>
      <c r="R1068" s="32">
        <f>IF(Mecze[[#This Row],[BR]]=0,0,Mecze[[#This Row],[BR]]/Mecze[[#This Row],[CZAS]])</f>
        <v>0</v>
      </c>
      <c r="S1068" s="44">
        <f>IF(Mecze[[#This Row],[Role]]="BR",SUMPRODUCT(Mecze[[#This Row],[/PR:90]:[/BR:90]],Brudnopis!$E$23:$J$23),0)</f>
        <v>0</v>
      </c>
      <c r="T1068" s="44">
        <f>IF(Mecze[[#This Row],[Role]]&lt;&gt;"BR",SUMPRODUCT(Mecze[[#This Row],[/PR:90]:[/BR:90]],Brudnopis!$E$24:$J$24),0)</f>
        <v>0.19230769230769232</v>
      </c>
      <c r="U1068" s="44">
        <f>IF(Mecze[[#This Row],[Role]]&lt;&gt;"BR",SUMPRODUCT(Mecze[[#This Row],[/PR:90]:[/BR:90]],Brudnopis!$E$25:$J$25),0)</f>
        <v>0.19230769230769232</v>
      </c>
      <c r="V1068" s="44">
        <f>IF(Mecze[[#This Row],[Role]]&lt;&gt;"BR",SUMPRODUCT(Mecze[[#This Row],[/PR:90]:[/BR:90]],Brudnopis!$E$26:$J$26),0)</f>
        <v>0.15384615384615385</v>
      </c>
      <c r="W1068" s="44">
        <f>IF(Mecze[[#This Row],[Role]]&lt;&gt;"BR",SUMPRODUCT(Mecze[[#This Row],[/PR:90]:[/BR:90]],Brudnopis!$E$27:$J$27),0)</f>
        <v>0.17307692307692307</v>
      </c>
      <c r="X1068" s="44">
        <f>IF(Mecze[[#This Row],[Role]]&lt;&gt;"BR",SUMPRODUCT(Mecze[[#This Row],[/PR:90]:[/BR:90]],Brudnopis!$E$28:$J$28),0)</f>
        <v>7.6923076923076927E-2</v>
      </c>
      <c r="Y1068" s="35">
        <f>IF(Mecze[[#This Row],[Role]]="BR",Mecze[[#This Row],[/OB:90]]+Mecze[[#This Row],[/PC:90]],SUM(Mecze[[#This Row],[/PR:90]:[/BR:90]]))</f>
        <v>0.15384615384615385</v>
      </c>
      <c r="Z1068" s="35">
        <f>IF(Mecze[[#This Row],[KC]]=0,SUM(Mecze[[#This Row],[/BRI]:[/NPI]]),SUM(Mecze[[#This Row],[/BRI]:[/NPI]])*0.6)</f>
        <v>0.78846153846153855</v>
      </c>
      <c r="AA1068" s="10">
        <f>IFERROR(Mecze[[#This Row],[BR]]/Mecze[[#This Row],[ST]],0)</f>
        <v>0</v>
      </c>
      <c r="AB1068">
        <f>ROUND(Mecze[[#This Row],[PD]]*Mecze[[#This Row],[%PC]],0)</f>
        <v>1</v>
      </c>
      <c r="AC1068">
        <f>ROUND(Mecze[[#This Row],[OD]]*Mecze[[#This Row],[%OU]],0)</f>
        <v>1</v>
      </c>
      <c r="AD1068" s="36" t="s">
        <v>167</v>
      </c>
      <c r="AE1068" s="36">
        <v>59</v>
      </c>
      <c r="AF1068" s="71">
        <v>4.84</v>
      </c>
      <c r="AG1068" s="37">
        <v>0</v>
      </c>
      <c r="AH1068" s="37">
        <v>0</v>
      </c>
      <c r="AI1068" s="37">
        <v>13</v>
      </c>
      <c r="AJ1068" s="37">
        <v>4</v>
      </c>
      <c r="AK1068" s="37" t="str">
        <f>VLOOKUP(Mecze[[#This Row],[Match ID]],Meczusie[Mecz]:Meczusie[RodzajMeczu],2,FALSE)</f>
        <v>Liga</v>
      </c>
    </row>
    <row r="1069" spans="1:37" x14ac:dyDescent="0.25">
      <c r="A1069" s="76">
        <v>13</v>
      </c>
      <c r="B1069" s="3" t="s">
        <v>287</v>
      </c>
      <c r="C1069" s="2" t="s">
        <v>160</v>
      </c>
      <c r="D1069" s="1">
        <v>0</v>
      </c>
      <c r="E1069" s="1">
        <v>1</v>
      </c>
      <c r="F1069" s="1">
        <v>1</v>
      </c>
      <c r="G1069" s="1">
        <v>7</v>
      </c>
      <c r="H1069" s="4">
        <v>0.86</v>
      </c>
      <c r="I1069" s="1">
        <v>1</v>
      </c>
      <c r="J1069" s="4">
        <v>0</v>
      </c>
      <c r="K1069" s="1">
        <v>0</v>
      </c>
      <c r="L1069" s="1">
        <v>1</v>
      </c>
      <c r="M1069" s="32">
        <f>IF(Mecze[[#This Row],[PR]]=0,0,Mecze[[#This Row],[PR]]/Mecze[[#This Row],[CZAS]])</f>
        <v>3.4482758620689655E-2</v>
      </c>
      <c r="N1069" s="32">
        <f>IF(Mecze[[#This Row],[OU]]=0,0,Mecze[[#This Row],[OU]]/Mecze[[#This Row],[CZAS]])</f>
        <v>0</v>
      </c>
      <c r="O1069" s="32">
        <f>IF(Mecze[[#This Row],[PC]]=0,0,Mecze[[#This Row],[PC]]/Mecze[[#This Row],[CZAS]])</f>
        <v>0.20689655172413793</v>
      </c>
      <c r="P1069" s="32">
        <f>IF(Mecze[[#This Row],[SC]]=0,0,Mecze[[#This Row],[SC]]/Mecze[[#This Row],[CZAS]])</f>
        <v>3.4482758620689655E-2</v>
      </c>
      <c r="Q1069" s="32">
        <f>IF(Mecze[[#This Row],[OB]]=0,0,Mecze[[#This Row],[OB]]/Mecze[[#This Row],[CZAS]])</f>
        <v>0</v>
      </c>
      <c r="R1069" s="32">
        <f>IF(Mecze[[#This Row],[BR]]=0,0,Mecze[[#This Row],[BR]]/Mecze[[#This Row],[CZAS]])</f>
        <v>0</v>
      </c>
      <c r="S1069" s="44">
        <f>IF(Mecze[[#This Row],[Role]]="BR",SUMPRODUCT(Mecze[[#This Row],[/PR:90]:[/BR:90]],Brudnopis!$E$23:$J$23),0)</f>
        <v>0</v>
      </c>
      <c r="T1069" s="44">
        <f>IF(Mecze[[#This Row],[Role]]&lt;&gt;"BR",SUMPRODUCT(Mecze[[#This Row],[/PR:90]:[/BR:90]],Brudnopis!$E$24:$J$24),0)</f>
        <v>0.27586206896551724</v>
      </c>
      <c r="U1069" s="44">
        <f>IF(Mecze[[#This Row],[Role]]&lt;&gt;"BR",SUMPRODUCT(Mecze[[#This Row],[/PR:90]:[/BR:90]],Brudnopis!$E$25:$J$25),0)</f>
        <v>0.37931034482758624</v>
      </c>
      <c r="V1069" s="44">
        <f>IF(Mecze[[#This Row],[Role]]&lt;&gt;"BR",SUMPRODUCT(Mecze[[#This Row],[/PR:90]:[/BR:90]],Brudnopis!$E$26:$J$26),0)</f>
        <v>0.27586206896551724</v>
      </c>
      <c r="W1069" s="44">
        <f>IF(Mecze[[#This Row],[Role]]&lt;&gt;"BR",SUMPRODUCT(Mecze[[#This Row],[/PR:90]:[/BR:90]],Brudnopis!$E$27:$J$27),0)</f>
        <v>0.37068965517241381</v>
      </c>
      <c r="X1069" s="44">
        <f>IF(Mecze[[#This Row],[Role]]&lt;&gt;"BR",SUMPRODUCT(Mecze[[#This Row],[/PR:90]:[/BR:90]],Brudnopis!$E$28:$J$28),0)</f>
        <v>0.27586206896551724</v>
      </c>
      <c r="Y1069" s="35">
        <f>IF(Mecze[[#This Row],[Role]]="BR",Mecze[[#This Row],[/OB:90]]+Mecze[[#This Row],[/PC:90]],SUM(Mecze[[#This Row],[/PR:90]:[/BR:90]]))</f>
        <v>0.27586206896551724</v>
      </c>
      <c r="Z1069" s="35">
        <f>IF(Mecze[[#This Row],[KC]]=0,SUM(Mecze[[#This Row],[/BRI]:[/NPI]]),SUM(Mecze[[#This Row],[/BRI]:[/NPI]])*0.6)</f>
        <v>1.5775862068965516</v>
      </c>
      <c r="AA1069" s="10">
        <f>IFERROR(Mecze[[#This Row],[BR]]/Mecze[[#This Row],[ST]],0)</f>
        <v>0</v>
      </c>
      <c r="AB1069">
        <f>ROUND(Mecze[[#This Row],[PD]]*Mecze[[#This Row],[%PC]],0)</f>
        <v>6</v>
      </c>
      <c r="AC1069">
        <f>ROUND(Mecze[[#This Row],[OD]]*Mecze[[#This Row],[%OU]],0)</f>
        <v>0</v>
      </c>
      <c r="AD1069" s="36" t="s">
        <v>171</v>
      </c>
      <c r="AE1069" s="36">
        <v>59</v>
      </c>
      <c r="AF1069" s="71">
        <v>7.4</v>
      </c>
      <c r="AG1069" s="37">
        <v>0</v>
      </c>
      <c r="AH1069" s="37">
        <v>0</v>
      </c>
      <c r="AI1069" s="37">
        <v>29</v>
      </c>
      <c r="AJ1069" s="37">
        <v>4</v>
      </c>
      <c r="AK1069" s="37" t="str">
        <f>VLOOKUP(Mecze[[#This Row],[Match ID]],Meczusie[Mecz]:Meczusie[RodzajMeczu],2,FALSE)</f>
        <v>Liga</v>
      </c>
    </row>
    <row r="1070" spans="1:37" x14ac:dyDescent="0.25">
      <c r="A1070" s="76">
        <v>15</v>
      </c>
      <c r="B1070" s="3" t="s">
        <v>286</v>
      </c>
      <c r="C1070" s="2" t="s">
        <v>165</v>
      </c>
      <c r="D1070" s="1">
        <v>0</v>
      </c>
      <c r="E1070" s="1">
        <v>0</v>
      </c>
      <c r="F1070" s="1">
        <v>0</v>
      </c>
      <c r="G1070" s="1">
        <v>1</v>
      </c>
      <c r="H1070" s="4">
        <v>1</v>
      </c>
      <c r="I1070" s="1">
        <v>0</v>
      </c>
      <c r="J1070" s="4"/>
      <c r="K1070" s="1">
        <v>0</v>
      </c>
      <c r="L1070" s="1">
        <v>1</v>
      </c>
      <c r="M1070" s="32">
        <f>IF(Mecze[[#This Row],[PR]]=0,0,Mecze[[#This Row],[PR]]/Mecze[[#This Row],[CZAS]])</f>
        <v>7.6923076923076927E-2</v>
      </c>
      <c r="N1070" s="32">
        <f>IF(Mecze[[#This Row],[OU]]=0,0,Mecze[[#This Row],[OU]]/Mecze[[#This Row],[CZAS]])</f>
        <v>0</v>
      </c>
      <c r="O1070" s="32">
        <f>IF(Mecze[[#This Row],[PC]]=0,0,Mecze[[#This Row],[PC]]/Mecze[[#This Row],[CZAS]])</f>
        <v>7.6923076923076927E-2</v>
      </c>
      <c r="P1070" s="32">
        <f>IF(Mecze[[#This Row],[SC]]=0,0,Mecze[[#This Row],[SC]]/Mecze[[#This Row],[CZAS]])</f>
        <v>0</v>
      </c>
      <c r="Q1070" s="32">
        <f>IF(Mecze[[#This Row],[OB]]=0,0,Mecze[[#This Row],[OB]]/Mecze[[#This Row],[CZAS]])</f>
        <v>0</v>
      </c>
      <c r="R1070" s="32">
        <f>IF(Mecze[[#This Row],[BR]]=0,0,Mecze[[#This Row],[BR]]/Mecze[[#This Row],[CZAS]])</f>
        <v>0</v>
      </c>
      <c r="S1070" s="44">
        <f>IF(Mecze[[#This Row],[Role]]="BR",SUMPRODUCT(Mecze[[#This Row],[/PR:90]:[/BR:90]],Brudnopis!$E$23:$J$23),0)</f>
        <v>0</v>
      </c>
      <c r="T1070" s="44">
        <f>IF(Mecze[[#This Row],[Role]]&lt;&gt;"BR",SUMPRODUCT(Mecze[[#This Row],[/PR:90]:[/BR:90]],Brudnopis!$E$24:$J$24),0)</f>
        <v>0.15384615384615385</v>
      </c>
      <c r="U1070" s="44">
        <f>IF(Mecze[[#This Row],[Role]]&lt;&gt;"BR",SUMPRODUCT(Mecze[[#This Row],[/PR:90]:[/BR:90]],Brudnopis!$E$25:$J$25),0)</f>
        <v>0.19230769230769232</v>
      </c>
      <c r="V1070" s="44">
        <f>IF(Mecze[[#This Row],[Role]]&lt;&gt;"BR",SUMPRODUCT(Mecze[[#This Row],[/PR:90]:[/BR:90]],Brudnopis!$E$26:$J$26),0)</f>
        <v>0.15384615384615385</v>
      </c>
      <c r="W1070" s="44">
        <f>IF(Mecze[[#This Row],[Role]]&lt;&gt;"BR",SUMPRODUCT(Mecze[[#This Row],[/PR:90]:[/BR:90]],Brudnopis!$E$27:$J$27),0)</f>
        <v>0.17307692307692307</v>
      </c>
      <c r="X1070" s="44">
        <f>IF(Mecze[[#This Row],[Role]]&lt;&gt;"BR",SUMPRODUCT(Mecze[[#This Row],[/PR:90]:[/BR:90]],Brudnopis!$E$28:$J$28),0)</f>
        <v>7.6923076923076927E-2</v>
      </c>
      <c r="Y1070" s="35">
        <f>IF(Mecze[[#This Row],[Role]]="BR",Mecze[[#This Row],[/OB:90]]+Mecze[[#This Row],[/PC:90]],SUM(Mecze[[#This Row],[/PR:90]:[/BR:90]]))</f>
        <v>0.15384615384615385</v>
      </c>
      <c r="Z1070" s="35">
        <f>IF(Mecze[[#This Row],[KC]]=0,SUM(Mecze[[#This Row],[/BRI]:[/NPI]]),SUM(Mecze[[#This Row],[/BRI]:[/NPI]])*0.6)</f>
        <v>0.75</v>
      </c>
      <c r="AA1070" s="10">
        <f>IFERROR(Mecze[[#This Row],[BR]]/Mecze[[#This Row],[ST]],0)</f>
        <v>0</v>
      </c>
      <c r="AB1070">
        <f>ROUND(Mecze[[#This Row],[PD]]*Mecze[[#This Row],[%PC]],0)</f>
        <v>1</v>
      </c>
      <c r="AC1070">
        <f>ROUND(Mecze[[#This Row],[OD]]*Mecze[[#This Row],[%OU]],0)</f>
        <v>0</v>
      </c>
      <c r="AD1070" s="36" t="s">
        <v>46</v>
      </c>
      <c r="AE1070" s="36">
        <v>59</v>
      </c>
      <c r="AF1070" s="71">
        <v>1.72</v>
      </c>
      <c r="AG1070" s="37">
        <v>0</v>
      </c>
      <c r="AH1070" s="37">
        <v>0</v>
      </c>
      <c r="AI1070" s="37">
        <v>13</v>
      </c>
      <c r="AJ1070" s="37">
        <v>4</v>
      </c>
      <c r="AK1070" s="37" t="str">
        <f>VLOOKUP(Mecze[[#This Row],[Match ID]],Meczusie[Mecz]:Meczusie[RodzajMeczu],2,FALSE)</f>
        <v>Liga</v>
      </c>
    </row>
    <row r="1071" spans="1:37" x14ac:dyDescent="0.25">
      <c r="A1071" s="76">
        <v>1</v>
      </c>
      <c r="B1071" s="3" t="s">
        <v>169</v>
      </c>
      <c r="C1071" s="2" t="s">
        <v>155</v>
      </c>
      <c r="D1071" s="1">
        <v>0</v>
      </c>
      <c r="E1071" s="1">
        <v>0</v>
      </c>
      <c r="F1071" s="1">
        <v>0</v>
      </c>
      <c r="G1071" s="1">
        <v>12</v>
      </c>
      <c r="H1071" s="4">
        <v>0.75</v>
      </c>
      <c r="I1071" s="1">
        <v>0</v>
      </c>
      <c r="J1071" s="4"/>
      <c r="K1071" s="1">
        <v>17</v>
      </c>
      <c r="L1071" s="1">
        <v>0</v>
      </c>
      <c r="M1071" s="32">
        <f>IF(Mecze[[#This Row],[PR]]=0,0,Mecze[[#This Row],[PR]]/Mecze[[#This Row],[CZAS]])</f>
        <v>0</v>
      </c>
      <c r="N1071" s="32">
        <f>IF(Mecze[[#This Row],[OU]]=0,0,Mecze[[#This Row],[OU]]/Mecze[[#This Row],[CZAS]])</f>
        <v>0</v>
      </c>
      <c r="O1071" s="32">
        <f>IF(Mecze[[#This Row],[PC]]=0,0,Mecze[[#This Row],[PC]]/Mecze[[#This Row],[CZAS]])</f>
        <v>9.375E-2</v>
      </c>
      <c r="P1071" s="32">
        <f>IF(Mecze[[#This Row],[SC]]=0,0,Mecze[[#This Row],[SC]]/Mecze[[#This Row],[CZAS]])</f>
        <v>0</v>
      </c>
      <c r="Q1071" s="32">
        <f>IF(Mecze[[#This Row],[OB]]=0,0,Mecze[[#This Row],[OB]]/Mecze[[#This Row],[CZAS]])</f>
        <v>0.17708333333333334</v>
      </c>
      <c r="R1071" s="32">
        <f>IF(Mecze[[#This Row],[BR]]=0,0,Mecze[[#This Row],[BR]]/Mecze[[#This Row],[CZAS]])</f>
        <v>0</v>
      </c>
      <c r="S1071" s="44">
        <f>IF(Mecze[[#This Row],[Role]]="BR",SUMPRODUCT(Mecze[[#This Row],[/PR:90]:[/BR:90]],Brudnopis!$E$23:$J$23),0)</f>
        <v>0.8125</v>
      </c>
      <c r="T1071" s="44">
        <f>IF(Mecze[[#This Row],[Role]]&lt;&gt;"BR",SUMPRODUCT(Mecze[[#This Row],[/PR:90]:[/BR:90]],Brudnopis!$E$24:$J$24),0)</f>
        <v>0</v>
      </c>
      <c r="U1071" s="44">
        <f>IF(Mecze[[#This Row],[Role]]&lt;&gt;"BR",SUMPRODUCT(Mecze[[#This Row],[/PR:90]:[/BR:90]],Brudnopis!$E$25:$J$25),0)</f>
        <v>0</v>
      </c>
      <c r="V1071" s="44">
        <f>IF(Mecze[[#This Row],[Role]]&lt;&gt;"BR",SUMPRODUCT(Mecze[[#This Row],[/PR:90]:[/BR:90]],Brudnopis!$E$26:$J$26),0)</f>
        <v>0</v>
      </c>
      <c r="W1071" s="44">
        <f>IF(Mecze[[#This Row],[Role]]&lt;&gt;"BR",SUMPRODUCT(Mecze[[#This Row],[/PR:90]:[/BR:90]],Brudnopis!$E$27:$J$27),0)</f>
        <v>0</v>
      </c>
      <c r="X1071" s="44">
        <f>IF(Mecze[[#This Row],[Role]]&lt;&gt;"BR",SUMPRODUCT(Mecze[[#This Row],[/PR:90]:[/BR:90]],Brudnopis!$E$28:$J$28),0)</f>
        <v>0</v>
      </c>
      <c r="Y1071" s="35">
        <f>IF(Mecze[[#This Row],[Role]]="BR",Mecze[[#This Row],[/OB:90]]+Mecze[[#This Row],[/PC:90]],SUM(Mecze[[#This Row],[/PR:90]:[/BR:90]]))</f>
        <v>0.27083333333333337</v>
      </c>
      <c r="Z1071" s="35">
        <f>IF(Mecze[[#This Row],[KC]]=0,SUM(Mecze[[#This Row],[/BRI]:[/NPI]]),SUM(Mecze[[#This Row],[/BRI]:[/NPI]])*0.6)</f>
        <v>0.8125</v>
      </c>
      <c r="AA1071" s="10">
        <f>IFERROR(Mecze[[#This Row],[BR]]/Mecze[[#This Row],[ST]],0)</f>
        <v>0</v>
      </c>
      <c r="AB1071">
        <f>ROUND(Mecze[[#This Row],[PD]]*Mecze[[#This Row],[%PC]],0)</f>
        <v>9</v>
      </c>
      <c r="AC1071">
        <f>ROUND(Mecze[[#This Row],[OD]]*Mecze[[#This Row],[%OU]],0)</f>
        <v>0</v>
      </c>
      <c r="AD1071" s="36" t="s">
        <v>40</v>
      </c>
      <c r="AE1071" s="36">
        <v>59</v>
      </c>
      <c r="AF1071" s="71">
        <v>8.76</v>
      </c>
      <c r="AG1071" s="37">
        <v>0</v>
      </c>
      <c r="AH1071" s="37">
        <v>0</v>
      </c>
      <c r="AI1071" s="37">
        <v>96</v>
      </c>
      <c r="AJ1071" s="37">
        <v>1</v>
      </c>
      <c r="AK1071" s="37" t="str">
        <f>VLOOKUP(Mecze[[#This Row],[Match ID]],Meczusie[Mecz]:Meczusie[RodzajMeczu],2,FALSE)</f>
        <v>Liga</v>
      </c>
    </row>
    <row r="1072" spans="1:37" x14ac:dyDescent="0.25">
      <c r="A1072" s="76">
        <v>2</v>
      </c>
      <c r="B1072" s="3" t="s">
        <v>156</v>
      </c>
      <c r="C1072" s="2" t="s">
        <v>157</v>
      </c>
      <c r="D1072" s="1">
        <v>0</v>
      </c>
      <c r="E1072" s="1">
        <v>0</v>
      </c>
      <c r="F1072" s="1">
        <v>0</v>
      </c>
      <c r="G1072" s="1">
        <v>13</v>
      </c>
      <c r="H1072" s="4">
        <v>0.69</v>
      </c>
      <c r="I1072" s="1">
        <v>12</v>
      </c>
      <c r="J1072" s="4">
        <v>0.5</v>
      </c>
      <c r="K1072" s="1">
        <v>0</v>
      </c>
      <c r="L1072" s="1">
        <v>2</v>
      </c>
      <c r="M1072" s="32">
        <f>IF(Mecze[[#This Row],[PR]]=0,0,Mecze[[#This Row],[PR]]/Mecze[[#This Row],[CZAS]])</f>
        <v>2.0833333333333332E-2</v>
      </c>
      <c r="N1072" s="32">
        <f>IF(Mecze[[#This Row],[OU]]=0,0,Mecze[[#This Row],[OU]]/Mecze[[#This Row],[CZAS]])</f>
        <v>6.25E-2</v>
      </c>
      <c r="O1072" s="32">
        <f>IF(Mecze[[#This Row],[PC]]=0,0,Mecze[[#This Row],[PC]]/Mecze[[#This Row],[CZAS]])</f>
        <v>9.375E-2</v>
      </c>
      <c r="P1072" s="32">
        <f>IF(Mecze[[#This Row],[SC]]=0,0,Mecze[[#This Row],[SC]]/Mecze[[#This Row],[CZAS]])</f>
        <v>0</v>
      </c>
      <c r="Q1072" s="32">
        <f>IF(Mecze[[#This Row],[OB]]=0,0,Mecze[[#This Row],[OB]]/Mecze[[#This Row],[CZAS]])</f>
        <v>0</v>
      </c>
      <c r="R1072" s="32">
        <f>IF(Mecze[[#This Row],[BR]]=0,0,Mecze[[#This Row],[BR]]/Mecze[[#This Row],[CZAS]])</f>
        <v>0</v>
      </c>
      <c r="S1072" s="44">
        <f>IF(Mecze[[#This Row],[Role]]="BR",SUMPRODUCT(Mecze[[#This Row],[/PR:90]:[/BR:90]],Brudnopis!$E$23:$J$23),0)</f>
        <v>0</v>
      </c>
      <c r="T1072" s="44">
        <f>IF(Mecze[[#This Row],[Role]]&lt;&gt;"BR",SUMPRODUCT(Mecze[[#This Row],[/PR:90]:[/BR:90]],Brudnopis!$E$24:$J$24),0)</f>
        <v>0.20833333333333331</v>
      </c>
      <c r="U1072" s="44">
        <f>IF(Mecze[[#This Row],[Role]]&lt;&gt;"BR",SUMPRODUCT(Mecze[[#This Row],[/PR:90]:[/BR:90]],Brudnopis!$E$25:$J$25),0)</f>
        <v>0.22395833333333331</v>
      </c>
      <c r="V1072" s="44">
        <f>IF(Mecze[[#This Row],[Role]]&lt;&gt;"BR",SUMPRODUCT(Mecze[[#This Row],[/PR:90]:[/BR:90]],Brudnopis!$E$26:$J$26),0)</f>
        <v>0.17708333333333331</v>
      </c>
      <c r="W1072" s="44">
        <f>IF(Mecze[[#This Row],[Role]]&lt;&gt;"BR",SUMPRODUCT(Mecze[[#This Row],[/PR:90]:[/BR:90]],Brudnopis!$E$27:$J$27),0)</f>
        <v>0.203125</v>
      </c>
      <c r="X1072" s="44">
        <f>IF(Mecze[[#This Row],[Role]]&lt;&gt;"BR",SUMPRODUCT(Mecze[[#This Row],[/PR:90]:[/BR:90]],Brudnopis!$E$28:$J$28),0)</f>
        <v>9.375E-2</v>
      </c>
      <c r="Y1072" s="35">
        <f>IF(Mecze[[#This Row],[Role]]="BR",Mecze[[#This Row],[/OB:90]]+Mecze[[#This Row],[/PC:90]],SUM(Mecze[[#This Row],[/PR:90]:[/BR:90]]))</f>
        <v>0.17708333333333331</v>
      </c>
      <c r="Z1072" s="35">
        <f>IF(Mecze[[#This Row],[KC]]=0,SUM(Mecze[[#This Row],[/BRI]:[/NPI]]),SUM(Mecze[[#This Row],[/BRI]:[/NPI]])*0.6)</f>
        <v>0.90625</v>
      </c>
      <c r="AA1072" s="10">
        <f>IFERROR(Mecze[[#This Row],[BR]]/Mecze[[#This Row],[ST]],0)</f>
        <v>0</v>
      </c>
      <c r="AB1072">
        <f>ROUND(Mecze[[#This Row],[PD]]*Mecze[[#This Row],[%PC]],0)</f>
        <v>9</v>
      </c>
      <c r="AC1072">
        <f>ROUND(Mecze[[#This Row],[OD]]*Mecze[[#This Row],[%OU]],0)</f>
        <v>6</v>
      </c>
      <c r="AD1072" s="36" t="s">
        <v>47</v>
      </c>
      <c r="AE1072" s="36">
        <v>59</v>
      </c>
      <c r="AF1072" s="71">
        <v>3.13</v>
      </c>
      <c r="AG1072" s="37">
        <v>0</v>
      </c>
      <c r="AH1072" s="37">
        <v>0</v>
      </c>
      <c r="AI1072" s="37">
        <v>96</v>
      </c>
      <c r="AJ1072" s="37">
        <v>1</v>
      </c>
      <c r="AK1072" s="37" t="str">
        <f>VLOOKUP(Mecze[[#This Row],[Match ID]],Meczusie[Mecz]:Meczusie[RodzajMeczu],2,FALSE)</f>
        <v>Liga</v>
      </c>
    </row>
    <row r="1073" spans="1:37" x14ac:dyDescent="0.25">
      <c r="A1073" s="76">
        <v>18</v>
      </c>
      <c r="B1073" s="3" t="s">
        <v>211</v>
      </c>
      <c r="C1073" s="2" t="s">
        <v>157</v>
      </c>
      <c r="D1073" s="1">
        <v>0</v>
      </c>
      <c r="E1073" s="1">
        <v>0</v>
      </c>
      <c r="F1073" s="1">
        <v>0</v>
      </c>
      <c r="G1073" s="1">
        <v>5</v>
      </c>
      <c r="H1073" s="4">
        <v>0.4</v>
      </c>
      <c r="I1073" s="1">
        <v>3</v>
      </c>
      <c r="J1073" s="4">
        <v>0.33</v>
      </c>
      <c r="K1073" s="1">
        <v>0</v>
      </c>
      <c r="L1073" s="1">
        <v>2</v>
      </c>
      <c r="M1073" s="32">
        <f>IF(Mecze[[#This Row],[PR]]=0,0,Mecze[[#This Row],[PR]]/Mecze[[#This Row],[CZAS]])</f>
        <v>2.0833333333333332E-2</v>
      </c>
      <c r="N1073" s="32">
        <f>IF(Mecze[[#This Row],[OU]]=0,0,Mecze[[#This Row],[OU]]/Mecze[[#This Row],[CZAS]])</f>
        <v>1.0416666666666666E-2</v>
      </c>
      <c r="O1073" s="32">
        <f>IF(Mecze[[#This Row],[PC]]=0,0,Mecze[[#This Row],[PC]]/Mecze[[#This Row],[CZAS]])</f>
        <v>2.0833333333333332E-2</v>
      </c>
      <c r="P1073" s="32">
        <f>IF(Mecze[[#This Row],[SC]]=0,0,Mecze[[#This Row],[SC]]/Mecze[[#This Row],[CZAS]])</f>
        <v>0</v>
      </c>
      <c r="Q1073" s="32">
        <f>IF(Mecze[[#This Row],[OB]]=0,0,Mecze[[#This Row],[OB]]/Mecze[[#This Row],[CZAS]])</f>
        <v>0</v>
      </c>
      <c r="R1073" s="32">
        <f>IF(Mecze[[#This Row],[BR]]=0,0,Mecze[[#This Row],[BR]]/Mecze[[#This Row],[CZAS]])</f>
        <v>0</v>
      </c>
      <c r="S1073" s="44">
        <f>IF(Mecze[[#This Row],[Role]]="BR",SUMPRODUCT(Mecze[[#This Row],[/PR:90]:[/BR:90]],Brudnopis!$E$23:$J$23),0)</f>
        <v>0</v>
      </c>
      <c r="T1073" s="44">
        <f>IF(Mecze[[#This Row],[Role]]&lt;&gt;"BR",SUMPRODUCT(Mecze[[#This Row],[/PR:90]:[/BR:90]],Brudnopis!$E$24:$J$24),0)</f>
        <v>5.7291666666666657E-2</v>
      </c>
      <c r="U1073" s="44">
        <f>IF(Mecze[[#This Row],[Role]]&lt;&gt;"BR",SUMPRODUCT(Mecze[[#This Row],[/PR:90]:[/BR:90]],Brudnopis!$E$25:$J$25),0)</f>
        <v>6.25E-2</v>
      </c>
      <c r="V1073" s="44">
        <f>IF(Mecze[[#This Row],[Role]]&lt;&gt;"BR",SUMPRODUCT(Mecze[[#This Row],[/PR:90]:[/BR:90]],Brudnopis!$E$26:$J$26),0)</f>
        <v>5.2083333333333329E-2</v>
      </c>
      <c r="W1073" s="44">
        <f>IF(Mecze[[#This Row],[Role]]&lt;&gt;"BR",SUMPRODUCT(Mecze[[#This Row],[/PR:90]:[/BR:90]],Brudnopis!$E$27:$J$27),0)</f>
        <v>5.46875E-2</v>
      </c>
      <c r="X1073" s="44">
        <f>IF(Mecze[[#This Row],[Role]]&lt;&gt;"BR",SUMPRODUCT(Mecze[[#This Row],[/PR:90]:[/BR:90]],Brudnopis!$E$28:$J$28),0)</f>
        <v>2.0833333333333332E-2</v>
      </c>
      <c r="Y1073" s="35">
        <f>IF(Mecze[[#This Row],[Role]]="BR",Mecze[[#This Row],[/OB:90]]+Mecze[[#This Row],[/PC:90]],SUM(Mecze[[#This Row],[/PR:90]:[/BR:90]]))</f>
        <v>5.2083333333333329E-2</v>
      </c>
      <c r="Z1073" s="35">
        <f>IF(Mecze[[#This Row],[KC]]=0,SUM(Mecze[[#This Row],[/BRI]:[/NPI]]),SUM(Mecze[[#This Row],[/BRI]:[/NPI]])*0.6)</f>
        <v>0.24739583333333334</v>
      </c>
      <c r="AA1073" s="10">
        <f>IFERROR(Mecze[[#This Row],[BR]]/Mecze[[#This Row],[ST]],0)</f>
        <v>0</v>
      </c>
      <c r="AB1073">
        <f>ROUND(Mecze[[#This Row],[PD]]*Mecze[[#This Row],[%PC]],0)</f>
        <v>2</v>
      </c>
      <c r="AC1073">
        <f>ROUND(Mecze[[#This Row],[OD]]*Mecze[[#This Row],[%OU]],0)</f>
        <v>1</v>
      </c>
      <c r="AD1073" s="36" t="s">
        <v>168</v>
      </c>
      <c r="AE1073" s="36">
        <v>59</v>
      </c>
      <c r="AF1073" s="71">
        <v>2.0099999999999998</v>
      </c>
      <c r="AG1073" s="37">
        <v>0</v>
      </c>
      <c r="AH1073" s="37">
        <v>0</v>
      </c>
      <c r="AI1073" s="37">
        <v>96</v>
      </c>
      <c r="AJ1073" s="37">
        <v>1</v>
      </c>
      <c r="AK1073" s="37" t="str">
        <f>VLOOKUP(Mecze[[#This Row],[Match ID]],Meczusie[Mecz]:Meczusie[RodzajMeczu],2,FALSE)</f>
        <v>Liga</v>
      </c>
    </row>
    <row r="1074" spans="1:37" x14ac:dyDescent="0.25">
      <c r="A1074" s="76">
        <v>5</v>
      </c>
      <c r="B1074" s="3" t="s">
        <v>161</v>
      </c>
      <c r="C1074" s="2" t="s">
        <v>157</v>
      </c>
      <c r="D1074" s="1">
        <v>0</v>
      </c>
      <c r="E1074" s="1">
        <v>0</v>
      </c>
      <c r="F1074" s="1">
        <v>0</v>
      </c>
      <c r="G1074" s="1">
        <v>10</v>
      </c>
      <c r="H1074" s="4">
        <v>0.5</v>
      </c>
      <c r="I1074" s="1">
        <v>11</v>
      </c>
      <c r="J1074" s="4">
        <v>0.55000000000000004</v>
      </c>
      <c r="K1074" s="1">
        <v>0</v>
      </c>
      <c r="L1074" s="1">
        <v>11</v>
      </c>
      <c r="M1074" s="32">
        <f>IF(Mecze[[#This Row],[PR]]=0,0,Mecze[[#This Row],[PR]]/Mecze[[#This Row],[CZAS]])</f>
        <v>0.11458333333333333</v>
      </c>
      <c r="N1074" s="32">
        <f>IF(Mecze[[#This Row],[OU]]=0,0,Mecze[[#This Row],[OU]]/Mecze[[#This Row],[CZAS]])</f>
        <v>6.25E-2</v>
      </c>
      <c r="O1074" s="32">
        <f>IF(Mecze[[#This Row],[PC]]=0,0,Mecze[[#This Row],[PC]]/Mecze[[#This Row],[CZAS]])</f>
        <v>5.2083333333333336E-2</v>
      </c>
      <c r="P1074" s="32">
        <f>IF(Mecze[[#This Row],[SC]]=0,0,Mecze[[#This Row],[SC]]/Mecze[[#This Row],[CZAS]])</f>
        <v>0</v>
      </c>
      <c r="Q1074" s="32">
        <f>IF(Mecze[[#This Row],[OB]]=0,0,Mecze[[#This Row],[OB]]/Mecze[[#This Row],[CZAS]])</f>
        <v>0</v>
      </c>
      <c r="R1074" s="32">
        <f>IF(Mecze[[#This Row],[BR]]=0,0,Mecze[[#This Row],[BR]]/Mecze[[#This Row],[CZAS]])</f>
        <v>0</v>
      </c>
      <c r="S1074" s="44">
        <f>IF(Mecze[[#This Row],[Role]]="BR",SUMPRODUCT(Mecze[[#This Row],[/PR:90]:[/BR:90]],Brudnopis!$E$23:$J$23),0)</f>
        <v>0</v>
      </c>
      <c r="T1074" s="44">
        <f>IF(Mecze[[#This Row],[Role]]&lt;&gt;"BR",SUMPRODUCT(Mecze[[#This Row],[/PR:90]:[/BR:90]],Brudnopis!$E$24:$J$24),0)</f>
        <v>0.26041666666666663</v>
      </c>
      <c r="U1074" s="44">
        <f>IF(Mecze[[#This Row],[Role]]&lt;&gt;"BR",SUMPRODUCT(Mecze[[#This Row],[/PR:90]:[/BR:90]],Brudnopis!$E$25:$J$25),0)</f>
        <v>0.25520833333333331</v>
      </c>
      <c r="V1074" s="44">
        <f>IF(Mecze[[#This Row],[Role]]&lt;&gt;"BR",SUMPRODUCT(Mecze[[#This Row],[/PR:90]:[/BR:90]],Brudnopis!$E$26:$J$26),0)</f>
        <v>0.22916666666666666</v>
      </c>
      <c r="W1074" s="44">
        <f>IF(Mecze[[#This Row],[Role]]&lt;&gt;"BR",SUMPRODUCT(Mecze[[#This Row],[/PR:90]:[/BR:90]],Brudnopis!$E$27:$J$27),0)</f>
        <v>0.2109375</v>
      </c>
      <c r="X1074" s="44">
        <f>IF(Mecze[[#This Row],[Role]]&lt;&gt;"BR",SUMPRODUCT(Mecze[[#This Row],[/PR:90]:[/BR:90]],Brudnopis!$E$28:$J$28),0)</f>
        <v>5.2083333333333336E-2</v>
      </c>
      <c r="Y1074" s="35">
        <f>IF(Mecze[[#This Row],[Role]]="BR",Mecze[[#This Row],[/OB:90]]+Mecze[[#This Row],[/PC:90]],SUM(Mecze[[#This Row],[/PR:90]:[/BR:90]]))</f>
        <v>0.22916666666666666</v>
      </c>
      <c r="Z1074" s="35">
        <f>IF(Mecze[[#This Row],[KC]]=0,SUM(Mecze[[#This Row],[/BRI]:[/NPI]]),SUM(Mecze[[#This Row],[/BRI]:[/NPI]])*0.6)</f>
        <v>1.0078125</v>
      </c>
      <c r="AA1074" s="10">
        <f>IFERROR(Mecze[[#This Row],[BR]]/Mecze[[#This Row],[ST]],0)</f>
        <v>0</v>
      </c>
      <c r="AB1074">
        <f>ROUND(Mecze[[#This Row],[PD]]*Mecze[[#This Row],[%PC]],0)</f>
        <v>5</v>
      </c>
      <c r="AC1074">
        <f>ROUND(Mecze[[#This Row],[OD]]*Mecze[[#This Row],[%OU]],0)</f>
        <v>6</v>
      </c>
      <c r="AD1074" s="36" t="s">
        <v>167</v>
      </c>
      <c r="AE1074" s="36">
        <v>59</v>
      </c>
      <c r="AF1074" s="71">
        <v>5.0199999999999996</v>
      </c>
      <c r="AG1074" s="37">
        <v>0</v>
      </c>
      <c r="AH1074" s="37">
        <v>0</v>
      </c>
      <c r="AI1074" s="37">
        <v>96</v>
      </c>
      <c r="AJ1074" s="37">
        <v>1</v>
      </c>
      <c r="AK1074" s="37" t="str">
        <f>VLOOKUP(Mecze[[#This Row],[Match ID]],Meczusie[Mecz]:Meczusie[RodzajMeczu],2,FALSE)</f>
        <v>Liga</v>
      </c>
    </row>
    <row r="1075" spans="1:37" x14ac:dyDescent="0.25">
      <c r="A1075" s="76">
        <v>13</v>
      </c>
      <c r="B1075" s="3" t="s">
        <v>162</v>
      </c>
      <c r="C1075" s="2" t="s">
        <v>160</v>
      </c>
      <c r="D1075" s="1">
        <v>0</v>
      </c>
      <c r="E1075" s="1">
        <v>1</v>
      </c>
      <c r="F1075" s="1">
        <v>1</v>
      </c>
      <c r="G1075" s="1">
        <v>7</v>
      </c>
      <c r="H1075" s="4">
        <v>0.71</v>
      </c>
      <c r="I1075" s="1">
        <v>5</v>
      </c>
      <c r="J1075" s="4">
        <v>0.2</v>
      </c>
      <c r="K1075" s="1">
        <v>0</v>
      </c>
      <c r="L1075" s="1">
        <v>1</v>
      </c>
      <c r="M1075" s="32">
        <f>IF(Mecze[[#This Row],[PR]]=0,0,Mecze[[#This Row],[PR]]/Mecze[[#This Row],[CZAS]])</f>
        <v>1.0416666666666666E-2</v>
      </c>
      <c r="N1075" s="32">
        <f>IF(Mecze[[#This Row],[OU]]=0,0,Mecze[[#This Row],[OU]]/Mecze[[#This Row],[CZAS]])</f>
        <v>1.0416666666666666E-2</v>
      </c>
      <c r="O1075" s="32">
        <f>IF(Mecze[[#This Row],[PC]]=0,0,Mecze[[#This Row],[PC]]/Mecze[[#This Row],[CZAS]])</f>
        <v>5.2083333333333336E-2</v>
      </c>
      <c r="P1075" s="32">
        <f>IF(Mecze[[#This Row],[SC]]=0,0,Mecze[[#This Row],[SC]]/Mecze[[#This Row],[CZAS]])</f>
        <v>1.0416666666666666E-2</v>
      </c>
      <c r="Q1075" s="32">
        <f>IF(Mecze[[#This Row],[OB]]=0,0,Mecze[[#This Row],[OB]]/Mecze[[#This Row],[CZAS]])</f>
        <v>0</v>
      </c>
      <c r="R1075" s="32">
        <f>IF(Mecze[[#This Row],[BR]]=0,0,Mecze[[#This Row],[BR]]/Mecze[[#This Row],[CZAS]])</f>
        <v>0</v>
      </c>
      <c r="S1075" s="44">
        <f>IF(Mecze[[#This Row],[Role]]="BR",SUMPRODUCT(Mecze[[#This Row],[/PR:90]:[/BR:90]],Brudnopis!$E$23:$J$23),0)</f>
        <v>0</v>
      </c>
      <c r="T1075" s="44">
        <f>IF(Mecze[[#This Row],[Role]]&lt;&gt;"BR",SUMPRODUCT(Mecze[[#This Row],[/PR:90]:[/BR:90]],Brudnopis!$E$24:$J$24),0)</f>
        <v>8.8541666666666671E-2</v>
      </c>
      <c r="U1075" s="44">
        <f>IF(Mecze[[#This Row],[Role]]&lt;&gt;"BR",SUMPRODUCT(Mecze[[#This Row],[/PR:90]:[/BR:90]],Brudnopis!$E$25:$J$25),0)</f>
        <v>0.109375</v>
      </c>
      <c r="V1075" s="44">
        <f>IF(Mecze[[#This Row],[Role]]&lt;&gt;"BR",SUMPRODUCT(Mecze[[#This Row],[/PR:90]:[/BR:90]],Brudnopis!$E$26:$J$26),0)</f>
        <v>8.3333333333333343E-2</v>
      </c>
      <c r="W1075" s="44">
        <f>IF(Mecze[[#This Row],[Role]]&lt;&gt;"BR",SUMPRODUCT(Mecze[[#This Row],[/PR:90]:[/BR:90]],Brudnopis!$E$27:$J$27),0)</f>
        <v>0.10416666666666667</v>
      </c>
      <c r="X1075" s="44">
        <f>IF(Mecze[[#This Row],[Role]]&lt;&gt;"BR",SUMPRODUCT(Mecze[[#This Row],[/PR:90]:[/BR:90]],Brudnopis!$E$28:$J$28),0)</f>
        <v>7.2916666666666671E-2</v>
      </c>
      <c r="Y1075" s="35">
        <f>IF(Mecze[[#This Row],[Role]]="BR",Mecze[[#This Row],[/OB:90]]+Mecze[[#This Row],[/PC:90]],SUM(Mecze[[#This Row],[/PR:90]:[/BR:90]]))</f>
        <v>8.3333333333333343E-2</v>
      </c>
      <c r="Z1075" s="35">
        <f>IF(Mecze[[#This Row],[KC]]=0,SUM(Mecze[[#This Row],[/BRI]:[/NPI]]),SUM(Mecze[[#This Row],[/BRI]:[/NPI]])*0.6)</f>
        <v>0.45833333333333337</v>
      </c>
      <c r="AA1075" s="10">
        <f>IFERROR(Mecze[[#This Row],[BR]]/Mecze[[#This Row],[ST]],0)</f>
        <v>0</v>
      </c>
      <c r="AB1075">
        <f>ROUND(Mecze[[#This Row],[PD]]*Mecze[[#This Row],[%PC]],0)</f>
        <v>5</v>
      </c>
      <c r="AC1075">
        <f>ROUND(Mecze[[#This Row],[OD]]*Mecze[[#This Row],[%OU]],0)</f>
        <v>1</v>
      </c>
      <c r="AD1075" s="36" t="s">
        <v>41</v>
      </c>
      <c r="AE1075" s="36">
        <v>59</v>
      </c>
      <c r="AF1075" s="71">
        <v>4.3499999999999996</v>
      </c>
      <c r="AG1075" s="37">
        <v>0</v>
      </c>
      <c r="AH1075" s="37">
        <v>0</v>
      </c>
      <c r="AI1075" s="37">
        <v>96</v>
      </c>
      <c r="AJ1075" s="37">
        <v>1</v>
      </c>
      <c r="AK1075" s="37" t="str">
        <f>VLOOKUP(Mecze[[#This Row],[Match ID]],Meczusie[Mecz]:Meczusie[RodzajMeczu],2,FALSE)</f>
        <v>Liga</v>
      </c>
    </row>
    <row r="1076" spans="1:37" x14ac:dyDescent="0.25">
      <c r="A1076" s="76">
        <v>6</v>
      </c>
      <c r="B1076" s="3" t="s">
        <v>159</v>
      </c>
      <c r="C1076" s="2" t="s">
        <v>160</v>
      </c>
      <c r="D1076" s="1">
        <v>0</v>
      </c>
      <c r="E1076" s="1">
        <v>0</v>
      </c>
      <c r="F1076" s="1">
        <v>0</v>
      </c>
      <c r="G1076" s="1">
        <v>16</v>
      </c>
      <c r="H1076" s="4">
        <v>0.63</v>
      </c>
      <c r="I1076" s="1">
        <v>8</v>
      </c>
      <c r="J1076" s="4">
        <v>0.38</v>
      </c>
      <c r="K1076" s="1">
        <v>0</v>
      </c>
      <c r="L1076" s="1">
        <v>2</v>
      </c>
      <c r="M1076" s="32">
        <f>IF(Mecze[[#This Row],[PR]]=0,0,Mecze[[#This Row],[PR]]/Mecze[[#This Row],[CZAS]])</f>
        <v>2.0833333333333332E-2</v>
      </c>
      <c r="N1076" s="32">
        <f>IF(Mecze[[#This Row],[OU]]=0,0,Mecze[[#This Row],[OU]]/Mecze[[#This Row],[CZAS]])</f>
        <v>3.125E-2</v>
      </c>
      <c r="O1076" s="32">
        <f>IF(Mecze[[#This Row],[PC]]=0,0,Mecze[[#This Row],[PC]]/Mecze[[#This Row],[CZAS]])</f>
        <v>0.10416666666666667</v>
      </c>
      <c r="P1076" s="32">
        <f>IF(Mecze[[#This Row],[SC]]=0,0,Mecze[[#This Row],[SC]]/Mecze[[#This Row],[CZAS]])</f>
        <v>0</v>
      </c>
      <c r="Q1076" s="32">
        <f>IF(Mecze[[#This Row],[OB]]=0,0,Mecze[[#This Row],[OB]]/Mecze[[#This Row],[CZAS]])</f>
        <v>0</v>
      </c>
      <c r="R1076" s="32">
        <f>IF(Mecze[[#This Row],[BR]]=0,0,Mecze[[#This Row],[BR]]/Mecze[[#This Row],[CZAS]])</f>
        <v>0</v>
      </c>
      <c r="S1076" s="44">
        <f>IF(Mecze[[#This Row],[Role]]="BR",SUMPRODUCT(Mecze[[#This Row],[/PR:90]:[/BR:90]],Brudnopis!$E$23:$J$23),0)</f>
        <v>0</v>
      </c>
      <c r="T1076" s="44">
        <f>IF(Mecze[[#This Row],[Role]]&lt;&gt;"BR",SUMPRODUCT(Mecze[[#This Row],[/PR:90]:[/BR:90]],Brudnopis!$E$24:$J$24),0)</f>
        <v>0.171875</v>
      </c>
      <c r="U1076" s="44">
        <f>IF(Mecze[[#This Row],[Role]]&lt;&gt;"BR",SUMPRODUCT(Mecze[[#This Row],[/PR:90]:[/BR:90]],Brudnopis!$E$25:$J$25),0)</f>
        <v>0.20833333333333331</v>
      </c>
      <c r="V1076" s="44">
        <f>IF(Mecze[[#This Row],[Role]]&lt;&gt;"BR",SUMPRODUCT(Mecze[[#This Row],[/PR:90]:[/BR:90]],Brudnopis!$E$26:$J$26),0)</f>
        <v>0.15625</v>
      </c>
      <c r="W1076" s="44">
        <f>IF(Mecze[[#This Row],[Role]]&lt;&gt;"BR",SUMPRODUCT(Mecze[[#This Row],[/PR:90]:[/BR:90]],Brudnopis!$E$27:$J$27),0)</f>
        <v>0.1953125</v>
      </c>
      <c r="X1076" s="44">
        <f>IF(Mecze[[#This Row],[Role]]&lt;&gt;"BR",SUMPRODUCT(Mecze[[#This Row],[/PR:90]:[/BR:90]],Brudnopis!$E$28:$J$28),0)</f>
        <v>0.10416666666666667</v>
      </c>
      <c r="Y1076" s="35">
        <f>IF(Mecze[[#This Row],[Role]]="BR",Mecze[[#This Row],[/OB:90]]+Mecze[[#This Row],[/PC:90]],SUM(Mecze[[#This Row],[/PR:90]:[/BR:90]]))</f>
        <v>0.15625</v>
      </c>
      <c r="Z1076" s="35">
        <f>IF(Mecze[[#This Row],[KC]]=0,SUM(Mecze[[#This Row],[/BRI]:[/NPI]]),SUM(Mecze[[#This Row],[/BRI]:[/NPI]])*0.6)</f>
        <v>0.83593749999999989</v>
      </c>
      <c r="AA1076" s="10">
        <f>IFERROR(Mecze[[#This Row],[BR]]/Mecze[[#This Row],[ST]],0)</f>
        <v>0</v>
      </c>
      <c r="AB1076">
        <f>ROUND(Mecze[[#This Row],[PD]]*Mecze[[#This Row],[%PC]],0)</f>
        <v>10</v>
      </c>
      <c r="AC1076">
        <f>ROUND(Mecze[[#This Row],[OD]]*Mecze[[#This Row],[%OU]],0)</f>
        <v>3</v>
      </c>
      <c r="AD1076" s="36" t="s">
        <v>41</v>
      </c>
      <c r="AE1076" s="36">
        <v>59</v>
      </c>
      <c r="AF1076" s="71">
        <v>4.33</v>
      </c>
      <c r="AG1076" s="37">
        <v>0</v>
      </c>
      <c r="AH1076" s="37">
        <v>0</v>
      </c>
      <c r="AI1076" s="37">
        <v>96</v>
      </c>
      <c r="AJ1076" s="37">
        <v>1</v>
      </c>
      <c r="AK1076" s="37" t="str">
        <f>VLOOKUP(Mecze[[#This Row],[Match ID]],Meczusie[Mecz]:Meczusie[RodzajMeczu],2,FALSE)</f>
        <v>Liga</v>
      </c>
    </row>
    <row r="1077" spans="1:37" x14ac:dyDescent="0.25">
      <c r="A1077" s="76">
        <v>15</v>
      </c>
      <c r="B1077" s="3" t="s">
        <v>170</v>
      </c>
      <c r="C1077" s="2" t="s">
        <v>160</v>
      </c>
      <c r="D1077" s="1">
        <v>0</v>
      </c>
      <c r="E1077" s="1">
        <v>0</v>
      </c>
      <c r="F1077" s="1">
        <v>0</v>
      </c>
      <c r="G1077" s="1">
        <v>11</v>
      </c>
      <c r="H1077" s="4">
        <v>0.55000000000000004</v>
      </c>
      <c r="I1077" s="1">
        <v>3</v>
      </c>
      <c r="J1077" s="4">
        <v>0.33</v>
      </c>
      <c r="K1077" s="1">
        <v>0</v>
      </c>
      <c r="L1077" s="1">
        <v>2</v>
      </c>
      <c r="M1077" s="32">
        <f>IF(Mecze[[#This Row],[PR]]=0,0,Mecze[[#This Row],[PR]]/Mecze[[#This Row],[CZAS]])</f>
        <v>2.0833333333333332E-2</v>
      </c>
      <c r="N1077" s="32">
        <f>IF(Mecze[[#This Row],[OU]]=0,0,Mecze[[#This Row],[OU]]/Mecze[[#This Row],[CZAS]])</f>
        <v>1.0416666666666666E-2</v>
      </c>
      <c r="O1077" s="32">
        <f>IF(Mecze[[#This Row],[PC]]=0,0,Mecze[[#This Row],[PC]]/Mecze[[#This Row],[CZAS]])</f>
        <v>6.25E-2</v>
      </c>
      <c r="P1077" s="32">
        <f>IF(Mecze[[#This Row],[SC]]=0,0,Mecze[[#This Row],[SC]]/Mecze[[#This Row],[CZAS]])</f>
        <v>0</v>
      </c>
      <c r="Q1077" s="32">
        <f>IF(Mecze[[#This Row],[OB]]=0,0,Mecze[[#This Row],[OB]]/Mecze[[#This Row],[CZAS]])</f>
        <v>0</v>
      </c>
      <c r="R1077" s="32">
        <f>IF(Mecze[[#This Row],[BR]]=0,0,Mecze[[#This Row],[BR]]/Mecze[[#This Row],[CZAS]])</f>
        <v>0</v>
      </c>
      <c r="S1077" s="44">
        <f>IF(Mecze[[#This Row],[Role]]="BR",SUMPRODUCT(Mecze[[#This Row],[/PR:90]:[/BR:90]],Brudnopis!$E$23:$J$23),0)</f>
        <v>0</v>
      </c>
      <c r="T1077" s="44">
        <f>IF(Mecze[[#This Row],[Role]]&lt;&gt;"BR",SUMPRODUCT(Mecze[[#This Row],[/PR:90]:[/BR:90]],Brudnopis!$E$24:$J$24),0)</f>
        <v>9.8958333333333329E-2</v>
      </c>
      <c r="U1077" s="44">
        <f>IF(Mecze[[#This Row],[Role]]&lt;&gt;"BR",SUMPRODUCT(Mecze[[#This Row],[/PR:90]:[/BR:90]],Brudnopis!$E$25:$J$25),0)</f>
        <v>0.125</v>
      </c>
      <c r="V1077" s="44">
        <f>IF(Mecze[[#This Row],[Role]]&lt;&gt;"BR",SUMPRODUCT(Mecze[[#This Row],[/PR:90]:[/BR:90]],Brudnopis!$E$26:$J$26),0)</f>
        <v>9.375E-2</v>
      </c>
      <c r="W1077" s="44">
        <f>IF(Mecze[[#This Row],[Role]]&lt;&gt;"BR",SUMPRODUCT(Mecze[[#This Row],[/PR:90]:[/BR:90]],Brudnopis!$E$27:$J$27),0)</f>
        <v>0.1171875</v>
      </c>
      <c r="X1077" s="44">
        <f>IF(Mecze[[#This Row],[Role]]&lt;&gt;"BR",SUMPRODUCT(Mecze[[#This Row],[/PR:90]:[/BR:90]],Brudnopis!$E$28:$J$28),0)</f>
        <v>6.25E-2</v>
      </c>
      <c r="Y1077" s="35">
        <f>IF(Mecze[[#This Row],[Role]]="BR",Mecze[[#This Row],[/OB:90]]+Mecze[[#This Row],[/PC:90]],SUM(Mecze[[#This Row],[/PR:90]:[/BR:90]]))</f>
        <v>9.375E-2</v>
      </c>
      <c r="Z1077" s="35">
        <f>IF(Mecze[[#This Row],[KC]]=0,SUM(Mecze[[#This Row],[/BRI]:[/NPI]]),SUM(Mecze[[#This Row],[/BRI]:[/NPI]])*0.6)</f>
        <v>0.49739583333333331</v>
      </c>
      <c r="AA1077" s="10">
        <f>IFERROR(Mecze[[#This Row],[BR]]/Mecze[[#This Row],[ST]],0)</f>
        <v>0</v>
      </c>
      <c r="AB1077">
        <f>ROUND(Mecze[[#This Row],[PD]]*Mecze[[#This Row],[%PC]],0)</f>
        <v>6</v>
      </c>
      <c r="AC1077">
        <f>ROUND(Mecze[[#This Row],[OD]]*Mecze[[#This Row],[%OU]],0)</f>
        <v>1</v>
      </c>
      <c r="AD1077" s="36" t="s">
        <v>67</v>
      </c>
      <c r="AE1077" s="36">
        <v>59</v>
      </c>
      <c r="AF1077" s="71">
        <v>4.33</v>
      </c>
      <c r="AG1077" s="37">
        <v>0</v>
      </c>
      <c r="AH1077" s="37">
        <v>0</v>
      </c>
      <c r="AI1077" s="37">
        <v>96</v>
      </c>
      <c r="AJ1077" s="37">
        <v>1</v>
      </c>
      <c r="AK1077" s="37" t="str">
        <f>VLOOKUP(Mecze[[#This Row],[Match ID]],Meczusie[Mecz]:Meczusie[RodzajMeczu],2,FALSE)</f>
        <v>Liga</v>
      </c>
    </row>
    <row r="1078" spans="1:37" x14ac:dyDescent="0.25">
      <c r="A1078" s="76">
        <v>14</v>
      </c>
      <c r="B1078" s="3" t="s">
        <v>164</v>
      </c>
      <c r="C1078" s="2" t="s">
        <v>160</v>
      </c>
      <c r="D1078" s="1">
        <v>0</v>
      </c>
      <c r="E1078" s="1">
        <v>1</v>
      </c>
      <c r="F1078" s="1">
        <v>1</v>
      </c>
      <c r="G1078" s="1">
        <v>4</v>
      </c>
      <c r="H1078" s="4">
        <v>1</v>
      </c>
      <c r="I1078" s="1">
        <v>0</v>
      </c>
      <c r="J1078" s="4"/>
      <c r="K1078" s="1">
        <v>0</v>
      </c>
      <c r="L1078" s="1">
        <v>2</v>
      </c>
      <c r="M1078" s="32">
        <f>IF(Mecze[[#This Row],[PR]]=0,0,Mecze[[#This Row],[PR]]/Mecze[[#This Row],[CZAS]])</f>
        <v>2.0833333333333332E-2</v>
      </c>
      <c r="N1078" s="32">
        <f>IF(Mecze[[#This Row],[OU]]=0,0,Mecze[[#This Row],[OU]]/Mecze[[#This Row],[CZAS]])</f>
        <v>0</v>
      </c>
      <c r="O1078" s="32">
        <f>IF(Mecze[[#This Row],[PC]]=0,0,Mecze[[#This Row],[PC]]/Mecze[[#This Row],[CZAS]])</f>
        <v>4.1666666666666664E-2</v>
      </c>
      <c r="P1078" s="32">
        <f>IF(Mecze[[#This Row],[SC]]=0,0,Mecze[[#This Row],[SC]]/Mecze[[#This Row],[CZAS]])</f>
        <v>1.0416666666666666E-2</v>
      </c>
      <c r="Q1078" s="32">
        <f>IF(Mecze[[#This Row],[OB]]=0,0,Mecze[[#This Row],[OB]]/Mecze[[#This Row],[CZAS]])</f>
        <v>0</v>
      </c>
      <c r="R1078" s="32">
        <f>IF(Mecze[[#This Row],[BR]]=0,0,Mecze[[#This Row],[BR]]/Mecze[[#This Row],[CZAS]])</f>
        <v>0</v>
      </c>
      <c r="S1078" s="44">
        <f>IF(Mecze[[#This Row],[Role]]="BR",SUMPRODUCT(Mecze[[#This Row],[/PR:90]:[/BR:90]],Brudnopis!$E$23:$J$23),0)</f>
        <v>0</v>
      </c>
      <c r="T1078" s="44">
        <f>IF(Mecze[[#This Row],[Role]]&lt;&gt;"BR",SUMPRODUCT(Mecze[[#This Row],[/PR:90]:[/BR:90]],Brudnopis!$E$24:$J$24),0)</f>
        <v>7.2916666666666671E-2</v>
      </c>
      <c r="U1078" s="44">
        <f>IF(Mecze[[#This Row],[Role]]&lt;&gt;"BR",SUMPRODUCT(Mecze[[#This Row],[/PR:90]:[/BR:90]],Brudnopis!$E$25:$J$25),0)</f>
        <v>9.375E-2</v>
      </c>
      <c r="V1078" s="44">
        <f>IF(Mecze[[#This Row],[Role]]&lt;&gt;"BR",SUMPRODUCT(Mecze[[#This Row],[/PR:90]:[/BR:90]],Brudnopis!$E$26:$J$26),0)</f>
        <v>7.2916666666666671E-2</v>
      </c>
      <c r="W1078" s="44">
        <f>IF(Mecze[[#This Row],[Role]]&lt;&gt;"BR",SUMPRODUCT(Mecze[[#This Row],[/PR:90]:[/BR:90]],Brudnopis!$E$27:$J$27),0)</f>
        <v>8.8541666666666671E-2</v>
      </c>
      <c r="X1078" s="44">
        <f>IF(Mecze[[#This Row],[Role]]&lt;&gt;"BR",SUMPRODUCT(Mecze[[#This Row],[/PR:90]:[/BR:90]],Brudnopis!$E$28:$J$28),0)</f>
        <v>6.25E-2</v>
      </c>
      <c r="Y1078" s="35">
        <f>IF(Mecze[[#This Row],[Role]]="BR",Mecze[[#This Row],[/OB:90]]+Mecze[[#This Row],[/PC:90]],SUM(Mecze[[#This Row],[/PR:90]:[/BR:90]]))</f>
        <v>7.2916666666666671E-2</v>
      </c>
      <c r="Z1078" s="35">
        <f>IF(Mecze[[#This Row],[KC]]=0,SUM(Mecze[[#This Row],[/BRI]:[/NPI]]),SUM(Mecze[[#This Row],[/BRI]:[/NPI]])*0.6)</f>
        <v>0.39062500000000006</v>
      </c>
      <c r="AA1078" s="10">
        <f>IFERROR(Mecze[[#This Row],[BR]]/Mecze[[#This Row],[ST]],0)</f>
        <v>0</v>
      </c>
      <c r="AB1078">
        <f>ROUND(Mecze[[#This Row],[PD]]*Mecze[[#This Row],[%PC]],0)</f>
        <v>4</v>
      </c>
      <c r="AC1078">
        <f>ROUND(Mecze[[#This Row],[OD]]*Mecze[[#This Row],[%OU]],0)</f>
        <v>0</v>
      </c>
      <c r="AD1078" s="36" t="s">
        <v>44</v>
      </c>
      <c r="AE1078" s="36">
        <v>59</v>
      </c>
      <c r="AF1078" s="71">
        <v>3.35</v>
      </c>
      <c r="AG1078" s="37">
        <v>0</v>
      </c>
      <c r="AH1078" s="37">
        <v>0</v>
      </c>
      <c r="AI1078" s="37">
        <v>96</v>
      </c>
      <c r="AJ1078" s="37">
        <v>1</v>
      </c>
      <c r="AK1078" s="37" t="str">
        <f>VLOOKUP(Mecze[[#This Row],[Match ID]],Meczusie[Mecz]:Meczusie[RodzajMeczu],2,FALSE)</f>
        <v>Liga</v>
      </c>
    </row>
    <row r="1079" spans="1:37" x14ac:dyDescent="0.25">
      <c r="A1079" s="76">
        <v>8</v>
      </c>
      <c r="B1079" s="3" t="s">
        <v>154</v>
      </c>
      <c r="C1079" s="2" t="s">
        <v>160</v>
      </c>
      <c r="D1079" s="1">
        <v>0</v>
      </c>
      <c r="E1079" s="1">
        <v>1</v>
      </c>
      <c r="F1079" s="1">
        <v>1</v>
      </c>
      <c r="G1079" s="1">
        <v>4</v>
      </c>
      <c r="H1079" s="4">
        <v>0.5</v>
      </c>
      <c r="I1079" s="1">
        <v>1</v>
      </c>
      <c r="J1079" s="4">
        <v>0</v>
      </c>
      <c r="K1079" s="1">
        <v>0</v>
      </c>
      <c r="L1079" s="1">
        <v>0</v>
      </c>
      <c r="M1079" s="32">
        <f>IF(Mecze[[#This Row],[PR]]=0,0,Mecze[[#This Row],[PR]]/Mecze[[#This Row],[CZAS]])</f>
        <v>0</v>
      </c>
      <c r="N1079" s="32">
        <f>IF(Mecze[[#This Row],[OU]]=0,0,Mecze[[#This Row],[OU]]/Mecze[[#This Row],[CZAS]])</f>
        <v>0</v>
      </c>
      <c r="O1079" s="32">
        <f>IF(Mecze[[#This Row],[PC]]=0,0,Mecze[[#This Row],[PC]]/Mecze[[#This Row],[CZAS]])</f>
        <v>2.0833333333333332E-2</v>
      </c>
      <c r="P1079" s="32">
        <f>IF(Mecze[[#This Row],[SC]]=0,0,Mecze[[#This Row],[SC]]/Mecze[[#This Row],[CZAS]])</f>
        <v>1.0416666666666666E-2</v>
      </c>
      <c r="Q1079" s="32">
        <f>IF(Mecze[[#This Row],[OB]]=0,0,Mecze[[#This Row],[OB]]/Mecze[[#This Row],[CZAS]])</f>
        <v>0</v>
      </c>
      <c r="R1079" s="32">
        <f>IF(Mecze[[#This Row],[BR]]=0,0,Mecze[[#This Row],[BR]]/Mecze[[#This Row],[CZAS]])</f>
        <v>0</v>
      </c>
      <c r="S1079" s="44">
        <f>IF(Mecze[[#This Row],[Role]]="BR",SUMPRODUCT(Mecze[[#This Row],[/PR:90]:[/BR:90]],Brudnopis!$E$23:$J$23),0)</f>
        <v>0</v>
      </c>
      <c r="T1079" s="44">
        <f>IF(Mecze[[#This Row],[Role]]&lt;&gt;"BR",SUMPRODUCT(Mecze[[#This Row],[/PR:90]:[/BR:90]],Brudnopis!$E$24:$J$24),0)</f>
        <v>3.125E-2</v>
      </c>
      <c r="U1079" s="44">
        <f>IF(Mecze[[#This Row],[Role]]&lt;&gt;"BR",SUMPRODUCT(Mecze[[#This Row],[/PR:90]:[/BR:90]],Brudnopis!$E$25:$J$25),0)</f>
        <v>4.1666666666666664E-2</v>
      </c>
      <c r="V1079" s="44">
        <f>IF(Mecze[[#This Row],[Role]]&lt;&gt;"BR",SUMPRODUCT(Mecze[[#This Row],[/PR:90]:[/BR:90]],Brudnopis!$E$26:$J$26),0)</f>
        <v>3.125E-2</v>
      </c>
      <c r="W1079" s="44">
        <f>IF(Mecze[[#This Row],[Role]]&lt;&gt;"BR",SUMPRODUCT(Mecze[[#This Row],[/PR:90]:[/BR:90]],Brudnopis!$E$27:$J$27),0)</f>
        <v>4.1666666666666664E-2</v>
      </c>
      <c r="X1079" s="44">
        <f>IF(Mecze[[#This Row],[Role]]&lt;&gt;"BR",SUMPRODUCT(Mecze[[#This Row],[/PR:90]:[/BR:90]],Brudnopis!$E$28:$J$28),0)</f>
        <v>4.1666666666666664E-2</v>
      </c>
      <c r="Y1079" s="35">
        <f>IF(Mecze[[#This Row],[Role]]="BR",Mecze[[#This Row],[/OB:90]]+Mecze[[#This Row],[/PC:90]],SUM(Mecze[[#This Row],[/PR:90]:[/BR:90]]))</f>
        <v>3.125E-2</v>
      </c>
      <c r="Z1079" s="35">
        <f>IF(Mecze[[#This Row],[KC]]=0,SUM(Mecze[[#This Row],[/BRI]:[/NPI]]),SUM(Mecze[[#This Row],[/BRI]:[/NPI]])*0.6)</f>
        <v>0.18749999999999997</v>
      </c>
      <c r="AA1079" s="10">
        <f>IFERROR(Mecze[[#This Row],[BR]]/Mecze[[#This Row],[ST]],0)</f>
        <v>0</v>
      </c>
      <c r="AB1079">
        <f>ROUND(Mecze[[#This Row],[PD]]*Mecze[[#This Row],[%PC]],0)</f>
        <v>2</v>
      </c>
      <c r="AC1079">
        <f>ROUND(Mecze[[#This Row],[OD]]*Mecze[[#This Row],[%OU]],0)</f>
        <v>0</v>
      </c>
      <c r="AD1079" s="36" t="s">
        <v>44</v>
      </c>
      <c r="AE1079" s="36">
        <v>59</v>
      </c>
      <c r="AF1079" s="71">
        <v>2.93</v>
      </c>
      <c r="AG1079" s="37">
        <v>0</v>
      </c>
      <c r="AH1079" s="37">
        <v>0</v>
      </c>
      <c r="AI1079" s="37">
        <v>96</v>
      </c>
      <c r="AJ1079" s="37">
        <v>1</v>
      </c>
      <c r="AK1079" s="37" t="str">
        <f>VLOOKUP(Mecze[[#This Row],[Match ID]],Meczusie[Mecz]:Meczusie[RodzajMeczu],2,FALSE)</f>
        <v>Liga</v>
      </c>
    </row>
    <row r="1080" spans="1:37" x14ac:dyDescent="0.25">
      <c r="A1080" s="76">
        <v>9</v>
      </c>
      <c r="B1080" s="3" t="s">
        <v>411</v>
      </c>
      <c r="C1080" s="2" t="s">
        <v>165</v>
      </c>
      <c r="D1080" s="1">
        <v>0</v>
      </c>
      <c r="E1080" s="1">
        <v>3</v>
      </c>
      <c r="F1080" s="1">
        <v>2</v>
      </c>
      <c r="G1080" s="1">
        <v>7</v>
      </c>
      <c r="H1080" s="4">
        <v>0.56999999999999995</v>
      </c>
      <c r="I1080" s="1">
        <v>4</v>
      </c>
      <c r="J1080" s="4">
        <v>0.25</v>
      </c>
      <c r="K1080" s="1">
        <v>0</v>
      </c>
      <c r="L1080" s="1">
        <v>1</v>
      </c>
      <c r="M1080" s="32">
        <f>IF(Mecze[[#This Row],[PR]]=0,0,Mecze[[#This Row],[PR]]/Mecze[[#This Row],[CZAS]])</f>
        <v>1.0416666666666666E-2</v>
      </c>
      <c r="N1080" s="32">
        <f>IF(Mecze[[#This Row],[OU]]=0,0,Mecze[[#This Row],[OU]]/Mecze[[#This Row],[CZAS]])</f>
        <v>1.0416666666666666E-2</v>
      </c>
      <c r="O1080" s="32">
        <f>IF(Mecze[[#This Row],[PC]]=0,0,Mecze[[#This Row],[PC]]/Mecze[[#This Row],[CZAS]])</f>
        <v>4.1666666666666664E-2</v>
      </c>
      <c r="P1080" s="32">
        <f>IF(Mecze[[#This Row],[SC]]=0,0,Mecze[[#This Row],[SC]]/Mecze[[#This Row],[CZAS]])</f>
        <v>2.0833333333333332E-2</v>
      </c>
      <c r="Q1080" s="32">
        <f>IF(Mecze[[#This Row],[OB]]=0,0,Mecze[[#This Row],[OB]]/Mecze[[#This Row],[CZAS]])</f>
        <v>0</v>
      </c>
      <c r="R1080" s="32">
        <f>IF(Mecze[[#This Row],[BR]]=0,0,Mecze[[#This Row],[BR]]/Mecze[[#This Row],[CZAS]])</f>
        <v>0</v>
      </c>
      <c r="S1080" s="44">
        <f>IF(Mecze[[#This Row],[Role]]="BR",SUMPRODUCT(Mecze[[#This Row],[/PR:90]:[/BR:90]],Brudnopis!$E$23:$J$23),0)</f>
        <v>0</v>
      </c>
      <c r="T1080" s="44">
        <f>IF(Mecze[[#This Row],[Role]]&lt;&gt;"BR",SUMPRODUCT(Mecze[[#This Row],[/PR:90]:[/BR:90]],Brudnopis!$E$24:$J$24),0)</f>
        <v>8.8541666666666657E-2</v>
      </c>
      <c r="U1080" s="44">
        <f>IF(Mecze[[#This Row],[Role]]&lt;&gt;"BR",SUMPRODUCT(Mecze[[#This Row],[/PR:90]:[/BR:90]],Brudnopis!$E$25:$J$25),0)</f>
        <v>0.10416666666666666</v>
      </c>
      <c r="V1080" s="44">
        <f>IF(Mecze[[#This Row],[Role]]&lt;&gt;"BR",SUMPRODUCT(Mecze[[#This Row],[/PR:90]:[/BR:90]],Brudnopis!$E$26:$J$26),0)</f>
        <v>8.3333333333333329E-2</v>
      </c>
      <c r="W1080" s="44">
        <f>IF(Mecze[[#This Row],[Role]]&lt;&gt;"BR",SUMPRODUCT(Mecze[[#This Row],[/PR:90]:[/BR:90]],Brudnopis!$E$27:$J$27),0)</f>
        <v>9.8958333333333329E-2</v>
      </c>
      <c r="X1080" s="44">
        <f>IF(Mecze[[#This Row],[Role]]&lt;&gt;"BR",SUMPRODUCT(Mecze[[#This Row],[/PR:90]:[/BR:90]],Brudnopis!$E$28:$J$28),0)</f>
        <v>8.3333333333333329E-2</v>
      </c>
      <c r="Y1080" s="35">
        <f>IF(Mecze[[#This Row],[Role]]="BR",Mecze[[#This Row],[/OB:90]]+Mecze[[#This Row],[/PC:90]],SUM(Mecze[[#This Row],[/PR:90]:[/BR:90]]))</f>
        <v>8.3333333333333329E-2</v>
      </c>
      <c r="Z1080" s="35">
        <f>IF(Mecze[[#This Row],[KC]]=0,SUM(Mecze[[#This Row],[/BRI]:[/NPI]]),SUM(Mecze[[#This Row],[/BRI]:[/NPI]])*0.6)</f>
        <v>0.45833333333333326</v>
      </c>
      <c r="AA1080" s="10">
        <f>IFERROR(Mecze[[#This Row],[BR]]/Mecze[[#This Row],[ST]],0)</f>
        <v>0</v>
      </c>
      <c r="AB1080">
        <f>ROUND(Mecze[[#This Row],[PD]]*Mecze[[#This Row],[%PC]],0)</f>
        <v>4</v>
      </c>
      <c r="AC1080">
        <f>ROUND(Mecze[[#This Row],[OD]]*Mecze[[#This Row],[%OU]],0)</f>
        <v>1</v>
      </c>
      <c r="AD1080" s="36" t="s">
        <v>46</v>
      </c>
      <c r="AE1080" s="36">
        <v>59</v>
      </c>
      <c r="AF1080" s="71">
        <v>4.4800000000000004</v>
      </c>
      <c r="AG1080" s="37">
        <v>0</v>
      </c>
      <c r="AH1080" s="37">
        <v>0</v>
      </c>
      <c r="AI1080" s="37">
        <v>96</v>
      </c>
      <c r="AJ1080" s="37">
        <v>1</v>
      </c>
      <c r="AK1080" s="37" t="str">
        <f>VLOOKUP(Mecze[[#This Row],[Match ID]],Meczusie[Mecz]:Meczusie[RodzajMeczu],2,FALSE)</f>
        <v>Liga</v>
      </c>
    </row>
    <row r="1081" spans="1:37" x14ac:dyDescent="0.25">
      <c r="A1081" s="76">
        <v>19</v>
      </c>
      <c r="B1081" s="3" t="s">
        <v>166</v>
      </c>
      <c r="C1081" s="2" t="s">
        <v>165</v>
      </c>
      <c r="D1081" s="1">
        <v>0</v>
      </c>
      <c r="E1081" s="1">
        <v>5</v>
      </c>
      <c r="F1081" s="1">
        <v>5</v>
      </c>
      <c r="G1081" s="1">
        <v>8</v>
      </c>
      <c r="H1081" s="4">
        <v>0.75</v>
      </c>
      <c r="I1081" s="1">
        <v>5</v>
      </c>
      <c r="J1081" s="4">
        <v>0.2</v>
      </c>
      <c r="K1081" s="1">
        <v>0</v>
      </c>
      <c r="L1081" s="1">
        <v>1</v>
      </c>
      <c r="M1081" s="32">
        <f>IF(Mecze[[#This Row],[PR]]=0,0,Mecze[[#This Row],[PR]]/Mecze[[#This Row],[CZAS]])</f>
        <v>1.0416666666666666E-2</v>
      </c>
      <c r="N1081" s="32">
        <f>IF(Mecze[[#This Row],[OU]]=0,0,Mecze[[#This Row],[OU]]/Mecze[[#This Row],[CZAS]])</f>
        <v>1.0416666666666666E-2</v>
      </c>
      <c r="O1081" s="32">
        <f>IF(Mecze[[#This Row],[PC]]=0,0,Mecze[[#This Row],[PC]]/Mecze[[#This Row],[CZAS]])</f>
        <v>6.25E-2</v>
      </c>
      <c r="P1081" s="32">
        <f>IF(Mecze[[#This Row],[SC]]=0,0,Mecze[[#This Row],[SC]]/Mecze[[#This Row],[CZAS]])</f>
        <v>5.2083333333333336E-2</v>
      </c>
      <c r="Q1081" s="32">
        <f>IF(Mecze[[#This Row],[OB]]=0,0,Mecze[[#This Row],[OB]]/Mecze[[#This Row],[CZAS]])</f>
        <v>0</v>
      </c>
      <c r="R1081" s="32">
        <f>IF(Mecze[[#This Row],[BR]]=0,0,Mecze[[#This Row],[BR]]/Mecze[[#This Row],[CZAS]])</f>
        <v>0</v>
      </c>
      <c r="S1081" s="44">
        <f>IF(Mecze[[#This Row],[Role]]="BR",SUMPRODUCT(Mecze[[#This Row],[/PR:90]:[/BR:90]],Brudnopis!$E$23:$J$23),0)</f>
        <v>0</v>
      </c>
      <c r="T1081" s="44">
        <f>IF(Mecze[[#This Row],[Role]]&lt;&gt;"BR",SUMPRODUCT(Mecze[[#This Row],[/PR:90]:[/BR:90]],Brudnopis!$E$24:$J$24),0)</f>
        <v>0.140625</v>
      </c>
      <c r="U1081" s="44">
        <f>IF(Mecze[[#This Row],[Role]]&lt;&gt;"BR",SUMPRODUCT(Mecze[[#This Row],[/PR:90]:[/BR:90]],Brudnopis!$E$25:$J$25),0)</f>
        <v>0.16666666666666666</v>
      </c>
      <c r="V1081" s="44">
        <f>IF(Mecze[[#This Row],[Role]]&lt;&gt;"BR",SUMPRODUCT(Mecze[[#This Row],[/PR:90]:[/BR:90]],Brudnopis!$E$26:$J$26),0)</f>
        <v>0.13541666666666666</v>
      </c>
      <c r="W1081" s="44">
        <f>IF(Mecze[[#This Row],[Role]]&lt;&gt;"BR",SUMPRODUCT(Mecze[[#This Row],[/PR:90]:[/BR:90]],Brudnopis!$E$27:$J$27),0)</f>
        <v>0.16145833333333334</v>
      </c>
      <c r="X1081" s="44">
        <f>IF(Mecze[[#This Row],[Role]]&lt;&gt;"BR",SUMPRODUCT(Mecze[[#This Row],[/PR:90]:[/BR:90]],Brudnopis!$E$28:$J$28),0)</f>
        <v>0.16666666666666669</v>
      </c>
      <c r="Y1081" s="35">
        <f>IF(Mecze[[#This Row],[Role]]="BR",Mecze[[#This Row],[/OB:90]]+Mecze[[#This Row],[/PC:90]],SUM(Mecze[[#This Row],[/PR:90]:[/BR:90]]))</f>
        <v>0.13541666666666666</v>
      </c>
      <c r="Z1081" s="35">
        <f>IF(Mecze[[#This Row],[KC]]=0,SUM(Mecze[[#This Row],[/BRI]:[/NPI]]),SUM(Mecze[[#This Row],[/BRI]:[/NPI]])*0.6)</f>
        <v>0.77083333333333326</v>
      </c>
      <c r="AA1081" s="10">
        <f>IFERROR(Mecze[[#This Row],[BR]]/Mecze[[#This Row],[ST]],0)</f>
        <v>0</v>
      </c>
      <c r="AB1081">
        <f>ROUND(Mecze[[#This Row],[PD]]*Mecze[[#This Row],[%PC]],0)</f>
        <v>6</v>
      </c>
      <c r="AC1081">
        <f>ROUND(Mecze[[#This Row],[OD]]*Mecze[[#This Row],[%OU]],0)</f>
        <v>1</v>
      </c>
      <c r="AD1081" s="36" t="s">
        <v>46</v>
      </c>
      <c r="AE1081" s="36">
        <v>59</v>
      </c>
      <c r="AF1081" s="71">
        <v>5.14</v>
      </c>
      <c r="AG1081" s="37">
        <v>0</v>
      </c>
      <c r="AH1081" s="37">
        <v>0</v>
      </c>
      <c r="AI1081" s="37">
        <v>96</v>
      </c>
      <c r="AJ1081" s="37">
        <v>1</v>
      </c>
      <c r="AK1081" s="37" t="str">
        <f>VLOOKUP(Mecze[[#This Row],[Match ID]],Meczusie[Mecz]:Meczusie[RodzajMeczu],2,FALSE)</f>
        <v>Liga</v>
      </c>
    </row>
    <row r="1082" spans="1:37" x14ac:dyDescent="0.25">
      <c r="A1082" s="76">
        <v>1</v>
      </c>
      <c r="B1082" s="3" t="s">
        <v>320</v>
      </c>
      <c r="C1082" s="2" t="s">
        <v>155</v>
      </c>
      <c r="D1082" s="1">
        <v>0</v>
      </c>
      <c r="E1082" s="1">
        <v>0</v>
      </c>
      <c r="F1082" s="1">
        <v>0</v>
      </c>
      <c r="G1082" s="1">
        <v>0</v>
      </c>
      <c r="H1082" s="72"/>
      <c r="I1082" s="1">
        <v>0</v>
      </c>
      <c r="J1082" s="4"/>
      <c r="K1082" s="1">
        <v>0</v>
      </c>
      <c r="L1082" s="1">
        <v>0</v>
      </c>
      <c r="M1082" s="32">
        <f>IF(Mecze[[#This Row],[PR]]=0,0,Mecze[[#This Row],[PR]]/Mecze[[#This Row],[CZAS]])</f>
        <v>0</v>
      </c>
      <c r="N1082" s="32">
        <f>IF(Mecze[[#This Row],[OU]]=0,0,Mecze[[#This Row],[OU]]/Mecze[[#This Row],[CZAS]])</f>
        <v>0</v>
      </c>
      <c r="O1082" s="32">
        <f>IF(Mecze[[#This Row],[PC]]=0,0,Mecze[[#This Row],[PC]]/Mecze[[#This Row],[CZAS]])</f>
        <v>0</v>
      </c>
      <c r="P1082" s="32">
        <f>IF(Mecze[[#This Row],[SC]]=0,0,Mecze[[#This Row],[SC]]/Mecze[[#This Row],[CZAS]])</f>
        <v>0</v>
      </c>
      <c r="Q1082" s="32">
        <f>IF(Mecze[[#This Row],[OB]]=0,0,Mecze[[#This Row],[OB]]/Mecze[[#This Row],[CZAS]])</f>
        <v>0</v>
      </c>
      <c r="R1082" s="32">
        <f>IF(Mecze[[#This Row],[BR]]=0,0,Mecze[[#This Row],[BR]]/Mecze[[#This Row],[CZAS]])</f>
        <v>0</v>
      </c>
      <c r="S1082" s="44">
        <f>IF(Mecze[[#This Row],[Role]]="BR",SUMPRODUCT(Mecze[[#This Row],[/PR:90]:[/BR:90]],Brudnopis!$E$23:$J$23),0)</f>
        <v>0</v>
      </c>
      <c r="T1082" s="44">
        <f>IF(Mecze[[#This Row],[Role]]&lt;&gt;"BR",SUMPRODUCT(Mecze[[#This Row],[/PR:90]:[/BR:90]],Brudnopis!$E$24:$J$24),0)</f>
        <v>0</v>
      </c>
      <c r="U1082" s="44">
        <f>IF(Mecze[[#This Row],[Role]]&lt;&gt;"BR",SUMPRODUCT(Mecze[[#This Row],[/PR:90]:[/BR:90]],Brudnopis!$E$25:$J$25),0)</f>
        <v>0</v>
      </c>
      <c r="V1082" s="44">
        <f>IF(Mecze[[#This Row],[Role]]&lt;&gt;"BR",SUMPRODUCT(Mecze[[#This Row],[/PR:90]:[/BR:90]],Brudnopis!$E$26:$J$26),0)</f>
        <v>0</v>
      </c>
      <c r="W1082" s="44">
        <f>IF(Mecze[[#This Row],[Role]]&lt;&gt;"BR",SUMPRODUCT(Mecze[[#This Row],[/PR:90]:[/BR:90]],Brudnopis!$E$27:$J$27),0)</f>
        <v>0</v>
      </c>
      <c r="X1082" s="44">
        <f>IF(Mecze[[#This Row],[Role]]&lt;&gt;"BR",SUMPRODUCT(Mecze[[#This Row],[/PR:90]:[/BR:90]],Brudnopis!$E$28:$J$28),0)</f>
        <v>0</v>
      </c>
      <c r="Y1082" s="35">
        <f>IF(Mecze[[#This Row],[Role]]="BR",Mecze[[#This Row],[/OB:90]]+Mecze[[#This Row],[/PC:90]],SUM(Mecze[[#This Row],[/PR:90]:[/BR:90]]))</f>
        <v>0</v>
      </c>
      <c r="Z1082" s="35">
        <f>IF(Mecze[[#This Row],[KC]]=0,SUM(Mecze[[#This Row],[/BRI]:[/NPI]]),SUM(Mecze[[#This Row],[/BRI]:[/NPI]])*0.6)</f>
        <v>0</v>
      </c>
      <c r="AA1082" s="10">
        <f>IFERROR(Mecze[[#This Row],[BR]]/Mecze[[#This Row],[ST]],0)</f>
        <v>0</v>
      </c>
      <c r="AB1082">
        <f>ROUND(Mecze[[#This Row],[PD]]*Mecze[[#This Row],[%PC]],0)</f>
        <v>0</v>
      </c>
      <c r="AC1082">
        <f>ROUND(Mecze[[#This Row],[OD]]*Mecze[[#This Row],[%OU]],0)</f>
        <v>0</v>
      </c>
      <c r="AD1082" s="36" t="s">
        <v>40</v>
      </c>
      <c r="AE1082" s="36">
        <v>60</v>
      </c>
      <c r="AF1082" s="71">
        <v>7.04</v>
      </c>
      <c r="AG1082" s="37">
        <v>0</v>
      </c>
      <c r="AH1082" s="37">
        <v>0</v>
      </c>
      <c r="AI1082" s="37">
        <v>96</v>
      </c>
      <c r="AJ1082" s="37">
        <v>11</v>
      </c>
      <c r="AK1082" s="37" t="str">
        <f>VLOOKUP(Mecze[[#This Row],[Match ID]],Meczusie[Mecz]:Meczusie[RodzajMeczu],2,FALSE)</f>
        <v>Liga</v>
      </c>
    </row>
    <row r="1083" spans="1:37" x14ac:dyDescent="0.25">
      <c r="A1083" s="76">
        <v>4</v>
      </c>
      <c r="B1083" s="3" t="s">
        <v>321</v>
      </c>
      <c r="C1083" s="2" t="s">
        <v>157</v>
      </c>
      <c r="D1083" s="1">
        <v>0</v>
      </c>
      <c r="E1083" s="1">
        <v>0</v>
      </c>
      <c r="F1083" s="1">
        <v>0</v>
      </c>
      <c r="G1083" s="1">
        <v>6</v>
      </c>
      <c r="H1083" s="4">
        <v>0.83</v>
      </c>
      <c r="I1083" s="1">
        <v>3</v>
      </c>
      <c r="J1083" s="4">
        <v>0.67</v>
      </c>
      <c r="K1083" s="1">
        <v>0</v>
      </c>
      <c r="L1083" s="1">
        <v>5</v>
      </c>
      <c r="M1083" s="32">
        <f>IF(Mecze[[#This Row],[PR]]=0,0,Mecze[[#This Row],[PR]]/Mecze[[#This Row],[CZAS]])</f>
        <v>5.2083333333333336E-2</v>
      </c>
      <c r="N1083" s="32">
        <f>IF(Mecze[[#This Row],[OU]]=0,0,Mecze[[#This Row],[OU]]/Mecze[[#This Row],[CZAS]])</f>
        <v>2.0833333333333332E-2</v>
      </c>
      <c r="O1083" s="32">
        <f>IF(Mecze[[#This Row],[PC]]=0,0,Mecze[[#This Row],[PC]]/Mecze[[#This Row],[CZAS]])</f>
        <v>5.2083333333333336E-2</v>
      </c>
      <c r="P1083" s="32">
        <f>IF(Mecze[[#This Row],[SC]]=0,0,Mecze[[#This Row],[SC]]/Mecze[[#This Row],[CZAS]])</f>
        <v>0</v>
      </c>
      <c r="Q1083" s="32">
        <f>IF(Mecze[[#This Row],[OB]]=0,0,Mecze[[#This Row],[OB]]/Mecze[[#This Row],[CZAS]])</f>
        <v>0</v>
      </c>
      <c r="R1083" s="32">
        <f>IF(Mecze[[#This Row],[BR]]=0,0,Mecze[[#This Row],[BR]]/Mecze[[#This Row],[CZAS]])</f>
        <v>0</v>
      </c>
      <c r="S1083" s="44">
        <f>IF(Mecze[[#This Row],[Role]]="BR",SUMPRODUCT(Mecze[[#This Row],[/PR:90]:[/BR:90]],Brudnopis!$E$23:$J$23),0)</f>
        <v>0</v>
      </c>
      <c r="T1083" s="44">
        <f>IF(Mecze[[#This Row],[Role]]&lt;&gt;"BR",SUMPRODUCT(Mecze[[#This Row],[/PR:90]:[/BR:90]],Brudnopis!$E$24:$J$24),0)</f>
        <v>0.13541666666666669</v>
      </c>
      <c r="U1083" s="44">
        <f>IF(Mecze[[#This Row],[Role]]&lt;&gt;"BR",SUMPRODUCT(Mecze[[#This Row],[/PR:90]:[/BR:90]],Brudnopis!$E$25:$J$25),0)</f>
        <v>0.15104166666666669</v>
      </c>
      <c r="V1083" s="44">
        <f>IF(Mecze[[#This Row],[Role]]&lt;&gt;"BR",SUMPRODUCT(Mecze[[#This Row],[/PR:90]:[/BR:90]],Brudnopis!$E$26:$J$26),0)</f>
        <v>0.125</v>
      </c>
      <c r="W1083" s="44">
        <f>IF(Mecze[[#This Row],[Role]]&lt;&gt;"BR",SUMPRODUCT(Mecze[[#This Row],[/PR:90]:[/BR:90]],Brudnopis!$E$27:$J$27),0)</f>
        <v>0.1328125</v>
      </c>
      <c r="X1083" s="44">
        <f>IF(Mecze[[#This Row],[Role]]&lt;&gt;"BR",SUMPRODUCT(Mecze[[#This Row],[/PR:90]:[/BR:90]],Brudnopis!$E$28:$J$28),0)</f>
        <v>5.2083333333333336E-2</v>
      </c>
      <c r="Y1083" s="35">
        <f>IF(Mecze[[#This Row],[Role]]="BR",Mecze[[#This Row],[/OB:90]]+Mecze[[#This Row],[/PC:90]],SUM(Mecze[[#This Row],[/PR:90]:[/BR:90]]))</f>
        <v>0.125</v>
      </c>
      <c r="Z1083" s="35">
        <f>IF(Mecze[[#This Row],[KC]]=0,SUM(Mecze[[#This Row],[/BRI]:[/NPI]]),SUM(Mecze[[#This Row],[/BRI]:[/NPI]])*0.6)</f>
        <v>0.35781250000000003</v>
      </c>
      <c r="AA1083" s="10">
        <f>IFERROR(Mecze[[#This Row],[BR]]/Mecze[[#This Row],[ST]],0)</f>
        <v>0</v>
      </c>
      <c r="AB1083">
        <f>ROUND(Mecze[[#This Row],[PD]]*Mecze[[#This Row],[%PC]],0)</f>
        <v>5</v>
      </c>
      <c r="AC1083">
        <f>ROUND(Mecze[[#This Row],[OD]]*Mecze[[#This Row],[%OU]],0)</f>
        <v>2</v>
      </c>
      <c r="AD1083" s="36" t="s">
        <v>47</v>
      </c>
      <c r="AE1083" s="36">
        <v>60</v>
      </c>
      <c r="AF1083" s="71">
        <v>4.8</v>
      </c>
      <c r="AG1083" s="37">
        <v>0</v>
      </c>
      <c r="AH1083" s="37">
        <v>1</v>
      </c>
      <c r="AI1083" s="37">
        <v>96</v>
      </c>
      <c r="AJ1083" s="37">
        <v>11</v>
      </c>
      <c r="AK1083" s="37" t="str">
        <f>VLOOKUP(Mecze[[#This Row],[Match ID]],Meczusie[Mecz]:Meczusie[RodzajMeczu],2,FALSE)</f>
        <v>Liga</v>
      </c>
    </row>
    <row r="1084" spans="1:37" x14ac:dyDescent="0.25">
      <c r="A1084" s="76">
        <v>7</v>
      </c>
      <c r="B1084" s="3" t="s">
        <v>322</v>
      </c>
      <c r="C1084" s="2" t="s">
        <v>157</v>
      </c>
      <c r="D1084" s="1">
        <v>0</v>
      </c>
      <c r="E1084" s="1">
        <v>0</v>
      </c>
      <c r="F1084" s="1">
        <v>0</v>
      </c>
      <c r="G1084" s="1">
        <v>6</v>
      </c>
      <c r="H1084" s="4">
        <v>0.83</v>
      </c>
      <c r="I1084" s="1">
        <v>3</v>
      </c>
      <c r="J1084" s="4">
        <v>0.33</v>
      </c>
      <c r="K1084" s="1">
        <v>0</v>
      </c>
      <c r="L1084" s="1">
        <v>10</v>
      </c>
      <c r="M1084" s="32">
        <f>IF(Mecze[[#This Row],[PR]]=0,0,Mecze[[#This Row],[PR]]/Mecze[[#This Row],[CZAS]])</f>
        <v>0.10416666666666667</v>
      </c>
      <c r="N1084" s="32">
        <f>IF(Mecze[[#This Row],[OU]]=0,0,Mecze[[#This Row],[OU]]/Mecze[[#This Row],[CZAS]])</f>
        <v>1.0416666666666666E-2</v>
      </c>
      <c r="O1084" s="32">
        <f>IF(Mecze[[#This Row],[PC]]=0,0,Mecze[[#This Row],[PC]]/Mecze[[#This Row],[CZAS]])</f>
        <v>5.2083333333333336E-2</v>
      </c>
      <c r="P1084" s="32">
        <f>IF(Mecze[[#This Row],[SC]]=0,0,Mecze[[#This Row],[SC]]/Mecze[[#This Row],[CZAS]])</f>
        <v>0</v>
      </c>
      <c r="Q1084" s="32">
        <f>IF(Mecze[[#This Row],[OB]]=0,0,Mecze[[#This Row],[OB]]/Mecze[[#This Row],[CZAS]])</f>
        <v>0</v>
      </c>
      <c r="R1084" s="32">
        <f>IF(Mecze[[#This Row],[BR]]=0,0,Mecze[[#This Row],[BR]]/Mecze[[#This Row],[CZAS]])</f>
        <v>0</v>
      </c>
      <c r="S1084" s="44">
        <f>IF(Mecze[[#This Row],[Role]]="BR",SUMPRODUCT(Mecze[[#This Row],[/PR:90]:[/BR:90]],Brudnopis!$E$23:$J$23),0)</f>
        <v>0</v>
      </c>
      <c r="T1084" s="44">
        <f>IF(Mecze[[#This Row],[Role]]&lt;&gt;"BR",SUMPRODUCT(Mecze[[#This Row],[/PR:90]:[/BR:90]],Brudnopis!$E$24:$J$24),0)</f>
        <v>0.171875</v>
      </c>
      <c r="U1084" s="44">
        <f>IF(Mecze[[#This Row],[Role]]&lt;&gt;"BR",SUMPRODUCT(Mecze[[#This Row],[/PR:90]:[/BR:90]],Brudnopis!$E$25:$J$25),0)</f>
        <v>0.19270833333333334</v>
      </c>
      <c r="V1084" s="44">
        <f>IF(Mecze[[#This Row],[Role]]&lt;&gt;"BR",SUMPRODUCT(Mecze[[#This Row],[/PR:90]:[/BR:90]],Brudnopis!$E$26:$J$26),0)</f>
        <v>0.16666666666666669</v>
      </c>
      <c r="W1084" s="44">
        <f>IF(Mecze[[#This Row],[Role]]&lt;&gt;"BR",SUMPRODUCT(Mecze[[#This Row],[/PR:90]:[/BR:90]],Brudnopis!$E$27:$J$27),0)</f>
        <v>0.1640625</v>
      </c>
      <c r="X1084" s="44">
        <f>IF(Mecze[[#This Row],[Role]]&lt;&gt;"BR",SUMPRODUCT(Mecze[[#This Row],[/PR:90]:[/BR:90]],Brudnopis!$E$28:$J$28),0)</f>
        <v>5.2083333333333336E-2</v>
      </c>
      <c r="Y1084" s="35">
        <f>IF(Mecze[[#This Row],[Role]]="BR",Mecze[[#This Row],[/OB:90]]+Mecze[[#This Row],[/PC:90]],SUM(Mecze[[#This Row],[/PR:90]:[/BR:90]]))</f>
        <v>0.16666666666666669</v>
      </c>
      <c r="Z1084" s="35">
        <f>IF(Mecze[[#This Row],[KC]]=0,SUM(Mecze[[#This Row],[/BRI]:[/NPI]]),SUM(Mecze[[#This Row],[/BRI]:[/NPI]])*0.6)</f>
        <v>0.74739583333333337</v>
      </c>
      <c r="AA1084" s="10">
        <f>IFERROR(Mecze[[#This Row],[BR]]/Mecze[[#This Row],[ST]],0)</f>
        <v>0</v>
      </c>
      <c r="AB1084">
        <f>ROUND(Mecze[[#This Row],[PD]]*Mecze[[#This Row],[%PC]],0)</f>
        <v>5</v>
      </c>
      <c r="AC1084">
        <f>ROUND(Mecze[[#This Row],[OD]]*Mecze[[#This Row],[%OU]],0)</f>
        <v>1</v>
      </c>
      <c r="AD1084" s="36" t="s">
        <v>47</v>
      </c>
      <c r="AE1084" s="36">
        <v>60</v>
      </c>
      <c r="AF1084" s="71">
        <v>9.14</v>
      </c>
      <c r="AG1084" s="37">
        <v>0</v>
      </c>
      <c r="AH1084" s="37">
        <v>0</v>
      </c>
      <c r="AI1084" s="37">
        <v>96</v>
      </c>
      <c r="AJ1084" s="37">
        <v>11</v>
      </c>
      <c r="AK1084" s="37" t="str">
        <f>VLOOKUP(Mecze[[#This Row],[Match ID]],Meczusie[Mecz]:Meczusie[RodzajMeczu],2,FALSE)</f>
        <v>Liga</v>
      </c>
    </row>
    <row r="1085" spans="1:37" x14ac:dyDescent="0.25">
      <c r="A1085" s="76">
        <v>2</v>
      </c>
      <c r="B1085" s="3" t="s">
        <v>392</v>
      </c>
      <c r="C1085" s="2" t="s">
        <v>157</v>
      </c>
      <c r="D1085" s="1">
        <v>0</v>
      </c>
      <c r="E1085" s="1">
        <v>0</v>
      </c>
      <c r="F1085" s="1">
        <v>0</v>
      </c>
      <c r="G1085" s="1">
        <v>0</v>
      </c>
      <c r="H1085" s="72"/>
      <c r="I1085" s="1">
        <v>0</v>
      </c>
      <c r="J1085" s="4"/>
      <c r="K1085" s="1">
        <v>0</v>
      </c>
      <c r="L1085" s="1">
        <v>0</v>
      </c>
      <c r="M1085" s="32">
        <f>IF(Mecze[[#This Row],[PR]]=0,0,Mecze[[#This Row],[PR]]/Mecze[[#This Row],[CZAS]])</f>
        <v>0</v>
      </c>
      <c r="N1085" s="32">
        <f>IF(Mecze[[#This Row],[OU]]=0,0,Mecze[[#This Row],[OU]]/Mecze[[#This Row],[CZAS]])</f>
        <v>0</v>
      </c>
      <c r="O1085" s="32">
        <f>IF(Mecze[[#This Row],[PC]]=0,0,Mecze[[#This Row],[PC]]/Mecze[[#This Row],[CZAS]])</f>
        <v>0</v>
      </c>
      <c r="P1085" s="32">
        <f>IF(Mecze[[#This Row],[SC]]=0,0,Mecze[[#This Row],[SC]]/Mecze[[#This Row],[CZAS]])</f>
        <v>0</v>
      </c>
      <c r="Q1085" s="32">
        <f>IF(Mecze[[#This Row],[OB]]=0,0,Mecze[[#This Row],[OB]]/Mecze[[#This Row],[CZAS]])</f>
        <v>0</v>
      </c>
      <c r="R1085" s="32">
        <f>IF(Mecze[[#This Row],[BR]]=0,0,Mecze[[#This Row],[BR]]/Mecze[[#This Row],[CZAS]])</f>
        <v>0</v>
      </c>
      <c r="S1085" s="44">
        <f>IF(Mecze[[#This Row],[Role]]="BR",SUMPRODUCT(Mecze[[#This Row],[/PR:90]:[/BR:90]],Brudnopis!$E$23:$J$23),0)</f>
        <v>0</v>
      </c>
      <c r="T1085" s="44">
        <f>IF(Mecze[[#This Row],[Role]]&lt;&gt;"BR",SUMPRODUCT(Mecze[[#This Row],[/PR:90]:[/BR:90]],Brudnopis!$E$24:$J$24),0)</f>
        <v>0</v>
      </c>
      <c r="U1085" s="44">
        <f>IF(Mecze[[#This Row],[Role]]&lt;&gt;"BR",SUMPRODUCT(Mecze[[#This Row],[/PR:90]:[/BR:90]],Brudnopis!$E$25:$J$25),0)</f>
        <v>0</v>
      </c>
      <c r="V1085" s="44">
        <f>IF(Mecze[[#This Row],[Role]]&lt;&gt;"BR",SUMPRODUCT(Mecze[[#This Row],[/PR:90]:[/BR:90]],Brudnopis!$E$26:$J$26),0)</f>
        <v>0</v>
      </c>
      <c r="W1085" s="44">
        <f>IF(Mecze[[#This Row],[Role]]&lt;&gt;"BR",SUMPRODUCT(Mecze[[#This Row],[/PR:90]:[/BR:90]],Brudnopis!$E$27:$J$27),0)</f>
        <v>0</v>
      </c>
      <c r="X1085" s="44">
        <f>IF(Mecze[[#This Row],[Role]]&lt;&gt;"BR",SUMPRODUCT(Mecze[[#This Row],[/PR:90]:[/BR:90]],Brudnopis!$E$28:$J$28),0)</f>
        <v>0</v>
      </c>
      <c r="Y1085" s="35">
        <f>IF(Mecze[[#This Row],[Role]]="BR",Mecze[[#This Row],[/OB:90]]+Mecze[[#This Row],[/PC:90]],SUM(Mecze[[#This Row],[/PR:90]:[/BR:90]]))</f>
        <v>0</v>
      </c>
      <c r="Z1085" s="35">
        <f>IF(Mecze[[#This Row],[KC]]=0,SUM(Mecze[[#This Row],[/BRI]:[/NPI]]),SUM(Mecze[[#This Row],[/BRI]:[/NPI]])*0.6)</f>
        <v>0</v>
      </c>
      <c r="AA1085" s="10">
        <f>IFERROR(Mecze[[#This Row],[BR]]/Mecze[[#This Row],[ST]],0)</f>
        <v>0</v>
      </c>
      <c r="AB1085">
        <f>ROUND(Mecze[[#This Row],[PD]]*Mecze[[#This Row],[%PC]],0)</f>
        <v>0</v>
      </c>
      <c r="AC1085">
        <f>ROUND(Mecze[[#This Row],[OD]]*Mecze[[#This Row],[%OU]],0)</f>
        <v>0</v>
      </c>
      <c r="AD1085" s="36" t="s">
        <v>175</v>
      </c>
      <c r="AE1085" s="36">
        <v>60</v>
      </c>
      <c r="AF1085" s="71">
        <v>7.04</v>
      </c>
      <c r="AG1085" s="37">
        <v>0</v>
      </c>
      <c r="AH1085" s="37">
        <v>0</v>
      </c>
      <c r="AI1085" s="37">
        <v>96</v>
      </c>
      <c r="AJ1085" s="37">
        <v>11</v>
      </c>
      <c r="AK1085" s="37" t="str">
        <f>VLOOKUP(Mecze[[#This Row],[Match ID]],Meczusie[Mecz]:Meczusie[RodzajMeczu],2,FALSE)</f>
        <v>Liga</v>
      </c>
    </row>
    <row r="1086" spans="1:37" x14ac:dyDescent="0.25">
      <c r="A1086" s="76">
        <v>6</v>
      </c>
      <c r="B1086" s="3" t="s">
        <v>324</v>
      </c>
      <c r="C1086" s="2" t="s">
        <v>157</v>
      </c>
      <c r="D1086" s="1">
        <v>0</v>
      </c>
      <c r="E1086" s="1">
        <v>0</v>
      </c>
      <c r="F1086" s="1">
        <v>0</v>
      </c>
      <c r="G1086" s="1">
        <v>7</v>
      </c>
      <c r="H1086" s="4">
        <v>0.86</v>
      </c>
      <c r="I1086" s="1">
        <v>2</v>
      </c>
      <c r="J1086" s="4">
        <v>0.5</v>
      </c>
      <c r="K1086" s="1">
        <v>0</v>
      </c>
      <c r="L1086" s="1">
        <v>6</v>
      </c>
      <c r="M1086" s="32">
        <f>IF(Mecze[[#This Row],[PR]]=0,0,Mecze[[#This Row],[PR]]/Mecze[[#This Row],[CZAS]])</f>
        <v>6.25E-2</v>
      </c>
      <c r="N1086" s="32">
        <f>IF(Mecze[[#This Row],[OU]]=0,0,Mecze[[#This Row],[OU]]/Mecze[[#This Row],[CZAS]])</f>
        <v>1.0416666666666666E-2</v>
      </c>
      <c r="O1086" s="32">
        <f>IF(Mecze[[#This Row],[PC]]=0,0,Mecze[[#This Row],[PC]]/Mecze[[#This Row],[CZAS]])</f>
        <v>6.25E-2</v>
      </c>
      <c r="P1086" s="32">
        <f>IF(Mecze[[#This Row],[SC]]=0,0,Mecze[[#This Row],[SC]]/Mecze[[#This Row],[CZAS]])</f>
        <v>0</v>
      </c>
      <c r="Q1086" s="32">
        <f>IF(Mecze[[#This Row],[OB]]=0,0,Mecze[[#This Row],[OB]]/Mecze[[#This Row],[CZAS]])</f>
        <v>0</v>
      </c>
      <c r="R1086" s="32">
        <f>IF(Mecze[[#This Row],[BR]]=0,0,Mecze[[#This Row],[BR]]/Mecze[[#This Row],[CZAS]])</f>
        <v>0</v>
      </c>
      <c r="S1086" s="44">
        <f>IF(Mecze[[#This Row],[Role]]="BR",SUMPRODUCT(Mecze[[#This Row],[/PR:90]:[/BR:90]],Brudnopis!$E$23:$J$23),0)</f>
        <v>0</v>
      </c>
      <c r="T1086" s="44">
        <f>IF(Mecze[[#This Row],[Role]]&lt;&gt;"BR",SUMPRODUCT(Mecze[[#This Row],[/PR:90]:[/BR:90]],Brudnopis!$E$24:$J$24),0)</f>
        <v>0.140625</v>
      </c>
      <c r="U1086" s="44">
        <f>IF(Mecze[[#This Row],[Role]]&lt;&gt;"BR",SUMPRODUCT(Mecze[[#This Row],[/PR:90]:[/BR:90]],Brudnopis!$E$25:$J$25),0)</f>
        <v>0.16666666666666669</v>
      </c>
      <c r="V1086" s="44">
        <f>IF(Mecze[[#This Row],[Role]]&lt;&gt;"BR",SUMPRODUCT(Mecze[[#This Row],[/PR:90]:[/BR:90]],Brudnopis!$E$26:$J$26),0)</f>
        <v>0.13541666666666669</v>
      </c>
      <c r="W1086" s="44">
        <f>IF(Mecze[[#This Row],[Role]]&lt;&gt;"BR",SUMPRODUCT(Mecze[[#This Row],[/PR:90]:[/BR:90]],Brudnopis!$E$27:$J$27),0)</f>
        <v>0.1484375</v>
      </c>
      <c r="X1086" s="44">
        <f>IF(Mecze[[#This Row],[Role]]&lt;&gt;"BR",SUMPRODUCT(Mecze[[#This Row],[/PR:90]:[/BR:90]],Brudnopis!$E$28:$J$28),0)</f>
        <v>6.25E-2</v>
      </c>
      <c r="Y1086" s="35">
        <f>IF(Mecze[[#This Row],[Role]]="BR",Mecze[[#This Row],[/OB:90]]+Mecze[[#This Row],[/PC:90]],SUM(Mecze[[#This Row],[/PR:90]:[/BR:90]]))</f>
        <v>0.13541666666666669</v>
      </c>
      <c r="Z1086" s="35">
        <f>IF(Mecze[[#This Row],[KC]]=0,SUM(Mecze[[#This Row],[/BRI]:[/NPI]]),SUM(Mecze[[#This Row],[/BRI]:[/NPI]])*0.6)</f>
        <v>0.65364583333333337</v>
      </c>
      <c r="AA1086" s="10">
        <f>IFERROR(Mecze[[#This Row],[BR]]/Mecze[[#This Row],[ST]],0)</f>
        <v>0</v>
      </c>
      <c r="AB1086">
        <f>ROUND(Mecze[[#This Row],[PD]]*Mecze[[#This Row],[%PC]],0)</f>
        <v>6</v>
      </c>
      <c r="AC1086">
        <f>ROUND(Mecze[[#This Row],[OD]]*Mecze[[#This Row],[%OU]],0)</f>
        <v>1</v>
      </c>
      <c r="AD1086" s="36" t="s">
        <v>174</v>
      </c>
      <c r="AE1086" s="36">
        <v>60</v>
      </c>
      <c r="AF1086" s="71">
        <v>8.3000000000000007</v>
      </c>
      <c r="AG1086" s="37">
        <v>0</v>
      </c>
      <c r="AH1086" s="37">
        <v>0</v>
      </c>
      <c r="AI1086" s="37">
        <v>96</v>
      </c>
      <c r="AJ1086" s="37">
        <v>11</v>
      </c>
      <c r="AK1086" s="37" t="str">
        <f>VLOOKUP(Mecze[[#This Row],[Match ID]],Meczusie[Mecz]:Meczusie[RodzajMeczu],2,FALSE)</f>
        <v>Liga</v>
      </c>
    </row>
    <row r="1087" spans="1:37" x14ac:dyDescent="0.25">
      <c r="A1087" s="76">
        <v>5</v>
      </c>
      <c r="B1087" s="3" t="s">
        <v>325</v>
      </c>
      <c r="C1087" s="2" t="s">
        <v>160</v>
      </c>
      <c r="D1087" s="1">
        <v>0</v>
      </c>
      <c r="E1087" s="1">
        <v>1</v>
      </c>
      <c r="F1087" s="1">
        <v>1</v>
      </c>
      <c r="G1087" s="1">
        <v>18</v>
      </c>
      <c r="H1087" s="4">
        <v>0.83</v>
      </c>
      <c r="I1087" s="1">
        <v>0</v>
      </c>
      <c r="J1087" s="4"/>
      <c r="K1087" s="1">
        <v>0</v>
      </c>
      <c r="L1087" s="1">
        <v>15</v>
      </c>
      <c r="M1087" s="32">
        <f>IF(Mecze[[#This Row],[PR]]=0,0,Mecze[[#This Row],[PR]]/Mecze[[#This Row],[CZAS]])</f>
        <v>0.15625</v>
      </c>
      <c r="N1087" s="32">
        <f>IF(Mecze[[#This Row],[OU]]=0,0,Mecze[[#This Row],[OU]]/Mecze[[#This Row],[CZAS]])</f>
        <v>0</v>
      </c>
      <c r="O1087" s="32">
        <f>IF(Mecze[[#This Row],[PC]]=0,0,Mecze[[#This Row],[PC]]/Mecze[[#This Row],[CZAS]])</f>
        <v>0.15625</v>
      </c>
      <c r="P1087" s="32">
        <f>IF(Mecze[[#This Row],[SC]]=0,0,Mecze[[#This Row],[SC]]/Mecze[[#This Row],[CZAS]])</f>
        <v>1.0416666666666666E-2</v>
      </c>
      <c r="Q1087" s="32">
        <f>IF(Mecze[[#This Row],[OB]]=0,0,Mecze[[#This Row],[OB]]/Mecze[[#This Row],[CZAS]])</f>
        <v>0</v>
      </c>
      <c r="R1087" s="32">
        <f>IF(Mecze[[#This Row],[BR]]=0,0,Mecze[[#This Row],[BR]]/Mecze[[#This Row],[CZAS]])</f>
        <v>0</v>
      </c>
      <c r="S1087" s="44">
        <f>IF(Mecze[[#This Row],[Role]]="BR",SUMPRODUCT(Mecze[[#This Row],[/PR:90]:[/BR:90]],Brudnopis!$E$23:$J$23),0)</f>
        <v>0</v>
      </c>
      <c r="T1087" s="44">
        <f>IF(Mecze[[#This Row],[Role]]&lt;&gt;"BR",SUMPRODUCT(Mecze[[#This Row],[/PR:90]:[/BR:90]],Brudnopis!$E$24:$J$24),0)</f>
        <v>0.32291666666666669</v>
      </c>
      <c r="U1087" s="44">
        <f>IF(Mecze[[#This Row],[Role]]&lt;&gt;"BR",SUMPRODUCT(Mecze[[#This Row],[/PR:90]:[/BR:90]],Brudnopis!$E$25:$J$25),0)</f>
        <v>0.40104166666666669</v>
      </c>
      <c r="V1087" s="44">
        <f>IF(Mecze[[#This Row],[Role]]&lt;&gt;"BR",SUMPRODUCT(Mecze[[#This Row],[/PR:90]:[/BR:90]],Brudnopis!$E$26:$J$26),0)</f>
        <v>0.32291666666666669</v>
      </c>
      <c r="W1087" s="44">
        <f>IF(Mecze[[#This Row],[Role]]&lt;&gt;"BR",SUMPRODUCT(Mecze[[#This Row],[/PR:90]:[/BR:90]],Brudnopis!$E$27:$J$27),0)</f>
        <v>0.36197916666666669</v>
      </c>
      <c r="X1087" s="44">
        <f>IF(Mecze[[#This Row],[Role]]&lt;&gt;"BR",SUMPRODUCT(Mecze[[#This Row],[/PR:90]:[/BR:90]],Brudnopis!$E$28:$J$28),0)</f>
        <v>0.17708333333333334</v>
      </c>
      <c r="Y1087" s="35">
        <f>IF(Mecze[[#This Row],[Role]]="BR",Mecze[[#This Row],[/OB:90]]+Mecze[[#This Row],[/PC:90]],SUM(Mecze[[#This Row],[/PR:90]:[/BR:90]]))</f>
        <v>0.32291666666666669</v>
      </c>
      <c r="Z1087" s="35">
        <f>IF(Mecze[[#This Row],[KC]]=0,SUM(Mecze[[#This Row],[/BRI]:[/NPI]]),SUM(Mecze[[#This Row],[/BRI]:[/NPI]])*0.6)</f>
        <v>1.5859375</v>
      </c>
      <c r="AA1087" s="10">
        <f>IFERROR(Mecze[[#This Row],[BR]]/Mecze[[#This Row],[ST]],0)</f>
        <v>0</v>
      </c>
      <c r="AB1087">
        <f>ROUND(Mecze[[#This Row],[PD]]*Mecze[[#This Row],[%PC]],0)</f>
        <v>15</v>
      </c>
      <c r="AC1087">
        <f>ROUND(Mecze[[#This Row],[OD]]*Mecze[[#This Row],[%OU]],0)</f>
        <v>0</v>
      </c>
      <c r="AD1087" s="36" t="s">
        <v>41</v>
      </c>
      <c r="AE1087" s="36">
        <v>60</v>
      </c>
      <c r="AF1087" s="71">
        <v>12.54</v>
      </c>
      <c r="AG1087" s="37">
        <v>0</v>
      </c>
      <c r="AH1087" s="37">
        <v>0</v>
      </c>
      <c r="AI1087" s="37">
        <v>96</v>
      </c>
      <c r="AJ1087" s="37">
        <v>11</v>
      </c>
      <c r="AK1087" s="37" t="str">
        <f>VLOOKUP(Mecze[[#This Row],[Match ID]],Meczusie[Mecz]:Meczusie[RodzajMeczu],2,FALSE)</f>
        <v>Liga</v>
      </c>
    </row>
    <row r="1088" spans="1:37" x14ac:dyDescent="0.25">
      <c r="A1088" s="76">
        <v>8</v>
      </c>
      <c r="B1088" s="3" t="s">
        <v>326</v>
      </c>
      <c r="C1088" s="2" t="s">
        <v>160</v>
      </c>
      <c r="D1088" s="1">
        <v>0</v>
      </c>
      <c r="E1088" s="1">
        <v>0</v>
      </c>
      <c r="F1088" s="1">
        <v>0</v>
      </c>
      <c r="G1088" s="1">
        <v>10</v>
      </c>
      <c r="H1088" s="4">
        <v>0.9</v>
      </c>
      <c r="I1088" s="1">
        <v>0</v>
      </c>
      <c r="J1088" s="4"/>
      <c r="K1088" s="1">
        <v>0</v>
      </c>
      <c r="L1088" s="1">
        <v>2</v>
      </c>
      <c r="M1088" s="32">
        <f>IF(Mecze[[#This Row],[PR]]=0,0,Mecze[[#This Row],[PR]]/Mecze[[#This Row],[CZAS]])</f>
        <v>2.0833333333333332E-2</v>
      </c>
      <c r="N1088" s="32">
        <f>IF(Mecze[[#This Row],[OU]]=0,0,Mecze[[#This Row],[OU]]/Mecze[[#This Row],[CZAS]])</f>
        <v>0</v>
      </c>
      <c r="O1088" s="32">
        <f>IF(Mecze[[#This Row],[PC]]=0,0,Mecze[[#This Row],[PC]]/Mecze[[#This Row],[CZAS]])</f>
        <v>9.375E-2</v>
      </c>
      <c r="P1088" s="32">
        <f>IF(Mecze[[#This Row],[SC]]=0,0,Mecze[[#This Row],[SC]]/Mecze[[#This Row],[CZAS]])</f>
        <v>0</v>
      </c>
      <c r="Q1088" s="32">
        <f>IF(Mecze[[#This Row],[OB]]=0,0,Mecze[[#This Row],[OB]]/Mecze[[#This Row],[CZAS]])</f>
        <v>0</v>
      </c>
      <c r="R1088" s="32">
        <f>IF(Mecze[[#This Row],[BR]]=0,0,Mecze[[#This Row],[BR]]/Mecze[[#This Row],[CZAS]])</f>
        <v>0</v>
      </c>
      <c r="S1088" s="44">
        <f>IF(Mecze[[#This Row],[Role]]="BR",SUMPRODUCT(Mecze[[#This Row],[/PR:90]:[/BR:90]],Brudnopis!$E$23:$J$23),0)</f>
        <v>0</v>
      </c>
      <c r="T1088" s="44">
        <f>IF(Mecze[[#This Row],[Role]]&lt;&gt;"BR",SUMPRODUCT(Mecze[[#This Row],[/PR:90]:[/BR:90]],Brudnopis!$E$24:$J$24),0)</f>
        <v>0.11458333333333333</v>
      </c>
      <c r="U1088" s="44">
        <f>IF(Mecze[[#This Row],[Role]]&lt;&gt;"BR",SUMPRODUCT(Mecze[[#This Row],[/PR:90]:[/BR:90]],Brudnopis!$E$25:$J$25),0)</f>
        <v>0.16145833333333334</v>
      </c>
      <c r="V1088" s="44">
        <f>IF(Mecze[[#This Row],[Role]]&lt;&gt;"BR",SUMPRODUCT(Mecze[[#This Row],[/PR:90]:[/BR:90]],Brudnopis!$E$26:$J$26),0)</f>
        <v>0.11458333333333333</v>
      </c>
      <c r="W1088" s="44">
        <f>IF(Mecze[[#This Row],[Role]]&lt;&gt;"BR",SUMPRODUCT(Mecze[[#This Row],[/PR:90]:[/BR:90]],Brudnopis!$E$27:$J$27),0)</f>
        <v>0.15625</v>
      </c>
      <c r="X1088" s="44">
        <f>IF(Mecze[[#This Row],[Role]]&lt;&gt;"BR",SUMPRODUCT(Mecze[[#This Row],[/PR:90]:[/BR:90]],Brudnopis!$E$28:$J$28),0)</f>
        <v>9.375E-2</v>
      </c>
      <c r="Y1088" s="35">
        <f>IF(Mecze[[#This Row],[Role]]="BR",Mecze[[#This Row],[/OB:90]]+Mecze[[#This Row],[/PC:90]],SUM(Mecze[[#This Row],[/PR:90]:[/BR:90]]))</f>
        <v>0.11458333333333333</v>
      </c>
      <c r="Z1088" s="35">
        <f>IF(Mecze[[#This Row],[KC]]=0,SUM(Mecze[[#This Row],[/BRI]:[/NPI]]),SUM(Mecze[[#This Row],[/BRI]:[/NPI]])*0.6)</f>
        <v>0.640625</v>
      </c>
      <c r="AA1088" s="10">
        <f>IFERROR(Mecze[[#This Row],[BR]]/Mecze[[#This Row],[ST]],0)</f>
        <v>0</v>
      </c>
      <c r="AB1088">
        <f>ROUND(Mecze[[#This Row],[PD]]*Mecze[[#This Row],[%PC]],0)</f>
        <v>9</v>
      </c>
      <c r="AC1088">
        <f>ROUND(Mecze[[#This Row],[OD]]*Mecze[[#This Row],[%OU]],0)</f>
        <v>0</v>
      </c>
      <c r="AD1088" s="36" t="s">
        <v>318</v>
      </c>
      <c r="AE1088" s="36">
        <v>60</v>
      </c>
      <c r="AF1088" s="71">
        <v>9.58</v>
      </c>
      <c r="AG1088" s="37">
        <v>0</v>
      </c>
      <c r="AH1088" s="37">
        <v>0</v>
      </c>
      <c r="AI1088" s="37">
        <v>96</v>
      </c>
      <c r="AJ1088" s="37">
        <v>11</v>
      </c>
      <c r="AK1088" s="37" t="str">
        <f>VLOOKUP(Mecze[[#This Row],[Match ID]],Meczusie[Mecz]:Meczusie[RodzajMeczu],2,FALSE)</f>
        <v>Liga</v>
      </c>
    </row>
    <row r="1089" spans="1:37" x14ac:dyDescent="0.25">
      <c r="A1089" s="76">
        <v>9</v>
      </c>
      <c r="B1089" s="3" t="s">
        <v>327</v>
      </c>
      <c r="C1089" s="2" t="s">
        <v>160</v>
      </c>
      <c r="D1089" s="1">
        <v>0</v>
      </c>
      <c r="E1089" s="1">
        <v>0</v>
      </c>
      <c r="F1089" s="1">
        <v>0</v>
      </c>
      <c r="G1089" s="1">
        <v>24</v>
      </c>
      <c r="H1089" s="4">
        <v>0.79</v>
      </c>
      <c r="I1089" s="1">
        <v>2</v>
      </c>
      <c r="J1089" s="4">
        <v>1</v>
      </c>
      <c r="K1089" s="1">
        <v>0</v>
      </c>
      <c r="L1089" s="1">
        <v>8</v>
      </c>
      <c r="M1089" s="32">
        <f>IF(Mecze[[#This Row],[PR]]=0,0,Mecze[[#This Row],[PR]]/Mecze[[#This Row],[CZAS]])</f>
        <v>8.3333333333333329E-2</v>
      </c>
      <c r="N1089" s="32">
        <f>IF(Mecze[[#This Row],[OU]]=0,0,Mecze[[#This Row],[OU]]/Mecze[[#This Row],[CZAS]])</f>
        <v>2.0833333333333332E-2</v>
      </c>
      <c r="O1089" s="32">
        <f>IF(Mecze[[#This Row],[PC]]=0,0,Mecze[[#This Row],[PC]]/Mecze[[#This Row],[CZAS]])</f>
        <v>0.19791666666666666</v>
      </c>
      <c r="P1089" s="32">
        <f>IF(Mecze[[#This Row],[SC]]=0,0,Mecze[[#This Row],[SC]]/Mecze[[#This Row],[CZAS]])</f>
        <v>0</v>
      </c>
      <c r="Q1089" s="32">
        <f>IF(Mecze[[#This Row],[OB]]=0,0,Mecze[[#This Row],[OB]]/Mecze[[#This Row],[CZAS]])</f>
        <v>0</v>
      </c>
      <c r="R1089" s="32">
        <f>IF(Mecze[[#This Row],[BR]]=0,0,Mecze[[#This Row],[BR]]/Mecze[[#This Row],[CZAS]])</f>
        <v>0</v>
      </c>
      <c r="S1089" s="44">
        <f>IF(Mecze[[#This Row],[Role]]="BR",SUMPRODUCT(Mecze[[#This Row],[/PR:90]:[/BR:90]],Brudnopis!$E$23:$J$23),0)</f>
        <v>0</v>
      </c>
      <c r="T1089" s="44">
        <f>IF(Mecze[[#This Row],[Role]]&lt;&gt;"BR",SUMPRODUCT(Mecze[[#This Row],[/PR:90]:[/BR:90]],Brudnopis!$E$24:$J$24),0)</f>
        <v>0.3125</v>
      </c>
      <c r="U1089" s="44">
        <f>IF(Mecze[[#This Row],[Role]]&lt;&gt;"BR",SUMPRODUCT(Mecze[[#This Row],[/PR:90]:[/BR:90]],Brudnopis!$E$25:$J$25),0)</f>
        <v>0.40104166666666663</v>
      </c>
      <c r="V1089" s="44">
        <f>IF(Mecze[[#This Row],[Role]]&lt;&gt;"BR",SUMPRODUCT(Mecze[[#This Row],[/PR:90]:[/BR:90]],Brudnopis!$E$26:$J$26),0)</f>
        <v>0.30208333333333331</v>
      </c>
      <c r="W1089" s="44">
        <f>IF(Mecze[[#This Row],[Role]]&lt;&gt;"BR",SUMPRODUCT(Mecze[[#This Row],[/PR:90]:[/BR:90]],Brudnopis!$E$27:$J$27),0)</f>
        <v>0.375</v>
      </c>
      <c r="X1089" s="44">
        <f>IF(Mecze[[#This Row],[Role]]&lt;&gt;"BR",SUMPRODUCT(Mecze[[#This Row],[/PR:90]:[/BR:90]],Brudnopis!$E$28:$J$28),0)</f>
        <v>0.19791666666666666</v>
      </c>
      <c r="Y1089" s="35">
        <f>IF(Mecze[[#This Row],[Role]]="BR",Mecze[[#This Row],[/OB:90]]+Mecze[[#This Row],[/PC:90]],SUM(Mecze[[#This Row],[/PR:90]:[/BR:90]]))</f>
        <v>0.30208333333333331</v>
      </c>
      <c r="Z1089" s="35">
        <f>IF(Mecze[[#This Row],[KC]]=0,SUM(Mecze[[#This Row],[/BRI]:[/NPI]]),SUM(Mecze[[#This Row],[/BRI]:[/NPI]])*0.6)</f>
        <v>1.5885416666666667</v>
      </c>
      <c r="AA1089" s="10">
        <f>IFERROR(Mecze[[#This Row],[BR]]/Mecze[[#This Row],[ST]],0)</f>
        <v>0</v>
      </c>
      <c r="AB1089">
        <f>ROUND(Mecze[[#This Row],[PD]]*Mecze[[#This Row],[%PC]],0)</f>
        <v>19</v>
      </c>
      <c r="AC1089">
        <f>ROUND(Mecze[[#This Row],[OD]]*Mecze[[#This Row],[%OU]],0)</f>
        <v>2</v>
      </c>
      <c r="AD1089" s="36" t="s">
        <v>44</v>
      </c>
      <c r="AE1089" s="36">
        <v>60</v>
      </c>
      <c r="AF1089" s="71">
        <v>9.93</v>
      </c>
      <c r="AG1089" s="37">
        <v>0</v>
      </c>
      <c r="AH1089" s="37">
        <v>0</v>
      </c>
      <c r="AI1089" s="37">
        <v>96</v>
      </c>
      <c r="AJ1089" s="37">
        <v>11</v>
      </c>
      <c r="AK1089" s="37" t="str">
        <f>VLOOKUP(Mecze[[#This Row],[Match ID]],Meczusie[Mecz]:Meczusie[RodzajMeczu],2,FALSE)</f>
        <v>Liga</v>
      </c>
    </row>
    <row r="1090" spans="1:37" x14ac:dyDescent="0.25">
      <c r="A1090" s="76">
        <v>10</v>
      </c>
      <c r="B1090" s="3" t="s">
        <v>328</v>
      </c>
      <c r="C1090" s="2" t="s">
        <v>165</v>
      </c>
      <c r="D1090" s="1">
        <v>0</v>
      </c>
      <c r="E1090" s="1">
        <v>0</v>
      </c>
      <c r="F1090" s="1">
        <v>0</v>
      </c>
      <c r="G1090" s="1">
        <v>3</v>
      </c>
      <c r="H1090" s="4">
        <v>0.67</v>
      </c>
      <c r="I1090" s="1">
        <v>0</v>
      </c>
      <c r="J1090" s="4"/>
      <c r="K1090" s="1">
        <v>0</v>
      </c>
      <c r="L1090" s="1">
        <v>3</v>
      </c>
      <c r="M1090" s="32">
        <f>IF(Mecze[[#This Row],[PR]]=0,0,Mecze[[#This Row],[PR]]/Mecze[[#This Row],[CZAS]])</f>
        <v>3.125E-2</v>
      </c>
      <c r="N1090" s="32">
        <f>IF(Mecze[[#This Row],[OU]]=0,0,Mecze[[#This Row],[OU]]/Mecze[[#This Row],[CZAS]])</f>
        <v>0</v>
      </c>
      <c r="O1090" s="32">
        <f>IF(Mecze[[#This Row],[PC]]=0,0,Mecze[[#This Row],[PC]]/Mecze[[#This Row],[CZAS]])</f>
        <v>2.0833333333333332E-2</v>
      </c>
      <c r="P1090" s="32">
        <f>IF(Mecze[[#This Row],[SC]]=0,0,Mecze[[#This Row],[SC]]/Mecze[[#This Row],[CZAS]])</f>
        <v>0</v>
      </c>
      <c r="Q1090" s="32">
        <f>IF(Mecze[[#This Row],[OB]]=0,0,Mecze[[#This Row],[OB]]/Mecze[[#This Row],[CZAS]])</f>
        <v>0</v>
      </c>
      <c r="R1090" s="32">
        <f>IF(Mecze[[#This Row],[BR]]=0,0,Mecze[[#This Row],[BR]]/Mecze[[#This Row],[CZAS]])</f>
        <v>0</v>
      </c>
      <c r="S1090" s="44">
        <f>IF(Mecze[[#This Row],[Role]]="BR",SUMPRODUCT(Mecze[[#This Row],[/PR:90]:[/BR:90]],Brudnopis!$E$23:$J$23),0)</f>
        <v>0</v>
      </c>
      <c r="T1090" s="44">
        <f>IF(Mecze[[#This Row],[Role]]&lt;&gt;"BR",SUMPRODUCT(Mecze[[#This Row],[/PR:90]:[/BR:90]],Brudnopis!$E$24:$J$24),0)</f>
        <v>5.2083333333333329E-2</v>
      </c>
      <c r="U1090" s="44">
        <f>IF(Mecze[[#This Row],[Role]]&lt;&gt;"BR",SUMPRODUCT(Mecze[[#This Row],[/PR:90]:[/BR:90]],Brudnopis!$E$25:$J$25),0)</f>
        <v>6.25E-2</v>
      </c>
      <c r="V1090" s="44">
        <f>IF(Mecze[[#This Row],[Role]]&lt;&gt;"BR",SUMPRODUCT(Mecze[[#This Row],[/PR:90]:[/BR:90]],Brudnopis!$E$26:$J$26),0)</f>
        <v>5.2083333333333329E-2</v>
      </c>
      <c r="W1090" s="44">
        <f>IF(Mecze[[#This Row],[Role]]&lt;&gt;"BR",SUMPRODUCT(Mecze[[#This Row],[/PR:90]:[/BR:90]],Brudnopis!$E$27:$J$27),0)</f>
        <v>5.46875E-2</v>
      </c>
      <c r="X1090" s="44">
        <f>IF(Mecze[[#This Row],[Role]]&lt;&gt;"BR",SUMPRODUCT(Mecze[[#This Row],[/PR:90]:[/BR:90]],Brudnopis!$E$28:$J$28),0)</f>
        <v>2.0833333333333332E-2</v>
      </c>
      <c r="Y1090" s="35">
        <f>IF(Mecze[[#This Row],[Role]]="BR",Mecze[[#This Row],[/OB:90]]+Mecze[[#This Row],[/PC:90]],SUM(Mecze[[#This Row],[/PR:90]:[/BR:90]]))</f>
        <v>5.2083333333333329E-2</v>
      </c>
      <c r="Z1090" s="35">
        <f>IF(Mecze[[#This Row],[KC]]=0,SUM(Mecze[[#This Row],[/BRI]:[/NPI]]),SUM(Mecze[[#This Row],[/BRI]:[/NPI]])*0.6)</f>
        <v>0.2421875</v>
      </c>
      <c r="AA1090" s="10">
        <f>IFERROR(Mecze[[#This Row],[BR]]/Mecze[[#This Row],[ST]],0)</f>
        <v>0</v>
      </c>
      <c r="AB1090">
        <f>ROUND(Mecze[[#This Row],[PD]]*Mecze[[#This Row],[%PC]],0)</f>
        <v>2</v>
      </c>
      <c r="AC1090">
        <f>ROUND(Mecze[[#This Row],[OD]]*Mecze[[#This Row],[%OU]],0)</f>
        <v>0</v>
      </c>
      <c r="AD1090" s="36" t="s">
        <v>46</v>
      </c>
      <c r="AE1090" s="36">
        <v>60</v>
      </c>
      <c r="AF1090" s="71">
        <v>3.93</v>
      </c>
      <c r="AG1090" s="37">
        <v>0</v>
      </c>
      <c r="AH1090" s="37">
        <v>0</v>
      </c>
      <c r="AI1090" s="37">
        <v>96</v>
      </c>
      <c r="AJ1090" s="37">
        <v>11</v>
      </c>
      <c r="AK1090" s="37" t="str">
        <f>VLOOKUP(Mecze[[#This Row],[Match ID]],Meczusie[Mecz]:Meczusie[RodzajMeczu],2,FALSE)</f>
        <v>Liga</v>
      </c>
    </row>
    <row r="1091" spans="1:37" x14ac:dyDescent="0.25">
      <c r="A1091" s="76">
        <v>11</v>
      </c>
      <c r="B1091" s="3" t="s">
        <v>329</v>
      </c>
      <c r="C1091" s="2" t="s">
        <v>165</v>
      </c>
      <c r="D1091" s="1">
        <v>5</v>
      </c>
      <c r="E1091" s="1">
        <v>14</v>
      </c>
      <c r="F1091" s="1">
        <v>9</v>
      </c>
      <c r="G1091" s="1">
        <v>10</v>
      </c>
      <c r="H1091" s="4">
        <v>0.9</v>
      </c>
      <c r="I1091" s="1">
        <v>1</v>
      </c>
      <c r="J1091" s="4">
        <v>0</v>
      </c>
      <c r="K1091" s="1">
        <v>0</v>
      </c>
      <c r="L1091" s="1">
        <v>0</v>
      </c>
      <c r="M1091" s="32">
        <f>IF(Mecze[[#This Row],[PR]]=0,0,Mecze[[#This Row],[PR]]/Mecze[[#This Row],[CZAS]])</f>
        <v>0</v>
      </c>
      <c r="N1091" s="32">
        <f>IF(Mecze[[#This Row],[OU]]=0,0,Mecze[[#This Row],[OU]]/Mecze[[#This Row],[CZAS]])</f>
        <v>0</v>
      </c>
      <c r="O1091" s="32">
        <f>IF(Mecze[[#This Row],[PC]]=0,0,Mecze[[#This Row],[PC]]/Mecze[[#This Row],[CZAS]])</f>
        <v>9.375E-2</v>
      </c>
      <c r="P1091" s="32">
        <f>IF(Mecze[[#This Row],[SC]]=0,0,Mecze[[#This Row],[SC]]/Mecze[[#This Row],[CZAS]])</f>
        <v>9.375E-2</v>
      </c>
      <c r="Q1091" s="32">
        <f>IF(Mecze[[#This Row],[OB]]=0,0,Mecze[[#This Row],[OB]]/Mecze[[#This Row],[CZAS]])</f>
        <v>0</v>
      </c>
      <c r="R1091" s="32">
        <f>IF(Mecze[[#This Row],[BR]]=0,0,Mecze[[#This Row],[BR]]/Mecze[[#This Row],[CZAS]])</f>
        <v>5.2083333333333336E-2</v>
      </c>
      <c r="S1091" s="44">
        <f>IF(Mecze[[#This Row],[Role]]="BR",SUMPRODUCT(Mecze[[#This Row],[/PR:90]:[/BR:90]],Brudnopis!$E$23:$J$23),0)</f>
        <v>0</v>
      </c>
      <c r="T1091" s="44">
        <f>IF(Mecze[[#This Row],[Role]]&lt;&gt;"BR",SUMPRODUCT(Mecze[[#This Row],[/PR:90]:[/BR:90]],Brudnopis!$E$24:$J$24),0)</f>
        <v>0.265625</v>
      </c>
      <c r="U1091" s="44">
        <f>IF(Mecze[[#This Row],[Role]]&lt;&gt;"BR",SUMPRODUCT(Mecze[[#This Row],[/PR:90]:[/BR:90]],Brudnopis!$E$25:$J$25),0)</f>
        <v>0.3125</v>
      </c>
      <c r="V1091" s="44">
        <f>IF(Mecze[[#This Row],[Role]]&lt;&gt;"BR",SUMPRODUCT(Mecze[[#This Row],[/PR:90]:[/BR:90]],Brudnopis!$E$26:$J$26),0)</f>
        <v>0.29166666666666669</v>
      </c>
      <c r="W1091" s="44">
        <f>IF(Mecze[[#This Row],[Role]]&lt;&gt;"BR",SUMPRODUCT(Mecze[[#This Row],[/PR:90]:[/BR:90]],Brudnopis!$E$27:$J$27),0)</f>
        <v>0.33854166666666669</v>
      </c>
      <c r="X1091" s="44">
        <f>IF(Mecze[[#This Row],[Role]]&lt;&gt;"BR",SUMPRODUCT(Mecze[[#This Row],[/PR:90]:[/BR:90]],Brudnopis!$E$28:$J$28),0)</f>
        <v>0.4375</v>
      </c>
      <c r="Y1091" s="35">
        <f>IF(Mecze[[#This Row],[Role]]="BR",Mecze[[#This Row],[/OB:90]]+Mecze[[#This Row],[/PC:90]],SUM(Mecze[[#This Row],[/PR:90]:[/BR:90]]))</f>
        <v>0.23958333333333334</v>
      </c>
      <c r="Z1091" s="35">
        <f>IF(Mecze[[#This Row],[KC]]=0,SUM(Mecze[[#This Row],[/BRI]:[/NPI]]),SUM(Mecze[[#This Row],[/BRI]:[/NPI]])*0.6)</f>
        <v>1.6458333333333335</v>
      </c>
      <c r="AA1091" s="10">
        <f>IFERROR(Mecze[[#This Row],[BR]]/Mecze[[#This Row],[ST]],0)</f>
        <v>0.35714285714285715</v>
      </c>
      <c r="AB1091">
        <f>ROUND(Mecze[[#This Row],[PD]]*Mecze[[#This Row],[%PC]],0)</f>
        <v>9</v>
      </c>
      <c r="AC1091">
        <f>ROUND(Mecze[[#This Row],[OD]]*Mecze[[#This Row],[%OU]],0)</f>
        <v>0</v>
      </c>
      <c r="AD1091" s="36" t="s">
        <v>273</v>
      </c>
      <c r="AE1091" s="36">
        <v>60</v>
      </c>
      <c r="AF1091" s="71">
        <v>19.66</v>
      </c>
      <c r="AG1091" s="37">
        <v>0</v>
      </c>
      <c r="AH1091" s="37">
        <v>0</v>
      </c>
      <c r="AI1091" s="37">
        <v>96</v>
      </c>
      <c r="AJ1091" s="37">
        <v>11</v>
      </c>
      <c r="AK1091" s="37" t="str">
        <f>VLOOKUP(Mecze[[#This Row],[Match ID]],Meczusie[Mecz]:Meczusie[RodzajMeczu],2,FALSE)</f>
        <v>Liga</v>
      </c>
    </row>
    <row r="1092" spans="1:37" x14ac:dyDescent="0.25">
      <c r="A1092" s="76">
        <v>14</v>
      </c>
      <c r="B1092" s="3" t="s">
        <v>330</v>
      </c>
      <c r="C1092" s="2" t="s">
        <v>165</v>
      </c>
      <c r="D1092" s="1">
        <v>6</v>
      </c>
      <c r="E1092" s="1">
        <v>18</v>
      </c>
      <c r="F1092" s="1">
        <v>13</v>
      </c>
      <c r="G1092" s="1">
        <v>6</v>
      </c>
      <c r="H1092" s="4">
        <v>0.67</v>
      </c>
      <c r="I1092" s="1">
        <v>3</v>
      </c>
      <c r="J1092" s="4">
        <v>0.33</v>
      </c>
      <c r="K1092" s="1">
        <v>0</v>
      </c>
      <c r="L1092" s="1">
        <v>0</v>
      </c>
      <c r="M1092" s="32">
        <f>IF(Mecze[[#This Row],[PR]]=0,0,Mecze[[#This Row],[PR]]/Mecze[[#This Row],[CZAS]])</f>
        <v>0</v>
      </c>
      <c r="N1092" s="32">
        <f>IF(Mecze[[#This Row],[OU]]=0,0,Mecze[[#This Row],[OU]]/Mecze[[#This Row],[CZAS]])</f>
        <v>1.0416666666666666E-2</v>
      </c>
      <c r="O1092" s="32">
        <f>IF(Mecze[[#This Row],[PC]]=0,0,Mecze[[#This Row],[PC]]/Mecze[[#This Row],[CZAS]])</f>
        <v>4.1666666666666664E-2</v>
      </c>
      <c r="P1092" s="32">
        <f>IF(Mecze[[#This Row],[SC]]=0,0,Mecze[[#This Row],[SC]]/Mecze[[#This Row],[CZAS]])</f>
        <v>0.13541666666666666</v>
      </c>
      <c r="Q1092" s="32">
        <f>IF(Mecze[[#This Row],[OB]]=0,0,Mecze[[#This Row],[OB]]/Mecze[[#This Row],[CZAS]])</f>
        <v>0</v>
      </c>
      <c r="R1092" s="32">
        <f>IF(Mecze[[#This Row],[BR]]=0,0,Mecze[[#This Row],[BR]]/Mecze[[#This Row],[CZAS]])</f>
        <v>6.25E-2</v>
      </c>
      <c r="S1092" s="44">
        <f>IF(Mecze[[#This Row],[Role]]="BR",SUMPRODUCT(Mecze[[#This Row],[/PR:90]:[/BR:90]],Brudnopis!$E$23:$J$23),0)</f>
        <v>0</v>
      </c>
      <c r="T1092" s="44">
        <f>IF(Mecze[[#This Row],[Role]]&lt;&gt;"BR",SUMPRODUCT(Mecze[[#This Row],[/PR:90]:[/BR:90]],Brudnopis!$E$24:$J$24),0)</f>
        <v>0.28645833333333331</v>
      </c>
      <c r="U1092" s="44">
        <f>IF(Mecze[[#This Row],[Role]]&lt;&gt;"BR",SUMPRODUCT(Mecze[[#This Row],[/PR:90]:[/BR:90]],Brudnopis!$E$25:$J$25),0)</f>
        <v>0.30208333333333331</v>
      </c>
      <c r="V1092" s="44">
        <f>IF(Mecze[[#This Row],[Role]]&lt;&gt;"BR",SUMPRODUCT(Mecze[[#This Row],[/PR:90]:[/BR:90]],Brudnopis!$E$26:$J$26),0)</f>
        <v>0.3125</v>
      </c>
      <c r="W1092" s="44">
        <f>IF(Mecze[[#This Row],[Role]]&lt;&gt;"BR",SUMPRODUCT(Mecze[[#This Row],[/PR:90]:[/BR:90]],Brudnopis!$E$27:$J$27),0)</f>
        <v>0.33072916666666663</v>
      </c>
      <c r="X1092" s="44">
        <f>IF(Mecze[[#This Row],[Role]]&lt;&gt;"BR",SUMPRODUCT(Mecze[[#This Row],[/PR:90]:[/BR:90]],Brudnopis!$E$28:$J$28),0)</f>
        <v>0.5</v>
      </c>
      <c r="Y1092" s="35">
        <f>IF(Mecze[[#This Row],[Role]]="BR",Mecze[[#This Row],[/OB:90]]+Mecze[[#This Row],[/PC:90]],SUM(Mecze[[#This Row],[/PR:90]:[/BR:90]]))</f>
        <v>0.25</v>
      </c>
      <c r="Z1092" s="35">
        <f>IF(Mecze[[#This Row],[KC]]=0,SUM(Mecze[[#This Row],[/BRI]:[/NPI]]),SUM(Mecze[[#This Row],[/BRI]:[/NPI]])*0.6)</f>
        <v>1.7317708333333333</v>
      </c>
      <c r="AA1092" s="10">
        <f>IFERROR(Mecze[[#This Row],[BR]]/Mecze[[#This Row],[ST]],0)</f>
        <v>0.33333333333333331</v>
      </c>
      <c r="AB1092">
        <f>ROUND(Mecze[[#This Row],[PD]]*Mecze[[#This Row],[%PC]],0)</f>
        <v>4</v>
      </c>
      <c r="AC1092">
        <f>ROUND(Mecze[[#This Row],[OD]]*Mecze[[#This Row],[%OU]],0)</f>
        <v>1</v>
      </c>
      <c r="AD1092" s="36" t="s">
        <v>272</v>
      </c>
      <c r="AE1092" s="36">
        <v>60</v>
      </c>
      <c r="AF1092" s="71">
        <v>21.92</v>
      </c>
      <c r="AG1092" s="37">
        <v>0</v>
      </c>
      <c r="AH1092" s="37">
        <v>0</v>
      </c>
      <c r="AI1092" s="37">
        <v>96</v>
      </c>
      <c r="AJ1092" s="37">
        <v>11</v>
      </c>
      <c r="AK1092" s="37" t="str">
        <f>VLOOKUP(Mecze[[#This Row],[Match ID]],Meczusie[Mecz]:Meczusie[RodzajMeczu],2,FALSE)</f>
        <v>Liga</v>
      </c>
    </row>
    <row r="1093" spans="1:37" x14ac:dyDescent="0.25">
      <c r="A1093" s="76">
        <v>102</v>
      </c>
      <c r="B1093" s="3" t="s">
        <v>417</v>
      </c>
      <c r="C1093" s="2" t="s">
        <v>155</v>
      </c>
      <c r="D1093" s="1">
        <v>0</v>
      </c>
      <c r="E1093" s="1">
        <v>0</v>
      </c>
      <c r="F1093" s="1">
        <v>0</v>
      </c>
      <c r="G1093" s="1">
        <v>11</v>
      </c>
      <c r="H1093" s="4">
        <v>0.36</v>
      </c>
      <c r="I1093" s="1">
        <v>0</v>
      </c>
      <c r="J1093" s="4"/>
      <c r="K1093" s="1">
        <v>14</v>
      </c>
      <c r="L1093" s="1">
        <v>0</v>
      </c>
      <c r="M1093" s="32">
        <f>IF(Mecze[[#This Row],[PR]]=0,0,Mecze[[#This Row],[PR]]/Mecze[[#This Row],[CZAS]])</f>
        <v>0</v>
      </c>
      <c r="N1093" s="32">
        <f>IF(Mecze[[#This Row],[OU]]=0,0,Mecze[[#This Row],[OU]]/Mecze[[#This Row],[CZAS]])</f>
        <v>0</v>
      </c>
      <c r="O1093" s="32">
        <f>IF(Mecze[[#This Row],[PC]]=0,0,Mecze[[#This Row],[PC]]/Mecze[[#This Row],[CZAS]])</f>
        <v>4.0404040404040407E-2</v>
      </c>
      <c r="P1093" s="32">
        <f>IF(Mecze[[#This Row],[SC]]=0,0,Mecze[[#This Row],[SC]]/Mecze[[#This Row],[CZAS]])</f>
        <v>0</v>
      </c>
      <c r="Q1093" s="32">
        <f>IF(Mecze[[#This Row],[OB]]=0,0,Mecze[[#This Row],[OB]]/Mecze[[#This Row],[CZAS]])</f>
        <v>0.14141414141414141</v>
      </c>
      <c r="R1093" s="32">
        <f>IF(Mecze[[#This Row],[BR]]=0,0,Mecze[[#This Row],[BR]]/Mecze[[#This Row],[CZAS]])</f>
        <v>0</v>
      </c>
      <c r="S1093" s="44">
        <f>IF(Mecze[[#This Row],[Role]]="BR",SUMPRODUCT(Mecze[[#This Row],[/PR:90]:[/BR:90]],Brudnopis!$E$23:$J$23),0)</f>
        <v>0.54545454545454541</v>
      </c>
      <c r="T1093" s="44">
        <f>IF(Mecze[[#This Row],[Role]]&lt;&gt;"BR",SUMPRODUCT(Mecze[[#This Row],[/PR:90]:[/BR:90]],Brudnopis!$E$24:$J$24),0)</f>
        <v>0</v>
      </c>
      <c r="U1093" s="44">
        <f>IF(Mecze[[#This Row],[Role]]&lt;&gt;"BR",SUMPRODUCT(Mecze[[#This Row],[/PR:90]:[/BR:90]],Brudnopis!$E$25:$J$25),0)</f>
        <v>0</v>
      </c>
      <c r="V1093" s="44">
        <f>IF(Mecze[[#This Row],[Role]]&lt;&gt;"BR",SUMPRODUCT(Mecze[[#This Row],[/PR:90]:[/BR:90]],Brudnopis!$E$26:$J$26),0)</f>
        <v>0</v>
      </c>
      <c r="W1093" s="44">
        <f>IF(Mecze[[#This Row],[Role]]&lt;&gt;"BR",SUMPRODUCT(Mecze[[#This Row],[/PR:90]:[/BR:90]],Brudnopis!$E$27:$J$27),0)</f>
        <v>0</v>
      </c>
      <c r="X1093" s="44">
        <f>IF(Mecze[[#This Row],[Role]]&lt;&gt;"BR",SUMPRODUCT(Mecze[[#This Row],[/PR:90]:[/BR:90]],Brudnopis!$E$28:$J$28),0)</f>
        <v>0</v>
      </c>
      <c r="Y1093" s="35">
        <f>IF(Mecze[[#This Row],[Role]]="BR",Mecze[[#This Row],[/OB:90]]+Mecze[[#This Row],[/PC:90]],SUM(Mecze[[#This Row],[/PR:90]:[/BR:90]]))</f>
        <v>0.18181818181818182</v>
      </c>
      <c r="Z1093" s="35">
        <f>IF(Mecze[[#This Row],[KC]]=0,SUM(Mecze[[#This Row],[/BRI]:[/NPI]]),SUM(Mecze[[#This Row],[/BRI]:[/NPI]])*0.6)</f>
        <v>0.54545454545454541</v>
      </c>
      <c r="AA1093" s="10">
        <f>IFERROR(Mecze[[#This Row],[BR]]/Mecze[[#This Row],[ST]],0)</f>
        <v>0</v>
      </c>
      <c r="AB1093">
        <f>ROUND(Mecze[[#This Row],[PD]]*Mecze[[#This Row],[%PC]],0)</f>
        <v>4</v>
      </c>
      <c r="AC1093">
        <f>ROUND(Mecze[[#This Row],[OD]]*Mecze[[#This Row],[%OU]],0)</f>
        <v>0</v>
      </c>
      <c r="AD1093" s="36" t="s">
        <v>40</v>
      </c>
      <c r="AE1093" s="36">
        <v>61</v>
      </c>
      <c r="AF1093" s="71">
        <v>8.82</v>
      </c>
      <c r="AG1093" s="37">
        <v>0</v>
      </c>
      <c r="AH1093" s="37">
        <v>0</v>
      </c>
      <c r="AI1093" s="37">
        <v>99</v>
      </c>
      <c r="AJ1093" s="37">
        <v>6</v>
      </c>
      <c r="AK1093" s="37" t="str">
        <f>VLOOKUP(Mecze[[#This Row],[Match ID]],Meczusie[Mecz]:Meczusie[RodzajMeczu],2,FALSE)</f>
        <v>Liga</v>
      </c>
    </row>
    <row r="1094" spans="1:37" x14ac:dyDescent="0.25">
      <c r="A1094" s="76">
        <v>101</v>
      </c>
      <c r="B1094" s="3" t="s">
        <v>248</v>
      </c>
      <c r="C1094" s="2" t="s">
        <v>157</v>
      </c>
      <c r="D1094" s="1">
        <v>0</v>
      </c>
      <c r="E1094" s="1">
        <v>0</v>
      </c>
      <c r="F1094" s="1">
        <v>0</v>
      </c>
      <c r="G1094" s="1">
        <v>8</v>
      </c>
      <c r="H1094" s="4">
        <v>0.38</v>
      </c>
      <c r="I1094" s="1">
        <v>7</v>
      </c>
      <c r="J1094" s="4">
        <v>0.71</v>
      </c>
      <c r="K1094" s="1">
        <v>0</v>
      </c>
      <c r="L1094" s="1">
        <v>2</v>
      </c>
      <c r="M1094" s="32">
        <f>IF(Mecze[[#This Row],[PR]]=0,0,Mecze[[#This Row],[PR]]/Mecze[[#This Row],[CZAS]])</f>
        <v>2.0202020202020204E-2</v>
      </c>
      <c r="N1094" s="32">
        <f>IF(Mecze[[#This Row],[OU]]=0,0,Mecze[[#This Row],[OU]]/Mecze[[#This Row],[CZAS]])</f>
        <v>5.0505050505050504E-2</v>
      </c>
      <c r="O1094" s="32">
        <f>IF(Mecze[[#This Row],[PC]]=0,0,Mecze[[#This Row],[PC]]/Mecze[[#This Row],[CZAS]])</f>
        <v>3.0303030303030304E-2</v>
      </c>
      <c r="P1094" s="32">
        <f>IF(Mecze[[#This Row],[SC]]=0,0,Mecze[[#This Row],[SC]]/Mecze[[#This Row],[CZAS]])</f>
        <v>0</v>
      </c>
      <c r="Q1094" s="32">
        <f>IF(Mecze[[#This Row],[OB]]=0,0,Mecze[[#This Row],[OB]]/Mecze[[#This Row],[CZAS]])</f>
        <v>0</v>
      </c>
      <c r="R1094" s="32">
        <f>IF(Mecze[[#This Row],[BR]]=0,0,Mecze[[#This Row],[BR]]/Mecze[[#This Row],[CZAS]])</f>
        <v>0</v>
      </c>
      <c r="S1094" s="44">
        <f>IF(Mecze[[#This Row],[Role]]="BR",SUMPRODUCT(Mecze[[#This Row],[/PR:90]:[/BR:90]],Brudnopis!$E$23:$J$23),0)</f>
        <v>0</v>
      </c>
      <c r="T1094" s="44">
        <f>IF(Mecze[[#This Row],[Role]]&lt;&gt;"BR",SUMPRODUCT(Mecze[[#This Row],[/PR:90]:[/BR:90]],Brudnopis!$E$24:$J$24),0)</f>
        <v>0.12626262626262627</v>
      </c>
      <c r="U1094" s="44">
        <f>IF(Mecze[[#This Row],[Role]]&lt;&gt;"BR",SUMPRODUCT(Mecze[[#This Row],[/PR:90]:[/BR:90]],Brudnopis!$E$25:$J$25),0)</f>
        <v>0.11616161616161616</v>
      </c>
      <c r="V1094" s="44">
        <f>IF(Mecze[[#This Row],[Role]]&lt;&gt;"BR",SUMPRODUCT(Mecze[[#This Row],[/PR:90]:[/BR:90]],Brudnopis!$E$26:$J$26),0)</f>
        <v>0.10101010101010101</v>
      </c>
      <c r="W1094" s="44">
        <f>IF(Mecze[[#This Row],[Role]]&lt;&gt;"BR",SUMPRODUCT(Mecze[[#This Row],[/PR:90]:[/BR:90]],Brudnopis!$E$27:$J$27),0)</f>
        <v>9.8484848484848481E-2</v>
      </c>
      <c r="X1094" s="44">
        <f>IF(Mecze[[#This Row],[Role]]&lt;&gt;"BR",SUMPRODUCT(Mecze[[#This Row],[/PR:90]:[/BR:90]],Brudnopis!$E$28:$J$28),0)</f>
        <v>3.0303030303030304E-2</v>
      </c>
      <c r="Y1094" s="35">
        <f>IF(Mecze[[#This Row],[Role]]="BR",Mecze[[#This Row],[/OB:90]]+Mecze[[#This Row],[/PC:90]],SUM(Mecze[[#This Row],[/PR:90]:[/BR:90]]))</f>
        <v>0.10101010101010101</v>
      </c>
      <c r="Z1094" s="35">
        <f>IF(Mecze[[#This Row],[KC]]=0,SUM(Mecze[[#This Row],[/BRI]:[/NPI]]),SUM(Mecze[[#This Row],[/BRI]:[/NPI]])*0.6)</f>
        <v>0.47222222222222221</v>
      </c>
      <c r="AA1094" s="10">
        <f>IFERROR(Mecze[[#This Row],[BR]]/Mecze[[#This Row],[ST]],0)</f>
        <v>0</v>
      </c>
      <c r="AB1094">
        <f>ROUND(Mecze[[#This Row],[PD]]*Mecze[[#This Row],[%PC]],0)</f>
        <v>3</v>
      </c>
      <c r="AC1094">
        <f>ROUND(Mecze[[#This Row],[OD]]*Mecze[[#This Row],[%OU]],0)</f>
        <v>5</v>
      </c>
      <c r="AD1094" s="36" t="s">
        <v>47</v>
      </c>
      <c r="AE1094" s="36">
        <v>61</v>
      </c>
      <c r="AF1094" s="71">
        <v>5.46</v>
      </c>
      <c r="AG1094" s="37">
        <v>0</v>
      </c>
      <c r="AH1094" s="37">
        <v>0</v>
      </c>
      <c r="AI1094" s="37">
        <v>99</v>
      </c>
      <c r="AJ1094" s="37">
        <v>6</v>
      </c>
      <c r="AK1094" s="37" t="str">
        <f>VLOOKUP(Mecze[[#This Row],[Match ID]],Meczusie[Mecz]:Meczusie[RodzajMeczu],2,FALSE)</f>
        <v>Liga</v>
      </c>
    </row>
    <row r="1095" spans="1:37" x14ac:dyDescent="0.25">
      <c r="A1095" s="76">
        <v>7</v>
      </c>
      <c r="B1095" s="3" t="s">
        <v>251</v>
      </c>
      <c r="C1095" s="2" t="s">
        <v>157</v>
      </c>
      <c r="D1095" s="1">
        <v>0</v>
      </c>
      <c r="E1095" s="1">
        <v>0</v>
      </c>
      <c r="F1095" s="1">
        <v>0</v>
      </c>
      <c r="G1095" s="1">
        <v>11</v>
      </c>
      <c r="H1095" s="4">
        <v>0.55000000000000004</v>
      </c>
      <c r="I1095" s="1">
        <v>11</v>
      </c>
      <c r="J1095" s="4">
        <v>0.64</v>
      </c>
      <c r="K1095" s="1">
        <v>0</v>
      </c>
      <c r="L1095" s="1">
        <v>9</v>
      </c>
      <c r="M1095" s="32">
        <f>IF(Mecze[[#This Row],[PR]]=0,0,Mecze[[#This Row],[PR]]/Mecze[[#This Row],[CZAS]])</f>
        <v>9.0909090909090912E-2</v>
      </c>
      <c r="N1095" s="32">
        <f>IF(Mecze[[#This Row],[OU]]=0,0,Mecze[[#This Row],[OU]]/Mecze[[#This Row],[CZAS]])</f>
        <v>7.0707070707070704E-2</v>
      </c>
      <c r="O1095" s="32">
        <f>IF(Mecze[[#This Row],[PC]]=0,0,Mecze[[#This Row],[PC]]/Mecze[[#This Row],[CZAS]])</f>
        <v>6.0606060606060608E-2</v>
      </c>
      <c r="P1095" s="32">
        <f>IF(Mecze[[#This Row],[SC]]=0,0,Mecze[[#This Row],[SC]]/Mecze[[#This Row],[CZAS]])</f>
        <v>0</v>
      </c>
      <c r="Q1095" s="32">
        <f>IF(Mecze[[#This Row],[OB]]=0,0,Mecze[[#This Row],[OB]]/Mecze[[#This Row],[CZAS]])</f>
        <v>0</v>
      </c>
      <c r="R1095" s="32">
        <f>IF(Mecze[[#This Row],[BR]]=0,0,Mecze[[#This Row],[BR]]/Mecze[[#This Row],[CZAS]])</f>
        <v>0</v>
      </c>
      <c r="S1095" s="44">
        <f>IF(Mecze[[#This Row],[Role]]="BR",SUMPRODUCT(Mecze[[#This Row],[/PR:90]:[/BR:90]],Brudnopis!$E$23:$J$23),0)</f>
        <v>0</v>
      </c>
      <c r="T1095" s="44">
        <f>IF(Mecze[[#This Row],[Role]]&lt;&gt;"BR",SUMPRODUCT(Mecze[[#This Row],[/PR:90]:[/BR:90]],Brudnopis!$E$24:$J$24),0)</f>
        <v>0.25757575757575757</v>
      </c>
      <c r="U1095" s="44">
        <f>IF(Mecze[[#This Row],[Role]]&lt;&gt;"BR",SUMPRODUCT(Mecze[[#This Row],[/PR:90]:[/BR:90]],Brudnopis!$E$25:$J$25),0)</f>
        <v>0.25252525252525249</v>
      </c>
      <c r="V1095" s="44">
        <f>IF(Mecze[[#This Row],[Role]]&lt;&gt;"BR",SUMPRODUCT(Mecze[[#This Row],[/PR:90]:[/BR:90]],Brudnopis!$E$26:$J$26),0)</f>
        <v>0.22222222222222221</v>
      </c>
      <c r="W1095" s="44">
        <f>IF(Mecze[[#This Row],[Role]]&lt;&gt;"BR",SUMPRODUCT(Mecze[[#This Row],[/PR:90]:[/BR:90]],Brudnopis!$E$27:$J$27),0)</f>
        <v>0.2121212121212121</v>
      </c>
      <c r="X1095" s="44">
        <f>IF(Mecze[[#This Row],[Role]]&lt;&gt;"BR",SUMPRODUCT(Mecze[[#This Row],[/PR:90]:[/BR:90]],Brudnopis!$E$28:$J$28),0)</f>
        <v>6.0606060606060608E-2</v>
      </c>
      <c r="Y1095" s="35">
        <f>IF(Mecze[[#This Row],[Role]]="BR",Mecze[[#This Row],[/OB:90]]+Mecze[[#This Row],[/PC:90]],SUM(Mecze[[#This Row],[/PR:90]:[/BR:90]]))</f>
        <v>0.22222222222222221</v>
      </c>
      <c r="Z1095" s="35">
        <f>IF(Mecze[[#This Row],[KC]]=0,SUM(Mecze[[#This Row],[/BRI]:[/NPI]]),SUM(Mecze[[#This Row],[/BRI]:[/NPI]])*0.6)</f>
        <v>1.005050505050505</v>
      </c>
      <c r="AA1095" s="10">
        <f>IFERROR(Mecze[[#This Row],[BR]]/Mecze[[#This Row],[ST]],0)</f>
        <v>0</v>
      </c>
      <c r="AB1095">
        <f>ROUND(Mecze[[#This Row],[PD]]*Mecze[[#This Row],[%PC]],0)</f>
        <v>6</v>
      </c>
      <c r="AC1095">
        <f>ROUND(Mecze[[#This Row],[OD]]*Mecze[[#This Row],[%OU]],0)</f>
        <v>7</v>
      </c>
      <c r="AD1095" s="36" t="s">
        <v>168</v>
      </c>
      <c r="AE1095" s="36">
        <v>61</v>
      </c>
      <c r="AF1095" s="71">
        <v>6.93</v>
      </c>
      <c r="AG1095" s="37">
        <v>0</v>
      </c>
      <c r="AH1095" s="37">
        <v>0</v>
      </c>
      <c r="AI1095" s="37">
        <v>99</v>
      </c>
      <c r="AJ1095" s="37">
        <v>6</v>
      </c>
      <c r="AK1095" s="37" t="str">
        <f>VLOOKUP(Mecze[[#This Row],[Match ID]],Meczusie[Mecz]:Meczusie[RodzajMeczu],2,FALSE)</f>
        <v>Liga</v>
      </c>
    </row>
    <row r="1096" spans="1:37" x14ac:dyDescent="0.25">
      <c r="A1096" s="76">
        <v>2</v>
      </c>
      <c r="B1096" s="3" t="s">
        <v>249</v>
      </c>
      <c r="C1096" s="2" t="s">
        <v>157</v>
      </c>
      <c r="D1096" s="1">
        <v>0</v>
      </c>
      <c r="E1096" s="1">
        <v>0</v>
      </c>
      <c r="F1096" s="1">
        <v>0</v>
      </c>
      <c r="G1096" s="1">
        <v>10</v>
      </c>
      <c r="H1096" s="4">
        <v>0.5</v>
      </c>
      <c r="I1096" s="1">
        <v>9</v>
      </c>
      <c r="J1096" s="4">
        <v>0.44</v>
      </c>
      <c r="K1096" s="1">
        <v>0</v>
      </c>
      <c r="L1096" s="1">
        <v>6</v>
      </c>
      <c r="M1096" s="32">
        <f>IF(Mecze[[#This Row],[PR]]=0,0,Mecze[[#This Row],[PR]]/Mecze[[#This Row],[CZAS]])</f>
        <v>7.2289156626506021E-2</v>
      </c>
      <c r="N1096" s="32">
        <f>IF(Mecze[[#This Row],[OU]]=0,0,Mecze[[#This Row],[OU]]/Mecze[[#This Row],[CZAS]])</f>
        <v>4.8192771084337352E-2</v>
      </c>
      <c r="O1096" s="32">
        <f>IF(Mecze[[#This Row],[PC]]=0,0,Mecze[[#This Row],[PC]]/Mecze[[#This Row],[CZAS]])</f>
        <v>6.0240963855421686E-2</v>
      </c>
      <c r="P1096" s="32">
        <f>IF(Mecze[[#This Row],[SC]]=0,0,Mecze[[#This Row],[SC]]/Mecze[[#This Row],[CZAS]])</f>
        <v>0</v>
      </c>
      <c r="Q1096" s="32">
        <f>IF(Mecze[[#This Row],[OB]]=0,0,Mecze[[#This Row],[OB]]/Mecze[[#This Row],[CZAS]])</f>
        <v>0</v>
      </c>
      <c r="R1096" s="32">
        <f>IF(Mecze[[#This Row],[BR]]=0,0,Mecze[[#This Row],[BR]]/Mecze[[#This Row],[CZAS]])</f>
        <v>0</v>
      </c>
      <c r="S1096" s="44">
        <f>IF(Mecze[[#This Row],[Role]]="BR",SUMPRODUCT(Mecze[[#This Row],[/PR:90]:[/BR:90]],Brudnopis!$E$23:$J$23),0)</f>
        <v>0</v>
      </c>
      <c r="T1096" s="44">
        <f>IF(Mecze[[#This Row],[Role]]&lt;&gt;"BR",SUMPRODUCT(Mecze[[#This Row],[/PR:90]:[/BR:90]],Brudnopis!$E$24:$J$24),0)</f>
        <v>0.20481927710843376</v>
      </c>
      <c r="U1096" s="44">
        <f>IF(Mecze[[#This Row],[Role]]&lt;&gt;"BR",SUMPRODUCT(Mecze[[#This Row],[/PR:90]:[/BR:90]],Brudnopis!$E$25:$J$25),0)</f>
        <v>0.21084337349397592</v>
      </c>
      <c r="V1096" s="44">
        <f>IF(Mecze[[#This Row],[Role]]&lt;&gt;"BR",SUMPRODUCT(Mecze[[#This Row],[/PR:90]:[/BR:90]],Brudnopis!$E$26:$J$26),0)</f>
        <v>0.18072289156626506</v>
      </c>
      <c r="W1096" s="44">
        <f>IF(Mecze[[#This Row],[Role]]&lt;&gt;"BR",SUMPRODUCT(Mecze[[#This Row],[/PR:90]:[/BR:90]],Brudnopis!$E$27:$J$27),0)</f>
        <v>0.18072289156626506</v>
      </c>
      <c r="X1096" s="44">
        <f>IF(Mecze[[#This Row],[Role]]&lt;&gt;"BR",SUMPRODUCT(Mecze[[#This Row],[/PR:90]:[/BR:90]],Brudnopis!$E$28:$J$28),0)</f>
        <v>6.0240963855421686E-2</v>
      </c>
      <c r="Y1096" s="35">
        <f>IF(Mecze[[#This Row],[Role]]="BR",Mecze[[#This Row],[/OB:90]]+Mecze[[#This Row],[/PC:90]],SUM(Mecze[[#This Row],[/PR:90]:[/BR:90]]))</f>
        <v>0.18072289156626506</v>
      </c>
      <c r="Z1096" s="35">
        <f>IF(Mecze[[#This Row],[KC]]=0,SUM(Mecze[[#This Row],[/BRI]:[/NPI]]),SUM(Mecze[[#This Row],[/BRI]:[/NPI]])*0.6)</f>
        <v>0.83734939759036153</v>
      </c>
      <c r="AA1096" s="10">
        <f>IFERROR(Mecze[[#This Row],[BR]]/Mecze[[#This Row],[ST]],0)</f>
        <v>0</v>
      </c>
      <c r="AB1096">
        <f>ROUND(Mecze[[#This Row],[PD]]*Mecze[[#This Row],[%PC]],0)</f>
        <v>5</v>
      </c>
      <c r="AC1096">
        <f>ROUND(Mecze[[#This Row],[OD]]*Mecze[[#This Row],[%OU]],0)</f>
        <v>4</v>
      </c>
      <c r="AD1096" s="36" t="s">
        <v>167</v>
      </c>
      <c r="AE1096" s="36">
        <v>61</v>
      </c>
      <c r="AF1096" s="71">
        <v>5.18</v>
      </c>
      <c r="AG1096" s="37">
        <v>0</v>
      </c>
      <c r="AH1096" s="37">
        <v>0</v>
      </c>
      <c r="AI1096" s="37">
        <v>83</v>
      </c>
      <c r="AJ1096" s="37">
        <v>6</v>
      </c>
      <c r="AK1096" s="37" t="str">
        <f>VLOOKUP(Mecze[[#This Row],[Match ID]],Meczusie[Mecz]:Meczusie[RodzajMeczu],2,FALSE)</f>
        <v>Liga</v>
      </c>
    </row>
    <row r="1097" spans="1:37" x14ac:dyDescent="0.25">
      <c r="A1097" s="76">
        <v>8</v>
      </c>
      <c r="B1097" s="3" t="s">
        <v>254</v>
      </c>
      <c r="C1097" s="2" t="s">
        <v>160</v>
      </c>
      <c r="D1097" s="1">
        <v>0</v>
      </c>
      <c r="E1097" s="1">
        <v>0</v>
      </c>
      <c r="F1097" s="1">
        <v>0</v>
      </c>
      <c r="G1097" s="1">
        <v>14</v>
      </c>
      <c r="H1097" s="4">
        <v>0.5</v>
      </c>
      <c r="I1097" s="1">
        <v>7</v>
      </c>
      <c r="J1097" s="4">
        <v>0.28999999999999998</v>
      </c>
      <c r="K1097" s="1">
        <v>0</v>
      </c>
      <c r="L1097" s="1">
        <v>9</v>
      </c>
      <c r="M1097" s="32">
        <f>IF(Mecze[[#This Row],[PR]]=0,0,Mecze[[#This Row],[PR]]/Mecze[[#This Row],[CZAS]])</f>
        <v>9.0909090909090912E-2</v>
      </c>
      <c r="N1097" s="32">
        <f>IF(Mecze[[#This Row],[OU]]=0,0,Mecze[[#This Row],[OU]]/Mecze[[#This Row],[CZAS]])</f>
        <v>2.0202020202020204E-2</v>
      </c>
      <c r="O1097" s="32">
        <f>IF(Mecze[[#This Row],[PC]]=0,0,Mecze[[#This Row],[PC]]/Mecze[[#This Row],[CZAS]])</f>
        <v>7.0707070707070704E-2</v>
      </c>
      <c r="P1097" s="32">
        <f>IF(Mecze[[#This Row],[SC]]=0,0,Mecze[[#This Row],[SC]]/Mecze[[#This Row],[CZAS]])</f>
        <v>0</v>
      </c>
      <c r="Q1097" s="32">
        <f>IF(Mecze[[#This Row],[OB]]=0,0,Mecze[[#This Row],[OB]]/Mecze[[#This Row],[CZAS]])</f>
        <v>0</v>
      </c>
      <c r="R1097" s="32">
        <f>IF(Mecze[[#This Row],[BR]]=0,0,Mecze[[#This Row],[BR]]/Mecze[[#This Row],[CZAS]])</f>
        <v>0</v>
      </c>
      <c r="S1097" s="44">
        <f>IF(Mecze[[#This Row],[Role]]="BR",SUMPRODUCT(Mecze[[#This Row],[/PR:90]:[/BR:90]],Brudnopis!$E$23:$J$23),0)</f>
        <v>0</v>
      </c>
      <c r="T1097" s="44">
        <f>IF(Mecze[[#This Row],[Role]]&lt;&gt;"BR",SUMPRODUCT(Mecze[[#This Row],[/PR:90]:[/BR:90]],Brudnopis!$E$24:$J$24),0)</f>
        <v>0.19191919191919193</v>
      </c>
      <c r="U1097" s="44">
        <f>IF(Mecze[[#This Row],[Role]]&lt;&gt;"BR",SUMPRODUCT(Mecze[[#This Row],[/PR:90]:[/BR:90]],Brudnopis!$E$25:$J$25),0)</f>
        <v>0.21717171717171718</v>
      </c>
      <c r="V1097" s="44">
        <f>IF(Mecze[[#This Row],[Role]]&lt;&gt;"BR",SUMPRODUCT(Mecze[[#This Row],[/PR:90]:[/BR:90]],Brudnopis!$E$26:$J$26),0)</f>
        <v>0.18181818181818182</v>
      </c>
      <c r="W1097" s="44">
        <f>IF(Mecze[[#This Row],[Role]]&lt;&gt;"BR",SUMPRODUCT(Mecze[[#This Row],[/PR:90]:[/BR:90]],Brudnopis!$E$27:$J$27),0)</f>
        <v>0.18939393939393939</v>
      </c>
      <c r="X1097" s="44">
        <f>IF(Mecze[[#This Row],[Role]]&lt;&gt;"BR",SUMPRODUCT(Mecze[[#This Row],[/PR:90]:[/BR:90]],Brudnopis!$E$28:$J$28),0)</f>
        <v>7.0707070707070704E-2</v>
      </c>
      <c r="Y1097" s="35">
        <f>IF(Mecze[[#This Row],[Role]]="BR",Mecze[[#This Row],[/OB:90]]+Mecze[[#This Row],[/PC:90]],SUM(Mecze[[#This Row],[/PR:90]:[/BR:90]]))</f>
        <v>0.18181818181818182</v>
      </c>
      <c r="Z1097" s="35">
        <f>IF(Mecze[[#This Row],[KC]]=0,SUM(Mecze[[#This Row],[/BRI]:[/NPI]]),SUM(Mecze[[#This Row],[/BRI]:[/NPI]])*0.6)</f>
        <v>0.85101010101010099</v>
      </c>
      <c r="AA1097" s="10">
        <f>IFERROR(Mecze[[#This Row],[BR]]/Mecze[[#This Row],[ST]],0)</f>
        <v>0</v>
      </c>
      <c r="AB1097">
        <f>ROUND(Mecze[[#This Row],[PD]]*Mecze[[#This Row],[%PC]],0)</f>
        <v>7</v>
      </c>
      <c r="AC1097">
        <f>ROUND(Mecze[[#This Row],[OD]]*Mecze[[#This Row],[%OU]],0)</f>
        <v>2</v>
      </c>
      <c r="AD1097" s="36" t="s">
        <v>41</v>
      </c>
      <c r="AE1097" s="36">
        <v>61</v>
      </c>
      <c r="AF1097" s="71">
        <v>7.02</v>
      </c>
      <c r="AG1097" s="37">
        <v>0</v>
      </c>
      <c r="AH1097" s="37">
        <v>0</v>
      </c>
      <c r="AI1097" s="37">
        <v>99</v>
      </c>
      <c r="AJ1097" s="37">
        <v>6</v>
      </c>
      <c r="AK1097" s="37" t="str">
        <f>VLOOKUP(Mecze[[#This Row],[Match ID]],Meczusie[Mecz]:Meczusie[RodzajMeczu],2,FALSE)</f>
        <v>Liga</v>
      </c>
    </row>
    <row r="1098" spans="1:37" x14ac:dyDescent="0.25">
      <c r="A1098" s="76">
        <v>10</v>
      </c>
      <c r="B1098" s="3" t="s">
        <v>252</v>
      </c>
      <c r="C1098" s="2" t="s">
        <v>160</v>
      </c>
      <c r="D1098" s="1">
        <v>0</v>
      </c>
      <c r="E1098" s="1">
        <v>0</v>
      </c>
      <c r="F1098" s="1">
        <v>0</v>
      </c>
      <c r="G1098" s="1">
        <v>6</v>
      </c>
      <c r="H1098" s="4">
        <v>0.5</v>
      </c>
      <c r="I1098" s="1">
        <v>3</v>
      </c>
      <c r="J1098" s="4">
        <v>0.33</v>
      </c>
      <c r="K1098" s="1">
        <v>0</v>
      </c>
      <c r="L1098" s="1">
        <v>3</v>
      </c>
      <c r="M1098" s="32">
        <f>IF(Mecze[[#This Row],[PR]]=0,0,Mecze[[#This Row],[PR]]/Mecze[[#This Row],[CZAS]])</f>
        <v>0.04</v>
      </c>
      <c r="N1098" s="32">
        <f>IF(Mecze[[#This Row],[OU]]=0,0,Mecze[[#This Row],[OU]]/Mecze[[#This Row],[CZAS]])</f>
        <v>1.3333333333333334E-2</v>
      </c>
      <c r="O1098" s="32">
        <f>IF(Mecze[[#This Row],[PC]]=0,0,Mecze[[#This Row],[PC]]/Mecze[[#This Row],[CZAS]])</f>
        <v>0.04</v>
      </c>
      <c r="P1098" s="32">
        <f>IF(Mecze[[#This Row],[SC]]=0,0,Mecze[[#This Row],[SC]]/Mecze[[#This Row],[CZAS]])</f>
        <v>0</v>
      </c>
      <c r="Q1098" s="32">
        <f>IF(Mecze[[#This Row],[OB]]=0,0,Mecze[[#This Row],[OB]]/Mecze[[#This Row],[CZAS]])</f>
        <v>0</v>
      </c>
      <c r="R1098" s="32">
        <f>IF(Mecze[[#This Row],[BR]]=0,0,Mecze[[#This Row],[BR]]/Mecze[[#This Row],[CZAS]])</f>
        <v>0</v>
      </c>
      <c r="S1098" s="44">
        <f>IF(Mecze[[#This Row],[Role]]="BR",SUMPRODUCT(Mecze[[#This Row],[/PR:90]:[/BR:90]],Brudnopis!$E$23:$J$23),0)</f>
        <v>0</v>
      </c>
      <c r="T1098" s="44">
        <f>IF(Mecze[[#This Row],[Role]]&lt;&gt;"BR",SUMPRODUCT(Mecze[[#This Row],[/PR:90]:[/BR:90]],Brudnopis!$E$24:$J$24),0)</f>
        <v>0.1</v>
      </c>
      <c r="U1098" s="44">
        <f>IF(Mecze[[#This Row],[Role]]&lt;&gt;"BR",SUMPRODUCT(Mecze[[#This Row],[/PR:90]:[/BR:90]],Brudnopis!$E$25:$J$25),0)</f>
        <v>0.11333333333333334</v>
      </c>
      <c r="V1098" s="44">
        <f>IF(Mecze[[#This Row],[Role]]&lt;&gt;"BR",SUMPRODUCT(Mecze[[#This Row],[/PR:90]:[/BR:90]],Brudnopis!$E$26:$J$26),0)</f>
        <v>9.3333333333333338E-2</v>
      </c>
      <c r="W1098" s="44">
        <f>IF(Mecze[[#This Row],[Role]]&lt;&gt;"BR",SUMPRODUCT(Mecze[[#This Row],[/PR:90]:[/BR:90]],Brudnopis!$E$27:$J$27),0)</f>
        <v>0.1</v>
      </c>
      <c r="X1098" s="44">
        <f>IF(Mecze[[#This Row],[Role]]&lt;&gt;"BR",SUMPRODUCT(Mecze[[#This Row],[/PR:90]:[/BR:90]],Brudnopis!$E$28:$J$28),0)</f>
        <v>0.04</v>
      </c>
      <c r="Y1098" s="35">
        <f>IF(Mecze[[#This Row],[Role]]="BR",Mecze[[#This Row],[/OB:90]]+Mecze[[#This Row],[/PC:90]],SUM(Mecze[[#This Row],[/PR:90]:[/BR:90]]))</f>
        <v>9.3333333333333338E-2</v>
      </c>
      <c r="Z1098" s="35">
        <f>IF(Mecze[[#This Row],[KC]]=0,SUM(Mecze[[#This Row],[/BRI]:[/NPI]]),SUM(Mecze[[#This Row],[/BRI]:[/NPI]])*0.6)</f>
        <v>0.44666666666666671</v>
      </c>
      <c r="AA1098" s="10">
        <f>IFERROR(Mecze[[#This Row],[BR]]/Mecze[[#This Row],[ST]],0)</f>
        <v>0</v>
      </c>
      <c r="AB1098">
        <f>ROUND(Mecze[[#This Row],[PD]]*Mecze[[#This Row],[%PC]],0)</f>
        <v>3</v>
      </c>
      <c r="AC1098">
        <f>ROUND(Mecze[[#This Row],[OD]]*Mecze[[#This Row],[%OU]],0)</f>
        <v>1</v>
      </c>
      <c r="AD1098" s="36" t="s">
        <v>318</v>
      </c>
      <c r="AE1098" s="36">
        <v>61</v>
      </c>
      <c r="AF1098" s="71">
        <v>4.6500000000000004</v>
      </c>
      <c r="AG1098" s="37">
        <v>1</v>
      </c>
      <c r="AH1098" s="37">
        <v>0</v>
      </c>
      <c r="AI1098" s="37">
        <v>75</v>
      </c>
      <c r="AJ1098" s="37">
        <v>6</v>
      </c>
      <c r="AK1098" s="37" t="str">
        <f>VLOOKUP(Mecze[[#This Row],[Match ID]],Meczusie[Mecz]:Meczusie[RodzajMeczu],2,FALSE)</f>
        <v>Liga</v>
      </c>
    </row>
    <row r="1099" spans="1:37" x14ac:dyDescent="0.25">
      <c r="A1099" s="76">
        <v>11</v>
      </c>
      <c r="B1099" s="3" t="s">
        <v>250</v>
      </c>
      <c r="C1099" s="2" t="s">
        <v>160</v>
      </c>
      <c r="D1099" s="1">
        <v>0</v>
      </c>
      <c r="E1099" s="1">
        <v>0</v>
      </c>
      <c r="F1099" s="1">
        <v>0</v>
      </c>
      <c r="G1099" s="1">
        <v>11</v>
      </c>
      <c r="H1099" s="4">
        <v>0.45</v>
      </c>
      <c r="I1099" s="1">
        <v>8</v>
      </c>
      <c r="J1099" s="4">
        <v>0.38</v>
      </c>
      <c r="K1099" s="1">
        <v>0</v>
      </c>
      <c r="L1099" s="1">
        <v>6</v>
      </c>
      <c r="M1099" s="32">
        <f>IF(Mecze[[#This Row],[PR]]=0,0,Mecze[[#This Row],[PR]]/Mecze[[#This Row],[CZAS]])</f>
        <v>6.0606060606060608E-2</v>
      </c>
      <c r="N1099" s="32">
        <f>IF(Mecze[[#This Row],[OU]]=0,0,Mecze[[#This Row],[OU]]/Mecze[[#This Row],[CZAS]])</f>
        <v>3.0303030303030304E-2</v>
      </c>
      <c r="O1099" s="32">
        <f>IF(Mecze[[#This Row],[PC]]=0,0,Mecze[[#This Row],[PC]]/Mecze[[#This Row],[CZAS]])</f>
        <v>5.0505050505050504E-2</v>
      </c>
      <c r="P1099" s="32">
        <f>IF(Mecze[[#This Row],[SC]]=0,0,Mecze[[#This Row],[SC]]/Mecze[[#This Row],[CZAS]])</f>
        <v>0</v>
      </c>
      <c r="Q1099" s="32">
        <f>IF(Mecze[[#This Row],[OB]]=0,0,Mecze[[#This Row],[OB]]/Mecze[[#This Row],[CZAS]])</f>
        <v>0</v>
      </c>
      <c r="R1099" s="32">
        <f>IF(Mecze[[#This Row],[BR]]=0,0,Mecze[[#This Row],[BR]]/Mecze[[#This Row],[CZAS]])</f>
        <v>0</v>
      </c>
      <c r="S1099" s="44">
        <f>IF(Mecze[[#This Row],[Role]]="BR",SUMPRODUCT(Mecze[[#This Row],[/PR:90]:[/BR:90]],Brudnopis!$E$23:$J$23),0)</f>
        <v>0</v>
      </c>
      <c r="T1099" s="44">
        <f>IF(Mecze[[#This Row],[Role]]&lt;&gt;"BR",SUMPRODUCT(Mecze[[#This Row],[/PR:90]:[/BR:90]],Brudnopis!$E$24:$J$24),0)</f>
        <v>0.15656565656565657</v>
      </c>
      <c r="U1099" s="44">
        <f>IF(Mecze[[#This Row],[Role]]&lt;&gt;"BR",SUMPRODUCT(Mecze[[#This Row],[/PR:90]:[/BR:90]],Brudnopis!$E$25:$J$25),0)</f>
        <v>0.16666666666666669</v>
      </c>
      <c r="V1099" s="44">
        <f>IF(Mecze[[#This Row],[Role]]&lt;&gt;"BR",SUMPRODUCT(Mecze[[#This Row],[/PR:90]:[/BR:90]],Brudnopis!$E$26:$J$26),0)</f>
        <v>0.14141414141414141</v>
      </c>
      <c r="W1099" s="44">
        <f>IF(Mecze[[#This Row],[Role]]&lt;&gt;"BR",SUMPRODUCT(Mecze[[#This Row],[/PR:90]:[/BR:90]],Brudnopis!$E$27:$J$27),0)</f>
        <v>0.14393939393939392</v>
      </c>
      <c r="X1099" s="44">
        <f>IF(Mecze[[#This Row],[Role]]&lt;&gt;"BR",SUMPRODUCT(Mecze[[#This Row],[/PR:90]:[/BR:90]],Brudnopis!$E$28:$J$28),0)</f>
        <v>5.0505050505050504E-2</v>
      </c>
      <c r="Y1099" s="35">
        <f>IF(Mecze[[#This Row],[Role]]="BR",Mecze[[#This Row],[/OB:90]]+Mecze[[#This Row],[/PC:90]],SUM(Mecze[[#This Row],[/PR:90]:[/BR:90]]))</f>
        <v>0.14141414141414141</v>
      </c>
      <c r="Z1099" s="35">
        <f>IF(Mecze[[#This Row],[KC]]=0,SUM(Mecze[[#This Row],[/BRI]:[/NPI]]),SUM(Mecze[[#This Row],[/BRI]:[/NPI]])*0.6)</f>
        <v>0.65909090909090906</v>
      </c>
      <c r="AA1099" s="10">
        <f>IFERROR(Mecze[[#This Row],[BR]]/Mecze[[#This Row],[ST]],0)</f>
        <v>0</v>
      </c>
      <c r="AB1099">
        <f>ROUND(Mecze[[#This Row],[PD]]*Mecze[[#This Row],[%PC]],0)</f>
        <v>5</v>
      </c>
      <c r="AC1099">
        <f>ROUND(Mecze[[#This Row],[OD]]*Mecze[[#This Row],[%OU]],0)</f>
        <v>3</v>
      </c>
      <c r="AD1099" s="36" t="s">
        <v>319</v>
      </c>
      <c r="AE1099" s="36">
        <v>61</v>
      </c>
      <c r="AF1099" s="71">
        <v>5.18</v>
      </c>
      <c r="AG1099" s="37">
        <v>0</v>
      </c>
      <c r="AH1099" s="37">
        <v>0</v>
      </c>
      <c r="AI1099" s="37">
        <v>99</v>
      </c>
      <c r="AJ1099" s="37">
        <v>6</v>
      </c>
      <c r="AK1099" s="37" t="str">
        <f>VLOOKUP(Mecze[[#This Row],[Match ID]],Meczusie[Mecz]:Meczusie[RodzajMeczu],2,FALSE)</f>
        <v>Liga</v>
      </c>
    </row>
    <row r="1100" spans="1:37" x14ac:dyDescent="0.25">
      <c r="A1100" s="76">
        <v>106</v>
      </c>
      <c r="B1100" s="3" t="s">
        <v>424</v>
      </c>
      <c r="C1100" s="2" t="s">
        <v>160</v>
      </c>
      <c r="D1100" s="1">
        <v>0</v>
      </c>
      <c r="E1100" s="1">
        <v>2</v>
      </c>
      <c r="F1100" s="1">
        <v>2</v>
      </c>
      <c r="G1100" s="1">
        <v>6</v>
      </c>
      <c r="H1100" s="4">
        <v>0.83</v>
      </c>
      <c r="I1100" s="1">
        <v>4</v>
      </c>
      <c r="J1100" s="4">
        <v>0.5</v>
      </c>
      <c r="K1100" s="1">
        <v>0</v>
      </c>
      <c r="L1100" s="1">
        <v>2</v>
      </c>
      <c r="M1100" s="32">
        <f>IF(Mecze[[#This Row],[PR]]=0,0,Mecze[[#This Row],[PR]]/Mecze[[#This Row],[CZAS]])</f>
        <v>2.0202020202020204E-2</v>
      </c>
      <c r="N1100" s="32">
        <f>IF(Mecze[[#This Row],[OU]]=0,0,Mecze[[#This Row],[OU]]/Mecze[[#This Row],[CZAS]])</f>
        <v>2.0202020202020204E-2</v>
      </c>
      <c r="O1100" s="32">
        <f>IF(Mecze[[#This Row],[PC]]=0,0,Mecze[[#This Row],[PC]]/Mecze[[#This Row],[CZAS]])</f>
        <v>5.0505050505050504E-2</v>
      </c>
      <c r="P1100" s="32">
        <f>IF(Mecze[[#This Row],[SC]]=0,0,Mecze[[#This Row],[SC]]/Mecze[[#This Row],[CZAS]])</f>
        <v>2.0202020202020204E-2</v>
      </c>
      <c r="Q1100" s="32">
        <f>IF(Mecze[[#This Row],[OB]]=0,0,Mecze[[#This Row],[OB]]/Mecze[[#This Row],[CZAS]])</f>
        <v>0</v>
      </c>
      <c r="R1100" s="32">
        <f>IF(Mecze[[#This Row],[BR]]=0,0,Mecze[[#This Row],[BR]]/Mecze[[#This Row],[CZAS]])</f>
        <v>0</v>
      </c>
      <c r="S1100" s="44">
        <f>IF(Mecze[[#This Row],[Role]]="BR",SUMPRODUCT(Mecze[[#This Row],[/PR:90]:[/BR:90]],Brudnopis!$E$23:$J$23),0)</f>
        <v>0</v>
      </c>
      <c r="T1100" s="44">
        <f>IF(Mecze[[#This Row],[Role]]&lt;&gt;"BR",SUMPRODUCT(Mecze[[#This Row],[/PR:90]:[/BR:90]],Brudnopis!$E$24:$J$24),0)</f>
        <v>0.12121212121212123</v>
      </c>
      <c r="U1100" s="44">
        <f>IF(Mecze[[#This Row],[Role]]&lt;&gt;"BR",SUMPRODUCT(Mecze[[#This Row],[/PR:90]:[/BR:90]],Brudnopis!$E$25:$J$25),0)</f>
        <v>0.13636363636363635</v>
      </c>
      <c r="V1100" s="44">
        <f>IF(Mecze[[#This Row],[Role]]&lt;&gt;"BR",SUMPRODUCT(Mecze[[#This Row],[/PR:90]:[/BR:90]],Brudnopis!$E$26:$J$26),0)</f>
        <v>0.11111111111111112</v>
      </c>
      <c r="W1100" s="44">
        <f>IF(Mecze[[#This Row],[Role]]&lt;&gt;"BR",SUMPRODUCT(Mecze[[#This Row],[/PR:90]:[/BR:90]],Brudnopis!$E$27:$J$27),0)</f>
        <v>0.12626262626262627</v>
      </c>
      <c r="X1100" s="44">
        <f>IF(Mecze[[#This Row],[Role]]&lt;&gt;"BR",SUMPRODUCT(Mecze[[#This Row],[/PR:90]:[/BR:90]],Brudnopis!$E$28:$J$28),0)</f>
        <v>9.0909090909090912E-2</v>
      </c>
      <c r="Y1100" s="35">
        <f>IF(Mecze[[#This Row],[Role]]="BR",Mecze[[#This Row],[/OB:90]]+Mecze[[#This Row],[/PC:90]],SUM(Mecze[[#This Row],[/PR:90]:[/BR:90]]))</f>
        <v>0.11111111111111112</v>
      </c>
      <c r="Z1100" s="35">
        <f>IF(Mecze[[#This Row],[KC]]=0,SUM(Mecze[[#This Row],[/BRI]:[/NPI]]),SUM(Mecze[[#This Row],[/BRI]:[/NPI]])*0.6)</f>
        <v>0.58585858585858586</v>
      </c>
      <c r="AA1100" s="10">
        <f>IFERROR(Mecze[[#This Row],[BR]]/Mecze[[#This Row],[ST]],0)</f>
        <v>0</v>
      </c>
      <c r="AB1100">
        <f>ROUND(Mecze[[#This Row],[PD]]*Mecze[[#This Row],[%PC]],0)</f>
        <v>5</v>
      </c>
      <c r="AC1100">
        <f>ROUND(Mecze[[#This Row],[OD]]*Mecze[[#This Row],[%OU]],0)</f>
        <v>2</v>
      </c>
      <c r="AD1100" s="36" t="s">
        <v>44</v>
      </c>
      <c r="AE1100" s="36">
        <v>61</v>
      </c>
      <c r="AF1100" s="71">
        <v>6.92</v>
      </c>
      <c r="AG1100" s="37">
        <v>0</v>
      </c>
      <c r="AH1100" s="37">
        <v>0</v>
      </c>
      <c r="AI1100" s="37">
        <v>99</v>
      </c>
      <c r="AJ1100" s="37">
        <v>6</v>
      </c>
      <c r="AK1100" s="37" t="str">
        <f>VLOOKUP(Mecze[[#This Row],[Match ID]],Meczusie[Mecz]:Meczusie[RodzajMeczu],2,FALSE)</f>
        <v>Liga</v>
      </c>
    </row>
    <row r="1101" spans="1:37" x14ac:dyDescent="0.25">
      <c r="A1101" s="76">
        <v>6</v>
      </c>
      <c r="B1101" s="3" t="s">
        <v>255</v>
      </c>
      <c r="C1101" s="2" t="s">
        <v>165</v>
      </c>
      <c r="D1101" s="1">
        <v>0</v>
      </c>
      <c r="E1101" s="1">
        <v>0</v>
      </c>
      <c r="F1101" s="1">
        <v>0</v>
      </c>
      <c r="G1101" s="1">
        <v>1</v>
      </c>
      <c r="H1101" s="4">
        <v>0</v>
      </c>
      <c r="I1101" s="1">
        <v>1</v>
      </c>
      <c r="J1101" s="4">
        <v>0</v>
      </c>
      <c r="K1101" s="1">
        <v>0</v>
      </c>
      <c r="L1101" s="1">
        <v>0</v>
      </c>
      <c r="M1101" s="32">
        <f>IF(Mecze[[#This Row],[PR]]=0,0,Mecze[[#This Row],[PR]]/Mecze[[#This Row],[CZAS]])</f>
        <v>0</v>
      </c>
      <c r="N1101" s="32">
        <f>IF(Mecze[[#This Row],[OU]]=0,0,Mecze[[#This Row],[OU]]/Mecze[[#This Row],[CZAS]])</f>
        <v>0</v>
      </c>
      <c r="O1101" s="32">
        <f>IF(Mecze[[#This Row],[PC]]=0,0,Mecze[[#This Row],[PC]]/Mecze[[#This Row],[CZAS]])</f>
        <v>0</v>
      </c>
      <c r="P1101" s="32">
        <f>IF(Mecze[[#This Row],[SC]]=0,0,Mecze[[#This Row],[SC]]/Mecze[[#This Row],[CZAS]])</f>
        <v>0</v>
      </c>
      <c r="Q1101" s="32">
        <f>IF(Mecze[[#This Row],[OB]]=0,0,Mecze[[#This Row],[OB]]/Mecze[[#This Row],[CZAS]])</f>
        <v>0</v>
      </c>
      <c r="R1101" s="32">
        <f>IF(Mecze[[#This Row],[BR]]=0,0,Mecze[[#This Row],[BR]]/Mecze[[#This Row],[CZAS]])</f>
        <v>0</v>
      </c>
      <c r="S1101" s="44">
        <f>IF(Mecze[[#This Row],[Role]]="BR",SUMPRODUCT(Mecze[[#This Row],[/PR:90]:[/BR:90]],Brudnopis!$E$23:$J$23),0)</f>
        <v>0</v>
      </c>
      <c r="T1101" s="44">
        <f>IF(Mecze[[#This Row],[Role]]&lt;&gt;"BR",SUMPRODUCT(Mecze[[#This Row],[/PR:90]:[/BR:90]],Brudnopis!$E$24:$J$24),0)</f>
        <v>0</v>
      </c>
      <c r="U1101" s="44">
        <f>IF(Mecze[[#This Row],[Role]]&lt;&gt;"BR",SUMPRODUCT(Mecze[[#This Row],[/PR:90]:[/BR:90]],Brudnopis!$E$25:$J$25),0)</f>
        <v>0</v>
      </c>
      <c r="V1101" s="44">
        <f>IF(Mecze[[#This Row],[Role]]&lt;&gt;"BR",SUMPRODUCT(Mecze[[#This Row],[/PR:90]:[/BR:90]],Brudnopis!$E$26:$J$26),0)</f>
        <v>0</v>
      </c>
      <c r="W1101" s="44">
        <f>IF(Mecze[[#This Row],[Role]]&lt;&gt;"BR",SUMPRODUCT(Mecze[[#This Row],[/PR:90]:[/BR:90]],Brudnopis!$E$27:$J$27),0)</f>
        <v>0</v>
      </c>
      <c r="X1101" s="44">
        <f>IF(Mecze[[#This Row],[Role]]&lt;&gt;"BR",SUMPRODUCT(Mecze[[#This Row],[/PR:90]:[/BR:90]],Brudnopis!$E$28:$J$28),0)</f>
        <v>0</v>
      </c>
      <c r="Y1101" s="35">
        <f>IF(Mecze[[#This Row],[Role]]="BR",Mecze[[#This Row],[/OB:90]]+Mecze[[#This Row],[/PC:90]],SUM(Mecze[[#This Row],[/PR:90]:[/BR:90]]))</f>
        <v>0</v>
      </c>
      <c r="Z1101" s="35">
        <f>IF(Mecze[[#This Row],[KC]]=0,SUM(Mecze[[#This Row],[/BRI]:[/NPI]]),SUM(Mecze[[#This Row],[/BRI]:[/NPI]])*0.6)</f>
        <v>0</v>
      </c>
      <c r="AA1101" s="10">
        <f>IFERROR(Mecze[[#This Row],[BR]]/Mecze[[#This Row],[ST]],0)</f>
        <v>0</v>
      </c>
      <c r="AB1101">
        <f>ROUND(Mecze[[#This Row],[PD]]*Mecze[[#This Row],[%PC]],0)</f>
        <v>0</v>
      </c>
      <c r="AC1101">
        <f>ROUND(Mecze[[#This Row],[OD]]*Mecze[[#This Row],[%OU]],0)</f>
        <v>0</v>
      </c>
      <c r="AD1101" s="36" t="s">
        <v>232</v>
      </c>
      <c r="AE1101" s="36">
        <v>61</v>
      </c>
      <c r="AF1101" s="71">
        <v>3.93</v>
      </c>
      <c r="AG1101" s="37">
        <v>0</v>
      </c>
      <c r="AH1101" s="37">
        <v>0</v>
      </c>
      <c r="AI1101" s="37">
        <v>99</v>
      </c>
      <c r="AJ1101" s="37">
        <v>6</v>
      </c>
      <c r="AK1101" s="37" t="str">
        <f>VLOOKUP(Mecze[[#This Row],[Match ID]],Meczusie[Mecz]:Meczusie[RodzajMeczu],2,FALSE)</f>
        <v>Liga</v>
      </c>
    </row>
    <row r="1102" spans="1:37" x14ac:dyDescent="0.25">
      <c r="A1102" s="76">
        <v>5</v>
      </c>
      <c r="B1102" s="3" t="s">
        <v>256</v>
      </c>
      <c r="C1102" s="2" t="s">
        <v>165</v>
      </c>
      <c r="D1102" s="1">
        <v>2</v>
      </c>
      <c r="E1102" s="1">
        <v>6</v>
      </c>
      <c r="F1102" s="1">
        <v>6</v>
      </c>
      <c r="G1102" s="1">
        <v>9</v>
      </c>
      <c r="H1102" s="4">
        <v>0.78</v>
      </c>
      <c r="I1102" s="1">
        <v>3</v>
      </c>
      <c r="J1102" s="4">
        <v>0</v>
      </c>
      <c r="K1102" s="1">
        <v>0</v>
      </c>
      <c r="L1102" s="1">
        <v>2</v>
      </c>
      <c r="M1102" s="32">
        <f>IF(Mecze[[#This Row],[PR]]=0,0,Mecze[[#This Row],[PR]]/Mecze[[#This Row],[CZAS]])</f>
        <v>2.0202020202020204E-2</v>
      </c>
      <c r="N1102" s="32">
        <f>IF(Mecze[[#This Row],[OU]]=0,0,Mecze[[#This Row],[OU]]/Mecze[[#This Row],[CZAS]])</f>
        <v>0</v>
      </c>
      <c r="O1102" s="32">
        <f>IF(Mecze[[#This Row],[PC]]=0,0,Mecze[[#This Row],[PC]]/Mecze[[#This Row],[CZAS]])</f>
        <v>7.0707070707070704E-2</v>
      </c>
      <c r="P1102" s="32">
        <f>IF(Mecze[[#This Row],[SC]]=0,0,Mecze[[#This Row],[SC]]/Mecze[[#This Row],[CZAS]])</f>
        <v>6.0606060606060608E-2</v>
      </c>
      <c r="Q1102" s="32">
        <f>IF(Mecze[[#This Row],[OB]]=0,0,Mecze[[#This Row],[OB]]/Mecze[[#This Row],[CZAS]])</f>
        <v>0</v>
      </c>
      <c r="R1102" s="32">
        <f>IF(Mecze[[#This Row],[BR]]=0,0,Mecze[[#This Row],[BR]]/Mecze[[#This Row],[CZAS]])</f>
        <v>2.0202020202020204E-2</v>
      </c>
      <c r="S1102" s="44">
        <f>IF(Mecze[[#This Row],[Role]]="BR",SUMPRODUCT(Mecze[[#This Row],[/PR:90]:[/BR:90]],Brudnopis!$E$23:$J$23),0)</f>
        <v>0</v>
      </c>
      <c r="T1102" s="44">
        <f>IF(Mecze[[#This Row],[Role]]&lt;&gt;"BR",SUMPRODUCT(Mecze[[#This Row],[/PR:90]:[/BR:90]],Brudnopis!$E$24:$J$24),0)</f>
        <v>0.18181818181818182</v>
      </c>
      <c r="U1102" s="44">
        <f>IF(Mecze[[#This Row],[Role]]&lt;&gt;"BR",SUMPRODUCT(Mecze[[#This Row],[/PR:90]:[/BR:90]],Brudnopis!$E$25:$J$25),0)</f>
        <v>0.21717171717171715</v>
      </c>
      <c r="V1102" s="44">
        <f>IF(Mecze[[#This Row],[Role]]&lt;&gt;"BR",SUMPRODUCT(Mecze[[#This Row],[/PR:90]:[/BR:90]],Brudnopis!$E$26:$J$26),0)</f>
        <v>0.19191919191919193</v>
      </c>
      <c r="W1102" s="44">
        <f>IF(Mecze[[#This Row],[Role]]&lt;&gt;"BR",SUMPRODUCT(Mecze[[#This Row],[/PR:90]:[/BR:90]],Brudnopis!$E$27:$J$27),0)</f>
        <v>0.22222222222222224</v>
      </c>
      <c r="X1102" s="44">
        <f>IF(Mecze[[#This Row],[Role]]&lt;&gt;"BR",SUMPRODUCT(Mecze[[#This Row],[/PR:90]:[/BR:90]],Brudnopis!$E$28:$J$28),0)</f>
        <v>0.25252525252525254</v>
      </c>
      <c r="Y1102" s="35">
        <f>IF(Mecze[[#This Row],[Role]]="BR",Mecze[[#This Row],[/OB:90]]+Mecze[[#This Row],[/PC:90]],SUM(Mecze[[#This Row],[/PR:90]:[/BR:90]]))</f>
        <v>0.17171717171717171</v>
      </c>
      <c r="Z1102" s="35">
        <f>IF(Mecze[[#This Row],[KC]]=0,SUM(Mecze[[#This Row],[/BRI]:[/NPI]]),SUM(Mecze[[#This Row],[/BRI]:[/NPI]])*0.6)</f>
        <v>1.0656565656565657</v>
      </c>
      <c r="AA1102" s="10">
        <f>IFERROR(Mecze[[#This Row],[BR]]/Mecze[[#This Row],[ST]],0)</f>
        <v>0.33333333333333331</v>
      </c>
      <c r="AB1102">
        <f>ROUND(Mecze[[#This Row],[PD]]*Mecze[[#This Row],[%PC]],0)</f>
        <v>7</v>
      </c>
      <c r="AC1102">
        <f>ROUND(Mecze[[#This Row],[OD]]*Mecze[[#This Row],[%OU]],0)</f>
        <v>0</v>
      </c>
      <c r="AD1102" s="36" t="s">
        <v>46</v>
      </c>
      <c r="AE1102" s="36">
        <v>61</v>
      </c>
      <c r="AF1102" s="71">
        <v>11.18</v>
      </c>
      <c r="AG1102" s="37">
        <v>0</v>
      </c>
      <c r="AH1102" s="37">
        <v>0</v>
      </c>
      <c r="AI1102" s="37">
        <v>99</v>
      </c>
      <c r="AJ1102" s="37">
        <v>6</v>
      </c>
      <c r="AK1102" s="37" t="str">
        <f>VLOOKUP(Mecze[[#This Row],[Match ID]],Meczusie[Mecz]:Meczusie[RodzajMeczu],2,FALSE)</f>
        <v>Liga</v>
      </c>
    </row>
    <row r="1103" spans="1:37" x14ac:dyDescent="0.25">
      <c r="A1103" s="76">
        <v>100</v>
      </c>
      <c r="B1103" s="3" t="s">
        <v>257</v>
      </c>
      <c r="C1103" s="2" t="s">
        <v>165</v>
      </c>
      <c r="D1103" s="1">
        <v>0</v>
      </c>
      <c r="E1103" s="1">
        <v>3</v>
      </c>
      <c r="F1103" s="1">
        <v>2</v>
      </c>
      <c r="G1103" s="1">
        <v>5</v>
      </c>
      <c r="H1103" s="4">
        <v>0.6</v>
      </c>
      <c r="I1103" s="1">
        <v>3</v>
      </c>
      <c r="J1103" s="4">
        <v>0</v>
      </c>
      <c r="K1103" s="1">
        <v>0</v>
      </c>
      <c r="L1103" s="1">
        <v>0</v>
      </c>
      <c r="M1103" s="32">
        <f>IF(Mecze[[#This Row],[PR]]=0,0,Mecze[[#This Row],[PR]]/Mecze[[#This Row],[CZAS]])</f>
        <v>0</v>
      </c>
      <c r="N1103" s="32">
        <f>IF(Mecze[[#This Row],[OU]]=0,0,Mecze[[#This Row],[OU]]/Mecze[[#This Row],[CZAS]])</f>
        <v>0</v>
      </c>
      <c r="O1103" s="32">
        <f>IF(Mecze[[#This Row],[PC]]=0,0,Mecze[[#This Row],[PC]]/Mecze[[#This Row],[CZAS]])</f>
        <v>3.614457831325301E-2</v>
      </c>
      <c r="P1103" s="32">
        <f>IF(Mecze[[#This Row],[SC]]=0,0,Mecze[[#This Row],[SC]]/Mecze[[#This Row],[CZAS]])</f>
        <v>2.4096385542168676E-2</v>
      </c>
      <c r="Q1103" s="32">
        <f>IF(Mecze[[#This Row],[OB]]=0,0,Mecze[[#This Row],[OB]]/Mecze[[#This Row],[CZAS]])</f>
        <v>0</v>
      </c>
      <c r="R1103" s="32">
        <f>IF(Mecze[[#This Row],[BR]]=0,0,Mecze[[#This Row],[BR]]/Mecze[[#This Row],[CZAS]])</f>
        <v>0</v>
      </c>
      <c r="S1103" s="44">
        <f>IF(Mecze[[#This Row],[Role]]="BR",SUMPRODUCT(Mecze[[#This Row],[/PR:90]:[/BR:90]],Brudnopis!$E$23:$J$23),0)</f>
        <v>0</v>
      </c>
      <c r="T1103" s="44">
        <f>IF(Mecze[[#This Row],[Role]]&lt;&gt;"BR",SUMPRODUCT(Mecze[[#This Row],[/PR:90]:[/BR:90]],Brudnopis!$E$24:$J$24),0)</f>
        <v>6.0240963855421686E-2</v>
      </c>
      <c r="U1103" s="44">
        <f>IF(Mecze[[#This Row],[Role]]&lt;&gt;"BR",SUMPRODUCT(Mecze[[#This Row],[/PR:90]:[/BR:90]],Brudnopis!$E$25:$J$25),0)</f>
        <v>7.8313253012048195E-2</v>
      </c>
      <c r="V1103" s="44">
        <f>IF(Mecze[[#This Row],[Role]]&lt;&gt;"BR",SUMPRODUCT(Mecze[[#This Row],[/PR:90]:[/BR:90]],Brudnopis!$E$26:$J$26),0)</f>
        <v>6.0240963855421686E-2</v>
      </c>
      <c r="W1103" s="44">
        <f>IF(Mecze[[#This Row],[Role]]&lt;&gt;"BR",SUMPRODUCT(Mecze[[#This Row],[/PR:90]:[/BR:90]],Brudnopis!$E$27:$J$27),0)</f>
        <v>7.8313253012048195E-2</v>
      </c>
      <c r="X1103" s="44">
        <f>IF(Mecze[[#This Row],[Role]]&lt;&gt;"BR",SUMPRODUCT(Mecze[[#This Row],[/PR:90]:[/BR:90]],Brudnopis!$E$28:$J$28),0)</f>
        <v>8.4337349397590355E-2</v>
      </c>
      <c r="Y1103" s="35">
        <f>IF(Mecze[[#This Row],[Role]]="BR",Mecze[[#This Row],[/OB:90]]+Mecze[[#This Row],[/PC:90]],SUM(Mecze[[#This Row],[/PR:90]:[/BR:90]]))</f>
        <v>6.0240963855421686E-2</v>
      </c>
      <c r="Z1103" s="35">
        <f>IF(Mecze[[#This Row],[KC]]=0,SUM(Mecze[[#This Row],[/BRI]:[/NPI]]),SUM(Mecze[[#This Row],[/BRI]:[/NPI]])*0.6)</f>
        <v>0.36144578313253012</v>
      </c>
      <c r="AA1103" s="10">
        <f>IFERROR(Mecze[[#This Row],[BR]]/Mecze[[#This Row],[ST]],0)</f>
        <v>0</v>
      </c>
      <c r="AB1103">
        <f>ROUND(Mecze[[#This Row],[PD]]*Mecze[[#This Row],[%PC]],0)</f>
        <v>3</v>
      </c>
      <c r="AC1103">
        <f>ROUND(Mecze[[#This Row],[OD]]*Mecze[[#This Row],[%OU]],0)</f>
        <v>0</v>
      </c>
      <c r="AD1103" s="36" t="s">
        <v>46</v>
      </c>
      <c r="AE1103" s="36">
        <v>61</v>
      </c>
      <c r="AF1103" s="71">
        <v>5.7</v>
      </c>
      <c r="AG1103" s="37">
        <v>0</v>
      </c>
      <c r="AH1103" s="37">
        <v>0</v>
      </c>
      <c r="AI1103" s="37">
        <v>83</v>
      </c>
      <c r="AJ1103" s="37">
        <v>6</v>
      </c>
      <c r="AK1103" s="37" t="str">
        <f>VLOOKUP(Mecze[[#This Row],[Match ID]],Meczusie[Mecz]:Meczusie[RodzajMeczu],2,FALSE)</f>
        <v>Liga</v>
      </c>
    </row>
    <row r="1104" spans="1:37" x14ac:dyDescent="0.25">
      <c r="A1104" s="76">
        <v>105</v>
      </c>
      <c r="B1104" s="3" t="s">
        <v>423</v>
      </c>
      <c r="C1104" s="2" t="s">
        <v>157</v>
      </c>
      <c r="D1104" s="1">
        <v>0</v>
      </c>
      <c r="E1104" s="1">
        <v>0</v>
      </c>
      <c r="F1104" s="1">
        <v>0</v>
      </c>
      <c r="G1104" s="1">
        <v>1</v>
      </c>
      <c r="H1104" s="4">
        <v>0</v>
      </c>
      <c r="I1104" s="1">
        <v>1</v>
      </c>
      <c r="J1104" s="4">
        <v>1</v>
      </c>
      <c r="K1104" s="1">
        <v>0</v>
      </c>
      <c r="L1104" s="1">
        <v>0</v>
      </c>
      <c r="M1104" s="32">
        <f>IF(Mecze[[#This Row],[PR]]=0,0,Mecze[[#This Row],[PR]]/Mecze[[#This Row],[CZAS]])</f>
        <v>0</v>
      </c>
      <c r="N1104" s="32">
        <f>IF(Mecze[[#This Row],[OU]]=0,0,Mecze[[#This Row],[OU]]/Mecze[[#This Row],[CZAS]])</f>
        <v>6.25E-2</v>
      </c>
      <c r="O1104" s="32">
        <f>IF(Mecze[[#This Row],[PC]]=0,0,Mecze[[#This Row],[PC]]/Mecze[[#This Row],[CZAS]])</f>
        <v>0</v>
      </c>
      <c r="P1104" s="32">
        <f>IF(Mecze[[#This Row],[SC]]=0,0,Mecze[[#This Row],[SC]]/Mecze[[#This Row],[CZAS]])</f>
        <v>0</v>
      </c>
      <c r="Q1104" s="32">
        <f>IF(Mecze[[#This Row],[OB]]=0,0,Mecze[[#This Row],[OB]]/Mecze[[#This Row],[CZAS]])</f>
        <v>0</v>
      </c>
      <c r="R1104" s="32">
        <f>IF(Mecze[[#This Row],[BR]]=0,0,Mecze[[#This Row],[BR]]/Mecze[[#This Row],[CZAS]])</f>
        <v>0</v>
      </c>
      <c r="S1104" s="44">
        <f>IF(Mecze[[#This Row],[Role]]="BR",SUMPRODUCT(Mecze[[#This Row],[/PR:90]:[/BR:90]],Brudnopis!$E$23:$J$23),0)</f>
        <v>0</v>
      </c>
      <c r="T1104" s="44">
        <f>IF(Mecze[[#This Row],[Role]]&lt;&gt;"BR",SUMPRODUCT(Mecze[[#This Row],[/PR:90]:[/BR:90]],Brudnopis!$E$24:$J$24),0)</f>
        <v>9.375E-2</v>
      </c>
      <c r="U1104" s="44">
        <f>IF(Mecze[[#This Row],[Role]]&lt;&gt;"BR",SUMPRODUCT(Mecze[[#This Row],[/PR:90]:[/BR:90]],Brudnopis!$E$25:$J$25),0)</f>
        <v>6.25E-2</v>
      </c>
      <c r="V1104" s="44">
        <f>IF(Mecze[[#This Row],[Role]]&lt;&gt;"BR",SUMPRODUCT(Mecze[[#This Row],[/PR:90]:[/BR:90]],Brudnopis!$E$26:$J$26),0)</f>
        <v>6.25E-2</v>
      </c>
      <c r="W1104" s="44">
        <f>IF(Mecze[[#This Row],[Role]]&lt;&gt;"BR",SUMPRODUCT(Mecze[[#This Row],[/PR:90]:[/BR:90]],Brudnopis!$E$27:$J$27),0)</f>
        <v>4.6875E-2</v>
      </c>
      <c r="X1104" s="44">
        <f>IF(Mecze[[#This Row],[Role]]&lt;&gt;"BR",SUMPRODUCT(Mecze[[#This Row],[/PR:90]:[/BR:90]],Brudnopis!$E$28:$J$28),0)</f>
        <v>0</v>
      </c>
      <c r="Y1104" s="35">
        <f>IF(Mecze[[#This Row],[Role]]="BR",Mecze[[#This Row],[/OB:90]]+Mecze[[#This Row],[/PC:90]],SUM(Mecze[[#This Row],[/PR:90]:[/BR:90]]))</f>
        <v>6.25E-2</v>
      </c>
      <c r="Z1104" s="35">
        <f>IF(Mecze[[#This Row],[KC]]=0,SUM(Mecze[[#This Row],[/BRI]:[/NPI]]),SUM(Mecze[[#This Row],[/BRI]:[/NPI]])*0.6)</f>
        <v>0.265625</v>
      </c>
      <c r="AA1104" s="10">
        <f>IFERROR(Mecze[[#This Row],[BR]]/Mecze[[#This Row],[ST]],0)</f>
        <v>0</v>
      </c>
      <c r="AB1104">
        <f>ROUND(Mecze[[#This Row],[PD]]*Mecze[[#This Row],[%PC]],0)</f>
        <v>0</v>
      </c>
      <c r="AC1104">
        <f>ROUND(Mecze[[#This Row],[OD]]*Mecze[[#This Row],[%OU]],0)</f>
        <v>1</v>
      </c>
      <c r="AD1104" s="36" t="s">
        <v>167</v>
      </c>
      <c r="AE1104" s="36">
        <v>61</v>
      </c>
      <c r="AF1104" s="71">
        <v>1.72</v>
      </c>
      <c r="AG1104" s="37">
        <v>0</v>
      </c>
      <c r="AH1104" s="37">
        <v>0</v>
      </c>
      <c r="AI1104" s="37">
        <v>16</v>
      </c>
      <c r="AJ1104" s="37">
        <v>6</v>
      </c>
      <c r="AK1104" s="37" t="str">
        <f>VLOOKUP(Mecze[[#This Row],[Match ID]],Meczusie[Mecz]:Meczusie[RodzajMeczu],2,FALSE)</f>
        <v>Liga</v>
      </c>
    </row>
    <row r="1105" spans="1:37" x14ac:dyDescent="0.25">
      <c r="A1105" s="76">
        <v>9</v>
      </c>
      <c r="B1105" s="3" t="s">
        <v>258</v>
      </c>
      <c r="C1105" s="2" t="s">
        <v>160</v>
      </c>
      <c r="D1105" s="1">
        <v>0</v>
      </c>
      <c r="E1105" s="1">
        <v>0</v>
      </c>
      <c r="F1105" s="1">
        <v>0</v>
      </c>
      <c r="G1105" s="1">
        <v>3</v>
      </c>
      <c r="H1105" s="4">
        <v>0.67</v>
      </c>
      <c r="I1105" s="1">
        <v>2</v>
      </c>
      <c r="J1105" s="4">
        <v>0</v>
      </c>
      <c r="K1105" s="1">
        <v>0</v>
      </c>
      <c r="L1105" s="1">
        <v>2</v>
      </c>
      <c r="M1105" s="32">
        <f>IF(Mecze[[#This Row],[PR]]=0,0,Mecze[[#This Row],[PR]]/Mecze[[#This Row],[CZAS]])</f>
        <v>5.8823529411764705E-2</v>
      </c>
      <c r="N1105" s="32">
        <f>IF(Mecze[[#This Row],[OU]]=0,0,Mecze[[#This Row],[OU]]/Mecze[[#This Row],[CZAS]])</f>
        <v>0</v>
      </c>
      <c r="O1105" s="32">
        <f>IF(Mecze[[#This Row],[PC]]=0,0,Mecze[[#This Row],[PC]]/Mecze[[#This Row],[CZAS]])</f>
        <v>5.8823529411764705E-2</v>
      </c>
      <c r="P1105" s="32">
        <f>IF(Mecze[[#This Row],[SC]]=0,0,Mecze[[#This Row],[SC]]/Mecze[[#This Row],[CZAS]])</f>
        <v>0</v>
      </c>
      <c r="Q1105" s="32">
        <f>IF(Mecze[[#This Row],[OB]]=0,0,Mecze[[#This Row],[OB]]/Mecze[[#This Row],[CZAS]])</f>
        <v>0</v>
      </c>
      <c r="R1105" s="32">
        <f>IF(Mecze[[#This Row],[BR]]=0,0,Mecze[[#This Row],[BR]]/Mecze[[#This Row],[CZAS]])</f>
        <v>0</v>
      </c>
      <c r="S1105" s="44">
        <f>IF(Mecze[[#This Row],[Role]]="BR",SUMPRODUCT(Mecze[[#This Row],[/PR:90]:[/BR:90]],Brudnopis!$E$23:$J$23),0)</f>
        <v>0</v>
      </c>
      <c r="T1105" s="44">
        <f>IF(Mecze[[#This Row],[Role]]&lt;&gt;"BR",SUMPRODUCT(Mecze[[#This Row],[/PR:90]:[/BR:90]],Brudnopis!$E$24:$J$24),0)</f>
        <v>0.11764705882352941</v>
      </c>
      <c r="U1105" s="44">
        <f>IF(Mecze[[#This Row],[Role]]&lt;&gt;"BR",SUMPRODUCT(Mecze[[#This Row],[/PR:90]:[/BR:90]],Brudnopis!$E$25:$J$25),0)</f>
        <v>0.14705882352941174</v>
      </c>
      <c r="V1105" s="44">
        <f>IF(Mecze[[#This Row],[Role]]&lt;&gt;"BR",SUMPRODUCT(Mecze[[#This Row],[/PR:90]:[/BR:90]],Brudnopis!$E$26:$J$26),0)</f>
        <v>0.11764705882352941</v>
      </c>
      <c r="W1105" s="44">
        <f>IF(Mecze[[#This Row],[Role]]&lt;&gt;"BR",SUMPRODUCT(Mecze[[#This Row],[/PR:90]:[/BR:90]],Brudnopis!$E$27:$J$27),0)</f>
        <v>0.13235294117647056</v>
      </c>
      <c r="X1105" s="44">
        <f>IF(Mecze[[#This Row],[Role]]&lt;&gt;"BR",SUMPRODUCT(Mecze[[#This Row],[/PR:90]:[/BR:90]],Brudnopis!$E$28:$J$28),0)</f>
        <v>5.8823529411764705E-2</v>
      </c>
      <c r="Y1105" s="35">
        <f>IF(Mecze[[#This Row],[Role]]="BR",Mecze[[#This Row],[/OB:90]]+Mecze[[#This Row],[/PC:90]],SUM(Mecze[[#This Row],[/PR:90]:[/BR:90]]))</f>
        <v>0.11764705882352941</v>
      </c>
      <c r="Z1105" s="35">
        <f>IF(Mecze[[#This Row],[KC]]=0,SUM(Mecze[[#This Row],[/BRI]:[/NPI]]),SUM(Mecze[[#This Row],[/BRI]:[/NPI]])*0.6)</f>
        <v>0.57352941176470584</v>
      </c>
      <c r="AA1105" s="10">
        <f>IFERROR(Mecze[[#This Row],[BR]]/Mecze[[#This Row],[ST]],0)</f>
        <v>0</v>
      </c>
      <c r="AB1105">
        <f>ROUND(Mecze[[#This Row],[PD]]*Mecze[[#This Row],[%PC]],0)</f>
        <v>2</v>
      </c>
      <c r="AC1105">
        <f>ROUND(Mecze[[#This Row],[OD]]*Mecze[[#This Row],[%OU]],0)</f>
        <v>0</v>
      </c>
      <c r="AD1105" s="36" t="s">
        <v>318</v>
      </c>
      <c r="AE1105" s="36">
        <v>61</v>
      </c>
      <c r="AF1105" s="71">
        <v>2.14</v>
      </c>
      <c r="AG1105" s="37">
        <v>0</v>
      </c>
      <c r="AH1105" s="37">
        <v>0</v>
      </c>
      <c r="AI1105" s="37">
        <v>34</v>
      </c>
      <c r="AJ1105" s="37">
        <v>6</v>
      </c>
      <c r="AK1105" s="37" t="str">
        <f>VLOOKUP(Mecze[[#This Row],[Match ID]],Meczusie[Mecz]:Meczusie[RodzajMeczu],2,FALSE)</f>
        <v>Liga</v>
      </c>
    </row>
    <row r="1106" spans="1:37" x14ac:dyDescent="0.25">
      <c r="A1106" s="76">
        <v>20</v>
      </c>
      <c r="B1106" s="3" t="s">
        <v>391</v>
      </c>
      <c r="C1106" s="2" t="s">
        <v>165</v>
      </c>
      <c r="D1106" s="1">
        <v>0</v>
      </c>
      <c r="E1106" s="1">
        <v>0</v>
      </c>
      <c r="F1106" s="1">
        <v>0</v>
      </c>
      <c r="G1106" s="1">
        <v>2</v>
      </c>
      <c r="H1106" s="4">
        <v>0</v>
      </c>
      <c r="I1106" s="1">
        <v>2</v>
      </c>
      <c r="J1106" s="4">
        <v>0.5</v>
      </c>
      <c r="K1106" s="1">
        <v>0</v>
      </c>
      <c r="L1106" s="1">
        <v>0</v>
      </c>
      <c r="M1106" s="32">
        <f>IF(Mecze[[#This Row],[PR]]=0,0,Mecze[[#This Row],[PR]]/Mecze[[#This Row],[CZAS]])</f>
        <v>0</v>
      </c>
      <c r="N1106" s="32">
        <f>IF(Mecze[[#This Row],[OU]]=0,0,Mecze[[#This Row],[OU]]/Mecze[[#This Row],[CZAS]])</f>
        <v>6.25E-2</v>
      </c>
      <c r="O1106" s="32">
        <f>IF(Mecze[[#This Row],[PC]]=0,0,Mecze[[#This Row],[PC]]/Mecze[[#This Row],[CZAS]])</f>
        <v>0</v>
      </c>
      <c r="P1106" s="32">
        <f>IF(Mecze[[#This Row],[SC]]=0,0,Mecze[[#This Row],[SC]]/Mecze[[#This Row],[CZAS]])</f>
        <v>0</v>
      </c>
      <c r="Q1106" s="32">
        <f>IF(Mecze[[#This Row],[OB]]=0,0,Mecze[[#This Row],[OB]]/Mecze[[#This Row],[CZAS]])</f>
        <v>0</v>
      </c>
      <c r="R1106" s="32">
        <f>IF(Mecze[[#This Row],[BR]]=0,0,Mecze[[#This Row],[BR]]/Mecze[[#This Row],[CZAS]])</f>
        <v>0</v>
      </c>
      <c r="S1106" s="44">
        <f>IF(Mecze[[#This Row],[Role]]="BR",SUMPRODUCT(Mecze[[#This Row],[/PR:90]:[/BR:90]],Brudnopis!$E$23:$J$23),0)</f>
        <v>0</v>
      </c>
      <c r="T1106" s="44">
        <f>IF(Mecze[[#This Row],[Role]]&lt;&gt;"BR",SUMPRODUCT(Mecze[[#This Row],[/PR:90]:[/BR:90]],Brudnopis!$E$24:$J$24),0)</f>
        <v>9.375E-2</v>
      </c>
      <c r="U1106" s="44">
        <f>IF(Mecze[[#This Row],[Role]]&lt;&gt;"BR",SUMPRODUCT(Mecze[[#This Row],[/PR:90]:[/BR:90]],Brudnopis!$E$25:$J$25),0)</f>
        <v>6.25E-2</v>
      </c>
      <c r="V1106" s="44">
        <f>IF(Mecze[[#This Row],[Role]]&lt;&gt;"BR",SUMPRODUCT(Mecze[[#This Row],[/PR:90]:[/BR:90]],Brudnopis!$E$26:$J$26),0)</f>
        <v>6.25E-2</v>
      </c>
      <c r="W1106" s="44">
        <f>IF(Mecze[[#This Row],[Role]]&lt;&gt;"BR",SUMPRODUCT(Mecze[[#This Row],[/PR:90]:[/BR:90]],Brudnopis!$E$27:$J$27),0)</f>
        <v>4.6875E-2</v>
      </c>
      <c r="X1106" s="44">
        <f>IF(Mecze[[#This Row],[Role]]&lt;&gt;"BR",SUMPRODUCT(Mecze[[#This Row],[/PR:90]:[/BR:90]],Brudnopis!$E$28:$J$28),0)</f>
        <v>0</v>
      </c>
      <c r="Y1106" s="35">
        <f>IF(Mecze[[#This Row],[Role]]="BR",Mecze[[#This Row],[/OB:90]]+Mecze[[#This Row],[/PC:90]],SUM(Mecze[[#This Row],[/PR:90]:[/BR:90]]))</f>
        <v>6.25E-2</v>
      </c>
      <c r="Z1106" s="35">
        <f>IF(Mecze[[#This Row],[KC]]=0,SUM(Mecze[[#This Row],[/BRI]:[/NPI]]),SUM(Mecze[[#This Row],[/BRI]:[/NPI]])*0.6)</f>
        <v>0.265625</v>
      </c>
      <c r="AA1106" s="10">
        <f>IFERROR(Mecze[[#This Row],[BR]]/Mecze[[#This Row],[ST]],0)</f>
        <v>0</v>
      </c>
      <c r="AB1106">
        <f>ROUND(Mecze[[#This Row],[PD]]*Mecze[[#This Row],[%PC]],0)</f>
        <v>0</v>
      </c>
      <c r="AC1106">
        <f>ROUND(Mecze[[#This Row],[OD]]*Mecze[[#This Row],[%OU]],0)</f>
        <v>1</v>
      </c>
      <c r="AD1106" s="36" t="s">
        <v>46</v>
      </c>
      <c r="AE1106" s="36">
        <v>61</v>
      </c>
      <c r="AF1106" s="71">
        <v>1.72</v>
      </c>
      <c r="AG1106" s="37">
        <v>0</v>
      </c>
      <c r="AH1106" s="37">
        <v>0</v>
      </c>
      <c r="AI1106" s="37">
        <v>16</v>
      </c>
      <c r="AJ1106" s="37">
        <v>6</v>
      </c>
      <c r="AK1106" s="37" t="str">
        <f>VLOOKUP(Mecze[[#This Row],[Match ID]],Meczusie[Mecz]:Meczusie[RodzajMeczu],2,FALSE)</f>
        <v>Liga</v>
      </c>
    </row>
    <row r="1107" spans="1:37" x14ac:dyDescent="0.25">
      <c r="A1107" s="76">
        <v>1</v>
      </c>
      <c r="B1107" s="3" t="s">
        <v>344</v>
      </c>
      <c r="C1107" s="2" t="s">
        <v>155</v>
      </c>
      <c r="D1107" s="1">
        <v>0</v>
      </c>
      <c r="E1107" s="1">
        <v>0</v>
      </c>
      <c r="F1107" s="1">
        <v>0</v>
      </c>
      <c r="G1107" s="1">
        <v>8</v>
      </c>
      <c r="H1107" s="4">
        <v>0.25</v>
      </c>
      <c r="I1107" s="1">
        <v>0</v>
      </c>
      <c r="J1107" s="4"/>
      <c r="K1107" s="1">
        <v>7</v>
      </c>
      <c r="L1107" s="1">
        <v>0</v>
      </c>
      <c r="M1107" s="32">
        <f>IF(Mecze[[#This Row],[PR]]=0,0,Mecze[[#This Row],[PR]]/Mecze[[#This Row],[CZAS]])</f>
        <v>0</v>
      </c>
      <c r="N1107" s="32">
        <f>IF(Mecze[[#This Row],[OU]]=0,0,Mecze[[#This Row],[OU]]/Mecze[[#This Row],[CZAS]])</f>
        <v>0</v>
      </c>
      <c r="O1107" s="32">
        <f>IF(Mecze[[#This Row],[PC]]=0,0,Mecze[[#This Row],[PC]]/Mecze[[#This Row],[CZAS]])</f>
        <v>2.0202020202020204E-2</v>
      </c>
      <c r="P1107" s="32">
        <f>IF(Mecze[[#This Row],[SC]]=0,0,Mecze[[#This Row],[SC]]/Mecze[[#This Row],[CZAS]])</f>
        <v>0</v>
      </c>
      <c r="Q1107" s="32">
        <f>IF(Mecze[[#This Row],[OB]]=0,0,Mecze[[#This Row],[OB]]/Mecze[[#This Row],[CZAS]])</f>
        <v>7.0707070707070704E-2</v>
      </c>
      <c r="R1107" s="32">
        <f>IF(Mecze[[#This Row],[BR]]=0,0,Mecze[[#This Row],[BR]]/Mecze[[#This Row],[CZAS]])</f>
        <v>0</v>
      </c>
      <c r="S1107" s="44">
        <f>IF(Mecze[[#This Row],[Role]]="BR",SUMPRODUCT(Mecze[[#This Row],[/PR:90]:[/BR:90]],Brudnopis!$E$23:$J$23),0)</f>
        <v>0.27272727272727271</v>
      </c>
      <c r="T1107" s="44">
        <f>IF(Mecze[[#This Row],[Role]]&lt;&gt;"BR",SUMPRODUCT(Mecze[[#This Row],[/PR:90]:[/BR:90]],Brudnopis!$E$24:$J$24),0)</f>
        <v>0</v>
      </c>
      <c r="U1107" s="44">
        <f>IF(Mecze[[#This Row],[Role]]&lt;&gt;"BR",SUMPRODUCT(Mecze[[#This Row],[/PR:90]:[/BR:90]],Brudnopis!$E$25:$J$25),0)</f>
        <v>0</v>
      </c>
      <c r="V1107" s="44">
        <f>IF(Mecze[[#This Row],[Role]]&lt;&gt;"BR",SUMPRODUCT(Mecze[[#This Row],[/PR:90]:[/BR:90]],Brudnopis!$E$26:$J$26),0)</f>
        <v>0</v>
      </c>
      <c r="W1107" s="44">
        <f>IF(Mecze[[#This Row],[Role]]&lt;&gt;"BR",SUMPRODUCT(Mecze[[#This Row],[/PR:90]:[/BR:90]],Brudnopis!$E$27:$J$27),0)</f>
        <v>0</v>
      </c>
      <c r="X1107" s="44">
        <f>IF(Mecze[[#This Row],[Role]]&lt;&gt;"BR",SUMPRODUCT(Mecze[[#This Row],[/PR:90]:[/BR:90]],Brudnopis!$E$28:$J$28),0)</f>
        <v>0</v>
      </c>
      <c r="Y1107" s="35">
        <f>IF(Mecze[[#This Row],[Role]]="BR",Mecze[[#This Row],[/OB:90]]+Mecze[[#This Row],[/PC:90]],SUM(Mecze[[#This Row],[/PR:90]:[/BR:90]]))</f>
        <v>9.0909090909090912E-2</v>
      </c>
      <c r="Z1107" s="35">
        <f>IF(Mecze[[#This Row],[KC]]=0,SUM(Mecze[[#This Row],[/BRI]:[/NPI]]),SUM(Mecze[[#This Row],[/BRI]:[/NPI]])*0.6)</f>
        <v>0.27272727272727271</v>
      </c>
      <c r="AA1107" s="10">
        <f>IFERROR(Mecze[[#This Row],[BR]]/Mecze[[#This Row],[ST]],0)</f>
        <v>0</v>
      </c>
      <c r="AB1107">
        <f>ROUND(Mecze[[#This Row],[PD]]*Mecze[[#This Row],[%PC]],0)</f>
        <v>2</v>
      </c>
      <c r="AC1107">
        <f>ROUND(Mecze[[#This Row],[OD]]*Mecze[[#This Row],[%OU]],0)</f>
        <v>0</v>
      </c>
      <c r="AD1107" s="36" t="s">
        <v>40</v>
      </c>
      <c r="AE1107" s="36">
        <v>61</v>
      </c>
      <c r="AF1107" s="71">
        <v>4.04</v>
      </c>
      <c r="AG1107" s="37">
        <v>0</v>
      </c>
      <c r="AH1107" s="37">
        <v>0</v>
      </c>
      <c r="AI1107" s="37">
        <v>99</v>
      </c>
      <c r="AJ1107" s="37">
        <v>5</v>
      </c>
      <c r="AK1107" s="37" t="str">
        <f>VLOOKUP(Mecze[[#This Row],[Match ID]],Meczusie[Mecz]:Meczusie[RodzajMeczu],2,FALSE)</f>
        <v>Liga</v>
      </c>
    </row>
    <row r="1108" spans="1:37" x14ac:dyDescent="0.25">
      <c r="A1108" s="76">
        <v>2</v>
      </c>
      <c r="B1108" s="3" t="s">
        <v>345</v>
      </c>
      <c r="C1108" s="2" t="s">
        <v>157</v>
      </c>
      <c r="D1108" s="1">
        <v>0</v>
      </c>
      <c r="E1108" s="1">
        <v>0</v>
      </c>
      <c r="F1108" s="1">
        <v>0</v>
      </c>
      <c r="G1108" s="1">
        <v>15</v>
      </c>
      <c r="H1108" s="4">
        <v>0.6</v>
      </c>
      <c r="I1108" s="1">
        <v>3</v>
      </c>
      <c r="J1108" s="4">
        <v>0.67</v>
      </c>
      <c r="K1108" s="1">
        <v>0</v>
      </c>
      <c r="L1108" s="1">
        <v>13</v>
      </c>
      <c r="M1108" s="32">
        <f>IF(Mecze[[#This Row],[PR]]=0,0,Mecze[[#This Row],[PR]]/Mecze[[#This Row],[CZAS]])</f>
        <v>0.13131313131313133</v>
      </c>
      <c r="N1108" s="32">
        <f>IF(Mecze[[#This Row],[OU]]=0,0,Mecze[[#This Row],[OU]]/Mecze[[#This Row],[CZAS]])</f>
        <v>2.0202020202020204E-2</v>
      </c>
      <c r="O1108" s="32">
        <f>IF(Mecze[[#This Row],[PC]]=0,0,Mecze[[#This Row],[PC]]/Mecze[[#This Row],[CZAS]])</f>
        <v>9.0909090909090912E-2</v>
      </c>
      <c r="P1108" s="32">
        <f>IF(Mecze[[#This Row],[SC]]=0,0,Mecze[[#This Row],[SC]]/Mecze[[#This Row],[CZAS]])</f>
        <v>0</v>
      </c>
      <c r="Q1108" s="32">
        <f>IF(Mecze[[#This Row],[OB]]=0,0,Mecze[[#This Row],[OB]]/Mecze[[#This Row],[CZAS]])</f>
        <v>0</v>
      </c>
      <c r="R1108" s="32">
        <f>IF(Mecze[[#This Row],[BR]]=0,0,Mecze[[#This Row],[BR]]/Mecze[[#This Row],[CZAS]])</f>
        <v>0</v>
      </c>
      <c r="S1108" s="44">
        <f>IF(Mecze[[#This Row],[Role]]="BR",SUMPRODUCT(Mecze[[#This Row],[/PR:90]:[/BR:90]],Brudnopis!$E$23:$J$23),0)</f>
        <v>0</v>
      </c>
      <c r="T1108" s="44">
        <f>IF(Mecze[[#This Row],[Role]]&lt;&gt;"BR",SUMPRODUCT(Mecze[[#This Row],[/PR:90]:[/BR:90]],Brudnopis!$E$24:$J$24),0)</f>
        <v>0.25252525252525254</v>
      </c>
      <c r="U1108" s="44">
        <f>IF(Mecze[[#This Row],[Role]]&lt;&gt;"BR",SUMPRODUCT(Mecze[[#This Row],[/PR:90]:[/BR:90]],Brudnopis!$E$25:$J$25),0)</f>
        <v>0.28787878787878785</v>
      </c>
      <c r="V1108" s="44">
        <f>IF(Mecze[[#This Row],[Role]]&lt;&gt;"BR",SUMPRODUCT(Mecze[[#This Row],[/PR:90]:[/BR:90]],Brudnopis!$E$26:$J$26),0)</f>
        <v>0.24242424242424243</v>
      </c>
      <c r="W1108" s="44">
        <f>IF(Mecze[[#This Row],[Role]]&lt;&gt;"BR",SUMPRODUCT(Mecze[[#This Row],[/PR:90]:[/BR:90]],Brudnopis!$E$27:$J$27),0)</f>
        <v>0.25</v>
      </c>
      <c r="X1108" s="44">
        <f>IF(Mecze[[#This Row],[Role]]&lt;&gt;"BR",SUMPRODUCT(Mecze[[#This Row],[/PR:90]:[/BR:90]],Brudnopis!$E$28:$J$28),0)</f>
        <v>9.0909090909090912E-2</v>
      </c>
      <c r="Y1108" s="35">
        <f>IF(Mecze[[#This Row],[Role]]="BR",Mecze[[#This Row],[/OB:90]]+Mecze[[#This Row],[/PC:90]],SUM(Mecze[[#This Row],[/PR:90]:[/BR:90]]))</f>
        <v>0.24242424242424243</v>
      </c>
      <c r="Z1108" s="35">
        <f>IF(Mecze[[#This Row],[KC]]=0,SUM(Mecze[[#This Row],[/BRI]:[/NPI]]),SUM(Mecze[[#This Row],[/BRI]:[/NPI]])*0.6)</f>
        <v>1.1237373737373737</v>
      </c>
      <c r="AA1108" s="10">
        <f>IFERROR(Mecze[[#This Row],[BR]]/Mecze[[#This Row],[ST]],0)</f>
        <v>0</v>
      </c>
      <c r="AB1108">
        <f>ROUND(Mecze[[#This Row],[PD]]*Mecze[[#This Row],[%PC]],0)</f>
        <v>9</v>
      </c>
      <c r="AC1108">
        <f>ROUND(Mecze[[#This Row],[OD]]*Mecze[[#This Row],[%OU]],0)</f>
        <v>2</v>
      </c>
      <c r="AD1108" s="36" t="s">
        <v>47</v>
      </c>
      <c r="AE1108" s="36">
        <v>61</v>
      </c>
      <c r="AF1108" s="71">
        <v>5.44</v>
      </c>
      <c r="AG1108" s="37">
        <v>0</v>
      </c>
      <c r="AH1108" s="37">
        <v>0</v>
      </c>
      <c r="AI1108" s="37">
        <v>99</v>
      </c>
      <c r="AJ1108" s="37">
        <v>5</v>
      </c>
      <c r="AK1108" s="37" t="str">
        <f>VLOOKUP(Mecze[[#This Row],[Match ID]],Meczusie[Mecz]:Meczusie[RodzajMeczu],2,FALSE)</f>
        <v>Liga</v>
      </c>
    </row>
    <row r="1109" spans="1:37" x14ac:dyDescent="0.25">
      <c r="A1109" s="76">
        <v>4</v>
      </c>
      <c r="B1109" s="3" t="s">
        <v>346</v>
      </c>
      <c r="C1109" s="2" t="s">
        <v>157</v>
      </c>
      <c r="D1109" s="1">
        <v>0</v>
      </c>
      <c r="E1109" s="1">
        <v>2</v>
      </c>
      <c r="F1109" s="1">
        <v>2</v>
      </c>
      <c r="G1109" s="1">
        <v>21</v>
      </c>
      <c r="H1109" s="4">
        <v>0.62</v>
      </c>
      <c r="I1109" s="1">
        <v>7</v>
      </c>
      <c r="J1109" s="4">
        <v>0.56999999999999995</v>
      </c>
      <c r="K1109" s="1">
        <v>0</v>
      </c>
      <c r="L1109" s="1">
        <v>14</v>
      </c>
      <c r="M1109" s="32">
        <f>IF(Mecze[[#This Row],[PR]]=0,0,Mecze[[#This Row],[PR]]/Mecze[[#This Row],[CZAS]])</f>
        <v>0.14141414141414141</v>
      </c>
      <c r="N1109" s="32">
        <f>IF(Mecze[[#This Row],[OU]]=0,0,Mecze[[#This Row],[OU]]/Mecze[[#This Row],[CZAS]])</f>
        <v>4.0404040404040407E-2</v>
      </c>
      <c r="O1109" s="32">
        <f>IF(Mecze[[#This Row],[PC]]=0,0,Mecze[[#This Row],[PC]]/Mecze[[#This Row],[CZAS]])</f>
        <v>0.13131313131313133</v>
      </c>
      <c r="P1109" s="32">
        <f>IF(Mecze[[#This Row],[SC]]=0,0,Mecze[[#This Row],[SC]]/Mecze[[#This Row],[CZAS]])</f>
        <v>2.0202020202020204E-2</v>
      </c>
      <c r="Q1109" s="32">
        <f>IF(Mecze[[#This Row],[OB]]=0,0,Mecze[[#This Row],[OB]]/Mecze[[#This Row],[CZAS]])</f>
        <v>0</v>
      </c>
      <c r="R1109" s="32">
        <f>IF(Mecze[[#This Row],[BR]]=0,0,Mecze[[#This Row],[BR]]/Mecze[[#This Row],[CZAS]])</f>
        <v>0</v>
      </c>
      <c r="S1109" s="44">
        <f>IF(Mecze[[#This Row],[Role]]="BR",SUMPRODUCT(Mecze[[#This Row],[/PR:90]:[/BR:90]],Brudnopis!$E$23:$J$23),0)</f>
        <v>0</v>
      </c>
      <c r="T1109" s="44">
        <f>IF(Mecze[[#This Row],[Role]]&lt;&gt;"BR",SUMPRODUCT(Mecze[[#This Row],[/PR:90]:[/BR:90]],Brudnopis!$E$24:$J$24),0)</f>
        <v>0.35353535353535359</v>
      </c>
      <c r="U1109" s="44">
        <f>IF(Mecze[[#This Row],[Role]]&lt;&gt;"BR",SUMPRODUCT(Mecze[[#This Row],[/PR:90]:[/BR:90]],Brudnopis!$E$25:$J$25),0)</f>
        <v>0.39898989898989901</v>
      </c>
      <c r="V1109" s="44">
        <f>IF(Mecze[[#This Row],[Role]]&lt;&gt;"BR",SUMPRODUCT(Mecze[[#This Row],[/PR:90]:[/BR:90]],Brudnopis!$E$26:$J$26),0)</f>
        <v>0.33333333333333337</v>
      </c>
      <c r="W1109" s="44">
        <f>IF(Mecze[[#This Row],[Role]]&lt;&gt;"BR",SUMPRODUCT(Mecze[[#This Row],[/PR:90]:[/BR:90]],Brudnopis!$E$27:$J$27),0)</f>
        <v>0.35353535353535359</v>
      </c>
      <c r="X1109" s="44">
        <f>IF(Mecze[[#This Row],[Role]]&lt;&gt;"BR",SUMPRODUCT(Mecze[[#This Row],[/PR:90]:[/BR:90]],Brudnopis!$E$28:$J$28),0)</f>
        <v>0.17171717171717174</v>
      </c>
      <c r="Y1109" s="35">
        <f>IF(Mecze[[#This Row],[Role]]="BR",Mecze[[#This Row],[/OB:90]]+Mecze[[#This Row],[/PC:90]],SUM(Mecze[[#This Row],[/PR:90]:[/BR:90]]))</f>
        <v>0.33333333333333337</v>
      </c>
      <c r="Z1109" s="35">
        <f>IF(Mecze[[#This Row],[KC]]=0,SUM(Mecze[[#This Row],[/BRI]:[/NPI]]),SUM(Mecze[[#This Row],[/BRI]:[/NPI]])*0.6)</f>
        <v>1.6111111111111114</v>
      </c>
      <c r="AA1109" s="10">
        <f>IFERROR(Mecze[[#This Row],[BR]]/Mecze[[#This Row],[ST]],0)</f>
        <v>0</v>
      </c>
      <c r="AB1109">
        <f>ROUND(Mecze[[#This Row],[PD]]*Mecze[[#This Row],[%PC]],0)</f>
        <v>13</v>
      </c>
      <c r="AC1109">
        <f>ROUND(Mecze[[#This Row],[OD]]*Mecze[[#This Row],[%OU]],0)</f>
        <v>4</v>
      </c>
      <c r="AD1109" s="36" t="s">
        <v>47</v>
      </c>
      <c r="AE1109" s="36">
        <v>61</v>
      </c>
      <c r="AF1109" s="71">
        <v>5.65</v>
      </c>
      <c r="AG1109" s="37">
        <v>0</v>
      </c>
      <c r="AH1109" s="37">
        <v>0</v>
      </c>
      <c r="AI1109" s="37">
        <v>99</v>
      </c>
      <c r="AJ1109" s="37">
        <v>5</v>
      </c>
      <c r="AK1109" s="37" t="str">
        <f>VLOOKUP(Mecze[[#This Row],[Match ID]],Meczusie[Mecz]:Meczusie[RodzajMeczu],2,FALSE)</f>
        <v>Liga</v>
      </c>
    </row>
    <row r="1110" spans="1:37" x14ac:dyDescent="0.25">
      <c r="A1110" s="76">
        <v>5</v>
      </c>
      <c r="B1110" s="3" t="s">
        <v>347</v>
      </c>
      <c r="C1110" s="2" t="s">
        <v>157</v>
      </c>
      <c r="D1110" s="1">
        <v>0</v>
      </c>
      <c r="E1110" s="1">
        <v>0</v>
      </c>
      <c r="F1110" s="1">
        <v>0</v>
      </c>
      <c r="G1110" s="1">
        <v>7</v>
      </c>
      <c r="H1110" s="4">
        <v>0.86</v>
      </c>
      <c r="I1110" s="1">
        <v>4</v>
      </c>
      <c r="J1110" s="4">
        <v>0.5</v>
      </c>
      <c r="K1110" s="1">
        <v>0</v>
      </c>
      <c r="L1110" s="1">
        <v>6</v>
      </c>
      <c r="M1110" s="32">
        <f>IF(Mecze[[#This Row],[PR]]=0,0,Mecze[[#This Row],[PR]]/Mecze[[#This Row],[CZAS]])</f>
        <v>6.0606060606060608E-2</v>
      </c>
      <c r="N1110" s="32">
        <f>IF(Mecze[[#This Row],[OU]]=0,0,Mecze[[#This Row],[OU]]/Mecze[[#This Row],[CZAS]])</f>
        <v>2.0202020202020204E-2</v>
      </c>
      <c r="O1110" s="32">
        <f>IF(Mecze[[#This Row],[PC]]=0,0,Mecze[[#This Row],[PC]]/Mecze[[#This Row],[CZAS]])</f>
        <v>6.0606060606060608E-2</v>
      </c>
      <c r="P1110" s="32">
        <f>IF(Mecze[[#This Row],[SC]]=0,0,Mecze[[#This Row],[SC]]/Mecze[[#This Row],[CZAS]])</f>
        <v>0</v>
      </c>
      <c r="Q1110" s="32">
        <f>IF(Mecze[[#This Row],[OB]]=0,0,Mecze[[#This Row],[OB]]/Mecze[[#This Row],[CZAS]])</f>
        <v>0</v>
      </c>
      <c r="R1110" s="32">
        <f>IF(Mecze[[#This Row],[BR]]=0,0,Mecze[[#This Row],[BR]]/Mecze[[#This Row],[CZAS]])</f>
        <v>0</v>
      </c>
      <c r="S1110" s="44">
        <f>IF(Mecze[[#This Row],[Role]]="BR",SUMPRODUCT(Mecze[[#This Row],[/PR:90]:[/BR:90]],Brudnopis!$E$23:$J$23),0)</f>
        <v>0</v>
      </c>
      <c r="T1110" s="44">
        <f>IF(Mecze[[#This Row],[Role]]&lt;&gt;"BR",SUMPRODUCT(Mecze[[#This Row],[/PR:90]:[/BR:90]],Brudnopis!$E$24:$J$24),0)</f>
        <v>0.15151515151515152</v>
      </c>
      <c r="U1110" s="44">
        <f>IF(Mecze[[#This Row],[Role]]&lt;&gt;"BR",SUMPRODUCT(Mecze[[#This Row],[/PR:90]:[/BR:90]],Brudnopis!$E$25:$J$25),0)</f>
        <v>0.17171717171717171</v>
      </c>
      <c r="V1110" s="44">
        <f>IF(Mecze[[#This Row],[Role]]&lt;&gt;"BR",SUMPRODUCT(Mecze[[#This Row],[/PR:90]:[/BR:90]],Brudnopis!$E$26:$J$26),0)</f>
        <v>0.14141414141414144</v>
      </c>
      <c r="W1110" s="44">
        <f>IF(Mecze[[#This Row],[Role]]&lt;&gt;"BR",SUMPRODUCT(Mecze[[#This Row],[/PR:90]:[/BR:90]],Brudnopis!$E$27:$J$27),0)</f>
        <v>0.15151515151515152</v>
      </c>
      <c r="X1110" s="44">
        <f>IF(Mecze[[#This Row],[Role]]&lt;&gt;"BR",SUMPRODUCT(Mecze[[#This Row],[/PR:90]:[/BR:90]],Brudnopis!$E$28:$J$28),0)</f>
        <v>6.0606060606060608E-2</v>
      </c>
      <c r="Y1110" s="35">
        <f>IF(Mecze[[#This Row],[Role]]="BR",Mecze[[#This Row],[/OB:90]]+Mecze[[#This Row],[/PC:90]],SUM(Mecze[[#This Row],[/PR:90]:[/BR:90]]))</f>
        <v>0.14141414141414144</v>
      </c>
      <c r="Z1110" s="35">
        <f>IF(Mecze[[#This Row],[KC]]=0,SUM(Mecze[[#This Row],[/BRI]:[/NPI]]),SUM(Mecze[[#This Row],[/BRI]:[/NPI]])*0.6)</f>
        <v>0.67676767676767668</v>
      </c>
      <c r="AA1110" s="10">
        <f>IFERROR(Mecze[[#This Row],[BR]]/Mecze[[#This Row],[ST]],0)</f>
        <v>0</v>
      </c>
      <c r="AB1110">
        <f>ROUND(Mecze[[#This Row],[PD]]*Mecze[[#This Row],[%PC]],0)</f>
        <v>6</v>
      </c>
      <c r="AC1110">
        <f>ROUND(Mecze[[#This Row],[OD]]*Mecze[[#This Row],[%OU]],0)</f>
        <v>2</v>
      </c>
      <c r="AD1110" s="36" t="s">
        <v>175</v>
      </c>
      <c r="AE1110" s="36">
        <v>61</v>
      </c>
      <c r="AF1110" s="71">
        <v>3.97</v>
      </c>
      <c r="AG1110" s="37">
        <v>0</v>
      </c>
      <c r="AH1110" s="37">
        <v>0</v>
      </c>
      <c r="AI1110" s="37">
        <v>99</v>
      </c>
      <c r="AJ1110" s="37">
        <v>5</v>
      </c>
      <c r="AK1110" s="37" t="str">
        <f>VLOOKUP(Mecze[[#This Row],[Match ID]],Meczusie[Mecz]:Meczusie[RodzajMeczu],2,FALSE)</f>
        <v>Liga</v>
      </c>
    </row>
    <row r="1111" spans="1:37" x14ac:dyDescent="0.25">
      <c r="A1111" s="76">
        <v>3</v>
      </c>
      <c r="B1111" s="3" t="s">
        <v>348</v>
      </c>
      <c r="C1111" s="2" t="s">
        <v>157</v>
      </c>
      <c r="D1111" s="1">
        <v>0</v>
      </c>
      <c r="E1111" s="1">
        <v>0</v>
      </c>
      <c r="F1111" s="1">
        <v>0</v>
      </c>
      <c r="G1111" s="1">
        <v>1</v>
      </c>
      <c r="H1111" s="4">
        <v>1</v>
      </c>
      <c r="I1111" s="1">
        <v>3</v>
      </c>
      <c r="J1111" s="4">
        <v>0.33</v>
      </c>
      <c r="K1111" s="1">
        <v>0</v>
      </c>
      <c r="L1111" s="1">
        <v>1</v>
      </c>
      <c r="M1111" s="32">
        <f>IF(Mecze[[#This Row],[PR]]=0,0,Mecze[[#This Row],[PR]]/Mecze[[#This Row],[CZAS]])</f>
        <v>1.0101010101010102E-2</v>
      </c>
      <c r="N1111" s="32">
        <f>IF(Mecze[[#This Row],[OU]]=0,0,Mecze[[#This Row],[OU]]/Mecze[[#This Row],[CZAS]])</f>
        <v>1.0101010101010102E-2</v>
      </c>
      <c r="O1111" s="32">
        <f>IF(Mecze[[#This Row],[PC]]=0,0,Mecze[[#This Row],[PC]]/Mecze[[#This Row],[CZAS]])</f>
        <v>1.0101010101010102E-2</v>
      </c>
      <c r="P1111" s="32">
        <f>IF(Mecze[[#This Row],[SC]]=0,0,Mecze[[#This Row],[SC]]/Mecze[[#This Row],[CZAS]])</f>
        <v>0</v>
      </c>
      <c r="Q1111" s="32">
        <f>IF(Mecze[[#This Row],[OB]]=0,0,Mecze[[#This Row],[OB]]/Mecze[[#This Row],[CZAS]])</f>
        <v>0</v>
      </c>
      <c r="R1111" s="32">
        <f>IF(Mecze[[#This Row],[BR]]=0,0,Mecze[[#This Row],[BR]]/Mecze[[#This Row],[CZAS]])</f>
        <v>0</v>
      </c>
      <c r="S1111" s="44">
        <f>IF(Mecze[[#This Row],[Role]]="BR",SUMPRODUCT(Mecze[[#This Row],[/PR:90]:[/BR:90]],Brudnopis!$E$23:$J$23),0)</f>
        <v>0</v>
      </c>
      <c r="T1111" s="44">
        <f>IF(Mecze[[#This Row],[Role]]&lt;&gt;"BR",SUMPRODUCT(Mecze[[#This Row],[/PR:90]:[/BR:90]],Brudnopis!$E$24:$J$24),0)</f>
        <v>3.5353535353535359E-2</v>
      </c>
      <c r="U1111" s="44">
        <f>IF(Mecze[[#This Row],[Role]]&lt;&gt;"BR",SUMPRODUCT(Mecze[[#This Row],[/PR:90]:[/BR:90]],Brudnopis!$E$25:$J$25),0)</f>
        <v>3.5353535353535359E-2</v>
      </c>
      <c r="V1111" s="44">
        <f>IF(Mecze[[#This Row],[Role]]&lt;&gt;"BR",SUMPRODUCT(Mecze[[#This Row],[/PR:90]:[/BR:90]],Brudnopis!$E$26:$J$26),0)</f>
        <v>3.0303030303030304E-2</v>
      </c>
      <c r="W1111" s="44">
        <f>IF(Mecze[[#This Row],[Role]]&lt;&gt;"BR",SUMPRODUCT(Mecze[[#This Row],[/PR:90]:[/BR:90]],Brudnopis!$E$27:$J$27),0)</f>
        <v>3.0303030303030304E-2</v>
      </c>
      <c r="X1111" s="44">
        <f>IF(Mecze[[#This Row],[Role]]&lt;&gt;"BR",SUMPRODUCT(Mecze[[#This Row],[/PR:90]:[/BR:90]],Brudnopis!$E$28:$J$28),0)</f>
        <v>1.0101010101010102E-2</v>
      </c>
      <c r="Y1111" s="35">
        <f>IF(Mecze[[#This Row],[Role]]="BR",Mecze[[#This Row],[/OB:90]]+Mecze[[#This Row],[/PC:90]],SUM(Mecze[[#This Row],[/PR:90]:[/BR:90]]))</f>
        <v>3.0303030303030304E-2</v>
      </c>
      <c r="Z1111" s="35">
        <f>IF(Mecze[[#This Row],[KC]]=0,SUM(Mecze[[#This Row],[/BRI]:[/NPI]]),SUM(Mecze[[#This Row],[/BRI]:[/NPI]])*0.6)</f>
        <v>0.14141414141414144</v>
      </c>
      <c r="AA1111" s="10">
        <f>IFERROR(Mecze[[#This Row],[BR]]/Mecze[[#This Row],[ST]],0)</f>
        <v>0</v>
      </c>
      <c r="AB1111">
        <f>ROUND(Mecze[[#This Row],[PD]]*Mecze[[#This Row],[%PC]],0)</f>
        <v>1</v>
      </c>
      <c r="AC1111">
        <f>ROUND(Mecze[[#This Row],[OD]]*Mecze[[#This Row],[%OU]],0)</f>
        <v>1</v>
      </c>
      <c r="AD1111" s="36" t="s">
        <v>174</v>
      </c>
      <c r="AE1111" s="36">
        <v>61</v>
      </c>
      <c r="AF1111" s="71">
        <v>1.8</v>
      </c>
      <c r="AG1111" s="37">
        <v>0</v>
      </c>
      <c r="AH1111" s="37">
        <v>0</v>
      </c>
      <c r="AI1111" s="37">
        <v>99</v>
      </c>
      <c r="AJ1111" s="37">
        <v>5</v>
      </c>
      <c r="AK1111" s="37" t="str">
        <f>VLOOKUP(Mecze[[#This Row],[Match ID]],Meczusie[Mecz]:Meczusie[RodzajMeczu],2,FALSE)</f>
        <v>Liga</v>
      </c>
    </row>
    <row r="1112" spans="1:37" x14ac:dyDescent="0.25">
      <c r="A1112" s="76">
        <v>6</v>
      </c>
      <c r="B1112" s="3" t="s">
        <v>349</v>
      </c>
      <c r="C1112" s="2" t="s">
        <v>160</v>
      </c>
      <c r="D1112" s="1">
        <v>0</v>
      </c>
      <c r="E1112" s="1">
        <v>0</v>
      </c>
      <c r="F1112" s="1">
        <v>0</v>
      </c>
      <c r="G1112" s="1">
        <v>15</v>
      </c>
      <c r="H1112" s="4">
        <v>0.67</v>
      </c>
      <c r="I1112" s="1">
        <v>8</v>
      </c>
      <c r="J1112" s="4">
        <v>0.5</v>
      </c>
      <c r="K1112" s="1">
        <v>0</v>
      </c>
      <c r="L1112" s="1">
        <v>5</v>
      </c>
      <c r="M1112" s="32">
        <f>IF(Mecze[[#This Row],[PR]]=0,0,Mecze[[#This Row],[PR]]/Mecze[[#This Row],[CZAS]])</f>
        <v>5.0505050505050504E-2</v>
      </c>
      <c r="N1112" s="32">
        <f>IF(Mecze[[#This Row],[OU]]=0,0,Mecze[[#This Row],[OU]]/Mecze[[#This Row],[CZAS]])</f>
        <v>4.0404040404040407E-2</v>
      </c>
      <c r="O1112" s="32">
        <f>IF(Mecze[[#This Row],[PC]]=0,0,Mecze[[#This Row],[PC]]/Mecze[[#This Row],[CZAS]])</f>
        <v>0.10101010101010101</v>
      </c>
      <c r="P1112" s="32">
        <f>IF(Mecze[[#This Row],[SC]]=0,0,Mecze[[#This Row],[SC]]/Mecze[[#This Row],[CZAS]])</f>
        <v>0</v>
      </c>
      <c r="Q1112" s="32">
        <f>IF(Mecze[[#This Row],[OB]]=0,0,Mecze[[#This Row],[OB]]/Mecze[[#This Row],[CZAS]])</f>
        <v>0</v>
      </c>
      <c r="R1112" s="32">
        <f>IF(Mecze[[#This Row],[BR]]=0,0,Mecze[[#This Row],[BR]]/Mecze[[#This Row],[CZAS]])</f>
        <v>0</v>
      </c>
      <c r="S1112" s="44">
        <f>IF(Mecze[[#This Row],[Role]]="BR",SUMPRODUCT(Mecze[[#This Row],[/PR:90]:[/BR:90]],Brudnopis!$E$23:$J$23),0)</f>
        <v>0</v>
      </c>
      <c r="T1112" s="44">
        <f>IF(Mecze[[#This Row],[Role]]&lt;&gt;"BR",SUMPRODUCT(Mecze[[#This Row],[/PR:90]:[/BR:90]],Brudnopis!$E$24:$J$24),0)</f>
        <v>0.2121212121212121</v>
      </c>
      <c r="U1112" s="44">
        <f>IF(Mecze[[#This Row],[Role]]&lt;&gt;"BR",SUMPRODUCT(Mecze[[#This Row],[/PR:90]:[/BR:90]],Brudnopis!$E$25:$J$25),0)</f>
        <v>0.24242424242424243</v>
      </c>
      <c r="V1112" s="44">
        <f>IF(Mecze[[#This Row],[Role]]&lt;&gt;"BR",SUMPRODUCT(Mecze[[#This Row],[/PR:90]:[/BR:90]],Brudnopis!$E$26:$J$26),0)</f>
        <v>0.19191919191919193</v>
      </c>
      <c r="W1112" s="44">
        <f>IF(Mecze[[#This Row],[Role]]&lt;&gt;"BR",SUMPRODUCT(Mecze[[#This Row],[/PR:90]:[/BR:90]],Brudnopis!$E$27:$J$27),0)</f>
        <v>0.2196969696969697</v>
      </c>
      <c r="X1112" s="44">
        <f>IF(Mecze[[#This Row],[Role]]&lt;&gt;"BR",SUMPRODUCT(Mecze[[#This Row],[/PR:90]:[/BR:90]],Brudnopis!$E$28:$J$28),0)</f>
        <v>0.10101010101010101</v>
      </c>
      <c r="Y1112" s="35">
        <f>IF(Mecze[[#This Row],[Role]]="BR",Mecze[[#This Row],[/OB:90]]+Mecze[[#This Row],[/PC:90]],SUM(Mecze[[#This Row],[/PR:90]:[/BR:90]]))</f>
        <v>0.19191919191919193</v>
      </c>
      <c r="Z1112" s="35">
        <f>IF(Mecze[[#This Row],[KC]]=0,SUM(Mecze[[#This Row],[/BRI]:[/NPI]]),SUM(Mecze[[#This Row],[/BRI]:[/NPI]])*0.6)</f>
        <v>0.96717171717171713</v>
      </c>
      <c r="AA1112" s="10">
        <f>IFERROR(Mecze[[#This Row],[BR]]/Mecze[[#This Row],[ST]],0)</f>
        <v>0</v>
      </c>
      <c r="AB1112">
        <f>ROUND(Mecze[[#This Row],[PD]]*Mecze[[#This Row],[%PC]],0)</f>
        <v>10</v>
      </c>
      <c r="AC1112">
        <f>ROUND(Mecze[[#This Row],[OD]]*Mecze[[#This Row],[%OU]],0)</f>
        <v>4</v>
      </c>
      <c r="AD1112" s="36" t="s">
        <v>41</v>
      </c>
      <c r="AE1112" s="36">
        <v>61</v>
      </c>
      <c r="AF1112" s="71">
        <v>4.96</v>
      </c>
      <c r="AG1112" s="37">
        <v>0</v>
      </c>
      <c r="AH1112" s="37">
        <v>0</v>
      </c>
      <c r="AI1112" s="37">
        <v>99</v>
      </c>
      <c r="AJ1112" s="37">
        <v>5</v>
      </c>
      <c r="AK1112" s="37" t="str">
        <f>VLOOKUP(Mecze[[#This Row],[Match ID]],Meczusie[Mecz]:Meczusie[RodzajMeczu],2,FALSE)</f>
        <v>Liga</v>
      </c>
    </row>
    <row r="1113" spans="1:37" x14ac:dyDescent="0.25">
      <c r="A1113" s="76">
        <v>7</v>
      </c>
      <c r="B1113" s="3" t="s">
        <v>350</v>
      </c>
      <c r="C1113" s="2" t="s">
        <v>160</v>
      </c>
      <c r="D1113" s="1">
        <v>0</v>
      </c>
      <c r="E1113" s="1">
        <v>3</v>
      </c>
      <c r="F1113" s="1">
        <v>3</v>
      </c>
      <c r="G1113" s="1">
        <v>16</v>
      </c>
      <c r="H1113" s="4">
        <v>0.69</v>
      </c>
      <c r="I1113" s="1">
        <v>6</v>
      </c>
      <c r="J1113" s="4">
        <v>0.5</v>
      </c>
      <c r="K1113" s="1">
        <v>0</v>
      </c>
      <c r="L1113" s="1">
        <v>3</v>
      </c>
      <c r="M1113" s="32">
        <f>IF(Mecze[[#This Row],[PR]]=0,0,Mecze[[#This Row],[PR]]/Mecze[[#This Row],[CZAS]])</f>
        <v>3.0303030303030304E-2</v>
      </c>
      <c r="N1113" s="32">
        <f>IF(Mecze[[#This Row],[OU]]=0,0,Mecze[[#This Row],[OU]]/Mecze[[#This Row],[CZAS]])</f>
        <v>3.0303030303030304E-2</v>
      </c>
      <c r="O1113" s="32">
        <f>IF(Mecze[[#This Row],[PC]]=0,0,Mecze[[#This Row],[PC]]/Mecze[[#This Row],[CZAS]])</f>
        <v>0.1111111111111111</v>
      </c>
      <c r="P1113" s="32">
        <f>IF(Mecze[[#This Row],[SC]]=0,0,Mecze[[#This Row],[SC]]/Mecze[[#This Row],[CZAS]])</f>
        <v>3.0303030303030304E-2</v>
      </c>
      <c r="Q1113" s="32">
        <f>IF(Mecze[[#This Row],[OB]]=0,0,Mecze[[#This Row],[OB]]/Mecze[[#This Row],[CZAS]])</f>
        <v>0</v>
      </c>
      <c r="R1113" s="32">
        <f>IF(Mecze[[#This Row],[BR]]=0,0,Mecze[[#This Row],[BR]]/Mecze[[#This Row],[CZAS]])</f>
        <v>0</v>
      </c>
      <c r="S1113" s="44">
        <f>IF(Mecze[[#This Row],[Role]]="BR",SUMPRODUCT(Mecze[[#This Row],[/PR:90]:[/BR:90]],Brudnopis!$E$23:$J$23),0)</f>
        <v>0</v>
      </c>
      <c r="T1113" s="44">
        <f>IF(Mecze[[#This Row],[Role]]&lt;&gt;"BR",SUMPRODUCT(Mecze[[#This Row],[/PR:90]:[/BR:90]],Brudnopis!$E$24:$J$24),0)</f>
        <v>0.21717171717171715</v>
      </c>
      <c r="U1113" s="44">
        <f>IF(Mecze[[#This Row],[Role]]&lt;&gt;"BR",SUMPRODUCT(Mecze[[#This Row],[/PR:90]:[/BR:90]],Brudnopis!$E$25:$J$25),0)</f>
        <v>0.25757575757575757</v>
      </c>
      <c r="V1113" s="44">
        <f>IF(Mecze[[#This Row],[Role]]&lt;&gt;"BR",SUMPRODUCT(Mecze[[#This Row],[/PR:90]:[/BR:90]],Brudnopis!$E$26:$J$26),0)</f>
        <v>0.20202020202020202</v>
      </c>
      <c r="W1113" s="44">
        <f>IF(Mecze[[#This Row],[Role]]&lt;&gt;"BR",SUMPRODUCT(Mecze[[#This Row],[/PR:90]:[/BR:90]],Brudnopis!$E$27:$J$27),0)</f>
        <v>0.2424242424242424</v>
      </c>
      <c r="X1113" s="44">
        <f>IF(Mecze[[#This Row],[Role]]&lt;&gt;"BR",SUMPRODUCT(Mecze[[#This Row],[/PR:90]:[/BR:90]],Brudnopis!$E$28:$J$28),0)</f>
        <v>0.17171717171717171</v>
      </c>
      <c r="Y1113" s="35">
        <f>IF(Mecze[[#This Row],[Role]]="BR",Mecze[[#This Row],[/OB:90]]+Mecze[[#This Row],[/PC:90]],SUM(Mecze[[#This Row],[/PR:90]:[/BR:90]]))</f>
        <v>0.20202020202020202</v>
      </c>
      <c r="Z1113" s="35">
        <f>IF(Mecze[[#This Row],[KC]]=0,SUM(Mecze[[#This Row],[/BRI]:[/NPI]]),SUM(Mecze[[#This Row],[/BRI]:[/NPI]])*0.6)</f>
        <v>1.0909090909090908</v>
      </c>
      <c r="AA1113" s="10">
        <f>IFERROR(Mecze[[#This Row],[BR]]/Mecze[[#This Row],[ST]],0)</f>
        <v>0</v>
      </c>
      <c r="AB1113">
        <f>ROUND(Mecze[[#This Row],[PD]]*Mecze[[#This Row],[%PC]],0)</f>
        <v>11</v>
      </c>
      <c r="AC1113">
        <f>ROUND(Mecze[[#This Row],[OD]]*Mecze[[#This Row],[%OU]],0)</f>
        <v>3</v>
      </c>
      <c r="AD1113" s="36" t="s">
        <v>67</v>
      </c>
      <c r="AE1113" s="36">
        <v>61</v>
      </c>
      <c r="AF1113" s="71">
        <v>5.23</v>
      </c>
      <c r="AG1113" s="37">
        <v>0</v>
      </c>
      <c r="AH1113" s="37">
        <v>0</v>
      </c>
      <c r="AI1113" s="37">
        <v>99</v>
      </c>
      <c r="AJ1113" s="37">
        <v>5</v>
      </c>
      <c r="AK1113" s="37" t="str">
        <f>VLOOKUP(Mecze[[#This Row],[Match ID]],Meczusie[Mecz]:Meczusie[RodzajMeczu],2,FALSE)</f>
        <v>Liga</v>
      </c>
    </row>
    <row r="1114" spans="1:37" x14ac:dyDescent="0.25">
      <c r="A1114" s="76">
        <v>8</v>
      </c>
      <c r="B1114" s="3" t="s">
        <v>351</v>
      </c>
      <c r="C1114" s="2" t="s">
        <v>160</v>
      </c>
      <c r="D1114" s="1">
        <v>0</v>
      </c>
      <c r="E1114" s="1">
        <v>1</v>
      </c>
      <c r="F1114" s="1">
        <v>1</v>
      </c>
      <c r="G1114" s="1">
        <v>12</v>
      </c>
      <c r="H1114" s="4">
        <v>0.57999999999999996</v>
      </c>
      <c r="I1114" s="1">
        <v>3</v>
      </c>
      <c r="J1114" s="4">
        <v>0</v>
      </c>
      <c r="K1114" s="1">
        <v>0</v>
      </c>
      <c r="L1114" s="1">
        <v>4</v>
      </c>
      <c r="M1114" s="32">
        <f>IF(Mecze[[#This Row],[PR]]=0,0,Mecze[[#This Row],[PR]]/Mecze[[#This Row],[CZAS]])</f>
        <v>4.0404040404040407E-2</v>
      </c>
      <c r="N1114" s="32">
        <f>IF(Mecze[[#This Row],[OU]]=0,0,Mecze[[#This Row],[OU]]/Mecze[[#This Row],[CZAS]])</f>
        <v>0</v>
      </c>
      <c r="O1114" s="32">
        <f>IF(Mecze[[#This Row],[PC]]=0,0,Mecze[[#This Row],[PC]]/Mecze[[#This Row],[CZAS]])</f>
        <v>7.0707070707070704E-2</v>
      </c>
      <c r="P1114" s="32">
        <f>IF(Mecze[[#This Row],[SC]]=0,0,Mecze[[#This Row],[SC]]/Mecze[[#This Row],[CZAS]])</f>
        <v>1.0101010101010102E-2</v>
      </c>
      <c r="Q1114" s="32">
        <f>IF(Mecze[[#This Row],[OB]]=0,0,Mecze[[#This Row],[OB]]/Mecze[[#This Row],[CZAS]])</f>
        <v>0</v>
      </c>
      <c r="R1114" s="32">
        <f>IF(Mecze[[#This Row],[BR]]=0,0,Mecze[[#This Row],[BR]]/Mecze[[#This Row],[CZAS]])</f>
        <v>0</v>
      </c>
      <c r="S1114" s="44">
        <f>IF(Mecze[[#This Row],[Role]]="BR",SUMPRODUCT(Mecze[[#This Row],[/PR:90]:[/BR:90]],Brudnopis!$E$23:$J$23),0)</f>
        <v>0</v>
      </c>
      <c r="T1114" s="44">
        <f>IF(Mecze[[#This Row],[Role]]&lt;&gt;"BR",SUMPRODUCT(Mecze[[#This Row],[/PR:90]:[/BR:90]],Brudnopis!$E$24:$J$24),0)</f>
        <v>0.1212121212121212</v>
      </c>
      <c r="U1114" s="44">
        <f>IF(Mecze[[#This Row],[Role]]&lt;&gt;"BR",SUMPRODUCT(Mecze[[#This Row],[/PR:90]:[/BR:90]],Brudnopis!$E$25:$J$25),0)</f>
        <v>0.15656565656565657</v>
      </c>
      <c r="V1114" s="44">
        <f>IF(Mecze[[#This Row],[Role]]&lt;&gt;"BR",SUMPRODUCT(Mecze[[#This Row],[/PR:90]:[/BR:90]],Brudnopis!$E$26:$J$26),0)</f>
        <v>0.1212121212121212</v>
      </c>
      <c r="W1114" s="44">
        <f>IF(Mecze[[#This Row],[Role]]&lt;&gt;"BR",SUMPRODUCT(Mecze[[#This Row],[/PR:90]:[/BR:90]],Brudnopis!$E$27:$J$27),0)</f>
        <v>0.14646464646464646</v>
      </c>
      <c r="X1114" s="44">
        <f>IF(Mecze[[#This Row],[Role]]&lt;&gt;"BR",SUMPRODUCT(Mecze[[#This Row],[/PR:90]:[/BR:90]],Brudnopis!$E$28:$J$28),0)</f>
        <v>9.0909090909090912E-2</v>
      </c>
      <c r="Y1114" s="35">
        <f>IF(Mecze[[#This Row],[Role]]="BR",Mecze[[#This Row],[/OB:90]]+Mecze[[#This Row],[/PC:90]],SUM(Mecze[[#This Row],[/PR:90]:[/BR:90]]))</f>
        <v>0.1212121212121212</v>
      </c>
      <c r="Z1114" s="35">
        <f>IF(Mecze[[#This Row],[KC]]=0,SUM(Mecze[[#This Row],[/BRI]:[/NPI]]),SUM(Mecze[[#This Row],[/BRI]:[/NPI]])*0.6)</f>
        <v>0.63636363636363635</v>
      </c>
      <c r="AA1114" s="10">
        <f>IFERROR(Mecze[[#This Row],[BR]]/Mecze[[#This Row],[ST]],0)</f>
        <v>0</v>
      </c>
      <c r="AB1114">
        <f>ROUND(Mecze[[#This Row],[PD]]*Mecze[[#This Row],[%PC]],0)</f>
        <v>7</v>
      </c>
      <c r="AC1114">
        <f>ROUND(Mecze[[#This Row],[OD]]*Mecze[[#This Row],[%OU]],0)</f>
        <v>0</v>
      </c>
      <c r="AD1114" s="36" t="s">
        <v>67</v>
      </c>
      <c r="AE1114" s="36">
        <v>61</v>
      </c>
      <c r="AF1114" s="71">
        <v>4.9800000000000004</v>
      </c>
      <c r="AG1114" s="37">
        <v>0</v>
      </c>
      <c r="AH1114" s="37">
        <v>0</v>
      </c>
      <c r="AI1114" s="37">
        <v>99</v>
      </c>
      <c r="AJ1114" s="37">
        <v>5</v>
      </c>
      <c r="AK1114" s="37" t="str">
        <f>VLOOKUP(Mecze[[#This Row],[Match ID]],Meczusie[Mecz]:Meczusie[RodzajMeczu],2,FALSE)</f>
        <v>Liga</v>
      </c>
    </row>
    <row r="1115" spans="1:37" x14ac:dyDescent="0.25">
      <c r="A1115" s="76">
        <v>10</v>
      </c>
      <c r="B1115" s="3" t="s">
        <v>352</v>
      </c>
      <c r="C1115" s="2" t="s">
        <v>165</v>
      </c>
      <c r="D1115" s="1">
        <v>0</v>
      </c>
      <c r="E1115" s="1">
        <v>4</v>
      </c>
      <c r="F1115" s="1">
        <v>4</v>
      </c>
      <c r="G1115" s="1">
        <v>5</v>
      </c>
      <c r="H1115" s="4">
        <v>0.8</v>
      </c>
      <c r="I1115" s="1">
        <v>7</v>
      </c>
      <c r="J1115" s="4">
        <v>0.43</v>
      </c>
      <c r="K1115" s="1">
        <v>0</v>
      </c>
      <c r="L1115" s="1">
        <v>1</v>
      </c>
      <c r="M1115" s="32">
        <f>IF(Mecze[[#This Row],[PR]]=0,0,Mecze[[#This Row],[PR]]/Mecze[[#This Row],[CZAS]])</f>
        <v>1.0101010101010102E-2</v>
      </c>
      <c r="N1115" s="32">
        <f>IF(Mecze[[#This Row],[OU]]=0,0,Mecze[[#This Row],[OU]]/Mecze[[#This Row],[CZAS]])</f>
        <v>3.0303030303030304E-2</v>
      </c>
      <c r="O1115" s="32">
        <f>IF(Mecze[[#This Row],[PC]]=0,0,Mecze[[#This Row],[PC]]/Mecze[[#This Row],[CZAS]])</f>
        <v>4.0404040404040407E-2</v>
      </c>
      <c r="P1115" s="32">
        <f>IF(Mecze[[#This Row],[SC]]=0,0,Mecze[[#This Row],[SC]]/Mecze[[#This Row],[CZAS]])</f>
        <v>4.0404040404040407E-2</v>
      </c>
      <c r="Q1115" s="32">
        <f>IF(Mecze[[#This Row],[OB]]=0,0,Mecze[[#This Row],[OB]]/Mecze[[#This Row],[CZAS]])</f>
        <v>0</v>
      </c>
      <c r="R1115" s="32">
        <f>IF(Mecze[[#This Row],[BR]]=0,0,Mecze[[#This Row],[BR]]/Mecze[[#This Row],[CZAS]])</f>
        <v>0</v>
      </c>
      <c r="S1115" s="44">
        <f>IF(Mecze[[#This Row],[Role]]="BR",SUMPRODUCT(Mecze[[#This Row],[/PR:90]:[/BR:90]],Brudnopis!$E$23:$J$23),0)</f>
        <v>0</v>
      </c>
      <c r="T1115" s="44">
        <f>IF(Mecze[[#This Row],[Role]]&lt;&gt;"BR",SUMPRODUCT(Mecze[[#This Row],[/PR:90]:[/BR:90]],Brudnopis!$E$24:$J$24),0)</f>
        <v>0.13636363636363638</v>
      </c>
      <c r="U1115" s="44">
        <f>IF(Mecze[[#This Row],[Role]]&lt;&gt;"BR",SUMPRODUCT(Mecze[[#This Row],[/PR:90]:[/BR:90]],Brudnopis!$E$25:$J$25),0)</f>
        <v>0.14141414141414144</v>
      </c>
      <c r="V1115" s="44">
        <f>IF(Mecze[[#This Row],[Role]]&lt;&gt;"BR",SUMPRODUCT(Mecze[[#This Row],[/PR:90]:[/BR:90]],Brudnopis!$E$26:$J$26),0)</f>
        <v>0.12121212121212122</v>
      </c>
      <c r="W1115" s="44">
        <f>IF(Mecze[[#This Row],[Role]]&lt;&gt;"BR",SUMPRODUCT(Mecze[[#This Row],[/PR:90]:[/BR:90]],Brudnopis!$E$27:$J$27),0)</f>
        <v>0.13131313131313133</v>
      </c>
      <c r="X1115" s="44">
        <f>IF(Mecze[[#This Row],[Role]]&lt;&gt;"BR",SUMPRODUCT(Mecze[[#This Row],[/PR:90]:[/BR:90]],Brudnopis!$E$28:$J$28),0)</f>
        <v>0.12121212121212122</v>
      </c>
      <c r="Y1115" s="35">
        <f>IF(Mecze[[#This Row],[Role]]="BR",Mecze[[#This Row],[/OB:90]]+Mecze[[#This Row],[/PC:90]],SUM(Mecze[[#This Row],[/PR:90]:[/BR:90]]))</f>
        <v>0.12121212121212122</v>
      </c>
      <c r="Z1115" s="35">
        <f>IF(Mecze[[#This Row],[KC]]=0,SUM(Mecze[[#This Row],[/BRI]:[/NPI]]),SUM(Mecze[[#This Row],[/BRI]:[/NPI]])*0.6)</f>
        <v>0.65151515151515149</v>
      </c>
      <c r="AA1115" s="10">
        <f>IFERROR(Mecze[[#This Row],[BR]]/Mecze[[#This Row],[ST]],0)</f>
        <v>0</v>
      </c>
      <c r="AB1115">
        <f>ROUND(Mecze[[#This Row],[PD]]*Mecze[[#This Row],[%PC]],0)</f>
        <v>4</v>
      </c>
      <c r="AC1115">
        <f>ROUND(Mecze[[#This Row],[OD]]*Mecze[[#This Row],[%OU]],0)</f>
        <v>3</v>
      </c>
      <c r="AD1115" s="36" t="s">
        <v>46</v>
      </c>
      <c r="AE1115" s="36">
        <v>61</v>
      </c>
      <c r="AF1115" s="71">
        <v>5.84</v>
      </c>
      <c r="AG1115" s="37">
        <v>0</v>
      </c>
      <c r="AH1115" s="37">
        <v>0</v>
      </c>
      <c r="AI1115" s="37">
        <v>99</v>
      </c>
      <c r="AJ1115" s="37">
        <v>5</v>
      </c>
      <c r="AK1115" s="37" t="str">
        <f>VLOOKUP(Mecze[[#This Row],[Match ID]],Meczusie[Mecz]:Meczusie[RodzajMeczu],2,FALSE)</f>
        <v>Liga</v>
      </c>
    </row>
    <row r="1116" spans="1:37" x14ac:dyDescent="0.25">
      <c r="A1116" s="76">
        <v>11</v>
      </c>
      <c r="B1116" s="3" t="s">
        <v>353</v>
      </c>
      <c r="C1116" s="2" t="s">
        <v>165</v>
      </c>
      <c r="D1116" s="1">
        <v>0</v>
      </c>
      <c r="E1116" s="1">
        <v>2</v>
      </c>
      <c r="F1116" s="1">
        <v>2</v>
      </c>
      <c r="G1116" s="1">
        <v>5</v>
      </c>
      <c r="H1116" s="4">
        <v>0.6</v>
      </c>
      <c r="I1116" s="1">
        <v>1</v>
      </c>
      <c r="J1116" s="4">
        <v>1</v>
      </c>
      <c r="K1116" s="1">
        <v>0</v>
      </c>
      <c r="L1116" s="1">
        <v>1</v>
      </c>
      <c r="M1116" s="32">
        <f>IF(Mecze[[#This Row],[PR]]=0,0,Mecze[[#This Row],[PR]]/Mecze[[#This Row],[CZAS]])</f>
        <v>1.0101010101010102E-2</v>
      </c>
      <c r="N1116" s="32">
        <f>IF(Mecze[[#This Row],[OU]]=0,0,Mecze[[#This Row],[OU]]/Mecze[[#This Row],[CZAS]])</f>
        <v>1.0101010101010102E-2</v>
      </c>
      <c r="O1116" s="32">
        <f>IF(Mecze[[#This Row],[PC]]=0,0,Mecze[[#This Row],[PC]]/Mecze[[#This Row],[CZAS]])</f>
        <v>3.0303030303030304E-2</v>
      </c>
      <c r="P1116" s="32">
        <f>IF(Mecze[[#This Row],[SC]]=0,0,Mecze[[#This Row],[SC]]/Mecze[[#This Row],[CZAS]])</f>
        <v>2.0202020202020204E-2</v>
      </c>
      <c r="Q1116" s="32">
        <f>IF(Mecze[[#This Row],[OB]]=0,0,Mecze[[#This Row],[OB]]/Mecze[[#This Row],[CZAS]])</f>
        <v>0</v>
      </c>
      <c r="R1116" s="32">
        <f>IF(Mecze[[#This Row],[BR]]=0,0,Mecze[[#This Row],[BR]]/Mecze[[#This Row],[CZAS]])</f>
        <v>0</v>
      </c>
      <c r="S1116" s="44">
        <f>IF(Mecze[[#This Row],[Role]]="BR",SUMPRODUCT(Mecze[[#This Row],[/PR:90]:[/BR:90]],Brudnopis!$E$23:$J$23),0)</f>
        <v>0</v>
      </c>
      <c r="T1116" s="44">
        <f>IF(Mecze[[#This Row],[Role]]&lt;&gt;"BR",SUMPRODUCT(Mecze[[#This Row],[/PR:90]:[/BR:90]],Brudnopis!$E$24:$J$24),0)</f>
        <v>7.575757575757576E-2</v>
      </c>
      <c r="U1116" s="44">
        <f>IF(Mecze[[#This Row],[Role]]&lt;&gt;"BR",SUMPRODUCT(Mecze[[#This Row],[/PR:90]:[/BR:90]],Brudnopis!$E$25:$J$25),0)</f>
        <v>8.585858585858587E-2</v>
      </c>
      <c r="V1116" s="44">
        <f>IF(Mecze[[#This Row],[Role]]&lt;&gt;"BR",SUMPRODUCT(Mecze[[#This Row],[/PR:90]:[/BR:90]],Brudnopis!$E$26:$J$26),0)</f>
        <v>7.0707070707070718E-2</v>
      </c>
      <c r="W1116" s="44">
        <f>IF(Mecze[[#This Row],[Role]]&lt;&gt;"BR",SUMPRODUCT(Mecze[[#This Row],[/PR:90]:[/BR:90]],Brudnopis!$E$27:$J$27),0)</f>
        <v>8.0808080808080815E-2</v>
      </c>
      <c r="X1116" s="44">
        <f>IF(Mecze[[#This Row],[Role]]&lt;&gt;"BR",SUMPRODUCT(Mecze[[#This Row],[/PR:90]:[/BR:90]],Brudnopis!$E$28:$J$28),0)</f>
        <v>7.0707070707070718E-2</v>
      </c>
      <c r="Y1116" s="35">
        <f>IF(Mecze[[#This Row],[Role]]="BR",Mecze[[#This Row],[/OB:90]]+Mecze[[#This Row],[/PC:90]],SUM(Mecze[[#This Row],[/PR:90]:[/BR:90]]))</f>
        <v>7.0707070707070718E-2</v>
      </c>
      <c r="Z1116" s="35">
        <f>IF(Mecze[[#This Row],[KC]]=0,SUM(Mecze[[#This Row],[/BRI]:[/NPI]]),SUM(Mecze[[#This Row],[/BRI]:[/NPI]])*0.6)</f>
        <v>0.38383838383838387</v>
      </c>
      <c r="AA1116" s="10">
        <f>IFERROR(Mecze[[#This Row],[BR]]/Mecze[[#This Row],[ST]],0)</f>
        <v>0</v>
      </c>
      <c r="AB1116">
        <f>ROUND(Mecze[[#This Row],[PD]]*Mecze[[#This Row],[%PC]],0)</f>
        <v>3</v>
      </c>
      <c r="AC1116">
        <f>ROUND(Mecze[[#This Row],[OD]]*Mecze[[#This Row],[%OU]],0)</f>
        <v>1</v>
      </c>
      <c r="AD1116" s="36" t="s">
        <v>272</v>
      </c>
      <c r="AE1116" s="36">
        <v>61</v>
      </c>
      <c r="AF1116" s="71">
        <v>3.37</v>
      </c>
      <c r="AG1116" s="37">
        <v>1</v>
      </c>
      <c r="AH1116" s="37">
        <v>0</v>
      </c>
      <c r="AI1116" s="37">
        <v>99</v>
      </c>
      <c r="AJ1116" s="37">
        <v>5</v>
      </c>
      <c r="AK1116" s="37" t="str">
        <f>VLOOKUP(Mecze[[#This Row],[Match ID]],Meczusie[Mecz]:Meczusie[RodzajMeczu],2,FALSE)</f>
        <v>Liga</v>
      </c>
    </row>
    <row r="1117" spans="1:37" x14ac:dyDescent="0.25">
      <c r="A1117" s="76">
        <v>9</v>
      </c>
      <c r="B1117" s="3" t="s">
        <v>354</v>
      </c>
      <c r="C1117" s="2" t="s">
        <v>165</v>
      </c>
      <c r="D1117" s="1">
        <v>1</v>
      </c>
      <c r="E1117" s="1">
        <v>3</v>
      </c>
      <c r="F1117" s="1">
        <v>3</v>
      </c>
      <c r="G1117" s="1">
        <v>8</v>
      </c>
      <c r="H1117" s="4">
        <v>0.75</v>
      </c>
      <c r="I1117" s="1">
        <v>2</v>
      </c>
      <c r="J1117" s="4">
        <v>0</v>
      </c>
      <c r="K1117" s="1">
        <v>0</v>
      </c>
      <c r="L1117" s="1">
        <v>0</v>
      </c>
      <c r="M1117" s="32">
        <f>IF(Mecze[[#This Row],[PR]]=0,0,Mecze[[#This Row],[PR]]/Mecze[[#This Row],[CZAS]])</f>
        <v>0</v>
      </c>
      <c r="N1117" s="32">
        <f>IF(Mecze[[#This Row],[OU]]=0,0,Mecze[[#This Row],[OU]]/Mecze[[#This Row],[CZAS]])</f>
        <v>0</v>
      </c>
      <c r="O1117" s="32">
        <f>IF(Mecze[[#This Row],[PC]]=0,0,Mecze[[#This Row],[PC]]/Mecze[[#This Row],[CZAS]])</f>
        <v>6.0606060606060608E-2</v>
      </c>
      <c r="P1117" s="32">
        <f>IF(Mecze[[#This Row],[SC]]=0,0,Mecze[[#This Row],[SC]]/Mecze[[#This Row],[CZAS]])</f>
        <v>3.0303030303030304E-2</v>
      </c>
      <c r="Q1117" s="32">
        <f>IF(Mecze[[#This Row],[OB]]=0,0,Mecze[[#This Row],[OB]]/Mecze[[#This Row],[CZAS]])</f>
        <v>0</v>
      </c>
      <c r="R1117" s="32">
        <f>IF(Mecze[[#This Row],[BR]]=0,0,Mecze[[#This Row],[BR]]/Mecze[[#This Row],[CZAS]])</f>
        <v>1.0101010101010102E-2</v>
      </c>
      <c r="S1117" s="44">
        <f>IF(Mecze[[#This Row],[Role]]="BR",SUMPRODUCT(Mecze[[#This Row],[/PR:90]:[/BR:90]],Brudnopis!$E$23:$J$23),0)</f>
        <v>0</v>
      </c>
      <c r="T1117" s="44">
        <f>IF(Mecze[[#This Row],[Role]]&lt;&gt;"BR",SUMPRODUCT(Mecze[[#This Row],[/PR:90]:[/BR:90]],Brudnopis!$E$24:$J$24),0)</f>
        <v>0.10606060606060606</v>
      </c>
      <c r="U1117" s="44">
        <f>IF(Mecze[[#This Row],[Role]]&lt;&gt;"BR",SUMPRODUCT(Mecze[[#This Row],[/PR:90]:[/BR:90]],Brudnopis!$E$25:$J$25),0)</f>
        <v>0.13636363636363635</v>
      </c>
      <c r="V1117" s="44">
        <f>IF(Mecze[[#This Row],[Role]]&lt;&gt;"BR",SUMPRODUCT(Mecze[[#This Row],[/PR:90]:[/BR:90]],Brudnopis!$E$26:$J$26),0)</f>
        <v>0.11111111111111112</v>
      </c>
      <c r="W1117" s="44">
        <f>IF(Mecze[[#This Row],[Role]]&lt;&gt;"BR",SUMPRODUCT(Mecze[[#This Row],[/PR:90]:[/BR:90]],Brudnopis!$E$27:$J$27),0)</f>
        <v>0.14141414141414141</v>
      </c>
      <c r="X1117" s="44">
        <f>IF(Mecze[[#This Row],[Role]]&lt;&gt;"BR",SUMPRODUCT(Mecze[[#This Row],[/PR:90]:[/BR:90]],Brudnopis!$E$28:$J$28),0)</f>
        <v>0.15151515151515152</v>
      </c>
      <c r="Y1117" s="35">
        <f>IF(Mecze[[#This Row],[Role]]="BR",Mecze[[#This Row],[/OB:90]]+Mecze[[#This Row],[/PC:90]],SUM(Mecze[[#This Row],[/PR:90]:[/BR:90]]))</f>
        <v>0.10101010101010101</v>
      </c>
      <c r="Z1117" s="35">
        <f>IF(Mecze[[#This Row],[KC]]=0,SUM(Mecze[[#This Row],[/BRI]:[/NPI]]),SUM(Mecze[[#This Row],[/BRI]:[/NPI]])*0.6)</f>
        <v>0.64646464646464641</v>
      </c>
      <c r="AA1117" s="10">
        <f>IFERROR(Mecze[[#This Row],[BR]]/Mecze[[#This Row],[ST]],0)</f>
        <v>0.33333333333333331</v>
      </c>
      <c r="AB1117">
        <f>ROUND(Mecze[[#This Row],[PD]]*Mecze[[#This Row],[%PC]],0)</f>
        <v>6</v>
      </c>
      <c r="AC1117">
        <f>ROUND(Mecze[[#This Row],[OD]]*Mecze[[#This Row],[%OU]],0)</f>
        <v>0</v>
      </c>
      <c r="AD1117" s="36" t="s">
        <v>273</v>
      </c>
      <c r="AE1117" s="36">
        <v>61</v>
      </c>
      <c r="AF1117" s="71">
        <v>7</v>
      </c>
      <c r="AG1117" s="37">
        <v>0</v>
      </c>
      <c r="AH1117" s="37">
        <v>0</v>
      </c>
      <c r="AI1117" s="37">
        <v>99</v>
      </c>
      <c r="AJ1117" s="37">
        <v>5</v>
      </c>
      <c r="AK1117" s="37" t="str">
        <f>VLOOKUP(Mecze[[#This Row],[Match ID]],Meczusie[Mecz]:Meczusie[RodzajMeczu],2,FALSE)</f>
        <v>Liga</v>
      </c>
    </row>
    <row r="1118" spans="1:37" x14ac:dyDescent="0.25">
      <c r="A1118" s="76">
        <v>49</v>
      </c>
      <c r="B1118" s="3" t="s">
        <v>358</v>
      </c>
      <c r="C1118" s="2" t="s">
        <v>155</v>
      </c>
      <c r="D1118" s="1">
        <v>0</v>
      </c>
      <c r="E1118" s="1">
        <v>0</v>
      </c>
      <c r="F1118" s="1">
        <v>0</v>
      </c>
      <c r="G1118" s="1">
        <v>4</v>
      </c>
      <c r="H1118" s="4">
        <v>0.25</v>
      </c>
      <c r="I1118" s="1">
        <v>0</v>
      </c>
      <c r="J1118" s="4"/>
      <c r="K1118" s="1">
        <v>2</v>
      </c>
      <c r="L1118" s="1">
        <v>0</v>
      </c>
      <c r="M1118" s="32">
        <f>IF(Mecze[[#This Row],[PR]]=0,0,Mecze[[#This Row],[PR]]/Mecze[[#This Row],[CZAS]])</f>
        <v>0</v>
      </c>
      <c r="N1118" s="32">
        <f>IF(Mecze[[#This Row],[OU]]=0,0,Mecze[[#This Row],[OU]]/Mecze[[#This Row],[CZAS]])</f>
        <v>0</v>
      </c>
      <c r="O1118" s="32">
        <f>IF(Mecze[[#This Row],[PC]]=0,0,Mecze[[#This Row],[PC]]/Mecze[[#This Row],[CZAS]])</f>
        <v>1.020408163265306E-2</v>
      </c>
      <c r="P1118" s="32">
        <f>IF(Mecze[[#This Row],[SC]]=0,0,Mecze[[#This Row],[SC]]/Mecze[[#This Row],[CZAS]])</f>
        <v>0</v>
      </c>
      <c r="Q1118" s="32">
        <f>IF(Mecze[[#This Row],[OB]]=0,0,Mecze[[#This Row],[OB]]/Mecze[[#This Row],[CZAS]])</f>
        <v>2.0408163265306121E-2</v>
      </c>
      <c r="R1118" s="32">
        <f>IF(Mecze[[#This Row],[BR]]=0,0,Mecze[[#This Row],[BR]]/Mecze[[#This Row],[CZAS]])</f>
        <v>0</v>
      </c>
      <c r="S1118" s="44">
        <f>IF(Mecze[[#This Row],[Role]]="BR",SUMPRODUCT(Mecze[[#This Row],[/PR:90]:[/BR:90]],Brudnopis!$E$23:$J$23),0)</f>
        <v>9.1836734693877542E-2</v>
      </c>
      <c r="T1118" s="44">
        <f>IF(Mecze[[#This Row],[Role]]&lt;&gt;"BR",SUMPRODUCT(Mecze[[#This Row],[/PR:90]:[/BR:90]],Brudnopis!$E$24:$J$24),0)</f>
        <v>0</v>
      </c>
      <c r="U1118" s="44">
        <f>IF(Mecze[[#This Row],[Role]]&lt;&gt;"BR",SUMPRODUCT(Mecze[[#This Row],[/PR:90]:[/BR:90]],Brudnopis!$E$25:$J$25),0)</f>
        <v>0</v>
      </c>
      <c r="V1118" s="44">
        <f>IF(Mecze[[#This Row],[Role]]&lt;&gt;"BR",SUMPRODUCT(Mecze[[#This Row],[/PR:90]:[/BR:90]],Brudnopis!$E$26:$J$26),0)</f>
        <v>0</v>
      </c>
      <c r="W1118" s="44">
        <f>IF(Mecze[[#This Row],[Role]]&lt;&gt;"BR",SUMPRODUCT(Mecze[[#This Row],[/PR:90]:[/BR:90]],Brudnopis!$E$27:$J$27),0)</f>
        <v>0</v>
      </c>
      <c r="X1118" s="44">
        <f>IF(Mecze[[#This Row],[Role]]&lt;&gt;"BR",SUMPRODUCT(Mecze[[#This Row],[/PR:90]:[/BR:90]],Brudnopis!$E$28:$J$28),0)</f>
        <v>0</v>
      </c>
      <c r="Y1118" s="35">
        <f>IF(Mecze[[#This Row],[Role]]="BR",Mecze[[#This Row],[/OB:90]]+Mecze[[#This Row],[/PC:90]],SUM(Mecze[[#This Row],[/PR:90]:[/BR:90]]))</f>
        <v>3.0612244897959183E-2</v>
      </c>
      <c r="Z1118" s="35">
        <f>IF(Mecze[[#This Row],[KC]]=0,SUM(Mecze[[#This Row],[/BRI]:[/NPI]]),SUM(Mecze[[#This Row],[/BRI]:[/NPI]])*0.6)</f>
        <v>9.1836734693877542E-2</v>
      </c>
      <c r="AA1118" s="10">
        <f>IFERROR(Mecze[[#This Row],[BR]]/Mecze[[#This Row],[ST]],0)</f>
        <v>0</v>
      </c>
      <c r="AB1118">
        <f>ROUND(Mecze[[#This Row],[PD]]*Mecze[[#This Row],[%PC]],0)</f>
        <v>1</v>
      </c>
      <c r="AC1118">
        <f>ROUND(Mecze[[#This Row],[OD]]*Mecze[[#This Row],[%OU]],0)</f>
        <v>0</v>
      </c>
      <c r="AD1118" s="36" t="s">
        <v>40</v>
      </c>
      <c r="AE1118" s="36">
        <v>62</v>
      </c>
      <c r="AF1118" s="71">
        <v>2.29</v>
      </c>
      <c r="AG1118" s="37">
        <v>0</v>
      </c>
      <c r="AH1118" s="37">
        <v>0</v>
      </c>
      <c r="AI1118" s="37">
        <v>98</v>
      </c>
      <c r="AJ1118" s="37">
        <v>1</v>
      </c>
      <c r="AK1118" s="37" t="str">
        <f>VLOOKUP(Mecze[[#This Row],[Match ID]],Meczusie[Mecz]:Meczusie[RodzajMeczu],2,FALSE)</f>
        <v>Towarzyski</v>
      </c>
    </row>
    <row r="1119" spans="1:37" x14ac:dyDescent="0.25">
      <c r="A1119" s="76">
        <v>38</v>
      </c>
      <c r="B1119" s="3" t="s">
        <v>359</v>
      </c>
      <c r="C1119" s="2" t="s">
        <v>157</v>
      </c>
      <c r="D1119" s="1">
        <v>0</v>
      </c>
      <c r="E1119" s="1">
        <v>0</v>
      </c>
      <c r="F1119" s="1">
        <v>0</v>
      </c>
      <c r="G1119" s="1">
        <v>8</v>
      </c>
      <c r="H1119" s="4">
        <v>0.63</v>
      </c>
      <c r="I1119" s="1">
        <v>6</v>
      </c>
      <c r="J1119" s="4">
        <v>0.5</v>
      </c>
      <c r="K1119" s="1">
        <v>0</v>
      </c>
      <c r="L1119" s="1">
        <v>9</v>
      </c>
      <c r="M1119" s="32">
        <f>IF(Mecze[[#This Row],[PR]]=0,0,Mecze[[#This Row],[PR]]/Mecze[[#This Row],[CZAS]])</f>
        <v>9.1836734693877556E-2</v>
      </c>
      <c r="N1119" s="32">
        <f>IF(Mecze[[#This Row],[OU]]=0,0,Mecze[[#This Row],[OU]]/Mecze[[#This Row],[CZAS]])</f>
        <v>3.0612244897959183E-2</v>
      </c>
      <c r="O1119" s="32">
        <f>IF(Mecze[[#This Row],[PC]]=0,0,Mecze[[#This Row],[PC]]/Mecze[[#This Row],[CZAS]])</f>
        <v>5.1020408163265307E-2</v>
      </c>
      <c r="P1119" s="32">
        <f>IF(Mecze[[#This Row],[SC]]=0,0,Mecze[[#This Row],[SC]]/Mecze[[#This Row],[CZAS]])</f>
        <v>0</v>
      </c>
      <c r="Q1119" s="32">
        <f>IF(Mecze[[#This Row],[OB]]=0,0,Mecze[[#This Row],[OB]]/Mecze[[#This Row],[CZAS]])</f>
        <v>0</v>
      </c>
      <c r="R1119" s="32">
        <f>IF(Mecze[[#This Row],[BR]]=0,0,Mecze[[#This Row],[BR]]/Mecze[[#This Row],[CZAS]])</f>
        <v>0</v>
      </c>
      <c r="S1119" s="44">
        <f>IF(Mecze[[#This Row],[Role]]="BR",SUMPRODUCT(Mecze[[#This Row],[/PR:90]:[/BR:90]],Brudnopis!$E$23:$J$23),0)</f>
        <v>0</v>
      </c>
      <c r="T1119" s="44">
        <f>IF(Mecze[[#This Row],[Role]]&lt;&gt;"BR",SUMPRODUCT(Mecze[[#This Row],[/PR:90]:[/BR:90]],Brudnopis!$E$24:$J$24),0)</f>
        <v>0.18877551020408162</v>
      </c>
      <c r="U1119" s="44">
        <f>IF(Mecze[[#This Row],[Role]]&lt;&gt;"BR",SUMPRODUCT(Mecze[[#This Row],[/PR:90]:[/BR:90]],Brudnopis!$E$25:$J$25),0)</f>
        <v>0.19897959183673469</v>
      </c>
      <c r="V1119" s="44">
        <f>IF(Mecze[[#This Row],[Role]]&lt;&gt;"BR",SUMPRODUCT(Mecze[[#This Row],[/PR:90]:[/BR:90]],Brudnopis!$E$26:$J$26),0)</f>
        <v>0.17346938775510204</v>
      </c>
      <c r="W1119" s="44">
        <f>IF(Mecze[[#This Row],[Role]]&lt;&gt;"BR",SUMPRODUCT(Mecze[[#This Row],[/PR:90]:[/BR:90]],Brudnopis!$E$27:$J$27),0)</f>
        <v>0.16836734693877553</v>
      </c>
      <c r="X1119" s="44">
        <f>IF(Mecze[[#This Row],[Role]]&lt;&gt;"BR",SUMPRODUCT(Mecze[[#This Row],[/PR:90]:[/BR:90]],Brudnopis!$E$28:$J$28),0)</f>
        <v>5.1020408163265307E-2</v>
      </c>
      <c r="Y1119" s="35">
        <f>IF(Mecze[[#This Row],[Role]]="BR",Mecze[[#This Row],[/OB:90]]+Mecze[[#This Row],[/PC:90]],SUM(Mecze[[#This Row],[/PR:90]:[/BR:90]]))</f>
        <v>0.17346938775510204</v>
      </c>
      <c r="Z1119" s="35">
        <f>IF(Mecze[[#This Row],[KC]]=0,SUM(Mecze[[#This Row],[/BRI]:[/NPI]]),SUM(Mecze[[#This Row],[/BRI]:[/NPI]])*0.6)</f>
        <v>0.78061224489795911</v>
      </c>
      <c r="AA1119" s="10">
        <f>IFERROR(Mecze[[#This Row],[BR]]/Mecze[[#This Row],[ST]],0)</f>
        <v>0</v>
      </c>
      <c r="AB1119">
        <f>ROUND(Mecze[[#This Row],[PD]]*Mecze[[#This Row],[%PC]],0)</f>
        <v>5</v>
      </c>
      <c r="AC1119">
        <f>ROUND(Mecze[[#This Row],[OD]]*Mecze[[#This Row],[%OU]],0)</f>
        <v>3</v>
      </c>
      <c r="AD1119" s="36" t="s">
        <v>47</v>
      </c>
      <c r="AE1119" s="36">
        <v>62</v>
      </c>
      <c r="AF1119" s="71">
        <v>4.5999999999999996</v>
      </c>
      <c r="AG1119" s="37">
        <v>0</v>
      </c>
      <c r="AH1119" s="37">
        <v>0</v>
      </c>
      <c r="AI1119" s="37">
        <v>98</v>
      </c>
      <c r="AJ1119" s="37">
        <v>1</v>
      </c>
      <c r="AK1119" s="37" t="str">
        <f>VLOOKUP(Mecze[[#This Row],[Match ID]],Meczusie[Mecz]:Meczusie[RodzajMeczu],2,FALSE)</f>
        <v>Towarzyski</v>
      </c>
    </row>
    <row r="1120" spans="1:37" x14ac:dyDescent="0.25">
      <c r="A1120" s="76">
        <v>4</v>
      </c>
      <c r="B1120" s="3" t="s">
        <v>360</v>
      </c>
      <c r="C1120" s="2" t="s">
        <v>157</v>
      </c>
      <c r="D1120" s="1">
        <v>0</v>
      </c>
      <c r="E1120" s="1">
        <v>0</v>
      </c>
      <c r="F1120" s="1">
        <v>0</v>
      </c>
      <c r="G1120" s="1">
        <v>23</v>
      </c>
      <c r="H1120" s="4">
        <v>0.43</v>
      </c>
      <c r="I1120" s="1">
        <v>8</v>
      </c>
      <c r="J1120" s="4">
        <v>0.63</v>
      </c>
      <c r="K1120" s="1">
        <v>0</v>
      </c>
      <c r="L1120" s="1">
        <v>19</v>
      </c>
      <c r="M1120" s="32">
        <f>IF(Mecze[[#This Row],[PR]]=0,0,Mecze[[#This Row],[PR]]/Mecze[[#This Row],[CZAS]])</f>
        <v>0.19387755102040816</v>
      </c>
      <c r="N1120" s="32">
        <f>IF(Mecze[[#This Row],[OU]]=0,0,Mecze[[#This Row],[OU]]/Mecze[[#This Row],[CZAS]])</f>
        <v>5.1020408163265307E-2</v>
      </c>
      <c r="O1120" s="32">
        <f>IF(Mecze[[#This Row],[PC]]=0,0,Mecze[[#This Row],[PC]]/Mecze[[#This Row],[CZAS]])</f>
        <v>0.10204081632653061</v>
      </c>
      <c r="P1120" s="32">
        <f>IF(Mecze[[#This Row],[SC]]=0,0,Mecze[[#This Row],[SC]]/Mecze[[#This Row],[CZAS]])</f>
        <v>0</v>
      </c>
      <c r="Q1120" s="32">
        <f>IF(Mecze[[#This Row],[OB]]=0,0,Mecze[[#This Row],[OB]]/Mecze[[#This Row],[CZAS]])</f>
        <v>0</v>
      </c>
      <c r="R1120" s="32">
        <f>IF(Mecze[[#This Row],[BR]]=0,0,Mecze[[#This Row],[BR]]/Mecze[[#This Row],[CZAS]])</f>
        <v>0</v>
      </c>
      <c r="S1120" s="44">
        <f>IF(Mecze[[#This Row],[Role]]="BR",SUMPRODUCT(Mecze[[#This Row],[/PR:90]:[/BR:90]],Brudnopis!$E$23:$J$23),0)</f>
        <v>0</v>
      </c>
      <c r="T1120" s="44">
        <f>IF(Mecze[[#This Row],[Role]]&lt;&gt;"BR",SUMPRODUCT(Mecze[[#This Row],[/PR:90]:[/BR:90]],Brudnopis!$E$24:$J$24),0)</f>
        <v>0.37244897959183676</v>
      </c>
      <c r="U1120" s="44">
        <f>IF(Mecze[[#This Row],[Role]]&lt;&gt;"BR",SUMPRODUCT(Mecze[[#This Row],[/PR:90]:[/BR:90]],Brudnopis!$E$25:$J$25),0)</f>
        <v>0.39795918367346939</v>
      </c>
      <c r="V1120" s="44">
        <f>IF(Mecze[[#This Row],[Role]]&lt;&gt;"BR",SUMPRODUCT(Mecze[[#This Row],[/PR:90]:[/BR:90]],Brudnopis!$E$26:$J$26),0)</f>
        <v>0.34693877551020408</v>
      </c>
      <c r="W1120" s="44">
        <f>IF(Mecze[[#This Row],[Role]]&lt;&gt;"BR",SUMPRODUCT(Mecze[[#This Row],[/PR:90]:[/BR:90]],Brudnopis!$E$27:$J$27),0)</f>
        <v>0.33673469387755101</v>
      </c>
      <c r="X1120" s="44">
        <f>IF(Mecze[[#This Row],[Role]]&lt;&gt;"BR",SUMPRODUCT(Mecze[[#This Row],[/PR:90]:[/BR:90]],Brudnopis!$E$28:$J$28),0)</f>
        <v>0.10204081632653061</v>
      </c>
      <c r="Y1120" s="35">
        <f>IF(Mecze[[#This Row],[Role]]="BR",Mecze[[#This Row],[/OB:90]]+Mecze[[#This Row],[/PC:90]],SUM(Mecze[[#This Row],[/PR:90]:[/BR:90]]))</f>
        <v>0.34693877551020408</v>
      </c>
      <c r="Z1120" s="35">
        <f>IF(Mecze[[#This Row],[KC]]=0,SUM(Mecze[[#This Row],[/BRI]:[/NPI]]),SUM(Mecze[[#This Row],[/BRI]:[/NPI]])*0.6)</f>
        <v>1.556122448979592</v>
      </c>
      <c r="AA1120" s="10">
        <f>IFERROR(Mecze[[#This Row],[BR]]/Mecze[[#This Row],[ST]],0)</f>
        <v>0</v>
      </c>
      <c r="AB1120">
        <f>ROUND(Mecze[[#This Row],[PD]]*Mecze[[#This Row],[%PC]],0)</f>
        <v>10</v>
      </c>
      <c r="AC1120">
        <f>ROUND(Mecze[[#This Row],[OD]]*Mecze[[#This Row],[%OU]],0)</f>
        <v>5</v>
      </c>
      <c r="AD1120" s="36" t="s">
        <v>168</v>
      </c>
      <c r="AE1120" s="36">
        <v>62</v>
      </c>
      <c r="AF1120" s="71">
        <v>6.7</v>
      </c>
      <c r="AG1120" s="37">
        <v>0</v>
      </c>
      <c r="AH1120" s="37">
        <v>0</v>
      </c>
      <c r="AI1120" s="37">
        <v>98</v>
      </c>
      <c r="AJ1120" s="37">
        <v>1</v>
      </c>
      <c r="AK1120" s="37" t="str">
        <f>VLOOKUP(Mecze[[#This Row],[Match ID]],Meczusie[Mecz]:Meczusie[RodzajMeczu],2,FALSE)</f>
        <v>Towarzyski</v>
      </c>
    </row>
    <row r="1121" spans="1:37" x14ac:dyDescent="0.25">
      <c r="A1121" s="76">
        <v>42</v>
      </c>
      <c r="B1121" s="3" t="s">
        <v>361</v>
      </c>
      <c r="C1121" s="2" t="s">
        <v>157</v>
      </c>
      <c r="D1121" s="1">
        <v>0</v>
      </c>
      <c r="E1121" s="1">
        <v>0</v>
      </c>
      <c r="F1121" s="1">
        <v>0</v>
      </c>
      <c r="G1121" s="1">
        <v>3</v>
      </c>
      <c r="H1121" s="4">
        <v>0.33</v>
      </c>
      <c r="I1121" s="1">
        <v>0</v>
      </c>
      <c r="J1121" s="4"/>
      <c r="K1121" s="1">
        <v>0</v>
      </c>
      <c r="L1121" s="1">
        <v>6</v>
      </c>
      <c r="M1121" s="32">
        <f>IF(Mecze[[#This Row],[PR]]=0,0,Mecze[[#This Row],[PR]]/Mecze[[#This Row],[CZAS]])</f>
        <v>6.1224489795918366E-2</v>
      </c>
      <c r="N1121" s="32">
        <f>IF(Mecze[[#This Row],[OU]]=0,0,Mecze[[#This Row],[OU]]/Mecze[[#This Row],[CZAS]])</f>
        <v>0</v>
      </c>
      <c r="O1121" s="32">
        <f>IF(Mecze[[#This Row],[PC]]=0,0,Mecze[[#This Row],[PC]]/Mecze[[#This Row],[CZAS]])</f>
        <v>1.020408163265306E-2</v>
      </c>
      <c r="P1121" s="32">
        <f>IF(Mecze[[#This Row],[SC]]=0,0,Mecze[[#This Row],[SC]]/Mecze[[#This Row],[CZAS]])</f>
        <v>0</v>
      </c>
      <c r="Q1121" s="32">
        <f>IF(Mecze[[#This Row],[OB]]=0,0,Mecze[[#This Row],[OB]]/Mecze[[#This Row],[CZAS]])</f>
        <v>0</v>
      </c>
      <c r="R1121" s="32">
        <f>IF(Mecze[[#This Row],[BR]]=0,0,Mecze[[#This Row],[BR]]/Mecze[[#This Row],[CZAS]])</f>
        <v>0</v>
      </c>
      <c r="S1121" s="44">
        <f>IF(Mecze[[#This Row],[Role]]="BR",SUMPRODUCT(Mecze[[#This Row],[/PR:90]:[/BR:90]],Brudnopis!$E$23:$J$23),0)</f>
        <v>0</v>
      </c>
      <c r="T1121" s="44">
        <f>IF(Mecze[[#This Row],[Role]]&lt;&gt;"BR",SUMPRODUCT(Mecze[[#This Row],[/PR:90]:[/BR:90]],Brudnopis!$E$24:$J$24),0)</f>
        <v>7.1428571428571425E-2</v>
      </c>
      <c r="U1121" s="44">
        <f>IF(Mecze[[#This Row],[Role]]&lt;&gt;"BR",SUMPRODUCT(Mecze[[#This Row],[/PR:90]:[/BR:90]],Brudnopis!$E$25:$J$25),0)</f>
        <v>7.6530612244897961E-2</v>
      </c>
      <c r="V1121" s="44">
        <f>IF(Mecze[[#This Row],[Role]]&lt;&gt;"BR",SUMPRODUCT(Mecze[[#This Row],[/PR:90]:[/BR:90]],Brudnopis!$E$26:$J$26),0)</f>
        <v>7.1428571428571425E-2</v>
      </c>
      <c r="W1121" s="44">
        <f>IF(Mecze[[#This Row],[Role]]&lt;&gt;"BR",SUMPRODUCT(Mecze[[#This Row],[/PR:90]:[/BR:90]],Brudnopis!$E$27:$J$27),0)</f>
        <v>6.1224489795918366E-2</v>
      </c>
      <c r="X1121" s="44">
        <f>IF(Mecze[[#This Row],[Role]]&lt;&gt;"BR",SUMPRODUCT(Mecze[[#This Row],[/PR:90]:[/BR:90]],Brudnopis!$E$28:$J$28),0)</f>
        <v>1.020408163265306E-2</v>
      </c>
      <c r="Y1121" s="35">
        <f>IF(Mecze[[#This Row],[Role]]="BR",Mecze[[#This Row],[/OB:90]]+Mecze[[#This Row],[/PC:90]],SUM(Mecze[[#This Row],[/PR:90]:[/BR:90]]))</f>
        <v>7.1428571428571425E-2</v>
      </c>
      <c r="Z1121" s="35">
        <f>IF(Mecze[[#This Row],[KC]]=0,SUM(Mecze[[#This Row],[/BRI]:[/NPI]]),SUM(Mecze[[#This Row],[/BRI]:[/NPI]])*0.6)</f>
        <v>0.29081632653061223</v>
      </c>
      <c r="AA1121" s="10">
        <f>IFERROR(Mecze[[#This Row],[BR]]/Mecze[[#This Row],[ST]],0)</f>
        <v>0</v>
      </c>
      <c r="AB1121">
        <f>ROUND(Mecze[[#This Row],[PD]]*Mecze[[#This Row],[%PC]],0)</f>
        <v>1</v>
      </c>
      <c r="AC1121">
        <f>ROUND(Mecze[[#This Row],[OD]]*Mecze[[#This Row],[%OU]],0)</f>
        <v>0</v>
      </c>
      <c r="AD1121" s="36" t="s">
        <v>167</v>
      </c>
      <c r="AE1121" s="36">
        <v>62</v>
      </c>
      <c r="AF1121" s="71">
        <v>2.85</v>
      </c>
      <c r="AG1121" s="37">
        <v>0</v>
      </c>
      <c r="AH1121" s="37">
        <v>0</v>
      </c>
      <c r="AI1121" s="37">
        <v>98</v>
      </c>
      <c r="AJ1121" s="37">
        <v>1</v>
      </c>
      <c r="AK1121" s="37" t="str">
        <f>VLOOKUP(Mecze[[#This Row],[Match ID]],Meczusie[Mecz]:Meczusie[RodzajMeczu],2,FALSE)</f>
        <v>Towarzyski</v>
      </c>
    </row>
    <row r="1122" spans="1:37" x14ac:dyDescent="0.25">
      <c r="A1122" s="76">
        <v>33</v>
      </c>
      <c r="B1122" s="3" t="s">
        <v>362</v>
      </c>
      <c r="C1122" s="2" t="s">
        <v>160</v>
      </c>
      <c r="D1122" s="1">
        <v>0</v>
      </c>
      <c r="E1122" s="1">
        <v>0</v>
      </c>
      <c r="F1122" s="1">
        <v>0</v>
      </c>
      <c r="G1122" s="1">
        <v>6</v>
      </c>
      <c r="H1122" s="4">
        <v>0.67</v>
      </c>
      <c r="I1122" s="1">
        <v>4</v>
      </c>
      <c r="J1122" s="4">
        <v>0.5</v>
      </c>
      <c r="K1122" s="1">
        <v>0</v>
      </c>
      <c r="L1122" s="1">
        <v>5</v>
      </c>
      <c r="M1122" s="32">
        <f>IF(Mecze[[#This Row],[PR]]=0,0,Mecze[[#This Row],[PR]]/Mecze[[#This Row],[CZAS]])</f>
        <v>5.1020408163265307E-2</v>
      </c>
      <c r="N1122" s="32">
        <f>IF(Mecze[[#This Row],[OU]]=0,0,Mecze[[#This Row],[OU]]/Mecze[[#This Row],[CZAS]])</f>
        <v>2.0408163265306121E-2</v>
      </c>
      <c r="O1122" s="32">
        <f>IF(Mecze[[#This Row],[PC]]=0,0,Mecze[[#This Row],[PC]]/Mecze[[#This Row],[CZAS]])</f>
        <v>4.0816326530612242E-2</v>
      </c>
      <c r="P1122" s="32">
        <f>IF(Mecze[[#This Row],[SC]]=0,0,Mecze[[#This Row],[SC]]/Mecze[[#This Row],[CZAS]])</f>
        <v>0</v>
      </c>
      <c r="Q1122" s="32">
        <f>IF(Mecze[[#This Row],[OB]]=0,0,Mecze[[#This Row],[OB]]/Mecze[[#This Row],[CZAS]])</f>
        <v>0</v>
      </c>
      <c r="R1122" s="32">
        <f>IF(Mecze[[#This Row],[BR]]=0,0,Mecze[[#This Row],[BR]]/Mecze[[#This Row],[CZAS]])</f>
        <v>0</v>
      </c>
      <c r="S1122" s="44">
        <f>IF(Mecze[[#This Row],[Role]]="BR",SUMPRODUCT(Mecze[[#This Row],[/PR:90]:[/BR:90]],Brudnopis!$E$23:$J$23),0)</f>
        <v>0</v>
      </c>
      <c r="T1122" s="44">
        <f>IF(Mecze[[#This Row],[Role]]&lt;&gt;"BR",SUMPRODUCT(Mecze[[#This Row],[/PR:90]:[/BR:90]],Brudnopis!$E$24:$J$24),0)</f>
        <v>0.12244897959183673</v>
      </c>
      <c r="U1122" s="44">
        <f>IF(Mecze[[#This Row],[Role]]&lt;&gt;"BR",SUMPRODUCT(Mecze[[#This Row],[/PR:90]:[/BR:90]],Brudnopis!$E$25:$J$25),0)</f>
        <v>0.13265306122448978</v>
      </c>
      <c r="V1122" s="44">
        <f>IF(Mecze[[#This Row],[Role]]&lt;&gt;"BR",SUMPRODUCT(Mecze[[#This Row],[/PR:90]:[/BR:90]],Brudnopis!$E$26:$J$26),0)</f>
        <v>0.11224489795918366</v>
      </c>
      <c r="W1122" s="44">
        <f>IF(Mecze[[#This Row],[Role]]&lt;&gt;"BR",SUMPRODUCT(Mecze[[#This Row],[/PR:90]:[/BR:90]],Brudnopis!$E$27:$J$27),0)</f>
        <v>0.11479591836734694</v>
      </c>
      <c r="X1122" s="44">
        <f>IF(Mecze[[#This Row],[Role]]&lt;&gt;"BR",SUMPRODUCT(Mecze[[#This Row],[/PR:90]:[/BR:90]],Brudnopis!$E$28:$J$28),0)</f>
        <v>4.0816326530612242E-2</v>
      </c>
      <c r="Y1122" s="35">
        <f>IF(Mecze[[#This Row],[Role]]="BR",Mecze[[#This Row],[/OB:90]]+Mecze[[#This Row],[/PC:90]],SUM(Mecze[[#This Row],[/PR:90]:[/BR:90]]))</f>
        <v>0.11224489795918366</v>
      </c>
      <c r="Z1122" s="35">
        <f>IF(Mecze[[#This Row],[KC]]=0,SUM(Mecze[[#This Row],[/BRI]:[/NPI]]),SUM(Mecze[[#This Row],[/BRI]:[/NPI]])*0.6)</f>
        <v>0.52295918367346939</v>
      </c>
      <c r="AA1122" s="10">
        <f>IFERROR(Mecze[[#This Row],[BR]]/Mecze[[#This Row],[ST]],0)</f>
        <v>0</v>
      </c>
      <c r="AB1122">
        <f>ROUND(Mecze[[#This Row],[PD]]*Mecze[[#This Row],[%PC]],0)</f>
        <v>4</v>
      </c>
      <c r="AC1122">
        <f>ROUND(Mecze[[#This Row],[OD]]*Mecze[[#This Row],[%OU]],0)</f>
        <v>2</v>
      </c>
      <c r="AD1122" s="36" t="s">
        <v>41</v>
      </c>
      <c r="AE1122" s="36">
        <v>62</v>
      </c>
      <c r="AF1122" s="71">
        <v>3.85</v>
      </c>
      <c r="AG1122" s="37">
        <v>1</v>
      </c>
      <c r="AH1122" s="37">
        <v>0</v>
      </c>
      <c r="AI1122" s="37">
        <v>98</v>
      </c>
      <c r="AJ1122" s="37">
        <v>1</v>
      </c>
      <c r="AK1122" s="37" t="str">
        <f>VLOOKUP(Mecze[[#This Row],[Match ID]],Meczusie[Mecz]:Meczusie[RodzajMeczu],2,FALSE)</f>
        <v>Towarzyski</v>
      </c>
    </row>
    <row r="1123" spans="1:37" x14ac:dyDescent="0.25">
      <c r="A1123" s="76">
        <v>22</v>
      </c>
      <c r="B1123" s="3" t="s">
        <v>363</v>
      </c>
      <c r="C1123" s="2" t="s">
        <v>160</v>
      </c>
      <c r="D1123" s="1">
        <v>0</v>
      </c>
      <c r="E1123" s="1">
        <v>0</v>
      </c>
      <c r="F1123" s="1">
        <v>0</v>
      </c>
      <c r="G1123" s="1">
        <v>8</v>
      </c>
      <c r="H1123" s="4">
        <v>0.5</v>
      </c>
      <c r="I1123" s="1">
        <v>8</v>
      </c>
      <c r="J1123" s="4">
        <v>0.13</v>
      </c>
      <c r="K1123" s="1">
        <v>0</v>
      </c>
      <c r="L1123" s="1">
        <v>5</v>
      </c>
      <c r="M1123" s="32">
        <f>IF(Mecze[[#This Row],[PR]]=0,0,Mecze[[#This Row],[PR]]/Mecze[[#This Row],[CZAS]])</f>
        <v>5.1020408163265307E-2</v>
      </c>
      <c r="N1123" s="32">
        <f>IF(Mecze[[#This Row],[OU]]=0,0,Mecze[[#This Row],[OU]]/Mecze[[#This Row],[CZAS]])</f>
        <v>1.020408163265306E-2</v>
      </c>
      <c r="O1123" s="32">
        <f>IF(Mecze[[#This Row],[PC]]=0,0,Mecze[[#This Row],[PC]]/Mecze[[#This Row],[CZAS]])</f>
        <v>4.0816326530612242E-2</v>
      </c>
      <c r="P1123" s="32">
        <f>IF(Mecze[[#This Row],[SC]]=0,0,Mecze[[#This Row],[SC]]/Mecze[[#This Row],[CZAS]])</f>
        <v>0</v>
      </c>
      <c r="Q1123" s="32">
        <f>IF(Mecze[[#This Row],[OB]]=0,0,Mecze[[#This Row],[OB]]/Mecze[[#This Row],[CZAS]])</f>
        <v>0</v>
      </c>
      <c r="R1123" s="32">
        <f>IF(Mecze[[#This Row],[BR]]=0,0,Mecze[[#This Row],[BR]]/Mecze[[#This Row],[CZAS]])</f>
        <v>0</v>
      </c>
      <c r="S1123" s="44">
        <f>IF(Mecze[[#This Row],[Role]]="BR",SUMPRODUCT(Mecze[[#This Row],[/PR:90]:[/BR:90]],Brudnopis!$E$23:$J$23),0)</f>
        <v>0</v>
      </c>
      <c r="T1123" s="44">
        <f>IF(Mecze[[#This Row],[Role]]&lt;&gt;"BR",SUMPRODUCT(Mecze[[#This Row],[/PR:90]:[/BR:90]],Brudnopis!$E$24:$J$24),0)</f>
        <v>0.10714285714285715</v>
      </c>
      <c r="U1123" s="44">
        <f>IF(Mecze[[#This Row],[Role]]&lt;&gt;"BR",SUMPRODUCT(Mecze[[#This Row],[/PR:90]:[/BR:90]],Brudnopis!$E$25:$J$25),0)</f>
        <v>0.12244897959183673</v>
      </c>
      <c r="V1123" s="44">
        <f>IF(Mecze[[#This Row],[Role]]&lt;&gt;"BR",SUMPRODUCT(Mecze[[#This Row],[/PR:90]:[/BR:90]],Brudnopis!$E$26:$J$26),0)</f>
        <v>0.10204081632653061</v>
      </c>
      <c r="W1123" s="44">
        <f>IF(Mecze[[#This Row],[Role]]&lt;&gt;"BR",SUMPRODUCT(Mecze[[#This Row],[/PR:90]:[/BR:90]],Brudnopis!$E$27:$J$27),0)</f>
        <v>0.10714285714285715</v>
      </c>
      <c r="X1123" s="44">
        <f>IF(Mecze[[#This Row],[Role]]&lt;&gt;"BR",SUMPRODUCT(Mecze[[#This Row],[/PR:90]:[/BR:90]],Brudnopis!$E$28:$J$28),0)</f>
        <v>4.0816326530612242E-2</v>
      </c>
      <c r="Y1123" s="35">
        <f>IF(Mecze[[#This Row],[Role]]="BR",Mecze[[#This Row],[/OB:90]]+Mecze[[#This Row],[/PC:90]],SUM(Mecze[[#This Row],[/PR:90]:[/BR:90]]))</f>
        <v>0.10204081632653061</v>
      </c>
      <c r="Z1123" s="35">
        <f>IF(Mecze[[#This Row],[KC]]=0,SUM(Mecze[[#This Row],[/BRI]:[/NPI]]),SUM(Mecze[[#This Row],[/BRI]:[/NPI]])*0.6)</f>
        <v>0.47959183673469385</v>
      </c>
      <c r="AA1123" s="10">
        <f>IFERROR(Mecze[[#This Row],[BR]]/Mecze[[#This Row],[ST]],0)</f>
        <v>0</v>
      </c>
      <c r="AB1123">
        <f>ROUND(Mecze[[#This Row],[PD]]*Mecze[[#This Row],[%PC]],0)</f>
        <v>4</v>
      </c>
      <c r="AC1123">
        <f>ROUND(Mecze[[#This Row],[OD]]*Mecze[[#This Row],[%OU]],0)</f>
        <v>1</v>
      </c>
      <c r="AD1123" s="36" t="s">
        <v>41</v>
      </c>
      <c r="AE1123" s="36">
        <v>62</v>
      </c>
      <c r="AF1123" s="71">
        <v>4.96</v>
      </c>
      <c r="AG1123" s="37">
        <v>0</v>
      </c>
      <c r="AH1123" s="37">
        <v>0</v>
      </c>
      <c r="AI1123" s="37">
        <v>98</v>
      </c>
      <c r="AJ1123" s="37">
        <v>1</v>
      </c>
      <c r="AK1123" s="37" t="str">
        <f>VLOOKUP(Mecze[[#This Row],[Match ID]],Meczusie[Mecz]:Meczusie[RodzajMeczu],2,FALSE)</f>
        <v>Towarzyski</v>
      </c>
    </row>
    <row r="1124" spans="1:37" x14ac:dyDescent="0.25">
      <c r="A1124" s="76">
        <v>27</v>
      </c>
      <c r="B1124" s="3" t="s">
        <v>364</v>
      </c>
      <c r="C1124" s="2" t="s">
        <v>160</v>
      </c>
      <c r="D1124" s="1">
        <v>0</v>
      </c>
      <c r="E1124" s="1">
        <v>1</v>
      </c>
      <c r="F1124" s="1">
        <v>1</v>
      </c>
      <c r="G1124" s="1">
        <v>8</v>
      </c>
      <c r="H1124" s="4">
        <v>0.25</v>
      </c>
      <c r="I1124" s="1">
        <v>2</v>
      </c>
      <c r="J1124" s="4">
        <v>0.5</v>
      </c>
      <c r="K1124" s="1">
        <v>0</v>
      </c>
      <c r="L1124" s="1">
        <v>4</v>
      </c>
      <c r="M1124" s="32">
        <f>IF(Mecze[[#This Row],[PR]]=0,0,Mecze[[#This Row],[PR]]/Mecze[[#This Row],[CZAS]])</f>
        <v>4.0816326530612242E-2</v>
      </c>
      <c r="N1124" s="32">
        <f>IF(Mecze[[#This Row],[OU]]=0,0,Mecze[[#This Row],[OU]]/Mecze[[#This Row],[CZAS]])</f>
        <v>1.020408163265306E-2</v>
      </c>
      <c r="O1124" s="32">
        <f>IF(Mecze[[#This Row],[PC]]=0,0,Mecze[[#This Row],[PC]]/Mecze[[#This Row],[CZAS]])</f>
        <v>2.0408163265306121E-2</v>
      </c>
      <c r="P1124" s="32">
        <f>IF(Mecze[[#This Row],[SC]]=0,0,Mecze[[#This Row],[SC]]/Mecze[[#This Row],[CZAS]])</f>
        <v>1.020408163265306E-2</v>
      </c>
      <c r="Q1124" s="32">
        <f>IF(Mecze[[#This Row],[OB]]=0,0,Mecze[[#This Row],[OB]]/Mecze[[#This Row],[CZAS]])</f>
        <v>0</v>
      </c>
      <c r="R1124" s="32">
        <f>IF(Mecze[[#This Row],[BR]]=0,0,Mecze[[#This Row],[BR]]/Mecze[[#This Row],[CZAS]])</f>
        <v>0</v>
      </c>
      <c r="S1124" s="44">
        <f>IF(Mecze[[#This Row],[Role]]="BR",SUMPRODUCT(Mecze[[#This Row],[/PR:90]:[/BR:90]],Brudnopis!$E$23:$J$23),0)</f>
        <v>0</v>
      </c>
      <c r="T1124" s="44">
        <f>IF(Mecze[[#This Row],[Role]]&lt;&gt;"BR",SUMPRODUCT(Mecze[[#This Row],[/PR:90]:[/BR:90]],Brudnopis!$E$24:$J$24),0)</f>
        <v>8.6734693877551006E-2</v>
      </c>
      <c r="U1124" s="44">
        <f>IF(Mecze[[#This Row],[Role]]&lt;&gt;"BR",SUMPRODUCT(Mecze[[#This Row],[/PR:90]:[/BR:90]],Brudnopis!$E$25:$J$25),0)</f>
        <v>9.1836734693877542E-2</v>
      </c>
      <c r="V1124" s="44">
        <f>IF(Mecze[[#This Row],[Role]]&lt;&gt;"BR",SUMPRODUCT(Mecze[[#This Row],[/PR:90]:[/BR:90]],Brudnopis!$E$26:$J$26),0)</f>
        <v>8.1632653061224483E-2</v>
      </c>
      <c r="W1124" s="44">
        <f>IF(Mecze[[#This Row],[Role]]&lt;&gt;"BR",SUMPRODUCT(Mecze[[#This Row],[/PR:90]:[/BR:90]],Brudnopis!$E$27:$J$27),0)</f>
        <v>7.9081632653061215E-2</v>
      </c>
      <c r="X1124" s="44">
        <f>IF(Mecze[[#This Row],[Role]]&lt;&gt;"BR",SUMPRODUCT(Mecze[[#This Row],[/PR:90]:[/BR:90]],Brudnopis!$E$28:$J$28),0)</f>
        <v>4.0816326530612242E-2</v>
      </c>
      <c r="Y1124" s="35">
        <f>IF(Mecze[[#This Row],[Role]]="BR",Mecze[[#This Row],[/OB:90]]+Mecze[[#This Row],[/PC:90]],SUM(Mecze[[#This Row],[/PR:90]:[/BR:90]]))</f>
        <v>8.1632653061224483E-2</v>
      </c>
      <c r="Z1124" s="35">
        <f>IF(Mecze[[#This Row],[KC]]=0,SUM(Mecze[[#This Row],[/BRI]:[/NPI]]),SUM(Mecze[[#This Row],[/BRI]:[/NPI]])*0.6)</f>
        <v>0.38010204081632648</v>
      </c>
      <c r="AA1124" s="10">
        <f>IFERROR(Mecze[[#This Row],[BR]]/Mecze[[#This Row],[ST]],0)</f>
        <v>0</v>
      </c>
      <c r="AB1124">
        <f>ROUND(Mecze[[#This Row],[PD]]*Mecze[[#This Row],[%PC]],0)</f>
        <v>2</v>
      </c>
      <c r="AC1124">
        <f>ROUND(Mecze[[#This Row],[OD]]*Mecze[[#This Row],[%OU]],0)</f>
        <v>1</v>
      </c>
      <c r="AD1124" s="36" t="s">
        <v>44</v>
      </c>
      <c r="AE1124" s="36">
        <v>62</v>
      </c>
      <c r="AF1124" s="71">
        <v>2.66</v>
      </c>
      <c r="AG1124" s="37">
        <v>1</v>
      </c>
      <c r="AH1124" s="37">
        <v>0</v>
      </c>
      <c r="AI1124" s="37">
        <v>98</v>
      </c>
      <c r="AJ1124" s="37">
        <v>1</v>
      </c>
      <c r="AK1124" s="37" t="str">
        <f>VLOOKUP(Mecze[[#This Row],[Match ID]],Meczusie[Mecz]:Meczusie[RodzajMeczu],2,FALSE)</f>
        <v>Towarzyski</v>
      </c>
    </row>
    <row r="1125" spans="1:37" x14ac:dyDescent="0.25">
      <c r="A1125" s="76">
        <v>28</v>
      </c>
      <c r="B1125" s="3" t="s">
        <v>419</v>
      </c>
      <c r="C1125" s="2" t="s">
        <v>160</v>
      </c>
      <c r="D1125" s="1">
        <v>0</v>
      </c>
      <c r="E1125" s="1">
        <v>0</v>
      </c>
      <c r="F1125" s="1">
        <v>0</v>
      </c>
      <c r="G1125" s="1">
        <v>3</v>
      </c>
      <c r="H1125" s="4">
        <v>0.33</v>
      </c>
      <c r="I1125" s="1">
        <v>2</v>
      </c>
      <c r="J1125" s="4">
        <v>0</v>
      </c>
      <c r="K1125" s="1">
        <v>0</v>
      </c>
      <c r="L1125" s="1">
        <v>3</v>
      </c>
      <c r="M1125" s="32">
        <f>IF(Mecze[[#This Row],[PR]]=0,0,Mecze[[#This Row],[PR]]/Mecze[[#This Row],[CZAS]])</f>
        <v>3.0612244897959183E-2</v>
      </c>
      <c r="N1125" s="32">
        <f>IF(Mecze[[#This Row],[OU]]=0,0,Mecze[[#This Row],[OU]]/Mecze[[#This Row],[CZAS]])</f>
        <v>0</v>
      </c>
      <c r="O1125" s="32">
        <f>IF(Mecze[[#This Row],[PC]]=0,0,Mecze[[#This Row],[PC]]/Mecze[[#This Row],[CZAS]])</f>
        <v>1.020408163265306E-2</v>
      </c>
      <c r="P1125" s="32">
        <f>IF(Mecze[[#This Row],[SC]]=0,0,Mecze[[#This Row],[SC]]/Mecze[[#This Row],[CZAS]])</f>
        <v>0</v>
      </c>
      <c r="Q1125" s="32">
        <f>IF(Mecze[[#This Row],[OB]]=0,0,Mecze[[#This Row],[OB]]/Mecze[[#This Row],[CZAS]])</f>
        <v>0</v>
      </c>
      <c r="R1125" s="32">
        <f>IF(Mecze[[#This Row],[BR]]=0,0,Mecze[[#This Row],[BR]]/Mecze[[#This Row],[CZAS]])</f>
        <v>0</v>
      </c>
      <c r="S1125" s="44">
        <f>IF(Mecze[[#This Row],[Role]]="BR",SUMPRODUCT(Mecze[[#This Row],[/PR:90]:[/BR:90]],Brudnopis!$E$23:$J$23),0)</f>
        <v>0</v>
      </c>
      <c r="T1125" s="44">
        <f>IF(Mecze[[#This Row],[Role]]&lt;&gt;"BR",SUMPRODUCT(Mecze[[#This Row],[/PR:90]:[/BR:90]],Brudnopis!$E$24:$J$24),0)</f>
        <v>4.0816326530612242E-2</v>
      </c>
      <c r="U1125" s="44">
        <f>IF(Mecze[[#This Row],[Role]]&lt;&gt;"BR",SUMPRODUCT(Mecze[[#This Row],[/PR:90]:[/BR:90]],Brudnopis!$E$25:$J$25),0)</f>
        <v>4.5918367346938771E-2</v>
      </c>
      <c r="V1125" s="44">
        <f>IF(Mecze[[#This Row],[Role]]&lt;&gt;"BR",SUMPRODUCT(Mecze[[#This Row],[/PR:90]:[/BR:90]],Brudnopis!$E$26:$J$26),0)</f>
        <v>4.0816326530612242E-2</v>
      </c>
      <c r="W1125" s="44">
        <f>IF(Mecze[[#This Row],[Role]]&lt;&gt;"BR",SUMPRODUCT(Mecze[[#This Row],[/PR:90]:[/BR:90]],Brudnopis!$E$27:$J$27),0)</f>
        <v>3.826530612244898E-2</v>
      </c>
      <c r="X1125" s="44">
        <f>IF(Mecze[[#This Row],[Role]]&lt;&gt;"BR",SUMPRODUCT(Mecze[[#This Row],[/PR:90]:[/BR:90]],Brudnopis!$E$28:$J$28),0)</f>
        <v>1.020408163265306E-2</v>
      </c>
      <c r="Y1125" s="35">
        <f>IF(Mecze[[#This Row],[Role]]="BR",Mecze[[#This Row],[/OB:90]]+Mecze[[#This Row],[/PC:90]],SUM(Mecze[[#This Row],[/PR:90]:[/BR:90]]))</f>
        <v>4.0816326530612242E-2</v>
      </c>
      <c r="Z1125" s="35">
        <f>IF(Mecze[[#This Row],[KC]]=0,SUM(Mecze[[#This Row],[/BRI]:[/NPI]]),SUM(Mecze[[#This Row],[/BRI]:[/NPI]])*0.6)</f>
        <v>0.17602040816326531</v>
      </c>
      <c r="AA1125" s="10">
        <f>IFERROR(Mecze[[#This Row],[BR]]/Mecze[[#This Row],[ST]],0)</f>
        <v>0</v>
      </c>
      <c r="AB1125">
        <f>ROUND(Mecze[[#This Row],[PD]]*Mecze[[#This Row],[%PC]],0)</f>
        <v>1</v>
      </c>
      <c r="AC1125">
        <f>ROUND(Mecze[[#This Row],[OD]]*Mecze[[#This Row],[%OU]],0)</f>
        <v>0</v>
      </c>
      <c r="AD1125" s="36" t="s">
        <v>44</v>
      </c>
      <c r="AE1125" s="36">
        <v>62</v>
      </c>
      <c r="AF1125" s="71">
        <v>3.33</v>
      </c>
      <c r="AG1125" s="37">
        <v>0</v>
      </c>
      <c r="AH1125" s="37">
        <v>0</v>
      </c>
      <c r="AI1125" s="37">
        <v>98</v>
      </c>
      <c r="AJ1125" s="37">
        <v>1</v>
      </c>
      <c r="AK1125" s="37" t="str">
        <f>VLOOKUP(Mecze[[#This Row],[Match ID]],Meczusie[Mecz]:Meczusie[RodzajMeczu],2,FALSE)</f>
        <v>Towarzyski</v>
      </c>
    </row>
    <row r="1126" spans="1:37" x14ac:dyDescent="0.25">
      <c r="A1126" s="76">
        <v>53</v>
      </c>
      <c r="B1126" s="3" t="s">
        <v>415</v>
      </c>
      <c r="C1126" s="2" t="s">
        <v>165</v>
      </c>
      <c r="D1126" s="1">
        <v>0</v>
      </c>
      <c r="E1126" s="1">
        <v>2</v>
      </c>
      <c r="F1126" s="1">
        <v>1</v>
      </c>
      <c r="G1126" s="1">
        <v>7</v>
      </c>
      <c r="H1126" s="4">
        <v>0.43</v>
      </c>
      <c r="I1126" s="1">
        <v>8</v>
      </c>
      <c r="J1126" s="4">
        <v>0.25</v>
      </c>
      <c r="K1126" s="1">
        <v>0</v>
      </c>
      <c r="L1126" s="1">
        <v>0</v>
      </c>
      <c r="M1126" s="32">
        <f>IF(Mecze[[#This Row],[PR]]=0,0,Mecze[[#This Row],[PR]]/Mecze[[#This Row],[CZAS]])</f>
        <v>0</v>
      </c>
      <c r="N1126" s="32">
        <f>IF(Mecze[[#This Row],[OU]]=0,0,Mecze[[#This Row],[OU]]/Mecze[[#This Row],[CZAS]])</f>
        <v>2.0408163265306121E-2</v>
      </c>
      <c r="O1126" s="32">
        <f>IF(Mecze[[#This Row],[PC]]=0,0,Mecze[[#This Row],[PC]]/Mecze[[#This Row],[CZAS]])</f>
        <v>3.0612244897959183E-2</v>
      </c>
      <c r="P1126" s="32">
        <f>IF(Mecze[[#This Row],[SC]]=0,0,Mecze[[#This Row],[SC]]/Mecze[[#This Row],[CZAS]])</f>
        <v>1.020408163265306E-2</v>
      </c>
      <c r="Q1126" s="32">
        <f>IF(Mecze[[#This Row],[OB]]=0,0,Mecze[[#This Row],[OB]]/Mecze[[#This Row],[CZAS]])</f>
        <v>0</v>
      </c>
      <c r="R1126" s="32">
        <f>IF(Mecze[[#This Row],[BR]]=0,0,Mecze[[#This Row],[BR]]/Mecze[[#This Row],[CZAS]])</f>
        <v>0</v>
      </c>
      <c r="S1126" s="44">
        <f>IF(Mecze[[#This Row],[Role]]="BR",SUMPRODUCT(Mecze[[#This Row],[/PR:90]:[/BR:90]],Brudnopis!$E$23:$J$23),0)</f>
        <v>0</v>
      </c>
      <c r="T1126" s="44">
        <f>IF(Mecze[[#This Row],[Role]]&lt;&gt;"BR",SUMPRODUCT(Mecze[[#This Row],[/PR:90]:[/BR:90]],Brudnopis!$E$24:$J$24),0)</f>
        <v>7.1428571428571425E-2</v>
      </c>
      <c r="U1126" s="44">
        <f>IF(Mecze[[#This Row],[Role]]&lt;&gt;"BR",SUMPRODUCT(Mecze[[#This Row],[/PR:90]:[/BR:90]],Brudnopis!$E$25:$J$25),0)</f>
        <v>7.6530612244897947E-2</v>
      </c>
      <c r="V1126" s="44">
        <f>IF(Mecze[[#This Row],[Role]]&lt;&gt;"BR",SUMPRODUCT(Mecze[[#This Row],[/PR:90]:[/BR:90]],Brudnopis!$E$26:$J$26),0)</f>
        <v>6.1224489795918366E-2</v>
      </c>
      <c r="W1126" s="44">
        <f>IF(Mecze[[#This Row],[Role]]&lt;&gt;"BR",SUMPRODUCT(Mecze[[#This Row],[/PR:90]:[/BR:90]],Brudnopis!$E$27:$J$27),0)</f>
        <v>7.1428571428571425E-2</v>
      </c>
      <c r="X1126" s="44">
        <f>IF(Mecze[[#This Row],[Role]]&lt;&gt;"BR",SUMPRODUCT(Mecze[[#This Row],[/PR:90]:[/BR:90]],Brudnopis!$E$28:$J$28),0)</f>
        <v>5.1020408163265307E-2</v>
      </c>
      <c r="Y1126" s="35">
        <f>IF(Mecze[[#This Row],[Role]]="BR",Mecze[[#This Row],[/OB:90]]+Mecze[[#This Row],[/PC:90]],SUM(Mecze[[#This Row],[/PR:90]:[/BR:90]]))</f>
        <v>6.1224489795918366E-2</v>
      </c>
      <c r="Z1126" s="35">
        <f>IF(Mecze[[#This Row],[KC]]=0,SUM(Mecze[[#This Row],[/BRI]:[/NPI]]),SUM(Mecze[[#This Row],[/BRI]:[/NPI]])*0.6)</f>
        <v>0.33163265306122452</v>
      </c>
      <c r="AA1126" s="10">
        <f>IFERROR(Mecze[[#This Row],[BR]]/Mecze[[#This Row],[ST]],0)</f>
        <v>0</v>
      </c>
      <c r="AB1126">
        <f>ROUND(Mecze[[#This Row],[PD]]*Mecze[[#This Row],[%PC]],0)</f>
        <v>3</v>
      </c>
      <c r="AC1126">
        <f>ROUND(Mecze[[#This Row],[OD]]*Mecze[[#This Row],[%OU]],0)</f>
        <v>2</v>
      </c>
      <c r="AD1126" s="36" t="s">
        <v>46</v>
      </c>
      <c r="AE1126" s="36">
        <v>62</v>
      </c>
      <c r="AF1126" s="71">
        <v>2.93</v>
      </c>
      <c r="AG1126" s="37">
        <v>0</v>
      </c>
      <c r="AH1126" s="37">
        <v>0</v>
      </c>
      <c r="AI1126" s="37">
        <v>98</v>
      </c>
      <c r="AJ1126" s="37">
        <v>1</v>
      </c>
      <c r="AK1126" s="37" t="str">
        <f>VLOOKUP(Mecze[[#This Row],[Match ID]],Meczusie[Mecz]:Meczusie[RodzajMeczu],2,FALSE)</f>
        <v>Towarzyski</v>
      </c>
    </row>
    <row r="1127" spans="1:37" x14ac:dyDescent="0.25">
      <c r="A1127" s="76">
        <v>26</v>
      </c>
      <c r="B1127" s="3" t="s">
        <v>368</v>
      </c>
      <c r="C1127" s="2" t="s">
        <v>165</v>
      </c>
      <c r="D1127" s="1">
        <v>2</v>
      </c>
      <c r="E1127" s="1">
        <v>6</v>
      </c>
      <c r="F1127" s="1">
        <v>6</v>
      </c>
      <c r="G1127" s="1">
        <v>10</v>
      </c>
      <c r="H1127" s="4">
        <v>0.3</v>
      </c>
      <c r="I1127" s="1">
        <v>5</v>
      </c>
      <c r="J1127" s="4">
        <v>0</v>
      </c>
      <c r="K1127" s="1">
        <v>0</v>
      </c>
      <c r="L1127" s="1">
        <v>0</v>
      </c>
      <c r="M1127" s="32">
        <f>IF(Mecze[[#This Row],[PR]]=0,0,Mecze[[#This Row],[PR]]/Mecze[[#This Row],[CZAS]])</f>
        <v>0</v>
      </c>
      <c r="N1127" s="32">
        <f>IF(Mecze[[#This Row],[OU]]=0,0,Mecze[[#This Row],[OU]]/Mecze[[#This Row],[CZAS]])</f>
        <v>0</v>
      </c>
      <c r="O1127" s="32">
        <f>IF(Mecze[[#This Row],[PC]]=0,0,Mecze[[#This Row],[PC]]/Mecze[[#This Row],[CZAS]])</f>
        <v>3.0612244897959183E-2</v>
      </c>
      <c r="P1127" s="32">
        <f>IF(Mecze[[#This Row],[SC]]=0,0,Mecze[[#This Row],[SC]]/Mecze[[#This Row],[CZAS]])</f>
        <v>6.1224489795918366E-2</v>
      </c>
      <c r="Q1127" s="32">
        <f>IF(Mecze[[#This Row],[OB]]=0,0,Mecze[[#This Row],[OB]]/Mecze[[#This Row],[CZAS]])</f>
        <v>0</v>
      </c>
      <c r="R1127" s="32">
        <f>IF(Mecze[[#This Row],[BR]]=0,0,Mecze[[#This Row],[BR]]/Mecze[[#This Row],[CZAS]])</f>
        <v>2.0408163265306121E-2</v>
      </c>
      <c r="S1127" s="44">
        <f>IF(Mecze[[#This Row],[Role]]="BR",SUMPRODUCT(Mecze[[#This Row],[/PR:90]:[/BR:90]],Brudnopis!$E$23:$J$23),0)</f>
        <v>0</v>
      </c>
      <c r="T1127" s="44">
        <f>IF(Mecze[[#This Row],[Role]]&lt;&gt;"BR",SUMPRODUCT(Mecze[[#This Row],[/PR:90]:[/BR:90]],Brudnopis!$E$24:$J$24),0)</f>
        <v>0.12244897959183673</v>
      </c>
      <c r="U1127" s="44">
        <f>IF(Mecze[[#This Row],[Role]]&lt;&gt;"BR",SUMPRODUCT(Mecze[[#This Row],[/PR:90]:[/BR:90]],Brudnopis!$E$25:$J$25),0)</f>
        <v>0.13775510204081631</v>
      </c>
      <c r="V1127" s="44">
        <f>IF(Mecze[[#This Row],[Role]]&lt;&gt;"BR",SUMPRODUCT(Mecze[[#This Row],[/PR:90]:[/BR:90]],Brudnopis!$E$26:$J$26),0)</f>
        <v>0.13265306122448978</v>
      </c>
      <c r="W1127" s="44">
        <f>IF(Mecze[[#This Row],[Role]]&lt;&gt;"BR",SUMPRODUCT(Mecze[[#This Row],[/PR:90]:[/BR:90]],Brudnopis!$E$27:$J$27),0)</f>
        <v>0.14795918367346939</v>
      </c>
      <c r="X1127" s="44">
        <f>IF(Mecze[[#This Row],[Role]]&lt;&gt;"BR",SUMPRODUCT(Mecze[[#This Row],[/PR:90]:[/BR:90]],Brudnopis!$E$28:$J$28),0)</f>
        <v>0.2142857142857143</v>
      </c>
      <c r="Y1127" s="35">
        <f>IF(Mecze[[#This Row],[Role]]="BR",Mecze[[#This Row],[/OB:90]]+Mecze[[#This Row],[/PC:90]],SUM(Mecze[[#This Row],[/PR:90]:[/BR:90]]))</f>
        <v>0.11224489795918366</v>
      </c>
      <c r="Z1127" s="35">
        <f>IF(Mecze[[#This Row],[KC]]=0,SUM(Mecze[[#This Row],[/BRI]:[/NPI]]),SUM(Mecze[[#This Row],[/BRI]:[/NPI]])*0.6)</f>
        <v>0.75510204081632659</v>
      </c>
      <c r="AA1127" s="10">
        <f>IFERROR(Mecze[[#This Row],[BR]]/Mecze[[#This Row],[ST]],0)</f>
        <v>0.33333333333333331</v>
      </c>
      <c r="AB1127">
        <f>ROUND(Mecze[[#This Row],[PD]]*Mecze[[#This Row],[%PC]],0)</f>
        <v>3</v>
      </c>
      <c r="AC1127">
        <f>ROUND(Mecze[[#This Row],[OD]]*Mecze[[#This Row],[%OU]],0)</f>
        <v>0</v>
      </c>
      <c r="AD1127" s="36" t="s">
        <v>46</v>
      </c>
      <c r="AE1127" s="36">
        <v>62</v>
      </c>
      <c r="AF1127" s="71">
        <v>8.6300000000000008</v>
      </c>
      <c r="AG1127" s="37">
        <v>0</v>
      </c>
      <c r="AH1127" s="37">
        <v>0</v>
      </c>
      <c r="AI1127" s="37">
        <v>98</v>
      </c>
      <c r="AJ1127" s="37">
        <v>1</v>
      </c>
      <c r="AK1127" s="37" t="str">
        <f>VLOOKUP(Mecze[[#This Row],[Match ID]],Meczusie[Mecz]:Meczusie[RodzajMeczu],2,FALSE)</f>
        <v>Towarzyski</v>
      </c>
    </row>
    <row r="1128" spans="1:37" x14ac:dyDescent="0.25">
      <c r="A1128" s="76">
        <v>48</v>
      </c>
      <c r="B1128" s="3" t="s">
        <v>414</v>
      </c>
      <c r="C1128" s="2" t="s">
        <v>165</v>
      </c>
      <c r="D1128" s="1">
        <v>0</v>
      </c>
      <c r="E1128" s="1">
        <v>4</v>
      </c>
      <c r="F1128" s="1">
        <v>4</v>
      </c>
      <c r="G1128" s="1">
        <v>3</v>
      </c>
      <c r="H1128" s="4">
        <v>0.67</v>
      </c>
      <c r="I1128" s="1">
        <v>2</v>
      </c>
      <c r="J1128" s="4">
        <v>0</v>
      </c>
      <c r="K1128" s="1">
        <v>0</v>
      </c>
      <c r="L1128" s="1">
        <v>1</v>
      </c>
      <c r="M1128" s="32">
        <f>IF(Mecze[[#This Row],[PR]]=0,0,Mecze[[#This Row],[PR]]/Mecze[[#This Row],[CZAS]])</f>
        <v>1.020408163265306E-2</v>
      </c>
      <c r="N1128" s="32">
        <f>IF(Mecze[[#This Row],[OU]]=0,0,Mecze[[#This Row],[OU]]/Mecze[[#This Row],[CZAS]])</f>
        <v>0</v>
      </c>
      <c r="O1128" s="32">
        <f>IF(Mecze[[#This Row],[PC]]=0,0,Mecze[[#This Row],[PC]]/Mecze[[#This Row],[CZAS]])</f>
        <v>2.0408163265306121E-2</v>
      </c>
      <c r="P1128" s="32">
        <f>IF(Mecze[[#This Row],[SC]]=0,0,Mecze[[#This Row],[SC]]/Mecze[[#This Row],[CZAS]])</f>
        <v>4.0816326530612242E-2</v>
      </c>
      <c r="Q1128" s="32">
        <f>IF(Mecze[[#This Row],[OB]]=0,0,Mecze[[#This Row],[OB]]/Mecze[[#This Row],[CZAS]])</f>
        <v>0</v>
      </c>
      <c r="R1128" s="32">
        <f>IF(Mecze[[#This Row],[BR]]=0,0,Mecze[[#This Row],[BR]]/Mecze[[#This Row],[CZAS]])</f>
        <v>0</v>
      </c>
      <c r="S1128" s="44">
        <f>IF(Mecze[[#This Row],[Role]]="BR",SUMPRODUCT(Mecze[[#This Row],[/PR:90]:[/BR:90]],Brudnopis!$E$23:$J$23),0)</f>
        <v>0</v>
      </c>
      <c r="T1128" s="44">
        <f>IF(Mecze[[#This Row],[Role]]&lt;&gt;"BR",SUMPRODUCT(Mecze[[#This Row],[/PR:90]:[/BR:90]],Brudnopis!$E$24:$J$24),0)</f>
        <v>7.1428571428571425E-2</v>
      </c>
      <c r="U1128" s="44">
        <f>IF(Mecze[[#This Row],[Role]]&lt;&gt;"BR",SUMPRODUCT(Mecze[[#This Row],[/PR:90]:[/BR:90]],Brudnopis!$E$25:$J$25),0)</f>
        <v>8.1632653061224483E-2</v>
      </c>
      <c r="V1128" s="44">
        <f>IF(Mecze[[#This Row],[Role]]&lt;&gt;"BR",SUMPRODUCT(Mecze[[#This Row],[/PR:90]:[/BR:90]],Brudnopis!$E$26:$J$26),0)</f>
        <v>7.1428571428571425E-2</v>
      </c>
      <c r="W1128" s="44">
        <f>IF(Mecze[[#This Row],[Role]]&lt;&gt;"BR",SUMPRODUCT(Mecze[[#This Row],[/PR:90]:[/BR:90]],Brudnopis!$E$27:$J$27),0)</f>
        <v>7.9081632653061229E-2</v>
      </c>
      <c r="X1128" s="44">
        <f>IF(Mecze[[#This Row],[Role]]&lt;&gt;"BR",SUMPRODUCT(Mecze[[#This Row],[/PR:90]:[/BR:90]],Brudnopis!$E$28:$J$28),0)</f>
        <v>0.1020408163265306</v>
      </c>
      <c r="Y1128" s="35">
        <f>IF(Mecze[[#This Row],[Role]]="BR",Mecze[[#This Row],[/OB:90]]+Mecze[[#This Row],[/PC:90]],SUM(Mecze[[#This Row],[/PR:90]:[/BR:90]]))</f>
        <v>7.1428571428571425E-2</v>
      </c>
      <c r="Z1128" s="35">
        <f>IF(Mecze[[#This Row],[KC]]=0,SUM(Mecze[[#This Row],[/BRI]:[/NPI]]),SUM(Mecze[[#This Row],[/BRI]:[/NPI]])*0.6)</f>
        <v>0.40561224489795922</v>
      </c>
      <c r="AA1128" s="10">
        <f>IFERROR(Mecze[[#This Row],[BR]]/Mecze[[#This Row],[ST]],0)</f>
        <v>0</v>
      </c>
      <c r="AB1128">
        <f>ROUND(Mecze[[#This Row],[PD]]*Mecze[[#This Row],[%PC]],0)</f>
        <v>2</v>
      </c>
      <c r="AC1128">
        <f>ROUND(Mecze[[#This Row],[OD]]*Mecze[[#This Row],[%OU]],0)</f>
        <v>0</v>
      </c>
      <c r="AD1128" s="36" t="s">
        <v>272</v>
      </c>
      <c r="AE1128" s="36">
        <v>62</v>
      </c>
      <c r="AF1128" s="71">
        <v>3.59</v>
      </c>
      <c r="AG1128" s="37">
        <v>0</v>
      </c>
      <c r="AH1128" s="37">
        <v>0</v>
      </c>
      <c r="AI1128" s="37">
        <v>98</v>
      </c>
      <c r="AJ1128" s="37">
        <v>1</v>
      </c>
      <c r="AK1128" s="37" t="str">
        <f>VLOOKUP(Mecze[[#This Row],[Match ID]],Meczusie[Mecz]:Meczusie[RodzajMeczu],2,FALSE)</f>
        <v>Towarzyski</v>
      </c>
    </row>
    <row r="1129" spans="1:37" x14ac:dyDescent="0.25">
      <c r="A1129" s="76">
        <v>49</v>
      </c>
      <c r="B1129" s="3" t="s">
        <v>358</v>
      </c>
      <c r="C1129" s="2" t="s">
        <v>155</v>
      </c>
      <c r="D1129" s="1">
        <v>0</v>
      </c>
      <c r="E1129" s="1">
        <v>0</v>
      </c>
      <c r="F1129" s="1">
        <v>0</v>
      </c>
      <c r="G1129" s="1">
        <v>4</v>
      </c>
      <c r="H1129" s="4">
        <v>0.25</v>
      </c>
      <c r="I1129" s="1">
        <v>0</v>
      </c>
      <c r="J1129" s="4"/>
      <c r="K1129" s="1">
        <v>2</v>
      </c>
      <c r="L1129" s="1">
        <v>0</v>
      </c>
      <c r="M1129" s="32">
        <f>IF(Mecze[[#This Row],[PR]]=0,0,Mecze[[#This Row],[PR]]/Mecze[[#This Row],[CZAS]])</f>
        <v>0</v>
      </c>
      <c r="N1129" s="32">
        <f>IF(Mecze[[#This Row],[OU]]=0,0,Mecze[[#This Row],[OU]]/Mecze[[#This Row],[CZAS]])</f>
        <v>0</v>
      </c>
      <c r="O1129" s="32">
        <f>IF(Mecze[[#This Row],[PC]]=0,0,Mecze[[#This Row],[PC]]/Mecze[[#This Row],[CZAS]])</f>
        <v>1.0416666666666666E-2</v>
      </c>
      <c r="P1129" s="32">
        <f>IF(Mecze[[#This Row],[SC]]=0,0,Mecze[[#This Row],[SC]]/Mecze[[#This Row],[CZAS]])</f>
        <v>0</v>
      </c>
      <c r="Q1129" s="32">
        <f>IF(Mecze[[#This Row],[OB]]=0,0,Mecze[[#This Row],[OB]]/Mecze[[#This Row],[CZAS]])</f>
        <v>2.0833333333333332E-2</v>
      </c>
      <c r="R1129" s="32">
        <f>IF(Mecze[[#This Row],[BR]]=0,0,Mecze[[#This Row],[BR]]/Mecze[[#This Row],[CZAS]])</f>
        <v>0</v>
      </c>
      <c r="S1129" s="44">
        <f>IF(Mecze[[#This Row],[Role]]="BR",SUMPRODUCT(Mecze[[#This Row],[/PR:90]:[/BR:90]],Brudnopis!$E$23:$J$23),0)</f>
        <v>9.375E-2</v>
      </c>
      <c r="T1129" s="44">
        <f>IF(Mecze[[#This Row],[Role]]&lt;&gt;"BR",SUMPRODUCT(Mecze[[#This Row],[/PR:90]:[/BR:90]],Brudnopis!$E$24:$J$24),0)</f>
        <v>0</v>
      </c>
      <c r="U1129" s="44">
        <f>IF(Mecze[[#This Row],[Role]]&lt;&gt;"BR",SUMPRODUCT(Mecze[[#This Row],[/PR:90]:[/BR:90]],Brudnopis!$E$25:$J$25),0)</f>
        <v>0</v>
      </c>
      <c r="V1129" s="44">
        <f>IF(Mecze[[#This Row],[Role]]&lt;&gt;"BR",SUMPRODUCT(Mecze[[#This Row],[/PR:90]:[/BR:90]],Brudnopis!$E$26:$J$26),0)</f>
        <v>0</v>
      </c>
      <c r="W1129" s="44">
        <f>IF(Mecze[[#This Row],[Role]]&lt;&gt;"BR",SUMPRODUCT(Mecze[[#This Row],[/PR:90]:[/BR:90]],Brudnopis!$E$27:$J$27),0)</f>
        <v>0</v>
      </c>
      <c r="X1129" s="44">
        <f>IF(Mecze[[#This Row],[Role]]&lt;&gt;"BR",SUMPRODUCT(Mecze[[#This Row],[/PR:90]:[/BR:90]],Brudnopis!$E$28:$J$28),0)</f>
        <v>0</v>
      </c>
      <c r="Y1129" s="35">
        <f>IF(Mecze[[#This Row],[Role]]="BR",Mecze[[#This Row],[/OB:90]]+Mecze[[#This Row],[/PC:90]],SUM(Mecze[[#This Row],[/PR:90]:[/BR:90]]))</f>
        <v>3.125E-2</v>
      </c>
      <c r="Z1129" s="35">
        <f>IF(Mecze[[#This Row],[KC]]=0,SUM(Mecze[[#This Row],[/BRI]:[/NPI]]),SUM(Mecze[[#This Row],[/BRI]:[/NPI]])*0.6)</f>
        <v>9.375E-2</v>
      </c>
      <c r="AA1129" s="10">
        <f>IFERROR(Mecze[[#This Row],[BR]]/Mecze[[#This Row],[ST]],0)</f>
        <v>0</v>
      </c>
      <c r="AB1129">
        <f>ROUND(Mecze[[#This Row],[PD]]*Mecze[[#This Row],[%PC]],0)</f>
        <v>1</v>
      </c>
      <c r="AC1129">
        <f>ROUND(Mecze[[#This Row],[OD]]*Mecze[[#This Row],[%OU]],0)</f>
        <v>0</v>
      </c>
      <c r="AD1129" s="36" t="s">
        <v>40</v>
      </c>
      <c r="AE1129" s="36">
        <v>63</v>
      </c>
      <c r="AF1129" s="71">
        <v>3.4</v>
      </c>
      <c r="AG1129" s="37">
        <v>0</v>
      </c>
      <c r="AH1129" s="37">
        <v>0</v>
      </c>
      <c r="AI1129" s="37">
        <v>96</v>
      </c>
      <c r="AJ1129" s="37">
        <v>1</v>
      </c>
      <c r="AK1129" s="37" t="str">
        <f>VLOOKUP(Mecze[[#This Row],[Match ID]],Meczusie[Mecz]:Meczusie[RodzajMeczu],2,FALSE)</f>
        <v>Towarzyski</v>
      </c>
    </row>
    <row r="1130" spans="1:37" x14ac:dyDescent="0.25">
      <c r="A1130" s="76">
        <v>38</v>
      </c>
      <c r="B1130" s="3" t="s">
        <v>359</v>
      </c>
      <c r="C1130" s="2" t="s">
        <v>157</v>
      </c>
      <c r="D1130" s="1">
        <v>0</v>
      </c>
      <c r="E1130" s="1">
        <v>0</v>
      </c>
      <c r="F1130" s="1">
        <v>0</v>
      </c>
      <c r="G1130" s="1">
        <v>16</v>
      </c>
      <c r="H1130" s="4">
        <v>0.5</v>
      </c>
      <c r="I1130" s="1">
        <v>6</v>
      </c>
      <c r="J1130" s="4">
        <v>0.5</v>
      </c>
      <c r="K1130" s="1">
        <v>0</v>
      </c>
      <c r="L1130" s="1">
        <v>17</v>
      </c>
      <c r="M1130" s="32">
        <f>IF(Mecze[[#This Row],[PR]]=0,0,Mecze[[#This Row],[PR]]/Mecze[[#This Row],[CZAS]])</f>
        <v>0.17708333333333334</v>
      </c>
      <c r="N1130" s="32">
        <f>IF(Mecze[[#This Row],[OU]]=0,0,Mecze[[#This Row],[OU]]/Mecze[[#This Row],[CZAS]])</f>
        <v>3.125E-2</v>
      </c>
      <c r="O1130" s="32">
        <f>IF(Mecze[[#This Row],[PC]]=0,0,Mecze[[#This Row],[PC]]/Mecze[[#This Row],[CZAS]])</f>
        <v>8.3333333333333329E-2</v>
      </c>
      <c r="P1130" s="32">
        <f>IF(Mecze[[#This Row],[SC]]=0,0,Mecze[[#This Row],[SC]]/Mecze[[#This Row],[CZAS]])</f>
        <v>0</v>
      </c>
      <c r="Q1130" s="32">
        <f>IF(Mecze[[#This Row],[OB]]=0,0,Mecze[[#This Row],[OB]]/Mecze[[#This Row],[CZAS]])</f>
        <v>0</v>
      </c>
      <c r="R1130" s="32">
        <f>IF(Mecze[[#This Row],[BR]]=0,0,Mecze[[#This Row],[BR]]/Mecze[[#This Row],[CZAS]])</f>
        <v>0</v>
      </c>
      <c r="S1130" s="44">
        <f>IF(Mecze[[#This Row],[Role]]="BR",SUMPRODUCT(Mecze[[#This Row],[/PR:90]:[/BR:90]],Brudnopis!$E$23:$J$23),0)</f>
        <v>0</v>
      </c>
      <c r="T1130" s="44">
        <f>IF(Mecze[[#This Row],[Role]]&lt;&gt;"BR",SUMPRODUCT(Mecze[[#This Row],[/PR:90]:[/BR:90]],Brudnopis!$E$24:$J$24),0)</f>
        <v>0.30729166666666669</v>
      </c>
      <c r="U1130" s="44">
        <f>IF(Mecze[[#This Row],[Role]]&lt;&gt;"BR",SUMPRODUCT(Mecze[[#This Row],[/PR:90]:[/BR:90]],Brudnopis!$E$25:$J$25),0)</f>
        <v>0.33333333333333337</v>
      </c>
      <c r="V1130" s="44">
        <f>IF(Mecze[[#This Row],[Role]]&lt;&gt;"BR",SUMPRODUCT(Mecze[[#This Row],[/PR:90]:[/BR:90]],Brudnopis!$E$26:$J$26),0)</f>
        <v>0.29166666666666669</v>
      </c>
      <c r="W1130" s="44">
        <f>IF(Mecze[[#This Row],[Role]]&lt;&gt;"BR",SUMPRODUCT(Mecze[[#This Row],[/PR:90]:[/BR:90]],Brudnopis!$E$27:$J$27),0)</f>
        <v>0.28125</v>
      </c>
      <c r="X1130" s="44">
        <f>IF(Mecze[[#This Row],[Role]]&lt;&gt;"BR",SUMPRODUCT(Mecze[[#This Row],[/PR:90]:[/BR:90]],Brudnopis!$E$28:$J$28),0)</f>
        <v>8.3333333333333329E-2</v>
      </c>
      <c r="Y1130" s="35">
        <f>IF(Mecze[[#This Row],[Role]]="BR",Mecze[[#This Row],[/OB:90]]+Mecze[[#This Row],[/PC:90]],SUM(Mecze[[#This Row],[/PR:90]:[/BR:90]]))</f>
        <v>0.29166666666666669</v>
      </c>
      <c r="Z1130" s="35">
        <f>IF(Mecze[[#This Row],[KC]]=0,SUM(Mecze[[#This Row],[/BRI]:[/NPI]]),SUM(Mecze[[#This Row],[/BRI]:[/NPI]])*0.6)</f>
        <v>1.296875</v>
      </c>
      <c r="AA1130" s="10">
        <f>IFERROR(Mecze[[#This Row],[BR]]/Mecze[[#This Row],[ST]],0)</f>
        <v>0</v>
      </c>
      <c r="AB1130">
        <f>ROUND(Mecze[[#This Row],[PD]]*Mecze[[#This Row],[%PC]],0)</f>
        <v>8</v>
      </c>
      <c r="AC1130">
        <f>ROUND(Mecze[[#This Row],[OD]]*Mecze[[#This Row],[%OU]],0)</f>
        <v>3</v>
      </c>
      <c r="AD1130" s="36" t="s">
        <v>47</v>
      </c>
      <c r="AE1130" s="36">
        <v>63</v>
      </c>
      <c r="AF1130" s="71">
        <v>7.39</v>
      </c>
      <c r="AG1130" s="37">
        <v>0</v>
      </c>
      <c r="AH1130" s="37">
        <v>0</v>
      </c>
      <c r="AI1130" s="37">
        <v>96</v>
      </c>
      <c r="AJ1130" s="37">
        <v>1</v>
      </c>
      <c r="AK1130" s="37" t="str">
        <f>VLOOKUP(Mecze[[#This Row],[Match ID]],Meczusie[Mecz]:Meczusie[RodzajMeczu],2,FALSE)</f>
        <v>Towarzyski</v>
      </c>
    </row>
    <row r="1131" spans="1:37" x14ac:dyDescent="0.25">
      <c r="A1131" s="76">
        <v>4</v>
      </c>
      <c r="B1131" s="3" t="s">
        <v>360</v>
      </c>
      <c r="C1131" s="2" t="s">
        <v>157</v>
      </c>
      <c r="D1131" s="1">
        <v>0</v>
      </c>
      <c r="E1131" s="1">
        <v>0</v>
      </c>
      <c r="F1131" s="1">
        <v>0</v>
      </c>
      <c r="G1131" s="1">
        <v>17</v>
      </c>
      <c r="H1131" s="4">
        <v>0.53</v>
      </c>
      <c r="I1131" s="1">
        <v>9</v>
      </c>
      <c r="J1131" s="4">
        <v>0.22</v>
      </c>
      <c r="K1131" s="1">
        <v>0</v>
      </c>
      <c r="L1131" s="1">
        <v>13</v>
      </c>
      <c r="M1131" s="32">
        <f>IF(Mecze[[#This Row],[PR]]=0,0,Mecze[[#This Row],[PR]]/Mecze[[#This Row],[CZAS]])</f>
        <v>0.13541666666666666</v>
      </c>
      <c r="N1131" s="32">
        <f>IF(Mecze[[#This Row],[OU]]=0,0,Mecze[[#This Row],[OU]]/Mecze[[#This Row],[CZAS]])</f>
        <v>2.0833333333333332E-2</v>
      </c>
      <c r="O1131" s="32">
        <f>IF(Mecze[[#This Row],[PC]]=0,0,Mecze[[#This Row],[PC]]/Mecze[[#This Row],[CZAS]])</f>
        <v>9.375E-2</v>
      </c>
      <c r="P1131" s="32">
        <f>IF(Mecze[[#This Row],[SC]]=0,0,Mecze[[#This Row],[SC]]/Mecze[[#This Row],[CZAS]])</f>
        <v>0</v>
      </c>
      <c r="Q1131" s="32">
        <f>IF(Mecze[[#This Row],[OB]]=0,0,Mecze[[#This Row],[OB]]/Mecze[[#This Row],[CZAS]])</f>
        <v>0</v>
      </c>
      <c r="R1131" s="32">
        <f>IF(Mecze[[#This Row],[BR]]=0,0,Mecze[[#This Row],[BR]]/Mecze[[#This Row],[CZAS]])</f>
        <v>0</v>
      </c>
      <c r="S1131" s="44">
        <f>IF(Mecze[[#This Row],[Role]]="BR",SUMPRODUCT(Mecze[[#This Row],[/PR:90]:[/BR:90]],Brudnopis!$E$23:$J$23),0)</f>
        <v>0</v>
      </c>
      <c r="T1131" s="44">
        <f>IF(Mecze[[#This Row],[Role]]&lt;&gt;"BR",SUMPRODUCT(Mecze[[#This Row],[/PR:90]:[/BR:90]],Brudnopis!$E$24:$J$24),0)</f>
        <v>0.26041666666666663</v>
      </c>
      <c r="U1131" s="44">
        <f>IF(Mecze[[#This Row],[Role]]&lt;&gt;"BR",SUMPRODUCT(Mecze[[#This Row],[/PR:90]:[/BR:90]],Brudnopis!$E$25:$J$25),0)</f>
        <v>0.296875</v>
      </c>
      <c r="V1131" s="44">
        <f>IF(Mecze[[#This Row],[Role]]&lt;&gt;"BR",SUMPRODUCT(Mecze[[#This Row],[/PR:90]:[/BR:90]],Brudnopis!$E$26:$J$26),0)</f>
        <v>0.25</v>
      </c>
      <c r="W1131" s="44">
        <f>IF(Mecze[[#This Row],[Role]]&lt;&gt;"BR",SUMPRODUCT(Mecze[[#This Row],[/PR:90]:[/BR:90]],Brudnopis!$E$27:$J$27),0)</f>
        <v>0.2578125</v>
      </c>
      <c r="X1131" s="44">
        <f>IF(Mecze[[#This Row],[Role]]&lt;&gt;"BR",SUMPRODUCT(Mecze[[#This Row],[/PR:90]:[/BR:90]],Brudnopis!$E$28:$J$28),0)</f>
        <v>9.375E-2</v>
      </c>
      <c r="Y1131" s="35">
        <f>IF(Mecze[[#This Row],[Role]]="BR",Mecze[[#This Row],[/OB:90]]+Mecze[[#This Row],[/PC:90]],SUM(Mecze[[#This Row],[/PR:90]:[/BR:90]]))</f>
        <v>0.25</v>
      </c>
      <c r="Z1131" s="35">
        <f>IF(Mecze[[#This Row],[KC]]=0,SUM(Mecze[[#This Row],[/BRI]:[/NPI]]),SUM(Mecze[[#This Row],[/BRI]:[/NPI]])*0.6)</f>
        <v>1.1588541666666665</v>
      </c>
      <c r="AA1131" s="10">
        <f>IFERROR(Mecze[[#This Row],[BR]]/Mecze[[#This Row],[ST]],0)</f>
        <v>0</v>
      </c>
      <c r="AB1131">
        <f>ROUND(Mecze[[#This Row],[PD]]*Mecze[[#This Row],[%PC]],0)</f>
        <v>9</v>
      </c>
      <c r="AC1131">
        <f>ROUND(Mecze[[#This Row],[OD]]*Mecze[[#This Row],[%OU]],0)</f>
        <v>2</v>
      </c>
      <c r="AD1131" s="36" t="s">
        <v>168</v>
      </c>
      <c r="AE1131" s="36">
        <v>63</v>
      </c>
      <c r="AF1131" s="71">
        <v>5.43</v>
      </c>
      <c r="AG1131" s="37">
        <v>0</v>
      </c>
      <c r="AH1131" s="37">
        <v>0</v>
      </c>
      <c r="AI1131" s="37">
        <v>96</v>
      </c>
      <c r="AJ1131" s="37">
        <v>1</v>
      </c>
      <c r="AK1131" s="37" t="str">
        <f>VLOOKUP(Mecze[[#This Row],[Match ID]],Meczusie[Mecz]:Meczusie[RodzajMeczu],2,FALSE)</f>
        <v>Towarzyski</v>
      </c>
    </row>
    <row r="1132" spans="1:37" x14ac:dyDescent="0.25">
      <c r="A1132" s="76">
        <v>42</v>
      </c>
      <c r="B1132" s="3" t="s">
        <v>361</v>
      </c>
      <c r="C1132" s="2" t="s">
        <v>157</v>
      </c>
      <c r="D1132" s="1">
        <v>0</v>
      </c>
      <c r="E1132" s="1">
        <v>0</v>
      </c>
      <c r="F1132" s="1">
        <v>0</v>
      </c>
      <c r="G1132" s="1">
        <v>4</v>
      </c>
      <c r="H1132" s="4">
        <v>0.5</v>
      </c>
      <c r="I1132" s="1">
        <v>6</v>
      </c>
      <c r="J1132" s="4">
        <v>0.33</v>
      </c>
      <c r="K1132" s="1">
        <v>0</v>
      </c>
      <c r="L1132" s="1">
        <v>6</v>
      </c>
      <c r="M1132" s="32">
        <f>IF(Mecze[[#This Row],[PR]]=0,0,Mecze[[#This Row],[PR]]/Mecze[[#This Row],[CZAS]])</f>
        <v>6.25E-2</v>
      </c>
      <c r="N1132" s="32">
        <f>IF(Mecze[[#This Row],[OU]]=0,0,Mecze[[#This Row],[OU]]/Mecze[[#This Row],[CZAS]])</f>
        <v>2.0833333333333332E-2</v>
      </c>
      <c r="O1132" s="32">
        <f>IF(Mecze[[#This Row],[PC]]=0,0,Mecze[[#This Row],[PC]]/Mecze[[#This Row],[CZAS]])</f>
        <v>2.0833333333333332E-2</v>
      </c>
      <c r="P1132" s="32">
        <f>IF(Mecze[[#This Row],[SC]]=0,0,Mecze[[#This Row],[SC]]/Mecze[[#This Row],[CZAS]])</f>
        <v>0</v>
      </c>
      <c r="Q1132" s="32">
        <f>IF(Mecze[[#This Row],[OB]]=0,0,Mecze[[#This Row],[OB]]/Mecze[[#This Row],[CZAS]])</f>
        <v>0</v>
      </c>
      <c r="R1132" s="32">
        <f>IF(Mecze[[#This Row],[BR]]=0,0,Mecze[[#This Row],[BR]]/Mecze[[#This Row],[CZAS]])</f>
        <v>0</v>
      </c>
      <c r="S1132" s="44">
        <f>IF(Mecze[[#This Row],[Role]]="BR",SUMPRODUCT(Mecze[[#This Row],[/PR:90]:[/BR:90]],Brudnopis!$E$23:$J$23),0)</f>
        <v>0</v>
      </c>
      <c r="T1132" s="44">
        <f>IF(Mecze[[#This Row],[Role]]&lt;&gt;"BR",SUMPRODUCT(Mecze[[#This Row],[/PR:90]:[/BR:90]],Brudnopis!$E$24:$J$24),0)</f>
        <v>0.11458333333333333</v>
      </c>
      <c r="U1132" s="44">
        <f>IF(Mecze[[#This Row],[Role]]&lt;&gt;"BR",SUMPRODUCT(Mecze[[#This Row],[/PR:90]:[/BR:90]],Brudnopis!$E$25:$J$25),0)</f>
        <v>0.11458333333333333</v>
      </c>
      <c r="V1132" s="44">
        <f>IF(Mecze[[#This Row],[Role]]&lt;&gt;"BR",SUMPRODUCT(Mecze[[#This Row],[/PR:90]:[/BR:90]],Brudnopis!$E$26:$J$26),0)</f>
        <v>0.10416666666666666</v>
      </c>
      <c r="W1132" s="44">
        <f>IF(Mecze[[#This Row],[Role]]&lt;&gt;"BR",SUMPRODUCT(Mecze[[#This Row],[/PR:90]:[/BR:90]],Brudnopis!$E$27:$J$27),0)</f>
        <v>9.375E-2</v>
      </c>
      <c r="X1132" s="44">
        <f>IF(Mecze[[#This Row],[Role]]&lt;&gt;"BR",SUMPRODUCT(Mecze[[#This Row],[/PR:90]:[/BR:90]],Brudnopis!$E$28:$J$28),0)</f>
        <v>2.0833333333333332E-2</v>
      </c>
      <c r="Y1132" s="35">
        <f>IF(Mecze[[#This Row],[Role]]="BR",Mecze[[#This Row],[/OB:90]]+Mecze[[#This Row],[/PC:90]],SUM(Mecze[[#This Row],[/PR:90]:[/BR:90]]))</f>
        <v>0.10416666666666666</v>
      </c>
      <c r="Z1132" s="35">
        <f>IF(Mecze[[#This Row],[KC]]=0,SUM(Mecze[[#This Row],[/BRI]:[/NPI]]),SUM(Mecze[[#This Row],[/BRI]:[/NPI]])*0.6)</f>
        <v>0.44791666666666663</v>
      </c>
      <c r="AA1132" s="10">
        <f>IFERROR(Mecze[[#This Row],[BR]]/Mecze[[#This Row],[ST]],0)</f>
        <v>0</v>
      </c>
      <c r="AB1132">
        <f>ROUND(Mecze[[#This Row],[PD]]*Mecze[[#This Row],[%PC]],0)</f>
        <v>2</v>
      </c>
      <c r="AC1132">
        <f>ROUND(Mecze[[#This Row],[OD]]*Mecze[[#This Row],[%OU]],0)</f>
        <v>2</v>
      </c>
      <c r="AD1132" s="36" t="s">
        <v>167</v>
      </c>
      <c r="AE1132" s="36">
        <v>63</v>
      </c>
      <c r="AF1132" s="71">
        <v>3.96</v>
      </c>
      <c r="AG1132" s="37">
        <v>0</v>
      </c>
      <c r="AH1132" s="37">
        <v>0</v>
      </c>
      <c r="AI1132" s="37">
        <v>96</v>
      </c>
      <c r="AJ1132" s="37">
        <v>1</v>
      </c>
      <c r="AK1132" s="37" t="str">
        <f>VLOOKUP(Mecze[[#This Row],[Match ID]],Meczusie[Mecz]:Meczusie[RodzajMeczu],2,FALSE)</f>
        <v>Towarzyski</v>
      </c>
    </row>
    <row r="1133" spans="1:37" x14ac:dyDescent="0.25">
      <c r="A1133" s="76">
        <v>33</v>
      </c>
      <c r="B1133" s="3" t="s">
        <v>362</v>
      </c>
      <c r="C1133" s="2" t="s">
        <v>160</v>
      </c>
      <c r="D1133" s="1">
        <v>0</v>
      </c>
      <c r="E1133" s="1">
        <v>0</v>
      </c>
      <c r="F1133" s="1">
        <v>0</v>
      </c>
      <c r="G1133" s="1">
        <v>16</v>
      </c>
      <c r="H1133" s="4">
        <v>0.44</v>
      </c>
      <c r="I1133" s="1">
        <v>7</v>
      </c>
      <c r="J1133" s="4">
        <v>0.14000000000000001</v>
      </c>
      <c r="K1133" s="1">
        <v>0</v>
      </c>
      <c r="L1133" s="1">
        <v>15</v>
      </c>
      <c r="M1133" s="32">
        <f>IF(Mecze[[#This Row],[PR]]=0,0,Mecze[[#This Row],[PR]]/Mecze[[#This Row],[CZAS]])</f>
        <v>0.15625</v>
      </c>
      <c r="N1133" s="32">
        <f>IF(Mecze[[#This Row],[OU]]=0,0,Mecze[[#This Row],[OU]]/Mecze[[#This Row],[CZAS]])</f>
        <v>1.0416666666666666E-2</v>
      </c>
      <c r="O1133" s="32">
        <f>IF(Mecze[[#This Row],[PC]]=0,0,Mecze[[#This Row],[PC]]/Mecze[[#This Row],[CZAS]])</f>
        <v>7.2916666666666671E-2</v>
      </c>
      <c r="P1133" s="32">
        <f>IF(Mecze[[#This Row],[SC]]=0,0,Mecze[[#This Row],[SC]]/Mecze[[#This Row],[CZAS]])</f>
        <v>0</v>
      </c>
      <c r="Q1133" s="32">
        <f>IF(Mecze[[#This Row],[OB]]=0,0,Mecze[[#This Row],[OB]]/Mecze[[#This Row],[CZAS]])</f>
        <v>0</v>
      </c>
      <c r="R1133" s="32">
        <f>IF(Mecze[[#This Row],[BR]]=0,0,Mecze[[#This Row],[BR]]/Mecze[[#This Row],[CZAS]])</f>
        <v>0</v>
      </c>
      <c r="S1133" s="44">
        <f>IF(Mecze[[#This Row],[Role]]="BR",SUMPRODUCT(Mecze[[#This Row],[/PR:90]:[/BR:90]],Brudnopis!$E$23:$J$23),0)</f>
        <v>0</v>
      </c>
      <c r="T1133" s="44">
        <f>IF(Mecze[[#This Row],[Role]]&lt;&gt;"BR",SUMPRODUCT(Mecze[[#This Row],[/PR:90]:[/BR:90]],Brudnopis!$E$24:$J$24),0)</f>
        <v>0.24479166666666669</v>
      </c>
      <c r="U1133" s="44">
        <f>IF(Mecze[[#This Row],[Role]]&lt;&gt;"BR",SUMPRODUCT(Mecze[[#This Row],[/PR:90]:[/BR:90]],Brudnopis!$E$25:$J$25),0)</f>
        <v>0.27604166666666663</v>
      </c>
      <c r="V1133" s="44">
        <f>IF(Mecze[[#This Row],[Role]]&lt;&gt;"BR",SUMPRODUCT(Mecze[[#This Row],[/PR:90]:[/BR:90]],Brudnopis!$E$26:$J$26),0)</f>
        <v>0.23958333333333331</v>
      </c>
      <c r="W1133" s="44">
        <f>IF(Mecze[[#This Row],[Role]]&lt;&gt;"BR",SUMPRODUCT(Mecze[[#This Row],[/PR:90]:[/BR:90]],Brudnopis!$E$27:$J$27),0)</f>
        <v>0.234375</v>
      </c>
      <c r="X1133" s="44">
        <f>IF(Mecze[[#This Row],[Role]]&lt;&gt;"BR",SUMPRODUCT(Mecze[[#This Row],[/PR:90]:[/BR:90]],Brudnopis!$E$28:$J$28),0)</f>
        <v>7.2916666666666671E-2</v>
      </c>
      <c r="Y1133" s="35">
        <f>IF(Mecze[[#This Row],[Role]]="BR",Mecze[[#This Row],[/OB:90]]+Mecze[[#This Row],[/PC:90]],SUM(Mecze[[#This Row],[/PR:90]:[/BR:90]]))</f>
        <v>0.23958333333333331</v>
      </c>
      <c r="Z1133" s="35">
        <f>IF(Mecze[[#This Row],[KC]]=0,SUM(Mecze[[#This Row],[/BRI]:[/NPI]]),SUM(Mecze[[#This Row],[/BRI]:[/NPI]])*0.6)</f>
        <v>1.0677083333333333</v>
      </c>
      <c r="AA1133" s="10">
        <f>IFERROR(Mecze[[#This Row],[BR]]/Mecze[[#This Row],[ST]],0)</f>
        <v>0</v>
      </c>
      <c r="AB1133">
        <f>ROUND(Mecze[[#This Row],[PD]]*Mecze[[#This Row],[%PC]],0)</f>
        <v>7</v>
      </c>
      <c r="AC1133">
        <f>ROUND(Mecze[[#This Row],[OD]]*Mecze[[#This Row],[%OU]],0)</f>
        <v>1</v>
      </c>
      <c r="AD1133" s="36" t="s">
        <v>41</v>
      </c>
      <c r="AE1133" s="36">
        <v>63</v>
      </c>
      <c r="AF1133" s="71">
        <v>5.85</v>
      </c>
      <c r="AG1133" s="37">
        <v>0</v>
      </c>
      <c r="AH1133" s="37">
        <v>0</v>
      </c>
      <c r="AI1133" s="37">
        <v>96</v>
      </c>
      <c r="AJ1133" s="37">
        <v>1</v>
      </c>
      <c r="AK1133" s="37" t="str">
        <f>VLOOKUP(Mecze[[#This Row],[Match ID]],Meczusie[Mecz]:Meczusie[RodzajMeczu],2,FALSE)</f>
        <v>Towarzyski</v>
      </c>
    </row>
    <row r="1134" spans="1:37" x14ac:dyDescent="0.25">
      <c r="A1134" s="76">
        <v>22</v>
      </c>
      <c r="B1134" s="3" t="s">
        <v>363</v>
      </c>
      <c r="C1134" s="2" t="s">
        <v>160</v>
      </c>
      <c r="D1134" s="1">
        <v>0</v>
      </c>
      <c r="E1134" s="1">
        <v>0</v>
      </c>
      <c r="F1134" s="1">
        <v>0</v>
      </c>
      <c r="G1134" s="1">
        <v>10</v>
      </c>
      <c r="H1134" s="4">
        <v>0.4</v>
      </c>
      <c r="I1134" s="1">
        <v>7</v>
      </c>
      <c r="J1134" s="4">
        <v>0.56999999999999995</v>
      </c>
      <c r="K1134" s="1">
        <v>0</v>
      </c>
      <c r="L1134" s="1">
        <v>5</v>
      </c>
      <c r="M1134" s="32">
        <f>IF(Mecze[[#This Row],[PR]]=0,0,Mecze[[#This Row],[PR]]/Mecze[[#This Row],[CZAS]])</f>
        <v>5.2083333333333336E-2</v>
      </c>
      <c r="N1134" s="32">
        <f>IF(Mecze[[#This Row],[OU]]=0,0,Mecze[[#This Row],[OU]]/Mecze[[#This Row],[CZAS]])</f>
        <v>4.1666666666666664E-2</v>
      </c>
      <c r="O1134" s="32">
        <f>IF(Mecze[[#This Row],[PC]]=0,0,Mecze[[#This Row],[PC]]/Mecze[[#This Row],[CZAS]])</f>
        <v>4.1666666666666664E-2</v>
      </c>
      <c r="P1134" s="32">
        <f>IF(Mecze[[#This Row],[SC]]=0,0,Mecze[[#This Row],[SC]]/Mecze[[#This Row],[CZAS]])</f>
        <v>0</v>
      </c>
      <c r="Q1134" s="32">
        <f>IF(Mecze[[#This Row],[OB]]=0,0,Mecze[[#This Row],[OB]]/Mecze[[#This Row],[CZAS]])</f>
        <v>0</v>
      </c>
      <c r="R1134" s="32">
        <f>IF(Mecze[[#This Row],[BR]]=0,0,Mecze[[#This Row],[BR]]/Mecze[[#This Row],[CZAS]])</f>
        <v>0</v>
      </c>
      <c r="S1134" s="44">
        <f>IF(Mecze[[#This Row],[Role]]="BR",SUMPRODUCT(Mecze[[#This Row],[/PR:90]:[/BR:90]],Brudnopis!$E$23:$J$23),0)</f>
        <v>0</v>
      </c>
      <c r="T1134" s="44">
        <f>IF(Mecze[[#This Row],[Role]]&lt;&gt;"BR",SUMPRODUCT(Mecze[[#This Row],[/PR:90]:[/BR:90]],Brudnopis!$E$24:$J$24),0)</f>
        <v>0.15625</v>
      </c>
      <c r="U1134" s="44">
        <f>IF(Mecze[[#This Row],[Role]]&lt;&gt;"BR",SUMPRODUCT(Mecze[[#This Row],[/PR:90]:[/BR:90]],Brudnopis!$E$25:$J$25),0)</f>
        <v>0.15625</v>
      </c>
      <c r="V1134" s="44">
        <f>IF(Mecze[[#This Row],[Role]]&lt;&gt;"BR",SUMPRODUCT(Mecze[[#This Row],[/PR:90]:[/BR:90]],Brudnopis!$E$26:$J$26),0)</f>
        <v>0.13541666666666666</v>
      </c>
      <c r="W1134" s="44">
        <f>IF(Mecze[[#This Row],[Role]]&lt;&gt;"BR",SUMPRODUCT(Mecze[[#This Row],[/PR:90]:[/BR:90]],Brudnopis!$E$27:$J$27),0)</f>
        <v>0.1328125</v>
      </c>
      <c r="X1134" s="44">
        <f>IF(Mecze[[#This Row],[Role]]&lt;&gt;"BR",SUMPRODUCT(Mecze[[#This Row],[/PR:90]:[/BR:90]],Brudnopis!$E$28:$J$28),0)</f>
        <v>4.1666666666666664E-2</v>
      </c>
      <c r="Y1134" s="35">
        <f>IF(Mecze[[#This Row],[Role]]="BR",Mecze[[#This Row],[/OB:90]]+Mecze[[#This Row],[/PC:90]],SUM(Mecze[[#This Row],[/PR:90]:[/BR:90]]))</f>
        <v>0.13541666666666666</v>
      </c>
      <c r="Z1134" s="35">
        <f>IF(Mecze[[#This Row],[KC]]=0,SUM(Mecze[[#This Row],[/BRI]:[/NPI]]),SUM(Mecze[[#This Row],[/BRI]:[/NPI]])*0.6)</f>
        <v>0.62239583333333326</v>
      </c>
      <c r="AA1134" s="10">
        <f>IFERROR(Mecze[[#This Row],[BR]]/Mecze[[#This Row],[ST]],0)</f>
        <v>0</v>
      </c>
      <c r="AB1134">
        <f>ROUND(Mecze[[#This Row],[PD]]*Mecze[[#This Row],[%PC]],0)</f>
        <v>4</v>
      </c>
      <c r="AC1134">
        <f>ROUND(Mecze[[#This Row],[OD]]*Mecze[[#This Row],[%OU]],0)</f>
        <v>4</v>
      </c>
      <c r="AD1134" s="36" t="s">
        <v>41</v>
      </c>
      <c r="AE1134" s="36">
        <v>63</v>
      </c>
      <c r="AF1134" s="71">
        <v>3.75</v>
      </c>
      <c r="AG1134" s="37">
        <v>0</v>
      </c>
      <c r="AH1134" s="37">
        <v>0</v>
      </c>
      <c r="AI1134" s="37">
        <v>96</v>
      </c>
      <c r="AJ1134" s="37">
        <v>1</v>
      </c>
      <c r="AK1134" s="37" t="str">
        <f>VLOOKUP(Mecze[[#This Row],[Match ID]],Meczusie[Mecz]:Meczusie[RodzajMeczu],2,FALSE)</f>
        <v>Towarzyski</v>
      </c>
    </row>
    <row r="1135" spans="1:37" x14ac:dyDescent="0.25">
      <c r="A1135" s="76">
        <v>27</v>
      </c>
      <c r="B1135" s="3" t="s">
        <v>364</v>
      </c>
      <c r="C1135" s="2" t="s">
        <v>160</v>
      </c>
      <c r="D1135" s="1">
        <v>0</v>
      </c>
      <c r="E1135" s="1">
        <v>0</v>
      </c>
      <c r="F1135" s="1">
        <v>0</v>
      </c>
      <c r="G1135" s="1">
        <v>8</v>
      </c>
      <c r="H1135" s="4">
        <v>0.5</v>
      </c>
      <c r="I1135" s="1">
        <v>0</v>
      </c>
      <c r="J1135" s="4"/>
      <c r="K1135" s="1">
        <v>0</v>
      </c>
      <c r="L1135" s="1">
        <v>2</v>
      </c>
      <c r="M1135" s="32">
        <f>IF(Mecze[[#This Row],[PR]]=0,0,Mecze[[#This Row],[PR]]/Mecze[[#This Row],[CZAS]])</f>
        <v>2.0833333333333332E-2</v>
      </c>
      <c r="N1135" s="32">
        <f>IF(Mecze[[#This Row],[OU]]=0,0,Mecze[[#This Row],[OU]]/Mecze[[#This Row],[CZAS]])</f>
        <v>0</v>
      </c>
      <c r="O1135" s="32">
        <f>IF(Mecze[[#This Row],[PC]]=0,0,Mecze[[#This Row],[PC]]/Mecze[[#This Row],[CZAS]])</f>
        <v>4.1666666666666664E-2</v>
      </c>
      <c r="P1135" s="32">
        <f>IF(Mecze[[#This Row],[SC]]=0,0,Mecze[[#This Row],[SC]]/Mecze[[#This Row],[CZAS]])</f>
        <v>0</v>
      </c>
      <c r="Q1135" s="32">
        <f>IF(Mecze[[#This Row],[OB]]=0,0,Mecze[[#This Row],[OB]]/Mecze[[#This Row],[CZAS]])</f>
        <v>0</v>
      </c>
      <c r="R1135" s="32">
        <f>IF(Mecze[[#This Row],[BR]]=0,0,Mecze[[#This Row],[BR]]/Mecze[[#This Row],[CZAS]])</f>
        <v>0</v>
      </c>
      <c r="S1135" s="44">
        <f>IF(Mecze[[#This Row],[Role]]="BR",SUMPRODUCT(Mecze[[#This Row],[/PR:90]:[/BR:90]],Brudnopis!$E$23:$J$23),0)</f>
        <v>0</v>
      </c>
      <c r="T1135" s="44">
        <f>IF(Mecze[[#This Row],[Role]]&lt;&gt;"BR",SUMPRODUCT(Mecze[[#This Row],[/PR:90]:[/BR:90]],Brudnopis!$E$24:$J$24),0)</f>
        <v>6.25E-2</v>
      </c>
      <c r="U1135" s="44">
        <f>IF(Mecze[[#This Row],[Role]]&lt;&gt;"BR",SUMPRODUCT(Mecze[[#This Row],[/PR:90]:[/BR:90]],Brudnopis!$E$25:$J$25),0)</f>
        <v>8.3333333333333329E-2</v>
      </c>
      <c r="V1135" s="44">
        <f>IF(Mecze[[#This Row],[Role]]&lt;&gt;"BR",SUMPRODUCT(Mecze[[#This Row],[/PR:90]:[/BR:90]],Brudnopis!$E$26:$J$26),0)</f>
        <v>6.25E-2</v>
      </c>
      <c r="W1135" s="44">
        <f>IF(Mecze[[#This Row],[Role]]&lt;&gt;"BR",SUMPRODUCT(Mecze[[#This Row],[/PR:90]:[/BR:90]],Brudnopis!$E$27:$J$27),0)</f>
        <v>7.8125E-2</v>
      </c>
      <c r="X1135" s="44">
        <f>IF(Mecze[[#This Row],[Role]]&lt;&gt;"BR",SUMPRODUCT(Mecze[[#This Row],[/PR:90]:[/BR:90]],Brudnopis!$E$28:$J$28),0)</f>
        <v>4.1666666666666664E-2</v>
      </c>
      <c r="Y1135" s="35">
        <f>IF(Mecze[[#This Row],[Role]]="BR",Mecze[[#This Row],[/OB:90]]+Mecze[[#This Row],[/PC:90]],SUM(Mecze[[#This Row],[/PR:90]:[/BR:90]]))</f>
        <v>6.25E-2</v>
      </c>
      <c r="Z1135" s="35">
        <f>IF(Mecze[[#This Row],[KC]]=0,SUM(Mecze[[#This Row],[/BRI]:[/NPI]]),SUM(Mecze[[#This Row],[/BRI]:[/NPI]])*0.6)</f>
        <v>0.328125</v>
      </c>
      <c r="AA1135" s="10">
        <f>IFERROR(Mecze[[#This Row],[BR]]/Mecze[[#This Row],[ST]],0)</f>
        <v>0</v>
      </c>
      <c r="AB1135">
        <f>ROUND(Mecze[[#This Row],[PD]]*Mecze[[#This Row],[%PC]],0)</f>
        <v>4</v>
      </c>
      <c r="AC1135">
        <f>ROUND(Mecze[[#This Row],[OD]]*Mecze[[#This Row],[%OU]],0)</f>
        <v>0</v>
      </c>
      <c r="AD1135" s="36" t="s">
        <v>44</v>
      </c>
      <c r="AE1135" s="36">
        <v>63</v>
      </c>
      <c r="AF1135" s="71">
        <v>4.33</v>
      </c>
      <c r="AG1135" s="37">
        <v>0</v>
      </c>
      <c r="AH1135" s="37">
        <v>0</v>
      </c>
      <c r="AI1135" s="37">
        <v>96</v>
      </c>
      <c r="AJ1135" s="37">
        <v>1</v>
      </c>
      <c r="AK1135" s="37" t="str">
        <f>VLOOKUP(Mecze[[#This Row],[Match ID]],Meczusie[Mecz]:Meczusie[RodzajMeczu],2,FALSE)</f>
        <v>Towarzyski</v>
      </c>
    </row>
    <row r="1136" spans="1:37" x14ac:dyDescent="0.25">
      <c r="A1136" s="76">
        <v>28</v>
      </c>
      <c r="B1136" s="3" t="s">
        <v>419</v>
      </c>
      <c r="C1136" s="2" t="s">
        <v>160</v>
      </c>
      <c r="D1136" s="1">
        <v>0</v>
      </c>
      <c r="E1136" s="1">
        <v>1</v>
      </c>
      <c r="F1136" s="1">
        <v>1</v>
      </c>
      <c r="G1136" s="1">
        <v>6</v>
      </c>
      <c r="H1136" s="4">
        <v>0.33</v>
      </c>
      <c r="I1136" s="1">
        <v>1</v>
      </c>
      <c r="J1136" s="4">
        <v>1</v>
      </c>
      <c r="K1136" s="1">
        <v>0</v>
      </c>
      <c r="L1136" s="1">
        <v>3</v>
      </c>
      <c r="M1136" s="32">
        <f>IF(Mecze[[#This Row],[PR]]=0,0,Mecze[[#This Row],[PR]]/Mecze[[#This Row],[CZAS]])</f>
        <v>3.125E-2</v>
      </c>
      <c r="N1136" s="32">
        <f>IF(Mecze[[#This Row],[OU]]=0,0,Mecze[[#This Row],[OU]]/Mecze[[#This Row],[CZAS]])</f>
        <v>1.0416666666666666E-2</v>
      </c>
      <c r="O1136" s="32">
        <f>IF(Mecze[[#This Row],[PC]]=0,0,Mecze[[#This Row],[PC]]/Mecze[[#This Row],[CZAS]])</f>
        <v>2.0833333333333332E-2</v>
      </c>
      <c r="P1136" s="32">
        <f>IF(Mecze[[#This Row],[SC]]=0,0,Mecze[[#This Row],[SC]]/Mecze[[#This Row],[CZAS]])</f>
        <v>1.0416666666666666E-2</v>
      </c>
      <c r="Q1136" s="32">
        <f>IF(Mecze[[#This Row],[OB]]=0,0,Mecze[[#This Row],[OB]]/Mecze[[#This Row],[CZAS]])</f>
        <v>0</v>
      </c>
      <c r="R1136" s="32">
        <f>IF(Mecze[[#This Row],[BR]]=0,0,Mecze[[#This Row],[BR]]/Mecze[[#This Row],[CZAS]])</f>
        <v>0</v>
      </c>
      <c r="S1136" s="44">
        <f>IF(Mecze[[#This Row],[Role]]="BR",SUMPRODUCT(Mecze[[#This Row],[/PR:90]:[/BR:90]],Brudnopis!$E$23:$J$23),0)</f>
        <v>0</v>
      </c>
      <c r="T1136" s="44">
        <f>IF(Mecze[[#This Row],[Role]]&lt;&gt;"BR",SUMPRODUCT(Mecze[[#This Row],[/PR:90]:[/BR:90]],Brudnopis!$E$24:$J$24),0)</f>
        <v>7.8125E-2</v>
      </c>
      <c r="U1136" s="44">
        <f>IF(Mecze[[#This Row],[Role]]&lt;&gt;"BR",SUMPRODUCT(Mecze[[#This Row],[/PR:90]:[/BR:90]],Brudnopis!$E$25:$J$25),0)</f>
        <v>8.3333333333333329E-2</v>
      </c>
      <c r="V1136" s="44">
        <f>IF(Mecze[[#This Row],[Role]]&lt;&gt;"BR",SUMPRODUCT(Mecze[[#This Row],[/PR:90]:[/BR:90]],Brudnopis!$E$26:$J$26),0)</f>
        <v>7.2916666666666671E-2</v>
      </c>
      <c r="W1136" s="44">
        <f>IF(Mecze[[#This Row],[Role]]&lt;&gt;"BR",SUMPRODUCT(Mecze[[#This Row],[/PR:90]:[/BR:90]],Brudnopis!$E$27:$J$27),0)</f>
        <v>7.2916666666666671E-2</v>
      </c>
      <c r="X1136" s="44">
        <f>IF(Mecze[[#This Row],[Role]]&lt;&gt;"BR",SUMPRODUCT(Mecze[[#This Row],[/PR:90]:[/BR:90]],Brudnopis!$E$28:$J$28),0)</f>
        <v>4.1666666666666664E-2</v>
      </c>
      <c r="Y1136" s="35">
        <f>IF(Mecze[[#This Row],[Role]]="BR",Mecze[[#This Row],[/OB:90]]+Mecze[[#This Row],[/PC:90]],SUM(Mecze[[#This Row],[/PR:90]:[/BR:90]]))</f>
        <v>7.2916666666666671E-2</v>
      </c>
      <c r="Z1136" s="35">
        <f>IF(Mecze[[#This Row],[KC]]=0,SUM(Mecze[[#This Row],[/BRI]:[/NPI]]),SUM(Mecze[[#This Row],[/BRI]:[/NPI]])*0.6)</f>
        <v>0.34895833333333337</v>
      </c>
      <c r="AA1136" s="10">
        <f>IFERROR(Mecze[[#This Row],[BR]]/Mecze[[#This Row],[ST]],0)</f>
        <v>0</v>
      </c>
      <c r="AB1136">
        <f>ROUND(Mecze[[#This Row],[PD]]*Mecze[[#This Row],[%PC]],0)</f>
        <v>2</v>
      </c>
      <c r="AC1136">
        <f>ROUND(Mecze[[#This Row],[OD]]*Mecze[[#This Row],[%OU]],0)</f>
        <v>1</v>
      </c>
      <c r="AD1136" s="36" t="s">
        <v>44</v>
      </c>
      <c r="AE1136" s="36">
        <v>63</v>
      </c>
      <c r="AF1136" s="71">
        <v>3.56</v>
      </c>
      <c r="AG1136" s="37">
        <v>0</v>
      </c>
      <c r="AH1136" s="37">
        <v>0</v>
      </c>
      <c r="AI1136" s="37">
        <v>96</v>
      </c>
      <c r="AJ1136" s="37">
        <v>1</v>
      </c>
      <c r="AK1136" s="37" t="str">
        <f>VLOOKUP(Mecze[[#This Row],[Match ID]],Meczusie[Mecz]:Meczusie[RodzajMeczu],2,FALSE)</f>
        <v>Towarzyski</v>
      </c>
    </row>
    <row r="1137" spans="1:37" x14ac:dyDescent="0.25">
      <c r="A1137" s="76">
        <v>53</v>
      </c>
      <c r="B1137" s="3" t="s">
        <v>415</v>
      </c>
      <c r="C1137" s="2" t="s">
        <v>165</v>
      </c>
      <c r="D1137" s="1">
        <v>0</v>
      </c>
      <c r="E1137" s="1">
        <v>4</v>
      </c>
      <c r="F1137" s="1">
        <v>4</v>
      </c>
      <c r="G1137" s="1">
        <v>5</v>
      </c>
      <c r="H1137" s="4">
        <v>0</v>
      </c>
      <c r="I1137" s="1">
        <v>10</v>
      </c>
      <c r="J1137" s="4">
        <v>0.3</v>
      </c>
      <c r="K1137" s="1">
        <v>0</v>
      </c>
      <c r="L1137" s="1">
        <v>0</v>
      </c>
      <c r="M1137" s="32">
        <f>IF(Mecze[[#This Row],[PR]]=0,0,Mecze[[#This Row],[PR]]/Mecze[[#This Row],[CZAS]])</f>
        <v>0</v>
      </c>
      <c r="N1137" s="32">
        <f>IF(Mecze[[#This Row],[OU]]=0,0,Mecze[[#This Row],[OU]]/Mecze[[#This Row],[CZAS]])</f>
        <v>3.125E-2</v>
      </c>
      <c r="O1137" s="32">
        <f>IF(Mecze[[#This Row],[PC]]=0,0,Mecze[[#This Row],[PC]]/Mecze[[#This Row],[CZAS]])</f>
        <v>0</v>
      </c>
      <c r="P1137" s="32">
        <f>IF(Mecze[[#This Row],[SC]]=0,0,Mecze[[#This Row],[SC]]/Mecze[[#This Row],[CZAS]])</f>
        <v>4.1666666666666664E-2</v>
      </c>
      <c r="Q1137" s="32">
        <f>IF(Mecze[[#This Row],[OB]]=0,0,Mecze[[#This Row],[OB]]/Mecze[[#This Row],[CZAS]])</f>
        <v>0</v>
      </c>
      <c r="R1137" s="32">
        <f>IF(Mecze[[#This Row],[BR]]=0,0,Mecze[[#This Row],[BR]]/Mecze[[#This Row],[CZAS]])</f>
        <v>0</v>
      </c>
      <c r="S1137" s="44">
        <f>IF(Mecze[[#This Row],[Role]]="BR",SUMPRODUCT(Mecze[[#This Row],[/PR:90]:[/BR:90]],Brudnopis!$E$23:$J$23),0)</f>
        <v>0</v>
      </c>
      <c r="T1137" s="44">
        <f>IF(Mecze[[#This Row],[Role]]&lt;&gt;"BR",SUMPRODUCT(Mecze[[#This Row],[/PR:90]:[/BR:90]],Brudnopis!$E$24:$J$24),0)</f>
        <v>8.8541666666666657E-2</v>
      </c>
      <c r="U1137" s="44">
        <f>IF(Mecze[[#This Row],[Role]]&lt;&gt;"BR",SUMPRODUCT(Mecze[[#This Row],[/PR:90]:[/BR:90]],Brudnopis!$E$25:$J$25),0)</f>
        <v>7.2916666666666657E-2</v>
      </c>
      <c r="V1137" s="44">
        <f>IF(Mecze[[#This Row],[Role]]&lt;&gt;"BR",SUMPRODUCT(Mecze[[#This Row],[/PR:90]:[/BR:90]],Brudnopis!$E$26:$J$26),0)</f>
        <v>7.2916666666666657E-2</v>
      </c>
      <c r="W1137" s="44">
        <f>IF(Mecze[[#This Row],[Role]]&lt;&gt;"BR",SUMPRODUCT(Mecze[[#This Row],[/PR:90]:[/BR:90]],Brudnopis!$E$27:$J$27),0)</f>
        <v>6.5104166666666657E-2</v>
      </c>
      <c r="X1137" s="44">
        <f>IF(Mecze[[#This Row],[Role]]&lt;&gt;"BR",SUMPRODUCT(Mecze[[#This Row],[/PR:90]:[/BR:90]],Brudnopis!$E$28:$J$28),0)</f>
        <v>8.3333333333333329E-2</v>
      </c>
      <c r="Y1137" s="35">
        <f>IF(Mecze[[#This Row],[Role]]="BR",Mecze[[#This Row],[/OB:90]]+Mecze[[#This Row],[/PC:90]],SUM(Mecze[[#This Row],[/PR:90]:[/BR:90]]))</f>
        <v>7.2916666666666657E-2</v>
      </c>
      <c r="Z1137" s="35">
        <f>IF(Mecze[[#This Row],[KC]]=0,SUM(Mecze[[#This Row],[/BRI]:[/NPI]]),SUM(Mecze[[#This Row],[/BRI]:[/NPI]])*0.6)</f>
        <v>0.38281249999999994</v>
      </c>
      <c r="AA1137" s="10">
        <f>IFERROR(Mecze[[#This Row],[BR]]/Mecze[[#This Row],[ST]],0)</f>
        <v>0</v>
      </c>
      <c r="AB1137">
        <f>ROUND(Mecze[[#This Row],[PD]]*Mecze[[#This Row],[%PC]],0)</f>
        <v>0</v>
      </c>
      <c r="AC1137">
        <f>ROUND(Mecze[[#This Row],[OD]]*Mecze[[#This Row],[%OU]],0)</f>
        <v>3</v>
      </c>
      <c r="AD1137" s="36" t="s">
        <v>46</v>
      </c>
      <c r="AE1137" s="36">
        <v>63</v>
      </c>
      <c r="AF1137" s="71">
        <v>2.48</v>
      </c>
      <c r="AG1137" s="37">
        <v>1</v>
      </c>
      <c r="AH1137" s="37">
        <v>0</v>
      </c>
      <c r="AI1137" s="37">
        <v>96</v>
      </c>
      <c r="AJ1137" s="37">
        <v>1</v>
      </c>
      <c r="AK1137" s="37" t="str">
        <f>VLOOKUP(Mecze[[#This Row],[Match ID]],Meczusie[Mecz]:Meczusie[RodzajMeczu],2,FALSE)</f>
        <v>Towarzyski</v>
      </c>
    </row>
    <row r="1138" spans="1:37" x14ac:dyDescent="0.25">
      <c r="A1138" s="76">
        <v>26</v>
      </c>
      <c r="B1138" s="3" t="s">
        <v>368</v>
      </c>
      <c r="C1138" s="2" t="s">
        <v>165</v>
      </c>
      <c r="D1138" s="1">
        <v>1</v>
      </c>
      <c r="E1138" s="1">
        <v>6</v>
      </c>
      <c r="F1138" s="1">
        <v>5</v>
      </c>
      <c r="G1138" s="1">
        <v>8</v>
      </c>
      <c r="H1138" s="4">
        <v>0.38</v>
      </c>
      <c r="I1138" s="1">
        <v>3</v>
      </c>
      <c r="J1138" s="4">
        <v>0</v>
      </c>
      <c r="K1138" s="1">
        <v>0</v>
      </c>
      <c r="L1138" s="1">
        <v>0</v>
      </c>
      <c r="M1138" s="32">
        <f>IF(Mecze[[#This Row],[PR]]=0,0,Mecze[[#This Row],[PR]]/Mecze[[#This Row],[CZAS]])</f>
        <v>0</v>
      </c>
      <c r="N1138" s="32">
        <f>IF(Mecze[[#This Row],[OU]]=0,0,Mecze[[#This Row],[OU]]/Mecze[[#This Row],[CZAS]])</f>
        <v>0</v>
      </c>
      <c r="O1138" s="32">
        <f>IF(Mecze[[#This Row],[PC]]=0,0,Mecze[[#This Row],[PC]]/Mecze[[#This Row],[CZAS]])</f>
        <v>3.125E-2</v>
      </c>
      <c r="P1138" s="32">
        <f>IF(Mecze[[#This Row],[SC]]=0,0,Mecze[[#This Row],[SC]]/Mecze[[#This Row],[CZAS]])</f>
        <v>5.2083333333333336E-2</v>
      </c>
      <c r="Q1138" s="32">
        <f>IF(Mecze[[#This Row],[OB]]=0,0,Mecze[[#This Row],[OB]]/Mecze[[#This Row],[CZAS]])</f>
        <v>0</v>
      </c>
      <c r="R1138" s="32">
        <f>IF(Mecze[[#This Row],[BR]]=0,0,Mecze[[#This Row],[BR]]/Mecze[[#This Row],[CZAS]])</f>
        <v>1.0416666666666666E-2</v>
      </c>
      <c r="S1138" s="44">
        <f>IF(Mecze[[#This Row],[Role]]="BR",SUMPRODUCT(Mecze[[#This Row],[/PR:90]:[/BR:90]],Brudnopis!$E$23:$J$23),0)</f>
        <v>0</v>
      </c>
      <c r="T1138" s="44">
        <f>IF(Mecze[[#This Row],[Role]]&lt;&gt;"BR",SUMPRODUCT(Mecze[[#This Row],[/PR:90]:[/BR:90]],Brudnopis!$E$24:$J$24),0)</f>
        <v>9.8958333333333343E-2</v>
      </c>
      <c r="U1138" s="44">
        <f>IF(Mecze[[#This Row],[Role]]&lt;&gt;"BR",SUMPRODUCT(Mecze[[#This Row],[/PR:90]:[/BR:90]],Brudnopis!$E$25:$J$25),0)</f>
        <v>0.11458333333333334</v>
      </c>
      <c r="V1138" s="44">
        <f>IF(Mecze[[#This Row],[Role]]&lt;&gt;"BR",SUMPRODUCT(Mecze[[#This Row],[/PR:90]:[/BR:90]],Brudnopis!$E$26:$J$26),0)</f>
        <v>0.10416666666666667</v>
      </c>
      <c r="W1138" s="44">
        <f>IF(Mecze[[#This Row],[Role]]&lt;&gt;"BR",SUMPRODUCT(Mecze[[#This Row],[/PR:90]:[/BR:90]],Brudnopis!$E$27:$J$27),0)</f>
        <v>0.11979166666666667</v>
      </c>
      <c r="X1138" s="44">
        <f>IF(Mecze[[#This Row],[Role]]&lt;&gt;"BR",SUMPRODUCT(Mecze[[#This Row],[/PR:90]:[/BR:90]],Brudnopis!$E$28:$J$28),0)</f>
        <v>0.16666666666666669</v>
      </c>
      <c r="Y1138" s="35">
        <f>IF(Mecze[[#This Row],[Role]]="BR",Mecze[[#This Row],[/OB:90]]+Mecze[[#This Row],[/PC:90]],SUM(Mecze[[#This Row],[/PR:90]:[/BR:90]]))</f>
        <v>9.3750000000000014E-2</v>
      </c>
      <c r="Z1138" s="35">
        <f>IF(Mecze[[#This Row],[KC]]=0,SUM(Mecze[[#This Row],[/BRI]:[/NPI]]),SUM(Mecze[[#This Row],[/BRI]:[/NPI]])*0.6)</f>
        <v>0.60416666666666674</v>
      </c>
      <c r="AA1138" s="10">
        <f>IFERROR(Mecze[[#This Row],[BR]]/Mecze[[#This Row],[ST]],0)</f>
        <v>0.16666666666666666</v>
      </c>
      <c r="AB1138">
        <f>ROUND(Mecze[[#This Row],[PD]]*Mecze[[#This Row],[%PC]],0)</f>
        <v>3</v>
      </c>
      <c r="AC1138">
        <f>ROUND(Mecze[[#This Row],[OD]]*Mecze[[#This Row],[%OU]],0)</f>
        <v>0</v>
      </c>
      <c r="AD1138" s="36" t="s">
        <v>46</v>
      </c>
      <c r="AE1138" s="36">
        <v>63</v>
      </c>
      <c r="AF1138" s="71">
        <v>6.11</v>
      </c>
      <c r="AG1138" s="37">
        <v>0</v>
      </c>
      <c r="AH1138" s="37">
        <v>0</v>
      </c>
      <c r="AI1138" s="37">
        <v>96</v>
      </c>
      <c r="AJ1138" s="37">
        <v>1</v>
      </c>
      <c r="AK1138" s="37" t="str">
        <f>VLOOKUP(Mecze[[#This Row],[Match ID]],Meczusie[Mecz]:Meczusie[RodzajMeczu],2,FALSE)</f>
        <v>Towarzyski</v>
      </c>
    </row>
    <row r="1139" spans="1:37" x14ac:dyDescent="0.25">
      <c r="A1139" s="76">
        <v>48</v>
      </c>
      <c r="B1139" s="3" t="s">
        <v>414</v>
      </c>
      <c r="C1139" s="2" t="s">
        <v>165</v>
      </c>
      <c r="D1139" s="1">
        <v>0</v>
      </c>
      <c r="E1139" s="1">
        <v>0</v>
      </c>
      <c r="F1139" s="1">
        <v>0</v>
      </c>
      <c r="G1139" s="1">
        <v>2</v>
      </c>
      <c r="H1139" s="4">
        <v>0.5</v>
      </c>
      <c r="I1139" s="1">
        <v>3</v>
      </c>
      <c r="J1139" s="4">
        <v>0</v>
      </c>
      <c r="K1139" s="1">
        <v>0</v>
      </c>
      <c r="L1139" s="1">
        <v>0</v>
      </c>
      <c r="M1139" s="32">
        <f>IF(Mecze[[#This Row],[PR]]=0,0,Mecze[[#This Row],[PR]]/Mecze[[#This Row],[CZAS]])</f>
        <v>0</v>
      </c>
      <c r="N1139" s="32">
        <f>IF(Mecze[[#This Row],[OU]]=0,0,Mecze[[#This Row],[OU]]/Mecze[[#This Row],[CZAS]])</f>
        <v>0</v>
      </c>
      <c r="O1139" s="32">
        <f>IF(Mecze[[#This Row],[PC]]=0,0,Mecze[[#This Row],[PC]]/Mecze[[#This Row],[CZAS]])</f>
        <v>1.0416666666666666E-2</v>
      </c>
      <c r="P1139" s="32">
        <f>IF(Mecze[[#This Row],[SC]]=0,0,Mecze[[#This Row],[SC]]/Mecze[[#This Row],[CZAS]])</f>
        <v>0</v>
      </c>
      <c r="Q1139" s="32">
        <f>IF(Mecze[[#This Row],[OB]]=0,0,Mecze[[#This Row],[OB]]/Mecze[[#This Row],[CZAS]])</f>
        <v>0</v>
      </c>
      <c r="R1139" s="32">
        <f>IF(Mecze[[#This Row],[BR]]=0,0,Mecze[[#This Row],[BR]]/Mecze[[#This Row],[CZAS]])</f>
        <v>0</v>
      </c>
      <c r="S1139" s="44">
        <f>IF(Mecze[[#This Row],[Role]]="BR",SUMPRODUCT(Mecze[[#This Row],[/PR:90]:[/BR:90]],Brudnopis!$E$23:$J$23),0)</f>
        <v>0</v>
      </c>
      <c r="T1139" s="44">
        <f>IF(Mecze[[#This Row],[Role]]&lt;&gt;"BR",SUMPRODUCT(Mecze[[#This Row],[/PR:90]:[/BR:90]],Brudnopis!$E$24:$J$24),0)</f>
        <v>1.0416666666666666E-2</v>
      </c>
      <c r="U1139" s="44">
        <f>IF(Mecze[[#This Row],[Role]]&lt;&gt;"BR",SUMPRODUCT(Mecze[[#This Row],[/PR:90]:[/BR:90]],Brudnopis!$E$25:$J$25),0)</f>
        <v>1.5625E-2</v>
      </c>
      <c r="V1139" s="44">
        <f>IF(Mecze[[#This Row],[Role]]&lt;&gt;"BR",SUMPRODUCT(Mecze[[#This Row],[/PR:90]:[/BR:90]],Brudnopis!$E$26:$J$26),0)</f>
        <v>1.0416666666666666E-2</v>
      </c>
      <c r="W1139" s="44">
        <f>IF(Mecze[[#This Row],[Role]]&lt;&gt;"BR",SUMPRODUCT(Mecze[[#This Row],[/PR:90]:[/BR:90]],Brudnopis!$E$27:$J$27),0)</f>
        <v>1.5625E-2</v>
      </c>
      <c r="X1139" s="44">
        <f>IF(Mecze[[#This Row],[Role]]&lt;&gt;"BR",SUMPRODUCT(Mecze[[#This Row],[/PR:90]:[/BR:90]],Brudnopis!$E$28:$J$28),0)</f>
        <v>1.0416666666666666E-2</v>
      </c>
      <c r="Y1139" s="35">
        <f>IF(Mecze[[#This Row],[Role]]="BR",Mecze[[#This Row],[/OB:90]]+Mecze[[#This Row],[/PC:90]],SUM(Mecze[[#This Row],[/PR:90]:[/BR:90]]))</f>
        <v>1.0416666666666666E-2</v>
      </c>
      <c r="Z1139" s="35">
        <f>IF(Mecze[[#This Row],[KC]]=0,SUM(Mecze[[#This Row],[/BRI]:[/NPI]]),SUM(Mecze[[#This Row],[/BRI]:[/NPI]])*0.6)</f>
        <v>6.2499999999999993E-2</v>
      </c>
      <c r="AA1139" s="10">
        <f>IFERROR(Mecze[[#This Row],[BR]]/Mecze[[#This Row],[ST]],0)</f>
        <v>0</v>
      </c>
      <c r="AB1139">
        <f>ROUND(Mecze[[#This Row],[PD]]*Mecze[[#This Row],[%PC]],0)</f>
        <v>1</v>
      </c>
      <c r="AC1139">
        <f>ROUND(Mecze[[#This Row],[OD]]*Mecze[[#This Row],[%OU]],0)</f>
        <v>0</v>
      </c>
      <c r="AD1139" s="36" t="s">
        <v>272</v>
      </c>
      <c r="AE1139" s="36">
        <v>63</v>
      </c>
      <c r="AF1139" s="71">
        <v>2.71</v>
      </c>
      <c r="AG1139" s="37">
        <v>0</v>
      </c>
      <c r="AH1139" s="37">
        <v>0</v>
      </c>
      <c r="AI1139" s="37">
        <v>96</v>
      </c>
      <c r="AJ1139" s="37">
        <v>1</v>
      </c>
      <c r="AK1139" s="37" t="str">
        <f>VLOOKUP(Mecze[[#This Row],[Match ID]],Meczusie[Mecz]:Meczusie[RodzajMeczu],2,FALSE)</f>
        <v>Towarzyski</v>
      </c>
    </row>
    <row r="1140" spans="1:37" x14ac:dyDescent="0.25">
      <c r="A1140" s="76">
        <v>1</v>
      </c>
      <c r="B1140" s="3" t="s">
        <v>236</v>
      </c>
      <c r="C1140" s="2" t="s">
        <v>155</v>
      </c>
      <c r="D1140" s="1">
        <v>0</v>
      </c>
      <c r="E1140" s="1">
        <v>0</v>
      </c>
      <c r="F1140" s="1">
        <v>0</v>
      </c>
      <c r="G1140" s="1">
        <v>11</v>
      </c>
      <c r="H1140" s="4">
        <v>0.36</v>
      </c>
      <c r="I1140" s="1">
        <v>0</v>
      </c>
      <c r="J1140" s="4"/>
      <c r="K1140" s="1">
        <v>8</v>
      </c>
      <c r="L1140" s="1">
        <v>0</v>
      </c>
      <c r="M1140" s="32">
        <f>IF(Mecze[[#This Row],[PR]]=0,0,Mecze[[#This Row],[PR]]/Mecze[[#This Row],[CZAS]])</f>
        <v>0</v>
      </c>
      <c r="N1140" s="32">
        <f>IF(Mecze[[#This Row],[OU]]=0,0,Mecze[[#This Row],[OU]]/Mecze[[#This Row],[CZAS]])</f>
        <v>0</v>
      </c>
      <c r="O1140" s="32">
        <f>IF(Mecze[[#This Row],[PC]]=0,0,Mecze[[#This Row],[PC]]/Mecze[[#This Row],[CZAS]])</f>
        <v>4.1666666666666664E-2</v>
      </c>
      <c r="P1140" s="32">
        <f>IF(Mecze[[#This Row],[SC]]=0,0,Mecze[[#This Row],[SC]]/Mecze[[#This Row],[CZAS]])</f>
        <v>0</v>
      </c>
      <c r="Q1140" s="32">
        <f>IF(Mecze[[#This Row],[OB]]=0,0,Mecze[[#This Row],[OB]]/Mecze[[#This Row],[CZAS]])</f>
        <v>8.3333333333333329E-2</v>
      </c>
      <c r="R1140" s="32">
        <f>IF(Mecze[[#This Row],[BR]]=0,0,Mecze[[#This Row],[BR]]/Mecze[[#This Row],[CZAS]])</f>
        <v>0</v>
      </c>
      <c r="S1140" s="44">
        <f>IF(Mecze[[#This Row],[Role]]="BR",SUMPRODUCT(Mecze[[#This Row],[/PR:90]:[/BR:90]],Brudnopis!$E$23:$J$23),0)</f>
        <v>0.375</v>
      </c>
      <c r="T1140" s="44">
        <f>IF(Mecze[[#This Row],[Role]]&lt;&gt;"BR",SUMPRODUCT(Mecze[[#This Row],[/PR:90]:[/BR:90]],Brudnopis!$E$24:$J$24),0)</f>
        <v>0</v>
      </c>
      <c r="U1140" s="44">
        <f>IF(Mecze[[#This Row],[Role]]&lt;&gt;"BR",SUMPRODUCT(Mecze[[#This Row],[/PR:90]:[/BR:90]],Brudnopis!$E$25:$J$25),0)</f>
        <v>0</v>
      </c>
      <c r="V1140" s="44">
        <f>IF(Mecze[[#This Row],[Role]]&lt;&gt;"BR",SUMPRODUCT(Mecze[[#This Row],[/PR:90]:[/BR:90]],Brudnopis!$E$26:$J$26),0)</f>
        <v>0</v>
      </c>
      <c r="W1140" s="44">
        <f>IF(Mecze[[#This Row],[Role]]&lt;&gt;"BR",SUMPRODUCT(Mecze[[#This Row],[/PR:90]:[/BR:90]],Brudnopis!$E$27:$J$27),0)</f>
        <v>0</v>
      </c>
      <c r="X1140" s="44">
        <f>IF(Mecze[[#This Row],[Role]]&lt;&gt;"BR",SUMPRODUCT(Mecze[[#This Row],[/PR:90]:[/BR:90]],Brudnopis!$E$28:$J$28),0)</f>
        <v>0</v>
      </c>
      <c r="Y1140" s="35">
        <f>IF(Mecze[[#This Row],[Role]]="BR",Mecze[[#This Row],[/OB:90]]+Mecze[[#This Row],[/PC:90]],SUM(Mecze[[#This Row],[/PR:90]:[/BR:90]]))</f>
        <v>0.125</v>
      </c>
      <c r="Z1140" s="35">
        <f>IF(Mecze[[#This Row],[KC]]=0,SUM(Mecze[[#This Row],[/BRI]:[/NPI]]),SUM(Mecze[[#This Row],[/BRI]:[/NPI]])*0.6)</f>
        <v>0.375</v>
      </c>
      <c r="AA1140" s="10">
        <f>IFERROR(Mecze[[#This Row],[BR]]/Mecze[[#This Row],[ST]],0)</f>
        <v>0</v>
      </c>
      <c r="AB1140">
        <f>ROUND(Mecze[[#This Row],[PD]]*Mecze[[#This Row],[%PC]],0)</f>
        <v>4</v>
      </c>
      <c r="AC1140">
        <f>ROUND(Mecze[[#This Row],[OD]]*Mecze[[#This Row],[%OU]],0)</f>
        <v>0</v>
      </c>
      <c r="AD1140" s="36" t="s">
        <v>40</v>
      </c>
      <c r="AE1140" s="36">
        <v>64</v>
      </c>
      <c r="AF1140" s="71">
        <v>3.38</v>
      </c>
      <c r="AG1140" s="37">
        <v>0</v>
      </c>
      <c r="AH1140" s="37">
        <v>0</v>
      </c>
      <c r="AI1140" s="37">
        <v>96</v>
      </c>
      <c r="AJ1140" s="37">
        <v>10</v>
      </c>
      <c r="AK1140" s="37" t="str">
        <f>VLOOKUP(Mecze[[#This Row],[Match ID]],Meczusie[Mecz]:Meczusie[RodzajMeczu],2,FALSE)</f>
        <v>Liga</v>
      </c>
    </row>
    <row r="1141" spans="1:37" x14ac:dyDescent="0.25">
      <c r="A1141" s="76">
        <v>3</v>
      </c>
      <c r="B1141" s="3" t="s">
        <v>237</v>
      </c>
      <c r="C1141" s="2" t="s">
        <v>157</v>
      </c>
      <c r="D1141" s="1">
        <v>0</v>
      </c>
      <c r="E1141" s="1">
        <v>0</v>
      </c>
      <c r="F1141" s="1">
        <v>0</v>
      </c>
      <c r="G1141" s="1">
        <v>8</v>
      </c>
      <c r="H1141" s="4">
        <v>0.75</v>
      </c>
      <c r="I1141" s="1">
        <v>5</v>
      </c>
      <c r="J1141" s="4">
        <v>0.4</v>
      </c>
      <c r="K1141" s="1">
        <v>0</v>
      </c>
      <c r="L1141" s="1">
        <v>3</v>
      </c>
      <c r="M1141" s="32">
        <f>IF(Mecze[[#This Row],[PR]]=0,0,Mecze[[#This Row],[PR]]/Mecze[[#This Row],[CZAS]])</f>
        <v>3.125E-2</v>
      </c>
      <c r="N1141" s="32">
        <f>IF(Mecze[[#This Row],[OU]]=0,0,Mecze[[#This Row],[OU]]/Mecze[[#This Row],[CZAS]])</f>
        <v>2.0833333333333332E-2</v>
      </c>
      <c r="O1141" s="32">
        <f>IF(Mecze[[#This Row],[PC]]=0,0,Mecze[[#This Row],[PC]]/Mecze[[#This Row],[CZAS]])</f>
        <v>6.25E-2</v>
      </c>
      <c r="P1141" s="32">
        <f>IF(Mecze[[#This Row],[SC]]=0,0,Mecze[[#This Row],[SC]]/Mecze[[#This Row],[CZAS]])</f>
        <v>0</v>
      </c>
      <c r="Q1141" s="32">
        <f>IF(Mecze[[#This Row],[OB]]=0,0,Mecze[[#This Row],[OB]]/Mecze[[#This Row],[CZAS]])</f>
        <v>0</v>
      </c>
      <c r="R1141" s="32">
        <f>IF(Mecze[[#This Row],[BR]]=0,0,Mecze[[#This Row],[BR]]/Mecze[[#This Row],[CZAS]])</f>
        <v>0</v>
      </c>
      <c r="S1141" s="44">
        <f>IF(Mecze[[#This Row],[Role]]="BR",SUMPRODUCT(Mecze[[#This Row],[/PR:90]:[/BR:90]],Brudnopis!$E$23:$J$23),0)</f>
        <v>0</v>
      </c>
      <c r="T1141" s="44">
        <f>IF(Mecze[[#This Row],[Role]]&lt;&gt;"BR",SUMPRODUCT(Mecze[[#This Row],[/PR:90]:[/BR:90]],Brudnopis!$E$24:$J$24),0)</f>
        <v>0.125</v>
      </c>
      <c r="U1141" s="44">
        <f>IF(Mecze[[#This Row],[Role]]&lt;&gt;"BR",SUMPRODUCT(Mecze[[#This Row],[/PR:90]:[/BR:90]],Brudnopis!$E$25:$J$25),0)</f>
        <v>0.14583333333333331</v>
      </c>
      <c r="V1141" s="44">
        <f>IF(Mecze[[#This Row],[Role]]&lt;&gt;"BR",SUMPRODUCT(Mecze[[#This Row],[/PR:90]:[/BR:90]],Brudnopis!$E$26:$J$26),0)</f>
        <v>0.11458333333333333</v>
      </c>
      <c r="W1141" s="44">
        <f>IF(Mecze[[#This Row],[Role]]&lt;&gt;"BR",SUMPRODUCT(Mecze[[#This Row],[/PR:90]:[/BR:90]],Brudnopis!$E$27:$J$27),0)</f>
        <v>0.1328125</v>
      </c>
      <c r="X1141" s="44">
        <f>IF(Mecze[[#This Row],[Role]]&lt;&gt;"BR",SUMPRODUCT(Mecze[[#This Row],[/PR:90]:[/BR:90]],Brudnopis!$E$28:$J$28),0)</f>
        <v>6.25E-2</v>
      </c>
      <c r="Y1141" s="35">
        <f>IF(Mecze[[#This Row],[Role]]="BR",Mecze[[#This Row],[/OB:90]]+Mecze[[#This Row],[/PC:90]],SUM(Mecze[[#This Row],[/PR:90]:[/BR:90]]))</f>
        <v>0.11458333333333333</v>
      </c>
      <c r="Z1141" s="35">
        <f>IF(Mecze[[#This Row],[KC]]=0,SUM(Mecze[[#This Row],[/BRI]:[/NPI]]),SUM(Mecze[[#This Row],[/BRI]:[/NPI]])*0.6)</f>
        <v>0.58072916666666663</v>
      </c>
      <c r="AA1141" s="10">
        <f>IFERROR(Mecze[[#This Row],[BR]]/Mecze[[#This Row],[ST]],0)</f>
        <v>0</v>
      </c>
      <c r="AB1141">
        <f>ROUND(Mecze[[#This Row],[PD]]*Mecze[[#This Row],[%PC]],0)</f>
        <v>6</v>
      </c>
      <c r="AC1141">
        <f>ROUND(Mecze[[#This Row],[OD]]*Mecze[[#This Row],[%OU]],0)</f>
        <v>2</v>
      </c>
      <c r="AD1141" s="36" t="s">
        <v>47</v>
      </c>
      <c r="AE1141" s="36">
        <v>64</v>
      </c>
      <c r="AF1141" s="71">
        <v>1.21</v>
      </c>
      <c r="AG1141" s="37">
        <v>0</v>
      </c>
      <c r="AH1141" s="37">
        <v>0</v>
      </c>
      <c r="AI1141" s="37">
        <v>96</v>
      </c>
      <c r="AJ1141" s="37">
        <v>10</v>
      </c>
      <c r="AK1141" s="37" t="str">
        <f>VLOOKUP(Mecze[[#This Row],[Match ID]],Meczusie[Mecz]:Meczusie[RodzajMeczu],2,FALSE)</f>
        <v>Liga</v>
      </c>
    </row>
    <row r="1142" spans="1:37" x14ac:dyDescent="0.25">
      <c r="A1142" s="76">
        <v>4</v>
      </c>
      <c r="B1142" s="3" t="s">
        <v>238</v>
      </c>
      <c r="C1142" s="2" t="s">
        <v>157</v>
      </c>
      <c r="D1142" s="1">
        <v>0</v>
      </c>
      <c r="E1142" s="1">
        <v>0</v>
      </c>
      <c r="F1142" s="1">
        <v>0</v>
      </c>
      <c r="G1142" s="1">
        <v>13</v>
      </c>
      <c r="H1142" s="4">
        <v>0.38</v>
      </c>
      <c r="I1142" s="1">
        <v>5</v>
      </c>
      <c r="J1142" s="4">
        <v>0.6</v>
      </c>
      <c r="K1142" s="1">
        <v>0</v>
      </c>
      <c r="L1142" s="1">
        <v>6</v>
      </c>
      <c r="M1142" s="32">
        <f>IF(Mecze[[#This Row],[PR]]=0,0,Mecze[[#This Row],[PR]]/Mecze[[#This Row],[CZAS]])</f>
        <v>6.25E-2</v>
      </c>
      <c r="N1142" s="32">
        <f>IF(Mecze[[#This Row],[OU]]=0,0,Mecze[[#This Row],[OU]]/Mecze[[#This Row],[CZAS]])</f>
        <v>3.125E-2</v>
      </c>
      <c r="O1142" s="32">
        <f>IF(Mecze[[#This Row],[PC]]=0,0,Mecze[[#This Row],[PC]]/Mecze[[#This Row],[CZAS]])</f>
        <v>5.2083333333333336E-2</v>
      </c>
      <c r="P1142" s="32">
        <f>IF(Mecze[[#This Row],[SC]]=0,0,Mecze[[#This Row],[SC]]/Mecze[[#This Row],[CZAS]])</f>
        <v>0</v>
      </c>
      <c r="Q1142" s="32">
        <f>IF(Mecze[[#This Row],[OB]]=0,0,Mecze[[#This Row],[OB]]/Mecze[[#This Row],[CZAS]])</f>
        <v>0</v>
      </c>
      <c r="R1142" s="32">
        <f>IF(Mecze[[#This Row],[BR]]=0,0,Mecze[[#This Row],[BR]]/Mecze[[#This Row],[CZAS]])</f>
        <v>0</v>
      </c>
      <c r="S1142" s="44">
        <f>IF(Mecze[[#This Row],[Role]]="BR",SUMPRODUCT(Mecze[[#This Row],[/PR:90]:[/BR:90]],Brudnopis!$E$23:$J$23),0)</f>
        <v>0</v>
      </c>
      <c r="T1142" s="44">
        <f>IF(Mecze[[#This Row],[Role]]&lt;&gt;"BR",SUMPRODUCT(Mecze[[#This Row],[/PR:90]:[/BR:90]],Brudnopis!$E$24:$J$24),0)</f>
        <v>0.16145833333333334</v>
      </c>
      <c r="U1142" s="44">
        <f>IF(Mecze[[#This Row],[Role]]&lt;&gt;"BR",SUMPRODUCT(Mecze[[#This Row],[/PR:90]:[/BR:90]],Brudnopis!$E$25:$J$25),0)</f>
        <v>0.171875</v>
      </c>
      <c r="V1142" s="44">
        <f>IF(Mecze[[#This Row],[Role]]&lt;&gt;"BR",SUMPRODUCT(Mecze[[#This Row],[/PR:90]:[/BR:90]],Brudnopis!$E$26:$J$26),0)</f>
        <v>0.14583333333333334</v>
      </c>
      <c r="W1142" s="44">
        <f>IF(Mecze[[#This Row],[Role]]&lt;&gt;"BR",SUMPRODUCT(Mecze[[#This Row],[/PR:90]:[/BR:90]],Brudnopis!$E$27:$J$27),0)</f>
        <v>0.1484375</v>
      </c>
      <c r="X1142" s="44">
        <f>IF(Mecze[[#This Row],[Role]]&lt;&gt;"BR",SUMPRODUCT(Mecze[[#This Row],[/PR:90]:[/BR:90]],Brudnopis!$E$28:$J$28),0)</f>
        <v>5.2083333333333336E-2</v>
      </c>
      <c r="Y1142" s="35">
        <f>IF(Mecze[[#This Row],[Role]]="BR",Mecze[[#This Row],[/OB:90]]+Mecze[[#This Row],[/PC:90]],SUM(Mecze[[#This Row],[/PR:90]:[/BR:90]]))</f>
        <v>0.14583333333333334</v>
      </c>
      <c r="Z1142" s="35">
        <f>IF(Mecze[[#This Row],[KC]]=0,SUM(Mecze[[#This Row],[/BRI]:[/NPI]]),SUM(Mecze[[#This Row],[/BRI]:[/NPI]])*0.6)</f>
        <v>0.67968750000000011</v>
      </c>
      <c r="AA1142" s="10">
        <f>IFERROR(Mecze[[#This Row],[BR]]/Mecze[[#This Row],[ST]],0)</f>
        <v>0</v>
      </c>
      <c r="AB1142">
        <f>ROUND(Mecze[[#This Row],[PD]]*Mecze[[#This Row],[%PC]],0)</f>
        <v>5</v>
      </c>
      <c r="AC1142">
        <f>ROUND(Mecze[[#This Row],[OD]]*Mecze[[#This Row],[%OU]],0)</f>
        <v>3</v>
      </c>
      <c r="AD1142" s="36" t="s">
        <v>47</v>
      </c>
      <c r="AE1142" s="36">
        <v>64</v>
      </c>
      <c r="AF1142" s="71">
        <v>2.96</v>
      </c>
      <c r="AG1142" s="37">
        <v>0</v>
      </c>
      <c r="AH1142" s="37">
        <v>0</v>
      </c>
      <c r="AI1142" s="37">
        <v>96</v>
      </c>
      <c r="AJ1142" s="37">
        <v>10</v>
      </c>
      <c r="AK1142" s="37" t="str">
        <f>VLOOKUP(Mecze[[#This Row],[Match ID]],Meczusie[Mecz]:Meczusie[RodzajMeczu],2,FALSE)</f>
        <v>Liga</v>
      </c>
    </row>
    <row r="1143" spans="1:37" x14ac:dyDescent="0.25">
      <c r="A1143" s="76">
        <v>2</v>
      </c>
      <c r="B1143" s="3" t="s">
        <v>240</v>
      </c>
      <c r="C1143" s="2" t="s">
        <v>157</v>
      </c>
      <c r="D1143" s="1">
        <v>0</v>
      </c>
      <c r="E1143" s="1">
        <v>0</v>
      </c>
      <c r="F1143" s="1">
        <v>0</v>
      </c>
      <c r="G1143" s="1">
        <v>12</v>
      </c>
      <c r="H1143" s="4">
        <v>0.75</v>
      </c>
      <c r="I1143" s="1">
        <v>5</v>
      </c>
      <c r="J1143" s="4">
        <v>0.6</v>
      </c>
      <c r="K1143" s="1">
        <v>0</v>
      </c>
      <c r="L1143" s="1">
        <v>7</v>
      </c>
      <c r="M1143" s="32">
        <f>IF(Mecze[[#This Row],[PR]]=0,0,Mecze[[#This Row],[PR]]/Mecze[[#This Row],[CZAS]])</f>
        <v>7.2916666666666671E-2</v>
      </c>
      <c r="N1143" s="32">
        <f>IF(Mecze[[#This Row],[OU]]=0,0,Mecze[[#This Row],[OU]]/Mecze[[#This Row],[CZAS]])</f>
        <v>3.125E-2</v>
      </c>
      <c r="O1143" s="32">
        <f>IF(Mecze[[#This Row],[PC]]=0,0,Mecze[[#This Row],[PC]]/Mecze[[#This Row],[CZAS]])</f>
        <v>9.375E-2</v>
      </c>
      <c r="P1143" s="32">
        <f>IF(Mecze[[#This Row],[SC]]=0,0,Mecze[[#This Row],[SC]]/Mecze[[#This Row],[CZAS]])</f>
        <v>0</v>
      </c>
      <c r="Q1143" s="32">
        <f>IF(Mecze[[#This Row],[OB]]=0,0,Mecze[[#This Row],[OB]]/Mecze[[#This Row],[CZAS]])</f>
        <v>0</v>
      </c>
      <c r="R1143" s="32">
        <f>IF(Mecze[[#This Row],[BR]]=0,0,Mecze[[#This Row],[BR]]/Mecze[[#This Row],[CZAS]])</f>
        <v>0</v>
      </c>
      <c r="S1143" s="44">
        <f>IF(Mecze[[#This Row],[Role]]="BR",SUMPRODUCT(Mecze[[#This Row],[/PR:90]:[/BR:90]],Brudnopis!$E$23:$J$23),0)</f>
        <v>0</v>
      </c>
      <c r="T1143" s="44">
        <f>IF(Mecze[[#This Row],[Role]]&lt;&gt;"BR",SUMPRODUCT(Mecze[[#This Row],[/PR:90]:[/BR:90]],Brudnopis!$E$24:$J$24),0)</f>
        <v>0.21354166666666669</v>
      </c>
      <c r="U1143" s="44">
        <f>IF(Mecze[[#This Row],[Role]]&lt;&gt;"BR",SUMPRODUCT(Mecze[[#This Row],[/PR:90]:[/BR:90]],Brudnopis!$E$25:$J$25),0)</f>
        <v>0.24479166666666669</v>
      </c>
      <c r="V1143" s="44">
        <f>IF(Mecze[[#This Row],[Role]]&lt;&gt;"BR",SUMPRODUCT(Mecze[[#This Row],[/PR:90]:[/BR:90]],Brudnopis!$E$26:$J$26),0)</f>
        <v>0.19791666666666669</v>
      </c>
      <c r="W1143" s="44">
        <f>IF(Mecze[[#This Row],[Role]]&lt;&gt;"BR",SUMPRODUCT(Mecze[[#This Row],[/PR:90]:[/BR:90]],Brudnopis!$E$27:$J$27),0)</f>
        <v>0.21875</v>
      </c>
      <c r="X1143" s="44">
        <f>IF(Mecze[[#This Row],[Role]]&lt;&gt;"BR",SUMPRODUCT(Mecze[[#This Row],[/PR:90]:[/BR:90]],Brudnopis!$E$28:$J$28),0)</f>
        <v>9.375E-2</v>
      </c>
      <c r="Y1143" s="35">
        <f>IF(Mecze[[#This Row],[Role]]="BR",Mecze[[#This Row],[/OB:90]]+Mecze[[#This Row],[/PC:90]],SUM(Mecze[[#This Row],[/PR:90]:[/BR:90]]))</f>
        <v>0.19791666666666669</v>
      </c>
      <c r="Z1143" s="35">
        <f>IF(Mecze[[#This Row],[KC]]=0,SUM(Mecze[[#This Row],[/BRI]:[/NPI]]),SUM(Mecze[[#This Row],[/BRI]:[/NPI]])*0.6)</f>
        <v>0.96875</v>
      </c>
      <c r="AA1143" s="10">
        <f>IFERROR(Mecze[[#This Row],[BR]]/Mecze[[#This Row],[ST]],0)</f>
        <v>0</v>
      </c>
      <c r="AB1143">
        <f>ROUND(Mecze[[#This Row],[PD]]*Mecze[[#This Row],[%PC]],0)</f>
        <v>9</v>
      </c>
      <c r="AC1143">
        <f>ROUND(Mecze[[#This Row],[OD]]*Mecze[[#This Row],[%OU]],0)</f>
        <v>3</v>
      </c>
      <c r="AD1143" s="36" t="s">
        <v>174</v>
      </c>
      <c r="AE1143" s="36">
        <v>64</v>
      </c>
      <c r="AF1143" s="71">
        <v>3.17</v>
      </c>
      <c r="AG1143" s="37">
        <v>0</v>
      </c>
      <c r="AH1143" s="37">
        <v>0</v>
      </c>
      <c r="AI1143" s="37">
        <v>96</v>
      </c>
      <c r="AJ1143" s="37">
        <v>10</v>
      </c>
      <c r="AK1143" s="37" t="str">
        <f>VLOOKUP(Mecze[[#This Row],[Match ID]],Meczusie[Mecz]:Meczusie[RodzajMeczu],2,FALSE)</f>
        <v>Liga</v>
      </c>
    </row>
    <row r="1144" spans="1:37" x14ac:dyDescent="0.25">
      <c r="A1144" s="76">
        <v>12</v>
      </c>
      <c r="B1144" s="3" t="s">
        <v>239</v>
      </c>
      <c r="C1144" s="2" t="s">
        <v>157</v>
      </c>
      <c r="D1144" s="1">
        <v>0</v>
      </c>
      <c r="E1144" s="1">
        <v>0</v>
      </c>
      <c r="F1144" s="1">
        <v>0</v>
      </c>
      <c r="G1144" s="1">
        <v>8</v>
      </c>
      <c r="H1144" s="4">
        <v>0.25</v>
      </c>
      <c r="I1144" s="1">
        <v>3</v>
      </c>
      <c r="J1144" s="4">
        <v>0.67</v>
      </c>
      <c r="K1144" s="1">
        <v>0</v>
      </c>
      <c r="L1144" s="1">
        <v>2</v>
      </c>
      <c r="M1144" s="32">
        <f>IF(Mecze[[#This Row],[PR]]=0,0,Mecze[[#This Row],[PR]]/Mecze[[#This Row],[CZAS]])</f>
        <v>2.0833333333333332E-2</v>
      </c>
      <c r="N1144" s="32">
        <f>IF(Mecze[[#This Row],[OU]]=0,0,Mecze[[#This Row],[OU]]/Mecze[[#This Row],[CZAS]])</f>
        <v>2.0833333333333332E-2</v>
      </c>
      <c r="O1144" s="32">
        <f>IF(Mecze[[#This Row],[PC]]=0,0,Mecze[[#This Row],[PC]]/Mecze[[#This Row],[CZAS]])</f>
        <v>2.0833333333333332E-2</v>
      </c>
      <c r="P1144" s="32">
        <f>IF(Mecze[[#This Row],[SC]]=0,0,Mecze[[#This Row],[SC]]/Mecze[[#This Row],[CZAS]])</f>
        <v>0</v>
      </c>
      <c r="Q1144" s="32">
        <f>IF(Mecze[[#This Row],[OB]]=0,0,Mecze[[#This Row],[OB]]/Mecze[[#This Row],[CZAS]])</f>
        <v>0</v>
      </c>
      <c r="R1144" s="32">
        <f>IF(Mecze[[#This Row],[BR]]=0,0,Mecze[[#This Row],[BR]]/Mecze[[#This Row],[CZAS]])</f>
        <v>0</v>
      </c>
      <c r="S1144" s="44">
        <f>IF(Mecze[[#This Row],[Role]]="BR",SUMPRODUCT(Mecze[[#This Row],[/PR:90]:[/BR:90]],Brudnopis!$E$23:$J$23),0)</f>
        <v>0</v>
      </c>
      <c r="T1144" s="44">
        <f>IF(Mecze[[#This Row],[Role]]&lt;&gt;"BR",SUMPRODUCT(Mecze[[#This Row],[/PR:90]:[/BR:90]],Brudnopis!$E$24:$J$24),0)</f>
        <v>7.2916666666666657E-2</v>
      </c>
      <c r="U1144" s="44">
        <f>IF(Mecze[[#This Row],[Role]]&lt;&gt;"BR",SUMPRODUCT(Mecze[[#This Row],[/PR:90]:[/BR:90]],Brudnopis!$E$25:$J$25),0)</f>
        <v>7.2916666666666657E-2</v>
      </c>
      <c r="V1144" s="44">
        <f>IF(Mecze[[#This Row],[Role]]&lt;&gt;"BR",SUMPRODUCT(Mecze[[#This Row],[/PR:90]:[/BR:90]],Brudnopis!$E$26:$J$26),0)</f>
        <v>6.25E-2</v>
      </c>
      <c r="W1144" s="44">
        <f>IF(Mecze[[#This Row],[Role]]&lt;&gt;"BR",SUMPRODUCT(Mecze[[#This Row],[/PR:90]:[/BR:90]],Brudnopis!$E$27:$J$27),0)</f>
        <v>6.25E-2</v>
      </c>
      <c r="X1144" s="44">
        <f>IF(Mecze[[#This Row],[Role]]&lt;&gt;"BR",SUMPRODUCT(Mecze[[#This Row],[/PR:90]:[/BR:90]],Brudnopis!$E$28:$J$28),0)</f>
        <v>2.0833333333333332E-2</v>
      </c>
      <c r="Y1144" s="35">
        <f>IF(Mecze[[#This Row],[Role]]="BR",Mecze[[#This Row],[/OB:90]]+Mecze[[#This Row],[/PC:90]],SUM(Mecze[[#This Row],[/PR:90]:[/BR:90]]))</f>
        <v>6.25E-2</v>
      </c>
      <c r="Z1144" s="35">
        <f>IF(Mecze[[#This Row],[KC]]=0,SUM(Mecze[[#This Row],[/BRI]:[/NPI]]),SUM(Mecze[[#This Row],[/BRI]:[/NPI]])*0.6)</f>
        <v>0.29166666666666663</v>
      </c>
      <c r="AA1144" s="10">
        <f>IFERROR(Mecze[[#This Row],[BR]]/Mecze[[#This Row],[ST]],0)</f>
        <v>0</v>
      </c>
      <c r="AB1144">
        <f>ROUND(Mecze[[#This Row],[PD]]*Mecze[[#This Row],[%PC]],0)</f>
        <v>2</v>
      </c>
      <c r="AC1144">
        <f>ROUND(Mecze[[#This Row],[OD]]*Mecze[[#This Row],[%OU]],0)</f>
        <v>2</v>
      </c>
      <c r="AD1144" s="36" t="s">
        <v>175</v>
      </c>
      <c r="AE1144" s="36">
        <v>64</v>
      </c>
      <c r="AF1144" s="71">
        <v>2.12</v>
      </c>
      <c r="AG1144" s="37">
        <v>0</v>
      </c>
      <c r="AH1144" s="37">
        <v>0</v>
      </c>
      <c r="AI1144" s="37">
        <v>96</v>
      </c>
      <c r="AJ1144" s="37">
        <v>10</v>
      </c>
      <c r="AK1144" s="37" t="str">
        <f>VLOOKUP(Mecze[[#This Row],[Match ID]],Meczusie[Mecz]:Meczusie[RodzajMeczu],2,FALSE)</f>
        <v>Liga</v>
      </c>
    </row>
    <row r="1145" spans="1:37" x14ac:dyDescent="0.25">
      <c r="A1145" s="76">
        <v>7</v>
      </c>
      <c r="B1145" s="3" t="s">
        <v>241</v>
      </c>
      <c r="C1145" s="2" t="s">
        <v>160</v>
      </c>
      <c r="D1145" s="1">
        <v>0</v>
      </c>
      <c r="E1145" s="1">
        <v>0</v>
      </c>
      <c r="F1145" s="1">
        <v>0</v>
      </c>
      <c r="G1145" s="1">
        <v>8</v>
      </c>
      <c r="H1145" s="4">
        <v>0.5</v>
      </c>
      <c r="I1145" s="1">
        <v>6</v>
      </c>
      <c r="J1145" s="4">
        <v>0.5</v>
      </c>
      <c r="K1145" s="1">
        <v>0</v>
      </c>
      <c r="L1145" s="1">
        <v>3</v>
      </c>
      <c r="M1145" s="32">
        <f>IF(Mecze[[#This Row],[PR]]=0,0,Mecze[[#This Row],[PR]]/Mecze[[#This Row],[CZAS]])</f>
        <v>3.125E-2</v>
      </c>
      <c r="N1145" s="32">
        <f>IF(Mecze[[#This Row],[OU]]=0,0,Mecze[[#This Row],[OU]]/Mecze[[#This Row],[CZAS]])</f>
        <v>3.125E-2</v>
      </c>
      <c r="O1145" s="32">
        <f>IF(Mecze[[#This Row],[PC]]=0,0,Mecze[[#This Row],[PC]]/Mecze[[#This Row],[CZAS]])</f>
        <v>4.1666666666666664E-2</v>
      </c>
      <c r="P1145" s="32">
        <f>IF(Mecze[[#This Row],[SC]]=0,0,Mecze[[#This Row],[SC]]/Mecze[[#This Row],[CZAS]])</f>
        <v>0</v>
      </c>
      <c r="Q1145" s="32">
        <f>IF(Mecze[[#This Row],[OB]]=0,0,Mecze[[#This Row],[OB]]/Mecze[[#This Row],[CZAS]])</f>
        <v>0</v>
      </c>
      <c r="R1145" s="32">
        <f>IF(Mecze[[#This Row],[BR]]=0,0,Mecze[[#This Row],[BR]]/Mecze[[#This Row],[CZAS]])</f>
        <v>0</v>
      </c>
      <c r="S1145" s="44">
        <f>IF(Mecze[[#This Row],[Role]]="BR",SUMPRODUCT(Mecze[[#This Row],[/PR:90]:[/BR:90]],Brudnopis!$E$23:$J$23),0)</f>
        <v>0</v>
      </c>
      <c r="T1145" s="44">
        <f>IF(Mecze[[#This Row],[Role]]&lt;&gt;"BR",SUMPRODUCT(Mecze[[#This Row],[/PR:90]:[/BR:90]],Brudnopis!$E$24:$J$24),0)</f>
        <v>0.11979166666666666</v>
      </c>
      <c r="U1145" s="44">
        <f>IF(Mecze[[#This Row],[Role]]&lt;&gt;"BR",SUMPRODUCT(Mecze[[#This Row],[/PR:90]:[/BR:90]],Brudnopis!$E$25:$J$25),0)</f>
        <v>0.125</v>
      </c>
      <c r="V1145" s="44">
        <f>IF(Mecze[[#This Row],[Role]]&lt;&gt;"BR",SUMPRODUCT(Mecze[[#This Row],[/PR:90]:[/BR:90]],Brudnopis!$E$26:$J$26),0)</f>
        <v>0.10416666666666666</v>
      </c>
      <c r="W1145" s="44">
        <f>IF(Mecze[[#This Row],[Role]]&lt;&gt;"BR",SUMPRODUCT(Mecze[[#This Row],[/PR:90]:[/BR:90]],Brudnopis!$E$27:$J$27),0)</f>
        <v>0.109375</v>
      </c>
      <c r="X1145" s="44">
        <f>IF(Mecze[[#This Row],[Role]]&lt;&gt;"BR",SUMPRODUCT(Mecze[[#This Row],[/PR:90]:[/BR:90]],Brudnopis!$E$28:$J$28),0)</f>
        <v>4.1666666666666664E-2</v>
      </c>
      <c r="Y1145" s="35">
        <f>IF(Mecze[[#This Row],[Role]]="BR",Mecze[[#This Row],[/OB:90]]+Mecze[[#This Row],[/PC:90]],SUM(Mecze[[#This Row],[/PR:90]:[/BR:90]]))</f>
        <v>0.10416666666666666</v>
      </c>
      <c r="Z1145" s="35">
        <f>IF(Mecze[[#This Row],[KC]]=0,SUM(Mecze[[#This Row],[/BRI]:[/NPI]]),SUM(Mecze[[#This Row],[/BRI]:[/NPI]])*0.6)</f>
        <v>0.5</v>
      </c>
      <c r="AA1145" s="10">
        <f>IFERROR(Mecze[[#This Row],[BR]]/Mecze[[#This Row],[ST]],0)</f>
        <v>0</v>
      </c>
      <c r="AB1145">
        <f>ROUND(Mecze[[#This Row],[PD]]*Mecze[[#This Row],[%PC]],0)</f>
        <v>4</v>
      </c>
      <c r="AC1145">
        <f>ROUND(Mecze[[#This Row],[OD]]*Mecze[[#This Row],[%OU]],0)</f>
        <v>3</v>
      </c>
      <c r="AD1145" s="36" t="s">
        <v>41</v>
      </c>
      <c r="AE1145" s="36">
        <v>64</v>
      </c>
      <c r="AF1145" s="71">
        <v>4.54</v>
      </c>
      <c r="AG1145" s="37">
        <v>0</v>
      </c>
      <c r="AH1145" s="37">
        <v>0</v>
      </c>
      <c r="AI1145" s="37">
        <v>96</v>
      </c>
      <c r="AJ1145" s="37">
        <v>10</v>
      </c>
      <c r="AK1145" s="37" t="str">
        <f>VLOOKUP(Mecze[[#This Row],[Match ID]],Meczusie[Mecz]:Meczusie[RodzajMeczu],2,FALSE)</f>
        <v>Liga</v>
      </c>
    </row>
    <row r="1146" spans="1:37" x14ac:dyDescent="0.25">
      <c r="A1146" s="76">
        <v>5</v>
      </c>
      <c r="B1146" s="3" t="s">
        <v>242</v>
      </c>
      <c r="C1146" s="2" t="s">
        <v>160</v>
      </c>
      <c r="D1146" s="1">
        <v>0</v>
      </c>
      <c r="E1146" s="1">
        <v>0</v>
      </c>
      <c r="F1146" s="1">
        <v>0</v>
      </c>
      <c r="G1146" s="1">
        <v>16</v>
      </c>
      <c r="H1146" s="4">
        <v>0.69</v>
      </c>
      <c r="I1146" s="1">
        <v>6</v>
      </c>
      <c r="J1146" s="4">
        <v>0.67</v>
      </c>
      <c r="K1146" s="1">
        <v>0</v>
      </c>
      <c r="L1146" s="1">
        <v>4</v>
      </c>
      <c r="M1146" s="32">
        <f>IF(Mecze[[#This Row],[PR]]=0,0,Mecze[[#This Row],[PR]]/Mecze[[#This Row],[CZAS]])</f>
        <v>4.1666666666666664E-2</v>
      </c>
      <c r="N1146" s="32">
        <f>IF(Mecze[[#This Row],[OU]]=0,0,Mecze[[#This Row],[OU]]/Mecze[[#This Row],[CZAS]])</f>
        <v>4.1666666666666664E-2</v>
      </c>
      <c r="O1146" s="32">
        <f>IF(Mecze[[#This Row],[PC]]=0,0,Mecze[[#This Row],[PC]]/Mecze[[#This Row],[CZAS]])</f>
        <v>0.11458333333333333</v>
      </c>
      <c r="P1146" s="32">
        <f>IF(Mecze[[#This Row],[SC]]=0,0,Mecze[[#This Row],[SC]]/Mecze[[#This Row],[CZAS]])</f>
        <v>0</v>
      </c>
      <c r="Q1146" s="32">
        <f>IF(Mecze[[#This Row],[OB]]=0,0,Mecze[[#This Row],[OB]]/Mecze[[#This Row],[CZAS]])</f>
        <v>0</v>
      </c>
      <c r="R1146" s="32">
        <f>IF(Mecze[[#This Row],[BR]]=0,0,Mecze[[#This Row],[BR]]/Mecze[[#This Row],[CZAS]])</f>
        <v>0</v>
      </c>
      <c r="S1146" s="44">
        <f>IF(Mecze[[#This Row],[Role]]="BR",SUMPRODUCT(Mecze[[#This Row],[/PR:90]:[/BR:90]],Brudnopis!$E$23:$J$23),0)</f>
        <v>0</v>
      </c>
      <c r="T1146" s="44">
        <f>IF(Mecze[[#This Row],[Role]]&lt;&gt;"BR",SUMPRODUCT(Mecze[[#This Row],[/PR:90]:[/BR:90]],Brudnopis!$E$24:$J$24),0)</f>
        <v>0.21875</v>
      </c>
      <c r="U1146" s="44">
        <f>IF(Mecze[[#This Row],[Role]]&lt;&gt;"BR",SUMPRODUCT(Mecze[[#This Row],[/PR:90]:[/BR:90]],Brudnopis!$E$25:$J$25),0)</f>
        <v>0.25520833333333331</v>
      </c>
      <c r="V1146" s="44">
        <f>IF(Mecze[[#This Row],[Role]]&lt;&gt;"BR",SUMPRODUCT(Mecze[[#This Row],[/PR:90]:[/BR:90]],Brudnopis!$E$26:$J$26),0)</f>
        <v>0.19791666666666666</v>
      </c>
      <c r="W1146" s="44">
        <f>IF(Mecze[[#This Row],[Role]]&lt;&gt;"BR",SUMPRODUCT(Mecze[[#This Row],[/PR:90]:[/BR:90]],Brudnopis!$E$27:$J$27),0)</f>
        <v>0.234375</v>
      </c>
      <c r="X1146" s="44">
        <f>IF(Mecze[[#This Row],[Role]]&lt;&gt;"BR",SUMPRODUCT(Mecze[[#This Row],[/PR:90]:[/BR:90]],Brudnopis!$E$28:$J$28),0)</f>
        <v>0.11458333333333333</v>
      </c>
      <c r="Y1146" s="35">
        <f>IF(Mecze[[#This Row],[Role]]="BR",Mecze[[#This Row],[/OB:90]]+Mecze[[#This Row],[/PC:90]],SUM(Mecze[[#This Row],[/PR:90]:[/BR:90]]))</f>
        <v>0.19791666666666666</v>
      </c>
      <c r="Z1146" s="35">
        <f>IF(Mecze[[#This Row],[KC]]=0,SUM(Mecze[[#This Row],[/BRI]:[/NPI]]),SUM(Mecze[[#This Row],[/BRI]:[/NPI]])*0.6)</f>
        <v>1.0208333333333333</v>
      </c>
      <c r="AA1146" s="10">
        <f>IFERROR(Mecze[[#This Row],[BR]]/Mecze[[#This Row],[ST]],0)</f>
        <v>0</v>
      </c>
      <c r="AB1146">
        <f>ROUND(Mecze[[#This Row],[PD]]*Mecze[[#This Row],[%PC]],0)</f>
        <v>11</v>
      </c>
      <c r="AC1146">
        <f>ROUND(Mecze[[#This Row],[OD]]*Mecze[[#This Row],[%OU]],0)</f>
        <v>4</v>
      </c>
      <c r="AD1146" s="36" t="s">
        <v>41</v>
      </c>
      <c r="AE1146" s="36">
        <v>64</v>
      </c>
      <c r="AF1146" s="71">
        <v>4.75</v>
      </c>
      <c r="AG1146" s="37">
        <v>0</v>
      </c>
      <c r="AH1146" s="37">
        <v>0</v>
      </c>
      <c r="AI1146" s="37">
        <v>96</v>
      </c>
      <c r="AJ1146" s="37">
        <v>10</v>
      </c>
      <c r="AK1146" s="37" t="str">
        <f>VLOOKUP(Mecze[[#This Row],[Match ID]],Meczusie[Mecz]:Meczusie[RodzajMeczu],2,FALSE)</f>
        <v>Liga</v>
      </c>
    </row>
    <row r="1147" spans="1:37" x14ac:dyDescent="0.25">
      <c r="A1147" s="76">
        <v>11</v>
      </c>
      <c r="B1147" s="3" t="s">
        <v>243</v>
      </c>
      <c r="C1147" s="2" t="s">
        <v>160</v>
      </c>
      <c r="D1147" s="1">
        <v>0</v>
      </c>
      <c r="E1147" s="1">
        <v>1</v>
      </c>
      <c r="F1147" s="1">
        <v>1</v>
      </c>
      <c r="G1147" s="1">
        <v>13</v>
      </c>
      <c r="H1147" s="4">
        <v>0.69</v>
      </c>
      <c r="I1147" s="1">
        <v>8</v>
      </c>
      <c r="J1147" s="4">
        <v>0.38</v>
      </c>
      <c r="K1147" s="1">
        <v>0</v>
      </c>
      <c r="L1147" s="1">
        <v>1</v>
      </c>
      <c r="M1147" s="32">
        <f>IF(Mecze[[#This Row],[PR]]=0,0,Mecze[[#This Row],[PR]]/Mecze[[#This Row],[CZAS]])</f>
        <v>1.0416666666666666E-2</v>
      </c>
      <c r="N1147" s="32">
        <f>IF(Mecze[[#This Row],[OU]]=0,0,Mecze[[#This Row],[OU]]/Mecze[[#This Row],[CZAS]])</f>
        <v>3.125E-2</v>
      </c>
      <c r="O1147" s="32">
        <f>IF(Mecze[[#This Row],[PC]]=0,0,Mecze[[#This Row],[PC]]/Mecze[[#This Row],[CZAS]])</f>
        <v>9.375E-2</v>
      </c>
      <c r="P1147" s="32">
        <f>IF(Mecze[[#This Row],[SC]]=0,0,Mecze[[#This Row],[SC]]/Mecze[[#This Row],[CZAS]])</f>
        <v>1.0416666666666666E-2</v>
      </c>
      <c r="Q1147" s="32">
        <f>IF(Mecze[[#This Row],[OB]]=0,0,Mecze[[#This Row],[OB]]/Mecze[[#This Row],[CZAS]])</f>
        <v>0</v>
      </c>
      <c r="R1147" s="32">
        <f>IF(Mecze[[#This Row],[BR]]=0,0,Mecze[[#This Row],[BR]]/Mecze[[#This Row],[CZAS]])</f>
        <v>0</v>
      </c>
      <c r="S1147" s="44">
        <f>IF(Mecze[[#This Row],[Role]]="BR",SUMPRODUCT(Mecze[[#This Row],[/PR:90]:[/BR:90]],Brudnopis!$E$23:$J$23),0)</f>
        <v>0</v>
      </c>
      <c r="T1147" s="44">
        <f>IF(Mecze[[#This Row],[Role]]&lt;&gt;"BR",SUMPRODUCT(Mecze[[#This Row],[/PR:90]:[/BR:90]],Brudnopis!$E$24:$J$24),0)</f>
        <v>0.16145833333333331</v>
      </c>
      <c r="U1147" s="44">
        <f>IF(Mecze[[#This Row],[Role]]&lt;&gt;"BR",SUMPRODUCT(Mecze[[#This Row],[/PR:90]:[/BR:90]],Brudnopis!$E$25:$J$25),0)</f>
        <v>0.19270833333333331</v>
      </c>
      <c r="V1147" s="44">
        <f>IF(Mecze[[#This Row],[Role]]&lt;&gt;"BR",SUMPRODUCT(Mecze[[#This Row],[/PR:90]:[/BR:90]],Brudnopis!$E$26:$J$26),0)</f>
        <v>0.14583333333333331</v>
      </c>
      <c r="W1147" s="44">
        <f>IF(Mecze[[#This Row],[Role]]&lt;&gt;"BR",SUMPRODUCT(Mecze[[#This Row],[/PR:90]:[/BR:90]],Brudnopis!$E$27:$J$27),0)</f>
        <v>0.18229166666666666</v>
      </c>
      <c r="X1147" s="44">
        <f>IF(Mecze[[#This Row],[Role]]&lt;&gt;"BR",SUMPRODUCT(Mecze[[#This Row],[/PR:90]:[/BR:90]],Brudnopis!$E$28:$J$28),0)</f>
        <v>0.11458333333333333</v>
      </c>
      <c r="Y1147" s="35">
        <f>IF(Mecze[[#This Row],[Role]]="BR",Mecze[[#This Row],[/OB:90]]+Mecze[[#This Row],[/PC:90]],SUM(Mecze[[#This Row],[/PR:90]:[/BR:90]]))</f>
        <v>0.14583333333333331</v>
      </c>
      <c r="Z1147" s="35">
        <f>IF(Mecze[[#This Row],[KC]]=0,SUM(Mecze[[#This Row],[/BRI]:[/NPI]]),SUM(Mecze[[#This Row],[/BRI]:[/NPI]])*0.6)</f>
        <v>0.796875</v>
      </c>
      <c r="AA1147" s="10">
        <f>IFERROR(Mecze[[#This Row],[BR]]/Mecze[[#This Row],[ST]],0)</f>
        <v>0</v>
      </c>
      <c r="AB1147">
        <f>ROUND(Mecze[[#This Row],[PD]]*Mecze[[#This Row],[%PC]],0)</f>
        <v>9</v>
      </c>
      <c r="AC1147">
        <f>ROUND(Mecze[[#This Row],[OD]]*Mecze[[#This Row],[%OU]],0)</f>
        <v>3</v>
      </c>
      <c r="AD1147" s="36" t="s">
        <v>67</v>
      </c>
      <c r="AE1147" s="36">
        <v>64</v>
      </c>
      <c r="AF1147" s="71">
        <v>4.3499999999999996</v>
      </c>
      <c r="AG1147" s="37">
        <v>0</v>
      </c>
      <c r="AH1147" s="37">
        <v>0</v>
      </c>
      <c r="AI1147" s="37">
        <v>96</v>
      </c>
      <c r="AJ1147" s="37">
        <v>10</v>
      </c>
      <c r="AK1147" s="37" t="str">
        <f>VLOOKUP(Mecze[[#This Row],[Match ID]],Meczusie[Mecz]:Meczusie[RodzajMeczu],2,FALSE)</f>
        <v>Liga</v>
      </c>
    </row>
    <row r="1148" spans="1:37" x14ac:dyDescent="0.25">
      <c r="A1148" s="76">
        <v>8</v>
      </c>
      <c r="B1148" s="3" t="s">
        <v>245</v>
      </c>
      <c r="C1148" s="2" t="s">
        <v>165</v>
      </c>
      <c r="D1148" s="1">
        <v>0</v>
      </c>
      <c r="E1148" s="1">
        <v>0</v>
      </c>
      <c r="F1148" s="1">
        <v>0</v>
      </c>
      <c r="G1148" s="1">
        <v>11</v>
      </c>
      <c r="H1148" s="4">
        <v>0.27</v>
      </c>
      <c r="I1148" s="1">
        <v>2</v>
      </c>
      <c r="J1148" s="4">
        <v>0.5</v>
      </c>
      <c r="K1148" s="1">
        <v>0</v>
      </c>
      <c r="L1148" s="1">
        <v>3</v>
      </c>
      <c r="M1148" s="32">
        <f>IF(Mecze[[#This Row],[PR]]=0,0,Mecze[[#This Row],[PR]]/Mecze[[#This Row],[CZAS]])</f>
        <v>3.125E-2</v>
      </c>
      <c r="N1148" s="32">
        <f>IF(Mecze[[#This Row],[OU]]=0,0,Mecze[[#This Row],[OU]]/Mecze[[#This Row],[CZAS]])</f>
        <v>1.0416666666666666E-2</v>
      </c>
      <c r="O1148" s="32">
        <f>IF(Mecze[[#This Row],[PC]]=0,0,Mecze[[#This Row],[PC]]/Mecze[[#This Row],[CZAS]])</f>
        <v>3.125E-2</v>
      </c>
      <c r="P1148" s="32">
        <f>IF(Mecze[[#This Row],[SC]]=0,0,Mecze[[#This Row],[SC]]/Mecze[[#This Row],[CZAS]])</f>
        <v>0</v>
      </c>
      <c r="Q1148" s="32">
        <f>IF(Mecze[[#This Row],[OB]]=0,0,Mecze[[#This Row],[OB]]/Mecze[[#This Row],[CZAS]])</f>
        <v>0</v>
      </c>
      <c r="R1148" s="32">
        <f>IF(Mecze[[#This Row],[BR]]=0,0,Mecze[[#This Row],[BR]]/Mecze[[#This Row],[CZAS]])</f>
        <v>0</v>
      </c>
      <c r="S1148" s="44">
        <f>IF(Mecze[[#This Row],[Role]]="BR",SUMPRODUCT(Mecze[[#This Row],[/PR:90]:[/BR:90]],Brudnopis!$E$23:$J$23),0)</f>
        <v>0</v>
      </c>
      <c r="T1148" s="44">
        <f>IF(Mecze[[#This Row],[Role]]&lt;&gt;"BR",SUMPRODUCT(Mecze[[#This Row],[/PR:90]:[/BR:90]],Brudnopis!$E$24:$J$24),0)</f>
        <v>7.8125E-2</v>
      </c>
      <c r="U1148" s="44">
        <f>IF(Mecze[[#This Row],[Role]]&lt;&gt;"BR",SUMPRODUCT(Mecze[[#This Row],[/PR:90]:[/BR:90]],Brudnopis!$E$25:$J$25),0)</f>
        <v>8.8541666666666657E-2</v>
      </c>
      <c r="V1148" s="44">
        <f>IF(Mecze[[#This Row],[Role]]&lt;&gt;"BR",SUMPRODUCT(Mecze[[#This Row],[/PR:90]:[/BR:90]],Brudnopis!$E$26:$J$26),0)</f>
        <v>7.2916666666666657E-2</v>
      </c>
      <c r="W1148" s="44">
        <f>IF(Mecze[[#This Row],[Role]]&lt;&gt;"BR",SUMPRODUCT(Mecze[[#This Row],[/PR:90]:[/BR:90]],Brudnopis!$E$27:$J$27),0)</f>
        <v>7.8125E-2</v>
      </c>
      <c r="X1148" s="44">
        <f>IF(Mecze[[#This Row],[Role]]&lt;&gt;"BR",SUMPRODUCT(Mecze[[#This Row],[/PR:90]:[/BR:90]],Brudnopis!$E$28:$J$28),0)</f>
        <v>3.125E-2</v>
      </c>
      <c r="Y1148" s="35">
        <f>IF(Mecze[[#This Row],[Role]]="BR",Mecze[[#This Row],[/OB:90]]+Mecze[[#This Row],[/PC:90]],SUM(Mecze[[#This Row],[/PR:90]:[/BR:90]]))</f>
        <v>7.2916666666666657E-2</v>
      </c>
      <c r="Z1148" s="35">
        <f>IF(Mecze[[#This Row],[KC]]=0,SUM(Mecze[[#This Row],[/BRI]:[/NPI]]),SUM(Mecze[[#This Row],[/BRI]:[/NPI]])*0.6)</f>
        <v>0.34895833333333331</v>
      </c>
      <c r="AA1148" s="10">
        <f>IFERROR(Mecze[[#This Row],[BR]]/Mecze[[#This Row],[ST]],0)</f>
        <v>0</v>
      </c>
      <c r="AB1148">
        <f>ROUND(Mecze[[#This Row],[PD]]*Mecze[[#This Row],[%PC]],0)</f>
        <v>3</v>
      </c>
      <c r="AC1148">
        <f>ROUND(Mecze[[#This Row],[OD]]*Mecze[[#This Row],[%OU]],0)</f>
        <v>1</v>
      </c>
      <c r="AD1148" s="36" t="s">
        <v>46</v>
      </c>
      <c r="AE1148" s="36">
        <v>64</v>
      </c>
      <c r="AF1148" s="71">
        <v>2.71</v>
      </c>
      <c r="AG1148" s="37">
        <v>0</v>
      </c>
      <c r="AH1148" s="37">
        <v>0</v>
      </c>
      <c r="AI1148" s="37">
        <v>96</v>
      </c>
      <c r="AJ1148" s="37">
        <v>10</v>
      </c>
      <c r="AK1148" s="37" t="str">
        <f>VLOOKUP(Mecze[[#This Row],[Match ID]],Meczusie[Mecz]:Meczusie[RodzajMeczu],2,FALSE)</f>
        <v>Liga</v>
      </c>
    </row>
    <row r="1149" spans="1:37" x14ac:dyDescent="0.25">
      <c r="A1149" s="76">
        <v>14</v>
      </c>
      <c r="B1149" s="3" t="s">
        <v>244</v>
      </c>
      <c r="C1149" s="2" t="s">
        <v>165</v>
      </c>
      <c r="D1149" s="1">
        <v>0</v>
      </c>
      <c r="E1149" s="1">
        <v>1</v>
      </c>
      <c r="F1149" s="1">
        <v>1</v>
      </c>
      <c r="G1149" s="1">
        <v>8</v>
      </c>
      <c r="H1149" s="4">
        <v>0.63</v>
      </c>
      <c r="I1149" s="1">
        <v>4</v>
      </c>
      <c r="J1149" s="4">
        <v>0.25</v>
      </c>
      <c r="K1149" s="1">
        <v>0</v>
      </c>
      <c r="L1149" s="1">
        <v>3</v>
      </c>
      <c r="M1149" s="32">
        <f>IF(Mecze[[#This Row],[PR]]=0,0,Mecze[[#This Row],[PR]]/Mecze[[#This Row],[CZAS]])</f>
        <v>3.125E-2</v>
      </c>
      <c r="N1149" s="32">
        <f>IF(Mecze[[#This Row],[OU]]=0,0,Mecze[[#This Row],[OU]]/Mecze[[#This Row],[CZAS]])</f>
        <v>1.0416666666666666E-2</v>
      </c>
      <c r="O1149" s="32">
        <f>IF(Mecze[[#This Row],[PC]]=0,0,Mecze[[#This Row],[PC]]/Mecze[[#This Row],[CZAS]])</f>
        <v>5.2083333333333336E-2</v>
      </c>
      <c r="P1149" s="32">
        <f>IF(Mecze[[#This Row],[SC]]=0,0,Mecze[[#This Row],[SC]]/Mecze[[#This Row],[CZAS]])</f>
        <v>1.0416666666666666E-2</v>
      </c>
      <c r="Q1149" s="32">
        <f>IF(Mecze[[#This Row],[OB]]=0,0,Mecze[[#This Row],[OB]]/Mecze[[#This Row],[CZAS]])</f>
        <v>0</v>
      </c>
      <c r="R1149" s="32">
        <f>IF(Mecze[[#This Row],[BR]]=0,0,Mecze[[#This Row],[BR]]/Mecze[[#This Row],[CZAS]])</f>
        <v>0</v>
      </c>
      <c r="S1149" s="44">
        <f>IF(Mecze[[#This Row],[Role]]="BR",SUMPRODUCT(Mecze[[#This Row],[/PR:90]:[/BR:90]],Brudnopis!$E$23:$J$23),0)</f>
        <v>0</v>
      </c>
      <c r="T1149" s="44">
        <f>IF(Mecze[[#This Row],[Role]]&lt;&gt;"BR",SUMPRODUCT(Mecze[[#This Row],[/PR:90]:[/BR:90]],Brudnopis!$E$24:$J$24),0)</f>
        <v>0.10937500000000001</v>
      </c>
      <c r="U1149" s="44">
        <f>IF(Mecze[[#This Row],[Role]]&lt;&gt;"BR",SUMPRODUCT(Mecze[[#This Row],[/PR:90]:[/BR:90]],Brudnopis!$E$25:$J$25),0)</f>
        <v>0.13020833333333331</v>
      </c>
      <c r="V1149" s="44">
        <f>IF(Mecze[[#This Row],[Role]]&lt;&gt;"BR",SUMPRODUCT(Mecze[[#This Row],[/PR:90]:[/BR:90]],Brudnopis!$E$26:$J$26),0)</f>
        <v>0.10416666666666667</v>
      </c>
      <c r="W1149" s="44">
        <f>IF(Mecze[[#This Row],[Role]]&lt;&gt;"BR",SUMPRODUCT(Mecze[[#This Row],[/PR:90]:[/BR:90]],Brudnopis!$E$27:$J$27),0)</f>
        <v>0.11979166666666667</v>
      </c>
      <c r="X1149" s="44">
        <f>IF(Mecze[[#This Row],[Role]]&lt;&gt;"BR",SUMPRODUCT(Mecze[[#This Row],[/PR:90]:[/BR:90]],Brudnopis!$E$28:$J$28),0)</f>
        <v>7.2916666666666671E-2</v>
      </c>
      <c r="Y1149" s="35">
        <f>IF(Mecze[[#This Row],[Role]]="BR",Mecze[[#This Row],[/OB:90]]+Mecze[[#This Row],[/PC:90]],SUM(Mecze[[#This Row],[/PR:90]:[/BR:90]]))</f>
        <v>0.10416666666666667</v>
      </c>
      <c r="Z1149" s="35">
        <f>IF(Mecze[[#This Row],[KC]]=0,SUM(Mecze[[#This Row],[/BRI]:[/NPI]]),SUM(Mecze[[#This Row],[/BRI]:[/NPI]])*0.6)</f>
        <v>0.53645833333333337</v>
      </c>
      <c r="AA1149" s="10">
        <f>IFERROR(Mecze[[#This Row],[BR]]/Mecze[[#This Row],[ST]],0)</f>
        <v>0</v>
      </c>
      <c r="AB1149">
        <f>ROUND(Mecze[[#This Row],[PD]]*Mecze[[#This Row],[%PC]],0)</f>
        <v>5</v>
      </c>
      <c r="AC1149">
        <f>ROUND(Mecze[[#This Row],[OD]]*Mecze[[#This Row],[%OU]],0)</f>
        <v>1</v>
      </c>
      <c r="AD1149" s="36" t="s">
        <v>46</v>
      </c>
      <c r="AE1149" s="36">
        <v>64</v>
      </c>
      <c r="AF1149" s="71">
        <v>4.26</v>
      </c>
      <c r="AG1149" s="37">
        <v>0</v>
      </c>
      <c r="AH1149" s="37">
        <v>0</v>
      </c>
      <c r="AI1149" s="37">
        <v>96</v>
      </c>
      <c r="AJ1149" s="37">
        <v>10</v>
      </c>
      <c r="AK1149" s="37" t="str">
        <f>VLOOKUP(Mecze[[#This Row],[Match ID]],Meczusie[Mecz]:Meczusie[RodzajMeczu],2,FALSE)</f>
        <v>Liga</v>
      </c>
    </row>
    <row r="1150" spans="1:37" x14ac:dyDescent="0.25">
      <c r="A1150" s="76">
        <v>10</v>
      </c>
      <c r="B1150" s="3" t="s">
        <v>246</v>
      </c>
      <c r="C1150" s="2" t="s">
        <v>165</v>
      </c>
      <c r="D1150" s="1">
        <v>0</v>
      </c>
      <c r="E1150" s="1">
        <v>0</v>
      </c>
      <c r="F1150" s="1">
        <v>0</v>
      </c>
      <c r="G1150" s="1">
        <v>13</v>
      </c>
      <c r="H1150" s="4">
        <v>0.69</v>
      </c>
      <c r="I1150" s="1">
        <v>1</v>
      </c>
      <c r="J1150" s="4">
        <v>0</v>
      </c>
      <c r="K1150" s="1">
        <v>0</v>
      </c>
      <c r="L1150" s="1">
        <v>0</v>
      </c>
      <c r="M1150" s="32">
        <f>IF(Mecze[[#This Row],[PR]]=0,0,Mecze[[#This Row],[PR]]/Mecze[[#This Row],[CZAS]])</f>
        <v>0</v>
      </c>
      <c r="N1150" s="32">
        <f>IF(Mecze[[#This Row],[OU]]=0,0,Mecze[[#This Row],[OU]]/Mecze[[#This Row],[CZAS]])</f>
        <v>0</v>
      </c>
      <c r="O1150" s="32">
        <f>IF(Mecze[[#This Row],[PC]]=0,0,Mecze[[#This Row],[PC]]/Mecze[[#This Row],[CZAS]])</f>
        <v>9.375E-2</v>
      </c>
      <c r="P1150" s="32">
        <f>IF(Mecze[[#This Row],[SC]]=0,0,Mecze[[#This Row],[SC]]/Mecze[[#This Row],[CZAS]])</f>
        <v>0</v>
      </c>
      <c r="Q1150" s="32">
        <f>IF(Mecze[[#This Row],[OB]]=0,0,Mecze[[#This Row],[OB]]/Mecze[[#This Row],[CZAS]])</f>
        <v>0</v>
      </c>
      <c r="R1150" s="32">
        <f>IF(Mecze[[#This Row],[BR]]=0,0,Mecze[[#This Row],[BR]]/Mecze[[#This Row],[CZAS]])</f>
        <v>0</v>
      </c>
      <c r="S1150" s="44">
        <f>IF(Mecze[[#This Row],[Role]]="BR",SUMPRODUCT(Mecze[[#This Row],[/PR:90]:[/BR:90]],Brudnopis!$E$23:$J$23),0)</f>
        <v>0</v>
      </c>
      <c r="T1150" s="44">
        <f>IF(Mecze[[#This Row],[Role]]&lt;&gt;"BR",SUMPRODUCT(Mecze[[#This Row],[/PR:90]:[/BR:90]],Brudnopis!$E$24:$J$24),0)</f>
        <v>9.375E-2</v>
      </c>
      <c r="U1150" s="44">
        <f>IF(Mecze[[#This Row],[Role]]&lt;&gt;"BR",SUMPRODUCT(Mecze[[#This Row],[/PR:90]:[/BR:90]],Brudnopis!$E$25:$J$25),0)</f>
        <v>0.140625</v>
      </c>
      <c r="V1150" s="44">
        <f>IF(Mecze[[#This Row],[Role]]&lt;&gt;"BR",SUMPRODUCT(Mecze[[#This Row],[/PR:90]:[/BR:90]],Brudnopis!$E$26:$J$26),0)</f>
        <v>9.375E-2</v>
      </c>
      <c r="W1150" s="44">
        <f>IF(Mecze[[#This Row],[Role]]&lt;&gt;"BR",SUMPRODUCT(Mecze[[#This Row],[/PR:90]:[/BR:90]],Brudnopis!$E$27:$J$27),0)</f>
        <v>0.140625</v>
      </c>
      <c r="X1150" s="44">
        <f>IF(Mecze[[#This Row],[Role]]&lt;&gt;"BR",SUMPRODUCT(Mecze[[#This Row],[/PR:90]:[/BR:90]],Brudnopis!$E$28:$J$28),0)</f>
        <v>9.375E-2</v>
      </c>
      <c r="Y1150" s="35">
        <f>IF(Mecze[[#This Row],[Role]]="BR",Mecze[[#This Row],[/OB:90]]+Mecze[[#This Row],[/PC:90]],SUM(Mecze[[#This Row],[/PR:90]:[/BR:90]]))</f>
        <v>9.375E-2</v>
      </c>
      <c r="Z1150" s="35">
        <f>IF(Mecze[[#This Row],[KC]]=0,SUM(Mecze[[#This Row],[/BRI]:[/NPI]]),SUM(Mecze[[#This Row],[/BRI]:[/NPI]])*0.6)</f>
        <v>0.5625</v>
      </c>
      <c r="AA1150" s="10">
        <f>IFERROR(Mecze[[#This Row],[BR]]/Mecze[[#This Row],[ST]],0)</f>
        <v>0</v>
      </c>
      <c r="AB1150">
        <f>ROUND(Mecze[[#This Row],[PD]]*Mecze[[#This Row],[%PC]],0)</f>
        <v>9</v>
      </c>
      <c r="AC1150">
        <f>ROUND(Mecze[[#This Row],[OD]]*Mecze[[#This Row],[%OU]],0)</f>
        <v>0</v>
      </c>
      <c r="AD1150" s="36" t="s">
        <v>46</v>
      </c>
      <c r="AE1150" s="36">
        <v>64</v>
      </c>
      <c r="AF1150" s="71">
        <v>4.04</v>
      </c>
      <c r="AG1150" s="37">
        <v>0</v>
      </c>
      <c r="AH1150" s="37">
        <v>0</v>
      </c>
      <c r="AI1150" s="37">
        <v>96</v>
      </c>
      <c r="AJ1150" s="37">
        <v>10</v>
      </c>
      <c r="AK1150" s="37" t="str">
        <f>VLOOKUP(Mecze[[#This Row],[Match ID]],Meczusie[Mecz]:Meczusie[RodzajMeczu],2,FALSE)</f>
        <v>Liga</v>
      </c>
    </row>
    <row r="1151" spans="1:37" x14ac:dyDescent="0.25">
      <c r="A1151" s="76">
        <v>1</v>
      </c>
      <c r="B1151" s="3" t="s">
        <v>304</v>
      </c>
      <c r="C1151" s="2" t="s">
        <v>155</v>
      </c>
      <c r="D1151" s="1">
        <v>0</v>
      </c>
      <c r="E1151" s="1">
        <v>0</v>
      </c>
      <c r="F1151" s="1">
        <v>0</v>
      </c>
      <c r="G1151" s="1">
        <v>2</v>
      </c>
      <c r="H1151" s="4">
        <v>0</v>
      </c>
      <c r="I1151" s="1">
        <v>0</v>
      </c>
      <c r="J1151" s="4"/>
      <c r="K1151" s="1">
        <v>2</v>
      </c>
      <c r="L1151" s="1">
        <v>0</v>
      </c>
      <c r="M1151" s="32">
        <f>IF(Mecze[[#This Row],[PR]]=0,0,Mecze[[#This Row],[PR]]/Mecze[[#This Row],[CZAS]])</f>
        <v>0</v>
      </c>
      <c r="N1151" s="32">
        <f>IF(Mecze[[#This Row],[OU]]=0,0,Mecze[[#This Row],[OU]]/Mecze[[#This Row],[CZAS]])</f>
        <v>0</v>
      </c>
      <c r="O1151" s="32">
        <f>IF(Mecze[[#This Row],[PC]]=0,0,Mecze[[#This Row],[PC]]/Mecze[[#This Row],[CZAS]])</f>
        <v>0</v>
      </c>
      <c r="P1151" s="32">
        <f>IF(Mecze[[#This Row],[SC]]=0,0,Mecze[[#This Row],[SC]]/Mecze[[#This Row],[CZAS]])</f>
        <v>0</v>
      </c>
      <c r="Q1151" s="32">
        <f>IF(Mecze[[#This Row],[OB]]=0,0,Mecze[[#This Row],[OB]]/Mecze[[#This Row],[CZAS]])</f>
        <v>2.0833333333333332E-2</v>
      </c>
      <c r="R1151" s="32">
        <f>IF(Mecze[[#This Row],[BR]]=0,0,Mecze[[#This Row],[BR]]/Mecze[[#This Row],[CZAS]])</f>
        <v>0</v>
      </c>
      <c r="S1151" s="44">
        <f>IF(Mecze[[#This Row],[Role]]="BR",SUMPRODUCT(Mecze[[#This Row],[/PR:90]:[/BR:90]],Brudnopis!$E$23:$J$23),0)</f>
        <v>6.25E-2</v>
      </c>
      <c r="T1151" s="44">
        <f>IF(Mecze[[#This Row],[Role]]&lt;&gt;"BR",SUMPRODUCT(Mecze[[#This Row],[/PR:90]:[/BR:90]],Brudnopis!$E$24:$J$24),0)</f>
        <v>0</v>
      </c>
      <c r="U1151" s="44">
        <f>IF(Mecze[[#This Row],[Role]]&lt;&gt;"BR",SUMPRODUCT(Mecze[[#This Row],[/PR:90]:[/BR:90]],Brudnopis!$E$25:$J$25),0)</f>
        <v>0</v>
      </c>
      <c r="V1151" s="44">
        <f>IF(Mecze[[#This Row],[Role]]&lt;&gt;"BR",SUMPRODUCT(Mecze[[#This Row],[/PR:90]:[/BR:90]],Brudnopis!$E$26:$J$26),0)</f>
        <v>0</v>
      </c>
      <c r="W1151" s="44">
        <f>IF(Mecze[[#This Row],[Role]]&lt;&gt;"BR",SUMPRODUCT(Mecze[[#This Row],[/PR:90]:[/BR:90]],Brudnopis!$E$27:$J$27),0)</f>
        <v>0</v>
      </c>
      <c r="X1151" s="44">
        <f>IF(Mecze[[#This Row],[Role]]&lt;&gt;"BR",SUMPRODUCT(Mecze[[#This Row],[/PR:90]:[/BR:90]],Brudnopis!$E$28:$J$28),0)</f>
        <v>0</v>
      </c>
      <c r="Y1151" s="35">
        <f>IF(Mecze[[#This Row],[Role]]="BR",Mecze[[#This Row],[/OB:90]]+Mecze[[#This Row],[/PC:90]],SUM(Mecze[[#This Row],[/PR:90]:[/BR:90]]))</f>
        <v>2.0833333333333332E-2</v>
      </c>
      <c r="Z1151" s="35">
        <f>IF(Mecze[[#This Row],[KC]]=0,SUM(Mecze[[#This Row],[/BRI]:[/NPI]]),SUM(Mecze[[#This Row],[/BRI]:[/NPI]])*0.6)</f>
        <v>6.25E-2</v>
      </c>
      <c r="AA1151" s="10">
        <f>IFERROR(Mecze[[#This Row],[BR]]/Mecze[[#This Row],[ST]],0)</f>
        <v>0</v>
      </c>
      <c r="AB1151">
        <f>ROUND(Mecze[[#This Row],[PD]]*Mecze[[#This Row],[%PC]],0)</f>
        <v>0</v>
      </c>
      <c r="AC1151">
        <f>ROUND(Mecze[[#This Row],[OD]]*Mecze[[#This Row],[%OU]],0)</f>
        <v>0</v>
      </c>
      <c r="AD1151" s="36" t="s">
        <v>40</v>
      </c>
      <c r="AE1151" s="36">
        <v>64</v>
      </c>
      <c r="AF1151" s="71">
        <v>7.74</v>
      </c>
      <c r="AG1151" s="37">
        <v>0</v>
      </c>
      <c r="AH1151" s="37">
        <v>0</v>
      </c>
      <c r="AI1151" s="37">
        <v>96</v>
      </c>
      <c r="AJ1151" s="37">
        <v>8</v>
      </c>
      <c r="AK1151" s="37" t="str">
        <f>VLOOKUP(Mecze[[#This Row],[Match ID]],Meczusie[Mecz]:Meczusie[RodzajMeczu],2,FALSE)</f>
        <v>Liga</v>
      </c>
    </row>
    <row r="1152" spans="1:37" x14ac:dyDescent="0.25">
      <c r="A1152" s="76">
        <v>73</v>
      </c>
      <c r="B1152" s="3" t="s">
        <v>431</v>
      </c>
      <c r="C1152" s="2" t="s">
        <v>157</v>
      </c>
      <c r="D1152" s="1">
        <v>0</v>
      </c>
      <c r="E1152" s="1">
        <v>0</v>
      </c>
      <c r="F1152" s="1">
        <v>0</v>
      </c>
      <c r="G1152" s="1">
        <v>13</v>
      </c>
      <c r="H1152" s="4">
        <v>0.69</v>
      </c>
      <c r="I1152" s="1">
        <v>6</v>
      </c>
      <c r="J1152" s="4">
        <v>0.33</v>
      </c>
      <c r="K1152" s="1">
        <v>0</v>
      </c>
      <c r="L1152" s="1">
        <v>10</v>
      </c>
      <c r="M1152" s="32">
        <f>IF(Mecze[[#This Row],[PR]]=0,0,Mecze[[#This Row],[PR]]/Mecze[[#This Row],[CZAS]])</f>
        <v>0.10416666666666667</v>
      </c>
      <c r="N1152" s="32">
        <f>IF(Mecze[[#This Row],[OU]]=0,0,Mecze[[#This Row],[OU]]/Mecze[[#This Row],[CZAS]])</f>
        <v>2.0833333333333332E-2</v>
      </c>
      <c r="O1152" s="32">
        <f>IF(Mecze[[#This Row],[PC]]=0,0,Mecze[[#This Row],[PC]]/Mecze[[#This Row],[CZAS]])</f>
        <v>9.375E-2</v>
      </c>
      <c r="P1152" s="32">
        <f>IF(Mecze[[#This Row],[SC]]=0,0,Mecze[[#This Row],[SC]]/Mecze[[#This Row],[CZAS]])</f>
        <v>0</v>
      </c>
      <c r="Q1152" s="32">
        <f>IF(Mecze[[#This Row],[OB]]=0,0,Mecze[[#This Row],[OB]]/Mecze[[#This Row],[CZAS]])</f>
        <v>0</v>
      </c>
      <c r="R1152" s="32">
        <f>IF(Mecze[[#This Row],[BR]]=0,0,Mecze[[#This Row],[BR]]/Mecze[[#This Row],[CZAS]])</f>
        <v>0</v>
      </c>
      <c r="S1152" s="44">
        <f>IF(Mecze[[#This Row],[Role]]="BR",SUMPRODUCT(Mecze[[#This Row],[/PR:90]:[/BR:90]],Brudnopis!$E$23:$J$23),0)</f>
        <v>0</v>
      </c>
      <c r="T1152" s="44">
        <f>IF(Mecze[[#This Row],[Role]]&lt;&gt;"BR",SUMPRODUCT(Mecze[[#This Row],[/PR:90]:[/BR:90]],Brudnopis!$E$24:$J$24),0)</f>
        <v>0.22916666666666669</v>
      </c>
      <c r="U1152" s="44">
        <f>IF(Mecze[[#This Row],[Role]]&lt;&gt;"BR",SUMPRODUCT(Mecze[[#This Row],[/PR:90]:[/BR:90]],Brudnopis!$E$25:$J$25),0)</f>
        <v>0.265625</v>
      </c>
      <c r="V1152" s="44">
        <f>IF(Mecze[[#This Row],[Role]]&lt;&gt;"BR",SUMPRODUCT(Mecze[[#This Row],[/PR:90]:[/BR:90]],Brudnopis!$E$26:$J$26),0)</f>
        <v>0.21875</v>
      </c>
      <c r="W1152" s="44">
        <f>IF(Mecze[[#This Row],[Role]]&lt;&gt;"BR",SUMPRODUCT(Mecze[[#This Row],[/PR:90]:[/BR:90]],Brudnopis!$E$27:$J$27),0)</f>
        <v>0.234375</v>
      </c>
      <c r="X1152" s="44">
        <f>IF(Mecze[[#This Row],[Role]]&lt;&gt;"BR",SUMPRODUCT(Mecze[[#This Row],[/PR:90]:[/BR:90]],Brudnopis!$E$28:$J$28),0)</f>
        <v>9.375E-2</v>
      </c>
      <c r="Y1152" s="35">
        <f>IF(Mecze[[#This Row],[Role]]="BR",Mecze[[#This Row],[/OB:90]]+Mecze[[#This Row],[/PC:90]],SUM(Mecze[[#This Row],[/PR:90]:[/BR:90]]))</f>
        <v>0.21875</v>
      </c>
      <c r="Z1152" s="35">
        <f>IF(Mecze[[#This Row],[KC]]=0,SUM(Mecze[[#This Row],[/BRI]:[/NPI]]),SUM(Mecze[[#This Row],[/BRI]:[/NPI]])*0.6)</f>
        <v>1.0416666666666667</v>
      </c>
      <c r="AA1152" s="10">
        <f>IFERROR(Mecze[[#This Row],[BR]]/Mecze[[#This Row],[ST]],0)</f>
        <v>0</v>
      </c>
      <c r="AB1152">
        <f>ROUND(Mecze[[#This Row],[PD]]*Mecze[[#This Row],[%PC]],0)</f>
        <v>9</v>
      </c>
      <c r="AC1152">
        <f>ROUND(Mecze[[#This Row],[OD]]*Mecze[[#This Row],[%OU]],0)</f>
        <v>2</v>
      </c>
      <c r="AD1152" s="36" t="s">
        <v>47</v>
      </c>
      <c r="AE1152" s="36">
        <v>64</v>
      </c>
      <c r="AF1152" s="71">
        <v>9.14</v>
      </c>
      <c r="AG1152" s="37">
        <v>0</v>
      </c>
      <c r="AH1152" s="37">
        <v>0</v>
      </c>
      <c r="AI1152" s="37">
        <v>96</v>
      </c>
      <c r="AJ1152" s="37">
        <v>8</v>
      </c>
      <c r="AK1152" s="37" t="str">
        <f>VLOOKUP(Mecze[[#This Row],[Match ID]],Meczusie[Mecz]:Meczusie[RodzajMeczu],2,FALSE)</f>
        <v>Liga</v>
      </c>
    </row>
    <row r="1153" spans="1:37" x14ac:dyDescent="0.25">
      <c r="A1153" s="76">
        <v>2</v>
      </c>
      <c r="B1153" s="3" t="s">
        <v>307</v>
      </c>
      <c r="C1153" s="2" t="s">
        <v>157</v>
      </c>
      <c r="D1153" s="1">
        <v>0</v>
      </c>
      <c r="E1153" s="1">
        <v>0</v>
      </c>
      <c r="F1153" s="1">
        <v>0</v>
      </c>
      <c r="G1153" s="1">
        <v>4</v>
      </c>
      <c r="H1153" s="4">
        <v>1</v>
      </c>
      <c r="I1153" s="1">
        <v>0</v>
      </c>
      <c r="J1153" s="4"/>
      <c r="K1153" s="1">
        <v>0</v>
      </c>
      <c r="L1153" s="1">
        <v>4</v>
      </c>
      <c r="M1153" s="32">
        <f>IF(Mecze[[#This Row],[PR]]=0,0,Mecze[[#This Row],[PR]]/Mecze[[#This Row],[CZAS]])</f>
        <v>4.1666666666666664E-2</v>
      </c>
      <c r="N1153" s="32">
        <f>IF(Mecze[[#This Row],[OU]]=0,0,Mecze[[#This Row],[OU]]/Mecze[[#This Row],[CZAS]])</f>
        <v>0</v>
      </c>
      <c r="O1153" s="32">
        <f>IF(Mecze[[#This Row],[PC]]=0,0,Mecze[[#This Row],[PC]]/Mecze[[#This Row],[CZAS]])</f>
        <v>4.1666666666666664E-2</v>
      </c>
      <c r="P1153" s="32">
        <f>IF(Mecze[[#This Row],[SC]]=0,0,Mecze[[#This Row],[SC]]/Mecze[[#This Row],[CZAS]])</f>
        <v>0</v>
      </c>
      <c r="Q1153" s="32">
        <f>IF(Mecze[[#This Row],[OB]]=0,0,Mecze[[#This Row],[OB]]/Mecze[[#This Row],[CZAS]])</f>
        <v>0</v>
      </c>
      <c r="R1153" s="32">
        <f>IF(Mecze[[#This Row],[BR]]=0,0,Mecze[[#This Row],[BR]]/Mecze[[#This Row],[CZAS]])</f>
        <v>0</v>
      </c>
      <c r="S1153" s="44">
        <f>IF(Mecze[[#This Row],[Role]]="BR",SUMPRODUCT(Mecze[[#This Row],[/PR:90]:[/BR:90]],Brudnopis!$E$23:$J$23),0)</f>
        <v>0</v>
      </c>
      <c r="T1153" s="44">
        <f>IF(Mecze[[#This Row],[Role]]&lt;&gt;"BR",SUMPRODUCT(Mecze[[#This Row],[/PR:90]:[/BR:90]],Brudnopis!$E$24:$J$24),0)</f>
        <v>8.3333333333333329E-2</v>
      </c>
      <c r="U1153" s="44">
        <f>IF(Mecze[[#This Row],[Role]]&lt;&gt;"BR",SUMPRODUCT(Mecze[[#This Row],[/PR:90]:[/BR:90]],Brudnopis!$E$25:$J$25),0)</f>
        <v>0.10416666666666666</v>
      </c>
      <c r="V1153" s="44">
        <f>IF(Mecze[[#This Row],[Role]]&lt;&gt;"BR",SUMPRODUCT(Mecze[[#This Row],[/PR:90]:[/BR:90]],Brudnopis!$E$26:$J$26),0)</f>
        <v>8.3333333333333329E-2</v>
      </c>
      <c r="W1153" s="44">
        <f>IF(Mecze[[#This Row],[Role]]&lt;&gt;"BR",SUMPRODUCT(Mecze[[#This Row],[/PR:90]:[/BR:90]],Brudnopis!$E$27:$J$27),0)</f>
        <v>9.375E-2</v>
      </c>
      <c r="X1153" s="44">
        <f>IF(Mecze[[#This Row],[Role]]&lt;&gt;"BR",SUMPRODUCT(Mecze[[#This Row],[/PR:90]:[/BR:90]],Brudnopis!$E$28:$J$28),0)</f>
        <v>4.1666666666666664E-2</v>
      </c>
      <c r="Y1153" s="35">
        <f>IF(Mecze[[#This Row],[Role]]="BR",Mecze[[#This Row],[/OB:90]]+Mecze[[#This Row],[/PC:90]],SUM(Mecze[[#This Row],[/PR:90]:[/BR:90]]))</f>
        <v>8.3333333333333329E-2</v>
      </c>
      <c r="Z1153" s="35">
        <f>IF(Mecze[[#This Row],[KC]]=0,SUM(Mecze[[#This Row],[/BRI]:[/NPI]]),SUM(Mecze[[#This Row],[/BRI]:[/NPI]])*0.6)</f>
        <v>0.40625</v>
      </c>
      <c r="AA1153" s="10">
        <f>IFERROR(Mecze[[#This Row],[BR]]/Mecze[[#This Row],[ST]],0)</f>
        <v>0</v>
      </c>
      <c r="AB1153">
        <f>ROUND(Mecze[[#This Row],[PD]]*Mecze[[#This Row],[%PC]],0)</f>
        <v>4</v>
      </c>
      <c r="AC1153">
        <f>ROUND(Mecze[[#This Row],[OD]]*Mecze[[#This Row],[%OU]],0)</f>
        <v>0</v>
      </c>
      <c r="AD1153" s="36" t="s">
        <v>168</v>
      </c>
      <c r="AE1153" s="36">
        <v>64</v>
      </c>
      <c r="AF1153" s="71">
        <v>7.88</v>
      </c>
      <c r="AG1153" s="37">
        <v>0</v>
      </c>
      <c r="AH1153" s="37">
        <v>0</v>
      </c>
      <c r="AI1153" s="37">
        <v>96</v>
      </c>
      <c r="AJ1153" s="37">
        <v>8</v>
      </c>
      <c r="AK1153" s="37" t="str">
        <f>VLOOKUP(Mecze[[#This Row],[Match ID]],Meczusie[Mecz]:Meczusie[RodzajMeczu],2,FALSE)</f>
        <v>Liga</v>
      </c>
    </row>
    <row r="1154" spans="1:37" x14ac:dyDescent="0.25">
      <c r="A1154" s="76">
        <v>23</v>
      </c>
      <c r="B1154" s="3" t="s">
        <v>306</v>
      </c>
      <c r="C1154" s="2" t="s">
        <v>157</v>
      </c>
      <c r="D1154" s="1">
        <v>0</v>
      </c>
      <c r="E1154" s="1">
        <v>0</v>
      </c>
      <c r="F1154" s="1">
        <v>0</v>
      </c>
      <c r="G1154" s="1">
        <v>10</v>
      </c>
      <c r="H1154" s="4">
        <v>0.7</v>
      </c>
      <c r="I1154" s="1">
        <v>0</v>
      </c>
      <c r="J1154" s="4"/>
      <c r="K1154" s="1">
        <v>0</v>
      </c>
      <c r="L1154" s="1">
        <v>11</v>
      </c>
      <c r="M1154" s="32">
        <f>IF(Mecze[[#This Row],[PR]]=0,0,Mecze[[#This Row],[PR]]/Mecze[[#This Row],[CZAS]])</f>
        <v>0.11458333333333333</v>
      </c>
      <c r="N1154" s="32">
        <f>IF(Mecze[[#This Row],[OU]]=0,0,Mecze[[#This Row],[OU]]/Mecze[[#This Row],[CZAS]])</f>
        <v>0</v>
      </c>
      <c r="O1154" s="32">
        <f>IF(Mecze[[#This Row],[PC]]=0,0,Mecze[[#This Row],[PC]]/Mecze[[#This Row],[CZAS]])</f>
        <v>7.2916666666666671E-2</v>
      </c>
      <c r="P1154" s="32">
        <f>IF(Mecze[[#This Row],[SC]]=0,0,Mecze[[#This Row],[SC]]/Mecze[[#This Row],[CZAS]])</f>
        <v>0</v>
      </c>
      <c r="Q1154" s="32">
        <f>IF(Mecze[[#This Row],[OB]]=0,0,Mecze[[#This Row],[OB]]/Mecze[[#This Row],[CZAS]])</f>
        <v>0</v>
      </c>
      <c r="R1154" s="32">
        <f>IF(Mecze[[#This Row],[BR]]=0,0,Mecze[[#This Row],[BR]]/Mecze[[#This Row],[CZAS]])</f>
        <v>0</v>
      </c>
      <c r="S1154" s="44">
        <f>IF(Mecze[[#This Row],[Role]]="BR",SUMPRODUCT(Mecze[[#This Row],[/PR:90]:[/BR:90]],Brudnopis!$E$23:$J$23),0)</f>
        <v>0</v>
      </c>
      <c r="T1154" s="44">
        <f>IF(Mecze[[#This Row],[Role]]&lt;&gt;"BR",SUMPRODUCT(Mecze[[#This Row],[/PR:90]:[/BR:90]],Brudnopis!$E$24:$J$24),0)</f>
        <v>0.1875</v>
      </c>
      <c r="U1154" s="44">
        <f>IF(Mecze[[#This Row],[Role]]&lt;&gt;"BR",SUMPRODUCT(Mecze[[#This Row],[/PR:90]:[/BR:90]],Brudnopis!$E$25:$J$25),0)</f>
        <v>0.22395833333333331</v>
      </c>
      <c r="V1154" s="44">
        <f>IF(Mecze[[#This Row],[Role]]&lt;&gt;"BR",SUMPRODUCT(Mecze[[#This Row],[/PR:90]:[/BR:90]],Brudnopis!$E$26:$J$26),0)</f>
        <v>0.1875</v>
      </c>
      <c r="W1154" s="44">
        <f>IF(Mecze[[#This Row],[Role]]&lt;&gt;"BR",SUMPRODUCT(Mecze[[#This Row],[/PR:90]:[/BR:90]],Brudnopis!$E$27:$J$27),0)</f>
        <v>0.1953125</v>
      </c>
      <c r="X1154" s="44">
        <f>IF(Mecze[[#This Row],[Role]]&lt;&gt;"BR",SUMPRODUCT(Mecze[[#This Row],[/PR:90]:[/BR:90]],Brudnopis!$E$28:$J$28),0)</f>
        <v>7.2916666666666671E-2</v>
      </c>
      <c r="Y1154" s="35">
        <f>IF(Mecze[[#This Row],[Role]]="BR",Mecze[[#This Row],[/OB:90]]+Mecze[[#This Row],[/PC:90]],SUM(Mecze[[#This Row],[/PR:90]:[/BR:90]]))</f>
        <v>0.1875</v>
      </c>
      <c r="Z1154" s="35">
        <f>IF(Mecze[[#This Row],[KC]]=0,SUM(Mecze[[#This Row],[/BRI]:[/NPI]]),SUM(Mecze[[#This Row],[/BRI]:[/NPI]])*0.6)</f>
        <v>0.86718749999999989</v>
      </c>
      <c r="AA1154" s="10">
        <f>IFERROR(Mecze[[#This Row],[BR]]/Mecze[[#This Row],[ST]],0)</f>
        <v>0</v>
      </c>
      <c r="AB1154">
        <f>ROUND(Mecze[[#This Row],[PD]]*Mecze[[#This Row],[%PC]],0)</f>
        <v>7</v>
      </c>
      <c r="AC1154">
        <f>ROUND(Mecze[[#This Row],[OD]]*Mecze[[#This Row],[%OU]],0)</f>
        <v>0</v>
      </c>
      <c r="AD1154" s="36" t="s">
        <v>167</v>
      </c>
      <c r="AE1154" s="36">
        <v>64</v>
      </c>
      <c r="AF1154" s="71">
        <v>9.35</v>
      </c>
      <c r="AG1154" s="37">
        <v>0</v>
      </c>
      <c r="AH1154" s="37">
        <v>0</v>
      </c>
      <c r="AI1154" s="37">
        <v>96</v>
      </c>
      <c r="AJ1154" s="37">
        <v>8</v>
      </c>
      <c r="AK1154" s="37" t="str">
        <f>VLOOKUP(Mecze[[#This Row],[Match ID]],Meczusie[Mecz]:Meczusie[RodzajMeczu],2,FALSE)</f>
        <v>Liga</v>
      </c>
    </row>
    <row r="1155" spans="1:37" x14ac:dyDescent="0.25">
      <c r="A1155" s="76">
        <v>12</v>
      </c>
      <c r="B1155" s="3" t="s">
        <v>315</v>
      </c>
      <c r="C1155" s="2" t="s">
        <v>160</v>
      </c>
      <c r="D1155" s="1">
        <v>0</v>
      </c>
      <c r="E1155" s="1">
        <v>0</v>
      </c>
      <c r="F1155" s="1">
        <v>0</v>
      </c>
      <c r="G1155" s="1">
        <v>8</v>
      </c>
      <c r="H1155" s="4">
        <v>0.75</v>
      </c>
      <c r="I1155" s="1">
        <v>6</v>
      </c>
      <c r="J1155" s="4">
        <v>0.67</v>
      </c>
      <c r="K1155" s="1">
        <v>0</v>
      </c>
      <c r="L1155" s="1">
        <v>5</v>
      </c>
      <c r="M1155" s="32">
        <f>IF(Mecze[[#This Row],[PR]]=0,0,Mecze[[#This Row],[PR]]/Mecze[[#This Row],[CZAS]])</f>
        <v>5.2083333333333336E-2</v>
      </c>
      <c r="N1155" s="32">
        <f>IF(Mecze[[#This Row],[OU]]=0,0,Mecze[[#This Row],[OU]]/Mecze[[#This Row],[CZAS]])</f>
        <v>4.1666666666666664E-2</v>
      </c>
      <c r="O1155" s="32">
        <f>IF(Mecze[[#This Row],[PC]]=0,0,Mecze[[#This Row],[PC]]/Mecze[[#This Row],[CZAS]])</f>
        <v>6.25E-2</v>
      </c>
      <c r="P1155" s="32">
        <f>IF(Mecze[[#This Row],[SC]]=0,0,Mecze[[#This Row],[SC]]/Mecze[[#This Row],[CZAS]])</f>
        <v>0</v>
      </c>
      <c r="Q1155" s="32">
        <f>IF(Mecze[[#This Row],[OB]]=0,0,Mecze[[#This Row],[OB]]/Mecze[[#This Row],[CZAS]])</f>
        <v>0</v>
      </c>
      <c r="R1155" s="32">
        <f>IF(Mecze[[#This Row],[BR]]=0,0,Mecze[[#This Row],[BR]]/Mecze[[#This Row],[CZAS]])</f>
        <v>0</v>
      </c>
      <c r="S1155" s="44">
        <f>IF(Mecze[[#This Row],[Role]]="BR",SUMPRODUCT(Mecze[[#This Row],[/PR:90]:[/BR:90]],Brudnopis!$E$23:$J$23),0)</f>
        <v>0</v>
      </c>
      <c r="T1155" s="44">
        <f>IF(Mecze[[#This Row],[Role]]&lt;&gt;"BR",SUMPRODUCT(Mecze[[#This Row],[/PR:90]:[/BR:90]],Brudnopis!$E$24:$J$24),0)</f>
        <v>0.17708333333333334</v>
      </c>
      <c r="U1155" s="44">
        <f>IF(Mecze[[#This Row],[Role]]&lt;&gt;"BR",SUMPRODUCT(Mecze[[#This Row],[/PR:90]:[/BR:90]],Brudnopis!$E$25:$J$25),0)</f>
        <v>0.1875</v>
      </c>
      <c r="V1155" s="44">
        <f>IF(Mecze[[#This Row],[Role]]&lt;&gt;"BR",SUMPRODUCT(Mecze[[#This Row],[/PR:90]:[/BR:90]],Brudnopis!$E$26:$J$26),0)</f>
        <v>0.15625</v>
      </c>
      <c r="W1155" s="44">
        <f>IF(Mecze[[#This Row],[Role]]&lt;&gt;"BR",SUMPRODUCT(Mecze[[#This Row],[/PR:90]:[/BR:90]],Brudnopis!$E$27:$J$27),0)</f>
        <v>0.1640625</v>
      </c>
      <c r="X1155" s="44">
        <f>IF(Mecze[[#This Row],[Role]]&lt;&gt;"BR",SUMPRODUCT(Mecze[[#This Row],[/PR:90]:[/BR:90]],Brudnopis!$E$28:$J$28),0)</f>
        <v>6.25E-2</v>
      </c>
      <c r="Y1155" s="35">
        <f>IF(Mecze[[#This Row],[Role]]="BR",Mecze[[#This Row],[/OB:90]]+Mecze[[#This Row],[/PC:90]],SUM(Mecze[[#This Row],[/PR:90]:[/BR:90]]))</f>
        <v>0.15625</v>
      </c>
      <c r="Z1155" s="35">
        <f>IF(Mecze[[#This Row],[KC]]=0,SUM(Mecze[[#This Row],[/BRI]:[/NPI]]),SUM(Mecze[[#This Row],[/BRI]:[/NPI]])*0.6)</f>
        <v>0.74739583333333337</v>
      </c>
      <c r="AA1155" s="10">
        <f>IFERROR(Mecze[[#This Row],[BR]]/Mecze[[#This Row],[ST]],0)</f>
        <v>0</v>
      </c>
      <c r="AB1155">
        <f>ROUND(Mecze[[#This Row],[PD]]*Mecze[[#This Row],[%PC]],0)</f>
        <v>6</v>
      </c>
      <c r="AC1155">
        <f>ROUND(Mecze[[#This Row],[OD]]*Mecze[[#This Row],[%OU]],0)</f>
        <v>4</v>
      </c>
      <c r="AD1155" s="36" t="s">
        <v>41</v>
      </c>
      <c r="AE1155" s="36">
        <v>64</v>
      </c>
      <c r="AF1155" s="71">
        <v>9.3000000000000007</v>
      </c>
      <c r="AG1155" s="37">
        <v>0</v>
      </c>
      <c r="AH1155" s="37">
        <v>0</v>
      </c>
      <c r="AI1155" s="37">
        <v>96</v>
      </c>
      <c r="AJ1155" s="37">
        <v>8</v>
      </c>
      <c r="AK1155" s="37" t="str">
        <f>VLOOKUP(Mecze[[#This Row],[Match ID]],Meczusie[Mecz]:Meczusie[RodzajMeczu],2,FALSE)</f>
        <v>Liga</v>
      </c>
    </row>
    <row r="1156" spans="1:37" x14ac:dyDescent="0.25">
      <c r="A1156" s="76">
        <v>16</v>
      </c>
      <c r="B1156" s="3" t="s">
        <v>309</v>
      </c>
      <c r="C1156" s="2" t="s">
        <v>160</v>
      </c>
      <c r="D1156" s="1">
        <v>0</v>
      </c>
      <c r="E1156" s="1">
        <v>0</v>
      </c>
      <c r="F1156" s="1">
        <v>0</v>
      </c>
      <c r="G1156" s="1">
        <v>11</v>
      </c>
      <c r="H1156" s="4">
        <v>0.64</v>
      </c>
      <c r="I1156" s="1">
        <v>8</v>
      </c>
      <c r="J1156" s="4">
        <v>0.63</v>
      </c>
      <c r="K1156" s="1">
        <v>0</v>
      </c>
      <c r="L1156" s="1">
        <v>6</v>
      </c>
      <c r="M1156" s="32">
        <f>IF(Mecze[[#This Row],[PR]]=0,0,Mecze[[#This Row],[PR]]/Mecze[[#This Row],[CZAS]])</f>
        <v>6.25E-2</v>
      </c>
      <c r="N1156" s="32">
        <f>IF(Mecze[[#This Row],[OU]]=0,0,Mecze[[#This Row],[OU]]/Mecze[[#This Row],[CZAS]])</f>
        <v>5.2083333333333336E-2</v>
      </c>
      <c r="O1156" s="32">
        <f>IF(Mecze[[#This Row],[PC]]=0,0,Mecze[[#This Row],[PC]]/Mecze[[#This Row],[CZAS]])</f>
        <v>7.2916666666666671E-2</v>
      </c>
      <c r="P1156" s="32">
        <f>IF(Mecze[[#This Row],[SC]]=0,0,Mecze[[#This Row],[SC]]/Mecze[[#This Row],[CZAS]])</f>
        <v>0</v>
      </c>
      <c r="Q1156" s="32">
        <f>IF(Mecze[[#This Row],[OB]]=0,0,Mecze[[#This Row],[OB]]/Mecze[[#This Row],[CZAS]])</f>
        <v>0</v>
      </c>
      <c r="R1156" s="32">
        <f>IF(Mecze[[#This Row],[BR]]=0,0,Mecze[[#This Row],[BR]]/Mecze[[#This Row],[CZAS]])</f>
        <v>0</v>
      </c>
      <c r="S1156" s="44">
        <f>IF(Mecze[[#This Row],[Role]]="BR",SUMPRODUCT(Mecze[[#This Row],[/PR:90]:[/BR:90]],Brudnopis!$E$23:$J$23),0)</f>
        <v>0</v>
      </c>
      <c r="T1156" s="44">
        <f>IF(Mecze[[#This Row],[Role]]&lt;&gt;"BR",SUMPRODUCT(Mecze[[#This Row],[/PR:90]:[/BR:90]],Brudnopis!$E$24:$J$24),0)</f>
        <v>0.21354166666666669</v>
      </c>
      <c r="U1156" s="44">
        <f>IF(Mecze[[#This Row],[Role]]&lt;&gt;"BR",SUMPRODUCT(Mecze[[#This Row],[/PR:90]:[/BR:90]],Brudnopis!$E$25:$J$25),0)</f>
        <v>0.22395833333333334</v>
      </c>
      <c r="V1156" s="44">
        <f>IF(Mecze[[#This Row],[Role]]&lt;&gt;"BR",SUMPRODUCT(Mecze[[#This Row],[/PR:90]:[/BR:90]],Brudnopis!$E$26:$J$26),0)</f>
        <v>0.1875</v>
      </c>
      <c r="W1156" s="44">
        <f>IF(Mecze[[#This Row],[Role]]&lt;&gt;"BR",SUMPRODUCT(Mecze[[#This Row],[/PR:90]:[/BR:90]],Brudnopis!$E$27:$J$27),0)</f>
        <v>0.1953125</v>
      </c>
      <c r="X1156" s="44">
        <f>IF(Mecze[[#This Row],[Role]]&lt;&gt;"BR",SUMPRODUCT(Mecze[[#This Row],[/PR:90]:[/BR:90]],Brudnopis!$E$28:$J$28),0)</f>
        <v>7.2916666666666671E-2</v>
      </c>
      <c r="Y1156" s="35">
        <f>IF(Mecze[[#This Row],[Role]]="BR",Mecze[[#This Row],[/OB:90]]+Mecze[[#This Row],[/PC:90]],SUM(Mecze[[#This Row],[/PR:90]:[/BR:90]]))</f>
        <v>0.1875</v>
      </c>
      <c r="Z1156" s="35">
        <f>IF(Mecze[[#This Row],[KC]]=0,SUM(Mecze[[#This Row],[/BRI]:[/NPI]]),SUM(Mecze[[#This Row],[/BRI]:[/NPI]])*0.6)</f>
        <v>0.89322916666666663</v>
      </c>
      <c r="AA1156" s="10">
        <f>IFERROR(Mecze[[#This Row],[BR]]/Mecze[[#This Row],[ST]],0)</f>
        <v>0</v>
      </c>
      <c r="AB1156">
        <f>ROUND(Mecze[[#This Row],[PD]]*Mecze[[#This Row],[%PC]],0)</f>
        <v>7</v>
      </c>
      <c r="AC1156">
        <f>ROUND(Mecze[[#This Row],[OD]]*Mecze[[#This Row],[%OU]],0)</f>
        <v>5</v>
      </c>
      <c r="AD1156" s="36" t="s">
        <v>41</v>
      </c>
      <c r="AE1156" s="36">
        <v>64</v>
      </c>
      <c r="AF1156" s="71">
        <v>9.51</v>
      </c>
      <c r="AG1156" s="37">
        <v>0</v>
      </c>
      <c r="AH1156" s="37">
        <v>0</v>
      </c>
      <c r="AI1156" s="37">
        <v>96</v>
      </c>
      <c r="AJ1156" s="37">
        <v>8</v>
      </c>
      <c r="AK1156" s="37" t="str">
        <f>VLOOKUP(Mecze[[#This Row],[Match ID]],Meczusie[Mecz]:Meczusie[RodzajMeczu],2,FALSE)</f>
        <v>Liga</v>
      </c>
    </row>
    <row r="1157" spans="1:37" x14ac:dyDescent="0.25">
      <c r="A1157" s="76">
        <v>6</v>
      </c>
      <c r="B1157" s="3" t="s">
        <v>308</v>
      </c>
      <c r="C1157" s="2" t="s">
        <v>160</v>
      </c>
      <c r="D1157" s="1">
        <v>0</v>
      </c>
      <c r="E1157" s="1">
        <v>0</v>
      </c>
      <c r="F1157" s="1">
        <v>0</v>
      </c>
      <c r="G1157" s="1">
        <v>9</v>
      </c>
      <c r="H1157" s="4">
        <v>0.67</v>
      </c>
      <c r="I1157" s="1">
        <v>9</v>
      </c>
      <c r="J1157" s="4">
        <v>0.22</v>
      </c>
      <c r="K1157" s="1">
        <v>0</v>
      </c>
      <c r="L1157" s="1">
        <v>8</v>
      </c>
      <c r="M1157" s="32">
        <f>IF(Mecze[[#This Row],[PR]]=0,0,Mecze[[#This Row],[PR]]/Mecze[[#This Row],[CZAS]])</f>
        <v>0.10810810810810811</v>
      </c>
      <c r="N1157" s="32">
        <f>IF(Mecze[[#This Row],[OU]]=0,0,Mecze[[#This Row],[OU]]/Mecze[[#This Row],[CZAS]])</f>
        <v>2.7027027027027029E-2</v>
      </c>
      <c r="O1157" s="32">
        <f>IF(Mecze[[#This Row],[PC]]=0,0,Mecze[[#This Row],[PC]]/Mecze[[#This Row],[CZAS]])</f>
        <v>8.1081081081081086E-2</v>
      </c>
      <c r="P1157" s="32">
        <f>IF(Mecze[[#This Row],[SC]]=0,0,Mecze[[#This Row],[SC]]/Mecze[[#This Row],[CZAS]])</f>
        <v>0</v>
      </c>
      <c r="Q1157" s="32">
        <f>IF(Mecze[[#This Row],[OB]]=0,0,Mecze[[#This Row],[OB]]/Mecze[[#This Row],[CZAS]])</f>
        <v>0</v>
      </c>
      <c r="R1157" s="32">
        <f>IF(Mecze[[#This Row],[BR]]=0,0,Mecze[[#This Row],[BR]]/Mecze[[#This Row],[CZAS]])</f>
        <v>0</v>
      </c>
      <c r="S1157" s="44">
        <f>IF(Mecze[[#This Row],[Role]]="BR",SUMPRODUCT(Mecze[[#This Row],[/PR:90]:[/BR:90]],Brudnopis!$E$23:$J$23),0)</f>
        <v>0</v>
      </c>
      <c r="T1157" s="44">
        <f>IF(Mecze[[#This Row],[Role]]&lt;&gt;"BR",SUMPRODUCT(Mecze[[#This Row],[/PR:90]:[/BR:90]],Brudnopis!$E$24:$J$24),0)</f>
        <v>0.22972972972972974</v>
      </c>
      <c r="U1157" s="44">
        <f>IF(Mecze[[#This Row],[Role]]&lt;&gt;"BR",SUMPRODUCT(Mecze[[#This Row],[/PR:90]:[/BR:90]],Brudnopis!$E$25:$J$25),0)</f>
        <v>0.2567567567567568</v>
      </c>
      <c r="V1157" s="44">
        <f>IF(Mecze[[#This Row],[Role]]&lt;&gt;"BR",SUMPRODUCT(Mecze[[#This Row],[/PR:90]:[/BR:90]],Brudnopis!$E$26:$J$26),0)</f>
        <v>0.21621621621621623</v>
      </c>
      <c r="W1157" s="44">
        <f>IF(Mecze[[#This Row],[Role]]&lt;&gt;"BR",SUMPRODUCT(Mecze[[#This Row],[/PR:90]:[/BR:90]],Brudnopis!$E$27:$J$27),0)</f>
        <v>0.22297297297297297</v>
      </c>
      <c r="X1157" s="44">
        <f>IF(Mecze[[#This Row],[Role]]&lt;&gt;"BR",SUMPRODUCT(Mecze[[#This Row],[/PR:90]:[/BR:90]],Brudnopis!$E$28:$J$28),0)</f>
        <v>8.1081081081081086E-2</v>
      </c>
      <c r="Y1157" s="35">
        <f>IF(Mecze[[#This Row],[Role]]="BR",Mecze[[#This Row],[/OB:90]]+Mecze[[#This Row],[/PC:90]],SUM(Mecze[[#This Row],[/PR:90]:[/BR:90]]))</f>
        <v>0.21621621621621623</v>
      </c>
      <c r="Z1157" s="35">
        <f>IF(Mecze[[#This Row],[KC]]=0,SUM(Mecze[[#This Row],[/BRI]:[/NPI]]),SUM(Mecze[[#This Row],[/BRI]:[/NPI]])*0.6)</f>
        <v>1.0067567567567568</v>
      </c>
      <c r="AA1157" s="10">
        <f>IFERROR(Mecze[[#This Row],[BR]]/Mecze[[#This Row],[ST]],0)</f>
        <v>0</v>
      </c>
      <c r="AB1157">
        <f>ROUND(Mecze[[#This Row],[PD]]*Mecze[[#This Row],[%PC]],0)</f>
        <v>6</v>
      </c>
      <c r="AC1157">
        <f>ROUND(Mecze[[#This Row],[OD]]*Mecze[[#This Row],[%OU]],0)</f>
        <v>2</v>
      </c>
      <c r="AD1157" s="36" t="s">
        <v>67</v>
      </c>
      <c r="AE1157" s="36">
        <v>64</v>
      </c>
      <c r="AF1157" s="71">
        <v>9.93</v>
      </c>
      <c r="AG1157" s="37">
        <v>0</v>
      </c>
      <c r="AH1157" s="37">
        <v>0</v>
      </c>
      <c r="AI1157" s="37">
        <v>74</v>
      </c>
      <c r="AJ1157" s="37">
        <v>8</v>
      </c>
      <c r="AK1157" s="37" t="str">
        <f>VLOOKUP(Mecze[[#This Row],[Match ID]],Meczusie[Mecz]:Meczusie[RodzajMeczu],2,FALSE)</f>
        <v>Liga</v>
      </c>
    </row>
    <row r="1158" spans="1:37" x14ac:dyDescent="0.25">
      <c r="A1158" s="76">
        <v>7</v>
      </c>
      <c r="B1158" s="3" t="s">
        <v>311</v>
      </c>
      <c r="C1158" s="2" t="s">
        <v>160</v>
      </c>
      <c r="D1158" s="1">
        <v>0</v>
      </c>
      <c r="E1158" s="1">
        <v>2</v>
      </c>
      <c r="F1158" s="1">
        <v>0</v>
      </c>
      <c r="G1158" s="1">
        <v>7</v>
      </c>
      <c r="H1158" s="4">
        <v>0.71</v>
      </c>
      <c r="I1158" s="1">
        <v>1</v>
      </c>
      <c r="J1158" s="4">
        <v>1</v>
      </c>
      <c r="K1158" s="1">
        <v>0</v>
      </c>
      <c r="L1158" s="1">
        <v>1</v>
      </c>
      <c r="M1158" s="32">
        <f>IF(Mecze[[#This Row],[PR]]=0,0,Mecze[[#This Row],[PR]]/Mecze[[#This Row],[CZAS]])</f>
        <v>1.0416666666666666E-2</v>
      </c>
      <c r="N1158" s="32">
        <f>IF(Mecze[[#This Row],[OU]]=0,0,Mecze[[#This Row],[OU]]/Mecze[[#This Row],[CZAS]])</f>
        <v>1.0416666666666666E-2</v>
      </c>
      <c r="O1158" s="32">
        <f>IF(Mecze[[#This Row],[PC]]=0,0,Mecze[[#This Row],[PC]]/Mecze[[#This Row],[CZAS]])</f>
        <v>5.2083333333333336E-2</v>
      </c>
      <c r="P1158" s="32">
        <f>IF(Mecze[[#This Row],[SC]]=0,0,Mecze[[#This Row],[SC]]/Mecze[[#This Row],[CZAS]])</f>
        <v>0</v>
      </c>
      <c r="Q1158" s="32">
        <f>IF(Mecze[[#This Row],[OB]]=0,0,Mecze[[#This Row],[OB]]/Mecze[[#This Row],[CZAS]])</f>
        <v>0</v>
      </c>
      <c r="R1158" s="32">
        <f>IF(Mecze[[#This Row],[BR]]=0,0,Mecze[[#This Row],[BR]]/Mecze[[#This Row],[CZAS]])</f>
        <v>0</v>
      </c>
      <c r="S1158" s="44">
        <f>IF(Mecze[[#This Row],[Role]]="BR",SUMPRODUCT(Mecze[[#This Row],[/PR:90]:[/BR:90]],Brudnopis!$E$23:$J$23),0)</f>
        <v>0</v>
      </c>
      <c r="T1158" s="44">
        <f>IF(Mecze[[#This Row],[Role]]&lt;&gt;"BR",SUMPRODUCT(Mecze[[#This Row],[/PR:90]:[/BR:90]],Brudnopis!$E$24:$J$24),0)</f>
        <v>7.8125E-2</v>
      </c>
      <c r="U1158" s="44">
        <f>IF(Mecze[[#This Row],[Role]]&lt;&gt;"BR",SUMPRODUCT(Mecze[[#This Row],[/PR:90]:[/BR:90]],Brudnopis!$E$25:$J$25),0)</f>
        <v>9.8958333333333329E-2</v>
      </c>
      <c r="V1158" s="44">
        <f>IF(Mecze[[#This Row],[Role]]&lt;&gt;"BR",SUMPRODUCT(Mecze[[#This Row],[/PR:90]:[/BR:90]],Brudnopis!$E$26:$J$26),0)</f>
        <v>7.2916666666666671E-2</v>
      </c>
      <c r="W1158" s="44">
        <f>IF(Mecze[[#This Row],[Role]]&lt;&gt;"BR",SUMPRODUCT(Mecze[[#This Row],[/PR:90]:[/BR:90]],Brudnopis!$E$27:$J$27),0)</f>
        <v>9.375E-2</v>
      </c>
      <c r="X1158" s="44">
        <f>IF(Mecze[[#This Row],[Role]]&lt;&gt;"BR",SUMPRODUCT(Mecze[[#This Row],[/PR:90]:[/BR:90]],Brudnopis!$E$28:$J$28),0)</f>
        <v>5.2083333333333336E-2</v>
      </c>
      <c r="Y1158" s="35">
        <f>IF(Mecze[[#This Row],[Role]]="BR",Mecze[[#This Row],[/OB:90]]+Mecze[[#This Row],[/PC:90]],SUM(Mecze[[#This Row],[/PR:90]:[/BR:90]]))</f>
        <v>7.2916666666666671E-2</v>
      </c>
      <c r="Z1158" s="35">
        <f>IF(Mecze[[#This Row],[KC]]=0,SUM(Mecze[[#This Row],[/BRI]:[/NPI]]),SUM(Mecze[[#This Row],[/BRI]:[/NPI]])*0.6)</f>
        <v>0.39583333333333331</v>
      </c>
      <c r="AA1158" s="10">
        <f>IFERROR(Mecze[[#This Row],[BR]]/Mecze[[#This Row],[ST]],0)</f>
        <v>0</v>
      </c>
      <c r="AB1158">
        <f>ROUND(Mecze[[#This Row],[PD]]*Mecze[[#This Row],[%PC]],0)</f>
        <v>5</v>
      </c>
      <c r="AC1158">
        <f>ROUND(Mecze[[#This Row],[OD]]*Mecze[[#This Row],[%OU]],0)</f>
        <v>1</v>
      </c>
      <c r="AD1158" s="36" t="s">
        <v>299</v>
      </c>
      <c r="AE1158" s="36">
        <v>64</v>
      </c>
      <c r="AF1158" s="71">
        <v>8.4600000000000009</v>
      </c>
      <c r="AG1158" s="37">
        <v>0</v>
      </c>
      <c r="AH1158" s="37">
        <v>0</v>
      </c>
      <c r="AI1158" s="37">
        <v>96</v>
      </c>
      <c r="AJ1158" s="37">
        <v>8</v>
      </c>
      <c r="AK1158" s="37" t="str">
        <f>VLOOKUP(Mecze[[#This Row],[Match ID]],Meczusie[Mecz]:Meczusie[RodzajMeczu],2,FALSE)</f>
        <v>Liga</v>
      </c>
    </row>
    <row r="1159" spans="1:37" x14ac:dyDescent="0.25">
      <c r="A1159" s="76">
        <v>14</v>
      </c>
      <c r="B1159" s="3" t="s">
        <v>312</v>
      </c>
      <c r="C1159" s="2" t="s">
        <v>165</v>
      </c>
      <c r="D1159" s="1">
        <v>2</v>
      </c>
      <c r="E1159" s="1">
        <v>4</v>
      </c>
      <c r="F1159" s="1">
        <v>4</v>
      </c>
      <c r="G1159" s="1">
        <v>12</v>
      </c>
      <c r="H1159" s="4">
        <v>0.57999999999999996</v>
      </c>
      <c r="I1159" s="1">
        <v>1</v>
      </c>
      <c r="J1159" s="4">
        <v>0</v>
      </c>
      <c r="K1159" s="1">
        <v>0</v>
      </c>
      <c r="L1159" s="1">
        <v>3</v>
      </c>
      <c r="M1159" s="32">
        <f>IF(Mecze[[#This Row],[PR]]=0,0,Mecze[[#This Row],[PR]]/Mecze[[#This Row],[CZAS]])</f>
        <v>3.8461538461538464E-2</v>
      </c>
      <c r="N1159" s="32">
        <f>IF(Mecze[[#This Row],[OU]]=0,0,Mecze[[#This Row],[OU]]/Mecze[[#This Row],[CZAS]])</f>
        <v>0</v>
      </c>
      <c r="O1159" s="32">
        <f>IF(Mecze[[#This Row],[PC]]=0,0,Mecze[[#This Row],[PC]]/Mecze[[#This Row],[CZAS]])</f>
        <v>8.9743589743589744E-2</v>
      </c>
      <c r="P1159" s="32">
        <f>IF(Mecze[[#This Row],[SC]]=0,0,Mecze[[#This Row],[SC]]/Mecze[[#This Row],[CZAS]])</f>
        <v>5.128205128205128E-2</v>
      </c>
      <c r="Q1159" s="32">
        <f>IF(Mecze[[#This Row],[OB]]=0,0,Mecze[[#This Row],[OB]]/Mecze[[#This Row],[CZAS]])</f>
        <v>0</v>
      </c>
      <c r="R1159" s="32">
        <f>IF(Mecze[[#This Row],[BR]]=0,0,Mecze[[#This Row],[BR]]/Mecze[[#This Row],[CZAS]])</f>
        <v>2.564102564102564E-2</v>
      </c>
      <c r="S1159" s="44">
        <f>IF(Mecze[[#This Row],[Role]]="BR",SUMPRODUCT(Mecze[[#This Row],[/PR:90]:[/BR:90]],Brudnopis!$E$23:$J$23),0)</f>
        <v>0</v>
      </c>
      <c r="T1159" s="44">
        <f>IF(Mecze[[#This Row],[Role]]&lt;&gt;"BR",SUMPRODUCT(Mecze[[#This Row],[/PR:90]:[/BR:90]],Brudnopis!$E$24:$J$24),0)</f>
        <v>0.21794871794871792</v>
      </c>
      <c r="U1159" s="44">
        <f>IF(Mecze[[#This Row],[Role]]&lt;&gt;"BR",SUMPRODUCT(Mecze[[#This Row],[/PR:90]:[/BR:90]],Brudnopis!$E$25:$J$25),0)</f>
        <v>0.26282051282051277</v>
      </c>
      <c r="V1159" s="44">
        <f>IF(Mecze[[#This Row],[Role]]&lt;&gt;"BR",SUMPRODUCT(Mecze[[#This Row],[/PR:90]:[/BR:90]],Brudnopis!$E$26:$J$26),0)</f>
        <v>0.23076923076923073</v>
      </c>
      <c r="W1159" s="44">
        <f>IF(Mecze[[#This Row],[Role]]&lt;&gt;"BR",SUMPRODUCT(Mecze[[#This Row],[/PR:90]:[/BR:90]],Brudnopis!$E$27:$J$27),0)</f>
        <v>0.26602564102564102</v>
      </c>
      <c r="X1159" s="44">
        <f>IF(Mecze[[#This Row],[Role]]&lt;&gt;"BR",SUMPRODUCT(Mecze[[#This Row],[/PR:90]:[/BR:90]],Brudnopis!$E$28:$J$28),0)</f>
        <v>0.26923076923076922</v>
      </c>
      <c r="Y1159" s="35">
        <f>IF(Mecze[[#This Row],[Role]]="BR",Mecze[[#This Row],[/OB:90]]+Mecze[[#This Row],[/PC:90]],SUM(Mecze[[#This Row],[/PR:90]:[/BR:90]]))</f>
        <v>0.20512820512820509</v>
      </c>
      <c r="Z1159" s="35">
        <f>IF(Mecze[[#This Row],[KC]]=0,SUM(Mecze[[#This Row],[/BRI]:[/NPI]]),SUM(Mecze[[#This Row],[/BRI]:[/NPI]])*0.6)</f>
        <v>1.2467948717948716</v>
      </c>
      <c r="AA1159" s="10">
        <f>IFERROR(Mecze[[#This Row],[BR]]/Mecze[[#This Row],[ST]],0)</f>
        <v>0.5</v>
      </c>
      <c r="AB1159">
        <f>ROUND(Mecze[[#This Row],[PD]]*Mecze[[#This Row],[%PC]],0)</f>
        <v>7</v>
      </c>
      <c r="AC1159">
        <f>ROUND(Mecze[[#This Row],[OD]]*Mecze[[#This Row],[%OU]],0)</f>
        <v>0</v>
      </c>
      <c r="AD1159" s="36" t="s">
        <v>46</v>
      </c>
      <c r="AE1159" s="36">
        <v>64</v>
      </c>
      <c r="AF1159" s="71">
        <v>10.74</v>
      </c>
      <c r="AG1159" s="37">
        <v>0</v>
      </c>
      <c r="AH1159" s="37">
        <v>0</v>
      </c>
      <c r="AI1159" s="37">
        <v>78</v>
      </c>
      <c r="AJ1159" s="37">
        <v>8</v>
      </c>
      <c r="AK1159" s="37" t="str">
        <f>VLOOKUP(Mecze[[#This Row],[Match ID]],Meczusie[Mecz]:Meczusie[RodzajMeczu],2,FALSE)</f>
        <v>Liga</v>
      </c>
    </row>
    <row r="1160" spans="1:37" x14ac:dyDescent="0.25">
      <c r="A1160" s="76">
        <v>8</v>
      </c>
      <c r="B1160" s="3" t="s">
        <v>314</v>
      </c>
      <c r="C1160" s="2" t="s">
        <v>165</v>
      </c>
      <c r="D1160" s="1">
        <v>1</v>
      </c>
      <c r="E1160" s="1">
        <v>4</v>
      </c>
      <c r="F1160" s="1">
        <v>2</v>
      </c>
      <c r="G1160" s="1">
        <v>8</v>
      </c>
      <c r="H1160" s="4">
        <v>0.5</v>
      </c>
      <c r="I1160" s="1">
        <v>2</v>
      </c>
      <c r="J1160" s="4">
        <v>0.5</v>
      </c>
      <c r="K1160" s="1">
        <v>0</v>
      </c>
      <c r="L1160" s="1">
        <v>1</v>
      </c>
      <c r="M1160" s="32">
        <f>IF(Mecze[[#This Row],[PR]]=0,0,Mecze[[#This Row],[PR]]/Mecze[[#This Row],[CZAS]])</f>
        <v>1.0416666666666666E-2</v>
      </c>
      <c r="N1160" s="32">
        <f>IF(Mecze[[#This Row],[OU]]=0,0,Mecze[[#This Row],[OU]]/Mecze[[#This Row],[CZAS]])</f>
        <v>1.0416666666666666E-2</v>
      </c>
      <c r="O1160" s="32">
        <f>IF(Mecze[[#This Row],[PC]]=0,0,Mecze[[#This Row],[PC]]/Mecze[[#This Row],[CZAS]])</f>
        <v>4.1666666666666664E-2</v>
      </c>
      <c r="P1160" s="32">
        <f>IF(Mecze[[#This Row],[SC]]=0,0,Mecze[[#This Row],[SC]]/Mecze[[#This Row],[CZAS]])</f>
        <v>2.0833333333333332E-2</v>
      </c>
      <c r="Q1160" s="32">
        <f>IF(Mecze[[#This Row],[OB]]=0,0,Mecze[[#This Row],[OB]]/Mecze[[#This Row],[CZAS]])</f>
        <v>0</v>
      </c>
      <c r="R1160" s="32">
        <f>IF(Mecze[[#This Row],[BR]]=0,0,Mecze[[#This Row],[BR]]/Mecze[[#This Row],[CZAS]])</f>
        <v>1.0416666666666666E-2</v>
      </c>
      <c r="S1160" s="44">
        <f>IF(Mecze[[#This Row],[Role]]="BR",SUMPRODUCT(Mecze[[#This Row],[/PR:90]:[/BR:90]],Brudnopis!$E$23:$J$23),0)</f>
        <v>0</v>
      </c>
      <c r="T1160" s="44">
        <f>IF(Mecze[[#This Row],[Role]]&lt;&gt;"BR",SUMPRODUCT(Mecze[[#This Row],[/PR:90]:[/BR:90]],Brudnopis!$E$24:$J$24),0)</f>
        <v>0.10416666666666666</v>
      </c>
      <c r="U1160" s="44">
        <f>IF(Mecze[[#This Row],[Role]]&lt;&gt;"BR",SUMPRODUCT(Mecze[[#This Row],[/PR:90]:[/BR:90]],Brudnopis!$E$25:$J$25),0)</f>
        <v>0.11979166666666666</v>
      </c>
      <c r="V1160" s="44">
        <f>IF(Mecze[[#This Row],[Role]]&lt;&gt;"BR",SUMPRODUCT(Mecze[[#This Row],[/PR:90]:[/BR:90]],Brudnopis!$E$26:$J$26),0)</f>
        <v>0.10416666666666666</v>
      </c>
      <c r="W1160" s="44">
        <f>IF(Mecze[[#This Row],[Role]]&lt;&gt;"BR",SUMPRODUCT(Mecze[[#This Row],[/PR:90]:[/BR:90]],Brudnopis!$E$27:$J$27),0)</f>
        <v>0.11979166666666666</v>
      </c>
      <c r="X1160" s="44">
        <f>IF(Mecze[[#This Row],[Role]]&lt;&gt;"BR",SUMPRODUCT(Mecze[[#This Row],[/PR:90]:[/BR:90]],Brudnopis!$E$28:$J$28),0)</f>
        <v>0.11458333333333333</v>
      </c>
      <c r="Y1160" s="35">
        <f>IF(Mecze[[#This Row],[Role]]="BR",Mecze[[#This Row],[/OB:90]]+Mecze[[#This Row],[/PC:90]],SUM(Mecze[[#This Row],[/PR:90]:[/BR:90]]))</f>
        <v>9.375E-2</v>
      </c>
      <c r="Z1160" s="35">
        <f>IF(Mecze[[#This Row],[KC]]=0,SUM(Mecze[[#This Row],[/BRI]:[/NPI]]),SUM(Mecze[[#This Row],[/BRI]:[/NPI]])*0.6)</f>
        <v>0.5625</v>
      </c>
      <c r="AA1160" s="10">
        <f>IFERROR(Mecze[[#This Row],[BR]]/Mecze[[#This Row],[ST]],0)</f>
        <v>0.25</v>
      </c>
      <c r="AB1160">
        <f>ROUND(Mecze[[#This Row],[PD]]*Mecze[[#This Row],[%PC]],0)</f>
        <v>4</v>
      </c>
      <c r="AC1160">
        <f>ROUND(Mecze[[#This Row],[OD]]*Mecze[[#This Row],[%OU]],0)</f>
        <v>1</v>
      </c>
      <c r="AD1160" s="36" t="s">
        <v>272</v>
      </c>
      <c r="AE1160" s="36">
        <v>64</v>
      </c>
      <c r="AF1160" s="71">
        <v>8</v>
      </c>
      <c r="AG1160" s="37">
        <v>0</v>
      </c>
      <c r="AH1160" s="37">
        <v>0</v>
      </c>
      <c r="AI1160" s="37">
        <v>96</v>
      </c>
      <c r="AJ1160" s="37">
        <v>8</v>
      </c>
      <c r="AK1160" s="37" t="str">
        <f>VLOOKUP(Mecze[[#This Row],[Match ID]],Meczusie[Mecz]:Meczusie[RodzajMeczu],2,FALSE)</f>
        <v>Liga</v>
      </c>
    </row>
    <row r="1161" spans="1:37" x14ac:dyDescent="0.25">
      <c r="A1161" s="76">
        <v>13</v>
      </c>
      <c r="B1161" s="3" t="s">
        <v>313</v>
      </c>
      <c r="C1161" s="2" t="s">
        <v>165</v>
      </c>
      <c r="D1161" s="1">
        <v>0</v>
      </c>
      <c r="E1161" s="1">
        <v>8</v>
      </c>
      <c r="F1161" s="1">
        <v>6</v>
      </c>
      <c r="G1161" s="1">
        <v>5</v>
      </c>
      <c r="H1161" s="4">
        <v>0.6</v>
      </c>
      <c r="I1161" s="1">
        <v>0</v>
      </c>
      <c r="J1161" s="4"/>
      <c r="K1161" s="1">
        <v>0</v>
      </c>
      <c r="L1161" s="1">
        <v>1</v>
      </c>
      <c r="M1161" s="32">
        <f>IF(Mecze[[#This Row],[PR]]=0,0,Mecze[[#This Row],[PR]]/Mecze[[#This Row],[CZAS]])</f>
        <v>1.282051282051282E-2</v>
      </c>
      <c r="N1161" s="32">
        <f>IF(Mecze[[#This Row],[OU]]=0,0,Mecze[[#This Row],[OU]]/Mecze[[#This Row],[CZAS]])</f>
        <v>0</v>
      </c>
      <c r="O1161" s="32">
        <f>IF(Mecze[[#This Row],[PC]]=0,0,Mecze[[#This Row],[PC]]/Mecze[[#This Row],[CZAS]])</f>
        <v>3.8461538461538464E-2</v>
      </c>
      <c r="P1161" s="32">
        <f>IF(Mecze[[#This Row],[SC]]=0,0,Mecze[[#This Row],[SC]]/Mecze[[#This Row],[CZAS]])</f>
        <v>7.6923076923076927E-2</v>
      </c>
      <c r="Q1161" s="32">
        <f>IF(Mecze[[#This Row],[OB]]=0,0,Mecze[[#This Row],[OB]]/Mecze[[#This Row],[CZAS]])</f>
        <v>0</v>
      </c>
      <c r="R1161" s="32">
        <f>IF(Mecze[[#This Row],[BR]]=0,0,Mecze[[#This Row],[BR]]/Mecze[[#This Row],[CZAS]])</f>
        <v>0</v>
      </c>
      <c r="S1161" s="44">
        <f>IF(Mecze[[#This Row],[Role]]="BR",SUMPRODUCT(Mecze[[#This Row],[/PR:90]:[/BR:90]],Brudnopis!$E$23:$J$23),0)</f>
        <v>0</v>
      </c>
      <c r="T1161" s="44">
        <f>IF(Mecze[[#This Row],[Role]]&lt;&gt;"BR",SUMPRODUCT(Mecze[[#This Row],[/PR:90]:[/BR:90]],Brudnopis!$E$24:$J$24),0)</f>
        <v>0.12820512820512819</v>
      </c>
      <c r="U1161" s="44">
        <f>IF(Mecze[[#This Row],[Role]]&lt;&gt;"BR",SUMPRODUCT(Mecze[[#This Row],[/PR:90]:[/BR:90]],Brudnopis!$E$25:$J$25),0)</f>
        <v>0.14743589743589744</v>
      </c>
      <c r="V1161" s="44">
        <f>IF(Mecze[[#This Row],[Role]]&lt;&gt;"BR",SUMPRODUCT(Mecze[[#This Row],[/PR:90]:[/BR:90]],Brudnopis!$E$26:$J$26),0)</f>
        <v>0.12820512820512819</v>
      </c>
      <c r="W1161" s="44">
        <f>IF(Mecze[[#This Row],[Role]]&lt;&gt;"BR",SUMPRODUCT(Mecze[[#This Row],[/PR:90]:[/BR:90]],Brudnopis!$E$27:$J$27),0)</f>
        <v>0.14423076923076925</v>
      </c>
      <c r="X1161" s="44">
        <f>IF(Mecze[[#This Row],[Role]]&lt;&gt;"BR",SUMPRODUCT(Mecze[[#This Row],[/PR:90]:[/BR:90]],Brudnopis!$E$28:$J$28),0)</f>
        <v>0.19230769230769232</v>
      </c>
      <c r="Y1161" s="35">
        <f>IF(Mecze[[#This Row],[Role]]="BR",Mecze[[#This Row],[/OB:90]]+Mecze[[#This Row],[/PC:90]],SUM(Mecze[[#This Row],[/PR:90]:[/BR:90]]))</f>
        <v>0.12820512820512819</v>
      </c>
      <c r="Z1161" s="35">
        <f>IF(Mecze[[#This Row],[KC]]=0,SUM(Mecze[[#This Row],[/BRI]:[/NPI]]),SUM(Mecze[[#This Row],[/BRI]:[/NPI]])*0.6)</f>
        <v>0.74038461538461542</v>
      </c>
      <c r="AA1161" s="10">
        <f>IFERROR(Mecze[[#This Row],[BR]]/Mecze[[#This Row],[ST]],0)</f>
        <v>0</v>
      </c>
      <c r="AB1161">
        <f>ROUND(Mecze[[#This Row],[PD]]*Mecze[[#This Row],[%PC]],0)</f>
        <v>3</v>
      </c>
      <c r="AC1161">
        <f>ROUND(Mecze[[#This Row],[OD]]*Mecze[[#This Row],[%OU]],0)</f>
        <v>0</v>
      </c>
      <c r="AD1161" s="36" t="s">
        <v>273</v>
      </c>
      <c r="AE1161" s="36">
        <v>64</v>
      </c>
      <c r="AF1161" s="71">
        <v>6.58</v>
      </c>
      <c r="AG1161" s="37">
        <v>0</v>
      </c>
      <c r="AH1161" s="37">
        <v>0</v>
      </c>
      <c r="AI1161" s="37">
        <v>78</v>
      </c>
      <c r="AJ1161" s="37">
        <v>8</v>
      </c>
      <c r="AK1161" s="37" t="str">
        <f>VLOOKUP(Mecze[[#This Row],[Match ID]],Meczusie[Mecz]:Meczusie[RodzajMeczu],2,FALSE)</f>
        <v>Liga</v>
      </c>
    </row>
    <row r="1162" spans="1:37" x14ac:dyDescent="0.25">
      <c r="A1162" s="76">
        <v>17</v>
      </c>
      <c r="B1162" s="3" t="s">
        <v>317</v>
      </c>
      <c r="C1162" s="2" t="s">
        <v>165</v>
      </c>
      <c r="D1162" s="1">
        <v>1</v>
      </c>
      <c r="E1162" s="1">
        <v>1</v>
      </c>
      <c r="F1162" s="1">
        <v>1</v>
      </c>
      <c r="G1162" s="1">
        <v>3</v>
      </c>
      <c r="H1162" s="4">
        <v>1</v>
      </c>
      <c r="I1162" s="1">
        <v>0</v>
      </c>
      <c r="J1162" s="4"/>
      <c r="K1162" s="1">
        <v>0</v>
      </c>
      <c r="L1162" s="1">
        <v>1</v>
      </c>
      <c r="M1162" s="32">
        <f>IF(Mecze[[#This Row],[PR]]=0,0,Mecze[[#This Row],[PR]]/Mecze[[#This Row],[CZAS]])</f>
        <v>5.5555555555555552E-2</v>
      </c>
      <c r="N1162" s="32">
        <f>IF(Mecze[[#This Row],[OU]]=0,0,Mecze[[#This Row],[OU]]/Mecze[[#This Row],[CZAS]])</f>
        <v>0</v>
      </c>
      <c r="O1162" s="32">
        <f>IF(Mecze[[#This Row],[PC]]=0,0,Mecze[[#This Row],[PC]]/Mecze[[#This Row],[CZAS]])</f>
        <v>0.16666666666666666</v>
      </c>
      <c r="P1162" s="32">
        <f>IF(Mecze[[#This Row],[SC]]=0,0,Mecze[[#This Row],[SC]]/Mecze[[#This Row],[CZAS]])</f>
        <v>5.5555555555555552E-2</v>
      </c>
      <c r="Q1162" s="32">
        <f>IF(Mecze[[#This Row],[OB]]=0,0,Mecze[[#This Row],[OB]]/Mecze[[#This Row],[CZAS]])</f>
        <v>0</v>
      </c>
      <c r="R1162" s="32">
        <f>IF(Mecze[[#This Row],[BR]]=0,0,Mecze[[#This Row],[BR]]/Mecze[[#This Row],[CZAS]])</f>
        <v>5.5555555555555552E-2</v>
      </c>
      <c r="S1162" s="44">
        <f>IF(Mecze[[#This Row],[Role]]="BR",SUMPRODUCT(Mecze[[#This Row],[/PR:90]:[/BR:90]],Brudnopis!$E$23:$J$23),0)</f>
        <v>0</v>
      </c>
      <c r="T1162" s="44">
        <f>IF(Mecze[[#This Row],[Role]]&lt;&gt;"BR",SUMPRODUCT(Mecze[[#This Row],[/PR:90]:[/BR:90]],Brudnopis!$E$24:$J$24),0)</f>
        <v>0.3611111111111111</v>
      </c>
      <c r="U1162" s="44">
        <f>IF(Mecze[[#This Row],[Role]]&lt;&gt;"BR",SUMPRODUCT(Mecze[[#This Row],[/PR:90]:[/BR:90]],Brudnopis!$E$25:$J$25),0)</f>
        <v>0.44444444444444448</v>
      </c>
      <c r="V1162" s="44">
        <f>IF(Mecze[[#This Row],[Role]]&lt;&gt;"BR",SUMPRODUCT(Mecze[[#This Row],[/PR:90]:[/BR:90]],Brudnopis!$E$26:$J$26),0)</f>
        <v>0.3888888888888889</v>
      </c>
      <c r="W1162" s="44">
        <f>IF(Mecze[[#This Row],[Role]]&lt;&gt;"BR",SUMPRODUCT(Mecze[[#This Row],[/PR:90]:[/BR:90]],Brudnopis!$E$27:$J$27),0)</f>
        <v>0.45833333333333331</v>
      </c>
      <c r="X1162" s="44">
        <f>IF(Mecze[[#This Row],[Role]]&lt;&gt;"BR",SUMPRODUCT(Mecze[[#This Row],[/PR:90]:[/BR:90]],Brudnopis!$E$28:$J$28),0)</f>
        <v>0.44444444444444442</v>
      </c>
      <c r="Y1162" s="35">
        <f>IF(Mecze[[#This Row],[Role]]="BR",Mecze[[#This Row],[/OB:90]]+Mecze[[#This Row],[/PC:90]],SUM(Mecze[[#This Row],[/PR:90]:[/BR:90]]))</f>
        <v>0.33333333333333337</v>
      </c>
      <c r="Z1162" s="35">
        <f>IF(Mecze[[#This Row],[KC]]=0,SUM(Mecze[[#This Row],[/BRI]:[/NPI]]),SUM(Mecze[[#This Row],[/BRI]:[/NPI]])*0.6)</f>
        <v>2.0972222222222223</v>
      </c>
      <c r="AA1162" s="10">
        <f>IFERROR(Mecze[[#This Row],[BR]]/Mecze[[#This Row],[ST]],0)</f>
        <v>1</v>
      </c>
      <c r="AB1162">
        <f>ROUND(Mecze[[#This Row],[PD]]*Mecze[[#This Row],[%PC]],0)</f>
        <v>3</v>
      </c>
      <c r="AC1162">
        <f>ROUND(Mecze[[#This Row],[OD]]*Mecze[[#This Row],[%OU]],0)</f>
        <v>0</v>
      </c>
      <c r="AD1162" s="36" t="s">
        <v>273</v>
      </c>
      <c r="AE1162" s="36">
        <v>64</v>
      </c>
      <c r="AF1162" s="71">
        <v>4.24</v>
      </c>
      <c r="AG1162" s="37">
        <v>0</v>
      </c>
      <c r="AH1162" s="37">
        <v>0</v>
      </c>
      <c r="AI1162" s="37">
        <v>18</v>
      </c>
      <c r="AJ1162" s="37">
        <v>8</v>
      </c>
      <c r="AK1162" s="37" t="str">
        <f>VLOOKUP(Mecze[[#This Row],[Match ID]],Meczusie[Mecz]:Meczusie[RodzajMeczu],2,FALSE)</f>
        <v>Liga</v>
      </c>
    </row>
    <row r="1163" spans="1:37" x14ac:dyDescent="0.25">
      <c r="A1163" s="76">
        <v>71</v>
      </c>
      <c r="B1163" s="3" t="s">
        <v>429</v>
      </c>
      <c r="C1163" s="2" t="s">
        <v>160</v>
      </c>
      <c r="D1163" s="1">
        <v>0</v>
      </c>
      <c r="E1163" s="1">
        <v>0</v>
      </c>
      <c r="F1163" s="1">
        <v>0</v>
      </c>
      <c r="G1163" s="1">
        <v>6</v>
      </c>
      <c r="H1163" s="4">
        <v>0.83</v>
      </c>
      <c r="I1163" s="1">
        <v>2</v>
      </c>
      <c r="J1163" s="4">
        <v>0.5</v>
      </c>
      <c r="K1163" s="1">
        <v>0</v>
      </c>
      <c r="L1163" s="1">
        <v>3</v>
      </c>
      <c r="M1163" s="32">
        <f>IF(Mecze[[#This Row],[PR]]=0,0,Mecze[[#This Row],[PR]]/Mecze[[#This Row],[CZAS]])</f>
        <v>0.13636363636363635</v>
      </c>
      <c r="N1163" s="32">
        <f>IF(Mecze[[#This Row],[OU]]=0,0,Mecze[[#This Row],[OU]]/Mecze[[#This Row],[CZAS]])</f>
        <v>4.5454545454545456E-2</v>
      </c>
      <c r="O1163" s="32">
        <f>IF(Mecze[[#This Row],[PC]]=0,0,Mecze[[#This Row],[PC]]/Mecze[[#This Row],[CZAS]])</f>
        <v>0.22727272727272727</v>
      </c>
      <c r="P1163" s="32">
        <f>IF(Mecze[[#This Row],[SC]]=0,0,Mecze[[#This Row],[SC]]/Mecze[[#This Row],[CZAS]])</f>
        <v>0</v>
      </c>
      <c r="Q1163" s="32">
        <f>IF(Mecze[[#This Row],[OB]]=0,0,Mecze[[#This Row],[OB]]/Mecze[[#This Row],[CZAS]])</f>
        <v>0</v>
      </c>
      <c r="R1163" s="32">
        <f>IF(Mecze[[#This Row],[BR]]=0,0,Mecze[[#This Row],[BR]]/Mecze[[#This Row],[CZAS]])</f>
        <v>0</v>
      </c>
      <c r="S1163" s="44">
        <f>IF(Mecze[[#This Row],[Role]]="BR",SUMPRODUCT(Mecze[[#This Row],[/PR:90]:[/BR:90]],Brudnopis!$E$23:$J$23),0)</f>
        <v>0</v>
      </c>
      <c r="T1163" s="44">
        <f>IF(Mecze[[#This Row],[Role]]&lt;&gt;"BR",SUMPRODUCT(Mecze[[#This Row],[/PR:90]:[/BR:90]],Brudnopis!$E$24:$J$24),0)</f>
        <v>0.43181818181818177</v>
      </c>
      <c r="U1163" s="44">
        <f>IF(Mecze[[#This Row],[Role]]&lt;&gt;"BR",SUMPRODUCT(Mecze[[#This Row],[/PR:90]:[/BR:90]],Brudnopis!$E$25:$J$25),0)</f>
        <v>0.52272727272727271</v>
      </c>
      <c r="V1163" s="44">
        <f>IF(Mecze[[#This Row],[Role]]&lt;&gt;"BR",SUMPRODUCT(Mecze[[#This Row],[/PR:90]:[/BR:90]],Brudnopis!$E$26:$J$26),0)</f>
        <v>0.40909090909090906</v>
      </c>
      <c r="W1163" s="44">
        <f>IF(Mecze[[#This Row],[Role]]&lt;&gt;"BR",SUMPRODUCT(Mecze[[#This Row],[/PR:90]:[/BR:90]],Brudnopis!$E$27:$J$27),0)</f>
        <v>0.47727272727272724</v>
      </c>
      <c r="X1163" s="44">
        <f>IF(Mecze[[#This Row],[Role]]&lt;&gt;"BR",SUMPRODUCT(Mecze[[#This Row],[/PR:90]:[/BR:90]],Brudnopis!$E$28:$J$28),0)</f>
        <v>0.22727272727272727</v>
      </c>
      <c r="Y1163" s="35">
        <f>IF(Mecze[[#This Row],[Role]]="BR",Mecze[[#This Row],[/OB:90]]+Mecze[[#This Row],[/PC:90]],SUM(Mecze[[#This Row],[/PR:90]:[/BR:90]]))</f>
        <v>0.40909090909090906</v>
      </c>
      <c r="Z1163" s="35">
        <f>IF(Mecze[[#This Row],[KC]]=0,SUM(Mecze[[#This Row],[/BRI]:[/NPI]]),SUM(Mecze[[#This Row],[/BRI]:[/NPI]])*0.6)</f>
        <v>2.0681818181818179</v>
      </c>
      <c r="AA1163" s="10">
        <f>IFERROR(Mecze[[#This Row],[BR]]/Mecze[[#This Row],[ST]],0)</f>
        <v>0</v>
      </c>
      <c r="AB1163">
        <f>ROUND(Mecze[[#This Row],[PD]]*Mecze[[#This Row],[%PC]],0)</f>
        <v>5</v>
      </c>
      <c r="AC1163">
        <f>ROUND(Mecze[[#This Row],[OD]]*Mecze[[#This Row],[%OU]],0)</f>
        <v>1</v>
      </c>
      <c r="AD1163" s="36" t="s">
        <v>67</v>
      </c>
      <c r="AE1163" s="36">
        <v>64</v>
      </c>
      <c r="AF1163" s="71">
        <v>7.59</v>
      </c>
      <c r="AG1163" s="37">
        <v>0</v>
      </c>
      <c r="AH1163" s="37">
        <v>0</v>
      </c>
      <c r="AI1163" s="37">
        <v>22</v>
      </c>
      <c r="AJ1163" s="37">
        <v>8</v>
      </c>
      <c r="AK1163" s="37" t="str">
        <f>VLOOKUP(Mecze[[#This Row],[Match ID]],Meczusie[Mecz]:Meczusie[RodzajMeczu],2,FALSE)</f>
        <v>Liga</v>
      </c>
    </row>
    <row r="1164" spans="1:37" x14ac:dyDescent="0.25">
      <c r="A1164" s="76">
        <v>68</v>
      </c>
      <c r="B1164" s="3" t="s">
        <v>416</v>
      </c>
      <c r="C1164" s="2" t="s">
        <v>165</v>
      </c>
      <c r="D1164" s="1">
        <v>0</v>
      </c>
      <c r="E1164" s="1">
        <v>0</v>
      </c>
      <c r="F1164" s="1">
        <v>0</v>
      </c>
      <c r="G1164" s="1">
        <v>4</v>
      </c>
      <c r="H1164" s="4">
        <v>1</v>
      </c>
      <c r="I1164" s="1">
        <v>2</v>
      </c>
      <c r="J1164" s="4">
        <v>0.5</v>
      </c>
      <c r="K1164" s="1">
        <v>0</v>
      </c>
      <c r="L1164" s="1">
        <v>0</v>
      </c>
      <c r="M1164" s="32">
        <f>IF(Mecze[[#This Row],[PR]]=0,0,Mecze[[#This Row],[PR]]/Mecze[[#This Row],[CZAS]])</f>
        <v>0</v>
      </c>
      <c r="N1164" s="32">
        <f>IF(Mecze[[#This Row],[OU]]=0,0,Mecze[[#This Row],[OU]]/Mecze[[#This Row],[CZAS]])</f>
        <v>5.5555555555555552E-2</v>
      </c>
      <c r="O1164" s="32">
        <f>IF(Mecze[[#This Row],[PC]]=0,0,Mecze[[#This Row],[PC]]/Mecze[[#This Row],[CZAS]])</f>
        <v>0.22222222222222221</v>
      </c>
      <c r="P1164" s="32">
        <f>IF(Mecze[[#This Row],[SC]]=0,0,Mecze[[#This Row],[SC]]/Mecze[[#This Row],[CZAS]])</f>
        <v>0</v>
      </c>
      <c r="Q1164" s="32">
        <f>IF(Mecze[[#This Row],[OB]]=0,0,Mecze[[#This Row],[OB]]/Mecze[[#This Row],[CZAS]])</f>
        <v>0</v>
      </c>
      <c r="R1164" s="32">
        <f>IF(Mecze[[#This Row],[BR]]=0,0,Mecze[[#This Row],[BR]]/Mecze[[#This Row],[CZAS]])</f>
        <v>0</v>
      </c>
      <c r="S1164" s="44">
        <f>IF(Mecze[[#This Row],[Role]]="BR",SUMPRODUCT(Mecze[[#This Row],[/PR:90]:[/BR:90]],Brudnopis!$E$23:$J$23),0)</f>
        <v>0</v>
      </c>
      <c r="T1164" s="44">
        <f>IF(Mecze[[#This Row],[Role]]&lt;&gt;"BR",SUMPRODUCT(Mecze[[#This Row],[/PR:90]:[/BR:90]],Brudnopis!$E$24:$J$24),0)</f>
        <v>0.30555555555555552</v>
      </c>
      <c r="U1164" s="44">
        <f>IF(Mecze[[#This Row],[Role]]&lt;&gt;"BR",SUMPRODUCT(Mecze[[#This Row],[/PR:90]:[/BR:90]],Brudnopis!$E$25:$J$25),0)</f>
        <v>0.38888888888888884</v>
      </c>
      <c r="V1164" s="44">
        <f>IF(Mecze[[#This Row],[Role]]&lt;&gt;"BR",SUMPRODUCT(Mecze[[#This Row],[/PR:90]:[/BR:90]],Brudnopis!$E$26:$J$26),0)</f>
        <v>0.27777777777777779</v>
      </c>
      <c r="W1164" s="44">
        <f>IF(Mecze[[#This Row],[Role]]&lt;&gt;"BR",SUMPRODUCT(Mecze[[#This Row],[/PR:90]:[/BR:90]],Brudnopis!$E$27:$J$27),0)</f>
        <v>0.375</v>
      </c>
      <c r="X1164" s="44">
        <f>IF(Mecze[[#This Row],[Role]]&lt;&gt;"BR",SUMPRODUCT(Mecze[[#This Row],[/PR:90]:[/BR:90]],Brudnopis!$E$28:$J$28),0)</f>
        <v>0.22222222222222221</v>
      </c>
      <c r="Y1164" s="35">
        <f>IF(Mecze[[#This Row],[Role]]="BR",Mecze[[#This Row],[/OB:90]]+Mecze[[#This Row],[/PC:90]],SUM(Mecze[[#This Row],[/PR:90]:[/BR:90]]))</f>
        <v>0.27777777777777779</v>
      </c>
      <c r="Z1164" s="35">
        <f>IF(Mecze[[#This Row],[KC]]=0,SUM(Mecze[[#This Row],[/BRI]:[/NPI]]),SUM(Mecze[[#This Row],[/BRI]:[/NPI]])*0.6)</f>
        <v>1.5694444444444446</v>
      </c>
      <c r="AA1164" s="10">
        <f>IFERROR(Mecze[[#This Row],[BR]]/Mecze[[#This Row],[ST]],0)</f>
        <v>0</v>
      </c>
      <c r="AB1164">
        <f>ROUND(Mecze[[#This Row],[PD]]*Mecze[[#This Row],[%PC]],0)</f>
        <v>4</v>
      </c>
      <c r="AC1164">
        <f>ROUND(Mecze[[#This Row],[OD]]*Mecze[[#This Row],[%OU]],0)</f>
        <v>1</v>
      </c>
      <c r="AD1164" s="36" t="s">
        <v>46</v>
      </c>
      <c r="AE1164" s="36">
        <v>64</v>
      </c>
      <c r="AF1164" s="71">
        <v>1.72</v>
      </c>
      <c r="AG1164" s="37">
        <v>0</v>
      </c>
      <c r="AH1164" s="37">
        <v>0</v>
      </c>
      <c r="AI1164" s="37">
        <v>18</v>
      </c>
      <c r="AJ1164" s="37">
        <v>8</v>
      </c>
      <c r="AK1164" s="37" t="str">
        <f>VLOOKUP(Mecze[[#This Row],[Match ID]],Meczusie[Mecz]:Meczusie[RodzajMeczu],2,FALSE)</f>
        <v>Liga</v>
      </c>
    </row>
    <row r="1165" spans="1:37" x14ac:dyDescent="0.25">
      <c r="A1165" s="76">
        <v>1</v>
      </c>
      <c r="B1165" s="3" t="s">
        <v>288</v>
      </c>
      <c r="C1165" s="2" t="s">
        <v>155</v>
      </c>
      <c r="D1165" s="1">
        <v>0</v>
      </c>
      <c r="E1165" s="1">
        <v>0</v>
      </c>
      <c r="F1165" s="1">
        <v>0</v>
      </c>
      <c r="G1165" s="1">
        <v>12</v>
      </c>
      <c r="H1165" s="4">
        <v>0.67</v>
      </c>
      <c r="I1165" s="1">
        <v>0</v>
      </c>
      <c r="J1165" s="4"/>
      <c r="K1165" s="1">
        <v>13</v>
      </c>
      <c r="L1165" s="1">
        <v>0</v>
      </c>
      <c r="M1165" s="32">
        <f>IF(Mecze[[#This Row],[PR]]=0,0,Mecze[[#This Row],[PR]]/Mecze[[#This Row],[CZAS]])</f>
        <v>0</v>
      </c>
      <c r="N1165" s="32">
        <f>IF(Mecze[[#This Row],[OU]]=0,0,Mecze[[#This Row],[OU]]/Mecze[[#This Row],[CZAS]])</f>
        <v>0</v>
      </c>
      <c r="O1165" s="32">
        <f>IF(Mecze[[#This Row],[PC]]=0,0,Mecze[[#This Row],[PC]]/Mecze[[#This Row],[CZAS]])</f>
        <v>8.3333333333333329E-2</v>
      </c>
      <c r="P1165" s="32">
        <f>IF(Mecze[[#This Row],[SC]]=0,0,Mecze[[#This Row],[SC]]/Mecze[[#This Row],[CZAS]])</f>
        <v>0</v>
      </c>
      <c r="Q1165" s="32">
        <f>IF(Mecze[[#This Row],[OB]]=0,0,Mecze[[#This Row],[OB]]/Mecze[[#This Row],[CZAS]])</f>
        <v>0.13541666666666666</v>
      </c>
      <c r="R1165" s="32">
        <f>IF(Mecze[[#This Row],[BR]]=0,0,Mecze[[#This Row],[BR]]/Mecze[[#This Row],[CZAS]])</f>
        <v>0</v>
      </c>
      <c r="S1165" s="44">
        <f>IF(Mecze[[#This Row],[Role]]="BR",SUMPRODUCT(Mecze[[#This Row],[/PR:90]:[/BR:90]],Brudnopis!$E$23:$J$23),0)</f>
        <v>0.65625</v>
      </c>
      <c r="T1165" s="44">
        <f>IF(Mecze[[#This Row],[Role]]&lt;&gt;"BR",SUMPRODUCT(Mecze[[#This Row],[/PR:90]:[/BR:90]],Brudnopis!$E$24:$J$24),0)</f>
        <v>0</v>
      </c>
      <c r="U1165" s="44">
        <f>IF(Mecze[[#This Row],[Role]]&lt;&gt;"BR",SUMPRODUCT(Mecze[[#This Row],[/PR:90]:[/BR:90]],Brudnopis!$E$25:$J$25),0)</f>
        <v>0</v>
      </c>
      <c r="V1165" s="44">
        <f>IF(Mecze[[#This Row],[Role]]&lt;&gt;"BR",SUMPRODUCT(Mecze[[#This Row],[/PR:90]:[/BR:90]],Brudnopis!$E$26:$J$26),0)</f>
        <v>0</v>
      </c>
      <c r="W1165" s="44">
        <f>IF(Mecze[[#This Row],[Role]]&lt;&gt;"BR",SUMPRODUCT(Mecze[[#This Row],[/PR:90]:[/BR:90]],Brudnopis!$E$27:$J$27),0)</f>
        <v>0</v>
      </c>
      <c r="X1165" s="44">
        <f>IF(Mecze[[#This Row],[Role]]&lt;&gt;"BR",SUMPRODUCT(Mecze[[#This Row],[/PR:90]:[/BR:90]],Brudnopis!$E$28:$J$28),0)</f>
        <v>0</v>
      </c>
      <c r="Y1165" s="35">
        <f>IF(Mecze[[#This Row],[Role]]="BR",Mecze[[#This Row],[/OB:90]]+Mecze[[#This Row],[/PC:90]],SUM(Mecze[[#This Row],[/PR:90]:[/BR:90]]))</f>
        <v>0.21875</v>
      </c>
      <c r="Z1165" s="35">
        <f>IF(Mecze[[#This Row],[KC]]=0,SUM(Mecze[[#This Row],[/BRI]:[/NPI]]),SUM(Mecze[[#This Row],[/BRI]:[/NPI]])*0.6)</f>
        <v>0.65625</v>
      </c>
      <c r="AA1165" s="10">
        <f>IFERROR(Mecze[[#This Row],[BR]]/Mecze[[#This Row],[ST]],0)</f>
        <v>0</v>
      </c>
      <c r="AB1165">
        <f>ROUND(Mecze[[#This Row],[PD]]*Mecze[[#This Row],[%PC]],0)</f>
        <v>8</v>
      </c>
      <c r="AC1165">
        <f>ROUND(Mecze[[#This Row],[OD]]*Mecze[[#This Row],[%OU]],0)</f>
        <v>0</v>
      </c>
      <c r="AD1165" s="36" t="s">
        <v>40</v>
      </c>
      <c r="AE1165" s="36">
        <v>65</v>
      </c>
      <c r="AF1165" s="71">
        <v>6.35</v>
      </c>
      <c r="AG1165" s="37">
        <v>0</v>
      </c>
      <c r="AH1165" s="37">
        <v>0</v>
      </c>
      <c r="AI1165" s="37">
        <v>96</v>
      </c>
      <c r="AJ1165" s="37">
        <v>9</v>
      </c>
      <c r="AK1165" s="37" t="str">
        <f>VLOOKUP(Mecze[[#This Row],[Match ID]],Meczusie[Mecz]:Meczusie[RodzajMeczu],2,FALSE)</f>
        <v>Liga</v>
      </c>
    </row>
    <row r="1166" spans="1:37" x14ac:dyDescent="0.25">
      <c r="A1166" s="76">
        <v>2</v>
      </c>
      <c r="B1166" s="3" t="s">
        <v>290</v>
      </c>
      <c r="C1166" s="2" t="s">
        <v>157</v>
      </c>
      <c r="D1166" s="1">
        <v>0</v>
      </c>
      <c r="E1166" s="1">
        <v>0</v>
      </c>
      <c r="F1166" s="1">
        <v>0</v>
      </c>
      <c r="G1166" s="1">
        <v>11</v>
      </c>
      <c r="H1166" s="4">
        <v>0.82</v>
      </c>
      <c r="I1166" s="1">
        <v>9</v>
      </c>
      <c r="J1166" s="4">
        <v>0.44</v>
      </c>
      <c r="K1166" s="1">
        <v>0</v>
      </c>
      <c r="L1166" s="1">
        <v>3</v>
      </c>
      <c r="M1166" s="32">
        <f>IF(Mecze[[#This Row],[PR]]=0,0,Mecze[[#This Row],[PR]]/Mecze[[#This Row],[CZAS]])</f>
        <v>3.125E-2</v>
      </c>
      <c r="N1166" s="32">
        <f>IF(Mecze[[#This Row],[OU]]=0,0,Mecze[[#This Row],[OU]]/Mecze[[#This Row],[CZAS]])</f>
        <v>4.1666666666666664E-2</v>
      </c>
      <c r="O1166" s="32">
        <f>IF(Mecze[[#This Row],[PC]]=0,0,Mecze[[#This Row],[PC]]/Mecze[[#This Row],[CZAS]])</f>
        <v>9.375E-2</v>
      </c>
      <c r="P1166" s="32">
        <f>IF(Mecze[[#This Row],[SC]]=0,0,Mecze[[#This Row],[SC]]/Mecze[[#This Row],[CZAS]])</f>
        <v>0</v>
      </c>
      <c r="Q1166" s="32">
        <f>IF(Mecze[[#This Row],[OB]]=0,0,Mecze[[#This Row],[OB]]/Mecze[[#This Row],[CZAS]])</f>
        <v>0</v>
      </c>
      <c r="R1166" s="32">
        <f>IF(Mecze[[#This Row],[BR]]=0,0,Mecze[[#This Row],[BR]]/Mecze[[#This Row],[CZAS]])</f>
        <v>0</v>
      </c>
      <c r="S1166" s="44">
        <f>IF(Mecze[[#This Row],[Role]]="BR",SUMPRODUCT(Mecze[[#This Row],[/PR:90]:[/BR:90]],Brudnopis!$E$23:$J$23),0)</f>
        <v>0</v>
      </c>
      <c r="T1166" s="44">
        <f>IF(Mecze[[#This Row],[Role]]&lt;&gt;"BR",SUMPRODUCT(Mecze[[#This Row],[/PR:90]:[/BR:90]],Brudnopis!$E$24:$J$24),0)</f>
        <v>0.1875</v>
      </c>
      <c r="U1166" s="44">
        <f>IF(Mecze[[#This Row],[Role]]&lt;&gt;"BR",SUMPRODUCT(Mecze[[#This Row],[/PR:90]:[/BR:90]],Brudnopis!$E$25:$J$25),0)</f>
        <v>0.21354166666666666</v>
      </c>
      <c r="V1166" s="44">
        <f>IF(Mecze[[#This Row],[Role]]&lt;&gt;"BR",SUMPRODUCT(Mecze[[#This Row],[/PR:90]:[/BR:90]],Brudnopis!$E$26:$J$26),0)</f>
        <v>0.16666666666666666</v>
      </c>
      <c r="W1166" s="44">
        <f>IF(Mecze[[#This Row],[Role]]&lt;&gt;"BR",SUMPRODUCT(Mecze[[#This Row],[/PR:90]:[/BR:90]],Brudnopis!$E$27:$J$27),0)</f>
        <v>0.1953125</v>
      </c>
      <c r="X1166" s="44">
        <f>IF(Mecze[[#This Row],[Role]]&lt;&gt;"BR",SUMPRODUCT(Mecze[[#This Row],[/PR:90]:[/BR:90]],Brudnopis!$E$28:$J$28),0)</f>
        <v>9.375E-2</v>
      </c>
      <c r="Y1166" s="35">
        <f>IF(Mecze[[#This Row],[Role]]="BR",Mecze[[#This Row],[/OB:90]]+Mecze[[#This Row],[/PC:90]],SUM(Mecze[[#This Row],[/PR:90]:[/BR:90]]))</f>
        <v>0.16666666666666666</v>
      </c>
      <c r="Z1166" s="35">
        <f>IF(Mecze[[#This Row],[KC]]=0,SUM(Mecze[[#This Row],[/BRI]:[/NPI]]),SUM(Mecze[[#This Row],[/BRI]:[/NPI]])*0.6)</f>
        <v>0.85677083333333326</v>
      </c>
      <c r="AA1166" s="10">
        <f>IFERROR(Mecze[[#This Row],[BR]]/Mecze[[#This Row],[ST]],0)</f>
        <v>0</v>
      </c>
      <c r="AB1166">
        <f>ROUND(Mecze[[#This Row],[PD]]*Mecze[[#This Row],[%PC]],0)</f>
        <v>9</v>
      </c>
      <c r="AC1166">
        <f>ROUND(Mecze[[#This Row],[OD]]*Mecze[[#This Row],[%OU]],0)</f>
        <v>4</v>
      </c>
      <c r="AD1166" s="36" t="s">
        <v>47</v>
      </c>
      <c r="AE1166" s="36">
        <v>65</v>
      </c>
      <c r="AF1166" s="71">
        <v>1.21</v>
      </c>
      <c r="AG1166" s="37">
        <v>0</v>
      </c>
      <c r="AH1166" s="37">
        <v>0</v>
      </c>
      <c r="AI1166" s="37">
        <v>96</v>
      </c>
      <c r="AJ1166" s="37">
        <v>9</v>
      </c>
      <c r="AK1166" s="37" t="str">
        <f>VLOOKUP(Mecze[[#This Row],[Match ID]],Meczusie[Mecz]:Meczusie[RodzajMeczu],2,FALSE)</f>
        <v>Liga</v>
      </c>
    </row>
    <row r="1167" spans="1:37" x14ac:dyDescent="0.25">
      <c r="A1167" s="76">
        <v>4</v>
      </c>
      <c r="B1167" s="3" t="s">
        <v>289</v>
      </c>
      <c r="C1167" s="2" t="s">
        <v>157</v>
      </c>
      <c r="D1167" s="1">
        <v>0</v>
      </c>
      <c r="E1167" s="1">
        <v>0</v>
      </c>
      <c r="F1167" s="1">
        <v>0</v>
      </c>
      <c r="G1167" s="1">
        <v>7</v>
      </c>
      <c r="H1167" s="4">
        <v>0.56999999999999995</v>
      </c>
      <c r="I1167" s="1">
        <v>7</v>
      </c>
      <c r="J1167" s="4">
        <v>0.56999999999999995</v>
      </c>
      <c r="K1167" s="1">
        <v>0</v>
      </c>
      <c r="L1167" s="1">
        <v>6</v>
      </c>
      <c r="M1167" s="32">
        <f>IF(Mecze[[#This Row],[PR]]=0,0,Mecze[[#This Row],[PR]]/Mecze[[#This Row],[CZAS]])</f>
        <v>6.25E-2</v>
      </c>
      <c r="N1167" s="32">
        <f>IF(Mecze[[#This Row],[OU]]=0,0,Mecze[[#This Row],[OU]]/Mecze[[#This Row],[CZAS]])</f>
        <v>4.1666666666666664E-2</v>
      </c>
      <c r="O1167" s="32">
        <f>IF(Mecze[[#This Row],[PC]]=0,0,Mecze[[#This Row],[PC]]/Mecze[[#This Row],[CZAS]])</f>
        <v>4.1666666666666664E-2</v>
      </c>
      <c r="P1167" s="32">
        <f>IF(Mecze[[#This Row],[SC]]=0,0,Mecze[[#This Row],[SC]]/Mecze[[#This Row],[CZAS]])</f>
        <v>0</v>
      </c>
      <c r="Q1167" s="32">
        <f>IF(Mecze[[#This Row],[OB]]=0,0,Mecze[[#This Row],[OB]]/Mecze[[#This Row],[CZAS]])</f>
        <v>0</v>
      </c>
      <c r="R1167" s="32">
        <f>IF(Mecze[[#This Row],[BR]]=0,0,Mecze[[#This Row],[BR]]/Mecze[[#This Row],[CZAS]])</f>
        <v>0</v>
      </c>
      <c r="S1167" s="44">
        <f>IF(Mecze[[#This Row],[Role]]="BR",SUMPRODUCT(Mecze[[#This Row],[/PR:90]:[/BR:90]],Brudnopis!$E$23:$J$23),0)</f>
        <v>0</v>
      </c>
      <c r="T1167" s="44">
        <f>IF(Mecze[[#This Row],[Role]]&lt;&gt;"BR",SUMPRODUCT(Mecze[[#This Row],[/PR:90]:[/BR:90]],Brudnopis!$E$24:$J$24),0)</f>
        <v>0.16666666666666666</v>
      </c>
      <c r="U1167" s="44">
        <f>IF(Mecze[[#This Row],[Role]]&lt;&gt;"BR",SUMPRODUCT(Mecze[[#This Row],[/PR:90]:[/BR:90]],Brudnopis!$E$25:$J$25),0)</f>
        <v>0.16666666666666666</v>
      </c>
      <c r="V1167" s="44">
        <f>IF(Mecze[[#This Row],[Role]]&lt;&gt;"BR",SUMPRODUCT(Mecze[[#This Row],[/PR:90]:[/BR:90]],Brudnopis!$E$26:$J$26),0)</f>
        <v>0.14583333333333331</v>
      </c>
      <c r="W1167" s="44">
        <f>IF(Mecze[[#This Row],[Role]]&lt;&gt;"BR",SUMPRODUCT(Mecze[[#This Row],[/PR:90]:[/BR:90]],Brudnopis!$E$27:$J$27),0)</f>
        <v>0.140625</v>
      </c>
      <c r="X1167" s="44">
        <f>IF(Mecze[[#This Row],[Role]]&lt;&gt;"BR",SUMPRODUCT(Mecze[[#This Row],[/PR:90]:[/BR:90]],Brudnopis!$E$28:$J$28),0)</f>
        <v>4.1666666666666664E-2</v>
      </c>
      <c r="Y1167" s="35">
        <f>IF(Mecze[[#This Row],[Role]]="BR",Mecze[[#This Row],[/OB:90]]+Mecze[[#This Row],[/PC:90]],SUM(Mecze[[#This Row],[/PR:90]:[/BR:90]]))</f>
        <v>0.14583333333333331</v>
      </c>
      <c r="Z1167" s="35">
        <f>IF(Mecze[[#This Row],[KC]]=0,SUM(Mecze[[#This Row],[/BRI]:[/NPI]]),SUM(Mecze[[#This Row],[/BRI]:[/NPI]])*0.6)</f>
        <v>0.66145833333333326</v>
      </c>
      <c r="AA1167" s="10">
        <f>IFERROR(Mecze[[#This Row],[BR]]/Mecze[[#This Row],[ST]],0)</f>
        <v>0</v>
      </c>
      <c r="AB1167">
        <f>ROUND(Mecze[[#This Row],[PD]]*Mecze[[#This Row],[%PC]],0)</f>
        <v>4</v>
      </c>
      <c r="AC1167">
        <f>ROUND(Mecze[[#This Row],[OD]]*Mecze[[#This Row],[%OU]],0)</f>
        <v>4</v>
      </c>
      <c r="AD1167" s="36" t="s">
        <v>168</v>
      </c>
      <c r="AE1167" s="36">
        <v>65</v>
      </c>
      <c r="AF1167" s="71">
        <v>1.85</v>
      </c>
      <c r="AG1167" s="37">
        <v>1</v>
      </c>
      <c r="AH1167" s="37">
        <v>0</v>
      </c>
      <c r="AI1167" s="37">
        <v>96</v>
      </c>
      <c r="AJ1167" s="37">
        <v>9</v>
      </c>
      <c r="AK1167" s="37" t="str">
        <f>VLOOKUP(Mecze[[#This Row],[Match ID]],Meczusie[Mecz]:Meczusie[RodzajMeczu],2,FALSE)</f>
        <v>Liga</v>
      </c>
    </row>
    <row r="1168" spans="1:37" x14ac:dyDescent="0.25">
      <c r="A1168" s="76">
        <v>16</v>
      </c>
      <c r="B1168" s="3" t="s">
        <v>405</v>
      </c>
      <c r="C1168" s="2" t="s">
        <v>157</v>
      </c>
      <c r="D1168" s="1">
        <v>0</v>
      </c>
      <c r="E1168" s="1">
        <v>0</v>
      </c>
      <c r="F1168" s="1">
        <v>0</v>
      </c>
      <c r="G1168" s="1">
        <v>5</v>
      </c>
      <c r="H1168" s="4">
        <v>0.4</v>
      </c>
      <c r="I1168" s="1">
        <v>6</v>
      </c>
      <c r="J1168" s="4">
        <v>0.33</v>
      </c>
      <c r="K1168" s="1">
        <v>0</v>
      </c>
      <c r="L1168" s="1">
        <v>2</v>
      </c>
      <c r="M1168" s="32">
        <f>IF(Mecze[[#This Row],[PR]]=0,0,Mecze[[#This Row],[PR]]/Mecze[[#This Row],[CZAS]])</f>
        <v>2.0833333333333332E-2</v>
      </c>
      <c r="N1168" s="32">
        <f>IF(Mecze[[#This Row],[OU]]=0,0,Mecze[[#This Row],[OU]]/Mecze[[#This Row],[CZAS]])</f>
        <v>2.0833333333333332E-2</v>
      </c>
      <c r="O1168" s="32">
        <f>IF(Mecze[[#This Row],[PC]]=0,0,Mecze[[#This Row],[PC]]/Mecze[[#This Row],[CZAS]])</f>
        <v>2.0833333333333332E-2</v>
      </c>
      <c r="P1168" s="32">
        <f>IF(Mecze[[#This Row],[SC]]=0,0,Mecze[[#This Row],[SC]]/Mecze[[#This Row],[CZAS]])</f>
        <v>0</v>
      </c>
      <c r="Q1168" s="32">
        <f>IF(Mecze[[#This Row],[OB]]=0,0,Mecze[[#This Row],[OB]]/Mecze[[#This Row],[CZAS]])</f>
        <v>0</v>
      </c>
      <c r="R1168" s="32">
        <f>IF(Mecze[[#This Row],[BR]]=0,0,Mecze[[#This Row],[BR]]/Mecze[[#This Row],[CZAS]])</f>
        <v>0</v>
      </c>
      <c r="S1168" s="44">
        <f>IF(Mecze[[#This Row],[Role]]="BR",SUMPRODUCT(Mecze[[#This Row],[/PR:90]:[/BR:90]],Brudnopis!$E$23:$J$23),0)</f>
        <v>0</v>
      </c>
      <c r="T1168" s="44">
        <f>IF(Mecze[[#This Row],[Role]]&lt;&gt;"BR",SUMPRODUCT(Mecze[[#This Row],[/PR:90]:[/BR:90]],Brudnopis!$E$24:$J$24),0)</f>
        <v>7.2916666666666657E-2</v>
      </c>
      <c r="U1168" s="44">
        <f>IF(Mecze[[#This Row],[Role]]&lt;&gt;"BR",SUMPRODUCT(Mecze[[#This Row],[/PR:90]:[/BR:90]],Brudnopis!$E$25:$J$25),0)</f>
        <v>7.2916666666666657E-2</v>
      </c>
      <c r="V1168" s="44">
        <f>IF(Mecze[[#This Row],[Role]]&lt;&gt;"BR",SUMPRODUCT(Mecze[[#This Row],[/PR:90]:[/BR:90]],Brudnopis!$E$26:$J$26),0)</f>
        <v>6.25E-2</v>
      </c>
      <c r="W1168" s="44">
        <f>IF(Mecze[[#This Row],[Role]]&lt;&gt;"BR",SUMPRODUCT(Mecze[[#This Row],[/PR:90]:[/BR:90]],Brudnopis!$E$27:$J$27),0)</f>
        <v>6.25E-2</v>
      </c>
      <c r="X1168" s="44">
        <f>IF(Mecze[[#This Row],[Role]]&lt;&gt;"BR",SUMPRODUCT(Mecze[[#This Row],[/PR:90]:[/BR:90]],Brudnopis!$E$28:$J$28),0)</f>
        <v>2.0833333333333332E-2</v>
      </c>
      <c r="Y1168" s="35">
        <f>IF(Mecze[[#This Row],[Role]]="BR",Mecze[[#This Row],[/OB:90]]+Mecze[[#This Row],[/PC:90]],SUM(Mecze[[#This Row],[/PR:90]:[/BR:90]]))</f>
        <v>6.25E-2</v>
      </c>
      <c r="Z1168" s="35">
        <f>IF(Mecze[[#This Row],[KC]]=0,SUM(Mecze[[#This Row],[/BRI]:[/NPI]]),SUM(Mecze[[#This Row],[/BRI]:[/NPI]])*0.6)</f>
        <v>0.29166666666666663</v>
      </c>
      <c r="AA1168" s="10">
        <f>IFERROR(Mecze[[#This Row],[BR]]/Mecze[[#This Row],[ST]],0)</f>
        <v>0</v>
      </c>
      <c r="AB1168">
        <f>ROUND(Mecze[[#This Row],[PD]]*Mecze[[#This Row],[%PC]],0)</f>
        <v>2</v>
      </c>
      <c r="AC1168">
        <f>ROUND(Mecze[[#This Row],[OD]]*Mecze[[#This Row],[%OU]],0)</f>
        <v>2</v>
      </c>
      <c r="AD1168" s="36" t="s">
        <v>167</v>
      </c>
      <c r="AE1168" s="36">
        <v>65</v>
      </c>
      <c r="AF1168" s="71">
        <v>1</v>
      </c>
      <c r="AG1168" s="37">
        <v>0</v>
      </c>
      <c r="AH1168" s="37">
        <v>0</v>
      </c>
      <c r="AI1168" s="37">
        <v>96</v>
      </c>
      <c r="AJ1168" s="37">
        <v>9</v>
      </c>
      <c r="AK1168" s="37" t="str">
        <f>VLOOKUP(Mecze[[#This Row],[Match ID]],Meczusie[Mecz]:Meczusie[RodzajMeczu],2,FALSE)</f>
        <v>Liga</v>
      </c>
    </row>
    <row r="1169" spans="1:37" x14ac:dyDescent="0.25">
      <c r="A1169" s="76">
        <v>3</v>
      </c>
      <c r="B1169" s="3" t="s">
        <v>292</v>
      </c>
      <c r="C1169" s="2" t="s">
        <v>160</v>
      </c>
      <c r="D1169" s="1">
        <v>0</v>
      </c>
      <c r="E1169" s="1">
        <v>0</v>
      </c>
      <c r="F1169" s="1">
        <v>0</v>
      </c>
      <c r="G1169" s="1">
        <v>5</v>
      </c>
      <c r="H1169" s="4">
        <v>1</v>
      </c>
      <c r="I1169" s="1">
        <v>4</v>
      </c>
      <c r="J1169" s="4">
        <v>0.25</v>
      </c>
      <c r="K1169" s="1">
        <v>0</v>
      </c>
      <c r="L1169" s="1">
        <v>5</v>
      </c>
      <c r="M1169" s="32">
        <f>IF(Mecze[[#This Row],[PR]]=0,0,Mecze[[#This Row],[PR]]/Mecze[[#This Row],[CZAS]])</f>
        <v>5.2083333333333336E-2</v>
      </c>
      <c r="N1169" s="32">
        <f>IF(Mecze[[#This Row],[OU]]=0,0,Mecze[[#This Row],[OU]]/Mecze[[#This Row],[CZAS]])</f>
        <v>1.0416666666666666E-2</v>
      </c>
      <c r="O1169" s="32">
        <f>IF(Mecze[[#This Row],[PC]]=0,0,Mecze[[#This Row],[PC]]/Mecze[[#This Row],[CZAS]])</f>
        <v>5.2083333333333336E-2</v>
      </c>
      <c r="P1169" s="32">
        <f>IF(Mecze[[#This Row],[SC]]=0,0,Mecze[[#This Row],[SC]]/Mecze[[#This Row],[CZAS]])</f>
        <v>0</v>
      </c>
      <c r="Q1169" s="32">
        <f>IF(Mecze[[#This Row],[OB]]=0,0,Mecze[[#This Row],[OB]]/Mecze[[#This Row],[CZAS]])</f>
        <v>0</v>
      </c>
      <c r="R1169" s="32">
        <f>IF(Mecze[[#This Row],[BR]]=0,0,Mecze[[#This Row],[BR]]/Mecze[[#This Row],[CZAS]])</f>
        <v>0</v>
      </c>
      <c r="S1169" s="44">
        <f>IF(Mecze[[#This Row],[Role]]="BR",SUMPRODUCT(Mecze[[#This Row],[/PR:90]:[/BR:90]],Brudnopis!$E$23:$J$23),0)</f>
        <v>0</v>
      </c>
      <c r="T1169" s="44">
        <f>IF(Mecze[[#This Row],[Role]]&lt;&gt;"BR",SUMPRODUCT(Mecze[[#This Row],[/PR:90]:[/BR:90]],Brudnopis!$E$24:$J$24),0)</f>
        <v>0.11979166666666669</v>
      </c>
      <c r="U1169" s="44">
        <f>IF(Mecze[[#This Row],[Role]]&lt;&gt;"BR",SUMPRODUCT(Mecze[[#This Row],[/PR:90]:[/BR:90]],Brudnopis!$E$25:$J$25),0)</f>
        <v>0.140625</v>
      </c>
      <c r="V1169" s="44">
        <f>IF(Mecze[[#This Row],[Role]]&lt;&gt;"BR",SUMPRODUCT(Mecze[[#This Row],[/PR:90]:[/BR:90]],Brudnopis!$E$26:$J$26),0)</f>
        <v>0.11458333333333334</v>
      </c>
      <c r="W1169" s="44">
        <f>IF(Mecze[[#This Row],[Role]]&lt;&gt;"BR",SUMPRODUCT(Mecze[[#This Row],[/PR:90]:[/BR:90]],Brudnopis!$E$27:$J$27),0)</f>
        <v>0.125</v>
      </c>
      <c r="X1169" s="44">
        <f>IF(Mecze[[#This Row],[Role]]&lt;&gt;"BR",SUMPRODUCT(Mecze[[#This Row],[/PR:90]:[/BR:90]],Brudnopis!$E$28:$J$28),0)</f>
        <v>5.2083333333333336E-2</v>
      </c>
      <c r="Y1169" s="35">
        <f>IF(Mecze[[#This Row],[Role]]="BR",Mecze[[#This Row],[/OB:90]]+Mecze[[#This Row],[/PC:90]],SUM(Mecze[[#This Row],[/PR:90]:[/BR:90]]))</f>
        <v>0.11458333333333334</v>
      </c>
      <c r="Z1169" s="35">
        <f>IF(Mecze[[#This Row],[KC]]=0,SUM(Mecze[[#This Row],[/BRI]:[/NPI]]),SUM(Mecze[[#This Row],[/BRI]:[/NPI]])*0.6)</f>
        <v>0.55208333333333337</v>
      </c>
      <c r="AA1169" s="10">
        <f>IFERROR(Mecze[[#This Row],[BR]]/Mecze[[#This Row],[ST]],0)</f>
        <v>0</v>
      </c>
      <c r="AB1169">
        <f>ROUND(Mecze[[#This Row],[PD]]*Mecze[[#This Row],[%PC]],0)</f>
        <v>5</v>
      </c>
      <c r="AC1169">
        <f>ROUND(Mecze[[#This Row],[OD]]*Mecze[[#This Row],[%OU]],0)</f>
        <v>1</v>
      </c>
      <c r="AD1169" s="36" t="s">
        <v>173</v>
      </c>
      <c r="AE1169" s="36">
        <v>65</v>
      </c>
      <c r="AF1169" s="71">
        <v>7.08</v>
      </c>
      <c r="AG1169" s="37">
        <v>0</v>
      </c>
      <c r="AH1169" s="37">
        <v>0</v>
      </c>
      <c r="AI1169" s="37">
        <v>96</v>
      </c>
      <c r="AJ1169" s="37">
        <v>9</v>
      </c>
      <c r="AK1169" s="37" t="str">
        <f>VLOOKUP(Mecze[[#This Row],[Match ID]],Meczusie[Mecz]:Meczusie[RodzajMeczu],2,FALSE)</f>
        <v>Liga</v>
      </c>
    </row>
    <row r="1170" spans="1:37" x14ac:dyDescent="0.25">
      <c r="A1170" s="76">
        <v>14</v>
      </c>
      <c r="B1170" s="3" t="s">
        <v>293</v>
      </c>
      <c r="C1170" s="2" t="s">
        <v>160</v>
      </c>
      <c r="D1170" s="1">
        <v>0</v>
      </c>
      <c r="E1170" s="1">
        <v>0</v>
      </c>
      <c r="F1170" s="1">
        <v>0</v>
      </c>
      <c r="G1170" s="1">
        <v>12</v>
      </c>
      <c r="H1170" s="4">
        <v>0.67</v>
      </c>
      <c r="I1170" s="1">
        <v>16</v>
      </c>
      <c r="J1170" s="4">
        <v>0.25</v>
      </c>
      <c r="K1170" s="1">
        <v>0</v>
      </c>
      <c r="L1170" s="1">
        <v>11</v>
      </c>
      <c r="M1170" s="32">
        <f>IF(Mecze[[#This Row],[PR]]=0,0,Mecze[[#This Row],[PR]]/Mecze[[#This Row],[CZAS]])</f>
        <v>0.11458333333333333</v>
      </c>
      <c r="N1170" s="32">
        <f>IF(Mecze[[#This Row],[OU]]=0,0,Mecze[[#This Row],[OU]]/Mecze[[#This Row],[CZAS]])</f>
        <v>4.1666666666666664E-2</v>
      </c>
      <c r="O1170" s="32">
        <f>IF(Mecze[[#This Row],[PC]]=0,0,Mecze[[#This Row],[PC]]/Mecze[[#This Row],[CZAS]])</f>
        <v>8.3333333333333329E-2</v>
      </c>
      <c r="P1170" s="32">
        <f>IF(Mecze[[#This Row],[SC]]=0,0,Mecze[[#This Row],[SC]]/Mecze[[#This Row],[CZAS]])</f>
        <v>0</v>
      </c>
      <c r="Q1170" s="32">
        <f>IF(Mecze[[#This Row],[OB]]=0,0,Mecze[[#This Row],[OB]]/Mecze[[#This Row],[CZAS]])</f>
        <v>0</v>
      </c>
      <c r="R1170" s="32">
        <f>IF(Mecze[[#This Row],[BR]]=0,0,Mecze[[#This Row],[BR]]/Mecze[[#This Row],[CZAS]])</f>
        <v>0</v>
      </c>
      <c r="S1170" s="44">
        <f>IF(Mecze[[#This Row],[Role]]="BR",SUMPRODUCT(Mecze[[#This Row],[/PR:90]:[/BR:90]],Brudnopis!$E$23:$J$23),0)</f>
        <v>0</v>
      </c>
      <c r="T1170" s="44">
        <f>IF(Mecze[[#This Row],[Role]]&lt;&gt;"BR",SUMPRODUCT(Mecze[[#This Row],[/PR:90]:[/BR:90]],Brudnopis!$E$24:$J$24),0)</f>
        <v>0.26041666666666663</v>
      </c>
      <c r="U1170" s="44">
        <f>IF(Mecze[[#This Row],[Role]]&lt;&gt;"BR",SUMPRODUCT(Mecze[[#This Row],[/PR:90]:[/BR:90]],Brudnopis!$E$25:$J$25),0)</f>
        <v>0.28125</v>
      </c>
      <c r="V1170" s="44">
        <f>IF(Mecze[[#This Row],[Role]]&lt;&gt;"BR",SUMPRODUCT(Mecze[[#This Row],[/PR:90]:[/BR:90]],Brudnopis!$E$26:$J$26),0)</f>
        <v>0.23958333333333331</v>
      </c>
      <c r="W1170" s="44">
        <f>IF(Mecze[[#This Row],[Role]]&lt;&gt;"BR",SUMPRODUCT(Mecze[[#This Row],[/PR:90]:[/BR:90]],Brudnopis!$E$27:$J$27),0)</f>
        <v>0.2421875</v>
      </c>
      <c r="X1170" s="44">
        <f>IF(Mecze[[#This Row],[Role]]&lt;&gt;"BR",SUMPRODUCT(Mecze[[#This Row],[/PR:90]:[/BR:90]],Brudnopis!$E$28:$J$28),0)</f>
        <v>8.3333333333333329E-2</v>
      </c>
      <c r="Y1170" s="35">
        <f>IF(Mecze[[#This Row],[Role]]="BR",Mecze[[#This Row],[/OB:90]]+Mecze[[#This Row],[/PC:90]],SUM(Mecze[[#This Row],[/PR:90]:[/BR:90]]))</f>
        <v>0.23958333333333331</v>
      </c>
      <c r="Z1170" s="35">
        <f>IF(Mecze[[#This Row],[KC]]=0,SUM(Mecze[[#This Row],[/BRI]:[/NPI]]),SUM(Mecze[[#This Row],[/BRI]:[/NPI]])*0.6)</f>
        <v>1.1067708333333333</v>
      </c>
      <c r="AA1170" s="10">
        <f>IFERROR(Mecze[[#This Row],[BR]]/Mecze[[#This Row],[ST]],0)</f>
        <v>0</v>
      </c>
      <c r="AB1170">
        <f>ROUND(Mecze[[#This Row],[PD]]*Mecze[[#This Row],[%PC]],0)</f>
        <v>8</v>
      </c>
      <c r="AC1170">
        <f>ROUND(Mecze[[#This Row],[OD]]*Mecze[[#This Row],[%OU]],0)</f>
        <v>4</v>
      </c>
      <c r="AD1170" s="36" t="s">
        <v>172</v>
      </c>
      <c r="AE1170" s="36">
        <v>65</v>
      </c>
      <c r="AF1170" s="71">
        <v>6.22</v>
      </c>
      <c r="AG1170" s="37">
        <v>0</v>
      </c>
      <c r="AH1170" s="37">
        <v>0</v>
      </c>
      <c r="AI1170" s="37">
        <v>96</v>
      </c>
      <c r="AJ1170" s="37">
        <v>9</v>
      </c>
      <c r="AK1170" s="37" t="str">
        <f>VLOOKUP(Mecze[[#This Row],[Match ID]],Meczusie[Mecz]:Meczusie[RodzajMeczu],2,FALSE)</f>
        <v>Liga</v>
      </c>
    </row>
    <row r="1171" spans="1:37" x14ac:dyDescent="0.25">
      <c r="A1171" s="76">
        <v>8</v>
      </c>
      <c r="B1171" s="3" t="s">
        <v>294</v>
      </c>
      <c r="C1171" s="2" t="s">
        <v>160</v>
      </c>
      <c r="D1171" s="1">
        <v>0</v>
      </c>
      <c r="E1171" s="1">
        <v>0</v>
      </c>
      <c r="F1171" s="1">
        <v>0</v>
      </c>
      <c r="G1171" s="1">
        <v>22</v>
      </c>
      <c r="H1171" s="4">
        <v>0.77</v>
      </c>
      <c r="I1171" s="1">
        <v>5</v>
      </c>
      <c r="J1171" s="4">
        <v>0.2</v>
      </c>
      <c r="K1171" s="1">
        <v>0</v>
      </c>
      <c r="L1171" s="1">
        <v>1</v>
      </c>
      <c r="M1171" s="32">
        <f>IF(Mecze[[#This Row],[PR]]=0,0,Mecze[[#This Row],[PR]]/Mecze[[#This Row],[CZAS]])</f>
        <v>1.0416666666666666E-2</v>
      </c>
      <c r="N1171" s="32">
        <f>IF(Mecze[[#This Row],[OU]]=0,0,Mecze[[#This Row],[OU]]/Mecze[[#This Row],[CZAS]])</f>
        <v>1.0416666666666666E-2</v>
      </c>
      <c r="O1171" s="32">
        <f>IF(Mecze[[#This Row],[PC]]=0,0,Mecze[[#This Row],[PC]]/Mecze[[#This Row],[CZAS]])</f>
        <v>0.17708333333333334</v>
      </c>
      <c r="P1171" s="32">
        <f>IF(Mecze[[#This Row],[SC]]=0,0,Mecze[[#This Row],[SC]]/Mecze[[#This Row],[CZAS]])</f>
        <v>0</v>
      </c>
      <c r="Q1171" s="32">
        <f>IF(Mecze[[#This Row],[OB]]=0,0,Mecze[[#This Row],[OB]]/Mecze[[#This Row],[CZAS]])</f>
        <v>0</v>
      </c>
      <c r="R1171" s="32">
        <f>IF(Mecze[[#This Row],[BR]]=0,0,Mecze[[#This Row],[BR]]/Mecze[[#This Row],[CZAS]])</f>
        <v>0</v>
      </c>
      <c r="S1171" s="44">
        <f>IF(Mecze[[#This Row],[Role]]="BR",SUMPRODUCT(Mecze[[#This Row],[/PR:90]:[/BR:90]],Brudnopis!$E$23:$J$23),0)</f>
        <v>0</v>
      </c>
      <c r="T1171" s="44">
        <f>IF(Mecze[[#This Row],[Role]]&lt;&gt;"BR",SUMPRODUCT(Mecze[[#This Row],[/PR:90]:[/BR:90]],Brudnopis!$E$24:$J$24),0)</f>
        <v>0.203125</v>
      </c>
      <c r="U1171" s="44">
        <f>IF(Mecze[[#This Row],[Role]]&lt;&gt;"BR",SUMPRODUCT(Mecze[[#This Row],[/PR:90]:[/BR:90]],Brudnopis!$E$25:$J$25),0)</f>
        <v>0.28645833333333331</v>
      </c>
      <c r="V1171" s="44">
        <f>IF(Mecze[[#This Row],[Role]]&lt;&gt;"BR",SUMPRODUCT(Mecze[[#This Row],[/PR:90]:[/BR:90]],Brudnopis!$E$26:$J$26),0)</f>
        <v>0.19791666666666669</v>
      </c>
      <c r="W1171" s="44">
        <f>IF(Mecze[[#This Row],[Role]]&lt;&gt;"BR",SUMPRODUCT(Mecze[[#This Row],[/PR:90]:[/BR:90]],Brudnopis!$E$27:$J$27),0)</f>
        <v>0.28125</v>
      </c>
      <c r="X1171" s="44">
        <f>IF(Mecze[[#This Row],[Role]]&lt;&gt;"BR",SUMPRODUCT(Mecze[[#This Row],[/PR:90]:[/BR:90]],Brudnopis!$E$28:$J$28),0)</f>
        <v>0.17708333333333334</v>
      </c>
      <c r="Y1171" s="35">
        <f>IF(Mecze[[#This Row],[Role]]="BR",Mecze[[#This Row],[/OB:90]]+Mecze[[#This Row],[/PC:90]],SUM(Mecze[[#This Row],[/PR:90]:[/BR:90]]))</f>
        <v>0.19791666666666669</v>
      </c>
      <c r="Z1171" s="35">
        <f>IF(Mecze[[#This Row],[KC]]=0,SUM(Mecze[[#This Row],[/BRI]:[/NPI]]),SUM(Mecze[[#This Row],[/BRI]:[/NPI]])*0.6)</f>
        <v>1.1458333333333333</v>
      </c>
      <c r="AA1171" s="10">
        <f>IFERROR(Mecze[[#This Row],[BR]]/Mecze[[#This Row],[ST]],0)</f>
        <v>0</v>
      </c>
      <c r="AB1171">
        <f>ROUND(Mecze[[#This Row],[PD]]*Mecze[[#This Row],[%PC]],0)</f>
        <v>17</v>
      </c>
      <c r="AC1171">
        <f>ROUND(Mecze[[#This Row],[OD]]*Mecze[[#This Row],[%OU]],0)</f>
        <v>1</v>
      </c>
      <c r="AD1171" s="36" t="s">
        <v>67</v>
      </c>
      <c r="AE1171" s="36">
        <v>65</v>
      </c>
      <c r="AF1171" s="71">
        <v>4.12</v>
      </c>
      <c r="AG1171" s="37">
        <v>0</v>
      </c>
      <c r="AH1171" s="37">
        <v>0</v>
      </c>
      <c r="AI1171" s="37">
        <v>96</v>
      </c>
      <c r="AJ1171" s="37">
        <v>9</v>
      </c>
      <c r="AK1171" s="37" t="str">
        <f>VLOOKUP(Mecze[[#This Row],[Match ID]],Meczusie[Mecz]:Meczusie[RodzajMeczu],2,FALSE)</f>
        <v>Liga</v>
      </c>
    </row>
    <row r="1172" spans="1:37" x14ac:dyDescent="0.25">
      <c r="A1172" s="76">
        <v>11</v>
      </c>
      <c r="B1172" s="3" t="s">
        <v>410</v>
      </c>
      <c r="C1172" s="2" t="s">
        <v>160</v>
      </c>
      <c r="D1172" s="1">
        <v>0</v>
      </c>
      <c r="E1172" s="1">
        <v>0</v>
      </c>
      <c r="F1172" s="1">
        <v>0</v>
      </c>
      <c r="G1172" s="1">
        <v>4</v>
      </c>
      <c r="H1172" s="4">
        <v>0.75</v>
      </c>
      <c r="I1172" s="1">
        <v>0</v>
      </c>
      <c r="J1172" s="4"/>
      <c r="K1172" s="1">
        <v>0</v>
      </c>
      <c r="L1172" s="1">
        <v>0</v>
      </c>
      <c r="M1172" s="32">
        <f>IF(Mecze[[#This Row],[PR]]=0,0,Mecze[[#This Row],[PR]]/Mecze[[#This Row],[CZAS]])</f>
        <v>0</v>
      </c>
      <c r="N1172" s="32">
        <f>IF(Mecze[[#This Row],[OU]]=0,0,Mecze[[#This Row],[OU]]/Mecze[[#This Row],[CZAS]])</f>
        <v>0</v>
      </c>
      <c r="O1172" s="32">
        <f>IF(Mecze[[#This Row],[PC]]=0,0,Mecze[[#This Row],[PC]]/Mecze[[#This Row],[CZAS]])</f>
        <v>3.125E-2</v>
      </c>
      <c r="P1172" s="32">
        <f>IF(Mecze[[#This Row],[SC]]=0,0,Mecze[[#This Row],[SC]]/Mecze[[#This Row],[CZAS]])</f>
        <v>0</v>
      </c>
      <c r="Q1172" s="32">
        <f>IF(Mecze[[#This Row],[OB]]=0,0,Mecze[[#This Row],[OB]]/Mecze[[#This Row],[CZAS]])</f>
        <v>0</v>
      </c>
      <c r="R1172" s="32">
        <f>IF(Mecze[[#This Row],[BR]]=0,0,Mecze[[#This Row],[BR]]/Mecze[[#This Row],[CZAS]])</f>
        <v>0</v>
      </c>
      <c r="S1172" s="44">
        <f>IF(Mecze[[#This Row],[Role]]="BR",SUMPRODUCT(Mecze[[#This Row],[/PR:90]:[/BR:90]],Brudnopis!$E$23:$J$23),0)</f>
        <v>0</v>
      </c>
      <c r="T1172" s="44">
        <f>IF(Mecze[[#This Row],[Role]]&lt;&gt;"BR",SUMPRODUCT(Mecze[[#This Row],[/PR:90]:[/BR:90]],Brudnopis!$E$24:$J$24),0)</f>
        <v>3.125E-2</v>
      </c>
      <c r="U1172" s="44">
        <f>IF(Mecze[[#This Row],[Role]]&lt;&gt;"BR",SUMPRODUCT(Mecze[[#This Row],[/PR:90]:[/BR:90]],Brudnopis!$E$25:$J$25),0)</f>
        <v>4.6875E-2</v>
      </c>
      <c r="V1172" s="44">
        <f>IF(Mecze[[#This Row],[Role]]&lt;&gt;"BR",SUMPRODUCT(Mecze[[#This Row],[/PR:90]:[/BR:90]],Brudnopis!$E$26:$J$26),0)</f>
        <v>3.125E-2</v>
      </c>
      <c r="W1172" s="44">
        <f>IF(Mecze[[#This Row],[Role]]&lt;&gt;"BR",SUMPRODUCT(Mecze[[#This Row],[/PR:90]:[/BR:90]],Brudnopis!$E$27:$J$27),0)</f>
        <v>4.6875E-2</v>
      </c>
      <c r="X1172" s="44">
        <f>IF(Mecze[[#This Row],[Role]]&lt;&gt;"BR",SUMPRODUCT(Mecze[[#This Row],[/PR:90]:[/BR:90]],Brudnopis!$E$28:$J$28),0)</f>
        <v>3.125E-2</v>
      </c>
      <c r="Y1172" s="35">
        <f>IF(Mecze[[#This Row],[Role]]="BR",Mecze[[#This Row],[/OB:90]]+Mecze[[#This Row],[/PC:90]],SUM(Mecze[[#This Row],[/PR:90]:[/BR:90]]))</f>
        <v>3.125E-2</v>
      </c>
      <c r="Z1172" s="35">
        <f>IF(Mecze[[#This Row],[KC]]=0,SUM(Mecze[[#This Row],[/BRI]:[/NPI]]),SUM(Mecze[[#This Row],[/BRI]:[/NPI]])*0.6)</f>
        <v>0.1875</v>
      </c>
      <c r="AA1172" s="10">
        <f>IFERROR(Mecze[[#This Row],[BR]]/Mecze[[#This Row],[ST]],0)</f>
        <v>0</v>
      </c>
      <c r="AB1172">
        <f>ROUND(Mecze[[#This Row],[PD]]*Mecze[[#This Row],[%PC]],0)</f>
        <v>3</v>
      </c>
      <c r="AC1172">
        <f>ROUND(Mecze[[#This Row],[OD]]*Mecze[[#This Row],[%OU]],0)</f>
        <v>0</v>
      </c>
      <c r="AD1172" s="36" t="s">
        <v>299</v>
      </c>
      <c r="AE1172" s="36">
        <v>65</v>
      </c>
      <c r="AF1172" s="71">
        <v>2.7</v>
      </c>
      <c r="AG1172" s="37">
        <v>0</v>
      </c>
      <c r="AH1172" s="37">
        <v>0</v>
      </c>
      <c r="AI1172" s="37">
        <v>96</v>
      </c>
      <c r="AJ1172" s="37">
        <v>9</v>
      </c>
      <c r="AK1172" s="37" t="str">
        <f>VLOOKUP(Mecze[[#This Row],[Match ID]],Meczusie[Mecz]:Meczusie[RodzajMeczu],2,FALSE)</f>
        <v>Liga</v>
      </c>
    </row>
    <row r="1173" spans="1:37" x14ac:dyDescent="0.25">
      <c r="A1173" s="76">
        <v>13</v>
      </c>
      <c r="B1173" s="3" t="s">
        <v>295</v>
      </c>
      <c r="C1173" s="2" t="s">
        <v>160</v>
      </c>
      <c r="D1173" s="1">
        <v>0</v>
      </c>
      <c r="E1173" s="1">
        <v>0</v>
      </c>
      <c r="F1173" s="1">
        <v>0</v>
      </c>
      <c r="G1173" s="1">
        <v>6</v>
      </c>
      <c r="H1173" s="4">
        <v>0.83</v>
      </c>
      <c r="I1173" s="1">
        <v>2</v>
      </c>
      <c r="J1173" s="4">
        <v>0</v>
      </c>
      <c r="K1173" s="1">
        <v>0</v>
      </c>
      <c r="L1173" s="1">
        <v>0</v>
      </c>
      <c r="M1173" s="32">
        <f>IF(Mecze[[#This Row],[PR]]=0,0,Mecze[[#This Row],[PR]]/Mecze[[#This Row],[CZAS]])</f>
        <v>0</v>
      </c>
      <c r="N1173" s="32">
        <f>IF(Mecze[[#This Row],[OU]]=0,0,Mecze[[#This Row],[OU]]/Mecze[[#This Row],[CZAS]])</f>
        <v>0</v>
      </c>
      <c r="O1173" s="32">
        <f>IF(Mecze[[#This Row],[PC]]=0,0,Mecze[[#This Row],[PC]]/Mecze[[#This Row],[CZAS]])</f>
        <v>5.2083333333333336E-2</v>
      </c>
      <c r="P1173" s="32">
        <f>IF(Mecze[[#This Row],[SC]]=0,0,Mecze[[#This Row],[SC]]/Mecze[[#This Row],[CZAS]])</f>
        <v>0</v>
      </c>
      <c r="Q1173" s="32">
        <f>IF(Mecze[[#This Row],[OB]]=0,0,Mecze[[#This Row],[OB]]/Mecze[[#This Row],[CZAS]])</f>
        <v>0</v>
      </c>
      <c r="R1173" s="32">
        <f>IF(Mecze[[#This Row],[BR]]=0,0,Mecze[[#This Row],[BR]]/Mecze[[#This Row],[CZAS]])</f>
        <v>0</v>
      </c>
      <c r="S1173" s="44">
        <f>IF(Mecze[[#This Row],[Role]]="BR",SUMPRODUCT(Mecze[[#This Row],[/PR:90]:[/BR:90]],Brudnopis!$E$23:$J$23),0)</f>
        <v>0</v>
      </c>
      <c r="T1173" s="44">
        <f>IF(Mecze[[#This Row],[Role]]&lt;&gt;"BR",SUMPRODUCT(Mecze[[#This Row],[/PR:90]:[/BR:90]],Brudnopis!$E$24:$J$24),0)</f>
        <v>5.2083333333333336E-2</v>
      </c>
      <c r="U1173" s="44">
        <f>IF(Mecze[[#This Row],[Role]]&lt;&gt;"BR",SUMPRODUCT(Mecze[[#This Row],[/PR:90]:[/BR:90]],Brudnopis!$E$25:$J$25),0)</f>
        <v>7.8125E-2</v>
      </c>
      <c r="V1173" s="44">
        <f>IF(Mecze[[#This Row],[Role]]&lt;&gt;"BR",SUMPRODUCT(Mecze[[#This Row],[/PR:90]:[/BR:90]],Brudnopis!$E$26:$J$26),0)</f>
        <v>5.2083333333333336E-2</v>
      </c>
      <c r="W1173" s="44">
        <f>IF(Mecze[[#This Row],[Role]]&lt;&gt;"BR",SUMPRODUCT(Mecze[[#This Row],[/PR:90]:[/BR:90]],Brudnopis!$E$27:$J$27),0)</f>
        <v>7.8125E-2</v>
      </c>
      <c r="X1173" s="44">
        <f>IF(Mecze[[#This Row],[Role]]&lt;&gt;"BR",SUMPRODUCT(Mecze[[#This Row],[/PR:90]:[/BR:90]],Brudnopis!$E$28:$J$28),0)</f>
        <v>5.2083333333333336E-2</v>
      </c>
      <c r="Y1173" s="35">
        <f>IF(Mecze[[#This Row],[Role]]="BR",Mecze[[#This Row],[/OB:90]]+Mecze[[#This Row],[/PC:90]],SUM(Mecze[[#This Row],[/PR:90]:[/BR:90]]))</f>
        <v>5.2083333333333336E-2</v>
      </c>
      <c r="Z1173" s="35">
        <f>IF(Mecze[[#This Row],[KC]]=0,SUM(Mecze[[#This Row],[/BRI]:[/NPI]]),SUM(Mecze[[#This Row],[/BRI]:[/NPI]])*0.6)</f>
        <v>0.3125</v>
      </c>
      <c r="AA1173" s="10">
        <f>IFERROR(Mecze[[#This Row],[BR]]/Mecze[[#This Row],[ST]],0)</f>
        <v>0</v>
      </c>
      <c r="AB1173">
        <f>ROUND(Mecze[[#This Row],[PD]]*Mecze[[#This Row],[%PC]],0)</f>
        <v>5</v>
      </c>
      <c r="AC1173">
        <f>ROUND(Mecze[[#This Row],[OD]]*Mecze[[#This Row],[%OU]],0)</f>
        <v>0</v>
      </c>
      <c r="AD1173" s="36" t="s">
        <v>171</v>
      </c>
      <c r="AE1173" s="36">
        <v>65</v>
      </c>
      <c r="AF1173" s="71">
        <v>4.82</v>
      </c>
      <c r="AG1173" s="37">
        <v>0</v>
      </c>
      <c r="AH1173" s="37">
        <v>0</v>
      </c>
      <c r="AI1173" s="37">
        <v>96</v>
      </c>
      <c r="AJ1173" s="37">
        <v>9</v>
      </c>
      <c r="AK1173" s="37" t="str">
        <f>VLOOKUP(Mecze[[#This Row],[Match ID]],Meczusie[Mecz]:Meczusie[RodzajMeczu],2,FALSE)</f>
        <v>Liga</v>
      </c>
    </row>
    <row r="1174" spans="1:37" x14ac:dyDescent="0.25">
      <c r="A1174" s="76">
        <v>9</v>
      </c>
      <c r="B1174" s="3" t="s">
        <v>296</v>
      </c>
      <c r="C1174" s="2" t="s">
        <v>165</v>
      </c>
      <c r="D1174" s="1">
        <v>0</v>
      </c>
      <c r="E1174" s="1">
        <v>1</v>
      </c>
      <c r="F1174" s="1">
        <v>0</v>
      </c>
      <c r="G1174" s="1">
        <v>8</v>
      </c>
      <c r="H1174" s="4">
        <v>0.63</v>
      </c>
      <c r="I1174" s="1">
        <v>2</v>
      </c>
      <c r="J1174" s="4">
        <v>0</v>
      </c>
      <c r="K1174" s="1">
        <v>0</v>
      </c>
      <c r="L1174" s="1">
        <v>0</v>
      </c>
      <c r="M1174" s="32">
        <f>IF(Mecze[[#This Row],[PR]]=0,0,Mecze[[#This Row],[PR]]/Mecze[[#This Row],[CZAS]])</f>
        <v>0</v>
      </c>
      <c r="N1174" s="32">
        <f>IF(Mecze[[#This Row],[OU]]=0,0,Mecze[[#This Row],[OU]]/Mecze[[#This Row],[CZAS]])</f>
        <v>0</v>
      </c>
      <c r="O1174" s="32">
        <f>IF(Mecze[[#This Row],[PC]]=0,0,Mecze[[#This Row],[PC]]/Mecze[[#This Row],[CZAS]])</f>
        <v>5.2083333333333336E-2</v>
      </c>
      <c r="P1174" s="32">
        <f>IF(Mecze[[#This Row],[SC]]=0,0,Mecze[[#This Row],[SC]]/Mecze[[#This Row],[CZAS]])</f>
        <v>0</v>
      </c>
      <c r="Q1174" s="32">
        <f>IF(Mecze[[#This Row],[OB]]=0,0,Mecze[[#This Row],[OB]]/Mecze[[#This Row],[CZAS]])</f>
        <v>0</v>
      </c>
      <c r="R1174" s="32">
        <f>IF(Mecze[[#This Row],[BR]]=0,0,Mecze[[#This Row],[BR]]/Mecze[[#This Row],[CZAS]])</f>
        <v>0</v>
      </c>
      <c r="S1174" s="44">
        <f>IF(Mecze[[#This Row],[Role]]="BR",SUMPRODUCT(Mecze[[#This Row],[/PR:90]:[/BR:90]],Brudnopis!$E$23:$J$23),0)</f>
        <v>0</v>
      </c>
      <c r="T1174" s="44">
        <f>IF(Mecze[[#This Row],[Role]]&lt;&gt;"BR",SUMPRODUCT(Mecze[[#This Row],[/PR:90]:[/BR:90]],Brudnopis!$E$24:$J$24),0)</f>
        <v>5.2083333333333336E-2</v>
      </c>
      <c r="U1174" s="44">
        <f>IF(Mecze[[#This Row],[Role]]&lt;&gt;"BR",SUMPRODUCT(Mecze[[#This Row],[/PR:90]:[/BR:90]],Brudnopis!$E$25:$J$25),0)</f>
        <v>7.8125E-2</v>
      </c>
      <c r="V1174" s="44">
        <f>IF(Mecze[[#This Row],[Role]]&lt;&gt;"BR",SUMPRODUCT(Mecze[[#This Row],[/PR:90]:[/BR:90]],Brudnopis!$E$26:$J$26),0)</f>
        <v>5.2083333333333336E-2</v>
      </c>
      <c r="W1174" s="44">
        <f>IF(Mecze[[#This Row],[Role]]&lt;&gt;"BR",SUMPRODUCT(Mecze[[#This Row],[/PR:90]:[/BR:90]],Brudnopis!$E$27:$J$27),0)</f>
        <v>7.8125E-2</v>
      </c>
      <c r="X1174" s="44">
        <f>IF(Mecze[[#This Row],[Role]]&lt;&gt;"BR",SUMPRODUCT(Mecze[[#This Row],[/PR:90]:[/BR:90]],Brudnopis!$E$28:$J$28),0)</f>
        <v>5.2083333333333336E-2</v>
      </c>
      <c r="Y1174" s="35">
        <f>IF(Mecze[[#This Row],[Role]]="BR",Mecze[[#This Row],[/OB:90]]+Mecze[[#This Row],[/PC:90]],SUM(Mecze[[#This Row],[/PR:90]:[/BR:90]]))</f>
        <v>5.2083333333333336E-2</v>
      </c>
      <c r="Z1174" s="35">
        <f>IF(Mecze[[#This Row],[KC]]=0,SUM(Mecze[[#This Row],[/BRI]:[/NPI]]),SUM(Mecze[[#This Row],[/BRI]:[/NPI]])*0.6)</f>
        <v>0.3125</v>
      </c>
      <c r="AA1174" s="10">
        <f>IFERROR(Mecze[[#This Row],[BR]]/Mecze[[#This Row],[ST]],0)</f>
        <v>0</v>
      </c>
      <c r="AB1174">
        <f>ROUND(Mecze[[#This Row],[PD]]*Mecze[[#This Row],[%PC]],0)</f>
        <v>5</v>
      </c>
      <c r="AC1174">
        <f>ROUND(Mecze[[#This Row],[OD]]*Mecze[[#This Row],[%OU]],0)</f>
        <v>0</v>
      </c>
      <c r="AD1174" s="36" t="s">
        <v>46</v>
      </c>
      <c r="AE1174" s="36">
        <v>65</v>
      </c>
      <c r="AF1174" s="71">
        <v>4.04</v>
      </c>
      <c r="AG1174" s="37">
        <v>0</v>
      </c>
      <c r="AH1174" s="37">
        <v>0</v>
      </c>
      <c r="AI1174" s="37">
        <v>96</v>
      </c>
      <c r="AJ1174" s="37">
        <v>9</v>
      </c>
      <c r="AK1174" s="37" t="str">
        <f>VLOOKUP(Mecze[[#This Row],[Match ID]],Meczusie[Mecz]:Meczusie[RodzajMeczu],2,FALSE)</f>
        <v>Liga</v>
      </c>
    </row>
    <row r="1175" spans="1:37" x14ac:dyDescent="0.25">
      <c r="A1175" s="76">
        <v>6</v>
      </c>
      <c r="B1175" s="3" t="s">
        <v>297</v>
      </c>
      <c r="C1175" s="2" t="s">
        <v>165</v>
      </c>
      <c r="D1175" s="1">
        <v>1</v>
      </c>
      <c r="E1175" s="1">
        <v>4</v>
      </c>
      <c r="F1175" s="1">
        <v>4</v>
      </c>
      <c r="G1175" s="1">
        <v>12</v>
      </c>
      <c r="H1175" s="4">
        <v>0.75</v>
      </c>
      <c r="I1175" s="1">
        <v>1</v>
      </c>
      <c r="J1175" s="4">
        <v>1</v>
      </c>
      <c r="K1175" s="1">
        <v>0</v>
      </c>
      <c r="L1175" s="1">
        <v>0</v>
      </c>
      <c r="M1175" s="32">
        <f>IF(Mecze[[#This Row],[PR]]=0,0,Mecze[[#This Row],[PR]]/Mecze[[#This Row],[CZAS]])</f>
        <v>0</v>
      </c>
      <c r="N1175" s="32">
        <f>IF(Mecze[[#This Row],[OU]]=0,0,Mecze[[#This Row],[OU]]/Mecze[[#This Row],[CZAS]])</f>
        <v>1.0416666666666666E-2</v>
      </c>
      <c r="O1175" s="32">
        <f>IF(Mecze[[#This Row],[PC]]=0,0,Mecze[[#This Row],[PC]]/Mecze[[#This Row],[CZAS]])</f>
        <v>9.375E-2</v>
      </c>
      <c r="P1175" s="32">
        <f>IF(Mecze[[#This Row],[SC]]=0,0,Mecze[[#This Row],[SC]]/Mecze[[#This Row],[CZAS]])</f>
        <v>4.1666666666666664E-2</v>
      </c>
      <c r="Q1175" s="32">
        <f>IF(Mecze[[#This Row],[OB]]=0,0,Mecze[[#This Row],[OB]]/Mecze[[#This Row],[CZAS]])</f>
        <v>0</v>
      </c>
      <c r="R1175" s="32">
        <f>IF(Mecze[[#This Row],[BR]]=0,0,Mecze[[#This Row],[BR]]/Mecze[[#This Row],[CZAS]])</f>
        <v>1.0416666666666666E-2</v>
      </c>
      <c r="S1175" s="44">
        <f>IF(Mecze[[#This Row],[Role]]="BR",SUMPRODUCT(Mecze[[#This Row],[/PR:90]:[/BR:90]],Brudnopis!$E$23:$J$23),0)</f>
        <v>0</v>
      </c>
      <c r="T1175" s="44">
        <f>IF(Mecze[[#This Row],[Role]]&lt;&gt;"BR",SUMPRODUCT(Mecze[[#This Row],[/PR:90]:[/BR:90]],Brudnopis!$E$24:$J$24),0)</f>
        <v>0.16666666666666666</v>
      </c>
      <c r="U1175" s="44">
        <f>IF(Mecze[[#This Row],[Role]]&lt;&gt;"BR",SUMPRODUCT(Mecze[[#This Row],[/PR:90]:[/BR:90]],Brudnopis!$E$25:$J$25),0)</f>
        <v>0.20833333333333331</v>
      </c>
      <c r="V1175" s="44">
        <f>IF(Mecze[[#This Row],[Role]]&lt;&gt;"BR",SUMPRODUCT(Mecze[[#This Row],[/PR:90]:[/BR:90]],Brudnopis!$E$26:$J$26),0)</f>
        <v>0.16666666666666669</v>
      </c>
      <c r="W1175" s="44">
        <f>IF(Mecze[[#This Row],[Role]]&lt;&gt;"BR",SUMPRODUCT(Mecze[[#This Row],[/PR:90]:[/BR:90]],Brudnopis!$E$27:$J$27),0)</f>
        <v>0.2109375</v>
      </c>
      <c r="X1175" s="44">
        <f>IF(Mecze[[#This Row],[Role]]&lt;&gt;"BR",SUMPRODUCT(Mecze[[#This Row],[/PR:90]:[/BR:90]],Brudnopis!$E$28:$J$28),0)</f>
        <v>0.20833333333333331</v>
      </c>
      <c r="Y1175" s="35">
        <f>IF(Mecze[[#This Row],[Role]]="BR",Mecze[[#This Row],[/OB:90]]+Mecze[[#This Row],[/PC:90]],SUM(Mecze[[#This Row],[/PR:90]:[/BR:90]]))</f>
        <v>0.15625</v>
      </c>
      <c r="Z1175" s="35">
        <f>IF(Mecze[[#This Row],[KC]]=0,SUM(Mecze[[#This Row],[/BRI]:[/NPI]]),SUM(Mecze[[#This Row],[/BRI]:[/NPI]])*0.6)</f>
        <v>0.9609375</v>
      </c>
      <c r="AA1175" s="10">
        <f>IFERROR(Mecze[[#This Row],[BR]]/Mecze[[#This Row],[ST]],0)</f>
        <v>0.25</v>
      </c>
      <c r="AB1175">
        <f>ROUND(Mecze[[#This Row],[PD]]*Mecze[[#This Row],[%PC]],0)</f>
        <v>9</v>
      </c>
      <c r="AC1175">
        <f>ROUND(Mecze[[#This Row],[OD]]*Mecze[[#This Row],[%OU]],0)</f>
        <v>1</v>
      </c>
      <c r="AD1175" s="36" t="s">
        <v>272</v>
      </c>
      <c r="AE1175" s="36">
        <v>65</v>
      </c>
      <c r="AF1175" s="71">
        <v>7.22</v>
      </c>
      <c r="AG1175" s="37">
        <v>0</v>
      </c>
      <c r="AH1175" s="37">
        <v>0</v>
      </c>
      <c r="AI1175" s="37">
        <v>96</v>
      </c>
      <c r="AJ1175" s="37">
        <v>9</v>
      </c>
      <c r="AK1175" s="37" t="str">
        <f>VLOOKUP(Mecze[[#This Row],[Match ID]],Meczusie[Mecz]:Meczusie[RodzajMeczu],2,FALSE)</f>
        <v>Liga</v>
      </c>
    </row>
    <row r="1176" spans="1:37" x14ac:dyDescent="0.25">
      <c r="A1176" s="76">
        <v>1</v>
      </c>
      <c r="B1176" s="3" t="s">
        <v>220</v>
      </c>
      <c r="C1176" s="2" t="s">
        <v>155</v>
      </c>
      <c r="D1176" s="1">
        <v>0</v>
      </c>
      <c r="E1176" s="1">
        <v>0</v>
      </c>
      <c r="F1176" s="1">
        <v>0</v>
      </c>
      <c r="G1176" s="1">
        <v>3</v>
      </c>
      <c r="H1176" s="4">
        <v>0.33</v>
      </c>
      <c r="I1176" s="1">
        <v>0</v>
      </c>
      <c r="J1176" s="4"/>
      <c r="K1176" s="1">
        <v>3</v>
      </c>
      <c r="L1176" s="1">
        <v>0</v>
      </c>
      <c r="M1176" s="32">
        <f>IF(Mecze[[#This Row],[PR]]=0,0,Mecze[[#This Row],[PR]]/Mecze[[#This Row],[CZAS]])</f>
        <v>0</v>
      </c>
      <c r="N1176" s="32">
        <f>IF(Mecze[[#This Row],[OU]]=0,0,Mecze[[#This Row],[OU]]/Mecze[[#This Row],[CZAS]])</f>
        <v>0</v>
      </c>
      <c r="O1176" s="32">
        <f>IF(Mecze[[#This Row],[PC]]=0,0,Mecze[[#This Row],[PC]]/Mecze[[#This Row],[CZAS]])</f>
        <v>1.0416666666666666E-2</v>
      </c>
      <c r="P1176" s="32">
        <f>IF(Mecze[[#This Row],[SC]]=0,0,Mecze[[#This Row],[SC]]/Mecze[[#This Row],[CZAS]])</f>
        <v>0</v>
      </c>
      <c r="Q1176" s="32">
        <f>IF(Mecze[[#This Row],[OB]]=0,0,Mecze[[#This Row],[OB]]/Mecze[[#This Row],[CZAS]])</f>
        <v>3.125E-2</v>
      </c>
      <c r="R1176" s="32">
        <f>IF(Mecze[[#This Row],[BR]]=0,0,Mecze[[#This Row],[BR]]/Mecze[[#This Row],[CZAS]])</f>
        <v>0</v>
      </c>
      <c r="S1176" s="44">
        <f>IF(Mecze[[#This Row],[Role]]="BR",SUMPRODUCT(Mecze[[#This Row],[/PR:90]:[/BR:90]],Brudnopis!$E$23:$J$23),0)</f>
        <v>0.125</v>
      </c>
      <c r="T1176" s="44">
        <f>IF(Mecze[[#This Row],[Role]]&lt;&gt;"BR",SUMPRODUCT(Mecze[[#This Row],[/PR:90]:[/BR:90]],Brudnopis!$E$24:$J$24),0)</f>
        <v>0</v>
      </c>
      <c r="U1176" s="44">
        <f>IF(Mecze[[#This Row],[Role]]&lt;&gt;"BR",SUMPRODUCT(Mecze[[#This Row],[/PR:90]:[/BR:90]],Brudnopis!$E$25:$J$25),0)</f>
        <v>0</v>
      </c>
      <c r="V1176" s="44">
        <f>IF(Mecze[[#This Row],[Role]]&lt;&gt;"BR",SUMPRODUCT(Mecze[[#This Row],[/PR:90]:[/BR:90]],Brudnopis!$E$26:$J$26),0)</f>
        <v>0</v>
      </c>
      <c r="W1176" s="44">
        <f>IF(Mecze[[#This Row],[Role]]&lt;&gt;"BR",SUMPRODUCT(Mecze[[#This Row],[/PR:90]:[/BR:90]],Brudnopis!$E$27:$J$27),0)</f>
        <v>0</v>
      </c>
      <c r="X1176" s="44">
        <f>IF(Mecze[[#This Row],[Role]]&lt;&gt;"BR",SUMPRODUCT(Mecze[[#This Row],[/PR:90]:[/BR:90]],Brudnopis!$E$28:$J$28),0)</f>
        <v>0</v>
      </c>
      <c r="Y1176" s="35">
        <f>IF(Mecze[[#This Row],[Role]]="BR",Mecze[[#This Row],[/OB:90]]+Mecze[[#This Row],[/PC:90]],SUM(Mecze[[#This Row],[/PR:90]:[/BR:90]]))</f>
        <v>4.1666666666666664E-2</v>
      </c>
      <c r="Z1176" s="35">
        <f>IF(Mecze[[#This Row],[KC]]=0,SUM(Mecze[[#This Row],[/BRI]:[/NPI]]),SUM(Mecze[[#This Row],[/BRI]:[/NPI]])*0.6)</f>
        <v>0.125</v>
      </c>
      <c r="AA1176" s="10">
        <f>IFERROR(Mecze[[#This Row],[BR]]/Mecze[[#This Row],[ST]],0)</f>
        <v>0</v>
      </c>
      <c r="AB1176">
        <f>ROUND(Mecze[[#This Row],[PD]]*Mecze[[#This Row],[%PC]],0)</f>
        <v>1</v>
      </c>
      <c r="AC1176">
        <f>ROUND(Mecze[[#This Row],[OD]]*Mecze[[#This Row],[%OU]],0)</f>
        <v>0</v>
      </c>
      <c r="AD1176" s="36" t="s">
        <v>40</v>
      </c>
      <c r="AE1176" s="36">
        <v>65</v>
      </c>
      <c r="AF1176" s="71">
        <v>4.97</v>
      </c>
      <c r="AG1176" s="37">
        <v>0</v>
      </c>
      <c r="AH1176" s="37">
        <v>0</v>
      </c>
      <c r="AI1176" s="37">
        <v>96</v>
      </c>
      <c r="AJ1176" s="37">
        <v>2</v>
      </c>
      <c r="AK1176" s="37" t="str">
        <f>VLOOKUP(Mecze[[#This Row],[Match ID]],Meczusie[Mecz]:Meczusie[RodzajMeczu],2,FALSE)</f>
        <v>Liga</v>
      </c>
    </row>
    <row r="1177" spans="1:37" x14ac:dyDescent="0.25">
      <c r="A1177" s="76">
        <v>3</v>
      </c>
      <c r="B1177" s="3" t="s">
        <v>222</v>
      </c>
      <c r="C1177" s="2" t="s">
        <v>157</v>
      </c>
      <c r="D1177" s="1">
        <v>0</v>
      </c>
      <c r="E1177" s="1">
        <v>0</v>
      </c>
      <c r="F1177" s="1">
        <v>0</v>
      </c>
      <c r="G1177" s="1">
        <v>6</v>
      </c>
      <c r="H1177" s="4">
        <v>0.67</v>
      </c>
      <c r="I1177" s="1">
        <v>6</v>
      </c>
      <c r="J1177" s="4">
        <v>0.5</v>
      </c>
      <c r="K1177" s="1">
        <v>0</v>
      </c>
      <c r="L1177" s="1">
        <v>2</v>
      </c>
      <c r="M1177" s="32">
        <f>IF(Mecze[[#This Row],[PR]]=0,0,Mecze[[#This Row],[PR]]/Mecze[[#This Row],[CZAS]])</f>
        <v>2.0833333333333332E-2</v>
      </c>
      <c r="N1177" s="32">
        <f>IF(Mecze[[#This Row],[OU]]=0,0,Mecze[[#This Row],[OU]]/Mecze[[#This Row],[CZAS]])</f>
        <v>3.125E-2</v>
      </c>
      <c r="O1177" s="32">
        <f>IF(Mecze[[#This Row],[PC]]=0,0,Mecze[[#This Row],[PC]]/Mecze[[#This Row],[CZAS]])</f>
        <v>4.1666666666666664E-2</v>
      </c>
      <c r="P1177" s="32">
        <f>IF(Mecze[[#This Row],[SC]]=0,0,Mecze[[#This Row],[SC]]/Mecze[[#This Row],[CZAS]])</f>
        <v>0</v>
      </c>
      <c r="Q1177" s="32">
        <f>IF(Mecze[[#This Row],[OB]]=0,0,Mecze[[#This Row],[OB]]/Mecze[[#This Row],[CZAS]])</f>
        <v>0</v>
      </c>
      <c r="R1177" s="32">
        <f>IF(Mecze[[#This Row],[BR]]=0,0,Mecze[[#This Row],[BR]]/Mecze[[#This Row],[CZAS]])</f>
        <v>0</v>
      </c>
      <c r="S1177" s="44">
        <f>IF(Mecze[[#This Row],[Role]]="BR",SUMPRODUCT(Mecze[[#This Row],[/PR:90]:[/BR:90]],Brudnopis!$E$23:$J$23),0)</f>
        <v>0</v>
      </c>
      <c r="T1177" s="44">
        <f>IF(Mecze[[#This Row],[Role]]&lt;&gt;"BR",SUMPRODUCT(Mecze[[#This Row],[/PR:90]:[/BR:90]],Brudnopis!$E$24:$J$24),0)</f>
        <v>0.109375</v>
      </c>
      <c r="U1177" s="44">
        <f>IF(Mecze[[#This Row],[Role]]&lt;&gt;"BR",SUMPRODUCT(Mecze[[#This Row],[/PR:90]:[/BR:90]],Brudnopis!$E$25:$J$25),0)</f>
        <v>0.11458333333333333</v>
      </c>
      <c r="V1177" s="44">
        <f>IF(Mecze[[#This Row],[Role]]&lt;&gt;"BR",SUMPRODUCT(Mecze[[#This Row],[/PR:90]:[/BR:90]],Brudnopis!$E$26:$J$26),0)</f>
        <v>9.375E-2</v>
      </c>
      <c r="W1177" s="44">
        <f>IF(Mecze[[#This Row],[Role]]&lt;&gt;"BR",SUMPRODUCT(Mecze[[#This Row],[/PR:90]:[/BR:90]],Brudnopis!$E$27:$J$27),0)</f>
        <v>0.1015625</v>
      </c>
      <c r="X1177" s="44">
        <f>IF(Mecze[[#This Row],[Role]]&lt;&gt;"BR",SUMPRODUCT(Mecze[[#This Row],[/PR:90]:[/BR:90]],Brudnopis!$E$28:$J$28),0)</f>
        <v>4.1666666666666664E-2</v>
      </c>
      <c r="Y1177" s="35">
        <f>IF(Mecze[[#This Row],[Role]]="BR",Mecze[[#This Row],[/OB:90]]+Mecze[[#This Row],[/PC:90]],SUM(Mecze[[#This Row],[/PR:90]:[/BR:90]]))</f>
        <v>9.375E-2</v>
      </c>
      <c r="Z1177" s="35">
        <f>IF(Mecze[[#This Row],[KC]]=0,SUM(Mecze[[#This Row],[/BRI]:[/NPI]]),SUM(Mecze[[#This Row],[/BRI]:[/NPI]])*0.6)</f>
        <v>0.4609375</v>
      </c>
      <c r="AA1177" s="10">
        <f>IFERROR(Mecze[[#This Row],[BR]]/Mecze[[#This Row],[ST]],0)</f>
        <v>0</v>
      </c>
      <c r="AB1177">
        <f>ROUND(Mecze[[#This Row],[PD]]*Mecze[[#This Row],[%PC]],0)</f>
        <v>4</v>
      </c>
      <c r="AC1177">
        <f>ROUND(Mecze[[#This Row],[OD]]*Mecze[[#This Row],[%OU]],0)</f>
        <v>3</v>
      </c>
      <c r="AD1177" s="36" t="s">
        <v>47</v>
      </c>
      <c r="AE1177" s="36">
        <v>65</v>
      </c>
      <c r="AF1177" s="71">
        <v>5.46</v>
      </c>
      <c r="AG1177" s="37">
        <v>0</v>
      </c>
      <c r="AH1177" s="37">
        <v>0</v>
      </c>
      <c r="AI1177" s="37">
        <v>96</v>
      </c>
      <c r="AJ1177" s="37">
        <v>2</v>
      </c>
      <c r="AK1177" s="37" t="str">
        <f>VLOOKUP(Mecze[[#This Row],[Match ID]],Meczusie[Mecz]:Meczusie[RodzajMeczu],2,FALSE)</f>
        <v>Liga</v>
      </c>
    </row>
    <row r="1178" spans="1:37" x14ac:dyDescent="0.25">
      <c r="A1178" s="76">
        <v>4</v>
      </c>
      <c r="B1178" s="3" t="s">
        <v>221</v>
      </c>
      <c r="C1178" s="2" t="s">
        <v>157</v>
      </c>
      <c r="D1178" s="1">
        <v>0</v>
      </c>
      <c r="E1178" s="1">
        <v>0</v>
      </c>
      <c r="F1178" s="1">
        <v>0</v>
      </c>
      <c r="G1178" s="1">
        <v>7</v>
      </c>
      <c r="H1178" s="4">
        <v>0.86</v>
      </c>
      <c r="I1178" s="1">
        <v>4</v>
      </c>
      <c r="J1178" s="4">
        <v>0.5</v>
      </c>
      <c r="K1178" s="1">
        <v>0</v>
      </c>
      <c r="L1178" s="1">
        <v>3</v>
      </c>
      <c r="M1178" s="32">
        <f>IF(Mecze[[#This Row],[PR]]=0,0,Mecze[[#This Row],[PR]]/Mecze[[#This Row],[CZAS]])</f>
        <v>3.125E-2</v>
      </c>
      <c r="N1178" s="32">
        <f>IF(Mecze[[#This Row],[OU]]=0,0,Mecze[[#This Row],[OU]]/Mecze[[#This Row],[CZAS]])</f>
        <v>2.0833333333333332E-2</v>
      </c>
      <c r="O1178" s="32">
        <f>IF(Mecze[[#This Row],[PC]]=0,0,Mecze[[#This Row],[PC]]/Mecze[[#This Row],[CZAS]])</f>
        <v>6.25E-2</v>
      </c>
      <c r="P1178" s="32">
        <f>IF(Mecze[[#This Row],[SC]]=0,0,Mecze[[#This Row],[SC]]/Mecze[[#This Row],[CZAS]])</f>
        <v>0</v>
      </c>
      <c r="Q1178" s="32">
        <f>IF(Mecze[[#This Row],[OB]]=0,0,Mecze[[#This Row],[OB]]/Mecze[[#This Row],[CZAS]])</f>
        <v>0</v>
      </c>
      <c r="R1178" s="32">
        <f>IF(Mecze[[#This Row],[BR]]=0,0,Mecze[[#This Row],[BR]]/Mecze[[#This Row],[CZAS]])</f>
        <v>0</v>
      </c>
      <c r="S1178" s="44">
        <f>IF(Mecze[[#This Row],[Role]]="BR",SUMPRODUCT(Mecze[[#This Row],[/PR:90]:[/BR:90]],Brudnopis!$E$23:$J$23),0)</f>
        <v>0</v>
      </c>
      <c r="T1178" s="44">
        <f>IF(Mecze[[#This Row],[Role]]&lt;&gt;"BR",SUMPRODUCT(Mecze[[#This Row],[/PR:90]:[/BR:90]],Brudnopis!$E$24:$J$24),0)</f>
        <v>0.125</v>
      </c>
      <c r="U1178" s="44">
        <f>IF(Mecze[[#This Row],[Role]]&lt;&gt;"BR",SUMPRODUCT(Mecze[[#This Row],[/PR:90]:[/BR:90]],Brudnopis!$E$25:$J$25),0)</f>
        <v>0.14583333333333331</v>
      </c>
      <c r="V1178" s="44">
        <f>IF(Mecze[[#This Row],[Role]]&lt;&gt;"BR",SUMPRODUCT(Mecze[[#This Row],[/PR:90]:[/BR:90]],Brudnopis!$E$26:$J$26),0)</f>
        <v>0.11458333333333333</v>
      </c>
      <c r="W1178" s="44">
        <f>IF(Mecze[[#This Row],[Role]]&lt;&gt;"BR",SUMPRODUCT(Mecze[[#This Row],[/PR:90]:[/BR:90]],Brudnopis!$E$27:$J$27),0)</f>
        <v>0.1328125</v>
      </c>
      <c r="X1178" s="44">
        <f>IF(Mecze[[#This Row],[Role]]&lt;&gt;"BR",SUMPRODUCT(Mecze[[#This Row],[/PR:90]:[/BR:90]],Brudnopis!$E$28:$J$28),0)</f>
        <v>6.25E-2</v>
      </c>
      <c r="Y1178" s="35">
        <f>IF(Mecze[[#This Row],[Role]]="BR",Mecze[[#This Row],[/OB:90]]+Mecze[[#This Row],[/PC:90]],SUM(Mecze[[#This Row],[/PR:90]:[/BR:90]]))</f>
        <v>0.11458333333333333</v>
      </c>
      <c r="Z1178" s="35">
        <f>IF(Mecze[[#This Row],[KC]]=0,SUM(Mecze[[#This Row],[/BRI]:[/NPI]]),SUM(Mecze[[#This Row],[/BRI]:[/NPI]])*0.6)</f>
        <v>0.58072916666666663</v>
      </c>
      <c r="AA1178" s="10">
        <f>IFERROR(Mecze[[#This Row],[BR]]/Mecze[[#This Row],[ST]],0)</f>
        <v>0</v>
      </c>
      <c r="AB1178">
        <f>ROUND(Mecze[[#This Row],[PD]]*Mecze[[#This Row],[%PC]],0)</f>
        <v>6</v>
      </c>
      <c r="AC1178">
        <f>ROUND(Mecze[[#This Row],[OD]]*Mecze[[#This Row],[%OU]],0)</f>
        <v>2</v>
      </c>
      <c r="AD1178" s="36" t="s">
        <v>47</v>
      </c>
      <c r="AE1178" s="36">
        <v>65</v>
      </c>
      <c r="AF1178" s="71">
        <v>5.67</v>
      </c>
      <c r="AG1178" s="37">
        <v>0</v>
      </c>
      <c r="AH1178" s="37">
        <v>0</v>
      </c>
      <c r="AI1178" s="37">
        <v>96</v>
      </c>
      <c r="AJ1178" s="37">
        <v>2</v>
      </c>
      <c r="AK1178" s="37" t="str">
        <f>VLOOKUP(Mecze[[#This Row],[Match ID]],Meczusie[Mecz]:Meczusie[RodzajMeczu],2,FALSE)</f>
        <v>Liga</v>
      </c>
    </row>
    <row r="1179" spans="1:37" x14ac:dyDescent="0.25">
      <c r="A1179" s="76">
        <v>2</v>
      </c>
      <c r="B1179" s="3" t="s">
        <v>224</v>
      </c>
      <c r="C1179" s="2" t="s">
        <v>157</v>
      </c>
      <c r="D1179" s="1">
        <v>0</v>
      </c>
      <c r="E1179" s="1">
        <v>0</v>
      </c>
      <c r="F1179" s="1">
        <v>0</v>
      </c>
      <c r="G1179" s="1">
        <v>2</v>
      </c>
      <c r="H1179" s="4">
        <v>1</v>
      </c>
      <c r="I1179" s="1">
        <v>6</v>
      </c>
      <c r="J1179" s="4">
        <v>0.5</v>
      </c>
      <c r="K1179" s="1">
        <v>0</v>
      </c>
      <c r="L1179" s="1">
        <v>3</v>
      </c>
      <c r="M1179" s="32">
        <f>IF(Mecze[[#This Row],[PR]]=0,0,Mecze[[#This Row],[PR]]/Mecze[[#This Row],[CZAS]])</f>
        <v>3.125E-2</v>
      </c>
      <c r="N1179" s="32">
        <f>IF(Mecze[[#This Row],[OU]]=0,0,Mecze[[#This Row],[OU]]/Mecze[[#This Row],[CZAS]])</f>
        <v>3.125E-2</v>
      </c>
      <c r="O1179" s="32">
        <f>IF(Mecze[[#This Row],[PC]]=0,0,Mecze[[#This Row],[PC]]/Mecze[[#This Row],[CZAS]])</f>
        <v>2.0833333333333332E-2</v>
      </c>
      <c r="P1179" s="32">
        <f>IF(Mecze[[#This Row],[SC]]=0,0,Mecze[[#This Row],[SC]]/Mecze[[#This Row],[CZAS]])</f>
        <v>0</v>
      </c>
      <c r="Q1179" s="32">
        <f>IF(Mecze[[#This Row],[OB]]=0,0,Mecze[[#This Row],[OB]]/Mecze[[#This Row],[CZAS]])</f>
        <v>0</v>
      </c>
      <c r="R1179" s="32">
        <f>IF(Mecze[[#This Row],[BR]]=0,0,Mecze[[#This Row],[BR]]/Mecze[[#This Row],[CZAS]])</f>
        <v>0</v>
      </c>
      <c r="S1179" s="44">
        <f>IF(Mecze[[#This Row],[Role]]="BR",SUMPRODUCT(Mecze[[#This Row],[/PR:90]:[/BR:90]],Brudnopis!$E$23:$J$23),0)</f>
        <v>0</v>
      </c>
      <c r="T1179" s="44">
        <f>IF(Mecze[[#This Row],[Role]]&lt;&gt;"BR",SUMPRODUCT(Mecze[[#This Row],[/PR:90]:[/BR:90]],Brudnopis!$E$24:$J$24),0)</f>
        <v>9.8958333333333329E-2</v>
      </c>
      <c r="U1179" s="44">
        <f>IF(Mecze[[#This Row],[Role]]&lt;&gt;"BR",SUMPRODUCT(Mecze[[#This Row],[/PR:90]:[/BR:90]],Brudnopis!$E$25:$J$25),0)</f>
        <v>9.375E-2</v>
      </c>
      <c r="V1179" s="44">
        <f>IF(Mecze[[#This Row],[Role]]&lt;&gt;"BR",SUMPRODUCT(Mecze[[#This Row],[/PR:90]:[/BR:90]],Brudnopis!$E$26:$J$26),0)</f>
        <v>8.3333333333333329E-2</v>
      </c>
      <c r="W1179" s="44">
        <f>IF(Mecze[[#This Row],[Role]]&lt;&gt;"BR",SUMPRODUCT(Mecze[[#This Row],[/PR:90]:[/BR:90]],Brudnopis!$E$27:$J$27),0)</f>
        <v>7.8125E-2</v>
      </c>
      <c r="X1179" s="44">
        <f>IF(Mecze[[#This Row],[Role]]&lt;&gt;"BR",SUMPRODUCT(Mecze[[#This Row],[/PR:90]:[/BR:90]],Brudnopis!$E$28:$J$28),0)</f>
        <v>2.0833333333333332E-2</v>
      </c>
      <c r="Y1179" s="35">
        <f>IF(Mecze[[#This Row],[Role]]="BR",Mecze[[#This Row],[/OB:90]]+Mecze[[#This Row],[/PC:90]],SUM(Mecze[[#This Row],[/PR:90]:[/BR:90]]))</f>
        <v>8.3333333333333329E-2</v>
      </c>
      <c r="Z1179" s="35">
        <f>IF(Mecze[[#This Row],[KC]]=0,SUM(Mecze[[#This Row],[/BRI]:[/NPI]]),SUM(Mecze[[#This Row],[/BRI]:[/NPI]])*0.6)</f>
        <v>0.37499999999999994</v>
      </c>
      <c r="AA1179" s="10">
        <f>IFERROR(Mecze[[#This Row],[BR]]/Mecze[[#This Row],[ST]],0)</f>
        <v>0</v>
      </c>
      <c r="AB1179">
        <f>ROUND(Mecze[[#This Row],[PD]]*Mecze[[#This Row],[%PC]],0)</f>
        <v>2</v>
      </c>
      <c r="AC1179">
        <f>ROUND(Mecze[[#This Row],[OD]]*Mecze[[#This Row],[%OU]],0)</f>
        <v>3</v>
      </c>
      <c r="AD1179" s="36" t="s">
        <v>175</v>
      </c>
      <c r="AE1179" s="36">
        <v>65</v>
      </c>
      <c r="AF1179" s="71">
        <v>5.67</v>
      </c>
      <c r="AG1179" s="37">
        <v>0</v>
      </c>
      <c r="AH1179" s="37">
        <v>0</v>
      </c>
      <c r="AI1179" s="37">
        <v>96</v>
      </c>
      <c r="AJ1179" s="37">
        <v>2</v>
      </c>
      <c r="AK1179" s="37" t="str">
        <f>VLOOKUP(Mecze[[#This Row],[Match ID]],Meczusie[Mecz]:Meczusie[RodzajMeczu],2,FALSE)</f>
        <v>Liga</v>
      </c>
    </row>
    <row r="1180" spans="1:37" x14ac:dyDescent="0.25">
      <c r="A1180" s="76">
        <v>5</v>
      </c>
      <c r="B1180" s="3" t="s">
        <v>223</v>
      </c>
      <c r="C1180" s="2" t="s">
        <v>157</v>
      </c>
      <c r="D1180" s="1">
        <v>0</v>
      </c>
      <c r="E1180" s="1">
        <v>0</v>
      </c>
      <c r="F1180" s="1">
        <v>0</v>
      </c>
      <c r="G1180" s="1">
        <v>8</v>
      </c>
      <c r="H1180" s="4">
        <v>0.63</v>
      </c>
      <c r="I1180" s="1">
        <v>6</v>
      </c>
      <c r="J1180" s="4">
        <v>0.67</v>
      </c>
      <c r="K1180" s="1">
        <v>0</v>
      </c>
      <c r="L1180" s="1">
        <v>4</v>
      </c>
      <c r="M1180" s="32">
        <f>IF(Mecze[[#This Row],[PR]]=0,0,Mecze[[#This Row],[PR]]/Mecze[[#This Row],[CZAS]])</f>
        <v>4.1666666666666664E-2</v>
      </c>
      <c r="N1180" s="32">
        <f>IF(Mecze[[#This Row],[OU]]=0,0,Mecze[[#This Row],[OU]]/Mecze[[#This Row],[CZAS]])</f>
        <v>4.1666666666666664E-2</v>
      </c>
      <c r="O1180" s="32">
        <f>IF(Mecze[[#This Row],[PC]]=0,0,Mecze[[#This Row],[PC]]/Mecze[[#This Row],[CZAS]])</f>
        <v>5.2083333333333336E-2</v>
      </c>
      <c r="P1180" s="32">
        <f>IF(Mecze[[#This Row],[SC]]=0,0,Mecze[[#This Row],[SC]]/Mecze[[#This Row],[CZAS]])</f>
        <v>0</v>
      </c>
      <c r="Q1180" s="32">
        <f>IF(Mecze[[#This Row],[OB]]=0,0,Mecze[[#This Row],[OB]]/Mecze[[#This Row],[CZAS]])</f>
        <v>0</v>
      </c>
      <c r="R1180" s="32">
        <f>IF(Mecze[[#This Row],[BR]]=0,0,Mecze[[#This Row],[BR]]/Mecze[[#This Row],[CZAS]])</f>
        <v>0</v>
      </c>
      <c r="S1180" s="44">
        <f>IF(Mecze[[#This Row],[Role]]="BR",SUMPRODUCT(Mecze[[#This Row],[/PR:90]:[/BR:90]],Brudnopis!$E$23:$J$23),0)</f>
        <v>0</v>
      </c>
      <c r="T1180" s="44">
        <f>IF(Mecze[[#This Row],[Role]]&lt;&gt;"BR",SUMPRODUCT(Mecze[[#This Row],[/PR:90]:[/BR:90]],Brudnopis!$E$24:$J$24),0)</f>
        <v>0.15625</v>
      </c>
      <c r="U1180" s="44">
        <f>IF(Mecze[[#This Row],[Role]]&lt;&gt;"BR",SUMPRODUCT(Mecze[[#This Row],[/PR:90]:[/BR:90]],Brudnopis!$E$25:$J$25),0)</f>
        <v>0.16145833333333331</v>
      </c>
      <c r="V1180" s="44">
        <f>IF(Mecze[[#This Row],[Role]]&lt;&gt;"BR",SUMPRODUCT(Mecze[[#This Row],[/PR:90]:[/BR:90]],Brudnopis!$E$26:$J$26),0)</f>
        <v>0.13541666666666666</v>
      </c>
      <c r="W1180" s="44">
        <f>IF(Mecze[[#This Row],[Role]]&lt;&gt;"BR",SUMPRODUCT(Mecze[[#This Row],[/PR:90]:[/BR:90]],Brudnopis!$E$27:$J$27),0)</f>
        <v>0.140625</v>
      </c>
      <c r="X1180" s="44">
        <f>IF(Mecze[[#This Row],[Role]]&lt;&gt;"BR",SUMPRODUCT(Mecze[[#This Row],[/PR:90]:[/BR:90]],Brudnopis!$E$28:$J$28),0)</f>
        <v>5.2083333333333336E-2</v>
      </c>
      <c r="Y1180" s="35">
        <f>IF(Mecze[[#This Row],[Role]]="BR",Mecze[[#This Row],[/OB:90]]+Mecze[[#This Row],[/PC:90]],SUM(Mecze[[#This Row],[/PR:90]:[/BR:90]]))</f>
        <v>0.13541666666666666</v>
      </c>
      <c r="Z1180" s="35">
        <f>IF(Mecze[[#This Row],[KC]]=0,SUM(Mecze[[#This Row],[/BRI]:[/NPI]]),SUM(Mecze[[#This Row],[/BRI]:[/NPI]])*0.6)</f>
        <v>0.64583333333333337</v>
      </c>
      <c r="AA1180" s="10">
        <f>IFERROR(Mecze[[#This Row],[BR]]/Mecze[[#This Row],[ST]],0)</f>
        <v>0</v>
      </c>
      <c r="AB1180">
        <f>ROUND(Mecze[[#This Row],[PD]]*Mecze[[#This Row],[%PC]],0)</f>
        <v>5</v>
      </c>
      <c r="AC1180">
        <f>ROUND(Mecze[[#This Row],[OD]]*Mecze[[#This Row],[%OU]],0)</f>
        <v>4</v>
      </c>
      <c r="AD1180" s="36" t="s">
        <v>174</v>
      </c>
      <c r="AE1180" s="36">
        <v>65</v>
      </c>
      <c r="AF1180" s="71">
        <v>5.88</v>
      </c>
      <c r="AG1180" s="37">
        <v>0</v>
      </c>
      <c r="AH1180" s="37">
        <v>0</v>
      </c>
      <c r="AI1180" s="37">
        <v>96</v>
      </c>
      <c r="AJ1180" s="37">
        <v>2</v>
      </c>
      <c r="AK1180" s="37" t="str">
        <f>VLOOKUP(Mecze[[#This Row],[Match ID]],Meczusie[Mecz]:Meczusie[RodzajMeczu],2,FALSE)</f>
        <v>Liga</v>
      </c>
    </row>
    <row r="1181" spans="1:37" x14ac:dyDescent="0.25">
      <c r="A1181" s="76">
        <v>6</v>
      </c>
      <c r="B1181" s="3" t="s">
        <v>225</v>
      </c>
      <c r="C1181" s="2" t="s">
        <v>160</v>
      </c>
      <c r="D1181" s="1">
        <v>0</v>
      </c>
      <c r="E1181" s="1">
        <v>1</v>
      </c>
      <c r="F1181" s="1">
        <v>0</v>
      </c>
      <c r="G1181" s="1">
        <v>7</v>
      </c>
      <c r="H1181" s="4">
        <v>0.71</v>
      </c>
      <c r="I1181" s="1">
        <v>8</v>
      </c>
      <c r="J1181" s="4">
        <v>0.5</v>
      </c>
      <c r="K1181" s="1">
        <v>0</v>
      </c>
      <c r="L1181" s="1">
        <v>2</v>
      </c>
      <c r="M1181" s="32">
        <f>IF(Mecze[[#This Row],[PR]]=0,0,Mecze[[#This Row],[PR]]/Mecze[[#This Row],[CZAS]])</f>
        <v>2.0833333333333332E-2</v>
      </c>
      <c r="N1181" s="32">
        <f>IF(Mecze[[#This Row],[OU]]=0,0,Mecze[[#This Row],[OU]]/Mecze[[#This Row],[CZAS]])</f>
        <v>4.1666666666666664E-2</v>
      </c>
      <c r="O1181" s="32">
        <f>IF(Mecze[[#This Row],[PC]]=0,0,Mecze[[#This Row],[PC]]/Mecze[[#This Row],[CZAS]])</f>
        <v>5.2083333333333336E-2</v>
      </c>
      <c r="P1181" s="32">
        <f>IF(Mecze[[#This Row],[SC]]=0,0,Mecze[[#This Row],[SC]]/Mecze[[#This Row],[CZAS]])</f>
        <v>0</v>
      </c>
      <c r="Q1181" s="32">
        <f>IF(Mecze[[#This Row],[OB]]=0,0,Mecze[[#This Row],[OB]]/Mecze[[#This Row],[CZAS]])</f>
        <v>0</v>
      </c>
      <c r="R1181" s="32">
        <f>IF(Mecze[[#This Row],[BR]]=0,0,Mecze[[#This Row],[BR]]/Mecze[[#This Row],[CZAS]])</f>
        <v>0</v>
      </c>
      <c r="S1181" s="44">
        <f>IF(Mecze[[#This Row],[Role]]="BR",SUMPRODUCT(Mecze[[#This Row],[/PR:90]:[/BR:90]],Brudnopis!$E$23:$J$23),0)</f>
        <v>0</v>
      </c>
      <c r="T1181" s="44">
        <f>IF(Mecze[[#This Row],[Role]]&lt;&gt;"BR",SUMPRODUCT(Mecze[[#This Row],[/PR:90]:[/BR:90]],Brudnopis!$E$24:$J$24),0)</f>
        <v>0.13541666666666666</v>
      </c>
      <c r="U1181" s="44">
        <f>IF(Mecze[[#This Row],[Role]]&lt;&gt;"BR",SUMPRODUCT(Mecze[[#This Row],[/PR:90]:[/BR:90]],Brudnopis!$E$25:$J$25),0)</f>
        <v>0.140625</v>
      </c>
      <c r="V1181" s="44">
        <f>IF(Mecze[[#This Row],[Role]]&lt;&gt;"BR",SUMPRODUCT(Mecze[[#This Row],[/PR:90]:[/BR:90]],Brudnopis!$E$26:$J$26),0)</f>
        <v>0.11458333333333334</v>
      </c>
      <c r="W1181" s="44">
        <f>IF(Mecze[[#This Row],[Role]]&lt;&gt;"BR",SUMPRODUCT(Mecze[[#This Row],[/PR:90]:[/BR:90]],Brudnopis!$E$27:$J$27),0)</f>
        <v>0.125</v>
      </c>
      <c r="X1181" s="44">
        <f>IF(Mecze[[#This Row],[Role]]&lt;&gt;"BR",SUMPRODUCT(Mecze[[#This Row],[/PR:90]:[/BR:90]],Brudnopis!$E$28:$J$28),0)</f>
        <v>5.2083333333333336E-2</v>
      </c>
      <c r="Y1181" s="35">
        <f>IF(Mecze[[#This Row],[Role]]="BR",Mecze[[#This Row],[/OB:90]]+Mecze[[#This Row],[/PC:90]],SUM(Mecze[[#This Row],[/PR:90]:[/BR:90]]))</f>
        <v>0.11458333333333334</v>
      </c>
      <c r="Z1181" s="35">
        <f>IF(Mecze[[#This Row],[KC]]=0,SUM(Mecze[[#This Row],[/BRI]:[/NPI]]),SUM(Mecze[[#This Row],[/BRI]:[/NPI]])*0.6)</f>
        <v>0.56770833333333337</v>
      </c>
      <c r="AA1181" s="10">
        <f>IFERROR(Mecze[[#This Row],[BR]]/Mecze[[#This Row],[ST]],0)</f>
        <v>0</v>
      </c>
      <c r="AB1181">
        <f>ROUND(Mecze[[#This Row],[PD]]*Mecze[[#This Row],[%PC]],0)</f>
        <v>5</v>
      </c>
      <c r="AC1181">
        <f>ROUND(Mecze[[#This Row],[OD]]*Mecze[[#This Row],[%OU]],0)</f>
        <v>4</v>
      </c>
      <c r="AD1181" s="36" t="s">
        <v>41</v>
      </c>
      <c r="AE1181" s="36">
        <v>65</v>
      </c>
      <c r="AF1181" s="71">
        <v>5.55</v>
      </c>
      <c r="AG1181" s="37">
        <v>0</v>
      </c>
      <c r="AH1181" s="37">
        <v>0</v>
      </c>
      <c r="AI1181" s="37">
        <v>96</v>
      </c>
      <c r="AJ1181" s="37">
        <v>2</v>
      </c>
      <c r="AK1181" s="37" t="str">
        <f>VLOOKUP(Mecze[[#This Row],[Match ID]],Meczusie[Mecz]:Meczusie[RodzajMeczu],2,FALSE)</f>
        <v>Liga</v>
      </c>
    </row>
    <row r="1182" spans="1:37" x14ac:dyDescent="0.25">
      <c r="A1182" s="76">
        <v>7</v>
      </c>
      <c r="B1182" s="3" t="s">
        <v>226</v>
      </c>
      <c r="C1182" s="2" t="s">
        <v>160</v>
      </c>
      <c r="D1182" s="1">
        <v>0</v>
      </c>
      <c r="E1182" s="1">
        <v>3</v>
      </c>
      <c r="F1182" s="1">
        <v>3</v>
      </c>
      <c r="G1182" s="1">
        <v>22</v>
      </c>
      <c r="H1182" s="4">
        <v>0.64</v>
      </c>
      <c r="I1182" s="1">
        <v>10</v>
      </c>
      <c r="J1182" s="4">
        <v>0.5</v>
      </c>
      <c r="K1182" s="1">
        <v>0</v>
      </c>
      <c r="L1182" s="1">
        <v>12</v>
      </c>
      <c r="M1182" s="32">
        <f>IF(Mecze[[#This Row],[PR]]=0,0,Mecze[[#This Row],[PR]]/Mecze[[#This Row],[CZAS]])</f>
        <v>0.125</v>
      </c>
      <c r="N1182" s="32">
        <f>IF(Mecze[[#This Row],[OU]]=0,0,Mecze[[#This Row],[OU]]/Mecze[[#This Row],[CZAS]])</f>
        <v>5.2083333333333336E-2</v>
      </c>
      <c r="O1182" s="32">
        <f>IF(Mecze[[#This Row],[PC]]=0,0,Mecze[[#This Row],[PC]]/Mecze[[#This Row],[CZAS]])</f>
        <v>0.14583333333333334</v>
      </c>
      <c r="P1182" s="32">
        <f>IF(Mecze[[#This Row],[SC]]=0,0,Mecze[[#This Row],[SC]]/Mecze[[#This Row],[CZAS]])</f>
        <v>3.125E-2</v>
      </c>
      <c r="Q1182" s="32">
        <f>IF(Mecze[[#This Row],[OB]]=0,0,Mecze[[#This Row],[OB]]/Mecze[[#This Row],[CZAS]])</f>
        <v>0</v>
      </c>
      <c r="R1182" s="32">
        <f>IF(Mecze[[#This Row],[BR]]=0,0,Mecze[[#This Row],[BR]]/Mecze[[#This Row],[CZAS]])</f>
        <v>0</v>
      </c>
      <c r="S1182" s="44">
        <f>IF(Mecze[[#This Row],[Role]]="BR",SUMPRODUCT(Mecze[[#This Row],[/PR:90]:[/BR:90]],Brudnopis!$E$23:$J$23),0)</f>
        <v>0</v>
      </c>
      <c r="T1182" s="44">
        <f>IF(Mecze[[#This Row],[Role]]&lt;&gt;"BR",SUMPRODUCT(Mecze[[#This Row],[/PR:90]:[/BR:90]],Brudnopis!$E$24:$J$24),0)</f>
        <v>0.38020833333333337</v>
      </c>
      <c r="U1182" s="44">
        <f>IF(Mecze[[#This Row],[Role]]&lt;&gt;"BR",SUMPRODUCT(Mecze[[#This Row],[/PR:90]:[/BR:90]],Brudnopis!$E$25:$J$25),0)</f>
        <v>0.42708333333333337</v>
      </c>
      <c r="V1182" s="44">
        <f>IF(Mecze[[#This Row],[Role]]&lt;&gt;"BR",SUMPRODUCT(Mecze[[#This Row],[/PR:90]:[/BR:90]],Brudnopis!$E$26:$J$26),0)</f>
        <v>0.35416666666666669</v>
      </c>
      <c r="W1182" s="44">
        <f>IF(Mecze[[#This Row],[Role]]&lt;&gt;"BR",SUMPRODUCT(Mecze[[#This Row],[/PR:90]:[/BR:90]],Brudnopis!$E$27:$J$27),0)</f>
        <v>0.3828125</v>
      </c>
      <c r="X1182" s="44">
        <f>IF(Mecze[[#This Row],[Role]]&lt;&gt;"BR",SUMPRODUCT(Mecze[[#This Row],[/PR:90]:[/BR:90]],Brudnopis!$E$28:$J$28),0)</f>
        <v>0.20833333333333334</v>
      </c>
      <c r="Y1182" s="35">
        <f>IF(Mecze[[#This Row],[Role]]="BR",Mecze[[#This Row],[/OB:90]]+Mecze[[#This Row],[/PC:90]],SUM(Mecze[[#This Row],[/PR:90]:[/BR:90]]))</f>
        <v>0.35416666666666669</v>
      </c>
      <c r="Z1182" s="35">
        <f>IF(Mecze[[#This Row],[KC]]=0,SUM(Mecze[[#This Row],[/BRI]:[/NPI]]),SUM(Mecze[[#This Row],[/BRI]:[/NPI]])*0.6)</f>
        <v>1.7526041666666667</v>
      </c>
      <c r="AA1182" s="10">
        <f>IFERROR(Mecze[[#This Row],[BR]]/Mecze[[#This Row],[ST]],0)</f>
        <v>0</v>
      </c>
      <c r="AB1182">
        <f>ROUND(Mecze[[#This Row],[PD]]*Mecze[[#This Row],[%PC]],0)</f>
        <v>14</v>
      </c>
      <c r="AC1182">
        <f>ROUND(Mecze[[#This Row],[OD]]*Mecze[[#This Row],[%OU]],0)</f>
        <v>5</v>
      </c>
      <c r="AD1182" s="36" t="s">
        <v>41</v>
      </c>
      <c r="AE1182" s="36">
        <v>65</v>
      </c>
      <c r="AF1182" s="71">
        <v>8.34</v>
      </c>
      <c r="AG1182" s="37">
        <v>0</v>
      </c>
      <c r="AH1182" s="37">
        <v>0</v>
      </c>
      <c r="AI1182" s="37">
        <v>96</v>
      </c>
      <c r="AJ1182" s="37">
        <v>2</v>
      </c>
      <c r="AK1182" s="37" t="str">
        <f>VLOOKUP(Mecze[[#This Row],[Match ID]],Meczusie[Mecz]:Meczusie[RodzajMeczu],2,FALSE)</f>
        <v>Liga</v>
      </c>
    </row>
    <row r="1183" spans="1:37" x14ac:dyDescent="0.25">
      <c r="A1183" s="76">
        <v>9</v>
      </c>
      <c r="B1183" s="3" t="s">
        <v>227</v>
      </c>
      <c r="C1183" s="2" t="s">
        <v>160</v>
      </c>
      <c r="D1183" s="1">
        <v>0</v>
      </c>
      <c r="E1183" s="1">
        <v>0</v>
      </c>
      <c r="F1183" s="1">
        <v>0</v>
      </c>
      <c r="G1183" s="1">
        <v>13</v>
      </c>
      <c r="H1183" s="4">
        <v>0.69</v>
      </c>
      <c r="I1183" s="1">
        <v>12</v>
      </c>
      <c r="J1183" s="4">
        <v>0.42</v>
      </c>
      <c r="K1183" s="1">
        <v>0</v>
      </c>
      <c r="L1183" s="1">
        <v>3</v>
      </c>
      <c r="M1183" s="32">
        <f>IF(Mecze[[#This Row],[PR]]=0,0,Mecze[[#This Row],[PR]]/Mecze[[#This Row],[CZAS]])</f>
        <v>3.125E-2</v>
      </c>
      <c r="N1183" s="32">
        <f>IF(Mecze[[#This Row],[OU]]=0,0,Mecze[[#This Row],[OU]]/Mecze[[#This Row],[CZAS]])</f>
        <v>5.2083333333333336E-2</v>
      </c>
      <c r="O1183" s="32">
        <f>IF(Mecze[[#This Row],[PC]]=0,0,Mecze[[#This Row],[PC]]/Mecze[[#This Row],[CZAS]])</f>
        <v>9.375E-2</v>
      </c>
      <c r="P1183" s="32">
        <f>IF(Mecze[[#This Row],[SC]]=0,0,Mecze[[#This Row],[SC]]/Mecze[[#This Row],[CZAS]])</f>
        <v>0</v>
      </c>
      <c r="Q1183" s="32">
        <f>IF(Mecze[[#This Row],[OB]]=0,0,Mecze[[#This Row],[OB]]/Mecze[[#This Row],[CZAS]])</f>
        <v>0</v>
      </c>
      <c r="R1183" s="32">
        <f>IF(Mecze[[#This Row],[BR]]=0,0,Mecze[[#This Row],[BR]]/Mecze[[#This Row],[CZAS]])</f>
        <v>0</v>
      </c>
      <c r="S1183" s="44">
        <f>IF(Mecze[[#This Row],[Role]]="BR",SUMPRODUCT(Mecze[[#This Row],[/PR:90]:[/BR:90]],Brudnopis!$E$23:$J$23),0)</f>
        <v>0</v>
      </c>
      <c r="T1183" s="44">
        <f>IF(Mecze[[#This Row],[Role]]&lt;&gt;"BR",SUMPRODUCT(Mecze[[#This Row],[/PR:90]:[/BR:90]],Brudnopis!$E$24:$J$24),0)</f>
        <v>0.203125</v>
      </c>
      <c r="U1183" s="44">
        <f>IF(Mecze[[#This Row],[Role]]&lt;&gt;"BR",SUMPRODUCT(Mecze[[#This Row],[/PR:90]:[/BR:90]],Brudnopis!$E$25:$J$25),0)</f>
        <v>0.22395833333333334</v>
      </c>
      <c r="V1183" s="44">
        <f>IF(Mecze[[#This Row],[Role]]&lt;&gt;"BR",SUMPRODUCT(Mecze[[#This Row],[/PR:90]:[/BR:90]],Brudnopis!$E$26:$J$26),0)</f>
        <v>0.17708333333333334</v>
      </c>
      <c r="W1183" s="44">
        <f>IF(Mecze[[#This Row],[Role]]&lt;&gt;"BR",SUMPRODUCT(Mecze[[#This Row],[/PR:90]:[/BR:90]],Brudnopis!$E$27:$J$27),0)</f>
        <v>0.203125</v>
      </c>
      <c r="X1183" s="44">
        <f>IF(Mecze[[#This Row],[Role]]&lt;&gt;"BR",SUMPRODUCT(Mecze[[#This Row],[/PR:90]:[/BR:90]],Brudnopis!$E$28:$J$28),0)</f>
        <v>9.375E-2</v>
      </c>
      <c r="Y1183" s="35">
        <f>IF(Mecze[[#This Row],[Role]]="BR",Mecze[[#This Row],[/OB:90]]+Mecze[[#This Row],[/PC:90]],SUM(Mecze[[#This Row],[/PR:90]:[/BR:90]]))</f>
        <v>0.17708333333333334</v>
      </c>
      <c r="Z1183" s="35">
        <f>IF(Mecze[[#This Row],[KC]]=0,SUM(Mecze[[#This Row],[/BRI]:[/NPI]]),SUM(Mecze[[#This Row],[/BRI]:[/NPI]])*0.6)</f>
        <v>0.90104166666666674</v>
      </c>
      <c r="AA1183" s="10">
        <f>IFERROR(Mecze[[#This Row],[BR]]/Mecze[[#This Row],[ST]],0)</f>
        <v>0</v>
      </c>
      <c r="AB1183">
        <f>ROUND(Mecze[[#This Row],[PD]]*Mecze[[#This Row],[%PC]],0)</f>
        <v>9</v>
      </c>
      <c r="AC1183">
        <f>ROUND(Mecze[[#This Row],[OD]]*Mecze[[#This Row],[%OU]],0)</f>
        <v>5</v>
      </c>
      <c r="AD1183" s="36" t="s">
        <v>67</v>
      </c>
      <c r="AE1183" s="36">
        <v>65</v>
      </c>
      <c r="AF1183" s="71">
        <v>5.76</v>
      </c>
      <c r="AG1183" s="37">
        <v>0</v>
      </c>
      <c r="AH1183" s="37">
        <v>0</v>
      </c>
      <c r="AI1183" s="37">
        <v>96</v>
      </c>
      <c r="AJ1183" s="37">
        <v>2</v>
      </c>
      <c r="AK1183" s="37" t="str">
        <f>VLOOKUP(Mecze[[#This Row],[Match ID]],Meczusie[Mecz]:Meczusie[RodzajMeczu],2,FALSE)</f>
        <v>Liga</v>
      </c>
    </row>
    <row r="1184" spans="1:37" x14ac:dyDescent="0.25">
      <c r="A1184" s="76">
        <v>8</v>
      </c>
      <c r="B1184" s="3" t="s">
        <v>228</v>
      </c>
      <c r="C1184" s="2" t="s">
        <v>160</v>
      </c>
      <c r="D1184" s="1">
        <v>0</v>
      </c>
      <c r="E1184" s="1">
        <v>1</v>
      </c>
      <c r="F1184" s="1">
        <v>0</v>
      </c>
      <c r="G1184" s="1">
        <v>11</v>
      </c>
      <c r="H1184" s="4">
        <v>0.64</v>
      </c>
      <c r="I1184" s="1">
        <v>7</v>
      </c>
      <c r="J1184" s="4">
        <v>0.56999999999999995</v>
      </c>
      <c r="K1184" s="1">
        <v>0</v>
      </c>
      <c r="L1184" s="1">
        <v>0</v>
      </c>
      <c r="M1184" s="32">
        <f>IF(Mecze[[#This Row],[PR]]=0,0,Mecze[[#This Row],[PR]]/Mecze[[#This Row],[CZAS]])</f>
        <v>0</v>
      </c>
      <c r="N1184" s="32">
        <f>IF(Mecze[[#This Row],[OU]]=0,0,Mecze[[#This Row],[OU]]/Mecze[[#This Row],[CZAS]])</f>
        <v>4.1666666666666664E-2</v>
      </c>
      <c r="O1184" s="32">
        <f>IF(Mecze[[#This Row],[PC]]=0,0,Mecze[[#This Row],[PC]]/Mecze[[#This Row],[CZAS]])</f>
        <v>7.2916666666666671E-2</v>
      </c>
      <c r="P1184" s="32">
        <f>IF(Mecze[[#This Row],[SC]]=0,0,Mecze[[#This Row],[SC]]/Mecze[[#This Row],[CZAS]])</f>
        <v>0</v>
      </c>
      <c r="Q1184" s="32">
        <f>IF(Mecze[[#This Row],[OB]]=0,0,Mecze[[#This Row],[OB]]/Mecze[[#This Row],[CZAS]])</f>
        <v>0</v>
      </c>
      <c r="R1184" s="32">
        <f>IF(Mecze[[#This Row],[BR]]=0,0,Mecze[[#This Row],[BR]]/Mecze[[#This Row],[CZAS]])</f>
        <v>0</v>
      </c>
      <c r="S1184" s="44">
        <f>IF(Mecze[[#This Row],[Role]]="BR",SUMPRODUCT(Mecze[[#This Row],[/PR:90]:[/BR:90]],Brudnopis!$E$23:$J$23),0)</f>
        <v>0</v>
      </c>
      <c r="T1184" s="44">
        <f>IF(Mecze[[#This Row],[Role]]&lt;&gt;"BR",SUMPRODUCT(Mecze[[#This Row],[/PR:90]:[/BR:90]],Brudnopis!$E$24:$J$24),0)</f>
        <v>0.13541666666666669</v>
      </c>
      <c r="U1184" s="44">
        <f>IF(Mecze[[#This Row],[Role]]&lt;&gt;"BR",SUMPRODUCT(Mecze[[#This Row],[/PR:90]:[/BR:90]],Brudnopis!$E$25:$J$25),0)</f>
        <v>0.15104166666666666</v>
      </c>
      <c r="V1184" s="44">
        <f>IF(Mecze[[#This Row],[Role]]&lt;&gt;"BR",SUMPRODUCT(Mecze[[#This Row],[/PR:90]:[/BR:90]],Brudnopis!$E$26:$J$26),0)</f>
        <v>0.11458333333333334</v>
      </c>
      <c r="W1184" s="44">
        <f>IF(Mecze[[#This Row],[Role]]&lt;&gt;"BR",SUMPRODUCT(Mecze[[#This Row],[/PR:90]:[/BR:90]],Brudnopis!$E$27:$J$27),0)</f>
        <v>0.140625</v>
      </c>
      <c r="X1184" s="44">
        <f>IF(Mecze[[#This Row],[Role]]&lt;&gt;"BR",SUMPRODUCT(Mecze[[#This Row],[/PR:90]:[/BR:90]],Brudnopis!$E$28:$J$28),0)</f>
        <v>7.2916666666666671E-2</v>
      </c>
      <c r="Y1184" s="35">
        <f>IF(Mecze[[#This Row],[Role]]="BR",Mecze[[#This Row],[/OB:90]]+Mecze[[#This Row],[/PC:90]],SUM(Mecze[[#This Row],[/PR:90]:[/BR:90]]))</f>
        <v>0.11458333333333334</v>
      </c>
      <c r="Z1184" s="35">
        <f>IF(Mecze[[#This Row],[KC]]=0,SUM(Mecze[[#This Row],[/BRI]:[/NPI]]),SUM(Mecze[[#This Row],[/BRI]:[/NPI]])*0.6)</f>
        <v>0.61458333333333337</v>
      </c>
      <c r="AA1184" s="10">
        <f>IFERROR(Mecze[[#This Row],[BR]]/Mecze[[#This Row],[ST]],0)</f>
        <v>0</v>
      </c>
      <c r="AB1184">
        <f>ROUND(Mecze[[#This Row],[PD]]*Mecze[[#This Row],[%PC]],0)</f>
        <v>7</v>
      </c>
      <c r="AC1184">
        <f>ROUND(Mecze[[#This Row],[OD]]*Mecze[[#This Row],[%OU]],0)</f>
        <v>4</v>
      </c>
      <c r="AD1184" s="36" t="s">
        <v>171</v>
      </c>
      <c r="AE1184" s="36">
        <v>65</v>
      </c>
      <c r="AF1184" s="71">
        <v>5.13</v>
      </c>
      <c r="AG1184" s="37">
        <v>0</v>
      </c>
      <c r="AH1184" s="37">
        <v>0</v>
      </c>
      <c r="AI1184" s="37">
        <v>96</v>
      </c>
      <c r="AJ1184" s="37">
        <v>2</v>
      </c>
      <c r="AK1184" s="37" t="str">
        <f>VLOOKUP(Mecze[[#This Row],[Match ID]],Meczusie[Mecz]:Meczusie[RodzajMeczu],2,FALSE)</f>
        <v>Liga</v>
      </c>
    </row>
    <row r="1185" spans="1:37" x14ac:dyDescent="0.25">
      <c r="A1185" s="76">
        <v>11</v>
      </c>
      <c r="B1185" s="3" t="s">
        <v>229</v>
      </c>
      <c r="C1185" s="2" t="s">
        <v>165</v>
      </c>
      <c r="D1185" s="1">
        <v>2</v>
      </c>
      <c r="E1185" s="1">
        <v>12</v>
      </c>
      <c r="F1185" s="1">
        <v>11</v>
      </c>
      <c r="G1185" s="1">
        <v>3</v>
      </c>
      <c r="H1185" s="4">
        <v>1</v>
      </c>
      <c r="I1185" s="1">
        <v>2</v>
      </c>
      <c r="J1185" s="4">
        <v>0.5</v>
      </c>
      <c r="K1185" s="1">
        <v>0</v>
      </c>
      <c r="L1185" s="1">
        <v>0</v>
      </c>
      <c r="M1185" s="32">
        <f>IF(Mecze[[#This Row],[PR]]=0,0,Mecze[[#This Row],[PR]]/Mecze[[#This Row],[CZAS]])</f>
        <v>0</v>
      </c>
      <c r="N1185" s="32">
        <f>IF(Mecze[[#This Row],[OU]]=0,0,Mecze[[#This Row],[OU]]/Mecze[[#This Row],[CZAS]])</f>
        <v>1.5625E-2</v>
      </c>
      <c r="O1185" s="32">
        <f>IF(Mecze[[#This Row],[PC]]=0,0,Mecze[[#This Row],[PC]]/Mecze[[#This Row],[CZAS]])</f>
        <v>4.6875E-2</v>
      </c>
      <c r="P1185" s="32">
        <f>IF(Mecze[[#This Row],[SC]]=0,0,Mecze[[#This Row],[SC]]/Mecze[[#This Row],[CZAS]])</f>
        <v>0.171875</v>
      </c>
      <c r="Q1185" s="32">
        <f>IF(Mecze[[#This Row],[OB]]=0,0,Mecze[[#This Row],[OB]]/Mecze[[#This Row],[CZAS]])</f>
        <v>0</v>
      </c>
      <c r="R1185" s="32">
        <f>IF(Mecze[[#This Row],[BR]]=0,0,Mecze[[#This Row],[BR]]/Mecze[[#This Row],[CZAS]])</f>
        <v>3.125E-2</v>
      </c>
      <c r="S1185" s="44">
        <f>IF(Mecze[[#This Row],[Role]]="BR",SUMPRODUCT(Mecze[[#This Row],[/PR:90]:[/BR:90]],Brudnopis!$E$23:$J$23),0)</f>
        <v>0</v>
      </c>
      <c r="T1185" s="44">
        <f>IF(Mecze[[#This Row],[Role]]&lt;&gt;"BR",SUMPRODUCT(Mecze[[#This Row],[/PR:90]:[/BR:90]],Brudnopis!$E$24:$J$24),0)</f>
        <v>0.2890625</v>
      </c>
      <c r="U1185" s="44">
        <f>IF(Mecze[[#This Row],[Role]]&lt;&gt;"BR",SUMPRODUCT(Mecze[[#This Row],[/PR:90]:[/BR:90]],Brudnopis!$E$25:$J$25),0)</f>
        <v>0.3046875</v>
      </c>
      <c r="V1185" s="44">
        <f>IF(Mecze[[#This Row],[Role]]&lt;&gt;"BR",SUMPRODUCT(Mecze[[#This Row],[/PR:90]:[/BR:90]],Brudnopis!$E$26:$J$26),0)</f>
        <v>0.296875</v>
      </c>
      <c r="W1185" s="44">
        <f>IF(Mecze[[#This Row],[Role]]&lt;&gt;"BR",SUMPRODUCT(Mecze[[#This Row],[/PR:90]:[/BR:90]],Brudnopis!$E$27:$J$27),0)</f>
        <v>0.31640625</v>
      </c>
      <c r="X1185" s="44">
        <f>IF(Mecze[[#This Row],[Role]]&lt;&gt;"BR",SUMPRODUCT(Mecze[[#This Row],[/PR:90]:[/BR:90]],Brudnopis!$E$28:$J$28),0)</f>
        <v>0.484375</v>
      </c>
      <c r="Y1185" s="35">
        <f>IF(Mecze[[#This Row],[Role]]="BR",Mecze[[#This Row],[/OB:90]]+Mecze[[#This Row],[/PC:90]],SUM(Mecze[[#This Row],[/PR:90]:[/BR:90]]))</f>
        <v>0.265625</v>
      </c>
      <c r="Z1185" s="35">
        <f>IF(Mecze[[#This Row],[KC]]=0,SUM(Mecze[[#This Row],[/BRI]:[/NPI]]),SUM(Mecze[[#This Row],[/BRI]:[/NPI]])*0.6)</f>
        <v>1.69140625</v>
      </c>
      <c r="AA1185" s="10">
        <f>IFERROR(Mecze[[#This Row],[BR]]/Mecze[[#This Row],[ST]],0)</f>
        <v>0.16666666666666666</v>
      </c>
      <c r="AB1185">
        <f>ROUND(Mecze[[#This Row],[PD]]*Mecze[[#This Row],[%PC]],0)</f>
        <v>3</v>
      </c>
      <c r="AC1185">
        <f>ROUND(Mecze[[#This Row],[OD]]*Mecze[[#This Row],[%OU]],0)</f>
        <v>1</v>
      </c>
      <c r="AD1185" s="36" t="s">
        <v>46</v>
      </c>
      <c r="AE1185" s="36">
        <v>65</v>
      </c>
      <c r="AF1185" s="71">
        <v>10.95</v>
      </c>
      <c r="AG1185" s="37">
        <v>0</v>
      </c>
      <c r="AH1185" s="37">
        <v>0</v>
      </c>
      <c r="AI1185" s="37">
        <v>64</v>
      </c>
      <c r="AJ1185" s="37">
        <v>2</v>
      </c>
      <c r="AK1185" s="37" t="str">
        <f>VLOOKUP(Mecze[[#This Row],[Match ID]],Meczusie[Mecz]:Meczusie[RodzajMeczu],2,FALSE)</f>
        <v>Liga</v>
      </c>
    </row>
    <row r="1186" spans="1:37" x14ac:dyDescent="0.25">
      <c r="A1186" s="76">
        <v>10</v>
      </c>
      <c r="B1186" s="3" t="s">
        <v>230</v>
      </c>
      <c r="C1186" s="2" t="s">
        <v>165</v>
      </c>
      <c r="D1186" s="1">
        <v>0</v>
      </c>
      <c r="E1186" s="1">
        <v>0</v>
      </c>
      <c r="F1186" s="1">
        <v>0</v>
      </c>
      <c r="G1186" s="1">
        <v>21</v>
      </c>
      <c r="H1186" s="4">
        <v>0.76</v>
      </c>
      <c r="I1186" s="1">
        <v>0</v>
      </c>
      <c r="J1186" s="4"/>
      <c r="K1186" s="1">
        <v>0</v>
      </c>
      <c r="L1186" s="1">
        <v>0</v>
      </c>
      <c r="M1186" s="32">
        <f>IF(Mecze[[#This Row],[PR]]=0,0,Mecze[[#This Row],[PR]]/Mecze[[#This Row],[CZAS]])</f>
        <v>0</v>
      </c>
      <c r="N1186" s="32">
        <f>IF(Mecze[[#This Row],[OU]]=0,0,Mecze[[#This Row],[OU]]/Mecze[[#This Row],[CZAS]])</f>
        <v>0</v>
      </c>
      <c r="O1186" s="32">
        <f>IF(Mecze[[#This Row],[PC]]=0,0,Mecze[[#This Row],[PC]]/Mecze[[#This Row],[CZAS]])</f>
        <v>0.16666666666666666</v>
      </c>
      <c r="P1186" s="32">
        <f>IF(Mecze[[#This Row],[SC]]=0,0,Mecze[[#This Row],[SC]]/Mecze[[#This Row],[CZAS]])</f>
        <v>0</v>
      </c>
      <c r="Q1186" s="32">
        <f>IF(Mecze[[#This Row],[OB]]=0,0,Mecze[[#This Row],[OB]]/Mecze[[#This Row],[CZAS]])</f>
        <v>0</v>
      </c>
      <c r="R1186" s="32">
        <f>IF(Mecze[[#This Row],[BR]]=0,0,Mecze[[#This Row],[BR]]/Mecze[[#This Row],[CZAS]])</f>
        <v>0</v>
      </c>
      <c r="S1186" s="44">
        <f>IF(Mecze[[#This Row],[Role]]="BR",SUMPRODUCT(Mecze[[#This Row],[/PR:90]:[/BR:90]],Brudnopis!$E$23:$J$23),0)</f>
        <v>0</v>
      </c>
      <c r="T1186" s="44">
        <f>IF(Mecze[[#This Row],[Role]]&lt;&gt;"BR",SUMPRODUCT(Mecze[[#This Row],[/PR:90]:[/BR:90]],Brudnopis!$E$24:$J$24),0)</f>
        <v>0.16666666666666666</v>
      </c>
      <c r="U1186" s="44">
        <f>IF(Mecze[[#This Row],[Role]]&lt;&gt;"BR",SUMPRODUCT(Mecze[[#This Row],[/PR:90]:[/BR:90]],Brudnopis!$E$25:$J$25),0)</f>
        <v>0.25</v>
      </c>
      <c r="V1186" s="44">
        <f>IF(Mecze[[#This Row],[Role]]&lt;&gt;"BR",SUMPRODUCT(Mecze[[#This Row],[/PR:90]:[/BR:90]],Brudnopis!$E$26:$J$26),0)</f>
        <v>0.16666666666666666</v>
      </c>
      <c r="W1186" s="44">
        <f>IF(Mecze[[#This Row],[Role]]&lt;&gt;"BR",SUMPRODUCT(Mecze[[#This Row],[/PR:90]:[/BR:90]],Brudnopis!$E$27:$J$27),0)</f>
        <v>0.25</v>
      </c>
      <c r="X1186" s="44">
        <f>IF(Mecze[[#This Row],[Role]]&lt;&gt;"BR",SUMPRODUCT(Mecze[[#This Row],[/PR:90]:[/BR:90]],Brudnopis!$E$28:$J$28),0)</f>
        <v>0.16666666666666666</v>
      </c>
      <c r="Y1186" s="35">
        <f>IF(Mecze[[#This Row],[Role]]="BR",Mecze[[#This Row],[/OB:90]]+Mecze[[#This Row],[/PC:90]],SUM(Mecze[[#This Row],[/PR:90]:[/BR:90]]))</f>
        <v>0.16666666666666666</v>
      </c>
      <c r="Z1186" s="35">
        <f>IF(Mecze[[#This Row],[KC]]=0,SUM(Mecze[[#This Row],[/BRI]:[/NPI]]),SUM(Mecze[[#This Row],[/BRI]:[/NPI]])*0.6)</f>
        <v>0.99999999999999989</v>
      </c>
      <c r="AA1186" s="10">
        <f>IFERROR(Mecze[[#This Row],[BR]]/Mecze[[#This Row],[ST]],0)</f>
        <v>0</v>
      </c>
      <c r="AB1186">
        <f>ROUND(Mecze[[#This Row],[PD]]*Mecze[[#This Row],[%PC]],0)</f>
        <v>16</v>
      </c>
      <c r="AC1186">
        <f>ROUND(Mecze[[#This Row],[OD]]*Mecze[[#This Row],[%OU]],0)</f>
        <v>0</v>
      </c>
      <c r="AD1186" s="36" t="s">
        <v>232</v>
      </c>
      <c r="AE1186" s="36">
        <v>65</v>
      </c>
      <c r="AF1186" s="71">
        <v>5.26</v>
      </c>
      <c r="AG1186" s="37">
        <v>0</v>
      </c>
      <c r="AH1186" s="37">
        <v>0</v>
      </c>
      <c r="AI1186" s="37">
        <v>96</v>
      </c>
      <c r="AJ1186" s="37">
        <v>2</v>
      </c>
      <c r="AK1186" s="37" t="str">
        <f>VLOOKUP(Mecze[[#This Row],[Match ID]],Meczusie[Mecz]:Meczusie[RodzajMeczu],2,FALSE)</f>
        <v>Liga</v>
      </c>
    </row>
    <row r="1187" spans="1:37" x14ac:dyDescent="0.25">
      <c r="A1187" s="76">
        <v>12</v>
      </c>
      <c r="B1187" s="3" t="s">
        <v>231</v>
      </c>
      <c r="C1187" s="2" t="s">
        <v>165</v>
      </c>
      <c r="D1187" s="1">
        <v>2</v>
      </c>
      <c r="E1187" s="1">
        <v>6</v>
      </c>
      <c r="F1187" s="1">
        <v>5</v>
      </c>
      <c r="G1187" s="1">
        <v>1</v>
      </c>
      <c r="H1187" s="4">
        <v>1</v>
      </c>
      <c r="I1187" s="1">
        <v>0</v>
      </c>
      <c r="J1187" s="4"/>
      <c r="K1187" s="1">
        <v>0</v>
      </c>
      <c r="L1187" s="1">
        <v>0</v>
      </c>
      <c r="M1187" s="32">
        <f>IF(Mecze[[#This Row],[PR]]=0,0,Mecze[[#This Row],[PR]]/Mecze[[#This Row],[CZAS]])</f>
        <v>0</v>
      </c>
      <c r="N1187" s="32">
        <f>IF(Mecze[[#This Row],[OU]]=0,0,Mecze[[#This Row],[OU]]/Mecze[[#This Row],[CZAS]])</f>
        <v>0</v>
      </c>
      <c r="O1187" s="32">
        <f>IF(Mecze[[#This Row],[PC]]=0,0,Mecze[[#This Row],[PC]]/Mecze[[#This Row],[CZAS]])</f>
        <v>3.125E-2</v>
      </c>
      <c r="P1187" s="32">
        <f>IF(Mecze[[#This Row],[SC]]=0,0,Mecze[[#This Row],[SC]]/Mecze[[#This Row],[CZAS]])</f>
        <v>0.15625</v>
      </c>
      <c r="Q1187" s="32">
        <f>IF(Mecze[[#This Row],[OB]]=0,0,Mecze[[#This Row],[OB]]/Mecze[[#This Row],[CZAS]])</f>
        <v>0</v>
      </c>
      <c r="R1187" s="32">
        <f>IF(Mecze[[#This Row],[BR]]=0,0,Mecze[[#This Row],[BR]]/Mecze[[#This Row],[CZAS]])</f>
        <v>6.25E-2</v>
      </c>
      <c r="S1187" s="44">
        <f>IF(Mecze[[#This Row],[Role]]="BR",SUMPRODUCT(Mecze[[#This Row],[/PR:90]:[/BR:90]],Brudnopis!$E$23:$J$23),0)</f>
        <v>0</v>
      </c>
      <c r="T1187" s="44">
        <f>IF(Mecze[[#This Row],[Role]]&lt;&gt;"BR",SUMPRODUCT(Mecze[[#This Row],[/PR:90]:[/BR:90]],Brudnopis!$E$24:$J$24),0)</f>
        <v>0.28125</v>
      </c>
      <c r="U1187" s="44">
        <f>IF(Mecze[[#This Row],[Role]]&lt;&gt;"BR",SUMPRODUCT(Mecze[[#This Row],[/PR:90]:[/BR:90]],Brudnopis!$E$25:$J$25),0)</f>
        <v>0.296875</v>
      </c>
      <c r="V1187" s="44">
        <f>IF(Mecze[[#This Row],[Role]]&lt;&gt;"BR",SUMPRODUCT(Mecze[[#This Row],[/PR:90]:[/BR:90]],Brudnopis!$E$26:$J$26),0)</f>
        <v>0.3125</v>
      </c>
      <c r="W1187" s="44">
        <f>IF(Mecze[[#This Row],[Role]]&lt;&gt;"BR",SUMPRODUCT(Mecze[[#This Row],[/PR:90]:[/BR:90]],Brudnopis!$E$27:$J$27),0)</f>
        <v>0.328125</v>
      </c>
      <c r="X1187" s="44">
        <f>IF(Mecze[[#This Row],[Role]]&lt;&gt;"BR",SUMPRODUCT(Mecze[[#This Row],[/PR:90]:[/BR:90]],Brudnopis!$E$28:$J$28),0)</f>
        <v>0.53125</v>
      </c>
      <c r="Y1187" s="35">
        <f>IF(Mecze[[#This Row],[Role]]="BR",Mecze[[#This Row],[/OB:90]]+Mecze[[#This Row],[/PC:90]],SUM(Mecze[[#This Row],[/PR:90]:[/BR:90]]))</f>
        <v>0.25</v>
      </c>
      <c r="Z1187" s="35">
        <f>IF(Mecze[[#This Row],[KC]]=0,SUM(Mecze[[#This Row],[/BRI]:[/NPI]]),SUM(Mecze[[#This Row],[/BRI]:[/NPI]])*0.6)</f>
        <v>1.75</v>
      </c>
      <c r="AA1187" s="10">
        <f>IFERROR(Mecze[[#This Row],[BR]]/Mecze[[#This Row],[ST]],0)</f>
        <v>0.33333333333333331</v>
      </c>
      <c r="AB1187">
        <f>ROUND(Mecze[[#This Row],[PD]]*Mecze[[#This Row],[%PC]],0)</f>
        <v>1</v>
      </c>
      <c r="AC1187">
        <f>ROUND(Mecze[[#This Row],[OD]]*Mecze[[#This Row],[%OU]],0)</f>
        <v>0</v>
      </c>
      <c r="AD1187" s="36" t="s">
        <v>46</v>
      </c>
      <c r="AE1187" s="36">
        <v>65</v>
      </c>
      <c r="AF1187" s="71">
        <v>7.42</v>
      </c>
      <c r="AG1187" s="37">
        <v>0</v>
      </c>
      <c r="AH1187" s="37">
        <v>0</v>
      </c>
      <c r="AI1187" s="37">
        <v>32</v>
      </c>
      <c r="AJ1187" s="37">
        <v>2</v>
      </c>
      <c r="AK1187" s="37" t="str">
        <f>VLOOKUP(Mecze[[#This Row],[Match ID]],Meczusie[Mecz]:Meczusie[RodzajMeczu],2,FALSE)</f>
        <v>Liga</v>
      </c>
    </row>
    <row r="1188" spans="1:37" x14ac:dyDescent="0.25">
      <c r="A1188" s="76">
        <v>110</v>
      </c>
      <c r="B1188" s="3" t="s">
        <v>333</v>
      </c>
      <c r="C1188" s="2" t="s">
        <v>155</v>
      </c>
      <c r="D1188" s="1">
        <v>0</v>
      </c>
      <c r="E1188" s="1">
        <v>0</v>
      </c>
      <c r="F1188" s="1">
        <v>0</v>
      </c>
      <c r="G1188" s="1">
        <v>14</v>
      </c>
      <c r="H1188" s="4">
        <v>0.28999999999999998</v>
      </c>
      <c r="I1188" s="1">
        <v>0</v>
      </c>
      <c r="J1188" s="4"/>
      <c r="K1188" s="1">
        <v>14</v>
      </c>
      <c r="L1188" s="1">
        <v>0</v>
      </c>
      <c r="M1188" s="32">
        <f>IF(Mecze[[#This Row],[PR]]=0,0,Mecze[[#This Row],[PR]]/Mecze[[#This Row],[CZAS]])</f>
        <v>0</v>
      </c>
      <c r="N1188" s="32">
        <f>IF(Mecze[[#This Row],[OU]]=0,0,Mecze[[#This Row],[OU]]/Mecze[[#This Row],[CZAS]])</f>
        <v>0</v>
      </c>
      <c r="O1188" s="32">
        <f>IF(Mecze[[#This Row],[PC]]=0,0,Mecze[[#This Row],[PC]]/Mecze[[#This Row],[CZAS]])</f>
        <v>4.1666666666666664E-2</v>
      </c>
      <c r="P1188" s="32">
        <f>IF(Mecze[[#This Row],[SC]]=0,0,Mecze[[#This Row],[SC]]/Mecze[[#This Row],[CZAS]])</f>
        <v>0</v>
      </c>
      <c r="Q1188" s="32">
        <f>IF(Mecze[[#This Row],[OB]]=0,0,Mecze[[#This Row],[OB]]/Mecze[[#This Row],[CZAS]])</f>
        <v>0.14583333333333334</v>
      </c>
      <c r="R1188" s="32">
        <f>IF(Mecze[[#This Row],[BR]]=0,0,Mecze[[#This Row],[BR]]/Mecze[[#This Row],[CZAS]])</f>
        <v>0</v>
      </c>
      <c r="S1188" s="44">
        <f>IF(Mecze[[#This Row],[Role]]="BR",SUMPRODUCT(Mecze[[#This Row],[/PR:90]:[/BR:90]],Brudnopis!$E$23:$J$23),0)</f>
        <v>0.5625</v>
      </c>
      <c r="T1188" s="44">
        <f>IF(Mecze[[#This Row],[Role]]&lt;&gt;"BR",SUMPRODUCT(Mecze[[#This Row],[/PR:90]:[/BR:90]],Brudnopis!$E$24:$J$24),0)</f>
        <v>0</v>
      </c>
      <c r="U1188" s="44">
        <f>IF(Mecze[[#This Row],[Role]]&lt;&gt;"BR",SUMPRODUCT(Mecze[[#This Row],[/PR:90]:[/BR:90]],Brudnopis!$E$25:$J$25),0)</f>
        <v>0</v>
      </c>
      <c r="V1188" s="44">
        <f>IF(Mecze[[#This Row],[Role]]&lt;&gt;"BR",SUMPRODUCT(Mecze[[#This Row],[/PR:90]:[/BR:90]],Brudnopis!$E$26:$J$26),0)</f>
        <v>0</v>
      </c>
      <c r="W1188" s="44">
        <f>IF(Mecze[[#This Row],[Role]]&lt;&gt;"BR",SUMPRODUCT(Mecze[[#This Row],[/PR:90]:[/BR:90]],Brudnopis!$E$27:$J$27),0)</f>
        <v>0</v>
      </c>
      <c r="X1188" s="44">
        <f>IF(Mecze[[#This Row],[Role]]&lt;&gt;"BR",SUMPRODUCT(Mecze[[#This Row],[/PR:90]:[/BR:90]],Brudnopis!$E$28:$J$28),0)</f>
        <v>0</v>
      </c>
      <c r="Y1188" s="35">
        <f>IF(Mecze[[#This Row],[Role]]="BR",Mecze[[#This Row],[/OB:90]]+Mecze[[#This Row],[/PC:90]],SUM(Mecze[[#This Row],[/PR:90]:[/BR:90]]))</f>
        <v>0.1875</v>
      </c>
      <c r="Z1188" s="35">
        <f>IF(Mecze[[#This Row],[KC]]=0,SUM(Mecze[[#This Row],[/BRI]:[/NPI]]),SUM(Mecze[[#This Row],[/BRI]:[/NPI]])*0.6)</f>
        <v>0.5625</v>
      </c>
      <c r="AA1188" s="10">
        <f>IFERROR(Mecze[[#This Row],[BR]]/Mecze[[#This Row],[ST]],0)</f>
        <v>0</v>
      </c>
      <c r="AB1188">
        <f>ROUND(Mecze[[#This Row],[PD]]*Mecze[[#This Row],[%PC]],0)</f>
        <v>4</v>
      </c>
      <c r="AC1188">
        <f>ROUND(Mecze[[#This Row],[OD]]*Mecze[[#This Row],[%OU]],0)</f>
        <v>0</v>
      </c>
      <c r="AD1188" s="36" t="s">
        <v>40</v>
      </c>
      <c r="AE1188" s="36">
        <v>66</v>
      </c>
      <c r="AF1188" s="71">
        <v>6.49</v>
      </c>
      <c r="AG1188" s="37">
        <v>0</v>
      </c>
      <c r="AH1188" s="37">
        <v>0</v>
      </c>
      <c r="AI1188" s="37">
        <v>96</v>
      </c>
      <c r="AJ1188" s="37">
        <v>7</v>
      </c>
      <c r="AK1188" s="37" t="str">
        <f>VLOOKUP(Mecze[[#This Row],[Match ID]],Meczusie[Mecz]:Meczusie[RodzajMeczu],2,FALSE)</f>
        <v>Liga</v>
      </c>
    </row>
    <row r="1189" spans="1:37" x14ac:dyDescent="0.25">
      <c r="A1189" s="76">
        <v>204</v>
      </c>
      <c r="B1189" s="3" t="s">
        <v>334</v>
      </c>
      <c r="C1189" s="2" t="s">
        <v>157</v>
      </c>
      <c r="D1189" s="1">
        <v>0</v>
      </c>
      <c r="E1189" s="1">
        <v>0</v>
      </c>
      <c r="F1189" s="1">
        <v>0</v>
      </c>
      <c r="G1189" s="1">
        <v>9</v>
      </c>
      <c r="H1189" s="4">
        <v>0.67</v>
      </c>
      <c r="I1189" s="1">
        <v>11</v>
      </c>
      <c r="J1189" s="4">
        <v>0.09</v>
      </c>
      <c r="K1189" s="1">
        <v>0</v>
      </c>
      <c r="L1189" s="1">
        <v>5</v>
      </c>
      <c r="M1189" s="32">
        <f>IF(Mecze[[#This Row],[PR]]=0,0,Mecze[[#This Row],[PR]]/Mecze[[#This Row],[CZAS]])</f>
        <v>5.2083333333333336E-2</v>
      </c>
      <c r="N1189" s="32">
        <f>IF(Mecze[[#This Row],[OU]]=0,0,Mecze[[#This Row],[OU]]/Mecze[[#This Row],[CZAS]])</f>
        <v>1.0416666666666666E-2</v>
      </c>
      <c r="O1189" s="32">
        <f>IF(Mecze[[#This Row],[PC]]=0,0,Mecze[[#This Row],[PC]]/Mecze[[#This Row],[CZAS]])</f>
        <v>6.25E-2</v>
      </c>
      <c r="P1189" s="32">
        <f>IF(Mecze[[#This Row],[SC]]=0,0,Mecze[[#This Row],[SC]]/Mecze[[#This Row],[CZAS]])</f>
        <v>0</v>
      </c>
      <c r="Q1189" s="32">
        <f>IF(Mecze[[#This Row],[OB]]=0,0,Mecze[[#This Row],[OB]]/Mecze[[#This Row],[CZAS]])</f>
        <v>0</v>
      </c>
      <c r="R1189" s="32">
        <f>IF(Mecze[[#This Row],[BR]]=0,0,Mecze[[#This Row],[BR]]/Mecze[[#This Row],[CZAS]])</f>
        <v>0</v>
      </c>
      <c r="S1189" s="44">
        <f>IF(Mecze[[#This Row],[Role]]="BR",SUMPRODUCT(Mecze[[#This Row],[/PR:90]:[/BR:90]],Brudnopis!$E$23:$J$23),0)</f>
        <v>0</v>
      </c>
      <c r="T1189" s="44">
        <f>IF(Mecze[[#This Row],[Role]]&lt;&gt;"BR",SUMPRODUCT(Mecze[[#This Row],[/PR:90]:[/BR:90]],Brudnopis!$E$24:$J$24),0)</f>
        <v>0.13020833333333334</v>
      </c>
      <c r="U1189" s="44">
        <f>IF(Mecze[[#This Row],[Role]]&lt;&gt;"BR",SUMPRODUCT(Mecze[[#This Row],[/PR:90]:[/BR:90]],Brudnopis!$E$25:$J$25),0)</f>
        <v>0.15625</v>
      </c>
      <c r="V1189" s="44">
        <f>IF(Mecze[[#This Row],[Role]]&lt;&gt;"BR",SUMPRODUCT(Mecze[[#This Row],[/PR:90]:[/BR:90]],Brudnopis!$E$26:$J$26),0)</f>
        <v>0.125</v>
      </c>
      <c r="W1189" s="44">
        <f>IF(Mecze[[#This Row],[Role]]&lt;&gt;"BR",SUMPRODUCT(Mecze[[#This Row],[/PR:90]:[/BR:90]],Brudnopis!$E$27:$J$27),0)</f>
        <v>0.140625</v>
      </c>
      <c r="X1189" s="44">
        <f>IF(Mecze[[#This Row],[Role]]&lt;&gt;"BR",SUMPRODUCT(Mecze[[#This Row],[/PR:90]:[/BR:90]],Brudnopis!$E$28:$J$28),0)</f>
        <v>6.25E-2</v>
      </c>
      <c r="Y1189" s="35">
        <f>IF(Mecze[[#This Row],[Role]]="BR",Mecze[[#This Row],[/OB:90]]+Mecze[[#This Row],[/PC:90]],SUM(Mecze[[#This Row],[/PR:90]:[/BR:90]]))</f>
        <v>0.125</v>
      </c>
      <c r="Z1189" s="35">
        <f>IF(Mecze[[#This Row],[KC]]=0,SUM(Mecze[[#This Row],[/BRI]:[/NPI]]),SUM(Mecze[[#This Row],[/BRI]:[/NPI]])*0.6)</f>
        <v>0.61458333333333337</v>
      </c>
      <c r="AA1189" s="10">
        <f>IFERROR(Mecze[[#This Row],[BR]]/Mecze[[#This Row],[ST]],0)</f>
        <v>0</v>
      </c>
      <c r="AB1189">
        <f>ROUND(Mecze[[#This Row],[PD]]*Mecze[[#This Row],[%PC]],0)</f>
        <v>6</v>
      </c>
      <c r="AC1189">
        <f>ROUND(Mecze[[#This Row],[OD]]*Mecze[[#This Row],[%OU]],0)</f>
        <v>1</v>
      </c>
      <c r="AD1189" s="36" t="s">
        <v>47</v>
      </c>
      <c r="AE1189" s="36">
        <v>66</v>
      </c>
      <c r="AF1189" s="71">
        <v>2.64</v>
      </c>
      <c r="AG1189" s="37">
        <v>0</v>
      </c>
      <c r="AH1189" s="37">
        <v>0</v>
      </c>
      <c r="AI1189" s="37">
        <v>96</v>
      </c>
      <c r="AJ1189" s="37">
        <v>7</v>
      </c>
      <c r="AK1189" s="37" t="str">
        <f>VLOOKUP(Mecze[[#This Row],[Match ID]],Meczusie[Mecz]:Meczusie[RodzajMeczu],2,FALSE)</f>
        <v>Liga</v>
      </c>
    </row>
    <row r="1190" spans="1:37" x14ac:dyDescent="0.25">
      <c r="A1190" s="76">
        <v>159</v>
      </c>
      <c r="B1190" s="3" t="s">
        <v>338</v>
      </c>
      <c r="C1190" s="2" t="s">
        <v>157</v>
      </c>
      <c r="D1190" s="1">
        <v>0</v>
      </c>
      <c r="E1190" s="1">
        <v>0</v>
      </c>
      <c r="F1190" s="1">
        <v>0</v>
      </c>
      <c r="G1190" s="1">
        <v>2</v>
      </c>
      <c r="H1190" s="4">
        <v>0.5</v>
      </c>
      <c r="I1190" s="1">
        <v>7</v>
      </c>
      <c r="J1190" s="4">
        <v>0.56999999999999995</v>
      </c>
      <c r="K1190" s="1">
        <v>0</v>
      </c>
      <c r="L1190" s="1">
        <v>2</v>
      </c>
      <c r="M1190" s="32">
        <f>IF(Mecze[[#This Row],[PR]]=0,0,Mecze[[#This Row],[PR]]/Mecze[[#This Row],[CZAS]])</f>
        <v>2.0833333333333332E-2</v>
      </c>
      <c r="N1190" s="32">
        <f>IF(Mecze[[#This Row],[OU]]=0,0,Mecze[[#This Row],[OU]]/Mecze[[#This Row],[CZAS]])</f>
        <v>4.1666666666666664E-2</v>
      </c>
      <c r="O1190" s="32">
        <f>IF(Mecze[[#This Row],[PC]]=0,0,Mecze[[#This Row],[PC]]/Mecze[[#This Row],[CZAS]])</f>
        <v>1.0416666666666666E-2</v>
      </c>
      <c r="P1190" s="32">
        <f>IF(Mecze[[#This Row],[SC]]=0,0,Mecze[[#This Row],[SC]]/Mecze[[#This Row],[CZAS]])</f>
        <v>0</v>
      </c>
      <c r="Q1190" s="32">
        <f>IF(Mecze[[#This Row],[OB]]=0,0,Mecze[[#This Row],[OB]]/Mecze[[#This Row],[CZAS]])</f>
        <v>0</v>
      </c>
      <c r="R1190" s="32">
        <f>IF(Mecze[[#This Row],[BR]]=0,0,Mecze[[#This Row],[BR]]/Mecze[[#This Row],[CZAS]])</f>
        <v>0</v>
      </c>
      <c r="S1190" s="44">
        <f>IF(Mecze[[#This Row],[Role]]="BR",SUMPRODUCT(Mecze[[#This Row],[/PR:90]:[/BR:90]],Brudnopis!$E$23:$J$23),0)</f>
        <v>0</v>
      </c>
      <c r="T1190" s="44">
        <f>IF(Mecze[[#This Row],[Role]]&lt;&gt;"BR",SUMPRODUCT(Mecze[[#This Row],[/PR:90]:[/BR:90]],Brudnopis!$E$24:$J$24),0)</f>
        <v>9.375E-2</v>
      </c>
      <c r="U1190" s="44">
        <f>IF(Mecze[[#This Row],[Role]]&lt;&gt;"BR",SUMPRODUCT(Mecze[[#This Row],[/PR:90]:[/BR:90]],Brudnopis!$E$25:$J$25),0)</f>
        <v>7.8125E-2</v>
      </c>
      <c r="V1190" s="44">
        <f>IF(Mecze[[#This Row],[Role]]&lt;&gt;"BR",SUMPRODUCT(Mecze[[#This Row],[/PR:90]:[/BR:90]],Brudnopis!$E$26:$J$26),0)</f>
        <v>7.2916666666666671E-2</v>
      </c>
      <c r="W1190" s="44">
        <f>IF(Mecze[[#This Row],[Role]]&lt;&gt;"BR",SUMPRODUCT(Mecze[[#This Row],[/PR:90]:[/BR:90]],Brudnopis!$E$27:$J$27),0)</f>
        <v>6.25E-2</v>
      </c>
      <c r="X1190" s="44">
        <f>IF(Mecze[[#This Row],[Role]]&lt;&gt;"BR",SUMPRODUCT(Mecze[[#This Row],[/PR:90]:[/BR:90]],Brudnopis!$E$28:$J$28),0)</f>
        <v>1.0416666666666666E-2</v>
      </c>
      <c r="Y1190" s="35">
        <f>IF(Mecze[[#This Row],[Role]]="BR",Mecze[[#This Row],[/OB:90]]+Mecze[[#This Row],[/PC:90]],SUM(Mecze[[#This Row],[/PR:90]:[/BR:90]]))</f>
        <v>7.2916666666666671E-2</v>
      </c>
      <c r="Z1190" s="35">
        <f>IF(Mecze[[#This Row],[KC]]=0,SUM(Mecze[[#This Row],[/BRI]:[/NPI]]),SUM(Mecze[[#This Row],[/BRI]:[/NPI]])*0.6)</f>
        <v>0.31770833333333337</v>
      </c>
      <c r="AA1190" s="10">
        <f>IFERROR(Mecze[[#This Row],[BR]]/Mecze[[#This Row],[ST]],0)</f>
        <v>0</v>
      </c>
      <c r="AB1190">
        <f>ROUND(Mecze[[#This Row],[PD]]*Mecze[[#This Row],[%PC]],0)</f>
        <v>1</v>
      </c>
      <c r="AC1190">
        <f>ROUND(Mecze[[#This Row],[OD]]*Mecze[[#This Row],[%OU]],0)</f>
        <v>4</v>
      </c>
      <c r="AD1190" s="36" t="s">
        <v>168</v>
      </c>
      <c r="AE1190" s="36">
        <v>66</v>
      </c>
      <c r="AF1190" s="71">
        <v>3.13</v>
      </c>
      <c r="AG1190" s="37">
        <v>0</v>
      </c>
      <c r="AH1190" s="37">
        <v>0</v>
      </c>
      <c r="AI1190" s="37">
        <v>96</v>
      </c>
      <c r="AJ1190" s="37">
        <v>7</v>
      </c>
      <c r="AK1190" s="37" t="str">
        <f>VLOOKUP(Mecze[[#This Row],[Match ID]],Meczusie[Mecz]:Meczusie[RodzajMeczu],2,FALSE)</f>
        <v>Liga</v>
      </c>
    </row>
    <row r="1191" spans="1:37" x14ac:dyDescent="0.25">
      <c r="A1191" s="76">
        <v>150</v>
      </c>
      <c r="B1191" s="3" t="s">
        <v>335</v>
      </c>
      <c r="C1191" s="2" t="s">
        <v>157</v>
      </c>
      <c r="D1191" s="1">
        <v>0</v>
      </c>
      <c r="E1191" s="1">
        <v>0</v>
      </c>
      <c r="F1191" s="1">
        <v>0</v>
      </c>
      <c r="G1191" s="1">
        <v>4</v>
      </c>
      <c r="H1191" s="4">
        <v>0.75</v>
      </c>
      <c r="I1191" s="1">
        <v>3</v>
      </c>
      <c r="J1191" s="4">
        <v>0</v>
      </c>
      <c r="K1191" s="1">
        <v>0</v>
      </c>
      <c r="L1191" s="1">
        <v>4</v>
      </c>
      <c r="M1191" s="32">
        <f>IF(Mecze[[#This Row],[PR]]=0,0,Mecze[[#This Row],[PR]]/Mecze[[#This Row],[CZAS]])</f>
        <v>4.1666666666666664E-2</v>
      </c>
      <c r="N1191" s="32">
        <f>IF(Mecze[[#This Row],[OU]]=0,0,Mecze[[#This Row],[OU]]/Mecze[[#This Row],[CZAS]])</f>
        <v>0</v>
      </c>
      <c r="O1191" s="32">
        <f>IF(Mecze[[#This Row],[PC]]=0,0,Mecze[[#This Row],[PC]]/Mecze[[#This Row],[CZAS]])</f>
        <v>3.125E-2</v>
      </c>
      <c r="P1191" s="32">
        <f>IF(Mecze[[#This Row],[SC]]=0,0,Mecze[[#This Row],[SC]]/Mecze[[#This Row],[CZAS]])</f>
        <v>0</v>
      </c>
      <c r="Q1191" s="32">
        <f>IF(Mecze[[#This Row],[OB]]=0,0,Mecze[[#This Row],[OB]]/Mecze[[#This Row],[CZAS]])</f>
        <v>0</v>
      </c>
      <c r="R1191" s="32">
        <f>IF(Mecze[[#This Row],[BR]]=0,0,Mecze[[#This Row],[BR]]/Mecze[[#This Row],[CZAS]])</f>
        <v>0</v>
      </c>
      <c r="S1191" s="44">
        <f>IF(Mecze[[#This Row],[Role]]="BR",SUMPRODUCT(Mecze[[#This Row],[/PR:90]:[/BR:90]],Brudnopis!$E$23:$J$23),0)</f>
        <v>0</v>
      </c>
      <c r="T1191" s="44">
        <f>IF(Mecze[[#This Row],[Role]]&lt;&gt;"BR",SUMPRODUCT(Mecze[[#This Row],[/PR:90]:[/BR:90]],Brudnopis!$E$24:$J$24),0)</f>
        <v>7.2916666666666657E-2</v>
      </c>
      <c r="U1191" s="44">
        <f>IF(Mecze[[#This Row],[Role]]&lt;&gt;"BR",SUMPRODUCT(Mecze[[#This Row],[/PR:90]:[/BR:90]],Brudnopis!$E$25:$J$25),0)</f>
        <v>8.8541666666666657E-2</v>
      </c>
      <c r="V1191" s="44">
        <f>IF(Mecze[[#This Row],[Role]]&lt;&gt;"BR",SUMPRODUCT(Mecze[[#This Row],[/PR:90]:[/BR:90]],Brudnopis!$E$26:$J$26),0)</f>
        <v>7.2916666666666657E-2</v>
      </c>
      <c r="W1191" s="44">
        <f>IF(Mecze[[#This Row],[Role]]&lt;&gt;"BR",SUMPRODUCT(Mecze[[#This Row],[/PR:90]:[/BR:90]],Brudnopis!$E$27:$J$27),0)</f>
        <v>7.8125E-2</v>
      </c>
      <c r="X1191" s="44">
        <f>IF(Mecze[[#This Row],[Role]]&lt;&gt;"BR",SUMPRODUCT(Mecze[[#This Row],[/PR:90]:[/BR:90]],Brudnopis!$E$28:$J$28),0)</f>
        <v>3.125E-2</v>
      </c>
      <c r="Y1191" s="35">
        <f>IF(Mecze[[#This Row],[Role]]="BR",Mecze[[#This Row],[/OB:90]]+Mecze[[#This Row],[/PC:90]],SUM(Mecze[[#This Row],[/PR:90]:[/BR:90]]))</f>
        <v>7.2916666666666657E-2</v>
      </c>
      <c r="Z1191" s="35">
        <f>IF(Mecze[[#This Row],[KC]]=0,SUM(Mecze[[#This Row],[/BRI]:[/NPI]]),SUM(Mecze[[#This Row],[/BRI]:[/NPI]])*0.6)</f>
        <v>0.34375</v>
      </c>
      <c r="AA1191" s="10">
        <f>IFERROR(Mecze[[#This Row],[BR]]/Mecze[[#This Row],[ST]],0)</f>
        <v>0</v>
      </c>
      <c r="AB1191">
        <f>ROUND(Mecze[[#This Row],[PD]]*Mecze[[#This Row],[%PC]],0)</f>
        <v>3</v>
      </c>
      <c r="AC1191">
        <f>ROUND(Mecze[[#This Row],[OD]]*Mecze[[#This Row],[%OU]],0)</f>
        <v>0</v>
      </c>
      <c r="AD1191" s="36" t="s">
        <v>167</v>
      </c>
      <c r="AE1191" s="36">
        <v>66</v>
      </c>
      <c r="AF1191" s="71">
        <v>2.4300000000000002</v>
      </c>
      <c r="AG1191" s="37">
        <v>0</v>
      </c>
      <c r="AH1191" s="37">
        <v>0</v>
      </c>
      <c r="AI1191" s="37">
        <v>96</v>
      </c>
      <c r="AJ1191" s="37">
        <v>7</v>
      </c>
      <c r="AK1191" s="37" t="str">
        <f>VLOOKUP(Mecze[[#This Row],[Match ID]],Meczusie[Mecz]:Meczusie[RodzajMeczu],2,FALSE)</f>
        <v>Liga</v>
      </c>
    </row>
    <row r="1192" spans="1:37" x14ac:dyDescent="0.25">
      <c r="A1192" s="76">
        <v>153</v>
      </c>
      <c r="B1192" s="3" t="s">
        <v>432</v>
      </c>
      <c r="C1192" s="2" t="s">
        <v>160</v>
      </c>
      <c r="D1192" s="1">
        <v>0</v>
      </c>
      <c r="E1192" s="1">
        <v>0</v>
      </c>
      <c r="F1192" s="1">
        <v>0</v>
      </c>
      <c r="G1192" s="1">
        <v>7</v>
      </c>
      <c r="H1192" s="4">
        <v>0.43</v>
      </c>
      <c r="I1192" s="1">
        <v>10</v>
      </c>
      <c r="J1192" s="4">
        <v>0.3</v>
      </c>
      <c r="K1192" s="1">
        <v>0</v>
      </c>
      <c r="L1192" s="1">
        <v>4</v>
      </c>
      <c r="M1192" s="32">
        <f>IF(Mecze[[#This Row],[PR]]=0,0,Mecze[[#This Row],[PR]]/Mecze[[#This Row],[CZAS]])</f>
        <v>4.1666666666666664E-2</v>
      </c>
      <c r="N1192" s="32">
        <f>IF(Mecze[[#This Row],[OU]]=0,0,Mecze[[#This Row],[OU]]/Mecze[[#This Row],[CZAS]])</f>
        <v>3.125E-2</v>
      </c>
      <c r="O1192" s="32">
        <f>IF(Mecze[[#This Row],[PC]]=0,0,Mecze[[#This Row],[PC]]/Mecze[[#This Row],[CZAS]])</f>
        <v>3.125E-2</v>
      </c>
      <c r="P1192" s="32">
        <f>IF(Mecze[[#This Row],[SC]]=0,0,Mecze[[#This Row],[SC]]/Mecze[[#This Row],[CZAS]])</f>
        <v>0</v>
      </c>
      <c r="Q1192" s="32">
        <f>IF(Mecze[[#This Row],[OB]]=0,0,Mecze[[#This Row],[OB]]/Mecze[[#This Row],[CZAS]])</f>
        <v>0</v>
      </c>
      <c r="R1192" s="32">
        <f>IF(Mecze[[#This Row],[BR]]=0,0,Mecze[[#This Row],[BR]]/Mecze[[#This Row],[CZAS]])</f>
        <v>0</v>
      </c>
      <c r="S1192" s="44">
        <f>IF(Mecze[[#This Row],[Role]]="BR",SUMPRODUCT(Mecze[[#This Row],[/PR:90]:[/BR:90]],Brudnopis!$E$23:$J$23),0)</f>
        <v>0</v>
      </c>
      <c r="T1192" s="44">
        <f>IF(Mecze[[#This Row],[Role]]&lt;&gt;"BR",SUMPRODUCT(Mecze[[#This Row],[/PR:90]:[/BR:90]],Brudnopis!$E$24:$J$24),0)</f>
        <v>0.11979166666666666</v>
      </c>
      <c r="U1192" s="44">
        <f>IF(Mecze[[#This Row],[Role]]&lt;&gt;"BR",SUMPRODUCT(Mecze[[#This Row],[/PR:90]:[/BR:90]],Brudnopis!$E$25:$J$25),0)</f>
        <v>0.11979166666666666</v>
      </c>
      <c r="V1192" s="44">
        <f>IF(Mecze[[#This Row],[Role]]&lt;&gt;"BR",SUMPRODUCT(Mecze[[#This Row],[/PR:90]:[/BR:90]],Brudnopis!$E$26:$J$26),0)</f>
        <v>0.10416666666666666</v>
      </c>
      <c r="W1192" s="44">
        <f>IF(Mecze[[#This Row],[Role]]&lt;&gt;"BR",SUMPRODUCT(Mecze[[#This Row],[/PR:90]:[/BR:90]],Brudnopis!$E$27:$J$27),0)</f>
        <v>0.1015625</v>
      </c>
      <c r="X1192" s="44">
        <f>IF(Mecze[[#This Row],[Role]]&lt;&gt;"BR",SUMPRODUCT(Mecze[[#This Row],[/PR:90]:[/BR:90]],Brudnopis!$E$28:$J$28),0)</f>
        <v>3.125E-2</v>
      </c>
      <c r="Y1192" s="35">
        <f>IF(Mecze[[#This Row],[Role]]="BR",Mecze[[#This Row],[/OB:90]]+Mecze[[#This Row],[/PC:90]],SUM(Mecze[[#This Row],[/PR:90]:[/BR:90]]))</f>
        <v>0.10416666666666666</v>
      </c>
      <c r="Z1192" s="35">
        <f>IF(Mecze[[#This Row],[KC]]=0,SUM(Mecze[[#This Row],[/BRI]:[/NPI]]),SUM(Mecze[[#This Row],[/BRI]:[/NPI]])*0.6)</f>
        <v>0.4765625</v>
      </c>
      <c r="AA1192" s="10">
        <f>IFERROR(Mecze[[#This Row],[BR]]/Mecze[[#This Row],[ST]],0)</f>
        <v>0</v>
      </c>
      <c r="AB1192">
        <f>ROUND(Mecze[[#This Row],[PD]]*Mecze[[#This Row],[%PC]],0)</f>
        <v>3</v>
      </c>
      <c r="AC1192">
        <f>ROUND(Mecze[[#This Row],[OD]]*Mecze[[#This Row],[%OU]],0)</f>
        <v>3</v>
      </c>
      <c r="AD1192" s="36" t="s">
        <v>41</v>
      </c>
      <c r="AE1192" s="36">
        <v>66</v>
      </c>
      <c r="AF1192" s="71">
        <v>3.54</v>
      </c>
      <c r="AG1192" s="37">
        <v>0</v>
      </c>
      <c r="AH1192" s="37">
        <v>0</v>
      </c>
      <c r="AI1192" s="37">
        <v>96</v>
      </c>
      <c r="AJ1192" s="37">
        <v>7</v>
      </c>
      <c r="AK1192" s="37" t="str">
        <f>VLOOKUP(Mecze[[#This Row],[Match ID]],Meczusie[Mecz]:Meczusie[RodzajMeczu],2,FALSE)</f>
        <v>Liga</v>
      </c>
    </row>
    <row r="1193" spans="1:37" x14ac:dyDescent="0.25">
      <c r="A1193" s="76">
        <v>161</v>
      </c>
      <c r="B1193" s="3" t="s">
        <v>418</v>
      </c>
      <c r="C1193" s="2" t="s">
        <v>160</v>
      </c>
      <c r="D1193" s="1">
        <v>0</v>
      </c>
      <c r="E1193" s="1">
        <v>0</v>
      </c>
      <c r="F1193" s="1">
        <v>0</v>
      </c>
      <c r="G1193" s="1">
        <v>14</v>
      </c>
      <c r="H1193" s="4">
        <v>0.56999999999999995</v>
      </c>
      <c r="I1193" s="1">
        <v>15</v>
      </c>
      <c r="J1193" s="4">
        <v>0.47</v>
      </c>
      <c r="K1193" s="1">
        <v>0</v>
      </c>
      <c r="L1193" s="1">
        <v>4</v>
      </c>
      <c r="M1193" s="32">
        <f>IF(Mecze[[#This Row],[PR]]=0,0,Mecze[[#This Row],[PR]]/Mecze[[#This Row],[CZAS]])</f>
        <v>4.1666666666666664E-2</v>
      </c>
      <c r="N1193" s="32">
        <f>IF(Mecze[[#This Row],[OU]]=0,0,Mecze[[#This Row],[OU]]/Mecze[[#This Row],[CZAS]])</f>
        <v>7.2916666666666671E-2</v>
      </c>
      <c r="O1193" s="32">
        <f>IF(Mecze[[#This Row],[PC]]=0,0,Mecze[[#This Row],[PC]]/Mecze[[#This Row],[CZAS]])</f>
        <v>8.3333333333333329E-2</v>
      </c>
      <c r="P1193" s="32">
        <f>IF(Mecze[[#This Row],[SC]]=0,0,Mecze[[#This Row],[SC]]/Mecze[[#This Row],[CZAS]])</f>
        <v>0</v>
      </c>
      <c r="Q1193" s="32">
        <f>IF(Mecze[[#This Row],[OB]]=0,0,Mecze[[#This Row],[OB]]/Mecze[[#This Row],[CZAS]])</f>
        <v>0</v>
      </c>
      <c r="R1193" s="32">
        <f>IF(Mecze[[#This Row],[BR]]=0,0,Mecze[[#This Row],[BR]]/Mecze[[#This Row],[CZAS]])</f>
        <v>0</v>
      </c>
      <c r="S1193" s="44">
        <f>IF(Mecze[[#This Row],[Role]]="BR",SUMPRODUCT(Mecze[[#This Row],[/PR:90]:[/BR:90]],Brudnopis!$E$23:$J$23),0)</f>
        <v>0</v>
      </c>
      <c r="T1193" s="44">
        <f>IF(Mecze[[#This Row],[Role]]&lt;&gt;"BR",SUMPRODUCT(Mecze[[#This Row],[/PR:90]:[/BR:90]],Brudnopis!$E$24:$J$24),0)</f>
        <v>0.234375</v>
      </c>
      <c r="U1193" s="44">
        <f>IF(Mecze[[#This Row],[Role]]&lt;&gt;"BR",SUMPRODUCT(Mecze[[#This Row],[/PR:90]:[/BR:90]],Brudnopis!$E$25:$J$25),0)</f>
        <v>0.23958333333333334</v>
      </c>
      <c r="V1193" s="44">
        <f>IF(Mecze[[#This Row],[Role]]&lt;&gt;"BR",SUMPRODUCT(Mecze[[#This Row],[/PR:90]:[/BR:90]],Brudnopis!$E$26:$J$26),0)</f>
        <v>0.19791666666666669</v>
      </c>
      <c r="W1193" s="44">
        <f>IF(Mecze[[#This Row],[Role]]&lt;&gt;"BR",SUMPRODUCT(Mecze[[#This Row],[/PR:90]:[/BR:90]],Brudnopis!$E$27:$J$27),0)</f>
        <v>0.2109375</v>
      </c>
      <c r="X1193" s="44">
        <f>IF(Mecze[[#This Row],[Role]]&lt;&gt;"BR",SUMPRODUCT(Mecze[[#This Row],[/PR:90]:[/BR:90]],Brudnopis!$E$28:$J$28),0)</f>
        <v>8.3333333333333329E-2</v>
      </c>
      <c r="Y1193" s="35">
        <f>IF(Mecze[[#This Row],[Role]]="BR",Mecze[[#This Row],[/OB:90]]+Mecze[[#This Row],[/PC:90]],SUM(Mecze[[#This Row],[/PR:90]:[/BR:90]]))</f>
        <v>0.19791666666666669</v>
      </c>
      <c r="Z1193" s="35">
        <f>IF(Mecze[[#This Row],[KC]]=0,SUM(Mecze[[#This Row],[/BRI]:[/NPI]]),SUM(Mecze[[#This Row],[/BRI]:[/NPI]])*0.6)</f>
        <v>0.96614583333333337</v>
      </c>
      <c r="AA1193" s="10">
        <f>IFERROR(Mecze[[#This Row],[BR]]/Mecze[[#This Row],[ST]],0)</f>
        <v>0</v>
      </c>
      <c r="AB1193">
        <f>ROUND(Mecze[[#This Row],[PD]]*Mecze[[#This Row],[%PC]],0)</f>
        <v>8</v>
      </c>
      <c r="AC1193">
        <f>ROUND(Mecze[[#This Row],[OD]]*Mecze[[#This Row],[%OU]],0)</f>
        <v>7</v>
      </c>
      <c r="AD1193" s="36" t="s">
        <v>41</v>
      </c>
      <c r="AE1193" s="36">
        <v>66</v>
      </c>
      <c r="AF1193" s="71">
        <v>4.75</v>
      </c>
      <c r="AG1193" s="37">
        <v>0</v>
      </c>
      <c r="AH1193" s="37">
        <v>0</v>
      </c>
      <c r="AI1193" s="37">
        <v>96</v>
      </c>
      <c r="AJ1193" s="37">
        <v>7</v>
      </c>
      <c r="AK1193" s="37" t="str">
        <f>VLOOKUP(Mecze[[#This Row],[Match ID]],Meczusie[Mecz]:Meczusie[RodzajMeczu],2,FALSE)</f>
        <v>Liga</v>
      </c>
    </row>
    <row r="1194" spans="1:37" x14ac:dyDescent="0.25">
      <c r="A1194" s="76">
        <v>200</v>
      </c>
      <c r="B1194" s="3" t="s">
        <v>339</v>
      </c>
      <c r="C1194" s="2" t="s">
        <v>160</v>
      </c>
      <c r="D1194" s="1">
        <v>0</v>
      </c>
      <c r="E1194" s="1">
        <v>0</v>
      </c>
      <c r="F1194" s="1">
        <v>0</v>
      </c>
      <c r="G1194" s="1">
        <v>19</v>
      </c>
      <c r="H1194" s="4">
        <v>0.63</v>
      </c>
      <c r="I1194" s="1">
        <v>11</v>
      </c>
      <c r="J1194" s="4">
        <v>0.18</v>
      </c>
      <c r="K1194" s="1">
        <v>0</v>
      </c>
      <c r="L1194" s="1">
        <v>10</v>
      </c>
      <c r="M1194" s="32">
        <f>IF(Mecze[[#This Row],[PR]]=0,0,Mecze[[#This Row],[PR]]/Mecze[[#This Row],[CZAS]])</f>
        <v>0.10416666666666667</v>
      </c>
      <c r="N1194" s="32">
        <f>IF(Mecze[[#This Row],[OU]]=0,0,Mecze[[#This Row],[OU]]/Mecze[[#This Row],[CZAS]])</f>
        <v>2.0833333333333332E-2</v>
      </c>
      <c r="O1194" s="32">
        <f>IF(Mecze[[#This Row],[PC]]=0,0,Mecze[[#This Row],[PC]]/Mecze[[#This Row],[CZAS]])</f>
        <v>0.125</v>
      </c>
      <c r="P1194" s="32">
        <f>IF(Mecze[[#This Row],[SC]]=0,0,Mecze[[#This Row],[SC]]/Mecze[[#This Row],[CZAS]])</f>
        <v>0</v>
      </c>
      <c r="Q1194" s="32">
        <f>IF(Mecze[[#This Row],[OB]]=0,0,Mecze[[#This Row],[OB]]/Mecze[[#This Row],[CZAS]])</f>
        <v>0</v>
      </c>
      <c r="R1194" s="32">
        <f>IF(Mecze[[#This Row],[BR]]=0,0,Mecze[[#This Row],[BR]]/Mecze[[#This Row],[CZAS]])</f>
        <v>0</v>
      </c>
      <c r="S1194" s="44">
        <f>IF(Mecze[[#This Row],[Role]]="BR",SUMPRODUCT(Mecze[[#This Row],[/PR:90]:[/BR:90]],Brudnopis!$E$23:$J$23),0)</f>
        <v>0</v>
      </c>
      <c r="T1194" s="44">
        <f>IF(Mecze[[#This Row],[Role]]&lt;&gt;"BR",SUMPRODUCT(Mecze[[#This Row],[/PR:90]:[/BR:90]],Brudnopis!$E$24:$J$24),0)</f>
        <v>0.26041666666666669</v>
      </c>
      <c r="U1194" s="44">
        <f>IF(Mecze[[#This Row],[Role]]&lt;&gt;"BR",SUMPRODUCT(Mecze[[#This Row],[/PR:90]:[/BR:90]],Brudnopis!$E$25:$J$25),0)</f>
        <v>0.3125</v>
      </c>
      <c r="V1194" s="44">
        <f>IF(Mecze[[#This Row],[Role]]&lt;&gt;"BR",SUMPRODUCT(Mecze[[#This Row],[/PR:90]:[/BR:90]],Brudnopis!$E$26:$J$26),0)</f>
        <v>0.25</v>
      </c>
      <c r="W1194" s="44">
        <f>IF(Mecze[[#This Row],[Role]]&lt;&gt;"BR",SUMPRODUCT(Mecze[[#This Row],[/PR:90]:[/BR:90]],Brudnopis!$E$27:$J$27),0)</f>
        <v>0.28125</v>
      </c>
      <c r="X1194" s="44">
        <f>IF(Mecze[[#This Row],[Role]]&lt;&gt;"BR",SUMPRODUCT(Mecze[[#This Row],[/PR:90]:[/BR:90]],Brudnopis!$E$28:$J$28),0)</f>
        <v>0.125</v>
      </c>
      <c r="Y1194" s="35">
        <f>IF(Mecze[[#This Row],[Role]]="BR",Mecze[[#This Row],[/OB:90]]+Mecze[[#This Row],[/PC:90]],SUM(Mecze[[#This Row],[/PR:90]:[/BR:90]]))</f>
        <v>0.25</v>
      </c>
      <c r="Z1194" s="35">
        <f>IF(Mecze[[#This Row],[KC]]=0,SUM(Mecze[[#This Row],[/BRI]:[/NPI]]),SUM(Mecze[[#This Row],[/BRI]:[/NPI]])*0.6)</f>
        <v>1.2291666666666667</v>
      </c>
      <c r="AA1194" s="10">
        <f>IFERROR(Mecze[[#This Row],[BR]]/Mecze[[#This Row],[ST]],0)</f>
        <v>0</v>
      </c>
      <c r="AB1194">
        <f>ROUND(Mecze[[#This Row],[PD]]*Mecze[[#This Row],[%PC]],0)</f>
        <v>12</v>
      </c>
      <c r="AC1194">
        <f>ROUND(Mecze[[#This Row],[OD]]*Mecze[[#This Row],[%OU]],0)</f>
        <v>2</v>
      </c>
      <c r="AD1194" s="36" t="s">
        <v>67</v>
      </c>
      <c r="AE1194" s="36">
        <v>66</v>
      </c>
      <c r="AF1194" s="71">
        <v>4.9000000000000004</v>
      </c>
      <c r="AG1194" s="37">
        <v>1</v>
      </c>
      <c r="AH1194" s="37">
        <v>0</v>
      </c>
      <c r="AI1194" s="37">
        <v>96</v>
      </c>
      <c r="AJ1194" s="37">
        <v>7</v>
      </c>
      <c r="AK1194" s="37" t="str">
        <f>VLOOKUP(Mecze[[#This Row],[Match ID]],Meczusie[Mecz]:Meczusie[RodzajMeczu],2,FALSE)</f>
        <v>Liga</v>
      </c>
    </row>
    <row r="1195" spans="1:37" x14ac:dyDescent="0.25">
      <c r="A1195" s="76">
        <v>202</v>
      </c>
      <c r="B1195" s="3" t="s">
        <v>340</v>
      </c>
      <c r="C1195" s="2" t="s">
        <v>160</v>
      </c>
      <c r="D1195" s="1">
        <v>0</v>
      </c>
      <c r="E1195" s="1">
        <v>3</v>
      </c>
      <c r="F1195" s="1">
        <v>3</v>
      </c>
      <c r="G1195" s="1">
        <v>5</v>
      </c>
      <c r="H1195" s="4">
        <v>0.4</v>
      </c>
      <c r="I1195" s="1">
        <v>6</v>
      </c>
      <c r="J1195" s="4">
        <v>0.17</v>
      </c>
      <c r="K1195" s="1">
        <v>0</v>
      </c>
      <c r="L1195" s="1">
        <v>1</v>
      </c>
      <c r="M1195" s="32">
        <f>IF(Mecze[[#This Row],[PR]]=0,0,Mecze[[#This Row],[PR]]/Mecze[[#This Row],[CZAS]])</f>
        <v>1.0416666666666666E-2</v>
      </c>
      <c r="N1195" s="32">
        <f>IF(Mecze[[#This Row],[OU]]=0,0,Mecze[[#This Row],[OU]]/Mecze[[#This Row],[CZAS]])</f>
        <v>1.0416666666666666E-2</v>
      </c>
      <c r="O1195" s="32">
        <f>IF(Mecze[[#This Row],[PC]]=0,0,Mecze[[#This Row],[PC]]/Mecze[[#This Row],[CZAS]])</f>
        <v>2.0833333333333332E-2</v>
      </c>
      <c r="P1195" s="32">
        <f>IF(Mecze[[#This Row],[SC]]=0,0,Mecze[[#This Row],[SC]]/Mecze[[#This Row],[CZAS]])</f>
        <v>3.125E-2</v>
      </c>
      <c r="Q1195" s="32">
        <f>IF(Mecze[[#This Row],[OB]]=0,0,Mecze[[#This Row],[OB]]/Mecze[[#This Row],[CZAS]])</f>
        <v>0</v>
      </c>
      <c r="R1195" s="32">
        <f>IF(Mecze[[#This Row],[BR]]=0,0,Mecze[[#This Row],[BR]]/Mecze[[#This Row],[CZAS]])</f>
        <v>0</v>
      </c>
      <c r="S1195" s="44">
        <f>IF(Mecze[[#This Row],[Role]]="BR",SUMPRODUCT(Mecze[[#This Row],[/PR:90]:[/BR:90]],Brudnopis!$E$23:$J$23),0)</f>
        <v>0</v>
      </c>
      <c r="T1195" s="44">
        <f>IF(Mecze[[#This Row],[Role]]&lt;&gt;"BR",SUMPRODUCT(Mecze[[#This Row],[/PR:90]:[/BR:90]],Brudnopis!$E$24:$J$24),0)</f>
        <v>7.8125E-2</v>
      </c>
      <c r="U1195" s="44">
        <f>IF(Mecze[[#This Row],[Role]]&lt;&gt;"BR",SUMPRODUCT(Mecze[[#This Row],[/PR:90]:[/BR:90]],Brudnopis!$E$25:$J$25),0)</f>
        <v>8.3333333333333329E-2</v>
      </c>
      <c r="V1195" s="44">
        <f>IF(Mecze[[#This Row],[Role]]&lt;&gt;"BR",SUMPRODUCT(Mecze[[#This Row],[/PR:90]:[/BR:90]],Brudnopis!$E$26:$J$26),0)</f>
        <v>7.2916666666666657E-2</v>
      </c>
      <c r="W1195" s="44">
        <f>IF(Mecze[[#This Row],[Role]]&lt;&gt;"BR",SUMPRODUCT(Mecze[[#This Row],[/PR:90]:[/BR:90]],Brudnopis!$E$27:$J$27),0)</f>
        <v>7.8125E-2</v>
      </c>
      <c r="X1195" s="44">
        <f>IF(Mecze[[#This Row],[Role]]&lt;&gt;"BR",SUMPRODUCT(Mecze[[#This Row],[/PR:90]:[/BR:90]],Brudnopis!$E$28:$J$28),0)</f>
        <v>8.3333333333333329E-2</v>
      </c>
      <c r="Y1195" s="35">
        <f>IF(Mecze[[#This Row],[Role]]="BR",Mecze[[#This Row],[/OB:90]]+Mecze[[#This Row],[/PC:90]],SUM(Mecze[[#This Row],[/PR:90]:[/BR:90]]))</f>
        <v>7.2916666666666657E-2</v>
      </c>
      <c r="Z1195" s="35">
        <f>IF(Mecze[[#This Row],[KC]]=0,SUM(Mecze[[#This Row],[/BRI]:[/NPI]]),SUM(Mecze[[#This Row],[/BRI]:[/NPI]])*0.6)</f>
        <v>0.39583333333333331</v>
      </c>
      <c r="AA1195" s="10">
        <f>IFERROR(Mecze[[#This Row],[BR]]/Mecze[[#This Row],[ST]],0)</f>
        <v>0</v>
      </c>
      <c r="AB1195">
        <f>ROUND(Mecze[[#This Row],[PD]]*Mecze[[#This Row],[%PC]],0)</f>
        <v>2</v>
      </c>
      <c r="AC1195">
        <f>ROUND(Mecze[[#This Row],[OD]]*Mecze[[#This Row],[%OU]],0)</f>
        <v>1</v>
      </c>
      <c r="AD1195" s="36" t="s">
        <v>44</v>
      </c>
      <c r="AE1195" s="36">
        <v>66</v>
      </c>
      <c r="AF1195" s="71">
        <v>3.6</v>
      </c>
      <c r="AG1195" s="37">
        <v>0</v>
      </c>
      <c r="AH1195" s="37">
        <v>0</v>
      </c>
      <c r="AI1195" s="37">
        <v>96</v>
      </c>
      <c r="AJ1195" s="37">
        <v>7</v>
      </c>
      <c r="AK1195" s="37" t="str">
        <f>VLOOKUP(Mecze[[#This Row],[Match ID]],Meczusie[Mecz]:Meczusie[RodzajMeczu],2,FALSE)</f>
        <v>Liga</v>
      </c>
    </row>
    <row r="1196" spans="1:37" x14ac:dyDescent="0.25">
      <c r="A1196" s="76">
        <v>151</v>
      </c>
      <c r="B1196" s="3" t="s">
        <v>337</v>
      </c>
      <c r="C1196" s="2" t="s">
        <v>160</v>
      </c>
      <c r="D1196" s="1">
        <v>0</v>
      </c>
      <c r="E1196" s="1">
        <v>0</v>
      </c>
      <c r="F1196" s="1">
        <v>0</v>
      </c>
      <c r="G1196" s="1">
        <v>10</v>
      </c>
      <c r="H1196" s="4">
        <v>0.9</v>
      </c>
      <c r="I1196" s="1">
        <v>2</v>
      </c>
      <c r="J1196" s="4">
        <v>0</v>
      </c>
      <c r="K1196" s="1">
        <v>0</v>
      </c>
      <c r="L1196" s="1">
        <v>0</v>
      </c>
      <c r="M1196" s="32">
        <f>IF(Mecze[[#This Row],[PR]]=0,0,Mecze[[#This Row],[PR]]/Mecze[[#This Row],[CZAS]])</f>
        <v>0</v>
      </c>
      <c r="N1196" s="32">
        <f>IF(Mecze[[#This Row],[OU]]=0,0,Mecze[[#This Row],[OU]]/Mecze[[#This Row],[CZAS]])</f>
        <v>0</v>
      </c>
      <c r="O1196" s="32">
        <f>IF(Mecze[[#This Row],[PC]]=0,0,Mecze[[#This Row],[PC]]/Mecze[[#This Row],[CZAS]])</f>
        <v>9.375E-2</v>
      </c>
      <c r="P1196" s="32">
        <f>IF(Mecze[[#This Row],[SC]]=0,0,Mecze[[#This Row],[SC]]/Mecze[[#This Row],[CZAS]])</f>
        <v>0</v>
      </c>
      <c r="Q1196" s="32">
        <f>IF(Mecze[[#This Row],[OB]]=0,0,Mecze[[#This Row],[OB]]/Mecze[[#This Row],[CZAS]])</f>
        <v>0</v>
      </c>
      <c r="R1196" s="32">
        <f>IF(Mecze[[#This Row],[BR]]=0,0,Mecze[[#This Row],[BR]]/Mecze[[#This Row],[CZAS]])</f>
        <v>0</v>
      </c>
      <c r="S1196" s="44">
        <f>IF(Mecze[[#This Row],[Role]]="BR",SUMPRODUCT(Mecze[[#This Row],[/PR:90]:[/BR:90]],Brudnopis!$E$23:$J$23),0)</f>
        <v>0</v>
      </c>
      <c r="T1196" s="44">
        <f>IF(Mecze[[#This Row],[Role]]&lt;&gt;"BR",SUMPRODUCT(Mecze[[#This Row],[/PR:90]:[/BR:90]],Brudnopis!$E$24:$J$24),0)</f>
        <v>9.375E-2</v>
      </c>
      <c r="U1196" s="44">
        <f>IF(Mecze[[#This Row],[Role]]&lt;&gt;"BR",SUMPRODUCT(Mecze[[#This Row],[/PR:90]:[/BR:90]],Brudnopis!$E$25:$J$25),0)</f>
        <v>0.140625</v>
      </c>
      <c r="V1196" s="44">
        <f>IF(Mecze[[#This Row],[Role]]&lt;&gt;"BR",SUMPRODUCT(Mecze[[#This Row],[/PR:90]:[/BR:90]],Brudnopis!$E$26:$J$26),0)</f>
        <v>9.375E-2</v>
      </c>
      <c r="W1196" s="44">
        <f>IF(Mecze[[#This Row],[Role]]&lt;&gt;"BR",SUMPRODUCT(Mecze[[#This Row],[/PR:90]:[/BR:90]],Brudnopis!$E$27:$J$27),0)</f>
        <v>0.140625</v>
      </c>
      <c r="X1196" s="44">
        <f>IF(Mecze[[#This Row],[Role]]&lt;&gt;"BR",SUMPRODUCT(Mecze[[#This Row],[/PR:90]:[/BR:90]],Brudnopis!$E$28:$J$28),0)</f>
        <v>9.375E-2</v>
      </c>
      <c r="Y1196" s="35">
        <f>IF(Mecze[[#This Row],[Role]]="BR",Mecze[[#This Row],[/OB:90]]+Mecze[[#This Row],[/PC:90]],SUM(Mecze[[#This Row],[/PR:90]:[/BR:90]]))</f>
        <v>9.375E-2</v>
      </c>
      <c r="Z1196" s="35">
        <f>IF(Mecze[[#This Row],[KC]]=0,SUM(Mecze[[#This Row],[/BRI]:[/NPI]]),SUM(Mecze[[#This Row],[/BRI]:[/NPI]])*0.6)</f>
        <v>0.5625</v>
      </c>
      <c r="AA1196" s="10">
        <f>IFERROR(Mecze[[#This Row],[BR]]/Mecze[[#This Row],[ST]],0)</f>
        <v>0</v>
      </c>
      <c r="AB1196">
        <f>ROUND(Mecze[[#This Row],[PD]]*Mecze[[#This Row],[%PC]],0)</f>
        <v>9</v>
      </c>
      <c r="AC1196">
        <f>ROUND(Mecze[[#This Row],[OD]]*Mecze[[#This Row],[%OU]],0)</f>
        <v>0</v>
      </c>
      <c r="AD1196" s="36" t="s">
        <v>299</v>
      </c>
      <c r="AE1196" s="36">
        <v>66</v>
      </c>
      <c r="AF1196" s="71">
        <v>4.82</v>
      </c>
      <c r="AG1196" s="37">
        <v>0</v>
      </c>
      <c r="AH1196" s="37">
        <v>0</v>
      </c>
      <c r="AI1196" s="37">
        <v>96</v>
      </c>
      <c r="AJ1196" s="37">
        <v>7</v>
      </c>
      <c r="AK1196" s="37" t="str">
        <f>VLOOKUP(Mecze[[#This Row],[Match ID]],Meczusie[Mecz]:Meczusie[RodzajMeczu],2,FALSE)</f>
        <v>Liga</v>
      </c>
    </row>
    <row r="1197" spans="1:37" x14ac:dyDescent="0.25">
      <c r="A1197" s="76">
        <v>203</v>
      </c>
      <c r="B1197" s="3" t="s">
        <v>342</v>
      </c>
      <c r="C1197" s="2" t="s">
        <v>165</v>
      </c>
      <c r="D1197" s="1">
        <v>1</v>
      </c>
      <c r="E1197" s="1">
        <v>5</v>
      </c>
      <c r="F1197" s="1">
        <v>5</v>
      </c>
      <c r="G1197" s="1">
        <v>6</v>
      </c>
      <c r="H1197" s="4">
        <v>0.67</v>
      </c>
      <c r="I1197" s="1">
        <v>4</v>
      </c>
      <c r="J1197" s="4">
        <v>0.25</v>
      </c>
      <c r="K1197" s="1">
        <v>0</v>
      </c>
      <c r="L1197" s="1">
        <v>3</v>
      </c>
      <c r="M1197" s="32">
        <f>IF(Mecze[[#This Row],[PR]]=0,0,Mecze[[#This Row],[PR]]/Mecze[[#This Row],[CZAS]])</f>
        <v>3.125E-2</v>
      </c>
      <c r="N1197" s="32">
        <f>IF(Mecze[[#This Row],[OU]]=0,0,Mecze[[#This Row],[OU]]/Mecze[[#This Row],[CZAS]])</f>
        <v>1.0416666666666666E-2</v>
      </c>
      <c r="O1197" s="32">
        <f>IF(Mecze[[#This Row],[PC]]=0,0,Mecze[[#This Row],[PC]]/Mecze[[#This Row],[CZAS]])</f>
        <v>4.1666666666666664E-2</v>
      </c>
      <c r="P1197" s="32">
        <f>IF(Mecze[[#This Row],[SC]]=0,0,Mecze[[#This Row],[SC]]/Mecze[[#This Row],[CZAS]])</f>
        <v>5.2083333333333336E-2</v>
      </c>
      <c r="Q1197" s="32">
        <f>IF(Mecze[[#This Row],[OB]]=0,0,Mecze[[#This Row],[OB]]/Mecze[[#This Row],[CZAS]])</f>
        <v>0</v>
      </c>
      <c r="R1197" s="32">
        <f>IF(Mecze[[#This Row],[BR]]=0,0,Mecze[[#This Row],[BR]]/Mecze[[#This Row],[CZAS]])</f>
        <v>1.0416666666666666E-2</v>
      </c>
      <c r="S1197" s="44">
        <f>IF(Mecze[[#This Row],[Role]]="BR",SUMPRODUCT(Mecze[[#This Row],[/PR:90]:[/BR:90]],Brudnopis!$E$23:$J$23),0)</f>
        <v>0</v>
      </c>
      <c r="T1197" s="44">
        <f>IF(Mecze[[#This Row],[Role]]&lt;&gt;"BR",SUMPRODUCT(Mecze[[#This Row],[/PR:90]:[/BR:90]],Brudnopis!$E$24:$J$24),0)</f>
        <v>0.15625</v>
      </c>
      <c r="U1197" s="44">
        <f>IF(Mecze[[#This Row],[Role]]&lt;&gt;"BR",SUMPRODUCT(Mecze[[#This Row],[/PR:90]:[/BR:90]],Brudnopis!$E$25:$J$25),0)</f>
        <v>0.171875</v>
      </c>
      <c r="V1197" s="44">
        <f>IF(Mecze[[#This Row],[Role]]&lt;&gt;"BR",SUMPRODUCT(Mecze[[#This Row],[/PR:90]:[/BR:90]],Brudnopis!$E$26:$J$26),0)</f>
        <v>0.15625</v>
      </c>
      <c r="W1197" s="44">
        <f>IF(Mecze[[#This Row],[Role]]&lt;&gt;"BR",SUMPRODUCT(Mecze[[#This Row],[/PR:90]:[/BR:90]],Brudnopis!$E$27:$J$27),0)</f>
        <v>0.16666666666666669</v>
      </c>
      <c r="X1197" s="44">
        <f>IF(Mecze[[#This Row],[Role]]&lt;&gt;"BR",SUMPRODUCT(Mecze[[#This Row],[/PR:90]:[/BR:90]],Brudnopis!$E$28:$J$28),0)</f>
        <v>0.17708333333333334</v>
      </c>
      <c r="Y1197" s="35">
        <f>IF(Mecze[[#This Row],[Role]]="BR",Mecze[[#This Row],[/OB:90]]+Mecze[[#This Row],[/PC:90]],SUM(Mecze[[#This Row],[/PR:90]:[/BR:90]]))</f>
        <v>0.14583333333333331</v>
      </c>
      <c r="Z1197" s="35">
        <f>IF(Mecze[[#This Row],[KC]]=0,SUM(Mecze[[#This Row],[/BRI]:[/NPI]]),SUM(Mecze[[#This Row],[/BRI]:[/NPI]])*0.6)</f>
        <v>0.82812500000000011</v>
      </c>
      <c r="AA1197" s="10">
        <f>IFERROR(Mecze[[#This Row],[BR]]/Mecze[[#This Row],[ST]],0)</f>
        <v>0.2</v>
      </c>
      <c r="AB1197">
        <f>ROUND(Mecze[[#This Row],[PD]]*Mecze[[#This Row],[%PC]],0)</f>
        <v>4</v>
      </c>
      <c r="AC1197">
        <f>ROUND(Mecze[[#This Row],[OD]]*Mecze[[#This Row],[%OU]],0)</f>
        <v>1</v>
      </c>
      <c r="AD1197" s="36" t="s">
        <v>46</v>
      </c>
      <c r="AE1197" s="36">
        <v>66</v>
      </c>
      <c r="AF1197" s="71">
        <v>7.44</v>
      </c>
      <c r="AG1197" s="37">
        <v>0</v>
      </c>
      <c r="AH1197" s="37">
        <v>0</v>
      </c>
      <c r="AI1197" s="37">
        <v>96</v>
      </c>
      <c r="AJ1197" s="37">
        <v>7</v>
      </c>
      <c r="AK1197" s="37" t="str">
        <f>VLOOKUP(Mecze[[#This Row],[Match ID]],Meczusie[Mecz]:Meczusie[RodzajMeczu],2,FALSE)</f>
        <v>Liga</v>
      </c>
    </row>
    <row r="1198" spans="1:37" x14ac:dyDescent="0.25">
      <c r="A1198" s="76">
        <v>104</v>
      </c>
      <c r="B1198" s="3" t="s">
        <v>343</v>
      </c>
      <c r="C1198" s="2" t="s">
        <v>165</v>
      </c>
      <c r="D1198" s="1">
        <v>0</v>
      </c>
      <c r="E1198" s="1">
        <v>1</v>
      </c>
      <c r="F1198" s="1">
        <v>0</v>
      </c>
      <c r="G1198" s="1">
        <v>6</v>
      </c>
      <c r="H1198" s="4">
        <v>0.67</v>
      </c>
      <c r="I1198" s="1">
        <v>3</v>
      </c>
      <c r="J1198" s="4">
        <v>0</v>
      </c>
      <c r="K1198" s="1">
        <v>0</v>
      </c>
      <c r="L1198" s="1">
        <v>0</v>
      </c>
      <c r="M1198" s="32">
        <f>IF(Mecze[[#This Row],[PR]]=0,0,Mecze[[#This Row],[PR]]/Mecze[[#This Row],[CZAS]])</f>
        <v>0</v>
      </c>
      <c r="N1198" s="32">
        <f>IF(Mecze[[#This Row],[OU]]=0,0,Mecze[[#This Row],[OU]]/Mecze[[#This Row],[CZAS]])</f>
        <v>0</v>
      </c>
      <c r="O1198" s="32">
        <f>IF(Mecze[[#This Row],[PC]]=0,0,Mecze[[#This Row],[PC]]/Mecze[[#This Row],[CZAS]])</f>
        <v>4.1666666666666664E-2</v>
      </c>
      <c r="P1198" s="32">
        <f>IF(Mecze[[#This Row],[SC]]=0,0,Mecze[[#This Row],[SC]]/Mecze[[#This Row],[CZAS]])</f>
        <v>0</v>
      </c>
      <c r="Q1198" s="32">
        <f>IF(Mecze[[#This Row],[OB]]=0,0,Mecze[[#This Row],[OB]]/Mecze[[#This Row],[CZAS]])</f>
        <v>0</v>
      </c>
      <c r="R1198" s="32">
        <f>IF(Mecze[[#This Row],[BR]]=0,0,Mecze[[#This Row],[BR]]/Mecze[[#This Row],[CZAS]])</f>
        <v>0</v>
      </c>
      <c r="S1198" s="44">
        <f>IF(Mecze[[#This Row],[Role]]="BR",SUMPRODUCT(Mecze[[#This Row],[/PR:90]:[/BR:90]],Brudnopis!$E$23:$J$23),0)</f>
        <v>0</v>
      </c>
      <c r="T1198" s="44">
        <f>IF(Mecze[[#This Row],[Role]]&lt;&gt;"BR",SUMPRODUCT(Mecze[[#This Row],[/PR:90]:[/BR:90]],Brudnopis!$E$24:$J$24),0)</f>
        <v>4.1666666666666664E-2</v>
      </c>
      <c r="U1198" s="44">
        <f>IF(Mecze[[#This Row],[Role]]&lt;&gt;"BR",SUMPRODUCT(Mecze[[#This Row],[/PR:90]:[/BR:90]],Brudnopis!$E$25:$J$25),0)</f>
        <v>6.25E-2</v>
      </c>
      <c r="V1198" s="44">
        <f>IF(Mecze[[#This Row],[Role]]&lt;&gt;"BR",SUMPRODUCT(Mecze[[#This Row],[/PR:90]:[/BR:90]],Brudnopis!$E$26:$J$26),0)</f>
        <v>4.1666666666666664E-2</v>
      </c>
      <c r="W1198" s="44">
        <f>IF(Mecze[[#This Row],[Role]]&lt;&gt;"BR",SUMPRODUCT(Mecze[[#This Row],[/PR:90]:[/BR:90]],Brudnopis!$E$27:$J$27),0)</f>
        <v>6.25E-2</v>
      </c>
      <c r="X1198" s="44">
        <f>IF(Mecze[[#This Row],[Role]]&lt;&gt;"BR",SUMPRODUCT(Mecze[[#This Row],[/PR:90]:[/BR:90]],Brudnopis!$E$28:$J$28),0)</f>
        <v>4.1666666666666664E-2</v>
      </c>
      <c r="Y1198" s="35">
        <f>IF(Mecze[[#This Row],[Role]]="BR",Mecze[[#This Row],[/OB:90]]+Mecze[[#This Row],[/PC:90]],SUM(Mecze[[#This Row],[/PR:90]:[/BR:90]]))</f>
        <v>4.1666666666666664E-2</v>
      </c>
      <c r="Z1198" s="35">
        <f>IF(Mecze[[#This Row],[KC]]=0,SUM(Mecze[[#This Row],[/BRI]:[/NPI]]),SUM(Mecze[[#This Row],[/BRI]:[/NPI]])*0.6)</f>
        <v>0.24999999999999997</v>
      </c>
      <c r="AA1198" s="10">
        <f>IFERROR(Mecze[[#This Row],[BR]]/Mecze[[#This Row],[ST]],0)</f>
        <v>0</v>
      </c>
      <c r="AB1198">
        <f>ROUND(Mecze[[#This Row],[PD]]*Mecze[[#This Row],[%PC]],0)</f>
        <v>4</v>
      </c>
      <c r="AC1198">
        <f>ROUND(Mecze[[#This Row],[OD]]*Mecze[[#This Row],[%OU]],0)</f>
        <v>0</v>
      </c>
      <c r="AD1198" s="36" t="s">
        <v>355</v>
      </c>
      <c r="AE1198" s="36">
        <v>66</v>
      </c>
      <c r="AF1198" s="71">
        <v>4.04</v>
      </c>
      <c r="AG1198" s="37">
        <v>0</v>
      </c>
      <c r="AH1198" s="37">
        <v>0</v>
      </c>
      <c r="AI1198" s="37">
        <v>96</v>
      </c>
      <c r="AJ1198" s="37">
        <v>7</v>
      </c>
      <c r="AK1198" s="37" t="str">
        <f>VLOOKUP(Mecze[[#This Row],[Match ID]],Meczusie[Mecz]:Meczusie[RodzajMeczu],2,FALSE)</f>
        <v>Liga</v>
      </c>
    </row>
    <row r="1199" spans="1:37" x14ac:dyDescent="0.25">
      <c r="A1199" s="76">
        <v>1</v>
      </c>
      <c r="B1199" s="3" t="s">
        <v>261</v>
      </c>
      <c r="C1199" s="2" t="s">
        <v>155</v>
      </c>
      <c r="D1199" s="1">
        <v>0</v>
      </c>
      <c r="E1199" s="1">
        <v>0</v>
      </c>
      <c r="F1199" s="1">
        <v>0</v>
      </c>
      <c r="G1199" s="1">
        <v>7</v>
      </c>
      <c r="H1199" s="4">
        <v>0.28999999999999998</v>
      </c>
      <c r="I1199" s="1">
        <v>0</v>
      </c>
      <c r="J1199" s="4"/>
      <c r="K1199" s="1">
        <v>6</v>
      </c>
      <c r="L1199" s="1">
        <v>0</v>
      </c>
      <c r="M1199" s="32">
        <f>IF(Mecze[[#This Row],[PR]]=0,0,Mecze[[#This Row],[PR]]/Mecze[[#This Row],[CZAS]])</f>
        <v>0</v>
      </c>
      <c r="N1199" s="32">
        <f>IF(Mecze[[#This Row],[OU]]=0,0,Mecze[[#This Row],[OU]]/Mecze[[#This Row],[CZAS]])</f>
        <v>0</v>
      </c>
      <c r="O1199" s="32">
        <f>IF(Mecze[[#This Row],[PC]]=0,0,Mecze[[#This Row],[PC]]/Mecze[[#This Row],[CZAS]])</f>
        <v>2.0833333333333332E-2</v>
      </c>
      <c r="P1199" s="32">
        <f>IF(Mecze[[#This Row],[SC]]=0,0,Mecze[[#This Row],[SC]]/Mecze[[#This Row],[CZAS]])</f>
        <v>0</v>
      </c>
      <c r="Q1199" s="32">
        <f>IF(Mecze[[#This Row],[OB]]=0,0,Mecze[[#This Row],[OB]]/Mecze[[#This Row],[CZAS]])</f>
        <v>6.25E-2</v>
      </c>
      <c r="R1199" s="32">
        <f>IF(Mecze[[#This Row],[BR]]=0,0,Mecze[[#This Row],[BR]]/Mecze[[#This Row],[CZAS]])</f>
        <v>0</v>
      </c>
      <c r="S1199" s="44">
        <f>IF(Mecze[[#This Row],[Role]]="BR",SUMPRODUCT(Mecze[[#This Row],[/PR:90]:[/BR:90]],Brudnopis!$E$23:$J$23),0)</f>
        <v>0.25</v>
      </c>
      <c r="T1199" s="44">
        <f>IF(Mecze[[#This Row],[Role]]&lt;&gt;"BR",SUMPRODUCT(Mecze[[#This Row],[/PR:90]:[/BR:90]],Brudnopis!$E$24:$J$24),0)</f>
        <v>0</v>
      </c>
      <c r="U1199" s="44">
        <f>IF(Mecze[[#This Row],[Role]]&lt;&gt;"BR",SUMPRODUCT(Mecze[[#This Row],[/PR:90]:[/BR:90]],Brudnopis!$E$25:$J$25),0)</f>
        <v>0</v>
      </c>
      <c r="V1199" s="44">
        <f>IF(Mecze[[#This Row],[Role]]&lt;&gt;"BR",SUMPRODUCT(Mecze[[#This Row],[/PR:90]:[/BR:90]],Brudnopis!$E$26:$J$26),0)</f>
        <v>0</v>
      </c>
      <c r="W1199" s="44">
        <f>IF(Mecze[[#This Row],[Role]]&lt;&gt;"BR",SUMPRODUCT(Mecze[[#This Row],[/PR:90]:[/BR:90]],Brudnopis!$E$27:$J$27),0)</f>
        <v>0</v>
      </c>
      <c r="X1199" s="44">
        <f>IF(Mecze[[#This Row],[Role]]&lt;&gt;"BR",SUMPRODUCT(Mecze[[#This Row],[/PR:90]:[/BR:90]],Brudnopis!$E$28:$J$28),0)</f>
        <v>0</v>
      </c>
      <c r="Y1199" s="35">
        <f>IF(Mecze[[#This Row],[Role]]="BR",Mecze[[#This Row],[/OB:90]]+Mecze[[#This Row],[/PC:90]],SUM(Mecze[[#This Row],[/PR:90]:[/BR:90]]))</f>
        <v>8.3333333333333329E-2</v>
      </c>
      <c r="Z1199" s="35">
        <f>IF(Mecze[[#This Row],[KC]]=0,SUM(Mecze[[#This Row],[/BRI]:[/NPI]]),SUM(Mecze[[#This Row],[/BRI]:[/NPI]])*0.6)</f>
        <v>0.25</v>
      </c>
      <c r="AA1199" s="10">
        <f>IFERROR(Mecze[[#This Row],[BR]]/Mecze[[#This Row],[ST]],0)</f>
        <v>0</v>
      </c>
      <c r="AB1199">
        <f>ROUND(Mecze[[#This Row],[PD]]*Mecze[[#This Row],[%PC]],0)</f>
        <v>2</v>
      </c>
      <c r="AC1199">
        <f>ROUND(Mecze[[#This Row],[OD]]*Mecze[[#This Row],[%OU]],0)</f>
        <v>0</v>
      </c>
      <c r="AD1199" s="36" t="s">
        <v>40</v>
      </c>
      <c r="AE1199" s="36">
        <v>66</v>
      </c>
      <c r="AF1199" s="71">
        <v>6.02</v>
      </c>
      <c r="AG1199" s="37">
        <v>0</v>
      </c>
      <c r="AH1199" s="37">
        <v>0</v>
      </c>
      <c r="AI1199" s="37">
        <v>96</v>
      </c>
      <c r="AJ1199" s="37">
        <v>3</v>
      </c>
      <c r="AK1199" s="37" t="str">
        <f>VLOOKUP(Mecze[[#This Row],[Match ID]],Meczusie[Mecz]:Meczusie[RodzajMeczu],2,FALSE)</f>
        <v>Liga</v>
      </c>
    </row>
    <row r="1200" spans="1:37" x14ac:dyDescent="0.25">
      <c r="A1200" s="76">
        <v>13</v>
      </c>
      <c r="B1200" s="3" t="s">
        <v>262</v>
      </c>
      <c r="C1200" s="2" t="s">
        <v>157</v>
      </c>
      <c r="D1200" s="1">
        <v>0</v>
      </c>
      <c r="E1200" s="1">
        <v>0</v>
      </c>
      <c r="F1200" s="1">
        <v>0</v>
      </c>
      <c r="G1200" s="1">
        <v>2</v>
      </c>
      <c r="H1200" s="4">
        <v>0</v>
      </c>
      <c r="I1200" s="1">
        <v>0</v>
      </c>
      <c r="J1200" s="4"/>
      <c r="K1200" s="1">
        <v>0</v>
      </c>
      <c r="L1200" s="1">
        <v>0</v>
      </c>
      <c r="M1200" s="32">
        <f>IF(Mecze[[#This Row],[PR]]=0,0,Mecze[[#This Row],[PR]]/Mecze[[#This Row],[CZAS]])</f>
        <v>0</v>
      </c>
      <c r="N1200" s="32">
        <f>IF(Mecze[[#This Row],[OU]]=0,0,Mecze[[#This Row],[OU]]/Mecze[[#This Row],[CZAS]])</f>
        <v>0</v>
      </c>
      <c r="O1200" s="32">
        <f>IF(Mecze[[#This Row],[PC]]=0,0,Mecze[[#This Row],[PC]]/Mecze[[#This Row],[CZAS]])</f>
        <v>0</v>
      </c>
      <c r="P1200" s="32">
        <f>IF(Mecze[[#This Row],[SC]]=0,0,Mecze[[#This Row],[SC]]/Mecze[[#This Row],[CZAS]])</f>
        <v>0</v>
      </c>
      <c r="Q1200" s="32">
        <f>IF(Mecze[[#This Row],[OB]]=0,0,Mecze[[#This Row],[OB]]/Mecze[[#This Row],[CZAS]])</f>
        <v>0</v>
      </c>
      <c r="R1200" s="32">
        <f>IF(Mecze[[#This Row],[BR]]=0,0,Mecze[[#This Row],[BR]]/Mecze[[#This Row],[CZAS]])</f>
        <v>0</v>
      </c>
      <c r="S1200" s="44">
        <f>IF(Mecze[[#This Row],[Role]]="BR",SUMPRODUCT(Mecze[[#This Row],[/PR:90]:[/BR:90]],Brudnopis!$E$23:$J$23),0)</f>
        <v>0</v>
      </c>
      <c r="T1200" s="44">
        <f>IF(Mecze[[#This Row],[Role]]&lt;&gt;"BR",SUMPRODUCT(Mecze[[#This Row],[/PR:90]:[/BR:90]],Brudnopis!$E$24:$J$24),0)</f>
        <v>0</v>
      </c>
      <c r="U1200" s="44">
        <f>IF(Mecze[[#This Row],[Role]]&lt;&gt;"BR",SUMPRODUCT(Mecze[[#This Row],[/PR:90]:[/BR:90]],Brudnopis!$E$25:$J$25),0)</f>
        <v>0</v>
      </c>
      <c r="V1200" s="44">
        <f>IF(Mecze[[#This Row],[Role]]&lt;&gt;"BR",SUMPRODUCT(Mecze[[#This Row],[/PR:90]:[/BR:90]],Brudnopis!$E$26:$J$26),0)</f>
        <v>0</v>
      </c>
      <c r="W1200" s="44">
        <f>IF(Mecze[[#This Row],[Role]]&lt;&gt;"BR",SUMPRODUCT(Mecze[[#This Row],[/PR:90]:[/BR:90]],Brudnopis!$E$27:$J$27),0)</f>
        <v>0</v>
      </c>
      <c r="X1200" s="44">
        <f>IF(Mecze[[#This Row],[Role]]&lt;&gt;"BR",SUMPRODUCT(Mecze[[#This Row],[/PR:90]:[/BR:90]],Brudnopis!$E$28:$J$28),0)</f>
        <v>0</v>
      </c>
      <c r="Y1200" s="35">
        <f>IF(Mecze[[#This Row],[Role]]="BR",Mecze[[#This Row],[/OB:90]]+Mecze[[#This Row],[/PC:90]],SUM(Mecze[[#This Row],[/PR:90]:[/BR:90]]))</f>
        <v>0</v>
      </c>
      <c r="Z1200" s="35">
        <f>IF(Mecze[[#This Row],[KC]]=0,SUM(Mecze[[#This Row],[/BRI]:[/NPI]]),SUM(Mecze[[#This Row],[/BRI]:[/NPI]])*0.6)</f>
        <v>0</v>
      </c>
      <c r="AA1200" s="10">
        <f>IFERROR(Mecze[[#This Row],[BR]]/Mecze[[#This Row],[ST]],0)</f>
        <v>0</v>
      </c>
      <c r="AB1200">
        <f>ROUND(Mecze[[#This Row],[PD]]*Mecze[[#This Row],[%PC]],0)</f>
        <v>0</v>
      </c>
      <c r="AC1200">
        <f>ROUND(Mecze[[#This Row],[OD]]*Mecze[[#This Row],[%OU]],0)</f>
        <v>0</v>
      </c>
      <c r="AD1200" s="36" t="s">
        <v>175</v>
      </c>
      <c r="AE1200" s="36">
        <v>66</v>
      </c>
      <c r="AF1200" s="71">
        <v>3.92</v>
      </c>
      <c r="AG1200" s="37">
        <v>0</v>
      </c>
      <c r="AH1200" s="37">
        <v>0</v>
      </c>
      <c r="AI1200" s="37">
        <v>96</v>
      </c>
      <c r="AJ1200" s="37">
        <v>3</v>
      </c>
      <c r="AK1200" s="37" t="str">
        <f>VLOOKUP(Mecze[[#This Row],[Match ID]],Meczusie[Mecz]:Meczusie[RodzajMeczu],2,FALSE)</f>
        <v>Liga</v>
      </c>
    </row>
    <row r="1201" spans="1:37" x14ac:dyDescent="0.25">
      <c r="A1201" s="76">
        <v>6</v>
      </c>
      <c r="B1201" s="3" t="s">
        <v>263</v>
      </c>
      <c r="C1201" s="2" t="s">
        <v>157</v>
      </c>
      <c r="D1201" s="1">
        <v>0</v>
      </c>
      <c r="E1201" s="1">
        <v>0</v>
      </c>
      <c r="F1201" s="1">
        <v>0</v>
      </c>
      <c r="G1201" s="1">
        <v>5</v>
      </c>
      <c r="H1201" s="4">
        <v>0.8</v>
      </c>
      <c r="I1201" s="1">
        <v>3</v>
      </c>
      <c r="J1201" s="4">
        <v>0</v>
      </c>
      <c r="K1201" s="1">
        <v>0</v>
      </c>
      <c r="L1201" s="1">
        <v>4</v>
      </c>
      <c r="M1201" s="32">
        <f>IF(Mecze[[#This Row],[PR]]=0,0,Mecze[[#This Row],[PR]]/Mecze[[#This Row],[CZAS]])</f>
        <v>4.1666666666666664E-2</v>
      </c>
      <c r="N1201" s="32">
        <f>IF(Mecze[[#This Row],[OU]]=0,0,Mecze[[#This Row],[OU]]/Mecze[[#This Row],[CZAS]])</f>
        <v>0</v>
      </c>
      <c r="O1201" s="32">
        <f>IF(Mecze[[#This Row],[PC]]=0,0,Mecze[[#This Row],[PC]]/Mecze[[#This Row],[CZAS]])</f>
        <v>4.1666666666666664E-2</v>
      </c>
      <c r="P1201" s="32">
        <f>IF(Mecze[[#This Row],[SC]]=0,0,Mecze[[#This Row],[SC]]/Mecze[[#This Row],[CZAS]])</f>
        <v>0</v>
      </c>
      <c r="Q1201" s="32">
        <f>IF(Mecze[[#This Row],[OB]]=0,0,Mecze[[#This Row],[OB]]/Mecze[[#This Row],[CZAS]])</f>
        <v>0</v>
      </c>
      <c r="R1201" s="32">
        <f>IF(Mecze[[#This Row],[BR]]=0,0,Mecze[[#This Row],[BR]]/Mecze[[#This Row],[CZAS]])</f>
        <v>0</v>
      </c>
      <c r="S1201" s="44">
        <f>IF(Mecze[[#This Row],[Role]]="BR",SUMPRODUCT(Mecze[[#This Row],[/PR:90]:[/BR:90]],Brudnopis!$E$23:$J$23),0)</f>
        <v>0</v>
      </c>
      <c r="T1201" s="44">
        <f>IF(Mecze[[#This Row],[Role]]&lt;&gt;"BR",SUMPRODUCT(Mecze[[#This Row],[/PR:90]:[/BR:90]],Brudnopis!$E$24:$J$24),0)</f>
        <v>8.3333333333333329E-2</v>
      </c>
      <c r="U1201" s="44">
        <f>IF(Mecze[[#This Row],[Role]]&lt;&gt;"BR",SUMPRODUCT(Mecze[[#This Row],[/PR:90]:[/BR:90]],Brudnopis!$E$25:$J$25),0)</f>
        <v>0.10416666666666666</v>
      </c>
      <c r="V1201" s="44">
        <f>IF(Mecze[[#This Row],[Role]]&lt;&gt;"BR",SUMPRODUCT(Mecze[[#This Row],[/PR:90]:[/BR:90]],Brudnopis!$E$26:$J$26),0)</f>
        <v>8.3333333333333329E-2</v>
      </c>
      <c r="W1201" s="44">
        <f>IF(Mecze[[#This Row],[Role]]&lt;&gt;"BR",SUMPRODUCT(Mecze[[#This Row],[/PR:90]:[/BR:90]],Brudnopis!$E$27:$J$27),0)</f>
        <v>9.375E-2</v>
      </c>
      <c r="X1201" s="44">
        <f>IF(Mecze[[#This Row],[Role]]&lt;&gt;"BR",SUMPRODUCT(Mecze[[#This Row],[/PR:90]:[/BR:90]],Brudnopis!$E$28:$J$28),0)</f>
        <v>4.1666666666666664E-2</v>
      </c>
      <c r="Y1201" s="35">
        <f>IF(Mecze[[#This Row],[Role]]="BR",Mecze[[#This Row],[/OB:90]]+Mecze[[#This Row],[/PC:90]],SUM(Mecze[[#This Row],[/PR:90]:[/BR:90]]))</f>
        <v>8.3333333333333329E-2</v>
      </c>
      <c r="Z1201" s="35">
        <f>IF(Mecze[[#This Row],[KC]]=0,SUM(Mecze[[#This Row],[/BRI]:[/NPI]]),SUM(Mecze[[#This Row],[/BRI]:[/NPI]])*0.6)</f>
        <v>0.40625</v>
      </c>
      <c r="AA1201" s="10">
        <f>IFERROR(Mecze[[#This Row],[BR]]/Mecze[[#This Row],[ST]],0)</f>
        <v>0</v>
      </c>
      <c r="AB1201">
        <f>ROUND(Mecze[[#This Row],[PD]]*Mecze[[#This Row],[%PC]],0)</f>
        <v>4</v>
      </c>
      <c r="AC1201">
        <f>ROUND(Mecze[[#This Row],[OD]]*Mecze[[#This Row],[%OU]],0)</f>
        <v>0</v>
      </c>
      <c r="AD1201" s="36" t="s">
        <v>47</v>
      </c>
      <c r="AE1201" s="36">
        <v>66</v>
      </c>
      <c r="AF1201" s="71">
        <v>4.76</v>
      </c>
      <c r="AG1201" s="37">
        <v>0</v>
      </c>
      <c r="AH1201" s="37">
        <v>0</v>
      </c>
      <c r="AI1201" s="37">
        <v>96</v>
      </c>
      <c r="AJ1201" s="37">
        <v>3</v>
      </c>
      <c r="AK1201" s="37" t="str">
        <f>VLOOKUP(Mecze[[#This Row],[Match ID]],Meczusie[Mecz]:Meczusie[RodzajMeczu],2,FALSE)</f>
        <v>Liga</v>
      </c>
    </row>
    <row r="1202" spans="1:37" x14ac:dyDescent="0.25">
      <c r="A1202" s="76">
        <v>4</v>
      </c>
      <c r="B1202" s="3" t="s">
        <v>264</v>
      </c>
      <c r="C1202" s="2" t="s">
        <v>157</v>
      </c>
      <c r="D1202" s="1">
        <v>0</v>
      </c>
      <c r="E1202" s="1">
        <v>0</v>
      </c>
      <c r="F1202" s="1">
        <v>0</v>
      </c>
      <c r="G1202" s="1">
        <v>13</v>
      </c>
      <c r="H1202" s="4">
        <v>0.85</v>
      </c>
      <c r="I1202" s="1">
        <v>20</v>
      </c>
      <c r="J1202" s="4">
        <v>0.45</v>
      </c>
      <c r="K1202" s="1">
        <v>0</v>
      </c>
      <c r="L1202" s="1">
        <v>21</v>
      </c>
      <c r="M1202" s="32">
        <f>IF(Mecze[[#This Row],[PR]]=0,0,Mecze[[#This Row],[PR]]/Mecze[[#This Row],[CZAS]])</f>
        <v>0.21875</v>
      </c>
      <c r="N1202" s="32">
        <f>IF(Mecze[[#This Row],[OU]]=0,0,Mecze[[#This Row],[OU]]/Mecze[[#This Row],[CZAS]])</f>
        <v>9.375E-2</v>
      </c>
      <c r="O1202" s="32">
        <f>IF(Mecze[[#This Row],[PC]]=0,0,Mecze[[#This Row],[PC]]/Mecze[[#This Row],[CZAS]])</f>
        <v>0.11458333333333333</v>
      </c>
      <c r="P1202" s="32">
        <f>IF(Mecze[[#This Row],[SC]]=0,0,Mecze[[#This Row],[SC]]/Mecze[[#This Row],[CZAS]])</f>
        <v>0</v>
      </c>
      <c r="Q1202" s="32">
        <f>IF(Mecze[[#This Row],[OB]]=0,0,Mecze[[#This Row],[OB]]/Mecze[[#This Row],[CZAS]])</f>
        <v>0</v>
      </c>
      <c r="R1202" s="32">
        <f>IF(Mecze[[#This Row],[BR]]=0,0,Mecze[[#This Row],[BR]]/Mecze[[#This Row],[CZAS]])</f>
        <v>0</v>
      </c>
      <c r="S1202" s="44">
        <f>IF(Mecze[[#This Row],[Role]]="BR",SUMPRODUCT(Mecze[[#This Row],[/PR:90]:[/BR:90]],Brudnopis!$E$23:$J$23),0)</f>
        <v>0</v>
      </c>
      <c r="T1202" s="44">
        <f>IF(Mecze[[#This Row],[Role]]&lt;&gt;"BR",SUMPRODUCT(Mecze[[#This Row],[/PR:90]:[/BR:90]],Brudnopis!$E$24:$J$24),0)</f>
        <v>0.47395833333333331</v>
      </c>
      <c r="U1202" s="44">
        <f>IF(Mecze[[#This Row],[Role]]&lt;&gt;"BR",SUMPRODUCT(Mecze[[#This Row],[/PR:90]:[/BR:90]],Brudnopis!$E$25:$J$25),0)</f>
        <v>0.484375</v>
      </c>
      <c r="V1202" s="44">
        <f>IF(Mecze[[#This Row],[Role]]&lt;&gt;"BR",SUMPRODUCT(Mecze[[#This Row],[/PR:90]:[/BR:90]],Brudnopis!$E$26:$J$26),0)</f>
        <v>0.42708333333333331</v>
      </c>
      <c r="W1202" s="44">
        <f>IF(Mecze[[#This Row],[Role]]&lt;&gt;"BR",SUMPRODUCT(Mecze[[#This Row],[/PR:90]:[/BR:90]],Brudnopis!$E$27:$J$27),0)</f>
        <v>0.40625</v>
      </c>
      <c r="X1202" s="44">
        <f>IF(Mecze[[#This Row],[Role]]&lt;&gt;"BR",SUMPRODUCT(Mecze[[#This Row],[/PR:90]:[/BR:90]],Brudnopis!$E$28:$J$28),0)</f>
        <v>0.11458333333333333</v>
      </c>
      <c r="Y1202" s="35">
        <f>IF(Mecze[[#This Row],[Role]]="BR",Mecze[[#This Row],[/OB:90]]+Mecze[[#This Row],[/PC:90]],SUM(Mecze[[#This Row],[/PR:90]:[/BR:90]]))</f>
        <v>0.42708333333333331</v>
      </c>
      <c r="Z1202" s="35">
        <f>IF(Mecze[[#This Row],[KC]]=0,SUM(Mecze[[#This Row],[/BRI]:[/NPI]]),SUM(Mecze[[#This Row],[/BRI]:[/NPI]])*0.6)</f>
        <v>1.9062499999999998</v>
      </c>
      <c r="AA1202" s="10">
        <f>IFERROR(Mecze[[#This Row],[BR]]/Mecze[[#This Row],[ST]],0)</f>
        <v>0</v>
      </c>
      <c r="AB1202">
        <f>ROUND(Mecze[[#This Row],[PD]]*Mecze[[#This Row],[%PC]],0)</f>
        <v>11</v>
      </c>
      <c r="AC1202">
        <f>ROUND(Mecze[[#This Row],[OD]]*Mecze[[#This Row],[%OU]],0)</f>
        <v>9</v>
      </c>
      <c r="AD1202" s="36" t="s">
        <v>174</v>
      </c>
      <c r="AE1202" s="36">
        <v>66</v>
      </c>
      <c r="AF1202" s="71">
        <v>8.33</v>
      </c>
      <c r="AG1202" s="37">
        <v>0</v>
      </c>
      <c r="AH1202" s="37">
        <v>0</v>
      </c>
      <c r="AI1202" s="37">
        <v>96</v>
      </c>
      <c r="AJ1202" s="37">
        <v>3</v>
      </c>
      <c r="AK1202" s="37" t="str">
        <f>VLOOKUP(Mecze[[#This Row],[Match ID]],Meczusie[Mecz]:Meczusie[RodzajMeczu],2,FALSE)</f>
        <v>Liga</v>
      </c>
    </row>
    <row r="1203" spans="1:37" x14ac:dyDescent="0.25">
      <c r="A1203" s="76">
        <v>2</v>
      </c>
      <c r="B1203" s="3" t="s">
        <v>265</v>
      </c>
      <c r="C1203" s="2" t="s">
        <v>157</v>
      </c>
      <c r="D1203" s="1">
        <v>0</v>
      </c>
      <c r="E1203" s="1">
        <v>0</v>
      </c>
      <c r="F1203" s="1">
        <v>0</v>
      </c>
      <c r="G1203" s="1">
        <v>8</v>
      </c>
      <c r="H1203" s="4">
        <v>0.88</v>
      </c>
      <c r="I1203" s="1">
        <v>2</v>
      </c>
      <c r="J1203" s="4">
        <v>1</v>
      </c>
      <c r="K1203" s="1">
        <v>0</v>
      </c>
      <c r="L1203" s="1">
        <v>6</v>
      </c>
      <c r="M1203" s="32">
        <f>IF(Mecze[[#This Row],[PR]]=0,0,Mecze[[#This Row],[PR]]/Mecze[[#This Row],[CZAS]])</f>
        <v>6.25E-2</v>
      </c>
      <c r="N1203" s="32">
        <f>IF(Mecze[[#This Row],[OU]]=0,0,Mecze[[#This Row],[OU]]/Mecze[[#This Row],[CZAS]])</f>
        <v>2.0833333333333332E-2</v>
      </c>
      <c r="O1203" s="32">
        <f>IF(Mecze[[#This Row],[PC]]=0,0,Mecze[[#This Row],[PC]]/Mecze[[#This Row],[CZAS]])</f>
        <v>7.2916666666666671E-2</v>
      </c>
      <c r="P1203" s="32">
        <f>IF(Mecze[[#This Row],[SC]]=0,0,Mecze[[#This Row],[SC]]/Mecze[[#This Row],[CZAS]])</f>
        <v>0</v>
      </c>
      <c r="Q1203" s="32">
        <f>IF(Mecze[[#This Row],[OB]]=0,0,Mecze[[#This Row],[OB]]/Mecze[[#This Row],[CZAS]])</f>
        <v>0</v>
      </c>
      <c r="R1203" s="32">
        <f>IF(Mecze[[#This Row],[BR]]=0,0,Mecze[[#This Row],[BR]]/Mecze[[#This Row],[CZAS]])</f>
        <v>0</v>
      </c>
      <c r="S1203" s="44">
        <f>IF(Mecze[[#This Row],[Role]]="BR",SUMPRODUCT(Mecze[[#This Row],[/PR:90]:[/BR:90]],Brudnopis!$E$23:$J$23),0)</f>
        <v>0</v>
      </c>
      <c r="T1203" s="44">
        <f>IF(Mecze[[#This Row],[Role]]&lt;&gt;"BR",SUMPRODUCT(Mecze[[#This Row],[/PR:90]:[/BR:90]],Brudnopis!$E$24:$J$24),0)</f>
        <v>0.16666666666666669</v>
      </c>
      <c r="U1203" s="44">
        <f>IF(Mecze[[#This Row],[Role]]&lt;&gt;"BR",SUMPRODUCT(Mecze[[#This Row],[/PR:90]:[/BR:90]],Brudnopis!$E$25:$J$25),0)</f>
        <v>0.19270833333333331</v>
      </c>
      <c r="V1203" s="44">
        <f>IF(Mecze[[#This Row],[Role]]&lt;&gt;"BR",SUMPRODUCT(Mecze[[#This Row],[/PR:90]:[/BR:90]],Brudnopis!$E$26:$J$26),0)</f>
        <v>0.15625</v>
      </c>
      <c r="W1203" s="44">
        <f>IF(Mecze[[#This Row],[Role]]&lt;&gt;"BR",SUMPRODUCT(Mecze[[#This Row],[/PR:90]:[/BR:90]],Brudnopis!$E$27:$J$27),0)</f>
        <v>0.171875</v>
      </c>
      <c r="X1203" s="44">
        <f>IF(Mecze[[#This Row],[Role]]&lt;&gt;"BR",SUMPRODUCT(Mecze[[#This Row],[/PR:90]:[/BR:90]],Brudnopis!$E$28:$J$28),0)</f>
        <v>7.2916666666666671E-2</v>
      </c>
      <c r="Y1203" s="35">
        <f>IF(Mecze[[#This Row],[Role]]="BR",Mecze[[#This Row],[/OB:90]]+Mecze[[#This Row],[/PC:90]],SUM(Mecze[[#This Row],[/PR:90]:[/BR:90]]))</f>
        <v>0.15625</v>
      </c>
      <c r="Z1203" s="35">
        <f>IF(Mecze[[#This Row],[KC]]=0,SUM(Mecze[[#This Row],[/BRI]:[/NPI]]),SUM(Mecze[[#This Row],[/BRI]:[/NPI]])*0.6)</f>
        <v>0.76041666666666663</v>
      </c>
      <c r="AA1203" s="10">
        <f>IFERROR(Mecze[[#This Row],[BR]]/Mecze[[#This Row],[ST]],0)</f>
        <v>0</v>
      </c>
      <c r="AB1203">
        <f>ROUND(Mecze[[#This Row],[PD]]*Mecze[[#This Row],[%PC]],0)</f>
        <v>7</v>
      </c>
      <c r="AC1203">
        <f>ROUND(Mecze[[#This Row],[OD]]*Mecze[[#This Row],[%OU]],0)</f>
        <v>2</v>
      </c>
      <c r="AD1203" s="36" t="s">
        <v>47</v>
      </c>
      <c r="AE1203" s="36">
        <v>66</v>
      </c>
      <c r="AF1203" s="71">
        <v>5.18</v>
      </c>
      <c r="AG1203" s="37">
        <v>0</v>
      </c>
      <c r="AH1203" s="37">
        <v>0</v>
      </c>
      <c r="AI1203" s="37">
        <v>96</v>
      </c>
      <c r="AJ1203" s="37">
        <v>3</v>
      </c>
      <c r="AK1203" s="37" t="str">
        <f>VLOOKUP(Mecze[[#This Row],[Match ID]],Meczusie[Mecz]:Meczusie[RodzajMeczu],2,FALSE)</f>
        <v>Liga</v>
      </c>
    </row>
    <row r="1204" spans="1:37" x14ac:dyDescent="0.25">
      <c r="A1204" s="76">
        <v>5</v>
      </c>
      <c r="B1204" s="3" t="s">
        <v>267</v>
      </c>
      <c r="C1204" s="2" t="s">
        <v>160</v>
      </c>
      <c r="D1204" s="1">
        <v>0</v>
      </c>
      <c r="E1204" s="1">
        <v>0</v>
      </c>
      <c r="F1204" s="1">
        <v>0</v>
      </c>
      <c r="G1204" s="1">
        <v>15</v>
      </c>
      <c r="H1204" s="4">
        <v>0.8</v>
      </c>
      <c r="I1204" s="1">
        <v>5</v>
      </c>
      <c r="J1204" s="4">
        <v>0.8</v>
      </c>
      <c r="K1204" s="1">
        <v>0</v>
      </c>
      <c r="L1204" s="1">
        <v>4</v>
      </c>
      <c r="M1204" s="32">
        <f>IF(Mecze[[#This Row],[PR]]=0,0,Mecze[[#This Row],[PR]]/Mecze[[#This Row],[CZAS]])</f>
        <v>4.1666666666666664E-2</v>
      </c>
      <c r="N1204" s="32">
        <f>IF(Mecze[[#This Row],[OU]]=0,0,Mecze[[#This Row],[OU]]/Mecze[[#This Row],[CZAS]])</f>
        <v>4.1666666666666664E-2</v>
      </c>
      <c r="O1204" s="32">
        <f>IF(Mecze[[#This Row],[PC]]=0,0,Mecze[[#This Row],[PC]]/Mecze[[#This Row],[CZAS]])</f>
        <v>0.125</v>
      </c>
      <c r="P1204" s="32">
        <f>IF(Mecze[[#This Row],[SC]]=0,0,Mecze[[#This Row],[SC]]/Mecze[[#This Row],[CZAS]])</f>
        <v>0</v>
      </c>
      <c r="Q1204" s="32">
        <f>IF(Mecze[[#This Row],[OB]]=0,0,Mecze[[#This Row],[OB]]/Mecze[[#This Row],[CZAS]])</f>
        <v>0</v>
      </c>
      <c r="R1204" s="32">
        <f>IF(Mecze[[#This Row],[BR]]=0,0,Mecze[[#This Row],[BR]]/Mecze[[#This Row],[CZAS]])</f>
        <v>0</v>
      </c>
      <c r="S1204" s="44">
        <f>IF(Mecze[[#This Row],[Role]]="BR",SUMPRODUCT(Mecze[[#This Row],[/PR:90]:[/BR:90]],Brudnopis!$E$23:$J$23),0)</f>
        <v>0</v>
      </c>
      <c r="T1204" s="44">
        <f>IF(Mecze[[#This Row],[Role]]&lt;&gt;"BR",SUMPRODUCT(Mecze[[#This Row],[/PR:90]:[/BR:90]],Brudnopis!$E$24:$J$24),0)</f>
        <v>0.22916666666666666</v>
      </c>
      <c r="U1204" s="44">
        <f>IF(Mecze[[#This Row],[Role]]&lt;&gt;"BR",SUMPRODUCT(Mecze[[#This Row],[/PR:90]:[/BR:90]],Brudnopis!$E$25:$J$25),0)</f>
        <v>0.27083333333333331</v>
      </c>
      <c r="V1204" s="44">
        <f>IF(Mecze[[#This Row],[Role]]&lt;&gt;"BR",SUMPRODUCT(Mecze[[#This Row],[/PR:90]:[/BR:90]],Brudnopis!$E$26:$J$26),0)</f>
        <v>0.20833333333333331</v>
      </c>
      <c r="W1204" s="44">
        <f>IF(Mecze[[#This Row],[Role]]&lt;&gt;"BR",SUMPRODUCT(Mecze[[#This Row],[/PR:90]:[/BR:90]],Brudnopis!$E$27:$J$27),0)</f>
        <v>0.25</v>
      </c>
      <c r="X1204" s="44">
        <f>IF(Mecze[[#This Row],[Role]]&lt;&gt;"BR",SUMPRODUCT(Mecze[[#This Row],[/PR:90]:[/BR:90]],Brudnopis!$E$28:$J$28),0)</f>
        <v>0.125</v>
      </c>
      <c r="Y1204" s="35">
        <f>IF(Mecze[[#This Row],[Role]]="BR",Mecze[[#This Row],[/OB:90]]+Mecze[[#This Row],[/PC:90]],SUM(Mecze[[#This Row],[/PR:90]:[/BR:90]]))</f>
        <v>0.20833333333333331</v>
      </c>
      <c r="Z1204" s="35">
        <f>IF(Mecze[[#This Row],[KC]]=0,SUM(Mecze[[#This Row],[/BRI]:[/NPI]]),SUM(Mecze[[#This Row],[/BRI]:[/NPI]])*0.6)</f>
        <v>1.0833333333333333</v>
      </c>
      <c r="AA1204" s="10">
        <f>IFERROR(Mecze[[#This Row],[BR]]/Mecze[[#This Row],[ST]],0)</f>
        <v>0</v>
      </c>
      <c r="AB1204">
        <f>ROUND(Mecze[[#This Row],[PD]]*Mecze[[#This Row],[%PC]],0)</f>
        <v>12</v>
      </c>
      <c r="AC1204">
        <f>ROUND(Mecze[[#This Row],[OD]]*Mecze[[#This Row],[%OU]],0)</f>
        <v>4</v>
      </c>
      <c r="AD1204" s="36" t="s">
        <v>67</v>
      </c>
      <c r="AE1204" s="36">
        <v>66</v>
      </c>
      <c r="AF1204" s="71">
        <v>6.88</v>
      </c>
      <c r="AG1204" s="37">
        <v>0</v>
      </c>
      <c r="AH1204" s="37">
        <v>0</v>
      </c>
      <c r="AI1204" s="37">
        <v>96</v>
      </c>
      <c r="AJ1204" s="37">
        <v>3</v>
      </c>
      <c r="AK1204" s="37" t="str">
        <f>VLOOKUP(Mecze[[#This Row],[Match ID]],Meczusie[Mecz]:Meczusie[RodzajMeczu],2,FALSE)</f>
        <v>Liga</v>
      </c>
    </row>
    <row r="1205" spans="1:37" x14ac:dyDescent="0.25">
      <c r="A1205" s="76">
        <v>33</v>
      </c>
      <c r="B1205" s="3" t="s">
        <v>428</v>
      </c>
      <c r="C1205" s="2" t="s">
        <v>160</v>
      </c>
      <c r="D1205" s="1">
        <v>0</v>
      </c>
      <c r="E1205" s="1">
        <v>0</v>
      </c>
      <c r="F1205" s="1">
        <v>0</v>
      </c>
      <c r="G1205" s="1">
        <v>30</v>
      </c>
      <c r="H1205" s="4">
        <v>0.8</v>
      </c>
      <c r="I1205" s="1">
        <v>5</v>
      </c>
      <c r="J1205" s="4">
        <v>0.2</v>
      </c>
      <c r="K1205" s="1">
        <v>0</v>
      </c>
      <c r="L1205" s="1">
        <v>2</v>
      </c>
      <c r="M1205" s="32">
        <f>IF(Mecze[[#This Row],[PR]]=0,0,Mecze[[#This Row],[PR]]/Mecze[[#This Row],[CZAS]])</f>
        <v>2.0833333333333332E-2</v>
      </c>
      <c r="N1205" s="32">
        <f>IF(Mecze[[#This Row],[OU]]=0,0,Mecze[[#This Row],[OU]]/Mecze[[#This Row],[CZAS]])</f>
        <v>1.0416666666666666E-2</v>
      </c>
      <c r="O1205" s="32">
        <f>IF(Mecze[[#This Row],[PC]]=0,0,Mecze[[#This Row],[PC]]/Mecze[[#This Row],[CZAS]])</f>
        <v>0.25</v>
      </c>
      <c r="P1205" s="32">
        <f>IF(Mecze[[#This Row],[SC]]=0,0,Mecze[[#This Row],[SC]]/Mecze[[#This Row],[CZAS]])</f>
        <v>0</v>
      </c>
      <c r="Q1205" s="32">
        <f>IF(Mecze[[#This Row],[OB]]=0,0,Mecze[[#This Row],[OB]]/Mecze[[#This Row],[CZAS]])</f>
        <v>0</v>
      </c>
      <c r="R1205" s="32">
        <f>IF(Mecze[[#This Row],[BR]]=0,0,Mecze[[#This Row],[BR]]/Mecze[[#This Row],[CZAS]])</f>
        <v>0</v>
      </c>
      <c r="S1205" s="44">
        <f>IF(Mecze[[#This Row],[Role]]="BR",SUMPRODUCT(Mecze[[#This Row],[/PR:90]:[/BR:90]],Brudnopis!$E$23:$J$23),0)</f>
        <v>0</v>
      </c>
      <c r="T1205" s="44">
        <f>IF(Mecze[[#This Row],[Role]]&lt;&gt;"BR",SUMPRODUCT(Mecze[[#This Row],[/PR:90]:[/BR:90]],Brudnopis!$E$24:$J$24),0)</f>
        <v>0.28645833333333331</v>
      </c>
      <c r="U1205" s="44">
        <f>IF(Mecze[[#This Row],[Role]]&lt;&gt;"BR",SUMPRODUCT(Mecze[[#This Row],[/PR:90]:[/BR:90]],Brudnopis!$E$25:$J$25),0)</f>
        <v>0.40625</v>
      </c>
      <c r="V1205" s="44">
        <f>IF(Mecze[[#This Row],[Role]]&lt;&gt;"BR",SUMPRODUCT(Mecze[[#This Row],[/PR:90]:[/BR:90]],Brudnopis!$E$26:$J$26),0)</f>
        <v>0.28125</v>
      </c>
      <c r="W1205" s="44">
        <f>IF(Mecze[[#This Row],[Role]]&lt;&gt;"BR",SUMPRODUCT(Mecze[[#This Row],[/PR:90]:[/BR:90]],Brudnopis!$E$27:$J$27),0)</f>
        <v>0.3984375</v>
      </c>
      <c r="X1205" s="44">
        <f>IF(Mecze[[#This Row],[Role]]&lt;&gt;"BR",SUMPRODUCT(Mecze[[#This Row],[/PR:90]:[/BR:90]],Brudnopis!$E$28:$J$28),0)</f>
        <v>0.25</v>
      </c>
      <c r="Y1205" s="35">
        <f>IF(Mecze[[#This Row],[Role]]="BR",Mecze[[#This Row],[/OB:90]]+Mecze[[#This Row],[/PC:90]],SUM(Mecze[[#This Row],[/PR:90]:[/BR:90]]))</f>
        <v>0.28125</v>
      </c>
      <c r="Z1205" s="35">
        <f>IF(Mecze[[#This Row],[KC]]=0,SUM(Mecze[[#This Row],[/BRI]:[/NPI]]),SUM(Mecze[[#This Row],[/BRI]:[/NPI]])*0.6)</f>
        <v>1.6223958333333333</v>
      </c>
      <c r="AA1205" s="10">
        <f>IFERROR(Mecze[[#This Row],[BR]]/Mecze[[#This Row],[ST]],0)</f>
        <v>0</v>
      </c>
      <c r="AB1205">
        <f>ROUND(Mecze[[#This Row],[PD]]*Mecze[[#This Row],[%PC]],0)</f>
        <v>24</v>
      </c>
      <c r="AC1205">
        <f>ROUND(Mecze[[#This Row],[OD]]*Mecze[[#This Row],[%OU]],0)</f>
        <v>1</v>
      </c>
      <c r="AD1205" s="36" t="s">
        <v>67</v>
      </c>
      <c r="AE1205" s="36">
        <v>66</v>
      </c>
      <c r="AF1205" s="71">
        <v>6.46</v>
      </c>
      <c r="AG1205" s="37">
        <v>0</v>
      </c>
      <c r="AH1205" s="37">
        <v>0</v>
      </c>
      <c r="AI1205" s="37">
        <v>96</v>
      </c>
      <c r="AJ1205" s="37">
        <v>3</v>
      </c>
      <c r="AK1205" s="37" t="str">
        <f>VLOOKUP(Mecze[[#This Row],[Match ID]],Meczusie[Mecz]:Meczusie[RodzajMeczu],2,FALSE)</f>
        <v>Liga</v>
      </c>
    </row>
    <row r="1206" spans="1:37" x14ac:dyDescent="0.25">
      <c r="A1206" s="76">
        <v>3</v>
      </c>
      <c r="B1206" s="3" t="s">
        <v>268</v>
      </c>
      <c r="C1206" s="2" t="s">
        <v>160</v>
      </c>
      <c r="D1206" s="1">
        <v>0</v>
      </c>
      <c r="E1206" s="1">
        <v>4</v>
      </c>
      <c r="F1206" s="1">
        <v>4</v>
      </c>
      <c r="G1206" s="1">
        <v>15</v>
      </c>
      <c r="H1206" s="4">
        <v>0.87</v>
      </c>
      <c r="I1206" s="1">
        <v>3</v>
      </c>
      <c r="J1206" s="4">
        <v>0.67</v>
      </c>
      <c r="K1206" s="1">
        <v>0</v>
      </c>
      <c r="L1206" s="1">
        <v>2</v>
      </c>
      <c r="M1206" s="32">
        <f>IF(Mecze[[#This Row],[PR]]=0,0,Mecze[[#This Row],[PR]]/Mecze[[#This Row],[CZAS]])</f>
        <v>2.0833333333333332E-2</v>
      </c>
      <c r="N1206" s="32">
        <f>IF(Mecze[[#This Row],[OU]]=0,0,Mecze[[#This Row],[OU]]/Mecze[[#This Row],[CZAS]])</f>
        <v>2.0833333333333332E-2</v>
      </c>
      <c r="O1206" s="32">
        <f>IF(Mecze[[#This Row],[PC]]=0,0,Mecze[[#This Row],[PC]]/Mecze[[#This Row],[CZAS]])</f>
        <v>0.13541666666666666</v>
      </c>
      <c r="P1206" s="32">
        <f>IF(Mecze[[#This Row],[SC]]=0,0,Mecze[[#This Row],[SC]]/Mecze[[#This Row],[CZAS]])</f>
        <v>4.1666666666666664E-2</v>
      </c>
      <c r="Q1206" s="32">
        <f>IF(Mecze[[#This Row],[OB]]=0,0,Mecze[[#This Row],[OB]]/Mecze[[#This Row],[CZAS]])</f>
        <v>0</v>
      </c>
      <c r="R1206" s="32">
        <f>IF(Mecze[[#This Row],[BR]]=0,0,Mecze[[#This Row],[BR]]/Mecze[[#This Row],[CZAS]])</f>
        <v>0</v>
      </c>
      <c r="S1206" s="44">
        <f>IF(Mecze[[#This Row],[Role]]="BR",SUMPRODUCT(Mecze[[#This Row],[/PR:90]:[/BR:90]],Brudnopis!$E$23:$J$23),0)</f>
        <v>0</v>
      </c>
      <c r="T1206" s="44">
        <f>IF(Mecze[[#This Row],[Role]]&lt;&gt;"BR",SUMPRODUCT(Mecze[[#This Row],[/PR:90]:[/BR:90]],Brudnopis!$E$24:$J$24),0)</f>
        <v>0.22916666666666666</v>
      </c>
      <c r="U1206" s="44">
        <f>IF(Mecze[[#This Row],[Role]]&lt;&gt;"BR",SUMPRODUCT(Mecze[[#This Row],[/PR:90]:[/BR:90]],Brudnopis!$E$25:$J$25),0)</f>
        <v>0.28645833333333331</v>
      </c>
      <c r="V1206" s="44">
        <f>IF(Mecze[[#This Row],[Role]]&lt;&gt;"BR",SUMPRODUCT(Mecze[[#This Row],[/PR:90]:[/BR:90]],Brudnopis!$E$26:$J$26),0)</f>
        <v>0.21874999999999997</v>
      </c>
      <c r="W1206" s="44">
        <f>IF(Mecze[[#This Row],[Role]]&lt;&gt;"BR",SUMPRODUCT(Mecze[[#This Row],[/PR:90]:[/BR:90]],Brudnopis!$E$27:$J$27),0)</f>
        <v>0.27604166666666669</v>
      </c>
      <c r="X1206" s="44">
        <f>IF(Mecze[[#This Row],[Role]]&lt;&gt;"BR",SUMPRODUCT(Mecze[[#This Row],[/PR:90]:[/BR:90]],Brudnopis!$E$28:$J$28),0)</f>
        <v>0.21875</v>
      </c>
      <c r="Y1206" s="35">
        <f>IF(Mecze[[#This Row],[Role]]="BR",Mecze[[#This Row],[/OB:90]]+Mecze[[#This Row],[/PC:90]],SUM(Mecze[[#This Row],[/PR:90]:[/BR:90]]))</f>
        <v>0.21874999999999997</v>
      </c>
      <c r="Z1206" s="35">
        <f>IF(Mecze[[#This Row],[KC]]=0,SUM(Mecze[[#This Row],[/BRI]:[/NPI]]),SUM(Mecze[[#This Row],[/BRI]:[/NPI]])*0.6)</f>
        <v>1.2291666666666667</v>
      </c>
      <c r="AA1206" s="10">
        <f>IFERROR(Mecze[[#This Row],[BR]]/Mecze[[#This Row],[ST]],0)</f>
        <v>0</v>
      </c>
      <c r="AB1206">
        <f>ROUND(Mecze[[#This Row],[PD]]*Mecze[[#This Row],[%PC]],0)</f>
        <v>13</v>
      </c>
      <c r="AC1206">
        <f>ROUND(Mecze[[#This Row],[OD]]*Mecze[[#This Row],[%OU]],0)</f>
        <v>2</v>
      </c>
      <c r="AD1206" s="36" t="s">
        <v>44</v>
      </c>
      <c r="AE1206" s="36">
        <v>66</v>
      </c>
      <c r="AF1206" s="71">
        <v>7.38</v>
      </c>
      <c r="AG1206" s="37">
        <v>0</v>
      </c>
      <c r="AH1206" s="37">
        <v>0</v>
      </c>
      <c r="AI1206" s="37">
        <v>96</v>
      </c>
      <c r="AJ1206" s="37">
        <v>3</v>
      </c>
      <c r="AK1206" s="37" t="str">
        <f>VLOOKUP(Mecze[[#This Row],[Match ID]],Meczusie[Mecz]:Meczusie[RodzajMeczu],2,FALSE)</f>
        <v>Liga</v>
      </c>
    </row>
    <row r="1207" spans="1:37" x14ac:dyDescent="0.25">
      <c r="A1207" s="76">
        <v>8</v>
      </c>
      <c r="B1207" s="3" t="s">
        <v>269</v>
      </c>
      <c r="C1207" s="2" t="s">
        <v>165</v>
      </c>
      <c r="D1207" s="1">
        <v>0</v>
      </c>
      <c r="E1207" s="1">
        <v>3</v>
      </c>
      <c r="F1207" s="1">
        <v>1</v>
      </c>
      <c r="G1207" s="1">
        <v>10</v>
      </c>
      <c r="H1207" s="4">
        <v>0.7</v>
      </c>
      <c r="I1207" s="1">
        <v>3</v>
      </c>
      <c r="J1207" s="4">
        <v>0.33</v>
      </c>
      <c r="K1207" s="1">
        <v>0</v>
      </c>
      <c r="L1207" s="1">
        <v>1</v>
      </c>
      <c r="M1207" s="32">
        <f>IF(Mecze[[#This Row],[PR]]=0,0,Mecze[[#This Row],[PR]]/Mecze[[#This Row],[CZAS]])</f>
        <v>1.0416666666666666E-2</v>
      </c>
      <c r="N1207" s="32">
        <f>IF(Mecze[[#This Row],[OU]]=0,0,Mecze[[#This Row],[OU]]/Mecze[[#This Row],[CZAS]])</f>
        <v>1.0416666666666666E-2</v>
      </c>
      <c r="O1207" s="32">
        <f>IF(Mecze[[#This Row],[PC]]=0,0,Mecze[[#This Row],[PC]]/Mecze[[#This Row],[CZAS]])</f>
        <v>7.2916666666666671E-2</v>
      </c>
      <c r="P1207" s="32">
        <f>IF(Mecze[[#This Row],[SC]]=0,0,Mecze[[#This Row],[SC]]/Mecze[[#This Row],[CZAS]])</f>
        <v>1.0416666666666666E-2</v>
      </c>
      <c r="Q1207" s="32">
        <f>IF(Mecze[[#This Row],[OB]]=0,0,Mecze[[#This Row],[OB]]/Mecze[[#This Row],[CZAS]])</f>
        <v>0</v>
      </c>
      <c r="R1207" s="32">
        <f>IF(Mecze[[#This Row],[BR]]=0,0,Mecze[[#This Row],[BR]]/Mecze[[#This Row],[CZAS]])</f>
        <v>0</v>
      </c>
      <c r="S1207" s="44">
        <f>IF(Mecze[[#This Row],[Role]]="BR",SUMPRODUCT(Mecze[[#This Row],[/PR:90]:[/BR:90]],Brudnopis!$E$23:$J$23),0)</f>
        <v>0</v>
      </c>
      <c r="T1207" s="44">
        <f>IF(Mecze[[#This Row],[Role]]&lt;&gt;"BR",SUMPRODUCT(Mecze[[#This Row],[/PR:90]:[/BR:90]],Brudnopis!$E$24:$J$24),0)</f>
        <v>0.10937500000000001</v>
      </c>
      <c r="U1207" s="44">
        <f>IF(Mecze[[#This Row],[Role]]&lt;&gt;"BR",SUMPRODUCT(Mecze[[#This Row],[/PR:90]:[/BR:90]],Brudnopis!$E$25:$J$25),0)</f>
        <v>0.140625</v>
      </c>
      <c r="V1207" s="44">
        <f>IF(Mecze[[#This Row],[Role]]&lt;&gt;"BR",SUMPRODUCT(Mecze[[#This Row],[/PR:90]:[/BR:90]],Brudnopis!$E$26:$J$26),0)</f>
        <v>0.10416666666666667</v>
      </c>
      <c r="W1207" s="44">
        <f>IF(Mecze[[#This Row],[Role]]&lt;&gt;"BR",SUMPRODUCT(Mecze[[#This Row],[/PR:90]:[/BR:90]],Brudnopis!$E$27:$J$27),0)</f>
        <v>0.13541666666666666</v>
      </c>
      <c r="X1207" s="44">
        <f>IF(Mecze[[#This Row],[Role]]&lt;&gt;"BR",SUMPRODUCT(Mecze[[#This Row],[/PR:90]:[/BR:90]],Brudnopis!$E$28:$J$28),0)</f>
        <v>9.375E-2</v>
      </c>
      <c r="Y1207" s="35">
        <f>IF(Mecze[[#This Row],[Role]]="BR",Mecze[[#This Row],[/OB:90]]+Mecze[[#This Row],[/PC:90]],SUM(Mecze[[#This Row],[/PR:90]:[/BR:90]]))</f>
        <v>0.10416666666666667</v>
      </c>
      <c r="Z1207" s="35">
        <f>IF(Mecze[[#This Row],[KC]]=0,SUM(Mecze[[#This Row],[/BRI]:[/NPI]]),SUM(Mecze[[#This Row],[/BRI]:[/NPI]])*0.6)</f>
        <v>0.58333333333333337</v>
      </c>
      <c r="AA1207" s="10">
        <f>IFERROR(Mecze[[#This Row],[BR]]/Mecze[[#This Row],[ST]],0)</f>
        <v>0</v>
      </c>
      <c r="AB1207">
        <f>ROUND(Mecze[[#This Row],[PD]]*Mecze[[#This Row],[%PC]],0)</f>
        <v>7</v>
      </c>
      <c r="AC1207">
        <f>ROUND(Mecze[[#This Row],[OD]]*Mecze[[#This Row],[%OU]],0)</f>
        <v>1</v>
      </c>
      <c r="AD1207" s="36" t="s">
        <v>272</v>
      </c>
      <c r="AE1207" s="36">
        <v>66</v>
      </c>
      <c r="AF1207" s="71">
        <v>5.48</v>
      </c>
      <c r="AG1207" s="37">
        <v>0</v>
      </c>
      <c r="AH1207" s="37">
        <v>0</v>
      </c>
      <c r="AI1207" s="37">
        <v>96</v>
      </c>
      <c r="AJ1207" s="37">
        <v>3</v>
      </c>
      <c r="AK1207" s="37" t="str">
        <f>VLOOKUP(Mecze[[#This Row],[Match ID]],Meczusie[Mecz]:Meczusie[RodzajMeczu],2,FALSE)</f>
        <v>Liga</v>
      </c>
    </row>
    <row r="1208" spans="1:37" x14ac:dyDescent="0.25">
      <c r="A1208" s="76">
        <v>11</v>
      </c>
      <c r="B1208" s="3" t="s">
        <v>270</v>
      </c>
      <c r="C1208" s="2" t="s">
        <v>165</v>
      </c>
      <c r="D1208" s="1">
        <v>0</v>
      </c>
      <c r="E1208" s="1">
        <v>3</v>
      </c>
      <c r="F1208" s="1">
        <v>3</v>
      </c>
      <c r="G1208" s="1">
        <v>14</v>
      </c>
      <c r="H1208" s="4">
        <v>0.64</v>
      </c>
      <c r="I1208" s="1">
        <v>2</v>
      </c>
      <c r="J1208" s="4">
        <v>1</v>
      </c>
      <c r="K1208" s="1">
        <v>0</v>
      </c>
      <c r="L1208" s="1">
        <v>0</v>
      </c>
      <c r="M1208" s="32">
        <f>IF(Mecze[[#This Row],[PR]]=0,0,Mecze[[#This Row],[PR]]/Mecze[[#This Row],[CZAS]])</f>
        <v>0</v>
      </c>
      <c r="N1208" s="32">
        <f>IF(Mecze[[#This Row],[OU]]=0,0,Mecze[[#This Row],[OU]]/Mecze[[#This Row],[CZAS]])</f>
        <v>2.0833333333333332E-2</v>
      </c>
      <c r="O1208" s="32">
        <f>IF(Mecze[[#This Row],[PC]]=0,0,Mecze[[#This Row],[PC]]/Mecze[[#This Row],[CZAS]])</f>
        <v>9.375E-2</v>
      </c>
      <c r="P1208" s="32">
        <f>IF(Mecze[[#This Row],[SC]]=0,0,Mecze[[#This Row],[SC]]/Mecze[[#This Row],[CZAS]])</f>
        <v>3.125E-2</v>
      </c>
      <c r="Q1208" s="32">
        <f>IF(Mecze[[#This Row],[OB]]=0,0,Mecze[[#This Row],[OB]]/Mecze[[#This Row],[CZAS]])</f>
        <v>0</v>
      </c>
      <c r="R1208" s="32">
        <f>IF(Mecze[[#This Row],[BR]]=0,0,Mecze[[#This Row],[BR]]/Mecze[[#This Row],[CZAS]])</f>
        <v>0</v>
      </c>
      <c r="S1208" s="44">
        <f>IF(Mecze[[#This Row],[Role]]="BR",SUMPRODUCT(Mecze[[#This Row],[/PR:90]:[/BR:90]],Brudnopis!$E$23:$J$23),0)</f>
        <v>0</v>
      </c>
      <c r="T1208" s="44">
        <f>IF(Mecze[[#This Row],[Role]]&lt;&gt;"BR",SUMPRODUCT(Mecze[[#This Row],[/PR:90]:[/BR:90]],Brudnopis!$E$24:$J$24),0)</f>
        <v>0.15625</v>
      </c>
      <c r="U1208" s="44">
        <f>IF(Mecze[[#This Row],[Role]]&lt;&gt;"BR",SUMPRODUCT(Mecze[[#This Row],[/PR:90]:[/BR:90]],Brudnopis!$E$25:$J$25),0)</f>
        <v>0.19270833333333334</v>
      </c>
      <c r="V1208" s="44">
        <f>IF(Mecze[[#This Row],[Role]]&lt;&gt;"BR",SUMPRODUCT(Mecze[[#This Row],[/PR:90]:[/BR:90]],Brudnopis!$E$26:$J$26),0)</f>
        <v>0.14583333333333331</v>
      </c>
      <c r="W1208" s="44">
        <f>IF(Mecze[[#This Row],[Role]]&lt;&gt;"BR",SUMPRODUCT(Mecze[[#This Row],[/PR:90]:[/BR:90]],Brudnopis!$E$27:$J$27),0)</f>
        <v>0.1875</v>
      </c>
      <c r="X1208" s="44">
        <f>IF(Mecze[[#This Row],[Role]]&lt;&gt;"BR",SUMPRODUCT(Mecze[[#This Row],[/PR:90]:[/BR:90]],Brudnopis!$E$28:$J$28),0)</f>
        <v>0.15625</v>
      </c>
      <c r="Y1208" s="35">
        <f>IF(Mecze[[#This Row],[Role]]="BR",Mecze[[#This Row],[/OB:90]]+Mecze[[#This Row],[/PC:90]],SUM(Mecze[[#This Row],[/PR:90]:[/BR:90]]))</f>
        <v>0.14583333333333331</v>
      </c>
      <c r="Z1208" s="35">
        <f>IF(Mecze[[#This Row],[KC]]=0,SUM(Mecze[[#This Row],[/BRI]:[/NPI]]),SUM(Mecze[[#This Row],[/BRI]:[/NPI]])*0.6)</f>
        <v>0.83854166666666674</v>
      </c>
      <c r="AA1208" s="10">
        <f>IFERROR(Mecze[[#This Row],[BR]]/Mecze[[#This Row],[ST]],0)</f>
        <v>0</v>
      </c>
      <c r="AB1208">
        <f>ROUND(Mecze[[#This Row],[PD]]*Mecze[[#This Row],[%PC]],0)</f>
        <v>9</v>
      </c>
      <c r="AC1208">
        <f>ROUND(Mecze[[#This Row],[OD]]*Mecze[[#This Row],[%OU]],0)</f>
        <v>2</v>
      </c>
      <c r="AD1208" s="36" t="s">
        <v>273</v>
      </c>
      <c r="AE1208" s="36">
        <v>66</v>
      </c>
      <c r="AF1208" s="71">
        <v>5.92</v>
      </c>
      <c r="AG1208" s="37">
        <v>0</v>
      </c>
      <c r="AH1208" s="37">
        <v>0</v>
      </c>
      <c r="AI1208" s="37">
        <v>96</v>
      </c>
      <c r="AJ1208" s="37">
        <v>3</v>
      </c>
      <c r="AK1208" s="37" t="str">
        <f>VLOOKUP(Mecze[[#This Row],[Match ID]],Meczusie[Mecz]:Meczusie[RodzajMeczu],2,FALSE)</f>
        <v>Liga</v>
      </c>
    </row>
    <row r="1209" spans="1:37" x14ac:dyDescent="0.25">
      <c r="A1209" s="76">
        <v>10</v>
      </c>
      <c r="B1209" s="3" t="s">
        <v>271</v>
      </c>
      <c r="C1209" s="2" t="s">
        <v>165</v>
      </c>
      <c r="D1209" s="1">
        <v>2</v>
      </c>
      <c r="E1209" s="1">
        <v>10</v>
      </c>
      <c r="F1209" s="1">
        <v>9</v>
      </c>
      <c r="G1209" s="1">
        <v>14</v>
      </c>
      <c r="H1209" s="4">
        <v>0.79</v>
      </c>
      <c r="I1209" s="1">
        <v>4</v>
      </c>
      <c r="J1209" s="4">
        <v>0.75</v>
      </c>
      <c r="K1209" s="1">
        <v>0</v>
      </c>
      <c r="L1209" s="1">
        <v>0</v>
      </c>
      <c r="M1209" s="32">
        <f>IF(Mecze[[#This Row],[PR]]=0,0,Mecze[[#This Row],[PR]]/Mecze[[#This Row],[CZAS]])</f>
        <v>0</v>
      </c>
      <c r="N1209" s="32">
        <f>IF(Mecze[[#This Row],[OU]]=0,0,Mecze[[#This Row],[OU]]/Mecze[[#This Row],[CZAS]])</f>
        <v>3.125E-2</v>
      </c>
      <c r="O1209" s="32">
        <f>IF(Mecze[[#This Row],[PC]]=0,0,Mecze[[#This Row],[PC]]/Mecze[[#This Row],[CZAS]])</f>
        <v>0.11458333333333333</v>
      </c>
      <c r="P1209" s="32">
        <f>IF(Mecze[[#This Row],[SC]]=0,0,Mecze[[#This Row],[SC]]/Mecze[[#This Row],[CZAS]])</f>
        <v>9.375E-2</v>
      </c>
      <c r="Q1209" s="32">
        <f>IF(Mecze[[#This Row],[OB]]=0,0,Mecze[[#This Row],[OB]]/Mecze[[#This Row],[CZAS]])</f>
        <v>0</v>
      </c>
      <c r="R1209" s="32">
        <f>IF(Mecze[[#This Row],[BR]]=0,0,Mecze[[#This Row],[BR]]/Mecze[[#This Row],[CZAS]])</f>
        <v>2.0833333333333332E-2</v>
      </c>
      <c r="S1209" s="44">
        <f>IF(Mecze[[#This Row],[Role]]="BR",SUMPRODUCT(Mecze[[#This Row],[/PR:90]:[/BR:90]],Brudnopis!$E$23:$J$23),0)</f>
        <v>0</v>
      </c>
      <c r="T1209" s="44">
        <f>IF(Mecze[[#This Row],[Role]]&lt;&gt;"BR",SUMPRODUCT(Mecze[[#This Row],[/PR:90]:[/BR:90]],Brudnopis!$E$24:$J$24),0)</f>
        <v>0.28645833333333331</v>
      </c>
      <c r="U1209" s="44">
        <f>IF(Mecze[[#This Row],[Role]]&lt;&gt;"BR",SUMPRODUCT(Mecze[[#This Row],[/PR:90]:[/BR:90]],Brudnopis!$E$25:$J$25),0)</f>
        <v>0.328125</v>
      </c>
      <c r="V1209" s="44">
        <f>IF(Mecze[[#This Row],[Role]]&lt;&gt;"BR",SUMPRODUCT(Mecze[[#This Row],[/PR:90]:[/BR:90]],Brudnopis!$E$26:$J$26),0)</f>
        <v>0.28125</v>
      </c>
      <c r="W1209" s="44">
        <f>IF(Mecze[[#This Row],[Role]]&lt;&gt;"BR",SUMPRODUCT(Mecze[[#This Row],[/PR:90]:[/BR:90]],Brudnopis!$E$27:$J$27),0)</f>
        <v>0.33072916666666669</v>
      </c>
      <c r="X1209" s="44">
        <f>IF(Mecze[[#This Row],[Role]]&lt;&gt;"BR",SUMPRODUCT(Mecze[[#This Row],[/PR:90]:[/BR:90]],Brudnopis!$E$28:$J$28),0)</f>
        <v>0.36458333333333331</v>
      </c>
      <c r="Y1209" s="35">
        <f>IF(Mecze[[#This Row],[Role]]="BR",Mecze[[#This Row],[/OB:90]]+Mecze[[#This Row],[/PC:90]],SUM(Mecze[[#This Row],[/PR:90]:[/BR:90]]))</f>
        <v>0.26041666666666663</v>
      </c>
      <c r="Z1209" s="35">
        <f>IF(Mecze[[#This Row],[KC]]=0,SUM(Mecze[[#This Row],[/BRI]:[/NPI]]),SUM(Mecze[[#This Row],[/BRI]:[/NPI]])*0.6)</f>
        <v>1.5911458333333333</v>
      </c>
      <c r="AA1209" s="10">
        <f>IFERROR(Mecze[[#This Row],[BR]]/Mecze[[#This Row],[ST]],0)</f>
        <v>0.2</v>
      </c>
      <c r="AB1209">
        <f>ROUND(Mecze[[#This Row],[PD]]*Mecze[[#This Row],[%PC]],0)</f>
        <v>11</v>
      </c>
      <c r="AC1209">
        <f>ROUND(Mecze[[#This Row],[OD]]*Mecze[[#This Row],[%OU]],0)</f>
        <v>3</v>
      </c>
      <c r="AD1209" s="36" t="s">
        <v>46</v>
      </c>
      <c r="AE1209" s="36">
        <v>66</v>
      </c>
      <c r="AF1209" s="71">
        <v>10.73</v>
      </c>
      <c r="AG1209" s="37">
        <v>1</v>
      </c>
      <c r="AH1209" s="37">
        <v>0</v>
      </c>
      <c r="AI1209" s="37">
        <v>96</v>
      </c>
      <c r="AJ1209" s="37">
        <v>3</v>
      </c>
      <c r="AK1209" s="37" t="str">
        <f>VLOOKUP(Mecze[[#This Row],[Match ID]],Meczusie[Mecz]:Meczusie[RodzajMeczu],2,FALSE)</f>
        <v>Liga</v>
      </c>
    </row>
    <row r="1210" spans="1:37" x14ac:dyDescent="0.25">
      <c r="A1210" s="76">
        <v>1</v>
      </c>
      <c r="B1210" s="3" t="s">
        <v>169</v>
      </c>
      <c r="C1210" s="2" t="s">
        <v>155</v>
      </c>
      <c r="D1210" s="1">
        <v>0</v>
      </c>
      <c r="E1210" s="1">
        <v>0</v>
      </c>
      <c r="F1210" s="1">
        <v>0</v>
      </c>
      <c r="G1210" s="1">
        <v>7</v>
      </c>
      <c r="H1210" s="4">
        <v>0.56999999999999995</v>
      </c>
      <c r="I1210" s="1">
        <v>0</v>
      </c>
      <c r="J1210" s="4"/>
      <c r="K1210" s="1">
        <v>6</v>
      </c>
      <c r="L1210" s="1">
        <v>0</v>
      </c>
      <c r="M1210" s="32">
        <f>IF(Mecze[[#This Row],[PR]]=0,0,Mecze[[#This Row],[PR]]/Mecze[[#This Row],[CZAS]])</f>
        <v>0</v>
      </c>
      <c r="N1210" s="32">
        <f>IF(Mecze[[#This Row],[OU]]=0,0,Mecze[[#This Row],[OU]]/Mecze[[#This Row],[CZAS]])</f>
        <v>0</v>
      </c>
      <c r="O1210" s="32">
        <f>IF(Mecze[[#This Row],[PC]]=0,0,Mecze[[#This Row],[PC]]/Mecze[[#This Row],[CZAS]])</f>
        <v>4.1237113402061855E-2</v>
      </c>
      <c r="P1210" s="32">
        <f>IF(Mecze[[#This Row],[SC]]=0,0,Mecze[[#This Row],[SC]]/Mecze[[#This Row],[CZAS]])</f>
        <v>0</v>
      </c>
      <c r="Q1210" s="32">
        <f>IF(Mecze[[#This Row],[OB]]=0,0,Mecze[[#This Row],[OB]]/Mecze[[#This Row],[CZAS]])</f>
        <v>6.1855670103092786E-2</v>
      </c>
      <c r="R1210" s="32">
        <f>IF(Mecze[[#This Row],[BR]]=0,0,Mecze[[#This Row],[BR]]/Mecze[[#This Row],[CZAS]])</f>
        <v>0</v>
      </c>
      <c r="S1210" s="44">
        <f>IF(Mecze[[#This Row],[Role]]="BR",SUMPRODUCT(Mecze[[#This Row],[/PR:90]:[/BR:90]],Brudnopis!$E$23:$J$23),0)</f>
        <v>0.30927835051546393</v>
      </c>
      <c r="T1210" s="44">
        <f>IF(Mecze[[#This Row],[Role]]&lt;&gt;"BR",SUMPRODUCT(Mecze[[#This Row],[/PR:90]:[/BR:90]],Brudnopis!$E$24:$J$24),0)</f>
        <v>0</v>
      </c>
      <c r="U1210" s="44">
        <f>IF(Mecze[[#This Row],[Role]]&lt;&gt;"BR",SUMPRODUCT(Mecze[[#This Row],[/PR:90]:[/BR:90]],Brudnopis!$E$25:$J$25),0)</f>
        <v>0</v>
      </c>
      <c r="V1210" s="44">
        <f>IF(Mecze[[#This Row],[Role]]&lt;&gt;"BR",SUMPRODUCT(Mecze[[#This Row],[/PR:90]:[/BR:90]],Brudnopis!$E$26:$J$26),0)</f>
        <v>0</v>
      </c>
      <c r="W1210" s="44">
        <f>IF(Mecze[[#This Row],[Role]]&lt;&gt;"BR",SUMPRODUCT(Mecze[[#This Row],[/PR:90]:[/BR:90]],Brudnopis!$E$27:$J$27),0)</f>
        <v>0</v>
      </c>
      <c r="X1210" s="44">
        <f>IF(Mecze[[#This Row],[Role]]&lt;&gt;"BR",SUMPRODUCT(Mecze[[#This Row],[/PR:90]:[/BR:90]],Brudnopis!$E$28:$J$28),0)</f>
        <v>0</v>
      </c>
      <c r="Y1210" s="35">
        <f>IF(Mecze[[#This Row],[Role]]="BR",Mecze[[#This Row],[/OB:90]]+Mecze[[#This Row],[/PC:90]],SUM(Mecze[[#This Row],[/PR:90]:[/BR:90]]))</f>
        <v>0.10309278350515463</v>
      </c>
      <c r="Z1210" s="35">
        <f>IF(Mecze[[#This Row],[KC]]=0,SUM(Mecze[[#This Row],[/BRI]:[/NPI]]),SUM(Mecze[[#This Row],[/BRI]:[/NPI]])*0.6)</f>
        <v>0.30927835051546393</v>
      </c>
      <c r="AA1210" s="10">
        <f>IFERROR(Mecze[[#This Row],[BR]]/Mecze[[#This Row],[ST]],0)</f>
        <v>0</v>
      </c>
      <c r="AB1210">
        <f>ROUND(Mecze[[#This Row],[PD]]*Mecze[[#This Row],[%PC]],0)</f>
        <v>4</v>
      </c>
      <c r="AC1210">
        <f>ROUND(Mecze[[#This Row],[OD]]*Mecze[[#This Row],[%OU]],0)</f>
        <v>0</v>
      </c>
      <c r="AD1210" s="36" t="s">
        <v>40</v>
      </c>
      <c r="AE1210" s="36">
        <v>67</v>
      </c>
      <c r="AF1210" s="71">
        <v>6.13</v>
      </c>
      <c r="AG1210" s="37">
        <v>0</v>
      </c>
      <c r="AH1210" s="37">
        <v>0</v>
      </c>
      <c r="AI1210" s="37">
        <v>97</v>
      </c>
      <c r="AJ1210" s="37">
        <v>1</v>
      </c>
      <c r="AK1210" s="37" t="str">
        <f>VLOOKUP(Mecze[[#This Row],[Match ID]],Meczusie[Mecz]:Meczusie[RodzajMeczu],2,FALSE)</f>
        <v>Liga</v>
      </c>
    </row>
    <row r="1211" spans="1:37" x14ac:dyDescent="0.25">
      <c r="A1211" s="76">
        <v>2</v>
      </c>
      <c r="B1211" s="3" t="s">
        <v>156</v>
      </c>
      <c r="C1211" s="2" t="s">
        <v>157</v>
      </c>
      <c r="D1211" s="1">
        <v>0</v>
      </c>
      <c r="E1211" s="1">
        <v>0</v>
      </c>
      <c r="F1211" s="1">
        <v>0</v>
      </c>
      <c r="G1211" s="1">
        <v>12</v>
      </c>
      <c r="H1211" s="4">
        <v>0.67</v>
      </c>
      <c r="I1211" s="1">
        <v>10</v>
      </c>
      <c r="J1211" s="4">
        <v>0.4</v>
      </c>
      <c r="K1211" s="1">
        <v>0</v>
      </c>
      <c r="L1211" s="1">
        <v>3</v>
      </c>
      <c r="M1211" s="32">
        <f>IF(Mecze[[#This Row],[PR]]=0,0,Mecze[[#This Row],[PR]]/Mecze[[#This Row],[CZAS]])</f>
        <v>3.0927835051546393E-2</v>
      </c>
      <c r="N1211" s="32">
        <f>IF(Mecze[[#This Row],[OU]]=0,0,Mecze[[#This Row],[OU]]/Mecze[[#This Row],[CZAS]])</f>
        <v>4.1237113402061855E-2</v>
      </c>
      <c r="O1211" s="32">
        <f>IF(Mecze[[#This Row],[PC]]=0,0,Mecze[[#This Row],[PC]]/Mecze[[#This Row],[CZAS]])</f>
        <v>8.247422680412371E-2</v>
      </c>
      <c r="P1211" s="32">
        <f>IF(Mecze[[#This Row],[SC]]=0,0,Mecze[[#This Row],[SC]]/Mecze[[#This Row],[CZAS]])</f>
        <v>0</v>
      </c>
      <c r="Q1211" s="32">
        <f>IF(Mecze[[#This Row],[OB]]=0,0,Mecze[[#This Row],[OB]]/Mecze[[#This Row],[CZAS]])</f>
        <v>0</v>
      </c>
      <c r="R1211" s="32">
        <f>IF(Mecze[[#This Row],[BR]]=0,0,Mecze[[#This Row],[BR]]/Mecze[[#This Row],[CZAS]])</f>
        <v>0</v>
      </c>
      <c r="S1211" s="44">
        <f>IF(Mecze[[#This Row],[Role]]="BR",SUMPRODUCT(Mecze[[#This Row],[/PR:90]:[/BR:90]],Brudnopis!$E$23:$J$23),0)</f>
        <v>0</v>
      </c>
      <c r="T1211" s="44">
        <f>IF(Mecze[[#This Row],[Role]]&lt;&gt;"BR",SUMPRODUCT(Mecze[[#This Row],[/PR:90]:[/BR:90]],Brudnopis!$E$24:$J$24),0)</f>
        <v>0.17525773195876287</v>
      </c>
      <c r="U1211" s="44">
        <f>IF(Mecze[[#This Row],[Role]]&lt;&gt;"BR",SUMPRODUCT(Mecze[[#This Row],[/PR:90]:[/BR:90]],Brudnopis!$E$25:$J$25),0)</f>
        <v>0.19587628865979381</v>
      </c>
      <c r="V1211" s="44">
        <f>IF(Mecze[[#This Row],[Role]]&lt;&gt;"BR",SUMPRODUCT(Mecze[[#This Row],[/PR:90]:[/BR:90]],Brudnopis!$E$26:$J$26),0)</f>
        <v>0.15463917525773196</v>
      </c>
      <c r="W1211" s="44">
        <f>IF(Mecze[[#This Row],[Role]]&lt;&gt;"BR",SUMPRODUCT(Mecze[[#This Row],[/PR:90]:[/BR:90]],Brudnopis!$E$27:$J$27),0)</f>
        <v>0.17783505154639176</v>
      </c>
      <c r="X1211" s="44">
        <f>IF(Mecze[[#This Row],[Role]]&lt;&gt;"BR",SUMPRODUCT(Mecze[[#This Row],[/PR:90]:[/BR:90]],Brudnopis!$E$28:$J$28),0)</f>
        <v>8.247422680412371E-2</v>
      </c>
      <c r="Y1211" s="35">
        <f>IF(Mecze[[#This Row],[Role]]="BR",Mecze[[#This Row],[/OB:90]]+Mecze[[#This Row],[/PC:90]],SUM(Mecze[[#This Row],[/PR:90]:[/BR:90]]))</f>
        <v>0.15463917525773196</v>
      </c>
      <c r="Z1211" s="35">
        <f>IF(Mecze[[#This Row],[KC]]=0,SUM(Mecze[[#This Row],[/BRI]:[/NPI]]),SUM(Mecze[[#This Row],[/BRI]:[/NPI]])*0.6)</f>
        <v>0.78608247422680422</v>
      </c>
      <c r="AA1211" s="10">
        <f>IFERROR(Mecze[[#This Row],[BR]]/Mecze[[#This Row],[ST]],0)</f>
        <v>0</v>
      </c>
      <c r="AB1211">
        <f>ROUND(Mecze[[#This Row],[PD]]*Mecze[[#This Row],[%PC]],0)</f>
        <v>8</v>
      </c>
      <c r="AC1211">
        <f>ROUND(Mecze[[#This Row],[OD]]*Mecze[[#This Row],[%OU]],0)</f>
        <v>4</v>
      </c>
      <c r="AD1211" s="36" t="s">
        <v>47</v>
      </c>
      <c r="AE1211" s="36">
        <v>67</v>
      </c>
      <c r="AF1211" s="71">
        <v>3.44</v>
      </c>
      <c r="AG1211" s="37">
        <v>0</v>
      </c>
      <c r="AH1211" s="37">
        <v>0</v>
      </c>
      <c r="AI1211" s="37">
        <v>97</v>
      </c>
      <c r="AJ1211" s="37">
        <v>1</v>
      </c>
      <c r="AK1211" s="37" t="str">
        <f>VLOOKUP(Mecze[[#This Row],[Match ID]],Meczusie[Mecz]:Meczusie[RodzajMeczu],2,FALSE)</f>
        <v>Liga</v>
      </c>
    </row>
    <row r="1212" spans="1:37" x14ac:dyDescent="0.25">
      <c r="A1212" s="76">
        <v>18</v>
      </c>
      <c r="B1212" s="3" t="s">
        <v>211</v>
      </c>
      <c r="C1212" s="2" t="s">
        <v>157</v>
      </c>
      <c r="D1212" s="1">
        <v>0</v>
      </c>
      <c r="E1212" s="1">
        <v>0</v>
      </c>
      <c r="F1212" s="1">
        <v>0</v>
      </c>
      <c r="G1212" s="1">
        <v>10</v>
      </c>
      <c r="H1212" s="4">
        <v>0.5</v>
      </c>
      <c r="I1212" s="1">
        <v>8</v>
      </c>
      <c r="J1212" s="4">
        <v>0.38</v>
      </c>
      <c r="K1212" s="1">
        <v>0</v>
      </c>
      <c r="L1212" s="1">
        <v>7</v>
      </c>
      <c r="M1212" s="32">
        <f>IF(Mecze[[#This Row],[PR]]=0,0,Mecze[[#This Row],[PR]]/Mecze[[#This Row],[CZAS]])</f>
        <v>7.2164948453608241E-2</v>
      </c>
      <c r="N1212" s="32">
        <f>IF(Mecze[[#This Row],[OU]]=0,0,Mecze[[#This Row],[OU]]/Mecze[[#This Row],[CZAS]])</f>
        <v>3.0927835051546393E-2</v>
      </c>
      <c r="O1212" s="32">
        <f>IF(Mecze[[#This Row],[PC]]=0,0,Mecze[[#This Row],[PC]]/Mecze[[#This Row],[CZAS]])</f>
        <v>5.1546391752577317E-2</v>
      </c>
      <c r="P1212" s="32">
        <f>IF(Mecze[[#This Row],[SC]]=0,0,Mecze[[#This Row],[SC]]/Mecze[[#This Row],[CZAS]])</f>
        <v>0</v>
      </c>
      <c r="Q1212" s="32">
        <f>IF(Mecze[[#This Row],[OB]]=0,0,Mecze[[#This Row],[OB]]/Mecze[[#This Row],[CZAS]])</f>
        <v>0</v>
      </c>
      <c r="R1212" s="32">
        <f>IF(Mecze[[#This Row],[BR]]=0,0,Mecze[[#This Row],[BR]]/Mecze[[#This Row],[CZAS]])</f>
        <v>0</v>
      </c>
      <c r="S1212" s="44">
        <f>IF(Mecze[[#This Row],[Role]]="BR",SUMPRODUCT(Mecze[[#This Row],[/PR:90]:[/BR:90]],Brudnopis!$E$23:$J$23),0)</f>
        <v>0</v>
      </c>
      <c r="T1212" s="44">
        <f>IF(Mecze[[#This Row],[Role]]&lt;&gt;"BR",SUMPRODUCT(Mecze[[#This Row],[/PR:90]:[/BR:90]],Brudnopis!$E$24:$J$24),0)</f>
        <v>0.17010309278350516</v>
      </c>
      <c r="U1212" s="44">
        <f>IF(Mecze[[#This Row],[Role]]&lt;&gt;"BR",SUMPRODUCT(Mecze[[#This Row],[/PR:90]:[/BR:90]],Brudnopis!$E$25:$J$25),0)</f>
        <v>0.18041237113402062</v>
      </c>
      <c r="V1212" s="44">
        <f>IF(Mecze[[#This Row],[Role]]&lt;&gt;"BR",SUMPRODUCT(Mecze[[#This Row],[/PR:90]:[/BR:90]],Brudnopis!$E$26:$J$26),0)</f>
        <v>0.15463917525773196</v>
      </c>
      <c r="W1212" s="44">
        <f>IF(Mecze[[#This Row],[Role]]&lt;&gt;"BR",SUMPRODUCT(Mecze[[#This Row],[/PR:90]:[/BR:90]],Brudnopis!$E$27:$J$27),0)</f>
        <v>0.15463917525773196</v>
      </c>
      <c r="X1212" s="44">
        <f>IF(Mecze[[#This Row],[Role]]&lt;&gt;"BR",SUMPRODUCT(Mecze[[#This Row],[/PR:90]:[/BR:90]],Brudnopis!$E$28:$J$28),0)</f>
        <v>5.1546391752577317E-2</v>
      </c>
      <c r="Y1212" s="35">
        <f>IF(Mecze[[#This Row],[Role]]="BR",Mecze[[#This Row],[/OB:90]]+Mecze[[#This Row],[/PC:90]],SUM(Mecze[[#This Row],[/PR:90]:[/BR:90]]))</f>
        <v>0.15463917525773196</v>
      </c>
      <c r="Z1212" s="35">
        <f>IF(Mecze[[#This Row],[KC]]=0,SUM(Mecze[[#This Row],[/BRI]:[/NPI]]),SUM(Mecze[[#This Row],[/BRI]:[/NPI]])*0.6)</f>
        <v>0.71134020618556704</v>
      </c>
      <c r="AA1212" s="10">
        <f>IFERROR(Mecze[[#This Row],[BR]]/Mecze[[#This Row],[ST]],0)</f>
        <v>0</v>
      </c>
      <c r="AB1212">
        <f>ROUND(Mecze[[#This Row],[PD]]*Mecze[[#This Row],[%PC]],0)</f>
        <v>5</v>
      </c>
      <c r="AC1212">
        <f>ROUND(Mecze[[#This Row],[OD]]*Mecze[[#This Row],[%OU]],0)</f>
        <v>3</v>
      </c>
      <c r="AD1212" s="36" t="s">
        <v>168</v>
      </c>
      <c r="AE1212" s="36">
        <v>67</v>
      </c>
      <c r="AF1212" s="71">
        <v>4.28</v>
      </c>
      <c r="AG1212" s="37">
        <v>0</v>
      </c>
      <c r="AH1212" s="37">
        <v>0</v>
      </c>
      <c r="AI1212" s="37">
        <v>97</v>
      </c>
      <c r="AJ1212" s="37">
        <v>1</v>
      </c>
      <c r="AK1212" s="37" t="str">
        <f>VLOOKUP(Mecze[[#This Row],[Match ID]],Meczusie[Mecz]:Meczusie[RodzajMeczu],2,FALSE)</f>
        <v>Liga</v>
      </c>
    </row>
    <row r="1213" spans="1:37" x14ac:dyDescent="0.25">
      <c r="A1213" s="76">
        <v>5</v>
      </c>
      <c r="B1213" s="3" t="s">
        <v>161</v>
      </c>
      <c r="C1213" s="2" t="s">
        <v>157</v>
      </c>
      <c r="D1213" s="1">
        <v>0</v>
      </c>
      <c r="E1213" s="1">
        <v>0</v>
      </c>
      <c r="F1213" s="1">
        <v>0</v>
      </c>
      <c r="G1213" s="1">
        <v>8</v>
      </c>
      <c r="H1213" s="4">
        <v>0.63</v>
      </c>
      <c r="I1213" s="1">
        <v>4</v>
      </c>
      <c r="J1213" s="4">
        <v>0.5</v>
      </c>
      <c r="K1213" s="1">
        <v>0</v>
      </c>
      <c r="L1213" s="1">
        <v>7</v>
      </c>
      <c r="M1213" s="32">
        <f>IF(Mecze[[#This Row],[PR]]=0,0,Mecze[[#This Row],[PR]]/Mecze[[#This Row],[CZAS]])</f>
        <v>7.2164948453608241E-2</v>
      </c>
      <c r="N1213" s="32">
        <f>IF(Mecze[[#This Row],[OU]]=0,0,Mecze[[#This Row],[OU]]/Mecze[[#This Row],[CZAS]])</f>
        <v>2.0618556701030927E-2</v>
      </c>
      <c r="O1213" s="32">
        <f>IF(Mecze[[#This Row],[PC]]=0,0,Mecze[[#This Row],[PC]]/Mecze[[#This Row],[CZAS]])</f>
        <v>5.1546391752577317E-2</v>
      </c>
      <c r="P1213" s="32">
        <f>IF(Mecze[[#This Row],[SC]]=0,0,Mecze[[#This Row],[SC]]/Mecze[[#This Row],[CZAS]])</f>
        <v>0</v>
      </c>
      <c r="Q1213" s="32">
        <f>IF(Mecze[[#This Row],[OB]]=0,0,Mecze[[#This Row],[OB]]/Mecze[[#This Row],[CZAS]])</f>
        <v>0</v>
      </c>
      <c r="R1213" s="32">
        <f>IF(Mecze[[#This Row],[BR]]=0,0,Mecze[[#This Row],[BR]]/Mecze[[#This Row],[CZAS]])</f>
        <v>0</v>
      </c>
      <c r="S1213" s="44">
        <f>IF(Mecze[[#This Row],[Role]]="BR",SUMPRODUCT(Mecze[[#This Row],[/PR:90]:[/BR:90]],Brudnopis!$E$23:$J$23),0)</f>
        <v>0</v>
      </c>
      <c r="T1213" s="44">
        <f>IF(Mecze[[#This Row],[Role]]&lt;&gt;"BR",SUMPRODUCT(Mecze[[#This Row],[/PR:90]:[/BR:90]],Brudnopis!$E$24:$J$24),0)</f>
        <v>0.15463917525773196</v>
      </c>
      <c r="U1213" s="44">
        <f>IF(Mecze[[#This Row],[Role]]&lt;&gt;"BR",SUMPRODUCT(Mecze[[#This Row],[/PR:90]:[/BR:90]],Brudnopis!$E$25:$J$25),0)</f>
        <v>0.17010309278350516</v>
      </c>
      <c r="V1213" s="44">
        <f>IF(Mecze[[#This Row],[Role]]&lt;&gt;"BR",SUMPRODUCT(Mecze[[#This Row],[/PR:90]:[/BR:90]],Brudnopis!$E$26:$J$26),0)</f>
        <v>0.14432989690721648</v>
      </c>
      <c r="W1213" s="44">
        <f>IF(Mecze[[#This Row],[Role]]&lt;&gt;"BR",SUMPRODUCT(Mecze[[#This Row],[/PR:90]:[/BR:90]],Brudnopis!$E$27:$J$27),0)</f>
        <v>0.14690721649484537</v>
      </c>
      <c r="X1213" s="44">
        <f>IF(Mecze[[#This Row],[Role]]&lt;&gt;"BR",SUMPRODUCT(Mecze[[#This Row],[/PR:90]:[/BR:90]],Brudnopis!$E$28:$J$28),0)</f>
        <v>5.1546391752577317E-2</v>
      </c>
      <c r="Y1213" s="35">
        <f>IF(Mecze[[#This Row],[Role]]="BR",Mecze[[#This Row],[/OB:90]]+Mecze[[#This Row],[/PC:90]],SUM(Mecze[[#This Row],[/PR:90]:[/BR:90]]))</f>
        <v>0.14432989690721648</v>
      </c>
      <c r="Z1213" s="35">
        <f>IF(Mecze[[#This Row],[KC]]=0,SUM(Mecze[[#This Row],[/BRI]:[/NPI]]),SUM(Mecze[[#This Row],[/BRI]:[/NPI]])*0.6)</f>
        <v>0.66752577319587636</v>
      </c>
      <c r="AA1213" s="10">
        <f>IFERROR(Mecze[[#This Row],[BR]]/Mecze[[#This Row],[ST]],0)</f>
        <v>0</v>
      </c>
      <c r="AB1213">
        <f>ROUND(Mecze[[#This Row],[PD]]*Mecze[[#This Row],[%PC]],0)</f>
        <v>5</v>
      </c>
      <c r="AC1213">
        <f>ROUND(Mecze[[#This Row],[OD]]*Mecze[[#This Row],[%OU]],0)</f>
        <v>2</v>
      </c>
      <c r="AD1213" s="36" t="s">
        <v>167</v>
      </c>
      <c r="AE1213" s="36">
        <v>67</v>
      </c>
      <c r="AF1213" s="71">
        <v>5.4</v>
      </c>
      <c r="AG1213" s="37">
        <v>0</v>
      </c>
      <c r="AH1213" s="37">
        <v>0</v>
      </c>
      <c r="AI1213" s="37">
        <v>97</v>
      </c>
      <c r="AJ1213" s="37">
        <v>1</v>
      </c>
      <c r="AK1213" s="37" t="str">
        <f>VLOOKUP(Mecze[[#This Row],[Match ID]],Meczusie[Mecz]:Meczusie[RodzajMeczu],2,FALSE)</f>
        <v>Liga</v>
      </c>
    </row>
    <row r="1214" spans="1:37" x14ac:dyDescent="0.25">
      <c r="A1214" s="76">
        <v>13</v>
      </c>
      <c r="B1214" s="3" t="s">
        <v>162</v>
      </c>
      <c r="C1214" s="2" t="s">
        <v>160</v>
      </c>
      <c r="D1214" s="1">
        <v>0</v>
      </c>
      <c r="E1214" s="1">
        <v>0</v>
      </c>
      <c r="F1214" s="1">
        <v>0</v>
      </c>
      <c r="G1214" s="1">
        <v>13</v>
      </c>
      <c r="H1214" s="4">
        <v>0.85</v>
      </c>
      <c r="I1214" s="1">
        <v>5</v>
      </c>
      <c r="J1214" s="4">
        <v>0.4</v>
      </c>
      <c r="K1214" s="1">
        <v>0</v>
      </c>
      <c r="L1214" s="1">
        <v>5</v>
      </c>
      <c r="M1214" s="32">
        <f>IF(Mecze[[#This Row],[PR]]=0,0,Mecze[[#This Row],[PR]]/Mecze[[#This Row],[CZAS]])</f>
        <v>5.1546391752577317E-2</v>
      </c>
      <c r="N1214" s="32">
        <f>IF(Mecze[[#This Row],[OU]]=0,0,Mecze[[#This Row],[OU]]/Mecze[[#This Row],[CZAS]])</f>
        <v>2.0618556701030927E-2</v>
      </c>
      <c r="O1214" s="32">
        <f>IF(Mecze[[#This Row],[PC]]=0,0,Mecze[[#This Row],[PC]]/Mecze[[#This Row],[CZAS]])</f>
        <v>0.1134020618556701</v>
      </c>
      <c r="P1214" s="32">
        <f>IF(Mecze[[#This Row],[SC]]=0,0,Mecze[[#This Row],[SC]]/Mecze[[#This Row],[CZAS]])</f>
        <v>0</v>
      </c>
      <c r="Q1214" s="32">
        <f>IF(Mecze[[#This Row],[OB]]=0,0,Mecze[[#This Row],[OB]]/Mecze[[#This Row],[CZAS]])</f>
        <v>0</v>
      </c>
      <c r="R1214" s="32">
        <f>IF(Mecze[[#This Row],[BR]]=0,0,Mecze[[#This Row],[BR]]/Mecze[[#This Row],[CZAS]])</f>
        <v>0</v>
      </c>
      <c r="S1214" s="44">
        <f>IF(Mecze[[#This Row],[Role]]="BR",SUMPRODUCT(Mecze[[#This Row],[/PR:90]:[/BR:90]],Brudnopis!$E$23:$J$23),0)</f>
        <v>0</v>
      </c>
      <c r="T1214" s="44">
        <f>IF(Mecze[[#This Row],[Role]]&lt;&gt;"BR",SUMPRODUCT(Mecze[[#This Row],[/PR:90]:[/BR:90]],Brudnopis!$E$24:$J$24),0)</f>
        <v>0.19587628865979381</v>
      </c>
      <c r="U1214" s="44">
        <f>IF(Mecze[[#This Row],[Role]]&lt;&gt;"BR",SUMPRODUCT(Mecze[[#This Row],[/PR:90]:[/BR:90]],Brudnopis!$E$25:$J$25),0)</f>
        <v>0.2422680412371134</v>
      </c>
      <c r="V1214" s="44">
        <f>IF(Mecze[[#This Row],[Role]]&lt;&gt;"BR",SUMPRODUCT(Mecze[[#This Row],[/PR:90]:[/BR:90]],Brudnopis!$E$26:$J$26),0)</f>
        <v>0.18556701030927836</v>
      </c>
      <c r="W1214" s="44">
        <f>IF(Mecze[[#This Row],[Role]]&lt;&gt;"BR",SUMPRODUCT(Mecze[[#This Row],[/PR:90]:[/BR:90]],Brudnopis!$E$27:$J$27),0)</f>
        <v>0.22422680412371135</v>
      </c>
      <c r="X1214" s="44">
        <f>IF(Mecze[[#This Row],[Role]]&lt;&gt;"BR",SUMPRODUCT(Mecze[[#This Row],[/PR:90]:[/BR:90]],Brudnopis!$E$28:$J$28),0)</f>
        <v>0.1134020618556701</v>
      </c>
      <c r="Y1214" s="35">
        <f>IF(Mecze[[#This Row],[Role]]="BR",Mecze[[#This Row],[/OB:90]]+Mecze[[#This Row],[/PC:90]],SUM(Mecze[[#This Row],[/PR:90]:[/BR:90]]))</f>
        <v>0.18556701030927836</v>
      </c>
      <c r="Z1214" s="35">
        <f>IF(Mecze[[#This Row],[KC]]=0,SUM(Mecze[[#This Row],[/BRI]:[/NPI]]),SUM(Mecze[[#This Row],[/BRI]:[/NPI]])*0.6)</f>
        <v>0.96134020618556704</v>
      </c>
      <c r="AA1214" s="10">
        <f>IFERROR(Mecze[[#This Row],[BR]]/Mecze[[#This Row],[ST]],0)</f>
        <v>0</v>
      </c>
      <c r="AB1214">
        <f>ROUND(Mecze[[#This Row],[PD]]*Mecze[[#This Row],[%PC]],0)</f>
        <v>11</v>
      </c>
      <c r="AC1214">
        <f>ROUND(Mecze[[#This Row],[OD]]*Mecze[[#This Row],[%OU]],0)</f>
        <v>2</v>
      </c>
      <c r="AD1214" s="36" t="s">
        <v>41</v>
      </c>
      <c r="AE1214" s="36">
        <v>67</v>
      </c>
      <c r="AF1214" s="71">
        <v>7.09</v>
      </c>
      <c r="AG1214" s="37">
        <v>0</v>
      </c>
      <c r="AH1214" s="37">
        <v>0</v>
      </c>
      <c r="AI1214" s="37">
        <v>97</v>
      </c>
      <c r="AJ1214" s="37">
        <v>1</v>
      </c>
      <c r="AK1214" s="37" t="str">
        <f>VLOOKUP(Mecze[[#This Row],[Match ID]],Meczusie[Mecz]:Meczusie[RodzajMeczu],2,FALSE)</f>
        <v>Liga</v>
      </c>
    </row>
    <row r="1215" spans="1:37" x14ac:dyDescent="0.25">
      <c r="A1215" s="76">
        <v>6</v>
      </c>
      <c r="B1215" s="3" t="s">
        <v>159</v>
      </c>
      <c r="C1215" s="2" t="s">
        <v>160</v>
      </c>
      <c r="D1215" s="1">
        <v>0</v>
      </c>
      <c r="E1215" s="1">
        <v>0</v>
      </c>
      <c r="F1215" s="1">
        <v>0</v>
      </c>
      <c r="G1215" s="1">
        <v>12</v>
      </c>
      <c r="H1215" s="4">
        <v>0.75</v>
      </c>
      <c r="I1215" s="1">
        <v>6</v>
      </c>
      <c r="J1215" s="4">
        <v>0.83</v>
      </c>
      <c r="K1215" s="1">
        <v>0</v>
      </c>
      <c r="L1215" s="1">
        <v>8</v>
      </c>
      <c r="M1215" s="32">
        <f>IF(Mecze[[#This Row],[PR]]=0,0,Mecze[[#This Row],[PR]]/Mecze[[#This Row],[CZAS]])</f>
        <v>8.247422680412371E-2</v>
      </c>
      <c r="N1215" s="32">
        <f>IF(Mecze[[#This Row],[OU]]=0,0,Mecze[[#This Row],[OU]]/Mecze[[#This Row],[CZAS]])</f>
        <v>5.1546391752577317E-2</v>
      </c>
      <c r="O1215" s="32">
        <f>IF(Mecze[[#This Row],[PC]]=0,0,Mecze[[#This Row],[PC]]/Mecze[[#This Row],[CZAS]])</f>
        <v>9.2783505154639179E-2</v>
      </c>
      <c r="P1215" s="32">
        <f>IF(Mecze[[#This Row],[SC]]=0,0,Mecze[[#This Row],[SC]]/Mecze[[#This Row],[CZAS]])</f>
        <v>0</v>
      </c>
      <c r="Q1215" s="32">
        <f>IF(Mecze[[#This Row],[OB]]=0,0,Mecze[[#This Row],[OB]]/Mecze[[#This Row],[CZAS]])</f>
        <v>0</v>
      </c>
      <c r="R1215" s="32">
        <f>IF(Mecze[[#This Row],[BR]]=0,0,Mecze[[#This Row],[BR]]/Mecze[[#This Row],[CZAS]])</f>
        <v>0</v>
      </c>
      <c r="S1215" s="44">
        <f>IF(Mecze[[#This Row],[Role]]="BR",SUMPRODUCT(Mecze[[#This Row],[/PR:90]:[/BR:90]],Brudnopis!$E$23:$J$23),0)</f>
        <v>0</v>
      </c>
      <c r="T1215" s="44">
        <f>IF(Mecze[[#This Row],[Role]]&lt;&gt;"BR",SUMPRODUCT(Mecze[[#This Row],[/PR:90]:[/BR:90]],Brudnopis!$E$24:$J$24),0)</f>
        <v>0.25257731958762886</v>
      </c>
      <c r="U1215" s="44">
        <f>IF(Mecze[[#This Row],[Role]]&lt;&gt;"BR",SUMPRODUCT(Mecze[[#This Row],[/PR:90]:[/BR:90]],Brudnopis!$E$25:$J$25),0)</f>
        <v>0.27319587628865982</v>
      </c>
      <c r="V1215" s="44">
        <f>IF(Mecze[[#This Row],[Role]]&lt;&gt;"BR",SUMPRODUCT(Mecze[[#This Row],[/PR:90]:[/BR:90]],Brudnopis!$E$26:$J$26),0)</f>
        <v>0.22680412371134021</v>
      </c>
      <c r="W1215" s="44">
        <f>IF(Mecze[[#This Row],[Role]]&lt;&gt;"BR",SUMPRODUCT(Mecze[[#This Row],[/PR:90]:[/BR:90]],Brudnopis!$E$27:$J$27),0)</f>
        <v>0.23969072164948454</v>
      </c>
      <c r="X1215" s="44">
        <f>IF(Mecze[[#This Row],[Role]]&lt;&gt;"BR",SUMPRODUCT(Mecze[[#This Row],[/PR:90]:[/BR:90]],Brudnopis!$E$28:$J$28),0)</f>
        <v>9.2783505154639179E-2</v>
      </c>
      <c r="Y1215" s="35">
        <f>IF(Mecze[[#This Row],[Role]]="BR",Mecze[[#This Row],[/OB:90]]+Mecze[[#This Row],[/PC:90]],SUM(Mecze[[#This Row],[/PR:90]:[/BR:90]]))</f>
        <v>0.22680412371134021</v>
      </c>
      <c r="Z1215" s="35">
        <f>IF(Mecze[[#This Row],[KC]]=0,SUM(Mecze[[#This Row],[/BRI]:[/NPI]]),SUM(Mecze[[#This Row],[/BRI]:[/NPI]])*0.6)</f>
        <v>1.0850515463917527</v>
      </c>
      <c r="AA1215" s="10">
        <f>IFERROR(Mecze[[#This Row],[BR]]/Mecze[[#This Row],[ST]],0)</f>
        <v>0</v>
      </c>
      <c r="AB1215">
        <f>ROUND(Mecze[[#This Row],[PD]]*Mecze[[#This Row],[%PC]],0)</f>
        <v>9</v>
      </c>
      <c r="AC1215">
        <f>ROUND(Mecze[[#This Row],[OD]]*Mecze[[#This Row],[%OU]],0)</f>
        <v>5</v>
      </c>
      <c r="AD1215" s="36" t="s">
        <v>41</v>
      </c>
      <c r="AE1215" s="36">
        <v>67</v>
      </c>
      <c r="AF1215" s="71">
        <v>6.81</v>
      </c>
      <c r="AG1215" s="37">
        <v>0</v>
      </c>
      <c r="AH1215" s="37">
        <v>0</v>
      </c>
      <c r="AI1215" s="37">
        <v>97</v>
      </c>
      <c r="AJ1215" s="37">
        <v>1</v>
      </c>
      <c r="AK1215" s="37" t="str">
        <f>VLOOKUP(Mecze[[#This Row],[Match ID]],Meczusie[Mecz]:Meczusie[RodzajMeczu],2,FALSE)</f>
        <v>Liga</v>
      </c>
    </row>
    <row r="1216" spans="1:37" x14ac:dyDescent="0.25">
      <c r="A1216" s="76">
        <v>15</v>
      </c>
      <c r="B1216" s="3" t="s">
        <v>170</v>
      </c>
      <c r="C1216" s="2" t="s">
        <v>160</v>
      </c>
      <c r="D1216" s="1">
        <v>1</v>
      </c>
      <c r="E1216" s="1">
        <v>3</v>
      </c>
      <c r="F1216" s="1">
        <v>3</v>
      </c>
      <c r="G1216" s="1">
        <v>11</v>
      </c>
      <c r="H1216" s="4">
        <v>0.73</v>
      </c>
      <c r="I1216" s="1">
        <v>6</v>
      </c>
      <c r="J1216" s="4">
        <v>0.33</v>
      </c>
      <c r="K1216" s="1">
        <v>0</v>
      </c>
      <c r="L1216" s="1">
        <v>6</v>
      </c>
      <c r="M1216" s="32">
        <f>IF(Mecze[[#This Row],[PR]]=0,0,Mecze[[#This Row],[PR]]/Mecze[[#This Row],[CZAS]])</f>
        <v>6.1855670103092786E-2</v>
      </c>
      <c r="N1216" s="32">
        <f>IF(Mecze[[#This Row],[OU]]=0,0,Mecze[[#This Row],[OU]]/Mecze[[#This Row],[CZAS]])</f>
        <v>2.0618556701030927E-2</v>
      </c>
      <c r="O1216" s="32">
        <f>IF(Mecze[[#This Row],[PC]]=0,0,Mecze[[#This Row],[PC]]/Mecze[[#This Row],[CZAS]])</f>
        <v>8.247422680412371E-2</v>
      </c>
      <c r="P1216" s="32">
        <f>IF(Mecze[[#This Row],[SC]]=0,0,Mecze[[#This Row],[SC]]/Mecze[[#This Row],[CZAS]])</f>
        <v>3.0927835051546393E-2</v>
      </c>
      <c r="Q1216" s="32">
        <f>IF(Mecze[[#This Row],[OB]]=0,0,Mecze[[#This Row],[OB]]/Mecze[[#This Row],[CZAS]])</f>
        <v>0</v>
      </c>
      <c r="R1216" s="32">
        <f>IF(Mecze[[#This Row],[BR]]=0,0,Mecze[[#This Row],[BR]]/Mecze[[#This Row],[CZAS]])</f>
        <v>1.0309278350515464E-2</v>
      </c>
      <c r="S1216" s="44">
        <f>IF(Mecze[[#This Row],[Role]]="BR",SUMPRODUCT(Mecze[[#This Row],[/PR:90]:[/BR:90]],Brudnopis!$E$23:$J$23),0)</f>
        <v>0</v>
      </c>
      <c r="T1216" s="44">
        <f>IF(Mecze[[#This Row],[Role]]&lt;&gt;"BR",SUMPRODUCT(Mecze[[#This Row],[/PR:90]:[/BR:90]],Brudnopis!$E$24:$J$24),0)</f>
        <v>0.22164948453608246</v>
      </c>
      <c r="U1216" s="44">
        <f>IF(Mecze[[#This Row],[Role]]&lt;&gt;"BR",SUMPRODUCT(Mecze[[#This Row],[/PR:90]:[/BR:90]],Brudnopis!$E$25:$J$25),0)</f>
        <v>0.25257731958762886</v>
      </c>
      <c r="V1216" s="44">
        <f>IF(Mecze[[#This Row],[Role]]&lt;&gt;"BR",SUMPRODUCT(Mecze[[#This Row],[/PR:90]:[/BR:90]],Brudnopis!$E$26:$J$26),0)</f>
        <v>0.21649484536082475</v>
      </c>
      <c r="W1216" s="44">
        <f>IF(Mecze[[#This Row],[Role]]&lt;&gt;"BR",SUMPRODUCT(Mecze[[#This Row],[/PR:90]:[/BR:90]],Brudnopis!$E$27:$J$27),0)</f>
        <v>0.23711340206185569</v>
      </c>
      <c r="X1216" s="44">
        <f>IF(Mecze[[#This Row],[Role]]&lt;&gt;"BR",SUMPRODUCT(Mecze[[#This Row],[/PR:90]:[/BR:90]],Brudnopis!$E$28:$J$28),0)</f>
        <v>0.17525773195876287</v>
      </c>
      <c r="Y1216" s="35">
        <f>IF(Mecze[[#This Row],[Role]]="BR",Mecze[[#This Row],[/OB:90]]+Mecze[[#This Row],[/PC:90]],SUM(Mecze[[#This Row],[/PR:90]:[/BR:90]]))</f>
        <v>0.20618556701030927</v>
      </c>
      <c r="Z1216" s="35">
        <f>IF(Mecze[[#This Row],[KC]]=0,SUM(Mecze[[#This Row],[/BRI]:[/NPI]]),SUM(Mecze[[#This Row],[/BRI]:[/NPI]])*0.6)</f>
        <v>1.1030927835051547</v>
      </c>
      <c r="AA1216" s="10">
        <f>IFERROR(Mecze[[#This Row],[BR]]/Mecze[[#This Row],[ST]],0)</f>
        <v>0.33333333333333331</v>
      </c>
      <c r="AB1216">
        <f>ROUND(Mecze[[#This Row],[PD]]*Mecze[[#This Row],[%PC]],0)</f>
        <v>8</v>
      </c>
      <c r="AC1216">
        <f>ROUND(Mecze[[#This Row],[OD]]*Mecze[[#This Row],[%OU]],0)</f>
        <v>2</v>
      </c>
      <c r="AD1216" s="36" t="s">
        <v>67</v>
      </c>
      <c r="AE1216" s="36">
        <v>67</v>
      </c>
      <c r="AF1216" s="71">
        <v>9.19</v>
      </c>
      <c r="AG1216" s="37">
        <v>0</v>
      </c>
      <c r="AH1216" s="37">
        <v>0</v>
      </c>
      <c r="AI1216" s="37">
        <v>97</v>
      </c>
      <c r="AJ1216" s="37">
        <v>1</v>
      </c>
      <c r="AK1216" s="37" t="str">
        <f>VLOOKUP(Mecze[[#This Row],[Match ID]],Meczusie[Mecz]:Meczusie[RodzajMeczu],2,FALSE)</f>
        <v>Liga</v>
      </c>
    </row>
    <row r="1217" spans="1:37" x14ac:dyDescent="0.25">
      <c r="A1217" s="76">
        <v>8</v>
      </c>
      <c r="B1217" s="3" t="s">
        <v>154</v>
      </c>
      <c r="C1217" s="2" t="s">
        <v>160</v>
      </c>
      <c r="D1217" s="1">
        <v>0</v>
      </c>
      <c r="E1217" s="1">
        <v>2</v>
      </c>
      <c r="F1217" s="1">
        <v>1</v>
      </c>
      <c r="G1217" s="1">
        <v>6</v>
      </c>
      <c r="H1217" s="4">
        <v>0.83</v>
      </c>
      <c r="I1217" s="1">
        <v>3</v>
      </c>
      <c r="J1217" s="4">
        <v>0.67</v>
      </c>
      <c r="K1217" s="1">
        <v>0</v>
      </c>
      <c r="L1217" s="1">
        <v>0</v>
      </c>
      <c r="M1217" s="32">
        <f>IF(Mecze[[#This Row],[PR]]=0,0,Mecze[[#This Row],[PR]]/Mecze[[#This Row],[CZAS]])</f>
        <v>0</v>
      </c>
      <c r="N1217" s="32">
        <f>IF(Mecze[[#This Row],[OU]]=0,0,Mecze[[#This Row],[OU]]/Mecze[[#This Row],[CZAS]])</f>
        <v>2.0618556701030927E-2</v>
      </c>
      <c r="O1217" s="32">
        <f>IF(Mecze[[#This Row],[PC]]=0,0,Mecze[[#This Row],[PC]]/Mecze[[#This Row],[CZAS]])</f>
        <v>5.1546391752577317E-2</v>
      </c>
      <c r="P1217" s="32">
        <f>IF(Mecze[[#This Row],[SC]]=0,0,Mecze[[#This Row],[SC]]/Mecze[[#This Row],[CZAS]])</f>
        <v>1.0309278350515464E-2</v>
      </c>
      <c r="Q1217" s="32">
        <f>IF(Mecze[[#This Row],[OB]]=0,0,Mecze[[#This Row],[OB]]/Mecze[[#This Row],[CZAS]])</f>
        <v>0</v>
      </c>
      <c r="R1217" s="32">
        <f>IF(Mecze[[#This Row],[BR]]=0,0,Mecze[[#This Row],[BR]]/Mecze[[#This Row],[CZAS]])</f>
        <v>0</v>
      </c>
      <c r="S1217" s="44">
        <f>IF(Mecze[[#This Row],[Role]]="BR",SUMPRODUCT(Mecze[[#This Row],[/PR:90]:[/BR:90]],Brudnopis!$E$23:$J$23),0)</f>
        <v>0</v>
      </c>
      <c r="T1217" s="44">
        <f>IF(Mecze[[#This Row],[Role]]&lt;&gt;"BR",SUMPRODUCT(Mecze[[#This Row],[/PR:90]:[/BR:90]],Brudnopis!$E$24:$J$24),0)</f>
        <v>9.2783505154639179E-2</v>
      </c>
      <c r="U1217" s="44">
        <f>IF(Mecze[[#This Row],[Role]]&lt;&gt;"BR",SUMPRODUCT(Mecze[[#This Row],[/PR:90]:[/BR:90]],Brudnopis!$E$25:$J$25),0)</f>
        <v>0.10824742268041238</v>
      </c>
      <c r="V1217" s="44">
        <f>IF(Mecze[[#This Row],[Role]]&lt;&gt;"BR",SUMPRODUCT(Mecze[[#This Row],[/PR:90]:[/BR:90]],Brudnopis!$E$26:$J$26),0)</f>
        <v>8.247422680412371E-2</v>
      </c>
      <c r="W1217" s="44">
        <f>IF(Mecze[[#This Row],[Role]]&lt;&gt;"BR",SUMPRODUCT(Mecze[[#This Row],[/PR:90]:[/BR:90]],Brudnopis!$E$27:$J$27),0)</f>
        <v>0.10309278350515465</v>
      </c>
      <c r="X1217" s="44">
        <f>IF(Mecze[[#This Row],[Role]]&lt;&gt;"BR",SUMPRODUCT(Mecze[[#This Row],[/PR:90]:[/BR:90]],Brudnopis!$E$28:$J$28),0)</f>
        <v>7.2164948453608241E-2</v>
      </c>
      <c r="Y1217" s="35">
        <f>IF(Mecze[[#This Row],[Role]]="BR",Mecze[[#This Row],[/OB:90]]+Mecze[[#This Row],[/PC:90]],SUM(Mecze[[#This Row],[/PR:90]:[/BR:90]]))</f>
        <v>8.247422680412371E-2</v>
      </c>
      <c r="Z1217" s="35">
        <f>IF(Mecze[[#This Row],[KC]]=0,SUM(Mecze[[#This Row],[/BRI]:[/NPI]]),SUM(Mecze[[#This Row],[/BRI]:[/NPI]])*0.6)</f>
        <v>0.45876288659793818</v>
      </c>
      <c r="AA1217" s="10">
        <f>IFERROR(Mecze[[#This Row],[BR]]/Mecze[[#This Row],[ST]],0)</f>
        <v>0</v>
      </c>
      <c r="AB1217">
        <f>ROUND(Mecze[[#This Row],[PD]]*Mecze[[#This Row],[%PC]],0)</f>
        <v>5</v>
      </c>
      <c r="AC1217">
        <f>ROUND(Mecze[[#This Row],[OD]]*Mecze[[#This Row],[%OU]],0)</f>
        <v>2</v>
      </c>
      <c r="AD1217" s="36" t="s">
        <v>44</v>
      </c>
      <c r="AE1217" s="36">
        <v>67</v>
      </c>
      <c r="AF1217" s="71">
        <v>6.27</v>
      </c>
      <c r="AG1217" s="37">
        <v>0</v>
      </c>
      <c r="AH1217" s="37">
        <v>0</v>
      </c>
      <c r="AI1217" s="37">
        <v>97</v>
      </c>
      <c r="AJ1217" s="37">
        <v>1</v>
      </c>
      <c r="AK1217" s="37" t="str">
        <f>VLOOKUP(Mecze[[#This Row],[Match ID]],Meczusie[Mecz]:Meczusie[RodzajMeczu],2,FALSE)</f>
        <v>Liga</v>
      </c>
    </row>
    <row r="1218" spans="1:37" x14ac:dyDescent="0.25">
      <c r="A1218" s="76">
        <v>14</v>
      </c>
      <c r="B1218" s="3" t="s">
        <v>164</v>
      </c>
      <c r="C1218" s="2" t="s">
        <v>160</v>
      </c>
      <c r="D1218" s="1">
        <v>0</v>
      </c>
      <c r="E1218" s="1">
        <v>3</v>
      </c>
      <c r="F1218" s="1">
        <v>2</v>
      </c>
      <c r="G1218" s="1">
        <v>7</v>
      </c>
      <c r="H1218" s="4">
        <v>0.56999999999999995</v>
      </c>
      <c r="I1218" s="1">
        <v>3</v>
      </c>
      <c r="J1218" s="4">
        <v>0.67</v>
      </c>
      <c r="K1218" s="1">
        <v>0</v>
      </c>
      <c r="L1218" s="1">
        <v>3</v>
      </c>
      <c r="M1218" s="32">
        <f>IF(Mecze[[#This Row],[PR]]=0,0,Mecze[[#This Row],[PR]]/Mecze[[#This Row],[CZAS]])</f>
        <v>3.0927835051546393E-2</v>
      </c>
      <c r="N1218" s="32">
        <f>IF(Mecze[[#This Row],[OU]]=0,0,Mecze[[#This Row],[OU]]/Mecze[[#This Row],[CZAS]])</f>
        <v>2.0618556701030927E-2</v>
      </c>
      <c r="O1218" s="32">
        <f>IF(Mecze[[#This Row],[PC]]=0,0,Mecze[[#This Row],[PC]]/Mecze[[#This Row],[CZAS]])</f>
        <v>4.1237113402061855E-2</v>
      </c>
      <c r="P1218" s="32">
        <f>IF(Mecze[[#This Row],[SC]]=0,0,Mecze[[#This Row],[SC]]/Mecze[[#This Row],[CZAS]])</f>
        <v>2.0618556701030927E-2</v>
      </c>
      <c r="Q1218" s="32">
        <f>IF(Mecze[[#This Row],[OB]]=0,0,Mecze[[#This Row],[OB]]/Mecze[[#This Row],[CZAS]])</f>
        <v>0</v>
      </c>
      <c r="R1218" s="32">
        <f>IF(Mecze[[#This Row],[BR]]=0,0,Mecze[[#This Row],[BR]]/Mecze[[#This Row],[CZAS]])</f>
        <v>0</v>
      </c>
      <c r="S1218" s="44">
        <f>IF(Mecze[[#This Row],[Role]]="BR",SUMPRODUCT(Mecze[[#This Row],[/PR:90]:[/BR:90]],Brudnopis!$E$23:$J$23),0)</f>
        <v>0</v>
      </c>
      <c r="T1218" s="44">
        <f>IF(Mecze[[#This Row],[Role]]&lt;&gt;"BR",SUMPRODUCT(Mecze[[#This Row],[/PR:90]:[/BR:90]],Brudnopis!$E$24:$J$24),0)</f>
        <v>0.12371134020618556</v>
      </c>
      <c r="U1218" s="44">
        <f>IF(Mecze[[#This Row],[Role]]&lt;&gt;"BR",SUMPRODUCT(Mecze[[#This Row],[/PR:90]:[/BR:90]],Brudnopis!$E$25:$J$25),0)</f>
        <v>0.13402061855670103</v>
      </c>
      <c r="V1218" s="44">
        <f>IF(Mecze[[#This Row],[Role]]&lt;&gt;"BR",SUMPRODUCT(Mecze[[#This Row],[/PR:90]:[/BR:90]],Brudnopis!$E$26:$J$26),0)</f>
        <v>0.1134020618556701</v>
      </c>
      <c r="W1218" s="44">
        <f>IF(Mecze[[#This Row],[Role]]&lt;&gt;"BR",SUMPRODUCT(Mecze[[#This Row],[/PR:90]:[/BR:90]],Brudnopis!$E$27:$J$27),0)</f>
        <v>0.1211340206185567</v>
      </c>
      <c r="X1218" s="44">
        <f>IF(Mecze[[#This Row],[Role]]&lt;&gt;"BR",SUMPRODUCT(Mecze[[#This Row],[/PR:90]:[/BR:90]],Brudnopis!$E$28:$J$28),0)</f>
        <v>8.247422680412371E-2</v>
      </c>
      <c r="Y1218" s="35">
        <f>IF(Mecze[[#This Row],[Role]]="BR",Mecze[[#This Row],[/OB:90]]+Mecze[[#This Row],[/PC:90]],SUM(Mecze[[#This Row],[/PR:90]:[/BR:90]]))</f>
        <v>0.1134020618556701</v>
      </c>
      <c r="Z1218" s="35">
        <f>IF(Mecze[[#This Row],[KC]]=0,SUM(Mecze[[#This Row],[/BRI]:[/NPI]]),SUM(Mecze[[#This Row],[/BRI]:[/NPI]])*0.6)</f>
        <v>0.57474226804123707</v>
      </c>
      <c r="AA1218" s="10">
        <f>IFERROR(Mecze[[#This Row],[BR]]/Mecze[[#This Row],[ST]],0)</f>
        <v>0</v>
      </c>
      <c r="AB1218">
        <f>ROUND(Mecze[[#This Row],[PD]]*Mecze[[#This Row],[%PC]],0)</f>
        <v>4</v>
      </c>
      <c r="AC1218">
        <f>ROUND(Mecze[[#This Row],[OD]]*Mecze[[#This Row],[%OU]],0)</f>
        <v>2</v>
      </c>
      <c r="AD1218" s="36" t="s">
        <v>44</v>
      </c>
      <c r="AE1218" s="36">
        <v>67</v>
      </c>
      <c r="AF1218" s="71">
        <v>6.22</v>
      </c>
      <c r="AG1218" s="37">
        <v>0</v>
      </c>
      <c r="AH1218" s="37">
        <v>0</v>
      </c>
      <c r="AI1218" s="37">
        <v>97</v>
      </c>
      <c r="AJ1218" s="37">
        <v>1</v>
      </c>
      <c r="AK1218" s="37" t="str">
        <f>VLOOKUP(Mecze[[#This Row],[Match ID]],Meczusie[Mecz]:Meczusie[RodzajMeczu],2,FALSE)</f>
        <v>Liga</v>
      </c>
    </row>
    <row r="1219" spans="1:37" x14ac:dyDescent="0.25">
      <c r="A1219" s="76">
        <v>9</v>
      </c>
      <c r="B1219" s="3" t="s">
        <v>411</v>
      </c>
      <c r="C1219" s="2" t="s">
        <v>165</v>
      </c>
      <c r="D1219" s="1">
        <v>1</v>
      </c>
      <c r="E1219" s="1">
        <v>6</v>
      </c>
      <c r="F1219" s="1">
        <v>6</v>
      </c>
      <c r="G1219" s="1">
        <v>7</v>
      </c>
      <c r="H1219" s="4">
        <v>0.43</v>
      </c>
      <c r="I1219" s="1">
        <v>4</v>
      </c>
      <c r="J1219" s="4">
        <v>0.25</v>
      </c>
      <c r="K1219" s="1">
        <v>0</v>
      </c>
      <c r="L1219" s="1">
        <v>0</v>
      </c>
      <c r="M1219" s="32">
        <f>IF(Mecze[[#This Row],[PR]]=0,0,Mecze[[#This Row],[PR]]/Mecze[[#This Row],[CZAS]])</f>
        <v>0</v>
      </c>
      <c r="N1219" s="32">
        <f>IF(Mecze[[#This Row],[OU]]=0,0,Mecze[[#This Row],[OU]]/Mecze[[#This Row],[CZAS]])</f>
        <v>1.0309278350515464E-2</v>
      </c>
      <c r="O1219" s="32">
        <f>IF(Mecze[[#This Row],[PC]]=0,0,Mecze[[#This Row],[PC]]/Mecze[[#This Row],[CZAS]])</f>
        <v>3.0927835051546393E-2</v>
      </c>
      <c r="P1219" s="32">
        <f>IF(Mecze[[#This Row],[SC]]=0,0,Mecze[[#This Row],[SC]]/Mecze[[#This Row],[CZAS]])</f>
        <v>6.1855670103092786E-2</v>
      </c>
      <c r="Q1219" s="32">
        <f>IF(Mecze[[#This Row],[OB]]=0,0,Mecze[[#This Row],[OB]]/Mecze[[#This Row],[CZAS]])</f>
        <v>0</v>
      </c>
      <c r="R1219" s="32">
        <f>IF(Mecze[[#This Row],[BR]]=0,0,Mecze[[#This Row],[BR]]/Mecze[[#This Row],[CZAS]])</f>
        <v>1.0309278350515464E-2</v>
      </c>
      <c r="S1219" s="44">
        <f>IF(Mecze[[#This Row],[Role]]="BR",SUMPRODUCT(Mecze[[#This Row],[/PR:90]:[/BR:90]],Brudnopis!$E$23:$J$23),0)</f>
        <v>0</v>
      </c>
      <c r="T1219" s="44">
        <f>IF(Mecze[[#This Row],[Role]]&lt;&gt;"BR",SUMPRODUCT(Mecze[[#This Row],[/PR:90]:[/BR:90]],Brudnopis!$E$24:$J$24),0)</f>
        <v>0.12371134020618557</v>
      </c>
      <c r="U1219" s="44">
        <f>IF(Mecze[[#This Row],[Role]]&lt;&gt;"BR",SUMPRODUCT(Mecze[[#This Row],[/PR:90]:[/BR:90]],Brudnopis!$E$25:$J$25),0)</f>
        <v>0.13402061855670103</v>
      </c>
      <c r="V1219" s="44">
        <f>IF(Mecze[[#This Row],[Role]]&lt;&gt;"BR",SUMPRODUCT(Mecze[[#This Row],[/PR:90]:[/BR:90]],Brudnopis!$E$26:$J$26),0)</f>
        <v>0.12371134020618556</v>
      </c>
      <c r="W1219" s="44">
        <f>IF(Mecze[[#This Row],[Role]]&lt;&gt;"BR",SUMPRODUCT(Mecze[[#This Row],[/PR:90]:[/BR:90]],Brudnopis!$E$27:$J$27),0)</f>
        <v>0.13659793814432991</v>
      </c>
      <c r="X1219" s="44">
        <f>IF(Mecze[[#This Row],[Role]]&lt;&gt;"BR",SUMPRODUCT(Mecze[[#This Row],[/PR:90]:[/BR:90]],Brudnopis!$E$28:$J$28),0)</f>
        <v>0.18556701030927836</v>
      </c>
      <c r="Y1219" s="35">
        <f>IF(Mecze[[#This Row],[Role]]="BR",Mecze[[#This Row],[/OB:90]]+Mecze[[#This Row],[/PC:90]],SUM(Mecze[[#This Row],[/PR:90]:[/BR:90]]))</f>
        <v>0.1134020618556701</v>
      </c>
      <c r="Z1219" s="35">
        <f>IF(Mecze[[#This Row],[KC]]=0,SUM(Mecze[[#This Row],[/BRI]:[/NPI]]),SUM(Mecze[[#This Row],[/BRI]:[/NPI]])*0.6)</f>
        <v>0.70360824742268036</v>
      </c>
      <c r="AA1219" s="10">
        <f>IFERROR(Mecze[[#This Row],[BR]]/Mecze[[#This Row],[ST]],0)</f>
        <v>0.16666666666666666</v>
      </c>
      <c r="AB1219">
        <f>ROUND(Mecze[[#This Row],[PD]]*Mecze[[#This Row],[%PC]],0)</f>
        <v>3</v>
      </c>
      <c r="AC1219">
        <f>ROUND(Mecze[[#This Row],[OD]]*Mecze[[#This Row],[%OU]],0)</f>
        <v>1</v>
      </c>
      <c r="AD1219" s="36" t="s">
        <v>46</v>
      </c>
      <c r="AE1219" s="36">
        <v>67</v>
      </c>
      <c r="AF1219" s="71">
        <v>7.55</v>
      </c>
      <c r="AG1219" s="37">
        <v>0</v>
      </c>
      <c r="AH1219" s="37">
        <v>0</v>
      </c>
      <c r="AI1219" s="37">
        <v>97</v>
      </c>
      <c r="AJ1219" s="37">
        <v>1</v>
      </c>
      <c r="AK1219" s="37" t="str">
        <f>VLOOKUP(Mecze[[#This Row],[Match ID]],Meczusie[Mecz]:Meczusie[RodzajMeczu],2,FALSE)</f>
        <v>Liga</v>
      </c>
    </row>
    <row r="1220" spans="1:37" x14ac:dyDescent="0.25">
      <c r="A1220" s="76">
        <v>19</v>
      </c>
      <c r="B1220" s="3" t="s">
        <v>166</v>
      </c>
      <c r="C1220" s="2" t="s">
        <v>165</v>
      </c>
      <c r="D1220" s="1">
        <v>1</v>
      </c>
      <c r="E1220" s="1">
        <v>3</v>
      </c>
      <c r="F1220" s="1">
        <v>2</v>
      </c>
      <c r="G1220" s="1">
        <v>4</v>
      </c>
      <c r="H1220" s="4">
        <v>0.75</v>
      </c>
      <c r="I1220" s="1">
        <v>0</v>
      </c>
      <c r="J1220" s="4"/>
      <c r="K1220" s="1">
        <v>0</v>
      </c>
      <c r="L1220" s="1">
        <v>0</v>
      </c>
      <c r="M1220" s="32">
        <f>IF(Mecze[[#This Row],[PR]]=0,0,Mecze[[#This Row],[PR]]/Mecze[[#This Row],[CZAS]])</f>
        <v>0</v>
      </c>
      <c r="N1220" s="32">
        <f>IF(Mecze[[#This Row],[OU]]=0,0,Mecze[[#This Row],[OU]]/Mecze[[#This Row],[CZAS]])</f>
        <v>0</v>
      </c>
      <c r="O1220" s="32">
        <f>IF(Mecze[[#This Row],[PC]]=0,0,Mecze[[#This Row],[PC]]/Mecze[[#This Row],[CZAS]])</f>
        <v>3.0927835051546393E-2</v>
      </c>
      <c r="P1220" s="32">
        <f>IF(Mecze[[#This Row],[SC]]=0,0,Mecze[[#This Row],[SC]]/Mecze[[#This Row],[CZAS]])</f>
        <v>2.0618556701030927E-2</v>
      </c>
      <c r="Q1220" s="32">
        <f>IF(Mecze[[#This Row],[OB]]=0,0,Mecze[[#This Row],[OB]]/Mecze[[#This Row],[CZAS]])</f>
        <v>0</v>
      </c>
      <c r="R1220" s="32">
        <f>IF(Mecze[[#This Row],[BR]]=0,0,Mecze[[#This Row],[BR]]/Mecze[[#This Row],[CZAS]])</f>
        <v>1.0309278350515464E-2</v>
      </c>
      <c r="S1220" s="44">
        <f>IF(Mecze[[#This Row],[Role]]="BR",SUMPRODUCT(Mecze[[#This Row],[/PR:90]:[/BR:90]],Brudnopis!$E$23:$J$23),0)</f>
        <v>0</v>
      </c>
      <c r="T1220" s="44">
        <f>IF(Mecze[[#This Row],[Role]]&lt;&gt;"BR",SUMPRODUCT(Mecze[[#This Row],[/PR:90]:[/BR:90]],Brudnopis!$E$24:$J$24),0)</f>
        <v>6.7010309278350513E-2</v>
      </c>
      <c r="U1220" s="44">
        <f>IF(Mecze[[#This Row],[Role]]&lt;&gt;"BR",SUMPRODUCT(Mecze[[#This Row],[/PR:90]:[/BR:90]],Brudnopis!$E$25:$J$25),0)</f>
        <v>8.247422680412371E-2</v>
      </c>
      <c r="V1220" s="44">
        <f>IF(Mecze[[#This Row],[Role]]&lt;&gt;"BR",SUMPRODUCT(Mecze[[#This Row],[/PR:90]:[/BR:90]],Brudnopis!$E$26:$J$26),0)</f>
        <v>7.2164948453608241E-2</v>
      </c>
      <c r="W1220" s="44">
        <f>IF(Mecze[[#This Row],[Role]]&lt;&gt;"BR",SUMPRODUCT(Mecze[[#This Row],[/PR:90]:[/BR:90]],Brudnopis!$E$27:$J$27),0)</f>
        <v>8.7628865979381437E-2</v>
      </c>
      <c r="X1220" s="44">
        <f>IF(Mecze[[#This Row],[Role]]&lt;&gt;"BR",SUMPRODUCT(Mecze[[#This Row],[/PR:90]:[/BR:90]],Brudnopis!$E$28:$J$28),0)</f>
        <v>0.10309278350515463</v>
      </c>
      <c r="Y1220" s="35">
        <f>IF(Mecze[[#This Row],[Role]]="BR",Mecze[[#This Row],[/OB:90]]+Mecze[[#This Row],[/PC:90]],SUM(Mecze[[#This Row],[/PR:90]:[/BR:90]]))</f>
        <v>6.1855670103092779E-2</v>
      </c>
      <c r="Z1220" s="35">
        <f>IF(Mecze[[#This Row],[KC]]=0,SUM(Mecze[[#This Row],[/BRI]:[/NPI]]),SUM(Mecze[[#This Row],[/BRI]:[/NPI]])*0.6)</f>
        <v>0.41237113402061853</v>
      </c>
      <c r="AA1220" s="10">
        <f>IFERROR(Mecze[[#This Row],[BR]]/Mecze[[#This Row],[ST]],0)</f>
        <v>0.33333333333333331</v>
      </c>
      <c r="AB1220">
        <f>ROUND(Mecze[[#This Row],[PD]]*Mecze[[#This Row],[%PC]],0)</f>
        <v>3</v>
      </c>
      <c r="AC1220">
        <f>ROUND(Mecze[[#This Row],[OD]]*Mecze[[#This Row],[%OU]],0)</f>
        <v>0</v>
      </c>
      <c r="AD1220" s="36" t="s">
        <v>46</v>
      </c>
      <c r="AE1220" s="36">
        <v>67</v>
      </c>
      <c r="AF1220" s="71">
        <v>6.67</v>
      </c>
      <c r="AG1220" s="37">
        <v>0</v>
      </c>
      <c r="AH1220" s="37">
        <v>0</v>
      </c>
      <c r="AI1220" s="37">
        <v>97</v>
      </c>
      <c r="AJ1220" s="37">
        <v>1</v>
      </c>
      <c r="AK1220" s="37" t="str">
        <f>VLOOKUP(Mecze[[#This Row],[Match ID]],Meczusie[Mecz]:Meczusie[RodzajMeczu],2,FALSE)</f>
        <v>Liga</v>
      </c>
    </row>
    <row r="1221" spans="1:37" x14ac:dyDescent="0.25">
      <c r="A1221" s="76">
        <v>1</v>
      </c>
      <c r="B1221" s="3" t="s">
        <v>320</v>
      </c>
      <c r="C1221" s="2" t="s">
        <v>155</v>
      </c>
      <c r="D1221" s="1">
        <v>0</v>
      </c>
      <c r="E1221" s="1">
        <v>0</v>
      </c>
      <c r="F1221" s="1">
        <v>0</v>
      </c>
      <c r="G1221" s="1">
        <v>11</v>
      </c>
      <c r="H1221" s="4">
        <v>0.64</v>
      </c>
      <c r="I1221" s="1">
        <v>0</v>
      </c>
      <c r="J1221" s="4"/>
      <c r="K1221" s="1">
        <v>10</v>
      </c>
      <c r="L1221" s="1">
        <v>0</v>
      </c>
      <c r="M1221" s="32">
        <f>IF(Mecze[[#This Row],[PR]]=0,0,Mecze[[#This Row],[PR]]/Mecze[[#This Row],[CZAS]])</f>
        <v>0</v>
      </c>
      <c r="N1221" s="32">
        <f>IF(Mecze[[#This Row],[OU]]=0,0,Mecze[[#This Row],[OU]]/Mecze[[#This Row],[CZAS]])</f>
        <v>0</v>
      </c>
      <c r="O1221" s="32">
        <f>IF(Mecze[[#This Row],[PC]]=0,0,Mecze[[#This Row],[PC]]/Mecze[[#This Row],[CZAS]])</f>
        <v>7.2164948453608241E-2</v>
      </c>
      <c r="P1221" s="32">
        <f>IF(Mecze[[#This Row],[SC]]=0,0,Mecze[[#This Row],[SC]]/Mecze[[#This Row],[CZAS]])</f>
        <v>0</v>
      </c>
      <c r="Q1221" s="32">
        <f>IF(Mecze[[#This Row],[OB]]=0,0,Mecze[[#This Row],[OB]]/Mecze[[#This Row],[CZAS]])</f>
        <v>0.10309278350515463</v>
      </c>
      <c r="R1221" s="32">
        <f>IF(Mecze[[#This Row],[BR]]=0,0,Mecze[[#This Row],[BR]]/Mecze[[#This Row],[CZAS]])</f>
        <v>0</v>
      </c>
      <c r="S1221" s="44">
        <f>IF(Mecze[[#This Row],[Role]]="BR",SUMPRODUCT(Mecze[[#This Row],[/PR:90]:[/BR:90]],Brudnopis!$E$23:$J$23),0)</f>
        <v>0.52577319587628868</v>
      </c>
      <c r="T1221" s="44">
        <f>IF(Mecze[[#This Row],[Role]]&lt;&gt;"BR",SUMPRODUCT(Mecze[[#This Row],[/PR:90]:[/BR:90]],Brudnopis!$E$24:$J$24),0)</f>
        <v>0</v>
      </c>
      <c r="U1221" s="44">
        <f>IF(Mecze[[#This Row],[Role]]&lt;&gt;"BR",SUMPRODUCT(Mecze[[#This Row],[/PR:90]:[/BR:90]],Brudnopis!$E$25:$J$25),0)</f>
        <v>0</v>
      </c>
      <c r="V1221" s="44">
        <f>IF(Mecze[[#This Row],[Role]]&lt;&gt;"BR",SUMPRODUCT(Mecze[[#This Row],[/PR:90]:[/BR:90]],Brudnopis!$E$26:$J$26),0)</f>
        <v>0</v>
      </c>
      <c r="W1221" s="44">
        <f>IF(Mecze[[#This Row],[Role]]&lt;&gt;"BR",SUMPRODUCT(Mecze[[#This Row],[/PR:90]:[/BR:90]],Brudnopis!$E$27:$J$27),0)</f>
        <v>0</v>
      </c>
      <c r="X1221" s="44">
        <f>IF(Mecze[[#This Row],[Role]]&lt;&gt;"BR",SUMPRODUCT(Mecze[[#This Row],[/PR:90]:[/BR:90]],Brudnopis!$E$28:$J$28),0)</f>
        <v>0</v>
      </c>
      <c r="Y1221" s="35">
        <f>IF(Mecze[[#This Row],[Role]]="BR",Mecze[[#This Row],[/OB:90]]+Mecze[[#This Row],[/PC:90]],SUM(Mecze[[#This Row],[/PR:90]:[/BR:90]]))</f>
        <v>0.17525773195876287</v>
      </c>
      <c r="Z1221" s="35">
        <f>IF(Mecze[[#This Row],[KC]]=0,SUM(Mecze[[#This Row],[/BRI]:[/NPI]]),SUM(Mecze[[#This Row],[/BRI]:[/NPI]])*0.6)</f>
        <v>0.52577319587628868</v>
      </c>
      <c r="AA1221" s="10">
        <f>IFERROR(Mecze[[#This Row],[BR]]/Mecze[[#This Row],[ST]],0)</f>
        <v>0</v>
      </c>
      <c r="AB1221">
        <f>ROUND(Mecze[[#This Row],[PD]]*Mecze[[#This Row],[%PC]],0)</f>
        <v>7</v>
      </c>
      <c r="AC1221">
        <f>ROUND(Mecze[[#This Row],[OD]]*Mecze[[#This Row],[%OU]],0)</f>
        <v>0</v>
      </c>
      <c r="AD1221" s="36" t="s">
        <v>40</v>
      </c>
      <c r="AE1221" s="36">
        <v>67</v>
      </c>
      <c r="AF1221" s="71">
        <v>6.13</v>
      </c>
      <c r="AG1221" s="37">
        <v>0</v>
      </c>
      <c r="AH1221" s="37">
        <v>0</v>
      </c>
      <c r="AI1221" s="37">
        <v>97</v>
      </c>
      <c r="AJ1221" s="37">
        <v>11</v>
      </c>
      <c r="AK1221" s="37" t="str">
        <f>VLOOKUP(Mecze[[#This Row],[Match ID]],Meczusie[Mecz]:Meczusie[RodzajMeczu],2,FALSE)</f>
        <v>Liga</v>
      </c>
    </row>
    <row r="1222" spans="1:37" x14ac:dyDescent="0.25">
      <c r="A1222" s="76">
        <v>15</v>
      </c>
      <c r="B1222" s="3" t="s">
        <v>323</v>
      </c>
      <c r="C1222" s="2" t="s">
        <v>157</v>
      </c>
      <c r="D1222" s="1">
        <v>0</v>
      </c>
      <c r="E1222" s="1">
        <v>0</v>
      </c>
      <c r="F1222" s="1">
        <v>0</v>
      </c>
      <c r="G1222" s="1">
        <v>18</v>
      </c>
      <c r="H1222" s="4">
        <v>0.67</v>
      </c>
      <c r="I1222" s="1">
        <v>11</v>
      </c>
      <c r="J1222" s="4">
        <v>0.73</v>
      </c>
      <c r="K1222" s="1">
        <v>0</v>
      </c>
      <c r="L1222" s="1">
        <v>9</v>
      </c>
      <c r="M1222" s="32">
        <f>IF(Mecze[[#This Row],[PR]]=0,0,Mecze[[#This Row],[PR]]/Mecze[[#This Row],[CZAS]])</f>
        <v>9.2783505154639179E-2</v>
      </c>
      <c r="N1222" s="32">
        <f>IF(Mecze[[#This Row],[OU]]=0,0,Mecze[[#This Row],[OU]]/Mecze[[#This Row],[CZAS]])</f>
        <v>8.247422680412371E-2</v>
      </c>
      <c r="O1222" s="32">
        <f>IF(Mecze[[#This Row],[PC]]=0,0,Mecze[[#This Row],[PC]]/Mecze[[#This Row],[CZAS]])</f>
        <v>0.12371134020618557</v>
      </c>
      <c r="P1222" s="32">
        <f>IF(Mecze[[#This Row],[SC]]=0,0,Mecze[[#This Row],[SC]]/Mecze[[#This Row],[CZAS]])</f>
        <v>0</v>
      </c>
      <c r="Q1222" s="32">
        <f>IF(Mecze[[#This Row],[OB]]=0,0,Mecze[[#This Row],[OB]]/Mecze[[#This Row],[CZAS]])</f>
        <v>0</v>
      </c>
      <c r="R1222" s="32">
        <f>IF(Mecze[[#This Row],[BR]]=0,0,Mecze[[#This Row],[BR]]/Mecze[[#This Row],[CZAS]])</f>
        <v>0</v>
      </c>
      <c r="S1222" s="44">
        <f>IF(Mecze[[#This Row],[Role]]="BR",SUMPRODUCT(Mecze[[#This Row],[/PR:90]:[/BR:90]],Brudnopis!$E$23:$J$23),0)</f>
        <v>0</v>
      </c>
      <c r="T1222" s="44">
        <f>IF(Mecze[[#This Row],[Role]]&lt;&gt;"BR",SUMPRODUCT(Mecze[[#This Row],[/PR:90]:[/BR:90]],Brudnopis!$E$24:$J$24),0)</f>
        <v>0.34020618556701032</v>
      </c>
      <c r="U1222" s="44">
        <f>IF(Mecze[[#This Row],[Role]]&lt;&gt;"BR",SUMPRODUCT(Mecze[[#This Row],[/PR:90]:[/BR:90]],Brudnopis!$E$25:$J$25),0)</f>
        <v>0.36082474226804123</v>
      </c>
      <c r="V1222" s="44">
        <f>IF(Mecze[[#This Row],[Role]]&lt;&gt;"BR",SUMPRODUCT(Mecze[[#This Row],[/PR:90]:[/BR:90]],Brudnopis!$E$26:$J$26),0)</f>
        <v>0.29896907216494845</v>
      </c>
      <c r="W1222" s="44">
        <f>IF(Mecze[[#This Row],[Role]]&lt;&gt;"BR",SUMPRODUCT(Mecze[[#This Row],[/PR:90]:[/BR:90]],Brudnopis!$E$27:$J$27),0)</f>
        <v>0.3170103092783505</v>
      </c>
      <c r="X1222" s="44">
        <f>IF(Mecze[[#This Row],[Role]]&lt;&gt;"BR",SUMPRODUCT(Mecze[[#This Row],[/PR:90]:[/BR:90]],Brudnopis!$E$28:$J$28),0)</f>
        <v>0.12371134020618557</v>
      </c>
      <c r="Y1222" s="35">
        <f>IF(Mecze[[#This Row],[Role]]="BR",Mecze[[#This Row],[/OB:90]]+Mecze[[#This Row],[/PC:90]],SUM(Mecze[[#This Row],[/PR:90]:[/BR:90]]))</f>
        <v>0.29896907216494845</v>
      </c>
      <c r="Z1222" s="35">
        <f>IF(Mecze[[#This Row],[KC]]=0,SUM(Mecze[[#This Row],[/BRI]:[/NPI]]),SUM(Mecze[[#This Row],[/BRI]:[/NPI]])*0.6)</f>
        <v>1.4407216494845361</v>
      </c>
      <c r="AA1222" s="10">
        <f>IFERROR(Mecze[[#This Row],[BR]]/Mecze[[#This Row],[ST]],0)</f>
        <v>0</v>
      </c>
      <c r="AB1222">
        <f>ROUND(Mecze[[#This Row],[PD]]*Mecze[[#This Row],[%PC]],0)</f>
        <v>12</v>
      </c>
      <c r="AC1222">
        <f>ROUND(Mecze[[#This Row],[OD]]*Mecze[[#This Row],[%OU]],0)</f>
        <v>8</v>
      </c>
      <c r="AD1222" s="36" t="s">
        <v>47</v>
      </c>
      <c r="AE1222" s="36">
        <v>67</v>
      </c>
      <c r="AF1222" s="71">
        <v>3.49</v>
      </c>
      <c r="AG1222" s="37">
        <v>1</v>
      </c>
      <c r="AH1222" s="37">
        <v>0</v>
      </c>
      <c r="AI1222" s="37">
        <v>97</v>
      </c>
      <c r="AJ1222" s="37">
        <v>11</v>
      </c>
      <c r="AK1222" s="37" t="str">
        <f>VLOOKUP(Mecze[[#This Row],[Match ID]],Meczusie[Mecz]:Meczusie[RodzajMeczu],2,FALSE)</f>
        <v>Liga</v>
      </c>
    </row>
    <row r="1223" spans="1:37" x14ac:dyDescent="0.25">
      <c r="A1223" s="76">
        <v>7</v>
      </c>
      <c r="B1223" s="3" t="s">
        <v>322</v>
      </c>
      <c r="C1223" s="2" t="s">
        <v>157</v>
      </c>
      <c r="D1223" s="1">
        <v>0</v>
      </c>
      <c r="E1223" s="1">
        <v>0</v>
      </c>
      <c r="F1223" s="1">
        <v>0</v>
      </c>
      <c r="G1223" s="1">
        <v>15</v>
      </c>
      <c r="H1223" s="4">
        <v>0.8</v>
      </c>
      <c r="I1223" s="1">
        <v>7</v>
      </c>
      <c r="J1223" s="4">
        <v>0.28999999999999998</v>
      </c>
      <c r="K1223" s="1">
        <v>0</v>
      </c>
      <c r="L1223" s="1">
        <v>9</v>
      </c>
      <c r="M1223" s="32">
        <f>IF(Mecze[[#This Row],[PR]]=0,0,Mecze[[#This Row],[PR]]/Mecze[[#This Row],[CZAS]])</f>
        <v>9.2783505154639179E-2</v>
      </c>
      <c r="N1223" s="32">
        <f>IF(Mecze[[#This Row],[OU]]=0,0,Mecze[[#This Row],[OU]]/Mecze[[#This Row],[CZAS]])</f>
        <v>2.0618556701030927E-2</v>
      </c>
      <c r="O1223" s="32">
        <f>IF(Mecze[[#This Row],[PC]]=0,0,Mecze[[#This Row],[PC]]/Mecze[[#This Row],[CZAS]])</f>
        <v>0.12371134020618557</v>
      </c>
      <c r="P1223" s="32">
        <f>IF(Mecze[[#This Row],[SC]]=0,0,Mecze[[#This Row],[SC]]/Mecze[[#This Row],[CZAS]])</f>
        <v>0</v>
      </c>
      <c r="Q1223" s="32">
        <f>IF(Mecze[[#This Row],[OB]]=0,0,Mecze[[#This Row],[OB]]/Mecze[[#This Row],[CZAS]])</f>
        <v>0</v>
      </c>
      <c r="R1223" s="32">
        <f>IF(Mecze[[#This Row],[BR]]=0,0,Mecze[[#This Row],[BR]]/Mecze[[#This Row],[CZAS]])</f>
        <v>0</v>
      </c>
      <c r="S1223" s="44">
        <f>IF(Mecze[[#This Row],[Role]]="BR",SUMPRODUCT(Mecze[[#This Row],[/PR:90]:[/BR:90]],Brudnopis!$E$23:$J$23),0)</f>
        <v>0</v>
      </c>
      <c r="T1223" s="44">
        <f>IF(Mecze[[#This Row],[Role]]&lt;&gt;"BR",SUMPRODUCT(Mecze[[#This Row],[/PR:90]:[/BR:90]],Brudnopis!$E$24:$J$24),0)</f>
        <v>0.24742268041237114</v>
      </c>
      <c r="U1223" s="44">
        <f>IF(Mecze[[#This Row],[Role]]&lt;&gt;"BR",SUMPRODUCT(Mecze[[#This Row],[/PR:90]:[/BR:90]],Brudnopis!$E$25:$J$25),0)</f>
        <v>0.29896907216494845</v>
      </c>
      <c r="V1223" s="44">
        <f>IF(Mecze[[#This Row],[Role]]&lt;&gt;"BR",SUMPRODUCT(Mecze[[#This Row],[/PR:90]:[/BR:90]],Brudnopis!$E$26:$J$26),0)</f>
        <v>0.23711340206185566</v>
      </c>
      <c r="W1223" s="44">
        <f>IF(Mecze[[#This Row],[Role]]&lt;&gt;"BR",SUMPRODUCT(Mecze[[#This Row],[/PR:90]:[/BR:90]],Brudnopis!$E$27:$J$27),0)</f>
        <v>0.27061855670103097</v>
      </c>
      <c r="X1223" s="44">
        <f>IF(Mecze[[#This Row],[Role]]&lt;&gt;"BR",SUMPRODUCT(Mecze[[#This Row],[/PR:90]:[/BR:90]],Brudnopis!$E$28:$J$28),0)</f>
        <v>0.12371134020618557</v>
      </c>
      <c r="Y1223" s="35">
        <f>IF(Mecze[[#This Row],[Role]]="BR",Mecze[[#This Row],[/OB:90]]+Mecze[[#This Row],[/PC:90]],SUM(Mecze[[#This Row],[/PR:90]:[/BR:90]]))</f>
        <v>0.23711340206185566</v>
      </c>
      <c r="Z1223" s="35">
        <f>IF(Mecze[[#This Row],[KC]]=0,SUM(Mecze[[#This Row],[/BRI]:[/NPI]]),SUM(Mecze[[#This Row],[/BRI]:[/NPI]])*0.6)</f>
        <v>1.177835051546392</v>
      </c>
      <c r="AA1223" s="10">
        <f>IFERROR(Mecze[[#This Row],[BR]]/Mecze[[#This Row],[ST]],0)</f>
        <v>0</v>
      </c>
      <c r="AB1223">
        <f>ROUND(Mecze[[#This Row],[PD]]*Mecze[[#This Row],[%PC]],0)</f>
        <v>12</v>
      </c>
      <c r="AC1223">
        <f>ROUND(Mecze[[#This Row],[OD]]*Mecze[[#This Row],[%OU]],0)</f>
        <v>2</v>
      </c>
      <c r="AD1223" s="36" t="s">
        <v>47</v>
      </c>
      <c r="AE1223" s="36">
        <v>67</v>
      </c>
      <c r="AF1223" s="71">
        <v>3.48</v>
      </c>
      <c r="AG1223" s="37">
        <v>0</v>
      </c>
      <c r="AH1223" s="37">
        <v>0</v>
      </c>
      <c r="AI1223" s="37">
        <v>97</v>
      </c>
      <c r="AJ1223" s="37">
        <v>11</v>
      </c>
      <c r="AK1223" s="37" t="str">
        <f>VLOOKUP(Mecze[[#This Row],[Match ID]],Meczusie[Mecz]:Meczusie[RodzajMeczu],2,FALSE)</f>
        <v>Liga</v>
      </c>
    </row>
    <row r="1224" spans="1:37" x14ac:dyDescent="0.25">
      <c r="A1224" s="76">
        <v>6</v>
      </c>
      <c r="B1224" s="3" t="s">
        <v>324</v>
      </c>
      <c r="C1224" s="2" t="s">
        <v>157</v>
      </c>
      <c r="D1224" s="1">
        <v>0</v>
      </c>
      <c r="E1224" s="1">
        <v>0</v>
      </c>
      <c r="F1224" s="1">
        <v>0</v>
      </c>
      <c r="G1224" s="1">
        <v>5</v>
      </c>
      <c r="H1224" s="4">
        <v>0.6</v>
      </c>
      <c r="I1224" s="1">
        <v>4</v>
      </c>
      <c r="J1224" s="4">
        <v>0.25</v>
      </c>
      <c r="K1224" s="1">
        <v>0</v>
      </c>
      <c r="L1224" s="1">
        <v>3</v>
      </c>
      <c r="M1224" s="32">
        <f>IF(Mecze[[#This Row],[PR]]=0,0,Mecze[[#This Row],[PR]]/Mecze[[#This Row],[CZAS]])</f>
        <v>3.0927835051546393E-2</v>
      </c>
      <c r="N1224" s="32">
        <f>IF(Mecze[[#This Row],[OU]]=0,0,Mecze[[#This Row],[OU]]/Mecze[[#This Row],[CZAS]])</f>
        <v>1.0309278350515464E-2</v>
      </c>
      <c r="O1224" s="32">
        <f>IF(Mecze[[#This Row],[PC]]=0,0,Mecze[[#This Row],[PC]]/Mecze[[#This Row],[CZAS]])</f>
        <v>3.0927835051546393E-2</v>
      </c>
      <c r="P1224" s="32">
        <f>IF(Mecze[[#This Row],[SC]]=0,0,Mecze[[#This Row],[SC]]/Mecze[[#This Row],[CZAS]])</f>
        <v>0</v>
      </c>
      <c r="Q1224" s="32">
        <f>IF(Mecze[[#This Row],[OB]]=0,0,Mecze[[#This Row],[OB]]/Mecze[[#This Row],[CZAS]])</f>
        <v>0</v>
      </c>
      <c r="R1224" s="32">
        <f>IF(Mecze[[#This Row],[BR]]=0,0,Mecze[[#This Row],[BR]]/Mecze[[#This Row],[CZAS]])</f>
        <v>0</v>
      </c>
      <c r="S1224" s="44">
        <f>IF(Mecze[[#This Row],[Role]]="BR",SUMPRODUCT(Mecze[[#This Row],[/PR:90]:[/BR:90]],Brudnopis!$E$23:$J$23),0)</f>
        <v>0</v>
      </c>
      <c r="T1224" s="44">
        <f>IF(Mecze[[#This Row],[Role]]&lt;&gt;"BR",SUMPRODUCT(Mecze[[#This Row],[/PR:90]:[/BR:90]],Brudnopis!$E$24:$J$24),0)</f>
        <v>7.7319587628865982E-2</v>
      </c>
      <c r="U1224" s="44">
        <f>IF(Mecze[[#This Row],[Role]]&lt;&gt;"BR",SUMPRODUCT(Mecze[[#This Row],[/PR:90]:[/BR:90]],Brudnopis!$E$25:$J$25),0)</f>
        <v>8.7628865979381437E-2</v>
      </c>
      <c r="V1224" s="44">
        <f>IF(Mecze[[#This Row],[Role]]&lt;&gt;"BR",SUMPRODUCT(Mecze[[#This Row],[/PR:90]:[/BR:90]],Brudnopis!$E$26:$J$26),0)</f>
        <v>7.2164948453608241E-2</v>
      </c>
      <c r="W1224" s="44">
        <f>IF(Mecze[[#This Row],[Role]]&lt;&gt;"BR",SUMPRODUCT(Mecze[[#This Row],[/PR:90]:[/BR:90]],Brudnopis!$E$27:$J$27),0)</f>
        <v>7.7319587628865982E-2</v>
      </c>
      <c r="X1224" s="44">
        <f>IF(Mecze[[#This Row],[Role]]&lt;&gt;"BR",SUMPRODUCT(Mecze[[#This Row],[/PR:90]:[/BR:90]],Brudnopis!$E$28:$J$28),0)</f>
        <v>3.0927835051546393E-2</v>
      </c>
      <c r="Y1224" s="35">
        <f>IF(Mecze[[#This Row],[Role]]="BR",Mecze[[#This Row],[/OB:90]]+Mecze[[#This Row],[/PC:90]],SUM(Mecze[[#This Row],[/PR:90]:[/BR:90]]))</f>
        <v>7.2164948453608241E-2</v>
      </c>
      <c r="Z1224" s="35">
        <f>IF(Mecze[[#This Row],[KC]]=0,SUM(Mecze[[#This Row],[/BRI]:[/NPI]]),SUM(Mecze[[#This Row],[/BRI]:[/NPI]])*0.6)</f>
        <v>0.34536082474226804</v>
      </c>
      <c r="AA1224" s="10">
        <f>IFERROR(Mecze[[#This Row],[BR]]/Mecze[[#This Row],[ST]],0)</f>
        <v>0</v>
      </c>
      <c r="AB1224">
        <f>ROUND(Mecze[[#This Row],[PD]]*Mecze[[#This Row],[%PC]],0)</f>
        <v>3</v>
      </c>
      <c r="AC1224">
        <f>ROUND(Mecze[[#This Row],[OD]]*Mecze[[#This Row],[%OU]],0)</f>
        <v>1</v>
      </c>
      <c r="AD1224" s="36" t="s">
        <v>174</v>
      </c>
      <c r="AE1224" s="36">
        <v>67</v>
      </c>
      <c r="AF1224" s="71">
        <v>2.2200000000000002</v>
      </c>
      <c r="AG1224" s="37">
        <v>0</v>
      </c>
      <c r="AH1224" s="37">
        <v>0</v>
      </c>
      <c r="AI1224" s="37">
        <v>97</v>
      </c>
      <c r="AJ1224" s="37">
        <v>11</v>
      </c>
      <c r="AK1224" s="37" t="str">
        <f>VLOOKUP(Mecze[[#This Row],[Match ID]],Meczusie[Mecz]:Meczusie[RodzajMeczu],2,FALSE)</f>
        <v>Liga</v>
      </c>
    </row>
    <row r="1225" spans="1:37" x14ac:dyDescent="0.25">
      <c r="A1225" s="76">
        <v>2</v>
      </c>
      <c r="B1225" s="3" t="s">
        <v>392</v>
      </c>
      <c r="C1225" s="2" t="s">
        <v>157</v>
      </c>
      <c r="D1225" s="1">
        <v>0</v>
      </c>
      <c r="E1225" s="1">
        <v>0</v>
      </c>
      <c r="F1225" s="1">
        <v>0</v>
      </c>
      <c r="G1225" s="1">
        <v>5</v>
      </c>
      <c r="H1225" s="4">
        <v>0.6</v>
      </c>
      <c r="I1225" s="1">
        <v>4</v>
      </c>
      <c r="J1225" s="4">
        <v>0.5</v>
      </c>
      <c r="K1225" s="1">
        <v>0</v>
      </c>
      <c r="L1225" s="1">
        <v>2</v>
      </c>
      <c r="M1225" s="32">
        <f>IF(Mecze[[#This Row],[PR]]=0,0,Mecze[[#This Row],[PR]]/Mecze[[#This Row],[CZAS]])</f>
        <v>2.0618556701030927E-2</v>
      </c>
      <c r="N1225" s="32">
        <f>IF(Mecze[[#This Row],[OU]]=0,0,Mecze[[#This Row],[OU]]/Mecze[[#This Row],[CZAS]])</f>
        <v>2.0618556701030927E-2</v>
      </c>
      <c r="O1225" s="32">
        <f>IF(Mecze[[#This Row],[PC]]=0,0,Mecze[[#This Row],[PC]]/Mecze[[#This Row],[CZAS]])</f>
        <v>3.0927835051546393E-2</v>
      </c>
      <c r="P1225" s="32">
        <f>IF(Mecze[[#This Row],[SC]]=0,0,Mecze[[#This Row],[SC]]/Mecze[[#This Row],[CZAS]])</f>
        <v>0</v>
      </c>
      <c r="Q1225" s="32">
        <f>IF(Mecze[[#This Row],[OB]]=0,0,Mecze[[#This Row],[OB]]/Mecze[[#This Row],[CZAS]])</f>
        <v>0</v>
      </c>
      <c r="R1225" s="32">
        <f>IF(Mecze[[#This Row],[BR]]=0,0,Mecze[[#This Row],[BR]]/Mecze[[#This Row],[CZAS]])</f>
        <v>0</v>
      </c>
      <c r="S1225" s="44">
        <f>IF(Mecze[[#This Row],[Role]]="BR",SUMPRODUCT(Mecze[[#This Row],[/PR:90]:[/BR:90]],Brudnopis!$E$23:$J$23),0)</f>
        <v>0</v>
      </c>
      <c r="T1225" s="44">
        <f>IF(Mecze[[#This Row],[Role]]&lt;&gt;"BR",SUMPRODUCT(Mecze[[#This Row],[/PR:90]:[/BR:90]],Brudnopis!$E$24:$J$24),0)</f>
        <v>8.247422680412371E-2</v>
      </c>
      <c r="U1225" s="44">
        <f>IF(Mecze[[#This Row],[Role]]&lt;&gt;"BR",SUMPRODUCT(Mecze[[#This Row],[/PR:90]:[/BR:90]],Brudnopis!$E$25:$J$25),0)</f>
        <v>8.7628865979381437E-2</v>
      </c>
      <c r="V1225" s="44">
        <f>IF(Mecze[[#This Row],[Role]]&lt;&gt;"BR",SUMPRODUCT(Mecze[[#This Row],[/PR:90]:[/BR:90]],Brudnopis!$E$26:$J$26),0)</f>
        <v>7.2164948453608241E-2</v>
      </c>
      <c r="W1225" s="44">
        <f>IF(Mecze[[#This Row],[Role]]&lt;&gt;"BR",SUMPRODUCT(Mecze[[#This Row],[/PR:90]:[/BR:90]],Brudnopis!$E$27:$J$27),0)</f>
        <v>7.7319587628865982E-2</v>
      </c>
      <c r="X1225" s="44">
        <f>IF(Mecze[[#This Row],[Role]]&lt;&gt;"BR",SUMPRODUCT(Mecze[[#This Row],[/PR:90]:[/BR:90]],Brudnopis!$E$28:$J$28),0)</f>
        <v>3.0927835051546393E-2</v>
      </c>
      <c r="Y1225" s="35">
        <f>IF(Mecze[[#This Row],[Role]]="BR",Mecze[[#This Row],[/OB:90]]+Mecze[[#This Row],[/PC:90]],SUM(Mecze[[#This Row],[/PR:90]:[/BR:90]]))</f>
        <v>7.2164948453608241E-2</v>
      </c>
      <c r="Z1225" s="35">
        <f>IF(Mecze[[#This Row],[KC]]=0,SUM(Mecze[[#This Row],[/BRI]:[/NPI]]),SUM(Mecze[[#This Row],[/BRI]:[/NPI]])*0.6)</f>
        <v>0.35051546391752575</v>
      </c>
      <c r="AA1225" s="10">
        <f>IFERROR(Mecze[[#This Row],[BR]]/Mecze[[#This Row],[ST]],0)</f>
        <v>0</v>
      </c>
      <c r="AB1225">
        <f>ROUND(Mecze[[#This Row],[PD]]*Mecze[[#This Row],[%PC]],0)</f>
        <v>3</v>
      </c>
      <c r="AC1225">
        <f>ROUND(Mecze[[#This Row],[OD]]*Mecze[[#This Row],[%OU]],0)</f>
        <v>2</v>
      </c>
      <c r="AD1225" s="36" t="s">
        <v>175</v>
      </c>
      <c r="AE1225" s="36">
        <v>67</v>
      </c>
      <c r="AF1225" s="71">
        <v>3.13</v>
      </c>
      <c r="AG1225" s="37">
        <v>0</v>
      </c>
      <c r="AH1225" s="37">
        <v>0</v>
      </c>
      <c r="AI1225" s="37">
        <v>97</v>
      </c>
      <c r="AJ1225" s="37">
        <v>11</v>
      </c>
      <c r="AK1225" s="37" t="str">
        <f>VLOOKUP(Mecze[[#This Row],[Match ID]],Meczusie[Mecz]:Meczusie[RodzajMeczu],2,FALSE)</f>
        <v>Liga</v>
      </c>
    </row>
    <row r="1226" spans="1:37" x14ac:dyDescent="0.25">
      <c r="A1226" s="76">
        <v>5</v>
      </c>
      <c r="B1226" s="3" t="s">
        <v>325</v>
      </c>
      <c r="C1226" s="2" t="s">
        <v>160</v>
      </c>
      <c r="D1226" s="1">
        <v>0</v>
      </c>
      <c r="E1226" s="1">
        <v>0</v>
      </c>
      <c r="F1226" s="1">
        <v>0</v>
      </c>
      <c r="G1226" s="1">
        <v>24</v>
      </c>
      <c r="H1226" s="4">
        <v>0.67</v>
      </c>
      <c r="I1226" s="1">
        <v>12</v>
      </c>
      <c r="J1226" s="4">
        <v>0.57999999999999996</v>
      </c>
      <c r="K1226" s="1">
        <v>0</v>
      </c>
      <c r="L1226" s="1">
        <v>7</v>
      </c>
      <c r="M1226" s="32">
        <f>IF(Mecze[[#This Row],[PR]]=0,0,Mecze[[#This Row],[PR]]/Mecze[[#This Row],[CZAS]])</f>
        <v>7.2164948453608241E-2</v>
      </c>
      <c r="N1226" s="32">
        <f>IF(Mecze[[#This Row],[OU]]=0,0,Mecze[[#This Row],[OU]]/Mecze[[#This Row],[CZAS]])</f>
        <v>7.2164948453608241E-2</v>
      </c>
      <c r="O1226" s="32">
        <f>IF(Mecze[[#This Row],[PC]]=0,0,Mecze[[#This Row],[PC]]/Mecze[[#This Row],[CZAS]])</f>
        <v>0.16494845360824742</v>
      </c>
      <c r="P1226" s="32">
        <f>IF(Mecze[[#This Row],[SC]]=0,0,Mecze[[#This Row],[SC]]/Mecze[[#This Row],[CZAS]])</f>
        <v>0</v>
      </c>
      <c r="Q1226" s="32">
        <f>IF(Mecze[[#This Row],[OB]]=0,0,Mecze[[#This Row],[OB]]/Mecze[[#This Row],[CZAS]])</f>
        <v>0</v>
      </c>
      <c r="R1226" s="32">
        <f>IF(Mecze[[#This Row],[BR]]=0,0,Mecze[[#This Row],[BR]]/Mecze[[#This Row],[CZAS]])</f>
        <v>0</v>
      </c>
      <c r="S1226" s="44">
        <f>IF(Mecze[[#This Row],[Role]]="BR",SUMPRODUCT(Mecze[[#This Row],[/PR:90]:[/BR:90]],Brudnopis!$E$23:$J$23),0)</f>
        <v>0</v>
      </c>
      <c r="T1226" s="44">
        <f>IF(Mecze[[#This Row],[Role]]&lt;&gt;"BR",SUMPRODUCT(Mecze[[#This Row],[/PR:90]:[/BR:90]],Brudnopis!$E$24:$J$24),0)</f>
        <v>0.34536082474226804</v>
      </c>
      <c r="U1226" s="44">
        <f>IF(Mecze[[#This Row],[Role]]&lt;&gt;"BR",SUMPRODUCT(Mecze[[#This Row],[/PR:90]:[/BR:90]],Brudnopis!$E$25:$J$25),0)</f>
        <v>0.39175257731958762</v>
      </c>
      <c r="V1226" s="44">
        <f>IF(Mecze[[#This Row],[Role]]&lt;&gt;"BR",SUMPRODUCT(Mecze[[#This Row],[/PR:90]:[/BR:90]],Brudnopis!$E$26:$J$26),0)</f>
        <v>0.30927835051546393</v>
      </c>
      <c r="W1226" s="44">
        <f>IF(Mecze[[#This Row],[Role]]&lt;&gt;"BR",SUMPRODUCT(Mecze[[#This Row],[/PR:90]:[/BR:90]],Brudnopis!$E$27:$J$27),0)</f>
        <v>0.35567010309278352</v>
      </c>
      <c r="X1226" s="44">
        <f>IF(Mecze[[#This Row],[Role]]&lt;&gt;"BR",SUMPRODUCT(Mecze[[#This Row],[/PR:90]:[/BR:90]],Brudnopis!$E$28:$J$28),0)</f>
        <v>0.16494845360824742</v>
      </c>
      <c r="Y1226" s="35">
        <f>IF(Mecze[[#This Row],[Role]]="BR",Mecze[[#This Row],[/OB:90]]+Mecze[[#This Row],[/PC:90]],SUM(Mecze[[#This Row],[/PR:90]:[/BR:90]]))</f>
        <v>0.30927835051546393</v>
      </c>
      <c r="Z1226" s="35">
        <f>IF(Mecze[[#This Row],[KC]]=0,SUM(Mecze[[#This Row],[/BRI]:[/NPI]]),SUM(Mecze[[#This Row],[/BRI]:[/NPI]])*0.6)</f>
        <v>1.5670103092783507</v>
      </c>
      <c r="AA1226" s="10">
        <f>IFERROR(Mecze[[#This Row],[BR]]/Mecze[[#This Row],[ST]],0)</f>
        <v>0</v>
      </c>
      <c r="AB1226">
        <f>ROUND(Mecze[[#This Row],[PD]]*Mecze[[#This Row],[%PC]],0)</f>
        <v>16</v>
      </c>
      <c r="AC1226">
        <f>ROUND(Mecze[[#This Row],[OD]]*Mecze[[#This Row],[%OU]],0)</f>
        <v>7</v>
      </c>
      <c r="AD1226" s="36" t="s">
        <v>41</v>
      </c>
      <c r="AE1226" s="36">
        <v>67</v>
      </c>
      <c r="AF1226" s="71">
        <v>5.38</v>
      </c>
      <c r="AG1226" s="37">
        <v>0</v>
      </c>
      <c r="AH1226" s="37">
        <v>0</v>
      </c>
      <c r="AI1226" s="37">
        <v>97</v>
      </c>
      <c r="AJ1226" s="37">
        <v>11</v>
      </c>
      <c r="AK1226" s="37" t="str">
        <f>VLOOKUP(Mecze[[#This Row],[Match ID]],Meczusie[Mecz]:Meczusie[RodzajMeczu],2,FALSE)</f>
        <v>Liga</v>
      </c>
    </row>
    <row r="1227" spans="1:37" x14ac:dyDescent="0.25">
      <c r="A1227" s="76">
        <v>8</v>
      </c>
      <c r="B1227" s="3" t="s">
        <v>326</v>
      </c>
      <c r="C1227" s="2" t="s">
        <v>160</v>
      </c>
      <c r="D1227" s="1">
        <v>0</v>
      </c>
      <c r="E1227" s="1">
        <v>1</v>
      </c>
      <c r="F1227" s="1">
        <v>1</v>
      </c>
      <c r="G1227" s="1">
        <v>11</v>
      </c>
      <c r="H1227" s="4">
        <v>0.64</v>
      </c>
      <c r="I1227" s="1">
        <v>2</v>
      </c>
      <c r="J1227" s="4">
        <v>0.5</v>
      </c>
      <c r="K1227" s="1">
        <v>0</v>
      </c>
      <c r="L1227" s="1">
        <v>0</v>
      </c>
      <c r="M1227" s="32">
        <f>IF(Mecze[[#This Row],[PR]]=0,0,Mecze[[#This Row],[PR]]/Mecze[[#This Row],[CZAS]])</f>
        <v>0</v>
      </c>
      <c r="N1227" s="32">
        <f>IF(Mecze[[#This Row],[OU]]=0,0,Mecze[[#This Row],[OU]]/Mecze[[#This Row],[CZAS]])</f>
        <v>1.0309278350515464E-2</v>
      </c>
      <c r="O1227" s="32">
        <f>IF(Mecze[[#This Row],[PC]]=0,0,Mecze[[#This Row],[PC]]/Mecze[[#This Row],[CZAS]])</f>
        <v>7.2164948453608241E-2</v>
      </c>
      <c r="P1227" s="32">
        <f>IF(Mecze[[#This Row],[SC]]=0,0,Mecze[[#This Row],[SC]]/Mecze[[#This Row],[CZAS]])</f>
        <v>1.0309278350515464E-2</v>
      </c>
      <c r="Q1227" s="32">
        <f>IF(Mecze[[#This Row],[OB]]=0,0,Mecze[[#This Row],[OB]]/Mecze[[#This Row],[CZAS]])</f>
        <v>0</v>
      </c>
      <c r="R1227" s="32">
        <f>IF(Mecze[[#This Row],[BR]]=0,0,Mecze[[#This Row],[BR]]/Mecze[[#This Row],[CZAS]])</f>
        <v>0</v>
      </c>
      <c r="S1227" s="44">
        <f>IF(Mecze[[#This Row],[Role]]="BR",SUMPRODUCT(Mecze[[#This Row],[/PR:90]:[/BR:90]],Brudnopis!$E$23:$J$23),0)</f>
        <v>0</v>
      </c>
      <c r="T1227" s="44">
        <f>IF(Mecze[[#This Row],[Role]]&lt;&gt;"BR",SUMPRODUCT(Mecze[[#This Row],[/PR:90]:[/BR:90]],Brudnopis!$E$24:$J$24),0)</f>
        <v>9.7938144329896906E-2</v>
      </c>
      <c r="U1227" s="44">
        <f>IF(Mecze[[#This Row],[Role]]&lt;&gt;"BR",SUMPRODUCT(Mecze[[#This Row],[/PR:90]:[/BR:90]],Brudnopis!$E$25:$J$25),0)</f>
        <v>0.12886597938144329</v>
      </c>
      <c r="V1227" s="44">
        <f>IF(Mecze[[#This Row],[Role]]&lt;&gt;"BR",SUMPRODUCT(Mecze[[#This Row],[/PR:90]:[/BR:90]],Brudnopis!$E$26:$J$26),0)</f>
        <v>9.2783505154639179E-2</v>
      </c>
      <c r="W1227" s="44">
        <f>IF(Mecze[[#This Row],[Role]]&lt;&gt;"BR",SUMPRODUCT(Mecze[[#This Row],[/PR:90]:[/BR:90]],Brudnopis!$E$27:$J$27),0)</f>
        <v>0.12628865979381443</v>
      </c>
      <c r="X1227" s="44">
        <f>IF(Mecze[[#This Row],[Role]]&lt;&gt;"BR",SUMPRODUCT(Mecze[[#This Row],[/PR:90]:[/BR:90]],Brudnopis!$E$28:$J$28),0)</f>
        <v>9.2783505154639165E-2</v>
      </c>
      <c r="Y1227" s="35">
        <f>IF(Mecze[[#This Row],[Role]]="BR",Mecze[[#This Row],[/OB:90]]+Mecze[[#This Row],[/PC:90]],SUM(Mecze[[#This Row],[/PR:90]:[/BR:90]]))</f>
        <v>9.2783505154639179E-2</v>
      </c>
      <c r="Z1227" s="35">
        <f>IF(Mecze[[#This Row],[KC]]=0,SUM(Mecze[[#This Row],[/BRI]:[/NPI]]),SUM(Mecze[[#This Row],[/BRI]:[/NPI]])*0.6)</f>
        <v>0.53865979381443296</v>
      </c>
      <c r="AA1227" s="10">
        <f>IFERROR(Mecze[[#This Row],[BR]]/Mecze[[#This Row],[ST]],0)</f>
        <v>0</v>
      </c>
      <c r="AB1227">
        <f>ROUND(Mecze[[#This Row],[PD]]*Mecze[[#This Row],[%PC]],0)</f>
        <v>7</v>
      </c>
      <c r="AC1227">
        <f>ROUND(Mecze[[#This Row],[OD]]*Mecze[[#This Row],[%OU]],0)</f>
        <v>1</v>
      </c>
      <c r="AD1227" s="36" t="s">
        <v>318</v>
      </c>
      <c r="AE1227" s="36">
        <v>67</v>
      </c>
      <c r="AF1227" s="71">
        <v>4.1399999999999997</v>
      </c>
      <c r="AG1227" s="37">
        <v>0</v>
      </c>
      <c r="AH1227" s="37">
        <v>0</v>
      </c>
      <c r="AI1227" s="37">
        <v>97</v>
      </c>
      <c r="AJ1227" s="37">
        <v>11</v>
      </c>
      <c r="AK1227" s="37" t="str">
        <f>VLOOKUP(Mecze[[#This Row],[Match ID]],Meczusie[Mecz]:Meczusie[RodzajMeczu],2,FALSE)</f>
        <v>Liga</v>
      </c>
    </row>
    <row r="1228" spans="1:37" x14ac:dyDescent="0.25">
      <c r="A1228" s="76">
        <v>9</v>
      </c>
      <c r="B1228" s="3" t="s">
        <v>327</v>
      </c>
      <c r="C1228" s="2" t="s">
        <v>160</v>
      </c>
      <c r="D1228" s="1">
        <v>0</v>
      </c>
      <c r="E1228" s="1">
        <v>0</v>
      </c>
      <c r="F1228" s="1">
        <v>0</v>
      </c>
      <c r="G1228" s="1">
        <v>10</v>
      </c>
      <c r="H1228" s="4">
        <v>0.9</v>
      </c>
      <c r="I1228" s="1">
        <v>4</v>
      </c>
      <c r="J1228" s="4">
        <v>0.25</v>
      </c>
      <c r="K1228" s="1">
        <v>0</v>
      </c>
      <c r="L1228" s="1">
        <v>1</v>
      </c>
      <c r="M1228" s="32">
        <f>IF(Mecze[[#This Row],[PR]]=0,0,Mecze[[#This Row],[PR]]/Mecze[[#This Row],[CZAS]])</f>
        <v>1.0309278350515464E-2</v>
      </c>
      <c r="N1228" s="32">
        <f>IF(Mecze[[#This Row],[OU]]=0,0,Mecze[[#This Row],[OU]]/Mecze[[#This Row],[CZAS]])</f>
        <v>1.0309278350515464E-2</v>
      </c>
      <c r="O1228" s="32">
        <f>IF(Mecze[[#This Row],[PC]]=0,0,Mecze[[#This Row],[PC]]/Mecze[[#This Row],[CZAS]])</f>
        <v>9.2783505154639179E-2</v>
      </c>
      <c r="P1228" s="32">
        <f>IF(Mecze[[#This Row],[SC]]=0,0,Mecze[[#This Row],[SC]]/Mecze[[#This Row],[CZAS]])</f>
        <v>0</v>
      </c>
      <c r="Q1228" s="32">
        <f>IF(Mecze[[#This Row],[OB]]=0,0,Mecze[[#This Row],[OB]]/Mecze[[#This Row],[CZAS]])</f>
        <v>0</v>
      </c>
      <c r="R1228" s="32">
        <f>IF(Mecze[[#This Row],[BR]]=0,0,Mecze[[#This Row],[BR]]/Mecze[[#This Row],[CZAS]])</f>
        <v>0</v>
      </c>
      <c r="S1228" s="44">
        <f>IF(Mecze[[#This Row],[Role]]="BR",SUMPRODUCT(Mecze[[#This Row],[/PR:90]:[/BR:90]],Brudnopis!$E$23:$J$23),0)</f>
        <v>0</v>
      </c>
      <c r="T1228" s="44">
        <f>IF(Mecze[[#This Row],[Role]]&lt;&gt;"BR",SUMPRODUCT(Mecze[[#This Row],[/PR:90]:[/BR:90]],Brudnopis!$E$24:$J$24),0)</f>
        <v>0.11855670103092783</v>
      </c>
      <c r="U1228" s="44">
        <f>IF(Mecze[[#This Row],[Role]]&lt;&gt;"BR",SUMPRODUCT(Mecze[[#This Row],[/PR:90]:[/BR:90]],Brudnopis!$E$25:$J$25),0)</f>
        <v>0.15979381443298971</v>
      </c>
      <c r="V1228" s="44">
        <f>IF(Mecze[[#This Row],[Role]]&lt;&gt;"BR",SUMPRODUCT(Mecze[[#This Row],[/PR:90]:[/BR:90]],Brudnopis!$E$26:$J$26),0)</f>
        <v>0.1134020618556701</v>
      </c>
      <c r="W1228" s="44">
        <f>IF(Mecze[[#This Row],[Role]]&lt;&gt;"BR",SUMPRODUCT(Mecze[[#This Row],[/PR:90]:[/BR:90]],Brudnopis!$E$27:$J$27),0)</f>
        <v>0.15463917525773196</v>
      </c>
      <c r="X1228" s="44">
        <f>IF(Mecze[[#This Row],[Role]]&lt;&gt;"BR",SUMPRODUCT(Mecze[[#This Row],[/PR:90]:[/BR:90]],Brudnopis!$E$28:$J$28),0)</f>
        <v>9.2783505154639179E-2</v>
      </c>
      <c r="Y1228" s="35">
        <f>IF(Mecze[[#This Row],[Role]]="BR",Mecze[[#This Row],[/OB:90]]+Mecze[[#This Row],[/PC:90]],SUM(Mecze[[#This Row],[/PR:90]:[/BR:90]]))</f>
        <v>0.1134020618556701</v>
      </c>
      <c r="Z1228" s="35">
        <f>IF(Mecze[[#This Row],[KC]]=0,SUM(Mecze[[#This Row],[/BRI]:[/NPI]]),SUM(Mecze[[#This Row],[/BRI]:[/NPI]])*0.6)</f>
        <v>0.63917525773195882</v>
      </c>
      <c r="AA1228" s="10">
        <f>IFERROR(Mecze[[#This Row],[BR]]/Mecze[[#This Row],[ST]],0)</f>
        <v>0</v>
      </c>
      <c r="AB1228">
        <f>ROUND(Mecze[[#This Row],[PD]]*Mecze[[#This Row],[%PC]],0)</f>
        <v>9</v>
      </c>
      <c r="AC1228">
        <f>ROUND(Mecze[[#This Row],[OD]]*Mecze[[#This Row],[%OU]],0)</f>
        <v>1</v>
      </c>
      <c r="AD1228" s="36" t="s">
        <v>44</v>
      </c>
      <c r="AE1228" s="36">
        <v>67</v>
      </c>
      <c r="AF1228" s="71">
        <v>5.03</v>
      </c>
      <c r="AG1228" s="37">
        <v>0</v>
      </c>
      <c r="AH1228" s="37">
        <v>0</v>
      </c>
      <c r="AI1228" s="37">
        <v>97</v>
      </c>
      <c r="AJ1228" s="37">
        <v>11</v>
      </c>
      <c r="AK1228" s="37" t="str">
        <f>VLOOKUP(Mecze[[#This Row],[Match ID]],Meczusie[Mecz]:Meczusie[RodzajMeczu],2,FALSE)</f>
        <v>Liga</v>
      </c>
    </row>
    <row r="1229" spans="1:37" x14ac:dyDescent="0.25">
      <c r="A1229" s="76">
        <v>10</v>
      </c>
      <c r="B1229" s="3" t="s">
        <v>328</v>
      </c>
      <c r="C1229" s="2" t="s">
        <v>165</v>
      </c>
      <c r="D1229" s="1">
        <v>1</v>
      </c>
      <c r="E1229" s="1">
        <v>4</v>
      </c>
      <c r="F1229" s="1">
        <v>4</v>
      </c>
      <c r="G1229" s="1">
        <v>9</v>
      </c>
      <c r="H1229" s="4">
        <v>0.67</v>
      </c>
      <c r="I1229" s="1">
        <v>4</v>
      </c>
      <c r="J1229" s="4">
        <v>0.5</v>
      </c>
      <c r="K1229" s="1">
        <v>0</v>
      </c>
      <c r="L1229" s="1">
        <v>1</v>
      </c>
      <c r="M1229" s="32">
        <f>IF(Mecze[[#This Row],[PR]]=0,0,Mecze[[#This Row],[PR]]/Mecze[[#This Row],[CZAS]])</f>
        <v>1.0309278350515464E-2</v>
      </c>
      <c r="N1229" s="32">
        <f>IF(Mecze[[#This Row],[OU]]=0,0,Mecze[[#This Row],[OU]]/Mecze[[#This Row],[CZAS]])</f>
        <v>2.0618556701030927E-2</v>
      </c>
      <c r="O1229" s="32">
        <f>IF(Mecze[[#This Row],[PC]]=0,0,Mecze[[#This Row],[PC]]/Mecze[[#This Row],[CZAS]])</f>
        <v>6.1855670103092786E-2</v>
      </c>
      <c r="P1229" s="32">
        <f>IF(Mecze[[#This Row],[SC]]=0,0,Mecze[[#This Row],[SC]]/Mecze[[#This Row],[CZAS]])</f>
        <v>4.1237113402061855E-2</v>
      </c>
      <c r="Q1229" s="32">
        <f>IF(Mecze[[#This Row],[OB]]=0,0,Mecze[[#This Row],[OB]]/Mecze[[#This Row],[CZAS]])</f>
        <v>0</v>
      </c>
      <c r="R1229" s="32">
        <f>IF(Mecze[[#This Row],[BR]]=0,0,Mecze[[#This Row],[BR]]/Mecze[[#This Row],[CZAS]])</f>
        <v>1.0309278350515464E-2</v>
      </c>
      <c r="S1229" s="44">
        <f>IF(Mecze[[#This Row],[Role]]="BR",SUMPRODUCT(Mecze[[#This Row],[/PR:90]:[/BR:90]],Brudnopis!$E$23:$J$23),0)</f>
        <v>0</v>
      </c>
      <c r="T1229" s="44">
        <f>IF(Mecze[[#This Row],[Role]]&lt;&gt;"BR",SUMPRODUCT(Mecze[[#This Row],[/PR:90]:[/BR:90]],Brudnopis!$E$24:$J$24),0)</f>
        <v>0.15979381443298968</v>
      </c>
      <c r="U1229" s="44">
        <f>IF(Mecze[[#This Row],[Role]]&lt;&gt;"BR",SUMPRODUCT(Mecze[[#This Row],[/PR:90]:[/BR:90]],Brudnopis!$E$25:$J$25),0)</f>
        <v>0.18041237113402062</v>
      </c>
      <c r="V1229" s="44">
        <f>IF(Mecze[[#This Row],[Role]]&lt;&gt;"BR",SUMPRODUCT(Mecze[[#This Row],[/PR:90]:[/BR:90]],Brudnopis!$E$26:$J$26),0)</f>
        <v>0.15463917525773196</v>
      </c>
      <c r="W1229" s="44">
        <f>IF(Mecze[[#This Row],[Role]]&lt;&gt;"BR",SUMPRODUCT(Mecze[[#This Row],[/PR:90]:[/BR:90]],Brudnopis!$E$27:$J$27),0)</f>
        <v>0.17783505154639176</v>
      </c>
      <c r="X1229" s="44">
        <f>IF(Mecze[[#This Row],[Role]]&lt;&gt;"BR",SUMPRODUCT(Mecze[[#This Row],[/PR:90]:[/BR:90]],Brudnopis!$E$28:$J$28),0)</f>
        <v>0.17525773195876287</v>
      </c>
      <c r="Y1229" s="35">
        <f>IF(Mecze[[#This Row],[Role]]="BR",Mecze[[#This Row],[/OB:90]]+Mecze[[#This Row],[/PC:90]],SUM(Mecze[[#This Row],[/PR:90]:[/BR:90]]))</f>
        <v>0.14432989690721648</v>
      </c>
      <c r="Z1229" s="35">
        <f>IF(Mecze[[#This Row],[KC]]=0,SUM(Mecze[[#This Row],[/BRI]:[/NPI]]),SUM(Mecze[[#This Row],[/BRI]:[/NPI]])*0.6)</f>
        <v>0.847938144329897</v>
      </c>
      <c r="AA1229" s="10">
        <f>IFERROR(Mecze[[#This Row],[BR]]/Mecze[[#This Row],[ST]],0)</f>
        <v>0.25</v>
      </c>
      <c r="AB1229">
        <f>ROUND(Mecze[[#This Row],[PD]]*Mecze[[#This Row],[%PC]],0)</f>
        <v>6</v>
      </c>
      <c r="AC1229">
        <f>ROUND(Mecze[[#This Row],[OD]]*Mecze[[#This Row],[%OU]],0)</f>
        <v>2</v>
      </c>
      <c r="AD1229" s="36" t="s">
        <v>46</v>
      </c>
      <c r="AE1229" s="36">
        <v>67</v>
      </c>
      <c r="AF1229" s="71">
        <v>7.22</v>
      </c>
      <c r="AG1229" s="37">
        <v>0</v>
      </c>
      <c r="AH1229" s="37">
        <v>0</v>
      </c>
      <c r="AI1229" s="37">
        <v>97</v>
      </c>
      <c r="AJ1229" s="37">
        <v>11</v>
      </c>
      <c r="AK1229" s="37" t="str">
        <f>VLOOKUP(Mecze[[#This Row],[Match ID]],Meczusie[Mecz]:Meczusie[RodzajMeczu],2,FALSE)</f>
        <v>Liga</v>
      </c>
    </row>
    <row r="1230" spans="1:37" x14ac:dyDescent="0.25">
      <c r="A1230" s="76">
        <v>11</v>
      </c>
      <c r="B1230" s="3" t="s">
        <v>329</v>
      </c>
      <c r="C1230" s="2" t="s">
        <v>165</v>
      </c>
      <c r="D1230" s="1">
        <v>1</v>
      </c>
      <c r="E1230" s="1">
        <v>1</v>
      </c>
      <c r="F1230" s="1">
        <v>1</v>
      </c>
      <c r="G1230" s="1">
        <v>10</v>
      </c>
      <c r="H1230" s="4">
        <v>0.8</v>
      </c>
      <c r="I1230" s="1">
        <v>2</v>
      </c>
      <c r="J1230" s="4">
        <v>0</v>
      </c>
      <c r="K1230" s="1">
        <v>0</v>
      </c>
      <c r="L1230" s="1">
        <v>0</v>
      </c>
      <c r="M1230" s="32">
        <f>IF(Mecze[[#This Row],[PR]]=0,0,Mecze[[#This Row],[PR]]/Mecze[[#This Row],[CZAS]])</f>
        <v>0</v>
      </c>
      <c r="N1230" s="32">
        <f>IF(Mecze[[#This Row],[OU]]=0,0,Mecze[[#This Row],[OU]]/Mecze[[#This Row],[CZAS]])</f>
        <v>0</v>
      </c>
      <c r="O1230" s="32">
        <f>IF(Mecze[[#This Row],[PC]]=0,0,Mecze[[#This Row],[PC]]/Mecze[[#This Row],[CZAS]])</f>
        <v>8.247422680412371E-2</v>
      </c>
      <c r="P1230" s="32">
        <f>IF(Mecze[[#This Row],[SC]]=0,0,Mecze[[#This Row],[SC]]/Mecze[[#This Row],[CZAS]])</f>
        <v>1.0309278350515464E-2</v>
      </c>
      <c r="Q1230" s="32">
        <f>IF(Mecze[[#This Row],[OB]]=0,0,Mecze[[#This Row],[OB]]/Mecze[[#This Row],[CZAS]])</f>
        <v>0</v>
      </c>
      <c r="R1230" s="32">
        <f>IF(Mecze[[#This Row],[BR]]=0,0,Mecze[[#This Row],[BR]]/Mecze[[#This Row],[CZAS]])</f>
        <v>1.0309278350515464E-2</v>
      </c>
      <c r="S1230" s="44">
        <f>IF(Mecze[[#This Row],[Role]]="BR",SUMPRODUCT(Mecze[[#This Row],[/PR:90]:[/BR:90]],Brudnopis!$E$23:$J$23),0)</f>
        <v>0</v>
      </c>
      <c r="T1230" s="44">
        <f>IF(Mecze[[#This Row],[Role]]&lt;&gt;"BR",SUMPRODUCT(Mecze[[#This Row],[/PR:90]:[/BR:90]],Brudnopis!$E$24:$J$24),0)</f>
        <v>0.10824742268041238</v>
      </c>
      <c r="U1230" s="44">
        <f>IF(Mecze[[#This Row],[Role]]&lt;&gt;"BR",SUMPRODUCT(Mecze[[#This Row],[/PR:90]:[/BR:90]],Brudnopis!$E$25:$J$25),0)</f>
        <v>0.14948453608247422</v>
      </c>
      <c r="V1230" s="44">
        <f>IF(Mecze[[#This Row],[Role]]&lt;&gt;"BR",SUMPRODUCT(Mecze[[#This Row],[/PR:90]:[/BR:90]],Brudnopis!$E$26:$J$26),0)</f>
        <v>0.1134020618556701</v>
      </c>
      <c r="W1230" s="44">
        <f>IF(Mecze[[#This Row],[Role]]&lt;&gt;"BR",SUMPRODUCT(Mecze[[#This Row],[/PR:90]:[/BR:90]],Brudnopis!$E$27:$J$27),0)</f>
        <v>0.15463917525773196</v>
      </c>
      <c r="X1230" s="44">
        <f>IF(Mecze[[#This Row],[Role]]&lt;&gt;"BR",SUMPRODUCT(Mecze[[#This Row],[/PR:90]:[/BR:90]],Brudnopis!$E$28:$J$28),0)</f>
        <v>0.13402061855670103</v>
      </c>
      <c r="Y1230" s="35">
        <f>IF(Mecze[[#This Row],[Role]]="BR",Mecze[[#This Row],[/OB:90]]+Mecze[[#This Row],[/PC:90]],SUM(Mecze[[#This Row],[/PR:90]:[/BR:90]]))</f>
        <v>0.10309278350515465</v>
      </c>
      <c r="Z1230" s="35">
        <f>IF(Mecze[[#This Row],[KC]]=0,SUM(Mecze[[#This Row],[/BRI]:[/NPI]]),SUM(Mecze[[#This Row],[/BRI]:[/NPI]])*0.6)</f>
        <v>0.65979381443298957</v>
      </c>
      <c r="AA1230" s="10">
        <f>IFERROR(Mecze[[#This Row],[BR]]/Mecze[[#This Row],[ST]],0)</f>
        <v>1</v>
      </c>
      <c r="AB1230">
        <f>ROUND(Mecze[[#This Row],[PD]]*Mecze[[#This Row],[%PC]],0)</f>
        <v>8</v>
      </c>
      <c r="AC1230">
        <f>ROUND(Mecze[[#This Row],[OD]]*Mecze[[#This Row],[%OU]],0)</f>
        <v>0</v>
      </c>
      <c r="AD1230" s="36" t="s">
        <v>273</v>
      </c>
      <c r="AE1230" s="36">
        <v>67</v>
      </c>
      <c r="AF1230" s="71">
        <v>7.48</v>
      </c>
      <c r="AG1230" s="37">
        <v>0</v>
      </c>
      <c r="AH1230" s="37">
        <v>0</v>
      </c>
      <c r="AI1230" s="37">
        <v>97</v>
      </c>
      <c r="AJ1230" s="37">
        <v>11</v>
      </c>
      <c r="AK1230" s="37" t="str">
        <f>VLOOKUP(Mecze[[#This Row],[Match ID]],Meczusie[Mecz]:Meczusie[RodzajMeczu],2,FALSE)</f>
        <v>Liga</v>
      </c>
    </row>
    <row r="1231" spans="1:37" x14ac:dyDescent="0.25">
      <c r="A1231" s="76">
        <v>14</v>
      </c>
      <c r="B1231" s="3" t="s">
        <v>330</v>
      </c>
      <c r="C1231" s="2" t="s">
        <v>165</v>
      </c>
      <c r="D1231" s="1">
        <v>0</v>
      </c>
      <c r="E1231" s="1">
        <v>2</v>
      </c>
      <c r="F1231" s="1">
        <v>2</v>
      </c>
      <c r="G1231" s="1">
        <v>6</v>
      </c>
      <c r="H1231" s="4">
        <v>0.33</v>
      </c>
      <c r="I1231" s="1">
        <v>1</v>
      </c>
      <c r="J1231" s="4">
        <v>0</v>
      </c>
      <c r="K1231" s="1">
        <v>0</v>
      </c>
      <c r="L1231" s="1">
        <v>0</v>
      </c>
      <c r="M1231" s="32">
        <f>IF(Mecze[[#This Row],[PR]]=0,0,Mecze[[#This Row],[PR]]/Mecze[[#This Row],[CZAS]])</f>
        <v>0</v>
      </c>
      <c r="N1231" s="32">
        <f>IF(Mecze[[#This Row],[OU]]=0,0,Mecze[[#This Row],[OU]]/Mecze[[#This Row],[CZAS]])</f>
        <v>0</v>
      </c>
      <c r="O1231" s="32">
        <f>IF(Mecze[[#This Row],[PC]]=0,0,Mecze[[#This Row],[PC]]/Mecze[[#This Row],[CZAS]])</f>
        <v>2.0618556701030927E-2</v>
      </c>
      <c r="P1231" s="32">
        <f>IF(Mecze[[#This Row],[SC]]=0,0,Mecze[[#This Row],[SC]]/Mecze[[#This Row],[CZAS]])</f>
        <v>2.0618556701030927E-2</v>
      </c>
      <c r="Q1231" s="32">
        <f>IF(Mecze[[#This Row],[OB]]=0,0,Mecze[[#This Row],[OB]]/Mecze[[#This Row],[CZAS]])</f>
        <v>0</v>
      </c>
      <c r="R1231" s="32">
        <f>IF(Mecze[[#This Row],[BR]]=0,0,Mecze[[#This Row],[BR]]/Mecze[[#This Row],[CZAS]])</f>
        <v>0</v>
      </c>
      <c r="S1231" s="44">
        <f>IF(Mecze[[#This Row],[Role]]="BR",SUMPRODUCT(Mecze[[#This Row],[/PR:90]:[/BR:90]],Brudnopis!$E$23:$J$23),0)</f>
        <v>0</v>
      </c>
      <c r="T1231" s="44">
        <f>IF(Mecze[[#This Row],[Role]]&lt;&gt;"BR",SUMPRODUCT(Mecze[[#This Row],[/PR:90]:[/BR:90]],Brudnopis!$E$24:$J$24),0)</f>
        <v>4.1237113402061855E-2</v>
      </c>
      <c r="U1231" s="44">
        <f>IF(Mecze[[#This Row],[Role]]&lt;&gt;"BR",SUMPRODUCT(Mecze[[#This Row],[/PR:90]:[/BR:90]],Brudnopis!$E$25:$J$25),0)</f>
        <v>5.1546391752577317E-2</v>
      </c>
      <c r="V1231" s="44">
        <f>IF(Mecze[[#This Row],[Role]]&lt;&gt;"BR",SUMPRODUCT(Mecze[[#This Row],[/PR:90]:[/BR:90]],Brudnopis!$E$26:$J$26),0)</f>
        <v>4.1237113402061855E-2</v>
      </c>
      <c r="W1231" s="44">
        <f>IF(Mecze[[#This Row],[Role]]&lt;&gt;"BR",SUMPRODUCT(Mecze[[#This Row],[/PR:90]:[/BR:90]],Brudnopis!$E$27:$J$27),0)</f>
        <v>5.1546391752577317E-2</v>
      </c>
      <c r="X1231" s="44">
        <f>IF(Mecze[[#This Row],[Role]]&lt;&gt;"BR",SUMPRODUCT(Mecze[[#This Row],[/PR:90]:[/BR:90]],Brudnopis!$E$28:$J$28),0)</f>
        <v>6.1855670103092786E-2</v>
      </c>
      <c r="Y1231" s="35">
        <f>IF(Mecze[[#This Row],[Role]]="BR",Mecze[[#This Row],[/OB:90]]+Mecze[[#This Row],[/PC:90]],SUM(Mecze[[#This Row],[/PR:90]:[/BR:90]]))</f>
        <v>4.1237113402061855E-2</v>
      </c>
      <c r="Z1231" s="35">
        <f>IF(Mecze[[#This Row],[KC]]=0,SUM(Mecze[[#This Row],[/BRI]:[/NPI]]),SUM(Mecze[[#This Row],[/BRI]:[/NPI]])*0.6)</f>
        <v>0.24742268041237114</v>
      </c>
      <c r="AA1231" s="10">
        <f>IFERROR(Mecze[[#This Row],[BR]]/Mecze[[#This Row],[ST]],0)</f>
        <v>0</v>
      </c>
      <c r="AB1231">
        <f>ROUND(Mecze[[#This Row],[PD]]*Mecze[[#This Row],[%PC]],0)</f>
        <v>2</v>
      </c>
      <c r="AC1231">
        <f>ROUND(Mecze[[#This Row],[OD]]*Mecze[[#This Row],[%OU]],0)</f>
        <v>0</v>
      </c>
      <c r="AD1231" s="36" t="s">
        <v>272</v>
      </c>
      <c r="AE1231" s="36">
        <v>67</v>
      </c>
      <c r="AF1231" s="71">
        <v>3.15</v>
      </c>
      <c r="AG1231" s="37">
        <v>0</v>
      </c>
      <c r="AH1231" s="37">
        <v>0</v>
      </c>
      <c r="AI1231" s="37">
        <v>97</v>
      </c>
      <c r="AJ1231" s="37">
        <v>11</v>
      </c>
      <c r="AK1231" s="37" t="str">
        <f>VLOOKUP(Mecze[[#This Row],[Match ID]],Meczusie[Mecz]:Meczusie[RodzajMeczu],2,FALSE)</f>
        <v>Liga</v>
      </c>
    </row>
    <row r="1232" spans="1:37" x14ac:dyDescent="0.25">
      <c r="A1232" s="76">
        <v>102</v>
      </c>
      <c r="B1232" s="3" t="s">
        <v>417</v>
      </c>
      <c r="C1232" s="2" t="s">
        <v>155</v>
      </c>
      <c r="D1232" s="1">
        <v>0</v>
      </c>
      <c r="E1232" s="1">
        <v>0</v>
      </c>
      <c r="F1232" s="1">
        <v>0</v>
      </c>
      <c r="G1232" s="1">
        <v>1</v>
      </c>
      <c r="H1232" s="4">
        <v>0</v>
      </c>
      <c r="I1232" s="1">
        <v>0</v>
      </c>
      <c r="J1232" s="4"/>
      <c r="K1232" s="1">
        <v>1</v>
      </c>
      <c r="L1232" s="1">
        <v>0</v>
      </c>
      <c r="M1232" s="32">
        <f>IF(Mecze[[#This Row],[PR]]=0,0,Mecze[[#This Row],[PR]]/Mecze[[#This Row],[CZAS]])</f>
        <v>0</v>
      </c>
      <c r="N1232" s="32">
        <f>IF(Mecze[[#This Row],[OU]]=0,0,Mecze[[#This Row],[OU]]/Mecze[[#This Row],[CZAS]])</f>
        <v>0</v>
      </c>
      <c r="O1232" s="32">
        <f>IF(Mecze[[#This Row],[PC]]=0,0,Mecze[[#This Row],[PC]]/Mecze[[#This Row],[CZAS]])</f>
        <v>0</v>
      </c>
      <c r="P1232" s="32">
        <f>IF(Mecze[[#This Row],[SC]]=0,0,Mecze[[#This Row],[SC]]/Mecze[[#This Row],[CZAS]])</f>
        <v>0</v>
      </c>
      <c r="Q1232" s="32">
        <f>IF(Mecze[[#This Row],[OB]]=0,0,Mecze[[#This Row],[OB]]/Mecze[[#This Row],[CZAS]])</f>
        <v>1.0309278350515464E-2</v>
      </c>
      <c r="R1232" s="32">
        <f>IF(Mecze[[#This Row],[BR]]=0,0,Mecze[[#This Row],[BR]]/Mecze[[#This Row],[CZAS]])</f>
        <v>0</v>
      </c>
      <c r="S1232" s="44">
        <f>IF(Mecze[[#This Row],[Role]]="BR",SUMPRODUCT(Mecze[[#This Row],[/PR:90]:[/BR:90]],Brudnopis!$E$23:$J$23),0)</f>
        <v>3.0927835051546393E-2</v>
      </c>
      <c r="T1232" s="44">
        <f>IF(Mecze[[#This Row],[Role]]&lt;&gt;"BR",SUMPRODUCT(Mecze[[#This Row],[/PR:90]:[/BR:90]],Brudnopis!$E$24:$J$24),0)</f>
        <v>0</v>
      </c>
      <c r="U1232" s="44">
        <f>IF(Mecze[[#This Row],[Role]]&lt;&gt;"BR",SUMPRODUCT(Mecze[[#This Row],[/PR:90]:[/BR:90]],Brudnopis!$E$25:$J$25),0)</f>
        <v>0</v>
      </c>
      <c r="V1232" s="44">
        <f>IF(Mecze[[#This Row],[Role]]&lt;&gt;"BR",SUMPRODUCT(Mecze[[#This Row],[/PR:90]:[/BR:90]],Brudnopis!$E$26:$J$26),0)</f>
        <v>0</v>
      </c>
      <c r="W1232" s="44">
        <f>IF(Mecze[[#This Row],[Role]]&lt;&gt;"BR",SUMPRODUCT(Mecze[[#This Row],[/PR:90]:[/BR:90]],Brudnopis!$E$27:$J$27),0)</f>
        <v>0</v>
      </c>
      <c r="X1232" s="44">
        <f>IF(Mecze[[#This Row],[Role]]&lt;&gt;"BR",SUMPRODUCT(Mecze[[#This Row],[/PR:90]:[/BR:90]],Brudnopis!$E$28:$J$28),0)</f>
        <v>0</v>
      </c>
      <c r="Y1232" s="35">
        <f>IF(Mecze[[#This Row],[Role]]="BR",Mecze[[#This Row],[/OB:90]]+Mecze[[#This Row],[/PC:90]],SUM(Mecze[[#This Row],[/PR:90]:[/BR:90]]))</f>
        <v>1.0309278350515464E-2</v>
      </c>
      <c r="Z1232" s="35">
        <f>IF(Mecze[[#This Row],[KC]]=0,SUM(Mecze[[#This Row],[/BRI]:[/NPI]]),SUM(Mecze[[#This Row],[/BRI]:[/NPI]])*0.6)</f>
        <v>3.0927835051546393E-2</v>
      </c>
      <c r="AA1232" s="10">
        <f>IFERROR(Mecze[[#This Row],[BR]]/Mecze[[#This Row],[ST]],0)</f>
        <v>0</v>
      </c>
      <c r="AB1232">
        <f>ROUND(Mecze[[#This Row],[PD]]*Mecze[[#This Row],[%PC]],0)</f>
        <v>0</v>
      </c>
      <c r="AC1232">
        <f>ROUND(Mecze[[#This Row],[OD]]*Mecze[[#This Row],[%OU]],0)</f>
        <v>0</v>
      </c>
      <c r="AD1232" s="36" t="s">
        <v>40</v>
      </c>
      <c r="AE1232" s="36">
        <v>68</v>
      </c>
      <c r="AF1232" s="71">
        <v>7.39</v>
      </c>
      <c r="AG1232" s="37">
        <v>0</v>
      </c>
      <c r="AH1232" s="37">
        <v>0</v>
      </c>
      <c r="AI1232" s="37">
        <v>97</v>
      </c>
      <c r="AJ1232" s="37">
        <v>6</v>
      </c>
      <c r="AK1232" s="37" t="str">
        <f>VLOOKUP(Mecze[[#This Row],[Match ID]],Meczusie[Mecz]:Meczusie[RodzajMeczu],2,FALSE)</f>
        <v>Liga</v>
      </c>
    </row>
    <row r="1233" spans="1:37" x14ac:dyDescent="0.25">
      <c r="A1233" s="76">
        <v>101</v>
      </c>
      <c r="B1233" s="3" t="s">
        <v>248</v>
      </c>
      <c r="C1233" s="2" t="s">
        <v>157</v>
      </c>
      <c r="D1233" s="1">
        <v>0</v>
      </c>
      <c r="E1233" s="1">
        <v>0</v>
      </c>
      <c r="F1233" s="1">
        <v>0</v>
      </c>
      <c r="G1233" s="1">
        <v>12</v>
      </c>
      <c r="H1233" s="4">
        <v>0.67</v>
      </c>
      <c r="I1233" s="1">
        <v>5</v>
      </c>
      <c r="J1233" s="4">
        <v>1</v>
      </c>
      <c r="K1233" s="1">
        <v>0</v>
      </c>
      <c r="L1233" s="1">
        <v>9</v>
      </c>
      <c r="M1233" s="32">
        <f>IF(Mecze[[#This Row],[PR]]=0,0,Mecze[[#This Row],[PR]]/Mecze[[#This Row],[CZAS]])</f>
        <v>9.2783505154639179E-2</v>
      </c>
      <c r="N1233" s="32">
        <f>IF(Mecze[[#This Row],[OU]]=0,0,Mecze[[#This Row],[OU]]/Mecze[[#This Row],[CZAS]])</f>
        <v>5.1546391752577317E-2</v>
      </c>
      <c r="O1233" s="32">
        <f>IF(Mecze[[#This Row],[PC]]=0,0,Mecze[[#This Row],[PC]]/Mecze[[#This Row],[CZAS]])</f>
        <v>8.247422680412371E-2</v>
      </c>
      <c r="P1233" s="32">
        <f>IF(Mecze[[#This Row],[SC]]=0,0,Mecze[[#This Row],[SC]]/Mecze[[#This Row],[CZAS]])</f>
        <v>0</v>
      </c>
      <c r="Q1233" s="32">
        <f>IF(Mecze[[#This Row],[OB]]=0,0,Mecze[[#This Row],[OB]]/Mecze[[#This Row],[CZAS]])</f>
        <v>0</v>
      </c>
      <c r="R1233" s="32">
        <f>IF(Mecze[[#This Row],[BR]]=0,0,Mecze[[#This Row],[BR]]/Mecze[[#This Row],[CZAS]])</f>
        <v>0</v>
      </c>
      <c r="S1233" s="44">
        <f>IF(Mecze[[#This Row],[Role]]="BR",SUMPRODUCT(Mecze[[#This Row],[/PR:90]:[/BR:90]],Brudnopis!$E$23:$J$23),0)</f>
        <v>0</v>
      </c>
      <c r="T1233" s="44">
        <f>IF(Mecze[[#This Row],[Role]]&lt;&gt;"BR",SUMPRODUCT(Mecze[[#This Row],[/PR:90]:[/BR:90]],Brudnopis!$E$24:$J$24),0)</f>
        <v>0.25257731958762886</v>
      </c>
      <c r="U1233" s="44">
        <f>IF(Mecze[[#This Row],[Role]]&lt;&gt;"BR",SUMPRODUCT(Mecze[[#This Row],[/PR:90]:[/BR:90]],Brudnopis!$E$25:$J$25),0)</f>
        <v>0.26804123711340205</v>
      </c>
      <c r="V1233" s="44">
        <f>IF(Mecze[[#This Row],[Role]]&lt;&gt;"BR",SUMPRODUCT(Mecze[[#This Row],[/PR:90]:[/BR:90]],Brudnopis!$E$26:$J$26),0)</f>
        <v>0.22680412371134018</v>
      </c>
      <c r="W1233" s="44">
        <f>IF(Mecze[[#This Row],[Role]]&lt;&gt;"BR",SUMPRODUCT(Mecze[[#This Row],[/PR:90]:[/BR:90]],Brudnopis!$E$27:$J$27),0)</f>
        <v>0.23195876288659795</v>
      </c>
      <c r="X1233" s="44">
        <f>IF(Mecze[[#This Row],[Role]]&lt;&gt;"BR",SUMPRODUCT(Mecze[[#This Row],[/PR:90]:[/BR:90]],Brudnopis!$E$28:$J$28),0)</f>
        <v>8.247422680412371E-2</v>
      </c>
      <c r="Y1233" s="35">
        <f>IF(Mecze[[#This Row],[Role]]="BR",Mecze[[#This Row],[/OB:90]]+Mecze[[#This Row],[/PC:90]],SUM(Mecze[[#This Row],[/PR:90]:[/BR:90]]))</f>
        <v>0.22680412371134018</v>
      </c>
      <c r="Z1233" s="35">
        <f>IF(Mecze[[#This Row],[KC]]=0,SUM(Mecze[[#This Row],[/BRI]:[/NPI]]),SUM(Mecze[[#This Row],[/BRI]:[/NPI]])*0.6)</f>
        <v>1.0618556701030926</v>
      </c>
      <c r="AA1233" s="10">
        <f>IFERROR(Mecze[[#This Row],[BR]]/Mecze[[#This Row],[ST]],0)</f>
        <v>0</v>
      </c>
      <c r="AB1233">
        <f>ROUND(Mecze[[#This Row],[PD]]*Mecze[[#This Row],[%PC]],0)</f>
        <v>8</v>
      </c>
      <c r="AC1233">
        <f>ROUND(Mecze[[#This Row],[OD]]*Mecze[[#This Row],[%OU]],0)</f>
        <v>5</v>
      </c>
      <c r="AD1233" s="36" t="s">
        <v>47</v>
      </c>
      <c r="AE1233" s="36">
        <v>68</v>
      </c>
      <c r="AF1233" s="71">
        <v>12.08</v>
      </c>
      <c r="AG1233" s="37">
        <v>0</v>
      </c>
      <c r="AH1233" s="37">
        <v>0</v>
      </c>
      <c r="AI1233" s="37">
        <v>97</v>
      </c>
      <c r="AJ1233" s="37">
        <v>6</v>
      </c>
      <c r="AK1233" s="37" t="str">
        <f>VLOOKUP(Mecze[[#This Row],[Match ID]],Meczusie[Mecz]:Meczusie[RodzajMeczu],2,FALSE)</f>
        <v>Liga</v>
      </c>
    </row>
    <row r="1234" spans="1:37" x14ac:dyDescent="0.25">
      <c r="A1234" s="76">
        <v>7</v>
      </c>
      <c r="B1234" s="3" t="s">
        <v>251</v>
      </c>
      <c r="C1234" s="2" t="s">
        <v>157</v>
      </c>
      <c r="D1234" s="1">
        <v>0</v>
      </c>
      <c r="E1234" s="1">
        <v>0</v>
      </c>
      <c r="F1234" s="1">
        <v>0</v>
      </c>
      <c r="G1234" s="1">
        <v>5</v>
      </c>
      <c r="H1234" s="4">
        <v>0.6</v>
      </c>
      <c r="I1234" s="1">
        <v>1</v>
      </c>
      <c r="J1234" s="4">
        <v>1</v>
      </c>
      <c r="K1234" s="1">
        <v>0</v>
      </c>
      <c r="L1234" s="1">
        <v>7</v>
      </c>
      <c r="M1234" s="32">
        <f>IF(Mecze[[#This Row],[PR]]=0,0,Mecze[[#This Row],[PR]]/Mecze[[#This Row],[CZAS]])</f>
        <v>7.2164948453608241E-2</v>
      </c>
      <c r="N1234" s="32">
        <f>IF(Mecze[[#This Row],[OU]]=0,0,Mecze[[#This Row],[OU]]/Mecze[[#This Row],[CZAS]])</f>
        <v>1.0309278350515464E-2</v>
      </c>
      <c r="O1234" s="32">
        <f>IF(Mecze[[#This Row],[PC]]=0,0,Mecze[[#This Row],[PC]]/Mecze[[#This Row],[CZAS]])</f>
        <v>3.0927835051546393E-2</v>
      </c>
      <c r="P1234" s="32">
        <f>IF(Mecze[[#This Row],[SC]]=0,0,Mecze[[#This Row],[SC]]/Mecze[[#This Row],[CZAS]])</f>
        <v>0</v>
      </c>
      <c r="Q1234" s="32">
        <f>IF(Mecze[[#This Row],[OB]]=0,0,Mecze[[#This Row],[OB]]/Mecze[[#This Row],[CZAS]])</f>
        <v>0</v>
      </c>
      <c r="R1234" s="32">
        <f>IF(Mecze[[#This Row],[BR]]=0,0,Mecze[[#This Row],[BR]]/Mecze[[#This Row],[CZAS]])</f>
        <v>0</v>
      </c>
      <c r="S1234" s="44">
        <f>IF(Mecze[[#This Row],[Role]]="BR",SUMPRODUCT(Mecze[[#This Row],[/PR:90]:[/BR:90]],Brudnopis!$E$23:$J$23),0)</f>
        <v>0</v>
      </c>
      <c r="T1234" s="44">
        <f>IF(Mecze[[#This Row],[Role]]&lt;&gt;"BR",SUMPRODUCT(Mecze[[#This Row],[/PR:90]:[/BR:90]],Brudnopis!$E$24:$J$24),0)</f>
        <v>0.11855670103092783</v>
      </c>
      <c r="U1234" s="44">
        <f>IF(Mecze[[#This Row],[Role]]&lt;&gt;"BR",SUMPRODUCT(Mecze[[#This Row],[/PR:90]:[/BR:90]],Brudnopis!$E$25:$J$25),0)</f>
        <v>0.12886597938144329</v>
      </c>
      <c r="V1234" s="44">
        <f>IF(Mecze[[#This Row],[Role]]&lt;&gt;"BR",SUMPRODUCT(Mecze[[#This Row],[/PR:90]:[/BR:90]],Brudnopis!$E$26:$J$26),0)</f>
        <v>0.1134020618556701</v>
      </c>
      <c r="W1234" s="44">
        <f>IF(Mecze[[#This Row],[Role]]&lt;&gt;"BR",SUMPRODUCT(Mecze[[#This Row],[/PR:90]:[/BR:90]],Brudnopis!$E$27:$J$27),0)</f>
        <v>0.10824742268041238</v>
      </c>
      <c r="X1234" s="44">
        <f>IF(Mecze[[#This Row],[Role]]&lt;&gt;"BR",SUMPRODUCT(Mecze[[#This Row],[/PR:90]:[/BR:90]],Brudnopis!$E$28:$J$28),0)</f>
        <v>3.0927835051546393E-2</v>
      </c>
      <c r="Y1234" s="35">
        <f>IF(Mecze[[#This Row],[Role]]="BR",Mecze[[#This Row],[/OB:90]]+Mecze[[#This Row],[/PC:90]],SUM(Mecze[[#This Row],[/PR:90]:[/BR:90]]))</f>
        <v>0.1134020618556701</v>
      </c>
      <c r="Z1234" s="35">
        <f>IF(Mecze[[#This Row],[KC]]=0,SUM(Mecze[[#This Row],[/BRI]:[/NPI]]),SUM(Mecze[[#This Row],[/BRI]:[/NPI]])*0.6)</f>
        <v>0.5</v>
      </c>
      <c r="AA1234" s="10">
        <f>IFERROR(Mecze[[#This Row],[BR]]/Mecze[[#This Row],[ST]],0)</f>
        <v>0</v>
      </c>
      <c r="AB1234">
        <f>ROUND(Mecze[[#This Row],[PD]]*Mecze[[#This Row],[%PC]],0)</f>
        <v>3</v>
      </c>
      <c r="AC1234">
        <f>ROUND(Mecze[[#This Row],[OD]]*Mecze[[#This Row],[%OU]],0)</f>
        <v>1</v>
      </c>
      <c r="AD1234" s="36" t="s">
        <v>168</v>
      </c>
      <c r="AE1234" s="36">
        <v>68</v>
      </c>
      <c r="AF1234" s="71">
        <v>8.51</v>
      </c>
      <c r="AG1234" s="37">
        <v>0</v>
      </c>
      <c r="AH1234" s="37">
        <v>0</v>
      </c>
      <c r="AI1234" s="37">
        <v>97</v>
      </c>
      <c r="AJ1234" s="37">
        <v>6</v>
      </c>
      <c r="AK1234" s="37" t="str">
        <f>VLOOKUP(Mecze[[#This Row],[Match ID]],Meczusie[Mecz]:Meczusie[RodzajMeczu],2,FALSE)</f>
        <v>Liga</v>
      </c>
    </row>
    <row r="1235" spans="1:37" x14ac:dyDescent="0.25">
      <c r="A1235" s="76">
        <v>2</v>
      </c>
      <c r="B1235" s="3" t="s">
        <v>249</v>
      </c>
      <c r="C1235" s="2" t="s">
        <v>157</v>
      </c>
      <c r="D1235" s="1">
        <v>0</v>
      </c>
      <c r="E1235" s="1">
        <v>0</v>
      </c>
      <c r="F1235" s="1">
        <v>0</v>
      </c>
      <c r="G1235" s="1">
        <v>2</v>
      </c>
      <c r="H1235" s="4">
        <v>1</v>
      </c>
      <c r="I1235" s="1">
        <v>0</v>
      </c>
      <c r="J1235" s="4"/>
      <c r="K1235" s="1">
        <v>0</v>
      </c>
      <c r="L1235" s="1">
        <v>1</v>
      </c>
      <c r="M1235" s="32">
        <f>IF(Mecze[[#This Row],[PR]]=0,0,Mecze[[#This Row],[PR]]/Mecze[[#This Row],[CZAS]])</f>
        <v>1.1627906976744186E-2</v>
      </c>
      <c r="N1235" s="32">
        <f>IF(Mecze[[#This Row],[OU]]=0,0,Mecze[[#This Row],[OU]]/Mecze[[#This Row],[CZAS]])</f>
        <v>0</v>
      </c>
      <c r="O1235" s="32">
        <f>IF(Mecze[[#This Row],[PC]]=0,0,Mecze[[#This Row],[PC]]/Mecze[[#This Row],[CZAS]])</f>
        <v>2.3255813953488372E-2</v>
      </c>
      <c r="P1235" s="32">
        <f>IF(Mecze[[#This Row],[SC]]=0,0,Mecze[[#This Row],[SC]]/Mecze[[#This Row],[CZAS]])</f>
        <v>0</v>
      </c>
      <c r="Q1235" s="32">
        <f>IF(Mecze[[#This Row],[OB]]=0,0,Mecze[[#This Row],[OB]]/Mecze[[#This Row],[CZAS]])</f>
        <v>0</v>
      </c>
      <c r="R1235" s="32">
        <f>IF(Mecze[[#This Row],[BR]]=0,0,Mecze[[#This Row],[BR]]/Mecze[[#This Row],[CZAS]])</f>
        <v>0</v>
      </c>
      <c r="S1235" s="44">
        <f>IF(Mecze[[#This Row],[Role]]="BR",SUMPRODUCT(Mecze[[#This Row],[/PR:90]:[/BR:90]],Brudnopis!$E$23:$J$23),0)</f>
        <v>0</v>
      </c>
      <c r="T1235" s="44">
        <f>IF(Mecze[[#This Row],[Role]]&lt;&gt;"BR",SUMPRODUCT(Mecze[[#This Row],[/PR:90]:[/BR:90]],Brudnopis!$E$24:$J$24),0)</f>
        <v>3.4883720930232558E-2</v>
      </c>
      <c r="U1235" s="44">
        <f>IF(Mecze[[#This Row],[Role]]&lt;&gt;"BR",SUMPRODUCT(Mecze[[#This Row],[/PR:90]:[/BR:90]],Brudnopis!$E$25:$J$25),0)</f>
        <v>4.6511627906976744E-2</v>
      </c>
      <c r="V1235" s="44">
        <f>IF(Mecze[[#This Row],[Role]]&lt;&gt;"BR",SUMPRODUCT(Mecze[[#This Row],[/PR:90]:[/BR:90]],Brudnopis!$E$26:$J$26),0)</f>
        <v>3.4883720930232558E-2</v>
      </c>
      <c r="W1235" s="44">
        <f>IF(Mecze[[#This Row],[Role]]&lt;&gt;"BR",SUMPRODUCT(Mecze[[#This Row],[/PR:90]:[/BR:90]],Brudnopis!$E$27:$J$27),0)</f>
        <v>4.3604651162790699E-2</v>
      </c>
      <c r="X1235" s="44">
        <f>IF(Mecze[[#This Row],[Role]]&lt;&gt;"BR",SUMPRODUCT(Mecze[[#This Row],[/PR:90]:[/BR:90]],Brudnopis!$E$28:$J$28),0)</f>
        <v>2.3255813953488372E-2</v>
      </c>
      <c r="Y1235" s="35">
        <f>IF(Mecze[[#This Row],[Role]]="BR",Mecze[[#This Row],[/OB:90]]+Mecze[[#This Row],[/PC:90]],SUM(Mecze[[#This Row],[/PR:90]:[/BR:90]]))</f>
        <v>3.4883720930232558E-2</v>
      </c>
      <c r="Z1235" s="35">
        <f>IF(Mecze[[#This Row],[KC]]=0,SUM(Mecze[[#This Row],[/BRI]:[/NPI]]),SUM(Mecze[[#This Row],[/BRI]:[/NPI]])*0.6)</f>
        <v>0.18313953488372092</v>
      </c>
      <c r="AA1235" s="10">
        <f>IFERROR(Mecze[[#This Row],[BR]]/Mecze[[#This Row],[ST]],0)</f>
        <v>0</v>
      </c>
      <c r="AB1235">
        <f>ROUND(Mecze[[#This Row],[PD]]*Mecze[[#This Row],[%PC]],0)</f>
        <v>2</v>
      </c>
      <c r="AC1235">
        <f>ROUND(Mecze[[#This Row],[OD]]*Mecze[[#This Row],[%OU]],0)</f>
        <v>0</v>
      </c>
      <c r="AD1235" s="36" t="s">
        <v>167</v>
      </c>
      <c r="AE1235" s="36">
        <v>68</v>
      </c>
      <c r="AF1235" s="71">
        <v>7.25</v>
      </c>
      <c r="AG1235" s="37">
        <v>0</v>
      </c>
      <c r="AH1235" s="37">
        <v>0</v>
      </c>
      <c r="AI1235" s="37">
        <v>86</v>
      </c>
      <c r="AJ1235" s="37">
        <v>6</v>
      </c>
      <c r="AK1235" s="37" t="str">
        <f>VLOOKUP(Mecze[[#This Row],[Match ID]],Meczusie[Mecz]:Meczusie[RodzajMeczu],2,FALSE)</f>
        <v>Liga</v>
      </c>
    </row>
    <row r="1236" spans="1:37" x14ac:dyDescent="0.25">
      <c r="A1236" s="76">
        <v>8</v>
      </c>
      <c r="B1236" s="3" t="s">
        <v>254</v>
      </c>
      <c r="C1236" s="2" t="s">
        <v>160</v>
      </c>
      <c r="D1236" s="1">
        <v>0</v>
      </c>
      <c r="E1236" s="1">
        <v>1</v>
      </c>
      <c r="F1236" s="1">
        <v>1</v>
      </c>
      <c r="G1236" s="1">
        <v>13</v>
      </c>
      <c r="H1236" s="4">
        <v>0.69</v>
      </c>
      <c r="I1236" s="1">
        <v>4</v>
      </c>
      <c r="J1236" s="4">
        <v>0.5</v>
      </c>
      <c r="K1236" s="1">
        <v>0</v>
      </c>
      <c r="L1236" s="1">
        <v>8</v>
      </c>
      <c r="M1236" s="32">
        <f>IF(Mecze[[#This Row],[PR]]=0,0,Mecze[[#This Row],[PR]]/Mecze[[#This Row],[CZAS]])</f>
        <v>8.247422680412371E-2</v>
      </c>
      <c r="N1236" s="32">
        <f>IF(Mecze[[#This Row],[OU]]=0,0,Mecze[[#This Row],[OU]]/Mecze[[#This Row],[CZAS]])</f>
        <v>2.0618556701030927E-2</v>
      </c>
      <c r="O1236" s="32">
        <f>IF(Mecze[[#This Row],[PC]]=0,0,Mecze[[#This Row],[PC]]/Mecze[[#This Row],[CZAS]])</f>
        <v>9.2783505154639179E-2</v>
      </c>
      <c r="P1236" s="32">
        <f>IF(Mecze[[#This Row],[SC]]=0,0,Mecze[[#This Row],[SC]]/Mecze[[#This Row],[CZAS]])</f>
        <v>1.0309278350515464E-2</v>
      </c>
      <c r="Q1236" s="32">
        <f>IF(Mecze[[#This Row],[OB]]=0,0,Mecze[[#This Row],[OB]]/Mecze[[#This Row],[CZAS]])</f>
        <v>0</v>
      </c>
      <c r="R1236" s="32">
        <f>IF(Mecze[[#This Row],[BR]]=0,0,Mecze[[#This Row],[BR]]/Mecze[[#This Row],[CZAS]])</f>
        <v>0</v>
      </c>
      <c r="S1236" s="44">
        <f>IF(Mecze[[#This Row],[Role]]="BR",SUMPRODUCT(Mecze[[#This Row],[/PR:90]:[/BR:90]],Brudnopis!$E$23:$J$23),0)</f>
        <v>0</v>
      </c>
      <c r="T1236" s="44">
        <f>IF(Mecze[[#This Row],[Role]]&lt;&gt;"BR",SUMPRODUCT(Mecze[[#This Row],[/PR:90]:[/BR:90]],Brudnopis!$E$24:$J$24),0)</f>
        <v>0.21649484536082472</v>
      </c>
      <c r="U1236" s="44">
        <f>IF(Mecze[[#This Row],[Role]]&lt;&gt;"BR",SUMPRODUCT(Mecze[[#This Row],[/PR:90]:[/BR:90]],Brudnopis!$E$25:$J$25),0)</f>
        <v>0.25257731958762886</v>
      </c>
      <c r="V1236" s="44">
        <f>IF(Mecze[[#This Row],[Role]]&lt;&gt;"BR",SUMPRODUCT(Mecze[[#This Row],[/PR:90]:[/BR:90]],Brudnopis!$E$26:$J$26),0)</f>
        <v>0.20618556701030927</v>
      </c>
      <c r="W1236" s="44">
        <f>IF(Mecze[[#This Row],[Role]]&lt;&gt;"BR",SUMPRODUCT(Mecze[[#This Row],[/PR:90]:[/BR:90]],Brudnopis!$E$27:$J$27),0)</f>
        <v>0.22680412371134021</v>
      </c>
      <c r="X1236" s="44">
        <f>IF(Mecze[[#This Row],[Role]]&lt;&gt;"BR",SUMPRODUCT(Mecze[[#This Row],[/PR:90]:[/BR:90]],Brudnopis!$E$28:$J$28),0)</f>
        <v>0.1134020618556701</v>
      </c>
      <c r="Y1236" s="35">
        <f>IF(Mecze[[#This Row],[Role]]="BR",Mecze[[#This Row],[/OB:90]]+Mecze[[#This Row],[/PC:90]],SUM(Mecze[[#This Row],[/PR:90]:[/BR:90]]))</f>
        <v>0.20618556701030927</v>
      </c>
      <c r="Z1236" s="35">
        <f>IF(Mecze[[#This Row],[KC]]=0,SUM(Mecze[[#This Row],[/BRI]:[/NPI]]),SUM(Mecze[[#This Row],[/BRI]:[/NPI]])*0.6)</f>
        <v>1.0154639175257731</v>
      </c>
      <c r="AA1236" s="10">
        <f>IFERROR(Mecze[[#This Row],[BR]]/Mecze[[#This Row],[ST]],0)</f>
        <v>0</v>
      </c>
      <c r="AB1236">
        <f>ROUND(Mecze[[#This Row],[PD]]*Mecze[[#This Row],[%PC]],0)</f>
        <v>9</v>
      </c>
      <c r="AC1236">
        <f>ROUND(Mecze[[#This Row],[OD]]*Mecze[[#This Row],[%OU]],0)</f>
        <v>2</v>
      </c>
      <c r="AD1236" s="36" t="s">
        <v>41</v>
      </c>
      <c r="AE1236" s="36">
        <v>68</v>
      </c>
      <c r="AF1236" s="71">
        <v>10.16</v>
      </c>
      <c r="AG1236" s="37">
        <v>0</v>
      </c>
      <c r="AH1236" s="37">
        <v>0</v>
      </c>
      <c r="AI1236" s="37">
        <v>97</v>
      </c>
      <c r="AJ1236" s="37">
        <v>6</v>
      </c>
      <c r="AK1236" s="37" t="str">
        <f>VLOOKUP(Mecze[[#This Row],[Match ID]],Meczusie[Mecz]:Meczusie[RodzajMeczu],2,FALSE)</f>
        <v>Liga</v>
      </c>
    </row>
    <row r="1237" spans="1:37" x14ac:dyDescent="0.25">
      <c r="A1237" s="76">
        <v>10</v>
      </c>
      <c r="B1237" s="3" t="s">
        <v>252</v>
      </c>
      <c r="C1237" s="2" t="s">
        <v>160</v>
      </c>
      <c r="D1237" s="1">
        <v>0</v>
      </c>
      <c r="E1237" s="1">
        <v>1</v>
      </c>
      <c r="F1237" s="1">
        <v>1</v>
      </c>
      <c r="G1237" s="1">
        <v>5</v>
      </c>
      <c r="H1237" s="4">
        <v>0.6</v>
      </c>
      <c r="I1237" s="1">
        <v>0</v>
      </c>
      <c r="J1237" s="4"/>
      <c r="K1237" s="1">
        <v>0</v>
      </c>
      <c r="L1237" s="1">
        <v>1</v>
      </c>
      <c r="M1237" s="32">
        <f>IF(Mecze[[#This Row],[PR]]=0,0,Mecze[[#This Row],[PR]]/Mecze[[#This Row],[CZAS]])</f>
        <v>1.3698630136986301E-2</v>
      </c>
      <c r="N1237" s="32">
        <f>IF(Mecze[[#This Row],[OU]]=0,0,Mecze[[#This Row],[OU]]/Mecze[[#This Row],[CZAS]])</f>
        <v>0</v>
      </c>
      <c r="O1237" s="32">
        <f>IF(Mecze[[#This Row],[PC]]=0,0,Mecze[[#This Row],[PC]]/Mecze[[#This Row],[CZAS]])</f>
        <v>4.1095890410958902E-2</v>
      </c>
      <c r="P1237" s="32">
        <f>IF(Mecze[[#This Row],[SC]]=0,0,Mecze[[#This Row],[SC]]/Mecze[[#This Row],[CZAS]])</f>
        <v>1.3698630136986301E-2</v>
      </c>
      <c r="Q1237" s="32">
        <f>IF(Mecze[[#This Row],[OB]]=0,0,Mecze[[#This Row],[OB]]/Mecze[[#This Row],[CZAS]])</f>
        <v>0</v>
      </c>
      <c r="R1237" s="32">
        <f>IF(Mecze[[#This Row],[BR]]=0,0,Mecze[[#This Row],[BR]]/Mecze[[#This Row],[CZAS]])</f>
        <v>0</v>
      </c>
      <c r="S1237" s="44">
        <f>IF(Mecze[[#This Row],[Role]]="BR",SUMPRODUCT(Mecze[[#This Row],[/PR:90]:[/BR:90]],Brudnopis!$E$23:$J$23),0)</f>
        <v>0</v>
      </c>
      <c r="T1237" s="44">
        <f>IF(Mecze[[#This Row],[Role]]&lt;&gt;"BR",SUMPRODUCT(Mecze[[#This Row],[/PR:90]:[/BR:90]],Brudnopis!$E$24:$J$24),0)</f>
        <v>6.8493150684931503E-2</v>
      </c>
      <c r="U1237" s="44">
        <f>IF(Mecze[[#This Row],[Role]]&lt;&gt;"BR",SUMPRODUCT(Mecze[[#This Row],[/PR:90]:[/BR:90]],Brudnopis!$E$25:$J$25),0)</f>
        <v>8.9041095890410954E-2</v>
      </c>
      <c r="V1237" s="44">
        <f>IF(Mecze[[#This Row],[Role]]&lt;&gt;"BR",SUMPRODUCT(Mecze[[#This Row],[/PR:90]:[/BR:90]],Brudnopis!$E$26:$J$26),0)</f>
        <v>6.8493150684931503E-2</v>
      </c>
      <c r="W1237" s="44">
        <f>IF(Mecze[[#This Row],[Role]]&lt;&gt;"BR",SUMPRODUCT(Mecze[[#This Row],[/PR:90]:[/BR:90]],Brudnopis!$E$27:$J$27),0)</f>
        <v>8.5616438356164379E-2</v>
      </c>
      <c r="X1237" s="44">
        <f>IF(Mecze[[#This Row],[Role]]&lt;&gt;"BR",SUMPRODUCT(Mecze[[#This Row],[/PR:90]:[/BR:90]],Brudnopis!$E$28:$J$28),0)</f>
        <v>6.8493150684931503E-2</v>
      </c>
      <c r="Y1237" s="35">
        <f>IF(Mecze[[#This Row],[Role]]="BR",Mecze[[#This Row],[/OB:90]]+Mecze[[#This Row],[/PC:90]],SUM(Mecze[[#This Row],[/PR:90]:[/BR:90]]))</f>
        <v>6.8493150684931503E-2</v>
      </c>
      <c r="Z1237" s="35">
        <f>IF(Mecze[[#This Row],[KC]]=0,SUM(Mecze[[#This Row],[/BRI]:[/NPI]]),SUM(Mecze[[#This Row],[/BRI]:[/NPI]])*0.6)</f>
        <v>0.38013698630136983</v>
      </c>
      <c r="AA1237" s="10">
        <f>IFERROR(Mecze[[#This Row],[BR]]/Mecze[[#This Row],[ST]],0)</f>
        <v>0</v>
      </c>
      <c r="AB1237">
        <f>ROUND(Mecze[[#This Row],[PD]]*Mecze[[#This Row],[%PC]],0)</f>
        <v>3</v>
      </c>
      <c r="AC1237">
        <f>ROUND(Mecze[[#This Row],[OD]]*Mecze[[#This Row],[%OU]],0)</f>
        <v>0</v>
      </c>
      <c r="AD1237" s="36" t="s">
        <v>318</v>
      </c>
      <c r="AE1237" s="36">
        <v>68</v>
      </c>
      <c r="AF1237" s="71">
        <v>8.69</v>
      </c>
      <c r="AG1237" s="37">
        <v>0</v>
      </c>
      <c r="AH1237" s="37">
        <v>0</v>
      </c>
      <c r="AI1237" s="37">
        <v>73</v>
      </c>
      <c r="AJ1237" s="37">
        <v>6</v>
      </c>
      <c r="AK1237" s="37" t="str">
        <f>VLOOKUP(Mecze[[#This Row],[Match ID]],Meczusie[Mecz]:Meczusie[RodzajMeczu],2,FALSE)</f>
        <v>Liga</v>
      </c>
    </row>
    <row r="1238" spans="1:37" x14ac:dyDescent="0.25">
      <c r="A1238" s="76">
        <v>11</v>
      </c>
      <c r="B1238" s="3" t="s">
        <v>250</v>
      </c>
      <c r="C1238" s="2" t="s">
        <v>160</v>
      </c>
      <c r="D1238" s="1">
        <v>0</v>
      </c>
      <c r="E1238" s="1">
        <v>0</v>
      </c>
      <c r="F1238" s="1">
        <v>0</v>
      </c>
      <c r="G1238" s="1">
        <v>12</v>
      </c>
      <c r="H1238" s="4">
        <v>0.83</v>
      </c>
      <c r="I1238" s="1">
        <v>2</v>
      </c>
      <c r="J1238" s="4">
        <v>0.5</v>
      </c>
      <c r="K1238" s="1">
        <v>0</v>
      </c>
      <c r="L1238" s="1">
        <v>10</v>
      </c>
      <c r="M1238" s="32">
        <f>IF(Mecze[[#This Row],[PR]]=0,0,Mecze[[#This Row],[PR]]/Mecze[[#This Row],[CZAS]])</f>
        <v>0.10309278350515463</v>
      </c>
      <c r="N1238" s="32">
        <f>IF(Mecze[[#This Row],[OU]]=0,0,Mecze[[#This Row],[OU]]/Mecze[[#This Row],[CZAS]])</f>
        <v>1.0309278350515464E-2</v>
      </c>
      <c r="O1238" s="32">
        <f>IF(Mecze[[#This Row],[PC]]=0,0,Mecze[[#This Row],[PC]]/Mecze[[#This Row],[CZAS]])</f>
        <v>0.10309278350515463</v>
      </c>
      <c r="P1238" s="32">
        <f>IF(Mecze[[#This Row],[SC]]=0,0,Mecze[[#This Row],[SC]]/Mecze[[#This Row],[CZAS]])</f>
        <v>0</v>
      </c>
      <c r="Q1238" s="32">
        <f>IF(Mecze[[#This Row],[OB]]=0,0,Mecze[[#This Row],[OB]]/Mecze[[#This Row],[CZAS]])</f>
        <v>0</v>
      </c>
      <c r="R1238" s="32">
        <f>IF(Mecze[[#This Row],[BR]]=0,0,Mecze[[#This Row],[BR]]/Mecze[[#This Row],[CZAS]])</f>
        <v>0</v>
      </c>
      <c r="S1238" s="44">
        <f>IF(Mecze[[#This Row],[Role]]="BR",SUMPRODUCT(Mecze[[#This Row],[/PR:90]:[/BR:90]],Brudnopis!$E$23:$J$23),0)</f>
        <v>0</v>
      </c>
      <c r="T1238" s="44">
        <f>IF(Mecze[[#This Row],[Role]]&lt;&gt;"BR",SUMPRODUCT(Mecze[[#This Row],[/PR:90]:[/BR:90]],Brudnopis!$E$24:$J$24),0)</f>
        <v>0.22164948453608246</v>
      </c>
      <c r="U1238" s="44">
        <f>IF(Mecze[[#This Row],[Role]]&lt;&gt;"BR",SUMPRODUCT(Mecze[[#This Row],[/PR:90]:[/BR:90]],Brudnopis!$E$25:$J$25),0)</f>
        <v>0.26804123711340205</v>
      </c>
      <c r="V1238" s="44">
        <f>IF(Mecze[[#This Row],[Role]]&lt;&gt;"BR",SUMPRODUCT(Mecze[[#This Row],[/PR:90]:[/BR:90]],Brudnopis!$E$26:$J$26),0)</f>
        <v>0.21649484536082475</v>
      </c>
      <c r="W1238" s="44">
        <f>IF(Mecze[[#This Row],[Role]]&lt;&gt;"BR",SUMPRODUCT(Mecze[[#This Row],[/PR:90]:[/BR:90]],Brudnopis!$E$27:$J$27),0)</f>
        <v>0.23969072164948454</v>
      </c>
      <c r="X1238" s="44">
        <f>IF(Mecze[[#This Row],[Role]]&lt;&gt;"BR",SUMPRODUCT(Mecze[[#This Row],[/PR:90]:[/BR:90]],Brudnopis!$E$28:$J$28),0)</f>
        <v>0.10309278350515463</v>
      </c>
      <c r="Y1238" s="35">
        <f>IF(Mecze[[#This Row],[Role]]="BR",Mecze[[#This Row],[/OB:90]]+Mecze[[#This Row],[/PC:90]],SUM(Mecze[[#This Row],[/PR:90]:[/BR:90]]))</f>
        <v>0.21649484536082475</v>
      </c>
      <c r="Z1238" s="35">
        <f>IF(Mecze[[#This Row],[KC]]=0,SUM(Mecze[[#This Row],[/BRI]:[/NPI]]),SUM(Mecze[[#This Row],[/BRI]:[/NPI]])*0.6)</f>
        <v>1.0489690721649485</v>
      </c>
      <c r="AA1238" s="10">
        <f>IFERROR(Mecze[[#This Row],[BR]]/Mecze[[#This Row],[ST]],0)</f>
        <v>0</v>
      </c>
      <c r="AB1238">
        <f>ROUND(Mecze[[#This Row],[PD]]*Mecze[[#This Row],[%PC]],0)</f>
        <v>10</v>
      </c>
      <c r="AC1238">
        <f>ROUND(Mecze[[#This Row],[OD]]*Mecze[[#This Row],[%OU]],0)</f>
        <v>1</v>
      </c>
      <c r="AD1238" s="36" t="s">
        <v>319</v>
      </c>
      <c r="AE1238" s="36">
        <v>68</v>
      </c>
      <c r="AF1238" s="71">
        <v>11.26</v>
      </c>
      <c r="AG1238" s="37">
        <v>0</v>
      </c>
      <c r="AH1238" s="37">
        <v>0</v>
      </c>
      <c r="AI1238" s="37">
        <v>97</v>
      </c>
      <c r="AJ1238" s="37">
        <v>6</v>
      </c>
      <c r="AK1238" s="37" t="str">
        <f>VLOOKUP(Mecze[[#This Row],[Match ID]],Meczusie[Mecz]:Meczusie[RodzajMeczu],2,FALSE)</f>
        <v>Liga</v>
      </c>
    </row>
    <row r="1239" spans="1:37" x14ac:dyDescent="0.25">
      <c r="A1239" s="76">
        <v>106</v>
      </c>
      <c r="B1239" s="3" t="s">
        <v>424</v>
      </c>
      <c r="C1239" s="2" t="s">
        <v>160</v>
      </c>
      <c r="D1239" s="1">
        <v>1</v>
      </c>
      <c r="E1239" s="1">
        <v>2</v>
      </c>
      <c r="F1239" s="1">
        <v>1</v>
      </c>
      <c r="G1239" s="1">
        <v>10</v>
      </c>
      <c r="H1239" s="4">
        <v>0.8</v>
      </c>
      <c r="I1239" s="1">
        <v>1</v>
      </c>
      <c r="J1239" s="4">
        <v>1</v>
      </c>
      <c r="K1239" s="1">
        <v>0</v>
      </c>
      <c r="L1239" s="1">
        <v>4</v>
      </c>
      <c r="M1239" s="32">
        <f>IF(Mecze[[#This Row],[PR]]=0,0,Mecze[[#This Row],[PR]]/Mecze[[#This Row],[CZAS]])</f>
        <v>4.1237113402061855E-2</v>
      </c>
      <c r="N1239" s="32">
        <f>IF(Mecze[[#This Row],[OU]]=0,0,Mecze[[#This Row],[OU]]/Mecze[[#This Row],[CZAS]])</f>
        <v>1.0309278350515464E-2</v>
      </c>
      <c r="O1239" s="32">
        <f>IF(Mecze[[#This Row],[PC]]=0,0,Mecze[[#This Row],[PC]]/Mecze[[#This Row],[CZAS]])</f>
        <v>8.247422680412371E-2</v>
      </c>
      <c r="P1239" s="32">
        <f>IF(Mecze[[#This Row],[SC]]=0,0,Mecze[[#This Row],[SC]]/Mecze[[#This Row],[CZAS]])</f>
        <v>1.0309278350515464E-2</v>
      </c>
      <c r="Q1239" s="32">
        <f>IF(Mecze[[#This Row],[OB]]=0,0,Mecze[[#This Row],[OB]]/Mecze[[#This Row],[CZAS]])</f>
        <v>0</v>
      </c>
      <c r="R1239" s="32">
        <f>IF(Mecze[[#This Row],[BR]]=0,0,Mecze[[#This Row],[BR]]/Mecze[[#This Row],[CZAS]])</f>
        <v>1.0309278350515464E-2</v>
      </c>
      <c r="S1239" s="44">
        <f>IF(Mecze[[#This Row],[Role]]="BR",SUMPRODUCT(Mecze[[#This Row],[/PR:90]:[/BR:90]],Brudnopis!$E$23:$J$23),0)</f>
        <v>0</v>
      </c>
      <c r="T1239" s="44">
        <f>IF(Mecze[[#This Row],[Role]]&lt;&gt;"BR",SUMPRODUCT(Mecze[[#This Row],[/PR:90]:[/BR:90]],Brudnopis!$E$24:$J$24),0)</f>
        <v>0.16494845360824742</v>
      </c>
      <c r="U1239" s="44">
        <f>IF(Mecze[[#This Row],[Role]]&lt;&gt;"BR",SUMPRODUCT(Mecze[[#This Row],[/PR:90]:[/BR:90]],Brudnopis!$E$25:$J$25),0)</f>
        <v>0.20103092783505153</v>
      </c>
      <c r="V1239" s="44">
        <f>IF(Mecze[[#This Row],[Role]]&lt;&gt;"BR",SUMPRODUCT(Mecze[[#This Row],[/PR:90]:[/BR:90]],Brudnopis!$E$26:$J$26),0)</f>
        <v>0.16494845360824742</v>
      </c>
      <c r="W1239" s="44">
        <f>IF(Mecze[[#This Row],[Role]]&lt;&gt;"BR",SUMPRODUCT(Mecze[[#This Row],[/PR:90]:[/BR:90]],Brudnopis!$E$27:$J$27),0)</f>
        <v>0.19329896907216496</v>
      </c>
      <c r="X1239" s="44">
        <f>IF(Mecze[[#This Row],[Role]]&lt;&gt;"BR",SUMPRODUCT(Mecze[[#This Row],[/PR:90]:[/BR:90]],Brudnopis!$E$28:$J$28),0)</f>
        <v>0.13402061855670103</v>
      </c>
      <c r="Y1239" s="35">
        <f>IF(Mecze[[#This Row],[Role]]="BR",Mecze[[#This Row],[/OB:90]]+Mecze[[#This Row],[/PC:90]],SUM(Mecze[[#This Row],[/PR:90]:[/BR:90]]))</f>
        <v>0.15463917525773194</v>
      </c>
      <c r="Z1239" s="35">
        <f>IF(Mecze[[#This Row],[KC]]=0,SUM(Mecze[[#This Row],[/BRI]:[/NPI]]),SUM(Mecze[[#This Row],[/BRI]:[/NPI]])*0.6)</f>
        <v>0.85824742268041232</v>
      </c>
      <c r="AA1239" s="10">
        <f>IFERROR(Mecze[[#This Row],[BR]]/Mecze[[#This Row],[ST]],0)</f>
        <v>0.5</v>
      </c>
      <c r="AB1239">
        <f>ROUND(Mecze[[#This Row],[PD]]*Mecze[[#This Row],[%PC]],0)</f>
        <v>8</v>
      </c>
      <c r="AC1239">
        <f>ROUND(Mecze[[#This Row],[OD]]*Mecze[[#This Row],[%OU]],0)</f>
        <v>1</v>
      </c>
      <c r="AD1239" s="36" t="s">
        <v>44</v>
      </c>
      <c r="AE1239" s="36">
        <v>68</v>
      </c>
      <c r="AF1239" s="71">
        <v>12.34</v>
      </c>
      <c r="AG1239" s="37">
        <v>0</v>
      </c>
      <c r="AH1239" s="37">
        <v>0</v>
      </c>
      <c r="AI1239" s="37">
        <v>97</v>
      </c>
      <c r="AJ1239" s="37">
        <v>6</v>
      </c>
      <c r="AK1239" s="37" t="str">
        <f>VLOOKUP(Mecze[[#This Row],[Match ID]],Meczusie[Mecz]:Meczusie[RodzajMeczu],2,FALSE)</f>
        <v>Liga</v>
      </c>
    </row>
    <row r="1240" spans="1:37" x14ac:dyDescent="0.25">
      <c r="A1240" s="76">
        <v>6</v>
      </c>
      <c r="B1240" s="3" t="s">
        <v>255</v>
      </c>
      <c r="C1240" s="2" t="s">
        <v>165</v>
      </c>
      <c r="D1240" s="1">
        <v>0</v>
      </c>
      <c r="E1240" s="1">
        <v>0</v>
      </c>
      <c r="F1240" s="1">
        <v>0</v>
      </c>
      <c r="G1240" s="1">
        <v>8</v>
      </c>
      <c r="H1240" s="4">
        <v>0.75</v>
      </c>
      <c r="I1240" s="1">
        <v>1</v>
      </c>
      <c r="J1240" s="4">
        <v>1</v>
      </c>
      <c r="K1240" s="1">
        <v>0</v>
      </c>
      <c r="L1240" s="1">
        <v>0</v>
      </c>
      <c r="M1240" s="32">
        <f>IF(Mecze[[#This Row],[PR]]=0,0,Mecze[[#This Row],[PR]]/Mecze[[#This Row],[CZAS]])</f>
        <v>0</v>
      </c>
      <c r="N1240" s="32">
        <f>IF(Mecze[[#This Row],[OU]]=0,0,Mecze[[#This Row],[OU]]/Mecze[[#This Row],[CZAS]])</f>
        <v>1.0309278350515464E-2</v>
      </c>
      <c r="O1240" s="32">
        <f>IF(Mecze[[#This Row],[PC]]=0,0,Mecze[[#This Row],[PC]]/Mecze[[#This Row],[CZAS]])</f>
        <v>6.1855670103092786E-2</v>
      </c>
      <c r="P1240" s="32">
        <f>IF(Mecze[[#This Row],[SC]]=0,0,Mecze[[#This Row],[SC]]/Mecze[[#This Row],[CZAS]])</f>
        <v>0</v>
      </c>
      <c r="Q1240" s="32">
        <f>IF(Mecze[[#This Row],[OB]]=0,0,Mecze[[#This Row],[OB]]/Mecze[[#This Row],[CZAS]])</f>
        <v>0</v>
      </c>
      <c r="R1240" s="32">
        <f>IF(Mecze[[#This Row],[BR]]=0,0,Mecze[[#This Row],[BR]]/Mecze[[#This Row],[CZAS]])</f>
        <v>0</v>
      </c>
      <c r="S1240" s="44">
        <f>IF(Mecze[[#This Row],[Role]]="BR",SUMPRODUCT(Mecze[[#This Row],[/PR:90]:[/BR:90]],Brudnopis!$E$23:$J$23),0)</f>
        <v>0</v>
      </c>
      <c r="T1240" s="44">
        <f>IF(Mecze[[#This Row],[Role]]&lt;&gt;"BR",SUMPRODUCT(Mecze[[#This Row],[/PR:90]:[/BR:90]],Brudnopis!$E$24:$J$24),0)</f>
        <v>7.7319587628865982E-2</v>
      </c>
      <c r="U1240" s="44">
        <f>IF(Mecze[[#This Row],[Role]]&lt;&gt;"BR",SUMPRODUCT(Mecze[[#This Row],[/PR:90]:[/BR:90]],Brudnopis!$E$25:$J$25),0)</f>
        <v>0.10309278350515465</v>
      </c>
      <c r="V1240" s="44">
        <f>IF(Mecze[[#This Row],[Role]]&lt;&gt;"BR",SUMPRODUCT(Mecze[[#This Row],[/PR:90]:[/BR:90]],Brudnopis!$E$26:$J$26),0)</f>
        <v>7.2164948453608255E-2</v>
      </c>
      <c r="W1240" s="44">
        <f>IF(Mecze[[#This Row],[Role]]&lt;&gt;"BR",SUMPRODUCT(Mecze[[#This Row],[/PR:90]:[/BR:90]],Brudnopis!$E$27:$J$27),0)</f>
        <v>0.10051546391752578</v>
      </c>
      <c r="X1240" s="44">
        <f>IF(Mecze[[#This Row],[Role]]&lt;&gt;"BR",SUMPRODUCT(Mecze[[#This Row],[/PR:90]:[/BR:90]],Brudnopis!$E$28:$J$28),0)</f>
        <v>6.1855670103092786E-2</v>
      </c>
      <c r="Y1240" s="35">
        <f>IF(Mecze[[#This Row],[Role]]="BR",Mecze[[#This Row],[/OB:90]]+Mecze[[#This Row],[/PC:90]],SUM(Mecze[[#This Row],[/PR:90]:[/BR:90]]))</f>
        <v>7.2164948453608255E-2</v>
      </c>
      <c r="Z1240" s="35">
        <f>IF(Mecze[[#This Row],[KC]]=0,SUM(Mecze[[#This Row],[/BRI]:[/NPI]]),SUM(Mecze[[#This Row],[/BRI]:[/NPI]])*0.6)</f>
        <v>0.4149484536082475</v>
      </c>
      <c r="AA1240" s="10">
        <f>IFERROR(Mecze[[#This Row],[BR]]/Mecze[[#This Row],[ST]],0)</f>
        <v>0</v>
      </c>
      <c r="AB1240">
        <f>ROUND(Mecze[[#This Row],[PD]]*Mecze[[#This Row],[%PC]],0)</f>
        <v>6</v>
      </c>
      <c r="AC1240">
        <f>ROUND(Mecze[[#This Row],[OD]]*Mecze[[#This Row],[%OU]],0)</f>
        <v>1</v>
      </c>
      <c r="AD1240" s="36" t="s">
        <v>232</v>
      </c>
      <c r="AE1240" s="36">
        <v>68</v>
      </c>
      <c r="AF1240" s="71">
        <v>5.26</v>
      </c>
      <c r="AG1240" s="37">
        <v>0</v>
      </c>
      <c r="AH1240" s="37">
        <v>0</v>
      </c>
      <c r="AI1240" s="37">
        <v>97</v>
      </c>
      <c r="AJ1240" s="37">
        <v>6</v>
      </c>
      <c r="AK1240" s="37" t="str">
        <f>VLOOKUP(Mecze[[#This Row],[Match ID]],Meczusie[Mecz]:Meczusie[RodzajMeczu],2,FALSE)</f>
        <v>Liga</v>
      </c>
    </row>
    <row r="1241" spans="1:37" x14ac:dyDescent="0.25">
      <c r="A1241" s="76">
        <v>5</v>
      </c>
      <c r="B1241" s="3" t="s">
        <v>256</v>
      </c>
      <c r="C1241" s="2" t="s">
        <v>165</v>
      </c>
      <c r="D1241" s="1">
        <v>4</v>
      </c>
      <c r="E1241" s="1">
        <v>18</v>
      </c>
      <c r="F1241" s="1">
        <v>10</v>
      </c>
      <c r="G1241" s="1">
        <v>5</v>
      </c>
      <c r="H1241" s="4">
        <v>0.8</v>
      </c>
      <c r="I1241" s="1">
        <v>1</v>
      </c>
      <c r="J1241" s="4">
        <v>1</v>
      </c>
      <c r="K1241" s="1">
        <v>0</v>
      </c>
      <c r="L1241" s="1">
        <v>1</v>
      </c>
      <c r="M1241" s="32">
        <f>IF(Mecze[[#This Row],[PR]]=0,0,Mecze[[#This Row],[PR]]/Mecze[[#This Row],[CZAS]])</f>
        <v>1.0309278350515464E-2</v>
      </c>
      <c r="N1241" s="32">
        <f>IF(Mecze[[#This Row],[OU]]=0,0,Mecze[[#This Row],[OU]]/Mecze[[#This Row],[CZAS]])</f>
        <v>1.0309278350515464E-2</v>
      </c>
      <c r="O1241" s="32">
        <f>IF(Mecze[[#This Row],[PC]]=0,0,Mecze[[#This Row],[PC]]/Mecze[[#This Row],[CZAS]])</f>
        <v>4.1237113402061855E-2</v>
      </c>
      <c r="P1241" s="32">
        <f>IF(Mecze[[#This Row],[SC]]=0,0,Mecze[[#This Row],[SC]]/Mecze[[#This Row],[CZAS]])</f>
        <v>0.10309278350515463</v>
      </c>
      <c r="Q1241" s="32">
        <f>IF(Mecze[[#This Row],[OB]]=0,0,Mecze[[#This Row],[OB]]/Mecze[[#This Row],[CZAS]])</f>
        <v>0</v>
      </c>
      <c r="R1241" s="32">
        <f>IF(Mecze[[#This Row],[BR]]=0,0,Mecze[[#This Row],[BR]]/Mecze[[#This Row],[CZAS]])</f>
        <v>4.1237113402061855E-2</v>
      </c>
      <c r="S1241" s="44">
        <f>IF(Mecze[[#This Row],[Role]]="BR",SUMPRODUCT(Mecze[[#This Row],[/PR:90]:[/BR:90]],Brudnopis!$E$23:$J$23),0)</f>
        <v>0</v>
      </c>
      <c r="T1241" s="44">
        <f>IF(Mecze[[#This Row],[Role]]&lt;&gt;"BR",SUMPRODUCT(Mecze[[#This Row],[/PR:90]:[/BR:90]],Brudnopis!$E$24:$J$24),0)</f>
        <v>0.23195876288659795</v>
      </c>
      <c r="U1241" s="44">
        <f>IF(Mecze[[#This Row],[Role]]&lt;&gt;"BR",SUMPRODUCT(Mecze[[#This Row],[/PR:90]:[/BR:90]],Brudnopis!$E$25:$J$25),0)</f>
        <v>0.24742268041237114</v>
      </c>
      <c r="V1241" s="44">
        <f>IF(Mecze[[#This Row],[Role]]&lt;&gt;"BR",SUMPRODUCT(Mecze[[#This Row],[/PR:90]:[/BR:90]],Brudnopis!$E$26:$J$26),0)</f>
        <v>0.24742268041237114</v>
      </c>
      <c r="W1241" s="44">
        <f>IF(Mecze[[#This Row],[Role]]&lt;&gt;"BR",SUMPRODUCT(Mecze[[#This Row],[/PR:90]:[/BR:90]],Brudnopis!$E$27:$J$27),0)</f>
        <v>0.26288659793814434</v>
      </c>
      <c r="X1241" s="44">
        <f>IF(Mecze[[#This Row],[Role]]&lt;&gt;"BR",SUMPRODUCT(Mecze[[#This Row],[/PR:90]:[/BR:90]],Brudnopis!$E$28:$J$28),0)</f>
        <v>0.37113402061855671</v>
      </c>
      <c r="Y1241" s="35">
        <f>IF(Mecze[[#This Row],[Role]]="BR",Mecze[[#This Row],[/OB:90]]+Mecze[[#This Row],[/PC:90]],SUM(Mecze[[#This Row],[/PR:90]:[/BR:90]]))</f>
        <v>0.20618556701030927</v>
      </c>
      <c r="Z1241" s="35">
        <f>IF(Mecze[[#This Row],[KC]]=0,SUM(Mecze[[#This Row],[/BRI]:[/NPI]]),SUM(Mecze[[#This Row],[/BRI]:[/NPI]])*0.6)</f>
        <v>1.3608247422680413</v>
      </c>
      <c r="AA1241" s="10">
        <f>IFERROR(Mecze[[#This Row],[BR]]/Mecze[[#This Row],[ST]],0)</f>
        <v>0.22222222222222221</v>
      </c>
      <c r="AB1241">
        <f>ROUND(Mecze[[#This Row],[PD]]*Mecze[[#This Row],[%PC]],0)</f>
        <v>4</v>
      </c>
      <c r="AC1241">
        <f>ROUND(Mecze[[#This Row],[OD]]*Mecze[[#This Row],[%OU]],0)</f>
        <v>1</v>
      </c>
      <c r="AD1241" s="36" t="s">
        <v>46</v>
      </c>
      <c r="AE1241" s="36">
        <v>68</v>
      </c>
      <c r="AF1241" s="71">
        <v>17.579999999999998</v>
      </c>
      <c r="AG1241" s="37">
        <v>0</v>
      </c>
      <c r="AH1241" s="37">
        <v>0</v>
      </c>
      <c r="AI1241" s="37">
        <v>97</v>
      </c>
      <c r="AJ1241" s="37">
        <v>6</v>
      </c>
      <c r="AK1241" s="37" t="str">
        <f>VLOOKUP(Mecze[[#This Row],[Match ID]],Meczusie[Mecz]:Meczusie[RodzajMeczu],2,FALSE)</f>
        <v>Liga</v>
      </c>
    </row>
    <row r="1242" spans="1:37" x14ac:dyDescent="0.25">
      <c r="A1242" s="76">
        <v>100</v>
      </c>
      <c r="B1242" s="3" t="s">
        <v>257</v>
      </c>
      <c r="C1242" s="2" t="s">
        <v>165</v>
      </c>
      <c r="D1242" s="1">
        <v>5</v>
      </c>
      <c r="E1242" s="1">
        <v>9</v>
      </c>
      <c r="F1242" s="1">
        <v>8</v>
      </c>
      <c r="G1242" s="1">
        <v>9</v>
      </c>
      <c r="H1242" s="4">
        <v>0.89</v>
      </c>
      <c r="I1242" s="1">
        <v>2</v>
      </c>
      <c r="J1242" s="4">
        <v>0</v>
      </c>
      <c r="K1242" s="1">
        <v>0</v>
      </c>
      <c r="L1242" s="1">
        <v>1</v>
      </c>
      <c r="M1242" s="32">
        <f>IF(Mecze[[#This Row],[PR]]=0,0,Mecze[[#This Row],[PR]]/Mecze[[#This Row],[CZAS]])</f>
        <v>1.1627906976744186E-2</v>
      </c>
      <c r="N1242" s="32">
        <f>IF(Mecze[[#This Row],[OU]]=0,0,Mecze[[#This Row],[OU]]/Mecze[[#This Row],[CZAS]])</f>
        <v>0</v>
      </c>
      <c r="O1242" s="32">
        <f>IF(Mecze[[#This Row],[PC]]=0,0,Mecze[[#This Row],[PC]]/Mecze[[#This Row],[CZAS]])</f>
        <v>9.3023255813953487E-2</v>
      </c>
      <c r="P1242" s="32">
        <f>IF(Mecze[[#This Row],[SC]]=0,0,Mecze[[#This Row],[SC]]/Mecze[[#This Row],[CZAS]])</f>
        <v>9.3023255813953487E-2</v>
      </c>
      <c r="Q1242" s="32">
        <f>IF(Mecze[[#This Row],[OB]]=0,0,Mecze[[#This Row],[OB]]/Mecze[[#This Row],[CZAS]])</f>
        <v>0</v>
      </c>
      <c r="R1242" s="32">
        <f>IF(Mecze[[#This Row],[BR]]=0,0,Mecze[[#This Row],[BR]]/Mecze[[#This Row],[CZAS]])</f>
        <v>5.8139534883720929E-2</v>
      </c>
      <c r="S1242" s="44">
        <f>IF(Mecze[[#This Row],[Role]]="BR",SUMPRODUCT(Mecze[[#This Row],[/PR:90]:[/BR:90]],Brudnopis!$E$23:$J$23),0)</f>
        <v>0</v>
      </c>
      <c r="T1242" s="44">
        <f>IF(Mecze[[#This Row],[Role]]&lt;&gt;"BR",SUMPRODUCT(Mecze[[#This Row],[/PR:90]:[/BR:90]],Brudnopis!$E$24:$J$24),0)</f>
        <v>0.28488372093023256</v>
      </c>
      <c r="U1242" s="44">
        <f>IF(Mecze[[#This Row],[Role]]&lt;&gt;"BR",SUMPRODUCT(Mecze[[#This Row],[/PR:90]:[/BR:90]],Brudnopis!$E$25:$J$25),0)</f>
        <v>0.33139534883720928</v>
      </c>
      <c r="V1242" s="44">
        <f>IF(Mecze[[#This Row],[Role]]&lt;&gt;"BR",SUMPRODUCT(Mecze[[#This Row],[/PR:90]:[/BR:90]],Brudnopis!$E$26:$J$26),0)</f>
        <v>0.31395348837209303</v>
      </c>
      <c r="W1242" s="44">
        <f>IF(Mecze[[#This Row],[Role]]&lt;&gt;"BR",SUMPRODUCT(Mecze[[#This Row],[/PR:90]:[/BR:90]],Brudnopis!$E$27:$J$27),0)</f>
        <v>0.35755813953488369</v>
      </c>
      <c r="X1242" s="44">
        <f>IF(Mecze[[#This Row],[Role]]&lt;&gt;"BR",SUMPRODUCT(Mecze[[#This Row],[/PR:90]:[/BR:90]],Brudnopis!$E$28:$J$28),0)</f>
        <v>0.45348837209302328</v>
      </c>
      <c r="Y1242" s="35">
        <f>IF(Mecze[[#This Row],[Role]]="BR",Mecze[[#This Row],[/OB:90]]+Mecze[[#This Row],[/PC:90]],SUM(Mecze[[#This Row],[/PR:90]:[/BR:90]]))</f>
        <v>0.2558139534883721</v>
      </c>
      <c r="Z1242" s="35">
        <f>IF(Mecze[[#This Row],[KC]]=0,SUM(Mecze[[#This Row],[/BRI]:[/NPI]]),SUM(Mecze[[#This Row],[/BRI]:[/NPI]])*0.6)</f>
        <v>1.7412790697674416</v>
      </c>
      <c r="AA1242" s="10">
        <f>IFERROR(Mecze[[#This Row],[BR]]/Mecze[[#This Row],[ST]],0)</f>
        <v>0.55555555555555558</v>
      </c>
      <c r="AB1242">
        <f>ROUND(Mecze[[#This Row],[PD]]*Mecze[[#This Row],[%PC]],0)</f>
        <v>8</v>
      </c>
      <c r="AC1242">
        <f>ROUND(Mecze[[#This Row],[OD]]*Mecze[[#This Row],[%OU]],0)</f>
        <v>0</v>
      </c>
      <c r="AD1242" s="36" t="s">
        <v>46</v>
      </c>
      <c r="AE1242" s="36">
        <v>68</v>
      </c>
      <c r="AF1242" s="71">
        <v>19.440000000000001</v>
      </c>
      <c r="AG1242" s="37">
        <v>0</v>
      </c>
      <c r="AH1242" s="37">
        <v>0</v>
      </c>
      <c r="AI1242" s="37">
        <v>86</v>
      </c>
      <c r="AJ1242" s="37">
        <v>6</v>
      </c>
      <c r="AK1242" s="37" t="str">
        <f>VLOOKUP(Mecze[[#This Row],[Match ID]],Meczusie[Mecz]:Meczusie[RodzajMeczu],2,FALSE)</f>
        <v>Liga</v>
      </c>
    </row>
    <row r="1243" spans="1:37" x14ac:dyDescent="0.25">
      <c r="A1243" s="76">
        <v>9</v>
      </c>
      <c r="B1243" s="3" t="s">
        <v>258</v>
      </c>
      <c r="C1243" s="2" t="s">
        <v>160</v>
      </c>
      <c r="D1243" s="1">
        <v>0</v>
      </c>
      <c r="E1243" s="1">
        <v>0</v>
      </c>
      <c r="F1243" s="1">
        <v>0</v>
      </c>
      <c r="G1243" s="1">
        <v>1</v>
      </c>
      <c r="H1243" s="4">
        <v>1</v>
      </c>
      <c r="I1243" s="1">
        <v>0</v>
      </c>
      <c r="J1243" s="4"/>
      <c r="K1243" s="1">
        <v>0</v>
      </c>
      <c r="L1243" s="1">
        <v>1</v>
      </c>
      <c r="M1243" s="32">
        <f>IF(Mecze[[#This Row],[PR]]=0,0,Mecze[[#This Row],[PR]]/Mecze[[#This Row],[CZAS]])</f>
        <v>4.1666666666666664E-2</v>
      </c>
      <c r="N1243" s="32">
        <f>IF(Mecze[[#This Row],[OU]]=0,0,Mecze[[#This Row],[OU]]/Mecze[[#This Row],[CZAS]])</f>
        <v>0</v>
      </c>
      <c r="O1243" s="32">
        <f>IF(Mecze[[#This Row],[PC]]=0,0,Mecze[[#This Row],[PC]]/Mecze[[#This Row],[CZAS]])</f>
        <v>4.1666666666666664E-2</v>
      </c>
      <c r="P1243" s="32">
        <f>IF(Mecze[[#This Row],[SC]]=0,0,Mecze[[#This Row],[SC]]/Mecze[[#This Row],[CZAS]])</f>
        <v>0</v>
      </c>
      <c r="Q1243" s="32">
        <f>IF(Mecze[[#This Row],[OB]]=0,0,Mecze[[#This Row],[OB]]/Mecze[[#This Row],[CZAS]])</f>
        <v>0</v>
      </c>
      <c r="R1243" s="32">
        <f>IF(Mecze[[#This Row],[BR]]=0,0,Mecze[[#This Row],[BR]]/Mecze[[#This Row],[CZAS]])</f>
        <v>0</v>
      </c>
      <c r="S1243" s="44">
        <f>IF(Mecze[[#This Row],[Role]]="BR",SUMPRODUCT(Mecze[[#This Row],[/PR:90]:[/BR:90]],Brudnopis!$E$23:$J$23),0)</f>
        <v>0</v>
      </c>
      <c r="T1243" s="44">
        <f>IF(Mecze[[#This Row],[Role]]&lt;&gt;"BR",SUMPRODUCT(Mecze[[#This Row],[/PR:90]:[/BR:90]],Brudnopis!$E$24:$J$24),0)</f>
        <v>8.3333333333333329E-2</v>
      </c>
      <c r="U1243" s="44">
        <f>IF(Mecze[[#This Row],[Role]]&lt;&gt;"BR",SUMPRODUCT(Mecze[[#This Row],[/PR:90]:[/BR:90]],Brudnopis!$E$25:$J$25),0)</f>
        <v>0.10416666666666666</v>
      </c>
      <c r="V1243" s="44">
        <f>IF(Mecze[[#This Row],[Role]]&lt;&gt;"BR",SUMPRODUCT(Mecze[[#This Row],[/PR:90]:[/BR:90]],Brudnopis!$E$26:$J$26),0)</f>
        <v>8.3333333333333329E-2</v>
      </c>
      <c r="W1243" s="44">
        <f>IF(Mecze[[#This Row],[Role]]&lt;&gt;"BR",SUMPRODUCT(Mecze[[#This Row],[/PR:90]:[/BR:90]],Brudnopis!$E$27:$J$27),0)</f>
        <v>9.375E-2</v>
      </c>
      <c r="X1243" s="44">
        <f>IF(Mecze[[#This Row],[Role]]&lt;&gt;"BR",SUMPRODUCT(Mecze[[#This Row],[/PR:90]:[/BR:90]],Brudnopis!$E$28:$J$28),0)</f>
        <v>4.1666666666666664E-2</v>
      </c>
      <c r="Y1243" s="35">
        <f>IF(Mecze[[#This Row],[Role]]="BR",Mecze[[#This Row],[/OB:90]]+Mecze[[#This Row],[/PC:90]],SUM(Mecze[[#This Row],[/PR:90]:[/BR:90]]))</f>
        <v>8.3333333333333329E-2</v>
      </c>
      <c r="Z1243" s="35">
        <f>IF(Mecze[[#This Row],[KC]]=0,SUM(Mecze[[#This Row],[/BRI]:[/NPI]]),SUM(Mecze[[#This Row],[/BRI]:[/NPI]])*0.6)</f>
        <v>0.40625</v>
      </c>
      <c r="AA1243" s="10">
        <f>IFERROR(Mecze[[#This Row],[BR]]/Mecze[[#This Row],[ST]],0)</f>
        <v>0</v>
      </c>
      <c r="AB1243">
        <f>ROUND(Mecze[[#This Row],[PD]]*Mecze[[#This Row],[%PC]],0)</f>
        <v>1</v>
      </c>
      <c r="AC1243">
        <f>ROUND(Mecze[[#This Row],[OD]]*Mecze[[#This Row],[%OU]],0)</f>
        <v>0</v>
      </c>
      <c r="AD1243" s="36" t="s">
        <v>318</v>
      </c>
      <c r="AE1243" s="36">
        <v>68</v>
      </c>
      <c r="AF1243" s="71">
        <v>5.05</v>
      </c>
      <c r="AG1243" s="37">
        <v>0</v>
      </c>
      <c r="AH1243" s="37">
        <v>0</v>
      </c>
      <c r="AI1243" s="37">
        <v>24</v>
      </c>
      <c r="AJ1243" s="37">
        <v>6</v>
      </c>
      <c r="AK1243" s="37" t="str">
        <f>VLOOKUP(Mecze[[#This Row],[Match ID]],Meczusie[Mecz]:Meczusie[RodzajMeczu],2,FALSE)</f>
        <v>Liga</v>
      </c>
    </row>
    <row r="1244" spans="1:37" x14ac:dyDescent="0.25">
      <c r="A1244" s="76">
        <v>105</v>
      </c>
      <c r="B1244" s="3" t="s">
        <v>423</v>
      </c>
      <c r="C1244" s="2" t="s">
        <v>157</v>
      </c>
      <c r="D1244" s="1">
        <v>0</v>
      </c>
      <c r="E1244" s="1">
        <v>0</v>
      </c>
      <c r="F1244" s="1">
        <v>0</v>
      </c>
      <c r="G1244" s="1">
        <v>0</v>
      </c>
      <c r="H1244" s="72"/>
      <c r="I1244" s="1">
        <v>0</v>
      </c>
      <c r="J1244" s="4"/>
      <c r="K1244" s="1">
        <v>0</v>
      </c>
      <c r="L1244" s="1">
        <v>0</v>
      </c>
      <c r="M1244" s="32">
        <f>IF(Mecze[[#This Row],[PR]]=0,0,Mecze[[#This Row],[PR]]/Mecze[[#This Row],[CZAS]])</f>
        <v>0</v>
      </c>
      <c r="N1244" s="32">
        <f>IF(Mecze[[#This Row],[OU]]=0,0,Mecze[[#This Row],[OU]]/Mecze[[#This Row],[CZAS]])</f>
        <v>0</v>
      </c>
      <c r="O1244" s="32">
        <f>IF(Mecze[[#This Row],[PC]]=0,0,Mecze[[#This Row],[PC]]/Mecze[[#This Row],[CZAS]])</f>
        <v>0</v>
      </c>
      <c r="P1244" s="32">
        <f>IF(Mecze[[#This Row],[SC]]=0,0,Mecze[[#This Row],[SC]]/Mecze[[#This Row],[CZAS]])</f>
        <v>0</v>
      </c>
      <c r="Q1244" s="32">
        <f>IF(Mecze[[#This Row],[OB]]=0,0,Mecze[[#This Row],[OB]]/Mecze[[#This Row],[CZAS]])</f>
        <v>0</v>
      </c>
      <c r="R1244" s="32">
        <f>IF(Mecze[[#This Row],[BR]]=0,0,Mecze[[#This Row],[BR]]/Mecze[[#This Row],[CZAS]])</f>
        <v>0</v>
      </c>
      <c r="S1244" s="44">
        <f>IF(Mecze[[#This Row],[Role]]="BR",SUMPRODUCT(Mecze[[#This Row],[/PR:90]:[/BR:90]],Brudnopis!$E$23:$J$23),0)</f>
        <v>0</v>
      </c>
      <c r="T1244" s="44">
        <f>IF(Mecze[[#This Row],[Role]]&lt;&gt;"BR",SUMPRODUCT(Mecze[[#This Row],[/PR:90]:[/BR:90]],Brudnopis!$E$24:$J$24),0)</f>
        <v>0</v>
      </c>
      <c r="U1244" s="44">
        <f>IF(Mecze[[#This Row],[Role]]&lt;&gt;"BR",SUMPRODUCT(Mecze[[#This Row],[/PR:90]:[/BR:90]],Brudnopis!$E$25:$J$25),0)</f>
        <v>0</v>
      </c>
      <c r="V1244" s="44">
        <f>IF(Mecze[[#This Row],[Role]]&lt;&gt;"BR",SUMPRODUCT(Mecze[[#This Row],[/PR:90]:[/BR:90]],Brudnopis!$E$26:$J$26),0)</f>
        <v>0</v>
      </c>
      <c r="W1244" s="44">
        <f>IF(Mecze[[#This Row],[Role]]&lt;&gt;"BR",SUMPRODUCT(Mecze[[#This Row],[/PR:90]:[/BR:90]],Brudnopis!$E$27:$J$27),0)</f>
        <v>0</v>
      </c>
      <c r="X1244" s="44">
        <f>IF(Mecze[[#This Row],[Role]]&lt;&gt;"BR",SUMPRODUCT(Mecze[[#This Row],[/PR:90]:[/BR:90]],Brudnopis!$E$28:$J$28),0)</f>
        <v>0</v>
      </c>
      <c r="Y1244" s="35">
        <f>IF(Mecze[[#This Row],[Role]]="BR",Mecze[[#This Row],[/OB:90]]+Mecze[[#This Row],[/PC:90]],SUM(Mecze[[#This Row],[/PR:90]:[/BR:90]]))</f>
        <v>0</v>
      </c>
      <c r="Z1244" s="35">
        <f>IF(Mecze[[#This Row],[KC]]=0,SUM(Mecze[[#This Row],[/BRI]:[/NPI]]),SUM(Mecze[[#This Row],[/BRI]:[/NPI]])*0.6)</f>
        <v>0</v>
      </c>
      <c r="AA1244" s="10">
        <f>IFERROR(Mecze[[#This Row],[BR]]/Mecze[[#This Row],[ST]],0)</f>
        <v>0</v>
      </c>
      <c r="AB1244">
        <f>ROUND(Mecze[[#This Row],[PD]]*Mecze[[#This Row],[%PC]],0)</f>
        <v>0</v>
      </c>
      <c r="AC1244">
        <f>ROUND(Mecze[[#This Row],[OD]]*Mecze[[#This Row],[%OU]],0)</f>
        <v>0</v>
      </c>
      <c r="AD1244" s="36" t="s">
        <v>167</v>
      </c>
      <c r="AE1244" s="36">
        <v>68</v>
      </c>
      <c r="AF1244" s="71">
        <v>4.84</v>
      </c>
      <c r="AG1244" s="37">
        <v>0</v>
      </c>
      <c r="AH1244" s="37">
        <v>0</v>
      </c>
      <c r="AI1244" s="37">
        <v>11</v>
      </c>
      <c r="AJ1244" s="37">
        <v>6</v>
      </c>
      <c r="AK1244" s="37" t="str">
        <f>VLOOKUP(Mecze[[#This Row],[Match ID]],Meczusie[Mecz]:Meczusie[RodzajMeczu],2,FALSE)</f>
        <v>Liga</v>
      </c>
    </row>
    <row r="1245" spans="1:37" x14ac:dyDescent="0.25">
      <c r="A1245" s="76">
        <v>20</v>
      </c>
      <c r="B1245" s="3" t="s">
        <v>391</v>
      </c>
      <c r="C1245" s="2" t="s">
        <v>165</v>
      </c>
      <c r="D1245" s="1">
        <v>1</v>
      </c>
      <c r="E1245" s="1">
        <v>1</v>
      </c>
      <c r="F1245" s="1">
        <v>1</v>
      </c>
      <c r="G1245" s="1">
        <v>1</v>
      </c>
      <c r="H1245" s="4">
        <v>1</v>
      </c>
      <c r="I1245" s="1">
        <v>0</v>
      </c>
      <c r="J1245" s="4"/>
      <c r="K1245" s="1">
        <v>0</v>
      </c>
      <c r="L1245" s="1">
        <v>0</v>
      </c>
      <c r="M1245" s="32">
        <f>IF(Mecze[[#This Row],[PR]]=0,0,Mecze[[#This Row],[PR]]/Mecze[[#This Row],[CZAS]])</f>
        <v>0</v>
      </c>
      <c r="N1245" s="32">
        <f>IF(Mecze[[#This Row],[OU]]=0,0,Mecze[[#This Row],[OU]]/Mecze[[#This Row],[CZAS]])</f>
        <v>0</v>
      </c>
      <c r="O1245" s="32">
        <f>IF(Mecze[[#This Row],[PC]]=0,0,Mecze[[#This Row],[PC]]/Mecze[[#This Row],[CZAS]])</f>
        <v>9.0909090909090912E-2</v>
      </c>
      <c r="P1245" s="32">
        <f>IF(Mecze[[#This Row],[SC]]=0,0,Mecze[[#This Row],[SC]]/Mecze[[#This Row],[CZAS]])</f>
        <v>9.0909090909090912E-2</v>
      </c>
      <c r="Q1245" s="32">
        <f>IF(Mecze[[#This Row],[OB]]=0,0,Mecze[[#This Row],[OB]]/Mecze[[#This Row],[CZAS]])</f>
        <v>0</v>
      </c>
      <c r="R1245" s="32">
        <f>IF(Mecze[[#This Row],[BR]]=0,0,Mecze[[#This Row],[BR]]/Mecze[[#This Row],[CZAS]])</f>
        <v>9.0909090909090912E-2</v>
      </c>
      <c r="S1245" s="44">
        <f>IF(Mecze[[#This Row],[Role]]="BR",SUMPRODUCT(Mecze[[#This Row],[/PR:90]:[/BR:90]],Brudnopis!$E$23:$J$23),0)</f>
        <v>0</v>
      </c>
      <c r="T1245" s="44">
        <f>IF(Mecze[[#This Row],[Role]]&lt;&gt;"BR",SUMPRODUCT(Mecze[[#This Row],[/PR:90]:[/BR:90]],Brudnopis!$E$24:$J$24),0)</f>
        <v>0.31818181818181818</v>
      </c>
      <c r="U1245" s="44">
        <f>IF(Mecze[[#This Row],[Role]]&lt;&gt;"BR",SUMPRODUCT(Mecze[[#This Row],[/PR:90]:[/BR:90]],Brudnopis!$E$25:$J$25),0)</f>
        <v>0.36363636363636365</v>
      </c>
      <c r="V1245" s="44">
        <f>IF(Mecze[[#This Row],[Role]]&lt;&gt;"BR",SUMPRODUCT(Mecze[[#This Row],[/PR:90]:[/BR:90]],Brudnopis!$E$26:$J$26),0)</f>
        <v>0.36363636363636365</v>
      </c>
      <c r="W1245" s="44">
        <f>IF(Mecze[[#This Row],[Role]]&lt;&gt;"BR",SUMPRODUCT(Mecze[[#This Row],[/PR:90]:[/BR:90]],Brudnopis!$E$27:$J$27),0)</f>
        <v>0.40909090909090906</v>
      </c>
      <c r="X1245" s="44">
        <f>IF(Mecze[[#This Row],[Role]]&lt;&gt;"BR",SUMPRODUCT(Mecze[[#This Row],[/PR:90]:[/BR:90]],Brudnopis!$E$28:$J$28),0)</f>
        <v>0.54545454545454541</v>
      </c>
      <c r="Y1245" s="35">
        <f>IF(Mecze[[#This Row],[Role]]="BR",Mecze[[#This Row],[/OB:90]]+Mecze[[#This Row],[/PC:90]],SUM(Mecze[[#This Row],[/PR:90]:[/BR:90]]))</f>
        <v>0.27272727272727271</v>
      </c>
      <c r="Z1245" s="35">
        <f>IF(Mecze[[#This Row],[KC]]=0,SUM(Mecze[[#This Row],[/BRI]:[/NPI]]),SUM(Mecze[[#This Row],[/BRI]:[/NPI]])*0.6)</f>
        <v>2</v>
      </c>
      <c r="AA1245" s="10">
        <f>IFERROR(Mecze[[#This Row],[BR]]/Mecze[[#This Row],[ST]],0)</f>
        <v>1</v>
      </c>
      <c r="AB1245">
        <f>ROUND(Mecze[[#This Row],[PD]]*Mecze[[#This Row],[%PC]],0)</f>
        <v>1</v>
      </c>
      <c r="AC1245">
        <f>ROUND(Mecze[[#This Row],[OD]]*Mecze[[#This Row],[%OU]],0)</f>
        <v>0</v>
      </c>
      <c r="AD1245" s="36" t="s">
        <v>46</v>
      </c>
      <c r="AE1245" s="36">
        <v>68</v>
      </c>
      <c r="AF1245" s="71">
        <v>4.24</v>
      </c>
      <c r="AG1245" s="37">
        <v>0</v>
      </c>
      <c r="AH1245" s="37">
        <v>0</v>
      </c>
      <c r="AI1245" s="37">
        <v>11</v>
      </c>
      <c r="AJ1245" s="37">
        <v>6</v>
      </c>
      <c r="AK1245" s="37" t="str">
        <f>VLOOKUP(Mecze[[#This Row],[Match ID]],Meczusie[Mecz]:Meczusie[RodzajMeczu],2,FALSE)</f>
        <v>Liga</v>
      </c>
    </row>
    <row r="1246" spans="1:37" x14ac:dyDescent="0.25">
      <c r="A1246" s="76">
        <v>1</v>
      </c>
      <c r="B1246" s="3" t="s">
        <v>344</v>
      </c>
      <c r="C1246" s="2" t="s">
        <v>155</v>
      </c>
      <c r="D1246" s="1">
        <v>0</v>
      </c>
      <c r="E1246" s="1">
        <v>0</v>
      </c>
      <c r="F1246" s="1">
        <v>0</v>
      </c>
      <c r="G1246" s="1">
        <v>14</v>
      </c>
      <c r="H1246" s="4">
        <v>0.36</v>
      </c>
      <c r="I1246" s="1">
        <v>0</v>
      </c>
      <c r="J1246" s="4"/>
      <c r="K1246" s="1">
        <v>14</v>
      </c>
      <c r="L1246" s="1">
        <v>0</v>
      </c>
      <c r="M1246" s="32">
        <f>IF(Mecze[[#This Row],[PR]]=0,0,Mecze[[#This Row],[PR]]/Mecze[[#This Row],[CZAS]])</f>
        <v>0</v>
      </c>
      <c r="N1246" s="32">
        <f>IF(Mecze[[#This Row],[OU]]=0,0,Mecze[[#This Row],[OU]]/Mecze[[#This Row],[CZAS]])</f>
        <v>0</v>
      </c>
      <c r="O1246" s="32">
        <f>IF(Mecze[[#This Row],[PC]]=0,0,Mecze[[#This Row],[PC]]/Mecze[[#This Row],[CZAS]])</f>
        <v>5.2083333333333336E-2</v>
      </c>
      <c r="P1246" s="32">
        <f>IF(Mecze[[#This Row],[SC]]=0,0,Mecze[[#This Row],[SC]]/Mecze[[#This Row],[CZAS]])</f>
        <v>0</v>
      </c>
      <c r="Q1246" s="32">
        <f>IF(Mecze[[#This Row],[OB]]=0,0,Mecze[[#This Row],[OB]]/Mecze[[#This Row],[CZAS]])</f>
        <v>0.14583333333333334</v>
      </c>
      <c r="R1246" s="32">
        <f>IF(Mecze[[#This Row],[BR]]=0,0,Mecze[[#This Row],[BR]]/Mecze[[#This Row],[CZAS]])</f>
        <v>0</v>
      </c>
      <c r="S1246" s="44">
        <f>IF(Mecze[[#This Row],[Role]]="BR",SUMPRODUCT(Mecze[[#This Row],[/PR:90]:[/BR:90]],Brudnopis!$E$23:$J$23),0)</f>
        <v>0.59375</v>
      </c>
      <c r="T1246" s="44">
        <f>IF(Mecze[[#This Row],[Role]]&lt;&gt;"BR",SUMPRODUCT(Mecze[[#This Row],[/PR:90]:[/BR:90]],Brudnopis!$E$24:$J$24),0)</f>
        <v>0</v>
      </c>
      <c r="U1246" s="44">
        <f>IF(Mecze[[#This Row],[Role]]&lt;&gt;"BR",SUMPRODUCT(Mecze[[#This Row],[/PR:90]:[/BR:90]],Brudnopis!$E$25:$J$25),0)</f>
        <v>0</v>
      </c>
      <c r="V1246" s="44">
        <f>IF(Mecze[[#This Row],[Role]]&lt;&gt;"BR",SUMPRODUCT(Mecze[[#This Row],[/PR:90]:[/BR:90]],Brudnopis!$E$26:$J$26),0)</f>
        <v>0</v>
      </c>
      <c r="W1246" s="44">
        <f>IF(Mecze[[#This Row],[Role]]&lt;&gt;"BR",SUMPRODUCT(Mecze[[#This Row],[/PR:90]:[/BR:90]],Brudnopis!$E$27:$J$27),0)</f>
        <v>0</v>
      </c>
      <c r="X1246" s="44">
        <f>IF(Mecze[[#This Row],[Role]]&lt;&gt;"BR",SUMPRODUCT(Mecze[[#This Row],[/PR:90]:[/BR:90]],Brudnopis!$E$28:$J$28),0)</f>
        <v>0</v>
      </c>
      <c r="Y1246" s="35">
        <f>IF(Mecze[[#This Row],[Role]]="BR",Mecze[[#This Row],[/OB:90]]+Mecze[[#This Row],[/PC:90]],SUM(Mecze[[#This Row],[/PR:90]:[/BR:90]]))</f>
        <v>0.19791666666666669</v>
      </c>
      <c r="Z1246" s="35">
        <f>IF(Mecze[[#This Row],[KC]]=0,SUM(Mecze[[#This Row],[/BRI]:[/NPI]]),SUM(Mecze[[#This Row],[/BRI]:[/NPI]])*0.6)</f>
        <v>0.59375</v>
      </c>
      <c r="AA1246" s="10">
        <f>IFERROR(Mecze[[#This Row],[BR]]/Mecze[[#This Row],[ST]],0)</f>
        <v>0</v>
      </c>
      <c r="AB1246">
        <f>ROUND(Mecze[[#This Row],[PD]]*Mecze[[#This Row],[%PC]],0)</f>
        <v>5</v>
      </c>
      <c r="AC1246">
        <f>ROUND(Mecze[[#This Row],[OD]]*Mecze[[#This Row],[%OU]],0)</f>
        <v>0</v>
      </c>
      <c r="AD1246" s="36" t="s">
        <v>40</v>
      </c>
      <c r="AE1246" s="36">
        <v>69</v>
      </c>
      <c r="AF1246" s="71">
        <v>6.49</v>
      </c>
      <c r="AG1246" s="37">
        <v>0</v>
      </c>
      <c r="AH1246" s="37">
        <v>0</v>
      </c>
      <c r="AI1246" s="37">
        <v>96</v>
      </c>
      <c r="AJ1246" s="37">
        <v>5</v>
      </c>
      <c r="AK1246" s="37" t="str">
        <f>VLOOKUP(Mecze[[#This Row],[Match ID]],Meczusie[Mecz]:Meczusie[RodzajMeczu],2,FALSE)</f>
        <v>Liga</v>
      </c>
    </row>
    <row r="1247" spans="1:37" x14ac:dyDescent="0.25">
      <c r="A1247" s="76">
        <v>2</v>
      </c>
      <c r="B1247" s="3" t="s">
        <v>345</v>
      </c>
      <c r="C1247" s="2" t="s">
        <v>157</v>
      </c>
      <c r="D1247" s="1">
        <v>0</v>
      </c>
      <c r="E1247" s="1">
        <v>0</v>
      </c>
      <c r="F1247" s="1">
        <v>0</v>
      </c>
      <c r="G1247" s="1">
        <v>8</v>
      </c>
      <c r="H1247" s="4">
        <v>0.75</v>
      </c>
      <c r="I1247" s="1">
        <v>5</v>
      </c>
      <c r="J1247" s="4">
        <v>0.6</v>
      </c>
      <c r="K1247" s="1">
        <v>0</v>
      </c>
      <c r="L1247" s="1">
        <v>7</v>
      </c>
      <c r="M1247" s="32">
        <f>IF(Mecze[[#This Row],[PR]]=0,0,Mecze[[#This Row],[PR]]/Mecze[[#This Row],[CZAS]])</f>
        <v>7.2916666666666671E-2</v>
      </c>
      <c r="N1247" s="32">
        <f>IF(Mecze[[#This Row],[OU]]=0,0,Mecze[[#This Row],[OU]]/Mecze[[#This Row],[CZAS]])</f>
        <v>3.125E-2</v>
      </c>
      <c r="O1247" s="32">
        <f>IF(Mecze[[#This Row],[PC]]=0,0,Mecze[[#This Row],[PC]]/Mecze[[#This Row],[CZAS]])</f>
        <v>6.25E-2</v>
      </c>
      <c r="P1247" s="32">
        <f>IF(Mecze[[#This Row],[SC]]=0,0,Mecze[[#This Row],[SC]]/Mecze[[#This Row],[CZAS]])</f>
        <v>0</v>
      </c>
      <c r="Q1247" s="32">
        <f>IF(Mecze[[#This Row],[OB]]=0,0,Mecze[[#This Row],[OB]]/Mecze[[#This Row],[CZAS]])</f>
        <v>0</v>
      </c>
      <c r="R1247" s="32">
        <f>IF(Mecze[[#This Row],[BR]]=0,0,Mecze[[#This Row],[BR]]/Mecze[[#This Row],[CZAS]])</f>
        <v>0</v>
      </c>
      <c r="S1247" s="44">
        <f>IF(Mecze[[#This Row],[Role]]="BR",SUMPRODUCT(Mecze[[#This Row],[/PR:90]:[/BR:90]],Brudnopis!$E$23:$J$23),0)</f>
        <v>0</v>
      </c>
      <c r="T1247" s="44">
        <f>IF(Mecze[[#This Row],[Role]]&lt;&gt;"BR",SUMPRODUCT(Mecze[[#This Row],[/PR:90]:[/BR:90]],Brudnopis!$E$24:$J$24),0)</f>
        <v>0.18229166666666669</v>
      </c>
      <c r="U1247" s="44">
        <f>IF(Mecze[[#This Row],[Role]]&lt;&gt;"BR",SUMPRODUCT(Mecze[[#This Row],[/PR:90]:[/BR:90]],Brudnopis!$E$25:$J$25),0)</f>
        <v>0.19791666666666669</v>
      </c>
      <c r="V1247" s="44">
        <f>IF(Mecze[[#This Row],[Role]]&lt;&gt;"BR",SUMPRODUCT(Mecze[[#This Row],[/PR:90]:[/BR:90]],Brudnopis!$E$26:$J$26),0)</f>
        <v>0.16666666666666669</v>
      </c>
      <c r="W1247" s="44">
        <f>IF(Mecze[[#This Row],[Role]]&lt;&gt;"BR",SUMPRODUCT(Mecze[[#This Row],[/PR:90]:[/BR:90]],Brudnopis!$E$27:$J$27),0)</f>
        <v>0.171875</v>
      </c>
      <c r="X1247" s="44">
        <f>IF(Mecze[[#This Row],[Role]]&lt;&gt;"BR",SUMPRODUCT(Mecze[[#This Row],[/PR:90]:[/BR:90]],Brudnopis!$E$28:$J$28),0)</f>
        <v>6.25E-2</v>
      </c>
      <c r="Y1247" s="35">
        <f>IF(Mecze[[#This Row],[Role]]="BR",Mecze[[#This Row],[/OB:90]]+Mecze[[#This Row],[/PC:90]],SUM(Mecze[[#This Row],[/PR:90]:[/BR:90]]))</f>
        <v>0.16666666666666669</v>
      </c>
      <c r="Z1247" s="35">
        <f>IF(Mecze[[#This Row],[KC]]=0,SUM(Mecze[[#This Row],[/BRI]:[/NPI]]),SUM(Mecze[[#This Row],[/BRI]:[/NPI]])*0.6)</f>
        <v>0.78125</v>
      </c>
      <c r="AA1247" s="10">
        <f>IFERROR(Mecze[[#This Row],[BR]]/Mecze[[#This Row],[ST]],0)</f>
        <v>0</v>
      </c>
      <c r="AB1247">
        <f>ROUND(Mecze[[#This Row],[PD]]*Mecze[[#This Row],[%PC]],0)</f>
        <v>6</v>
      </c>
      <c r="AC1247">
        <f>ROUND(Mecze[[#This Row],[OD]]*Mecze[[#This Row],[%OU]],0)</f>
        <v>3</v>
      </c>
      <c r="AD1247" s="36" t="s">
        <v>47</v>
      </c>
      <c r="AE1247" s="36">
        <v>69</v>
      </c>
      <c r="AF1247" s="71">
        <v>3.07</v>
      </c>
      <c r="AG1247" s="37">
        <v>1</v>
      </c>
      <c r="AH1247" s="37">
        <v>0</v>
      </c>
      <c r="AI1247" s="37">
        <v>96</v>
      </c>
      <c r="AJ1247" s="37">
        <v>5</v>
      </c>
      <c r="AK1247" s="37" t="str">
        <f>VLOOKUP(Mecze[[#This Row],[Match ID]],Meczusie[Mecz]:Meczusie[RodzajMeczu],2,FALSE)</f>
        <v>Liga</v>
      </c>
    </row>
    <row r="1248" spans="1:37" x14ac:dyDescent="0.25">
      <c r="A1248" s="76">
        <v>4</v>
      </c>
      <c r="B1248" s="3" t="s">
        <v>346</v>
      </c>
      <c r="C1248" s="2" t="s">
        <v>157</v>
      </c>
      <c r="D1248" s="1">
        <v>0</v>
      </c>
      <c r="E1248" s="1">
        <v>0</v>
      </c>
      <c r="F1248" s="1">
        <v>0</v>
      </c>
      <c r="G1248" s="1">
        <v>8</v>
      </c>
      <c r="H1248" s="4">
        <v>0.75</v>
      </c>
      <c r="I1248" s="1">
        <v>3</v>
      </c>
      <c r="J1248" s="4">
        <v>1</v>
      </c>
      <c r="K1248" s="1">
        <v>0</v>
      </c>
      <c r="L1248" s="1">
        <v>9</v>
      </c>
      <c r="M1248" s="32">
        <f>IF(Mecze[[#This Row],[PR]]=0,0,Mecze[[#This Row],[PR]]/Mecze[[#This Row],[CZAS]])</f>
        <v>9.375E-2</v>
      </c>
      <c r="N1248" s="32">
        <f>IF(Mecze[[#This Row],[OU]]=0,0,Mecze[[#This Row],[OU]]/Mecze[[#This Row],[CZAS]])</f>
        <v>3.125E-2</v>
      </c>
      <c r="O1248" s="32">
        <f>IF(Mecze[[#This Row],[PC]]=0,0,Mecze[[#This Row],[PC]]/Mecze[[#This Row],[CZAS]])</f>
        <v>6.25E-2</v>
      </c>
      <c r="P1248" s="32">
        <f>IF(Mecze[[#This Row],[SC]]=0,0,Mecze[[#This Row],[SC]]/Mecze[[#This Row],[CZAS]])</f>
        <v>0</v>
      </c>
      <c r="Q1248" s="32">
        <f>IF(Mecze[[#This Row],[OB]]=0,0,Mecze[[#This Row],[OB]]/Mecze[[#This Row],[CZAS]])</f>
        <v>0</v>
      </c>
      <c r="R1248" s="32">
        <f>IF(Mecze[[#This Row],[BR]]=0,0,Mecze[[#This Row],[BR]]/Mecze[[#This Row],[CZAS]])</f>
        <v>0</v>
      </c>
      <c r="S1248" s="44">
        <f>IF(Mecze[[#This Row],[Role]]="BR",SUMPRODUCT(Mecze[[#This Row],[/PR:90]:[/BR:90]],Brudnopis!$E$23:$J$23),0)</f>
        <v>0</v>
      </c>
      <c r="T1248" s="44">
        <f>IF(Mecze[[#This Row],[Role]]&lt;&gt;"BR",SUMPRODUCT(Mecze[[#This Row],[/PR:90]:[/BR:90]],Brudnopis!$E$24:$J$24),0)</f>
        <v>0.203125</v>
      </c>
      <c r="U1248" s="44">
        <f>IF(Mecze[[#This Row],[Role]]&lt;&gt;"BR",SUMPRODUCT(Mecze[[#This Row],[/PR:90]:[/BR:90]],Brudnopis!$E$25:$J$25),0)</f>
        <v>0.21875</v>
      </c>
      <c r="V1248" s="44">
        <f>IF(Mecze[[#This Row],[Role]]&lt;&gt;"BR",SUMPRODUCT(Mecze[[#This Row],[/PR:90]:[/BR:90]],Brudnopis!$E$26:$J$26),0)</f>
        <v>0.1875</v>
      </c>
      <c r="W1248" s="44">
        <f>IF(Mecze[[#This Row],[Role]]&lt;&gt;"BR",SUMPRODUCT(Mecze[[#This Row],[/PR:90]:[/BR:90]],Brudnopis!$E$27:$J$27),0)</f>
        <v>0.1875</v>
      </c>
      <c r="X1248" s="44">
        <f>IF(Mecze[[#This Row],[Role]]&lt;&gt;"BR",SUMPRODUCT(Mecze[[#This Row],[/PR:90]:[/BR:90]],Brudnopis!$E$28:$J$28),0)</f>
        <v>6.25E-2</v>
      </c>
      <c r="Y1248" s="35">
        <f>IF(Mecze[[#This Row],[Role]]="BR",Mecze[[#This Row],[/OB:90]]+Mecze[[#This Row],[/PC:90]],SUM(Mecze[[#This Row],[/PR:90]:[/BR:90]]))</f>
        <v>0.1875</v>
      </c>
      <c r="Z1248" s="35">
        <f>IF(Mecze[[#This Row],[KC]]=0,SUM(Mecze[[#This Row],[/BRI]:[/NPI]]),SUM(Mecze[[#This Row],[/BRI]:[/NPI]])*0.6)</f>
        <v>0.859375</v>
      </c>
      <c r="AA1248" s="10">
        <f>IFERROR(Mecze[[#This Row],[BR]]/Mecze[[#This Row],[ST]],0)</f>
        <v>0</v>
      </c>
      <c r="AB1248">
        <f>ROUND(Mecze[[#This Row],[PD]]*Mecze[[#This Row],[%PC]],0)</f>
        <v>6</v>
      </c>
      <c r="AC1248">
        <f>ROUND(Mecze[[#This Row],[OD]]*Mecze[[#This Row],[%OU]],0)</f>
        <v>3</v>
      </c>
      <c r="AD1248" s="36" t="s">
        <v>47</v>
      </c>
      <c r="AE1248" s="36">
        <v>69</v>
      </c>
      <c r="AF1248" s="71">
        <v>6.63</v>
      </c>
      <c r="AG1248" s="37">
        <v>0</v>
      </c>
      <c r="AH1248" s="37">
        <v>0</v>
      </c>
      <c r="AI1248" s="37">
        <v>96</v>
      </c>
      <c r="AJ1248" s="37">
        <v>5</v>
      </c>
      <c r="AK1248" s="37" t="str">
        <f>VLOOKUP(Mecze[[#This Row],[Match ID]],Meczusie[Mecz]:Meczusie[RodzajMeczu],2,FALSE)</f>
        <v>Liga</v>
      </c>
    </row>
    <row r="1249" spans="1:37" x14ac:dyDescent="0.25">
      <c r="A1249" s="76">
        <v>5</v>
      </c>
      <c r="B1249" s="3" t="s">
        <v>347</v>
      </c>
      <c r="C1249" s="2" t="s">
        <v>157</v>
      </c>
      <c r="D1249" s="1">
        <v>0</v>
      </c>
      <c r="E1249" s="1">
        <v>0</v>
      </c>
      <c r="F1249" s="1">
        <v>0</v>
      </c>
      <c r="G1249" s="1">
        <v>8</v>
      </c>
      <c r="H1249" s="4">
        <v>0.63</v>
      </c>
      <c r="I1249" s="1">
        <v>5</v>
      </c>
      <c r="J1249" s="4">
        <v>0.4</v>
      </c>
      <c r="K1249" s="1">
        <v>0</v>
      </c>
      <c r="L1249" s="1">
        <v>7</v>
      </c>
      <c r="M1249" s="32">
        <f>IF(Mecze[[#This Row],[PR]]=0,0,Mecze[[#This Row],[PR]]/Mecze[[#This Row],[CZAS]])</f>
        <v>7.2916666666666671E-2</v>
      </c>
      <c r="N1249" s="32">
        <f>IF(Mecze[[#This Row],[OU]]=0,0,Mecze[[#This Row],[OU]]/Mecze[[#This Row],[CZAS]])</f>
        <v>2.0833333333333332E-2</v>
      </c>
      <c r="O1249" s="32">
        <f>IF(Mecze[[#This Row],[PC]]=0,0,Mecze[[#This Row],[PC]]/Mecze[[#This Row],[CZAS]])</f>
        <v>5.2083333333333336E-2</v>
      </c>
      <c r="P1249" s="32">
        <f>IF(Mecze[[#This Row],[SC]]=0,0,Mecze[[#This Row],[SC]]/Mecze[[#This Row],[CZAS]])</f>
        <v>0</v>
      </c>
      <c r="Q1249" s="32">
        <f>IF(Mecze[[#This Row],[OB]]=0,0,Mecze[[#This Row],[OB]]/Mecze[[#This Row],[CZAS]])</f>
        <v>0</v>
      </c>
      <c r="R1249" s="32">
        <f>IF(Mecze[[#This Row],[BR]]=0,0,Mecze[[#This Row],[BR]]/Mecze[[#This Row],[CZAS]])</f>
        <v>0</v>
      </c>
      <c r="S1249" s="44">
        <f>IF(Mecze[[#This Row],[Role]]="BR",SUMPRODUCT(Mecze[[#This Row],[/PR:90]:[/BR:90]],Brudnopis!$E$23:$J$23),0)</f>
        <v>0</v>
      </c>
      <c r="T1249" s="44">
        <f>IF(Mecze[[#This Row],[Role]]&lt;&gt;"BR",SUMPRODUCT(Mecze[[#This Row],[/PR:90]:[/BR:90]],Brudnopis!$E$24:$J$24),0)</f>
        <v>0.15625</v>
      </c>
      <c r="U1249" s="44">
        <f>IF(Mecze[[#This Row],[Role]]&lt;&gt;"BR",SUMPRODUCT(Mecze[[#This Row],[/PR:90]:[/BR:90]],Brudnopis!$E$25:$J$25),0)</f>
        <v>0.171875</v>
      </c>
      <c r="V1249" s="44">
        <f>IF(Mecze[[#This Row],[Role]]&lt;&gt;"BR",SUMPRODUCT(Mecze[[#This Row],[/PR:90]:[/BR:90]],Brudnopis!$E$26:$J$26),0)</f>
        <v>0.14583333333333334</v>
      </c>
      <c r="W1249" s="44">
        <f>IF(Mecze[[#This Row],[Role]]&lt;&gt;"BR",SUMPRODUCT(Mecze[[#This Row],[/PR:90]:[/BR:90]],Brudnopis!$E$27:$J$27),0)</f>
        <v>0.1484375</v>
      </c>
      <c r="X1249" s="44">
        <f>IF(Mecze[[#This Row],[Role]]&lt;&gt;"BR",SUMPRODUCT(Mecze[[#This Row],[/PR:90]:[/BR:90]],Brudnopis!$E$28:$J$28),0)</f>
        <v>5.2083333333333336E-2</v>
      </c>
      <c r="Y1249" s="35">
        <f>IF(Mecze[[#This Row],[Role]]="BR",Mecze[[#This Row],[/OB:90]]+Mecze[[#This Row],[/PC:90]],SUM(Mecze[[#This Row],[/PR:90]:[/BR:90]]))</f>
        <v>0.14583333333333334</v>
      </c>
      <c r="Z1249" s="35">
        <f>IF(Mecze[[#This Row],[KC]]=0,SUM(Mecze[[#This Row],[/BRI]:[/NPI]]),SUM(Mecze[[#This Row],[/BRI]:[/NPI]])*0.6)</f>
        <v>0.67447916666666674</v>
      </c>
      <c r="AA1249" s="10">
        <f>IFERROR(Mecze[[#This Row],[BR]]/Mecze[[#This Row],[ST]],0)</f>
        <v>0</v>
      </c>
      <c r="AB1249">
        <f>ROUND(Mecze[[#This Row],[PD]]*Mecze[[#This Row],[%PC]],0)</f>
        <v>5</v>
      </c>
      <c r="AC1249">
        <f>ROUND(Mecze[[#This Row],[OD]]*Mecze[[#This Row],[%OU]],0)</f>
        <v>2</v>
      </c>
      <c r="AD1249" s="36" t="s">
        <v>175</v>
      </c>
      <c r="AE1249" s="36">
        <v>69</v>
      </c>
      <c r="AF1249" s="71">
        <v>1.95</v>
      </c>
      <c r="AG1249" s="37">
        <v>1</v>
      </c>
      <c r="AH1249" s="37">
        <v>0</v>
      </c>
      <c r="AI1249" s="37">
        <v>96</v>
      </c>
      <c r="AJ1249" s="37">
        <v>5</v>
      </c>
      <c r="AK1249" s="37" t="str">
        <f>VLOOKUP(Mecze[[#This Row],[Match ID]],Meczusie[Mecz]:Meczusie[RodzajMeczu],2,FALSE)</f>
        <v>Liga</v>
      </c>
    </row>
    <row r="1250" spans="1:37" x14ac:dyDescent="0.25">
      <c r="A1250" s="76">
        <v>3</v>
      </c>
      <c r="B1250" s="3" t="s">
        <v>348</v>
      </c>
      <c r="C1250" s="2" t="s">
        <v>157</v>
      </c>
      <c r="D1250" s="1">
        <v>0</v>
      </c>
      <c r="E1250" s="1">
        <v>0</v>
      </c>
      <c r="F1250" s="1">
        <v>0</v>
      </c>
      <c r="G1250" s="1">
        <v>2</v>
      </c>
      <c r="H1250" s="4">
        <v>0</v>
      </c>
      <c r="I1250" s="1">
        <v>1</v>
      </c>
      <c r="J1250" s="4">
        <v>0</v>
      </c>
      <c r="K1250" s="1">
        <v>0</v>
      </c>
      <c r="L1250" s="1">
        <v>0</v>
      </c>
      <c r="M1250" s="32">
        <f>IF(Mecze[[#This Row],[PR]]=0,0,Mecze[[#This Row],[PR]]/Mecze[[#This Row],[CZAS]])</f>
        <v>0</v>
      </c>
      <c r="N1250" s="32">
        <f>IF(Mecze[[#This Row],[OU]]=0,0,Mecze[[#This Row],[OU]]/Mecze[[#This Row],[CZAS]])</f>
        <v>0</v>
      </c>
      <c r="O1250" s="32">
        <f>IF(Mecze[[#This Row],[PC]]=0,0,Mecze[[#This Row],[PC]]/Mecze[[#This Row],[CZAS]])</f>
        <v>0</v>
      </c>
      <c r="P1250" s="32">
        <f>IF(Mecze[[#This Row],[SC]]=0,0,Mecze[[#This Row],[SC]]/Mecze[[#This Row],[CZAS]])</f>
        <v>0</v>
      </c>
      <c r="Q1250" s="32">
        <f>IF(Mecze[[#This Row],[OB]]=0,0,Mecze[[#This Row],[OB]]/Mecze[[#This Row],[CZAS]])</f>
        <v>0</v>
      </c>
      <c r="R1250" s="32">
        <f>IF(Mecze[[#This Row],[BR]]=0,0,Mecze[[#This Row],[BR]]/Mecze[[#This Row],[CZAS]])</f>
        <v>0</v>
      </c>
      <c r="S1250" s="44">
        <f>IF(Mecze[[#This Row],[Role]]="BR",SUMPRODUCT(Mecze[[#This Row],[/PR:90]:[/BR:90]],Brudnopis!$E$23:$J$23),0)</f>
        <v>0</v>
      </c>
      <c r="T1250" s="44">
        <f>IF(Mecze[[#This Row],[Role]]&lt;&gt;"BR",SUMPRODUCT(Mecze[[#This Row],[/PR:90]:[/BR:90]],Brudnopis!$E$24:$J$24),0)</f>
        <v>0</v>
      </c>
      <c r="U1250" s="44">
        <f>IF(Mecze[[#This Row],[Role]]&lt;&gt;"BR",SUMPRODUCT(Mecze[[#This Row],[/PR:90]:[/BR:90]],Brudnopis!$E$25:$J$25),0)</f>
        <v>0</v>
      </c>
      <c r="V1250" s="44">
        <f>IF(Mecze[[#This Row],[Role]]&lt;&gt;"BR",SUMPRODUCT(Mecze[[#This Row],[/PR:90]:[/BR:90]],Brudnopis!$E$26:$J$26),0)</f>
        <v>0</v>
      </c>
      <c r="W1250" s="44">
        <f>IF(Mecze[[#This Row],[Role]]&lt;&gt;"BR",SUMPRODUCT(Mecze[[#This Row],[/PR:90]:[/BR:90]],Brudnopis!$E$27:$J$27),0)</f>
        <v>0</v>
      </c>
      <c r="X1250" s="44">
        <f>IF(Mecze[[#This Row],[Role]]&lt;&gt;"BR",SUMPRODUCT(Mecze[[#This Row],[/PR:90]:[/BR:90]],Brudnopis!$E$28:$J$28),0)</f>
        <v>0</v>
      </c>
      <c r="Y1250" s="35">
        <f>IF(Mecze[[#This Row],[Role]]="BR",Mecze[[#This Row],[/OB:90]]+Mecze[[#This Row],[/PC:90]],SUM(Mecze[[#This Row],[/PR:90]:[/BR:90]]))</f>
        <v>0</v>
      </c>
      <c r="Z1250" s="35">
        <f>IF(Mecze[[#This Row],[KC]]=0,SUM(Mecze[[#This Row],[/BRI]:[/NPI]]),SUM(Mecze[[#This Row],[/BRI]:[/NPI]])*0.6)</f>
        <v>0</v>
      </c>
      <c r="AA1250" s="10">
        <f>IFERROR(Mecze[[#This Row],[BR]]/Mecze[[#This Row],[ST]],0)</f>
        <v>0</v>
      </c>
      <c r="AB1250">
        <f>ROUND(Mecze[[#This Row],[PD]]*Mecze[[#This Row],[%PC]],0)</f>
        <v>0</v>
      </c>
      <c r="AC1250">
        <f>ROUND(Mecze[[#This Row],[OD]]*Mecze[[#This Row],[%OU]],0)</f>
        <v>0</v>
      </c>
      <c r="AD1250" s="36" t="s">
        <v>174</v>
      </c>
      <c r="AE1250" s="36">
        <v>69</v>
      </c>
      <c r="AF1250" s="71">
        <v>1.59</v>
      </c>
      <c r="AG1250" s="37">
        <v>0</v>
      </c>
      <c r="AH1250" s="37">
        <v>0</v>
      </c>
      <c r="AI1250" s="37">
        <v>96</v>
      </c>
      <c r="AJ1250" s="37">
        <v>5</v>
      </c>
      <c r="AK1250" s="37" t="str">
        <f>VLOOKUP(Mecze[[#This Row],[Match ID]],Meczusie[Mecz]:Meczusie[RodzajMeczu],2,FALSE)</f>
        <v>Liga</v>
      </c>
    </row>
    <row r="1251" spans="1:37" x14ac:dyDescent="0.25">
      <c r="A1251" s="76">
        <v>6</v>
      </c>
      <c r="B1251" s="3" t="s">
        <v>349</v>
      </c>
      <c r="C1251" s="2" t="s">
        <v>160</v>
      </c>
      <c r="D1251" s="1">
        <v>0</v>
      </c>
      <c r="E1251" s="1">
        <v>0</v>
      </c>
      <c r="F1251" s="1">
        <v>0</v>
      </c>
      <c r="G1251" s="1">
        <v>11</v>
      </c>
      <c r="H1251" s="4">
        <v>0.73</v>
      </c>
      <c r="I1251" s="1">
        <v>9</v>
      </c>
      <c r="J1251" s="4">
        <v>0.44</v>
      </c>
      <c r="K1251" s="1">
        <v>0</v>
      </c>
      <c r="L1251" s="1">
        <v>3</v>
      </c>
      <c r="M1251" s="32">
        <f>IF(Mecze[[#This Row],[PR]]=0,0,Mecze[[#This Row],[PR]]/Mecze[[#This Row],[CZAS]])</f>
        <v>3.125E-2</v>
      </c>
      <c r="N1251" s="32">
        <f>IF(Mecze[[#This Row],[OU]]=0,0,Mecze[[#This Row],[OU]]/Mecze[[#This Row],[CZAS]])</f>
        <v>4.1666666666666664E-2</v>
      </c>
      <c r="O1251" s="32">
        <f>IF(Mecze[[#This Row],[PC]]=0,0,Mecze[[#This Row],[PC]]/Mecze[[#This Row],[CZAS]])</f>
        <v>8.3333333333333329E-2</v>
      </c>
      <c r="P1251" s="32">
        <f>IF(Mecze[[#This Row],[SC]]=0,0,Mecze[[#This Row],[SC]]/Mecze[[#This Row],[CZAS]])</f>
        <v>0</v>
      </c>
      <c r="Q1251" s="32">
        <f>IF(Mecze[[#This Row],[OB]]=0,0,Mecze[[#This Row],[OB]]/Mecze[[#This Row],[CZAS]])</f>
        <v>0</v>
      </c>
      <c r="R1251" s="32">
        <f>IF(Mecze[[#This Row],[BR]]=0,0,Mecze[[#This Row],[BR]]/Mecze[[#This Row],[CZAS]])</f>
        <v>0</v>
      </c>
      <c r="S1251" s="44">
        <f>IF(Mecze[[#This Row],[Role]]="BR",SUMPRODUCT(Mecze[[#This Row],[/PR:90]:[/BR:90]],Brudnopis!$E$23:$J$23),0)</f>
        <v>0</v>
      </c>
      <c r="T1251" s="44">
        <f>IF(Mecze[[#This Row],[Role]]&lt;&gt;"BR",SUMPRODUCT(Mecze[[#This Row],[/PR:90]:[/BR:90]],Brudnopis!$E$24:$J$24),0)</f>
        <v>0.17708333333333331</v>
      </c>
      <c r="U1251" s="44">
        <f>IF(Mecze[[#This Row],[Role]]&lt;&gt;"BR",SUMPRODUCT(Mecze[[#This Row],[/PR:90]:[/BR:90]],Brudnopis!$E$25:$J$25),0)</f>
        <v>0.19791666666666666</v>
      </c>
      <c r="V1251" s="44">
        <f>IF(Mecze[[#This Row],[Role]]&lt;&gt;"BR",SUMPRODUCT(Mecze[[#This Row],[/PR:90]:[/BR:90]],Brudnopis!$E$26:$J$26),0)</f>
        <v>0.15625</v>
      </c>
      <c r="W1251" s="44">
        <f>IF(Mecze[[#This Row],[Role]]&lt;&gt;"BR",SUMPRODUCT(Mecze[[#This Row],[/PR:90]:[/BR:90]],Brudnopis!$E$27:$J$27),0)</f>
        <v>0.1796875</v>
      </c>
      <c r="X1251" s="44">
        <f>IF(Mecze[[#This Row],[Role]]&lt;&gt;"BR",SUMPRODUCT(Mecze[[#This Row],[/PR:90]:[/BR:90]],Brudnopis!$E$28:$J$28),0)</f>
        <v>8.3333333333333329E-2</v>
      </c>
      <c r="Y1251" s="35">
        <f>IF(Mecze[[#This Row],[Role]]="BR",Mecze[[#This Row],[/OB:90]]+Mecze[[#This Row],[/PC:90]],SUM(Mecze[[#This Row],[/PR:90]:[/BR:90]]))</f>
        <v>0.15625</v>
      </c>
      <c r="Z1251" s="35">
        <f>IF(Mecze[[#This Row],[KC]]=0,SUM(Mecze[[#This Row],[/BRI]:[/NPI]]),SUM(Mecze[[#This Row],[/BRI]:[/NPI]])*0.6)</f>
        <v>0.79427083333333337</v>
      </c>
      <c r="AA1251" s="10">
        <f>IFERROR(Mecze[[#This Row],[BR]]/Mecze[[#This Row],[ST]],0)</f>
        <v>0</v>
      </c>
      <c r="AB1251">
        <f>ROUND(Mecze[[#This Row],[PD]]*Mecze[[#This Row],[%PC]],0)</f>
        <v>8</v>
      </c>
      <c r="AC1251">
        <f>ROUND(Mecze[[#This Row],[OD]]*Mecze[[#This Row],[%OU]],0)</f>
        <v>4</v>
      </c>
      <c r="AD1251" s="36" t="s">
        <v>41</v>
      </c>
      <c r="AE1251" s="36">
        <v>69</v>
      </c>
      <c r="AF1251" s="71">
        <v>4.54</v>
      </c>
      <c r="AG1251" s="37">
        <v>0</v>
      </c>
      <c r="AH1251" s="37">
        <v>0</v>
      </c>
      <c r="AI1251" s="37">
        <v>96</v>
      </c>
      <c r="AJ1251" s="37">
        <v>5</v>
      </c>
      <c r="AK1251" s="37" t="str">
        <f>VLOOKUP(Mecze[[#This Row],[Match ID]],Meczusie[Mecz]:Meczusie[RodzajMeczu],2,FALSE)</f>
        <v>Liga</v>
      </c>
    </row>
    <row r="1252" spans="1:37" x14ac:dyDescent="0.25">
      <c r="A1252" s="76">
        <v>7</v>
      </c>
      <c r="B1252" s="3" t="s">
        <v>350</v>
      </c>
      <c r="C1252" s="2" t="s">
        <v>160</v>
      </c>
      <c r="D1252" s="1">
        <v>0</v>
      </c>
      <c r="E1252" s="1">
        <v>0</v>
      </c>
      <c r="F1252" s="1">
        <v>0</v>
      </c>
      <c r="G1252" s="1">
        <v>15</v>
      </c>
      <c r="H1252" s="4">
        <v>0.73</v>
      </c>
      <c r="I1252" s="1">
        <v>11</v>
      </c>
      <c r="J1252" s="4">
        <v>0.64</v>
      </c>
      <c r="K1252" s="1">
        <v>0</v>
      </c>
      <c r="L1252" s="1">
        <v>6</v>
      </c>
      <c r="M1252" s="32">
        <f>IF(Mecze[[#This Row],[PR]]=0,0,Mecze[[#This Row],[PR]]/Mecze[[#This Row],[CZAS]])</f>
        <v>6.25E-2</v>
      </c>
      <c r="N1252" s="32">
        <f>IF(Mecze[[#This Row],[OU]]=0,0,Mecze[[#This Row],[OU]]/Mecze[[#This Row],[CZAS]])</f>
        <v>7.2916666666666671E-2</v>
      </c>
      <c r="O1252" s="32">
        <f>IF(Mecze[[#This Row],[PC]]=0,0,Mecze[[#This Row],[PC]]/Mecze[[#This Row],[CZAS]])</f>
        <v>0.11458333333333333</v>
      </c>
      <c r="P1252" s="32">
        <f>IF(Mecze[[#This Row],[SC]]=0,0,Mecze[[#This Row],[SC]]/Mecze[[#This Row],[CZAS]])</f>
        <v>0</v>
      </c>
      <c r="Q1252" s="32">
        <f>IF(Mecze[[#This Row],[OB]]=0,0,Mecze[[#This Row],[OB]]/Mecze[[#This Row],[CZAS]])</f>
        <v>0</v>
      </c>
      <c r="R1252" s="32">
        <f>IF(Mecze[[#This Row],[BR]]=0,0,Mecze[[#This Row],[BR]]/Mecze[[#This Row],[CZAS]])</f>
        <v>0</v>
      </c>
      <c r="S1252" s="44">
        <f>IF(Mecze[[#This Row],[Role]]="BR",SUMPRODUCT(Mecze[[#This Row],[/PR:90]:[/BR:90]],Brudnopis!$E$23:$J$23),0)</f>
        <v>0</v>
      </c>
      <c r="T1252" s="44">
        <f>IF(Mecze[[#This Row],[Role]]&lt;&gt;"BR",SUMPRODUCT(Mecze[[#This Row],[/PR:90]:[/BR:90]],Brudnopis!$E$24:$J$24),0)</f>
        <v>0.28645833333333331</v>
      </c>
      <c r="U1252" s="44">
        <f>IF(Mecze[[#This Row],[Role]]&lt;&gt;"BR",SUMPRODUCT(Mecze[[#This Row],[/PR:90]:[/BR:90]],Brudnopis!$E$25:$J$25),0)</f>
        <v>0.30729166666666669</v>
      </c>
      <c r="V1252" s="44">
        <f>IF(Mecze[[#This Row],[Role]]&lt;&gt;"BR",SUMPRODUCT(Mecze[[#This Row],[/PR:90]:[/BR:90]],Brudnopis!$E$26:$J$26),0)</f>
        <v>0.25</v>
      </c>
      <c r="W1252" s="44">
        <f>IF(Mecze[[#This Row],[Role]]&lt;&gt;"BR",SUMPRODUCT(Mecze[[#This Row],[/PR:90]:[/BR:90]],Brudnopis!$E$27:$J$27),0)</f>
        <v>0.2734375</v>
      </c>
      <c r="X1252" s="44">
        <f>IF(Mecze[[#This Row],[Role]]&lt;&gt;"BR",SUMPRODUCT(Mecze[[#This Row],[/PR:90]:[/BR:90]],Brudnopis!$E$28:$J$28),0)</f>
        <v>0.11458333333333333</v>
      </c>
      <c r="Y1252" s="35">
        <f>IF(Mecze[[#This Row],[Role]]="BR",Mecze[[#This Row],[/OB:90]]+Mecze[[#This Row],[/PC:90]],SUM(Mecze[[#This Row],[/PR:90]:[/BR:90]]))</f>
        <v>0.25</v>
      </c>
      <c r="Z1252" s="35">
        <f>IF(Mecze[[#This Row],[KC]]=0,SUM(Mecze[[#This Row],[/BRI]:[/NPI]]),SUM(Mecze[[#This Row],[/BRI]:[/NPI]])*0.6)</f>
        <v>1.2317708333333333</v>
      </c>
      <c r="AA1252" s="10">
        <f>IFERROR(Mecze[[#This Row],[BR]]/Mecze[[#This Row],[ST]],0)</f>
        <v>0</v>
      </c>
      <c r="AB1252">
        <f>ROUND(Mecze[[#This Row],[PD]]*Mecze[[#This Row],[%PC]],0)</f>
        <v>11</v>
      </c>
      <c r="AC1252">
        <f>ROUND(Mecze[[#This Row],[OD]]*Mecze[[#This Row],[%OU]],0)</f>
        <v>7</v>
      </c>
      <c r="AD1252" s="36" t="s">
        <v>67</v>
      </c>
      <c r="AE1252" s="36">
        <v>69</v>
      </c>
      <c r="AF1252" s="71">
        <v>4.0599999999999996</v>
      </c>
      <c r="AG1252" s="37">
        <v>1</v>
      </c>
      <c r="AH1252" s="37">
        <v>0</v>
      </c>
      <c r="AI1252" s="37">
        <v>96</v>
      </c>
      <c r="AJ1252" s="37">
        <v>5</v>
      </c>
      <c r="AK1252" s="37" t="str">
        <f>VLOOKUP(Mecze[[#This Row],[Match ID]],Meczusie[Mecz]:Meczusie[RodzajMeczu],2,FALSE)</f>
        <v>Liga</v>
      </c>
    </row>
    <row r="1253" spans="1:37" x14ac:dyDescent="0.25">
      <c r="A1253" s="76">
        <v>10</v>
      </c>
      <c r="B1253" s="3" t="s">
        <v>352</v>
      </c>
      <c r="C1253" s="2" t="s">
        <v>160</v>
      </c>
      <c r="D1253" s="1">
        <v>0</v>
      </c>
      <c r="E1253" s="1">
        <v>1</v>
      </c>
      <c r="F1253" s="1">
        <v>1</v>
      </c>
      <c r="G1253" s="1">
        <v>15</v>
      </c>
      <c r="H1253" s="4">
        <v>0.73</v>
      </c>
      <c r="I1253" s="1">
        <v>4</v>
      </c>
      <c r="J1253" s="4">
        <v>1</v>
      </c>
      <c r="K1253" s="1">
        <v>0</v>
      </c>
      <c r="L1253" s="1">
        <v>2</v>
      </c>
      <c r="M1253" s="32">
        <f>IF(Mecze[[#This Row],[PR]]=0,0,Mecze[[#This Row],[PR]]/Mecze[[#This Row],[CZAS]])</f>
        <v>2.0833333333333332E-2</v>
      </c>
      <c r="N1253" s="32">
        <f>IF(Mecze[[#This Row],[OU]]=0,0,Mecze[[#This Row],[OU]]/Mecze[[#This Row],[CZAS]])</f>
        <v>4.1666666666666664E-2</v>
      </c>
      <c r="O1253" s="32">
        <f>IF(Mecze[[#This Row],[PC]]=0,0,Mecze[[#This Row],[PC]]/Mecze[[#This Row],[CZAS]])</f>
        <v>0.11458333333333333</v>
      </c>
      <c r="P1253" s="32">
        <f>IF(Mecze[[#This Row],[SC]]=0,0,Mecze[[#This Row],[SC]]/Mecze[[#This Row],[CZAS]])</f>
        <v>1.0416666666666666E-2</v>
      </c>
      <c r="Q1253" s="32">
        <f>IF(Mecze[[#This Row],[OB]]=0,0,Mecze[[#This Row],[OB]]/Mecze[[#This Row],[CZAS]])</f>
        <v>0</v>
      </c>
      <c r="R1253" s="32">
        <f>IF(Mecze[[#This Row],[BR]]=0,0,Mecze[[#This Row],[BR]]/Mecze[[#This Row],[CZAS]])</f>
        <v>0</v>
      </c>
      <c r="S1253" s="44">
        <f>IF(Mecze[[#This Row],[Role]]="BR",SUMPRODUCT(Mecze[[#This Row],[/PR:90]:[/BR:90]],Brudnopis!$E$23:$J$23),0)</f>
        <v>0</v>
      </c>
      <c r="T1253" s="44">
        <f>IF(Mecze[[#This Row],[Role]]&lt;&gt;"BR",SUMPRODUCT(Mecze[[#This Row],[/PR:90]:[/BR:90]],Brudnopis!$E$24:$J$24),0)</f>
        <v>0.20833333333333331</v>
      </c>
      <c r="U1253" s="44">
        <f>IF(Mecze[[#This Row],[Role]]&lt;&gt;"BR",SUMPRODUCT(Mecze[[#This Row],[/PR:90]:[/BR:90]],Brudnopis!$E$25:$J$25),0)</f>
        <v>0.24479166666666666</v>
      </c>
      <c r="V1253" s="44">
        <f>IF(Mecze[[#This Row],[Role]]&lt;&gt;"BR",SUMPRODUCT(Mecze[[#This Row],[/PR:90]:[/BR:90]],Brudnopis!$E$26:$J$26),0)</f>
        <v>0.18749999999999997</v>
      </c>
      <c r="W1253" s="44">
        <f>IF(Mecze[[#This Row],[Role]]&lt;&gt;"BR",SUMPRODUCT(Mecze[[#This Row],[/PR:90]:[/BR:90]],Brudnopis!$E$27:$J$27),0)</f>
        <v>0.22916666666666666</v>
      </c>
      <c r="X1253" s="44">
        <f>IF(Mecze[[#This Row],[Role]]&lt;&gt;"BR",SUMPRODUCT(Mecze[[#This Row],[/PR:90]:[/BR:90]],Brudnopis!$E$28:$J$28),0)</f>
        <v>0.13541666666666666</v>
      </c>
      <c r="Y1253" s="35">
        <f>IF(Mecze[[#This Row],[Role]]="BR",Mecze[[#This Row],[/OB:90]]+Mecze[[#This Row],[/PC:90]],SUM(Mecze[[#This Row],[/PR:90]:[/BR:90]]))</f>
        <v>0.18749999999999997</v>
      </c>
      <c r="Z1253" s="35">
        <f>IF(Mecze[[#This Row],[KC]]=0,SUM(Mecze[[#This Row],[/BRI]:[/NPI]]),SUM(Mecze[[#This Row],[/BRI]:[/NPI]])*0.6)</f>
        <v>1.0052083333333333</v>
      </c>
      <c r="AA1253" s="10">
        <f>IFERROR(Mecze[[#This Row],[BR]]/Mecze[[#This Row],[ST]],0)</f>
        <v>0</v>
      </c>
      <c r="AB1253">
        <f>ROUND(Mecze[[#This Row],[PD]]*Mecze[[#This Row],[%PC]],0)</f>
        <v>11</v>
      </c>
      <c r="AC1253">
        <f>ROUND(Mecze[[#This Row],[OD]]*Mecze[[#This Row],[%OU]],0)</f>
        <v>4</v>
      </c>
      <c r="AD1253" s="36" t="s">
        <v>67</v>
      </c>
      <c r="AE1253" s="36">
        <v>69</v>
      </c>
      <c r="AF1253" s="71">
        <v>4.5599999999999996</v>
      </c>
      <c r="AG1253" s="37">
        <v>0</v>
      </c>
      <c r="AH1253" s="37">
        <v>0</v>
      </c>
      <c r="AI1253" s="37">
        <v>96</v>
      </c>
      <c r="AJ1253" s="37">
        <v>5</v>
      </c>
      <c r="AK1253" s="37" t="str">
        <f>VLOOKUP(Mecze[[#This Row],[Match ID]],Meczusie[Mecz]:Meczusie[RodzajMeczu],2,FALSE)</f>
        <v>Liga</v>
      </c>
    </row>
    <row r="1254" spans="1:37" x14ac:dyDescent="0.25">
      <c r="A1254" s="76">
        <v>11</v>
      </c>
      <c r="B1254" s="3" t="s">
        <v>353</v>
      </c>
      <c r="C1254" s="2" t="s">
        <v>165</v>
      </c>
      <c r="D1254" s="1">
        <v>1</v>
      </c>
      <c r="E1254" s="1">
        <v>4</v>
      </c>
      <c r="F1254" s="1">
        <v>4</v>
      </c>
      <c r="G1254" s="1">
        <v>12</v>
      </c>
      <c r="H1254" s="4">
        <v>0.33</v>
      </c>
      <c r="I1254" s="1">
        <v>10</v>
      </c>
      <c r="J1254" s="4">
        <v>0.5</v>
      </c>
      <c r="K1254" s="1">
        <v>0</v>
      </c>
      <c r="L1254" s="1">
        <v>0</v>
      </c>
      <c r="M1254" s="32">
        <f>IF(Mecze[[#This Row],[PR]]=0,0,Mecze[[#This Row],[PR]]/Mecze[[#This Row],[CZAS]])</f>
        <v>0</v>
      </c>
      <c r="N1254" s="32">
        <f>IF(Mecze[[#This Row],[OU]]=0,0,Mecze[[#This Row],[OU]]/Mecze[[#This Row],[CZAS]])</f>
        <v>5.2083333333333336E-2</v>
      </c>
      <c r="O1254" s="32">
        <f>IF(Mecze[[#This Row],[PC]]=0,0,Mecze[[#This Row],[PC]]/Mecze[[#This Row],[CZAS]])</f>
        <v>4.1666666666666664E-2</v>
      </c>
      <c r="P1254" s="32">
        <f>IF(Mecze[[#This Row],[SC]]=0,0,Mecze[[#This Row],[SC]]/Mecze[[#This Row],[CZAS]])</f>
        <v>4.1666666666666664E-2</v>
      </c>
      <c r="Q1254" s="32">
        <f>IF(Mecze[[#This Row],[OB]]=0,0,Mecze[[#This Row],[OB]]/Mecze[[#This Row],[CZAS]])</f>
        <v>0</v>
      </c>
      <c r="R1254" s="32">
        <f>IF(Mecze[[#This Row],[BR]]=0,0,Mecze[[#This Row],[BR]]/Mecze[[#This Row],[CZAS]])</f>
        <v>1.0416666666666666E-2</v>
      </c>
      <c r="S1254" s="44">
        <f>IF(Mecze[[#This Row],[Role]]="BR",SUMPRODUCT(Mecze[[#This Row],[/PR:90]:[/BR:90]],Brudnopis!$E$23:$J$23),0)</f>
        <v>0</v>
      </c>
      <c r="T1254" s="44">
        <f>IF(Mecze[[#This Row],[Role]]&lt;&gt;"BR",SUMPRODUCT(Mecze[[#This Row],[/PR:90]:[/BR:90]],Brudnopis!$E$24:$J$24),0)</f>
        <v>0.17708333333333331</v>
      </c>
      <c r="U1254" s="44">
        <f>IF(Mecze[[#This Row],[Role]]&lt;&gt;"BR",SUMPRODUCT(Mecze[[#This Row],[/PR:90]:[/BR:90]],Brudnopis!$E$25:$J$25),0)</f>
        <v>0.171875</v>
      </c>
      <c r="V1254" s="44">
        <f>IF(Mecze[[#This Row],[Role]]&lt;&gt;"BR",SUMPRODUCT(Mecze[[#This Row],[/PR:90]:[/BR:90]],Brudnopis!$E$26:$J$26),0)</f>
        <v>0.15625</v>
      </c>
      <c r="W1254" s="44">
        <f>IF(Mecze[[#This Row],[Role]]&lt;&gt;"BR",SUMPRODUCT(Mecze[[#This Row],[/PR:90]:[/BR:90]],Brudnopis!$E$27:$J$27),0)</f>
        <v>0.1640625</v>
      </c>
      <c r="X1254" s="44">
        <f>IF(Mecze[[#This Row],[Role]]&lt;&gt;"BR",SUMPRODUCT(Mecze[[#This Row],[/PR:90]:[/BR:90]],Brudnopis!$E$28:$J$28),0)</f>
        <v>0.15625</v>
      </c>
      <c r="Y1254" s="35">
        <f>IF(Mecze[[#This Row],[Role]]="BR",Mecze[[#This Row],[/OB:90]]+Mecze[[#This Row],[/PC:90]],SUM(Mecze[[#This Row],[/PR:90]:[/BR:90]]))</f>
        <v>0.14583333333333331</v>
      </c>
      <c r="Z1254" s="35">
        <f>IF(Mecze[[#This Row],[KC]]=0,SUM(Mecze[[#This Row],[/BRI]:[/NPI]]),SUM(Mecze[[#This Row],[/BRI]:[/NPI]])*0.6)</f>
        <v>0.82552083333333326</v>
      </c>
      <c r="AA1254" s="10">
        <f>IFERROR(Mecze[[#This Row],[BR]]/Mecze[[#This Row],[ST]],0)</f>
        <v>0.25</v>
      </c>
      <c r="AB1254">
        <f>ROUND(Mecze[[#This Row],[PD]]*Mecze[[#This Row],[%PC]],0)</f>
        <v>4</v>
      </c>
      <c r="AC1254">
        <f>ROUND(Mecze[[#This Row],[OD]]*Mecze[[#This Row],[%OU]],0)</f>
        <v>5</v>
      </c>
      <c r="AD1254" s="36" t="s">
        <v>46</v>
      </c>
      <c r="AE1254" s="36">
        <v>69</v>
      </c>
      <c r="AF1254" s="71">
        <v>5.89</v>
      </c>
      <c r="AG1254" s="37">
        <v>0</v>
      </c>
      <c r="AH1254" s="37">
        <v>0</v>
      </c>
      <c r="AI1254" s="37">
        <v>96</v>
      </c>
      <c r="AJ1254" s="37">
        <v>5</v>
      </c>
      <c r="AK1254" s="37" t="str">
        <f>VLOOKUP(Mecze[[#This Row],[Match ID]],Meczusie[Mecz]:Meczusie[RodzajMeczu],2,FALSE)</f>
        <v>Liga</v>
      </c>
    </row>
    <row r="1255" spans="1:37" x14ac:dyDescent="0.25">
      <c r="A1255" s="76">
        <v>8</v>
      </c>
      <c r="B1255" s="3" t="s">
        <v>351</v>
      </c>
      <c r="C1255" s="2" t="s">
        <v>165</v>
      </c>
      <c r="D1255" s="1">
        <v>0</v>
      </c>
      <c r="E1255" s="1">
        <v>2</v>
      </c>
      <c r="F1255" s="1">
        <v>2</v>
      </c>
      <c r="G1255" s="1">
        <v>6</v>
      </c>
      <c r="H1255" s="4">
        <v>0.33</v>
      </c>
      <c r="I1255" s="1">
        <v>5</v>
      </c>
      <c r="J1255" s="4">
        <v>0.2</v>
      </c>
      <c r="K1255" s="1">
        <v>0</v>
      </c>
      <c r="L1255" s="1">
        <v>0</v>
      </c>
      <c r="M1255" s="32">
        <f>IF(Mecze[[#This Row],[PR]]=0,0,Mecze[[#This Row],[PR]]/Mecze[[#This Row],[CZAS]])</f>
        <v>0</v>
      </c>
      <c r="N1255" s="32">
        <f>IF(Mecze[[#This Row],[OU]]=0,0,Mecze[[#This Row],[OU]]/Mecze[[#This Row],[CZAS]])</f>
        <v>1.0416666666666666E-2</v>
      </c>
      <c r="O1255" s="32">
        <f>IF(Mecze[[#This Row],[PC]]=0,0,Mecze[[#This Row],[PC]]/Mecze[[#This Row],[CZAS]])</f>
        <v>2.0833333333333332E-2</v>
      </c>
      <c r="P1255" s="32">
        <f>IF(Mecze[[#This Row],[SC]]=0,0,Mecze[[#This Row],[SC]]/Mecze[[#This Row],[CZAS]])</f>
        <v>2.0833333333333332E-2</v>
      </c>
      <c r="Q1255" s="32">
        <f>IF(Mecze[[#This Row],[OB]]=0,0,Mecze[[#This Row],[OB]]/Mecze[[#This Row],[CZAS]])</f>
        <v>0</v>
      </c>
      <c r="R1255" s="32">
        <f>IF(Mecze[[#This Row],[BR]]=0,0,Mecze[[#This Row],[BR]]/Mecze[[#This Row],[CZAS]])</f>
        <v>0</v>
      </c>
      <c r="S1255" s="44">
        <f>IF(Mecze[[#This Row],[Role]]="BR",SUMPRODUCT(Mecze[[#This Row],[/PR:90]:[/BR:90]],Brudnopis!$E$23:$J$23),0)</f>
        <v>0</v>
      </c>
      <c r="T1255" s="44">
        <f>IF(Mecze[[#This Row],[Role]]&lt;&gt;"BR",SUMPRODUCT(Mecze[[#This Row],[/PR:90]:[/BR:90]],Brudnopis!$E$24:$J$24),0)</f>
        <v>5.7291666666666657E-2</v>
      </c>
      <c r="U1255" s="44">
        <f>IF(Mecze[[#This Row],[Role]]&lt;&gt;"BR",SUMPRODUCT(Mecze[[#This Row],[/PR:90]:[/BR:90]],Brudnopis!$E$25:$J$25),0)</f>
        <v>6.25E-2</v>
      </c>
      <c r="V1255" s="44">
        <f>IF(Mecze[[#This Row],[Role]]&lt;&gt;"BR",SUMPRODUCT(Mecze[[#This Row],[/PR:90]:[/BR:90]],Brudnopis!$E$26:$J$26),0)</f>
        <v>5.2083333333333329E-2</v>
      </c>
      <c r="W1255" s="44">
        <f>IF(Mecze[[#This Row],[Role]]&lt;&gt;"BR",SUMPRODUCT(Mecze[[#This Row],[/PR:90]:[/BR:90]],Brudnopis!$E$27:$J$27),0)</f>
        <v>5.9895833333333329E-2</v>
      </c>
      <c r="X1255" s="44">
        <f>IF(Mecze[[#This Row],[Role]]&lt;&gt;"BR",SUMPRODUCT(Mecze[[#This Row],[/PR:90]:[/BR:90]],Brudnopis!$E$28:$J$28),0)</f>
        <v>6.25E-2</v>
      </c>
      <c r="Y1255" s="35">
        <f>IF(Mecze[[#This Row],[Role]]="BR",Mecze[[#This Row],[/OB:90]]+Mecze[[#This Row],[/PC:90]],SUM(Mecze[[#This Row],[/PR:90]:[/BR:90]]))</f>
        <v>5.2083333333333329E-2</v>
      </c>
      <c r="Z1255" s="35">
        <f>IF(Mecze[[#This Row],[KC]]=0,SUM(Mecze[[#This Row],[/BRI]:[/NPI]]),SUM(Mecze[[#This Row],[/BRI]:[/NPI]])*0.6)</f>
        <v>0.29427083333333331</v>
      </c>
      <c r="AA1255" s="10">
        <f>IFERROR(Mecze[[#This Row],[BR]]/Mecze[[#This Row],[ST]],0)</f>
        <v>0</v>
      </c>
      <c r="AB1255">
        <f>ROUND(Mecze[[#This Row],[PD]]*Mecze[[#This Row],[%PC]],0)</f>
        <v>2</v>
      </c>
      <c r="AC1255">
        <f>ROUND(Mecze[[#This Row],[OD]]*Mecze[[#This Row],[%OU]],0)</f>
        <v>1</v>
      </c>
      <c r="AD1255" s="36" t="s">
        <v>272</v>
      </c>
      <c r="AE1255" s="36">
        <v>69</v>
      </c>
      <c r="AF1255" s="71">
        <v>3.15</v>
      </c>
      <c r="AG1255" s="37">
        <v>0</v>
      </c>
      <c r="AH1255" s="37">
        <v>0</v>
      </c>
      <c r="AI1255" s="37">
        <v>96</v>
      </c>
      <c r="AJ1255" s="37">
        <v>5</v>
      </c>
      <c r="AK1255" s="37" t="str">
        <f>VLOOKUP(Mecze[[#This Row],[Match ID]],Meczusie[Mecz]:Meczusie[RodzajMeczu],2,FALSE)</f>
        <v>Liga</v>
      </c>
    </row>
    <row r="1256" spans="1:37" x14ac:dyDescent="0.25">
      <c r="A1256" s="76">
        <v>9</v>
      </c>
      <c r="B1256" s="3" t="s">
        <v>354</v>
      </c>
      <c r="C1256" s="2" t="s">
        <v>165</v>
      </c>
      <c r="D1256" s="1">
        <v>1</v>
      </c>
      <c r="E1256" s="1">
        <v>2</v>
      </c>
      <c r="F1256" s="1">
        <v>2</v>
      </c>
      <c r="G1256" s="1">
        <v>7</v>
      </c>
      <c r="H1256" s="4">
        <v>0.71</v>
      </c>
      <c r="I1256" s="1">
        <v>4</v>
      </c>
      <c r="J1256" s="4">
        <v>0.25</v>
      </c>
      <c r="K1256" s="1">
        <v>0</v>
      </c>
      <c r="L1256" s="1">
        <v>0</v>
      </c>
      <c r="M1256" s="32">
        <f>IF(Mecze[[#This Row],[PR]]=0,0,Mecze[[#This Row],[PR]]/Mecze[[#This Row],[CZAS]])</f>
        <v>0</v>
      </c>
      <c r="N1256" s="32">
        <f>IF(Mecze[[#This Row],[OU]]=0,0,Mecze[[#This Row],[OU]]/Mecze[[#This Row],[CZAS]])</f>
        <v>1.0416666666666666E-2</v>
      </c>
      <c r="O1256" s="32">
        <f>IF(Mecze[[#This Row],[PC]]=0,0,Mecze[[#This Row],[PC]]/Mecze[[#This Row],[CZAS]])</f>
        <v>5.2083333333333336E-2</v>
      </c>
      <c r="P1256" s="32">
        <f>IF(Mecze[[#This Row],[SC]]=0,0,Mecze[[#This Row],[SC]]/Mecze[[#This Row],[CZAS]])</f>
        <v>2.0833333333333332E-2</v>
      </c>
      <c r="Q1256" s="32">
        <f>IF(Mecze[[#This Row],[OB]]=0,0,Mecze[[#This Row],[OB]]/Mecze[[#This Row],[CZAS]])</f>
        <v>0</v>
      </c>
      <c r="R1256" s="32">
        <f>IF(Mecze[[#This Row],[BR]]=0,0,Mecze[[#This Row],[BR]]/Mecze[[#This Row],[CZAS]])</f>
        <v>1.0416666666666666E-2</v>
      </c>
      <c r="S1256" s="44">
        <f>IF(Mecze[[#This Row],[Role]]="BR",SUMPRODUCT(Mecze[[#This Row],[/PR:90]:[/BR:90]],Brudnopis!$E$23:$J$23),0)</f>
        <v>0</v>
      </c>
      <c r="T1256" s="44">
        <f>IF(Mecze[[#This Row],[Role]]&lt;&gt;"BR",SUMPRODUCT(Mecze[[#This Row],[/PR:90]:[/BR:90]],Brudnopis!$E$24:$J$24),0)</f>
        <v>0.10416666666666667</v>
      </c>
      <c r="U1256" s="44">
        <f>IF(Mecze[[#This Row],[Role]]&lt;&gt;"BR",SUMPRODUCT(Mecze[[#This Row],[/PR:90]:[/BR:90]],Brudnopis!$E$25:$J$25),0)</f>
        <v>0.125</v>
      </c>
      <c r="V1256" s="44">
        <f>IF(Mecze[[#This Row],[Role]]&lt;&gt;"BR",SUMPRODUCT(Mecze[[#This Row],[/PR:90]:[/BR:90]],Brudnopis!$E$26:$J$26),0)</f>
        <v>0.10416666666666666</v>
      </c>
      <c r="W1256" s="44">
        <f>IF(Mecze[[#This Row],[Role]]&lt;&gt;"BR",SUMPRODUCT(Mecze[[#This Row],[/PR:90]:[/BR:90]],Brudnopis!$E$27:$J$27),0)</f>
        <v>0.12760416666666666</v>
      </c>
      <c r="X1256" s="44">
        <f>IF(Mecze[[#This Row],[Role]]&lt;&gt;"BR",SUMPRODUCT(Mecze[[#This Row],[/PR:90]:[/BR:90]],Brudnopis!$E$28:$J$28),0)</f>
        <v>0.125</v>
      </c>
      <c r="Y1256" s="35">
        <f>IF(Mecze[[#This Row],[Role]]="BR",Mecze[[#This Row],[/OB:90]]+Mecze[[#This Row],[/PC:90]],SUM(Mecze[[#This Row],[/PR:90]:[/BR:90]]))</f>
        <v>9.375E-2</v>
      </c>
      <c r="Z1256" s="35">
        <f>IF(Mecze[[#This Row],[KC]]=0,SUM(Mecze[[#This Row],[/BRI]:[/NPI]]),SUM(Mecze[[#This Row],[/BRI]:[/NPI]])*0.6)</f>
        <v>0.5859375</v>
      </c>
      <c r="AA1256" s="10">
        <f>IFERROR(Mecze[[#This Row],[BR]]/Mecze[[#This Row],[ST]],0)</f>
        <v>0.5</v>
      </c>
      <c r="AB1256">
        <f>ROUND(Mecze[[#This Row],[PD]]*Mecze[[#This Row],[%PC]],0)</f>
        <v>5</v>
      </c>
      <c r="AC1256">
        <f>ROUND(Mecze[[#This Row],[OD]]*Mecze[[#This Row],[%OU]],0)</f>
        <v>1</v>
      </c>
      <c r="AD1256" s="36" t="s">
        <v>273</v>
      </c>
      <c r="AE1256" s="36">
        <v>69</v>
      </c>
      <c r="AF1256" s="71">
        <v>6.78</v>
      </c>
      <c r="AG1256" s="37">
        <v>0</v>
      </c>
      <c r="AH1256" s="37">
        <v>0</v>
      </c>
      <c r="AI1256" s="37">
        <v>96</v>
      </c>
      <c r="AJ1256" s="37">
        <v>5</v>
      </c>
      <c r="AK1256" s="37" t="str">
        <f>VLOOKUP(Mecze[[#This Row],[Match ID]],Meczusie[Mecz]:Meczusie[RodzajMeczu],2,FALSE)</f>
        <v>Liga</v>
      </c>
    </row>
    <row r="1257" spans="1:37" x14ac:dyDescent="0.25">
      <c r="A1257" s="76">
        <v>1</v>
      </c>
      <c r="B1257" s="3" t="s">
        <v>274</v>
      </c>
      <c r="C1257" s="2" t="s">
        <v>155</v>
      </c>
      <c r="D1257" s="1">
        <v>0</v>
      </c>
      <c r="E1257" s="1">
        <v>0</v>
      </c>
      <c r="F1257" s="1">
        <v>0</v>
      </c>
      <c r="G1257" s="1">
        <v>7</v>
      </c>
      <c r="H1257" s="4">
        <v>0.43</v>
      </c>
      <c r="I1257" s="1">
        <v>0</v>
      </c>
      <c r="J1257" s="4"/>
      <c r="K1257" s="1">
        <v>7</v>
      </c>
      <c r="L1257" s="1">
        <v>0</v>
      </c>
      <c r="M1257" s="32">
        <f>IF(Mecze[[#This Row],[PR]]=0,0,Mecze[[#This Row],[PR]]/Mecze[[#This Row],[CZAS]])</f>
        <v>0</v>
      </c>
      <c r="N1257" s="32">
        <f>IF(Mecze[[#This Row],[OU]]=0,0,Mecze[[#This Row],[OU]]/Mecze[[#This Row],[CZAS]])</f>
        <v>0</v>
      </c>
      <c r="O1257" s="32">
        <f>IF(Mecze[[#This Row],[PC]]=0,0,Mecze[[#This Row],[PC]]/Mecze[[#This Row],[CZAS]])</f>
        <v>3.125E-2</v>
      </c>
      <c r="P1257" s="32">
        <f>IF(Mecze[[#This Row],[SC]]=0,0,Mecze[[#This Row],[SC]]/Mecze[[#This Row],[CZAS]])</f>
        <v>0</v>
      </c>
      <c r="Q1257" s="32">
        <f>IF(Mecze[[#This Row],[OB]]=0,0,Mecze[[#This Row],[OB]]/Mecze[[#This Row],[CZAS]])</f>
        <v>7.2916666666666671E-2</v>
      </c>
      <c r="R1257" s="32">
        <f>IF(Mecze[[#This Row],[BR]]=0,0,Mecze[[#This Row],[BR]]/Mecze[[#This Row],[CZAS]])</f>
        <v>0</v>
      </c>
      <c r="S1257" s="44">
        <f>IF(Mecze[[#This Row],[Role]]="BR",SUMPRODUCT(Mecze[[#This Row],[/PR:90]:[/BR:90]],Brudnopis!$E$23:$J$23),0)</f>
        <v>0.3125</v>
      </c>
      <c r="T1257" s="44">
        <f>IF(Mecze[[#This Row],[Role]]&lt;&gt;"BR",SUMPRODUCT(Mecze[[#This Row],[/PR:90]:[/BR:90]],Brudnopis!$E$24:$J$24),0)</f>
        <v>0</v>
      </c>
      <c r="U1257" s="44">
        <f>IF(Mecze[[#This Row],[Role]]&lt;&gt;"BR",SUMPRODUCT(Mecze[[#This Row],[/PR:90]:[/BR:90]],Brudnopis!$E$25:$J$25),0)</f>
        <v>0</v>
      </c>
      <c r="V1257" s="44">
        <f>IF(Mecze[[#This Row],[Role]]&lt;&gt;"BR",SUMPRODUCT(Mecze[[#This Row],[/PR:90]:[/BR:90]],Brudnopis!$E$26:$J$26),0)</f>
        <v>0</v>
      </c>
      <c r="W1257" s="44">
        <f>IF(Mecze[[#This Row],[Role]]&lt;&gt;"BR",SUMPRODUCT(Mecze[[#This Row],[/PR:90]:[/BR:90]],Brudnopis!$E$27:$J$27),0)</f>
        <v>0</v>
      </c>
      <c r="X1257" s="44">
        <f>IF(Mecze[[#This Row],[Role]]&lt;&gt;"BR",SUMPRODUCT(Mecze[[#This Row],[/PR:90]:[/BR:90]],Brudnopis!$E$28:$J$28),0)</f>
        <v>0</v>
      </c>
      <c r="Y1257" s="35">
        <f>IF(Mecze[[#This Row],[Role]]="BR",Mecze[[#This Row],[/OB:90]]+Mecze[[#This Row],[/PC:90]],SUM(Mecze[[#This Row],[/PR:90]:[/BR:90]]))</f>
        <v>0.10416666666666667</v>
      </c>
      <c r="Z1257" s="35">
        <f>IF(Mecze[[#This Row],[KC]]=0,SUM(Mecze[[#This Row],[/BRI]:[/NPI]]),SUM(Mecze[[#This Row],[/BRI]:[/NPI]])*0.6)</f>
        <v>0.3125</v>
      </c>
      <c r="AA1257" s="10">
        <f>IFERROR(Mecze[[#This Row],[BR]]/Mecze[[#This Row],[ST]],0)</f>
        <v>0</v>
      </c>
      <c r="AB1257">
        <f>ROUND(Mecze[[#This Row],[PD]]*Mecze[[#This Row],[%PC]],0)</f>
        <v>3</v>
      </c>
      <c r="AC1257">
        <f>ROUND(Mecze[[#This Row],[OD]]*Mecze[[#This Row],[%OU]],0)</f>
        <v>0</v>
      </c>
      <c r="AD1257" s="36" t="s">
        <v>40</v>
      </c>
      <c r="AE1257" s="36">
        <v>69</v>
      </c>
      <c r="AF1257" s="71">
        <v>5.26</v>
      </c>
      <c r="AG1257" s="37">
        <v>0</v>
      </c>
      <c r="AH1257" s="37">
        <v>0</v>
      </c>
      <c r="AI1257" s="37">
        <v>96</v>
      </c>
      <c r="AJ1257" s="37">
        <v>4</v>
      </c>
      <c r="AK1257" s="37" t="str">
        <f>VLOOKUP(Mecze[[#This Row],[Match ID]],Meczusie[Mecz]:Meczusie[RodzajMeczu],2,FALSE)</f>
        <v>Liga</v>
      </c>
    </row>
    <row r="1258" spans="1:37" x14ac:dyDescent="0.25">
      <c r="A1258" s="76">
        <v>9</v>
      </c>
      <c r="B1258" s="3" t="s">
        <v>275</v>
      </c>
      <c r="C1258" s="2" t="s">
        <v>157</v>
      </c>
      <c r="D1258" s="1">
        <v>0</v>
      </c>
      <c r="E1258" s="1">
        <v>0</v>
      </c>
      <c r="F1258" s="1">
        <v>0</v>
      </c>
      <c r="G1258" s="1">
        <v>13</v>
      </c>
      <c r="H1258" s="4">
        <v>0.77</v>
      </c>
      <c r="I1258" s="1">
        <v>8</v>
      </c>
      <c r="J1258" s="4">
        <v>0.38</v>
      </c>
      <c r="K1258" s="1">
        <v>0</v>
      </c>
      <c r="L1258" s="1">
        <v>9</v>
      </c>
      <c r="M1258" s="32">
        <f>IF(Mecze[[#This Row],[PR]]=0,0,Mecze[[#This Row],[PR]]/Mecze[[#This Row],[CZAS]])</f>
        <v>9.375E-2</v>
      </c>
      <c r="N1258" s="32">
        <f>IF(Mecze[[#This Row],[OU]]=0,0,Mecze[[#This Row],[OU]]/Mecze[[#This Row],[CZAS]])</f>
        <v>3.125E-2</v>
      </c>
      <c r="O1258" s="32">
        <f>IF(Mecze[[#This Row],[PC]]=0,0,Mecze[[#This Row],[PC]]/Mecze[[#This Row],[CZAS]])</f>
        <v>0.10416666666666667</v>
      </c>
      <c r="P1258" s="32">
        <f>IF(Mecze[[#This Row],[SC]]=0,0,Mecze[[#This Row],[SC]]/Mecze[[#This Row],[CZAS]])</f>
        <v>0</v>
      </c>
      <c r="Q1258" s="32">
        <f>IF(Mecze[[#This Row],[OB]]=0,0,Mecze[[#This Row],[OB]]/Mecze[[#This Row],[CZAS]])</f>
        <v>0</v>
      </c>
      <c r="R1258" s="32">
        <f>IF(Mecze[[#This Row],[BR]]=0,0,Mecze[[#This Row],[BR]]/Mecze[[#This Row],[CZAS]])</f>
        <v>0</v>
      </c>
      <c r="S1258" s="44">
        <f>IF(Mecze[[#This Row],[Role]]="BR",SUMPRODUCT(Mecze[[#This Row],[/PR:90]:[/BR:90]],Brudnopis!$E$23:$J$23),0)</f>
        <v>0</v>
      </c>
      <c r="T1258" s="44">
        <f>IF(Mecze[[#This Row],[Role]]&lt;&gt;"BR",SUMPRODUCT(Mecze[[#This Row],[/PR:90]:[/BR:90]],Brudnopis!$E$24:$J$24),0)</f>
        <v>0.24479166666666669</v>
      </c>
      <c r="U1258" s="44">
        <f>IF(Mecze[[#This Row],[Role]]&lt;&gt;"BR",SUMPRODUCT(Mecze[[#This Row],[/PR:90]:[/BR:90]],Brudnopis!$E$25:$J$25),0)</f>
        <v>0.28125</v>
      </c>
      <c r="V1258" s="44">
        <f>IF(Mecze[[#This Row],[Role]]&lt;&gt;"BR",SUMPRODUCT(Mecze[[#This Row],[/PR:90]:[/BR:90]],Brudnopis!$E$26:$J$26),0)</f>
        <v>0.22916666666666669</v>
      </c>
      <c r="W1258" s="44">
        <f>IF(Mecze[[#This Row],[Role]]&lt;&gt;"BR",SUMPRODUCT(Mecze[[#This Row],[/PR:90]:[/BR:90]],Brudnopis!$E$27:$J$27),0)</f>
        <v>0.25</v>
      </c>
      <c r="X1258" s="44">
        <f>IF(Mecze[[#This Row],[Role]]&lt;&gt;"BR",SUMPRODUCT(Mecze[[#This Row],[/PR:90]:[/BR:90]],Brudnopis!$E$28:$J$28),0)</f>
        <v>0.10416666666666667</v>
      </c>
      <c r="Y1258" s="35">
        <f>IF(Mecze[[#This Row],[Role]]="BR",Mecze[[#This Row],[/OB:90]]+Mecze[[#This Row],[/PC:90]],SUM(Mecze[[#This Row],[/PR:90]:[/BR:90]]))</f>
        <v>0.22916666666666669</v>
      </c>
      <c r="Z1258" s="35">
        <f>IF(Mecze[[#This Row],[KC]]=0,SUM(Mecze[[#This Row],[/BRI]:[/NPI]]),SUM(Mecze[[#This Row],[/BRI]:[/NPI]])*0.6)</f>
        <v>1.1093750000000002</v>
      </c>
      <c r="AA1258" s="10">
        <f>IFERROR(Mecze[[#This Row],[BR]]/Mecze[[#This Row],[ST]],0)</f>
        <v>0</v>
      </c>
      <c r="AB1258">
        <f>ROUND(Mecze[[#This Row],[PD]]*Mecze[[#This Row],[%PC]],0)</f>
        <v>10</v>
      </c>
      <c r="AC1258">
        <f>ROUND(Mecze[[#This Row],[OD]]*Mecze[[#This Row],[%OU]],0)</f>
        <v>3</v>
      </c>
      <c r="AD1258" s="36" t="s">
        <v>47</v>
      </c>
      <c r="AE1258" s="36">
        <v>69</v>
      </c>
      <c r="AF1258" s="71">
        <v>4.7</v>
      </c>
      <c r="AG1258" s="37">
        <v>0</v>
      </c>
      <c r="AH1258" s="37">
        <v>0</v>
      </c>
      <c r="AI1258" s="37">
        <v>96</v>
      </c>
      <c r="AJ1258" s="37">
        <v>4</v>
      </c>
      <c r="AK1258" s="37" t="str">
        <f>VLOOKUP(Mecze[[#This Row],[Match ID]],Meczusie[Mecz]:Meczusie[RodzajMeczu],2,FALSE)</f>
        <v>Liga</v>
      </c>
    </row>
    <row r="1259" spans="1:37" x14ac:dyDescent="0.25">
      <c r="A1259" s="76">
        <v>4</v>
      </c>
      <c r="B1259" s="3" t="s">
        <v>276</v>
      </c>
      <c r="C1259" s="2" t="s">
        <v>157</v>
      </c>
      <c r="D1259" s="1">
        <v>0</v>
      </c>
      <c r="E1259" s="1">
        <v>0</v>
      </c>
      <c r="F1259" s="1">
        <v>0</v>
      </c>
      <c r="G1259" s="1">
        <v>3</v>
      </c>
      <c r="H1259" s="4">
        <v>0.33</v>
      </c>
      <c r="I1259" s="1">
        <v>2</v>
      </c>
      <c r="J1259" s="4">
        <v>0.5</v>
      </c>
      <c r="K1259" s="1">
        <v>0</v>
      </c>
      <c r="L1259" s="1">
        <v>5</v>
      </c>
      <c r="M1259" s="32">
        <f>IF(Mecze[[#This Row],[PR]]=0,0,Mecze[[#This Row],[PR]]/Mecze[[#This Row],[CZAS]])</f>
        <v>5.2083333333333336E-2</v>
      </c>
      <c r="N1259" s="32">
        <f>IF(Mecze[[#This Row],[OU]]=0,0,Mecze[[#This Row],[OU]]/Mecze[[#This Row],[CZAS]])</f>
        <v>1.0416666666666666E-2</v>
      </c>
      <c r="O1259" s="32">
        <f>IF(Mecze[[#This Row],[PC]]=0,0,Mecze[[#This Row],[PC]]/Mecze[[#This Row],[CZAS]])</f>
        <v>1.0416666666666666E-2</v>
      </c>
      <c r="P1259" s="32">
        <f>IF(Mecze[[#This Row],[SC]]=0,0,Mecze[[#This Row],[SC]]/Mecze[[#This Row],[CZAS]])</f>
        <v>0</v>
      </c>
      <c r="Q1259" s="32">
        <f>IF(Mecze[[#This Row],[OB]]=0,0,Mecze[[#This Row],[OB]]/Mecze[[#This Row],[CZAS]])</f>
        <v>0</v>
      </c>
      <c r="R1259" s="32">
        <f>IF(Mecze[[#This Row],[BR]]=0,0,Mecze[[#This Row],[BR]]/Mecze[[#This Row],[CZAS]])</f>
        <v>0</v>
      </c>
      <c r="S1259" s="44">
        <f>IF(Mecze[[#This Row],[Role]]="BR",SUMPRODUCT(Mecze[[#This Row],[/PR:90]:[/BR:90]],Brudnopis!$E$23:$J$23),0)</f>
        <v>0</v>
      </c>
      <c r="T1259" s="44">
        <f>IF(Mecze[[#This Row],[Role]]&lt;&gt;"BR",SUMPRODUCT(Mecze[[#This Row],[/PR:90]:[/BR:90]],Brudnopis!$E$24:$J$24),0)</f>
        <v>7.8125000000000014E-2</v>
      </c>
      <c r="U1259" s="44">
        <f>IF(Mecze[[#This Row],[Role]]&lt;&gt;"BR",SUMPRODUCT(Mecze[[#This Row],[/PR:90]:[/BR:90]],Brudnopis!$E$25:$J$25),0)</f>
        <v>7.8125E-2</v>
      </c>
      <c r="V1259" s="44">
        <f>IF(Mecze[[#This Row],[Role]]&lt;&gt;"BR",SUMPRODUCT(Mecze[[#This Row],[/PR:90]:[/BR:90]],Brudnopis!$E$26:$J$26),0)</f>
        <v>7.2916666666666671E-2</v>
      </c>
      <c r="W1259" s="44">
        <f>IF(Mecze[[#This Row],[Role]]&lt;&gt;"BR",SUMPRODUCT(Mecze[[#This Row],[/PR:90]:[/BR:90]],Brudnopis!$E$27:$J$27),0)</f>
        <v>6.25E-2</v>
      </c>
      <c r="X1259" s="44">
        <f>IF(Mecze[[#This Row],[Role]]&lt;&gt;"BR",SUMPRODUCT(Mecze[[#This Row],[/PR:90]:[/BR:90]],Brudnopis!$E$28:$J$28),0)</f>
        <v>1.0416666666666666E-2</v>
      </c>
      <c r="Y1259" s="35">
        <f>IF(Mecze[[#This Row],[Role]]="BR",Mecze[[#This Row],[/OB:90]]+Mecze[[#This Row],[/PC:90]],SUM(Mecze[[#This Row],[/PR:90]:[/BR:90]]))</f>
        <v>7.2916666666666671E-2</v>
      </c>
      <c r="Z1259" s="35">
        <f>IF(Mecze[[#This Row],[KC]]=0,SUM(Mecze[[#This Row],[/BRI]:[/NPI]]),SUM(Mecze[[#This Row],[/BRI]:[/NPI]])*0.6)</f>
        <v>0.30208333333333337</v>
      </c>
      <c r="AA1259" s="10">
        <f>IFERROR(Mecze[[#This Row],[BR]]/Mecze[[#This Row],[ST]],0)</f>
        <v>0</v>
      </c>
      <c r="AB1259">
        <f>ROUND(Mecze[[#This Row],[PD]]*Mecze[[#This Row],[%PC]],0)</f>
        <v>1</v>
      </c>
      <c r="AC1259">
        <f>ROUND(Mecze[[#This Row],[OD]]*Mecze[[#This Row],[%OU]],0)</f>
        <v>1</v>
      </c>
      <c r="AD1259" s="36" t="s">
        <v>168</v>
      </c>
      <c r="AE1259" s="36">
        <v>69</v>
      </c>
      <c r="AF1259" s="71">
        <v>3.86</v>
      </c>
      <c r="AG1259" s="37">
        <v>0</v>
      </c>
      <c r="AH1259" s="37">
        <v>0</v>
      </c>
      <c r="AI1259" s="37">
        <v>96</v>
      </c>
      <c r="AJ1259" s="37">
        <v>4</v>
      </c>
      <c r="AK1259" s="37" t="str">
        <f>VLOOKUP(Mecze[[#This Row],[Match ID]],Meczusie[Mecz]:Meczusie[RodzajMeczu],2,FALSE)</f>
        <v>Liga</v>
      </c>
    </row>
    <row r="1260" spans="1:37" x14ac:dyDescent="0.25">
      <c r="A1260" s="76">
        <v>5</v>
      </c>
      <c r="B1260" s="3" t="s">
        <v>277</v>
      </c>
      <c r="C1260" s="2" t="s">
        <v>157</v>
      </c>
      <c r="D1260" s="1">
        <v>0</v>
      </c>
      <c r="E1260" s="1">
        <v>0</v>
      </c>
      <c r="F1260" s="1">
        <v>0</v>
      </c>
      <c r="G1260" s="1">
        <v>9</v>
      </c>
      <c r="H1260" s="4">
        <v>0.56000000000000005</v>
      </c>
      <c r="I1260" s="1">
        <v>4</v>
      </c>
      <c r="J1260" s="4">
        <v>1</v>
      </c>
      <c r="K1260" s="1">
        <v>0</v>
      </c>
      <c r="L1260" s="1">
        <v>7</v>
      </c>
      <c r="M1260" s="32">
        <f>IF(Mecze[[#This Row],[PR]]=0,0,Mecze[[#This Row],[PR]]/Mecze[[#This Row],[CZAS]])</f>
        <v>9.3333333333333338E-2</v>
      </c>
      <c r="N1260" s="32">
        <f>IF(Mecze[[#This Row],[OU]]=0,0,Mecze[[#This Row],[OU]]/Mecze[[#This Row],[CZAS]])</f>
        <v>5.3333333333333337E-2</v>
      </c>
      <c r="O1260" s="32">
        <f>IF(Mecze[[#This Row],[PC]]=0,0,Mecze[[#This Row],[PC]]/Mecze[[#This Row],[CZAS]])</f>
        <v>6.6666666666666666E-2</v>
      </c>
      <c r="P1260" s="32">
        <f>IF(Mecze[[#This Row],[SC]]=0,0,Mecze[[#This Row],[SC]]/Mecze[[#This Row],[CZAS]])</f>
        <v>0</v>
      </c>
      <c r="Q1260" s="32">
        <f>IF(Mecze[[#This Row],[OB]]=0,0,Mecze[[#This Row],[OB]]/Mecze[[#This Row],[CZAS]])</f>
        <v>0</v>
      </c>
      <c r="R1260" s="32">
        <f>IF(Mecze[[#This Row],[BR]]=0,0,Mecze[[#This Row],[BR]]/Mecze[[#This Row],[CZAS]])</f>
        <v>0</v>
      </c>
      <c r="S1260" s="44">
        <f>IF(Mecze[[#This Row],[Role]]="BR",SUMPRODUCT(Mecze[[#This Row],[/PR:90]:[/BR:90]],Brudnopis!$E$23:$J$23),0)</f>
        <v>0</v>
      </c>
      <c r="T1260" s="44">
        <f>IF(Mecze[[#This Row],[Role]]&lt;&gt;"BR",SUMPRODUCT(Mecze[[#This Row],[/PR:90]:[/BR:90]],Brudnopis!$E$24:$J$24),0)</f>
        <v>0.24</v>
      </c>
      <c r="U1260" s="44">
        <f>IF(Mecze[[#This Row],[Role]]&lt;&gt;"BR",SUMPRODUCT(Mecze[[#This Row],[/PR:90]:[/BR:90]],Brudnopis!$E$25:$J$25),0)</f>
        <v>0.24666666666666667</v>
      </c>
      <c r="V1260" s="44">
        <f>IF(Mecze[[#This Row],[Role]]&lt;&gt;"BR",SUMPRODUCT(Mecze[[#This Row],[/PR:90]:[/BR:90]],Brudnopis!$E$26:$J$26),0)</f>
        <v>0.21333333333333332</v>
      </c>
      <c r="W1260" s="44">
        <f>IF(Mecze[[#This Row],[Role]]&lt;&gt;"BR",SUMPRODUCT(Mecze[[#This Row],[/PR:90]:[/BR:90]],Brudnopis!$E$27:$J$27),0)</f>
        <v>0.21000000000000002</v>
      </c>
      <c r="X1260" s="44">
        <f>IF(Mecze[[#This Row],[Role]]&lt;&gt;"BR",SUMPRODUCT(Mecze[[#This Row],[/PR:90]:[/BR:90]],Brudnopis!$E$28:$J$28),0)</f>
        <v>6.6666666666666666E-2</v>
      </c>
      <c r="Y1260" s="35">
        <f>IF(Mecze[[#This Row],[Role]]="BR",Mecze[[#This Row],[/OB:90]]+Mecze[[#This Row],[/PC:90]],SUM(Mecze[[#This Row],[/PR:90]:[/BR:90]]))</f>
        <v>0.21333333333333332</v>
      </c>
      <c r="Z1260" s="35">
        <f>IF(Mecze[[#This Row],[KC]]=0,SUM(Mecze[[#This Row],[/BRI]:[/NPI]]),SUM(Mecze[[#This Row],[/BRI]:[/NPI]])*0.6)</f>
        <v>0.97666666666666657</v>
      </c>
      <c r="AA1260" s="10">
        <f>IFERROR(Mecze[[#This Row],[BR]]/Mecze[[#This Row],[ST]],0)</f>
        <v>0</v>
      </c>
      <c r="AB1260">
        <f>ROUND(Mecze[[#This Row],[PD]]*Mecze[[#This Row],[%PC]],0)</f>
        <v>5</v>
      </c>
      <c r="AC1260">
        <f>ROUND(Mecze[[#This Row],[OD]]*Mecze[[#This Row],[%OU]],0)</f>
        <v>4</v>
      </c>
      <c r="AD1260" s="36" t="s">
        <v>167</v>
      </c>
      <c r="AE1260" s="36">
        <v>69</v>
      </c>
      <c r="AF1260" s="71">
        <v>7.43</v>
      </c>
      <c r="AG1260" s="37">
        <v>0</v>
      </c>
      <c r="AH1260" s="37">
        <v>0</v>
      </c>
      <c r="AI1260" s="37">
        <v>75</v>
      </c>
      <c r="AJ1260" s="37">
        <v>4</v>
      </c>
      <c r="AK1260" s="37" t="str">
        <f>VLOOKUP(Mecze[[#This Row],[Match ID]],Meczusie[Mecz]:Meczusie[RodzajMeczu],2,FALSE)</f>
        <v>Liga</v>
      </c>
    </row>
    <row r="1261" spans="1:37" x14ac:dyDescent="0.25">
      <c r="A1261" s="76">
        <v>12</v>
      </c>
      <c r="B1261" s="3" t="s">
        <v>278</v>
      </c>
      <c r="C1261" s="2" t="s">
        <v>160</v>
      </c>
      <c r="D1261" s="1">
        <v>0</v>
      </c>
      <c r="E1261" s="1">
        <v>0</v>
      </c>
      <c r="F1261" s="1">
        <v>0</v>
      </c>
      <c r="G1261" s="1">
        <v>10</v>
      </c>
      <c r="H1261" s="4">
        <v>0.7</v>
      </c>
      <c r="I1261" s="1">
        <v>6</v>
      </c>
      <c r="J1261" s="4">
        <v>0.33</v>
      </c>
      <c r="K1261" s="1">
        <v>0</v>
      </c>
      <c r="L1261" s="1">
        <v>4</v>
      </c>
      <c r="M1261" s="32">
        <f>IF(Mecze[[#This Row],[PR]]=0,0,Mecze[[#This Row],[PR]]/Mecze[[#This Row],[CZAS]])</f>
        <v>4.1666666666666664E-2</v>
      </c>
      <c r="N1261" s="32">
        <f>IF(Mecze[[#This Row],[OU]]=0,0,Mecze[[#This Row],[OU]]/Mecze[[#This Row],[CZAS]])</f>
        <v>2.0833333333333332E-2</v>
      </c>
      <c r="O1261" s="32">
        <f>IF(Mecze[[#This Row],[PC]]=0,0,Mecze[[#This Row],[PC]]/Mecze[[#This Row],[CZAS]])</f>
        <v>7.2916666666666671E-2</v>
      </c>
      <c r="P1261" s="32">
        <f>IF(Mecze[[#This Row],[SC]]=0,0,Mecze[[#This Row],[SC]]/Mecze[[#This Row],[CZAS]])</f>
        <v>0</v>
      </c>
      <c r="Q1261" s="32">
        <f>IF(Mecze[[#This Row],[OB]]=0,0,Mecze[[#This Row],[OB]]/Mecze[[#This Row],[CZAS]])</f>
        <v>0</v>
      </c>
      <c r="R1261" s="32">
        <f>IF(Mecze[[#This Row],[BR]]=0,0,Mecze[[#This Row],[BR]]/Mecze[[#This Row],[CZAS]])</f>
        <v>0</v>
      </c>
      <c r="S1261" s="44">
        <f>IF(Mecze[[#This Row],[Role]]="BR",SUMPRODUCT(Mecze[[#This Row],[/PR:90]:[/BR:90]],Brudnopis!$E$23:$J$23),0)</f>
        <v>0</v>
      </c>
      <c r="T1261" s="44">
        <f>IF(Mecze[[#This Row],[Role]]&lt;&gt;"BR",SUMPRODUCT(Mecze[[#This Row],[/PR:90]:[/BR:90]],Brudnopis!$E$24:$J$24),0)</f>
        <v>0.14583333333333331</v>
      </c>
      <c r="U1261" s="44">
        <f>IF(Mecze[[#This Row],[Role]]&lt;&gt;"BR",SUMPRODUCT(Mecze[[#This Row],[/PR:90]:[/BR:90]],Brudnopis!$E$25:$J$25),0)</f>
        <v>0.171875</v>
      </c>
      <c r="V1261" s="44">
        <f>IF(Mecze[[#This Row],[Role]]&lt;&gt;"BR",SUMPRODUCT(Mecze[[#This Row],[/PR:90]:[/BR:90]],Brudnopis!$E$26:$J$26),0)</f>
        <v>0.13541666666666669</v>
      </c>
      <c r="W1261" s="44">
        <f>IF(Mecze[[#This Row],[Role]]&lt;&gt;"BR",SUMPRODUCT(Mecze[[#This Row],[/PR:90]:[/BR:90]],Brudnopis!$E$27:$J$27),0)</f>
        <v>0.15625</v>
      </c>
      <c r="X1261" s="44">
        <f>IF(Mecze[[#This Row],[Role]]&lt;&gt;"BR",SUMPRODUCT(Mecze[[#This Row],[/PR:90]:[/BR:90]],Brudnopis!$E$28:$J$28),0)</f>
        <v>7.2916666666666671E-2</v>
      </c>
      <c r="Y1261" s="35">
        <f>IF(Mecze[[#This Row],[Role]]="BR",Mecze[[#This Row],[/OB:90]]+Mecze[[#This Row],[/PC:90]],SUM(Mecze[[#This Row],[/PR:90]:[/BR:90]]))</f>
        <v>0.13541666666666669</v>
      </c>
      <c r="Z1261" s="35">
        <f>IF(Mecze[[#This Row],[KC]]=0,SUM(Mecze[[#This Row],[/BRI]:[/NPI]]),SUM(Mecze[[#This Row],[/BRI]:[/NPI]])*0.6)</f>
        <v>0.68229166666666663</v>
      </c>
      <c r="AA1261" s="10">
        <f>IFERROR(Mecze[[#This Row],[BR]]/Mecze[[#This Row],[ST]],0)</f>
        <v>0</v>
      </c>
      <c r="AB1261">
        <f>ROUND(Mecze[[#This Row],[PD]]*Mecze[[#This Row],[%PC]],0)</f>
        <v>7</v>
      </c>
      <c r="AC1261">
        <f>ROUND(Mecze[[#This Row],[OD]]*Mecze[[#This Row],[%OU]],0)</f>
        <v>2</v>
      </c>
      <c r="AD1261" s="36" t="s">
        <v>41</v>
      </c>
      <c r="AE1261" s="36">
        <v>69</v>
      </c>
      <c r="AF1261" s="71">
        <v>5.97</v>
      </c>
      <c r="AG1261" s="37">
        <v>0</v>
      </c>
      <c r="AH1261" s="37">
        <v>0</v>
      </c>
      <c r="AI1261" s="37">
        <v>96</v>
      </c>
      <c r="AJ1261" s="37">
        <v>4</v>
      </c>
      <c r="AK1261" s="37" t="str">
        <f>VLOOKUP(Mecze[[#This Row],[Match ID]],Meczusie[Mecz]:Meczusie[RodzajMeczu],2,FALSE)</f>
        <v>Liga</v>
      </c>
    </row>
    <row r="1262" spans="1:37" x14ac:dyDescent="0.25">
      <c r="A1262" s="76">
        <v>7</v>
      </c>
      <c r="B1262" s="3" t="s">
        <v>279</v>
      </c>
      <c r="C1262" s="2" t="s">
        <v>160</v>
      </c>
      <c r="D1262" s="1">
        <v>0</v>
      </c>
      <c r="E1262" s="1">
        <v>1</v>
      </c>
      <c r="F1262" s="1">
        <v>0</v>
      </c>
      <c r="G1262" s="1">
        <v>15</v>
      </c>
      <c r="H1262" s="4">
        <v>0.8</v>
      </c>
      <c r="I1262" s="1">
        <v>13</v>
      </c>
      <c r="J1262" s="4">
        <v>0.46</v>
      </c>
      <c r="K1262" s="1">
        <v>0</v>
      </c>
      <c r="L1262" s="1">
        <v>7</v>
      </c>
      <c r="M1262" s="32">
        <f>IF(Mecze[[#This Row],[PR]]=0,0,Mecze[[#This Row],[PR]]/Mecze[[#This Row],[CZAS]])</f>
        <v>7.2916666666666671E-2</v>
      </c>
      <c r="N1262" s="32">
        <f>IF(Mecze[[#This Row],[OU]]=0,0,Mecze[[#This Row],[OU]]/Mecze[[#This Row],[CZAS]])</f>
        <v>6.25E-2</v>
      </c>
      <c r="O1262" s="32">
        <f>IF(Mecze[[#This Row],[PC]]=0,0,Mecze[[#This Row],[PC]]/Mecze[[#This Row],[CZAS]])</f>
        <v>0.125</v>
      </c>
      <c r="P1262" s="32">
        <f>IF(Mecze[[#This Row],[SC]]=0,0,Mecze[[#This Row],[SC]]/Mecze[[#This Row],[CZAS]])</f>
        <v>0</v>
      </c>
      <c r="Q1262" s="32">
        <f>IF(Mecze[[#This Row],[OB]]=0,0,Mecze[[#This Row],[OB]]/Mecze[[#This Row],[CZAS]])</f>
        <v>0</v>
      </c>
      <c r="R1262" s="32">
        <f>IF(Mecze[[#This Row],[BR]]=0,0,Mecze[[#This Row],[BR]]/Mecze[[#This Row],[CZAS]])</f>
        <v>0</v>
      </c>
      <c r="S1262" s="44">
        <f>IF(Mecze[[#This Row],[Role]]="BR",SUMPRODUCT(Mecze[[#This Row],[/PR:90]:[/BR:90]],Brudnopis!$E$23:$J$23),0)</f>
        <v>0</v>
      </c>
      <c r="T1262" s="44">
        <f>IF(Mecze[[#This Row],[Role]]&lt;&gt;"BR",SUMPRODUCT(Mecze[[#This Row],[/PR:90]:[/BR:90]],Brudnopis!$E$24:$J$24),0)</f>
        <v>0.29166666666666669</v>
      </c>
      <c r="U1262" s="44">
        <f>IF(Mecze[[#This Row],[Role]]&lt;&gt;"BR",SUMPRODUCT(Mecze[[#This Row],[/PR:90]:[/BR:90]],Brudnopis!$E$25:$J$25),0)</f>
        <v>0.32291666666666669</v>
      </c>
      <c r="V1262" s="44">
        <f>IF(Mecze[[#This Row],[Role]]&lt;&gt;"BR",SUMPRODUCT(Mecze[[#This Row],[/PR:90]:[/BR:90]],Brudnopis!$E$26:$J$26),0)</f>
        <v>0.26041666666666669</v>
      </c>
      <c r="W1262" s="44">
        <f>IF(Mecze[[#This Row],[Role]]&lt;&gt;"BR",SUMPRODUCT(Mecze[[#This Row],[/PR:90]:[/BR:90]],Brudnopis!$E$27:$J$27),0)</f>
        <v>0.2890625</v>
      </c>
      <c r="X1262" s="44">
        <f>IF(Mecze[[#This Row],[Role]]&lt;&gt;"BR",SUMPRODUCT(Mecze[[#This Row],[/PR:90]:[/BR:90]],Brudnopis!$E$28:$J$28),0)</f>
        <v>0.125</v>
      </c>
      <c r="Y1262" s="35">
        <f>IF(Mecze[[#This Row],[Role]]="BR",Mecze[[#This Row],[/OB:90]]+Mecze[[#This Row],[/PC:90]],SUM(Mecze[[#This Row],[/PR:90]:[/BR:90]]))</f>
        <v>0.26041666666666669</v>
      </c>
      <c r="Z1262" s="35">
        <f>IF(Mecze[[#This Row],[KC]]=0,SUM(Mecze[[#This Row],[/BRI]:[/NPI]]),SUM(Mecze[[#This Row],[/BRI]:[/NPI]])*0.6)</f>
        <v>1.2890625</v>
      </c>
      <c r="AA1262" s="10">
        <f>IFERROR(Mecze[[#This Row],[BR]]/Mecze[[#This Row],[ST]],0)</f>
        <v>0</v>
      </c>
      <c r="AB1262">
        <f>ROUND(Mecze[[#This Row],[PD]]*Mecze[[#This Row],[%PC]],0)</f>
        <v>12</v>
      </c>
      <c r="AC1262">
        <f>ROUND(Mecze[[#This Row],[OD]]*Mecze[[#This Row],[%OU]],0)</f>
        <v>6</v>
      </c>
      <c r="AD1262" s="36" t="s">
        <v>41</v>
      </c>
      <c r="AE1262" s="36">
        <v>69</v>
      </c>
      <c r="AF1262" s="71">
        <v>7.51</v>
      </c>
      <c r="AG1262" s="37">
        <v>0</v>
      </c>
      <c r="AH1262" s="37">
        <v>0</v>
      </c>
      <c r="AI1262" s="37">
        <v>96</v>
      </c>
      <c r="AJ1262" s="37">
        <v>4</v>
      </c>
      <c r="AK1262" s="37" t="str">
        <f>VLOOKUP(Mecze[[#This Row],[Match ID]],Meczusie[Mecz]:Meczusie[RodzajMeczu],2,FALSE)</f>
        <v>Liga</v>
      </c>
    </row>
    <row r="1263" spans="1:37" x14ac:dyDescent="0.25">
      <c r="A1263" s="76">
        <v>6</v>
      </c>
      <c r="B1263" s="3" t="s">
        <v>280</v>
      </c>
      <c r="C1263" s="2" t="s">
        <v>160</v>
      </c>
      <c r="D1263" s="1">
        <v>0</v>
      </c>
      <c r="E1263" s="1">
        <v>1</v>
      </c>
      <c r="F1263" s="1">
        <v>1</v>
      </c>
      <c r="G1263" s="1">
        <v>21</v>
      </c>
      <c r="H1263" s="4">
        <v>0.76</v>
      </c>
      <c r="I1263" s="1">
        <v>8</v>
      </c>
      <c r="J1263" s="4">
        <v>0.75</v>
      </c>
      <c r="K1263" s="1">
        <v>0</v>
      </c>
      <c r="L1263" s="1">
        <v>5</v>
      </c>
      <c r="M1263" s="32">
        <f>IF(Mecze[[#This Row],[PR]]=0,0,Mecze[[#This Row],[PR]]/Mecze[[#This Row],[CZAS]])</f>
        <v>5.2083333333333336E-2</v>
      </c>
      <c r="N1263" s="32">
        <f>IF(Mecze[[#This Row],[OU]]=0,0,Mecze[[#This Row],[OU]]/Mecze[[#This Row],[CZAS]])</f>
        <v>6.25E-2</v>
      </c>
      <c r="O1263" s="32">
        <f>IF(Mecze[[#This Row],[PC]]=0,0,Mecze[[#This Row],[PC]]/Mecze[[#This Row],[CZAS]])</f>
        <v>0.16666666666666666</v>
      </c>
      <c r="P1263" s="32">
        <f>IF(Mecze[[#This Row],[SC]]=0,0,Mecze[[#This Row],[SC]]/Mecze[[#This Row],[CZAS]])</f>
        <v>1.0416666666666666E-2</v>
      </c>
      <c r="Q1263" s="32">
        <f>IF(Mecze[[#This Row],[OB]]=0,0,Mecze[[#This Row],[OB]]/Mecze[[#This Row],[CZAS]])</f>
        <v>0</v>
      </c>
      <c r="R1263" s="32">
        <f>IF(Mecze[[#This Row],[BR]]=0,0,Mecze[[#This Row],[BR]]/Mecze[[#This Row],[CZAS]])</f>
        <v>0</v>
      </c>
      <c r="S1263" s="44">
        <f>IF(Mecze[[#This Row],[Role]]="BR",SUMPRODUCT(Mecze[[#This Row],[/PR:90]:[/BR:90]],Brudnopis!$E$23:$J$23),0)</f>
        <v>0</v>
      </c>
      <c r="T1263" s="44">
        <f>IF(Mecze[[#This Row],[Role]]&lt;&gt;"BR",SUMPRODUCT(Mecze[[#This Row],[/PR:90]:[/BR:90]],Brudnopis!$E$24:$J$24),0)</f>
        <v>0.32291666666666669</v>
      </c>
      <c r="U1263" s="44">
        <f>IF(Mecze[[#This Row],[Role]]&lt;&gt;"BR",SUMPRODUCT(Mecze[[#This Row],[/PR:90]:[/BR:90]],Brudnopis!$E$25:$J$25),0)</f>
        <v>0.37500000000000006</v>
      </c>
      <c r="V1263" s="44">
        <f>IF(Mecze[[#This Row],[Role]]&lt;&gt;"BR",SUMPRODUCT(Mecze[[#This Row],[/PR:90]:[/BR:90]],Brudnopis!$E$26:$J$26),0)</f>
        <v>0.29166666666666669</v>
      </c>
      <c r="W1263" s="44">
        <f>IF(Mecze[[#This Row],[Role]]&lt;&gt;"BR",SUMPRODUCT(Mecze[[#This Row],[/PR:90]:[/BR:90]],Brudnopis!$E$27:$J$27),0)</f>
        <v>0.34635416666666669</v>
      </c>
      <c r="X1263" s="44">
        <f>IF(Mecze[[#This Row],[Role]]&lt;&gt;"BR",SUMPRODUCT(Mecze[[#This Row],[/PR:90]:[/BR:90]],Brudnopis!$E$28:$J$28),0)</f>
        <v>0.1875</v>
      </c>
      <c r="Y1263" s="35">
        <f>IF(Mecze[[#This Row],[Role]]="BR",Mecze[[#This Row],[/OB:90]]+Mecze[[#This Row],[/PC:90]],SUM(Mecze[[#This Row],[/PR:90]:[/BR:90]]))</f>
        <v>0.29166666666666669</v>
      </c>
      <c r="Z1263" s="35">
        <f>IF(Mecze[[#This Row],[KC]]=0,SUM(Mecze[[#This Row],[/BRI]:[/NPI]]),SUM(Mecze[[#This Row],[/BRI]:[/NPI]])*0.6)</f>
        <v>1.5234375000000002</v>
      </c>
      <c r="AA1263" s="10">
        <f>IFERROR(Mecze[[#This Row],[BR]]/Mecze[[#This Row],[ST]],0)</f>
        <v>0</v>
      </c>
      <c r="AB1263">
        <f>ROUND(Mecze[[#This Row],[PD]]*Mecze[[#This Row],[%PC]],0)</f>
        <v>16</v>
      </c>
      <c r="AC1263">
        <f>ROUND(Mecze[[#This Row],[OD]]*Mecze[[#This Row],[%OU]],0)</f>
        <v>6</v>
      </c>
      <c r="AD1263" s="36" t="s">
        <v>67</v>
      </c>
      <c r="AE1263" s="36">
        <v>69</v>
      </c>
      <c r="AF1263" s="71">
        <v>6.41</v>
      </c>
      <c r="AG1263" s="37">
        <v>0</v>
      </c>
      <c r="AH1263" s="37">
        <v>0</v>
      </c>
      <c r="AI1263" s="37">
        <v>96</v>
      </c>
      <c r="AJ1263" s="37">
        <v>4</v>
      </c>
      <c r="AK1263" s="37" t="str">
        <f>VLOOKUP(Mecze[[#This Row],[Match ID]],Meczusie[Mecz]:Meczusie[RodzajMeczu],2,FALSE)</f>
        <v>Liga</v>
      </c>
    </row>
    <row r="1264" spans="1:37" x14ac:dyDescent="0.25">
      <c r="A1264" s="76">
        <v>14</v>
      </c>
      <c r="B1264" s="3" t="s">
        <v>281</v>
      </c>
      <c r="C1264" s="2" t="s">
        <v>160</v>
      </c>
      <c r="D1264" s="1">
        <v>0</v>
      </c>
      <c r="E1264" s="1">
        <v>0</v>
      </c>
      <c r="F1264" s="1">
        <v>0</v>
      </c>
      <c r="G1264" s="1">
        <v>6</v>
      </c>
      <c r="H1264" s="4">
        <v>0.67</v>
      </c>
      <c r="I1264" s="1">
        <v>2</v>
      </c>
      <c r="J1264" s="4">
        <v>0</v>
      </c>
      <c r="K1264" s="1">
        <v>0</v>
      </c>
      <c r="L1264" s="1">
        <v>1</v>
      </c>
      <c r="M1264" s="32">
        <f>IF(Mecze[[#This Row],[PR]]=0,0,Mecze[[#This Row],[PR]]/Mecze[[#This Row],[CZAS]])</f>
        <v>1.4705882352941176E-2</v>
      </c>
      <c r="N1264" s="32">
        <f>IF(Mecze[[#This Row],[OU]]=0,0,Mecze[[#This Row],[OU]]/Mecze[[#This Row],[CZAS]])</f>
        <v>0</v>
      </c>
      <c r="O1264" s="32">
        <f>IF(Mecze[[#This Row],[PC]]=0,0,Mecze[[#This Row],[PC]]/Mecze[[#This Row],[CZAS]])</f>
        <v>5.8823529411764705E-2</v>
      </c>
      <c r="P1264" s="32">
        <f>IF(Mecze[[#This Row],[SC]]=0,0,Mecze[[#This Row],[SC]]/Mecze[[#This Row],[CZAS]])</f>
        <v>0</v>
      </c>
      <c r="Q1264" s="32">
        <f>IF(Mecze[[#This Row],[OB]]=0,0,Mecze[[#This Row],[OB]]/Mecze[[#This Row],[CZAS]])</f>
        <v>0</v>
      </c>
      <c r="R1264" s="32">
        <f>IF(Mecze[[#This Row],[BR]]=0,0,Mecze[[#This Row],[BR]]/Mecze[[#This Row],[CZAS]])</f>
        <v>0</v>
      </c>
      <c r="S1264" s="44">
        <f>IF(Mecze[[#This Row],[Role]]="BR",SUMPRODUCT(Mecze[[#This Row],[/PR:90]:[/BR:90]],Brudnopis!$E$23:$J$23),0)</f>
        <v>0</v>
      </c>
      <c r="T1264" s="44">
        <f>IF(Mecze[[#This Row],[Role]]&lt;&gt;"BR",SUMPRODUCT(Mecze[[#This Row],[/PR:90]:[/BR:90]],Brudnopis!$E$24:$J$24),0)</f>
        <v>7.3529411764705885E-2</v>
      </c>
      <c r="U1264" s="44">
        <f>IF(Mecze[[#This Row],[Role]]&lt;&gt;"BR",SUMPRODUCT(Mecze[[#This Row],[/PR:90]:[/BR:90]],Brudnopis!$E$25:$J$25),0)</f>
        <v>0.10294117647058823</v>
      </c>
      <c r="V1264" s="44">
        <f>IF(Mecze[[#This Row],[Role]]&lt;&gt;"BR",SUMPRODUCT(Mecze[[#This Row],[/PR:90]:[/BR:90]],Brudnopis!$E$26:$J$26),0)</f>
        <v>7.3529411764705885E-2</v>
      </c>
      <c r="W1264" s="44">
        <f>IF(Mecze[[#This Row],[Role]]&lt;&gt;"BR",SUMPRODUCT(Mecze[[#This Row],[/PR:90]:[/BR:90]],Brudnopis!$E$27:$J$27),0)</f>
        <v>9.9264705882352935E-2</v>
      </c>
      <c r="X1264" s="44">
        <f>IF(Mecze[[#This Row],[Role]]&lt;&gt;"BR",SUMPRODUCT(Mecze[[#This Row],[/PR:90]:[/BR:90]],Brudnopis!$E$28:$J$28),0)</f>
        <v>5.8823529411764705E-2</v>
      </c>
      <c r="Y1264" s="35">
        <f>IF(Mecze[[#This Row],[Role]]="BR",Mecze[[#This Row],[/OB:90]]+Mecze[[#This Row],[/PC:90]],SUM(Mecze[[#This Row],[/PR:90]:[/BR:90]]))</f>
        <v>7.3529411764705885E-2</v>
      </c>
      <c r="Z1264" s="35">
        <f>IF(Mecze[[#This Row],[KC]]=0,SUM(Mecze[[#This Row],[/BRI]:[/NPI]]),SUM(Mecze[[#This Row],[/BRI]:[/NPI]])*0.6)</f>
        <v>0.40808823529411764</v>
      </c>
      <c r="AA1264" s="10">
        <f>IFERROR(Mecze[[#This Row],[BR]]/Mecze[[#This Row],[ST]],0)</f>
        <v>0</v>
      </c>
      <c r="AB1264">
        <f>ROUND(Mecze[[#This Row],[PD]]*Mecze[[#This Row],[%PC]],0)</f>
        <v>4</v>
      </c>
      <c r="AC1264">
        <f>ROUND(Mecze[[#This Row],[OD]]*Mecze[[#This Row],[%OU]],0)</f>
        <v>0</v>
      </c>
      <c r="AD1264" s="36" t="s">
        <v>171</v>
      </c>
      <c r="AE1264" s="36">
        <v>69</v>
      </c>
      <c r="AF1264" s="71">
        <v>5.34</v>
      </c>
      <c r="AG1264" s="37">
        <v>0</v>
      </c>
      <c r="AH1264" s="37">
        <v>0</v>
      </c>
      <c r="AI1264" s="37">
        <v>68</v>
      </c>
      <c r="AJ1264" s="37">
        <v>4</v>
      </c>
      <c r="AK1264" s="37" t="str">
        <f>VLOOKUP(Mecze[[#This Row],[Match ID]],Meczusie[Mecz]:Meczusie[RodzajMeczu],2,FALSE)</f>
        <v>Liga</v>
      </c>
    </row>
    <row r="1265" spans="1:37" x14ac:dyDescent="0.25">
      <c r="A1265" s="76">
        <v>11</v>
      </c>
      <c r="B1265" s="3" t="s">
        <v>282</v>
      </c>
      <c r="C1265" s="2" t="s">
        <v>165</v>
      </c>
      <c r="D1265" s="1">
        <v>1</v>
      </c>
      <c r="E1265" s="1">
        <v>4</v>
      </c>
      <c r="F1265" s="1">
        <v>3</v>
      </c>
      <c r="G1265" s="1">
        <v>8</v>
      </c>
      <c r="H1265" s="4">
        <v>0.63</v>
      </c>
      <c r="I1265" s="1">
        <v>2</v>
      </c>
      <c r="J1265" s="4">
        <v>0</v>
      </c>
      <c r="K1265" s="1">
        <v>0</v>
      </c>
      <c r="L1265" s="1">
        <v>3</v>
      </c>
      <c r="M1265" s="32">
        <f>IF(Mecze[[#This Row],[PR]]=0,0,Mecze[[#This Row],[PR]]/Mecze[[#This Row],[CZAS]])</f>
        <v>3.9473684210526314E-2</v>
      </c>
      <c r="N1265" s="32">
        <f>IF(Mecze[[#This Row],[OU]]=0,0,Mecze[[#This Row],[OU]]/Mecze[[#This Row],[CZAS]])</f>
        <v>0</v>
      </c>
      <c r="O1265" s="32">
        <f>IF(Mecze[[#This Row],[PC]]=0,0,Mecze[[#This Row],[PC]]/Mecze[[#This Row],[CZAS]])</f>
        <v>6.5789473684210523E-2</v>
      </c>
      <c r="P1265" s="32">
        <f>IF(Mecze[[#This Row],[SC]]=0,0,Mecze[[#This Row],[SC]]/Mecze[[#This Row],[CZAS]])</f>
        <v>3.9473684210526314E-2</v>
      </c>
      <c r="Q1265" s="32">
        <f>IF(Mecze[[#This Row],[OB]]=0,0,Mecze[[#This Row],[OB]]/Mecze[[#This Row],[CZAS]])</f>
        <v>0</v>
      </c>
      <c r="R1265" s="32">
        <f>IF(Mecze[[#This Row],[BR]]=0,0,Mecze[[#This Row],[BR]]/Mecze[[#This Row],[CZAS]])</f>
        <v>1.3157894736842105E-2</v>
      </c>
      <c r="S1265" s="44">
        <f>IF(Mecze[[#This Row],[Role]]="BR",SUMPRODUCT(Mecze[[#This Row],[/PR:90]:[/BR:90]],Brudnopis!$E$23:$J$23),0)</f>
        <v>0</v>
      </c>
      <c r="T1265" s="44">
        <f>IF(Mecze[[#This Row],[Role]]&lt;&gt;"BR",SUMPRODUCT(Mecze[[#This Row],[/PR:90]:[/BR:90]],Brudnopis!$E$24:$J$24),0)</f>
        <v>0.16447368421052633</v>
      </c>
      <c r="U1265" s="44">
        <f>IF(Mecze[[#This Row],[Role]]&lt;&gt;"BR",SUMPRODUCT(Mecze[[#This Row],[/PR:90]:[/BR:90]],Brudnopis!$E$25:$J$25),0)</f>
        <v>0.19736842105263158</v>
      </c>
      <c r="V1265" s="44">
        <f>IF(Mecze[[#This Row],[Role]]&lt;&gt;"BR",SUMPRODUCT(Mecze[[#This Row],[/PR:90]:[/BR:90]],Brudnopis!$E$26:$J$26),0)</f>
        <v>0.17105263157894737</v>
      </c>
      <c r="W1265" s="44">
        <f>IF(Mecze[[#This Row],[Role]]&lt;&gt;"BR",SUMPRODUCT(Mecze[[#This Row],[/PR:90]:[/BR:90]],Brudnopis!$E$27:$J$27),0)</f>
        <v>0.19407894736842105</v>
      </c>
      <c r="X1265" s="44">
        <f>IF(Mecze[[#This Row],[Role]]&lt;&gt;"BR",SUMPRODUCT(Mecze[[#This Row],[/PR:90]:[/BR:90]],Brudnopis!$E$28:$J$28),0)</f>
        <v>0.18421052631578949</v>
      </c>
      <c r="Y1265" s="35">
        <f>IF(Mecze[[#This Row],[Role]]="BR",Mecze[[#This Row],[/OB:90]]+Mecze[[#This Row],[/PC:90]],SUM(Mecze[[#This Row],[/PR:90]:[/BR:90]]))</f>
        <v>0.15789473684210525</v>
      </c>
      <c r="Z1265" s="35">
        <f>IF(Mecze[[#This Row],[KC]]=0,SUM(Mecze[[#This Row],[/BRI]:[/NPI]]),SUM(Mecze[[#This Row],[/BRI]:[/NPI]])*0.6)</f>
        <v>0.91118421052631582</v>
      </c>
      <c r="AA1265" s="10">
        <f>IFERROR(Mecze[[#This Row],[BR]]/Mecze[[#This Row],[ST]],0)</f>
        <v>0.25</v>
      </c>
      <c r="AB1265">
        <f>ROUND(Mecze[[#This Row],[PD]]*Mecze[[#This Row],[%PC]],0)</f>
        <v>5</v>
      </c>
      <c r="AC1265">
        <f>ROUND(Mecze[[#This Row],[OD]]*Mecze[[#This Row],[%OU]],0)</f>
        <v>0</v>
      </c>
      <c r="AD1265" s="36" t="s">
        <v>46</v>
      </c>
      <c r="AE1265" s="36">
        <v>69</v>
      </c>
      <c r="AF1265" s="71">
        <v>8.2200000000000006</v>
      </c>
      <c r="AG1265" s="37">
        <v>0</v>
      </c>
      <c r="AH1265" s="37">
        <v>0</v>
      </c>
      <c r="AI1265" s="37">
        <v>76</v>
      </c>
      <c r="AJ1265" s="37">
        <v>4</v>
      </c>
      <c r="AK1265" s="37" t="str">
        <f>VLOOKUP(Mecze[[#This Row],[Match ID]],Meczusie[Mecz]:Meczusie[RodzajMeczu],2,FALSE)</f>
        <v>Liga</v>
      </c>
    </row>
    <row r="1266" spans="1:37" x14ac:dyDescent="0.25">
      <c r="A1266" s="76">
        <v>8</v>
      </c>
      <c r="B1266" s="3" t="s">
        <v>283</v>
      </c>
      <c r="C1266" s="2" t="s">
        <v>165</v>
      </c>
      <c r="D1266" s="1">
        <v>0</v>
      </c>
      <c r="E1266" s="1">
        <v>4</v>
      </c>
      <c r="F1266" s="1">
        <v>4</v>
      </c>
      <c r="G1266" s="1">
        <v>12</v>
      </c>
      <c r="H1266" s="4">
        <v>0.75</v>
      </c>
      <c r="I1266" s="1">
        <v>3</v>
      </c>
      <c r="J1266" s="4">
        <v>0.67</v>
      </c>
      <c r="K1266" s="1">
        <v>0</v>
      </c>
      <c r="L1266" s="1">
        <v>0</v>
      </c>
      <c r="M1266" s="32">
        <f>IF(Mecze[[#This Row],[PR]]=0,0,Mecze[[#This Row],[PR]]/Mecze[[#This Row],[CZAS]])</f>
        <v>0</v>
      </c>
      <c r="N1266" s="32">
        <f>IF(Mecze[[#This Row],[OU]]=0,0,Mecze[[#This Row],[OU]]/Mecze[[#This Row],[CZAS]])</f>
        <v>2.0833333333333332E-2</v>
      </c>
      <c r="O1266" s="32">
        <f>IF(Mecze[[#This Row],[PC]]=0,0,Mecze[[#This Row],[PC]]/Mecze[[#This Row],[CZAS]])</f>
        <v>9.375E-2</v>
      </c>
      <c r="P1266" s="32">
        <f>IF(Mecze[[#This Row],[SC]]=0,0,Mecze[[#This Row],[SC]]/Mecze[[#This Row],[CZAS]])</f>
        <v>4.1666666666666664E-2</v>
      </c>
      <c r="Q1266" s="32">
        <f>IF(Mecze[[#This Row],[OB]]=0,0,Mecze[[#This Row],[OB]]/Mecze[[#This Row],[CZAS]])</f>
        <v>0</v>
      </c>
      <c r="R1266" s="32">
        <f>IF(Mecze[[#This Row],[BR]]=0,0,Mecze[[#This Row],[BR]]/Mecze[[#This Row],[CZAS]])</f>
        <v>0</v>
      </c>
      <c r="S1266" s="44">
        <f>IF(Mecze[[#This Row],[Role]]="BR",SUMPRODUCT(Mecze[[#This Row],[/PR:90]:[/BR:90]],Brudnopis!$E$23:$J$23),0)</f>
        <v>0</v>
      </c>
      <c r="T1266" s="44">
        <f>IF(Mecze[[#This Row],[Role]]&lt;&gt;"BR",SUMPRODUCT(Mecze[[#This Row],[/PR:90]:[/BR:90]],Brudnopis!$E$24:$J$24),0)</f>
        <v>0.16666666666666666</v>
      </c>
      <c r="U1266" s="44">
        <f>IF(Mecze[[#This Row],[Role]]&lt;&gt;"BR",SUMPRODUCT(Mecze[[#This Row],[/PR:90]:[/BR:90]],Brudnopis!$E$25:$J$25),0)</f>
        <v>0.203125</v>
      </c>
      <c r="V1266" s="44">
        <f>IF(Mecze[[#This Row],[Role]]&lt;&gt;"BR",SUMPRODUCT(Mecze[[#This Row],[/PR:90]:[/BR:90]],Brudnopis!$E$26:$J$26),0)</f>
        <v>0.15625</v>
      </c>
      <c r="W1266" s="44">
        <f>IF(Mecze[[#This Row],[Role]]&lt;&gt;"BR",SUMPRODUCT(Mecze[[#This Row],[/PR:90]:[/BR:90]],Brudnopis!$E$27:$J$27),0)</f>
        <v>0.19791666666666666</v>
      </c>
      <c r="X1266" s="44">
        <f>IF(Mecze[[#This Row],[Role]]&lt;&gt;"BR",SUMPRODUCT(Mecze[[#This Row],[/PR:90]:[/BR:90]],Brudnopis!$E$28:$J$28),0)</f>
        <v>0.17708333333333331</v>
      </c>
      <c r="Y1266" s="35">
        <f>IF(Mecze[[#This Row],[Role]]="BR",Mecze[[#This Row],[/OB:90]]+Mecze[[#This Row],[/PC:90]],SUM(Mecze[[#This Row],[/PR:90]:[/BR:90]]))</f>
        <v>0.15625</v>
      </c>
      <c r="Z1266" s="35">
        <f>IF(Mecze[[#This Row],[KC]]=0,SUM(Mecze[[#This Row],[/BRI]:[/NPI]]),SUM(Mecze[[#This Row],[/BRI]:[/NPI]])*0.6)</f>
        <v>0.90104166666666652</v>
      </c>
      <c r="AA1266" s="10">
        <f>IFERROR(Mecze[[#This Row],[BR]]/Mecze[[#This Row],[ST]],0)</f>
        <v>0</v>
      </c>
      <c r="AB1266">
        <f>ROUND(Mecze[[#This Row],[PD]]*Mecze[[#This Row],[%PC]],0)</f>
        <v>9</v>
      </c>
      <c r="AC1266">
        <f>ROUND(Mecze[[#This Row],[OD]]*Mecze[[#This Row],[%OU]],0)</f>
        <v>2</v>
      </c>
      <c r="AD1266" s="36" t="s">
        <v>273</v>
      </c>
      <c r="AE1266" s="36">
        <v>69</v>
      </c>
      <c r="AF1266" s="71">
        <v>6.14</v>
      </c>
      <c r="AG1266" s="37">
        <v>0</v>
      </c>
      <c r="AH1266" s="37">
        <v>0</v>
      </c>
      <c r="AI1266" s="37">
        <v>96</v>
      </c>
      <c r="AJ1266" s="37">
        <v>4</v>
      </c>
      <c r="AK1266" s="37" t="str">
        <f>VLOOKUP(Mecze[[#This Row],[Match ID]],Meczusie[Mecz]:Meczusie[RodzajMeczu],2,FALSE)</f>
        <v>Liga</v>
      </c>
    </row>
    <row r="1267" spans="1:37" x14ac:dyDescent="0.25">
      <c r="A1267" s="76">
        <v>10</v>
      </c>
      <c r="B1267" s="3" t="s">
        <v>284</v>
      </c>
      <c r="C1267" s="2" t="s">
        <v>165</v>
      </c>
      <c r="D1267" s="1">
        <v>2</v>
      </c>
      <c r="E1267" s="1">
        <v>7</v>
      </c>
      <c r="F1267" s="1">
        <v>7</v>
      </c>
      <c r="G1267" s="1">
        <v>5</v>
      </c>
      <c r="H1267" s="4">
        <v>1</v>
      </c>
      <c r="I1267" s="1">
        <v>1</v>
      </c>
      <c r="J1267" s="4">
        <v>0</v>
      </c>
      <c r="K1267" s="1">
        <v>0</v>
      </c>
      <c r="L1267" s="1">
        <v>0</v>
      </c>
      <c r="M1267" s="32">
        <f>IF(Mecze[[#This Row],[PR]]=0,0,Mecze[[#This Row],[PR]]/Mecze[[#This Row],[CZAS]])</f>
        <v>0</v>
      </c>
      <c r="N1267" s="32">
        <f>IF(Mecze[[#This Row],[OU]]=0,0,Mecze[[#This Row],[OU]]/Mecze[[#This Row],[CZAS]])</f>
        <v>0</v>
      </c>
      <c r="O1267" s="32">
        <f>IF(Mecze[[#This Row],[PC]]=0,0,Mecze[[#This Row],[PC]]/Mecze[[#This Row],[CZAS]])</f>
        <v>5.2083333333333336E-2</v>
      </c>
      <c r="P1267" s="32">
        <f>IF(Mecze[[#This Row],[SC]]=0,0,Mecze[[#This Row],[SC]]/Mecze[[#This Row],[CZAS]])</f>
        <v>7.2916666666666671E-2</v>
      </c>
      <c r="Q1267" s="32">
        <f>IF(Mecze[[#This Row],[OB]]=0,0,Mecze[[#This Row],[OB]]/Mecze[[#This Row],[CZAS]])</f>
        <v>0</v>
      </c>
      <c r="R1267" s="32">
        <f>IF(Mecze[[#This Row],[BR]]=0,0,Mecze[[#This Row],[BR]]/Mecze[[#This Row],[CZAS]])</f>
        <v>2.0833333333333332E-2</v>
      </c>
      <c r="S1267" s="44">
        <f>IF(Mecze[[#This Row],[Role]]="BR",SUMPRODUCT(Mecze[[#This Row],[/PR:90]:[/BR:90]],Brudnopis!$E$23:$J$23),0)</f>
        <v>0</v>
      </c>
      <c r="T1267" s="44">
        <f>IF(Mecze[[#This Row],[Role]]&lt;&gt;"BR",SUMPRODUCT(Mecze[[#This Row],[/PR:90]:[/BR:90]],Brudnopis!$E$24:$J$24),0)</f>
        <v>0.15625</v>
      </c>
      <c r="U1267" s="44">
        <f>IF(Mecze[[#This Row],[Role]]&lt;&gt;"BR",SUMPRODUCT(Mecze[[#This Row],[/PR:90]:[/BR:90]],Brudnopis!$E$25:$J$25),0)</f>
        <v>0.18229166666666669</v>
      </c>
      <c r="V1267" s="44">
        <f>IF(Mecze[[#This Row],[Role]]&lt;&gt;"BR",SUMPRODUCT(Mecze[[#This Row],[/PR:90]:[/BR:90]],Brudnopis!$E$26:$J$26),0)</f>
        <v>0.16666666666666666</v>
      </c>
      <c r="W1267" s="44">
        <f>IF(Mecze[[#This Row],[Role]]&lt;&gt;"BR",SUMPRODUCT(Mecze[[#This Row],[/PR:90]:[/BR:90]],Brudnopis!$E$27:$J$27),0)</f>
        <v>0.19270833333333334</v>
      </c>
      <c r="X1267" s="44">
        <f>IF(Mecze[[#This Row],[Role]]&lt;&gt;"BR",SUMPRODUCT(Mecze[[#This Row],[/PR:90]:[/BR:90]],Brudnopis!$E$28:$J$28),0)</f>
        <v>0.26041666666666669</v>
      </c>
      <c r="Y1267" s="35">
        <f>IF(Mecze[[#This Row],[Role]]="BR",Mecze[[#This Row],[/OB:90]]+Mecze[[#This Row],[/PC:90]],SUM(Mecze[[#This Row],[/PR:90]:[/BR:90]]))</f>
        <v>0.14583333333333334</v>
      </c>
      <c r="Z1267" s="35">
        <f>IF(Mecze[[#This Row],[KC]]=0,SUM(Mecze[[#This Row],[/BRI]:[/NPI]]),SUM(Mecze[[#This Row],[/BRI]:[/NPI]])*0.6)</f>
        <v>0.95833333333333348</v>
      </c>
      <c r="AA1267" s="10">
        <f>IFERROR(Mecze[[#This Row],[BR]]/Mecze[[#This Row],[ST]],0)</f>
        <v>0.2857142857142857</v>
      </c>
      <c r="AB1267">
        <f>ROUND(Mecze[[#This Row],[PD]]*Mecze[[#This Row],[%PC]],0)</f>
        <v>5</v>
      </c>
      <c r="AC1267">
        <f>ROUND(Mecze[[#This Row],[OD]]*Mecze[[#This Row],[%OU]],0)</f>
        <v>0</v>
      </c>
      <c r="AD1267" s="36" t="s">
        <v>46</v>
      </c>
      <c r="AE1267" s="36">
        <v>69</v>
      </c>
      <c r="AF1267" s="71">
        <v>13.21</v>
      </c>
      <c r="AG1267" s="37">
        <v>0</v>
      </c>
      <c r="AH1267" s="37">
        <v>0</v>
      </c>
      <c r="AI1267" s="37">
        <v>96</v>
      </c>
      <c r="AJ1267" s="37">
        <v>4</v>
      </c>
      <c r="AK1267" s="37" t="str">
        <f>VLOOKUP(Mecze[[#This Row],[Match ID]],Meczusie[Mecz]:Meczusie[RodzajMeczu],2,FALSE)</f>
        <v>Liga</v>
      </c>
    </row>
    <row r="1268" spans="1:37" x14ac:dyDescent="0.25">
      <c r="A1268" s="76">
        <v>2</v>
      </c>
      <c r="B1268" s="3" t="s">
        <v>285</v>
      </c>
      <c r="C1268" s="2" t="s">
        <v>157</v>
      </c>
      <c r="D1268" s="1">
        <v>0</v>
      </c>
      <c r="E1268" s="1">
        <v>0</v>
      </c>
      <c r="F1268" s="1">
        <v>0</v>
      </c>
      <c r="G1268" s="1">
        <v>1</v>
      </c>
      <c r="H1268" s="4">
        <v>1</v>
      </c>
      <c r="I1268" s="1">
        <v>1</v>
      </c>
      <c r="J1268" s="4">
        <v>0</v>
      </c>
      <c r="K1268" s="1">
        <v>0</v>
      </c>
      <c r="L1268" s="1">
        <v>1</v>
      </c>
      <c r="M1268" s="32">
        <f>IF(Mecze[[#This Row],[PR]]=0,0,Mecze[[#This Row],[PR]]/Mecze[[#This Row],[CZAS]])</f>
        <v>4.7619047619047616E-2</v>
      </c>
      <c r="N1268" s="32">
        <f>IF(Mecze[[#This Row],[OU]]=0,0,Mecze[[#This Row],[OU]]/Mecze[[#This Row],[CZAS]])</f>
        <v>0</v>
      </c>
      <c r="O1268" s="32">
        <f>IF(Mecze[[#This Row],[PC]]=0,0,Mecze[[#This Row],[PC]]/Mecze[[#This Row],[CZAS]])</f>
        <v>4.7619047619047616E-2</v>
      </c>
      <c r="P1268" s="32">
        <f>IF(Mecze[[#This Row],[SC]]=0,0,Mecze[[#This Row],[SC]]/Mecze[[#This Row],[CZAS]])</f>
        <v>0</v>
      </c>
      <c r="Q1268" s="32">
        <f>IF(Mecze[[#This Row],[OB]]=0,0,Mecze[[#This Row],[OB]]/Mecze[[#This Row],[CZAS]])</f>
        <v>0</v>
      </c>
      <c r="R1268" s="32">
        <f>IF(Mecze[[#This Row],[BR]]=0,0,Mecze[[#This Row],[BR]]/Mecze[[#This Row],[CZAS]])</f>
        <v>0</v>
      </c>
      <c r="S1268" s="44">
        <f>IF(Mecze[[#This Row],[Role]]="BR",SUMPRODUCT(Mecze[[#This Row],[/PR:90]:[/BR:90]],Brudnopis!$E$23:$J$23),0)</f>
        <v>0</v>
      </c>
      <c r="T1268" s="44">
        <f>IF(Mecze[[#This Row],[Role]]&lt;&gt;"BR",SUMPRODUCT(Mecze[[#This Row],[/PR:90]:[/BR:90]],Brudnopis!$E$24:$J$24),0)</f>
        <v>9.5238095238095233E-2</v>
      </c>
      <c r="U1268" s="44">
        <f>IF(Mecze[[#This Row],[Role]]&lt;&gt;"BR",SUMPRODUCT(Mecze[[#This Row],[/PR:90]:[/BR:90]],Brudnopis!$E$25:$J$25),0)</f>
        <v>0.11904761904761904</v>
      </c>
      <c r="V1268" s="44">
        <f>IF(Mecze[[#This Row],[Role]]&lt;&gt;"BR",SUMPRODUCT(Mecze[[#This Row],[/PR:90]:[/BR:90]],Brudnopis!$E$26:$J$26),0)</f>
        <v>9.5238095238095233E-2</v>
      </c>
      <c r="W1268" s="44">
        <f>IF(Mecze[[#This Row],[Role]]&lt;&gt;"BR",SUMPRODUCT(Mecze[[#This Row],[/PR:90]:[/BR:90]],Brudnopis!$E$27:$J$27),0)</f>
        <v>0.10714285714285714</v>
      </c>
      <c r="X1268" s="44">
        <f>IF(Mecze[[#This Row],[Role]]&lt;&gt;"BR",SUMPRODUCT(Mecze[[#This Row],[/PR:90]:[/BR:90]],Brudnopis!$E$28:$J$28),0)</f>
        <v>4.7619047619047616E-2</v>
      </c>
      <c r="Y1268" s="35">
        <f>IF(Mecze[[#This Row],[Role]]="BR",Mecze[[#This Row],[/OB:90]]+Mecze[[#This Row],[/PC:90]],SUM(Mecze[[#This Row],[/PR:90]:[/BR:90]]))</f>
        <v>9.5238095238095233E-2</v>
      </c>
      <c r="Z1268" s="35">
        <f>IF(Mecze[[#This Row],[KC]]=0,SUM(Mecze[[#This Row],[/BRI]:[/NPI]]),SUM(Mecze[[#This Row],[/BRI]:[/NPI]])*0.6)</f>
        <v>0.4642857142857143</v>
      </c>
      <c r="AA1268" s="10">
        <f>IFERROR(Mecze[[#This Row],[BR]]/Mecze[[#This Row],[ST]],0)</f>
        <v>0</v>
      </c>
      <c r="AB1268">
        <f>ROUND(Mecze[[#This Row],[PD]]*Mecze[[#This Row],[%PC]],0)</f>
        <v>1</v>
      </c>
      <c r="AC1268">
        <f>ROUND(Mecze[[#This Row],[OD]]*Mecze[[#This Row],[%OU]],0)</f>
        <v>0</v>
      </c>
      <c r="AD1268" s="36" t="s">
        <v>167</v>
      </c>
      <c r="AE1268" s="36">
        <v>69</v>
      </c>
      <c r="AF1268" s="71">
        <v>0.82</v>
      </c>
      <c r="AG1268" s="37">
        <v>0</v>
      </c>
      <c r="AH1268" s="37">
        <v>0</v>
      </c>
      <c r="AI1268" s="37">
        <v>21</v>
      </c>
      <c r="AJ1268" s="37">
        <v>4</v>
      </c>
      <c r="AK1268" s="37" t="str">
        <f>VLOOKUP(Mecze[[#This Row],[Match ID]],Meczusie[Mecz]:Meczusie[RodzajMeczu],2,FALSE)</f>
        <v>Liga</v>
      </c>
    </row>
    <row r="1269" spans="1:37" x14ac:dyDescent="0.25">
      <c r="A1269" s="76">
        <v>13</v>
      </c>
      <c r="B1269" s="3" t="s">
        <v>287</v>
      </c>
      <c r="C1269" s="2" t="s">
        <v>160</v>
      </c>
      <c r="D1269" s="1">
        <v>0</v>
      </c>
      <c r="E1269" s="1">
        <v>1</v>
      </c>
      <c r="F1269" s="1">
        <v>0</v>
      </c>
      <c r="G1269" s="1">
        <v>6</v>
      </c>
      <c r="H1269" s="4">
        <v>0.67</v>
      </c>
      <c r="I1269" s="1">
        <v>0</v>
      </c>
      <c r="J1269" s="4"/>
      <c r="K1269" s="1">
        <v>0</v>
      </c>
      <c r="L1269" s="1">
        <v>1</v>
      </c>
      <c r="M1269" s="32">
        <f>IF(Mecze[[#This Row],[PR]]=0,0,Mecze[[#This Row],[PR]]/Mecze[[#This Row],[CZAS]])</f>
        <v>3.5714285714285712E-2</v>
      </c>
      <c r="N1269" s="32">
        <f>IF(Mecze[[#This Row],[OU]]=0,0,Mecze[[#This Row],[OU]]/Mecze[[#This Row],[CZAS]])</f>
        <v>0</v>
      </c>
      <c r="O1269" s="32">
        <f>IF(Mecze[[#This Row],[PC]]=0,0,Mecze[[#This Row],[PC]]/Mecze[[#This Row],[CZAS]])</f>
        <v>0.14285714285714285</v>
      </c>
      <c r="P1269" s="32">
        <f>IF(Mecze[[#This Row],[SC]]=0,0,Mecze[[#This Row],[SC]]/Mecze[[#This Row],[CZAS]])</f>
        <v>0</v>
      </c>
      <c r="Q1269" s="32">
        <f>IF(Mecze[[#This Row],[OB]]=0,0,Mecze[[#This Row],[OB]]/Mecze[[#This Row],[CZAS]])</f>
        <v>0</v>
      </c>
      <c r="R1269" s="32">
        <f>IF(Mecze[[#This Row],[BR]]=0,0,Mecze[[#This Row],[BR]]/Mecze[[#This Row],[CZAS]])</f>
        <v>0</v>
      </c>
      <c r="S1269" s="44">
        <f>IF(Mecze[[#This Row],[Role]]="BR",SUMPRODUCT(Mecze[[#This Row],[/PR:90]:[/BR:90]],Brudnopis!$E$23:$J$23),0)</f>
        <v>0</v>
      </c>
      <c r="T1269" s="44">
        <f>IF(Mecze[[#This Row],[Role]]&lt;&gt;"BR",SUMPRODUCT(Mecze[[#This Row],[/PR:90]:[/BR:90]],Brudnopis!$E$24:$J$24),0)</f>
        <v>0.17857142857142855</v>
      </c>
      <c r="U1269" s="44">
        <f>IF(Mecze[[#This Row],[Role]]&lt;&gt;"BR",SUMPRODUCT(Mecze[[#This Row],[/PR:90]:[/BR:90]],Brudnopis!$E$25:$J$25),0)</f>
        <v>0.25</v>
      </c>
      <c r="V1269" s="44">
        <f>IF(Mecze[[#This Row],[Role]]&lt;&gt;"BR",SUMPRODUCT(Mecze[[#This Row],[/PR:90]:[/BR:90]],Brudnopis!$E$26:$J$26),0)</f>
        <v>0.17857142857142855</v>
      </c>
      <c r="W1269" s="44">
        <f>IF(Mecze[[#This Row],[Role]]&lt;&gt;"BR",SUMPRODUCT(Mecze[[#This Row],[/PR:90]:[/BR:90]],Brudnopis!$E$27:$J$27),0)</f>
        <v>0.24107142857142855</v>
      </c>
      <c r="X1269" s="44">
        <f>IF(Mecze[[#This Row],[Role]]&lt;&gt;"BR",SUMPRODUCT(Mecze[[#This Row],[/PR:90]:[/BR:90]],Brudnopis!$E$28:$J$28),0)</f>
        <v>0.14285714285714285</v>
      </c>
      <c r="Y1269" s="35">
        <f>IF(Mecze[[#This Row],[Role]]="BR",Mecze[[#This Row],[/OB:90]]+Mecze[[#This Row],[/PC:90]],SUM(Mecze[[#This Row],[/PR:90]:[/BR:90]]))</f>
        <v>0.17857142857142855</v>
      </c>
      <c r="Z1269" s="35">
        <f>IF(Mecze[[#This Row],[KC]]=0,SUM(Mecze[[#This Row],[/BRI]:[/NPI]]),SUM(Mecze[[#This Row],[/BRI]:[/NPI]])*0.6)</f>
        <v>0.99107142857142838</v>
      </c>
      <c r="AA1269" s="10">
        <f>IFERROR(Mecze[[#This Row],[BR]]/Mecze[[#This Row],[ST]],0)</f>
        <v>0</v>
      </c>
      <c r="AB1269">
        <f>ROUND(Mecze[[#This Row],[PD]]*Mecze[[#This Row],[%PC]],0)</f>
        <v>4</v>
      </c>
      <c r="AC1269">
        <f>ROUND(Mecze[[#This Row],[OD]]*Mecze[[#This Row],[%OU]],0)</f>
        <v>0</v>
      </c>
      <c r="AD1269" s="36" t="s">
        <v>171</v>
      </c>
      <c r="AE1269" s="36">
        <v>69</v>
      </c>
      <c r="AF1269" s="71">
        <v>3.14</v>
      </c>
      <c r="AG1269" s="37">
        <v>0</v>
      </c>
      <c r="AH1269" s="37">
        <v>0</v>
      </c>
      <c r="AI1269" s="37">
        <v>28</v>
      </c>
      <c r="AJ1269" s="37">
        <v>4</v>
      </c>
      <c r="AK1269" s="37" t="str">
        <f>VLOOKUP(Mecze[[#This Row],[Match ID]],Meczusie[Mecz]:Meczusie[RodzajMeczu],2,FALSE)</f>
        <v>Liga</v>
      </c>
    </row>
    <row r="1270" spans="1:37" x14ac:dyDescent="0.25">
      <c r="A1270" s="76">
        <v>15</v>
      </c>
      <c r="B1270" s="3" t="s">
        <v>286</v>
      </c>
      <c r="C1270" s="2" t="s">
        <v>165</v>
      </c>
      <c r="D1270" s="1">
        <v>0</v>
      </c>
      <c r="E1270" s="1">
        <v>0</v>
      </c>
      <c r="F1270" s="1">
        <v>0</v>
      </c>
      <c r="G1270" s="1">
        <v>0</v>
      </c>
      <c r="H1270" s="72"/>
      <c r="I1270" s="1">
        <v>1</v>
      </c>
      <c r="J1270" s="4">
        <v>0</v>
      </c>
      <c r="K1270" s="1">
        <v>0</v>
      </c>
      <c r="L1270" s="1">
        <v>0</v>
      </c>
      <c r="M1270" s="32">
        <f>IF(Mecze[[#This Row],[PR]]=0,0,Mecze[[#This Row],[PR]]/Mecze[[#This Row],[CZAS]])</f>
        <v>0</v>
      </c>
      <c r="N1270" s="32">
        <f>IF(Mecze[[#This Row],[OU]]=0,0,Mecze[[#This Row],[OU]]/Mecze[[#This Row],[CZAS]])</f>
        <v>0</v>
      </c>
      <c r="O1270" s="32">
        <f>IF(Mecze[[#This Row],[PC]]=0,0,Mecze[[#This Row],[PC]]/Mecze[[#This Row],[CZAS]])</f>
        <v>0</v>
      </c>
      <c r="P1270" s="32">
        <f>IF(Mecze[[#This Row],[SC]]=0,0,Mecze[[#This Row],[SC]]/Mecze[[#This Row],[CZAS]])</f>
        <v>0</v>
      </c>
      <c r="Q1270" s="32">
        <f>IF(Mecze[[#This Row],[OB]]=0,0,Mecze[[#This Row],[OB]]/Mecze[[#This Row],[CZAS]])</f>
        <v>0</v>
      </c>
      <c r="R1270" s="32">
        <f>IF(Mecze[[#This Row],[BR]]=0,0,Mecze[[#This Row],[BR]]/Mecze[[#This Row],[CZAS]])</f>
        <v>0</v>
      </c>
      <c r="S1270" s="44">
        <f>IF(Mecze[[#This Row],[Role]]="BR",SUMPRODUCT(Mecze[[#This Row],[/PR:90]:[/BR:90]],Brudnopis!$E$23:$J$23),0)</f>
        <v>0</v>
      </c>
      <c r="T1270" s="44">
        <f>IF(Mecze[[#This Row],[Role]]&lt;&gt;"BR",SUMPRODUCT(Mecze[[#This Row],[/PR:90]:[/BR:90]],Brudnopis!$E$24:$J$24),0)</f>
        <v>0</v>
      </c>
      <c r="U1270" s="44">
        <f>IF(Mecze[[#This Row],[Role]]&lt;&gt;"BR",SUMPRODUCT(Mecze[[#This Row],[/PR:90]:[/BR:90]],Brudnopis!$E$25:$J$25),0)</f>
        <v>0</v>
      </c>
      <c r="V1270" s="44">
        <f>IF(Mecze[[#This Row],[Role]]&lt;&gt;"BR",SUMPRODUCT(Mecze[[#This Row],[/PR:90]:[/BR:90]],Brudnopis!$E$26:$J$26),0)</f>
        <v>0</v>
      </c>
      <c r="W1270" s="44">
        <f>IF(Mecze[[#This Row],[Role]]&lt;&gt;"BR",SUMPRODUCT(Mecze[[#This Row],[/PR:90]:[/BR:90]],Brudnopis!$E$27:$J$27),0)</f>
        <v>0</v>
      </c>
      <c r="X1270" s="44">
        <f>IF(Mecze[[#This Row],[Role]]&lt;&gt;"BR",SUMPRODUCT(Mecze[[#This Row],[/PR:90]:[/BR:90]],Brudnopis!$E$28:$J$28),0)</f>
        <v>0</v>
      </c>
      <c r="Y1270" s="35">
        <f>IF(Mecze[[#This Row],[Role]]="BR",Mecze[[#This Row],[/OB:90]]+Mecze[[#This Row],[/PC:90]],SUM(Mecze[[#This Row],[/PR:90]:[/BR:90]]))</f>
        <v>0</v>
      </c>
      <c r="Z1270" s="35">
        <f>IF(Mecze[[#This Row],[KC]]=0,SUM(Mecze[[#This Row],[/BRI]:[/NPI]]),SUM(Mecze[[#This Row],[/BRI]:[/NPI]])*0.6)</f>
        <v>0</v>
      </c>
      <c r="AA1270" s="10">
        <f>IFERROR(Mecze[[#This Row],[BR]]/Mecze[[#This Row],[ST]],0)</f>
        <v>0</v>
      </c>
      <c r="AB1270">
        <f>ROUND(Mecze[[#This Row],[PD]]*Mecze[[#This Row],[%PC]],0)</f>
        <v>0</v>
      </c>
      <c r="AC1270">
        <f>ROUND(Mecze[[#This Row],[OD]]*Mecze[[#This Row],[%OU]],0)</f>
        <v>0</v>
      </c>
      <c r="AD1270" s="36" t="s">
        <v>46</v>
      </c>
      <c r="AE1270" s="36">
        <v>69</v>
      </c>
      <c r="AF1270" s="71">
        <v>1.72</v>
      </c>
      <c r="AG1270" s="37">
        <v>0</v>
      </c>
      <c r="AH1270" s="37">
        <v>0</v>
      </c>
      <c r="AI1270" s="37">
        <v>20</v>
      </c>
      <c r="AJ1270" s="37">
        <v>4</v>
      </c>
      <c r="AK1270" s="37" t="str">
        <f>VLOOKUP(Mecze[[#This Row],[Match ID]],Meczusie[Mecz]:Meczusie[RodzajMeczu],2,FALSE)</f>
        <v>Liga</v>
      </c>
    </row>
    <row r="1271" spans="1:37" x14ac:dyDescent="0.25">
      <c r="A1271" s="76">
        <v>49</v>
      </c>
      <c r="B1271" s="3" t="s">
        <v>358</v>
      </c>
      <c r="C1271" s="2" t="s">
        <v>155</v>
      </c>
      <c r="D1271" s="1">
        <v>0</v>
      </c>
      <c r="E1271" s="1">
        <v>0</v>
      </c>
      <c r="F1271" s="1">
        <v>0</v>
      </c>
      <c r="G1271" s="1">
        <v>9</v>
      </c>
      <c r="H1271" s="4">
        <v>0.22</v>
      </c>
      <c r="I1271" s="1">
        <v>0</v>
      </c>
      <c r="J1271" s="4"/>
      <c r="K1271" s="1">
        <v>8</v>
      </c>
      <c r="L1271" s="1">
        <v>0</v>
      </c>
      <c r="M1271" s="32">
        <f>IF(Mecze[[#This Row],[PR]]=0,0,Mecze[[#This Row],[PR]]/Mecze[[#This Row],[CZAS]])</f>
        <v>0</v>
      </c>
      <c r="N1271" s="32">
        <f>IF(Mecze[[#This Row],[OU]]=0,0,Mecze[[#This Row],[OU]]/Mecze[[#This Row],[CZAS]])</f>
        <v>0</v>
      </c>
      <c r="O1271" s="32">
        <f>IF(Mecze[[#This Row],[PC]]=0,0,Mecze[[#This Row],[PC]]/Mecze[[#This Row],[CZAS]])</f>
        <v>2.0618556701030927E-2</v>
      </c>
      <c r="P1271" s="32">
        <f>IF(Mecze[[#This Row],[SC]]=0,0,Mecze[[#This Row],[SC]]/Mecze[[#This Row],[CZAS]])</f>
        <v>0</v>
      </c>
      <c r="Q1271" s="32">
        <f>IF(Mecze[[#This Row],[OB]]=0,0,Mecze[[#This Row],[OB]]/Mecze[[#This Row],[CZAS]])</f>
        <v>8.247422680412371E-2</v>
      </c>
      <c r="R1271" s="32">
        <f>IF(Mecze[[#This Row],[BR]]=0,0,Mecze[[#This Row],[BR]]/Mecze[[#This Row],[CZAS]])</f>
        <v>0</v>
      </c>
      <c r="S1271" s="44">
        <f>IF(Mecze[[#This Row],[Role]]="BR",SUMPRODUCT(Mecze[[#This Row],[/PR:90]:[/BR:90]],Brudnopis!$E$23:$J$23),0)</f>
        <v>0.30927835051546393</v>
      </c>
      <c r="T1271" s="44">
        <f>IF(Mecze[[#This Row],[Role]]&lt;&gt;"BR",SUMPRODUCT(Mecze[[#This Row],[/PR:90]:[/BR:90]],Brudnopis!$E$24:$J$24),0)</f>
        <v>0</v>
      </c>
      <c r="U1271" s="44">
        <f>IF(Mecze[[#This Row],[Role]]&lt;&gt;"BR",SUMPRODUCT(Mecze[[#This Row],[/PR:90]:[/BR:90]],Brudnopis!$E$25:$J$25),0)</f>
        <v>0</v>
      </c>
      <c r="V1271" s="44">
        <f>IF(Mecze[[#This Row],[Role]]&lt;&gt;"BR",SUMPRODUCT(Mecze[[#This Row],[/PR:90]:[/BR:90]],Brudnopis!$E$26:$J$26),0)</f>
        <v>0</v>
      </c>
      <c r="W1271" s="44">
        <f>IF(Mecze[[#This Row],[Role]]&lt;&gt;"BR",SUMPRODUCT(Mecze[[#This Row],[/PR:90]:[/BR:90]],Brudnopis!$E$27:$J$27),0)</f>
        <v>0</v>
      </c>
      <c r="X1271" s="44">
        <f>IF(Mecze[[#This Row],[Role]]&lt;&gt;"BR",SUMPRODUCT(Mecze[[#This Row],[/PR:90]:[/BR:90]],Brudnopis!$E$28:$J$28),0)</f>
        <v>0</v>
      </c>
      <c r="Y1271" s="35">
        <f>IF(Mecze[[#This Row],[Role]]="BR",Mecze[[#This Row],[/OB:90]]+Mecze[[#This Row],[/PC:90]],SUM(Mecze[[#This Row],[/PR:90]:[/BR:90]]))</f>
        <v>0.10309278350515463</v>
      </c>
      <c r="Z1271" s="35">
        <f>IF(Mecze[[#This Row],[KC]]=0,SUM(Mecze[[#This Row],[/BRI]:[/NPI]]),SUM(Mecze[[#This Row],[/BRI]:[/NPI]])*0.6)</f>
        <v>0.30927835051546393</v>
      </c>
      <c r="AA1271" s="10">
        <f>IFERROR(Mecze[[#This Row],[BR]]/Mecze[[#This Row],[ST]],0)</f>
        <v>0</v>
      </c>
      <c r="AB1271">
        <f>ROUND(Mecze[[#This Row],[PD]]*Mecze[[#This Row],[%PC]],0)</f>
        <v>2</v>
      </c>
      <c r="AC1271">
        <f>ROUND(Mecze[[#This Row],[OD]]*Mecze[[#This Row],[%OU]],0)</f>
        <v>0</v>
      </c>
      <c r="AD1271" s="36" t="s">
        <v>40</v>
      </c>
      <c r="AE1271" s="36">
        <v>70</v>
      </c>
      <c r="AF1271" s="71">
        <v>4.3899999999999997</v>
      </c>
      <c r="AG1271" s="37">
        <v>0</v>
      </c>
      <c r="AH1271" s="37">
        <v>0</v>
      </c>
      <c r="AI1271" s="37">
        <v>97</v>
      </c>
      <c r="AJ1271" s="37">
        <v>1</v>
      </c>
      <c r="AK1271" s="37" t="str">
        <f>VLOOKUP(Mecze[[#This Row],[Match ID]],Meczusie[Mecz]:Meczusie[RodzajMeczu],2,FALSE)</f>
        <v>Towarzyski</v>
      </c>
    </row>
    <row r="1272" spans="1:37" x14ac:dyDescent="0.25">
      <c r="A1272" s="76">
        <v>38</v>
      </c>
      <c r="B1272" s="3" t="s">
        <v>359</v>
      </c>
      <c r="C1272" s="2" t="s">
        <v>157</v>
      </c>
      <c r="D1272" s="1">
        <v>0</v>
      </c>
      <c r="E1272" s="1">
        <v>0</v>
      </c>
      <c r="F1272" s="1">
        <v>0</v>
      </c>
      <c r="G1272" s="1">
        <v>14</v>
      </c>
      <c r="H1272" s="4">
        <v>0.5</v>
      </c>
      <c r="I1272" s="1">
        <v>5</v>
      </c>
      <c r="J1272" s="4">
        <v>0.2</v>
      </c>
      <c r="K1272" s="1">
        <v>0</v>
      </c>
      <c r="L1272" s="1">
        <v>22</v>
      </c>
      <c r="M1272" s="32">
        <f>IF(Mecze[[#This Row],[PR]]=0,0,Mecze[[#This Row],[PR]]/Mecze[[#This Row],[CZAS]])</f>
        <v>0.22680412371134021</v>
      </c>
      <c r="N1272" s="32">
        <f>IF(Mecze[[#This Row],[OU]]=0,0,Mecze[[#This Row],[OU]]/Mecze[[#This Row],[CZAS]])</f>
        <v>1.0309278350515464E-2</v>
      </c>
      <c r="O1272" s="32">
        <f>IF(Mecze[[#This Row],[PC]]=0,0,Mecze[[#This Row],[PC]]/Mecze[[#This Row],[CZAS]])</f>
        <v>7.2164948453608241E-2</v>
      </c>
      <c r="P1272" s="32">
        <f>IF(Mecze[[#This Row],[SC]]=0,0,Mecze[[#This Row],[SC]]/Mecze[[#This Row],[CZAS]])</f>
        <v>0</v>
      </c>
      <c r="Q1272" s="32">
        <f>IF(Mecze[[#This Row],[OB]]=0,0,Mecze[[#This Row],[OB]]/Mecze[[#This Row],[CZAS]])</f>
        <v>0</v>
      </c>
      <c r="R1272" s="32">
        <f>IF(Mecze[[#This Row],[BR]]=0,0,Mecze[[#This Row],[BR]]/Mecze[[#This Row],[CZAS]])</f>
        <v>0</v>
      </c>
      <c r="S1272" s="44">
        <f>IF(Mecze[[#This Row],[Role]]="BR",SUMPRODUCT(Mecze[[#This Row],[/PR:90]:[/BR:90]],Brudnopis!$E$23:$J$23),0)</f>
        <v>0</v>
      </c>
      <c r="T1272" s="44">
        <f>IF(Mecze[[#This Row],[Role]]&lt;&gt;"BR",SUMPRODUCT(Mecze[[#This Row],[/PR:90]:[/BR:90]],Brudnopis!$E$24:$J$24),0)</f>
        <v>0.31443298969072164</v>
      </c>
      <c r="U1272" s="44">
        <f>IF(Mecze[[#This Row],[Role]]&lt;&gt;"BR",SUMPRODUCT(Mecze[[#This Row],[/PR:90]:[/BR:90]],Brudnopis!$E$25:$J$25),0)</f>
        <v>0.34536082474226804</v>
      </c>
      <c r="V1272" s="44">
        <f>IF(Mecze[[#This Row],[Role]]&lt;&gt;"BR",SUMPRODUCT(Mecze[[#This Row],[/PR:90]:[/BR:90]],Brudnopis!$E$26:$J$26),0)</f>
        <v>0.30927835051546393</v>
      </c>
      <c r="W1272" s="44">
        <f>IF(Mecze[[#This Row],[Role]]&lt;&gt;"BR",SUMPRODUCT(Mecze[[#This Row],[/PR:90]:[/BR:90]],Brudnopis!$E$27:$J$27),0)</f>
        <v>0.28608247422680411</v>
      </c>
      <c r="X1272" s="44">
        <f>IF(Mecze[[#This Row],[Role]]&lt;&gt;"BR",SUMPRODUCT(Mecze[[#This Row],[/PR:90]:[/BR:90]],Brudnopis!$E$28:$J$28),0)</f>
        <v>7.2164948453608241E-2</v>
      </c>
      <c r="Y1272" s="35">
        <f>IF(Mecze[[#This Row],[Role]]="BR",Mecze[[#This Row],[/OB:90]]+Mecze[[#This Row],[/PC:90]],SUM(Mecze[[#This Row],[/PR:90]:[/BR:90]]))</f>
        <v>0.30927835051546393</v>
      </c>
      <c r="Z1272" s="35">
        <f>IF(Mecze[[#This Row],[KC]]=0,SUM(Mecze[[#This Row],[/BRI]:[/NPI]]),SUM(Mecze[[#This Row],[/BRI]:[/NPI]])*0.6)</f>
        <v>1.3273195876288659</v>
      </c>
      <c r="AA1272" s="10">
        <f>IFERROR(Mecze[[#This Row],[BR]]/Mecze[[#This Row],[ST]],0)</f>
        <v>0</v>
      </c>
      <c r="AB1272">
        <f>ROUND(Mecze[[#This Row],[PD]]*Mecze[[#This Row],[%PC]],0)</f>
        <v>7</v>
      </c>
      <c r="AC1272">
        <f>ROUND(Mecze[[#This Row],[OD]]*Mecze[[#This Row],[%OU]],0)</f>
        <v>1</v>
      </c>
      <c r="AD1272" s="36" t="s">
        <v>47</v>
      </c>
      <c r="AE1272" s="36">
        <v>70</v>
      </c>
      <c r="AF1272" s="71">
        <v>6.21</v>
      </c>
      <c r="AG1272" s="37">
        <v>0</v>
      </c>
      <c r="AH1272" s="37">
        <v>0</v>
      </c>
      <c r="AI1272" s="37">
        <v>97</v>
      </c>
      <c r="AJ1272" s="37">
        <v>1</v>
      </c>
      <c r="AK1272" s="37" t="str">
        <f>VLOOKUP(Mecze[[#This Row],[Match ID]],Meczusie[Mecz]:Meczusie[RodzajMeczu],2,FALSE)</f>
        <v>Towarzyski</v>
      </c>
    </row>
    <row r="1273" spans="1:37" x14ac:dyDescent="0.25">
      <c r="A1273" s="76">
        <v>4</v>
      </c>
      <c r="B1273" s="3" t="s">
        <v>360</v>
      </c>
      <c r="C1273" s="2" t="s">
        <v>157</v>
      </c>
      <c r="D1273" s="1">
        <v>0</v>
      </c>
      <c r="E1273" s="1">
        <v>0</v>
      </c>
      <c r="F1273" s="1">
        <v>0</v>
      </c>
      <c r="G1273" s="1">
        <v>9</v>
      </c>
      <c r="H1273" s="4">
        <v>0.33</v>
      </c>
      <c r="I1273" s="1">
        <v>4</v>
      </c>
      <c r="J1273" s="4">
        <v>0.5</v>
      </c>
      <c r="K1273" s="1">
        <v>0</v>
      </c>
      <c r="L1273" s="1">
        <v>6</v>
      </c>
      <c r="M1273" s="32">
        <f>IF(Mecze[[#This Row],[PR]]=0,0,Mecze[[#This Row],[PR]]/Mecze[[#This Row],[CZAS]])</f>
        <v>6.1855670103092786E-2</v>
      </c>
      <c r="N1273" s="32">
        <f>IF(Mecze[[#This Row],[OU]]=0,0,Mecze[[#This Row],[OU]]/Mecze[[#This Row],[CZAS]])</f>
        <v>2.0618556701030927E-2</v>
      </c>
      <c r="O1273" s="32">
        <f>IF(Mecze[[#This Row],[PC]]=0,0,Mecze[[#This Row],[PC]]/Mecze[[#This Row],[CZAS]])</f>
        <v>3.0927835051546393E-2</v>
      </c>
      <c r="P1273" s="32">
        <f>IF(Mecze[[#This Row],[SC]]=0,0,Mecze[[#This Row],[SC]]/Mecze[[#This Row],[CZAS]])</f>
        <v>0</v>
      </c>
      <c r="Q1273" s="32">
        <f>IF(Mecze[[#This Row],[OB]]=0,0,Mecze[[#This Row],[OB]]/Mecze[[#This Row],[CZAS]])</f>
        <v>0</v>
      </c>
      <c r="R1273" s="32">
        <f>IF(Mecze[[#This Row],[BR]]=0,0,Mecze[[#This Row],[BR]]/Mecze[[#This Row],[CZAS]])</f>
        <v>0</v>
      </c>
      <c r="S1273" s="44">
        <f>IF(Mecze[[#This Row],[Role]]="BR",SUMPRODUCT(Mecze[[#This Row],[/PR:90]:[/BR:90]],Brudnopis!$E$23:$J$23),0)</f>
        <v>0</v>
      </c>
      <c r="T1273" s="44">
        <f>IF(Mecze[[#This Row],[Role]]&lt;&gt;"BR",SUMPRODUCT(Mecze[[#This Row],[/PR:90]:[/BR:90]],Brudnopis!$E$24:$J$24),0)</f>
        <v>0.12371134020618557</v>
      </c>
      <c r="U1273" s="44">
        <f>IF(Mecze[[#This Row],[Role]]&lt;&gt;"BR",SUMPRODUCT(Mecze[[#This Row],[/PR:90]:[/BR:90]],Brudnopis!$E$25:$J$25),0)</f>
        <v>0.12886597938144329</v>
      </c>
      <c r="V1273" s="44">
        <f>IF(Mecze[[#This Row],[Role]]&lt;&gt;"BR",SUMPRODUCT(Mecze[[#This Row],[/PR:90]:[/BR:90]],Brudnopis!$E$26:$J$26),0)</f>
        <v>0.1134020618556701</v>
      </c>
      <c r="W1273" s="44">
        <f>IF(Mecze[[#This Row],[Role]]&lt;&gt;"BR",SUMPRODUCT(Mecze[[#This Row],[/PR:90]:[/BR:90]],Brudnopis!$E$27:$J$27),0)</f>
        <v>0.10824742268041238</v>
      </c>
      <c r="X1273" s="44">
        <f>IF(Mecze[[#This Row],[Role]]&lt;&gt;"BR",SUMPRODUCT(Mecze[[#This Row],[/PR:90]:[/BR:90]],Brudnopis!$E$28:$J$28),0)</f>
        <v>3.0927835051546393E-2</v>
      </c>
      <c r="Y1273" s="35">
        <f>IF(Mecze[[#This Row],[Role]]="BR",Mecze[[#This Row],[/OB:90]]+Mecze[[#This Row],[/PC:90]],SUM(Mecze[[#This Row],[/PR:90]:[/BR:90]]))</f>
        <v>0.1134020618556701</v>
      </c>
      <c r="Z1273" s="35">
        <f>IF(Mecze[[#This Row],[KC]]=0,SUM(Mecze[[#This Row],[/BRI]:[/NPI]]),SUM(Mecze[[#This Row],[/BRI]:[/NPI]])*0.6)</f>
        <v>0.50515463917525771</v>
      </c>
      <c r="AA1273" s="10">
        <f>IFERROR(Mecze[[#This Row],[BR]]/Mecze[[#This Row],[ST]],0)</f>
        <v>0</v>
      </c>
      <c r="AB1273">
        <f>ROUND(Mecze[[#This Row],[PD]]*Mecze[[#This Row],[%PC]],0)</f>
        <v>3</v>
      </c>
      <c r="AC1273">
        <f>ROUND(Mecze[[#This Row],[OD]]*Mecze[[#This Row],[%OU]],0)</f>
        <v>2</v>
      </c>
      <c r="AD1273" s="36" t="s">
        <v>168</v>
      </c>
      <c r="AE1273" s="36">
        <v>70</v>
      </c>
      <c r="AF1273" s="71">
        <v>3.97</v>
      </c>
      <c r="AG1273" s="37">
        <v>0</v>
      </c>
      <c r="AH1273" s="37">
        <v>0</v>
      </c>
      <c r="AI1273" s="37">
        <v>97</v>
      </c>
      <c r="AJ1273" s="37">
        <v>1</v>
      </c>
      <c r="AK1273" s="37" t="str">
        <f>VLOOKUP(Mecze[[#This Row],[Match ID]],Meczusie[Mecz]:Meczusie[RodzajMeczu],2,FALSE)</f>
        <v>Towarzyski</v>
      </c>
    </row>
    <row r="1274" spans="1:37" x14ac:dyDescent="0.25">
      <c r="A1274" s="76">
        <v>42</v>
      </c>
      <c r="B1274" s="3" t="s">
        <v>361</v>
      </c>
      <c r="C1274" s="2" t="s">
        <v>157</v>
      </c>
      <c r="D1274" s="1">
        <v>0</v>
      </c>
      <c r="E1274" s="1">
        <v>0</v>
      </c>
      <c r="F1274" s="1">
        <v>0</v>
      </c>
      <c r="G1274" s="1">
        <v>4</v>
      </c>
      <c r="H1274" s="4">
        <v>0.25</v>
      </c>
      <c r="I1274" s="1">
        <v>1</v>
      </c>
      <c r="J1274" s="4">
        <v>1</v>
      </c>
      <c r="K1274" s="1">
        <v>0</v>
      </c>
      <c r="L1274" s="1">
        <v>7</v>
      </c>
      <c r="M1274" s="32">
        <f>IF(Mecze[[#This Row],[PR]]=0,0,Mecze[[#This Row],[PR]]/Mecze[[#This Row],[CZAS]])</f>
        <v>7.2164948453608241E-2</v>
      </c>
      <c r="N1274" s="32">
        <f>IF(Mecze[[#This Row],[OU]]=0,0,Mecze[[#This Row],[OU]]/Mecze[[#This Row],[CZAS]])</f>
        <v>1.0309278350515464E-2</v>
      </c>
      <c r="O1274" s="32">
        <f>IF(Mecze[[#This Row],[PC]]=0,0,Mecze[[#This Row],[PC]]/Mecze[[#This Row],[CZAS]])</f>
        <v>1.0309278350515464E-2</v>
      </c>
      <c r="P1274" s="32">
        <f>IF(Mecze[[#This Row],[SC]]=0,0,Mecze[[#This Row],[SC]]/Mecze[[#This Row],[CZAS]])</f>
        <v>0</v>
      </c>
      <c r="Q1274" s="32">
        <f>IF(Mecze[[#This Row],[OB]]=0,0,Mecze[[#This Row],[OB]]/Mecze[[#This Row],[CZAS]])</f>
        <v>0</v>
      </c>
      <c r="R1274" s="32">
        <f>IF(Mecze[[#This Row],[BR]]=0,0,Mecze[[#This Row],[BR]]/Mecze[[#This Row],[CZAS]])</f>
        <v>0</v>
      </c>
      <c r="S1274" s="44">
        <f>IF(Mecze[[#This Row],[Role]]="BR",SUMPRODUCT(Mecze[[#This Row],[/PR:90]:[/BR:90]],Brudnopis!$E$23:$J$23),0)</f>
        <v>0</v>
      </c>
      <c r="T1274" s="44">
        <f>IF(Mecze[[#This Row],[Role]]&lt;&gt;"BR",SUMPRODUCT(Mecze[[#This Row],[/PR:90]:[/BR:90]],Brudnopis!$E$24:$J$24),0)</f>
        <v>9.7938144329896906E-2</v>
      </c>
      <c r="U1274" s="44">
        <f>IF(Mecze[[#This Row],[Role]]&lt;&gt;"BR",SUMPRODUCT(Mecze[[#This Row],[/PR:90]:[/BR:90]],Brudnopis!$E$25:$J$25),0)</f>
        <v>9.7938144329896906E-2</v>
      </c>
      <c r="V1274" s="44">
        <f>IF(Mecze[[#This Row],[Role]]&lt;&gt;"BR",SUMPRODUCT(Mecze[[#This Row],[/PR:90]:[/BR:90]],Brudnopis!$E$26:$J$26),0)</f>
        <v>9.2783505154639179E-2</v>
      </c>
      <c r="W1274" s="44">
        <f>IF(Mecze[[#This Row],[Role]]&lt;&gt;"BR",SUMPRODUCT(Mecze[[#This Row],[/PR:90]:[/BR:90]],Brudnopis!$E$27:$J$27),0)</f>
        <v>7.7319587628865982E-2</v>
      </c>
      <c r="X1274" s="44">
        <f>IF(Mecze[[#This Row],[Role]]&lt;&gt;"BR",SUMPRODUCT(Mecze[[#This Row],[/PR:90]:[/BR:90]],Brudnopis!$E$28:$J$28),0)</f>
        <v>1.0309278350515464E-2</v>
      </c>
      <c r="Y1274" s="35">
        <f>IF(Mecze[[#This Row],[Role]]="BR",Mecze[[#This Row],[/OB:90]]+Mecze[[#This Row],[/PC:90]],SUM(Mecze[[#This Row],[/PR:90]:[/BR:90]]))</f>
        <v>9.2783505154639179E-2</v>
      </c>
      <c r="Z1274" s="35">
        <f>IF(Mecze[[#This Row],[KC]]=0,SUM(Mecze[[#This Row],[/BRI]:[/NPI]]),SUM(Mecze[[#This Row],[/BRI]:[/NPI]])*0.6)</f>
        <v>0.37628865979381443</v>
      </c>
      <c r="AA1274" s="10">
        <f>IFERROR(Mecze[[#This Row],[BR]]/Mecze[[#This Row],[ST]],0)</f>
        <v>0</v>
      </c>
      <c r="AB1274">
        <f>ROUND(Mecze[[#This Row],[PD]]*Mecze[[#This Row],[%PC]],0)</f>
        <v>1</v>
      </c>
      <c r="AC1274">
        <f>ROUND(Mecze[[#This Row],[OD]]*Mecze[[#This Row],[%OU]],0)</f>
        <v>1</v>
      </c>
      <c r="AD1274" s="36" t="s">
        <v>167</v>
      </c>
      <c r="AE1274" s="36">
        <v>70</v>
      </c>
      <c r="AF1274" s="71">
        <v>3.06</v>
      </c>
      <c r="AG1274" s="37">
        <v>0</v>
      </c>
      <c r="AH1274" s="37">
        <v>0</v>
      </c>
      <c r="AI1274" s="37">
        <v>97</v>
      </c>
      <c r="AJ1274" s="37">
        <v>1</v>
      </c>
      <c r="AK1274" s="37" t="str">
        <f>VLOOKUP(Mecze[[#This Row],[Match ID]],Meczusie[Mecz]:Meczusie[RodzajMeczu],2,FALSE)</f>
        <v>Towarzyski</v>
      </c>
    </row>
    <row r="1275" spans="1:37" x14ac:dyDescent="0.25">
      <c r="A1275" s="76">
        <v>33</v>
      </c>
      <c r="B1275" s="3" t="s">
        <v>362</v>
      </c>
      <c r="C1275" s="2" t="s">
        <v>160</v>
      </c>
      <c r="D1275" s="1">
        <v>0</v>
      </c>
      <c r="E1275" s="1">
        <v>0</v>
      </c>
      <c r="F1275" s="1">
        <v>0</v>
      </c>
      <c r="G1275" s="1">
        <v>13</v>
      </c>
      <c r="H1275" s="4">
        <v>0.08</v>
      </c>
      <c r="I1275" s="1">
        <v>9</v>
      </c>
      <c r="J1275" s="4">
        <v>0.22</v>
      </c>
      <c r="K1275" s="1">
        <v>0</v>
      </c>
      <c r="L1275" s="1">
        <v>10</v>
      </c>
      <c r="M1275" s="32">
        <f>IF(Mecze[[#This Row],[PR]]=0,0,Mecze[[#This Row],[PR]]/Mecze[[#This Row],[CZAS]])</f>
        <v>0.10309278350515463</v>
      </c>
      <c r="N1275" s="32">
        <f>IF(Mecze[[#This Row],[OU]]=0,0,Mecze[[#This Row],[OU]]/Mecze[[#This Row],[CZAS]])</f>
        <v>2.0618556701030927E-2</v>
      </c>
      <c r="O1275" s="32">
        <f>IF(Mecze[[#This Row],[PC]]=0,0,Mecze[[#This Row],[PC]]/Mecze[[#This Row],[CZAS]])</f>
        <v>1.0309278350515464E-2</v>
      </c>
      <c r="P1275" s="32">
        <f>IF(Mecze[[#This Row],[SC]]=0,0,Mecze[[#This Row],[SC]]/Mecze[[#This Row],[CZAS]])</f>
        <v>0</v>
      </c>
      <c r="Q1275" s="32">
        <f>IF(Mecze[[#This Row],[OB]]=0,0,Mecze[[#This Row],[OB]]/Mecze[[#This Row],[CZAS]])</f>
        <v>0</v>
      </c>
      <c r="R1275" s="32">
        <f>IF(Mecze[[#This Row],[BR]]=0,0,Mecze[[#This Row],[BR]]/Mecze[[#This Row],[CZAS]])</f>
        <v>0</v>
      </c>
      <c r="S1275" s="44">
        <f>IF(Mecze[[#This Row],[Role]]="BR",SUMPRODUCT(Mecze[[#This Row],[/PR:90]:[/BR:90]],Brudnopis!$E$23:$J$23),0)</f>
        <v>0</v>
      </c>
      <c r="T1275" s="44">
        <f>IF(Mecze[[#This Row],[Role]]&lt;&gt;"BR",SUMPRODUCT(Mecze[[#This Row],[/PR:90]:[/BR:90]],Brudnopis!$E$24:$J$24),0)</f>
        <v>0.14432989690721648</v>
      </c>
      <c r="U1275" s="44">
        <f>IF(Mecze[[#This Row],[Role]]&lt;&gt;"BR",SUMPRODUCT(Mecze[[#This Row],[/PR:90]:[/BR:90]],Brudnopis!$E$25:$J$25),0)</f>
        <v>0.13917525773195877</v>
      </c>
      <c r="V1275" s="44">
        <f>IF(Mecze[[#This Row],[Role]]&lt;&gt;"BR",SUMPRODUCT(Mecze[[#This Row],[/PR:90]:[/BR:90]],Brudnopis!$E$26:$J$26),0)</f>
        <v>0.13402061855670103</v>
      </c>
      <c r="W1275" s="44">
        <f>IF(Mecze[[#This Row],[Role]]&lt;&gt;"BR",SUMPRODUCT(Mecze[[#This Row],[/PR:90]:[/BR:90]],Brudnopis!$E$27:$J$27),0)</f>
        <v>0.10824742268041238</v>
      </c>
      <c r="X1275" s="44">
        <f>IF(Mecze[[#This Row],[Role]]&lt;&gt;"BR",SUMPRODUCT(Mecze[[#This Row],[/PR:90]:[/BR:90]],Brudnopis!$E$28:$J$28),0)</f>
        <v>1.0309278350515464E-2</v>
      </c>
      <c r="Y1275" s="35">
        <f>IF(Mecze[[#This Row],[Role]]="BR",Mecze[[#This Row],[/OB:90]]+Mecze[[#This Row],[/PC:90]],SUM(Mecze[[#This Row],[/PR:90]:[/BR:90]]))</f>
        <v>0.13402061855670103</v>
      </c>
      <c r="Z1275" s="35">
        <f>IF(Mecze[[#This Row],[KC]]=0,SUM(Mecze[[#This Row],[/BRI]:[/NPI]]),SUM(Mecze[[#This Row],[/BRI]:[/NPI]])*0.6)</f>
        <v>0.536082474226804</v>
      </c>
      <c r="AA1275" s="10">
        <f>IFERROR(Mecze[[#This Row],[BR]]/Mecze[[#This Row],[ST]],0)</f>
        <v>0</v>
      </c>
      <c r="AB1275">
        <f>ROUND(Mecze[[#This Row],[PD]]*Mecze[[#This Row],[%PC]],0)</f>
        <v>1</v>
      </c>
      <c r="AC1275">
        <f>ROUND(Mecze[[#This Row],[OD]]*Mecze[[#This Row],[%OU]],0)</f>
        <v>2</v>
      </c>
      <c r="AD1275" s="36" t="s">
        <v>41</v>
      </c>
      <c r="AE1275" s="36">
        <v>70</v>
      </c>
      <c r="AF1275" s="71">
        <v>3.69</v>
      </c>
      <c r="AG1275" s="37">
        <v>1</v>
      </c>
      <c r="AH1275" s="37">
        <v>0</v>
      </c>
      <c r="AI1275" s="37">
        <v>97</v>
      </c>
      <c r="AJ1275" s="37">
        <v>1</v>
      </c>
      <c r="AK1275" s="37" t="str">
        <f>VLOOKUP(Mecze[[#This Row],[Match ID]],Meczusie[Mecz]:Meczusie[RodzajMeczu],2,FALSE)</f>
        <v>Towarzyski</v>
      </c>
    </row>
    <row r="1276" spans="1:37" x14ac:dyDescent="0.25">
      <c r="A1276" s="76">
        <v>22</v>
      </c>
      <c r="B1276" s="3" t="s">
        <v>363</v>
      </c>
      <c r="C1276" s="2" t="s">
        <v>160</v>
      </c>
      <c r="D1276" s="1">
        <v>0</v>
      </c>
      <c r="E1276" s="1">
        <v>0</v>
      </c>
      <c r="F1276" s="1">
        <v>0</v>
      </c>
      <c r="G1276" s="1">
        <v>12</v>
      </c>
      <c r="H1276" s="4">
        <v>0.67</v>
      </c>
      <c r="I1276" s="1">
        <v>6</v>
      </c>
      <c r="J1276" s="4">
        <v>0.17</v>
      </c>
      <c r="K1276" s="1">
        <v>0</v>
      </c>
      <c r="L1276" s="1">
        <v>9</v>
      </c>
      <c r="M1276" s="32">
        <f>IF(Mecze[[#This Row],[PR]]=0,0,Mecze[[#This Row],[PR]]/Mecze[[#This Row],[CZAS]])</f>
        <v>9.2783505154639179E-2</v>
      </c>
      <c r="N1276" s="32">
        <f>IF(Mecze[[#This Row],[OU]]=0,0,Mecze[[#This Row],[OU]]/Mecze[[#This Row],[CZAS]])</f>
        <v>1.0309278350515464E-2</v>
      </c>
      <c r="O1276" s="32">
        <f>IF(Mecze[[#This Row],[PC]]=0,0,Mecze[[#This Row],[PC]]/Mecze[[#This Row],[CZAS]])</f>
        <v>8.247422680412371E-2</v>
      </c>
      <c r="P1276" s="32">
        <f>IF(Mecze[[#This Row],[SC]]=0,0,Mecze[[#This Row],[SC]]/Mecze[[#This Row],[CZAS]])</f>
        <v>0</v>
      </c>
      <c r="Q1276" s="32">
        <f>IF(Mecze[[#This Row],[OB]]=0,0,Mecze[[#This Row],[OB]]/Mecze[[#This Row],[CZAS]])</f>
        <v>0</v>
      </c>
      <c r="R1276" s="32">
        <f>IF(Mecze[[#This Row],[BR]]=0,0,Mecze[[#This Row],[BR]]/Mecze[[#This Row],[CZAS]])</f>
        <v>0</v>
      </c>
      <c r="S1276" s="44">
        <f>IF(Mecze[[#This Row],[Role]]="BR",SUMPRODUCT(Mecze[[#This Row],[/PR:90]:[/BR:90]],Brudnopis!$E$23:$J$23),0)</f>
        <v>0</v>
      </c>
      <c r="T1276" s="44">
        <f>IF(Mecze[[#This Row],[Role]]&lt;&gt;"BR",SUMPRODUCT(Mecze[[#This Row],[/PR:90]:[/BR:90]],Brudnopis!$E$24:$J$24),0)</f>
        <v>0.19072164948453607</v>
      </c>
      <c r="U1276" s="44">
        <f>IF(Mecze[[#This Row],[Role]]&lt;&gt;"BR",SUMPRODUCT(Mecze[[#This Row],[/PR:90]:[/BR:90]],Brudnopis!$E$25:$J$25),0)</f>
        <v>0.22680412371134023</v>
      </c>
      <c r="V1276" s="44">
        <f>IF(Mecze[[#This Row],[Role]]&lt;&gt;"BR",SUMPRODUCT(Mecze[[#This Row],[/PR:90]:[/BR:90]],Brudnopis!$E$26:$J$26),0)</f>
        <v>0.18556701030927836</v>
      </c>
      <c r="W1276" s="44">
        <f>IF(Mecze[[#This Row],[Role]]&lt;&gt;"BR",SUMPRODUCT(Mecze[[#This Row],[/PR:90]:[/BR:90]],Brudnopis!$E$27:$J$27),0)</f>
        <v>0.20103092783505155</v>
      </c>
      <c r="X1276" s="44">
        <f>IF(Mecze[[#This Row],[Role]]&lt;&gt;"BR",SUMPRODUCT(Mecze[[#This Row],[/PR:90]:[/BR:90]],Brudnopis!$E$28:$J$28),0)</f>
        <v>8.247422680412371E-2</v>
      </c>
      <c r="Y1276" s="35">
        <f>IF(Mecze[[#This Row],[Role]]="BR",Mecze[[#This Row],[/OB:90]]+Mecze[[#This Row],[/PC:90]],SUM(Mecze[[#This Row],[/PR:90]:[/BR:90]]))</f>
        <v>0.18556701030927836</v>
      </c>
      <c r="Z1276" s="35">
        <f>IF(Mecze[[#This Row],[KC]]=0,SUM(Mecze[[#This Row],[/BRI]:[/NPI]]),SUM(Mecze[[#This Row],[/BRI]:[/NPI]])*0.6)</f>
        <v>0.88659793814432997</v>
      </c>
      <c r="AA1276" s="10">
        <f>IFERROR(Mecze[[#This Row],[BR]]/Mecze[[#This Row],[ST]],0)</f>
        <v>0</v>
      </c>
      <c r="AB1276">
        <f>ROUND(Mecze[[#This Row],[PD]]*Mecze[[#This Row],[%PC]],0)</f>
        <v>8</v>
      </c>
      <c r="AC1276">
        <f>ROUND(Mecze[[#This Row],[OD]]*Mecze[[#This Row],[%OU]],0)</f>
        <v>1</v>
      </c>
      <c r="AD1276" s="36" t="s">
        <v>41</v>
      </c>
      <c r="AE1276" s="36">
        <v>70</v>
      </c>
      <c r="AF1276" s="71">
        <v>5.8</v>
      </c>
      <c r="AG1276" s="37">
        <v>0</v>
      </c>
      <c r="AH1276" s="37">
        <v>0</v>
      </c>
      <c r="AI1276" s="37">
        <v>97</v>
      </c>
      <c r="AJ1276" s="37">
        <v>1</v>
      </c>
      <c r="AK1276" s="37" t="str">
        <f>VLOOKUP(Mecze[[#This Row],[Match ID]],Meczusie[Mecz]:Meczusie[RodzajMeczu],2,FALSE)</f>
        <v>Towarzyski</v>
      </c>
    </row>
    <row r="1277" spans="1:37" x14ac:dyDescent="0.25">
      <c r="A1277" s="76">
        <v>27</v>
      </c>
      <c r="B1277" s="3" t="s">
        <v>364</v>
      </c>
      <c r="C1277" s="2" t="s">
        <v>160</v>
      </c>
      <c r="D1277" s="1">
        <v>0</v>
      </c>
      <c r="E1277" s="1">
        <v>0</v>
      </c>
      <c r="F1277" s="1">
        <v>0</v>
      </c>
      <c r="G1277" s="1">
        <v>7</v>
      </c>
      <c r="H1277" s="4">
        <v>0.28999999999999998</v>
      </c>
      <c r="I1277" s="1">
        <v>4</v>
      </c>
      <c r="J1277" s="4">
        <v>0</v>
      </c>
      <c r="K1277" s="1">
        <v>0</v>
      </c>
      <c r="L1277" s="1">
        <v>3</v>
      </c>
      <c r="M1277" s="32">
        <f>IF(Mecze[[#This Row],[PR]]=0,0,Mecze[[#This Row],[PR]]/Mecze[[#This Row],[CZAS]])</f>
        <v>3.0927835051546393E-2</v>
      </c>
      <c r="N1277" s="32">
        <f>IF(Mecze[[#This Row],[OU]]=0,0,Mecze[[#This Row],[OU]]/Mecze[[#This Row],[CZAS]])</f>
        <v>0</v>
      </c>
      <c r="O1277" s="32">
        <f>IF(Mecze[[#This Row],[PC]]=0,0,Mecze[[#This Row],[PC]]/Mecze[[#This Row],[CZAS]])</f>
        <v>2.0618556701030927E-2</v>
      </c>
      <c r="P1277" s="32">
        <f>IF(Mecze[[#This Row],[SC]]=0,0,Mecze[[#This Row],[SC]]/Mecze[[#This Row],[CZAS]])</f>
        <v>0</v>
      </c>
      <c r="Q1277" s="32">
        <f>IF(Mecze[[#This Row],[OB]]=0,0,Mecze[[#This Row],[OB]]/Mecze[[#This Row],[CZAS]])</f>
        <v>0</v>
      </c>
      <c r="R1277" s="32">
        <f>IF(Mecze[[#This Row],[BR]]=0,0,Mecze[[#This Row],[BR]]/Mecze[[#This Row],[CZAS]])</f>
        <v>0</v>
      </c>
      <c r="S1277" s="44">
        <f>IF(Mecze[[#This Row],[Role]]="BR",SUMPRODUCT(Mecze[[#This Row],[/PR:90]:[/BR:90]],Brudnopis!$E$23:$J$23),0)</f>
        <v>0</v>
      </c>
      <c r="T1277" s="44">
        <f>IF(Mecze[[#This Row],[Role]]&lt;&gt;"BR",SUMPRODUCT(Mecze[[#This Row],[/PR:90]:[/BR:90]],Brudnopis!$E$24:$J$24),0)</f>
        <v>5.1546391752577317E-2</v>
      </c>
      <c r="U1277" s="44">
        <f>IF(Mecze[[#This Row],[Role]]&lt;&gt;"BR",SUMPRODUCT(Mecze[[#This Row],[/PR:90]:[/BR:90]],Brudnopis!$E$25:$J$25),0)</f>
        <v>6.1855670103092786E-2</v>
      </c>
      <c r="V1277" s="44">
        <f>IF(Mecze[[#This Row],[Role]]&lt;&gt;"BR",SUMPRODUCT(Mecze[[#This Row],[/PR:90]:[/BR:90]],Brudnopis!$E$26:$J$26),0)</f>
        <v>5.1546391752577317E-2</v>
      </c>
      <c r="W1277" s="44">
        <f>IF(Mecze[[#This Row],[Role]]&lt;&gt;"BR",SUMPRODUCT(Mecze[[#This Row],[/PR:90]:[/BR:90]],Brudnopis!$E$27:$J$27),0)</f>
        <v>5.4123711340206188E-2</v>
      </c>
      <c r="X1277" s="44">
        <f>IF(Mecze[[#This Row],[Role]]&lt;&gt;"BR",SUMPRODUCT(Mecze[[#This Row],[/PR:90]:[/BR:90]],Brudnopis!$E$28:$J$28),0)</f>
        <v>2.0618556701030927E-2</v>
      </c>
      <c r="Y1277" s="35">
        <f>IF(Mecze[[#This Row],[Role]]="BR",Mecze[[#This Row],[/OB:90]]+Mecze[[#This Row],[/PC:90]],SUM(Mecze[[#This Row],[/PR:90]:[/BR:90]]))</f>
        <v>5.1546391752577317E-2</v>
      </c>
      <c r="Z1277" s="35">
        <f>IF(Mecze[[#This Row],[KC]]=0,SUM(Mecze[[#This Row],[/BRI]:[/NPI]]),SUM(Mecze[[#This Row],[/BRI]:[/NPI]])*0.6)</f>
        <v>0.23969072164948454</v>
      </c>
      <c r="AA1277" s="10">
        <f>IFERROR(Mecze[[#This Row],[BR]]/Mecze[[#This Row],[ST]],0)</f>
        <v>0</v>
      </c>
      <c r="AB1277">
        <f>ROUND(Mecze[[#This Row],[PD]]*Mecze[[#This Row],[%PC]],0)</f>
        <v>2</v>
      </c>
      <c r="AC1277">
        <f>ROUND(Mecze[[#This Row],[OD]]*Mecze[[#This Row],[%OU]],0)</f>
        <v>0</v>
      </c>
      <c r="AD1277" s="36" t="s">
        <v>44</v>
      </c>
      <c r="AE1277" s="36">
        <v>70</v>
      </c>
      <c r="AF1277" s="71">
        <v>3.33</v>
      </c>
      <c r="AG1277" s="37">
        <v>0</v>
      </c>
      <c r="AH1277" s="37">
        <v>0</v>
      </c>
      <c r="AI1277" s="37">
        <v>97</v>
      </c>
      <c r="AJ1277" s="37">
        <v>1</v>
      </c>
      <c r="AK1277" s="37" t="str">
        <f>VLOOKUP(Mecze[[#This Row],[Match ID]],Meczusie[Mecz]:Meczusie[RodzajMeczu],2,FALSE)</f>
        <v>Towarzyski</v>
      </c>
    </row>
    <row r="1278" spans="1:37" x14ac:dyDescent="0.25">
      <c r="A1278" s="76">
        <v>28</v>
      </c>
      <c r="B1278" s="3" t="s">
        <v>419</v>
      </c>
      <c r="C1278" s="2" t="s">
        <v>160</v>
      </c>
      <c r="D1278" s="1">
        <v>0</v>
      </c>
      <c r="E1278" s="1">
        <v>0</v>
      </c>
      <c r="F1278" s="1">
        <v>0</v>
      </c>
      <c r="G1278" s="1">
        <v>8</v>
      </c>
      <c r="H1278" s="4">
        <v>0.38</v>
      </c>
      <c r="I1278" s="1">
        <v>2</v>
      </c>
      <c r="J1278" s="4">
        <v>1</v>
      </c>
      <c r="K1278" s="1">
        <v>0</v>
      </c>
      <c r="L1278" s="1">
        <v>5</v>
      </c>
      <c r="M1278" s="32">
        <f>IF(Mecze[[#This Row],[PR]]=0,0,Mecze[[#This Row],[PR]]/Mecze[[#This Row],[CZAS]])</f>
        <v>5.1546391752577317E-2</v>
      </c>
      <c r="N1278" s="32">
        <f>IF(Mecze[[#This Row],[OU]]=0,0,Mecze[[#This Row],[OU]]/Mecze[[#This Row],[CZAS]])</f>
        <v>2.0618556701030927E-2</v>
      </c>
      <c r="O1278" s="32">
        <f>IF(Mecze[[#This Row],[PC]]=0,0,Mecze[[#This Row],[PC]]/Mecze[[#This Row],[CZAS]])</f>
        <v>3.0927835051546393E-2</v>
      </c>
      <c r="P1278" s="32">
        <f>IF(Mecze[[#This Row],[SC]]=0,0,Mecze[[#This Row],[SC]]/Mecze[[#This Row],[CZAS]])</f>
        <v>0</v>
      </c>
      <c r="Q1278" s="32">
        <f>IF(Mecze[[#This Row],[OB]]=0,0,Mecze[[#This Row],[OB]]/Mecze[[#This Row],[CZAS]])</f>
        <v>0</v>
      </c>
      <c r="R1278" s="32">
        <f>IF(Mecze[[#This Row],[BR]]=0,0,Mecze[[#This Row],[BR]]/Mecze[[#This Row],[CZAS]])</f>
        <v>0</v>
      </c>
      <c r="S1278" s="44">
        <f>IF(Mecze[[#This Row],[Role]]="BR",SUMPRODUCT(Mecze[[#This Row],[/PR:90]:[/BR:90]],Brudnopis!$E$23:$J$23),0)</f>
        <v>0</v>
      </c>
      <c r="T1278" s="44">
        <f>IF(Mecze[[#This Row],[Role]]&lt;&gt;"BR",SUMPRODUCT(Mecze[[#This Row],[/PR:90]:[/BR:90]],Brudnopis!$E$24:$J$24),0)</f>
        <v>0.1134020618556701</v>
      </c>
      <c r="U1278" s="44">
        <f>IF(Mecze[[#This Row],[Role]]&lt;&gt;"BR",SUMPRODUCT(Mecze[[#This Row],[/PR:90]:[/BR:90]],Brudnopis!$E$25:$J$25),0)</f>
        <v>0.11855670103092783</v>
      </c>
      <c r="V1278" s="44">
        <f>IF(Mecze[[#This Row],[Role]]&lt;&gt;"BR",SUMPRODUCT(Mecze[[#This Row],[/PR:90]:[/BR:90]],Brudnopis!$E$26:$J$26),0)</f>
        <v>0.10309278350515463</v>
      </c>
      <c r="W1278" s="44">
        <f>IF(Mecze[[#This Row],[Role]]&lt;&gt;"BR",SUMPRODUCT(Mecze[[#This Row],[/PR:90]:[/BR:90]],Brudnopis!$E$27:$J$27),0)</f>
        <v>0.10051546391752578</v>
      </c>
      <c r="X1278" s="44">
        <f>IF(Mecze[[#This Row],[Role]]&lt;&gt;"BR",SUMPRODUCT(Mecze[[#This Row],[/PR:90]:[/BR:90]],Brudnopis!$E$28:$J$28),0)</f>
        <v>3.0927835051546393E-2</v>
      </c>
      <c r="Y1278" s="35">
        <f>IF(Mecze[[#This Row],[Role]]="BR",Mecze[[#This Row],[/OB:90]]+Mecze[[#This Row],[/PC:90]],SUM(Mecze[[#This Row],[/PR:90]:[/BR:90]]))</f>
        <v>0.10309278350515463</v>
      </c>
      <c r="Z1278" s="35">
        <f>IF(Mecze[[#This Row],[KC]]=0,SUM(Mecze[[#This Row],[/BRI]:[/NPI]]),SUM(Mecze[[#This Row],[/BRI]:[/NPI]])*0.6)</f>
        <v>0.46649484536082475</v>
      </c>
      <c r="AA1278" s="10">
        <f>IFERROR(Mecze[[#This Row],[BR]]/Mecze[[#This Row],[ST]],0)</f>
        <v>0</v>
      </c>
      <c r="AB1278">
        <f>ROUND(Mecze[[#This Row],[PD]]*Mecze[[#This Row],[%PC]],0)</f>
        <v>3</v>
      </c>
      <c r="AC1278">
        <f>ROUND(Mecze[[#This Row],[OD]]*Mecze[[#This Row],[%OU]],0)</f>
        <v>2</v>
      </c>
      <c r="AD1278" s="36" t="s">
        <v>44</v>
      </c>
      <c r="AE1278" s="36">
        <v>70</v>
      </c>
      <c r="AF1278" s="71">
        <v>2.64</v>
      </c>
      <c r="AG1278" s="37">
        <v>1</v>
      </c>
      <c r="AH1278" s="37">
        <v>0</v>
      </c>
      <c r="AI1278" s="37">
        <v>97</v>
      </c>
      <c r="AJ1278" s="37">
        <v>1</v>
      </c>
      <c r="AK1278" s="37" t="str">
        <f>VLOOKUP(Mecze[[#This Row],[Match ID]],Meczusie[Mecz]:Meczusie[RodzajMeczu],2,FALSE)</f>
        <v>Towarzyski</v>
      </c>
    </row>
    <row r="1279" spans="1:37" x14ac:dyDescent="0.25">
      <c r="A1279" s="76">
        <v>53</v>
      </c>
      <c r="B1279" s="3" t="s">
        <v>415</v>
      </c>
      <c r="C1279" s="2" t="s">
        <v>165</v>
      </c>
      <c r="D1279" s="1">
        <v>0</v>
      </c>
      <c r="E1279" s="1">
        <v>0</v>
      </c>
      <c r="F1279" s="1">
        <v>0</v>
      </c>
      <c r="G1279" s="1">
        <v>4</v>
      </c>
      <c r="H1279" s="4">
        <v>0.25</v>
      </c>
      <c r="I1279" s="1">
        <v>4</v>
      </c>
      <c r="J1279" s="4">
        <v>0.25</v>
      </c>
      <c r="K1279" s="1">
        <v>0</v>
      </c>
      <c r="L1279" s="1">
        <v>0</v>
      </c>
      <c r="M1279" s="32">
        <f>IF(Mecze[[#This Row],[PR]]=0,0,Mecze[[#This Row],[PR]]/Mecze[[#This Row],[CZAS]])</f>
        <v>0</v>
      </c>
      <c r="N1279" s="32">
        <f>IF(Mecze[[#This Row],[OU]]=0,0,Mecze[[#This Row],[OU]]/Mecze[[#This Row],[CZAS]])</f>
        <v>1.0309278350515464E-2</v>
      </c>
      <c r="O1279" s="32">
        <f>IF(Mecze[[#This Row],[PC]]=0,0,Mecze[[#This Row],[PC]]/Mecze[[#This Row],[CZAS]])</f>
        <v>1.0309278350515464E-2</v>
      </c>
      <c r="P1279" s="32">
        <f>IF(Mecze[[#This Row],[SC]]=0,0,Mecze[[#This Row],[SC]]/Mecze[[#This Row],[CZAS]])</f>
        <v>0</v>
      </c>
      <c r="Q1279" s="32">
        <f>IF(Mecze[[#This Row],[OB]]=0,0,Mecze[[#This Row],[OB]]/Mecze[[#This Row],[CZAS]])</f>
        <v>0</v>
      </c>
      <c r="R1279" s="32">
        <f>IF(Mecze[[#This Row],[BR]]=0,0,Mecze[[#This Row],[BR]]/Mecze[[#This Row],[CZAS]])</f>
        <v>0</v>
      </c>
      <c r="S1279" s="44">
        <f>IF(Mecze[[#This Row],[Role]]="BR",SUMPRODUCT(Mecze[[#This Row],[/PR:90]:[/BR:90]],Brudnopis!$E$23:$J$23),0)</f>
        <v>0</v>
      </c>
      <c r="T1279" s="44">
        <f>IF(Mecze[[#This Row],[Role]]&lt;&gt;"BR",SUMPRODUCT(Mecze[[#This Row],[/PR:90]:[/BR:90]],Brudnopis!$E$24:$J$24),0)</f>
        <v>2.5773195876288658E-2</v>
      </c>
      <c r="U1279" s="44">
        <f>IF(Mecze[[#This Row],[Role]]&lt;&gt;"BR",SUMPRODUCT(Mecze[[#This Row],[/PR:90]:[/BR:90]],Brudnopis!$E$25:$J$25),0)</f>
        <v>2.5773195876288658E-2</v>
      </c>
      <c r="V1279" s="44">
        <f>IF(Mecze[[#This Row],[Role]]&lt;&gt;"BR",SUMPRODUCT(Mecze[[#This Row],[/PR:90]:[/BR:90]],Brudnopis!$E$26:$J$26),0)</f>
        <v>2.0618556701030927E-2</v>
      </c>
      <c r="W1279" s="44">
        <f>IF(Mecze[[#This Row],[Role]]&lt;&gt;"BR",SUMPRODUCT(Mecze[[#This Row],[/PR:90]:[/BR:90]],Brudnopis!$E$27:$J$27),0)</f>
        <v>2.3195876288659795E-2</v>
      </c>
      <c r="X1279" s="44">
        <f>IF(Mecze[[#This Row],[Role]]&lt;&gt;"BR",SUMPRODUCT(Mecze[[#This Row],[/PR:90]:[/BR:90]],Brudnopis!$E$28:$J$28),0)</f>
        <v>1.0309278350515464E-2</v>
      </c>
      <c r="Y1279" s="35">
        <f>IF(Mecze[[#This Row],[Role]]="BR",Mecze[[#This Row],[/OB:90]]+Mecze[[#This Row],[/PC:90]],SUM(Mecze[[#This Row],[/PR:90]:[/BR:90]]))</f>
        <v>2.0618556701030927E-2</v>
      </c>
      <c r="Z1279" s="35">
        <f>IF(Mecze[[#This Row],[KC]]=0,SUM(Mecze[[#This Row],[/BRI]:[/NPI]]),SUM(Mecze[[#This Row],[/BRI]:[/NPI]])*0.6)</f>
        <v>0.1056701030927835</v>
      </c>
      <c r="AA1279" s="10">
        <f>IFERROR(Mecze[[#This Row],[BR]]/Mecze[[#This Row],[ST]],0)</f>
        <v>0</v>
      </c>
      <c r="AB1279">
        <f>ROUND(Mecze[[#This Row],[PD]]*Mecze[[#This Row],[%PC]],0)</f>
        <v>1</v>
      </c>
      <c r="AC1279">
        <f>ROUND(Mecze[[#This Row],[OD]]*Mecze[[#This Row],[%OU]],0)</f>
        <v>1</v>
      </c>
      <c r="AD1279" s="36" t="s">
        <v>46</v>
      </c>
      <c r="AE1279" s="36">
        <v>70</v>
      </c>
      <c r="AF1279" s="71">
        <v>2.71</v>
      </c>
      <c r="AG1279" s="37">
        <v>0</v>
      </c>
      <c r="AH1279" s="37">
        <v>0</v>
      </c>
      <c r="AI1279" s="37">
        <v>97</v>
      </c>
      <c r="AJ1279" s="37">
        <v>1</v>
      </c>
      <c r="AK1279" s="37" t="str">
        <f>VLOOKUP(Mecze[[#This Row],[Match ID]],Meczusie[Mecz]:Meczusie[RodzajMeczu],2,FALSE)</f>
        <v>Towarzyski</v>
      </c>
    </row>
    <row r="1280" spans="1:37" x14ac:dyDescent="0.25">
      <c r="A1280" s="76">
        <v>48</v>
      </c>
      <c r="B1280" s="3" t="s">
        <v>414</v>
      </c>
      <c r="C1280" s="2" t="s">
        <v>165</v>
      </c>
      <c r="D1280" s="1">
        <v>0</v>
      </c>
      <c r="E1280" s="1">
        <v>4</v>
      </c>
      <c r="F1280" s="1">
        <v>2</v>
      </c>
      <c r="G1280" s="1">
        <v>2</v>
      </c>
      <c r="H1280" s="4">
        <v>0.5</v>
      </c>
      <c r="I1280" s="1">
        <v>3</v>
      </c>
      <c r="J1280" s="4">
        <v>0.33</v>
      </c>
      <c r="K1280" s="1">
        <v>0</v>
      </c>
      <c r="L1280" s="1">
        <v>0</v>
      </c>
      <c r="M1280" s="32">
        <f>IF(Mecze[[#This Row],[PR]]=0,0,Mecze[[#This Row],[PR]]/Mecze[[#This Row],[CZAS]])</f>
        <v>0</v>
      </c>
      <c r="N1280" s="32">
        <f>IF(Mecze[[#This Row],[OU]]=0,0,Mecze[[#This Row],[OU]]/Mecze[[#This Row],[CZAS]])</f>
        <v>1.0309278350515464E-2</v>
      </c>
      <c r="O1280" s="32">
        <f>IF(Mecze[[#This Row],[PC]]=0,0,Mecze[[#This Row],[PC]]/Mecze[[#This Row],[CZAS]])</f>
        <v>1.0309278350515464E-2</v>
      </c>
      <c r="P1280" s="32">
        <f>IF(Mecze[[#This Row],[SC]]=0,0,Mecze[[#This Row],[SC]]/Mecze[[#This Row],[CZAS]])</f>
        <v>2.0618556701030927E-2</v>
      </c>
      <c r="Q1280" s="32">
        <f>IF(Mecze[[#This Row],[OB]]=0,0,Mecze[[#This Row],[OB]]/Mecze[[#This Row],[CZAS]])</f>
        <v>0</v>
      </c>
      <c r="R1280" s="32">
        <f>IF(Mecze[[#This Row],[BR]]=0,0,Mecze[[#This Row],[BR]]/Mecze[[#This Row],[CZAS]])</f>
        <v>0</v>
      </c>
      <c r="S1280" s="44">
        <f>IF(Mecze[[#This Row],[Role]]="BR",SUMPRODUCT(Mecze[[#This Row],[/PR:90]:[/BR:90]],Brudnopis!$E$23:$J$23),0)</f>
        <v>0</v>
      </c>
      <c r="T1280" s="44">
        <f>IF(Mecze[[#This Row],[Role]]&lt;&gt;"BR",SUMPRODUCT(Mecze[[#This Row],[/PR:90]:[/BR:90]],Brudnopis!$E$24:$J$24),0)</f>
        <v>4.6391752577319589E-2</v>
      </c>
      <c r="U1280" s="44">
        <f>IF(Mecze[[#This Row],[Role]]&lt;&gt;"BR",SUMPRODUCT(Mecze[[#This Row],[/PR:90]:[/BR:90]],Brudnopis!$E$25:$J$25),0)</f>
        <v>4.6391752577319589E-2</v>
      </c>
      <c r="V1280" s="44">
        <f>IF(Mecze[[#This Row],[Role]]&lt;&gt;"BR",SUMPRODUCT(Mecze[[#This Row],[/PR:90]:[/BR:90]],Brudnopis!$E$26:$J$26),0)</f>
        <v>4.1237113402061855E-2</v>
      </c>
      <c r="W1280" s="44">
        <f>IF(Mecze[[#This Row],[Role]]&lt;&gt;"BR",SUMPRODUCT(Mecze[[#This Row],[/PR:90]:[/BR:90]],Brudnopis!$E$27:$J$27),0)</f>
        <v>4.3814432989690719E-2</v>
      </c>
      <c r="X1280" s="44">
        <f>IF(Mecze[[#This Row],[Role]]&lt;&gt;"BR",SUMPRODUCT(Mecze[[#This Row],[/PR:90]:[/BR:90]],Brudnopis!$E$28:$J$28),0)</f>
        <v>5.1546391752577317E-2</v>
      </c>
      <c r="Y1280" s="35">
        <f>IF(Mecze[[#This Row],[Role]]="BR",Mecze[[#This Row],[/OB:90]]+Mecze[[#This Row],[/PC:90]],SUM(Mecze[[#This Row],[/PR:90]:[/BR:90]]))</f>
        <v>4.1237113402061855E-2</v>
      </c>
      <c r="Z1280" s="35">
        <f>IF(Mecze[[#This Row],[KC]]=0,SUM(Mecze[[#This Row],[/BRI]:[/NPI]]),SUM(Mecze[[#This Row],[/BRI]:[/NPI]])*0.6)</f>
        <v>0.22938144329896903</v>
      </c>
      <c r="AA1280" s="10">
        <f>IFERROR(Mecze[[#This Row],[BR]]/Mecze[[#This Row],[ST]],0)</f>
        <v>0</v>
      </c>
      <c r="AB1280">
        <f>ROUND(Mecze[[#This Row],[PD]]*Mecze[[#This Row],[%PC]],0)</f>
        <v>1</v>
      </c>
      <c r="AC1280">
        <f>ROUND(Mecze[[#This Row],[OD]]*Mecze[[#This Row],[%OU]],0)</f>
        <v>1</v>
      </c>
      <c r="AD1280" s="36" t="s">
        <v>46</v>
      </c>
      <c r="AE1280" s="36">
        <v>70</v>
      </c>
      <c r="AF1280" s="71">
        <v>3.15</v>
      </c>
      <c r="AG1280" s="37">
        <v>0</v>
      </c>
      <c r="AH1280" s="37">
        <v>0</v>
      </c>
      <c r="AI1280" s="37">
        <v>97</v>
      </c>
      <c r="AJ1280" s="37">
        <v>1</v>
      </c>
      <c r="AK1280" s="37" t="str">
        <f>VLOOKUP(Mecze[[#This Row],[Match ID]],Meczusie[Mecz]:Meczusie[RodzajMeczu],2,FALSE)</f>
        <v>Towarzyski</v>
      </c>
    </row>
    <row r="1281" spans="1:37" x14ac:dyDescent="0.25">
      <c r="A1281" s="76">
        <v>26</v>
      </c>
      <c r="B1281" s="3" t="s">
        <v>368</v>
      </c>
      <c r="C1281" s="2" t="s">
        <v>165</v>
      </c>
      <c r="D1281" s="1">
        <v>1</v>
      </c>
      <c r="E1281" s="1">
        <v>5</v>
      </c>
      <c r="F1281" s="1">
        <v>5</v>
      </c>
      <c r="G1281" s="1">
        <v>7</v>
      </c>
      <c r="H1281" s="4">
        <v>0.28999999999999998</v>
      </c>
      <c r="I1281" s="1">
        <v>2</v>
      </c>
      <c r="J1281" s="4">
        <v>0</v>
      </c>
      <c r="K1281" s="1">
        <v>0</v>
      </c>
      <c r="L1281" s="1">
        <v>0</v>
      </c>
      <c r="M1281" s="32">
        <f>IF(Mecze[[#This Row],[PR]]=0,0,Mecze[[#This Row],[PR]]/Mecze[[#This Row],[CZAS]])</f>
        <v>0</v>
      </c>
      <c r="N1281" s="32">
        <f>IF(Mecze[[#This Row],[OU]]=0,0,Mecze[[#This Row],[OU]]/Mecze[[#This Row],[CZAS]])</f>
        <v>0</v>
      </c>
      <c r="O1281" s="32">
        <f>IF(Mecze[[#This Row],[PC]]=0,0,Mecze[[#This Row],[PC]]/Mecze[[#This Row],[CZAS]])</f>
        <v>2.0618556701030927E-2</v>
      </c>
      <c r="P1281" s="32">
        <f>IF(Mecze[[#This Row],[SC]]=0,0,Mecze[[#This Row],[SC]]/Mecze[[#This Row],[CZAS]])</f>
        <v>5.1546391752577317E-2</v>
      </c>
      <c r="Q1281" s="32">
        <f>IF(Mecze[[#This Row],[OB]]=0,0,Mecze[[#This Row],[OB]]/Mecze[[#This Row],[CZAS]])</f>
        <v>0</v>
      </c>
      <c r="R1281" s="32">
        <f>IF(Mecze[[#This Row],[BR]]=0,0,Mecze[[#This Row],[BR]]/Mecze[[#This Row],[CZAS]])</f>
        <v>1.0309278350515464E-2</v>
      </c>
      <c r="S1281" s="44">
        <f>IF(Mecze[[#This Row],[Role]]="BR",SUMPRODUCT(Mecze[[#This Row],[/PR:90]:[/BR:90]],Brudnopis!$E$23:$J$23),0)</f>
        <v>0</v>
      </c>
      <c r="T1281" s="44">
        <f>IF(Mecze[[#This Row],[Role]]&lt;&gt;"BR",SUMPRODUCT(Mecze[[#This Row],[/PR:90]:[/BR:90]],Brudnopis!$E$24:$J$24),0)</f>
        <v>8.7628865979381437E-2</v>
      </c>
      <c r="U1281" s="44">
        <f>IF(Mecze[[#This Row],[Role]]&lt;&gt;"BR",SUMPRODUCT(Mecze[[#This Row],[/PR:90]:[/BR:90]],Brudnopis!$E$25:$J$25),0)</f>
        <v>9.7938144329896906E-2</v>
      </c>
      <c r="V1281" s="44">
        <f>IF(Mecze[[#This Row],[Role]]&lt;&gt;"BR",SUMPRODUCT(Mecze[[#This Row],[/PR:90]:[/BR:90]],Brudnopis!$E$26:$J$26),0)</f>
        <v>9.2783505154639165E-2</v>
      </c>
      <c r="W1281" s="44">
        <f>IF(Mecze[[#This Row],[Role]]&lt;&gt;"BR",SUMPRODUCT(Mecze[[#This Row],[/PR:90]:[/BR:90]],Brudnopis!$E$27:$J$27),0)</f>
        <v>0.10309278350515463</v>
      </c>
      <c r="X1281" s="44">
        <f>IF(Mecze[[#This Row],[Role]]&lt;&gt;"BR",SUMPRODUCT(Mecze[[#This Row],[/PR:90]:[/BR:90]],Brudnopis!$E$28:$J$28),0)</f>
        <v>0.15463917525773196</v>
      </c>
      <c r="Y1281" s="35">
        <f>IF(Mecze[[#This Row],[Role]]="BR",Mecze[[#This Row],[/OB:90]]+Mecze[[#This Row],[/PC:90]],SUM(Mecze[[#This Row],[/PR:90]:[/BR:90]]))</f>
        <v>8.247422680412371E-2</v>
      </c>
      <c r="Z1281" s="35">
        <f>IF(Mecze[[#This Row],[KC]]=0,SUM(Mecze[[#This Row],[/BRI]:[/NPI]]),SUM(Mecze[[#This Row],[/BRI]:[/NPI]])*0.6)</f>
        <v>0.53608247422680411</v>
      </c>
      <c r="AA1281" s="10">
        <f>IFERROR(Mecze[[#This Row],[BR]]/Mecze[[#This Row],[ST]],0)</f>
        <v>0.2</v>
      </c>
      <c r="AB1281">
        <f>ROUND(Mecze[[#This Row],[PD]]*Mecze[[#This Row],[%PC]],0)</f>
        <v>2</v>
      </c>
      <c r="AC1281">
        <f>ROUND(Mecze[[#This Row],[OD]]*Mecze[[#This Row],[%OU]],0)</f>
        <v>0</v>
      </c>
      <c r="AD1281" s="36" t="s">
        <v>272</v>
      </c>
      <c r="AE1281" s="36">
        <v>70</v>
      </c>
      <c r="AF1281" s="71">
        <v>6.11</v>
      </c>
      <c r="AG1281" s="37">
        <v>0</v>
      </c>
      <c r="AH1281" s="37">
        <v>0</v>
      </c>
      <c r="AI1281" s="37">
        <v>97</v>
      </c>
      <c r="AJ1281" s="37">
        <v>1</v>
      </c>
      <c r="AK1281" s="37" t="str">
        <f>VLOOKUP(Mecze[[#This Row],[Match ID]],Meczusie[Mecz]:Meczusie[RodzajMeczu],2,FALSE)</f>
        <v>Towarzyski</v>
      </c>
    </row>
    <row r="1282" spans="1:37" x14ac:dyDescent="0.25">
      <c r="A1282" s="76">
        <v>49</v>
      </c>
      <c r="B1282" s="3" t="s">
        <v>358</v>
      </c>
      <c r="C1282" s="2" t="s">
        <v>155</v>
      </c>
      <c r="D1282" s="1">
        <v>0</v>
      </c>
      <c r="E1282" s="1">
        <v>0</v>
      </c>
      <c r="F1282" s="1">
        <v>0</v>
      </c>
      <c r="G1282" s="1">
        <v>7</v>
      </c>
      <c r="H1282" s="4">
        <v>0.28999999999999998</v>
      </c>
      <c r="I1282" s="1">
        <v>0</v>
      </c>
      <c r="J1282" s="4"/>
      <c r="K1282" s="1">
        <v>7</v>
      </c>
      <c r="L1282" s="1">
        <v>0</v>
      </c>
      <c r="M1282" s="32">
        <f>IF(Mecze[[#This Row],[PR]]=0,0,Mecze[[#This Row],[PR]]/Mecze[[#This Row],[CZAS]])</f>
        <v>0</v>
      </c>
      <c r="N1282" s="32">
        <f>IF(Mecze[[#This Row],[OU]]=0,0,Mecze[[#This Row],[OU]]/Mecze[[#This Row],[CZAS]])</f>
        <v>0</v>
      </c>
      <c r="O1282" s="32">
        <f>IF(Mecze[[#This Row],[PC]]=0,0,Mecze[[#This Row],[PC]]/Mecze[[#This Row],[CZAS]])</f>
        <v>2.0833333333333332E-2</v>
      </c>
      <c r="P1282" s="32">
        <f>IF(Mecze[[#This Row],[SC]]=0,0,Mecze[[#This Row],[SC]]/Mecze[[#This Row],[CZAS]])</f>
        <v>0</v>
      </c>
      <c r="Q1282" s="32">
        <f>IF(Mecze[[#This Row],[OB]]=0,0,Mecze[[#This Row],[OB]]/Mecze[[#This Row],[CZAS]])</f>
        <v>7.2916666666666671E-2</v>
      </c>
      <c r="R1282" s="32">
        <f>IF(Mecze[[#This Row],[BR]]=0,0,Mecze[[#This Row],[BR]]/Mecze[[#This Row],[CZAS]])</f>
        <v>0</v>
      </c>
      <c r="S1282" s="44">
        <f>IF(Mecze[[#This Row],[Role]]="BR",SUMPRODUCT(Mecze[[#This Row],[/PR:90]:[/BR:90]],Brudnopis!$E$23:$J$23),0)</f>
        <v>0.28125</v>
      </c>
      <c r="T1282" s="44">
        <f>IF(Mecze[[#This Row],[Role]]&lt;&gt;"BR",SUMPRODUCT(Mecze[[#This Row],[/PR:90]:[/BR:90]],Brudnopis!$E$24:$J$24),0)</f>
        <v>0</v>
      </c>
      <c r="U1282" s="44">
        <f>IF(Mecze[[#This Row],[Role]]&lt;&gt;"BR",SUMPRODUCT(Mecze[[#This Row],[/PR:90]:[/BR:90]],Brudnopis!$E$25:$J$25),0)</f>
        <v>0</v>
      </c>
      <c r="V1282" s="44">
        <f>IF(Mecze[[#This Row],[Role]]&lt;&gt;"BR",SUMPRODUCT(Mecze[[#This Row],[/PR:90]:[/BR:90]],Brudnopis!$E$26:$J$26),0)</f>
        <v>0</v>
      </c>
      <c r="W1282" s="44">
        <f>IF(Mecze[[#This Row],[Role]]&lt;&gt;"BR",SUMPRODUCT(Mecze[[#This Row],[/PR:90]:[/BR:90]],Brudnopis!$E$27:$J$27),0)</f>
        <v>0</v>
      </c>
      <c r="X1282" s="44">
        <f>IF(Mecze[[#This Row],[Role]]&lt;&gt;"BR",SUMPRODUCT(Mecze[[#This Row],[/PR:90]:[/BR:90]],Brudnopis!$E$28:$J$28),0)</f>
        <v>0</v>
      </c>
      <c r="Y1282" s="35">
        <f>IF(Mecze[[#This Row],[Role]]="BR",Mecze[[#This Row],[/OB:90]]+Mecze[[#This Row],[/PC:90]],SUM(Mecze[[#This Row],[/PR:90]:[/BR:90]]))</f>
        <v>9.375E-2</v>
      </c>
      <c r="Z1282" s="35">
        <f>IF(Mecze[[#This Row],[KC]]=0,SUM(Mecze[[#This Row],[/BRI]:[/NPI]]),SUM(Mecze[[#This Row],[/BRI]:[/NPI]])*0.6)</f>
        <v>0.28125</v>
      </c>
      <c r="AA1282" s="10">
        <f>IFERROR(Mecze[[#This Row],[BR]]/Mecze[[#This Row],[ST]],0)</f>
        <v>0</v>
      </c>
      <c r="AB1282">
        <f>ROUND(Mecze[[#This Row],[PD]]*Mecze[[#This Row],[%PC]],0)</f>
        <v>2</v>
      </c>
      <c r="AC1282">
        <f>ROUND(Mecze[[#This Row],[OD]]*Mecze[[#This Row],[%OU]],0)</f>
        <v>0</v>
      </c>
      <c r="AD1282" s="36" t="s">
        <v>40</v>
      </c>
      <c r="AE1282" s="36">
        <v>71</v>
      </c>
      <c r="AF1282" s="71">
        <v>5.15</v>
      </c>
      <c r="AG1282" s="37">
        <v>0</v>
      </c>
      <c r="AH1282" s="37">
        <v>0</v>
      </c>
      <c r="AI1282" s="37">
        <v>96</v>
      </c>
      <c r="AJ1282" s="37">
        <v>1</v>
      </c>
      <c r="AK1282" s="37" t="str">
        <f>VLOOKUP(Mecze[[#This Row],[Match ID]],Meczusie[Mecz]:Meczusie[RodzajMeczu],2,FALSE)</f>
        <v>Towarzyski</v>
      </c>
    </row>
    <row r="1283" spans="1:37" x14ac:dyDescent="0.25">
      <c r="A1283" s="76">
        <v>38</v>
      </c>
      <c r="B1283" s="3" t="s">
        <v>359</v>
      </c>
      <c r="C1283" s="2" t="s">
        <v>157</v>
      </c>
      <c r="D1283" s="1">
        <v>0</v>
      </c>
      <c r="E1283" s="1">
        <v>0</v>
      </c>
      <c r="F1283" s="1">
        <v>0</v>
      </c>
      <c r="G1283" s="1">
        <v>14</v>
      </c>
      <c r="H1283" s="4">
        <v>0.14000000000000001</v>
      </c>
      <c r="I1283" s="1">
        <v>9</v>
      </c>
      <c r="J1283" s="4">
        <v>0.44</v>
      </c>
      <c r="K1283" s="1">
        <v>0</v>
      </c>
      <c r="L1283" s="1">
        <v>18</v>
      </c>
      <c r="M1283" s="32">
        <f>IF(Mecze[[#This Row],[PR]]=0,0,Mecze[[#This Row],[PR]]/Mecze[[#This Row],[CZAS]])</f>
        <v>0.1875</v>
      </c>
      <c r="N1283" s="32">
        <f>IF(Mecze[[#This Row],[OU]]=0,0,Mecze[[#This Row],[OU]]/Mecze[[#This Row],[CZAS]])</f>
        <v>4.1666666666666664E-2</v>
      </c>
      <c r="O1283" s="32">
        <f>IF(Mecze[[#This Row],[PC]]=0,0,Mecze[[#This Row],[PC]]/Mecze[[#This Row],[CZAS]])</f>
        <v>2.0833333333333332E-2</v>
      </c>
      <c r="P1283" s="32">
        <f>IF(Mecze[[#This Row],[SC]]=0,0,Mecze[[#This Row],[SC]]/Mecze[[#This Row],[CZAS]])</f>
        <v>0</v>
      </c>
      <c r="Q1283" s="32">
        <f>IF(Mecze[[#This Row],[OB]]=0,0,Mecze[[#This Row],[OB]]/Mecze[[#This Row],[CZAS]])</f>
        <v>0</v>
      </c>
      <c r="R1283" s="32">
        <f>IF(Mecze[[#This Row],[BR]]=0,0,Mecze[[#This Row],[BR]]/Mecze[[#This Row],[CZAS]])</f>
        <v>0</v>
      </c>
      <c r="S1283" s="44">
        <f>IF(Mecze[[#This Row],[Role]]="BR",SUMPRODUCT(Mecze[[#This Row],[/PR:90]:[/BR:90]],Brudnopis!$E$23:$J$23),0)</f>
        <v>0</v>
      </c>
      <c r="T1283" s="44">
        <f>IF(Mecze[[#This Row],[Role]]&lt;&gt;"BR",SUMPRODUCT(Mecze[[#This Row],[/PR:90]:[/BR:90]],Brudnopis!$E$24:$J$24),0)</f>
        <v>0.27083333333333331</v>
      </c>
      <c r="U1283" s="44">
        <f>IF(Mecze[[#This Row],[Role]]&lt;&gt;"BR",SUMPRODUCT(Mecze[[#This Row],[/PR:90]:[/BR:90]],Brudnopis!$E$25:$J$25),0)</f>
        <v>0.26041666666666663</v>
      </c>
      <c r="V1283" s="44">
        <f>IF(Mecze[[#This Row],[Role]]&lt;&gt;"BR",SUMPRODUCT(Mecze[[#This Row],[/PR:90]:[/BR:90]],Brudnopis!$E$26:$J$26),0)</f>
        <v>0.25</v>
      </c>
      <c r="W1283" s="44">
        <f>IF(Mecze[[#This Row],[Role]]&lt;&gt;"BR",SUMPRODUCT(Mecze[[#This Row],[/PR:90]:[/BR:90]],Brudnopis!$E$27:$J$27),0)</f>
        <v>0.203125</v>
      </c>
      <c r="X1283" s="44">
        <f>IF(Mecze[[#This Row],[Role]]&lt;&gt;"BR",SUMPRODUCT(Mecze[[#This Row],[/PR:90]:[/BR:90]],Brudnopis!$E$28:$J$28),0)</f>
        <v>2.0833333333333332E-2</v>
      </c>
      <c r="Y1283" s="35">
        <f>IF(Mecze[[#This Row],[Role]]="BR",Mecze[[#This Row],[/OB:90]]+Mecze[[#This Row],[/PC:90]],SUM(Mecze[[#This Row],[/PR:90]:[/BR:90]]))</f>
        <v>0.25</v>
      </c>
      <c r="Z1283" s="35">
        <f>IF(Mecze[[#This Row],[KC]]=0,SUM(Mecze[[#This Row],[/BRI]:[/NPI]]),SUM(Mecze[[#This Row],[/BRI]:[/NPI]])*0.6)</f>
        <v>1.0052083333333333</v>
      </c>
      <c r="AA1283" s="10">
        <f>IFERROR(Mecze[[#This Row],[BR]]/Mecze[[#This Row],[ST]],0)</f>
        <v>0</v>
      </c>
      <c r="AB1283">
        <f>ROUND(Mecze[[#This Row],[PD]]*Mecze[[#This Row],[%PC]],0)</f>
        <v>2</v>
      </c>
      <c r="AC1283">
        <f>ROUND(Mecze[[#This Row],[OD]]*Mecze[[#This Row],[%OU]],0)</f>
        <v>4</v>
      </c>
      <c r="AD1283" s="36" t="s">
        <v>47</v>
      </c>
      <c r="AE1283" s="36">
        <v>71</v>
      </c>
      <c r="AF1283" s="71">
        <v>5.37</v>
      </c>
      <c r="AG1283" s="37">
        <v>1</v>
      </c>
      <c r="AH1283" s="37">
        <v>0</v>
      </c>
      <c r="AI1283" s="37">
        <v>96</v>
      </c>
      <c r="AJ1283" s="37">
        <v>1</v>
      </c>
      <c r="AK1283" s="37" t="str">
        <f>VLOOKUP(Mecze[[#This Row],[Match ID]],Meczusie[Mecz]:Meczusie[RodzajMeczu],2,FALSE)</f>
        <v>Towarzyski</v>
      </c>
    </row>
    <row r="1284" spans="1:37" x14ac:dyDescent="0.25">
      <c r="A1284" s="76">
        <v>4</v>
      </c>
      <c r="B1284" s="3" t="s">
        <v>360</v>
      </c>
      <c r="C1284" s="2" t="s">
        <v>157</v>
      </c>
      <c r="D1284" s="1">
        <v>0</v>
      </c>
      <c r="E1284" s="1">
        <v>0</v>
      </c>
      <c r="F1284" s="1">
        <v>0</v>
      </c>
      <c r="G1284" s="1">
        <v>12</v>
      </c>
      <c r="H1284" s="4">
        <v>0.5</v>
      </c>
      <c r="I1284" s="1">
        <v>2</v>
      </c>
      <c r="J1284" s="4">
        <v>0</v>
      </c>
      <c r="K1284" s="1">
        <v>0</v>
      </c>
      <c r="L1284" s="1">
        <v>11</v>
      </c>
      <c r="M1284" s="32">
        <f>IF(Mecze[[#This Row],[PR]]=0,0,Mecze[[#This Row],[PR]]/Mecze[[#This Row],[CZAS]])</f>
        <v>0.11458333333333333</v>
      </c>
      <c r="N1284" s="32">
        <f>IF(Mecze[[#This Row],[OU]]=0,0,Mecze[[#This Row],[OU]]/Mecze[[#This Row],[CZAS]])</f>
        <v>0</v>
      </c>
      <c r="O1284" s="32">
        <f>IF(Mecze[[#This Row],[PC]]=0,0,Mecze[[#This Row],[PC]]/Mecze[[#This Row],[CZAS]])</f>
        <v>6.25E-2</v>
      </c>
      <c r="P1284" s="32">
        <f>IF(Mecze[[#This Row],[SC]]=0,0,Mecze[[#This Row],[SC]]/Mecze[[#This Row],[CZAS]])</f>
        <v>0</v>
      </c>
      <c r="Q1284" s="32">
        <f>IF(Mecze[[#This Row],[OB]]=0,0,Mecze[[#This Row],[OB]]/Mecze[[#This Row],[CZAS]])</f>
        <v>0</v>
      </c>
      <c r="R1284" s="32">
        <f>IF(Mecze[[#This Row],[BR]]=0,0,Mecze[[#This Row],[BR]]/Mecze[[#This Row],[CZAS]])</f>
        <v>0</v>
      </c>
      <c r="S1284" s="44">
        <f>IF(Mecze[[#This Row],[Role]]="BR",SUMPRODUCT(Mecze[[#This Row],[/PR:90]:[/BR:90]],Brudnopis!$E$23:$J$23),0)</f>
        <v>0</v>
      </c>
      <c r="T1284" s="44">
        <f>IF(Mecze[[#This Row],[Role]]&lt;&gt;"BR",SUMPRODUCT(Mecze[[#This Row],[/PR:90]:[/BR:90]],Brudnopis!$E$24:$J$24),0)</f>
        <v>0.17708333333333331</v>
      </c>
      <c r="U1284" s="44">
        <f>IF(Mecze[[#This Row],[Role]]&lt;&gt;"BR",SUMPRODUCT(Mecze[[#This Row],[/PR:90]:[/BR:90]],Brudnopis!$E$25:$J$25),0)</f>
        <v>0.20833333333333331</v>
      </c>
      <c r="V1284" s="44">
        <f>IF(Mecze[[#This Row],[Role]]&lt;&gt;"BR",SUMPRODUCT(Mecze[[#This Row],[/PR:90]:[/BR:90]],Brudnopis!$E$26:$J$26),0)</f>
        <v>0.17708333333333331</v>
      </c>
      <c r="W1284" s="44">
        <f>IF(Mecze[[#This Row],[Role]]&lt;&gt;"BR",SUMPRODUCT(Mecze[[#This Row],[/PR:90]:[/BR:90]],Brudnopis!$E$27:$J$27),0)</f>
        <v>0.1796875</v>
      </c>
      <c r="X1284" s="44">
        <f>IF(Mecze[[#This Row],[Role]]&lt;&gt;"BR",SUMPRODUCT(Mecze[[#This Row],[/PR:90]:[/BR:90]],Brudnopis!$E$28:$J$28),0)</f>
        <v>6.25E-2</v>
      </c>
      <c r="Y1284" s="35">
        <f>IF(Mecze[[#This Row],[Role]]="BR",Mecze[[#This Row],[/OB:90]]+Mecze[[#This Row],[/PC:90]],SUM(Mecze[[#This Row],[/PR:90]:[/BR:90]]))</f>
        <v>0.17708333333333331</v>
      </c>
      <c r="Z1284" s="35">
        <f>IF(Mecze[[#This Row],[KC]]=0,SUM(Mecze[[#This Row],[/BRI]:[/NPI]]),SUM(Mecze[[#This Row],[/BRI]:[/NPI]])*0.6)</f>
        <v>0.8046875</v>
      </c>
      <c r="AA1284" s="10">
        <f>IFERROR(Mecze[[#This Row],[BR]]/Mecze[[#This Row],[ST]],0)</f>
        <v>0</v>
      </c>
      <c r="AB1284">
        <f>ROUND(Mecze[[#This Row],[PD]]*Mecze[[#This Row],[%PC]],0)</f>
        <v>6</v>
      </c>
      <c r="AC1284">
        <f>ROUND(Mecze[[#This Row],[OD]]*Mecze[[#This Row],[%OU]],0)</f>
        <v>0</v>
      </c>
      <c r="AD1284" s="36" t="s">
        <v>168</v>
      </c>
      <c r="AE1284" s="36">
        <v>71</v>
      </c>
      <c r="AF1284" s="71">
        <v>5.01</v>
      </c>
      <c r="AG1284" s="37">
        <v>0</v>
      </c>
      <c r="AH1284" s="37">
        <v>0</v>
      </c>
      <c r="AI1284" s="37">
        <v>96</v>
      </c>
      <c r="AJ1284" s="37">
        <v>1</v>
      </c>
      <c r="AK1284" s="37" t="str">
        <f>VLOOKUP(Mecze[[#This Row],[Match ID]],Meczusie[Mecz]:Meczusie[RodzajMeczu],2,FALSE)</f>
        <v>Towarzyski</v>
      </c>
    </row>
    <row r="1285" spans="1:37" x14ac:dyDescent="0.25">
      <c r="A1285" s="76">
        <v>42</v>
      </c>
      <c r="B1285" s="3" t="s">
        <v>361</v>
      </c>
      <c r="C1285" s="2" t="s">
        <v>157</v>
      </c>
      <c r="D1285" s="1">
        <v>0</v>
      </c>
      <c r="E1285" s="1">
        <v>0</v>
      </c>
      <c r="F1285" s="1">
        <v>0</v>
      </c>
      <c r="G1285" s="1">
        <v>2</v>
      </c>
      <c r="H1285" s="4">
        <v>0.5</v>
      </c>
      <c r="I1285" s="1">
        <v>5</v>
      </c>
      <c r="J1285" s="4">
        <v>0.2</v>
      </c>
      <c r="K1285" s="1">
        <v>0</v>
      </c>
      <c r="L1285" s="1">
        <v>7</v>
      </c>
      <c r="M1285" s="32">
        <f>IF(Mecze[[#This Row],[PR]]=0,0,Mecze[[#This Row],[PR]]/Mecze[[#This Row],[CZAS]])</f>
        <v>7.2916666666666671E-2</v>
      </c>
      <c r="N1285" s="32">
        <f>IF(Mecze[[#This Row],[OU]]=0,0,Mecze[[#This Row],[OU]]/Mecze[[#This Row],[CZAS]])</f>
        <v>1.0416666666666666E-2</v>
      </c>
      <c r="O1285" s="32">
        <f>IF(Mecze[[#This Row],[PC]]=0,0,Mecze[[#This Row],[PC]]/Mecze[[#This Row],[CZAS]])</f>
        <v>1.0416666666666666E-2</v>
      </c>
      <c r="P1285" s="32">
        <f>IF(Mecze[[#This Row],[SC]]=0,0,Mecze[[#This Row],[SC]]/Mecze[[#This Row],[CZAS]])</f>
        <v>0</v>
      </c>
      <c r="Q1285" s="32">
        <f>IF(Mecze[[#This Row],[OB]]=0,0,Mecze[[#This Row],[OB]]/Mecze[[#This Row],[CZAS]])</f>
        <v>0</v>
      </c>
      <c r="R1285" s="32">
        <f>IF(Mecze[[#This Row],[BR]]=0,0,Mecze[[#This Row],[BR]]/Mecze[[#This Row],[CZAS]])</f>
        <v>0</v>
      </c>
      <c r="S1285" s="44">
        <f>IF(Mecze[[#This Row],[Role]]="BR",SUMPRODUCT(Mecze[[#This Row],[/PR:90]:[/BR:90]],Brudnopis!$E$23:$J$23),0)</f>
        <v>0</v>
      </c>
      <c r="T1285" s="44">
        <f>IF(Mecze[[#This Row],[Role]]&lt;&gt;"BR",SUMPRODUCT(Mecze[[#This Row],[/PR:90]:[/BR:90]],Brudnopis!$E$24:$J$24),0)</f>
        <v>9.8958333333333343E-2</v>
      </c>
      <c r="U1285" s="44">
        <f>IF(Mecze[[#This Row],[Role]]&lt;&gt;"BR",SUMPRODUCT(Mecze[[#This Row],[/PR:90]:[/BR:90]],Brudnopis!$E$25:$J$25),0)</f>
        <v>9.8958333333333343E-2</v>
      </c>
      <c r="V1285" s="44">
        <f>IF(Mecze[[#This Row],[Role]]&lt;&gt;"BR",SUMPRODUCT(Mecze[[#This Row],[/PR:90]:[/BR:90]],Brudnopis!$E$26:$J$26),0)</f>
        <v>9.3750000000000014E-2</v>
      </c>
      <c r="W1285" s="44">
        <f>IF(Mecze[[#This Row],[Role]]&lt;&gt;"BR",SUMPRODUCT(Mecze[[#This Row],[/PR:90]:[/BR:90]],Brudnopis!$E$27:$J$27),0)</f>
        <v>7.8125E-2</v>
      </c>
      <c r="X1285" s="44">
        <f>IF(Mecze[[#This Row],[Role]]&lt;&gt;"BR",SUMPRODUCT(Mecze[[#This Row],[/PR:90]:[/BR:90]],Brudnopis!$E$28:$J$28),0)</f>
        <v>1.0416666666666666E-2</v>
      </c>
      <c r="Y1285" s="35">
        <f>IF(Mecze[[#This Row],[Role]]="BR",Mecze[[#This Row],[/OB:90]]+Mecze[[#This Row],[/PC:90]],SUM(Mecze[[#This Row],[/PR:90]:[/BR:90]]))</f>
        <v>9.3750000000000014E-2</v>
      </c>
      <c r="Z1285" s="35">
        <f>IF(Mecze[[#This Row],[KC]]=0,SUM(Mecze[[#This Row],[/BRI]:[/NPI]]),SUM(Mecze[[#This Row],[/BRI]:[/NPI]])*0.6)</f>
        <v>0.38020833333333337</v>
      </c>
      <c r="AA1285" s="10">
        <f>IFERROR(Mecze[[#This Row],[BR]]/Mecze[[#This Row],[ST]],0)</f>
        <v>0</v>
      </c>
      <c r="AB1285">
        <f>ROUND(Mecze[[#This Row],[PD]]*Mecze[[#This Row],[%PC]],0)</f>
        <v>1</v>
      </c>
      <c r="AC1285">
        <f>ROUND(Mecze[[#This Row],[OD]]*Mecze[[#This Row],[%OU]],0)</f>
        <v>1</v>
      </c>
      <c r="AD1285" s="36" t="s">
        <v>167</v>
      </c>
      <c r="AE1285" s="36">
        <v>71</v>
      </c>
      <c r="AF1285" s="71">
        <v>4.17</v>
      </c>
      <c r="AG1285" s="37">
        <v>0</v>
      </c>
      <c r="AH1285" s="37">
        <v>0</v>
      </c>
      <c r="AI1285" s="37">
        <v>96</v>
      </c>
      <c r="AJ1285" s="37">
        <v>1</v>
      </c>
      <c r="AK1285" s="37" t="str">
        <f>VLOOKUP(Mecze[[#This Row],[Match ID]],Meczusie[Mecz]:Meczusie[RodzajMeczu],2,FALSE)</f>
        <v>Towarzyski</v>
      </c>
    </row>
    <row r="1286" spans="1:37" x14ac:dyDescent="0.25">
      <c r="A1286" s="76">
        <v>33</v>
      </c>
      <c r="B1286" s="3" t="s">
        <v>362</v>
      </c>
      <c r="C1286" s="2" t="s">
        <v>160</v>
      </c>
      <c r="D1286" s="1">
        <v>0</v>
      </c>
      <c r="E1286" s="1">
        <v>0</v>
      </c>
      <c r="F1286" s="1">
        <v>0</v>
      </c>
      <c r="G1286" s="1">
        <v>13</v>
      </c>
      <c r="H1286" s="4">
        <v>0.31</v>
      </c>
      <c r="I1286" s="1">
        <v>9</v>
      </c>
      <c r="J1286" s="4">
        <v>0.22</v>
      </c>
      <c r="K1286" s="1">
        <v>0</v>
      </c>
      <c r="L1286" s="1">
        <v>8</v>
      </c>
      <c r="M1286" s="32">
        <f>IF(Mecze[[#This Row],[PR]]=0,0,Mecze[[#This Row],[PR]]/Mecze[[#This Row],[CZAS]])</f>
        <v>8.3333333333333329E-2</v>
      </c>
      <c r="N1286" s="32">
        <f>IF(Mecze[[#This Row],[OU]]=0,0,Mecze[[#This Row],[OU]]/Mecze[[#This Row],[CZAS]])</f>
        <v>2.0833333333333332E-2</v>
      </c>
      <c r="O1286" s="32">
        <f>IF(Mecze[[#This Row],[PC]]=0,0,Mecze[[#This Row],[PC]]/Mecze[[#This Row],[CZAS]])</f>
        <v>4.1666666666666664E-2</v>
      </c>
      <c r="P1286" s="32">
        <f>IF(Mecze[[#This Row],[SC]]=0,0,Mecze[[#This Row],[SC]]/Mecze[[#This Row],[CZAS]])</f>
        <v>0</v>
      </c>
      <c r="Q1286" s="32">
        <f>IF(Mecze[[#This Row],[OB]]=0,0,Mecze[[#This Row],[OB]]/Mecze[[#This Row],[CZAS]])</f>
        <v>0</v>
      </c>
      <c r="R1286" s="32">
        <f>IF(Mecze[[#This Row],[BR]]=0,0,Mecze[[#This Row],[BR]]/Mecze[[#This Row],[CZAS]])</f>
        <v>0</v>
      </c>
      <c r="S1286" s="44">
        <f>IF(Mecze[[#This Row],[Role]]="BR",SUMPRODUCT(Mecze[[#This Row],[/PR:90]:[/BR:90]],Brudnopis!$E$23:$J$23),0)</f>
        <v>0</v>
      </c>
      <c r="T1286" s="44">
        <f>IF(Mecze[[#This Row],[Role]]&lt;&gt;"BR",SUMPRODUCT(Mecze[[#This Row],[/PR:90]:[/BR:90]],Brudnopis!$E$24:$J$24),0)</f>
        <v>0.15625</v>
      </c>
      <c r="U1286" s="44">
        <f>IF(Mecze[[#This Row],[Role]]&lt;&gt;"BR",SUMPRODUCT(Mecze[[#This Row],[/PR:90]:[/BR:90]],Brudnopis!$E$25:$J$25),0)</f>
        <v>0.16666666666666666</v>
      </c>
      <c r="V1286" s="44">
        <f>IF(Mecze[[#This Row],[Role]]&lt;&gt;"BR",SUMPRODUCT(Mecze[[#This Row],[/PR:90]:[/BR:90]],Brudnopis!$E$26:$J$26),0)</f>
        <v>0.14583333333333331</v>
      </c>
      <c r="W1286" s="44">
        <f>IF(Mecze[[#This Row],[Role]]&lt;&gt;"BR",SUMPRODUCT(Mecze[[#This Row],[/PR:90]:[/BR:90]],Brudnopis!$E$27:$J$27),0)</f>
        <v>0.140625</v>
      </c>
      <c r="X1286" s="44">
        <f>IF(Mecze[[#This Row],[Role]]&lt;&gt;"BR",SUMPRODUCT(Mecze[[#This Row],[/PR:90]:[/BR:90]],Brudnopis!$E$28:$J$28),0)</f>
        <v>4.1666666666666664E-2</v>
      </c>
      <c r="Y1286" s="35">
        <f>IF(Mecze[[#This Row],[Role]]="BR",Mecze[[#This Row],[/OB:90]]+Mecze[[#This Row],[/PC:90]],SUM(Mecze[[#This Row],[/PR:90]:[/BR:90]]))</f>
        <v>0.14583333333333331</v>
      </c>
      <c r="Z1286" s="35">
        <f>IF(Mecze[[#This Row],[KC]]=0,SUM(Mecze[[#This Row],[/BRI]:[/NPI]]),SUM(Mecze[[#This Row],[/BRI]:[/NPI]])*0.6)</f>
        <v>0.65104166666666663</v>
      </c>
      <c r="AA1286" s="10">
        <f>IFERROR(Mecze[[#This Row],[BR]]/Mecze[[#This Row],[ST]],0)</f>
        <v>0</v>
      </c>
      <c r="AB1286">
        <f>ROUND(Mecze[[#This Row],[PD]]*Mecze[[#This Row],[%PC]],0)</f>
        <v>4</v>
      </c>
      <c r="AC1286">
        <f>ROUND(Mecze[[#This Row],[OD]]*Mecze[[#This Row],[%OU]],0)</f>
        <v>2</v>
      </c>
      <c r="AD1286" s="36" t="s">
        <v>41</v>
      </c>
      <c r="AE1286" s="36">
        <v>71</v>
      </c>
      <c r="AF1286" s="71">
        <v>4.38</v>
      </c>
      <c r="AG1286" s="37">
        <v>0</v>
      </c>
      <c r="AH1286" s="37">
        <v>0</v>
      </c>
      <c r="AI1286" s="37">
        <v>96</v>
      </c>
      <c r="AJ1286" s="37">
        <v>1</v>
      </c>
      <c r="AK1286" s="37" t="str">
        <f>VLOOKUP(Mecze[[#This Row],[Match ID]],Meczusie[Mecz]:Meczusie[RodzajMeczu],2,FALSE)</f>
        <v>Towarzyski</v>
      </c>
    </row>
    <row r="1287" spans="1:37" x14ac:dyDescent="0.25">
      <c r="A1287" s="76">
        <v>22</v>
      </c>
      <c r="B1287" s="3" t="s">
        <v>363</v>
      </c>
      <c r="C1287" s="2" t="s">
        <v>160</v>
      </c>
      <c r="D1287" s="1">
        <v>0</v>
      </c>
      <c r="E1287" s="1">
        <v>0</v>
      </c>
      <c r="F1287" s="1">
        <v>0</v>
      </c>
      <c r="G1287" s="1">
        <v>4</v>
      </c>
      <c r="H1287" s="4">
        <v>0.75</v>
      </c>
      <c r="I1287" s="1">
        <v>2</v>
      </c>
      <c r="J1287" s="4">
        <v>0.5</v>
      </c>
      <c r="K1287" s="1">
        <v>0</v>
      </c>
      <c r="L1287" s="1">
        <v>6</v>
      </c>
      <c r="M1287" s="32">
        <f>IF(Mecze[[#This Row],[PR]]=0,0,Mecze[[#This Row],[PR]]/Mecze[[#This Row],[CZAS]])</f>
        <v>6.25E-2</v>
      </c>
      <c r="N1287" s="32">
        <f>IF(Mecze[[#This Row],[OU]]=0,0,Mecze[[#This Row],[OU]]/Mecze[[#This Row],[CZAS]])</f>
        <v>1.0416666666666666E-2</v>
      </c>
      <c r="O1287" s="32">
        <f>IF(Mecze[[#This Row],[PC]]=0,0,Mecze[[#This Row],[PC]]/Mecze[[#This Row],[CZAS]])</f>
        <v>3.125E-2</v>
      </c>
      <c r="P1287" s="32">
        <f>IF(Mecze[[#This Row],[SC]]=0,0,Mecze[[#This Row],[SC]]/Mecze[[#This Row],[CZAS]])</f>
        <v>0</v>
      </c>
      <c r="Q1287" s="32">
        <f>IF(Mecze[[#This Row],[OB]]=0,0,Mecze[[#This Row],[OB]]/Mecze[[#This Row],[CZAS]])</f>
        <v>0</v>
      </c>
      <c r="R1287" s="32">
        <f>IF(Mecze[[#This Row],[BR]]=0,0,Mecze[[#This Row],[BR]]/Mecze[[#This Row],[CZAS]])</f>
        <v>0</v>
      </c>
      <c r="S1287" s="44">
        <f>IF(Mecze[[#This Row],[Role]]="BR",SUMPRODUCT(Mecze[[#This Row],[/PR:90]:[/BR:90]],Brudnopis!$E$23:$J$23),0)</f>
        <v>0</v>
      </c>
      <c r="T1287" s="44">
        <f>IF(Mecze[[#This Row],[Role]]&lt;&gt;"BR",SUMPRODUCT(Mecze[[#This Row],[/PR:90]:[/BR:90]],Brudnopis!$E$24:$J$24),0)</f>
        <v>0.109375</v>
      </c>
      <c r="U1287" s="44">
        <f>IF(Mecze[[#This Row],[Role]]&lt;&gt;"BR",SUMPRODUCT(Mecze[[#This Row],[/PR:90]:[/BR:90]],Brudnopis!$E$25:$J$25),0)</f>
        <v>0.11979166666666667</v>
      </c>
      <c r="V1287" s="44">
        <f>IF(Mecze[[#This Row],[Role]]&lt;&gt;"BR",SUMPRODUCT(Mecze[[#This Row],[/PR:90]:[/BR:90]],Brudnopis!$E$26:$J$26),0)</f>
        <v>0.10416666666666667</v>
      </c>
      <c r="W1287" s="44">
        <f>IF(Mecze[[#This Row],[Role]]&lt;&gt;"BR",SUMPRODUCT(Mecze[[#This Row],[/PR:90]:[/BR:90]],Brudnopis!$E$27:$J$27),0)</f>
        <v>0.1015625</v>
      </c>
      <c r="X1287" s="44">
        <f>IF(Mecze[[#This Row],[Role]]&lt;&gt;"BR",SUMPRODUCT(Mecze[[#This Row],[/PR:90]:[/BR:90]],Brudnopis!$E$28:$J$28),0)</f>
        <v>3.125E-2</v>
      </c>
      <c r="Y1287" s="35">
        <f>IF(Mecze[[#This Row],[Role]]="BR",Mecze[[#This Row],[/OB:90]]+Mecze[[#This Row],[/PC:90]],SUM(Mecze[[#This Row],[/PR:90]:[/BR:90]]))</f>
        <v>0.10416666666666667</v>
      </c>
      <c r="Z1287" s="35">
        <f>IF(Mecze[[#This Row],[KC]]=0,SUM(Mecze[[#This Row],[/BRI]:[/NPI]]),SUM(Mecze[[#This Row],[/BRI]:[/NPI]])*0.6)</f>
        <v>0.46614583333333337</v>
      </c>
      <c r="AA1287" s="10">
        <f>IFERROR(Mecze[[#This Row],[BR]]/Mecze[[#This Row],[ST]],0)</f>
        <v>0</v>
      </c>
      <c r="AB1287">
        <f>ROUND(Mecze[[#This Row],[PD]]*Mecze[[#This Row],[%PC]],0)</f>
        <v>3</v>
      </c>
      <c r="AC1287">
        <f>ROUND(Mecze[[#This Row],[OD]]*Mecze[[#This Row],[%OU]],0)</f>
        <v>1</v>
      </c>
      <c r="AD1287" s="36" t="s">
        <v>41</v>
      </c>
      <c r="AE1287" s="36">
        <v>71</v>
      </c>
      <c r="AF1287" s="71">
        <v>3.96</v>
      </c>
      <c r="AG1287" s="37">
        <v>0</v>
      </c>
      <c r="AH1287" s="37">
        <v>0</v>
      </c>
      <c r="AI1287" s="37">
        <v>96</v>
      </c>
      <c r="AJ1287" s="37">
        <v>1</v>
      </c>
      <c r="AK1287" s="37" t="str">
        <f>VLOOKUP(Mecze[[#This Row],[Match ID]],Meczusie[Mecz]:Meczusie[RodzajMeczu],2,FALSE)</f>
        <v>Towarzyski</v>
      </c>
    </row>
    <row r="1288" spans="1:37" x14ac:dyDescent="0.25">
      <c r="A1288" s="76">
        <v>27</v>
      </c>
      <c r="B1288" s="3" t="s">
        <v>364</v>
      </c>
      <c r="C1288" s="2" t="s">
        <v>160</v>
      </c>
      <c r="D1288" s="1">
        <v>0</v>
      </c>
      <c r="E1288" s="1">
        <v>0</v>
      </c>
      <c r="F1288" s="1">
        <v>0</v>
      </c>
      <c r="G1288" s="1">
        <v>7</v>
      </c>
      <c r="H1288" s="4">
        <v>0.28999999999999998</v>
      </c>
      <c r="I1288" s="1">
        <v>0</v>
      </c>
      <c r="J1288" s="4"/>
      <c r="K1288" s="1">
        <v>0</v>
      </c>
      <c r="L1288" s="1">
        <v>5</v>
      </c>
      <c r="M1288" s="32">
        <f>IF(Mecze[[#This Row],[PR]]=0,0,Mecze[[#This Row],[PR]]/Mecze[[#This Row],[CZAS]])</f>
        <v>5.2083333333333336E-2</v>
      </c>
      <c r="N1288" s="32">
        <f>IF(Mecze[[#This Row],[OU]]=0,0,Mecze[[#This Row],[OU]]/Mecze[[#This Row],[CZAS]])</f>
        <v>0</v>
      </c>
      <c r="O1288" s="32">
        <f>IF(Mecze[[#This Row],[PC]]=0,0,Mecze[[#This Row],[PC]]/Mecze[[#This Row],[CZAS]])</f>
        <v>2.0833333333333332E-2</v>
      </c>
      <c r="P1288" s="32">
        <f>IF(Mecze[[#This Row],[SC]]=0,0,Mecze[[#This Row],[SC]]/Mecze[[#This Row],[CZAS]])</f>
        <v>0</v>
      </c>
      <c r="Q1288" s="32">
        <f>IF(Mecze[[#This Row],[OB]]=0,0,Mecze[[#This Row],[OB]]/Mecze[[#This Row],[CZAS]])</f>
        <v>0</v>
      </c>
      <c r="R1288" s="32">
        <f>IF(Mecze[[#This Row],[BR]]=0,0,Mecze[[#This Row],[BR]]/Mecze[[#This Row],[CZAS]])</f>
        <v>0</v>
      </c>
      <c r="S1288" s="44">
        <f>IF(Mecze[[#This Row],[Role]]="BR",SUMPRODUCT(Mecze[[#This Row],[/PR:90]:[/BR:90]],Brudnopis!$E$23:$J$23),0)</f>
        <v>0</v>
      </c>
      <c r="T1288" s="44">
        <f>IF(Mecze[[#This Row],[Role]]&lt;&gt;"BR",SUMPRODUCT(Mecze[[#This Row],[/PR:90]:[/BR:90]],Brudnopis!$E$24:$J$24),0)</f>
        <v>7.2916666666666671E-2</v>
      </c>
      <c r="U1288" s="44">
        <f>IF(Mecze[[#This Row],[Role]]&lt;&gt;"BR",SUMPRODUCT(Mecze[[#This Row],[/PR:90]:[/BR:90]],Brudnopis!$E$25:$J$25),0)</f>
        <v>8.3333333333333343E-2</v>
      </c>
      <c r="V1288" s="44">
        <f>IF(Mecze[[#This Row],[Role]]&lt;&gt;"BR",SUMPRODUCT(Mecze[[#This Row],[/PR:90]:[/BR:90]],Brudnopis!$E$26:$J$26),0)</f>
        <v>7.2916666666666671E-2</v>
      </c>
      <c r="W1288" s="44">
        <f>IF(Mecze[[#This Row],[Role]]&lt;&gt;"BR",SUMPRODUCT(Mecze[[#This Row],[/PR:90]:[/BR:90]],Brudnopis!$E$27:$J$27),0)</f>
        <v>7.03125E-2</v>
      </c>
      <c r="X1288" s="44">
        <f>IF(Mecze[[#This Row],[Role]]&lt;&gt;"BR",SUMPRODUCT(Mecze[[#This Row],[/PR:90]:[/BR:90]],Brudnopis!$E$28:$J$28),0)</f>
        <v>2.0833333333333332E-2</v>
      </c>
      <c r="Y1288" s="35">
        <f>IF(Mecze[[#This Row],[Role]]="BR",Mecze[[#This Row],[/OB:90]]+Mecze[[#This Row],[/PC:90]],SUM(Mecze[[#This Row],[/PR:90]:[/BR:90]]))</f>
        <v>7.2916666666666671E-2</v>
      </c>
      <c r="Z1288" s="35">
        <f>IF(Mecze[[#This Row],[KC]]=0,SUM(Mecze[[#This Row],[/BRI]:[/NPI]]),SUM(Mecze[[#This Row],[/BRI]:[/NPI]])*0.6)</f>
        <v>0.3203125</v>
      </c>
      <c r="AA1288" s="10">
        <f>IFERROR(Mecze[[#This Row],[BR]]/Mecze[[#This Row],[ST]],0)</f>
        <v>0</v>
      </c>
      <c r="AB1288">
        <f>ROUND(Mecze[[#This Row],[PD]]*Mecze[[#This Row],[%PC]],0)</f>
        <v>2</v>
      </c>
      <c r="AC1288">
        <f>ROUND(Mecze[[#This Row],[OD]]*Mecze[[#This Row],[%OU]],0)</f>
        <v>0</v>
      </c>
      <c r="AD1288" s="36" t="s">
        <v>44</v>
      </c>
      <c r="AE1288" s="36">
        <v>71</v>
      </c>
      <c r="AF1288" s="71">
        <v>3.75</v>
      </c>
      <c r="AG1288" s="37">
        <v>0</v>
      </c>
      <c r="AH1288" s="37">
        <v>0</v>
      </c>
      <c r="AI1288" s="37">
        <v>96</v>
      </c>
      <c r="AJ1288" s="37">
        <v>1</v>
      </c>
      <c r="AK1288" s="37" t="str">
        <f>VLOOKUP(Mecze[[#This Row],[Match ID]],Meczusie[Mecz]:Meczusie[RodzajMeczu],2,FALSE)</f>
        <v>Towarzyski</v>
      </c>
    </row>
    <row r="1289" spans="1:37" x14ac:dyDescent="0.25">
      <c r="A1289" s="76">
        <v>28</v>
      </c>
      <c r="B1289" s="3" t="s">
        <v>419</v>
      </c>
      <c r="C1289" s="2" t="s">
        <v>160</v>
      </c>
      <c r="D1289" s="1">
        <v>0</v>
      </c>
      <c r="E1289" s="1">
        <v>0</v>
      </c>
      <c r="F1289" s="1">
        <v>0</v>
      </c>
      <c r="G1289" s="1">
        <v>6</v>
      </c>
      <c r="H1289" s="4">
        <v>0.33</v>
      </c>
      <c r="I1289" s="1">
        <v>4</v>
      </c>
      <c r="J1289" s="4">
        <v>0.5</v>
      </c>
      <c r="K1289" s="1">
        <v>0</v>
      </c>
      <c r="L1289" s="1">
        <v>3</v>
      </c>
      <c r="M1289" s="32">
        <f>IF(Mecze[[#This Row],[PR]]=0,0,Mecze[[#This Row],[PR]]/Mecze[[#This Row],[CZAS]])</f>
        <v>3.125E-2</v>
      </c>
      <c r="N1289" s="32">
        <f>IF(Mecze[[#This Row],[OU]]=0,0,Mecze[[#This Row],[OU]]/Mecze[[#This Row],[CZAS]])</f>
        <v>2.0833333333333332E-2</v>
      </c>
      <c r="O1289" s="32">
        <f>IF(Mecze[[#This Row],[PC]]=0,0,Mecze[[#This Row],[PC]]/Mecze[[#This Row],[CZAS]])</f>
        <v>2.0833333333333332E-2</v>
      </c>
      <c r="P1289" s="32">
        <f>IF(Mecze[[#This Row],[SC]]=0,0,Mecze[[#This Row],[SC]]/Mecze[[#This Row],[CZAS]])</f>
        <v>0</v>
      </c>
      <c r="Q1289" s="32">
        <f>IF(Mecze[[#This Row],[OB]]=0,0,Mecze[[#This Row],[OB]]/Mecze[[#This Row],[CZAS]])</f>
        <v>0</v>
      </c>
      <c r="R1289" s="32">
        <f>IF(Mecze[[#This Row],[BR]]=0,0,Mecze[[#This Row],[BR]]/Mecze[[#This Row],[CZAS]])</f>
        <v>0</v>
      </c>
      <c r="S1289" s="44">
        <f>IF(Mecze[[#This Row],[Role]]="BR",SUMPRODUCT(Mecze[[#This Row],[/PR:90]:[/BR:90]],Brudnopis!$E$23:$J$23),0)</f>
        <v>0</v>
      </c>
      <c r="T1289" s="44">
        <f>IF(Mecze[[#This Row],[Role]]&lt;&gt;"BR",SUMPRODUCT(Mecze[[#This Row],[/PR:90]:[/BR:90]],Brudnopis!$E$24:$J$24),0)</f>
        <v>8.3333333333333329E-2</v>
      </c>
      <c r="U1289" s="44">
        <f>IF(Mecze[[#This Row],[Role]]&lt;&gt;"BR",SUMPRODUCT(Mecze[[#This Row],[/PR:90]:[/BR:90]],Brudnopis!$E$25:$J$25),0)</f>
        <v>8.3333333333333329E-2</v>
      </c>
      <c r="V1289" s="44">
        <f>IF(Mecze[[#This Row],[Role]]&lt;&gt;"BR",SUMPRODUCT(Mecze[[#This Row],[/PR:90]:[/BR:90]],Brudnopis!$E$26:$J$26),0)</f>
        <v>7.2916666666666657E-2</v>
      </c>
      <c r="W1289" s="44">
        <f>IF(Mecze[[#This Row],[Role]]&lt;&gt;"BR",SUMPRODUCT(Mecze[[#This Row],[/PR:90]:[/BR:90]],Brudnopis!$E$27:$J$27),0)</f>
        <v>7.03125E-2</v>
      </c>
      <c r="X1289" s="44">
        <f>IF(Mecze[[#This Row],[Role]]&lt;&gt;"BR",SUMPRODUCT(Mecze[[#This Row],[/PR:90]:[/BR:90]],Brudnopis!$E$28:$J$28),0)</f>
        <v>2.0833333333333332E-2</v>
      </c>
      <c r="Y1289" s="35">
        <f>IF(Mecze[[#This Row],[Role]]="BR",Mecze[[#This Row],[/OB:90]]+Mecze[[#This Row],[/PC:90]],SUM(Mecze[[#This Row],[/PR:90]:[/BR:90]]))</f>
        <v>7.2916666666666657E-2</v>
      </c>
      <c r="Z1289" s="35">
        <f>IF(Mecze[[#This Row],[KC]]=0,SUM(Mecze[[#This Row],[/BRI]:[/NPI]]),SUM(Mecze[[#This Row],[/BRI]:[/NPI]])*0.6)</f>
        <v>0.33072916666666663</v>
      </c>
      <c r="AA1289" s="10">
        <f>IFERROR(Mecze[[#This Row],[BR]]/Mecze[[#This Row],[ST]],0)</f>
        <v>0</v>
      </c>
      <c r="AB1289">
        <f>ROUND(Mecze[[#This Row],[PD]]*Mecze[[#This Row],[%PC]],0)</f>
        <v>2</v>
      </c>
      <c r="AC1289">
        <f>ROUND(Mecze[[#This Row],[OD]]*Mecze[[#This Row],[%OU]],0)</f>
        <v>2</v>
      </c>
      <c r="AD1289" s="36" t="s">
        <v>44</v>
      </c>
      <c r="AE1289" s="36">
        <v>71</v>
      </c>
      <c r="AF1289" s="71">
        <v>3.33</v>
      </c>
      <c r="AG1289" s="37">
        <v>0</v>
      </c>
      <c r="AH1289" s="37">
        <v>0</v>
      </c>
      <c r="AI1289" s="37">
        <v>96</v>
      </c>
      <c r="AJ1289" s="37">
        <v>1</v>
      </c>
      <c r="AK1289" s="37" t="str">
        <f>VLOOKUP(Mecze[[#This Row],[Match ID]],Meczusie[Mecz]:Meczusie[RodzajMeczu],2,FALSE)</f>
        <v>Towarzyski</v>
      </c>
    </row>
    <row r="1290" spans="1:37" x14ac:dyDescent="0.25">
      <c r="A1290" s="76">
        <v>53</v>
      </c>
      <c r="B1290" s="3" t="s">
        <v>415</v>
      </c>
      <c r="C1290" s="2" t="s">
        <v>165</v>
      </c>
      <c r="D1290" s="1">
        <v>0</v>
      </c>
      <c r="E1290" s="1">
        <v>1</v>
      </c>
      <c r="F1290" s="1">
        <v>1</v>
      </c>
      <c r="G1290" s="1">
        <v>2</v>
      </c>
      <c r="H1290" s="4">
        <v>0.5</v>
      </c>
      <c r="I1290" s="1">
        <v>6</v>
      </c>
      <c r="J1290" s="4">
        <v>0.33</v>
      </c>
      <c r="K1290" s="1">
        <v>0</v>
      </c>
      <c r="L1290" s="1">
        <v>1</v>
      </c>
      <c r="M1290" s="32">
        <f>IF(Mecze[[#This Row],[PR]]=0,0,Mecze[[#This Row],[PR]]/Mecze[[#This Row],[CZAS]])</f>
        <v>1.0416666666666666E-2</v>
      </c>
      <c r="N1290" s="32">
        <f>IF(Mecze[[#This Row],[OU]]=0,0,Mecze[[#This Row],[OU]]/Mecze[[#This Row],[CZAS]])</f>
        <v>2.0833333333333332E-2</v>
      </c>
      <c r="O1290" s="32">
        <f>IF(Mecze[[#This Row],[PC]]=0,0,Mecze[[#This Row],[PC]]/Mecze[[#This Row],[CZAS]])</f>
        <v>1.0416666666666666E-2</v>
      </c>
      <c r="P1290" s="32">
        <f>IF(Mecze[[#This Row],[SC]]=0,0,Mecze[[#This Row],[SC]]/Mecze[[#This Row],[CZAS]])</f>
        <v>1.0416666666666666E-2</v>
      </c>
      <c r="Q1290" s="32">
        <f>IF(Mecze[[#This Row],[OB]]=0,0,Mecze[[#This Row],[OB]]/Mecze[[#This Row],[CZAS]])</f>
        <v>0</v>
      </c>
      <c r="R1290" s="32">
        <f>IF(Mecze[[#This Row],[BR]]=0,0,Mecze[[#This Row],[BR]]/Mecze[[#This Row],[CZAS]])</f>
        <v>0</v>
      </c>
      <c r="S1290" s="44">
        <f>IF(Mecze[[#This Row],[Role]]="BR",SUMPRODUCT(Mecze[[#This Row],[/PR:90]:[/BR:90]],Brudnopis!$E$23:$J$23),0)</f>
        <v>0</v>
      </c>
      <c r="T1290" s="44">
        <f>IF(Mecze[[#This Row],[Role]]&lt;&gt;"BR",SUMPRODUCT(Mecze[[#This Row],[/PR:90]:[/BR:90]],Brudnopis!$E$24:$J$24),0)</f>
        <v>6.2499999999999993E-2</v>
      </c>
      <c r="U1290" s="44">
        <f>IF(Mecze[[#This Row],[Role]]&lt;&gt;"BR",SUMPRODUCT(Mecze[[#This Row],[/PR:90]:[/BR:90]],Brudnopis!$E$25:$J$25),0)</f>
        <v>5.7291666666666664E-2</v>
      </c>
      <c r="V1290" s="44">
        <f>IF(Mecze[[#This Row],[Role]]&lt;&gt;"BR",SUMPRODUCT(Mecze[[#This Row],[/PR:90]:[/BR:90]],Brudnopis!$E$26:$J$26),0)</f>
        <v>5.2083333333333329E-2</v>
      </c>
      <c r="W1290" s="44">
        <f>IF(Mecze[[#This Row],[Role]]&lt;&gt;"BR",SUMPRODUCT(Mecze[[#This Row],[/PR:90]:[/BR:90]],Brudnopis!$E$27:$J$27),0)</f>
        <v>4.9479166666666664E-2</v>
      </c>
      <c r="X1290" s="44">
        <f>IF(Mecze[[#This Row],[Role]]&lt;&gt;"BR",SUMPRODUCT(Mecze[[#This Row],[/PR:90]:[/BR:90]],Brudnopis!$E$28:$J$28),0)</f>
        <v>3.125E-2</v>
      </c>
      <c r="Y1290" s="35">
        <f>IF(Mecze[[#This Row],[Role]]="BR",Mecze[[#This Row],[/OB:90]]+Mecze[[#This Row],[/PC:90]],SUM(Mecze[[#This Row],[/PR:90]:[/BR:90]]))</f>
        <v>5.2083333333333329E-2</v>
      </c>
      <c r="Z1290" s="35">
        <f>IF(Mecze[[#This Row],[KC]]=0,SUM(Mecze[[#This Row],[/BRI]:[/NPI]]),SUM(Mecze[[#This Row],[/BRI]:[/NPI]])*0.6)</f>
        <v>0.25260416666666663</v>
      </c>
      <c r="AA1290" s="10">
        <f>IFERROR(Mecze[[#This Row],[BR]]/Mecze[[#This Row],[ST]],0)</f>
        <v>0</v>
      </c>
      <c r="AB1290">
        <f>ROUND(Mecze[[#This Row],[PD]]*Mecze[[#This Row],[%PC]],0)</f>
        <v>1</v>
      </c>
      <c r="AC1290">
        <f>ROUND(Mecze[[#This Row],[OD]]*Mecze[[#This Row],[%OU]],0)</f>
        <v>2</v>
      </c>
      <c r="AD1290" s="36" t="s">
        <v>46</v>
      </c>
      <c r="AE1290" s="36">
        <v>71</v>
      </c>
      <c r="AF1290" s="71">
        <v>1.82</v>
      </c>
      <c r="AG1290" s="37">
        <v>1</v>
      </c>
      <c r="AH1290" s="37">
        <v>0</v>
      </c>
      <c r="AI1290" s="37">
        <v>96</v>
      </c>
      <c r="AJ1290" s="37">
        <v>1</v>
      </c>
      <c r="AK1290" s="37" t="str">
        <f>VLOOKUP(Mecze[[#This Row],[Match ID]],Meczusie[Mecz]:Meczusie[RodzajMeczu],2,FALSE)</f>
        <v>Towarzyski</v>
      </c>
    </row>
    <row r="1291" spans="1:37" x14ac:dyDescent="0.25">
      <c r="A1291" s="76">
        <v>48</v>
      </c>
      <c r="B1291" s="3" t="s">
        <v>414</v>
      </c>
      <c r="C1291" s="2" t="s">
        <v>165</v>
      </c>
      <c r="D1291" s="1">
        <v>0</v>
      </c>
      <c r="E1291" s="1">
        <v>4</v>
      </c>
      <c r="F1291" s="1">
        <v>1</v>
      </c>
      <c r="G1291" s="1">
        <v>4</v>
      </c>
      <c r="H1291" s="4">
        <v>0.25</v>
      </c>
      <c r="I1291" s="1">
        <v>6</v>
      </c>
      <c r="J1291" s="4">
        <v>0.33</v>
      </c>
      <c r="K1291" s="1">
        <v>0</v>
      </c>
      <c r="L1291" s="1">
        <v>0</v>
      </c>
      <c r="M1291" s="32">
        <f>IF(Mecze[[#This Row],[PR]]=0,0,Mecze[[#This Row],[PR]]/Mecze[[#This Row],[CZAS]])</f>
        <v>0</v>
      </c>
      <c r="N1291" s="32">
        <f>IF(Mecze[[#This Row],[OU]]=0,0,Mecze[[#This Row],[OU]]/Mecze[[#This Row],[CZAS]])</f>
        <v>2.0833333333333332E-2</v>
      </c>
      <c r="O1291" s="32">
        <f>IF(Mecze[[#This Row],[PC]]=0,0,Mecze[[#This Row],[PC]]/Mecze[[#This Row],[CZAS]])</f>
        <v>1.0416666666666666E-2</v>
      </c>
      <c r="P1291" s="32">
        <f>IF(Mecze[[#This Row],[SC]]=0,0,Mecze[[#This Row],[SC]]/Mecze[[#This Row],[CZAS]])</f>
        <v>1.0416666666666666E-2</v>
      </c>
      <c r="Q1291" s="32">
        <f>IF(Mecze[[#This Row],[OB]]=0,0,Mecze[[#This Row],[OB]]/Mecze[[#This Row],[CZAS]])</f>
        <v>0</v>
      </c>
      <c r="R1291" s="32">
        <f>IF(Mecze[[#This Row],[BR]]=0,0,Mecze[[#This Row],[BR]]/Mecze[[#This Row],[CZAS]])</f>
        <v>0</v>
      </c>
      <c r="S1291" s="44">
        <f>IF(Mecze[[#This Row],[Role]]="BR",SUMPRODUCT(Mecze[[#This Row],[/PR:90]:[/BR:90]],Brudnopis!$E$23:$J$23),0)</f>
        <v>0</v>
      </c>
      <c r="T1291" s="44">
        <f>IF(Mecze[[#This Row],[Role]]&lt;&gt;"BR",SUMPRODUCT(Mecze[[#This Row],[/PR:90]:[/BR:90]],Brudnopis!$E$24:$J$24),0)</f>
        <v>5.2083333333333329E-2</v>
      </c>
      <c r="U1291" s="44">
        <f>IF(Mecze[[#This Row],[Role]]&lt;&gt;"BR",SUMPRODUCT(Mecze[[#This Row],[/PR:90]:[/BR:90]],Brudnopis!$E$25:$J$25),0)</f>
        <v>4.6874999999999993E-2</v>
      </c>
      <c r="V1291" s="44">
        <f>IF(Mecze[[#This Row],[Role]]&lt;&gt;"BR",SUMPRODUCT(Mecze[[#This Row],[/PR:90]:[/BR:90]],Brudnopis!$E$26:$J$26),0)</f>
        <v>4.1666666666666664E-2</v>
      </c>
      <c r="W1291" s="44">
        <f>IF(Mecze[[#This Row],[Role]]&lt;&gt;"BR",SUMPRODUCT(Mecze[[#This Row],[/PR:90]:[/BR:90]],Brudnopis!$E$27:$J$27),0)</f>
        <v>4.1666666666666664E-2</v>
      </c>
      <c r="X1291" s="44">
        <f>IF(Mecze[[#This Row],[Role]]&lt;&gt;"BR",SUMPRODUCT(Mecze[[#This Row],[/PR:90]:[/BR:90]],Brudnopis!$E$28:$J$28),0)</f>
        <v>3.125E-2</v>
      </c>
      <c r="Y1291" s="35">
        <f>IF(Mecze[[#This Row],[Role]]="BR",Mecze[[#This Row],[/OB:90]]+Mecze[[#This Row],[/PC:90]],SUM(Mecze[[#This Row],[/PR:90]:[/BR:90]]))</f>
        <v>4.1666666666666664E-2</v>
      </c>
      <c r="Z1291" s="35">
        <f>IF(Mecze[[#This Row],[KC]]=0,SUM(Mecze[[#This Row],[/BRI]:[/NPI]]),SUM(Mecze[[#This Row],[/BRI]:[/NPI]])*0.6)</f>
        <v>0.21354166666666663</v>
      </c>
      <c r="AA1291" s="10">
        <f>IFERROR(Mecze[[#This Row],[BR]]/Mecze[[#This Row],[ST]],0)</f>
        <v>0</v>
      </c>
      <c r="AB1291">
        <f>ROUND(Mecze[[#This Row],[PD]]*Mecze[[#This Row],[%PC]],0)</f>
        <v>1</v>
      </c>
      <c r="AC1291">
        <f>ROUND(Mecze[[#This Row],[OD]]*Mecze[[#This Row],[%OU]],0)</f>
        <v>2</v>
      </c>
      <c r="AD1291" s="36" t="s">
        <v>46</v>
      </c>
      <c r="AE1291" s="36">
        <v>71</v>
      </c>
      <c r="AF1291" s="71">
        <v>1.82</v>
      </c>
      <c r="AG1291" s="37">
        <v>1</v>
      </c>
      <c r="AH1291" s="37">
        <v>0</v>
      </c>
      <c r="AI1291" s="37">
        <v>96</v>
      </c>
      <c r="AJ1291" s="37">
        <v>1</v>
      </c>
      <c r="AK1291" s="37" t="str">
        <f>VLOOKUP(Mecze[[#This Row],[Match ID]],Meczusie[Mecz]:Meczusie[RodzajMeczu],2,FALSE)</f>
        <v>Towarzyski</v>
      </c>
    </row>
    <row r="1292" spans="1:37" x14ac:dyDescent="0.25">
      <c r="A1292" s="76">
        <v>26</v>
      </c>
      <c r="B1292" s="3" t="s">
        <v>368</v>
      </c>
      <c r="C1292" s="2" t="s">
        <v>165</v>
      </c>
      <c r="D1292" s="1">
        <v>0</v>
      </c>
      <c r="E1292" s="1">
        <v>6</v>
      </c>
      <c r="F1292" s="1">
        <v>3</v>
      </c>
      <c r="G1292" s="1">
        <v>3</v>
      </c>
      <c r="H1292" s="4">
        <v>0.33</v>
      </c>
      <c r="I1292" s="1">
        <v>2</v>
      </c>
      <c r="J1292" s="4">
        <v>0</v>
      </c>
      <c r="K1292" s="1">
        <v>0</v>
      </c>
      <c r="L1292" s="1">
        <v>0</v>
      </c>
      <c r="M1292" s="32">
        <f>IF(Mecze[[#This Row],[PR]]=0,0,Mecze[[#This Row],[PR]]/Mecze[[#This Row],[CZAS]])</f>
        <v>0</v>
      </c>
      <c r="N1292" s="32">
        <f>IF(Mecze[[#This Row],[OU]]=0,0,Mecze[[#This Row],[OU]]/Mecze[[#This Row],[CZAS]])</f>
        <v>0</v>
      </c>
      <c r="O1292" s="32">
        <f>IF(Mecze[[#This Row],[PC]]=0,0,Mecze[[#This Row],[PC]]/Mecze[[#This Row],[CZAS]])</f>
        <v>1.0416666666666666E-2</v>
      </c>
      <c r="P1292" s="32">
        <f>IF(Mecze[[#This Row],[SC]]=0,0,Mecze[[#This Row],[SC]]/Mecze[[#This Row],[CZAS]])</f>
        <v>3.125E-2</v>
      </c>
      <c r="Q1292" s="32">
        <f>IF(Mecze[[#This Row],[OB]]=0,0,Mecze[[#This Row],[OB]]/Mecze[[#This Row],[CZAS]])</f>
        <v>0</v>
      </c>
      <c r="R1292" s="32">
        <f>IF(Mecze[[#This Row],[BR]]=0,0,Mecze[[#This Row],[BR]]/Mecze[[#This Row],[CZAS]])</f>
        <v>0</v>
      </c>
      <c r="S1292" s="44">
        <f>IF(Mecze[[#This Row],[Role]]="BR",SUMPRODUCT(Mecze[[#This Row],[/PR:90]:[/BR:90]],Brudnopis!$E$23:$J$23),0)</f>
        <v>0</v>
      </c>
      <c r="T1292" s="44">
        <f>IF(Mecze[[#This Row],[Role]]&lt;&gt;"BR",SUMPRODUCT(Mecze[[#This Row],[/PR:90]:[/BR:90]],Brudnopis!$E$24:$J$24),0)</f>
        <v>4.1666666666666664E-2</v>
      </c>
      <c r="U1292" s="44">
        <f>IF(Mecze[[#This Row],[Role]]&lt;&gt;"BR",SUMPRODUCT(Mecze[[#This Row],[/PR:90]:[/BR:90]],Brudnopis!$E$25:$J$25),0)</f>
        <v>4.6875E-2</v>
      </c>
      <c r="V1292" s="44">
        <f>IF(Mecze[[#This Row],[Role]]&lt;&gt;"BR",SUMPRODUCT(Mecze[[#This Row],[/PR:90]:[/BR:90]],Brudnopis!$E$26:$J$26),0)</f>
        <v>4.1666666666666664E-2</v>
      </c>
      <c r="W1292" s="44">
        <f>IF(Mecze[[#This Row],[Role]]&lt;&gt;"BR",SUMPRODUCT(Mecze[[#This Row],[/PR:90]:[/BR:90]],Brudnopis!$E$27:$J$27),0)</f>
        <v>4.6875E-2</v>
      </c>
      <c r="X1292" s="44">
        <f>IF(Mecze[[#This Row],[Role]]&lt;&gt;"BR",SUMPRODUCT(Mecze[[#This Row],[/PR:90]:[/BR:90]],Brudnopis!$E$28:$J$28),0)</f>
        <v>7.2916666666666671E-2</v>
      </c>
      <c r="Y1292" s="35">
        <f>IF(Mecze[[#This Row],[Role]]="BR",Mecze[[#This Row],[/OB:90]]+Mecze[[#This Row],[/PC:90]],SUM(Mecze[[#This Row],[/PR:90]:[/BR:90]]))</f>
        <v>4.1666666666666664E-2</v>
      </c>
      <c r="Z1292" s="35">
        <f>IF(Mecze[[#This Row],[KC]]=0,SUM(Mecze[[#This Row],[/BRI]:[/NPI]]),SUM(Mecze[[#This Row],[/BRI]:[/NPI]])*0.6)</f>
        <v>0.25</v>
      </c>
      <c r="AA1292" s="10">
        <f>IFERROR(Mecze[[#This Row],[BR]]/Mecze[[#This Row],[ST]],0)</f>
        <v>0</v>
      </c>
      <c r="AB1292">
        <f>ROUND(Mecze[[#This Row],[PD]]*Mecze[[#This Row],[%PC]],0)</f>
        <v>1</v>
      </c>
      <c r="AC1292">
        <f>ROUND(Mecze[[#This Row],[OD]]*Mecze[[#This Row],[%OU]],0)</f>
        <v>0</v>
      </c>
      <c r="AD1292" s="36" t="s">
        <v>46</v>
      </c>
      <c r="AE1292" s="36">
        <v>71</v>
      </c>
      <c r="AF1292" s="71">
        <v>3.37</v>
      </c>
      <c r="AG1292" s="37">
        <v>0</v>
      </c>
      <c r="AH1292" s="37">
        <v>0</v>
      </c>
      <c r="AI1292" s="37">
        <v>96</v>
      </c>
      <c r="AJ1292" s="37">
        <v>1</v>
      </c>
      <c r="AK1292" s="37" t="str">
        <f>VLOOKUP(Mecze[[#This Row],[Match ID]],Meczusie[Mecz]:Meczusie[RodzajMeczu],2,FALSE)</f>
        <v>Towarzyski</v>
      </c>
    </row>
    <row r="1293" spans="1:37" x14ac:dyDescent="0.25">
      <c r="A1293" s="76">
        <v>1</v>
      </c>
      <c r="B1293" s="3" t="s">
        <v>220</v>
      </c>
      <c r="C1293" s="2" t="s">
        <v>155</v>
      </c>
      <c r="D1293" s="1">
        <v>0</v>
      </c>
      <c r="E1293" s="1">
        <v>0</v>
      </c>
      <c r="F1293" s="1">
        <v>0</v>
      </c>
      <c r="G1293" s="1">
        <v>8</v>
      </c>
      <c r="H1293" s="4">
        <v>0.63</v>
      </c>
      <c r="I1293" s="1">
        <v>0</v>
      </c>
      <c r="J1293" s="4"/>
      <c r="K1293" s="1">
        <v>6</v>
      </c>
      <c r="L1293" s="1">
        <v>0</v>
      </c>
      <c r="M1293" s="32">
        <f>IF(Mecze[[#This Row],[PR]]=0,0,Mecze[[#This Row],[PR]]/Mecze[[#This Row],[CZAS]])</f>
        <v>0</v>
      </c>
      <c r="N1293" s="32">
        <f>IF(Mecze[[#This Row],[OU]]=0,0,Mecze[[#This Row],[OU]]/Mecze[[#This Row],[CZAS]])</f>
        <v>0</v>
      </c>
      <c r="O1293" s="32">
        <f>IF(Mecze[[#This Row],[PC]]=0,0,Mecze[[#This Row],[PC]]/Mecze[[#This Row],[CZAS]])</f>
        <v>5.2083333333333336E-2</v>
      </c>
      <c r="P1293" s="32">
        <f>IF(Mecze[[#This Row],[SC]]=0,0,Mecze[[#This Row],[SC]]/Mecze[[#This Row],[CZAS]])</f>
        <v>0</v>
      </c>
      <c r="Q1293" s="32">
        <f>IF(Mecze[[#This Row],[OB]]=0,0,Mecze[[#This Row],[OB]]/Mecze[[#This Row],[CZAS]])</f>
        <v>6.25E-2</v>
      </c>
      <c r="R1293" s="32">
        <f>IF(Mecze[[#This Row],[BR]]=0,0,Mecze[[#This Row],[BR]]/Mecze[[#This Row],[CZAS]])</f>
        <v>0</v>
      </c>
      <c r="S1293" s="44">
        <f>IF(Mecze[[#This Row],[Role]]="BR",SUMPRODUCT(Mecze[[#This Row],[/PR:90]:[/BR:90]],Brudnopis!$E$23:$J$23),0)</f>
        <v>0.34375</v>
      </c>
      <c r="T1293" s="44">
        <f>IF(Mecze[[#This Row],[Role]]&lt;&gt;"BR",SUMPRODUCT(Mecze[[#This Row],[/PR:90]:[/BR:90]],Brudnopis!$E$24:$J$24),0)</f>
        <v>0</v>
      </c>
      <c r="U1293" s="44">
        <f>IF(Mecze[[#This Row],[Role]]&lt;&gt;"BR",SUMPRODUCT(Mecze[[#This Row],[/PR:90]:[/BR:90]],Brudnopis!$E$25:$J$25),0)</f>
        <v>0</v>
      </c>
      <c r="V1293" s="44">
        <f>IF(Mecze[[#This Row],[Role]]&lt;&gt;"BR",SUMPRODUCT(Mecze[[#This Row],[/PR:90]:[/BR:90]],Brudnopis!$E$26:$J$26),0)</f>
        <v>0</v>
      </c>
      <c r="W1293" s="44">
        <f>IF(Mecze[[#This Row],[Role]]&lt;&gt;"BR",SUMPRODUCT(Mecze[[#This Row],[/PR:90]:[/BR:90]],Brudnopis!$E$27:$J$27),0)</f>
        <v>0</v>
      </c>
      <c r="X1293" s="44">
        <f>IF(Mecze[[#This Row],[Role]]&lt;&gt;"BR",SUMPRODUCT(Mecze[[#This Row],[/PR:90]:[/BR:90]],Brudnopis!$E$28:$J$28),0)</f>
        <v>0</v>
      </c>
      <c r="Y1293" s="35">
        <f>IF(Mecze[[#This Row],[Role]]="BR",Mecze[[#This Row],[/OB:90]]+Mecze[[#This Row],[/PC:90]],SUM(Mecze[[#This Row],[/PR:90]:[/BR:90]]))</f>
        <v>0.11458333333333334</v>
      </c>
      <c r="Z1293" s="35">
        <f>IF(Mecze[[#This Row],[KC]]=0,SUM(Mecze[[#This Row],[/BRI]:[/NPI]]),SUM(Mecze[[#This Row],[/BRI]:[/NPI]])*0.6)</f>
        <v>0.34375</v>
      </c>
      <c r="AA1293" s="10">
        <f>IFERROR(Mecze[[#This Row],[BR]]/Mecze[[#This Row],[ST]],0)</f>
        <v>0</v>
      </c>
      <c r="AB1293">
        <f>ROUND(Mecze[[#This Row],[PD]]*Mecze[[#This Row],[%PC]],0)</f>
        <v>5</v>
      </c>
      <c r="AC1293">
        <f>ROUND(Mecze[[#This Row],[OD]]*Mecze[[#This Row],[%OU]],0)</f>
        <v>0</v>
      </c>
      <c r="AD1293" s="36" t="s">
        <v>40</v>
      </c>
      <c r="AE1293" s="36">
        <v>72</v>
      </c>
      <c r="AF1293" s="71">
        <v>7.24</v>
      </c>
      <c r="AG1293" s="37">
        <v>0</v>
      </c>
      <c r="AH1293" s="37">
        <v>0</v>
      </c>
      <c r="AI1293" s="37">
        <v>96</v>
      </c>
      <c r="AJ1293" s="37">
        <v>2</v>
      </c>
      <c r="AK1293" s="37" t="str">
        <f>VLOOKUP(Mecze[[#This Row],[Match ID]],Meczusie[Mecz]:Meczusie[RodzajMeczu],2,FALSE)</f>
        <v>Liga</v>
      </c>
    </row>
    <row r="1294" spans="1:37" x14ac:dyDescent="0.25">
      <c r="A1294" s="76">
        <v>4</v>
      </c>
      <c r="B1294" s="3" t="s">
        <v>221</v>
      </c>
      <c r="C1294" s="2" t="s">
        <v>157</v>
      </c>
      <c r="D1294" s="1">
        <v>0</v>
      </c>
      <c r="E1294" s="1">
        <v>0</v>
      </c>
      <c r="F1294" s="1">
        <v>0</v>
      </c>
      <c r="G1294" s="1">
        <v>14</v>
      </c>
      <c r="H1294" s="4">
        <v>0.56999999999999995</v>
      </c>
      <c r="I1294" s="1">
        <v>7</v>
      </c>
      <c r="J1294" s="4">
        <v>0.71</v>
      </c>
      <c r="K1294" s="1">
        <v>0</v>
      </c>
      <c r="L1294" s="1">
        <v>5</v>
      </c>
      <c r="M1294" s="32">
        <f>IF(Mecze[[#This Row],[PR]]=0,0,Mecze[[#This Row],[PR]]/Mecze[[#This Row],[CZAS]])</f>
        <v>5.2083333333333336E-2</v>
      </c>
      <c r="N1294" s="32">
        <f>IF(Mecze[[#This Row],[OU]]=0,0,Mecze[[#This Row],[OU]]/Mecze[[#This Row],[CZAS]])</f>
        <v>5.2083333333333336E-2</v>
      </c>
      <c r="O1294" s="32">
        <f>IF(Mecze[[#This Row],[PC]]=0,0,Mecze[[#This Row],[PC]]/Mecze[[#This Row],[CZAS]])</f>
        <v>8.3333333333333329E-2</v>
      </c>
      <c r="P1294" s="32">
        <f>IF(Mecze[[#This Row],[SC]]=0,0,Mecze[[#This Row],[SC]]/Mecze[[#This Row],[CZAS]])</f>
        <v>0</v>
      </c>
      <c r="Q1294" s="32">
        <f>IF(Mecze[[#This Row],[OB]]=0,0,Mecze[[#This Row],[OB]]/Mecze[[#This Row],[CZAS]])</f>
        <v>0</v>
      </c>
      <c r="R1294" s="32">
        <f>IF(Mecze[[#This Row],[BR]]=0,0,Mecze[[#This Row],[BR]]/Mecze[[#This Row],[CZAS]])</f>
        <v>0</v>
      </c>
      <c r="S1294" s="44">
        <f>IF(Mecze[[#This Row],[Role]]="BR",SUMPRODUCT(Mecze[[#This Row],[/PR:90]:[/BR:90]],Brudnopis!$E$23:$J$23),0)</f>
        <v>0</v>
      </c>
      <c r="T1294" s="44">
        <f>IF(Mecze[[#This Row],[Role]]&lt;&gt;"BR",SUMPRODUCT(Mecze[[#This Row],[/PR:90]:[/BR:90]],Brudnopis!$E$24:$J$24),0)</f>
        <v>0.21354166666666669</v>
      </c>
      <c r="U1294" s="44">
        <f>IF(Mecze[[#This Row],[Role]]&lt;&gt;"BR",SUMPRODUCT(Mecze[[#This Row],[/PR:90]:[/BR:90]],Brudnopis!$E$25:$J$25),0)</f>
        <v>0.22916666666666669</v>
      </c>
      <c r="V1294" s="44">
        <f>IF(Mecze[[#This Row],[Role]]&lt;&gt;"BR",SUMPRODUCT(Mecze[[#This Row],[/PR:90]:[/BR:90]],Brudnopis!$E$26:$J$26),0)</f>
        <v>0.1875</v>
      </c>
      <c r="W1294" s="44">
        <f>IF(Mecze[[#This Row],[Role]]&lt;&gt;"BR",SUMPRODUCT(Mecze[[#This Row],[/PR:90]:[/BR:90]],Brudnopis!$E$27:$J$27),0)</f>
        <v>0.203125</v>
      </c>
      <c r="X1294" s="44">
        <f>IF(Mecze[[#This Row],[Role]]&lt;&gt;"BR",SUMPRODUCT(Mecze[[#This Row],[/PR:90]:[/BR:90]],Brudnopis!$E$28:$J$28),0)</f>
        <v>8.3333333333333329E-2</v>
      </c>
      <c r="Y1294" s="35">
        <f>IF(Mecze[[#This Row],[Role]]="BR",Mecze[[#This Row],[/OB:90]]+Mecze[[#This Row],[/PC:90]],SUM(Mecze[[#This Row],[/PR:90]:[/BR:90]]))</f>
        <v>0.1875</v>
      </c>
      <c r="Z1294" s="35">
        <f>IF(Mecze[[#This Row],[KC]]=0,SUM(Mecze[[#This Row],[/BRI]:[/NPI]]),SUM(Mecze[[#This Row],[/BRI]:[/NPI]])*0.6)</f>
        <v>0.91666666666666674</v>
      </c>
      <c r="AA1294" s="10">
        <f>IFERROR(Mecze[[#This Row],[BR]]/Mecze[[#This Row],[ST]],0)</f>
        <v>0</v>
      </c>
      <c r="AB1294">
        <f>ROUND(Mecze[[#This Row],[PD]]*Mecze[[#This Row],[%PC]],0)</f>
        <v>8</v>
      </c>
      <c r="AC1294">
        <f>ROUND(Mecze[[#This Row],[OD]]*Mecze[[#This Row],[%OU]],0)</f>
        <v>5</v>
      </c>
      <c r="AD1294" s="36" t="s">
        <v>47</v>
      </c>
      <c r="AE1294" s="36">
        <v>72</v>
      </c>
      <c r="AF1294" s="71">
        <v>6.09</v>
      </c>
      <c r="AG1294" s="37">
        <v>0</v>
      </c>
      <c r="AH1294" s="37">
        <v>0</v>
      </c>
      <c r="AI1294" s="37">
        <v>96</v>
      </c>
      <c r="AJ1294" s="37">
        <v>2</v>
      </c>
      <c r="AK1294" s="37" t="str">
        <f>VLOOKUP(Mecze[[#This Row],[Match ID]],Meczusie[Mecz]:Meczusie[RodzajMeczu],2,FALSE)</f>
        <v>Liga</v>
      </c>
    </row>
    <row r="1295" spans="1:37" x14ac:dyDescent="0.25">
      <c r="A1295" s="76">
        <v>3</v>
      </c>
      <c r="B1295" s="3" t="s">
        <v>222</v>
      </c>
      <c r="C1295" s="2" t="s">
        <v>157</v>
      </c>
      <c r="D1295" s="1">
        <v>0</v>
      </c>
      <c r="E1295" s="1">
        <v>0</v>
      </c>
      <c r="F1295" s="1">
        <v>0</v>
      </c>
      <c r="G1295" s="1">
        <v>6</v>
      </c>
      <c r="H1295" s="4">
        <v>0.83</v>
      </c>
      <c r="I1295" s="1">
        <v>5</v>
      </c>
      <c r="J1295" s="4">
        <v>0.6</v>
      </c>
      <c r="K1295" s="1">
        <v>0</v>
      </c>
      <c r="L1295" s="1">
        <v>3</v>
      </c>
      <c r="M1295" s="32">
        <f>IF(Mecze[[#This Row],[PR]]=0,0,Mecze[[#This Row],[PR]]/Mecze[[#This Row],[CZAS]])</f>
        <v>3.125E-2</v>
      </c>
      <c r="N1295" s="32">
        <f>IF(Mecze[[#This Row],[OU]]=0,0,Mecze[[#This Row],[OU]]/Mecze[[#This Row],[CZAS]])</f>
        <v>3.125E-2</v>
      </c>
      <c r="O1295" s="32">
        <f>IF(Mecze[[#This Row],[PC]]=0,0,Mecze[[#This Row],[PC]]/Mecze[[#This Row],[CZAS]])</f>
        <v>5.2083333333333336E-2</v>
      </c>
      <c r="P1295" s="32">
        <f>IF(Mecze[[#This Row],[SC]]=0,0,Mecze[[#This Row],[SC]]/Mecze[[#This Row],[CZAS]])</f>
        <v>0</v>
      </c>
      <c r="Q1295" s="32">
        <f>IF(Mecze[[#This Row],[OB]]=0,0,Mecze[[#This Row],[OB]]/Mecze[[#This Row],[CZAS]])</f>
        <v>0</v>
      </c>
      <c r="R1295" s="32">
        <f>IF(Mecze[[#This Row],[BR]]=0,0,Mecze[[#This Row],[BR]]/Mecze[[#This Row],[CZAS]])</f>
        <v>0</v>
      </c>
      <c r="S1295" s="44">
        <f>IF(Mecze[[#This Row],[Role]]="BR",SUMPRODUCT(Mecze[[#This Row],[/PR:90]:[/BR:90]],Brudnopis!$E$23:$J$23),0)</f>
        <v>0</v>
      </c>
      <c r="T1295" s="44">
        <f>IF(Mecze[[#This Row],[Role]]&lt;&gt;"BR",SUMPRODUCT(Mecze[[#This Row],[/PR:90]:[/BR:90]],Brudnopis!$E$24:$J$24),0)</f>
        <v>0.13020833333333334</v>
      </c>
      <c r="U1295" s="44">
        <f>IF(Mecze[[#This Row],[Role]]&lt;&gt;"BR",SUMPRODUCT(Mecze[[#This Row],[/PR:90]:[/BR:90]],Brudnopis!$E$25:$J$25),0)</f>
        <v>0.140625</v>
      </c>
      <c r="V1295" s="44">
        <f>IF(Mecze[[#This Row],[Role]]&lt;&gt;"BR",SUMPRODUCT(Mecze[[#This Row],[/PR:90]:[/BR:90]],Brudnopis!$E$26:$J$26),0)</f>
        <v>0.11458333333333334</v>
      </c>
      <c r="W1295" s="44">
        <f>IF(Mecze[[#This Row],[Role]]&lt;&gt;"BR",SUMPRODUCT(Mecze[[#This Row],[/PR:90]:[/BR:90]],Brudnopis!$E$27:$J$27),0)</f>
        <v>0.125</v>
      </c>
      <c r="X1295" s="44">
        <f>IF(Mecze[[#This Row],[Role]]&lt;&gt;"BR",SUMPRODUCT(Mecze[[#This Row],[/PR:90]:[/BR:90]],Brudnopis!$E$28:$J$28),0)</f>
        <v>5.2083333333333336E-2</v>
      </c>
      <c r="Y1295" s="35">
        <f>IF(Mecze[[#This Row],[Role]]="BR",Mecze[[#This Row],[/OB:90]]+Mecze[[#This Row],[/PC:90]],SUM(Mecze[[#This Row],[/PR:90]:[/BR:90]]))</f>
        <v>0.11458333333333334</v>
      </c>
      <c r="Z1295" s="35">
        <f>IF(Mecze[[#This Row],[KC]]=0,SUM(Mecze[[#This Row],[/BRI]:[/NPI]]),SUM(Mecze[[#This Row],[/BRI]:[/NPI]])*0.6)</f>
        <v>0.56250000000000011</v>
      </c>
      <c r="AA1295" s="10">
        <f>IFERROR(Mecze[[#This Row],[BR]]/Mecze[[#This Row],[ST]],0)</f>
        <v>0</v>
      </c>
      <c r="AB1295">
        <f>ROUND(Mecze[[#This Row],[PD]]*Mecze[[#This Row],[%PC]],0)</f>
        <v>5</v>
      </c>
      <c r="AC1295">
        <f>ROUND(Mecze[[#This Row],[OD]]*Mecze[[#This Row],[%OU]],0)</f>
        <v>3</v>
      </c>
      <c r="AD1295" s="36" t="s">
        <v>47</v>
      </c>
      <c r="AE1295" s="36">
        <v>72</v>
      </c>
      <c r="AF1295" s="71">
        <v>5.67</v>
      </c>
      <c r="AG1295" s="37">
        <v>0</v>
      </c>
      <c r="AH1295" s="37">
        <v>0</v>
      </c>
      <c r="AI1295" s="37">
        <v>96</v>
      </c>
      <c r="AJ1295" s="37">
        <v>2</v>
      </c>
      <c r="AK1295" s="37" t="str">
        <f>VLOOKUP(Mecze[[#This Row],[Match ID]],Meczusie[Mecz]:Meczusie[RodzajMeczu],2,FALSE)</f>
        <v>Liga</v>
      </c>
    </row>
    <row r="1296" spans="1:37" x14ac:dyDescent="0.25">
      <c r="A1296" s="76">
        <v>5</v>
      </c>
      <c r="B1296" s="3" t="s">
        <v>223</v>
      </c>
      <c r="C1296" s="2" t="s">
        <v>157</v>
      </c>
      <c r="D1296" s="1">
        <v>0</v>
      </c>
      <c r="E1296" s="1">
        <v>0</v>
      </c>
      <c r="F1296" s="1">
        <v>0</v>
      </c>
      <c r="G1296" s="1">
        <v>6</v>
      </c>
      <c r="H1296" s="4">
        <v>0.67</v>
      </c>
      <c r="I1296" s="1">
        <v>6</v>
      </c>
      <c r="J1296" s="4">
        <v>0.67</v>
      </c>
      <c r="K1296" s="1">
        <v>0</v>
      </c>
      <c r="L1296" s="1">
        <v>6</v>
      </c>
      <c r="M1296" s="32">
        <f>IF(Mecze[[#This Row],[PR]]=0,0,Mecze[[#This Row],[PR]]/Mecze[[#This Row],[CZAS]])</f>
        <v>6.25E-2</v>
      </c>
      <c r="N1296" s="32">
        <f>IF(Mecze[[#This Row],[OU]]=0,0,Mecze[[#This Row],[OU]]/Mecze[[#This Row],[CZAS]])</f>
        <v>4.1666666666666664E-2</v>
      </c>
      <c r="O1296" s="32">
        <f>IF(Mecze[[#This Row],[PC]]=0,0,Mecze[[#This Row],[PC]]/Mecze[[#This Row],[CZAS]])</f>
        <v>4.1666666666666664E-2</v>
      </c>
      <c r="P1296" s="32">
        <f>IF(Mecze[[#This Row],[SC]]=0,0,Mecze[[#This Row],[SC]]/Mecze[[#This Row],[CZAS]])</f>
        <v>0</v>
      </c>
      <c r="Q1296" s="32">
        <f>IF(Mecze[[#This Row],[OB]]=0,0,Mecze[[#This Row],[OB]]/Mecze[[#This Row],[CZAS]])</f>
        <v>0</v>
      </c>
      <c r="R1296" s="32">
        <f>IF(Mecze[[#This Row],[BR]]=0,0,Mecze[[#This Row],[BR]]/Mecze[[#This Row],[CZAS]])</f>
        <v>0</v>
      </c>
      <c r="S1296" s="44">
        <f>IF(Mecze[[#This Row],[Role]]="BR",SUMPRODUCT(Mecze[[#This Row],[/PR:90]:[/BR:90]],Brudnopis!$E$23:$J$23),0)</f>
        <v>0</v>
      </c>
      <c r="T1296" s="44">
        <f>IF(Mecze[[#This Row],[Role]]&lt;&gt;"BR",SUMPRODUCT(Mecze[[#This Row],[/PR:90]:[/BR:90]],Brudnopis!$E$24:$J$24),0)</f>
        <v>0.16666666666666666</v>
      </c>
      <c r="U1296" s="44">
        <f>IF(Mecze[[#This Row],[Role]]&lt;&gt;"BR",SUMPRODUCT(Mecze[[#This Row],[/PR:90]:[/BR:90]],Brudnopis!$E$25:$J$25),0)</f>
        <v>0.16666666666666666</v>
      </c>
      <c r="V1296" s="44">
        <f>IF(Mecze[[#This Row],[Role]]&lt;&gt;"BR",SUMPRODUCT(Mecze[[#This Row],[/PR:90]:[/BR:90]],Brudnopis!$E$26:$J$26),0)</f>
        <v>0.14583333333333331</v>
      </c>
      <c r="W1296" s="44">
        <f>IF(Mecze[[#This Row],[Role]]&lt;&gt;"BR",SUMPRODUCT(Mecze[[#This Row],[/PR:90]:[/BR:90]],Brudnopis!$E$27:$J$27),0)</f>
        <v>0.140625</v>
      </c>
      <c r="X1296" s="44">
        <f>IF(Mecze[[#This Row],[Role]]&lt;&gt;"BR",SUMPRODUCT(Mecze[[#This Row],[/PR:90]:[/BR:90]],Brudnopis!$E$28:$J$28),0)</f>
        <v>4.1666666666666664E-2</v>
      </c>
      <c r="Y1296" s="35">
        <f>IF(Mecze[[#This Row],[Role]]="BR",Mecze[[#This Row],[/OB:90]]+Mecze[[#This Row],[/PC:90]],SUM(Mecze[[#This Row],[/PR:90]:[/BR:90]]))</f>
        <v>0.14583333333333331</v>
      </c>
      <c r="Z1296" s="35">
        <f>IF(Mecze[[#This Row],[KC]]=0,SUM(Mecze[[#This Row],[/BRI]:[/NPI]]),SUM(Mecze[[#This Row],[/BRI]:[/NPI]])*0.6)</f>
        <v>0.66145833333333326</v>
      </c>
      <c r="AA1296" s="10">
        <f>IFERROR(Mecze[[#This Row],[BR]]/Mecze[[#This Row],[ST]],0)</f>
        <v>0</v>
      </c>
      <c r="AB1296">
        <f>ROUND(Mecze[[#This Row],[PD]]*Mecze[[#This Row],[%PC]],0)</f>
        <v>4</v>
      </c>
      <c r="AC1296">
        <f>ROUND(Mecze[[#This Row],[OD]]*Mecze[[#This Row],[%OU]],0)</f>
        <v>4</v>
      </c>
      <c r="AD1296" s="36" t="s">
        <v>174</v>
      </c>
      <c r="AE1296" s="36">
        <v>72</v>
      </c>
      <c r="AF1296" s="71">
        <v>6.3</v>
      </c>
      <c r="AG1296" s="37">
        <v>0</v>
      </c>
      <c r="AH1296" s="37">
        <v>0</v>
      </c>
      <c r="AI1296" s="37">
        <v>96</v>
      </c>
      <c r="AJ1296" s="37">
        <v>2</v>
      </c>
      <c r="AK1296" s="37" t="str">
        <f>VLOOKUP(Mecze[[#This Row],[Match ID]],Meczusie[Mecz]:Meczusie[RodzajMeczu],2,FALSE)</f>
        <v>Liga</v>
      </c>
    </row>
    <row r="1297" spans="1:37" x14ac:dyDescent="0.25">
      <c r="A1297" s="76">
        <v>2</v>
      </c>
      <c r="B1297" s="3" t="s">
        <v>224</v>
      </c>
      <c r="C1297" s="2" t="s">
        <v>157</v>
      </c>
      <c r="D1297" s="1">
        <v>0</v>
      </c>
      <c r="E1297" s="1">
        <v>0</v>
      </c>
      <c r="F1297" s="1">
        <v>0</v>
      </c>
      <c r="G1297" s="1">
        <v>1</v>
      </c>
      <c r="H1297" s="4">
        <v>1</v>
      </c>
      <c r="I1297" s="1">
        <v>1</v>
      </c>
      <c r="J1297" s="4">
        <v>0</v>
      </c>
      <c r="K1297" s="1">
        <v>0</v>
      </c>
      <c r="L1297" s="1">
        <v>1</v>
      </c>
      <c r="M1297" s="32">
        <f>IF(Mecze[[#This Row],[PR]]=0,0,Mecze[[#This Row],[PR]]/Mecze[[#This Row],[CZAS]])</f>
        <v>1.0416666666666666E-2</v>
      </c>
      <c r="N1297" s="32">
        <f>IF(Mecze[[#This Row],[OU]]=0,0,Mecze[[#This Row],[OU]]/Mecze[[#This Row],[CZAS]])</f>
        <v>0</v>
      </c>
      <c r="O1297" s="32">
        <f>IF(Mecze[[#This Row],[PC]]=0,0,Mecze[[#This Row],[PC]]/Mecze[[#This Row],[CZAS]])</f>
        <v>1.0416666666666666E-2</v>
      </c>
      <c r="P1297" s="32">
        <f>IF(Mecze[[#This Row],[SC]]=0,0,Mecze[[#This Row],[SC]]/Mecze[[#This Row],[CZAS]])</f>
        <v>0</v>
      </c>
      <c r="Q1297" s="32">
        <f>IF(Mecze[[#This Row],[OB]]=0,0,Mecze[[#This Row],[OB]]/Mecze[[#This Row],[CZAS]])</f>
        <v>0</v>
      </c>
      <c r="R1297" s="32">
        <f>IF(Mecze[[#This Row],[BR]]=0,0,Mecze[[#This Row],[BR]]/Mecze[[#This Row],[CZAS]])</f>
        <v>0</v>
      </c>
      <c r="S1297" s="44">
        <f>IF(Mecze[[#This Row],[Role]]="BR",SUMPRODUCT(Mecze[[#This Row],[/PR:90]:[/BR:90]],Brudnopis!$E$23:$J$23),0)</f>
        <v>0</v>
      </c>
      <c r="T1297" s="44">
        <f>IF(Mecze[[#This Row],[Role]]&lt;&gt;"BR",SUMPRODUCT(Mecze[[#This Row],[/PR:90]:[/BR:90]],Brudnopis!$E$24:$J$24),0)</f>
        <v>2.0833333333333332E-2</v>
      </c>
      <c r="U1297" s="44">
        <f>IF(Mecze[[#This Row],[Role]]&lt;&gt;"BR",SUMPRODUCT(Mecze[[#This Row],[/PR:90]:[/BR:90]],Brudnopis!$E$25:$J$25),0)</f>
        <v>2.6041666666666664E-2</v>
      </c>
      <c r="V1297" s="44">
        <f>IF(Mecze[[#This Row],[Role]]&lt;&gt;"BR",SUMPRODUCT(Mecze[[#This Row],[/PR:90]:[/BR:90]],Brudnopis!$E$26:$J$26),0)</f>
        <v>2.0833333333333332E-2</v>
      </c>
      <c r="W1297" s="44">
        <f>IF(Mecze[[#This Row],[Role]]&lt;&gt;"BR",SUMPRODUCT(Mecze[[#This Row],[/PR:90]:[/BR:90]],Brudnopis!$E$27:$J$27),0)</f>
        <v>2.34375E-2</v>
      </c>
      <c r="X1297" s="44">
        <f>IF(Mecze[[#This Row],[Role]]&lt;&gt;"BR",SUMPRODUCT(Mecze[[#This Row],[/PR:90]:[/BR:90]],Brudnopis!$E$28:$J$28),0)</f>
        <v>1.0416666666666666E-2</v>
      </c>
      <c r="Y1297" s="35">
        <f>IF(Mecze[[#This Row],[Role]]="BR",Mecze[[#This Row],[/OB:90]]+Mecze[[#This Row],[/PC:90]],SUM(Mecze[[#This Row],[/PR:90]:[/BR:90]]))</f>
        <v>2.0833333333333332E-2</v>
      </c>
      <c r="Z1297" s="35">
        <f>IF(Mecze[[#This Row],[KC]]=0,SUM(Mecze[[#This Row],[/BRI]:[/NPI]]),SUM(Mecze[[#This Row],[/BRI]:[/NPI]])*0.6)</f>
        <v>0.1015625</v>
      </c>
      <c r="AA1297" s="10">
        <f>IFERROR(Mecze[[#This Row],[BR]]/Mecze[[#This Row],[ST]],0)</f>
        <v>0</v>
      </c>
      <c r="AB1297">
        <f>ROUND(Mecze[[#This Row],[PD]]*Mecze[[#This Row],[%PC]],0)</f>
        <v>1</v>
      </c>
      <c r="AC1297">
        <f>ROUND(Mecze[[#This Row],[OD]]*Mecze[[#This Row],[%OU]],0)</f>
        <v>0</v>
      </c>
      <c r="AD1297" s="36" t="s">
        <v>175</v>
      </c>
      <c r="AE1297" s="36">
        <v>72</v>
      </c>
      <c r="AF1297" s="71">
        <v>4.13</v>
      </c>
      <c r="AG1297" s="37">
        <v>0</v>
      </c>
      <c r="AH1297" s="37">
        <v>0</v>
      </c>
      <c r="AI1297" s="37">
        <v>96</v>
      </c>
      <c r="AJ1297" s="37">
        <v>2</v>
      </c>
      <c r="AK1297" s="37" t="str">
        <f>VLOOKUP(Mecze[[#This Row],[Match ID]],Meczusie[Mecz]:Meczusie[RodzajMeczu],2,FALSE)</f>
        <v>Liga</v>
      </c>
    </row>
    <row r="1298" spans="1:37" x14ac:dyDescent="0.25">
      <c r="A1298" s="76">
        <v>6</v>
      </c>
      <c r="B1298" s="3" t="s">
        <v>225</v>
      </c>
      <c r="C1298" s="2" t="s">
        <v>160</v>
      </c>
      <c r="D1298" s="1">
        <v>0</v>
      </c>
      <c r="E1298" s="1">
        <v>0</v>
      </c>
      <c r="F1298" s="1">
        <v>0</v>
      </c>
      <c r="G1298" s="1">
        <v>16</v>
      </c>
      <c r="H1298" s="4">
        <v>0.81</v>
      </c>
      <c r="I1298" s="1">
        <v>5</v>
      </c>
      <c r="J1298" s="4">
        <v>0.8</v>
      </c>
      <c r="K1298" s="1">
        <v>0</v>
      </c>
      <c r="L1298" s="1">
        <v>2</v>
      </c>
      <c r="M1298" s="32">
        <f>IF(Mecze[[#This Row],[PR]]=0,0,Mecze[[#This Row],[PR]]/Mecze[[#This Row],[CZAS]])</f>
        <v>2.0833333333333332E-2</v>
      </c>
      <c r="N1298" s="32">
        <f>IF(Mecze[[#This Row],[OU]]=0,0,Mecze[[#This Row],[OU]]/Mecze[[#This Row],[CZAS]])</f>
        <v>4.1666666666666664E-2</v>
      </c>
      <c r="O1298" s="32">
        <f>IF(Mecze[[#This Row],[PC]]=0,0,Mecze[[#This Row],[PC]]/Mecze[[#This Row],[CZAS]])</f>
        <v>0.13541666666666666</v>
      </c>
      <c r="P1298" s="32">
        <f>IF(Mecze[[#This Row],[SC]]=0,0,Mecze[[#This Row],[SC]]/Mecze[[#This Row],[CZAS]])</f>
        <v>0</v>
      </c>
      <c r="Q1298" s="32">
        <f>IF(Mecze[[#This Row],[OB]]=0,0,Mecze[[#This Row],[OB]]/Mecze[[#This Row],[CZAS]])</f>
        <v>0</v>
      </c>
      <c r="R1298" s="32">
        <f>IF(Mecze[[#This Row],[BR]]=0,0,Mecze[[#This Row],[BR]]/Mecze[[#This Row],[CZAS]])</f>
        <v>0</v>
      </c>
      <c r="S1298" s="44">
        <f>IF(Mecze[[#This Row],[Role]]="BR",SUMPRODUCT(Mecze[[#This Row],[/PR:90]:[/BR:90]],Brudnopis!$E$23:$J$23),0)</f>
        <v>0</v>
      </c>
      <c r="T1298" s="44">
        <f>IF(Mecze[[#This Row],[Role]]&lt;&gt;"BR",SUMPRODUCT(Mecze[[#This Row],[/PR:90]:[/BR:90]],Brudnopis!$E$24:$J$24),0)</f>
        <v>0.21875</v>
      </c>
      <c r="U1298" s="44">
        <f>IF(Mecze[[#This Row],[Role]]&lt;&gt;"BR",SUMPRODUCT(Mecze[[#This Row],[/PR:90]:[/BR:90]],Brudnopis!$E$25:$J$25),0)</f>
        <v>0.265625</v>
      </c>
      <c r="V1298" s="44">
        <f>IF(Mecze[[#This Row],[Role]]&lt;&gt;"BR",SUMPRODUCT(Mecze[[#This Row],[/PR:90]:[/BR:90]],Brudnopis!$E$26:$J$26),0)</f>
        <v>0.19791666666666666</v>
      </c>
      <c r="W1298" s="44">
        <f>IF(Mecze[[#This Row],[Role]]&lt;&gt;"BR",SUMPRODUCT(Mecze[[#This Row],[/PR:90]:[/BR:90]],Brudnopis!$E$27:$J$27),0)</f>
        <v>0.25</v>
      </c>
      <c r="X1298" s="44">
        <f>IF(Mecze[[#This Row],[Role]]&lt;&gt;"BR",SUMPRODUCT(Mecze[[#This Row],[/PR:90]:[/BR:90]],Brudnopis!$E$28:$J$28),0)</f>
        <v>0.13541666666666666</v>
      </c>
      <c r="Y1298" s="35">
        <f>IF(Mecze[[#This Row],[Role]]="BR",Mecze[[#This Row],[/OB:90]]+Mecze[[#This Row],[/PC:90]],SUM(Mecze[[#This Row],[/PR:90]:[/BR:90]]))</f>
        <v>0.19791666666666666</v>
      </c>
      <c r="Z1298" s="35">
        <f>IF(Mecze[[#This Row],[KC]]=0,SUM(Mecze[[#This Row],[/BRI]:[/NPI]]),SUM(Mecze[[#This Row],[/BRI]:[/NPI]])*0.6)</f>
        <v>1.0677083333333333</v>
      </c>
      <c r="AA1298" s="10">
        <f>IFERROR(Mecze[[#This Row],[BR]]/Mecze[[#This Row],[ST]],0)</f>
        <v>0</v>
      </c>
      <c r="AB1298">
        <f>ROUND(Mecze[[#This Row],[PD]]*Mecze[[#This Row],[%PC]],0)</f>
        <v>13</v>
      </c>
      <c r="AC1298">
        <f>ROUND(Mecze[[#This Row],[OD]]*Mecze[[#This Row],[%OU]],0)</f>
        <v>4</v>
      </c>
      <c r="AD1298" s="36" t="s">
        <v>41</v>
      </c>
      <c r="AE1298" s="36">
        <v>72</v>
      </c>
      <c r="AF1298" s="71">
        <v>6.46</v>
      </c>
      <c r="AG1298" s="37">
        <v>0</v>
      </c>
      <c r="AH1298" s="37">
        <v>0</v>
      </c>
      <c r="AI1298" s="37">
        <v>96</v>
      </c>
      <c r="AJ1298" s="37">
        <v>2</v>
      </c>
      <c r="AK1298" s="37" t="str">
        <f>VLOOKUP(Mecze[[#This Row],[Match ID]],Meczusie[Mecz]:Meczusie[RodzajMeczu],2,FALSE)</f>
        <v>Liga</v>
      </c>
    </row>
    <row r="1299" spans="1:37" x14ac:dyDescent="0.25">
      <c r="A1299" s="76">
        <v>7</v>
      </c>
      <c r="B1299" s="3" t="s">
        <v>226</v>
      </c>
      <c r="C1299" s="2" t="s">
        <v>160</v>
      </c>
      <c r="D1299" s="1">
        <v>0</v>
      </c>
      <c r="E1299" s="1">
        <v>2</v>
      </c>
      <c r="F1299" s="1">
        <v>2</v>
      </c>
      <c r="G1299" s="1">
        <v>16</v>
      </c>
      <c r="H1299" s="4">
        <v>0.69</v>
      </c>
      <c r="I1299" s="1">
        <v>7</v>
      </c>
      <c r="J1299" s="4">
        <v>0.43</v>
      </c>
      <c r="K1299" s="1">
        <v>0</v>
      </c>
      <c r="L1299" s="1">
        <v>2</v>
      </c>
      <c r="M1299" s="32">
        <f>IF(Mecze[[#This Row],[PR]]=0,0,Mecze[[#This Row],[PR]]/Mecze[[#This Row],[CZAS]])</f>
        <v>2.0833333333333332E-2</v>
      </c>
      <c r="N1299" s="32">
        <f>IF(Mecze[[#This Row],[OU]]=0,0,Mecze[[#This Row],[OU]]/Mecze[[#This Row],[CZAS]])</f>
        <v>3.125E-2</v>
      </c>
      <c r="O1299" s="32">
        <f>IF(Mecze[[#This Row],[PC]]=0,0,Mecze[[#This Row],[PC]]/Mecze[[#This Row],[CZAS]])</f>
        <v>0.11458333333333333</v>
      </c>
      <c r="P1299" s="32">
        <f>IF(Mecze[[#This Row],[SC]]=0,0,Mecze[[#This Row],[SC]]/Mecze[[#This Row],[CZAS]])</f>
        <v>2.0833333333333332E-2</v>
      </c>
      <c r="Q1299" s="32">
        <f>IF(Mecze[[#This Row],[OB]]=0,0,Mecze[[#This Row],[OB]]/Mecze[[#This Row],[CZAS]])</f>
        <v>0</v>
      </c>
      <c r="R1299" s="32">
        <f>IF(Mecze[[#This Row],[BR]]=0,0,Mecze[[#This Row],[BR]]/Mecze[[#This Row],[CZAS]])</f>
        <v>0</v>
      </c>
      <c r="S1299" s="44">
        <f>IF(Mecze[[#This Row],[Role]]="BR",SUMPRODUCT(Mecze[[#This Row],[/PR:90]:[/BR:90]],Brudnopis!$E$23:$J$23),0)</f>
        <v>0</v>
      </c>
      <c r="T1299" s="44">
        <f>IF(Mecze[[#This Row],[Role]]&lt;&gt;"BR",SUMPRODUCT(Mecze[[#This Row],[/PR:90]:[/BR:90]],Brudnopis!$E$24:$J$24),0)</f>
        <v>0.203125</v>
      </c>
      <c r="U1299" s="44">
        <f>IF(Mecze[[#This Row],[Role]]&lt;&gt;"BR",SUMPRODUCT(Mecze[[#This Row],[/PR:90]:[/BR:90]],Brudnopis!$E$25:$J$25),0)</f>
        <v>0.24479166666666666</v>
      </c>
      <c r="V1299" s="44">
        <f>IF(Mecze[[#This Row],[Role]]&lt;&gt;"BR",SUMPRODUCT(Mecze[[#This Row],[/PR:90]:[/BR:90]],Brudnopis!$E$26:$J$26),0)</f>
        <v>0.1875</v>
      </c>
      <c r="W1299" s="44">
        <f>IF(Mecze[[#This Row],[Role]]&lt;&gt;"BR",SUMPRODUCT(Mecze[[#This Row],[/PR:90]:[/BR:90]],Brudnopis!$E$27:$J$27),0)</f>
        <v>0.23177083333333334</v>
      </c>
      <c r="X1299" s="44">
        <f>IF(Mecze[[#This Row],[Role]]&lt;&gt;"BR",SUMPRODUCT(Mecze[[#This Row],[/PR:90]:[/BR:90]],Brudnopis!$E$28:$J$28),0)</f>
        <v>0.15625</v>
      </c>
      <c r="Y1299" s="35">
        <f>IF(Mecze[[#This Row],[Role]]="BR",Mecze[[#This Row],[/OB:90]]+Mecze[[#This Row],[/PC:90]],SUM(Mecze[[#This Row],[/PR:90]:[/BR:90]]))</f>
        <v>0.1875</v>
      </c>
      <c r="Z1299" s="35">
        <f>IF(Mecze[[#This Row],[KC]]=0,SUM(Mecze[[#This Row],[/BRI]:[/NPI]]),SUM(Mecze[[#This Row],[/BRI]:[/NPI]])*0.6)</f>
        <v>1.0234375</v>
      </c>
      <c r="AA1299" s="10">
        <f>IFERROR(Mecze[[#This Row],[BR]]/Mecze[[#This Row],[ST]],0)</f>
        <v>0</v>
      </c>
      <c r="AB1299">
        <f>ROUND(Mecze[[#This Row],[PD]]*Mecze[[#This Row],[%PC]],0)</f>
        <v>11</v>
      </c>
      <c r="AC1299">
        <f>ROUND(Mecze[[#This Row],[OD]]*Mecze[[#This Row],[%OU]],0)</f>
        <v>3</v>
      </c>
      <c r="AD1299" s="36" t="s">
        <v>41</v>
      </c>
      <c r="AE1299" s="36">
        <v>72</v>
      </c>
      <c r="AF1299" s="71">
        <v>6.01</v>
      </c>
      <c r="AG1299" s="37">
        <v>0</v>
      </c>
      <c r="AH1299" s="37">
        <v>0</v>
      </c>
      <c r="AI1299" s="37">
        <v>96</v>
      </c>
      <c r="AJ1299" s="37">
        <v>2</v>
      </c>
      <c r="AK1299" s="37" t="str">
        <f>VLOOKUP(Mecze[[#This Row],[Match ID]],Meczusie[Mecz]:Meczusie[RodzajMeczu],2,FALSE)</f>
        <v>Liga</v>
      </c>
    </row>
    <row r="1300" spans="1:37" x14ac:dyDescent="0.25">
      <c r="A1300" s="76">
        <v>9</v>
      </c>
      <c r="B1300" s="3" t="s">
        <v>227</v>
      </c>
      <c r="C1300" s="2" t="s">
        <v>160</v>
      </c>
      <c r="D1300" s="1">
        <v>0</v>
      </c>
      <c r="E1300" s="1">
        <v>1</v>
      </c>
      <c r="F1300" s="1">
        <v>0</v>
      </c>
      <c r="G1300" s="1">
        <v>13</v>
      </c>
      <c r="H1300" s="4">
        <v>1</v>
      </c>
      <c r="I1300" s="1">
        <v>10</v>
      </c>
      <c r="J1300" s="4">
        <v>0.5</v>
      </c>
      <c r="K1300" s="1">
        <v>0</v>
      </c>
      <c r="L1300" s="1">
        <v>2</v>
      </c>
      <c r="M1300" s="32">
        <f>IF(Mecze[[#This Row],[PR]]=0,0,Mecze[[#This Row],[PR]]/Mecze[[#This Row],[CZAS]])</f>
        <v>2.0833333333333332E-2</v>
      </c>
      <c r="N1300" s="32">
        <f>IF(Mecze[[#This Row],[OU]]=0,0,Mecze[[#This Row],[OU]]/Mecze[[#This Row],[CZAS]])</f>
        <v>5.2083333333333336E-2</v>
      </c>
      <c r="O1300" s="32">
        <f>IF(Mecze[[#This Row],[PC]]=0,0,Mecze[[#This Row],[PC]]/Mecze[[#This Row],[CZAS]])</f>
        <v>0.13541666666666666</v>
      </c>
      <c r="P1300" s="32">
        <f>IF(Mecze[[#This Row],[SC]]=0,0,Mecze[[#This Row],[SC]]/Mecze[[#This Row],[CZAS]])</f>
        <v>0</v>
      </c>
      <c r="Q1300" s="32">
        <f>IF(Mecze[[#This Row],[OB]]=0,0,Mecze[[#This Row],[OB]]/Mecze[[#This Row],[CZAS]])</f>
        <v>0</v>
      </c>
      <c r="R1300" s="32">
        <f>IF(Mecze[[#This Row],[BR]]=0,0,Mecze[[#This Row],[BR]]/Mecze[[#This Row],[CZAS]])</f>
        <v>0</v>
      </c>
      <c r="S1300" s="44">
        <f>IF(Mecze[[#This Row],[Role]]="BR",SUMPRODUCT(Mecze[[#This Row],[/PR:90]:[/BR:90]],Brudnopis!$E$23:$J$23),0)</f>
        <v>0</v>
      </c>
      <c r="T1300" s="44">
        <f>IF(Mecze[[#This Row],[Role]]&lt;&gt;"BR",SUMPRODUCT(Mecze[[#This Row],[/PR:90]:[/BR:90]],Brudnopis!$E$24:$J$24),0)</f>
        <v>0.234375</v>
      </c>
      <c r="U1300" s="44">
        <f>IF(Mecze[[#This Row],[Role]]&lt;&gt;"BR",SUMPRODUCT(Mecze[[#This Row],[/PR:90]:[/BR:90]],Brudnopis!$E$25:$J$25),0)</f>
        <v>0.27604166666666669</v>
      </c>
      <c r="V1300" s="44">
        <f>IF(Mecze[[#This Row],[Role]]&lt;&gt;"BR",SUMPRODUCT(Mecze[[#This Row],[/PR:90]:[/BR:90]],Brudnopis!$E$26:$J$26),0)</f>
        <v>0.20833333333333331</v>
      </c>
      <c r="W1300" s="44">
        <f>IF(Mecze[[#This Row],[Role]]&lt;&gt;"BR",SUMPRODUCT(Mecze[[#This Row],[/PR:90]:[/BR:90]],Brudnopis!$E$27:$J$27),0)</f>
        <v>0.2578125</v>
      </c>
      <c r="X1300" s="44">
        <f>IF(Mecze[[#This Row],[Role]]&lt;&gt;"BR",SUMPRODUCT(Mecze[[#This Row],[/PR:90]:[/BR:90]],Brudnopis!$E$28:$J$28),0)</f>
        <v>0.13541666666666666</v>
      </c>
      <c r="Y1300" s="35">
        <f>IF(Mecze[[#This Row],[Role]]="BR",Mecze[[#This Row],[/OB:90]]+Mecze[[#This Row],[/PC:90]],SUM(Mecze[[#This Row],[/PR:90]:[/BR:90]]))</f>
        <v>0.20833333333333331</v>
      </c>
      <c r="Z1300" s="35">
        <f>IF(Mecze[[#This Row],[KC]]=0,SUM(Mecze[[#This Row],[/BRI]:[/NPI]]),SUM(Mecze[[#This Row],[/BRI]:[/NPI]])*0.6)</f>
        <v>1.1119791666666667</v>
      </c>
      <c r="AA1300" s="10">
        <f>IFERROR(Mecze[[#This Row],[BR]]/Mecze[[#This Row],[ST]],0)</f>
        <v>0</v>
      </c>
      <c r="AB1300">
        <f>ROUND(Mecze[[#This Row],[PD]]*Mecze[[#This Row],[%PC]],0)</f>
        <v>13</v>
      </c>
      <c r="AC1300">
        <f>ROUND(Mecze[[#This Row],[OD]]*Mecze[[#This Row],[%OU]],0)</f>
        <v>5</v>
      </c>
      <c r="AD1300" s="36" t="s">
        <v>67</v>
      </c>
      <c r="AE1300" s="36">
        <v>72</v>
      </c>
      <c r="AF1300" s="71">
        <v>7.67</v>
      </c>
      <c r="AG1300" s="37">
        <v>0</v>
      </c>
      <c r="AH1300" s="37">
        <v>0</v>
      </c>
      <c r="AI1300" s="37">
        <v>96</v>
      </c>
      <c r="AJ1300" s="37">
        <v>2</v>
      </c>
      <c r="AK1300" s="37" t="str">
        <f>VLOOKUP(Mecze[[#This Row],[Match ID]],Meczusie[Mecz]:Meczusie[RodzajMeczu],2,FALSE)</f>
        <v>Liga</v>
      </c>
    </row>
    <row r="1301" spans="1:37" x14ac:dyDescent="0.25">
      <c r="A1301" s="76">
        <v>8</v>
      </c>
      <c r="B1301" s="3" t="s">
        <v>228</v>
      </c>
      <c r="C1301" s="2" t="s">
        <v>160</v>
      </c>
      <c r="D1301" s="1">
        <v>0</v>
      </c>
      <c r="E1301" s="1">
        <v>0</v>
      </c>
      <c r="F1301" s="1">
        <v>0</v>
      </c>
      <c r="G1301" s="1">
        <v>7</v>
      </c>
      <c r="H1301" s="4">
        <v>0.71</v>
      </c>
      <c r="I1301" s="1">
        <v>5</v>
      </c>
      <c r="J1301" s="4">
        <v>0.6</v>
      </c>
      <c r="K1301" s="1">
        <v>0</v>
      </c>
      <c r="L1301" s="1">
        <v>0</v>
      </c>
      <c r="M1301" s="32">
        <f>IF(Mecze[[#This Row],[PR]]=0,0,Mecze[[#This Row],[PR]]/Mecze[[#This Row],[CZAS]])</f>
        <v>0</v>
      </c>
      <c r="N1301" s="32">
        <f>IF(Mecze[[#This Row],[OU]]=0,0,Mecze[[#This Row],[OU]]/Mecze[[#This Row],[CZAS]])</f>
        <v>3.125E-2</v>
      </c>
      <c r="O1301" s="32">
        <f>IF(Mecze[[#This Row],[PC]]=0,0,Mecze[[#This Row],[PC]]/Mecze[[#This Row],[CZAS]])</f>
        <v>5.2083333333333336E-2</v>
      </c>
      <c r="P1301" s="32">
        <f>IF(Mecze[[#This Row],[SC]]=0,0,Mecze[[#This Row],[SC]]/Mecze[[#This Row],[CZAS]])</f>
        <v>0</v>
      </c>
      <c r="Q1301" s="32">
        <f>IF(Mecze[[#This Row],[OB]]=0,0,Mecze[[#This Row],[OB]]/Mecze[[#This Row],[CZAS]])</f>
        <v>0</v>
      </c>
      <c r="R1301" s="32">
        <f>IF(Mecze[[#This Row],[BR]]=0,0,Mecze[[#This Row],[BR]]/Mecze[[#This Row],[CZAS]])</f>
        <v>0</v>
      </c>
      <c r="S1301" s="44">
        <f>IF(Mecze[[#This Row],[Role]]="BR",SUMPRODUCT(Mecze[[#This Row],[/PR:90]:[/BR:90]],Brudnopis!$E$23:$J$23),0)</f>
        <v>0</v>
      </c>
      <c r="T1301" s="44">
        <f>IF(Mecze[[#This Row],[Role]]&lt;&gt;"BR",SUMPRODUCT(Mecze[[#This Row],[/PR:90]:[/BR:90]],Brudnopis!$E$24:$J$24),0)</f>
        <v>9.8958333333333343E-2</v>
      </c>
      <c r="U1301" s="44">
        <f>IF(Mecze[[#This Row],[Role]]&lt;&gt;"BR",SUMPRODUCT(Mecze[[#This Row],[/PR:90]:[/BR:90]],Brudnopis!$E$25:$J$25),0)</f>
        <v>0.109375</v>
      </c>
      <c r="V1301" s="44">
        <f>IF(Mecze[[#This Row],[Role]]&lt;&gt;"BR",SUMPRODUCT(Mecze[[#This Row],[/PR:90]:[/BR:90]],Brudnopis!$E$26:$J$26),0)</f>
        <v>8.3333333333333343E-2</v>
      </c>
      <c r="W1301" s="44">
        <f>IF(Mecze[[#This Row],[Role]]&lt;&gt;"BR",SUMPRODUCT(Mecze[[#This Row],[/PR:90]:[/BR:90]],Brudnopis!$E$27:$J$27),0)</f>
        <v>0.1015625</v>
      </c>
      <c r="X1301" s="44">
        <f>IF(Mecze[[#This Row],[Role]]&lt;&gt;"BR",SUMPRODUCT(Mecze[[#This Row],[/PR:90]:[/BR:90]],Brudnopis!$E$28:$J$28),0)</f>
        <v>5.2083333333333336E-2</v>
      </c>
      <c r="Y1301" s="35">
        <f>IF(Mecze[[#This Row],[Role]]="BR",Mecze[[#This Row],[/OB:90]]+Mecze[[#This Row],[/PC:90]],SUM(Mecze[[#This Row],[/PR:90]:[/BR:90]]))</f>
        <v>8.3333333333333343E-2</v>
      </c>
      <c r="Z1301" s="35">
        <f>IF(Mecze[[#This Row],[KC]]=0,SUM(Mecze[[#This Row],[/BRI]:[/NPI]]),SUM(Mecze[[#This Row],[/BRI]:[/NPI]])*0.6)</f>
        <v>0.4453125</v>
      </c>
      <c r="AA1301" s="10">
        <f>IFERROR(Mecze[[#This Row],[BR]]/Mecze[[#This Row],[ST]],0)</f>
        <v>0</v>
      </c>
      <c r="AB1301">
        <f>ROUND(Mecze[[#This Row],[PD]]*Mecze[[#This Row],[%PC]],0)</f>
        <v>5</v>
      </c>
      <c r="AC1301">
        <f>ROUND(Mecze[[#This Row],[OD]]*Mecze[[#This Row],[%OU]],0)</f>
        <v>3</v>
      </c>
      <c r="AD1301" s="36" t="s">
        <v>171</v>
      </c>
      <c r="AE1301" s="36">
        <v>72</v>
      </c>
      <c r="AF1301" s="71">
        <v>5.13</v>
      </c>
      <c r="AG1301" s="37">
        <v>0</v>
      </c>
      <c r="AH1301" s="37">
        <v>0</v>
      </c>
      <c r="AI1301" s="37">
        <v>96</v>
      </c>
      <c r="AJ1301" s="37">
        <v>2</v>
      </c>
      <c r="AK1301" s="37" t="str">
        <f>VLOOKUP(Mecze[[#This Row],[Match ID]],Meczusie[Mecz]:Meczusie[RodzajMeczu],2,FALSE)</f>
        <v>Liga</v>
      </c>
    </row>
    <row r="1302" spans="1:37" x14ac:dyDescent="0.25">
      <c r="A1302" s="76">
        <v>11</v>
      </c>
      <c r="B1302" s="3" t="s">
        <v>229</v>
      </c>
      <c r="C1302" s="2" t="s">
        <v>165</v>
      </c>
      <c r="D1302" s="1">
        <v>2</v>
      </c>
      <c r="E1302" s="1">
        <v>13</v>
      </c>
      <c r="F1302" s="1">
        <v>12</v>
      </c>
      <c r="G1302" s="1">
        <v>3</v>
      </c>
      <c r="H1302" s="4">
        <v>0.67</v>
      </c>
      <c r="I1302" s="1">
        <v>2</v>
      </c>
      <c r="J1302" s="4">
        <v>0</v>
      </c>
      <c r="K1302" s="1">
        <v>0</v>
      </c>
      <c r="L1302" s="1">
        <v>1</v>
      </c>
      <c r="M1302" s="32">
        <f>IF(Mecze[[#This Row],[PR]]=0,0,Mecze[[#This Row],[PR]]/Mecze[[#This Row],[CZAS]])</f>
        <v>1.6666666666666666E-2</v>
      </c>
      <c r="N1302" s="32">
        <f>IF(Mecze[[#This Row],[OU]]=0,0,Mecze[[#This Row],[OU]]/Mecze[[#This Row],[CZAS]])</f>
        <v>0</v>
      </c>
      <c r="O1302" s="32">
        <f>IF(Mecze[[#This Row],[PC]]=0,0,Mecze[[#This Row],[PC]]/Mecze[[#This Row],[CZAS]])</f>
        <v>3.3333333333333333E-2</v>
      </c>
      <c r="P1302" s="32">
        <f>IF(Mecze[[#This Row],[SC]]=0,0,Mecze[[#This Row],[SC]]/Mecze[[#This Row],[CZAS]])</f>
        <v>0.2</v>
      </c>
      <c r="Q1302" s="32">
        <f>IF(Mecze[[#This Row],[OB]]=0,0,Mecze[[#This Row],[OB]]/Mecze[[#This Row],[CZAS]])</f>
        <v>0</v>
      </c>
      <c r="R1302" s="32">
        <f>IF(Mecze[[#This Row],[BR]]=0,0,Mecze[[#This Row],[BR]]/Mecze[[#This Row],[CZAS]])</f>
        <v>3.3333333333333333E-2</v>
      </c>
      <c r="S1302" s="44">
        <f>IF(Mecze[[#This Row],[Role]]="BR",SUMPRODUCT(Mecze[[#This Row],[/PR:90]:[/BR:90]],Brudnopis!$E$23:$J$23),0)</f>
        <v>0</v>
      </c>
      <c r="T1302" s="44">
        <f>IF(Mecze[[#This Row],[Role]]&lt;&gt;"BR",SUMPRODUCT(Mecze[[#This Row],[/PR:90]:[/BR:90]],Brudnopis!$E$24:$J$24),0)</f>
        <v>0.3</v>
      </c>
      <c r="U1302" s="44">
        <f>IF(Mecze[[#This Row],[Role]]&lt;&gt;"BR",SUMPRODUCT(Mecze[[#This Row],[/PR:90]:[/BR:90]],Brudnopis!$E$25:$J$25),0)</f>
        <v>0.31666666666666665</v>
      </c>
      <c r="V1302" s="44">
        <f>IF(Mecze[[#This Row],[Role]]&lt;&gt;"BR",SUMPRODUCT(Mecze[[#This Row],[/PR:90]:[/BR:90]],Brudnopis!$E$26:$J$26),0)</f>
        <v>0.31666666666666665</v>
      </c>
      <c r="W1302" s="44">
        <f>IF(Mecze[[#This Row],[Role]]&lt;&gt;"BR",SUMPRODUCT(Mecze[[#This Row],[/PR:90]:[/BR:90]],Brudnopis!$E$27:$J$27),0)</f>
        <v>0.32916666666666666</v>
      </c>
      <c r="X1302" s="44">
        <f>IF(Mecze[[#This Row],[Role]]&lt;&gt;"BR",SUMPRODUCT(Mecze[[#This Row],[/PR:90]:[/BR:90]],Brudnopis!$E$28:$J$28),0)</f>
        <v>0.53333333333333333</v>
      </c>
      <c r="Y1302" s="35">
        <f>IF(Mecze[[#This Row],[Role]]="BR",Mecze[[#This Row],[/OB:90]]+Mecze[[#This Row],[/PC:90]],SUM(Mecze[[#This Row],[/PR:90]:[/BR:90]]))</f>
        <v>0.28333333333333333</v>
      </c>
      <c r="Z1302" s="35">
        <f>IF(Mecze[[#This Row],[KC]]=0,SUM(Mecze[[#This Row],[/BRI]:[/NPI]]),SUM(Mecze[[#This Row],[/BRI]:[/NPI]])*0.6)</f>
        <v>1.7958333333333334</v>
      </c>
      <c r="AA1302" s="10">
        <f>IFERROR(Mecze[[#This Row],[BR]]/Mecze[[#This Row],[ST]],0)</f>
        <v>0.15384615384615385</v>
      </c>
      <c r="AB1302">
        <f>ROUND(Mecze[[#This Row],[PD]]*Mecze[[#This Row],[%PC]],0)</f>
        <v>2</v>
      </c>
      <c r="AC1302">
        <f>ROUND(Mecze[[#This Row],[OD]]*Mecze[[#This Row],[%OU]],0)</f>
        <v>0</v>
      </c>
      <c r="AD1302" s="36" t="s">
        <v>46</v>
      </c>
      <c r="AE1302" s="36">
        <v>72</v>
      </c>
      <c r="AF1302" s="71">
        <v>11.17</v>
      </c>
      <c r="AG1302" s="37">
        <v>0</v>
      </c>
      <c r="AH1302" s="37">
        <v>0</v>
      </c>
      <c r="AI1302" s="37">
        <v>60</v>
      </c>
      <c r="AJ1302" s="37">
        <v>2</v>
      </c>
      <c r="AK1302" s="37" t="str">
        <f>VLOOKUP(Mecze[[#This Row],[Match ID]],Meczusie[Mecz]:Meczusie[RodzajMeczu],2,FALSE)</f>
        <v>Liga</v>
      </c>
    </row>
    <row r="1303" spans="1:37" x14ac:dyDescent="0.25">
      <c r="A1303" s="76">
        <v>10</v>
      </c>
      <c r="B1303" s="3" t="s">
        <v>230</v>
      </c>
      <c r="C1303" s="2" t="s">
        <v>165</v>
      </c>
      <c r="D1303" s="1">
        <v>0</v>
      </c>
      <c r="E1303" s="1">
        <v>0</v>
      </c>
      <c r="F1303" s="1">
        <v>0</v>
      </c>
      <c r="G1303" s="1">
        <v>23</v>
      </c>
      <c r="H1303" s="4">
        <v>0.74</v>
      </c>
      <c r="I1303" s="1">
        <v>0</v>
      </c>
      <c r="J1303" s="4"/>
      <c r="K1303" s="1">
        <v>0</v>
      </c>
      <c r="L1303" s="1">
        <v>0</v>
      </c>
      <c r="M1303" s="32">
        <f>IF(Mecze[[#This Row],[PR]]=0,0,Mecze[[#This Row],[PR]]/Mecze[[#This Row],[CZAS]])</f>
        <v>0</v>
      </c>
      <c r="N1303" s="32">
        <f>IF(Mecze[[#This Row],[OU]]=0,0,Mecze[[#This Row],[OU]]/Mecze[[#This Row],[CZAS]])</f>
        <v>0</v>
      </c>
      <c r="O1303" s="32">
        <f>IF(Mecze[[#This Row],[PC]]=0,0,Mecze[[#This Row],[PC]]/Mecze[[#This Row],[CZAS]])</f>
        <v>0.17708333333333334</v>
      </c>
      <c r="P1303" s="32">
        <f>IF(Mecze[[#This Row],[SC]]=0,0,Mecze[[#This Row],[SC]]/Mecze[[#This Row],[CZAS]])</f>
        <v>0</v>
      </c>
      <c r="Q1303" s="32">
        <f>IF(Mecze[[#This Row],[OB]]=0,0,Mecze[[#This Row],[OB]]/Mecze[[#This Row],[CZAS]])</f>
        <v>0</v>
      </c>
      <c r="R1303" s="32">
        <f>IF(Mecze[[#This Row],[BR]]=0,0,Mecze[[#This Row],[BR]]/Mecze[[#This Row],[CZAS]])</f>
        <v>0</v>
      </c>
      <c r="S1303" s="44">
        <f>IF(Mecze[[#This Row],[Role]]="BR",SUMPRODUCT(Mecze[[#This Row],[/PR:90]:[/BR:90]],Brudnopis!$E$23:$J$23),0)</f>
        <v>0</v>
      </c>
      <c r="T1303" s="44">
        <f>IF(Mecze[[#This Row],[Role]]&lt;&gt;"BR",SUMPRODUCT(Mecze[[#This Row],[/PR:90]:[/BR:90]],Brudnopis!$E$24:$J$24),0)</f>
        <v>0.17708333333333334</v>
      </c>
      <c r="U1303" s="44">
        <f>IF(Mecze[[#This Row],[Role]]&lt;&gt;"BR",SUMPRODUCT(Mecze[[#This Row],[/PR:90]:[/BR:90]],Brudnopis!$E$25:$J$25),0)</f>
        <v>0.265625</v>
      </c>
      <c r="V1303" s="44">
        <f>IF(Mecze[[#This Row],[Role]]&lt;&gt;"BR",SUMPRODUCT(Mecze[[#This Row],[/PR:90]:[/BR:90]],Brudnopis!$E$26:$J$26),0)</f>
        <v>0.17708333333333334</v>
      </c>
      <c r="W1303" s="44">
        <f>IF(Mecze[[#This Row],[Role]]&lt;&gt;"BR",SUMPRODUCT(Mecze[[#This Row],[/PR:90]:[/BR:90]],Brudnopis!$E$27:$J$27),0)</f>
        <v>0.265625</v>
      </c>
      <c r="X1303" s="44">
        <f>IF(Mecze[[#This Row],[Role]]&lt;&gt;"BR",SUMPRODUCT(Mecze[[#This Row],[/PR:90]:[/BR:90]],Brudnopis!$E$28:$J$28),0)</f>
        <v>0.17708333333333334</v>
      </c>
      <c r="Y1303" s="35">
        <f>IF(Mecze[[#This Row],[Role]]="BR",Mecze[[#This Row],[/OB:90]]+Mecze[[#This Row],[/PC:90]],SUM(Mecze[[#This Row],[/PR:90]:[/BR:90]]))</f>
        <v>0.17708333333333334</v>
      </c>
      <c r="Z1303" s="35">
        <f>IF(Mecze[[#This Row],[KC]]=0,SUM(Mecze[[#This Row],[/BRI]:[/NPI]]),SUM(Mecze[[#This Row],[/BRI]:[/NPI]])*0.6)</f>
        <v>1.0625</v>
      </c>
      <c r="AA1303" s="10">
        <f>IFERROR(Mecze[[#This Row],[BR]]/Mecze[[#This Row],[ST]],0)</f>
        <v>0</v>
      </c>
      <c r="AB1303">
        <f>ROUND(Mecze[[#This Row],[PD]]*Mecze[[#This Row],[%PC]],0)</f>
        <v>17</v>
      </c>
      <c r="AC1303">
        <f>ROUND(Mecze[[#This Row],[OD]]*Mecze[[#This Row],[%OU]],0)</f>
        <v>0</v>
      </c>
      <c r="AD1303" s="36" t="s">
        <v>232</v>
      </c>
      <c r="AE1303" s="36">
        <v>72</v>
      </c>
      <c r="AF1303" s="71">
        <v>5.26</v>
      </c>
      <c r="AG1303" s="37">
        <v>0</v>
      </c>
      <c r="AH1303" s="37">
        <v>0</v>
      </c>
      <c r="AI1303" s="37">
        <v>96</v>
      </c>
      <c r="AJ1303" s="37">
        <v>2</v>
      </c>
      <c r="AK1303" s="37" t="str">
        <f>VLOOKUP(Mecze[[#This Row],[Match ID]],Meczusie[Mecz]:Meczusie[RodzajMeczu],2,FALSE)</f>
        <v>Liga</v>
      </c>
    </row>
    <row r="1304" spans="1:37" x14ac:dyDescent="0.25">
      <c r="A1304" s="76">
        <v>12</v>
      </c>
      <c r="B1304" s="3" t="s">
        <v>231</v>
      </c>
      <c r="C1304" s="2" t="s">
        <v>165</v>
      </c>
      <c r="D1304" s="1">
        <v>0</v>
      </c>
      <c r="E1304" s="1">
        <v>5</v>
      </c>
      <c r="F1304" s="1">
        <v>4</v>
      </c>
      <c r="G1304" s="1">
        <v>2</v>
      </c>
      <c r="H1304" s="4">
        <v>1</v>
      </c>
      <c r="I1304" s="1">
        <v>2</v>
      </c>
      <c r="J1304" s="4">
        <v>1</v>
      </c>
      <c r="K1304" s="1">
        <v>0</v>
      </c>
      <c r="L1304" s="1">
        <v>0</v>
      </c>
      <c r="M1304" s="32">
        <f>IF(Mecze[[#This Row],[PR]]=0,0,Mecze[[#This Row],[PR]]/Mecze[[#This Row],[CZAS]])</f>
        <v>0</v>
      </c>
      <c r="N1304" s="32">
        <f>IF(Mecze[[#This Row],[OU]]=0,0,Mecze[[#This Row],[OU]]/Mecze[[#This Row],[CZAS]])</f>
        <v>5.5555555555555552E-2</v>
      </c>
      <c r="O1304" s="32">
        <f>IF(Mecze[[#This Row],[PC]]=0,0,Mecze[[#This Row],[PC]]/Mecze[[#This Row],[CZAS]])</f>
        <v>5.5555555555555552E-2</v>
      </c>
      <c r="P1304" s="32">
        <f>IF(Mecze[[#This Row],[SC]]=0,0,Mecze[[#This Row],[SC]]/Mecze[[#This Row],[CZAS]])</f>
        <v>0.1111111111111111</v>
      </c>
      <c r="Q1304" s="32">
        <f>IF(Mecze[[#This Row],[OB]]=0,0,Mecze[[#This Row],[OB]]/Mecze[[#This Row],[CZAS]])</f>
        <v>0</v>
      </c>
      <c r="R1304" s="32">
        <f>IF(Mecze[[#This Row],[BR]]=0,0,Mecze[[#This Row],[BR]]/Mecze[[#This Row],[CZAS]])</f>
        <v>0</v>
      </c>
      <c r="S1304" s="44">
        <f>IF(Mecze[[#This Row],[Role]]="BR",SUMPRODUCT(Mecze[[#This Row],[/PR:90]:[/BR:90]],Brudnopis!$E$23:$J$23),0)</f>
        <v>0</v>
      </c>
      <c r="T1304" s="44">
        <f>IF(Mecze[[#This Row],[Role]]&lt;&gt;"BR",SUMPRODUCT(Mecze[[#This Row],[/PR:90]:[/BR:90]],Brudnopis!$E$24:$J$24),0)</f>
        <v>0.25</v>
      </c>
      <c r="U1304" s="44">
        <f>IF(Mecze[[#This Row],[Role]]&lt;&gt;"BR",SUMPRODUCT(Mecze[[#This Row],[/PR:90]:[/BR:90]],Brudnopis!$E$25:$J$25),0)</f>
        <v>0.25</v>
      </c>
      <c r="V1304" s="44">
        <f>IF(Mecze[[#This Row],[Role]]&lt;&gt;"BR",SUMPRODUCT(Mecze[[#This Row],[/PR:90]:[/BR:90]],Brudnopis!$E$26:$J$26),0)</f>
        <v>0.22222222222222221</v>
      </c>
      <c r="W1304" s="44">
        <f>IF(Mecze[[#This Row],[Role]]&lt;&gt;"BR",SUMPRODUCT(Mecze[[#This Row],[/PR:90]:[/BR:90]],Brudnopis!$E$27:$J$27),0)</f>
        <v>0.2361111111111111</v>
      </c>
      <c r="X1304" s="44">
        <f>IF(Mecze[[#This Row],[Role]]&lt;&gt;"BR",SUMPRODUCT(Mecze[[#This Row],[/PR:90]:[/BR:90]],Brudnopis!$E$28:$J$28),0)</f>
        <v>0.27777777777777779</v>
      </c>
      <c r="Y1304" s="35">
        <f>IF(Mecze[[#This Row],[Role]]="BR",Mecze[[#This Row],[/OB:90]]+Mecze[[#This Row],[/PC:90]],SUM(Mecze[[#This Row],[/PR:90]:[/BR:90]]))</f>
        <v>0.22222222222222221</v>
      </c>
      <c r="Z1304" s="35">
        <f>IF(Mecze[[#This Row],[KC]]=0,SUM(Mecze[[#This Row],[/BRI]:[/NPI]]),SUM(Mecze[[#This Row],[/BRI]:[/NPI]])*0.6)</f>
        <v>1.2361111111111112</v>
      </c>
      <c r="AA1304" s="10">
        <f>IFERROR(Mecze[[#This Row],[BR]]/Mecze[[#This Row],[ST]],0)</f>
        <v>0</v>
      </c>
      <c r="AB1304">
        <f>ROUND(Mecze[[#This Row],[PD]]*Mecze[[#This Row],[%PC]],0)</f>
        <v>2</v>
      </c>
      <c r="AC1304">
        <f>ROUND(Mecze[[#This Row],[OD]]*Mecze[[#This Row],[%OU]],0)</f>
        <v>2</v>
      </c>
      <c r="AD1304" s="36" t="s">
        <v>46</v>
      </c>
      <c r="AE1304" s="36">
        <v>72</v>
      </c>
      <c r="AF1304" s="71">
        <v>2.6</v>
      </c>
      <c r="AG1304" s="37">
        <v>0</v>
      </c>
      <c r="AH1304" s="37">
        <v>0</v>
      </c>
      <c r="AI1304" s="37">
        <v>36</v>
      </c>
      <c r="AJ1304" s="37">
        <v>2</v>
      </c>
      <c r="AK1304" s="37" t="str">
        <f>VLOOKUP(Mecze[[#This Row],[Match ID]],Meczusie[Mecz]:Meczusie[RodzajMeczu],2,FALSE)</f>
        <v>Liga</v>
      </c>
    </row>
    <row r="1305" spans="1:37" x14ac:dyDescent="0.25">
      <c r="A1305" s="76">
        <v>1</v>
      </c>
      <c r="B1305" s="3" t="s">
        <v>304</v>
      </c>
      <c r="C1305" s="2" t="s">
        <v>155</v>
      </c>
      <c r="D1305" s="1">
        <v>0</v>
      </c>
      <c r="E1305" s="1">
        <v>0</v>
      </c>
      <c r="F1305" s="1">
        <v>0</v>
      </c>
      <c r="G1305" s="1">
        <v>14</v>
      </c>
      <c r="H1305" s="4">
        <v>0.56999999999999995</v>
      </c>
      <c r="I1305" s="1">
        <v>0</v>
      </c>
      <c r="J1305" s="4"/>
      <c r="K1305" s="1">
        <v>16</v>
      </c>
      <c r="L1305" s="1">
        <v>0</v>
      </c>
      <c r="M1305" s="32">
        <f>IF(Mecze[[#This Row],[PR]]=0,0,Mecze[[#This Row],[PR]]/Mecze[[#This Row],[CZAS]])</f>
        <v>0</v>
      </c>
      <c r="N1305" s="32">
        <f>IF(Mecze[[#This Row],[OU]]=0,0,Mecze[[#This Row],[OU]]/Mecze[[#This Row],[CZAS]])</f>
        <v>0</v>
      </c>
      <c r="O1305" s="32">
        <f>IF(Mecze[[#This Row],[PC]]=0,0,Mecze[[#This Row],[PC]]/Mecze[[#This Row],[CZAS]])</f>
        <v>8.3333333333333329E-2</v>
      </c>
      <c r="P1305" s="32">
        <f>IF(Mecze[[#This Row],[SC]]=0,0,Mecze[[#This Row],[SC]]/Mecze[[#This Row],[CZAS]])</f>
        <v>0</v>
      </c>
      <c r="Q1305" s="32">
        <f>IF(Mecze[[#This Row],[OB]]=0,0,Mecze[[#This Row],[OB]]/Mecze[[#This Row],[CZAS]])</f>
        <v>0.16666666666666666</v>
      </c>
      <c r="R1305" s="32">
        <f>IF(Mecze[[#This Row],[BR]]=0,0,Mecze[[#This Row],[BR]]/Mecze[[#This Row],[CZAS]])</f>
        <v>0</v>
      </c>
      <c r="S1305" s="44">
        <f>IF(Mecze[[#This Row],[Role]]="BR",SUMPRODUCT(Mecze[[#This Row],[/PR:90]:[/BR:90]],Brudnopis!$E$23:$J$23),0)</f>
        <v>0.75</v>
      </c>
      <c r="T1305" s="44">
        <f>IF(Mecze[[#This Row],[Role]]&lt;&gt;"BR",SUMPRODUCT(Mecze[[#This Row],[/PR:90]:[/BR:90]],Brudnopis!$E$24:$J$24),0)</f>
        <v>0</v>
      </c>
      <c r="U1305" s="44">
        <f>IF(Mecze[[#This Row],[Role]]&lt;&gt;"BR",SUMPRODUCT(Mecze[[#This Row],[/PR:90]:[/BR:90]],Brudnopis!$E$25:$J$25),0)</f>
        <v>0</v>
      </c>
      <c r="V1305" s="44">
        <f>IF(Mecze[[#This Row],[Role]]&lt;&gt;"BR",SUMPRODUCT(Mecze[[#This Row],[/PR:90]:[/BR:90]],Brudnopis!$E$26:$J$26),0)</f>
        <v>0</v>
      </c>
      <c r="W1305" s="44">
        <f>IF(Mecze[[#This Row],[Role]]&lt;&gt;"BR",SUMPRODUCT(Mecze[[#This Row],[/PR:90]:[/BR:90]],Brudnopis!$E$27:$J$27),0)</f>
        <v>0</v>
      </c>
      <c r="X1305" s="44">
        <f>IF(Mecze[[#This Row],[Role]]&lt;&gt;"BR",SUMPRODUCT(Mecze[[#This Row],[/PR:90]:[/BR:90]],Brudnopis!$E$28:$J$28),0)</f>
        <v>0</v>
      </c>
      <c r="Y1305" s="35">
        <f>IF(Mecze[[#This Row],[Role]]="BR",Mecze[[#This Row],[/OB:90]]+Mecze[[#This Row],[/PC:90]],SUM(Mecze[[#This Row],[/PR:90]:[/BR:90]]))</f>
        <v>0.25</v>
      </c>
      <c r="Z1305" s="35">
        <f>IF(Mecze[[#This Row],[KC]]=0,SUM(Mecze[[#This Row],[/BRI]:[/NPI]]),SUM(Mecze[[#This Row],[/BRI]:[/NPI]])*0.6)</f>
        <v>0.75</v>
      </c>
      <c r="AA1305" s="10">
        <f>IFERROR(Mecze[[#This Row],[BR]]/Mecze[[#This Row],[ST]],0)</f>
        <v>0</v>
      </c>
      <c r="AB1305">
        <f>ROUND(Mecze[[#This Row],[PD]]*Mecze[[#This Row],[%PC]],0)</f>
        <v>8</v>
      </c>
      <c r="AC1305">
        <f>ROUND(Mecze[[#This Row],[OD]]*Mecze[[#This Row],[%OU]],0)</f>
        <v>0</v>
      </c>
      <c r="AD1305" s="36" t="s">
        <v>40</v>
      </c>
      <c r="AE1305" s="36">
        <v>72</v>
      </c>
      <c r="AF1305" s="71">
        <v>8.41</v>
      </c>
      <c r="AG1305" s="37">
        <v>0</v>
      </c>
      <c r="AH1305" s="37">
        <v>0</v>
      </c>
      <c r="AI1305" s="37">
        <v>96</v>
      </c>
      <c r="AJ1305" s="37">
        <v>8</v>
      </c>
      <c r="AK1305" s="37" t="str">
        <f>VLOOKUP(Mecze[[#This Row],[Match ID]],Meczusie[Mecz]:Meczusie[RodzajMeczu],2,FALSE)</f>
        <v>Liga</v>
      </c>
    </row>
    <row r="1306" spans="1:37" x14ac:dyDescent="0.25">
      <c r="A1306" s="76">
        <v>5</v>
      </c>
      <c r="B1306" s="3" t="s">
        <v>305</v>
      </c>
      <c r="C1306" s="2" t="s">
        <v>157</v>
      </c>
      <c r="D1306" s="1">
        <v>0</v>
      </c>
      <c r="E1306" s="1">
        <v>0</v>
      </c>
      <c r="F1306" s="1">
        <v>0</v>
      </c>
      <c r="G1306" s="1">
        <v>9</v>
      </c>
      <c r="H1306" s="4">
        <v>0.78</v>
      </c>
      <c r="I1306" s="1">
        <v>5</v>
      </c>
      <c r="J1306" s="4">
        <v>0.4</v>
      </c>
      <c r="K1306" s="1">
        <v>0</v>
      </c>
      <c r="L1306" s="1">
        <v>4</v>
      </c>
      <c r="M1306" s="32">
        <f>IF(Mecze[[#This Row],[PR]]=0,0,Mecze[[#This Row],[PR]]/Mecze[[#This Row],[CZAS]])</f>
        <v>4.1666666666666664E-2</v>
      </c>
      <c r="N1306" s="32">
        <f>IF(Mecze[[#This Row],[OU]]=0,0,Mecze[[#This Row],[OU]]/Mecze[[#This Row],[CZAS]])</f>
        <v>2.0833333333333332E-2</v>
      </c>
      <c r="O1306" s="32">
        <f>IF(Mecze[[#This Row],[PC]]=0,0,Mecze[[#This Row],[PC]]/Mecze[[#This Row],[CZAS]])</f>
        <v>7.2916666666666671E-2</v>
      </c>
      <c r="P1306" s="32">
        <f>IF(Mecze[[#This Row],[SC]]=0,0,Mecze[[#This Row],[SC]]/Mecze[[#This Row],[CZAS]])</f>
        <v>0</v>
      </c>
      <c r="Q1306" s="32">
        <f>IF(Mecze[[#This Row],[OB]]=0,0,Mecze[[#This Row],[OB]]/Mecze[[#This Row],[CZAS]])</f>
        <v>0</v>
      </c>
      <c r="R1306" s="32">
        <f>IF(Mecze[[#This Row],[BR]]=0,0,Mecze[[#This Row],[BR]]/Mecze[[#This Row],[CZAS]])</f>
        <v>0</v>
      </c>
      <c r="S1306" s="44">
        <f>IF(Mecze[[#This Row],[Role]]="BR",SUMPRODUCT(Mecze[[#This Row],[/PR:90]:[/BR:90]],Brudnopis!$E$23:$J$23),0)</f>
        <v>0</v>
      </c>
      <c r="T1306" s="44">
        <f>IF(Mecze[[#This Row],[Role]]&lt;&gt;"BR",SUMPRODUCT(Mecze[[#This Row],[/PR:90]:[/BR:90]],Brudnopis!$E$24:$J$24),0)</f>
        <v>0.14583333333333331</v>
      </c>
      <c r="U1306" s="44">
        <f>IF(Mecze[[#This Row],[Role]]&lt;&gt;"BR",SUMPRODUCT(Mecze[[#This Row],[/PR:90]:[/BR:90]],Brudnopis!$E$25:$J$25),0)</f>
        <v>0.171875</v>
      </c>
      <c r="V1306" s="44">
        <f>IF(Mecze[[#This Row],[Role]]&lt;&gt;"BR",SUMPRODUCT(Mecze[[#This Row],[/PR:90]:[/BR:90]],Brudnopis!$E$26:$J$26),0)</f>
        <v>0.13541666666666669</v>
      </c>
      <c r="W1306" s="44">
        <f>IF(Mecze[[#This Row],[Role]]&lt;&gt;"BR",SUMPRODUCT(Mecze[[#This Row],[/PR:90]:[/BR:90]],Brudnopis!$E$27:$J$27),0)</f>
        <v>0.15625</v>
      </c>
      <c r="X1306" s="44">
        <f>IF(Mecze[[#This Row],[Role]]&lt;&gt;"BR",SUMPRODUCT(Mecze[[#This Row],[/PR:90]:[/BR:90]],Brudnopis!$E$28:$J$28),0)</f>
        <v>7.2916666666666671E-2</v>
      </c>
      <c r="Y1306" s="35">
        <f>IF(Mecze[[#This Row],[Role]]="BR",Mecze[[#This Row],[/OB:90]]+Mecze[[#This Row],[/PC:90]],SUM(Mecze[[#This Row],[/PR:90]:[/BR:90]]))</f>
        <v>0.13541666666666669</v>
      </c>
      <c r="Z1306" s="35">
        <f>IF(Mecze[[#This Row],[KC]]=0,SUM(Mecze[[#This Row],[/BRI]:[/NPI]]),SUM(Mecze[[#This Row],[/BRI]:[/NPI]])*0.6)</f>
        <v>0.68229166666666663</v>
      </c>
      <c r="AA1306" s="10">
        <f>IFERROR(Mecze[[#This Row],[BR]]/Mecze[[#This Row],[ST]],0)</f>
        <v>0</v>
      </c>
      <c r="AB1306">
        <f>ROUND(Mecze[[#This Row],[PD]]*Mecze[[#This Row],[%PC]],0)</f>
        <v>7</v>
      </c>
      <c r="AC1306">
        <f>ROUND(Mecze[[#This Row],[OD]]*Mecze[[#This Row],[%OU]],0)</f>
        <v>2</v>
      </c>
      <c r="AD1306" s="36" t="s">
        <v>47</v>
      </c>
      <c r="AE1306" s="36">
        <v>72</v>
      </c>
      <c r="AF1306" s="71">
        <v>2.4300000000000002</v>
      </c>
      <c r="AG1306" s="37">
        <v>0</v>
      </c>
      <c r="AH1306" s="37">
        <v>0</v>
      </c>
      <c r="AI1306" s="37">
        <v>96</v>
      </c>
      <c r="AJ1306" s="37">
        <v>8</v>
      </c>
      <c r="AK1306" s="37" t="str">
        <f>VLOOKUP(Mecze[[#This Row],[Match ID]],Meczusie[Mecz]:Meczusie[RodzajMeczu],2,FALSE)</f>
        <v>Liga</v>
      </c>
    </row>
    <row r="1307" spans="1:37" x14ac:dyDescent="0.25">
      <c r="A1307" s="76">
        <v>6</v>
      </c>
      <c r="B1307" s="3" t="s">
        <v>308</v>
      </c>
      <c r="C1307" s="2" t="s">
        <v>157</v>
      </c>
      <c r="D1307" s="1">
        <v>0</v>
      </c>
      <c r="E1307" s="1">
        <v>0</v>
      </c>
      <c r="F1307" s="1">
        <v>0</v>
      </c>
      <c r="G1307" s="1">
        <v>7</v>
      </c>
      <c r="H1307" s="4">
        <v>0.86</v>
      </c>
      <c r="I1307" s="1">
        <v>10</v>
      </c>
      <c r="J1307" s="4">
        <v>0.4</v>
      </c>
      <c r="K1307" s="1">
        <v>0</v>
      </c>
      <c r="L1307" s="1">
        <v>4</v>
      </c>
      <c r="M1307" s="32">
        <f>IF(Mecze[[#This Row],[PR]]=0,0,Mecze[[#This Row],[PR]]/Mecze[[#This Row],[CZAS]])</f>
        <v>5.6338028169014086E-2</v>
      </c>
      <c r="N1307" s="32">
        <f>IF(Mecze[[#This Row],[OU]]=0,0,Mecze[[#This Row],[OU]]/Mecze[[#This Row],[CZAS]])</f>
        <v>5.6338028169014086E-2</v>
      </c>
      <c r="O1307" s="32">
        <f>IF(Mecze[[#This Row],[PC]]=0,0,Mecze[[#This Row],[PC]]/Mecze[[#This Row],[CZAS]])</f>
        <v>8.4507042253521125E-2</v>
      </c>
      <c r="P1307" s="32">
        <f>IF(Mecze[[#This Row],[SC]]=0,0,Mecze[[#This Row],[SC]]/Mecze[[#This Row],[CZAS]])</f>
        <v>0</v>
      </c>
      <c r="Q1307" s="32">
        <f>IF(Mecze[[#This Row],[OB]]=0,0,Mecze[[#This Row],[OB]]/Mecze[[#This Row],[CZAS]])</f>
        <v>0</v>
      </c>
      <c r="R1307" s="32">
        <f>IF(Mecze[[#This Row],[BR]]=0,0,Mecze[[#This Row],[BR]]/Mecze[[#This Row],[CZAS]])</f>
        <v>0</v>
      </c>
      <c r="S1307" s="44">
        <f>IF(Mecze[[#This Row],[Role]]="BR",SUMPRODUCT(Mecze[[#This Row],[/PR:90]:[/BR:90]],Brudnopis!$E$23:$J$23),0)</f>
        <v>0</v>
      </c>
      <c r="T1307" s="44">
        <f>IF(Mecze[[#This Row],[Role]]&lt;&gt;"BR",SUMPRODUCT(Mecze[[#This Row],[/PR:90]:[/BR:90]],Brudnopis!$E$24:$J$24),0)</f>
        <v>0.22535211267605634</v>
      </c>
      <c r="U1307" s="44">
        <f>IF(Mecze[[#This Row],[Role]]&lt;&gt;"BR",SUMPRODUCT(Mecze[[#This Row],[/PR:90]:[/BR:90]],Brudnopis!$E$25:$J$25),0)</f>
        <v>0.23943661971830987</v>
      </c>
      <c r="V1307" s="44">
        <f>IF(Mecze[[#This Row],[Role]]&lt;&gt;"BR",SUMPRODUCT(Mecze[[#This Row],[/PR:90]:[/BR:90]],Brudnopis!$E$26:$J$26),0)</f>
        <v>0.19718309859154931</v>
      </c>
      <c r="W1307" s="44">
        <f>IF(Mecze[[#This Row],[Role]]&lt;&gt;"BR",SUMPRODUCT(Mecze[[#This Row],[/PR:90]:[/BR:90]],Brudnopis!$E$27:$J$27),0)</f>
        <v>0.21126760563380281</v>
      </c>
      <c r="X1307" s="44">
        <f>IF(Mecze[[#This Row],[Role]]&lt;&gt;"BR",SUMPRODUCT(Mecze[[#This Row],[/PR:90]:[/BR:90]],Brudnopis!$E$28:$J$28),0)</f>
        <v>8.4507042253521125E-2</v>
      </c>
      <c r="Y1307" s="35">
        <f>IF(Mecze[[#This Row],[Role]]="BR",Mecze[[#This Row],[/OB:90]]+Mecze[[#This Row],[/PC:90]],SUM(Mecze[[#This Row],[/PR:90]:[/BR:90]]))</f>
        <v>0.19718309859154931</v>
      </c>
      <c r="Z1307" s="35">
        <f>IF(Mecze[[#This Row],[KC]]=0,SUM(Mecze[[#This Row],[/BRI]:[/NPI]]),SUM(Mecze[[#This Row],[/BRI]:[/NPI]])*0.6)</f>
        <v>0.95774647887323938</v>
      </c>
      <c r="AA1307" s="10">
        <f>IFERROR(Mecze[[#This Row],[BR]]/Mecze[[#This Row],[ST]],0)</f>
        <v>0</v>
      </c>
      <c r="AB1307">
        <f>ROUND(Mecze[[#This Row],[PD]]*Mecze[[#This Row],[%PC]],0)</f>
        <v>6</v>
      </c>
      <c r="AC1307">
        <f>ROUND(Mecze[[#This Row],[OD]]*Mecze[[#This Row],[%OU]],0)</f>
        <v>4</v>
      </c>
      <c r="AD1307" s="36" t="s">
        <v>47</v>
      </c>
      <c r="AE1307" s="36">
        <v>72</v>
      </c>
      <c r="AF1307" s="71">
        <v>2.4300000000000002</v>
      </c>
      <c r="AG1307" s="37">
        <v>0</v>
      </c>
      <c r="AH1307" s="37">
        <v>0</v>
      </c>
      <c r="AI1307" s="37">
        <v>71</v>
      </c>
      <c r="AJ1307" s="37">
        <v>8</v>
      </c>
      <c r="AK1307" s="37" t="str">
        <f>VLOOKUP(Mecze[[#This Row],[Match ID]],Meczusie[Mecz]:Meczusie[RodzajMeczu],2,FALSE)</f>
        <v>Liga</v>
      </c>
    </row>
    <row r="1308" spans="1:37" x14ac:dyDescent="0.25">
      <c r="A1308" s="76">
        <v>2</v>
      </c>
      <c r="B1308" s="3" t="s">
        <v>307</v>
      </c>
      <c r="C1308" s="2" t="s">
        <v>157</v>
      </c>
      <c r="D1308" s="1">
        <v>0</v>
      </c>
      <c r="E1308" s="1">
        <v>0</v>
      </c>
      <c r="F1308" s="1">
        <v>0</v>
      </c>
      <c r="G1308" s="1">
        <v>3</v>
      </c>
      <c r="H1308" s="4">
        <v>0.67</v>
      </c>
      <c r="I1308" s="1">
        <v>3</v>
      </c>
      <c r="J1308" s="4">
        <v>0.33</v>
      </c>
      <c r="K1308" s="1">
        <v>0</v>
      </c>
      <c r="L1308" s="1">
        <v>4</v>
      </c>
      <c r="M1308" s="32">
        <f>IF(Mecze[[#This Row],[PR]]=0,0,Mecze[[#This Row],[PR]]/Mecze[[#This Row],[CZAS]])</f>
        <v>4.1666666666666664E-2</v>
      </c>
      <c r="N1308" s="32">
        <f>IF(Mecze[[#This Row],[OU]]=0,0,Mecze[[#This Row],[OU]]/Mecze[[#This Row],[CZAS]])</f>
        <v>1.0416666666666666E-2</v>
      </c>
      <c r="O1308" s="32">
        <f>IF(Mecze[[#This Row],[PC]]=0,0,Mecze[[#This Row],[PC]]/Mecze[[#This Row],[CZAS]])</f>
        <v>2.0833333333333332E-2</v>
      </c>
      <c r="P1308" s="32">
        <f>IF(Mecze[[#This Row],[SC]]=0,0,Mecze[[#This Row],[SC]]/Mecze[[#This Row],[CZAS]])</f>
        <v>0</v>
      </c>
      <c r="Q1308" s="32">
        <f>IF(Mecze[[#This Row],[OB]]=0,0,Mecze[[#This Row],[OB]]/Mecze[[#This Row],[CZAS]])</f>
        <v>0</v>
      </c>
      <c r="R1308" s="32">
        <f>IF(Mecze[[#This Row],[BR]]=0,0,Mecze[[#This Row],[BR]]/Mecze[[#This Row],[CZAS]])</f>
        <v>0</v>
      </c>
      <c r="S1308" s="44">
        <f>IF(Mecze[[#This Row],[Role]]="BR",SUMPRODUCT(Mecze[[#This Row],[/PR:90]:[/BR:90]],Brudnopis!$E$23:$J$23),0)</f>
        <v>0</v>
      </c>
      <c r="T1308" s="44">
        <f>IF(Mecze[[#This Row],[Role]]&lt;&gt;"BR",SUMPRODUCT(Mecze[[#This Row],[/PR:90]:[/BR:90]],Brudnopis!$E$24:$J$24),0)</f>
        <v>7.8125E-2</v>
      </c>
      <c r="U1308" s="44">
        <f>IF(Mecze[[#This Row],[Role]]&lt;&gt;"BR",SUMPRODUCT(Mecze[[#This Row],[/PR:90]:[/BR:90]],Brudnopis!$E$25:$J$25),0)</f>
        <v>8.3333333333333329E-2</v>
      </c>
      <c r="V1308" s="44">
        <f>IF(Mecze[[#This Row],[Role]]&lt;&gt;"BR",SUMPRODUCT(Mecze[[#This Row],[/PR:90]:[/BR:90]],Brudnopis!$E$26:$J$26),0)</f>
        <v>7.2916666666666657E-2</v>
      </c>
      <c r="W1308" s="44">
        <f>IF(Mecze[[#This Row],[Role]]&lt;&gt;"BR",SUMPRODUCT(Mecze[[#This Row],[/PR:90]:[/BR:90]],Brudnopis!$E$27:$J$27),0)</f>
        <v>7.03125E-2</v>
      </c>
      <c r="X1308" s="44">
        <f>IF(Mecze[[#This Row],[Role]]&lt;&gt;"BR",SUMPRODUCT(Mecze[[#This Row],[/PR:90]:[/BR:90]],Brudnopis!$E$28:$J$28),0)</f>
        <v>2.0833333333333332E-2</v>
      </c>
      <c r="Y1308" s="35">
        <f>IF(Mecze[[#This Row],[Role]]="BR",Mecze[[#This Row],[/OB:90]]+Mecze[[#This Row],[/PC:90]],SUM(Mecze[[#This Row],[/PR:90]:[/BR:90]]))</f>
        <v>7.2916666666666657E-2</v>
      </c>
      <c r="Z1308" s="35">
        <f>IF(Mecze[[#This Row],[KC]]=0,SUM(Mecze[[#This Row],[/BRI]:[/NPI]]),SUM(Mecze[[#This Row],[/BRI]:[/NPI]])*0.6)</f>
        <v>0.32552083333333331</v>
      </c>
      <c r="AA1308" s="10">
        <f>IFERROR(Mecze[[#This Row],[BR]]/Mecze[[#This Row],[ST]],0)</f>
        <v>0</v>
      </c>
      <c r="AB1308">
        <f>ROUND(Mecze[[#This Row],[PD]]*Mecze[[#This Row],[%PC]],0)</f>
        <v>2</v>
      </c>
      <c r="AC1308">
        <f>ROUND(Mecze[[#This Row],[OD]]*Mecze[[#This Row],[%OU]],0)</f>
        <v>1</v>
      </c>
      <c r="AD1308" s="36" t="s">
        <v>174</v>
      </c>
      <c r="AE1308" s="36">
        <v>72</v>
      </c>
      <c r="AF1308" s="71">
        <v>2.4300000000000002</v>
      </c>
      <c r="AG1308" s="37">
        <v>0</v>
      </c>
      <c r="AH1308" s="37">
        <v>0</v>
      </c>
      <c r="AI1308" s="37">
        <v>96</v>
      </c>
      <c r="AJ1308" s="37">
        <v>8</v>
      </c>
      <c r="AK1308" s="37" t="str">
        <f>VLOOKUP(Mecze[[#This Row],[Match ID]],Meczusie[Mecz]:Meczusie[RodzajMeczu],2,FALSE)</f>
        <v>Liga</v>
      </c>
    </row>
    <row r="1309" spans="1:37" x14ac:dyDescent="0.25">
      <c r="A1309" s="76">
        <v>73</v>
      </c>
      <c r="B1309" s="3" t="s">
        <v>431</v>
      </c>
      <c r="C1309" s="2" t="s">
        <v>157</v>
      </c>
      <c r="D1309" s="1">
        <v>0</v>
      </c>
      <c r="E1309" s="1">
        <v>0</v>
      </c>
      <c r="F1309" s="1">
        <v>0</v>
      </c>
      <c r="G1309" s="1">
        <v>6</v>
      </c>
      <c r="H1309" s="4">
        <v>0.5</v>
      </c>
      <c r="I1309" s="1">
        <v>15</v>
      </c>
      <c r="J1309" s="4">
        <v>0.53</v>
      </c>
      <c r="K1309" s="1">
        <v>0</v>
      </c>
      <c r="L1309" s="1">
        <v>4</v>
      </c>
      <c r="M1309" s="32">
        <f>IF(Mecze[[#This Row],[PR]]=0,0,Mecze[[#This Row],[PR]]/Mecze[[#This Row],[CZAS]])</f>
        <v>4.1666666666666664E-2</v>
      </c>
      <c r="N1309" s="32">
        <f>IF(Mecze[[#This Row],[OU]]=0,0,Mecze[[#This Row],[OU]]/Mecze[[#This Row],[CZAS]])</f>
        <v>8.3333333333333329E-2</v>
      </c>
      <c r="O1309" s="32">
        <f>IF(Mecze[[#This Row],[PC]]=0,0,Mecze[[#This Row],[PC]]/Mecze[[#This Row],[CZAS]])</f>
        <v>3.125E-2</v>
      </c>
      <c r="P1309" s="32">
        <f>IF(Mecze[[#This Row],[SC]]=0,0,Mecze[[#This Row],[SC]]/Mecze[[#This Row],[CZAS]])</f>
        <v>0</v>
      </c>
      <c r="Q1309" s="32">
        <f>IF(Mecze[[#This Row],[OB]]=0,0,Mecze[[#This Row],[OB]]/Mecze[[#This Row],[CZAS]])</f>
        <v>0</v>
      </c>
      <c r="R1309" s="32">
        <f>IF(Mecze[[#This Row],[BR]]=0,0,Mecze[[#This Row],[BR]]/Mecze[[#This Row],[CZAS]])</f>
        <v>0</v>
      </c>
      <c r="S1309" s="44">
        <f>IF(Mecze[[#This Row],[Role]]="BR",SUMPRODUCT(Mecze[[#This Row],[/PR:90]:[/BR:90]],Brudnopis!$E$23:$J$23),0)</f>
        <v>0</v>
      </c>
      <c r="T1309" s="44">
        <f>IF(Mecze[[#This Row],[Role]]&lt;&gt;"BR",SUMPRODUCT(Mecze[[#This Row],[/PR:90]:[/BR:90]],Brudnopis!$E$24:$J$24),0)</f>
        <v>0.19791666666666666</v>
      </c>
      <c r="U1309" s="44">
        <f>IF(Mecze[[#This Row],[Role]]&lt;&gt;"BR",SUMPRODUCT(Mecze[[#This Row],[/PR:90]:[/BR:90]],Brudnopis!$E$25:$J$25),0)</f>
        <v>0.171875</v>
      </c>
      <c r="V1309" s="44">
        <f>IF(Mecze[[#This Row],[Role]]&lt;&gt;"BR",SUMPRODUCT(Mecze[[#This Row],[/PR:90]:[/BR:90]],Brudnopis!$E$26:$J$26),0)</f>
        <v>0.15625</v>
      </c>
      <c r="W1309" s="44">
        <f>IF(Mecze[[#This Row],[Role]]&lt;&gt;"BR",SUMPRODUCT(Mecze[[#This Row],[/PR:90]:[/BR:90]],Brudnopis!$E$27:$J$27),0)</f>
        <v>0.140625</v>
      </c>
      <c r="X1309" s="44">
        <f>IF(Mecze[[#This Row],[Role]]&lt;&gt;"BR",SUMPRODUCT(Mecze[[#This Row],[/PR:90]:[/BR:90]],Brudnopis!$E$28:$J$28),0)</f>
        <v>3.125E-2</v>
      </c>
      <c r="Y1309" s="35">
        <f>IF(Mecze[[#This Row],[Role]]="BR",Mecze[[#This Row],[/OB:90]]+Mecze[[#This Row],[/PC:90]],SUM(Mecze[[#This Row],[/PR:90]:[/BR:90]]))</f>
        <v>0.15625</v>
      </c>
      <c r="Z1309" s="35">
        <f>IF(Mecze[[#This Row],[KC]]=0,SUM(Mecze[[#This Row],[/BRI]:[/NPI]]),SUM(Mecze[[#This Row],[/BRI]:[/NPI]])*0.6)</f>
        <v>0.69791666666666663</v>
      </c>
      <c r="AA1309" s="10">
        <f>IFERROR(Mecze[[#This Row],[BR]]/Mecze[[#This Row],[ST]],0)</f>
        <v>0</v>
      </c>
      <c r="AB1309">
        <f>ROUND(Mecze[[#This Row],[PD]]*Mecze[[#This Row],[%PC]],0)</f>
        <v>3</v>
      </c>
      <c r="AC1309">
        <f>ROUND(Mecze[[#This Row],[OD]]*Mecze[[#This Row],[%OU]],0)</f>
        <v>8</v>
      </c>
      <c r="AD1309" s="36" t="s">
        <v>175</v>
      </c>
      <c r="AE1309" s="36">
        <v>72</v>
      </c>
      <c r="AF1309" s="71">
        <v>3.55</v>
      </c>
      <c r="AG1309" s="37">
        <v>0</v>
      </c>
      <c r="AH1309" s="37">
        <v>0</v>
      </c>
      <c r="AI1309" s="37">
        <v>96</v>
      </c>
      <c r="AJ1309" s="37">
        <v>8</v>
      </c>
      <c r="AK1309" s="37" t="str">
        <f>VLOOKUP(Mecze[[#This Row],[Match ID]],Meczusie[Mecz]:Meczusie[RodzajMeczu],2,FALSE)</f>
        <v>Liga</v>
      </c>
    </row>
    <row r="1310" spans="1:37" x14ac:dyDescent="0.25">
      <c r="A1310" s="76">
        <v>23</v>
      </c>
      <c r="B1310" s="3" t="s">
        <v>306</v>
      </c>
      <c r="C1310" s="2" t="s">
        <v>160</v>
      </c>
      <c r="D1310" s="1">
        <v>0</v>
      </c>
      <c r="E1310" s="1">
        <v>0</v>
      </c>
      <c r="F1310" s="1">
        <v>0</v>
      </c>
      <c r="G1310" s="1">
        <v>6</v>
      </c>
      <c r="H1310" s="4">
        <v>1</v>
      </c>
      <c r="I1310" s="1">
        <v>1</v>
      </c>
      <c r="J1310" s="4">
        <v>0</v>
      </c>
      <c r="K1310" s="1">
        <v>0</v>
      </c>
      <c r="L1310" s="1">
        <v>4</v>
      </c>
      <c r="M1310" s="32">
        <f>IF(Mecze[[#This Row],[PR]]=0,0,Mecze[[#This Row],[PR]]/Mecze[[#This Row],[CZAS]])</f>
        <v>4.1666666666666664E-2</v>
      </c>
      <c r="N1310" s="32">
        <f>IF(Mecze[[#This Row],[OU]]=0,0,Mecze[[#This Row],[OU]]/Mecze[[#This Row],[CZAS]])</f>
        <v>0</v>
      </c>
      <c r="O1310" s="32">
        <f>IF(Mecze[[#This Row],[PC]]=0,0,Mecze[[#This Row],[PC]]/Mecze[[#This Row],[CZAS]])</f>
        <v>6.25E-2</v>
      </c>
      <c r="P1310" s="32">
        <f>IF(Mecze[[#This Row],[SC]]=0,0,Mecze[[#This Row],[SC]]/Mecze[[#This Row],[CZAS]])</f>
        <v>0</v>
      </c>
      <c r="Q1310" s="32">
        <f>IF(Mecze[[#This Row],[OB]]=0,0,Mecze[[#This Row],[OB]]/Mecze[[#This Row],[CZAS]])</f>
        <v>0</v>
      </c>
      <c r="R1310" s="32">
        <f>IF(Mecze[[#This Row],[BR]]=0,0,Mecze[[#This Row],[BR]]/Mecze[[#This Row],[CZAS]])</f>
        <v>0</v>
      </c>
      <c r="S1310" s="44">
        <f>IF(Mecze[[#This Row],[Role]]="BR",SUMPRODUCT(Mecze[[#This Row],[/PR:90]:[/BR:90]],Brudnopis!$E$23:$J$23),0)</f>
        <v>0</v>
      </c>
      <c r="T1310" s="44">
        <f>IF(Mecze[[#This Row],[Role]]&lt;&gt;"BR",SUMPRODUCT(Mecze[[#This Row],[/PR:90]:[/BR:90]],Brudnopis!$E$24:$J$24),0)</f>
        <v>0.10416666666666666</v>
      </c>
      <c r="U1310" s="44">
        <f>IF(Mecze[[#This Row],[Role]]&lt;&gt;"BR",SUMPRODUCT(Mecze[[#This Row],[/PR:90]:[/BR:90]],Brudnopis!$E$25:$J$25),0)</f>
        <v>0.13541666666666666</v>
      </c>
      <c r="V1310" s="44">
        <f>IF(Mecze[[#This Row],[Role]]&lt;&gt;"BR",SUMPRODUCT(Mecze[[#This Row],[/PR:90]:[/BR:90]],Brudnopis!$E$26:$J$26),0)</f>
        <v>0.10416666666666666</v>
      </c>
      <c r="W1310" s="44">
        <f>IF(Mecze[[#This Row],[Role]]&lt;&gt;"BR",SUMPRODUCT(Mecze[[#This Row],[/PR:90]:[/BR:90]],Brudnopis!$E$27:$J$27),0)</f>
        <v>0.125</v>
      </c>
      <c r="X1310" s="44">
        <f>IF(Mecze[[#This Row],[Role]]&lt;&gt;"BR",SUMPRODUCT(Mecze[[#This Row],[/PR:90]:[/BR:90]],Brudnopis!$E$28:$J$28),0)</f>
        <v>6.25E-2</v>
      </c>
      <c r="Y1310" s="35">
        <f>IF(Mecze[[#This Row],[Role]]="BR",Mecze[[#This Row],[/OB:90]]+Mecze[[#This Row],[/PC:90]],SUM(Mecze[[#This Row],[/PR:90]:[/BR:90]]))</f>
        <v>0.10416666666666666</v>
      </c>
      <c r="Z1310" s="35">
        <f>IF(Mecze[[#This Row],[KC]]=0,SUM(Mecze[[#This Row],[/BRI]:[/NPI]]),SUM(Mecze[[#This Row],[/BRI]:[/NPI]])*0.6)</f>
        <v>0.53125</v>
      </c>
      <c r="AA1310" s="10">
        <f>IFERROR(Mecze[[#This Row],[BR]]/Mecze[[#This Row],[ST]],0)</f>
        <v>0</v>
      </c>
      <c r="AB1310">
        <f>ROUND(Mecze[[#This Row],[PD]]*Mecze[[#This Row],[%PC]],0)</f>
        <v>6</v>
      </c>
      <c r="AC1310">
        <f>ROUND(Mecze[[#This Row],[OD]]*Mecze[[#This Row],[%OU]],0)</f>
        <v>0</v>
      </c>
      <c r="AD1310" s="36" t="s">
        <v>41</v>
      </c>
      <c r="AE1310" s="36">
        <v>72</v>
      </c>
      <c r="AF1310" s="71">
        <v>6.87</v>
      </c>
      <c r="AG1310" s="37">
        <v>0</v>
      </c>
      <c r="AH1310" s="37">
        <v>0</v>
      </c>
      <c r="AI1310" s="37">
        <v>96</v>
      </c>
      <c r="AJ1310" s="37">
        <v>8</v>
      </c>
      <c r="AK1310" s="37" t="str">
        <f>VLOOKUP(Mecze[[#This Row],[Match ID]],Meczusie[Mecz]:Meczusie[RodzajMeczu],2,FALSE)</f>
        <v>Liga</v>
      </c>
    </row>
    <row r="1311" spans="1:37" x14ac:dyDescent="0.25">
      <c r="A1311" s="76">
        <v>16</v>
      </c>
      <c r="B1311" s="3" t="s">
        <v>309</v>
      </c>
      <c r="C1311" s="2" t="s">
        <v>160</v>
      </c>
      <c r="D1311" s="1">
        <v>0</v>
      </c>
      <c r="E1311" s="1">
        <v>0</v>
      </c>
      <c r="F1311" s="1">
        <v>0</v>
      </c>
      <c r="G1311" s="1">
        <v>6</v>
      </c>
      <c r="H1311" s="4">
        <v>0.83</v>
      </c>
      <c r="I1311" s="1">
        <v>4</v>
      </c>
      <c r="J1311" s="4">
        <v>0.25</v>
      </c>
      <c r="K1311" s="1">
        <v>0</v>
      </c>
      <c r="L1311" s="1">
        <v>4</v>
      </c>
      <c r="M1311" s="32">
        <f>IF(Mecze[[#This Row],[PR]]=0,0,Mecze[[#This Row],[PR]]/Mecze[[#This Row],[CZAS]])</f>
        <v>4.1666666666666664E-2</v>
      </c>
      <c r="N1311" s="32">
        <f>IF(Mecze[[#This Row],[OU]]=0,0,Mecze[[#This Row],[OU]]/Mecze[[#This Row],[CZAS]])</f>
        <v>1.0416666666666666E-2</v>
      </c>
      <c r="O1311" s="32">
        <f>IF(Mecze[[#This Row],[PC]]=0,0,Mecze[[#This Row],[PC]]/Mecze[[#This Row],[CZAS]])</f>
        <v>5.2083333333333336E-2</v>
      </c>
      <c r="P1311" s="32">
        <f>IF(Mecze[[#This Row],[SC]]=0,0,Mecze[[#This Row],[SC]]/Mecze[[#This Row],[CZAS]])</f>
        <v>0</v>
      </c>
      <c r="Q1311" s="32">
        <f>IF(Mecze[[#This Row],[OB]]=0,0,Mecze[[#This Row],[OB]]/Mecze[[#This Row],[CZAS]])</f>
        <v>0</v>
      </c>
      <c r="R1311" s="32">
        <f>IF(Mecze[[#This Row],[BR]]=0,0,Mecze[[#This Row],[BR]]/Mecze[[#This Row],[CZAS]])</f>
        <v>0</v>
      </c>
      <c r="S1311" s="44">
        <f>IF(Mecze[[#This Row],[Role]]="BR",SUMPRODUCT(Mecze[[#This Row],[/PR:90]:[/BR:90]],Brudnopis!$E$23:$J$23),0)</f>
        <v>0</v>
      </c>
      <c r="T1311" s="44">
        <f>IF(Mecze[[#This Row],[Role]]&lt;&gt;"BR",SUMPRODUCT(Mecze[[#This Row],[/PR:90]:[/BR:90]],Brudnopis!$E$24:$J$24),0)</f>
        <v>0.109375</v>
      </c>
      <c r="U1311" s="44">
        <f>IF(Mecze[[#This Row],[Role]]&lt;&gt;"BR",SUMPRODUCT(Mecze[[#This Row],[/PR:90]:[/BR:90]],Brudnopis!$E$25:$J$25),0)</f>
        <v>0.13020833333333331</v>
      </c>
      <c r="V1311" s="44">
        <f>IF(Mecze[[#This Row],[Role]]&lt;&gt;"BR",SUMPRODUCT(Mecze[[#This Row],[/PR:90]:[/BR:90]],Brudnopis!$E$26:$J$26),0)</f>
        <v>0.10416666666666666</v>
      </c>
      <c r="W1311" s="44">
        <f>IF(Mecze[[#This Row],[Role]]&lt;&gt;"BR",SUMPRODUCT(Mecze[[#This Row],[/PR:90]:[/BR:90]],Brudnopis!$E$27:$J$27),0)</f>
        <v>0.1171875</v>
      </c>
      <c r="X1311" s="44">
        <f>IF(Mecze[[#This Row],[Role]]&lt;&gt;"BR",SUMPRODUCT(Mecze[[#This Row],[/PR:90]:[/BR:90]],Brudnopis!$E$28:$J$28),0)</f>
        <v>5.2083333333333336E-2</v>
      </c>
      <c r="Y1311" s="35">
        <f>IF(Mecze[[#This Row],[Role]]="BR",Mecze[[#This Row],[/OB:90]]+Mecze[[#This Row],[/PC:90]],SUM(Mecze[[#This Row],[/PR:90]:[/BR:90]]))</f>
        <v>0.10416666666666666</v>
      </c>
      <c r="Z1311" s="35">
        <f>IF(Mecze[[#This Row],[KC]]=0,SUM(Mecze[[#This Row],[/BRI]:[/NPI]]),SUM(Mecze[[#This Row],[/BRI]:[/NPI]])*0.6)</f>
        <v>0.51302083333333337</v>
      </c>
      <c r="AA1311" s="10">
        <f>IFERROR(Mecze[[#This Row],[BR]]/Mecze[[#This Row],[ST]],0)</f>
        <v>0</v>
      </c>
      <c r="AB1311">
        <f>ROUND(Mecze[[#This Row],[PD]]*Mecze[[#This Row],[%PC]],0)</f>
        <v>5</v>
      </c>
      <c r="AC1311">
        <f>ROUND(Mecze[[#This Row],[OD]]*Mecze[[#This Row],[%OU]],0)</f>
        <v>1</v>
      </c>
      <c r="AD1311" s="36" t="s">
        <v>41</v>
      </c>
      <c r="AE1311" s="36">
        <v>72</v>
      </c>
      <c r="AF1311" s="71">
        <v>5.66</v>
      </c>
      <c r="AG1311" s="37">
        <v>0</v>
      </c>
      <c r="AH1311" s="37">
        <v>0</v>
      </c>
      <c r="AI1311" s="37">
        <v>96</v>
      </c>
      <c r="AJ1311" s="37">
        <v>8</v>
      </c>
      <c r="AK1311" s="37" t="str">
        <f>VLOOKUP(Mecze[[#This Row],[Match ID]],Meczusie[Mecz]:Meczusie[RodzajMeczu],2,FALSE)</f>
        <v>Liga</v>
      </c>
    </row>
    <row r="1312" spans="1:37" x14ac:dyDescent="0.25">
      <c r="A1312" s="76">
        <v>7</v>
      </c>
      <c r="B1312" s="3" t="s">
        <v>311</v>
      </c>
      <c r="C1312" s="2" t="s">
        <v>160</v>
      </c>
      <c r="D1312" s="1">
        <v>0</v>
      </c>
      <c r="E1312" s="1">
        <v>0</v>
      </c>
      <c r="F1312" s="1">
        <v>0</v>
      </c>
      <c r="G1312" s="1">
        <v>10</v>
      </c>
      <c r="H1312" s="4">
        <v>0.7</v>
      </c>
      <c r="I1312" s="1">
        <v>1</v>
      </c>
      <c r="J1312" s="4">
        <v>0</v>
      </c>
      <c r="K1312" s="1">
        <v>0</v>
      </c>
      <c r="L1312" s="1">
        <v>1</v>
      </c>
      <c r="M1312" s="32">
        <f>IF(Mecze[[#This Row],[PR]]=0,0,Mecze[[#This Row],[PR]]/Mecze[[#This Row],[CZAS]])</f>
        <v>1.0416666666666666E-2</v>
      </c>
      <c r="N1312" s="32">
        <f>IF(Mecze[[#This Row],[OU]]=0,0,Mecze[[#This Row],[OU]]/Mecze[[#This Row],[CZAS]])</f>
        <v>0</v>
      </c>
      <c r="O1312" s="32">
        <f>IF(Mecze[[#This Row],[PC]]=0,0,Mecze[[#This Row],[PC]]/Mecze[[#This Row],[CZAS]])</f>
        <v>7.2916666666666671E-2</v>
      </c>
      <c r="P1312" s="32">
        <f>IF(Mecze[[#This Row],[SC]]=0,0,Mecze[[#This Row],[SC]]/Mecze[[#This Row],[CZAS]])</f>
        <v>0</v>
      </c>
      <c r="Q1312" s="32">
        <f>IF(Mecze[[#This Row],[OB]]=0,0,Mecze[[#This Row],[OB]]/Mecze[[#This Row],[CZAS]])</f>
        <v>0</v>
      </c>
      <c r="R1312" s="32">
        <f>IF(Mecze[[#This Row],[BR]]=0,0,Mecze[[#This Row],[BR]]/Mecze[[#This Row],[CZAS]])</f>
        <v>0</v>
      </c>
      <c r="S1312" s="44">
        <f>IF(Mecze[[#This Row],[Role]]="BR",SUMPRODUCT(Mecze[[#This Row],[/PR:90]:[/BR:90]],Brudnopis!$E$23:$J$23),0)</f>
        <v>0</v>
      </c>
      <c r="T1312" s="44">
        <f>IF(Mecze[[#This Row],[Role]]&lt;&gt;"BR",SUMPRODUCT(Mecze[[#This Row],[/PR:90]:[/BR:90]],Brudnopis!$E$24:$J$24),0)</f>
        <v>8.3333333333333343E-2</v>
      </c>
      <c r="U1312" s="44">
        <f>IF(Mecze[[#This Row],[Role]]&lt;&gt;"BR",SUMPRODUCT(Mecze[[#This Row],[/PR:90]:[/BR:90]],Brudnopis!$E$25:$J$25),0)</f>
        <v>0.11979166666666667</v>
      </c>
      <c r="V1312" s="44">
        <f>IF(Mecze[[#This Row],[Role]]&lt;&gt;"BR",SUMPRODUCT(Mecze[[#This Row],[/PR:90]:[/BR:90]],Brudnopis!$E$26:$J$26),0)</f>
        <v>8.3333333333333343E-2</v>
      </c>
      <c r="W1312" s="44">
        <f>IF(Mecze[[#This Row],[Role]]&lt;&gt;"BR",SUMPRODUCT(Mecze[[#This Row],[/PR:90]:[/BR:90]],Brudnopis!$E$27:$J$27),0)</f>
        <v>0.1171875</v>
      </c>
      <c r="X1312" s="44">
        <f>IF(Mecze[[#This Row],[Role]]&lt;&gt;"BR",SUMPRODUCT(Mecze[[#This Row],[/PR:90]:[/BR:90]],Brudnopis!$E$28:$J$28),0)</f>
        <v>7.2916666666666671E-2</v>
      </c>
      <c r="Y1312" s="35">
        <f>IF(Mecze[[#This Row],[Role]]="BR",Mecze[[#This Row],[/OB:90]]+Mecze[[#This Row],[/PC:90]],SUM(Mecze[[#This Row],[/PR:90]:[/BR:90]]))</f>
        <v>8.3333333333333343E-2</v>
      </c>
      <c r="Z1312" s="35">
        <f>IF(Mecze[[#This Row],[KC]]=0,SUM(Mecze[[#This Row],[/BRI]:[/NPI]]),SUM(Mecze[[#This Row],[/BRI]:[/NPI]])*0.6)</f>
        <v>0.47656250000000006</v>
      </c>
      <c r="AA1312" s="10">
        <f>IFERROR(Mecze[[#This Row],[BR]]/Mecze[[#This Row],[ST]],0)</f>
        <v>0</v>
      </c>
      <c r="AB1312">
        <f>ROUND(Mecze[[#This Row],[PD]]*Mecze[[#This Row],[%PC]],0)</f>
        <v>7</v>
      </c>
      <c r="AC1312">
        <f>ROUND(Mecze[[#This Row],[OD]]*Mecze[[#This Row],[%OU]],0)</f>
        <v>0</v>
      </c>
      <c r="AD1312" s="36" t="s">
        <v>67</v>
      </c>
      <c r="AE1312" s="36">
        <v>72</v>
      </c>
      <c r="AF1312" s="71">
        <v>4.12</v>
      </c>
      <c r="AG1312" s="37">
        <v>0</v>
      </c>
      <c r="AH1312" s="37">
        <v>0</v>
      </c>
      <c r="AI1312" s="37">
        <v>96</v>
      </c>
      <c r="AJ1312" s="37">
        <v>8</v>
      </c>
      <c r="AK1312" s="37" t="str">
        <f>VLOOKUP(Mecze[[#This Row],[Match ID]],Meczusie[Mecz]:Meczusie[RodzajMeczu],2,FALSE)</f>
        <v>Liga</v>
      </c>
    </row>
    <row r="1313" spans="1:37" x14ac:dyDescent="0.25">
      <c r="A1313" s="76">
        <v>14</v>
      </c>
      <c r="B1313" s="3" t="s">
        <v>312</v>
      </c>
      <c r="C1313" s="2" t="s">
        <v>165</v>
      </c>
      <c r="D1313" s="1">
        <v>0</v>
      </c>
      <c r="E1313" s="1">
        <v>3</v>
      </c>
      <c r="F1313" s="1">
        <v>3</v>
      </c>
      <c r="G1313" s="1">
        <v>3</v>
      </c>
      <c r="H1313" s="4">
        <v>0.67</v>
      </c>
      <c r="I1313" s="1">
        <v>1</v>
      </c>
      <c r="J1313" s="4">
        <v>0</v>
      </c>
      <c r="K1313" s="1">
        <v>0</v>
      </c>
      <c r="L1313" s="1">
        <v>0</v>
      </c>
      <c r="M1313" s="32">
        <f>IF(Mecze[[#This Row],[PR]]=0,0,Mecze[[#This Row],[PR]]/Mecze[[#This Row],[CZAS]])</f>
        <v>0</v>
      </c>
      <c r="N1313" s="32">
        <f>IF(Mecze[[#This Row],[OU]]=0,0,Mecze[[#This Row],[OU]]/Mecze[[#This Row],[CZAS]])</f>
        <v>0</v>
      </c>
      <c r="O1313" s="32">
        <f>IF(Mecze[[#This Row],[PC]]=0,0,Mecze[[#This Row],[PC]]/Mecze[[#This Row],[CZAS]])</f>
        <v>2.4691358024691357E-2</v>
      </c>
      <c r="P1313" s="32">
        <f>IF(Mecze[[#This Row],[SC]]=0,0,Mecze[[#This Row],[SC]]/Mecze[[#This Row],[CZAS]])</f>
        <v>3.7037037037037035E-2</v>
      </c>
      <c r="Q1313" s="32">
        <f>IF(Mecze[[#This Row],[OB]]=0,0,Mecze[[#This Row],[OB]]/Mecze[[#This Row],[CZAS]])</f>
        <v>0</v>
      </c>
      <c r="R1313" s="32">
        <f>IF(Mecze[[#This Row],[BR]]=0,0,Mecze[[#This Row],[BR]]/Mecze[[#This Row],[CZAS]])</f>
        <v>0</v>
      </c>
      <c r="S1313" s="44">
        <f>IF(Mecze[[#This Row],[Role]]="BR",SUMPRODUCT(Mecze[[#This Row],[/PR:90]:[/BR:90]],Brudnopis!$E$23:$J$23),0)</f>
        <v>0</v>
      </c>
      <c r="T1313" s="44">
        <f>IF(Mecze[[#This Row],[Role]]&lt;&gt;"BR",SUMPRODUCT(Mecze[[#This Row],[/PR:90]:[/BR:90]],Brudnopis!$E$24:$J$24),0)</f>
        <v>6.1728395061728392E-2</v>
      </c>
      <c r="U1313" s="44">
        <f>IF(Mecze[[#This Row],[Role]]&lt;&gt;"BR",SUMPRODUCT(Mecze[[#This Row],[/PR:90]:[/BR:90]],Brudnopis!$E$25:$J$25),0)</f>
        <v>7.407407407407407E-2</v>
      </c>
      <c r="V1313" s="44">
        <f>IF(Mecze[[#This Row],[Role]]&lt;&gt;"BR",SUMPRODUCT(Mecze[[#This Row],[/PR:90]:[/BR:90]],Brudnopis!$E$26:$J$26),0)</f>
        <v>6.1728395061728392E-2</v>
      </c>
      <c r="W1313" s="44">
        <f>IF(Mecze[[#This Row],[Role]]&lt;&gt;"BR",SUMPRODUCT(Mecze[[#This Row],[/PR:90]:[/BR:90]],Brudnopis!$E$27:$J$27),0)</f>
        <v>7.407407407407407E-2</v>
      </c>
      <c r="X1313" s="44">
        <f>IF(Mecze[[#This Row],[Role]]&lt;&gt;"BR",SUMPRODUCT(Mecze[[#This Row],[/PR:90]:[/BR:90]],Brudnopis!$E$28:$J$28),0)</f>
        <v>9.8765432098765427E-2</v>
      </c>
      <c r="Y1313" s="35">
        <f>IF(Mecze[[#This Row],[Role]]="BR",Mecze[[#This Row],[/OB:90]]+Mecze[[#This Row],[/PC:90]],SUM(Mecze[[#This Row],[/PR:90]:[/BR:90]]))</f>
        <v>6.1728395061728392E-2</v>
      </c>
      <c r="Z1313" s="35">
        <f>IF(Mecze[[#This Row],[KC]]=0,SUM(Mecze[[#This Row],[/BRI]:[/NPI]]),SUM(Mecze[[#This Row],[/BRI]:[/NPI]])*0.6)</f>
        <v>0.37037037037037035</v>
      </c>
      <c r="AA1313" s="10">
        <f>IFERROR(Mecze[[#This Row],[BR]]/Mecze[[#This Row],[ST]],0)</f>
        <v>0</v>
      </c>
      <c r="AB1313">
        <f>ROUND(Mecze[[#This Row],[PD]]*Mecze[[#This Row],[%PC]],0)</f>
        <v>2</v>
      </c>
      <c r="AC1313">
        <f>ROUND(Mecze[[#This Row],[OD]]*Mecze[[#This Row],[%OU]],0)</f>
        <v>0</v>
      </c>
      <c r="AD1313" s="36" t="s">
        <v>46</v>
      </c>
      <c r="AE1313" s="36">
        <v>72</v>
      </c>
      <c r="AF1313" s="71">
        <v>3.37</v>
      </c>
      <c r="AG1313" s="37">
        <v>0</v>
      </c>
      <c r="AH1313" s="37">
        <v>0</v>
      </c>
      <c r="AI1313" s="37">
        <v>81</v>
      </c>
      <c r="AJ1313" s="37">
        <v>8</v>
      </c>
      <c r="AK1313" s="37" t="str">
        <f>VLOOKUP(Mecze[[#This Row],[Match ID]],Meczusie[Mecz]:Meczusie[RodzajMeczu],2,FALSE)</f>
        <v>Liga</v>
      </c>
    </row>
    <row r="1314" spans="1:37" x14ac:dyDescent="0.25">
      <c r="A1314" s="76">
        <v>8</v>
      </c>
      <c r="B1314" s="3" t="s">
        <v>314</v>
      </c>
      <c r="C1314" s="2" t="s">
        <v>165</v>
      </c>
      <c r="D1314" s="1">
        <v>1</v>
      </c>
      <c r="E1314" s="1">
        <v>2</v>
      </c>
      <c r="F1314" s="1">
        <v>2</v>
      </c>
      <c r="G1314" s="1">
        <v>4</v>
      </c>
      <c r="H1314" s="4">
        <v>0.25</v>
      </c>
      <c r="I1314" s="1">
        <v>2</v>
      </c>
      <c r="J1314" s="4">
        <v>0.5</v>
      </c>
      <c r="K1314" s="1">
        <v>0</v>
      </c>
      <c r="L1314" s="1">
        <v>0</v>
      </c>
      <c r="M1314" s="32">
        <f>IF(Mecze[[#This Row],[PR]]=0,0,Mecze[[#This Row],[PR]]/Mecze[[#This Row],[CZAS]])</f>
        <v>0</v>
      </c>
      <c r="N1314" s="32">
        <f>IF(Mecze[[#This Row],[OU]]=0,0,Mecze[[#This Row],[OU]]/Mecze[[#This Row],[CZAS]])</f>
        <v>1.0416666666666666E-2</v>
      </c>
      <c r="O1314" s="32">
        <f>IF(Mecze[[#This Row],[PC]]=0,0,Mecze[[#This Row],[PC]]/Mecze[[#This Row],[CZAS]])</f>
        <v>1.0416666666666666E-2</v>
      </c>
      <c r="P1314" s="32">
        <f>IF(Mecze[[#This Row],[SC]]=0,0,Mecze[[#This Row],[SC]]/Mecze[[#This Row],[CZAS]])</f>
        <v>2.0833333333333332E-2</v>
      </c>
      <c r="Q1314" s="32">
        <f>IF(Mecze[[#This Row],[OB]]=0,0,Mecze[[#This Row],[OB]]/Mecze[[#This Row],[CZAS]])</f>
        <v>0</v>
      </c>
      <c r="R1314" s="32">
        <f>IF(Mecze[[#This Row],[BR]]=0,0,Mecze[[#This Row],[BR]]/Mecze[[#This Row],[CZAS]])</f>
        <v>1.0416666666666666E-2</v>
      </c>
      <c r="S1314" s="44">
        <f>IF(Mecze[[#This Row],[Role]]="BR",SUMPRODUCT(Mecze[[#This Row],[/PR:90]:[/BR:90]],Brudnopis!$E$23:$J$23),0)</f>
        <v>0</v>
      </c>
      <c r="T1314" s="44">
        <f>IF(Mecze[[#This Row],[Role]]&lt;&gt;"BR",SUMPRODUCT(Mecze[[#This Row],[/PR:90]:[/BR:90]],Brudnopis!$E$24:$J$24),0)</f>
        <v>6.25E-2</v>
      </c>
      <c r="U1314" s="44">
        <f>IF(Mecze[[#This Row],[Role]]&lt;&gt;"BR",SUMPRODUCT(Mecze[[#This Row],[/PR:90]:[/BR:90]],Brudnopis!$E$25:$J$25),0)</f>
        <v>6.25E-2</v>
      </c>
      <c r="V1314" s="44">
        <f>IF(Mecze[[#This Row],[Role]]&lt;&gt;"BR",SUMPRODUCT(Mecze[[#This Row],[/PR:90]:[/BR:90]],Brudnopis!$E$26:$J$26),0)</f>
        <v>6.25E-2</v>
      </c>
      <c r="W1314" s="44">
        <f>IF(Mecze[[#This Row],[Role]]&lt;&gt;"BR",SUMPRODUCT(Mecze[[#This Row],[/PR:90]:[/BR:90]],Brudnopis!$E$27:$J$27),0)</f>
        <v>6.5104166666666657E-2</v>
      </c>
      <c r="X1314" s="44">
        <f>IF(Mecze[[#This Row],[Role]]&lt;&gt;"BR",SUMPRODUCT(Mecze[[#This Row],[/PR:90]:[/BR:90]],Brudnopis!$E$28:$J$28),0)</f>
        <v>8.3333333333333329E-2</v>
      </c>
      <c r="Y1314" s="35">
        <f>IF(Mecze[[#This Row],[Role]]="BR",Mecze[[#This Row],[/OB:90]]+Mecze[[#This Row],[/PC:90]],SUM(Mecze[[#This Row],[/PR:90]:[/BR:90]]))</f>
        <v>5.2083333333333329E-2</v>
      </c>
      <c r="Z1314" s="35">
        <f>IF(Mecze[[#This Row],[KC]]=0,SUM(Mecze[[#This Row],[/BRI]:[/NPI]]),SUM(Mecze[[#This Row],[/BRI]:[/NPI]])*0.6)</f>
        <v>0.33593749999999994</v>
      </c>
      <c r="AA1314" s="10">
        <f>IFERROR(Mecze[[#This Row],[BR]]/Mecze[[#This Row],[ST]],0)</f>
        <v>0.5</v>
      </c>
      <c r="AB1314">
        <f>ROUND(Mecze[[#This Row],[PD]]*Mecze[[#This Row],[%PC]],0)</f>
        <v>1</v>
      </c>
      <c r="AC1314">
        <f>ROUND(Mecze[[#This Row],[OD]]*Mecze[[#This Row],[%OU]],0)</f>
        <v>1</v>
      </c>
      <c r="AD1314" s="36" t="s">
        <v>272</v>
      </c>
      <c r="AE1314" s="36">
        <v>72</v>
      </c>
      <c r="AF1314" s="71">
        <v>5.45</v>
      </c>
      <c r="AG1314" s="37">
        <v>0</v>
      </c>
      <c r="AH1314" s="37">
        <v>0</v>
      </c>
      <c r="AI1314" s="37">
        <v>96</v>
      </c>
      <c r="AJ1314" s="37">
        <v>8</v>
      </c>
      <c r="AK1314" s="37" t="str">
        <f>VLOOKUP(Mecze[[#This Row],[Match ID]],Meczusie[Mecz]:Meczusie[RodzajMeczu],2,FALSE)</f>
        <v>Liga</v>
      </c>
    </row>
    <row r="1315" spans="1:37" x14ac:dyDescent="0.25">
      <c r="A1315" s="76">
        <v>13</v>
      </c>
      <c r="B1315" s="3" t="s">
        <v>313</v>
      </c>
      <c r="C1315" s="2" t="s">
        <v>165</v>
      </c>
      <c r="D1315" s="1">
        <v>0</v>
      </c>
      <c r="E1315" s="1">
        <v>1</v>
      </c>
      <c r="F1315" s="1">
        <v>1</v>
      </c>
      <c r="G1315" s="1">
        <v>4</v>
      </c>
      <c r="H1315" s="4">
        <v>0.75</v>
      </c>
      <c r="I1315" s="1">
        <v>0</v>
      </c>
      <c r="J1315" s="4"/>
      <c r="K1315" s="1">
        <v>0</v>
      </c>
      <c r="L1315" s="1">
        <v>1</v>
      </c>
      <c r="M1315" s="32">
        <f>IF(Mecze[[#This Row],[PR]]=0,0,Mecze[[#This Row],[PR]]/Mecze[[#This Row],[CZAS]])</f>
        <v>1.2345679012345678E-2</v>
      </c>
      <c r="N1315" s="32">
        <f>IF(Mecze[[#This Row],[OU]]=0,0,Mecze[[#This Row],[OU]]/Mecze[[#This Row],[CZAS]])</f>
        <v>0</v>
      </c>
      <c r="O1315" s="32">
        <f>IF(Mecze[[#This Row],[PC]]=0,0,Mecze[[#This Row],[PC]]/Mecze[[#This Row],[CZAS]])</f>
        <v>3.7037037037037035E-2</v>
      </c>
      <c r="P1315" s="32">
        <f>IF(Mecze[[#This Row],[SC]]=0,0,Mecze[[#This Row],[SC]]/Mecze[[#This Row],[CZAS]])</f>
        <v>1.2345679012345678E-2</v>
      </c>
      <c r="Q1315" s="32">
        <f>IF(Mecze[[#This Row],[OB]]=0,0,Mecze[[#This Row],[OB]]/Mecze[[#This Row],[CZAS]])</f>
        <v>0</v>
      </c>
      <c r="R1315" s="32">
        <f>IF(Mecze[[#This Row],[BR]]=0,0,Mecze[[#This Row],[BR]]/Mecze[[#This Row],[CZAS]])</f>
        <v>0</v>
      </c>
      <c r="S1315" s="44">
        <f>IF(Mecze[[#This Row],[Role]]="BR",SUMPRODUCT(Mecze[[#This Row],[/PR:90]:[/BR:90]],Brudnopis!$E$23:$J$23),0)</f>
        <v>0</v>
      </c>
      <c r="T1315" s="44">
        <f>IF(Mecze[[#This Row],[Role]]&lt;&gt;"BR",SUMPRODUCT(Mecze[[#This Row],[/PR:90]:[/BR:90]],Brudnopis!$E$24:$J$24),0)</f>
        <v>6.1728395061728392E-2</v>
      </c>
      <c r="U1315" s="44">
        <f>IF(Mecze[[#This Row],[Role]]&lt;&gt;"BR",SUMPRODUCT(Mecze[[#This Row],[/PR:90]:[/BR:90]],Brudnopis!$E$25:$J$25),0)</f>
        <v>8.0246913580246909E-2</v>
      </c>
      <c r="V1315" s="44">
        <f>IF(Mecze[[#This Row],[Role]]&lt;&gt;"BR",SUMPRODUCT(Mecze[[#This Row],[/PR:90]:[/BR:90]],Brudnopis!$E$26:$J$26),0)</f>
        <v>6.1728395061728392E-2</v>
      </c>
      <c r="W1315" s="44">
        <f>IF(Mecze[[#This Row],[Role]]&lt;&gt;"BR",SUMPRODUCT(Mecze[[#This Row],[/PR:90]:[/BR:90]],Brudnopis!$E$27:$J$27),0)</f>
        <v>7.716049382716049E-2</v>
      </c>
      <c r="X1315" s="44">
        <f>IF(Mecze[[#This Row],[Role]]&lt;&gt;"BR",SUMPRODUCT(Mecze[[#This Row],[/PR:90]:[/BR:90]],Brudnopis!$E$28:$J$28),0)</f>
        <v>6.1728395061728392E-2</v>
      </c>
      <c r="Y1315" s="35">
        <f>IF(Mecze[[#This Row],[Role]]="BR",Mecze[[#This Row],[/OB:90]]+Mecze[[#This Row],[/PC:90]],SUM(Mecze[[#This Row],[/PR:90]:[/BR:90]]))</f>
        <v>6.1728395061728392E-2</v>
      </c>
      <c r="Z1315" s="35">
        <f>IF(Mecze[[#This Row],[KC]]=0,SUM(Mecze[[#This Row],[/BRI]:[/NPI]]),SUM(Mecze[[#This Row],[/BRI]:[/NPI]])*0.6)</f>
        <v>0.34259259259259256</v>
      </c>
      <c r="AA1315" s="10">
        <f>IFERROR(Mecze[[#This Row],[BR]]/Mecze[[#This Row],[ST]],0)</f>
        <v>0</v>
      </c>
      <c r="AB1315">
        <f>ROUND(Mecze[[#This Row],[PD]]*Mecze[[#This Row],[%PC]],0)</f>
        <v>3</v>
      </c>
      <c r="AC1315">
        <f>ROUND(Mecze[[#This Row],[OD]]*Mecze[[#This Row],[%OU]],0)</f>
        <v>0</v>
      </c>
      <c r="AD1315" s="36" t="s">
        <v>46</v>
      </c>
      <c r="AE1315" s="36">
        <v>72</v>
      </c>
      <c r="AF1315" s="71">
        <v>2.93</v>
      </c>
      <c r="AG1315" s="37">
        <v>0</v>
      </c>
      <c r="AH1315" s="37">
        <v>0</v>
      </c>
      <c r="AI1315" s="37">
        <v>81</v>
      </c>
      <c r="AJ1315" s="37">
        <v>8</v>
      </c>
      <c r="AK1315" s="37" t="str">
        <f>VLOOKUP(Mecze[[#This Row],[Match ID]],Meczusie[Mecz]:Meczusie[RodzajMeczu],2,FALSE)</f>
        <v>Liga</v>
      </c>
    </row>
    <row r="1316" spans="1:37" x14ac:dyDescent="0.25">
      <c r="A1316" s="76">
        <v>17</v>
      </c>
      <c r="B1316" s="3" t="s">
        <v>317</v>
      </c>
      <c r="C1316" s="2" t="s">
        <v>165</v>
      </c>
      <c r="D1316" s="1">
        <v>0</v>
      </c>
      <c r="E1316" s="1">
        <v>1</v>
      </c>
      <c r="F1316" s="1">
        <v>1</v>
      </c>
      <c r="G1316" s="1">
        <v>1</v>
      </c>
      <c r="H1316" s="4">
        <v>1</v>
      </c>
      <c r="I1316" s="1">
        <v>0</v>
      </c>
      <c r="J1316" s="4"/>
      <c r="K1316" s="1">
        <v>0</v>
      </c>
      <c r="L1316" s="1">
        <v>0</v>
      </c>
      <c r="M1316" s="32">
        <f>IF(Mecze[[#This Row],[PR]]=0,0,Mecze[[#This Row],[PR]]/Mecze[[#This Row],[CZAS]])</f>
        <v>0</v>
      </c>
      <c r="N1316" s="32">
        <f>IF(Mecze[[#This Row],[OU]]=0,0,Mecze[[#This Row],[OU]]/Mecze[[#This Row],[CZAS]])</f>
        <v>0</v>
      </c>
      <c r="O1316" s="32">
        <f>IF(Mecze[[#This Row],[PC]]=0,0,Mecze[[#This Row],[PC]]/Mecze[[#This Row],[CZAS]])</f>
        <v>6.6666666666666666E-2</v>
      </c>
      <c r="P1316" s="32">
        <f>IF(Mecze[[#This Row],[SC]]=0,0,Mecze[[#This Row],[SC]]/Mecze[[#This Row],[CZAS]])</f>
        <v>6.6666666666666666E-2</v>
      </c>
      <c r="Q1316" s="32">
        <f>IF(Mecze[[#This Row],[OB]]=0,0,Mecze[[#This Row],[OB]]/Mecze[[#This Row],[CZAS]])</f>
        <v>0</v>
      </c>
      <c r="R1316" s="32">
        <f>IF(Mecze[[#This Row],[BR]]=0,0,Mecze[[#This Row],[BR]]/Mecze[[#This Row],[CZAS]])</f>
        <v>0</v>
      </c>
      <c r="S1316" s="44">
        <f>IF(Mecze[[#This Row],[Role]]="BR",SUMPRODUCT(Mecze[[#This Row],[/PR:90]:[/BR:90]],Brudnopis!$E$23:$J$23),0)</f>
        <v>0</v>
      </c>
      <c r="T1316" s="44">
        <f>IF(Mecze[[#This Row],[Role]]&lt;&gt;"BR",SUMPRODUCT(Mecze[[#This Row],[/PR:90]:[/BR:90]],Brudnopis!$E$24:$J$24),0)</f>
        <v>0.13333333333333333</v>
      </c>
      <c r="U1316" s="44">
        <f>IF(Mecze[[#This Row],[Role]]&lt;&gt;"BR",SUMPRODUCT(Mecze[[#This Row],[/PR:90]:[/BR:90]],Brudnopis!$E$25:$J$25),0)</f>
        <v>0.16666666666666669</v>
      </c>
      <c r="V1316" s="44">
        <f>IF(Mecze[[#This Row],[Role]]&lt;&gt;"BR",SUMPRODUCT(Mecze[[#This Row],[/PR:90]:[/BR:90]],Brudnopis!$E$26:$J$26),0)</f>
        <v>0.13333333333333333</v>
      </c>
      <c r="W1316" s="44">
        <f>IF(Mecze[[#This Row],[Role]]&lt;&gt;"BR",SUMPRODUCT(Mecze[[#This Row],[/PR:90]:[/BR:90]],Brudnopis!$E$27:$J$27),0)</f>
        <v>0.16666666666666669</v>
      </c>
      <c r="X1316" s="44">
        <f>IF(Mecze[[#This Row],[Role]]&lt;&gt;"BR",SUMPRODUCT(Mecze[[#This Row],[/PR:90]:[/BR:90]],Brudnopis!$E$28:$J$28),0)</f>
        <v>0.2</v>
      </c>
      <c r="Y1316" s="35">
        <f>IF(Mecze[[#This Row],[Role]]="BR",Mecze[[#This Row],[/OB:90]]+Mecze[[#This Row],[/PC:90]],SUM(Mecze[[#This Row],[/PR:90]:[/BR:90]]))</f>
        <v>0.13333333333333333</v>
      </c>
      <c r="Z1316" s="35">
        <f>IF(Mecze[[#This Row],[KC]]=0,SUM(Mecze[[#This Row],[/BRI]:[/NPI]]),SUM(Mecze[[#This Row],[/BRI]:[/NPI]])*0.6)</f>
        <v>0.8</v>
      </c>
      <c r="AA1316" s="10">
        <f>IFERROR(Mecze[[#This Row],[BR]]/Mecze[[#This Row],[ST]],0)</f>
        <v>0</v>
      </c>
      <c r="AB1316">
        <f>ROUND(Mecze[[#This Row],[PD]]*Mecze[[#This Row],[%PC]],0)</f>
        <v>1</v>
      </c>
      <c r="AC1316">
        <f>ROUND(Mecze[[#This Row],[OD]]*Mecze[[#This Row],[%OU]],0)</f>
        <v>0</v>
      </c>
      <c r="AD1316" s="36" t="s">
        <v>46</v>
      </c>
      <c r="AE1316" s="36">
        <v>72</v>
      </c>
      <c r="AF1316" s="71">
        <v>0.72</v>
      </c>
      <c r="AG1316" s="37">
        <v>0</v>
      </c>
      <c r="AH1316" s="37">
        <v>0</v>
      </c>
      <c r="AI1316" s="37">
        <v>15</v>
      </c>
      <c r="AJ1316" s="37">
        <v>8</v>
      </c>
      <c r="AK1316" s="37" t="str">
        <f>VLOOKUP(Mecze[[#This Row],[Match ID]],Meczusie[Mecz]:Meczusie[RodzajMeczu],2,FALSE)</f>
        <v>Liga</v>
      </c>
    </row>
    <row r="1317" spans="1:37" x14ac:dyDescent="0.25">
      <c r="A1317" s="76">
        <v>68</v>
      </c>
      <c r="B1317" s="3" t="s">
        <v>416</v>
      </c>
      <c r="C1317" s="2" t="s">
        <v>165</v>
      </c>
      <c r="D1317" s="1">
        <v>0</v>
      </c>
      <c r="E1317" s="1">
        <v>1</v>
      </c>
      <c r="F1317" s="1">
        <v>1</v>
      </c>
      <c r="G1317" s="1">
        <v>1</v>
      </c>
      <c r="H1317" s="4">
        <v>1</v>
      </c>
      <c r="I1317" s="1">
        <v>2</v>
      </c>
      <c r="J1317" s="4">
        <v>0</v>
      </c>
      <c r="K1317" s="1">
        <v>0</v>
      </c>
      <c r="L1317" s="1">
        <v>0</v>
      </c>
      <c r="M1317" s="32">
        <f>IF(Mecze[[#This Row],[PR]]=0,0,Mecze[[#This Row],[PR]]/Mecze[[#This Row],[CZAS]])</f>
        <v>0</v>
      </c>
      <c r="N1317" s="32">
        <f>IF(Mecze[[#This Row],[OU]]=0,0,Mecze[[#This Row],[OU]]/Mecze[[#This Row],[CZAS]])</f>
        <v>0</v>
      </c>
      <c r="O1317" s="32">
        <f>IF(Mecze[[#This Row],[PC]]=0,0,Mecze[[#This Row],[PC]]/Mecze[[#This Row],[CZAS]])</f>
        <v>6.6666666666666666E-2</v>
      </c>
      <c r="P1317" s="32">
        <f>IF(Mecze[[#This Row],[SC]]=0,0,Mecze[[#This Row],[SC]]/Mecze[[#This Row],[CZAS]])</f>
        <v>6.6666666666666666E-2</v>
      </c>
      <c r="Q1317" s="32">
        <f>IF(Mecze[[#This Row],[OB]]=0,0,Mecze[[#This Row],[OB]]/Mecze[[#This Row],[CZAS]])</f>
        <v>0</v>
      </c>
      <c r="R1317" s="32">
        <f>IF(Mecze[[#This Row],[BR]]=0,0,Mecze[[#This Row],[BR]]/Mecze[[#This Row],[CZAS]])</f>
        <v>0</v>
      </c>
      <c r="S1317" s="44">
        <f>IF(Mecze[[#This Row],[Role]]="BR",SUMPRODUCT(Mecze[[#This Row],[/PR:90]:[/BR:90]],Brudnopis!$E$23:$J$23),0)</f>
        <v>0</v>
      </c>
      <c r="T1317" s="44">
        <f>IF(Mecze[[#This Row],[Role]]&lt;&gt;"BR",SUMPRODUCT(Mecze[[#This Row],[/PR:90]:[/BR:90]],Brudnopis!$E$24:$J$24),0)</f>
        <v>0.13333333333333333</v>
      </c>
      <c r="U1317" s="44">
        <f>IF(Mecze[[#This Row],[Role]]&lt;&gt;"BR",SUMPRODUCT(Mecze[[#This Row],[/PR:90]:[/BR:90]],Brudnopis!$E$25:$J$25),0)</f>
        <v>0.16666666666666669</v>
      </c>
      <c r="V1317" s="44">
        <f>IF(Mecze[[#This Row],[Role]]&lt;&gt;"BR",SUMPRODUCT(Mecze[[#This Row],[/PR:90]:[/BR:90]],Brudnopis!$E$26:$J$26),0)</f>
        <v>0.13333333333333333</v>
      </c>
      <c r="W1317" s="44">
        <f>IF(Mecze[[#This Row],[Role]]&lt;&gt;"BR",SUMPRODUCT(Mecze[[#This Row],[/PR:90]:[/BR:90]],Brudnopis!$E$27:$J$27),0)</f>
        <v>0.16666666666666669</v>
      </c>
      <c r="X1317" s="44">
        <f>IF(Mecze[[#This Row],[Role]]&lt;&gt;"BR",SUMPRODUCT(Mecze[[#This Row],[/PR:90]:[/BR:90]],Brudnopis!$E$28:$J$28),0)</f>
        <v>0.2</v>
      </c>
      <c r="Y1317" s="35">
        <f>IF(Mecze[[#This Row],[Role]]="BR",Mecze[[#This Row],[/OB:90]]+Mecze[[#This Row],[/PC:90]],SUM(Mecze[[#This Row],[/PR:90]:[/BR:90]]))</f>
        <v>0.13333333333333333</v>
      </c>
      <c r="Z1317" s="35">
        <f>IF(Mecze[[#This Row],[KC]]=0,SUM(Mecze[[#This Row],[/BRI]:[/NPI]]),SUM(Mecze[[#This Row],[/BRI]:[/NPI]])*0.6)</f>
        <v>0.8</v>
      </c>
      <c r="AA1317" s="10">
        <f>IFERROR(Mecze[[#This Row],[BR]]/Mecze[[#This Row],[ST]],0)</f>
        <v>0</v>
      </c>
      <c r="AB1317">
        <f>ROUND(Mecze[[#This Row],[PD]]*Mecze[[#This Row],[%PC]],0)</f>
        <v>1</v>
      </c>
      <c r="AC1317">
        <f>ROUND(Mecze[[#This Row],[OD]]*Mecze[[#This Row],[%OU]],0)</f>
        <v>0</v>
      </c>
      <c r="AD1317" s="36" t="s">
        <v>46</v>
      </c>
      <c r="AE1317" s="36">
        <v>72</v>
      </c>
      <c r="AF1317" s="71">
        <v>0.72</v>
      </c>
      <c r="AG1317" s="37">
        <v>0</v>
      </c>
      <c r="AH1317" s="37">
        <v>0</v>
      </c>
      <c r="AI1317" s="37">
        <v>15</v>
      </c>
      <c r="AJ1317" s="37">
        <v>8</v>
      </c>
      <c r="AK1317" s="37" t="str">
        <f>VLOOKUP(Mecze[[#This Row],[Match ID]],Meczusie[Mecz]:Meczusie[RodzajMeczu],2,FALSE)</f>
        <v>Liga</v>
      </c>
    </row>
    <row r="1318" spans="1:37" x14ac:dyDescent="0.25">
      <c r="A1318" s="76">
        <v>71</v>
      </c>
      <c r="B1318" s="3" t="s">
        <v>429</v>
      </c>
      <c r="C1318" s="2" t="s">
        <v>157</v>
      </c>
      <c r="D1318" s="1">
        <v>0</v>
      </c>
      <c r="E1318" s="1">
        <v>0</v>
      </c>
      <c r="F1318" s="1">
        <v>0</v>
      </c>
      <c r="G1318" s="1">
        <v>0</v>
      </c>
      <c r="H1318" s="72"/>
      <c r="I1318" s="1">
        <v>0</v>
      </c>
      <c r="J1318" s="4"/>
      <c r="K1318" s="1">
        <v>0</v>
      </c>
      <c r="L1318" s="1">
        <v>0</v>
      </c>
      <c r="M1318" s="32">
        <f>IF(Mecze[[#This Row],[PR]]=0,0,Mecze[[#This Row],[PR]]/Mecze[[#This Row],[CZAS]])</f>
        <v>0</v>
      </c>
      <c r="N1318" s="32">
        <f>IF(Mecze[[#This Row],[OU]]=0,0,Mecze[[#This Row],[OU]]/Mecze[[#This Row],[CZAS]])</f>
        <v>0</v>
      </c>
      <c r="O1318" s="32">
        <f>IF(Mecze[[#This Row],[PC]]=0,0,Mecze[[#This Row],[PC]]/Mecze[[#This Row],[CZAS]])</f>
        <v>0</v>
      </c>
      <c r="P1318" s="32">
        <f>IF(Mecze[[#This Row],[SC]]=0,0,Mecze[[#This Row],[SC]]/Mecze[[#This Row],[CZAS]])</f>
        <v>0</v>
      </c>
      <c r="Q1318" s="32">
        <f>IF(Mecze[[#This Row],[OB]]=0,0,Mecze[[#This Row],[OB]]/Mecze[[#This Row],[CZAS]])</f>
        <v>0</v>
      </c>
      <c r="R1318" s="32">
        <f>IF(Mecze[[#This Row],[BR]]=0,0,Mecze[[#This Row],[BR]]/Mecze[[#This Row],[CZAS]])</f>
        <v>0</v>
      </c>
      <c r="S1318" s="44">
        <f>IF(Mecze[[#This Row],[Role]]="BR",SUMPRODUCT(Mecze[[#This Row],[/PR:90]:[/BR:90]],Brudnopis!$E$23:$J$23),0)</f>
        <v>0</v>
      </c>
      <c r="T1318" s="44">
        <f>IF(Mecze[[#This Row],[Role]]&lt;&gt;"BR",SUMPRODUCT(Mecze[[#This Row],[/PR:90]:[/BR:90]],Brudnopis!$E$24:$J$24),0)</f>
        <v>0</v>
      </c>
      <c r="U1318" s="44">
        <f>IF(Mecze[[#This Row],[Role]]&lt;&gt;"BR",SUMPRODUCT(Mecze[[#This Row],[/PR:90]:[/BR:90]],Brudnopis!$E$25:$J$25),0)</f>
        <v>0</v>
      </c>
      <c r="V1318" s="44">
        <f>IF(Mecze[[#This Row],[Role]]&lt;&gt;"BR",SUMPRODUCT(Mecze[[#This Row],[/PR:90]:[/BR:90]],Brudnopis!$E$26:$J$26),0)</f>
        <v>0</v>
      </c>
      <c r="W1318" s="44">
        <f>IF(Mecze[[#This Row],[Role]]&lt;&gt;"BR",SUMPRODUCT(Mecze[[#This Row],[/PR:90]:[/BR:90]],Brudnopis!$E$27:$J$27),0)</f>
        <v>0</v>
      </c>
      <c r="X1318" s="44">
        <f>IF(Mecze[[#This Row],[Role]]&lt;&gt;"BR",SUMPRODUCT(Mecze[[#This Row],[/PR:90]:[/BR:90]],Brudnopis!$E$28:$J$28),0)</f>
        <v>0</v>
      </c>
      <c r="Y1318" s="35">
        <f>IF(Mecze[[#This Row],[Role]]="BR",Mecze[[#This Row],[/OB:90]]+Mecze[[#This Row],[/PC:90]],SUM(Mecze[[#This Row],[/PR:90]:[/BR:90]]))</f>
        <v>0</v>
      </c>
      <c r="Z1318" s="35">
        <f>IF(Mecze[[#This Row],[KC]]=0,SUM(Mecze[[#This Row],[/BRI]:[/NPI]]),SUM(Mecze[[#This Row],[/BRI]:[/NPI]])*0.6)</f>
        <v>0</v>
      </c>
      <c r="AA1318" s="10">
        <f>IFERROR(Mecze[[#This Row],[BR]]/Mecze[[#This Row],[ST]],0)</f>
        <v>0</v>
      </c>
      <c r="AB1318">
        <f>ROUND(Mecze[[#This Row],[PD]]*Mecze[[#This Row],[%PC]],0)</f>
        <v>0</v>
      </c>
      <c r="AC1318">
        <f>ROUND(Mecze[[#This Row],[OD]]*Mecze[[#This Row],[%OU]],0)</f>
        <v>0</v>
      </c>
      <c r="AD1318" s="36" t="s">
        <v>47</v>
      </c>
      <c r="AE1318" s="36">
        <v>72</v>
      </c>
      <c r="AF1318" s="71">
        <v>-0.61</v>
      </c>
      <c r="AG1318" s="37">
        <v>0</v>
      </c>
      <c r="AH1318" s="37">
        <v>0</v>
      </c>
      <c r="AI1318" s="37">
        <v>25</v>
      </c>
      <c r="AJ1318" s="37">
        <v>8</v>
      </c>
      <c r="AK1318" s="37" t="str">
        <f>VLOOKUP(Mecze[[#This Row],[Match ID]],Meczusie[Mecz]:Meczusie[RodzajMeczu],2,FALSE)</f>
        <v>Liga</v>
      </c>
    </row>
    <row r="1319" spans="1:37" x14ac:dyDescent="0.25">
      <c r="A1319" s="76">
        <v>1</v>
      </c>
      <c r="B1319" s="3" t="s">
        <v>261</v>
      </c>
      <c r="C1319" s="2" t="s">
        <v>155</v>
      </c>
      <c r="D1319" s="1">
        <v>0</v>
      </c>
      <c r="E1319" s="1">
        <v>0</v>
      </c>
      <c r="F1319" s="1">
        <v>0</v>
      </c>
      <c r="G1319" s="1">
        <v>10</v>
      </c>
      <c r="H1319" s="4">
        <v>0.6</v>
      </c>
      <c r="I1319" s="1">
        <v>0</v>
      </c>
      <c r="J1319" s="4"/>
      <c r="K1319" s="1">
        <v>5</v>
      </c>
      <c r="L1319" s="1">
        <v>0</v>
      </c>
      <c r="M1319" s="32">
        <f>IF(Mecze[[#This Row],[PR]]=0,0,Mecze[[#This Row],[PR]]/Mecze[[#This Row],[CZAS]])</f>
        <v>0</v>
      </c>
      <c r="N1319" s="32">
        <f>IF(Mecze[[#This Row],[OU]]=0,0,Mecze[[#This Row],[OU]]/Mecze[[#This Row],[CZAS]])</f>
        <v>0</v>
      </c>
      <c r="O1319" s="32">
        <f>IF(Mecze[[#This Row],[PC]]=0,0,Mecze[[#This Row],[PC]]/Mecze[[#This Row],[CZAS]])</f>
        <v>6.25E-2</v>
      </c>
      <c r="P1319" s="32">
        <f>IF(Mecze[[#This Row],[SC]]=0,0,Mecze[[#This Row],[SC]]/Mecze[[#This Row],[CZAS]])</f>
        <v>0</v>
      </c>
      <c r="Q1319" s="32">
        <f>IF(Mecze[[#This Row],[OB]]=0,0,Mecze[[#This Row],[OB]]/Mecze[[#This Row],[CZAS]])</f>
        <v>5.2083333333333336E-2</v>
      </c>
      <c r="R1319" s="32">
        <f>IF(Mecze[[#This Row],[BR]]=0,0,Mecze[[#This Row],[BR]]/Mecze[[#This Row],[CZAS]])</f>
        <v>0</v>
      </c>
      <c r="S1319" s="44">
        <f>IF(Mecze[[#This Row],[Role]]="BR",SUMPRODUCT(Mecze[[#This Row],[/PR:90]:[/BR:90]],Brudnopis!$E$23:$J$23),0)</f>
        <v>0.34375</v>
      </c>
      <c r="T1319" s="44">
        <f>IF(Mecze[[#This Row],[Role]]&lt;&gt;"BR",SUMPRODUCT(Mecze[[#This Row],[/PR:90]:[/BR:90]],Brudnopis!$E$24:$J$24),0)</f>
        <v>0</v>
      </c>
      <c r="U1319" s="44">
        <f>IF(Mecze[[#This Row],[Role]]&lt;&gt;"BR",SUMPRODUCT(Mecze[[#This Row],[/PR:90]:[/BR:90]],Brudnopis!$E$25:$J$25),0)</f>
        <v>0</v>
      </c>
      <c r="V1319" s="44">
        <f>IF(Mecze[[#This Row],[Role]]&lt;&gt;"BR",SUMPRODUCT(Mecze[[#This Row],[/PR:90]:[/BR:90]],Brudnopis!$E$26:$J$26),0)</f>
        <v>0</v>
      </c>
      <c r="W1319" s="44">
        <f>IF(Mecze[[#This Row],[Role]]&lt;&gt;"BR",SUMPRODUCT(Mecze[[#This Row],[/PR:90]:[/BR:90]],Brudnopis!$E$27:$J$27),0)</f>
        <v>0</v>
      </c>
      <c r="X1319" s="44">
        <f>IF(Mecze[[#This Row],[Role]]&lt;&gt;"BR",SUMPRODUCT(Mecze[[#This Row],[/PR:90]:[/BR:90]],Brudnopis!$E$28:$J$28),0)</f>
        <v>0</v>
      </c>
      <c r="Y1319" s="35">
        <f>IF(Mecze[[#This Row],[Role]]="BR",Mecze[[#This Row],[/OB:90]]+Mecze[[#This Row],[/PC:90]],SUM(Mecze[[#This Row],[/PR:90]:[/BR:90]]))</f>
        <v>0.11458333333333334</v>
      </c>
      <c r="Z1319" s="35">
        <f>IF(Mecze[[#This Row],[KC]]=0,SUM(Mecze[[#This Row],[/BRI]:[/NPI]]),SUM(Mecze[[#This Row],[/BRI]:[/NPI]])*0.6)</f>
        <v>0.34375</v>
      </c>
      <c r="AA1319" s="10">
        <f>IFERROR(Mecze[[#This Row],[BR]]/Mecze[[#This Row],[ST]],0)</f>
        <v>0</v>
      </c>
      <c r="AB1319">
        <f>ROUND(Mecze[[#This Row],[PD]]*Mecze[[#This Row],[%PC]],0)</f>
        <v>6</v>
      </c>
      <c r="AC1319">
        <f>ROUND(Mecze[[#This Row],[OD]]*Mecze[[#This Row],[%OU]],0)</f>
        <v>0</v>
      </c>
      <c r="AD1319" s="36" t="s">
        <v>40</v>
      </c>
      <c r="AE1319" s="36">
        <v>73</v>
      </c>
      <c r="AF1319" s="71">
        <v>10.01</v>
      </c>
      <c r="AG1319" s="37">
        <v>0</v>
      </c>
      <c r="AH1319" s="37">
        <v>0</v>
      </c>
      <c r="AI1319" s="37">
        <v>96</v>
      </c>
      <c r="AJ1319" s="37">
        <v>3</v>
      </c>
      <c r="AK1319" s="37" t="str">
        <f>VLOOKUP(Mecze[[#This Row],[Match ID]],Meczusie[Mecz]:Meczusie[RodzajMeczu],2,FALSE)</f>
        <v>Liga</v>
      </c>
    </row>
    <row r="1320" spans="1:37" x14ac:dyDescent="0.25">
      <c r="A1320" s="76">
        <v>13</v>
      </c>
      <c r="B1320" s="3" t="s">
        <v>262</v>
      </c>
      <c r="C1320" s="2" t="s">
        <v>157</v>
      </c>
      <c r="D1320" s="1">
        <v>0</v>
      </c>
      <c r="E1320" s="1">
        <v>0</v>
      </c>
      <c r="F1320" s="1">
        <v>0</v>
      </c>
      <c r="G1320" s="1">
        <v>3</v>
      </c>
      <c r="H1320" s="4">
        <v>1</v>
      </c>
      <c r="I1320" s="1">
        <v>4</v>
      </c>
      <c r="J1320" s="4">
        <v>0.75</v>
      </c>
      <c r="K1320" s="1">
        <v>0</v>
      </c>
      <c r="L1320" s="1">
        <v>5</v>
      </c>
      <c r="M1320" s="32">
        <f>IF(Mecze[[#This Row],[PR]]=0,0,Mecze[[#This Row],[PR]]/Mecze[[#This Row],[CZAS]])</f>
        <v>5.2083333333333336E-2</v>
      </c>
      <c r="N1320" s="32">
        <f>IF(Mecze[[#This Row],[OU]]=0,0,Mecze[[#This Row],[OU]]/Mecze[[#This Row],[CZAS]])</f>
        <v>3.125E-2</v>
      </c>
      <c r="O1320" s="32">
        <f>IF(Mecze[[#This Row],[PC]]=0,0,Mecze[[#This Row],[PC]]/Mecze[[#This Row],[CZAS]])</f>
        <v>3.125E-2</v>
      </c>
      <c r="P1320" s="32">
        <f>IF(Mecze[[#This Row],[SC]]=0,0,Mecze[[#This Row],[SC]]/Mecze[[#This Row],[CZAS]])</f>
        <v>0</v>
      </c>
      <c r="Q1320" s="32">
        <f>IF(Mecze[[#This Row],[OB]]=0,0,Mecze[[#This Row],[OB]]/Mecze[[#This Row],[CZAS]])</f>
        <v>0</v>
      </c>
      <c r="R1320" s="32">
        <f>IF(Mecze[[#This Row],[BR]]=0,0,Mecze[[#This Row],[BR]]/Mecze[[#This Row],[CZAS]])</f>
        <v>0</v>
      </c>
      <c r="S1320" s="44">
        <f>IF(Mecze[[#This Row],[Role]]="BR",SUMPRODUCT(Mecze[[#This Row],[/PR:90]:[/BR:90]],Brudnopis!$E$23:$J$23),0)</f>
        <v>0</v>
      </c>
      <c r="T1320" s="44">
        <f>IF(Mecze[[#This Row],[Role]]&lt;&gt;"BR",SUMPRODUCT(Mecze[[#This Row],[/PR:90]:[/BR:90]],Brudnopis!$E$24:$J$24),0)</f>
        <v>0.13020833333333334</v>
      </c>
      <c r="U1320" s="44">
        <f>IF(Mecze[[#This Row],[Role]]&lt;&gt;"BR",SUMPRODUCT(Mecze[[#This Row],[/PR:90]:[/BR:90]],Brudnopis!$E$25:$J$25),0)</f>
        <v>0.13020833333333334</v>
      </c>
      <c r="V1320" s="44">
        <f>IF(Mecze[[#This Row],[Role]]&lt;&gt;"BR",SUMPRODUCT(Mecze[[#This Row],[/PR:90]:[/BR:90]],Brudnopis!$E$26:$J$26),0)</f>
        <v>0.11458333333333334</v>
      </c>
      <c r="W1320" s="44">
        <f>IF(Mecze[[#This Row],[Role]]&lt;&gt;"BR",SUMPRODUCT(Mecze[[#This Row],[/PR:90]:[/BR:90]],Brudnopis!$E$27:$J$27),0)</f>
        <v>0.109375</v>
      </c>
      <c r="X1320" s="44">
        <f>IF(Mecze[[#This Row],[Role]]&lt;&gt;"BR",SUMPRODUCT(Mecze[[#This Row],[/PR:90]:[/BR:90]],Brudnopis!$E$28:$J$28),0)</f>
        <v>3.125E-2</v>
      </c>
      <c r="Y1320" s="35">
        <f>IF(Mecze[[#This Row],[Role]]="BR",Mecze[[#This Row],[/OB:90]]+Mecze[[#This Row],[/PC:90]],SUM(Mecze[[#This Row],[/PR:90]:[/BR:90]]))</f>
        <v>0.11458333333333334</v>
      </c>
      <c r="Z1320" s="35">
        <f>IF(Mecze[[#This Row],[KC]]=0,SUM(Mecze[[#This Row],[/BRI]:[/NPI]]),SUM(Mecze[[#This Row],[/BRI]:[/NPI]])*0.6)</f>
        <v>0.515625</v>
      </c>
      <c r="AA1320" s="10">
        <f>IFERROR(Mecze[[#This Row],[BR]]/Mecze[[#This Row],[ST]],0)</f>
        <v>0</v>
      </c>
      <c r="AB1320">
        <f>ROUND(Mecze[[#This Row],[PD]]*Mecze[[#This Row],[%PC]],0)</f>
        <v>3</v>
      </c>
      <c r="AC1320">
        <f>ROUND(Mecze[[#This Row],[OD]]*Mecze[[#This Row],[%OU]],0)</f>
        <v>3</v>
      </c>
      <c r="AD1320" s="36" t="s">
        <v>175</v>
      </c>
      <c r="AE1320" s="36">
        <v>73</v>
      </c>
      <c r="AF1320" s="71">
        <v>8.1</v>
      </c>
      <c r="AG1320" s="37">
        <v>1</v>
      </c>
      <c r="AH1320" s="37">
        <v>0</v>
      </c>
      <c r="AI1320" s="37">
        <v>96</v>
      </c>
      <c r="AJ1320" s="37">
        <v>3</v>
      </c>
      <c r="AK1320" s="37" t="str">
        <f>VLOOKUP(Mecze[[#This Row],[Match ID]],Meczusie[Mecz]:Meczusie[RodzajMeczu],2,FALSE)</f>
        <v>Liga</v>
      </c>
    </row>
    <row r="1321" spans="1:37" x14ac:dyDescent="0.25">
      <c r="A1321" s="76">
        <v>4</v>
      </c>
      <c r="B1321" s="3" t="s">
        <v>264</v>
      </c>
      <c r="C1321" s="2" t="s">
        <v>157</v>
      </c>
      <c r="D1321" s="1">
        <v>0</v>
      </c>
      <c r="E1321" s="1">
        <v>0</v>
      </c>
      <c r="F1321" s="1">
        <v>0</v>
      </c>
      <c r="G1321" s="1">
        <v>3</v>
      </c>
      <c r="H1321" s="4">
        <v>0.33</v>
      </c>
      <c r="I1321" s="1">
        <v>1</v>
      </c>
      <c r="J1321" s="4">
        <v>0</v>
      </c>
      <c r="K1321" s="1">
        <v>0</v>
      </c>
      <c r="L1321" s="1">
        <v>4</v>
      </c>
      <c r="M1321" s="32">
        <f>IF(Mecze[[#This Row],[PR]]=0,0,Mecze[[#This Row],[PR]]/Mecze[[#This Row],[CZAS]])</f>
        <v>4.1666666666666664E-2</v>
      </c>
      <c r="N1321" s="32">
        <f>IF(Mecze[[#This Row],[OU]]=0,0,Mecze[[#This Row],[OU]]/Mecze[[#This Row],[CZAS]])</f>
        <v>0</v>
      </c>
      <c r="O1321" s="32">
        <f>IF(Mecze[[#This Row],[PC]]=0,0,Mecze[[#This Row],[PC]]/Mecze[[#This Row],[CZAS]])</f>
        <v>1.0416666666666666E-2</v>
      </c>
      <c r="P1321" s="32">
        <f>IF(Mecze[[#This Row],[SC]]=0,0,Mecze[[#This Row],[SC]]/Mecze[[#This Row],[CZAS]])</f>
        <v>0</v>
      </c>
      <c r="Q1321" s="32">
        <f>IF(Mecze[[#This Row],[OB]]=0,0,Mecze[[#This Row],[OB]]/Mecze[[#This Row],[CZAS]])</f>
        <v>0</v>
      </c>
      <c r="R1321" s="32">
        <f>IF(Mecze[[#This Row],[BR]]=0,0,Mecze[[#This Row],[BR]]/Mecze[[#This Row],[CZAS]])</f>
        <v>0</v>
      </c>
      <c r="S1321" s="44">
        <f>IF(Mecze[[#This Row],[Role]]="BR",SUMPRODUCT(Mecze[[#This Row],[/PR:90]:[/BR:90]],Brudnopis!$E$23:$J$23),0)</f>
        <v>0</v>
      </c>
      <c r="T1321" s="44">
        <f>IF(Mecze[[#This Row],[Role]]&lt;&gt;"BR",SUMPRODUCT(Mecze[[#This Row],[/PR:90]:[/BR:90]],Brudnopis!$E$24:$J$24),0)</f>
        <v>5.2083333333333329E-2</v>
      </c>
      <c r="U1321" s="44">
        <f>IF(Mecze[[#This Row],[Role]]&lt;&gt;"BR",SUMPRODUCT(Mecze[[#This Row],[/PR:90]:[/BR:90]],Brudnopis!$E$25:$J$25),0)</f>
        <v>5.7291666666666664E-2</v>
      </c>
      <c r="V1321" s="44">
        <f>IF(Mecze[[#This Row],[Role]]&lt;&gt;"BR",SUMPRODUCT(Mecze[[#This Row],[/PR:90]:[/BR:90]],Brudnopis!$E$26:$J$26),0)</f>
        <v>5.2083333333333329E-2</v>
      </c>
      <c r="W1321" s="44">
        <f>IF(Mecze[[#This Row],[Role]]&lt;&gt;"BR",SUMPRODUCT(Mecze[[#This Row],[/PR:90]:[/BR:90]],Brudnopis!$E$27:$J$27),0)</f>
        <v>4.6875E-2</v>
      </c>
      <c r="X1321" s="44">
        <f>IF(Mecze[[#This Row],[Role]]&lt;&gt;"BR",SUMPRODUCT(Mecze[[#This Row],[/PR:90]:[/BR:90]],Brudnopis!$E$28:$J$28),0)</f>
        <v>1.0416666666666666E-2</v>
      </c>
      <c r="Y1321" s="35">
        <f>IF(Mecze[[#This Row],[Role]]="BR",Mecze[[#This Row],[/OB:90]]+Mecze[[#This Row],[/PC:90]],SUM(Mecze[[#This Row],[/PR:90]:[/BR:90]]))</f>
        <v>5.2083333333333329E-2</v>
      </c>
      <c r="Z1321" s="35">
        <f>IF(Mecze[[#This Row],[KC]]=0,SUM(Mecze[[#This Row],[/BRI]:[/NPI]]),SUM(Mecze[[#This Row],[/BRI]:[/NPI]])*0.6)</f>
        <v>0.21874999999999997</v>
      </c>
      <c r="AA1321" s="10">
        <f>IFERROR(Mecze[[#This Row],[BR]]/Mecze[[#This Row],[ST]],0)</f>
        <v>0</v>
      </c>
      <c r="AB1321">
        <f>ROUND(Mecze[[#This Row],[PD]]*Mecze[[#This Row],[%PC]],0)</f>
        <v>1</v>
      </c>
      <c r="AC1321">
        <f>ROUND(Mecze[[#This Row],[OD]]*Mecze[[#This Row],[%OU]],0)</f>
        <v>0</v>
      </c>
      <c r="AD1321" s="36" t="s">
        <v>174</v>
      </c>
      <c r="AE1321" s="36">
        <v>73</v>
      </c>
      <c r="AF1321" s="71">
        <v>7.88</v>
      </c>
      <c r="AG1321" s="37">
        <v>0</v>
      </c>
      <c r="AH1321" s="37">
        <v>0</v>
      </c>
      <c r="AI1321" s="37">
        <v>96</v>
      </c>
      <c r="AJ1321" s="37">
        <v>3</v>
      </c>
      <c r="AK1321" s="37" t="str">
        <f>VLOOKUP(Mecze[[#This Row],[Match ID]],Meczusie[Mecz]:Meczusie[RodzajMeczu],2,FALSE)</f>
        <v>Liga</v>
      </c>
    </row>
    <row r="1322" spans="1:37" x14ac:dyDescent="0.25">
      <c r="A1322" s="76">
        <v>6</v>
      </c>
      <c r="B1322" s="3" t="s">
        <v>263</v>
      </c>
      <c r="C1322" s="2" t="s">
        <v>157</v>
      </c>
      <c r="D1322" s="1">
        <v>0</v>
      </c>
      <c r="E1322" s="1">
        <v>0</v>
      </c>
      <c r="F1322" s="1">
        <v>0</v>
      </c>
      <c r="G1322" s="1">
        <v>6</v>
      </c>
      <c r="H1322" s="4">
        <v>1</v>
      </c>
      <c r="I1322" s="1">
        <v>6</v>
      </c>
      <c r="J1322" s="4">
        <v>0.67</v>
      </c>
      <c r="K1322" s="1">
        <v>0</v>
      </c>
      <c r="L1322" s="1">
        <v>3</v>
      </c>
      <c r="M1322" s="32">
        <f>IF(Mecze[[#This Row],[PR]]=0,0,Mecze[[#This Row],[PR]]/Mecze[[#This Row],[CZAS]])</f>
        <v>3.125E-2</v>
      </c>
      <c r="N1322" s="32">
        <f>IF(Mecze[[#This Row],[OU]]=0,0,Mecze[[#This Row],[OU]]/Mecze[[#This Row],[CZAS]])</f>
        <v>4.1666666666666664E-2</v>
      </c>
      <c r="O1322" s="32">
        <f>IF(Mecze[[#This Row],[PC]]=0,0,Mecze[[#This Row],[PC]]/Mecze[[#This Row],[CZAS]])</f>
        <v>6.25E-2</v>
      </c>
      <c r="P1322" s="32">
        <f>IF(Mecze[[#This Row],[SC]]=0,0,Mecze[[#This Row],[SC]]/Mecze[[#This Row],[CZAS]])</f>
        <v>0</v>
      </c>
      <c r="Q1322" s="32">
        <f>IF(Mecze[[#This Row],[OB]]=0,0,Mecze[[#This Row],[OB]]/Mecze[[#This Row],[CZAS]])</f>
        <v>0</v>
      </c>
      <c r="R1322" s="32">
        <f>IF(Mecze[[#This Row],[BR]]=0,0,Mecze[[#This Row],[BR]]/Mecze[[#This Row],[CZAS]])</f>
        <v>0</v>
      </c>
      <c r="S1322" s="44">
        <f>IF(Mecze[[#This Row],[Role]]="BR",SUMPRODUCT(Mecze[[#This Row],[/PR:90]:[/BR:90]],Brudnopis!$E$23:$J$23),0)</f>
        <v>0</v>
      </c>
      <c r="T1322" s="44">
        <f>IF(Mecze[[#This Row],[Role]]&lt;&gt;"BR",SUMPRODUCT(Mecze[[#This Row],[/PR:90]:[/BR:90]],Brudnopis!$E$24:$J$24),0)</f>
        <v>0.15625</v>
      </c>
      <c r="U1322" s="44">
        <f>IF(Mecze[[#This Row],[Role]]&lt;&gt;"BR",SUMPRODUCT(Mecze[[#This Row],[/PR:90]:[/BR:90]],Brudnopis!$E$25:$J$25),0)</f>
        <v>0.16666666666666666</v>
      </c>
      <c r="V1322" s="44">
        <f>IF(Mecze[[#This Row],[Role]]&lt;&gt;"BR",SUMPRODUCT(Mecze[[#This Row],[/PR:90]:[/BR:90]],Brudnopis!$E$26:$J$26),0)</f>
        <v>0.13541666666666666</v>
      </c>
      <c r="W1322" s="44">
        <f>IF(Mecze[[#This Row],[Role]]&lt;&gt;"BR",SUMPRODUCT(Mecze[[#This Row],[/PR:90]:[/BR:90]],Brudnopis!$E$27:$J$27),0)</f>
        <v>0.1484375</v>
      </c>
      <c r="X1322" s="44">
        <f>IF(Mecze[[#This Row],[Role]]&lt;&gt;"BR",SUMPRODUCT(Mecze[[#This Row],[/PR:90]:[/BR:90]],Brudnopis!$E$28:$J$28),0)</f>
        <v>6.25E-2</v>
      </c>
      <c r="Y1322" s="35">
        <f>IF(Mecze[[#This Row],[Role]]="BR",Mecze[[#This Row],[/OB:90]]+Mecze[[#This Row],[/PC:90]],SUM(Mecze[[#This Row],[/PR:90]:[/BR:90]]))</f>
        <v>0.13541666666666666</v>
      </c>
      <c r="Z1322" s="35">
        <f>IF(Mecze[[#This Row],[KC]]=0,SUM(Mecze[[#This Row],[/BRI]:[/NPI]]),SUM(Mecze[[#This Row],[/BRI]:[/NPI]])*0.6)</f>
        <v>0.66927083333333326</v>
      </c>
      <c r="AA1322" s="10">
        <f>IFERROR(Mecze[[#This Row],[BR]]/Mecze[[#This Row],[ST]],0)</f>
        <v>0</v>
      </c>
      <c r="AB1322">
        <f>ROUND(Mecze[[#This Row],[PD]]*Mecze[[#This Row],[%PC]],0)</f>
        <v>6</v>
      </c>
      <c r="AC1322">
        <f>ROUND(Mecze[[#This Row],[OD]]*Mecze[[#This Row],[%OU]],0)</f>
        <v>4</v>
      </c>
      <c r="AD1322" s="36" t="s">
        <v>47</v>
      </c>
      <c r="AE1322" s="36">
        <v>73</v>
      </c>
      <c r="AF1322" s="71">
        <v>8.7899999999999991</v>
      </c>
      <c r="AG1322" s="37">
        <v>0</v>
      </c>
      <c r="AH1322" s="37">
        <v>0</v>
      </c>
      <c r="AI1322" s="37">
        <v>96</v>
      </c>
      <c r="AJ1322" s="37">
        <v>3</v>
      </c>
      <c r="AK1322" s="37" t="str">
        <f>VLOOKUP(Mecze[[#This Row],[Match ID]],Meczusie[Mecz]:Meczusie[RodzajMeczu],2,FALSE)</f>
        <v>Liga</v>
      </c>
    </row>
    <row r="1323" spans="1:37" x14ac:dyDescent="0.25">
      <c r="A1323" s="76">
        <v>2</v>
      </c>
      <c r="B1323" s="3" t="s">
        <v>265</v>
      </c>
      <c r="C1323" s="2" t="s">
        <v>157</v>
      </c>
      <c r="D1323" s="1">
        <v>0</v>
      </c>
      <c r="E1323" s="1">
        <v>0</v>
      </c>
      <c r="F1323" s="1">
        <v>0</v>
      </c>
      <c r="G1323" s="1">
        <v>6</v>
      </c>
      <c r="H1323" s="4">
        <v>1</v>
      </c>
      <c r="I1323" s="1">
        <v>2</v>
      </c>
      <c r="J1323" s="4">
        <v>0.5</v>
      </c>
      <c r="K1323" s="1">
        <v>0</v>
      </c>
      <c r="L1323" s="1">
        <v>6</v>
      </c>
      <c r="M1323" s="32">
        <f>IF(Mecze[[#This Row],[PR]]=0,0,Mecze[[#This Row],[PR]]/Mecze[[#This Row],[CZAS]])</f>
        <v>6.25E-2</v>
      </c>
      <c r="N1323" s="32">
        <f>IF(Mecze[[#This Row],[OU]]=0,0,Mecze[[#This Row],[OU]]/Mecze[[#This Row],[CZAS]])</f>
        <v>1.0416666666666666E-2</v>
      </c>
      <c r="O1323" s="32">
        <f>IF(Mecze[[#This Row],[PC]]=0,0,Mecze[[#This Row],[PC]]/Mecze[[#This Row],[CZAS]])</f>
        <v>6.25E-2</v>
      </c>
      <c r="P1323" s="32">
        <f>IF(Mecze[[#This Row],[SC]]=0,0,Mecze[[#This Row],[SC]]/Mecze[[#This Row],[CZAS]])</f>
        <v>0</v>
      </c>
      <c r="Q1323" s="32">
        <f>IF(Mecze[[#This Row],[OB]]=0,0,Mecze[[#This Row],[OB]]/Mecze[[#This Row],[CZAS]])</f>
        <v>0</v>
      </c>
      <c r="R1323" s="32">
        <f>IF(Mecze[[#This Row],[BR]]=0,0,Mecze[[#This Row],[BR]]/Mecze[[#This Row],[CZAS]])</f>
        <v>0</v>
      </c>
      <c r="S1323" s="44">
        <f>IF(Mecze[[#This Row],[Role]]="BR",SUMPRODUCT(Mecze[[#This Row],[/PR:90]:[/BR:90]],Brudnopis!$E$23:$J$23),0)</f>
        <v>0</v>
      </c>
      <c r="T1323" s="44">
        <f>IF(Mecze[[#This Row],[Role]]&lt;&gt;"BR",SUMPRODUCT(Mecze[[#This Row],[/PR:90]:[/BR:90]],Brudnopis!$E$24:$J$24),0)</f>
        <v>0.140625</v>
      </c>
      <c r="U1323" s="44">
        <f>IF(Mecze[[#This Row],[Role]]&lt;&gt;"BR",SUMPRODUCT(Mecze[[#This Row],[/PR:90]:[/BR:90]],Brudnopis!$E$25:$J$25),0)</f>
        <v>0.16666666666666669</v>
      </c>
      <c r="V1323" s="44">
        <f>IF(Mecze[[#This Row],[Role]]&lt;&gt;"BR",SUMPRODUCT(Mecze[[#This Row],[/PR:90]:[/BR:90]],Brudnopis!$E$26:$J$26),0)</f>
        <v>0.13541666666666669</v>
      </c>
      <c r="W1323" s="44">
        <f>IF(Mecze[[#This Row],[Role]]&lt;&gt;"BR",SUMPRODUCT(Mecze[[#This Row],[/PR:90]:[/BR:90]],Brudnopis!$E$27:$J$27),0)</f>
        <v>0.1484375</v>
      </c>
      <c r="X1323" s="44">
        <f>IF(Mecze[[#This Row],[Role]]&lt;&gt;"BR",SUMPRODUCT(Mecze[[#This Row],[/PR:90]:[/BR:90]],Brudnopis!$E$28:$J$28),0)</f>
        <v>6.25E-2</v>
      </c>
      <c r="Y1323" s="35">
        <f>IF(Mecze[[#This Row],[Role]]="BR",Mecze[[#This Row],[/OB:90]]+Mecze[[#This Row],[/PC:90]],SUM(Mecze[[#This Row],[/PR:90]:[/BR:90]]))</f>
        <v>0.13541666666666669</v>
      </c>
      <c r="Z1323" s="35">
        <f>IF(Mecze[[#This Row],[KC]]=0,SUM(Mecze[[#This Row],[/BRI]:[/NPI]]),SUM(Mecze[[#This Row],[/BRI]:[/NPI]])*0.6)</f>
        <v>0.65364583333333337</v>
      </c>
      <c r="AA1323" s="10">
        <f>IFERROR(Mecze[[#This Row],[BR]]/Mecze[[#This Row],[ST]],0)</f>
        <v>0</v>
      </c>
      <c r="AB1323">
        <f>ROUND(Mecze[[#This Row],[PD]]*Mecze[[#This Row],[%PC]],0)</f>
        <v>6</v>
      </c>
      <c r="AC1323">
        <f>ROUND(Mecze[[#This Row],[OD]]*Mecze[[#This Row],[%OU]],0)</f>
        <v>1</v>
      </c>
      <c r="AD1323" s="36" t="s">
        <v>47</v>
      </c>
      <c r="AE1323" s="36">
        <v>73</v>
      </c>
      <c r="AF1323" s="71">
        <v>8.3000000000000007</v>
      </c>
      <c r="AG1323" s="37">
        <v>0</v>
      </c>
      <c r="AH1323" s="37">
        <v>0</v>
      </c>
      <c r="AI1323" s="37">
        <v>96</v>
      </c>
      <c r="AJ1323" s="37">
        <v>3</v>
      </c>
      <c r="AK1323" s="37" t="str">
        <f>VLOOKUP(Mecze[[#This Row],[Match ID]],Meczusie[Mecz]:Meczusie[RodzajMeczu],2,FALSE)</f>
        <v>Liga</v>
      </c>
    </row>
    <row r="1324" spans="1:37" x14ac:dyDescent="0.25">
      <c r="A1324" s="76">
        <v>5</v>
      </c>
      <c r="B1324" s="3" t="s">
        <v>267</v>
      </c>
      <c r="C1324" s="2" t="s">
        <v>160</v>
      </c>
      <c r="D1324" s="1">
        <v>0</v>
      </c>
      <c r="E1324" s="1">
        <v>2</v>
      </c>
      <c r="F1324" s="1">
        <v>2</v>
      </c>
      <c r="G1324" s="1">
        <v>13</v>
      </c>
      <c r="H1324" s="4">
        <v>1</v>
      </c>
      <c r="I1324" s="1">
        <v>6</v>
      </c>
      <c r="J1324" s="4">
        <v>0.5</v>
      </c>
      <c r="K1324" s="1">
        <v>0</v>
      </c>
      <c r="L1324" s="1">
        <v>7</v>
      </c>
      <c r="M1324" s="32">
        <f>IF(Mecze[[#This Row],[PR]]=0,0,Mecze[[#This Row],[PR]]/Mecze[[#This Row],[CZAS]])</f>
        <v>7.2916666666666671E-2</v>
      </c>
      <c r="N1324" s="32">
        <f>IF(Mecze[[#This Row],[OU]]=0,0,Mecze[[#This Row],[OU]]/Mecze[[#This Row],[CZAS]])</f>
        <v>3.125E-2</v>
      </c>
      <c r="O1324" s="32">
        <f>IF(Mecze[[#This Row],[PC]]=0,0,Mecze[[#This Row],[PC]]/Mecze[[#This Row],[CZAS]])</f>
        <v>0.13541666666666666</v>
      </c>
      <c r="P1324" s="32">
        <f>IF(Mecze[[#This Row],[SC]]=0,0,Mecze[[#This Row],[SC]]/Mecze[[#This Row],[CZAS]])</f>
        <v>2.0833333333333332E-2</v>
      </c>
      <c r="Q1324" s="32">
        <f>IF(Mecze[[#This Row],[OB]]=0,0,Mecze[[#This Row],[OB]]/Mecze[[#This Row],[CZAS]])</f>
        <v>0</v>
      </c>
      <c r="R1324" s="32">
        <f>IF(Mecze[[#This Row],[BR]]=0,0,Mecze[[#This Row],[BR]]/Mecze[[#This Row],[CZAS]])</f>
        <v>0</v>
      </c>
      <c r="S1324" s="44">
        <f>IF(Mecze[[#This Row],[Role]]="BR",SUMPRODUCT(Mecze[[#This Row],[/PR:90]:[/BR:90]],Brudnopis!$E$23:$J$23),0)</f>
        <v>0</v>
      </c>
      <c r="T1324" s="44">
        <f>IF(Mecze[[#This Row],[Role]]&lt;&gt;"BR",SUMPRODUCT(Mecze[[#This Row],[/PR:90]:[/BR:90]],Brudnopis!$E$24:$J$24),0)</f>
        <v>0.27604166666666663</v>
      </c>
      <c r="U1324" s="44">
        <f>IF(Mecze[[#This Row],[Role]]&lt;&gt;"BR",SUMPRODUCT(Mecze[[#This Row],[/PR:90]:[/BR:90]],Brudnopis!$E$25:$J$25),0)</f>
        <v>0.328125</v>
      </c>
      <c r="V1324" s="44">
        <f>IF(Mecze[[#This Row],[Role]]&lt;&gt;"BR",SUMPRODUCT(Mecze[[#This Row],[/PR:90]:[/BR:90]],Brudnopis!$E$26:$J$26),0)</f>
        <v>0.26041666666666663</v>
      </c>
      <c r="W1324" s="44">
        <f>IF(Mecze[[#This Row],[Role]]&lt;&gt;"BR",SUMPRODUCT(Mecze[[#This Row],[/PR:90]:[/BR:90]],Brudnopis!$E$27:$J$27),0)</f>
        <v>0.30208333333333331</v>
      </c>
      <c r="X1324" s="44">
        <f>IF(Mecze[[#This Row],[Role]]&lt;&gt;"BR",SUMPRODUCT(Mecze[[#This Row],[/PR:90]:[/BR:90]],Brudnopis!$E$28:$J$28),0)</f>
        <v>0.17708333333333331</v>
      </c>
      <c r="Y1324" s="35">
        <f>IF(Mecze[[#This Row],[Role]]="BR",Mecze[[#This Row],[/OB:90]]+Mecze[[#This Row],[/PC:90]],SUM(Mecze[[#This Row],[/PR:90]:[/BR:90]]))</f>
        <v>0.26041666666666663</v>
      </c>
      <c r="Z1324" s="35">
        <f>IF(Mecze[[#This Row],[KC]]=0,SUM(Mecze[[#This Row],[/BRI]:[/NPI]]),SUM(Mecze[[#This Row],[/BRI]:[/NPI]])*0.6)</f>
        <v>1.3437499999999998</v>
      </c>
      <c r="AA1324" s="10">
        <f>IFERROR(Mecze[[#This Row],[BR]]/Mecze[[#This Row],[ST]],0)</f>
        <v>0</v>
      </c>
      <c r="AB1324">
        <f>ROUND(Mecze[[#This Row],[PD]]*Mecze[[#This Row],[%PC]],0)</f>
        <v>13</v>
      </c>
      <c r="AC1324">
        <f>ROUND(Mecze[[#This Row],[OD]]*Mecze[[#This Row],[%OU]],0)</f>
        <v>3</v>
      </c>
      <c r="AD1324" s="36" t="s">
        <v>67</v>
      </c>
      <c r="AE1324" s="36">
        <v>73</v>
      </c>
      <c r="AF1324" s="71">
        <v>12.3</v>
      </c>
      <c r="AG1324" s="37">
        <v>0</v>
      </c>
      <c r="AH1324" s="37">
        <v>0</v>
      </c>
      <c r="AI1324" s="37">
        <v>96</v>
      </c>
      <c r="AJ1324" s="37">
        <v>3</v>
      </c>
      <c r="AK1324" s="37" t="str">
        <f>VLOOKUP(Mecze[[#This Row],[Match ID]],Meczusie[Mecz]:Meczusie[RodzajMeczu],2,FALSE)</f>
        <v>Liga</v>
      </c>
    </row>
    <row r="1325" spans="1:37" x14ac:dyDescent="0.25">
      <c r="A1325" s="76">
        <v>33</v>
      </c>
      <c r="B1325" s="3" t="s">
        <v>428</v>
      </c>
      <c r="C1325" s="2" t="s">
        <v>160</v>
      </c>
      <c r="D1325" s="1">
        <v>0</v>
      </c>
      <c r="E1325" s="1">
        <v>1</v>
      </c>
      <c r="F1325" s="1">
        <v>1</v>
      </c>
      <c r="G1325" s="1">
        <v>14</v>
      </c>
      <c r="H1325" s="4">
        <v>0.36</v>
      </c>
      <c r="I1325" s="1">
        <v>5</v>
      </c>
      <c r="J1325" s="4">
        <v>0.2</v>
      </c>
      <c r="K1325" s="1">
        <v>0</v>
      </c>
      <c r="L1325" s="1">
        <v>6</v>
      </c>
      <c r="M1325" s="32">
        <f>IF(Mecze[[#This Row],[PR]]=0,0,Mecze[[#This Row],[PR]]/Mecze[[#This Row],[CZAS]])</f>
        <v>6.25E-2</v>
      </c>
      <c r="N1325" s="32">
        <f>IF(Mecze[[#This Row],[OU]]=0,0,Mecze[[#This Row],[OU]]/Mecze[[#This Row],[CZAS]])</f>
        <v>1.0416666666666666E-2</v>
      </c>
      <c r="O1325" s="32">
        <f>IF(Mecze[[#This Row],[PC]]=0,0,Mecze[[#This Row],[PC]]/Mecze[[#This Row],[CZAS]])</f>
        <v>5.2083333333333336E-2</v>
      </c>
      <c r="P1325" s="32">
        <f>IF(Mecze[[#This Row],[SC]]=0,0,Mecze[[#This Row],[SC]]/Mecze[[#This Row],[CZAS]])</f>
        <v>1.0416666666666666E-2</v>
      </c>
      <c r="Q1325" s="32">
        <f>IF(Mecze[[#This Row],[OB]]=0,0,Mecze[[#This Row],[OB]]/Mecze[[#This Row],[CZAS]])</f>
        <v>0</v>
      </c>
      <c r="R1325" s="32">
        <f>IF(Mecze[[#This Row],[BR]]=0,0,Mecze[[#This Row],[BR]]/Mecze[[#This Row],[CZAS]])</f>
        <v>0</v>
      </c>
      <c r="S1325" s="44">
        <f>IF(Mecze[[#This Row],[Role]]="BR",SUMPRODUCT(Mecze[[#This Row],[/PR:90]:[/BR:90]],Brudnopis!$E$23:$J$23),0)</f>
        <v>0</v>
      </c>
      <c r="T1325" s="44">
        <f>IF(Mecze[[#This Row],[Role]]&lt;&gt;"BR",SUMPRODUCT(Mecze[[#This Row],[/PR:90]:[/BR:90]],Brudnopis!$E$24:$J$24),0)</f>
        <v>0.140625</v>
      </c>
      <c r="U1325" s="44">
        <f>IF(Mecze[[#This Row],[Role]]&lt;&gt;"BR",SUMPRODUCT(Mecze[[#This Row],[/PR:90]:[/BR:90]],Brudnopis!$E$25:$J$25),0)</f>
        <v>0.16145833333333334</v>
      </c>
      <c r="V1325" s="44">
        <f>IF(Mecze[[#This Row],[Role]]&lt;&gt;"BR",SUMPRODUCT(Mecze[[#This Row],[/PR:90]:[/BR:90]],Brudnopis!$E$26:$J$26),0)</f>
        <v>0.13541666666666666</v>
      </c>
      <c r="W1325" s="44">
        <f>IF(Mecze[[#This Row],[Role]]&lt;&gt;"BR",SUMPRODUCT(Mecze[[#This Row],[/PR:90]:[/BR:90]],Brudnopis!$E$27:$J$27),0)</f>
        <v>0.14322916666666666</v>
      </c>
      <c r="X1325" s="44">
        <f>IF(Mecze[[#This Row],[Role]]&lt;&gt;"BR",SUMPRODUCT(Mecze[[#This Row],[/PR:90]:[/BR:90]],Brudnopis!$E$28:$J$28),0)</f>
        <v>7.2916666666666671E-2</v>
      </c>
      <c r="Y1325" s="35">
        <f>IF(Mecze[[#This Row],[Role]]="BR",Mecze[[#This Row],[/OB:90]]+Mecze[[#This Row],[/PC:90]],SUM(Mecze[[#This Row],[/PR:90]:[/BR:90]]))</f>
        <v>0.13541666666666666</v>
      </c>
      <c r="Z1325" s="35">
        <f>IF(Mecze[[#This Row],[KC]]=0,SUM(Mecze[[#This Row],[/BRI]:[/NPI]]),SUM(Mecze[[#This Row],[/BRI]:[/NPI]])*0.6)</f>
        <v>0.65364583333333326</v>
      </c>
      <c r="AA1325" s="10">
        <f>IFERROR(Mecze[[#This Row],[BR]]/Mecze[[#This Row],[ST]],0)</f>
        <v>0</v>
      </c>
      <c r="AB1325">
        <f>ROUND(Mecze[[#This Row],[PD]]*Mecze[[#This Row],[%PC]],0)</f>
        <v>5</v>
      </c>
      <c r="AC1325">
        <f>ROUND(Mecze[[#This Row],[OD]]*Mecze[[#This Row],[%OU]],0)</f>
        <v>1</v>
      </c>
      <c r="AD1325" s="36" t="s">
        <v>67</v>
      </c>
      <c r="AE1325" s="36">
        <v>73</v>
      </c>
      <c r="AF1325" s="71">
        <v>8.5299999999999994</v>
      </c>
      <c r="AG1325" s="37">
        <v>0</v>
      </c>
      <c r="AH1325" s="37">
        <v>0</v>
      </c>
      <c r="AI1325" s="37">
        <v>96</v>
      </c>
      <c r="AJ1325" s="37">
        <v>3</v>
      </c>
      <c r="AK1325" s="37" t="str">
        <f>VLOOKUP(Mecze[[#This Row],[Match ID]],Meczusie[Mecz]:Meczusie[RodzajMeczu],2,FALSE)</f>
        <v>Liga</v>
      </c>
    </row>
    <row r="1326" spans="1:37" x14ac:dyDescent="0.25">
      <c r="A1326" s="76">
        <v>3</v>
      </c>
      <c r="B1326" s="3" t="s">
        <v>268</v>
      </c>
      <c r="C1326" s="2" t="s">
        <v>160</v>
      </c>
      <c r="D1326" s="1">
        <v>3</v>
      </c>
      <c r="E1326" s="1">
        <v>10</v>
      </c>
      <c r="F1326" s="1">
        <v>10</v>
      </c>
      <c r="G1326" s="1">
        <v>5</v>
      </c>
      <c r="H1326" s="4">
        <v>0.8</v>
      </c>
      <c r="I1326" s="1">
        <v>4</v>
      </c>
      <c r="J1326" s="4">
        <v>0.75</v>
      </c>
      <c r="K1326" s="1">
        <v>0</v>
      </c>
      <c r="L1326" s="1">
        <v>2</v>
      </c>
      <c r="M1326" s="32">
        <f>IF(Mecze[[#This Row],[PR]]=0,0,Mecze[[#This Row],[PR]]/Mecze[[#This Row],[CZAS]])</f>
        <v>2.0833333333333332E-2</v>
      </c>
      <c r="N1326" s="32">
        <f>IF(Mecze[[#This Row],[OU]]=0,0,Mecze[[#This Row],[OU]]/Mecze[[#This Row],[CZAS]])</f>
        <v>3.125E-2</v>
      </c>
      <c r="O1326" s="32">
        <f>IF(Mecze[[#This Row],[PC]]=0,0,Mecze[[#This Row],[PC]]/Mecze[[#This Row],[CZAS]])</f>
        <v>4.1666666666666664E-2</v>
      </c>
      <c r="P1326" s="32">
        <f>IF(Mecze[[#This Row],[SC]]=0,0,Mecze[[#This Row],[SC]]/Mecze[[#This Row],[CZAS]])</f>
        <v>0.10416666666666667</v>
      </c>
      <c r="Q1326" s="32">
        <f>IF(Mecze[[#This Row],[OB]]=0,0,Mecze[[#This Row],[OB]]/Mecze[[#This Row],[CZAS]])</f>
        <v>0</v>
      </c>
      <c r="R1326" s="32">
        <f>IF(Mecze[[#This Row],[BR]]=0,0,Mecze[[#This Row],[BR]]/Mecze[[#This Row],[CZAS]])</f>
        <v>3.125E-2</v>
      </c>
      <c r="S1326" s="44">
        <f>IF(Mecze[[#This Row],[Role]]="BR",SUMPRODUCT(Mecze[[#This Row],[/PR:90]:[/BR:90]],Brudnopis!$E$23:$J$23),0)</f>
        <v>0</v>
      </c>
      <c r="T1326" s="44">
        <f>IF(Mecze[[#This Row],[Role]]&lt;&gt;"BR",SUMPRODUCT(Mecze[[#This Row],[/PR:90]:[/BR:90]],Brudnopis!$E$24:$J$24),0)</f>
        <v>0.26041666666666669</v>
      </c>
      <c r="U1326" s="44">
        <f>IF(Mecze[[#This Row],[Role]]&lt;&gt;"BR",SUMPRODUCT(Mecze[[#This Row],[/PR:90]:[/BR:90]],Brudnopis!$E$25:$J$25),0)</f>
        <v>0.265625</v>
      </c>
      <c r="V1326" s="44">
        <f>IF(Mecze[[#This Row],[Role]]&lt;&gt;"BR",SUMPRODUCT(Mecze[[#This Row],[/PR:90]:[/BR:90]],Brudnopis!$E$26:$J$26),0)</f>
        <v>0.26041666666666669</v>
      </c>
      <c r="W1326" s="44">
        <f>IF(Mecze[[#This Row],[Role]]&lt;&gt;"BR",SUMPRODUCT(Mecze[[#This Row],[/PR:90]:[/BR:90]],Brudnopis!$E$27:$J$27),0)</f>
        <v>0.26822916666666669</v>
      </c>
      <c r="X1326" s="44">
        <f>IF(Mecze[[#This Row],[Role]]&lt;&gt;"BR",SUMPRODUCT(Mecze[[#This Row],[/PR:90]:[/BR:90]],Brudnopis!$E$28:$J$28),0)</f>
        <v>0.34375</v>
      </c>
      <c r="Y1326" s="35">
        <f>IF(Mecze[[#This Row],[Role]]="BR",Mecze[[#This Row],[/OB:90]]+Mecze[[#This Row],[/PC:90]],SUM(Mecze[[#This Row],[/PR:90]:[/BR:90]]))</f>
        <v>0.22916666666666669</v>
      </c>
      <c r="Z1326" s="35">
        <f>IF(Mecze[[#This Row],[KC]]=0,SUM(Mecze[[#This Row],[/BRI]:[/NPI]]),SUM(Mecze[[#This Row],[/BRI]:[/NPI]])*0.6)</f>
        <v>1.3984375000000002</v>
      </c>
      <c r="AA1326" s="10">
        <f>IFERROR(Mecze[[#This Row],[BR]]/Mecze[[#This Row],[ST]],0)</f>
        <v>0.3</v>
      </c>
      <c r="AB1326">
        <f>ROUND(Mecze[[#This Row],[PD]]*Mecze[[#This Row],[%PC]],0)</f>
        <v>4</v>
      </c>
      <c r="AC1326">
        <f>ROUND(Mecze[[#This Row],[OD]]*Mecze[[#This Row],[%OU]],0)</f>
        <v>3</v>
      </c>
      <c r="AD1326" s="36" t="s">
        <v>44</v>
      </c>
      <c r="AE1326" s="36">
        <v>73</v>
      </c>
      <c r="AF1326" s="71">
        <v>18.21</v>
      </c>
      <c r="AG1326" s="37">
        <v>0</v>
      </c>
      <c r="AH1326" s="37">
        <v>0</v>
      </c>
      <c r="AI1326" s="37">
        <v>96</v>
      </c>
      <c r="AJ1326" s="37">
        <v>3</v>
      </c>
      <c r="AK1326" s="37" t="str">
        <f>VLOOKUP(Mecze[[#This Row],[Match ID]],Meczusie[Mecz]:Meczusie[RodzajMeczu],2,FALSE)</f>
        <v>Liga</v>
      </c>
    </row>
    <row r="1327" spans="1:37" x14ac:dyDescent="0.25">
      <c r="A1327" s="76">
        <v>8</v>
      </c>
      <c r="B1327" s="3" t="s">
        <v>269</v>
      </c>
      <c r="C1327" s="2" t="s">
        <v>165</v>
      </c>
      <c r="D1327" s="1">
        <v>4</v>
      </c>
      <c r="E1327" s="1">
        <v>8</v>
      </c>
      <c r="F1327" s="1">
        <v>8</v>
      </c>
      <c r="G1327" s="1">
        <v>4</v>
      </c>
      <c r="H1327" s="4">
        <v>1</v>
      </c>
      <c r="I1327" s="1">
        <v>1</v>
      </c>
      <c r="J1327" s="4">
        <v>0</v>
      </c>
      <c r="K1327" s="1">
        <v>0</v>
      </c>
      <c r="L1327" s="1">
        <v>0</v>
      </c>
      <c r="M1327" s="32">
        <f>IF(Mecze[[#This Row],[PR]]=0,0,Mecze[[#This Row],[PR]]/Mecze[[#This Row],[CZAS]])</f>
        <v>0</v>
      </c>
      <c r="N1327" s="32">
        <f>IF(Mecze[[#This Row],[OU]]=0,0,Mecze[[#This Row],[OU]]/Mecze[[#This Row],[CZAS]])</f>
        <v>0</v>
      </c>
      <c r="O1327" s="32">
        <f>IF(Mecze[[#This Row],[PC]]=0,0,Mecze[[#This Row],[PC]]/Mecze[[#This Row],[CZAS]])</f>
        <v>4.1666666666666664E-2</v>
      </c>
      <c r="P1327" s="32">
        <f>IF(Mecze[[#This Row],[SC]]=0,0,Mecze[[#This Row],[SC]]/Mecze[[#This Row],[CZAS]])</f>
        <v>8.3333333333333329E-2</v>
      </c>
      <c r="Q1327" s="32">
        <f>IF(Mecze[[#This Row],[OB]]=0,0,Mecze[[#This Row],[OB]]/Mecze[[#This Row],[CZAS]])</f>
        <v>0</v>
      </c>
      <c r="R1327" s="32">
        <f>IF(Mecze[[#This Row],[BR]]=0,0,Mecze[[#This Row],[BR]]/Mecze[[#This Row],[CZAS]])</f>
        <v>4.1666666666666664E-2</v>
      </c>
      <c r="S1327" s="44">
        <f>IF(Mecze[[#This Row],[Role]]="BR",SUMPRODUCT(Mecze[[#This Row],[/PR:90]:[/BR:90]],Brudnopis!$E$23:$J$23),0)</f>
        <v>0</v>
      </c>
      <c r="T1327" s="44">
        <f>IF(Mecze[[#This Row],[Role]]&lt;&gt;"BR",SUMPRODUCT(Mecze[[#This Row],[/PR:90]:[/BR:90]],Brudnopis!$E$24:$J$24),0)</f>
        <v>0.1875</v>
      </c>
      <c r="U1327" s="44">
        <f>IF(Mecze[[#This Row],[Role]]&lt;&gt;"BR",SUMPRODUCT(Mecze[[#This Row],[/PR:90]:[/BR:90]],Brudnopis!$E$25:$J$25),0)</f>
        <v>0.20833333333333331</v>
      </c>
      <c r="V1327" s="44">
        <f>IF(Mecze[[#This Row],[Role]]&lt;&gt;"BR",SUMPRODUCT(Mecze[[#This Row],[/PR:90]:[/BR:90]],Brudnopis!$E$26:$J$26),0)</f>
        <v>0.20833333333333331</v>
      </c>
      <c r="W1327" s="44">
        <f>IF(Mecze[[#This Row],[Role]]&lt;&gt;"BR",SUMPRODUCT(Mecze[[#This Row],[/PR:90]:[/BR:90]],Brudnopis!$E$27:$J$27),0)</f>
        <v>0.22916666666666663</v>
      </c>
      <c r="X1327" s="44">
        <f>IF(Mecze[[#This Row],[Role]]&lt;&gt;"BR",SUMPRODUCT(Mecze[[#This Row],[/PR:90]:[/BR:90]],Brudnopis!$E$28:$J$28),0)</f>
        <v>0.33333333333333331</v>
      </c>
      <c r="Y1327" s="35">
        <f>IF(Mecze[[#This Row],[Role]]="BR",Mecze[[#This Row],[/OB:90]]+Mecze[[#This Row],[/PC:90]],SUM(Mecze[[#This Row],[/PR:90]:[/BR:90]]))</f>
        <v>0.16666666666666666</v>
      </c>
      <c r="Z1327" s="35">
        <f>IF(Mecze[[#This Row],[KC]]=0,SUM(Mecze[[#This Row],[/BRI]:[/NPI]]),SUM(Mecze[[#This Row],[/BRI]:[/NPI]])*0.6)</f>
        <v>1.1666666666666665</v>
      </c>
      <c r="AA1327" s="10">
        <f>IFERROR(Mecze[[#This Row],[BR]]/Mecze[[#This Row],[ST]],0)</f>
        <v>0.5</v>
      </c>
      <c r="AB1327">
        <f>ROUND(Mecze[[#This Row],[PD]]*Mecze[[#This Row],[%PC]],0)</f>
        <v>4</v>
      </c>
      <c r="AC1327">
        <f>ROUND(Mecze[[#This Row],[OD]]*Mecze[[#This Row],[%OU]],0)</f>
        <v>0</v>
      </c>
      <c r="AD1327" s="36" t="s">
        <v>272</v>
      </c>
      <c r="AE1327" s="36">
        <v>73</v>
      </c>
      <c r="AF1327" s="71">
        <v>14.89</v>
      </c>
      <c r="AG1327" s="37">
        <v>0</v>
      </c>
      <c r="AH1327" s="37">
        <v>0</v>
      </c>
      <c r="AI1327" s="37">
        <v>96</v>
      </c>
      <c r="AJ1327" s="37">
        <v>3</v>
      </c>
      <c r="AK1327" s="37" t="str">
        <f>VLOOKUP(Mecze[[#This Row],[Match ID]],Meczusie[Mecz]:Meczusie[RodzajMeczu],2,FALSE)</f>
        <v>Liga</v>
      </c>
    </row>
    <row r="1328" spans="1:37" x14ac:dyDescent="0.25">
      <c r="A1328" s="76">
        <v>11</v>
      </c>
      <c r="B1328" s="3" t="s">
        <v>270</v>
      </c>
      <c r="C1328" s="2" t="s">
        <v>165</v>
      </c>
      <c r="D1328" s="1">
        <v>3</v>
      </c>
      <c r="E1328" s="1">
        <v>5</v>
      </c>
      <c r="F1328" s="1">
        <v>5</v>
      </c>
      <c r="G1328" s="1">
        <v>8</v>
      </c>
      <c r="H1328" s="4">
        <v>1</v>
      </c>
      <c r="I1328" s="1">
        <v>0</v>
      </c>
      <c r="J1328" s="4"/>
      <c r="K1328" s="1">
        <v>0</v>
      </c>
      <c r="L1328" s="1">
        <v>2</v>
      </c>
      <c r="M1328" s="32">
        <f>IF(Mecze[[#This Row],[PR]]=0,0,Mecze[[#This Row],[PR]]/Mecze[[#This Row],[CZAS]])</f>
        <v>2.0833333333333332E-2</v>
      </c>
      <c r="N1328" s="32">
        <f>IF(Mecze[[#This Row],[OU]]=0,0,Mecze[[#This Row],[OU]]/Mecze[[#This Row],[CZAS]])</f>
        <v>0</v>
      </c>
      <c r="O1328" s="32">
        <f>IF(Mecze[[#This Row],[PC]]=0,0,Mecze[[#This Row],[PC]]/Mecze[[#This Row],[CZAS]])</f>
        <v>8.3333333333333329E-2</v>
      </c>
      <c r="P1328" s="32">
        <f>IF(Mecze[[#This Row],[SC]]=0,0,Mecze[[#This Row],[SC]]/Mecze[[#This Row],[CZAS]])</f>
        <v>5.2083333333333336E-2</v>
      </c>
      <c r="Q1328" s="32">
        <f>IF(Mecze[[#This Row],[OB]]=0,0,Mecze[[#This Row],[OB]]/Mecze[[#This Row],[CZAS]])</f>
        <v>0</v>
      </c>
      <c r="R1328" s="32">
        <f>IF(Mecze[[#This Row],[BR]]=0,0,Mecze[[#This Row],[BR]]/Mecze[[#This Row],[CZAS]])</f>
        <v>3.125E-2</v>
      </c>
      <c r="S1328" s="44">
        <f>IF(Mecze[[#This Row],[Role]]="BR",SUMPRODUCT(Mecze[[#This Row],[/PR:90]:[/BR:90]],Brudnopis!$E$23:$J$23),0)</f>
        <v>0</v>
      </c>
      <c r="T1328" s="44">
        <f>IF(Mecze[[#This Row],[Role]]&lt;&gt;"BR",SUMPRODUCT(Mecze[[#This Row],[/PR:90]:[/BR:90]],Brudnopis!$E$24:$J$24),0)</f>
        <v>0.203125</v>
      </c>
      <c r="U1328" s="44">
        <f>IF(Mecze[[#This Row],[Role]]&lt;&gt;"BR",SUMPRODUCT(Mecze[[#This Row],[/PR:90]:[/BR:90]],Brudnopis!$E$25:$J$25),0)</f>
        <v>0.24479166666666669</v>
      </c>
      <c r="V1328" s="44">
        <f>IF(Mecze[[#This Row],[Role]]&lt;&gt;"BR",SUMPRODUCT(Mecze[[#This Row],[/PR:90]:[/BR:90]],Brudnopis!$E$26:$J$26),0)</f>
        <v>0.21875</v>
      </c>
      <c r="W1328" s="44">
        <f>IF(Mecze[[#This Row],[Role]]&lt;&gt;"BR",SUMPRODUCT(Mecze[[#This Row],[/PR:90]:[/BR:90]],Brudnopis!$E$27:$J$27),0)</f>
        <v>0.25520833333333337</v>
      </c>
      <c r="X1328" s="44">
        <f>IF(Mecze[[#This Row],[Role]]&lt;&gt;"BR",SUMPRODUCT(Mecze[[#This Row],[/PR:90]:[/BR:90]],Brudnopis!$E$28:$J$28),0)</f>
        <v>0.28125</v>
      </c>
      <c r="Y1328" s="35">
        <f>IF(Mecze[[#This Row],[Role]]="BR",Mecze[[#This Row],[/OB:90]]+Mecze[[#This Row],[/PC:90]],SUM(Mecze[[#This Row],[/PR:90]:[/BR:90]]))</f>
        <v>0.1875</v>
      </c>
      <c r="Z1328" s="35">
        <f>IF(Mecze[[#This Row],[KC]]=0,SUM(Mecze[[#This Row],[/BRI]:[/NPI]]),SUM(Mecze[[#This Row],[/BRI]:[/NPI]])*0.6)</f>
        <v>1.203125</v>
      </c>
      <c r="AA1328" s="10">
        <f>IFERROR(Mecze[[#This Row],[BR]]/Mecze[[#This Row],[ST]],0)</f>
        <v>0.6</v>
      </c>
      <c r="AB1328">
        <f>ROUND(Mecze[[#This Row],[PD]]*Mecze[[#This Row],[%PC]],0)</f>
        <v>8</v>
      </c>
      <c r="AC1328">
        <f>ROUND(Mecze[[#This Row],[OD]]*Mecze[[#This Row],[%OU]],0)</f>
        <v>0</v>
      </c>
      <c r="AD1328" s="36" t="s">
        <v>273</v>
      </c>
      <c r="AE1328" s="36">
        <v>73</v>
      </c>
      <c r="AF1328" s="71">
        <v>15.07</v>
      </c>
      <c r="AG1328" s="37">
        <v>0</v>
      </c>
      <c r="AH1328" s="37">
        <v>0</v>
      </c>
      <c r="AI1328" s="37">
        <v>96</v>
      </c>
      <c r="AJ1328" s="37">
        <v>3</v>
      </c>
      <c r="AK1328" s="37" t="str">
        <f>VLOOKUP(Mecze[[#This Row],[Match ID]],Meczusie[Mecz]:Meczusie[RodzajMeczu],2,FALSE)</f>
        <v>Liga</v>
      </c>
    </row>
    <row r="1329" spans="1:37" x14ac:dyDescent="0.25">
      <c r="A1329" s="76">
        <v>10</v>
      </c>
      <c r="B1329" s="3" t="s">
        <v>271</v>
      </c>
      <c r="C1329" s="2" t="s">
        <v>165</v>
      </c>
      <c r="D1329" s="1">
        <v>0</v>
      </c>
      <c r="E1329" s="1">
        <v>5</v>
      </c>
      <c r="F1329" s="1">
        <v>5</v>
      </c>
      <c r="G1329" s="1">
        <v>5</v>
      </c>
      <c r="H1329" s="4">
        <v>1</v>
      </c>
      <c r="I1329" s="1">
        <v>2</v>
      </c>
      <c r="J1329" s="4">
        <v>0.5</v>
      </c>
      <c r="K1329" s="1">
        <v>0</v>
      </c>
      <c r="L1329" s="1">
        <v>0</v>
      </c>
      <c r="M1329" s="32">
        <f>IF(Mecze[[#This Row],[PR]]=0,0,Mecze[[#This Row],[PR]]/Mecze[[#This Row],[CZAS]])</f>
        <v>0</v>
      </c>
      <c r="N1329" s="32">
        <f>IF(Mecze[[#This Row],[OU]]=0,0,Mecze[[#This Row],[OU]]/Mecze[[#This Row],[CZAS]])</f>
        <v>1.0416666666666666E-2</v>
      </c>
      <c r="O1329" s="32">
        <f>IF(Mecze[[#This Row],[PC]]=0,0,Mecze[[#This Row],[PC]]/Mecze[[#This Row],[CZAS]])</f>
        <v>5.2083333333333336E-2</v>
      </c>
      <c r="P1329" s="32">
        <f>IF(Mecze[[#This Row],[SC]]=0,0,Mecze[[#This Row],[SC]]/Mecze[[#This Row],[CZAS]])</f>
        <v>5.2083333333333336E-2</v>
      </c>
      <c r="Q1329" s="32">
        <f>IF(Mecze[[#This Row],[OB]]=0,0,Mecze[[#This Row],[OB]]/Mecze[[#This Row],[CZAS]])</f>
        <v>0</v>
      </c>
      <c r="R1329" s="32">
        <f>IF(Mecze[[#This Row],[BR]]=0,0,Mecze[[#This Row],[BR]]/Mecze[[#This Row],[CZAS]])</f>
        <v>0</v>
      </c>
      <c r="S1329" s="44">
        <f>IF(Mecze[[#This Row],[Role]]="BR",SUMPRODUCT(Mecze[[#This Row],[/PR:90]:[/BR:90]],Brudnopis!$E$23:$J$23),0)</f>
        <v>0</v>
      </c>
      <c r="T1329" s="44">
        <f>IF(Mecze[[#This Row],[Role]]&lt;&gt;"BR",SUMPRODUCT(Mecze[[#This Row],[/PR:90]:[/BR:90]],Brudnopis!$E$24:$J$24),0)</f>
        <v>0.11979166666666669</v>
      </c>
      <c r="U1329" s="44">
        <f>IF(Mecze[[#This Row],[Role]]&lt;&gt;"BR",SUMPRODUCT(Mecze[[#This Row],[/PR:90]:[/BR:90]],Brudnopis!$E$25:$J$25),0)</f>
        <v>0.140625</v>
      </c>
      <c r="V1329" s="44">
        <f>IF(Mecze[[#This Row],[Role]]&lt;&gt;"BR",SUMPRODUCT(Mecze[[#This Row],[/PR:90]:[/BR:90]],Brudnopis!$E$26:$J$26),0)</f>
        <v>0.11458333333333334</v>
      </c>
      <c r="W1329" s="44">
        <f>IF(Mecze[[#This Row],[Role]]&lt;&gt;"BR",SUMPRODUCT(Mecze[[#This Row],[/PR:90]:[/BR:90]],Brudnopis!$E$27:$J$27),0)</f>
        <v>0.13802083333333334</v>
      </c>
      <c r="X1329" s="44">
        <f>IF(Mecze[[#This Row],[Role]]&lt;&gt;"BR",SUMPRODUCT(Mecze[[#This Row],[/PR:90]:[/BR:90]],Brudnopis!$E$28:$J$28),0)</f>
        <v>0.15625</v>
      </c>
      <c r="Y1329" s="35">
        <f>IF(Mecze[[#This Row],[Role]]="BR",Mecze[[#This Row],[/OB:90]]+Mecze[[#This Row],[/PC:90]],SUM(Mecze[[#This Row],[/PR:90]:[/BR:90]]))</f>
        <v>0.11458333333333334</v>
      </c>
      <c r="Z1329" s="35">
        <f>IF(Mecze[[#This Row],[KC]]=0,SUM(Mecze[[#This Row],[/BRI]:[/NPI]]),SUM(Mecze[[#This Row],[/BRI]:[/NPI]])*0.6)</f>
        <v>0.66927083333333337</v>
      </c>
      <c r="AA1329" s="10">
        <f>IFERROR(Mecze[[#This Row],[BR]]/Mecze[[#This Row],[ST]],0)</f>
        <v>0</v>
      </c>
      <c r="AB1329">
        <f>ROUND(Mecze[[#This Row],[PD]]*Mecze[[#This Row],[%PC]],0)</f>
        <v>5</v>
      </c>
      <c r="AC1329">
        <f>ROUND(Mecze[[#This Row],[OD]]*Mecze[[#This Row],[%OU]],0)</f>
        <v>1</v>
      </c>
      <c r="AD1329" s="36" t="s">
        <v>46</v>
      </c>
      <c r="AE1329" s="36">
        <v>73</v>
      </c>
      <c r="AF1329" s="71">
        <v>8.17</v>
      </c>
      <c r="AG1329" s="37">
        <v>0</v>
      </c>
      <c r="AH1329" s="37">
        <v>0</v>
      </c>
      <c r="AI1329" s="37">
        <v>96</v>
      </c>
      <c r="AJ1329" s="37">
        <v>3</v>
      </c>
      <c r="AK1329" s="37" t="str">
        <f>VLOOKUP(Mecze[[#This Row],[Match ID]],Meczusie[Mecz]:Meczusie[RodzajMeczu],2,FALSE)</f>
        <v>Liga</v>
      </c>
    </row>
    <row r="1330" spans="1:37" x14ac:dyDescent="0.25">
      <c r="A1330" s="76">
        <v>1</v>
      </c>
      <c r="B1330" s="3" t="s">
        <v>288</v>
      </c>
      <c r="C1330" s="2" t="s">
        <v>155</v>
      </c>
      <c r="D1330" s="1">
        <v>0</v>
      </c>
      <c r="E1330" s="1">
        <v>0</v>
      </c>
      <c r="F1330" s="1">
        <v>0</v>
      </c>
      <c r="G1330" s="1">
        <v>14</v>
      </c>
      <c r="H1330" s="4">
        <v>0.71</v>
      </c>
      <c r="I1330" s="1">
        <v>0</v>
      </c>
      <c r="J1330" s="4"/>
      <c r="K1330" s="1">
        <v>21</v>
      </c>
      <c r="L1330" s="1">
        <v>0</v>
      </c>
      <c r="M1330" s="32">
        <f>IF(Mecze[[#This Row],[PR]]=0,0,Mecze[[#This Row],[PR]]/Mecze[[#This Row],[CZAS]])</f>
        <v>0</v>
      </c>
      <c r="N1330" s="32">
        <f>IF(Mecze[[#This Row],[OU]]=0,0,Mecze[[#This Row],[OU]]/Mecze[[#This Row],[CZAS]])</f>
        <v>0</v>
      </c>
      <c r="O1330" s="32">
        <f>IF(Mecze[[#This Row],[PC]]=0,0,Mecze[[#This Row],[PC]]/Mecze[[#This Row],[CZAS]])</f>
        <v>0.10416666666666667</v>
      </c>
      <c r="P1330" s="32">
        <f>IF(Mecze[[#This Row],[SC]]=0,0,Mecze[[#This Row],[SC]]/Mecze[[#This Row],[CZAS]])</f>
        <v>0</v>
      </c>
      <c r="Q1330" s="32">
        <f>IF(Mecze[[#This Row],[OB]]=0,0,Mecze[[#This Row],[OB]]/Mecze[[#This Row],[CZAS]])</f>
        <v>0.21875</v>
      </c>
      <c r="R1330" s="32">
        <f>IF(Mecze[[#This Row],[BR]]=0,0,Mecze[[#This Row],[BR]]/Mecze[[#This Row],[CZAS]])</f>
        <v>0</v>
      </c>
      <c r="S1330" s="44">
        <f>IF(Mecze[[#This Row],[Role]]="BR",SUMPRODUCT(Mecze[[#This Row],[/PR:90]:[/BR:90]],Brudnopis!$E$23:$J$23),0)</f>
        <v>0.96875</v>
      </c>
      <c r="T1330" s="44">
        <f>IF(Mecze[[#This Row],[Role]]&lt;&gt;"BR",SUMPRODUCT(Mecze[[#This Row],[/PR:90]:[/BR:90]],Brudnopis!$E$24:$J$24),0)</f>
        <v>0</v>
      </c>
      <c r="U1330" s="44">
        <f>IF(Mecze[[#This Row],[Role]]&lt;&gt;"BR",SUMPRODUCT(Mecze[[#This Row],[/PR:90]:[/BR:90]],Brudnopis!$E$25:$J$25),0)</f>
        <v>0</v>
      </c>
      <c r="V1330" s="44">
        <f>IF(Mecze[[#This Row],[Role]]&lt;&gt;"BR",SUMPRODUCT(Mecze[[#This Row],[/PR:90]:[/BR:90]],Brudnopis!$E$26:$J$26),0)</f>
        <v>0</v>
      </c>
      <c r="W1330" s="44">
        <f>IF(Mecze[[#This Row],[Role]]&lt;&gt;"BR",SUMPRODUCT(Mecze[[#This Row],[/PR:90]:[/BR:90]],Brudnopis!$E$27:$J$27),0)</f>
        <v>0</v>
      </c>
      <c r="X1330" s="44">
        <f>IF(Mecze[[#This Row],[Role]]&lt;&gt;"BR",SUMPRODUCT(Mecze[[#This Row],[/PR:90]:[/BR:90]],Brudnopis!$E$28:$J$28),0)</f>
        <v>0</v>
      </c>
      <c r="Y1330" s="35">
        <f>IF(Mecze[[#This Row],[Role]]="BR",Mecze[[#This Row],[/OB:90]]+Mecze[[#This Row],[/PC:90]],SUM(Mecze[[#This Row],[/PR:90]:[/BR:90]]))</f>
        <v>0.32291666666666669</v>
      </c>
      <c r="Z1330" s="35">
        <f>IF(Mecze[[#This Row],[KC]]=0,SUM(Mecze[[#This Row],[/BRI]:[/NPI]]),SUM(Mecze[[#This Row],[/BRI]:[/NPI]])*0.6)</f>
        <v>0.96875</v>
      </c>
      <c r="AA1330" s="10">
        <f>IFERROR(Mecze[[#This Row],[BR]]/Mecze[[#This Row],[ST]],0)</f>
        <v>0</v>
      </c>
      <c r="AB1330">
        <f>ROUND(Mecze[[#This Row],[PD]]*Mecze[[#This Row],[%PC]],0)</f>
        <v>10</v>
      </c>
      <c r="AC1330">
        <f>ROUND(Mecze[[#This Row],[OD]]*Mecze[[#This Row],[%OU]],0)</f>
        <v>0</v>
      </c>
      <c r="AD1330" s="36" t="s">
        <v>40</v>
      </c>
      <c r="AE1330" s="36">
        <v>73</v>
      </c>
      <c r="AF1330" s="71">
        <v>6.82</v>
      </c>
      <c r="AG1330" s="37">
        <v>0</v>
      </c>
      <c r="AH1330" s="37">
        <v>0</v>
      </c>
      <c r="AI1330" s="37">
        <v>96</v>
      </c>
      <c r="AJ1330" s="37">
        <v>9</v>
      </c>
      <c r="AK1330" s="37" t="str">
        <f>VLOOKUP(Mecze[[#This Row],[Match ID]],Meczusie[Mecz]:Meczusie[RodzajMeczu],2,FALSE)</f>
        <v>Liga</v>
      </c>
    </row>
    <row r="1331" spans="1:37" x14ac:dyDescent="0.25">
      <c r="A1331" s="76">
        <v>4</v>
      </c>
      <c r="B1331" s="3" t="s">
        <v>289</v>
      </c>
      <c r="C1331" s="2" t="s">
        <v>157</v>
      </c>
      <c r="D1331" s="1">
        <v>0</v>
      </c>
      <c r="E1331" s="1">
        <v>0</v>
      </c>
      <c r="F1331" s="1">
        <v>0</v>
      </c>
      <c r="G1331" s="1">
        <v>8</v>
      </c>
      <c r="H1331" s="4">
        <v>0.5</v>
      </c>
      <c r="I1331" s="1">
        <v>6</v>
      </c>
      <c r="J1331" s="4">
        <v>0.33</v>
      </c>
      <c r="K1331" s="1">
        <v>0</v>
      </c>
      <c r="L1331" s="1">
        <v>3</v>
      </c>
      <c r="M1331" s="32">
        <f>IF(Mecze[[#This Row],[PR]]=0,0,Mecze[[#This Row],[PR]]/Mecze[[#This Row],[CZAS]])</f>
        <v>3.125E-2</v>
      </c>
      <c r="N1331" s="32">
        <f>IF(Mecze[[#This Row],[OU]]=0,0,Mecze[[#This Row],[OU]]/Mecze[[#This Row],[CZAS]])</f>
        <v>2.0833333333333332E-2</v>
      </c>
      <c r="O1331" s="32">
        <f>IF(Mecze[[#This Row],[PC]]=0,0,Mecze[[#This Row],[PC]]/Mecze[[#This Row],[CZAS]])</f>
        <v>4.1666666666666664E-2</v>
      </c>
      <c r="P1331" s="32">
        <f>IF(Mecze[[#This Row],[SC]]=0,0,Mecze[[#This Row],[SC]]/Mecze[[#This Row],[CZAS]])</f>
        <v>0</v>
      </c>
      <c r="Q1331" s="32">
        <f>IF(Mecze[[#This Row],[OB]]=0,0,Mecze[[#This Row],[OB]]/Mecze[[#This Row],[CZAS]])</f>
        <v>0</v>
      </c>
      <c r="R1331" s="32">
        <f>IF(Mecze[[#This Row],[BR]]=0,0,Mecze[[#This Row],[BR]]/Mecze[[#This Row],[CZAS]])</f>
        <v>0</v>
      </c>
      <c r="S1331" s="44">
        <f>IF(Mecze[[#This Row],[Role]]="BR",SUMPRODUCT(Mecze[[#This Row],[/PR:90]:[/BR:90]],Brudnopis!$E$23:$J$23),0)</f>
        <v>0</v>
      </c>
      <c r="T1331" s="44">
        <f>IF(Mecze[[#This Row],[Role]]&lt;&gt;"BR",SUMPRODUCT(Mecze[[#This Row],[/PR:90]:[/BR:90]],Brudnopis!$E$24:$J$24),0)</f>
        <v>0.10416666666666666</v>
      </c>
      <c r="U1331" s="44">
        <f>IF(Mecze[[#This Row],[Role]]&lt;&gt;"BR",SUMPRODUCT(Mecze[[#This Row],[/PR:90]:[/BR:90]],Brudnopis!$E$25:$J$25),0)</f>
        <v>0.11458333333333333</v>
      </c>
      <c r="V1331" s="44">
        <f>IF(Mecze[[#This Row],[Role]]&lt;&gt;"BR",SUMPRODUCT(Mecze[[#This Row],[/PR:90]:[/BR:90]],Brudnopis!$E$26:$J$26),0)</f>
        <v>9.375E-2</v>
      </c>
      <c r="W1331" s="44">
        <f>IF(Mecze[[#This Row],[Role]]&lt;&gt;"BR",SUMPRODUCT(Mecze[[#This Row],[/PR:90]:[/BR:90]],Brudnopis!$E$27:$J$27),0)</f>
        <v>0.1015625</v>
      </c>
      <c r="X1331" s="44">
        <f>IF(Mecze[[#This Row],[Role]]&lt;&gt;"BR",SUMPRODUCT(Mecze[[#This Row],[/PR:90]:[/BR:90]],Brudnopis!$E$28:$J$28),0)</f>
        <v>4.1666666666666664E-2</v>
      </c>
      <c r="Y1331" s="35">
        <f>IF(Mecze[[#This Row],[Role]]="BR",Mecze[[#This Row],[/OB:90]]+Mecze[[#This Row],[/PC:90]],SUM(Mecze[[#This Row],[/PR:90]:[/BR:90]]))</f>
        <v>9.375E-2</v>
      </c>
      <c r="Z1331" s="35">
        <f>IF(Mecze[[#This Row],[KC]]=0,SUM(Mecze[[#This Row],[/BRI]:[/NPI]]),SUM(Mecze[[#This Row],[/BRI]:[/NPI]])*0.6)</f>
        <v>0.45572916666666669</v>
      </c>
      <c r="AA1331" s="10">
        <f>IFERROR(Mecze[[#This Row],[BR]]/Mecze[[#This Row],[ST]],0)</f>
        <v>0</v>
      </c>
      <c r="AB1331">
        <f>ROUND(Mecze[[#This Row],[PD]]*Mecze[[#This Row],[%PC]],0)</f>
        <v>4</v>
      </c>
      <c r="AC1331">
        <f>ROUND(Mecze[[#This Row],[OD]]*Mecze[[#This Row],[%OU]],0)</f>
        <v>2</v>
      </c>
      <c r="AD1331" s="36" t="s">
        <v>168</v>
      </c>
      <c r="AE1331" s="36">
        <v>73</v>
      </c>
      <c r="AF1331" s="71">
        <v>-1.1200000000000001</v>
      </c>
      <c r="AG1331" s="37">
        <v>0</v>
      </c>
      <c r="AH1331" s="37">
        <v>0</v>
      </c>
      <c r="AI1331" s="37">
        <v>96</v>
      </c>
      <c r="AJ1331" s="37">
        <v>9</v>
      </c>
      <c r="AK1331" s="37" t="str">
        <f>VLOOKUP(Mecze[[#This Row],[Match ID]],Meczusie[Mecz]:Meczusie[RodzajMeczu],2,FALSE)</f>
        <v>Liga</v>
      </c>
    </row>
    <row r="1332" spans="1:37" x14ac:dyDescent="0.25">
      <c r="A1332" s="76">
        <v>2</v>
      </c>
      <c r="B1332" s="3" t="s">
        <v>290</v>
      </c>
      <c r="C1332" s="2" t="s">
        <v>157</v>
      </c>
      <c r="D1332" s="1">
        <v>0</v>
      </c>
      <c r="E1332" s="1">
        <v>1</v>
      </c>
      <c r="F1332" s="1">
        <v>0</v>
      </c>
      <c r="G1332" s="1">
        <v>17</v>
      </c>
      <c r="H1332" s="4">
        <v>0.76</v>
      </c>
      <c r="I1332" s="1">
        <v>10</v>
      </c>
      <c r="J1332" s="4">
        <v>0.3</v>
      </c>
      <c r="K1332" s="1">
        <v>0</v>
      </c>
      <c r="L1332" s="1">
        <v>3</v>
      </c>
      <c r="M1332" s="32">
        <f>IF(Mecze[[#This Row],[PR]]=0,0,Mecze[[#This Row],[PR]]/Mecze[[#This Row],[CZAS]])</f>
        <v>3.125E-2</v>
      </c>
      <c r="N1332" s="32">
        <f>IF(Mecze[[#This Row],[OU]]=0,0,Mecze[[#This Row],[OU]]/Mecze[[#This Row],[CZAS]])</f>
        <v>3.125E-2</v>
      </c>
      <c r="O1332" s="32">
        <f>IF(Mecze[[#This Row],[PC]]=0,0,Mecze[[#This Row],[PC]]/Mecze[[#This Row],[CZAS]])</f>
        <v>0.13541666666666666</v>
      </c>
      <c r="P1332" s="32">
        <f>IF(Mecze[[#This Row],[SC]]=0,0,Mecze[[#This Row],[SC]]/Mecze[[#This Row],[CZAS]])</f>
        <v>0</v>
      </c>
      <c r="Q1332" s="32">
        <f>IF(Mecze[[#This Row],[OB]]=0,0,Mecze[[#This Row],[OB]]/Mecze[[#This Row],[CZAS]])</f>
        <v>0</v>
      </c>
      <c r="R1332" s="32">
        <f>IF(Mecze[[#This Row],[BR]]=0,0,Mecze[[#This Row],[BR]]/Mecze[[#This Row],[CZAS]])</f>
        <v>0</v>
      </c>
      <c r="S1332" s="44">
        <f>IF(Mecze[[#This Row],[Role]]="BR",SUMPRODUCT(Mecze[[#This Row],[/PR:90]:[/BR:90]],Brudnopis!$E$23:$J$23),0)</f>
        <v>0</v>
      </c>
      <c r="T1332" s="44">
        <f>IF(Mecze[[#This Row],[Role]]&lt;&gt;"BR",SUMPRODUCT(Mecze[[#This Row],[/PR:90]:[/BR:90]],Brudnopis!$E$24:$J$24),0)</f>
        <v>0.21354166666666666</v>
      </c>
      <c r="U1332" s="44">
        <f>IF(Mecze[[#This Row],[Role]]&lt;&gt;"BR",SUMPRODUCT(Mecze[[#This Row],[/PR:90]:[/BR:90]],Brudnopis!$E$25:$J$25),0)</f>
        <v>0.265625</v>
      </c>
      <c r="V1332" s="44">
        <f>IF(Mecze[[#This Row],[Role]]&lt;&gt;"BR",SUMPRODUCT(Mecze[[#This Row],[/PR:90]:[/BR:90]],Brudnopis!$E$26:$J$26),0)</f>
        <v>0.19791666666666666</v>
      </c>
      <c r="W1332" s="44">
        <f>IF(Mecze[[#This Row],[Role]]&lt;&gt;"BR",SUMPRODUCT(Mecze[[#This Row],[/PR:90]:[/BR:90]],Brudnopis!$E$27:$J$27),0)</f>
        <v>0.25</v>
      </c>
      <c r="X1332" s="44">
        <f>IF(Mecze[[#This Row],[Role]]&lt;&gt;"BR",SUMPRODUCT(Mecze[[#This Row],[/PR:90]:[/BR:90]],Brudnopis!$E$28:$J$28),0)</f>
        <v>0.13541666666666666</v>
      </c>
      <c r="Y1332" s="35">
        <f>IF(Mecze[[#This Row],[Role]]="BR",Mecze[[#This Row],[/OB:90]]+Mecze[[#This Row],[/PC:90]],SUM(Mecze[[#This Row],[/PR:90]:[/BR:90]]))</f>
        <v>0.19791666666666666</v>
      </c>
      <c r="Z1332" s="35">
        <f>IF(Mecze[[#This Row],[KC]]=0,SUM(Mecze[[#This Row],[/BRI]:[/NPI]]),SUM(Mecze[[#This Row],[/BRI]:[/NPI]])*0.6)</f>
        <v>1.0625</v>
      </c>
      <c r="AA1332" s="10">
        <f>IFERROR(Mecze[[#This Row],[BR]]/Mecze[[#This Row],[ST]],0)</f>
        <v>0</v>
      </c>
      <c r="AB1332">
        <f>ROUND(Mecze[[#This Row],[PD]]*Mecze[[#This Row],[%PC]],0)</f>
        <v>13</v>
      </c>
      <c r="AC1332">
        <f>ROUND(Mecze[[#This Row],[OD]]*Mecze[[#This Row],[%OU]],0)</f>
        <v>3</v>
      </c>
      <c r="AD1332" s="36" t="s">
        <v>47</v>
      </c>
      <c r="AE1332" s="36">
        <v>73</v>
      </c>
      <c r="AF1332" s="71">
        <v>-1.1200000000000001</v>
      </c>
      <c r="AG1332" s="37">
        <v>0</v>
      </c>
      <c r="AH1332" s="37">
        <v>0</v>
      </c>
      <c r="AI1332" s="37">
        <v>96</v>
      </c>
      <c r="AJ1332" s="37">
        <v>9</v>
      </c>
      <c r="AK1332" s="37" t="str">
        <f>VLOOKUP(Mecze[[#This Row],[Match ID]],Meczusie[Mecz]:Meczusie[RodzajMeczu],2,FALSE)</f>
        <v>Liga</v>
      </c>
    </row>
    <row r="1333" spans="1:37" x14ac:dyDescent="0.25">
      <c r="A1333" s="76">
        <v>16</v>
      </c>
      <c r="B1333" s="3" t="s">
        <v>405</v>
      </c>
      <c r="C1333" s="2" t="s">
        <v>157</v>
      </c>
      <c r="D1333" s="1">
        <v>0</v>
      </c>
      <c r="E1333" s="1">
        <v>0</v>
      </c>
      <c r="F1333" s="1">
        <v>0</v>
      </c>
      <c r="G1333" s="1">
        <v>6</v>
      </c>
      <c r="H1333" s="4">
        <v>0.5</v>
      </c>
      <c r="I1333" s="1">
        <v>8</v>
      </c>
      <c r="J1333" s="4">
        <v>0.5</v>
      </c>
      <c r="K1333" s="1">
        <v>0</v>
      </c>
      <c r="L1333" s="1">
        <v>0</v>
      </c>
      <c r="M1333" s="32">
        <f>IF(Mecze[[#This Row],[PR]]=0,0,Mecze[[#This Row],[PR]]/Mecze[[#This Row],[CZAS]])</f>
        <v>0</v>
      </c>
      <c r="N1333" s="32">
        <f>IF(Mecze[[#This Row],[OU]]=0,0,Mecze[[#This Row],[OU]]/Mecze[[#This Row],[CZAS]])</f>
        <v>4.1666666666666664E-2</v>
      </c>
      <c r="O1333" s="32">
        <f>IF(Mecze[[#This Row],[PC]]=0,0,Mecze[[#This Row],[PC]]/Mecze[[#This Row],[CZAS]])</f>
        <v>3.125E-2</v>
      </c>
      <c r="P1333" s="32">
        <f>IF(Mecze[[#This Row],[SC]]=0,0,Mecze[[#This Row],[SC]]/Mecze[[#This Row],[CZAS]])</f>
        <v>0</v>
      </c>
      <c r="Q1333" s="32">
        <f>IF(Mecze[[#This Row],[OB]]=0,0,Mecze[[#This Row],[OB]]/Mecze[[#This Row],[CZAS]])</f>
        <v>0</v>
      </c>
      <c r="R1333" s="32">
        <f>IF(Mecze[[#This Row],[BR]]=0,0,Mecze[[#This Row],[BR]]/Mecze[[#This Row],[CZAS]])</f>
        <v>0</v>
      </c>
      <c r="S1333" s="44">
        <f>IF(Mecze[[#This Row],[Role]]="BR",SUMPRODUCT(Mecze[[#This Row],[/PR:90]:[/BR:90]],Brudnopis!$E$23:$J$23),0)</f>
        <v>0</v>
      </c>
      <c r="T1333" s="44">
        <f>IF(Mecze[[#This Row],[Role]]&lt;&gt;"BR",SUMPRODUCT(Mecze[[#This Row],[/PR:90]:[/BR:90]],Brudnopis!$E$24:$J$24),0)</f>
        <v>9.375E-2</v>
      </c>
      <c r="U1333" s="44">
        <f>IF(Mecze[[#This Row],[Role]]&lt;&gt;"BR",SUMPRODUCT(Mecze[[#This Row],[/PR:90]:[/BR:90]],Brudnopis!$E$25:$J$25),0)</f>
        <v>8.8541666666666657E-2</v>
      </c>
      <c r="V1333" s="44">
        <f>IF(Mecze[[#This Row],[Role]]&lt;&gt;"BR",SUMPRODUCT(Mecze[[#This Row],[/PR:90]:[/BR:90]],Brudnopis!$E$26:$J$26),0)</f>
        <v>7.2916666666666657E-2</v>
      </c>
      <c r="W1333" s="44">
        <f>IF(Mecze[[#This Row],[Role]]&lt;&gt;"BR",SUMPRODUCT(Mecze[[#This Row],[/PR:90]:[/BR:90]],Brudnopis!$E$27:$J$27),0)</f>
        <v>7.8125E-2</v>
      </c>
      <c r="X1333" s="44">
        <f>IF(Mecze[[#This Row],[Role]]&lt;&gt;"BR",SUMPRODUCT(Mecze[[#This Row],[/PR:90]:[/BR:90]],Brudnopis!$E$28:$J$28),0)</f>
        <v>3.125E-2</v>
      </c>
      <c r="Y1333" s="35">
        <f>IF(Mecze[[#This Row],[Role]]="BR",Mecze[[#This Row],[/OB:90]]+Mecze[[#This Row],[/PC:90]],SUM(Mecze[[#This Row],[/PR:90]:[/BR:90]]))</f>
        <v>7.2916666666666657E-2</v>
      </c>
      <c r="Z1333" s="35">
        <f>IF(Mecze[[#This Row],[KC]]=0,SUM(Mecze[[#This Row],[/BRI]:[/NPI]]),SUM(Mecze[[#This Row],[/BRI]:[/NPI]])*0.6)</f>
        <v>0.36458333333333331</v>
      </c>
      <c r="AA1333" s="10">
        <f>IFERROR(Mecze[[#This Row],[BR]]/Mecze[[#This Row],[ST]],0)</f>
        <v>0</v>
      </c>
      <c r="AB1333">
        <f>ROUND(Mecze[[#This Row],[PD]]*Mecze[[#This Row],[%PC]],0)</f>
        <v>3</v>
      </c>
      <c r="AC1333">
        <f>ROUND(Mecze[[#This Row],[OD]]*Mecze[[#This Row],[%OU]],0)</f>
        <v>4</v>
      </c>
      <c r="AD1333" s="36" t="s">
        <v>167</v>
      </c>
      <c r="AE1333" s="36">
        <v>73</v>
      </c>
      <c r="AF1333" s="71">
        <v>-0.63</v>
      </c>
      <c r="AG1333" s="37">
        <v>0</v>
      </c>
      <c r="AH1333" s="37">
        <v>0</v>
      </c>
      <c r="AI1333" s="37">
        <v>96</v>
      </c>
      <c r="AJ1333" s="37">
        <v>9</v>
      </c>
      <c r="AK1333" s="37" t="str">
        <f>VLOOKUP(Mecze[[#This Row],[Match ID]],Meczusie[Mecz]:Meczusie[RodzajMeczu],2,FALSE)</f>
        <v>Liga</v>
      </c>
    </row>
    <row r="1334" spans="1:37" x14ac:dyDescent="0.25">
      <c r="A1334" s="76">
        <v>3</v>
      </c>
      <c r="B1334" s="3" t="s">
        <v>292</v>
      </c>
      <c r="C1334" s="2" t="s">
        <v>160</v>
      </c>
      <c r="D1334" s="1">
        <v>0</v>
      </c>
      <c r="E1334" s="1">
        <v>0</v>
      </c>
      <c r="F1334" s="1">
        <v>0</v>
      </c>
      <c r="G1334" s="1">
        <v>1</v>
      </c>
      <c r="H1334" s="4">
        <v>1</v>
      </c>
      <c r="I1334" s="1">
        <v>1</v>
      </c>
      <c r="J1334" s="4">
        <v>0</v>
      </c>
      <c r="K1334" s="1">
        <v>0</v>
      </c>
      <c r="L1334" s="1">
        <v>1</v>
      </c>
      <c r="M1334" s="32">
        <f>IF(Mecze[[#This Row],[PR]]=0,0,Mecze[[#This Row],[PR]]/Mecze[[#This Row],[CZAS]])</f>
        <v>1.0416666666666666E-2</v>
      </c>
      <c r="N1334" s="32">
        <f>IF(Mecze[[#This Row],[OU]]=0,0,Mecze[[#This Row],[OU]]/Mecze[[#This Row],[CZAS]])</f>
        <v>0</v>
      </c>
      <c r="O1334" s="32">
        <f>IF(Mecze[[#This Row],[PC]]=0,0,Mecze[[#This Row],[PC]]/Mecze[[#This Row],[CZAS]])</f>
        <v>1.0416666666666666E-2</v>
      </c>
      <c r="P1334" s="32">
        <f>IF(Mecze[[#This Row],[SC]]=0,0,Mecze[[#This Row],[SC]]/Mecze[[#This Row],[CZAS]])</f>
        <v>0</v>
      </c>
      <c r="Q1334" s="32">
        <f>IF(Mecze[[#This Row],[OB]]=0,0,Mecze[[#This Row],[OB]]/Mecze[[#This Row],[CZAS]])</f>
        <v>0</v>
      </c>
      <c r="R1334" s="32">
        <f>IF(Mecze[[#This Row],[BR]]=0,0,Mecze[[#This Row],[BR]]/Mecze[[#This Row],[CZAS]])</f>
        <v>0</v>
      </c>
      <c r="S1334" s="44">
        <f>IF(Mecze[[#This Row],[Role]]="BR",SUMPRODUCT(Mecze[[#This Row],[/PR:90]:[/BR:90]],Brudnopis!$E$23:$J$23),0)</f>
        <v>0</v>
      </c>
      <c r="T1334" s="44">
        <f>IF(Mecze[[#This Row],[Role]]&lt;&gt;"BR",SUMPRODUCT(Mecze[[#This Row],[/PR:90]:[/BR:90]],Brudnopis!$E$24:$J$24),0)</f>
        <v>2.0833333333333332E-2</v>
      </c>
      <c r="U1334" s="44">
        <f>IF(Mecze[[#This Row],[Role]]&lt;&gt;"BR",SUMPRODUCT(Mecze[[#This Row],[/PR:90]:[/BR:90]],Brudnopis!$E$25:$J$25),0)</f>
        <v>2.6041666666666664E-2</v>
      </c>
      <c r="V1334" s="44">
        <f>IF(Mecze[[#This Row],[Role]]&lt;&gt;"BR",SUMPRODUCT(Mecze[[#This Row],[/PR:90]:[/BR:90]],Brudnopis!$E$26:$J$26),0)</f>
        <v>2.0833333333333332E-2</v>
      </c>
      <c r="W1334" s="44">
        <f>IF(Mecze[[#This Row],[Role]]&lt;&gt;"BR",SUMPRODUCT(Mecze[[#This Row],[/PR:90]:[/BR:90]],Brudnopis!$E$27:$J$27),0)</f>
        <v>2.34375E-2</v>
      </c>
      <c r="X1334" s="44">
        <f>IF(Mecze[[#This Row],[Role]]&lt;&gt;"BR",SUMPRODUCT(Mecze[[#This Row],[/PR:90]:[/BR:90]],Brudnopis!$E$28:$J$28),0)</f>
        <v>1.0416666666666666E-2</v>
      </c>
      <c r="Y1334" s="35">
        <f>IF(Mecze[[#This Row],[Role]]="BR",Mecze[[#This Row],[/OB:90]]+Mecze[[#This Row],[/PC:90]],SUM(Mecze[[#This Row],[/PR:90]:[/BR:90]]))</f>
        <v>2.0833333333333332E-2</v>
      </c>
      <c r="Z1334" s="35">
        <f>IF(Mecze[[#This Row],[KC]]=0,SUM(Mecze[[#This Row],[/BRI]:[/NPI]]),SUM(Mecze[[#This Row],[/BRI]:[/NPI]])*0.6)</f>
        <v>0.1015625</v>
      </c>
      <c r="AA1334" s="10">
        <f>IFERROR(Mecze[[#This Row],[BR]]/Mecze[[#This Row],[ST]],0)</f>
        <v>0</v>
      </c>
      <c r="AB1334">
        <f>ROUND(Mecze[[#This Row],[PD]]*Mecze[[#This Row],[%PC]],0)</f>
        <v>1</v>
      </c>
      <c r="AC1334">
        <f>ROUND(Mecze[[#This Row],[OD]]*Mecze[[#This Row],[%OU]],0)</f>
        <v>0</v>
      </c>
      <c r="AD1334" s="36" t="s">
        <v>173</v>
      </c>
      <c r="AE1334" s="36">
        <v>73</v>
      </c>
      <c r="AF1334" s="71">
        <v>2.91</v>
      </c>
      <c r="AG1334" s="37">
        <v>0</v>
      </c>
      <c r="AH1334" s="37">
        <v>0</v>
      </c>
      <c r="AI1334" s="37">
        <v>96</v>
      </c>
      <c r="AJ1334" s="37">
        <v>9</v>
      </c>
      <c r="AK1334" s="37" t="str">
        <f>VLOOKUP(Mecze[[#This Row],[Match ID]],Meczusie[Mecz]:Meczusie[RodzajMeczu],2,FALSE)</f>
        <v>Liga</v>
      </c>
    </row>
    <row r="1335" spans="1:37" x14ac:dyDescent="0.25">
      <c r="A1335" s="76">
        <v>14</v>
      </c>
      <c r="B1335" s="3" t="s">
        <v>293</v>
      </c>
      <c r="C1335" s="2" t="s">
        <v>160</v>
      </c>
      <c r="D1335" s="1">
        <v>0</v>
      </c>
      <c r="E1335" s="1">
        <v>0</v>
      </c>
      <c r="F1335" s="1">
        <v>0</v>
      </c>
      <c r="G1335" s="1">
        <v>6</v>
      </c>
      <c r="H1335" s="4">
        <v>0.67</v>
      </c>
      <c r="I1335" s="1">
        <v>1</v>
      </c>
      <c r="J1335" s="4">
        <v>1</v>
      </c>
      <c r="K1335" s="1">
        <v>0</v>
      </c>
      <c r="L1335" s="1">
        <v>0</v>
      </c>
      <c r="M1335" s="32">
        <f>IF(Mecze[[#This Row],[PR]]=0,0,Mecze[[#This Row],[PR]]/Mecze[[#This Row],[CZAS]])</f>
        <v>0</v>
      </c>
      <c r="N1335" s="32">
        <f>IF(Mecze[[#This Row],[OU]]=0,0,Mecze[[#This Row],[OU]]/Mecze[[#This Row],[CZAS]])</f>
        <v>1.0416666666666666E-2</v>
      </c>
      <c r="O1335" s="32">
        <f>IF(Mecze[[#This Row],[PC]]=0,0,Mecze[[#This Row],[PC]]/Mecze[[#This Row],[CZAS]])</f>
        <v>4.1666666666666664E-2</v>
      </c>
      <c r="P1335" s="32">
        <f>IF(Mecze[[#This Row],[SC]]=0,0,Mecze[[#This Row],[SC]]/Mecze[[#This Row],[CZAS]])</f>
        <v>0</v>
      </c>
      <c r="Q1335" s="32">
        <f>IF(Mecze[[#This Row],[OB]]=0,0,Mecze[[#This Row],[OB]]/Mecze[[#This Row],[CZAS]])</f>
        <v>0</v>
      </c>
      <c r="R1335" s="32">
        <f>IF(Mecze[[#This Row],[BR]]=0,0,Mecze[[#This Row],[BR]]/Mecze[[#This Row],[CZAS]])</f>
        <v>0</v>
      </c>
      <c r="S1335" s="44">
        <f>IF(Mecze[[#This Row],[Role]]="BR",SUMPRODUCT(Mecze[[#This Row],[/PR:90]:[/BR:90]],Brudnopis!$E$23:$J$23),0)</f>
        <v>0</v>
      </c>
      <c r="T1335" s="44">
        <f>IF(Mecze[[#This Row],[Role]]&lt;&gt;"BR",SUMPRODUCT(Mecze[[#This Row],[/PR:90]:[/BR:90]],Brudnopis!$E$24:$J$24),0)</f>
        <v>5.7291666666666664E-2</v>
      </c>
      <c r="U1335" s="44">
        <f>IF(Mecze[[#This Row],[Role]]&lt;&gt;"BR",SUMPRODUCT(Mecze[[#This Row],[/PR:90]:[/BR:90]],Brudnopis!$E$25:$J$25),0)</f>
        <v>7.2916666666666671E-2</v>
      </c>
      <c r="V1335" s="44">
        <f>IF(Mecze[[#This Row],[Role]]&lt;&gt;"BR",SUMPRODUCT(Mecze[[#This Row],[/PR:90]:[/BR:90]],Brudnopis!$E$26:$J$26),0)</f>
        <v>5.2083333333333329E-2</v>
      </c>
      <c r="W1335" s="44">
        <f>IF(Mecze[[#This Row],[Role]]&lt;&gt;"BR",SUMPRODUCT(Mecze[[#This Row],[/PR:90]:[/BR:90]],Brudnopis!$E$27:$J$27),0)</f>
        <v>7.03125E-2</v>
      </c>
      <c r="X1335" s="44">
        <f>IF(Mecze[[#This Row],[Role]]&lt;&gt;"BR",SUMPRODUCT(Mecze[[#This Row],[/PR:90]:[/BR:90]],Brudnopis!$E$28:$J$28),0)</f>
        <v>4.1666666666666664E-2</v>
      </c>
      <c r="Y1335" s="35">
        <f>IF(Mecze[[#This Row],[Role]]="BR",Mecze[[#This Row],[/OB:90]]+Mecze[[#This Row],[/PC:90]],SUM(Mecze[[#This Row],[/PR:90]:[/BR:90]]))</f>
        <v>5.2083333333333329E-2</v>
      </c>
      <c r="Z1335" s="35">
        <f>IF(Mecze[[#This Row],[KC]]=0,SUM(Mecze[[#This Row],[/BRI]:[/NPI]]),SUM(Mecze[[#This Row],[/BRI]:[/NPI]])*0.6)</f>
        <v>0.29427083333333337</v>
      </c>
      <c r="AA1335" s="10">
        <f>IFERROR(Mecze[[#This Row],[BR]]/Mecze[[#This Row],[ST]],0)</f>
        <v>0</v>
      </c>
      <c r="AB1335">
        <f>ROUND(Mecze[[#This Row],[PD]]*Mecze[[#This Row],[%PC]],0)</f>
        <v>4</v>
      </c>
      <c r="AC1335">
        <f>ROUND(Mecze[[#This Row],[OD]]*Mecze[[#This Row],[%OU]],0)</f>
        <v>1</v>
      </c>
      <c r="AD1335" s="36" t="s">
        <v>172</v>
      </c>
      <c r="AE1335" s="36">
        <v>73</v>
      </c>
      <c r="AF1335" s="71">
        <v>3.91</v>
      </c>
      <c r="AG1335" s="37">
        <v>0</v>
      </c>
      <c r="AH1335" s="37">
        <v>0</v>
      </c>
      <c r="AI1335" s="37">
        <v>96</v>
      </c>
      <c r="AJ1335" s="37">
        <v>9</v>
      </c>
      <c r="AK1335" s="37" t="str">
        <f>VLOOKUP(Mecze[[#This Row],[Match ID]],Meczusie[Mecz]:Meczusie[RodzajMeczu],2,FALSE)</f>
        <v>Liga</v>
      </c>
    </row>
    <row r="1336" spans="1:37" x14ac:dyDescent="0.25">
      <c r="A1336" s="76">
        <v>8</v>
      </c>
      <c r="B1336" s="3" t="s">
        <v>294</v>
      </c>
      <c r="C1336" s="2" t="s">
        <v>160</v>
      </c>
      <c r="D1336" s="1">
        <v>0</v>
      </c>
      <c r="E1336" s="1">
        <v>3</v>
      </c>
      <c r="F1336" s="1">
        <v>3</v>
      </c>
      <c r="G1336" s="1">
        <v>19</v>
      </c>
      <c r="H1336" s="4">
        <v>0.79</v>
      </c>
      <c r="I1336" s="1">
        <v>8</v>
      </c>
      <c r="J1336" s="4">
        <v>0.25</v>
      </c>
      <c r="K1336" s="1">
        <v>0</v>
      </c>
      <c r="L1336" s="1">
        <v>7</v>
      </c>
      <c r="M1336" s="32">
        <f>IF(Mecze[[#This Row],[PR]]=0,0,Mecze[[#This Row],[PR]]/Mecze[[#This Row],[CZAS]])</f>
        <v>7.2916666666666671E-2</v>
      </c>
      <c r="N1336" s="32">
        <f>IF(Mecze[[#This Row],[OU]]=0,0,Mecze[[#This Row],[OU]]/Mecze[[#This Row],[CZAS]])</f>
        <v>2.0833333333333332E-2</v>
      </c>
      <c r="O1336" s="32">
        <f>IF(Mecze[[#This Row],[PC]]=0,0,Mecze[[#This Row],[PC]]/Mecze[[#This Row],[CZAS]])</f>
        <v>0.15625</v>
      </c>
      <c r="P1336" s="32">
        <f>IF(Mecze[[#This Row],[SC]]=0,0,Mecze[[#This Row],[SC]]/Mecze[[#This Row],[CZAS]])</f>
        <v>3.125E-2</v>
      </c>
      <c r="Q1336" s="32">
        <f>IF(Mecze[[#This Row],[OB]]=0,0,Mecze[[#This Row],[OB]]/Mecze[[#This Row],[CZAS]])</f>
        <v>0</v>
      </c>
      <c r="R1336" s="32">
        <f>IF(Mecze[[#This Row],[BR]]=0,0,Mecze[[#This Row],[BR]]/Mecze[[#This Row],[CZAS]])</f>
        <v>0</v>
      </c>
      <c r="S1336" s="44">
        <f>IF(Mecze[[#This Row],[Role]]="BR",SUMPRODUCT(Mecze[[#This Row],[/PR:90]:[/BR:90]],Brudnopis!$E$23:$J$23),0)</f>
        <v>0</v>
      </c>
      <c r="T1336" s="44">
        <f>IF(Mecze[[#This Row],[Role]]&lt;&gt;"BR",SUMPRODUCT(Mecze[[#This Row],[/PR:90]:[/BR:90]],Brudnopis!$E$24:$J$24),0)</f>
        <v>0.29166666666666669</v>
      </c>
      <c r="U1336" s="44">
        <f>IF(Mecze[[#This Row],[Role]]&lt;&gt;"BR",SUMPRODUCT(Mecze[[#This Row],[/PR:90]:[/BR:90]],Brudnopis!$E$25:$J$25),0)</f>
        <v>0.359375</v>
      </c>
      <c r="V1336" s="44">
        <f>IF(Mecze[[#This Row],[Role]]&lt;&gt;"BR",SUMPRODUCT(Mecze[[#This Row],[/PR:90]:[/BR:90]],Brudnopis!$E$26:$J$26),0)</f>
        <v>0.28125</v>
      </c>
      <c r="W1336" s="44">
        <f>IF(Mecze[[#This Row],[Role]]&lt;&gt;"BR",SUMPRODUCT(Mecze[[#This Row],[/PR:90]:[/BR:90]],Brudnopis!$E$27:$J$27),0)</f>
        <v>0.3359375</v>
      </c>
      <c r="X1336" s="44">
        <f>IF(Mecze[[#This Row],[Role]]&lt;&gt;"BR",SUMPRODUCT(Mecze[[#This Row],[/PR:90]:[/BR:90]],Brudnopis!$E$28:$J$28),0)</f>
        <v>0.21875</v>
      </c>
      <c r="Y1336" s="35">
        <f>IF(Mecze[[#This Row],[Role]]="BR",Mecze[[#This Row],[/OB:90]]+Mecze[[#This Row],[/PC:90]],SUM(Mecze[[#This Row],[/PR:90]:[/BR:90]]))</f>
        <v>0.28125</v>
      </c>
      <c r="Z1336" s="35">
        <f>IF(Mecze[[#This Row],[KC]]=0,SUM(Mecze[[#This Row],[/BRI]:[/NPI]]),SUM(Mecze[[#This Row],[/BRI]:[/NPI]])*0.6)</f>
        <v>1.4869791666666667</v>
      </c>
      <c r="AA1336" s="10">
        <f>IFERROR(Mecze[[#This Row],[BR]]/Mecze[[#This Row],[ST]],0)</f>
        <v>0</v>
      </c>
      <c r="AB1336">
        <f>ROUND(Mecze[[#This Row],[PD]]*Mecze[[#This Row],[%PC]],0)</f>
        <v>15</v>
      </c>
      <c r="AC1336">
        <f>ROUND(Mecze[[#This Row],[OD]]*Mecze[[#This Row],[%OU]],0)</f>
        <v>2</v>
      </c>
      <c r="AD1336" s="36" t="s">
        <v>67</v>
      </c>
      <c r="AE1336" s="36">
        <v>73</v>
      </c>
      <c r="AF1336" s="71">
        <v>6.07</v>
      </c>
      <c r="AG1336" s="37">
        <v>0</v>
      </c>
      <c r="AH1336" s="37">
        <v>0</v>
      </c>
      <c r="AI1336" s="37">
        <v>96</v>
      </c>
      <c r="AJ1336" s="37">
        <v>9</v>
      </c>
      <c r="AK1336" s="37" t="str">
        <f>VLOOKUP(Mecze[[#This Row],[Match ID]],Meczusie[Mecz]:Meczusie[RodzajMeczu],2,FALSE)</f>
        <v>Liga</v>
      </c>
    </row>
    <row r="1337" spans="1:37" x14ac:dyDescent="0.25">
      <c r="A1337" s="76">
        <v>11</v>
      </c>
      <c r="B1337" s="3" t="s">
        <v>410</v>
      </c>
      <c r="C1337" s="2" t="s">
        <v>160</v>
      </c>
      <c r="D1337" s="1">
        <v>0</v>
      </c>
      <c r="E1337" s="1">
        <v>1</v>
      </c>
      <c r="F1337" s="1">
        <v>1</v>
      </c>
      <c r="G1337" s="1">
        <v>7</v>
      </c>
      <c r="H1337" s="4">
        <v>0.56999999999999995</v>
      </c>
      <c r="I1337" s="1">
        <v>1</v>
      </c>
      <c r="J1337" s="4">
        <v>1</v>
      </c>
      <c r="K1337" s="1">
        <v>0</v>
      </c>
      <c r="L1337" s="1">
        <v>1</v>
      </c>
      <c r="M1337" s="32">
        <f>IF(Mecze[[#This Row],[PR]]=0,0,Mecze[[#This Row],[PR]]/Mecze[[#This Row],[CZAS]])</f>
        <v>1.0416666666666666E-2</v>
      </c>
      <c r="N1337" s="32">
        <f>IF(Mecze[[#This Row],[OU]]=0,0,Mecze[[#This Row],[OU]]/Mecze[[#This Row],[CZAS]])</f>
        <v>1.0416666666666666E-2</v>
      </c>
      <c r="O1337" s="32">
        <f>IF(Mecze[[#This Row],[PC]]=0,0,Mecze[[#This Row],[PC]]/Mecze[[#This Row],[CZAS]])</f>
        <v>4.1666666666666664E-2</v>
      </c>
      <c r="P1337" s="32">
        <f>IF(Mecze[[#This Row],[SC]]=0,0,Mecze[[#This Row],[SC]]/Mecze[[#This Row],[CZAS]])</f>
        <v>1.0416666666666666E-2</v>
      </c>
      <c r="Q1337" s="32">
        <f>IF(Mecze[[#This Row],[OB]]=0,0,Mecze[[#This Row],[OB]]/Mecze[[#This Row],[CZAS]])</f>
        <v>0</v>
      </c>
      <c r="R1337" s="32">
        <f>IF(Mecze[[#This Row],[BR]]=0,0,Mecze[[#This Row],[BR]]/Mecze[[#This Row],[CZAS]])</f>
        <v>0</v>
      </c>
      <c r="S1337" s="44">
        <f>IF(Mecze[[#This Row],[Role]]="BR",SUMPRODUCT(Mecze[[#This Row],[/PR:90]:[/BR:90]],Brudnopis!$E$23:$J$23),0)</f>
        <v>0</v>
      </c>
      <c r="T1337" s="44">
        <f>IF(Mecze[[#This Row],[Role]]&lt;&gt;"BR",SUMPRODUCT(Mecze[[#This Row],[/PR:90]:[/BR:90]],Brudnopis!$E$24:$J$24),0)</f>
        <v>7.8125E-2</v>
      </c>
      <c r="U1337" s="44">
        <f>IF(Mecze[[#This Row],[Role]]&lt;&gt;"BR",SUMPRODUCT(Mecze[[#This Row],[/PR:90]:[/BR:90]],Brudnopis!$E$25:$J$25),0)</f>
        <v>9.375E-2</v>
      </c>
      <c r="V1337" s="44">
        <f>IF(Mecze[[#This Row],[Role]]&lt;&gt;"BR",SUMPRODUCT(Mecze[[#This Row],[/PR:90]:[/BR:90]],Brudnopis!$E$26:$J$26),0)</f>
        <v>7.2916666666666671E-2</v>
      </c>
      <c r="W1337" s="44">
        <f>IF(Mecze[[#This Row],[Role]]&lt;&gt;"BR",SUMPRODUCT(Mecze[[#This Row],[/PR:90]:[/BR:90]],Brudnopis!$E$27:$J$27),0)</f>
        <v>8.8541666666666671E-2</v>
      </c>
      <c r="X1337" s="44">
        <f>IF(Mecze[[#This Row],[Role]]&lt;&gt;"BR",SUMPRODUCT(Mecze[[#This Row],[/PR:90]:[/BR:90]],Brudnopis!$E$28:$J$28),0)</f>
        <v>6.25E-2</v>
      </c>
      <c r="Y1337" s="35">
        <f>IF(Mecze[[#This Row],[Role]]="BR",Mecze[[#This Row],[/OB:90]]+Mecze[[#This Row],[/PC:90]],SUM(Mecze[[#This Row],[/PR:90]:[/BR:90]]))</f>
        <v>7.2916666666666671E-2</v>
      </c>
      <c r="Z1337" s="35">
        <f>IF(Mecze[[#This Row],[KC]]=0,SUM(Mecze[[#This Row],[/BRI]:[/NPI]]),SUM(Mecze[[#This Row],[/BRI]:[/NPI]])*0.6)</f>
        <v>0.39583333333333337</v>
      </c>
      <c r="AA1337" s="10">
        <f>IFERROR(Mecze[[#This Row],[BR]]/Mecze[[#This Row],[ST]],0)</f>
        <v>0</v>
      </c>
      <c r="AB1337">
        <f>ROUND(Mecze[[#This Row],[PD]]*Mecze[[#This Row],[%PC]],0)</f>
        <v>4</v>
      </c>
      <c r="AC1337">
        <f>ROUND(Mecze[[#This Row],[OD]]*Mecze[[#This Row],[%OU]],0)</f>
        <v>1</v>
      </c>
      <c r="AD1337" s="36" t="s">
        <v>299</v>
      </c>
      <c r="AE1337" s="36">
        <v>73</v>
      </c>
      <c r="AF1337" s="71">
        <v>4.3499999999999996</v>
      </c>
      <c r="AG1337" s="37">
        <v>0</v>
      </c>
      <c r="AH1337" s="37">
        <v>0</v>
      </c>
      <c r="AI1337" s="37">
        <v>96</v>
      </c>
      <c r="AJ1337" s="37">
        <v>9</v>
      </c>
      <c r="AK1337" s="37" t="str">
        <f>VLOOKUP(Mecze[[#This Row],[Match ID]],Meczusie[Mecz]:Meczusie[RodzajMeczu],2,FALSE)</f>
        <v>Liga</v>
      </c>
    </row>
    <row r="1338" spans="1:37" x14ac:dyDescent="0.25">
      <c r="A1338" s="76">
        <v>13</v>
      </c>
      <c r="B1338" s="3" t="s">
        <v>295</v>
      </c>
      <c r="C1338" s="2" t="s">
        <v>160</v>
      </c>
      <c r="D1338" s="1">
        <v>0</v>
      </c>
      <c r="E1338" s="1">
        <v>0</v>
      </c>
      <c r="F1338" s="1">
        <v>0</v>
      </c>
      <c r="G1338" s="1">
        <v>3</v>
      </c>
      <c r="H1338" s="4">
        <v>0</v>
      </c>
      <c r="I1338" s="1">
        <v>4</v>
      </c>
      <c r="J1338" s="4">
        <v>0.5</v>
      </c>
      <c r="K1338" s="1">
        <v>0</v>
      </c>
      <c r="L1338" s="1">
        <v>0</v>
      </c>
      <c r="M1338" s="32">
        <f>IF(Mecze[[#This Row],[PR]]=0,0,Mecze[[#This Row],[PR]]/Mecze[[#This Row],[CZAS]])</f>
        <v>0</v>
      </c>
      <c r="N1338" s="32">
        <f>IF(Mecze[[#This Row],[OU]]=0,0,Mecze[[#This Row],[OU]]/Mecze[[#This Row],[CZAS]])</f>
        <v>2.0833333333333332E-2</v>
      </c>
      <c r="O1338" s="32">
        <f>IF(Mecze[[#This Row],[PC]]=0,0,Mecze[[#This Row],[PC]]/Mecze[[#This Row],[CZAS]])</f>
        <v>0</v>
      </c>
      <c r="P1338" s="32">
        <f>IF(Mecze[[#This Row],[SC]]=0,0,Mecze[[#This Row],[SC]]/Mecze[[#This Row],[CZAS]])</f>
        <v>0</v>
      </c>
      <c r="Q1338" s="32">
        <f>IF(Mecze[[#This Row],[OB]]=0,0,Mecze[[#This Row],[OB]]/Mecze[[#This Row],[CZAS]])</f>
        <v>0</v>
      </c>
      <c r="R1338" s="32">
        <f>IF(Mecze[[#This Row],[BR]]=0,0,Mecze[[#This Row],[BR]]/Mecze[[#This Row],[CZAS]])</f>
        <v>0</v>
      </c>
      <c r="S1338" s="44">
        <f>IF(Mecze[[#This Row],[Role]]="BR",SUMPRODUCT(Mecze[[#This Row],[/PR:90]:[/BR:90]],Brudnopis!$E$23:$J$23),0)</f>
        <v>0</v>
      </c>
      <c r="T1338" s="44">
        <f>IF(Mecze[[#This Row],[Role]]&lt;&gt;"BR",SUMPRODUCT(Mecze[[#This Row],[/PR:90]:[/BR:90]],Brudnopis!$E$24:$J$24),0)</f>
        <v>3.125E-2</v>
      </c>
      <c r="U1338" s="44">
        <f>IF(Mecze[[#This Row],[Role]]&lt;&gt;"BR",SUMPRODUCT(Mecze[[#This Row],[/PR:90]:[/BR:90]],Brudnopis!$E$25:$J$25),0)</f>
        <v>2.0833333333333332E-2</v>
      </c>
      <c r="V1338" s="44">
        <f>IF(Mecze[[#This Row],[Role]]&lt;&gt;"BR",SUMPRODUCT(Mecze[[#This Row],[/PR:90]:[/BR:90]],Brudnopis!$E$26:$J$26),0)</f>
        <v>2.0833333333333332E-2</v>
      </c>
      <c r="W1338" s="44">
        <f>IF(Mecze[[#This Row],[Role]]&lt;&gt;"BR",SUMPRODUCT(Mecze[[#This Row],[/PR:90]:[/BR:90]],Brudnopis!$E$27:$J$27),0)</f>
        <v>1.5625E-2</v>
      </c>
      <c r="X1338" s="44">
        <f>IF(Mecze[[#This Row],[Role]]&lt;&gt;"BR",SUMPRODUCT(Mecze[[#This Row],[/PR:90]:[/BR:90]],Brudnopis!$E$28:$J$28),0)</f>
        <v>0</v>
      </c>
      <c r="Y1338" s="35">
        <f>IF(Mecze[[#This Row],[Role]]="BR",Mecze[[#This Row],[/OB:90]]+Mecze[[#This Row],[/PC:90]],SUM(Mecze[[#This Row],[/PR:90]:[/BR:90]]))</f>
        <v>2.0833333333333332E-2</v>
      </c>
      <c r="Z1338" s="35">
        <f>IF(Mecze[[#This Row],[KC]]=0,SUM(Mecze[[#This Row],[/BRI]:[/NPI]]),SUM(Mecze[[#This Row],[/BRI]:[/NPI]])*0.6)</f>
        <v>8.8541666666666657E-2</v>
      </c>
      <c r="AA1338" s="10">
        <f>IFERROR(Mecze[[#This Row],[BR]]/Mecze[[#This Row],[ST]],0)</f>
        <v>0</v>
      </c>
      <c r="AB1338">
        <f>ROUND(Mecze[[#This Row],[PD]]*Mecze[[#This Row],[%PC]],0)</f>
        <v>0</v>
      </c>
      <c r="AC1338">
        <f>ROUND(Mecze[[#This Row],[OD]]*Mecze[[#This Row],[%OU]],0)</f>
        <v>2</v>
      </c>
      <c r="AD1338" s="36" t="s">
        <v>171</v>
      </c>
      <c r="AE1338" s="36">
        <v>73</v>
      </c>
      <c r="AF1338" s="71">
        <v>1.59</v>
      </c>
      <c r="AG1338" s="37">
        <v>1</v>
      </c>
      <c r="AH1338" s="37">
        <v>0</v>
      </c>
      <c r="AI1338" s="37">
        <v>96</v>
      </c>
      <c r="AJ1338" s="37">
        <v>9</v>
      </c>
      <c r="AK1338" s="37" t="str">
        <f>VLOOKUP(Mecze[[#This Row],[Match ID]],Meczusie[Mecz]:Meczusie[RodzajMeczu],2,FALSE)</f>
        <v>Liga</v>
      </c>
    </row>
    <row r="1339" spans="1:37" x14ac:dyDescent="0.25">
      <c r="A1339" s="76">
        <v>9</v>
      </c>
      <c r="B1339" s="3" t="s">
        <v>296</v>
      </c>
      <c r="C1339" s="2" t="s">
        <v>165</v>
      </c>
      <c r="D1339" s="1">
        <v>0</v>
      </c>
      <c r="E1339" s="1">
        <v>4</v>
      </c>
      <c r="F1339" s="1">
        <v>2</v>
      </c>
      <c r="G1339" s="1">
        <v>3</v>
      </c>
      <c r="H1339" s="4">
        <v>0.33</v>
      </c>
      <c r="I1339" s="1">
        <v>8</v>
      </c>
      <c r="J1339" s="4">
        <v>0.25</v>
      </c>
      <c r="K1339" s="1">
        <v>0</v>
      </c>
      <c r="L1339" s="1">
        <v>1</v>
      </c>
      <c r="M1339" s="32">
        <f>IF(Mecze[[#This Row],[PR]]=0,0,Mecze[[#This Row],[PR]]/Mecze[[#This Row],[CZAS]])</f>
        <v>1.0416666666666666E-2</v>
      </c>
      <c r="N1339" s="32">
        <f>IF(Mecze[[#This Row],[OU]]=0,0,Mecze[[#This Row],[OU]]/Mecze[[#This Row],[CZAS]])</f>
        <v>2.0833333333333332E-2</v>
      </c>
      <c r="O1339" s="32">
        <f>IF(Mecze[[#This Row],[PC]]=0,0,Mecze[[#This Row],[PC]]/Mecze[[#This Row],[CZAS]])</f>
        <v>1.0416666666666666E-2</v>
      </c>
      <c r="P1339" s="32">
        <f>IF(Mecze[[#This Row],[SC]]=0,0,Mecze[[#This Row],[SC]]/Mecze[[#This Row],[CZAS]])</f>
        <v>2.0833333333333332E-2</v>
      </c>
      <c r="Q1339" s="32">
        <f>IF(Mecze[[#This Row],[OB]]=0,0,Mecze[[#This Row],[OB]]/Mecze[[#This Row],[CZAS]])</f>
        <v>0</v>
      </c>
      <c r="R1339" s="32">
        <f>IF(Mecze[[#This Row],[BR]]=0,0,Mecze[[#This Row],[BR]]/Mecze[[#This Row],[CZAS]])</f>
        <v>0</v>
      </c>
      <c r="S1339" s="44">
        <f>IF(Mecze[[#This Row],[Role]]="BR",SUMPRODUCT(Mecze[[#This Row],[/PR:90]:[/BR:90]],Brudnopis!$E$23:$J$23),0)</f>
        <v>0</v>
      </c>
      <c r="T1339" s="44">
        <f>IF(Mecze[[#This Row],[Role]]&lt;&gt;"BR",SUMPRODUCT(Mecze[[#This Row],[/PR:90]:[/BR:90]],Brudnopis!$E$24:$J$24),0)</f>
        <v>7.2916666666666657E-2</v>
      </c>
      <c r="U1339" s="44">
        <f>IF(Mecze[[#This Row],[Role]]&lt;&gt;"BR",SUMPRODUCT(Mecze[[#This Row],[/PR:90]:[/BR:90]],Brudnopis!$E$25:$J$25),0)</f>
        <v>6.7708333333333329E-2</v>
      </c>
      <c r="V1339" s="44">
        <f>IF(Mecze[[#This Row],[Role]]&lt;&gt;"BR",SUMPRODUCT(Mecze[[#This Row],[/PR:90]:[/BR:90]],Brudnopis!$E$26:$J$26),0)</f>
        <v>6.25E-2</v>
      </c>
      <c r="W1339" s="44">
        <f>IF(Mecze[[#This Row],[Role]]&lt;&gt;"BR",SUMPRODUCT(Mecze[[#This Row],[/PR:90]:[/BR:90]],Brudnopis!$E$27:$J$27),0)</f>
        <v>5.9895833333333329E-2</v>
      </c>
      <c r="X1339" s="44">
        <f>IF(Mecze[[#This Row],[Role]]&lt;&gt;"BR",SUMPRODUCT(Mecze[[#This Row],[/PR:90]:[/BR:90]],Brudnopis!$E$28:$J$28),0)</f>
        <v>5.2083333333333329E-2</v>
      </c>
      <c r="Y1339" s="35">
        <f>IF(Mecze[[#This Row],[Role]]="BR",Mecze[[#This Row],[/OB:90]]+Mecze[[#This Row],[/PC:90]],SUM(Mecze[[#This Row],[/PR:90]:[/BR:90]]))</f>
        <v>6.25E-2</v>
      </c>
      <c r="Z1339" s="35">
        <f>IF(Mecze[[#This Row],[KC]]=0,SUM(Mecze[[#This Row],[/BRI]:[/NPI]]),SUM(Mecze[[#This Row],[/BRI]:[/NPI]])*0.6)</f>
        <v>0.31510416666666663</v>
      </c>
      <c r="AA1339" s="10">
        <f>IFERROR(Mecze[[#This Row],[BR]]/Mecze[[#This Row],[ST]],0)</f>
        <v>0</v>
      </c>
      <c r="AB1339">
        <f>ROUND(Mecze[[#This Row],[PD]]*Mecze[[#This Row],[%PC]],0)</f>
        <v>1</v>
      </c>
      <c r="AC1339">
        <f>ROUND(Mecze[[#This Row],[OD]]*Mecze[[#This Row],[%OU]],0)</f>
        <v>2</v>
      </c>
      <c r="AD1339" s="36" t="s">
        <v>272</v>
      </c>
      <c r="AE1339" s="36">
        <v>73</v>
      </c>
      <c r="AF1339" s="71">
        <v>3.15</v>
      </c>
      <c r="AG1339" s="37">
        <v>0</v>
      </c>
      <c r="AH1339" s="37">
        <v>0</v>
      </c>
      <c r="AI1339" s="37">
        <v>96</v>
      </c>
      <c r="AJ1339" s="37">
        <v>9</v>
      </c>
      <c r="AK1339" s="37" t="str">
        <f>VLOOKUP(Mecze[[#This Row],[Match ID]],Meczusie[Mecz]:Meczusie[RodzajMeczu],2,FALSE)</f>
        <v>Liga</v>
      </c>
    </row>
    <row r="1340" spans="1:37" x14ac:dyDescent="0.25">
      <c r="A1340" s="76">
        <v>6</v>
      </c>
      <c r="B1340" s="3" t="s">
        <v>297</v>
      </c>
      <c r="C1340" s="2" t="s">
        <v>165</v>
      </c>
      <c r="D1340" s="1">
        <v>0</v>
      </c>
      <c r="E1340" s="1">
        <v>1</v>
      </c>
      <c r="F1340" s="1">
        <v>0</v>
      </c>
      <c r="G1340" s="1">
        <v>19</v>
      </c>
      <c r="H1340" s="4">
        <v>0.68</v>
      </c>
      <c r="I1340" s="1">
        <v>5</v>
      </c>
      <c r="J1340" s="4">
        <v>0.2</v>
      </c>
      <c r="K1340" s="1">
        <v>0</v>
      </c>
      <c r="L1340" s="1">
        <v>0</v>
      </c>
      <c r="M1340" s="32">
        <f>IF(Mecze[[#This Row],[PR]]=0,0,Mecze[[#This Row],[PR]]/Mecze[[#This Row],[CZAS]])</f>
        <v>0</v>
      </c>
      <c r="N1340" s="32">
        <f>IF(Mecze[[#This Row],[OU]]=0,0,Mecze[[#This Row],[OU]]/Mecze[[#This Row],[CZAS]])</f>
        <v>1.0416666666666666E-2</v>
      </c>
      <c r="O1340" s="32">
        <f>IF(Mecze[[#This Row],[PC]]=0,0,Mecze[[#This Row],[PC]]/Mecze[[#This Row],[CZAS]])</f>
        <v>0.13541666666666666</v>
      </c>
      <c r="P1340" s="32">
        <f>IF(Mecze[[#This Row],[SC]]=0,0,Mecze[[#This Row],[SC]]/Mecze[[#This Row],[CZAS]])</f>
        <v>0</v>
      </c>
      <c r="Q1340" s="32">
        <f>IF(Mecze[[#This Row],[OB]]=0,0,Mecze[[#This Row],[OB]]/Mecze[[#This Row],[CZAS]])</f>
        <v>0</v>
      </c>
      <c r="R1340" s="32">
        <f>IF(Mecze[[#This Row],[BR]]=0,0,Mecze[[#This Row],[BR]]/Mecze[[#This Row],[CZAS]])</f>
        <v>0</v>
      </c>
      <c r="S1340" s="44">
        <f>IF(Mecze[[#This Row],[Role]]="BR",SUMPRODUCT(Mecze[[#This Row],[/PR:90]:[/BR:90]],Brudnopis!$E$23:$J$23),0)</f>
        <v>0</v>
      </c>
      <c r="T1340" s="44">
        <f>IF(Mecze[[#This Row],[Role]]&lt;&gt;"BR",SUMPRODUCT(Mecze[[#This Row],[/PR:90]:[/BR:90]],Brudnopis!$E$24:$J$24),0)</f>
        <v>0.15104166666666666</v>
      </c>
      <c r="U1340" s="44">
        <f>IF(Mecze[[#This Row],[Role]]&lt;&gt;"BR",SUMPRODUCT(Mecze[[#This Row],[/PR:90]:[/BR:90]],Brudnopis!$E$25:$J$25),0)</f>
        <v>0.21354166666666666</v>
      </c>
      <c r="V1340" s="44">
        <f>IF(Mecze[[#This Row],[Role]]&lt;&gt;"BR",SUMPRODUCT(Mecze[[#This Row],[/PR:90]:[/BR:90]],Brudnopis!$E$26:$J$26),0)</f>
        <v>0.14583333333333331</v>
      </c>
      <c r="W1340" s="44">
        <f>IF(Mecze[[#This Row],[Role]]&lt;&gt;"BR",SUMPRODUCT(Mecze[[#This Row],[/PR:90]:[/BR:90]],Brudnopis!$E$27:$J$27),0)</f>
        <v>0.2109375</v>
      </c>
      <c r="X1340" s="44">
        <f>IF(Mecze[[#This Row],[Role]]&lt;&gt;"BR",SUMPRODUCT(Mecze[[#This Row],[/PR:90]:[/BR:90]],Brudnopis!$E$28:$J$28),0)</f>
        <v>0.13541666666666666</v>
      </c>
      <c r="Y1340" s="35">
        <f>IF(Mecze[[#This Row],[Role]]="BR",Mecze[[#This Row],[/OB:90]]+Mecze[[#This Row],[/PC:90]],SUM(Mecze[[#This Row],[/PR:90]:[/BR:90]]))</f>
        <v>0.14583333333333331</v>
      </c>
      <c r="Z1340" s="35">
        <f>IF(Mecze[[#This Row],[KC]]=0,SUM(Mecze[[#This Row],[/BRI]:[/NPI]]),SUM(Mecze[[#This Row],[/BRI]:[/NPI]])*0.6)</f>
        <v>0.85677083333333326</v>
      </c>
      <c r="AA1340" s="10">
        <f>IFERROR(Mecze[[#This Row],[BR]]/Mecze[[#This Row],[ST]],0)</f>
        <v>0</v>
      </c>
      <c r="AB1340">
        <f>ROUND(Mecze[[#This Row],[PD]]*Mecze[[#This Row],[%PC]],0)</f>
        <v>13</v>
      </c>
      <c r="AC1340">
        <f>ROUND(Mecze[[#This Row],[OD]]*Mecze[[#This Row],[%OU]],0)</f>
        <v>1</v>
      </c>
      <c r="AD1340" s="36" t="s">
        <v>46</v>
      </c>
      <c r="AE1340" s="36">
        <v>73</v>
      </c>
      <c r="AF1340" s="71">
        <v>4.04</v>
      </c>
      <c r="AG1340" s="37">
        <v>0</v>
      </c>
      <c r="AH1340" s="37">
        <v>0</v>
      </c>
      <c r="AI1340" s="37">
        <v>96</v>
      </c>
      <c r="AJ1340" s="37">
        <v>9</v>
      </c>
      <c r="AK1340" s="37" t="str">
        <f>VLOOKUP(Mecze[[#This Row],[Match ID]],Meczusie[Mecz]:Meczusie[RodzajMeczu],2,FALSE)</f>
        <v>Liga</v>
      </c>
    </row>
    <row r="1341" spans="1:37" x14ac:dyDescent="0.25">
      <c r="A1341" s="76">
        <v>208</v>
      </c>
      <c r="B1341" s="3" t="s">
        <v>436</v>
      </c>
      <c r="C1341" s="2" t="s">
        <v>155</v>
      </c>
      <c r="D1341" s="1">
        <v>0</v>
      </c>
      <c r="E1341" s="1">
        <v>0</v>
      </c>
      <c r="F1341" s="1">
        <v>0</v>
      </c>
      <c r="G1341" s="1">
        <v>6</v>
      </c>
      <c r="H1341" s="4">
        <v>0.83</v>
      </c>
      <c r="I1341" s="1">
        <v>0</v>
      </c>
      <c r="J1341" s="4"/>
      <c r="K1341" s="1">
        <v>7</v>
      </c>
      <c r="L1341" s="1">
        <v>0</v>
      </c>
      <c r="M1341" s="32">
        <f>IF(Mecze[[#This Row],[PR]]=0,0,Mecze[[#This Row],[PR]]/Mecze[[#This Row],[CZAS]])</f>
        <v>0</v>
      </c>
      <c r="N1341" s="32">
        <f>IF(Mecze[[#This Row],[OU]]=0,0,Mecze[[#This Row],[OU]]/Mecze[[#This Row],[CZAS]])</f>
        <v>0</v>
      </c>
      <c r="O1341" s="32">
        <f>IF(Mecze[[#This Row],[PC]]=0,0,Mecze[[#This Row],[PC]]/Mecze[[#This Row],[CZAS]])</f>
        <v>5.1546391752577317E-2</v>
      </c>
      <c r="P1341" s="32">
        <f>IF(Mecze[[#This Row],[SC]]=0,0,Mecze[[#This Row],[SC]]/Mecze[[#This Row],[CZAS]])</f>
        <v>0</v>
      </c>
      <c r="Q1341" s="32">
        <f>IF(Mecze[[#This Row],[OB]]=0,0,Mecze[[#This Row],[OB]]/Mecze[[#This Row],[CZAS]])</f>
        <v>7.2164948453608241E-2</v>
      </c>
      <c r="R1341" s="32">
        <f>IF(Mecze[[#This Row],[BR]]=0,0,Mecze[[#This Row],[BR]]/Mecze[[#This Row],[CZAS]])</f>
        <v>0</v>
      </c>
      <c r="S1341" s="44">
        <f>IF(Mecze[[#This Row],[Role]]="BR",SUMPRODUCT(Mecze[[#This Row],[/PR:90]:[/BR:90]],Brudnopis!$E$23:$J$23),0)</f>
        <v>0.37113402061855671</v>
      </c>
      <c r="T1341" s="44">
        <f>IF(Mecze[[#This Row],[Role]]&lt;&gt;"BR",SUMPRODUCT(Mecze[[#This Row],[/PR:90]:[/BR:90]],Brudnopis!$E$24:$J$24),0)</f>
        <v>0</v>
      </c>
      <c r="U1341" s="44">
        <f>IF(Mecze[[#This Row],[Role]]&lt;&gt;"BR",SUMPRODUCT(Mecze[[#This Row],[/PR:90]:[/BR:90]],Brudnopis!$E$25:$J$25),0)</f>
        <v>0</v>
      </c>
      <c r="V1341" s="44">
        <f>IF(Mecze[[#This Row],[Role]]&lt;&gt;"BR",SUMPRODUCT(Mecze[[#This Row],[/PR:90]:[/BR:90]],Brudnopis!$E$26:$J$26),0)</f>
        <v>0</v>
      </c>
      <c r="W1341" s="44">
        <f>IF(Mecze[[#This Row],[Role]]&lt;&gt;"BR",SUMPRODUCT(Mecze[[#This Row],[/PR:90]:[/BR:90]],Brudnopis!$E$27:$J$27),0)</f>
        <v>0</v>
      </c>
      <c r="X1341" s="44">
        <f>IF(Mecze[[#This Row],[Role]]&lt;&gt;"BR",SUMPRODUCT(Mecze[[#This Row],[/PR:90]:[/BR:90]],Brudnopis!$E$28:$J$28),0)</f>
        <v>0</v>
      </c>
      <c r="Y1341" s="35">
        <f>IF(Mecze[[#This Row],[Role]]="BR",Mecze[[#This Row],[/OB:90]]+Mecze[[#This Row],[/PC:90]],SUM(Mecze[[#This Row],[/PR:90]:[/BR:90]]))</f>
        <v>0.12371134020618556</v>
      </c>
      <c r="Z1341" s="35">
        <f>IF(Mecze[[#This Row],[KC]]=0,SUM(Mecze[[#This Row],[/BRI]:[/NPI]]),SUM(Mecze[[#This Row],[/BRI]:[/NPI]])*0.6)</f>
        <v>0.37113402061855671</v>
      </c>
      <c r="AA1341" s="10">
        <f>IFERROR(Mecze[[#This Row],[BR]]/Mecze[[#This Row],[ST]],0)</f>
        <v>0</v>
      </c>
      <c r="AB1341">
        <f>ROUND(Mecze[[#This Row],[PD]]*Mecze[[#This Row],[%PC]],0)</f>
        <v>5</v>
      </c>
      <c r="AC1341">
        <f>ROUND(Mecze[[#This Row],[OD]]*Mecze[[#This Row],[%OU]],0)</f>
        <v>0</v>
      </c>
      <c r="AD1341" s="36" t="s">
        <v>40</v>
      </c>
      <c r="AE1341" s="36">
        <v>74</v>
      </c>
      <c r="AF1341" s="71">
        <v>8.48</v>
      </c>
      <c r="AG1341" s="37">
        <v>0</v>
      </c>
      <c r="AH1341" s="37">
        <v>0</v>
      </c>
      <c r="AI1341" s="37">
        <v>97</v>
      </c>
      <c r="AJ1341" s="37">
        <v>7</v>
      </c>
      <c r="AK1341" s="37" t="str">
        <f>VLOOKUP(Mecze[[#This Row],[Match ID]],Meczusie[Mecz]:Meczusie[RodzajMeczu],2,FALSE)</f>
        <v>Liga</v>
      </c>
    </row>
    <row r="1342" spans="1:37" x14ac:dyDescent="0.25">
      <c r="A1342" s="76">
        <v>204</v>
      </c>
      <c r="B1342" s="3" t="s">
        <v>334</v>
      </c>
      <c r="C1342" s="2" t="s">
        <v>157</v>
      </c>
      <c r="D1342" s="1">
        <v>0</v>
      </c>
      <c r="E1342" s="1">
        <v>0</v>
      </c>
      <c r="F1342" s="1">
        <v>0</v>
      </c>
      <c r="G1342" s="1">
        <v>11</v>
      </c>
      <c r="H1342" s="4">
        <v>0.82</v>
      </c>
      <c r="I1342" s="1">
        <v>8</v>
      </c>
      <c r="J1342" s="4">
        <v>0.25</v>
      </c>
      <c r="K1342" s="1">
        <v>0</v>
      </c>
      <c r="L1342" s="1">
        <v>9</v>
      </c>
      <c r="M1342" s="32">
        <f>IF(Mecze[[#This Row],[PR]]=0,0,Mecze[[#This Row],[PR]]/Mecze[[#This Row],[CZAS]])</f>
        <v>9.2783505154639179E-2</v>
      </c>
      <c r="N1342" s="32">
        <f>IF(Mecze[[#This Row],[OU]]=0,0,Mecze[[#This Row],[OU]]/Mecze[[#This Row],[CZAS]])</f>
        <v>2.0618556701030927E-2</v>
      </c>
      <c r="O1342" s="32">
        <f>IF(Mecze[[#This Row],[PC]]=0,0,Mecze[[#This Row],[PC]]/Mecze[[#This Row],[CZAS]])</f>
        <v>9.2783505154639179E-2</v>
      </c>
      <c r="P1342" s="32">
        <f>IF(Mecze[[#This Row],[SC]]=0,0,Mecze[[#This Row],[SC]]/Mecze[[#This Row],[CZAS]])</f>
        <v>0</v>
      </c>
      <c r="Q1342" s="32">
        <f>IF(Mecze[[#This Row],[OB]]=0,0,Mecze[[#This Row],[OB]]/Mecze[[#This Row],[CZAS]])</f>
        <v>0</v>
      </c>
      <c r="R1342" s="32">
        <f>IF(Mecze[[#This Row],[BR]]=0,0,Mecze[[#This Row],[BR]]/Mecze[[#This Row],[CZAS]])</f>
        <v>0</v>
      </c>
      <c r="S1342" s="44">
        <f>IF(Mecze[[#This Row],[Role]]="BR",SUMPRODUCT(Mecze[[#This Row],[/PR:90]:[/BR:90]],Brudnopis!$E$23:$J$23),0)</f>
        <v>0</v>
      </c>
      <c r="T1342" s="44">
        <f>IF(Mecze[[#This Row],[Role]]&lt;&gt;"BR",SUMPRODUCT(Mecze[[#This Row],[/PR:90]:[/BR:90]],Brudnopis!$E$24:$J$24),0)</f>
        <v>0.21649484536082475</v>
      </c>
      <c r="U1342" s="44">
        <f>IF(Mecze[[#This Row],[Role]]&lt;&gt;"BR",SUMPRODUCT(Mecze[[#This Row],[/PR:90]:[/BR:90]],Brudnopis!$E$25:$J$25),0)</f>
        <v>0.25257731958762886</v>
      </c>
      <c r="V1342" s="44">
        <f>IF(Mecze[[#This Row],[Role]]&lt;&gt;"BR",SUMPRODUCT(Mecze[[#This Row],[/PR:90]:[/BR:90]],Brudnopis!$E$26:$J$26),0)</f>
        <v>0.20618556701030927</v>
      </c>
      <c r="W1342" s="44">
        <f>IF(Mecze[[#This Row],[Role]]&lt;&gt;"BR",SUMPRODUCT(Mecze[[#This Row],[/PR:90]:[/BR:90]],Brudnopis!$E$27:$J$27),0)</f>
        <v>0.22422680412371135</v>
      </c>
      <c r="X1342" s="44">
        <f>IF(Mecze[[#This Row],[Role]]&lt;&gt;"BR",SUMPRODUCT(Mecze[[#This Row],[/PR:90]:[/BR:90]],Brudnopis!$E$28:$J$28),0)</f>
        <v>9.2783505154639179E-2</v>
      </c>
      <c r="Y1342" s="35">
        <f>IF(Mecze[[#This Row],[Role]]="BR",Mecze[[#This Row],[/OB:90]]+Mecze[[#This Row],[/PC:90]],SUM(Mecze[[#This Row],[/PR:90]:[/BR:90]]))</f>
        <v>0.20618556701030927</v>
      </c>
      <c r="Z1342" s="35">
        <f>IF(Mecze[[#This Row],[KC]]=0,SUM(Mecze[[#This Row],[/BRI]:[/NPI]]),SUM(Mecze[[#This Row],[/BRI]:[/NPI]])*0.6)</f>
        <v>0.99226804123711343</v>
      </c>
      <c r="AA1342" s="10">
        <f>IFERROR(Mecze[[#This Row],[BR]]/Mecze[[#This Row],[ST]],0)</f>
        <v>0</v>
      </c>
      <c r="AB1342">
        <f>ROUND(Mecze[[#This Row],[PD]]*Mecze[[#This Row],[%PC]],0)</f>
        <v>9</v>
      </c>
      <c r="AC1342">
        <f>ROUND(Mecze[[#This Row],[OD]]*Mecze[[#This Row],[%OU]],0)</f>
        <v>2</v>
      </c>
      <c r="AD1342" s="36" t="s">
        <v>47</v>
      </c>
      <c r="AE1342" s="36">
        <v>74</v>
      </c>
      <c r="AF1342" s="71">
        <v>5.81</v>
      </c>
      <c r="AG1342" s="37">
        <v>0</v>
      </c>
      <c r="AH1342" s="37">
        <v>0</v>
      </c>
      <c r="AI1342" s="37">
        <v>97</v>
      </c>
      <c r="AJ1342" s="37">
        <v>7</v>
      </c>
      <c r="AK1342" s="37" t="str">
        <f>VLOOKUP(Mecze[[#This Row],[Match ID]],Meczusie[Mecz]:Meczusie[RodzajMeczu],2,FALSE)</f>
        <v>Liga</v>
      </c>
    </row>
    <row r="1343" spans="1:37" x14ac:dyDescent="0.25">
      <c r="A1343" s="76">
        <v>150</v>
      </c>
      <c r="B1343" s="3" t="s">
        <v>335</v>
      </c>
      <c r="C1343" s="2" t="s">
        <v>157</v>
      </c>
      <c r="D1343" s="1">
        <v>0</v>
      </c>
      <c r="E1343" s="1">
        <v>0</v>
      </c>
      <c r="F1343" s="1">
        <v>0</v>
      </c>
      <c r="G1343" s="1">
        <v>14</v>
      </c>
      <c r="H1343" s="4">
        <v>0.71</v>
      </c>
      <c r="I1343" s="1">
        <v>5</v>
      </c>
      <c r="J1343" s="4">
        <v>1</v>
      </c>
      <c r="K1343" s="1">
        <v>0</v>
      </c>
      <c r="L1343" s="1">
        <v>8</v>
      </c>
      <c r="M1343" s="32">
        <f>IF(Mecze[[#This Row],[PR]]=0,0,Mecze[[#This Row],[PR]]/Mecze[[#This Row],[CZAS]])</f>
        <v>8.247422680412371E-2</v>
      </c>
      <c r="N1343" s="32">
        <f>IF(Mecze[[#This Row],[OU]]=0,0,Mecze[[#This Row],[OU]]/Mecze[[#This Row],[CZAS]])</f>
        <v>5.1546391752577317E-2</v>
      </c>
      <c r="O1343" s="32">
        <f>IF(Mecze[[#This Row],[PC]]=0,0,Mecze[[#This Row],[PC]]/Mecze[[#This Row],[CZAS]])</f>
        <v>0.10309278350515463</v>
      </c>
      <c r="P1343" s="32">
        <f>IF(Mecze[[#This Row],[SC]]=0,0,Mecze[[#This Row],[SC]]/Mecze[[#This Row],[CZAS]])</f>
        <v>0</v>
      </c>
      <c r="Q1343" s="32">
        <f>IF(Mecze[[#This Row],[OB]]=0,0,Mecze[[#This Row],[OB]]/Mecze[[#This Row],[CZAS]])</f>
        <v>0</v>
      </c>
      <c r="R1343" s="32">
        <f>IF(Mecze[[#This Row],[BR]]=0,0,Mecze[[#This Row],[BR]]/Mecze[[#This Row],[CZAS]])</f>
        <v>0</v>
      </c>
      <c r="S1343" s="44">
        <f>IF(Mecze[[#This Row],[Role]]="BR",SUMPRODUCT(Mecze[[#This Row],[/PR:90]:[/BR:90]],Brudnopis!$E$23:$J$23),0)</f>
        <v>0</v>
      </c>
      <c r="T1343" s="44">
        <f>IF(Mecze[[#This Row],[Role]]&lt;&gt;"BR",SUMPRODUCT(Mecze[[#This Row],[/PR:90]:[/BR:90]],Brudnopis!$E$24:$J$24),0)</f>
        <v>0.26288659793814428</v>
      </c>
      <c r="U1343" s="44">
        <f>IF(Mecze[[#This Row],[Role]]&lt;&gt;"BR",SUMPRODUCT(Mecze[[#This Row],[/PR:90]:[/BR:90]],Brudnopis!$E$25:$J$25),0)</f>
        <v>0.28865979381443296</v>
      </c>
      <c r="V1343" s="44">
        <f>IF(Mecze[[#This Row],[Role]]&lt;&gt;"BR",SUMPRODUCT(Mecze[[#This Row],[/PR:90]:[/BR:90]],Brudnopis!$E$26:$J$26),0)</f>
        <v>0.23711340206185566</v>
      </c>
      <c r="W1343" s="44">
        <f>IF(Mecze[[#This Row],[Role]]&lt;&gt;"BR",SUMPRODUCT(Mecze[[#This Row],[/PR:90]:[/BR:90]],Brudnopis!$E$27:$J$27),0)</f>
        <v>0.25515463917525771</v>
      </c>
      <c r="X1343" s="44">
        <f>IF(Mecze[[#This Row],[Role]]&lt;&gt;"BR",SUMPRODUCT(Mecze[[#This Row],[/PR:90]:[/BR:90]],Brudnopis!$E$28:$J$28),0)</f>
        <v>0.10309278350515463</v>
      </c>
      <c r="Y1343" s="35">
        <f>IF(Mecze[[#This Row],[Role]]="BR",Mecze[[#This Row],[/OB:90]]+Mecze[[#This Row],[/PC:90]],SUM(Mecze[[#This Row],[/PR:90]:[/BR:90]]))</f>
        <v>0.23711340206185566</v>
      </c>
      <c r="Z1343" s="35">
        <f>IF(Mecze[[#This Row],[KC]]=0,SUM(Mecze[[#This Row],[/BRI]:[/NPI]]),SUM(Mecze[[#This Row],[/BRI]:[/NPI]])*0.6)</f>
        <v>1.1469072164948453</v>
      </c>
      <c r="AA1343" s="10">
        <f>IFERROR(Mecze[[#This Row],[BR]]/Mecze[[#This Row],[ST]],0)</f>
        <v>0</v>
      </c>
      <c r="AB1343">
        <f>ROUND(Mecze[[#This Row],[PD]]*Mecze[[#This Row],[%PC]],0)</f>
        <v>10</v>
      </c>
      <c r="AC1343">
        <f>ROUND(Mecze[[#This Row],[OD]]*Mecze[[#This Row],[%OU]],0)</f>
        <v>5</v>
      </c>
      <c r="AD1343" s="36" t="s">
        <v>167</v>
      </c>
      <c r="AE1343" s="36">
        <v>74</v>
      </c>
      <c r="AF1343" s="71">
        <v>8.75</v>
      </c>
      <c r="AG1343" s="37">
        <v>0</v>
      </c>
      <c r="AH1343" s="37">
        <v>0</v>
      </c>
      <c r="AI1343" s="37">
        <v>97</v>
      </c>
      <c r="AJ1343" s="37">
        <v>7</v>
      </c>
      <c r="AK1343" s="37" t="str">
        <f>VLOOKUP(Mecze[[#This Row],[Match ID]],Meczusie[Mecz]:Meczusie[RodzajMeczu],2,FALSE)</f>
        <v>Liga</v>
      </c>
    </row>
    <row r="1344" spans="1:37" x14ac:dyDescent="0.25">
      <c r="A1344" s="76">
        <v>159</v>
      </c>
      <c r="B1344" s="3" t="s">
        <v>338</v>
      </c>
      <c r="C1344" s="2" t="s">
        <v>157</v>
      </c>
      <c r="D1344" s="1">
        <v>0</v>
      </c>
      <c r="E1344" s="1">
        <v>0</v>
      </c>
      <c r="F1344" s="1">
        <v>0</v>
      </c>
      <c r="G1344" s="1">
        <v>4</v>
      </c>
      <c r="H1344" s="4">
        <v>0.75</v>
      </c>
      <c r="I1344" s="1">
        <v>1</v>
      </c>
      <c r="J1344" s="4">
        <v>1</v>
      </c>
      <c r="K1344" s="1">
        <v>0</v>
      </c>
      <c r="L1344" s="1">
        <v>6</v>
      </c>
      <c r="M1344" s="32">
        <f>IF(Mecze[[#This Row],[PR]]=0,0,Mecze[[#This Row],[PR]]/Mecze[[#This Row],[CZAS]])</f>
        <v>6.1855670103092786E-2</v>
      </c>
      <c r="N1344" s="32">
        <f>IF(Mecze[[#This Row],[OU]]=0,0,Mecze[[#This Row],[OU]]/Mecze[[#This Row],[CZAS]])</f>
        <v>1.0309278350515464E-2</v>
      </c>
      <c r="O1344" s="32">
        <f>IF(Mecze[[#This Row],[PC]]=0,0,Mecze[[#This Row],[PC]]/Mecze[[#This Row],[CZAS]])</f>
        <v>3.0927835051546393E-2</v>
      </c>
      <c r="P1344" s="32">
        <f>IF(Mecze[[#This Row],[SC]]=0,0,Mecze[[#This Row],[SC]]/Mecze[[#This Row],[CZAS]])</f>
        <v>0</v>
      </c>
      <c r="Q1344" s="32">
        <f>IF(Mecze[[#This Row],[OB]]=0,0,Mecze[[#This Row],[OB]]/Mecze[[#This Row],[CZAS]])</f>
        <v>0</v>
      </c>
      <c r="R1344" s="32">
        <f>IF(Mecze[[#This Row],[BR]]=0,0,Mecze[[#This Row],[BR]]/Mecze[[#This Row],[CZAS]])</f>
        <v>0</v>
      </c>
      <c r="S1344" s="44">
        <f>IF(Mecze[[#This Row],[Role]]="BR",SUMPRODUCT(Mecze[[#This Row],[/PR:90]:[/BR:90]],Brudnopis!$E$23:$J$23),0)</f>
        <v>0</v>
      </c>
      <c r="T1344" s="44">
        <f>IF(Mecze[[#This Row],[Role]]&lt;&gt;"BR",SUMPRODUCT(Mecze[[#This Row],[/PR:90]:[/BR:90]],Brudnopis!$E$24:$J$24),0)</f>
        <v>0.10824742268041238</v>
      </c>
      <c r="U1344" s="44">
        <f>IF(Mecze[[#This Row],[Role]]&lt;&gt;"BR",SUMPRODUCT(Mecze[[#This Row],[/PR:90]:[/BR:90]],Brudnopis!$E$25:$J$25),0)</f>
        <v>0.11855670103092784</v>
      </c>
      <c r="V1344" s="44">
        <f>IF(Mecze[[#This Row],[Role]]&lt;&gt;"BR",SUMPRODUCT(Mecze[[#This Row],[/PR:90]:[/BR:90]],Brudnopis!$E$26:$J$26),0)</f>
        <v>0.10309278350515465</v>
      </c>
      <c r="W1344" s="44">
        <f>IF(Mecze[[#This Row],[Role]]&lt;&gt;"BR",SUMPRODUCT(Mecze[[#This Row],[/PR:90]:[/BR:90]],Brudnopis!$E$27:$J$27),0)</f>
        <v>0.10051546391752578</v>
      </c>
      <c r="X1344" s="44">
        <f>IF(Mecze[[#This Row],[Role]]&lt;&gt;"BR",SUMPRODUCT(Mecze[[#This Row],[/PR:90]:[/BR:90]],Brudnopis!$E$28:$J$28),0)</f>
        <v>3.0927835051546393E-2</v>
      </c>
      <c r="Y1344" s="35">
        <f>IF(Mecze[[#This Row],[Role]]="BR",Mecze[[#This Row],[/OB:90]]+Mecze[[#This Row],[/PC:90]],SUM(Mecze[[#This Row],[/PR:90]:[/BR:90]]))</f>
        <v>0.10309278350515465</v>
      </c>
      <c r="Z1344" s="35">
        <f>IF(Mecze[[#This Row],[KC]]=0,SUM(Mecze[[#This Row],[/BRI]:[/NPI]]),SUM(Mecze[[#This Row],[/BRI]:[/NPI]])*0.6)</f>
        <v>0.46134020618556704</v>
      </c>
      <c r="AA1344" s="10">
        <f>IFERROR(Mecze[[#This Row],[BR]]/Mecze[[#This Row],[ST]],0)</f>
        <v>0</v>
      </c>
      <c r="AB1344">
        <f>ROUND(Mecze[[#This Row],[PD]]*Mecze[[#This Row],[%PC]],0)</f>
        <v>3</v>
      </c>
      <c r="AC1344">
        <f>ROUND(Mecze[[#This Row],[OD]]*Mecze[[#This Row],[%OU]],0)</f>
        <v>1</v>
      </c>
      <c r="AD1344" s="36" t="s">
        <v>168</v>
      </c>
      <c r="AE1344" s="36">
        <v>74</v>
      </c>
      <c r="AF1344" s="71">
        <v>5.18</v>
      </c>
      <c r="AG1344" s="37">
        <v>0</v>
      </c>
      <c r="AH1344" s="37">
        <v>0</v>
      </c>
      <c r="AI1344" s="37">
        <v>97</v>
      </c>
      <c r="AJ1344" s="37">
        <v>7</v>
      </c>
      <c r="AK1344" s="37" t="str">
        <f>VLOOKUP(Mecze[[#This Row],[Match ID]],Meczusie[Mecz]:Meczusie[RodzajMeczu],2,FALSE)</f>
        <v>Liga</v>
      </c>
    </row>
    <row r="1345" spans="1:37" x14ac:dyDescent="0.25">
      <c r="A1345" s="76">
        <v>161</v>
      </c>
      <c r="B1345" s="3" t="s">
        <v>418</v>
      </c>
      <c r="C1345" s="2" t="s">
        <v>160</v>
      </c>
      <c r="D1345" s="1">
        <v>0</v>
      </c>
      <c r="E1345" s="1">
        <v>0</v>
      </c>
      <c r="F1345" s="1">
        <v>0</v>
      </c>
      <c r="G1345" s="1">
        <v>8</v>
      </c>
      <c r="H1345" s="4">
        <v>0.5</v>
      </c>
      <c r="I1345" s="1">
        <v>7</v>
      </c>
      <c r="J1345" s="4">
        <v>0.56999999999999995</v>
      </c>
      <c r="K1345" s="1">
        <v>0</v>
      </c>
      <c r="L1345" s="1">
        <v>2</v>
      </c>
      <c r="M1345" s="32">
        <f>IF(Mecze[[#This Row],[PR]]=0,0,Mecze[[#This Row],[PR]]/Mecze[[#This Row],[CZAS]])</f>
        <v>2.0618556701030927E-2</v>
      </c>
      <c r="N1345" s="32">
        <f>IF(Mecze[[#This Row],[OU]]=0,0,Mecze[[#This Row],[OU]]/Mecze[[#This Row],[CZAS]])</f>
        <v>4.1237113402061855E-2</v>
      </c>
      <c r="O1345" s="32">
        <f>IF(Mecze[[#This Row],[PC]]=0,0,Mecze[[#This Row],[PC]]/Mecze[[#This Row],[CZAS]])</f>
        <v>4.1237113402061855E-2</v>
      </c>
      <c r="P1345" s="32">
        <f>IF(Mecze[[#This Row],[SC]]=0,0,Mecze[[#This Row],[SC]]/Mecze[[#This Row],[CZAS]])</f>
        <v>0</v>
      </c>
      <c r="Q1345" s="32">
        <f>IF(Mecze[[#This Row],[OB]]=0,0,Mecze[[#This Row],[OB]]/Mecze[[#This Row],[CZAS]])</f>
        <v>0</v>
      </c>
      <c r="R1345" s="32">
        <f>IF(Mecze[[#This Row],[BR]]=0,0,Mecze[[#This Row],[BR]]/Mecze[[#This Row],[CZAS]])</f>
        <v>0</v>
      </c>
      <c r="S1345" s="44">
        <f>IF(Mecze[[#This Row],[Role]]="BR",SUMPRODUCT(Mecze[[#This Row],[/PR:90]:[/BR:90]],Brudnopis!$E$23:$J$23),0)</f>
        <v>0</v>
      </c>
      <c r="T1345" s="44">
        <f>IF(Mecze[[#This Row],[Role]]&lt;&gt;"BR",SUMPRODUCT(Mecze[[#This Row],[/PR:90]:[/BR:90]],Brudnopis!$E$24:$J$24),0)</f>
        <v>0.12371134020618557</v>
      </c>
      <c r="U1345" s="44">
        <f>IF(Mecze[[#This Row],[Role]]&lt;&gt;"BR",SUMPRODUCT(Mecze[[#This Row],[/PR:90]:[/BR:90]],Brudnopis!$E$25:$J$25),0)</f>
        <v>0.12371134020618557</v>
      </c>
      <c r="V1345" s="44">
        <f>IF(Mecze[[#This Row],[Role]]&lt;&gt;"BR",SUMPRODUCT(Mecze[[#This Row],[/PR:90]:[/BR:90]],Brudnopis!$E$26:$J$26),0)</f>
        <v>0.10309278350515463</v>
      </c>
      <c r="W1345" s="44">
        <f>IF(Mecze[[#This Row],[Role]]&lt;&gt;"BR",SUMPRODUCT(Mecze[[#This Row],[/PR:90]:[/BR:90]],Brudnopis!$E$27:$J$27),0)</f>
        <v>0.10824742268041238</v>
      </c>
      <c r="X1345" s="44">
        <f>IF(Mecze[[#This Row],[Role]]&lt;&gt;"BR",SUMPRODUCT(Mecze[[#This Row],[/PR:90]:[/BR:90]],Brudnopis!$E$28:$J$28),0)</f>
        <v>4.1237113402061855E-2</v>
      </c>
      <c r="Y1345" s="35">
        <f>IF(Mecze[[#This Row],[Role]]="BR",Mecze[[#This Row],[/OB:90]]+Mecze[[#This Row],[/PC:90]],SUM(Mecze[[#This Row],[/PR:90]:[/BR:90]]))</f>
        <v>0.10309278350515463</v>
      </c>
      <c r="Z1345" s="35">
        <f>IF(Mecze[[#This Row],[KC]]=0,SUM(Mecze[[#This Row],[/BRI]:[/NPI]]),SUM(Mecze[[#This Row],[/BRI]:[/NPI]])*0.6)</f>
        <v>0.5</v>
      </c>
      <c r="AA1345" s="10">
        <f>IFERROR(Mecze[[#This Row],[BR]]/Mecze[[#This Row],[ST]],0)</f>
        <v>0</v>
      </c>
      <c r="AB1345">
        <f>ROUND(Mecze[[#This Row],[PD]]*Mecze[[#This Row],[%PC]],0)</f>
        <v>4</v>
      </c>
      <c r="AC1345">
        <f>ROUND(Mecze[[#This Row],[OD]]*Mecze[[#This Row],[%OU]],0)</f>
        <v>4</v>
      </c>
      <c r="AD1345" s="36" t="s">
        <v>41</v>
      </c>
      <c r="AE1345" s="36">
        <v>74</v>
      </c>
      <c r="AF1345" s="71">
        <v>4.4400000000000004</v>
      </c>
      <c r="AG1345" s="37">
        <v>1</v>
      </c>
      <c r="AH1345" s="37">
        <v>0</v>
      </c>
      <c r="AI1345" s="37">
        <v>97</v>
      </c>
      <c r="AJ1345" s="37">
        <v>7</v>
      </c>
      <c r="AK1345" s="37" t="str">
        <f>VLOOKUP(Mecze[[#This Row],[Match ID]],Meczusie[Mecz]:Meczusie[RodzajMeczu],2,FALSE)</f>
        <v>Liga</v>
      </c>
    </row>
    <row r="1346" spans="1:37" x14ac:dyDescent="0.25">
      <c r="A1346" s="76">
        <v>109</v>
      </c>
      <c r="B1346" s="3" t="s">
        <v>404</v>
      </c>
      <c r="C1346" s="2" t="s">
        <v>160</v>
      </c>
      <c r="D1346" s="1">
        <v>0</v>
      </c>
      <c r="E1346" s="1">
        <v>0</v>
      </c>
      <c r="F1346" s="1">
        <v>0</v>
      </c>
      <c r="G1346" s="1">
        <v>12</v>
      </c>
      <c r="H1346" s="4">
        <v>0.57999999999999996</v>
      </c>
      <c r="I1346" s="1">
        <v>7</v>
      </c>
      <c r="J1346" s="4">
        <v>0.56999999999999995</v>
      </c>
      <c r="K1346" s="1">
        <v>0</v>
      </c>
      <c r="L1346" s="1">
        <v>4</v>
      </c>
      <c r="M1346" s="32">
        <f>IF(Mecze[[#This Row],[PR]]=0,0,Mecze[[#This Row],[PR]]/Mecze[[#This Row],[CZAS]])</f>
        <v>4.1237113402061855E-2</v>
      </c>
      <c r="N1346" s="32">
        <f>IF(Mecze[[#This Row],[OU]]=0,0,Mecze[[#This Row],[OU]]/Mecze[[#This Row],[CZAS]])</f>
        <v>4.1237113402061855E-2</v>
      </c>
      <c r="O1346" s="32">
        <f>IF(Mecze[[#This Row],[PC]]=0,0,Mecze[[#This Row],[PC]]/Mecze[[#This Row],[CZAS]])</f>
        <v>7.2164948453608241E-2</v>
      </c>
      <c r="P1346" s="32">
        <f>IF(Mecze[[#This Row],[SC]]=0,0,Mecze[[#This Row],[SC]]/Mecze[[#This Row],[CZAS]])</f>
        <v>0</v>
      </c>
      <c r="Q1346" s="32">
        <f>IF(Mecze[[#This Row],[OB]]=0,0,Mecze[[#This Row],[OB]]/Mecze[[#This Row],[CZAS]])</f>
        <v>0</v>
      </c>
      <c r="R1346" s="32">
        <f>IF(Mecze[[#This Row],[BR]]=0,0,Mecze[[#This Row],[BR]]/Mecze[[#This Row],[CZAS]])</f>
        <v>0</v>
      </c>
      <c r="S1346" s="44">
        <f>IF(Mecze[[#This Row],[Role]]="BR",SUMPRODUCT(Mecze[[#This Row],[/PR:90]:[/BR:90]],Brudnopis!$E$23:$J$23),0)</f>
        <v>0</v>
      </c>
      <c r="T1346" s="44">
        <f>IF(Mecze[[#This Row],[Role]]&lt;&gt;"BR",SUMPRODUCT(Mecze[[#This Row],[/PR:90]:[/BR:90]],Brudnopis!$E$24:$J$24),0)</f>
        <v>0.17525773195876287</v>
      </c>
      <c r="U1346" s="44">
        <f>IF(Mecze[[#This Row],[Role]]&lt;&gt;"BR",SUMPRODUCT(Mecze[[#This Row],[/PR:90]:[/BR:90]],Brudnopis!$E$25:$J$25),0)</f>
        <v>0.19072164948453607</v>
      </c>
      <c r="V1346" s="44">
        <f>IF(Mecze[[#This Row],[Role]]&lt;&gt;"BR",SUMPRODUCT(Mecze[[#This Row],[/PR:90]:[/BR:90]],Brudnopis!$E$26:$J$26),0)</f>
        <v>0.15463917525773196</v>
      </c>
      <c r="W1346" s="44">
        <f>IF(Mecze[[#This Row],[Role]]&lt;&gt;"BR",SUMPRODUCT(Mecze[[#This Row],[/PR:90]:[/BR:90]],Brudnopis!$E$27:$J$27),0)</f>
        <v>0.17010309278350516</v>
      </c>
      <c r="X1346" s="44">
        <f>IF(Mecze[[#This Row],[Role]]&lt;&gt;"BR",SUMPRODUCT(Mecze[[#This Row],[/PR:90]:[/BR:90]],Brudnopis!$E$28:$J$28),0)</f>
        <v>7.2164948453608241E-2</v>
      </c>
      <c r="Y1346" s="35">
        <f>IF(Mecze[[#This Row],[Role]]="BR",Mecze[[#This Row],[/OB:90]]+Mecze[[#This Row],[/PC:90]],SUM(Mecze[[#This Row],[/PR:90]:[/BR:90]]))</f>
        <v>0.15463917525773196</v>
      </c>
      <c r="Z1346" s="35">
        <f>IF(Mecze[[#This Row],[KC]]=0,SUM(Mecze[[#This Row],[/BRI]:[/NPI]]),SUM(Mecze[[#This Row],[/BRI]:[/NPI]])*0.6)</f>
        <v>0.76288659793814428</v>
      </c>
      <c r="AA1346" s="10">
        <f>IFERROR(Mecze[[#This Row],[BR]]/Mecze[[#This Row],[ST]],0)</f>
        <v>0</v>
      </c>
      <c r="AB1346">
        <f>ROUND(Mecze[[#This Row],[PD]]*Mecze[[#This Row],[%PC]],0)</f>
        <v>7</v>
      </c>
      <c r="AC1346">
        <f>ROUND(Mecze[[#This Row],[OD]]*Mecze[[#This Row],[%OU]],0)</f>
        <v>4</v>
      </c>
      <c r="AD1346" s="36" t="s">
        <v>41</v>
      </c>
      <c r="AE1346" s="36">
        <v>74</v>
      </c>
      <c r="AF1346" s="71">
        <v>5.97</v>
      </c>
      <c r="AG1346" s="37">
        <v>0</v>
      </c>
      <c r="AH1346" s="37">
        <v>0</v>
      </c>
      <c r="AI1346" s="37">
        <v>97</v>
      </c>
      <c r="AJ1346" s="37">
        <v>7</v>
      </c>
      <c r="AK1346" s="37" t="str">
        <f>VLOOKUP(Mecze[[#This Row],[Match ID]],Meczusie[Mecz]:Meczusie[RodzajMeczu],2,FALSE)</f>
        <v>Liga</v>
      </c>
    </row>
    <row r="1347" spans="1:37" x14ac:dyDescent="0.25">
      <c r="A1347" s="76">
        <v>200</v>
      </c>
      <c r="B1347" s="3" t="s">
        <v>339</v>
      </c>
      <c r="C1347" s="2" t="s">
        <v>160</v>
      </c>
      <c r="D1347" s="1">
        <v>0</v>
      </c>
      <c r="E1347" s="1">
        <v>0</v>
      </c>
      <c r="F1347" s="1">
        <v>0</v>
      </c>
      <c r="G1347" s="1">
        <v>16</v>
      </c>
      <c r="H1347" s="4">
        <v>0.69</v>
      </c>
      <c r="I1347" s="1">
        <v>9</v>
      </c>
      <c r="J1347" s="4">
        <v>0.67</v>
      </c>
      <c r="K1347" s="1">
        <v>0</v>
      </c>
      <c r="L1347" s="1">
        <v>3</v>
      </c>
      <c r="M1347" s="32">
        <f>IF(Mecze[[#This Row],[PR]]=0,0,Mecze[[#This Row],[PR]]/Mecze[[#This Row],[CZAS]])</f>
        <v>3.0927835051546393E-2</v>
      </c>
      <c r="N1347" s="32">
        <f>IF(Mecze[[#This Row],[OU]]=0,0,Mecze[[#This Row],[OU]]/Mecze[[#This Row],[CZAS]])</f>
        <v>6.1855670103092786E-2</v>
      </c>
      <c r="O1347" s="32">
        <f>IF(Mecze[[#This Row],[PC]]=0,0,Mecze[[#This Row],[PC]]/Mecze[[#This Row],[CZAS]])</f>
        <v>0.1134020618556701</v>
      </c>
      <c r="P1347" s="32">
        <f>IF(Mecze[[#This Row],[SC]]=0,0,Mecze[[#This Row],[SC]]/Mecze[[#This Row],[CZAS]])</f>
        <v>0</v>
      </c>
      <c r="Q1347" s="32">
        <f>IF(Mecze[[#This Row],[OB]]=0,0,Mecze[[#This Row],[OB]]/Mecze[[#This Row],[CZAS]])</f>
        <v>0</v>
      </c>
      <c r="R1347" s="32">
        <f>IF(Mecze[[#This Row],[BR]]=0,0,Mecze[[#This Row],[BR]]/Mecze[[#This Row],[CZAS]])</f>
        <v>0</v>
      </c>
      <c r="S1347" s="44">
        <f>IF(Mecze[[#This Row],[Role]]="BR",SUMPRODUCT(Mecze[[#This Row],[/PR:90]:[/BR:90]],Brudnopis!$E$23:$J$23),0)</f>
        <v>0</v>
      </c>
      <c r="T1347" s="44">
        <f>IF(Mecze[[#This Row],[Role]]&lt;&gt;"BR",SUMPRODUCT(Mecze[[#This Row],[/PR:90]:[/BR:90]],Brudnopis!$E$24:$J$24),0)</f>
        <v>0.23711340206185566</v>
      </c>
      <c r="U1347" s="44">
        <f>IF(Mecze[[#This Row],[Role]]&lt;&gt;"BR",SUMPRODUCT(Mecze[[#This Row],[/PR:90]:[/BR:90]],Brudnopis!$E$25:$J$25),0)</f>
        <v>0.26288659793814434</v>
      </c>
      <c r="V1347" s="44">
        <f>IF(Mecze[[#This Row],[Role]]&lt;&gt;"BR",SUMPRODUCT(Mecze[[#This Row],[/PR:90]:[/BR:90]],Brudnopis!$E$26:$J$26),0)</f>
        <v>0.20618556701030927</v>
      </c>
      <c r="W1347" s="44">
        <f>IF(Mecze[[#This Row],[Role]]&lt;&gt;"BR",SUMPRODUCT(Mecze[[#This Row],[/PR:90]:[/BR:90]],Brudnopis!$E$27:$J$27),0)</f>
        <v>0.23969072164948454</v>
      </c>
      <c r="X1347" s="44">
        <f>IF(Mecze[[#This Row],[Role]]&lt;&gt;"BR",SUMPRODUCT(Mecze[[#This Row],[/PR:90]:[/BR:90]],Brudnopis!$E$28:$J$28),0)</f>
        <v>0.1134020618556701</v>
      </c>
      <c r="Y1347" s="35">
        <f>IF(Mecze[[#This Row],[Role]]="BR",Mecze[[#This Row],[/OB:90]]+Mecze[[#This Row],[/PC:90]],SUM(Mecze[[#This Row],[/PR:90]:[/BR:90]]))</f>
        <v>0.20618556701030927</v>
      </c>
      <c r="Z1347" s="35">
        <f>IF(Mecze[[#This Row],[KC]]=0,SUM(Mecze[[#This Row],[/BRI]:[/NPI]]),SUM(Mecze[[#This Row],[/BRI]:[/NPI]])*0.6)</f>
        <v>1.0592783505154639</v>
      </c>
      <c r="AA1347" s="10">
        <f>IFERROR(Mecze[[#This Row],[BR]]/Mecze[[#This Row],[ST]],0)</f>
        <v>0</v>
      </c>
      <c r="AB1347">
        <f>ROUND(Mecze[[#This Row],[PD]]*Mecze[[#This Row],[%PC]],0)</f>
        <v>11</v>
      </c>
      <c r="AC1347">
        <f>ROUND(Mecze[[#This Row],[OD]]*Mecze[[#This Row],[%OU]],0)</f>
        <v>6</v>
      </c>
      <c r="AD1347" s="36" t="s">
        <v>67</v>
      </c>
      <c r="AE1347" s="36">
        <v>74</v>
      </c>
      <c r="AF1347" s="71">
        <v>4.6500000000000004</v>
      </c>
      <c r="AG1347" s="37">
        <v>1</v>
      </c>
      <c r="AH1347" s="37">
        <v>0</v>
      </c>
      <c r="AI1347" s="37">
        <v>97</v>
      </c>
      <c r="AJ1347" s="37">
        <v>7</v>
      </c>
      <c r="AK1347" s="37" t="str">
        <f>VLOOKUP(Mecze[[#This Row],[Match ID]],Meczusie[Mecz]:Meczusie[RodzajMeczu],2,FALSE)</f>
        <v>Liga</v>
      </c>
    </row>
    <row r="1348" spans="1:37" x14ac:dyDescent="0.25">
      <c r="A1348" s="76">
        <v>202</v>
      </c>
      <c r="B1348" s="3" t="s">
        <v>340</v>
      </c>
      <c r="C1348" s="2" t="s">
        <v>160</v>
      </c>
      <c r="D1348" s="1">
        <v>0</v>
      </c>
      <c r="E1348" s="1">
        <v>2</v>
      </c>
      <c r="F1348" s="1">
        <v>1</v>
      </c>
      <c r="G1348" s="1">
        <v>13</v>
      </c>
      <c r="H1348" s="4">
        <v>0.46</v>
      </c>
      <c r="I1348" s="1">
        <v>9</v>
      </c>
      <c r="J1348" s="4">
        <v>0.22</v>
      </c>
      <c r="K1348" s="1">
        <v>0</v>
      </c>
      <c r="L1348" s="1">
        <v>1</v>
      </c>
      <c r="M1348" s="32">
        <f>IF(Mecze[[#This Row],[PR]]=0,0,Mecze[[#This Row],[PR]]/Mecze[[#This Row],[CZAS]])</f>
        <v>1.0309278350515464E-2</v>
      </c>
      <c r="N1348" s="32">
        <f>IF(Mecze[[#This Row],[OU]]=0,0,Mecze[[#This Row],[OU]]/Mecze[[#This Row],[CZAS]])</f>
        <v>2.0618556701030927E-2</v>
      </c>
      <c r="O1348" s="32">
        <f>IF(Mecze[[#This Row],[PC]]=0,0,Mecze[[#This Row],[PC]]/Mecze[[#This Row],[CZAS]])</f>
        <v>6.1855670103092786E-2</v>
      </c>
      <c r="P1348" s="32">
        <f>IF(Mecze[[#This Row],[SC]]=0,0,Mecze[[#This Row],[SC]]/Mecze[[#This Row],[CZAS]])</f>
        <v>1.0309278350515464E-2</v>
      </c>
      <c r="Q1348" s="32">
        <f>IF(Mecze[[#This Row],[OB]]=0,0,Mecze[[#This Row],[OB]]/Mecze[[#This Row],[CZAS]])</f>
        <v>0</v>
      </c>
      <c r="R1348" s="32">
        <f>IF(Mecze[[#This Row],[BR]]=0,0,Mecze[[#This Row],[BR]]/Mecze[[#This Row],[CZAS]])</f>
        <v>0</v>
      </c>
      <c r="S1348" s="44">
        <f>IF(Mecze[[#This Row],[Role]]="BR",SUMPRODUCT(Mecze[[#This Row],[/PR:90]:[/BR:90]],Brudnopis!$E$23:$J$23),0)</f>
        <v>0</v>
      </c>
      <c r="T1348" s="44">
        <f>IF(Mecze[[#This Row],[Role]]&lt;&gt;"BR",SUMPRODUCT(Mecze[[#This Row],[/PR:90]:[/BR:90]],Brudnopis!$E$24:$J$24),0)</f>
        <v>0.1134020618556701</v>
      </c>
      <c r="U1348" s="44">
        <f>IF(Mecze[[#This Row],[Role]]&lt;&gt;"BR",SUMPRODUCT(Mecze[[#This Row],[/PR:90]:[/BR:90]],Brudnopis!$E$25:$J$25),0)</f>
        <v>0.13402061855670103</v>
      </c>
      <c r="V1348" s="44">
        <f>IF(Mecze[[#This Row],[Role]]&lt;&gt;"BR",SUMPRODUCT(Mecze[[#This Row],[/PR:90]:[/BR:90]],Brudnopis!$E$26:$J$26),0)</f>
        <v>0.10309278350515465</v>
      </c>
      <c r="W1348" s="44">
        <f>IF(Mecze[[#This Row],[Role]]&lt;&gt;"BR",SUMPRODUCT(Mecze[[#This Row],[/PR:90]:[/BR:90]],Brudnopis!$E$27:$J$27),0)</f>
        <v>0.12628865979381443</v>
      </c>
      <c r="X1348" s="44">
        <f>IF(Mecze[[#This Row],[Role]]&lt;&gt;"BR",SUMPRODUCT(Mecze[[#This Row],[/PR:90]:[/BR:90]],Brudnopis!$E$28:$J$28),0)</f>
        <v>8.247422680412371E-2</v>
      </c>
      <c r="Y1348" s="35">
        <f>IF(Mecze[[#This Row],[Role]]="BR",Mecze[[#This Row],[/OB:90]]+Mecze[[#This Row],[/PC:90]],SUM(Mecze[[#This Row],[/PR:90]:[/BR:90]]))</f>
        <v>0.10309278350515465</v>
      </c>
      <c r="Z1348" s="35">
        <f>IF(Mecze[[#This Row],[KC]]=0,SUM(Mecze[[#This Row],[/BRI]:[/NPI]]),SUM(Mecze[[#This Row],[/BRI]:[/NPI]])*0.6)</f>
        <v>0.55927835051546393</v>
      </c>
      <c r="AA1348" s="10">
        <f>IFERROR(Mecze[[#This Row],[BR]]/Mecze[[#This Row],[ST]],0)</f>
        <v>0</v>
      </c>
      <c r="AB1348">
        <f>ROUND(Mecze[[#This Row],[PD]]*Mecze[[#This Row],[%PC]],0)</f>
        <v>6</v>
      </c>
      <c r="AC1348">
        <f>ROUND(Mecze[[#This Row],[OD]]*Mecze[[#This Row],[%OU]],0)</f>
        <v>2</v>
      </c>
      <c r="AD1348" s="36" t="s">
        <v>44</v>
      </c>
      <c r="AE1348" s="36">
        <v>74</v>
      </c>
      <c r="AF1348" s="71">
        <v>4.3600000000000003</v>
      </c>
      <c r="AG1348" s="37">
        <v>0</v>
      </c>
      <c r="AH1348" s="37">
        <v>0</v>
      </c>
      <c r="AI1348" s="37">
        <v>97</v>
      </c>
      <c r="AJ1348" s="37">
        <v>7</v>
      </c>
      <c r="AK1348" s="37" t="str">
        <f>VLOOKUP(Mecze[[#This Row],[Match ID]],Meczusie[Mecz]:Meczusie[RodzajMeczu],2,FALSE)</f>
        <v>Liga</v>
      </c>
    </row>
    <row r="1349" spans="1:37" x14ac:dyDescent="0.25">
      <c r="A1349" s="76">
        <v>151</v>
      </c>
      <c r="B1349" s="3" t="s">
        <v>337</v>
      </c>
      <c r="C1349" s="2" t="s">
        <v>160</v>
      </c>
      <c r="D1349" s="1">
        <v>0</v>
      </c>
      <c r="E1349" s="1">
        <v>0</v>
      </c>
      <c r="F1349" s="1">
        <v>0</v>
      </c>
      <c r="G1349" s="1">
        <v>11</v>
      </c>
      <c r="H1349" s="4">
        <v>0.82</v>
      </c>
      <c r="I1349" s="1">
        <v>0</v>
      </c>
      <c r="J1349" s="4"/>
      <c r="K1349" s="1">
        <v>0</v>
      </c>
      <c r="L1349" s="1">
        <v>0</v>
      </c>
      <c r="M1349" s="32">
        <f>IF(Mecze[[#This Row],[PR]]=0,0,Mecze[[#This Row],[PR]]/Mecze[[#This Row],[CZAS]])</f>
        <v>0</v>
      </c>
      <c r="N1349" s="32">
        <f>IF(Mecze[[#This Row],[OU]]=0,0,Mecze[[#This Row],[OU]]/Mecze[[#This Row],[CZAS]])</f>
        <v>0</v>
      </c>
      <c r="O1349" s="32">
        <f>IF(Mecze[[#This Row],[PC]]=0,0,Mecze[[#This Row],[PC]]/Mecze[[#This Row],[CZAS]])</f>
        <v>9.2783505154639179E-2</v>
      </c>
      <c r="P1349" s="32">
        <f>IF(Mecze[[#This Row],[SC]]=0,0,Mecze[[#This Row],[SC]]/Mecze[[#This Row],[CZAS]])</f>
        <v>0</v>
      </c>
      <c r="Q1349" s="32">
        <f>IF(Mecze[[#This Row],[OB]]=0,0,Mecze[[#This Row],[OB]]/Mecze[[#This Row],[CZAS]])</f>
        <v>0</v>
      </c>
      <c r="R1349" s="32">
        <f>IF(Mecze[[#This Row],[BR]]=0,0,Mecze[[#This Row],[BR]]/Mecze[[#This Row],[CZAS]])</f>
        <v>0</v>
      </c>
      <c r="S1349" s="44">
        <f>IF(Mecze[[#This Row],[Role]]="BR",SUMPRODUCT(Mecze[[#This Row],[/PR:90]:[/BR:90]],Brudnopis!$E$23:$J$23),0)</f>
        <v>0</v>
      </c>
      <c r="T1349" s="44">
        <f>IF(Mecze[[#This Row],[Role]]&lt;&gt;"BR",SUMPRODUCT(Mecze[[#This Row],[/PR:90]:[/BR:90]],Brudnopis!$E$24:$J$24),0)</f>
        <v>9.2783505154639179E-2</v>
      </c>
      <c r="U1349" s="44">
        <f>IF(Mecze[[#This Row],[Role]]&lt;&gt;"BR",SUMPRODUCT(Mecze[[#This Row],[/PR:90]:[/BR:90]],Brudnopis!$E$25:$J$25),0)</f>
        <v>0.13917525773195877</v>
      </c>
      <c r="V1349" s="44">
        <f>IF(Mecze[[#This Row],[Role]]&lt;&gt;"BR",SUMPRODUCT(Mecze[[#This Row],[/PR:90]:[/BR:90]],Brudnopis!$E$26:$J$26),0)</f>
        <v>9.2783505154639179E-2</v>
      </c>
      <c r="W1349" s="44">
        <f>IF(Mecze[[#This Row],[Role]]&lt;&gt;"BR",SUMPRODUCT(Mecze[[#This Row],[/PR:90]:[/BR:90]],Brudnopis!$E$27:$J$27),0)</f>
        <v>0.13917525773195877</v>
      </c>
      <c r="X1349" s="44">
        <f>IF(Mecze[[#This Row],[Role]]&lt;&gt;"BR",SUMPRODUCT(Mecze[[#This Row],[/PR:90]:[/BR:90]],Brudnopis!$E$28:$J$28),0)</f>
        <v>9.2783505154639179E-2</v>
      </c>
      <c r="Y1349" s="35">
        <f>IF(Mecze[[#This Row],[Role]]="BR",Mecze[[#This Row],[/OB:90]]+Mecze[[#This Row],[/PC:90]],SUM(Mecze[[#This Row],[/PR:90]:[/BR:90]]))</f>
        <v>9.2783505154639179E-2</v>
      </c>
      <c r="Z1349" s="35">
        <f>IF(Mecze[[#This Row],[KC]]=0,SUM(Mecze[[#This Row],[/BRI]:[/NPI]]),SUM(Mecze[[#This Row],[/BRI]:[/NPI]])*0.6)</f>
        <v>0.55670103092783507</v>
      </c>
      <c r="AA1349" s="10">
        <f>IFERROR(Mecze[[#This Row],[BR]]/Mecze[[#This Row],[ST]],0)</f>
        <v>0</v>
      </c>
      <c r="AB1349">
        <f>ROUND(Mecze[[#This Row],[PD]]*Mecze[[#This Row],[%PC]],0)</f>
        <v>9</v>
      </c>
      <c r="AC1349">
        <f>ROUND(Mecze[[#This Row],[OD]]*Mecze[[#This Row],[%OU]],0)</f>
        <v>0</v>
      </c>
      <c r="AD1349" s="36" t="s">
        <v>299</v>
      </c>
      <c r="AE1349" s="36">
        <v>74</v>
      </c>
      <c r="AF1349" s="71">
        <v>6.04</v>
      </c>
      <c r="AG1349" s="37">
        <v>0</v>
      </c>
      <c r="AH1349" s="37">
        <v>0</v>
      </c>
      <c r="AI1349" s="37">
        <v>97</v>
      </c>
      <c r="AJ1349" s="37">
        <v>7</v>
      </c>
      <c r="AK1349" s="37" t="str">
        <f>VLOOKUP(Mecze[[#This Row],[Match ID]],Meczusie[Mecz]:Meczusie[RodzajMeczu],2,FALSE)</f>
        <v>Liga</v>
      </c>
    </row>
    <row r="1350" spans="1:37" x14ac:dyDescent="0.25">
      <c r="A1350" s="76">
        <v>203</v>
      </c>
      <c r="B1350" s="3" t="s">
        <v>342</v>
      </c>
      <c r="C1350" s="2" t="s">
        <v>165</v>
      </c>
      <c r="D1350" s="1">
        <v>3</v>
      </c>
      <c r="E1350" s="1">
        <v>14</v>
      </c>
      <c r="F1350" s="1">
        <v>12</v>
      </c>
      <c r="G1350" s="1">
        <v>3</v>
      </c>
      <c r="H1350" s="4">
        <v>1</v>
      </c>
      <c r="I1350" s="1">
        <v>2</v>
      </c>
      <c r="J1350" s="4">
        <v>0.5</v>
      </c>
      <c r="K1350" s="1">
        <v>0</v>
      </c>
      <c r="L1350" s="1">
        <v>3</v>
      </c>
      <c r="M1350" s="32">
        <f>IF(Mecze[[#This Row],[PR]]=0,0,Mecze[[#This Row],[PR]]/Mecze[[#This Row],[CZAS]])</f>
        <v>3.0927835051546393E-2</v>
      </c>
      <c r="N1350" s="32">
        <f>IF(Mecze[[#This Row],[OU]]=0,0,Mecze[[#This Row],[OU]]/Mecze[[#This Row],[CZAS]])</f>
        <v>1.0309278350515464E-2</v>
      </c>
      <c r="O1350" s="32">
        <f>IF(Mecze[[#This Row],[PC]]=0,0,Mecze[[#This Row],[PC]]/Mecze[[#This Row],[CZAS]])</f>
        <v>3.0927835051546393E-2</v>
      </c>
      <c r="P1350" s="32">
        <f>IF(Mecze[[#This Row],[SC]]=0,0,Mecze[[#This Row],[SC]]/Mecze[[#This Row],[CZAS]])</f>
        <v>0.12371134020618557</v>
      </c>
      <c r="Q1350" s="32">
        <f>IF(Mecze[[#This Row],[OB]]=0,0,Mecze[[#This Row],[OB]]/Mecze[[#This Row],[CZAS]])</f>
        <v>0</v>
      </c>
      <c r="R1350" s="32">
        <f>IF(Mecze[[#This Row],[BR]]=0,0,Mecze[[#This Row],[BR]]/Mecze[[#This Row],[CZAS]])</f>
        <v>3.0927835051546393E-2</v>
      </c>
      <c r="S1350" s="44">
        <f>IF(Mecze[[#This Row],[Role]]="BR",SUMPRODUCT(Mecze[[#This Row],[/PR:90]:[/BR:90]],Brudnopis!$E$23:$J$23),0)</f>
        <v>0</v>
      </c>
      <c r="T1350" s="44">
        <f>IF(Mecze[[#This Row],[Role]]&lt;&gt;"BR",SUMPRODUCT(Mecze[[#This Row],[/PR:90]:[/BR:90]],Brudnopis!$E$24:$J$24),0)</f>
        <v>0.24742268041237114</v>
      </c>
      <c r="U1350" s="44">
        <f>IF(Mecze[[#This Row],[Role]]&lt;&gt;"BR",SUMPRODUCT(Mecze[[#This Row],[/PR:90]:[/BR:90]],Brudnopis!$E$25:$J$25),0)</f>
        <v>0.25773195876288657</v>
      </c>
      <c r="V1350" s="44">
        <f>IF(Mecze[[#This Row],[Role]]&lt;&gt;"BR",SUMPRODUCT(Mecze[[#This Row],[/PR:90]:[/BR:90]],Brudnopis!$E$26:$J$26),0)</f>
        <v>0.25773195876288657</v>
      </c>
      <c r="W1350" s="44">
        <f>IF(Mecze[[#This Row],[Role]]&lt;&gt;"BR",SUMPRODUCT(Mecze[[#This Row],[/PR:90]:[/BR:90]],Brudnopis!$E$27:$J$27),0)</f>
        <v>0.26288659793814434</v>
      </c>
      <c r="X1350" s="44">
        <f>IF(Mecze[[#This Row],[Role]]&lt;&gt;"BR",SUMPRODUCT(Mecze[[#This Row],[/PR:90]:[/BR:90]],Brudnopis!$E$28:$J$28),0)</f>
        <v>0.37113402061855671</v>
      </c>
      <c r="Y1350" s="35">
        <f>IF(Mecze[[#This Row],[Role]]="BR",Mecze[[#This Row],[/OB:90]]+Mecze[[#This Row],[/PC:90]],SUM(Mecze[[#This Row],[/PR:90]:[/BR:90]]))</f>
        <v>0.22680412371134021</v>
      </c>
      <c r="Z1350" s="35">
        <f>IF(Mecze[[#This Row],[KC]]=0,SUM(Mecze[[#This Row],[/BRI]:[/NPI]]),SUM(Mecze[[#This Row],[/BRI]:[/NPI]])*0.6)</f>
        <v>1.3969072164948453</v>
      </c>
      <c r="AA1350" s="10">
        <f>IFERROR(Mecze[[#This Row],[BR]]/Mecze[[#This Row],[ST]],0)</f>
        <v>0.21428571428571427</v>
      </c>
      <c r="AB1350">
        <f>ROUND(Mecze[[#This Row],[PD]]*Mecze[[#This Row],[%PC]],0)</f>
        <v>3</v>
      </c>
      <c r="AC1350">
        <f>ROUND(Mecze[[#This Row],[OD]]*Mecze[[#This Row],[%OU]],0)</f>
        <v>1</v>
      </c>
      <c r="AD1350" s="36" t="s">
        <v>46</v>
      </c>
      <c r="AE1350" s="36">
        <v>74</v>
      </c>
      <c r="AF1350" s="71">
        <v>13.47</v>
      </c>
      <c r="AG1350" s="37">
        <v>0</v>
      </c>
      <c r="AH1350" s="37">
        <v>0</v>
      </c>
      <c r="AI1350" s="37">
        <v>97</v>
      </c>
      <c r="AJ1350" s="37">
        <v>7</v>
      </c>
      <c r="AK1350" s="37" t="str">
        <f>VLOOKUP(Mecze[[#This Row],[Match ID]],Meczusie[Mecz]:Meczusie[RodzajMeczu],2,FALSE)</f>
        <v>Liga</v>
      </c>
    </row>
    <row r="1351" spans="1:37" x14ac:dyDescent="0.25">
      <c r="A1351" s="76">
        <v>104</v>
      </c>
      <c r="B1351" s="3" t="s">
        <v>343</v>
      </c>
      <c r="C1351" s="2" t="s">
        <v>165</v>
      </c>
      <c r="D1351" s="1">
        <v>1</v>
      </c>
      <c r="E1351" s="1">
        <v>1</v>
      </c>
      <c r="F1351" s="1">
        <v>1</v>
      </c>
      <c r="G1351" s="1">
        <v>25</v>
      </c>
      <c r="H1351" s="4">
        <v>0.72</v>
      </c>
      <c r="I1351" s="1">
        <v>5</v>
      </c>
      <c r="J1351" s="4">
        <v>0.4</v>
      </c>
      <c r="K1351" s="1">
        <v>0</v>
      </c>
      <c r="L1351" s="1">
        <v>0</v>
      </c>
      <c r="M1351" s="32">
        <f>IF(Mecze[[#This Row],[PR]]=0,0,Mecze[[#This Row],[PR]]/Mecze[[#This Row],[CZAS]])</f>
        <v>0</v>
      </c>
      <c r="N1351" s="32">
        <f>IF(Mecze[[#This Row],[OU]]=0,0,Mecze[[#This Row],[OU]]/Mecze[[#This Row],[CZAS]])</f>
        <v>2.0618556701030927E-2</v>
      </c>
      <c r="O1351" s="32">
        <f>IF(Mecze[[#This Row],[PC]]=0,0,Mecze[[#This Row],[PC]]/Mecze[[#This Row],[CZAS]])</f>
        <v>0.18556701030927836</v>
      </c>
      <c r="P1351" s="32">
        <f>IF(Mecze[[#This Row],[SC]]=0,0,Mecze[[#This Row],[SC]]/Mecze[[#This Row],[CZAS]])</f>
        <v>1.0309278350515464E-2</v>
      </c>
      <c r="Q1351" s="32">
        <f>IF(Mecze[[#This Row],[OB]]=0,0,Mecze[[#This Row],[OB]]/Mecze[[#This Row],[CZAS]])</f>
        <v>0</v>
      </c>
      <c r="R1351" s="32">
        <f>IF(Mecze[[#This Row],[BR]]=0,0,Mecze[[#This Row],[BR]]/Mecze[[#This Row],[CZAS]])</f>
        <v>1.0309278350515464E-2</v>
      </c>
      <c r="S1351" s="44">
        <f>IF(Mecze[[#This Row],[Role]]="BR",SUMPRODUCT(Mecze[[#This Row],[/PR:90]:[/BR:90]],Brudnopis!$E$23:$J$23),0)</f>
        <v>0</v>
      </c>
      <c r="T1351" s="44">
        <f>IF(Mecze[[#This Row],[Role]]&lt;&gt;"BR",SUMPRODUCT(Mecze[[#This Row],[/PR:90]:[/BR:90]],Brudnopis!$E$24:$J$24),0)</f>
        <v>0.2422680412371134</v>
      </c>
      <c r="U1351" s="44">
        <f>IF(Mecze[[#This Row],[Role]]&lt;&gt;"BR",SUMPRODUCT(Mecze[[#This Row],[/PR:90]:[/BR:90]],Brudnopis!$E$25:$J$25),0)</f>
        <v>0.32474226804123713</v>
      </c>
      <c r="V1351" s="44">
        <f>IF(Mecze[[#This Row],[Role]]&lt;&gt;"BR",SUMPRODUCT(Mecze[[#This Row],[/PR:90]:[/BR:90]],Brudnopis!$E$26:$J$26),0)</f>
        <v>0.23711340206185569</v>
      </c>
      <c r="W1351" s="44">
        <f>IF(Mecze[[#This Row],[Role]]&lt;&gt;"BR",SUMPRODUCT(Mecze[[#This Row],[/PR:90]:[/BR:90]],Brudnopis!$E$27:$J$27),0)</f>
        <v>0.32474226804123713</v>
      </c>
      <c r="X1351" s="44">
        <f>IF(Mecze[[#This Row],[Role]]&lt;&gt;"BR",SUMPRODUCT(Mecze[[#This Row],[/PR:90]:[/BR:90]],Brudnopis!$E$28:$J$28),0)</f>
        <v>0.23711340206185569</v>
      </c>
      <c r="Y1351" s="35">
        <f>IF(Mecze[[#This Row],[Role]]="BR",Mecze[[#This Row],[/OB:90]]+Mecze[[#This Row],[/PC:90]],SUM(Mecze[[#This Row],[/PR:90]:[/BR:90]]))</f>
        <v>0.22680412371134021</v>
      </c>
      <c r="Z1351" s="35">
        <f>IF(Mecze[[#This Row],[KC]]=0,SUM(Mecze[[#This Row],[/BRI]:[/NPI]]),SUM(Mecze[[#This Row],[/BRI]:[/NPI]])*0.6)</f>
        <v>1.365979381443299</v>
      </c>
      <c r="AA1351" s="10">
        <f>IFERROR(Mecze[[#This Row],[BR]]/Mecze[[#This Row],[ST]],0)</f>
        <v>1</v>
      </c>
      <c r="AB1351">
        <f>ROUND(Mecze[[#This Row],[PD]]*Mecze[[#This Row],[%PC]],0)</f>
        <v>18</v>
      </c>
      <c r="AC1351">
        <f>ROUND(Mecze[[#This Row],[OD]]*Mecze[[#This Row],[%OU]],0)</f>
        <v>2</v>
      </c>
      <c r="AD1351" s="36" t="s">
        <v>355</v>
      </c>
      <c r="AE1351" s="36">
        <v>74</v>
      </c>
      <c r="AF1351" s="71">
        <v>7.78</v>
      </c>
      <c r="AG1351" s="37">
        <v>0</v>
      </c>
      <c r="AH1351" s="37">
        <v>0</v>
      </c>
      <c r="AI1351" s="37">
        <v>97</v>
      </c>
      <c r="AJ1351" s="37">
        <v>7</v>
      </c>
      <c r="AK1351" s="37" t="str">
        <f>VLOOKUP(Mecze[[#This Row],[Match ID]],Meczusie[Mecz]:Meczusie[RodzajMeczu],2,FALSE)</f>
        <v>Liga</v>
      </c>
    </row>
    <row r="1352" spans="1:37" x14ac:dyDescent="0.25">
      <c r="A1352" s="76">
        <v>1</v>
      </c>
      <c r="B1352" s="3" t="s">
        <v>236</v>
      </c>
      <c r="C1352" s="2" t="s">
        <v>155</v>
      </c>
      <c r="D1352" s="1">
        <v>0</v>
      </c>
      <c r="E1352" s="1">
        <v>0</v>
      </c>
      <c r="F1352" s="1">
        <v>0</v>
      </c>
      <c r="G1352" s="1">
        <v>11</v>
      </c>
      <c r="H1352" s="4">
        <v>0.55000000000000004</v>
      </c>
      <c r="I1352" s="1">
        <v>0</v>
      </c>
      <c r="J1352" s="4"/>
      <c r="K1352" s="1">
        <v>9</v>
      </c>
      <c r="L1352" s="1">
        <v>0</v>
      </c>
      <c r="M1352" s="32">
        <f>IF(Mecze[[#This Row],[PR]]=0,0,Mecze[[#This Row],[PR]]/Mecze[[#This Row],[CZAS]])</f>
        <v>0</v>
      </c>
      <c r="N1352" s="32">
        <f>IF(Mecze[[#This Row],[OU]]=0,0,Mecze[[#This Row],[OU]]/Mecze[[#This Row],[CZAS]])</f>
        <v>0</v>
      </c>
      <c r="O1352" s="32">
        <f>IF(Mecze[[#This Row],[PC]]=0,0,Mecze[[#This Row],[PC]]/Mecze[[#This Row],[CZAS]])</f>
        <v>6.1855670103092786E-2</v>
      </c>
      <c r="P1352" s="32">
        <f>IF(Mecze[[#This Row],[SC]]=0,0,Mecze[[#This Row],[SC]]/Mecze[[#This Row],[CZAS]])</f>
        <v>0</v>
      </c>
      <c r="Q1352" s="32">
        <f>IF(Mecze[[#This Row],[OB]]=0,0,Mecze[[#This Row],[OB]]/Mecze[[#This Row],[CZAS]])</f>
        <v>9.2783505154639179E-2</v>
      </c>
      <c r="R1352" s="32">
        <f>IF(Mecze[[#This Row],[BR]]=0,0,Mecze[[#This Row],[BR]]/Mecze[[#This Row],[CZAS]])</f>
        <v>0</v>
      </c>
      <c r="S1352" s="44">
        <f>IF(Mecze[[#This Row],[Role]]="BR",SUMPRODUCT(Mecze[[#This Row],[/PR:90]:[/BR:90]],Brudnopis!$E$23:$J$23),0)</f>
        <v>0.46391752577319589</v>
      </c>
      <c r="T1352" s="44">
        <f>IF(Mecze[[#This Row],[Role]]&lt;&gt;"BR",SUMPRODUCT(Mecze[[#This Row],[/PR:90]:[/BR:90]],Brudnopis!$E$24:$J$24),0)</f>
        <v>0</v>
      </c>
      <c r="U1352" s="44">
        <f>IF(Mecze[[#This Row],[Role]]&lt;&gt;"BR",SUMPRODUCT(Mecze[[#This Row],[/PR:90]:[/BR:90]],Brudnopis!$E$25:$J$25),0)</f>
        <v>0</v>
      </c>
      <c r="V1352" s="44">
        <f>IF(Mecze[[#This Row],[Role]]&lt;&gt;"BR",SUMPRODUCT(Mecze[[#This Row],[/PR:90]:[/BR:90]],Brudnopis!$E$26:$J$26),0)</f>
        <v>0</v>
      </c>
      <c r="W1352" s="44">
        <f>IF(Mecze[[#This Row],[Role]]&lt;&gt;"BR",SUMPRODUCT(Mecze[[#This Row],[/PR:90]:[/BR:90]],Brudnopis!$E$27:$J$27),0)</f>
        <v>0</v>
      </c>
      <c r="X1352" s="44">
        <f>IF(Mecze[[#This Row],[Role]]&lt;&gt;"BR",SUMPRODUCT(Mecze[[#This Row],[/PR:90]:[/BR:90]],Brudnopis!$E$28:$J$28),0)</f>
        <v>0</v>
      </c>
      <c r="Y1352" s="35">
        <f>IF(Mecze[[#This Row],[Role]]="BR",Mecze[[#This Row],[/OB:90]]+Mecze[[#This Row],[/PC:90]],SUM(Mecze[[#This Row],[/PR:90]:[/BR:90]]))</f>
        <v>0.15463917525773196</v>
      </c>
      <c r="Z1352" s="35">
        <f>IF(Mecze[[#This Row],[KC]]=0,SUM(Mecze[[#This Row],[/BRI]:[/NPI]]),SUM(Mecze[[#This Row],[/BRI]:[/NPI]])*0.6)</f>
        <v>0.46391752577319589</v>
      </c>
      <c r="AA1352" s="10">
        <f>IFERROR(Mecze[[#This Row],[BR]]/Mecze[[#This Row],[ST]],0)</f>
        <v>0</v>
      </c>
      <c r="AB1352">
        <f>ROUND(Mecze[[#This Row],[PD]]*Mecze[[#This Row],[%PC]],0)</f>
        <v>6</v>
      </c>
      <c r="AC1352">
        <f>ROUND(Mecze[[#This Row],[OD]]*Mecze[[#This Row],[%OU]],0)</f>
        <v>0</v>
      </c>
      <c r="AD1352" s="36" t="s">
        <v>40</v>
      </c>
      <c r="AE1352" s="36">
        <v>74</v>
      </c>
      <c r="AF1352" s="71">
        <v>4.95</v>
      </c>
      <c r="AG1352" s="37">
        <v>0</v>
      </c>
      <c r="AH1352" s="37">
        <v>0</v>
      </c>
      <c r="AI1352" s="37">
        <v>97</v>
      </c>
      <c r="AJ1352" s="37">
        <v>10</v>
      </c>
      <c r="AK1352" s="37" t="str">
        <f>VLOOKUP(Mecze[[#This Row],[Match ID]],Meczusie[Mecz]:Meczusie[RodzajMeczu],2,FALSE)</f>
        <v>Liga</v>
      </c>
    </row>
    <row r="1353" spans="1:37" x14ac:dyDescent="0.25">
      <c r="A1353" s="76">
        <v>3</v>
      </c>
      <c r="B1353" s="3" t="s">
        <v>237</v>
      </c>
      <c r="C1353" s="2" t="s">
        <v>157</v>
      </c>
      <c r="D1353" s="1">
        <v>0</v>
      </c>
      <c r="E1353" s="1">
        <v>0</v>
      </c>
      <c r="F1353" s="1">
        <v>0</v>
      </c>
      <c r="G1353" s="1">
        <v>3</v>
      </c>
      <c r="H1353" s="4">
        <v>1</v>
      </c>
      <c r="I1353" s="1">
        <v>1</v>
      </c>
      <c r="J1353" s="4">
        <v>1</v>
      </c>
      <c r="K1353" s="1">
        <v>0</v>
      </c>
      <c r="L1353" s="1">
        <v>1</v>
      </c>
      <c r="M1353" s="32">
        <f>IF(Mecze[[#This Row],[PR]]=0,0,Mecze[[#This Row],[PR]]/Mecze[[#This Row],[CZAS]])</f>
        <v>1.0309278350515464E-2</v>
      </c>
      <c r="N1353" s="32">
        <f>IF(Mecze[[#This Row],[OU]]=0,0,Mecze[[#This Row],[OU]]/Mecze[[#This Row],[CZAS]])</f>
        <v>1.0309278350515464E-2</v>
      </c>
      <c r="O1353" s="32">
        <f>IF(Mecze[[#This Row],[PC]]=0,0,Mecze[[#This Row],[PC]]/Mecze[[#This Row],[CZAS]])</f>
        <v>3.0927835051546393E-2</v>
      </c>
      <c r="P1353" s="32">
        <f>IF(Mecze[[#This Row],[SC]]=0,0,Mecze[[#This Row],[SC]]/Mecze[[#This Row],[CZAS]])</f>
        <v>0</v>
      </c>
      <c r="Q1353" s="32">
        <f>IF(Mecze[[#This Row],[OB]]=0,0,Mecze[[#This Row],[OB]]/Mecze[[#This Row],[CZAS]])</f>
        <v>0</v>
      </c>
      <c r="R1353" s="32">
        <f>IF(Mecze[[#This Row],[BR]]=0,0,Mecze[[#This Row],[BR]]/Mecze[[#This Row],[CZAS]])</f>
        <v>0</v>
      </c>
      <c r="S1353" s="44">
        <f>IF(Mecze[[#This Row],[Role]]="BR",SUMPRODUCT(Mecze[[#This Row],[/PR:90]:[/BR:90]],Brudnopis!$E$23:$J$23),0)</f>
        <v>0</v>
      </c>
      <c r="T1353" s="44">
        <f>IF(Mecze[[#This Row],[Role]]&lt;&gt;"BR",SUMPRODUCT(Mecze[[#This Row],[/PR:90]:[/BR:90]],Brudnopis!$E$24:$J$24),0)</f>
        <v>5.6701030927835051E-2</v>
      </c>
      <c r="U1353" s="44">
        <f>IF(Mecze[[#This Row],[Role]]&lt;&gt;"BR",SUMPRODUCT(Mecze[[#This Row],[/PR:90]:[/BR:90]],Brudnopis!$E$25:$J$25),0)</f>
        <v>6.7010309278350513E-2</v>
      </c>
      <c r="V1353" s="44">
        <f>IF(Mecze[[#This Row],[Role]]&lt;&gt;"BR",SUMPRODUCT(Mecze[[#This Row],[/PR:90]:[/BR:90]],Brudnopis!$E$26:$J$26),0)</f>
        <v>5.1546391752577317E-2</v>
      </c>
      <c r="W1353" s="44">
        <f>IF(Mecze[[#This Row],[Role]]&lt;&gt;"BR",SUMPRODUCT(Mecze[[#This Row],[/PR:90]:[/BR:90]],Brudnopis!$E$27:$J$27),0)</f>
        <v>6.1855670103092786E-2</v>
      </c>
      <c r="X1353" s="44">
        <f>IF(Mecze[[#This Row],[Role]]&lt;&gt;"BR",SUMPRODUCT(Mecze[[#This Row],[/PR:90]:[/BR:90]],Brudnopis!$E$28:$J$28),0)</f>
        <v>3.0927835051546393E-2</v>
      </c>
      <c r="Y1353" s="35">
        <f>IF(Mecze[[#This Row],[Role]]="BR",Mecze[[#This Row],[/OB:90]]+Mecze[[#This Row],[/PC:90]],SUM(Mecze[[#This Row],[/PR:90]:[/BR:90]]))</f>
        <v>5.1546391752577317E-2</v>
      </c>
      <c r="Z1353" s="35">
        <f>IF(Mecze[[#This Row],[KC]]=0,SUM(Mecze[[#This Row],[/BRI]:[/NPI]]),SUM(Mecze[[#This Row],[/BRI]:[/NPI]])*0.6)</f>
        <v>0.26804123711340205</v>
      </c>
      <c r="AA1353" s="10">
        <f>IFERROR(Mecze[[#This Row],[BR]]/Mecze[[#This Row],[ST]],0)</f>
        <v>0</v>
      </c>
      <c r="AB1353">
        <f>ROUND(Mecze[[#This Row],[PD]]*Mecze[[#This Row],[%PC]],0)</f>
        <v>3</v>
      </c>
      <c r="AC1353">
        <f>ROUND(Mecze[[#This Row],[OD]]*Mecze[[#This Row],[%OU]],0)</f>
        <v>1</v>
      </c>
      <c r="AD1353" s="36" t="s">
        <v>47</v>
      </c>
      <c r="AE1353" s="36">
        <v>74</v>
      </c>
      <c r="AF1353" s="71">
        <v>0.79</v>
      </c>
      <c r="AG1353" s="37">
        <v>0</v>
      </c>
      <c r="AH1353" s="37">
        <v>0</v>
      </c>
      <c r="AI1353" s="37">
        <v>97</v>
      </c>
      <c r="AJ1353" s="37">
        <v>10</v>
      </c>
      <c r="AK1353" s="37" t="str">
        <f>VLOOKUP(Mecze[[#This Row],[Match ID]],Meczusie[Mecz]:Meczusie[RodzajMeczu],2,FALSE)</f>
        <v>Liga</v>
      </c>
    </row>
    <row r="1354" spans="1:37" x14ac:dyDescent="0.25">
      <c r="A1354" s="76">
        <v>4</v>
      </c>
      <c r="B1354" s="3" t="s">
        <v>238</v>
      </c>
      <c r="C1354" s="2" t="s">
        <v>157</v>
      </c>
      <c r="D1354" s="1">
        <v>0</v>
      </c>
      <c r="E1354" s="1">
        <v>0</v>
      </c>
      <c r="F1354" s="1">
        <v>0</v>
      </c>
      <c r="G1354" s="1">
        <v>7</v>
      </c>
      <c r="H1354" s="4">
        <v>0.28999999999999998</v>
      </c>
      <c r="I1354" s="1">
        <v>20</v>
      </c>
      <c r="J1354" s="4">
        <v>0.3</v>
      </c>
      <c r="K1354" s="1">
        <v>0</v>
      </c>
      <c r="L1354" s="1">
        <v>11</v>
      </c>
      <c r="M1354" s="32">
        <f>IF(Mecze[[#This Row],[PR]]=0,0,Mecze[[#This Row],[PR]]/Mecze[[#This Row],[CZAS]])</f>
        <v>0.1134020618556701</v>
      </c>
      <c r="N1354" s="32">
        <f>IF(Mecze[[#This Row],[OU]]=0,0,Mecze[[#This Row],[OU]]/Mecze[[#This Row],[CZAS]])</f>
        <v>6.1855670103092786E-2</v>
      </c>
      <c r="O1354" s="32">
        <f>IF(Mecze[[#This Row],[PC]]=0,0,Mecze[[#This Row],[PC]]/Mecze[[#This Row],[CZAS]])</f>
        <v>2.0618556701030927E-2</v>
      </c>
      <c r="P1354" s="32">
        <f>IF(Mecze[[#This Row],[SC]]=0,0,Mecze[[#This Row],[SC]]/Mecze[[#This Row],[CZAS]])</f>
        <v>0</v>
      </c>
      <c r="Q1354" s="32">
        <f>IF(Mecze[[#This Row],[OB]]=0,0,Mecze[[#This Row],[OB]]/Mecze[[#This Row],[CZAS]])</f>
        <v>0</v>
      </c>
      <c r="R1354" s="32">
        <f>IF(Mecze[[#This Row],[BR]]=0,0,Mecze[[#This Row],[BR]]/Mecze[[#This Row],[CZAS]])</f>
        <v>0</v>
      </c>
      <c r="S1354" s="44">
        <f>IF(Mecze[[#This Row],[Role]]="BR",SUMPRODUCT(Mecze[[#This Row],[/PR:90]:[/BR:90]],Brudnopis!$E$23:$J$23),0)</f>
        <v>0</v>
      </c>
      <c r="T1354" s="44">
        <f>IF(Mecze[[#This Row],[Role]]&lt;&gt;"BR",SUMPRODUCT(Mecze[[#This Row],[/PR:90]:[/BR:90]],Brudnopis!$E$24:$J$24),0)</f>
        <v>0.22680412371134021</v>
      </c>
      <c r="U1354" s="44">
        <f>IF(Mecze[[#This Row],[Role]]&lt;&gt;"BR",SUMPRODUCT(Mecze[[#This Row],[/PR:90]:[/BR:90]],Brudnopis!$E$25:$J$25),0)</f>
        <v>0.20618556701030927</v>
      </c>
      <c r="V1354" s="44">
        <f>IF(Mecze[[#This Row],[Role]]&lt;&gt;"BR",SUMPRODUCT(Mecze[[#This Row],[/PR:90]:[/BR:90]],Brudnopis!$E$26:$J$26),0)</f>
        <v>0.19587628865979381</v>
      </c>
      <c r="W1354" s="44">
        <f>IF(Mecze[[#This Row],[Role]]&lt;&gt;"BR",SUMPRODUCT(Mecze[[#This Row],[/PR:90]:[/BR:90]],Brudnopis!$E$27:$J$27),0)</f>
        <v>0.16237113402061856</v>
      </c>
      <c r="X1354" s="44">
        <f>IF(Mecze[[#This Row],[Role]]&lt;&gt;"BR",SUMPRODUCT(Mecze[[#This Row],[/PR:90]:[/BR:90]],Brudnopis!$E$28:$J$28),0)</f>
        <v>2.0618556701030927E-2</v>
      </c>
      <c r="Y1354" s="35">
        <f>IF(Mecze[[#This Row],[Role]]="BR",Mecze[[#This Row],[/OB:90]]+Mecze[[#This Row],[/PC:90]],SUM(Mecze[[#This Row],[/PR:90]:[/BR:90]]))</f>
        <v>0.19587628865979381</v>
      </c>
      <c r="Z1354" s="35">
        <f>IF(Mecze[[#This Row],[KC]]=0,SUM(Mecze[[#This Row],[/BRI]:[/NPI]]),SUM(Mecze[[#This Row],[/BRI]:[/NPI]])*0.6)</f>
        <v>0.81185567010309279</v>
      </c>
      <c r="AA1354" s="10">
        <f>IFERROR(Mecze[[#This Row],[BR]]/Mecze[[#This Row],[ST]],0)</f>
        <v>0</v>
      </c>
      <c r="AB1354">
        <f>ROUND(Mecze[[#This Row],[PD]]*Mecze[[#This Row],[%PC]],0)</f>
        <v>2</v>
      </c>
      <c r="AC1354">
        <f>ROUND(Mecze[[#This Row],[OD]]*Mecze[[#This Row],[%OU]],0)</f>
        <v>6</v>
      </c>
      <c r="AD1354" s="36" t="s">
        <v>47</v>
      </c>
      <c r="AE1354" s="36">
        <v>74</v>
      </c>
      <c r="AF1354" s="71">
        <v>2.89</v>
      </c>
      <c r="AG1354" s="37">
        <v>0</v>
      </c>
      <c r="AH1354" s="37">
        <v>0</v>
      </c>
      <c r="AI1354" s="37">
        <v>97</v>
      </c>
      <c r="AJ1354" s="37">
        <v>10</v>
      </c>
      <c r="AK1354" s="37" t="str">
        <f>VLOOKUP(Mecze[[#This Row],[Match ID]],Meczusie[Mecz]:Meczusie[RodzajMeczu],2,FALSE)</f>
        <v>Liga</v>
      </c>
    </row>
    <row r="1355" spans="1:37" x14ac:dyDescent="0.25">
      <c r="A1355" s="76">
        <v>2</v>
      </c>
      <c r="B1355" s="3" t="s">
        <v>240</v>
      </c>
      <c r="C1355" s="2" t="s">
        <v>157</v>
      </c>
      <c r="D1355" s="1">
        <v>0</v>
      </c>
      <c r="E1355" s="1">
        <v>0</v>
      </c>
      <c r="F1355" s="1">
        <v>0</v>
      </c>
      <c r="G1355" s="1">
        <v>11</v>
      </c>
      <c r="H1355" s="4">
        <v>0.64</v>
      </c>
      <c r="I1355" s="1">
        <v>15</v>
      </c>
      <c r="J1355" s="4">
        <v>0.47</v>
      </c>
      <c r="K1355" s="1">
        <v>0</v>
      </c>
      <c r="L1355" s="1">
        <v>15</v>
      </c>
      <c r="M1355" s="32">
        <f>IF(Mecze[[#This Row],[PR]]=0,0,Mecze[[#This Row],[PR]]/Mecze[[#This Row],[CZAS]])</f>
        <v>0.15463917525773196</v>
      </c>
      <c r="N1355" s="32">
        <f>IF(Mecze[[#This Row],[OU]]=0,0,Mecze[[#This Row],[OU]]/Mecze[[#This Row],[CZAS]])</f>
        <v>7.2164948453608241E-2</v>
      </c>
      <c r="O1355" s="32">
        <f>IF(Mecze[[#This Row],[PC]]=0,0,Mecze[[#This Row],[PC]]/Mecze[[#This Row],[CZAS]])</f>
        <v>7.2164948453608241E-2</v>
      </c>
      <c r="P1355" s="32">
        <f>IF(Mecze[[#This Row],[SC]]=0,0,Mecze[[#This Row],[SC]]/Mecze[[#This Row],[CZAS]])</f>
        <v>0</v>
      </c>
      <c r="Q1355" s="32">
        <f>IF(Mecze[[#This Row],[OB]]=0,0,Mecze[[#This Row],[OB]]/Mecze[[#This Row],[CZAS]])</f>
        <v>0</v>
      </c>
      <c r="R1355" s="32">
        <f>IF(Mecze[[#This Row],[BR]]=0,0,Mecze[[#This Row],[BR]]/Mecze[[#This Row],[CZAS]])</f>
        <v>0</v>
      </c>
      <c r="S1355" s="44">
        <f>IF(Mecze[[#This Row],[Role]]="BR",SUMPRODUCT(Mecze[[#This Row],[/PR:90]:[/BR:90]],Brudnopis!$E$23:$J$23),0)</f>
        <v>0</v>
      </c>
      <c r="T1355" s="44">
        <f>IF(Mecze[[#This Row],[Role]]&lt;&gt;"BR",SUMPRODUCT(Mecze[[#This Row],[/PR:90]:[/BR:90]],Brudnopis!$E$24:$J$24),0)</f>
        <v>0.33505154639175261</v>
      </c>
      <c r="U1355" s="44">
        <f>IF(Mecze[[#This Row],[Role]]&lt;&gt;"BR",SUMPRODUCT(Mecze[[#This Row],[/PR:90]:[/BR:90]],Brudnopis!$E$25:$J$25),0)</f>
        <v>0.33505154639175255</v>
      </c>
      <c r="V1355" s="44">
        <f>IF(Mecze[[#This Row],[Role]]&lt;&gt;"BR",SUMPRODUCT(Mecze[[#This Row],[/PR:90]:[/BR:90]],Brudnopis!$E$26:$J$26),0)</f>
        <v>0.29896907216494845</v>
      </c>
      <c r="W1355" s="44">
        <f>IF(Mecze[[#This Row],[Role]]&lt;&gt;"BR",SUMPRODUCT(Mecze[[#This Row],[/PR:90]:[/BR:90]],Brudnopis!$E$27:$J$27),0)</f>
        <v>0.27835051546391754</v>
      </c>
      <c r="X1355" s="44">
        <f>IF(Mecze[[#This Row],[Role]]&lt;&gt;"BR",SUMPRODUCT(Mecze[[#This Row],[/PR:90]:[/BR:90]],Brudnopis!$E$28:$J$28),0)</f>
        <v>7.2164948453608241E-2</v>
      </c>
      <c r="Y1355" s="35">
        <f>IF(Mecze[[#This Row],[Role]]="BR",Mecze[[#This Row],[/OB:90]]+Mecze[[#This Row],[/PC:90]],SUM(Mecze[[#This Row],[/PR:90]:[/BR:90]]))</f>
        <v>0.29896907216494845</v>
      </c>
      <c r="Z1355" s="35">
        <f>IF(Mecze[[#This Row],[KC]]=0,SUM(Mecze[[#This Row],[/BRI]:[/NPI]]),SUM(Mecze[[#This Row],[/BRI]:[/NPI]])*0.6)</f>
        <v>1.3195876288659794</v>
      </c>
      <c r="AA1355" s="10">
        <f>IFERROR(Mecze[[#This Row],[BR]]/Mecze[[#This Row],[ST]],0)</f>
        <v>0</v>
      </c>
      <c r="AB1355">
        <f>ROUND(Mecze[[#This Row],[PD]]*Mecze[[#This Row],[%PC]],0)</f>
        <v>7</v>
      </c>
      <c r="AC1355">
        <f>ROUND(Mecze[[#This Row],[OD]]*Mecze[[#This Row],[%OU]],0)</f>
        <v>7</v>
      </c>
      <c r="AD1355" s="36" t="s">
        <v>174</v>
      </c>
      <c r="AE1355" s="36">
        <v>74</v>
      </c>
      <c r="AF1355" s="71">
        <v>3.73</v>
      </c>
      <c r="AG1355" s="37">
        <v>0</v>
      </c>
      <c r="AH1355" s="37">
        <v>0</v>
      </c>
      <c r="AI1355" s="37">
        <v>97</v>
      </c>
      <c r="AJ1355" s="37">
        <v>10</v>
      </c>
      <c r="AK1355" s="37" t="str">
        <f>VLOOKUP(Mecze[[#This Row],[Match ID]],Meczusie[Mecz]:Meczusie[RodzajMeczu],2,FALSE)</f>
        <v>Liga</v>
      </c>
    </row>
    <row r="1356" spans="1:37" x14ac:dyDescent="0.25">
      <c r="A1356" s="76">
        <v>12</v>
      </c>
      <c r="B1356" s="3" t="s">
        <v>239</v>
      </c>
      <c r="C1356" s="2" t="s">
        <v>157</v>
      </c>
      <c r="D1356" s="1">
        <v>0</v>
      </c>
      <c r="E1356" s="1">
        <v>0</v>
      </c>
      <c r="F1356" s="1">
        <v>0</v>
      </c>
      <c r="G1356" s="1">
        <v>3</v>
      </c>
      <c r="H1356" s="4">
        <v>1</v>
      </c>
      <c r="I1356" s="1">
        <v>2</v>
      </c>
      <c r="J1356" s="4">
        <v>1</v>
      </c>
      <c r="K1356" s="1">
        <v>0</v>
      </c>
      <c r="L1356" s="1">
        <v>3</v>
      </c>
      <c r="M1356" s="32">
        <f>IF(Mecze[[#This Row],[PR]]=0,0,Mecze[[#This Row],[PR]]/Mecze[[#This Row],[CZAS]])</f>
        <v>3.0927835051546393E-2</v>
      </c>
      <c r="N1356" s="32">
        <f>IF(Mecze[[#This Row],[OU]]=0,0,Mecze[[#This Row],[OU]]/Mecze[[#This Row],[CZAS]])</f>
        <v>2.0618556701030927E-2</v>
      </c>
      <c r="O1356" s="32">
        <f>IF(Mecze[[#This Row],[PC]]=0,0,Mecze[[#This Row],[PC]]/Mecze[[#This Row],[CZAS]])</f>
        <v>3.0927835051546393E-2</v>
      </c>
      <c r="P1356" s="32">
        <f>IF(Mecze[[#This Row],[SC]]=0,0,Mecze[[#This Row],[SC]]/Mecze[[#This Row],[CZAS]])</f>
        <v>0</v>
      </c>
      <c r="Q1356" s="32">
        <f>IF(Mecze[[#This Row],[OB]]=0,0,Mecze[[#This Row],[OB]]/Mecze[[#This Row],[CZAS]])</f>
        <v>0</v>
      </c>
      <c r="R1356" s="32">
        <f>IF(Mecze[[#This Row],[BR]]=0,0,Mecze[[#This Row],[BR]]/Mecze[[#This Row],[CZAS]])</f>
        <v>0</v>
      </c>
      <c r="S1356" s="44">
        <f>IF(Mecze[[#This Row],[Role]]="BR",SUMPRODUCT(Mecze[[#This Row],[/PR:90]:[/BR:90]],Brudnopis!$E$23:$J$23),0)</f>
        <v>0</v>
      </c>
      <c r="T1356" s="44">
        <f>IF(Mecze[[#This Row],[Role]]&lt;&gt;"BR",SUMPRODUCT(Mecze[[#This Row],[/PR:90]:[/BR:90]],Brudnopis!$E$24:$J$24),0)</f>
        <v>9.2783505154639179E-2</v>
      </c>
      <c r="U1356" s="44">
        <f>IF(Mecze[[#This Row],[Role]]&lt;&gt;"BR",SUMPRODUCT(Mecze[[#This Row],[/PR:90]:[/BR:90]],Brudnopis!$E$25:$J$25),0)</f>
        <v>9.7938144329896906E-2</v>
      </c>
      <c r="V1356" s="44">
        <f>IF(Mecze[[#This Row],[Role]]&lt;&gt;"BR",SUMPRODUCT(Mecze[[#This Row],[/PR:90]:[/BR:90]],Brudnopis!$E$26:$J$26),0)</f>
        <v>8.247422680412371E-2</v>
      </c>
      <c r="W1356" s="44">
        <f>IF(Mecze[[#This Row],[Role]]&lt;&gt;"BR",SUMPRODUCT(Mecze[[#This Row],[/PR:90]:[/BR:90]],Brudnopis!$E$27:$J$27),0)</f>
        <v>8.505154639175258E-2</v>
      </c>
      <c r="X1356" s="44">
        <f>IF(Mecze[[#This Row],[Role]]&lt;&gt;"BR",SUMPRODUCT(Mecze[[#This Row],[/PR:90]:[/BR:90]],Brudnopis!$E$28:$J$28),0)</f>
        <v>3.0927835051546393E-2</v>
      </c>
      <c r="Y1356" s="35">
        <f>IF(Mecze[[#This Row],[Role]]="BR",Mecze[[#This Row],[/OB:90]]+Mecze[[#This Row],[/PC:90]],SUM(Mecze[[#This Row],[/PR:90]:[/BR:90]]))</f>
        <v>8.247422680412371E-2</v>
      </c>
      <c r="Z1356" s="35">
        <f>IF(Mecze[[#This Row],[KC]]=0,SUM(Mecze[[#This Row],[/BRI]:[/NPI]]),SUM(Mecze[[#This Row],[/BRI]:[/NPI]])*0.6)</f>
        <v>0.38917525773195871</v>
      </c>
      <c r="AA1356" s="10">
        <f>IFERROR(Mecze[[#This Row],[BR]]/Mecze[[#This Row],[ST]],0)</f>
        <v>0</v>
      </c>
      <c r="AB1356">
        <f>ROUND(Mecze[[#This Row],[PD]]*Mecze[[#This Row],[%PC]],0)</f>
        <v>3</v>
      </c>
      <c r="AC1356">
        <f>ROUND(Mecze[[#This Row],[OD]]*Mecze[[#This Row],[%OU]],0)</f>
        <v>2</v>
      </c>
      <c r="AD1356" s="36" t="s">
        <v>175</v>
      </c>
      <c r="AE1356" s="36">
        <v>74</v>
      </c>
      <c r="AF1356" s="71">
        <v>1.21</v>
      </c>
      <c r="AG1356" s="37">
        <v>0</v>
      </c>
      <c r="AH1356" s="37">
        <v>0</v>
      </c>
      <c r="AI1356" s="37">
        <v>97</v>
      </c>
      <c r="AJ1356" s="37">
        <v>10</v>
      </c>
      <c r="AK1356" s="37" t="str">
        <f>VLOOKUP(Mecze[[#This Row],[Match ID]],Meczusie[Mecz]:Meczusie[RodzajMeczu],2,FALSE)</f>
        <v>Liga</v>
      </c>
    </row>
    <row r="1357" spans="1:37" x14ac:dyDescent="0.25">
      <c r="A1357" s="76">
        <v>7</v>
      </c>
      <c r="B1357" s="3" t="s">
        <v>241</v>
      </c>
      <c r="C1357" s="2" t="s">
        <v>160</v>
      </c>
      <c r="D1357" s="1">
        <v>0</v>
      </c>
      <c r="E1357" s="1">
        <v>1</v>
      </c>
      <c r="F1357" s="1">
        <v>1</v>
      </c>
      <c r="G1357" s="1">
        <v>9</v>
      </c>
      <c r="H1357" s="4">
        <v>0.67</v>
      </c>
      <c r="I1357" s="1">
        <v>2</v>
      </c>
      <c r="J1357" s="4">
        <v>0.5</v>
      </c>
      <c r="K1357" s="1">
        <v>0</v>
      </c>
      <c r="L1357" s="1">
        <v>1</v>
      </c>
      <c r="M1357" s="32">
        <f>IF(Mecze[[#This Row],[PR]]=0,0,Mecze[[#This Row],[PR]]/Mecze[[#This Row],[CZAS]])</f>
        <v>1.0309278350515464E-2</v>
      </c>
      <c r="N1357" s="32">
        <f>IF(Mecze[[#This Row],[OU]]=0,0,Mecze[[#This Row],[OU]]/Mecze[[#This Row],[CZAS]])</f>
        <v>1.0309278350515464E-2</v>
      </c>
      <c r="O1357" s="32">
        <f>IF(Mecze[[#This Row],[PC]]=0,0,Mecze[[#This Row],[PC]]/Mecze[[#This Row],[CZAS]])</f>
        <v>6.1855670103092786E-2</v>
      </c>
      <c r="P1357" s="32">
        <f>IF(Mecze[[#This Row],[SC]]=0,0,Mecze[[#This Row],[SC]]/Mecze[[#This Row],[CZAS]])</f>
        <v>1.0309278350515464E-2</v>
      </c>
      <c r="Q1357" s="32">
        <f>IF(Mecze[[#This Row],[OB]]=0,0,Mecze[[#This Row],[OB]]/Mecze[[#This Row],[CZAS]])</f>
        <v>0</v>
      </c>
      <c r="R1357" s="32">
        <f>IF(Mecze[[#This Row],[BR]]=0,0,Mecze[[#This Row],[BR]]/Mecze[[#This Row],[CZAS]])</f>
        <v>0</v>
      </c>
      <c r="S1357" s="44">
        <f>IF(Mecze[[#This Row],[Role]]="BR",SUMPRODUCT(Mecze[[#This Row],[/PR:90]:[/BR:90]],Brudnopis!$E$23:$J$23),0)</f>
        <v>0</v>
      </c>
      <c r="T1357" s="44">
        <f>IF(Mecze[[#This Row],[Role]]&lt;&gt;"BR",SUMPRODUCT(Mecze[[#This Row],[/PR:90]:[/BR:90]],Brudnopis!$E$24:$J$24),0)</f>
        <v>9.7938144329896906E-2</v>
      </c>
      <c r="U1357" s="44">
        <f>IF(Mecze[[#This Row],[Role]]&lt;&gt;"BR",SUMPRODUCT(Mecze[[#This Row],[/PR:90]:[/BR:90]],Brudnopis!$E$25:$J$25),0)</f>
        <v>0.12371134020618557</v>
      </c>
      <c r="V1357" s="44">
        <f>IF(Mecze[[#This Row],[Role]]&lt;&gt;"BR",SUMPRODUCT(Mecze[[#This Row],[/PR:90]:[/BR:90]],Brudnopis!$E$26:$J$26),0)</f>
        <v>9.2783505154639179E-2</v>
      </c>
      <c r="W1357" s="44">
        <f>IF(Mecze[[#This Row],[Role]]&lt;&gt;"BR",SUMPRODUCT(Mecze[[#This Row],[/PR:90]:[/BR:90]],Brudnopis!$E$27:$J$27),0)</f>
        <v>0.11855670103092784</v>
      </c>
      <c r="X1357" s="44">
        <f>IF(Mecze[[#This Row],[Role]]&lt;&gt;"BR",SUMPRODUCT(Mecze[[#This Row],[/PR:90]:[/BR:90]],Brudnopis!$E$28:$J$28),0)</f>
        <v>8.247422680412371E-2</v>
      </c>
      <c r="Y1357" s="35">
        <f>IF(Mecze[[#This Row],[Role]]="BR",Mecze[[#This Row],[/OB:90]]+Mecze[[#This Row],[/PC:90]],SUM(Mecze[[#This Row],[/PR:90]:[/BR:90]]))</f>
        <v>9.2783505154639179E-2</v>
      </c>
      <c r="Z1357" s="35">
        <f>IF(Mecze[[#This Row],[KC]]=0,SUM(Mecze[[#This Row],[/BRI]:[/NPI]]),SUM(Mecze[[#This Row],[/BRI]:[/NPI]])*0.6)</f>
        <v>0.51546391752577325</v>
      </c>
      <c r="AA1357" s="10">
        <f>IFERROR(Mecze[[#This Row],[BR]]/Mecze[[#This Row],[ST]],0)</f>
        <v>0</v>
      </c>
      <c r="AB1357">
        <f>ROUND(Mecze[[#This Row],[PD]]*Mecze[[#This Row],[%PC]],0)</f>
        <v>6</v>
      </c>
      <c r="AC1357">
        <f>ROUND(Mecze[[#This Row],[OD]]*Mecze[[#This Row],[%OU]],0)</f>
        <v>1</v>
      </c>
      <c r="AD1357" s="36" t="s">
        <v>41</v>
      </c>
      <c r="AE1357" s="36">
        <v>74</v>
      </c>
      <c r="AF1357" s="71">
        <v>4.3499999999999996</v>
      </c>
      <c r="AG1357" s="37">
        <v>0</v>
      </c>
      <c r="AH1357" s="37">
        <v>0</v>
      </c>
      <c r="AI1357" s="37">
        <v>97</v>
      </c>
      <c r="AJ1357" s="37">
        <v>10</v>
      </c>
      <c r="AK1357" s="37" t="str">
        <f>VLOOKUP(Mecze[[#This Row],[Match ID]],Meczusie[Mecz]:Meczusie[RodzajMeczu],2,FALSE)</f>
        <v>Liga</v>
      </c>
    </row>
    <row r="1358" spans="1:37" x14ac:dyDescent="0.25">
      <c r="A1358" s="76">
        <v>5</v>
      </c>
      <c r="B1358" s="3" t="s">
        <v>242</v>
      </c>
      <c r="C1358" s="2" t="s">
        <v>160</v>
      </c>
      <c r="D1358" s="1">
        <v>0</v>
      </c>
      <c r="E1358" s="1">
        <v>0</v>
      </c>
      <c r="F1358" s="1">
        <v>0</v>
      </c>
      <c r="G1358" s="1">
        <v>14</v>
      </c>
      <c r="H1358" s="4">
        <v>0.71</v>
      </c>
      <c r="I1358" s="1">
        <v>1</v>
      </c>
      <c r="J1358" s="4">
        <v>0</v>
      </c>
      <c r="K1358" s="1">
        <v>0</v>
      </c>
      <c r="L1358" s="1">
        <v>0</v>
      </c>
      <c r="M1358" s="32">
        <f>IF(Mecze[[#This Row],[PR]]=0,0,Mecze[[#This Row],[PR]]/Mecze[[#This Row],[CZAS]])</f>
        <v>0</v>
      </c>
      <c r="N1358" s="32">
        <f>IF(Mecze[[#This Row],[OU]]=0,0,Mecze[[#This Row],[OU]]/Mecze[[#This Row],[CZAS]])</f>
        <v>0</v>
      </c>
      <c r="O1358" s="32">
        <f>IF(Mecze[[#This Row],[PC]]=0,0,Mecze[[#This Row],[PC]]/Mecze[[#This Row],[CZAS]])</f>
        <v>0.10309278350515463</v>
      </c>
      <c r="P1358" s="32">
        <f>IF(Mecze[[#This Row],[SC]]=0,0,Mecze[[#This Row],[SC]]/Mecze[[#This Row],[CZAS]])</f>
        <v>0</v>
      </c>
      <c r="Q1358" s="32">
        <f>IF(Mecze[[#This Row],[OB]]=0,0,Mecze[[#This Row],[OB]]/Mecze[[#This Row],[CZAS]])</f>
        <v>0</v>
      </c>
      <c r="R1358" s="32">
        <f>IF(Mecze[[#This Row],[BR]]=0,0,Mecze[[#This Row],[BR]]/Mecze[[#This Row],[CZAS]])</f>
        <v>0</v>
      </c>
      <c r="S1358" s="44">
        <f>IF(Mecze[[#This Row],[Role]]="BR",SUMPRODUCT(Mecze[[#This Row],[/PR:90]:[/BR:90]],Brudnopis!$E$23:$J$23),0)</f>
        <v>0</v>
      </c>
      <c r="T1358" s="44">
        <f>IF(Mecze[[#This Row],[Role]]&lt;&gt;"BR",SUMPRODUCT(Mecze[[#This Row],[/PR:90]:[/BR:90]],Brudnopis!$E$24:$J$24),0)</f>
        <v>0.10309278350515463</v>
      </c>
      <c r="U1358" s="44">
        <f>IF(Mecze[[#This Row],[Role]]&lt;&gt;"BR",SUMPRODUCT(Mecze[[#This Row],[/PR:90]:[/BR:90]],Brudnopis!$E$25:$J$25),0)</f>
        <v>0.15463917525773196</v>
      </c>
      <c r="V1358" s="44">
        <f>IF(Mecze[[#This Row],[Role]]&lt;&gt;"BR",SUMPRODUCT(Mecze[[#This Row],[/PR:90]:[/BR:90]],Brudnopis!$E$26:$J$26),0)</f>
        <v>0.10309278350515463</v>
      </c>
      <c r="W1358" s="44">
        <f>IF(Mecze[[#This Row],[Role]]&lt;&gt;"BR",SUMPRODUCT(Mecze[[#This Row],[/PR:90]:[/BR:90]],Brudnopis!$E$27:$J$27),0)</f>
        <v>0.15463917525773196</v>
      </c>
      <c r="X1358" s="44">
        <f>IF(Mecze[[#This Row],[Role]]&lt;&gt;"BR",SUMPRODUCT(Mecze[[#This Row],[/PR:90]:[/BR:90]],Brudnopis!$E$28:$J$28),0)</f>
        <v>0.10309278350515463</v>
      </c>
      <c r="Y1358" s="35">
        <f>IF(Mecze[[#This Row],[Role]]="BR",Mecze[[#This Row],[/OB:90]]+Mecze[[#This Row],[/PC:90]],SUM(Mecze[[#This Row],[/PR:90]:[/BR:90]]))</f>
        <v>0.10309278350515463</v>
      </c>
      <c r="Z1358" s="35">
        <f>IF(Mecze[[#This Row],[KC]]=0,SUM(Mecze[[#This Row],[/BRI]:[/NPI]]),SUM(Mecze[[#This Row],[/BRI]:[/NPI]])*0.6)</f>
        <v>0.61855670103092775</v>
      </c>
      <c r="AA1358" s="10">
        <f>IFERROR(Mecze[[#This Row],[BR]]/Mecze[[#This Row],[ST]],0)</f>
        <v>0</v>
      </c>
      <c r="AB1358">
        <f>ROUND(Mecze[[#This Row],[PD]]*Mecze[[#This Row],[%PC]],0)</f>
        <v>10</v>
      </c>
      <c r="AC1358">
        <f>ROUND(Mecze[[#This Row],[OD]]*Mecze[[#This Row],[%OU]],0)</f>
        <v>0</v>
      </c>
      <c r="AD1358" s="36" t="s">
        <v>41</v>
      </c>
      <c r="AE1358" s="36">
        <v>74</v>
      </c>
      <c r="AF1358" s="71">
        <v>3.91</v>
      </c>
      <c r="AG1358" s="37">
        <v>0</v>
      </c>
      <c r="AH1358" s="37">
        <v>0</v>
      </c>
      <c r="AI1358" s="37">
        <v>97</v>
      </c>
      <c r="AJ1358" s="37">
        <v>10</v>
      </c>
      <c r="AK1358" s="37" t="str">
        <f>VLOOKUP(Mecze[[#This Row],[Match ID]],Meczusie[Mecz]:Meczusie[RodzajMeczu],2,FALSE)</f>
        <v>Liga</v>
      </c>
    </row>
    <row r="1359" spans="1:37" x14ac:dyDescent="0.25">
      <c r="A1359" s="76">
        <v>11</v>
      </c>
      <c r="B1359" s="3" t="s">
        <v>243</v>
      </c>
      <c r="C1359" s="2" t="s">
        <v>160</v>
      </c>
      <c r="D1359" s="1">
        <v>0</v>
      </c>
      <c r="E1359" s="1">
        <v>1</v>
      </c>
      <c r="F1359" s="1">
        <v>1</v>
      </c>
      <c r="G1359" s="1">
        <v>13</v>
      </c>
      <c r="H1359" s="4">
        <v>0.77</v>
      </c>
      <c r="I1359" s="1">
        <v>5</v>
      </c>
      <c r="J1359" s="4">
        <v>0.2</v>
      </c>
      <c r="K1359" s="1">
        <v>0</v>
      </c>
      <c r="L1359" s="1">
        <v>4</v>
      </c>
      <c r="M1359" s="32">
        <f>IF(Mecze[[#This Row],[PR]]=0,0,Mecze[[#This Row],[PR]]/Mecze[[#This Row],[CZAS]])</f>
        <v>4.1237113402061855E-2</v>
      </c>
      <c r="N1359" s="32">
        <f>IF(Mecze[[#This Row],[OU]]=0,0,Mecze[[#This Row],[OU]]/Mecze[[#This Row],[CZAS]])</f>
        <v>1.0309278350515464E-2</v>
      </c>
      <c r="O1359" s="32">
        <f>IF(Mecze[[#This Row],[PC]]=0,0,Mecze[[#This Row],[PC]]/Mecze[[#This Row],[CZAS]])</f>
        <v>0.10309278350515463</v>
      </c>
      <c r="P1359" s="32">
        <f>IF(Mecze[[#This Row],[SC]]=0,0,Mecze[[#This Row],[SC]]/Mecze[[#This Row],[CZAS]])</f>
        <v>1.0309278350515464E-2</v>
      </c>
      <c r="Q1359" s="32">
        <f>IF(Mecze[[#This Row],[OB]]=0,0,Mecze[[#This Row],[OB]]/Mecze[[#This Row],[CZAS]])</f>
        <v>0</v>
      </c>
      <c r="R1359" s="32">
        <f>IF(Mecze[[#This Row],[BR]]=0,0,Mecze[[#This Row],[BR]]/Mecze[[#This Row],[CZAS]])</f>
        <v>0</v>
      </c>
      <c r="S1359" s="44">
        <f>IF(Mecze[[#This Row],[Role]]="BR",SUMPRODUCT(Mecze[[#This Row],[/PR:90]:[/BR:90]],Brudnopis!$E$23:$J$23),0)</f>
        <v>0</v>
      </c>
      <c r="T1359" s="44">
        <f>IF(Mecze[[#This Row],[Role]]&lt;&gt;"BR",SUMPRODUCT(Mecze[[#This Row],[/PR:90]:[/BR:90]],Brudnopis!$E$24:$J$24),0)</f>
        <v>0.17010309278350513</v>
      </c>
      <c r="U1359" s="44">
        <f>IF(Mecze[[#This Row],[Role]]&lt;&gt;"BR",SUMPRODUCT(Mecze[[#This Row],[/PR:90]:[/BR:90]],Brudnopis!$E$25:$J$25),0)</f>
        <v>0.21649484536082472</v>
      </c>
      <c r="V1359" s="44">
        <f>IF(Mecze[[#This Row],[Role]]&lt;&gt;"BR",SUMPRODUCT(Mecze[[#This Row],[/PR:90]:[/BR:90]],Brudnopis!$E$26:$J$26),0)</f>
        <v>0.16494845360824742</v>
      </c>
      <c r="W1359" s="44">
        <f>IF(Mecze[[#This Row],[Role]]&lt;&gt;"BR",SUMPRODUCT(Mecze[[#This Row],[/PR:90]:[/BR:90]],Brudnopis!$E$27:$J$27),0)</f>
        <v>0.20360824742268041</v>
      </c>
      <c r="X1359" s="44">
        <f>IF(Mecze[[#This Row],[Role]]&lt;&gt;"BR",SUMPRODUCT(Mecze[[#This Row],[/PR:90]:[/BR:90]],Brudnopis!$E$28:$J$28),0)</f>
        <v>0.12371134020618556</v>
      </c>
      <c r="Y1359" s="35">
        <f>IF(Mecze[[#This Row],[Role]]="BR",Mecze[[#This Row],[/OB:90]]+Mecze[[#This Row],[/PC:90]],SUM(Mecze[[#This Row],[/PR:90]:[/BR:90]]))</f>
        <v>0.16494845360824742</v>
      </c>
      <c r="Z1359" s="35">
        <f>IF(Mecze[[#This Row],[KC]]=0,SUM(Mecze[[#This Row],[/BRI]:[/NPI]]),SUM(Mecze[[#This Row],[/BRI]:[/NPI]])*0.6)</f>
        <v>0.87886597938144329</v>
      </c>
      <c r="AA1359" s="10">
        <f>IFERROR(Mecze[[#This Row],[BR]]/Mecze[[#This Row],[ST]],0)</f>
        <v>0</v>
      </c>
      <c r="AB1359">
        <f>ROUND(Mecze[[#This Row],[PD]]*Mecze[[#This Row],[%PC]],0)</f>
        <v>10</v>
      </c>
      <c r="AC1359">
        <f>ROUND(Mecze[[#This Row],[OD]]*Mecze[[#This Row],[%OU]],0)</f>
        <v>1</v>
      </c>
      <c r="AD1359" s="36" t="s">
        <v>67</v>
      </c>
      <c r="AE1359" s="36">
        <v>74</v>
      </c>
      <c r="AF1359" s="71">
        <v>4.9800000000000004</v>
      </c>
      <c r="AG1359" s="37">
        <v>0</v>
      </c>
      <c r="AH1359" s="37">
        <v>0</v>
      </c>
      <c r="AI1359" s="37">
        <v>97</v>
      </c>
      <c r="AJ1359" s="37">
        <v>10</v>
      </c>
      <c r="AK1359" s="37" t="str">
        <f>VLOOKUP(Mecze[[#This Row],[Match ID]],Meczusie[Mecz]:Meczusie[RodzajMeczu],2,FALSE)</f>
        <v>Liga</v>
      </c>
    </row>
    <row r="1360" spans="1:37" x14ac:dyDescent="0.25">
      <c r="A1360" s="76">
        <v>14</v>
      </c>
      <c r="B1360" s="3" t="s">
        <v>244</v>
      </c>
      <c r="C1360" s="2" t="s">
        <v>165</v>
      </c>
      <c r="D1360" s="1">
        <v>0</v>
      </c>
      <c r="E1360" s="1">
        <v>1</v>
      </c>
      <c r="F1360" s="1">
        <v>1</v>
      </c>
      <c r="G1360" s="1">
        <v>8</v>
      </c>
      <c r="H1360" s="4">
        <v>0.5</v>
      </c>
      <c r="I1360" s="1">
        <v>1</v>
      </c>
      <c r="J1360" s="4">
        <v>1</v>
      </c>
      <c r="K1360" s="1">
        <v>0</v>
      </c>
      <c r="L1360" s="1">
        <v>0</v>
      </c>
      <c r="M1360" s="32">
        <f>IF(Mecze[[#This Row],[PR]]=0,0,Mecze[[#This Row],[PR]]/Mecze[[#This Row],[CZAS]])</f>
        <v>0</v>
      </c>
      <c r="N1360" s="32">
        <f>IF(Mecze[[#This Row],[OU]]=0,0,Mecze[[#This Row],[OU]]/Mecze[[#This Row],[CZAS]])</f>
        <v>1.0309278350515464E-2</v>
      </c>
      <c r="O1360" s="32">
        <f>IF(Mecze[[#This Row],[PC]]=0,0,Mecze[[#This Row],[PC]]/Mecze[[#This Row],[CZAS]])</f>
        <v>4.1237113402061855E-2</v>
      </c>
      <c r="P1360" s="32">
        <f>IF(Mecze[[#This Row],[SC]]=0,0,Mecze[[#This Row],[SC]]/Mecze[[#This Row],[CZAS]])</f>
        <v>1.0309278350515464E-2</v>
      </c>
      <c r="Q1360" s="32">
        <f>IF(Mecze[[#This Row],[OB]]=0,0,Mecze[[#This Row],[OB]]/Mecze[[#This Row],[CZAS]])</f>
        <v>0</v>
      </c>
      <c r="R1360" s="32">
        <f>IF(Mecze[[#This Row],[BR]]=0,0,Mecze[[#This Row],[BR]]/Mecze[[#This Row],[CZAS]])</f>
        <v>0</v>
      </c>
      <c r="S1360" s="44">
        <f>IF(Mecze[[#This Row],[Role]]="BR",SUMPRODUCT(Mecze[[#This Row],[/PR:90]:[/BR:90]],Brudnopis!$E$23:$J$23),0)</f>
        <v>0</v>
      </c>
      <c r="T1360" s="44">
        <f>IF(Mecze[[#This Row],[Role]]&lt;&gt;"BR",SUMPRODUCT(Mecze[[#This Row],[/PR:90]:[/BR:90]],Brudnopis!$E$24:$J$24),0)</f>
        <v>6.7010309278350513E-2</v>
      </c>
      <c r="U1360" s="44">
        <f>IF(Mecze[[#This Row],[Role]]&lt;&gt;"BR",SUMPRODUCT(Mecze[[#This Row],[/PR:90]:[/BR:90]],Brudnopis!$E$25:$J$25),0)</f>
        <v>8.2474226804123724E-2</v>
      </c>
      <c r="V1360" s="44">
        <f>IF(Mecze[[#This Row],[Role]]&lt;&gt;"BR",SUMPRODUCT(Mecze[[#This Row],[/PR:90]:[/BR:90]],Brudnopis!$E$26:$J$26),0)</f>
        <v>6.1855670103092779E-2</v>
      </c>
      <c r="W1360" s="44">
        <f>IF(Mecze[[#This Row],[Role]]&lt;&gt;"BR",SUMPRODUCT(Mecze[[#This Row],[/PR:90]:[/BR:90]],Brudnopis!$E$27:$J$27),0)</f>
        <v>7.9896907216494853E-2</v>
      </c>
      <c r="X1360" s="44">
        <f>IF(Mecze[[#This Row],[Role]]&lt;&gt;"BR",SUMPRODUCT(Mecze[[#This Row],[/PR:90]:[/BR:90]],Brudnopis!$E$28:$J$28),0)</f>
        <v>6.1855670103092786E-2</v>
      </c>
      <c r="Y1360" s="35">
        <f>IF(Mecze[[#This Row],[Role]]="BR",Mecze[[#This Row],[/OB:90]]+Mecze[[#This Row],[/PC:90]],SUM(Mecze[[#This Row],[/PR:90]:[/BR:90]]))</f>
        <v>6.1855670103092779E-2</v>
      </c>
      <c r="Z1360" s="35">
        <f>IF(Mecze[[#This Row],[KC]]=0,SUM(Mecze[[#This Row],[/BRI]:[/NPI]]),SUM(Mecze[[#This Row],[/BRI]:[/NPI]])*0.6)</f>
        <v>0.35309278350515466</v>
      </c>
      <c r="AA1360" s="10">
        <f>IFERROR(Mecze[[#This Row],[BR]]/Mecze[[#This Row],[ST]],0)</f>
        <v>0</v>
      </c>
      <c r="AB1360">
        <f>ROUND(Mecze[[#This Row],[PD]]*Mecze[[#This Row],[%PC]],0)</f>
        <v>4</v>
      </c>
      <c r="AC1360">
        <f>ROUND(Mecze[[#This Row],[OD]]*Mecze[[#This Row],[%OU]],0)</f>
        <v>1</v>
      </c>
      <c r="AD1360" s="36" t="s">
        <v>46</v>
      </c>
      <c r="AE1360" s="36">
        <v>74</v>
      </c>
      <c r="AF1360" s="71">
        <v>4.26</v>
      </c>
      <c r="AG1360" s="37">
        <v>0</v>
      </c>
      <c r="AH1360" s="37">
        <v>0</v>
      </c>
      <c r="AI1360" s="37">
        <v>97</v>
      </c>
      <c r="AJ1360" s="37">
        <v>10</v>
      </c>
      <c r="AK1360" s="37" t="str">
        <f>VLOOKUP(Mecze[[#This Row],[Match ID]],Meczusie[Mecz]:Meczusie[RodzajMeczu],2,FALSE)</f>
        <v>Liga</v>
      </c>
    </row>
    <row r="1361" spans="1:37" x14ac:dyDescent="0.25">
      <c r="A1361" s="76">
        <v>8</v>
      </c>
      <c r="B1361" s="3" t="s">
        <v>245</v>
      </c>
      <c r="C1361" s="2" t="s">
        <v>165</v>
      </c>
      <c r="D1361" s="1">
        <v>1</v>
      </c>
      <c r="E1361" s="1">
        <v>2</v>
      </c>
      <c r="F1361" s="1">
        <v>2</v>
      </c>
      <c r="G1361" s="1">
        <v>9</v>
      </c>
      <c r="H1361" s="4">
        <v>0.44</v>
      </c>
      <c r="I1361" s="1">
        <v>2</v>
      </c>
      <c r="J1361" s="4">
        <v>0.5</v>
      </c>
      <c r="K1361" s="1">
        <v>0</v>
      </c>
      <c r="L1361" s="1">
        <v>0</v>
      </c>
      <c r="M1361" s="32">
        <f>IF(Mecze[[#This Row],[PR]]=0,0,Mecze[[#This Row],[PR]]/Mecze[[#This Row],[CZAS]])</f>
        <v>0</v>
      </c>
      <c r="N1361" s="32">
        <f>IF(Mecze[[#This Row],[OU]]=0,0,Mecze[[#This Row],[OU]]/Mecze[[#This Row],[CZAS]])</f>
        <v>1.0309278350515464E-2</v>
      </c>
      <c r="O1361" s="32">
        <f>IF(Mecze[[#This Row],[PC]]=0,0,Mecze[[#This Row],[PC]]/Mecze[[#This Row],[CZAS]])</f>
        <v>4.1237113402061855E-2</v>
      </c>
      <c r="P1361" s="32">
        <f>IF(Mecze[[#This Row],[SC]]=0,0,Mecze[[#This Row],[SC]]/Mecze[[#This Row],[CZAS]])</f>
        <v>2.0618556701030927E-2</v>
      </c>
      <c r="Q1361" s="32">
        <f>IF(Mecze[[#This Row],[OB]]=0,0,Mecze[[#This Row],[OB]]/Mecze[[#This Row],[CZAS]])</f>
        <v>0</v>
      </c>
      <c r="R1361" s="32">
        <f>IF(Mecze[[#This Row],[BR]]=0,0,Mecze[[#This Row],[BR]]/Mecze[[#This Row],[CZAS]])</f>
        <v>1.0309278350515464E-2</v>
      </c>
      <c r="S1361" s="44">
        <f>IF(Mecze[[#This Row],[Role]]="BR",SUMPRODUCT(Mecze[[#This Row],[/PR:90]:[/BR:90]],Brudnopis!$E$23:$J$23),0)</f>
        <v>0</v>
      </c>
      <c r="T1361" s="44">
        <f>IF(Mecze[[#This Row],[Role]]&lt;&gt;"BR",SUMPRODUCT(Mecze[[#This Row],[/PR:90]:[/BR:90]],Brudnopis!$E$24:$J$24),0)</f>
        <v>9.2783505154639179E-2</v>
      </c>
      <c r="U1361" s="44">
        <f>IF(Mecze[[#This Row],[Role]]&lt;&gt;"BR",SUMPRODUCT(Mecze[[#This Row],[/PR:90]:[/BR:90]],Brudnopis!$E$25:$J$25),0)</f>
        <v>0.10824742268041238</v>
      </c>
      <c r="V1361" s="44">
        <f>IF(Mecze[[#This Row],[Role]]&lt;&gt;"BR",SUMPRODUCT(Mecze[[#This Row],[/PR:90]:[/BR:90]],Brudnopis!$E$26:$J$26),0)</f>
        <v>9.2783505154639165E-2</v>
      </c>
      <c r="W1361" s="44">
        <f>IF(Mecze[[#This Row],[Role]]&lt;&gt;"BR",SUMPRODUCT(Mecze[[#This Row],[/PR:90]:[/BR:90]],Brudnopis!$E$27:$J$27),0)</f>
        <v>0.11082474226804123</v>
      </c>
      <c r="X1361" s="44">
        <f>IF(Mecze[[#This Row],[Role]]&lt;&gt;"BR",SUMPRODUCT(Mecze[[#This Row],[/PR:90]:[/BR:90]],Brudnopis!$E$28:$J$28),0)</f>
        <v>0.1134020618556701</v>
      </c>
      <c r="Y1361" s="35">
        <f>IF(Mecze[[#This Row],[Role]]="BR",Mecze[[#This Row],[/OB:90]]+Mecze[[#This Row],[/PC:90]],SUM(Mecze[[#This Row],[/PR:90]:[/BR:90]]))</f>
        <v>8.247422680412371E-2</v>
      </c>
      <c r="Z1361" s="35">
        <f>IF(Mecze[[#This Row],[KC]]=0,SUM(Mecze[[#This Row],[/BRI]:[/NPI]]),SUM(Mecze[[#This Row],[/BRI]:[/NPI]])*0.6)</f>
        <v>0.51804123711340211</v>
      </c>
      <c r="AA1361" s="10">
        <f>IFERROR(Mecze[[#This Row],[BR]]/Mecze[[#This Row],[ST]],0)</f>
        <v>0.5</v>
      </c>
      <c r="AB1361">
        <f>ROUND(Mecze[[#This Row],[PD]]*Mecze[[#This Row],[%PC]],0)</f>
        <v>4</v>
      </c>
      <c r="AC1361">
        <f>ROUND(Mecze[[#This Row],[OD]]*Mecze[[#This Row],[%OU]],0)</f>
        <v>1</v>
      </c>
      <c r="AD1361" s="36" t="s">
        <v>46</v>
      </c>
      <c r="AE1361" s="36">
        <v>74</v>
      </c>
      <c r="AF1361" s="71">
        <v>5.45</v>
      </c>
      <c r="AG1361" s="37">
        <v>0</v>
      </c>
      <c r="AH1361" s="37">
        <v>0</v>
      </c>
      <c r="AI1361" s="37">
        <v>97</v>
      </c>
      <c r="AJ1361" s="37">
        <v>10</v>
      </c>
      <c r="AK1361" s="37" t="str">
        <f>VLOOKUP(Mecze[[#This Row],[Match ID]],Meczusie[Mecz]:Meczusie[RodzajMeczu],2,FALSE)</f>
        <v>Liga</v>
      </c>
    </row>
    <row r="1362" spans="1:37" x14ac:dyDescent="0.25">
      <c r="A1362" s="76">
        <v>10</v>
      </c>
      <c r="B1362" s="3" t="s">
        <v>246</v>
      </c>
      <c r="C1362" s="2" t="s">
        <v>165</v>
      </c>
      <c r="D1362" s="1">
        <v>0</v>
      </c>
      <c r="E1362" s="1">
        <v>2</v>
      </c>
      <c r="F1362" s="1">
        <v>2</v>
      </c>
      <c r="G1362" s="1">
        <v>11</v>
      </c>
      <c r="H1362" s="4">
        <v>0.73</v>
      </c>
      <c r="I1362" s="1">
        <v>3</v>
      </c>
      <c r="J1362" s="4">
        <v>0.67</v>
      </c>
      <c r="K1362" s="1">
        <v>0</v>
      </c>
      <c r="L1362" s="1">
        <v>0</v>
      </c>
      <c r="M1362" s="32">
        <f>IF(Mecze[[#This Row],[PR]]=0,0,Mecze[[#This Row],[PR]]/Mecze[[#This Row],[CZAS]])</f>
        <v>0</v>
      </c>
      <c r="N1362" s="32">
        <f>IF(Mecze[[#This Row],[OU]]=0,0,Mecze[[#This Row],[OU]]/Mecze[[#This Row],[CZAS]])</f>
        <v>2.0618556701030927E-2</v>
      </c>
      <c r="O1362" s="32">
        <f>IF(Mecze[[#This Row],[PC]]=0,0,Mecze[[#This Row],[PC]]/Mecze[[#This Row],[CZAS]])</f>
        <v>8.247422680412371E-2</v>
      </c>
      <c r="P1362" s="32">
        <f>IF(Mecze[[#This Row],[SC]]=0,0,Mecze[[#This Row],[SC]]/Mecze[[#This Row],[CZAS]])</f>
        <v>2.0618556701030927E-2</v>
      </c>
      <c r="Q1362" s="32">
        <f>IF(Mecze[[#This Row],[OB]]=0,0,Mecze[[#This Row],[OB]]/Mecze[[#This Row],[CZAS]])</f>
        <v>0</v>
      </c>
      <c r="R1362" s="32">
        <f>IF(Mecze[[#This Row],[BR]]=0,0,Mecze[[#This Row],[BR]]/Mecze[[#This Row],[CZAS]])</f>
        <v>0</v>
      </c>
      <c r="S1362" s="44">
        <f>IF(Mecze[[#This Row],[Role]]="BR",SUMPRODUCT(Mecze[[#This Row],[/PR:90]:[/BR:90]],Brudnopis!$E$23:$J$23),0)</f>
        <v>0</v>
      </c>
      <c r="T1362" s="44">
        <f>IF(Mecze[[#This Row],[Role]]&lt;&gt;"BR",SUMPRODUCT(Mecze[[#This Row],[/PR:90]:[/BR:90]],Brudnopis!$E$24:$J$24),0)</f>
        <v>0.13402061855670103</v>
      </c>
      <c r="U1362" s="44">
        <f>IF(Mecze[[#This Row],[Role]]&lt;&gt;"BR",SUMPRODUCT(Mecze[[#This Row],[/PR:90]:[/BR:90]],Brudnopis!$E$25:$J$25),0)</f>
        <v>0.16494845360824745</v>
      </c>
      <c r="V1362" s="44">
        <f>IF(Mecze[[#This Row],[Role]]&lt;&gt;"BR",SUMPRODUCT(Mecze[[#This Row],[/PR:90]:[/BR:90]],Brudnopis!$E$26:$J$26),0)</f>
        <v>0.12371134020618556</v>
      </c>
      <c r="W1362" s="44">
        <f>IF(Mecze[[#This Row],[Role]]&lt;&gt;"BR",SUMPRODUCT(Mecze[[#This Row],[/PR:90]:[/BR:90]],Brudnopis!$E$27:$J$27),0)</f>
        <v>0.15979381443298971</v>
      </c>
      <c r="X1362" s="44">
        <f>IF(Mecze[[#This Row],[Role]]&lt;&gt;"BR",SUMPRODUCT(Mecze[[#This Row],[/PR:90]:[/BR:90]],Brudnopis!$E$28:$J$28),0)</f>
        <v>0.12371134020618557</v>
      </c>
      <c r="Y1362" s="35">
        <f>IF(Mecze[[#This Row],[Role]]="BR",Mecze[[#This Row],[/OB:90]]+Mecze[[#This Row],[/PC:90]],SUM(Mecze[[#This Row],[/PR:90]:[/BR:90]]))</f>
        <v>0.12371134020618556</v>
      </c>
      <c r="Z1362" s="35">
        <f>IF(Mecze[[#This Row],[KC]]=0,SUM(Mecze[[#This Row],[/BRI]:[/NPI]]),SUM(Mecze[[#This Row],[/BRI]:[/NPI]])*0.6)</f>
        <v>0.70618556701030932</v>
      </c>
      <c r="AA1362" s="10">
        <f>IFERROR(Mecze[[#This Row],[BR]]/Mecze[[#This Row],[ST]],0)</f>
        <v>0</v>
      </c>
      <c r="AB1362">
        <f>ROUND(Mecze[[#This Row],[PD]]*Mecze[[#This Row],[%PC]],0)</f>
        <v>8</v>
      </c>
      <c r="AC1362">
        <f>ROUND(Mecze[[#This Row],[OD]]*Mecze[[#This Row],[%OU]],0)</f>
        <v>2</v>
      </c>
      <c r="AD1362" s="36" t="s">
        <v>46</v>
      </c>
      <c r="AE1362" s="36">
        <v>74</v>
      </c>
      <c r="AF1362" s="71">
        <v>4.4800000000000004</v>
      </c>
      <c r="AG1362" s="37">
        <v>0</v>
      </c>
      <c r="AH1362" s="37">
        <v>0</v>
      </c>
      <c r="AI1362" s="37">
        <v>97</v>
      </c>
      <c r="AJ1362" s="37">
        <v>10</v>
      </c>
      <c r="AK1362" s="37" t="str">
        <f>VLOOKUP(Mecze[[#This Row],[Match ID]],Meczusie[Mecz]:Meczusie[RodzajMeczu],2,FALSE)</f>
        <v>Liga</v>
      </c>
    </row>
    <row r="1363" spans="1:37" x14ac:dyDescent="0.25">
      <c r="A1363" s="76">
        <v>102</v>
      </c>
      <c r="B1363" s="3" t="s">
        <v>417</v>
      </c>
      <c r="C1363" s="2" t="s">
        <v>155</v>
      </c>
      <c r="D1363" s="1">
        <v>0</v>
      </c>
      <c r="E1363" s="1">
        <v>0</v>
      </c>
      <c r="F1363" s="1">
        <v>0</v>
      </c>
      <c r="G1363" s="1">
        <v>17</v>
      </c>
      <c r="H1363" s="4">
        <v>0.41</v>
      </c>
      <c r="I1363" s="1">
        <v>0</v>
      </c>
      <c r="J1363" s="4"/>
      <c r="K1363" s="1">
        <v>17</v>
      </c>
      <c r="L1363" s="1">
        <v>0</v>
      </c>
      <c r="M1363" s="32">
        <f>IF(Mecze[[#This Row],[PR]]=0,0,Mecze[[#This Row],[PR]]/Mecze[[#This Row],[CZAS]])</f>
        <v>0</v>
      </c>
      <c r="N1363" s="32">
        <f>IF(Mecze[[#This Row],[OU]]=0,0,Mecze[[#This Row],[OU]]/Mecze[[#This Row],[CZAS]])</f>
        <v>0</v>
      </c>
      <c r="O1363" s="32">
        <f>IF(Mecze[[#This Row],[PC]]=0,0,Mecze[[#This Row],[PC]]/Mecze[[#This Row],[CZAS]])</f>
        <v>7.2916666666666671E-2</v>
      </c>
      <c r="P1363" s="32">
        <f>IF(Mecze[[#This Row],[SC]]=0,0,Mecze[[#This Row],[SC]]/Mecze[[#This Row],[CZAS]])</f>
        <v>0</v>
      </c>
      <c r="Q1363" s="32">
        <f>IF(Mecze[[#This Row],[OB]]=0,0,Mecze[[#This Row],[OB]]/Mecze[[#This Row],[CZAS]])</f>
        <v>0.17708333333333334</v>
      </c>
      <c r="R1363" s="32">
        <f>IF(Mecze[[#This Row],[BR]]=0,0,Mecze[[#This Row],[BR]]/Mecze[[#This Row],[CZAS]])</f>
        <v>0</v>
      </c>
      <c r="S1363" s="44">
        <f>IF(Mecze[[#This Row],[Role]]="BR",SUMPRODUCT(Mecze[[#This Row],[/PR:90]:[/BR:90]],Brudnopis!$E$23:$J$23),0)</f>
        <v>0.75</v>
      </c>
      <c r="T1363" s="44">
        <f>IF(Mecze[[#This Row],[Role]]&lt;&gt;"BR",SUMPRODUCT(Mecze[[#This Row],[/PR:90]:[/BR:90]],Brudnopis!$E$24:$J$24),0)</f>
        <v>0</v>
      </c>
      <c r="U1363" s="44">
        <f>IF(Mecze[[#This Row],[Role]]&lt;&gt;"BR",SUMPRODUCT(Mecze[[#This Row],[/PR:90]:[/BR:90]],Brudnopis!$E$25:$J$25),0)</f>
        <v>0</v>
      </c>
      <c r="V1363" s="44">
        <f>IF(Mecze[[#This Row],[Role]]&lt;&gt;"BR",SUMPRODUCT(Mecze[[#This Row],[/PR:90]:[/BR:90]],Brudnopis!$E$26:$J$26),0)</f>
        <v>0</v>
      </c>
      <c r="W1363" s="44">
        <f>IF(Mecze[[#This Row],[Role]]&lt;&gt;"BR",SUMPRODUCT(Mecze[[#This Row],[/PR:90]:[/BR:90]],Brudnopis!$E$27:$J$27),0)</f>
        <v>0</v>
      </c>
      <c r="X1363" s="44">
        <f>IF(Mecze[[#This Row],[Role]]&lt;&gt;"BR",SUMPRODUCT(Mecze[[#This Row],[/PR:90]:[/BR:90]],Brudnopis!$E$28:$J$28),0)</f>
        <v>0</v>
      </c>
      <c r="Y1363" s="35">
        <f>IF(Mecze[[#This Row],[Role]]="BR",Mecze[[#This Row],[/OB:90]]+Mecze[[#This Row],[/PC:90]],SUM(Mecze[[#This Row],[/PR:90]:[/BR:90]]))</f>
        <v>0.25</v>
      </c>
      <c r="Z1363" s="35">
        <f>IF(Mecze[[#This Row],[KC]]=0,SUM(Mecze[[#This Row],[/BRI]:[/NPI]]),SUM(Mecze[[#This Row],[/BRI]:[/NPI]])*0.6)</f>
        <v>0.75</v>
      </c>
      <c r="AA1363" s="10">
        <f>IFERROR(Mecze[[#This Row],[BR]]/Mecze[[#This Row],[ST]],0)</f>
        <v>0</v>
      </c>
      <c r="AB1363">
        <f>ROUND(Mecze[[#This Row],[PD]]*Mecze[[#This Row],[%PC]],0)</f>
        <v>7</v>
      </c>
      <c r="AC1363">
        <f>ROUND(Mecze[[#This Row],[OD]]*Mecze[[#This Row],[%OU]],0)</f>
        <v>0</v>
      </c>
      <c r="AD1363" s="36" t="s">
        <v>40</v>
      </c>
      <c r="AE1363" s="36">
        <v>75</v>
      </c>
      <c r="AF1363" s="71">
        <v>7.54</v>
      </c>
      <c r="AG1363" s="37">
        <v>0</v>
      </c>
      <c r="AH1363" s="37">
        <v>0</v>
      </c>
      <c r="AI1363" s="37">
        <v>96</v>
      </c>
      <c r="AJ1363" s="37">
        <v>6</v>
      </c>
      <c r="AK1363" s="37" t="str">
        <f>VLOOKUP(Mecze[[#This Row],[Match ID]],Meczusie[Mecz]:Meczusie[RodzajMeczu],2,FALSE)</f>
        <v>Liga</v>
      </c>
    </row>
    <row r="1364" spans="1:37" x14ac:dyDescent="0.25">
      <c r="A1364" s="76">
        <v>101</v>
      </c>
      <c r="B1364" s="3" t="s">
        <v>248</v>
      </c>
      <c r="C1364" s="2" t="s">
        <v>157</v>
      </c>
      <c r="D1364" s="1">
        <v>0</v>
      </c>
      <c r="E1364" s="1">
        <v>0</v>
      </c>
      <c r="F1364" s="1">
        <v>0</v>
      </c>
      <c r="G1364" s="1">
        <v>7</v>
      </c>
      <c r="H1364" s="4">
        <v>0.56999999999999995</v>
      </c>
      <c r="I1364" s="1">
        <v>9</v>
      </c>
      <c r="J1364" s="4">
        <v>0.44</v>
      </c>
      <c r="K1364" s="1">
        <v>0</v>
      </c>
      <c r="L1364" s="1">
        <v>1</v>
      </c>
      <c r="M1364" s="32">
        <f>IF(Mecze[[#This Row],[PR]]=0,0,Mecze[[#This Row],[PR]]/Mecze[[#This Row],[CZAS]])</f>
        <v>1.0416666666666666E-2</v>
      </c>
      <c r="N1364" s="32">
        <f>IF(Mecze[[#This Row],[OU]]=0,0,Mecze[[#This Row],[OU]]/Mecze[[#This Row],[CZAS]])</f>
        <v>4.1666666666666664E-2</v>
      </c>
      <c r="O1364" s="32">
        <f>IF(Mecze[[#This Row],[PC]]=0,0,Mecze[[#This Row],[PC]]/Mecze[[#This Row],[CZAS]])</f>
        <v>4.1666666666666664E-2</v>
      </c>
      <c r="P1364" s="32">
        <f>IF(Mecze[[#This Row],[SC]]=0,0,Mecze[[#This Row],[SC]]/Mecze[[#This Row],[CZAS]])</f>
        <v>0</v>
      </c>
      <c r="Q1364" s="32">
        <f>IF(Mecze[[#This Row],[OB]]=0,0,Mecze[[#This Row],[OB]]/Mecze[[#This Row],[CZAS]])</f>
        <v>0</v>
      </c>
      <c r="R1364" s="32">
        <f>IF(Mecze[[#This Row],[BR]]=0,0,Mecze[[#This Row],[BR]]/Mecze[[#This Row],[CZAS]])</f>
        <v>0</v>
      </c>
      <c r="S1364" s="44">
        <f>IF(Mecze[[#This Row],[Role]]="BR",SUMPRODUCT(Mecze[[#This Row],[/PR:90]:[/BR:90]],Brudnopis!$E$23:$J$23),0)</f>
        <v>0</v>
      </c>
      <c r="T1364" s="44">
        <f>IF(Mecze[[#This Row],[Role]]&lt;&gt;"BR",SUMPRODUCT(Mecze[[#This Row],[/PR:90]:[/BR:90]],Brudnopis!$E$24:$J$24),0)</f>
        <v>0.11458333333333334</v>
      </c>
      <c r="U1364" s="44">
        <f>IF(Mecze[[#This Row],[Role]]&lt;&gt;"BR",SUMPRODUCT(Mecze[[#This Row],[/PR:90]:[/BR:90]],Brudnopis!$E$25:$J$25),0)</f>
        <v>0.11458333333333333</v>
      </c>
      <c r="V1364" s="44">
        <f>IF(Mecze[[#This Row],[Role]]&lt;&gt;"BR",SUMPRODUCT(Mecze[[#This Row],[/PR:90]:[/BR:90]],Brudnopis!$E$26:$J$26),0)</f>
        <v>9.375E-2</v>
      </c>
      <c r="W1364" s="44">
        <f>IF(Mecze[[#This Row],[Role]]&lt;&gt;"BR",SUMPRODUCT(Mecze[[#This Row],[/PR:90]:[/BR:90]],Brudnopis!$E$27:$J$27),0)</f>
        <v>0.1015625</v>
      </c>
      <c r="X1364" s="44">
        <f>IF(Mecze[[#This Row],[Role]]&lt;&gt;"BR",SUMPRODUCT(Mecze[[#This Row],[/PR:90]:[/BR:90]],Brudnopis!$E$28:$J$28),0)</f>
        <v>4.1666666666666664E-2</v>
      </c>
      <c r="Y1364" s="35">
        <f>IF(Mecze[[#This Row],[Role]]="BR",Mecze[[#This Row],[/OB:90]]+Mecze[[#This Row],[/PC:90]],SUM(Mecze[[#This Row],[/PR:90]:[/BR:90]]))</f>
        <v>9.375E-2</v>
      </c>
      <c r="Z1364" s="35">
        <f>IF(Mecze[[#This Row],[KC]]=0,SUM(Mecze[[#This Row],[/BRI]:[/NPI]]),SUM(Mecze[[#This Row],[/BRI]:[/NPI]])*0.6)</f>
        <v>0.46614583333333337</v>
      </c>
      <c r="AA1364" s="10">
        <f>IFERROR(Mecze[[#This Row],[BR]]/Mecze[[#This Row],[ST]],0)</f>
        <v>0</v>
      </c>
      <c r="AB1364">
        <f>ROUND(Mecze[[#This Row],[PD]]*Mecze[[#This Row],[%PC]],0)</f>
        <v>4</v>
      </c>
      <c r="AC1364">
        <f>ROUND(Mecze[[#This Row],[OD]]*Mecze[[#This Row],[%OU]],0)</f>
        <v>4</v>
      </c>
      <c r="AD1364" s="36" t="s">
        <v>47</v>
      </c>
      <c r="AE1364" s="36">
        <v>75</v>
      </c>
      <c r="AF1364" s="71">
        <v>1.8</v>
      </c>
      <c r="AG1364" s="37">
        <v>0</v>
      </c>
      <c r="AH1364" s="37">
        <v>0</v>
      </c>
      <c r="AI1364" s="37">
        <v>96</v>
      </c>
      <c r="AJ1364" s="37">
        <v>6</v>
      </c>
      <c r="AK1364" s="37" t="str">
        <f>VLOOKUP(Mecze[[#This Row],[Match ID]],Meczusie[Mecz]:Meczusie[RodzajMeczu],2,FALSE)</f>
        <v>Liga</v>
      </c>
    </row>
    <row r="1365" spans="1:37" x14ac:dyDescent="0.25">
      <c r="A1365" s="76">
        <v>2</v>
      </c>
      <c r="B1365" s="3" t="s">
        <v>249</v>
      </c>
      <c r="C1365" s="2" t="s">
        <v>157</v>
      </c>
      <c r="D1365" s="1">
        <v>0</v>
      </c>
      <c r="E1365" s="1">
        <v>0</v>
      </c>
      <c r="F1365" s="1">
        <v>0</v>
      </c>
      <c r="G1365" s="1">
        <v>6</v>
      </c>
      <c r="H1365" s="4">
        <v>0.33</v>
      </c>
      <c r="I1365" s="1">
        <v>9</v>
      </c>
      <c r="J1365" s="4">
        <v>0.44</v>
      </c>
      <c r="K1365" s="1">
        <v>0</v>
      </c>
      <c r="L1365" s="1">
        <v>3</v>
      </c>
      <c r="M1365" s="32">
        <f>IF(Mecze[[#This Row],[PR]]=0,0,Mecze[[#This Row],[PR]]/Mecze[[#This Row],[CZAS]])</f>
        <v>3.6585365853658534E-2</v>
      </c>
      <c r="N1365" s="32">
        <f>IF(Mecze[[#This Row],[OU]]=0,0,Mecze[[#This Row],[OU]]/Mecze[[#This Row],[CZAS]])</f>
        <v>4.878048780487805E-2</v>
      </c>
      <c r="O1365" s="32">
        <f>IF(Mecze[[#This Row],[PC]]=0,0,Mecze[[#This Row],[PC]]/Mecze[[#This Row],[CZAS]])</f>
        <v>2.4390243902439025E-2</v>
      </c>
      <c r="P1365" s="32">
        <f>IF(Mecze[[#This Row],[SC]]=0,0,Mecze[[#This Row],[SC]]/Mecze[[#This Row],[CZAS]])</f>
        <v>0</v>
      </c>
      <c r="Q1365" s="32">
        <f>IF(Mecze[[#This Row],[OB]]=0,0,Mecze[[#This Row],[OB]]/Mecze[[#This Row],[CZAS]])</f>
        <v>0</v>
      </c>
      <c r="R1365" s="32">
        <f>IF(Mecze[[#This Row],[BR]]=0,0,Mecze[[#This Row],[BR]]/Mecze[[#This Row],[CZAS]])</f>
        <v>0</v>
      </c>
      <c r="S1365" s="44">
        <f>IF(Mecze[[#This Row],[Role]]="BR",SUMPRODUCT(Mecze[[#This Row],[/PR:90]:[/BR:90]],Brudnopis!$E$23:$J$23),0)</f>
        <v>0</v>
      </c>
      <c r="T1365" s="44">
        <f>IF(Mecze[[#This Row],[Role]]&lt;&gt;"BR",SUMPRODUCT(Mecze[[#This Row],[/PR:90]:[/BR:90]],Brudnopis!$E$24:$J$24),0)</f>
        <v>0.13414634146341464</v>
      </c>
      <c r="U1365" s="44">
        <f>IF(Mecze[[#This Row],[Role]]&lt;&gt;"BR",SUMPRODUCT(Mecze[[#This Row],[/PR:90]:[/BR:90]],Brudnopis!$E$25:$J$25),0)</f>
        <v>0.12195121951219512</v>
      </c>
      <c r="V1365" s="44">
        <f>IF(Mecze[[#This Row],[Role]]&lt;&gt;"BR",SUMPRODUCT(Mecze[[#This Row],[/PR:90]:[/BR:90]],Brudnopis!$E$26:$J$26),0)</f>
        <v>0.1097560975609756</v>
      </c>
      <c r="W1365" s="44">
        <f>IF(Mecze[[#This Row],[Role]]&lt;&gt;"BR",SUMPRODUCT(Mecze[[#This Row],[/PR:90]:[/BR:90]],Brudnopis!$E$27:$J$27),0)</f>
        <v>0.10060975609756098</v>
      </c>
      <c r="X1365" s="44">
        <f>IF(Mecze[[#This Row],[Role]]&lt;&gt;"BR",SUMPRODUCT(Mecze[[#This Row],[/PR:90]:[/BR:90]],Brudnopis!$E$28:$J$28),0)</f>
        <v>2.4390243902439025E-2</v>
      </c>
      <c r="Y1365" s="35">
        <f>IF(Mecze[[#This Row],[Role]]="BR",Mecze[[#This Row],[/OB:90]]+Mecze[[#This Row],[/PC:90]],SUM(Mecze[[#This Row],[/PR:90]:[/BR:90]]))</f>
        <v>0.1097560975609756</v>
      </c>
      <c r="Z1365" s="35">
        <f>IF(Mecze[[#This Row],[KC]]=0,SUM(Mecze[[#This Row],[/BRI]:[/NPI]]),SUM(Mecze[[#This Row],[/BRI]:[/NPI]])*0.6)</f>
        <v>0.49085365853658536</v>
      </c>
      <c r="AA1365" s="10">
        <f>IFERROR(Mecze[[#This Row],[BR]]/Mecze[[#This Row],[ST]],0)</f>
        <v>0</v>
      </c>
      <c r="AB1365">
        <f>ROUND(Mecze[[#This Row],[PD]]*Mecze[[#This Row],[%PC]],0)</f>
        <v>2</v>
      </c>
      <c r="AC1365">
        <f>ROUND(Mecze[[#This Row],[OD]]*Mecze[[#This Row],[%OU]],0)</f>
        <v>4</v>
      </c>
      <c r="AD1365" s="36" t="s">
        <v>167</v>
      </c>
      <c r="AE1365" s="36">
        <v>75</v>
      </c>
      <c r="AF1365" s="71">
        <v>2.2200000000000002</v>
      </c>
      <c r="AG1365" s="37">
        <v>0</v>
      </c>
      <c r="AH1365" s="37">
        <v>0</v>
      </c>
      <c r="AI1365" s="37">
        <v>82</v>
      </c>
      <c r="AJ1365" s="37">
        <v>6</v>
      </c>
      <c r="AK1365" s="37" t="str">
        <f>VLOOKUP(Mecze[[#This Row],[Match ID]],Meczusie[Mecz]:Meczusie[RodzajMeczu],2,FALSE)</f>
        <v>Liga</v>
      </c>
    </row>
    <row r="1366" spans="1:37" x14ac:dyDescent="0.25">
      <c r="A1366" s="76">
        <v>7</v>
      </c>
      <c r="B1366" s="3" t="s">
        <v>251</v>
      </c>
      <c r="C1366" s="2" t="s">
        <v>157</v>
      </c>
      <c r="D1366" s="1">
        <v>0</v>
      </c>
      <c r="E1366" s="1">
        <v>0</v>
      </c>
      <c r="F1366" s="1">
        <v>0</v>
      </c>
      <c r="G1366" s="1">
        <v>8</v>
      </c>
      <c r="H1366" s="4">
        <v>0.38</v>
      </c>
      <c r="I1366" s="1">
        <v>7</v>
      </c>
      <c r="J1366" s="4">
        <v>0.43</v>
      </c>
      <c r="K1366" s="1">
        <v>0</v>
      </c>
      <c r="L1366" s="1">
        <v>5</v>
      </c>
      <c r="M1366" s="32">
        <f>IF(Mecze[[#This Row],[PR]]=0,0,Mecze[[#This Row],[PR]]/Mecze[[#This Row],[CZAS]])</f>
        <v>5.2083333333333336E-2</v>
      </c>
      <c r="N1366" s="32">
        <f>IF(Mecze[[#This Row],[OU]]=0,0,Mecze[[#This Row],[OU]]/Mecze[[#This Row],[CZAS]])</f>
        <v>3.125E-2</v>
      </c>
      <c r="O1366" s="32">
        <f>IF(Mecze[[#This Row],[PC]]=0,0,Mecze[[#This Row],[PC]]/Mecze[[#This Row],[CZAS]])</f>
        <v>3.125E-2</v>
      </c>
      <c r="P1366" s="32">
        <f>IF(Mecze[[#This Row],[SC]]=0,0,Mecze[[#This Row],[SC]]/Mecze[[#This Row],[CZAS]])</f>
        <v>0</v>
      </c>
      <c r="Q1366" s="32">
        <f>IF(Mecze[[#This Row],[OB]]=0,0,Mecze[[#This Row],[OB]]/Mecze[[#This Row],[CZAS]])</f>
        <v>0</v>
      </c>
      <c r="R1366" s="32">
        <f>IF(Mecze[[#This Row],[BR]]=0,0,Mecze[[#This Row],[BR]]/Mecze[[#This Row],[CZAS]])</f>
        <v>0</v>
      </c>
      <c r="S1366" s="44">
        <f>IF(Mecze[[#This Row],[Role]]="BR",SUMPRODUCT(Mecze[[#This Row],[/PR:90]:[/BR:90]],Brudnopis!$E$23:$J$23),0)</f>
        <v>0</v>
      </c>
      <c r="T1366" s="44">
        <f>IF(Mecze[[#This Row],[Role]]&lt;&gt;"BR",SUMPRODUCT(Mecze[[#This Row],[/PR:90]:[/BR:90]],Brudnopis!$E$24:$J$24),0)</f>
        <v>0.13020833333333334</v>
      </c>
      <c r="U1366" s="44">
        <f>IF(Mecze[[#This Row],[Role]]&lt;&gt;"BR",SUMPRODUCT(Mecze[[#This Row],[/PR:90]:[/BR:90]],Brudnopis!$E$25:$J$25),0)</f>
        <v>0.13020833333333334</v>
      </c>
      <c r="V1366" s="44">
        <f>IF(Mecze[[#This Row],[Role]]&lt;&gt;"BR",SUMPRODUCT(Mecze[[#This Row],[/PR:90]:[/BR:90]],Brudnopis!$E$26:$J$26),0)</f>
        <v>0.11458333333333334</v>
      </c>
      <c r="W1366" s="44">
        <f>IF(Mecze[[#This Row],[Role]]&lt;&gt;"BR",SUMPRODUCT(Mecze[[#This Row],[/PR:90]:[/BR:90]],Brudnopis!$E$27:$J$27),0)</f>
        <v>0.109375</v>
      </c>
      <c r="X1366" s="44">
        <f>IF(Mecze[[#This Row],[Role]]&lt;&gt;"BR",SUMPRODUCT(Mecze[[#This Row],[/PR:90]:[/BR:90]],Brudnopis!$E$28:$J$28),0)</f>
        <v>3.125E-2</v>
      </c>
      <c r="Y1366" s="35">
        <f>IF(Mecze[[#This Row],[Role]]="BR",Mecze[[#This Row],[/OB:90]]+Mecze[[#This Row],[/PC:90]],SUM(Mecze[[#This Row],[/PR:90]:[/BR:90]]))</f>
        <v>0.11458333333333334</v>
      </c>
      <c r="Z1366" s="35">
        <f>IF(Mecze[[#This Row],[KC]]=0,SUM(Mecze[[#This Row],[/BRI]:[/NPI]]),SUM(Mecze[[#This Row],[/BRI]:[/NPI]])*0.6)</f>
        <v>0.515625</v>
      </c>
      <c r="AA1366" s="10">
        <f>IFERROR(Mecze[[#This Row],[BR]]/Mecze[[#This Row],[ST]],0)</f>
        <v>0</v>
      </c>
      <c r="AB1366">
        <f>ROUND(Mecze[[#This Row],[PD]]*Mecze[[#This Row],[%PC]],0)</f>
        <v>3</v>
      </c>
      <c r="AC1366">
        <f>ROUND(Mecze[[#This Row],[OD]]*Mecze[[#This Row],[%OU]],0)</f>
        <v>3</v>
      </c>
      <c r="AD1366" s="36" t="s">
        <v>168</v>
      </c>
      <c r="AE1366" s="36">
        <v>75</v>
      </c>
      <c r="AF1366" s="71">
        <v>2.64</v>
      </c>
      <c r="AG1366" s="37">
        <v>0</v>
      </c>
      <c r="AH1366" s="37">
        <v>0</v>
      </c>
      <c r="AI1366" s="37">
        <v>96</v>
      </c>
      <c r="AJ1366" s="37">
        <v>6</v>
      </c>
      <c r="AK1366" s="37" t="str">
        <f>VLOOKUP(Mecze[[#This Row],[Match ID]],Meczusie[Mecz]:Meczusie[RodzajMeczu],2,FALSE)</f>
        <v>Liga</v>
      </c>
    </row>
    <row r="1367" spans="1:37" x14ac:dyDescent="0.25">
      <c r="A1367" s="76">
        <v>8</v>
      </c>
      <c r="B1367" s="3" t="s">
        <v>254</v>
      </c>
      <c r="C1367" s="2" t="s">
        <v>160</v>
      </c>
      <c r="D1367" s="1">
        <v>0</v>
      </c>
      <c r="E1367" s="1">
        <v>1</v>
      </c>
      <c r="F1367" s="1">
        <v>1</v>
      </c>
      <c r="G1367" s="1">
        <v>12</v>
      </c>
      <c r="H1367" s="4">
        <v>0.75</v>
      </c>
      <c r="I1367" s="1">
        <v>9</v>
      </c>
      <c r="J1367" s="4">
        <v>0.33</v>
      </c>
      <c r="K1367" s="1">
        <v>0</v>
      </c>
      <c r="L1367" s="1">
        <v>4</v>
      </c>
      <c r="M1367" s="32">
        <f>IF(Mecze[[#This Row],[PR]]=0,0,Mecze[[#This Row],[PR]]/Mecze[[#This Row],[CZAS]])</f>
        <v>4.1666666666666664E-2</v>
      </c>
      <c r="N1367" s="32">
        <f>IF(Mecze[[#This Row],[OU]]=0,0,Mecze[[#This Row],[OU]]/Mecze[[#This Row],[CZAS]])</f>
        <v>3.125E-2</v>
      </c>
      <c r="O1367" s="32">
        <f>IF(Mecze[[#This Row],[PC]]=0,0,Mecze[[#This Row],[PC]]/Mecze[[#This Row],[CZAS]])</f>
        <v>9.375E-2</v>
      </c>
      <c r="P1367" s="32">
        <f>IF(Mecze[[#This Row],[SC]]=0,0,Mecze[[#This Row],[SC]]/Mecze[[#This Row],[CZAS]])</f>
        <v>1.0416666666666666E-2</v>
      </c>
      <c r="Q1367" s="32">
        <f>IF(Mecze[[#This Row],[OB]]=0,0,Mecze[[#This Row],[OB]]/Mecze[[#This Row],[CZAS]])</f>
        <v>0</v>
      </c>
      <c r="R1367" s="32">
        <f>IF(Mecze[[#This Row],[BR]]=0,0,Mecze[[#This Row],[BR]]/Mecze[[#This Row],[CZAS]])</f>
        <v>0</v>
      </c>
      <c r="S1367" s="44">
        <f>IF(Mecze[[#This Row],[Role]]="BR",SUMPRODUCT(Mecze[[#This Row],[/PR:90]:[/BR:90]],Brudnopis!$E$23:$J$23),0)</f>
        <v>0</v>
      </c>
      <c r="T1367" s="44">
        <f>IF(Mecze[[#This Row],[Role]]&lt;&gt;"BR",SUMPRODUCT(Mecze[[#This Row],[/PR:90]:[/BR:90]],Brudnopis!$E$24:$J$24),0)</f>
        <v>0.19270833333333331</v>
      </c>
      <c r="U1367" s="44">
        <f>IF(Mecze[[#This Row],[Role]]&lt;&gt;"BR",SUMPRODUCT(Mecze[[#This Row],[/PR:90]:[/BR:90]],Brudnopis!$E$25:$J$25),0)</f>
        <v>0.22395833333333331</v>
      </c>
      <c r="V1367" s="44">
        <f>IF(Mecze[[#This Row],[Role]]&lt;&gt;"BR",SUMPRODUCT(Mecze[[#This Row],[/PR:90]:[/BR:90]],Brudnopis!$E$26:$J$26),0)</f>
        <v>0.17708333333333331</v>
      </c>
      <c r="W1367" s="44">
        <f>IF(Mecze[[#This Row],[Role]]&lt;&gt;"BR",SUMPRODUCT(Mecze[[#This Row],[/PR:90]:[/BR:90]],Brudnopis!$E$27:$J$27),0)</f>
        <v>0.20572916666666666</v>
      </c>
      <c r="X1367" s="44">
        <f>IF(Mecze[[#This Row],[Role]]&lt;&gt;"BR",SUMPRODUCT(Mecze[[#This Row],[/PR:90]:[/BR:90]],Brudnopis!$E$28:$J$28),0)</f>
        <v>0.11458333333333333</v>
      </c>
      <c r="Y1367" s="35">
        <f>IF(Mecze[[#This Row],[Role]]="BR",Mecze[[#This Row],[/OB:90]]+Mecze[[#This Row],[/PC:90]],SUM(Mecze[[#This Row],[/PR:90]:[/BR:90]]))</f>
        <v>0.17708333333333331</v>
      </c>
      <c r="Z1367" s="35">
        <f>IF(Mecze[[#This Row],[KC]]=0,SUM(Mecze[[#This Row],[/BRI]:[/NPI]]),SUM(Mecze[[#This Row],[/BRI]:[/NPI]])*0.6)</f>
        <v>0.9140625</v>
      </c>
      <c r="AA1367" s="10">
        <f>IFERROR(Mecze[[#This Row],[BR]]/Mecze[[#This Row],[ST]],0)</f>
        <v>0</v>
      </c>
      <c r="AB1367">
        <f>ROUND(Mecze[[#This Row],[PD]]*Mecze[[#This Row],[%PC]],0)</f>
        <v>9</v>
      </c>
      <c r="AC1367">
        <f>ROUND(Mecze[[#This Row],[OD]]*Mecze[[#This Row],[%OU]],0)</f>
        <v>3</v>
      </c>
      <c r="AD1367" s="36" t="s">
        <v>41</v>
      </c>
      <c r="AE1367" s="36">
        <v>75</v>
      </c>
      <c r="AF1367" s="71">
        <v>3.87</v>
      </c>
      <c r="AG1367" s="37">
        <v>1</v>
      </c>
      <c r="AH1367" s="37">
        <v>0</v>
      </c>
      <c r="AI1367" s="37">
        <v>96</v>
      </c>
      <c r="AJ1367" s="37">
        <v>6</v>
      </c>
      <c r="AK1367" s="37" t="str">
        <f>VLOOKUP(Mecze[[#This Row],[Match ID]],Meczusie[Mecz]:Meczusie[RodzajMeczu],2,FALSE)</f>
        <v>Liga</v>
      </c>
    </row>
    <row r="1368" spans="1:37" x14ac:dyDescent="0.25">
      <c r="A1368" s="76">
        <v>10</v>
      </c>
      <c r="B1368" s="3" t="s">
        <v>252</v>
      </c>
      <c r="C1368" s="2" t="s">
        <v>160</v>
      </c>
      <c r="D1368" s="1">
        <v>0</v>
      </c>
      <c r="E1368" s="1">
        <v>0</v>
      </c>
      <c r="F1368" s="1">
        <v>0</v>
      </c>
      <c r="G1368" s="1">
        <v>10</v>
      </c>
      <c r="H1368" s="4">
        <v>0.6</v>
      </c>
      <c r="I1368" s="1">
        <v>3</v>
      </c>
      <c r="J1368" s="4">
        <v>0.67</v>
      </c>
      <c r="K1368" s="1">
        <v>0</v>
      </c>
      <c r="L1368" s="1">
        <v>4</v>
      </c>
      <c r="M1368" s="32">
        <f>IF(Mecze[[#This Row],[PR]]=0,0,Mecze[[#This Row],[PR]]/Mecze[[#This Row],[CZAS]])</f>
        <v>0.05</v>
      </c>
      <c r="N1368" s="32">
        <f>IF(Mecze[[#This Row],[OU]]=0,0,Mecze[[#This Row],[OU]]/Mecze[[#This Row],[CZAS]])</f>
        <v>2.5000000000000001E-2</v>
      </c>
      <c r="O1368" s="32">
        <f>IF(Mecze[[#This Row],[PC]]=0,0,Mecze[[#This Row],[PC]]/Mecze[[#This Row],[CZAS]])</f>
        <v>7.4999999999999997E-2</v>
      </c>
      <c r="P1368" s="32">
        <f>IF(Mecze[[#This Row],[SC]]=0,0,Mecze[[#This Row],[SC]]/Mecze[[#This Row],[CZAS]])</f>
        <v>0</v>
      </c>
      <c r="Q1368" s="32">
        <f>IF(Mecze[[#This Row],[OB]]=0,0,Mecze[[#This Row],[OB]]/Mecze[[#This Row],[CZAS]])</f>
        <v>0</v>
      </c>
      <c r="R1368" s="32">
        <f>IF(Mecze[[#This Row],[BR]]=0,0,Mecze[[#This Row],[BR]]/Mecze[[#This Row],[CZAS]])</f>
        <v>0</v>
      </c>
      <c r="S1368" s="44">
        <f>IF(Mecze[[#This Row],[Role]]="BR",SUMPRODUCT(Mecze[[#This Row],[/PR:90]:[/BR:90]],Brudnopis!$E$23:$J$23),0)</f>
        <v>0</v>
      </c>
      <c r="T1368" s="44">
        <f>IF(Mecze[[#This Row],[Role]]&lt;&gt;"BR",SUMPRODUCT(Mecze[[#This Row],[/PR:90]:[/BR:90]],Brudnopis!$E$24:$J$24),0)</f>
        <v>0.16250000000000001</v>
      </c>
      <c r="U1368" s="44">
        <f>IF(Mecze[[#This Row],[Role]]&lt;&gt;"BR",SUMPRODUCT(Mecze[[#This Row],[/PR:90]:[/BR:90]],Brudnopis!$E$25:$J$25),0)</f>
        <v>0.1875</v>
      </c>
      <c r="V1368" s="44">
        <f>IF(Mecze[[#This Row],[Role]]&lt;&gt;"BR",SUMPRODUCT(Mecze[[#This Row],[/PR:90]:[/BR:90]],Brudnopis!$E$26:$J$26),0)</f>
        <v>0.15000000000000002</v>
      </c>
      <c r="W1368" s="44">
        <f>IF(Mecze[[#This Row],[Role]]&lt;&gt;"BR",SUMPRODUCT(Mecze[[#This Row],[/PR:90]:[/BR:90]],Brudnopis!$E$27:$J$27),0)</f>
        <v>0.16875000000000001</v>
      </c>
      <c r="X1368" s="44">
        <f>IF(Mecze[[#This Row],[Role]]&lt;&gt;"BR",SUMPRODUCT(Mecze[[#This Row],[/PR:90]:[/BR:90]],Brudnopis!$E$28:$J$28),0)</f>
        <v>7.4999999999999997E-2</v>
      </c>
      <c r="Y1368" s="35">
        <f>IF(Mecze[[#This Row],[Role]]="BR",Mecze[[#This Row],[/OB:90]]+Mecze[[#This Row],[/PC:90]],SUM(Mecze[[#This Row],[/PR:90]:[/BR:90]]))</f>
        <v>0.15000000000000002</v>
      </c>
      <c r="Z1368" s="35">
        <f>IF(Mecze[[#This Row],[KC]]=0,SUM(Mecze[[#This Row],[/BRI]:[/NPI]]),SUM(Mecze[[#This Row],[/BRI]:[/NPI]])*0.6)</f>
        <v>0.74374999999999991</v>
      </c>
      <c r="AA1368" s="10">
        <f>IFERROR(Mecze[[#This Row],[BR]]/Mecze[[#This Row],[ST]],0)</f>
        <v>0</v>
      </c>
      <c r="AB1368">
        <f>ROUND(Mecze[[#This Row],[PD]]*Mecze[[#This Row],[%PC]],0)</f>
        <v>6</v>
      </c>
      <c r="AC1368">
        <f>ROUND(Mecze[[#This Row],[OD]]*Mecze[[#This Row],[%OU]],0)</f>
        <v>2</v>
      </c>
      <c r="AD1368" s="36" t="s">
        <v>318</v>
      </c>
      <c r="AE1368" s="36">
        <v>75</v>
      </c>
      <c r="AF1368" s="71">
        <v>4.75</v>
      </c>
      <c r="AG1368" s="37">
        <v>0</v>
      </c>
      <c r="AH1368" s="37">
        <v>0</v>
      </c>
      <c r="AI1368" s="37">
        <v>80</v>
      </c>
      <c r="AJ1368" s="37">
        <v>6</v>
      </c>
      <c r="AK1368" s="37" t="str">
        <f>VLOOKUP(Mecze[[#This Row],[Match ID]],Meczusie[Mecz]:Meczusie[RodzajMeczu],2,FALSE)</f>
        <v>Liga</v>
      </c>
    </row>
    <row r="1369" spans="1:37" x14ac:dyDescent="0.25">
      <c r="A1369" s="76">
        <v>11</v>
      </c>
      <c r="B1369" s="3" t="s">
        <v>250</v>
      </c>
      <c r="C1369" s="2" t="s">
        <v>160</v>
      </c>
      <c r="D1369" s="1">
        <v>0</v>
      </c>
      <c r="E1369" s="1">
        <v>0</v>
      </c>
      <c r="F1369" s="1">
        <v>0</v>
      </c>
      <c r="G1369" s="1">
        <v>5</v>
      </c>
      <c r="H1369" s="4">
        <v>1</v>
      </c>
      <c r="I1369" s="1">
        <v>4</v>
      </c>
      <c r="J1369" s="4">
        <v>0</v>
      </c>
      <c r="K1369" s="1">
        <v>0</v>
      </c>
      <c r="L1369" s="1">
        <v>1</v>
      </c>
      <c r="M1369" s="32">
        <f>IF(Mecze[[#This Row],[PR]]=0,0,Mecze[[#This Row],[PR]]/Mecze[[#This Row],[CZAS]])</f>
        <v>1.0416666666666666E-2</v>
      </c>
      <c r="N1369" s="32">
        <f>IF(Mecze[[#This Row],[OU]]=0,0,Mecze[[#This Row],[OU]]/Mecze[[#This Row],[CZAS]])</f>
        <v>0</v>
      </c>
      <c r="O1369" s="32">
        <f>IF(Mecze[[#This Row],[PC]]=0,0,Mecze[[#This Row],[PC]]/Mecze[[#This Row],[CZAS]])</f>
        <v>5.2083333333333336E-2</v>
      </c>
      <c r="P1369" s="32">
        <f>IF(Mecze[[#This Row],[SC]]=0,0,Mecze[[#This Row],[SC]]/Mecze[[#This Row],[CZAS]])</f>
        <v>0</v>
      </c>
      <c r="Q1369" s="32">
        <f>IF(Mecze[[#This Row],[OB]]=0,0,Mecze[[#This Row],[OB]]/Mecze[[#This Row],[CZAS]])</f>
        <v>0</v>
      </c>
      <c r="R1369" s="32">
        <f>IF(Mecze[[#This Row],[BR]]=0,0,Mecze[[#This Row],[BR]]/Mecze[[#This Row],[CZAS]])</f>
        <v>0</v>
      </c>
      <c r="S1369" s="44">
        <f>IF(Mecze[[#This Row],[Role]]="BR",SUMPRODUCT(Mecze[[#This Row],[/PR:90]:[/BR:90]],Brudnopis!$E$23:$J$23),0)</f>
        <v>0</v>
      </c>
      <c r="T1369" s="44">
        <f>IF(Mecze[[#This Row],[Role]]&lt;&gt;"BR",SUMPRODUCT(Mecze[[#This Row],[/PR:90]:[/BR:90]],Brudnopis!$E$24:$J$24),0)</f>
        <v>6.25E-2</v>
      </c>
      <c r="U1369" s="44">
        <f>IF(Mecze[[#This Row],[Role]]&lt;&gt;"BR",SUMPRODUCT(Mecze[[#This Row],[/PR:90]:[/BR:90]],Brudnopis!$E$25:$J$25),0)</f>
        <v>8.8541666666666671E-2</v>
      </c>
      <c r="V1369" s="44">
        <f>IF(Mecze[[#This Row],[Role]]&lt;&gt;"BR",SUMPRODUCT(Mecze[[#This Row],[/PR:90]:[/BR:90]],Brudnopis!$E$26:$J$26),0)</f>
        <v>6.25E-2</v>
      </c>
      <c r="W1369" s="44">
        <f>IF(Mecze[[#This Row],[Role]]&lt;&gt;"BR",SUMPRODUCT(Mecze[[#This Row],[/PR:90]:[/BR:90]],Brudnopis!$E$27:$J$27),0)</f>
        <v>8.59375E-2</v>
      </c>
      <c r="X1369" s="44">
        <f>IF(Mecze[[#This Row],[Role]]&lt;&gt;"BR",SUMPRODUCT(Mecze[[#This Row],[/PR:90]:[/BR:90]],Brudnopis!$E$28:$J$28),0)</f>
        <v>5.2083333333333336E-2</v>
      </c>
      <c r="Y1369" s="35">
        <f>IF(Mecze[[#This Row],[Role]]="BR",Mecze[[#This Row],[/OB:90]]+Mecze[[#This Row],[/PC:90]],SUM(Mecze[[#This Row],[/PR:90]:[/BR:90]]))</f>
        <v>6.25E-2</v>
      </c>
      <c r="Z1369" s="35">
        <f>IF(Mecze[[#This Row],[KC]]=0,SUM(Mecze[[#This Row],[/BRI]:[/NPI]]),SUM(Mecze[[#This Row],[/BRI]:[/NPI]])*0.6)</f>
        <v>0.3515625</v>
      </c>
      <c r="AA1369" s="10">
        <f>IFERROR(Mecze[[#This Row],[BR]]/Mecze[[#This Row],[ST]],0)</f>
        <v>0</v>
      </c>
      <c r="AB1369">
        <f>ROUND(Mecze[[#This Row],[PD]]*Mecze[[#This Row],[%PC]],0)</f>
        <v>5</v>
      </c>
      <c r="AC1369">
        <f>ROUND(Mecze[[#This Row],[OD]]*Mecze[[#This Row],[%OU]],0)</f>
        <v>0</v>
      </c>
      <c r="AD1369" s="36" t="s">
        <v>319</v>
      </c>
      <c r="AE1369" s="36">
        <v>75</v>
      </c>
      <c r="AF1369" s="71">
        <v>6.24</v>
      </c>
      <c r="AG1369" s="37">
        <v>0</v>
      </c>
      <c r="AH1369" s="37">
        <v>0</v>
      </c>
      <c r="AI1369" s="37">
        <v>96</v>
      </c>
      <c r="AJ1369" s="37">
        <v>6</v>
      </c>
      <c r="AK1369" s="37" t="str">
        <f>VLOOKUP(Mecze[[#This Row],[Match ID]],Meczusie[Mecz]:Meczusie[RodzajMeczu],2,FALSE)</f>
        <v>Liga</v>
      </c>
    </row>
    <row r="1370" spans="1:37" x14ac:dyDescent="0.25">
      <c r="A1370" s="76">
        <v>106</v>
      </c>
      <c r="B1370" s="3" t="s">
        <v>424</v>
      </c>
      <c r="C1370" s="2" t="s">
        <v>160</v>
      </c>
      <c r="D1370" s="1">
        <v>1</v>
      </c>
      <c r="E1370" s="1">
        <v>2</v>
      </c>
      <c r="F1370" s="1">
        <v>2</v>
      </c>
      <c r="G1370" s="1">
        <v>11</v>
      </c>
      <c r="H1370" s="4">
        <v>0.73</v>
      </c>
      <c r="I1370" s="1">
        <v>3</v>
      </c>
      <c r="J1370" s="4">
        <v>0.67</v>
      </c>
      <c r="K1370" s="1">
        <v>0</v>
      </c>
      <c r="L1370" s="1">
        <v>1</v>
      </c>
      <c r="M1370" s="32">
        <f>IF(Mecze[[#This Row],[PR]]=0,0,Mecze[[#This Row],[PR]]/Mecze[[#This Row],[CZAS]])</f>
        <v>1.0416666666666666E-2</v>
      </c>
      <c r="N1370" s="32">
        <f>IF(Mecze[[#This Row],[OU]]=0,0,Mecze[[#This Row],[OU]]/Mecze[[#This Row],[CZAS]])</f>
        <v>2.0833333333333332E-2</v>
      </c>
      <c r="O1370" s="32">
        <f>IF(Mecze[[#This Row],[PC]]=0,0,Mecze[[#This Row],[PC]]/Mecze[[#This Row],[CZAS]])</f>
        <v>8.3333333333333329E-2</v>
      </c>
      <c r="P1370" s="32">
        <f>IF(Mecze[[#This Row],[SC]]=0,0,Mecze[[#This Row],[SC]]/Mecze[[#This Row],[CZAS]])</f>
        <v>2.0833333333333332E-2</v>
      </c>
      <c r="Q1370" s="32">
        <f>IF(Mecze[[#This Row],[OB]]=0,0,Mecze[[#This Row],[OB]]/Mecze[[#This Row],[CZAS]])</f>
        <v>0</v>
      </c>
      <c r="R1370" s="32">
        <f>IF(Mecze[[#This Row],[BR]]=0,0,Mecze[[#This Row],[BR]]/Mecze[[#This Row],[CZAS]])</f>
        <v>1.0416666666666666E-2</v>
      </c>
      <c r="S1370" s="44">
        <f>IF(Mecze[[#This Row],[Role]]="BR",SUMPRODUCT(Mecze[[#This Row],[/PR:90]:[/BR:90]],Brudnopis!$E$23:$J$23),0)</f>
        <v>0</v>
      </c>
      <c r="T1370" s="44">
        <f>IF(Mecze[[#This Row],[Role]]&lt;&gt;"BR",SUMPRODUCT(Mecze[[#This Row],[/PR:90]:[/BR:90]],Brudnopis!$E$24:$J$24),0)</f>
        <v>0.16145833333333334</v>
      </c>
      <c r="U1370" s="44">
        <f>IF(Mecze[[#This Row],[Role]]&lt;&gt;"BR",SUMPRODUCT(Mecze[[#This Row],[/PR:90]:[/BR:90]],Brudnopis!$E$25:$J$25),0)</f>
        <v>0.19270833333333334</v>
      </c>
      <c r="V1370" s="44">
        <f>IF(Mecze[[#This Row],[Role]]&lt;&gt;"BR",SUMPRODUCT(Mecze[[#This Row],[/PR:90]:[/BR:90]],Brudnopis!$E$26:$J$26),0)</f>
        <v>0.15625</v>
      </c>
      <c r="W1370" s="44">
        <f>IF(Mecze[[#This Row],[Role]]&lt;&gt;"BR",SUMPRODUCT(Mecze[[#This Row],[/PR:90]:[/BR:90]],Brudnopis!$E$27:$J$27),0)</f>
        <v>0.19010416666666669</v>
      </c>
      <c r="X1370" s="44">
        <f>IF(Mecze[[#This Row],[Role]]&lt;&gt;"BR",SUMPRODUCT(Mecze[[#This Row],[/PR:90]:[/BR:90]],Brudnopis!$E$28:$J$28),0)</f>
        <v>0.15625</v>
      </c>
      <c r="Y1370" s="35">
        <f>IF(Mecze[[#This Row],[Role]]="BR",Mecze[[#This Row],[/OB:90]]+Mecze[[#This Row],[/PC:90]],SUM(Mecze[[#This Row],[/PR:90]:[/BR:90]]))</f>
        <v>0.14583333333333331</v>
      </c>
      <c r="Z1370" s="35">
        <f>IF(Mecze[[#This Row],[KC]]=0,SUM(Mecze[[#This Row],[/BRI]:[/NPI]]),SUM(Mecze[[#This Row],[/BRI]:[/NPI]])*0.6)</f>
        <v>0.85677083333333348</v>
      </c>
      <c r="AA1370" s="10">
        <f>IFERROR(Mecze[[#This Row],[BR]]/Mecze[[#This Row],[ST]],0)</f>
        <v>0.5</v>
      </c>
      <c r="AB1370">
        <f>ROUND(Mecze[[#This Row],[PD]]*Mecze[[#This Row],[%PC]],0)</f>
        <v>8</v>
      </c>
      <c r="AC1370">
        <f>ROUND(Mecze[[#This Row],[OD]]*Mecze[[#This Row],[%OU]],0)</f>
        <v>2</v>
      </c>
      <c r="AD1370" s="36" t="s">
        <v>44</v>
      </c>
      <c r="AE1370" s="36">
        <v>75</v>
      </c>
      <c r="AF1370" s="71">
        <v>6.69</v>
      </c>
      <c r="AG1370" s="37">
        <v>0</v>
      </c>
      <c r="AH1370" s="37">
        <v>0</v>
      </c>
      <c r="AI1370" s="37">
        <v>96</v>
      </c>
      <c r="AJ1370" s="37">
        <v>6</v>
      </c>
      <c r="AK1370" s="37" t="str">
        <f>VLOOKUP(Mecze[[#This Row],[Match ID]],Meczusie[Mecz]:Meczusie[RodzajMeczu],2,FALSE)</f>
        <v>Liga</v>
      </c>
    </row>
    <row r="1371" spans="1:37" x14ac:dyDescent="0.25">
      <c r="A1371" s="76">
        <v>6</v>
      </c>
      <c r="B1371" s="3" t="s">
        <v>255</v>
      </c>
      <c r="C1371" s="2" t="s">
        <v>165</v>
      </c>
      <c r="D1371" s="1">
        <v>0</v>
      </c>
      <c r="E1371" s="1">
        <v>0</v>
      </c>
      <c r="F1371" s="1">
        <v>0</v>
      </c>
      <c r="G1371" s="1">
        <v>1</v>
      </c>
      <c r="H1371" s="4">
        <v>0</v>
      </c>
      <c r="I1371" s="1">
        <v>0</v>
      </c>
      <c r="J1371" s="4"/>
      <c r="K1371" s="1">
        <v>0</v>
      </c>
      <c r="L1371" s="1">
        <v>0</v>
      </c>
      <c r="M1371" s="32">
        <f>IF(Mecze[[#This Row],[PR]]=0,0,Mecze[[#This Row],[PR]]/Mecze[[#This Row],[CZAS]])</f>
        <v>0</v>
      </c>
      <c r="N1371" s="32">
        <f>IF(Mecze[[#This Row],[OU]]=0,0,Mecze[[#This Row],[OU]]/Mecze[[#This Row],[CZAS]])</f>
        <v>0</v>
      </c>
      <c r="O1371" s="32">
        <f>IF(Mecze[[#This Row],[PC]]=0,0,Mecze[[#This Row],[PC]]/Mecze[[#This Row],[CZAS]])</f>
        <v>0</v>
      </c>
      <c r="P1371" s="32">
        <f>IF(Mecze[[#This Row],[SC]]=0,0,Mecze[[#This Row],[SC]]/Mecze[[#This Row],[CZAS]])</f>
        <v>0</v>
      </c>
      <c r="Q1371" s="32">
        <f>IF(Mecze[[#This Row],[OB]]=0,0,Mecze[[#This Row],[OB]]/Mecze[[#This Row],[CZAS]])</f>
        <v>0</v>
      </c>
      <c r="R1371" s="32">
        <f>IF(Mecze[[#This Row],[BR]]=0,0,Mecze[[#This Row],[BR]]/Mecze[[#This Row],[CZAS]])</f>
        <v>0</v>
      </c>
      <c r="S1371" s="44">
        <f>IF(Mecze[[#This Row],[Role]]="BR",SUMPRODUCT(Mecze[[#This Row],[/PR:90]:[/BR:90]],Brudnopis!$E$23:$J$23),0)</f>
        <v>0</v>
      </c>
      <c r="T1371" s="44">
        <f>IF(Mecze[[#This Row],[Role]]&lt;&gt;"BR",SUMPRODUCT(Mecze[[#This Row],[/PR:90]:[/BR:90]],Brudnopis!$E$24:$J$24),0)</f>
        <v>0</v>
      </c>
      <c r="U1371" s="44">
        <f>IF(Mecze[[#This Row],[Role]]&lt;&gt;"BR",SUMPRODUCT(Mecze[[#This Row],[/PR:90]:[/BR:90]],Brudnopis!$E$25:$J$25),0)</f>
        <v>0</v>
      </c>
      <c r="V1371" s="44">
        <f>IF(Mecze[[#This Row],[Role]]&lt;&gt;"BR",SUMPRODUCT(Mecze[[#This Row],[/PR:90]:[/BR:90]],Brudnopis!$E$26:$J$26),0)</f>
        <v>0</v>
      </c>
      <c r="W1371" s="44">
        <f>IF(Mecze[[#This Row],[Role]]&lt;&gt;"BR",SUMPRODUCT(Mecze[[#This Row],[/PR:90]:[/BR:90]],Brudnopis!$E$27:$J$27),0)</f>
        <v>0</v>
      </c>
      <c r="X1371" s="44">
        <f>IF(Mecze[[#This Row],[Role]]&lt;&gt;"BR",SUMPRODUCT(Mecze[[#This Row],[/PR:90]:[/BR:90]],Brudnopis!$E$28:$J$28),0)</f>
        <v>0</v>
      </c>
      <c r="Y1371" s="35">
        <f>IF(Mecze[[#This Row],[Role]]="BR",Mecze[[#This Row],[/OB:90]]+Mecze[[#This Row],[/PC:90]],SUM(Mecze[[#This Row],[/PR:90]:[/BR:90]]))</f>
        <v>0</v>
      </c>
      <c r="Z1371" s="35">
        <f>IF(Mecze[[#This Row],[KC]]=0,SUM(Mecze[[#This Row],[/BRI]:[/NPI]]),SUM(Mecze[[#This Row],[/BRI]:[/NPI]])*0.6)</f>
        <v>0</v>
      </c>
      <c r="AA1371" s="10">
        <f>IFERROR(Mecze[[#This Row],[BR]]/Mecze[[#This Row],[ST]],0)</f>
        <v>0</v>
      </c>
      <c r="AB1371">
        <f>ROUND(Mecze[[#This Row],[PD]]*Mecze[[#This Row],[%PC]],0)</f>
        <v>0</v>
      </c>
      <c r="AC1371">
        <f>ROUND(Mecze[[#This Row],[OD]]*Mecze[[#This Row],[%OU]],0)</f>
        <v>0</v>
      </c>
      <c r="AD1371" s="36" t="s">
        <v>232</v>
      </c>
      <c r="AE1371" s="36">
        <v>75</v>
      </c>
      <c r="AF1371" s="71">
        <v>2.71</v>
      </c>
      <c r="AG1371" s="37">
        <v>0</v>
      </c>
      <c r="AH1371" s="37">
        <v>0</v>
      </c>
      <c r="AI1371" s="37">
        <v>96</v>
      </c>
      <c r="AJ1371" s="37">
        <v>6</v>
      </c>
      <c r="AK1371" s="37" t="str">
        <f>VLOOKUP(Mecze[[#This Row],[Match ID]],Meczusie[Mecz]:Meczusie[RodzajMeczu],2,FALSE)</f>
        <v>Liga</v>
      </c>
    </row>
    <row r="1372" spans="1:37" x14ac:dyDescent="0.25">
      <c r="A1372" s="76">
        <v>5</v>
      </c>
      <c r="B1372" s="3" t="s">
        <v>256</v>
      </c>
      <c r="C1372" s="2" t="s">
        <v>165</v>
      </c>
      <c r="D1372" s="1">
        <v>1</v>
      </c>
      <c r="E1372" s="1">
        <v>3</v>
      </c>
      <c r="F1372" s="1">
        <v>3</v>
      </c>
      <c r="G1372" s="1">
        <v>6</v>
      </c>
      <c r="H1372" s="4">
        <v>1</v>
      </c>
      <c r="I1372" s="1">
        <v>1</v>
      </c>
      <c r="J1372" s="4">
        <v>0</v>
      </c>
      <c r="K1372" s="1">
        <v>0</v>
      </c>
      <c r="L1372" s="1">
        <v>1</v>
      </c>
      <c r="M1372" s="32">
        <f>IF(Mecze[[#This Row],[PR]]=0,0,Mecze[[#This Row],[PR]]/Mecze[[#This Row],[CZAS]])</f>
        <v>1.0416666666666666E-2</v>
      </c>
      <c r="N1372" s="32">
        <f>IF(Mecze[[#This Row],[OU]]=0,0,Mecze[[#This Row],[OU]]/Mecze[[#This Row],[CZAS]])</f>
        <v>0</v>
      </c>
      <c r="O1372" s="32">
        <f>IF(Mecze[[#This Row],[PC]]=0,0,Mecze[[#This Row],[PC]]/Mecze[[#This Row],[CZAS]])</f>
        <v>6.25E-2</v>
      </c>
      <c r="P1372" s="32">
        <f>IF(Mecze[[#This Row],[SC]]=0,0,Mecze[[#This Row],[SC]]/Mecze[[#This Row],[CZAS]])</f>
        <v>3.125E-2</v>
      </c>
      <c r="Q1372" s="32">
        <f>IF(Mecze[[#This Row],[OB]]=0,0,Mecze[[#This Row],[OB]]/Mecze[[#This Row],[CZAS]])</f>
        <v>0</v>
      </c>
      <c r="R1372" s="32">
        <f>IF(Mecze[[#This Row],[BR]]=0,0,Mecze[[#This Row],[BR]]/Mecze[[#This Row],[CZAS]])</f>
        <v>1.0416666666666666E-2</v>
      </c>
      <c r="S1372" s="44">
        <f>IF(Mecze[[#This Row],[Role]]="BR",SUMPRODUCT(Mecze[[#This Row],[/PR:90]:[/BR:90]],Brudnopis!$E$23:$J$23),0)</f>
        <v>0</v>
      </c>
      <c r="T1372" s="44">
        <f>IF(Mecze[[#This Row],[Role]]&lt;&gt;"BR",SUMPRODUCT(Mecze[[#This Row],[/PR:90]:[/BR:90]],Brudnopis!$E$24:$J$24),0)</f>
        <v>0.11979166666666667</v>
      </c>
      <c r="U1372" s="44">
        <f>IF(Mecze[[#This Row],[Role]]&lt;&gt;"BR",SUMPRODUCT(Mecze[[#This Row],[/PR:90]:[/BR:90]],Brudnopis!$E$25:$J$25),0)</f>
        <v>0.15104166666666669</v>
      </c>
      <c r="V1372" s="44">
        <f>IF(Mecze[[#This Row],[Role]]&lt;&gt;"BR",SUMPRODUCT(Mecze[[#This Row],[/PR:90]:[/BR:90]],Brudnopis!$E$26:$J$26),0)</f>
        <v>0.125</v>
      </c>
      <c r="W1372" s="44">
        <f>IF(Mecze[[#This Row],[Role]]&lt;&gt;"BR",SUMPRODUCT(Mecze[[#This Row],[/PR:90]:[/BR:90]],Brudnopis!$E$27:$J$27),0)</f>
        <v>0.15364583333333334</v>
      </c>
      <c r="X1372" s="44">
        <f>IF(Mecze[[#This Row],[Role]]&lt;&gt;"BR",SUMPRODUCT(Mecze[[#This Row],[/PR:90]:[/BR:90]],Brudnopis!$E$28:$J$28),0)</f>
        <v>0.15625</v>
      </c>
      <c r="Y1372" s="35">
        <f>IF(Mecze[[#This Row],[Role]]="BR",Mecze[[#This Row],[/OB:90]]+Mecze[[#This Row],[/PC:90]],SUM(Mecze[[#This Row],[/PR:90]:[/BR:90]]))</f>
        <v>0.11458333333333334</v>
      </c>
      <c r="Z1372" s="35">
        <f>IF(Mecze[[#This Row],[KC]]=0,SUM(Mecze[[#This Row],[/BRI]:[/NPI]]),SUM(Mecze[[#This Row],[/BRI]:[/NPI]])*0.6)</f>
        <v>0.70572916666666674</v>
      </c>
      <c r="AA1372" s="10">
        <f>IFERROR(Mecze[[#This Row],[BR]]/Mecze[[#This Row],[ST]],0)</f>
        <v>0.33333333333333331</v>
      </c>
      <c r="AB1372">
        <f>ROUND(Mecze[[#This Row],[PD]]*Mecze[[#This Row],[%PC]],0)</f>
        <v>6</v>
      </c>
      <c r="AC1372">
        <f>ROUND(Mecze[[#This Row],[OD]]*Mecze[[#This Row],[%OU]],0)</f>
        <v>0</v>
      </c>
      <c r="AD1372" s="36" t="s">
        <v>46</v>
      </c>
      <c r="AE1372" s="36">
        <v>75</v>
      </c>
      <c r="AF1372" s="71">
        <v>8.81</v>
      </c>
      <c r="AG1372" s="37">
        <v>0</v>
      </c>
      <c r="AH1372" s="37">
        <v>0</v>
      </c>
      <c r="AI1372" s="37">
        <v>96</v>
      </c>
      <c r="AJ1372" s="37">
        <v>6</v>
      </c>
      <c r="AK1372" s="37" t="str">
        <f>VLOOKUP(Mecze[[#This Row],[Match ID]],Meczusie[Mecz]:Meczusie[RodzajMeczu],2,FALSE)</f>
        <v>Liga</v>
      </c>
    </row>
    <row r="1373" spans="1:37" x14ac:dyDescent="0.25">
      <c r="A1373" s="76">
        <v>100</v>
      </c>
      <c r="B1373" s="3" t="s">
        <v>257</v>
      </c>
      <c r="C1373" s="2" t="s">
        <v>165</v>
      </c>
      <c r="D1373" s="1">
        <v>0</v>
      </c>
      <c r="E1373" s="1">
        <v>1</v>
      </c>
      <c r="F1373" s="1">
        <v>1</v>
      </c>
      <c r="G1373" s="1">
        <v>8</v>
      </c>
      <c r="H1373" s="4">
        <v>0.75</v>
      </c>
      <c r="I1373" s="1">
        <v>5</v>
      </c>
      <c r="J1373" s="4">
        <v>0.8</v>
      </c>
      <c r="K1373" s="1">
        <v>0</v>
      </c>
      <c r="L1373" s="1">
        <v>3</v>
      </c>
      <c r="M1373" s="32">
        <f>IF(Mecze[[#This Row],[PR]]=0,0,Mecze[[#This Row],[PR]]/Mecze[[#This Row],[CZAS]])</f>
        <v>3.6585365853658534E-2</v>
      </c>
      <c r="N1373" s="32">
        <f>IF(Mecze[[#This Row],[OU]]=0,0,Mecze[[#This Row],[OU]]/Mecze[[#This Row],[CZAS]])</f>
        <v>4.878048780487805E-2</v>
      </c>
      <c r="O1373" s="32">
        <f>IF(Mecze[[#This Row],[PC]]=0,0,Mecze[[#This Row],[PC]]/Mecze[[#This Row],[CZAS]])</f>
        <v>7.3170731707317069E-2</v>
      </c>
      <c r="P1373" s="32">
        <f>IF(Mecze[[#This Row],[SC]]=0,0,Mecze[[#This Row],[SC]]/Mecze[[#This Row],[CZAS]])</f>
        <v>1.2195121951219513E-2</v>
      </c>
      <c r="Q1373" s="32">
        <f>IF(Mecze[[#This Row],[OB]]=0,0,Mecze[[#This Row],[OB]]/Mecze[[#This Row],[CZAS]])</f>
        <v>0</v>
      </c>
      <c r="R1373" s="32">
        <f>IF(Mecze[[#This Row],[BR]]=0,0,Mecze[[#This Row],[BR]]/Mecze[[#This Row],[CZAS]])</f>
        <v>0</v>
      </c>
      <c r="S1373" s="44">
        <f>IF(Mecze[[#This Row],[Role]]="BR",SUMPRODUCT(Mecze[[#This Row],[/PR:90]:[/BR:90]],Brudnopis!$E$23:$J$23),0)</f>
        <v>0</v>
      </c>
      <c r="T1373" s="44">
        <f>IF(Mecze[[#This Row],[Role]]&lt;&gt;"BR",SUMPRODUCT(Mecze[[#This Row],[/PR:90]:[/BR:90]],Brudnopis!$E$24:$J$24),0)</f>
        <v>0.1951219512195122</v>
      </c>
      <c r="U1373" s="44">
        <f>IF(Mecze[[#This Row],[Role]]&lt;&gt;"BR",SUMPRODUCT(Mecze[[#This Row],[/PR:90]:[/BR:90]],Brudnopis!$E$25:$J$25),0)</f>
        <v>0.2073170731707317</v>
      </c>
      <c r="V1373" s="44">
        <f>IF(Mecze[[#This Row],[Role]]&lt;&gt;"BR",SUMPRODUCT(Mecze[[#This Row],[/PR:90]:[/BR:90]],Brudnopis!$E$26:$J$26),0)</f>
        <v>0.17073170731707316</v>
      </c>
      <c r="W1373" s="44">
        <f>IF(Mecze[[#This Row],[Role]]&lt;&gt;"BR",SUMPRODUCT(Mecze[[#This Row],[/PR:90]:[/BR:90]],Brudnopis!$E$27:$J$27),0)</f>
        <v>0.18597560975609756</v>
      </c>
      <c r="X1373" s="44">
        <f>IF(Mecze[[#This Row],[Role]]&lt;&gt;"BR",SUMPRODUCT(Mecze[[#This Row],[/PR:90]:[/BR:90]],Brudnopis!$E$28:$J$28),0)</f>
        <v>9.7560975609756101E-2</v>
      </c>
      <c r="Y1373" s="35">
        <f>IF(Mecze[[#This Row],[Role]]="BR",Mecze[[#This Row],[/OB:90]]+Mecze[[#This Row],[/PC:90]],SUM(Mecze[[#This Row],[/PR:90]:[/BR:90]]))</f>
        <v>0.17073170731707316</v>
      </c>
      <c r="Z1373" s="35">
        <f>IF(Mecze[[#This Row],[KC]]=0,SUM(Mecze[[#This Row],[/BRI]:[/NPI]]),SUM(Mecze[[#This Row],[/BRI]:[/NPI]])*0.6)</f>
        <v>0.85670731707317083</v>
      </c>
      <c r="AA1373" s="10">
        <f>IFERROR(Mecze[[#This Row],[BR]]/Mecze[[#This Row],[ST]],0)</f>
        <v>0</v>
      </c>
      <c r="AB1373">
        <f>ROUND(Mecze[[#This Row],[PD]]*Mecze[[#This Row],[%PC]],0)</f>
        <v>6</v>
      </c>
      <c r="AC1373">
        <f>ROUND(Mecze[[#This Row],[OD]]*Mecze[[#This Row],[%OU]],0)</f>
        <v>4</v>
      </c>
      <c r="AD1373" s="36" t="s">
        <v>46</v>
      </c>
      <c r="AE1373" s="36">
        <v>75</v>
      </c>
      <c r="AF1373" s="71">
        <v>4.26</v>
      </c>
      <c r="AG1373" s="37">
        <v>0</v>
      </c>
      <c r="AH1373" s="37">
        <v>0</v>
      </c>
      <c r="AI1373" s="37">
        <v>82</v>
      </c>
      <c r="AJ1373" s="37">
        <v>6</v>
      </c>
      <c r="AK1373" s="37" t="str">
        <f>VLOOKUP(Mecze[[#This Row],[Match ID]],Meczusie[Mecz]:Meczusie[RodzajMeczu],2,FALSE)</f>
        <v>Liga</v>
      </c>
    </row>
    <row r="1374" spans="1:37" x14ac:dyDescent="0.25">
      <c r="A1374" s="76">
        <v>20</v>
      </c>
      <c r="B1374" s="3" t="s">
        <v>391</v>
      </c>
      <c r="C1374" s="2" t="s">
        <v>165</v>
      </c>
      <c r="D1374" s="1">
        <v>1</v>
      </c>
      <c r="E1374" s="1">
        <v>2</v>
      </c>
      <c r="F1374" s="1">
        <v>2</v>
      </c>
      <c r="G1374" s="1">
        <v>1</v>
      </c>
      <c r="H1374" s="4">
        <v>1</v>
      </c>
      <c r="I1374" s="1">
        <v>0</v>
      </c>
      <c r="J1374" s="4"/>
      <c r="K1374" s="1">
        <v>0</v>
      </c>
      <c r="L1374" s="1">
        <v>0</v>
      </c>
      <c r="M1374" s="32">
        <f>IF(Mecze[[#This Row],[PR]]=0,0,Mecze[[#This Row],[PR]]/Mecze[[#This Row],[CZAS]])</f>
        <v>0</v>
      </c>
      <c r="N1374" s="32">
        <f>IF(Mecze[[#This Row],[OU]]=0,0,Mecze[[#This Row],[OU]]/Mecze[[#This Row],[CZAS]])</f>
        <v>0</v>
      </c>
      <c r="O1374" s="32">
        <f>IF(Mecze[[#This Row],[PC]]=0,0,Mecze[[#This Row],[PC]]/Mecze[[#This Row],[CZAS]])</f>
        <v>7.1428571428571425E-2</v>
      </c>
      <c r="P1374" s="32">
        <f>IF(Mecze[[#This Row],[SC]]=0,0,Mecze[[#This Row],[SC]]/Mecze[[#This Row],[CZAS]])</f>
        <v>0.14285714285714285</v>
      </c>
      <c r="Q1374" s="32">
        <f>IF(Mecze[[#This Row],[OB]]=0,0,Mecze[[#This Row],[OB]]/Mecze[[#This Row],[CZAS]])</f>
        <v>0</v>
      </c>
      <c r="R1374" s="32">
        <f>IF(Mecze[[#This Row],[BR]]=0,0,Mecze[[#This Row],[BR]]/Mecze[[#This Row],[CZAS]])</f>
        <v>7.1428571428571425E-2</v>
      </c>
      <c r="S1374" s="44">
        <f>IF(Mecze[[#This Row],[Role]]="BR",SUMPRODUCT(Mecze[[#This Row],[/PR:90]:[/BR:90]],Brudnopis!$E$23:$J$23),0)</f>
        <v>0</v>
      </c>
      <c r="T1374" s="44">
        <f>IF(Mecze[[#This Row],[Role]]&lt;&gt;"BR",SUMPRODUCT(Mecze[[#This Row],[/PR:90]:[/BR:90]],Brudnopis!$E$24:$J$24),0)</f>
        <v>0.3214285714285714</v>
      </c>
      <c r="U1374" s="44">
        <f>IF(Mecze[[#This Row],[Role]]&lt;&gt;"BR",SUMPRODUCT(Mecze[[#This Row],[/PR:90]:[/BR:90]],Brudnopis!$E$25:$J$25),0)</f>
        <v>0.35714285714285715</v>
      </c>
      <c r="V1374" s="44">
        <f>IF(Mecze[[#This Row],[Role]]&lt;&gt;"BR",SUMPRODUCT(Mecze[[#This Row],[/PR:90]:[/BR:90]],Brudnopis!$E$26:$J$26),0)</f>
        <v>0.3571428571428571</v>
      </c>
      <c r="W1374" s="44">
        <f>IF(Mecze[[#This Row],[Role]]&lt;&gt;"BR",SUMPRODUCT(Mecze[[#This Row],[/PR:90]:[/BR:90]],Brudnopis!$E$27:$J$27),0)</f>
        <v>0.39285714285714285</v>
      </c>
      <c r="X1374" s="44">
        <f>IF(Mecze[[#This Row],[Role]]&lt;&gt;"BR",SUMPRODUCT(Mecze[[#This Row],[/PR:90]:[/BR:90]],Brudnopis!$E$28:$J$28),0)</f>
        <v>0.5714285714285714</v>
      </c>
      <c r="Y1374" s="35">
        <f>IF(Mecze[[#This Row],[Role]]="BR",Mecze[[#This Row],[/OB:90]]+Mecze[[#This Row],[/PC:90]],SUM(Mecze[[#This Row],[/PR:90]:[/BR:90]]))</f>
        <v>0.2857142857142857</v>
      </c>
      <c r="Z1374" s="35">
        <f>IF(Mecze[[#This Row],[KC]]=0,SUM(Mecze[[#This Row],[/BRI]:[/NPI]]),SUM(Mecze[[#This Row],[/BRI]:[/NPI]])*0.6)</f>
        <v>1.9999999999999998</v>
      </c>
      <c r="AA1374" s="10">
        <f>IFERROR(Mecze[[#This Row],[BR]]/Mecze[[#This Row],[ST]],0)</f>
        <v>0.5</v>
      </c>
      <c r="AB1374">
        <f>ROUND(Mecze[[#This Row],[PD]]*Mecze[[#This Row],[%PC]],0)</f>
        <v>1</v>
      </c>
      <c r="AC1374">
        <f>ROUND(Mecze[[#This Row],[OD]]*Mecze[[#This Row],[%OU]],0)</f>
        <v>0</v>
      </c>
      <c r="AD1374" s="36" t="s">
        <v>46</v>
      </c>
      <c r="AE1374" s="36">
        <v>75</v>
      </c>
      <c r="AF1374" s="71">
        <v>3.24</v>
      </c>
      <c r="AG1374" s="37">
        <v>0</v>
      </c>
      <c r="AH1374" s="37">
        <v>0</v>
      </c>
      <c r="AI1374" s="37">
        <v>14</v>
      </c>
      <c r="AJ1374" s="37">
        <v>6</v>
      </c>
      <c r="AK1374" s="37" t="str">
        <f>VLOOKUP(Mecze[[#This Row],[Match ID]],Meczusie[Mecz]:Meczusie[RodzajMeczu],2,FALSE)</f>
        <v>Liga</v>
      </c>
    </row>
    <row r="1375" spans="1:37" x14ac:dyDescent="0.25">
      <c r="A1375" s="76">
        <v>105</v>
      </c>
      <c r="B1375" s="3" t="s">
        <v>423</v>
      </c>
      <c r="C1375" s="2" t="s">
        <v>157</v>
      </c>
      <c r="D1375" s="1">
        <v>0</v>
      </c>
      <c r="E1375" s="1">
        <v>0</v>
      </c>
      <c r="F1375" s="1">
        <v>0</v>
      </c>
      <c r="G1375" s="1">
        <v>3</v>
      </c>
      <c r="H1375" s="4">
        <v>0.33</v>
      </c>
      <c r="I1375" s="1">
        <v>1</v>
      </c>
      <c r="J1375" s="4">
        <v>0</v>
      </c>
      <c r="K1375" s="1">
        <v>0</v>
      </c>
      <c r="L1375" s="1">
        <v>4</v>
      </c>
      <c r="M1375" s="32">
        <f>IF(Mecze[[#This Row],[PR]]=0,0,Mecze[[#This Row],[PR]]/Mecze[[#This Row],[CZAS]])</f>
        <v>0.2857142857142857</v>
      </c>
      <c r="N1375" s="32">
        <f>IF(Mecze[[#This Row],[OU]]=0,0,Mecze[[#This Row],[OU]]/Mecze[[#This Row],[CZAS]])</f>
        <v>0</v>
      </c>
      <c r="O1375" s="32">
        <f>IF(Mecze[[#This Row],[PC]]=0,0,Mecze[[#This Row],[PC]]/Mecze[[#This Row],[CZAS]])</f>
        <v>7.1428571428571425E-2</v>
      </c>
      <c r="P1375" s="32">
        <f>IF(Mecze[[#This Row],[SC]]=0,0,Mecze[[#This Row],[SC]]/Mecze[[#This Row],[CZAS]])</f>
        <v>0</v>
      </c>
      <c r="Q1375" s="32">
        <f>IF(Mecze[[#This Row],[OB]]=0,0,Mecze[[#This Row],[OB]]/Mecze[[#This Row],[CZAS]])</f>
        <v>0</v>
      </c>
      <c r="R1375" s="32">
        <f>IF(Mecze[[#This Row],[BR]]=0,0,Mecze[[#This Row],[BR]]/Mecze[[#This Row],[CZAS]])</f>
        <v>0</v>
      </c>
      <c r="S1375" s="44">
        <f>IF(Mecze[[#This Row],[Role]]="BR",SUMPRODUCT(Mecze[[#This Row],[/PR:90]:[/BR:90]],Brudnopis!$E$23:$J$23),0)</f>
        <v>0</v>
      </c>
      <c r="T1375" s="44">
        <f>IF(Mecze[[#This Row],[Role]]&lt;&gt;"BR",SUMPRODUCT(Mecze[[#This Row],[/PR:90]:[/BR:90]],Brudnopis!$E$24:$J$24),0)</f>
        <v>0.3571428571428571</v>
      </c>
      <c r="U1375" s="44">
        <f>IF(Mecze[[#This Row],[Role]]&lt;&gt;"BR",SUMPRODUCT(Mecze[[#This Row],[/PR:90]:[/BR:90]],Brudnopis!$E$25:$J$25),0)</f>
        <v>0.39285714285714285</v>
      </c>
      <c r="V1375" s="44">
        <f>IF(Mecze[[#This Row],[Role]]&lt;&gt;"BR",SUMPRODUCT(Mecze[[#This Row],[/PR:90]:[/BR:90]],Brudnopis!$E$26:$J$26),0)</f>
        <v>0.3571428571428571</v>
      </c>
      <c r="W1375" s="44">
        <f>IF(Mecze[[#This Row],[Role]]&lt;&gt;"BR",SUMPRODUCT(Mecze[[#This Row],[/PR:90]:[/BR:90]],Brudnopis!$E$27:$J$27),0)</f>
        <v>0.3214285714285714</v>
      </c>
      <c r="X1375" s="44">
        <f>IF(Mecze[[#This Row],[Role]]&lt;&gt;"BR",SUMPRODUCT(Mecze[[#This Row],[/PR:90]:[/BR:90]],Brudnopis!$E$28:$J$28),0)</f>
        <v>7.1428571428571425E-2</v>
      </c>
      <c r="Y1375" s="35">
        <f>IF(Mecze[[#This Row],[Role]]="BR",Mecze[[#This Row],[/OB:90]]+Mecze[[#This Row],[/PC:90]],SUM(Mecze[[#This Row],[/PR:90]:[/BR:90]]))</f>
        <v>0.3571428571428571</v>
      </c>
      <c r="Z1375" s="35">
        <f>IF(Mecze[[#This Row],[KC]]=0,SUM(Mecze[[#This Row],[/BRI]:[/NPI]]),SUM(Mecze[[#This Row],[/BRI]:[/NPI]])*0.6)</f>
        <v>1.5</v>
      </c>
      <c r="AA1375" s="10">
        <f>IFERROR(Mecze[[#This Row],[BR]]/Mecze[[#This Row],[ST]],0)</f>
        <v>0</v>
      </c>
      <c r="AB1375">
        <f>ROUND(Mecze[[#This Row],[PD]]*Mecze[[#This Row],[%PC]],0)</f>
        <v>1</v>
      </c>
      <c r="AC1375">
        <f>ROUND(Mecze[[#This Row],[OD]]*Mecze[[#This Row],[%OU]],0)</f>
        <v>0</v>
      </c>
      <c r="AD1375" s="36" t="s">
        <v>167</v>
      </c>
      <c r="AE1375" s="36">
        <v>75</v>
      </c>
      <c r="AF1375" s="71">
        <v>0.23</v>
      </c>
      <c r="AG1375" s="37">
        <v>0</v>
      </c>
      <c r="AH1375" s="37">
        <v>0</v>
      </c>
      <c r="AI1375" s="37">
        <v>14</v>
      </c>
      <c r="AJ1375" s="37">
        <v>6</v>
      </c>
      <c r="AK1375" s="37" t="str">
        <f>VLOOKUP(Mecze[[#This Row],[Match ID]],Meczusie[Mecz]:Meczusie[RodzajMeczu],2,FALSE)</f>
        <v>Liga</v>
      </c>
    </row>
    <row r="1376" spans="1:37" x14ac:dyDescent="0.25">
      <c r="A1376" s="76">
        <v>9</v>
      </c>
      <c r="B1376" s="3" t="s">
        <v>258</v>
      </c>
      <c r="C1376" s="2" t="s">
        <v>160</v>
      </c>
      <c r="D1376" s="1">
        <v>0</v>
      </c>
      <c r="E1376" s="1">
        <v>0</v>
      </c>
      <c r="F1376" s="1">
        <v>0</v>
      </c>
      <c r="G1376" s="1">
        <v>1</v>
      </c>
      <c r="H1376" s="4">
        <v>0</v>
      </c>
      <c r="I1376" s="1">
        <v>1</v>
      </c>
      <c r="J1376" s="4">
        <v>0</v>
      </c>
      <c r="K1376" s="1">
        <v>0</v>
      </c>
      <c r="L1376" s="1">
        <v>0</v>
      </c>
      <c r="M1376" s="32">
        <f>IF(Mecze[[#This Row],[PR]]=0,0,Mecze[[#This Row],[PR]]/Mecze[[#This Row],[CZAS]])</f>
        <v>0</v>
      </c>
      <c r="N1376" s="32">
        <f>IF(Mecze[[#This Row],[OU]]=0,0,Mecze[[#This Row],[OU]]/Mecze[[#This Row],[CZAS]])</f>
        <v>0</v>
      </c>
      <c r="O1376" s="32">
        <f>IF(Mecze[[#This Row],[PC]]=0,0,Mecze[[#This Row],[PC]]/Mecze[[#This Row],[CZAS]])</f>
        <v>0</v>
      </c>
      <c r="P1376" s="32">
        <f>IF(Mecze[[#This Row],[SC]]=0,0,Mecze[[#This Row],[SC]]/Mecze[[#This Row],[CZAS]])</f>
        <v>0</v>
      </c>
      <c r="Q1376" s="32">
        <f>IF(Mecze[[#This Row],[OB]]=0,0,Mecze[[#This Row],[OB]]/Mecze[[#This Row],[CZAS]])</f>
        <v>0</v>
      </c>
      <c r="R1376" s="32">
        <f>IF(Mecze[[#This Row],[BR]]=0,0,Mecze[[#This Row],[BR]]/Mecze[[#This Row],[CZAS]])</f>
        <v>0</v>
      </c>
      <c r="S1376" s="44">
        <f>IF(Mecze[[#This Row],[Role]]="BR",SUMPRODUCT(Mecze[[#This Row],[/PR:90]:[/BR:90]],Brudnopis!$E$23:$J$23),0)</f>
        <v>0</v>
      </c>
      <c r="T1376" s="44">
        <f>IF(Mecze[[#This Row],[Role]]&lt;&gt;"BR",SUMPRODUCT(Mecze[[#This Row],[/PR:90]:[/BR:90]],Brudnopis!$E$24:$J$24),0)</f>
        <v>0</v>
      </c>
      <c r="U1376" s="44">
        <f>IF(Mecze[[#This Row],[Role]]&lt;&gt;"BR",SUMPRODUCT(Mecze[[#This Row],[/PR:90]:[/BR:90]],Brudnopis!$E$25:$J$25),0)</f>
        <v>0</v>
      </c>
      <c r="V1376" s="44">
        <f>IF(Mecze[[#This Row],[Role]]&lt;&gt;"BR",SUMPRODUCT(Mecze[[#This Row],[/PR:90]:[/BR:90]],Brudnopis!$E$26:$J$26),0)</f>
        <v>0</v>
      </c>
      <c r="W1376" s="44">
        <f>IF(Mecze[[#This Row],[Role]]&lt;&gt;"BR",SUMPRODUCT(Mecze[[#This Row],[/PR:90]:[/BR:90]],Brudnopis!$E$27:$J$27),0)</f>
        <v>0</v>
      </c>
      <c r="X1376" s="44">
        <f>IF(Mecze[[#This Row],[Role]]&lt;&gt;"BR",SUMPRODUCT(Mecze[[#This Row],[/PR:90]:[/BR:90]],Brudnopis!$E$28:$J$28),0)</f>
        <v>0</v>
      </c>
      <c r="Y1376" s="35">
        <f>IF(Mecze[[#This Row],[Role]]="BR",Mecze[[#This Row],[/OB:90]]+Mecze[[#This Row],[/PC:90]],SUM(Mecze[[#This Row],[/PR:90]:[/BR:90]]))</f>
        <v>0</v>
      </c>
      <c r="Z1376" s="35">
        <f>IF(Mecze[[#This Row],[KC]]=0,SUM(Mecze[[#This Row],[/BRI]:[/NPI]]),SUM(Mecze[[#This Row],[/BRI]:[/NPI]])*0.6)</f>
        <v>0</v>
      </c>
      <c r="AA1376" s="10">
        <f>IFERROR(Mecze[[#This Row],[BR]]/Mecze[[#This Row],[ST]],0)</f>
        <v>0</v>
      </c>
      <c r="AB1376">
        <f>ROUND(Mecze[[#This Row],[PD]]*Mecze[[#This Row],[%PC]],0)</f>
        <v>0</v>
      </c>
      <c r="AC1376">
        <f>ROUND(Mecze[[#This Row],[OD]]*Mecze[[#This Row],[%OU]],0)</f>
        <v>0</v>
      </c>
      <c r="AD1376" s="36" t="s">
        <v>318</v>
      </c>
      <c r="AE1376" s="36">
        <v>75</v>
      </c>
      <c r="AF1376" s="71">
        <v>0.5</v>
      </c>
      <c r="AG1376" s="37">
        <v>0</v>
      </c>
      <c r="AH1376" s="37">
        <v>0</v>
      </c>
      <c r="AI1376" s="37">
        <v>16</v>
      </c>
      <c r="AJ1376" s="37">
        <v>6</v>
      </c>
      <c r="AK1376" s="37" t="str">
        <f>VLOOKUP(Mecze[[#This Row],[Match ID]],Meczusie[Mecz]:Meczusie[RodzajMeczu],2,FALSE)</f>
        <v>Liga</v>
      </c>
    </row>
    <row r="1377" spans="1:37" x14ac:dyDescent="0.25">
      <c r="A1377" s="76">
        <v>1</v>
      </c>
      <c r="B1377" s="3" t="s">
        <v>320</v>
      </c>
      <c r="C1377" s="2" t="s">
        <v>155</v>
      </c>
      <c r="D1377" s="1">
        <v>0</v>
      </c>
      <c r="E1377" s="1">
        <v>0</v>
      </c>
      <c r="F1377" s="1">
        <v>0</v>
      </c>
      <c r="G1377" s="1">
        <v>5</v>
      </c>
      <c r="H1377" s="4">
        <v>0.6</v>
      </c>
      <c r="I1377" s="1">
        <v>0</v>
      </c>
      <c r="J1377" s="4"/>
      <c r="K1377" s="1">
        <v>7</v>
      </c>
      <c r="L1377" s="1">
        <v>0</v>
      </c>
      <c r="M1377" s="32">
        <f>IF(Mecze[[#This Row],[PR]]=0,0,Mecze[[#This Row],[PR]]/Mecze[[#This Row],[CZAS]])</f>
        <v>0</v>
      </c>
      <c r="N1377" s="32">
        <f>IF(Mecze[[#This Row],[OU]]=0,0,Mecze[[#This Row],[OU]]/Mecze[[#This Row],[CZAS]])</f>
        <v>0</v>
      </c>
      <c r="O1377" s="32">
        <f>IF(Mecze[[#This Row],[PC]]=0,0,Mecze[[#This Row],[PC]]/Mecze[[#This Row],[CZAS]])</f>
        <v>3.125E-2</v>
      </c>
      <c r="P1377" s="32">
        <f>IF(Mecze[[#This Row],[SC]]=0,0,Mecze[[#This Row],[SC]]/Mecze[[#This Row],[CZAS]])</f>
        <v>0</v>
      </c>
      <c r="Q1377" s="32">
        <f>IF(Mecze[[#This Row],[OB]]=0,0,Mecze[[#This Row],[OB]]/Mecze[[#This Row],[CZAS]])</f>
        <v>7.2916666666666671E-2</v>
      </c>
      <c r="R1377" s="32">
        <f>IF(Mecze[[#This Row],[BR]]=0,0,Mecze[[#This Row],[BR]]/Mecze[[#This Row],[CZAS]])</f>
        <v>0</v>
      </c>
      <c r="S1377" s="44">
        <f>IF(Mecze[[#This Row],[Role]]="BR",SUMPRODUCT(Mecze[[#This Row],[/PR:90]:[/BR:90]],Brudnopis!$E$23:$J$23),0)</f>
        <v>0.3125</v>
      </c>
      <c r="T1377" s="44">
        <f>IF(Mecze[[#This Row],[Role]]&lt;&gt;"BR",SUMPRODUCT(Mecze[[#This Row],[/PR:90]:[/BR:90]],Brudnopis!$E$24:$J$24),0)</f>
        <v>0</v>
      </c>
      <c r="U1377" s="44">
        <f>IF(Mecze[[#This Row],[Role]]&lt;&gt;"BR",SUMPRODUCT(Mecze[[#This Row],[/PR:90]:[/BR:90]],Brudnopis!$E$25:$J$25),0)</f>
        <v>0</v>
      </c>
      <c r="V1377" s="44">
        <f>IF(Mecze[[#This Row],[Role]]&lt;&gt;"BR",SUMPRODUCT(Mecze[[#This Row],[/PR:90]:[/BR:90]],Brudnopis!$E$26:$J$26),0)</f>
        <v>0</v>
      </c>
      <c r="W1377" s="44">
        <f>IF(Mecze[[#This Row],[Role]]&lt;&gt;"BR",SUMPRODUCT(Mecze[[#This Row],[/PR:90]:[/BR:90]],Brudnopis!$E$27:$J$27),0)</f>
        <v>0</v>
      </c>
      <c r="X1377" s="44">
        <f>IF(Mecze[[#This Row],[Role]]&lt;&gt;"BR",SUMPRODUCT(Mecze[[#This Row],[/PR:90]:[/BR:90]],Brudnopis!$E$28:$J$28),0)</f>
        <v>0</v>
      </c>
      <c r="Y1377" s="35">
        <f>IF(Mecze[[#This Row],[Role]]="BR",Mecze[[#This Row],[/OB:90]]+Mecze[[#This Row],[/PC:90]],SUM(Mecze[[#This Row],[/PR:90]:[/BR:90]]))</f>
        <v>0.10416666666666667</v>
      </c>
      <c r="Z1377" s="35">
        <f>IF(Mecze[[#This Row],[KC]]=0,SUM(Mecze[[#This Row],[/BRI]:[/NPI]]),SUM(Mecze[[#This Row],[/BRI]:[/NPI]])*0.6)</f>
        <v>0.3125</v>
      </c>
      <c r="AA1377" s="10">
        <f>IFERROR(Mecze[[#This Row],[BR]]/Mecze[[#This Row],[ST]],0)</f>
        <v>0</v>
      </c>
      <c r="AB1377">
        <f>ROUND(Mecze[[#This Row],[PD]]*Mecze[[#This Row],[%PC]],0)</f>
        <v>3</v>
      </c>
      <c r="AC1377">
        <f>ROUND(Mecze[[#This Row],[OD]]*Mecze[[#This Row],[%OU]],0)</f>
        <v>0</v>
      </c>
      <c r="AD1377" s="36" t="s">
        <v>40</v>
      </c>
      <c r="AE1377" s="36">
        <v>75</v>
      </c>
      <c r="AF1377" s="71">
        <v>5.26</v>
      </c>
      <c r="AG1377" s="37">
        <v>0</v>
      </c>
      <c r="AH1377" s="37">
        <v>0</v>
      </c>
      <c r="AI1377" s="37">
        <v>96</v>
      </c>
      <c r="AJ1377" s="37">
        <v>11</v>
      </c>
      <c r="AK1377" s="37" t="str">
        <f>VLOOKUP(Mecze[[#This Row],[Match ID]],Meczusie[Mecz]:Meczusie[RodzajMeczu],2,FALSE)</f>
        <v>Liga</v>
      </c>
    </row>
    <row r="1378" spans="1:37" x14ac:dyDescent="0.25">
      <c r="A1378" s="76">
        <v>4</v>
      </c>
      <c r="B1378" s="3" t="s">
        <v>321</v>
      </c>
      <c r="C1378" s="2" t="s">
        <v>157</v>
      </c>
      <c r="D1378" s="1">
        <v>0</v>
      </c>
      <c r="E1378" s="1">
        <v>0</v>
      </c>
      <c r="F1378" s="1">
        <v>0</v>
      </c>
      <c r="G1378" s="1">
        <v>10</v>
      </c>
      <c r="H1378" s="4">
        <v>0.5</v>
      </c>
      <c r="I1378" s="1">
        <v>9</v>
      </c>
      <c r="J1378" s="4">
        <v>0.33</v>
      </c>
      <c r="K1378" s="1">
        <v>0</v>
      </c>
      <c r="L1378" s="1">
        <v>12</v>
      </c>
      <c r="M1378" s="32">
        <f>IF(Mecze[[#This Row],[PR]]=0,0,Mecze[[#This Row],[PR]]/Mecze[[#This Row],[CZAS]])</f>
        <v>0.125</v>
      </c>
      <c r="N1378" s="32">
        <f>IF(Mecze[[#This Row],[OU]]=0,0,Mecze[[#This Row],[OU]]/Mecze[[#This Row],[CZAS]])</f>
        <v>3.125E-2</v>
      </c>
      <c r="O1378" s="32">
        <f>IF(Mecze[[#This Row],[PC]]=0,0,Mecze[[#This Row],[PC]]/Mecze[[#This Row],[CZAS]])</f>
        <v>5.2083333333333336E-2</v>
      </c>
      <c r="P1378" s="32">
        <f>IF(Mecze[[#This Row],[SC]]=0,0,Mecze[[#This Row],[SC]]/Mecze[[#This Row],[CZAS]])</f>
        <v>0</v>
      </c>
      <c r="Q1378" s="32">
        <f>IF(Mecze[[#This Row],[OB]]=0,0,Mecze[[#This Row],[OB]]/Mecze[[#This Row],[CZAS]])</f>
        <v>0</v>
      </c>
      <c r="R1378" s="32">
        <f>IF(Mecze[[#This Row],[BR]]=0,0,Mecze[[#This Row],[BR]]/Mecze[[#This Row],[CZAS]])</f>
        <v>0</v>
      </c>
      <c r="S1378" s="44">
        <f>IF(Mecze[[#This Row],[Role]]="BR",SUMPRODUCT(Mecze[[#This Row],[/PR:90]:[/BR:90]],Brudnopis!$E$23:$J$23),0)</f>
        <v>0</v>
      </c>
      <c r="T1378" s="44">
        <f>IF(Mecze[[#This Row],[Role]]&lt;&gt;"BR",SUMPRODUCT(Mecze[[#This Row],[/PR:90]:[/BR:90]],Brudnopis!$E$24:$J$24),0)</f>
        <v>0.22395833333333334</v>
      </c>
      <c r="U1378" s="44">
        <f>IF(Mecze[[#This Row],[Role]]&lt;&gt;"BR",SUMPRODUCT(Mecze[[#This Row],[/PR:90]:[/BR:90]],Brudnopis!$E$25:$J$25),0)</f>
        <v>0.234375</v>
      </c>
      <c r="V1378" s="44">
        <f>IF(Mecze[[#This Row],[Role]]&lt;&gt;"BR",SUMPRODUCT(Mecze[[#This Row],[/PR:90]:[/BR:90]],Brudnopis!$E$26:$J$26),0)</f>
        <v>0.20833333333333334</v>
      </c>
      <c r="W1378" s="44">
        <f>IF(Mecze[[#This Row],[Role]]&lt;&gt;"BR",SUMPRODUCT(Mecze[[#This Row],[/PR:90]:[/BR:90]],Brudnopis!$E$27:$J$27),0)</f>
        <v>0.1953125</v>
      </c>
      <c r="X1378" s="44">
        <f>IF(Mecze[[#This Row],[Role]]&lt;&gt;"BR",SUMPRODUCT(Mecze[[#This Row],[/PR:90]:[/BR:90]],Brudnopis!$E$28:$J$28),0)</f>
        <v>5.2083333333333336E-2</v>
      </c>
      <c r="Y1378" s="35">
        <f>IF(Mecze[[#This Row],[Role]]="BR",Mecze[[#This Row],[/OB:90]]+Mecze[[#This Row],[/PC:90]],SUM(Mecze[[#This Row],[/PR:90]:[/BR:90]]))</f>
        <v>0.20833333333333334</v>
      </c>
      <c r="Z1378" s="35">
        <f>IF(Mecze[[#This Row],[KC]]=0,SUM(Mecze[[#This Row],[/BRI]:[/NPI]]),SUM(Mecze[[#This Row],[/BRI]:[/NPI]])*0.6)</f>
        <v>0.91406250000000011</v>
      </c>
      <c r="AA1378" s="10">
        <f>IFERROR(Mecze[[#This Row],[BR]]/Mecze[[#This Row],[ST]],0)</f>
        <v>0</v>
      </c>
      <c r="AB1378">
        <f>ROUND(Mecze[[#This Row],[PD]]*Mecze[[#This Row],[%PC]],0)</f>
        <v>5</v>
      </c>
      <c r="AC1378">
        <f>ROUND(Mecze[[#This Row],[OD]]*Mecze[[#This Row],[%OU]],0)</f>
        <v>3</v>
      </c>
      <c r="AD1378" s="36" t="s">
        <v>47</v>
      </c>
      <c r="AE1378" s="36">
        <v>75</v>
      </c>
      <c r="AF1378" s="71">
        <v>4.1100000000000003</v>
      </c>
      <c r="AG1378" s="37">
        <v>0</v>
      </c>
      <c r="AH1378" s="37">
        <v>0</v>
      </c>
      <c r="AI1378" s="37">
        <v>96</v>
      </c>
      <c r="AJ1378" s="37">
        <v>11</v>
      </c>
      <c r="AK1378" s="37" t="str">
        <f>VLOOKUP(Mecze[[#This Row],[Match ID]],Meczusie[Mecz]:Meczusie[RodzajMeczu],2,FALSE)</f>
        <v>Liga</v>
      </c>
    </row>
    <row r="1379" spans="1:37" x14ac:dyDescent="0.25">
      <c r="A1379" s="76">
        <v>7</v>
      </c>
      <c r="B1379" s="3" t="s">
        <v>322</v>
      </c>
      <c r="C1379" s="2" t="s">
        <v>157</v>
      </c>
      <c r="D1379" s="1">
        <v>0</v>
      </c>
      <c r="E1379" s="1">
        <v>0</v>
      </c>
      <c r="F1379" s="1">
        <v>0</v>
      </c>
      <c r="G1379" s="1">
        <v>10</v>
      </c>
      <c r="H1379" s="4">
        <v>0.8</v>
      </c>
      <c r="I1379" s="1">
        <v>3</v>
      </c>
      <c r="J1379" s="4">
        <v>1</v>
      </c>
      <c r="K1379" s="1">
        <v>0</v>
      </c>
      <c r="L1379" s="1">
        <v>5</v>
      </c>
      <c r="M1379" s="32">
        <f>IF(Mecze[[#This Row],[PR]]=0,0,Mecze[[#This Row],[PR]]/Mecze[[#This Row],[CZAS]])</f>
        <v>5.2083333333333336E-2</v>
      </c>
      <c r="N1379" s="32">
        <f>IF(Mecze[[#This Row],[OU]]=0,0,Mecze[[#This Row],[OU]]/Mecze[[#This Row],[CZAS]])</f>
        <v>3.125E-2</v>
      </c>
      <c r="O1379" s="32">
        <f>IF(Mecze[[#This Row],[PC]]=0,0,Mecze[[#This Row],[PC]]/Mecze[[#This Row],[CZAS]])</f>
        <v>8.3333333333333329E-2</v>
      </c>
      <c r="P1379" s="32">
        <f>IF(Mecze[[#This Row],[SC]]=0,0,Mecze[[#This Row],[SC]]/Mecze[[#This Row],[CZAS]])</f>
        <v>0</v>
      </c>
      <c r="Q1379" s="32">
        <f>IF(Mecze[[#This Row],[OB]]=0,0,Mecze[[#This Row],[OB]]/Mecze[[#This Row],[CZAS]])</f>
        <v>0</v>
      </c>
      <c r="R1379" s="32">
        <f>IF(Mecze[[#This Row],[BR]]=0,0,Mecze[[#This Row],[BR]]/Mecze[[#This Row],[CZAS]])</f>
        <v>0</v>
      </c>
      <c r="S1379" s="44">
        <f>IF(Mecze[[#This Row],[Role]]="BR",SUMPRODUCT(Mecze[[#This Row],[/PR:90]:[/BR:90]],Brudnopis!$E$23:$J$23),0)</f>
        <v>0</v>
      </c>
      <c r="T1379" s="44">
        <f>IF(Mecze[[#This Row],[Role]]&lt;&gt;"BR",SUMPRODUCT(Mecze[[#This Row],[/PR:90]:[/BR:90]],Brudnopis!$E$24:$J$24),0)</f>
        <v>0.18229166666666669</v>
      </c>
      <c r="U1379" s="44">
        <f>IF(Mecze[[#This Row],[Role]]&lt;&gt;"BR",SUMPRODUCT(Mecze[[#This Row],[/PR:90]:[/BR:90]],Brudnopis!$E$25:$J$25),0)</f>
        <v>0.20833333333333334</v>
      </c>
      <c r="V1379" s="44">
        <f>IF(Mecze[[#This Row],[Role]]&lt;&gt;"BR",SUMPRODUCT(Mecze[[#This Row],[/PR:90]:[/BR:90]],Brudnopis!$E$26:$J$26),0)</f>
        <v>0.16666666666666669</v>
      </c>
      <c r="W1379" s="44">
        <f>IF(Mecze[[#This Row],[Role]]&lt;&gt;"BR",SUMPRODUCT(Mecze[[#This Row],[/PR:90]:[/BR:90]],Brudnopis!$E$27:$J$27),0)</f>
        <v>0.1875</v>
      </c>
      <c r="X1379" s="44">
        <f>IF(Mecze[[#This Row],[Role]]&lt;&gt;"BR",SUMPRODUCT(Mecze[[#This Row],[/PR:90]:[/BR:90]],Brudnopis!$E$28:$J$28),0)</f>
        <v>8.3333333333333329E-2</v>
      </c>
      <c r="Y1379" s="35">
        <f>IF(Mecze[[#This Row],[Role]]="BR",Mecze[[#This Row],[/OB:90]]+Mecze[[#This Row],[/PC:90]],SUM(Mecze[[#This Row],[/PR:90]:[/BR:90]]))</f>
        <v>0.16666666666666669</v>
      </c>
      <c r="Z1379" s="35">
        <f>IF(Mecze[[#This Row],[KC]]=0,SUM(Mecze[[#This Row],[/BRI]:[/NPI]]),SUM(Mecze[[#This Row],[/BRI]:[/NPI]])*0.6)</f>
        <v>0.82812500000000011</v>
      </c>
      <c r="AA1379" s="10">
        <f>IFERROR(Mecze[[#This Row],[BR]]/Mecze[[#This Row],[ST]],0)</f>
        <v>0</v>
      </c>
      <c r="AB1379">
        <f>ROUND(Mecze[[#This Row],[PD]]*Mecze[[#This Row],[%PC]],0)</f>
        <v>8</v>
      </c>
      <c r="AC1379">
        <f>ROUND(Mecze[[#This Row],[OD]]*Mecze[[#This Row],[%OU]],0)</f>
        <v>3</v>
      </c>
      <c r="AD1379" s="36" t="s">
        <v>47</v>
      </c>
      <c r="AE1379" s="36">
        <v>75</v>
      </c>
      <c r="AF1379" s="71">
        <v>5.79</v>
      </c>
      <c r="AG1379" s="37">
        <v>0</v>
      </c>
      <c r="AH1379" s="37">
        <v>0</v>
      </c>
      <c r="AI1379" s="37">
        <v>96</v>
      </c>
      <c r="AJ1379" s="37">
        <v>11</v>
      </c>
      <c r="AK1379" s="37" t="str">
        <f>VLOOKUP(Mecze[[#This Row],[Match ID]],Meczusie[Mecz]:Meczusie[RodzajMeczu],2,FALSE)</f>
        <v>Liga</v>
      </c>
    </row>
    <row r="1380" spans="1:37" x14ac:dyDescent="0.25">
      <c r="A1380" s="76">
        <v>6</v>
      </c>
      <c r="B1380" s="3" t="s">
        <v>324</v>
      </c>
      <c r="C1380" s="2" t="s">
        <v>157</v>
      </c>
      <c r="D1380" s="1">
        <v>0</v>
      </c>
      <c r="E1380" s="1">
        <v>0</v>
      </c>
      <c r="F1380" s="1">
        <v>0</v>
      </c>
      <c r="G1380" s="1">
        <v>5</v>
      </c>
      <c r="H1380" s="4">
        <v>0.4</v>
      </c>
      <c r="I1380" s="1">
        <v>1</v>
      </c>
      <c r="J1380" s="4">
        <v>1</v>
      </c>
      <c r="K1380" s="1">
        <v>0</v>
      </c>
      <c r="L1380" s="1">
        <v>2</v>
      </c>
      <c r="M1380" s="32">
        <f>IF(Mecze[[#This Row],[PR]]=0,0,Mecze[[#This Row],[PR]]/Mecze[[#This Row],[CZAS]])</f>
        <v>2.0833333333333332E-2</v>
      </c>
      <c r="N1380" s="32">
        <f>IF(Mecze[[#This Row],[OU]]=0,0,Mecze[[#This Row],[OU]]/Mecze[[#This Row],[CZAS]])</f>
        <v>1.0416666666666666E-2</v>
      </c>
      <c r="O1380" s="32">
        <f>IF(Mecze[[#This Row],[PC]]=0,0,Mecze[[#This Row],[PC]]/Mecze[[#This Row],[CZAS]])</f>
        <v>2.0833333333333332E-2</v>
      </c>
      <c r="P1380" s="32">
        <f>IF(Mecze[[#This Row],[SC]]=0,0,Mecze[[#This Row],[SC]]/Mecze[[#This Row],[CZAS]])</f>
        <v>0</v>
      </c>
      <c r="Q1380" s="32">
        <f>IF(Mecze[[#This Row],[OB]]=0,0,Mecze[[#This Row],[OB]]/Mecze[[#This Row],[CZAS]])</f>
        <v>0</v>
      </c>
      <c r="R1380" s="32">
        <f>IF(Mecze[[#This Row],[BR]]=0,0,Mecze[[#This Row],[BR]]/Mecze[[#This Row],[CZAS]])</f>
        <v>0</v>
      </c>
      <c r="S1380" s="44">
        <f>IF(Mecze[[#This Row],[Role]]="BR",SUMPRODUCT(Mecze[[#This Row],[/PR:90]:[/BR:90]],Brudnopis!$E$23:$J$23),0)</f>
        <v>0</v>
      </c>
      <c r="T1380" s="44">
        <f>IF(Mecze[[#This Row],[Role]]&lt;&gt;"BR",SUMPRODUCT(Mecze[[#This Row],[/PR:90]:[/BR:90]],Brudnopis!$E$24:$J$24),0)</f>
        <v>5.7291666666666657E-2</v>
      </c>
      <c r="U1380" s="44">
        <f>IF(Mecze[[#This Row],[Role]]&lt;&gt;"BR",SUMPRODUCT(Mecze[[#This Row],[/PR:90]:[/BR:90]],Brudnopis!$E$25:$J$25),0)</f>
        <v>6.25E-2</v>
      </c>
      <c r="V1380" s="44">
        <f>IF(Mecze[[#This Row],[Role]]&lt;&gt;"BR",SUMPRODUCT(Mecze[[#This Row],[/PR:90]:[/BR:90]],Brudnopis!$E$26:$J$26),0)</f>
        <v>5.2083333333333329E-2</v>
      </c>
      <c r="W1380" s="44">
        <f>IF(Mecze[[#This Row],[Role]]&lt;&gt;"BR",SUMPRODUCT(Mecze[[#This Row],[/PR:90]:[/BR:90]],Brudnopis!$E$27:$J$27),0)</f>
        <v>5.46875E-2</v>
      </c>
      <c r="X1380" s="44">
        <f>IF(Mecze[[#This Row],[Role]]&lt;&gt;"BR",SUMPRODUCT(Mecze[[#This Row],[/PR:90]:[/BR:90]],Brudnopis!$E$28:$J$28),0)</f>
        <v>2.0833333333333332E-2</v>
      </c>
      <c r="Y1380" s="35">
        <f>IF(Mecze[[#This Row],[Role]]="BR",Mecze[[#This Row],[/OB:90]]+Mecze[[#This Row],[/PC:90]],SUM(Mecze[[#This Row],[/PR:90]:[/BR:90]]))</f>
        <v>5.2083333333333329E-2</v>
      </c>
      <c r="Z1380" s="35">
        <f>IF(Mecze[[#This Row],[KC]]=0,SUM(Mecze[[#This Row],[/BRI]:[/NPI]]),SUM(Mecze[[#This Row],[/BRI]:[/NPI]])*0.6)</f>
        <v>0.24739583333333334</v>
      </c>
      <c r="AA1380" s="10">
        <f>IFERROR(Mecze[[#This Row],[BR]]/Mecze[[#This Row],[ST]],0)</f>
        <v>0</v>
      </c>
      <c r="AB1380">
        <f>ROUND(Mecze[[#This Row],[PD]]*Mecze[[#This Row],[%PC]],0)</f>
        <v>2</v>
      </c>
      <c r="AC1380">
        <f>ROUND(Mecze[[#This Row],[OD]]*Mecze[[#This Row],[%OU]],0)</f>
        <v>1</v>
      </c>
      <c r="AD1380" s="36" t="s">
        <v>174</v>
      </c>
      <c r="AE1380" s="36">
        <v>75</v>
      </c>
      <c r="AF1380" s="71">
        <v>2.0099999999999998</v>
      </c>
      <c r="AG1380" s="37">
        <v>0</v>
      </c>
      <c r="AH1380" s="37">
        <v>0</v>
      </c>
      <c r="AI1380" s="37">
        <v>96</v>
      </c>
      <c r="AJ1380" s="37">
        <v>11</v>
      </c>
      <c r="AK1380" s="37" t="str">
        <f>VLOOKUP(Mecze[[#This Row],[Match ID]],Meczusie[Mecz]:Meczusie[RodzajMeczu],2,FALSE)</f>
        <v>Liga</v>
      </c>
    </row>
    <row r="1381" spans="1:37" x14ac:dyDescent="0.25">
      <c r="A1381" s="76">
        <v>2</v>
      </c>
      <c r="B1381" s="3" t="s">
        <v>392</v>
      </c>
      <c r="C1381" s="2" t="s">
        <v>157</v>
      </c>
      <c r="D1381" s="1">
        <v>0</v>
      </c>
      <c r="E1381" s="1">
        <v>0</v>
      </c>
      <c r="F1381" s="1">
        <v>0</v>
      </c>
      <c r="G1381" s="1">
        <v>3</v>
      </c>
      <c r="H1381" s="4">
        <v>1</v>
      </c>
      <c r="I1381" s="1">
        <v>1</v>
      </c>
      <c r="J1381" s="4">
        <v>1</v>
      </c>
      <c r="K1381" s="1">
        <v>0</v>
      </c>
      <c r="L1381" s="1">
        <v>3</v>
      </c>
      <c r="M1381" s="32">
        <f>IF(Mecze[[#This Row],[PR]]=0,0,Mecze[[#This Row],[PR]]/Mecze[[#This Row],[CZAS]])</f>
        <v>3.125E-2</v>
      </c>
      <c r="N1381" s="32">
        <f>IF(Mecze[[#This Row],[OU]]=0,0,Mecze[[#This Row],[OU]]/Mecze[[#This Row],[CZAS]])</f>
        <v>1.0416666666666666E-2</v>
      </c>
      <c r="O1381" s="32">
        <f>IF(Mecze[[#This Row],[PC]]=0,0,Mecze[[#This Row],[PC]]/Mecze[[#This Row],[CZAS]])</f>
        <v>3.125E-2</v>
      </c>
      <c r="P1381" s="32">
        <f>IF(Mecze[[#This Row],[SC]]=0,0,Mecze[[#This Row],[SC]]/Mecze[[#This Row],[CZAS]])</f>
        <v>0</v>
      </c>
      <c r="Q1381" s="32">
        <f>IF(Mecze[[#This Row],[OB]]=0,0,Mecze[[#This Row],[OB]]/Mecze[[#This Row],[CZAS]])</f>
        <v>0</v>
      </c>
      <c r="R1381" s="32">
        <f>IF(Mecze[[#This Row],[BR]]=0,0,Mecze[[#This Row],[BR]]/Mecze[[#This Row],[CZAS]])</f>
        <v>0</v>
      </c>
      <c r="S1381" s="44">
        <f>IF(Mecze[[#This Row],[Role]]="BR",SUMPRODUCT(Mecze[[#This Row],[/PR:90]:[/BR:90]],Brudnopis!$E$23:$J$23),0)</f>
        <v>0</v>
      </c>
      <c r="T1381" s="44">
        <f>IF(Mecze[[#This Row],[Role]]&lt;&gt;"BR",SUMPRODUCT(Mecze[[#This Row],[/PR:90]:[/BR:90]],Brudnopis!$E$24:$J$24),0)</f>
        <v>7.8125E-2</v>
      </c>
      <c r="U1381" s="44">
        <f>IF(Mecze[[#This Row],[Role]]&lt;&gt;"BR",SUMPRODUCT(Mecze[[#This Row],[/PR:90]:[/BR:90]],Brudnopis!$E$25:$J$25),0)</f>
        <v>8.8541666666666657E-2</v>
      </c>
      <c r="V1381" s="44">
        <f>IF(Mecze[[#This Row],[Role]]&lt;&gt;"BR",SUMPRODUCT(Mecze[[#This Row],[/PR:90]:[/BR:90]],Brudnopis!$E$26:$J$26),0)</f>
        <v>7.2916666666666657E-2</v>
      </c>
      <c r="W1381" s="44">
        <f>IF(Mecze[[#This Row],[Role]]&lt;&gt;"BR",SUMPRODUCT(Mecze[[#This Row],[/PR:90]:[/BR:90]],Brudnopis!$E$27:$J$27),0)</f>
        <v>7.8125E-2</v>
      </c>
      <c r="X1381" s="44">
        <f>IF(Mecze[[#This Row],[Role]]&lt;&gt;"BR",SUMPRODUCT(Mecze[[#This Row],[/PR:90]:[/BR:90]],Brudnopis!$E$28:$J$28),0)</f>
        <v>3.125E-2</v>
      </c>
      <c r="Y1381" s="35">
        <f>IF(Mecze[[#This Row],[Role]]="BR",Mecze[[#This Row],[/OB:90]]+Mecze[[#This Row],[/PC:90]],SUM(Mecze[[#This Row],[/PR:90]:[/BR:90]]))</f>
        <v>7.2916666666666657E-2</v>
      </c>
      <c r="Z1381" s="35">
        <f>IF(Mecze[[#This Row],[KC]]=0,SUM(Mecze[[#This Row],[/BRI]:[/NPI]]),SUM(Mecze[[#This Row],[/BRI]:[/NPI]])*0.6)</f>
        <v>0.34895833333333331</v>
      </c>
      <c r="AA1381" s="10">
        <f>IFERROR(Mecze[[#This Row],[BR]]/Mecze[[#This Row],[ST]],0)</f>
        <v>0</v>
      </c>
      <c r="AB1381">
        <f>ROUND(Mecze[[#This Row],[PD]]*Mecze[[#This Row],[%PC]],0)</f>
        <v>3</v>
      </c>
      <c r="AC1381">
        <f>ROUND(Mecze[[#This Row],[OD]]*Mecze[[#This Row],[%OU]],0)</f>
        <v>1</v>
      </c>
      <c r="AD1381" s="36" t="s">
        <v>175</v>
      </c>
      <c r="AE1381" s="36">
        <v>75</v>
      </c>
      <c r="AF1381" s="71">
        <v>2.2200000000000002</v>
      </c>
      <c r="AG1381" s="37">
        <v>0</v>
      </c>
      <c r="AH1381" s="37">
        <v>0</v>
      </c>
      <c r="AI1381" s="37">
        <v>96</v>
      </c>
      <c r="AJ1381" s="37">
        <v>11</v>
      </c>
      <c r="AK1381" s="37" t="str">
        <f>VLOOKUP(Mecze[[#This Row],[Match ID]],Meczusie[Mecz]:Meczusie[RodzajMeczu],2,FALSE)</f>
        <v>Liga</v>
      </c>
    </row>
    <row r="1382" spans="1:37" x14ac:dyDescent="0.25">
      <c r="A1382" s="76">
        <v>5</v>
      </c>
      <c r="B1382" s="3" t="s">
        <v>325</v>
      </c>
      <c r="C1382" s="2" t="s">
        <v>160</v>
      </c>
      <c r="D1382" s="1">
        <v>0</v>
      </c>
      <c r="E1382" s="1">
        <v>0</v>
      </c>
      <c r="F1382" s="1">
        <v>0</v>
      </c>
      <c r="G1382" s="1">
        <v>19</v>
      </c>
      <c r="H1382" s="4">
        <v>0.89</v>
      </c>
      <c r="I1382" s="1">
        <v>11</v>
      </c>
      <c r="J1382" s="4">
        <v>0.91</v>
      </c>
      <c r="K1382" s="1">
        <v>0</v>
      </c>
      <c r="L1382" s="1">
        <v>8</v>
      </c>
      <c r="M1382" s="32">
        <f>IF(Mecze[[#This Row],[PR]]=0,0,Mecze[[#This Row],[PR]]/Mecze[[#This Row],[CZAS]])</f>
        <v>8.3333333333333329E-2</v>
      </c>
      <c r="N1382" s="32">
        <f>IF(Mecze[[#This Row],[OU]]=0,0,Mecze[[#This Row],[OU]]/Mecze[[#This Row],[CZAS]])</f>
        <v>0.10416666666666667</v>
      </c>
      <c r="O1382" s="32">
        <f>IF(Mecze[[#This Row],[PC]]=0,0,Mecze[[#This Row],[PC]]/Mecze[[#This Row],[CZAS]])</f>
        <v>0.17708333333333334</v>
      </c>
      <c r="P1382" s="32">
        <f>IF(Mecze[[#This Row],[SC]]=0,0,Mecze[[#This Row],[SC]]/Mecze[[#This Row],[CZAS]])</f>
        <v>0</v>
      </c>
      <c r="Q1382" s="32">
        <f>IF(Mecze[[#This Row],[OB]]=0,0,Mecze[[#This Row],[OB]]/Mecze[[#This Row],[CZAS]])</f>
        <v>0</v>
      </c>
      <c r="R1382" s="32">
        <f>IF(Mecze[[#This Row],[BR]]=0,0,Mecze[[#This Row],[BR]]/Mecze[[#This Row],[CZAS]])</f>
        <v>0</v>
      </c>
      <c r="S1382" s="44">
        <f>IF(Mecze[[#This Row],[Role]]="BR",SUMPRODUCT(Mecze[[#This Row],[/PR:90]:[/BR:90]],Brudnopis!$E$23:$J$23),0)</f>
        <v>0</v>
      </c>
      <c r="T1382" s="44">
        <f>IF(Mecze[[#This Row],[Role]]&lt;&gt;"BR",SUMPRODUCT(Mecze[[#This Row],[/PR:90]:[/BR:90]],Brudnopis!$E$24:$J$24),0)</f>
        <v>0.41666666666666663</v>
      </c>
      <c r="U1382" s="44">
        <f>IF(Mecze[[#This Row],[Role]]&lt;&gt;"BR",SUMPRODUCT(Mecze[[#This Row],[/PR:90]:[/BR:90]],Brudnopis!$E$25:$J$25),0)</f>
        <v>0.453125</v>
      </c>
      <c r="V1382" s="44">
        <f>IF(Mecze[[#This Row],[Role]]&lt;&gt;"BR",SUMPRODUCT(Mecze[[#This Row],[/PR:90]:[/BR:90]],Brudnopis!$E$26:$J$26),0)</f>
        <v>0.36458333333333337</v>
      </c>
      <c r="W1382" s="44">
        <f>IF(Mecze[[#This Row],[Role]]&lt;&gt;"BR",SUMPRODUCT(Mecze[[#This Row],[/PR:90]:[/BR:90]],Brudnopis!$E$27:$J$27),0)</f>
        <v>0.40625</v>
      </c>
      <c r="X1382" s="44">
        <f>IF(Mecze[[#This Row],[Role]]&lt;&gt;"BR",SUMPRODUCT(Mecze[[#This Row],[/PR:90]:[/BR:90]],Brudnopis!$E$28:$J$28),0)</f>
        <v>0.17708333333333334</v>
      </c>
      <c r="Y1382" s="35">
        <f>IF(Mecze[[#This Row],[Role]]="BR",Mecze[[#This Row],[/OB:90]]+Mecze[[#This Row],[/PC:90]],SUM(Mecze[[#This Row],[/PR:90]:[/BR:90]]))</f>
        <v>0.36458333333333337</v>
      </c>
      <c r="Z1382" s="35">
        <f>IF(Mecze[[#This Row],[KC]]=0,SUM(Mecze[[#This Row],[/BRI]:[/NPI]]),SUM(Mecze[[#This Row],[/BRI]:[/NPI]])*0.6)</f>
        <v>1.8177083333333333</v>
      </c>
      <c r="AA1382" s="10">
        <f>IFERROR(Mecze[[#This Row],[BR]]/Mecze[[#This Row],[ST]],0)</f>
        <v>0</v>
      </c>
      <c r="AB1382">
        <f>ROUND(Mecze[[#This Row],[PD]]*Mecze[[#This Row],[%PC]],0)</f>
        <v>17</v>
      </c>
      <c r="AC1382">
        <f>ROUND(Mecze[[#This Row],[OD]]*Mecze[[#This Row],[%OU]],0)</f>
        <v>10</v>
      </c>
      <c r="AD1382" s="36" t="s">
        <v>41</v>
      </c>
      <c r="AE1382" s="36">
        <v>75</v>
      </c>
      <c r="AF1382" s="71">
        <v>6.5</v>
      </c>
      <c r="AG1382" s="37">
        <v>0</v>
      </c>
      <c r="AH1382" s="37">
        <v>0</v>
      </c>
      <c r="AI1382" s="37">
        <v>96</v>
      </c>
      <c r="AJ1382" s="37">
        <v>11</v>
      </c>
      <c r="AK1382" s="37" t="str">
        <f>VLOOKUP(Mecze[[#This Row],[Match ID]],Meczusie[Mecz]:Meczusie[RodzajMeczu],2,FALSE)</f>
        <v>Liga</v>
      </c>
    </row>
    <row r="1383" spans="1:37" x14ac:dyDescent="0.25">
      <c r="A1383" s="76">
        <v>8</v>
      </c>
      <c r="B1383" s="3" t="s">
        <v>326</v>
      </c>
      <c r="C1383" s="2" t="s">
        <v>160</v>
      </c>
      <c r="D1383" s="1">
        <v>1</v>
      </c>
      <c r="E1383" s="1">
        <v>2</v>
      </c>
      <c r="F1383" s="1">
        <v>2</v>
      </c>
      <c r="G1383" s="1">
        <v>13</v>
      </c>
      <c r="H1383" s="4">
        <v>0.77</v>
      </c>
      <c r="I1383" s="1">
        <v>4</v>
      </c>
      <c r="J1383" s="4">
        <v>0.75</v>
      </c>
      <c r="K1383" s="1">
        <v>0</v>
      </c>
      <c r="L1383" s="1">
        <v>4</v>
      </c>
      <c r="M1383" s="32">
        <f>IF(Mecze[[#This Row],[PR]]=0,0,Mecze[[#This Row],[PR]]/Mecze[[#This Row],[CZAS]])</f>
        <v>4.1666666666666664E-2</v>
      </c>
      <c r="N1383" s="32">
        <f>IF(Mecze[[#This Row],[OU]]=0,0,Mecze[[#This Row],[OU]]/Mecze[[#This Row],[CZAS]])</f>
        <v>3.125E-2</v>
      </c>
      <c r="O1383" s="32">
        <f>IF(Mecze[[#This Row],[PC]]=0,0,Mecze[[#This Row],[PC]]/Mecze[[#This Row],[CZAS]])</f>
        <v>0.10416666666666667</v>
      </c>
      <c r="P1383" s="32">
        <f>IF(Mecze[[#This Row],[SC]]=0,0,Mecze[[#This Row],[SC]]/Mecze[[#This Row],[CZAS]])</f>
        <v>2.0833333333333332E-2</v>
      </c>
      <c r="Q1383" s="32">
        <f>IF(Mecze[[#This Row],[OB]]=0,0,Mecze[[#This Row],[OB]]/Mecze[[#This Row],[CZAS]])</f>
        <v>0</v>
      </c>
      <c r="R1383" s="32">
        <f>IF(Mecze[[#This Row],[BR]]=0,0,Mecze[[#This Row],[BR]]/Mecze[[#This Row],[CZAS]])</f>
        <v>1.0416666666666666E-2</v>
      </c>
      <c r="S1383" s="44">
        <f>IF(Mecze[[#This Row],[Role]]="BR",SUMPRODUCT(Mecze[[#This Row],[/PR:90]:[/BR:90]],Brudnopis!$E$23:$J$23),0)</f>
        <v>0</v>
      </c>
      <c r="T1383" s="44">
        <f>IF(Mecze[[#This Row],[Role]]&lt;&gt;"BR",SUMPRODUCT(Mecze[[#This Row],[/PR:90]:[/BR:90]],Brudnopis!$E$24:$J$24),0)</f>
        <v>0.22916666666666666</v>
      </c>
      <c r="U1383" s="44">
        <f>IF(Mecze[[#This Row],[Role]]&lt;&gt;"BR",SUMPRODUCT(Mecze[[#This Row],[/PR:90]:[/BR:90]],Brudnopis!$E$25:$J$25),0)</f>
        <v>0.265625</v>
      </c>
      <c r="V1383" s="44">
        <f>IF(Mecze[[#This Row],[Role]]&lt;&gt;"BR",SUMPRODUCT(Mecze[[#This Row],[/PR:90]:[/BR:90]],Brudnopis!$E$26:$J$26),0)</f>
        <v>0.21875</v>
      </c>
      <c r="W1383" s="44">
        <f>IF(Mecze[[#This Row],[Role]]&lt;&gt;"BR",SUMPRODUCT(Mecze[[#This Row],[/PR:90]:[/BR:90]],Brudnopis!$E$27:$J$27),0)</f>
        <v>0.25260416666666669</v>
      </c>
      <c r="X1383" s="44">
        <f>IF(Mecze[[#This Row],[Role]]&lt;&gt;"BR",SUMPRODUCT(Mecze[[#This Row],[/PR:90]:[/BR:90]],Brudnopis!$E$28:$J$28),0)</f>
        <v>0.17708333333333334</v>
      </c>
      <c r="Y1383" s="35">
        <f>IF(Mecze[[#This Row],[Role]]="BR",Mecze[[#This Row],[/OB:90]]+Mecze[[#This Row],[/PC:90]],SUM(Mecze[[#This Row],[/PR:90]:[/BR:90]]))</f>
        <v>0.20833333333333331</v>
      </c>
      <c r="Z1383" s="35">
        <f>IF(Mecze[[#This Row],[KC]]=0,SUM(Mecze[[#This Row],[/BRI]:[/NPI]]),SUM(Mecze[[#This Row],[/BRI]:[/NPI]])*0.6)</f>
        <v>1.1432291666666665</v>
      </c>
      <c r="AA1383" s="10">
        <f>IFERROR(Mecze[[#This Row],[BR]]/Mecze[[#This Row],[ST]],0)</f>
        <v>0.5</v>
      </c>
      <c r="AB1383">
        <f>ROUND(Mecze[[#This Row],[PD]]*Mecze[[#This Row],[%PC]],0)</f>
        <v>10</v>
      </c>
      <c r="AC1383">
        <f>ROUND(Mecze[[#This Row],[OD]]*Mecze[[#This Row],[%OU]],0)</f>
        <v>3</v>
      </c>
      <c r="AD1383" s="36" t="s">
        <v>318</v>
      </c>
      <c r="AE1383" s="36">
        <v>75</v>
      </c>
      <c r="AF1383" s="71">
        <v>7.32</v>
      </c>
      <c r="AG1383" s="37">
        <v>0</v>
      </c>
      <c r="AH1383" s="37">
        <v>0</v>
      </c>
      <c r="AI1383" s="37">
        <v>96</v>
      </c>
      <c r="AJ1383" s="37">
        <v>11</v>
      </c>
      <c r="AK1383" s="37" t="str">
        <f>VLOOKUP(Mecze[[#This Row],[Match ID]],Meczusie[Mecz]:Meczusie[RodzajMeczu],2,FALSE)</f>
        <v>Liga</v>
      </c>
    </row>
    <row r="1384" spans="1:37" x14ac:dyDescent="0.25">
      <c r="A1384" s="76">
        <v>9</v>
      </c>
      <c r="B1384" s="3" t="s">
        <v>327</v>
      </c>
      <c r="C1384" s="2" t="s">
        <v>160</v>
      </c>
      <c r="D1384" s="1">
        <v>0</v>
      </c>
      <c r="E1384" s="1">
        <v>5</v>
      </c>
      <c r="F1384" s="1">
        <v>3</v>
      </c>
      <c r="G1384" s="1">
        <v>14</v>
      </c>
      <c r="H1384" s="4">
        <v>0.5</v>
      </c>
      <c r="I1384" s="1">
        <v>2</v>
      </c>
      <c r="J1384" s="4">
        <v>0.5</v>
      </c>
      <c r="K1384" s="1">
        <v>0</v>
      </c>
      <c r="L1384" s="1">
        <v>3</v>
      </c>
      <c r="M1384" s="32">
        <f>IF(Mecze[[#This Row],[PR]]=0,0,Mecze[[#This Row],[PR]]/Mecze[[#This Row],[CZAS]])</f>
        <v>3.125E-2</v>
      </c>
      <c r="N1384" s="32">
        <f>IF(Mecze[[#This Row],[OU]]=0,0,Mecze[[#This Row],[OU]]/Mecze[[#This Row],[CZAS]])</f>
        <v>1.0416666666666666E-2</v>
      </c>
      <c r="O1384" s="32">
        <f>IF(Mecze[[#This Row],[PC]]=0,0,Mecze[[#This Row],[PC]]/Mecze[[#This Row],[CZAS]])</f>
        <v>7.2916666666666671E-2</v>
      </c>
      <c r="P1384" s="32">
        <f>IF(Mecze[[#This Row],[SC]]=0,0,Mecze[[#This Row],[SC]]/Mecze[[#This Row],[CZAS]])</f>
        <v>3.125E-2</v>
      </c>
      <c r="Q1384" s="32">
        <f>IF(Mecze[[#This Row],[OB]]=0,0,Mecze[[#This Row],[OB]]/Mecze[[#This Row],[CZAS]])</f>
        <v>0</v>
      </c>
      <c r="R1384" s="32">
        <f>IF(Mecze[[#This Row],[BR]]=0,0,Mecze[[#This Row],[BR]]/Mecze[[#This Row],[CZAS]])</f>
        <v>0</v>
      </c>
      <c r="S1384" s="44">
        <f>IF(Mecze[[#This Row],[Role]]="BR",SUMPRODUCT(Mecze[[#This Row],[/PR:90]:[/BR:90]],Brudnopis!$E$23:$J$23),0)</f>
        <v>0</v>
      </c>
      <c r="T1384" s="44">
        <f>IF(Mecze[[#This Row],[Role]]&lt;&gt;"BR",SUMPRODUCT(Mecze[[#This Row],[/PR:90]:[/BR:90]],Brudnopis!$E$24:$J$24),0)</f>
        <v>0.15104166666666669</v>
      </c>
      <c r="U1384" s="44">
        <f>IF(Mecze[[#This Row],[Role]]&lt;&gt;"BR",SUMPRODUCT(Mecze[[#This Row],[/PR:90]:[/BR:90]],Brudnopis!$E$25:$J$25),0)</f>
        <v>0.18229166666666666</v>
      </c>
      <c r="V1384" s="44">
        <f>IF(Mecze[[#This Row],[Role]]&lt;&gt;"BR",SUMPRODUCT(Mecze[[#This Row],[/PR:90]:[/BR:90]],Brudnopis!$E$26:$J$26),0)</f>
        <v>0.14583333333333334</v>
      </c>
      <c r="W1384" s="44">
        <f>IF(Mecze[[#This Row],[Role]]&lt;&gt;"BR",SUMPRODUCT(Mecze[[#This Row],[/PR:90]:[/BR:90]],Brudnopis!$E$27:$J$27),0)</f>
        <v>0.171875</v>
      </c>
      <c r="X1384" s="44">
        <f>IF(Mecze[[#This Row],[Role]]&lt;&gt;"BR",SUMPRODUCT(Mecze[[#This Row],[/PR:90]:[/BR:90]],Brudnopis!$E$28:$J$28),0)</f>
        <v>0.13541666666666669</v>
      </c>
      <c r="Y1384" s="35">
        <f>IF(Mecze[[#This Row],[Role]]="BR",Mecze[[#This Row],[/OB:90]]+Mecze[[#This Row],[/PC:90]],SUM(Mecze[[#This Row],[/PR:90]:[/BR:90]]))</f>
        <v>0.14583333333333334</v>
      </c>
      <c r="Z1384" s="35">
        <f>IF(Mecze[[#This Row],[KC]]=0,SUM(Mecze[[#This Row],[/BRI]:[/NPI]]),SUM(Mecze[[#This Row],[/BRI]:[/NPI]])*0.6)</f>
        <v>0.78645833333333348</v>
      </c>
      <c r="AA1384" s="10">
        <f>IFERROR(Mecze[[#This Row],[BR]]/Mecze[[#This Row],[ST]],0)</f>
        <v>0</v>
      </c>
      <c r="AB1384">
        <f>ROUND(Mecze[[#This Row],[PD]]*Mecze[[#This Row],[%PC]],0)</f>
        <v>7</v>
      </c>
      <c r="AC1384">
        <f>ROUND(Mecze[[#This Row],[OD]]*Mecze[[#This Row],[%OU]],0)</f>
        <v>1</v>
      </c>
      <c r="AD1384" s="36" t="s">
        <v>44</v>
      </c>
      <c r="AE1384" s="36">
        <v>75</v>
      </c>
      <c r="AF1384" s="71">
        <v>5.23</v>
      </c>
      <c r="AG1384" s="37">
        <v>0</v>
      </c>
      <c r="AH1384" s="37">
        <v>0</v>
      </c>
      <c r="AI1384" s="37">
        <v>96</v>
      </c>
      <c r="AJ1384" s="37">
        <v>11</v>
      </c>
      <c r="AK1384" s="37" t="str">
        <f>VLOOKUP(Mecze[[#This Row],[Match ID]],Meczusie[Mecz]:Meczusie[RodzajMeczu],2,FALSE)</f>
        <v>Liga</v>
      </c>
    </row>
    <row r="1385" spans="1:37" x14ac:dyDescent="0.25">
      <c r="A1385" s="76">
        <v>10</v>
      </c>
      <c r="B1385" s="3" t="s">
        <v>328</v>
      </c>
      <c r="C1385" s="2" t="s">
        <v>165</v>
      </c>
      <c r="D1385" s="1">
        <v>0</v>
      </c>
      <c r="E1385" s="1">
        <v>9</v>
      </c>
      <c r="F1385" s="1">
        <v>9</v>
      </c>
      <c r="G1385" s="1">
        <v>4</v>
      </c>
      <c r="H1385" s="4">
        <v>1</v>
      </c>
      <c r="I1385" s="1">
        <v>4</v>
      </c>
      <c r="J1385" s="4">
        <v>0</v>
      </c>
      <c r="K1385" s="1">
        <v>0</v>
      </c>
      <c r="L1385" s="1">
        <v>1</v>
      </c>
      <c r="M1385" s="32">
        <f>IF(Mecze[[#This Row],[PR]]=0,0,Mecze[[#This Row],[PR]]/Mecze[[#This Row],[CZAS]])</f>
        <v>1.0416666666666666E-2</v>
      </c>
      <c r="N1385" s="32">
        <f>IF(Mecze[[#This Row],[OU]]=0,0,Mecze[[#This Row],[OU]]/Mecze[[#This Row],[CZAS]])</f>
        <v>0</v>
      </c>
      <c r="O1385" s="32">
        <f>IF(Mecze[[#This Row],[PC]]=0,0,Mecze[[#This Row],[PC]]/Mecze[[#This Row],[CZAS]])</f>
        <v>4.1666666666666664E-2</v>
      </c>
      <c r="P1385" s="32">
        <f>IF(Mecze[[#This Row],[SC]]=0,0,Mecze[[#This Row],[SC]]/Mecze[[#This Row],[CZAS]])</f>
        <v>9.375E-2</v>
      </c>
      <c r="Q1385" s="32">
        <f>IF(Mecze[[#This Row],[OB]]=0,0,Mecze[[#This Row],[OB]]/Mecze[[#This Row],[CZAS]])</f>
        <v>0</v>
      </c>
      <c r="R1385" s="32">
        <f>IF(Mecze[[#This Row],[BR]]=0,0,Mecze[[#This Row],[BR]]/Mecze[[#This Row],[CZAS]])</f>
        <v>0</v>
      </c>
      <c r="S1385" s="44">
        <f>IF(Mecze[[#This Row],[Role]]="BR",SUMPRODUCT(Mecze[[#This Row],[/PR:90]:[/BR:90]],Brudnopis!$E$23:$J$23),0)</f>
        <v>0</v>
      </c>
      <c r="T1385" s="44">
        <f>IF(Mecze[[#This Row],[Role]]&lt;&gt;"BR",SUMPRODUCT(Mecze[[#This Row],[/PR:90]:[/BR:90]],Brudnopis!$E$24:$J$24),0)</f>
        <v>0.14583333333333331</v>
      </c>
      <c r="U1385" s="44">
        <f>IF(Mecze[[#This Row],[Role]]&lt;&gt;"BR",SUMPRODUCT(Mecze[[#This Row],[/PR:90]:[/BR:90]],Brudnopis!$E$25:$J$25),0)</f>
        <v>0.16666666666666669</v>
      </c>
      <c r="V1385" s="44">
        <f>IF(Mecze[[#This Row],[Role]]&lt;&gt;"BR",SUMPRODUCT(Mecze[[#This Row],[/PR:90]:[/BR:90]],Brudnopis!$E$26:$J$26),0)</f>
        <v>0.14583333333333331</v>
      </c>
      <c r="W1385" s="44">
        <f>IF(Mecze[[#This Row],[Role]]&lt;&gt;"BR",SUMPRODUCT(Mecze[[#This Row],[/PR:90]:[/BR:90]],Brudnopis!$E$27:$J$27),0)</f>
        <v>0.1640625</v>
      </c>
      <c r="X1385" s="44">
        <f>IF(Mecze[[#This Row],[Role]]&lt;&gt;"BR",SUMPRODUCT(Mecze[[#This Row],[/PR:90]:[/BR:90]],Brudnopis!$E$28:$J$28),0)</f>
        <v>0.22916666666666666</v>
      </c>
      <c r="Y1385" s="35">
        <f>IF(Mecze[[#This Row],[Role]]="BR",Mecze[[#This Row],[/OB:90]]+Mecze[[#This Row],[/PC:90]],SUM(Mecze[[#This Row],[/PR:90]:[/BR:90]]))</f>
        <v>0.14583333333333331</v>
      </c>
      <c r="Z1385" s="35">
        <f>IF(Mecze[[#This Row],[KC]]=0,SUM(Mecze[[#This Row],[/BRI]:[/NPI]]),SUM(Mecze[[#This Row],[/BRI]:[/NPI]])*0.6)</f>
        <v>0.85156249999999989</v>
      </c>
      <c r="AA1385" s="10">
        <f>IFERROR(Mecze[[#This Row],[BR]]/Mecze[[#This Row],[ST]],0)</f>
        <v>0</v>
      </c>
      <c r="AB1385">
        <f>ROUND(Mecze[[#This Row],[PD]]*Mecze[[#This Row],[%PC]],0)</f>
        <v>4</v>
      </c>
      <c r="AC1385">
        <f>ROUND(Mecze[[#This Row],[OD]]*Mecze[[#This Row],[%OU]],0)</f>
        <v>0</v>
      </c>
      <c r="AD1385" s="36" t="s">
        <v>46</v>
      </c>
      <c r="AE1385" s="36">
        <v>75</v>
      </c>
      <c r="AF1385" s="71">
        <v>4.6900000000000004</v>
      </c>
      <c r="AG1385" s="37">
        <v>0</v>
      </c>
      <c r="AH1385" s="37">
        <v>0</v>
      </c>
      <c r="AI1385" s="37">
        <v>96</v>
      </c>
      <c r="AJ1385" s="37">
        <v>11</v>
      </c>
      <c r="AK1385" s="37" t="str">
        <f>VLOOKUP(Mecze[[#This Row],[Match ID]],Meczusie[Mecz]:Meczusie[RodzajMeczu],2,FALSE)</f>
        <v>Liga</v>
      </c>
    </row>
    <row r="1386" spans="1:37" x14ac:dyDescent="0.25">
      <c r="A1386" s="76">
        <v>11</v>
      </c>
      <c r="B1386" s="3" t="s">
        <v>329</v>
      </c>
      <c r="C1386" s="2" t="s">
        <v>165</v>
      </c>
      <c r="D1386" s="1">
        <v>1</v>
      </c>
      <c r="E1386" s="1">
        <v>4</v>
      </c>
      <c r="F1386" s="1">
        <v>4</v>
      </c>
      <c r="G1386" s="1">
        <v>9</v>
      </c>
      <c r="H1386" s="4">
        <v>0.78</v>
      </c>
      <c r="I1386" s="1">
        <v>3</v>
      </c>
      <c r="J1386" s="4">
        <v>0.67</v>
      </c>
      <c r="K1386" s="1">
        <v>0</v>
      </c>
      <c r="L1386" s="1">
        <v>0</v>
      </c>
      <c r="M1386" s="32">
        <f>IF(Mecze[[#This Row],[PR]]=0,0,Mecze[[#This Row],[PR]]/Mecze[[#This Row],[CZAS]])</f>
        <v>0</v>
      </c>
      <c r="N1386" s="32">
        <f>IF(Mecze[[#This Row],[OU]]=0,0,Mecze[[#This Row],[OU]]/Mecze[[#This Row],[CZAS]])</f>
        <v>2.0833333333333332E-2</v>
      </c>
      <c r="O1386" s="32">
        <f>IF(Mecze[[#This Row],[PC]]=0,0,Mecze[[#This Row],[PC]]/Mecze[[#This Row],[CZAS]])</f>
        <v>7.2916666666666671E-2</v>
      </c>
      <c r="P1386" s="32">
        <f>IF(Mecze[[#This Row],[SC]]=0,0,Mecze[[#This Row],[SC]]/Mecze[[#This Row],[CZAS]])</f>
        <v>4.1666666666666664E-2</v>
      </c>
      <c r="Q1386" s="32">
        <f>IF(Mecze[[#This Row],[OB]]=0,0,Mecze[[#This Row],[OB]]/Mecze[[#This Row],[CZAS]])</f>
        <v>0</v>
      </c>
      <c r="R1386" s="32">
        <f>IF(Mecze[[#This Row],[BR]]=0,0,Mecze[[#This Row],[BR]]/Mecze[[#This Row],[CZAS]])</f>
        <v>1.0416666666666666E-2</v>
      </c>
      <c r="S1386" s="44">
        <f>IF(Mecze[[#This Row],[Role]]="BR",SUMPRODUCT(Mecze[[#This Row],[/PR:90]:[/BR:90]],Brudnopis!$E$23:$J$23),0)</f>
        <v>0</v>
      </c>
      <c r="T1386" s="44">
        <f>IF(Mecze[[#This Row],[Role]]&lt;&gt;"BR",SUMPRODUCT(Mecze[[#This Row],[/PR:90]:[/BR:90]],Brudnopis!$E$24:$J$24),0)</f>
        <v>0.16145833333333334</v>
      </c>
      <c r="U1386" s="44">
        <f>IF(Mecze[[#This Row],[Role]]&lt;&gt;"BR",SUMPRODUCT(Mecze[[#This Row],[/PR:90]:[/BR:90]],Brudnopis!$E$25:$J$25),0)</f>
        <v>0.1875</v>
      </c>
      <c r="V1386" s="44">
        <f>IF(Mecze[[#This Row],[Role]]&lt;&gt;"BR",SUMPRODUCT(Mecze[[#This Row],[/PR:90]:[/BR:90]],Brudnopis!$E$26:$J$26),0)</f>
        <v>0.15625</v>
      </c>
      <c r="W1386" s="44">
        <f>IF(Mecze[[#This Row],[Role]]&lt;&gt;"BR",SUMPRODUCT(Mecze[[#This Row],[/PR:90]:[/BR:90]],Brudnopis!$E$27:$J$27),0)</f>
        <v>0.1875</v>
      </c>
      <c r="X1386" s="44">
        <f>IF(Mecze[[#This Row],[Role]]&lt;&gt;"BR",SUMPRODUCT(Mecze[[#This Row],[/PR:90]:[/BR:90]],Brudnopis!$E$28:$J$28),0)</f>
        <v>0.1875</v>
      </c>
      <c r="Y1386" s="35">
        <f>IF(Mecze[[#This Row],[Role]]="BR",Mecze[[#This Row],[/OB:90]]+Mecze[[#This Row],[/PC:90]],SUM(Mecze[[#This Row],[/PR:90]:[/BR:90]]))</f>
        <v>0.14583333333333331</v>
      </c>
      <c r="Z1386" s="35">
        <f>IF(Mecze[[#This Row],[KC]]=0,SUM(Mecze[[#This Row],[/BRI]:[/NPI]]),SUM(Mecze[[#This Row],[/BRI]:[/NPI]])*0.6)</f>
        <v>0.88020833333333337</v>
      </c>
      <c r="AA1386" s="10">
        <f>IFERROR(Mecze[[#This Row],[BR]]/Mecze[[#This Row],[ST]],0)</f>
        <v>0.25</v>
      </c>
      <c r="AB1386">
        <f>ROUND(Mecze[[#This Row],[PD]]*Mecze[[#This Row],[%PC]],0)</f>
        <v>7</v>
      </c>
      <c r="AC1386">
        <f>ROUND(Mecze[[#This Row],[OD]]*Mecze[[#This Row],[%OU]],0)</f>
        <v>2</v>
      </c>
      <c r="AD1386" s="36" t="s">
        <v>273</v>
      </c>
      <c r="AE1386" s="36">
        <v>75</v>
      </c>
      <c r="AF1386" s="71">
        <v>7.22</v>
      </c>
      <c r="AG1386" s="37">
        <v>0</v>
      </c>
      <c r="AH1386" s="37">
        <v>0</v>
      </c>
      <c r="AI1386" s="37">
        <v>96</v>
      </c>
      <c r="AJ1386" s="37">
        <v>11</v>
      </c>
      <c r="AK1386" s="37" t="str">
        <f>VLOOKUP(Mecze[[#This Row],[Match ID]],Meczusie[Mecz]:Meczusie[RodzajMeczu],2,FALSE)</f>
        <v>Liga</v>
      </c>
    </row>
    <row r="1387" spans="1:37" x14ac:dyDescent="0.25">
      <c r="A1387" s="76">
        <v>14</v>
      </c>
      <c r="B1387" s="3" t="s">
        <v>330</v>
      </c>
      <c r="C1387" s="2" t="s">
        <v>165</v>
      </c>
      <c r="D1387" s="1">
        <v>1</v>
      </c>
      <c r="E1387" s="1">
        <v>3</v>
      </c>
      <c r="F1387" s="1">
        <v>3</v>
      </c>
      <c r="G1387" s="1">
        <v>4</v>
      </c>
      <c r="H1387" s="4">
        <v>0.75</v>
      </c>
      <c r="I1387" s="1">
        <v>1</v>
      </c>
      <c r="J1387" s="4">
        <v>0</v>
      </c>
      <c r="K1387" s="1">
        <v>0</v>
      </c>
      <c r="L1387" s="1">
        <v>0</v>
      </c>
      <c r="M1387" s="32">
        <f>IF(Mecze[[#This Row],[PR]]=0,0,Mecze[[#This Row],[PR]]/Mecze[[#This Row],[CZAS]])</f>
        <v>0</v>
      </c>
      <c r="N1387" s="32">
        <f>IF(Mecze[[#This Row],[OU]]=0,0,Mecze[[#This Row],[OU]]/Mecze[[#This Row],[CZAS]])</f>
        <v>0</v>
      </c>
      <c r="O1387" s="32">
        <f>IF(Mecze[[#This Row],[PC]]=0,0,Mecze[[#This Row],[PC]]/Mecze[[#This Row],[CZAS]])</f>
        <v>3.125E-2</v>
      </c>
      <c r="P1387" s="32">
        <f>IF(Mecze[[#This Row],[SC]]=0,0,Mecze[[#This Row],[SC]]/Mecze[[#This Row],[CZAS]])</f>
        <v>3.125E-2</v>
      </c>
      <c r="Q1387" s="32">
        <f>IF(Mecze[[#This Row],[OB]]=0,0,Mecze[[#This Row],[OB]]/Mecze[[#This Row],[CZAS]])</f>
        <v>0</v>
      </c>
      <c r="R1387" s="32">
        <f>IF(Mecze[[#This Row],[BR]]=0,0,Mecze[[#This Row],[BR]]/Mecze[[#This Row],[CZAS]])</f>
        <v>1.0416666666666666E-2</v>
      </c>
      <c r="S1387" s="44">
        <f>IF(Mecze[[#This Row],[Role]]="BR",SUMPRODUCT(Mecze[[#This Row],[/PR:90]:[/BR:90]],Brudnopis!$E$23:$J$23),0)</f>
        <v>0</v>
      </c>
      <c r="T1387" s="44">
        <f>IF(Mecze[[#This Row],[Role]]&lt;&gt;"BR",SUMPRODUCT(Mecze[[#This Row],[/PR:90]:[/BR:90]],Brudnopis!$E$24:$J$24),0)</f>
        <v>7.8125E-2</v>
      </c>
      <c r="U1387" s="44">
        <f>IF(Mecze[[#This Row],[Role]]&lt;&gt;"BR",SUMPRODUCT(Mecze[[#This Row],[/PR:90]:[/BR:90]],Brudnopis!$E$25:$J$25),0)</f>
        <v>9.375E-2</v>
      </c>
      <c r="V1387" s="44">
        <f>IF(Mecze[[#This Row],[Role]]&lt;&gt;"BR",SUMPRODUCT(Mecze[[#This Row],[/PR:90]:[/BR:90]],Brudnopis!$E$26:$J$26),0)</f>
        <v>8.3333333333333329E-2</v>
      </c>
      <c r="W1387" s="44">
        <f>IF(Mecze[[#This Row],[Role]]&lt;&gt;"BR",SUMPRODUCT(Mecze[[#This Row],[/PR:90]:[/BR:90]],Brudnopis!$E$27:$J$27),0)</f>
        <v>9.8958333333333329E-2</v>
      </c>
      <c r="X1387" s="44">
        <f>IF(Mecze[[#This Row],[Role]]&lt;&gt;"BR",SUMPRODUCT(Mecze[[#This Row],[/PR:90]:[/BR:90]],Brudnopis!$E$28:$J$28),0)</f>
        <v>0.125</v>
      </c>
      <c r="Y1387" s="35">
        <f>IF(Mecze[[#This Row],[Role]]="BR",Mecze[[#This Row],[/OB:90]]+Mecze[[#This Row],[/PC:90]],SUM(Mecze[[#This Row],[/PR:90]:[/BR:90]]))</f>
        <v>7.2916666666666671E-2</v>
      </c>
      <c r="Z1387" s="35">
        <f>IF(Mecze[[#This Row],[KC]]=0,SUM(Mecze[[#This Row],[/BRI]:[/NPI]]),SUM(Mecze[[#This Row],[/BRI]:[/NPI]])*0.6)</f>
        <v>0.47916666666666663</v>
      </c>
      <c r="AA1387" s="10">
        <f>IFERROR(Mecze[[#This Row],[BR]]/Mecze[[#This Row],[ST]],0)</f>
        <v>0.33333333333333331</v>
      </c>
      <c r="AB1387">
        <f>ROUND(Mecze[[#This Row],[PD]]*Mecze[[#This Row],[%PC]],0)</f>
        <v>3</v>
      </c>
      <c r="AC1387">
        <f>ROUND(Mecze[[#This Row],[OD]]*Mecze[[#This Row],[%OU]],0)</f>
        <v>0</v>
      </c>
      <c r="AD1387" s="36" t="s">
        <v>272</v>
      </c>
      <c r="AE1387" s="36">
        <v>75</v>
      </c>
      <c r="AF1387" s="71">
        <v>5.67</v>
      </c>
      <c r="AG1387" s="37">
        <v>0</v>
      </c>
      <c r="AH1387" s="37">
        <v>0</v>
      </c>
      <c r="AI1387" s="37">
        <v>96</v>
      </c>
      <c r="AJ1387" s="37">
        <v>11</v>
      </c>
      <c r="AK1387" s="37" t="str">
        <f>VLOOKUP(Mecze[[#This Row],[Match ID]],Meczusie[Mecz]:Meczusie[RodzajMeczu],2,FALSE)</f>
        <v>Liga</v>
      </c>
    </row>
    <row r="1388" spans="1:37" x14ac:dyDescent="0.25">
      <c r="A1388" s="76">
        <v>1</v>
      </c>
      <c r="B1388" s="3" t="s">
        <v>274</v>
      </c>
      <c r="C1388" s="2" t="s">
        <v>155</v>
      </c>
      <c r="D1388" s="1">
        <v>0</v>
      </c>
      <c r="E1388" s="1">
        <v>0</v>
      </c>
      <c r="F1388" s="1">
        <v>0</v>
      </c>
      <c r="G1388" s="1">
        <v>1</v>
      </c>
      <c r="H1388" s="4">
        <v>1</v>
      </c>
      <c r="I1388" s="1">
        <v>0</v>
      </c>
      <c r="J1388" s="4"/>
      <c r="K1388" s="1">
        <v>1</v>
      </c>
      <c r="L1388" s="1">
        <v>0</v>
      </c>
      <c r="M1388" s="32">
        <f>IF(Mecze[[#This Row],[PR]]=0,0,Mecze[[#This Row],[PR]]/Mecze[[#This Row],[CZAS]])</f>
        <v>0</v>
      </c>
      <c r="N1388" s="32">
        <f>IF(Mecze[[#This Row],[OU]]=0,0,Mecze[[#This Row],[OU]]/Mecze[[#This Row],[CZAS]])</f>
        <v>0</v>
      </c>
      <c r="O1388" s="32">
        <f>IF(Mecze[[#This Row],[PC]]=0,0,Mecze[[#This Row],[PC]]/Mecze[[#This Row],[CZAS]])</f>
        <v>1.0309278350515464E-2</v>
      </c>
      <c r="P1388" s="32">
        <f>IF(Mecze[[#This Row],[SC]]=0,0,Mecze[[#This Row],[SC]]/Mecze[[#This Row],[CZAS]])</f>
        <v>0</v>
      </c>
      <c r="Q1388" s="32">
        <f>IF(Mecze[[#This Row],[OB]]=0,0,Mecze[[#This Row],[OB]]/Mecze[[#This Row],[CZAS]])</f>
        <v>1.0309278350515464E-2</v>
      </c>
      <c r="R1388" s="32">
        <f>IF(Mecze[[#This Row],[BR]]=0,0,Mecze[[#This Row],[BR]]/Mecze[[#This Row],[CZAS]])</f>
        <v>0</v>
      </c>
      <c r="S1388" s="44">
        <f>IF(Mecze[[#This Row],[Role]]="BR",SUMPRODUCT(Mecze[[#This Row],[/PR:90]:[/BR:90]],Brudnopis!$E$23:$J$23),0)</f>
        <v>6.1855670103092786E-2</v>
      </c>
      <c r="T1388" s="44">
        <f>IF(Mecze[[#This Row],[Role]]&lt;&gt;"BR",SUMPRODUCT(Mecze[[#This Row],[/PR:90]:[/BR:90]],Brudnopis!$E$24:$J$24),0)</f>
        <v>0</v>
      </c>
      <c r="U1388" s="44">
        <f>IF(Mecze[[#This Row],[Role]]&lt;&gt;"BR",SUMPRODUCT(Mecze[[#This Row],[/PR:90]:[/BR:90]],Brudnopis!$E$25:$J$25),0)</f>
        <v>0</v>
      </c>
      <c r="V1388" s="44">
        <f>IF(Mecze[[#This Row],[Role]]&lt;&gt;"BR",SUMPRODUCT(Mecze[[#This Row],[/PR:90]:[/BR:90]],Brudnopis!$E$26:$J$26),0)</f>
        <v>0</v>
      </c>
      <c r="W1388" s="44">
        <f>IF(Mecze[[#This Row],[Role]]&lt;&gt;"BR",SUMPRODUCT(Mecze[[#This Row],[/PR:90]:[/BR:90]],Brudnopis!$E$27:$J$27),0)</f>
        <v>0</v>
      </c>
      <c r="X1388" s="44">
        <f>IF(Mecze[[#This Row],[Role]]&lt;&gt;"BR",SUMPRODUCT(Mecze[[#This Row],[/PR:90]:[/BR:90]],Brudnopis!$E$28:$J$28),0)</f>
        <v>0</v>
      </c>
      <c r="Y1388" s="35">
        <f>IF(Mecze[[#This Row],[Role]]="BR",Mecze[[#This Row],[/OB:90]]+Mecze[[#This Row],[/PC:90]],SUM(Mecze[[#This Row],[/PR:90]:[/BR:90]]))</f>
        <v>2.0618556701030927E-2</v>
      </c>
      <c r="Z1388" s="35">
        <f>IF(Mecze[[#This Row],[KC]]=0,SUM(Mecze[[#This Row],[/BRI]:[/NPI]]),SUM(Mecze[[#This Row],[/BRI]:[/NPI]])*0.6)</f>
        <v>6.1855670103092786E-2</v>
      </c>
      <c r="AA1388" s="10">
        <f>IFERROR(Mecze[[#This Row],[BR]]/Mecze[[#This Row],[ST]],0)</f>
        <v>0</v>
      </c>
      <c r="AB1388">
        <f>ROUND(Mecze[[#This Row],[PD]]*Mecze[[#This Row],[%PC]],0)</f>
        <v>1</v>
      </c>
      <c r="AC1388">
        <f>ROUND(Mecze[[#This Row],[OD]]*Mecze[[#This Row],[%OU]],0)</f>
        <v>0</v>
      </c>
      <c r="AD1388" s="36" t="s">
        <v>40</v>
      </c>
      <c r="AE1388" s="36">
        <v>76</v>
      </c>
      <c r="AF1388" s="71">
        <v>7.39</v>
      </c>
      <c r="AG1388" s="37">
        <v>0</v>
      </c>
      <c r="AH1388" s="37">
        <v>0</v>
      </c>
      <c r="AI1388" s="37">
        <v>97</v>
      </c>
      <c r="AJ1388" s="37">
        <v>4</v>
      </c>
      <c r="AK1388" s="37" t="str">
        <f>VLOOKUP(Mecze[[#This Row],[Match ID]],Meczusie[Mecz]:Meczusie[RodzajMeczu],2,FALSE)</f>
        <v>Liga</v>
      </c>
    </row>
    <row r="1389" spans="1:37" x14ac:dyDescent="0.25">
      <c r="A1389" s="76">
        <v>9</v>
      </c>
      <c r="B1389" s="3" t="s">
        <v>275</v>
      </c>
      <c r="C1389" s="2" t="s">
        <v>157</v>
      </c>
      <c r="D1389" s="1">
        <v>0</v>
      </c>
      <c r="E1389" s="1">
        <v>0</v>
      </c>
      <c r="F1389" s="1">
        <v>0</v>
      </c>
      <c r="G1389" s="1">
        <v>4</v>
      </c>
      <c r="H1389" s="4">
        <v>0.75</v>
      </c>
      <c r="I1389" s="1">
        <v>2</v>
      </c>
      <c r="J1389" s="4">
        <v>1</v>
      </c>
      <c r="K1389" s="1">
        <v>0</v>
      </c>
      <c r="L1389" s="1">
        <v>6</v>
      </c>
      <c r="M1389" s="32">
        <f>IF(Mecze[[#This Row],[PR]]=0,0,Mecze[[#This Row],[PR]]/Mecze[[#This Row],[CZAS]])</f>
        <v>6.1855670103092786E-2</v>
      </c>
      <c r="N1389" s="32">
        <f>IF(Mecze[[#This Row],[OU]]=0,0,Mecze[[#This Row],[OU]]/Mecze[[#This Row],[CZAS]])</f>
        <v>2.0618556701030927E-2</v>
      </c>
      <c r="O1389" s="32">
        <f>IF(Mecze[[#This Row],[PC]]=0,0,Mecze[[#This Row],[PC]]/Mecze[[#This Row],[CZAS]])</f>
        <v>3.0927835051546393E-2</v>
      </c>
      <c r="P1389" s="32">
        <f>IF(Mecze[[#This Row],[SC]]=0,0,Mecze[[#This Row],[SC]]/Mecze[[#This Row],[CZAS]])</f>
        <v>0</v>
      </c>
      <c r="Q1389" s="32">
        <f>IF(Mecze[[#This Row],[OB]]=0,0,Mecze[[#This Row],[OB]]/Mecze[[#This Row],[CZAS]])</f>
        <v>0</v>
      </c>
      <c r="R1389" s="32">
        <f>IF(Mecze[[#This Row],[BR]]=0,0,Mecze[[#This Row],[BR]]/Mecze[[#This Row],[CZAS]])</f>
        <v>0</v>
      </c>
      <c r="S1389" s="44">
        <f>IF(Mecze[[#This Row],[Role]]="BR",SUMPRODUCT(Mecze[[#This Row],[/PR:90]:[/BR:90]],Brudnopis!$E$23:$J$23),0)</f>
        <v>0</v>
      </c>
      <c r="T1389" s="44">
        <f>IF(Mecze[[#This Row],[Role]]&lt;&gt;"BR",SUMPRODUCT(Mecze[[#This Row],[/PR:90]:[/BR:90]],Brudnopis!$E$24:$J$24),0)</f>
        <v>0.12371134020618557</v>
      </c>
      <c r="U1389" s="44">
        <f>IF(Mecze[[#This Row],[Role]]&lt;&gt;"BR",SUMPRODUCT(Mecze[[#This Row],[/PR:90]:[/BR:90]],Brudnopis!$E$25:$J$25),0)</f>
        <v>0.12886597938144329</v>
      </c>
      <c r="V1389" s="44">
        <f>IF(Mecze[[#This Row],[Role]]&lt;&gt;"BR",SUMPRODUCT(Mecze[[#This Row],[/PR:90]:[/BR:90]],Brudnopis!$E$26:$J$26),0)</f>
        <v>0.1134020618556701</v>
      </c>
      <c r="W1389" s="44">
        <f>IF(Mecze[[#This Row],[Role]]&lt;&gt;"BR",SUMPRODUCT(Mecze[[#This Row],[/PR:90]:[/BR:90]],Brudnopis!$E$27:$J$27),0)</f>
        <v>0.10824742268041238</v>
      </c>
      <c r="X1389" s="44">
        <f>IF(Mecze[[#This Row],[Role]]&lt;&gt;"BR",SUMPRODUCT(Mecze[[#This Row],[/PR:90]:[/BR:90]],Brudnopis!$E$28:$J$28),0)</f>
        <v>3.0927835051546393E-2</v>
      </c>
      <c r="Y1389" s="35">
        <f>IF(Mecze[[#This Row],[Role]]="BR",Mecze[[#This Row],[/OB:90]]+Mecze[[#This Row],[/PC:90]],SUM(Mecze[[#This Row],[/PR:90]:[/BR:90]]))</f>
        <v>0.1134020618556701</v>
      </c>
      <c r="Z1389" s="35">
        <f>IF(Mecze[[#This Row],[KC]]=0,SUM(Mecze[[#This Row],[/BRI]:[/NPI]]),SUM(Mecze[[#This Row],[/BRI]:[/NPI]])*0.6)</f>
        <v>0.50515463917525771</v>
      </c>
      <c r="AA1389" s="10">
        <f>IFERROR(Mecze[[#This Row],[BR]]/Mecze[[#This Row],[ST]],0)</f>
        <v>0</v>
      </c>
      <c r="AB1389">
        <f>ROUND(Mecze[[#This Row],[PD]]*Mecze[[#This Row],[%PC]],0)</f>
        <v>3</v>
      </c>
      <c r="AC1389">
        <f>ROUND(Mecze[[#This Row],[OD]]*Mecze[[#This Row],[%OU]],0)</f>
        <v>2</v>
      </c>
      <c r="AD1389" s="36" t="s">
        <v>47</v>
      </c>
      <c r="AE1389" s="36">
        <v>76</v>
      </c>
      <c r="AF1389" s="71">
        <v>8.3000000000000007</v>
      </c>
      <c r="AG1389" s="37">
        <v>0</v>
      </c>
      <c r="AH1389" s="37">
        <v>0</v>
      </c>
      <c r="AI1389" s="37">
        <v>97</v>
      </c>
      <c r="AJ1389" s="37">
        <v>4</v>
      </c>
      <c r="AK1389" s="37" t="str">
        <f>VLOOKUP(Mecze[[#This Row],[Match ID]],Meczusie[Mecz]:Meczusie[RodzajMeczu],2,FALSE)</f>
        <v>Liga</v>
      </c>
    </row>
    <row r="1390" spans="1:37" x14ac:dyDescent="0.25">
      <c r="A1390" s="76">
        <v>4</v>
      </c>
      <c r="B1390" s="3" t="s">
        <v>276</v>
      </c>
      <c r="C1390" s="2" t="s">
        <v>157</v>
      </c>
      <c r="D1390" s="1">
        <v>0</v>
      </c>
      <c r="E1390" s="1">
        <v>0</v>
      </c>
      <c r="F1390" s="1">
        <v>0</v>
      </c>
      <c r="G1390" s="1">
        <v>6</v>
      </c>
      <c r="H1390" s="4">
        <v>0.67</v>
      </c>
      <c r="I1390" s="1">
        <v>0</v>
      </c>
      <c r="J1390" s="4"/>
      <c r="K1390" s="1">
        <v>0</v>
      </c>
      <c r="L1390" s="1">
        <v>8</v>
      </c>
      <c r="M1390" s="32">
        <f>IF(Mecze[[#This Row],[PR]]=0,0,Mecze[[#This Row],[PR]]/Mecze[[#This Row],[CZAS]])</f>
        <v>8.247422680412371E-2</v>
      </c>
      <c r="N1390" s="32">
        <f>IF(Mecze[[#This Row],[OU]]=0,0,Mecze[[#This Row],[OU]]/Mecze[[#This Row],[CZAS]])</f>
        <v>0</v>
      </c>
      <c r="O1390" s="32">
        <f>IF(Mecze[[#This Row],[PC]]=0,0,Mecze[[#This Row],[PC]]/Mecze[[#This Row],[CZAS]])</f>
        <v>4.1237113402061855E-2</v>
      </c>
      <c r="P1390" s="32">
        <f>IF(Mecze[[#This Row],[SC]]=0,0,Mecze[[#This Row],[SC]]/Mecze[[#This Row],[CZAS]])</f>
        <v>0</v>
      </c>
      <c r="Q1390" s="32">
        <f>IF(Mecze[[#This Row],[OB]]=0,0,Mecze[[#This Row],[OB]]/Mecze[[#This Row],[CZAS]])</f>
        <v>0</v>
      </c>
      <c r="R1390" s="32">
        <f>IF(Mecze[[#This Row],[BR]]=0,0,Mecze[[#This Row],[BR]]/Mecze[[#This Row],[CZAS]])</f>
        <v>0</v>
      </c>
      <c r="S1390" s="44">
        <f>IF(Mecze[[#This Row],[Role]]="BR",SUMPRODUCT(Mecze[[#This Row],[/PR:90]:[/BR:90]],Brudnopis!$E$23:$J$23),0)</f>
        <v>0</v>
      </c>
      <c r="T1390" s="44">
        <f>IF(Mecze[[#This Row],[Role]]&lt;&gt;"BR",SUMPRODUCT(Mecze[[#This Row],[/PR:90]:[/BR:90]],Brudnopis!$E$24:$J$24),0)</f>
        <v>0.12371134020618557</v>
      </c>
      <c r="U1390" s="44">
        <f>IF(Mecze[[#This Row],[Role]]&lt;&gt;"BR",SUMPRODUCT(Mecze[[#This Row],[/PR:90]:[/BR:90]],Brudnopis!$E$25:$J$25),0)</f>
        <v>0.14432989690721648</v>
      </c>
      <c r="V1390" s="44">
        <f>IF(Mecze[[#This Row],[Role]]&lt;&gt;"BR",SUMPRODUCT(Mecze[[#This Row],[/PR:90]:[/BR:90]],Brudnopis!$E$26:$J$26),0)</f>
        <v>0.12371134020618557</v>
      </c>
      <c r="W1390" s="44">
        <f>IF(Mecze[[#This Row],[Role]]&lt;&gt;"BR",SUMPRODUCT(Mecze[[#This Row],[/PR:90]:[/BR:90]],Brudnopis!$E$27:$J$27),0)</f>
        <v>0.12371134020618557</v>
      </c>
      <c r="X1390" s="44">
        <f>IF(Mecze[[#This Row],[Role]]&lt;&gt;"BR",SUMPRODUCT(Mecze[[#This Row],[/PR:90]:[/BR:90]],Brudnopis!$E$28:$J$28),0)</f>
        <v>4.1237113402061855E-2</v>
      </c>
      <c r="Y1390" s="35">
        <f>IF(Mecze[[#This Row],[Role]]="BR",Mecze[[#This Row],[/OB:90]]+Mecze[[#This Row],[/PC:90]],SUM(Mecze[[#This Row],[/PR:90]:[/BR:90]]))</f>
        <v>0.12371134020618557</v>
      </c>
      <c r="Z1390" s="35">
        <f>IF(Mecze[[#This Row],[KC]]=0,SUM(Mecze[[#This Row],[/BRI]:[/NPI]]),SUM(Mecze[[#This Row],[/BRI]:[/NPI]])*0.6)</f>
        <v>0.55670103092783496</v>
      </c>
      <c r="AA1390" s="10">
        <f>IFERROR(Mecze[[#This Row],[BR]]/Mecze[[#This Row],[ST]],0)</f>
        <v>0</v>
      </c>
      <c r="AB1390">
        <f>ROUND(Mecze[[#This Row],[PD]]*Mecze[[#This Row],[%PC]],0)</f>
        <v>4</v>
      </c>
      <c r="AC1390">
        <f>ROUND(Mecze[[#This Row],[OD]]*Mecze[[#This Row],[%OU]],0)</f>
        <v>0</v>
      </c>
      <c r="AD1390" s="36" t="s">
        <v>168</v>
      </c>
      <c r="AE1390" s="36">
        <v>76</v>
      </c>
      <c r="AF1390" s="71">
        <v>8.7200000000000006</v>
      </c>
      <c r="AG1390" s="37">
        <v>0</v>
      </c>
      <c r="AH1390" s="37">
        <v>0</v>
      </c>
      <c r="AI1390" s="37">
        <v>97</v>
      </c>
      <c r="AJ1390" s="37">
        <v>4</v>
      </c>
      <c r="AK1390" s="37" t="str">
        <f>VLOOKUP(Mecze[[#This Row],[Match ID]],Meczusie[Mecz]:Meczusie[RodzajMeczu],2,FALSE)</f>
        <v>Liga</v>
      </c>
    </row>
    <row r="1391" spans="1:37" x14ac:dyDescent="0.25">
      <c r="A1391" s="76">
        <v>5</v>
      </c>
      <c r="B1391" s="3" t="s">
        <v>277</v>
      </c>
      <c r="C1391" s="2" t="s">
        <v>157</v>
      </c>
      <c r="D1391" s="1">
        <v>0</v>
      </c>
      <c r="E1391" s="1">
        <v>0</v>
      </c>
      <c r="F1391" s="1">
        <v>0</v>
      </c>
      <c r="G1391" s="1">
        <v>0</v>
      </c>
      <c r="H1391" s="72"/>
      <c r="I1391" s="1">
        <v>0</v>
      </c>
      <c r="J1391" s="4"/>
      <c r="K1391" s="1">
        <v>0</v>
      </c>
      <c r="L1391" s="1">
        <v>0</v>
      </c>
      <c r="M1391" s="32">
        <f>IF(Mecze[[#This Row],[PR]]=0,0,Mecze[[#This Row],[PR]]/Mecze[[#This Row],[CZAS]])</f>
        <v>0</v>
      </c>
      <c r="N1391" s="32">
        <f>IF(Mecze[[#This Row],[OU]]=0,0,Mecze[[#This Row],[OU]]/Mecze[[#This Row],[CZAS]])</f>
        <v>0</v>
      </c>
      <c r="O1391" s="32">
        <f>IF(Mecze[[#This Row],[PC]]=0,0,Mecze[[#This Row],[PC]]/Mecze[[#This Row],[CZAS]])</f>
        <v>0</v>
      </c>
      <c r="P1391" s="32">
        <f>IF(Mecze[[#This Row],[SC]]=0,0,Mecze[[#This Row],[SC]]/Mecze[[#This Row],[CZAS]])</f>
        <v>0</v>
      </c>
      <c r="Q1391" s="32">
        <f>IF(Mecze[[#This Row],[OB]]=0,0,Mecze[[#This Row],[OB]]/Mecze[[#This Row],[CZAS]])</f>
        <v>0</v>
      </c>
      <c r="R1391" s="32">
        <f>IF(Mecze[[#This Row],[BR]]=0,0,Mecze[[#This Row],[BR]]/Mecze[[#This Row],[CZAS]])</f>
        <v>0</v>
      </c>
      <c r="S1391" s="44">
        <f>IF(Mecze[[#This Row],[Role]]="BR",SUMPRODUCT(Mecze[[#This Row],[/PR:90]:[/BR:90]],Brudnopis!$E$23:$J$23),0)</f>
        <v>0</v>
      </c>
      <c r="T1391" s="44">
        <f>IF(Mecze[[#This Row],[Role]]&lt;&gt;"BR",SUMPRODUCT(Mecze[[#This Row],[/PR:90]:[/BR:90]],Brudnopis!$E$24:$J$24),0)</f>
        <v>0</v>
      </c>
      <c r="U1391" s="44">
        <f>IF(Mecze[[#This Row],[Role]]&lt;&gt;"BR",SUMPRODUCT(Mecze[[#This Row],[/PR:90]:[/BR:90]],Brudnopis!$E$25:$J$25),0)</f>
        <v>0</v>
      </c>
      <c r="V1391" s="44">
        <f>IF(Mecze[[#This Row],[Role]]&lt;&gt;"BR",SUMPRODUCT(Mecze[[#This Row],[/PR:90]:[/BR:90]],Brudnopis!$E$26:$J$26),0)</f>
        <v>0</v>
      </c>
      <c r="W1391" s="44">
        <f>IF(Mecze[[#This Row],[Role]]&lt;&gt;"BR",SUMPRODUCT(Mecze[[#This Row],[/PR:90]:[/BR:90]],Brudnopis!$E$27:$J$27),0)</f>
        <v>0</v>
      </c>
      <c r="X1391" s="44">
        <f>IF(Mecze[[#This Row],[Role]]&lt;&gt;"BR",SUMPRODUCT(Mecze[[#This Row],[/PR:90]:[/BR:90]],Brudnopis!$E$28:$J$28),0)</f>
        <v>0</v>
      </c>
      <c r="Y1391" s="35">
        <f>IF(Mecze[[#This Row],[Role]]="BR",Mecze[[#This Row],[/OB:90]]+Mecze[[#This Row],[/PC:90]],SUM(Mecze[[#This Row],[/PR:90]:[/BR:90]]))</f>
        <v>0</v>
      </c>
      <c r="Z1391" s="35">
        <f>IF(Mecze[[#This Row],[KC]]=0,SUM(Mecze[[#This Row],[/BRI]:[/NPI]]),SUM(Mecze[[#This Row],[/BRI]:[/NPI]])*0.6)</f>
        <v>0</v>
      </c>
      <c r="AA1391" s="10">
        <f>IFERROR(Mecze[[#This Row],[BR]]/Mecze[[#This Row],[ST]],0)</f>
        <v>0</v>
      </c>
      <c r="AB1391">
        <f>ROUND(Mecze[[#This Row],[PD]]*Mecze[[#This Row],[%PC]],0)</f>
        <v>0</v>
      </c>
      <c r="AC1391">
        <f>ROUND(Mecze[[#This Row],[OD]]*Mecze[[#This Row],[%OU]],0)</f>
        <v>0</v>
      </c>
      <c r="AD1391" s="36" t="s">
        <v>167</v>
      </c>
      <c r="AE1391" s="36">
        <v>76</v>
      </c>
      <c r="AF1391" s="71">
        <v>7.04</v>
      </c>
      <c r="AG1391" s="37">
        <v>0</v>
      </c>
      <c r="AH1391" s="37">
        <v>0</v>
      </c>
      <c r="AI1391" s="37">
        <v>97</v>
      </c>
      <c r="AJ1391" s="37">
        <v>4</v>
      </c>
      <c r="AK1391" s="37" t="str">
        <f>VLOOKUP(Mecze[[#This Row],[Match ID]],Meczusie[Mecz]:Meczusie[RodzajMeczu],2,FALSE)</f>
        <v>Liga</v>
      </c>
    </row>
    <row r="1392" spans="1:37" x14ac:dyDescent="0.25">
      <c r="A1392" s="76">
        <v>12</v>
      </c>
      <c r="B1392" s="3" t="s">
        <v>278</v>
      </c>
      <c r="C1392" s="2" t="s">
        <v>160</v>
      </c>
      <c r="D1392" s="1">
        <v>0</v>
      </c>
      <c r="E1392" s="1">
        <v>0</v>
      </c>
      <c r="F1392" s="1">
        <v>0</v>
      </c>
      <c r="G1392" s="1">
        <v>10</v>
      </c>
      <c r="H1392" s="4">
        <v>0.9</v>
      </c>
      <c r="I1392" s="1">
        <v>2</v>
      </c>
      <c r="J1392" s="4">
        <v>0.5</v>
      </c>
      <c r="K1392" s="1">
        <v>0</v>
      </c>
      <c r="L1392" s="1">
        <v>6</v>
      </c>
      <c r="M1392" s="32">
        <f>IF(Mecze[[#This Row],[PR]]=0,0,Mecze[[#This Row],[PR]]/Mecze[[#This Row],[CZAS]])</f>
        <v>6.1855670103092786E-2</v>
      </c>
      <c r="N1392" s="32">
        <f>IF(Mecze[[#This Row],[OU]]=0,0,Mecze[[#This Row],[OU]]/Mecze[[#This Row],[CZAS]])</f>
        <v>1.0309278350515464E-2</v>
      </c>
      <c r="O1392" s="32">
        <f>IF(Mecze[[#This Row],[PC]]=0,0,Mecze[[#This Row],[PC]]/Mecze[[#This Row],[CZAS]])</f>
        <v>9.2783505154639179E-2</v>
      </c>
      <c r="P1392" s="32">
        <f>IF(Mecze[[#This Row],[SC]]=0,0,Mecze[[#This Row],[SC]]/Mecze[[#This Row],[CZAS]])</f>
        <v>0</v>
      </c>
      <c r="Q1392" s="32">
        <f>IF(Mecze[[#This Row],[OB]]=0,0,Mecze[[#This Row],[OB]]/Mecze[[#This Row],[CZAS]])</f>
        <v>0</v>
      </c>
      <c r="R1392" s="32">
        <f>IF(Mecze[[#This Row],[BR]]=0,0,Mecze[[#This Row],[BR]]/Mecze[[#This Row],[CZAS]])</f>
        <v>0</v>
      </c>
      <c r="S1392" s="44">
        <f>IF(Mecze[[#This Row],[Role]]="BR",SUMPRODUCT(Mecze[[#This Row],[/PR:90]:[/BR:90]],Brudnopis!$E$23:$J$23),0)</f>
        <v>0</v>
      </c>
      <c r="T1392" s="44">
        <f>IF(Mecze[[#This Row],[Role]]&lt;&gt;"BR",SUMPRODUCT(Mecze[[#This Row],[/PR:90]:[/BR:90]],Brudnopis!$E$24:$J$24),0)</f>
        <v>0.17010309278350516</v>
      </c>
      <c r="U1392" s="44">
        <f>IF(Mecze[[#This Row],[Role]]&lt;&gt;"BR",SUMPRODUCT(Mecze[[#This Row],[/PR:90]:[/BR:90]],Brudnopis!$E$25:$J$25),0)</f>
        <v>0.21134020618556704</v>
      </c>
      <c r="V1392" s="44">
        <f>IF(Mecze[[#This Row],[Role]]&lt;&gt;"BR",SUMPRODUCT(Mecze[[#This Row],[/PR:90]:[/BR:90]],Brudnopis!$E$26:$J$26),0)</f>
        <v>0.16494845360824745</v>
      </c>
      <c r="W1392" s="44">
        <f>IF(Mecze[[#This Row],[Role]]&lt;&gt;"BR",SUMPRODUCT(Mecze[[#This Row],[/PR:90]:[/BR:90]],Brudnopis!$E$27:$J$27),0)</f>
        <v>0.19329896907216496</v>
      </c>
      <c r="X1392" s="44">
        <f>IF(Mecze[[#This Row],[Role]]&lt;&gt;"BR",SUMPRODUCT(Mecze[[#This Row],[/PR:90]:[/BR:90]],Brudnopis!$E$28:$J$28),0)</f>
        <v>9.2783505154639179E-2</v>
      </c>
      <c r="Y1392" s="35">
        <f>IF(Mecze[[#This Row],[Role]]="BR",Mecze[[#This Row],[/OB:90]]+Mecze[[#This Row],[/PC:90]],SUM(Mecze[[#This Row],[/PR:90]:[/BR:90]]))</f>
        <v>0.16494845360824745</v>
      </c>
      <c r="Z1392" s="35">
        <f>IF(Mecze[[#This Row],[KC]]=0,SUM(Mecze[[#This Row],[/BRI]:[/NPI]]),SUM(Mecze[[#This Row],[/BRI]:[/NPI]])*0.6)</f>
        <v>0.83247422680412375</v>
      </c>
      <c r="AA1392" s="10">
        <f>IFERROR(Mecze[[#This Row],[BR]]/Mecze[[#This Row],[ST]],0)</f>
        <v>0</v>
      </c>
      <c r="AB1392">
        <f>ROUND(Mecze[[#This Row],[PD]]*Mecze[[#This Row],[%PC]],0)</f>
        <v>9</v>
      </c>
      <c r="AC1392">
        <f>ROUND(Mecze[[#This Row],[OD]]*Mecze[[#This Row],[%OU]],0)</f>
        <v>1</v>
      </c>
      <c r="AD1392" s="36" t="s">
        <v>41</v>
      </c>
      <c r="AE1392" s="36">
        <v>76</v>
      </c>
      <c r="AF1392" s="71">
        <v>10.42</v>
      </c>
      <c r="AG1392" s="37">
        <v>0</v>
      </c>
      <c r="AH1392" s="37">
        <v>0</v>
      </c>
      <c r="AI1392" s="37">
        <v>97</v>
      </c>
      <c r="AJ1392" s="37">
        <v>4</v>
      </c>
      <c r="AK1392" s="37" t="str">
        <f>VLOOKUP(Mecze[[#This Row],[Match ID]],Meczusie[Mecz]:Meczusie[RodzajMeczu],2,FALSE)</f>
        <v>Liga</v>
      </c>
    </row>
    <row r="1393" spans="1:37" x14ac:dyDescent="0.25">
      <c r="A1393" s="76">
        <v>7</v>
      </c>
      <c r="B1393" s="3" t="s">
        <v>279</v>
      </c>
      <c r="C1393" s="2" t="s">
        <v>160</v>
      </c>
      <c r="D1393" s="1">
        <v>0</v>
      </c>
      <c r="E1393" s="1">
        <v>0</v>
      </c>
      <c r="F1393" s="1">
        <v>0</v>
      </c>
      <c r="G1393" s="1">
        <v>8</v>
      </c>
      <c r="H1393" s="4">
        <v>1</v>
      </c>
      <c r="I1393" s="1">
        <v>1</v>
      </c>
      <c r="J1393" s="4">
        <v>0</v>
      </c>
      <c r="K1393" s="1">
        <v>0</v>
      </c>
      <c r="L1393" s="1">
        <v>8</v>
      </c>
      <c r="M1393" s="32">
        <f>IF(Mecze[[#This Row],[PR]]=0,0,Mecze[[#This Row],[PR]]/Mecze[[#This Row],[CZAS]])</f>
        <v>8.247422680412371E-2</v>
      </c>
      <c r="N1393" s="32">
        <f>IF(Mecze[[#This Row],[OU]]=0,0,Mecze[[#This Row],[OU]]/Mecze[[#This Row],[CZAS]])</f>
        <v>0</v>
      </c>
      <c r="O1393" s="32">
        <f>IF(Mecze[[#This Row],[PC]]=0,0,Mecze[[#This Row],[PC]]/Mecze[[#This Row],[CZAS]])</f>
        <v>8.247422680412371E-2</v>
      </c>
      <c r="P1393" s="32">
        <f>IF(Mecze[[#This Row],[SC]]=0,0,Mecze[[#This Row],[SC]]/Mecze[[#This Row],[CZAS]])</f>
        <v>0</v>
      </c>
      <c r="Q1393" s="32">
        <f>IF(Mecze[[#This Row],[OB]]=0,0,Mecze[[#This Row],[OB]]/Mecze[[#This Row],[CZAS]])</f>
        <v>0</v>
      </c>
      <c r="R1393" s="32">
        <f>IF(Mecze[[#This Row],[BR]]=0,0,Mecze[[#This Row],[BR]]/Mecze[[#This Row],[CZAS]])</f>
        <v>0</v>
      </c>
      <c r="S1393" s="44">
        <f>IF(Mecze[[#This Row],[Role]]="BR",SUMPRODUCT(Mecze[[#This Row],[/PR:90]:[/BR:90]],Brudnopis!$E$23:$J$23),0)</f>
        <v>0</v>
      </c>
      <c r="T1393" s="44">
        <f>IF(Mecze[[#This Row],[Role]]&lt;&gt;"BR",SUMPRODUCT(Mecze[[#This Row],[/PR:90]:[/BR:90]],Brudnopis!$E$24:$J$24),0)</f>
        <v>0.16494845360824742</v>
      </c>
      <c r="U1393" s="44">
        <f>IF(Mecze[[#This Row],[Role]]&lt;&gt;"BR",SUMPRODUCT(Mecze[[#This Row],[/PR:90]:[/BR:90]],Brudnopis!$E$25:$J$25),0)</f>
        <v>0.20618556701030927</v>
      </c>
      <c r="V1393" s="44">
        <f>IF(Mecze[[#This Row],[Role]]&lt;&gt;"BR",SUMPRODUCT(Mecze[[#This Row],[/PR:90]:[/BR:90]],Brudnopis!$E$26:$J$26),0)</f>
        <v>0.16494845360824742</v>
      </c>
      <c r="W1393" s="44">
        <f>IF(Mecze[[#This Row],[Role]]&lt;&gt;"BR",SUMPRODUCT(Mecze[[#This Row],[/PR:90]:[/BR:90]],Brudnopis!$E$27:$J$27),0)</f>
        <v>0.18556701030927836</v>
      </c>
      <c r="X1393" s="44">
        <f>IF(Mecze[[#This Row],[Role]]&lt;&gt;"BR",SUMPRODUCT(Mecze[[#This Row],[/PR:90]:[/BR:90]],Brudnopis!$E$28:$J$28),0)</f>
        <v>8.247422680412371E-2</v>
      </c>
      <c r="Y1393" s="35">
        <f>IF(Mecze[[#This Row],[Role]]="BR",Mecze[[#This Row],[/OB:90]]+Mecze[[#This Row],[/PC:90]],SUM(Mecze[[#This Row],[/PR:90]:[/BR:90]]))</f>
        <v>0.16494845360824742</v>
      </c>
      <c r="Z1393" s="35">
        <f>IF(Mecze[[#This Row],[KC]]=0,SUM(Mecze[[#This Row],[/BRI]:[/NPI]]),SUM(Mecze[[#This Row],[/BRI]:[/NPI]])*0.6)</f>
        <v>0.80412371134020622</v>
      </c>
      <c r="AA1393" s="10">
        <f>IFERROR(Mecze[[#This Row],[BR]]/Mecze[[#This Row],[ST]],0)</f>
        <v>0</v>
      </c>
      <c r="AB1393">
        <f>ROUND(Mecze[[#This Row],[PD]]*Mecze[[#This Row],[%PC]],0)</f>
        <v>8</v>
      </c>
      <c r="AC1393">
        <f>ROUND(Mecze[[#This Row],[OD]]*Mecze[[#This Row],[%OU]],0)</f>
        <v>0</v>
      </c>
      <c r="AD1393" s="36" t="s">
        <v>41</v>
      </c>
      <c r="AE1393" s="36">
        <v>76</v>
      </c>
      <c r="AF1393" s="71">
        <v>12.05</v>
      </c>
      <c r="AG1393" s="37">
        <v>0</v>
      </c>
      <c r="AH1393" s="37">
        <v>0</v>
      </c>
      <c r="AI1393" s="37">
        <v>97</v>
      </c>
      <c r="AJ1393" s="37">
        <v>4</v>
      </c>
      <c r="AK1393" s="37" t="str">
        <f>VLOOKUP(Mecze[[#This Row],[Match ID]],Meczusie[Mecz]:Meczusie[RodzajMeczu],2,FALSE)</f>
        <v>Liga</v>
      </c>
    </row>
    <row r="1394" spans="1:37" x14ac:dyDescent="0.25">
      <c r="A1394" s="76">
        <v>6</v>
      </c>
      <c r="B1394" s="3" t="s">
        <v>280</v>
      </c>
      <c r="C1394" s="2" t="s">
        <v>160</v>
      </c>
      <c r="D1394" s="1">
        <v>0</v>
      </c>
      <c r="E1394" s="1">
        <v>0</v>
      </c>
      <c r="F1394" s="1">
        <v>0</v>
      </c>
      <c r="G1394" s="1">
        <v>10</v>
      </c>
      <c r="H1394" s="4">
        <v>1</v>
      </c>
      <c r="I1394" s="1">
        <v>2</v>
      </c>
      <c r="J1394" s="4">
        <v>0.5</v>
      </c>
      <c r="K1394" s="1">
        <v>0</v>
      </c>
      <c r="L1394" s="1">
        <v>7</v>
      </c>
      <c r="M1394" s="32">
        <f>IF(Mecze[[#This Row],[PR]]=0,0,Mecze[[#This Row],[PR]]/Mecze[[#This Row],[CZAS]])</f>
        <v>7.2164948453608241E-2</v>
      </c>
      <c r="N1394" s="32">
        <f>IF(Mecze[[#This Row],[OU]]=0,0,Mecze[[#This Row],[OU]]/Mecze[[#This Row],[CZAS]])</f>
        <v>1.0309278350515464E-2</v>
      </c>
      <c r="O1394" s="32">
        <f>IF(Mecze[[#This Row],[PC]]=0,0,Mecze[[#This Row],[PC]]/Mecze[[#This Row],[CZAS]])</f>
        <v>0.10309278350515463</v>
      </c>
      <c r="P1394" s="32">
        <f>IF(Mecze[[#This Row],[SC]]=0,0,Mecze[[#This Row],[SC]]/Mecze[[#This Row],[CZAS]])</f>
        <v>0</v>
      </c>
      <c r="Q1394" s="32">
        <f>IF(Mecze[[#This Row],[OB]]=0,0,Mecze[[#This Row],[OB]]/Mecze[[#This Row],[CZAS]])</f>
        <v>0</v>
      </c>
      <c r="R1394" s="32">
        <f>IF(Mecze[[#This Row],[BR]]=0,0,Mecze[[#This Row],[BR]]/Mecze[[#This Row],[CZAS]])</f>
        <v>0</v>
      </c>
      <c r="S1394" s="44">
        <f>IF(Mecze[[#This Row],[Role]]="BR",SUMPRODUCT(Mecze[[#This Row],[/PR:90]:[/BR:90]],Brudnopis!$E$23:$J$23),0)</f>
        <v>0</v>
      </c>
      <c r="T1394" s="44">
        <f>IF(Mecze[[#This Row],[Role]]&lt;&gt;"BR",SUMPRODUCT(Mecze[[#This Row],[/PR:90]:[/BR:90]],Brudnopis!$E$24:$J$24),0)</f>
        <v>0.19072164948453607</v>
      </c>
      <c r="U1394" s="44">
        <f>IF(Mecze[[#This Row],[Role]]&lt;&gt;"BR",SUMPRODUCT(Mecze[[#This Row],[/PR:90]:[/BR:90]],Brudnopis!$E$25:$J$25),0)</f>
        <v>0.23711340206185566</v>
      </c>
      <c r="V1394" s="44">
        <f>IF(Mecze[[#This Row],[Role]]&lt;&gt;"BR",SUMPRODUCT(Mecze[[#This Row],[/PR:90]:[/BR:90]],Brudnopis!$E$26:$J$26),0)</f>
        <v>0.18556701030927836</v>
      </c>
      <c r="W1394" s="44">
        <f>IF(Mecze[[#This Row],[Role]]&lt;&gt;"BR",SUMPRODUCT(Mecze[[#This Row],[/PR:90]:[/BR:90]],Brudnopis!$E$27:$J$27),0)</f>
        <v>0.21649484536082475</v>
      </c>
      <c r="X1394" s="44">
        <f>IF(Mecze[[#This Row],[Role]]&lt;&gt;"BR",SUMPRODUCT(Mecze[[#This Row],[/PR:90]:[/BR:90]],Brudnopis!$E$28:$J$28),0)</f>
        <v>0.10309278350515463</v>
      </c>
      <c r="Y1394" s="35">
        <f>IF(Mecze[[#This Row],[Role]]="BR",Mecze[[#This Row],[/OB:90]]+Mecze[[#This Row],[/PC:90]],SUM(Mecze[[#This Row],[/PR:90]:[/BR:90]]))</f>
        <v>0.18556701030927836</v>
      </c>
      <c r="Z1394" s="35">
        <f>IF(Mecze[[#This Row],[KC]]=0,SUM(Mecze[[#This Row],[/BRI]:[/NPI]]),SUM(Mecze[[#This Row],[/BRI]:[/NPI]])*0.6)</f>
        <v>0.9329896907216495</v>
      </c>
      <c r="AA1394" s="10">
        <f>IFERROR(Mecze[[#This Row],[BR]]/Mecze[[#This Row],[ST]],0)</f>
        <v>0</v>
      </c>
      <c r="AB1394">
        <f>ROUND(Mecze[[#This Row],[PD]]*Mecze[[#This Row],[%PC]],0)</f>
        <v>10</v>
      </c>
      <c r="AC1394">
        <f>ROUND(Mecze[[#This Row],[OD]]*Mecze[[#This Row],[%OU]],0)</f>
        <v>1</v>
      </c>
      <c r="AD1394" s="36" t="s">
        <v>67</v>
      </c>
      <c r="AE1394" s="36">
        <v>76</v>
      </c>
      <c r="AF1394" s="71">
        <v>11.84</v>
      </c>
      <c r="AG1394" s="37">
        <v>0</v>
      </c>
      <c r="AH1394" s="37">
        <v>0</v>
      </c>
      <c r="AI1394" s="37">
        <v>97</v>
      </c>
      <c r="AJ1394" s="37">
        <v>4</v>
      </c>
      <c r="AK1394" s="37" t="str">
        <f>VLOOKUP(Mecze[[#This Row],[Match ID]],Meczusie[Mecz]:Meczusie[RodzajMeczu],2,FALSE)</f>
        <v>Liga</v>
      </c>
    </row>
    <row r="1395" spans="1:37" x14ac:dyDescent="0.25">
      <c r="A1395" s="76">
        <v>14</v>
      </c>
      <c r="B1395" s="3" t="s">
        <v>281</v>
      </c>
      <c r="C1395" s="2" t="s">
        <v>160</v>
      </c>
      <c r="D1395" s="1">
        <v>0</v>
      </c>
      <c r="E1395" s="1">
        <v>0</v>
      </c>
      <c r="F1395" s="1">
        <v>0</v>
      </c>
      <c r="G1395" s="1">
        <v>8</v>
      </c>
      <c r="H1395" s="4">
        <v>0.88</v>
      </c>
      <c r="I1395" s="1">
        <v>3</v>
      </c>
      <c r="J1395" s="4">
        <v>0.67</v>
      </c>
      <c r="K1395" s="1">
        <v>0</v>
      </c>
      <c r="L1395" s="1">
        <v>1</v>
      </c>
      <c r="M1395" s="32">
        <f>IF(Mecze[[#This Row],[PR]]=0,0,Mecze[[#This Row],[PR]]/Mecze[[#This Row],[CZAS]])</f>
        <v>1.0309278350515464E-2</v>
      </c>
      <c r="N1395" s="32">
        <f>IF(Mecze[[#This Row],[OU]]=0,0,Mecze[[#This Row],[OU]]/Mecze[[#This Row],[CZAS]])</f>
        <v>2.0618556701030927E-2</v>
      </c>
      <c r="O1395" s="32">
        <f>IF(Mecze[[#This Row],[PC]]=0,0,Mecze[[#This Row],[PC]]/Mecze[[#This Row],[CZAS]])</f>
        <v>7.2164948453608241E-2</v>
      </c>
      <c r="P1395" s="32">
        <f>IF(Mecze[[#This Row],[SC]]=0,0,Mecze[[#This Row],[SC]]/Mecze[[#This Row],[CZAS]])</f>
        <v>0</v>
      </c>
      <c r="Q1395" s="32">
        <f>IF(Mecze[[#This Row],[OB]]=0,0,Mecze[[#This Row],[OB]]/Mecze[[#This Row],[CZAS]])</f>
        <v>0</v>
      </c>
      <c r="R1395" s="32">
        <f>IF(Mecze[[#This Row],[BR]]=0,0,Mecze[[#This Row],[BR]]/Mecze[[#This Row],[CZAS]])</f>
        <v>0</v>
      </c>
      <c r="S1395" s="44">
        <f>IF(Mecze[[#This Row],[Role]]="BR",SUMPRODUCT(Mecze[[#This Row],[/PR:90]:[/BR:90]],Brudnopis!$E$23:$J$23),0)</f>
        <v>0</v>
      </c>
      <c r="T1395" s="44">
        <f>IF(Mecze[[#This Row],[Role]]&lt;&gt;"BR",SUMPRODUCT(Mecze[[#This Row],[/PR:90]:[/BR:90]],Brudnopis!$E$24:$J$24),0)</f>
        <v>0.11340206185567009</v>
      </c>
      <c r="U1395" s="44">
        <f>IF(Mecze[[#This Row],[Role]]&lt;&gt;"BR",SUMPRODUCT(Mecze[[#This Row],[/PR:90]:[/BR:90]],Brudnopis!$E$25:$J$25),0)</f>
        <v>0.13917525773195877</v>
      </c>
      <c r="V1395" s="44">
        <f>IF(Mecze[[#This Row],[Role]]&lt;&gt;"BR",SUMPRODUCT(Mecze[[#This Row],[/PR:90]:[/BR:90]],Brudnopis!$E$26:$J$26),0)</f>
        <v>0.10309278350515463</v>
      </c>
      <c r="W1395" s="44">
        <f>IF(Mecze[[#This Row],[Role]]&lt;&gt;"BR",SUMPRODUCT(Mecze[[#This Row],[/PR:90]:[/BR:90]],Brudnopis!$E$27:$J$27),0)</f>
        <v>0.13144329896907214</v>
      </c>
      <c r="X1395" s="44">
        <f>IF(Mecze[[#This Row],[Role]]&lt;&gt;"BR",SUMPRODUCT(Mecze[[#This Row],[/PR:90]:[/BR:90]],Brudnopis!$E$28:$J$28),0)</f>
        <v>7.2164948453608241E-2</v>
      </c>
      <c r="Y1395" s="35">
        <f>IF(Mecze[[#This Row],[Role]]="BR",Mecze[[#This Row],[/OB:90]]+Mecze[[#This Row],[/PC:90]],SUM(Mecze[[#This Row],[/PR:90]:[/BR:90]]))</f>
        <v>0.10309278350515463</v>
      </c>
      <c r="Z1395" s="35">
        <f>IF(Mecze[[#This Row],[KC]]=0,SUM(Mecze[[#This Row],[/BRI]:[/NPI]]),SUM(Mecze[[#This Row],[/BRI]:[/NPI]])*0.6)</f>
        <v>0.55927835051546382</v>
      </c>
      <c r="AA1395" s="10">
        <f>IFERROR(Mecze[[#This Row],[BR]]/Mecze[[#This Row],[ST]],0)</f>
        <v>0</v>
      </c>
      <c r="AB1395">
        <f>ROUND(Mecze[[#This Row],[PD]]*Mecze[[#This Row],[%PC]],0)</f>
        <v>7</v>
      </c>
      <c r="AC1395">
        <f>ROUND(Mecze[[#This Row],[OD]]*Mecze[[#This Row],[%OU]],0)</f>
        <v>2</v>
      </c>
      <c r="AD1395" s="36" t="s">
        <v>171</v>
      </c>
      <c r="AE1395" s="36">
        <v>76</v>
      </c>
      <c r="AF1395" s="71">
        <v>8.26</v>
      </c>
      <c r="AG1395" s="37">
        <v>1</v>
      </c>
      <c r="AH1395" s="37">
        <v>0</v>
      </c>
      <c r="AI1395" s="37">
        <v>97</v>
      </c>
      <c r="AJ1395" s="37">
        <v>4</v>
      </c>
      <c r="AK1395" s="37" t="str">
        <f>VLOOKUP(Mecze[[#This Row],[Match ID]],Meczusie[Mecz]:Meczusie[RodzajMeczu],2,FALSE)</f>
        <v>Liga</v>
      </c>
    </row>
    <row r="1396" spans="1:37" x14ac:dyDescent="0.25">
      <c r="A1396" s="76">
        <v>11</v>
      </c>
      <c r="B1396" s="3" t="s">
        <v>282</v>
      </c>
      <c r="C1396" s="2" t="s">
        <v>165</v>
      </c>
      <c r="D1396" s="1">
        <v>2</v>
      </c>
      <c r="E1396" s="1">
        <v>3</v>
      </c>
      <c r="F1396" s="1">
        <v>3</v>
      </c>
      <c r="G1396" s="1">
        <v>2</v>
      </c>
      <c r="H1396" s="4">
        <v>1</v>
      </c>
      <c r="I1396" s="1">
        <v>0</v>
      </c>
      <c r="J1396" s="4"/>
      <c r="K1396" s="1">
        <v>0</v>
      </c>
      <c r="L1396" s="1">
        <v>3</v>
      </c>
      <c r="M1396" s="32">
        <f>IF(Mecze[[#This Row],[PR]]=0,0,Mecze[[#This Row],[PR]]/Mecze[[#This Row],[CZAS]])</f>
        <v>3.0927835051546393E-2</v>
      </c>
      <c r="N1396" s="32">
        <f>IF(Mecze[[#This Row],[OU]]=0,0,Mecze[[#This Row],[OU]]/Mecze[[#This Row],[CZAS]])</f>
        <v>0</v>
      </c>
      <c r="O1396" s="32">
        <f>IF(Mecze[[#This Row],[PC]]=0,0,Mecze[[#This Row],[PC]]/Mecze[[#This Row],[CZAS]])</f>
        <v>2.0618556701030927E-2</v>
      </c>
      <c r="P1396" s="32">
        <f>IF(Mecze[[#This Row],[SC]]=0,0,Mecze[[#This Row],[SC]]/Mecze[[#This Row],[CZAS]])</f>
        <v>3.0927835051546393E-2</v>
      </c>
      <c r="Q1396" s="32">
        <f>IF(Mecze[[#This Row],[OB]]=0,0,Mecze[[#This Row],[OB]]/Mecze[[#This Row],[CZAS]])</f>
        <v>0</v>
      </c>
      <c r="R1396" s="32">
        <f>IF(Mecze[[#This Row],[BR]]=0,0,Mecze[[#This Row],[BR]]/Mecze[[#This Row],[CZAS]])</f>
        <v>2.0618556701030927E-2</v>
      </c>
      <c r="S1396" s="44">
        <f>IF(Mecze[[#This Row],[Role]]="BR",SUMPRODUCT(Mecze[[#This Row],[/PR:90]:[/BR:90]],Brudnopis!$E$23:$J$23),0)</f>
        <v>0</v>
      </c>
      <c r="T1396" s="44">
        <f>IF(Mecze[[#This Row],[Role]]&lt;&gt;"BR",SUMPRODUCT(Mecze[[#This Row],[/PR:90]:[/BR:90]],Brudnopis!$E$24:$J$24),0)</f>
        <v>0.1134020618556701</v>
      </c>
      <c r="U1396" s="44">
        <f>IF(Mecze[[#This Row],[Role]]&lt;&gt;"BR",SUMPRODUCT(Mecze[[#This Row],[/PR:90]:[/BR:90]],Brudnopis!$E$25:$J$25),0)</f>
        <v>0.12371134020618557</v>
      </c>
      <c r="V1396" s="44">
        <f>IF(Mecze[[#This Row],[Role]]&lt;&gt;"BR",SUMPRODUCT(Mecze[[#This Row],[/PR:90]:[/BR:90]],Brudnopis!$E$26:$J$26),0)</f>
        <v>0.12371134020618557</v>
      </c>
      <c r="W1396" s="44">
        <f>IF(Mecze[[#This Row],[Role]]&lt;&gt;"BR",SUMPRODUCT(Mecze[[#This Row],[/PR:90]:[/BR:90]],Brudnopis!$E$27:$J$27),0)</f>
        <v>0.12628865979381443</v>
      </c>
      <c r="X1396" s="44">
        <f>IF(Mecze[[#This Row],[Role]]&lt;&gt;"BR",SUMPRODUCT(Mecze[[#This Row],[/PR:90]:[/BR:90]],Brudnopis!$E$28:$J$28),0)</f>
        <v>0.14432989690721648</v>
      </c>
      <c r="Y1396" s="35">
        <f>IF(Mecze[[#This Row],[Role]]="BR",Mecze[[#This Row],[/OB:90]]+Mecze[[#This Row],[/PC:90]],SUM(Mecze[[#This Row],[/PR:90]:[/BR:90]]))</f>
        <v>0.10309278350515463</v>
      </c>
      <c r="Z1396" s="35">
        <f>IF(Mecze[[#This Row],[KC]]=0,SUM(Mecze[[#This Row],[/BRI]:[/NPI]]),SUM(Mecze[[#This Row],[/BRI]:[/NPI]])*0.6)</f>
        <v>0.63144329896907214</v>
      </c>
      <c r="AA1396" s="10">
        <f>IFERROR(Mecze[[#This Row],[BR]]/Mecze[[#This Row],[ST]],0)</f>
        <v>0.66666666666666663</v>
      </c>
      <c r="AB1396">
        <f>ROUND(Mecze[[#This Row],[PD]]*Mecze[[#This Row],[%PC]],0)</f>
        <v>2</v>
      </c>
      <c r="AC1396">
        <f>ROUND(Mecze[[#This Row],[OD]]*Mecze[[#This Row],[%OU]],0)</f>
        <v>0</v>
      </c>
      <c r="AD1396" s="36" t="s">
        <v>46</v>
      </c>
      <c r="AE1396" s="36">
        <v>76</v>
      </c>
      <c r="AF1396" s="71">
        <v>9.19</v>
      </c>
      <c r="AG1396" s="37">
        <v>0</v>
      </c>
      <c r="AH1396" s="37">
        <v>0</v>
      </c>
      <c r="AI1396" s="37">
        <v>97</v>
      </c>
      <c r="AJ1396" s="37">
        <v>4</v>
      </c>
      <c r="AK1396" s="37" t="str">
        <f>VLOOKUP(Mecze[[#This Row],[Match ID]],Meczusie[Mecz]:Meczusie[RodzajMeczu],2,FALSE)</f>
        <v>Liga</v>
      </c>
    </row>
    <row r="1397" spans="1:37" x14ac:dyDescent="0.25">
      <c r="A1397" s="76">
        <v>8</v>
      </c>
      <c r="B1397" s="3" t="s">
        <v>283</v>
      </c>
      <c r="C1397" s="2" t="s">
        <v>165</v>
      </c>
      <c r="D1397" s="1">
        <v>0</v>
      </c>
      <c r="E1397" s="1">
        <v>1</v>
      </c>
      <c r="F1397" s="1">
        <v>0</v>
      </c>
      <c r="G1397" s="1">
        <v>11</v>
      </c>
      <c r="H1397" s="4">
        <v>0.82</v>
      </c>
      <c r="I1397" s="1">
        <v>1</v>
      </c>
      <c r="J1397" s="4">
        <v>1</v>
      </c>
      <c r="K1397" s="1">
        <v>0</v>
      </c>
      <c r="L1397" s="1">
        <v>1</v>
      </c>
      <c r="M1397" s="32">
        <f>IF(Mecze[[#This Row],[PR]]=0,0,Mecze[[#This Row],[PR]]/Mecze[[#This Row],[CZAS]])</f>
        <v>1.0309278350515464E-2</v>
      </c>
      <c r="N1397" s="32">
        <f>IF(Mecze[[#This Row],[OU]]=0,0,Mecze[[#This Row],[OU]]/Mecze[[#This Row],[CZAS]])</f>
        <v>1.0309278350515464E-2</v>
      </c>
      <c r="O1397" s="32">
        <f>IF(Mecze[[#This Row],[PC]]=0,0,Mecze[[#This Row],[PC]]/Mecze[[#This Row],[CZAS]])</f>
        <v>9.2783505154639179E-2</v>
      </c>
      <c r="P1397" s="32">
        <f>IF(Mecze[[#This Row],[SC]]=0,0,Mecze[[#This Row],[SC]]/Mecze[[#This Row],[CZAS]])</f>
        <v>0</v>
      </c>
      <c r="Q1397" s="32">
        <f>IF(Mecze[[#This Row],[OB]]=0,0,Mecze[[#This Row],[OB]]/Mecze[[#This Row],[CZAS]])</f>
        <v>0</v>
      </c>
      <c r="R1397" s="32">
        <f>IF(Mecze[[#This Row],[BR]]=0,0,Mecze[[#This Row],[BR]]/Mecze[[#This Row],[CZAS]])</f>
        <v>0</v>
      </c>
      <c r="S1397" s="44">
        <f>IF(Mecze[[#This Row],[Role]]="BR",SUMPRODUCT(Mecze[[#This Row],[/PR:90]:[/BR:90]],Brudnopis!$E$23:$J$23),0)</f>
        <v>0</v>
      </c>
      <c r="T1397" s="44">
        <f>IF(Mecze[[#This Row],[Role]]&lt;&gt;"BR",SUMPRODUCT(Mecze[[#This Row],[/PR:90]:[/BR:90]],Brudnopis!$E$24:$J$24),0)</f>
        <v>0.11855670103092783</v>
      </c>
      <c r="U1397" s="44">
        <f>IF(Mecze[[#This Row],[Role]]&lt;&gt;"BR",SUMPRODUCT(Mecze[[#This Row],[/PR:90]:[/BR:90]],Brudnopis!$E$25:$J$25),0)</f>
        <v>0.15979381443298971</v>
      </c>
      <c r="V1397" s="44">
        <f>IF(Mecze[[#This Row],[Role]]&lt;&gt;"BR",SUMPRODUCT(Mecze[[#This Row],[/PR:90]:[/BR:90]],Brudnopis!$E$26:$J$26),0)</f>
        <v>0.1134020618556701</v>
      </c>
      <c r="W1397" s="44">
        <f>IF(Mecze[[#This Row],[Role]]&lt;&gt;"BR",SUMPRODUCT(Mecze[[#This Row],[/PR:90]:[/BR:90]],Brudnopis!$E$27:$J$27),0)</f>
        <v>0.15463917525773196</v>
      </c>
      <c r="X1397" s="44">
        <f>IF(Mecze[[#This Row],[Role]]&lt;&gt;"BR",SUMPRODUCT(Mecze[[#This Row],[/PR:90]:[/BR:90]],Brudnopis!$E$28:$J$28),0)</f>
        <v>9.2783505154639179E-2</v>
      </c>
      <c r="Y1397" s="35">
        <f>IF(Mecze[[#This Row],[Role]]="BR",Mecze[[#This Row],[/OB:90]]+Mecze[[#This Row],[/PC:90]],SUM(Mecze[[#This Row],[/PR:90]:[/BR:90]]))</f>
        <v>0.1134020618556701</v>
      </c>
      <c r="Z1397" s="35">
        <f>IF(Mecze[[#This Row],[KC]]=0,SUM(Mecze[[#This Row],[/BRI]:[/NPI]]),SUM(Mecze[[#This Row],[/BRI]:[/NPI]])*0.6)</f>
        <v>0.63917525773195882</v>
      </c>
      <c r="AA1397" s="10">
        <f>IFERROR(Mecze[[#This Row],[BR]]/Mecze[[#This Row],[ST]],0)</f>
        <v>0</v>
      </c>
      <c r="AB1397">
        <f>ROUND(Mecze[[#This Row],[PD]]*Mecze[[#This Row],[%PC]],0)</f>
        <v>9</v>
      </c>
      <c r="AC1397">
        <f>ROUND(Mecze[[#This Row],[OD]]*Mecze[[#This Row],[%OU]],0)</f>
        <v>1</v>
      </c>
      <c r="AD1397" s="36" t="s">
        <v>273</v>
      </c>
      <c r="AE1397" s="36">
        <v>76</v>
      </c>
      <c r="AF1397" s="71">
        <v>6.18</v>
      </c>
      <c r="AG1397" s="37">
        <v>0</v>
      </c>
      <c r="AH1397" s="37">
        <v>0</v>
      </c>
      <c r="AI1397" s="37">
        <v>97</v>
      </c>
      <c r="AJ1397" s="37">
        <v>4</v>
      </c>
      <c r="AK1397" s="37" t="str">
        <f>VLOOKUP(Mecze[[#This Row],[Match ID]],Meczusie[Mecz]:Meczusie[RodzajMeczu],2,FALSE)</f>
        <v>Liga</v>
      </c>
    </row>
    <row r="1398" spans="1:37" x14ac:dyDescent="0.25">
      <c r="A1398" s="76">
        <v>10</v>
      </c>
      <c r="B1398" s="3" t="s">
        <v>284</v>
      </c>
      <c r="C1398" s="2" t="s">
        <v>165</v>
      </c>
      <c r="D1398" s="1">
        <v>15</v>
      </c>
      <c r="E1398" s="1">
        <v>27</v>
      </c>
      <c r="F1398" s="1">
        <v>24</v>
      </c>
      <c r="G1398" s="1">
        <v>4</v>
      </c>
      <c r="H1398" s="4">
        <v>0.5</v>
      </c>
      <c r="I1398" s="1">
        <v>3</v>
      </c>
      <c r="J1398" s="4">
        <v>1</v>
      </c>
      <c r="K1398" s="1">
        <v>0</v>
      </c>
      <c r="L1398" s="1">
        <v>2</v>
      </c>
      <c r="M1398" s="32">
        <f>IF(Mecze[[#This Row],[PR]]=0,0,Mecze[[#This Row],[PR]]/Mecze[[#This Row],[CZAS]])</f>
        <v>2.0618556701030927E-2</v>
      </c>
      <c r="N1398" s="32">
        <f>IF(Mecze[[#This Row],[OU]]=0,0,Mecze[[#This Row],[OU]]/Mecze[[#This Row],[CZAS]])</f>
        <v>3.0927835051546393E-2</v>
      </c>
      <c r="O1398" s="32">
        <f>IF(Mecze[[#This Row],[PC]]=0,0,Mecze[[#This Row],[PC]]/Mecze[[#This Row],[CZAS]])</f>
        <v>2.0618556701030927E-2</v>
      </c>
      <c r="P1398" s="32">
        <f>IF(Mecze[[#This Row],[SC]]=0,0,Mecze[[#This Row],[SC]]/Mecze[[#This Row],[CZAS]])</f>
        <v>0.24742268041237114</v>
      </c>
      <c r="Q1398" s="32">
        <f>IF(Mecze[[#This Row],[OB]]=0,0,Mecze[[#This Row],[OB]]/Mecze[[#This Row],[CZAS]])</f>
        <v>0</v>
      </c>
      <c r="R1398" s="32">
        <f>IF(Mecze[[#This Row],[BR]]=0,0,Mecze[[#This Row],[BR]]/Mecze[[#This Row],[CZAS]])</f>
        <v>0.15463917525773196</v>
      </c>
      <c r="S1398" s="44">
        <f>IF(Mecze[[#This Row],[Role]]="BR",SUMPRODUCT(Mecze[[#This Row],[/PR:90]:[/BR:90]],Brudnopis!$E$23:$J$23),0)</f>
        <v>0</v>
      </c>
      <c r="T1398" s="44">
        <f>IF(Mecze[[#This Row],[Role]]&lt;&gt;"BR",SUMPRODUCT(Mecze[[#This Row],[/PR:90]:[/BR:90]],Brudnopis!$E$24:$J$24),0)</f>
        <v>0.5670103092783505</v>
      </c>
      <c r="U1398" s="44">
        <f>IF(Mecze[[#This Row],[Role]]&lt;&gt;"BR",SUMPRODUCT(Mecze[[#This Row],[/PR:90]:[/BR:90]],Brudnopis!$E$25:$J$25),0)</f>
        <v>0.56185567010309279</v>
      </c>
      <c r="V1398" s="44">
        <f>IF(Mecze[[#This Row],[Role]]&lt;&gt;"BR",SUMPRODUCT(Mecze[[#This Row],[/PR:90]:[/BR:90]],Brudnopis!$E$26:$J$26),0)</f>
        <v>0.62886597938144329</v>
      </c>
      <c r="W1398" s="44">
        <f>IF(Mecze[[#This Row],[Role]]&lt;&gt;"BR",SUMPRODUCT(Mecze[[#This Row],[/PR:90]:[/BR:90]],Brudnopis!$E$27:$J$27),0)</f>
        <v>0.62628865979381443</v>
      </c>
      <c r="X1398" s="44">
        <f>IF(Mecze[[#This Row],[Role]]&lt;&gt;"BR",SUMPRODUCT(Mecze[[#This Row],[/PR:90]:[/BR:90]],Brudnopis!$E$28:$J$28),0)</f>
        <v>0.97938144329896915</v>
      </c>
      <c r="Y1398" s="35">
        <f>IF(Mecze[[#This Row],[Role]]="BR",Mecze[[#This Row],[/OB:90]]+Mecze[[#This Row],[/PC:90]],SUM(Mecze[[#This Row],[/PR:90]:[/BR:90]]))</f>
        <v>0.47422680412371132</v>
      </c>
      <c r="Z1398" s="35">
        <f>IF(Mecze[[#This Row],[KC]]=0,SUM(Mecze[[#This Row],[/BRI]:[/NPI]]),SUM(Mecze[[#This Row],[/BRI]:[/NPI]])*0.6)</f>
        <v>3.3634020618556701</v>
      </c>
      <c r="AA1398" s="10">
        <f>IFERROR(Mecze[[#This Row],[BR]]/Mecze[[#This Row],[ST]],0)</f>
        <v>0.55555555555555558</v>
      </c>
      <c r="AB1398">
        <f>ROUND(Mecze[[#This Row],[PD]]*Mecze[[#This Row],[%PC]],0)</f>
        <v>2</v>
      </c>
      <c r="AC1398">
        <f>ROUND(Mecze[[#This Row],[OD]]*Mecze[[#This Row],[%OU]],0)</f>
        <v>3</v>
      </c>
      <c r="AD1398" s="36" t="s">
        <v>46</v>
      </c>
      <c r="AE1398" s="36">
        <v>76</v>
      </c>
      <c r="AF1398" s="71">
        <v>43.17</v>
      </c>
      <c r="AG1398" s="37">
        <v>0</v>
      </c>
      <c r="AH1398" s="37">
        <v>0</v>
      </c>
      <c r="AI1398" s="37">
        <v>97</v>
      </c>
      <c r="AJ1398" s="37">
        <v>4</v>
      </c>
      <c r="AK1398" s="37" t="str">
        <f>VLOOKUP(Mecze[[#This Row],[Match ID]],Meczusie[Mecz]:Meczusie[RodzajMeczu],2,FALSE)</f>
        <v>Liga</v>
      </c>
    </row>
    <row r="1399" spans="1:37" x14ac:dyDescent="0.25">
      <c r="A1399" s="76">
        <v>2</v>
      </c>
      <c r="B1399" s="3" t="s">
        <v>285</v>
      </c>
      <c r="C1399" s="2" t="s">
        <v>157</v>
      </c>
      <c r="D1399" s="1">
        <v>0</v>
      </c>
      <c r="E1399" s="1">
        <v>0</v>
      </c>
      <c r="F1399" s="1">
        <v>0</v>
      </c>
      <c r="G1399" s="1">
        <v>0</v>
      </c>
      <c r="H1399" s="72"/>
      <c r="I1399" s="1">
        <v>0</v>
      </c>
      <c r="J1399" s="4"/>
      <c r="K1399" s="1">
        <v>0</v>
      </c>
      <c r="L1399" s="1">
        <v>0</v>
      </c>
      <c r="M1399" s="32">
        <f>IF(Mecze[[#This Row],[PR]]=0,0,Mecze[[#This Row],[PR]]/Mecze[[#This Row],[CZAS]])</f>
        <v>0</v>
      </c>
      <c r="N1399" s="32">
        <f>IF(Mecze[[#This Row],[OU]]=0,0,Mecze[[#This Row],[OU]]/Mecze[[#This Row],[CZAS]])</f>
        <v>0</v>
      </c>
      <c r="O1399" s="32">
        <f>IF(Mecze[[#This Row],[PC]]=0,0,Mecze[[#This Row],[PC]]/Mecze[[#This Row],[CZAS]])</f>
        <v>0</v>
      </c>
      <c r="P1399" s="32">
        <f>IF(Mecze[[#This Row],[SC]]=0,0,Mecze[[#This Row],[SC]]/Mecze[[#This Row],[CZAS]])</f>
        <v>0</v>
      </c>
      <c r="Q1399" s="32">
        <f>IF(Mecze[[#This Row],[OB]]=0,0,Mecze[[#This Row],[OB]]/Mecze[[#This Row],[CZAS]])</f>
        <v>0</v>
      </c>
      <c r="R1399" s="32">
        <f>IF(Mecze[[#This Row],[BR]]=0,0,Mecze[[#This Row],[BR]]/Mecze[[#This Row],[CZAS]])</f>
        <v>0</v>
      </c>
      <c r="S1399" s="44">
        <f>IF(Mecze[[#This Row],[Role]]="BR",SUMPRODUCT(Mecze[[#This Row],[/PR:90]:[/BR:90]],Brudnopis!$E$23:$J$23),0)</f>
        <v>0</v>
      </c>
      <c r="T1399" s="44">
        <f>IF(Mecze[[#This Row],[Role]]&lt;&gt;"BR",SUMPRODUCT(Mecze[[#This Row],[/PR:90]:[/BR:90]],Brudnopis!$E$24:$J$24),0)</f>
        <v>0</v>
      </c>
      <c r="U1399" s="44">
        <f>IF(Mecze[[#This Row],[Role]]&lt;&gt;"BR",SUMPRODUCT(Mecze[[#This Row],[/PR:90]:[/BR:90]],Brudnopis!$E$25:$J$25),0)</f>
        <v>0</v>
      </c>
      <c r="V1399" s="44">
        <f>IF(Mecze[[#This Row],[Role]]&lt;&gt;"BR",SUMPRODUCT(Mecze[[#This Row],[/PR:90]:[/BR:90]],Brudnopis!$E$26:$J$26),0)</f>
        <v>0</v>
      </c>
      <c r="W1399" s="44">
        <f>IF(Mecze[[#This Row],[Role]]&lt;&gt;"BR",SUMPRODUCT(Mecze[[#This Row],[/PR:90]:[/BR:90]],Brudnopis!$E$27:$J$27),0)</f>
        <v>0</v>
      </c>
      <c r="X1399" s="44">
        <f>IF(Mecze[[#This Row],[Role]]&lt;&gt;"BR",SUMPRODUCT(Mecze[[#This Row],[/PR:90]:[/BR:90]],Brudnopis!$E$28:$J$28),0)</f>
        <v>0</v>
      </c>
      <c r="Y1399" s="35">
        <f>IF(Mecze[[#This Row],[Role]]="BR",Mecze[[#This Row],[/OB:90]]+Mecze[[#This Row],[/PC:90]],SUM(Mecze[[#This Row],[/PR:90]:[/BR:90]]))</f>
        <v>0</v>
      </c>
      <c r="Z1399" s="35">
        <f>IF(Mecze[[#This Row],[KC]]=0,SUM(Mecze[[#This Row],[/BRI]:[/NPI]]),SUM(Mecze[[#This Row],[/BRI]:[/NPI]])*0.6)</f>
        <v>0</v>
      </c>
      <c r="AA1399" s="10">
        <f>IFERROR(Mecze[[#This Row],[BR]]/Mecze[[#This Row],[ST]],0)</f>
        <v>0</v>
      </c>
      <c r="AB1399">
        <f>ROUND(Mecze[[#This Row],[PD]]*Mecze[[#This Row],[%PC]],0)</f>
        <v>0</v>
      </c>
      <c r="AC1399">
        <f>ROUND(Mecze[[#This Row],[OD]]*Mecze[[#This Row],[%OU]],0)</f>
        <v>0</v>
      </c>
      <c r="AD1399" s="36" t="s">
        <v>167</v>
      </c>
      <c r="AE1399" s="36">
        <v>76</v>
      </c>
      <c r="AF1399" s="71">
        <v>4.84</v>
      </c>
      <c r="AG1399" s="37">
        <v>0</v>
      </c>
      <c r="AH1399" s="37">
        <v>0</v>
      </c>
      <c r="AI1399" s="37">
        <v>97</v>
      </c>
      <c r="AJ1399" s="37">
        <v>4</v>
      </c>
      <c r="AK1399" s="37" t="str">
        <f>VLOOKUP(Mecze[[#This Row],[Match ID]],Meczusie[Mecz]:Meczusie[RodzajMeczu],2,FALSE)</f>
        <v>Liga</v>
      </c>
    </row>
    <row r="1400" spans="1:37" x14ac:dyDescent="0.25">
      <c r="A1400" s="76">
        <v>13</v>
      </c>
      <c r="B1400" s="3" t="s">
        <v>287</v>
      </c>
      <c r="C1400" s="2" t="s">
        <v>160</v>
      </c>
      <c r="D1400" s="1">
        <v>0</v>
      </c>
      <c r="E1400" s="1">
        <v>0</v>
      </c>
      <c r="F1400" s="1">
        <v>0</v>
      </c>
      <c r="G1400" s="1">
        <v>2</v>
      </c>
      <c r="H1400" s="4">
        <v>0.5</v>
      </c>
      <c r="I1400" s="1">
        <v>0</v>
      </c>
      <c r="J1400" s="4"/>
      <c r="K1400" s="1">
        <v>0</v>
      </c>
      <c r="L1400" s="1">
        <v>0</v>
      </c>
      <c r="M1400" s="32">
        <f>IF(Mecze[[#This Row],[PR]]=0,0,Mecze[[#This Row],[PR]]/Mecze[[#This Row],[CZAS]])</f>
        <v>0</v>
      </c>
      <c r="N1400" s="32">
        <f>IF(Mecze[[#This Row],[OU]]=0,0,Mecze[[#This Row],[OU]]/Mecze[[#This Row],[CZAS]])</f>
        <v>0</v>
      </c>
      <c r="O1400" s="32">
        <f>IF(Mecze[[#This Row],[PC]]=0,0,Mecze[[#This Row],[PC]]/Mecze[[#This Row],[CZAS]])</f>
        <v>1.0309278350515464E-2</v>
      </c>
      <c r="P1400" s="32">
        <f>IF(Mecze[[#This Row],[SC]]=0,0,Mecze[[#This Row],[SC]]/Mecze[[#This Row],[CZAS]])</f>
        <v>0</v>
      </c>
      <c r="Q1400" s="32">
        <f>IF(Mecze[[#This Row],[OB]]=0,0,Mecze[[#This Row],[OB]]/Mecze[[#This Row],[CZAS]])</f>
        <v>0</v>
      </c>
      <c r="R1400" s="32">
        <f>IF(Mecze[[#This Row],[BR]]=0,0,Mecze[[#This Row],[BR]]/Mecze[[#This Row],[CZAS]])</f>
        <v>0</v>
      </c>
      <c r="S1400" s="44">
        <f>IF(Mecze[[#This Row],[Role]]="BR",SUMPRODUCT(Mecze[[#This Row],[/PR:90]:[/BR:90]],Brudnopis!$E$23:$J$23),0)</f>
        <v>0</v>
      </c>
      <c r="T1400" s="44">
        <f>IF(Mecze[[#This Row],[Role]]&lt;&gt;"BR",SUMPRODUCT(Mecze[[#This Row],[/PR:90]:[/BR:90]],Brudnopis!$E$24:$J$24),0)</f>
        <v>1.0309278350515464E-2</v>
      </c>
      <c r="U1400" s="44">
        <f>IF(Mecze[[#This Row],[Role]]&lt;&gt;"BR",SUMPRODUCT(Mecze[[#This Row],[/PR:90]:[/BR:90]],Brudnopis!$E$25:$J$25),0)</f>
        <v>1.5463917525773196E-2</v>
      </c>
      <c r="V1400" s="44">
        <f>IF(Mecze[[#This Row],[Role]]&lt;&gt;"BR",SUMPRODUCT(Mecze[[#This Row],[/PR:90]:[/BR:90]],Brudnopis!$E$26:$J$26),0)</f>
        <v>1.0309278350515464E-2</v>
      </c>
      <c r="W1400" s="44">
        <f>IF(Mecze[[#This Row],[Role]]&lt;&gt;"BR",SUMPRODUCT(Mecze[[#This Row],[/PR:90]:[/BR:90]],Brudnopis!$E$27:$J$27),0)</f>
        <v>1.5463917525773196E-2</v>
      </c>
      <c r="X1400" s="44">
        <f>IF(Mecze[[#This Row],[Role]]&lt;&gt;"BR",SUMPRODUCT(Mecze[[#This Row],[/PR:90]:[/BR:90]],Brudnopis!$E$28:$J$28),0)</f>
        <v>1.0309278350515464E-2</v>
      </c>
      <c r="Y1400" s="35">
        <f>IF(Mecze[[#This Row],[Role]]="BR",Mecze[[#This Row],[/OB:90]]+Mecze[[#This Row],[/PC:90]],SUM(Mecze[[#This Row],[/PR:90]:[/BR:90]]))</f>
        <v>1.0309278350515464E-2</v>
      </c>
      <c r="Z1400" s="35">
        <f>IF(Mecze[[#This Row],[KC]]=0,SUM(Mecze[[#This Row],[/BRI]:[/NPI]]),SUM(Mecze[[#This Row],[/BRI]:[/NPI]])*0.6)</f>
        <v>6.1855670103092779E-2</v>
      </c>
      <c r="AA1400" s="10">
        <f>IFERROR(Mecze[[#This Row],[BR]]/Mecze[[#This Row],[ST]],0)</f>
        <v>0</v>
      </c>
      <c r="AB1400">
        <f>ROUND(Mecze[[#This Row],[PD]]*Mecze[[#This Row],[%PC]],0)</f>
        <v>1</v>
      </c>
      <c r="AC1400">
        <f>ROUND(Mecze[[#This Row],[OD]]*Mecze[[#This Row],[%OU]],0)</f>
        <v>0</v>
      </c>
      <c r="AD1400" s="36" t="s">
        <v>171</v>
      </c>
      <c r="AE1400" s="36">
        <v>76</v>
      </c>
      <c r="AF1400" s="71">
        <v>4.84</v>
      </c>
      <c r="AG1400" s="37">
        <v>0</v>
      </c>
      <c r="AH1400" s="37">
        <v>0</v>
      </c>
      <c r="AI1400" s="37">
        <v>97</v>
      </c>
      <c r="AJ1400" s="37">
        <v>4</v>
      </c>
      <c r="AK1400" s="37" t="str">
        <f>VLOOKUP(Mecze[[#This Row],[Match ID]],Meczusie[Mecz]:Meczusie[RodzajMeczu],2,FALSE)</f>
        <v>Liga</v>
      </c>
    </row>
    <row r="1401" spans="1:37" x14ac:dyDescent="0.25">
      <c r="A1401" s="76">
        <v>15</v>
      </c>
      <c r="B1401" s="3" t="s">
        <v>286</v>
      </c>
      <c r="C1401" s="2" t="s">
        <v>165</v>
      </c>
      <c r="D1401" s="1">
        <v>0</v>
      </c>
      <c r="E1401" s="1">
        <v>0</v>
      </c>
      <c r="F1401" s="1">
        <v>0</v>
      </c>
      <c r="G1401" s="1">
        <v>1</v>
      </c>
      <c r="H1401" s="4">
        <v>1</v>
      </c>
      <c r="I1401" s="1">
        <v>0</v>
      </c>
      <c r="J1401" s="4"/>
      <c r="K1401" s="1">
        <v>0</v>
      </c>
      <c r="L1401" s="1">
        <v>1</v>
      </c>
      <c r="M1401" s="32">
        <f>IF(Mecze[[#This Row],[PR]]=0,0,Mecze[[#This Row],[PR]]/Mecze[[#This Row],[CZAS]])</f>
        <v>1.0309278350515464E-2</v>
      </c>
      <c r="N1401" s="32">
        <f>IF(Mecze[[#This Row],[OU]]=0,0,Mecze[[#This Row],[OU]]/Mecze[[#This Row],[CZAS]])</f>
        <v>0</v>
      </c>
      <c r="O1401" s="32">
        <f>IF(Mecze[[#This Row],[PC]]=0,0,Mecze[[#This Row],[PC]]/Mecze[[#This Row],[CZAS]])</f>
        <v>1.0309278350515464E-2</v>
      </c>
      <c r="P1401" s="32">
        <f>IF(Mecze[[#This Row],[SC]]=0,0,Mecze[[#This Row],[SC]]/Mecze[[#This Row],[CZAS]])</f>
        <v>0</v>
      </c>
      <c r="Q1401" s="32">
        <f>IF(Mecze[[#This Row],[OB]]=0,0,Mecze[[#This Row],[OB]]/Mecze[[#This Row],[CZAS]])</f>
        <v>0</v>
      </c>
      <c r="R1401" s="32">
        <f>IF(Mecze[[#This Row],[BR]]=0,0,Mecze[[#This Row],[BR]]/Mecze[[#This Row],[CZAS]])</f>
        <v>0</v>
      </c>
      <c r="S1401" s="44">
        <f>IF(Mecze[[#This Row],[Role]]="BR",SUMPRODUCT(Mecze[[#This Row],[/PR:90]:[/BR:90]],Brudnopis!$E$23:$J$23),0)</f>
        <v>0</v>
      </c>
      <c r="T1401" s="44">
        <f>IF(Mecze[[#This Row],[Role]]&lt;&gt;"BR",SUMPRODUCT(Mecze[[#This Row],[/PR:90]:[/BR:90]],Brudnopis!$E$24:$J$24),0)</f>
        <v>2.0618556701030927E-2</v>
      </c>
      <c r="U1401" s="44">
        <f>IF(Mecze[[#This Row],[Role]]&lt;&gt;"BR",SUMPRODUCT(Mecze[[#This Row],[/PR:90]:[/BR:90]],Brudnopis!$E$25:$J$25),0)</f>
        <v>2.5773195876288658E-2</v>
      </c>
      <c r="V1401" s="44">
        <f>IF(Mecze[[#This Row],[Role]]&lt;&gt;"BR",SUMPRODUCT(Mecze[[#This Row],[/PR:90]:[/BR:90]],Brudnopis!$E$26:$J$26),0)</f>
        <v>2.0618556701030927E-2</v>
      </c>
      <c r="W1401" s="44">
        <f>IF(Mecze[[#This Row],[Role]]&lt;&gt;"BR",SUMPRODUCT(Mecze[[#This Row],[/PR:90]:[/BR:90]],Brudnopis!$E$27:$J$27),0)</f>
        <v>2.3195876288659795E-2</v>
      </c>
      <c r="X1401" s="44">
        <f>IF(Mecze[[#This Row],[Role]]&lt;&gt;"BR",SUMPRODUCT(Mecze[[#This Row],[/PR:90]:[/BR:90]],Brudnopis!$E$28:$J$28),0)</f>
        <v>1.0309278350515464E-2</v>
      </c>
      <c r="Y1401" s="35">
        <f>IF(Mecze[[#This Row],[Role]]="BR",Mecze[[#This Row],[/OB:90]]+Mecze[[#This Row],[/PC:90]],SUM(Mecze[[#This Row],[/PR:90]:[/BR:90]]))</f>
        <v>2.0618556701030927E-2</v>
      </c>
      <c r="Z1401" s="35">
        <f>IF(Mecze[[#This Row],[KC]]=0,SUM(Mecze[[#This Row],[/BRI]:[/NPI]]),SUM(Mecze[[#This Row],[/BRI]:[/NPI]])*0.6)</f>
        <v>0.10051546391752578</v>
      </c>
      <c r="AA1401" s="10">
        <f>IFERROR(Mecze[[#This Row],[BR]]/Mecze[[#This Row],[ST]],0)</f>
        <v>0</v>
      </c>
      <c r="AB1401">
        <f>ROUND(Mecze[[#This Row],[PD]]*Mecze[[#This Row],[%PC]],0)</f>
        <v>1</v>
      </c>
      <c r="AC1401">
        <f>ROUND(Mecze[[#This Row],[OD]]*Mecze[[#This Row],[%OU]],0)</f>
        <v>0</v>
      </c>
      <c r="AD1401" s="36" t="s">
        <v>46</v>
      </c>
      <c r="AE1401" s="36">
        <v>76</v>
      </c>
      <c r="AF1401" s="71">
        <v>1.72</v>
      </c>
      <c r="AG1401" s="37">
        <v>0</v>
      </c>
      <c r="AH1401" s="37">
        <v>0</v>
      </c>
      <c r="AI1401" s="37">
        <v>97</v>
      </c>
      <c r="AJ1401" s="37">
        <v>4</v>
      </c>
      <c r="AK1401" s="37" t="str">
        <f>VLOOKUP(Mecze[[#This Row],[Match ID]],Meczusie[Mecz]:Meczusie[RodzajMeczu],2,FALSE)</f>
        <v>Liga</v>
      </c>
    </row>
    <row r="1402" spans="1:37" x14ac:dyDescent="0.25">
      <c r="A1402" s="76">
        <v>1</v>
      </c>
      <c r="B1402" s="3" t="s">
        <v>344</v>
      </c>
      <c r="C1402" s="2" t="s">
        <v>155</v>
      </c>
      <c r="D1402" s="1">
        <v>0</v>
      </c>
      <c r="E1402" s="1">
        <v>0</v>
      </c>
      <c r="F1402" s="1">
        <v>0</v>
      </c>
      <c r="G1402" s="1">
        <v>15</v>
      </c>
      <c r="H1402" s="4">
        <v>0.53</v>
      </c>
      <c r="I1402" s="1">
        <v>0</v>
      </c>
      <c r="J1402" s="4"/>
      <c r="K1402" s="1">
        <v>17</v>
      </c>
      <c r="L1402" s="1">
        <v>0</v>
      </c>
      <c r="M1402" s="32">
        <f>IF(Mecze[[#This Row],[PR]]=0,0,Mecze[[#This Row],[PR]]/Mecze[[#This Row],[CZAS]])</f>
        <v>0</v>
      </c>
      <c r="N1402" s="32">
        <f>IF(Mecze[[#This Row],[OU]]=0,0,Mecze[[#This Row],[OU]]/Mecze[[#This Row],[CZAS]])</f>
        <v>0</v>
      </c>
      <c r="O1402" s="32">
        <f>IF(Mecze[[#This Row],[PC]]=0,0,Mecze[[#This Row],[PC]]/Mecze[[#This Row],[CZAS]])</f>
        <v>8.247422680412371E-2</v>
      </c>
      <c r="P1402" s="32">
        <f>IF(Mecze[[#This Row],[SC]]=0,0,Mecze[[#This Row],[SC]]/Mecze[[#This Row],[CZAS]])</f>
        <v>0</v>
      </c>
      <c r="Q1402" s="32">
        <f>IF(Mecze[[#This Row],[OB]]=0,0,Mecze[[#This Row],[OB]]/Mecze[[#This Row],[CZAS]])</f>
        <v>0.17525773195876287</v>
      </c>
      <c r="R1402" s="32">
        <f>IF(Mecze[[#This Row],[BR]]=0,0,Mecze[[#This Row],[BR]]/Mecze[[#This Row],[CZAS]])</f>
        <v>0</v>
      </c>
      <c r="S1402" s="44">
        <f>IF(Mecze[[#This Row],[Role]]="BR",SUMPRODUCT(Mecze[[#This Row],[/PR:90]:[/BR:90]],Brudnopis!$E$23:$J$23),0)</f>
        <v>0.77319587628865971</v>
      </c>
      <c r="T1402" s="44">
        <f>IF(Mecze[[#This Row],[Role]]&lt;&gt;"BR",SUMPRODUCT(Mecze[[#This Row],[/PR:90]:[/BR:90]],Brudnopis!$E$24:$J$24),0)</f>
        <v>0</v>
      </c>
      <c r="U1402" s="44">
        <f>IF(Mecze[[#This Row],[Role]]&lt;&gt;"BR",SUMPRODUCT(Mecze[[#This Row],[/PR:90]:[/BR:90]],Brudnopis!$E$25:$J$25),0)</f>
        <v>0</v>
      </c>
      <c r="V1402" s="44">
        <f>IF(Mecze[[#This Row],[Role]]&lt;&gt;"BR",SUMPRODUCT(Mecze[[#This Row],[/PR:90]:[/BR:90]],Brudnopis!$E$26:$J$26),0)</f>
        <v>0</v>
      </c>
      <c r="W1402" s="44">
        <f>IF(Mecze[[#This Row],[Role]]&lt;&gt;"BR",SUMPRODUCT(Mecze[[#This Row],[/PR:90]:[/BR:90]],Brudnopis!$E$27:$J$27),0)</f>
        <v>0</v>
      </c>
      <c r="X1402" s="44">
        <f>IF(Mecze[[#This Row],[Role]]&lt;&gt;"BR",SUMPRODUCT(Mecze[[#This Row],[/PR:90]:[/BR:90]],Brudnopis!$E$28:$J$28),0)</f>
        <v>0</v>
      </c>
      <c r="Y1402" s="35">
        <f>IF(Mecze[[#This Row],[Role]]="BR",Mecze[[#This Row],[/OB:90]]+Mecze[[#This Row],[/PC:90]],SUM(Mecze[[#This Row],[/PR:90]:[/BR:90]]))</f>
        <v>0.25773195876288657</v>
      </c>
      <c r="Z1402" s="35">
        <f>IF(Mecze[[#This Row],[KC]]=0,SUM(Mecze[[#This Row],[/BRI]:[/NPI]]),SUM(Mecze[[#This Row],[/BRI]:[/NPI]])*0.6)</f>
        <v>0.77319587628865971</v>
      </c>
      <c r="AA1402" s="10">
        <f>IFERROR(Mecze[[#This Row],[BR]]/Mecze[[#This Row],[ST]],0)</f>
        <v>0</v>
      </c>
      <c r="AB1402">
        <f>ROUND(Mecze[[#This Row],[PD]]*Mecze[[#This Row],[%PC]],0)</f>
        <v>8</v>
      </c>
      <c r="AC1402">
        <f>ROUND(Mecze[[#This Row],[OD]]*Mecze[[#This Row],[%OU]],0)</f>
        <v>0</v>
      </c>
      <c r="AD1402" s="36" t="s">
        <v>40</v>
      </c>
      <c r="AE1402" s="36">
        <v>77</v>
      </c>
      <c r="AF1402" s="71">
        <v>9.8699999999999992</v>
      </c>
      <c r="AG1402" s="37">
        <v>0</v>
      </c>
      <c r="AH1402" s="37">
        <v>0</v>
      </c>
      <c r="AI1402" s="37">
        <v>97</v>
      </c>
      <c r="AJ1402" s="37">
        <v>5</v>
      </c>
      <c r="AK1402" s="37" t="str">
        <f>VLOOKUP(Mecze[[#This Row],[Match ID]],Meczusie[Mecz]:Meczusie[RodzajMeczu],2,FALSE)</f>
        <v>Liga</v>
      </c>
    </row>
    <row r="1403" spans="1:37" x14ac:dyDescent="0.25">
      <c r="A1403" s="76">
        <v>2</v>
      </c>
      <c r="B1403" s="3" t="s">
        <v>345</v>
      </c>
      <c r="C1403" s="2" t="s">
        <v>157</v>
      </c>
      <c r="D1403" s="1">
        <v>0</v>
      </c>
      <c r="E1403" s="1">
        <v>0</v>
      </c>
      <c r="F1403" s="1">
        <v>0</v>
      </c>
      <c r="G1403" s="1">
        <v>11</v>
      </c>
      <c r="H1403" s="4">
        <v>0.64</v>
      </c>
      <c r="I1403" s="1">
        <v>13</v>
      </c>
      <c r="J1403" s="4">
        <v>0.54</v>
      </c>
      <c r="K1403" s="1">
        <v>0</v>
      </c>
      <c r="L1403" s="1">
        <v>8</v>
      </c>
      <c r="M1403" s="32">
        <f>IF(Mecze[[#This Row],[PR]]=0,0,Mecze[[#This Row],[PR]]/Mecze[[#This Row],[CZAS]])</f>
        <v>8.247422680412371E-2</v>
      </c>
      <c r="N1403" s="32">
        <f>IF(Mecze[[#This Row],[OU]]=0,0,Mecze[[#This Row],[OU]]/Mecze[[#This Row],[CZAS]])</f>
        <v>7.2164948453608241E-2</v>
      </c>
      <c r="O1403" s="32">
        <f>IF(Mecze[[#This Row],[PC]]=0,0,Mecze[[#This Row],[PC]]/Mecze[[#This Row],[CZAS]])</f>
        <v>7.2164948453608241E-2</v>
      </c>
      <c r="P1403" s="32">
        <f>IF(Mecze[[#This Row],[SC]]=0,0,Mecze[[#This Row],[SC]]/Mecze[[#This Row],[CZAS]])</f>
        <v>0</v>
      </c>
      <c r="Q1403" s="32">
        <f>IF(Mecze[[#This Row],[OB]]=0,0,Mecze[[#This Row],[OB]]/Mecze[[#This Row],[CZAS]])</f>
        <v>0</v>
      </c>
      <c r="R1403" s="32">
        <f>IF(Mecze[[#This Row],[BR]]=0,0,Mecze[[#This Row],[BR]]/Mecze[[#This Row],[CZAS]])</f>
        <v>0</v>
      </c>
      <c r="S1403" s="44">
        <f>IF(Mecze[[#This Row],[Role]]="BR",SUMPRODUCT(Mecze[[#This Row],[/PR:90]:[/BR:90]],Brudnopis!$E$23:$J$23),0)</f>
        <v>0</v>
      </c>
      <c r="T1403" s="44">
        <f>IF(Mecze[[#This Row],[Role]]&lt;&gt;"BR",SUMPRODUCT(Mecze[[#This Row],[/PR:90]:[/BR:90]],Brudnopis!$E$24:$J$24),0)</f>
        <v>0.26288659793814428</v>
      </c>
      <c r="U1403" s="44">
        <f>IF(Mecze[[#This Row],[Role]]&lt;&gt;"BR",SUMPRODUCT(Mecze[[#This Row],[/PR:90]:[/BR:90]],Brudnopis!$E$25:$J$25),0)</f>
        <v>0.26288659793814434</v>
      </c>
      <c r="V1403" s="44">
        <f>IF(Mecze[[#This Row],[Role]]&lt;&gt;"BR",SUMPRODUCT(Mecze[[#This Row],[/PR:90]:[/BR:90]],Brudnopis!$E$26:$J$26),0)</f>
        <v>0.22680412371134021</v>
      </c>
      <c r="W1403" s="44">
        <f>IF(Mecze[[#This Row],[Role]]&lt;&gt;"BR",SUMPRODUCT(Mecze[[#This Row],[/PR:90]:[/BR:90]],Brudnopis!$E$27:$J$27),0)</f>
        <v>0.22422680412371132</v>
      </c>
      <c r="X1403" s="44">
        <f>IF(Mecze[[#This Row],[Role]]&lt;&gt;"BR",SUMPRODUCT(Mecze[[#This Row],[/PR:90]:[/BR:90]],Brudnopis!$E$28:$J$28),0)</f>
        <v>7.2164948453608241E-2</v>
      </c>
      <c r="Y1403" s="35">
        <f>IF(Mecze[[#This Row],[Role]]="BR",Mecze[[#This Row],[/OB:90]]+Mecze[[#This Row],[/PC:90]],SUM(Mecze[[#This Row],[/PR:90]:[/BR:90]]))</f>
        <v>0.22680412371134021</v>
      </c>
      <c r="Z1403" s="35">
        <f>IF(Mecze[[#This Row],[KC]]=0,SUM(Mecze[[#This Row],[/BRI]:[/NPI]]),SUM(Mecze[[#This Row],[/BRI]:[/NPI]])*0.6)</f>
        <v>1.0489690721649483</v>
      </c>
      <c r="AA1403" s="10">
        <f>IFERROR(Mecze[[#This Row],[BR]]/Mecze[[#This Row],[ST]],0)</f>
        <v>0</v>
      </c>
      <c r="AB1403">
        <f>ROUND(Mecze[[#This Row],[PD]]*Mecze[[#This Row],[%PC]],0)</f>
        <v>7</v>
      </c>
      <c r="AC1403">
        <f>ROUND(Mecze[[#This Row],[OD]]*Mecze[[#This Row],[%OU]],0)</f>
        <v>7</v>
      </c>
      <c r="AD1403" s="36" t="s">
        <v>47</v>
      </c>
      <c r="AE1403" s="36">
        <v>77</v>
      </c>
      <c r="AF1403" s="71">
        <v>5.5</v>
      </c>
      <c r="AG1403" s="37">
        <v>0</v>
      </c>
      <c r="AH1403" s="37">
        <v>0</v>
      </c>
      <c r="AI1403" s="37">
        <v>97</v>
      </c>
      <c r="AJ1403" s="37">
        <v>5</v>
      </c>
      <c r="AK1403" s="37" t="str">
        <f>VLOOKUP(Mecze[[#This Row],[Match ID]],Meczusie[Mecz]:Meczusie[RodzajMeczu],2,FALSE)</f>
        <v>Liga</v>
      </c>
    </row>
    <row r="1404" spans="1:37" x14ac:dyDescent="0.25">
      <c r="A1404" s="76">
        <v>4</v>
      </c>
      <c r="B1404" s="3" t="s">
        <v>346</v>
      </c>
      <c r="C1404" s="2" t="s">
        <v>157</v>
      </c>
      <c r="D1404" s="1">
        <v>0</v>
      </c>
      <c r="E1404" s="1">
        <v>0</v>
      </c>
      <c r="F1404" s="1">
        <v>0</v>
      </c>
      <c r="G1404" s="1">
        <v>14</v>
      </c>
      <c r="H1404" s="4">
        <v>0.64</v>
      </c>
      <c r="I1404" s="1">
        <v>5</v>
      </c>
      <c r="J1404" s="4">
        <v>0.4</v>
      </c>
      <c r="K1404" s="1">
        <v>0</v>
      </c>
      <c r="L1404" s="1">
        <v>6</v>
      </c>
      <c r="M1404" s="32">
        <f>IF(Mecze[[#This Row],[PR]]=0,0,Mecze[[#This Row],[PR]]/Mecze[[#This Row],[CZAS]])</f>
        <v>6.1855670103092786E-2</v>
      </c>
      <c r="N1404" s="32">
        <f>IF(Mecze[[#This Row],[OU]]=0,0,Mecze[[#This Row],[OU]]/Mecze[[#This Row],[CZAS]])</f>
        <v>2.0618556701030927E-2</v>
      </c>
      <c r="O1404" s="32">
        <f>IF(Mecze[[#This Row],[PC]]=0,0,Mecze[[#This Row],[PC]]/Mecze[[#This Row],[CZAS]])</f>
        <v>9.2783505154639179E-2</v>
      </c>
      <c r="P1404" s="32">
        <f>IF(Mecze[[#This Row],[SC]]=0,0,Mecze[[#This Row],[SC]]/Mecze[[#This Row],[CZAS]])</f>
        <v>0</v>
      </c>
      <c r="Q1404" s="32">
        <f>IF(Mecze[[#This Row],[OB]]=0,0,Mecze[[#This Row],[OB]]/Mecze[[#This Row],[CZAS]])</f>
        <v>0</v>
      </c>
      <c r="R1404" s="32">
        <f>IF(Mecze[[#This Row],[BR]]=0,0,Mecze[[#This Row],[BR]]/Mecze[[#This Row],[CZAS]])</f>
        <v>0</v>
      </c>
      <c r="S1404" s="44">
        <f>IF(Mecze[[#This Row],[Role]]="BR",SUMPRODUCT(Mecze[[#This Row],[/PR:90]:[/BR:90]],Brudnopis!$E$23:$J$23),0)</f>
        <v>0</v>
      </c>
      <c r="T1404" s="44">
        <f>IF(Mecze[[#This Row],[Role]]&lt;&gt;"BR",SUMPRODUCT(Mecze[[#This Row],[/PR:90]:[/BR:90]],Brudnopis!$E$24:$J$24),0)</f>
        <v>0.18556701030927836</v>
      </c>
      <c r="U1404" s="44">
        <f>IF(Mecze[[#This Row],[Role]]&lt;&gt;"BR",SUMPRODUCT(Mecze[[#This Row],[/PR:90]:[/BR:90]],Brudnopis!$E$25:$J$25),0)</f>
        <v>0.22164948453608246</v>
      </c>
      <c r="V1404" s="44">
        <f>IF(Mecze[[#This Row],[Role]]&lt;&gt;"BR",SUMPRODUCT(Mecze[[#This Row],[/PR:90]:[/BR:90]],Brudnopis!$E$26:$J$26),0)</f>
        <v>0.17525773195876287</v>
      </c>
      <c r="W1404" s="44">
        <f>IF(Mecze[[#This Row],[Role]]&lt;&gt;"BR",SUMPRODUCT(Mecze[[#This Row],[/PR:90]:[/BR:90]],Brudnopis!$E$27:$J$27),0)</f>
        <v>0.20103092783505155</v>
      </c>
      <c r="X1404" s="44">
        <f>IF(Mecze[[#This Row],[Role]]&lt;&gt;"BR",SUMPRODUCT(Mecze[[#This Row],[/PR:90]:[/BR:90]],Brudnopis!$E$28:$J$28),0)</f>
        <v>9.2783505154639179E-2</v>
      </c>
      <c r="Y1404" s="35">
        <f>IF(Mecze[[#This Row],[Role]]="BR",Mecze[[#This Row],[/OB:90]]+Mecze[[#This Row],[/PC:90]],SUM(Mecze[[#This Row],[/PR:90]:[/BR:90]]))</f>
        <v>0.17525773195876287</v>
      </c>
      <c r="Z1404" s="35">
        <f>IF(Mecze[[#This Row],[KC]]=0,SUM(Mecze[[#This Row],[/BRI]:[/NPI]]),SUM(Mecze[[#This Row],[/BRI]:[/NPI]])*0.6)</f>
        <v>0.87628865979381432</v>
      </c>
      <c r="AA1404" s="10">
        <f>IFERROR(Mecze[[#This Row],[BR]]/Mecze[[#This Row],[ST]],0)</f>
        <v>0</v>
      </c>
      <c r="AB1404">
        <f>ROUND(Mecze[[#This Row],[PD]]*Mecze[[#This Row],[%PC]],0)</f>
        <v>9</v>
      </c>
      <c r="AC1404">
        <f>ROUND(Mecze[[#This Row],[OD]]*Mecze[[#This Row],[%OU]],0)</f>
        <v>2</v>
      </c>
      <c r="AD1404" s="36" t="s">
        <v>47</v>
      </c>
      <c r="AE1404" s="36">
        <v>77</v>
      </c>
      <c r="AF1404" s="71">
        <v>3.96</v>
      </c>
      <c r="AG1404" s="37">
        <v>0</v>
      </c>
      <c r="AH1404" s="37">
        <v>0</v>
      </c>
      <c r="AI1404" s="37">
        <v>97</v>
      </c>
      <c r="AJ1404" s="37">
        <v>5</v>
      </c>
      <c r="AK1404" s="37" t="str">
        <f>VLOOKUP(Mecze[[#This Row],[Match ID]],Meczusie[Mecz]:Meczusie[RodzajMeczu],2,FALSE)</f>
        <v>Liga</v>
      </c>
    </row>
    <row r="1405" spans="1:37" x14ac:dyDescent="0.25">
      <c r="A1405" s="76">
        <v>5</v>
      </c>
      <c r="B1405" s="3" t="s">
        <v>347</v>
      </c>
      <c r="C1405" s="2" t="s">
        <v>157</v>
      </c>
      <c r="D1405" s="1">
        <v>0</v>
      </c>
      <c r="E1405" s="1">
        <v>0</v>
      </c>
      <c r="F1405" s="1">
        <v>0</v>
      </c>
      <c r="G1405" s="1">
        <v>6</v>
      </c>
      <c r="H1405" s="4">
        <v>0.83</v>
      </c>
      <c r="I1405" s="1">
        <v>4</v>
      </c>
      <c r="J1405" s="4">
        <v>0.25</v>
      </c>
      <c r="K1405" s="1">
        <v>0</v>
      </c>
      <c r="L1405" s="1">
        <v>1</v>
      </c>
      <c r="M1405" s="32">
        <f>IF(Mecze[[#This Row],[PR]]=0,0,Mecze[[#This Row],[PR]]/Mecze[[#This Row],[CZAS]])</f>
        <v>1.0309278350515464E-2</v>
      </c>
      <c r="N1405" s="32">
        <f>IF(Mecze[[#This Row],[OU]]=0,0,Mecze[[#This Row],[OU]]/Mecze[[#This Row],[CZAS]])</f>
        <v>1.0309278350515464E-2</v>
      </c>
      <c r="O1405" s="32">
        <f>IF(Mecze[[#This Row],[PC]]=0,0,Mecze[[#This Row],[PC]]/Mecze[[#This Row],[CZAS]])</f>
        <v>5.1546391752577317E-2</v>
      </c>
      <c r="P1405" s="32">
        <f>IF(Mecze[[#This Row],[SC]]=0,0,Mecze[[#This Row],[SC]]/Mecze[[#This Row],[CZAS]])</f>
        <v>0</v>
      </c>
      <c r="Q1405" s="32">
        <f>IF(Mecze[[#This Row],[OB]]=0,0,Mecze[[#This Row],[OB]]/Mecze[[#This Row],[CZAS]])</f>
        <v>0</v>
      </c>
      <c r="R1405" s="32">
        <f>IF(Mecze[[#This Row],[BR]]=0,0,Mecze[[#This Row],[BR]]/Mecze[[#This Row],[CZAS]])</f>
        <v>0</v>
      </c>
      <c r="S1405" s="44">
        <f>IF(Mecze[[#This Row],[Role]]="BR",SUMPRODUCT(Mecze[[#This Row],[/PR:90]:[/BR:90]],Brudnopis!$E$23:$J$23),0)</f>
        <v>0</v>
      </c>
      <c r="T1405" s="44">
        <f>IF(Mecze[[#This Row],[Role]]&lt;&gt;"BR",SUMPRODUCT(Mecze[[#This Row],[/PR:90]:[/BR:90]],Brudnopis!$E$24:$J$24),0)</f>
        <v>7.7319587628865982E-2</v>
      </c>
      <c r="U1405" s="44">
        <f>IF(Mecze[[#This Row],[Role]]&lt;&gt;"BR",SUMPRODUCT(Mecze[[#This Row],[/PR:90]:[/BR:90]],Brudnopis!$E$25:$J$25),0)</f>
        <v>9.7938144329896906E-2</v>
      </c>
      <c r="V1405" s="44">
        <f>IF(Mecze[[#This Row],[Role]]&lt;&gt;"BR",SUMPRODUCT(Mecze[[#This Row],[/PR:90]:[/BR:90]],Brudnopis!$E$26:$J$26),0)</f>
        <v>7.2164948453608241E-2</v>
      </c>
      <c r="W1405" s="44">
        <f>IF(Mecze[[#This Row],[Role]]&lt;&gt;"BR",SUMPRODUCT(Mecze[[#This Row],[/PR:90]:[/BR:90]],Brudnopis!$E$27:$J$27),0)</f>
        <v>9.2783505154639179E-2</v>
      </c>
      <c r="X1405" s="44">
        <f>IF(Mecze[[#This Row],[Role]]&lt;&gt;"BR",SUMPRODUCT(Mecze[[#This Row],[/PR:90]:[/BR:90]],Brudnopis!$E$28:$J$28),0)</f>
        <v>5.1546391752577317E-2</v>
      </c>
      <c r="Y1405" s="35">
        <f>IF(Mecze[[#This Row],[Role]]="BR",Mecze[[#This Row],[/OB:90]]+Mecze[[#This Row],[/PC:90]],SUM(Mecze[[#This Row],[/PR:90]:[/BR:90]]))</f>
        <v>7.2164948453608241E-2</v>
      </c>
      <c r="Z1405" s="35">
        <f>IF(Mecze[[#This Row],[KC]]=0,SUM(Mecze[[#This Row],[/BRI]:[/NPI]]),SUM(Mecze[[#This Row],[/BRI]:[/NPI]])*0.6)</f>
        <v>0.39175257731958762</v>
      </c>
      <c r="AA1405" s="10">
        <f>IFERROR(Mecze[[#This Row],[BR]]/Mecze[[#This Row],[ST]],0)</f>
        <v>0</v>
      </c>
      <c r="AB1405">
        <f>ROUND(Mecze[[#This Row],[PD]]*Mecze[[#This Row],[%PC]],0)</f>
        <v>5</v>
      </c>
      <c r="AC1405">
        <f>ROUND(Mecze[[#This Row],[OD]]*Mecze[[#This Row],[%OU]],0)</f>
        <v>1</v>
      </c>
      <c r="AD1405" s="36" t="s">
        <v>175</v>
      </c>
      <c r="AE1405" s="36">
        <v>77</v>
      </c>
      <c r="AF1405" s="71">
        <v>2.91</v>
      </c>
      <c r="AG1405" s="37">
        <v>0</v>
      </c>
      <c r="AH1405" s="37">
        <v>0</v>
      </c>
      <c r="AI1405" s="37">
        <v>97</v>
      </c>
      <c r="AJ1405" s="37">
        <v>5</v>
      </c>
      <c r="AK1405" s="37" t="str">
        <f>VLOOKUP(Mecze[[#This Row],[Match ID]],Meczusie[Mecz]:Meczusie[RodzajMeczu],2,FALSE)</f>
        <v>Liga</v>
      </c>
    </row>
    <row r="1406" spans="1:37" x14ac:dyDescent="0.25">
      <c r="A1406" s="76">
        <v>3</v>
      </c>
      <c r="B1406" s="3" t="s">
        <v>348</v>
      </c>
      <c r="C1406" s="2" t="s">
        <v>157</v>
      </c>
      <c r="D1406" s="1">
        <v>0</v>
      </c>
      <c r="E1406" s="1">
        <v>0</v>
      </c>
      <c r="F1406" s="1">
        <v>0</v>
      </c>
      <c r="G1406" s="1">
        <v>14</v>
      </c>
      <c r="H1406" s="4">
        <v>0.71</v>
      </c>
      <c r="I1406" s="1">
        <v>7</v>
      </c>
      <c r="J1406" s="4">
        <v>1</v>
      </c>
      <c r="K1406" s="1">
        <v>0</v>
      </c>
      <c r="L1406" s="1">
        <v>9</v>
      </c>
      <c r="M1406" s="32">
        <f>IF(Mecze[[#This Row],[PR]]=0,0,Mecze[[#This Row],[PR]]/Mecze[[#This Row],[CZAS]])</f>
        <v>9.2783505154639179E-2</v>
      </c>
      <c r="N1406" s="32">
        <f>IF(Mecze[[#This Row],[OU]]=0,0,Mecze[[#This Row],[OU]]/Mecze[[#This Row],[CZAS]])</f>
        <v>7.2164948453608241E-2</v>
      </c>
      <c r="O1406" s="32">
        <f>IF(Mecze[[#This Row],[PC]]=0,0,Mecze[[#This Row],[PC]]/Mecze[[#This Row],[CZAS]])</f>
        <v>0.10309278350515463</v>
      </c>
      <c r="P1406" s="32">
        <f>IF(Mecze[[#This Row],[SC]]=0,0,Mecze[[#This Row],[SC]]/Mecze[[#This Row],[CZAS]])</f>
        <v>0</v>
      </c>
      <c r="Q1406" s="32">
        <f>IF(Mecze[[#This Row],[OB]]=0,0,Mecze[[#This Row],[OB]]/Mecze[[#This Row],[CZAS]])</f>
        <v>0</v>
      </c>
      <c r="R1406" s="32">
        <f>IF(Mecze[[#This Row],[BR]]=0,0,Mecze[[#This Row],[BR]]/Mecze[[#This Row],[CZAS]])</f>
        <v>0</v>
      </c>
      <c r="S1406" s="44">
        <f>IF(Mecze[[#This Row],[Role]]="BR",SUMPRODUCT(Mecze[[#This Row],[/PR:90]:[/BR:90]],Brudnopis!$E$23:$J$23),0)</f>
        <v>0</v>
      </c>
      <c r="T1406" s="44">
        <f>IF(Mecze[[#This Row],[Role]]&lt;&gt;"BR",SUMPRODUCT(Mecze[[#This Row],[/PR:90]:[/BR:90]],Brudnopis!$E$24:$J$24),0)</f>
        <v>0.30412371134020622</v>
      </c>
      <c r="U1406" s="44">
        <f>IF(Mecze[[#This Row],[Role]]&lt;&gt;"BR",SUMPRODUCT(Mecze[[#This Row],[/PR:90]:[/BR:90]],Brudnopis!$E$25:$J$25),0)</f>
        <v>0.31958762886597936</v>
      </c>
      <c r="V1406" s="44">
        <f>IF(Mecze[[#This Row],[Role]]&lt;&gt;"BR",SUMPRODUCT(Mecze[[#This Row],[/PR:90]:[/BR:90]],Brudnopis!$E$26:$J$26),0)</f>
        <v>0.26804123711340205</v>
      </c>
      <c r="W1406" s="44">
        <f>IF(Mecze[[#This Row],[Role]]&lt;&gt;"BR",SUMPRODUCT(Mecze[[#This Row],[/PR:90]:[/BR:90]],Brudnopis!$E$27:$J$27),0)</f>
        <v>0.27835051546391754</v>
      </c>
      <c r="X1406" s="44">
        <f>IF(Mecze[[#This Row],[Role]]&lt;&gt;"BR",SUMPRODUCT(Mecze[[#This Row],[/PR:90]:[/BR:90]],Brudnopis!$E$28:$J$28),0)</f>
        <v>0.10309278350515463</v>
      </c>
      <c r="Y1406" s="35">
        <f>IF(Mecze[[#This Row],[Role]]="BR",Mecze[[#This Row],[/OB:90]]+Mecze[[#This Row],[/PC:90]],SUM(Mecze[[#This Row],[/PR:90]:[/BR:90]]))</f>
        <v>0.26804123711340205</v>
      </c>
      <c r="Z1406" s="35">
        <f>IF(Mecze[[#This Row],[KC]]=0,SUM(Mecze[[#This Row],[/BRI]:[/NPI]]),SUM(Mecze[[#This Row],[/BRI]:[/NPI]])*0.6)</f>
        <v>1.2731958762886597</v>
      </c>
      <c r="AA1406" s="10">
        <f>IFERROR(Mecze[[#This Row],[BR]]/Mecze[[#This Row],[ST]],0)</f>
        <v>0</v>
      </c>
      <c r="AB1406">
        <f>ROUND(Mecze[[#This Row],[PD]]*Mecze[[#This Row],[%PC]],0)</f>
        <v>10</v>
      </c>
      <c r="AC1406">
        <f>ROUND(Mecze[[#This Row],[OD]]*Mecze[[#This Row],[%OU]],0)</f>
        <v>7</v>
      </c>
      <c r="AD1406" s="36" t="s">
        <v>174</v>
      </c>
      <c r="AE1406" s="36">
        <v>77</v>
      </c>
      <c r="AF1406" s="71">
        <v>7.74</v>
      </c>
      <c r="AG1406" s="37">
        <v>0</v>
      </c>
      <c r="AH1406" s="37">
        <v>0</v>
      </c>
      <c r="AI1406" s="37">
        <v>97</v>
      </c>
      <c r="AJ1406" s="37">
        <v>5</v>
      </c>
      <c r="AK1406" s="37" t="str">
        <f>VLOOKUP(Mecze[[#This Row],[Match ID]],Meczusie[Mecz]:Meczusie[RodzajMeczu],2,FALSE)</f>
        <v>Liga</v>
      </c>
    </row>
    <row r="1407" spans="1:37" x14ac:dyDescent="0.25">
      <c r="A1407" s="76">
        <v>6</v>
      </c>
      <c r="B1407" s="3" t="s">
        <v>349</v>
      </c>
      <c r="C1407" s="2" t="s">
        <v>160</v>
      </c>
      <c r="D1407" s="1">
        <v>0</v>
      </c>
      <c r="E1407" s="1">
        <v>0</v>
      </c>
      <c r="F1407" s="1">
        <v>0</v>
      </c>
      <c r="G1407" s="1">
        <v>11</v>
      </c>
      <c r="H1407" s="4">
        <v>0.91</v>
      </c>
      <c r="I1407" s="1">
        <v>13</v>
      </c>
      <c r="J1407" s="4">
        <v>0.38</v>
      </c>
      <c r="K1407" s="1">
        <v>0</v>
      </c>
      <c r="L1407" s="1">
        <v>0</v>
      </c>
      <c r="M1407" s="32">
        <f>IF(Mecze[[#This Row],[PR]]=0,0,Mecze[[#This Row],[PR]]/Mecze[[#This Row],[CZAS]])</f>
        <v>0</v>
      </c>
      <c r="N1407" s="32">
        <f>IF(Mecze[[#This Row],[OU]]=0,0,Mecze[[#This Row],[OU]]/Mecze[[#This Row],[CZAS]])</f>
        <v>5.1546391752577317E-2</v>
      </c>
      <c r="O1407" s="32">
        <f>IF(Mecze[[#This Row],[PC]]=0,0,Mecze[[#This Row],[PC]]/Mecze[[#This Row],[CZAS]])</f>
        <v>0.10309278350515463</v>
      </c>
      <c r="P1407" s="32">
        <f>IF(Mecze[[#This Row],[SC]]=0,0,Mecze[[#This Row],[SC]]/Mecze[[#This Row],[CZAS]])</f>
        <v>0</v>
      </c>
      <c r="Q1407" s="32">
        <f>IF(Mecze[[#This Row],[OB]]=0,0,Mecze[[#This Row],[OB]]/Mecze[[#This Row],[CZAS]])</f>
        <v>0</v>
      </c>
      <c r="R1407" s="32">
        <f>IF(Mecze[[#This Row],[BR]]=0,0,Mecze[[#This Row],[BR]]/Mecze[[#This Row],[CZAS]])</f>
        <v>0</v>
      </c>
      <c r="S1407" s="44">
        <f>IF(Mecze[[#This Row],[Role]]="BR",SUMPRODUCT(Mecze[[#This Row],[/PR:90]:[/BR:90]],Brudnopis!$E$23:$J$23),0)</f>
        <v>0</v>
      </c>
      <c r="T1407" s="44">
        <f>IF(Mecze[[#This Row],[Role]]&lt;&gt;"BR",SUMPRODUCT(Mecze[[#This Row],[/PR:90]:[/BR:90]],Brudnopis!$E$24:$J$24),0)</f>
        <v>0.18041237113402062</v>
      </c>
      <c r="U1407" s="44">
        <f>IF(Mecze[[#This Row],[Role]]&lt;&gt;"BR",SUMPRODUCT(Mecze[[#This Row],[/PR:90]:[/BR:90]],Brudnopis!$E$25:$J$25),0)</f>
        <v>0.20618556701030927</v>
      </c>
      <c r="V1407" s="44">
        <f>IF(Mecze[[#This Row],[Role]]&lt;&gt;"BR",SUMPRODUCT(Mecze[[#This Row],[/PR:90]:[/BR:90]],Brudnopis!$E$26:$J$26),0)</f>
        <v>0.15463917525773196</v>
      </c>
      <c r="W1407" s="44">
        <f>IF(Mecze[[#This Row],[Role]]&lt;&gt;"BR",SUMPRODUCT(Mecze[[#This Row],[/PR:90]:[/BR:90]],Brudnopis!$E$27:$J$27),0)</f>
        <v>0.19329896907216496</v>
      </c>
      <c r="X1407" s="44">
        <f>IF(Mecze[[#This Row],[Role]]&lt;&gt;"BR",SUMPRODUCT(Mecze[[#This Row],[/PR:90]:[/BR:90]],Brudnopis!$E$28:$J$28),0)</f>
        <v>0.10309278350515463</v>
      </c>
      <c r="Y1407" s="35">
        <f>IF(Mecze[[#This Row],[Role]]="BR",Mecze[[#This Row],[/OB:90]]+Mecze[[#This Row],[/PC:90]],SUM(Mecze[[#This Row],[/PR:90]:[/BR:90]]))</f>
        <v>0.15463917525773196</v>
      </c>
      <c r="Z1407" s="35">
        <f>IF(Mecze[[#This Row],[KC]]=0,SUM(Mecze[[#This Row],[/BRI]:[/NPI]]),SUM(Mecze[[#This Row],[/BRI]:[/NPI]])*0.6)</f>
        <v>0.83762886597938135</v>
      </c>
      <c r="AA1407" s="10">
        <f>IFERROR(Mecze[[#This Row],[BR]]/Mecze[[#This Row],[ST]],0)</f>
        <v>0</v>
      </c>
      <c r="AB1407">
        <f>ROUND(Mecze[[#This Row],[PD]]*Mecze[[#This Row],[%PC]],0)</f>
        <v>10</v>
      </c>
      <c r="AC1407">
        <f>ROUND(Mecze[[#This Row],[OD]]*Mecze[[#This Row],[%OU]],0)</f>
        <v>5</v>
      </c>
      <c r="AD1407" s="36" t="s">
        <v>41</v>
      </c>
      <c r="AE1407" s="36">
        <v>77</v>
      </c>
      <c r="AF1407" s="71">
        <v>4.82</v>
      </c>
      <c r="AG1407" s="37">
        <v>0</v>
      </c>
      <c r="AH1407" s="37">
        <v>0</v>
      </c>
      <c r="AI1407" s="37">
        <v>97</v>
      </c>
      <c r="AJ1407" s="37">
        <v>5</v>
      </c>
      <c r="AK1407" s="37" t="str">
        <f>VLOOKUP(Mecze[[#This Row],[Match ID]],Meczusie[Mecz]:Meczusie[RodzajMeczu],2,FALSE)</f>
        <v>Liga</v>
      </c>
    </row>
    <row r="1408" spans="1:37" x14ac:dyDescent="0.25">
      <c r="A1408" s="76">
        <v>7</v>
      </c>
      <c r="B1408" s="3" t="s">
        <v>350</v>
      </c>
      <c r="C1408" s="2" t="s">
        <v>160</v>
      </c>
      <c r="D1408" s="1">
        <v>0</v>
      </c>
      <c r="E1408" s="1">
        <v>2</v>
      </c>
      <c r="F1408" s="1">
        <v>2</v>
      </c>
      <c r="G1408" s="1">
        <v>12</v>
      </c>
      <c r="H1408" s="4">
        <v>0.5</v>
      </c>
      <c r="I1408" s="1">
        <v>3</v>
      </c>
      <c r="J1408" s="4">
        <v>0.67</v>
      </c>
      <c r="K1408" s="1">
        <v>0</v>
      </c>
      <c r="L1408" s="1">
        <v>3</v>
      </c>
      <c r="M1408" s="32">
        <f>IF(Mecze[[#This Row],[PR]]=0,0,Mecze[[#This Row],[PR]]/Mecze[[#This Row],[CZAS]])</f>
        <v>3.0927835051546393E-2</v>
      </c>
      <c r="N1408" s="32">
        <f>IF(Mecze[[#This Row],[OU]]=0,0,Mecze[[#This Row],[OU]]/Mecze[[#This Row],[CZAS]])</f>
        <v>2.0618556701030927E-2</v>
      </c>
      <c r="O1408" s="32">
        <f>IF(Mecze[[#This Row],[PC]]=0,0,Mecze[[#This Row],[PC]]/Mecze[[#This Row],[CZAS]])</f>
        <v>6.1855670103092786E-2</v>
      </c>
      <c r="P1408" s="32">
        <f>IF(Mecze[[#This Row],[SC]]=0,0,Mecze[[#This Row],[SC]]/Mecze[[#This Row],[CZAS]])</f>
        <v>2.0618556701030927E-2</v>
      </c>
      <c r="Q1408" s="32">
        <f>IF(Mecze[[#This Row],[OB]]=0,0,Mecze[[#This Row],[OB]]/Mecze[[#This Row],[CZAS]])</f>
        <v>0</v>
      </c>
      <c r="R1408" s="32">
        <f>IF(Mecze[[#This Row],[BR]]=0,0,Mecze[[#This Row],[BR]]/Mecze[[#This Row],[CZAS]])</f>
        <v>0</v>
      </c>
      <c r="S1408" s="44">
        <f>IF(Mecze[[#This Row],[Role]]="BR",SUMPRODUCT(Mecze[[#This Row],[/PR:90]:[/BR:90]],Brudnopis!$E$23:$J$23),0)</f>
        <v>0</v>
      </c>
      <c r="T1408" s="44">
        <f>IF(Mecze[[#This Row],[Role]]&lt;&gt;"BR",SUMPRODUCT(Mecze[[#This Row],[/PR:90]:[/BR:90]],Brudnopis!$E$24:$J$24),0)</f>
        <v>0.14432989690721651</v>
      </c>
      <c r="U1408" s="44">
        <f>IF(Mecze[[#This Row],[Role]]&lt;&gt;"BR",SUMPRODUCT(Mecze[[#This Row],[/PR:90]:[/BR:90]],Brudnopis!$E$25:$J$25),0)</f>
        <v>0.16494845360824742</v>
      </c>
      <c r="V1408" s="44">
        <f>IF(Mecze[[#This Row],[Role]]&lt;&gt;"BR",SUMPRODUCT(Mecze[[#This Row],[/PR:90]:[/BR:90]],Brudnopis!$E$26:$J$26),0)</f>
        <v>0.13402061855670103</v>
      </c>
      <c r="W1408" s="44">
        <f>IF(Mecze[[#This Row],[Role]]&lt;&gt;"BR",SUMPRODUCT(Mecze[[#This Row],[/PR:90]:[/BR:90]],Brudnopis!$E$27:$J$27),0)</f>
        <v>0.15206185567010311</v>
      </c>
      <c r="X1408" s="44">
        <f>IF(Mecze[[#This Row],[Role]]&lt;&gt;"BR",SUMPRODUCT(Mecze[[#This Row],[/PR:90]:[/BR:90]],Brudnopis!$E$28:$J$28),0)</f>
        <v>0.10309278350515463</v>
      </c>
      <c r="Y1408" s="35">
        <f>IF(Mecze[[#This Row],[Role]]="BR",Mecze[[#This Row],[/OB:90]]+Mecze[[#This Row],[/PC:90]],SUM(Mecze[[#This Row],[/PR:90]:[/BR:90]]))</f>
        <v>0.13402061855670103</v>
      </c>
      <c r="Z1408" s="35">
        <f>IF(Mecze[[#This Row],[KC]]=0,SUM(Mecze[[#This Row],[/BRI]:[/NPI]]),SUM(Mecze[[#This Row],[/BRI]:[/NPI]])*0.6)</f>
        <v>0.69845360824742264</v>
      </c>
      <c r="AA1408" s="10">
        <f>IFERROR(Mecze[[#This Row],[BR]]/Mecze[[#This Row],[ST]],0)</f>
        <v>0</v>
      </c>
      <c r="AB1408">
        <f>ROUND(Mecze[[#This Row],[PD]]*Mecze[[#This Row],[%PC]],0)</f>
        <v>6</v>
      </c>
      <c r="AC1408">
        <f>ROUND(Mecze[[#This Row],[OD]]*Mecze[[#This Row],[%OU]],0)</f>
        <v>2</v>
      </c>
      <c r="AD1408" s="36" t="s">
        <v>67</v>
      </c>
      <c r="AE1408" s="36">
        <v>77</v>
      </c>
      <c r="AF1408" s="71">
        <v>5</v>
      </c>
      <c r="AG1408" s="37">
        <v>0</v>
      </c>
      <c r="AH1408" s="37">
        <v>0</v>
      </c>
      <c r="AI1408" s="37">
        <v>97</v>
      </c>
      <c r="AJ1408" s="37">
        <v>5</v>
      </c>
      <c r="AK1408" s="37" t="str">
        <f>VLOOKUP(Mecze[[#This Row],[Match ID]],Meczusie[Mecz]:Meczusie[RodzajMeczu],2,FALSE)</f>
        <v>Liga</v>
      </c>
    </row>
    <row r="1409" spans="1:37" x14ac:dyDescent="0.25">
      <c r="A1409" s="76">
        <v>10</v>
      </c>
      <c r="B1409" s="3" t="s">
        <v>352</v>
      </c>
      <c r="C1409" s="2" t="s">
        <v>160</v>
      </c>
      <c r="D1409" s="1">
        <v>0</v>
      </c>
      <c r="E1409" s="1">
        <v>0</v>
      </c>
      <c r="F1409" s="1">
        <v>0</v>
      </c>
      <c r="G1409" s="1">
        <v>16</v>
      </c>
      <c r="H1409" s="4">
        <v>0.81</v>
      </c>
      <c r="I1409" s="1">
        <v>5</v>
      </c>
      <c r="J1409" s="4">
        <v>0.2</v>
      </c>
      <c r="K1409" s="1">
        <v>0</v>
      </c>
      <c r="L1409" s="1">
        <v>3</v>
      </c>
      <c r="M1409" s="32">
        <f>IF(Mecze[[#This Row],[PR]]=0,0,Mecze[[#This Row],[PR]]/Mecze[[#This Row],[CZAS]])</f>
        <v>3.0927835051546393E-2</v>
      </c>
      <c r="N1409" s="32">
        <f>IF(Mecze[[#This Row],[OU]]=0,0,Mecze[[#This Row],[OU]]/Mecze[[#This Row],[CZAS]])</f>
        <v>1.0309278350515464E-2</v>
      </c>
      <c r="O1409" s="32">
        <f>IF(Mecze[[#This Row],[PC]]=0,0,Mecze[[#This Row],[PC]]/Mecze[[#This Row],[CZAS]])</f>
        <v>0.13402061855670103</v>
      </c>
      <c r="P1409" s="32">
        <f>IF(Mecze[[#This Row],[SC]]=0,0,Mecze[[#This Row],[SC]]/Mecze[[#This Row],[CZAS]])</f>
        <v>0</v>
      </c>
      <c r="Q1409" s="32">
        <f>IF(Mecze[[#This Row],[OB]]=0,0,Mecze[[#This Row],[OB]]/Mecze[[#This Row],[CZAS]])</f>
        <v>0</v>
      </c>
      <c r="R1409" s="32">
        <f>IF(Mecze[[#This Row],[BR]]=0,0,Mecze[[#This Row],[BR]]/Mecze[[#This Row],[CZAS]])</f>
        <v>0</v>
      </c>
      <c r="S1409" s="44">
        <f>IF(Mecze[[#This Row],[Role]]="BR",SUMPRODUCT(Mecze[[#This Row],[/PR:90]:[/BR:90]],Brudnopis!$E$23:$J$23),0)</f>
        <v>0</v>
      </c>
      <c r="T1409" s="44">
        <f>IF(Mecze[[#This Row],[Role]]&lt;&gt;"BR",SUMPRODUCT(Mecze[[#This Row],[/PR:90]:[/BR:90]],Brudnopis!$E$24:$J$24),0)</f>
        <v>0.18041237113402062</v>
      </c>
      <c r="U1409" s="44">
        <f>IF(Mecze[[#This Row],[Role]]&lt;&gt;"BR",SUMPRODUCT(Mecze[[#This Row],[/PR:90]:[/BR:90]],Brudnopis!$E$25:$J$25),0)</f>
        <v>0.2422680412371134</v>
      </c>
      <c r="V1409" s="44">
        <f>IF(Mecze[[#This Row],[Role]]&lt;&gt;"BR",SUMPRODUCT(Mecze[[#This Row],[/PR:90]:[/BR:90]],Brudnopis!$E$26:$J$26),0)</f>
        <v>0.17525773195876287</v>
      </c>
      <c r="W1409" s="44">
        <f>IF(Mecze[[#This Row],[Role]]&lt;&gt;"BR",SUMPRODUCT(Mecze[[#This Row],[/PR:90]:[/BR:90]],Brudnopis!$E$27:$J$27),0)</f>
        <v>0.23195876288659795</v>
      </c>
      <c r="X1409" s="44">
        <f>IF(Mecze[[#This Row],[Role]]&lt;&gt;"BR",SUMPRODUCT(Mecze[[#This Row],[/PR:90]:[/BR:90]],Brudnopis!$E$28:$J$28),0)</f>
        <v>0.13402061855670103</v>
      </c>
      <c r="Y1409" s="35">
        <f>IF(Mecze[[#This Row],[Role]]="BR",Mecze[[#This Row],[/OB:90]]+Mecze[[#This Row],[/PC:90]],SUM(Mecze[[#This Row],[/PR:90]:[/BR:90]]))</f>
        <v>0.17525773195876287</v>
      </c>
      <c r="Z1409" s="35">
        <f>IF(Mecze[[#This Row],[KC]]=0,SUM(Mecze[[#This Row],[/BRI]:[/NPI]]),SUM(Mecze[[#This Row],[/BRI]:[/NPI]])*0.6)</f>
        <v>0.96391752577319578</v>
      </c>
      <c r="AA1409" s="10">
        <f>IFERROR(Mecze[[#This Row],[BR]]/Mecze[[#This Row],[ST]],0)</f>
        <v>0</v>
      </c>
      <c r="AB1409">
        <f>ROUND(Mecze[[#This Row],[PD]]*Mecze[[#This Row],[%PC]],0)</f>
        <v>13</v>
      </c>
      <c r="AC1409">
        <f>ROUND(Mecze[[#This Row],[OD]]*Mecze[[#This Row],[%OU]],0)</f>
        <v>1</v>
      </c>
      <c r="AD1409" s="36" t="s">
        <v>67</v>
      </c>
      <c r="AE1409" s="36">
        <v>77</v>
      </c>
      <c r="AF1409" s="71">
        <v>5.45</v>
      </c>
      <c r="AG1409" s="37">
        <v>0</v>
      </c>
      <c r="AH1409" s="37">
        <v>0</v>
      </c>
      <c r="AI1409" s="37">
        <v>97</v>
      </c>
      <c r="AJ1409" s="37">
        <v>5</v>
      </c>
      <c r="AK1409" s="37" t="str">
        <f>VLOOKUP(Mecze[[#This Row],[Match ID]],Meczusie[Mecz]:Meczusie[RodzajMeczu],2,FALSE)</f>
        <v>Liga</v>
      </c>
    </row>
    <row r="1410" spans="1:37" x14ac:dyDescent="0.25">
      <c r="A1410" s="76">
        <v>11</v>
      </c>
      <c r="B1410" s="3" t="s">
        <v>353</v>
      </c>
      <c r="C1410" s="2" t="s">
        <v>165</v>
      </c>
      <c r="D1410" s="1">
        <v>0</v>
      </c>
      <c r="E1410" s="1">
        <v>1</v>
      </c>
      <c r="F1410" s="1">
        <v>1</v>
      </c>
      <c r="G1410" s="1">
        <v>11</v>
      </c>
      <c r="H1410" s="4">
        <v>0.36</v>
      </c>
      <c r="I1410" s="1">
        <v>8</v>
      </c>
      <c r="J1410" s="4">
        <v>0.5</v>
      </c>
      <c r="K1410" s="1">
        <v>0</v>
      </c>
      <c r="L1410" s="1">
        <v>0</v>
      </c>
      <c r="M1410" s="32">
        <f>IF(Mecze[[#This Row],[PR]]=0,0,Mecze[[#This Row],[PR]]/Mecze[[#This Row],[CZAS]])</f>
        <v>0</v>
      </c>
      <c r="N1410" s="32">
        <f>IF(Mecze[[#This Row],[OU]]=0,0,Mecze[[#This Row],[OU]]/Mecze[[#This Row],[CZAS]])</f>
        <v>4.1237113402061855E-2</v>
      </c>
      <c r="O1410" s="32">
        <f>IF(Mecze[[#This Row],[PC]]=0,0,Mecze[[#This Row],[PC]]/Mecze[[#This Row],[CZAS]])</f>
        <v>4.1237113402061855E-2</v>
      </c>
      <c r="P1410" s="32">
        <f>IF(Mecze[[#This Row],[SC]]=0,0,Mecze[[#This Row],[SC]]/Mecze[[#This Row],[CZAS]])</f>
        <v>1.0309278350515464E-2</v>
      </c>
      <c r="Q1410" s="32">
        <f>IF(Mecze[[#This Row],[OB]]=0,0,Mecze[[#This Row],[OB]]/Mecze[[#This Row],[CZAS]])</f>
        <v>0</v>
      </c>
      <c r="R1410" s="32">
        <f>IF(Mecze[[#This Row],[BR]]=0,0,Mecze[[#This Row],[BR]]/Mecze[[#This Row],[CZAS]])</f>
        <v>0</v>
      </c>
      <c r="S1410" s="44">
        <f>IF(Mecze[[#This Row],[Role]]="BR",SUMPRODUCT(Mecze[[#This Row],[/PR:90]:[/BR:90]],Brudnopis!$E$23:$J$23),0)</f>
        <v>0</v>
      </c>
      <c r="T1410" s="44">
        <f>IF(Mecze[[#This Row],[Role]]&lt;&gt;"BR",SUMPRODUCT(Mecze[[#This Row],[/PR:90]:[/BR:90]],Brudnopis!$E$24:$J$24),0)</f>
        <v>0.1134020618556701</v>
      </c>
      <c r="U1410" s="44">
        <f>IF(Mecze[[#This Row],[Role]]&lt;&gt;"BR",SUMPRODUCT(Mecze[[#This Row],[/PR:90]:[/BR:90]],Brudnopis!$E$25:$J$25),0)</f>
        <v>0.1134020618556701</v>
      </c>
      <c r="V1410" s="44">
        <f>IF(Mecze[[#This Row],[Role]]&lt;&gt;"BR",SUMPRODUCT(Mecze[[#This Row],[/PR:90]:[/BR:90]],Brudnopis!$E$26:$J$26),0)</f>
        <v>9.2783505154639179E-2</v>
      </c>
      <c r="W1410" s="44">
        <f>IF(Mecze[[#This Row],[Role]]&lt;&gt;"BR",SUMPRODUCT(Mecze[[#This Row],[/PR:90]:[/BR:90]],Brudnopis!$E$27:$J$27),0)</f>
        <v>0.10309278350515465</v>
      </c>
      <c r="X1410" s="44">
        <f>IF(Mecze[[#This Row],[Role]]&lt;&gt;"BR",SUMPRODUCT(Mecze[[#This Row],[/PR:90]:[/BR:90]],Brudnopis!$E$28:$J$28),0)</f>
        <v>6.1855670103092786E-2</v>
      </c>
      <c r="Y1410" s="35">
        <f>IF(Mecze[[#This Row],[Role]]="BR",Mecze[[#This Row],[/OB:90]]+Mecze[[#This Row],[/PC:90]],SUM(Mecze[[#This Row],[/PR:90]:[/BR:90]]))</f>
        <v>9.2783505154639179E-2</v>
      </c>
      <c r="Z1410" s="35">
        <f>IF(Mecze[[#This Row],[KC]]=0,SUM(Mecze[[#This Row],[/BRI]:[/NPI]]),SUM(Mecze[[#This Row],[/BRI]:[/NPI]])*0.6)</f>
        <v>0.4845360824742268</v>
      </c>
      <c r="AA1410" s="10">
        <f>IFERROR(Mecze[[#This Row],[BR]]/Mecze[[#This Row],[ST]],0)</f>
        <v>0</v>
      </c>
      <c r="AB1410">
        <f>ROUND(Mecze[[#This Row],[PD]]*Mecze[[#This Row],[%PC]],0)</f>
        <v>4</v>
      </c>
      <c r="AC1410">
        <f>ROUND(Mecze[[#This Row],[OD]]*Mecze[[#This Row],[%OU]],0)</f>
        <v>4</v>
      </c>
      <c r="AD1410" s="36" t="s">
        <v>46</v>
      </c>
      <c r="AE1410" s="36">
        <v>77</v>
      </c>
      <c r="AF1410" s="71">
        <v>2.93</v>
      </c>
      <c r="AG1410" s="37">
        <v>0</v>
      </c>
      <c r="AH1410" s="37">
        <v>0</v>
      </c>
      <c r="AI1410" s="37">
        <v>97</v>
      </c>
      <c r="AJ1410" s="37">
        <v>5</v>
      </c>
      <c r="AK1410" s="37" t="str">
        <f>VLOOKUP(Mecze[[#This Row],[Match ID]],Meczusie[Mecz]:Meczusie[RodzajMeczu],2,FALSE)</f>
        <v>Liga</v>
      </c>
    </row>
    <row r="1411" spans="1:37" x14ac:dyDescent="0.25">
      <c r="A1411" s="76">
        <v>8</v>
      </c>
      <c r="B1411" s="3" t="s">
        <v>351</v>
      </c>
      <c r="C1411" s="2" t="s">
        <v>165</v>
      </c>
      <c r="D1411" s="1">
        <v>0</v>
      </c>
      <c r="E1411" s="1">
        <v>3</v>
      </c>
      <c r="F1411" s="1">
        <v>3</v>
      </c>
      <c r="G1411" s="1">
        <v>5</v>
      </c>
      <c r="H1411" s="4">
        <v>0.4</v>
      </c>
      <c r="I1411" s="1">
        <v>3</v>
      </c>
      <c r="J1411" s="4">
        <v>0.67</v>
      </c>
      <c r="K1411" s="1">
        <v>0</v>
      </c>
      <c r="L1411" s="1">
        <v>0</v>
      </c>
      <c r="M1411" s="32">
        <f>IF(Mecze[[#This Row],[PR]]=0,0,Mecze[[#This Row],[PR]]/Mecze[[#This Row],[CZAS]])</f>
        <v>0</v>
      </c>
      <c r="N1411" s="32">
        <f>IF(Mecze[[#This Row],[OU]]=0,0,Mecze[[#This Row],[OU]]/Mecze[[#This Row],[CZAS]])</f>
        <v>2.0618556701030927E-2</v>
      </c>
      <c r="O1411" s="32">
        <f>IF(Mecze[[#This Row],[PC]]=0,0,Mecze[[#This Row],[PC]]/Mecze[[#This Row],[CZAS]])</f>
        <v>2.0618556701030927E-2</v>
      </c>
      <c r="P1411" s="32">
        <f>IF(Mecze[[#This Row],[SC]]=0,0,Mecze[[#This Row],[SC]]/Mecze[[#This Row],[CZAS]])</f>
        <v>3.0927835051546393E-2</v>
      </c>
      <c r="Q1411" s="32">
        <f>IF(Mecze[[#This Row],[OB]]=0,0,Mecze[[#This Row],[OB]]/Mecze[[#This Row],[CZAS]])</f>
        <v>0</v>
      </c>
      <c r="R1411" s="32">
        <f>IF(Mecze[[#This Row],[BR]]=0,0,Mecze[[#This Row],[BR]]/Mecze[[#This Row],[CZAS]])</f>
        <v>0</v>
      </c>
      <c r="S1411" s="44">
        <f>IF(Mecze[[#This Row],[Role]]="BR",SUMPRODUCT(Mecze[[#This Row],[/PR:90]:[/BR:90]],Brudnopis!$E$23:$J$23),0)</f>
        <v>0</v>
      </c>
      <c r="T1411" s="44">
        <f>IF(Mecze[[#This Row],[Role]]&lt;&gt;"BR",SUMPRODUCT(Mecze[[#This Row],[/PR:90]:[/BR:90]],Brudnopis!$E$24:$J$24),0)</f>
        <v>8.247422680412371E-2</v>
      </c>
      <c r="U1411" s="44">
        <f>IF(Mecze[[#This Row],[Role]]&lt;&gt;"BR",SUMPRODUCT(Mecze[[#This Row],[/PR:90]:[/BR:90]],Brudnopis!$E$25:$J$25),0)</f>
        <v>8.247422680412371E-2</v>
      </c>
      <c r="V1411" s="44">
        <f>IF(Mecze[[#This Row],[Role]]&lt;&gt;"BR",SUMPRODUCT(Mecze[[#This Row],[/PR:90]:[/BR:90]],Brudnopis!$E$26:$J$26),0)</f>
        <v>7.2164948453608241E-2</v>
      </c>
      <c r="W1411" s="44">
        <f>IF(Mecze[[#This Row],[Role]]&lt;&gt;"BR",SUMPRODUCT(Mecze[[#This Row],[/PR:90]:[/BR:90]],Brudnopis!$E$27:$J$27),0)</f>
        <v>7.7319587628865982E-2</v>
      </c>
      <c r="X1411" s="44">
        <f>IF(Mecze[[#This Row],[Role]]&lt;&gt;"BR",SUMPRODUCT(Mecze[[#This Row],[/PR:90]:[/BR:90]],Brudnopis!$E$28:$J$28),0)</f>
        <v>8.247422680412371E-2</v>
      </c>
      <c r="Y1411" s="35">
        <f>IF(Mecze[[#This Row],[Role]]="BR",Mecze[[#This Row],[/OB:90]]+Mecze[[#This Row],[/PC:90]],SUM(Mecze[[#This Row],[/PR:90]:[/BR:90]]))</f>
        <v>7.2164948453608241E-2</v>
      </c>
      <c r="Z1411" s="35">
        <f>IF(Mecze[[#This Row],[KC]]=0,SUM(Mecze[[#This Row],[/BRI]:[/NPI]]),SUM(Mecze[[#This Row],[/BRI]:[/NPI]])*0.6)</f>
        <v>0.39690721649484534</v>
      </c>
      <c r="AA1411" s="10">
        <f>IFERROR(Mecze[[#This Row],[BR]]/Mecze[[#This Row],[ST]],0)</f>
        <v>0</v>
      </c>
      <c r="AB1411">
        <f>ROUND(Mecze[[#This Row],[PD]]*Mecze[[#This Row],[%PC]],0)</f>
        <v>2</v>
      </c>
      <c r="AC1411">
        <f>ROUND(Mecze[[#This Row],[OD]]*Mecze[[#This Row],[%OU]],0)</f>
        <v>2</v>
      </c>
      <c r="AD1411" s="36" t="s">
        <v>272</v>
      </c>
      <c r="AE1411" s="36">
        <v>77</v>
      </c>
      <c r="AF1411" s="71">
        <v>3.37</v>
      </c>
      <c r="AG1411" s="37">
        <v>0</v>
      </c>
      <c r="AH1411" s="37">
        <v>0</v>
      </c>
      <c r="AI1411" s="37">
        <v>97</v>
      </c>
      <c r="AJ1411" s="37">
        <v>5</v>
      </c>
      <c r="AK1411" s="37" t="str">
        <f>VLOOKUP(Mecze[[#This Row],[Match ID]],Meczusie[Mecz]:Meczusie[RodzajMeczu],2,FALSE)</f>
        <v>Liga</v>
      </c>
    </row>
    <row r="1412" spans="1:37" x14ac:dyDescent="0.25">
      <c r="A1412" s="76">
        <v>9</v>
      </c>
      <c r="B1412" s="3" t="s">
        <v>354</v>
      </c>
      <c r="C1412" s="2" t="s">
        <v>165</v>
      </c>
      <c r="D1412" s="1">
        <v>1</v>
      </c>
      <c r="E1412" s="1">
        <v>2</v>
      </c>
      <c r="F1412" s="1">
        <v>2</v>
      </c>
      <c r="G1412" s="1">
        <v>14</v>
      </c>
      <c r="H1412" s="4">
        <v>0.64</v>
      </c>
      <c r="I1412" s="1">
        <v>0</v>
      </c>
      <c r="J1412" s="4"/>
      <c r="K1412" s="1">
        <v>0</v>
      </c>
      <c r="L1412" s="1">
        <v>0</v>
      </c>
      <c r="M1412" s="32">
        <f>IF(Mecze[[#This Row],[PR]]=0,0,Mecze[[#This Row],[PR]]/Mecze[[#This Row],[CZAS]])</f>
        <v>0</v>
      </c>
      <c r="N1412" s="32">
        <f>IF(Mecze[[#This Row],[OU]]=0,0,Mecze[[#This Row],[OU]]/Mecze[[#This Row],[CZAS]])</f>
        <v>0</v>
      </c>
      <c r="O1412" s="32">
        <f>IF(Mecze[[#This Row],[PC]]=0,0,Mecze[[#This Row],[PC]]/Mecze[[#This Row],[CZAS]])</f>
        <v>9.2783505154639179E-2</v>
      </c>
      <c r="P1412" s="32">
        <f>IF(Mecze[[#This Row],[SC]]=0,0,Mecze[[#This Row],[SC]]/Mecze[[#This Row],[CZAS]])</f>
        <v>2.0618556701030927E-2</v>
      </c>
      <c r="Q1412" s="32">
        <f>IF(Mecze[[#This Row],[OB]]=0,0,Mecze[[#This Row],[OB]]/Mecze[[#This Row],[CZAS]])</f>
        <v>0</v>
      </c>
      <c r="R1412" s="32">
        <f>IF(Mecze[[#This Row],[BR]]=0,0,Mecze[[#This Row],[BR]]/Mecze[[#This Row],[CZAS]])</f>
        <v>1.0309278350515464E-2</v>
      </c>
      <c r="S1412" s="44">
        <f>IF(Mecze[[#This Row],[Role]]="BR",SUMPRODUCT(Mecze[[#This Row],[/PR:90]:[/BR:90]],Brudnopis!$E$23:$J$23),0)</f>
        <v>0</v>
      </c>
      <c r="T1412" s="44">
        <f>IF(Mecze[[#This Row],[Role]]&lt;&gt;"BR",SUMPRODUCT(Mecze[[#This Row],[/PR:90]:[/BR:90]],Brudnopis!$E$24:$J$24),0)</f>
        <v>0.12886597938144329</v>
      </c>
      <c r="U1412" s="44">
        <f>IF(Mecze[[#This Row],[Role]]&lt;&gt;"BR",SUMPRODUCT(Mecze[[#This Row],[/PR:90]:[/BR:90]],Brudnopis!$E$25:$J$25),0)</f>
        <v>0.1752577319587629</v>
      </c>
      <c r="V1412" s="44">
        <f>IF(Mecze[[#This Row],[Role]]&lt;&gt;"BR",SUMPRODUCT(Mecze[[#This Row],[/PR:90]:[/BR:90]],Brudnopis!$E$26:$J$26),0)</f>
        <v>0.13402061855670103</v>
      </c>
      <c r="W1412" s="44">
        <f>IF(Mecze[[#This Row],[Role]]&lt;&gt;"BR",SUMPRODUCT(Mecze[[#This Row],[/PR:90]:[/BR:90]],Brudnopis!$E$27:$J$27),0)</f>
        <v>0.18041237113402064</v>
      </c>
      <c r="X1412" s="44">
        <f>IF(Mecze[[#This Row],[Role]]&lt;&gt;"BR",SUMPRODUCT(Mecze[[#This Row],[/PR:90]:[/BR:90]],Brudnopis!$E$28:$J$28),0)</f>
        <v>0.16494845360824742</v>
      </c>
      <c r="Y1412" s="35">
        <f>IF(Mecze[[#This Row],[Role]]="BR",Mecze[[#This Row],[/OB:90]]+Mecze[[#This Row],[/PC:90]],SUM(Mecze[[#This Row],[/PR:90]:[/BR:90]]))</f>
        <v>0.12371134020618557</v>
      </c>
      <c r="Z1412" s="35">
        <f>IF(Mecze[[#This Row],[KC]]=0,SUM(Mecze[[#This Row],[/BRI]:[/NPI]]),SUM(Mecze[[#This Row],[/BRI]:[/NPI]])*0.6)</f>
        <v>0.78350515463917525</v>
      </c>
      <c r="AA1412" s="10">
        <f>IFERROR(Mecze[[#This Row],[BR]]/Mecze[[#This Row],[ST]],0)</f>
        <v>0.5</v>
      </c>
      <c r="AB1412">
        <f>ROUND(Mecze[[#This Row],[PD]]*Mecze[[#This Row],[%PC]],0)</f>
        <v>9</v>
      </c>
      <c r="AC1412">
        <f>ROUND(Mecze[[#This Row],[OD]]*Mecze[[#This Row],[%OU]],0)</f>
        <v>0</v>
      </c>
      <c r="AD1412" s="36" t="s">
        <v>273</v>
      </c>
      <c r="AE1412" s="36">
        <v>77</v>
      </c>
      <c r="AF1412" s="71">
        <v>6.78</v>
      </c>
      <c r="AG1412" s="37">
        <v>0</v>
      </c>
      <c r="AH1412" s="37">
        <v>0</v>
      </c>
      <c r="AI1412" s="37">
        <v>97</v>
      </c>
      <c r="AJ1412" s="37">
        <v>5</v>
      </c>
      <c r="AK1412" s="37" t="str">
        <f>VLOOKUP(Mecze[[#This Row],[Match ID]],Meczusie[Mecz]:Meczusie[RodzajMeczu],2,FALSE)</f>
        <v>Liga</v>
      </c>
    </row>
    <row r="1413" spans="1:37" x14ac:dyDescent="0.25">
      <c r="A1413" s="76">
        <v>1</v>
      </c>
      <c r="B1413" s="3" t="s">
        <v>169</v>
      </c>
      <c r="C1413" s="2" t="s">
        <v>155</v>
      </c>
      <c r="D1413" s="1">
        <v>0</v>
      </c>
      <c r="E1413" s="1">
        <v>0</v>
      </c>
      <c r="F1413" s="1">
        <v>0</v>
      </c>
      <c r="G1413" s="1">
        <v>6</v>
      </c>
      <c r="H1413" s="4">
        <v>0.5</v>
      </c>
      <c r="I1413" s="1">
        <v>0</v>
      </c>
      <c r="J1413" s="4"/>
      <c r="K1413" s="1">
        <v>7</v>
      </c>
      <c r="L1413" s="1">
        <v>0</v>
      </c>
      <c r="M1413" s="32">
        <f>IF(Mecze[[#This Row],[PR]]=0,0,Mecze[[#This Row],[PR]]/Mecze[[#This Row],[CZAS]])</f>
        <v>0</v>
      </c>
      <c r="N1413" s="32">
        <f>IF(Mecze[[#This Row],[OU]]=0,0,Mecze[[#This Row],[OU]]/Mecze[[#This Row],[CZAS]])</f>
        <v>0</v>
      </c>
      <c r="O1413" s="32">
        <f>IF(Mecze[[#This Row],[PC]]=0,0,Mecze[[#This Row],[PC]]/Mecze[[#This Row],[CZAS]])</f>
        <v>3.0927835051546393E-2</v>
      </c>
      <c r="P1413" s="32">
        <f>IF(Mecze[[#This Row],[SC]]=0,0,Mecze[[#This Row],[SC]]/Mecze[[#This Row],[CZAS]])</f>
        <v>0</v>
      </c>
      <c r="Q1413" s="32">
        <f>IF(Mecze[[#This Row],[OB]]=0,0,Mecze[[#This Row],[OB]]/Mecze[[#This Row],[CZAS]])</f>
        <v>7.2164948453608241E-2</v>
      </c>
      <c r="R1413" s="32">
        <f>IF(Mecze[[#This Row],[BR]]=0,0,Mecze[[#This Row],[BR]]/Mecze[[#This Row],[CZAS]])</f>
        <v>0</v>
      </c>
      <c r="S1413" s="44">
        <f>IF(Mecze[[#This Row],[Role]]="BR",SUMPRODUCT(Mecze[[#This Row],[/PR:90]:[/BR:90]],Brudnopis!$E$23:$J$23),0)</f>
        <v>0.30927835051546393</v>
      </c>
      <c r="T1413" s="44">
        <f>IF(Mecze[[#This Row],[Role]]&lt;&gt;"BR",SUMPRODUCT(Mecze[[#This Row],[/PR:90]:[/BR:90]],Brudnopis!$E$24:$J$24),0)</f>
        <v>0</v>
      </c>
      <c r="U1413" s="44">
        <f>IF(Mecze[[#This Row],[Role]]&lt;&gt;"BR",SUMPRODUCT(Mecze[[#This Row],[/PR:90]:[/BR:90]],Brudnopis!$E$25:$J$25),0)</f>
        <v>0</v>
      </c>
      <c r="V1413" s="44">
        <f>IF(Mecze[[#This Row],[Role]]&lt;&gt;"BR",SUMPRODUCT(Mecze[[#This Row],[/PR:90]:[/BR:90]],Brudnopis!$E$26:$J$26),0)</f>
        <v>0</v>
      </c>
      <c r="W1413" s="44">
        <f>IF(Mecze[[#This Row],[Role]]&lt;&gt;"BR",SUMPRODUCT(Mecze[[#This Row],[/PR:90]:[/BR:90]],Brudnopis!$E$27:$J$27),0)</f>
        <v>0</v>
      </c>
      <c r="X1413" s="44">
        <f>IF(Mecze[[#This Row],[Role]]&lt;&gt;"BR",SUMPRODUCT(Mecze[[#This Row],[/PR:90]:[/BR:90]],Brudnopis!$E$28:$J$28),0)</f>
        <v>0</v>
      </c>
      <c r="Y1413" s="35">
        <f>IF(Mecze[[#This Row],[Role]]="BR",Mecze[[#This Row],[/OB:90]]+Mecze[[#This Row],[/PC:90]],SUM(Mecze[[#This Row],[/PR:90]:[/BR:90]]))</f>
        <v>0.10309278350515463</v>
      </c>
      <c r="Z1413" s="35">
        <f>IF(Mecze[[#This Row],[KC]]=0,SUM(Mecze[[#This Row],[/BRI]:[/NPI]]),SUM(Mecze[[#This Row],[/BRI]:[/NPI]])*0.6)</f>
        <v>0.30927835051546393</v>
      </c>
      <c r="AA1413" s="10">
        <f>IFERROR(Mecze[[#This Row],[BR]]/Mecze[[#This Row],[ST]],0)</f>
        <v>0</v>
      </c>
      <c r="AB1413">
        <f>ROUND(Mecze[[#This Row],[PD]]*Mecze[[#This Row],[%PC]],0)</f>
        <v>3</v>
      </c>
      <c r="AC1413">
        <f>ROUND(Mecze[[#This Row],[OD]]*Mecze[[#This Row],[%OU]],0)</f>
        <v>0</v>
      </c>
      <c r="AD1413" s="36" t="s">
        <v>40</v>
      </c>
      <c r="AE1413" s="36">
        <v>77</v>
      </c>
      <c r="AF1413" s="71">
        <v>6.37</v>
      </c>
      <c r="AG1413" s="37">
        <v>0</v>
      </c>
      <c r="AH1413" s="37">
        <v>0</v>
      </c>
      <c r="AI1413" s="37">
        <v>97</v>
      </c>
      <c r="AJ1413" s="37">
        <v>1</v>
      </c>
      <c r="AK1413" s="37" t="str">
        <f>VLOOKUP(Mecze[[#This Row],[Match ID]],Meczusie[Mecz]:Meczusie[RodzajMeczu],2,FALSE)</f>
        <v>Liga</v>
      </c>
    </row>
    <row r="1414" spans="1:37" x14ac:dyDescent="0.25">
      <c r="A1414" s="76">
        <v>5</v>
      </c>
      <c r="B1414" s="3" t="s">
        <v>161</v>
      </c>
      <c r="C1414" s="2" t="s">
        <v>157</v>
      </c>
      <c r="D1414" s="1">
        <v>0</v>
      </c>
      <c r="E1414" s="1">
        <v>0</v>
      </c>
      <c r="F1414" s="1">
        <v>0</v>
      </c>
      <c r="G1414" s="1">
        <v>17</v>
      </c>
      <c r="H1414" s="4">
        <v>0.65</v>
      </c>
      <c r="I1414" s="1">
        <v>6</v>
      </c>
      <c r="J1414" s="4">
        <v>0.67</v>
      </c>
      <c r="K1414" s="1">
        <v>0</v>
      </c>
      <c r="L1414" s="1">
        <v>14</v>
      </c>
      <c r="M1414" s="32">
        <f>IF(Mecze[[#This Row],[PR]]=0,0,Mecze[[#This Row],[PR]]/Mecze[[#This Row],[CZAS]])</f>
        <v>0.14432989690721648</v>
      </c>
      <c r="N1414" s="32">
        <f>IF(Mecze[[#This Row],[OU]]=0,0,Mecze[[#This Row],[OU]]/Mecze[[#This Row],[CZAS]])</f>
        <v>4.1237113402061855E-2</v>
      </c>
      <c r="O1414" s="32">
        <f>IF(Mecze[[#This Row],[PC]]=0,0,Mecze[[#This Row],[PC]]/Mecze[[#This Row],[CZAS]])</f>
        <v>0.1134020618556701</v>
      </c>
      <c r="P1414" s="32">
        <f>IF(Mecze[[#This Row],[SC]]=0,0,Mecze[[#This Row],[SC]]/Mecze[[#This Row],[CZAS]])</f>
        <v>0</v>
      </c>
      <c r="Q1414" s="32">
        <f>IF(Mecze[[#This Row],[OB]]=0,0,Mecze[[#This Row],[OB]]/Mecze[[#This Row],[CZAS]])</f>
        <v>0</v>
      </c>
      <c r="R1414" s="32">
        <f>IF(Mecze[[#This Row],[BR]]=0,0,Mecze[[#This Row],[BR]]/Mecze[[#This Row],[CZAS]])</f>
        <v>0</v>
      </c>
      <c r="S1414" s="44">
        <f>IF(Mecze[[#This Row],[Role]]="BR",SUMPRODUCT(Mecze[[#This Row],[/PR:90]:[/BR:90]],Brudnopis!$E$23:$J$23),0)</f>
        <v>0</v>
      </c>
      <c r="T1414" s="44">
        <f>IF(Mecze[[#This Row],[Role]]&lt;&gt;"BR",SUMPRODUCT(Mecze[[#This Row],[/PR:90]:[/BR:90]],Brudnopis!$E$24:$J$24),0)</f>
        <v>0.31958762886597936</v>
      </c>
      <c r="U1414" s="44">
        <f>IF(Mecze[[#This Row],[Role]]&lt;&gt;"BR",SUMPRODUCT(Mecze[[#This Row],[/PR:90]:[/BR:90]],Brudnopis!$E$25:$J$25),0)</f>
        <v>0.35567010309278346</v>
      </c>
      <c r="V1414" s="44">
        <f>IF(Mecze[[#This Row],[Role]]&lt;&gt;"BR",SUMPRODUCT(Mecze[[#This Row],[/PR:90]:[/BR:90]],Brudnopis!$E$26:$J$26),0)</f>
        <v>0.29896907216494845</v>
      </c>
      <c r="W1414" s="44">
        <f>IF(Mecze[[#This Row],[Role]]&lt;&gt;"BR",SUMPRODUCT(Mecze[[#This Row],[/PR:90]:[/BR:90]],Brudnopis!$E$27:$J$27),0)</f>
        <v>0.30927835051546393</v>
      </c>
      <c r="X1414" s="44">
        <f>IF(Mecze[[#This Row],[Role]]&lt;&gt;"BR",SUMPRODUCT(Mecze[[#This Row],[/PR:90]:[/BR:90]],Brudnopis!$E$28:$J$28),0)</f>
        <v>0.1134020618556701</v>
      </c>
      <c r="Y1414" s="35">
        <f>IF(Mecze[[#This Row],[Role]]="BR",Mecze[[#This Row],[/OB:90]]+Mecze[[#This Row],[/PC:90]],SUM(Mecze[[#This Row],[/PR:90]:[/BR:90]]))</f>
        <v>0.29896907216494845</v>
      </c>
      <c r="Z1414" s="35">
        <f>IF(Mecze[[#This Row],[KC]]=0,SUM(Mecze[[#This Row],[/BRI]:[/NPI]]),SUM(Mecze[[#This Row],[/BRI]:[/NPI]])*0.6)</f>
        <v>1.3969072164948453</v>
      </c>
      <c r="AA1414" s="10">
        <f>IFERROR(Mecze[[#This Row],[BR]]/Mecze[[#This Row],[ST]],0)</f>
        <v>0</v>
      </c>
      <c r="AB1414">
        <f>ROUND(Mecze[[#This Row],[PD]]*Mecze[[#This Row],[%PC]],0)</f>
        <v>11</v>
      </c>
      <c r="AC1414">
        <f>ROUND(Mecze[[#This Row],[OD]]*Mecze[[#This Row],[%OU]],0)</f>
        <v>4</v>
      </c>
      <c r="AD1414" s="36" t="s">
        <v>47</v>
      </c>
      <c r="AE1414" s="36">
        <v>77</v>
      </c>
      <c r="AF1414" s="71">
        <v>6.76</v>
      </c>
      <c r="AG1414" s="37">
        <v>0</v>
      </c>
      <c r="AH1414" s="37">
        <v>0</v>
      </c>
      <c r="AI1414" s="37">
        <v>97</v>
      </c>
      <c r="AJ1414" s="37">
        <v>1</v>
      </c>
      <c r="AK1414" s="37" t="str">
        <f>VLOOKUP(Mecze[[#This Row],[Match ID]],Meczusie[Mecz]:Meczusie[RodzajMeczu],2,FALSE)</f>
        <v>Liga</v>
      </c>
    </row>
    <row r="1415" spans="1:37" x14ac:dyDescent="0.25">
      <c r="A1415" s="76">
        <v>3</v>
      </c>
      <c r="B1415" s="3" t="s">
        <v>158</v>
      </c>
      <c r="C1415" s="2" t="s">
        <v>157</v>
      </c>
      <c r="D1415" s="1">
        <v>0</v>
      </c>
      <c r="E1415" s="1">
        <v>0</v>
      </c>
      <c r="F1415" s="1">
        <v>0</v>
      </c>
      <c r="G1415" s="1">
        <v>3</v>
      </c>
      <c r="H1415" s="4">
        <v>0.33</v>
      </c>
      <c r="I1415" s="1">
        <v>3</v>
      </c>
      <c r="J1415" s="4">
        <v>0.33</v>
      </c>
      <c r="K1415" s="1">
        <v>0</v>
      </c>
      <c r="L1415" s="1">
        <v>5</v>
      </c>
      <c r="M1415" s="32">
        <f>IF(Mecze[[#This Row],[PR]]=0,0,Mecze[[#This Row],[PR]]/Mecze[[#This Row],[CZAS]])</f>
        <v>5.1546391752577317E-2</v>
      </c>
      <c r="N1415" s="32">
        <f>IF(Mecze[[#This Row],[OU]]=0,0,Mecze[[#This Row],[OU]]/Mecze[[#This Row],[CZAS]])</f>
        <v>1.0309278350515464E-2</v>
      </c>
      <c r="O1415" s="32">
        <f>IF(Mecze[[#This Row],[PC]]=0,0,Mecze[[#This Row],[PC]]/Mecze[[#This Row],[CZAS]])</f>
        <v>1.0309278350515464E-2</v>
      </c>
      <c r="P1415" s="32">
        <f>IF(Mecze[[#This Row],[SC]]=0,0,Mecze[[#This Row],[SC]]/Mecze[[#This Row],[CZAS]])</f>
        <v>0</v>
      </c>
      <c r="Q1415" s="32">
        <f>IF(Mecze[[#This Row],[OB]]=0,0,Mecze[[#This Row],[OB]]/Mecze[[#This Row],[CZAS]])</f>
        <v>0</v>
      </c>
      <c r="R1415" s="32">
        <f>IF(Mecze[[#This Row],[BR]]=0,0,Mecze[[#This Row],[BR]]/Mecze[[#This Row],[CZAS]])</f>
        <v>0</v>
      </c>
      <c r="S1415" s="44">
        <f>IF(Mecze[[#This Row],[Role]]="BR",SUMPRODUCT(Mecze[[#This Row],[/PR:90]:[/BR:90]],Brudnopis!$E$23:$J$23),0)</f>
        <v>0</v>
      </c>
      <c r="T1415" s="44">
        <f>IF(Mecze[[#This Row],[Role]]&lt;&gt;"BR",SUMPRODUCT(Mecze[[#This Row],[/PR:90]:[/BR:90]],Brudnopis!$E$24:$J$24),0)</f>
        <v>7.7319587628865982E-2</v>
      </c>
      <c r="U1415" s="44">
        <f>IF(Mecze[[#This Row],[Role]]&lt;&gt;"BR",SUMPRODUCT(Mecze[[#This Row],[/PR:90]:[/BR:90]],Brudnopis!$E$25:$J$25),0)</f>
        <v>7.7319587628865982E-2</v>
      </c>
      <c r="V1415" s="44">
        <f>IF(Mecze[[#This Row],[Role]]&lt;&gt;"BR",SUMPRODUCT(Mecze[[#This Row],[/PR:90]:[/BR:90]],Brudnopis!$E$26:$J$26),0)</f>
        <v>7.2164948453608241E-2</v>
      </c>
      <c r="W1415" s="44">
        <f>IF(Mecze[[#This Row],[Role]]&lt;&gt;"BR",SUMPRODUCT(Mecze[[#This Row],[/PR:90]:[/BR:90]],Brudnopis!$E$27:$J$27),0)</f>
        <v>6.1855670103092786E-2</v>
      </c>
      <c r="X1415" s="44">
        <f>IF(Mecze[[#This Row],[Role]]&lt;&gt;"BR",SUMPRODUCT(Mecze[[#This Row],[/PR:90]:[/BR:90]],Brudnopis!$E$28:$J$28),0)</f>
        <v>1.0309278350515464E-2</v>
      </c>
      <c r="Y1415" s="35">
        <f>IF(Mecze[[#This Row],[Role]]="BR",Mecze[[#This Row],[/OB:90]]+Mecze[[#This Row],[/PC:90]],SUM(Mecze[[#This Row],[/PR:90]:[/BR:90]]))</f>
        <v>7.2164948453608241E-2</v>
      </c>
      <c r="Z1415" s="35">
        <f>IF(Mecze[[#This Row],[KC]]=0,SUM(Mecze[[#This Row],[/BRI]:[/NPI]]),SUM(Mecze[[#This Row],[/BRI]:[/NPI]])*0.6)</f>
        <v>0.29896907216494845</v>
      </c>
      <c r="AA1415" s="10">
        <f>IFERROR(Mecze[[#This Row],[BR]]/Mecze[[#This Row],[ST]],0)</f>
        <v>0</v>
      </c>
      <c r="AB1415">
        <f>ROUND(Mecze[[#This Row],[PD]]*Mecze[[#This Row],[%PC]],0)</f>
        <v>1</v>
      </c>
      <c r="AC1415">
        <f>ROUND(Mecze[[#This Row],[OD]]*Mecze[[#This Row],[%OU]],0)</f>
        <v>1</v>
      </c>
      <c r="AD1415" s="36" t="s">
        <v>168</v>
      </c>
      <c r="AE1415" s="36">
        <v>77</v>
      </c>
      <c r="AF1415" s="71">
        <v>3.75</v>
      </c>
      <c r="AG1415" s="37">
        <v>0</v>
      </c>
      <c r="AH1415" s="37">
        <v>0</v>
      </c>
      <c r="AI1415" s="37">
        <v>97</v>
      </c>
      <c r="AJ1415" s="37">
        <v>1</v>
      </c>
      <c r="AK1415" s="37" t="str">
        <f>VLOOKUP(Mecze[[#This Row],[Match ID]],Meczusie[Mecz]:Meczusie[RodzajMeczu],2,FALSE)</f>
        <v>Liga</v>
      </c>
    </row>
    <row r="1416" spans="1:37" x14ac:dyDescent="0.25">
      <c r="A1416" s="76">
        <v>18</v>
      </c>
      <c r="B1416" s="3" t="s">
        <v>211</v>
      </c>
      <c r="C1416" s="2" t="s">
        <v>157</v>
      </c>
      <c r="D1416" s="1">
        <v>0</v>
      </c>
      <c r="E1416" s="1">
        <v>0</v>
      </c>
      <c r="F1416" s="1">
        <v>0</v>
      </c>
      <c r="G1416" s="1">
        <v>7</v>
      </c>
      <c r="H1416" s="4">
        <v>0.56999999999999995</v>
      </c>
      <c r="I1416" s="1">
        <v>5</v>
      </c>
      <c r="J1416" s="4">
        <v>0.8</v>
      </c>
      <c r="K1416" s="1">
        <v>0</v>
      </c>
      <c r="L1416" s="1">
        <v>3</v>
      </c>
      <c r="M1416" s="32">
        <f>IF(Mecze[[#This Row],[PR]]=0,0,Mecze[[#This Row],[PR]]/Mecze[[#This Row],[CZAS]])</f>
        <v>3.0927835051546393E-2</v>
      </c>
      <c r="N1416" s="32">
        <f>IF(Mecze[[#This Row],[OU]]=0,0,Mecze[[#This Row],[OU]]/Mecze[[#This Row],[CZAS]])</f>
        <v>4.1237113402061855E-2</v>
      </c>
      <c r="O1416" s="32">
        <f>IF(Mecze[[#This Row],[PC]]=0,0,Mecze[[#This Row],[PC]]/Mecze[[#This Row],[CZAS]])</f>
        <v>4.1237113402061855E-2</v>
      </c>
      <c r="P1416" s="32">
        <f>IF(Mecze[[#This Row],[SC]]=0,0,Mecze[[#This Row],[SC]]/Mecze[[#This Row],[CZAS]])</f>
        <v>0</v>
      </c>
      <c r="Q1416" s="32">
        <f>IF(Mecze[[#This Row],[OB]]=0,0,Mecze[[#This Row],[OB]]/Mecze[[#This Row],[CZAS]])</f>
        <v>0</v>
      </c>
      <c r="R1416" s="32">
        <f>IF(Mecze[[#This Row],[BR]]=0,0,Mecze[[#This Row],[BR]]/Mecze[[#This Row],[CZAS]])</f>
        <v>0</v>
      </c>
      <c r="S1416" s="44">
        <f>IF(Mecze[[#This Row],[Role]]="BR",SUMPRODUCT(Mecze[[#This Row],[/PR:90]:[/BR:90]],Brudnopis!$E$23:$J$23),0)</f>
        <v>0</v>
      </c>
      <c r="T1416" s="44">
        <f>IF(Mecze[[#This Row],[Role]]&lt;&gt;"BR",SUMPRODUCT(Mecze[[#This Row],[/PR:90]:[/BR:90]],Brudnopis!$E$24:$J$24),0)</f>
        <v>0.13402061855670103</v>
      </c>
      <c r="U1416" s="44">
        <f>IF(Mecze[[#This Row],[Role]]&lt;&gt;"BR",SUMPRODUCT(Mecze[[#This Row],[/PR:90]:[/BR:90]],Brudnopis!$E$25:$J$25),0)</f>
        <v>0.13402061855670103</v>
      </c>
      <c r="V1416" s="44">
        <f>IF(Mecze[[#This Row],[Role]]&lt;&gt;"BR",SUMPRODUCT(Mecze[[#This Row],[/PR:90]:[/BR:90]],Brudnopis!$E$26:$J$26),0)</f>
        <v>0.11340206185567009</v>
      </c>
      <c r="W1416" s="44">
        <f>IF(Mecze[[#This Row],[Role]]&lt;&gt;"BR",SUMPRODUCT(Mecze[[#This Row],[/PR:90]:[/BR:90]],Brudnopis!$E$27:$J$27),0)</f>
        <v>0.11597938144329897</v>
      </c>
      <c r="X1416" s="44">
        <f>IF(Mecze[[#This Row],[Role]]&lt;&gt;"BR",SUMPRODUCT(Mecze[[#This Row],[/PR:90]:[/BR:90]],Brudnopis!$E$28:$J$28),0)</f>
        <v>4.1237113402061855E-2</v>
      </c>
      <c r="Y1416" s="35">
        <f>IF(Mecze[[#This Row],[Role]]="BR",Mecze[[#This Row],[/OB:90]]+Mecze[[#This Row],[/PC:90]],SUM(Mecze[[#This Row],[/PR:90]:[/BR:90]]))</f>
        <v>0.11340206185567009</v>
      </c>
      <c r="Z1416" s="35">
        <f>IF(Mecze[[#This Row],[KC]]=0,SUM(Mecze[[#This Row],[/BRI]:[/NPI]]),SUM(Mecze[[#This Row],[/BRI]:[/NPI]])*0.6)</f>
        <v>0.53865979381443296</v>
      </c>
      <c r="AA1416" s="10">
        <f>IFERROR(Mecze[[#This Row],[BR]]/Mecze[[#This Row],[ST]],0)</f>
        <v>0</v>
      </c>
      <c r="AB1416">
        <f>ROUND(Mecze[[#This Row],[PD]]*Mecze[[#This Row],[%PC]],0)</f>
        <v>4</v>
      </c>
      <c r="AC1416">
        <f>ROUND(Mecze[[#This Row],[OD]]*Mecze[[#This Row],[%OU]],0)</f>
        <v>4</v>
      </c>
      <c r="AD1416" s="36" t="s">
        <v>167</v>
      </c>
      <c r="AE1416" s="36">
        <v>77</v>
      </c>
      <c r="AF1416" s="71">
        <v>4.54</v>
      </c>
      <c r="AG1416" s="37">
        <v>1</v>
      </c>
      <c r="AH1416" s="37">
        <v>0</v>
      </c>
      <c r="AI1416" s="37">
        <v>97</v>
      </c>
      <c r="AJ1416" s="37">
        <v>1</v>
      </c>
      <c r="AK1416" s="37" t="str">
        <f>VLOOKUP(Mecze[[#This Row],[Match ID]],Meczusie[Mecz]:Meczusie[RodzajMeczu],2,FALSE)</f>
        <v>Liga</v>
      </c>
    </row>
    <row r="1417" spans="1:37" x14ac:dyDescent="0.25">
      <c r="A1417" s="76">
        <v>13</v>
      </c>
      <c r="B1417" s="3" t="s">
        <v>162</v>
      </c>
      <c r="C1417" s="2" t="s">
        <v>160</v>
      </c>
      <c r="D1417" s="1">
        <v>0</v>
      </c>
      <c r="E1417" s="1">
        <v>0</v>
      </c>
      <c r="F1417" s="1">
        <v>0</v>
      </c>
      <c r="G1417" s="1">
        <v>10</v>
      </c>
      <c r="H1417" s="4">
        <v>1</v>
      </c>
      <c r="I1417" s="1">
        <v>8</v>
      </c>
      <c r="J1417" s="4">
        <v>0.5</v>
      </c>
      <c r="K1417" s="1">
        <v>0</v>
      </c>
      <c r="L1417" s="1">
        <v>5</v>
      </c>
      <c r="M1417" s="32">
        <f>IF(Mecze[[#This Row],[PR]]=0,0,Mecze[[#This Row],[PR]]/Mecze[[#This Row],[CZAS]])</f>
        <v>5.1546391752577317E-2</v>
      </c>
      <c r="N1417" s="32">
        <f>IF(Mecze[[#This Row],[OU]]=0,0,Mecze[[#This Row],[OU]]/Mecze[[#This Row],[CZAS]])</f>
        <v>4.1237113402061855E-2</v>
      </c>
      <c r="O1417" s="32">
        <f>IF(Mecze[[#This Row],[PC]]=0,0,Mecze[[#This Row],[PC]]/Mecze[[#This Row],[CZAS]])</f>
        <v>0.10309278350515463</v>
      </c>
      <c r="P1417" s="32">
        <f>IF(Mecze[[#This Row],[SC]]=0,0,Mecze[[#This Row],[SC]]/Mecze[[#This Row],[CZAS]])</f>
        <v>0</v>
      </c>
      <c r="Q1417" s="32">
        <f>IF(Mecze[[#This Row],[OB]]=0,0,Mecze[[#This Row],[OB]]/Mecze[[#This Row],[CZAS]])</f>
        <v>0</v>
      </c>
      <c r="R1417" s="32">
        <f>IF(Mecze[[#This Row],[BR]]=0,0,Mecze[[#This Row],[BR]]/Mecze[[#This Row],[CZAS]])</f>
        <v>0</v>
      </c>
      <c r="S1417" s="44">
        <f>IF(Mecze[[#This Row],[Role]]="BR",SUMPRODUCT(Mecze[[#This Row],[/PR:90]:[/BR:90]],Brudnopis!$E$23:$J$23),0)</f>
        <v>0</v>
      </c>
      <c r="T1417" s="44">
        <f>IF(Mecze[[#This Row],[Role]]&lt;&gt;"BR",SUMPRODUCT(Mecze[[#This Row],[/PR:90]:[/BR:90]],Brudnopis!$E$24:$J$24),0)</f>
        <v>0.21649484536082475</v>
      </c>
      <c r="U1417" s="44">
        <f>IF(Mecze[[#This Row],[Role]]&lt;&gt;"BR",SUMPRODUCT(Mecze[[#This Row],[/PR:90]:[/BR:90]],Brudnopis!$E$25:$J$25),0)</f>
        <v>0.24742268041237114</v>
      </c>
      <c r="V1417" s="44">
        <f>IF(Mecze[[#This Row],[Role]]&lt;&gt;"BR",SUMPRODUCT(Mecze[[#This Row],[/PR:90]:[/BR:90]],Brudnopis!$E$26:$J$26),0)</f>
        <v>0.19587628865979381</v>
      </c>
      <c r="W1417" s="44">
        <f>IF(Mecze[[#This Row],[Role]]&lt;&gt;"BR",SUMPRODUCT(Mecze[[#This Row],[/PR:90]:[/BR:90]],Brudnopis!$E$27:$J$27),0)</f>
        <v>0.22422680412371135</v>
      </c>
      <c r="X1417" s="44">
        <f>IF(Mecze[[#This Row],[Role]]&lt;&gt;"BR",SUMPRODUCT(Mecze[[#This Row],[/PR:90]:[/BR:90]],Brudnopis!$E$28:$J$28),0)</f>
        <v>0.10309278350515463</v>
      </c>
      <c r="Y1417" s="35">
        <f>IF(Mecze[[#This Row],[Role]]="BR",Mecze[[#This Row],[/OB:90]]+Mecze[[#This Row],[/PC:90]],SUM(Mecze[[#This Row],[/PR:90]:[/BR:90]]))</f>
        <v>0.19587628865979381</v>
      </c>
      <c r="Z1417" s="35">
        <f>IF(Mecze[[#This Row],[KC]]=0,SUM(Mecze[[#This Row],[/BRI]:[/NPI]]),SUM(Mecze[[#This Row],[/BRI]:[/NPI]])*0.6)</f>
        <v>0.9871134020618556</v>
      </c>
      <c r="AA1417" s="10">
        <f>IFERROR(Mecze[[#This Row],[BR]]/Mecze[[#This Row],[ST]],0)</f>
        <v>0</v>
      </c>
      <c r="AB1417">
        <f>ROUND(Mecze[[#This Row],[PD]]*Mecze[[#This Row],[%PC]],0)</f>
        <v>10</v>
      </c>
      <c r="AC1417">
        <f>ROUND(Mecze[[#This Row],[OD]]*Mecze[[#This Row],[%OU]],0)</f>
        <v>4</v>
      </c>
      <c r="AD1417" s="36" t="s">
        <v>41</v>
      </c>
      <c r="AE1417" s="36">
        <v>77</v>
      </c>
      <c r="AF1417" s="71">
        <v>7.08</v>
      </c>
      <c r="AG1417" s="37">
        <v>0</v>
      </c>
      <c r="AH1417" s="37">
        <v>0</v>
      </c>
      <c r="AI1417" s="37">
        <v>97</v>
      </c>
      <c r="AJ1417" s="37">
        <v>1</v>
      </c>
      <c r="AK1417" s="37" t="str">
        <f>VLOOKUP(Mecze[[#This Row],[Match ID]],Meczusie[Mecz]:Meczusie[RodzajMeczu],2,FALSE)</f>
        <v>Liga</v>
      </c>
    </row>
    <row r="1418" spans="1:37" x14ac:dyDescent="0.25">
      <c r="A1418" s="76">
        <v>6</v>
      </c>
      <c r="B1418" s="3" t="s">
        <v>159</v>
      </c>
      <c r="C1418" s="2" t="s">
        <v>160</v>
      </c>
      <c r="D1418" s="1">
        <v>0</v>
      </c>
      <c r="E1418" s="1">
        <v>0</v>
      </c>
      <c r="F1418" s="1">
        <v>0</v>
      </c>
      <c r="G1418" s="1">
        <v>13</v>
      </c>
      <c r="H1418" s="4">
        <v>0.62</v>
      </c>
      <c r="I1418" s="1">
        <v>6</v>
      </c>
      <c r="J1418" s="4">
        <v>0.83</v>
      </c>
      <c r="K1418" s="1">
        <v>0</v>
      </c>
      <c r="L1418" s="1">
        <v>6</v>
      </c>
      <c r="M1418" s="32">
        <f>IF(Mecze[[#This Row],[PR]]=0,0,Mecze[[#This Row],[PR]]/Mecze[[#This Row],[CZAS]])</f>
        <v>6.1855670103092786E-2</v>
      </c>
      <c r="N1418" s="32">
        <f>IF(Mecze[[#This Row],[OU]]=0,0,Mecze[[#This Row],[OU]]/Mecze[[#This Row],[CZAS]])</f>
        <v>5.1546391752577317E-2</v>
      </c>
      <c r="O1418" s="32">
        <f>IF(Mecze[[#This Row],[PC]]=0,0,Mecze[[#This Row],[PC]]/Mecze[[#This Row],[CZAS]])</f>
        <v>8.247422680412371E-2</v>
      </c>
      <c r="P1418" s="32">
        <f>IF(Mecze[[#This Row],[SC]]=0,0,Mecze[[#This Row],[SC]]/Mecze[[#This Row],[CZAS]])</f>
        <v>0</v>
      </c>
      <c r="Q1418" s="32">
        <f>IF(Mecze[[#This Row],[OB]]=0,0,Mecze[[#This Row],[OB]]/Mecze[[#This Row],[CZAS]])</f>
        <v>0</v>
      </c>
      <c r="R1418" s="32">
        <f>IF(Mecze[[#This Row],[BR]]=0,0,Mecze[[#This Row],[BR]]/Mecze[[#This Row],[CZAS]])</f>
        <v>0</v>
      </c>
      <c r="S1418" s="44">
        <f>IF(Mecze[[#This Row],[Role]]="BR",SUMPRODUCT(Mecze[[#This Row],[/PR:90]:[/BR:90]],Brudnopis!$E$23:$J$23),0)</f>
        <v>0</v>
      </c>
      <c r="T1418" s="44">
        <f>IF(Mecze[[#This Row],[Role]]&lt;&gt;"BR",SUMPRODUCT(Mecze[[#This Row],[/PR:90]:[/BR:90]],Brudnopis!$E$24:$J$24),0)</f>
        <v>0.22164948453608246</v>
      </c>
      <c r="U1418" s="44">
        <f>IF(Mecze[[#This Row],[Role]]&lt;&gt;"BR",SUMPRODUCT(Mecze[[#This Row],[/PR:90]:[/BR:90]],Brudnopis!$E$25:$J$25),0)</f>
        <v>0.23711340206185566</v>
      </c>
      <c r="V1418" s="44">
        <f>IF(Mecze[[#This Row],[Role]]&lt;&gt;"BR",SUMPRODUCT(Mecze[[#This Row],[/PR:90]:[/BR:90]],Brudnopis!$E$26:$J$26),0)</f>
        <v>0.19587628865979381</v>
      </c>
      <c r="W1418" s="44">
        <f>IF(Mecze[[#This Row],[Role]]&lt;&gt;"BR",SUMPRODUCT(Mecze[[#This Row],[/PR:90]:[/BR:90]],Brudnopis!$E$27:$J$27),0)</f>
        <v>0.20876288659793815</v>
      </c>
      <c r="X1418" s="44">
        <f>IF(Mecze[[#This Row],[Role]]&lt;&gt;"BR",SUMPRODUCT(Mecze[[#This Row],[/PR:90]:[/BR:90]],Brudnopis!$E$28:$J$28),0)</f>
        <v>8.247422680412371E-2</v>
      </c>
      <c r="Y1418" s="35">
        <f>IF(Mecze[[#This Row],[Role]]="BR",Mecze[[#This Row],[/OB:90]]+Mecze[[#This Row],[/PC:90]],SUM(Mecze[[#This Row],[/PR:90]:[/BR:90]]))</f>
        <v>0.19587628865979381</v>
      </c>
      <c r="Z1418" s="35">
        <f>IF(Mecze[[#This Row],[KC]]=0,SUM(Mecze[[#This Row],[/BRI]:[/NPI]]),SUM(Mecze[[#This Row],[/BRI]:[/NPI]])*0.6)</f>
        <v>0.9458762886597939</v>
      </c>
      <c r="AA1418" s="10">
        <f>IFERROR(Mecze[[#This Row],[BR]]/Mecze[[#This Row],[ST]],0)</f>
        <v>0</v>
      </c>
      <c r="AB1418">
        <f>ROUND(Mecze[[#This Row],[PD]]*Mecze[[#This Row],[%PC]],0)</f>
        <v>8</v>
      </c>
      <c r="AC1418">
        <f>ROUND(Mecze[[#This Row],[OD]]*Mecze[[#This Row],[%OU]],0)</f>
        <v>5</v>
      </c>
      <c r="AD1418" s="36" t="s">
        <v>41</v>
      </c>
      <c r="AE1418" s="36">
        <v>77</v>
      </c>
      <c r="AF1418" s="71">
        <v>5.17</v>
      </c>
      <c r="AG1418" s="37">
        <v>0</v>
      </c>
      <c r="AH1418" s="37">
        <v>0</v>
      </c>
      <c r="AI1418" s="37">
        <v>97</v>
      </c>
      <c r="AJ1418" s="37">
        <v>1</v>
      </c>
      <c r="AK1418" s="37" t="str">
        <f>VLOOKUP(Mecze[[#This Row],[Match ID]],Meczusie[Mecz]:Meczusie[RodzajMeczu],2,FALSE)</f>
        <v>Liga</v>
      </c>
    </row>
    <row r="1419" spans="1:37" x14ac:dyDescent="0.25">
      <c r="A1419" s="76">
        <v>15</v>
      </c>
      <c r="B1419" s="3" t="s">
        <v>170</v>
      </c>
      <c r="C1419" s="2" t="s">
        <v>160</v>
      </c>
      <c r="D1419" s="1">
        <v>0</v>
      </c>
      <c r="E1419" s="1">
        <v>1</v>
      </c>
      <c r="F1419" s="1">
        <v>1</v>
      </c>
      <c r="G1419" s="1">
        <v>12</v>
      </c>
      <c r="H1419" s="4">
        <v>0.75</v>
      </c>
      <c r="I1419" s="1">
        <v>5</v>
      </c>
      <c r="J1419" s="4">
        <v>0.4</v>
      </c>
      <c r="K1419" s="1">
        <v>0</v>
      </c>
      <c r="L1419" s="1">
        <v>2</v>
      </c>
      <c r="M1419" s="32">
        <f>IF(Mecze[[#This Row],[PR]]=0,0,Mecze[[#This Row],[PR]]/Mecze[[#This Row],[CZAS]])</f>
        <v>2.0618556701030927E-2</v>
      </c>
      <c r="N1419" s="32">
        <f>IF(Mecze[[#This Row],[OU]]=0,0,Mecze[[#This Row],[OU]]/Mecze[[#This Row],[CZAS]])</f>
        <v>2.0618556701030927E-2</v>
      </c>
      <c r="O1419" s="32">
        <f>IF(Mecze[[#This Row],[PC]]=0,0,Mecze[[#This Row],[PC]]/Mecze[[#This Row],[CZAS]])</f>
        <v>9.2783505154639179E-2</v>
      </c>
      <c r="P1419" s="32">
        <f>IF(Mecze[[#This Row],[SC]]=0,0,Mecze[[#This Row],[SC]]/Mecze[[#This Row],[CZAS]])</f>
        <v>1.0309278350515464E-2</v>
      </c>
      <c r="Q1419" s="32">
        <f>IF(Mecze[[#This Row],[OB]]=0,0,Mecze[[#This Row],[OB]]/Mecze[[#This Row],[CZAS]])</f>
        <v>0</v>
      </c>
      <c r="R1419" s="32">
        <f>IF(Mecze[[#This Row],[BR]]=0,0,Mecze[[#This Row],[BR]]/Mecze[[#This Row],[CZAS]])</f>
        <v>0</v>
      </c>
      <c r="S1419" s="44">
        <f>IF(Mecze[[#This Row],[Role]]="BR",SUMPRODUCT(Mecze[[#This Row],[/PR:90]:[/BR:90]],Brudnopis!$E$23:$J$23),0)</f>
        <v>0</v>
      </c>
      <c r="T1419" s="44">
        <f>IF(Mecze[[#This Row],[Role]]&lt;&gt;"BR",SUMPRODUCT(Mecze[[#This Row],[/PR:90]:[/BR:90]],Brudnopis!$E$24:$J$24),0)</f>
        <v>0.15463917525773194</v>
      </c>
      <c r="U1419" s="44">
        <f>IF(Mecze[[#This Row],[Role]]&lt;&gt;"BR",SUMPRODUCT(Mecze[[#This Row],[/PR:90]:[/BR:90]],Brudnopis!$E$25:$J$25),0)</f>
        <v>0.19072164948453607</v>
      </c>
      <c r="V1419" s="44">
        <f>IF(Mecze[[#This Row],[Role]]&lt;&gt;"BR",SUMPRODUCT(Mecze[[#This Row],[/PR:90]:[/BR:90]],Brudnopis!$E$26:$J$26),0)</f>
        <v>0.14432989690721648</v>
      </c>
      <c r="W1419" s="44">
        <f>IF(Mecze[[#This Row],[Role]]&lt;&gt;"BR",SUMPRODUCT(Mecze[[#This Row],[/PR:90]:[/BR:90]],Brudnopis!$E$27:$J$27),0)</f>
        <v>0.18041237113402062</v>
      </c>
      <c r="X1419" s="44">
        <f>IF(Mecze[[#This Row],[Role]]&lt;&gt;"BR",SUMPRODUCT(Mecze[[#This Row],[/PR:90]:[/BR:90]],Brudnopis!$E$28:$J$28),0)</f>
        <v>0.1134020618556701</v>
      </c>
      <c r="Y1419" s="35">
        <f>IF(Mecze[[#This Row],[Role]]="BR",Mecze[[#This Row],[/OB:90]]+Mecze[[#This Row],[/PC:90]],SUM(Mecze[[#This Row],[/PR:90]:[/BR:90]]))</f>
        <v>0.14432989690721648</v>
      </c>
      <c r="Z1419" s="35">
        <f>IF(Mecze[[#This Row],[KC]]=0,SUM(Mecze[[#This Row],[/BRI]:[/NPI]]),SUM(Mecze[[#This Row],[/BRI]:[/NPI]])*0.6)</f>
        <v>0.78350515463917525</v>
      </c>
      <c r="AA1419" s="10">
        <f>IFERROR(Mecze[[#This Row],[BR]]/Mecze[[#This Row],[ST]],0)</f>
        <v>0</v>
      </c>
      <c r="AB1419">
        <f>ROUND(Mecze[[#This Row],[PD]]*Mecze[[#This Row],[%PC]],0)</f>
        <v>9</v>
      </c>
      <c r="AC1419">
        <f>ROUND(Mecze[[#This Row],[OD]]*Mecze[[#This Row],[%OU]],0)</f>
        <v>2</v>
      </c>
      <c r="AD1419" s="36" t="s">
        <v>67</v>
      </c>
      <c r="AE1419" s="36">
        <v>77</v>
      </c>
      <c r="AF1419" s="71">
        <v>4.5599999999999996</v>
      </c>
      <c r="AG1419" s="37">
        <v>0</v>
      </c>
      <c r="AH1419" s="37">
        <v>0</v>
      </c>
      <c r="AI1419" s="37">
        <v>97</v>
      </c>
      <c r="AJ1419" s="37">
        <v>1</v>
      </c>
      <c r="AK1419" s="37" t="str">
        <f>VLOOKUP(Mecze[[#This Row],[Match ID]],Meczusie[Mecz]:Meczusie[RodzajMeczu],2,FALSE)</f>
        <v>Liga</v>
      </c>
    </row>
    <row r="1420" spans="1:37" x14ac:dyDescent="0.25">
      <c r="A1420" s="76">
        <v>8</v>
      </c>
      <c r="B1420" s="3" t="s">
        <v>154</v>
      </c>
      <c r="C1420" s="2" t="s">
        <v>160</v>
      </c>
      <c r="D1420" s="1">
        <v>0</v>
      </c>
      <c r="E1420" s="1">
        <v>1</v>
      </c>
      <c r="F1420" s="1">
        <v>1</v>
      </c>
      <c r="G1420" s="1">
        <v>5</v>
      </c>
      <c r="H1420" s="4">
        <v>0.6</v>
      </c>
      <c r="I1420" s="1">
        <v>4</v>
      </c>
      <c r="J1420" s="4">
        <v>0.25</v>
      </c>
      <c r="K1420" s="1">
        <v>0</v>
      </c>
      <c r="L1420" s="1">
        <v>2</v>
      </c>
      <c r="M1420" s="32">
        <f>IF(Mecze[[#This Row],[PR]]=0,0,Mecze[[#This Row],[PR]]/Mecze[[#This Row],[CZAS]])</f>
        <v>2.0618556701030927E-2</v>
      </c>
      <c r="N1420" s="32">
        <f>IF(Mecze[[#This Row],[OU]]=0,0,Mecze[[#This Row],[OU]]/Mecze[[#This Row],[CZAS]])</f>
        <v>1.0309278350515464E-2</v>
      </c>
      <c r="O1420" s="32">
        <f>IF(Mecze[[#This Row],[PC]]=0,0,Mecze[[#This Row],[PC]]/Mecze[[#This Row],[CZAS]])</f>
        <v>3.0927835051546393E-2</v>
      </c>
      <c r="P1420" s="32">
        <f>IF(Mecze[[#This Row],[SC]]=0,0,Mecze[[#This Row],[SC]]/Mecze[[#This Row],[CZAS]])</f>
        <v>1.0309278350515464E-2</v>
      </c>
      <c r="Q1420" s="32">
        <f>IF(Mecze[[#This Row],[OB]]=0,0,Mecze[[#This Row],[OB]]/Mecze[[#This Row],[CZAS]])</f>
        <v>0</v>
      </c>
      <c r="R1420" s="32">
        <f>IF(Mecze[[#This Row],[BR]]=0,0,Mecze[[#This Row],[BR]]/Mecze[[#This Row],[CZAS]])</f>
        <v>0</v>
      </c>
      <c r="S1420" s="44">
        <f>IF(Mecze[[#This Row],[Role]]="BR",SUMPRODUCT(Mecze[[#This Row],[/PR:90]:[/BR:90]],Brudnopis!$E$23:$J$23),0)</f>
        <v>0</v>
      </c>
      <c r="T1420" s="44">
        <f>IF(Mecze[[#This Row],[Role]]&lt;&gt;"BR",SUMPRODUCT(Mecze[[#This Row],[/PR:90]:[/BR:90]],Brudnopis!$E$24:$J$24),0)</f>
        <v>7.7319587628865982E-2</v>
      </c>
      <c r="U1420" s="44">
        <f>IF(Mecze[[#This Row],[Role]]&lt;&gt;"BR",SUMPRODUCT(Mecze[[#This Row],[/PR:90]:[/BR:90]],Brudnopis!$E$25:$J$25),0)</f>
        <v>8.7628865979381451E-2</v>
      </c>
      <c r="V1420" s="44">
        <f>IF(Mecze[[#This Row],[Role]]&lt;&gt;"BR",SUMPRODUCT(Mecze[[#This Row],[/PR:90]:[/BR:90]],Brudnopis!$E$26:$J$26),0)</f>
        <v>7.2164948453608255E-2</v>
      </c>
      <c r="W1420" s="44">
        <f>IF(Mecze[[#This Row],[Role]]&lt;&gt;"BR",SUMPRODUCT(Mecze[[#This Row],[/PR:90]:[/BR:90]],Brudnopis!$E$27:$J$27),0)</f>
        <v>7.9896907216494853E-2</v>
      </c>
      <c r="X1420" s="44">
        <f>IF(Mecze[[#This Row],[Role]]&lt;&gt;"BR",SUMPRODUCT(Mecze[[#This Row],[/PR:90]:[/BR:90]],Brudnopis!$E$28:$J$28),0)</f>
        <v>5.1546391752577317E-2</v>
      </c>
      <c r="Y1420" s="35">
        <f>IF(Mecze[[#This Row],[Role]]="BR",Mecze[[#This Row],[/OB:90]]+Mecze[[#This Row],[/PC:90]],SUM(Mecze[[#This Row],[/PR:90]:[/BR:90]]))</f>
        <v>7.2164948453608255E-2</v>
      </c>
      <c r="Z1420" s="35">
        <f>IF(Mecze[[#This Row],[KC]]=0,SUM(Mecze[[#This Row],[/BRI]:[/NPI]]),SUM(Mecze[[#This Row],[/BRI]:[/NPI]])*0.6)</f>
        <v>0.36855670103092786</v>
      </c>
      <c r="AA1420" s="10">
        <f>IFERROR(Mecze[[#This Row],[BR]]/Mecze[[#This Row],[ST]],0)</f>
        <v>0</v>
      </c>
      <c r="AB1420">
        <f>ROUND(Mecze[[#This Row],[PD]]*Mecze[[#This Row],[%PC]],0)</f>
        <v>3</v>
      </c>
      <c r="AC1420">
        <f>ROUND(Mecze[[#This Row],[OD]]*Mecze[[#This Row],[%OU]],0)</f>
        <v>1</v>
      </c>
      <c r="AD1420" s="36" t="s">
        <v>44</v>
      </c>
      <c r="AE1420" s="36">
        <v>77</v>
      </c>
      <c r="AF1420" s="71">
        <v>4.5599999999999996</v>
      </c>
      <c r="AG1420" s="37">
        <v>0</v>
      </c>
      <c r="AH1420" s="37">
        <v>0</v>
      </c>
      <c r="AI1420" s="37">
        <v>97</v>
      </c>
      <c r="AJ1420" s="37">
        <v>1</v>
      </c>
      <c r="AK1420" s="37" t="str">
        <f>VLOOKUP(Mecze[[#This Row],[Match ID]],Meczusie[Mecz]:Meczusie[RodzajMeczu],2,FALSE)</f>
        <v>Liga</v>
      </c>
    </row>
    <row r="1421" spans="1:37" x14ac:dyDescent="0.25">
      <c r="A1421" s="76">
        <v>14</v>
      </c>
      <c r="B1421" s="3" t="s">
        <v>164</v>
      </c>
      <c r="C1421" s="2" t="s">
        <v>160</v>
      </c>
      <c r="D1421" s="1">
        <v>0</v>
      </c>
      <c r="E1421" s="1">
        <v>4</v>
      </c>
      <c r="F1421" s="1">
        <v>4</v>
      </c>
      <c r="G1421" s="1">
        <v>8</v>
      </c>
      <c r="H1421" s="4">
        <v>1</v>
      </c>
      <c r="I1421" s="1">
        <v>2</v>
      </c>
      <c r="J1421" s="4">
        <v>0</v>
      </c>
      <c r="K1421" s="1">
        <v>0</v>
      </c>
      <c r="L1421" s="1">
        <v>8</v>
      </c>
      <c r="M1421" s="32">
        <f>IF(Mecze[[#This Row],[PR]]=0,0,Mecze[[#This Row],[PR]]/Mecze[[#This Row],[CZAS]])</f>
        <v>8.247422680412371E-2</v>
      </c>
      <c r="N1421" s="32">
        <f>IF(Mecze[[#This Row],[OU]]=0,0,Mecze[[#This Row],[OU]]/Mecze[[#This Row],[CZAS]])</f>
        <v>0</v>
      </c>
      <c r="O1421" s="32">
        <f>IF(Mecze[[#This Row],[PC]]=0,0,Mecze[[#This Row],[PC]]/Mecze[[#This Row],[CZAS]])</f>
        <v>8.247422680412371E-2</v>
      </c>
      <c r="P1421" s="32">
        <f>IF(Mecze[[#This Row],[SC]]=0,0,Mecze[[#This Row],[SC]]/Mecze[[#This Row],[CZAS]])</f>
        <v>4.1237113402061855E-2</v>
      </c>
      <c r="Q1421" s="32">
        <f>IF(Mecze[[#This Row],[OB]]=0,0,Mecze[[#This Row],[OB]]/Mecze[[#This Row],[CZAS]])</f>
        <v>0</v>
      </c>
      <c r="R1421" s="32">
        <f>IF(Mecze[[#This Row],[BR]]=0,0,Mecze[[#This Row],[BR]]/Mecze[[#This Row],[CZAS]])</f>
        <v>0</v>
      </c>
      <c r="S1421" s="44">
        <f>IF(Mecze[[#This Row],[Role]]="BR",SUMPRODUCT(Mecze[[#This Row],[/PR:90]:[/BR:90]],Brudnopis!$E$23:$J$23),0)</f>
        <v>0</v>
      </c>
      <c r="T1421" s="44">
        <f>IF(Mecze[[#This Row],[Role]]&lt;&gt;"BR",SUMPRODUCT(Mecze[[#This Row],[/PR:90]:[/BR:90]],Brudnopis!$E$24:$J$24),0)</f>
        <v>0.20618556701030927</v>
      </c>
      <c r="U1421" s="44">
        <f>IF(Mecze[[#This Row],[Role]]&lt;&gt;"BR",SUMPRODUCT(Mecze[[#This Row],[/PR:90]:[/BR:90]],Brudnopis!$E$25:$J$25),0)</f>
        <v>0.24742268041237112</v>
      </c>
      <c r="V1421" s="44">
        <f>IF(Mecze[[#This Row],[Role]]&lt;&gt;"BR",SUMPRODUCT(Mecze[[#This Row],[/PR:90]:[/BR:90]],Brudnopis!$E$26:$J$26),0)</f>
        <v>0.20618556701030927</v>
      </c>
      <c r="W1421" s="44">
        <f>IF(Mecze[[#This Row],[Role]]&lt;&gt;"BR",SUMPRODUCT(Mecze[[#This Row],[/PR:90]:[/BR:90]],Brudnopis!$E$27:$J$27),0)</f>
        <v>0.22680412371134021</v>
      </c>
      <c r="X1421" s="44">
        <f>IF(Mecze[[#This Row],[Role]]&lt;&gt;"BR",SUMPRODUCT(Mecze[[#This Row],[/PR:90]:[/BR:90]],Brudnopis!$E$28:$J$28),0)</f>
        <v>0.16494845360824742</v>
      </c>
      <c r="Y1421" s="35">
        <f>IF(Mecze[[#This Row],[Role]]="BR",Mecze[[#This Row],[/OB:90]]+Mecze[[#This Row],[/PC:90]],SUM(Mecze[[#This Row],[/PR:90]:[/BR:90]]))</f>
        <v>0.20618556701030927</v>
      </c>
      <c r="Z1421" s="35">
        <f>IF(Mecze[[#This Row],[KC]]=0,SUM(Mecze[[#This Row],[/BRI]:[/NPI]]),SUM(Mecze[[#This Row],[/BRI]:[/NPI]])*0.6)</f>
        <v>1.0515463917525771</v>
      </c>
      <c r="AA1421" s="10">
        <f>IFERROR(Mecze[[#This Row],[BR]]/Mecze[[#This Row],[ST]],0)</f>
        <v>0</v>
      </c>
      <c r="AB1421">
        <f>ROUND(Mecze[[#This Row],[PD]]*Mecze[[#This Row],[%PC]],0)</f>
        <v>8</v>
      </c>
      <c r="AC1421">
        <f>ROUND(Mecze[[#This Row],[OD]]*Mecze[[#This Row],[%OU]],0)</f>
        <v>0</v>
      </c>
      <c r="AD1421" s="36" t="s">
        <v>44</v>
      </c>
      <c r="AE1421" s="36">
        <v>77</v>
      </c>
      <c r="AF1421" s="71">
        <v>8.6300000000000008</v>
      </c>
      <c r="AG1421" s="37">
        <v>0</v>
      </c>
      <c r="AH1421" s="37">
        <v>0</v>
      </c>
      <c r="AI1421" s="37">
        <v>97</v>
      </c>
      <c r="AJ1421" s="37">
        <v>1</v>
      </c>
      <c r="AK1421" s="37" t="str">
        <f>VLOOKUP(Mecze[[#This Row],[Match ID]],Meczusie[Mecz]:Meczusie[RodzajMeczu],2,FALSE)</f>
        <v>Liga</v>
      </c>
    </row>
    <row r="1422" spans="1:37" x14ac:dyDescent="0.25">
      <c r="A1422" s="76">
        <v>9</v>
      </c>
      <c r="B1422" s="3" t="s">
        <v>411</v>
      </c>
      <c r="C1422" s="2" t="s">
        <v>165</v>
      </c>
      <c r="D1422" s="1">
        <v>1</v>
      </c>
      <c r="E1422" s="1">
        <v>7</v>
      </c>
      <c r="F1422" s="1">
        <v>7</v>
      </c>
      <c r="G1422" s="1">
        <v>10</v>
      </c>
      <c r="H1422" s="4">
        <v>0.6</v>
      </c>
      <c r="I1422" s="1">
        <v>2</v>
      </c>
      <c r="J1422" s="4">
        <v>0</v>
      </c>
      <c r="K1422" s="1">
        <v>0</v>
      </c>
      <c r="L1422" s="1">
        <v>1</v>
      </c>
      <c r="M1422" s="32">
        <f>IF(Mecze[[#This Row],[PR]]=0,0,Mecze[[#This Row],[PR]]/Mecze[[#This Row],[CZAS]])</f>
        <v>1.0309278350515464E-2</v>
      </c>
      <c r="N1422" s="32">
        <f>IF(Mecze[[#This Row],[OU]]=0,0,Mecze[[#This Row],[OU]]/Mecze[[#This Row],[CZAS]])</f>
        <v>0</v>
      </c>
      <c r="O1422" s="32">
        <f>IF(Mecze[[#This Row],[PC]]=0,0,Mecze[[#This Row],[PC]]/Mecze[[#This Row],[CZAS]])</f>
        <v>6.1855670103092786E-2</v>
      </c>
      <c r="P1422" s="32">
        <f>IF(Mecze[[#This Row],[SC]]=0,0,Mecze[[#This Row],[SC]]/Mecze[[#This Row],[CZAS]])</f>
        <v>7.2164948453608241E-2</v>
      </c>
      <c r="Q1422" s="32">
        <f>IF(Mecze[[#This Row],[OB]]=0,0,Mecze[[#This Row],[OB]]/Mecze[[#This Row],[CZAS]])</f>
        <v>0</v>
      </c>
      <c r="R1422" s="32">
        <f>IF(Mecze[[#This Row],[BR]]=0,0,Mecze[[#This Row],[BR]]/Mecze[[#This Row],[CZAS]])</f>
        <v>1.0309278350515464E-2</v>
      </c>
      <c r="S1422" s="44">
        <f>IF(Mecze[[#This Row],[Role]]="BR",SUMPRODUCT(Mecze[[#This Row],[/PR:90]:[/BR:90]],Brudnopis!$E$23:$J$23),0)</f>
        <v>0</v>
      </c>
      <c r="T1422" s="44">
        <f>IF(Mecze[[#This Row],[Role]]&lt;&gt;"BR",SUMPRODUCT(Mecze[[#This Row],[/PR:90]:[/BR:90]],Brudnopis!$E$24:$J$24),0)</f>
        <v>0.15979381443298968</v>
      </c>
      <c r="U1422" s="44">
        <f>IF(Mecze[[#This Row],[Role]]&lt;&gt;"BR",SUMPRODUCT(Mecze[[#This Row],[/PR:90]:[/BR:90]],Brudnopis!$E$25:$J$25),0)</f>
        <v>0.19072164948453607</v>
      </c>
      <c r="V1422" s="44">
        <f>IF(Mecze[[#This Row],[Role]]&lt;&gt;"BR",SUMPRODUCT(Mecze[[#This Row],[/PR:90]:[/BR:90]],Brudnopis!$E$26:$J$26),0)</f>
        <v>0.16494845360824742</v>
      </c>
      <c r="W1422" s="44">
        <f>IF(Mecze[[#This Row],[Role]]&lt;&gt;"BR",SUMPRODUCT(Mecze[[#This Row],[/PR:90]:[/BR:90]],Brudnopis!$E$27:$J$27),0)</f>
        <v>0.19329896907216496</v>
      </c>
      <c r="X1422" s="44">
        <f>IF(Mecze[[#This Row],[Role]]&lt;&gt;"BR",SUMPRODUCT(Mecze[[#This Row],[/PR:90]:[/BR:90]],Brudnopis!$E$28:$J$28),0)</f>
        <v>0.23711340206185566</v>
      </c>
      <c r="Y1422" s="35">
        <f>IF(Mecze[[#This Row],[Role]]="BR",Mecze[[#This Row],[/OB:90]]+Mecze[[#This Row],[/PC:90]],SUM(Mecze[[#This Row],[/PR:90]:[/BR:90]]))</f>
        <v>0.15463917525773194</v>
      </c>
      <c r="Z1422" s="35">
        <f>IF(Mecze[[#This Row],[KC]]=0,SUM(Mecze[[#This Row],[/BRI]:[/NPI]]),SUM(Mecze[[#This Row],[/BRI]:[/NPI]])*0.6)</f>
        <v>0.94587628865979378</v>
      </c>
      <c r="AA1422" s="10">
        <f>IFERROR(Mecze[[#This Row],[BR]]/Mecze[[#This Row],[ST]],0)</f>
        <v>0.14285714285714285</v>
      </c>
      <c r="AB1422">
        <f>ROUND(Mecze[[#This Row],[PD]]*Mecze[[#This Row],[%PC]],0)</f>
        <v>6</v>
      </c>
      <c r="AC1422">
        <f>ROUND(Mecze[[#This Row],[OD]]*Mecze[[#This Row],[%OU]],0)</f>
        <v>0</v>
      </c>
      <c r="AD1422" s="36" t="s">
        <v>46</v>
      </c>
      <c r="AE1422" s="36">
        <v>77</v>
      </c>
      <c r="AF1422" s="71">
        <v>7.88</v>
      </c>
      <c r="AG1422" s="37">
        <v>0</v>
      </c>
      <c r="AH1422" s="37">
        <v>0</v>
      </c>
      <c r="AI1422" s="37">
        <v>97</v>
      </c>
      <c r="AJ1422" s="37">
        <v>1</v>
      </c>
      <c r="AK1422" s="37" t="str">
        <f>VLOOKUP(Mecze[[#This Row],[Match ID]],Meczusie[Mecz]:Meczusie[RodzajMeczu],2,FALSE)</f>
        <v>Liga</v>
      </c>
    </row>
    <row r="1423" spans="1:37" x14ac:dyDescent="0.25">
      <c r="A1423" s="76">
        <v>19</v>
      </c>
      <c r="B1423" s="3" t="s">
        <v>166</v>
      </c>
      <c r="C1423" s="2" t="s">
        <v>165</v>
      </c>
      <c r="D1423" s="1">
        <v>0</v>
      </c>
      <c r="E1423" s="1">
        <v>7</v>
      </c>
      <c r="F1423" s="1">
        <v>6</v>
      </c>
      <c r="G1423" s="1">
        <v>10</v>
      </c>
      <c r="H1423" s="4">
        <v>0.8</v>
      </c>
      <c r="I1423" s="1">
        <v>2</v>
      </c>
      <c r="J1423" s="4">
        <v>0</v>
      </c>
      <c r="K1423" s="1">
        <v>0</v>
      </c>
      <c r="L1423" s="1">
        <v>0</v>
      </c>
      <c r="M1423" s="32">
        <f>IF(Mecze[[#This Row],[PR]]=0,0,Mecze[[#This Row],[PR]]/Mecze[[#This Row],[CZAS]])</f>
        <v>0</v>
      </c>
      <c r="N1423" s="32">
        <f>IF(Mecze[[#This Row],[OU]]=0,0,Mecze[[#This Row],[OU]]/Mecze[[#This Row],[CZAS]])</f>
        <v>0</v>
      </c>
      <c r="O1423" s="32">
        <f>IF(Mecze[[#This Row],[PC]]=0,0,Mecze[[#This Row],[PC]]/Mecze[[#This Row],[CZAS]])</f>
        <v>8.247422680412371E-2</v>
      </c>
      <c r="P1423" s="32">
        <f>IF(Mecze[[#This Row],[SC]]=0,0,Mecze[[#This Row],[SC]]/Mecze[[#This Row],[CZAS]])</f>
        <v>6.1855670103092786E-2</v>
      </c>
      <c r="Q1423" s="32">
        <f>IF(Mecze[[#This Row],[OB]]=0,0,Mecze[[#This Row],[OB]]/Mecze[[#This Row],[CZAS]])</f>
        <v>0</v>
      </c>
      <c r="R1423" s="32">
        <f>IF(Mecze[[#This Row],[BR]]=0,0,Mecze[[#This Row],[BR]]/Mecze[[#This Row],[CZAS]])</f>
        <v>0</v>
      </c>
      <c r="S1423" s="44">
        <f>IF(Mecze[[#This Row],[Role]]="BR",SUMPRODUCT(Mecze[[#This Row],[/PR:90]:[/BR:90]],Brudnopis!$E$23:$J$23),0)</f>
        <v>0</v>
      </c>
      <c r="T1423" s="44">
        <f>IF(Mecze[[#This Row],[Role]]&lt;&gt;"BR",SUMPRODUCT(Mecze[[#This Row],[/PR:90]:[/BR:90]],Brudnopis!$E$24:$J$24),0)</f>
        <v>0.14432989690721648</v>
      </c>
      <c r="U1423" s="44">
        <f>IF(Mecze[[#This Row],[Role]]&lt;&gt;"BR",SUMPRODUCT(Mecze[[#This Row],[/PR:90]:[/BR:90]],Brudnopis!$E$25:$J$25),0)</f>
        <v>0.18556701030927836</v>
      </c>
      <c r="V1423" s="44">
        <f>IF(Mecze[[#This Row],[Role]]&lt;&gt;"BR",SUMPRODUCT(Mecze[[#This Row],[/PR:90]:[/BR:90]],Brudnopis!$E$26:$J$26),0)</f>
        <v>0.14432989690721648</v>
      </c>
      <c r="W1423" s="44">
        <f>IF(Mecze[[#This Row],[Role]]&lt;&gt;"BR",SUMPRODUCT(Mecze[[#This Row],[/PR:90]:[/BR:90]],Brudnopis!$E$27:$J$27),0)</f>
        <v>0.18556701030927836</v>
      </c>
      <c r="X1423" s="44">
        <f>IF(Mecze[[#This Row],[Role]]&lt;&gt;"BR",SUMPRODUCT(Mecze[[#This Row],[/PR:90]:[/BR:90]],Brudnopis!$E$28:$J$28),0)</f>
        <v>0.20618556701030927</v>
      </c>
      <c r="Y1423" s="35">
        <f>IF(Mecze[[#This Row],[Role]]="BR",Mecze[[#This Row],[/OB:90]]+Mecze[[#This Row],[/PC:90]],SUM(Mecze[[#This Row],[/PR:90]:[/BR:90]]))</f>
        <v>0.14432989690721648</v>
      </c>
      <c r="Z1423" s="35">
        <f>IF(Mecze[[#This Row],[KC]]=0,SUM(Mecze[[#This Row],[/BRI]:[/NPI]]),SUM(Mecze[[#This Row],[/BRI]:[/NPI]])*0.6)</f>
        <v>0.865979381443299</v>
      </c>
      <c r="AA1423" s="10">
        <f>IFERROR(Mecze[[#This Row],[BR]]/Mecze[[#This Row],[ST]],0)</f>
        <v>0</v>
      </c>
      <c r="AB1423">
        <f>ROUND(Mecze[[#This Row],[PD]]*Mecze[[#This Row],[%PC]],0)</f>
        <v>8</v>
      </c>
      <c r="AC1423">
        <f>ROUND(Mecze[[#This Row],[OD]]*Mecze[[#This Row],[%OU]],0)</f>
        <v>0</v>
      </c>
      <c r="AD1423" s="36" t="s">
        <v>46</v>
      </c>
      <c r="AE1423" s="36">
        <v>77</v>
      </c>
      <c r="AF1423" s="71">
        <v>6.28</v>
      </c>
      <c r="AG1423" s="37">
        <v>0</v>
      </c>
      <c r="AH1423" s="37">
        <v>0</v>
      </c>
      <c r="AI1423" s="37">
        <v>97</v>
      </c>
      <c r="AJ1423" s="37">
        <v>1</v>
      </c>
      <c r="AK1423" s="37" t="str">
        <f>VLOOKUP(Mecze[[#This Row],[Match ID]],Meczusie[Mecz]:Meczusie[RodzajMeczu],2,FALSE)</f>
        <v>Liga</v>
      </c>
    </row>
    <row r="1424" spans="1:37" x14ac:dyDescent="0.25">
      <c r="A1424" s="76">
        <v>49</v>
      </c>
      <c r="B1424" s="3" t="s">
        <v>358</v>
      </c>
      <c r="C1424" s="2" t="s">
        <v>155</v>
      </c>
      <c r="D1424" s="1">
        <v>0</v>
      </c>
      <c r="E1424" s="1">
        <v>0</v>
      </c>
      <c r="F1424" s="1">
        <v>0</v>
      </c>
      <c r="G1424" s="1">
        <v>5</v>
      </c>
      <c r="H1424" s="4">
        <v>0.4</v>
      </c>
      <c r="I1424" s="1">
        <v>0</v>
      </c>
      <c r="J1424" s="4"/>
      <c r="K1424" s="1">
        <v>2</v>
      </c>
      <c r="L1424" s="1">
        <v>0</v>
      </c>
      <c r="M1424" s="32">
        <f>IF(Mecze[[#This Row],[PR]]=0,0,Mecze[[#This Row],[PR]]/Mecze[[#This Row],[CZAS]])</f>
        <v>0</v>
      </c>
      <c r="N1424" s="32">
        <f>IF(Mecze[[#This Row],[OU]]=0,0,Mecze[[#This Row],[OU]]/Mecze[[#This Row],[CZAS]])</f>
        <v>0</v>
      </c>
      <c r="O1424" s="32">
        <f>IF(Mecze[[#This Row],[PC]]=0,0,Mecze[[#This Row],[PC]]/Mecze[[#This Row],[CZAS]])</f>
        <v>2.0618556701030927E-2</v>
      </c>
      <c r="P1424" s="32">
        <f>IF(Mecze[[#This Row],[SC]]=0,0,Mecze[[#This Row],[SC]]/Mecze[[#This Row],[CZAS]])</f>
        <v>0</v>
      </c>
      <c r="Q1424" s="32">
        <f>IF(Mecze[[#This Row],[OB]]=0,0,Mecze[[#This Row],[OB]]/Mecze[[#This Row],[CZAS]])</f>
        <v>2.0618556701030927E-2</v>
      </c>
      <c r="R1424" s="32">
        <f>IF(Mecze[[#This Row],[BR]]=0,0,Mecze[[#This Row],[BR]]/Mecze[[#This Row],[CZAS]])</f>
        <v>0</v>
      </c>
      <c r="S1424" s="44">
        <f>IF(Mecze[[#This Row],[Role]]="BR",SUMPRODUCT(Mecze[[#This Row],[/PR:90]:[/BR:90]],Brudnopis!$E$23:$J$23),0)</f>
        <v>0.12371134020618557</v>
      </c>
      <c r="T1424" s="44">
        <f>IF(Mecze[[#This Row],[Role]]&lt;&gt;"BR",SUMPRODUCT(Mecze[[#This Row],[/PR:90]:[/BR:90]],Brudnopis!$E$24:$J$24),0)</f>
        <v>0</v>
      </c>
      <c r="U1424" s="44">
        <f>IF(Mecze[[#This Row],[Role]]&lt;&gt;"BR",SUMPRODUCT(Mecze[[#This Row],[/PR:90]:[/BR:90]],Brudnopis!$E$25:$J$25),0)</f>
        <v>0</v>
      </c>
      <c r="V1424" s="44">
        <f>IF(Mecze[[#This Row],[Role]]&lt;&gt;"BR",SUMPRODUCT(Mecze[[#This Row],[/PR:90]:[/BR:90]],Brudnopis!$E$26:$J$26),0)</f>
        <v>0</v>
      </c>
      <c r="W1424" s="44">
        <f>IF(Mecze[[#This Row],[Role]]&lt;&gt;"BR",SUMPRODUCT(Mecze[[#This Row],[/PR:90]:[/BR:90]],Brudnopis!$E$27:$J$27),0)</f>
        <v>0</v>
      </c>
      <c r="X1424" s="44">
        <f>IF(Mecze[[#This Row],[Role]]&lt;&gt;"BR",SUMPRODUCT(Mecze[[#This Row],[/PR:90]:[/BR:90]],Brudnopis!$E$28:$J$28),0)</f>
        <v>0</v>
      </c>
      <c r="Y1424" s="35">
        <f>IF(Mecze[[#This Row],[Role]]="BR",Mecze[[#This Row],[/OB:90]]+Mecze[[#This Row],[/PC:90]],SUM(Mecze[[#This Row],[/PR:90]:[/BR:90]]))</f>
        <v>4.1237113402061855E-2</v>
      </c>
      <c r="Z1424" s="35">
        <f>IF(Mecze[[#This Row],[KC]]=0,SUM(Mecze[[#This Row],[/BRI]:[/NPI]]),SUM(Mecze[[#This Row],[/BRI]:[/NPI]])*0.6)</f>
        <v>0.12371134020618557</v>
      </c>
      <c r="AA1424" s="10">
        <f>IFERROR(Mecze[[#This Row],[BR]]/Mecze[[#This Row],[ST]],0)</f>
        <v>0</v>
      </c>
      <c r="AB1424">
        <f>ROUND(Mecze[[#This Row],[PD]]*Mecze[[#This Row],[%PC]],0)</f>
        <v>2</v>
      </c>
      <c r="AC1424">
        <f>ROUND(Mecze[[#This Row],[OD]]*Mecze[[#This Row],[%OU]],0)</f>
        <v>0</v>
      </c>
      <c r="AD1424" s="36" t="s">
        <v>40</v>
      </c>
      <c r="AE1424" s="36">
        <v>78</v>
      </c>
      <c r="AF1424" s="71">
        <v>7.74</v>
      </c>
      <c r="AG1424" s="37">
        <v>0</v>
      </c>
      <c r="AH1424" s="37">
        <v>0</v>
      </c>
      <c r="AI1424" s="37">
        <v>97</v>
      </c>
      <c r="AJ1424" s="37">
        <v>1</v>
      </c>
      <c r="AK1424" s="37" t="str">
        <f>VLOOKUP(Mecze[[#This Row],[Match ID]],Meczusie[Mecz]:Meczusie[RodzajMeczu],2,FALSE)</f>
        <v>Towarzyski</v>
      </c>
    </row>
    <row r="1425" spans="1:37" x14ac:dyDescent="0.25">
      <c r="A1425" s="76">
        <v>38</v>
      </c>
      <c r="B1425" s="3" t="s">
        <v>359</v>
      </c>
      <c r="C1425" s="2" t="s">
        <v>157</v>
      </c>
      <c r="D1425" s="1">
        <v>0</v>
      </c>
      <c r="E1425" s="1">
        <v>0</v>
      </c>
      <c r="F1425" s="1">
        <v>0</v>
      </c>
      <c r="G1425" s="1">
        <v>10</v>
      </c>
      <c r="H1425" s="4">
        <v>0.5</v>
      </c>
      <c r="I1425" s="1">
        <v>8</v>
      </c>
      <c r="J1425" s="4">
        <v>0.5</v>
      </c>
      <c r="K1425" s="1">
        <v>0</v>
      </c>
      <c r="L1425" s="1">
        <v>9</v>
      </c>
      <c r="M1425" s="32">
        <f>IF(Mecze[[#This Row],[PR]]=0,0,Mecze[[#This Row],[PR]]/Mecze[[#This Row],[CZAS]])</f>
        <v>9.2783505154639179E-2</v>
      </c>
      <c r="N1425" s="32">
        <f>IF(Mecze[[#This Row],[OU]]=0,0,Mecze[[#This Row],[OU]]/Mecze[[#This Row],[CZAS]])</f>
        <v>4.1237113402061855E-2</v>
      </c>
      <c r="O1425" s="32">
        <f>IF(Mecze[[#This Row],[PC]]=0,0,Mecze[[#This Row],[PC]]/Mecze[[#This Row],[CZAS]])</f>
        <v>5.1546391752577317E-2</v>
      </c>
      <c r="P1425" s="32">
        <f>IF(Mecze[[#This Row],[SC]]=0,0,Mecze[[#This Row],[SC]]/Mecze[[#This Row],[CZAS]])</f>
        <v>0</v>
      </c>
      <c r="Q1425" s="32">
        <f>IF(Mecze[[#This Row],[OB]]=0,0,Mecze[[#This Row],[OB]]/Mecze[[#This Row],[CZAS]])</f>
        <v>0</v>
      </c>
      <c r="R1425" s="32">
        <f>IF(Mecze[[#This Row],[BR]]=0,0,Mecze[[#This Row],[BR]]/Mecze[[#This Row],[CZAS]])</f>
        <v>0</v>
      </c>
      <c r="S1425" s="44">
        <f>IF(Mecze[[#This Row],[Role]]="BR",SUMPRODUCT(Mecze[[#This Row],[/PR:90]:[/BR:90]],Brudnopis!$E$23:$J$23),0)</f>
        <v>0</v>
      </c>
      <c r="T1425" s="44">
        <f>IF(Mecze[[#This Row],[Role]]&lt;&gt;"BR",SUMPRODUCT(Mecze[[#This Row],[/PR:90]:[/BR:90]],Brudnopis!$E$24:$J$24),0)</f>
        <v>0.20618556701030927</v>
      </c>
      <c r="U1425" s="44">
        <f>IF(Mecze[[#This Row],[Role]]&lt;&gt;"BR",SUMPRODUCT(Mecze[[#This Row],[/PR:90]:[/BR:90]],Brudnopis!$E$25:$J$25),0)</f>
        <v>0.21134020618556701</v>
      </c>
      <c r="V1425" s="44">
        <f>IF(Mecze[[#This Row],[Role]]&lt;&gt;"BR",SUMPRODUCT(Mecze[[#This Row],[/PR:90]:[/BR:90]],Brudnopis!$E$26:$J$26),0)</f>
        <v>0.18556701030927836</v>
      </c>
      <c r="W1425" s="44">
        <f>IF(Mecze[[#This Row],[Role]]&lt;&gt;"BR",SUMPRODUCT(Mecze[[#This Row],[/PR:90]:[/BR:90]],Brudnopis!$E$27:$J$27),0)</f>
        <v>0.17783505154639176</v>
      </c>
      <c r="X1425" s="44">
        <f>IF(Mecze[[#This Row],[Role]]&lt;&gt;"BR",SUMPRODUCT(Mecze[[#This Row],[/PR:90]:[/BR:90]],Brudnopis!$E$28:$J$28),0)</f>
        <v>5.1546391752577317E-2</v>
      </c>
      <c r="Y1425" s="35">
        <f>IF(Mecze[[#This Row],[Role]]="BR",Mecze[[#This Row],[/OB:90]]+Mecze[[#This Row],[/PC:90]],SUM(Mecze[[#This Row],[/PR:90]:[/BR:90]]))</f>
        <v>0.18556701030927836</v>
      </c>
      <c r="Z1425" s="35">
        <f>IF(Mecze[[#This Row],[KC]]=0,SUM(Mecze[[#This Row],[/BRI]:[/NPI]]),SUM(Mecze[[#This Row],[/BRI]:[/NPI]])*0.6)</f>
        <v>0.83247422680412375</v>
      </c>
      <c r="AA1425" s="10">
        <f>IFERROR(Mecze[[#This Row],[BR]]/Mecze[[#This Row],[ST]],0)</f>
        <v>0</v>
      </c>
      <c r="AB1425">
        <f>ROUND(Mecze[[#This Row],[PD]]*Mecze[[#This Row],[%PC]],0)</f>
        <v>5</v>
      </c>
      <c r="AC1425">
        <f>ROUND(Mecze[[#This Row],[OD]]*Mecze[[#This Row],[%OU]],0)</f>
        <v>4</v>
      </c>
      <c r="AD1425" s="36" t="s">
        <v>47</v>
      </c>
      <c r="AE1425" s="36">
        <v>78</v>
      </c>
      <c r="AF1425" s="71">
        <v>8.94</v>
      </c>
      <c r="AG1425" s="37">
        <v>1</v>
      </c>
      <c r="AH1425" s="37">
        <v>0</v>
      </c>
      <c r="AI1425" s="37">
        <v>97</v>
      </c>
      <c r="AJ1425" s="37">
        <v>1</v>
      </c>
      <c r="AK1425" s="37" t="str">
        <f>VLOOKUP(Mecze[[#This Row],[Match ID]],Meczusie[Mecz]:Meczusie[RodzajMeczu],2,FALSE)</f>
        <v>Towarzyski</v>
      </c>
    </row>
    <row r="1426" spans="1:37" x14ac:dyDescent="0.25">
      <c r="A1426" s="76">
        <v>4</v>
      </c>
      <c r="B1426" s="3" t="s">
        <v>360</v>
      </c>
      <c r="C1426" s="2" t="s">
        <v>157</v>
      </c>
      <c r="D1426" s="1">
        <v>0</v>
      </c>
      <c r="E1426" s="1">
        <v>2</v>
      </c>
      <c r="F1426" s="1">
        <v>1</v>
      </c>
      <c r="G1426" s="1">
        <v>17</v>
      </c>
      <c r="H1426" s="4">
        <v>0.35</v>
      </c>
      <c r="I1426" s="1">
        <v>8</v>
      </c>
      <c r="J1426" s="4">
        <v>0.5</v>
      </c>
      <c r="K1426" s="1">
        <v>0</v>
      </c>
      <c r="L1426" s="1">
        <v>14</v>
      </c>
      <c r="M1426" s="32">
        <f>IF(Mecze[[#This Row],[PR]]=0,0,Mecze[[#This Row],[PR]]/Mecze[[#This Row],[CZAS]])</f>
        <v>0.14432989690721648</v>
      </c>
      <c r="N1426" s="32">
        <f>IF(Mecze[[#This Row],[OU]]=0,0,Mecze[[#This Row],[OU]]/Mecze[[#This Row],[CZAS]])</f>
        <v>4.1237113402061855E-2</v>
      </c>
      <c r="O1426" s="32">
        <f>IF(Mecze[[#This Row],[PC]]=0,0,Mecze[[#This Row],[PC]]/Mecze[[#This Row],[CZAS]])</f>
        <v>6.1855670103092786E-2</v>
      </c>
      <c r="P1426" s="32">
        <f>IF(Mecze[[#This Row],[SC]]=0,0,Mecze[[#This Row],[SC]]/Mecze[[#This Row],[CZAS]])</f>
        <v>1.0309278350515464E-2</v>
      </c>
      <c r="Q1426" s="32">
        <f>IF(Mecze[[#This Row],[OB]]=0,0,Mecze[[#This Row],[OB]]/Mecze[[#This Row],[CZAS]])</f>
        <v>0</v>
      </c>
      <c r="R1426" s="32">
        <f>IF(Mecze[[#This Row],[BR]]=0,0,Mecze[[#This Row],[BR]]/Mecze[[#This Row],[CZAS]])</f>
        <v>0</v>
      </c>
      <c r="S1426" s="44">
        <f>IF(Mecze[[#This Row],[Role]]="BR",SUMPRODUCT(Mecze[[#This Row],[/PR:90]:[/BR:90]],Brudnopis!$E$23:$J$23),0)</f>
        <v>0</v>
      </c>
      <c r="T1426" s="44">
        <f>IF(Mecze[[#This Row],[Role]]&lt;&gt;"BR",SUMPRODUCT(Mecze[[#This Row],[/PR:90]:[/BR:90]],Brudnopis!$E$24:$J$24),0)</f>
        <v>0.27835051546391754</v>
      </c>
      <c r="U1426" s="44">
        <f>IF(Mecze[[#This Row],[Role]]&lt;&gt;"BR",SUMPRODUCT(Mecze[[#This Row],[/PR:90]:[/BR:90]],Brudnopis!$E$25:$J$25),0)</f>
        <v>0.28865979381443302</v>
      </c>
      <c r="V1426" s="44">
        <f>IF(Mecze[[#This Row],[Role]]&lt;&gt;"BR",SUMPRODUCT(Mecze[[#This Row],[/PR:90]:[/BR:90]],Brudnopis!$E$26:$J$26),0)</f>
        <v>0.25773195876288657</v>
      </c>
      <c r="W1426" s="44">
        <f>IF(Mecze[[#This Row],[Role]]&lt;&gt;"BR",SUMPRODUCT(Mecze[[#This Row],[/PR:90]:[/BR:90]],Brudnopis!$E$27:$J$27),0)</f>
        <v>0.2422680412371134</v>
      </c>
      <c r="X1426" s="44">
        <f>IF(Mecze[[#This Row],[Role]]&lt;&gt;"BR",SUMPRODUCT(Mecze[[#This Row],[/PR:90]:[/BR:90]],Brudnopis!$E$28:$J$28),0)</f>
        <v>8.247422680412371E-2</v>
      </c>
      <c r="Y1426" s="35">
        <f>IF(Mecze[[#This Row],[Role]]="BR",Mecze[[#This Row],[/OB:90]]+Mecze[[#This Row],[/PC:90]],SUM(Mecze[[#This Row],[/PR:90]:[/BR:90]]))</f>
        <v>0.25773195876288657</v>
      </c>
      <c r="Z1426" s="35">
        <f>IF(Mecze[[#This Row],[KC]]=0,SUM(Mecze[[#This Row],[/BRI]:[/NPI]]),SUM(Mecze[[#This Row],[/BRI]:[/NPI]])*0.6)</f>
        <v>1.1494845360824741</v>
      </c>
      <c r="AA1426" s="10">
        <f>IFERROR(Mecze[[#This Row],[BR]]/Mecze[[#This Row],[ST]],0)</f>
        <v>0</v>
      </c>
      <c r="AB1426">
        <f>ROUND(Mecze[[#This Row],[PD]]*Mecze[[#This Row],[%PC]],0)</f>
        <v>6</v>
      </c>
      <c r="AC1426">
        <f>ROUND(Mecze[[#This Row],[OD]]*Mecze[[#This Row],[%OU]],0)</f>
        <v>4</v>
      </c>
      <c r="AD1426" s="36" t="s">
        <v>168</v>
      </c>
      <c r="AE1426" s="36">
        <v>78</v>
      </c>
      <c r="AF1426" s="71">
        <v>9.99</v>
      </c>
      <c r="AG1426" s="37">
        <v>1</v>
      </c>
      <c r="AH1426" s="37">
        <v>0</v>
      </c>
      <c r="AI1426" s="37">
        <v>97</v>
      </c>
      <c r="AJ1426" s="37">
        <v>1</v>
      </c>
      <c r="AK1426" s="37" t="str">
        <f>VLOOKUP(Mecze[[#This Row],[Match ID]],Meczusie[Mecz]:Meczusie[RodzajMeczu],2,FALSE)</f>
        <v>Towarzyski</v>
      </c>
    </row>
    <row r="1427" spans="1:37" x14ac:dyDescent="0.25">
      <c r="A1427" s="76">
        <v>42</v>
      </c>
      <c r="B1427" s="3" t="s">
        <v>361</v>
      </c>
      <c r="C1427" s="2" t="s">
        <v>157</v>
      </c>
      <c r="D1427" s="1">
        <v>0</v>
      </c>
      <c r="E1427" s="1">
        <v>0</v>
      </c>
      <c r="F1427" s="1">
        <v>0</v>
      </c>
      <c r="G1427" s="1">
        <v>7</v>
      </c>
      <c r="H1427" s="4">
        <v>0.28999999999999998</v>
      </c>
      <c r="I1427" s="1">
        <v>6</v>
      </c>
      <c r="J1427" s="4">
        <v>0.5</v>
      </c>
      <c r="K1427" s="1">
        <v>0</v>
      </c>
      <c r="L1427" s="1">
        <v>9</v>
      </c>
      <c r="M1427" s="32">
        <f>IF(Mecze[[#This Row],[PR]]=0,0,Mecze[[#This Row],[PR]]/Mecze[[#This Row],[CZAS]])</f>
        <v>9.2783505154639179E-2</v>
      </c>
      <c r="N1427" s="32">
        <f>IF(Mecze[[#This Row],[OU]]=0,0,Mecze[[#This Row],[OU]]/Mecze[[#This Row],[CZAS]])</f>
        <v>3.0927835051546393E-2</v>
      </c>
      <c r="O1427" s="32">
        <f>IF(Mecze[[#This Row],[PC]]=0,0,Mecze[[#This Row],[PC]]/Mecze[[#This Row],[CZAS]])</f>
        <v>2.0618556701030927E-2</v>
      </c>
      <c r="P1427" s="32">
        <f>IF(Mecze[[#This Row],[SC]]=0,0,Mecze[[#This Row],[SC]]/Mecze[[#This Row],[CZAS]])</f>
        <v>0</v>
      </c>
      <c r="Q1427" s="32">
        <f>IF(Mecze[[#This Row],[OB]]=0,0,Mecze[[#This Row],[OB]]/Mecze[[#This Row],[CZAS]])</f>
        <v>0</v>
      </c>
      <c r="R1427" s="32">
        <f>IF(Mecze[[#This Row],[BR]]=0,0,Mecze[[#This Row],[BR]]/Mecze[[#This Row],[CZAS]])</f>
        <v>0</v>
      </c>
      <c r="S1427" s="44">
        <f>IF(Mecze[[#This Row],[Role]]="BR",SUMPRODUCT(Mecze[[#This Row],[/PR:90]:[/BR:90]],Brudnopis!$E$23:$J$23),0)</f>
        <v>0</v>
      </c>
      <c r="T1427" s="44">
        <f>IF(Mecze[[#This Row],[Role]]&lt;&gt;"BR",SUMPRODUCT(Mecze[[#This Row],[/PR:90]:[/BR:90]],Brudnopis!$E$24:$J$24),0)</f>
        <v>0.15979381443298971</v>
      </c>
      <c r="U1427" s="44">
        <f>IF(Mecze[[#This Row],[Role]]&lt;&gt;"BR",SUMPRODUCT(Mecze[[#This Row],[/PR:90]:[/BR:90]],Brudnopis!$E$25:$J$25),0)</f>
        <v>0.15463917525773196</v>
      </c>
      <c r="V1427" s="44">
        <f>IF(Mecze[[#This Row],[Role]]&lt;&gt;"BR",SUMPRODUCT(Mecze[[#This Row],[/PR:90]:[/BR:90]],Brudnopis!$E$26:$J$26),0)</f>
        <v>0.14432989690721651</v>
      </c>
      <c r="W1427" s="44">
        <f>IF(Mecze[[#This Row],[Role]]&lt;&gt;"BR",SUMPRODUCT(Mecze[[#This Row],[/PR:90]:[/BR:90]],Brudnopis!$E$27:$J$27),0)</f>
        <v>0.12371134020618557</v>
      </c>
      <c r="X1427" s="44">
        <f>IF(Mecze[[#This Row],[Role]]&lt;&gt;"BR",SUMPRODUCT(Mecze[[#This Row],[/PR:90]:[/BR:90]],Brudnopis!$E$28:$J$28),0)</f>
        <v>2.0618556701030927E-2</v>
      </c>
      <c r="Y1427" s="35">
        <f>IF(Mecze[[#This Row],[Role]]="BR",Mecze[[#This Row],[/OB:90]]+Mecze[[#This Row],[/PC:90]],SUM(Mecze[[#This Row],[/PR:90]:[/BR:90]]))</f>
        <v>0.14432989690721651</v>
      </c>
      <c r="Z1427" s="35">
        <f>IF(Mecze[[#This Row],[KC]]=0,SUM(Mecze[[#This Row],[/BRI]:[/NPI]]),SUM(Mecze[[#This Row],[/BRI]:[/NPI]])*0.6)</f>
        <v>0.60309278350515472</v>
      </c>
      <c r="AA1427" s="10">
        <f>IFERROR(Mecze[[#This Row],[BR]]/Mecze[[#This Row],[ST]],0)</f>
        <v>0</v>
      </c>
      <c r="AB1427">
        <f>ROUND(Mecze[[#This Row],[PD]]*Mecze[[#This Row],[%PC]],0)</f>
        <v>2</v>
      </c>
      <c r="AC1427">
        <f>ROUND(Mecze[[#This Row],[OD]]*Mecze[[#This Row],[%OU]],0)</f>
        <v>3</v>
      </c>
      <c r="AD1427" s="36" t="s">
        <v>167</v>
      </c>
      <c r="AE1427" s="36">
        <v>78</v>
      </c>
      <c r="AF1427" s="71">
        <v>10.050000000000001</v>
      </c>
      <c r="AG1427" s="37">
        <v>0</v>
      </c>
      <c r="AH1427" s="37">
        <v>0</v>
      </c>
      <c r="AI1427" s="37">
        <v>97</v>
      </c>
      <c r="AJ1427" s="37">
        <v>1</v>
      </c>
      <c r="AK1427" s="37" t="str">
        <f>VLOOKUP(Mecze[[#This Row],[Match ID]],Meczusie[Mecz]:Meczusie[RodzajMeczu],2,FALSE)</f>
        <v>Towarzyski</v>
      </c>
    </row>
    <row r="1428" spans="1:37" x14ac:dyDescent="0.25">
      <c r="A1428" s="76">
        <v>33</v>
      </c>
      <c r="B1428" s="3" t="s">
        <v>362</v>
      </c>
      <c r="C1428" s="2" t="s">
        <v>160</v>
      </c>
      <c r="D1428" s="1">
        <v>0</v>
      </c>
      <c r="E1428" s="1">
        <v>0</v>
      </c>
      <c r="F1428" s="1">
        <v>0</v>
      </c>
      <c r="G1428" s="1">
        <v>18</v>
      </c>
      <c r="H1428" s="4">
        <v>0.5</v>
      </c>
      <c r="I1428" s="1">
        <v>7</v>
      </c>
      <c r="J1428" s="4">
        <v>0.14000000000000001</v>
      </c>
      <c r="K1428" s="1">
        <v>0</v>
      </c>
      <c r="L1428" s="1">
        <v>11</v>
      </c>
      <c r="M1428" s="32">
        <f>IF(Mecze[[#This Row],[PR]]=0,0,Mecze[[#This Row],[PR]]/Mecze[[#This Row],[CZAS]])</f>
        <v>0.1134020618556701</v>
      </c>
      <c r="N1428" s="32">
        <f>IF(Mecze[[#This Row],[OU]]=0,0,Mecze[[#This Row],[OU]]/Mecze[[#This Row],[CZAS]])</f>
        <v>1.0309278350515464E-2</v>
      </c>
      <c r="O1428" s="32">
        <f>IF(Mecze[[#This Row],[PC]]=0,0,Mecze[[#This Row],[PC]]/Mecze[[#This Row],[CZAS]])</f>
        <v>9.2783505154639179E-2</v>
      </c>
      <c r="P1428" s="32">
        <f>IF(Mecze[[#This Row],[SC]]=0,0,Mecze[[#This Row],[SC]]/Mecze[[#This Row],[CZAS]])</f>
        <v>0</v>
      </c>
      <c r="Q1428" s="32">
        <f>IF(Mecze[[#This Row],[OB]]=0,0,Mecze[[#This Row],[OB]]/Mecze[[#This Row],[CZAS]])</f>
        <v>0</v>
      </c>
      <c r="R1428" s="32">
        <f>IF(Mecze[[#This Row],[BR]]=0,0,Mecze[[#This Row],[BR]]/Mecze[[#This Row],[CZAS]])</f>
        <v>0</v>
      </c>
      <c r="S1428" s="44">
        <f>IF(Mecze[[#This Row],[Role]]="BR",SUMPRODUCT(Mecze[[#This Row],[/PR:90]:[/BR:90]],Brudnopis!$E$23:$J$23),0)</f>
        <v>0</v>
      </c>
      <c r="T1428" s="44">
        <f>IF(Mecze[[#This Row],[Role]]&lt;&gt;"BR",SUMPRODUCT(Mecze[[#This Row],[/PR:90]:[/BR:90]],Brudnopis!$E$24:$J$24),0)</f>
        <v>0.22164948453608246</v>
      </c>
      <c r="U1428" s="44">
        <f>IF(Mecze[[#This Row],[Role]]&lt;&gt;"BR",SUMPRODUCT(Mecze[[#This Row],[/PR:90]:[/BR:90]],Brudnopis!$E$25:$J$25),0)</f>
        <v>0.26288659793814434</v>
      </c>
      <c r="V1428" s="44">
        <f>IF(Mecze[[#This Row],[Role]]&lt;&gt;"BR",SUMPRODUCT(Mecze[[#This Row],[/PR:90]:[/BR:90]],Brudnopis!$E$26:$J$26),0)</f>
        <v>0.21649484536082475</v>
      </c>
      <c r="W1428" s="44">
        <f>IF(Mecze[[#This Row],[Role]]&lt;&gt;"BR",SUMPRODUCT(Mecze[[#This Row],[/PR:90]:[/BR:90]],Brudnopis!$E$27:$J$27),0)</f>
        <v>0.23195876288659795</v>
      </c>
      <c r="X1428" s="44">
        <f>IF(Mecze[[#This Row],[Role]]&lt;&gt;"BR",SUMPRODUCT(Mecze[[#This Row],[/PR:90]:[/BR:90]],Brudnopis!$E$28:$J$28),0)</f>
        <v>9.2783505154639179E-2</v>
      </c>
      <c r="Y1428" s="35">
        <f>IF(Mecze[[#This Row],[Role]]="BR",Mecze[[#This Row],[/OB:90]]+Mecze[[#This Row],[/PC:90]],SUM(Mecze[[#This Row],[/PR:90]:[/BR:90]]))</f>
        <v>0.21649484536082475</v>
      </c>
      <c r="Z1428" s="35">
        <f>IF(Mecze[[#This Row],[KC]]=0,SUM(Mecze[[#This Row],[/BRI]:[/NPI]]),SUM(Mecze[[#This Row],[/BRI]:[/NPI]])*0.6)</f>
        <v>1.0257731958762886</v>
      </c>
      <c r="AA1428" s="10">
        <f>IFERROR(Mecze[[#This Row],[BR]]/Mecze[[#This Row],[ST]],0)</f>
        <v>0</v>
      </c>
      <c r="AB1428">
        <f>ROUND(Mecze[[#This Row],[PD]]*Mecze[[#This Row],[%PC]],0)</f>
        <v>9</v>
      </c>
      <c r="AC1428">
        <f>ROUND(Mecze[[#This Row],[OD]]*Mecze[[#This Row],[%OU]],0)</f>
        <v>1</v>
      </c>
      <c r="AD1428" s="36" t="s">
        <v>41</v>
      </c>
      <c r="AE1428" s="36">
        <v>78</v>
      </c>
      <c r="AF1428" s="71">
        <v>10.56</v>
      </c>
      <c r="AG1428" s="37">
        <v>0</v>
      </c>
      <c r="AH1428" s="37">
        <v>0</v>
      </c>
      <c r="AI1428" s="37">
        <v>97</v>
      </c>
      <c r="AJ1428" s="37">
        <v>1</v>
      </c>
      <c r="AK1428" s="37" t="str">
        <f>VLOOKUP(Mecze[[#This Row],[Match ID]],Meczusie[Mecz]:Meczusie[RodzajMeczu],2,FALSE)</f>
        <v>Towarzyski</v>
      </c>
    </row>
    <row r="1429" spans="1:37" x14ac:dyDescent="0.25">
      <c r="A1429" s="76">
        <v>22</v>
      </c>
      <c r="B1429" s="3" t="s">
        <v>363</v>
      </c>
      <c r="C1429" s="2" t="s">
        <v>160</v>
      </c>
      <c r="D1429" s="1">
        <v>0</v>
      </c>
      <c r="E1429" s="1">
        <v>0</v>
      </c>
      <c r="F1429" s="1">
        <v>0</v>
      </c>
      <c r="G1429" s="1">
        <v>12</v>
      </c>
      <c r="H1429" s="4">
        <v>0.57999999999999996</v>
      </c>
      <c r="I1429" s="1">
        <v>6</v>
      </c>
      <c r="J1429" s="4">
        <v>0.33</v>
      </c>
      <c r="K1429" s="1">
        <v>0</v>
      </c>
      <c r="L1429" s="1">
        <v>10</v>
      </c>
      <c r="M1429" s="32">
        <f>IF(Mecze[[#This Row],[PR]]=0,0,Mecze[[#This Row],[PR]]/Mecze[[#This Row],[CZAS]])</f>
        <v>0.10309278350515463</v>
      </c>
      <c r="N1429" s="32">
        <f>IF(Mecze[[#This Row],[OU]]=0,0,Mecze[[#This Row],[OU]]/Mecze[[#This Row],[CZAS]])</f>
        <v>2.0618556701030927E-2</v>
      </c>
      <c r="O1429" s="32">
        <f>IF(Mecze[[#This Row],[PC]]=0,0,Mecze[[#This Row],[PC]]/Mecze[[#This Row],[CZAS]])</f>
        <v>7.2164948453608241E-2</v>
      </c>
      <c r="P1429" s="32">
        <f>IF(Mecze[[#This Row],[SC]]=0,0,Mecze[[#This Row],[SC]]/Mecze[[#This Row],[CZAS]])</f>
        <v>0</v>
      </c>
      <c r="Q1429" s="32">
        <f>IF(Mecze[[#This Row],[OB]]=0,0,Mecze[[#This Row],[OB]]/Mecze[[#This Row],[CZAS]])</f>
        <v>0</v>
      </c>
      <c r="R1429" s="32">
        <f>IF(Mecze[[#This Row],[BR]]=0,0,Mecze[[#This Row],[BR]]/Mecze[[#This Row],[CZAS]])</f>
        <v>0</v>
      </c>
      <c r="S1429" s="44">
        <f>IF(Mecze[[#This Row],[Role]]="BR",SUMPRODUCT(Mecze[[#This Row],[/PR:90]:[/BR:90]],Brudnopis!$E$23:$J$23),0)</f>
        <v>0</v>
      </c>
      <c r="T1429" s="44">
        <f>IF(Mecze[[#This Row],[Role]]&lt;&gt;"BR",SUMPRODUCT(Mecze[[#This Row],[/PR:90]:[/BR:90]],Brudnopis!$E$24:$J$24),0)</f>
        <v>0.20618556701030927</v>
      </c>
      <c r="U1429" s="44">
        <f>IF(Mecze[[#This Row],[Role]]&lt;&gt;"BR",SUMPRODUCT(Mecze[[#This Row],[/PR:90]:[/BR:90]],Brudnopis!$E$25:$J$25),0)</f>
        <v>0.23195876288659792</v>
      </c>
      <c r="V1429" s="44">
        <f>IF(Mecze[[#This Row],[Role]]&lt;&gt;"BR",SUMPRODUCT(Mecze[[#This Row],[/PR:90]:[/BR:90]],Brudnopis!$E$26:$J$26),0)</f>
        <v>0.19587628865979378</v>
      </c>
      <c r="W1429" s="44">
        <f>IF(Mecze[[#This Row],[Role]]&lt;&gt;"BR",SUMPRODUCT(Mecze[[#This Row],[/PR:90]:[/BR:90]],Brudnopis!$E$27:$J$27),0)</f>
        <v>0.20103092783505155</v>
      </c>
      <c r="X1429" s="44">
        <f>IF(Mecze[[#This Row],[Role]]&lt;&gt;"BR",SUMPRODUCT(Mecze[[#This Row],[/PR:90]:[/BR:90]],Brudnopis!$E$28:$J$28),0)</f>
        <v>7.2164948453608241E-2</v>
      </c>
      <c r="Y1429" s="35">
        <f>IF(Mecze[[#This Row],[Role]]="BR",Mecze[[#This Row],[/OB:90]]+Mecze[[#This Row],[/PC:90]],SUM(Mecze[[#This Row],[/PR:90]:[/BR:90]]))</f>
        <v>0.19587628865979378</v>
      </c>
      <c r="Z1429" s="35">
        <f>IF(Mecze[[#This Row],[KC]]=0,SUM(Mecze[[#This Row],[/BRI]:[/NPI]]),SUM(Mecze[[#This Row],[/BRI]:[/NPI]])*0.6)</f>
        <v>0.90721649484536071</v>
      </c>
      <c r="AA1429" s="10">
        <f>IFERROR(Mecze[[#This Row],[BR]]/Mecze[[#This Row],[ST]],0)</f>
        <v>0</v>
      </c>
      <c r="AB1429">
        <f>ROUND(Mecze[[#This Row],[PD]]*Mecze[[#This Row],[%PC]],0)</f>
        <v>7</v>
      </c>
      <c r="AC1429">
        <f>ROUND(Mecze[[#This Row],[OD]]*Mecze[[#This Row],[%OU]],0)</f>
        <v>2</v>
      </c>
      <c r="AD1429" s="36" t="s">
        <v>41</v>
      </c>
      <c r="AE1429" s="36">
        <v>78</v>
      </c>
      <c r="AF1429" s="71">
        <v>10.35</v>
      </c>
      <c r="AG1429" s="37">
        <v>0</v>
      </c>
      <c r="AH1429" s="37">
        <v>0</v>
      </c>
      <c r="AI1429" s="37">
        <v>97</v>
      </c>
      <c r="AJ1429" s="37">
        <v>1</v>
      </c>
      <c r="AK1429" s="37" t="str">
        <f>VLOOKUP(Mecze[[#This Row],[Match ID]],Meczusie[Mecz]:Meczusie[RodzajMeczu],2,FALSE)</f>
        <v>Towarzyski</v>
      </c>
    </row>
    <row r="1430" spans="1:37" x14ac:dyDescent="0.25">
      <c r="A1430" s="76">
        <v>27</v>
      </c>
      <c r="B1430" s="3" t="s">
        <v>364</v>
      </c>
      <c r="C1430" s="2" t="s">
        <v>160</v>
      </c>
      <c r="D1430" s="1">
        <v>0</v>
      </c>
      <c r="E1430" s="1">
        <v>0</v>
      </c>
      <c r="F1430" s="1">
        <v>0</v>
      </c>
      <c r="G1430" s="1">
        <v>3</v>
      </c>
      <c r="H1430" s="4">
        <v>0.33</v>
      </c>
      <c r="I1430" s="1">
        <v>2</v>
      </c>
      <c r="J1430" s="4">
        <v>0</v>
      </c>
      <c r="K1430" s="1">
        <v>0</v>
      </c>
      <c r="L1430" s="1">
        <v>1</v>
      </c>
      <c r="M1430" s="32">
        <f>IF(Mecze[[#This Row],[PR]]=0,0,Mecze[[#This Row],[PR]]/Mecze[[#This Row],[CZAS]])</f>
        <v>1.0309278350515464E-2</v>
      </c>
      <c r="N1430" s="32">
        <f>IF(Mecze[[#This Row],[OU]]=0,0,Mecze[[#This Row],[OU]]/Mecze[[#This Row],[CZAS]])</f>
        <v>0</v>
      </c>
      <c r="O1430" s="32">
        <f>IF(Mecze[[#This Row],[PC]]=0,0,Mecze[[#This Row],[PC]]/Mecze[[#This Row],[CZAS]])</f>
        <v>1.0309278350515464E-2</v>
      </c>
      <c r="P1430" s="32">
        <f>IF(Mecze[[#This Row],[SC]]=0,0,Mecze[[#This Row],[SC]]/Mecze[[#This Row],[CZAS]])</f>
        <v>0</v>
      </c>
      <c r="Q1430" s="32">
        <f>IF(Mecze[[#This Row],[OB]]=0,0,Mecze[[#This Row],[OB]]/Mecze[[#This Row],[CZAS]])</f>
        <v>0</v>
      </c>
      <c r="R1430" s="32">
        <f>IF(Mecze[[#This Row],[BR]]=0,0,Mecze[[#This Row],[BR]]/Mecze[[#This Row],[CZAS]])</f>
        <v>0</v>
      </c>
      <c r="S1430" s="44">
        <f>IF(Mecze[[#This Row],[Role]]="BR",SUMPRODUCT(Mecze[[#This Row],[/PR:90]:[/BR:90]],Brudnopis!$E$23:$J$23),0)</f>
        <v>0</v>
      </c>
      <c r="T1430" s="44">
        <f>IF(Mecze[[#This Row],[Role]]&lt;&gt;"BR",SUMPRODUCT(Mecze[[#This Row],[/PR:90]:[/BR:90]],Brudnopis!$E$24:$J$24),0)</f>
        <v>2.0618556701030927E-2</v>
      </c>
      <c r="U1430" s="44">
        <f>IF(Mecze[[#This Row],[Role]]&lt;&gt;"BR",SUMPRODUCT(Mecze[[#This Row],[/PR:90]:[/BR:90]],Brudnopis!$E$25:$J$25),0)</f>
        <v>2.5773195876288658E-2</v>
      </c>
      <c r="V1430" s="44">
        <f>IF(Mecze[[#This Row],[Role]]&lt;&gt;"BR",SUMPRODUCT(Mecze[[#This Row],[/PR:90]:[/BR:90]],Brudnopis!$E$26:$J$26),0)</f>
        <v>2.0618556701030927E-2</v>
      </c>
      <c r="W1430" s="44">
        <f>IF(Mecze[[#This Row],[Role]]&lt;&gt;"BR",SUMPRODUCT(Mecze[[#This Row],[/PR:90]:[/BR:90]],Brudnopis!$E$27:$J$27),0)</f>
        <v>2.3195876288659795E-2</v>
      </c>
      <c r="X1430" s="44">
        <f>IF(Mecze[[#This Row],[Role]]&lt;&gt;"BR",SUMPRODUCT(Mecze[[#This Row],[/PR:90]:[/BR:90]],Brudnopis!$E$28:$J$28),0)</f>
        <v>1.0309278350515464E-2</v>
      </c>
      <c r="Y1430" s="35">
        <f>IF(Mecze[[#This Row],[Role]]="BR",Mecze[[#This Row],[/OB:90]]+Mecze[[#This Row],[/PC:90]],SUM(Mecze[[#This Row],[/PR:90]:[/BR:90]]))</f>
        <v>2.0618556701030927E-2</v>
      </c>
      <c r="Z1430" s="35">
        <f>IF(Mecze[[#This Row],[KC]]=0,SUM(Mecze[[#This Row],[/BRI]:[/NPI]]),SUM(Mecze[[#This Row],[/BRI]:[/NPI]])*0.6)</f>
        <v>0.10051546391752578</v>
      </c>
      <c r="AA1430" s="10">
        <f>IFERROR(Mecze[[#This Row],[BR]]/Mecze[[#This Row],[ST]],0)</f>
        <v>0</v>
      </c>
      <c r="AB1430">
        <f>ROUND(Mecze[[#This Row],[PD]]*Mecze[[#This Row],[%PC]],0)</f>
        <v>1</v>
      </c>
      <c r="AC1430">
        <f>ROUND(Mecze[[#This Row],[OD]]*Mecze[[#This Row],[%OU]],0)</f>
        <v>0</v>
      </c>
      <c r="AD1430" s="36" t="s">
        <v>44</v>
      </c>
      <c r="AE1430" s="36">
        <v>78</v>
      </c>
      <c r="AF1430" s="71">
        <v>7.25</v>
      </c>
      <c r="AG1430" s="37">
        <v>0</v>
      </c>
      <c r="AH1430" s="37">
        <v>0</v>
      </c>
      <c r="AI1430" s="37">
        <v>97</v>
      </c>
      <c r="AJ1430" s="37">
        <v>1</v>
      </c>
      <c r="AK1430" s="37" t="str">
        <f>VLOOKUP(Mecze[[#This Row],[Match ID]],Meczusie[Mecz]:Meczusie[RodzajMeczu],2,FALSE)</f>
        <v>Towarzyski</v>
      </c>
    </row>
    <row r="1431" spans="1:37" x14ac:dyDescent="0.25">
      <c r="A1431" s="76">
        <v>28</v>
      </c>
      <c r="B1431" s="3" t="s">
        <v>419</v>
      </c>
      <c r="C1431" s="2" t="s">
        <v>160</v>
      </c>
      <c r="D1431" s="1">
        <v>0</v>
      </c>
      <c r="E1431" s="1">
        <v>1</v>
      </c>
      <c r="F1431" s="1">
        <v>1</v>
      </c>
      <c r="G1431" s="1">
        <v>4</v>
      </c>
      <c r="H1431" s="4">
        <v>0.75</v>
      </c>
      <c r="I1431" s="1">
        <v>3</v>
      </c>
      <c r="J1431" s="4">
        <v>0</v>
      </c>
      <c r="K1431" s="1">
        <v>0</v>
      </c>
      <c r="L1431" s="1">
        <v>2</v>
      </c>
      <c r="M1431" s="32">
        <f>IF(Mecze[[#This Row],[PR]]=0,0,Mecze[[#This Row],[PR]]/Mecze[[#This Row],[CZAS]])</f>
        <v>2.0618556701030927E-2</v>
      </c>
      <c r="N1431" s="32">
        <f>IF(Mecze[[#This Row],[OU]]=0,0,Mecze[[#This Row],[OU]]/Mecze[[#This Row],[CZAS]])</f>
        <v>0</v>
      </c>
      <c r="O1431" s="32">
        <f>IF(Mecze[[#This Row],[PC]]=0,0,Mecze[[#This Row],[PC]]/Mecze[[#This Row],[CZAS]])</f>
        <v>3.0927835051546393E-2</v>
      </c>
      <c r="P1431" s="32">
        <f>IF(Mecze[[#This Row],[SC]]=0,0,Mecze[[#This Row],[SC]]/Mecze[[#This Row],[CZAS]])</f>
        <v>1.0309278350515464E-2</v>
      </c>
      <c r="Q1431" s="32">
        <f>IF(Mecze[[#This Row],[OB]]=0,0,Mecze[[#This Row],[OB]]/Mecze[[#This Row],[CZAS]])</f>
        <v>0</v>
      </c>
      <c r="R1431" s="32">
        <f>IF(Mecze[[#This Row],[BR]]=0,0,Mecze[[#This Row],[BR]]/Mecze[[#This Row],[CZAS]])</f>
        <v>0</v>
      </c>
      <c r="S1431" s="44">
        <f>IF(Mecze[[#This Row],[Role]]="BR",SUMPRODUCT(Mecze[[#This Row],[/PR:90]:[/BR:90]],Brudnopis!$E$23:$J$23),0)</f>
        <v>0</v>
      </c>
      <c r="T1431" s="44">
        <f>IF(Mecze[[#This Row],[Role]]&lt;&gt;"BR",SUMPRODUCT(Mecze[[#This Row],[/PR:90]:[/BR:90]],Brudnopis!$E$24:$J$24),0)</f>
        <v>6.1855670103092779E-2</v>
      </c>
      <c r="U1431" s="44">
        <f>IF(Mecze[[#This Row],[Role]]&lt;&gt;"BR",SUMPRODUCT(Mecze[[#This Row],[/PR:90]:[/BR:90]],Brudnopis!$E$25:$J$25),0)</f>
        <v>7.7319587628865982E-2</v>
      </c>
      <c r="V1431" s="44">
        <f>IF(Mecze[[#This Row],[Role]]&lt;&gt;"BR",SUMPRODUCT(Mecze[[#This Row],[/PR:90]:[/BR:90]],Brudnopis!$E$26:$J$26),0)</f>
        <v>6.1855670103092779E-2</v>
      </c>
      <c r="W1431" s="44">
        <f>IF(Mecze[[#This Row],[Role]]&lt;&gt;"BR",SUMPRODUCT(Mecze[[#This Row],[/PR:90]:[/BR:90]],Brudnopis!$E$27:$J$27),0)</f>
        <v>7.2164948453608255E-2</v>
      </c>
      <c r="X1431" s="44">
        <f>IF(Mecze[[#This Row],[Role]]&lt;&gt;"BR",SUMPRODUCT(Mecze[[#This Row],[/PR:90]:[/BR:90]],Brudnopis!$E$28:$J$28),0)</f>
        <v>5.1546391752577317E-2</v>
      </c>
      <c r="Y1431" s="35">
        <f>IF(Mecze[[#This Row],[Role]]="BR",Mecze[[#This Row],[/OB:90]]+Mecze[[#This Row],[/PC:90]],SUM(Mecze[[#This Row],[/PR:90]:[/BR:90]]))</f>
        <v>6.1855670103092779E-2</v>
      </c>
      <c r="Z1431" s="35">
        <f>IF(Mecze[[#This Row],[KC]]=0,SUM(Mecze[[#This Row],[/BRI]:[/NPI]]),SUM(Mecze[[#This Row],[/BRI]:[/NPI]])*0.6)</f>
        <v>0.32474226804123713</v>
      </c>
      <c r="AA1431" s="10">
        <f>IFERROR(Mecze[[#This Row],[BR]]/Mecze[[#This Row],[ST]],0)</f>
        <v>0</v>
      </c>
      <c r="AB1431">
        <f>ROUND(Mecze[[#This Row],[PD]]*Mecze[[#This Row],[%PC]],0)</f>
        <v>3</v>
      </c>
      <c r="AC1431">
        <f>ROUND(Mecze[[#This Row],[OD]]*Mecze[[#This Row],[%OU]],0)</f>
        <v>0</v>
      </c>
      <c r="AD1431" s="36" t="s">
        <v>44</v>
      </c>
      <c r="AE1431" s="36">
        <v>78</v>
      </c>
      <c r="AF1431" s="71">
        <v>7.69</v>
      </c>
      <c r="AG1431" s="37">
        <v>0</v>
      </c>
      <c r="AH1431" s="37">
        <v>0</v>
      </c>
      <c r="AI1431" s="37">
        <v>97</v>
      </c>
      <c r="AJ1431" s="37">
        <v>1</v>
      </c>
      <c r="AK1431" s="37" t="str">
        <f>VLOOKUP(Mecze[[#This Row],[Match ID]],Meczusie[Mecz]:Meczusie[RodzajMeczu],2,FALSE)</f>
        <v>Towarzyski</v>
      </c>
    </row>
    <row r="1432" spans="1:37" x14ac:dyDescent="0.25">
      <c r="A1432" s="76">
        <v>53</v>
      </c>
      <c r="B1432" s="3" t="s">
        <v>415</v>
      </c>
      <c r="C1432" s="2" t="s">
        <v>165</v>
      </c>
      <c r="D1432" s="1">
        <v>0</v>
      </c>
      <c r="E1432" s="1">
        <v>2</v>
      </c>
      <c r="F1432" s="1">
        <v>2</v>
      </c>
      <c r="G1432" s="1">
        <v>8</v>
      </c>
      <c r="H1432" s="4">
        <v>0.38</v>
      </c>
      <c r="I1432" s="1">
        <v>7</v>
      </c>
      <c r="J1432" s="4">
        <v>0.14000000000000001</v>
      </c>
      <c r="K1432" s="1">
        <v>0</v>
      </c>
      <c r="L1432" s="1">
        <v>0</v>
      </c>
      <c r="M1432" s="32">
        <f>IF(Mecze[[#This Row],[PR]]=0,0,Mecze[[#This Row],[PR]]/Mecze[[#This Row],[CZAS]])</f>
        <v>0</v>
      </c>
      <c r="N1432" s="32">
        <f>IF(Mecze[[#This Row],[OU]]=0,0,Mecze[[#This Row],[OU]]/Mecze[[#This Row],[CZAS]])</f>
        <v>1.0309278350515464E-2</v>
      </c>
      <c r="O1432" s="32">
        <f>IF(Mecze[[#This Row],[PC]]=0,0,Mecze[[#This Row],[PC]]/Mecze[[#This Row],[CZAS]])</f>
        <v>3.0927835051546393E-2</v>
      </c>
      <c r="P1432" s="32">
        <f>IF(Mecze[[#This Row],[SC]]=0,0,Mecze[[#This Row],[SC]]/Mecze[[#This Row],[CZAS]])</f>
        <v>2.0618556701030927E-2</v>
      </c>
      <c r="Q1432" s="32">
        <f>IF(Mecze[[#This Row],[OB]]=0,0,Mecze[[#This Row],[OB]]/Mecze[[#This Row],[CZAS]])</f>
        <v>0</v>
      </c>
      <c r="R1432" s="32">
        <f>IF(Mecze[[#This Row],[BR]]=0,0,Mecze[[#This Row],[BR]]/Mecze[[#This Row],[CZAS]])</f>
        <v>0</v>
      </c>
      <c r="S1432" s="44">
        <f>IF(Mecze[[#This Row],[Role]]="BR",SUMPRODUCT(Mecze[[#This Row],[/PR:90]:[/BR:90]],Brudnopis!$E$23:$J$23),0)</f>
        <v>0</v>
      </c>
      <c r="T1432" s="44">
        <f>IF(Mecze[[#This Row],[Role]]&lt;&gt;"BR",SUMPRODUCT(Mecze[[#This Row],[/PR:90]:[/BR:90]],Brudnopis!$E$24:$J$24),0)</f>
        <v>6.7010309278350513E-2</v>
      </c>
      <c r="U1432" s="44">
        <f>IF(Mecze[[#This Row],[Role]]&lt;&gt;"BR",SUMPRODUCT(Mecze[[#This Row],[/PR:90]:[/BR:90]],Brudnopis!$E$25:$J$25),0)</f>
        <v>7.7319587628865982E-2</v>
      </c>
      <c r="V1432" s="44">
        <f>IF(Mecze[[#This Row],[Role]]&lt;&gt;"BR",SUMPRODUCT(Mecze[[#This Row],[/PR:90]:[/BR:90]],Brudnopis!$E$26:$J$26),0)</f>
        <v>6.1855670103092786E-2</v>
      </c>
      <c r="W1432" s="44">
        <f>IF(Mecze[[#This Row],[Role]]&lt;&gt;"BR",SUMPRODUCT(Mecze[[#This Row],[/PR:90]:[/BR:90]],Brudnopis!$E$27:$J$27),0)</f>
        <v>7.4742268041237112E-2</v>
      </c>
      <c r="X1432" s="44">
        <f>IF(Mecze[[#This Row],[Role]]&lt;&gt;"BR",SUMPRODUCT(Mecze[[#This Row],[/PR:90]:[/BR:90]],Brudnopis!$E$28:$J$28),0)</f>
        <v>7.2164948453608241E-2</v>
      </c>
      <c r="Y1432" s="35">
        <f>IF(Mecze[[#This Row],[Role]]="BR",Mecze[[#This Row],[/OB:90]]+Mecze[[#This Row],[/PC:90]],SUM(Mecze[[#This Row],[/PR:90]:[/BR:90]]))</f>
        <v>6.1855670103092786E-2</v>
      </c>
      <c r="Z1432" s="35">
        <f>IF(Mecze[[#This Row],[KC]]=0,SUM(Mecze[[#This Row],[/BRI]:[/NPI]]),SUM(Mecze[[#This Row],[/BRI]:[/NPI]])*0.6)</f>
        <v>0.35309278350515461</v>
      </c>
      <c r="AA1432" s="10">
        <f>IFERROR(Mecze[[#This Row],[BR]]/Mecze[[#This Row],[ST]],0)</f>
        <v>0</v>
      </c>
      <c r="AB1432">
        <f>ROUND(Mecze[[#This Row],[PD]]*Mecze[[#This Row],[%PC]],0)</f>
        <v>3</v>
      </c>
      <c r="AC1432">
        <f>ROUND(Mecze[[#This Row],[OD]]*Mecze[[#This Row],[%OU]],0)</f>
        <v>1</v>
      </c>
      <c r="AD1432" s="36" t="s">
        <v>46</v>
      </c>
      <c r="AE1432" s="36">
        <v>78</v>
      </c>
      <c r="AF1432" s="71">
        <v>4.37</v>
      </c>
      <c r="AG1432" s="37">
        <v>0</v>
      </c>
      <c r="AH1432" s="37">
        <v>0</v>
      </c>
      <c r="AI1432" s="37">
        <v>97</v>
      </c>
      <c r="AJ1432" s="37">
        <v>1</v>
      </c>
      <c r="AK1432" s="37" t="str">
        <f>VLOOKUP(Mecze[[#This Row],[Match ID]],Meczusie[Mecz]:Meczusie[RodzajMeczu],2,FALSE)</f>
        <v>Towarzyski</v>
      </c>
    </row>
    <row r="1433" spans="1:37" x14ac:dyDescent="0.25">
      <c r="A1433" s="76">
        <v>48</v>
      </c>
      <c r="B1433" s="3" t="s">
        <v>414</v>
      </c>
      <c r="C1433" s="2" t="s">
        <v>165</v>
      </c>
      <c r="D1433" s="1">
        <v>1</v>
      </c>
      <c r="E1433" s="1">
        <v>4</v>
      </c>
      <c r="F1433" s="1">
        <v>4</v>
      </c>
      <c r="G1433" s="1">
        <v>4</v>
      </c>
      <c r="H1433" s="4">
        <v>0.75</v>
      </c>
      <c r="I1433" s="1">
        <v>2</v>
      </c>
      <c r="J1433" s="4">
        <v>0</v>
      </c>
      <c r="K1433" s="1">
        <v>0</v>
      </c>
      <c r="L1433" s="1">
        <v>0</v>
      </c>
      <c r="M1433" s="32">
        <f>IF(Mecze[[#This Row],[PR]]=0,0,Mecze[[#This Row],[PR]]/Mecze[[#This Row],[CZAS]])</f>
        <v>0</v>
      </c>
      <c r="N1433" s="32">
        <f>IF(Mecze[[#This Row],[OU]]=0,0,Mecze[[#This Row],[OU]]/Mecze[[#This Row],[CZAS]])</f>
        <v>0</v>
      </c>
      <c r="O1433" s="32">
        <f>IF(Mecze[[#This Row],[PC]]=0,0,Mecze[[#This Row],[PC]]/Mecze[[#This Row],[CZAS]])</f>
        <v>3.0927835051546393E-2</v>
      </c>
      <c r="P1433" s="32">
        <f>IF(Mecze[[#This Row],[SC]]=0,0,Mecze[[#This Row],[SC]]/Mecze[[#This Row],[CZAS]])</f>
        <v>4.1237113402061855E-2</v>
      </c>
      <c r="Q1433" s="32">
        <f>IF(Mecze[[#This Row],[OB]]=0,0,Mecze[[#This Row],[OB]]/Mecze[[#This Row],[CZAS]])</f>
        <v>0</v>
      </c>
      <c r="R1433" s="32">
        <f>IF(Mecze[[#This Row],[BR]]=0,0,Mecze[[#This Row],[BR]]/Mecze[[#This Row],[CZAS]])</f>
        <v>1.0309278350515464E-2</v>
      </c>
      <c r="S1433" s="44">
        <f>IF(Mecze[[#This Row],[Role]]="BR",SUMPRODUCT(Mecze[[#This Row],[/PR:90]:[/BR:90]],Brudnopis!$E$23:$J$23),0)</f>
        <v>0</v>
      </c>
      <c r="T1433" s="44">
        <f>IF(Mecze[[#This Row],[Role]]&lt;&gt;"BR",SUMPRODUCT(Mecze[[#This Row],[/PR:90]:[/BR:90]],Brudnopis!$E$24:$J$24),0)</f>
        <v>8.7628865979381437E-2</v>
      </c>
      <c r="U1433" s="44">
        <f>IF(Mecze[[#This Row],[Role]]&lt;&gt;"BR",SUMPRODUCT(Mecze[[#This Row],[/PR:90]:[/BR:90]],Brudnopis!$E$25:$J$25),0)</f>
        <v>0.10309278350515463</v>
      </c>
      <c r="V1433" s="44">
        <f>IF(Mecze[[#This Row],[Role]]&lt;&gt;"BR",SUMPRODUCT(Mecze[[#This Row],[/PR:90]:[/BR:90]],Brudnopis!$E$26:$J$26),0)</f>
        <v>9.2783505154639165E-2</v>
      </c>
      <c r="W1433" s="44">
        <f>IF(Mecze[[#This Row],[Role]]&lt;&gt;"BR",SUMPRODUCT(Mecze[[#This Row],[/PR:90]:[/BR:90]],Brudnopis!$E$27:$J$27),0)</f>
        <v>0.10824742268041236</v>
      </c>
      <c r="X1433" s="44">
        <f>IF(Mecze[[#This Row],[Role]]&lt;&gt;"BR",SUMPRODUCT(Mecze[[#This Row],[/PR:90]:[/BR:90]],Brudnopis!$E$28:$J$28),0)</f>
        <v>0.14432989690721648</v>
      </c>
      <c r="Y1433" s="35">
        <f>IF(Mecze[[#This Row],[Role]]="BR",Mecze[[#This Row],[/OB:90]]+Mecze[[#This Row],[/PC:90]],SUM(Mecze[[#This Row],[/PR:90]:[/BR:90]]))</f>
        <v>8.247422680412371E-2</v>
      </c>
      <c r="Z1433" s="35">
        <f>IF(Mecze[[#This Row],[KC]]=0,SUM(Mecze[[#This Row],[/BRI]:[/NPI]]),SUM(Mecze[[#This Row],[/BRI]:[/NPI]])*0.6)</f>
        <v>0.53608247422680411</v>
      </c>
      <c r="AA1433" s="10">
        <f>IFERROR(Mecze[[#This Row],[BR]]/Mecze[[#This Row],[ST]],0)</f>
        <v>0.25</v>
      </c>
      <c r="AB1433">
        <f>ROUND(Mecze[[#This Row],[PD]]*Mecze[[#This Row],[%PC]],0)</f>
        <v>3</v>
      </c>
      <c r="AC1433">
        <f>ROUND(Mecze[[#This Row],[OD]]*Mecze[[#This Row],[%OU]],0)</f>
        <v>0</v>
      </c>
      <c r="AD1433" s="36" t="s">
        <v>46</v>
      </c>
      <c r="AE1433" s="36">
        <v>78</v>
      </c>
      <c r="AF1433" s="71">
        <v>7.11</v>
      </c>
      <c r="AG1433" s="37">
        <v>0</v>
      </c>
      <c r="AH1433" s="37">
        <v>0</v>
      </c>
      <c r="AI1433" s="37">
        <v>97</v>
      </c>
      <c r="AJ1433" s="37">
        <v>1</v>
      </c>
      <c r="AK1433" s="37" t="str">
        <f>VLOOKUP(Mecze[[#This Row],[Match ID]],Meczusie[Mecz]:Meczusie[RodzajMeczu],2,FALSE)</f>
        <v>Towarzyski</v>
      </c>
    </row>
    <row r="1434" spans="1:37" x14ac:dyDescent="0.25">
      <c r="A1434" s="76">
        <v>26</v>
      </c>
      <c r="B1434" s="3" t="s">
        <v>368</v>
      </c>
      <c r="C1434" s="2" t="s">
        <v>165</v>
      </c>
      <c r="D1434" s="1">
        <v>1</v>
      </c>
      <c r="E1434" s="1">
        <v>2</v>
      </c>
      <c r="F1434" s="1">
        <v>2</v>
      </c>
      <c r="G1434" s="1">
        <v>8</v>
      </c>
      <c r="H1434" s="4">
        <v>0.75</v>
      </c>
      <c r="I1434" s="1">
        <v>3</v>
      </c>
      <c r="J1434" s="4">
        <v>0</v>
      </c>
      <c r="K1434" s="1">
        <v>0</v>
      </c>
      <c r="L1434" s="1">
        <v>1</v>
      </c>
      <c r="M1434" s="32">
        <f>IF(Mecze[[#This Row],[PR]]=0,0,Mecze[[#This Row],[PR]]/Mecze[[#This Row],[CZAS]])</f>
        <v>1.0309278350515464E-2</v>
      </c>
      <c r="N1434" s="32">
        <f>IF(Mecze[[#This Row],[OU]]=0,0,Mecze[[#This Row],[OU]]/Mecze[[#This Row],[CZAS]])</f>
        <v>0</v>
      </c>
      <c r="O1434" s="32">
        <f>IF(Mecze[[#This Row],[PC]]=0,0,Mecze[[#This Row],[PC]]/Mecze[[#This Row],[CZAS]])</f>
        <v>6.1855670103092786E-2</v>
      </c>
      <c r="P1434" s="32">
        <f>IF(Mecze[[#This Row],[SC]]=0,0,Mecze[[#This Row],[SC]]/Mecze[[#This Row],[CZAS]])</f>
        <v>2.0618556701030927E-2</v>
      </c>
      <c r="Q1434" s="32">
        <f>IF(Mecze[[#This Row],[OB]]=0,0,Mecze[[#This Row],[OB]]/Mecze[[#This Row],[CZAS]])</f>
        <v>0</v>
      </c>
      <c r="R1434" s="32">
        <f>IF(Mecze[[#This Row],[BR]]=0,0,Mecze[[#This Row],[BR]]/Mecze[[#This Row],[CZAS]])</f>
        <v>1.0309278350515464E-2</v>
      </c>
      <c r="S1434" s="44">
        <f>IF(Mecze[[#This Row],[Role]]="BR",SUMPRODUCT(Mecze[[#This Row],[/PR:90]:[/BR:90]],Brudnopis!$E$23:$J$23),0)</f>
        <v>0</v>
      </c>
      <c r="T1434" s="44">
        <f>IF(Mecze[[#This Row],[Role]]&lt;&gt;"BR",SUMPRODUCT(Mecze[[#This Row],[/PR:90]:[/BR:90]],Brudnopis!$E$24:$J$24),0)</f>
        <v>0.10824742268041238</v>
      </c>
      <c r="U1434" s="44">
        <f>IF(Mecze[[#This Row],[Role]]&lt;&gt;"BR",SUMPRODUCT(Mecze[[#This Row],[/PR:90]:[/BR:90]],Brudnopis!$E$25:$J$25),0)</f>
        <v>0.13917525773195877</v>
      </c>
      <c r="V1434" s="44">
        <f>IF(Mecze[[#This Row],[Role]]&lt;&gt;"BR",SUMPRODUCT(Mecze[[#This Row],[/PR:90]:[/BR:90]],Brudnopis!$E$26:$J$26),0)</f>
        <v>0.1134020618556701</v>
      </c>
      <c r="W1434" s="44">
        <f>IF(Mecze[[#This Row],[Role]]&lt;&gt;"BR",SUMPRODUCT(Mecze[[#This Row],[/PR:90]:[/BR:90]],Brudnopis!$E$27:$J$27),0)</f>
        <v>0.14175257731958762</v>
      </c>
      <c r="X1434" s="44">
        <f>IF(Mecze[[#This Row],[Role]]&lt;&gt;"BR",SUMPRODUCT(Mecze[[#This Row],[/PR:90]:[/BR:90]],Brudnopis!$E$28:$J$28),0)</f>
        <v>0.13402061855670103</v>
      </c>
      <c r="Y1434" s="35">
        <f>IF(Mecze[[#This Row],[Role]]="BR",Mecze[[#This Row],[/OB:90]]+Mecze[[#This Row],[/PC:90]],SUM(Mecze[[#This Row],[/PR:90]:[/BR:90]]))</f>
        <v>0.10309278350515465</v>
      </c>
      <c r="Z1434" s="35">
        <f>IF(Mecze[[#This Row],[KC]]=0,SUM(Mecze[[#This Row],[/BRI]:[/NPI]]),SUM(Mecze[[#This Row],[/BRI]:[/NPI]])*0.6)</f>
        <v>0.63659793814432986</v>
      </c>
      <c r="AA1434" s="10">
        <f>IFERROR(Mecze[[#This Row],[BR]]/Mecze[[#This Row],[ST]],0)</f>
        <v>0.5</v>
      </c>
      <c r="AB1434">
        <f>ROUND(Mecze[[#This Row],[PD]]*Mecze[[#This Row],[%PC]],0)</f>
        <v>6</v>
      </c>
      <c r="AC1434">
        <f>ROUND(Mecze[[#This Row],[OD]]*Mecze[[#This Row],[%OU]],0)</f>
        <v>0</v>
      </c>
      <c r="AD1434" s="36" t="s">
        <v>46</v>
      </c>
      <c r="AE1434" s="36">
        <v>78</v>
      </c>
      <c r="AF1434" s="71">
        <v>8</v>
      </c>
      <c r="AG1434" s="37">
        <v>0</v>
      </c>
      <c r="AH1434" s="37">
        <v>0</v>
      </c>
      <c r="AI1434" s="37">
        <v>97</v>
      </c>
      <c r="AJ1434" s="37">
        <v>1</v>
      </c>
      <c r="AK1434" s="37" t="str">
        <f>VLOOKUP(Mecze[[#This Row],[Match ID]],Meczusie[Mecz]:Meczusie[RodzajMeczu],2,FALSE)</f>
        <v>Towarzyski</v>
      </c>
    </row>
    <row r="1435" spans="1:37" x14ac:dyDescent="0.25">
      <c r="A1435" s="76">
        <v>49</v>
      </c>
      <c r="B1435" s="3" t="s">
        <v>358</v>
      </c>
      <c r="C1435" s="2" t="s">
        <v>155</v>
      </c>
      <c r="D1435" s="1">
        <v>0</v>
      </c>
      <c r="E1435" s="1">
        <v>0</v>
      </c>
      <c r="F1435" s="1">
        <v>0</v>
      </c>
      <c r="G1435" s="1">
        <v>6</v>
      </c>
      <c r="H1435" s="4">
        <v>0.33</v>
      </c>
      <c r="I1435" s="1">
        <v>0</v>
      </c>
      <c r="J1435" s="4"/>
      <c r="K1435" s="1">
        <v>5</v>
      </c>
      <c r="L1435" s="1">
        <v>0</v>
      </c>
      <c r="M1435" s="32">
        <f>IF(Mecze[[#This Row],[PR]]=0,0,Mecze[[#This Row],[PR]]/Mecze[[#This Row],[CZAS]])</f>
        <v>0</v>
      </c>
      <c r="N1435" s="32">
        <f>IF(Mecze[[#This Row],[OU]]=0,0,Mecze[[#This Row],[OU]]/Mecze[[#This Row],[CZAS]])</f>
        <v>0</v>
      </c>
      <c r="O1435" s="32">
        <f>IF(Mecze[[#This Row],[PC]]=0,0,Mecze[[#This Row],[PC]]/Mecze[[#This Row],[CZAS]])</f>
        <v>2.0408163265306121E-2</v>
      </c>
      <c r="P1435" s="32">
        <f>IF(Mecze[[#This Row],[SC]]=0,0,Mecze[[#This Row],[SC]]/Mecze[[#This Row],[CZAS]])</f>
        <v>0</v>
      </c>
      <c r="Q1435" s="32">
        <f>IF(Mecze[[#This Row],[OB]]=0,0,Mecze[[#This Row],[OB]]/Mecze[[#This Row],[CZAS]])</f>
        <v>5.1020408163265307E-2</v>
      </c>
      <c r="R1435" s="32">
        <f>IF(Mecze[[#This Row],[BR]]=0,0,Mecze[[#This Row],[BR]]/Mecze[[#This Row],[CZAS]])</f>
        <v>0</v>
      </c>
      <c r="S1435" s="44">
        <f>IF(Mecze[[#This Row],[Role]]="BR",SUMPRODUCT(Mecze[[#This Row],[/PR:90]:[/BR:90]],Brudnopis!$E$23:$J$23),0)</f>
        <v>0.2142857142857143</v>
      </c>
      <c r="T1435" s="44">
        <f>IF(Mecze[[#This Row],[Role]]&lt;&gt;"BR",SUMPRODUCT(Mecze[[#This Row],[/PR:90]:[/BR:90]],Brudnopis!$E$24:$J$24),0)</f>
        <v>0</v>
      </c>
      <c r="U1435" s="44">
        <f>IF(Mecze[[#This Row],[Role]]&lt;&gt;"BR",SUMPRODUCT(Mecze[[#This Row],[/PR:90]:[/BR:90]],Brudnopis!$E$25:$J$25),0)</f>
        <v>0</v>
      </c>
      <c r="V1435" s="44">
        <f>IF(Mecze[[#This Row],[Role]]&lt;&gt;"BR",SUMPRODUCT(Mecze[[#This Row],[/PR:90]:[/BR:90]],Brudnopis!$E$26:$J$26),0)</f>
        <v>0</v>
      </c>
      <c r="W1435" s="44">
        <f>IF(Mecze[[#This Row],[Role]]&lt;&gt;"BR",SUMPRODUCT(Mecze[[#This Row],[/PR:90]:[/BR:90]],Brudnopis!$E$27:$J$27),0)</f>
        <v>0</v>
      </c>
      <c r="X1435" s="44">
        <f>IF(Mecze[[#This Row],[Role]]&lt;&gt;"BR",SUMPRODUCT(Mecze[[#This Row],[/PR:90]:[/BR:90]],Brudnopis!$E$28:$J$28),0)</f>
        <v>0</v>
      </c>
      <c r="Y1435" s="35">
        <f>IF(Mecze[[#This Row],[Role]]="BR",Mecze[[#This Row],[/OB:90]]+Mecze[[#This Row],[/PC:90]],SUM(Mecze[[#This Row],[/PR:90]:[/BR:90]]))</f>
        <v>7.1428571428571425E-2</v>
      </c>
      <c r="Z1435" s="35">
        <f>IF(Mecze[[#This Row],[KC]]=0,SUM(Mecze[[#This Row],[/BRI]:[/NPI]]),SUM(Mecze[[#This Row],[/BRI]:[/NPI]])*0.6)</f>
        <v>0.2142857142857143</v>
      </c>
      <c r="AA1435" s="10">
        <f>IFERROR(Mecze[[#This Row],[BR]]/Mecze[[#This Row],[ST]],0)</f>
        <v>0</v>
      </c>
      <c r="AB1435">
        <f>ROUND(Mecze[[#This Row],[PD]]*Mecze[[#This Row],[%PC]],0)</f>
        <v>2</v>
      </c>
      <c r="AC1435">
        <f>ROUND(Mecze[[#This Row],[OD]]*Mecze[[#This Row],[%OU]],0)</f>
        <v>0</v>
      </c>
      <c r="AD1435" s="36" t="s">
        <v>40</v>
      </c>
      <c r="AE1435" s="36">
        <v>79</v>
      </c>
      <c r="AF1435" s="71">
        <v>3.34</v>
      </c>
      <c r="AG1435" s="37">
        <v>0</v>
      </c>
      <c r="AH1435" s="37">
        <v>0</v>
      </c>
      <c r="AI1435" s="37">
        <v>98</v>
      </c>
      <c r="AJ1435" s="37">
        <v>1</v>
      </c>
      <c r="AK1435" s="37" t="str">
        <f>VLOOKUP(Mecze[[#This Row],[Match ID]],Meczusie[Mecz]:Meczusie[RodzajMeczu],2,FALSE)</f>
        <v>Towarzyski</v>
      </c>
    </row>
    <row r="1436" spans="1:37" x14ac:dyDescent="0.25">
      <c r="A1436" s="76">
        <v>38</v>
      </c>
      <c r="B1436" s="3" t="s">
        <v>359</v>
      </c>
      <c r="C1436" s="2" t="s">
        <v>157</v>
      </c>
      <c r="D1436" s="1">
        <v>0</v>
      </c>
      <c r="E1436" s="1">
        <v>0</v>
      </c>
      <c r="F1436" s="1">
        <v>0</v>
      </c>
      <c r="G1436" s="1">
        <v>12</v>
      </c>
      <c r="H1436" s="4">
        <v>0.33</v>
      </c>
      <c r="I1436" s="1">
        <v>8</v>
      </c>
      <c r="J1436" s="4">
        <v>0.5</v>
      </c>
      <c r="K1436" s="1">
        <v>0</v>
      </c>
      <c r="L1436" s="1">
        <v>6</v>
      </c>
      <c r="M1436" s="32">
        <f>IF(Mecze[[#This Row],[PR]]=0,0,Mecze[[#This Row],[PR]]/Mecze[[#This Row],[CZAS]])</f>
        <v>6.1224489795918366E-2</v>
      </c>
      <c r="N1436" s="32">
        <f>IF(Mecze[[#This Row],[OU]]=0,0,Mecze[[#This Row],[OU]]/Mecze[[#This Row],[CZAS]])</f>
        <v>4.0816326530612242E-2</v>
      </c>
      <c r="O1436" s="32">
        <f>IF(Mecze[[#This Row],[PC]]=0,0,Mecze[[#This Row],[PC]]/Mecze[[#This Row],[CZAS]])</f>
        <v>4.0816326530612242E-2</v>
      </c>
      <c r="P1436" s="32">
        <f>IF(Mecze[[#This Row],[SC]]=0,0,Mecze[[#This Row],[SC]]/Mecze[[#This Row],[CZAS]])</f>
        <v>0</v>
      </c>
      <c r="Q1436" s="32">
        <f>IF(Mecze[[#This Row],[OB]]=0,0,Mecze[[#This Row],[OB]]/Mecze[[#This Row],[CZAS]])</f>
        <v>0</v>
      </c>
      <c r="R1436" s="32">
        <f>IF(Mecze[[#This Row],[BR]]=0,0,Mecze[[#This Row],[BR]]/Mecze[[#This Row],[CZAS]])</f>
        <v>0</v>
      </c>
      <c r="S1436" s="44">
        <f>IF(Mecze[[#This Row],[Role]]="BR",SUMPRODUCT(Mecze[[#This Row],[/PR:90]:[/BR:90]],Brudnopis!$E$23:$J$23),0)</f>
        <v>0</v>
      </c>
      <c r="T1436" s="44">
        <f>IF(Mecze[[#This Row],[Role]]&lt;&gt;"BR",SUMPRODUCT(Mecze[[#This Row],[/PR:90]:[/BR:90]],Brudnopis!$E$24:$J$24),0)</f>
        <v>0.16326530612244897</v>
      </c>
      <c r="U1436" s="44">
        <f>IF(Mecze[[#This Row],[Role]]&lt;&gt;"BR",SUMPRODUCT(Mecze[[#This Row],[/PR:90]:[/BR:90]],Brudnopis!$E$25:$J$25),0)</f>
        <v>0.16326530612244899</v>
      </c>
      <c r="V1436" s="44">
        <f>IF(Mecze[[#This Row],[Role]]&lt;&gt;"BR",SUMPRODUCT(Mecze[[#This Row],[/PR:90]:[/BR:90]],Brudnopis!$E$26:$J$26),0)</f>
        <v>0.14285714285714285</v>
      </c>
      <c r="W1436" s="44">
        <f>IF(Mecze[[#This Row],[Role]]&lt;&gt;"BR",SUMPRODUCT(Mecze[[#This Row],[/PR:90]:[/BR:90]],Brudnopis!$E$27:$J$27),0)</f>
        <v>0.13775510204081631</v>
      </c>
      <c r="X1436" s="44">
        <f>IF(Mecze[[#This Row],[Role]]&lt;&gt;"BR",SUMPRODUCT(Mecze[[#This Row],[/PR:90]:[/BR:90]],Brudnopis!$E$28:$J$28),0)</f>
        <v>4.0816326530612242E-2</v>
      </c>
      <c r="Y1436" s="35">
        <f>IF(Mecze[[#This Row],[Role]]="BR",Mecze[[#This Row],[/OB:90]]+Mecze[[#This Row],[/PC:90]],SUM(Mecze[[#This Row],[/PR:90]:[/BR:90]]))</f>
        <v>0.14285714285714285</v>
      </c>
      <c r="Z1436" s="35">
        <f>IF(Mecze[[#This Row],[KC]]=0,SUM(Mecze[[#This Row],[/BRI]:[/NPI]]),SUM(Mecze[[#This Row],[/BRI]:[/NPI]])*0.6)</f>
        <v>0.6479591836734695</v>
      </c>
      <c r="AA1436" s="10">
        <f>IFERROR(Mecze[[#This Row],[BR]]/Mecze[[#This Row],[ST]],0)</f>
        <v>0</v>
      </c>
      <c r="AB1436">
        <f>ROUND(Mecze[[#This Row],[PD]]*Mecze[[#This Row],[%PC]],0)</f>
        <v>4</v>
      </c>
      <c r="AC1436">
        <f>ROUND(Mecze[[#This Row],[OD]]*Mecze[[#This Row],[%OU]],0)</f>
        <v>4</v>
      </c>
      <c r="AD1436" s="36" t="s">
        <v>47</v>
      </c>
      <c r="AE1436" s="36">
        <v>79</v>
      </c>
      <c r="AF1436" s="71">
        <v>3.97</v>
      </c>
      <c r="AG1436" s="37">
        <v>0</v>
      </c>
      <c r="AH1436" s="37">
        <v>0</v>
      </c>
      <c r="AI1436" s="37">
        <v>98</v>
      </c>
      <c r="AJ1436" s="37">
        <v>1</v>
      </c>
      <c r="AK1436" s="37" t="str">
        <f>VLOOKUP(Mecze[[#This Row],[Match ID]],Meczusie[Mecz]:Meczusie[RodzajMeczu],2,FALSE)</f>
        <v>Towarzyski</v>
      </c>
    </row>
    <row r="1437" spans="1:37" x14ac:dyDescent="0.25">
      <c r="A1437" s="76">
        <v>4</v>
      </c>
      <c r="B1437" s="3" t="s">
        <v>360</v>
      </c>
      <c r="C1437" s="2" t="s">
        <v>157</v>
      </c>
      <c r="D1437" s="1">
        <v>0</v>
      </c>
      <c r="E1437" s="1">
        <v>0</v>
      </c>
      <c r="F1437" s="1">
        <v>0</v>
      </c>
      <c r="G1437" s="1">
        <v>13</v>
      </c>
      <c r="H1437" s="4">
        <v>0.38</v>
      </c>
      <c r="I1437" s="1">
        <v>5</v>
      </c>
      <c r="J1437" s="4">
        <v>0.4</v>
      </c>
      <c r="K1437" s="1">
        <v>0</v>
      </c>
      <c r="L1437" s="1">
        <v>11</v>
      </c>
      <c r="M1437" s="32">
        <f>IF(Mecze[[#This Row],[PR]]=0,0,Mecze[[#This Row],[PR]]/Mecze[[#This Row],[CZAS]])</f>
        <v>0.11224489795918367</v>
      </c>
      <c r="N1437" s="32">
        <f>IF(Mecze[[#This Row],[OU]]=0,0,Mecze[[#This Row],[OU]]/Mecze[[#This Row],[CZAS]])</f>
        <v>2.0408163265306121E-2</v>
      </c>
      <c r="O1437" s="32">
        <f>IF(Mecze[[#This Row],[PC]]=0,0,Mecze[[#This Row],[PC]]/Mecze[[#This Row],[CZAS]])</f>
        <v>5.1020408163265307E-2</v>
      </c>
      <c r="P1437" s="32">
        <f>IF(Mecze[[#This Row],[SC]]=0,0,Mecze[[#This Row],[SC]]/Mecze[[#This Row],[CZAS]])</f>
        <v>0</v>
      </c>
      <c r="Q1437" s="32">
        <f>IF(Mecze[[#This Row],[OB]]=0,0,Mecze[[#This Row],[OB]]/Mecze[[#This Row],[CZAS]])</f>
        <v>0</v>
      </c>
      <c r="R1437" s="32">
        <f>IF(Mecze[[#This Row],[BR]]=0,0,Mecze[[#This Row],[BR]]/Mecze[[#This Row],[CZAS]])</f>
        <v>0</v>
      </c>
      <c r="S1437" s="44">
        <f>IF(Mecze[[#This Row],[Role]]="BR",SUMPRODUCT(Mecze[[#This Row],[/PR:90]:[/BR:90]],Brudnopis!$E$23:$J$23),0)</f>
        <v>0</v>
      </c>
      <c r="T1437" s="44">
        <f>IF(Mecze[[#This Row],[Role]]&lt;&gt;"BR",SUMPRODUCT(Mecze[[#This Row],[/PR:90]:[/BR:90]],Brudnopis!$E$24:$J$24),0)</f>
        <v>0.19387755102040816</v>
      </c>
      <c r="U1437" s="44">
        <f>IF(Mecze[[#This Row],[Role]]&lt;&gt;"BR",SUMPRODUCT(Mecze[[#This Row],[/PR:90]:[/BR:90]],Brudnopis!$E$25:$J$25),0)</f>
        <v>0.20918367346938777</v>
      </c>
      <c r="V1437" s="44">
        <f>IF(Mecze[[#This Row],[Role]]&lt;&gt;"BR",SUMPRODUCT(Mecze[[#This Row],[/PR:90]:[/BR:90]],Brudnopis!$E$26:$J$26),0)</f>
        <v>0.18367346938775511</v>
      </c>
      <c r="W1437" s="44">
        <f>IF(Mecze[[#This Row],[Role]]&lt;&gt;"BR",SUMPRODUCT(Mecze[[#This Row],[/PR:90]:[/BR:90]],Brudnopis!$E$27:$J$27),0)</f>
        <v>0.17602040816326531</v>
      </c>
      <c r="X1437" s="44">
        <f>IF(Mecze[[#This Row],[Role]]&lt;&gt;"BR",SUMPRODUCT(Mecze[[#This Row],[/PR:90]:[/BR:90]],Brudnopis!$E$28:$J$28),0)</f>
        <v>5.1020408163265307E-2</v>
      </c>
      <c r="Y1437" s="35">
        <f>IF(Mecze[[#This Row],[Role]]="BR",Mecze[[#This Row],[/OB:90]]+Mecze[[#This Row],[/PC:90]],SUM(Mecze[[#This Row],[/PR:90]:[/BR:90]]))</f>
        <v>0.18367346938775511</v>
      </c>
      <c r="Z1437" s="35">
        <f>IF(Mecze[[#This Row],[KC]]=0,SUM(Mecze[[#This Row],[/BRI]:[/NPI]]),SUM(Mecze[[#This Row],[/BRI]:[/NPI]])*0.6)</f>
        <v>0.81377551020408156</v>
      </c>
      <c r="AA1437" s="10">
        <f>IFERROR(Mecze[[#This Row],[BR]]/Mecze[[#This Row],[ST]],0)</f>
        <v>0</v>
      </c>
      <c r="AB1437">
        <f>ROUND(Mecze[[#This Row],[PD]]*Mecze[[#This Row],[%PC]],0)</f>
        <v>5</v>
      </c>
      <c r="AC1437">
        <f>ROUND(Mecze[[#This Row],[OD]]*Mecze[[#This Row],[%OU]],0)</f>
        <v>2</v>
      </c>
      <c r="AD1437" s="36" t="s">
        <v>168</v>
      </c>
      <c r="AE1437" s="36">
        <v>79</v>
      </c>
      <c r="AF1437" s="71">
        <v>3.9</v>
      </c>
      <c r="AG1437" s="37">
        <v>0</v>
      </c>
      <c r="AH1437" s="37">
        <v>0</v>
      </c>
      <c r="AI1437" s="37">
        <v>98</v>
      </c>
      <c r="AJ1437" s="37">
        <v>1</v>
      </c>
      <c r="AK1437" s="37" t="str">
        <f>VLOOKUP(Mecze[[#This Row],[Match ID]],Meczusie[Mecz]:Meczusie[RodzajMeczu],2,FALSE)</f>
        <v>Towarzyski</v>
      </c>
    </row>
    <row r="1438" spans="1:37" x14ac:dyDescent="0.25">
      <c r="A1438" s="76">
        <v>42</v>
      </c>
      <c r="B1438" s="3" t="s">
        <v>361</v>
      </c>
      <c r="C1438" s="2" t="s">
        <v>157</v>
      </c>
      <c r="D1438" s="1">
        <v>0</v>
      </c>
      <c r="E1438" s="1">
        <v>0</v>
      </c>
      <c r="F1438" s="1">
        <v>0</v>
      </c>
      <c r="G1438" s="1">
        <v>15</v>
      </c>
      <c r="H1438" s="4">
        <v>0.47</v>
      </c>
      <c r="I1438" s="1">
        <v>4</v>
      </c>
      <c r="J1438" s="4">
        <v>0.5</v>
      </c>
      <c r="K1438" s="1">
        <v>0</v>
      </c>
      <c r="L1438" s="1">
        <v>17</v>
      </c>
      <c r="M1438" s="32">
        <f>IF(Mecze[[#This Row],[PR]]=0,0,Mecze[[#This Row],[PR]]/Mecze[[#This Row],[CZAS]])</f>
        <v>0.17346938775510204</v>
      </c>
      <c r="N1438" s="32">
        <f>IF(Mecze[[#This Row],[OU]]=0,0,Mecze[[#This Row],[OU]]/Mecze[[#This Row],[CZAS]])</f>
        <v>2.0408163265306121E-2</v>
      </c>
      <c r="O1438" s="32">
        <f>IF(Mecze[[#This Row],[PC]]=0,0,Mecze[[#This Row],[PC]]/Mecze[[#This Row],[CZAS]])</f>
        <v>7.1428571428571425E-2</v>
      </c>
      <c r="P1438" s="32">
        <f>IF(Mecze[[#This Row],[SC]]=0,0,Mecze[[#This Row],[SC]]/Mecze[[#This Row],[CZAS]])</f>
        <v>0</v>
      </c>
      <c r="Q1438" s="32">
        <f>IF(Mecze[[#This Row],[OB]]=0,0,Mecze[[#This Row],[OB]]/Mecze[[#This Row],[CZAS]])</f>
        <v>0</v>
      </c>
      <c r="R1438" s="32">
        <f>IF(Mecze[[#This Row],[BR]]=0,0,Mecze[[#This Row],[BR]]/Mecze[[#This Row],[CZAS]])</f>
        <v>0</v>
      </c>
      <c r="S1438" s="44">
        <f>IF(Mecze[[#This Row],[Role]]="BR",SUMPRODUCT(Mecze[[#This Row],[/PR:90]:[/BR:90]],Brudnopis!$E$23:$J$23),0)</f>
        <v>0</v>
      </c>
      <c r="T1438" s="44">
        <f>IF(Mecze[[#This Row],[Role]]&lt;&gt;"BR",SUMPRODUCT(Mecze[[#This Row],[/PR:90]:[/BR:90]],Brudnopis!$E$24:$J$24),0)</f>
        <v>0.27551020408163263</v>
      </c>
      <c r="U1438" s="44">
        <f>IF(Mecze[[#This Row],[Role]]&lt;&gt;"BR",SUMPRODUCT(Mecze[[#This Row],[/PR:90]:[/BR:90]],Brudnopis!$E$25:$J$25),0)</f>
        <v>0.30102040816326531</v>
      </c>
      <c r="V1438" s="44">
        <f>IF(Mecze[[#This Row],[Role]]&lt;&gt;"BR",SUMPRODUCT(Mecze[[#This Row],[/PR:90]:[/BR:90]],Brudnopis!$E$26:$J$26),0)</f>
        <v>0.26530612244897955</v>
      </c>
      <c r="W1438" s="44">
        <f>IF(Mecze[[#This Row],[Role]]&lt;&gt;"BR",SUMPRODUCT(Mecze[[#This Row],[/PR:90]:[/BR:90]],Brudnopis!$E$27:$J$27),0)</f>
        <v>0.25255102040816324</v>
      </c>
      <c r="X1438" s="44">
        <f>IF(Mecze[[#This Row],[Role]]&lt;&gt;"BR",SUMPRODUCT(Mecze[[#This Row],[/PR:90]:[/BR:90]],Brudnopis!$E$28:$J$28),0)</f>
        <v>7.1428571428571425E-2</v>
      </c>
      <c r="Y1438" s="35">
        <f>IF(Mecze[[#This Row],[Role]]="BR",Mecze[[#This Row],[/OB:90]]+Mecze[[#This Row],[/PC:90]],SUM(Mecze[[#This Row],[/PR:90]:[/BR:90]]))</f>
        <v>0.26530612244897955</v>
      </c>
      <c r="Z1438" s="35">
        <f>IF(Mecze[[#This Row],[KC]]=0,SUM(Mecze[[#This Row],[/BRI]:[/NPI]]),SUM(Mecze[[#This Row],[/BRI]:[/NPI]])*0.6)</f>
        <v>1.1658163265306121</v>
      </c>
      <c r="AA1438" s="10">
        <f>IFERROR(Mecze[[#This Row],[BR]]/Mecze[[#This Row],[ST]],0)</f>
        <v>0</v>
      </c>
      <c r="AB1438">
        <f>ROUND(Mecze[[#This Row],[PD]]*Mecze[[#This Row],[%PC]],0)</f>
        <v>7</v>
      </c>
      <c r="AC1438">
        <f>ROUND(Mecze[[#This Row],[OD]]*Mecze[[#This Row],[%OU]],0)</f>
        <v>2</v>
      </c>
      <c r="AD1438" s="36" t="s">
        <v>167</v>
      </c>
      <c r="AE1438" s="36">
        <v>79</v>
      </c>
      <c r="AF1438" s="71">
        <v>6.28</v>
      </c>
      <c r="AG1438" s="37">
        <v>0</v>
      </c>
      <c r="AH1438" s="37">
        <v>0</v>
      </c>
      <c r="AI1438" s="37">
        <v>98</v>
      </c>
      <c r="AJ1438" s="37">
        <v>1</v>
      </c>
      <c r="AK1438" s="37" t="str">
        <f>VLOOKUP(Mecze[[#This Row],[Match ID]],Meczusie[Mecz]:Meczusie[RodzajMeczu],2,FALSE)</f>
        <v>Towarzyski</v>
      </c>
    </row>
    <row r="1439" spans="1:37" x14ac:dyDescent="0.25">
      <c r="A1439" s="76">
        <v>33</v>
      </c>
      <c r="B1439" s="3" t="s">
        <v>362</v>
      </c>
      <c r="C1439" s="2" t="s">
        <v>160</v>
      </c>
      <c r="D1439" s="1">
        <v>0</v>
      </c>
      <c r="E1439" s="1">
        <v>0</v>
      </c>
      <c r="F1439" s="1">
        <v>0</v>
      </c>
      <c r="G1439" s="1">
        <v>18</v>
      </c>
      <c r="H1439" s="4">
        <v>0.5</v>
      </c>
      <c r="I1439" s="1">
        <v>7</v>
      </c>
      <c r="J1439" s="4">
        <v>0.28999999999999998</v>
      </c>
      <c r="K1439" s="1">
        <v>0</v>
      </c>
      <c r="L1439" s="1">
        <v>15</v>
      </c>
      <c r="M1439" s="32">
        <f>IF(Mecze[[#This Row],[PR]]=0,0,Mecze[[#This Row],[PR]]/Mecze[[#This Row],[CZAS]])</f>
        <v>0.15306122448979592</v>
      </c>
      <c r="N1439" s="32">
        <f>IF(Mecze[[#This Row],[OU]]=0,0,Mecze[[#This Row],[OU]]/Mecze[[#This Row],[CZAS]])</f>
        <v>2.0408163265306121E-2</v>
      </c>
      <c r="O1439" s="32">
        <f>IF(Mecze[[#This Row],[PC]]=0,0,Mecze[[#This Row],[PC]]/Mecze[[#This Row],[CZAS]])</f>
        <v>9.1836734693877556E-2</v>
      </c>
      <c r="P1439" s="32">
        <f>IF(Mecze[[#This Row],[SC]]=0,0,Mecze[[#This Row],[SC]]/Mecze[[#This Row],[CZAS]])</f>
        <v>0</v>
      </c>
      <c r="Q1439" s="32">
        <f>IF(Mecze[[#This Row],[OB]]=0,0,Mecze[[#This Row],[OB]]/Mecze[[#This Row],[CZAS]])</f>
        <v>0</v>
      </c>
      <c r="R1439" s="32">
        <f>IF(Mecze[[#This Row],[BR]]=0,0,Mecze[[#This Row],[BR]]/Mecze[[#This Row],[CZAS]])</f>
        <v>0</v>
      </c>
      <c r="S1439" s="44">
        <f>IF(Mecze[[#This Row],[Role]]="BR",SUMPRODUCT(Mecze[[#This Row],[/PR:90]:[/BR:90]],Brudnopis!$E$23:$J$23),0)</f>
        <v>0</v>
      </c>
      <c r="T1439" s="44">
        <f>IF(Mecze[[#This Row],[Role]]&lt;&gt;"BR",SUMPRODUCT(Mecze[[#This Row],[/PR:90]:[/BR:90]],Brudnopis!$E$24:$J$24),0)</f>
        <v>0.27551020408163268</v>
      </c>
      <c r="U1439" s="44">
        <f>IF(Mecze[[#This Row],[Role]]&lt;&gt;"BR",SUMPRODUCT(Mecze[[#This Row],[/PR:90]:[/BR:90]],Brudnopis!$E$25:$J$25),0)</f>
        <v>0.31122448979591838</v>
      </c>
      <c r="V1439" s="44">
        <f>IF(Mecze[[#This Row],[Role]]&lt;&gt;"BR",SUMPRODUCT(Mecze[[#This Row],[/PR:90]:[/BR:90]],Brudnopis!$E$26:$J$26),0)</f>
        <v>0.26530612244897961</v>
      </c>
      <c r="W1439" s="44">
        <f>IF(Mecze[[#This Row],[Role]]&lt;&gt;"BR",SUMPRODUCT(Mecze[[#This Row],[/PR:90]:[/BR:90]],Brudnopis!$E$27:$J$27),0)</f>
        <v>0.2678571428571429</v>
      </c>
      <c r="X1439" s="44">
        <f>IF(Mecze[[#This Row],[Role]]&lt;&gt;"BR",SUMPRODUCT(Mecze[[#This Row],[/PR:90]:[/BR:90]],Brudnopis!$E$28:$J$28),0)</f>
        <v>9.1836734693877556E-2</v>
      </c>
      <c r="Y1439" s="35">
        <f>IF(Mecze[[#This Row],[Role]]="BR",Mecze[[#This Row],[/OB:90]]+Mecze[[#This Row],[/PC:90]],SUM(Mecze[[#This Row],[/PR:90]:[/BR:90]]))</f>
        <v>0.26530612244897961</v>
      </c>
      <c r="Z1439" s="35">
        <f>IF(Mecze[[#This Row],[KC]]=0,SUM(Mecze[[#This Row],[/BRI]:[/NPI]]),SUM(Mecze[[#This Row],[/BRI]:[/NPI]])*0.6)</f>
        <v>1.2117346938775513</v>
      </c>
      <c r="AA1439" s="10">
        <f>IFERROR(Mecze[[#This Row],[BR]]/Mecze[[#This Row],[ST]],0)</f>
        <v>0</v>
      </c>
      <c r="AB1439">
        <f>ROUND(Mecze[[#This Row],[PD]]*Mecze[[#This Row],[%PC]],0)</f>
        <v>9</v>
      </c>
      <c r="AC1439">
        <f>ROUND(Mecze[[#This Row],[OD]]*Mecze[[#This Row],[%OU]],0)</f>
        <v>2</v>
      </c>
      <c r="AD1439" s="36" t="s">
        <v>41</v>
      </c>
      <c r="AE1439" s="36">
        <v>79</v>
      </c>
      <c r="AF1439" s="71">
        <v>7.06</v>
      </c>
      <c r="AG1439" s="37">
        <v>0</v>
      </c>
      <c r="AH1439" s="37">
        <v>0</v>
      </c>
      <c r="AI1439" s="37">
        <v>98</v>
      </c>
      <c r="AJ1439" s="37">
        <v>1</v>
      </c>
      <c r="AK1439" s="37" t="str">
        <f>VLOOKUP(Mecze[[#This Row],[Match ID]],Meczusie[Mecz]:Meczusie[RodzajMeczu],2,FALSE)</f>
        <v>Towarzyski</v>
      </c>
    </row>
    <row r="1440" spans="1:37" x14ac:dyDescent="0.25">
      <c r="A1440" s="76">
        <v>22</v>
      </c>
      <c r="B1440" s="3" t="s">
        <v>363</v>
      </c>
      <c r="C1440" s="2" t="s">
        <v>160</v>
      </c>
      <c r="D1440" s="1">
        <v>0</v>
      </c>
      <c r="E1440" s="1">
        <v>0</v>
      </c>
      <c r="F1440" s="1">
        <v>0</v>
      </c>
      <c r="G1440" s="1">
        <v>11</v>
      </c>
      <c r="H1440" s="4">
        <v>0.27</v>
      </c>
      <c r="I1440" s="1">
        <v>3</v>
      </c>
      <c r="J1440" s="4">
        <v>0</v>
      </c>
      <c r="K1440" s="1">
        <v>0</v>
      </c>
      <c r="L1440" s="1">
        <v>7</v>
      </c>
      <c r="M1440" s="32">
        <f>IF(Mecze[[#This Row],[PR]]=0,0,Mecze[[#This Row],[PR]]/Mecze[[#This Row],[CZAS]])</f>
        <v>7.1428571428571425E-2</v>
      </c>
      <c r="N1440" s="32">
        <f>IF(Mecze[[#This Row],[OU]]=0,0,Mecze[[#This Row],[OU]]/Mecze[[#This Row],[CZAS]])</f>
        <v>0</v>
      </c>
      <c r="O1440" s="32">
        <f>IF(Mecze[[#This Row],[PC]]=0,0,Mecze[[#This Row],[PC]]/Mecze[[#This Row],[CZAS]])</f>
        <v>3.0612244897959183E-2</v>
      </c>
      <c r="P1440" s="32">
        <f>IF(Mecze[[#This Row],[SC]]=0,0,Mecze[[#This Row],[SC]]/Mecze[[#This Row],[CZAS]])</f>
        <v>0</v>
      </c>
      <c r="Q1440" s="32">
        <f>IF(Mecze[[#This Row],[OB]]=0,0,Mecze[[#This Row],[OB]]/Mecze[[#This Row],[CZAS]])</f>
        <v>0</v>
      </c>
      <c r="R1440" s="32">
        <f>IF(Mecze[[#This Row],[BR]]=0,0,Mecze[[#This Row],[BR]]/Mecze[[#This Row],[CZAS]])</f>
        <v>0</v>
      </c>
      <c r="S1440" s="44">
        <f>IF(Mecze[[#This Row],[Role]]="BR",SUMPRODUCT(Mecze[[#This Row],[/PR:90]:[/BR:90]],Brudnopis!$E$23:$J$23),0)</f>
        <v>0</v>
      </c>
      <c r="T1440" s="44">
        <f>IF(Mecze[[#This Row],[Role]]&lt;&gt;"BR",SUMPRODUCT(Mecze[[#This Row],[/PR:90]:[/BR:90]],Brudnopis!$E$24:$J$24),0)</f>
        <v>0.10204081632653061</v>
      </c>
      <c r="U1440" s="44">
        <f>IF(Mecze[[#This Row],[Role]]&lt;&gt;"BR",SUMPRODUCT(Mecze[[#This Row],[/PR:90]:[/BR:90]],Brudnopis!$E$25:$J$25),0)</f>
        <v>0.1173469387755102</v>
      </c>
      <c r="V1440" s="44">
        <f>IF(Mecze[[#This Row],[Role]]&lt;&gt;"BR",SUMPRODUCT(Mecze[[#This Row],[/PR:90]:[/BR:90]],Brudnopis!$E$26:$J$26),0)</f>
        <v>0.10204081632653061</v>
      </c>
      <c r="W1440" s="44">
        <f>IF(Mecze[[#This Row],[Role]]&lt;&gt;"BR",SUMPRODUCT(Mecze[[#This Row],[/PR:90]:[/BR:90]],Brudnopis!$E$27:$J$27),0)</f>
        <v>9.9489795918367346E-2</v>
      </c>
      <c r="X1440" s="44">
        <f>IF(Mecze[[#This Row],[Role]]&lt;&gt;"BR",SUMPRODUCT(Mecze[[#This Row],[/PR:90]:[/BR:90]],Brudnopis!$E$28:$J$28),0)</f>
        <v>3.0612244897959183E-2</v>
      </c>
      <c r="Y1440" s="35">
        <f>IF(Mecze[[#This Row],[Role]]="BR",Mecze[[#This Row],[/OB:90]]+Mecze[[#This Row],[/PC:90]],SUM(Mecze[[#This Row],[/PR:90]:[/BR:90]]))</f>
        <v>0.10204081632653061</v>
      </c>
      <c r="Z1440" s="35">
        <f>IF(Mecze[[#This Row],[KC]]=0,SUM(Mecze[[#This Row],[/BRI]:[/NPI]]),SUM(Mecze[[#This Row],[/BRI]:[/NPI]])*0.6)</f>
        <v>0.45153061224489793</v>
      </c>
      <c r="AA1440" s="10">
        <f>IFERROR(Mecze[[#This Row],[BR]]/Mecze[[#This Row],[ST]],0)</f>
        <v>0</v>
      </c>
      <c r="AB1440">
        <f>ROUND(Mecze[[#This Row],[PD]]*Mecze[[#This Row],[%PC]],0)</f>
        <v>3</v>
      </c>
      <c r="AC1440">
        <f>ROUND(Mecze[[#This Row],[OD]]*Mecze[[#This Row],[%OU]],0)</f>
        <v>0</v>
      </c>
      <c r="AD1440" s="36" t="s">
        <v>41</v>
      </c>
      <c r="AE1440" s="36">
        <v>79</v>
      </c>
      <c r="AF1440" s="71">
        <v>4.17</v>
      </c>
      <c r="AG1440" s="37">
        <v>0</v>
      </c>
      <c r="AH1440" s="37">
        <v>0</v>
      </c>
      <c r="AI1440" s="37">
        <v>98</v>
      </c>
      <c r="AJ1440" s="37">
        <v>1</v>
      </c>
      <c r="AK1440" s="37" t="str">
        <f>VLOOKUP(Mecze[[#This Row],[Match ID]],Meczusie[Mecz]:Meczusie[RodzajMeczu],2,FALSE)</f>
        <v>Towarzyski</v>
      </c>
    </row>
    <row r="1441" spans="1:37" x14ac:dyDescent="0.25">
      <c r="A1441" s="76">
        <v>27</v>
      </c>
      <c r="B1441" s="3" t="s">
        <v>364</v>
      </c>
      <c r="C1441" s="2" t="s">
        <v>160</v>
      </c>
      <c r="D1441" s="1">
        <v>0</v>
      </c>
      <c r="E1441" s="1">
        <v>2</v>
      </c>
      <c r="F1441" s="1">
        <v>2</v>
      </c>
      <c r="G1441" s="1">
        <v>3</v>
      </c>
      <c r="H1441" s="4">
        <v>0.33</v>
      </c>
      <c r="I1441" s="1">
        <v>0</v>
      </c>
      <c r="J1441" s="4"/>
      <c r="K1441" s="1">
        <v>0</v>
      </c>
      <c r="L1441" s="1">
        <v>1</v>
      </c>
      <c r="M1441" s="32">
        <f>IF(Mecze[[#This Row],[PR]]=0,0,Mecze[[#This Row],[PR]]/Mecze[[#This Row],[CZAS]])</f>
        <v>1.020408163265306E-2</v>
      </c>
      <c r="N1441" s="32">
        <f>IF(Mecze[[#This Row],[OU]]=0,0,Mecze[[#This Row],[OU]]/Mecze[[#This Row],[CZAS]])</f>
        <v>0</v>
      </c>
      <c r="O1441" s="32">
        <f>IF(Mecze[[#This Row],[PC]]=0,0,Mecze[[#This Row],[PC]]/Mecze[[#This Row],[CZAS]])</f>
        <v>1.020408163265306E-2</v>
      </c>
      <c r="P1441" s="32">
        <f>IF(Mecze[[#This Row],[SC]]=0,0,Mecze[[#This Row],[SC]]/Mecze[[#This Row],[CZAS]])</f>
        <v>2.0408163265306121E-2</v>
      </c>
      <c r="Q1441" s="32">
        <f>IF(Mecze[[#This Row],[OB]]=0,0,Mecze[[#This Row],[OB]]/Mecze[[#This Row],[CZAS]])</f>
        <v>0</v>
      </c>
      <c r="R1441" s="32">
        <f>IF(Mecze[[#This Row],[BR]]=0,0,Mecze[[#This Row],[BR]]/Mecze[[#This Row],[CZAS]])</f>
        <v>0</v>
      </c>
      <c r="S1441" s="44">
        <f>IF(Mecze[[#This Row],[Role]]="BR",SUMPRODUCT(Mecze[[#This Row],[/PR:90]:[/BR:90]],Brudnopis!$E$23:$J$23),0)</f>
        <v>0</v>
      </c>
      <c r="T1441" s="44">
        <f>IF(Mecze[[#This Row],[Role]]&lt;&gt;"BR",SUMPRODUCT(Mecze[[#This Row],[/PR:90]:[/BR:90]],Brudnopis!$E$24:$J$24),0)</f>
        <v>4.0816326530612242E-2</v>
      </c>
      <c r="U1441" s="44">
        <f>IF(Mecze[[#This Row],[Role]]&lt;&gt;"BR",SUMPRODUCT(Mecze[[#This Row],[/PR:90]:[/BR:90]],Brudnopis!$E$25:$J$25),0)</f>
        <v>4.5918367346938771E-2</v>
      </c>
      <c r="V1441" s="44">
        <f>IF(Mecze[[#This Row],[Role]]&lt;&gt;"BR",SUMPRODUCT(Mecze[[#This Row],[/PR:90]:[/BR:90]],Brudnopis!$E$26:$J$26),0)</f>
        <v>4.0816326530612242E-2</v>
      </c>
      <c r="W1441" s="44">
        <f>IF(Mecze[[#This Row],[Role]]&lt;&gt;"BR",SUMPRODUCT(Mecze[[#This Row],[/PR:90]:[/BR:90]],Brudnopis!$E$27:$J$27),0)</f>
        <v>4.3367346938775503E-2</v>
      </c>
      <c r="X1441" s="44">
        <f>IF(Mecze[[#This Row],[Role]]&lt;&gt;"BR",SUMPRODUCT(Mecze[[#This Row],[/PR:90]:[/BR:90]],Brudnopis!$E$28:$J$28),0)</f>
        <v>5.10204081632653E-2</v>
      </c>
      <c r="Y1441" s="35">
        <f>IF(Mecze[[#This Row],[Role]]="BR",Mecze[[#This Row],[/OB:90]]+Mecze[[#This Row],[/PC:90]],SUM(Mecze[[#This Row],[/PR:90]:[/BR:90]]))</f>
        <v>4.0816326530612242E-2</v>
      </c>
      <c r="Z1441" s="35">
        <f>IF(Mecze[[#This Row],[KC]]=0,SUM(Mecze[[#This Row],[/BRI]:[/NPI]]),SUM(Mecze[[#This Row],[/BRI]:[/NPI]])*0.6)</f>
        <v>0.22193877551020405</v>
      </c>
      <c r="AA1441" s="10">
        <f>IFERROR(Mecze[[#This Row],[BR]]/Mecze[[#This Row],[ST]],0)</f>
        <v>0</v>
      </c>
      <c r="AB1441">
        <f>ROUND(Mecze[[#This Row],[PD]]*Mecze[[#This Row],[%PC]],0)</f>
        <v>1</v>
      </c>
      <c r="AC1441">
        <f>ROUND(Mecze[[#This Row],[OD]]*Mecze[[#This Row],[%OU]],0)</f>
        <v>0</v>
      </c>
      <c r="AD1441" s="36" t="s">
        <v>44</v>
      </c>
      <c r="AE1441" s="36">
        <v>79</v>
      </c>
      <c r="AF1441" s="71">
        <v>3.37</v>
      </c>
      <c r="AG1441" s="37">
        <v>0</v>
      </c>
      <c r="AH1441" s="37">
        <v>0</v>
      </c>
      <c r="AI1441" s="37">
        <v>98</v>
      </c>
      <c r="AJ1441" s="37">
        <v>1</v>
      </c>
      <c r="AK1441" s="37" t="str">
        <f>VLOOKUP(Mecze[[#This Row],[Match ID]],Meczusie[Mecz]:Meczusie[RodzajMeczu],2,FALSE)</f>
        <v>Towarzyski</v>
      </c>
    </row>
    <row r="1442" spans="1:37" x14ac:dyDescent="0.25">
      <c r="A1442" s="76">
        <v>28</v>
      </c>
      <c r="B1442" s="3" t="s">
        <v>419</v>
      </c>
      <c r="C1442" s="2" t="s">
        <v>160</v>
      </c>
      <c r="D1442" s="1">
        <v>0</v>
      </c>
      <c r="E1442" s="1">
        <v>1</v>
      </c>
      <c r="F1442" s="1">
        <v>0</v>
      </c>
      <c r="G1442" s="1">
        <v>3</v>
      </c>
      <c r="H1442" s="4">
        <v>0</v>
      </c>
      <c r="I1442" s="1">
        <v>1</v>
      </c>
      <c r="J1442" s="4">
        <v>0</v>
      </c>
      <c r="K1442" s="1">
        <v>0</v>
      </c>
      <c r="L1442" s="1">
        <v>1</v>
      </c>
      <c r="M1442" s="32">
        <f>IF(Mecze[[#This Row],[PR]]=0,0,Mecze[[#This Row],[PR]]/Mecze[[#This Row],[CZAS]])</f>
        <v>1.020408163265306E-2</v>
      </c>
      <c r="N1442" s="32">
        <f>IF(Mecze[[#This Row],[OU]]=0,0,Mecze[[#This Row],[OU]]/Mecze[[#This Row],[CZAS]])</f>
        <v>0</v>
      </c>
      <c r="O1442" s="32">
        <f>IF(Mecze[[#This Row],[PC]]=0,0,Mecze[[#This Row],[PC]]/Mecze[[#This Row],[CZAS]])</f>
        <v>0</v>
      </c>
      <c r="P1442" s="32">
        <f>IF(Mecze[[#This Row],[SC]]=0,0,Mecze[[#This Row],[SC]]/Mecze[[#This Row],[CZAS]])</f>
        <v>0</v>
      </c>
      <c r="Q1442" s="32">
        <f>IF(Mecze[[#This Row],[OB]]=0,0,Mecze[[#This Row],[OB]]/Mecze[[#This Row],[CZAS]])</f>
        <v>0</v>
      </c>
      <c r="R1442" s="32">
        <f>IF(Mecze[[#This Row],[BR]]=0,0,Mecze[[#This Row],[BR]]/Mecze[[#This Row],[CZAS]])</f>
        <v>0</v>
      </c>
      <c r="S1442" s="44">
        <f>IF(Mecze[[#This Row],[Role]]="BR",SUMPRODUCT(Mecze[[#This Row],[/PR:90]:[/BR:90]],Brudnopis!$E$23:$J$23),0)</f>
        <v>0</v>
      </c>
      <c r="T1442" s="44">
        <f>IF(Mecze[[#This Row],[Role]]&lt;&gt;"BR",SUMPRODUCT(Mecze[[#This Row],[/PR:90]:[/BR:90]],Brudnopis!$E$24:$J$24),0)</f>
        <v>1.020408163265306E-2</v>
      </c>
      <c r="U1442" s="44">
        <f>IF(Mecze[[#This Row],[Role]]&lt;&gt;"BR",SUMPRODUCT(Mecze[[#This Row],[/PR:90]:[/BR:90]],Brudnopis!$E$25:$J$25),0)</f>
        <v>1.020408163265306E-2</v>
      </c>
      <c r="V1442" s="44">
        <f>IF(Mecze[[#This Row],[Role]]&lt;&gt;"BR",SUMPRODUCT(Mecze[[#This Row],[/PR:90]:[/BR:90]],Brudnopis!$E$26:$J$26),0)</f>
        <v>1.020408163265306E-2</v>
      </c>
      <c r="W1442" s="44">
        <f>IF(Mecze[[#This Row],[Role]]&lt;&gt;"BR",SUMPRODUCT(Mecze[[#This Row],[/PR:90]:[/BR:90]],Brudnopis!$E$27:$J$27),0)</f>
        <v>7.6530612244897957E-3</v>
      </c>
      <c r="X1442" s="44">
        <f>IF(Mecze[[#This Row],[Role]]&lt;&gt;"BR",SUMPRODUCT(Mecze[[#This Row],[/PR:90]:[/BR:90]],Brudnopis!$E$28:$J$28),0)</f>
        <v>0</v>
      </c>
      <c r="Y1442" s="35">
        <f>IF(Mecze[[#This Row],[Role]]="BR",Mecze[[#This Row],[/OB:90]]+Mecze[[#This Row],[/PC:90]],SUM(Mecze[[#This Row],[/PR:90]:[/BR:90]]))</f>
        <v>1.020408163265306E-2</v>
      </c>
      <c r="Z1442" s="35">
        <f>IF(Mecze[[#This Row],[KC]]=0,SUM(Mecze[[#This Row],[/BRI]:[/NPI]]),SUM(Mecze[[#This Row],[/BRI]:[/NPI]])*0.6)</f>
        <v>3.826530612244898E-2</v>
      </c>
      <c r="AA1442" s="10">
        <f>IFERROR(Mecze[[#This Row],[BR]]/Mecze[[#This Row],[ST]],0)</f>
        <v>0</v>
      </c>
      <c r="AB1442">
        <f>ROUND(Mecze[[#This Row],[PD]]*Mecze[[#This Row],[%PC]],0)</f>
        <v>0</v>
      </c>
      <c r="AC1442">
        <f>ROUND(Mecze[[#This Row],[OD]]*Mecze[[#This Row],[%OU]],0)</f>
        <v>0</v>
      </c>
      <c r="AD1442" s="36" t="s">
        <v>44</v>
      </c>
      <c r="AE1442" s="36">
        <v>79</v>
      </c>
      <c r="AF1442" s="71">
        <v>2.91</v>
      </c>
      <c r="AG1442" s="37">
        <v>0</v>
      </c>
      <c r="AH1442" s="37">
        <v>0</v>
      </c>
      <c r="AI1442" s="37">
        <v>98</v>
      </c>
      <c r="AJ1442" s="37">
        <v>1</v>
      </c>
      <c r="AK1442" s="37" t="str">
        <f>VLOOKUP(Mecze[[#This Row],[Match ID]],Meczusie[Mecz]:Meczusie[RodzajMeczu],2,FALSE)</f>
        <v>Towarzyski</v>
      </c>
    </row>
    <row r="1443" spans="1:37" x14ac:dyDescent="0.25">
      <c r="A1443" s="76">
        <v>53</v>
      </c>
      <c r="B1443" s="3" t="s">
        <v>415</v>
      </c>
      <c r="C1443" s="2" t="s">
        <v>165</v>
      </c>
      <c r="D1443" s="1">
        <v>1</v>
      </c>
      <c r="E1443" s="1">
        <v>2</v>
      </c>
      <c r="F1443" s="1">
        <v>2</v>
      </c>
      <c r="G1443" s="1">
        <v>7</v>
      </c>
      <c r="H1443" s="4">
        <v>0.43</v>
      </c>
      <c r="I1443" s="1">
        <v>4</v>
      </c>
      <c r="J1443" s="4">
        <v>0</v>
      </c>
      <c r="K1443" s="1">
        <v>0</v>
      </c>
      <c r="L1443" s="1">
        <v>0</v>
      </c>
      <c r="M1443" s="32">
        <f>IF(Mecze[[#This Row],[PR]]=0,0,Mecze[[#This Row],[PR]]/Mecze[[#This Row],[CZAS]])</f>
        <v>0</v>
      </c>
      <c r="N1443" s="32">
        <f>IF(Mecze[[#This Row],[OU]]=0,0,Mecze[[#This Row],[OU]]/Mecze[[#This Row],[CZAS]])</f>
        <v>0</v>
      </c>
      <c r="O1443" s="32">
        <f>IF(Mecze[[#This Row],[PC]]=0,0,Mecze[[#This Row],[PC]]/Mecze[[#This Row],[CZAS]])</f>
        <v>3.0612244897959183E-2</v>
      </c>
      <c r="P1443" s="32">
        <f>IF(Mecze[[#This Row],[SC]]=0,0,Mecze[[#This Row],[SC]]/Mecze[[#This Row],[CZAS]])</f>
        <v>2.0408163265306121E-2</v>
      </c>
      <c r="Q1443" s="32">
        <f>IF(Mecze[[#This Row],[OB]]=0,0,Mecze[[#This Row],[OB]]/Mecze[[#This Row],[CZAS]])</f>
        <v>0</v>
      </c>
      <c r="R1443" s="32">
        <f>IF(Mecze[[#This Row],[BR]]=0,0,Mecze[[#This Row],[BR]]/Mecze[[#This Row],[CZAS]])</f>
        <v>1.020408163265306E-2</v>
      </c>
      <c r="S1443" s="44">
        <f>IF(Mecze[[#This Row],[Role]]="BR",SUMPRODUCT(Mecze[[#This Row],[/PR:90]:[/BR:90]],Brudnopis!$E$23:$J$23),0)</f>
        <v>0</v>
      </c>
      <c r="T1443" s="44">
        <f>IF(Mecze[[#This Row],[Role]]&lt;&gt;"BR",SUMPRODUCT(Mecze[[#This Row],[/PR:90]:[/BR:90]],Brudnopis!$E$24:$J$24),0)</f>
        <v>6.6326530612244902E-2</v>
      </c>
      <c r="U1443" s="44">
        <f>IF(Mecze[[#This Row],[Role]]&lt;&gt;"BR",SUMPRODUCT(Mecze[[#This Row],[/PR:90]:[/BR:90]],Brudnopis!$E$25:$J$25),0)</f>
        <v>8.1632653061224483E-2</v>
      </c>
      <c r="V1443" s="44">
        <f>IF(Mecze[[#This Row],[Role]]&lt;&gt;"BR",SUMPRODUCT(Mecze[[#This Row],[/PR:90]:[/BR:90]],Brudnopis!$E$26:$J$26),0)</f>
        <v>7.1428571428571425E-2</v>
      </c>
      <c r="W1443" s="44">
        <f>IF(Mecze[[#This Row],[Role]]&lt;&gt;"BR",SUMPRODUCT(Mecze[[#This Row],[/PR:90]:[/BR:90]],Brudnopis!$E$27:$J$27),0)</f>
        <v>8.6734693877551006E-2</v>
      </c>
      <c r="X1443" s="44">
        <f>IF(Mecze[[#This Row],[Role]]&lt;&gt;"BR",SUMPRODUCT(Mecze[[#This Row],[/PR:90]:[/BR:90]],Brudnopis!$E$28:$J$28),0)</f>
        <v>0.10204081632653061</v>
      </c>
      <c r="Y1443" s="35">
        <f>IF(Mecze[[#This Row],[Role]]="BR",Mecze[[#This Row],[/OB:90]]+Mecze[[#This Row],[/PC:90]],SUM(Mecze[[#This Row],[/PR:90]:[/BR:90]]))</f>
        <v>6.1224489795918366E-2</v>
      </c>
      <c r="Z1443" s="35">
        <f>IF(Mecze[[#This Row],[KC]]=0,SUM(Mecze[[#This Row],[/BRI]:[/NPI]]),SUM(Mecze[[#This Row],[/BRI]:[/NPI]])*0.6)</f>
        <v>0.40816326530612246</v>
      </c>
      <c r="AA1443" s="10">
        <f>IFERROR(Mecze[[#This Row],[BR]]/Mecze[[#This Row],[ST]],0)</f>
        <v>0.5</v>
      </c>
      <c r="AB1443">
        <f>ROUND(Mecze[[#This Row],[PD]]*Mecze[[#This Row],[%PC]],0)</f>
        <v>3</v>
      </c>
      <c r="AC1443">
        <f>ROUND(Mecze[[#This Row],[OD]]*Mecze[[#This Row],[%OU]],0)</f>
        <v>0</v>
      </c>
      <c r="AD1443" s="36" t="s">
        <v>46</v>
      </c>
      <c r="AE1443" s="36">
        <v>79</v>
      </c>
      <c r="AF1443" s="71">
        <v>5.45</v>
      </c>
      <c r="AG1443" s="37">
        <v>0</v>
      </c>
      <c r="AH1443" s="37">
        <v>0</v>
      </c>
      <c r="AI1443" s="37">
        <v>98</v>
      </c>
      <c r="AJ1443" s="37">
        <v>1</v>
      </c>
      <c r="AK1443" s="37" t="str">
        <f>VLOOKUP(Mecze[[#This Row],[Match ID]],Meczusie[Mecz]:Meczusie[RodzajMeczu],2,FALSE)</f>
        <v>Towarzyski</v>
      </c>
    </row>
    <row r="1444" spans="1:37" x14ac:dyDescent="0.25">
      <c r="A1444" s="76">
        <v>48</v>
      </c>
      <c r="B1444" s="3" t="s">
        <v>414</v>
      </c>
      <c r="C1444" s="2" t="s">
        <v>165</v>
      </c>
      <c r="D1444" s="1">
        <v>1</v>
      </c>
      <c r="E1444" s="1">
        <v>2</v>
      </c>
      <c r="F1444" s="1">
        <v>2</v>
      </c>
      <c r="G1444" s="1">
        <v>5</v>
      </c>
      <c r="H1444" s="4">
        <v>0.6</v>
      </c>
      <c r="I1444" s="1">
        <v>7</v>
      </c>
      <c r="J1444" s="4">
        <v>0.43</v>
      </c>
      <c r="K1444" s="1">
        <v>0</v>
      </c>
      <c r="L1444" s="1">
        <v>0</v>
      </c>
      <c r="M1444" s="32">
        <f>IF(Mecze[[#This Row],[PR]]=0,0,Mecze[[#This Row],[PR]]/Mecze[[#This Row],[CZAS]])</f>
        <v>0</v>
      </c>
      <c r="N1444" s="32">
        <f>IF(Mecze[[#This Row],[OU]]=0,0,Mecze[[#This Row],[OU]]/Mecze[[#This Row],[CZAS]])</f>
        <v>3.0612244897959183E-2</v>
      </c>
      <c r="O1444" s="32">
        <f>IF(Mecze[[#This Row],[PC]]=0,0,Mecze[[#This Row],[PC]]/Mecze[[#This Row],[CZAS]])</f>
        <v>3.0612244897959183E-2</v>
      </c>
      <c r="P1444" s="32">
        <f>IF(Mecze[[#This Row],[SC]]=0,0,Mecze[[#This Row],[SC]]/Mecze[[#This Row],[CZAS]])</f>
        <v>2.0408163265306121E-2</v>
      </c>
      <c r="Q1444" s="32">
        <f>IF(Mecze[[#This Row],[OB]]=0,0,Mecze[[#This Row],[OB]]/Mecze[[#This Row],[CZAS]])</f>
        <v>0</v>
      </c>
      <c r="R1444" s="32">
        <f>IF(Mecze[[#This Row],[BR]]=0,0,Mecze[[#This Row],[BR]]/Mecze[[#This Row],[CZAS]])</f>
        <v>1.020408163265306E-2</v>
      </c>
      <c r="S1444" s="44">
        <f>IF(Mecze[[#This Row],[Role]]="BR",SUMPRODUCT(Mecze[[#This Row],[/PR:90]:[/BR:90]],Brudnopis!$E$23:$J$23),0)</f>
        <v>0</v>
      </c>
      <c r="T1444" s="44">
        <f>IF(Mecze[[#This Row],[Role]]&lt;&gt;"BR",SUMPRODUCT(Mecze[[#This Row],[/PR:90]:[/BR:90]],Brudnopis!$E$24:$J$24),0)</f>
        <v>0.11224489795918367</v>
      </c>
      <c r="U1444" s="44">
        <f>IF(Mecze[[#This Row],[Role]]&lt;&gt;"BR",SUMPRODUCT(Mecze[[#This Row],[/PR:90]:[/BR:90]],Brudnopis!$E$25:$J$25),0)</f>
        <v>0.11224489795918367</v>
      </c>
      <c r="V1444" s="44">
        <f>IF(Mecze[[#This Row],[Role]]&lt;&gt;"BR",SUMPRODUCT(Mecze[[#This Row],[/PR:90]:[/BR:90]],Brudnopis!$E$26:$J$26),0)</f>
        <v>0.1020408163265306</v>
      </c>
      <c r="W1444" s="44">
        <f>IF(Mecze[[#This Row],[Role]]&lt;&gt;"BR",SUMPRODUCT(Mecze[[#This Row],[/PR:90]:[/BR:90]],Brudnopis!$E$27:$J$27),0)</f>
        <v>0.10969387755102039</v>
      </c>
      <c r="X1444" s="44">
        <f>IF(Mecze[[#This Row],[Role]]&lt;&gt;"BR",SUMPRODUCT(Mecze[[#This Row],[/PR:90]:[/BR:90]],Brudnopis!$E$28:$J$28),0)</f>
        <v>0.10204081632653061</v>
      </c>
      <c r="Y1444" s="35">
        <f>IF(Mecze[[#This Row],[Role]]="BR",Mecze[[#This Row],[/OB:90]]+Mecze[[#This Row],[/PC:90]],SUM(Mecze[[#This Row],[/PR:90]:[/BR:90]]))</f>
        <v>9.1836734693877542E-2</v>
      </c>
      <c r="Z1444" s="35">
        <f>IF(Mecze[[#This Row],[KC]]=0,SUM(Mecze[[#This Row],[/BRI]:[/NPI]]),SUM(Mecze[[#This Row],[/BRI]:[/NPI]])*0.6)</f>
        <v>0.53826530612244894</v>
      </c>
      <c r="AA1444" s="10">
        <f>IFERROR(Mecze[[#This Row],[BR]]/Mecze[[#This Row],[ST]],0)</f>
        <v>0.5</v>
      </c>
      <c r="AB1444">
        <f>ROUND(Mecze[[#This Row],[PD]]*Mecze[[#This Row],[%PC]],0)</f>
        <v>3</v>
      </c>
      <c r="AC1444">
        <f>ROUND(Mecze[[#This Row],[OD]]*Mecze[[#This Row],[%OU]],0)</f>
        <v>3</v>
      </c>
      <c r="AD1444" s="36" t="s">
        <v>46</v>
      </c>
      <c r="AE1444" s="36">
        <v>79</v>
      </c>
      <c r="AF1444" s="71">
        <v>6.78</v>
      </c>
      <c r="AG1444" s="37">
        <v>0</v>
      </c>
      <c r="AH1444" s="37">
        <v>0</v>
      </c>
      <c r="AI1444" s="37">
        <v>98</v>
      </c>
      <c r="AJ1444" s="37">
        <v>1</v>
      </c>
      <c r="AK1444" s="37" t="str">
        <f>VLOOKUP(Mecze[[#This Row],[Match ID]],Meczusie[Mecz]:Meczusie[RodzajMeczu],2,FALSE)</f>
        <v>Towarzyski</v>
      </c>
    </row>
    <row r="1445" spans="1:37" x14ac:dyDescent="0.25">
      <c r="A1445" s="76">
        <v>26</v>
      </c>
      <c r="B1445" s="3" t="s">
        <v>368</v>
      </c>
      <c r="C1445" s="2" t="s">
        <v>165</v>
      </c>
      <c r="D1445" s="1">
        <v>0</v>
      </c>
      <c r="E1445" s="1">
        <v>3</v>
      </c>
      <c r="F1445" s="1">
        <v>2</v>
      </c>
      <c r="G1445" s="1">
        <v>9</v>
      </c>
      <c r="H1445" s="4">
        <v>0.44</v>
      </c>
      <c r="I1445" s="1">
        <v>6</v>
      </c>
      <c r="J1445" s="4">
        <v>0.33</v>
      </c>
      <c r="K1445" s="1">
        <v>0</v>
      </c>
      <c r="L1445" s="1">
        <v>0</v>
      </c>
      <c r="M1445" s="32">
        <f>IF(Mecze[[#This Row],[PR]]=0,0,Mecze[[#This Row],[PR]]/Mecze[[#This Row],[CZAS]])</f>
        <v>0</v>
      </c>
      <c r="N1445" s="32">
        <f>IF(Mecze[[#This Row],[OU]]=0,0,Mecze[[#This Row],[OU]]/Mecze[[#This Row],[CZAS]])</f>
        <v>2.0408163265306121E-2</v>
      </c>
      <c r="O1445" s="32">
        <f>IF(Mecze[[#This Row],[PC]]=0,0,Mecze[[#This Row],[PC]]/Mecze[[#This Row],[CZAS]])</f>
        <v>4.0816326530612242E-2</v>
      </c>
      <c r="P1445" s="32">
        <f>IF(Mecze[[#This Row],[SC]]=0,0,Mecze[[#This Row],[SC]]/Mecze[[#This Row],[CZAS]])</f>
        <v>2.0408163265306121E-2</v>
      </c>
      <c r="Q1445" s="32">
        <f>IF(Mecze[[#This Row],[OB]]=0,0,Mecze[[#This Row],[OB]]/Mecze[[#This Row],[CZAS]])</f>
        <v>0</v>
      </c>
      <c r="R1445" s="32">
        <f>IF(Mecze[[#This Row],[BR]]=0,0,Mecze[[#This Row],[BR]]/Mecze[[#This Row],[CZAS]])</f>
        <v>0</v>
      </c>
      <c r="S1445" s="44">
        <f>IF(Mecze[[#This Row],[Role]]="BR",SUMPRODUCT(Mecze[[#This Row],[/PR:90]:[/BR:90]],Brudnopis!$E$23:$J$23),0)</f>
        <v>0</v>
      </c>
      <c r="T1445" s="44">
        <f>IF(Mecze[[#This Row],[Role]]&lt;&gt;"BR",SUMPRODUCT(Mecze[[#This Row],[/PR:90]:[/BR:90]],Brudnopis!$E$24:$J$24),0)</f>
        <v>9.1836734693877542E-2</v>
      </c>
      <c r="U1445" s="44">
        <f>IF(Mecze[[#This Row],[Role]]&lt;&gt;"BR",SUMPRODUCT(Mecze[[#This Row],[/PR:90]:[/BR:90]],Brudnopis!$E$25:$J$25),0)</f>
        <v>0.1020408163265306</v>
      </c>
      <c r="V1445" s="44">
        <f>IF(Mecze[[#This Row],[Role]]&lt;&gt;"BR",SUMPRODUCT(Mecze[[#This Row],[/PR:90]:[/BR:90]],Brudnopis!$E$26:$J$26),0)</f>
        <v>8.1632653061224483E-2</v>
      </c>
      <c r="W1445" s="44">
        <f>IF(Mecze[[#This Row],[Role]]&lt;&gt;"BR",SUMPRODUCT(Mecze[[#This Row],[/PR:90]:[/BR:90]],Brudnopis!$E$27:$J$27),0)</f>
        <v>9.6938775510204078E-2</v>
      </c>
      <c r="X1445" s="44">
        <f>IF(Mecze[[#This Row],[Role]]&lt;&gt;"BR",SUMPRODUCT(Mecze[[#This Row],[/PR:90]:[/BR:90]],Brudnopis!$E$28:$J$28),0)</f>
        <v>8.1632653061224483E-2</v>
      </c>
      <c r="Y1445" s="35">
        <f>IF(Mecze[[#This Row],[Role]]="BR",Mecze[[#This Row],[/OB:90]]+Mecze[[#This Row],[/PC:90]],SUM(Mecze[[#This Row],[/PR:90]:[/BR:90]]))</f>
        <v>8.1632653061224483E-2</v>
      </c>
      <c r="Z1445" s="35">
        <f>IF(Mecze[[#This Row],[KC]]=0,SUM(Mecze[[#This Row],[/BRI]:[/NPI]]),SUM(Mecze[[#This Row],[/BRI]:[/NPI]])*0.6)</f>
        <v>0.45408163265306117</v>
      </c>
      <c r="AA1445" s="10">
        <f>IFERROR(Mecze[[#This Row],[BR]]/Mecze[[#This Row],[ST]],0)</f>
        <v>0</v>
      </c>
      <c r="AB1445">
        <f>ROUND(Mecze[[#This Row],[PD]]*Mecze[[#This Row],[%PC]],0)</f>
        <v>4</v>
      </c>
      <c r="AC1445">
        <f>ROUND(Mecze[[#This Row],[OD]]*Mecze[[#This Row],[%OU]],0)</f>
        <v>2</v>
      </c>
      <c r="AD1445" s="36" t="s">
        <v>46</v>
      </c>
      <c r="AE1445" s="36">
        <v>79</v>
      </c>
      <c r="AF1445" s="71">
        <v>3.15</v>
      </c>
      <c r="AG1445" s="37">
        <v>0</v>
      </c>
      <c r="AH1445" s="37">
        <v>0</v>
      </c>
      <c r="AI1445" s="37">
        <v>98</v>
      </c>
      <c r="AJ1445" s="37">
        <v>1</v>
      </c>
      <c r="AK1445" s="37" t="str">
        <f>VLOOKUP(Mecze[[#This Row],[Match ID]],Meczusie[Mecz]:Meczusie[RodzajMeczu],2,FALSE)</f>
        <v>Towarzyski</v>
      </c>
    </row>
    <row r="1446" spans="1:37" x14ac:dyDescent="0.25">
      <c r="A1446" s="76">
        <v>1</v>
      </c>
      <c r="B1446" s="3" t="s">
        <v>236</v>
      </c>
      <c r="C1446" s="2" t="s">
        <v>155</v>
      </c>
      <c r="D1446" s="1">
        <v>0</v>
      </c>
      <c r="E1446" s="1">
        <v>0</v>
      </c>
      <c r="F1446" s="1">
        <v>0</v>
      </c>
      <c r="G1446" s="1">
        <v>12</v>
      </c>
      <c r="H1446" s="4">
        <v>0.33</v>
      </c>
      <c r="I1446" s="1">
        <v>0</v>
      </c>
      <c r="J1446" s="4"/>
      <c r="K1446" s="1">
        <v>15</v>
      </c>
      <c r="L1446" s="1">
        <v>0</v>
      </c>
      <c r="M1446" s="32">
        <f>IF(Mecze[[#This Row],[PR]]=0,0,Mecze[[#This Row],[PR]]/Mecze[[#This Row],[CZAS]])</f>
        <v>0</v>
      </c>
      <c r="N1446" s="32">
        <f>IF(Mecze[[#This Row],[OU]]=0,0,Mecze[[#This Row],[OU]]/Mecze[[#This Row],[CZAS]])</f>
        <v>0</v>
      </c>
      <c r="O1446" s="32">
        <f>IF(Mecze[[#This Row],[PC]]=0,0,Mecze[[#This Row],[PC]]/Mecze[[#This Row],[CZAS]])</f>
        <v>4.1666666666666664E-2</v>
      </c>
      <c r="P1446" s="32">
        <f>IF(Mecze[[#This Row],[SC]]=0,0,Mecze[[#This Row],[SC]]/Mecze[[#This Row],[CZAS]])</f>
        <v>0</v>
      </c>
      <c r="Q1446" s="32">
        <f>IF(Mecze[[#This Row],[OB]]=0,0,Mecze[[#This Row],[OB]]/Mecze[[#This Row],[CZAS]])</f>
        <v>0.15625</v>
      </c>
      <c r="R1446" s="32">
        <f>IF(Mecze[[#This Row],[BR]]=0,0,Mecze[[#This Row],[BR]]/Mecze[[#This Row],[CZAS]])</f>
        <v>0</v>
      </c>
      <c r="S1446" s="44">
        <f>IF(Mecze[[#This Row],[Role]]="BR",SUMPRODUCT(Mecze[[#This Row],[/PR:90]:[/BR:90]],Brudnopis!$E$23:$J$23),0)</f>
        <v>0.59375</v>
      </c>
      <c r="T1446" s="44">
        <f>IF(Mecze[[#This Row],[Role]]&lt;&gt;"BR",SUMPRODUCT(Mecze[[#This Row],[/PR:90]:[/BR:90]],Brudnopis!$E$24:$J$24),0)</f>
        <v>0</v>
      </c>
      <c r="U1446" s="44">
        <f>IF(Mecze[[#This Row],[Role]]&lt;&gt;"BR",SUMPRODUCT(Mecze[[#This Row],[/PR:90]:[/BR:90]],Brudnopis!$E$25:$J$25),0)</f>
        <v>0</v>
      </c>
      <c r="V1446" s="44">
        <f>IF(Mecze[[#This Row],[Role]]&lt;&gt;"BR",SUMPRODUCT(Mecze[[#This Row],[/PR:90]:[/BR:90]],Brudnopis!$E$26:$J$26),0)</f>
        <v>0</v>
      </c>
      <c r="W1446" s="44">
        <f>IF(Mecze[[#This Row],[Role]]&lt;&gt;"BR",SUMPRODUCT(Mecze[[#This Row],[/PR:90]:[/BR:90]],Brudnopis!$E$27:$J$27),0)</f>
        <v>0</v>
      </c>
      <c r="X1446" s="44">
        <f>IF(Mecze[[#This Row],[Role]]&lt;&gt;"BR",SUMPRODUCT(Mecze[[#This Row],[/PR:90]:[/BR:90]],Brudnopis!$E$28:$J$28),0)</f>
        <v>0</v>
      </c>
      <c r="Y1446" s="35">
        <f>IF(Mecze[[#This Row],[Role]]="BR",Mecze[[#This Row],[/OB:90]]+Mecze[[#This Row],[/PC:90]],SUM(Mecze[[#This Row],[/PR:90]:[/BR:90]]))</f>
        <v>0.19791666666666666</v>
      </c>
      <c r="Z1446" s="35">
        <f>IF(Mecze[[#This Row],[KC]]=0,SUM(Mecze[[#This Row],[/BRI]:[/NPI]]),SUM(Mecze[[#This Row],[/BRI]:[/NPI]])*0.6)</f>
        <v>0.59375</v>
      </c>
      <c r="AA1446" s="10">
        <f>IFERROR(Mecze[[#This Row],[BR]]/Mecze[[#This Row],[ST]],0)</f>
        <v>0</v>
      </c>
      <c r="AB1446">
        <f>ROUND(Mecze[[#This Row],[PD]]*Mecze[[#This Row],[%PC]],0)</f>
        <v>4</v>
      </c>
      <c r="AC1446">
        <f>ROUND(Mecze[[#This Row],[OD]]*Mecze[[#This Row],[%OU]],0)</f>
        <v>0</v>
      </c>
      <c r="AD1446" s="36" t="s">
        <v>40</v>
      </c>
      <c r="AE1446" s="36">
        <v>80</v>
      </c>
      <c r="AF1446" s="71">
        <v>4.63</v>
      </c>
      <c r="AG1446" s="37">
        <v>0</v>
      </c>
      <c r="AH1446" s="37">
        <v>0</v>
      </c>
      <c r="AI1446" s="37">
        <v>96</v>
      </c>
      <c r="AJ1446" s="37">
        <v>10</v>
      </c>
      <c r="AK1446" s="37" t="str">
        <f>VLOOKUP(Mecze[[#This Row],[Match ID]],Meczusie[Mecz]:Meczusie[RodzajMeczu],2,FALSE)</f>
        <v>Liga</v>
      </c>
    </row>
    <row r="1447" spans="1:37" x14ac:dyDescent="0.25">
      <c r="A1447" s="76">
        <v>3</v>
      </c>
      <c r="B1447" s="3" t="s">
        <v>237</v>
      </c>
      <c r="C1447" s="2" t="s">
        <v>157</v>
      </c>
      <c r="D1447" s="1">
        <v>0</v>
      </c>
      <c r="E1447" s="1">
        <v>0</v>
      </c>
      <c r="F1447" s="1">
        <v>0</v>
      </c>
      <c r="G1447" s="1">
        <v>9</v>
      </c>
      <c r="H1447" s="4">
        <v>0.67</v>
      </c>
      <c r="I1447" s="1">
        <v>17</v>
      </c>
      <c r="J1447" s="4">
        <v>0.41</v>
      </c>
      <c r="K1447" s="1">
        <v>0</v>
      </c>
      <c r="L1447" s="1">
        <v>6</v>
      </c>
      <c r="M1447" s="32">
        <f>IF(Mecze[[#This Row],[PR]]=0,0,Mecze[[#This Row],[PR]]/Mecze[[#This Row],[CZAS]])</f>
        <v>6.25E-2</v>
      </c>
      <c r="N1447" s="32">
        <f>IF(Mecze[[#This Row],[OU]]=0,0,Mecze[[#This Row],[OU]]/Mecze[[#This Row],[CZAS]])</f>
        <v>7.2916666666666671E-2</v>
      </c>
      <c r="O1447" s="32">
        <f>IF(Mecze[[#This Row],[PC]]=0,0,Mecze[[#This Row],[PC]]/Mecze[[#This Row],[CZAS]])</f>
        <v>6.25E-2</v>
      </c>
      <c r="P1447" s="32">
        <f>IF(Mecze[[#This Row],[SC]]=0,0,Mecze[[#This Row],[SC]]/Mecze[[#This Row],[CZAS]])</f>
        <v>0</v>
      </c>
      <c r="Q1447" s="32">
        <f>IF(Mecze[[#This Row],[OB]]=0,0,Mecze[[#This Row],[OB]]/Mecze[[#This Row],[CZAS]])</f>
        <v>0</v>
      </c>
      <c r="R1447" s="32">
        <f>IF(Mecze[[#This Row],[BR]]=0,0,Mecze[[#This Row],[BR]]/Mecze[[#This Row],[CZAS]])</f>
        <v>0</v>
      </c>
      <c r="S1447" s="44">
        <f>IF(Mecze[[#This Row],[Role]]="BR",SUMPRODUCT(Mecze[[#This Row],[/PR:90]:[/BR:90]],Brudnopis!$E$23:$J$23),0)</f>
        <v>0</v>
      </c>
      <c r="T1447" s="44">
        <f>IF(Mecze[[#This Row],[Role]]&lt;&gt;"BR",SUMPRODUCT(Mecze[[#This Row],[/PR:90]:[/BR:90]],Brudnopis!$E$24:$J$24),0)</f>
        <v>0.234375</v>
      </c>
      <c r="U1447" s="44">
        <f>IF(Mecze[[#This Row],[Role]]&lt;&gt;"BR",SUMPRODUCT(Mecze[[#This Row],[/PR:90]:[/BR:90]],Brudnopis!$E$25:$J$25),0)</f>
        <v>0.22916666666666669</v>
      </c>
      <c r="V1447" s="44">
        <f>IF(Mecze[[#This Row],[Role]]&lt;&gt;"BR",SUMPRODUCT(Mecze[[#This Row],[/PR:90]:[/BR:90]],Brudnopis!$E$26:$J$26),0)</f>
        <v>0.19791666666666669</v>
      </c>
      <c r="W1447" s="44">
        <f>IF(Mecze[[#This Row],[Role]]&lt;&gt;"BR",SUMPRODUCT(Mecze[[#This Row],[/PR:90]:[/BR:90]],Brudnopis!$E$27:$J$27),0)</f>
        <v>0.1953125</v>
      </c>
      <c r="X1447" s="44">
        <f>IF(Mecze[[#This Row],[Role]]&lt;&gt;"BR",SUMPRODUCT(Mecze[[#This Row],[/PR:90]:[/BR:90]],Brudnopis!$E$28:$J$28),0)</f>
        <v>6.25E-2</v>
      </c>
      <c r="Y1447" s="35">
        <f>IF(Mecze[[#This Row],[Role]]="BR",Mecze[[#This Row],[/OB:90]]+Mecze[[#This Row],[/PC:90]],SUM(Mecze[[#This Row],[/PR:90]:[/BR:90]]))</f>
        <v>0.19791666666666669</v>
      </c>
      <c r="Z1447" s="35">
        <f>IF(Mecze[[#This Row],[KC]]=0,SUM(Mecze[[#This Row],[/BRI]:[/NPI]]),SUM(Mecze[[#This Row],[/BRI]:[/NPI]])*0.6)</f>
        <v>0.91927083333333337</v>
      </c>
      <c r="AA1447" s="10">
        <f>IFERROR(Mecze[[#This Row],[BR]]/Mecze[[#This Row],[ST]],0)</f>
        <v>0</v>
      </c>
      <c r="AB1447">
        <f>ROUND(Mecze[[#This Row],[PD]]*Mecze[[#This Row],[%PC]],0)</f>
        <v>6</v>
      </c>
      <c r="AC1447">
        <f>ROUND(Mecze[[#This Row],[OD]]*Mecze[[#This Row],[%OU]],0)</f>
        <v>7</v>
      </c>
      <c r="AD1447" s="36" t="s">
        <v>47</v>
      </c>
      <c r="AE1447" s="36">
        <v>80</v>
      </c>
      <c r="AF1447" s="71">
        <v>0.64</v>
      </c>
      <c r="AG1447" s="37">
        <v>0</v>
      </c>
      <c r="AH1447" s="37">
        <v>0</v>
      </c>
      <c r="AI1447" s="37">
        <v>96</v>
      </c>
      <c r="AJ1447" s="37">
        <v>10</v>
      </c>
      <c r="AK1447" s="37" t="str">
        <f>VLOOKUP(Mecze[[#This Row],[Match ID]],Meczusie[Mecz]:Meczusie[RodzajMeczu],2,FALSE)</f>
        <v>Liga</v>
      </c>
    </row>
    <row r="1448" spans="1:37" x14ac:dyDescent="0.25">
      <c r="A1448" s="76">
        <v>4</v>
      </c>
      <c r="B1448" s="3" t="s">
        <v>238</v>
      </c>
      <c r="C1448" s="2" t="s">
        <v>157</v>
      </c>
      <c r="D1448" s="1">
        <v>0</v>
      </c>
      <c r="E1448" s="1">
        <v>0</v>
      </c>
      <c r="F1448" s="1">
        <v>0</v>
      </c>
      <c r="G1448" s="1">
        <v>9</v>
      </c>
      <c r="H1448" s="4">
        <v>0.67</v>
      </c>
      <c r="I1448" s="1">
        <v>3</v>
      </c>
      <c r="J1448" s="4">
        <v>0.33</v>
      </c>
      <c r="K1448" s="1">
        <v>0</v>
      </c>
      <c r="L1448" s="1">
        <v>2</v>
      </c>
      <c r="M1448" s="32">
        <f>IF(Mecze[[#This Row],[PR]]=0,0,Mecze[[#This Row],[PR]]/Mecze[[#This Row],[CZAS]])</f>
        <v>2.0833333333333332E-2</v>
      </c>
      <c r="N1448" s="32">
        <f>IF(Mecze[[#This Row],[OU]]=0,0,Mecze[[#This Row],[OU]]/Mecze[[#This Row],[CZAS]])</f>
        <v>1.0416666666666666E-2</v>
      </c>
      <c r="O1448" s="32">
        <f>IF(Mecze[[#This Row],[PC]]=0,0,Mecze[[#This Row],[PC]]/Mecze[[#This Row],[CZAS]])</f>
        <v>6.25E-2</v>
      </c>
      <c r="P1448" s="32">
        <f>IF(Mecze[[#This Row],[SC]]=0,0,Mecze[[#This Row],[SC]]/Mecze[[#This Row],[CZAS]])</f>
        <v>0</v>
      </c>
      <c r="Q1448" s="32">
        <f>IF(Mecze[[#This Row],[OB]]=0,0,Mecze[[#This Row],[OB]]/Mecze[[#This Row],[CZAS]])</f>
        <v>0</v>
      </c>
      <c r="R1448" s="32">
        <f>IF(Mecze[[#This Row],[BR]]=0,0,Mecze[[#This Row],[BR]]/Mecze[[#This Row],[CZAS]])</f>
        <v>0</v>
      </c>
      <c r="S1448" s="44">
        <f>IF(Mecze[[#This Row],[Role]]="BR",SUMPRODUCT(Mecze[[#This Row],[/PR:90]:[/BR:90]],Brudnopis!$E$23:$J$23),0)</f>
        <v>0</v>
      </c>
      <c r="T1448" s="44">
        <f>IF(Mecze[[#This Row],[Role]]&lt;&gt;"BR",SUMPRODUCT(Mecze[[#This Row],[/PR:90]:[/BR:90]],Brudnopis!$E$24:$J$24),0)</f>
        <v>9.8958333333333329E-2</v>
      </c>
      <c r="U1448" s="44">
        <f>IF(Mecze[[#This Row],[Role]]&lt;&gt;"BR",SUMPRODUCT(Mecze[[#This Row],[/PR:90]:[/BR:90]],Brudnopis!$E$25:$J$25),0)</f>
        <v>0.125</v>
      </c>
      <c r="V1448" s="44">
        <f>IF(Mecze[[#This Row],[Role]]&lt;&gt;"BR",SUMPRODUCT(Mecze[[#This Row],[/PR:90]:[/BR:90]],Brudnopis!$E$26:$J$26),0)</f>
        <v>9.375E-2</v>
      </c>
      <c r="W1448" s="44">
        <f>IF(Mecze[[#This Row],[Role]]&lt;&gt;"BR",SUMPRODUCT(Mecze[[#This Row],[/PR:90]:[/BR:90]],Brudnopis!$E$27:$J$27),0)</f>
        <v>0.1171875</v>
      </c>
      <c r="X1448" s="44">
        <f>IF(Mecze[[#This Row],[Role]]&lt;&gt;"BR",SUMPRODUCT(Mecze[[#This Row],[/PR:90]:[/BR:90]],Brudnopis!$E$28:$J$28),0)</f>
        <v>6.25E-2</v>
      </c>
      <c r="Y1448" s="35">
        <f>IF(Mecze[[#This Row],[Role]]="BR",Mecze[[#This Row],[/OB:90]]+Mecze[[#This Row],[/PC:90]],SUM(Mecze[[#This Row],[/PR:90]:[/BR:90]]))</f>
        <v>9.375E-2</v>
      </c>
      <c r="Z1448" s="35">
        <f>IF(Mecze[[#This Row],[KC]]=0,SUM(Mecze[[#This Row],[/BRI]:[/NPI]]),SUM(Mecze[[#This Row],[/BRI]:[/NPI]])*0.6)</f>
        <v>0.49739583333333331</v>
      </c>
      <c r="AA1448" s="10">
        <f>IFERROR(Mecze[[#This Row],[BR]]/Mecze[[#This Row],[ST]],0)</f>
        <v>0</v>
      </c>
      <c r="AB1448">
        <f>ROUND(Mecze[[#This Row],[PD]]*Mecze[[#This Row],[%PC]],0)</f>
        <v>6</v>
      </c>
      <c r="AC1448">
        <f>ROUND(Mecze[[#This Row],[OD]]*Mecze[[#This Row],[%OU]],0)</f>
        <v>1</v>
      </c>
      <c r="AD1448" s="36" t="s">
        <v>47</v>
      </c>
      <c r="AE1448" s="36">
        <v>80</v>
      </c>
      <c r="AF1448" s="71">
        <v>-0.2</v>
      </c>
      <c r="AG1448" s="37">
        <v>0</v>
      </c>
      <c r="AH1448" s="37">
        <v>0</v>
      </c>
      <c r="AI1448" s="37">
        <v>96</v>
      </c>
      <c r="AJ1448" s="37">
        <v>10</v>
      </c>
      <c r="AK1448" s="37" t="str">
        <f>VLOOKUP(Mecze[[#This Row],[Match ID]],Meczusie[Mecz]:Meczusie[RodzajMeczu],2,FALSE)</f>
        <v>Liga</v>
      </c>
    </row>
    <row r="1449" spans="1:37" x14ac:dyDescent="0.25">
      <c r="A1449" s="76">
        <v>12</v>
      </c>
      <c r="B1449" s="3" t="s">
        <v>239</v>
      </c>
      <c r="C1449" s="2" t="s">
        <v>157</v>
      </c>
      <c r="D1449" s="1">
        <v>0</v>
      </c>
      <c r="E1449" s="1">
        <v>0</v>
      </c>
      <c r="F1449" s="1">
        <v>0</v>
      </c>
      <c r="G1449" s="1">
        <v>9</v>
      </c>
      <c r="H1449" s="4">
        <v>0.67</v>
      </c>
      <c r="I1449" s="1">
        <v>15</v>
      </c>
      <c r="J1449" s="4">
        <v>0.33</v>
      </c>
      <c r="K1449" s="1">
        <v>0</v>
      </c>
      <c r="L1449" s="1">
        <v>6</v>
      </c>
      <c r="M1449" s="32">
        <f>IF(Mecze[[#This Row],[PR]]=0,0,Mecze[[#This Row],[PR]]/Mecze[[#This Row],[CZAS]])</f>
        <v>6.25E-2</v>
      </c>
      <c r="N1449" s="32">
        <f>IF(Mecze[[#This Row],[OU]]=0,0,Mecze[[#This Row],[OU]]/Mecze[[#This Row],[CZAS]])</f>
        <v>5.2083333333333336E-2</v>
      </c>
      <c r="O1449" s="32">
        <f>IF(Mecze[[#This Row],[PC]]=0,0,Mecze[[#This Row],[PC]]/Mecze[[#This Row],[CZAS]])</f>
        <v>6.25E-2</v>
      </c>
      <c r="P1449" s="32">
        <f>IF(Mecze[[#This Row],[SC]]=0,0,Mecze[[#This Row],[SC]]/Mecze[[#This Row],[CZAS]])</f>
        <v>0</v>
      </c>
      <c r="Q1449" s="32">
        <f>IF(Mecze[[#This Row],[OB]]=0,0,Mecze[[#This Row],[OB]]/Mecze[[#This Row],[CZAS]])</f>
        <v>0</v>
      </c>
      <c r="R1449" s="32">
        <f>IF(Mecze[[#This Row],[BR]]=0,0,Mecze[[#This Row],[BR]]/Mecze[[#This Row],[CZAS]])</f>
        <v>0</v>
      </c>
      <c r="S1449" s="44">
        <f>IF(Mecze[[#This Row],[Role]]="BR",SUMPRODUCT(Mecze[[#This Row],[/PR:90]:[/BR:90]],Brudnopis!$E$23:$J$23),0)</f>
        <v>0</v>
      </c>
      <c r="T1449" s="44">
        <f>IF(Mecze[[#This Row],[Role]]&lt;&gt;"BR",SUMPRODUCT(Mecze[[#This Row],[/PR:90]:[/BR:90]],Brudnopis!$E$24:$J$24),0)</f>
        <v>0.203125</v>
      </c>
      <c r="U1449" s="44">
        <f>IF(Mecze[[#This Row],[Role]]&lt;&gt;"BR",SUMPRODUCT(Mecze[[#This Row],[/PR:90]:[/BR:90]],Brudnopis!$E$25:$J$25),0)</f>
        <v>0.20833333333333334</v>
      </c>
      <c r="V1449" s="44">
        <f>IF(Mecze[[#This Row],[Role]]&lt;&gt;"BR",SUMPRODUCT(Mecze[[#This Row],[/PR:90]:[/BR:90]],Brudnopis!$E$26:$J$26),0)</f>
        <v>0.17708333333333334</v>
      </c>
      <c r="W1449" s="44">
        <f>IF(Mecze[[#This Row],[Role]]&lt;&gt;"BR",SUMPRODUCT(Mecze[[#This Row],[/PR:90]:[/BR:90]],Brudnopis!$E$27:$J$27),0)</f>
        <v>0.1796875</v>
      </c>
      <c r="X1449" s="44">
        <f>IF(Mecze[[#This Row],[Role]]&lt;&gt;"BR",SUMPRODUCT(Mecze[[#This Row],[/PR:90]:[/BR:90]],Brudnopis!$E$28:$J$28),0)</f>
        <v>6.25E-2</v>
      </c>
      <c r="Y1449" s="35">
        <f>IF(Mecze[[#This Row],[Role]]="BR",Mecze[[#This Row],[/OB:90]]+Mecze[[#This Row],[/PC:90]],SUM(Mecze[[#This Row],[/PR:90]:[/BR:90]]))</f>
        <v>0.17708333333333334</v>
      </c>
      <c r="Z1449" s="35">
        <f>IF(Mecze[[#This Row],[KC]]=0,SUM(Mecze[[#This Row],[/BRI]:[/NPI]]),SUM(Mecze[[#This Row],[/BRI]:[/NPI]])*0.6)</f>
        <v>0.83072916666666674</v>
      </c>
      <c r="AA1449" s="10">
        <f>IFERROR(Mecze[[#This Row],[BR]]/Mecze[[#This Row],[ST]],0)</f>
        <v>0</v>
      </c>
      <c r="AB1449">
        <f>ROUND(Mecze[[#This Row],[PD]]*Mecze[[#This Row],[%PC]],0)</f>
        <v>6</v>
      </c>
      <c r="AC1449">
        <f>ROUND(Mecze[[#This Row],[OD]]*Mecze[[#This Row],[%OU]],0)</f>
        <v>5</v>
      </c>
      <c r="AD1449" s="36" t="s">
        <v>175</v>
      </c>
      <c r="AE1449" s="36">
        <v>80</v>
      </c>
      <c r="AF1449" s="71">
        <v>0.64</v>
      </c>
      <c r="AG1449" s="37">
        <v>0</v>
      </c>
      <c r="AH1449" s="37">
        <v>0</v>
      </c>
      <c r="AI1449" s="37">
        <v>96</v>
      </c>
      <c r="AJ1449" s="37">
        <v>10</v>
      </c>
      <c r="AK1449" s="37" t="str">
        <f>VLOOKUP(Mecze[[#This Row],[Match ID]],Meczusie[Mecz]:Meczusie[RodzajMeczu],2,FALSE)</f>
        <v>Liga</v>
      </c>
    </row>
    <row r="1450" spans="1:37" x14ac:dyDescent="0.25">
      <c r="A1450" s="76">
        <v>2</v>
      </c>
      <c r="B1450" s="3" t="s">
        <v>240</v>
      </c>
      <c r="C1450" s="2" t="s">
        <v>157</v>
      </c>
      <c r="D1450" s="1">
        <v>0</v>
      </c>
      <c r="E1450" s="1">
        <v>0</v>
      </c>
      <c r="F1450" s="1">
        <v>0</v>
      </c>
      <c r="G1450" s="1">
        <v>4</v>
      </c>
      <c r="H1450" s="4">
        <v>0.75</v>
      </c>
      <c r="I1450" s="1">
        <v>4</v>
      </c>
      <c r="J1450" s="4">
        <v>0.5</v>
      </c>
      <c r="K1450" s="1">
        <v>0</v>
      </c>
      <c r="L1450" s="1">
        <v>0</v>
      </c>
      <c r="M1450" s="32">
        <f>IF(Mecze[[#This Row],[PR]]=0,0,Mecze[[#This Row],[PR]]/Mecze[[#This Row],[CZAS]])</f>
        <v>0</v>
      </c>
      <c r="N1450" s="32">
        <f>IF(Mecze[[#This Row],[OU]]=0,0,Mecze[[#This Row],[OU]]/Mecze[[#This Row],[CZAS]])</f>
        <v>2.0833333333333332E-2</v>
      </c>
      <c r="O1450" s="32">
        <f>IF(Mecze[[#This Row],[PC]]=0,0,Mecze[[#This Row],[PC]]/Mecze[[#This Row],[CZAS]])</f>
        <v>3.125E-2</v>
      </c>
      <c r="P1450" s="32">
        <f>IF(Mecze[[#This Row],[SC]]=0,0,Mecze[[#This Row],[SC]]/Mecze[[#This Row],[CZAS]])</f>
        <v>0</v>
      </c>
      <c r="Q1450" s="32">
        <f>IF(Mecze[[#This Row],[OB]]=0,0,Mecze[[#This Row],[OB]]/Mecze[[#This Row],[CZAS]])</f>
        <v>0</v>
      </c>
      <c r="R1450" s="32">
        <f>IF(Mecze[[#This Row],[BR]]=0,0,Mecze[[#This Row],[BR]]/Mecze[[#This Row],[CZAS]])</f>
        <v>0</v>
      </c>
      <c r="S1450" s="44">
        <f>IF(Mecze[[#This Row],[Role]]="BR",SUMPRODUCT(Mecze[[#This Row],[/PR:90]:[/BR:90]],Brudnopis!$E$23:$J$23),0)</f>
        <v>0</v>
      </c>
      <c r="T1450" s="44">
        <f>IF(Mecze[[#This Row],[Role]]&lt;&gt;"BR",SUMPRODUCT(Mecze[[#This Row],[/PR:90]:[/BR:90]],Brudnopis!$E$24:$J$24),0)</f>
        <v>6.25E-2</v>
      </c>
      <c r="U1450" s="44">
        <f>IF(Mecze[[#This Row],[Role]]&lt;&gt;"BR",SUMPRODUCT(Mecze[[#This Row],[/PR:90]:[/BR:90]],Brudnopis!$E$25:$J$25),0)</f>
        <v>6.7708333333333329E-2</v>
      </c>
      <c r="V1450" s="44">
        <f>IF(Mecze[[#This Row],[Role]]&lt;&gt;"BR",SUMPRODUCT(Mecze[[#This Row],[/PR:90]:[/BR:90]],Brudnopis!$E$26:$J$26),0)</f>
        <v>5.2083333333333329E-2</v>
      </c>
      <c r="W1450" s="44">
        <f>IF(Mecze[[#This Row],[Role]]&lt;&gt;"BR",SUMPRODUCT(Mecze[[#This Row],[/PR:90]:[/BR:90]],Brudnopis!$E$27:$J$27),0)</f>
        <v>6.25E-2</v>
      </c>
      <c r="X1450" s="44">
        <f>IF(Mecze[[#This Row],[Role]]&lt;&gt;"BR",SUMPRODUCT(Mecze[[#This Row],[/PR:90]:[/BR:90]],Brudnopis!$E$28:$J$28),0)</f>
        <v>3.125E-2</v>
      </c>
      <c r="Y1450" s="35">
        <f>IF(Mecze[[#This Row],[Role]]="BR",Mecze[[#This Row],[/OB:90]]+Mecze[[#This Row],[/PC:90]],SUM(Mecze[[#This Row],[/PR:90]:[/BR:90]]))</f>
        <v>5.2083333333333329E-2</v>
      </c>
      <c r="Z1450" s="35">
        <f>IF(Mecze[[#This Row],[KC]]=0,SUM(Mecze[[#This Row],[/BRI]:[/NPI]]),SUM(Mecze[[#This Row],[/BRI]:[/NPI]])*0.6)</f>
        <v>0.27604166666666663</v>
      </c>
      <c r="AA1450" s="10">
        <f>IFERROR(Mecze[[#This Row],[BR]]/Mecze[[#This Row],[ST]],0)</f>
        <v>0</v>
      </c>
      <c r="AB1450">
        <f>ROUND(Mecze[[#This Row],[PD]]*Mecze[[#This Row],[%PC]],0)</f>
        <v>3</v>
      </c>
      <c r="AC1450">
        <f>ROUND(Mecze[[#This Row],[OD]]*Mecze[[#This Row],[%OU]],0)</f>
        <v>2</v>
      </c>
      <c r="AD1450" s="36" t="s">
        <v>174</v>
      </c>
      <c r="AE1450" s="36">
        <v>80</v>
      </c>
      <c r="AF1450" s="71">
        <v>0.5</v>
      </c>
      <c r="AG1450" s="37">
        <v>0</v>
      </c>
      <c r="AH1450" s="37">
        <v>0</v>
      </c>
      <c r="AI1450" s="37">
        <v>96</v>
      </c>
      <c r="AJ1450" s="37">
        <v>10</v>
      </c>
      <c r="AK1450" s="37" t="str">
        <f>VLOOKUP(Mecze[[#This Row],[Match ID]],Meczusie[Mecz]:Meczusie[RodzajMeczu],2,FALSE)</f>
        <v>Liga</v>
      </c>
    </row>
    <row r="1451" spans="1:37" x14ac:dyDescent="0.25">
      <c r="A1451" s="76">
        <v>8</v>
      </c>
      <c r="B1451" s="3" t="s">
        <v>245</v>
      </c>
      <c r="C1451" s="2" t="s">
        <v>160</v>
      </c>
      <c r="D1451" s="1">
        <v>0</v>
      </c>
      <c r="E1451" s="1">
        <v>1</v>
      </c>
      <c r="F1451" s="1">
        <v>1</v>
      </c>
      <c r="G1451" s="1">
        <v>9</v>
      </c>
      <c r="H1451" s="4">
        <v>0.89</v>
      </c>
      <c r="I1451" s="1">
        <v>1</v>
      </c>
      <c r="J1451" s="4">
        <v>1</v>
      </c>
      <c r="K1451" s="1">
        <v>0</v>
      </c>
      <c r="L1451" s="1">
        <v>1</v>
      </c>
      <c r="M1451" s="32">
        <f>IF(Mecze[[#This Row],[PR]]=0,0,Mecze[[#This Row],[PR]]/Mecze[[#This Row],[CZAS]])</f>
        <v>1.0416666666666666E-2</v>
      </c>
      <c r="N1451" s="32">
        <f>IF(Mecze[[#This Row],[OU]]=0,0,Mecze[[#This Row],[OU]]/Mecze[[#This Row],[CZAS]])</f>
        <v>1.0416666666666666E-2</v>
      </c>
      <c r="O1451" s="32">
        <f>IF(Mecze[[#This Row],[PC]]=0,0,Mecze[[#This Row],[PC]]/Mecze[[#This Row],[CZAS]])</f>
        <v>8.3333333333333329E-2</v>
      </c>
      <c r="P1451" s="32">
        <f>IF(Mecze[[#This Row],[SC]]=0,0,Mecze[[#This Row],[SC]]/Mecze[[#This Row],[CZAS]])</f>
        <v>1.0416666666666666E-2</v>
      </c>
      <c r="Q1451" s="32">
        <f>IF(Mecze[[#This Row],[OB]]=0,0,Mecze[[#This Row],[OB]]/Mecze[[#This Row],[CZAS]])</f>
        <v>0</v>
      </c>
      <c r="R1451" s="32">
        <f>IF(Mecze[[#This Row],[BR]]=0,0,Mecze[[#This Row],[BR]]/Mecze[[#This Row],[CZAS]])</f>
        <v>0</v>
      </c>
      <c r="S1451" s="44">
        <f>IF(Mecze[[#This Row],[Role]]="BR",SUMPRODUCT(Mecze[[#This Row],[/PR:90]:[/BR:90]],Brudnopis!$E$23:$J$23),0)</f>
        <v>0</v>
      </c>
      <c r="T1451" s="44">
        <f>IF(Mecze[[#This Row],[Role]]&lt;&gt;"BR",SUMPRODUCT(Mecze[[#This Row],[/PR:90]:[/BR:90]],Brudnopis!$E$24:$J$24),0)</f>
        <v>0.11979166666666667</v>
      </c>
      <c r="U1451" s="44">
        <f>IF(Mecze[[#This Row],[Role]]&lt;&gt;"BR",SUMPRODUCT(Mecze[[#This Row],[/PR:90]:[/BR:90]],Brudnopis!$E$25:$J$25),0)</f>
        <v>0.15625</v>
      </c>
      <c r="V1451" s="44">
        <f>IF(Mecze[[#This Row],[Role]]&lt;&gt;"BR",SUMPRODUCT(Mecze[[#This Row],[/PR:90]:[/BR:90]],Brudnopis!$E$26:$J$26),0)</f>
        <v>0.11458333333333333</v>
      </c>
      <c r="W1451" s="44">
        <f>IF(Mecze[[#This Row],[Role]]&lt;&gt;"BR",SUMPRODUCT(Mecze[[#This Row],[/PR:90]:[/BR:90]],Brudnopis!$E$27:$J$27),0)</f>
        <v>0.15104166666666666</v>
      </c>
      <c r="X1451" s="44">
        <f>IF(Mecze[[#This Row],[Role]]&lt;&gt;"BR",SUMPRODUCT(Mecze[[#This Row],[/PR:90]:[/BR:90]],Brudnopis!$E$28:$J$28),0)</f>
        <v>0.10416666666666666</v>
      </c>
      <c r="Y1451" s="35">
        <f>IF(Mecze[[#This Row],[Role]]="BR",Mecze[[#This Row],[/OB:90]]+Mecze[[#This Row],[/PC:90]],SUM(Mecze[[#This Row],[/PR:90]:[/BR:90]]))</f>
        <v>0.11458333333333333</v>
      </c>
      <c r="Z1451" s="35">
        <f>IF(Mecze[[#This Row],[KC]]=0,SUM(Mecze[[#This Row],[/BRI]:[/NPI]]),SUM(Mecze[[#This Row],[/BRI]:[/NPI]])*0.6)</f>
        <v>0.64583333333333326</v>
      </c>
      <c r="AA1451" s="10">
        <f>IFERROR(Mecze[[#This Row],[BR]]/Mecze[[#This Row],[ST]],0)</f>
        <v>0</v>
      </c>
      <c r="AB1451">
        <f>ROUND(Mecze[[#This Row],[PD]]*Mecze[[#This Row],[%PC]],0)</f>
        <v>8</v>
      </c>
      <c r="AC1451">
        <f>ROUND(Mecze[[#This Row],[OD]]*Mecze[[#This Row],[%OU]],0)</f>
        <v>1</v>
      </c>
      <c r="AD1451" s="36" t="s">
        <v>41</v>
      </c>
      <c r="AE1451" s="36">
        <v>80</v>
      </c>
      <c r="AF1451" s="71">
        <v>5.26</v>
      </c>
      <c r="AG1451" s="37">
        <v>0</v>
      </c>
      <c r="AH1451" s="37">
        <v>0</v>
      </c>
      <c r="AI1451" s="37">
        <v>96</v>
      </c>
      <c r="AJ1451" s="37">
        <v>10</v>
      </c>
      <c r="AK1451" s="37" t="str">
        <f>VLOOKUP(Mecze[[#This Row],[Match ID]],Meczusie[Mecz]:Meczusie[RodzajMeczu],2,FALSE)</f>
        <v>Liga</v>
      </c>
    </row>
    <row r="1452" spans="1:37" x14ac:dyDescent="0.25">
      <c r="A1452" s="76">
        <v>5</v>
      </c>
      <c r="B1452" s="3" t="s">
        <v>242</v>
      </c>
      <c r="C1452" s="2" t="s">
        <v>160</v>
      </c>
      <c r="D1452" s="1">
        <v>0</v>
      </c>
      <c r="E1452" s="1">
        <v>0</v>
      </c>
      <c r="F1452" s="1">
        <v>0</v>
      </c>
      <c r="G1452" s="1">
        <v>12</v>
      </c>
      <c r="H1452" s="4">
        <v>0.75</v>
      </c>
      <c r="I1452" s="1">
        <v>0</v>
      </c>
      <c r="J1452" s="4"/>
      <c r="K1452" s="1">
        <v>0</v>
      </c>
      <c r="L1452" s="1">
        <v>4</v>
      </c>
      <c r="M1452" s="32">
        <f>IF(Mecze[[#This Row],[PR]]=0,0,Mecze[[#This Row],[PR]]/Mecze[[#This Row],[CZAS]])</f>
        <v>4.1666666666666664E-2</v>
      </c>
      <c r="N1452" s="32">
        <f>IF(Mecze[[#This Row],[OU]]=0,0,Mecze[[#This Row],[OU]]/Mecze[[#This Row],[CZAS]])</f>
        <v>0</v>
      </c>
      <c r="O1452" s="32">
        <f>IF(Mecze[[#This Row],[PC]]=0,0,Mecze[[#This Row],[PC]]/Mecze[[#This Row],[CZAS]])</f>
        <v>9.375E-2</v>
      </c>
      <c r="P1452" s="32">
        <f>IF(Mecze[[#This Row],[SC]]=0,0,Mecze[[#This Row],[SC]]/Mecze[[#This Row],[CZAS]])</f>
        <v>0</v>
      </c>
      <c r="Q1452" s="32">
        <f>IF(Mecze[[#This Row],[OB]]=0,0,Mecze[[#This Row],[OB]]/Mecze[[#This Row],[CZAS]])</f>
        <v>0</v>
      </c>
      <c r="R1452" s="32">
        <f>IF(Mecze[[#This Row],[BR]]=0,0,Mecze[[#This Row],[BR]]/Mecze[[#This Row],[CZAS]])</f>
        <v>0</v>
      </c>
      <c r="S1452" s="44">
        <f>IF(Mecze[[#This Row],[Role]]="BR",SUMPRODUCT(Mecze[[#This Row],[/PR:90]:[/BR:90]],Brudnopis!$E$23:$J$23),0)</f>
        <v>0</v>
      </c>
      <c r="T1452" s="44">
        <f>IF(Mecze[[#This Row],[Role]]&lt;&gt;"BR",SUMPRODUCT(Mecze[[#This Row],[/PR:90]:[/BR:90]],Brudnopis!$E$24:$J$24),0)</f>
        <v>0.13541666666666666</v>
      </c>
      <c r="U1452" s="44">
        <f>IF(Mecze[[#This Row],[Role]]&lt;&gt;"BR",SUMPRODUCT(Mecze[[#This Row],[/PR:90]:[/BR:90]],Brudnopis!$E$25:$J$25),0)</f>
        <v>0.18229166666666666</v>
      </c>
      <c r="V1452" s="44">
        <f>IF(Mecze[[#This Row],[Role]]&lt;&gt;"BR",SUMPRODUCT(Mecze[[#This Row],[/PR:90]:[/BR:90]],Brudnopis!$E$26:$J$26),0)</f>
        <v>0.13541666666666666</v>
      </c>
      <c r="W1452" s="44">
        <f>IF(Mecze[[#This Row],[Role]]&lt;&gt;"BR",SUMPRODUCT(Mecze[[#This Row],[/PR:90]:[/BR:90]],Brudnopis!$E$27:$J$27),0)</f>
        <v>0.171875</v>
      </c>
      <c r="X1452" s="44">
        <f>IF(Mecze[[#This Row],[Role]]&lt;&gt;"BR",SUMPRODUCT(Mecze[[#This Row],[/PR:90]:[/BR:90]],Brudnopis!$E$28:$J$28),0)</f>
        <v>9.375E-2</v>
      </c>
      <c r="Y1452" s="35">
        <f>IF(Mecze[[#This Row],[Role]]="BR",Mecze[[#This Row],[/OB:90]]+Mecze[[#This Row],[/PC:90]],SUM(Mecze[[#This Row],[/PR:90]:[/BR:90]]))</f>
        <v>0.13541666666666666</v>
      </c>
      <c r="Z1452" s="35">
        <f>IF(Mecze[[#This Row],[KC]]=0,SUM(Mecze[[#This Row],[/BRI]:[/NPI]]),SUM(Mecze[[#This Row],[/BRI]:[/NPI]])*0.6)</f>
        <v>0.71875</v>
      </c>
      <c r="AA1452" s="10">
        <f>IFERROR(Mecze[[#This Row],[BR]]/Mecze[[#This Row],[ST]],0)</f>
        <v>0</v>
      </c>
      <c r="AB1452">
        <f>ROUND(Mecze[[#This Row],[PD]]*Mecze[[#This Row],[%PC]],0)</f>
        <v>9</v>
      </c>
      <c r="AC1452">
        <f>ROUND(Mecze[[#This Row],[OD]]*Mecze[[#This Row],[%OU]],0)</f>
        <v>0</v>
      </c>
      <c r="AD1452" s="36" t="s">
        <v>41</v>
      </c>
      <c r="AE1452" s="36">
        <v>80</v>
      </c>
      <c r="AF1452" s="71">
        <v>4.75</v>
      </c>
      <c r="AG1452" s="37">
        <v>0</v>
      </c>
      <c r="AH1452" s="37">
        <v>0</v>
      </c>
      <c r="AI1452" s="37">
        <v>96</v>
      </c>
      <c r="AJ1452" s="37">
        <v>10</v>
      </c>
      <c r="AK1452" s="37" t="str">
        <f>VLOOKUP(Mecze[[#This Row],[Match ID]],Meczusie[Mecz]:Meczusie[RodzajMeczu],2,FALSE)</f>
        <v>Liga</v>
      </c>
    </row>
    <row r="1453" spans="1:37" x14ac:dyDescent="0.25">
      <c r="A1453" s="76">
        <v>11</v>
      </c>
      <c r="B1453" s="3" t="s">
        <v>243</v>
      </c>
      <c r="C1453" s="2" t="s">
        <v>160</v>
      </c>
      <c r="D1453" s="1">
        <v>0</v>
      </c>
      <c r="E1453" s="1">
        <v>0</v>
      </c>
      <c r="F1453" s="1">
        <v>0</v>
      </c>
      <c r="G1453" s="1">
        <v>18</v>
      </c>
      <c r="H1453" s="4">
        <v>0.61</v>
      </c>
      <c r="I1453" s="1">
        <v>8</v>
      </c>
      <c r="J1453" s="4">
        <v>0.38</v>
      </c>
      <c r="K1453" s="1">
        <v>0</v>
      </c>
      <c r="L1453" s="1">
        <v>0</v>
      </c>
      <c r="M1453" s="32">
        <f>IF(Mecze[[#This Row],[PR]]=0,0,Mecze[[#This Row],[PR]]/Mecze[[#This Row],[CZAS]])</f>
        <v>0</v>
      </c>
      <c r="N1453" s="32">
        <f>IF(Mecze[[#This Row],[OU]]=0,0,Mecze[[#This Row],[OU]]/Mecze[[#This Row],[CZAS]])</f>
        <v>3.125E-2</v>
      </c>
      <c r="O1453" s="32">
        <f>IF(Mecze[[#This Row],[PC]]=0,0,Mecze[[#This Row],[PC]]/Mecze[[#This Row],[CZAS]])</f>
        <v>0.11458333333333333</v>
      </c>
      <c r="P1453" s="32">
        <f>IF(Mecze[[#This Row],[SC]]=0,0,Mecze[[#This Row],[SC]]/Mecze[[#This Row],[CZAS]])</f>
        <v>0</v>
      </c>
      <c r="Q1453" s="32">
        <f>IF(Mecze[[#This Row],[OB]]=0,0,Mecze[[#This Row],[OB]]/Mecze[[#This Row],[CZAS]])</f>
        <v>0</v>
      </c>
      <c r="R1453" s="32">
        <f>IF(Mecze[[#This Row],[BR]]=0,0,Mecze[[#This Row],[BR]]/Mecze[[#This Row],[CZAS]])</f>
        <v>0</v>
      </c>
      <c r="S1453" s="44">
        <f>IF(Mecze[[#This Row],[Role]]="BR",SUMPRODUCT(Mecze[[#This Row],[/PR:90]:[/BR:90]],Brudnopis!$E$23:$J$23),0)</f>
        <v>0</v>
      </c>
      <c r="T1453" s="44">
        <f>IF(Mecze[[#This Row],[Role]]&lt;&gt;"BR",SUMPRODUCT(Mecze[[#This Row],[/PR:90]:[/BR:90]],Brudnopis!$E$24:$J$24),0)</f>
        <v>0.16145833333333331</v>
      </c>
      <c r="U1453" s="44">
        <f>IF(Mecze[[#This Row],[Role]]&lt;&gt;"BR",SUMPRODUCT(Mecze[[#This Row],[/PR:90]:[/BR:90]],Brudnopis!$E$25:$J$25),0)</f>
        <v>0.203125</v>
      </c>
      <c r="V1453" s="44">
        <f>IF(Mecze[[#This Row],[Role]]&lt;&gt;"BR",SUMPRODUCT(Mecze[[#This Row],[/PR:90]:[/BR:90]],Brudnopis!$E$26:$J$26),0)</f>
        <v>0.14583333333333331</v>
      </c>
      <c r="W1453" s="44">
        <f>IF(Mecze[[#This Row],[Role]]&lt;&gt;"BR",SUMPRODUCT(Mecze[[#This Row],[/PR:90]:[/BR:90]],Brudnopis!$E$27:$J$27),0)</f>
        <v>0.1953125</v>
      </c>
      <c r="X1453" s="44">
        <f>IF(Mecze[[#This Row],[Role]]&lt;&gt;"BR",SUMPRODUCT(Mecze[[#This Row],[/PR:90]:[/BR:90]],Brudnopis!$E$28:$J$28),0)</f>
        <v>0.11458333333333333</v>
      </c>
      <c r="Y1453" s="35">
        <f>IF(Mecze[[#This Row],[Role]]="BR",Mecze[[#This Row],[/OB:90]]+Mecze[[#This Row],[/PC:90]],SUM(Mecze[[#This Row],[/PR:90]:[/BR:90]]))</f>
        <v>0.14583333333333331</v>
      </c>
      <c r="Z1453" s="35">
        <f>IF(Mecze[[#This Row],[KC]]=0,SUM(Mecze[[#This Row],[/BRI]:[/NPI]]),SUM(Mecze[[#This Row],[/BRI]:[/NPI]])*0.6)</f>
        <v>0.8203125</v>
      </c>
      <c r="AA1453" s="10">
        <f>IFERROR(Mecze[[#This Row],[BR]]/Mecze[[#This Row],[ST]],0)</f>
        <v>0</v>
      </c>
      <c r="AB1453">
        <f>ROUND(Mecze[[#This Row],[PD]]*Mecze[[#This Row],[%PC]],0)</f>
        <v>11</v>
      </c>
      <c r="AC1453">
        <f>ROUND(Mecze[[#This Row],[OD]]*Mecze[[#This Row],[%OU]],0)</f>
        <v>3</v>
      </c>
      <c r="AD1453" s="36" t="s">
        <v>67</v>
      </c>
      <c r="AE1453" s="36">
        <v>80</v>
      </c>
      <c r="AF1453" s="71">
        <v>3.91</v>
      </c>
      <c r="AG1453" s="37">
        <v>0</v>
      </c>
      <c r="AH1453" s="37">
        <v>0</v>
      </c>
      <c r="AI1453" s="37">
        <v>96</v>
      </c>
      <c r="AJ1453" s="37">
        <v>10</v>
      </c>
      <c r="AK1453" s="37" t="str">
        <f>VLOOKUP(Mecze[[#This Row],[Match ID]],Meczusie[Mecz]:Meczusie[RodzajMeczu],2,FALSE)</f>
        <v>Liga</v>
      </c>
    </row>
    <row r="1454" spans="1:37" x14ac:dyDescent="0.25">
      <c r="A1454" s="76">
        <v>14</v>
      </c>
      <c r="B1454" s="3" t="s">
        <v>244</v>
      </c>
      <c r="C1454" s="2" t="s">
        <v>165</v>
      </c>
      <c r="D1454" s="1">
        <v>0</v>
      </c>
      <c r="E1454" s="1">
        <v>2</v>
      </c>
      <c r="F1454" s="1">
        <v>2</v>
      </c>
      <c r="G1454" s="1">
        <v>4</v>
      </c>
      <c r="H1454" s="4">
        <v>0.5</v>
      </c>
      <c r="I1454" s="1">
        <v>1</v>
      </c>
      <c r="J1454" s="4">
        <v>0</v>
      </c>
      <c r="K1454" s="1">
        <v>0</v>
      </c>
      <c r="L1454" s="1">
        <v>2</v>
      </c>
      <c r="M1454" s="32">
        <f>IF(Mecze[[#This Row],[PR]]=0,0,Mecze[[#This Row],[PR]]/Mecze[[#This Row],[CZAS]])</f>
        <v>2.0833333333333332E-2</v>
      </c>
      <c r="N1454" s="32">
        <f>IF(Mecze[[#This Row],[OU]]=0,0,Mecze[[#This Row],[OU]]/Mecze[[#This Row],[CZAS]])</f>
        <v>0</v>
      </c>
      <c r="O1454" s="32">
        <f>IF(Mecze[[#This Row],[PC]]=0,0,Mecze[[#This Row],[PC]]/Mecze[[#This Row],[CZAS]])</f>
        <v>2.0833333333333332E-2</v>
      </c>
      <c r="P1454" s="32">
        <f>IF(Mecze[[#This Row],[SC]]=0,0,Mecze[[#This Row],[SC]]/Mecze[[#This Row],[CZAS]])</f>
        <v>2.0833333333333332E-2</v>
      </c>
      <c r="Q1454" s="32">
        <f>IF(Mecze[[#This Row],[OB]]=0,0,Mecze[[#This Row],[OB]]/Mecze[[#This Row],[CZAS]])</f>
        <v>0</v>
      </c>
      <c r="R1454" s="32">
        <f>IF(Mecze[[#This Row],[BR]]=0,0,Mecze[[#This Row],[BR]]/Mecze[[#This Row],[CZAS]])</f>
        <v>0</v>
      </c>
      <c r="S1454" s="44">
        <f>IF(Mecze[[#This Row],[Role]]="BR",SUMPRODUCT(Mecze[[#This Row],[/PR:90]:[/BR:90]],Brudnopis!$E$23:$J$23),0)</f>
        <v>0</v>
      </c>
      <c r="T1454" s="44">
        <f>IF(Mecze[[#This Row],[Role]]&lt;&gt;"BR",SUMPRODUCT(Mecze[[#This Row],[/PR:90]:[/BR:90]],Brudnopis!$E$24:$J$24),0)</f>
        <v>6.25E-2</v>
      </c>
      <c r="U1454" s="44">
        <f>IF(Mecze[[#This Row],[Role]]&lt;&gt;"BR",SUMPRODUCT(Mecze[[#This Row],[/PR:90]:[/BR:90]],Brudnopis!$E$25:$J$25),0)</f>
        <v>7.2916666666666657E-2</v>
      </c>
      <c r="V1454" s="44">
        <f>IF(Mecze[[#This Row],[Role]]&lt;&gt;"BR",SUMPRODUCT(Mecze[[#This Row],[/PR:90]:[/BR:90]],Brudnopis!$E$26:$J$26),0)</f>
        <v>6.25E-2</v>
      </c>
      <c r="W1454" s="44">
        <f>IF(Mecze[[#This Row],[Role]]&lt;&gt;"BR",SUMPRODUCT(Mecze[[#This Row],[/PR:90]:[/BR:90]],Brudnopis!$E$27:$J$27),0)</f>
        <v>6.7708333333333329E-2</v>
      </c>
      <c r="X1454" s="44">
        <f>IF(Mecze[[#This Row],[Role]]&lt;&gt;"BR",SUMPRODUCT(Mecze[[#This Row],[/PR:90]:[/BR:90]],Brudnopis!$E$28:$J$28),0)</f>
        <v>6.25E-2</v>
      </c>
      <c r="Y1454" s="35">
        <f>IF(Mecze[[#This Row],[Role]]="BR",Mecze[[#This Row],[/OB:90]]+Mecze[[#This Row],[/PC:90]],SUM(Mecze[[#This Row],[/PR:90]:[/BR:90]]))</f>
        <v>6.25E-2</v>
      </c>
      <c r="Z1454" s="35">
        <f>IF(Mecze[[#This Row],[KC]]=0,SUM(Mecze[[#This Row],[/BRI]:[/NPI]]),SUM(Mecze[[#This Row],[/BRI]:[/NPI]])*0.6)</f>
        <v>0.328125</v>
      </c>
      <c r="AA1454" s="10">
        <f>IFERROR(Mecze[[#This Row],[BR]]/Mecze[[#This Row],[ST]],0)</f>
        <v>0</v>
      </c>
      <c r="AB1454">
        <f>ROUND(Mecze[[#This Row],[PD]]*Mecze[[#This Row],[%PC]],0)</f>
        <v>2</v>
      </c>
      <c r="AC1454">
        <f>ROUND(Mecze[[#This Row],[OD]]*Mecze[[#This Row],[%OU]],0)</f>
        <v>0</v>
      </c>
      <c r="AD1454" s="36" t="s">
        <v>46</v>
      </c>
      <c r="AE1454" s="36">
        <v>80</v>
      </c>
      <c r="AF1454" s="71">
        <v>3.15</v>
      </c>
      <c r="AG1454" s="37">
        <v>0</v>
      </c>
      <c r="AH1454" s="37">
        <v>0</v>
      </c>
      <c r="AI1454" s="37">
        <v>96</v>
      </c>
      <c r="AJ1454" s="37">
        <v>10</v>
      </c>
      <c r="AK1454" s="37" t="str">
        <f>VLOOKUP(Mecze[[#This Row],[Match ID]],Meczusie[Mecz]:Meczusie[RodzajMeczu],2,FALSE)</f>
        <v>Liga</v>
      </c>
    </row>
    <row r="1455" spans="1:37" x14ac:dyDescent="0.25">
      <c r="A1455" s="76">
        <v>7</v>
      </c>
      <c r="B1455" s="3" t="s">
        <v>241</v>
      </c>
      <c r="C1455" s="2" t="s">
        <v>165</v>
      </c>
      <c r="D1455" s="1">
        <v>0</v>
      </c>
      <c r="E1455" s="1">
        <v>2</v>
      </c>
      <c r="F1455" s="1">
        <v>2</v>
      </c>
      <c r="G1455" s="1">
        <v>4</v>
      </c>
      <c r="H1455" s="4">
        <v>0</v>
      </c>
      <c r="I1455" s="1">
        <v>3</v>
      </c>
      <c r="J1455" s="4">
        <v>0.33</v>
      </c>
      <c r="K1455" s="1">
        <v>0</v>
      </c>
      <c r="L1455" s="1">
        <v>0</v>
      </c>
      <c r="M1455" s="32">
        <f>IF(Mecze[[#This Row],[PR]]=0,0,Mecze[[#This Row],[PR]]/Mecze[[#This Row],[CZAS]])</f>
        <v>0</v>
      </c>
      <c r="N1455" s="32">
        <f>IF(Mecze[[#This Row],[OU]]=0,0,Mecze[[#This Row],[OU]]/Mecze[[#This Row],[CZAS]])</f>
        <v>1.0416666666666666E-2</v>
      </c>
      <c r="O1455" s="32">
        <f>IF(Mecze[[#This Row],[PC]]=0,0,Mecze[[#This Row],[PC]]/Mecze[[#This Row],[CZAS]])</f>
        <v>0</v>
      </c>
      <c r="P1455" s="32">
        <f>IF(Mecze[[#This Row],[SC]]=0,0,Mecze[[#This Row],[SC]]/Mecze[[#This Row],[CZAS]])</f>
        <v>2.0833333333333332E-2</v>
      </c>
      <c r="Q1455" s="32">
        <f>IF(Mecze[[#This Row],[OB]]=0,0,Mecze[[#This Row],[OB]]/Mecze[[#This Row],[CZAS]])</f>
        <v>0</v>
      </c>
      <c r="R1455" s="32">
        <f>IF(Mecze[[#This Row],[BR]]=0,0,Mecze[[#This Row],[BR]]/Mecze[[#This Row],[CZAS]])</f>
        <v>0</v>
      </c>
      <c r="S1455" s="44">
        <f>IF(Mecze[[#This Row],[Role]]="BR",SUMPRODUCT(Mecze[[#This Row],[/PR:90]:[/BR:90]],Brudnopis!$E$23:$J$23),0)</f>
        <v>0</v>
      </c>
      <c r="T1455" s="44">
        <f>IF(Mecze[[#This Row],[Role]]&lt;&gt;"BR",SUMPRODUCT(Mecze[[#This Row],[/PR:90]:[/BR:90]],Brudnopis!$E$24:$J$24),0)</f>
        <v>3.6458333333333329E-2</v>
      </c>
      <c r="U1455" s="44">
        <f>IF(Mecze[[#This Row],[Role]]&lt;&gt;"BR",SUMPRODUCT(Mecze[[#This Row],[/PR:90]:[/BR:90]],Brudnopis!$E$25:$J$25),0)</f>
        <v>3.125E-2</v>
      </c>
      <c r="V1455" s="44">
        <f>IF(Mecze[[#This Row],[Role]]&lt;&gt;"BR",SUMPRODUCT(Mecze[[#This Row],[/PR:90]:[/BR:90]],Brudnopis!$E$26:$J$26),0)</f>
        <v>3.125E-2</v>
      </c>
      <c r="W1455" s="44">
        <f>IF(Mecze[[#This Row],[Role]]&lt;&gt;"BR",SUMPRODUCT(Mecze[[#This Row],[/PR:90]:[/BR:90]],Brudnopis!$E$27:$J$27),0)</f>
        <v>2.8645833333333332E-2</v>
      </c>
      <c r="X1455" s="44">
        <f>IF(Mecze[[#This Row],[Role]]&lt;&gt;"BR",SUMPRODUCT(Mecze[[#This Row],[/PR:90]:[/BR:90]],Brudnopis!$E$28:$J$28),0)</f>
        <v>4.1666666666666664E-2</v>
      </c>
      <c r="Y1455" s="35">
        <f>IF(Mecze[[#This Row],[Role]]="BR",Mecze[[#This Row],[/OB:90]]+Mecze[[#This Row],[/PC:90]],SUM(Mecze[[#This Row],[/PR:90]:[/BR:90]]))</f>
        <v>3.125E-2</v>
      </c>
      <c r="Z1455" s="35">
        <f>IF(Mecze[[#This Row],[KC]]=0,SUM(Mecze[[#This Row],[/BRI]:[/NPI]]),SUM(Mecze[[#This Row],[/BRI]:[/NPI]])*0.6)</f>
        <v>0.16927083333333331</v>
      </c>
      <c r="AA1455" s="10">
        <f>IFERROR(Mecze[[#This Row],[BR]]/Mecze[[#This Row],[ST]],0)</f>
        <v>0</v>
      </c>
      <c r="AB1455">
        <f>ROUND(Mecze[[#This Row],[PD]]*Mecze[[#This Row],[%PC]],0)</f>
        <v>0</v>
      </c>
      <c r="AC1455">
        <f>ROUND(Mecze[[#This Row],[OD]]*Mecze[[#This Row],[%OU]],0)</f>
        <v>1</v>
      </c>
      <c r="AD1455" s="36" t="s">
        <v>46</v>
      </c>
      <c r="AE1455" s="36">
        <v>80</v>
      </c>
      <c r="AF1455" s="71">
        <v>3.15</v>
      </c>
      <c r="AG1455" s="37">
        <v>0</v>
      </c>
      <c r="AH1455" s="37">
        <v>0</v>
      </c>
      <c r="AI1455" s="37">
        <v>96</v>
      </c>
      <c r="AJ1455" s="37">
        <v>10</v>
      </c>
      <c r="AK1455" s="37" t="str">
        <f>VLOOKUP(Mecze[[#This Row],[Match ID]],Meczusie[Mecz]:Meczusie[RodzajMeczu],2,FALSE)</f>
        <v>Liga</v>
      </c>
    </row>
    <row r="1456" spans="1:37" x14ac:dyDescent="0.25">
      <c r="A1456" s="76">
        <v>10</v>
      </c>
      <c r="B1456" s="3" t="s">
        <v>246</v>
      </c>
      <c r="C1456" s="2" t="s">
        <v>165</v>
      </c>
      <c r="D1456" s="1">
        <v>0</v>
      </c>
      <c r="E1456" s="1">
        <v>2</v>
      </c>
      <c r="F1456" s="1">
        <v>2</v>
      </c>
      <c r="G1456" s="1">
        <v>13</v>
      </c>
      <c r="H1456" s="4">
        <v>0.69</v>
      </c>
      <c r="I1456" s="1">
        <v>0</v>
      </c>
      <c r="J1456" s="4"/>
      <c r="K1456" s="1">
        <v>0</v>
      </c>
      <c r="L1456" s="1">
        <v>0</v>
      </c>
      <c r="M1456" s="32">
        <f>IF(Mecze[[#This Row],[PR]]=0,0,Mecze[[#This Row],[PR]]/Mecze[[#This Row],[CZAS]])</f>
        <v>0</v>
      </c>
      <c r="N1456" s="32">
        <f>IF(Mecze[[#This Row],[OU]]=0,0,Mecze[[#This Row],[OU]]/Mecze[[#This Row],[CZAS]])</f>
        <v>0</v>
      </c>
      <c r="O1456" s="32">
        <f>IF(Mecze[[#This Row],[PC]]=0,0,Mecze[[#This Row],[PC]]/Mecze[[#This Row],[CZAS]])</f>
        <v>9.375E-2</v>
      </c>
      <c r="P1456" s="32">
        <f>IF(Mecze[[#This Row],[SC]]=0,0,Mecze[[#This Row],[SC]]/Mecze[[#This Row],[CZAS]])</f>
        <v>2.0833333333333332E-2</v>
      </c>
      <c r="Q1456" s="32">
        <f>IF(Mecze[[#This Row],[OB]]=0,0,Mecze[[#This Row],[OB]]/Mecze[[#This Row],[CZAS]])</f>
        <v>0</v>
      </c>
      <c r="R1456" s="32">
        <f>IF(Mecze[[#This Row],[BR]]=0,0,Mecze[[#This Row],[BR]]/Mecze[[#This Row],[CZAS]])</f>
        <v>0</v>
      </c>
      <c r="S1456" s="44">
        <f>IF(Mecze[[#This Row],[Role]]="BR",SUMPRODUCT(Mecze[[#This Row],[/PR:90]:[/BR:90]],Brudnopis!$E$23:$J$23),0)</f>
        <v>0</v>
      </c>
      <c r="T1456" s="44">
        <f>IF(Mecze[[#This Row],[Role]]&lt;&gt;"BR",SUMPRODUCT(Mecze[[#This Row],[/PR:90]:[/BR:90]],Brudnopis!$E$24:$J$24),0)</f>
        <v>0.11458333333333333</v>
      </c>
      <c r="U1456" s="44">
        <f>IF(Mecze[[#This Row],[Role]]&lt;&gt;"BR",SUMPRODUCT(Mecze[[#This Row],[/PR:90]:[/BR:90]],Brudnopis!$E$25:$J$25),0)</f>
        <v>0.16145833333333334</v>
      </c>
      <c r="V1456" s="44">
        <f>IF(Mecze[[#This Row],[Role]]&lt;&gt;"BR",SUMPRODUCT(Mecze[[#This Row],[/PR:90]:[/BR:90]],Brudnopis!$E$26:$J$26),0)</f>
        <v>0.11458333333333333</v>
      </c>
      <c r="W1456" s="44">
        <f>IF(Mecze[[#This Row],[Role]]&lt;&gt;"BR",SUMPRODUCT(Mecze[[#This Row],[/PR:90]:[/BR:90]],Brudnopis!$E$27:$J$27),0)</f>
        <v>0.16145833333333334</v>
      </c>
      <c r="X1456" s="44">
        <f>IF(Mecze[[#This Row],[Role]]&lt;&gt;"BR",SUMPRODUCT(Mecze[[#This Row],[/PR:90]:[/BR:90]],Brudnopis!$E$28:$J$28),0)</f>
        <v>0.13541666666666666</v>
      </c>
      <c r="Y1456" s="35">
        <f>IF(Mecze[[#This Row],[Role]]="BR",Mecze[[#This Row],[/OB:90]]+Mecze[[#This Row],[/PC:90]],SUM(Mecze[[#This Row],[/PR:90]:[/BR:90]]))</f>
        <v>0.11458333333333333</v>
      </c>
      <c r="Z1456" s="35">
        <f>IF(Mecze[[#This Row],[KC]]=0,SUM(Mecze[[#This Row],[/BRI]:[/NPI]]),SUM(Mecze[[#This Row],[/BRI]:[/NPI]])*0.6)</f>
        <v>0.6875</v>
      </c>
      <c r="AA1456" s="10">
        <f>IFERROR(Mecze[[#This Row],[BR]]/Mecze[[#This Row],[ST]],0)</f>
        <v>0</v>
      </c>
      <c r="AB1456">
        <f>ROUND(Mecze[[#This Row],[PD]]*Mecze[[#This Row],[%PC]],0)</f>
        <v>9</v>
      </c>
      <c r="AC1456">
        <f>ROUND(Mecze[[#This Row],[OD]]*Mecze[[#This Row],[%OU]],0)</f>
        <v>0</v>
      </c>
      <c r="AD1456" s="36" t="s">
        <v>46</v>
      </c>
      <c r="AE1456" s="36">
        <v>80</v>
      </c>
      <c r="AF1456" s="71">
        <v>4.4800000000000004</v>
      </c>
      <c r="AG1456" s="37">
        <v>0</v>
      </c>
      <c r="AH1456" s="37">
        <v>0</v>
      </c>
      <c r="AI1456" s="37">
        <v>96</v>
      </c>
      <c r="AJ1456" s="37">
        <v>10</v>
      </c>
      <c r="AK1456" s="37" t="str">
        <f>VLOOKUP(Mecze[[#This Row],[Match ID]],Meczusie[Mecz]:Meczusie[RodzajMeczu],2,FALSE)</f>
        <v>Liga</v>
      </c>
    </row>
    <row r="1457" spans="1:37" x14ac:dyDescent="0.25">
      <c r="A1457" s="76">
        <v>1</v>
      </c>
      <c r="B1457" s="3" t="s">
        <v>220</v>
      </c>
      <c r="C1457" s="2" t="s">
        <v>155</v>
      </c>
      <c r="D1457" s="1">
        <v>0</v>
      </c>
      <c r="E1457" s="1">
        <v>0</v>
      </c>
      <c r="F1457" s="1">
        <v>0</v>
      </c>
      <c r="G1457" s="1">
        <v>6</v>
      </c>
      <c r="H1457" s="4">
        <v>0.67</v>
      </c>
      <c r="I1457" s="1">
        <v>0</v>
      </c>
      <c r="J1457" s="4"/>
      <c r="K1457" s="1">
        <v>6</v>
      </c>
      <c r="L1457" s="1">
        <v>0</v>
      </c>
      <c r="M1457" s="32">
        <f>IF(Mecze[[#This Row],[PR]]=0,0,Mecze[[#This Row],[PR]]/Mecze[[#This Row],[CZAS]])</f>
        <v>0</v>
      </c>
      <c r="N1457" s="32">
        <f>IF(Mecze[[#This Row],[OU]]=0,0,Mecze[[#This Row],[OU]]/Mecze[[#This Row],[CZAS]])</f>
        <v>0</v>
      </c>
      <c r="O1457" s="32">
        <f>IF(Mecze[[#This Row],[PC]]=0,0,Mecze[[#This Row],[PC]]/Mecze[[#This Row],[CZAS]])</f>
        <v>4.1666666666666664E-2</v>
      </c>
      <c r="P1457" s="32">
        <f>IF(Mecze[[#This Row],[SC]]=0,0,Mecze[[#This Row],[SC]]/Mecze[[#This Row],[CZAS]])</f>
        <v>0</v>
      </c>
      <c r="Q1457" s="32">
        <f>IF(Mecze[[#This Row],[OB]]=0,0,Mecze[[#This Row],[OB]]/Mecze[[#This Row],[CZAS]])</f>
        <v>6.25E-2</v>
      </c>
      <c r="R1457" s="32">
        <f>IF(Mecze[[#This Row],[BR]]=0,0,Mecze[[#This Row],[BR]]/Mecze[[#This Row],[CZAS]])</f>
        <v>0</v>
      </c>
      <c r="S1457" s="44">
        <f>IF(Mecze[[#This Row],[Role]]="BR",SUMPRODUCT(Mecze[[#This Row],[/PR:90]:[/BR:90]],Brudnopis!$E$23:$J$23),0)</f>
        <v>0.3125</v>
      </c>
      <c r="T1457" s="44">
        <f>IF(Mecze[[#This Row],[Role]]&lt;&gt;"BR",SUMPRODUCT(Mecze[[#This Row],[/PR:90]:[/BR:90]],Brudnopis!$E$24:$J$24),0)</f>
        <v>0</v>
      </c>
      <c r="U1457" s="44">
        <f>IF(Mecze[[#This Row],[Role]]&lt;&gt;"BR",SUMPRODUCT(Mecze[[#This Row],[/PR:90]:[/BR:90]],Brudnopis!$E$25:$J$25),0)</f>
        <v>0</v>
      </c>
      <c r="V1457" s="44">
        <f>IF(Mecze[[#This Row],[Role]]&lt;&gt;"BR",SUMPRODUCT(Mecze[[#This Row],[/PR:90]:[/BR:90]],Brudnopis!$E$26:$J$26),0)</f>
        <v>0</v>
      </c>
      <c r="W1457" s="44">
        <f>IF(Mecze[[#This Row],[Role]]&lt;&gt;"BR",SUMPRODUCT(Mecze[[#This Row],[/PR:90]:[/BR:90]],Brudnopis!$E$27:$J$27),0)</f>
        <v>0</v>
      </c>
      <c r="X1457" s="44">
        <f>IF(Mecze[[#This Row],[Role]]&lt;&gt;"BR",SUMPRODUCT(Mecze[[#This Row],[/PR:90]:[/BR:90]],Brudnopis!$E$28:$J$28),0)</f>
        <v>0</v>
      </c>
      <c r="Y1457" s="35">
        <f>IF(Mecze[[#This Row],[Role]]="BR",Mecze[[#This Row],[/OB:90]]+Mecze[[#This Row],[/PC:90]],SUM(Mecze[[#This Row],[/PR:90]:[/BR:90]]))</f>
        <v>0.10416666666666666</v>
      </c>
      <c r="Z1457" s="35">
        <f>IF(Mecze[[#This Row],[KC]]=0,SUM(Mecze[[#This Row],[/BRI]:[/NPI]]),SUM(Mecze[[#This Row],[/BRI]:[/NPI]])*0.6)</f>
        <v>0.3125</v>
      </c>
      <c r="AA1457" s="10">
        <f>IFERROR(Mecze[[#This Row],[BR]]/Mecze[[#This Row],[ST]],0)</f>
        <v>0</v>
      </c>
      <c r="AB1457">
        <f>ROUND(Mecze[[#This Row],[PD]]*Mecze[[#This Row],[%PC]],0)</f>
        <v>4</v>
      </c>
      <c r="AC1457">
        <f>ROUND(Mecze[[#This Row],[OD]]*Mecze[[#This Row],[%OU]],0)</f>
        <v>0</v>
      </c>
      <c r="AD1457" s="36" t="s">
        <v>40</v>
      </c>
      <c r="AE1457" s="36">
        <v>80</v>
      </c>
      <c r="AF1457" s="71">
        <v>10.36</v>
      </c>
      <c r="AG1457" s="37">
        <v>0</v>
      </c>
      <c r="AH1457" s="37">
        <v>0</v>
      </c>
      <c r="AI1457" s="37">
        <v>96</v>
      </c>
      <c r="AJ1457" s="37">
        <v>2</v>
      </c>
      <c r="AK1457" s="37" t="str">
        <f>VLOOKUP(Mecze[[#This Row],[Match ID]],Meczusie[Mecz]:Meczusie[RodzajMeczu],2,FALSE)</f>
        <v>Liga</v>
      </c>
    </row>
    <row r="1458" spans="1:37" x14ac:dyDescent="0.25">
      <c r="A1458" s="76">
        <v>4</v>
      </c>
      <c r="B1458" s="3" t="s">
        <v>221</v>
      </c>
      <c r="C1458" s="2" t="s">
        <v>157</v>
      </c>
      <c r="D1458" s="1">
        <v>0</v>
      </c>
      <c r="E1458" s="1">
        <v>0</v>
      </c>
      <c r="F1458" s="1">
        <v>0</v>
      </c>
      <c r="G1458" s="1">
        <v>11</v>
      </c>
      <c r="H1458" s="4">
        <v>0.73</v>
      </c>
      <c r="I1458" s="1">
        <v>10</v>
      </c>
      <c r="J1458" s="4">
        <v>0.7</v>
      </c>
      <c r="K1458" s="1">
        <v>0</v>
      </c>
      <c r="L1458" s="1">
        <v>5</v>
      </c>
      <c r="M1458" s="32">
        <f>IF(Mecze[[#This Row],[PR]]=0,0,Mecze[[#This Row],[PR]]/Mecze[[#This Row],[CZAS]])</f>
        <v>5.2083333333333336E-2</v>
      </c>
      <c r="N1458" s="32">
        <f>IF(Mecze[[#This Row],[OU]]=0,0,Mecze[[#This Row],[OU]]/Mecze[[#This Row],[CZAS]])</f>
        <v>7.2916666666666671E-2</v>
      </c>
      <c r="O1458" s="32">
        <f>IF(Mecze[[#This Row],[PC]]=0,0,Mecze[[#This Row],[PC]]/Mecze[[#This Row],[CZAS]])</f>
        <v>8.3333333333333329E-2</v>
      </c>
      <c r="P1458" s="32">
        <f>IF(Mecze[[#This Row],[SC]]=0,0,Mecze[[#This Row],[SC]]/Mecze[[#This Row],[CZAS]])</f>
        <v>0</v>
      </c>
      <c r="Q1458" s="32">
        <f>IF(Mecze[[#This Row],[OB]]=0,0,Mecze[[#This Row],[OB]]/Mecze[[#This Row],[CZAS]])</f>
        <v>0</v>
      </c>
      <c r="R1458" s="32">
        <f>IF(Mecze[[#This Row],[BR]]=0,0,Mecze[[#This Row],[BR]]/Mecze[[#This Row],[CZAS]])</f>
        <v>0</v>
      </c>
      <c r="S1458" s="44">
        <f>IF(Mecze[[#This Row],[Role]]="BR",SUMPRODUCT(Mecze[[#This Row],[/PR:90]:[/BR:90]],Brudnopis!$E$23:$J$23),0)</f>
        <v>0</v>
      </c>
      <c r="T1458" s="44">
        <f>IF(Mecze[[#This Row],[Role]]&lt;&gt;"BR",SUMPRODUCT(Mecze[[#This Row],[/PR:90]:[/BR:90]],Brudnopis!$E$24:$J$24),0)</f>
        <v>0.24479166666666669</v>
      </c>
      <c r="U1458" s="44">
        <f>IF(Mecze[[#This Row],[Role]]&lt;&gt;"BR",SUMPRODUCT(Mecze[[#This Row],[/PR:90]:[/BR:90]],Brudnopis!$E$25:$J$25),0)</f>
        <v>0.25</v>
      </c>
      <c r="V1458" s="44">
        <f>IF(Mecze[[#This Row],[Role]]&lt;&gt;"BR",SUMPRODUCT(Mecze[[#This Row],[/PR:90]:[/BR:90]],Brudnopis!$E$26:$J$26),0)</f>
        <v>0.20833333333333331</v>
      </c>
      <c r="W1458" s="44">
        <f>IF(Mecze[[#This Row],[Role]]&lt;&gt;"BR",SUMPRODUCT(Mecze[[#This Row],[/PR:90]:[/BR:90]],Brudnopis!$E$27:$J$27),0)</f>
        <v>0.21875</v>
      </c>
      <c r="X1458" s="44">
        <f>IF(Mecze[[#This Row],[Role]]&lt;&gt;"BR",SUMPRODUCT(Mecze[[#This Row],[/PR:90]:[/BR:90]],Brudnopis!$E$28:$J$28),0)</f>
        <v>8.3333333333333329E-2</v>
      </c>
      <c r="Y1458" s="35">
        <f>IF(Mecze[[#This Row],[Role]]="BR",Mecze[[#This Row],[/OB:90]]+Mecze[[#This Row],[/PC:90]],SUM(Mecze[[#This Row],[/PR:90]:[/BR:90]]))</f>
        <v>0.20833333333333331</v>
      </c>
      <c r="Z1458" s="35">
        <f>IF(Mecze[[#This Row],[KC]]=0,SUM(Mecze[[#This Row],[/BRI]:[/NPI]]),SUM(Mecze[[#This Row],[/BRI]:[/NPI]])*0.6)</f>
        <v>1.0052083333333333</v>
      </c>
      <c r="AA1458" s="10">
        <f>IFERROR(Mecze[[#This Row],[BR]]/Mecze[[#This Row],[ST]],0)</f>
        <v>0</v>
      </c>
      <c r="AB1458">
        <f>ROUND(Mecze[[#This Row],[PD]]*Mecze[[#This Row],[%PC]],0)</f>
        <v>8</v>
      </c>
      <c r="AC1458">
        <f>ROUND(Mecze[[#This Row],[OD]]*Mecze[[#This Row],[%OU]],0)</f>
        <v>7</v>
      </c>
      <c r="AD1458" s="36" t="s">
        <v>47</v>
      </c>
      <c r="AE1458" s="36">
        <v>80</v>
      </c>
      <c r="AF1458" s="71">
        <v>9.2100000000000009</v>
      </c>
      <c r="AG1458" s="37">
        <v>0</v>
      </c>
      <c r="AH1458" s="37">
        <v>0</v>
      </c>
      <c r="AI1458" s="37">
        <v>96</v>
      </c>
      <c r="AJ1458" s="37">
        <v>2</v>
      </c>
      <c r="AK1458" s="37" t="str">
        <f>VLOOKUP(Mecze[[#This Row],[Match ID]],Meczusie[Mecz]:Meczusie[RodzajMeczu],2,FALSE)</f>
        <v>Liga</v>
      </c>
    </row>
    <row r="1459" spans="1:37" x14ac:dyDescent="0.25">
      <c r="A1459" s="76">
        <v>3</v>
      </c>
      <c r="B1459" s="3" t="s">
        <v>222</v>
      </c>
      <c r="C1459" s="2" t="s">
        <v>157</v>
      </c>
      <c r="D1459" s="1">
        <v>0</v>
      </c>
      <c r="E1459" s="1">
        <v>0</v>
      </c>
      <c r="F1459" s="1">
        <v>0</v>
      </c>
      <c r="G1459" s="1">
        <v>3</v>
      </c>
      <c r="H1459" s="4">
        <v>0.67</v>
      </c>
      <c r="I1459" s="1">
        <v>6</v>
      </c>
      <c r="J1459" s="4">
        <v>0.5</v>
      </c>
      <c r="K1459" s="1">
        <v>0</v>
      </c>
      <c r="L1459" s="1">
        <v>2</v>
      </c>
      <c r="M1459" s="32">
        <f>IF(Mecze[[#This Row],[PR]]=0,0,Mecze[[#This Row],[PR]]/Mecze[[#This Row],[CZAS]])</f>
        <v>2.0833333333333332E-2</v>
      </c>
      <c r="N1459" s="32">
        <f>IF(Mecze[[#This Row],[OU]]=0,0,Mecze[[#This Row],[OU]]/Mecze[[#This Row],[CZAS]])</f>
        <v>3.125E-2</v>
      </c>
      <c r="O1459" s="32">
        <f>IF(Mecze[[#This Row],[PC]]=0,0,Mecze[[#This Row],[PC]]/Mecze[[#This Row],[CZAS]])</f>
        <v>2.0833333333333332E-2</v>
      </c>
      <c r="P1459" s="32">
        <f>IF(Mecze[[#This Row],[SC]]=0,0,Mecze[[#This Row],[SC]]/Mecze[[#This Row],[CZAS]])</f>
        <v>0</v>
      </c>
      <c r="Q1459" s="32">
        <f>IF(Mecze[[#This Row],[OB]]=0,0,Mecze[[#This Row],[OB]]/Mecze[[#This Row],[CZAS]])</f>
        <v>0</v>
      </c>
      <c r="R1459" s="32">
        <f>IF(Mecze[[#This Row],[BR]]=0,0,Mecze[[#This Row],[BR]]/Mecze[[#This Row],[CZAS]])</f>
        <v>0</v>
      </c>
      <c r="S1459" s="44">
        <f>IF(Mecze[[#This Row],[Role]]="BR",SUMPRODUCT(Mecze[[#This Row],[/PR:90]:[/BR:90]],Brudnopis!$E$23:$J$23),0)</f>
        <v>0</v>
      </c>
      <c r="T1459" s="44">
        <f>IF(Mecze[[#This Row],[Role]]&lt;&gt;"BR",SUMPRODUCT(Mecze[[#This Row],[/PR:90]:[/BR:90]],Brudnopis!$E$24:$J$24),0)</f>
        <v>8.8541666666666657E-2</v>
      </c>
      <c r="U1459" s="44">
        <f>IF(Mecze[[#This Row],[Role]]&lt;&gt;"BR",SUMPRODUCT(Mecze[[#This Row],[/PR:90]:[/BR:90]],Brudnopis!$E$25:$J$25),0)</f>
        <v>8.3333333333333329E-2</v>
      </c>
      <c r="V1459" s="44">
        <f>IF(Mecze[[#This Row],[Role]]&lt;&gt;"BR",SUMPRODUCT(Mecze[[#This Row],[/PR:90]:[/BR:90]],Brudnopis!$E$26:$J$26),0)</f>
        <v>7.2916666666666657E-2</v>
      </c>
      <c r="W1459" s="44">
        <f>IF(Mecze[[#This Row],[Role]]&lt;&gt;"BR",SUMPRODUCT(Mecze[[#This Row],[/PR:90]:[/BR:90]],Brudnopis!$E$27:$J$27),0)</f>
        <v>7.03125E-2</v>
      </c>
      <c r="X1459" s="44">
        <f>IF(Mecze[[#This Row],[Role]]&lt;&gt;"BR",SUMPRODUCT(Mecze[[#This Row],[/PR:90]:[/BR:90]],Brudnopis!$E$28:$J$28),0)</f>
        <v>2.0833333333333332E-2</v>
      </c>
      <c r="Y1459" s="35">
        <f>IF(Mecze[[#This Row],[Role]]="BR",Mecze[[#This Row],[/OB:90]]+Mecze[[#This Row],[/PC:90]],SUM(Mecze[[#This Row],[/PR:90]:[/BR:90]]))</f>
        <v>7.2916666666666657E-2</v>
      </c>
      <c r="Z1459" s="35">
        <f>IF(Mecze[[#This Row],[KC]]=0,SUM(Mecze[[#This Row],[/BRI]:[/NPI]]),SUM(Mecze[[#This Row],[/BRI]:[/NPI]])*0.6)</f>
        <v>0.33593749999999994</v>
      </c>
      <c r="AA1459" s="10">
        <f>IFERROR(Mecze[[#This Row],[BR]]/Mecze[[#This Row],[ST]],0)</f>
        <v>0</v>
      </c>
      <c r="AB1459">
        <f>ROUND(Mecze[[#This Row],[PD]]*Mecze[[#This Row],[%PC]],0)</f>
        <v>2</v>
      </c>
      <c r="AC1459">
        <f>ROUND(Mecze[[#This Row],[OD]]*Mecze[[#This Row],[%OU]],0)</f>
        <v>3</v>
      </c>
      <c r="AD1459" s="36" t="s">
        <v>47</v>
      </c>
      <c r="AE1459" s="36">
        <v>80</v>
      </c>
      <c r="AF1459" s="71">
        <v>8.58</v>
      </c>
      <c r="AG1459" s="37">
        <v>0</v>
      </c>
      <c r="AH1459" s="37">
        <v>0</v>
      </c>
      <c r="AI1459" s="37">
        <v>96</v>
      </c>
      <c r="AJ1459" s="37">
        <v>2</v>
      </c>
      <c r="AK1459" s="37" t="str">
        <f>VLOOKUP(Mecze[[#This Row],[Match ID]],Meczusie[Mecz]:Meczusie[RodzajMeczu],2,FALSE)</f>
        <v>Liga</v>
      </c>
    </row>
    <row r="1460" spans="1:37" x14ac:dyDescent="0.25">
      <c r="A1460" s="76">
        <v>2</v>
      </c>
      <c r="B1460" s="3" t="s">
        <v>224</v>
      </c>
      <c r="C1460" s="2" t="s">
        <v>157</v>
      </c>
      <c r="D1460" s="1">
        <v>0</v>
      </c>
      <c r="E1460" s="1">
        <v>0</v>
      </c>
      <c r="F1460" s="1">
        <v>0</v>
      </c>
      <c r="G1460" s="1">
        <v>2</v>
      </c>
      <c r="H1460" s="4">
        <v>1</v>
      </c>
      <c r="I1460" s="1">
        <v>0</v>
      </c>
      <c r="J1460" s="4"/>
      <c r="K1460" s="1">
        <v>0</v>
      </c>
      <c r="L1460" s="1">
        <v>0</v>
      </c>
      <c r="M1460" s="32">
        <f>IF(Mecze[[#This Row],[PR]]=0,0,Mecze[[#This Row],[PR]]/Mecze[[#This Row],[CZAS]])</f>
        <v>0</v>
      </c>
      <c r="N1460" s="32">
        <f>IF(Mecze[[#This Row],[OU]]=0,0,Mecze[[#This Row],[OU]]/Mecze[[#This Row],[CZAS]])</f>
        <v>0</v>
      </c>
      <c r="O1460" s="32">
        <f>IF(Mecze[[#This Row],[PC]]=0,0,Mecze[[#This Row],[PC]]/Mecze[[#This Row],[CZAS]])</f>
        <v>2.0833333333333332E-2</v>
      </c>
      <c r="P1460" s="32">
        <f>IF(Mecze[[#This Row],[SC]]=0,0,Mecze[[#This Row],[SC]]/Mecze[[#This Row],[CZAS]])</f>
        <v>0</v>
      </c>
      <c r="Q1460" s="32">
        <f>IF(Mecze[[#This Row],[OB]]=0,0,Mecze[[#This Row],[OB]]/Mecze[[#This Row],[CZAS]])</f>
        <v>0</v>
      </c>
      <c r="R1460" s="32">
        <f>IF(Mecze[[#This Row],[BR]]=0,0,Mecze[[#This Row],[BR]]/Mecze[[#This Row],[CZAS]])</f>
        <v>0</v>
      </c>
      <c r="S1460" s="44">
        <f>IF(Mecze[[#This Row],[Role]]="BR",SUMPRODUCT(Mecze[[#This Row],[/PR:90]:[/BR:90]],Brudnopis!$E$23:$J$23),0)</f>
        <v>0</v>
      </c>
      <c r="T1460" s="44">
        <f>IF(Mecze[[#This Row],[Role]]&lt;&gt;"BR",SUMPRODUCT(Mecze[[#This Row],[/PR:90]:[/BR:90]],Brudnopis!$E$24:$J$24),0)</f>
        <v>2.0833333333333332E-2</v>
      </c>
      <c r="U1460" s="44">
        <f>IF(Mecze[[#This Row],[Role]]&lt;&gt;"BR",SUMPRODUCT(Mecze[[#This Row],[/PR:90]:[/BR:90]],Brudnopis!$E$25:$J$25),0)</f>
        <v>3.125E-2</v>
      </c>
      <c r="V1460" s="44">
        <f>IF(Mecze[[#This Row],[Role]]&lt;&gt;"BR",SUMPRODUCT(Mecze[[#This Row],[/PR:90]:[/BR:90]],Brudnopis!$E$26:$J$26),0)</f>
        <v>2.0833333333333332E-2</v>
      </c>
      <c r="W1460" s="44">
        <f>IF(Mecze[[#This Row],[Role]]&lt;&gt;"BR",SUMPRODUCT(Mecze[[#This Row],[/PR:90]:[/BR:90]],Brudnopis!$E$27:$J$27),0)</f>
        <v>3.125E-2</v>
      </c>
      <c r="X1460" s="44">
        <f>IF(Mecze[[#This Row],[Role]]&lt;&gt;"BR",SUMPRODUCT(Mecze[[#This Row],[/PR:90]:[/BR:90]],Brudnopis!$E$28:$J$28),0)</f>
        <v>2.0833333333333332E-2</v>
      </c>
      <c r="Y1460" s="35">
        <f>IF(Mecze[[#This Row],[Role]]="BR",Mecze[[#This Row],[/OB:90]]+Mecze[[#This Row],[/PC:90]],SUM(Mecze[[#This Row],[/PR:90]:[/BR:90]]))</f>
        <v>2.0833333333333332E-2</v>
      </c>
      <c r="Z1460" s="35">
        <f>IF(Mecze[[#This Row],[KC]]=0,SUM(Mecze[[#This Row],[/BRI]:[/NPI]]),SUM(Mecze[[#This Row],[/BRI]:[/NPI]])*0.6)</f>
        <v>0.12499999999999999</v>
      </c>
      <c r="AA1460" s="10">
        <f>IFERROR(Mecze[[#This Row],[BR]]/Mecze[[#This Row],[ST]],0)</f>
        <v>0</v>
      </c>
      <c r="AB1460">
        <f>ROUND(Mecze[[#This Row],[PD]]*Mecze[[#This Row],[%PC]],0)</f>
        <v>2</v>
      </c>
      <c r="AC1460">
        <f>ROUND(Mecze[[#This Row],[OD]]*Mecze[[#This Row],[%OU]],0)</f>
        <v>0</v>
      </c>
      <c r="AD1460" s="36" t="s">
        <v>175</v>
      </c>
      <c r="AE1460" s="36">
        <v>80</v>
      </c>
      <c r="AF1460" s="71">
        <v>7.04</v>
      </c>
      <c r="AG1460" s="37">
        <v>0</v>
      </c>
      <c r="AH1460" s="37">
        <v>0</v>
      </c>
      <c r="AI1460" s="37">
        <v>96</v>
      </c>
      <c r="AJ1460" s="37">
        <v>2</v>
      </c>
      <c r="AK1460" s="37" t="str">
        <f>VLOOKUP(Mecze[[#This Row],[Match ID]],Meczusie[Mecz]:Meczusie[RodzajMeczu],2,FALSE)</f>
        <v>Liga</v>
      </c>
    </row>
    <row r="1461" spans="1:37" x14ac:dyDescent="0.25">
      <c r="A1461" s="76">
        <v>5</v>
      </c>
      <c r="B1461" s="3" t="s">
        <v>223</v>
      </c>
      <c r="C1461" s="2" t="s">
        <v>157</v>
      </c>
      <c r="D1461" s="1">
        <v>0</v>
      </c>
      <c r="E1461" s="1">
        <v>0</v>
      </c>
      <c r="F1461" s="1">
        <v>0</v>
      </c>
      <c r="G1461" s="1">
        <v>8</v>
      </c>
      <c r="H1461" s="4">
        <v>0.63</v>
      </c>
      <c r="I1461" s="1">
        <v>1</v>
      </c>
      <c r="J1461" s="4">
        <v>0</v>
      </c>
      <c r="K1461" s="1">
        <v>0</v>
      </c>
      <c r="L1461" s="1">
        <v>9</v>
      </c>
      <c r="M1461" s="32">
        <f>IF(Mecze[[#This Row],[PR]]=0,0,Mecze[[#This Row],[PR]]/Mecze[[#This Row],[CZAS]])</f>
        <v>9.375E-2</v>
      </c>
      <c r="N1461" s="32">
        <f>IF(Mecze[[#This Row],[OU]]=0,0,Mecze[[#This Row],[OU]]/Mecze[[#This Row],[CZAS]])</f>
        <v>0</v>
      </c>
      <c r="O1461" s="32">
        <f>IF(Mecze[[#This Row],[PC]]=0,0,Mecze[[#This Row],[PC]]/Mecze[[#This Row],[CZAS]])</f>
        <v>5.2083333333333336E-2</v>
      </c>
      <c r="P1461" s="32">
        <f>IF(Mecze[[#This Row],[SC]]=0,0,Mecze[[#This Row],[SC]]/Mecze[[#This Row],[CZAS]])</f>
        <v>0</v>
      </c>
      <c r="Q1461" s="32">
        <f>IF(Mecze[[#This Row],[OB]]=0,0,Mecze[[#This Row],[OB]]/Mecze[[#This Row],[CZAS]])</f>
        <v>0</v>
      </c>
      <c r="R1461" s="32">
        <f>IF(Mecze[[#This Row],[BR]]=0,0,Mecze[[#This Row],[BR]]/Mecze[[#This Row],[CZAS]])</f>
        <v>0</v>
      </c>
      <c r="S1461" s="44">
        <f>IF(Mecze[[#This Row],[Role]]="BR",SUMPRODUCT(Mecze[[#This Row],[/PR:90]:[/BR:90]],Brudnopis!$E$23:$J$23),0)</f>
        <v>0</v>
      </c>
      <c r="T1461" s="44">
        <f>IF(Mecze[[#This Row],[Role]]&lt;&gt;"BR",SUMPRODUCT(Mecze[[#This Row],[/PR:90]:[/BR:90]],Brudnopis!$E$24:$J$24),0)</f>
        <v>0.14583333333333334</v>
      </c>
      <c r="U1461" s="44">
        <f>IF(Mecze[[#This Row],[Role]]&lt;&gt;"BR",SUMPRODUCT(Mecze[[#This Row],[/PR:90]:[/BR:90]],Brudnopis!$E$25:$J$25),0)</f>
        <v>0.171875</v>
      </c>
      <c r="V1461" s="44">
        <f>IF(Mecze[[#This Row],[Role]]&lt;&gt;"BR",SUMPRODUCT(Mecze[[#This Row],[/PR:90]:[/BR:90]],Brudnopis!$E$26:$J$26),0)</f>
        <v>0.14583333333333334</v>
      </c>
      <c r="W1461" s="44">
        <f>IF(Mecze[[#This Row],[Role]]&lt;&gt;"BR",SUMPRODUCT(Mecze[[#This Row],[/PR:90]:[/BR:90]],Brudnopis!$E$27:$J$27),0)</f>
        <v>0.1484375</v>
      </c>
      <c r="X1461" s="44">
        <f>IF(Mecze[[#This Row],[Role]]&lt;&gt;"BR",SUMPRODUCT(Mecze[[#This Row],[/PR:90]:[/BR:90]],Brudnopis!$E$28:$J$28),0)</f>
        <v>5.2083333333333336E-2</v>
      </c>
      <c r="Y1461" s="35">
        <f>IF(Mecze[[#This Row],[Role]]="BR",Mecze[[#This Row],[/OB:90]]+Mecze[[#This Row],[/PC:90]],SUM(Mecze[[#This Row],[/PR:90]:[/BR:90]]))</f>
        <v>0.14583333333333334</v>
      </c>
      <c r="Z1461" s="35">
        <f>IF(Mecze[[#This Row],[KC]]=0,SUM(Mecze[[#This Row],[/BRI]:[/NPI]]),SUM(Mecze[[#This Row],[/BRI]:[/NPI]])*0.6)</f>
        <v>0.66406250000000011</v>
      </c>
      <c r="AA1461" s="10">
        <f>IFERROR(Mecze[[#This Row],[BR]]/Mecze[[#This Row],[ST]],0)</f>
        <v>0</v>
      </c>
      <c r="AB1461">
        <f>ROUND(Mecze[[#This Row],[PD]]*Mecze[[#This Row],[%PC]],0)</f>
        <v>5</v>
      </c>
      <c r="AC1461">
        <f>ROUND(Mecze[[#This Row],[OD]]*Mecze[[#This Row],[%OU]],0)</f>
        <v>0</v>
      </c>
      <c r="AD1461" s="36" t="s">
        <v>174</v>
      </c>
      <c r="AE1461" s="36">
        <v>80</v>
      </c>
      <c r="AF1461" s="71">
        <v>8.93</v>
      </c>
      <c r="AG1461" s="37">
        <v>0</v>
      </c>
      <c r="AH1461" s="37">
        <v>0</v>
      </c>
      <c r="AI1461" s="37">
        <v>96</v>
      </c>
      <c r="AJ1461" s="37">
        <v>2</v>
      </c>
      <c r="AK1461" s="37" t="str">
        <f>VLOOKUP(Mecze[[#This Row],[Match ID]],Meczusie[Mecz]:Meczusie[RodzajMeczu],2,FALSE)</f>
        <v>Liga</v>
      </c>
    </row>
    <row r="1462" spans="1:37" x14ac:dyDescent="0.25">
      <c r="A1462" s="76">
        <v>6</v>
      </c>
      <c r="B1462" s="3" t="s">
        <v>225</v>
      </c>
      <c r="C1462" s="2" t="s">
        <v>160</v>
      </c>
      <c r="D1462" s="1">
        <v>0</v>
      </c>
      <c r="E1462" s="1">
        <v>0</v>
      </c>
      <c r="F1462" s="1">
        <v>0</v>
      </c>
      <c r="G1462" s="1">
        <v>11</v>
      </c>
      <c r="H1462" s="4">
        <v>0.64</v>
      </c>
      <c r="I1462" s="1">
        <v>5</v>
      </c>
      <c r="J1462" s="4">
        <v>0.4</v>
      </c>
      <c r="K1462" s="1">
        <v>0</v>
      </c>
      <c r="L1462" s="1">
        <v>5</v>
      </c>
      <c r="M1462" s="32">
        <f>IF(Mecze[[#This Row],[PR]]=0,0,Mecze[[#This Row],[PR]]/Mecze[[#This Row],[CZAS]])</f>
        <v>5.2083333333333336E-2</v>
      </c>
      <c r="N1462" s="32">
        <f>IF(Mecze[[#This Row],[OU]]=0,0,Mecze[[#This Row],[OU]]/Mecze[[#This Row],[CZAS]])</f>
        <v>2.0833333333333332E-2</v>
      </c>
      <c r="O1462" s="32">
        <f>IF(Mecze[[#This Row],[PC]]=0,0,Mecze[[#This Row],[PC]]/Mecze[[#This Row],[CZAS]])</f>
        <v>7.2916666666666671E-2</v>
      </c>
      <c r="P1462" s="32">
        <f>IF(Mecze[[#This Row],[SC]]=0,0,Mecze[[#This Row],[SC]]/Mecze[[#This Row],[CZAS]])</f>
        <v>0</v>
      </c>
      <c r="Q1462" s="32">
        <f>IF(Mecze[[#This Row],[OB]]=0,0,Mecze[[#This Row],[OB]]/Mecze[[#This Row],[CZAS]])</f>
        <v>0</v>
      </c>
      <c r="R1462" s="32">
        <f>IF(Mecze[[#This Row],[BR]]=0,0,Mecze[[#This Row],[BR]]/Mecze[[#This Row],[CZAS]])</f>
        <v>0</v>
      </c>
      <c r="S1462" s="44">
        <f>IF(Mecze[[#This Row],[Role]]="BR",SUMPRODUCT(Mecze[[#This Row],[/PR:90]:[/BR:90]],Brudnopis!$E$23:$J$23),0)</f>
        <v>0</v>
      </c>
      <c r="T1462" s="44">
        <f>IF(Mecze[[#This Row],[Role]]&lt;&gt;"BR",SUMPRODUCT(Mecze[[#This Row],[/PR:90]:[/BR:90]],Brudnopis!$E$24:$J$24),0)</f>
        <v>0.15625</v>
      </c>
      <c r="U1462" s="44">
        <f>IF(Mecze[[#This Row],[Role]]&lt;&gt;"BR",SUMPRODUCT(Mecze[[#This Row],[/PR:90]:[/BR:90]],Brudnopis!$E$25:$J$25),0)</f>
        <v>0.18229166666666669</v>
      </c>
      <c r="V1462" s="44">
        <f>IF(Mecze[[#This Row],[Role]]&lt;&gt;"BR",SUMPRODUCT(Mecze[[#This Row],[/PR:90]:[/BR:90]],Brudnopis!$E$26:$J$26),0)</f>
        <v>0.14583333333333334</v>
      </c>
      <c r="W1462" s="44">
        <f>IF(Mecze[[#This Row],[Role]]&lt;&gt;"BR",SUMPRODUCT(Mecze[[#This Row],[/PR:90]:[/BR:90]],Brudnopis!$E$27:$J$27),0)</f>
        <v>0.1640625</v>
      </c>
      <c r="X1462" s="44">
        <f>IF(Mecze[[#This Row],[Role]]&lt;&gt;"BR",SUMPRODUCT(Mecze[[#This Row],[/PR:90]:[/BR:90]],Brudnopis!$E$28:$J$28),0)</f>
        <v>7.2916666666666671E-2</v>
      </c>
      <c r="Y1462" s="35">
        <f>IF(Mecze[[#This Row],[Role]]="BR",Mecze[[#This Row],[/OB:90]]+Mecze[[#This Row],[/PC:90]],SUM(Mecze[[#This Row],[/PR:90]:[/BR:90]]))</f>
        <v>0.14583333333333334</v>
      </c>
      <c r="Z1462" s="35">
        <f>IF(Mecze[[#This Row],[KC]]=0,SUM(Mecze[[#This Row],[/BRI]:[/NPI]]),SUM(Mecze[[#This Row],[/BRI]:[/NPI]])*0.6)</f>
        <v>0.72135416666666663</v>
      </c>
      <c r="AA1462" s="10">
        <f>IFERROR(Mecze[[#This Row],[BR]]/Mecze[[#This Row],[ST]],0)</f>
        <v>0</v>
      </c>
      <c r="AB1462">
        <f>ROUND(Mecze[[#This Row],[PD]]*Mecze[[#This Row],[%PC]],0)</f>
        <v>7</v>
      </c>
      <c r="AC1462">
        <f>ROUND(Mecze[[#This Row],[OD]]*Mecze[[#This Row],[%OU]],0)</f>
        <v>2</v>
      </c>
      <c r="AD1462" s="36" t="s">
        <v>41</v>
      </c>
      <c r="AE1462" s="36">
        <v>80</v>
      </c>
      <c r="AF1462" s="71">
        <v>9.3000000000000007</v>
      </c>
      <c r="AG1462" s="37">
        <v>0</v>
      </c>
      <c r="AH1462" s="37">
        <v>0</v>
      </c>
      <c r="AI1462" s="37">
        <v>96</v>
      </c>
      <c r="AJ1462" s="37">
        <v>2</v>
      </c>
      <c r="AK1462" s="37" t="str">
        <f>VLOOKUP(Mecze[[#This Row],[Match ID]],Meczusie[Mecz]:Meczusie[RodzajMeczu],2,FALSE)</f>
        <v>Liga</v>
      </c>
    </row>
    <row r="1463" spans="1:37" x14ac:dyDescent="0.25">
      <c r="A1463" s="76">
        <v>7</v>
      </c>
      <c r="B1463" s="3" t="s">
        <v>226</v>
      </c>
      <c r="C1463" s="2" t="s">
        <v>160</v>
      </c>
      <c r="D1463" s="1">
        <v>0</v>
      </c>
      <c r="E1463" s="1">
        <v>0</v>
      </c>
      <c r="F1463" s="1">
        <v>0</v>
      </c>
      <c r="G1463" s="1">
        <v>16</v>
      </c>
      <c r="H1463" s="4">
        <v>0.81</v>
      </c>
      <c r="I1463" s="1">
        <v>3</v>
      </c>
      <c r="J1463" s="4">
        <v>0.33</v>
      </c>
      <c r="K1463" s="1">
        <v>0</v>
      </c>
      <c r="L1463" s="1">
        <v>10</v>
      </c>
      <c r="M1463" s="32">
        <f>IF(Mecze[[#This Row],[PR]]=0,0,Mecze[[#This Row],[PR]]/Mecze[[#This Row],[CZAS]])</f>
        <v>0.10416666666666667</v>
      </c>
      <c r="N1463" s="32">
        <f>IF(Mecze[[#This Row],[OU]]=0,0,Mecze[[#This Row],[OU]]/Mecze[[#This Row],[CZAS]])</f>
        <v>1.0416666666666666E-2</v>
      </c>
      <c r="O1463" s="32">
        <f>IF(Mecze[[#This Row],[PC]]=0,0,Mecze[[#This Row],[PC]]/Mecze[[#This Row],[CZAS]])</f>
        <v>0.13541666666666666</v>
      </c>
      <c r="P1463" s="32">
        <f>IF(Mecze[[#This Row],[SC]]=0,0,Mecze[[#This Row],[SC]]/Mecze[[#This Row],[CZAS]])</f>
        <v>0</v>
      </c>
      <c r="Q1463" s="32">
        <f>IF(Mecze[[#This Row],[OB]]=0,0,Mecze[[#This Row],[OB]]/Mecze[[#This Row],[CZAS]])</f>
        <v>0</v>
      </c>
      <c r="R1463" s="32">
        <f>IF(Mecze[[#This Row],[BR]]=0,0,Mecze[[#This Row],[BR]]/Mecze[[#This Row],[CZAS]])</f>
        <v>0</v>
      </c>
      <c r="S1463" s="44">
        <f>IF(Mecze[[#This Row],[Role]]="BR",SUMPRODUCT(Mecze[[#This Row],[/PR:90]:[/BR:90]],Brudnopis!$E$23:$J$23),0)</f>
        <v>0</v>
      </c>
      <c r="T1463" s="44">
        <f>IF(Mecze[[#This Row],[Role]]&lt;&gt;"BR",SUMPRODUCT(Mecze[[#This Row],[/PR:90]:[/BR:90]],Brudnopis!$E$24:$J$24),0)</f>
        <v>0.25520833333333331</v>
      </c>
      <c r="U1463" s="44">
        <f>IF(Mecze[[#This Row],[Role]]&lt;&gt;"BR",SUMPRODUCT(Mecze[[#This Row],[/PR:90]:[/BR:90]],Brudnopis!$E$25:$J$25),0)</f>
        <v>0.31770833333333337</v>
      </c>
      <c r="V1463" s="44">
        <f>IF(Mecze[[#This Row],[Role]]&lt;&gt;"BR",SUMPRODUCT(Mecze[[#This Row],[/PR:90]:[/BR:90]],Brudnopis!$E$26:$J$26),0)</f>
        <v>0.25</v>
      </c>
      <c r="W1463" s="44">
        <f>IF(Mecze[[#This Row],[Role]]&lt;&gt;"BR",SUMPRODUCT(Mecze[[#This Row],[/PR:90]:[/BR:90]],Brudnopis!$E$27:$J$27),0)</f>
        <v>0.2890625</v>
      </c>
      <c r="X1463" s="44">
        <f>IF(Mecze[[#This Row],[Role]]&lt;&gt;"BR",SUMPRODUCT(Mecze[[#This Row],[/PR:90]:[/BR:90]],Brudnopis!$E$28:$J$28),0)</f>
        <v>0.13541666666666666</v>
      </c>
      <c r="Y1463" s="35">
        <f>IF(Mecze[[#This Row],[Role]]="BR",Mecze[[#This Row],[/OB:90]]+Mecze[[#This Row],[/PC:90]],SUM(Mecze[[#This Row],[/PR:90]:[/BR:90]]))</f>
        <v>0.25</v>
      </c>
      <c r="Z1463" s="35">
        <f>IF(Mecze[[#This Row],[KC]]=0,SUM(Mecze[[#This Row],[/BRI]:[/NPI]]),SUM(Mecze[[#This Row],[/BRI]:[/NPI]])*0.6)</f>
        <v>1.2473958333333335</v>
      </c>
      <c r="AA1463" s="10">
        <f>IFERROR(Mecze[[#This Row],[BR]]/Mecze[[#This Row],[ST]],0)</f>
        <v>0</v>
      </c>
      <c r="AB1463">
        <f>ROUND(Mecze[[#This Row],[PD]]*Mecze[[#This Row],[%PC]],0)</f>
        <v>13</v>
      </c>
      <c r="AC1463">
        <f>ROUND(Mecze[[#This Row],[OD]]*Mecze[[#This Row],[%OU]],0)</f>
        <v>1</v>
      </c>
      <c r="AD1463" s="36" t="s">
        <v>41</v>
      </c>
      <c r="AE1463" s="36">
        <v>80</v>
      </c>
      <c r="AF1463" s="71">
        <v>11.26</v>
      </c>
      <c r="AG1463" s="37">
        <v>0</v>
      </c>
      <c r="AH1463" s="37">
        <v>0</v>
      </c>
      <c r="AI1463" s="37">
        <v>96</v>
      </c>
      <c r="AJ1463" s="37">
        <v>2</v>
      </c>
      <c r="AK1463" s="37" t="str">
        <f>VLOOKUP(Mecze[[#This Row],[Match ID]],Meczusie[Mecz]:Meczusie[RodzajMeczu],2,FALSE)</f>
        <v>Liga</v>
      </c>
    </row>
    <row r="1464" spans="1:37" x14ac:dyDescent="0.25">
      <c r="A1464" s="76">
        <v>9</v>
      </c>
      <c r="B1464" s="3" t="s">
        <v>227</v>
      </c>
      <c r="C1464" s="2" t="s">
        <v>160</v>
      </c>
      <c r="D1464" s="1">
        <v>0</v>
      </c>
      <c r="E1464" s="1">
        <v>0</v>
      </c>
      <c r="F1464" s="1">
        <v>0</v>
      </c>
      <c r="G1464" s="1">
        <v>16</v>
      </c>
      <c r="H1464" s="4">
        <v>0.88</v>
      </c>
      <c r="I1464" s="1">
        <v>4</v>
      </c>
      <c r="J1464" s="4">
        <v>0.5</v>
      </c>
      <c r="K1464" s="1">
        <v>0</v>
      </c>
      <c r="L1464" s="1">
        <v>7</v>
      </c>
      <c r="M1464" s="32">
        <f>IF(Mecze[[#This Row],[PR]]=0,0,Mecze[[#This Row],[PR]]/Mecze[[#This Row],[CZAS]])</f>
        <v>7.2916666666666671E-2</v>
      </c>
      <c r="N1464" s="32">
        <f>IF(Mecze[[#This Row],[OU]]=0,0,Mecze[[#This Row],[OU]]/Mecze[[#This Row],[CZAS]])</f>
        <v>2.0833333333333332E-2</v>
      </c>
      <c r="O1464" s="32">
        <f>IF(Mecze[[#This Row],[PC]]=0,0,Mecze[[#This Row],[PC]]/Mecze[[#This Row],[CZAS]])</f>
        <v>0.14583333333333334</v>
      </c>
      <c r="P1464" s="32">
        <f>IF(Mecze[[#This Row],[SC]]=0,0,Mecze[[#This Row],[SC]]/Mecze[[#This Row],[CZAS]])</f>
        <v>0</v>
      </c>
      <c r="Q1464" s="32">
        <f>IF(Mecze[[#This Row],[OB]]=0,0,Mecze[[#This Row],[OB]]/Mecze[[#This Row],[CZAS]])</f>
        <v>0</v>
      </c>
      <c r="R1464" s="32">
        <f>IF(Mecze[[#This Row],[BR]]=0,0,Mecze[[#This Row],[BR]]/Mecze[[#This Row],[CZAS]])</f>
        <v>0</v>
      </c>
      <c r="S1464" s="44">
        <f>IF(Mecze[[#This Row],[Role]]="BR",SUMPRODUCT(Mecze[[#This Row],[/PR:90]:[/BR:90]],Brudnopis!$E$23:$J$23),0)</f>
        <v>0</v>
      </c>
      <c r="T1464" s="44">
        <f>IF(Mecze[[#This Row],[Role]]&lt;&gt;"BR",SUMPRODUCT(Mecze[[#This Row],[/PR:90]:[/BR:90]],Brudnopis!$E$24:$J$24),0)</f>
        <v>0.25</v>
      </c>
      <c r="U1464" s="44">
        <f>IF(Mecze[[#This Row],[Role]]&lt;&gt;"BR",SUMPRODUCT(Mecze[[#This Row],[/PR:90]:[/BR:90]],Brudnopis!$E$25:$J$25),0)</f>
        <v>0.3125</v>
      </c>
      <c r="V1464" s="44">
        <f>IF(Mecze[[#This Row],[Role]]&lt;&gt;"BR",SUMPRODUCT(Mecze[[#This Row],[/PR:90]:[/BR:90]],Brudnopis!$E$26:$J$26),0)</f>
        <v>0.23958333333333334</v>
      </c>
      <c r="W1464" s="44">
        <f>IF(Mecze[[#This Row],[Role]]&lt;&gt;"BR",SUMPRODUCT(Mecze[[#This Row],[/PR:90]:[/BR:90]],Brudnopis!$E$27:$J$27),0)</f>
        <v>0.2890625</v>
      </c>
      <c r="X1464" s="44">
        <f>IF(Mecze[[#This Row],[Role]]&lt;&gt;"BR",SUMPRODUCT(Mecze[[#This Row],[/PR:90]:[/BR:90]],Brudnopis!$E$28:$J$28),0)</f>
        <v>0.14583333333333334</v>
      </c>
      <c r="Y1464" s="35">
        <f>IF(Mecze[[#This Row],[Role]]="BR",Mecze[[#This Row],[/OB:90]]+Mecze[[#This Row],[/PC:90]],SUM(Mecze[[#This Row],[/PR:90]:[/BR:90]]))</f>
        <v>0.23958333333333334</v>
      </c>
      <c r="Z1464" s="35">
        <f>IF(Mecze[[#This Row],[KC]]=0,SUM(Mecze[[#This Row],[/BRI]:[/NPI]]),SUM(Mecze[[#This Row],[/BRI]:[/NPI]])*0.6)</f>
        <v>1.2369791666666667</v>
      </c>
      <c r="AA1464" s="10">
        <f>IFERROR(Mecze[[#This Row],[BR]]/Mecze[[#This Row],[ST]],0)</f>
        <v>0</v>
      </c>
      <c r="AB1464">
        <f>ROUND(Mecze[[#This Row],[PD]]*Mecze[[#This Row],[%PC]],0)</f>
        <v>14</v>
      </c>
      <c r="AC1464">
        <f>ROUND(Mecze[[#This Row],[OD]]*Mecze[[#This Row],[%OU]],0)</f>
        <v>2</v>
      </c>
      <c r="AD1464" s="36" t="s">
        <v>67</v>
      </c>
      <c r="AE1464" s="36">
        <v>80</v>
      </c>
      <c r="AF1464" s="71">
        <v>10.63</v>
      </c>
      <c r="AG1464" s="37">
        <v>0</v>
      </c>
      <c r="AH1464" s="37">
        <v>0</v>
      </c>
      <c r="AI1464" s="37">
        <v>96</v>
      </c>
      <c r="AJ1464" s="37">
        <v>2</v>
      </c>
      <c r="AK1464" s="37" t="str">
        <f>VLOOKUP(Mecze[[#This Row],[Match ID]],Meczusie[Mecz]:Meczusie[RodzajMeczu],2,FALSE)</f>
        <v>Liga</v>
      </c>
    </row>
    <row r="1465" spans="1:37" x14ac:dyDescent="0.25">
      <c r="A1465" s="76">
        <v>8</v>
      </c>
      <c r="B1465" s="3" t="s">
        <v>228</v>
      </c>
      <c r="C1465" s="2" t="s">
        <v>160</v>
      </c>
      <c r="D1465" s="1">
        <v>0</v>
      </c>
      <c r="E1465" s="1">
        <v>0</v>
      </c>
      <c r="F1465" s="1">
        <v>0</v>
      </c>
      <c r="G1465" s="1">
        <v>5</v>
      </c>
      <c r="H1465" s="4">
        <v>0.8</v>
      </c>
      <c r="I1465" s="1">
        <v>3</v>
      </c>
      <c r="J1465" s="4">
        <v>0.33</v>
      </c>
      <c r="K1465" s="1">
        <v>0</v>
      </c>
      <c r="L1465" s="1">
        <v>0</v>
      </c>
      <c r="M1465" s="32">
        <f>IF(Mecze[[#This Row],[PR]]=0,0,Mecze[[#This Row],[PR]]/Mecze[[#This Row],[CZAS]])</f>
        <v>0</v>
      </c>
      <c r="N1465" s="32">
        <f>IF(Mecze[[#This Row],[OU]]=0,0,Mecze[[#This Row],[OU]]/Mecze[[#This Row],[CZAS]])</f>
        <v>1.0416666666666666E-2</v>
      </c>
      <c r="O1465" s="32">
        <f>IF(Mecze[[#This Row],[PC]]=0,0,Mecze[[#This Row],[PC]]/Mecze[[#This Row],[CZAS]])</f>
        <v>4.1666666666666664E-2</v>
      </c>
      <c r="P1465" s="32">
        <f>IF(Mecze[[#This Row],[SC]]=0,0,Mecze[[#This Row],[SC]]/Mecze[[#This Row],[CZAS]])</f>
        <v>0</v>
      </c>
      <c r="Q1465" s="32">
        <f>IF(Mecze[[#This Row],[OB]]=0,0,Mecze[[#This Row],[OB]]/Mecze[[#This Row],[CZAS]])</f>
        <v>0</v>
      </c>
      <c r="R1465" s="32">
        <f>IF(Mecze[[#This Row],[BR]]=0,0,Mecze[[#This Row],[BR]]/Mecze[[#This Row],[CZAS]])</f>
        <v>0</v>
      </c>
      <c r="S1465" s="44">
        <f>IF(Mecze[[#This Row],[Role]]="BR",SUMPRODUCT(Mecze[[#This Row],[/PR:90]:[/BR:90]],Brudnopis!$E$23:$J$23),0)</f>
        <v>0</v>
      </c>
      <c r="T1465" s="44">
        <f>IF(Mecze[[#This Row],[Role]]&lt;&gt;"BR",SUMPRODUCT(Mecze[[#This Row],[/PR:90]:[/BR:90]],Brudnopis!$E$24:$J$24),0)</f>
        <v>5.7291666666666664E-2</v>
      </c>
      <c r="U1465" s="44">
        <f>IF(Mecze[[#This Row],[Role]]&lt;&gt;"BR",SUMPRODUCT(Mecze[[#This Row],[/PR:90]:[/BR:90]],Brudnopis!$E$25:$J$25),0)</f>
        <v>7.2916666666666671E-2</v>
      </c>
      <c r="V1465" s="44">
        <f>IF(Mecze[[#This Row],[Role]]&lt;&gt;"BR",SUMPRODUCT(Mecze[[#This Row],[/PR:90]:[/BR:90]],Brudnopis!$E$26:$J$26),0)</f>
        <v>5.2083333333333329E-2</v>
      </c>
      <c r="W1465" s="44">
        <f>IF(Mecze[[#This Row],[Role]]&lt;&gt;"BR",SUMPRODUCT(Mecze[[#This Row],[/PR:90]:[/BR:90]],Brudnopis!$E$27:$J$27),0)</f>
        <v>7.03125E-2</v>
      </c>
      <c r="X1465" s="44">
        <f>IF(Mecze[[#This Row],[Role]]&lt;&gt;"BR",SUMPRODUCT(Mecze[[#This Row],[/PR:90]:[/BR:90]],Brudnopis!$E$28:$J$28),0)</f>
        <v>4.1666666666666664E-2</v>
      </c>
      <c r="Y1465" s="35">
        <f>IF(Mecze[[#This Row],[Role]]="BR",Mecze[[#This Row],[/OB:90]]+Mecze[[#This Row],[/PC:90]],SUM(Mecze[[#This Row],[/PR:90]:[/BR:90]]))</f>
        <v>5.2083333333333329E-2</v>
      </c>
      <c r="Z1465" s="35">
        <f>IF(Mecze[[#This Row],[KC]]=0,SUM(Mecze[[#This Row],[/BRI]:[/NPI]]),SUM(Mecze[[#This Row],[/BRI]:[/NPI]])*0.6)</f>
        <v>0.29427083333333337</v>
      </c>
      <c r="AA1465" s="10">
        <f>IFERROR(Mecze[[#This Row],[BR]]/Mecze[[#This Row],[ST]],0)</f>
        <v>0</v>
      </c>
      <c r="AB1465">
        <f>ROUND(Mecze[[#This Row],[PD]]*Mecze[[#This Row],[%PC]],0)</f>
        <v>4</v>
      </c>
      <c r="AC1465">
        <f>ROUND(Mecze[[#This Row],[OD]]*Mecze[[#This Row],[%OU]],0)</f>
        <v>1</v>
      </c>
      <c r="AD1465" s="36" t="s">
        <v>171</v>
      </c>
      <c r="AE1465" s="36">
        <v>80</v>
      </c>
      <c r="AF1465" s="71">
        <v>9.16</v>
      </c>
      <c r="AG1465" s="37">
        <v>0</v>
      </c>
      <c r="AH1465" s="37">
        <v>0</v>
      </c>
      <c r="AI1465" s="37">
        <v>96</v>
      </c>
      <c r="AJ1465" s="37">
        <v>2</v>
      </c>
      <c r="AK1465" s="37" t="str">
        <f>VLOOKUP(Mecze[[#This Row],[Match ID]],Meczusie[Mecz]:Meczusie[RodzajMeczu],2,FALSE)</f>
        <v>Liga</v>
      </c>
    </row>
    <row r="1466" spans="1:37" x14ac:dyDescent="0.25">
      <c r="A1466" s="76">
        <v>11</v>
      </c>
      <c r="B1466" s="3" t="s">
        <v>229</v>
      </c>
      <c r="C1466" s="2" t="s">
        <v>165</v>
      </c>
      <c r="D1466" s="1">
        <v>5</v>
      </c>
      <c r="E1466" s="1">
        <v>19</v>
      </c>
      <c r="F1466" s="1">
        <v>16</v>
      </c>
      <c r="G1466" s="1">
        <v>2</v>
      </c>
      <c r="H1466" s="4">
        <v>0</v>
      </c>
      <c r="I1466" s="1">
        <v>1</v>
      </c>
      <c r="J1466" s="4">
        <v>0</v>
      </c>
      <c r="K1466" s="1">
        <v>0</v>
      </c>
      <c r="L1466" s="1">
        <v>1</v>
      </c>
      <c r="M1466" s="32">
        <f>IF(Mecze[[#This Row],[PR]]=0,0,Mecze[[#This Row],[PR]]/Mecze[[#This Row],[CZAS]])</f>
        <v>1.7543859649122806E-2</v>
      </c>
      <c r="N1466" s="32">
        <f>IF(Mecze[[#This Row],[OU]]=0,0,Mecze[[#This Row],[OU]]/Mecze[[#This Row],[CZAS]])</f>
        <v>0</v>
      </c>
      <c r="O1466" s="32">
        <f>IF(Mecze[[#This Row],[PC]]=0,0,Mecze[[#This Row],[PC]]/Mecze[[#This Row],[CZAS]])</f>
        <v>0</v>
      </c>
      <c r="P1466" s="32">
        <f>IF(Mecze[[#This Row],[SC]]=0,0,Mecze[[#This Row],[SC]]/Mecze[[#This Row],[CZAS]])</f>
        <v>0.2807017543859649</v>
      </c>
      <c r="Q1466" s="32">
        <f>IF(Mecze[[#This Row],[OB]]=0,0,Mecze[[#This Row],[OB]]/Mecze[[#This Row],[CZAS]])</f>
        <v>0</v>
      </c>
      <c r="R1466" s="32">
        <f>IF(Mecze[[#This Row],[BR]]=0,0,Mecze[[#This Row],[BR]]/Mecze[[#This Row],[CZAS]])</f>
        <v>8.771929824561403E-2</v>
      </c>
      <c r="S1466" s="44">
        <f>IF(Mecze[[#This Row],[Role]]="BR",SUMPRODUCT(Mecze[[#This Row],[/PR:90]:[/BR:90]],Brudnopis!$E$23:$J$23),0)</f>
        <v>0</v>
      </c>
      <c r="T1466" s="44">
        <f>IF(Mecze[[#This Row],[Role]]&lt;&gt;"BR",SUMPRODUCT(Mecze[[#This Row],[/PR:90]:[/BR:90]],Brudnopis!$E$24:$J$24),0)</f>
        <v>0.42982456140350878</v>
      </c>
      <c r="U1466" s="44">
        <f>IF(Mecze[[#This Row],[Role]]&lt;&gt;"BR",SUMPRODUCT(Mecze[[#This Row],[/PR:90]:[/BR:90]],Brudnopis!$E$25:$J$25),0)</f>
        <v>0.42982456140350878</v>
      </c>
      <c r="V1466" s="44">
        <f>IF(Mecze[[#This Row],[Role]]&lt;&gt;"BR",SUMPRODUCT(Mecze[[#This Row],[/PR:90]:[/BR:90]],Brudnopis!$E$26:$J$26),0)</f>
        <v>0.47368421052631576</v>
      </c>
      <c r="W1466" s="44">
        <f>IF(Mecze[[#This Row],[Role]]&lt;&gt;"BR",SUMPRODUCT(Mecze[[#This Row],[/PR:90]:[/BR:90]],Brudnopis!$E$27:$J$27),0)</f>
        <v>0.46929824561403505</v>
      </c>
      <c r="X1466" s="44">
        <f>IF(Mecze[[#This Row],[Role]]&lt;&gt;"BR",SUMPRODUCT(Mecze[[#This Row],[/PR:90]:[/BR:90]],Brudnopis!$E$28:$J$28),0)</f>
        <v>0.82456140350877183</v>
      </c>
      <c r="Y1466" s="35">
        <f>IF(Mecze[[#This Row],[Role]]="BR",Mecze[[#This Row],[/OB:90]]+Mecze[[#This Row],[/PC:90]],SUM(Mecze[[#This Row],[/PR:90]:[/BR:90]]))</f>
        <v>0.38596491228070173</v>
      </c>
      <c r="Z1466" s="35">
        <f>IF(Mecze[[#This Row],[KC]]=0,SUM(Mecze[[#This Row],[/BRI]:[/NPI]]),SUM(Mecze[[#This Row],[/BRI]:[/NPI]])*0.6)</f>
        <v>2.6271929824561404</v>
      </c>
      <c r="AA1466" s="10">
        <f>IFERROR(Mecze[[#This Row],[BR]]/Mecze[[#This Row],[ST]],0)</f>
        <v>0.26315789473684209</v>
      </c>
      <c r="AB1466">
        <f>ROUND(Mecze[[#This Row],[PD]]*Mecze[[#This Row],[%PC]],0)</f>
        <v>0</v>
      </c>
      <c r="AC1466">
        <f>ROUND(Mecze[[#This Row],[OD]]*Mecze[[#This Row],[%OU]],0)</f>
        <v>0</v>
      </c>
      <c r="AD1466" s="36" t="s">
        <v>46</v>
      </c>
      <c r="AE1466" s="36">
        <v>80</v>
      </c>
      <c r="AF1466" s="71">
        <v>16.739999999999998</v>
      </c>
      <c r="AG1466" s="37">
        <v>0</v>
      </c>
      <c r="AH1466" s="37">
        <v>0</v>
      </c>
      <c r="AI1466" s="37">
        <v>57</v>
      </c>
      <c r="AJ1466" s="37">
        <v>2</v>
      </c>
      <c r="AK1466" s="37" t="str">
        <f>VLOOKUP(Mecze[[#This Row],[Match ID]],Meczusie[Mecz]:Meczusie[RodzajMeczu],2,FALSE)</f>
        <v>Liga</v>
      </c>
    </row>
    <row r="1467" spans="1:37" x14ac:dyDescent="0.25">
      <c r="A1467" s="76">
        <v>10</v>
      </c>
      <c r="B1467" s="3" t="s">
        <v>230</v>
      </c>
      <c r="C1467" s="2" t="s">
        <v>165</v>
      </c>
      <c r="D1467" s="1">
        <v>0</v>
      </c>
      <c r="E1467" s="1">
        <v>0</v>
      </c>
      <c r="F1467" s="1">
        <v>0</v>
      </c>
      <c r="G1467" s="1">
        <v>16</v>
      </c>
      <c r="H1467" s="4">
        <v>0.94</v>
      </c>
      <c r="I1467" s="1">
        <v>1</v>
      </c>
      <c r="J1467" s="4">
        <v>0</v>
      </c>
      <c r="K1467" s="1">
        <v>0</v>
      </c>
      <c r="L1467" s="1">
        <v>0</v>
      </c>
      <c r="M1467" s="32">
        <f>IF(Mecze[[#This Row],[PR]]=0,0,Mecze[[#This Row],[PR]]/Mecze[[#This Row],[CZAS]])</f>
        <v>0</v>
      </c>
      <c r="N1467" s="32">
        <f>IF(Mecze[[#This Row],[OU]]=0,0,Mecze[[#This Row],[OU]]/Mecze[[#This Row],[CZAS]])</f>
        <v>0</v>
      </c>
      <c r="O1467" s="32">
        <f>IF(Mecze[[#This Row],[PC]]=0,0,Mecze[[#This Row],[PC]]/Mecze[[#This Row],[CZAS]])</f>
        <v>0.15625</v>
      </c>
      <c r="P1467" s="32">
        <f>IF(Mecze[[#This Row],[SC]]=0,0,Mecze[[#This Row],[SC]]/Mecze[[#This Row],[CZAS]])</f>
        <v>0</v>
      </c>
      <c r="Q1467" s="32">
        <f>IF(Mecze[[#This Row],[OB]]=0,0,Mecze[[#This Row],[OB]]/Mecze[[#This Row],[CZAS]])</f>
        <v>0</v>
      </c>
      <c r="R1467" s="32">
        <f>IF(Mecze[[#This Row],[BR]]=0,0,Mecze[[#This Row],[BR]]/Mecze[[#This Row],[CZAS]])</f>
        <v>0</v>
      </c>
      <c r="S1467" s="44">
        <f>IF(Mecze[[#This Row],[Role]]="BR",SUMPRODUCT(Mecze[[#This Row],[/PR:90]:[/BR:90]],Brudnopis!$E$23:$J$23),0)</f>
        <v>0</v>
      </c>
      <c r="T1467" s="44">
        <f>IF(Mecze[[#This Row],[Role]]&lt;&gt;"BR",SUMPRODUCT(Mecze[[#This Row],[/PR:90]:[/BR:90]],Brudnopis!$E$24:$J$24),0)</f>
        <v>0.15625</v>
      </c>
      <c r="U1467" s="44">
        <f>IF(Mecze[[#This Row],[Role]]&lt;&gt;"BR",SUMPRODUCT(Mecze[[#This Row],[/PR:90]:[/BR:90]],Brudnopis!$E$25:$J$25),0)</f>
        <v>0.234375</v>
      </c>
      <c r="V1467" s="44">
        <f>IF(Mecze[[#This Row],[Role]]&lt;&gt;"BR",SUMPRODUCT(Mecze[[#This Row],[/PR:90]:[/BR:90]],Brudnopis!$E$26:$J$26),0)</f>
        <v>0.15625</v>
      </c>
      <c r="W1467" s="44">
        <f>IF(Mecze[[#This Row],[Role]]&lt;&gt;"BR",SUMPRODUCT(Mecze[[#This Row],[/PR:90]:[/BR:90]],Brudnopis!$E$27:$J$27),0)</f>
        <v>0.234375</v>
      </c>
      <c r="X1467" s="44">
        <f>IF(Mecze[[#This Row],[Role]]&lt;&gt;"BR",SUMPRODUCT(Mecze[[#This Row],[/PR:90]:[/BR:90]],Brudnopis!$E$28:$J$28),0)</f>
        <v>0.15625</v>
      </c>
      <c r="Y1467" s="35">
        <f>IF(Mecze[[#This Row],[Role]]="BR",Mecze[[#This Row],[/OB:90]]+Mecze[[#This Row],[/PC:90]],SUM(Mecze[[#This Row],[/PR:90]:[/BR:90]]))</f>
        <v>0.15625</v>
      </c>
      <c r="Z1467" s="35">
        <f>IF(Mecze[[#This Row],[KC]]=0,SUM(Mecze[[#This Row],[/BRI]:[/NPI]]),SUM(Mecze[[#This Row],[/BRI]:[/NPI]])*0.6)</f>
        <v>0.9375</v>
      </c>
      <c r="AA1467" s="10">
        <f>IFERROR(Mecze[[#This Row],[BR]]/Mecze[[#This Row],[ST]],0)</f>
        <v>0</v>
      </c>
      <c r="AB1467">
        <f>ROUND(Mecze[[#This Row],[PD]]*Mecze[[#This Row],[%PC]],0)</f>
        <v>15</v>
      </c>
      <c r="AC1467">
        <f>ROUND(Mecze[[#This Row],[OD]]*Mecze[[#This Row],[%OU]],0)</f>
        <v>0</v>
      </c>
      <c r="AD1467" s="36" t="s">
        <v>232</v>
      </c>
      <c r="AE1467" s="36">
        <v>80</v>
      </c>
      <c r="AF1467" s="71">
        <v>6.18</v>
      </c>
      <c r="AG1467" s="37">
        <v>0</v>
      </c>
      <c r="AH1467" s="37">
        <v>0</v>
      </c>
      <c r="AI1467" s="37">
        <v>96</v>
      </c>
      <c r="AJ1467" s="37">
        <v>2</v>
      </c>
      <c r="AK1467" s="37" t="str">
        <f>VLOOKUP(Mecze[[#This Row],[Match ID]],Meczusie[Mecz]:Meczusie[RodzajMeczu],2,FALSE)</f>
        <v>Liga</v>
      </c>
    </row>
    <row r="1468" spans="1:37" x14ac:dyDescent="0.25">
      <c r="A1468" s="76">
        <v>12</v>
      </c>
      <c r="B1468" s="3" t="s">
        <v>231</v>
      </c>
      <c r="C1468" s="2" t="s">
        <v>165</v>
      </c>
      <c r="D1468" s="1">
        <v>2</v>
      </c>
      <c r="E1468" s="1">
        <v>8</v>
      </c>
      <c r="F1468" s="1">
        <v>8</v>
      </c>
      <c r="G1468" s="1">
        <v>2</v>
      </c>
      <c r="H1468" s="4">
        <v>0.5</v>
      </c>
      <c r="I1468" s="1">
        <v>1</v>
      </c>
      <c r="J1468" s="4">
        <v>0</v>
      </c>
      <c r="K1468" s="1">
        <v>0</v>
      </c>
      <c r="L1468" s="1">
        <v>0</v>
      </c>
      <c r="M1468" s="32">
        <f>IF(Mecze[[#This Row],[PR]]=0,0,Mecze[[#This Row],[PR]]/Mecze[[#This Row],[CZAS]])</f>
        <v>0</v>
      </c>
      <c r="N1468" s="32">
        <f>IF(Mecze[[#This Row],[OU]]=0,0,Mecze[[#This Row],[OU]]/Mecze[[#This Row],[CZAS]])</f>
        <v>0</v>
      </c>
      <c r="O1468" s="32">
        <f>IF(Mecze[[#This Row],[PC]]=0,0,Mecze[[#This Row],[PC]]/Mecze[[#This Row],[CZAS]])</f>
        <v>2.564102564102564E-2</v>
      </c>
      <c r="P1468" s="32">
        <f>IF(Mecze[[#This Row],[SC]]=0,0,Mecze[[#This Row],[SC]]/Mecze[[#This Row],[CZAS]])</f>
        <v>0.20512820512820512</v>
      </c>
      <c r="Q1468" s="32">
        <f>IF(Mecze[[#This Row],[OB]]=0,0,Mecze[[#This Row],[OB]]/Mecze[[#This Row],[CZAS]])</f>
        <v>0</v>
      </c>
      <c r="R1468" s="32">
        <f>IF(Mecze[[#This Row],[BR]]=0,0,Mecze[[#This Row],[BR]]/Mecze[[#This Row],[CZAS]])</f>
        <v>5.128205128205128E-2</v>
      </c>
      <c r="S1468" s="44">
        <f>IF(Mecze[[#This Row],[Role]]="BR",SUMPRODUCT(Mecze[[#This Row],[/PR:90]:[/BR:90]],Brudnopis!$E$23:$J$23),0)</f>
        <v>0</v>
      </c>
      <c r="T1468" s="44">
        <f>IF(Mecze[[#This Row],[Role]]&lt;&gt;"BR",SUMPRODUCT(Mecze[[#This Row],[/PR:90]:[/BR:90]],Brudnopis!$E$24:$J$24),0)</f>
        <v>0.30769230769230771</v>
      </c>
      <c r="U1468" s="44">
        <f>IF(Mecze[[#This Row],[Role]]&lt;&gt;"BR",SUMPRODUCT(Mecze[[#This Row],[/PR:90]:[/BR:90]],Brudnopis!$E$25:$J$25),0)</f>
        <v>0.32051282051282048</v>
      </c>
      <c r="V1468" s="44">
        <f>IF(Mecze[[#This Row],[Role]]&lt;&gt;"BR",SUMPRODUCT(Mecze[[#This Row],[/PR:90]:[/BR:90]],Brudnopis!$E$26:$J$26),0)</f>
        <v>0.33333333333333331</v>
      </c>
      <c r="W1468" s="44">
        <f>IF(Mecze[[#This Row],[Role]]&lt;&gt;"BR",SUMPRODUCT(Mecze[[#This Row],[/PR:90]:[/BR:90]],Brudnopis!$E$27:$J$27),0)</f>
        <v>0.34615384615384615</v>
      </c>
      <c r="X1468" s="44">
        <f>IF(Mecze[[#This Row],[Role]]&lt;&gt;"BR",SUMPRODUCT(Mecze[[#This Row],[/PR:90]:[/BR:90]],Brudnopis!$E$28:$J$28),0)</f>
        <v>0.58974358974358976</v>
      </c>
      <c r="Y1468" s="35">
        <f>IF(Mecze[[#This Row],[Role]]="BR",Mecze[[#This Row],[/OB:90]]+Mecze[[#This Row],[/PC:90]],SUM(Mecze[[#This Row],[/PR:90]:[/BR:90]]))</f>
        <v>0.28205128205128205</v>
      </c>
      <c r="Z1468" s="35">
        <f>IF(Mecze[[#This Row],[KC]]=0,SUM(Mecze[[#This Row],[/BRI]:[/NPI]]),SUM(Mecze[[#This Row],[/BRI]:[/NPI]])*0.6)</f>
        <v>1.8974358974358974</v>
      </c>
      <c r="AA1468" s="10">
        <f>IFERROR(Mecze[[#This Row],[BR]]/Mecze[[#This Row],[ST]],0)</f>
        <v>0.25</v>
      </c>
      <c r="AB1468">
        <f>ROUND(Mecze[[#This Row],[PD]]*Mecze[[#This Row],[%PC]],0)</f>
        <v>1</v>
      </c>
      <c r="AC1468">
        <f>ROUND(Mecze[[#This Row],[OD]]*Mecze[[#This Row],[%OU]],0)</f>
        <v>0</v>
      </c>
      <c r="AD1468" s="36" t="s">
        <v>46</v>
      </c>
      <c r="AE1468" s="36">
        <v>80</v>
      </c>
      <c r="AF1468" s="71">
        <v>8.08</v>
      </c>
      <c r="AG1468" s="37">
        <v>0</v>
      </c>
      <c r="AH1468" s="37">
        <v>0</v>
      </c>
      <c r="AI1468" s="37">
        <v>39</v>
      </c>
      <c r="AJ1468" s="37">
        <v>2</v>
      </c>
      <c r="AK1468" s="37" t="str">
        <f>VLOOKUP(Mecze[[#This Row],[Match ID]],Meczusie[Mecz]:Meczusie[RodzajMeczu],2,FALSE)</f>
        <v>Liga</v>
      </c>
    </row>
    <row r="1469" spans="1:37" x14ac:dyDescent="0.25">
      <c r="A1469" s="76">
        <v>1</v>
      </c>
      <c r="B1469" s="3" t="s">
        <v>304</v>
      </c>
      <c r="C1469" s="2" t="s">
        <v>155</v>
      </c>
      <c r="D1469" s="1">
        <v>0</v>
      </c>
      <c r="E1469" s="1">
        <v>0</v>
      </c>
      <c r="F1469" s="1">
        <v>0</v>
      </c>
      <c r="G1469" s="1">
        <v>12</v>
      </c>
      <c r="H1469" s="4">
        <v>0.42</v>
      </c>
      <c r="I1469" s="1">
        <v>0</v>
      </c>
      <c r="J1469" s="4"/>
      <c r="K1469" s="1">
        <v>14</v>
      </c>
      <c r="L1469" s="1">
        <v>0</v>
      </c>
      <c r="M1469" s="32">
        <f>IF(Mecze[[#This Row],[PR]]=0,0,Mecze[[#This Row],[PR]]/Mecze[[#This Row],[CZAS]])</f>
        <v>0</v>
      </c>
      <c r="N1469" s="32">
        <f>IF(Mecze[[#This Row],[OU]]=0,0,Mecze[[#This Row],[OU]]/Mecze[[#This Row],[CZAS]])</f>
        <v>0</v>
      </c>
      <c r="O1469" s="32">
        <f>IF(Mecze[[#This Row],[PC]]=0,0,Mecze[[#This Row],[PC]]/Mecze[[#This Row],[CZAS]])</f>
        <v>5.1546391752577317E-2</v>
      </c>
      <c r="P1469" s="32">
        <f>IF(Mecze[[#This Row],[SC]]=0,0,Mecze[[#This Row],[SC]]/Mecze[[#This Row],[CZAS]])</f>
        <v>0</v>
      </c>
      <c r="Q1469" s="32">
        <f>IF(Mecze[[#This Row],[OB]]=0,0,Mecze[[#This Row],[OB]]/Mecze[[#This Row],[CZAS]])</f>
        <v>0.14432989690721648</v>
      </c>
      <c r="R1469" s="32">
        <f>IF(Mecze[[#This Row],[BR]]=0,0,Mecze[[#This Row],[BR]]/Mecze[[#This Row],[CZAS]])</f>
        <v>0</v>
      </c>
      <c r="S1469" s="44">
        <f>IF(Mecze[[#This Row],[Role]]="BR",SUMPRODUCT(Mecze[[#This Row],[/PR:90]:[/BR:90]],Brudnopis!$E$23:$J$23),0)</f>
        <v>0.58762886597938135</v>
      </c>
      <c r="T1469" s="44">
        <f>IF(Mecze[[#This Row],[Role]]&lt;&gt;"BR",SUMPRODUCT(Mecze[[#This Row],[/PR:90]:[/BR:90]],Brudnopis!$E$24:$J$24),0)</f>
        <v>0</v>
      </c>
      <c r="U1469" s="44">
        <f>IF(Mecze[[#This Row],[Role]]&lt;&gt;"BR",SUMPRODUCT(Mecze[[#This Row],[/PR:90]:[/BR:90]],Brudnopis!$E$25:$J$25),0)</f>
        <v>0</v>
      </c>
      <c r="V1469" s="44">
        <f>IF(Mecze[[#This Row],[Role]]&lt;&gt;"BR",SUMPRODUCT(Mecze[[#This Row],[/PR:90]:[/BR:90]],Brudnopis!$E$26:$J$26),0)</f>
        <v>0</v>
      </c>
      <c r="W1469" s="44">
        <f>IF(Mecze[[#This Row],[Role]]&lt;&gt;"BR",SUMPRODUCT(Mecze[[#This Row],[/PR:90]:[/BR:90]],Brudnopis!$E$27:$J$27),0)</f>
        <v>0</v>
      </c>
      <c r="X1469" s="44">
        <f>IF(Mecze[[#This Row],[Role]]&lt;&gt;"BR",SUMPRODUCT(Mecze[[#This Row],[/PR:90]:[/BR:90]],Brudnopis!$E$28:$J$28),0)</f>
        <v>0</v>
      </c>
      <c r="Y1469" s="35">
        <f>IF(Mecze[[#This Row],[Role]]="BR",Mecze[[#This Row],[/OB:90]]+Mecze[[#This Row],[/PC:90]],SUM(Mecze[[#This Row],[/PR:90]:[/BR:90]]))</f>
        <v>0.19587628865979378</v>
      </c>
      <c r="Z1469" s="35">
        <f>IF(Mecze[[#This Row],[KC]]=0,SUM(Mecze[[#This Row],[/BRI]:[/NPI]]),SUM(Mecze[[#This Row],[/BRI]:[/NPI]])*0.6)</f>
        <v>0.58762886597938135</v>
      </c>
      <c r="AA1469" s="10">
        <f>IFERROR(Mecze[[#This Row],[BR]]/Mecze[[#This Row],[ST]],0)</f>
        <v>0</v>
      </c>
      <c r="AB1469">
        <f>ROUND(Mecze[[#This Row],[PD]]*Mecze[[#This Row],[%PC]],0)</f>
        <v>5</v>
      </c>
      <c r="AC1469">
        <f>ROUND(Mecze[[#This Row],[OD]]*Mecze[[#This Row],[%OU]],0)</f>
        <v>0</v>
      </c>
      <c r="AD1469" s="36" t="s">
        <v>40</v>
      </c>
      <c r="AE1469" s="36">
        <v>81</v>
      </c>
      <c r="AF1469" s="71">
        <v>8.82</v>
      </c>
      <c r="AG1469" s="37">
        <v>0</v>
      </c>
      <c r="AH1469" s="37">
        <v>0</v>
      </c>
      <c r="AI1469" s="37">
        <v>97</v>
      </c>
      <c r="AJ1469" s="37">
        <v>8</v>
      </c>
      <c r="AK1469" s="37" t="str">
        <f>VLOOKUP(Mecze[[#This Row],[Match ID]],Meczusie[Mecz]:Meczusie[RodzajMeczu],2,FALSE)</f>
        <v>Liga</v>
      </c>
    </row>
    <row r="1470" spans="1:37" x14ac:dyDescent="0.25">
      <c r="A1470" s="76">
        <v>5</v>
      </c>
      <c r="B1470" s="3" t="s">
        <v>305</v>
      </c>
      <c r="C1470" s="2" t="s">
        <v>157</v>
      </c>
      <c r="D1470" s="1">
        <v>0</v>
      </c>
      <c r="E1470" s="1">
        <v>0</v>
      </c>
      <c r="F1470" s="1">
        <v>0</v>
      </c>
      <c r="G1470" s="1">
        <v>5</v>
      </c>
      <c r="H1470" s="4">
        <v>0.8</v>
      </c>
      <c r="I1470" s="1">
        <v>8</v>
      </c>
      <c r="J1470" s="4">
        <v>0.5</v>
      </c>
      <c r="K1470" s="1">
        <v>0</v>
      </c>
      <c r="L1470" s="1">
        <v>0</v>
      </c>
      <c r="M1470" s="32">
        <f>IF(Mecze[[#This Row],[PR]]=0,0,Mecze[[#This Row],[PR]]/Mecze[[#This Row],[CZAS]])</f>
        <v>0</v>
      </c>
      <c r="N1470" s="32">
        <f>IF(Mecze[[#This Row],[OU]]=0,0,Mecze[[#This Row],[OU]]/Mecze[[#This Row],[CZAS]])</f>
        <v>4.1237113402061855E-2</v>
      </c>
      <c r="O1470" s="32">
        <f>IF(Mecze[[#This Row],[PC]]=0,0,Mecze[[#This Row],[PC]]/Mecze[[#This Row],[CZAS]])</f>
        <v>4.1237113402061855E-2</v>
      </c>
      <c r="P1470" s="32">
        <f>IF(Mecze[[#This Row],[SC]]=0,0,Mecze[[#This Row],[SC]]/Mecze[[#This Row],[CZAS]])</f>
        <v>0</v>
      </c>
      <c r="Q1470" s="32">
        <f>IF(Mecze[[#This Row],[OB]]=0,0,Mecze[[#This Row],[OB]]/Mecze[[#This Row],[CZAS]])</f>
        <v>0</v>
      </c>
      <c r="R1470" s="32">
        <f>IF(Mecze[[#This Row],[BR]]=0,0,Mecze[[#This Row],[BR]]/Mecze[[#This Row],[CZAS]])</f>
        <v>0</v>
      </c>
      <c r="S1470" s="44">
        <f>IF(Mecze[[#This Row],[Role]]="BR",SUMPRODUCT(Mecze[[#This Row],[/PR:90]:[/BR:90]],Brudnopis!$E$23:$J$23),0)</f>
        <v>0</v>
      </c>
      <c r="T1470" s="44">
        <f>IF(Mecze[[#This Row],[Role]]&lt;&gt;"BR",SUMPRODUCT(Mecze[[#This Row],[/PR:90]:[/BR:90]],Brudnopis!$E$24:$J$24),0)</f>
        <v>0.10309278350515463</v>
      </c>
      <c r="U1470" s="44">
        <f>IF(Mecze[[#This Row],[Role]]&lt;&gt;"BR",SUMPRODUCT(Mecze[[#This Row],[/PR:90]:[/BR:90]],Brudnopis!$E$25:$J$25),0)</f>
        <v>0.10309278350515463</v>
      </c>
      <c r="V1470" s="44">
        <f>IF(Mecze[[#This Row],[Role]]&lt;&gt;"BR",SUMPRODUCT(Mecze[[#This Row],[/PR:90]:[/BR:90]],Brudnopis!$E$26:$J$26),0)</f>
        <v>8.247422680412371E-2</v>
      </c>
      <c r="W1470" s="44">
        <f>IF(Mecze[[#This Row],[Role]]&lt;&gt;"BR",SUMPRODUCT(Mecze[[#This Row],[/PR:90]:[/BR:90]],Brudnopis!$E$27:$J$27),0)</f>
        <v>9.2783505154639179E-2</v>
      </c>
      <c r="X1470" s="44">
        <f>IF(Mecze[[#This Row],[Role]]&lt;&gt;"BR",SUMPRODUCT(Mecze[[#This Row],[/PR:90]:[/BR:90]],Brudnopis!$E$28:$J$28),0)</f>
        <v>4.1237113402061855E-2</v>
      </c>
      <c r="Y1470" s="35">
        <f>IF(Mecze[[#This Row],[Role]]="BR",Mecze[[#This Row],[/OB:90]]+Mecze[[#This Row],[/PC:90]],SUM(Mecze[[#This Row],[/PR:90]:[/BR:90]]))</f>
        <v>8.247422680412371E-2</v>
      </c>
      <c r="Z1470" s="35">
        <f>IF(Mecze[[#This Row],[KC]]=0,SUM(Mecze[[#This Row],[/BRI]:[/NPI]]),SUM(Mecze[[#This Row],[/BRI]:[/NPI]])*0.6)</f>
        <v>0.42268041237113402</v>
      </c>
      <c r="AA1470" s="10">
        <f>IFERROR(Mecze[[#This Row],[BR]]/Mecze[[#This Row],[ST]],0)</f>
        <v>0</v>
      </c>
      <c r="AB1470">
        <f>ROUND(Mecze[[#This Row],[PD]]*Mecze[[#This Row],[%PC]],0)</f>
        <v>4</v>
      </c>
      <c r="AC1470">
        <f>ROUND(Mecze[[#This Row],[OD]]*Mecze[[#This Row],[%OU]],0)</f>
        <v>4</v>
      </c>
      <c r="AD1470" s="36" t="s">
        <v>47</v>
      </c>
      <c r="AE1470" s="36">
        <v>81</v>
      </c>
      <c r="AF1470" s="71">
        <v>5.04</v>
      </c>
      <c r="AG1470" s="37">
        <v>0</v>
      </c>
      <c r="AH1470" s="37">
        <v>0</v>
      </c>
      <c r="AI1470" s="37">
        <v>97</v>
      </c>
      <c r="AJ1470" s="37">
        <v>8</v>
      </c>
      <c r="AK1470" s="37" t="str">
        <f>VLOOKUP(Mecze[[#This Row],[Match ID]],Meczusie[Mecz]:Meczusie[RodzajMeczu],2,FALSE)</f>
        <v>Liga</v>
      </c>
    </row>
    <row r="1471" spans="1:37" x14ac:dyDescent="0.25">
      <c r="A1471" s="76">
        <v>23</v>
      </c>
      <c r="B1471" s="3" t="s">
        <v>306</v>
      </c>
      <c r="C1471" s="2" t="s">
        <v>157</v>
      </c>
      <c r="D1471" s="1">
        <v>0</v>
      </c>
      <c r="E1471" s="1">
        <v>0</v>
      </c>
      <c r="F1471" s="1">
        <v>0</v>
      </c>
      <c r="G1471" s="1">
        <v>4</v>
      </c>
      <c r="H1471" s="4">
        <v>0.5</v>
      </c>
      <c r="I1471" s="1">
        <v>5</v>
      </c>
      <c r="J1471" s="4">
        <v>0.2</v>
      </c>
      <c r="K1471" s="1">
        <v>0</v>
      </c>
      <c r="L1471" s="1">
        <v>7</v>
      </c>
      <c r="M1471" s="32">
        <f>IF(Mecze[[#This Row],[PR]]=0,0,Mecze[[#This Row],[PR]]/Mecze[[#This Row],[CZAS]])</f>
        <v>7.2164948453608241E-2</v>
      </c>
      <c r="N1471" s="32">
        <f>IF(Mecze[[#This Row],[OU]]=0,0,Mecze[[#This Row],[OU]]/Mecze[[#This Row],[CZAS]])</f>
        <v>1.0309278350515464E-2</v>
      </c>
      <c r="O1471" s="32">
        <f>IF(Mecze[[#This Row],[PC]]=0,0,Mecze[[#This Row],[PC]]/Mecze[[#This Row],[CZAS]])</f>
        <v>2.0618556701030927E-2</v>
      </c>
      <c r="P1471" s="32">
        <f>IF(Mecze[[#This Row],[SC]]=0,0,Mecze[[#This Row],[SC]]/Mecze[[#This Row],[CZAS]])</f>
        <v>0</v>
      </c>
      <c r="Q1471" s="32">
        <f>IF(Mecze[[#This Row],[OB]]=0,0,Mecze[[#This Row],[OB]]/Mecze[[#This Row],[CZAS]])</f>
        <v>0</v>
      </c>
      <c r="R1471" s="32">
        <f>IF(Mecze[[#This Row],[BR]]=0,0,Mecze[[#This Row],[BR]]/Mecze[[#This Row],[CZAS]])</f>
        <v>0</v>
      </c>
      <c r="S1471" s="44">
        <f>IF(Mecze[[#This Row],[Role]]="BR",SUMPRODUCT(Mecze[[#This Row],[/PR:90]:[/BR:90]],Brudnopis!$E$23:$J$23),0)</f>
        <v>0</v>
      </c>
      <c r="T1471" s="44">
        <f>IF(Mecze[[#This Row],[Role]]&lt;&gt;"BR",SUMPRODUCT(Mecze[[#This Row],[/PR:90]:[/BR:90]],Brudnopis!$E$24:$J$24),0)</f>
        <v>0.10824742268041236</v>
      </c>
      <c r="U1471" s="44">
        <f>IF(Mecze[[#This Row],[Role]]&lt;&gt;"BR",SUMPRODUCT(Mecze[[#This Row],[/PR:90]:[/BR:90]],Brudnopis!$E$25:$J$25),0)</f>
        <v>0.1134020618556701</v>
      </c>
      <c r="V1471" s="44">
        <f>IF(Mecze[[#This Row],[Role]]&lt;&gt;"BR",SUMPRODUCT(Mecze[[#This Row],[/PR:90]:[/BR:90]],Brudnopis!$E$26:$J$26),0)</f>
        <v>0.10309278350515463</v>
      </c>
      <c r="W1471" s="44">
        <f>IF(Mecze[[#This Row],[Role]]&lt;&gt;"BR",SUMPRODUCT(Mecze[[#This Row],[/PR:90]:[/BR:90]],Brudnopis!$E$27:$J$27),0)</f>
        <v>9.2783505154639179E-2</v>
      </c>
      <c r="X1471" s="44">
        <f>IF(Mecze[[#This Row],[Role]]&lt;&gt;"BR",SUMPRODUCT(Mecze[[#This Row],[/PR:90]:[/BR:90]],Brudnopis!$E$28:$J$28),0)</f>
        <v>2.0618556701030927E-2</v>
      </c>
      <c r="Y1471" s="35">
        <f>IF(Mecze[[#This Row],[Role]]="BR",Mecze[[#This Row],[/OB:90]]+Mecze[[#This Row],[/PC:90]],SUM(Mecze[[#This Row],[/PR:90]:[/BR:90]]))</f>
        <v>0.10309278350515463</v>
      </c>
      <c r="Z1471" s="35">
        <f>IF(Mecze[[#This Row],[KC]]=0,SUM(Mecze[[#This Row],[/BRI]:[/NPI]]),SUM(Mecze[[#This Row],[/BRI]:[/NPI]])*0.6)</f>
        <v>0.43814432989690716</v>
      </c>
      <c r="AA1471" s="10">
        <f>IFERROR(Mecze[[#This Row],[BR]]/Mecze[[#This Row],[ST]],0)</f>
        <v>0</v>
      </c>
      <c r="AB1471">
        <f>ROUND(Mecze[[#This Row],[PD]]*Mecze[[#This Row],[%PC]],0)</f>
        <v>2</v>
      </c>
      <c r="AC1471">
        <f>ROUND(Mecze[[#This Row],[OD]]*Mecze[[#This Row],[%OU]],0)</f>
        <v>1</v>
      </c>
      <c r="AD1471" s="36" t="s">
        <v>167</v>
      </c>
      <c r="AE1471" s="36">
        <v>81</v>
      </c>
      <c r="AF1471" s="71">
        <v>5.39</v>
      </c>
      <c r="AG1471" s="37">
        <v>0</v>
      </c>
      <c r="AH1471" s="37">
        <v>0</v>
      </c>
      <c r="AI1471" s="37">
        <v>97</v>
      </c>
      <c r="AJ1471" s="37">
        <v>8</v>
      </c>
      <c r="AK1471" s="37" t="str">
        <f>VLOOKUP(Mecze[[#This Row],[Match ID]],Meczusie[Mecz]:Meczusie[RodzajMeczu],2,FALSE)</f>
        <v>Liga</v>
      </c>
    </row>
    <row r="1472" spans="1:37" x14ac:dyDescent="0.25">
      <c r="A1472" s="76">
        <v>2</v>
      </c>
      <c r="B1472" s="3" t="s">
        <v>307</v>
      </c>
      <c r="C1472" s="2" t="s">
        <v>157</v>
      </c>
      <c r="D1472" s="1">
        <v>0</v>
      </c>
      <c r="E1472" s="1">
        <v>0</v>
      </c>
      <c r="F1472" s="1">
        <v>0</v>
      </c>
      <c r="G1472" s="1">
        <v>7</v>
      </c>
      <c r="H1472" s="4">
        <v>0.56999999999999995</v>
      </c>
      <c r="I1472" s="1">
        <v>6</v>
      </c>
      <c r="J1472" s="4">
        <v>0.83</v>
      </c>
      <c r="K1472" s="1">
        <v>0</v>
      </c>
      <c r="L1472" s="1">
        <v>6</v>
      </c>
      <c r="M1472" s="32">
        <f>IF(Mecze[[#This Row],[PR]]=0,0,Mecze[[#This Row],[PR]]/Mecze[[#This Row],[CZAS]])</f>
        <v>6.1855670103092786E-2</v>
      </c>
      <c r="N1472" s="32">
        <f>IF(Mecze[[#This Row],[OU]]=0,0,Mecze[[#This Row],[OU]]/Mecze[[#This Row],[CZAS]])</f>
        <v>5.1546391752577317E-2</v>
      </c>
      <c r="O1472" s="32">
        <f>IF(Mecze[[#This Row],[PC]]=0,0,Mecze[[#This Row],[PC]]/Mecze[[#This Row],[CZAS]])</f>
        <v>4.1237113402061855E-2</v>
      </c>
      <c r="P1472" s="32">
        <f>IF(Mecze[[#This Row],[SC]]=0,0,Mecze[[#This Row],[SC]]/Mecze[[#This Row],[CZAS]])</f>
        <v>0</v>
      </c>
      <c r="Q1472" s="32">
        <f>IF(Mecze[[#This Row],[OB]]=0,0,Mecze[[#This Row],[OB]]/Mecze[[#This Row],[CZAS]])</f>
        <v>0</v>
      </c>
      <c r="R1472" s="32">
        <f>IF(Mecze[[#This Row],[BR]]=0,0,Mecze[[#This Row],[BR]]/Mecze[[#This Row],[CZAS]])</f>
        <v>0</v>
      </c>
      <c r="S1472" s="44">
        <f>IF(Mecze[[#This Row],[Role]]="BR",SUMPRODUCT(Mecze[[#This Row],[/PR:90]:[/BR:90]],Brudnopis!$E$23:$J$23),0)</f>
        <v>0</v>
      </c>
      <c r="T1472" s="44">
        <f>IF(Mecze[[#This Row],[Role]]&lt;&gt;"BR",SUMPRODUCT(Mecze[[#This Row],[/PR:90]:[/BR:90]],Brudnopis!$E$24:$J$24),0)</f>
        <v>0.18041237113402062</v>
      </c>
      <c r="U1472" s="44">
        <f>IF(Mecze[[#This Row],[Role]]&lt;&gt;"BR",SUMPRODUCT(Mecze[[#This Row],[/PR:90]:[/BR:90]],Brudnopis!$E$25:$J$25),0)</f>
        <v>0.17525773195876287</v>
      </c>
      <c r="V1472" s="44">
        <f>IF(Mecze[[#This Row],[Role]]&lt;&gt;"BR",SUMPRODUCT(Mecze[[#This Row],[/PR:90]:[/BR:90]],Brudnopis!$E$26:$J$26),0)</f>
        <v>0.15463917525773196</v>
      </c>
      <c r="W1472" s="44">
        <f>IF(Mecze[[#This Row],[Role]]&lt;&gt;"BR",SUMPRODUCT(Mecze[[#This Row],[/PR:90]:[/BR:90]],Brudnopis!$E$27:$J$27),0)</f>
        <v>0.14690721649484537</v>
      </c>
      <c r="X1472" s="44">
        <f>IF(Mecze[[#This Row],[Role]]&lt;&gt;"BR",SUMPRODUCT(Mecze[[#This Row],[/PR:90]:[/BR:90]],Brudnopis!$E$28:$J$28),0)</f>
        <v>4.1237113402061855E-2</v>
      </c>
      <c r="Y1472" s="35">
        <f>IF(Mecze[[#This Row],[Role]]="BR",Mecze[[#This Row],[/OB:90]]+Mecze[[#This Row],[/PC:90]],SUM(Mecze[[#This Row],[/PR:90]:[/BR:90]]))</f>
        <v>0.15463917525773196</v>
      </c>
      <c r="Z1472" s="35">
        <f>IF(Mecze[[#This Row],[KC]]=0,SUM(Mecze[[#This Row],[/BRI]:[/NPI]]),SUM(Mecze[[#This Row],[/BRI]:[/NPI]])*0.6)</f>
        <v>0.69845360824742264</v>
      </c>
      <c r="AA1472" s="10">
        <f>IFERROR(Mecze[[#This Row],[BR]]/Mecze[[#This Row],[ST]],0)</f>
        <v>0</v>
      </c>
      <c r="AB1472">
        <f>ROUND(Mecze[[#This Row],[PD]]*Mecze[[#This Row],[%PC]],0)</f>
        <v>4</v>
      </c>
      <c r="AC1472">
        <f>ROUND(Mecze[[#This Row],[OD]]*Mecze[[#This Row],[%OU]],0)</f>
        <v>5</v>
      </c>
      <c r="AD1472" s="36" t="s">
        <v>168</v>
      </c>
      <c r="AE1472" s="36">
        <v>81</v>
      </c>
      <c r="AF1472" s="71">
        <v>7.5</v>
      </c>
      <c r="AG1472" s="37">
        <v>0</v>
      </c>
      <c r="AH1472" s="37">
        <v>0</v>
      </c>
      <c r="AI1472" s="37">
        <v>97</v>
      </c>
      <c r="AJ1472" s="37">
        <v>8</v>
      </c>
      <c r="AK1472" s="37" t="str">
        <f>VLOOKUP(Mecze[[#This Row],[Match ID]],Meczusie[Mecz]:Meczusie[RodzajMeczu],2,FALSE)</f>
        <v>Liga</v>
      </c>
    </row>
    <row r="1473" spans="1:37" x14ac:dyDescent="0.25">
      <c r="A1473" s="76">
        <v>6</v>
      </c>
      <c r="B1473" s="3" t="s">
        <v>308</v>
      </c>
      <c r="C1473" s="2" t="s">
        <v>160</v>
      </c>
      <c r="D1473" s="1">
        <v>0</v>
      </c>
      <c r="E1473" s="1">
        <v>0</v>
      </c>
      <c r="F1473" s="1">
        <v>0</v>
      </c>
      <c r="G1473" s="1">
        <v>11</v>
      </c>
      <c r="H1473" s="4">
        <v>0.55000000000000004</v>
      </c>
      <c r="I1473" s="1">
        <v>7</v>
      </c>
      <c r="J1473" s="4">
        <v>0.71</v>
      </c>
      <c r="K1473" s="1">
        <v>0</v>
      </c>
      <c r="L1473" s="1">
        <v>6</v>
      </c>
      <c r="M1473" s="32">
        <f>IF(Mecze[[#This Row],[PR]]=0,0,Mecze[[#This Row],[PR]]/Mecze[[#This Row],[CZAS]])</f>
        <v>6.3829787234042548E-2</v>
      </c>
      <c r="N1473" s="32">
        <f>IF(Mecze[[#This Row],[OU]]=0,0,Mecze[[#This Row],[OU]]/Mecze[[#This Row],[CZAS]])</f>
        <v>5.3191489361702128E-2</v>
      </c>
      <c r="O1473" s="32">
        <f>IF(Mecze[[#This Row],[PC]]=0,0,Mecze[[#This Row],[PC]]/Mecze[[#This Row],[CZAS]])</f>
        <v>6.3829787234042548E-2</v>
      </c>
      <c r="P1473" s="32">
        <f>IF(Mecze[[#This Row],[SC]]=0,0,Mecze[[#This Row],[SC]]/Mecze[[#This Row],[CZAS]])</f>
        <v>0</v>
      </c>
      <c r="Q1473" s="32">
        <f>IF(Mecze[[#This Row],[OB]]=0,0,Mecze[[#This Row],[OB]]/Mecze[[#This Row],[CZAS]])</f>
        <v>0</v>
      </c>
      <c r="R1473" s="32">
        <f>IF(Mecze[[#This Row],[BR]]=0,0,Mecze[[#This Row],[BR]]/Mecze[[#This Row],[CZAS]])</f>
        <v>0</v>
      </c>
      <c r="S1473" s="44">
        <f>IF(Mecze[[#This Row],[Role]]="BR",SUMPRODUCT(Mecze[[#This Row],[/PR:90]:[/BR:90]],Brudnopis!$E$23:$J$23),0)</f>
        <v>0</v>
      </c>
      <c r="T1473" s="44">
        <f>IF(Mecze[[#This Row],[Role]]&lt;&gt;"BR",SUMPRODUCT(Mecze[[#This Row],[/PR:90]:[/BR:90]],Brudnopis!$E$24:$J$24),0)</f>
        <v>0.20744680851063829</v>
      </c>
      <c r="U1473" s="44">
        <f>IF(Mecze[[#This Row],[Role]]&lt;&gt;"BR",SUMPRODUCT(Mecze[[#This Row],[/PR:90]:[/BR:90]],Brudnopis!$E$25:$J$25),0)</f>
        <v>0.21276595744680851</v>
      </c>
      <c r="V1473" s="44">
        <f>IF(Mecze[[#This Row],[Role]]&lt;&gt;"BR",SUMPRODUCT(Mecze[[#This Row],[/PR:90]:[/BR:90]],Brudnopis!$E$26:$J$26),0)</f>
        <v>0.18085106382978722</v>
      </c>
      <c r="W1473" s="44">
        <f>IF(Mecze[[#This Row],[Role]]&lt;&gt;"BR",SUMPRODUCT(Mecze[[#This Row],[/PR:90]:[/BR:90]],Brudnopis!$E$27:$J$27),0)</f>
        <v>0.18351063829787234</v>
      </c>
      <c r="X1473" s="44">
        <f>IF(Mecze[[#This Row],[Role]]&lt;&gt;"BR",SUMPRODUCT(Mecze[[#This Row],[/PR:90]:[/BR:90]],Brudnopis!$E$28:$J$28),0)</f>
        <v>6.3829787234042548E-2</v>
      </c>
      <c r="Y1473" s="35">
        <f>IF(Mecze[[#This Row],[Role]]="BR",Mecze[[#This Row],[/OB:90]]+Mecze[[#This Row],[/PC:90]],SUM(Mecze[[#This Row],[/PR:90]:[/BR:90]]))</f>
        <v>0.18085106382978722</v>
      </c>
      <c r="Z1473" s="35">
        <f>IF(Mecze[[#This Row],[KC]]=0,SUM(Mecze[[#This Row],[/BRI]:[/NPI]]),SUM(Mecze[[#This Row],[/BRI]:[/NPI]])*0.6)</f>
        <v>0.84840425531914887</v>
      </c>
      <c r="AA1473" s="10">
        <f>IFERROR(Mecze[[#This Row],[BR]]/Mecze[[#This Row],[ST]],0)</f>
        <v>0</v>
      </c>
      <c r="AB1473">
        <f>ROUND(Mecze[[#This Row],[PD]]*Mecze[[#This Row],[%PC]],0)</f>
        <v>6</v>
      </c>
      <c r="AC1473">
        <f>ROUND(Mecze[[#This Row],[OD]]*Mecze[[#This Row],[%OU]],0)</f>
        <v>5</v>
      </c>
      <c r="AD1473" s="36" t="s">
        <v>41</v>
      </c>
      <c r="AE1473" s="36">
        <v>81</v>
      </c>
      <c r="AF1473" s="71">
        <v>6.39</v>
      </c>
      <c r="AG1473" s="37">
        <v>0</v>
      </c>
      <c r="AH1473" s="37">
        <v>0</v>
      </c>
      <c r="AI1473" s="37">
        <v>94</v>
      </c>
      <c r="AJ1473" s="37">
        <v>8</v>
      </c>
      <c r="AK1473" s="37" t="str">
        <f>VLOOKUP(Mecze[[#This Row],[Match ID]],Meczusie[Mecz]:Meczusie[RodzajMeczu],2,FALSE)</f>
        <v>Liga</v>
      </c>
    </row>
    <row r="1474" spans="1:37" x14ac:dyDescent="0.25">
      <c r="A1474" s="76">
        <v>16</v>
      </c>
      <c r="B1474" s="3" t="s">
        <v>309</v>
      </c>
      <c r="C1474" s="2" t="s">
        <v>160</v>
      </c>
      <c r="D1474" s="1">
        <v>0</v>
      </c>
      <c r="E1474" s="1">
        <v>0</v>
      </c>
      <c r="F1474" s="1">
        <v>0</v>
      </c>
      <c r="G1474" s="1">
        <v>6</v>
      </c>
      <c r="H1474" s="4">
        <v>0.5</v>
      </c>
      <c r="I1474" s="1">
        <v>3</v>
      </c>
      <c r="J1474" s="4">
        <v>0.33</v>
      </c>
      <c r="K1474" s="1">
        <v>0</v>
      </c>
      <c r="L1474" s="1">
        <v>6</v>
      </c>
      <c r="M1474" s="32">
        <f>IF(Mecze[[#This Row],[PR]]=0,0,Mecze[[#This Row],[PR]]/Mecze[[#This Row],[CZAS]])</f>
        <v>6.1855670103092786E-2</v>
      </c>
      <c r="N1474" s="32">
        <f>IF(Mecze[[#This Row],[OU]]=0,0,Mecze[[#This Row],[OU]]/Mecze[[#This Row],[CZAS]])</f>
        <v>1.0309278350515464E-2</v>
      </c>
      <c r="O1474" s="32">
        <f>IF(Mecze[[#This Row],[PC]]=0,0,Mecze[[#This Row],[PC]]/Mecze[[#This Row],[CZAS]])</f>
        <v>3.0927835051546393E-2</v>
      </c>
      <c r="P1474" s="32">
        <f>IF(Mecze[[#This Row],[SC]]=0,0,Mecze[[#This Row],[SC]]/Mecze[[#This Row],[CZAS]])</f>
        <v>0</v>
      </c>
      <c r="Q1474" s="32">
        <f>IF(Mecze[[#This Row],[OB]]=0,0,Mecze[[#This Row],[OB]]/Mecze[[#This Row],[CZAS]])</f>
        <v>0</v>
      </c>
      <c r="R1474" s="32">
        <f>IF(Mecze[[#This Row],[BR]]=0,0,Mecze[[#This Row],[BR]]/Mecze[[#This Row],[CZAS]])</f>
        <v>0</v>
      </c>
      <c r="S1474" s="44">
        <f>IF(Mecze[[#This Row],[Role]]="BR",SUMPRODUCT(Mecze[[#This Row],[/PR:90]:[/BR:90]],Brudnopis!$E$23:$J$23),0)</f>
        <v>0</v>
      </c>
      <c r="T1474" s="44">
        <f>IF(Mecze[[#This Row],[Role]]&lt;&gt;"BR",SUMPRODUCT(Mecze[[#This Row],[/PR:90]:[/BR:90]],Brudnopis!$E$24:$J$24),0)</f>
        <v>0.10824742268041238</v>
      </c>
      <c r="U1474" s="44">
        <f>IF(Mecze[[#This Row],[Role]]&lt;&gt;"BR",SUMPRODUCT(Mecze[[#This Row],[/PR:90]:[/BR:90]],Brudnopis!$E$25:$J$25),0)</f>
        <v>0.11855670103092784</v>
      </c>
      <c r="V1474" s="44">
        <f>IF(Mecze[[#This Row],[Role]]&lt;&gt;"BR",SUMPRODUCT(Mecze[[#This Row],[/PR:90]:[/BR:90]],Brudnopis!$E$26:$J$26),0)</f>
        <v>0.10309278350515465</v>
      </c>
      <c r="W1474" s="44">
        <f>IF(Mecze[[#This Row],[Role]]&lt;&gt;"BR",SUMPRODUCT(Mecze[[#This Row],[/PR:90]:[/BR:90]],Brudnopis!$E$27:$J$27),0)</f>
        <v>0.10051546391752578</v>
      </c>
      <c r="X1474" s="44">
        <f>IF(Mecze[[#This Row],[Role]]&lt;&gt;"BR",SUMPRODUCT(Mecze[[#This Row],[/PR:90]:[/BR:90]],Brudnopis!$E$28:$J$28),0)</f>
        <v>3.0927835051546393E-2</v>
      </c>
      <c r="Y1474" s="35">
        <f>IF(Mecze[[#This Row],[Role]]="BR",Mecze[[#This Row],[/OB:90]]+Mecze[[#This Row],[/PC:90]],SUM(Mecze[[#This Row],[/PR:90]:[/BR:90]]))</f>
        <v>0.10309278350515465</v>
      </c>
      <c r="Z1474" s="35">
        <f>IF(Mecze[[#This Row],[KC]]=0,SUM(Mecze[[#This Row],[/BRI]:[/NPI]]),SUM(Mecze[[#This Row],[/BRI]:[/NPI]])*0.6)</f>
        <v>0.46134020618556704</v>
      </c>
      <c r="AA1474" s="10">
        <f>IFERROR(Mecze[[#This Row],[BR]]/Mecze[[#This Row],[ST]],0)</f>
        <v>0</v>
      </c>
      <c r="AB1474">
        <f>ROUND(Mecze[[#This Row],[PD]]*Mecze[[#This Row],[%PC]],0)</f>
        <v>3</v>
      </c>
      <c r="AC1474">
        <f>ROUND(Mecze[[#This Row],[OD]]*Mecze[[#This Row],[%OU]],0)</f>
        <v>1</v>
      </c>
      <c r="AD1474" s="36" t="s">
        <v>172</v>
      </c>
      <c r="AE1474" s="36">
        <v>81</v>
      </c>
      <c r="AF1474" s="71">
        <v>6.39</v>
      </c>
      <c r="AG1474" s="37">
        <v>0</v>
      </c>
      <c r="AH1474" s="37">
        <v>0</v>
      </c>
      <c r="AI1474" s="37">
        <v>97</v>
      </c>
      <c r="AJ1474" s="37">
        <v>8</v>
      </c>
      <c r="AK1474" s="37" t="str">
        <f>VLOOKUP(Mecze[[#This Row],[Match ID]],Meczusie[Mecz]:Meczusie[RodzajMeczu],2,FALSE)</f>
        <v>Liga</v>
      </c>
    </row>
    <row r="1475" spans="1:37" x14ac:dyDescent="0.25">
      <c r="A1475" s="76">
        <v>73</v>
      </c>
      <c r="B1475" s="3" t="s">
        <v>431</v>
      </c>
      <c r="C1475" s="2" t="s">
        <v>160</v>
      </c>
      <c r="D1475" s="1">
        <v>0</v>
      </c>
      <c r="E1475" s="1">
        <v>1</v>
      </c>
      <c r="F1475" s="1">
        <v>1</v>
      </c>
      <c r="G1475" s="1">
        <v>3</v>
      </c>
      <c r="H1475" s="4">
        <v>0.67</v>
      </c>
      <c r="I1475" s="1">
        <v>4</v>
      </c>
      <c r="J1475" s="4">
        <v>0</v>
      </c>
      <c r="K1475" s="1">
        <v>0</v>
      </c>
      <c r="L1475" s="1">
        <v>1</v>
      </c>
      <c r="M1475" s="32">
        <f>IF(Mecze[[#This Row],[PR]]=0,0,Mecze[[#This Row],[PR]]/Mecze[[#This Row],[CZAS]])</f>
        <v>1.0309278350515464E-2</v>
      </c>
      <c r="N1475" s="32">
        <f>IF(Mecze[[#This Row],[OU]]=0,0,Mecze[[#This Row],[OU]]/Mecze[[#This Row],[CZAS]])</f>
        <v>0</v>
      </c>
      <c r="O1475" s="32">
        <f>IF(Mecze[[#This Row],[PC]]=0,0,Mecze[[#This Row],[PC]]/Mecze[[#This Row],[CZAS]])</f>
        <v>2.0618556701030927E-2</v>
      </c>
      <c r="P1475" s="32">
        <f>IF(Mecze[[#This Row],[SC]]=0,0,Mecze[[#This Row],[SC]]/Mecze[[#This Row],[CZAS]])</f>
        <v>1.0309278350515464E-2</v>
      </c>
      <c r="Q1475" s="32">
        <f>IF(Mecze[[#This Row],[OB]]=0,0,Mecze[[#This Row],[OB]]/Mecze[[#This Row],[CZAS]])</f>
        <v>0</v>
      </c>
      <c r="R1475" s="32">
        <f>IF(Mecze[[#This Row],[BR]]=0,0,Mecze[[#This Row],[BR]]/Mecze[[#This Row],[CZAS]])</f>
        <v>0</v>
      </c>
      <c r="S1475" s="44">
        <f>IF(Mecze[[#This Row],[Role]]="BR",SUMPRODUCT(Mecze[[#This Row],[/PR:90]:[/BR:90]],Brudnopis!$E$23:$J$23),0)</f>
        <v>0</v>
      </c>
      <c r="T1475" s="44">
        <f>IF(Mecze[[#This Row],[Role]]&lt;&gt;"BR",SUMPRODUCT(Mecze[[#This Row],[/PR:90]:[/BR:90]],Brudnopis!$E$24:$J$24),0)</f>
        <v>4.1237113402061855E-2</v>
      </c>
      <c r="U1475" s="44">
        <f>IF(Mecze[[#This Row],[Role]]&lt;&gt;"BR",SUMPRODUCT(Mecze[[#This Row],[/PR:90]:[/BR:90]],Brudnopis!$E$25:$J$25),0)</f>
        <v>5.1546391752577317E-2</v>
      </c>
      <c r="V1475" s="44">
        <f>IF(Mecze[[#This Row],[Role]]&lt;&gt;"BR",SUMPRODUCT(Mecze[[#This Row],[/PR:90]:[/BR:90]],Brudnopis!$E$26:$J$26),0)</f>
        <v>4.1237113402061855E-2</v>
      </c>
      <c r="W1475" s="44">
        <f>IF(Mecze[[#This Row],[Role]]&lt;&gt;"BR",SUMPRODUCT(Mecze[[#This Row],[/PR:90]:[/BR:90]],Brudnopis!$E$27:$J$27),0)</f>
        <v>4.8969072164948453E-2</v>
      </c>
      <c r="X1475" s="44">
        <f>IF(Mecze[[#This Row],[Role]]&lt;&gt;"BR",SUMPRODUCT(Mecze[[#This Row],[/PR:90]:[/BR:90]],Brudnopis!$E$28:$J$28),0)</f>
        <v>4.1237113402061855E-2</v>
      </c>
      <c r="Y1475" s="35">
        <f>IF(Mecze[[#This Row],[Role]]="BR",Mecze[[#This Row],[/OB:90]]+Mecze[[#This Row],[/PC:90]],SUM(Mecze[[#This Row],[/PR:90]:[/BR:90]]))</f>
        <v>4.1237113402061855E-2</v>
      </c>
      <c r="Z1475" s="35">
        <f>IF(Mecze[[#This Row],[KC]]=0,SUM(Mecze[[#This Row],[/BRI]:[/NPI]]),SUM(Mecze[[#This Row],[/BRI]:[/NPI]])*0.6)</f>
        <v>0.22422680412371132</v>
      </c>
      <c r="AA1475" s="10">
        <f>IFERROR(Mecze[[#This Row],[BR]]/Mecze[[#This Row],[ST]],0)</f>
        <v>0</v>
      </c>
      <c r="AB1475">
        <f>ROUND(Mecze[[#This Row],[PD]]*Mecze[[#This Row],[%PC]],0)</f>
        <v>2</v>
      </c>
      <c r="AC1475">
        <f>ROUND(Mecze[[#This Row],[OD]]*Mecze[[#This Row],[%OU]],0)</f>
        <v>0</v>
      </c>
      <c r="AD1475" s="36" t="s">
        <v>173</v>
      </c>
      <c r="AE1475" s="36">
        <v>81</v>
      </c>
      <c r="AF1475" s="71">
        <v>4.3600000000000003</v>
      </c>
      <c r="AG1475" s="37">
        <v>0</v>
      </c>
      <c r="AH1475" s="37">
        <v>0</v>
      </c>
      <c r="AI1475" s="37">
        <v>97</v>
      </c>
      <c r="AJ1475" s="37">
        <v>8</v>
      </c>
      <c r="AK1475" s="37" t="str">
        <f>VLOOKUP(Mecze[[#This Row],[Match ID]],Meczusie[Mecz]:Meczusie[RodzajMeczu],2,FALSE)</f>
        <v>Liga</v>
      </c>
    </row>
    <row r="1476" spans="1:37" x14ac:dyDescent="0.25">
      <c r="A1476" s="76">
        <v>7</v>
      </c>
      <c r="B1476" s="3" t="s">
        <v>311</v>
      </c>
      <c r="C1476" s="2" t="s">
        <v>160</v>
      </c>
      <c r="D1476" s="1">
        <v>1</v>
      </c>
      <c r="E1476" s="1">
        <v>8</v>
      </c>
      <c r="F1476" s="1">
        <v>8</v>
      </c>
      <c r="G1476" s="1">
        <v>12</v>
      </c>
      <c r="H1476" s="4">
        <v>0.75</v>
      </c>
      <c r="I1476" s="1">
        <v>1</v>
      </c>
      <c r="J1476" s="4">
        <v>0</v>
      </c>
      <c r="K1476" s="1">
        <v>0</v>
      </c>
      <c r="L1476" s="1">
        <v>3</v>
      </c>
      <c r="M1476" s="32">
        <f>IF(Mecze[[#This Row],[PR]]=0,0,Mecze[[#This Row],[PR]]/Mecze[[#This Row],[CZAS]])</f>
        <v>3.0927835051546393E-2</v>
      </c>
      <c r="N1476" s="32">
        <f>IF(Mecze[[#This Row],[OU]]=0,0,Mecze[[#This Row],[OU]]/Mecze[[#This Row],[CZAS]])</f>
        <v>0</v>
      </c>
      <c r="O1476" s="32">
        <f>IF(Mecze[[#This Row],[PC]]=0,0,Mecze[[#This Row],[PC]]/Mecze[[#This Row],[CZAS]])</f>
        <v>9.2783505154639179E-2</v>
      </c>
      <c r="P1476" s="32">
        <f>IF(Mecze[[#This Row],[SC]]=0,0,Mecze[[#This Row],[SC]]/Mecze[[#This Row],[CZAS]])</f>
        <v>8.247422680412371E-2</v>
      </c>
      <c r="Q1476" s="32">
        <f>IF(Mecze[[#This Row],[OB]]=0,0,Mecze[[#This Row],[OB]]/Mecze[[#This Row],[CZAS]])</f>
        <v>0</v>
      </c>
      <c r="R1476" s="32">
        <f>IF(Mecze[[#This Row],[BR]]=0,0,Mecze[[#This Row],[BR]]/Mecze[[#This Row],[CZAS]])</f>
        <v>1.0309278350515464E-2</v>
      </c>
      <c r="S1476" s="44">
        <f>IF(Mecze[[#This Row],[Role]]="BR",SUMPRODUCT(Mecze[[#This Row],[/PR:90]:[/BR:90]],Brudnopis!$E$23:$J$23),0)</f>
        <v>0</v>
      </c>
      <c r="T1476" s="44">
        <f>IF(Mecze[[#This Row],[Role]]&lt;&gt;"BR",SUMPRODUCT(Mecze[[#This Row],[/PR:90]:[/BR:90]],Brudnopis!$E$24:$J$24),0)</f>
        <v>0.22164948453608246</v>
      </c>
      <c r="U1476" s="44">
        <f>IF(Mecze[[#This Row],[Role]]&lt;&gt;"BR",SUMPRODUCT(Mecze[[#This Row],[/PR:90]:[/BR:90]],Brudnopis!$E$25:$J$25),0)</f>
        <v>0.26804123711340205</v>
      </c>
      <c r="V1476" s="44">
        <f>IF(Mecze[[#This Row],[Role]]&lt;&gt;"BR",SUMPRODUCT(Mecze[[#This Row],[/PR:90]:[/BR:90]],Brudnopis!$E$26:$J$26),0)</f>
        <v>0.22680412371134021</v>
      </c>
      <c r="W1476" s="44">
        <f>IF(Mecze[[#This Row],[Role]]&lt;&gt;"BR",SUMPRODUCT(Mecze[[#This Row],[/PR:90]:[/BR:90]],Brudnopis!$E$27:$J$27),0)</f>
        <v>0.2654639175257732</v>
      </c>
      <c r="X1476" s="44">
        <f>IF(Mecze[[#This Row],[Role]]&lt;&gt;"BR",SUMPRODUCT(Mecze[[#This Row],[/PR:90]:[/BR:90]],Brudnopis!$E$28:$J$28),0)</f>
        <v>0.28865979381443296</v>
      </c>
      <c r="Y1476" s="35">
        <f>IF(Mecze[[#This Row],[Role]]="BR",Mecze[[#This Row],[/OB:90]]+Mecze[[#This Row],[/PC:90]],SUM(Mecze[[#This Row],[/PR:90]:[/BR:90]]))</f>
        <v>0.21649484536082472</v>
      </c>
      <c r="Z1476" s="35">
        <f>IF(Mecze[[#This Row],[KC]]=0,SUM(Mecze[[#This Row],[/BRI]:[/NPI]]),SUM(Mecze[[#This Row],[/BRI]:[/NPI]])*0.6)</f>
        <v>1.2706185567010309</v>
      </c>
      <c r="AA1476" s="10">
        <f>IFERROR(Mecze[[#This Row],[BR]]/Mecze[[#This Row],[ST]],0)</f>
        <v>0.125</v>
      </c>
      <c r="AB1476">
        <f>ROUND(Mecze[[#This Row],[PD]]*Mecze[[#This Row],[%PC]],0)</f>
        <v>9</v>
      </c>
      <c r="AC1476">
        <f>ROUND(Mecze[[#This Row],[OD]]*Mecze[[#This Row],[%OU]],0)</f>
        <v>0</v>
      </c>
      <c r="AD1476" s="36" t="s">
        <v>44</v>
      </c>
      <c r="AE1476" s="36">
        <v>81</v>
      </c>
      <c r="AF1476" s="71">
        <v>9.7100000000000009</v>
      </c>
      <c r="AG1476" s="37">
        <v>0</v>
      </c>
      <c r="AH1476" s="37">
        <v>0</v>
      </c>
      <c r="AI1476" s="37">
        <v>97</v>
      </c>
      <c r="AJ1476" s="37">
        <v>8</v>
      </c>
      <c r="AK1476" s="37" t="str">
        <f>VLOOKUP(Mecze[[#This Row],[Match ID]],Meczusie[Mecz]:Meczusie[RodzajMeczu],2,FALSE)</f>
        <v>Liga</v>
      </c>
    </row>
    <row r="1477" spans="1:37" x14ac:dyDescent="0.25">
      <c r="A1477" s="76">
        <v>13</v>
      </c>
      <c r="B1477" s="3" t="s">
        <v>313</v>
      </c>
      <c r="C1477" s="2" t="s">
        <v>165</v>
      </c>
      <c r="D1477" s="1">
        <v>0</v>
      </c>
      <c r="E1477" s="1">
        <v>4</v>
      </c>
      <c r="F1477" s="1">
        <v>4</v>
      </c>
      <c r="G1477" s="1">
        <v>7</v>
      </c>
      <c r="H1477" s="4">
        <v>1</v>
      </c>
      <c r="I1477" s="1">
        <v>2</v>
      </c>
      <c r="J1477" s="4">
        <v>0.5</v>
      </c>
      <c r="K1477" s="1">
        <v>0</v>
      </c>
      <c r="L1477" s="1">
        <v>1</v>
      </c>
      <c r="M1477" s="32">
        <f>IF(Mecze[[#This Row],[PR]]=0,0,Mecze[[#This Row],[PR]]/Mecze[[#This Row],[CZAS]])</f>
        <v>1.0638297872340425E-2</v>
      </c>
      <c r="N1477" s="32">
        <f>IF(Mecze[[#This Row],[OU]]=0,0,Mecze[[#This Row],[OU]]/Mecze[[#This Row],[CZAS]])</f>
        <v>1.0638297872340425E-2</v>
      </c>
      <c r="O1477" s="32">
        <f>IF(Mecze[[#This Row],[PC]]=0,0,Mecze[[#This Row],[PC]]/Mecze[[#This Row],[CZAS]])</f>
        <v>7.4468085106382975E-2</v>
      </c>
      <c r="P1477" s="32">
        <f>IF(Mecze[[#This Row],[SC]]=0,0,Mecze[[#This Row],[SC]]/Mecze[[#This Row],[CZAS]])</f>
        <v>4.2553191489361701E-2</v>
      </c>
      <c r="Q1477" s="32">
        <f>IF(Mecze[[#This Row],[OB]]=0,0,Mecze[[#This Row],[OB]]/Mecze[[#This Row],[CZAS]])</f>
        <v>0</v>
      </c>
      <c r="R1477" s="32">
        <f>IF(Mecze[[#This Row],[BR]]=0,0,Mecze[[#This Row],[BR]]/Mecze[[#This Row],[CZAS]])</f>
        <v>0</v>
      </c>
      <c r="S1477" s="44">
        <f>IF(Mecze[[#This Row],[Role]]="BR",SUMPRODUCT(Mecze[[#This Row],[/PR:90]:[/BR:90]],Brudnopis!$E$23:$J$23),0)</f>
        <v>0</v>
      </c>
      <c r="T1477" s="44">
        <f>IF(Mecze[[#This Row],[Role]]&lt;&gt;"BR",SUMPRODUCT(Mecze[[#This Row],[/PR:90]:[/BR:90]],Brudnopis!$E$24:$J$24),0)</f>
        <v>0.14361702127659573</v>
      </c>
      <c r="U1477" s="44">
        <f>IF(Mecze[[#This Row],[Role]]&lt;&gt;"BR",SUMPRODUCT(Mecze[[#This Row],[/PR:90]:[/BR:90]],Brudnopis!$E$25:$J$25),0)</f>
        <v>0.17553191489361702</v>
      </c>
      <c r="V1477" s="44">
        <f>IF(Mecze[[#This Row],[Role]]&lt;&gt;"BR",SUMPRODUCT(Mecze[[#This Row],[/PR:90]:[/BR:90]],Brudnopis!$E$26:$J$26),0)</f>
        <v>0.13829787234042554</v>
      </c>
      <c r="W1477" s="44">
        <f>IF(Mecze[[#This Row],[Role]]&lt;&gt;"BR",SUMPRODUCT(Mecze[[#This Row],[/PR:90]:[/BR:90]],Brudnopis!$E$27:$J$27),0)</f>
        <v>0.1702127659574468</v>
      </c>
      <c r="X1477" s="44">
        <f>IF(Mecze[[#This Row],[Role]]&lt;&gt;"BR",SUMPRODUCT(Mecze[[#This Row],[/PR:90]:[/BR:90]],Brudnopis!$E$28:$J$28),0)</f>
        <v>0.15957446808510639</v>
      </c>
      <c r="Y1477" s="35">
        <f>IF(Mecze[[#This Row],[Role]]="BR",Mecze[[#This Row],[/OB:90]]+Mecze[[#This Row],[/PC:90]],SUM(Mecze[[#This Row],[/PR:90]:[/BR:90]]))</f>
        <v>0.13829787234042554</v>
      </c>
      <c r="Z1477" s="35">
        <f>IF(Mecze[[#This Row],[KC]]=0,SUM(Mecze[[#This Row],[/BRI]:[/NPI]]),SUM(Mecze[[#This Row],[/BRI]:[/NPI]])*0.6)</f>
        <v>0.78723404255319163</v>
      </c>
      <c r="AA1477" s="10">
        <f>IFERROR(Mecze[[#This Row],[BR]]/Mecze[[#This Row],[ST]],0)</f>
        <v>0</v>
      </c>
      <c r="AB1477">
        <f>ROUND(Mecze[[#This Row],[PD]]*Mecze[[#This Row],[%PC]],0)</f>
        <v>7</v>
      </c>
      <c r="AC1477">
        <f>ROUND(Mecze[[#This Row],[OD]]*Mecze[[#This Row],[%OU]],0)</f>
        <v>1</v>
      </c>
      <c r="AD1477" s="36" t="s">
        <v>272</v>
      </c>
      <c r="AE1477" s="36">
        <v>81</v>
      </c>
      <c r="AF1477" s="71">
        <v>7.95</v>
      </c>
      <c r="AG1477" s="37">
        <v>0</v>
      </c>
      <c r="AH1477" s="37">
        <v>0</v>
      </c>
      <c r="AI1477" s="37">
        <v>94</v>
      </c>
      <c r="AJ1477" s="37">
        <v>8</v>
      </c>
      <c r="AK1477" s="37" t="str">
        <f>VLOOKUP(Mecze[[#This Row],[Match ID]],Meczusie[Mecz]:Meczusie[RodzajMeczu],2,FALSE)</f>
        <v>Liga</v>
      </c>
    </row>
    <row r="1478" spans="1:37" x14ac:dyDescent="0.25">
      <c r="A1478" s="76">
        <v>14</v>
      </c>
      <c r="B1478" s="3" t="s">
        <v>312</v>
      </c>
      <c r="C1478" s="2" t="s">
        <v>165</v>
      </c>
      <c r="D1478" s="1">
        <v>1</v>
      </c>
      <c r="E1478" s="1">
        <v>3</v>
      </c>
      <c r="F1478" s="1">
        <v>3</v>
      </c>
      <c r="G1478" s="1">
        <v>7</v>
      </c>
      <c r="H1478" s="4">
        <v>0.71</v>
      </c>
      <c r="I1478" s="1">
        <v>4</v>
      </c>
      <c r="J1478" s="4">
        <v>0.75</v>
      </c>
      <c r="K1478" s="1">
        <v>0</v>
      </c>
      <c r="L1478" s="1">
        <v>2</v>
      </c>
      <c r="M1478" s="32">
        <f>IF(Mecze[[#This Row],[PR]]=0,0,Mecze[[#This Row],[PR]]/Mecze[[#This Row],[CZAS]])</f>
        <v>2.1276595744680851E-2</v>
      </c>
      <c r="N1478" s="32">
        <f>IF(Mecze[[#This Row],[OU]]=0,0,Mecze[[#This Row],[OU]]/Mecze[[#This Row],[CZAS]])</f>
        <v>3.1914893617021274E-2</v>
      </c>
      <c r="O1478" s="32">
        <f>IF(Mecze[[#This Row],[PC]]=0,0,Mecze[[#This Row],[PC]]/Mecze[[#This Row],[CZAS]])</f>
        <v>5.3191489361702128E-2</v>
      </c>
      <c r="P1478" s="32">
        <f>IF(Mecze[[#This Row],[SC]]=0,0,Mecze[[#This Row],[SC]]/Mecze[[#This Row],[CZAS]])</f>
        <v>3.1914893617021274E-2</v>
      </c>
      <c r="Q1478" s="32">
        <f>IF(Mecze[[#This Row],[OB]]=0,0,Mecze[[#This Row],[OB]]/Mecze[[#This Row],[CZAS]])</f>
        <v>0</v>
      </c>
      <c r="R1478" s="32">
        <f>IF(Mecze[[#This Row],[BR]]=0,0,Mecze[[#This Row],[BR]]/Mecze[[#This Row],[CZAS]])</f>
        <v>1.0638297872340425E-2</v>
      </c>
      <c r="S1478" s="44">
        <f>IF(Mecze[[#This Row],[Role]]="BR",SUMPRODUCT(Mecze[[#This Row],[/PR:90]:[/BR:90]],Brudnopis!$E$23:$J$23),0)</f>
        <v>0</v>
      </c>
      <c r="T1478" s="44">
        <f>IF(Mecze[[#This Row],[Role]]&lt;&gt;"BR",SUMPRODUCT(Mecze[[#This Row],[/PR:90]:[/BR:90]],Brudnopis!$E$24:$J$24),0)</f>
        <v>0.1702127659574468</v>
      </c>
      <c r="U1478" s="44">
        <f>IF(Mecze[[#This Row],[Role]]&lt;&gt;"BR",SUMPRODUCT(Mecze[[#This Row],[/PR:90]:[/BR:90]],Brudnopis!$E$25:$J$25),0)</f>
        <v>0.18085106382978722</v>
      </c>
      <c r="V1478" s="44">
        <f>IF(Mecze[[#This Row],[Role]]&lt;&gt;"BR",SUMPRODUCT(Mecze[[#This Row],[/PR:90]:[/BR:90]],Brudnopis!$E$26:$J$26),0)</f>
        <v>0.15957446808510636</v>
      </c>
      <c r="W1478" s="44">
        <f>IF(Mecze[[#This Row],[Role]]&lt;&gt;"BR",SUMPRODUCT(Mecze[[#This Row],[/PR:90]:[/BR:90]],Brudnopis!$E$27:$J$27),0)</f>
        <v>0.17287234042553193</v>
      </c>
      <c r="X1478" s="44">
        <f>IF(Mecze[[#This Row],[Role]]&lt;&gt;"BR",SUMPRODUCT(Mecze[[#This Row],[/PR:90]:[/BR:90]],Brudnopis!$E$28:$J$28),0)</f>
        <v>0.14893617021276595</v>
      </c>
      <c r="Y1478" s="35">
        <f>IF(Mecze[[#This Row],[Role]]="BR",Mecze[[#This Row],[/OB:90]]+Mecze[[#This Row],[/PC:90]],SUM(Mecze[[#This Row],[/PR:90]:[/BR:90]]))</f>
        <v>0.14893617021276592</v>
      </c>
      <c r="Z1478" s="35">
        <f>IF(Mecze[[#This Row],[KC]]=0,SUM(Mecze[[#This Row],[/BRI]:[/NPI]]),SUM(Mecze[[#This Row],[/BRI]:[/NPI]])*0.6)</f>
        <v>0.83244680851063824</v>
      </c>
      <c r="AA1478" s="10">
        <f>IFERROR(Mecze[[#This Row],[BR]]/Mecze[[#This Row],[ST]],0)</f>
        <v>0.33333333333333331</v>
      </c>
      <c r="AB1478">
        <f>ROUND(Mecze[[#This Row],[PD]]*Mecze[[#This Row],[%PC]],0)</f>
        <v>5</v>
      </c>
      <c r="AC1478">
        <f>ROUND(Mecze[[#This Row],[OD]]*Mecze[[#This Row],[%OU]],0)</f>
        <v>3</v>
      </c>
      <c r="AD1478" s="36" t="s">
        <v>273</v>
      </c>
      <c r="AE1478" s="36">
        <v>81</v>
      </c>
      <c r="AF1478" s="71">
        <v>8.2200000000000006</v>
      </c>
      <c r="AG1478" s="37">
        <v>0</v>
      </c>
      <c r="AH1478" s="37">
        <v>0</v>
      </c>
      <c r="AI1478" s="37">
        <v>94</v>
      </c>
      <c r="AJ1478" s="37">
        <v>8</v>
      </c>
      <c r="AK1478" s="37" t="str">
        <f>VLOOKUP(Mecze[[#This Row],[Match ID]],Meczusie[Mecz]:Meczusie[RodzajMeczu],2,FALSE)</f>
        <v>Liga</v>
      </c>
    </row>
    <row r="1479" spans="1:37" x14ac:dyDescent="0.25">
      <c r="A1479" s="76">
        <v>8</v>
      </c>
      <c r="B1479" s="3" t="s">
        <v>314</v>
      </c>
      <c r="C1479" s="2" t="s">
        <v>165</v>
      </c>
      <c r="D1479" s="1">
        <v>0</v>
      </c>
      <c r="E1479" s="1">
        <v>3</v>
      </c>
      <c r="F1479" s="1">
        <v>3</v>
      </c>
      <c r="G1479" s="1">
        <v>2</v>
      </c>
      <c r="H1479" s="4">
        <v>1</v>
      </c>
      <c r="I1479" s="1">
        <v>0</v>
      </c>
      <c r="J1479" s="4"/>
      <c r="K1479" s="1">
        <v>0</v>
      </c>
      <c r="L1479" s="1">
        <v>1</v>
      </c>
      <c r="M1479" s="32">
        <f>IF(Mecze[[#This Row],[PR]]=0,0,Mecze[[#This Row],[PR]]/Mecze[[#This Row],[CZAS]])</f>
        <v>1.0309278350515464E-2</v>
      </c>
      <c r="N1479" s="32">
        <f>IF(Mecze[[#This Row],[OU]]=0,0,Mecze[[#This Row],[OU]]/Mecze[[#This Row],[CZAS]])</f>
        <v>0</v>
      </c>
      <c r="O1479" s="32">
        <f>IF(Mecze[[#This Row],[PC]]=0,0,Mecze[[#This Row],[PC]]/Mecze[[#This Row],[CZAS]])</f>
        <v>2.0618556701030927E-2</v>
      </c>
      <c r="P1479" s="32">
        <f>IF(Mecze[[#This Row],[SC]]=0,0,Mecze[[#This Row],[SC]]/Mecze[[#This Row],[CZAS]])</f>
        <v>3.0927835051546393E-2</v>
      </c>
      <c r="Q1479" s="32">
        <f>IF(Mecze[[#This Row],[OB]]=0,0,Mecze[[#This Row],[OB]]/Mecze[[#This Row],[CZAS]])</f>
        <v>0</v>
      </c>
      <c r="R1479" s="32">
        <f>IF(Mecze[[#This Row],[BR]]=0,0,Mecze[[#This Row],[BR]]/Mecze[[#This Row],[CZAS]])</f>
        <v>0</v>
      </c>
      <c r="S1479" s="44">
        <f>IF(Mecze[[#This Row],[Role]]="BR",SUMPRODUCT(Mecze[[#This Row],[/PR:90]:[/BR:90]],Brudnopis!$E$23:$J$23),0)</f>
        <v>0</v>
      </c>
      <c r="T1479" s="44">
        <f>IF(Mecze[[#This Row],[Role]]&lt;&gt;"BR",SUMPRODUCT(Mecze[[#This Row],[/PR:90]:[/BR:90]],Brudnopis!$E$24:$J$24),0)</f>
        <v>6.1855670103092786E-2</v>
      </c>
      <c r="U1479" s="44">
        <f>IF(Mecze[[#This Row],[Role]]&lt;&gt;"BR",SUMPRODUCT(Mecze[[#This Row],[/PR:90]:[/BR:90]],Brudnopis!$E$25:$J$25),0)</f>
        <v>7.2164948453608241E-2</v>
      </c>
      <c r="V1479" s="44">
        <f>IF(Mecze[[#This Row],[Role]]&lt;&gt;"BR",SUMPRODUCT(Mecze[[#This Row],[/PR:90]:[/BR:90]],Brudnopis!$E$26:$J$26),0)</f>
        <v>6.1855670103092786E-2</v>
      </c>
      <c r="W1479" s="44">
        <f>IF(Mecze[[#This Row],[Role]]&lt;&gt;"BR",SUMPRODUCT(Mecze[[#This Row],[/PR:90]:[/BR:90]],Brudnopis!$E$27:$J$27),0)</f>
        <v>6.9587628865979384E-2</v>
      </c>
      <c r="X1479" s="44">
        <f>IF(Mecze[[#This Row],[Role]]&lt;&gt;"BR",SUMPRODUCT(Mecze[[#This Row],[/PR:90]:[/BR:90]],Brudnopis!$E$28:$J$28),0)</f>
        <v>8.247422680412371E-2</v>
      </c>
      <c r="Y1479" s="35">
        <f>IF(Mecze[[#This Row],[Role]]="BR",Mecze[[#This Row],[/OB:90]]+Mecze[[#This Row],[/PC:90]],SUM(Mecze[[#This Row],[/PR:90]:[/BR:90]]))</f>
        <v>6.1855670103092786E-2</v>
      </c>
      <c r="Z1479" s="35">
        <f>IF(Mecze[[#This Row],[KC]]=0,SUM(Mecze[[#This Row],[/BRI]:[/NPI]]),SUM(Mecze[[#This Row],[/BRI]:[/NPI]])*0.6)</f>
        <v>0.34793814432989689</v>
      </c>
      <c r="AA1479" s="10">
        <f>IFERROR(Mecze[[#This Row],[BR]]/Mecze[[#This Row],[ST]],0)</f>
        <v>0</v>
      </c>
      <c r="AB1479">
        <f>ROUND(Mecze[[#This Row],[PD]]*Mecze[[#This Row],[%PC]],0)</f>
        <v>2</v>
      </c>
      <c r="AC1479">
        <f>ROUND(Mecze[[#This Row],[OD]]*Mecze[[#This Row],[%OU]],0)</f>
        <v>0</v>
      </c>
      <c r="AD1479" s="36" t="s">
        <v>46</v>
      </c>
      <c r="AE1479" s="36">
        <v>81</v>
      </c>
      <c r="AF1479" s="71">
        <v>4.59</v>
      </c>
      <c r="AG1479" s="37">
        <v>0</v>
      </c>
      <c r="AH1479" s="37">
        <v>0</v>
      </c>
      <c r="AI1479" s="37">
        <v>97</v>
      </c>
      <c r="AJ1479" s="37">
        <v>8</v>
      </c>
      <c r="AK1479" s="37" t="str">
        <f>VLOOKUP(Mecze[[#This Row],[Match ID]],Meczusie[Mecz]:Meczusie[RodzajMeczu],2,FALSE)</f>
        <v>Liga</v>
      </c>
    </row>
    <row r="1480" spans="1:37" x14ac:dyDescent="0.25">
      <c r="A1480" s="76">
        <v>17</v>
      </c>
      <c r="B1480" s="3" t="s">
        <v>317</v>
      </c>
      <c r="C1480" s="2" t="s">
        <v>165</v>
      </c>
      <c r="D1480" s="1">
        <v>0</v>
      </c>
      <c r="E1480" s="1">
        <v>0</v>
      </c>
      <c r="F1480" s="1">
        <v>0</v>
      </c>
      <c r="G1480" s="1">
        <v>1</v>
      </c>
      <c r="H1480" s="4">
        <v>1</v>
      </c>
      <c r="I1480" s="1">
        <v>0</v>
      </c>
      <c r="J1480" s="4"/>
      <c r="K1480" s="1">
        <v>0</v>
      </c>
      <c r="L1480" s="1">
        <v>0</v>
      </c>
      <c r="M1480" s="32">
        <f>IF(Mecze[[#This Row],[PR]]=0,0,Mecze[[#This Row],[PR]]/Mecze[[#This Row],[CZAS]])</f>
        <v>0</v>
      </c>
      <c r="N1480" s="32">
        <f>IF(Mecze[[#This Row],[OU]]=0,0,Mecze[[#This Row],[OU]]/Mecze[[#This Row],[CZAS]])</f>
        <v>0</v>
      </c>
      <c r="O1480" s="32">
        <f>IF(Mecze[[#This Row],[PC]]=0,0,Mecze[[#This Row],[PC]]/Mecze[[#This Row],[CZAS]])</f>
        <v>0.33333333333333331</v>
      </c>
      <c r="P1480" s="32">
        <f>IF(Mecze[[#This Row],[SC]]=0,0,Mecze[[#This Row],[SC]]/Mecze[[#This Row],[CZAS]])</f>
        <v>0</v>
      </c>
      <c r="Q1480" s="32">
        <f>IF(Mecze[[#This Row],[OB]]=0,0,Mecze[[#This Row],[OB]]/Mecze[[#This Row],[CZAS]])</f>
        <v>0</v>
      </c>
      <c r="R1480" s="32">
        <f>IF(Mecze[[#This Row],[BR]]=0,0,Mecze[[#This Row],[BR]]/Mecze[[#This Row],[CZAS]])</f>
        <v>0</v>
      </c>
      <c r="S1480" s="44">
        <f>IF(Mecze[[#This Row],[Role]]="BR",SUMPRODUCT(Mecze[[#This Row],[/PR:90]:[/BR:90]],Brudnopis!$E$23:$J$23),0)</f>
        <v>0</v>
      </c>
      <c r="T1480" s="44">
        <f>IF(Mecze[[#This Row],[Role]]&lt;&gt;"BR",SUMPRODUCT(Mecze[[#This Row],[/PR:90]:[/BR:90]],Brudnopis!$E$24:$J$24),0)</f>
        <v>0.33333333333333331</v>
      </c>
      <c r="U1480" s="44">
        <f>IF(Mecze[[#This Row],[Role]]&lt;&gt;"BR",SUMPRODUCT(Mecze[[#This Row],[/PR:90]:[/BR:90]],Brudnopis!$E$25:$J$25),0)</f>
        <v>0.5</v>
      </c>
      <c r="V1480" s="44">
        <f>IF(Mecze[[#This Row],[Role]]&lt;&gt;"BR",SUMPRODUCT(Mecze[[#This Row],[/PR:90]:[/BR:90]],Brudnopis!$E$26:$J$26),0)</f>
        <v>0.33333333333333331</v>
      </c>
      <c r="W1480" s="44">
        <f>IF(Mecze[[#This Row],[Role]]&lt;&gt;"BR",SUMPRODUCT(Mecze[[#This Row],[/PR:90]:[/BR:90]],Brudnopis!$E$27:$J$27),0)</f>
        <v>0.5</v>
      </c>
      <c r="X1480" s="44">
        <f>IF(Mecze[[#This Row],[Role]]&lt;&gt;"BR",SUMPRODUCT(Mecze[[#This Row],[/PR:90]:[/BR:90]],Brudnopis!$E$28:$J$28),0)</f>
        <v>0.33333333333333331</v>
      </c>
      <c r="Y1480" s="35">
        <f>IF(Mecze[[#This Row],[Role]]="BR",Mecze[[#This Row],[/OB:90]]+Mecze[[#This Row],[/PC:90]],SUM(Mecze[[#This Row],[/PR:90]:[/BR:90]]))</f>
        <v>0.33333333333333331</v>
      </c>
      <c r="Z1480" s="35">
        <f>IF(Mecze[[#This Row],[KC]]=0,SUM(Mecze[[#This Row],[/BRI]:[/NPI]]),SUM(Mecze[[#This Row],[/BRI]:[/NPI]])*0.6)</f>
        <v>1.9999999999999998</v>
      </c>
      <c r="AA1480" s="10">
        <f>IFERROR(Mecze[[#This Row],[BR]]/Mecze[[#This Row],[ST]],0)</f>
        <v>0</v>
      </c>
      <c r="AB1480">
        <f>ROUND(Mecze[[#This Row],[PD]]*Mecze[[#This Row],[%PC]],0)</f>
        <v>1</v>
      </c>
      <c r="AC1480">
        <f>ROUND(Mecze[[#This Row],[OD]]*Mecze[[#This Row],[%OU]],0)</f>
        <v>0</v>
      </c>
      <c r="AD1480" s="36" t="s">
        <v>272</v>
      </c>
      <c r="AE1480" s="36">
        <v>81</v>
      </c>
      <c r="AF1480" s="71">
        <v>1.72</v>
      </c>
      <c r="AG1480" s="37">
        <v>0</v>
      </c>
      <c r="AH1480" s="37">
        <v>0</v>
      </c>
      <c r="AI1480" s="37">
        <v>3</v>
      </c>
      <c r="AJ1480" s="37">
        <v>8</v>
      </c>
      <c r="AK1480" s="37" t="str">
        <f>VLOOKUP(Mecze[[#This Row],[Match ID]],Meczusie[Mecz]:Meczusie[RodzajMeczu],2,FALSE)</f>
        <v>Liga</v>
      </c>
    </row>
    <row r="1481" spans="1:37" x14ac:dyDescent="0.25">
      <c r="A1481" s="76">
        <v>71</v>
      </c>
      <c r="B1481" s="3" t="s">
        <v>429</v>
      </c>
      <c r="C1481" s="2" t="s">
        <v>160</v>
      </c>
      <c r="D1481" s="1">
        <v>0</v>
      </c>
      <c r="E1481" s="1">
        <v>0</v>
      </c>
      <c r="F1481" s="1">
        <v>0</v>
      </c>
      <c r="G1481" s="1">
        <v>2</v>
      </c>
      <c r="H1481" s="4">
        <v>1</v>
      </c>
      <c r="I1481" s="1">
        <v>0</v>
      </c>
      <c r="J1481" s="4"/>
      <c r="K1481" s="1">
        <v>0</v>
      </c>
      <c r="L1481" s="1">
        <v>0</v>
      </c>
      <c r="M1481" s="32">
        <f>IF(Mecze[[#This Row],[PR]]=0,0,Mecze[[#This Row],[PR]]/Mecze[[#This Row],[CZAS]])</f>
        <v>0</v>
      </c>
      <c r="N1481" s="32">
        <f>IF(Mecze[[#This Row],[OU]]=0,0,Mecze[[#This Row],[OU]]/Mecze[[#This Row],[CZAS]])</f>
        <v>0</v>
      </c>
      <c r="O1481" s="32">
        <f>IF(Mecze[[#This Row],[PC]]=0,0,Mecze[[#This Row],[PC]]/Mecze[[#This Row],[CZAS]])</f>
        <v>0.66666666666666663</v>
      </c>
      <c r="P1481" s="32">
        <f>IF(Mecze[[#This Row],[SC]]=0,0,Mecze[[#This Row],[SC]]/Mecze[[#This Row],[CZAS]])</f>
        <v>0</v>
      </c>
      <c r="Q1481" s="32">
        <f>IF(Mecze[[#This Row],[OB]]=0,0,Mecze[[#This Row],[OB]]/Mecze[[#This Row],[CZAS]])</f>
        <v>0</v>
      </c>
      <c r="R1481" s="32">
        <f>IF(Mecze[[#This Row],[BR]]=0,0,Mecze[[#This Row],[BR]]/Mecze[[#This Row],[CZAS]])</f>
        <v>0</v>
      </c>
      <c r="S1481" s="44">
        <f>IF(Mecze[[#This Row],[Role]]="BR",SUMPRODUCT(Mecze[[#This Row],[/PR:90]:[/BR:90]],Brudnopis!$E$23:$J$23),0)</f>
        <v>0</v>
      </c>
      <c r="T1481" s="44">
        <f>IF(Mecze[[#This Row],[Role]]&lt;&gt;"BR",SUMPRODUCT(Mecze[[#This Row],[/PR:90]:[/BR:90]],Brudnopis!$E$24:$J$24),0)</f>
        <v>0.66666666666666663</v>
      </c>
      <c r="U1481" s="44">
        <f>IF(Mecze[[#This Row],[Role]]&lt;&gt;"BR",SUMPRODUCT(Mecze[[#This Row],[/PR:90]:[/BR:90]],Brudnopis!$E$25:$J$25),0)</f>
        <v>1</v>
      </c>
      <c r="V1481" s="44">
        <f>IF(Mecze[[#This Row],[Role]]&lt;&gt;"BR",SUMPRODUCT(Mecze[[#This Row],[/PR:90]:[/BR:90]],Brudnopis!$E$26:$J$26),0)</f>
        <v>0.66666666666666663</v>
      </c>
      <c r="W1481" s="44">
        <f>IF(Mecze[[#This Row],[Role]]&lt;&gt;"BR",SUMPRODUCT(Mecze[[#This Row],[/PR:90]:[/BR:90]],Brudnopis!$E$27:$J$27),0)</f>
        <v>1</v>
      </c>
      <c r="X1481" s="44">
        <f>IF(Mecze[[#This Row],[Role]]&lt;&gt;"BR",SUMPRODUCT(Mecze[[#This Row],[/PR:90]:[/BR:90]],Brudnopis!$E$28:$J$28),0)</f>
        <v>0.66666666666666663</v>
      </c>
      <c r="Y1481" s="35">
        <f>IF(Mecze[[#This Row],[Role]]="BR",Mecze[[#This Row],[/OB:90]]+Mecze[[#This Row],[/PC:90]],SUM(Mecze[[#This Row],[/PR:90]:[/BR:90]]))</f>
        <v>0.66666666666666663</v>
      </c>
      <c r="Z1481" s="35">
        <f>IF(Mecze[[#This Row],[KC]]=0,SUM(Mecze[[#This Row],[/BRI]:[/NPI]]),SUM(Mecze[[#This Row],[/BRI]:[/NPI]])*0.6)</f>
        <v>3.9999999999999996</v>
      </c>
      <c r="AA1481" s="10">
        <f>IFERROR(Mecze[[#This Row],[BR]]/Mecze[[#This Row],[ST]],0)</f>
        <v>0</v>
      </c>
      <c r="AB1481">
        <f>ROUND(Mecze[[#This Row],[PD]]*Mecze[[#This Row],[%PC]],0)</f>
        <v>2</v>
      </c>
      <c r="AC1481">
        <f>ROUND(Mecze[[#This Row],[OD]]*Mecze[[#This Row],[%OU]],0)</f>
        <v>0</v>
      </c>
      <c r="AD1481" s="36" t="s">
        <v>41</v>
      </c>
      <c r="AE1481" s="36">
        <v>81</v>
      </c>
      <c r="AF1481" s="71">
        <v>1.72</v>
      </c>
      <c r="AG1481" s="37">
        <v>0</v>
      </c>
      <c r="AH1481" s="37">
        <v>0</v>
      </c>
      <c r="AI1481" s="37">
        <v>3</v>
      </c>
      <c r="AJ1481" s="37">
        <v>8</v>
      </c>
      <c r="AK1481" s="37" t="str">
        <f>VLOOKUP(Mecze[[#This Row],[Match ID]],Meczusie[Mecz]:Meczusie[RodzajMeczu],2,FALSE)</f>
        <v>Liga</v>
      </c>
    </row>
    <row r="1482" spans="1:37" x14ac:dyDescent="0.25">
      <c r="A1482" s="76">
        <v>68</v>
      </c>
      <c r="B1482" s="3" t="s">
        <v>416</v>
      </c>
      <c r="C1482" s="2" t="s">
        <v>165</v>
      </c>
      <c r="D1482" s="1">
        <v>0</v>
      </c>
      <c r="E1482" s="1">
        <v>0</v>
      </c>
      <c r="F1482" s="1">
        <v>0</v>
      </c>
      <c r="G1482" s="1">
        <v>0</v>
      </c>
      <c r="H1482" s="72"/>
      <c r="I1482" s="1">
        <v>0</v>
      </c>
      <c r="J1482" s="4"/>
      <c r="K1482" s="1">
        <v>0</v>
      </c>
      <c r="L1482" s="1">
        <v>0</v>
      </c>
      <c r="M1482" s="32">
        <f>IF(Mecze[[#This Row],[PR]]=0,0,Mecze[[#This Row],[PR]]/Mecze[[#This Row],[CZAS]])</f>
        <v>0</v>
      </c>
      <c r="N1482" s="32">
        <f>IF(Mecze[[#This Row],[OU]]=0,0,Mecze[[#This Row],[OU]]/Mecze[[#This Row],[CZAS]])</f>
        <v>0</v>
      </c>
      <c r="O1482" s="32">
        <f>IF(Mecze[[#This Row],[PC]]=0,0,Mecze[[#This Row],[PC]]/Mecze[[#This Row],[CZAS]])</f>
        <v>0</v>
      </c>
      <c r="P1482" s="32">
        <f>IF(Mecze[[#This Row],[SC]]=0,0,Mecze[[#This Row],[SC]]/Mecze[[#This Row],[CZAS]])</f>
        <v>0</v>
      </c>
      <c r="Q1482" s="32">
        <f>IF(Mecze[[#This Row],[OB]]=0,0,Mecze[[#This Row],[OB]]/Mecze[[#This Row],[CZAS]])</f>
        <v>0</v>
      </c>
      <c r="R1482" s="32">
        <f>IF(Mecze[[#This Row],[BR]]=0,0,Mecze[[#This Row],[BR]]/Mecze[[#This Row],[CZAS]])</f>
        <v>0</v>
      </c>
      <c r="S1482" s="44">
        <f>IF(Mecze[[#This Row],[Role]]="BR",SUMPRODUCT(Mecze[[#This Row],[/PR:90]:[/BR:90]],Brudnopis!$E$23:$J$23),0)</f>
        <v>0</v>
      </c>
      <c r="T1482" s="44">
        <f>IF(Mecze[[#This Row],[Role]]&lt;&gt;"BR",SUMPRODUCT(Mecze[[#This Row],[/PR:90]:[/BR:90]],Brudnopis!$E$24:$J$24),0)</f>
        <v>0</v>
      </c>
      <c r="U1482" s="44">
        <f>IF(Mecze[[#This Row],[Role]]&lt;&gt;"BR",SUMPRODUCT(Mecze[[#This Row],[/PR:90]:[/BR:90]],Brudnopis!$E$25:$J$25),0)</f>
        <v>0</v>
      </c>
      <c r="V1482" s="44">
        <f>IF(Mecze[[#This Row],[Role]]&lt;&gt;"BR",SUMPRODUCT(Mecze[[#This Row],[/PR:90]:[/BR:90]],Brudnopis!$E$26:$J$26),0)</f>
        <v>0</v>
      </c>
      <c r="W1482" s="44">
        <f>IF(Mecze[[#This Row],[Role]]&lt;&gt;"BR",SUMPRODUCT(Mecze[[#This Row],[/PR:90]:[/BR:90]],Brudnopis!$E$27:$J$27),0)</f>
        <v>0</v>
      </c>
      <c r="X1482" s="44">
        <f>IF(Mecze[[#This Row],[Role]]&lt;&gt;"BR",SUMPRODUCT(Mecze[[#This Row],[/PR:90]:[/BR:90]],Brudnopis!$E$28:$J$28),0)</f>
        <v>0</v>
      </c>
      <c r="Y1482" s="35">
        <f>IF(Mecze[[#This Row],[Role]]="BR",Mecze[[#This Row],[/OB:90]]+Mecze[[#This Row],[/PC:90]],SUM(Mecze[[#This Row],[/PR:90]:[/BR:90]]))</f>
        <v>0</v>
      </c>
      <c r="Z1482" s="35">
        <f>IF(Mecze[[#This Row],[KC]]=0,SUM(Mecze[[#This Row],[/BRI]:[/NPI]]),SUM(Mecze[[#This Row],[/BRI]:[/NPI]])*0.6)</f>
        <v>0</v>
      </c>
      <c r="AA1482" s="10">
        <f>IFERROR(Mecze[[#This Row],[BR]]/Mecze[[#This Row],[ST]],0)</f>
        <v>0</v>
      </c>
      <c r="AB1482">
        <f>ROUND(Mecze[[#This Row],[PD]]*Mecze[[#This Row],[%PC]],0)</f>
        <v>0</v>
      </c>
      <c r="AC1482">
        <f>ROUND(Mecze[[#This Row],[OD]]*Mecze[[#This Row],[%OU]],0)</f>
        <v>0</v>
      </c>
      <c r="AD1482" s="36" t="s">
        <v>273</v>
      </c>
      <c r="AE1482" s="36">
        <v>81</v>
      </c>
      <c r="AF1482" s="71">
        <v>1.72</v>
      </c>
      <c r="AG1482" s="37">
        <v>0</v>
      </c>
      <c r="AH1482" s="37">
        <v>0</v>
      </c>
      <c r="AI1482" s="37">
        <v>3</v>
      </c>
      <c r="AJ1482" s="37">
        <v>8</v>
      </c>
      <c r="AK1482" s="37" t="str">
        <f>VLOOKUP(Mecze[[#This Row],[Match ID]],Meczusie[Mecz]:Meczusie[RodzajMeczu],2,FALSE)</f>
        <v>Liga</v>
      </c>
    </row>
    <row r="1483" spans="1:37" x14ac:dyDescent="0.25">
      <c r="A1483" s="76">
        <v>1</v>
      </c>
      <c r="B1483" s="3" t="s">
        <v>261</v>
      </c>
      <c r="C1483" s="2" t="s">
        <v>155</v>
      </c>
      <c r="D1483" s="1">
        <v>0</v>
      </c>
      <c r="E1483" s="1">
        <v>0</v>
      </c>
      <c r="F1483" s="1">
        <v>0</v>
      </c>
      <c r="G1483" s="1">
        <v>14</v>
      </c>
      <c r="H1483" s="4">
        <v>0.43</v>
      </c>
      <c r="I1483" s="1">
        <v>0</v>
      </c>
      <c r="J1483" s="4"/>
      <c r="K1483" s="1">
        <v>17</v>
      </c>
      <c r="L1483" s="1">
        <v>0</v>
      </c>
      <c r="M1483" s="32">
        <f>IF(Mecze[[#This Row],[PR]]=0,0,Mecze[[#This Row],[PR]]/Mecze[[#This Row],[CZAS]])</f>
        <v>0</v>
      </c>
      <c r="N1483" s="32">
        <f>IF(Mecze[[#This Row],[OU]]=0,0,Mecze[[#This Row],[OU]]/Mecze[[#This Row],[CZAS]])</f>
        <v>0</v>
      </c>
      <c r="O1483" s="32">
        <f>IF(Mecze[[#This Row],[PC]]=0,0,Mecze[[#This Row],[PC]]/Mecze[[#This Row],[CZAS]])</f>
        <v>6.1855670103092786E-2</v>
      </c>
      <c r="P1483" s="32">
        <f>IF(Mecze[[#This Row],[SC]]=0,0,Mecze[[#This Row],[SC]]/Mecze[[#This Row],[CZAS]])</f>
        <v>0</v>
      </c>
      <c r="Q1483" s="32">
        <f>IF(Mecze[[#This Row],[OB]]=0,0,Mecze[[#This Row],[OB]]/Mecze[[#This Row],[CZAS]])</f>
        <v>0.17525773195876287</v>
      </c>
      <c r="R1483" s="32">
        <f>IF(Mecze[[#This Row],[BR]]=0,0,Mecze[[#This Row],[BR]]/Mecze[[#This Row],[CZAS]])</f>
        <v>0</v>
      </c>
      <c r="S1483" s="44">
        <f>IF(Mecze[[#This Row],[Role]]="BR",SUMPRODUCT(Mecze[[#This Row],[/PR:90]:[/BR:90]],Brudnopis!$E$23:$J$23),0)</f>
        <v>0.71134020618556693</v>
      </c>
      <c r="T1483" s="44">
        <f>IF(Mecze[[#This Row],[Role]]&lt;&gt;"BR",SUMPRODUCT(Mecze[[#This Row],[/PR:90]:[/BR:90]],Brudnopis!$E$24:$J$24),0)</f>
        <v>0</v>
      </c>
      <c r="U1483" s="44">
        <f>IF(Mecze[[#This Row],[Role]]&lt;&gt;"BR",SUMPRODUCT(Mecze[[#This Row],[/PR:90]:[/BR:90]],Brudnopis!$E$25:$J$25),0)</f>
        <v>0</v>
      </c>
      <c r="V1483" s="44">
        <f>IF(Mecze[[#This Row],[Role]]&lt;&gt;"BR",SUMPRODUCT(Mecze[[#This Row],[/PR:90]:[/BR:90]],Brudnopis!$E$26:$J$26),0)</f>
        <v>0</v>
      </c>
      <c r="W1483" s="44">
        <f>IF(Mecze[[#This Row],[Role]]&lt;&gt;"BR",SUMPRODUCT(Mecze[[#This Row],[/PR:90]:[/BR:90]],Brudnopis!$E$27:$J$27),0)</f>
        <v>0</v>
      </c>
      <c r="X1483" s="44">
        <f>IF(Mecze[[#This Row],[Role]]&lt;&gt;"BR",SUMPRODUCT(Mecze[[#This Row],[/PR:90]:[/BR:90]],Brudnopis!$E$28:$J$28),0)</f>
        <v>0</v>
      </c>
      <c r="Y1483" s="35">
        <f>IF(Mecze[[#This Row],[Role]]="BR",Mecze[[#This Row],[/OB:90]]+Mecze[[#This Row],[/PC:90]],SUM(Mecze[[#This Row],[/PR:90]:[/BR:90]]))</f>
        <v>0.23711340206185566</v>
      </c>
      <c r="Z1483" s="35">
        <f>IF(Mecze[[#This Row],[KC]]=0,SUM(Mecze[[#This Row],[/BRI]:[/NPI]]),SUM(Mecze[[#This Row],[/BRI]:[/NPI]])*0.6)</f>
        <v>0.71134020618556693</v>
      </c>
      <c r="AA1483" s="10">
        <f>IFERROR(Mecze[[#This Row],[BR]]/Mecze[[#This Row],[ST]],0)</f>
        <v>0</v>
      </c>
      <c r="AB1483">
        <f>ROUND(Mecze[[#This Row],[PD]]*Mecze[[#This Row],[%PC]],0)</f>
        <v>6</v>
      </c>
      <c r="AC1483">
        <f>ROUND(Mecze[[#This Row],[OD]]*Mecze[[#This Row],[%OU]],0)</f>
        <v>0</v>
      </c>
      <c r="AD1483" s="36" t="s">
        <v>40</v>
      </c>
      <c r="AE1483" s="36">
        <v>81</v>
      </c>
      <c r="AF1483" s="71">
        <v>7.54</v>
      </c>
      <c r="AG1483" s="37">
        <v>0</v>
      </c>
      <c r="AH1483" s="37">
        <v>0</v>
      </c>
      <c r="AI1483" s="37">
        <v>97</v>
      </c>
      <c r="AJ1483" s="37">
        <v>3</v>
      </c>
      <c r="AK1483" s="37" t="str">
        <f>VLOOKUP(Mecze[[#This Row],[Match ID]],Meczusie[Mecz]:Meczusie[RodzajMeczu],2,FALSE)</f>
        <v>Liga</v>
      </c>
    </row>
    <row r="1484" spans="1:37" x14ac:dyDescent="0.25">
      <c r="A1484" s="76">
        <v>13</v>
      </c>
      <c r="B1484" s="3" t="s">
        <v>262</v>
      </c>
      <c r="C1484" s="2" t="s">
        <v>157</v>
      </c>
      <c r="D1484" s="1">
        <v>0</v>
      </c>
      <c r="E1484" s="1">
        <v>0</v>
      </c>
      <c r="F1484" s="1">
        <v>0</v>
      </c>
      <c r="G1484" s="1">
        <v>1</v>
      </c>
      <c r="H1484" s="4">
        <v>1</v>
      </c>
      <c r="I1484" s="1">
        <v>5</v>
      </c>
      <c r="J1484" s="4">
        <v>0.2</v>
      </c>
      <c r="K1484" s="1">
        <v>0</v>
      </c>
      <c r="L1484" s="1">
        <v>0</v>
      </c>
      <c r="M1484" s="32">
        <f>IF(Mecze[[#This Row],[PR]]=0,0,Mecze[[#This Row],[PR]]/Mecze[[#This Row],[CZAS]])</f>
        <v>0</v>
      </c>
      <c r="N1484" s="32">
        <f>IF(Mecze[[#This Row],[OU]]=0,0,Mecze[[#This Row],[OU]]/Mecze[[#This Row],[CZAS]])</f>
        <v>1.0309278350515464E-2</v>
      </c>
      <c r="O1484" s="32">
        <f>IF(Mecze[[#This Row],[PC]]=0,0,Mecze[[#This Row],[PC]]/Mecze[[#This Row],[CZAS]])</f>
        <v>1.0309278350515464E-2</v>
      </c>
      <c r="P1484" s="32">
        <f>IF(Mecze[[#This Row],[SC]]=0,0,Mecze[[#This Row],[SC]]/Mecze[[#This Row],[CZAS]])</f>
        <v>0</v>
      </c>
      <c r="Q1484" s="32">
        <f>IF(Mecze[[#This Row],[OB]]=0,0,Mecze[[#This Row],[OB]]/Mecze[[#This Row],[CZAS]])</f>
        <v>0</v>
      </c>
      <c r="R1484" s="32">
        <f>IF(Mecze[[#This Row],[BR]]=0,0,Mecze[[#This Row],[BR]]/Mecze[[#This Row],[CZAS]])</f>
        <v>0</v>
      </c>
      <c r="S1484" s="44">
        <f>IF(Mecze[[#This Row],[Role]]="BR",SUMPRODUCT(Mecze[[#This Row],[/PR:90]:[/BR:90]],Brudnopis!$E$23:$J$23),0)</f>
        <v>0</v>
      </c>
      <c r="T1484" s="44">
        <f>IF(Mecze[[#This Row],[Role]]&lt;&gt;"BR",SUMPRODUCT(Mecze[[#This Row],[/PR:90]:[/BR:90]],Brudnopis!$E$24:$J$24),0)</f>
        <v>2.5773195876288658E-2</v>
      </c>
      <c r="U1484" s="44">
        <f>IF(Mecze[[#This Row],[Role]]&lt;&gt;"BR",SUMPRODUCT(Mecze[[#This Row],[/PR:90]:[/BR:90]],Brudnopis!$E$25:$J$25),0)</f>
        <v>2.5773195876288658E-2</v>
      </c>
      <c r="V1484" s="44">
        <f>IF(Mecze[[#This Row],[Role]]&lt;&gt;"BR",SUMPRODUCT(Mecze[[#This Row],[/PR:90]:[/BR:90]],Brudnopis!$E$26:$J$26),0)</f>
        <v>2.0618556701030927E-2</v>
      </c>
      <c r="W1484" s="44">
        <f>IF(Mecze[[#This Row],[Role]]&lt;&gt;"BR",SUMPRODUCT(Mecze[[#This Row],[/PR:90]:[/BR:90]],Brudnopis!$E$27:$J$27),0)</f>
        <v>2.3195876288659795E-2</v>
      </c>
      <c r="X1484" s="44">
        <f>IF(Mecze[[#This Row],[Role]]&lt;&gt;"BR",SUMPRODUCT(Mecze[[#This Row],[/PR:90]:[/BR:90]],Brudnopis!$E$28:$J$28),0)</f>
        <v>1.0309278350515464E-2</v>
      </c>
      <c r="Y1484" s="35">
        <f>IF(Mecze[[#This Row],[Role]]="BR",Mecze[[#This Row],[/OB:90]]+Mecze[[#This Row],[/PC:90]],SUM(Mecze[[#This Row],[/PR:90]:[/BR:90]]))</f>
        <v>2.0618556701030927E-2</v>
      </c>
      <c r="Z1484" s="35">
        <f>IF(Mecze[[#This Row],[KC]]=0,SUM(Mecze[[#This Row],[/BRI]:[/NPI]]),SUM(Mecze[[#This Row],[/BRI]:[/NPI]])*0.6)</f>
        <v>0.1056701030927835</v>
      </c>
      <c r="AA1484" s="10">
        <f>IFERROR(Mecze[[#This Row],[BR]]/Mecze[[#This Row],[ST]],0)</f>
        <v>0</v>
      </c>
      <c r="AB1484">
        <f>ROUND(Mecze[[#This Row],[PD]]*Mecze[[#This Row],[%PC]],0)</f>
        <v>1</v>
      </c>
      <c r="AC1484">
        <f>ROUND(Mecze[[#This Row],[OD]]*Mecze[[#This Row],[%OU]],0)</f>
        <v>1</v>
      </c>
      <c r="AD1484" s="36" t="s">
        <v>175</v>
      </c>
      <c r="AE1484" s="36">
        <v>81</v>
      </c>
      <c r="AF1484" s="71">
        <v>1.59</v>
      </c>
      <c r="AG1484" s="37">
        <v>0</v>
      </c>
      <c r="AH1484" s="37">
        <v>0</v>
      </c>
      <c r="AI1484" s="37">
        <v>97</v>
      </c>
      <c r="AJ1484" s="37">
        <v>3</v>
      </c>
      <c r="AK1484" s="37" t="str">
        <f>VLOOKUP(Mecze[[#This Row],[Match ID]],Meczusie[Mecz]:Meczusie[RodzajMeczu],2,FALSE)</f>
        <v>Liga</v>
      </c>
    </row>
    <row r="1485" spans="1:37" x14ac:dyDescent="0.25">
      <c r="A1485" s="76">
        <v>4</v>
      </c>
      <c r="B1485" s="3" t="s">
        <v>264</v>
      </c>
      <c r="C1485" s="2" t="s">
        <v>157</v>
      </c>
      <c r="D1485" s="1">
        <v>0</v>
      </c>
      <c r="E1485" s="1">
        <v>0</v>
      </c>
      <c r="F1485" s="1">
        <v>0</v>
      </c>
      <c r="G1485" s="1">
        <v>6</v>
      </c>
      <c r="H1485" s="4">
        <v>0.83</v>
      </c>
      <c r="I1485" s="1">
        <v>6</v>
      </c>
      <c r="J1485" s="4">
        <v>0.17</v>
      </c>
      <c r="K1485" s="1">
        <v>0</v>
      </c>
      <c r="L1485" s="1">
        <v>1</v>
      </c>
      <c r="M1485" s="32">
        <f>IF(Mecze[[#This Row],[PR]]=0,0,Mecze[[#This Row],[PR]]/Mecze[[#This Row],[CZAS]])</f>
        <v>1.0309278350515464E-2</v>
      </c>
      <c r="N1485" s="32">
        <f>IF(Mecze[[#This Row],[OU]]=0,0,Mecze[[#This Row],[OU]]/Mecze[[#This Row],[CZAS]])</f>
        <v>1.0309278350515464E-2</v>
      </c>
      <c r="O1485" s="32">
        <f>IF(Mecze[[#This Row],[PC]]=0,0,Mecze[[#This Row],[PC]]/Mecze[[#This Row],[CZAS]])</f>
        <v>5.1546391752577317E-2</v>
      </c>
      <c r="P1485" s="32">
        <f>IF(Mecze[[#This Row],[SC]]=0,0,Mecze[[#This Row],[SC]]/Mecze[[#This Row],[CZAS]])</f>
        <v>0</v>
      </c>
      <c r="Q1485" s="32">
        <f>IF(Mecze[[#This Row],[OB]]=0,0,Mecze[[#This Row],[OB]]/Mecze[[#This Row],[CZAS]])</f>
        <v>0</v>
      </c>
      <c r="R1485" s="32">
        <f>IF(Mecze[[#This Row],[BR]]=0,0,Mecze[[#This Row],[BR]]/Mecze[[#This Row],[CZAS]])</f>
        <v>0</v>
      </c>
      <c r="S1485" s="44">
        <f>IF(Mecze[[#This Row],[Role]]="BR",SUMPRODUCT(Mecze[[#This Row],[/PR:90]:[/BR:90]],Brudnopis!$E$23:$J$23),0)</f>
        <v>0</v>
      </c>
      <c r="T1485" s="44">
        <f>IF(Mecze[[#This Row],[Role]]&lt;&gt;"BR",SUMPRODUCT(Mecze[[#This Row],[/PR:90]:[/BR:90]],Brudnopis!$E$24:$J$24),0)</f>
        <v>7.7319587628865982E-2</v>
      </c>
      <c r="U1485" s="44">
        <f>IF(Mecze[[#This Row],[Role]]&lt;&gt;"BR",SUMPRODUCT(Mecze[[#This Row],[/PR:90]:[/BR:90]],Brudnopis!$E$25:$J$25),0)</f>
        <v>9.7938144329896906E-2</v>
      </c>
      <c r="V1485" s="44">
        <f>IF(Mecze[[#This Row],[Role]]&lt;&gt;"BR",SUMPRODUCT(Mecze[[#This Row],[/PR:90]:[/BR:90]],Brudnopis!$E$26:$J$26),0)</f>
        <v>7.2164948453608241E-2</v>
      </c>
      <c r="W1485" s="44">
        <f>IF(Mecze[[#This Row],[Role]]&lt;&gt;"BR",SUMPRODUCT(Mecze[[#This Row],[/PR:90]:[/BR:90]],Brudnopis!$E$27:$J$27),0)</f>
        <v>9.2783505154639179E-2</v>
      </c>
      <c r="X1485" s="44">
        <f>IF(Mecze[[#This Row],[Role]]&lt;&gt;"BR",SUMPRODUCT(Mecze[[#This Row],[/PR:90]:[/BR:90]],Brudnopis!$E$28:$J$28),0)</f>
        <v>5.1546391752577317E-2</v>
      </c>
      <c r="Y1485" s="35">
        <f>IF(Mecze[[#This Row],[Role]]="BR",Mecze[[#This Row],[/OB:90]]+Mecze[[#This Row],[/PC:90]],SUM(Mecze[[#This Row],[/PR:90]:[/BR:90]]))</f>
        <v>7.2164948453608241E-2</v>
      </c>
      <c r="Z1485" s="35">
        <f>IF(Mecze[[#This Row],[KC]]=0,SUM(Mecze[[#This Row],[/BRI]:[/NPI]]),SUM(Mecze[[#This Row],[/BRI]:[/NPI]])*0.6)</f>
        <v>0.39175257731958762</v>
      </c>
      <c r="AA1485" s="10">
        <f>IFERROR(Mecze[[#This Row],[BR]]/Mecze[[#This Row],[ST]],0)</f>
        <v>0</v>
      </c>
      <c r="AB1485">
        <f>ROUND(Mecze[[#This Row],[PD]]*Mecze[[#This Row],[%PC]],0)</f>
        <v>5</v>
      </c>
      <c r="AC1485">
        <f>ROUND(Mecze[[#This Row],[OD]]*Mecze[[#This Row],[%OU]],0)</f>
        <v>1</v>
      </c>
      <c r="AD1485" s="36" t="s">
        <v>174</v>
      </c>
      <c r="AE1485" s="36">
        <v>81</v>
      </c>
      <c r="AF1485" s="71">
        <v>1.8</v>
      </c>
      <c r="AG1485" s="37">
        <v>0</v>
      </c>
      <c r="AH1485" s="37">
        <v>0</v>
      </c>
      <c r="AI1485" s="37">
        <v>97</v>
      </c>
      <c r="AJ1485" s="37">
        <v>3</v>
      </c>
      <c r="AK1485" s="37" t="str">
        <f>VLOOKUP(Mecze[[#This Row],[Match ID]],Meczusie[Mecz]:Meczusie[RodzajMeczu],2,FALSE)</f>
        <v>Liga</v>
      </c>
    </row>
    <row r="1486" spans="1:37" x14ac:dyDescent="0.25">
      <c r="A1486" s="76">
        <v>6</v>
      </c>
      <c r="B1486" s="3" t="s">
        <v>263</v>
      </c>
      <c r="C1486" s="2" t="s">
        <v>157</v>
      </c>
      <c r="D1486" s="1">
        <v>0</v>
      </c>
      <c r="E1486" s="1">
        <v>0</v>
      </c>
      <c r="F1486" s="1">
        <v>0</v>
      </c>
      <c r="G1486" s="1">
        <v>12</v>
      </c>
      <c r="H1486" s="4">
        <v>0.67</v>
      </c>
      <c r="I1486" s="1">
        <v>9</v>
      </c>
      <c r="J1486" s="4">
        <v>0.44</v>
      </c>
      <c r="K1486" s="1">
        <v>0</v>
      </c>
      <c r="L1486" s="1">
        <v>7</v>
      </c>
      <c r="M1486" s="32">
        <f>IF(Mecze[[#This Row],[PR]]=0,0,Mecze[[#This Row],[PR]]/Mecze[[#This Row],[CZAS]])</f>
        <v>7.2164948453608241E-2</v>
      </c>
      <c r="N1486" s="32">
        <f>IF(Mecze[[#This Row],[OU]]=0,0,Mecze[[#This Row],[OU]]/Mecze[[#This Row],[CZAS]])</f>
        <v>4.1237113402061855E-2</v>
      </c>
      <c r="O1486" s="32">
        <f>IF(Mecze[[#This Row],[PC]]=0,0,Mecze[[#This Row],[PC]]/Mecze[[#This Row],[CZAS]])</f>
        <v>8.247422680412371E-2</v>
      </c>
      <c r="P1486" s="32">
        <f>IF(Mecze[[#This Row],[SC]]=0,0,Mecze[[#This Row],[SC]]/Mecze[[#This Row],[CZAS]])</f>
        <v>0</v>
      </c>
      <c r="Q1486" s="32">
        <f>IF(Mecze[[#This Row],[OB]]=0,0,Mecze[[#This Row],[OB]]/Mecze[[#This Row],[CZAS]])</f>
        <v>0</v>
      </c>
      <c r="R1486" s="32">
        <f>IF(Mecze[[#This Row],[BR]]=0,0,Mecze[[#This Row],[BR]]/Mecze[[#This Row],[CZAS]])</f>
        <v>0</v>
      </c>
      <c r="S1486" s="44">
        <f>IF(Mecze[[#This Row],[Role]]="BR",SUMPRODUCT(Mecze[[#This Row],[/PR:90]:[/BR:90]],Brudnopis!$E$23:$J$23),0)</f>
        <v>0</v>
      </c>
      <c r="T1486" s="44">
        <f>IF(Mecze[[#This Row],[Role]]&lt;&gt;"BR",SUMPRODUCT(Mecze[[#This Row],[/PR:90]:[/BR:90]],Brudnopis!$E$24:$J$24),0)</f>
        <v>0.21649484536082475</v>
      </c>
      <c r="U1486" s="44">
        <f>IF(Mecze[[#This Row],[Role]]&lt;&gt;"BR",SUMPRODUCT(Mecze[[#This Row],[/PR:90]:[/BR:90]],Brudnopis!$E$25:$J$25),0)</f>
        <v>0.23711340206185566</v>
      </c>
      <c r="V1486" s="44">
        <f>IF(Mecze[[#This Row],[Role]]&lt;&gt;"BR",SUMPRODUCT(Mecze[[#This Row],[/PR:90]:[/BR:90]],Brudnopis!$E$26:$J$26),0)</f>
        <v>0.19587628865979378</v>
      </c>
      <c r="W1486" s="44">
        <f>IF(Mecze[[#This Row],[Role]]&lt;&gt;"BR",SUMPRODUCT(Mecze[[#This Row],[/PR:90]:[/BR:90]],Brudnopis!$E$27:$J$27),0)</f>
        <v>0.20876288659793815</v>
      </c>
      <c r="X1486" s="44">
        <f>IF(Mecze[[#This Row],[Role]]&lt;&gt;"BR",SUMPRODUCT(Mecze[[#This Row],[/PR:90]:[/BR:90]],Brudnopis!$E$28:$J$28),0)</f>
        <v>8.247422680412371E-2</v>
      </c>
      <c r="Y1486" s="35">
        <f>IF(Mecze[[#This Row],[Role]]="BR",Mecze[[#This Row],[/OB:90]]+Mecze[[#This Row],[/PC:90]],SUM(Mecze[[#This Row],[/PR:90]:[/BR:90]]))</f>
        <v>0.19587628865979378</v>
      </c>
      <c r="Z1486" s="35">
        <f>IF(Mecze[[#This Row],[KC]]=0,SUM(Mecze[[#This Row],[/BRI]:[/NPI]]),SUM(Mecze[[#This Row],[/BRI]:[/NPI]])*0.6)</f>
        <v>0.94072164948453607</v>
      </c>
      <c r="AA1486" s="10">
        <f>IFERROR(Mecze[[#This Row],[BR]]/Mecze[[#This Row],[ST]],0)</f>
        <v>0</v>
      </c>
      <c r="AB1486">
        <f>ROUND(Mecze[[#This Row],[PD]]*Mecze[[#This Row],[%PC]],0)</f>
        <v>8</v>
      </c>
      <c r="AC1486">
        <f>ROUND(Mecze[[#This Row],[OD]]*Mecze[[#This Row],[%OU]],0)</f>
        <v>4</v>
      </c>
      <c r="AD1486" s="36" t="s">
        <v>47</v>
      </c>
      <c r="AE1486" s="36">
        <v>81</v>
      </c>
      <c r="AF1486" s="71">
        <v>3.06</v>
      </c>
      <c r="AG1486" s="37">
        <v>0</v>
      </c>
      <c r="AH1486" s="37">
        <v>0</v>
      </c>
      <c r="AI1486" s="37">
        <v>97</v>
      </c>
      <c r="AJ1486" s="37">
        <v>3</v>
      </c>
      <c r="AK1486" s="37" t="str">
        <f>VLOOKUP(Mecze[[#This Row],[Match ID]],Meczusie[Mecz]:Meczusie[RodzajMeczu],2,FALSE)</f>
        <v>Liga</v>
      </c>
    </row>
    <row r="1487" spans="1:37" x14ac:dyDescent="0.25">
      <c r="A1487" s="76">
        <v>2</v>
      </c>
      <c r="B1487" s="3" t="s">
        <v>265</v>
      </c>
      <c r="C1487" s="2" t="s">
        <v>157</v>
      </c>
      <c r="D1487" s="1">
        <v>0</v>
      </c>
      <c r="E1487" s="1">
        <v>0</v>
      </c>
      <c r="F1487" s="1">
        <v>0</v>
      </c>
      <c r="G1487" s="1">
        <v>11</v>
      </c>
      <c r="H1487" s="4">
        <v>0.73</v>
      </c>
      <c r="I1487" s="1">
        <v>9</v>
      </c>
      <c r="J1487" s="4">
        <v>0.56000000000000005</v>
      </c>
      <c r="K1487" s="1">
        <v>0</v>
      </c>
      <c r="L1487" s="1">
        <v>7</v>
      </c>
      <c r="M1487" s="32">
        <f>IF(Mecze[[#This Row],[PR]]=0,0,Mecze[[#This Row],[PR]]/Mecze[[#This Row],[CZAS]])</f>
        <v>7.2164948453608241E-2</v>
      </c>
      <c r="N1487" s="32">
        <f>IF(Mecze[[#This Row],[OU]]=0,0,Mecze[[#This Row],[OU]]/Mecze[[#This Row],[CZAS]])</f>
        <v>5.1546391752577317E-2</v>
      </c>
      <c r="O1487" s="32">
        <f>IF(Mecze[[#This Row],[PC]]=0,0,Mecze[[#This Row],[PC]]/Mecze[[#This Row],[CZAS]])</f>
        <v>8.247422680412371E-2</v>
      </c>
      <c r="P1487" s="32">
        <f>IF(Mecze[[#This Row],[SC]]=0,0,Mecze[[#This Row],[SC]]/Mecze[[#This Row],[CZAS]])</f>
        <v>0</v>
      </c>
      <c r="Q1487" s="32">
        <f>IF(Mecze[[#This Row],[OB]]=0,0,Mecze[[#This Row],[OB]]/Mecze[[#This Row],[CZAS]])</f>
        <v>0</v>
      </c>
      <c r="R1487" s="32">
        <f>IF(Mecze[[#This Row],[BR]]=0,0,Mecze[[#This Row],[BR]]/Mecze[[#This Row],[CZAS]])</f>
        <v>0</v>
      </c>
      <c r="S1487" s="44">
        <f>IF(Mecze[[#This Row],[Role]]="BR",SUMPRODUCT(Mecze[[#This Row],[/PR:90]:[/BR:90]],Brudnopis!$E$23:$J$23),0)</f>
        <v>0</v>
      </c>
      <c r="T1487" s="44">
        <f>IF(Mecze[[#This Row],[Role]]&lt;&gt;"BR",SUMPRODUCT(Mecze[[#This Row],[/PR:90]:[/BR:90]],Brudnopis!$E$24:$J$24),0)</f>
        <v>0.23195876288659795</v>
      </c>
      <c r="U1487" s="44">
        <f>IF(Mecze[[#This Row],[Role]]&lt;&gt;"BR",SUMPRODUCT(Mecze[[#This Row],[/PR:90]:[/BR:90]],Brudnopis!$E$25:$J$25),0)</f>
        <v>0.24742268041237114</v>
      </c>
      <c r="V1487" s="44">
        <f>IF(Mecze[[#This Row],[Role]]&lt;&gt;"BR",SUMPRODUCT(Mecze[[#This Row],[/PR:90]:[/BR:90]],Brudnopis!$E$26:$J$26),0)</f>
        <v>0.20618556701030927</v>
      </c>
      <c r="W1487" s="44">
        <f>IF(Mecze[[#This Row],[Role]]&lt;&gt;"BR",SUMPRODUCT(Mecze[[#This Row],[/PR:90]:[/BR:90]],Brudnopis!$E$27:$J$27),0)</f>
        <v>0.21649484536082475</v>
      </c>
      <c r="X1487" s="44">
        <f>IF(Mecze[[#This Row],[Role]]&lt;&gt;"BR",SUMPRODUCT(Mecze[[#This Row],[/PR:90]:[/BR:90]],Brudnopis!$E$28:$J$28),0)</f>
        <v>8.247422680412371E-2</v>
      </c>
      <c r="Y1487" s="35">
        <f>IF(Mecze[[#This Row],[Role]]="BR",Mecze[[#This Row],[/OB:90]]+Mecze[[#This Row],[/PC:90]],SUM(Mecze[[#This Row],[/PR:90]:[/BR:90]]))</f>
        <v>0.20618556701030927</v>
      </c>
      <c r="Z1487" s="35">
        <f>IF(Mecze[[#This Row],[KC]]=0,SUM(Mecze[[#This Row],[/BRI]:[/NPI]]),SUM(Mecze[[#This Row],[/BRI]:[/NPI]])*0.6)</f>
        <v>0.98453608247422686</v>
      </c>
      <c r="AA1487" s="10">
        <f>IFERROR(Mecze[[#This Row],[BR]]/Mecze[[#This Row],[ST]],0)</f>
        <v>0</v>
      </c>
      <c r="AB1487">
        <f>ROUND(Mecze[[#This Row],[PD]]*Mecze[[#This Row],[%PC]],0)</f>
        <v>8</v>
      </c>
      <c r="AC1487">
        <f>ROUND(Mecze[[#This Row],[OD]]*Mecze[[#This Row],[%OU]],0)</f>
        <v>5</v>
      </c>
      <c r="AD1487" s="36" t="s">
        <v>47</v>
      </c>
      <c r="AE1487" s="36">
        <v>81</v>
      </c>
      <c r="AF1487" s="71">
        <v>4.18</v>
      </c>
      <c r="AG1487" s="37">
        <v>0</v>
      </c>
      <c r="AH1487" s="37">
        <v>0</v>
      </c>
      <c r="AI1487" s="37">
        <v>97</v>
      </c>
      <c r="AJ1487" s="37">
        <v>3</v>
      </c>
      <c r="AK1487" s="37" t="str">
        <f>VLOOKUP(Mecze[[#This Row],[Match ID]],Meczusie[Mecz]:Meczusie[RodzajMeczu],2,FALSE)</f>
        <v>Liga</v>
      </c>
    </row>
    <row r="1488" spans="1:37" x14ac:dyDescent="0.25">
      <c r="A1488" s="76">
        <v>5</v>
      </c>
      <c r="B1488" s="3" t="s">
        <v>267</v>
      </c>
      <c r="C1488" s="2" t="s">
        <v>160</v>
      </c>
      <c r="D1488" s="1">
        <v>0</v>
      </c>
      <c r="E1488" s="1">
        <v>1</v>
      </c>
      <c r="F1488" s="1">
        <v>1</v>
      </c>
      <c r="G1488" s="1">
        <v>17</v>
      </c>
      <c r="H1488" s="4">
        <v>0.94</v>
      </c>
      <c r="I1488" s="1">
        <v>7</v>
      </c>
      <c r="J1488" s="4">
        <v>0.43</v>
      </c>
      <c r="K1488" s="1">
        <v>0</v>
      </c>
      <c r="L1488" s="1">
        <v>5</v>
      </c>
      <c r="M1488" s="32">
        <f>IF(Mecze[[#This Row],[PR]]=0,0,Mecze[[#This Row],[PR]]/Mecze[[#This Row],[CZAS]])</f>
        <v>5.1546391752577317E-2</v>
      </c>
      <c r="N1488" s="32">
        <f>IF(Mecze[[#This Row],[OU]]=0,0,Mecze[[#This Row],[OU]]/Mecze[[#This Row],[CZAS]])</f>
        <v>3.0927835051546393E-2</v>
      </c>
      <c r="O1488" s="32">
        <f>IF(Mecze[[#This Row],[PC]]=0,0,Mecze[[#This Row],[PC]]/Mecze[[#This Row],[CZAS]])</f>
        <v>0.16494845360824742</v>
      </c>
      <c r="P1488" s="32">
        <f>IF(Mecze[[#This Row],[SC]]=0,0,Mecze[[#This Row],[SC]]/Mecze[[#This Row],[CZAS]])</f>
        <v>1.0309278350515464E-2</v>
      </c>
      <c r="Q1488" s="32">
        <f>IF(Mecze[[#This Row],[OB]]=0,0,Mecze[[#This Row],[OB]]/Mecze[[#This Row],[CZAS]])</f>
        <v>0</v>
      </c>
      <c r="R1488" s="32">
        <f>IF(Mecze[[#This Row],[BR]]=0,0,Mecze[[#This Row],[BR]]/Mecze[[#This Row],[CZAS]])</f>
        <v>0</v>
      </c>
      <c r="S1488" s="44">
        <f>IF(Mecze[[#This Row],[Role]]="BR",SUMPRODUCT(Mecze[[#This Row],[/PR:90]:[/BR:90]],Brudnopis!$E$23:$J$23),0)</f>
        <v>0</v>
      </c>
      <c r="T1488" s="44">
        <f>IF(Mecze[[#This Row],[Role]]&lt;&gt;"BR",SUMPRODUCT(Mecze[[#This Row],[/PR:90]:[/BR:90]],Brudnopis!$E$24:$J$24),0)</f>
        <v>0.27319587628865982</v>
      </c>
      <c r="U1488" s="44">
        <f>IF(Mecze[[#This Row],[Role]]&lt;&gt;"BR",SUMPRODUCT(Mecze[[#This Row],[/PR:90]:[/BR:90]],Brudnopis!$E$25:$J$25),0)</f>
        <v>0.34020618556701032</v>
      </c>
      <c r="V1488" s="44">
        <f>IF(Mecze[[#This Row],[Role]]&lt;&gt;"BR",SUMPRODUCT(Mecze[[#This Row],[/PR:90]:[/BR:90]],Brudnopis!$E$26:$J$26),0)</f>
        <v>0.25773195876288663</v>
      </c>
      <c r="W1488" s="44">
        <f>IF(Mecze[[#This Row],[Role]]&lt;&gt;"BR",SUMPRODUCT(Mecze[[#This Row],[/PR:90]:[/BR:90]],Brudnopis!$E$27:$J$27),0)</f>
        <v>0.31958762886597941</v>
      </c>
      <c r="X1488" s="44">
        <f>IF(Mecze[[#This Row],[Role]]&lt;&gt;"BR",SUMPRODUCT(Mecze[[#This Row],[/PR:90]:[/BR:90]],Brudnopis!$E$28:$J$28),0)</f>
        <v>0.18556701030927836</v>
      </c>
      <c r="Y1488" s="35">
        <f>IF(Mecze[[#This Row],[Role]]="BR",Mecze[[#This Row],[/OB:90]]+Mecze[[#This Row],[/PC:90]],SUM(Mecze[[#This Row],[/PR:90]:[/BR:90]]))</f>
        <v>0.25773195876288663</v>
      </c>
      <c r="Z1488" s="35">
        <f>IF(Mecze[[#This Row],[KC]]=0,SUM(Mecze[[#This Row],[/BRI]:[/NPI]]),SUM(Mecze[[#This Row],[/BRI]:[/NPI]])*0.6)</f>
        <v>1.3762886597938144</v>
      </c>
      <c r="AA1488" s="10">
        <f>IFERROR(Mecze[[#This Row],[BR]]/Mecze[[#This Row],[ST]],0)</f>
        <v>0</v>
      </c>
      <c r="AB1488">
        <f>ROUND(Mecze[[#This Row],[PD]]*Mecze[[#This Row],[%PC]],0)</f>
        <v>16</v>
      </c>
      <c r="AC1488">
        <f>ROUND(Mecze[[#This Row],[OD]]*Mecze[[#This Row],[%OU]],0)</f>
        <v>3</v>
      </c>
      <c r="AD1488" s="36" t="s">
        <v>67</v>
      </c>
      <c r="AE1488" s="36">
        <v>81</v>
      </c>
      <c r="AF1488" s="71">
        <v>6.1</v>
      </c>
      <c r="AG1488" s="37">
        <v>0</v>
      </c>
      <c r="AH1488" s="37">
        <v>0</v>
      </c>
      <c r="AI1488" s="37">
        <v>97</v>
      </c>
      <c r="AJ1488" s="37">
        <v>3</v>
      </c>
      <c r="AK1488" s="37" t="str">
        <f>VLOOKUP(Mecze[[#This Row],[Match ID]],Meczusie[Mecz]:Meczusie[RodzajMeczu],2,FALSE)</f>
        <v>Liga</v>
      </c>
    </row>
    <row r="1489" spans="1:37" x14ac:dyDescent="0.25">
      <c r="A1489" s="76">
        <v>9</v>
      </c>
      <c r="B1489" s="3" t="s">
        <v>266</v>
      </c>
      <c r="C1489" s="2" t="s">
        <v>160</v>
      </c>
      <c r="D1489" s="1">
        <v>0</v>
      </c>
      <c r="E1489" s="1">
        <v>2</v>
      </c>
      <c r="F1489" s="1">
        <v>1</v>
      </c>
      <c r="G1489" s="1">
        <v>18</v>
      </c>
      <c r="H1489" s="4">
        <v>0.83</v>
      </c>
      <c r="I1489" s="1">
        <v>11</v>
      </c>
      <c r="J1489" s="4">
        <v>0.64</v>
      </c>
      <c r="K1489" s="1">
        <v>0</v>
      </c>
      <c r="L1489" s="1">
        <v>5</v>
      </c>
      <c r="M1489" s="32">
        <f>IF(Mecze[[#This Row],[PR]]=0,0,Mecze[[#This Row],[PR]]/Mecze[[#This Row],[CZAS]])</f>
        <v>5.1546391752577317E-2</v>
      </c>
      <c r="N1489" s="32">
        <f>IF(Mecze[[#This Row],[OU]]=0,0,Mecze[[#This Row],[OU]]/Mecze[[#This Row],[CZAS]])</f>
        <v>7.2164948453608241E-2</v>
      </c>
      <c r="O1489" s="32">
        <f>IF(Mecze[[#This Row],[PC]]=0,0,Mecze[[#This Row],[PC]]/Mecze[[#This Row],[CZAS]])</f>
        <v>0.15463917525773196</v>
      </c>
      <c r="P1489" s="32">
        <f>IF(Mecze[[#This Row],[SC]]=0,0,Mecze[[#This Row],[SC]]/Mecze[[#This Row],[CZAS]])</f>
        <v>1.0309278350515464E-2</v>
      </c>
      <c r="Q1489" s="32">
        <f>IF(Mecze[[#This Row],[OB]]=0,0,Mecze[[#This Row],[OB]]/Mecze[[#This Row],[CZAS]])</f>
        <v>0</v>
      </c>
      <c r="R1489" s="32">
        <f>IF(Mecze[[#This Row],[BR]]=0,0,Mecze[[#This Row],[BR]]/Mecze[[#This Row],[CZAS]])</f>
        <v>0</v>
      </c>
      <c r="S1489" s="44">
        <f>IF(Mecze[[#This Row],[Role]]="BR",SUMPRODUCT(Mecze[[#This Row],[/PR:90]:[/BR:90]],Brudnopis!$E$23:$J$23),0)</f>
        <v>0</v>
      </c>
      <c r="T1489" s="44">
        <f>IF(Mecze[[#This Row],[Role]]&lt;&gt;"BR",SUMPRODUCT(Mecze[[#This Row],[/PR:90]:[/BR:90]],Brudnopis!$E$24:$J$24),0)</f>
        <v>0.32474226804123713</v>
      </c>
      <c r="U1489" s="44">
        <f>IF(Mecze[[#This Row],[Role]]&lt;&gt;"BR",SUMPRODUCT(Mecze[[#This Row],[/PR:90]:[/BR:90]],Brudnopis!$E$25:$J$25),0)</f>
        <v>0.365979381443299</v>
      </c>
      <c r="V1489" s="44">
        <f>IF(Mecze[[#This Row],[Role]]&lt;&gt;"BR",SUMPRODUCT(Mecze[[#This Row],[/PR:90]:[/BR:90]],Brudnopis!$E$26:$J$26),0)</f>
        <v>0.28865979381443302</v>
      </c>
      <c r="W1489" s="44">
        <f>IF(Mecze[[#This Row],[Role]]&lt;&gt;"BR",SUMPRODUCT(Mecze[[#This Row],[/PR:90]:[/BR:90]],Brudnopis!$E$27:$J$27),0)</f>
        <v>0.33505154639175261</v>
      </c>
      <c r="X1489" s="44">
        <f>IF(Mecze[[#This Row],[Role]]&lt;&gt;"BR",SUMPRODUCT(Mecze[[#This Row],[/PR:90]:[/BR:90]],Brudnopis!$E$28:$J$28),0)</f>
        <v>0.1752577319587629</v>
      </c>
      <c r="Y1489" s="35">
        <f>IF(Mecze[[#This Row],[Role]]="BR",Mecze[[#This Row],[/OB:90]]+Mecze[[#This Row],[/PC:90]],SUM(Mecze[[#This Row],[/PR:90]:[/BR:90]]))</f>
        <v>0.28865979381443302</v>
      </c>
      <c r="Z1489" s="35">
        <f>IF(Mecze[[#This Row],[KC]]=0,SUM(Mecze[[#This Row],[/BRI]:[/NPI]]),SUM(Mecze[[#This Row],[/BRI]:[/NPI]])*0.6)</f>
        <v>1.4896907216494848</v>
      </c>
      <c r="AA1489" s="10">
        <f>IFERROR(Mecze[[#This Row],[BR]]/Mecze[[#This Row],[ST]],0)</f>
        <v>0</v>
      </c>
      <c r="AB1489">
        <f>ROUND(Mecze[[#This Row],[PD]]*Mecze[[#This Row],[%PC]],0)</f>
        <v>15</v>
      </c>
      <c r="AC1489">
        <f>ROUND(Mecze[[#This Row],[OD]]*Mecze[[#This Row],[%OU]],0)</f>
        <v>7</v>
      </c>
      <c r="AD1489" s="36" t="s">
        <v>67</v>
      </c>
      <c r="AE1489" s="36">
        <v>81</v>
      </c>
      <c r="AF1489" s="71">
        <v>6.1</v>
      </c>
      <c r="AG1489" s="37">
        <v>0</v>
      </c>
      <c r="AH1489" s="37">
        <v>0</v>
      </c>
      <c r="AI1489" s="37">
        <v>97</v>
      </c>
      <c r="AJ1489" s="37">
        <v>3</v>
      </c>
      <c r="AK1489" s="37" t="str">
        <f>VLOOKUP(Mecze[[#This Row],[Match ID]],Meczusie[Mecz]:Meczusie[RodzajMeczu],2,FALSE)</f>
        <v>Liga</v>
      </c>
    </row>
    <row r="1490" spans="1:37" x14ac:dyDescent="0.25">
      <c r="A1490" s="76">
        <v>3</v>
      </c>
      <c r="B1490" s="3" t="s">
        <v>268</v>
      </c>
      <c r="C1490" s="2" t="s">
        <v>160</v>
      </c>
      <c r="D1490" s="1">
        <v>0</v>
      </c>
      <c r="E1490" s="1">
        <v>2</v>
      </c>
      <c r="F1490" s="1">
        <v>2</v>
      </c>
      <c r="G1490" s="1">
        <v>16</v>
      </c>
      <c r="H1490" s="4">
        <v>0.81</v>
      </c>
      <c r="I1490" s="1">
        <v>4</v>
      </c>
      <c r="J1490" s="4">
        <v>0.5</v>
      </c>
      <c r="K1490" s="1">
        <v>0</v>
      </c>
      <c r="L1490" s="1">
        <v>1</v>
      </c>
      <c r="M1490" s="32">
        <f>IF(Mecze[[#This Row],[PR]]=0,0,Mecze[[#This Row],[PR]]/Mecze[[#This Row],[CZAS]])</f>
        <v>1.0309278350515464E-2</v>
      </c>
      <c r="N1490" s="32">
        <f>IF(Mecze[[#This Row],[OU]]=0,0,Mecze[[#This Row],[OU]]/Mecze[[#This Row],[CZAS]])</f>
        <v>2.0618556701030927E-2</v>
      </c>
      <c r="O1490" s="32">
        <f>IF(Mecze[[#This Row],[PC]]=0,0,Mecze[[#This Row],[PC]]/Mecze[[#This Row],[CZAS]])</f>
        <v>0.13402061855670103</v>
      </c>
      <c r="P1490" s="32">
        <f>IF(Mecze[[#This Row],[SC]]=0,0,Mecze[[#This Row],[SC]]/Mecze[[#This Row],[CZAS]])</f>
        <v>2.0618556701030927E-2</v>
      </c>
      <c r="Q1490" s="32">
        <f>IF(Mecze[[#This Row],[OB]]=0,0,Mecze[[#This Row],[OB]]/Mecze[[#This Row],[CZAS]])</f>
        <v>0</v>
      </c>
      <c r="R1490" s="32">
        <f>IF(Mecze[[#This Row],[BR]]=0,0,Mecze[[#This Row],[BR]]/Mecze[[#This Row],[CZAS]])</f>
        <v>0</v>
      </c>
      <c r="S1490" s="44">
        <f>IF(Mecze[[#This Row],[Role]]="BR",SUMPRODUCT(Mecze[[#This Row],[/PR:90]:[/BR:90]],Brudnopis!$E$23:$J$23),0)</f>
        <v>0</v>
      </c>
      <c r="T1490" s="44">
        <f>IF(Mecze[[#This Row],[Role]]&lt;&gt;"BR",SUMPRODUCT(Mecze[[#This Row],[/PR:90]:[/BR:90]],Brudnopis!$E$24:$J$24),0)</f>
        <v>0.19587628865979381</v>
      </c>
      <c r="U1490" s="44">
        <f>IF(Mecze[[#This Row],[Role]]&lt;&gt;"BR",SUMPRODUCT(Mecze[[#This Row],[/PR:90]:[/BR:90]],Brudnopis!$E$25:$J$25),0)</f>
        <v>0.25257731958762886</v>
      </c>
      <c r="V1490" s="44">
        <f>IF(Mecze[[#This Row],[Role]]&lt;&gt;"BR",SUMPRODUCT(Mecze[[#This Row],[/PR:90]:[/BR:90]],Brudnopis!$E$26:$J$26),0)</f>
        <v>0.18556701030927836</v>
      </c>
      <c r="W1490" s="44">
        <f>IF(Mecze[[#This Row],[Role]]&lt;&gt;"BR",SUMPRODUCT(Mecze[[#This Row],[/PR:90]:[/BR:90]],Brudnopis!$E$27:$J$27),0)</f>
        <v>0.24484536082474229</v>
      </c>
      <c r="X1490" s="44">
        <f>IF(Mecze[[#This Row],[Role]]&lt;&gt;"BR",SUMPRODUCT(Mecze[[#This Row],[/PR:90]:[/BR:90]],Brudnopis!$E$28:$J$28),0)</f>
        <v>0.17525773195876287</v>
      </c>
      <c r="Y1490" s="35">
        <f>IF(Mecze[[#This Row],[Role]]="BR",Mecze[[#This Row],[/OB:90]]+Mecze[[#This Row],[/PC:90]],SUM(Mecze[[#This Row],[/PR:90]:[/BR:90]]))</f>
        <v>0.18556701030927836</v>
      </c>
      <c r="Z1490" s="35">
        <f>IF(Mecze[[#This Row],[KC]]=0,SUM(Mecze[[#This Row],[/BRI]:[/NPI]]),SUM(Mecze[[#This Row],[/BRI]:[/NPI]])*0.6)</f>
        <v>1.0541237113402062</v>
      </c>
      <c r="AA1490" s="10">
        <f>IFERROR(Mecze[[#This Row],[BR]]/Mecze[[#This Row],[ST]],0)</f>
        <v>0</v>
      </c>
      <c r="AB1490">
        <f>ROUND(Mecze[[#This Row],[PD]]*Mecze[[#This Row],[%PC]],0)</f>
        <v>13</v>
      </c>
      <c r="AC1490">
        <f>ROUND(Mecze[[#This Row],[OD]]*Mecze[[#This Row],[%OU]],0)</f>
        <v>2</v>
      </c>
      <c r="AD1490" s="36" t="s">
        <v>44</v>
      </c>
      <c r="AE1490" s="36">
        <v>81</v>
      </c>
      <c r="AF1490" s="71">
        <v>5.49</v>
      </c>
      <c r="AG1490" s="37">
        <v>0</v>
      </c>
      <c r="AH1490" s="37">
        <v>0</v>
      </c>
      <c r="AI1490" s="37">
        <v>97</v>
      </c>
      <c r="AJ1490" s="37">
        <v>3</v>
      </c>
      <c r="AK1490" s="37" t="str">
        <f>VLOOKUP(Mecze[[#This Row],[Match ID]],Meczusie[Mecz]:Meczusie[RodzajMeczu],2,FALSE)</f>
        <v>Liga</v>
      </c>
    </row>
    <row r="1491" spans="1:37" x14ac:dyDescent="0.25">
      <c r="A1491" s="76">
        <v>8</v>
      </c>
      <c r="B1491" s="3" t="s">
        <v>269</v>
      </c>
      <c r="C1491" s="2" t="s">
        <v>165</v>
      </c>
      <c r="D1491" s="1">
        <v>1</v>
      </c>
      <c r="E1491" s="1">
        <v>4</v>
      </c>
      <c r="F1491" s="1">
        <v>4</v>
      </c>
      <c r="G1491" s="1">
        <v>11</v>
      </c>
      <c r="H1491" s="4">
        <v>0.55000000000000004</v>
      </c>
      <c r="I1491" s="1">
        <v>1</v>
      </c>
      <c r="J1491" s="4">
        <v>0</v>
      </c>
      <c r="K1491" s="1">
        <v>0</v>
      </c>
      <c r="L1491" s="1">
        <v>0</v>
      </c>
      <c r="M1491" s="32">
        <f>IF(Mecze[[#This Row],[PR]]=0,0,Mecze[[#This Row],[PR]]/Mecze[[#This Row],[CZAS]])</f>
        <v>0</v>
      </c>
      <c r="N1491" s="32">
        <f>IF(Mecze[[#This Row],[OU]]=0,0,Mecze[[#This Row],[OU]]/Mecze[[#This Row],[CZAS]])</f>
        <v>0</v>
      </c>
      <c r="O1491" s="32">
        <f>IF(Mecze[[#This Row],[PC]]=0,0,Mecze[[#This Row],[PC]]/Mecze[[#This Row],[CZAS]])</f>
        <v>6.1855670103092786E-2</v>
      </c>
      <c r="P1491" s="32">
        <f>IF(Mecze[[#This Row],[SC]]=0,0,Mecze[[#This Row],[SC]]/Mecze[[#This Row],[CZAS]])</f>
        <v>4.1237113402061855E-2</v>
      </c>
      <c r="Q1491" s="32">
        <f>IF(Mecze[[#This Row],[OB]]=0,0,Mecze[[#This Row],[OB]]/Mecze[[#This Row],[CZAS]])</f>
        <v>0</v>
      </c>
      <c r="R1491" s="32">
        <f>IF(Mecze[[#This Row],[BR]]=0,0,Mecze[[#This Row],[BR]]/Mecze[[#This Row],[CZAS]])</f>
        <v>1.0309278350515464E-2</v>
      </c>
      <c r="S1491" s="44">
        <f>IF(Mecze[[#This Row],[Role]]="BR",SUMPRODUCT(Mecze[[#This Row],[/PR:90]:[/BR:90]],Brudnopis!$E$23:$J$23),0)</f>
        <v>0</v>
      </c>
      <c r="T1491" s="44">
        <f>IF(Mecze[[#This Row],[Role]]&lt;&gt;"BR",SUMPRODUCT(Mecze[[#This Row],[/PR:90]:[/BR:90]],Brudnopis!$E$24:$J$24),0)</f>
        <v>0.11855670103092783</v>
      </c>
      <c r="U1491" s="44">
        <f>IF(Mecze[[#This Row],[Role]]&lt;&gt;"BR",SUMPRODUCT(Mecze[[#This Row],[/PR:90]:[/BR:90]],Brudnopis!$E$25:$J$25),0)</f>
        <v>0.14948453608247422</v>
      </c>
      <c r="V1491" s="44">
        <f>IF(Mecze[[#This Row],[Role]]&lt;&gt;"BR",SUMPRODUCT(Mecze[[#This Row],[/PR:90]:[/BR:90]],Brudnopis!$E$26:$J$26),0)</f>
        <v>0.12371134020618556</v>
      </c>
      <c r="W1491" s="44">
        <f>IF(Mecze[[#This Row],[Role]]&lt;&gt;"BR",SUMPRODUCT(Mecze[[#This Row],[/PR:90]:[/BR:90]],Brudnopis!$E$27:$J$27),0)</f>
        <v>0.15463917525773196</v>
      </c>
      <c r="X1491" s="44">
        <f>IF(Mecze[[#This Row],[Role]]&lt;&gt;"BR",SUMPRODUCT(Mecze[[#This Row],[/PR:90]:[/BR:90]],Brudnopis!$E$28:$J$28),0)</f>
        <v>0.17525773195876287</v>
      </c>
      <c r="Y1491" s="35">
        <f>IF(Mecze[[#This Row],[Role]]="BR",Mecze[[#This Row],[/OB:90]]+Mecze[[#This Row],[/PC:90]],SUM(Mecze[[#This Row],[/PR:90]:[/BR:90]]))</f>
        <v>0.1134020618556701</v>
      </c>
      <c r="Z1491" s="35">
        <f>IF(Mecze[[#This Row],[KC]]=0,SUM(Mecze[[#This Row],[/BRI]:[/NPI]]),SUM(Mecze[[#This Row],[/BRI]:[/NPI]])*0.6)</f>
        <v>0.72164948453608257</v>
      </c>
      <c r="AA1491" s="10">
        <f>IFERROR(Mecze[[#This Row],[BR]]/Mecze[[#This Row],[ST]],0)</f>
        <v>0.25</v>
      </c>
      <c r="AB1491">
        <f>ROUND(Mecze[[#This Row],[PD]]*Mecze[[#This Row],[%PC]],0)</f>
        <v>6</v>
      </c>
      <c r="AC1491">
        <f>ROUND(Mecze[[#This Row],[OD]]*Mecze[[#This Row],[%OU]],0)</f>
        <v>0</v>
      </c>
      <c r="AD1491" s="36" t="s">
        <v>272</v>
      </c>
      <c r="AE1491" s="36">
        <v>81</v>
      </c>
      <c r="AF1491" s="71">
        <v>7.22</v>
      </c>
      <c r="AG1491" s="37">
        <v>0</v>
      </c>
      <c r="AH1491" s="37">
        <v>0</v>
      </c>
      <c r="AI1491" s="37">
        <v>97</v>
      </c>
      <c r="AJ1491" s="37">
        <v>3</v>
      </c>
      <c r="AK1491" s="37" t="str">
        <f>VLOOKUP(Mecze[[#This Row],[Match ID]],Meczusie[Mecz]:Meczusie[RodzajMeczu],2,FALSE)</f>
        <v>Liga</v>
      </c>
    </row>
    <row r="1492" spans="1:37" x14ac:dyDescent="0.25">
      <c r="A1492" s="76">
        <v>11</v>
      </c>
      <c r="B1492" s="3" t="s">
        <v>270</v>
      </c>
      <c r="C1492" s="2" t="s">
        <v>165</v>
      </c>
      <c r="D1492" s="1">
        <v>0</v>
      </c>
      <c r="E1492" s="1">
        <v>6</v>
      </c>
      <c r="F1492" s="1">
        <v>6</v>
      </c>
      <c r="G1492" s="1">
        <v>12</v>
      </c>
      <c r="H1492" s="4">
        <v>0.75</v>
      </c>
      <c r="I1492" s="1">
        <v>2</v>
      </c>
      <c r="J1492" s="4">
        <v>0.5</v>
      </c>
      <c r="K1492" s="1">
        <v>0</v>
      </c>
      <c r="L1492" s="1">
        <v>0</v>
      </c>
      <c r="M1492" s="32">
        <f>IF(Mecze[[#This Row],[PR]]=0,0,Mecze[[#This Row],[PR]]/Mecze[[#This Row],[CZAS]])</f>
        <v>0</v>
      </c>
      <c r="N1492" s="32">
        <f>IF(Mecze[[#This Row],[OU]]=0,0,Mecze[[#This Row],[OU]]/Mecze[[#This Row],[CZAS]])</f>
        <v>1.0309278350515464E-2</v>
      </c>
      <c r="O1492" s="32">
        <f>IF(Mecze[[#This Row],[PC]]=0,0,Mecze[[#This Row],[PC]]/Mecze[[#This Row],[CZAS]])</f>
        <v>9.2783505154639179E-2</v>
      </c>
      <c r="P1492" s="32">
        <f>IF(Mecze[[#This Row],[SC]]=0,0,Mecze[[#This Row],[SC]]/Mecze[[#This Row],[CZAS]])</f>
        <v>6.1855670103092786E-2</v>
      </c>
      <c r="Q1492" s="32">
        <f>IF(Mecze[[#This Row],[OB]]=0,0,Mecze[[#This Row],[OB]]/Mecze[[#This Row],[CZAS]])</f>
        <v>0</v>
      </c>
      <c r="R1492" s="32">
        <f>IF(Mecze[[#This Row],[BR]]=0,0,Mecze[[#This Row],[BR]]/Mecze[[#This Row],[CZAS]])</f>
        <v>0</v>
      </c>
      <c r="S1492" s="44">
        <f>IF(Mecze[[#This Row],[Role]]="BR",SUMPRODUCT(Mecze[[#This Row],[/PR:90]:[/BR:90]],Brudnopis!$E$23:$J$23),0)</f>
        <v>0</v>
      </c>
      <c r="T1492" s="44">
        <f>IF(Mecze[[#This Row],[Role]]&lt;&gt;"BR",SUMPRODUCT(Mecze[[#This Row],[/PR:90]:[/BR:90]],Brudnopis!$E$24:$J$24),0)</f>
        <v>0.17010309278350516</v>
      </c>
      <c r="U1492" s="44">
        <f>IF(Mecze[[#This Row],[Role]]&lt;&gt;"BR",SUMPRODUCT(Mecze[[#This Row],[/PR:90]:[/BR:90]],Brudnopis!$E$25:$J$25),0)</f>
        <v>0.21134020618556701</v>
      </c>
      <c r="V1492" s="44">
        <f>IF(Mecze[[#This Row],[Role]]&lt;&gt;"BR",SUMPRODUCT(Mecze[[#This Row],[/PR:90]:[/BR:90]],Brudnopis!$E$26:$J$26),0)</f>
        <v>0.16494845360824745</v>
      </c>
      <c r="W1492" s="44">
        <f>IF(Mecze[[#This Row],[Role]]&lt;&gt;"BR",SUMPRODUCT(Mecze[[#This Row],[/PR:90]:[/BR:90]],Brudnopis!$E$27:$J$27),0)</f>
        <v>0.20876288659793815</v>
      </c>
      <c r="X1492" s="44">
        <f>IF(Mecze[[#This Row],[Role]]&lt;&gt;"BR",SUMPRODUCT(Mecze[[#This Row],[/PR:90]:[/BR:90]],Brudnopis!$E$28:$J$28),0)</f>
        <v>0.21649484536082475</v>
      </c>
      <c r="Y1492" s="35">
        <f>IF(Mecze[[#This Row],[Role]]="BR",Mecze[[#This Row],[/OB:90]]+Mecze[[#This Row],[/PC:90]],SUM(Mecze[[#This Row],[/PR:90]:[/BR:90]]))</f>
        <v>0.16494845360824745</v>
      </c>
      <c r="Z1492" s="35">
        <f>IF(Mecze[[#This Row],[KC]]=0,SUM(Mecze[[#This Row],[/BRI]:[/NPI]]),SUM(Mecze[[#This Row],[/BRI]:[/NPI]])*0.6)</f>
        <v>0.97164948453608257</v>
      </c>
      <c r="AA1492" s="10">
        <f>IFERROR(Mecze[[#This Row],[BR]]/Mecze[[#This Row],[ST]],0)</f>
        <v>0</v>
      </c>
      <c r="AB1492">
        <f>ROUND(Mecze[[#This Row],[PD]]*Mecze[[#This Row],[%PC]],0)</f>
        <v>9</v>
      </c>
      <c r="AC1492">
        <f>ROUND(Mecze[[#This Row],[OD]]*Mecze[[#This Row],[%OU]],0)</f>
        <v>1</v>
      </c>
      <c r="AD1492" s="36" t="s">
        <v>273</v>
      </c>
      <c r="AE1492" s="36">
        <v>81</v>
      </c>
      <c r="AF1492" s="71">
        <v>5.36</v>
      </c>
      <c r="AG1492" s="37">
        <v>0</v>
      </c>
      <c r="AH1492" s="37">
        <v>0</v>
      </c>
      <c r="AI1492" s="37">
        <v>97</v>
      </c>
      <c r="AJ1492" s="37">
        <v>3</v>
      </c>
      <c r="AK1492" s="37" t="str">
        <f>VLOOKUP(Mecze[[#This Row],[Match ID]],Meczusie[Mecz]:Meczusie[RodzajMeczu],2,FALSE)</f>
        <v>Liga</v>
      </c>
    </row>
    <row r="1493" spans="1:37" x14ac:dyDescent="0.25">
      <c r="A1493" s="76">
        <v>10</v>
      </c>
      <c r="B1493" s="3" t="s">
        <v>271</v>
      </c>
      <c r="C1493" s="2" t="s">
        <v>165</v>
      </c>
      <c r="D1493" s="1">
        <v>0</v>
      </c>
      <c r="E1493" s="1">
        <v>3</v>
      </c>
      <c r="F1493" s="1">
        <v>2</v>
      </c>
      <c r="G1493" s="1">
        <v>7</v>
      </c>
      <c r="H1493" s="4">
        <v>0.71</v>
      </c>
      <c r="I1493" s="1">
        <v>0</v>
      </c>
      <c r="J1493" s="4"/>
      <c r="K1493" s="1">
        <v>0</v>
      </c>
      <c r="L1493" s="1">
        <v>1</v>
      </c>
      <c r="M1493" s="32">
        <f>IF(Mecze[[#This Row],[PR]]=0,0,Mecze[[#This Row],[PR]]/Mecze[[#This Row],[CZAS]])</f>
        <v>1.0309278350515464E-2</v>
      </c>
      <c r="N1493" s="32">
        <f>IF(Mecze[[#This Row],[OU]]=0,0,Mecze[[#This Row],[OU]]/Mecze[[#This Row],[CZAS]])</f>
        <v>0</v>
      </c>
      <c r="O1493" s="32">
        <f>IF(Mecze[[#This Row],[PC]]=0,0,Mecze[[#This Row],[PC]]/Mecze[[#This Row],[CZAS]])</f>
        <v>5.1546391752577317E-2</v>
      </c>
      <c r="P1493" s="32">
        <f>IF(Mecze[[#This Row],[SC]]=0,0,Mecze[[#This Row],[SC]]/Mecze[[#This Row],[CZAS]])</f>
        <v>2.0618556701030927E-2</v>
      </c>
      <c r="Q1493" s="32">
        <f>IF(Mecze[[#This Row],[OB]]=0,0,Mecze[[#This Row],[OB]]/Mecze[[#This Row],[CZAS]])</f>
        <v>0</v>
      </c>
      <c r="R1493" s="32">
        <f>IF(Mecze[[#This Row],[BR]]=0,0,Mecze[[#This Row],[BR]]/Mecze[[#This Row],[CZAS]])</f>
        <v>0</v>
      </c>
      <c r="S1493" s="44">
        <f>IF(Mecze[[#This Row],[Role]]="BR",SUMPRODUCT(Mecze[[#This Row],[/PR:90]:[/BR:90]],Brudnopis!$E$23:$J$23),0)</f>
        <v>0</v>
      </c>
      <c r="T1493" s="44">
        <f>IF(Mecze[[#This Row],[Role]]&lt;&gt;"BR",SUMPRODUCT(Mecze[[#This Row],[/PR:90]:[/BR:90]],Brudnopis!$E$24:$J$24),0)</f>
        <v>8.247422680412371E-2</v>
      </c>
      <c r="U1493" s="44">
        <f>IF(Mecze[[#This Row],[Role]]&lt;&gt;"BR",SUMPRODUCT(Mecze[[#This Row],[/PR:90]:[/BR:90]],Brudnopis!$E$25:$J$25),0)</f>
        <v>0.10824742268041238</v>
      </c>
      <c r="V1493" s="44">
        <f>IF(Mecze[[#This Row],[Role]]&lt;&gt;"BR",SUMPRODUCT(Mecze[[#This Row],[/PR:90]:[/BR:90]],Brudnopis!$E$26:$J$26),0)</f>
        <v>8.247422680412371E-2</v>
      </c>
      <c r="W1493" s="44">
        <f>IF(Mecze[[#This Row],[Role]]&lt;&gt;"BR",SUMPRODUCT(Mecze[[#This Row],[/PR:90]:[/BR:90]],Brudnopis!$E$27:$J$27),0)</f>
        <v>0.1056701030927835</v>
      </c>
      <c r="X1493" s="44">
        <f>IF(Mecze[[#This Row],[Role]]&lt;&gt;"BR",SUMPRODUCT(Mecze[[#This Row],[/PR:90]:[/BR:90]],Brudnopis!$E$28:$J$28),0)</f>
        <v>9.2783505154639179E-2</v>
      </c>
      <c r="Y1493" s="35">
        <f>IF(Mecze[[#This Row],[Role]]="BR",Mecze[[#This Row],[/OB:90]]+Mecze[[#This Row],[/PC:90]],SUM(Mecze[[#This Row],[/PR:90]:[/BR:90]]))</f>
        <v>8.247422680412371E-2</v>
      </c>
      <c r="Z1493" s="35">
        <f>IF(Mecze[[#This Row],[KC]]=0,SUM(Mecze[[#This Row],[/BRI]:[/NPI]]),SUM(Mecze[[#This Row],[/BRI]:[/NPI]])*0.6)</f>
        <v>0.47164948453608246</v>
      </c>
      <c r="AA1493" s="10">
        <f>IFERROR(Mecze[[#This Row],[BR]]/Mecze[[#This Row],[ST]],0)</f>
        <v>0</v>
      </c>
      <c r="AB1493">
        <f>ROUND(Mecze[[#This Row],[PD]]*Mecze[[#This Row],[%PC]],0)</f>
        <v>5</v>
      </c>
      <c r="AC1493">
        <f>ROUND(Mecze[[#This Row],[OD]]*Mecze[[#This Row],[%OU]],0)</f>
        <v>0</v>
      </c>
      <c r="AD1493" s="36" t="s">
        <v>46</v>
      </c>
      <c r="AE1493" s="36">
        <v>81</v>
      </c>
      <c r="AF1493" s="71">
        <v>4.4800000000000004</v>
      </c>
      <c r="AG1493" s="37">
        <v>0</v>
      </c>
      <c r="AH1493" s="37">
        <v>0</v>
      </c>
      <c r="AI1493" s="37">
        <v>97</v>
      </c>
      <c r="AJ1493" s="37">
        <v>3</v>
      </c>
      <c r="AK1493" s="37" t="str">
        <f>VLOOKUP(Mecze[[#This Row],[Match ID]],Meczusie[Mecz]:Meczusie[RodzajMeczu],2,FALSE)</f>
        <v>Liga</v>
      </c>
    </row>
    <row r="1494" spans="1:37" x14ac:dyDescent="0.25">
      <c r="A1494" s="76">
        <v>1</v>
      </c>
      <c r="B1494" s="3" t="s">
        <v>288</v>
      </c>
      <c r="C1494" s="2" t="s">
        <v>155</v>
      </c>
      <c r="D1494" s="1">
        <v>0</v>
      </c>
      <c r="E1494" s="1">
        <v>0</v>
      </c>
      <c r="F1494" s="1">
        <v>0</v>
      </c>
      <c r="G1494" s="1">
        <v>10</v>
      </c>
      <c r="H1494" s="4">
        <v>0.5</v>
      </c>
      <c r="I1494" s="1">
        <v>0</v>
      </c>
      <c r="J1494" s="4"/>
      <c r="K1494" s="1">
        <v>8</v>
      </c>
      <c r="L1494" s="1">
        <v>0</v>
      </c>
      <c r="M1494" s="32">
        <f>IF(Mecze[[#This Row],[PR]]=0,0,Mecze[[#This Row],[PR]]/Mecze[[#This Row],[CZAS]])</f>
        <v>0</v>
      </c>
      <c r="N1494" s="32">
        <f>IF(Mecze[[#This Row],[OU]]=0,0,Mecze[[#This Row],[OU]]/Mecze[[#This Row],[CZAS]])</f>
        <v>0</v>
      </c>
      <c r="O1494" s="32">
        <f>IF(Mecze[[#This Row],[PC]]=0,0,Mecze[[#This Row],[PC]]/Mecze[[#This Row],[CZAS]])</f>
        <v>5.2083333333333336E-2</v>
      </c>
      <c r="P1494" s="32">
        <f>IF(Mecze[[#This Row],[SC]]=0,0,Mecze[[#This Row],[SC]]/Mecze[[#This Row],[CZAS]])</f>
        <v>0</v>
      </c>
      <c r="Q1494" s="32">
        <f>IF(Mecze[[#This Row],[OB]]=0,0,Mecze[[#This Row],[OB]]/Mecze[[#This Row],[CZAS]])</f>
        <v>8.3333333333333329E-2</v>
      </c>
      <c r="R1494" s="32">
        <f>IF(Mecze[[#This Row],[BR]]=0,0,Mecze[[#This Row],[BR]]/Mecze[[#This Row],[CZAS]])</f>
        <v>0</v>
      </c>
      <c r="S1494" s="44">
        <f>IF(Mecze[[#This Row],[Role]]="BR",SUMPRODUCT(Mecze[[#This Row],[/PR:90]:[/BR:90]],Brudnopis!$E$23:$J$23),0)</f>
        <v>0.40625</v>
      </c>
      <c r="T1494" s="44">
        <f>IF(Mecze[[#This Row],[Role]]&lt;&gt;"BR",SUMPRODUCT(Mecze[[#This Row],[/PR:90]:[/BR:90]],Brudnopis!$E$24:$J$24),0)</f>
        <v>0</v>
      </c>
      <c r="U1494" s="44">
        <f>IF(Mecze[[#This Row],[Role]]&lt;&gt;"BR",SUMPRODUCT(Mecze[[#This Row],[/PR:90]:[/BR:90]],Brudnopis!$E$25:$J$25),0)</f>
        <v>0</v>
      </c>
      <c r="V1494" s="44">
        <f>IF(Mecze[[#This Row],[Role]]&lt;&gt;"BR",SUMPRODUCT(Mecze[[#This Row],[/PR:90]:[/BR:90]],Brudnopis!$E$26:$J$26),0)</f>
        <v>0</v>
      </c>
      <c r="W1494" s="44">
        <f>IF(Mecze[[#This Row],[Role]]&lt;&gt;"BR",SUMPRODUCT(Mecze[[#This Row],[/PR:90]:[/BR:90]],Brudnopis!$E$27:$J$27),0)</f>
        <v>0</v>
      </c>
      <c r="X1494" s="44">
        <f>IF(Mecze[[#This Row],[Role]]&lt;&gt;"BR",SUMPRODUCT(Mecze[[#This Row],[/PR:90]:[/BR:90]],Brudnopis!$E$28:$J$28),0)</f>
        <v>0</v>
      </c>
      <c r="Y1494" s="35">
        <f>IF(Mecze[[#This Row],[Role]]="BR",Mecze[[#This Row],[/OB:90]]+Mecze[[#This Row],[/PC:90]],SUM(Mecze[[#This Row],[/PR:90]:[/BR:90]]))</f>
        <v>0.13541666666666666</v>
      </c>
      <c r="Z1494" s="35">
        <f>IF(Mecze[[#This Row],[KC]]=0,SUM(Mecze[[#This Row],[/BRI]:[/NPI]]),SUM(Mecze[[#This Row],[/BRI]:[/NPI]])*0.6)</f>
        <v>0.40625</v>
      </c>
      <c r="AA1494" s="10">
        <f>IFERROR(Mecze[[#This Row],[BR]]/Mecze[[#This Row],[ST]],0)</f>
        <v>0</v>
      </c>
      <c r="AB1494">
        <f>ROUND(Mecze[[#This Row],[PD]]*Mecze[[#This Row],[%PC]],0)</f>
        <v>5</v>
      </c>
      <c r="AC1494">
        <f>ROUND(Mecze[[#This Row],[OD]]*Mecze[[#This Row],[%OU]],0)</f>
        <v>0</v>
      </c>
      <c r="AD1494" s="36" t="s">
        <v>40</v>
      </c>
      <c r="AE1494" s="36">
        <v>82</v>
      </c>
      <c r="AF1494" s="71">
        <v>6.83</v>
      </c>
      <c r="AG1494" s="37">
        <v>0</v>
      </c>
      <c r="AH1494" s="37">
        <v>0</v>
      </c>
      <c r="AI1494" s="37">
        <v>96</v>
      </c>
      <c r="AJ1494" s="37">
        <v>9</v>
      </c>
      <c r="AK1494" s="37" t="str">
        <f>VLOOKUP(Mecze[[#This Row],[Match ID]],Meczusie[Mecz]:Meczusie[RodzajMeczu],2,FALSE)</f>
        <v>Liga</v>
      </c>
    </row>
    <row r="1495" spans="1:37" x14ac:dyDescent="0.25">
      <c r="A1495" s="76">
        <v>4</v>
      </c>
      <c r="B1495" s="3" t="s">
        <v>289</v>
      </c>
      <c r="C1495" s="2" t="s">
        <v>157</v>
      </c>
      <c r="D1495" s="1">
        <v>0</v>
      </c>
      <c r="E1495" s="1">
        <v>0</v>
      </c>
      <c r="F1495" s="1">
        <v>0</v>
      </c>
      <c r="G1495" s="1">
        <v>4</v>
      </c>
      <c r="H1495" s="4">
        <v>0.5</v>
      </c>
      <c r="I1495" s="1">
        <v>2</v>
      </c>
      <c r="J1495" s="4">
        <v>0.5</v>
      </c>
      <c r="K1495" s="1">
        <v>0</v>
      </c>
      <c r="L1495" s="1">
        <v>2</v>
      </c>
      <c r="M1495" s="32">
        <f>IF(Mecze[[#This Row],[PR]]=0,0,Mecze[[#This Row],[PR]]/Mecze[[#This Row],[CZAS]])</f>
        <v>2.0833333333333332E-2</v>
      </c>
      <c r="N1495" s="32">
        <f>IF(Mecze[[#This Row],[OU]]=0,0,Mecze[[#This Row],[OU]]/Mecze[[#This Row],[CZAS]])</f>
        <v>1.0416666666666666E-2</v>
      </c>
      <c r="O1495" s="32">
        <f>IF(Mecze[[#This Row],[PC]]=0,0,Mecze[[#This Row],[PC]]/Mecze[[#This Row],[CZAS]])</f>
        <v>2.0833333333333332E-2</v>
      </c>
      <c r="P1495" s="32">
        <f>IF(Mecze[[#This Row],[SC]]=0,0,Mecze[[#This Row],[SC]]/Mecze[[#This Row],[CZAS]])</f>
        <v>0</v>
      </c>
      <c r="Q1495" s="32">
        <f>IF(Mecze[[#This Row],[OB]]=0,0,Mecze[[#This Row],[OB]]/Mecze[[#This Row],[CZAS]])</f>
        <v>0</v>
      </c>
      <c r="R1495" s="32">
        <f>IF(Mecze[[#This Row],[BR]]=0,0,Mecze[[#This Row],[BR]]/Mecze[[#This Row],[CZAS]])</f>
        <v>0</v>
      </c>
      <c r="S1495" s="44">
        <f>IF(Mecze[[#This Row],[Role]]="BR",SUMPRODUCT(Mecze[[#This Row],[/PR:90]:[/BR:90]],Brudnopis!$E$23:$J$23),0)</f>
        <v>0</v>
      </c>
      <c r="T1495" s="44">
        <f>IF(Mecze[[#This Row],[Role]]&lt;&gt;"BR",SUMPRODUCT(Mecze[[#This Row],[/PR:90]:[/BR:90]],Brudnopis!$E$24:$J$24),0)</f>
        <v>5.7291666666666657E-2</v>
      </c>
      <c r="U1495" s="44">
        <f>IF(Mecze[[#This Row],[Role]]&lt;&gt;"BR",SUMPRODUCT(Mecze[[#This Row],[/PR:90]:[/BR:90]],Brudnopis!$E$25:$J$25),0)</f>
        <v>6.25E-2</v>
      </c>
      <c r="V1495" s="44">
        <f>IF(Mecze[[#This Row],[Role]]&lt;&gt;"BR",SUMPRODUCT(Mecze[[#This Row],[/PR:90]:[/BR:90]],Brudnopis!$E$26:$J$26),0)</f>
        <v>5.2083333333333329E-2</v>
      </c>
      <c r="W1495" s="44">
        <f>IF(Mecze[[#This Row],[Role]]&lt;&gt;"BR",SUMPRODUCT(Mecze[[#This Row],[/PR:90]:[/BR:90]],Brudnopis!$E$27:$J$27),0)</f>
        <v>5.46875E-2</v>
      </c>
      <c r="X1495" s="44">
        <f>IF(Mecze[[#This Row],[Role]]&lt;&gt;"BR",SUMPRODUCT(Mecze[[#This Row],[/PR:90]:[/BR:90]],Brudnopis!$E$28:$J$28),0)</f>
        <v>2.0833333333333332E-2</v>
      </c>
      <c r="Y1495" s="35">
        <f>IF(Mecze[[#This Row],[Role]]="BR",Mecze[[#This Row],[/OB:90]]+Mecze[[#This Row],[/PC:90]],SUM(Mecze[[#This Row],[/PR:90]:[/BR:90]]))</f>
        <v>5.2083333333333329E-2</v>
      </c>
      <c r="Z1495" s="35">
        <f>IF(Mecze[[#This Row],[KC]]=0,SUM(Mecze[[#This Row],[/BRI]:[/NPI]]),SUM(Mecze[[#This Row],[/BRI]:[/NPI]])*0.6)</f>
        <v>0.24739583333333334</v>
      </c>
      <c r="AA1495" s="10">
        <f>IFERROR(Mecze[[#This Row],[BR]]/Mecze[[#This Row],[ST]],0)</f>
        <v>0</v>
      </c>
      <c r="AB1495">
        <f>ROUND(Mecze[[#This Row],[PD]]*Mecze[[#This Row],[%PC]],0)</f>
        <v>2</v>
      </c>
      <c r="AC1495">
        <f>ROUND(Mecze[[#This Row],[OD]]*Mecze[[#This Row],[%OU]],0)</f>
        <v>1</v>
      </c>
      <c r="AD1495" s="36" t="s">
        <v>168</v>
      </c>
      <c r="AE1495" s="36">
        <v>82</v>
      </c>
      <c r="AF1495" s="71">
        <v>3.23</v>
      </c>
      <c r="AG1495" s="37">
        <v>0</v>
      </c>
      <c r="AH1495" s="37">
        <v>0</v>
      </c>
      <c r="AI1495" s="37">
        <v>96</v>
      </c>
      <c r="AJ1495" s="37">
        <v>9</v>
      </c>
      <c r="AK1495" s="37" t="str">
        <f>VLOOKUP(Mecze[[#This Row],[Match ID]],Meczusie[Mecz]:Meczusie[RodzajMeczu],2,FALSE)</f>
        <v>Liga</v>
      </c>
    </row>
    <row r="1496" spans="1:37" x14ac:dyDescent="0.25">
      <c r="A1496" s="76">
        <v>2</v>
      </c>
      <c r="B1496" s="3" t="s">
        <v>290</v>
      </c>
      <c r="C1496" s="2" t="s">
        <v>157</v>
      </c>
      <c r="D1496" s="1">
        <v>0</v>
      </c>
      <c r="E1496" s="1">
        <v>0</v>
      </c>
      <c r="F1496" s="1">
        <v>0</v>
      </c>
      <c r="G1496" s="1">
        <v>8</v>
      </c>
      <c r="H1496" s="4">
        <v>0.5</v>
      </c>
      <c r="I1496" s="1">
        <v>3</v>
      </c>
      <c r="J1496" s="4">
        <v>0</v>
      </c>
      <c r="K1496" s="1">
        <v>0</v>
      </c>
      <c r="L1496" s="1">
        <v>4</v>
      </c>
      <c r="M1496" s="32">
        <f>IF(Mecze[[#This Row],[PR]]=0,0,Mecze[[#This Row],[PR]]/Mecze[[#This Row],[CZAS]])</f>
        <v>4.1666666666666664E-2</v>
      </c>
      <c r="N1496" s="32">
        <f>IF(Mecze[[#This Row],[OU]]=0,0,Mecze[[#This Row],[OU]]/Mecze[[#This Row],[CZAS]])</f>
        <v>0</v>
      </c>
      <c r="O1496" s="32">
        <f>IF(Mecze[[#This Row],[PC]]=0,0,Mecze[[#This Row],[PC]]/Mecze[[#This Row],[CZAS]])</f>
        <v>4.1666666666666664E-2</v>
      </c>
      <c r="P1496" s="32">
        <f>IF(Mecze[[#This Row],[SC]]=0,0,Mecze[[#This Row],[SC]]/Mecze[[#This Row],[CZAS]])</f>
        <v>0</v>
      </c>
      <c r="Q1496" s="32">
        <f>IF(Mecze[[#This Row],[OB]]=0,0,Mecze[[#This Row],[OB]]/Mecze[[#This Row],[CZAS]])</f>
        <v>0</v>
      </c>
      <c r="R1496" s="32">
        <f>IF(Mecze[[#This Row],[BR]]=0,0,Mecze[[#This Row],[BR]]/Mecze[[#This Row],[CZAS]])</f>
        <v>0</v>
      </c>
      <c r="S1496" s="44">
        <f>IF(Mecze[[#This Row],[Role]]="BR",SUMPRODUCT(Mecze[[#This Row],[/PR:90]:[/BR:90]],Brudnopis!$E$23:$J$23),0)</f>
        <v>0</v>
      </c>
      <c r="T1496" s="44">
        <f>IF(Mecze[[#This Row],[Role]]&lt;&gt;"BR",SUMPRODUCT(Mecze[[#This Row],[/PR:90]:[/BR:90]],Brudnopis!$E$24:$J$24),0)</f>
        <v>8.3333333333333329E-2</v>
      </c>
      <c r="U1496" s="44">
        <f>IF(Mecze[[#This Row],[Role]]&lt;&gt;"BR",SUMPRODUCT(Mecze[[#This Row],[/PR:90]:[/BR:90]],Brudnopis!$E$25:$J$25),0)</f>
        <v>0.10416666666666666</v>
      </c>
      <c r="V1496" s="44">
        <f>IF(Mecze[[#This Row],[Role]]&lt;&gt;"BR",SUMPRODUCT(Mecze[[#This Row],[/PR:90]:[/BR:90]],Brudnopis!$E$26:$J$26),0)</f>
        <v>8.3333333333333329E-2</v>
      </c>
      <c r="W1496" s="44">
        <f>IF(Mecze[[#This Row],[Role]]&lt;&gt;"BR",SUMPRODUCT(Mecze[[#This Row],[/PR:90]:[/BR:90]],Brudnopis!$E$27:$J$27),0)</f>
        <v>9.375E-2</v>
      </c>
      <c r="X1496" s="44">
        <f>IF(Mecze[[#This Row],[Role]]&lt;&gt;"BR",SUMPRODUCT(Mecze[[#This Row],[/PR:90]:[/BR:90]],Brudnopis!$E$28:$J$28),0)</f>
        <v>4.1666666666666664E-2</v>
      </c>
      <c r="Y1496" s="35">
        <f>IF(Mecze[[#This Row],[Role]]="BR",Mecze[[#This Row],[/OB:90]]+Mecze[[#This Row],[/PC:90]],SUM(Mecze[[#This Row],[/PR:90]:[/BR:90]]))</f>
        <v>8.3333333333333329E-2</v>
      </c>
      <c r="Z1496" s="35">
        <f>IF(Mecze[[#This Row],[KC]]=0,SUM(Mecze[[#This Row],[/BRI]:[/NPI]]),SUM(Mecze[[#This Row],[/BRI]:[/NPI]])*0.6)</f>
        <v>0.40625</v>
      </c>
      <c r="AA1496" s="10">
        <f>IFERROR(Mecze[[#This Row],[BR]]/Mecze[[#This Row],[ST]],0)</f>
        <v>0</v>
      </c>
      <c r="AB1496">
        <f>ROUND(Mecze[[#This Row],[PD]]*Mecze[[#This Row],[%PC]],0)</f>
        <v>4</v>
      </c>
      <c r="AC1496">
        <f>ROUND(Mecze[[#This Row],[OD]]*Mecze[[#This Row],[%OU]],0)</f>
        <v>0</v>
      </c>
      <c r="AD1496" s="36" t="s">
        <v>47</v>
      </c>
      <c r="AE1496" s="36">
        <v>82</v>
      </c>
      <c r="AF1496" s="71">
        <v>3.65</v>
      </c>
      <c r="AG1496" s="37">
        <v>0</v>
      </c>
      <c r="AH1496" s="37">
        <v>0</v>
      </c>
      <c r="AI1496" s="37">
        <v>96</v>
      </c>
      <c r="AJ1496" s="37">
        <v>9</v>
      </c>
      <c r="AK1496" s="37" t="str">
        <f>VLOOKUP(Mecze[[#This Row],[Match ID]],Meczusie[Mecz]:Meczusie[RodzajMeczu],2,FALSE)</f>
        <v>Liga</v>
      </c>
    </row>
    <row r="1497" spans="1:37" x14ac:dyDescent="0.25">
      <c r="A1497" s="76">
        <v>16</v>
      </c>
      <c r="B1497" s="3" t="s">
        <v>405</v>
      </c>
      <c r="C1497" s="2" t="s">
        <v>157</v>
      </c>
      <c r="D1497" s="1">
        <v>0</v>
      </c>
      <c r="E1497" s="1">
        <v>0</v>
      </c>
      <c r="F1497" s="1">
        <v>0</v>
      </c>
      <c r="G1497" s="1">
        <v>7</v>
      </c>
      <c r="H1497" s="4">
        <v>0.56999999999999995</v>
      </c>
      <c r="I1497" s="1">
        <v>4</v>
      </c>
      <c r="J1497" s="4">
        <v>0.5</v>
      </c>
      <c r="K1497" s="1">
        <v>0</v>
      </c>
      <c r="L1497" s="1">
        <v>4</v>
      </c>
      <c r="M1497" s="32">
        <f>IF(Mecze[[#This Row],[PR]]=0,0,Mecze[[#This Row],[PR]]/Mecze[[#This Row],[CZAS]])</f>
        <v>4.1666666666666664E-2</v>
      </c>
      <c r="N1497" s="32">
        <f>IF(Mecze[[#This Row],[OU]]=0,0,Mecze[[#This Row],[OU]]/Mecze[[#This Row],[CZAS]])</f>
        <v>2.0833333333333332E-2</v>
      </c>
      <c r="O1497" s="32">
        <f>IF(Mecze[[#This Row],[PC]]=0,0,Mecze[[#This Row],[PC]]/Mecze[[#This Row],[CZAS]])</f>
        <v>4.1666666666666664E-2</v>
      </c>
      <c r="P1497" s="32">
        <f>IF(Mecze[[#This Row],[SC]]=0,0,Mecze[[#This Row],[SC]]/Mecze[[#This Row],[CZAS]])</f>
        <v>0</v>
      </c>
      <c r="Q1497" s="32">
        <f>IF(Mecze[[#This Row],[OB]]=0,0,Mecze[[#This Row],[OB]]/Mecze[[#This Row],[CZAS]])</f>
        <v>0</v>
      </c>
      <c r="R1497" s="32">
        <f>IF(Mecze[[#This Row],[BR]]=0,0,Mecze[[#This Row],[BR]]/Mecze[[#This Row],[CZAS]])</f>
        <v>0</v>
      </c>
      <c r="S1497" s="44">
        <f>IF(Mecze[[#This Row],[Role]]="BR",SUMPRODUCT(Mecze[[#This Row],[/PR:90]:[/BR:90]],Brudnopis!$E$23:$J$23),0)</f>
        <v>0</v>
      </c>
      <c r="T1497" s="44">
        <f>IF(Mecze[[#This Row],[Role]]&lt;&gt;"BR",SUMPRODUCT(Mecze[[#This Row],[/PR:90]:[/BR:90]],Brudnopis!$E$24:$J$24),0)</f>
        <v>0.11458333333333331</v>
      </c>
      <c r="U1497" s="44">
        <f>IF(Mecze[[#This Row],[Role]]&lt;&gt;"BR",SUMPRODUCT(Mecze[[#This Row],[/PR:90]:[/BR:90]],Brudnopis!$E$25:$J$25),0)</f>
        <v>0.125</v>
      </c>
      <c r="V1497" s="44">
        <f>IF(Mecze[[#This Row],[Role]]&lt;&gt;"BR",SUMPRODUCT(Mecze[[#This Row],[/PR:90]:[/BR:90]],Brudnopis!$E$26:$J$26),0)</f>
        <v>0.10416666666666666</v>
      </c>
      <c r="W1497" s="44">
        <f>IF(Mecze[[#This Row],[Role]]&lt;&gt;"BR",SUMPRODUCT(Mecze[[#This Row],[/PR:90]:[/BR:90]],Brudnopis!$E$27:$J$27),0)</f>
        <v>0.109375</v>
      </c>
      <c r="X1497" s="44">
        <f>IF(Mecze[[#This Row],[Role]]&lt;&gt;"BR",SUMPRODUCT(Mecze[[#This Row],[/PR:90]:[/BR:90]],Brudnopis!$E$28:$J$28),0)</f>
        <v>4.1666666666666664E-2</v>
      </c>
      <c r="Y1497" s="35">
        <f>IF(Mecze[[#This Row],[Role]]="BR",Mecze[[#This Row],[/OB:90]]+Mecze[[#This Row],[/PC:90]],SUM(Mecze[[#This Row],[/PR:90]:[/BR:90]]))</f>
        <v>0.10416666666666666</v>
      </c>
      <c r="Z1497" s="35">
        <f>IF(Mecze[[#This Row],[KC]]=0,SUM(Mecze[[#This Row],[/BRI]:[/NPI]]),SUM(Mecze[[#This Row],[/BRI]:[/NPI]])*0.6)</f>
        <v>0.49479166666666669</v>
      </c>
      <c r="AA1497" s="10">
        <f>IFERROR(Mecze[[#This Row],[BR]]/Mecze[[#This Row],[ST]],0)</f>
        <v>0</v>
      </c>
      <c r="AB1497">
        <f>ROUND(Mecze[[#This Row],[PD]]*Mecze[[#This Row],[%PC]],0)</f>
        <v>4</v>
      </c>
      <c r="AC1497">
        <f>ROUND(Mecze[[#This Row],[OD]]*Mecze[[#This Row],[%OU]],0)</f>
        <v>2</v>
      </c>
      <c r="AD1497" s="36" t="s">
        <v>167</v>
      </c>
      <c r="AE1497" s="36">
        <v>82</v>
      </c>
      <c r="AF1497" s="71">
        <v>4.7699999999999996</v>
      </c>
      <c r="AG1497" s="37">
        <v>0</v>
      </c>
      <c r="AH1497" s="37">
        <v>0</v>
      </c>
      <c r="AI1497" s="37">
        <v>96</v>
      </c>
      <c r="AJ1497" s="37">
        <v>9</v>
      </c>
      <c r="AK1497" s="37" t="str">
        <f>VLOOKUP(Mecze[[#This Row],[Match ID]],Meczusie[Mecz]:Meczusie[RodzajMeczu],2,FALSE)</f>
        <v>Liga</v>
      </c>
    </row>
    <row r="1498" spans="1:37" x14ac:dyDescent="0.25">
      <c r="A1498" s="76">
        <v>3</v>
      </c>
      <c r="B1498" s="3" t="s">
        <v>292</v>
      </c>
      <c r="C1498" s="2" t="s">
        <v>160</v>
      </c>
      <c r="D1498" s="1">
        <v>1</v>
      </c>
      <c r="E1498" s="1">
        <v>1</v>
      </c>
      <c r="F1498" s="1">
        <v>1</v>
      </c>
      <c r="G1498" s="1">
        <v>19</v>
      </c>
      <c r="H1498" s="4">
        <v>0.89</v>
      </c>
      <c r="I1498" s="1">
        <v>15</v>
      </c>
      <c r="J1498" s="4">
        <v>0.4</v>
      </c>
      <c r="K1498" s="1">
        <v>0</v>
      </c>
      <c r="L1498" s="1">
        <v>17</v>
      </c>
      <c r="M1498" s="32">
        <f>IF(Mecze[[#This Row],[PR]]=0,0,Mecze[[#This Row],[PR]]/Mecze[[#This Row],[CZAS]])</f>
        <v>0.17708333333333334</v>
      </c>
      <c r="N1498" s="32">
        <f>IF(Mecze[[#This Row],[OU]]=0,0,Mecze[[#This Row],[OU]]/Mecze[[#This Row],[CZAS]])</f>
        <v>6.25E-2</v>
      </c>
      <c r="O1498" s="32">
        <f>IF(Mecze[[#This Row],[PC]]=0,0,Mecze[[#This Row],[PC]]/Mecze[[#This Row],[CZAS]])</f>
        <v>0.17708333333333334</v>
      </c>
      <c r="P1498" s="32">
        <f>IF(Mecze[[#This Row],[SC]]=0,0,Mecze[[#This Row],[SC]]/Mecze[[#This Row],[CZAS]])</f>
        <v>1.0416666666666666E-2</v>
      </c>
      <c r="Q1498" s="32">
        <f>IF(Mecze[[#This Row],[OB]]=0,0,Mecze[[#This Row],[OB]]/Mecze[[#This Row],[CZAS]])</f>
        <v>0</v>
      </c>
      <c r="R1498" s="32">
        <f>IF(Mecze[[#This Row],[BR]]=0,0,Mecze[[#This Row],[BR]]/Mecze[[#This Row],[CZAS]])</f>
        <v>1.0416666666666666E-2</v>
      </c>
      <c r="S1498" s="44">
        <f>IF(Mecze[[#This Row],[Role]]="BR",SUMPRODUCT(Mecze[[#This Row],[/PR:90]:[/BR:90]],Brudnopis!$E$23:$J$23),0)</f>
        <v>0</v>
      </c>
      <c r="T1498" s="44">
        <f>IF(Mecze[[#This Row],[Role]]&lt;&gt;"BR",SUMPRODUCT(Mecze[[#This Row],[/PR:90]:[/BR:90]],Brudnopis!$E$24:$J$24),0)</f>
        <v>0.47395833333333343</v>
      </c>
      <c r="U1498" s="44">
        <f>IF(Mecze[[#This Row],[Role]]&lt;&gt;"BR",SUMPRODUCT(Mecze[[#This Row],[/PR:90]:[/BR:90]],Brudnopis!$E$25:$J$25),0)</f>
        <v>0.53125</v>
      </c>
      <c r="V1498" s="44">
        <f>IF(Mecze[[#This Row],[Role]]&lt;&gt;"BR",SUMPRODUCT(Mecze[[#This Row],[/PR:90]:[/BR:90]],Brudnopis!$E$26:$J$26),0)</f>
        <v>0.44791666666666669</v>
      </c>
      <c r="W1498" s="44">
        <f>IF(Mecze[[#This Row],[Role]]&lt;&gt;"BR",SUMPRODUCT(Mecze[[#This Row],[/PR:90]:[/BR:90]],Brudnopis!$E$27:$J$27),0)</f>
        <v>0.4765625</v>
      </c>
      <c r="X1498" s="44">
        <f>IF(Mecze[[#This Row],[Role]]&lt;&gt;"BR",SUMPRODUCT(Mecze[[#This Row],[/PR:90]:[/BR:90]],Brudnopis!$E$28:$J$28),0)</f>
        <v>0.22916666666666669</v>
      </c>
      <c r="Y1498" s="35">
        <f>IF(Mecze[[#This Row],[Role]]="BR",Mecze[[#This Row],[/OB:90]]+Mecze[[#This Row],[/PC:90]],SUM(Mecze[[#This Row],[/PR:90]:[/BR:90]]))</f>
        <v>0.43750000000000006</v>
      </c>
      <c r="Z1498" s="35">
        <f>IF(Mecze[[#This Row],[KC]]=0,SUM(Mecze[[#This Row],[/BRI]:[/NPI]]),SUM(Mecze[[#This Row],[/BRI]:[/NPI]])*0.6)</f>
        <v>2.158854166666667</v>
      </c>
      <c r="AA1498" s="10">
        <f>IFERROR(Mecze[[#This Row],[BR]]/Mecze[[#This Row],[ST]],0)</f>
        <v>1</v>
      </c>
      <c r="AB1498">
        <f>ROUND(Mecze[[#This Row],[PD]]*Mecze[[#This Row],[%PC]],0)</f>
        <v>17</v>
      </c>
      <c r="AC1498">
        <f>ROUND(Mecze[[#This Row],[OD]]*Mecze[[#This Row],[%OU]],0)</f>
        <v>6</v>
      </c>
      <c r="AD1498" s="36" t="s">
        <v>173</v>
      </c>
      <c r="AE1498" s="36">
        <v>82</v>
      </c>
      <c r="AF1498" s="71">
        <v>11.95</v>
      </c>
      <c r="AG1498" s="37">
        <v>0</v>
      </c>
      <c r="AH1498" s="37">
        <v>0</v>
      </c>
      <c r="AI1498" s="37">
        <v>96</v>
      </c>
      <c r="AJ1498" s="37">
        <v>9</v>
      </c>
      <c r="AK1498" s="37" t="str">
        <f>VLOOKUP(Mecze[[#This Row],[Match ID]],Meczusie[Mecz]:Meczusie[RodzajMeczu],2,FALSE)</f>
        <v>Liga</v>
      </c>
    </row>
    <row r="1499" spans="1:37" x14ac:dyDescent="0.25">
      <c r="A1499" s="76">
        <v>14</v>
      </c>
      <c r="B1499" s="3" t="s">
        <v>293</v>
      </c>
      <c r="C1499" s="2" t="s">
        <v>160</v>
      </c>
      <c r="D1499" s="1">
        <v>0</v>
      </c>
      <c r="E1499" s="1">
        <v>0</v>
      </c>
      <c r="F1499" s="1">
        <v>0</v>
      </c>
      <c r="G1499" s="1">
        <v>4</v>
      </c>
      <c r="H1499" s="4">
        <v>0.75</v>
      </c>
      <c r="I1499" s="1">
        <v>0</v>
      </c>
      <c r="J1499" s="4"/>
      <c r="K1499" s="1">
        <v>0</v>
      </c>
      <c r="L1499" s="1">
        <v>1</v>
      </c>
      <c r="M1499" s="32">
        <f>IF(Mecze[[#This Row],[PR]]=0,0,Mecze[[#This Row],[PR]]/Mecze[[#This Row],[CZAS]])</f>
        <v>1.0416666666666666E-2</v>
      </c>
      <c r="N1499" s="32">
        <f>IF(Mecze[[#This Row],[OU]]=0,0,Mecze[[#This Row],[OU]]/Mecze[[#This Row],[CZAS]])</f>
        <v>0</v>
      </c>
      <c r="O1499" s="32">
        <f>IF(Mecze[[#This Row],[PC]]=0,0,Mecze[[#This Row],[PC]]/Mecze[[#This Row],[CZAS]])</f>
        <v>3.125E-2</v>
      </c>
      <c r="P1499" s="32">
        <f>IF(Mecze[[#This Row],[SC]]=0,0,Mecze[[#This Row],[SC]]/Mecze[[#This Row],[CZAS]])</f>
        <v>0</v>
      </c>
      <c r="Q1499" s="32">
        <f>IF(Mecze[[#This Row],[OB]]=0,0,Mecze[[#This Row],[OB]]/Mecze[[#This Row],[CZAS]])</f>
        <v>0</v>
      </c>
      <c r="R1499" s="32">
        <f>IF(Mecze[[#This Row],[BR]]=0,0,Mecze[[#This Row],[BR]]/Mecze[[#This Row],[CZAS]])</f>
        <v>0</v>
      </c>
      <c r="S1499" s="44">
        <f>IF(Mecze[[#This Row],[Role]]="BR",SUMPRODUCT(Mecze[[#This Row],[/PR:90]:[/BR:90]],Brudnopis!$E$23:$J$23),0)</f>
        <v>0</v>
      </c>
      <c r="T1499" s="44">
        <f>IF(Mecze[[#This Row],[Role]]&lt;&gt;"BR",SUMPRODUCT(Mecze[[#This Row],[/PR:90]:[/BR:90]],Brudnopis!$E$24:$J$24),0)</f>
        <v>4.1666666666666664E-2</v>
      </c>
      <c r="U1499" s="44">
        <f>IF(Mecze[[#This Row],[Role]]&lt;&gt;"BR",SUMPRODUCT(Mecze[[#This Row],[/PR:90]:[/BR:90]],Brudnopis!$E$25:$J$25),0)</f>
        <v>5.7291666666666664E-2</v>
      </c>
      <c r="V1499" s="44">
        <f>IF(Mecze[[#This Row],[Role]]&lt;&gt;"BR",SUMPRODUCT(Mecze[[#This Row],[/PR:90]:[/BR:90]],Brudnopis!$E$26:$J$26),0)</f>
        <v>4.1666666666666664E-2</v>
      </c>
      <c r="W1499" s="44">
        <f>IF(Mecze[[#This Row],[Role]]&lt;&gt;"BR",SUMPRODUCT(Mecze[[#This Row],[/PR:90]:[/BR:90]],Brudnopis!$E$27:$J$27),0)</f>
        <v>5.46875E-2</v>
      </c>
      <c r="X1499" s="44">
        <f>IF(Mecze[[#This Row],[Role]]&lt;&gt;"BR",SUMPRODUCT(Mecze[[#This Row],[/PR:90]:[/BR:90]],Brudnopis!$E$28:$J$28),0)</f>
        <v>3.125E-2</v>
      </c>
      <c r="Y1499" s="35">
        <f>IF(Mecze[[#This Row],[Role]]="BR",Mecze[[#This Row],[/OB:90]]+Mecze[[#This Row],[/PC:90]],SUM(Mecze[[#This Row],[/PR:90]:[/BR:90]]))</f>
        <v>4.1666666666666664E-2</v>
      </c>
      <c r="Z1499" s="35">
        <f>IF(Mecze[[#This Row],[KC]]=0,SUM(Mecze[[#This Row],[/BRI]:[/NPI]]),SUM(Mecze[[#This Row],[/BRI]:[/NPI]])*0.6)</f>
        <v>0.2265625</v>
      </c>
      <c r="AA1499" s="10">
        <f>IFERROR(Mecze[[#This Row],[BR]]/Mecze[[#This Row],[ST]],0)</f>
        <v>0</v>
      </c>
      <c r="AB1499">
        <f>ROUND(Mecze[[#This Row],[PD]]*Mecze[[#This Row],[%PC]],0)</f>
        <v>3</v>
      </c>
      <c r="AC1499">
        <f>ROUND(Mecze[[#This Row],[OD]]*Mecze[[#This Row],[%OU]],0)</f>
        <v>0</v>
      </c>
      <c r="AD1499" s="36" t="s">
        <v>172</v>
      </c>
      <c r="AE1499" s="36">
        <v>82</v>
      </c>
      <c r="AF1499" s="71">
        <v>4.13</v>
      </c>
      <c r="AG1499" s="37">
        <v>0</v>
      </c>
      <c r="AH1499" s="37">
        <v>0</v>
      </c>
      <c r="AI1499" s="37">
        <v>96</v>
      </c>
      <c r="AJ1499" s="37">
        <v>9</v>
      </c>
      <c r="AK1499" s="37" t="str">
        <f>VLOOKUP(Mecze[[#This Row],[Match ID]],Meczusie[Mecz]:Meczusie[RodzajMeczu],2,FALSE)</f>
        <v>Liga</v>
      </c>
    </row>
    <row r="1500" spans="1:37" x14ac:dyDescent="0.25">
      <c r="A1500" s="76">
        <v>8</v>
      </c>
      <c r="B1500" s="3" t="s">
        <v>294</v>
      </c>
      <c r="C1500" s="2" t="s">
        <v>160</v>
      </c>
      <c r="D1500" s="1">
        <v>0</v>
      </c>
      <c r="E1500" s="1">
        <v>0</v>
      </c>
      <c r="F1500" s="1">
        <v>0</v>
      </c>
      <c r="G1500" s="1">
        <v>15</v>
      </c>
      <c r="H1500" s="4">
        <v>0.87</v>
      </c>
      <c r="I1500" s="1">
        <v>7</v>
      </c>
      <c r="J1500" s="4">
        <v>0.43</v>
      </c>
      <c r="K1500" s="1">
        <v>0</v>
      </c>
      <c r="L1500" s="1">
        <v>2</v>
      </c>
      <c r="M1500" s="32">
        <f>IF(Mecze[[#This Row],[PR]]=0,0,Mecze[[#This Row],[PR]]/Mecze[[#This Row],[CZAS]])</f>
        <v>2.0833333333333332E-2</v>
      </c>
      <c r="N1500" s="32">
        <f>IF(Mecze[[#This Row],[OU]]=0,0,Mecze[[#This Row],[OU]]/Mecze[[#This Row],[CZAS]])</f>
        <v>3.125E-2</v>
      </c>
      <c r="O1500" s="32">
        <f>IF(Mecze[[#This Row],[PC]]=0,0,Mecze[[#This Row],[PC]]/Mecze[[#This Row],[CZAS]])</f>
        <v>0.13541666666666666</v>
      </c>
      <c r="P1500" s="32">
        <f>IF(Mecze[[#This Row],[SC]]=0,0,Mecze[[#This Row],[SC]]/Mecze[[#This Row],[CZAS]])</f>
        <v>0</v>
      </c>
      <c r="Q1500" s="32">
        <f>IF(Mecze[[#This Row],[OB]]=0,0,Mecze[[#This Row],[OB]]/Mecze[[#This Row],[CZAS]])</f>
        <v>0</v>
      </c>
      <c r="R1500" s="32">
        <f>IF(Mecze[[#This Row],[BR]]=0,0,Mecze[[#This Row],[BR]]/Mecze[[#This Row],[CZAS]])</f>
        <v>0</v>
      </c>
      <c r="S1500" s="44">
        <f>IF(Mecze[[#This Row],[Role]]="BR",SUMPRODUCT(Mecze[[#This Row],[/PR:90]:[/BR:90]],Brudnopis!$E$23:$J$23),0)</f>
        <v>0</v>
      </c>
      <c r="T1500" s="44">
        <f>IF(Mecze[[#This Row],[Role]]&lt;&gt;"BR",SUMPRODUCT(Mecze[[#This Row],[/PR:90]:[/BR:90]],Brudnopis!$E$24:$J$24),0)</f>
        <v>0.203125</v>
      </c>
      <c r="U1500" s="44">
        <f>IF(Mecze[[#This Row],[Role]]&lt;&gt;"BR",SUMPRODUCT(Mecze[[#This Row],[/PR:90]:[/BR:90]],Brudnopis!$E$25:$J$25),0)</f>
        <v>0.25520833333333331</v>
      </c>
      <c r="V1500" s="44">
        <f>IF(Mecze[[#This Row],[Role]]&lt;&gt;"BR",SUMPRODUCT(Mecze[[#This Row],[/PR:90]:[/BR:90]],Brudnopis!$E$26:$J$26),0)</f>
        <v>0.1875</v>
      </c>
      <c r="W1500" s="44">
        <f>IF(Mecze[[#This Row],[Role]]&lt;&gt;"BR",SUMPRODUCT(Mecze[[#This Row],[/PR:90]:[/BR:90]],Brudnopis!$E$27:$J$27),0)</f>
        <v>0.2421875</v>
      </c>
      <c r="X1500" s="44">
        <f>IF(Mecze[[#This Row],[Role]]&lt;&gt;"BR",SUMPRODUCT(Mecze[[#This Row],[/PR:90]:[/BR:90]],Brudnopis!$E$28:$J$28),0)</f>
        <v>0.13541666666666666</v>
      </c>
      <c r="Y1500" s="35">
        <f>IF(Mecze[[#This Row],[Role]]="BR",Mecze[[#This Row],[/OB:90]]+Mecze[[#This Row],[/PC:90]],SUM(Mecze[[#This Row],[/PR:90]:[/BR:90]]))</f>
        <v>0.1875</v>
      </c>
      <c r="Z1500" s="35">
        <f>IF(Mecze[[#This Row],[KC]]=0,SUM(Mecze[[#This Row],[/BRI]:[/NPI]]),SUM(Mecze[[#This Row],[/BRI]:[/NPI]])*0.6)</f>
        <v>1.0234375</v>
      </c>
      <c r="AA1500" s="10">
        <f>IFERROR(Mecze[[#This Row],[BR]]/Mecze[[#This Row],[ST]],0)</f>
        <v>0</v>
      </c>
      <c r="AB1500">
        <f>ROUND(Mecze[[#This Row],[PD]]*Mecze[[#This Row],[%PC]],0)</f>
        <v>13</v>
      </c>
      <c r="AC1500">
        <f>ROUND(Mecze[[#This Row],[OD]]*Mecze[[#This Row],[%OU]],0)</f>
        <v>3</v>
      </c>
      <c r="AD1500" s="36" t="s">
        <v>67</v>
      </c>
      <c r="AE1500" s="36">
        <v>82</v>
      </c>
      <c r="AF1500" s="71">
        <v>6.46</v>
      </c>
      <c r="AG1500" s="37">
        <v>0</v>
      </c>
      <c r="AH1500" s="37">
        <v>0</v>
      </c>
      <c r="AI1500" s="37">
        <v>96</v>
      </c>
      <c r="AJ1500" s="37">
        <v>9</v>
      </c>
      <c r="AK1500" s="37" t="str">
        <f>VLOOKUP(Mecze[[#This Row],[Match ID]],Meczusie[Mecz]:Meczusie[RodzajMeczu],2,FALSE)</f>
        <v>Liga</v>
      </c>
    </row>
    <row r="1501" spans="1:37" x14ac:dyDescent="0.25">
      <c r="A1501" s="76">
        <v>11</v>
      </c>
      <c r="B1501" s="3" t="s">
        <v>410</v>
      </c>
      <c r="C1501" s="2" t="s">
        <v>160</v>
      </c>
      <c r="D1501" s="1">
        <v>0</v>
      </c>
      <c r="E1501" s="1">
        <v>1</v>
      </c>
      <c r="F1501" s="1">
        <v>1</v>
      </c>
      <c r="G1501" s="1">
        <v>9</v>
      </c>
      <c r="H1501" s="4">
        <v>0.78</v>
      </c>
      <c r="I1501" s="1">
        <v>0</v>
      </c>
      <c r="J1501" s="4"/>
      <c r="K1501" s="1">
        <v>0</v>
      </c>
      <c r="L1501" s="1">
        <v>2</v>
      </c>
      <c r="M1501" s="32">
        <f>IF(Mecze[[#This Row],[PR]]=0,0,Mecze[[#This Row],[PR]]/Mecze[[#This Row],[CZAS]])</f>
        <v>2.0833333333333332E-2</v>
      </c>
      <c r="N1501" s="32">
        <f>IF(Mecze[[#This Row],[OU]]=0,0,Mecze[[#This Row],[OU]]/Mecze[[#This Row],[CZAS]])</f>
        <v>0</v>
      </c>
      <c r="O1501" s="32">
        <f>IF(Mecze[[#This Row],[PC]]=0,0,Mecze[[#This Row],[PC]]/Mecze[[#This Row],[CZAS]])</f>
        <v>7.2916666666666671E-2</v>
      </c>
      <c r="P1501" s="32">
        <f>IF(Mecze[[#This Row],[SC]]=0,0,Mecze[[#This Row],[SC]]/Mecze[[#This Row],[CZAS]])</f>
        <v>1.0416666666666666E-2</v>
      </c>
      <c r="Q1501" s="32">
        <f>IF(Mecze[[#This Row],[OB]]=0,0,Mecze[[#This Row],[OB]]/Mecze[[#This Row],[CZAS]])</f>
        <v>0</v>
      </c>
      <c r="R1501" s="32">
        <f>IF(Mecze[[#This Row],[BR]]=0,0,Mecze[[#This Row],[BR]]/Mecze[[#This Row],[CZAS]])</f>
        <v>0</v>
      </c>
      <c r="S1501" s="44">
        <f>IF(Mecze[[#This Row],[Role]]="BR",SUMPRODUCT(Mecze[[#This Row],[/PR:90]:[/BR:90]],Brudnopis!$E$23:$J$23),0)</f>
        <v>0</v>
      </c>
      <c r="T1501" s="44">
        <f>IF(Mecze[[#This Row],[Role]]&lt;&gt;"BR",SUMPRODUCT(Mecze[[#This Row],[/PR:90]:[/BR:90]],Brudnopis!$E$24:$J$24),0)</f>
        <v>0.10416666666666667</v>
      </c>
      <c r="U1501" s="44">
        <f>IF(Mecze[[#This Row],[Role]]&lt;&gt;"BR",SUMPRODUCT(Mecze[[#This Row],[/PR:90]:[/BR:90]],Brudnopis!$E$25:$J$25),0)</f>
        <v>0.140625</v>
      </c>
      <c r="V1501" s="44">
        <f>IF(Mecze[[#This Row],[Role]]&lt;&gt;"BR",SUMPRODUCT(Mecze[[#This Row],[/PR:90]:[/BR:90]],Brudnopis!$E$26:$J$26),0)</f>
        <v>0.10416666666666667</v>
      </c>
      <c r="W1501" s="44">
        <f>IF(Mecze[[#This Row],[Role]]&lt;&gt;"BR",SUMPRODUCT(Mecze[[#This Row],[/PR:90]:[/BR:90]],Brudnopis!$E$27:$J$27),0)</f>
        <v>0.13541666666666666</v>
      </c>
      <c r="X1501" s="44">
        <f>IF(Mecze[[#This Row],[Role]]&lt;&gt;"BR",SUMPRODUCT(Mecze[[#This Row],[/PR:90]:[/BR:90]],Brudnopis!$E$28:$J$28),0)</f>
        <v>9.375E-2</v>
      </c>
      <c r="Y1501" s="35">
        <f>IF(Mecze[[#This Row],[Role]]="BR",Mecze[[#This Row],[/OB:90]]+Mecze[[#This Row],[/PC:90]],SUM(Mecze[[#This Row],[/PR:90]:[/BR:90]]))</f>
        <v>0.10416666666666667</v>
      </c>
      <c r="Z1501" s="35">
        <f>IF(Mecze[[#This Row],[KC]]=0,SUM(Mecze[[#This Row],[/BRI]:[/NPI]]),SUM(Mecze[[#This Row],[/BRI]:[/NPI]])*0.6)</f>
        <v>0.578125</v>
      </c>
      <c r="AA1501" s="10">
        <f>IFERROR(Mecze[[#This Row],[BR]]/Mecze[[#This Row],[ST]],0)</f>
        <v>0</v>
      </c>
      <c r="AB1501">
        <f>ROUND(Mecze[[#This Row],[PD]]*Mecze[[#This Row],[%PC]],0)</f>
        <v>7</v>
      </c>
      <c r="AC1501">
        <f>ROUND(Mecze[[#This Row],[OD]]*Mecze[[#This Row],[%OU]],0)</f>
        <v>0</v>
      </c>
      <c r="AD1501" s="36" t="s">
        <v>299</v>
      </c>
      <c r="AE1501" s="36">
        <v>82</v>
      </c>
      <c r="AF1501" s="71">
        <v>5.78</v>
      </c>
      <c r="AG1501" s="37">
        <v>0</v>
      </c>
      <c r="AH1501" s="37">
        <v>0</v>
      </c>
      <c r="AI1501" s="37">
        <v>96</v>
      </c>
      <c r="AJ1501" s="37">
        <v>9</v>
      </c>
      <c r="AK1501" s="37" t="str">
        <f>VLOOKUP(Mecze[[#This Row],[Match ID]],Meczusie[Mecz]:Meczusie[RodzajMeczu],2,FALSE)</f>
        <v>Liga</v>
      </c>
    </row>
    <row r="1502" spans="1:37" x14ac:dyDescent="0.25">
      <c r="A1502" s="76">
        <v>13</v>
      </c>
      <c r="B1502" s="3" t="s">
        <v>295</v>
      </c>
      <c r="C1502" s="2" t="s">
        <v>160</v>
      </c>
      <c r="D1502" s="1">
        <v>0</v>
      </c>
      <c r="E1502" s="1">
        <v>0</v>
      </c>
      <c r="F1502" s="1">
        <v>0</v>
      </c>
      <c r="G1502" s="1">
        <v>15</v>
      </c>
      <c r="H1502" s="4">
        <v>0.33</v>
      </c>
      <c r="I1502" s="1">
        <v>2</v>
      </c>
      <c r="J1502" s="4">
        <v>0.5</v>
      </c>
      <c r="K1502" s="1">
        <v>0</v>
      </c>
      <c r="L1502" s="1">
        <v>0</v>
      </c>
      <c r="M1502" s="32">
        <f>IF(Mecze[[#This Row],[PR]]=0,0,Mecze[[#This Row],[PR]]/Mecze[[#This Row],[CZAS]])</f>
        <v>0</v>
      </c>
      <c r="N1502" s="32">
        <f>IF(Mecze[[#This Row],[OU]]=0,0,Mecze[[#This Row],[OU]]/Mecze[[#This Row],[CZAS]])</f>
        <v>1.0416666666666666E-2</v>
      </c>
      <c r="O1502" s="32">
        <f>IF(Mecze[[#This Row],[PC]]=0,0,Mecze[[#This Row],[PC]]/Mecze[[#This Row],[CZAS]])</f>
        <v>5.2083333333333336E-2</v>
      </c>
      <c r="P1502" s="32">
        <f>IF(Mecze[[#This Row],[SC]]=0,0,Mecze[[#This Row],[SC]]/Mecze[[#This Row],[CZAS]])</f>
        <v>0</v>
      </c>
      <c r="Q1502" s="32">
        <f>IF(Mecze[[#This Row],[OB]]=0,0,Mecze[[#This Row],[OB]]/Mecze[[#This Row],[CZAS]])</f>
        <v>0</v>
      </c>
      <c r="R1502" s="32">
        <f>IF(Mecze[[#This Row],[BR]]=0,0,Mecze[[#This Row],[BR]]/Mecze[[#This Row],[CZAS]])</f>
        <v>0</v>
      </c>
      <c r="S1502" s="44">
        <f>IF(Mecze[[#This Row],[Role]]="BR",SUMPRODUCT(Mecze[[#This Row],[/PR:90]:[/BR:90]],Brudnopis!$E$23:$J$23),0)</f>
        <v>0</v>
      </c>
      <c r="T1502" s="44">
        <f>IF(Mecze[[#This Row],[Role]]&lt;&gt;"BR",SUMPRODUCT(Mecze[[#This Row],[/PR:90]:[/BR:90]],Brudnopis!$E$24:$J$24),0)</f>
        <v>6.7708333333333343E-2</v>
      </c>
      <c r="U1502" s="44">
        <f>IF(Mecze[[#This Row],[Role]]&lt;&gt;"BR",SUMPRODUCT(Mecze[[#This Row],[/PR:90]:[/BR:90]],Brudnopis!$E$25:$J$25),0)</f>
        <v>8.8541666666666671E-2</v>
      </c>
      <c r="V1502" s="44">
        <f>IF(Mecze[[#This Row],[Role]]&lt;&gt;"BR",SUMPRODUCT(Mecze[[#This Row],[/PR:90]:[/BR:90]],Brudnopis!$E$26:$J$26),0)</f>
        <v>6.25E-2</v>
      </c>
      <c r="W1502" s="44">
        <f>IF(Mecze[[#This Row],[Role]]&lt;&gt;"BR",SUMPRODUCT(Mecze[[#This Row],[/PR:90]:[/BR:90]],Brudnopis!$E$27:$J$27),0)</f>
        <v>8.59375E-2</v>
      </c>
      <c r="X1502" s="44">
        <f>IF(Mecze[[#This Row],[Role]]&lt;&gt;"BR",SUMPRODUCT(Mecze[[#This Row],[/PR:90]:[/BR:90]],Brudnopis!$E$28:$J$28),0)</f>
        <v>5.2083333333333336E-2</v>
      </c>
      <c r="Y1502" s="35">
        <f>IF(Mecze[[#This Row],[Role]]="BR",Mecze[[#This Row],[/OB:90]]+Mecze[[#This Row],[/PC:90]],SUM(Mecze[[#This Row],[/PR:90]:[/BR:90]]))</f>
        <v>6.25E-2</v>
      </c>
      <c r="Z1502" s="35">
        <f>IF(Mecze[[#This Row],[KC]]=0,SUM(Mecze[[#This Row],[/BRI]:[/NPI]]),SUM(Mecze[[#This Row],[/BRI]:[/NPI]])*0.6)</f>
        <v>0.35677083333333331</v>
      </c>
      <c r="AA1502" s="10">
        <f>IFERROR(Mecze[[#This Row],[BR]]/Mecze[[#This Row],[ST]],0)</f>
        <v>0</v>
      </c>
      <c r="AB1502">
        <f>ROUND(Mecze[[#This Row],[PD]]*Mecze[[#This Row],[%PC]],0)</f>
        <v>5</v>
      </c>
      <c r="AC1502">
        <f>ROUND(Mecze[[#This Row],[OD]]*Mecze[[#This Row],[%OU]],0)</f>
        <v>1</v>
      </c>
      <c r="AD1502" s="36" t="s">
        <v>171</v>
      </c>
      <c r="AE1502" s="36">
        <v>82</v>
      </c>
      <c r="AF1502" s="71">
        <v>3.92</v>
      </c>
      <c r="AG1502" s="37">
        <v>0</v>
      </c>
      <c r="AH1502" s="37">
        <v>0</v>
      </c>
      <c r="AI1502" s="37">
        <v>96</v>
      </c>
      <c r="AJ1502" s="37">
        <v>9</v>
      </c>
      <c r="AK1502" s="37" t="str">
        <f>VLOOKUP(Mecze[[#This Row],[Match ID]],Meczusie[Mecz]:Meczusie[RodzajMeczu],2,FALSE)</f>
        <v>Liga</v>
      </c>
    </row>
    <row r="1503" spans="1:37" x14ac:dyDescent="0.25">
      <c r="A1503" s="76">
        <v>9</v>
      </c>
      <c r="B1503" s="3" t="s">
        <v>296</v>
      </c>
      <c r="C1503" s="2" t="s">
        <v>165</v>
      </c>
      <c r="D1503" s="1">
        <v>2</v>
      </c>
      <c r="E1503" s="1">
        <v>5</v>
      </c>
      <c r="F1503" s="1">
        <v>4</v>
      </c>
      <c r="G1503" s="1">
        <v>11</v>
      </c>
      <c r="H1503" s="4">
        <v>0.73</v>
      </c>
      <c r="I1503" s="1">
        <v>1</v>
      </c>
      <c r="J1503" s="4">
        <v>0</v>
      </c>
      <c r="K1503" s="1">
        <v>0</v>
      </c>
      <c r="L1503" s="1">
        <v>1</v>
      </c>
      <c r="M1503" s="32">
        <f>IF(Mecze[[#This Row],[PR]]=0,0,Mecze[[#This Row],[PR]]/Mecze[[#This Row],[CZAS]])</f>
        <v>1.0416666666666666E-2</v>
      </c>
      <c r="N1503" s="32">
        <f>IF(Mecze[[#This Row],[OU]]=0,0,Mecze[[#This Row],[OU]]/Mecze[[#This Row],[CZAS]])</f>
        <v>0</v>
      </c>
      <c r="O1503" s="32">
        <f>IF(Mecze[[#This Row],[PC]]=0,0,Mecze[[#This Row],[PC]]/Mecze[[#This Row],[CZAS]])</f>
        <v>8.3333333333333329E-2</v>
      </c>
      <c r="P1503" s="32">
        <f>IF(Mecze[[#This Row],[SC]]=0,0,Mecze[[#This Row],[SC]]/Mecze[[#This Row],[CZAS]])</f>
        <v>4.1666666666666664E-2</v>
      </c>
      <c r="Q1503" s="32">
        <f>IF(Mecze[[#This Row],[OB]]=0,0,Mecze[[#This Row],[OB]]/Mecze[[#This Row],[CZAS]])</f>
        <v>0</v>
      </c>
      <c r="R1503" s="32">
        <f>IF(Mecze[[#This Row],[BR]]=0,0,Mecze[[#This Row],[BR]]/Mecze[[#This Row],[CZAS]])</f>
        <v>2.0833333333333332E-2</v>
      </c>
      <c r="S1503" s="44">
        <f>IF(Mecze[[#This Row],[Role]]="BR",SUMPRODUCT(Mecze[[#This Row],[/PR:90]:[/BR:90]],Brudnopis!$E$23:$J$23),0)</f>
        <v>0</v>
      </c>
      <c r="T1503" s="44">
        <f>IF(Mecze[[#This Row],[Role]]&lt;&gt;"BR",SUMPRODUCT(Mecze[[#This Row],[/PR:90]:[/BR:90]],Brudnopis!$E$24:$J$24),0)</f>
        <v>0.16666666666666666</v>
      </c>
      <c r="U1503" s="44">
        <f>IF(Mecze[[#This Row],[Role]]&lt;&gt;"BR",SUMPRODUCT(Mecze[[#This Row],[/PR:90]:[/BR:90]],Brudnopis!$E$25:$J$25),0)</f>
        <v>0.20833333333333331</v>
      </c>
      <c r="V1503" s="44">
        <f>IF(Mecze[[#This Row],[Role]]&lt;&gt;"BR",SUMPRODUCT(Mecze[[#This Row],[/PR:90]:[/BR:90]],Brudnopis!$E$26:$J$26),0)</f>
        <v>0.17708333333333331</v>
      </c>
      <c r="W1503" s="44">
        <f>IF(Mecze[[#This Row],[Role]]&lt;&gt;"BR",SUMPRODUCT(Mecze[[#This Row],[/PR:90]:[/BR:90]],Brudnopis!$E$27:$J$27),0)</f>
        <v>0.21614583333333331</v>
      </c>
      <c r="X1503" s="44">
        <f>IF(Mecze[[#This Row],[Role]]&lt;&gt;"BR",SUMPRODUCT(Mecze[[#This Row],[/PR:90]:[/BR:90]],Brudnopis!$E$28:$J$28),0)</f>
        <v>0.22916666666666666</v>
      </c>
      <c r="Y1503" s="35">
        <f>IF(Mecze[[#This Row],[Role]]="BR",Mecze[[#This Row],[/OB:90]]+Mecze[[#This Row],[/PC:90]],SUM(Mecze[[#This Row],[/PR:90]:[/BR:90]]))</f>
        <v>0.15625</v>
      </c>
      <c r="Z1503" s="35">
        <f>IF(Mecze[[#This Row],[KC]]=0,SUM(Mecze[[#This Row],[/BRI]:[/NPI]]),SUM(Mecze[[#This Row],[/BRI]:[/NPI]])*0.6)</f>
        <v>0.99739583333333315</v>
      </c>
      <c r="AA1503" s="10">
        <f>IFERROR(Mecze[[#This Row],[BR]]/Mecze[[#This Row],[ST]],0)</f>
        <v>0.4</v>
      </c>
      <c r="AB1503">
        <f>ROUND(Mecze[[#This Row],[PD]]*Mecze[[#This Row],[%PC]],0)</f>
        <v>8</v>
      </c>
      <c r="AC1503">
        <f>ROUND(Mecze[[#This Row],[OD]]*Mecze[[#This Row],[%OU]],0)</f>
        <v>0</v>
      </c>
      <c r="AD1503" s="36" t="s">
        <v>272</v>
      </c>
      <c r="AE1503" s="36">
        <v>82</v>
      </c>
      <c r="AF1503" s="71">
        <v>10.74</v>
      </c>
      <c r="AG1503" s="37">
        <v>0</v>
      </c>
      <c r="AH1503" s="37">
        <v>0</v>
      </c>
      <c r="AI1503" s="37">
        <v>96</v>
      </c>
      <c r="AJ1503" s="37">
        <v>9</v>
      </c>
      <c r="AK1503" s="37" t="str">
        <f>VLOOKUP(Mecze[[#This Row],[Match ID]],Meczusie[Mecz]:Meczusie[RodzajMeczu],2,FALSE)</f>
        <v>Liga</v>
      </c>
    </row>
    <row r="1504" spans="1:37" x14ac:dyDescent="0.25">
      <c r="A1504" s="76">
        <v>6</v>
      </c>
      <c r="B1504" s="3" t="s">
        <v>297</v>
      </c>
      <c r="C1504" s="2" t="s">
        <v>165</v>
      </c>
      <c r="D1504" s="1">
        <v>1</v>
      </c>
      <c r="E1504" s="1">
        <v>8</v>
      </c>
      <c r="F1504" s="1">
        <v>7</v>
      </c>
      <c r="G1504" s="1">
        <v>10</v>
      </c>
      <c r="H1504" s="4">
        <v>0.9</v>
      </c>
      <c r="I1504" s="1">
        <v>0</v>
      </c>
      <c r="J1504" s="4"/>
      <c r="K1504" s="1">
        <v>0</v>
      </c>
      <c r="L1504" s="1">
        <v>0</v>
      </c>
      <c r="M1504" s="32">
        <f>IF(Mecze[[#This Row],[PR]]=0,0,Mecze[[#This Row],[PR]]/Mecze[[#This Row],[CZAS]])</f>
        <v>0</v>
      </c>
      <c r="N1504" s="32">
        <f>IF(Mecze[[#This Row],[OU]]=0,0,Mecze[[#This Row],[OU]]/Mecze[[#This Row],[CZAS]])</f>
        <v>0</v>
      </c>
      <c r="O1504" s="32">
        <f>IF(Mecze[[#This Row],[PC]]=0,0,Mecze[[#This Row],[PC]]/Mecze[[#This Row],[CZAS]])</f>
        <v>9.375E-2</v>
      </c>
      <c r="P1504" s="32">
        <f>IF(Mecze[[#This Row],[SC]]=0,0,Mecze[[#This Row],[SC]]/Mecze[[#This Row],[CZAS]])</f>
        <v>7.2916666666666671E-2</v>
      </c>
      <c r="Q1504" s="32">
        <f>IF(Mecze[[#This Row],[OB]]=0,0,Mecze[[#This Row],[OB]]/Mecze[[#This Row],[CZAS]])</f>
        <v>0</v>
      </c>
      <c r="R1504" s="32">
        <f>IF(Mecze[[#This Row],[BR]]=0,0,Mecze[[#This Row],[BR]]/Mecze[[#This Row],[CZAS]])</f>
        <v>1.0416666666666666E-2</v>
      </c>
      <c r="S1504" s="44">
        <f>IF(Mecze[[#This Row],[Role]]="BR",SUMPRODUCT(Mecze[[#This Row],[/PR:90]:[/BR:90]],Brudnopis!$E$23:$J$23),0)</f>
        <v>0</v>
      </c>
      <c r="T1504" s="44">
        <f>IF(Mecze[[#This Row],[Role]]&lt;&gt;"BR",SUMPRODUCT(Mecze[[#This Row],[/PR:90]:[/BR:90]],Brudnopis!$E$24:$J$24),0)</f>
        <v>0.18229166666666669</v>
      </c>
      <c r="U1504" s="44">
        <f>IF(Mecze[[#This Row],[Role]]&lt;&gt;"BR",SUMPRODUCT(Mecze[[#This Row],[/PR:90]:[/BR:90]],Brudnopis!$E$25:$J$25),0)</f>
        <v>0.22916666666666669</v>
      </c>
      <c r="V1504" s="44">
        <f>IF(Mecze[[#This Row],[Role]]&lt;&gt;"BR",SUMPRODUCT(Mecze[[#This Row],[/PR:90]:[/BR:90]],Brudnopis!$E$26:$J$26),0)</f>
        <v>0.18750000000000003</v>
      </c>
      <c r="W1504" s="44">
        <f>IF(Mecze[[#This Row],[Role]]&lt;&gt;"BR",SUMPRODUCT(Mecze[[#This Row],[/PR:90]:[/BR:90]],Brudnopis!$E$27:$J$27),0)</f>
        <v>0.23437500000000003</v>
      </c>
      <c r="X1504" s="44">
        <f>IF(Mecze[[#This Row],[Role]]&lt;&gt;"BR",SUMPRODUCT(Mecze[[#This Row],[/PR:90]:[/BR:90]],Brudnopis!$E$28:$J$28),0)</f>
        <v>0.27083333333333337</v>
      </c>
      <c r="Y1504" s="35">
        <f>IF(Mecze[[#This Row],[Role]]="BR",Mecze[[#This Row],[/OB:90]]+Mecze[[#This Row],[/PC:90]],SUM(Mecze[[#This Row],[/PR:90]:[/BR:90]]))</f>
        <v>0.17708333333333334</v>
      </c>
      <c r="Z1504" s="35">
        <f>IF(Mecze[[#This Row],[KC]]=0,SUM(Mecze[[#This Row],[/BRI]:[/NPI]]),SUM(Mecze[[#This Row],[/BRI]:[/NPI]])*0.6)</f>
        <v>1.1041666666666667</v>
      </c>
      <c r="AA1504" s="10">
        <f>IFERROR(Mecze[[#This Row],[BR]]/Mecze[[#This Row],[ST]],0)</f>
        <v>0.125</v>
      </c>
      <c r="AB1504">
        <f>ROUND(Mecze[[#This Row],[PD]]*Mecze[[#This Row],[%PC]],0)</f>
        <v>9</v>
      </c>
      <c r="AC1504">
        <f>ROUND(Mecze[[#This Row],[OD]]*Mecze[[#This Row],[%OU]],0)</f>
        <v>0</v>
      </c>
      <c r="AD1504" s="36" t="s">
        <v>46</v>
      </c>
      <c r="AE1504" s="36">
        <v>82</v>
      </c>
      <c r="AF1504" s="71">
        <v>10.02</v>
      </c>
      <c r="AG1504" s="37">
        <v>0</v>
      </c>
      <c r="AH1504" s="37">
        <v>0</v>
      </c>
      <c r="AI1504" s="37">
        <v>96</v>
      </c>
      <c r="AJ1504" s="37">
        <v>9</v>
      </c>
      <c r="AK1504" s="37" t="str">
        <f>VLOOKUP(Mecze[[#This Row],[Match ID]],Meczusie[Mecz]:Meczusie[RodzajMeczu],2,FALSE)</f>
        <v>Liga</v>
      </c>
    </row>
    <row r="1505" spans="1:37" x14ac:dyDescent="0.25">
      <c r="A1505" s="76">
        <v>208</v>
      </c>
      <c r="B1505" s="3" t="s">
        <v>436</v>
      </c>
      <c r="C1505" s="2" t="s">
        <v>155</v>
      </c>
      <c r="D1505" s="1">
        <v>0</v>
      </c>
      <c r="E1505" s="1">
        <v>0</v>
      </c>
      <c r="F1505" s="1">
        <v>0</v>
      </c>
      <c r="G1505" s="1">
        <v>7</v>
      </c>
      <c r="H1505" s="4">
        <v>0.56999999999999995</v>
      </c>
      <c r="I1505" s="1">
        <v>0</v>
      </c>
      <c r="J1505" s="4"/>
      <c r="K1505" s="1">
        <v>10</v>
      </c>
      <c r="L1505" s="1">
        <v>0</v>
      </c>
      <c r="M1505" s="32">
        <f>IF(Mecze[[#This Row],[PR]]=0,0,Mecze[[#This Row],[PR]]/Mecze[[#This Row],[CZAS]])</f>
        <v>0</v>
      </c>
      <c r="N1505" s="32">
        <f>IF(Mecze[[#This Row],[OU]]=0,0,Mecze[[#This Row],[OU]]/Mecze[[#This Row],[CZAS]])</f>
        <v>0</v>
      </c>
      <c r="O1505" s="32">
        <f>IF(Mecze[[#This Row],[PC]]=0,0,Mecze[[#This Row],[PC]]/Mecze[[#This Row],[CZAS]])</f>
        <v>4.1666666666666664E-2</v>
      </c>
      <c r="P1505" s="32">
        <f>IF(Mecze[[#This Row],[SC]]=0,0,Mecze[[#This Row],[SC]]/Mecze[[#This Row],[CZAS]])</f>
        <v>0</v>
      </c>
      <c r="Q1505" s="32">
        <f>IF(Mecze[[#This Row],[OB]]=0,0,Mecze[[#This Row],[OB]]/Mecze[[#This Row],[CZAS]])</f>
        <v>0.10416666666666667</v>
      </c>
      <c r="R1505" s="32">
        <f>IF(Mecze[[#This Row],[BR]]=0,0,Mecze[[#This Row],[BR]]/Mecze[[#This Row],[CZAS]])</f>
        <v>0</v>
      </c>
      <c r="S1505" s="44">
        <f>IF(Mecze[[#This Row],[Role]]="BR",SUMPRODUCT(Mecze[[#This Row],[/PR:90]:[/BR:90]],Brudnopis!$E$23:$J$23),0)</f>
        <v>0.4375</v>
      </c>
      <c r="T1505" s="44">
        <f>IF(Mecze[[#This Row],[Role]]&lt;&gt;"BR",SUMPRODUCT(Mecze[[#This Row],[/PR:90]:[/BR:90]],Brudnopis!$E$24:$J$24),0)</f>
        <v>0</v>
      </c>
      <c r="U1505" s="44">
        <f>IF(Mecze[[#This Row],[Role]]&lt;&gt;"BR",SUMPRODUCT(Mecze[[#This Row],[/PR:90]:[/BR:90]],Brudnopis!$E$25:$J$25),0)</f>
        <v>0</v>
      </c>
      <c r="V1505" s="44">
        <f>IF(Mecze[[#This Row],[Role]]&lt;&gt;"BR",SUMPRODUCT(Mecze[[#This Row],[/PR:90]:[/BR:90]],Brudnopis!$E$26:$J$26),0)</f>
        <v>0</v>
      </c>
      <c r="W1505" s="44">
        <f>IF(Mecze[[#This Row],[Role]]&lt;&gt;"BR",SUMPRODUCT(Mecze[[#This Row],[/PR:90]:[/BR:90]],Brudnopis!$E$27:$J$27),0)</f>
        <v>0</v>
      </c>
      <c r="X1505" s="44">
        <f>IF(Mecze[[#This Row],[Role]]&lt;&gt;"BR",SUMPRODUCT(Mecze[[#This Row],[/PR:90]:[/BR:90]],Brudnopis!$E$28:$J$28),0)</f>
        <v>0</v>
      </c>
      <c r="Y1505" s="35">
        <f>IF(Mecze[[#This Row],[Role]]="BR",Mecze[[#This Row],[/OB:90]]+Mecze[[#This Row],[/PC:90]],SUM(Mecze[[#This Row],[/PR:90]:[/BR:90]]))</f>
        <v>0.14583333333333334</v>
      </c>
      <c r="Z1505" s="35">
        <f>IF(Mecze[[#This Row],[KC]]=0,SUM(Mecze[[#This Row],[/BRI]:[/NPI]]),SUM(Mecze[[#This Row],[/BRI]:[/NPI]])*0.6)</f>
        <v>0.4375</v>
      </c>
      <c r="AA1505" s="10">
        <f>IFERROR(Mecze[[#This Row],[BR]]/Mecze[[#This Row],[ST]],0)</f>
        <v>0</v>
      </c>
      <c r="AB1505">
        <f>ROUND(Mecze[[#This Row],[PD]]*Mecze[[#This Row],[%PC]],0)</f>
        <v>4</v>
      </c>
      <c r="AC1505">
        <f>ROUND(Mecze[[#This Row],[OD]]*Mecze[[#This Row],[%OU]],0)</f>
        <v>0</v>
      </c>
      <c r="AD1505" s="36" t="s">
        <v>40</v>
      </c>
      <c r="AE1505" s="36">
        <v>82</v>
      </c>
      <c r="AF1505" s="71">
        <v>5.3</v>
      </c>
      <c r="AG1505" s="37">
        <v>0</v>
      </c>
      <c r="AH1505" s="37">
        <v>0</v>
      </c>
      <c r="AI1505" s="37">
        <v>96</v>
      </c>
      <c r="AJ1505" s="37">
        <v>7</v>
      </c>
      <c r="AK1505" s="37" t="str">
        <f>VLOOKUP(Mecze[[#This Row],[Match ID]],Meczusie[Mecz]:Meczusie[RodzajMeczu],2,FALSE)</f>
        <v>Liga</v>
      </c>
    </row>
    <row r="1506" spans="1:37" x14ac:dyDescent="0.25">
      <c r="A1506" s="76">
        <v>204</v>
      </c>
      <c r="B1506" s="3" t="s">
        <v>334</v>
      </c>
      <c r="C1506" s="2" t="s">
        <v>157</v>
      </c>
      <c r="D1506" s="1">
        <v>0</v>
      </c>
      <c r="E1506" s="1">
        <v>1</v>
      </c>
      <c r="F1506" s="1">
        <v>0</v>
      </c>
      <c r="G1506" s="1">
        <v>5</v>
      </c>
      <c r="H1506" s="4">
        <v>0.6</v>
      </c>
      <c r="I1506" s="1">
        <v>4</v>
      </c>
      <c r="J1506" s="4">
        <v>0.5</v>
      </c>
      <c r="K1506" s="1">
        <v>0</v>
      </c>
      <c r="L1506" s="1">
        <v>3</v>
      </c>
      <c r="M1506" s="32">
        <f>IF(Mecze[[#This Row],[PR]]=0,0,Mecze[[#This Row],[PR]]/Mecze[[#This Row],[CZAS]])</f>
        <v>3.125E-2</v>
      </c>
      <c r="N1506" s="32">
        <f>IF(Mecze[[#This Row],[OU]]=0,0,Mecze[[#This Row],[OU]]/Mecze[[#This Row],[CZAS]])</f>
        <v>2.0833333333333332E-2</v>
      </c>
      <c r="O1506" s="32">
        <f>IF(Mecze[[#This Row],[PC]]=0,0,Mecze[[#This Row],[PC]]/Mecze[[#This Row],[CZAS]])</f>
        <v>3.125E-2</v>
      </c>
      <c r="P1506" s="32">
        <f>IF(Mecze[[#This Row],[SC]]=0,0,Mecze[[#This Row],[SC]]/Mecze[[#This Row],[CZAS]])</f>
        <v>0</v>
      </c>
      <c r="Q1506" s="32">
        <f>IF(Mecze[[#This Row],[OB]]=0,0,Mecze[[#This Row],[OB]]/Mecze[[#This Row],[CZAS]])</f>
        <v>0</v>
      </c>
      <c r="R1506" s="32">
        <f>IF(Mecze[[#This Row],[BR]]=0,0,Mecze[[#This Row],[BR]]/Mecze[[#This Row],[CZAS]])</f>
        <v>0</v>
      </c>
      <c r="S1506" s="44">
        <f>IF(Mecze[[#This Row],[Role]]="BR",SUMPRODUCT(Mecze[[#This Row],[/PR:90]:[/BR:90]],Brudnopis!$E$23:$J$23),0)</f>
        <v>0</v>
      </c>
      <c r="T1506" s="44">
        <f>IF(Mecze[[#This Row],[Role]]&lt;&gt;"BR",SUMPRODUCT(Mecze[[#This Row],[/PR:90]:[/BR:90]],Brudnopis!$E$24:$J$24),0)</f>
        <v>9.375E-2</v>
      </c>
      <c r="U1506" s="44">
        <f>IF(Mecze[[#This Row],[Role]]&lt;&gt;"BR",SUMPRODUCT(Mecze[[#This Row],[/PR:90]:[/BR:90]],Brudnopis!$E$25:$J$25),0)</f>
        <v>9.8958333333333329E-2</v>
      </c>
      <c r="V1506" s="44">
        <f>IF(Mecze[[#This Row],[Role]]&lt;&gt;"BR",SUMPRODUCT(Mecze[[#This Row],[/PR:90]:[/BR:90]],Brudnopis!$E$26:$J$26),0)</f>
        <v>8.3333333333333329E-2</v>
      </c>
      <c r="W1506" s="44">
        <f>IF(Mecze[[#This Row],[Role]]&lt;&gt;"BR",SUMPRODUCT(Mecze[[#This Row],[/PR:90]:[/BR:90]],Brudnopis!$E$27:$J$27),0)</f>
        <v>8.59375E-2</v>
      </c>
      <c r="X1506" s="44">
        <f>IF(Mecze[[#This Row],[Role]]&lt;&gt;"BR",SUMPRODUCT(Mecze[[#This Row],[/PR:90]:[/BR:90]],Brudnopis!$E$28:$J$28),0)</f>
        <v>3.125E-2</v>
      </c>
      <c r="Y1506" s="35">
        <f>IF(Mecze[[#This Row],[Role]]="BR",Mecze[[#This Row],[/OB:90]]+Mecze[[#This Row],[/PC:90]],SUM(Mecze[[#This Row],[/PR:90]:[/BR:90]]))</f>
        <v>8.3333333333333329E-2</v>
      </c>
      <c r="Z1506" s="35">
        <f>IF(Mecze[[#This Row],[KC]]=0,SUM(Mecze[[#This Row],[/BRI]:[/NPI]]),SUM(Mecze[[#This Row],[/BRI]:[/NPI]])*0.6)</f>
        <v>0.39322916666666663</v>
      </c>
      <c r="AA1506" s="10">
        <f>IFERROR(Mecze[[#This Row],[BR]]/Mecze[[#This Row],[ST]],0)</f>
        <v>0</v>
      </c>
      <c r="AB1506">
        <f>ROUND(Mecze[[#This Row],[PD]]*Mecze[[#This Row],[%PC]],0)</f>
        <v>3</v>
      </c>
      <c r="AC1506">
        <f>ROUND(Mecze[[#This Row],[OD]]*Mecze[[#This Row],[%OU]],0)</f>
        <v>2</v>
      </c>
      <c r="AD1506" s="36" t="s">
        <v>47</v>
      </c>
      <c r="AE1506" s="36">
        <v>82</v>
      </c>
      <c r="AF1506" s="71">
        <v>2.33</v>
      </c>
      <c r="AG1506" s="37">
        <v>0</v>
      </c>
      <c r="AH1506" s="37">
        <v>0</v>
      </c>
      <c r="AI1506" s="37">
        <v>96</v>
      </c>
      <c r="AJ1506" s="37">
        <v>7</v>
      </c>
      <c r="AK1506" s="37" t="str">
        <f>VLOOKUP(Mecze[[#This Row],[Match ID]],Meczusie[Mecz]:Meczusie[RodzajMeczu],2,FALSE)</f>
        <v>Liga</v>
      </c>
    </row>
    <row r="1507" spans="1:37" x14ac:dyDescent="0.25">
      <c r="A1507" s="76">
        <v>159</v>
      </c>
      <c r="B1507" s="3" t="s">
        <v>338</v>
      </c>
      <c r="C1507" s="2" t="s">
        <v>157</v>
      </c>
      <c r="D1507" s="1">
        <v>0</v>
      </c>
      <c r="E1507" s="1">
        <v>0</v>
      </c>
      <c r="F1507" s="1">
        <v>0</v>
      </c>
      <c r="G1507" s="1">
        <v>7</v>
      </c>
      <c r="H1507" s="4">
        <v>0.71</v>
      </c>
      <c r="I1507" s="1">
        <v>5</v>
      </c>
      <c r="J1507" s="4">
        <v>0.6</v>
      </c>
      <c r="K1507" s="1">
        <v>0</v>
      </c>
      <c r="L1507" s="1">
        <v>11</v>
      </c>
      <c r="M1507" s="32">
        <f>IF(Mecze[[#This Row],[PR]]=0,0,Mecze[[#This Row],[PR]]/Mecze[[#This Row],[CZAS]])</f>
        <v>0.11458333333333333</v>
      </c>
      <c r="N1507" s="32">
        <f>IF(Mecze[[#This Row],[OU]]=0,0,Mecze[[#This Row],[OU]]/Mecze[[#This Row],[CZAS]])</f>
        <v>3.125E-2</v>
      </c>
      <c r="O1507" s="32">
        <f>IF(Mecze[[#This Row],[PC]]=0,0,Mecze[[#This Row],[PC]]/Mecze[[#This Row],[CZAS]])</f>
        <v>5.2083333333333336E-2</v>
      </c>
      <c r="P1507" s="32">
        <f>IF(Mecze[[#This Row],[SC]]=0,0,Mecze[[#This Row],[SC]]/Mecze[[#This Row],[CZAS]])</f>
        <v>0</v>
      </c>
      <c r="Q1507" s="32">
        <f>IF(Mecze[[#This Row],[OB]]=0,0,Mecze[[#This Row],[OB]]/Mecze[[#This Row],[CZAS]])</f>
        <v>0</v>
      </c>
      <c r="R1507" s="32">
        <f>IF(Mecze[[#This Row],[BR]]=0,0,Mecze[[#This Row],[BR]]/Mecze[[#This Row],[CZAS]])</f>
        <v>0</v>
      </c>
      <c r="S1507" s="44">
        <f>IF(Mecze[[#This Row],[Role]]="BR",SUMPRODUCT(Mecze[[#This Row],[/PR:90]:[/BR:90]],Brudnopis!$E$23:$J$23),0)</f>
        <v>0</v>
      </c>
      <c r="T1507" s="44">
        <f>IF(Mecze[[#This Row],[Role]]&lt;&gt;"BR",SUMPRODUCT(Mecze[[#This Row],[/PR:90]:[/BR:90]],Brudnopis!$E$24:$J$24),0)</f>
        <v>0.21354166666666666</v>
      </c>
      <c r="U1507" s="44">
        <f>IF(Mecze[[#This Row],[Role]]&lt;&gt;"BR",SUMPRODUCT(Mecze[[#This Row],[/PR:90]:[/BR:90]],Brudnopis!$E$25:$J$25),0)</f>
        <v>0.22395833333333331</v>
      </c>
      <c r="V1507" s="44">
        <f>IF(Mecze[[#This Row],[Role]]&lt;&gt;"BR",SUMPRODUCT(Mecze[[#This Row],[/PR:90]:[/BR:90]],Brudnopis!$E$26:$J$26),0)</f>
        <v>0.19791666666666666</v>
      </c>
      <c r="W1507" s="44">
        <f>IF(Mecze[[#This Row],[Role]]&lt;&gt;"BR",SUMPRODUCT(Mecze[[#This Row],[/PR:90]:[/BR:90]],Brudnopis!$E$27:$J$27),0)</f>
        <v>0.1875</v>
      </c>
      <c r="X1507" s="44">
        <f>IF(Mecze[[#This Row],[Role]]&lt;&gt;"BR",SUMPRODUCT(Mecze[[#This Row],[/PR:90]:[/BR:90]],Brudnopis!$E$28:$J$28),0)</f>
        <v>5.2083333333333336E-2</v>
      </c>
      <c r="Y1507" s="35">
        <f>IF(Mecze[[#This Row],[Role]]="BR",Mecze[[#This Row],[/OB:90]]+Mecze[[#This Row],[/PC:90]],SUM(Mecze[[#This Row],[/PR:90]:[/BR:90]]))</f>
        <v>0.19791666666666666</v>
      </c>
      <c r="Z1507" s="35">
        <f>IF(Mecze[[#This Row],[KC]]=0,SUM(Mecze[[#This Row],[/BRI]:[/NPI]]),SUM(Mecze[[#This Row],[/BRI]:[/NPI]])*0.6)</f>
        <v>0.875</v>
      </c>
      <c r="AA1507" s="10">
        <f>IFERROR(Mecze[[#This Row],[BR]]/Mecze[[#This Row],[ST]],0)</f>
        <v>0</v>
      </c>
      <c r="AB1507">
        <f>ROUND(Mecze[[#This Row],[PD]]*Mecze[[#This Row],[%PC]],0)</f>
        <v>5</v>
      </c>
      <c r="AC1507">
        <f>ROUND(Mecze[[#This Row],[OD]]*Mecze[[#This Row],[%OU]],0)</f>
        <v>3</v>
      </c>
      <c r="AD1507" s="36" t="s">
        <v>168</v>
      </c>
      <c r="AE1507" s="36">
        <v>82</v>
      </c>
      <c r="AF1507" s="71">
        <v>4.01</v>
      </c>
      <c r="AG1507" s="37">
        <v>0</v>
      </c>
      <c r="AH1507" s="37">
        <v>0</v>
      </c>
      <c r="AI1507" s="37">
        <v>96</v>
      </c>
      <c r="AJ1507" s="37">
        <v>7</v>
      </c>
      <c r="AK1507" s="37" t="str">
        <f>VLOOKUP(Mecze[[#This Row],[Match ID]],Meczusie[Mecz]:Meczusie[RodzajMeczu],2,FALSE)</f>
        <v>Liga</v>
      </c>
    </row>
    <row r="1508" spans="1:37" x14ac:dyDescent="0.25">
      <c r="A1508" s="76">
        <v>150</v>
      </c>
      <c r="B1508" s="3" t="s">
        <v>335</v>
      </c>
      <c r="C1508" s="2" t="s">
        <v>157</v>
      </c>
      <c r="D1508" s="1">
        <v>0</v>
      </c>
      <c r="E1508" s="1">
        <v>0</v>
      </c>
      <c r="F1508" s="1">
        <v>0</v>
      </c>
      <c r="G1508" s="1">
        <v>6</v>
      </c>
      <c r="H1508" s="4">
        <v>0.83</v>
      </c>
      <c r="I1508" s="1">
        <v>8</v>
      </c>
      <c r="J1508" s="4">
        <v>0.38</v>
      </c>
      <c r="K1508" s="1">
        <v>0</v>
      </c>
      <c r="L1508" s="1">
        <v>5</v>
      </c>
      <c r="M1508" s="32">
        <f>IF(Mecze[[#This Row],[PR]]=0,0,Mecze[[#This Row],[PR]]/Mecze[[#This Row],[CZAS]])</f>
        <v>5.2083333333333336E-2</v>
      </c>
      <c r="N1508" s="32">
        <f>IF(Mecze[[#This Row],[OU]]=0,0,Mecze[[#This Row],[OU]]/Mecze[[#This Row],[CZAS]])</f>
        <v>3.125E-2</v>
      </c>
      <c r="O1508" s="32">
        <f>IF(Mecze[[#This Row],[PC]]=0,0,Mecze[[#This Row],[PC]]/Mecze[[#This Row],[CZAS]])</f>
        <v>5.2083333333333336E-2</v>
      </c>
      <c r="P1508" s="32">
        <f>IF(Mecze[[#This Row],[SC]]=0,0,Mecze[[#This Row],[SC]]/Mecze[[#This Row],[CZAS]])</f>
        <v>0</v>
      </c>
      <c r="Q1508" s="32">
        <f>IF(Mecze[[#This Row],[OB]]=0,0,Mecze[[#This Row],[OB]]/Mecze[[#This Row],[CZAS]])</f>
        <v>0</v>
      </c>
      <c r="R1508" s="32">
        <f>IF(Mecze[[#This Row],[BR]]=0,0,Mecze[[#This Row],[BR]]/Mecze[[#This Row],[CZAS]])</f>
        <v>0</v>
      </c>
      <c r="S1508" s="44">
        <f>IF(Mecze[[#This Row],[Role]]="BR",SUMPRODUCT(Mecze[[#This Row],[/PR:90]:[/BR:90]],Brudnopis!$E$23:$J$23),0)</f>
        <v>0</v>
      </c>
      <c r="T1508" s="44">
        <f>IF(Mecze[[#This Row],[Role]]&lt;&gt;"BR",SUMPRODUCT(Mecze[[#This Row],[/PR:90]:[/BR:90]],Brudnopis!$E$24:$J$24),0)</f>
        <v>0.15104166666666669</v>
      </c>
      <c r="U1508" s="44">
        <f>IF(Mecze[[#This Row],[Role]]&lt;&gt;"BR",SUMPRODUCT(Mecze[[#This Row],[/PR:90]:[/BR:90]],Brudnopis!$E$25:$J$25),0)</f>
        <v>0.16145833333333334</v>
      </c>
      <c r="V1508" s="44">
        <f>IF(Mecze[[#This Row],[Role]]&lt;&gt;"BR",SUMPRODUCT(Mecze[[#This Row],[/PR:90]:[/BR:90]],Brudnopis!$E$26:$J$26),0)</f>
        <v>0.13541666666666669</v>
      </c>
      <c r="W1508" s="44">
        <f>IF(Mecze[[#This Row],[Role]]&lt;&gt;"BR",SUMPRODUCT(Mecze[[#This Row],[/PR:90]:[/BR:90]],Brudnopis!$E$27:$J$27),0)</f>
        <v>0.140625</v>
      </c>
      <c r="X1508" s="44">
        <f>IF(Mecze[[#This Row],[Role]]&lt;&gt;"BR",SUMPRODUCT(Mecze[[#This Row],[/PR:90]:[/BR:90]],Brudnopis!$E$28:$J$28),0)</f>
        <v>5.2083333333333336E-2</v>
      </c>
      <c r="Y1508" s="35">
        <f>IF(Mecze[[#This Row],[Role]]="BR",Mecze[[#This Row],[/OB:90]]+Mecze[[#This Row],[/PC:90]],SUM(Mecze[[#This Row],[/PR:90]:[/BR:90]]))</f>
        <v>0.13541666666666669</v>
      </c>
      <c r="Z1508" s="35">
        <f>IF(Mecze[[#This Row],[KC]]=0,SUM(Mecze[[#This Row],[/BRI]:[/NPI]]),SUM(Mecze[[#This Row],[/BRI]:[/NPI]])*0.6)</f>
        <v>0.64062500000000011</v>
      </c>
      <c r="AA1508" s="10">
        <f>IFERROR(Mecze[[#This Row],[BR]]/Mecze[[#This Row],[ST]],0)</f>
        <v>0</v>
      </c>
      <c r="AB1508">
        <f>ROUND(Mecze[[#This Row],[PD]]*Mecze[[#This Row],[%PC]],0)</f>
        <v>5</v>
      </c>
      <c r="AC1508">
        <f>ROUND(Mecze[[#This Row],[OD]]*Mecze[[#This Row],[%OU]],0)</f>
        <v>3</v>
      </c>
      <c r="AD1508" s="36" t="s">
        <v>167</v>
      </c>
      <c r="AE1508" s="36">
        <v>82</v>
      </c>
      <c r="AF1508" s="71">
        <v>1.63</v>
      </c>
      <c r="AG1508" s="37">
        <v>0</v>
      </c>
      <c r="AH1508" s="37">
        <v>0</v>
      </c>
      <c r="AI1508" s="37">
        <v>96</v>
      </c>
      <c r="AJ1508" s="37">
        <v>7</v>
      </c>
      <c r="AK1508" s="37" t="str">
        <f>VLOOKUP(Mecze[[#This Row],[Match ID]],Meczusie[Mecz]:Meczusie[RodzajMeczu],2,FALSE)</f>
        <v>Liga</v>
      </c>
    </row>
    <row r="1509" spans="1:37" x14ac:dyDescent="0.25">
      <c r="A1509" s="76">
        <v>151</v>
      </c>
      <c r="B1509" s="3" t="s">
        <v>337</v>
      </c>
      <c r="C1509" s="2" t="s">
        <v>160</v>
      </c>
      <c r="D1509" s="1">
        <v>0</v>
      </c>
      <c r="E1509" s="1">
        <v>0</v>
      </c>
      <c r="F1509" s="1">
        <v>0</v>
      </c>
      <c r="G1509" s="1">
        <v>11</v>
      </c>
      <c r="H1509" s="4">
        <v>0.73</v>
      </c>
      <c r="I1509" s="1">
        <v>1</v>
      </c>
      <c r="J1509" s="4">
        <v>1</v>
      </c>
      <c r="K1509" s="1">
        <v>0</v>
      </c>
      <c r="L1509" s="1">
        <v>1</v>
      </c>
      <c r="M1509" s="32">
        <f>IF(Mecze[[#This Row],[PR]]=0,0,Mecze[[#This Row],[PR]]/Mecze[[#This Row],[CZAS]])</f>
        <v>1.0416666666666666E-2</v>
      </c>
      <c r="N1509" s="32">
        <f>IF(Mecze[[#This Row],[OU]]=0,0,Mecze[[#This Row],[OU]]/Mecze[[#This Row],[CZAS]])</f>
        <v>1.0416666666666666E-2</v>
      </c>
      <c r="O1509" s="32">
        <f>IF(Mecze[[#This Row],[PC]]=0,0,Mecze[[#This Row],[PC]]/Mecze[[#This Row],[CZAS]])</f>
        <v>8.3333333333333329E-2</v>
      </c>
      <c r="P1509" s="32">
        <f>IF(Mecze[[#This Row],[SC]]=0,0,Mecze[[#This Row],[SC]]/Mecze[[#This Row],[CZAS]])</f>
        <v>0</v>
      </c>
      <c r="Q1509" s="32">
        <f>IF(Mecze[[#This Row],[OB]]=0,0,Mecze[[#This Row],[OB]]/Mecze[[#This Row],[CZAS]])</f>
        <v>0</v>
      </c>
      <c r="R1509" s="32">
        <f>IF(Mecze[[#This Row],[BR]]=0,0,Mecze[[#This Row],[BR]]/Mecze[[#This Row],[CZAS]])</f>
        <v>0</v>
      </c>
      <c r="S1509" s="44">
        <f>IF(Mecze[[#This Row],[Role]]="BR",SUMPRODUCT(Mecze[[#This Row],[/PR:90]:[/BR:90]],Brudnopis!$E$23:$J$23),0)</f>
        <v>0</v>
      </c>
      <c r="T1509" s="44">
        <f>IF(Mecze[[#This Row],[Role]]&lt;&gt;"BR",SUMPRODUCT(Mecze[[#This Row],[/PR:90]:[/BR:90]],Brudnopis!$E$24:$J$24),0)</f>
        <v>0.109375</v>
      </c>
      <c r="U1509" s="44">
        <f>IF(Mecze[[#This Row],[Role]]&lt;&gt;"BR",SUMPRODUCT(Mecze[[#This Row],[/PR:90]:[/BR:90]],Brudnopis!$E$25:$J$25),0)</f>
        <v>0.14583333333333334</v>
      </c>
      <c r="V1509" s="44">
        <f>IF(Mecze[[#This Row],[Role]]&lt;&gt;"BR",SUMPRODUCT(Mecze[[#This Row],[/PR:90]:[/BR:90]],Brudnopis!$E$26:$J$26),0)</f>
        <v>0.10416666666666666</v>
      </c>
      <c r="W1509" s="44">
        <f>IF(Mecze[[#This Row],[Role]]&lt;&gt;"BR",SUMPRODUCT(Mecze[[#This Row],[/PR:90]:[/BR:90]],Brudnopis!$E$27:$J$27),0)</f>
        <v>0.140625</v>
      </c>
      <c r="X1509" s="44">
        <f>IF(Mecze[[#This Row],[Role]]&lt;&gt;"BR",SUMPRODUCT(Mecze[[#This Row],[/PR:90]:[/BR:90]],Brudnopis!$E$28:$J$28),0)</f>
        <v>8.3333333333333329E-2</v>
      </c>
      <c r="Y1509" s="35">
        <f>IF(Mecze[[#This Row],[Role]]="BR",Mecze[[#This Row],[/OB:90]]+Mecze[[#This Row],[/PC:90]],SUM(Mecze[[#This Row],[/PR:90]:[/BR:90]]))</f>
        <v>0.10416666666666666</v>
      </c>
      <c r="Z1509" s="35">
        <f>IF(Mecze[[#This Row],[KC]]=0,SUM(Mecze[[#This Row],[/BRI]:[/NPI]]),SUM(Mecze[[#This Row],[/BRI]:[/NPI]])*0.6)</f>
        <v>0.58333333333333337</v>
      </c>
      <c r="AA1509" s="10">
        <f>IFERROR(Mecze[[#This Row],[BR]]/Mecze[[#This Row],[ST]],0)</f>
        <v>0</v>
      </c>
      <c r="AB1509">
        <f>ROUND(Mecze[[#This Row],[PD]]*Mecze[[#This Row],[%PC]],0)</f>
        <v>8</v>
      </c>
      <c r="AC1509">
        <f>ROUND(Mecze[[#This Row],[OD]]*Mecze[[#This Row],[%OU]],0)</f>
        <v>1</v>
      </c>
      <c r="AD1509" s="36" t="s">
        <v>41</v>
      </c>
      <c r="AE1509" s="36">
        <v>82</v>
      </c>
      <c r="AF1509" s="71">
        <v>4.12</v>
      </c>
      <c r="AG1509" s="37">
        <v>0</v>
      </c>
      <c r="AH1509" s="37">
        <v>0</v>
      </c>
      <c r="AI1509" s="37">
        <v>96</v>
      </c>
      <c r="AJ1509" s="37">
        <v>7</v>
      </c>
      <c r="AK1509" s="37" t="str">
        <f>VLOOKUP(Mecze[[#This Row],[Match ID]],Meczusie[Mecz]:Meczusie[RodzajMeczu],2,FALSE)</f>
        <v>Liga</v>
      </c>
    </row>
    <row r="1510" spans="1:37" x14ac:dyDescent="0.25">
      <c r="A1510" s="76">
        <v>161</v>
      </c>
      <c r="B1510" s="3" t="s">
        <v>418</v>
      </c>
      <c r="C1510" s="2" t="s">
        <v>160</v>
      </c>
      <c r="D1510" s="1">
        <v>0</v>
      </c>
      <c r="E1510" s="1">
        <v>0</v>
      </c>
      <c r="F1510" s="1">
        <v>0</v>
      </c>
      <c r="G1510" s="1">
        <v>8</v>
      </c>
      <c r="H1510" s="4">
        <v>0.75</v>
      </c>
      <c r="I1510" s="1">
        <v>3</v>
      </c>
      <c r="J1510" s="4">
        <v>0</v>
      </c>
      <c r="K1510" s="1">
        <v>0</v>
      </c>
      <c r="L1510" s="1">
        <v>2</v>
      </c>
      <c r="M1510" s="32">
        <f>IF(Mecze[[#This Row],[PR]]=0,0,Mecze[[#This Row],[PR]]/Mecze[[#This Row],[CZAS]])</f>
        <v>2.0833333333333332E-2</v>
      </c>
      <c r="N1510" s="32">
        <f>IF(Mecze[[#This Row],[OU]]=0,0,Mecze[[#This Row],[OU]]/Mecze[[#This Row],[CZAS]])</f>
        <v>0</v>
      </c>
      <c r="O1510" s="32">
        <f>IF(Mecze[[#This Row],[PC]]=0,0,Mecze[[#This Row],[PC]]/Mecze[[#This Row],[CZAS]])</f>
        <v>6.25E-2</v>
      </c>
      <c r="P1510" s="32">
        <f>IF(Mecze[[#This Row],[SC]]=0,0,Mecze[[#This Row],[SC]]/Mecze[[#This Row],[CZAS]])</f>
        <v>0</v>
      </c>
      <c r="Q1510" s="32">
        <f>IF(Mecze[[#This Row],[OB]]=0,0,Mecze[[#This Row],[OB]]/Mecze[[#This Row],[CZAS]])</f>
        <v>0</v>
      </c>
      <c r="R1510" s="32">
        <f>IF(Mecze[[#This Row],[BR]]=0,0,Mecze[[#This Row],[BR]]/Mecze[[#This Row],[CZAS]])</f>
        <v>0</v>
      </c>
      <c r="S1510" s="44">
        <f>IF(Mecze[[#This Row],[Role]]="BR",SUMPRODUCT(Mecze[[#This Row],[/PR:90]:[/BR:90]],Brudnopis!$E$23:$J$23),0)</f>
        <v>0</v>
      </c>
      <c r="T1510" s="44">
        <f>IF(Mecze[[#This Row],[Role]]&lt;&gt;"BR",SUMPRODUCT(Mecze[[#This Row],[/PR:90]:[/BR:90]],Brudnopis!$E$24:$J$24),0)</f>
        <v>8.3333333333333329E-2</v>
      </c>
      <c r="U1510" s="44">
        <f>IF(Mecze[[#This Row],[Role]]&lt;&gt;"BR",SUMPRODUCT(Mecze[[#This Row],[/PR:90]:[/BR:90]],Brudnopis!$E$25:$J$25),0)</f>
        <v>0.11458333333333333</v>
      </c>
      <c r="V1510" s="44">
        <f>IF(Mecze[[#This Row],[Role]]&lt;&gt;"BR",SUMPRODUCT(Mecze[[#This Row],[/PR:90]:[/BR:90]],Brudnopis!$E$26:$J$26),0)</f>
        <v>8.3333333333333329E-2</v>
      </c>
      <c r="W1510" s="44">
        <f>IF(Mecze[[#This Row],[Role]]&lt;&gt;"BR",SUMPRODUCT(Mecze[[#This Row],[/PR:90]:[/BR:90]],Brudnopis!$E$27:$J$27),0)</f>
        <v>0.109375</v>
      </c>
      <c r="X1510" s="44">
        <f>IF(Mecze[[#This Row],[Role]]&lt;&gt;"BR",SUMPRODUCT(Mecze[[#This Row],[/PR:90]:[/BR:90]],Brudnopis!$E$28:$J$28),0)</f>
        <v>6.25E-2</v>
      </c>
      <c r="Y1510" s="35">
        <f>IF(Mecze[[#This Row],[Role]]="BR",Mecze[[#This Row],[/OB:90]]+Mecze[[#This Row],[/PC:90]],SUM(Mecze[[#This Row],[/PR:90]:[/BR:90]]))</f>
        <v>8.3333333333333329E-2</v>
      </c>
      <c r="Z1510" s="35">
        <f>IF(Mecze[[#This Row],[KC]]=0,SUM(Mecze[[#This Row],[/BRI]:[/NPI]]),SUM(Mecze[[#This Row],[/BRI]:[/NPI]])*0.6)</f>
        <v>0.453125</v>
      </c>
      <c r="AA1510" s="10">
        <f>IFERROR(Mecze[[#This Row],[BR]]/Mecze[[#This Row],[ST]],0)</f>
        <v>0</v>
      </c>
      <c r="AB1510">
        <f>ROUND(Mecze[[#This Row],[PD]]*Mecze[[#This Row],[%PC]],0)</f>
        <v>6</v>
      </c>
      <c r="AC1510">
        <f>ROUND(Mecze[[#This Row],[OD]]*Mecze[[#This Row],[%OU]],0)</f>
        <v>0</v>
      </c>
      <c r="AD1510" s="36" t="s">
        <v>173</v>
      </c>
      <c r="AE1510" s="36">
        <v>82</v>
      </c>
      <c r="AF1510" s="71">
        <v>4.33</v>
      </c>
      <c r="AG1510" s="37">
        <v>0</v>
      </c>
      <c r="AH1510" s="37">
        <v>0</v>
      </c>
      <c r="AI1510" s="37">
        <v>96</v>
      </c>
      <c r="AJ1510" s="37">
        <v>7</v>
      </c>
      <c r="AK1510" s="37" t="str">
        <f>VLOOKUP(Mecze[[#This Row],[Match ID]],Meczusie[Mecz]:Meczusie[RodzajMeczu],2,FALSE)</f>
        <v>Liga</v>
      </c>
    </row>
    <row r="1511" spans="1:37" x14ac:dyDescent="0.25">
      <c r="A1511" s="76">
        <v>116</v>
      </c>
      <c r="B1511" s="3" t="s">
        <v>425</v>
      </c>
      <c r="C1511" s="2" t="s">
        <v>160</v>
      </c>
      <c r="D1511" s="1">
        <v>0</v>
      </c>
      <c r="E1511" s="1">
        <v>0</v>
      </c>
      <c r="F1511" s="1">
        <v>0</v>
      </c>
      <c r="G1511" s="1">
        <v>10</v>
      </c>
      <c r="H1511" s="4">
        <v>0.5</v>
      </c>
      <c r="I1511" s="1">
        <v>5</v>
      </c>
      <c r="J1511" s="4">
        <v>0.6</v>
      </c>
      <c r="K1511" s="1">
        <v>0</v>
      </c>
      <c r="L1511" s="1">
        <v>5</v>
      </c>
      <c r="M1511" s="32">
        <f>IF(Mecze[[#This Row],[PR]]=0,0,Mecze[[#This Row],[PR]]/Mecze[[#This Row],[CZAS]])</f>
        <v>5.2083333333333336E-2</v>
      </c>
      <c r="N1511" s="32">
        <f>IF(Mecze[[#This Row],[OU]]=0,0,Mecze[[#This Row],[OU]]/Mecze[[#This Row],[CZAS]])</f>
        <v>3.125E-2</v>
      </c>
      <c r="O1511" s="32">
        <f>IF(Mecze[[#This Row],[PC]]=0,0,Mecze[[#This Row],[PC]]/Mecze[[#This Row],[CZAS]])</f>
        <v>5.2083333333333336E-2</v>
      </c>
      <c r="P1511" s="32">
        <f>IF(Mecze[[#This Row],[SC]]=0,0,Mecze[[#This Row],[SC]]/Mecze[[#This Row],[CZAS]])</f>
        <v>0</v>
      </c>
      <c r="Q1511" s="32">
        <f>IF(Mecze[[#This Row],[OB]]=0,0,Mecze[[#This Row],[OB]]/Mecze[[#This Row],[CZAS]])</f>
        <v>0</v>
      </c>
      <c r="R1511" s="32">
        <f>IF(Mecze[[#This Row],[BR]]=0,0,Mecze[[#This Row],[BR]]/Mecze[[#This Row],[CZAS]])</f>
        <v>0</v>
      </c>
      <c r="S1511" s="44">
        <f>IF(Mecze[[#This Row],[Role]]="BR",SUMPRODUCT(Mecze[[#This Row],[/PR:90]:[/BR:90]],Brudnopis!$E$23:$J$23),0)</f>
        <v>0</v>
      </c>
      <c r="T1511" s="44">
        <f>IF(Mecze[[#This Row],[Role]]&lt;&gt;"BR",SUMPRODUCT(Mecze[[#This Row],[/PR:90]:[/BR:90]],Brudnopis!$E$24:$J$24),0)</f>
        <v>0.15104166666666669</v>
      </c>
      <c r="U1511" s="44">
        <f>IF(Mecze[[#This Row],[Role]]&lt;&gt;"BR",SUMPRODUCT(Mecze[[#This Row],[/PR:90]:[/BR:90]],Brudnopis!$E$25:$J$25),0)</f>
        <v>0.16145833333333334</v>
      </c>
      <c r="V1511" s="44">
        <f>IF(Mecze[[#This Row],[Role]]&lt;&gt;"BR",SUMPRODUCT(Mecze[[#This Row],[/PR:90]:[/BR:90]],Brudnopis!$E$26:$J$26),0)</f>
        <v>0.13541666666666669</v>
      </c>
      <c r="W1511" s="44">
        <f>IF(Mecze[[#This Row],[Role]]&lt;&gt;"BR",SUMPRODUCT(Mecze[[#This Row],[/PR:90]:[/BR:90]],Brudnopis!$E$27:$J$27),0)</f>
        <v>0.140625</v>
      </c>
      <c r="X1511" s="44">
        <f>IF(Mecze[[#This Row],[Role]]&lt;&gt;"BR",SUMPRODUCT(Mecze[[#This Row],[/PR:90]:[/BR:90]],Brudnopis!$E$28:$J$28),0)</f>
        <v>5.2083333333333336E-2</v>
      </c>
      <c r="Y1511" s="35">
        <f>IF(Mecze[[#This Row],[Role]]="BR",Mecze[[#This Row],[/OB:90]]+Mecze[[#This Row],[/PC:90]],SUM(Mecze[[#This Row],[/PR:90]:[/BR:90]]))</f>
        <v>0.13541666666666669</v>
      </c>
      <c r="Z1511" s="35">
        <f>IF(Mecze[[#This Row],[KC]]=0,SUM(Mecze[[#This Row],[/BRI]:[/NPI]]),SUM(Mecze[[#This Row],[/BRI]:[/NPI]])*0.6)</f>
        <v>0.64062500000000011</v>
      </c>
      <c r="AA1511" s="10">
        <f>IFERROR(Mecze[[#This Row],[BR]]/Mecze[[#This Row],[ST]],0)</f>
        <v>0</v>
      </c>
      <c r="AB1511">
        <f>ROUND(Mecze[[#This Row],[PD]]*Mecze[[#This Row],[%PC]],0)</f>
        <v>5</v>
      </c>
      <c r="AC1511">
        <f>ROUND(Mecze[[#This Row],[OD]]*Mecze[[#This Row],[%OU]],0)</f>
        <v>3</v>
      </c>
      <c r="AD1511" s="36" t="s">
        <v>172</v>
      </c>
      <c r="AE1511" s="36">
        <v>82</v>
      </c>
      <c r="AF1511" s="71">
        <v>3.85</v>
      </c>
      <c r="AG1511" s="37">
        <v>1</v>
      </c>
      <c r="AH1511" s="37">
        <v>0</v>
      </c>
      <c r="AI1511" s="37">
        <v>96</v>
      </c>
      <c r="AJ1511" s="37">
        <v>7</v>
      </c>
      <c r="AK1511" s="37" t="str">
        <f>VLOOKUP(Mecze[[#This Row],[Match ID]],Meczusie[Mecz]:Meczusie[RodzajMeczu],2,FALSE)</f>
        <v>Liga</v>
      </c>
    </row>
    <row r="1512" spans="1:37" x14ac:dyDescent="0.25">
      <c r="A1512" s="76">
        <v>109</v>
      </c>
      <c r="B1512" s="3" t="s">
        <v>404</v>
      </c>
      <c r="C1512" s="2" t="s">
        <v>160</v>
      </c>
      <c r="D1512" s="1">
        <v>0</v>
      </c>
      <c r="E1512" s="1">
        <v>0</v>
      </c>
      <c r="F1512" s="1">
        <v>0</v>
      </c>
      <c r="G1512" s="1">
        <v>14</v>
      </c>
      <c r="H1512" s="4">
        <v>0.79</v>
      </c>
      <c r="I1512" s="1">
        <v>3</v>
      </c>
      <c r="J1512" s="4">
        <v>0.67</v>
      </c>
      <c r="K1512" s="1">
        <v>0</v>
      </c>
      <c r="L1512" s="1">
        <v>6</v>
      </c>
      <c r="M1512" s="32">
        <f>IF(Mecze[[#This Row],[PR]]=0,0,Mecze[[#This Row],[PR]]/Mecze[[#This Row],[CZAS]])</f>
        <v>6.25E-2</v>
      </c>
      <c r="N1512" s="32">
        <f>IF(Mecze[[#This Row],[OU]]=0,0,Mecze[[#This Row],[OU]]/Mecze[[#This Row],[CZAS]])</f>
        <v>2.0833333333333332E-2</v>
      </c>
      <c r="O1512" s="32">
        <f>IF(Mecze[[#This Row],[PC]]=0,0,Mecze[[#This Row],[PC]]/Mecze[[#This Row],[CZAS]])</f>
        <v>0.11458333333333333</v>
      </c>
      <c r="P1512" s="32">
        <f>IF(Mecze[[#This Row],[SC]]=0,0,Mecze[[#This Row],[SC]]/Mecze[[#This Row],[CZAS]])</f>
        <v>0</v>
      </c>
      <c r="Q1512" s="32">
        <f>IF(Mecze[[#This Row],[OB]]=0,0,Mecze[[#This Row],[OB]]/Mecze[[#This Row],[CZAS]])</f>
        <v>0</v>
      </c>
      <c r="R1512" s="32">
        <f>IF(Mecze[[#This Row],[BR]]=0,0,Mecze[[#This Row],[BR]]/Mecze[[#This Row],[CZAS]])</f>
        <v>0</v>
      </c>
      <c r="S1512" s="44">
        <f>IF(Mecze[[#This Row],[Role]]="BR",SUMPRODUCT(Mecze[[#This Row],[/PR:90]:[/BR:90]],Brudnopis!$E$23:$J$23),0)</f>
        <v>0</v>
      </c>
      <c r="T1512" s="44">
        <f>IF(Mecze[[#This Row],[Role]]&lt;&gt;"BR",SUMPRODUCT(Mecze[[#This Row],[/PR:90]:[/BR:90]],Brudnopis!$E$24:$J$24),0)</f>
        <v>0.20833333333333331</v>
      </c>
      <c r="U1512" s="44">
        <f>IF(Mecze[[#This Row],[Role]]&lt;&gt;"BR",SUMPRODUCT(Mecze[[#This Row],[/PR:90]:[/BR:90]],Brudnopis!$E$25:$J$25),0)</f>
        <v>0.25520833333333331</v>
      </c>
      <c r="V1512" s="44">
        <f>IF(Mecze[[#This Row],[Role]]&lt;&gt;"BR",SUMPRODUCT(Mecze[[#This Row],[/PR:90]:[/BR:90]],Brudnopis!$E$26:$J$26),0)</f>
        <v>0.19791666666666666</v>
      </c>
      <c r="W1512" s="44">
        <f>IF(Mecze[[#This Row],[Role]]&lt;&gt;"BR",SUMPRODUCT(Mecze[[#This Row],[/PR:90]:[/BR:90]],Brudnopis!$E$27:$J$27),0)</f>
        <v>0.234375</v>
      </c>
      <c r="X1512" s="44">
        <f>IF(Mecze[[#This Row],[Role]]&lt;&gt;"BR",SUMPRODUCT(Mecze[[#This Row],[/PR:90]:[/BR:90]],Brudnopis!$E$28:$J$28),0)</f>
        <v>0.11458333333333333</v>
      </c>
      <c r="Y1512" s="35">
        <f>IF(Mecze[[#This Row],[Role]]="BR",Mecze[[#This Row],[/OB:90]]+Mecze[[#This Row],[/PC:90]],SUM(Mecze[[#This Row],[/PR:90]:[/BR:90]]))</f>
        <v>0.19791666666666666</v>
      </c>
      <c r="Z1512" s="35">
        <f>IF(Mecze[[#This Row],[KC]]=0,SUM(Mecze[[#This Row],[/BRI]:[/NPI]]),SUM(Mecze[[#This Row],[/BRI]:[/NPI]])*0.6)</f>
        <v>1.0104166666666665</v>
      </c>
      <c r="AA1512" s="10">
        <f>IFERROR(Mecze[[#This Row],[BR]]/Mecze[[#This Row],[ST]],0)</f>
        <v>0</v>
      </c>
      <c r="AB1512">
        <f>ROUND(Mecze[[#This Row],[PD]]*Mecze[[#This Row],[%PC]],0)</f>
        <v>11</v>
      </c>
      <c r="AC1512">
        <f>ROUND(Mecze[[#This Row],[OD]]*Mecze[[#This Row],[%OU]],0)</f>
        <v>2</v>
      </c>
      <c r="AD1512" s="36" t="s">
        <v>67</v>
      </c>
      <c r="AE1512" s="36">
        <v>82</v>
      </c>
      <c r="AF1512" s="71">
        <v>5.17</v>
      </c>
      <c r="AG1512" s="37">
        <v>0</v>
      </c>
      <c r="AH1512" s="37">
        <v>0</v>
      </c>
      <c r="AI1512" s="37">
        <v>96</v>
      </c>
      <c r="AJ1512" s="37">
        <v>7</v>
      </c>
      <c r="AK1512" s="37" t="str">
        <f>VLOOKUP(Mecze[[#This Row],[Match ID]],Meczusie[Mecz]:Meczusie[RodzajMeczu],2,FALSE)</f>
        <v>Liga</v>
      </c>
    </row>
    <row r="1513" spans="1:37" x14ac:dyDescent="0.25">
      <c r="A1513" s="76">
        <v>202</v>
      </c>
      <c r="B1513" s="3" t="s">
        <v>340</v>
      </c>
      <c r="C1513" s="2" t="s">
        <v>160</v>
      </c>
      <c r="D1513" s="1">
        <v>2</v>
      </c>
      <c r="E1513" s="1">
        <v>3</v>
      </c>
      <c r="F1513" s="1">
        <v>2</v>
      </c>
      <c r="G1513" s="1">
        <v>3</v>
      </c>
      <c r="H1513" s="4">
        <v>0.33</v>
      </c>
      <c r="I1513" s="1">
        <v>2</v>
      </c>
      <c r="J1513" s="4">
        <v>0</v>
      </c>
      <c r="K1513" s="1">
        <v>0</v>
      </c>
      <c r="L1513" s="1">
        <v>1</v>
      </c>
      <c r="M1513" s="32">
        <f>IF(Mecze[[#This Row],[PR]]=0,0,Mecze[[#This Row],[PR]]/Mecze[[#This Row],[CZAS]])</f>
        <v>1.0416666666666666E-2</v>
      </c>
      <c r="N1513" s="32">
        <f>IF(Mecze[[#This Row],[OU]]=0,0,Mecze[[#This Row],[OU]]/Mecze[[#This Row],[CZAS]])</f>
        <v>0</v>
      </c>
      <c r="O1513" s="32">
        <f>IF(Mecze[[#This Row],[PC]]=0,0,Mecze[[#This Row],[PC]]/Mecze[[#This Row],[CZAS]])</f>
        <v>1.0416666666666666E-2</v>
      </c>
      <c r="P1513" s="32">
        <f>IF(Mecze[[#This Row],[SC]]=0,0,Mecze[[#This Row],[SC]]/Mecze[[#This Row],[CZAS]])</f>
        <v>2.0833333333333332E-2</v>
      </c>
      <c r="Q1513" s="32">
        <f>IF(Mecze[[#This Row],[OB]]=0,0,Mecze[[#This Row],[OB]]/Mecze[[#This Row],[CZAS]])</f>
        <v>0</v>
      </c>
      <c r="R1513" s="32">
        <f>IF(Mecze[[#This Row],[BR]]=0,0,Mecze[[#This Row],[BR]]/Mecze[[#This Row],[CZAS]])</f>
        <v>2.0833333333333332E-2</v>
      </c>
      <c r="S1513" s="44">
        <f>IF(Mecze[[#This Row],[Role]]="BR",SUMPRODUCT(Mecze[[#This Row],[/PR:90]:[/BR:90]],Brudnopis!$E$23:$J$23),0)</f>
        <v>0</v>
      </c>
      <c r="T1513" s="44">
        <f>IF(Mecze[[#This Row],[Role]]&lt;&gt;"BR",SUMPRODUCT(Mecze[[#This Row],[/PR:90]:[/BR:90]],Brudnopis!$E$24:$J$24),0)</f>
        <v>7.2916666666666657E-2</v>
      </c>
      <c r="U1513" s="44">
        <f>IF(Mecze[[#This Row],[Role]]&lt;&gt;"BR",SUMPRODUCT(Mecze[[#This Row],[/PR:90]:[/BR:90]],Brudnopis!$E$25:$J$25),0)</f>
        <v>7.8125E-2</v>
      </c>
      <c r="V1513" s="44">
        <f>IF(Mecze[[#This Row],[Role]]&lt;&gt;"BR",SUMPRODUCT(Mecze[[#This Row],[/PR:90]:[/BR:90]],Brudnopis!$E$26:$J$26),0)</f>
        <v>8.3333333333333329E-2</v>
      </c>
      <c r="W1513" s="44">
        <f>IF(Mecze[[#This Row],[Role]]&lt;&gt;"BR",SUMPRODUCT(Mecze[[#This Row],[/PR:90]:[/BR:90]],Brudnopis!$E$27:$J$27),0)</f>
        <v>8.59375E-2</v>
      </c>
      <c r="X1513" s="44">
        <f>IF(Mecze[[#This Row],[Role]]&lt;&gt;"BR",SUMPRODUCT(Mecze[[#This Row],[/PR:90]:[/BR:90]],Brudnopis!$E$28:$J$28),0)</f>
        <v>0.11458333333333333</v>
      </c>
      <c r="Y1513" s="35">
        <f>IF(Mecze[[#This Row],[Role]]="BR",Mecze[[#This Row],[/OB:90]]+Mecze[[#This Row],[/PC:90]],SUM(Mecze[[#This Row],[/PR:90]:[/BR:90]]))</f>
        <v>6.25E-2</v>
      </c>
      <c r="Z1513" s="35">
        <f>IF(Mecze[[#This Row],[KC]]=0,SUM(Mecze[[#This Row],[/BRI]:[/NPI]]),SUM(Mecze[[#This Row],[/BRI]:[/NPI]])*0.6)</f>
        <v>0.43489583333333331</v>
      </c>
      <c r="AA1513" s="10">
        <f>IFERROR(Mecze[[#This Row],[BR]]/Mecze[[#This Row],[ST]],0)</f>
        <v>0.66666666666666663</v>
      </c>
      <c r="AB1513">
        <f>ROUND(Mecze[[#This Row],[PD]]*Mecze[[#This Row],[%PC]],0)</f>
        <v>1</v>
      </c>
      <c r="AC1513">
        <f>ROUND(Mecze[[#This Row],[OD]]*Mecze[[#This Row],[%OU]],0)</f>
        <v>0</v>
      </c>
      <c r="AD1513" s="36" t="s">
        <v>44</v>
      </c>
      <c r="AE1513" s="36">
        <v>82</v>
      </c>
      <c r="AF1513" s="71">
        <v>7.59</v>
      </c>
      <c r="AG1513" s="37">
        <v>0</v>
      </c>
      <c r="AH1513" s="37">
        <v>0</v>
      </c>
      <c r="AI1513" s="37">
        <v>96</v>
      </c>
      <c r="AJ1513" s="37">
        <v>7</v>
      </c>
      <c r="AK1513" s="37" t="str">
        <f>VLOOKUP(Mecze[[#This Row],[Match ID]],Meczusie[Mecz]:Meczusie[RodzajMeczu],2,FALSE)</f>
        <v>Liga</v>
      </c>
    </row>
    <row r="1514" spans="1:37" x14ac:dyDescent="0.25">
      <c r="A1514" s="76">
        <v>203</v>
      </c>
      <c r="B1514" s="3" t="s">
        <v>342</v>
      </c>
      <c r="C1514" s="2" t="s">
        <v>165</v>
      </c>
      <c r="D1514" s="1">
        <v>1</v>
      </c>
      <c r="E1514" s="1">
        <v>9</v>
      </c>
      <c r="F1514" s="1">
        <v>8</v>
      </c>
      <c r="G1514" s="1">
        <v>8</v>
      </c>
      <c r="H1514" s="4">
        <v>0.75</v>
      </c>
      <c r="I1514" s="1">
        <v>1</v>
      </c>
      <c r="J1514" s="4">
        <v>0</v>
      </c>
      <c r="K1514" s="1">
        <v>0</v>
      </c>
      <c r="L1514" s="1">
        <v>0</v>
      </c>
      <c r="M1514" s="32">
        <f>IF(Mecze[[#This Row],[PR]]=0,0,Mecze[[#This Row],[PR]]/Mecze[[#This Row],[CZAS]])</f>
        <v>0</v>
      </c>
      <c r="N1514" s="32">
        <f>IF(Mecze[[#This Row],[OU]]=0,0,Mecze[[#This Row],[OU]]/Mecze[[#This Row],[CZAS]])</f>
        <v>0</v>
      </c>
      <c r="O1514" s="32">
        <f>IF(Mecze[[#This Row],[PC]]=0,0,Mecze[[#This Row],[PC]]/Mecze[[#This Row],[CZAS]])</f>
        <v>6.25E-2</v>
      </c>
      <c r="P1514" s="32">
        <f>IF(Mecze[[#This Row],[SC]]=0,0,Mecze[[#This Row],[SC]]/Mecze[[#This Row],[CZAS]])</f>
        <v>8.3333333333333329E-2</v>
      </c>
      <c r="Q1514" s="32">
        <f>IF(Mecze[[#This Row],[OB]]=0,0,Mecze[[#This Row],[OB]]/Mecze[[#This Row],[CZAS]])</f>
        <v>0</v>
      </c>
      <c r="R1514" s="32">
        <f>IF(Mecze[[#This Row],[BR]]=0,0,Mecze[[#This Row],[BR]]/Mecze[[#This Row],[CZAS]])</f>
        <v>1.0416666666666666E-2</v>
      </c>
      <c r="S1514" s="44">
        <f>IF(Mecze[[#This Row],[Role]]="BR",SUMPRODUCT(Mecze[[#This Row],[/PR:90]:[/BR:90]],Brudnopis!$E$23:$J$23),0)</f>
        <v>0</v>
      </c>
      <c r="T1514" s="44">
        <f>IF(Mecze[[#This Row],[Role]]&lt;&gt;"BR",SUMPRODUCT(Mecze[[#This Row],[/PR:90]:[/BR:90]],Brudnopis!$E$24:$J$24),0)</f>
        <v>0.16145833333333331</v>
      </c>
      <c r="U1514" s="44">
        <f>IF(Mecze[[#This Row],[Role]]&lt;&gt;"BR",SUMPRODUCT(Mecze[[#This Row],[/PR:90]:[/BR:90]],Brudnopis!$E$25:$J$25),0)</f>
        <v>0.19270833333333331</v>
      </c>
      <c r="V1514" s="44">
        <f>IF(Mecze[[#This Row],[Role]]&lt;&gt;"BR",SUMPRODUCT(Mecze[[#This Row],[/PR:90]:[/BR:90]],Brudnopis!$E$26:$J$26),0)</f>
        <v>0.16666666666666666</v>
      </c>
      <c r="W1514" s="44">
        <f>IF(Mecze[[#This Row],[Role]]&lt;&gt;"BR",SUMPRODUCT(Mecze[[#This Row],[/PR:90]:[/BR:90]],Brudnopis!$E$27:$J$27),0)</f>
        <v>0.19791666666666666</v>
      </c>
      <c r="X1514" s="44">
        <f>IF(Mecze[[#This Row],[Role]]&lt;&gt;"BR",SUMPRODUCT(Mecze[[#This Row],[/PR:90]:[/BR:90]],Brudnopis!$E$28:$J$28),0)</f>
        <v>0.26041666666666663</v>
      </c>
      <c r="Y1514" s="35">
        <f>IF(Mecze[[#This Row],[Role]]="BR",Mecze[[#This Row],[/OB:90]]+Mecze[[#This Row],[/PC:90]],SUM(Mecze[[#This Row],[/PR:90]:[/BR:90]]))</f>
        <v>0.15624999999999997</v>
      </c>
      <c r="Z1514" s="35">
        <f>IF(Mecze[[#This Row],[KC]]=0,SUM(Mecze[[#This Row],[/BRI]:[/NPI]]),SUM(Mecze[[#This Row],[/BRI]:[/NPI]])*0.6)</f>
        <v>0.97916666666666652</v>
      </c>
      <c r="AA1514" s="10">
        <f>IFERROR(Mecze[[#This Row],[BR]]/Mecze[[#This Row],[ST]],0)</f>
        <v>0.1111111111111111</v>
      </c>
      <c r="AB1514">
        <f>ROUND(Mecze[[#This Row],[PD]]*Mecze[[#This Row],[%PC]],0)</f>
        <v>6</v>
      </c>
      <c r="AC1514">
        <f>ROUND(Mecze[[#This Row],[OD]]*Mecze[[#This Row],[%OU]],0)</f>
        <v>0</v>
      </c>
      <c r="AD1514" s="36" t="s">
        <v>46</v>
      </c>
      <c r="AE1514" s="36">
        <v>82</v>
      </c>
      <c r="AF1514" s="71">
        <v>8.1</v>
      </c>
      <c r="AG1514" s="37">
        <v>0</v>
      </c>
      <c r="AH1514" s="37">
        <v>0</v>
      </c>
      <c r="AI1514" s="37">
        <v>96</v>
      </c>
      <c r="AJ1514" s="37">
        <v>7</v>
      </c>
      <c r="AK1514" s="37" t="str">
        <f>VLOOKUP(Mecze[[#This Row],[Match ID]],Meczusie[Mecz]:Meczusie[RodzajMeczu],2,FALSE)</f>
        <v>Liga</v>
      </c>
    </row>
    <row r="1515" spans="1:37" x14ac:dyDescent="0.25">
      <c r="A1515" s="76">
        <v>104</v>
      </c>
      <c r="B1515" s="3" t="s">
        <v>343</v>
      </c>
      <c r="C1515" s="2" t="s">
        <v>165</v>
      </c>
      <c r="D1515" s="1">
        <v>0</v>
      </c>
      <c r="E1515" s="1">
        <v>1</v>
      </c>
      <c r="F1515" s="1">
        <v>1</v>
      </c>
      <c r="G1515" s="1">
        <v>16</v>
      </c>
      <c r="H1515" s="4">
        <v>0.5</v>
      </c>
      <c r="I1515" s="1">
        <v>1</v>
      </c>
      <c r="J1515" s="4">
        <v>0</v>
      </c>
      <c r="K1515" s="1">
        <v>0</v>
      </c>
      <c r="L1515" s="1">
        <v>1</v>
      </c>
      <c r="M1515" s="32">
        <f>IF(Mecze[[#This Row],[PR]]=0,0,Mecze[[#This Row],[PR]]/Mecze[[#This Row],[CZAS]])</f>
        <v>1.0416666666666666E-2</v>
      </c>
      <c r="N1515" s="32">
        <f>IF(Mecze[[#This Row],[OU]]=0,0,Mecze[[#This Row],[OU]]/Mecze[[#This Row],[CZAS]])</f>
        <v>0</v>
      </c>
      <c r="O1515" s="32">
        <f>IF(Mecze[[#This Row],[PC]]=0,0,Mecze[[#This Row],[PC]]/Mecze[[#This Row],[CZAS]])</f>
        <v>8.3333333333333329E-2</v>
      </c>
      <c r="P1515" s="32">
        <f>IF(Mecze[[#This Row],[SC]]=0,0,Mecze[[#This Row],[SC]]/Mecze[[#This Row],[CZAS]])</f>
        <v>1.0416666666666666E-2</v>
      </c>
      <c r="Q1515" s="32">
        <f>IF(Mecze[[#This Row],[OB]]=0,0,Mecze[[#This Row],[OB]]/Mecze[[#This Row],[CZAS]])</f>
        <v>0</v>
      </c>
      <c r="R1515" s="32">
        <f>IF(Mecze[[#This Row],[BR]]=0,0,Mecze[[#This Row],[BR]]/Mecze[[#This Row],[CZAS]])</f>
        <v>0</v>
      </c>
      <c r="S1515" s="44">
        <f>IF(Mecze[[#This Row],[Role]]="BR",SUMPRODUCT(Mecze[[#This Row],[/PR:90]:[/BR:90]],Brudnopis!$E$23:$J$23),0)</f>
        <v>0</v>
      </c>
      <c r="T1515" s="44">
        <f>IF(Mecze[[#This Row],[Role]]&lt;&gt;"BR",SUMPRODUCT(Mecze[[#This Row],[/PR:90]:[/BR:90]],Brudnopis!$E$24:$J$24),0)</f>
        <v>0.10416666666666667</v>
      </c>
      <c r="U1515" s="44">
        <f>IF(Mecze[[#This Row],[Role]]&lt;&gt;"BR",SUMPRODUCT(Mecze[[#This Row],[/PR:90]:[/BR:90]],Brudnopis!$E$25:$J$25),0)</f>
        <v>0.14583333333333331</v>
      </c>
      <c r="V1515" s="44">
        <f>IF(Mecze[[#This Row],[Role]]&lt;&gt;"BR",SUMPRODUCT(Mecze[[#This Row],[/PR:90]:[/BR:90]],Brudnopis!$E$26:$J$26),0)</f>
        <v>0.10416666666666667</v>
      </c>
      <c r="W1515" s="44">
        <f>IF(Mecze[[#This Row],[Role]]&lt;&gt;"BR",SUMPRODUCT(Mecze[[#This Row],[/PR:90]:[/BR:90]],Brudnopis!$E$27:$J$27),0)</f>
        <v>0.14322916666666666</v>
      </c>
      <c r="X1515" s="44">
        <f>IF(Mecze[[#This Row],[Role]]&lt;&gt;"BR",SUMPRODUCT(Mecze[[#This Row],[/PR:90]:[/BR:90]],Brudnopis!$E$28:$J$28),0)</f>
        <v>0.10416666666666666</v>
      </c>
      <c r="Y1515" s="35">
        <f>IF(Mecze[[#This Row],[Role]]="BR",Mecze[[#This Row],[/OB:90]]+Mecze[[#This Row],[/PC:90]],SUM(Mecze[[#This Row],[/PR:90]:[/BR:90]]))</f>
        <v>0.10416666666666667</v>
      </c>
      <c r="Z1515" s="35">
        <f>IF(Mecze[[#This Row],[KC]]=0,SUM(Mecze[[#This Row],[/BRI]:[/NPI]]),SUM(Mecze[[#This Row],[/BRI]:[/NPI]])*0.6)</f>
        <v>0.6015625</v>
      </c>
      <c r="AA1515" s="10">
        <f>IFERROR(Mecze[[#This Row],[BR]]/Mecze[[#This Row],[ST]],0)</f>
        <v>0</v>
      </c>
      <c r="AB1515">
        <f>ROUND(Mecze[[#This Row],[PD]]*Mecze[[#This Row],[%PC]],0)</f>
        <v>8</v>
      </c>
      <c r="AC1515">
        <f>ROUND(Mecze[[#This Row],[OD]]*Mecze[[#This Row],[%OU]],0)</f>
        <v>0</v>
      </c>
      <c r="AD1515" s="36" t="s">
        <v>167</v>
      </c>
      <c r="AE1515" s="36">
        <v>82</v>
      </c>
      <c r="AF1515" s="71">
        <v>4.26</v>
      </c>
      <c r="AG1515" s="37">
        <v>0</v>
      </c>
      <c r="AH1515" s="37">
        <v>0</v>
      </c>
      <c r="AI1515" s="37">
        <v>96</v>
      </c>
      <c r="AJ1515" s="37">
        <v>7</v>
      </c>
      <c r="AK1515" s="37" t="str">
        <f>VLOOKUP(Mecze[[#This Row],[Match ID]],Meczusie[Mecz]:Meczusie[RodzajMeczu],2,FALSE)</f>
        <v>Liga</v>
      </c>
    </row>
    <row r="1516" spans="1:37" x14ac:dyDescent="0.25">
      <c r="A1516" s="76">
        <v>1</v>
      </c>
      <c r="B1516" s="3" t="s">
        <v>169</v>
      </c>
      <c r="C1516" s="2" t="s">
        <v>155</v>
      </c>
      <c r="D1516" s="1">
        <v>0</v>
      </c>
      <c r="E1516" s="1">
        <v>0</v>
      </c>
      <c r="F1516" s="1">
        <v>0</v>
      </c>
      <c r="G1516" s="1">
        <v>15</v>
      </c>
      <c r="H1516" s="4">
        <v>0.73</v>
      </c>
      <c r="I1516" s="1">
        <v>0</v>
      </c>
      <c r="J1516" s="4"/>
      <c r="K1516" s="1">
        <v>16</v>
      </c>
      <c r="L1516" s="1">
        <v>0</v>
      </c>
      <c r="M1516" s="32">
        <f>IF(Mecze[[#This Row],[PR]]=0,0,Mecze[[#This Row],[PR]]/Mecze[[#This Row],[CZAS]])</f>
        <v>0</v>
      </c>
      <c r="N1516" s="32">
        <f>IF(Mecze[[#This Row],[OU]]=0,0,Mecze[[#This Row],[OU]]/Mecze[[#This Row],[CZAS]])</f>
        <v>0</v>
      </c>
      <c r="O1516" s="32">
        <f>IF(Mecze[[#This Row],[PC]]=0,0,Mecze[[#This Row],[PC]]/Mecze[[#This Row],[CZAS]])</f>
        <v>0.1134020618556701</v>
      </c>
      <c r="P1516" s="32">
        <f>IF(Mecze[[#This Row],[SC]]=0,0,Mecze[[#This Row],[SC]]/Mecze[[#This Row],[CZAS]])</f>
        <v>0</v>
      </c>
      <c r="Q1516" s="32">
        <f>IF(Mecze[[#This Row],[OB]]=0,0,Mecze[[#This Row],[OB]]/Mecze[[#This Row],[CZAS]])</f>
        <v>0.16494845360824742</v>
      </c>
      <c r="R1516" s="32">
        <f>IF(Mecze[[#This Row],[BR]]=0,0,Mecze[[#This Row],[BR]]/Mecze[[#This Row],[CZAS]])</f>
        <v>0</v>
      </c>
      <c r="S1516" s="44">
        <f>IF(Mecze[[#This Row],[Role]]="BR",SUMPRODUCT(Mecze[[#This Row],[/PR:90]:[/BR:90]],Brudnopis!$E$23:$J$23),0)</f>
        <v>0.83505154639175261</v>
      </c>
      <c r="T1516" s="44">
        <f>IF(Mecze[[#This Row],[Role]]&lt;&gt;"BR",SUMPRODUCT(Mecze[[#This Row],[/PR:90]:[/BR:90]],Brudnopis!$E$24:$J$24),0)</f>
        <v>0</v>
      </c>
      <c r="U1516" s="44">
        <f>IF(Mecze[[#This Row],[Role]]&lt;&gt;"BR",SUMPRODUCT(Mecze[[#This Row],[/PR:90]:[/BR:90]],Brudnopis!$E$25:$J$25),0)</f>
        <v>0</v>
      </c>
      <c r="V1516" s="44">
        <f>IF(Mecze[[#This Row],[Role]]&lt;&gt;"BR",SUMPRODUCT(Mecze[[#This Row],[/PR:90]:[/BR:90]],Brudnopis!$E$26:$J$26),0)</f>
        <v>0</v>
      </c>
      <c r="W1516" s="44">
        <f>IF(Mecze[[#This Row],[Role]]&lt;&gt;"BR",SUMPRODUCT(Mecze[[#This Row],[/PR:90]:[/BR:90]],Brudnopis!$E$27:$J$27),0)</f>
        <v>0</v>
      </c>
      <c r="X1516" s="44">
        <f>IF(Mecze[[#This Row],[Role]]&lt;&gt;"BR",SUMPRODUCT(Mecze[[#This Row],[/PR:90]:[/BR:90]],Brudnopis!$E$28:$J$28),0)</f>
        <v>0</v>
      </c>
      <c r="Y1516" s="35">
        <f>IF(Mecze[[#This Row],[Role]]="BR",Mecze[[#This Row],[/OB:90]]+Mecze[[#This Row],[/PC:90]],SUM(Mecze[[#This Row],[/PR:90]:[/BR:90]]))</f>
        <v>0.27835051546391754</v>
      </c>
      <c r="Z1516" s="35">
        <f>IF(Mecze[[#This Row],[KC]]=0,SUM(Mecze[[#This Row],[/BRI]:[/NPI]]),SUM(Mecze[[#This Row],[/BRI]:[/NPI]])*0.6)</f>
        <v>0.83505154639175261</v>
      </c>
      <c r="AA1516" s="10">
        <f>IFERROR(Mecze[[#This Row],[BR]]/Mecze[[#This Row],[ST]],0)</f>
        <v>0</v>
      </c>
      <c r="AB1516">
        <f>ROUND(Mecze[[#This Row],[PD]]*Mecze[[#This Row],[%PC]],0)</f>
        <v>11</v>
      </c>
      <c r="AC1516">
        <f>ROUND(Mecze[[#This Row],[OD]]*Mecze[[#This Row],[%OU]],0)</f>
        <v>0</v>
      </c>
      <c r="AD1516" s="36" t="s">
        <v>40</v>
      </c>
      <c r="AE1516" s="36">
        <v>83</v>
      </c>
      <c r="AF1516" s="71">
        <v>13.86</v>
      </c>
      <c r="AG1516" s="37">
        <v>0</v>
      </c>
      <c r="AH1516" s="37">
        <v>0</v>
      </c>
      <c r="AI1516" s="37">
        <v>97</v>
      </c>
      <c r="AJ1516" s="37">
        <v>1</v>
      </c>
      <c r="AK1516" s="37" t="str">
        <f>VLOOKUP(Mecze[[#This Row],[Match ID]],Meczusie[Mecz]:Meczusie[RodzajMeczu],2,FALSE)</f>
        <v>Liga</v>
      </c>
    </row>
    <row r="1517" spans="1:37" x14ac:dyDescent="0.25">
      <c r="A1517" s="76">
        <v>5</v>
      </c>
      <c r="B1517" s="3" t="s">
        <v>161</v>
      </c>
      <c r="C1517" s="2" t="s">
        <v>157</v>
      </c>
      <c r="D1517" s="1">
        <v>0</v>
      </c>
      <c r="E1517" s="1">
        <v>0</v>
      </c>
      <c r="F1517" s="1">
        <v>0</v>
      </c>
      <c r="G1517" s="1">
        <v>14</v>
      </c>
      <c r="H1517" s="4">
        <v>0.5</v>
      </c>
      <c r="I1517" s="1">
        <v>8</v>
      </c>
      <c r="J1517" s="4">
        <v>0.75</v>
      </c>
      <c r="K1517" s="1">
        <v>0</v>
      </c>
      <c r="L1517" s="1">
        <v>10</v>
      </c>
      <c r="M1517" s="32">
        <f>IF(Mecze[[#This Row],[PR]]=0,0,Mecze[[#This Row],[PR]]/Mecze[[#This Row],[CZAS]])</f>
        <v>0.10309278350515463</v>
      </c>
      <c r="N1517" s="32">
        <f>IF(Mecze[[#This Row],[OU]]=0,0,Mecze[[#This Row],[OU]]/Mecze[[#This Row],[CZAS]])</f>
        <v>6.1855670103092786E-2</v>
      </c>
      <c r="O1517" s="32">
        <f>IF(Mecze[[#This Row],[PC]]=0,0,Mecze[[#This Row],[PC]]/Mecze[[#This Row],[CZAS]])</f>
        <v>7.2164948453608241E-2</v>
      </c>
      <c r="P1517" s="32">
        <f>IF(Mecze[[#This Row],[SC]]=0,0,Mecze[[#This Row],[SC]]/Mecze[[#This Row],[CZAS]])</f>
        <v>0</v>
      </c>
      <c r="Q1517" s="32">
        <f>IF(Mecze[[#This Row],[OB]]=0,0,Mecze[[#This Row],[OB]]/Mecze[[#This Row],[CZAS]])</f>
        <v>0</v>
      </c>
      <c r="R1517" s="32">
        <f>IF(Mecze[[#This Row],[BR]]=0,0,Mecze[[#This Row],[BR]]/Mecze[[#This Row],[CZAS]])</f>
        <v>0</v>
      </c>
      <c r="S1517" s="44">
        <f>IF(Mecze[[#This Row],[Role]]="BR",SUMPRODUCT(Mecze[[#This Row],[/PR:90]:[/BR:90]],Brudnopis!$E$23:$J$23),0)</f>
        <v>0</v>
      </c>
      <c r="T1517" s="44">
        <f>IF(Mecze[[#This Row],[Role]]&lt;&gt;"BR",SUMPRODUCT(Mecze[[#This Row],[/PR:90]:[/BR:90]],Brudnopis!$E$24:$J$24),0)</f>
        <v>0.26804123711340205</v>
      </c>
      <c r="U1517" s="44">
        <f>IF(Mecze[[#This Row],[Role]]&lt;&gt;"BR",SUMPRODUCT(Mecze[[#This Row],[/PR:90]:[/BR:90]],Brudnopis!$E$25:$J$25),0)</f>
        <v>0.27319587628865977</v>
      </c>
      <c r="V1517" s="44">
        <f>IF(Mecze[[#This Row],[Role]]&lt;&gt;"BR",SUMPRODUCT(Mecze[[#This Row],[/PR:90]:[/BR:90]],Brudnopis!$E$26:$J$26),0)</f>
        <v>0.23711340206185566</v>
      </c>
      <c r="W1517" s="44">
        <f>IF(Mecze[[#This Row],[Role]]&lt;&gt;"BR",SUMPRODUCT(Mecze[[#This Row],[/PR:90]:[/BR:90]],Brudnopis!$E$27:$J$27),0)</f>
        <v>0.23195876288659795</v>
      </c>
      <c r="X1517" s="44">
        <f>IF(Mecze[[#This Row],[Role]]&lt;&gt;"BR",SUMPRODUCT(Mecze[[#This Row],[/PR:90]:[/BR:90]],Brudnopis!$E$28:$J$28),0)</f>
        <v>7.2164948453608241E-2</v>
      </c>
      <c r="Y1517" s="35">
        <f>IF(Mecze[[#This Row],[Role]]="BR",Mecze[[#This Row],[/OB:90]]+Mecze[[#This Row],[/PC:90]],SUM(Mecze[[#This Row],[/PR:90]:[/BR:90]]))</f>
        <v>0.23711340206185566</v>
      </c>
      <c r="Z1517" s="35">
        <f>IF(Mecze[[#This Row],[KC]]=0,SUM(Mecze[[#This Row],[/BRI]:[/NPI]]),SUM(Mecze[[#This Row],[/BRI]:[/NPI]])*0.6)</f>
        <v>1.0824742268041236</v>
      </c>
      <c r="AA1517" s="10">
        <f>IFERROR(Mecze[[#This Row],[BR]]/Mecze[[#This Row],[ST]],0)</f>
        <v>0</v>
      </c>
      <c r="AB1517">
        <f>ROUND(Mecze[[#This Row],[PD]]*Mecze[[#This Row],[%PC]],0)</f>
        <v>7</v>
      </c>
      <c r="AC1517">
        <f>ROUND(Mecze[[#This Row],[OD]]*Mecze[[#This Row],[%OU]],0)</f>
        <v>6</v>
      </c>
      <c r="AD1517" s="36" t="s">
        <v>47</v>
      </c>
      <c r="AE1517" s="36">
        <v>83</v>
      </c>
      <c r="AF1517" s="71">
        <v>10.26</v>
      </c>
      <c r="AG1517" s="37">
        <v>0</v>
      </c>
      <c r="AH1517" s="37">
        <v>0</v>
      </c>
      <c r="AI1517" s="37">
        <v>97</v>
      </c>
      <c r="AJ1517" s="37">
        <v>1</v>
      </c>
      <c r="AK1517" s="37" t="str">
        <f>VLOOKUP(Mecze[[#This Row],[Match ID]],Meczusie[Mecz]:Meczusie[RodzajMeczu],2,FALSE)</f>
        <v>Liga</v>
      </c>
    </row>
    <row r="1518" spans="1:37" x14ac:dyDescent="0.25">
      <c r="A1518" s="76">
        <v>18</v>
      </c>
      <c r="B1518" s="3" t="s">
        <v>211</v>
      </c>
      <c r="C1518" s="2" t="s">
        <v>157</v>
      </c>
      <c r="D1518" s="1">
        <v>0</v>
      </c>
      <c r="E1518" s="1">
        <v>0</v>
      </c>
      <c r="F1518" s="1">
        <v>0</v>
      </c>
      <c r="G1518" s="1">
        <v>10</v>
      </c>
      <c r="H1518" s="4">
        <v>0.6</v>
      </c>
      <c r="I1518" s="1">
        <v>3</v>
      </c>
      <c r="J1518" s="4">
        <v>0.67</v>
      </c>
      <c r="K1518" s="1">
        <v>0</v>
      </c>
      <c r="L1518" s="1">
        <v>9</v>
      </c>
      <c r="M1518" s="32">
        <f>IF(Mecze[[#This Row],[PR]]=0,0,Mecze[[#This Row],[PR]]/Mecze[[#This Row],[CZAS]])</f>
        <v>9.2783505154639179E-2</v>
      </c>
      <c r="N1518" s="32">
        <f>IF(Mecze[[#This Row],[OU]]=0,0,Mecze[[#This Row],[OU]]/Mecze[[#This Row],[CZAS]])</f>
        <v>2.0618556701030927E-2</v>
      </c>
      <c r="O1518" s="32">
        <f>IF(Mecze[[#This Row],[PC]]=0,0,Mecze[[#This Row],[PC]]/Mecze[[#This Row],[CZAS]])</f>
        <v>6.1855670103092786E-2</v>
      </c>
      <c r="P1518" s="32">
        <f>IF(Mecze[[#This Row],[SC]]=0,0,Mecze[[#This Row],[SC]]/Mecze[[#This Row],[CZAS]])</f>
        <v>0</v>
      </c>
      <c r="Q1518" s="32">
        <f>IF(Mecze[[#This Row],[OB]]=0,0,Mecze[[#This Row],[OB]]/Mecze[[#This Row],[CZAS]])</f>
        <v>0</v>
      </c>
      <c r="R1518" s="32">
        <f>IF(Mecze[[#This Row],[BR]]=0,0,Mecze[[#This Row],[BR]]/Mecze[[#This Row],[CZAS]])</f>
        <v>0</v>
      </c>
      <c r="S1518" s="44">
        <f>IF(Mecze[[#This Row],[Role]]="BR",SUMPRODUCT(Mecze[[#This Row],[/PR:90]:[/BR:90]],Brudnopis!$E$23:$J$23),0)</f>
        <v>0</v>
      </c>
      <c r="T1518" s="44">
        <f>IF(Mecze[[#This Row],[Role]]&lt;&gt;"BR",SUMPRODUCT(Mecze[[#This Row],[/PR:90]:[/BR:90]],Brudnopis!$E$24:$J$24),0)</f>
        <v>0.18556701030927836</v>
      </c>
      <c r="U1518" s="44">
        <f>IF(Mecze[[#This Row],[Role]]&lt;&gt;"BR",SUMPRODUCT(Mecze[[#This Row],[/PR:90]:[/BR:90]],Brudnopis!$E$25:$J$25),0)</f>
        <v>0.20618556701030927</v>
      </c>
      <c r="V1518" s="44">
        <f>IF(Mecze[[#This Row],[Role]]&lt;&gt;"BR",SUMPRODUCT(Mecze[[#This Row],[/PR:90]:[/BR:90]],Brudnopis!$E$26:$J$26),0)</f>
        <v>0.17525773195876287</v>
      </c>
      <c r="W1518" s="44">
        <f>IF(Mecze[[#This Row],[Role]]&lt;&gt;"BR",SUMPRODUCT(Mecze[[#This Row],[/PR:90]:[/BR:90]],Brudnopis!$E$27:$J$27),0)</f>
        <v>0.17783505154639176</v>
      </c>
      <c r="X1518" s="44">
        <f>IF(Mecze[[#This Row],[Role]]&lt;&gt;"BR",SUMPRODUCT(Mecze[[#This Row],[/PR:90]:[/BR:90]],Brudnopis!$E$28:$J$28),0)</f>
        <v>6.1855670103092786E-2</v>
      </c>
      <c r="Y1518" s="35">
        <f>IF(Mecze[[#This Row],[Role]]="BR",Mecze[[#This Row],[/OB:90]]+Mecze[[#This Row],[/PC:90]],SUM(Mecze[[#This Row],[/PR:90]:[/BR:90]]))</f>
        <v>0.17525773195876287</v>
      </c>
      <c r="Z1518" s="35">
        <f>IF(Mecze[[#This Row],[KC]]=0,SUM(Mecze[[#This Row],[/BRI]:[/NPI]]),SUM(Mecze[[#This Row],[/BRI]:[/NPI]])*0.6)</f>
        <v>0.80670103092783507</v>
      </c>
      <c r="AA1518" s="10">
        <f>IFERROR(Mecze[[#This Row],[BR]]/Mecze[[#This Row],[ST]],0)</f>
        <v>0</v>
      </c>
      <c r="AB1518">
        <f>ROUND(Mecze[[#This Row],[PD]]*Mecze[[#This Row],[%PC]],0)</f>
        <v>6</v>
      </c>
      <c r="AC1518">
        <f>ROUND(Mecze[[#This Row],[OD]]*Mecze[[#This Row],[%OU]],0)</f>
        <v>2</v>
      </c>
      <c r="AD1518" s="36" t="s">
        <v>167</v>
      </c>
      <c r="AE1518" s="36">
        <v>83</v>
      </c>
      <c r="AF1518" s="71">
        <v>10.050000000000001</v>
      </c>
      <c r="AG1518" s="37">
        <v>0</v>
      </c>
      <c r="AH1518" s="37">
        <v>0</v>
      </c>
      <c r="AI1518" s="37">
        <v>97</v>
      </c>
      <c r="AJ1518" s="37">
        <v>1</v>
      </c>
      <c r="AK1518" s="37" t="str">
        <f>VLOOKUP(Mecze[[#This Row],[Match ID]],Meczusie[Mecz]:Meczusie[RodzajMeczu],2,FALSE)</f>
        <v>Liga</v>
      </c>
    </row>
    <row r="1519" spans="1:37" x14ac:dyDescent="0.25">
      <c r="A1519" s="76">
        <v>3</v>
      </c>
      <c r="B1519" s="3" t="s">
        <v>158</v>
      </c>
      <c r="C1519" s="2" t="s">
        <v>157</v>
      </c>
      <c r="D1519" s="1">
        <v>0</v>
      </c>
      <c r="E1519" s="1">
        <v>0</v>
      </c>
      <c r="F1519" s="1">
        <v>0</v>
      </c>
      <c r="G1519" s="1">
        <v>9</v>
      </c>
      <c r="H1519" s="4">
        <v>0.67</v>
      </c>
      <c r="I1519" s="1">
        <v>2</v>
      </c>
      <c r="J1519" s="4">
        <v>0.5</v>
      </c>
      <c r="K1519" s="1">
        <v>0</v>
      </c>
      <c r="L1519" s="1">
        <v>8</v>
      </c>
      <c r="M1519" s="32">
        <f>IF(Mecze[[#This Row],[PR]]=0,0,Mecze[[#This Row],[PR]]/Mecze[[#This Row],[CZAS]])</f>
        <v>8.247422680412371E-2</v>
      </c>
      <c r="N1519" s="32">
        <f>IF(Mecze[[#This Row],[OU]]=0,0,Mecze[[#This Row],[OU]]/Mecze[[#This Row],[CZAS]])</f>
        <v>1.0309278350515464E-2</v>
      </c>
      <c r="O1519" s="32">
        <f>IF(Mecze[[#This Row],[PC]]=0,0,Mecze[[#This Row],[PC]]/Mecze[[#This Row],[CZAS]])</f>
        <v>6.1855670103092786E-2</v>
      </c>
      <c r="P1519" s="32">
        <f>IF(Mecze[[#This Row],[SC]]=0,0,Mecze[[#This Row],[SC]]/Mecze[[#This Row],[CZAS]])</f>
        <v>0</v>
      </c>
      <c r="Q1519" s="32">
        <f>IF(Mecze[[#This Row],[OB]]=0,0,Mecze[[#This Row],[OB]]/Mecze[[#This Row],[CZAS]])</f>
        <v>0</v>
      </c>
      <c r="R1519" s="32">
        <f>IF(Mecze[[#This Row],[BR]]=0,0,Mecze[[#This Row],[BR]]/Mecze[[#This Row],[CZAS]])</f>
        <v>0</v>
      </c>
      <c r="S1519" s="44">
        <f>IF(Mecze[[#This Row],[Role]]="BR",SUMPRODUCT(Mecze[[#This Row],[/PR:90]:[/BR:90]],Brudnopis!$E$23:$J$23),0)</f>
        <v>0</v>
      </c>
      <c r="T1519" s="44">
        <f>IF(Mecze[[#This Row],[Role]]&lt;&gt;"BR",SUMPRODUCT(Mecze[[#This Row],[/PR:90]:[/BR:90]],Brudnopis!$E$24:$J$24),0)</f>
        <v>0.15979381443298968</v>
      </c>
      <c r="U1519" s="44">
        <f>IF(Mecze[[#This Row],[Role]]&lt;&gt;"BR",SUMPRODUCT(Mecze[[#This Row],[/PR:90]:[/BR:90]],Brudnopis!$E$25:$J$25),0)</f>
        <v>0.18556701030927836</v>
      </c>
      <c r="V1519" s="44">
        <f>IF(Mecze[[#This Row],[Role]]&lt;&gt;"BR",SUMPRODUCT(Mecze[[#This Row],[/PR:90]:[/BR:90]],Brudnopis!$E$26:$J$26),0)</f>
        <v>0.15463917525773196</v>
      </c>
      <c r="W1519" s="44">
        <f>IF(Mecze[[#This Row],[Role]]&lt;&gt;"BR",SUMPRODUCT(Mecze[[#This Row],[/PR:90]:[/BR:90]],Brudnopis!$E$27:$J$27),0)</f>
        <v>0.16237113402061856</v>
      </c>
      <c r="X1519" s="44">
        <f>IF(Mecze[[#This Row],[Role]]&lt;&gt;"BR",SUMPRODUCT(Mecze[[#This Row],[/PR:90]:[/BR:90]],Brudnopis!$E$28:$J$28),0)</f>
        <v>6.1855670103092786E-2</v>
      </c>
      <c r="Y1519" s="35">
        <f>IF(Mecze[[#This Row],[Role]]="BR",Mecze[[#This Row],[/OB:90]]+Mecze[[#This Row],[/PC:90]],SUM(Mecze[[#This Row],[/PR:90]:[/BR:90]]))</f>
        <v>0.15463917525773196</v>
      </c>
      <c r="Z1519" s="35">
        <f>IF(Mecze[[#This Row],[KC]]=0,SUM(Mecze[[#This Row],[/BRI]:[/NPI]]),SUM(Mecze[[#This Row],[/BRI]:[/NPI]])*0.6)</f>
        <v>0.72422680412371132</v>
      </c>
      <c r="AA1519" s="10">
        <f>IFERROR(Mecze[[#This Row],[BR]]/Mecze[[#This Row],[ST]],0)</f>
        <v>0</v>
      </c>
      <c r="AB1519">
        <f>ROUND(Mecze[[#This Row],[PD]]*Mecze[[#This Row],[%PC]],0)</f>
        <v>6</v>
      </c>
      <c r="AC1519">
        <f>ROUND(Mecze[[#This Row],[OD]]*Mecze[[#This Row],[%OU]],0)</f>
        <v>1</v>
      </c>
      <c r="AD1519" s="36" t="s">
        <v>168</v>
      </c>
      <c r="AE1519" s="36">
        <v>83</v>
      </c>
      <c r="AF1519" s="71">
        <v>8.7200000000000006</v>
      </c>
      <c r="AG1519" s="37">
        <v>0</v>
      </c>
      <c r="AH1519" s="37">
        <v>0</v>
      </c>
      <c r="AI1519" s="37">
        <v>97</v>
      </c>
      <c r="AJ1519" s="37">
        <v>1</v>
      </c>
      <c r="AK1519" s="37" t="str">
        <f>VLOOKUP(Mecze[[#This Row],[Match ID]],Meczusie[Mecz]:Meczusie[RodzajMeczu],2,FALSE)</f>
        <v>Liga</v>
      </c>
    </row>
    <row r="1520" spans="1:37" x14ac:dyDescent="0.25">
      <c r="A1520" s="76">
        <v>6</v>
      </c>
      <c r="B1520" s="3" t="s">
        <v>159</v>
      </c>
      <c r="C1520" s="2" t="s">
        <v>160</v>
      </c>
      <c r="D1520" s="1">
        <v>0</v>
      </c>
      <c r="E1520" s="1">
        <v>0</v>
      </c>
      <c r="F1520" s="1">
        <v>0</v>
      </c>
      <c r="G1520" s="1">
        <v>17</v>
      </c>
      <c r="H1520" s="4">
        <v>0.28999999999999998</v>
      </c>
      <c r="I1520" s="1">
        <v>8</v>
      </c>
      <c r="J1520" s="4">
        <v>0.88</v>
      </c>
      <c r="K1520" s="1">
        <v>0</v>
      </c>
      <c r="L1520" s="1">
        <v>3</v>
      </c>
      <c r="M1520" s="32">
        <f>IF(Mecze[[#This Row],[PR]]=0,0,Mecze[[#This Row],[PR]]/Mecze[[#This Row],[CZAS]])</f>
        <v>3.0927835051546393E-2</v>
      </c>
      <c r="N1520" s="32">
        <f>IF(Mecze[[#This Row],[OU]]=0,0,Mecze[[#This Row],[OU]]/Mecze[[#This Row],[CZAS]])</f>
        <v>7.2164948453608241E-2</v>
      </c>
      <c r="O1520" s="32">
        <f>IF(Mecze[[#This Row],[PC]]=0,0,Mecze[[#This Row],[PC]]/Mecze[[#This Row],[CZAS]])</f>
        <v>5.1546391752577317E-2</v>
      </c>
      <c r="P1520" s="32">
        <f>IF(Mecze[[#This Row],[SC]]=0,0,Mecze[[#This Row],[SC]]/Mecze[[#This Row],[CZAS]])</f>
        <v>0</v>
      </c>
      <c r="Q1520" s="32">
        <f>IF(Mecze[[#This Row],[OB]]=0,0,Mecze[[#This Row],[OB]]/Mecze[[#This Row],[CZAS]])</f>
        <v>0</v>
      </c>
      <c r="R1520" s="32">
        <f>IF(Mecze[[#This Row],[BR]]=0,0,Mecze[[#This Row],[BR]]/Mecze[[#This Row],[CZAS]])</f>
        <v>0</v>
      </c>
      <c r="S1520" s="44">
        <f>IF(Mecze[[#This Row],[Role]]="BR",SUMPRODUCT(Mecze[[#This Row],[/PR:90]:[/BR:90]],Brudnopis!$E$23:$J$23),0)</f>
        <v>0</v>
      </c>
      <c r="T1520" s="44">
        <f>IF(Mecze[[#This Row],[Role]]&lt;&gt;"BR",SUMPRODUCT(Mecze[[#This Row],[/PR:90]:[/BR:90]],Brudnopis!$E$24:$J$24),0)</f>
        <v>0.19072164948453607</v>
      </c>
      <c r="U1520" s="44">
        <f>IF(Mecze[[#This Row],[Role]]&lt;&gt;"BR",SUMPRODUCT(Mecze[[#This Row],[/PR:90]:[/BR:90]],Brudnopis!$E$25:$J$25),0)</f>
        <v>0.18041237113402062</v>
      </c>
      <c r="V1520" s="44">
        <f>IF(Mecze[[#This Row],[Role]]&lt;&gt;"BR",SUMPRODUCT(Mecze[[#This Row],[/PR:90]:[/BR:90]],Brudnopis!$E$26:$J$26),0)</f>
        <v>0.15463917525773196</v>
      </c>
      <c r="W1520" s="44">
        <f>IF(Mecze[[#This Row],[Role]]&lt;&gt;"BR",SUMPRODUCT(Mecze[[#This Row],[/PR:90]:[/BR:90]],Brudnopis!$E$27:$J$27),0)</f>
        <v>0.15463917525773196</v>
      </c>
      <c r="X1520" s="44">
        <f>IF(Mecze[[#This Row],[Role]]&lt;&gt;"BR",SUMPRODUCT(Mecze[[#This Row],[/PR:90]:[/BR:90]],Brudnopis!$E$28:$J$28),0)</f>
        <v>5.1546391752577317E-2</v>
      </c>
      <c r="Y1520" s="35">
        <f>IF(Mecze[[#This Row],[Role]]="BR",Mecze[[#This Row],[/OB:90]]+Mecze[[#This Row],[/PC:90]],SUM(Mecze[[#This Row],[/PR:90]:[/BR:90]]))</f>
        <v>0.15463917525773196</v>
      </c>
      <c r="Z1520" s="35">
        <f>IF(Mecze[[#This Row],[KC]]=0,SUM(Mecze[[#This Row],[/BRI]:[/NPI]]),SUM(Mecze[[#This Row],[/BRI]:[/NPI]])*0.6)</f>
        <v>0.731958762886598</v>
      </c>
      <c r="AA1520" s="10">
        <f>IFERROR(Mecze[[#This Row],[BR]]/Mecze[[#This Row],[ST]],0)</f>
        <v>0</v>
      </c>
      <c r="AB1520">
        <f>ROUND(Mecze[[#This Row],[PD]]*Mecze[[#This Row],[%PC]],0)</f>
        <v>5</v>
      </c>
      <c r="AC1520">
        <f>ROUND(Mecze[[#This Row],[OD]]*Mecze[[#This Row],[%OU]],0)</f>
        <v>7</v>
      </c>
      <c r="AD1520" s="36" t="s">
        <v>41</v>
      </c>
      <c r="AE1520" s="36">
        <v>83</v>
      </c>
      <c r="AF1520" s="71">
        <v>7.67</v>
      </c>
      <c r="AG1520" s="37">
        <v>0</v>
      </c>
      <c r="AH1520" s="37">
        <v>0</v>
      </c>
      <c r="AI1520" s="37">
        <v>97</v>
      </c>
      <c r="AJ1520" s="37">
        <v>1</v>
      </c>
      <c r="AK1520" s="37" t="str">
        <f>VLOOKUP(Mecze[[#This Row],[Match ID]],Meczusie[Mecz]:Meczusie[RodzajMeczu],2,FALSE)</f>
        <v>Liga</v>
      </c>
    </row>
    <row r="1521" spans="1:37" x14ac:dyDescent="0.25">
      <c r="A1521" s="76">
        <v>15</v>
      </c>
      <c r="B1521" s="3" t="s">
        <v>170</v>
      </c>
      <c r="C1521" s="2" t="s">
        <v>160</v>
      </c>
      <c r="D1521" s="1">
        <v>0</v>
      </c>
      <c r="E1521" s="1">
        <v>2</v>
      </c>
      <c r="F1521" s="1">
        <v>2</v>
      </c>
      <c r="G1521" s="1">
        <v>12</v>
      </c>
      <c r="H1521" s="4">
        <v>0.57999999999999996</v>
      </c>
      <c r="I1521" s="1">
        <v>7</v>
      </c>
      <c r="J1521" s="4">
        <v>0.56999999999999995</v>
      </c>
      <c r="K1521" s="1">
        <v>0</v>
      </c>
      <c r="L1521" s="1">
        <v>5</v>
      </c>
      <c r="M1521" s="32">
        <f>IF(Mecze[[#This Row],[PR]]=0,0,Mecze[[#This Row],[PR]]/Mecze[[#This Row],[CZAS]])</f>
        <v>5.1546391752577317E-2</v>
      </c>
      <c r="N1521" s="32">
        <f>IF(Mecze[[#This Row],[OU]]=0,0,Mecze[[#This Row],[OU]]/Mecze[[#This Row],[CZAS]])</f>
        <v>4.1237113402061855E-2</v>
      </c>
      <c r="O1521" s="32">
        <f>IF(Mecze[[#This Row],[PC]]=0,0,Mecze[[#This Row],[PC]]/Mecze[[#This Row],[CZAS]])</f>
        <v>7.2164948453608241E-2</v>
      </c>
      <c r="P1521" s="32">
        <f>IF(Mecze[[#This Row],[SC]]=0,0,Mecze[[#This Row],[SC]]/Mecze[[#This Row],[CZAS]])</f>
        <v>2.0618556701030927E-2</v>
      </c>
      <c r="Q1521" s="32">
        <f>IF(Mecze[[#This Row],[OB]]=0,0,Mecze[[#This Row],[OB]]/Mecze[[#This Row],[CZAS]])</f>
        <v>0</v>
      </c>
      <c r="R1521" s="32">
        <f>IF(Mecze[[#This Row],[BR]]=0,0,Mecze[[#This Row],[BR]]/Mecze[[#This Row],[CZAS]])</f>
        <v>0</v>
      </c>
      <c r="S1521" s="44">
        <f>IF(Mecze[[#This Row],[Role]]="BR",SUMPRODUCT(Mecze[[#This Row],[/PR:90]:[/BR:90]],Brudnopis!$E$23:$J$23),0)</f>
        <v>0</v>
      </c>
      <c r="T1521" s="44">
        <f>IF(Mecze[[#This Row],[Role]]&lt;&gt;"BR",SUMPRODUCT(Mecze[[#This Row],[/PR:90]:[/BR:90]],Brudnopis!$E$24:$J$24),0)</f>
        <v>0.2061855670103093</v>
      </c>
      <c r="U1521" s="44">
        <f>IF(Mecze[[#This Row],[Role]]&lt;&gt;"BR",SUMPRODUCT(Mecze[[#This Row],[/PR:90]:[/BR:90]],Brudnopis!$E$25:$J$25),0)</f>
        <v>0.22164948453608249</v>
      </c>
      <c r="V1521" s="44">
        <f>IF(Mecze[[#This Row],[Role]]&lt;&gt;"BR",SUMPRODUCT(Mecze[[#This Row],[/PR:90]:[/BR:90]],Brudnopis!$E$26:$J$26),0)</f>
        <v>0.18556701030927836</v>
      </c>
      <c r="W1521" s="44">
        <f>IF(Mecze[[#This Row],[Role]]&lt;&gt;"BR",SUMPRODUCT(Mecze[[#This Row],[/PR:90]:[/BR:90]],Brudnopis!$E$27:$J$27),0)</f>
        <v>0.19845360824742267</v>
      </c>
      <c r="X1521" s="44">
        <f>IF(Mecze[[#This Row],[Role]]&lt;&gt;"BR",SUMPRODUCT(Mecze[[#This Row],[/PR:90]:[/BR:90]],Brudnopis!$E$28:$J$28),0)</f>
        <v>0.11340206185567009</v>
      </c>
      <c r="Y1521" s="35">
        <f>IF(Mecze[[#This Row],[Role]]="BR",Mecze[[#This Row],[/OB:90]]+Mecze[[#This Row],[/PC:90]],SUM(Mecze[[#This Row],[/PR:90]:[/BR:90]]))</f>
        <v>0.18556701030927836</v>
      </c>
      <c r="Z1521" s="35">
        <f>IF(Mecze[[#This Row],[KC]]=0,SUM(Mecze[[#This Row],[/BRI]:[/NPI]]),SUM(Mecze[[#This Row],[/BRI]:[/NPI]])*0.6)</f>
        <v>0.92525773195876293</v>
      </c>
      <c r="AA1521" s="10">
        <f>IFERROR(Mecze[[#This Row],[BR]]/Mecze[[#This Row],[ST]],0)</f>
        <v>0</v>
      </c>
      <c r="AB1521">
        <f>ROUND(Mecze[[#This Row],[PD]]*Mecze[[#This Row],[%PC]],0)</f>
        <v>7</v>
      </c>
      <c r="AC1521">
        <f>ROUND(Mecze[[#This Row],[OD]]*Mecze[[#This Row],[%OU]],0)</f>
        <v>4</v>
      </c>
      <c r="AD1521" s="36" t="s">
        <v>41</v>
      </c>
      <c r="AE1521" s="36">
        <v>83</v>
      </c>
      <c r="AF1521" s="71">
        <v>9.76</v>
      </c>
      <c r="AG1521" s="37">
        <v>0</v>
      </c>
      <c r="AH1521" s="37">
        <v>0</v>
      </c>
      <c r="AI1521" s="37">
        <v>97</v>
      </c>
      <c r="AJ1521" s="37">
        <v>1</v>
      </c>
      <c r="AK1521" s="37" t="str">
        <f>VLOOKUP(Mecze[[#This Row],[Match ID]],Meczusie[Mecz]:Meczusie[RodzajMeczu],2,FALSE)</f>
        <v>Liga</v>
      </c>
    </row>
    <row r="1522" spans="1:37" x14ac:dyDescent="0.25">
      <c r="A1522" s="76">
        <v>8</v>
      </c>
      <c r="B1522" s="3" t="s">
        <v>154</v>
      </c>
      <c r="C1522" s="2" t="s">
        <v>160</v>
      </c>
      <c r="D1522" s="1">
        <v>0</v>
      </c>
      <c r="E1522" s="1">
        <v>1</v>
      </c>
      <c r="F1522" s="1">
        <v>1</v>
      </c>
      <c r="G1522" s="1">
        <v>7</v>
      </c>
      <c r="H1522" s="4">
        <v>0.71</v>
      </c>
      <c r="I1522" s="1">
        <v>3</v>
      </c>
      <c r="J1522" s="4">
        <v>0.33</v>
      </c>
      <c r="K1522" s="1">
        <v>0</v>
      </c>
      <c r="L1522" s="1">
        <v>0</v>
      </c>
      <c r="M1522" s="32">
        <f>IF(Mecze[[#This Row],[PR]]=0,0,Mecze[[#This Row],[PR]]/Mecze[[#This Row],[CZAS]])</f>
        <v>0</v>
      </c>
      <c r="N1522" s="32">
        <f>IF(Mecze[[#This Row],[OU]]=0,0,Mecze[[#This Row],[OU]]/Mecze[[#This Row],[CZAS]])</f>
        <v>1.0309278350515464E-2</v>
      </c>
      <c r="O1522" s="32">
        <f>IF(Mecze[[#This Row],[PC]]=0,0,Mecze[[#This Row],[PC]]/Mecze[[#This Row],[CZAS]])</f>
        <v>5.1546391752577317E-2</v>
      </c>
      <c r="P1522" s="32">
        <f>IF(Mecze[[#This Row],[SC]]=0,0,Mecze[[#This Row],[SC]]/Mecze[[#This Row],[CZAS]])</f>
        <v>1.0309278350515464E-2</v>
      </c>
      <c r="Q1522" s="32">
        <f>IF(Mecze[[#This Row],[OB]]=0,0,Mecze[[#This Row],[OB]]/Mecze[[#This Row],[CZAS]])</f>
        <v>0</v>
      </c>
      <c r="R1522" s="32">
        <f>IF(Mecze[[#This Row],[BR]]=0,0,Mecze[[#This Row],[BR]]/Mecze[[#This Row],[CZAS]])</f>
        <v>0</v>
      </c>
      <c r="S1522" s="44">
        <f>IF(Mecze[[#This Row],[Role]]="BR",SUMPRODUCT(Mecze[[#This Row],[/PR:90]:[/BR:90]],Brudnopis!$E$23:$J$23),0)</f>
        <v>0</v>
      </c>
      <c r="T1522" s="44">
        <f>IF(Mecze[[#This Row],[Role]]&lt;&gt;"BR",SUMPRODUCT(Mecze[[#This Row],[/PR:90]:[/BR:90]],Brudnopis!$E$24:$J$24),0)</f>
        <v>7.7319587628865982E-2</v>
      </c>
      <c r="U1522" s="44">
        <f>IF(Mecze[[#This Row],[Role]]&lt;&gt;"BR",SUMPRODUCT(Mecze[[#This Row],[/PR:90]:[/BR:90]],Brudnopis!$E$25:$J$25),0)</f>
        <v>9.793814432989692E-2</v>
      </c>
      <c r="V1522" s="44">
        <f>IF(Mecze[[#This Row],[Role]]&lt;&gt;"BR",SUMPRODUCT(Mecze[[#This Row],[/PR:90]:[/BR:90]],Brudnopis!$E$26:$J$26),0)</f>
        <v>7.2164948453608241E-2</v>
      </c>
      <c r="W1522" s="44">
        <f>IF(Mecze[[#This Row],[Role]]&lt;&gt;"BR",SUMPRODUCT(Mecze[[#This Row],[/PR:90]:[/BR:90]],Brudnopis!$E$27:$J$27),0)</f>
        <v>9.5360824742268049E-2</v>
      </c>
      <c r="X1522" s="44">
        <f>IF(Mecze[[#This Row],[Role]]&lt;&gt;"BR",SUMPRODUCT(Mecze[[#This Row],[/PR:90]:[/BR:90]],Brudnopis!$E$28:$J$28),0)</f>
        <v>7.2164948453608241E-2</v>
      </c>
      <c r="Y1522" s="35">
        <f>IF(Mecze[[#This Row],[Role]]="BR",Mecze[[#This Row],[/OB:90]]+Mecze[[#This Row],[/PC:90]],SUM(Mecze[[#This Row],[/PR:90]:[/BR:90]]))</f>
        <v>7.2164948453608241E-2</v>
      </c>
      <c r="Z1522" s="35">
        <f>IF(Mecze[[#This Row],[KC]]=0,SUM(Mecze[[#This Row],[/BRI]:[/NPI]]),SUM(Mecze[[#This Row],[/BRI]:[/NPI]])*0.6)</f>
        <v>0.41494845360824739</v>
      </c>
      <c r="AA1522" s="10">
        <f>IFERROR(Mecze[[#This Row],[BR]]/Mecze[[#This Row],[ST]],0)</f>
        <v>0</v>
      </c>
      <c r="AB1522">
        <f>ROUND(Mecze[[#This Row],[PD]]*Mecze[[#This Row],[%PC]],0)</f>
        <v>5</v>
      </c>
      <c r="AC1522">
        <f>ROUND(Mecze[[#This Row],[OD]]*Mecze[[#This Row],[%OU]],0)</f>
        <v>1</v>
      </c>
      <c r="AD1522" s="36" t="s">
        <v>67</v>
      </c>
      <c r="AE1522" s="36">
        <v>83</v>
      </c>
      <c r="AF1522" s="71">
        <v>8.48</v>
      </c>
      <c r="AG1522" s="37">
        <v>0</v>
      </c>
      <c r="AH1522" s="37">
        <v>0</v>
      </c>
      <c r="AI1522" s="37">
        <v>97</v>
      </c>
      <c r="AJ1522" s="37">
        <v>1</v>
      </c>
      <c r="AK1522" s="37" t="str">
        <f>VLOOKUP(Mecze[[#This Row],[Match ID]],Meczusie[Mecz]:Meczusie[RodzajMeczu],2,FALSE)</f>
        <v>Liga</v>
      </c>
    </row>
    <row r="1523" spans="1:37" x14ac:dyDescent="0.25">
      <c r="A1523" s="76">
        <v>13</v>
      </c>
      <c r="B1523" s="3" t="s">
        <v>162</v>
      </c>
      <c r="C1523" s="2" t="s">
        <v>160</v>
      </c>
      <c r="D1523" s="1">
        <v>0</v>
      </c>
      <c r="E1523" s="1">
        <v>0</v>
      </c>
      <c r="F1523" s="1">
        <v>0</v>
      </c>
      <c r="G1523" s="1">
        <v>4</v>
      </c>
      <c r="H1523" s="4">
        <v>0.5</v>
      </c>
      <c r="I1523" s="1">
        <v>3</v>
      </c>
      <c r="J1523" s="4">
        <v>0.33</v>
      </c>
      <c r="K1523" s="1">
        <v>0</v>
      </c>
      <c r="L1523" s="1">
        <v>1</v>
      </c>
      <c r="M1523" s="32">
        <f>IF(Mecze[[#This Row],[PR]]=0,0,Mecze[[#This Row],[PR]]/Mecze[[#This Row],[CZAS]])</f>
        <v>1.0309278350515464E-2</v>
      </c>
      <c r="N1523" s="32">
        <f>IF(Mecze[[#This Row],[OU]]=0,0,Mecze[[#This Row],[OU]]/Mecze[[#This Row],[CZAS]])</f>
        <v>1.0309278350515464E-2</v>
      </c>
      <c r="O1523" s="32">
        <f>IF(Mecze[[#This Row],[PC]]=0,0,Mecze[[#This Row],[PC]]/Mecze[[#This Row],[CZAS]])</f>
        <v>2.0618556701030927E-2</v>
      </c>
      <c r="P1523" s="32">
        <f>IF(Mecze[[#This Row],[SC]]=0,0,Mecze[[#This Row],[SC]]/Mecze[[#This Row],[CZAS]])</f>
        <v>0</v>
      </c>
      <c r="Q1523" s="32">
        <f>IF(Mecze[[#This Row],[OB]]=0,0,Mecze[[#This Row],[OB]]/Mecze[[#This Row],[CZAS]])</f>
        <v>0</v>
      </c>
      <c r="R1523" s="32">
        <f>IF(Mecze[[#This Row],[BR]]=0,0,Mecze[[#This Row],[BR]]/Mecze[[#This Row],[CZAS]])</f>
        <v>0</v>
      </c>
      <c r="S1523" s="44">
        <f>IF(Mecze[[#This Row],[Role]]="BR",SUMPRODUCT(Mecze[[#This Row],[/PR:90]:[/BR:90]],Brudnopis!$E$23:$J$23),0)</f>
        <v>0</v>
      </c>
      <c r="T1523" s="44">
        <f>IF(Mecze[[#This Row],[Role]]&lt;&gt;"BR",SUMPRODUCT(Mecze[[#This Row],[/PR:90]:[/BR:90]],Brudnopis!$E$24:$J$24),0)</f>
        <v>4.6391752577319589E-2</v>
      </c>
      <c r="U1523" s="44">
        <f>IF(Mecze[[#This Row],[Role]]&lt;&gt;"BR",SUMPRODUCT(Mecze[[#This Row],[/PR:90]:[/BR:90]],Brudnopis!$E$25:$J$25),0)</f>
        <v>5.1546391752577317E-2</v>
      </c>
      <c r="V1523" s="44">
        <f>IF(Mecze[[#This Row],[Role]]&lt;&gt;"BR",SUMPRODUCT(Mecze[[#This Row],[/PR:90]:[/BR:90]],Brudnopis!$E$26:$J$26),0)</f>
        <v>4.1237113402061855E-2</v>
      </c>
      <c r="W1523" s="44">
        <f>IF(Mecze[[#This Row],[Role]]&lt;&gt;"BR",SUMPRODUCT(Mecze[[#This Row],[/PR:90]:[/BR:90]],Brudnopis!$E$27:$J$27),0)</f>
        <v>4.6391752577319589E-2</v>
      </c>
      <c r="X1523" s="44">
        <f>IF(Mecze[[#This Row],[Role]]&lt;&gt;"BR",SUMPRODUCT(Mecze[[#This Row],[/PR:90]:[/BR:90]],Brudnopis!$E$28:$J$28),0)</f>
        <v>2.0618556701030927E-2</v>
      </c>
      <c r="Y1523" s="35">
        <f>IF(Mecze[[#This Row],[Role]]="BR",Mecze[[#This Row],[/OB:90]]+Mecze[[#This Row],[/PC:90]],SUM(Mecze[[#This Row],[/PR:90]:[/BR:90]]))</f>
        <v>4.1237113402061855E-2</v>
      </c>
      <c r="Z1523" s="35">
        <f>IF(Mecze[[#This Row],[KC]]=0,SUM(Mecze[[#This Row],[/BRI]:[/NPI]]),SUM(Mecze[[#This Row],[/BRI]:[/NPI]])*0.6)</f>
        <v>0.2061855670103093</v>
      </c>
      <c r="AA1523" s="10">
        <f>IFERROR(Mecze[[#This Row],[BR]]/Mecze[[#This Row],[ST]],0)</f>
        <v>0</v>
      </c>
      <c r="AB1523">
        <f>ROUND(Mecze[[#This Row],[PD]]*Mecze[[#This Row],[%PC]],0)</f>
        <v>2</v>
      </c>
      <c r="AC1523">
        <f>ROUND(Mecze[[#This Row],[OD]]*Mecze[[#This Row],[%OU]],0)</f>
        <v>1</v>
      </c>
      <c r="AD1523" s="36" t="s">
        <v>299</v>
      </c>
      <c r="AE1523" s="36">
        <v>83</v>
      </c>
      <c r="AF1523" s="71">
        <v>7.25</v>
      </c>
      <c r="AG1523" s="37">
        <v>0</v>
      </c>
      <c r="AH1523" s="37">
        <v>0</v>
      </c>
      <c r="AI1523" s="37">
        <v>97</v>
      </c>
      <c r="AJ1523" s="37">
        <v>1</v>
      </c>
      <c r="AK1523" s="37" t="str">
        <f>VLOOKUP(Mecze[[#This Row],[Match ID]],Meczusie[Mecz]:Meczusie[RodzajMeczu],2,FALSE)</f>
        <v>Liga</v>
      </c>
    </row>
    <row r="1524" spans="1:37" x14ac:dyDescent="0.25">
      <c r="A1524" s="76">
        <v>14</v>
      </c>
      <c r="B1524" s="3" t="s">
        <v>164</v>
      </c>
      <c r="C1524" s="2" t="s">
        <v>165</v>
      </c>
      <c r="D1524" s="1">
        <v>1</v>
      </c>
      <c r="E1524" s="1">
        <v>4</v>
      </c>
      <c r="F1524" s="1">
        <v>4</v>
      </c>
      <c r="G1524" s="1">
        <v>7</v>
      </c>
      <c r="H1524" s="4">
        <v>0.71</v>
      </c>
      <c r="I1524" s="1">
        <v>1</v>
      </c>
      <c r="J1524" s="4">
        <v>1</v>
      </c>
      <c r="K1524" s="1">
        <v>0</v>
      </c>
      <c r="L1524" s="1">
        <v>0</v>
      </c>
      <c r="M1524" s="32">
        <f>IF(Mecze[[#This Row],[PR]]=0,0,Mecze[[#This Row],[PR]]/Mecze[[#This Row],[CZAS]])</f>
        <v>0</v>
      </c>
      <c r="N1524" s="32">
        <f>IF(Mecze[[#This Row],[OU]]=0,0,Mecze[[#This Row],[OU]]/Mecze[[#This Row],[CZAS]])</f>
        <v>1.0309278350515464E-2</v>
      </c>
      <c r="O1524" s="32">
        <f>IF(Mecze[[#This Row],[PC]]=0,0,Mecze[[#This Row],[PC]]/Mecze[[#This Row],[CZAS]])</f>
        <v>5.1546391752577317E-2</v>
      </c>
      <c r="P1524" s="32">
        <f>IF(Mecze[[#This Row],[SC]]=0,0,Mecze[[#This Row],[SC]]/Mecze[[#This Row],[CZAS]])</f>
        <v>4.1237113402061855E-2</v>
      </c>
      <c r="Q1524" s="32">
        <f>IF(Mecze[[#This Row],[OB]]=0,0,Mecze[[#This Row],[OB]]/Mecze[[#This Row],[CZAS]])</f>
        <v>0</v>
      </c>
      <c r="R1524" s="32">
        <f>IF(Mecze[[#This Row],[BR]]=0,0,Mecze[[#This Row],[BR]]/Mecze[[#This Row],[CZAS]])</f>
        <v>1.0309278350515464E-2</v>
      </c>
      <c r="S1524" s="44">
        <f>IF(Mecze[[#This Row],[Role]]="BR",SUMPRODUCT(Mecze[[#This Row],[/PR:90]:[/BR:90]],Brudnopis!$E$23:$J$23),0)</f>
        <v>0</v>
      </c>
      <c r="T1524" s="44">
        <f>IF(Mecze[[#This Row],[Role]]&lt;&gt;"BR",SUMPRODUCT(Mecze[[#This Row],[/PR:90]:[/BR:90]],Brudnopis!$E$24:$J$24),0)</f>
        <v>0.12371134020618557</v>
      </c>
      <c r="U1524" s="44">
        <f>IF(Mecze[[#This Row],[Role]]&lt;&gt;"BR",SUMPRODUCT(Mecze[[#This Row],[/PR:90]:[/BR:90]],Brudnopis!$E$25:$J$25),0)</f>
        <v>0.14432989690721651</v>
      </c>
      <c r="V1524" s="44">
        <f>IF(Mecze[[#This Row],[Role]]&lt;&gt;"BR",SUMPRODUCT(Mecze[[#This Row],[/PR:90]:[/BR:90]],Brudnopis!$E$26:$J$26),0)</f>
        <v>0.12371134020618556</v>
      </c>
      <c r="W1524" s="44">
        <f>IF(Mecze[[#This Row],[Role]]&lt;&gt;"BR",SUMPRODUCT(Mecze[[#This Row],[/PR:90]:[/BR:90]],Brudnopis!$E$27:$J$27),0)</f>
        <v>0.14690721649484537</v>
      </c>
      <c r="X1524" s="44">
        <f>IF(Mecze[[#This Row],[Role]]&lt;&gt;"BR",SUMPRODUCT(Mecze[[#This Row],[/PR:90]:[/BR:90]],Brudnopis!$E$28:$J$28),0)</f>
        <v>0.16494845360824742</v>
      </c>
      <c r="Y1524" s="35">
        <f>IF(Mecze[[#This Row],[Role]]="BR",Mecze[[#This Row],[/OB:90]]+Mecze[[#This Row],[/PC:90]],SUM(Mecze[[#This Row],[/PR:90]:[/BR:90]]))</f>
        <v>0.1134020618556701</v>
      </c>
      <c r="Z1524" s="35">
        <f>IF(Mecze[[#This Row],[KC]]=0,SUM(Mecze[[#This Row],[/BRI]:[/NPI]]),SUM(Mecze[[#This Row],[/BRI]:[/NPI]])*0.6)</f>
        <v>0.70360824742268047</v>
      </c>
      <c r="AA1524" s="10">
        <f>IFERROR(Mecze[[#This Row],[BR]]/Mecze[[#This Row],[ST]],0)</f>
        <v>0.25</v>
      </c>
      <c r="AB1524">
        <f>ROUND(Mecze[[#This Row],[PD]]*Mecze[[#This Row],[%PC]],0)</f>
        <v>5</v>
      </c>
      <c r="AC1524">
        <f>ROUND(Mecze[[#This Row],[OD]]*Mecze[[#This Row],[%OU]],0)</f>
        <v>1</v>
      </c>
      <c r="AD1524" s="36" t="s">
        <v>46</v>
      </c>
      <c r="AE1524" s="36">
        <v>83</v>
      </c>
      <c r="AF1524" s="71">
        <v>8.44</v>
      </c>
      <c r="AG1524" s="37">
        <v>0</v>
      </c>
      <c r="AH1524" s="37">
        <v>0</v>
      </c>
      <c r="AI1524" s="37">
        <v>97</v>
      </c>
      <c r="AJ1524" s="37">
        <v>1</v>
      </c>
      <c r="AK1524" s="37" t="str">
        <f>VLOOKUP(Mecze[[#This Row],[Match ID]],Meczusie[Mecz]:Meczusie[RodzajMeczu],2,FALSE)</f>
        <v>Liga</v>
      </c>
    </row>
    <row r="1525" spans="1:37" x14ac:dyDescent="0.25">
      <c r="A1525" s="76">
        <v>9</v>
      </c>
      <c r="B1525" s="3" t="s">
        <v>411</v>
      </c>
      <c r="C1525" s="2" t="s">
        <v>165</v>
      </c>
      <c r="D1525" s="1">
        <v>0</v>
      </c>
      <c r="E1525" s="1">
        <v>0</v>
      </c>
      <c r="F1525" s="1">
        <v>0</v>
      </c>
      <c r="G1525" s="1">
        <v>6</v>
      </c>
      <c r="H1525" s="4">
        <v>0</v>
      </c>
      <c r="I1525" s="1">
        <v>3</v>
      </c>
      <c r="J1525" s="4">
        <v>0</v>
      </c>
      <c r="K1525" s="1">
        <v>0</v>
      </c>
      <c r="L1525" s="1">
        <v>0</v>
      </c>
      <c r="M1525" s="32">
        <f>IF(Mecze[[#This Row],[PR]]=0,0,Mecze[[#This Row],[PR]]/Mecze[[#This Row],[CZAS]])</f>
        <v>0</v>
      </c>
      <c r="N1525" s="32">
        <f>IF(Mecze[[#This Row],[OU]]=0,0,Mecze[[#This Row],[OU]]/Mecze[[#This Row],[CZAS]])</f>
        <v>0</v>
      </c>
      <c r="O1525" s="32">
        <f>IF(Mecze[[#This Row],[PC]]=0,0,Mecze[[#This Row],[PC]]/Mecze[[#This Row],[CZAS]])</f>
        <v>0</v>
      </c>
      <c r="P1525" s="32">
        <f>IF(Mecze[[#This Row],[SC]]=0,0,Mecze[[#This Row],[SC]]/Mecze[[#This Row],[CZAS]])</f>
        <v>0</v>
      </c>
      <c r="Q1525" s="32">
        <f>IF(Mecze[[#This Row],[OB]]=0,0,Mecze[[#This Row],[OB]]/Mecze[[#This Row],[CZAS]])</f>
        <v>0</v>
      </c>
      <c r="R1525" s="32">
        <f>IF(Mecze[[#This Row],[BR]]=0,0,Mecze[[#This Row],[BR]]/Mecze[[#This Row],[CZAS]])</f>
        <v>0</v>
      </c>
      <c r="S1525" s="44">
        <f>IF(Mecze[[#This Row],[Role]]="BR",SUMPRODUCT(Mecze[[#This Row],[/PR:90]:[/BR:90]],Brudnopis!$E$23:$J$23),0)</f>
        <v>0</v>
      </c>
      <c r="T1525" s="44">
        <f>IF(Mecze[[#This Row],[Role]]&lt;&gt;"BR",SUMPRODUCT(Mecze[[#This Row],[/PR:90]:[/BR:90]],Brudnopis!$E$24:$J$24),0)</f>
        <v>0</v>
      </c>
      <c r="U1525" s="44">
        <f>IF(Mecze[[#This Row],[Role]]&lt;&gt;"BR",SUMPRODUCT(Mecze[[#This Row],[/PR:90]:[/BR:90]],Brudnopis!$E$25:$J$25),0)</f>
        <v>0</v>
      </c>
      <c r="V1525" s="44">
        <f>IF(Mecze[[#This Row],[Role]]&lt;&gt;"BR",SUMPRODUCT(Mecze[[#This Row],[/PR:90]:[/BR:90]],Brudnopis!$E$26:$J$26),0)</f>
        <v>0</v>
      </c>
      <c r="W1525" s="44">
        <f>IF(Mecze[[#This Row],[Role]]&lt;&gt;"BR",SUMPRODUCT(Mecze[[#This Row],[/PR:90]:[/BR:90]],Brudnopis!$E$27:$J$27),0)</f>
        <v>0</v>
      </c>
      <c r="X1525" s="44">
        <f>IF(Mecze[[#This Row],[Role]]&lt;&gt;"BR",SUMPRODUCT(Mecze[[#This Row],[/PR:90]:[/BR:90]],Brudnopis!$E$28:$J$28),0)</f>
        <v>0</v>
      </c>
      <c r="Y1525" s="35">
        <f>IF(Mecze[[#This Row],[Role]]="BR",Mecze[[#This Row],[/OB:90]]+Mecze[[#This Row],[/PC:90]],SUM(Mecze[[#This Row],[/PR:90]:[/BR:90]]))</f>
        <v>0</v>
      </c>
      <c r="Z1525" s="35">
        <f>IF(Mecze[[#This Row],[KC]]=0,SUM(Mecze[[#This Row],[/BRI]:[/NPI]]),SUM(Mecze[[#This Row],[/BRI]:[/NPI]])*0.6)</f>
        <v>0</v>
      </c>
      <c r="AA1525" s="10">
        <f>IFERROR(Mecze[[#This Row],[BR]]/Mecze[[#This Row],[ST]],0)</f>
        <v>0</v>
      </c>
      <c r="AB1525">
        <f>ROUND(Mecze[[#This Row],[PD]]*Mecze[[#This Row],[%PC]],0)</f>
        <v>0</v>
      </c>
      <c r="AC1525">
        <f>ROUND(Mecze[[#This Row],[OD]]*Mecze[[#This Row],[%OU]],0)</f>
        <v>0</v>
      </c>
      <c r="AD1525" s="36" t="s">
        <v>272</v>
      </c>
      <c r="AE1525" s="36">
        <v>83</v>
      </c>
      <c r="AF1525" s="71">
        <v>3.93</v>
      </c>
      <c r="AG1525" s="37">
        <v>0</v>
      </c>
      <c r="AH1525" s="37">
        <v>0</v>
      </c>
      <c r="AI1525" s="37">
        <v>97</v>
      </c>
      <c r="AJ1525" s="37">
        <v>1</v>
      </c>
      <c r="AK1525" s="37" t="str">
        <f>VLOOKUP(Mecze[[#This Row],[Match ID]],Meczusie[Mecz]:Meczusie[RodzajMeczu],2,FALSE)</f>
        <v>Liga</v>
      </c>
    </row>
    <row r="1526" spans="1:37" x14ac:dyDescent="0.25">
      <c r="A1526" s="76">
        <v>19</v>
      </c>
      <c r="B1526" s="3" t="s">
        <v>166</v>
      </c>
      <c r="C1526" s="2" t="s">
        <v>165</v>
      </c>
      <c r="D1526" s="1">
        <v>0</v>
      </c>
      <c r="E1526" s="1">
        <v>0</v>
      </c>
      <c r="F1526" s="1">
        <v>0</v>
      </c>
      <c r="G1526" s="1">
        <v>4</v>
      </c>
      <c r="H1526" s="4">
        <v>0.75</v>
      </c>
      <c r="I1526" s="1">
        <v>3</v>
      </c>
      <c r="J1526" s="4">
        <v>0</v>
      </c>
      <c r="K1526" s="1">
        <v>0</v>
      </c>
      <c r="L1526" s="1">
        <v>0</v>
      </c>
      <c r="M1526" s="32">
        <f>IF(Mecze[[#This Row],[PR]]=0,0,Mecze[[#This Row],[PR]]/Mecze[[#This Row],[CZAS]])</f>
        <v>0</v>
      </c>
      <c r="N1526" s="32">
        <f>IF(Mecze[[#This Row],[OU]]=0,0,Mecze[[#This Row],[OU]]/Mecze[[#This Row],[CZAS]])</f>
        <v>0</v>
      </c>
      <c r="O1526" s="32">
        <f>IF(Mecze[[#This Row],[PC]]=0,0,Mecze[[#This Row],[PC]]/Mecze[[#This Row],[CZAS]])</f>
        <v>3.0927835051546393E-2</v>
      </c>
      <c r="P1526" s="32">
        <f>IF(Mecze[[#This Row],[SC]]=0,0,Mecze[[#This Row],[SC]]/Mecze[[#This Row],[CZAS]])</f>
        <v>0</v>
      </c>
      <c r="Q1526" s="32">
        <f>IF(Mecze[[#This Row],[OB]]=0,0,Mecze[[#This Row],[OB]]/Mecze[[#This Row],[CZAS]])</f>
        <v>0</v>
      </c>
      <c r="R1526" s="32">
        <f>IF(Mecze[[#This Row],[BR]]=0,0,Mecze[[#This Row],[BR]]/Mecze[[#This Row],[CZAS]])</f>
        <v>0</v>
      </c>
      <c r="S1526" s="44">
        <f>IF(Mecze[[#This Row],[Role]]="BR",SUMPRODUCT(Mecze[[#This Row],[/PR:90]:[/BR:90]],Brudnopis!$E$23:$J$23),0)</f>
        <v>0</v>
      </c>
      <c r="T1526" s="44">
        <f>IF(Mecze[[#This Row],[Role]]&lt;&gt;"BR",SUMPRODUCT(Mecze[[#This Row],[/PR:90]:[/BR:90]],Brudnopis!$E$24:$J$24),0)</f>
        <v>3.0927835051546393E-2</v>
      </c>
      <c r="U1526" s="44">
        <f>IF(Mecze[[#This Row],[Role]]&lt;&gt;"BR",SUMPRODUCT(Mecze[[#This Row],[/PR:90]:[/BR:90]],Brudnopis!$E$25:$J$25),0)</f>
        <v>4.6391752577319589E-2</v>
      </c>
      <c r="V1526" s="44">
        <f>IF(Mecze[[#This Row],[Role]]&lt;&gt;"BR",SUMPRODUCT(Mecze[[#This Row],[/PR:90]:[/BR:90]],Brudnopis!$E$26:$J$26),0)</f>
        <v>3.0927835051546393E-2</v>
      </c>
      <c r="W1526" s="44">
        <f>IF(Mecze[[#This Row],[Role]]&lt;&gt;"BR",SUMPRODUCT(Mecze[[#This Row],[/PR:90]:[/BR:90]],Brudnopis!$E$27:$J$27),0)</f>
        <v>4.6391752577319589E-2</v>
      </c>
      <c r="X1526" s="44">
        <f>IF(Mecze[[#This Row],[Role]]&lt;&gt;"BR",SUMPRODUCT(Mecze[[#This Row],[/PR:90]:[/BR:90]],Brudnopis!$E$28:$J$28),0)</f>
        <v>3.0927835051546393E-2</v>
      </c>
      <c r="Y1526" s="35">
        <f>IF(Mecze[[#This Row],[Role]]="BR",Mecze[[#This Row],[/OB:90]]+Mecze[[#This Row],[/PC:90]],SUM(Mecze[[#This Row],[/PR:90]:[/BR:90]]))</f>
        <v>3.0927835051546393E-2</v>
      </c>
      <c r="Z1526" s="35">
        <f>IF(Mecze[[#This Row],[KC]]=0,SUM(Mecze[[#This Row],[/BRI]:[/NPI]]),SUM(Mecze[[#This Row],[/BRI]:[/NPI]])*0.6)</f>
        <v>0.18556701030927836</v>
      </c>
      <c r="AA1526" s="10">
        <f>IFERROR(Mecze[[#This Row],[BR]]/Mecze[[#This Row],[ST]],0)</f>
        <v>0</v>
      </c>
      <c r="AB1526">
        <f>ROUND(Mecze[[#This Row],[PD]]*Mecze[[#This Row],[%PC]],0)</f>
        <v>3</v>
      </c>
      <c r="AC1526">
        <f>ROUND(Mecze[[#This Row],[OD]]*Mecze[[#This Row],[%OU]],0)</f>
        <v>0</v>
      </c>
      <c r="AD1526" s="36" t="s">
        <v>273</v>
      </c>
      <c r="AE1526" s="36">
        <v>83</v>
      </c>
      <c r="AF1526" s="71">
        <v>3.93</v>
      </c>
      <c r="AG1526" s="37">
        <v>0</v>
      </c>
      <c r="AH1526" s="37">
        <v>0</v>
      </c>
      <c r="AI1526" s="37">
        <v>97</v>
      </c>
      <c r="AJ1526" s="37">
        <v>1</v>
      </c>
      <c r="AK1526" s="37" t="str">
        <f>VLOOKUP(Mecze[[#This Row],[Match ID]],Meczusie[Mecz]:Meczusie[RodzajMeczu],2,FALSE)</f>
        <v>Liga</v>
      </c>
    </row>
    <row r="1527" spans="1:37" x14ac:dyDescent="0.25">
      <c r="A1527" s="76">
        <v>102</v>
      </c>
      <c r="B1527" s="3" t="s">
        <v>417</v>
      </c>
      <c r="C1527" s="2" t="s">
        <v>155</v>
      </c>
      <c r="D1527" s="1">
        <v>0</v>
      </c>
      <c r="E1527" s="1">
        <v>0</v>
      </c>
      <c r="F1527" s="1">
        <v>0</v>
      </c>
      <c r="G1527" s="1">
        <v>5</v>
      </c>
      <c r="H1527" s="4">
        <v>0.4</v>
      </c>
      <c r="I1527" s="1">
        <v>0</v>
      </c>
      <c r="J1527" s="4"/>
      <c r="K1527" s="1">
        <v>6</v>
      </c>
      <c r="L1527" s="1">
        <v>0</v>
      </c>
      <c r="M1527" s="32">
        <f>IF(Mecze[[#This Row],[PR]]=0,0,Mecze[[#This Row],[PR]]/Mecze[[#This Row],[CZAS]])</f>
        <v>0</v>
      </c>
      <c r="N1527" s="32">
        <f>IF(Mecze[[#This Row],[OU]]=0,0,Mecze[[#This Row],[OU]]/Mecze[[#This Row],[CZAS]])</f>
        <v>0</v>
      </c>
      <c r="O1527" s="32">
        <f>IF(Mecze[[#This Row],[PC]]=0,0,Mecze[[#This Row],[PC]]/Mecze[[#This Row],[CZAS]])</f>
        <v>2.0618556701030927E-2</v>
      </c>
      <c r="P1527" s="32">
        <f>IF(Mecze[[#This Row],[SC]]=0,0,Mecze[[#This Row],[SC]]/Mecze[[#This Row],[CZAS]])</f>
        <v>0</v>
      </c>
      <c r="Q1527" s="32">
        <f>IF(Mecze[[#This Row],[OB]]=0,0,Mecze[[#This Row],[OB]]/Mecze[[#This Row],[CZAS]])</f>
        <v>6.1855670103092786E-2</v>
      </c>
      <c r="R1527" s="32">
        <f>IF(Mecze[[#This Row],[BR]]=0,0,Mecze[[#This Row],[BR]]/Mecze[[#This Row],[CZAS]])</f>
        <v>0</v>
      </c>
      <c r="S1527" s="44">
        <f>IF(Mecze[[#This Row],[Role]]="BR",SUMPRODUCT(Mecze[[#This Row],[/PR:90]:[/BR:90]],Brudnopis!$E$23:$J$23),0)</f>
        <v>0.24742268041237114</v>
      </c>
      <c r="T1527" s="44">
        <f>IF(Mecze[[#This Row],[Role]]&lt;&gt;"BR",SUMPRODUCT(Mecze[[#This Row],[/PR:90]:[/BR:90]],Brudnopis!$E$24:$J$24),0)</f>
        <v>0</v>
      </c>
      <c r="U1527" s="44">
        <f>IF(Mecze[[#This Row],[Role]]&lt;&gt;"BR",SUMPRODUCT(Mecze[[#This Row],[/PR:90]:[/BR:90]],Brudnopis!$E$25:$J$25),0)</f>
        <v>0</v>
      </c>
      <c r="V1527" s="44">
        <f>IF(Mecze[[#This Row],[Role]]&lt;&gt;"BR",SUMPRODUCT(Mecze[[#This Row],[/PR:90]:[/BR:90]],Brudnopis!$E$26:$J$26),0)</f>
        <v>0</v>
      </c>
      <c r="W1527" s="44">
        <f>IF(Mecze[[#This Row],[Role]]&lt;&gt;"BR",SUMPRODUCT(Mecze[[#This Row],[/PR:90]:[/BR:90]],Brudnopis!$E$27:$J$27),0)</f>
        <v>0</v>
      </c>
      <c r="X1527" s="44">
        <f>IF(Mecze[[#This Row],[Role]]&lt;&gt;"BR",SUMPRODUCT(Mecze[[#This Row],[/PR:90]:[/BR:90]],Brudnopis!$E$28:$J$28),0)</f>
        <v>0</v>
      </c>
      <c r="Y1527" s="35">
        <f>IF(Mecze[[#This Row],[Role]]="BR",Mecze[[#This Row],[/OB:90]]+Mecze[[#This Row],[/PC:90]],SUM(Mecze[[#This Row],[/PR:90]:[/BR:90]]))</f>
        <v>8.247422680412371E-2</v>
      </c>
      <c r="Z1527" s="35">
        <f>IF(Mecze[[#This Row],[KC]]=0,SUM(Mecze[[#This Row],[/BRI]:[/NPI]]),SUM(Mecze[[#This Row],[/BRI]:[/NPI]])*0.6)</f>
        <v>0.24742268041237114</v>
      </c>
      <c r="AA1527" s="10">
        <f>IFERROR(Mecze[[#This Row],[BR]]/Mecze[[#This Row],[ST]],0)</f>
        <v>0</v>
      </c>
      <c r="AB1527">
        <f>ROUND(Mecze[[#This Row],[PD]]*Mecze[[#This Row],[%PC]],0)</f>
        <v>2</v>
      </c>
      <c r="AC1527">
        <f>ROUND(Mecze[[#This Row],[OD]]*Mecze[[#This Row],[%OU]],0)</f>
        <v>0</v>
      </c>
      <c r="AD1527" s="36" t="s">
        <v>40</v>
      </c>
      <c r="AE1527" s="36">
        <v>83</v>
      </c>
      <c r="AF1527" s="71">
        <v>4.8</v>
      </c>
      <c r="AG1527" s="37">
        <v>0</v>
      </c>
      <c r="AH1527" s="37">
        <v>0</v>
      </c>
      <c r="AI1527" s="37">
        <v>97</v>
      </c>
      <c r="AJ1527" s="37">
        <v>6</v>
      </c>
      <c r="AK1527" s="37" t="str">
        <f>VLOOKUP(Mecze[[#This Row],[Match ID]],Meczusie[Mecz]:Meczusie[RodzajMeczu],2,FALSE)</f>
        <v>Liga</v>
      </c>
    </row>
    <row r="1528" spans="1:37" x14ac:dyDescent="0.25">
      <c r="A1528" s="76">
        <v>101</v>
      </c>
      <c r="B1528" s="3" t="s">
        <v>248</v>
      </c>
      <c r="C1528" s="2" t="s">
        <v>157</v>
      </c>
      <c r="D1528" s="1">
        <v>0</v>
      </c>
      <c r="E1528" s="1">
        <v>0</v>
      </c>
      <c r="F1528" s="1">
        <v>0</v>
      </c>
      <c r="G1528" s="1">
        <v>7</v>
      </c>
      <c r="H1528" s="4">
        <v>0.56999999999999995</v>
      </c>
      <c r="I1528" s="1">
        <v>8</v>
      </c>
      <c r="J1528" s="4">
        <v>0.25</v>
      </c>
      <c r="K1528" s="1">
        <v>0</v>
      </c>
      <c r="L1528" s="1">
        <v>1</v>
      </c>
      <c r="M1528" s="32">
        <f>IF(Mecze[[#This Row],[PR]]=0,0,Mecze[[#This Row],[PR]]/Mecze[[#This Row],[CZAS]])</f>
        <v>1.0309278350515464E-2</v>
      </c>
      <c r="N1528" s="32">
        <f>IF(Mecze[[#This Row],[OU]]=0,0,Mecze[[#This Row],[OU]]/Mecze[[#This Row],[CZAS]])</f>
        <v>2.0618556701030927E-2</v>
      </c>
      <c r="O1528" s="32">
        <f>IF(Mecze[[#This Row],[PC]]=0,0,Mecze[[#This Row],[PC]]/Mecze[[#This Row],[CZAS]])</f>
        <v>4.1237113402061855E-2</v>
      </c>
      <c r="P1528" s="32">
        <f>IF(Mecze[[#This Row],[SC]]=0,0,Mecze[[#This Row],[SC]]/Mecze[[#This Row],[CZAS]])</f>
        <v>0</v>
      </c>
      <c r="Q1528" s="32">
        <f>IF(Mecze[[#This Row],[OB]]=0,0,Mecze[[#This Row],[OB]]/Mecze[[#This Row],[CZAS]])</f>
        <v>0</v>
      </c>
      <c r="R1528" s="32">
        <f>IF(Mecze[[#This Row],[BR]]=0,0,Mecze[[#This Row],[BR]]/Mecze[[#This Row],[CZAS]])</f>
        <v>0</v>
      </c>
      <c r="S1528" s="44">
        <f>IF(Mecze[[#This Row],[Role]]="BR",SUMPRODUCT(Mecze[[#This Row],[/PR:90]:[/BR:90]],Brudnopis!$E$23:$J$23),0)</f>
        <v>0</v>
      </c>
      <c r="T1528" s="44">
        <f>IF(Mecze[[#This Row],[Role]]&lt;&gt;"BR",SUMPRODUCT(Mecze[[#This Row],[/PR:90]:[/BR:90]],Brudnopis!$E$24:$J$24),0)</f>
        <v>8.247422680412371E-2</v>
      </c>
      <c r="U1528" s="44">
        <f>IF(Mecze[[#This Row],[Role]]&lt;&gt;"BR",SUMPRODUCT(Mecze[[#This Row],[/PR:90]:[/BR:90]],Brudnopis!$E$25:$J$25),0)</f>
        <v>9.2783505154639179E-2</v>
      </c>
      <c r="V1528" s="44">
        <f>IF(Mecze[[#This Row],[Role]]&lt;&gt;"BR",SUMPRODUCT(Mecze[[#This Row],[/PR:90]:[/BR:90]],Brudnopis!$E$26:$J$26),0)</f>
        <v>7.2164948453608241E-2</v>
      </c>
      <c r="W1528" s="44">
        <f>IF(Mecze[[#This Row],[Role]]&lt;&gt;"BR",SUMPRODUCT(Mecze[[#This Row],[/PR:90]:[/BR:90]],Brudnopis!$E$27:$J$27),0)</f>
        <v>8.505154639175258E-2</v>
      </c>
      <c r="X1528" s="44">
        <f>IF(Mecze[[#This Row],[Role]]&lt;&gt;"BR",SUMPRODUCT(Mecze[[#This Row],[/PR:90]:[/BR:90]],Brudnopis!$E$28:$J$28),0)</f>
        <v>4.1237113402061855E-2</v>
      </c>
      <c r="Y1528" s="35">
        <f>IF(Mecze[[#This Row],[Role]]="BR",Mecze[[#This Row],[/OB:90]]+Mecze[[#This Row],[/PC:90]],SUM(Mecze[[#This Row],[/PR:90]:[/BR:90]]))</f>
        <v>7.2164948453608241E-2</v>
      </c>
      <c r="Z1528" s="35">
        <f>IF(Mecze[[#This Row],[KC]]=0,SUM(Mecze[[#This Row],[/BRI]:[/NPI]]),SUM(Mecze[[#This Row],[/BRI]:[/NPI]])*0.6)</f>
        <v>0.37371134020618557</v>
      </c>
      <c r="AA1528" s="10">
        <f>IFERROR(Mecze[[#This Row],[BR]]/Mecze[[#This Row],[ST]],0)</f>
        <v>0</v>
      </c>
      <c r="AB1528">
        <f>ROUND(Mecze[[#This Row],[PD]]*Mecze[[#This Row],[%PC]],0)</f>
        <v>4</v>
      </c>
      <c r="AC1528">
        <f>ROUND(Mecze[[#This Row],[OD]]*Mecze[[#This Row],[%OU]],0)</f>
        <v>2</v>
      </c>
      <c r="AD1528" s="36" t="s">
        <v>47</v>
      </c>
      <c r="AE1528" s="36">
        <v>83</v>
      </c>
      <c r="AF1528" s="71">
        <v>2.91</v>
      </c>
      <c r="AG1528" s="37">
        <v>0</v>
      </c>
      <c r="AH1528" s="37">
        <v>0</v>
      </c>
      <c r="AI1528" s="37">
        <v>97</v>
      </c>
      <c r="AJ1528" s="37">
        <v>6</v>
      </c>
      <c r="AK1528" s="37" t="str">
        <f>VLOOKUP(Mecze[[#This Row],[Match ID]],Meczusie[Mecz]:Meczusie[RodzajMeczu],2,FALSE)</f>
        <v>Liga</v>
      </c>
    </row>
    <row r="1529" spans="1:37" x14ac:dyDescent="0.25">
      <c r="A1529" s="76">
        <v>2</v>
      </c>
      <c r="B1529" s="3" t="s">
        <v>249</v>
      </c>
      <c r="C1529" s="2" t="s">
        <v>157</v>
      </c>
      <c r="D1529" s="1">
        <v>0</v>
      </c>
      <c r="E1529" s="1">
        <v>0</v>
      </c>
      <c r="F1529" s="1">
        <v>0</v>
      </c>
      <c r="G1529" s="1">
        <v>12</v>
      </c>
      <c r="H1529" s="4">
        <v>0.92</v>
      </c>
      <c r="I1529" s="1">
        <v>2</v>
      </c>
      <c r="J1529" s="4">
        <v>1</v>
      </c>
      <c r="K1529" s="1">
        <v>0</v>
      </c>
      <c r="L1529" s="1">
        <v>12</v>
      </c>
      <c r="M1529" s="32">
        <f>IF(Mecze[[#This Row],[PR]]=0,0,Mecze[[#This Row],[PR]]/Mecze[[#This Row],[CZAS]])</f>
        <v>0.13793103448275862</v>
      </c>
      <c r="N1529" s="32">
        <f>IF(Mecze[[#This Row],[OU]]=0,0,Mecze[[#This Row],[OU]]/Mecze[[#This Row],[CZAS]])</f>
        <v>2.2988505747126436E-2</v>
      </c>
      <c r="O1529" s="32">
        <f>IF(Mecze[[#This Row],[PC]]=0,0,Mecze[[#This Row],[PC]]/Mecze[[#This Row],[CZAS]])</f>
        <v>0.12643678160919541</v>
      </c>
      <c r="P1529" s="32">
        <f>IF(Mecze[[#This Row],[SC]]=0,0,Mecze[[#This Row],[SC]]/Mecze[[#This Row],[CZAS]])</f>
        <v>0</v>
      </c>
      <c r="Q1529" s="32">
        <f>IF(Mecze[[#This Row],[OB]]=0,0,Mecze[[#This Row],[OB]]/Mecze[[#This Row],[CZAS]])</f>
        <v>0</v>
      </c>
      <c r="R1529" s="32">
        <f>IF(Mecze[[#This Row],[BR]]=0,0,Mecze[[#This Row],[BR]]/Mecze[[#This Row],[CZAS]])</f>
        <v>0</v>
      </c>
      <c r="S1529" s="44">
        <f>IF(Mecze[[#This Row],[Role]]="BR",SUMPRODUCT(Mecze[[#This Row],[/PR:90]:[/BR:90]],Brudnopis!$E$23:$J$23),0)</f>
        <v>0</v>
      </c>
      <c r="T1529" s="44">
        <f>IF(Mecze[[#This Row],[Role]]&lt;&gt;"BR",SUMPRODUCT(Mecze[[#This Row],[/PR:90]:[/BR:90]],Brudnopis!$E$24:$J$24),0)</f>
        <v>0.2988505747126437</v>
      </c>
      <c r="U1529" s="44">
        <f>IF(Mecze[[#This Row],[Role]]&lt;&gt;"BR",SUMPRODUCT(Mecze[[#This Row],[/PR:90]:[/BR:90]],Brudnopis!$E$25:$J$25),0)</f>
        <v>0.35057471264367818</v>
      </c>
      <c r="V1529" s="44">
        <f>IF(Mecze[[#This Row],[Role]]&lt;&gt;"BR",SUMPRODUCT(Mecze[[#This Row],[/PR:90]:[/BR:90]],Brudnopis!$E$26:$J$26),0)</f>
        <v>0.28735632183908044</v>
      </c>
      <c r="W1529" s="44">
        <f>IF(Mecze[[#This Row],[Role]]&lt;&gt;"BR",SUMPRODUCT(Mecze[[#This Row],[/PR:90]:[/BR:90]],Brudnopis!$E$27:$J$27),0)</f>
        <v>0.31034482758620691</v>
      </c>
      <c r="X1529" s="44">
        <f>IF(Mecze[[#This Row],[Role]]&lt;&gt;"BR",SUMPRODUCT(Mecze[[#This Row],[/PR:90]:[/BR:90]],Brudnopis!$E$28:$J$28),0)</f>
        <v>0.12643678160919541</v>
      </c>
      <c r="Y1529" s="35">
        <f>IF(Mecze[[#This Row],[Role]]="BR",Mecze[[#This Row],[/OB:90]]+Mecze[[#This Row],[/PC:90]],SUM(Mecze[[#This Row],[/PR:90]:[/BR:90]]))</f>
        <v>0.28735632183908044</v>
      </c>
      <c r="Z1529" s="35">
        <f>IF(Mecze[[#This Row],[KC]]=0,SUM(Mecze[[#This Row],[/BRI]:[/NPI]]),SUM(Mecze[[#This Row],[/BRI]:[/NPI]])*0.6)</f>
        <v>1.3735632183908046</v>
      </c>
      <c r="AA1529" s="10">
        <f>IFERROR(Mecze[[#This Row],[BR]]/Mecze[[#This Row],[ST]],0)</f>
        <v>0</v>
      </c>
      <c r="AB1529">
        <f>ROUND(Mecze[[#This Row],[PD]]*Mecze[[#This Row],[%PC]],0)</f>
        <v>11</v>
      </c>
      <c r="AC1529">
        <f>ROUND(Mecze[[#This Row],[OD]]*Mecze[[#This Row],[%OU]],0)</f>
        <v>2</v>
      </c>
      <c r="AD1529" s="36" t="s">
        <v>167</v>
      </c>
      <c r="AE1529" s="36">
        <v>83</v>
      </c>
      <c r="AF1529" s="71">
        <v>5.22</v>
      </c>
      <c r="AG1529" s="37">
        <v>0</v>
      </c>
      <c r="AH1529" s="37">
        <v>0</v>
      </c>
      <c r="AI1529" s="37">
        <v>87</v>
      </c>
      <c r="AJ1529" s="37">
        <v>6</v>
      </c>
      <c r="AK1529" s="37" t="str">
        <f>VLOOKUP(Mecze[[#This Row],[Match ID]],Meczusie[Mecz]:Meczusie[RodzajMeczu],2,FALSE)</f>
        <v>Liga</v>
      </c>
    </row>
    <row r="1530" spans="1:37" x14ac:dyDescent="0.25">
      <c r="A1530" s="76">
        <v>7</v>
      </c>
      <c r="B1530" s="3" t="s">
        <v>251</v>
      </c>
      <c r="C1530" s="2" t="s">
        <v>157</v>
      </c>
      <c r="D1530" s="1">
        <v>0</v>
      </c>
      <c r="E1530" s="1">
        <v>0</v>
      </c>
      <c r="F1530" s="1">
        <v>0</v>
      </c>
      <c r="G1530" s="1">
        <v>13</v>
      </c>
      <c r="H1530" s="4">
        <v>0.54</v>
      </c>
      <c r="I1530" s="1">
        <v>7</v>
      </c>
      <c r="J1530" s="4">
        <v>0.71</v>
      </c>
      <c r="K1530" s="1">
        <v>0</v>
      </c>
      <c r="L1530" s="1">
        <v>13</v>
      </c>
      <c r="M1530" s="32">
        <f>IF(Mecze[[#This Row],[PR]]=0,0,Mecze[[#This Row],[PR]]/Mecze[[#This Row],[CZAS]])</f>
        <v>0.13402061855670103</v>
      </c>
      <c r="N1530" s="32">
        <f>IF(Mecze[[#This Row],[OU]]=0,0,Mecze[[#This Row],[OU]]/Mecze[[#This Row],[CZAS]])</f>
        <v>5.1546391752577317E-2</v>
      </c>
      <c r="O1530" s="32">
        <f>IF(Mecze[[#This Row],[PC]]=0,0,Mecze[[#This Row],[PC]]/Mecze[[#This Row],[CZAS]])</f>
        <v>7.2164948453608241E-2</v>
      </c>
      <c r="P1530" s="32">
        <f>IF(Mecze[[#This Row],[SC]]=0,0,Mecze[[#This Row],[SC]]/Mecze[[#This Row],[CZAS]])</f>
        <v>0</v>
      </c>
      <c r="Q1530" s="32">
        <f>IF(Mecze[[#This Row],[OB]]=0,0,Mecze[[#This Row],[OB]]/Mecze[[#This Row],[CZAS]])</f>
        <v>0</v>
      </c>
      <c r="R1530" s="32">
        <f>IF(Mecze[[#This Row],[BR]]=0,0,Mecze[[#This Row],[BR]]/Mecze[[#This Row],[CZAS]])</f>
        <v>0</v>
      </c>
      <c r="S1530" s="44">
        <f>IF(Mecze[[#This Row],[Role]]="BR",SUMPRODUCT(Mecze[[#This Row],[/PR:90]:[/BR:90]],Brudnopis!$E$23:$J$23),0)</f>
        <v>0</v>
      </c>
      <c r="T1530" s="44">
        <f>IF(Mecze[[#This Row],[Role]]&lt;&gt;"BR",SUMPRODUCT(Mecze[[#This Row],[/PR:90]:[/BR:90]],Brudnopis!$E$24:$J$24),0)</f>
        <v>0.28350515463917525</v>
      </c>
      <c r="U1530" s="44">
        <f>IF(Mecze[[#This Row],[Role]]&lt;&gt;"BR",SUMPRODUCT(Mecze[[#This Row],[/PR:90]:[/BR:90]],Brudnopis!$E$25:$J$25),0)</f>
        <v>0.29381443298969073</v>
      </c>
      <c r="V1530" s="44">
        <f>IF(Mecze[[#This Row],[Role]]&lt;&gt;"BR",SUMPRODUCT(Mecze[[#This Row],[/PR:90]:[/BR:90]],Brudnopis!$E$26:$J$26),0)</f>
        <v>0.25773195876288657</v>
      </c>
      <c r="W1530" s="44">
        <f>IF(Mecze[[#This Row],[Role]]&lt;&gt;"BR",SUMPRODUCT(Mecze[[#This Row],[/PR:90]:[/BR:90]],Brudnopis!$E$27:$J$27),0)</f>
        <v>0.24742268041237114</v>
      </c>
      <c r="X1530" s="44">
        <f>IF(Mecze[[#This Row],[Role]]&lt;&gt;"BR",SUMPRODUCT(Mecze[[#This Row],[/PR:90]:[/BR:90]],Brudnopis!$E$28:$J$28),0)</f>
        <v>7.2164948453608241E-2</v>
      </c>
      <c r="Y1530" s="35">
        <f>IF(Mecze[[#This Row],[Role]]="BR",Mecze[[#This Row],[/OB:90]]+Mecze[[#This Row],[/PC:90]],SUM(Mecze[[#This Row],[/PR:90]:[/BR:90]]))</f>
        <v>0.25773195876288657</v>
      </c>
      <c r="Z1530" s="35">
        <f>IF(Mecze[[#This Row],[KC]]=0,SUM(Mecze[[#This Row],[/BRI]:[/NPI]]),SUM(Mecze[[#This Row],[/BRI]:[/NPI]])*0.6)</f>
        <v>1.1546391752577319</v>
      </c>
      <c r="AA1530" s="10">
        <f>IFERROR(Mecze[[#This Row],[BR]]/Mecze[[#This Row],[ST]],0)</f>
        <v>0</v>
      </c>
      <c r="AB1530">
        <f>ROUND(Mecze[[#This Row],[PD]]*Mecze[[#This Row],[%PC]],0)</f>
        <v>7</v>
      </c>
      <c r="AC1530">
        <f>ROUND(Mecze[[#This Row],[OD]]*Mecze[[#This Row],[%OU]],0)</f>
        <v>5</v>
      </c>
      <c r="AD1530" s="36" t="s">
        <v>168</v>
      </c>
      <c r="AE1530" s="36">
        <v>83</v>
      </c>
      <c r="AF1530" s="71">
        <v>6.55</v>
      </c>
      <c r="AG1530" s="37">
        <v>0</v>
      </c>
      <c r="AH1530" s="37">
        <v>0</v>
      </c>
      <c r="AI1530" s="37">
        <v>97</v>
      </c>
      <c r="AJ1530" s="37">
        <v>6</v>
      </c>
      <c r="AK1530" s="37" t="str">
        <f>VLOOKUP(Mecze[[#This Row],[Match ID]],Meczusie[Mecz]:Meczusie[RodzajMeczu],2,FALSE)</f>
        <v>Liga</v>
      </c>
    </row>
    <row r="1531" spans="1:37" x14ac:dyDescent="0.25">
      <c r="A1531" s="76">
        <v>8</v>
      </c>
      <c r="B1531" s="3" t="s">
        <v>254</v>
      </c>
      <c r="C1531" s="2" t="s">
        <v>160</v>
      </c>
      <c r="D1531" s="1">
        <v>0</v>
      </c>
      <c r="E1531" s="1">
        <v>0</v>
      </c>
      <c r="F1531" s="1">
        <v>0</v>
      </c>
      <c r="G1531" s="1">
        <v>22</v>
      </c>
      <c r="H1531" s="4">
        <v>0.68</v>
      </c>
      <c r="I1531" s="1">
        <v>8</v>
      </c>
      <c r="J1531" s="4">
        <v>0.38</v>
      </c>
      <c r="K1531" s="1">
        <v>0</v>
      </c>
      <c r="L1531" s="1">
        <v>8</v>
      </c>
      <c r="M1531" s="32">
        <f>IF(Mecze[[#This Row],[PR]]=0,0,Mecze[[#This Row],[PR]]/Mecze[[#This Row],[CZAS]])</f>
        <v>8.247422680412371E-2</v>
      </c>
      <c r="N1531" s="32">
        <f>IF(Mecze[[#This Row],[OU]]=0,0,Mecze[[#This Row],[OU]]/Mecze[[#This Row],[CZAS]])</f>
        <v>3.0927835051546393E-2</v>
      </c>
      <c r="O1531" s="32">
        <f>IF(Mecze[[#This Row],[PC]]=0,0,Mecze[[#This Row],[PC]]/Mecze[[#This Row],[CZAS]])</f>
        <v>0.15463917525773196</v>
      </c>
      <c r="P1531" s="32">
        <f>IF(Mecze[[#This Row],[SC]]=0,0,Mecze[[#This Row],[SC]]/Mecze[[#This Row],[CZAS]])</f>
        <v>0</v>
      </c>
      <c r="Q1531" s="32">
        <f>IF(Mecze[[#This Row],[OB]]=0,0,Mecze[[#This Row],[OB]]/Mecze[[#This Row],[CZAS]])</f>
        <v>0</v>
      </c>
      <c r="R1531" s="32">
        <f>IF(Mecze[[#This Row],[BR]]=0,0,Mecze[[#This Row],[BR]]/Mecze[[#This Row],[CZAS]])</f>
        <v>0</v>
      </c>
      <c r="S1531" s="44">
        <f>IF(Mecze[[#This Row],[Role]]="BR",SUMPRODUCT(Mecze[[#This Row],[/PR:90]:[/BR:90]],Brudnopis!$E$23:$J$23),0)</f>
        <v>0</v>
      </c>
      <c r="T1531" s="44">
        <f>IF(Mecze[[#This Row],[Role]]&lt;&gt;"BR",SUMPRODUCT(Mecze[[#This Row],[/PR:90]:[/BR:90]],Brudnopis!$E$24:$J$24),0)</f>
        <v>0.28350515463917525</v>
      </c>
      <c r="U1531" s="44">
        <f>IF(Mecze[[#This Row],[Role]]&lt;&gt;"BR",SUMPRODUCT(Mecze[[#This Row],[/PR:90]:[/BR:90]],Brudnopis!$E$25:$J$25),0)</f>
        <v>0.34536082474226804</v>
      </c>
      <c r="V1531" s="44">
        <f>IF(Mecze[[#This Row],[Role]]&lt;&gt;"BR",SUMPRODUCT(Mecze[[#This Row],[/PR:90]:[/BR:90]],Brudnopis!$E$26:$J$26),0)</f>
        <v>0.26804123711340205</v>
      </c>
      <c r="W1531" s="44">
        <f>IF(Mecze[[#This Row],[Role]]&lt;&gt;"BR",SUMPRODUCT(Mecze[[#This Row],[/PR:90]:[/BR:90]],Brudnopis!$E$27:$J$27),0)</f>
        <v>0.3170103092783505</v>
      </c>
      <c r="X1531" s="44">
        <f>IF(Mecze[[#This Row],[Role]]&lt;&gt;"BR",SUMPRODUCT(Mecze[[#This Row],[/PR:90]:[/BR:90]],Brudnopis!$E$28:$J$28),0)</f>
        <v>0.15463917525773196</v>
      </c>
      <c r="Y1531" s="35">
        <f>IF(Mecze[[#This Row],[Role]]="BR",Mecze[[#This Row],[/OB:90]]+Mecze[[#This Row],[/PC:90]],SUM(Mecze[[#This Row],[/PR:90]:[/BR:90]]))</f>
        <v>0.26804123711340205</v>
      </c>
      <c r="Z1531" s="35">
        <f>IF(Mecze[[#This Row],[KC]]=0,SUM(Mecze[[#This Row],[/BRI]:[/NPI]]),SUM(Mecze[[#This Row],[/BRI]:[/NPI]])*0.6)</f>
        <v>1.3685567010309279</v>
      </c>
      <c r="AA1531" s="10">
        <f>IFERROR(Mecze[[#This Row],[BR]]/Mecze[[#This Row],[ST]],0)</f>
        <v>0</v>
      </c>
      <c r="AB1531">
        <f>ROUND(Mecze[[#This Row],[PD]]*Mecze[[#This Row],[%PC]],0)</f>
        <v>15</v>
      </c>
      <c r="AC1531">
        <f>ROUND(Mecze[[#This Row],[OD]]*Mecze[[#This Row],[%OU]],0)</f>
        <v>3</v>
      </c>
      <c r="AD1531" s="36" t="s">
        <v>41</v>
      </c>
      <c r="AE1531" s="36">
        <v>83</v>
      </c>
      <c r="AF1531" s="71">
        <v>5.59</v>
      </c>
      <c r="AG1531" s="37">
        <v>0</v>
      </c>
      <c r="AH1531" s="37">
        <v>0</v>
      </c>
      <c r="AI1531" s="37">
        <v>97</v>
      </c>
      <c r="AJ1531" s="37">
        <v>6</v>
      </c>
      <c r="AK1531" s="37" t="str">
        <f>VLOOKUP(Mecze[[#This Row],[Match ID]],Meczusie[Mecz]:Meczusie[RodzajMeczu],2,FALSE)</f>
        <v>Liga</v>
      </c>
    </row>
    <row r="1532" spans="1:37" x14ac:dyDescent="0.25">
      <c r="A1532" s="76">
        <v>10</v>
      </c>
      <c r="B1532" s="3" t="s">
        <v>252</v>
      </c>
      <c r="C1532" s="2" t="s">
        <v>160</v>
      </c>
      <c r="D1532" s="1">
        <v>0</v>
      </c>
      <c r="E1532" s="1">
        <v>1</v>
      </c>
      <c r="F1532" s="1">
        <v>1</v>
      </c>
      <c r="G1532" s="1">
        <v>5</v>
      </c>
      <c r="H1532" s="4">
        <v>0.4</v>
      </c>
      <c r="I1532" s="1">
        <v>1</v>
      </c>
      <c r="J1532" s="4">
        <v>1</v>
      </c>
      <c r="K1532" s="1">
        <v>0</v>
      </c>
      <c r="L1532" s="1">
        <v>1</v>
      </c>
      <c r="M1532" s="32">
        <f>IF(Mecze[[#This Row],[PR]]=0,0,Mecze[[#This Row],[PR]]/Mecze[[#This Row],[CZAS]])</f>
        <v>1.4084507042253521E-2</v>
      </c>
      <c r="N1532" s="32">
        <f>IF(Mecze[[#This Row],[OU]]=0,0,Mecze[[#This Row],[OU]]/Mecze[[#This Row],[CZAS]])</f>
        <v>1.4084507042253521E-2</v>
      </c>
      <c r="O1532" s="32">
        <f>IF(Mecze[[#This Row],[PC]]=0,0,Mecze[[#This Row],[PC]]/Mecze[[#This Row],[CZAS]])</f>
        <v>2.8169014084507043E-2</v>
      </c>
      <c r="P1532" s="32">
        <f>IF(Mecze[[#This Row],[SC]]=0,0,Mecze[[#This Row],[SC]]/Mecze[[#This Row],[CZAS]])</f>
        <v>1.4084507042253521E-2</v>
      </c>
      <c r="Q1532" s="32">
        <f>IF(Mecze[[#This Row],[OB]]=0,0,Mecze[[#This Row],[OB]]/Mecze[[#This Row],[CZAS]])</f>
        <v>0</v>
      </c>
      <c r="R1532" s="32">
        <f>IF(Mecze[[#This Row],[BR]]=0,0,Mecze[[#This Row],[BR]]/Mecze[[#This Row],[CZAS]])</f>
        <v>0</v>
      </c>
      <c r="S1532" s="44">
        <f>IF(Mecze[[#This Row],[Role]]="BR",SUMPRODUCT(Mecze[[#This Row],[/PR:90]:[/BR:90]],Brudnopis!$E$23:$J$23),0)</f>
        <v>0</v>
      </c>
      <c r="T1532" s="44">
        <f>IF(Mecze[[#This Row],[Role]]&lt;&gt;"BR",SUMPRODUCT(Mecze[[#This Row],[/PR:90]:[/BR:90]],Brudnopis!$E$24:$J$24),0)</f>
        <v>7.746478873239436E-2</v>
      </c>
      <c r="U1532" s="44">
        <f>IF(Mecze[[#This Row],[Role]]&lt;&gt;"BR",SUMPRODUCT(Mecze[[#This Row],[/PR:90]:[/BR:90]],Brudnopis!$E$25:$J$25),0)</f>
        <v>8.4507042253521125E-2</v>
      </c>
      <c r="V1532" s="44">
        <f>IF(Mecze[[#This Row],[Role]]&lt;&gt;"BR",SUMPRODUCT(Mecze[[#This Row],[/PR:90]:[/BR:90]],Brudnopis!$E$26:$J$26),0)</f>
        <v>7.0422535211267609E-2</v>
      </c>
      <c r="W1532" s="44">
        <f>IF(Mecze[[#This Row],[Role]]&lt;&gt;"BR",SUMPRODUCT(Mecze[[#This Row],[/PR:90]:[/BR:90]],Brudnopis!$E$27:$J$27),0)</f>
        <v>7.746478873239436E-2</v>
      </c>
      <c r="X1532" s="44">
        <f>IF(Mecze[[#This Row],[Role]]&lt;&gt;"BR",SUMPRODUCT(Mecze[[#This Row],[/PR:90]:[/BR:90]],Brudnopis!$E$28:$J$28),0)</f>
        <v>5.6338028169014086E-2</v>
      </c>
      <c r="Y1532" s="35">
        <f>IF(Mecze[[#This Row],[Role]]="BR",Mecze[[#This Row],[/OB:90]]+Mecze[[#This Row],[/PC:90]],SUM(Mecze[[#This Row],[/PR:90]:[/BR:90]]))</f>
        <v>7.0422535211267609E-2</v>
      </c>
      <c r="Z1532" s="35">
        <f>IF(Mecze[[#This Row],[KC]]=0,SUM(Mecze[[#This Row],[/BRI]:[/NPI]]),SUM(Mecze[[#This Row],[/BRI]:[/NPI]])*0.6)</f>
        <v>0.36619718309859156</v>
      </c>
      <c r="AA1532" s="10">
        <f>IFERROR(Mecze[[#This Row],[BR]]/Mecze[[#This Row],[ST]],0)</f>
        <v>0</v>
      </c>
      <c r="AB1532">
        <f>ROUND(Mecze[[#This Row],[PD]]*Mecze[[#This Row],[%PC]],0)</f>
        <v>2</v>
      </c>
      <c r="AC1532">
        <f>ROUND(Mecze[[#This Row],[OD]]*Mecze[[#This Row],[%OU]],0)</f>
        <v>1</v>
      </c>
      <c r="AD1532" s="36" t="s">
        <v>318</v>
      </c>
      <c r="AE1532" s="36">
        <v>83</v>
      </c>
      <c r="AF1532" s="71">
        <v>3.14</v>
      </c>
      <c r="AG1532" s="37">
        <v>0</v>
      </c>
      <c r="AH1532" s="37">
        <v>0</v>
      </c>
      <c r="AI1532" s="37">
        <v>71</v>
      </c>
      <c r="AJ1532" s="37">
        <v>6</v>
      </c>
      <c r="AK1532" s="37" t="str">
        <f>VLOOKUP(Mecze[[#This Row],[Match ID]],Meczusie[Mecz]:Meczusie[RodzajMeczu],2,FALSE)</f>
        <v>Liga</v>
      </c>
    </row>
    <row r="1533" spans="1:37" x14ac:dyDescent="0.25">
      <c r="A1533" s="76">
        <v>11</v>
      </c>
      <c r="B1533" s="3" t="s">
        <v>250</v>
      </c>
      <c r="C1533" s="2" t="s">
        <v>160</v>
      </c>
      <c r="D1533" s="1">
        <v>0</v>
      </c>
      <c r="E1533" s="1">
        <v>1</v>
      </c>
      <c r="F1533" s="1">
        <v>0</v>
      </c>
      <c r="G1533" s="1">
        <v>9</v>
      </c>
      <c r="H1533" s="4">
        <v>0.56000000000000005</v>
      </c>
      <c r="I1533" s="1">
        <v>3</v>
      </c>
      <c r="J1533" s="4">
        <v>0.67</v>
      </c>
      <c r="K1533" s="1">
        <v>0</v>
      </c>
      <c r="L1533" s="1">
        <v>6</v>
      </c>
      <c r="M1533" s="32">
        <f>IF(Mecze[[#This Row],[PR]]=0,0,Mecze[[#This Row],[PR]]/Mecze[[#This Row],[CZAS]])</f>
        <v>6.1855670103092786E-2</v>
      </c>
      <c r="N1533" s="32">
        <f>IF(Mecze[[#This Row],[OU]]=0,0,Mecze[[#This Row],[OU]]/Mecze[[#This Row],[CZAS]])</f>
        <v>2.0618556701030927E-2</v>
      </c>
      <c r="O1533" s="32">
        <f>IF(Mecze[[#This Row],[PC]]=0,0,Mecze[[#This Row],[PC]]/Mecze[[#This Row],[CZAS]])</f>
        <v>5.1546391752577317E-2</v>
      </c>
      <c r="P1533" s="32">
        <f>IF(Mecze[[#This Row],[SC]]=0,0,Mecze[[#This Row],[SC]]/Mecze[[#This Row],[CZAS]])</f>
        <v>0</v>
      </c>
      <c r="Q1533" s="32">
        <f>IF(Mecze[[#This Row],[OB]]=0,0,Mecze[[#This Row],[OB]]/Mecze[[#This Row],[CZAS]])</f>
        <v>0</v>
      </c>
      <c r="R1533" s="32">
        <f>IF(Mecze[[#This Row],[BR]]=0,0,Mecze[[#This Row],[BR]]/Mecze[[#This Row],[CZAS]])</f>
        <v>0</v>
      </c>
      <c r="S1533" s="44">
        <f>IF(Mecze[[#This Row],[Role]]="BR",SUMPRODUCT(Mecze[[#This Row],[/PR:90]:[/BR:90]],Brudnopis!$E$23:$J$23),0)</f>
        <v>0</v>
      </c>
      <c r="T1533" s="44">
        <f>IF(Mecze[[#This Row],[Role]]&lt;&gt;"BR",SUMPRODUCT(Mecze[[#This Row],[/PR:90]:[/BR:90]],Brudnopis!$E$24:$J$24),0)</f>
        <v>0.14432989690721648</v>
      </c>
      <c r="U1533" s="44">
        <f>IF(Mecze[[#This Row],[Role]]&lt;&gt;"BR",SUMPRODUCT(Mecze[[#This Row],[/PR:90]:[/BR:90]],Brudnopis!$E$25:$J$25),0)</f>
        <v>0.15979381443298968</v>
      </c>
      <c r="V1533" s="44">
        <f>IF(Mecze[[#This Row],[Role]]&lt;&gt;"BR",SUMPRODUCT(Mecze[[#This Row],[/PR:90]:[/BR:90]],Brudnopis!$E$26:$J$26),0)</f>
        <v>0.13402061855670103</v>
      </c>
      <c r="W1533" s="44">
        <f>IF(Mecze[[#This Row],[Role]]&lt;&gt;"BR",SUMPRODUCT(Mecze[[#This Row],[/PR:90]:[/BR:90]],Brudnopis!$E$27:$J$27),0)</f>
        <v>0.13917525773195877</v>
      </c>
      <c r="X1533" s="44">
        <f>IF(Mecze[[#This Row],[Role]]&lt;&gt;"BR",SUMPRODUCT(Mecze[[#This Row],[/PR:90]:[/BR:90]],Brudnopis!$E$28:$J$28),0)</f>
        <v>5.1546391752577317E-2</v>
      </c>
      <c r="Y1533" s="35">
        <f>IF(Mecze[[#This Row],[Role]]="BR",Mecze[[#This Row],[/OB:90]]+Mecze[[#This Row],[/PC:90]],SUM(Mecze[[#This Row],[/PR:90]:[/BR:90]]))</f>
        <v>0.13402061855670103</v>
      </c>
      <c r="Z1533" s="35">
        <f>IF(Mecze[[#This Row],[KC]]=0,SUM(Mecze[[#This Row],[/BRI]:[/NPI]]),SUM(Mecze[[#This Row],[/BRI]:[/NPI]])*0.6)</f>
        <v>0.62886597938144329</v>
      </c>
      <c r="AA1533" s="10">
        <f>IFERROR(Mecze[[#This Row],[BR]]/Mecze[[#This Row],[ST]],0)</f>
        <v>0</v>
      </c>
      <c r="AB1533">
        <f>ROUND(Mecze[[#This Row],[PD]]*Mecze[[#This Row],[%PC]],0)</f>
        <v>5</v>
      </c>
      <c r="AC1533">
        <f>ROUND(Mecze[[#This Row],[OD]]*Mecze[[#This Row],[%OU]],0)</f>
        <v>2</v>
      </c>
      <c r="AD1533" s="36" t="s">
        <v>319</v>
      </c>
      <c r="AE1533" s="36">
        <v>83</v>
      </c>
      <c r="AF1533" s="71">
        <v>5.17</v>
      </c>
      <c r="AG1533" s="37">
        <v>0</v>
      </c>
      <c r="AH1533" s="37">
        <v>0</v>
      </c>
      <c r="AI1533" s="37">
        <v>97</v>
      </c>
      <c r="AJ1533" s="37">
        <v>6</v>
      </c>
      <c r="AK1533" s="37" t="str">
        <f>VLOOKUP(Mecze[[#This Row],[Match ID]],Meczusie[Mecz]:Meczusie[RodzajMeczu],2,FALSE)</f>
        <v>Liga</v>
      </c>
    </row>
    <row r="1534" spans="1:37" x14ac:dyDescent="0.25">
      <c r="A1534" s="76">
        <v>106</v>
      </c>
      <c r="B1534" s="3" t="s">
        <v>424</v>
      </c>
      <c r="C1534" s="2" t="s">
        <v>160</v>
      </c>
      <c r="D1534" s="1">
        <v>0</v>
      </c>
      <c r="E1534" s="1">
        <v>6</v>
      </c>
      <c r="F1534" s="1">
        <v>6</v>
      </c>
      <c r="G1534" s="1">
        <v>12</v>
      </c>
      <c r="H1534" s="4">
        <v>0.67</v>
      </c>
      <c r="I1534" s="1">
        <v>4</v>
      </c>
      <c r="J1534" s="4">
        <v>0.5</v>
      </c>
      <c r="K1534" s="1">
        <v>0</v>
      </c>
      <c r="L1534" s="1">
        <v>2</v>
      </c>
      <c r="M1534" s="32">
        <f>IF(Mecze[[#This Row],[PR]]=0,0,Mecze[[#This Row],[PR]]/Mecze[[#This Row],[CZAS]])</f>
        <v>2.0618556701030927E-2</v>
      </c>
      <c r="N1534" s="32">
        <f>IF(Mecze[[#This Row],[OU]]=0,0,Mecze[[#This Row],[OU]]/Mecze[[#This Row],[CZAS]])</f>
        <v>2.0618556701030927E-2</v>
      </c>
      <c r="O1534" s="32">
        <f>IF(Mecze[[#This Row],[PC]]=0,0,Mecze[[#This Row],[PC]]/Mecze[[#This Row],[CZAS]])</f>
        <v>8.247422680412371E-2</v>
      </c>
      <c r="P1534" s="32">
        <f>IF(Mecze[[#This Row],[SC]]=0,0,Mecze[[#This Row],[SC]]/Mecze[[#This Row],[CZAS]])</f>
        <v>6.1855670103092786E-2</v>
      </c>
      <c r="Q1534" s="32">
        <f>IF(Mecze[[#This Row],[OB]]=0,0,Mecze[[#This Row],[OB]]/Mecze[[#This Row],[CZAS]])</f>
        <v>0</v>
      </c>
      <c r="R1534" s="32">
        <f>IF(Mecze[[#This Row],[BR]]=0,0,Mecze[[#This Row],[BR]]/Mecze[[#This Row],[CZAS]])</f>
        <v>0</v>
      </c>
      <c r="S1534" s="44">
        <f>IF(Mecze[[#This Row],[Role]]="BR",SUMPRODUCT(Mecze[[#This Row],[/PR:90]:[/BR:90]],Brudnopis!$E$23:$J$23),0)</f>
        <v>0</v>
      </c>
      <c r="T1534" s="44">
        <f>IF(Mecze[[#This Row],[Role]]&lt;&gt;"BR",SUMPRODUCT(Mecze[[#This Row],[/PR:90]:[/BR:90]],Brudnopis!$E$24:$J$24),0)</f>
        <v>0.19587628865979381</v>
      </c>
      <c r="U1534" s="44">
        <f>IF(Mecze[[#This Row],[Role]]&lt;&gt;"BR",SUMPRODUCT(Mecze[[#This Row],[/PR:90]:[/BR:90]],Brudnopis!$E$25:$J$25),0)</f>
        <v>0.22680412371134021</v>
      </c>
      <c r="V1534" s="44">
        <f>IF(Mecze[[#This Row],[Role]]&lt;&gt;"BR",SUMPRODUCT(Mecze[[#This Row],[/PR:90]:[/BR:90]],Brudnopis!$E$26:$J$26),0)</f>
        <v>0.18556701030927836</v>
      </c>
      <c r="W1534" s="44">
        <f>IF(Mecze[[#This Row],[Role]]&lt;&gt;"BR",SUMPRODUCT(Mecze[[#This Row],[/PR:90]:[/BR:90]],Brudnopis!$E$27:$J$27),0)</f>
        <v>0.21649484536082475</v>
      </c>
      <c r="X1534" s="44">
        <f>IF(Mecze[[#This Row],[Role]]&lt;&gt;"BR",SUMPRODUCT(Mecze[[#This Row],[/PR:90]:[/BR:90]],Brudnopis!$E$28:$J$28),0)</f>
        <v>0.20618556701030927</v>
      </c>
      <c r="Y1534" s="35">
        <f>IF(Mecze[[#This Row],[Role]]="BR",Mecze[[#This Row],[/OB:90]]+Mecze[[#This Row],[/PC:90]],SUM(Mecze[[#This Row],[/PR:90]:[/BR:90]]))</f>
        <v>0.18556701030927836</v>
      </c>
      <c r="Z1534" s="35">
        <f>IF(Mecze[[#This Row],[KC]]=0,SUM(Mecze[[#This Row],[/BRI]:[/NPI]]),SUM(Mecze[[#This Row],[/BRI]:[/NPI]])*0.6)</f>
        <v>1.0309278350515465</v>
      </c>
      <c r="AA1534" s="10">
        <f>IFERROR(Mecze[[#This Row],[BR]]/Mecze[[#This Row],[ST]],0)</f>
        <v>0</v>
      </c>
      <c r="AB1534">
        <f>ROUND(Mecze[[#This Row],[PD]]*Mecze[[#This Row],[%PC]],0)</f>
        <v>8</v>
      </c>
      <c r="AC1534">
        <f>ROUND(Mecze[[#This Row],[OD]]*Mecze[[#This Row],[%OU]],0)</f>
        <v>2</v>
      </c>
      <c r="AD1534" s="36" t="s">
        <v>44</v>
      </c>
      <c r="AE1534" s="36">
        <v>83</v>
      </c>
      <c r="AF1534" s="71">
        <v>5.71</v>
      </c>
      <c r="AG1534" s="37">
        <v>0</v>
      </c>
      <c r="AH1534" s="37">
        <v>0</v>
      </c>
      <c r="AI1534" s="37">
        <v>97</v>
      </c>
      <c r="AJ1534" s="37">
        <v>6</v>
      </c>
      <c r="AK1534" s="37" t="str">
        <f>VLOOKUP(Mecze[[#This Row],[Match ID]],Meczusie[Mecz]:Meczusie[RodzajMeczu],2,FALSE)</f>
        <v>Liga</v>
      </c>
    </row>
    <row r="1535" spans="1:37" x14ac:dyDescent="0.25">
      <c r="A1535" s="76">
        <v>6</v>
      </c>
      <c r="B1535" s="3" t="s">
        <v>255</v>
      </c>
      <c r="C1535" s="2" t="s">
        <v>165</v>
      </c>
      <c r="D1535" s="1">
        <v>0</v>
      </c>
      <c r="E1535" s="1">
        <v>0</v>
      </c>
      <c r="F1535" s="1">
        <v>0</v>
      </c>
      <c r="G1535" s="1">
        <v>3</v>
      </c>
      <c r="H1535" s="4">
        <v>0.67</v>
      </c>
      <c r="I1535" s="1">
        <v>0</v>
      </c>
      <c r="J1535" s="4"/>
      <c r="K1535" s="1">
        <v>0</v>
      </c>
      <c r="L1535" s="1">
        <v>0</v>
      </c>
      <c r="M1535" s="32">
        <f>IF(Mecze[[#This Row],[PR]]=0,0,Mecze[[#This Row],[PR]]/Mecze[[#This Row],[CZAS]])</f>
        <v>0</v>
      </c>
      <c r="N1535" s="32">
        <f>IF(Mecze[[#This Row],[OU]]=0,0,Mecze[[#This Row],[OU]]/Mecze[[#This Row],[CZAS]])</f>
        <v>0</v>
      </c>
      <c r="O1535" s="32">
        <f>IF(Mecze[[#This Row],[PC]]=0,0,Mecze[[#This Row],[PC]]/Mecze[[#This Row],[CZAS]])</f>
        <v>2.0618556701030927E-2</v>
      </c>
      <c r="P1535" s="32">
        <f>IF(Mecze[[#This Row],[SC]]=0,0,Mecze[[#This Row],[SC]]/Mecze[[#This Row],[CZAS]])</f>
        <v>0</v>
      </c>
      <c r="Q1535" s="32">
        <f>IF(Mecze[[#This Row],[OB]]=0,0,Mecze[[#This Row],[OB]]/Mecze[[#This Row],[CZAS]])</f>
        <v>0</v>
      </c>
      <c r="R1535" s="32">
        <f>IF(Mecze[[#This Row],[BR]]=0,0,Mecze[[#This Row],[BR]]/Mecze[[#This Row],[CZAS]])</f>
        <v>0</v>
      </c>
      <c r="S1535" s="44">
        <f>IF(Mecze[[#This Row],[Role]]="BR",SUMPRODUCT(Mecze[[#This Row],[/PR:90]:[/BR:90]],Brudnopis!$E$23:$J$23),0)</f>
        <v>0</v>
      </c>
      <c r="T1535" s="44">
        <f>IF(Mecze[[#This Row],[Role]]&lt;&gt;"BR",SUMPRODUCT(Mecze[[#This Row],[/PR:90]:[/BR:90]],Brudnopis!$E$24:$J$24),0)</f>
        <v>2.0618556701030927E-2</v>
      </c>
      <c r="U1535" s="44">
        <f>IF(Mecze[[#This Row],[Role]]&lt;&gt;"BR",SUMPRODUCT(Mecze[[#This Row],[/PR:90]:[/BR:90]],Brudnopis!$E$25:$J$25),0)</f>
        <v>3.0927835051546393E-2</v>
      </c>
      <c r="V1535" s="44">
        <f>IF(Mecze[[#This Row],[Role]]&lt;&gt;"BR",SUMPRODUCT(Mecze[[#This Row],[/PR:90]:[/BR:90]],Brudnopis!$E$26:$J$26),0)</f>
        <v>2.0618556701030927E-2</v>
      </c>
      <c r="W1535" s="44">
        <f>IF(Mecze[[#This Row],[Role]]&lt;&gt;"BR",SUMPRODUCT(Mecze[[#This Row],[/PR:90]:[/BR:90]],Brudnopis!$E$27:$J$27),0)</f>
        <v>3.0927835051546393E-2</v>
      </c>
      <c r="X1535" s="44">
        <f>IF(Mecze[[#This Row],[Role]]&lt;&gt;"BR",SUMPRODUCT(Mecze[[#This Row],[/PR:90]:[/BR:90]],Brudnopis!$E$28:$J$28),0)</f>
        <v>2.0618556701030927E-2</v>
      </c>
      <c r="Y1535" s="35">
        <f>IF(Mecze[[#This Row],[Role]]="BR",Mecze[[#This Row],[/OB:90]]+Mecze[[#This Row],[/PC:90]],SUM(Mecze[[#This Row],[/PR:90]:[/BR:90]]))</f>
        <v>2.0618556701030927E-2</v>
      </c>
      <c r="Z1535" s="35">
        <f>IF(Mecze[[#This Row],[KC]]=0,SUM(Mecze[[#This Row],[/BRI]:[/NPI]]),SUM(Mecze[[#This Row],[/BRI]:[/NPI]])*0.6)</f>
        <v>0.12371134020618556</v>
      </c>
      <c r="AA1535" s="10">
        <f>IFERROR(Mecze[[#This Row],[BR]]/Mecze[[#This Row],[ST]],0)</f>
        <v>0</v>
      </c>
      <c r="AB1535">
        <f>ROUND(Mecze[[#This Row],[PD]]*Mecze[[#This Row],[%PC]],0)</f>
        <v>2</v>
      </c>
      <c r="AC1535">
        <f>ROUND(Mecze[[#This Row],[OD]]*Mecze[[#This Row],[%OU]],0)</f>
        <v>0</v>
      </c>
      <c r="AD1535" s="36" t="s">
        <v>232</v>
      </c>
      <c r="AE1535" s="36">
        <v>83</v>
      </c>
      <c r="AF1535" s="71">
        <v>2.71</v>
      </c>
      <c r="AG1535" s="37">
        <v>0</v>
      </c>
      <c r="AH1535" s="37">
        <v>0</v>
      </c>
      <c r="AI1535" s="37">
        <v>97</v>
      </c>
      <c r="AJ1535" s="37">
        <v>6</v>
      </c>
      <c r="AK1535" s="37" t="str">
        <f>VLOOKUP(Mecze[[#This Row],[Match ID]],Meczusie[Mecz]:Meczusie[RodzajMeczu],2,FALSE)</f>
        <v>Liga</v>
      </c>
    </row>
    <row r="1536" spans="1:37" x14ac:dyDescent="0.25">
      <c r="A1536" s="76">
        <v>5</v>
      </c>
      <c r="B1536" s="3" t="s">
        <v>256</v>
      </c>
      <c r="C1536" s="2" t="s">
        <v>165</v>
      </c>
      <c r="D1536" s="1">
        <v>0</v>
      </c>
      <c r="E1536" s="1">
        <v>6</v>
      </c>
      <c r="F1536" s="1">
        <v>6</v>
      </c>
      <c r="G1536" s="1">
        <v>9</v>
      </c>
      <c r="H1536" s="4">
        <v>0.89</v>
      </c>
      <c r="I1536" s="1">
        <v>5</v>
      </c>
      <c r="J1536" s="4">
        <v>0.6</v>
      </c>
      <c r="K1536" s="1">
        <v>0</v>
      </c>
      <c r="L1536" s="1">
        <v>3</v>
      </c>
      <c r="M1536" s="32">
        <f>IF(Mecze[[#This Row],[PR]]=0,0,Mecze[[#This Row],[PR]]/Mecze[[#This Row],[CZAS]])</f>
        <v>3.0927835051546393E-2</v>
      </c>
      <c r="N1536" s="32">
        <f>IF(Mecze[[#This Row],[OU]]=0,0,Mecze[[#This Row],[OU]]/Mecze[[#This Row],[CZAS]])</f>
        <v>3.0927835051546393E-2</v>
      </c>
      <c r="O1536" s="32">
        <f>IF(Mecze[[#This Row],[PC]]=0,0,Mecze[[#This Row],[PC]]/Mecze[[#This Row],[CZAS]])</f>
        <v>8.247422680412371E-2</v>
      </c>
      <c r="P1536" s="32">
        <f>IF(Mecze[[#This Row],[SC]]=0,0,Mecze[[#This Row],[SC]]/Mecze[[#This Row],[CZAS]])</f>
        <v>6.1855670103092786E-2</v>
      </c>
      <c r="Q1536" s="32">
        <f>IF(Mecze[[#This Row],[OB]]=0,0,Mecze[[#This Row],[OB]]/Mecze[[#This Row],[CZAS]])</f>
        <v>0</v>
      </c>
      <c r="R1536" s="32">
        <f>IF(Mecze[[#This Row],[BR]]=0,0,Mecze[[#This Row],[BR]]/Mecze[[#This Row],[CZAS]])</f>
        <v>0</v>
      </c>
      <c r="S1536" s="44">
        <f>IF(Mecze[[#This Row],[Role]]="BR",SUMPRODUCT(Mecze[[#This Row],[/PR:90]:[/BR:90]],Brudnopis!$E$23:$J$23),0)</f>
        <v>0</v>
      </c>
      <c r="T1536" s="44">
        <f>IF(Mecze[[#This Row],[Role]]&lt;&gt;"BR",SUMPRODUCT(Mecze[[#This Row],[/PR:90]:[/BR:90]],Brudnopis!$E$24:$J$24),0)</f>
        <v>0.22164948453608246</v>
      </c>
      <c r="U1536" s="44">
        <f>IF(Mecze[[#This Row],[Role]]&lt;&gt;"BR",SUMPRODUCT(Mecze[[#This Row],[/PR:90]:[/BR:90]],Brudnopis!$E$25:$J$25),0)</f>
        <v>0.24742268041237114</v>
      </c>
      <c r="V1536" s="44">
        <f>IF(Mecze[[#This Row],[Role]]&lt;&gt;"BR",SUMPRODUCT(Mecze[[#This Row],[/PR:90]:[/BR:90]],Brudnopis!$E$26:$J$26),0)</f>
        <v>0.20618556701030927</v>
      </c>
      <c r="W1536" s="44">
        <f>IF(Mecze[[#This Row],[Role]]&lt;&gt;"BR",SUMPRODUCT(Mecze[[#This Row],[/PR:90]:[/BR:90]],Brudnopis!$E$27:$J$27),0)</f>
        <v>0.23195876288659795</v>
      </c>
      <c r="X1536" s="44">
        <f>IF(Mecze[[#This Row],[Role]]&lt;&gt;"BR",SUMPRODUCT(Mecze[[#This Row],[/PR:90]:[/BR:90]],Brudnopis!$E$28:$J$28),0)</f>
        <v>0.20618556701030927</v>
      </c>
      <c r="Y1536" s="35">
        <f>IF(Mecze[[#This Row],[Role]]="BR",Mecze[[#This Row],[/OB:90]]+Mecze[[#This Row],[/PC:90]],SUM(Mecze[[#This Row],[/PR:90]:[/BR:90]]))</f>
        <v>0.20618556701030927</v>
      </c>
      <c r="Z1536" s="35">
        <f>IF(Mecze[[#This Row],[KC]]=0,SUM(Mecze[[#This Row],[/BRI]:[/NPI]]),SUM(Mecze[[#This Row],[/BRI]:[/NPI]])*0.6)</f>
        <v>1.1134020618556701</v>
      </c>
      <c r="AA1536" s="10">
        <f>IFERROR(Mecze[[#This Row],[BR]]/Mecze[[#This Row],[ST]],0)</f>
        <v>0</v>
      </c>
      <c r="AB1536">
        <f>ROUND(Mecze[[#This Row],[PD]]*Mecze[[#This Row],[%PC]],0)</f>
        <v>8</v>
      </c>
      <c r="AC1536">
        <f>ROUND(Mecze[[#This Row],[OD]]*Mecze[[#This Row],[%OU]],0)</f>
        <v>3</v>
      </c>
      <c r="AD1536" s="36" t="s">
        <v>46</v>
      </c>
      <c r="AE1536" s="36">
        <v>83</v>
      </c>
      <c r="AF1536" s="71">
        <v>6.28</v>
      </c>
      <c r="AG1536" s="37">
        <v>0</v>
      </c>
      <c r="AH1536" s="37">
        <v>0</v>
      </c>
      <c r="AI1536" s="37">
        <v>97</v>
      </c>
      <c r="AJ1536" s="37">
        <v>6</v>
      </c>
      <c r="AK1536" s="37" t="str">
        <f>VLOOKUP(Mecze[[#This Row],[Match ID]],Meczusie[Mecz]:Meczusie[RodzajMeczu],2,FALSE)</f>
        <v>Liga</v>
      </c>
    </row>
    <row r="1537" spans="1:37" x14ac:dyDescent="0.25">
      <c r="A1537" s="76">
        <v>100</v>
      </c>
      <c r="B1537" s="3" t="s">
        <v>257</v>
      </c>
      <c r="C1537" s="2" t="s">
        <v>165</v>
      </c>
      <c r="D1537" s="1">
        <v>0</v>
      </c>
      <c r="E1537" s="1">
        <v>3</v>
      </c>
      <c r="F1537" s="1">
        <v>3</v>
      </c>
      <c r="G1537" s="1">
        <v>11</v>
      </c>
      <c r="H1537" s="4">
        <v>0.82</v>
      </c>
      <c r="I1537" s="1">
        <v>7</v>
      </c>
      <c r="J1537" s="4">
        <v>0.43</v>
      </c>
      <c r="K1537" s="1">
        <v>0</v>
      </c>
      <c r="L1537" s="1">
        <v>1</v>
      </c>
      <c r="M1537" s="32">
        <f>IF(Mecze[[#This Row],[PR]]=0,0,Mecze[[#This Row],[PR]]/Mecze[[#This Row],[CZAS]])</f>
        <v>1.1363636363636364E-2</v>
      </c>
      <c r="N1537" s="32">
        <f>IF(Mecze[[#This Row],[OU]]=0,0,Mecze[[#This Row],[OU]]/Mecze[[#This Row],[CZAS]])</f>
        <v>3.4090909090909088E-2</v>
      </c>
      <c r="O1537" s="32">
        <f>IF(Mecze[[#This Row],[PC]]=0,0,Mecze[[#This Row],[PC]]/Mecze[[#This Row],[CZAS]])</f>
        <v>0.10227272727272728</v>
      </c>
      <c r="P1537" s="32">
        <f>IF(Mecze[[#This Row],[SC]]=0,0,Mecze[[#This Row],[SC]]/Mecze[[#This Row],[CZAS]])</f>
        <v>3.4090909090909088E-2</v>
      </c>
      <c r="Q1537" s="32">
        <f>IF(Mecze[[#This Row],[OB]]=0,0,Mecze[[#This Row],[OB]]/Mecze[[#This Row],[CZAS]])</f>
        <v>0</v>
      </c>
      <c r="R1537" s="32">
        <f>IF(Mecze[[#This Row],[BR]]=0,0,Mecze[[#This Row],[BR]]/Mecze[[#This Row],[CZAS]])</f>
        <v>0</v>
      </c>
      <c r="S1537" s="44">
        <f>IF(Mecze[[#This Row],[Role]]="BR",SUMPRODUCT(Mecze[[#This Row],[/PR:90]:[/BR:90]],Brudnopis!$E$23:$J$23),0)</f>
        <v>0</v>
      </c>
      <c r="T1537" s="44">
        <f>IF(Mecze[[#This Row],[Role]]&lt;&gt;"BR",SUMPRODUCT(Mecze[[#This Row],[/PR:90]:[/BR:90]],Brudnopis!$E$24:$J$24),0)</f>
        <v>0.19886363636363638</v>
      </c>
      <c r="U1537" s="44">
        <f>IF(Mecze[[#This Row],[Role]]&lt;&gt;"BR",SUMPRODUCT(Mecze[[#This Row],[/PR:90]:[/BR:90]],Brudnopis!$E$25:$J$25),0)</f>
        <v>0.23295454545454544</v>
      </c>
      <c r="V1537" s="44">
        <f>IF(Mecze[[#This Row],[Role]]&lt;&gt;"BR",SUMPRODUCT(Mecze[[#This Row],[/PR:90]:[/BR:90]],Brudnopis!$E$26:$J$26),0)</f>
        <v>0.18181818181818182</v>
      </c>
      <c r="W1537" s="44">
        <f>IF(Mecze[[#This Row],[Role]]&lt;&gt;"BR",SUMPRODUCT(Mecze[[#This Row],[/PR:90]:[/BR:90]],Brudnopis!$E$27:$J$27),0)</f>
        <v>0.22159090909090909</v>
      </c>
      <c r="X1537" s="44">
        <f>IF(Mecze[[#This Row],[Role]]&lt;&gt;"BR",SUMPRODUCT(Mecze[[#This Row],[/PR:90]:[/BR:90]],Brudnopis!$E$28:$J$28),0)</f>
        <v>0.17045454545454547</v>
      </c>
      <c r="Y1537" s="35">
        <f>IF(Mecze[[#This Row],[Role]]="BR",Mecze[[#This Row],[/OB:90]]+Mecze[[#This Row],[/PC:90]],SUM(Mecze[[#This Row],[/PR:90]:[/BR:90]]))</f>
        <v>0.18181818181818182</v>
      </c>
      <c r="Z1537" s="35">
        <f>IF(Mecze[[#This Row],[KC]]=0,SUM(Mecze[[#This Row],[/BRI]:[/NPI]]),SUM(Mecze[[#This Row],[/BRI]:[/NPI]])*0.6)</f>
        <v>1.0056818181818181</v>
      </c>
      <c r="AA1537" s="10">
        <f>IFERROR(Mecze[[#This Row],[BR]]/Mecze[[#This Row],[ST]],0)</f>
        <v>0</v>
      </c>
      <c r="AB1537">
        <f>ROUND(Mecze[[#This Row],[PD]]*Mecze[[#This Row],[%PC]],0)</f>
        <v>9</v>
      </c>
      <c r="AC1537">
        <f>ROUND(Mecze[[#This Row],[OD]]*Mecze[[#This Row],[%OU]],0)</f>
        <v>3</v>
      </c>
      <c r="AD1537" s="36" t="s">
        <v>46</v>
      </c>
      <c r="AE1537" s="36">
        <v>83</v>
      </c>
      <c r="AF1537" s="71">
        <v>5.62</v>
      </c>
      <c r="AG1537" s="37">
        <v>0</v>
      </c>
      <c r="AH1537" s="37">
        <v>0</v>
      </c>
      <c r="AI1537" s="37">
        <v>88</v>
      </c>
      <c r="AJ1537" s="37">
        <v>6</v>
      </c>
      <c r="AK1537" s="37" t="str">
        <f>VLOOKUP(Mecze[[#This Row],[Match ID]],Meczusie[Mecz]:Meczusie[RodzajMeczu],2,FALSE)</f>
        <v>Liga</v>
      </c>
    </row>
    <row r="1538" spans="1:37" x14ac:dyDescent="0.25">
      <c r="A1538" s="76">
        <v>20</v>
      </c>
      <c r="B1538" s="3" t="s">
        <v>391</v>
      </c>
      <c r="C1538" s="2" t="s">
        <v>165</v>
      </c>
      <c r="D1538" s="1">
        <v>0</v>
      </c>
      <c r="E1538" s="1">
        <v>0</v>
      </c>
      <c r="F1538" s="1">
        <v>0</v>
      </c>
      <c r="G1538" s="1">
        <v>0</v>
      </c>
      <c r="H1538" s="72"/>
      <c r="I1538" s="1">
        <v>0</v>
      </c>
      <c r="J1538" s="4"/>
      <c r="K1538" s="1">
        <v>0</v>
      </c>
      <c r="L1538" s="1">
        <v>0</v>
      </c>
      <c r="M1538" s="32">
        <f>IF(Mecze[[#This Row],[PR]]=0,0,Mecze[[#This Row],[PR]]/Mecze[[#This Row],[CZAS]])</f>
        <v>0</v>
      </c>
      <c r="N1538" s="32">
        <f>IF(Mecze[[#This Row],[OU]]=0,0,Mecze[[#This Row],[OU]]/Mecze[[#This Row],[CZAS]])</f>
        <v>0</v>
      </c>
      <c r="O1538" s="32">
        <f>IF(Mecze[[#This Row],[PC]]=0,0,Mecze[[#This Row],[PC]]/Mecze[[#This Row],[CZAS]])</f>
        <v>0</v>
      </c>
      <c r="P1538" s="32">
        <f>IF(Mecze[[#This Row],[SC]]=0,0,Mecze[[#This Row],[SC]]/Mecze[[#This Row],[CZAS]])</f>
        <v>0</v>
      </c>
      <c r="Q1538" s="32">
        <f>IF(Mecze[[#This Row],[OB]]=0,0,Mecze[[#This Row],[OB]]/Mecze[[#This Row],[CZAS]])</f>
        <v>0</v>
      </c>
      <c r="R1538" s="32">
        <f>IF(Mecze[[#This Row],[BR]]=0,0,Mecze[[#This Row],[BR]]/Mecze[[#This Row],[CZAS]])</f>
        <v>0</v>
      </c>
      <c r="S1538" s="44">
        <f>IF(Mecze[[#This Row],[Role]]="BR",SUMPRODUCT(Mecze[[#This Row],[/PR:90]:[/BR:90]],Brudnopis!$E$23:$J$23),0)</f>
        <v>0</v>
      </c>
      <c r="T1538" s="44">
        <f>IF(Mecze[[#This Row],[Role]]&lt;&gt;"BR",SUMPRODUCT(Mecze[[#This Row],[/PR:90]:[/BR:90]],Brudnopis!$E$24:$J$24),0)</f>
        <v>0</v>
      </c>
      <c r="U1538" s="44">
        <f>IF(Mecze[[#This Row],[Role]]&lt;&gt;"BR",SUMPRODUCT(Mecze[[#This Row],[/PR:90]:[/BR:90]],Brudnopis!$E$25:$J$25),0)</f>
        <v>0</v>
      </c>
      <c r="V1538" s="44">
        <f>IF(Mecze[[#This Row],[Role]]&lt;&gt;"BR",SUMPRODUCT(Mecze[[#This Row],[/PR:90]:[/BR:90]],Brudnopis!$E$26:$J$26),0)</f>
        <v>0</v>
      </c>
      <c r="W1538" s="44">
        <f>IF(Mecze[[#This Row],[Role]]&lt;&gt;"BR",SUMPRODUCT(Mecze[[#This Row],[/PR:90]:[/BR:90]],Brudnopis!$E$27:$J$27),0)</f>
        <v>0</v>
      </c>
      <c r="X1538" s="44">
        <f>IF(Mecze[[#This Row],[Role]]&lt;&gt;"BR",SUMPRODUCT(Mecze[[#This Row],[/PR:90]:[/BR:90]],Brudnopis!$E$28:$J$28),0)</f>
        <v>0</v>
      </c>
      <c r="Y1538" s="35">
        <f>IF(Mecze[[#This Row],[Role]]="BR",Mecze[[#This Row],[/OB:90]]+Mecze[[#This Row],[/PC:90]],SUM(Mecze[[#This Row],[/PR:90]:[/BR:90]]))</f>
        <v>0</v>
      </c>
      <c r="Z1538" s="35">
        <f>IF(Mecze[[#This Row],[KC]]=0,SUM(Mecze[[#This Row],[/BRI]:[/NPI]]),SUM(Mecze[[#This Row],[/BRI]:[/NPI]])*0.6)</f>
        <v>0</v>
      </c>
      <c r="AA1538" s="10">
        <f>IFERROR(Mecze[[#This Row],[BR]]/Mecze[[#This Row],[ST]],0)</f>
        <v>0</v>
      </c>
      <c r="AB1538">
        <f>ROUND(Mecze[[#This Row],[PD]]*Mecze[[#This Row],[%PC]],0)</f>
        <v>0</v>
      </c>
      <c r="AC1538">
        <f>ROUND(Mecze[[#This Row],[OD]]*Mecze[[#This Row],[%OU]],0)</f>
        <v>0</v>
      </c>
      <c r="AD1538" s="36" t="s">
        <v>46</v>
      </c>
      <c r="AE1538" s="36">
        <v>83</v>
      </c>
      <c r="AF1538" s="71">
        <v>0.5</v>
      </c>
      <c r="AG1538" s="37">
        <v>0</v>
      </c>
      <c r="AH1538" s="37">
        <v>0</v>
      </c>
      <c r="AI1538" s="37">
        <v>9</v>
      </c>
      <c r="AJ1538" s="37">
        <v>6</v>
      </c>
      <c r="AK1538" s="37" t="str">
        <f>VLOOKUP(Mecze[[#This Row],[Match ID]],Meczusie[Mecz]:Meczusie[RodzajMeczu],2,FALSE)</f>
        <v>Liga</v>
      </c>
    </row>
    <row r="1539" spans="1:37" x14ac:dyDescent="0.25">
      <c r="A1539" s="76">
        <v>105</v>
      </c>
      <c r="B1539" s="3" t="s">
        <v>423</v>
      </c>
      <c r="C1539" s="2" t="s">
        <v>157</v>
      </c>
      <c r="D1539" s="1">
        <v>0</v>
      </c>
      <c r="E1539" s="1">
        <v>0</v>
      </c>
      <c r="F1539" s="1">
        <v>0</v>
      </c>
      <c r="G1539" s="1">
        <v>3</v>
      </c>
      <c r="H1539" s="4">
        <v>0.33</v>
      </c>
      <c r="I1539" s="1">
        <v>1</v>
      </c>
      <c r="J1539" s="4">
        <v>1</v>
      </c>
      <c r="K1539" s="1">
        <v>0</v>
      </c>
      <c r="L1539" s="1">
        <v>1</v>
      </c>
      <c r="M1539" s="32">
        <f>IF(Mecze[[#This Row],[PR]]=0,0,Mecze[[#This Row],[PR]]/Mecze[[#This Row],[CZAS]])</f>
        <v>0.1</v>
      </c>
      <c r="N1539" s="32">
        <f>IF(Mecze[[#This Row],[OU]]=0,0,Mecze[[#This Row],[OU]]/Mecze[[#This Row],[CZAS]])</f>
        <v>0.1</v>
      </c>
      <c r="O1539" s="32">
        <f>IF(Mecze[[#This Row],[PC]]=0,0,Mecze[[#This Row],[PC]]/Mecze[[#This Row],[CZAS]])</f>
        <v>0.1</v>
      </c>
      <c r="P1539" s="32">
        <f>IF(Mecze[[#This Row],[SC]]=0,0,Mecze[[#This Row],[SC]]/Mecze[[#This Row],[CZAS]])</f>
        <v>0</v>
      </c>
      <c r="Q1539" s="32">
        <f>IF(Mecze[[#This Row],[OB]]=0,0,Mecze[[#This Row],[OB]]/Mecze[[#This Row],[CZAS]])</f>
        <v>0</v>
      </c>
      <c r="R1539" s="32">
        <f>IF(Mecze[[#This Row],[BR]]=0,0,Mecze[[#This Row],[BR]]/Mecze[[#This Row],[CZAS]])</f>
        <v>0</v>
      </c>
      <c r="S1539" s="44">
        <f>IF(Mecze[[#This Row],[Role]]="BR",SUMPRODUCT(Mecze[[#This Row],[/PR:90]:[/BR:90]],Brudnopis!$E$23:$J$23),0)</f>
        <v>0</v>
      </c>
      <c r="T1539" s="44">
        <f>IF(Mecze[[#This Row],[Role]]&lt;&gt;"BR",SUMPRODUCT(Mecze[[#This Row],[/PR:90]:[/BR:90]],Brudnopis!$E$24:$J$24),0)</f>
        <v>0.35</v>
      </c>
      <c r="U1539" s="44">
        <f>IF(Mecze[[#This Row],[Role]]&lt;&gt;"BR",SUMPRODUCT(Mecze[[#This Row],[/PR:90]:[/BR:90]],Brudnopis!$E$25:$J$25),0)</f>
        <v>0.35000000000000003</v>
      </c>
      <c r="V1539" s="44">
        <f>IF(Mecze[[#This Row],[Role]]&lt;&gt;"BR",SUMPRODUCT(Mecze[[#This Row],[/PR:90]:[/BR:90]],Brudnopis!$E$26:$J$26),0)</f>
        <v>0.30000000000000004</v>
      </c>
      <c r="W1539" s="44">
        <f>IF(Mecze[[#This Row],[Role]]&lt;&gt;"BR",SUMPRODUCT(Mecze[[#This Row],[/PR:90]:[/BR:90]],Brudnopis!$E$27:$J$27),0)</f>
        <v>0.30000000000000004</v>
      </c>
      <c r="X1539" s="44">
        <f>IF(Mecze[[#This Row],[Role]]&lt;&gt;"BR",SUMPRODUCT(Mecze[[#This Row],[/PR:90]:[/BR:90]],Brudnopis!$E$28:$J$28),0)</f>
        <v>0.1</v>
      </c>
      <c r="Y1539" s="35">
        <f>IF(Mecze[[#This Row],[Role]]="BR",Mecze[[#This Row],[/OB:90]]+Mecze[[#This Row],[/PC:90]],SUM(Mecze[[#This Row],[/PR:90]:[/BR:90]]))</f>
        <v>0.30000000000000004</v>
      </c>
      <c r="Z1539" s="35">
        <f>IF(Mecze[[#This Row],[KC]]=0,SUM(Mecze[[#This Row],[/BRI]:[/NPI]]),SUM(Mecze[[#This Row],[/BRI]:[/NPI]])*0.6)</f>
        <v>1.4000000000000001</v>
      </c>
      <c r="AA1539" s="10">
        <f>IFERROR(Mecze[[#This Row],[BR]]/Mecze[[#This Row],[ST]],0)</f>
        <v>0</v>
      </c>
      <c r="AB1539">
        <f>ROUND(Mecze[[#This Row],[PD]]*Mecze[[#This Row],[%PC]],0)</f>
        <v>1</v>
      </c>
      <c r="AC1539">
        <f>ROUND(Mecze[[#This Row],[OD]]*Mecze[[#This Row],[%OU]],0)</f>
        <v>1</v>
      </c>
      <c r="AD1539" s="36" t="s">
        <v>167</v>
      </c>
      <c r="AE1539" s="36">
        <v>83</v>
      </c>
      <c r="AF1539" s="71">
        <v>0.71</v>
      </c>
      <c r="AG1539" s="37">
        <v>0</v>
      </c>
      <c r="AH1539" s="37">
        <v>0</v>
      </c>
      <c r="AI1539" s="37">
        <v>10</v>
      </c>
      <c r="AJ1539" s="37">
        <v>6</v>
      </c>
      <c r="AK1539" s="37" t="str">
        <f>VLOOKUP(Mecze[[#This Row],[Match ID]],Meczusie[Mecz]:Meczusie[RodzajMeczu],2,FALSE)</f>
        <v>Liga</v>
      </c>
    </row>
    <row r="1540" spans="1:37" x14ac:dyDescent="0.25">
      <c r="A1540" s="76">
        <v>9</v>
      </c>
      <c r="B1540" s="3" t="s">
        <v>258</v>
      </c>
      <c r="C1540" s="2" t="s">
        <v>160</v>
      </c>
      <c r="D1540" s="1">
        <v>0</v>
      </c>
      <c r="E1540" s="1">
        <v>0</v>
      </c>
      <c r="F1540" s="1">
        <v>0</v>
      </c>
      <c r="G1540" s="1">
        <v>1</v>
      </c>
      <c r="H1540" s="4">
        <v>0</v>
      </c>
      <c r="I1540" s="1">
        <v>0</v>
      </c>
      <c r="J1540" s="4"/>
      <c r="K1540" s="1">
        <v>0</v>
      </c>
      <c r="L1540" s="1">
        <v>0</v>
      </c>
      <c r="M1540" s="32">
        <f>IF(Mecze[[#This Row],[PR]]=0,0,Mecze[[#This Row],[PR]]/Mecze[[#This Row],[CZAS]])</f>
        <v>0</v>
      </c>
      <c r="N1540" s="32">
        <f>IF(Mecze[[#This Row],[OU]]=0,0,Mecze[[#This Row],[OU]]/Mecze[[#This Row],[CZAS]])</f>
        <v>0</v>
      </c>
      <c r="O1540" s="32">
        <f>IF(Mecze[[#This Row],[PC]]=0,0,Mecze[[#This Row],[PC]]/Mecze[[#This Row],[CZAS]])</f>
        <v>0</v>
      </c>
      <c r="P1540" s="32">
        <f>IF(Mecze[[#This Row],[SC]]=0,0,Mecze[[#This Row],[SC]]/Mecze[[#This Row],[CZAS]])</f>
        <v>0</v>
      </c>
      <c r="Q1540" s="32">
        <f>IF(Mecze[[#This Row],[OB]]=0,0,Mecze[[#This Row],[OB]]/Mecze[[#This Row],[CZAS]])</f>
        <v>0</v>
      </c>
      <c r="R1540" s="32">
        <f>IF(Mecze[[#This Row],[BR]]=0,0,Mecze[[#This Row],[BR]]/Mecze[[#This Row],[CZAS]])</f>
        <v>0</v>
      </c>
      <c r="S1540" s="44">
        <f>IF(Mecze[[#This Row],[Role]]="BR",SUMPRODUCT(Mecze[[#This Row],[/PR:90]:[/BR:90]],Brudnopis!$E$23:$J$23),0)</f>
        <v>0</v>
      </c>
      <c r="T1540" s="44">
        <f>IF(Mecze[[#This Row],[Role]]&lt;&gt;"BR",SUMPRODUCT(Mecze[[#This Row],[/PR:90]:[/BR:90]],Brudnopis!$E$24:$J$24),0)</f>
        <v>0</v>
      </c>
      <c r="U1540" s="44">
        <f>IF(Mecze[[#This Row],[Role]]&lt;&gt;"BR",SUMPRODUCT(Mecze[[#This Row],[/PR:90]:[/BR:90]],Brudnopis!$E$25:$J$25),0)</f>
        <v>0</v>
      </c>
      <c r="V1540" s="44">
        <f>IF(Mecze[[#This Row],[Role]]&lt;&gt;"BR",SUMPRODUCT(Mecze[[#This Row],[/PR:90]:[/BR:90]],Brudnopis!$E$26:$J$26),0)</f>
        <v>0</v>
      </c>
      <c r="W1540" s="44">
        <f>IF(Mecze[[#This Row],[Role]]&lt;&gt;"BR",SUMPRODUCT(Mecze[[#This Row],[/PR:90]:[/BR:90]],Brudnopis!$E$27:$J$27),0)</f>
        <v>0</v>
      </c>
      <c r="X1540" s="44">
        <f>IF(Mecze[[#This Row],[Role]]&lt;&gt;"BR",SUMPRODUCT(Mecze[[#This Row],[/PR:90]:[/BR:90]],Brudnopis!$E$28:$J$28),0)</f>
        <v>0</v>
      </c>
      <c r="Y1540" s="35">
        <f>IF(Mecze[[#This Row],[Role]]="BR",Mecze[[#This Row],[/OB:90]]+Mecze[[#This Row],[/PC:90]],SUM(Mecze[[#This Row],[/PR:90]:[/BR:90]]))</f>
        <v>0</v>
      </c>
      <c r="Z1540" s="35">
        <f>IF(Mecze[[#This Row],[KC]]=0,SUM(Mecze[[#This Row],[/BRI]:[/NPI]]),SUM(Mecze[[#This Row],[/BRI]:[/NPI]])*0.6)</f>
        <v>0</v>
      </c>
      <c r="AA1540" s="10">
        <f>IFERROR(Mecze[[#This Row],[BR]]/Mecze[[#This Row],[ST]],0)</f>
        <v>0</v>
      </c>
      <c r="AB1540">
        <f>ROUND(Mecze[[#This Row],[PD]]*Mecze[[#This Row],[%PC]],0)</f>
        <v>0</v>
      </c>
      <c r="AC1540">
        <f>ROUND(Mecze[[#This Row],[OD]]*Mecze[[#This Row],[%OU]],0)</f>
        <v>0</v>
      </c>
      <c r="AD1540" s="36" t="s">
        <v>318</v>
      </c>
      <c r="AE1540" s="36">
        <v>83</v>
      </c>
      <c r="AF1540" s="71">
        <v>0.5</v>
      </c>
      <c r="AG1540" s="37">
        <v>0</v>
      </c>
      <c r="AH1540" s="37">
        <v>0</v>
      </c>
      <c r="AI1540" s="37">
        <v>26</v>
      </c>
      <c r="AJ1540" s="37">
        <v>6</v>
      </c>
      <c r="AK1540" s="37" t="str">
        <f>VLOOKUP(Mecze[[#This Row],[Match ID]],Meczusie[Mecz]:Meczusie[RodzajMeczu],2,FALSE)</f>
        <v>Liga</v>
      </c>
    </row>
    <row r="1541" spans="1:37" x14ac:dyDescent="0.25">
      <c r="A1541" s="76">
        <v>1</v>
      </c>
      <c r="B1541" s="3" t="s">
        <v>320</v>
      </c>
      <c r="C1541" s="2" t="s">
        <v>155</v>
      </c>
      <c r="D1541" s="1">
        <v>0</v>
      </c>
      <c r="E1541" s="1">
        <v>0</v>
      </c>
      <c r="F1541" s="1">
        <v>0</v>
      </c>
      <c r="G1541" s="1">
        <v>19</v>
      </c>
      <c r="H1541" s="4">
        <v>0.79</v>
      </c>
      <c r="I1541" s="1">
        <v>0</v>
      </c>
      <c r="J1541" s="4"/>
      <c r="K1541" s="1">
        <v>22</v>
      </c>
      <c r="L1541" s="1">
        <v>0</v>
      </c>
      <c r="M1541" s="32">
        <f>IF(Mecze[[#This Row],[PR]]=0,0,Mecze[[#This Row],[PR]]/Mecze[[#This Row],[CZAS]])</f>
        <v>0</v>
      </c>
      <c r="N1541" s="32">
        <f>IF(Mecze[[#This Row],[OU]]=0,0,Mecze[[#This Row],[OU]]/Mecze[[#This Row],[CZAS]])</f>
        <v>0</v>
      </c>
      <c r="O1541" s="32">
        <f>IF(Mecze[[#This Row],[PC]]=0,0,Mecze[[#This Row],[PC]]/Mecze[[#This Row],[CZAS]])</f>
        <v>0.15625</v>
      </c>
      <c r="P1541" s="32">
        <f>IF(Mecze[[#This Row],[SC]]=0,0,Mecze[[#This Row],[SC]]/Mecze[[#This Row],[CZAS]])</f>
        <v>0</v>
      </c>
      <c r="Q1541" s="32">
        <f>IF(Mecze[[#This Row],[OB]]=0,0,Mecze[[#This Row],[OB]]/Mecze[[#This Row],[CZAS]])</f>
        <v>0.22916666666666666</v>
      </c>
      <c r="R1541" s="32">
        <f>IF(Mecze[[#This Row],[BR]]=0,0,Mecze[[#This Row],[BR]]/Mecze[[#This Row],[CZAS]])</f>
        <v>0</v>
      </c>
      <c r="S1541" s="44">
        <f>IF(Mecze[[#This Row],[Role]]="BR",SUMPRODUCT(Mecze[[#This Row],[/PR:90]:[/BR:90]],Brudnopis!$E$23:$J$23),0)</f>
        <v>1.15625</v>
      </c>
      <c r="T1541" s="44">
        <f>IF(Mecze[[#This Row],[Role]]&lt;&gt;"BR",SUMPRODUCT(Mecze[[#This Row],[/PR:90]:[/BR:90]],Brudnopis!$E$24:$J$24),0)</f>
        <v>0</v>
      </c>
      <c r="U1541" s="44">
        <f>IF(Mecze[[#This Row],[Role]]&lt;&gt;"BR",SUMPRODUCT(Mecze[[#This Row],[/PR:90]:[/BR:90]],Brudnopis!$E$25:$J$25),0)</f>
        <v>0</v>
      </c>
      <c r="V1541" s="44">
        <f>IF(Mecze[[#This Row],[Role]]&lt;&gt;"BR",SUMPRODUCT(Mecze[[#This Row],[/PR:90]:[/BR:90]],Brudnopis!$E$26:$J$26),0)</f>
        <v>0</v>
      </c>
      <c r="W1541" s="44">
        <f>IF(Mecze[[#This Row],[Role]]&lt;&gt;"BR",SUMPRODUCT(Mecze[[#This Row],[/PR:90]:[/BR:90]],Brudnopis!$E$27:$J$27),0)</f>
        <v>0</v>
      </c>
      <c r="X1541" s="44">
        <f>IF(Mecze[[#This Row],[Role]]&lt;&gt;"BR",SUMPRODUCT(Mecze[[#This Row],[/PR:90]:[/BR:90]],Brudnopis!$E$28:$J$28),0)</f>
        <v>0</v>
      </c>
      <c r="Y1541" s="35">
        <f>IF(Mecze[[#This Row],[Role]]="BR",Mecze[[#This Row],[/OB:90]]+Mecze[[#This Row],[/PC:90]],SUM(Mecze[[#This Row],[/PR:90]:[/BR:90]]))</f>
        <v>0.38541666666666663</v>
      </c>
      <c r="Z1541" s="35">
        <f>IF(Mecze[[#This Row],[KC]]=0,SUM(Mecze[[#This Row],[/BRI]:[/NPI]]),SUM(Mecze[[#This Row],[/BRI]:[/NPI]])*0.6)</f>
        <v>1.15625</v>
      </c>
      <c r="AA1541" s="10">
        <f>IFERROR(Mecze[[#This Row],[BR]]/Mecze[[#This Row],[ST]],0)</f>
        <v>0</v>
      </c>
      <c r="AB1541">
        <f>ROUND(Mecze[[#This Row],[PD]]*Mecze[[#This Row],[%PC]],0)</f>
        <v>15</v>
      </c>
      <c r="AC1541">
        <f>ROUND(Mecze[[#This Row],[OD]]*Mecze[[#This Row],[%OU]],0)</f>
        <v>0</v>
      </c>
      <c r="AD1541" s="36" t="s">
        <v>40</v>
      </c>
      <c r="AE1541" s="36">
        <v>84</v>
      </c>
      <c r="AF1541" s="71">
        <v>11.62</v>
      </c>
      <c r="AG1541" s="37">
        <v>0</v>
      </c>
      <c r="AH1541" s="37">
        <v>0</v>
      </c>
      <c r="AI1541" s="37">
        <v>96</v>
      </c>
      <c r="AJ1541" s="37">
        <v>11</v>
      </c>
      <c r="AK1541" s="37" t="str">
        <f>VLOOKUP(Mecze[[#This Row],[Match ID]],Meczusie[Mecz]:Meczusie[RodzajMeczu],2,FALSE)</f>
        <v>Liga</v>
      </c>
    </row>
    <row r="1542" spans="1:37" x14ac:dyDescent="0.25">
      <c r="A1542" s="76">
        <v>4</v>
      </c>
      <c r="B1542" s="3" t="s">
        <v>321</v>
      </c>
      <c r="C1542" s="2" t="s">
        <v>157</v>
      </c>
      <c r="D1542" s="1">
        <v>0</v>
      </c>
      <c r="E1542" s="1">
        <v>0</v>
      </c>
      <c r="F1542" s="1">
        <v>0</v>
      </c>
      <c r="G1542" s="1">
        <v>13</v>
      </c>
      <c r="H1542" s="4">
        <v>0.85</v>
      </c>
      <c r="I1542" s="1">
        <v>11</v>
      </c>
      <c r="J1542" s="4">
        <v>0.64</v>
      </c>
      <c r="K1542" s="1">
        <v>0</v>
      </c>
      <c r="L1542" s="1">
        <v>6</v>
      </c>
      <c r="M1542" s="32">
        <f>IF(Mecze[[#This Row],[PR]]=0,0,Mecze[[#This Row],[PR]]/Mecze[[#This Row],[CZAS]])</f>
        <v>6.25E-2</v>
      </c>
      <c r="N1542" s="32">
        <f>IF(Mecze[[#This Row],[OU]]=0,0,Mecze[[#This Row],[OU]]/Mecze[[#This Row],[CZAS]])</f>
        <v>7.2916666666666671E-2</v>
      </c>
      <c r="O1542" s="32">
        <f>IF(Mecze[[#This Row],[PC]]=0,0,Mecze[[#This Row],[PC]]/Mecze[[#This Row],[CZAS]])</f>
        <v>0.11458333333333333</v>
      </c>
      <c r="P1542" s="32">
        <f>IF(Mecze[[#This Row],[SC]]=0,0,Mecze[[#This Row],[SC]]/Mecze[[#This Row],[CZAS]])</f>
        <v>0</v>
      </c>
      <c r="Q1542" s="32">
        <f>IF(Mecze[[#This Row],[OB]]=0,0,Mecze[[#This Row],[OB]]/Mecze[[#This Row],[CZAS]])</f>
        <v>0</v>
      </c>
      <c r="R1542" s="32">
        <f>IF(Mecze[[#This Row],[BR]]=0,0,Mecze[[#This Row],[BR]]/Mecze[[#This Row],[CZAS]])</f>
        <v>0</v>
      </c>
      <c r="S1542" s="44">
        <f>IF(Mecze[[#This Row],[Role]]="BR",SUMPRODUCT(Mecze[[#This Row],[/PR:90]:[/BR:90]],Brudnopis!$E$23:$J$23),0)</f>
        <v>0</v>
      </c>
      <c r="T1542" s="44">
        <f>IF(Mecze[[#This Row],[Role]]&lt;&gt;"BR",SUMPRODUCT(Mecze[[#This Row],[/PR:90]:[/BR:90]],Brudnopis!$E$24:$J$24),0)</f>
        <v>0.28645833333333331</v>
      </c>
      <c r="U1542" s="44">
        <f>IF(Mecze[[#This Row],[Role]]&lt;&gt;"BR",SUMPRODUCT(Mecze[[#This Row],[/PR:90]:[/BR:90]],Brudnopis!$E$25:$J$25),0)</f>
        <v>0.30729166666666669</v>
      </c>
      <c r="V1542" s="44">
        <f>IF(Mecze[[#This Row],[Role]]&lt;&gt;"BR",SUMPRODUCT(Mecze[[#This Row],[/PR:90]:[/BR:90]],Brudnopis!$E$26:$J$26),0)</f>
        <v>0.25</v>
      </c>
      <c r="W1542" s="44">
        <f>IF(Mecze[[#This Row],[Role]]&lt;&gt;"BR",SUMPRODUCT(Mecze[[#This Row],[/PR:90]:[/BR:90]],Brudnopis!$E$27:$J$27),0)</f>
        <v>0.2734375</v>
      </c>
      <c r="X1542" s="44">
        <f>IF(Mecze[[#This Row],[Role]]&lt;&gt;"BR",SUMPRODUCT(Mecze[[#This Row],[/PR:90]:[/BR:90]],Brudnopis!$E$28:$J$28),0)</f>
        <v>0.11458333333333333</v>
      </c>
      <c r="Y1542" s="35">
        <f>IF(Mecze[[#This Row],[Role]]="BR",Mecze[[#This Row],[/OB:90]]+Mecze[[#This Row],[/PC:90]],SUM(Mecze[[#This Row],[/PR:90]:[/BR:90]]))</f>
        <v>0.25</v>
      </c>
      <c r="Z1542" s="35">
        <f>IF(Mecze[[#This Row],[KC]]=0,SUM(Mecze[[#This Row],[/BRI]:[/NPI]]),SUM(Mecze[[#This Row],[/BRI]:[/NPI]])*0.6)</f>
        <v>1.2317708333333333</v>
      </c>
      <c r="AA1542" s="10">
        <f>IFERROR(Mecze[[#This Row],[BR]]/Mecze[[#This Row],[ST]],0)</f>
        <v>0</v>
      </c>
      <c r="AB1542">
        <f>ROUND(Mecze[[#This Row],[PD]]*Mecze[[#This Row],[%PC]],0)</f>
        <v>11</v>
      </c>
      <c r="AC1542">
        <f>ROUND(Mecze[[#This Row],[OD]]*Mecze[[#This Row],[%OU]],0)</f>
        <v>7</v>
      </c>
      <c r="AD1542" s="36" t="s">
        <v>47</v>
      </c>
      <c r="AE1542" s="36">
        <v>84</v>
      </c>
      <c r="AF1542" s="71">
        <v>5.08</v>
      </c>
      <c r="AG1542" s="37">
        <v>0</v>
      </c>
      <c r="AH1542" s="37">
        <v>0</v>
      </c>
      <c r="AI1542" s="37">
        <v>96</v>
      </c>
      <c r="AJ1542" s="37">
        <v>11</v>
      </c>
      <c r="AK1542" s="37" t="str">
        <f>VLOOKUP(Mecze[[#This Row],[Match ID]],Meczusie[Mecz]:Meczusie[RodzajMeczu],2,FALSE)</f>
        <v>Liga</v>
      </c>
    </row>
    <row r="1543" spans="1:37" x14ac:dyDescent="0.25">
      <c r="A1543" s="76">
        <v>7</v>
      </c>
      <c r="B1543" s="3" t="s">
        <v>322</v>
      </c>
      <c r="C1543" s="2" t="s">
        <v>157</v>
      </c>
      <c r="D1543" s="1">
        <v>0</v>
      </c>
      <c r="E1543" s="1">
        <v>0</v>
      </c>
      <c r="F1543" s="1">
        <v>0</v>
      </c>
      <c r="G1543" s="1">
        <v>9</v>
      </c>
      <c r="H1543" s="4">
        <v>1</v>
      </c>
      <c r="I1543" s="1">
        <v>8</v>
      </c>
      <c r="J1543" s="4">
        <v>0.63</v>
      </c>
      <c r="K1543" s="1">
        <v>0</v>
      </c>
      <c r="L1543" s="1">
        <v>4</v>
      </c>
      <c r="M1543" s="32">
        <f>IF(Mecze[[#This Row],[PR]]=0,0,Mecze[[#This Row],[PR]]/Mecze[[#This Row],[CZAS]])</f>
        <v>4.1666666666666664E-2</v>
      </c>
      <c r="N1543" s="32">
        <f>IF(Mecze[[#This Row],[OU]]=0,0,Mecze[[#This Row],[OU]]/Mecze[[#This Row],[CZAS]])</f>
        <v>5.2083333333333336E-2</v>
      </c>
      <c r="O1543" s="32">
        <f>IF(Mecze[[#This Row],[PC]]=0,0,Mecze[[#This Row],[PC]]/Mecze[[#This Row],[CZAS]])</f>
        <v>9.375E-2</v>
      </c>
      <c r="P1543" s="32">
        <f>IF(Mecze[[#This Row],[SC]]=0,0,Mecze[[#This Row],[SC]]/Mecze[[#This Row],[CZAS]])</f>
        <v>0</v>
      </c>
      <c r="Q1543" s="32">
        <f>IF(Mecze[[#This Row],[OB]]=0,0,Mecze[[#This Row],[OB]]/Mecze[[#This Row],[CZAS]])</f>
        <v>0</v>
      </c>
      <c r="R1543" s="32">
        <f>IF(Mecze[[#This Row],[BR]]=0,0,Mecze[[#This Row],[BR]]/Mecze[[#This Row],[CZAS]])</f>
        <v>0</v>
      </c>
      <c r="S1543" s="44">
        <f>IF(Mecze[[#This Row],[Role]]="BR",SUMPRODUCT(Mecze[[#This Row],[/PR:90]:[/BR:90]],Brudnopis!$E$23:$J$23),0)</f>
        <v>0</v>
      </c>
      <c r="T1543" s="44">
        <f>IF(Mecze[[#This Row],[Role]]&lt;&gt;"BR",SUMPRODUCT(Mecze[[#This Row],[/PR:90]:[/BR:90]],Brudnopis!$E$24:$J$24),0)</f>
        <v>0.21354166666666666</v>
      </c>
      <c r="U1543" s="44">
        <f>IF(Mecze[[#This Row],[Role]]&lt;&gt;"BR",SUMPRODUCT(Mecze[[#This Row],[/PR:90]:[/BR:90]],Brudnopis!$E$25:$J$25),0)</f>
        <v>0.234375</v>
      </c>
      <c r="V1543" s="44">
        <f>IF(Mecze[[#This Row],[Role]]&lt;&gt;"BR",SUMPRODUCT(Mecze[[#This Row],[/PR:90]:[/BR:90]],Brudnopis!$E$26:$J$26),0)</f>
        <v>0.1875</v>
      </c>
      <c r="W1543" s="44">
        <f>IF(Mecze[[#This Row],[Role]]&lt;&gt;"BR",SUMPRODUCT(Mecze[[#This Row],[/PR:90]:[/BR:90]],Brudnopis!$E$27:$J$27),0)</f>
        <v>0.2109375</v>
      </c>
      <c r="X1543" s="44">
        <f>IF(Mecze[[#This Row],[Role]]&lt;&gt;"BR",SUMPRODUCT(Mecze[[#This Row],[/PR:90]:[/BR:90]],Brudnopis!$E$28:$J$28),0)</f>
        <v>9.375E-2</v>
      </c>
      <c r="Y1543" s="35">
        <f>IF(Mecze[[#This Row],[Role]]="BR",Mecze[[#This Row],[/OB:90]]+Mecze[[#This Row],[/PC:90]],SUM(Mecze[[#This Row],[/PR:90]:[/BR:90]]))</f>
        <v>0.1875</v>
      </c>
      <c r="Z1543" s="35">
        <f>IF(Mecze[[#This Row],[KC]]=0,SUM(Mecze[[#This Row],[/BRI]:[/NPI]]),SUM(Mecze[[#This Row],[/BRI]:[/NPI]])*0.6)</f>
        <v>0.94010416666666663</v>
      </c>
      <c r="AA1543" s="10">
        <f>IFERROR(Mecze[[#This Row],[BR]]/Mecze[[#This Row],[ST]],0)</f>
        <v>0</v>
      </c>
      <c r="AB1543">
        <f>ROUND(Mecze[[#This Row],[PD]]*Mecze[[#This Row],[%PC]],0)</f>
        <v>9</v>
      </c>
      <c r="AC1543">
        <f>ROUND(Mecze[[#This Row],[OD]]*Mecze[[#This Row],[%OU]],0)</f>
        <v>5</v>
      </c>
      <c r="AD1543" s="36" t="s">
        <v>47</v>
      </c>
      <c r="AE1543" s="36">
        <v>84</v>
      </c>
      <c r="AF1543" s="71">
        <v>4.66</v>
      </c>
      <c r="AG1543" s="37">
        <v>0</v>
      </c>
      <c r="AH1543" s="37">
        <v>0</v>
      </c>
      <c r="AI1543" s="37">
        <v>96</v>
      </c>
      <c r="AJ1543" s="37">
        <v>11</v>
      </c>
      <c r="AK1543" s="37" t="str">
        <f>VLOOKUP(Mecze[[#This Row],[Match ID]],Meczusie[Mecz]:Meczusie[RodzajMeczu],2,FALSE)</f>
        <v>Liga</v>
      </c>
    </row>
    <row r="1544" spans="1:37" x14ac:dyDescent="0.25">
      <c r="A1544" s="76">
        <v>6</v>
      </c>
      <c r="B1544" s="3" t="s">
        <v>324</v>
      </c>
      <c r="C1544" s="2" t="s">
        <v>157</v>
      </c>
      <c r="D1544" s="1">
        <v>0</v>
      </c>
      <c r="E1544" s="1">
        <v>0</v>
      </c>
      <c r="F1544" s="1">
        <v>0</v>
      </c>
      <c r="G1544" s="1">
        <v>3</v>
      </c>
      <c r="H1544" s="4">
        <v>0.67</v>
      </c>
      <c r="I1544" s="1">
        <v>0</v>
      </c>
      <c r="J1544" s="4"/>
      <c r="K1544" s="1">
        <v>0</v>
      </c>
      <c r="L1544" s="1">
        <v>1</v>
      </c>
      <c r="M1544" s="32">
        <f>IF(Mecze[[#This Row],[PR]]=0,0,Mecze[[#This Row],[PR]]/Mecze[[#This Row],[CZAS]])</f>
        <v>1.0416666666666666E-2</v>
      </c>
      <c r="N1544" s="32">
        <f>IF(Mecze[[#This Row],[OU]]=0,0,Mecze[[#This Row],[OU]]/Mecze[[#This Row],[CZAS]])</f>
        <v>0</v>
      </c>
      <c r="O1544" s="32">
        <f>IF(Mecze[[#This Row],[PC]]=0,0,Mecze[[#This Row],[PC]]/Mecze[[#This Row],[CZAS]])</f>
        <v>2.0833333333333332E-2</v>
      </c>
      <c r="P1544" s="32">
        <f>IF(Mecze[[#This Row],[SC]]=0,0,Mecze[[#This Row],[SC]]/Mecze[[#This Row],[CZAS]])</f>
        <v>0</v>
      </c>
      <c r="Q1544" s="32">
        <f>IF(Mecze[[#This Row],[OB]]=0,0,Mecze[[#This Row],[OB]]/Mecze[[#This Row],[CZAS]])</f>
        <v>0</v>
      </c>
      <c r="R1544" s="32">
        <f>IF(Mecze[[#This Row],[BR]]=0,0,Mecze[[#This Row],[BR]]/Mecze[[#This Row],[CZAS]])</f>
        <v>0</v>
      </c>
      <c r="S1544" s="44">
        <f>IF(Mecze[[#This Row],[Role]]="BR",SUMPRODUCT(Mecze[[#This Row],[/PR:90]:[/BR:90]],Brudnopis!$E$23:$J$23),0)</f>
        <v>0</v>
      </c>
      <c r="T1544" s="44">
        <f>IF(Mecze[[#This Row],[Role]]&lt;&gt;"BR",SUMPRODUCT(Mecze[[#This Row],[/PR:90]:[/BR:90]],Brudnopis!$E$24:$J$24),0)</f>
        <v>3.125E-2</v>
      </c>
      <c r="U1544" s="44">
        <f>IF(Mecze[[#This Row],[Role]]&lt;&gt;"BR",SUMPRODUCT(Mecze[[#This Row],[/PR:90]:[/BR:90]],Brudnopis!$E$25:$J$25),0)</f>
        <v>4.1666666666666664E-2</v>
      </c>
      <c r="V1544" s="44">
        <f>IF(Mecze[[#This Row],[Role]]&lt;&gt;"BR",SUMPRODUCT(Mecze[[#This Row],[/PR:90]:[/BR:90]],Brudnopis!$E$26:$J$26),0)</f>
        <v>3.125E-2</v>
      </c>
      <c r="W1544" s="44">
        <f>IF(Mecze[[#This Row],[Role]]&lt;&gt;"BR",SUMPRODUCT(Mecze[[#This Row],[/PR:90]:[/BR:90]],Brudnopis!$E$27:$J$27),0)</f>
        <v>3.90625E-2</v>
      </c>
      <c r="X1544" s="44">
        <f>IF(Mecze[[#This Row],[Role]]&lt;&gt;"BR",SUMPRODUCT(Mecze[[#This Row],[/PR:90]:[/BR:90]],Brudnopis!$E$28:$J$28),0)</f>
        <v>2.0833333333333332E-2</v>
      </c>
      <c r="Y1544" s="35">
        <f>IF(Mecze[[#This Row],[Role]]="BR",Mecze[[#This Row],[/OB:90]]+Mecze[[#This Row],[/PC:90]],SUM(Mecze[[#This Row],[/PR:90]:[/BR:90]]))</f>
        <v>3.125E-2</v>
      </c>
      <c r="Z1544" s="35">
        <f>IF(Mecze[[#This Row],[KC]]=0,SUM(Mecze[[#This Row],[/BRI]:[/NPI]]),SUM(Mecze[[#This Row],[/BRI]:[/NPI]])*0.6)</f>
        <v>0.1640625</v>
      </c>
      <c r="AA1544" s="10">
        <f>IFERROR(Mecze[[#This Row],[BR]]/Mecze[[#This Row],[ST]],0)</f>
        <v>0</v>
      </c>
      <c r="AB1544">
        <f>ROUND(Mecze[[#This Row],[PD]]*Mecze[[#This Row],[%PC]],0)</f>
        <v>2</v>
      </c>
      <c r="AC1544">
        <f>ROUND(Mecze[[#This Row],[OD]]*Mecze[[#This Row],[%OU]],0)</f>
        <v>0</v>
      </c>
      <c r="AD1544" s="36" t="s">
        <v>174</v>
      </c>
      <c r="AE1544" s="36">
        <v>84</v>
      </c>
      <c r="AF1544" s="71">
        <v>2.91</v>
      </c>
      <c r="AG1544" s="37">
        <v>0</v>
      </c>
      <c r="AH1544" s="37">
        <v>0</v>
      </c>
      <c r="AI1544" s="37">
        <v>96</v>
      </c>
      <c r="AJ1544" s="37">
        <v>11</v>
      </c>
      <c r="AK1544" s="37" t="str">
        <f>VLOOKUP(Mecze[[#This Row],[Match ID]],Meczusie[Mecz]:Meczusie[RodzajMeczu],2,FALSE)</f>
        <v>Liga</v>
      </c>
    </row>
    <row r="1545" spans="1:37" x14ac:dyDescent="0.25">
      <c r="A1545" s="76">
        <v>2</v>
      </c>
      <c r="B1545" s="3" t="s">
        <v>392</v>
      </c>
      <c r="C1545" s="2" t="s">
        <v>157</v>
      </c>
      <c r="D1545" s="1">
        <v>0</v>
      </c>
      <c r="E1545" s="1">
        <v>0</v>
      </c>
      <c r="F1545" s="1">
        <v>0</v>
      </c>
      <c r="G1545" s="1">
        <v>11</v>
      </c>
      <c r="H1545" s="4">
        <v>0.73</v>
      </c>
      <c r="I1545" s="1">
        <v>11</v>
      </c>
      <c r="J1545" s="4">
        <v>0.27</v>
      </c>
      <c r="K1545" s="1">
        <v>0</v>
      </c>
      <c r="L1545" s="1">
        <v>9</v>
      </c>
      <c r="M1545" s="32">
        <f>IF(Mecze[[#This Row],[PR]]=0,0,Mecze[[#This Row],[PR]]/Mecze[[#This Row],[CZAS]])</f>
        <v>9.375E-2</v>
      </c>
      <c r="N1545" s="32">
        <f>IF(Mecze[[#This Row],[OU]]=0,0,Mecze[[#This Row],[OU]]/Mecze[[#This Row],[CZAS]])</f>
        <v>3.125E-2</v>
      </c>
      <c r="O1545" s="32">
        <f>IF(Mecze[[#This Row],[PC]]=0,0,Mecze[[#This Row],[PC]]/Mecze[[#This Row],[CZAS]])</f>
        <v>8.3333333333333329E-2</v>
      </c>
      <c r="P1545" s="32">
        <f>IF(Mecze[[#This Row],[SC]]=0,0,Mecze[[#This Row],[SC]]/Mecze[[#This Row],[CZAS]])</f>
        <v>0</v>
      </c>
      <c r="Q1545" s="32">
        <f>IF(Mecze[[#This Row],[OB]]=0,0,Mecze[[#This Row],[OB]]/Mecze[[#This Row],[CZAS]])</f>
        <v>0</v>
      </c>
      <c r="R1545" s="32">
        <f>IF(Mecze[[#This Row],[BR]]=0,0,Mecze[[#This Row],[BR]]/Mecze[[#This Row],[CZAS]])</f>
        <v>0</v>
      </c>
      <c r="S1545" s="44">
        <f>IF(Mecze[[#This Row],[Role]]="BR",SUMPRODUCT(Mecze[[#This Row],[/PR:90]:[/BR:90]],Brudnopis!$E$23:$J$23),0)</f>
        <v>0</v>
      </c>
      <c r="T1545" s="44">
        <f>IF(Mecze[[#This Row],[Role]]&lt;&gt;"BR",SUMPRODUCT(Mecze[[#This Row],[/PR:90]:[/BR:90]],Brudnopis!$E$24:$J$24),0)</f>
        <v>0.22395833333333331</v>
      </c>
      <c r="U1545" s="44">
        <f>IF(Mecze[[#This Row],[Role]]&lt;&gt;"BR",SUMPRODUCT(Mecze[[#This Row],[/PR:90]:[/BR:90]],Brudnopis!$E$25:$J$25),0)</f>
        <v>0.25</v>
      </c>
      <c r="V1545" s="44">
        <f>IF(Mecze[[#This Row],[Role]]&lt;&gt;"BR",SUMPRODUCT(Mecze[[#This Row],[/PR:90]:[/BR:90]],Brudnopis!$E$26:$J$26),0)</f>
        <v>0.20833333333333331</v>
      </c>
      <c r="W1545" s="44">
        <f>IF(Mecze[[#This Row],[Role]]&lt;&gt;"BR",SUMPRODUCT(Mecze[[#This Row],[/PR:90]:[/BR:90]],Brudnopis!$E$27:$J$27),0)</f>
        <v>0.21875</v>
      </c>
      <c r="X1545" s="44">
        <f>IF(Mecze[[#This Row],[Role]]&lt;&gt;"BR",SUMPRODUCT(Mecze[[#This Row],[/PR:90]:[/BR:90]],Brudnopis!$E$28:$J$28),0)</f>
        <v>8.3333333333333329E-2</v>
      </c>
      <c r="Y1545" s="35">
        <f>IF(Mecze[[#This Row],[Role]]="BR",Mecze[[#This Row],[/OB:90]]+Mecze[[#This Row],[/PC:90]],SUM(Mecze[[#This Row],[/PR:90]:[/BR:90]]))</f>
        <v>0.20833333333333331</v>
      </c>
      <c r="Z1545" s="35">
        <f>IF(Mecze[[#This Row],[KC]]=0,SUM(Mecze[[#This Row],[/BRI]:[/NPI]]),SUM(Mecze[[#This Row],[/BRI]:[/NPI]])*0.6)</f>
        <v>0.984375</v>
      </c>
      <c r="AA1545" s="10">
        <f>IFERROR(Mecze[[#This Row],[BR]]/Mecze[[#This Row],[ST]],0)</f>
        <v>0</v>
      </c>
      <c r="AB1545">
        <f>ROUND(Mecze[[#This Row],[PD]]*Mecze[[#This Row],[%PC]],0)</f>
        <v>8</v>
      </c>
      <c r="AC1545">
        <f>ROUND(Mecze[[#This Row],[OD]]*Mecze[[#This Row],[%OU]],0)</f>
        <v>3</v>
      </c>
      <c r="AD1545" s="36" t="s">
        <v>175</v>
      </c>
      <c r="AE1545" s="36">
        <v>84</v>
      </c>
      <c r="AF1545" s="71">
        <v>4.59</v>
      </c>
      <c r="AG1545" s="37">
        <v>0</v>
      </c>
      <c r="AH1545" s="37">
        <v>0</v>
      </c>
      <c r="AI1545" s="37">
        <v>96</v>
      </c>
      <c r="AJ1545" s="37">
        <v>11</v>
      </c>
      <c r="AK1545" s="37" t="str">
        <f>VLOOKUP(Mecze[[#This Row],[Match ID]],Meczusie[Mecz]:Meczusie[RodzajMeczu],2,FALSE)</f>
        <v>Liga</v>
      </c>
    </row>
    <row r="1546" spans="1:37" x14ac:dyDescent="0.25">
      <c r="A1546" s="76">
        <v>5</v>
      </c>
      <c r="B1546" s="3" t="s">
        <v>325</v>
      </c>
      <c r="C1546" s="2" t="s">
        <v>160</v>
      </c>
      <c r="D1546" s="1">
        <v>0</v>
      </c>
      <c r="E1546" s="1">
        <v>0</v>
      </c>
      <c r="F1546" s="1">
        <v>0</v>
      </c>
      <c r="G1546" s="1">
        <v>10</v>
      </c>
      <c r="H1546" s="4">
        <v>0.6</v>
      </c>
      <c r="I1546" s="1">
        <v>5</v>
      </c>
      <c r="J1546" s="4">
        <v>0.6</v>
      </c>
      <c r="K1546" s="1">
        <v>0</v>
      </c>
      <c r="L1546" s="1">
        <v>2</v>
      </c>
      <c r="M1546" s="32">
        <f>IF(Mecze[[#This Row],[PR]]=0,0,Mecze[[#This Row],[PR]]/Mecze[[#This Row],[CZAS]])</f>
        <v>2.0833333333333332E-2</v>
      </c>
      <c r="N1546" s="32">
        <f>IF(Mecze[[#This Row],[OU]]=0,0,Mecze[[#This Row],[OU]]/Mecze[[#This Row],[CZAS]])</f>
        <v>3.125E-2</v>
      </c>
      <c r="O1546" s="32">
        <f>IF(Mecze[[#This Row],[PC]]=0,0,Mecze[[#This Row],[PC]]/Mecze[[#This Row],[CZAS]])</f>
        <v>6.25E-2</v>
      </c>
      <c r="P1546" s="32">
        <f>IF(Mecze[[#This Row],[SC]]=0,0,Mecze[[#This Row],[SC]]/Mecze[[#This Row],[CZAS]])</f>
        <v>0</v>
      </c>
      <c r="Q1546" s="32">
        <f>IF(Mecze[[#This Row],[OB]]=0,0,Mecze[[#This Row],[OB]]/Mecze[[#This Row],[CZAS]])</f>
        <v>0</v>
      </c>
      <c r="R1546" s="32">
        <f>IF(Mecze[[#This Row],[BR]]=0,0,Mecze[[#This Row],[BR]]/Mecze[[#This Row],[CZAS]])</f>
        <v>0</v>
      </c>
      <c r="S1546" s="44">
        <f>IF(Mecze[[#This Row],[Role]]="BR",SUMPRODUCT(Mecze[[#This Row],[/PR:90]:[/BR:90]],Brudnopis!$E$23:$J$23),0)</f>
        <v>0</v>
      </c>
      <c r="T1546" s="44">
        <f>IF(Mecze[[#This Row],[Role]]&lt;&gt;"BR",SUMPRODUCT(Mecze[[#This Row],[/PR:90]:[/BR:90]],Brudnopis!$E$24:$J$24),0)</f>
        <v>0.13020833333333331</v>
      </c>
      <c r="U1546" s="44">
        <f>IF(Mecze[[#This Row],[Role]]&lt;&gt;"BR",SUMPRODUCT(Mecze[[#This Row],[/PR:90]:[/BR:90]],Brudnopis!$E$25:$J$25),0)</f>
        <v>0.14583333333333331</v>
      </c>
      <c r="V1546" s="44">
        <f>IF(Mecze[[#This Row],[Role]]&lt;&gt;"BR",SUMPRODUCT(Mecze[[#This Row],[/PR:90]:[/BR:90]],Brudnopis!$E$26:$J$26),0)</f>
        <v>0.11458333333333333</v>
      </c>
      <c r="W1546" s="44">
        <f>IF(Mecze[[#This Row],[Role]]&lt;&gt;"BR",SUMPRODUCT(Mecze[[#This Row],[/PR:90]:[/BR:90]],Brudnopis!$E$27:$J$27),0)</f>
        <v>0.1328125</v>
      </c>
      <c r="X1546" s="44">
        <f>IF(Mecze[[#This Row],[Role]]&lt;&gt;"BR",SUMPRODUCT(Mecze[[#This Row],[/PR:90]:[/BR:90]],Brudnopis!$E$28:$J$28),0)</f>
        <v>6.25E-2</v>
      </c>
      <c r="Y1546" s="35">
        <f>IF(Mecze[[#This Row],[Role]]="BR",Mecze[[#This Row],[/OB:90]]+Mecze[[#This Row],[/PC:90]],SUM(Mecze[[#This Row],[/PR:90]:[/BR:90]]))</f>
        <v>0.11458333333333333</v>
      </c>
      <c r="Z1546" s="35">
        <f>IF(Mecze[[#This Row],[KC]]=0,SUM(Mecze[[#This Row],[/BRI]:[/NPI]]),SUM(Mecze[[#This Row],[/BRI]:[/NPI]])*0.6)</f>
        <v>0.5859375</v>
      </c>
      <c r="AA1546" s="10">
        <f>IFERROR(Mecze[[#This Row],[BR]]/Mecze[[#This Row],[ST]],0)</f>
        <v>0</v>
      </c>
      <c r="AB1546">
        <f>ROUND(Mecze[[#This Row],[PD]]*Mecze[[#This Row],[%PC]],0)</f>
        <v>6</v>
      </c>
      <c r="AC1546">
        <f>ROUND(Mecze[[#This Row],[OD]]*Mecze[[#This Row],[%OU]],0)</f>
        <v>3</v>
      </c>
      <c r="AD1546" s="36" t="s">
        <v>41</v>
      </c>
      <c r="AE1546" s="36">
        <v>84</v>
      </c>
      <c r="AF1546" s="71">
        <v>4.33</v>
      </c>
      <c r="AG1546" s="37">
        <v>0</v>
      </c>
      <c r="AH1546" s="37">
        <v>0</v>
      </c>
      <c r="AI1546" s="37">
        <v>96</v>
      </c>
      <c r="AJ1546" s="37">
        <v>11</v>
      </c>
      <c r="AK1546" s="37" t="str">
        <f>VLOOKUP(Mecze[[#This Row],[Match ID]],Meczusie[Mecz]:Meczusie[RodzajMeczu],2,FALSE)</f>
        <v>Liga</v>
      </c>
    </row>
    <row r="1547" spans="1:37" x14ac:dyDescent="0.25">
      <c r="A1547" s="76">
        <v>8</v>
      </c>
      <c r="B1547" s="3" t="s">
        <v>326</v>
      </c>
      <c r="C1547" s="2" t="s">
        <v>160</v>
      </c>
      <c r="D1547" s="1">
        <v>0</v>
      </c>
      <c r="E1547" s="1">
        <v>0</v>
      </c>
      <c r="F1547" s="1">
        <v>0</v>
      </c>
      <c r="G1547" s="1">
        <v>13</v>
      </c>
      <c r="H1547" s="4">
        <v>0.62</v>
      </c>
      <c r="I1547" s="1">
        <v>2</v>
      </c>
      <c r="J1547" s="4">
        <v>0.5</v>
      </c>
      <c r="K1547" s="1">
        <v>0</v>
      </c>
      <c r="L1547" s="1">
        <v>4</v>
      </c>
      <c r="M1547" s="32">
        <f>IF(Mecze[[#This Row],[PR]]=0,0,Mecze[[#This Row],[PR]]/Mecze[[#This Row],[CZAS]])</f>
        <v>4.1666666666666664E-2</v>
      </c>
      <c r="N1547" s="32">
        <f>IF(Mecze[[#This Row],[OU]]=0,0,Mecze[[#This Row],[OU]]/Mecze[[#This Row],[CZAS]])</f>
        <v>1.0416666666666666E-2</v>
      </c>
      <c r="O1547" s="32">
        <f>IF(Mecze[[#This Row],[PC]]=0,0,Mecze[[#This Row],[PC]]/Mecze[[#This Row],[CZAS]])</f>
        <v>8.3333333333333329E-2</v>
      </c>
      <c r="P1547" s="32">
        <f>IF(Mecze[[#This Row],[SC]]=0,0,Mecze[[#This Row],[SC]]/Mecze[[#This Row],[CZAS]])</f>
        <v>0</v>
      </c>
      <c r="Q1547" s="32">
        <f>IF(Mecze[[#This Row],[OB]]=0,0,Mecze[[#This Row],[OB]]/Mecze[[#This Row],[CZAS]])</f>
        <v>0</v>
      </c>
      <c r="R1547" s="32">
        <f>IF(Mecze[[#This Row],[BR]]=0,0,Mecze[[#This Row],[BR]]/Mecze[[#This Row],[CZAS]])</f>
        <v>0</v>
      </c>
      <c r="S1547" s="44">
        <f>IF(Mecze[[#This Row],[Role]]="BR",SUMPRODUCT(Mecze[[#This Row],[/PR:90]:[/BR:90]],Brudnopis!$E$23:$J$23),0)</f>
        <v>0</v>
      </c>
      <c r="T1547" s="44">
        <f>IF(Mecze[[#This Row],[Role]]&lt;&gt;"BR",SUMPRODUCT(Mecze[[#This Row],[/PR:90]:[/BR:90]],Brudnopis!$E$24:$J$24),0)</f>
        <v>0.140625</v>
      </c>
      <c r="U1547" s="44">
        <f>IF(Mecze[[#This Row],[Role]]&lt;&gt;"BR",SUMPRODUCT(Mecze[[#This Row],[/PR:90]:[/BR:90]],Brudnopis!$E$25:$J$25),0)</f>
        <v>0.17708333333333331</v>
      </c>
      <c r="V1547" s="44">
        <f>IF(Mecze[[#This Row],[Role]]&lt;&gt;"BR",SUMPRODUCT(Mecze[[#This Row],[/PR:90]:[/BR:90]],Brudnopis!$E$26:$J$26),0)</f>
        <v>0.13541666666666666</v>
      </c>
      <c r="W1547" s="44">
        <f>IF(Mecze[[#This Row],[Role]]&lt;&gt;"BR",SUMPRODUCT(Mecze[[#This Row],[/PR:90]:[/BR:90]],Brudnopis!$E$27:$J$27),0)</f>
        <v>0.1640625</v>
      </c>
      <c r="X1547" s="44">
        <f>IF(Mecze[[#This Row],[Role]]&lt;&gt;"BR",SUMPRODUCT(Mecze[[#This Row],[/PR:90]:[/BR:90]],Brudnopis!$E$28:$J$28),0)</f>
        <v>8.3333333333333329E-2</v>
      </c>
      <c r="Y1547" s="35">
        <f>IF(Mecze[[#This Row],[Role]]="BR",Mecze[[#This Row],[/OB:90]]+Mecze[[#This Row],[/PC:90]],SUM(Mecze[[#This Row],[/PR:90]:[/BR:90]]))</f>
        <v>0.13541666666666666</v>
      </c>
      <c r="Z1547" s="35">
        <f>IF(Mecze[[#This Row],[KC]]=0,SUM(Mecze[[#This Row],[/BRI]:[/NPI]]),SUM(Mecze[[#This Row],[/BRI]:[/NPI]])*0.6)</f>
        <v>0.70052083333333337</v>
      </c>
      <c r="AA1547" s="10">
        <f>IFERROR(Mecze[[#This Row],[BR]]/Mecze[[#This Row],[ST]],0)</f>
        <v>0</v>
      </c>
      <c r="AB1547">
        <f>ROUND(Mecze[[#This Row],[PD]]*Mecze[[#This Row],[%PC]],0)</f>
        <v>8</v>
      </c>
      <c r="AC1547">
        <f>ROUND(Mecze[[#This Row],[OD]]*Mecze[[#This Row],[%OU]],0)</f>
        <v>1</v>
      </c>
      <c r="AD1547" s="36" t="s">
        <v>318</v>
      </c>
      <c r="AE1547" s="36">
        <v>84</v>
      </c>
      <c r="AF1547" s="71">
        <v>3.64</v>
      </c>
      <c r="AG1547" s="37">
        <v>1</v>
      </c>
      <c r="AH1547" s="37">
        <v>0</v>
      </c>
      <c r="AI1547" s="37">
        <v>96</v>
      </c>
      <c r="AJ1547" s="37">
        <v>11</v>
      </c>
      <c r="AK1547" s="37" t="str">
        <f>VLOOKUP(Mecze[[#This Row],[Match ID]],Meczusie[Mecz]:Meczusie[RodzajMeczu],2,FALSE)</f>
        <v>Liga</v>
      </c>
    </row>
    <row r="1548" spans="1:37" x14ac:dyDescent="0.25">
      <c r="A1548" s="76">
        <v>9</v>
      </c>
      <c r="B1548" s="3" t="s">
        <v>327</v>
      </c>
      <c r="C1548" s="2" t="s">
        <v>160</v>
      </c>
      <c r="D1548" s="1">
        <v>0</v>
      </c>
      <c r="E1548" s="1">
        <v>1</v>
      </c>
      <c r="F1548" s="1">
        <v>1</v>
      </c>
      <c r="G1548" s="1">
        <v>11</v>
      </c>
      <c r="H1548" s="4">
        <v>0.91</v>
      </c>
      <c r="I1548" s="1">
        <v>6</v>
      </c>
      <c r="J1548" s="4">
        <v>0.17</v>
      </c>
      <c r="K1548" s="1">
        <v>0</v>
      </c>
      <c r="L1548" s="1">
        <v>2</v>
      </c>
      <c r="M1548" s="32">
        <f>IF(Mecze[[#This Row],[PR]]=0,0,Mecze[[#This Row],[PR]]/Mecze[[#This Row],[CZAS]])</f>
        <v>2.0833333333333332E-2</v>
      </c>
      <c r="N1548" s="32">
        <f>IF(Mecze[[#This Row],[OU]]=0,0,Mecze[[#This Row],[OU]]/Mecze[[#This Row],[CZAS]])</f>
        <v>1.0416666666666666E-2</v>
      </c>
      <c r="O1548" s="32">
        <f>IF(Mecze[[#This Row],[PC]]=0,0,Mecze[[#This Row],[PC]]/Mecze[[#This Row],[CZAS]])</f>
        <v>0.10416666666666667</v>
      </c>
      <c r="P1548" s="32">
        <f>IF(Mecze[[#This Row],[SC]]=0,0,Mecze[[#This Row],[SC]]/Mecze[[#This Row],[CZAS]])</f>
        <v>1.0416666666666666E-2</v>
      </c>
      <c r="Q1548" s="32">
        <f>IF(Mecze[[#This Row],[OB]]=0,0,Mecze[[#This Row],[OB]]/Mecze[[#This Row],[CZAS]])</f>
        <v>0</v>
      </c>
      <c r="R1548" s="32">
        <f>IF(Mecze[[#This Row],[BR]]=0,0,Mecze[[#This Row],[BR]]/Mecze[[#This Row],[CZAS]])</f>
        <v>0</v>
      </c>
      <c r="S1548" s="44">
        <f>IF(Mecze[[#This Row],[Role]]="BR",SUMPRODUCT(Mecze[[#This Row],[/PR:90]:[/BR:90]],Brudnopis!$E$23:$J$23),0)</f>
        <v>0</v>
      </c>
      <c r="T1548" s="44">
        <f>IF(Mecze[[#This Row],[Role]]&lt;&gt;"BR",SUMPRODUCT(Mecze[[#This Row],[/PR:90]:[/BR:90]],Brudnopis!$E$24:$J$24),0)</f>
        <v>0.15104166666666666</v>
      </c>
      <c r="U1548" s="44">
        <f>IF(Mecze[[#This Row],[Role]]&lt;&gt;"BR",SUMPRODUCT(Mecze[[#This Row],[/PR:90]:[/BR:90]],Brudnopis!$E$25:$J$25),0)</f>
        <v>0.19791666666666666</v>
      </c>
      <c r="V1548" s="44">
        <f>IF(Mecze[[#This Row],[Role]]&lt;&gt;"BR",SUMPRODUCT(Mecze[[#This Row],[/PR:90]:[/BR:90]],Brudnopis!$E$26:$J$26),0)</f>
        <v>0.14583333333333334</v>
      </c>
      <c r="W1548" s="44">
        <f>IF(Mecze[[#This Row],[Role]]&lt;&gt;"BR",SUMPRODUCT(Mecze[[#This Row],[/PR:90]:[/BR:90]],Brudnopis!$E$27:$J$27),0)</f>
        <v>0.19010416666666666</v>
      </c>
      <c r="X1548" s="44">
        <f>IF(Mecze[[#This Row],[Role]]&lt;&gt;"BR",SUMPRODUCT(Mecze[[#This Row],[/PR:90]:[/BR:90]],Brudnopis!$E$28:$J$28),0)</f>
        <v>0.125</v>
      </c>
      <c r="Y1548" s="35">
        <f>IF(Mecze[[#This Row],[Role]]="BR",Mecze[[#This Row],[/OB:90]]+Mecze[[#This Row],[/PC:90]],SUM(Mecze[[#This Row],[/PR:90]:[/BR:90]]))</f>
        <v>0.14583333333333334</v>
      </c>
      <c r="Z1548" s="35">
        <f>IF(Mecze[[#This Row],[KC]]=0,SUM(Mecze[[#This Row],[/BRI]:[/NPI]]),SUM(Mecze[[#This Row],[/BRI]:[/NPI]])*0.6)</f>
        <v>0.80989583333333326</v>
      </c>
      <c r="AA1548" s="10">
        <f>IFERROR(Mecze[[#This Row],[BR]]/Mecze[[#This Row],[ST]],0)</f>
        <v>0</v>
      </c>
      <c r="AB1548">
        <f>ROUND(Mecze[[#This Row],[PD]]*Mecze[[#This Row],[%PC]],0)</f>
        <v>10</v>
      </c>
      <c r="AC1548">
        <f>ROUND(Mecze[[#This Row],[OD]]*Mecze[[#This Row],[%OU]],0)</f>
        <v>1</v>
      </c>
      <c r="AD1548" s="36" t="s">
        <v>44</v>
      </c>
      <c r="AE1548" s="36">
        <v>84</v>
      </c>
      <c r="AF1548" s="71">
        <v>5.47</v>
      </c>
      <c r="AG1548" s="37">
        <v>0</v>
      </c>
      <c r="AH1548" s="37">
        <v>0</v>
      </c>
      <c r="AI1548" s="37">
        <v>96</v>
      </c>
      <c r="AJ1548" s="37">
        <v>11</v>
      </c>
      <c r="AK1548" s="37" t="str">
        <f>VLOOKUP(Mecze[[#This Row],[Match ID]],Meczusie[Mecz]:Meczusie[RodzajMeczu],2,FALSE)</f>
        <v>Liga</v>
      </c>
    </row>
    <row r="1549" spans="1:37" x14ac:dyDescent="0.25">
      <c r="A1549" s="76">
        <v>10</v>
      </c>
      <c r="B1549" s="3" t="s">
        <v>328</v>
      </c>
      <c r="C1549" s="2" t="s">
        <v>165</v>
      </c>
      <c r="D1549" s="1">
        <v>0</v>
      </c>
      <c r="E1549" s="1">
        <v>3</v>
      </c>
      <c r="F1549" s="1">
        <v>3</v>
      </c>
      <c r="G1549" s="1">
        <v>11</v>
      </c>
      <c r="H1549" s="4">
        <v>0.36</v>
      </c>
      <c r="I1549" s="1">
        <v>7</v>
      </c>
      <c r="J1549" s="4">
        <v>0.28999999999999998</v>
      </c>
      <c r="K1549" s="1">
        <v>0</v>
      </c>
      <c r="L1549" s="1">
        <v>1</v>
      </c>
      <c r="M1549" s="32">
        <f>IF(Mecze[[#This Row],[PR]]=0,0,Mecze[[#This Row],[PR]]/Mecze[[#This Row],[CZAS]])</f>
        <v>1.0416666666666666E-2</v>
      </c>
      <c r="N1549" s="32">
        <f>IF(Mecze[[#This Row],[OU]]=0,0,Mecze[[#This Row],[OU]]/Mecze[[#This Row],[CZAS]])</f>
        <v>2.0833333333333332E-2</v>
      </c>
      <c r="O1549" s="32">
        <f>IF(Mecze[[#This Row],[PC]]=0,0,Mecze[[#This Row],[PC]]/Mecze[[#This Row],[CZAS]])</f>
        <v>4.1666666666666664E-2</v>
      </c>
      <c r="P1549" s="32">
        <f>IF(Mecze[[#This Row],[SC]]=0,0,Mecze[[#This Row],[SC]]/Mecze[[#This Row],[CZAS]])</f>
        <v>3.125E-2</v>
      </c>
      <c r="Q1549" s="32">
        <f>IF(Mecze[[#This Row],[OB]]=0,0,Mecze[[#This Row],[OB]]/Mecze[[#This Row],[CZAS]])</f>
        <v>0</v>
      </c>
      <c r="R1549" s="32">
        <f>IF(Mecze[[#This Row],[BR]]=0,0,Mecze[[#This Row],[BR]]/Mecze[[#This Row],[CZAS]])</f>
        <v>0</v>
      </c>
      <c r="S1549" s="44">
        <f>IF(Mecze[[#This Row],[Role]]="BR",SUMPRODUCT(Mecze[[#This Row],[/PR:90]:[/BR:90]],Brudnopis!$E$23:$J$23),0)</f>
        <v>0</v>
      </c>
      <c r="T1549" s="44">
        <f>IF(Mecze[[#This Row],[Role]]&lt;&gt;"BR",SUMPRODUCT(Mecze[[#This Row],[/PR:90]:[/BR:90]],Brudnopis!$E$24:$J$24),0)</f>
        <v>0.11458333333333333</v>
      </c>
      <c r="U1549" s="44">
        <f>IF(Mecze[[#This Row],[Role]]&lt;&gt;"BR",SUMPRODUCT(Mecze[[#This Row],[/PR:90]:[/BR:90]],Brudnopis!$E$25:$J$25),0)</f>
        <v>0.125</v>
      </c>
      <c r="V1549" s="44">
        <f>IF(Mecze[[#This Row],[Role]]&lt;&gt;"BR",SUMPRODUCT(Mecze[[#This Row],[/PR:90]:[/BR:90]],Brudnopis!$E$26:$J$26),0)</f>
        <v>0.10416666666666666</v>
      </c>
      <c r="W1549" s="44">
        <f>IF(Mecze[[#This Row],[Role]]&lt;&gt;"BR",SUMPRODUCT(Mecze[[#This Row],[/PR:90]:[/BR:90]],Brudnopis!$E$27:$J$27),0)</f>
        <v>0.1171875</v>
      </c>
      <c r="X1549" s="44">
        <f>IF(Mecze[[#This Row],[Role]]&lt;&gt;"BR",SUMPRODUCT(Mecze[[#This Row],[/PR:90]:[/BR:90]],Brudnopis!$E$28:$J$28),0)</f>
        <v>0.10416666666666666</v>
      </c>
      <c r="Y1549" s="35">
        <f>IF(Mecze[[#This Row],[Role]]="BR",Mecze[[#This Row],[/OB:90]]+Mecze[[#This Row],[/PC:90]],SUM(Mecze[[#This Row],[/PR:90]:[/BR:90]]))</f>
        <v>0.10416666666666666</v>
      </c>
      <c r="Z1549" s="35">
        <f>IF(Mecze[[#This Row],[KC]]=0,SUM(Mecze[[#This Row],[/BRI]:[/NPI]]),SUM(Mecze[[#This Row],[/BRI]:[/NPI]])*0.6)</f>
        <v>0.56510416666666663</v>
      </c>
      <c r="AA1549" s="10">
        <f>IFERROR(Mecze[[#This Row],[BR]]/Mecze[[#This Row],[ST]],0)</f>
        <v>0</v>
      </c>
      <c r="AB1549">
        <f>ROUND(Mecze[[#This Row],[PD]]*Mecze[[#This Row],[%PC]],0)</f>
        <v>4</v>
      </c>
      <c r="AC1549">
        <f>ROUND(Mecze[[#This Row],[OD]]*Mecze[[#This Row],[%OU]],0)</f>
        <v>2</v>
      </c>
      <c r="AD1549" s="36" t="s">
        <v>46</v>
      </c>
      <c r="AE1549" s="36">
        <v>84</v>
      </c>
      <c r="AF1549" s="71">
        <v>3.37</v>
      </c>
      <c r="AG1549" s="37">
        <v>0</v>
      </c>
      <c r="AH1549" s="37">
        <v>0</v>
      </c>
      <c r="AI1549" s="37">
        <v>96</v>
      </c>
      <c r="AJ1549" s="37">
        <v>11</v>
      </c>
      <c r="AK1549" s="37" t="str">
        <f>VLOOKUP(Mecze[[#This Row],[Match ID]],Meczusie[Mecz]:Meczusie[RodzajMeczu],2,FALSE)</f>
        <v>Liga</v>
      </c>
    </row>
    <row r="1550" spans="1:37" x14ac:dyDescent="0.25">
      <c r="A1550" s="76">
        <v>14</v>
      </c>
      <c r="B1550" s="3" t="s">
        <v>330</v>
      </c>
      <c r="C1550" s="2" t="s">
        <v>165</v>
      </c>
      <c r="D1550" s="1">
        <v>0</v>
      </c>
      <c r="E1550" s="1">
        <v>1</v>
      </c>
      <c r="F1550" s="1">
        <v>0</v>
      </c>
      <c r="G1550" s="1">
        <v>8</v>
      </c>
      <c r="H1550" s="4">
        <v>0.5</v>
      </c>
      <c r="I1550" s="1">
        <v>0</v>
      </c>
      <c r="J1550" s="4"/>
      <c r="K1550" s="1">
        <v>0</v>
      </c>
      <c r="L1550" s="1">
        <v>0</v>
      </c>
      <c r="M1550" s="32">
        <f>IF(Mecze[[#This Row],[PR]]=0,0,Mecze[[#This Row],[PR]]/Mecze[[#This Row],[CZAS]])</f>
        <v>0</v>
      </c>
      <c r="N1550" s="32">
        <f>IF(Mecze[[#This Row],[OU]]=0,0,Mecze[[#This Row],[OU]]/Mecze[[#This Row],[CZAS]])</f>
        <v>0</v>
      </c>
      <c r="O1550" s="32">
        <f>IF(Mecze[[#This Row],[PC]]=0,0,Mecze[[#This Row],[PC]]/Mecze[[#This Row],[CZAS]])</f>
        <v>4.1666666666666664E-2</v>
      </c>
      <c r="P1550" s="32">
        <f>IF(Mecze[[#This Row],[SC]]=0,0,Mecze[[#This Row],[SC]]/Mecze[[#This Row],[CZAS]])</f>
        <v>0</v>
      </c>
      <c r="Q1550" s="32">
        <f>IF(Mecze[[#This Row],[OB]]=0,0,Mecze[[#This Row],[OB]]/Mecze[[#This Row],[CZAS]])</f>
        <v>0</v>
      </c>
      <c r="R1550" s="32">
        <f>IF(Mecze[[#This Row],[BR]]=0,0,Mecze[[#This Row],[BR]]/Mecze[[#This Row],[CZAS]])</f>
        <v>0</v>
      </c>
      <c r="S1550" s="44">
        <f>IF(Mecze[[#This Row],[Role]]="BR",SUMPRODUCT(Mecze[[#This Row],[/PR:90]:[/BR:90]],Brudnopis!$E$23:$J$23),0)</f>
        <v>0</v>
      </c>
      <c r="T1550" s="44">
        <f>IF(Mecze[[#This Row],[Role]]&lt;&gt;"BR",SUMPRODUCT(Mecze[[#This Row],[/PR:90]:[/BR:90]],Brudnopis!$E$24:$J$24),0)</f>
        <v>4.1666666666666664E-2</v>
      </c>
      <c r="U1550" s="44">
        <f>IF(Mecze[[#This Row],[Role]]&lt;&gt;"BR",SUMPRODUCT(Mecze[[#This Row],[/PR:90]:[/BR:90]],Brudnopis!$E$25:$J$25),0)</f>
        <v>6.25E-2</v>
      </c>
      <c r="V1550" s="44">
        <f>IF(Mecze[[#This Row],[Role]]&lt;&gt;"BR",SUMPRODUCT(Mecze[[#This Row],[/PR:90]:[/BR:90]],Brudnopis!$E$26:$J$26),0)</f>
        <v>4.1666666666666664E-2</v>
      </c>
      <c r="W1550" s="44">
        <f>IF(Mecze[[#This Row],[Role]]&lt;&gt;"BR",SUMPRODUCT(Mecze[[#This Row],[/PR:90]:[/BR:90]],Brudnopis!$E$27:$J$27),0)</f>
        <v>6.25E-2</v>
      </c>
      <c r="X1550" s="44">
        <f>IF(Mecze[[#This Row],[Role]]&lt;&gt;"BR",SUMPRODUCT(Mecze[[#This Row],[/PR:90]:[/BR:90]],Brudnopis!$E$28:$J$28),0)</f>
        <v>4.1666666666666664E-2</v>
      </c>
      <c r="Y1550" s="35">
        <f>IF(Mecze[[#This Row],[Role]]="BR",Mecze[[#This Row],[/OB:90]]+Mecze[[#This Row],[/PC:90]],SUM(Mecze[[#This Row],[/PR:90]:[/BR:90]]))</f>
        <v>4.1666666666666664E-2</v>
      </c>
      <c r="Z1550" s="35">
        <f>IF(Mecze[[#This Row],[KC]]=0,SUM(Mecze[[#This Row],[/BRI]:[/NPI]]),SUM(Mecze[[#This Row],[/BRI]:[/NPI]])*0.6)</f>
        <v>0.24999999999999997</v>
      </c>
      <c r="AA1550" s="10">
        <f>IFERROR(Mecze[[#This Row],[BR]]/Mecze[[#This Row],[ST]],0)</f>
        <v>0</v>
      </c>
      <c r="AB1550">
        <f>ROUND(Mecze[[#This Row],[PD]]*Mecze[[#This Row],[%PC]],0)</f>
        <v>4</v>
      </c>
      <c r="AC1550">
        <f>ROUND(Mecze[[#This Row],[OD]]*Mecze[[#This Row],[%OU]],0)</f>
        <v>0</v>
      </c>
      <c r="AD1550" s="36" t="s">
        <v>272</v>
      </c>
      <c r="AE1550" s="36">
        <v>84</v>
      </c>
      <c r="AF1550" s="71">
        <v>4.04</v>
      </c>
      <c r="AG1550" s="37">
        <v>0</v>
      </c>
      <c r="AH1550" s="37">
        <v>0</v>
      </c>
      <c r="AI1550" s="37">
        <v>96</v>
      </c>
      <c r="AJ1550" s="37">
        <v>11</v>
      </c>
      <c r="AK1550" s="37" t="str">
        <f>VLOOKUP(Mecze[[#This Row],[Match ID]],Meczusie[Mecz]:Meczusie[RodzajMeczu],2,FALSE)</f>
        <v>Liga</v>
      </c>
    </row>
    <row r="1551" spans="1:37" x14ac:dyDescent="0.25">
      <c r="A1551" s="76">
        <v>11</v>
      </c>
      <c r="B1551" s="3" t="s">
        <v>329</v>
      </c>
      <c r="C1551" s="2" t="s">
        <v>165</v>
      </c>
      <c r="D1551" s="1">
        <v>0</v>
      </c>
      <c r="E1551" s="1">
        <v>2</v>
      </c>
      <c r="F1551" s="1">
        <v>2</v>
      </c>
      <c r="G1551" s="1">
        <v>10</v>
      </c>
      <c r="H1551" s="4">
        <v>0.8</v>
      </c>
      <c r="I1551" s="1">
        <v>1</v>
      </c>
      <c r="J1551" s="4">
        <v>0</v>
      </c>
      <c r="K1551" s="1">
        <v>0</v>
      </c>
      <c r="L1551" s="1">
        <v>0</v>
      </c>
      <c r="M1551" s="32">
        <f>IF(Mecze[[#This Row],[PR]]=0,0,Mecze[[#This Row],[PR]]/Mecze[[#This Row],[CZAS]])</f>
        <v>0</v>
      </c>
      <c r="N1551" s="32">
        <f>IF(Mecze[[#This Row],[OU]]=0,0,Mecze[[#This Row],[OU]]/Mecze[[#This Row],[CZAS]])</f>
        <v>0</v>
      </c>
      <c r="O1551" s="32">
        <f>IF(Mecze[[#This Row],[PC]]=0,0,Mecze[[#This Row],[PC]]/Mecze[[#This Row],[CZAS]])</f>
        <v>8.3333333333333329E-2</v>
      </c>
      <c r="P1551" s="32">
        <f>IF(Mecze[[#This Row],[SC]]=0,0,Mecze[[#This Row],[SC]]/Mecze[[#This Row],[CZAS]])</f>
        <v>2.0833333333333332E-2</v>
      </c>
      <c r="Q1551" s="32">
        <f>IF(Mecze[[#This Row],[OB]]=0,0,Mecze[[#This Row],[OB]]/Mecze[[#This Row],[CZAS]])</f>
        <v>0</v>
      </c>
      <c r="R1551" s="32">
        <f>IF(Mecze[[#This Row],[BR]]=0,0,Mecze[[#This Row],[BR]]/Mecze[[#This Row],[CZAS]])</f>
        <v>0</v>
      </c>
      <c r="S1551" s="44">
        <f>IF(Mecze[[#This Row],[Role]]="BR",SUMPRODUCT(Mecze[[#This Row],[/PR:90]:[/BR:90]],Brudnopis!$E$23:$J$23),0)</f>
        <v>0</v>
      </c>
      <c r="T1551" s="44">
        <f>IF(Mecze[[#This Row],[Role]]&lt;&gt;"BR",SUMPRODUCT(Mecze[[#This Row],[/PR:90]:[/BR:90]],Brudnopis!$E$24:$J$24),0)</f>
        <v>0.10416666666666666</v>
      </c>
      <c r="U1551" s="44">
        <f>IF(Mecze[[#This Row],[Role]]&lt;&gt;"BR",SUMPRODUCT(Mecze[[#This Row],[/PR:90]:[/BR:90]],Brudnopis!$E$25:$J$25),0)</f>
        <v>0.14583333333333334</v>
      </c>
      <c r="V1551" s="44">
        <f>IF(Mecze[[#This Row],[Role]]&lt;&gt;"BR",SUMPRODUCT(Mecze[[#This Row],[/PR:90]:[/BR:90]],Brudnopis!$E$26:$J$26),0)</f>
        <v>0.10416666666666666</v>
      </c>
      <c r="W1551" s="44">
        <f>IF(Mecze[[#This Row],[Role]]&lt;&gt;"BR",SUMPRODUCT(Mecze[[#This Row],[/PR:90]:[/BR:90]],Brudnopis!$E$27:$J$27),0)</f>
        <v>0.14583333333333334</v>
      </c>
      <c r="X1551" s="44">
        <f>IF(Mecze[[#This Row],[Role]]&lt;&gt;"BR",SUMPRODUCT(Mecze[[#This Row],[/PR:90]:[/BR:90]],Brudnopis!$E$28:$J$28),0)</f>
        <v>0.125</v>
      </c>
      <c r="Y1551" s="35">
        <f>IF(Mecze[[#This Row],[Role]]="BR",Mecze[[#This Row],[/OB:90]]+Mecze[[#This Row],[/PC:90]],SUM(Mecze[[#This Row],[/PR:90]:[/BR:90]]))</f>
        <v>0.10416666666666666</v>
      </c>
      <c r="Z1551" s="35">
        <f>IF(Mecze[[#This Row],[KC]]=0,SUM(Mecze[[#This Row],[/BRI]:[/NPI]]),SUM(Mecze[[#This Row],[/BRI]:[/NPI]])*0.6)</f>
        <v>0.625</v>
      </c>
      <c r="AA1551" s="10">
        <f>IFERROR(Mecze[[#This Row],[BR]]/Mecze[[#This Row],[ST]],0)</f>
        <v>0</v>
      </c>
      <c r="AB1551">
        <f>ROUND(Mecze[[#This Row],[PD]]*Mecze[[#This Row],[%PC]],0)</f>
        <v>8</v>
      </c>
      <c r="AC1551">
        <f>ROUND(Mecze[[#This Row],[OD]]*Mecze[[#This Row],[%OU]],0)</f>
        <v>0</v>
      </c>
      <c r="AD1551" s="36" t="s">
        <v>273</v>
      </c>
      <c r="AE1551" s="36">
        <v>84</v>
      </c>
      <c r="AF1551" s="71">
        <v>5.4</v>
      </c>
      <c r="AG1551" s="37">
        <v>0</v>
      </c>
      <c r="AH1551" s="37">
        <v>0</v>
      </c>
      <c r="AI1551" s="37">
        <v>96</v>
      </c>
      <c r="AJ1551" s="37">
        <v>11</v>
      </c>
      <c r="AK1551" s="37" t="str">
        <f>VLOOKUP(Mecze[[#This Row],[Match ID]],Meczusie[Mecz]:Meczusie[RodzajMeczu],2,FALSE)</f>
        <v>Liga</v>
      </c>
    </row>
    <row r="1552" spans="1:37" x14ac:dyDescent="0.25">
      <c r="A1552" s="76">
        <v>1</v>
      </c>
      <c r="B1552" s="3" t="s">
        <v>274</v>
      </c>
      <c r="C1552" s="2" t="s">
        <v>155</v>
      </c>
      <c r="D1552" s="1">
        <v>0</v>
      </c>
      <c r="E1552" s="1">
        <v>0</v>
      </c>
      <c r="F1552" s="1">
        <v>0</v>
      </c>
      <c r="G1552" s="1">
        <v>6</v>
      </c>
      <c r="H1552" s="4">
        <v>0.5</v>
      </c>
      <c r="I1552" s="1">
        <v>0</v>
      </c>
      <c r="J1552" s="4"/>
      <c r="K1552" s="1">
        <v>6</v>
      </c>
      <c r="L1552" s="1">
        <v>0</v>
      </c>
      <c r="M1552" s="32">
        <f>IF(Mecze[[#This Row],[PR]]=0,0,Mecze[[#This Row],[PR]]/Mecze[[#This Row],[CZAS]])</f>
        <v>0</v>
      </c>
      <c r="N1552" s="32">
        <f>IF(Mecze[[#This Row],[OU]]=0,0,Mecze[[#This Row],[OU]]/Mecze[[#This Row],[CZAS]])</f>
        <v>0</v>
      </c>
      <c r="O1552" s="32">
        <f>IF(Mecze[[#This Row],[PC]]=0,0,Mecze[[#This Row],[PC]]/Mecze[[#This Row],[CZAS]])</f>
        <v>3.125E-2</v>
      </c>
      <c r="P1552" s="32">
        <f>IF(Mecze[[#This Row],[SC]]=0,0,Mecze[[#This Row],[SC]]/Mecze[[#This Row],[CZAS]])</f>
        <v>0</v>
      </c>
      <c r="Q1552" s="32">
        <f>IF(Mecze[[#This Row],[OB]]=0,0,Mecze[[#This Row],[OB]]/Mecze[[#This Row],[CZAS]])</f>
        <v>6.25E-2</v>
      </c>
      <c r="R1552" s="32">
        <f>IF(Mecze[[#This Row],[BR]]=0,0,Mecze[[#This Row],[BR]]/Mecze[[#This Row],[CZAS]])</f>
        <v>0</v>
      </c>
      <c r="S1552" s="44">
        <f>IF(Mecze[[#This Row],[Role]]="BR",SUMPRODUCT(Mecze[[#This Row],[/PR:90]:[/BR:90]],Brudnopis!$E$23:$J$23),0)</f>
        <v>0.28125</v>
      </c>
      <c r="T1552" s="44">
        <f>IF(Mecze[[#This Row],[Role]]&lt;&gt;"BR",SUMPRODUCT(Mecze[[#This Row],[/PR:90]:[/BR:90]],Brudnopis!$E$24:$J$24),0)</f>
        <v>0</v>
      </c>
      <c r="U1552" s="44">
        <f>IF(Mecze[[#This Row],[Role]]&lt;&gt;"BR",SUMPRODUCT(Mecze[[#This Row],[/PR:90]:[/BR:90]],Brudnopis!$E$25:$J$25),0)</f>
        <v>0</v>
      </c>
      <c r="V1552" s="44">
        <f>IF(Mecze[[#This Row],[Role]]&lt;&gt;"BR",SUMPRODUCT(Mecze[[#This Row],[/PR:90]:[/BR:90]],Brudnopis!$E$26:$J$26),0)</f>
        <v>0</v>
      </c>
      <c r="W1552" s="44">
        <f>IF(Mecze[[#This Row],[Role]]&lt;&gt;"BR",SUMPRODUCT(Mecze[[#This Row],[/PR:90]:[/BR:90]],Brudnopis!$E$27:$J$27),0)</f>
        <v>0</v>
      </c>
      <c r="X1552" s="44">
        <f>IF(Mecze[[#This Row],[Role]]&lt;&gt;"BR",SUMPRODUCT(Mecze[[#This Row],[/PR:90]:[/BR:90]],Brudnopis!$E$28:$J$28),0)</f>
        <v>0</v>
      </c>
      <c r="Y1552" s="35">
        <f>IF(Mecze[[#This Row],[Role]]="BR",Mecze[[#This Row],[/OB:90]]+Mecze[[#This Row],[/PC:90]],SUM(Mecze[[#This Row],[/PR:90]:[/BR:90]]))</f>
        <v>9.375E-2</v>
      </c>
      <c r="Z1552" s="35">
        <f>IF(Mecze[[#This Row],[KC]]=0,SUM(Mecze[[#This Row],[/BRI]:[/NPI]]),SUM(Mecze[[#This Row],[/BRI]:[/NPI]])*0.6)</f>
        <v>0.28125</v>
      </c>
      <c r="AA1552" s="10">
        <f>IFERROR(Mecze[[#This Row],[BR]]/Mecze[[#This Row],[ST]],0)</f>
        <v>0</v>
      </c>
      <c r="AB1552">
        <f>ROUND(Mecze[[#This Row],[PD]]*Mecze[[#This Row],[%PC]],0)</f>
        <v>3</v>
      </c>
      <c r="AC1552">
        <f>ROUND(Mecze[[#This Row],[OD]]*Mecze[[#This Row],[%OU]],0)</f>
        <v>0</v>
      </c>
      <c r="AD1552" s="36" t="s">
        <v>40</v>
      </c>
      <c r="AE1552" s="36">
        <v>84</v>
      </c>
      <c r="AF1552" s="71">
        <v>10.36</v>
      </c>
      <c r="AG1552" s="37">
        <v>0</v>
      </c>
      <c r="AH1552" s="37">
        <v>0</v>
      </c>
      <c r="AI1552" s="37">
        <v>96</v>
      </c>
      <c r="AJ1552" s="37">
        <v>4</v>
      </c>
      <c r="AK1552" s="37" t="str">
        <f>VLOOKUP(Mecze[[#This Row],[Match ID]],Meczusie[Mecz]:Meczusie[RodzajMeczu],2,FALSE)</f>
        <v>Liga</v>
      </c>
    </row>
    <row r="1553" spans="1:37" x14ac:dyDescent="0.25">
      <c r="A1553" s="76">
        <v>9</v>
      </c>
      <c r="B1553" s="3" t="s">
        <v>275</v>
      </c>
      <c r="C1553" s="2" t="s">
        <v>157</v>
      </c>
      <c r="D1553" s="1">
        <v>0</v>
      </c>
      <c r="E1553" s="1">
        <v>0</v>
      </c>
      <c r="F1553" s="1">
        <v>0</v>
      </c>
      <c r="G1553" s="1">
        <v>11</v>
      </c>
      <c r="H1553" s="4">
        <v>0.82</v>
      </c>
      <c r="I1553" s="1">
        <v>13</v>
      </c>
      <c r="J1553" s="4">
        <v>0.54</v>
      </c>
      <c r="K1553" s="1">
        <v>0</v>
      </c>
      <c r="L1553" s="1">
        <v>5</v>
      </c>
      <c r="M1553" s="32">
        <f>IF(Mecze[[#This Row],[PR]]=0,0,Mecze[[#This Row],[PR]]/Mecze[[#This Row],[CZAS]])</f>
        <v>5.2083333333333336E-2</v>
      </c>
      <c r="N1553" s="32">
        <f>IF(Mecze[[#This Row],[OU]]=0,0,Mecze[[#This Row],[OU]]/Mecze[[#This Row],[CZAS]])</f>
        <v>7.2916666666666671E-2</v>
      </c>
      <c r="O1553" s="32">
        <f>IF(Mecze[[#This Row],[PC]]=0,0,Mecze[[#This Row],[PC]]/Mecze[[#This Row],[CZAS]])</f>
        <v>9.375E-2</v>
      </c>
      <c r="P1553" s="32">
        <f>IF(Mecze[[#This Row],[SC]]=0,0,Mecze[[#This Row],[SC]]/Mecze[[#This Row],[CZAS]])</f>
        <v>0</v>
      </c>
      <c r="Q1553" s="32">
        <f>IF(Mecze[[#This Row],[OB]]=0,0,Mecze[[#This Row],[OB]]/Mecze[[#This Row],[CZAS]])</f>
        <v>0</v>
      </c>
      <c r="R1553" s="32">
        <f>IF(Mecze[[#This Row],[BR]]=0,0,Mecze[[#This Row],[BR]]/Mecze[[#This Row],[CZAS]])</f>
        <v>0</v>
      </c>
      <c r="S1553" s="44">
        <f>IF(Mecze[[#This Row],[Role]]="BR",SUMPRODUCT(Mecze[[#This Row],[/PR:90]:[/BR:90]],Brudnopis!$E$23:$J$23),0)</f>
        <v>0</v>
      </c>
      <c r="T1553" s="44">
        <f>IF(Mecze[[#This Row],[Role]]&lt;&gt;"BR",SUMPRODUCT(Mecze[[#This Row],[/PR:90]:[/BR:90]],Brudnopis!$E$24:$J$24),0)</f>
        <v>0.25520833333333337</v>
      </c>
      <c r="U1553" s="44">
        <f>IF(Mecze[[#This Row],[Role]]&lt;&gt;"BR",SUMPRODUCT(Mecze[[#This Row],[/PR:90]:[/BR:90]],Brudnopis!$E$25:$J$25),0)</f>
        <v>0.265625</v>
      </c>
      <c r="V1553" s="44">
        <f>IF(Mecze[[#This Row],[Role]]&lt;&gt;"BR",SUMPRODUCT(Mecze[[#This Row],[/PR:90]:[/BR:90]],Brudnopis!$E$26:$J$26),0)</f>
        <v>0.21875</v>
      </c>
      <c r="W1553" s="44">
        <f>IF(Mecze[[#This Row],[Role]]&lt;&gt;"BR",SUMPRODUCT(Mecze[[#This Row],[/PR:90]:[/BR:90]],Brudnopis!$E$27:$J$27),0)</f>
        <v>0.234375</v>
      </c>
      <c r="X1553" s="44">
        <f>IF(Mecze[[#This Row],[Role]]&lt;&gt;"BR",SUMPRODUCT(Mecze[[#This Row],[/PR:90]:[/BR:90]],Brudnopis!$E$28:$J$28),0)</f>
        <v>9.375E-2</v>
      </c>
      <c r="Y1553" s="35">
        <f>IF(Mecze[[#This Row],[Role]]="BR",Mecze[[#This Row],[/OB:90]]+Mecze[[#This Row],[/PC:90]],SUM(Mecze[[#This Row],[/PR:90]:[/BR:90]]))</f>
        <v>0.21875</v>
      </c>
      <c r="Z1553" s="35">
        <f>IF(Mecze[[#This Row],[KC]]=0,SUM(Mecze[[#This Row],[/BRI]:[/NPI]]),SUM(Mecze[[#This Row],[/BRI]:[/NPI]])*0.6)</f>
        <v>1.0677083333333335</v>
      </c>
      <c r="AA1553" s="10">
        <f>IFERROR(Mecze[[#This Row],[BR]]/Mecze[[#This Row],[ST]],0)</f>
        <v>0</v>
      </c>
      <c r="AB1553">
        <f>ROUND(Mecze[[#This Row],[PD]]*Mecze[[#This Row],[%PC]],0)</f>
        <v>9</v>
      </c>
      <c r="AC1553">
        <f>ROUND(Mecze[[#This Row],[OD]]*Mecze[[#This Row],[%OU]],0)</f>
        <v>7</v>
      </c>
      <c r="AD1553" s="36" t="s">
        <v>47</v>
      </c>
      <c r="AE1553" s="36">
        <v>84</v>
      </c>
      <c r="AF1553" s="71">
        <v>9.2100000000000009</v>
      </c>
      <c r="AG1553" s="37">
        <v>0</v>
      </c>
      <c r="AH1553" s="37">
        <v>0</v>
      </c>
      <c r="AI1553" s="37">
        <v>96</v>
      </c>
      <c r="AJ1553" s="37">
        <v>4</v>
      </c>
      <c r="AK1553" s="37" t="str">
        <f>VLOOKUP(Mecze[[#This Row],[Match ID]],Meczusie[Mecz]:Meczusie[RodzajMeczu],2,FALSE)</f>
        <v>Liga</v>
      </c>
    </row>
    <row r="1554" spans="1:37" x14ac:dyDescent="0.25">
      <c r="A1554" s="76">
        <v>4</v>
      </c>
      <c r="B1554" s="3" t="s">
        <v>276</v>
      </c>
      <c r="C1554" s="2" t="s">
        <v>157</v>
      </c>
      <c r="D1554" s="1">
        <v>0</v>
      </c>
      <c r="E1554" s="1">
        <v>0</v>
      </c>
      <c r="F1554" s="1">
        <v>0</v>
      </c>
      <c r="G1554" s="1">
        <v>4</v>
      </c>
      <c r="H1554" s="4">
        <v>1</v>
      </c>
      <c r="I1554" s="1">
        <v>4</v>
      </c>
      <c r="J1554" s="4">
        <v>0.75</v>
      </c>
      <c r="K1554" s="1">
        <v>0</v>
      </c>
      <c r="L1554" s="1">
        <v>5</v>
      </c>
      <c r="M1554" s="32">
        <f>IF(Mecze[[#This Row],[PR]]=0,0,Mecze[[#This Row],[PR]]/Mecze[[#This Row],[CZAS]])</f>
        <v>5.2083333333333336E-2</v>
      </c>
      <c r="N1554" s="32">
        <f>IF(Mecze[[#This Row],[OU]]=0,0,Mecze[[#This Row],[OU]]/Mecze[[#This Row],[CZAS]])</f>
        <v>3.125E-2</v>
      </c>
      <c r="O1554" s="32">
        <f>IF(Mecze[[#This Row],[PC]]=0,0,Mecze[[#This Row],[PC]]/Mecze[[#This Row],[CZAS]])</f>
        <v>4.1666666666666664E-2</v>
      </c>
      <c r="P1554" s="32">
        <f>IF(Mecze[[#This Row],[SC]]=0,0,Mecze[[#This Row],[SC]]/Mecze[[#This Row],[CZAS]])</f>
        <v>0</v>
      </c>
      <c r="Q1554" s="32">
        <f>IF(Mecze[[#This Row],[OB]]=0,0,Mecze[[#This Row],[OB]]/Mecze[[#This Row],[CZAS]])</f>
        <v>0</v>
      </c>
      <c r="R1554" s="32">
        <f>IF(Mecze[[#This Row],[BR]]=0,0,Mecze[[#This Row],[BR]]/Mecze[[#This Row],[CZAS]])</f>
        <v>0</v>
      </c>
      <c r="S1554" s="44">
        <f>IF(Mecze[[#This Row],[Role]]="BR",SUMPRODUCT(Mecze[[#This Row],[/PR:90]:[/BR:90]],Brudnopis!$E$23:$J$23),0)</f>
        <v>0</v>
      </c>
      <c r="T1554" s="44">
        <f>IF(Mecze[[#This Row],[Role]]&lt;&gt;"BR",SUMPRODUCT(Mecze[[#This Row],[/PR:90]:[/BR:90]],Brudnopis!$E$24:$J$24),0)</f>
        <v>0.140625</v>
      </c>
      <c r="U1554" s="44">
        <f>IF(Mecze[[#This Row],[Role]]&lt;&gt;"BR",SUMPRODUCT(Mecze[[#This Row],[/PR:90]:[/BR:90]],Brudnopis!$E$25:$J$25),0)</f>
        <v>0.14583333333333334</v>
      </c>
      <c r="V1554" s="44">
        <f>IF(Mecze[[#This Row],[Role]]&lt;&gt;"BR",SUMPRODUCT(Mecze[[#This Row],[/PR:90]:[/BR:90]],Brudnopis!$E$26:$J$26),0)</f>
        <v>0.125</v>
      </c>
      <c r="W1554" s="44">
        <f>IF(Mecze[[#This Row],[Role]]&lt;&gt;"BR",SUMPRODUCT(Mecze[[#This Row],[/PR:90]:[/BR:90]],Brudnopis!$E$27:$J$27),0)</f>
        <v>0.125</v>
      </c>
      <c r="X1554" s="44">
        <f>IF(Mecze[[#This Row],[Role]]&lt;&gt;"BR",SUMPRODUCT(Mecze[[#This Row],[/PR:90]:[/BR:90]],Brudnopis!$E$28:$J$28),0)</f>
        <v>4.1666666666666664E-2</v>
      </c>
      <c r="Y1554" s="35">
        <f>IF(Mecze[[#This Row],[Role]]="BR",Mecze[[#This Row],[/OB:90]]+Mecze[[#This Row],[/PC:90]],SUM(Mecze[[#This Row],[/PR:90]:[/BR:90]]))</f>
        <v>0.125</v>
      </c>
      <c r="Z1554" s="35">
        <f>IF(Mecze[[#This Row],[KC]]=0,SUM(Mecze[[#This Row],[/BRI]:[/NPI]]),SUM(Mecze[[#This Row],[/BRI]:[/NPI]])*0.6)</f>
        <v>0.578125</v>
      </c>
      <c r="AA1554" s="10">
        <f>IFERROR(Mecze[[#This Row],[BR]]/Mecze[[#This Row],[ST]],0)</f>
        <v>0</v>
      </c>
      <c r="AB1554">
        <f>ROUND(Mecze[[#This Row],[PD]]*Mecze[[#This Row],[%PC]],0)</f>
        <v>4</v>
      </c>
      <c r="AC1554">
        <f>ROUND(Mecze[[#This Row],[OD]]*Mecze[[#This Row],[%OU]],0)</f>
        <v>3</v>
      </c>
      <c r="AD1554" s="36" t="s">
        <v>168</v>
      </c>
      <c r="AE1554" s="36">
        <v>84</v>
      </c>
      <c r="AF1554" s="71">
        <v>9.2100000000000009</v>
      </c>
      <c r="AG1554" s="37">
        <v>0</v>
      </c>
      <c r="AH1554" s="37">
        <v>0</v>
      </c>
      <c r="AI1554" s="37">
        <v>96</v>
      </c>
      <c r="AJ1554" s="37">
        <v>4</v>
      </c>
      <c r="AK1554" s="37" t="str">
        <f>VLOOKUP(Mecze[[#This Row],[Match ID]],Meczusie[Mecz]:Meczusie[RodzajMeczu],2,FALSE)</f>
        <v>Liga</v>
      </c>
    </row>
    <row r="1555" spans="1:37" x14ac:dyDescent="0.25">
      <c r="A1555" s="76">
        <v>5</v>
      </c>
      <c r="B1555" s="3" t="s">
        <v>277</v>
      </c>
      <c r="C1555" s="2" t="s">
        <v>157</v>
      </c>
      <c r="D1555" s="1">
        <v>0</v>
      </c>
      <c r="E1555" s="1">
        <v>0</v>
      </c>
      <c r="F1555" s="1">
        <v>0</v>
      </c>
      <c r="G1555" s="1">
        <v>11</v>
      </c>
      <c r="H1555" s="4">
        <v>0.82</v>
      </c>
      <c r="I1555" s="1">
        <v>1</v>
      </c>
      <c r="J1555" s="4">
        <v>1</v>
      </c>
      <c r="K1555" s="1">
        <v>0</v>
      </c>
      <c r="L1555" s="1">
        <v>10</v>
      </c>
      <c r="M1555" s="32">
        <f>IF(Mecze[[#This Row],[PR]]=0,0,Mecze[[#This Row],[PR]]/Mecze[[#This Row],[CZAS]])</f>
        <v>0.12658227848101267</v>
      </c>
      <c r="N1555" s="32">
        <f>IF(Mecze[[#This Row],[OU]]=0,0,Mecze[[#This Row],[OU]]/Mecze[[#This Row],[CZAS]])</f>
        <v>1.2658227848101266E-2</v>
      </c>
      <c r="O1555" s="32">
        <f>IF(Mecze[[#This Row],[PC]]=0,0,Mecze[[#This Row],[PC]]/Mecze[[#This Row],[CZAS]])</f>
        <v>0.11392405063291139</v>
      </c>
      <c r="P1555" s="32">
        <f>IF(Mecze[[#This Row],[SC]]=0,0,Mecze[[#This Row],[SC]]/Mecze[[#This Row],[CZAS]])</f>
        <v>0</v>
      </c>
      <c r="Q1555" s="32">
        <f>IF(Mecze[[#This Row],[OB]]=0,0,Mecze[[#This Row],[OB]]/Mecze[[#This Row],[CZAS]])</f>
        <v>0</v>
      </c>
      <c r="R1555" s="32">
        <f>IF(Mecze[[#This Row],[BR]]=0,0,Mecze[[#This Row],[BR]]/Mecze[[#This Row],[CZAS]])</f>
        <v>0</v>
      </c>
      <c r="S1555" s="44">
        <f>IF(Mecze[[#This Row],[Role]]="BR",SUMPRODUCT(Mecze[[#This Row],[/PR:90]:[/BR:90]],Brudnopis!$E$23:$J$23),0)</f>
        <v>0</v>
      </c>
      <c r="T1555" s="44">
        <f>IF(Mecze[[#This Row],[Role]]&lt;&gt;"BR",SUMPRODUCT(Mecze[[#This Row],[/PR:90]:[/BR:90]],Brudnopis!$E$24:$J$24),0)</f>
        <v>0.25949367088607594</v>
      </c>
      <c r="U1555" s="44">
        <f>IF(Mecze[[#This Row],[Role]]&lt;&gt;"BR",SUMPRODUCT(Mecze[[#This Row],[/PR:90]:[/BR:90]],Brudnopis!$E$25:$J$25),0)</f>
        <v>0.310126582278481</v>
      </c>
      <c r="V1555" s="44">
        <f>IF(Mecze[[#This Row],[Role]]&lt;&gt;"BR",SUMPRODUCT(Mecze[[#This Row],[/PR:90]:[/BR:90]],Brudnopis!$E$26:$J$26),0)</f>
        <v>0.25316455696202533</v>
      </c>
      <c r="W1555" s="44">
        <f>IF(Mecze[[#This Row],[Role]]&lt;&gt;"BR",SUMPRODUCT(Mecze[[#This Row],[/PR:90]:[/BR:90]],Brudnopis!$E$27:$J$27),0)</f>
        <v>0.27531645569620256</v>
      </c>
      <c r="X1555" s="44">
        <f>IF(Mecze[[#This Row],[Role]]&lt;&gt;"BR",SUMPRODUCT(Mecze[[#This Row],[/PR:90]:[/BR:90]],Brudnopis!$E$28:$J$28),0)</f>
        <v>0.11392405063291139</v>
      </c>
      <c r="Y1555" s="35">
        <f>IF(Mecze[[#This Row],[Role]]="BR",Mecze[[#This Row],[/OB:90]]+Mecze[[#This Row],[/PC:90]],SUM(Mecze[[#This Row],[/PR:90]:[/BR:90]]))</f>
        <v>0.25316455696202533</v>
      </c>
      <c r="Z1555" s="35">
        <f>IF(Mecze[[#This Row],[KC]]=0,SUM(Mecze[[#This Row],[/BRI]:[/NPI]]),SUM(Mecze[[#This Row],[/BRI]:[/NPI]])*0.6)</f>
        <v>1.2120253164556962</v>
      </c>
      <c r="AA1555" s="10">
        <f>IFERROR(Mecze[[#This Row],[BR]]/Mecze[[#This Row],[ST]],0)</f>
        <v>0</v>
      </c>
      <c r="AB1555">
        <f>ROUND(Mecze[[#This Row],[PD]]*Mecze[[#This Row],[%PC]],0)</f>
        <v>9</v>
      </c>
      <c r="AC1555">
        <f>ROUND(Mecze[[#This Row],[OD]]*Mecze[[#This Row],[%OU]],0)</f>
        <v>1</v>
      </c>
      <c r="AD1555" s="36" t="s">
        <v>167</v>
      </c>
      <c r="AE1555" s="36">
        <v>84</v>
      </c>
      <c r="AF1555" s="71">
        <v>9.14</v>
      </c>
      <c r="AG1555" s="37">
        <v>0</v>
      </c>
      <c r="AH1555" s="37">
        <v>0</v>
      </c>
      <c r="AI1555" s="37">
        <v>79</v>
      </c>
      <c r="AJ1555" s="37">
        <v>4</v>
      </c>
      <c r="AK1555" s="37" t="str">
        <f>VLOOKUP(Mecze[[#This Row],[Match ID]],Meczusie[Mecz]:Meczusie[RodzajMeczu],2,FALSE)</f>
        <v>Liga</v>
      </c>
    </row>
    <row r="1556" spans="1:37" x14ac:dyDescent="0.25">
      <c r="A1556" s="76">
        <v>12</v>
      </c>
      <c r="B1556" s="3" t="s">
        <v>278</v>
      </c>
      <c r="C1556" s="2" t="s">
        <v>160</v>
      </c>
      <c r="D1556" s="1">
        <v>0</v>
      </c>
      <c r="E1556" s="1">
        <v>0</v>
      </c>
      <c r="F1556" s="1">
        <v>0</v>
      </c>
      <c r="G1556" s="1">
        <v>7</v>
      </c>
      <c r="H1556" s="4">
        <v>0.56999999999999995</v>
      </c>
      <c r="I1556" s="1">
        <v>3</v>
      </c>
      <c r="J1556" s="4">
        <v>0.67</v>
      </c>
      <c r="K1556" s="1">
        <v>0</v>
      </c>
      <c r="L1556" s="1">
        <v>3</v>
      </c>
      <c r="M1556" s="32">
        <f>IF(Mecze[[#This Row],[PR]]=0,0,Mecze[[#This Row],[PR]]/Mecze[[#This Row],[CZAS]])</f>
        <v>3.125E-2</v>
      </c>
      <c r="N1556" s="32">
        <f>IF(Mecze[[#This Row],[OU]]=0,0,Mecze[[#This Row],[OU]]/Mecze[[#This Row],[CZAS]])</f>
        <v>2.0833333333333332E-2</v>
      </c>
      <c r="O1556" s="32">
        <f>IF(Mecze[[#This Row],[PC]]=0,0,Mecze[[#This Row],[PC]]/Mecze[[#This Row],[CZAS]])</f>
        <v>4.1666666666666664E-2</v>
      </c>
      <c r="P1556" s="32">
        <f>IF(Mecze[[#This Row],[SC]]=0,0,Mecze[[#This Row],[SC]]/Mecze[[#This Row],[CZAS]])</f>
        <v>0</v>
      </c>
      <c r="Q1556" s="32">
        <f>IF(Mecze[[#This Row],[OB]]=0,0,Mecze[[#This Row],[OB]]/Mecze[[#This Row],[CZAS]])</f>
        <v>0</v>
      </c>
      <c r="R1556" s="32">
        <f>IF(Mecze[[#This Row],[BR]]=0,0,Mecze[[#This Row],[BR]]/Mecze[[#This Row],[CZAS]])</f>
        <v>0</v>
      </c>
      <c r="S1556" s="44">
        <f>IF(Mecze[[#This Row],[Role]]="BR",SUMPRODUCT(Mecze[[#This Row],[/PR:90]:[/BR:90]],Brudnopis!$E$23:$J$23),0)</f>
        <v>0</v>
      </c>
      <c r="T1556" s="44">
        <f>IF(Mecze[[#This Row],[Role]]&lt;&gt;"BR",SUMPRODUCT(Mecze[[#This Row],[/PR:90]:[/BR:90]],Brudnopis!$E$24:$J$24),0)</f>
        <v>0.10416666666666666</v>
      </c>
      <c r="U1556" s="44">
        <f>IF(Mecze[[#This Row],[Role]]&lt;&gt;"BR",SUMPRODUCT(Mecze[[#This Row],[/PR:90]:[/BR:90]],Brudnopis!$E$25:$J$25),0)</f>
        <v>0.11458333333333333</v>
      </c>
      <c r="V1556" s="44">
        <f>IF(Mecze[[#This Row],[Role]]&lt;&gt;"BR",SUMPRODUCT(Mecze[[#This Row],[/PR:90]:[/BR:90]],Brudnopis!$E$26:$J$26),0)</f>
        <v>9.375E-2</v>
      </c>
      <c r="W1556" s="44">
        <f>IF(Mecze[[#This Row],[Role]]&lt;&gt;"BR",SUMPRODUCT(Mecze[[#This Row],[/PR:90]:[/BR:90]],Brudnopis!$E$27:$J$27),0)</f>
        <v>0.1015625</v>
      </c>
      <c r="X1556" s="44">
        <f>IF(Mecze[[#This Row],[Role]]&lt;&gt;"BR",SUMPRODUCT(Mecze[[#This Row],[/PR:90]:[/BR:90]],Brudnopis!$E$28:$J$28),0)</f>
        <v>4.1666666666666664E-2</v>
      </c>
      <c r="Y1556" s="35">
        <f>IF(Mecze[[#This Row],[Role]]="BR",Mecze[[#This Row],[/OB:90]]+Mecze[[#This Row],[/PC:90]],SUM(Mecze[[#This Row],[/PR:90]:[/BR:90]]))</f>
        <v>9.375E-2</v>
      </c>
      <c r="Z1556" s="35">
        <f>IF(Mecze[[#This Row],[KC]]=0,SUM(Mecze[[#This Row],[/BRI]:[/NPI]]),SUM(Mecze[[#This Row],[/BRI]:[/NPI]])*0.6)</f>
        <v>0.45572916666666669</v>
      </c>
      <c r="AA1556" s="10">
        <f>IFERROR(Mecze[[#This Row],[BR]]/Mecze[[#This Row],[ST]],0)</f>
        <v>0</v>
      </c>
      <c r="AB1556">
        <f>ROUND(Mecze[[#This Row],[PD]]*Mecze[[#This Row],[%PC]],0)</f>
        <v>4</v>
      </c>
      <c r="AC1556">
        <f>ROUND(Mecze[[#This Row],[OD]]*Mecze[[#This Row],[%OU]],0)</f>
        <v>2</v>
      </c>
      <c r="AD1556" s="36" t="s">
        <v>41</v>
      </c>
      <c r="AE1556" s="36">
        <v>84</v>
      </c>
      <c r="AF1556" s="71">
        <v>8.8800000000000008</v>
      </c>
      <c r="AG1556" s="37">
        <v>0</v>
      </c>
      <c r="AH1556" s="37">
        <v>0</v>
      </c>
      <c r="AI1556" s="37">
        <v>96</v>
      </c>
      <c r="AJ1556" s="37">
        <v>4</v>
      </c>
      <c r="AK1556" s="37" t="str">
        <f>VLOOKUP(Mecze[[#This Row],[Match ID]],Meczusie[Mecz]:Meczusie[RodzajMeczu],2,FALSE)</f>
        <v>Liga</v>
      </c>
    </row>
    <row r="1557" spans="1:37" x14ac:dyDescent="0.25">
      <c r="A1557" s="76">
        <v>7</v>
      </c>
      <c r="B1557" s="3" t="s">
        <v>279</v>
      </c>
      <c r="C1557" s="2" t="s">
        <v>160</v>
      </c>
      <c r="D1557" s="1">
        <v>0</v>
      </c>
      <c r="E1557" s="1">
        <v>0</v>
      </c>
      <c r="F1557" s="1">
        <v>0</v>
      </c>
      <c r="G1557" s="1">
        <v>7</v>
      </c>
      <c r="H1557" s="4">
        <v>1</v>
      </c>
      <c r="I1557" s="1">
        <v>6</v>
      </c>
      <c r="J1557" s="4">
        <v>0.5</v>
      </c>
      <c r="K1557" s="1">
        <v>0</v>
      </c>
      <c r="L1557" s="1">
        <v>5</v>
      </c>
      <c r="M1557" s="32">
        <f>IF(Mecze[[#This Row],[PR]]=0,0,Mecze[[#This Row],[PR]]/Mecze[[#This Row],[CZAS]])</f>
        <v>5.2083333333333336E-2</v>
      </c>
      <c r="N1557" s="32">
        <f>IF(Mecze[[#This Row],[OU]]=0,0,Mecze[[#This Row],[OU]]/Mecze[[#This Row],[CZAS]])</f>
        <v>3.125E-2</v>
      </c>
      <c r="O1557" s="32">
        <f>IF(Mecze[[#This Row],[PC]]=0,0,Mecze[[#This Row],[PC]]/Mecze[[#This Row],[CZAS]])</f>
        <v>7.2916666666666671E-2</v>
      </c>
      <c r="P1557" s="32">
        <f>IF(Mecze[[#This Row],[SC]]=0,0,Mecze[[#This Row],[SC]]/Mecze[[#This Row],[CZAS]])</f>
        <v>0</v>
      </c>
      <c r="Q1557" s="32">
        <f>IF(Mecze[[#This Row],[OB]]=0,0,Mecze[[#This Row],[OB]]/Mecze[[#This Row],[CZAS]])</f>
        <v>0</v>
      </c>
      <c r="R1557" s="32">
        <f>IF(Mecze[[#This Row],[BR]]=0,0,Mecze[[#This Row],[BR]]/Mecze[[#This Row],[CZAS]])</f>
        <v>0</v>
      </c>
      <c r="S1557" s="44">
        <f>IF(Mecze[[#This Row],[Role]]="BR",SUMPRODUCT(Mecze[[#This Row],[/PR:90]:[/BR:90]],Brudnopis!$E$23:$J$23),0)</f>
        <v>0</v>
      </c>
      <c r="T1557" s="44">
        <f>IF(Mecze[[#This Row],[Role]]&lt;&gt;"BR",SUMPRODUCT(Mecze[[#This Row],[/PR:90]:[/BR:90]],Brudnopis!$E$24:$J$24),0)</f>
        <v>0.171875</v>
      </c>
      <c r="U1557" s="44">
        <f>IF(Mecze[[#This Row],[Role]]&lt;&gt;"BR",SUMPRODUCT(Mecze[[#This Row],[/PR:90]:[/BR:90]],Brudnopis!$E$25:$J$25),0)</f>
        <v>0.19270833333333334</v>
      </c>
      <c r="V1557" s="44">
        <f>IF(Mecze[[#This Row],[Role]]&lt;&gt;"BR",SUMPRODUCT(Mecze[[#This Row],[/PR:90]:[/BR:90]],Brudnopis!$E$26:$J$26),0)</f>
        <v>0.15625</v>
      </c>
      <c r="W1557" s="44">
        <f>IF(Mecze[[#This Row],[Role]]&lt;&gt;"BR",SUMPRODUCT(Mecze[[#This Row],[/PR:90]:[/BR:90]],Brudnopis!$E$27:$J$27),0)</f>
        <v>0.171875</v>
      </c>
      <c r="X1557" s="44">
        <f>IF(Mecze[[#This Row],[Role]]&lt;&gt;"BR",SUMPRODUCT(Mecze[[#This Row],[/PR:90]:[/BR:90]],Brudnopis!$E$28:$J$28),0)</f>
        <v>7.2916666666666671E-2</v>
      </c>
      <c r="Y1557" s="35">
        <f>IF(Mecze[[#This Row],[Role]]="BR",Mecze[[#This Row],[/OB:90]]+Mecze[[#This Row],[/PC:90]],SUM(Mecze[[#This Row],[/PR:90]:[/BR:90]]))</f>
        <v>0.15625</v>
      </c>
      <c r="Z1557" s="35">
        <f>IF(Mecze[[#This Row],[KC]]=0,SUM(Mecze[[#This Row],[/BRI]:[/NPI]]),SUM(Mecze[[#This Row],[/BRI]:[/NPI]])*0.6)</f>
        <v>0.765625</v>
      </c>
      <c r="AA1557" s="10">
        <f>IFERROR(Mecze[[#This Row],[BR]]/Mecze[[#This Row],[ST]],0)</f>
        <v>0</v>
      </c>
      <c r="AB1557">
        <f>ROUND(Mecze[[#This Row],[PD]]*Mecze[[#This Row],[%PC]],0)</f>
        <v>7</v>
      </c>
      <c r="AC1557">
        <f>ROUND(Mecze[[#This Row],[OD]]*Mecze[[#This Row],[%OU]],0)</f>
        <v>3</v>
      </c>
      <c r="AD1557" s="36" t="s">
        <v>41</v>
      </c>
      <c r="AE1557" s="36">
        <v>84</v>
      </c>
      <c r="AF1557" s="71">
        <v>11.42</v>
      </c>
      <c r="AG1557" s="37">
        <v>0</v>
      </c>
      <c r="AH1557" s="37">
        <v>0</v>
      </c>
      <c r="AI1557" s="37">
        <v>96</v>
      </c>
      <c r="AJ1557" s="37">
        <v>4</v>
      </c>
      <c r="AK1557" s="37" t="str">
        <f>VLOOKUP(Mecze[[#This Row],[Match ID]],Meczusie[Mecz]:Meczusie[RodzajMeczu],2,FALSE)</f>
        <v>Liga</v>
      </c>
    </row>
    <row r="1558" spans="1:37" x14ac:dyDescent="0.25">
      <c r="A1558" s="76">
        <v>6</v>
      </c>
      <c r="B1558" s="3" t="s">
        <v>280</v>
      </c>
      <c r="C1558" s="2" t="s">
        <v>160</v>
      </c>
      <c r="D1558" s="1">
        <v>0</v>
      </c>
      <c r="E1558" s="1">
        <v>1</v>
      </c>
      <c r="F1558" s="1">
        <v>0</v>
      </c>
      <c r="G1558" s="1">
        <v>18</v>
      </c>
      <c r="H1558" s="4">
        <v>0.67</v>
      </c>
      <c r="I1558" s="1">
        <v>10</v>
      </c>
      <c r="J1558" s="4">
        <v>0.7</v>
      </c>
      <c r="K1558" s="1">
        <v>0</v>
      </c>
      <c r="L1558" s="1">
        <v>3</v>
      </c>
      <c r="M1558" s="32">
        <f>IF(Mecze[[#This Row],[PR]]=0,0,Mecze[[#This Row],[PR]]/Mecze[[#This Row],[CZAS]])</f>
        <v>3.125E-2</v>
      </c>
      <c r="N1558" s="32">
        <f>IF(Mecze[[#This Row],[OU]]=0,0,Mecze[[#This Row],[OU]]/Mecze[[#This Row],[CZAS]])</f>
        <v>7.2916666666666671E-2</v>
      </c>
      <c r="O1558" s="32">
        <f>IF(Mecze[[#This Row],[PC]]=0,0,Mecze[[#This Row],[PC]]/Mecze[[#This Row],[CZAS]])</f>
        <v>0.125</v>
      </c>
      <c r="P1558" s="32">
        <f>IF(Mecze[[#This Row],[SC]]=0,0,Mecze[[#This Row],[SC]]/Mecze[[#This Row],[CZAS]])</f>
        <v>0</v>
      </c>
      <c r="Q1558" s="32">
        <f>IF(Mecze[[#This Row],[OB]]=0,0,Mecze[[#This Row],[OB]]/Mecze[[#This Row],[CZAS]])</f>
        <v>0</v>
      </c>
      <c r="R1558" s="32">
        <f>IF(Mecze[[#This Row],[BR]]=0,0,Mecze[[#This Row],[BR]]/Mecze[[#This Row],[CZAS]])</f>
        <v>0</v>
      </c>
      <c r="S1558" s="44">
        <f>IF(Mecze[[#This Row],[Role]]="BR",SUMPRODUCT(Mecze[[#This Row],[/PR:90]:[/BR:90]],Brudnopis!$E$23:$J$23),0)</f>
        <v>0</v>
      </c>
      <c r="T1558" s="44">
        <f>IF(Mecze[[#This Row],[Role]]&lt;&gt;"BR",SUMPRODUCT(Mecze[[#This Row],[/PR:90]:[/BR:90]],Brudnopis!$E$24:$J$24),0)</f>
        <v>0.265625</v>
      </c>
      <c r="U1558" s="44">
        <f>IF(Mecze[[#This Row],[Role]]&lt;&gt;"BR",SUMPRODUCT(Mecze[[#This Row],[/PR:90]:[/BR:90]],Brudnopis!$E$25:$J$25),0)</f>
        <v>0.29166666666666669</v>
      </c>
      <c r="V1558" s="44">
        <f>IF(Mecze[[#This Row],[Role]]&lt;&gt;"BR",SUMPRODUCT(Mecze[[#This Row],[/PR:90]:[/BR:90]],Brudnopis!$E$26:$J$26),0)</f>
        <v>0.22916666666666669</v>
      </c>
      <c r="W1558" s="44">
        <f>IF(Mecze[[#This Row],[Role]]&lt;&gt;"BR",SUMPRODUCT(Mecze[[#This Row],[/PR:90]:[/BR:90]],Brudnopis!$E$27:$J$27),0)</f>
        <v>0.265625</v>
      </c>
      <c r="X1558" s="44">
        <f>IF(Mecze[[#This Row],[Role]]&lt;&gt;"BR",SUMPRODUCT(Mecze[[#This Row],[/PR:90]:[/BR:90]],Brudnopis!$E$28:$J$28),0)</f>
        <v>0.125</v>
      </c>
      <c r="Y1558" s="35">
        <f>IF(Mecze[[#This Row],[Role]]="BR",Mecze[[#This Row],[/OB:90]]+Mecze[[#This Row],[/PC:90]],SUM(Mecze[[#This Row],[/PR:90]:[/BR:90]]))</f>
        <v>0.22916666666666669</v>
      </c>
      <c r="Z1558" s="35">
        <f>IF(Mecze[[#This Row],[KC]]=0,SUM(Mecze[[#This Row],[/BRI]:[/NPI]]),SUM(Mecze[[#This Row],[/BRI]:[/NPI]])*0.6)</f>
        <v>1.1770833333333335</v>
      </c>
      <c r="AA1558" s="10">
        <f>IFERROR(Mecze[[#This Row],[BR]]/Mecze[[#This Row],[ST]],0)</f>
        <v>0</v>
      </c>
      <c r="AB1558">
        <f>ROUND(Mecze[[#This Row],[PD]]*Mecze[[#This Row],[%PC]],0)</f>
        <v>12</v>
      </c>
      <c r="AC1558">
        <f>ROUND(Mecze[[#This Row],[OD]]*Mecze[[#This Row],[%OU]],0)</f>
        <v>7</v>
      </c>
      <c r="AD1558" s="36" t="s">
        <v>67</v>
      </c>
      <c r="AE1558" s="36">
        <v>84</v>
      </c>
      <c r="AF1558" s="71">
        <v>8.8800000000000008</v>
      </c>
      <c r="AG1558" s="37">
        <v>0</v>
      </c>
      <c r="AH1558" s="37">
        <v>0</v>
      </c>
      <c r="AI1558" s="37">
        <v>96</v>
      </c>
      <c r="AJ1558" s="37">
        <v>4</v>
      </c>
      <c r="AK1558" s="37" t="str">
        <f>VLOOKUP(Mecze[[#This Row],[Match ID]],Meczusie[Mecz]:Meczusie[RodzajMeczu],2,FALSE)</f>
        <v>Liga</v>
      </c>
    </row>
    <row r="1559" spans="1:37" x14ac:dyDescent="0.25">
      <c r="A1559" s="76">
        <v>14</v>
      </c>
      <c r="B1559" s="3" t="s">
        <v>281</v>
      </c>
      <c r="C1559" s="2" t="s">
        <v>160</v>
      </c>
      <c r="D1559" s="1">
        <v>0</v>
      </c>
      <c r="E1559" s="1">
        <v>1</v>
      </c>
      <c r="F1559" s="1">
        <v>1</v>
      </c>
      <c r="G1559" s="1">
        <v>13</v>
      </c>
      <c r="H1559" s="4">
        <v>0.62</v>
      </c>
      <c r="I1559" s="1">
        <v>7</v>
      </c>
      <c r="J1559" s="4">
        <v>0.14000000000000001</v>
      </c>
      <c r="K1559" s="1">
        <v>0</v>
      </c>
      <c r="L1559" s="1">
        <v>1</v>
      </c>
      <c r="M1559" s="32">
        <f>IF(Mecze[[#This Row],[PR]]=0,0,Mecze[[#This Row],[PR]]/Mecze[[#This Row],[CZAS]])</f>
        <v>1.2500000000000001E-2</v>
      </c>
      <c r="N1559" s="32">
        <f>IF(Mecze[[#This Row],[OU]]=0,0,Mecze[[#This Row],[OU]]/Mecze[[#This Row],[CZAS]])</f>
        <v>1.2500000000000001E-2</v>
      </c>
      <c r="O1559" s="32">
        <f>IF(Mecze[[#This Row],[PC]]=0,0,Mecze[[#This Row],[PC]]/Mecze[[#This Row],[CZAS]])</f>
        <v>0.1</v>
      </c>
      <c r="P1559" s="32">
        <f>IF(Mecze[[#This Row],[SC]]=0,0,Mecze[[#This Row],[SC]]/Mecze[[#This Row],[CZAS]])</f>
        <v>1.2500000000000001E-2</v>
      </c>
      <c r="Q1559" s="32">
        <f>IF(Mecze[[#This Row],[OB]]=0,0,Mecze[[#This Row],[OB]]/Mecze[[#This Row],[CZAS]])</f>
        <v>0</v>
      </c>
      <c r="R1559" s="32">
        <f>IF(Mecze[[#This Row],[BR]]=0,0,Mecze[[#This Row],[BR]]/Mecze[[#This Row],[CZAS]])</f>
        <v>0</v>
      </c>
      <c r="S1559" s="44">
        <f>IF(Mecze[[#This Row],[Role]]="BR",SUMPRODUCT(Mecze[[#This Row],[/PR:90]:[/BR:90]],Brudnopis!$E$23:$J$23),0)</f>
        <v>0</v>
      </c>
      <c r="T1559" s="44">
        <f>IF(Mecze[[#This Row],[Role]]&lt;&gt;"BR",SUMPRODUCT(Mecze[[#This Row],[/PR:90]:[/BR:90]],Brudnopis!$E$24:$J$24),0)</f>
        <v>0.14375000000000002</v>
      </c>
      <c r="U1559" s="44">
        <f>IF(Mecze[[#This Row],[Role]]&lt;&gt;"BR",SUMPRODUCT(Mecze[[#This Row],[/PR:90]:[/BR:90]],Brudnopis!$E$25:$J$25),0)</f>
        <v>0.18750000000000003</v>
      </c>
      <c r="V1559" s="44">
        <f>IF(Mecze[[#This Row],[Role]]&lt;&gt;"BR",SUMPRODUCT(Mecze[[#This Row],[/PR:90]:[/BR:90]],Brudnopis!$E$26:$J$26),0)</f>
        <v>0.13750000000000001</v>
      </c>
      <c r="W1559" s="44">
        <f>IF(Mecze[[#This Row],[Role]]&lt;&gt;"BR",SUMPRODUCT(Mecze[[#This Row],[/PR:90]:[/BR:90]],Brudnopis!$E$27:$J$27),0)</f>
        <v>0.18125000000000002</v>
      </c>
      <c r="X1559" s="44">
        <f>IF(Mecze[[#This Row],[Role]]&lt;&gt;"BR",SUMPRODUCT(Mecze[[#This Row],[/PR:90]:[/BR:90]],Brudnopis!$E$28:$J$28),0)</f>
        <v>0.125</v>
      </c>
      <c r="Y1559" s="35">
        <f>IF(Mecze[[#This Row],[Role]]="BR",Mecze[[#This Row],[/OB:90]]+Mecze[[#This Row],[/PC:90]],SUM(Mecze[[#This Row],[/PR:90]:[/BR:90]]))</f>
        <v>0.13750000000000001</v>
      </c>
      <c r="Z1559" s="35">
        <f>IF(Mecze[[#This Row],[KC]]=0,SUM(Mecze[[#This Row],[/BRI]:[/NPI]]),SUM(Mecze[[#This Row],[/BRI]:[/NPI]])*0.6)</f>
        <v>0.77500000000000013</v>
      </c>
      <c r="AA1559" s="10">
        <f>IFERROR(Mecze[[#This Row],[BR]]/Mecze[[#This Row],[ST]],0)</f>
        <v>0</v>
      </c>
      <c r="AB1559">
        <f>ROUND(Mecze[[#This Row],[PD]]*Mecze[[#This Row],[%PC]],0)</f>
        <v>8</v>
      </c>
      <c r="AC1559">
        <f>ROUND(Mecze[[#This Row],[OD]]*Mecze[[#This Row],[%OU]],0)</f>
        <v>1</v>
      </c>
      <c r="AD1559" s="36" t="s">
        <v>171</v>
      </c>
      <c r="AE1559" s="36">
        <v>84</v>
      </c>
      <c r="AF1559" s="71">
        <v>8.69</v>
      </c>
      <c r="AG1559" s="37">
        <v>0</v>
      </c>
      <c r="AH1559" s="37">
        <v>0</v>
      </c>
      <c r="AI1559" s="37">
        <v>80</v>
      </c>
      <c r="AJ1559" s="37">
        <v>4</v>
      </c>
      <c r="AK1559" s="37" t="str">
        <f>VLOOKUP(Mecze[[#This Row],[Match ID]],Meczusie[Mecz]:Meczusie[RodzajMeczu],2,FALSE)</f>
        <v>Liga</v>
      </c>
    </row>
    <row r="1560" spans="1:37" x14ac:dyDescent="0.25">
      <c r="A1560" s="76">
        <v>11</v>
      </c>
      <c r="B1560" s="3" t="s">
        <v>282</v>
      </c>
      <c r="C1560" s="2" t="s">
        <v>165</v>
      </c>
      <c r="D1560" s="1">
        <v>0</v>
      </c>
      <c r="E1560" s="1">
        <v>5</v>
      </c>
      <c r="F1560" s="1">
        <v>5</v>
      </c>
      <c r="G1560" s="1">
        <v>4</v>
      </c>
      <c r="H1560" s="4">
        <v>0.75</v>
      </c>
      <c r="I1560" s="1">
        <v>1</v>
      </c>
      <c r="J1560" s="4">
        <v>0</v>
      </c>
      <c r="K1560" s="1">
        <v>0</v>
      </c>
      <c r="L1560" s="1">
        <v>0</v>
      </c>
      <c r="M1560" s="32">
        <f>IF(Mecze[[#This Row],[PR]]=0,0,Mecze[[#This Row],[PR]]/Mecze[[#This Row],[CZAS]])</f>
        <v>0</v>
      </c>
      <c r="N1560" s="32">
        <f>IF(Mecze[[#This Row],[OU]]=0,0,Mecze[[#This Row],[OU]]/Mecze[[#This Row],[CZAS]])</f>
        <v>0</v>
      </c>
      <c r="O1560" s="32">
        <f>IF(Mecze[[#This Row],[PC]]=0,0,Mecze[[#This Row],[PC]]/Mecze[[#This Row],[CZAS]])</f>
        <v>3.7499999999999999E-2</v>
      </c>
      <c r="P1560" s="32">
        <f>IF(Mecze[[#This Row],[SC]]=0,0,Mecze[[#This Row],[SC]]/Mecze[[#This Row],[CZAS]])</f>
        <v>6.25E-2</v>
      </c>
      <c r="Q1560" s="32">
        <f>IF(Mecze[[#This Row],[OB]]=0,0,Mecze[[#This Row],[OB]]/Mecze[[#This Row],[CZAS]])</f>
        <v>0</v>
      </c>
      <c r="R1560" s="32">
        <f>IF(Mecze[[#This Row],[BR]]=0,0,Mecze[[#This Row],[BR]]/Mecze[[#This Row],[CZAS]])</f>
        <v>0</v>
      </c>
      <c r="S1560" s="44">
        <f>IF(Mecze[[#This Row],[Role]]="BR",SUMPRODUCT(Mecze[[#This Row],[/PR:90]:[/BR:90]],Brudnopis!$E$23:$J$23),0)</f>
        <v>0</v>
      </c>
      <c r="T1560" s="44">
        <f>IF(Mecze[[#This Row],[Role]]&lt;&gt;"BR",SUMPRODUCT(Mecze[[#This Row],[/PR:90]:[/BR:90]],Brudnopis!$E$24:$J$24),0)</f>
        <v>0.1</v>
      </c>
      <c r="U1560" s="44">
        <f>IF(Mecze[[#This Row],[Role]]&lt;&gt;"BR",SUMPRODUCT(Mecze[[#This Row],[/PR:90]:[/BR:90]],Brudnopis!$E$25:$J$25),0)</f>
        <v>0.11874999999999999</v>
      </c>
      <c r="V1560" s="44">
        <f>IF(Mecze[[#This Row],[Role]]&lt;&gt;"BR",SUMPRODUCT(Mecze[[#This Row],[/PR:90]:[/BR:90]],Brudnopis!$E$26:$J$26),0)</f>
        <v>0.1</v>
      </c>
      <c r="W1560" s="44">
        <f>IF(Mecze[[#This Row],[Role]]&lt;&gt;"BR",SUMPRODUCT(Mecze[[#This Row],[/PR:90]:[/BR:90]],Brudnopis!$E$27:$J$27),0)</f>
        <v>0.11874999999999999</v>
      </c>
      <c r="X1560" s="44">
        <f>IF(Mecze[[#This Row],[Role]]&lt;&gt;"BR",SUMPRODUCT(Mecze[[#This Row],[/PR:90]:[/BR:90]],Brudnopis!$E$28:$J$28),0)</f>
        <v>0.16250000000000001</v>
      </c>
      <c r="Y1560" s="35">
        <f>IF(Mecze[[#This Row],[Role]]="BR",Mecze[[#This Row],[/OB:90]]+Mecze[[#This Row],[/PC:90]],SUM(Mecze[[#This Row],[/PR:90]:[/BR:90]]))</f>
        <v>0.1</v>
      </c>
      <c r="Z1560" s="35">
        <f>IF(Mecze[[#This Row],[KC]]=0,SUM(Mecze[[#This Row],[/BRI]:[/NPI]]),SUM(Mecze[[#This Row],[/BRI]:[/NPI]])*0.6)</f>
        <v>0.6</v>
      </c>
      <c r="AA1560" s="10">
        <f>IFERROR(Mecze[[#This Row],[BR]]/Mecze[[#This Row],[ST]],0)</f>
        <v>0</v>
      </c>
      <c r="AB1560">
        <f>ROUND(Mecze[[#This Row],[PD]]*Mecze[[#This Row],[%PC]],0)</f>
        <v>3</v>
      </c>
      <c r="AC1560">
        <f>ROUND(Mecze[[#This Row],[OD]]*Mecze[[#This Row],[%OU]],0)</f>
        <v>0</v>
      </c>
      <c r="AD1560" s="36" t="s">
        <v>46</v>
      </c>
      <c r="AE1560" s="36">
        <v>84</v>
      </c>
      <c r="AF1560" s="71">
        <v>5.03</v>
      </c>
      <c r="AG1560" s="37">
        <v>0</v>
      </c>
      <c r="AH1560" s="37">
        <v>0</v>
      </c>
      <c r="AI1560" s="37">
        <v>80</v>
      </c>
      <c r="AJ1560" s="37">
        <v>4</v>
      </c>
      <c r="AK1560" s="37" t="str">
        <f>VLOOKUP(Mecze[[#This Row],[Match ID]],Meczusie[Mecz]:Meczusie[RodzajMeczu],2,FALSE)</f>
        <v>Liga</v>
      </c>
    </row>
    <row r="1561" spans="1:37" x14ac:dyDescent="0.25">
      <c r="A1561" s="76">
        <v>8</v>
      </c>
      <c r="B1561" s="3" t="s">
        <v>283</v>
      </c>
      <c r="C1561" s="2" t="s">
        <v>165</v>
      </c>
      <c r="D1561" s="1">
        <v>0</v>
      </c>
      <c r="E1561" s="1">
        <v>4</v>
      </c>
      <c r="F1561" s="1">
        <v>4</v>
      </c>
      <c r="G1561" s="1">
        <v>10</v>
      </c>
      <c r="H1561" s="4">
        <v>0.7</v>
      </c>
      <c r="I1561" s="1">
        <v>2</v>
      </c>
      <c r="J1561" s="4">
        <v>0.5</v>
      </c>
      <c r="K1561" s="1">
        <v>0</v>
      </c>
      <c r="L1561" s="1">
        <v>0</v>
      </c>
      <c r="M1561" s="32">
        <f>IF(Mecze[[#This Row],[PR]]=0,0,Mecze[[#This Row],[PR]]/Mecze[[#This Row],[CZAS]])</f>
        <v>0</v>
      </c>
      <c r="N1561" s="32">
        <f>IF(Mecze[[#This Row],[OU]]=0,0,Mecze[[#This Row],[OU]]/Mecze[[#This Row],[CZAS]])</f>
        <v>1.0416666666666666E-2</v>
      </c>
      <c r="O1561" s="32">
        <f>IF(Mecze[[#This Row],[PC]]=0,0,Mecze[[#This Row],[PC]]/Mecze[[#This Row],[CZAS]])</f>
        <v>7.2916666666666671E-2</v>
      </c>
      <c r="P1561" s="32">
        <f>IF(Mecze[[#This Row],[SC]]=0,0,Mecze[[#This Row],[SC]]/Mecze[[#This Row],[CZAS]])</f>
        <v>4.1666666666666664E-2</v>
      </c>
      <c r="Q1561" s="32">
        <f>IF(Mecze[[#This Row],[OB]]=0,0,Mecze[[#This Row],[OB]]/Mecze[[#This Row],[CZAS]])</f>
        <v>0</v>
      </c>
      <c r="R1561" s="32">
        <f>IF(Mecze[[#This Row],[BR]]=0,0,Mecze[[#This Row],[BR]]/Mecze[[#This Row],[CZAS]])</f>
        <v>0</v>
      </c>
      <c r="S1561" s="44">
        <f>IF(Mecze[[#This Row],[Role]]="BR",SUMPRODUCT(Mecze[[#This Row],[/PR:90]:[/BR:90]],Brudnopis!$E$23:$J$23),0)</f>
        <v>0</v>
      </c>
      <c r="T1561" s="44">
        <f>IF(Mecze[[#This Row],[Role]]&lt;&gt;"BR",SUMPRODUCT(Mecze[[#This Row],[/PR:90]:[/BR:90]],Brudnopis!$E$24:$J$24),0)</f>
        <v>0.13020833333333334</v>
      </c>
      <c r="U1561" s="44">
        <f>IF(Mecze[[#This Row],[Role]]&lt;&gt;"BR",SUMPRODUCT(Mecze[[#This Row],[/PR:90]:[/BR:90]],Brudnopis!$E$25:$J$25),0)</f>
        <v>0.16145833333333334</v>
      </c>
      <c r="V1561" s="44">
        <f>IF(Mecze[[#This Row],[Role]]&lt;&gt;"BR",SUMPRODUCT(Mecze[[#This Row],[/PR:90]:[/BR:90]],Brudnopis!$E$26:$J$26),0)</f>
        <v>0.125</v>
      </c>
      <c r="W1561" s="44">
        <f>IF(Mecze[[#This Row],[Role]]&lt;&gt;"BR",SUMPRODUCT(Mecze[[#This Row],[/PR:90]:[/BR:90]],Brudnopis!$E$27:$J$27),0)</f>
        <v>0.15885416666666666</v>
      </c>
      <c r="X1561" s="44">
        <f>IF(Mecze[[#This Row],[Role]]&lt;&gt;"BR",SUMPRODUCT(Mecze[[#This Row],[/PR:90]:[/BR:90]],Brudnopis!$E$28:$J$28),0)</f>
        <v>0.15625</v>
      </c>
      <c r="Y1561" s="35">
        <f>IF(Mecze[[#This Row],[Role]]="BR",Mecze[[#This Row],[/OB:90]]+Mecze[[#This Row],[/PC:90]],SUM(Mecze[[#This Row],[/PR:90]:[/BR:90]]))</f>
        <v>0.125</v>
      </c>
      <c r="Z1561" s="35">
        <f>IF(Mecze[[#This Row],[KC]]=0,SUM(Mecze[[#This Row],[/BRI]:[/NPI]]),SUM(Mecze[[#This Row],[/BRI]:[/NPI]])*0.6)</f>
        <v>0.73177083333333337</v>
      </c>
      <c r="AA1561" s="10">
        <f>IFERROR(Mecze[[#This Row],[BR]]/Mecze[[#This Row],[ST]],0)</f>
        <v>0</v>
      </c>
      <c r="AB1561">
        <f>ROUND(Mecze[[#This Row],[PD]]*Mecze[[#This Row],[%PC]],0)</f>
        <v>7</v>
      </c>
      <c r="AC1561">
        <f>ROUND(Mecze[[#This Row],[OD]]*Mecze[[#This Row],[%OU]],0)</f>
        <v>1</v>
      </c>
      <c r="AD1561" s="36" t="s">
        <v>273</v>
      </c>
      <c r="AE1561" s="36">
        <v>84</v>
      </c>
      <c r="AF1561" s="71">
        <v>6.14</v>
      </c>
      <c r="AG1561" s="37">
        <v>0</v>
      </c>
      <c r="AH1561" s="37">
        <v>0</v>
      </c>
      <c r="AI1561" s="37">
        <v>96</v>
      </c>
      <c r="AJ1561" s="37">
        <v>4</v>
      </c>
      <c r="AK1561" s="37" t="str">
        <f>VLOOKUP(Mecze[[#This Row],[Match ID]],Meczusie[Mecz]:Meczusie[RodzajMeczu],2,FALSE)</f>
        <v>Liga</v>
      </c>
    </row>
    <row r="1562" spans="1:37" x14ac:dyDescent="0.25">
      <c r="A1562" s="76">
        <v>10</v>
      </c>
      <c r="B1562" s="3" t="s">
        <v>284</v>
      </c>
      <c r="C1562" s="2" t="s">
        <v>165</v>
      </c>
      <c r="D1562" s="1">
        <v>1</v>
      </c>
      <c r="E1562" s="1">
        <v>13</v>
      </c>
      <c r="F1562" s="1">
        <v>13</v>
      </c>
      <c r="G1562" s="1">
        <v>5</v>
      </c>
      <c r="H1562" s="4">
        <v>0.4</v>
      </c>
      <c r="I1562" s="1">
        <v>0</v>
      </c>
      <c r="J1562" s="4"/>
      <c r="K1562" s="1">
        <v>0</v>
      </c>
      <c r="L1562" s="1">
        <v>1</v>
      </c>
      <c r="M1562" s="32">
        <f>IF(Mecze[[#This Row],[PR]]=0,0,Mecze[[#This Row],[PR]]/Mecze[[#This Row],[CZAS]])</f>
        <v>1.0416666666666666E-2</v>
      </c>
      <c r="N1562" s="32">
        <f>IF(Mecze[[#This Row],[OU]]=0,0,Mecze[[#This Row],[OU]]/Mecze[[#This Row],[CZAS]])</f>
        <v>0</v>
      </c>
      <c r="O1562" s="32">
        <f>IF(Mecze[[#This Row],[PC]]=0,0,Mecze[[#This Row],[PC]]/Mecze[[#This Row],[CZAS]])</f>
        <v>2.0833333333333332E-2</v>
      </c>
      <c r="P1562" s="32">
        <f>IF(Mecze[[#This Row],[SC]]=0,0,Mecze[[#This Row],[SC]]/Mecze[[#This Row],[CZAS]])</f>
        <v>0.13541666666666666</v>
      </c>
      <c r="Q1562" s="32">
        <f>IF(Mecze[[#This Row],[OB]]=0,0,Mecze[[#This Row],[OB]]/Mecze[[#This Row],[CZAS]])</f>
        <v>0</v>
      </c>
      <c r="R1562" s="32">
        <f>IF(Mecze[[#This Row],[BR]]=0,0,Mecze[[#This Row],[BR]]/Mecze[[#This Row],[CZAS]])</f>
        <v>1.0416666666666666E-2</v>
      </c>
      <c r="S1562" s="44">
        <f>IF(Mecze[[#This Row],[Role]]="BR",SUMPRODUCT(Mecze[[#This Row],[/PR:90]:[/BR:90]],Brudnopis!$E$23:$J$23),0)</f>
        <v>0</v>
      </c>
      <c r="T1562" s="44">
        <f>IF(Mecze[[#This Row],[Role]]&lt;&gt;"BR",SUMPRODUCT(Mecze[[#This Row],[/PR:90]:[/BR:90]],Brudnopis!$E$24:$J$24),0)</f>
        <v>0.18229166666666666</v>
      </c>
      <c r="U1562" s="44">
        <f>IF(Mecze[[#This Row],[Role]]&lt;&gt;"BR",SUMPRODUCT(Mecze[[#This Row],[/PR:90]:[/BR:90]],Brudnopis!$E$25:$J$25),0)</f>
        <v>0.19270833333333331</v>
      </c>
      <c r="V1562" s="44">
        <f>IF(Mecze[[#This Row],[Role]]&lt;&gt;"BR",SUMPRODUCT(Mecze[[#This Row],[/PR:90]:[/BR:90]],Brudnopis!$E$26:$J$26),0)</f>
        <v>0.1875</v>
      </c>
      <c r="W1562" s="44">
        <f>IF(Mecze[[#This Row],[Role]]&lt;&gt;"BR",SUMPRODUCT(Mecze[[#This Row],[/PR:90]:[/BR:90]],Brudnopis!$E$27:$J$27),0)</f>
        <v>0.1953125</v>
      </c>
      <c r="X1562" s="44">
        <f>IF(Mecze[[#This Row],[Role]]&lt;&gt;"BR",SUMPRODUCT(Mecze[[#This Row],[/PR:90]:[/BR:90]],Brudnopis!$E$28:$J$28),0)</f>
        <v>0.32291666666666663</v>
      </c>
      <c r="Y1562" s="35">
        <f>IF(Mecze[[#This Row],[Role]]="BR",Mecze[[#This Row],[/OB:90]]+Mecze[[#This Row],[/PC:90]],SUM(Mecze[[#This Row],[/PR:90]:[/BR:90]]))</f>
        <v>0.17708333333333331</v>
      </c>
      <c r="Z1562" s="35">
        <f>IF(Mecze[[#This Row],[KC]]=0,SUM(Mecze[[#This Row],[/BRI]:[/NPI]]),SUM(Mecze[[#This Row],[/BRI]:[/NPI]])*0.6)</f>
        <v>1.0807291666666665</v>
      </c>
      <c r="AA1562" s="10">
        <f>IFERROR(Mecze[[#This Row],[BR]]/Mecze[[#This Row],[ST]],0)</f>
        <v>7.6923076923076927E-2</v>
      </c>
      <c r="AB1562">
        <f>ROUND(Mecze[[#This Row],[PD]]*Mecze[[#This Row],[%PC]],0)</f>
        <v>2</v>
      </c>
      <c r="AC1562">
        <f>ROUND(Mecze[[#This Row],[OD]]*Mecze[[#This Row],[%OU]],0)</f>
        <v>0</v>
      </c>
      <c r="AD1562" s="36" t="s">
        <v>46</v>
      </c>
      <c r="AE1562" s="36">
        <v>84</v>
      </c>
      <c r="AF1562" s="71">
        <v>9.09</v>
      </c>
      <c r="AG1562" s="37">
        <v>0</v>
      </c>
      <c r="AH1562" s="37">
        <v>0</v>
      </c>
      <c r="AI1562" s="37">
        <v>96</v>
      </c>
      <c r="AJ1562" s="37">
        <v>4</v>
      </c>
      <c r="AK1562" s="37" t="str">
        <f>VLOOKUP(Mecze[[#This Row],[Match ID]],Meczusie[Mecz]:Meczusie[RodzajMeczu],2,FALSE)</f>
        <v>Liga</v>
      </c>
    </row>
    <row r="1563" spans="1:37" x14ac:dyDescent="0.25">
      <c r="A1563" s="76">
        <v>2</v>
      </c>
      <c r="B1563" s="3" t="s">
        <v>285</v>
      </c>
      <c r="C1563" s="2" t="s">
        <v>157</v>
      </c>
      <c r="D1563" s="1">
        <v>0</v>
      </c>
      <c r="E1563" s="1">
        <v>0</v>
      </c>
      <c r="F1563" s="1">
        <v>0</v>
      </c>
      <c r="G1563" s="1">
        <v>1</v>
      </c>
      <c r="H1563" s="4">
        <v>1</v>
      </c>
      <c r="I1563" s="1">
        <v>1</v>
      </c>
      <c r="J1563" s="4">
        <v>1</v>
      </c>
      <c r="K1563" s="1">
        <v>0</v>
      </c>
      <c r="L1563" s="1">
        <v>0</v>
      </c>
      <c r="M1563" s="32">
        <f>IF(Mecze[[#This Row],[PR]]=0,0,Mecze[[#This Row],[PR]]/Mecze[[#This Row],[CZAS]])</f>
        <v>0</v>
      </c>
      <c r="N1563" s="32">
        <f>IF(Mecze[[#This Row],[OU]]=0,0,Mecze[[#This Row],[OU]]/Mecze[[#This Row],[CZAS]])</f>
        <v>5.8823529411764705E-2</v>
      </c>
      <c r="O1563" s="32">
        <f>IF(Mecze[[#This Row],[PC]]=0,0,Mecze[[#This Row],[PC]]/Mecze[[#This Row],[CZAS]])</f>
        <v>5.8823529411764705E-2</v>
      </c>
      <c r="P1563" s="32">
        <f>IF(Mecze[[#This Row],[SC]]=0,0,Mecze[[#This Row],[SC]]/Mecze[[#This Row],[CZAS]])</f>
        <v>0</v>
      </c>
      <c r="Q1563" s="32">
        <f>IF(Mecze[[#This Row],[OB]]=0,0,Mecze[[#This Row],[OB]]/Mecze[[#This Row],[CZAS]])</f>
        <v>0</v>
      </c>
      <c r="R1563" s="32">
        <f>IF(Mecze[[#This Row],[BR]]=0,0,Mecze[[#This Row],[BR]]/Mecze[[#This Row],[CZAS]])</f>
        <v>0</v>
      </c>
      <c r="S1563" s="44">
        <f>IF(Mecze[[#This Row],[Role]]="BR",SUMPRODUCT(Mecze[[#This Row],[/PR:90]:[/BR:90]],Brudnopis!$E$23:$J$23),0)</f>
        <v>0</v>
      </c>
      <c r="T1563" s="44">
        <f>IF(Mecze[[#This Row],[Role]]&lt;&gt;"BR",SUMPRODUCT(Mecze[[#This Row],[/PR:90]:[/BR:90]],Brudnopis!$E$24:$J$24),0)</f>
        <v>0.14705882352941174</v>
      </c>
      <c r="U1563" s="44">
        <f>IF(Mecze[[#This Row],[Role]]&lt;&gt;"BR",SUMPRODUCT(Mecze[[#This Row],[/PR:90]:[/BR:90]],Brudnopis!$E$25:$J$25),0)</f>
        <v>0.14705882352941174</v>
      </c>
      <c r="V1563" s="44">
        <f>IF(Mecze[[#This Row],[Role]]&lt;&gt;"BR",SUMPRODUCT(Mecze[[#This Row],[/PR:90]:[/BR:90]],Brudnopis!$E$26:$J$26),0)</f>
        <v>0.11764705882352941</v>
      </c>
      <c r="W1563" s="44">
        <f>IF(Mecze[[#This Row],[Role]]&lt;&gt;"BR",SUMPRODUCT(Mecze[[#This Row],[/PR:90]:[/BR:90]],Brudnopis!$E$27:$J$27),0)</f>
        <v>0.13235294117647056</v>
      </c>
      <c r="X1563" s="44">
        <f>IF(Mecze[[#This Row],[Role]]&lt;&gt;"BR",SUMPRODUCT(Mecze[[#This Row],[/PR:90]:[/BR:90]],Brudnopis!$E$28:$J$28),0)</f>
        <v>5.8823529411764705E-2</v>
      </c>
      <c r="Y1563" s="35">
        <f>IF(Mecze[[#This Row],[Role]]="BR",Mecze[[#This Row],[/OB:90]]+Mecze[[#This Row],[/PC:90]],SUM(Mecze[[#This Row],[/PR:90]:[/BR:90]]))</f>
        <v>0.11764705882352941</v>
      </c>
      <c r="Z1563" s="35">
        <f>IF(Mecze[[#This Row],[KC]]=0,SUM(Mecze[[#This Row],[/BRI]:[/NPI]]),SUM(Mecze[[#This Row],[/BRI]:[/NPI]])*0.6)</f>
        <v>0.6029411764705882</v>
      </c>
      <c r="AA1563" s="10">
        <f>IFERROR(Mecze[[#This Row],[BR]]/Mecze[[#This Row],[ST]],0)</f>
        <v>0</v>
      </c>
      <c r="AB1563">
        <f>ROUND(Mecze[[#This Row],[PD]]*Mecze[[#This Row],[%PC]],0)</f>
        <v>1</v>
      </c>
      <c r="AC1563">
        <f>ROUND(Mecze[[#This Row],[OD]]*Mecze[[#This Row],[%OU]],0)</f>
        <v>1</v>
      </c>
      <c r="AD1563" s="36" t="s">
        <v>167</v>
      </c>
      <c r="AE1563" s="36">
        <v>84</v>
      </c>
      <c r="AF1563" s="71">
        <v>4.84</v>
      </c>
      <c r="AG1563" s="37">
        <v>0</v>
      </c>
      <c r="AH1563" s="37">
        <v>0</v>
      </c>
      <c r="AI1563" s="37">
        <v>17</v>
      </c>
      <c r="AJ1563" s="37">
        <v>4</v>
      </c>
      <c r="AK1563" s="37" t="str">
        <f>VLOOKUP(Mecze[[#This Row],[Match ID]],Meczusie[Mecz]:Meczusie[RodzajMeczu],2,FALSE)</f>
        <v>Liga</v>
      </c>
    </row>
    <row r="1564" spans="1:37" x14ac:dyDescent="0.25">
      <c r="A1564" s="76">
        <v>15</v>
      </c>
      <c r="B1564" s="3" t="s">
        <v>286</v>
      </c>
      <c r="C1564" s="2" t="s">
        <v>165</v>
      </c>
      <c r="D1564" s="1">
        <v>0</v>
      </c>
      <c r="E1564" s="1">
        <v>0</v>
      </c>
      <c r="F1564" s="1">
        <v>0</v>
      </c>
      <c r="G1564" s="1">
        <v>0</v>
      </c>
      <c r="H1564" s="72"/>
      <c r="I1564" s="1">
        <v>1</v>
      </c>
      <c r="J1564" s="4">
        <v>0</v>
      </c>
      <c r="K1564" s="1">
        <v>0</v>
      </c>
      <c r="L1564" s="1">
        <v>0</v>
      </c>
      <c r="M1564" s="32">
        <f>IF(Mecze[[#This Row],[PR]]=0,0,Mecze[[#This Row],[PR]]/Mecze[[#This Row],[CZAS]])</f>
        <v>0</v>
      </c>
      <c r="N1564" s="32">
        <f>IF(Mecze[[#This Row],[OU]]=0,0,Mecze[[#This Row],[OU]]/Mecze[[#This Row],[CZAS]])</f>
        <v>0</v>
      </c>
      <c r="O1564" s="32">
        <f>IF(Mecze[[#This Row],[PC]]=0,0,Mecze[[#This Row],[PC]]/Mecze[[#This Row],[CZAS]])</f>
        <v>0</v>
      </c>
      <c r="P1564" s="32">
        <f>IF(Mecze[[#This Row],[SC]]=0,0,Mecze[[#This Row],[SC]]/Mecze[[#This Row],[CZAS]])</f>
        <v>0</v>
      </c>
      <c r="Q1564" s="32">
        <f>IF(Mecze[[#This Row],[OB]]=0,0,Mecze[[#This Row],[OB]]/Mecze[[#This Row],[CZAS]])</f>
        <v>0</v>
      </c>
      <c r="R1564" s="32">
        <f>IF(Mecze[[#This Row],[BR]]=0,0,Mecze[[#This Row],[BR]]/Mecze[[#This Row],[CZAS]])</f>
        <v>0</v>
      </c>
      <c r="S1564" s="44">
        <f>IF(Mecze[[#This Row],[Role]]="BR",SUMPRODUCT(Mecze[[#This Row],[/PR:90]:[/BR:90]],Brudnopis!$E$23:$J$23),0)</f>
        <v>0</v>
      </c>
      <c r="T1564" s="44">
        <f>IF(Mecze[[#This Row],[Role]]&lt;&gt;"BR",SUMPRODUCT(Mecze[[#This Row],[/PR:90]:[/BR:90]],Brudnopis!$E$24:$J$24),0)</f>
        <v>0</v>
      </c>
      <c r="U1564" s="44">
        <f>IF(Mecze[[#This Row],[Role]]&lt;&gt;"BR",SUMPRODUCT(Mecze[[#This Row],[/PR:90]:[/BR:90]],Brudnopis!$E$25:$J$25),0)</f>
        <v>0</v>
      </c>
      <c r="V1564" s="44">
        <f>IF(Mecze[[#This Row],[Role]]&lt;&gt;"BR",SUMPRODUCT(Mecze[[#This Row],[/PR:90]:[/BR:90]],Brudnopis!$E$26:$J$26),0)</f>
        <v>0</v>
      </c>
      <c r="W1564" s="44">
        <f>IF(Mecze[[#This Row],[Role]]&lt;&gt;"BR",SUMPRODUCT(Mecze[[#This Row],[/PR:90]:[/BR:90]],Brudnopis!$E$27:$J$27),0)</f>
        <v>0</v>
      </c>
      <c r="X1564" s="44">
        <f>IF(Mecze[[#This Row],[Role]]&lt;&gt;"BR",SUMPRODUCT(Mecze[[#This Row],[/PR:90]:[/BR:90]],Brudnopis!$E$28:$J$28),0)</f>
        <v>0</v>
      </c>
      <c r="Y1564" s="35">
        <f>IF(Mecze[[#This Row],[Role]]="BR",Mecze[[#This Row],[/OB:90]]+Mecze[[#This Row],[/PC:90]],SUM(Mecze[[#This Row],[/PR:90]:[/BR:90]]))</f>
        <v>0</v>
      </c>
      <c r="Z1564" s="35">
        <f>IF(Mecze[[#This Row],[KC]]=0,SUM(Mecze[[#This Row],[/BRI]:[/NPI]]),SUM(Mecze[[#This Row],[/BRI]:[/NPI]])*0.6)</f>
        <v>0</v>
      </c>
      <c r="AA1564" s="10">
        <f>IFERROR(Mecze[[#This Row],[BR]]/Mecze[[#This Row],[ST]],0)</f>
        <v>0</v>
      </c>
      <c r="AB1564">
        <f>ROUND(Mecze[[#This Row],[PD]]*Mecze[[#This Row],[%PC]],0)</f>
        <v>0</v>
      </c>
      <c r="AC1564">
        <f>ROUND(Mecze[[#This Row],[OD]]*Mecze[[#This Row],[%OU]],0)</f>
        <v>0</v>
      </c>
      <c r="AD1564" s="36" t="s">
        <v>46</v>
      </c>
      <c r="AE1564" s="36">
        <v>84</v>
      </c>
      <c r="AF1564" s="71">
        <v>1.72</v>
      </c>
      <c r="AG1564" s="37">
        <v>0</v>
      </c>
      <c r="AH1564" s="37">
        <v>0</v>
      </c>
      <c r="AI1564" s="37">
        <v>16</v>
      </c>
      <c r="AJ1564" s="37">
        <v>4</v>
      </c>
      <c r="AK1564" s="37" t="str">
        <f>VLOOKUP(Mecze[[#This Row],[Match ID]],Meczusie[Mecz]:Meczusie[RodzajMeczu],2,FALSE)</f>
        <v>Liga</v>
      </c>
    </row>
    <row r="1565" spans="1:37" x14ac:dyDescent="0.25">
      <c r="A1565" s="76">
        <v>13</v>
      </c>
      <c r="B1565" s="3" t="s">
        <v>287</v>
      </c>
      <c r="C1565" s="2" t="s">
        <v>160</v>
      </c>
      <c r="D1565" s="1">
        <v>0</v>
      </c>
      <c r="E1565" s="1">
        <v>0</v>
      </c>
      <c r="F1565" s="1">
        <v>0</v>
      </c>
      <c r="G1565" s="1">
        <v>1</v>
      </c>
      <c r="H1565" s="4">
        <v>0</v>
      </c>
      <c r="I1565" s="1">
        <v>2</v>
      </c>
      <c r="J1565" s="4">
        <v>0.5</v>
      </c>
      <c r="K1565" s="1">
        <v>0</v>
      </c>
      <c r="L1565" s="1">
        <v>0</v>
      </c>
      <c r="M1565" s="32">
        <f>IF(Mecze[[#This Row],[PR]]=0,0,Mecze[[#This Row],[PR]]/Mecze[[#This Row],[CZAS]])</f>
        <v>0</v>
      </c>
      <c r="N1565" s="32">
        <f>IF(Mecze[[#This Row],[OU]]=0,0,Mecze[[#This Row],[OU]]/Mecze[[#This Row],[CZAS]])</f>
        <v>6.25E-2</v>
      </c>
      <c r="O1565" s="32">
        <f>IF(Mecze[[#This Row],[PC]]=0,0,Mecze[[#This Row],[PC]]/Mecze[[#This Row],[CZAS]])</f>
        <v>0</v>
      </c>
      <c r="P1565" s="32">
        <f>IF(Mecze[[#This Row],[SC]]=0,0,Mecze[[#This Row],[SC]]/Mecze[[#This Row],[CZAS]])</f>
        <v>0</v>
      </c>
      <c r="Q1565" s="32">
        <f>IF(Mecze[[#This Row],[OB]]=0,0,Mecze[[#This Row],[OB]]/Mecze[[#This Row],[CZAS]])</f>
        <v>0</v>
      </c>
      <c r="R1565" s="32">
        <f>IF(Mecze[[#This Row],[BR]]=0,0,Mecze[[#This Row],[BR]]/Mecze[[#This Row],[CZAS]])</f>
        <v>0</v>
      </c>
      <c r="S1565" s="44">
        <f>IF(Mecze[[#This Row],[Role]]="BR",SUMPRODUCT(Mecze[[#This Row],[/PR:90]:[/BR:90]],Brudnopis!$E$23:$J$23),0)</f>
        <v>0</v>
      </c>
      <c r="T1565" s="44">
        <f>IF(Mecze[[#This Row],[Role]]&lt;&gt;"BR",SUMPRODUCT(Mecze[[#This Row],[/PR:90]:[/BR:90]],Brudnopis!$E$24:$J$24),0)</f>
        <v>9.375E-2</v>
      </c>
      <c r="U1565" s="44">
        <f>IF(Mecze[[#This Row],[Role]]&lt;&gt;"BR",SUMPRODUCT(Mecze[[#This Row],[/PR:90]:[/BR:90]],Brudnopis!$E$25:$J$25),0)</f>
        <v>6.25E-2</v>
      </c>
      <c r="V1565" s="44">
        <f>IF(Mecze[[#This Row],[Role]]&lt;&gt;"BR",SUMPRODUCT(Mecze[[#This Row],[/PR:90]:[/BR:90]],Brudnopis!$E$26:$J$26),0)</f>
        <v>6.25E-2</v>
      </c>
      <c r="W1565" s="44">
        <f>IF(Mecze[[#This Row],[Role]]&lt;&gt;"BR",SUMPRODUCT(Mecze[[#This Row],[/PR:90]:[/BR:90]],Brudnopis!$E$27:$J$27),0)</f>
        <v>4.6875E-2</v>
      </c>
      <c r="X1565" s="44">
        <f>IF(Mecze[[#This Row],[Role]]&lt;&gt;"BR",SUMPRODUCT(Mecze[[#This Row],[/PR:90]:[/BR:90]],Brudnopis!$E$28:$J$28),0)</f>
        <v>0</v>
      </c>
      <c r="Y1565" s="35">
        <f>IF(Mecze[[#This Row],[Role]]="BR",Mecze[[#This Row],[/OB:90]]+Mecze[[#This Row],[/PC:90]],SUM(Mecze[[#This Row],[/PR:90]:[/BR:90]]))</f>
        <v>6.25E-2</v>
      </c>
      <c r="Z1565" s="35">
        <f>IF(Mecze[[#This Row],[KC]]=0,SUM(Mecze[[#This Row],[/BRI]:[/NPI]]),SUM(Mecze[[#This Row],[/BRI]:[/NPI]])*0.6)</f>
        <v>0.265625</v>
      </c>
      <c r="AA1565" s="10">
        <f>IFERROR(Mecze[[#This Row],[BR]]/Mecze[[#This Row],[ST]],0)</f>
        <v>0</v>
      </c>
      <c r="AB1565">
        <f>ROUND(Mecze[[#This Row],[PD]]*Mecze[[#This Row],[%PC]],0)</f>
        <v>0</v>
      </c>
      <c r="AC1565">
        <f>ROUND(Mecze[[#This Row],[OD]]*Mecze[[#This Row],[%OU]],0)</f>
        <v>1</v>
      </c>
      <c r="AD1565" s="36" t="s">
        <v>171</v>
      </c>
      <c r="AE1565" s="36">
        <v>84</v>
      </c>
      <c r="AF1565" s="71">
        <v>4.84</v>
      </c>
      <c r="AG1565" s="37">
        <v>0</v>
      </c>
      <c r="AH1565" s="37">
        <v>0</v>
      </c>
      <c r="AI1565" s="37">
        <v>16</v>
      </c>
      <c r="AJ1565" s="37">
        <v>4</v>
      </c>
      <c r="AK1565" s="37" t="str">
        <f>VLOOKUP(Mecze[[#This Row],[Match ID]],Meczusie[Mecz]:Meczusie[RodzajMeczu],2,FALSE)</f>
        <v>Liga</v>
      </c>
    </row>
    <row r="1566" spans="1:37" x14ac:dyDescent="0.25">
      <c r="A1566" s="76">
        <v>1</v>
      </c>
      <c r="B1566" s="3" t="s">
        <v>344</v>
      </c>
      <c r="C1566" s="2" t="s">
        <v>155</v>
      </c>
      <c r="D1566" s="1">
        <v>0</v>
      </c>
      <c r="E1566" s="1">
        <v>0</v>
      </c>
      <c r="F1566" s="1">
        <v>0</v>
      </c>
      <c r="G1566" s="1">
        <v>3</v>
      </c>
      <c r="H1566" s="4">
        <v>0.67</v>
      </c>
      <c r="I1566" s="1">
        <v>0</v>
      </c>
      <c r="J1566" s="4"/>
      <c r="K1566" s="1">
        <v>1</v>
      </c>
      <c r="L1566" s="1">
        <v>0</v>
      </c>
      <c r="M1566" s="32">
        <f>IF(Mecze[[#This Row],[PR]]=0,0,Mecze[[#This Row],[PR]]/Mecze[[#This Row],[CZAS]])</f>
        <v>0</v>
      </c>
      <c r="N1566" s="32">
        <f>IF(Mecze[[#This Row],[OU]]=0,0,Mecze[[#This Row],[OU]]/Mecze[[#This Row],[CZAS]])</f>
        <v>0</v>
      </c>
      <c r="O1566" s="32">
        <f>IF(Mecze[[#This Row],[PC]]=0,0,Mecze[[#This Row],[PC]]/Mecze[[#This Row],[CZAS]])</f>
        <v>2.0833333333333332E-2</v>
      </c>
      <c r="P1566" s="32">
        <f>IF(Mecze[[#This Row],[SC]]=0,0,Mecze[[#This Row],[SC]]/Mecze[[#This Row],[CZAS]])</f>
        <v>0</v>
      </c>
      <c r="Q1566" s="32">
        <f>IF(Mecze[[#This Row],[OB]]=0,0,Mecze[[#This Row],[OB]]/Mecze[[#This Row],[CZAS]])</f>
        <v>1.0416666666666666E-2</v>
      </c>
      <c r="R1566" s="32">
        <f>IF(Mecze[[#This Row],[BR]]=0,0,Mecze[[#This Row],[BR]]/Mecze[[#This Row],[CZAS]])</f>
        <v>0</v>
      </c>
      <c r="S1566" s="44">
        <f>IF(Mecze[[#This Row],[Role]]="BR",SUMPRODUCT(Mecze[[#This Row],[/PR:90]:[/BR:90]],Brudnopis!$E$23:$J$23),0)</f>
        <v>9.375E-2</v>
      </c>
      <c r="T1566" s="44">
        <f>IF(Mecze[[#This Row],[Role]]&lt;&gt;"BR",SUMPRODUCT(Mecze[[#This Row],[/PR:90]:[/BR:90]],Brudnopis!$E$24:$J$24),0)</f>
        <v>0</v>
      </c>
      <c r="U1566" s="44">
        <f>IF(Mecze[[#This Row],[Role]]&lt;&gt;"BR",SUMPRODUCT(Mecze[[#This Row],[/PR:90]:[/BR:90]],Brudnopis!$E$25:$J$25),0)</f>
        <v>0</v>
      </c>
      <c r="V1566" s="44">
        <f>IF(Mecze[[#This Row],[Role]]&lt;&gt;"BR",SUMPRODUCT(Mecze[[#This Row],[/PR:90]:[/BR:90]],Brudnopis!$E$26:$J$26),0)</f>
        <v>0</v>
      </c>
      <c r="W1566" s="44">
        <f>IF(Mecze[[#This Row],[Role]]&lt;&gt;"BR",SUMPRODUCT(Mecze[[#This Row],[/PR:90]:[/BR:90]],Brudnopis!$E$27:$J$27),0)</f>
        <v>0</v>
      </c>
      <c r="X1566" s="44">
        <f>IF(Mecze[[#This Row],[Role]]&lt;&gt;"BR",SUMPRODUCT(Mecze[[#This Row],[/PR:90]:[/BR:90]],Brudnopis!$E$28:$J$28),0)</f>
        <v>0</v>
      </c>
      <c r="Y1566" s="35">
        <f>IF(Mecze[[#This Row],[Role]]="BR",Mecze[[#This Row],[/OB:90]]+Mecze[[#This Row],[/PC:90]],SUM(Mecze[[#This Row],[/PR:90]:[/BR:90]]))</f>
        <v>3.125E-2</v>
      </c>
      <c r="Z1566" s="35">
        <f>IF(Mecze[[#This Row],[KC]]=0,SUM(Mecze[[#This Row],[/BRI]:[/NPI]]),SUM(Mecze[[#This Row],[/BRI]:[/NPI]])*0.6)</f>
        <v>9.375E-2</v>
      </c>
      <c r="AA1566" s="10">
        <f>IFERROR(Mecze[[#This Row],[BR]]/Mecze[[#This Row],[ST]],0)</f>
        <v>0</v>
      </c>
      <c r="AB1566">
        <f>ROUND(Mecze[[#This Row],[PD]]*Mecze[[#This Row],[%PC]],0)</f>
        <v>2</v>
      </c>
      <c r="AC1566">
        <f>ROUND(Mecze[[#This Row],[OD]]*Mecze[[#This Row],[%OU]],0)</f>
        <v>0</v>
      </c>
      <c r="AD1566" s="36" t="s">
        <v>40</v>
      </c>
      <c r="AE1566" s="36">
        <v>85</v>
      </c>
      <c r="AF1566" s="71">
        <v>7.39</v>
      </c>
      <c r="AG1566" s="37">
        <v>0</v>
      </c>
      <c r="AH1566" s="37">
        <v>0</v>
      </c>
      <c r="AI1566" s="37">
        <v>96</v>
      </c>
      <c r="AJ1566" s="37">
        <v>5</v>
      </c>
      <c r="AK1566" s="37" t="str">
        <f>VLOOKUP(Mecze[[#This Row],[Match ID]],Meczusie[Mecz]:Meczusie[RodzajMeczu],2,FALSE)</f>
        <v>Liga</v>
      </c>
    </row>
    <row r="1567" spans="1:37" x14ac:dyDescent="0.25">
      <c r="A1567" s="76">
        <v>2</v>
      </c>
      <c r="B1567" s="3" t="s">
        <v>345</v>
      </c>
      <c r="C1567" s="2" t="s">
        <v>157</v>
      </c>
      <c r="D1567" s="1">
        <v>0</v>
      </c>
      <c r="E1567" s="1">
        <v>0</v>
      </c>
      <c r="F1567" s="1">
        <v>0</v>
      </c>
      <c r="G1567" s="1">
        <v>2</v>
      </c>
      <c r="H1567" s="4">
        <v>1</v>
      </c>
      <c r="I1567" s="1">
        <v>0</v>
      </c>
      <c r="J1567" s="4"/>
      <c r="K1567" s="1">
        <v>0</v>
      </c>
      <c r="L1567" s="1">
        <v>4</v>
      </c>
      <c r="M1567" s="32">
        <f>IF(Mecze[[#This Row],[PR]]=0,0,Mecze[[#This Row],[PR]]/Mecze[[#This Row],[CZAS]])</f>
        <v>4.1666666666666664E-2</v>
      </c>
      <c r="N1567" s="32">
        <f>IF(Mecze[[#This Row],[OU]]=0,0,Mecze[[#This Row],[OU]]/Mecze[[#This Row],[CZAS]])</f>
        <v>0</v>
      </c>
      <c r="O1567" s="32">
        <f>IF(Mecze[[#This Row],[PC]]=0,0,Mecze[[#This Row],[PC]]/Mecze[[#This Row],[CZAS]])</f>
        <v>2.0833333333333332E-2</v>
      </c>
      <c r="P1567" s="32">
        <f>IF(Mecze[[#This Row],[SC]]=0,0,Mecze[[#This Row],[SC]]/Mecze[[#This Row],[CZAS]])</f>
        <v>0</v>
      </c>
      <c r="Q1567" s="32">
        <f>IF(Mecze[[#This Row],[OB]]=0,0,Mecze[[#This Row],[OB]]/Mecze[[#This Row],[CZAS]])</f>
        <v>0</v>
      </c>
      <c r="R1567" s="32">
        <f>IF(Mecze[[#This Row],[BR]]=0,0,Mecze[[#This Row],[BR]]/Mecze[[#This Row],[CZAS]])</f>
        <v>0</v>
      </c>
      <c r="S1567" s="44">
        <f>IF(Mecze[[#This Row],[Role]]="BR",SUMPRODUCT(Mecze[[#This Row],[/PR:90]:[/BR:90]],Brudnopis!$E$23:$J$23),0)</f>
        <v>0</v>
      </c>
      <c r="T1567" s="44">
        <f>IF(Mecze[[#This Row],[Role]]&lt;&gt;"BR",SUMPRODUCT(Mecze[[#This Row],[/PR:90]:[/BR:90]],Brudnopis!$E$24:$J$24),0)</f>
        <v>6.25E-2</v>
      </c>
      <c r="U1567" s="44">
        <f>IF(Mecze[[#This Row],[Role]]&lt;&gt;"BR",SUMPRODUCT(Mecze[[#This Row],[/PR:90]:[/BR:90]],Brudnopis!$E$25:$J$25),0)</f>
        <v>7.2916666666666657E-2</v>
      </c>
      <c r="V1567" s="44">
        <f>IF(Mecze[[#This Row],[Role]]&lt;&gt;"BR",SUMPRODUCT(Mecze[[#This Row],[/PR:90]:[/BR:90]],Brudnopis!$E$26:$J$26),0)</f>
        <v>6.25E-2</v>
      </c>
      <c r="W1567" s="44">
        <f>IF(Mecze[[#This Row],[Role]]&lt;&gt;"BR",SUMPRODUCT(Mecze[[#This Row],[/PR:90]:[/BR:90]],Brudnopis!$E$27:$J$27),0)</f>
        <v>6.25E-2</v>
      </c>
      <c r="X1567" s="44">
        <f>IF(Mecze[[#This Row],[Role]]&lt;&gt;"BR",SUMPRODUCT(Mecze[[#This Row],[/PR:90]:[/BR:90]],Brudnopis!$E$28:$J$28),0)</f>
        <v>2.0833333333333332E-2</v>
      </c>
      <c r="Y1567" s="35">
        <f>IF(Mecze[[#This Row],[Role]]="BR",Mecze[[#This Row],[/OB:90]]+Mecze[[#This Row],[/PC:90]],SUM(Mecze[[#This Row],[/PR:90]:[/BR:90]]))</f>
        <v>6.25E-2</v>
      </c>
      <c r="Z1567" s="35">
        <f>IF(Mecze[[#This Row],[KC]]=0,SUM(Mecze[[#This Row],[/BRI]:[/NPI]]),SUM(Mecze[[#This Row],[/BRI]:[/NPI]])*0.6)</f>
        <v>0.28124999999999994</v>
      </c>
      <c r="AA1567" s="10">
        <f>IFERROR(Mecze[[#This Row],[BR]]/Mecze[[#This Row],[ST]],0)</f>
        <v>0</v>
      </c>
      <c r="AB1567">
        <f>ROUND(Mecze[[#This Row],[PD]]*Mecze[[#This Row],[%PC]],0)</f>
        <v>2</v>
      </c>
      <c r="AC1567">
        <f>ROUND(Mecze[[#This Row],[OD]]*Mecze[[#This Row],[%OU]],0)</f>
        <v>0</v>
      </c>
      <c r="AD1567" s="36" t="s">
        <v>47</v>
      </c>
      <c r="AE1567" s="36">
        <v>85</v>
      </c>
      <c r="AF1567" s="71">
        <v>7.88</v>
      </c>
      <c r="AG1567" s="37">
        <v>0</v>
      </c>
      <c r="AH1567" s="37">
        <v>0</v>
      </c>
      <c r="AI1567" s="37">
        <v>96</v>
      </c>
      <c r="AJ1567" s="37">
        <v>5</v>
      </c>
      <c r="AK1567" s="37" t="str">
        <f>VLOOKUP(Mecze[[#This Row],[Match ID]],Meczusie[Mecz]:Meczusie[RodzajMeczu],2,FALSE)</f>
        <v>Liga</v>
      </c>
    </row>
    <row r="1568" spans="1:37" x14ac:dyDescent="0.25">
      <c r="A1568" s="76">
        <v>4</v>
      </c>
      <c r="B1568" s="3" t="s">
        <v>346</v>
      </c>
      <c r="C1568" s="2" t="s">
        <v>157</v>
      </c>
      <c r="D1568" s="1">
        <v>0</v>
      </c>
      <c r="E1568" s="1">
        <v>0</v>
      </c>
      <c r="F1568" s="1">
        <v>0</v>
      </c>
      <c r="G1568" s="1">
        <v>7</v>
      </c>
      <c r="H1568" s="4">
        <v>0.86</v>
      </c>
      <c r="I1568" s="1">
        <v>1</v>
      </c>
      <c r="J1568" s="4">
        <v>0</v>
      </c>
      <c r="K1568" s="1">
        <v>0</v>
      </c>
      <c r="L1568" s="1">
        <v>8</v>
      </c>
      <c r="M1568" s="32">
        <f>IF(Mecze[[#This Row],[PR]]=0,0,Mecze[[#This Row],[PR]]/Mecze[[#This Row],[CZAS]])</f>
        <v>8.3333333333333329E-2</v>
      </c>
      <c r="N1568" s="32">
        <f>IF(Mecze[[#This Row],[OU]]=0,0,Mecze[[#This Row],[OU]]/Mecze[[#This Row],[CZAS]])</f>
        <v>0</v>
      </c>
      <c r="O1568" s="32">
        <f>IF(Mecze[[#This Row],[PC]]=0,0,Mecze[[#This Row],[PC]]/Mecze[[#This Row],[CZAS]])</f>
        <v>6.25E-2</v>
      </c>
      <c r="P1568" s="32">
        <f>IF(Mecze[[#This Row],[SC]]=0,0,Mecze[[#This Row],[SC]]/Mecze[[#This Row],[CZAS]])</f>
        <v>0</v>
      </c>
      <c r="Q1568" s="32">
        <f>IF(Mecze[[#This Row],[OB]]=0,0,Mecze[[#This Row],[OB]]/Mecze[[#This Row],[CZAS]])</f>
        <v>0</v>
      </c>
      <c r="R1568" s="32">
        <f>IF(Mecze[[#This Row],[BR]]=0,0,Mecze[[#This Row],[BR]]/Mecze[[#This Row],[CZAS]])</f>
        <v>0</v>
      </c>
      <c r="S1568" s="44">
        <f>IF(Mecze[[#This Row],[Role]]="BR",SUMPRODUCT(Mecze[[#This Row],[/PR:90]:[/BR:90]],Brudnopis!$E$23:$J$23),0)</f>
        <v>0</v>
      </c>
      <c r="T1568" s="44">
        <f>IF(Mecze[[#This Row],[Role]]&lt;&gt;"BR",SUMPRODUCT(Mecze[[#This Row],[/PR:90]:[/BR:90]],Brudnopis!$E$24:$J$24),0)</f>
        <v>0.14583333333333331</v>
      </c>
      <c r="U1568" s="44">
        <f>IF(Mecze[[#This Row],[Role]]&lt;&gt;"BR",SUMPRODUCT(Mecze[[#This Row],[/PR:90]:[/BR:90]],Brudnopis!$E$25:$J$25),0)</f>
        <v>0.17708333333333331</v>
      </c>
      <c r="V1568" s="44">
        <f>IF(Mecze[[#This Row],[Role]]&lt;&gt;"BR",SUMPRODUCT(Mecze[[#This Row],[/PR:90]:[/BR:90]],Brudnopis!$E$26:$J$26),0)</f>
        <v>0.14583333333333331</v>
      </c>
      <c r="W1568" s="44">
        <f>IF(Mecze[[#This Row],[Role]]&lt;&gt;"BR",SUMPRODUCT(Mecze[[#This Row],[/PR:90]:[/BR:90]],Brudnopis!$E$27:$J$27),0)</f>
        <v>0.15625</v>
      </c>
      <c r="X1568" s="44">
        <f>IF(Mecze[[#This Row],[Role]]&lt;&gt;"BR",SUMPRODUCT(Mecze[[#This Row],[/PR:90]:[/BR:90]],Brudnopis!$E$28:$J$28),0)</f>
        <v>6.25E-2</v>
      </c>
      <c r="Y1568" s="35">
        <f>IF(Mecze[[#This Row],[Role]]="BR",Mecze[[#This Row],[/OB:90]]+Mecze[[#This Row],[/PC:90]],SUM(Mecze[[#This Row],[/PR:90]:[/BR:90]]))</f>
        <v>0.14583333333333331</v>
      </c>
      <c r="Z1568" s="35">
        <f>IF(Mecze[[#This Row],[KC]]=0,SUM(Mecze[[#This Row],[/BRI]:[/NPI]]),SUM(Mecze[[#This Row],[/BRI]:[/NPI]])*0.6)</f>
        <v>0.6875</v>
      </c>
      <c r="AA1568" s="10">
        <f>IFERROR(Mecze[[#This Row],[BR]]/Mecze[[#This Row],[ST]],0)</f>
        <v>0</v>
      </c>
      <c r="AB1568">
        <f>ROUND(Mecze[[#This Row],[PD]]*Mecze[[#This Row],[%PC]],0)</f>
        <v>6</v>
      </c>
      <c r="AC1568">
        <f>ROUND(Mecze[[#This Row],[OD]]*Mecze[[#This Row],[%OU]],0)</f>
        <v>0</v>
      </c>
      <c r="AD1568" s="36" t="s">
        <v>47</v>
      </c>
      <c r="AE1568" s="36">
        <v>85</v>
      </c>
      <c r="AF1568" s="71">
        <v>8.7200000000000006</v>
      </c>
      <c r="AG1568" s="37">
        <v>0</v>
      </c>
      <c r="AH1568" s="37">
        <v>0</v>
      </c>
      <c r="AI1568" s="37">
        <v>96</v>
      </c>
      <c r="AJ1568" s="37">
        <v>5</v>
      </c>
      <c r="AK1568" s="37" t="str">
        <f>VLOOKUP(Mecze[[#This Row],[Match ID]],Meczusie[Mecz]:Meczusie[RodzajMeczu],2,FALSE)</f>
        <v>Liga</v>
      </c>
    </row>
    <row r="1569" spans="1:37" x14ac:dyDescent="0.25">
      <c r="A1569" s="76">
        <v>5</v>
      </c>
      <c r="B1569" s="3" t="s">
        <v>347</v>
      </c>
      <c r="C1569" s="2" t="s">
        <v>157</v>
      </c>
      <c r="D1569" s="1">
        <v>0</v>
      </c>
      <c r="E1569" s="1">
        <v>0</v>
      </c>
      <c r="F1569" s="1">
        <v>0</v>
      </c>
      <c r="G1569" s="1">
        <v>1</v>
      </c>
      <c r="H1569" s="4">
        <v>1</v>
      </c>
      <c r="I1569" s="1">
        <v>0</v>
      </c>
      <c r="J1569" s="4"/>
      <c r="K1569" s="1">
        <v>0</v>
      </c>
      <c r="L1569" s="1">
        <v>2</v>
      </c>
      <c r="M1569" s="32">
        <f>IF(Mecze[[#This Row],[PR]]=0,0,Mecze[[#This Row],[PR]]/Mecze[[#This Row],[CZAS]])</f>
        <v>2.0833333333333332E-2</v>
      </c>
      <c r="N1569" s="32">
        <f>IF(Mecze[[#This Row],[OU]]=0,0,Mecze[[#This Row],[OU]]/Mecze[[#This Row],[CZAS]])</f>
        <v>0</v>
      </c>
      <c r="O1569" s="32">
        <f>IF(Mecze[[#This Row],[PC]]=0,0,Mecze[[#This Row],[PC]]/Mecze[[#This Row],[CZAS]])</f>
        <v>1.0416666666666666E-2</v>
      </c>
      <c r="P1569" s="32">
        <f>IF(Mecze[[#This Row],[SC]]=0,0,Mecze[[#This Row],[SC]]/Mecze[[#This Row],[CZAS]])</f>
        <v>0</v>
      </c>
      <c r="Q1569" s="32">
        <f>IF(Mecze[[#This Row],[OB]]=0,0,Mecze[[#This Row],[OB]]/Mecze[[#This Row],[CZAS]])</f>
        <v>0</v>
      </c>
      <c r="R1569" s="32">
        <f>IF(Mecze[[#This Row],[BR]]=0,0,Mecze[[#This Row],[BR]]/Mecze[[#This Row],[CZAS]])</f>
        <v>0</v>
      </c>
      <c r="S1569" s="44">
        <f>IF(Mecze[[#This Row],[Role]]="BR",SUMPRODUCT(Mecze[[#This Row],[/PR:90]:[/BR:90]],Brudnopis!$E$23:$J$23),0)</f>
        <v>0</v>
      </c>
      <c r="T1569" s="44">
        <f>IF(Mecze[[#This Row],[Role]]&lt;&gt;"BR",SUMPRODUCT(Mecze[[#This Row],[/PR:90]:[/BR:90]],Brudnopis!$E$24:$J$24),0)</f>
        <v>3.125E-2</v>
      </c>
      <c r="U1569" s="44">
        <f>IF(Mecze[[#This Row],[Role]]&lt;&gt;"BR",SUMPRODUCT(Mecze[[#This Row],[/PR:90]:[/BR:90]],Brudnopis!$E$25:$J$25),0)</f>
        <v>3.6458333333333329E-2</v>
      </c>
      <c r="V1569" s="44">
        <f>IF(Mecze[[#This Row],[Role]]&lt;&gt;"BR",SUMPRODUCT(Mecze[[#This Row],[/PR:90]:[/BR:90]],Brudnopis!$E$26:$J$26),0)</f>
        <v>3.125E-2</v>
      </c>
      <c r="W1569" s="44">
        <f>IF(Mecze[[#This Row],[Role]]&lt;&gt;"BR",SUMPRODUCT(Mecze[[#This Row],[/PR:90]:[/BR:90]],Brudnopis!$E$27:$J$27),0)</f>
        <v>3.125E-2</v>
      </c>
      <c r="X1569" s="44">
        <f>IF(Mecze[[#This Row],[Role]]&lt;&gt;"BR",SUMPRODUCT(Mecze[[#This Row],[/PR:90]:[/BR:90]],Brudnopis!$E$28:$J$28),0)</f>
        <v>1.0416666666666666E-2</v>
      </c>
      <c r="Y1569" s="35">
        <f>IF(Mecze[[#This Row],[Role]]="BR",Mecze[[#This Row],[/OB:90]]+Mecze[[#This Row],[/PC:90]],SUM(Mecze[[#This Row],[/PR:90]:[/BR:90]]))</f>
        <v>3.125E-2</v>
      </c>
      <c r="Z1569" s="35">
        <f>IF(Mecze[[#This Row],[KC]]=0,SUM(Mecze[[#This Row],[/BRI]:[/NPI]]),SUM(Mecze[[#This Row],[/BRI]:[/NPI]])*0.6)</f>
        <v>0.14062499999999997</v>
      </c>
      <c r="AA1569" s="10">
        <f>IFERROR(Mecze[[#This Row],[BR]]/Mecze[[#This Row],[ST]],0)</f>
        <v>0</v>
      </c>
      <c r="AB1569">
        <f>ROUND(Mecze[[#This Row],[PD]]*Mecze[[#This Row],[%PC]],0)</f>
        <v>1</v>
      </c>
      <c r="AC1569">
        <f>ROUND(Mecze[[#This Row],[OD]]*Mecze[[#This Row],[%OU]],0)</f>
        <v>0</v>
      </c>
      <c r="AD1569" s="36" t="s">
        <v>175</v>
      </c>
      <c r="AE1569" s="36">
        <v>85</v>
      </c>
      <c r="AF1569" s="71">
        <v>7.46</v>
      </c>
      <c r="AG1569" s="37">
        <v>0</v>
      </c>
      <c r="AH1569" s="37">
        <v>0</v>
      </c>
      <c r="AI1569" s="37">
        <v>96</v>
      </c>
      <c r="AJ1569" s="37">
        <v>5</v>
      </c>
      <c r="AK1569" s="37" t="str">
        <f>VLOOKUP(Mecze[[#This Row],[Match ID]],Meczusie[Mecz]:Meczusie[RodzajMeczu],2,FALSE)</f>
        <v>Liga</v>
      </c>
    </row>
    <row r="1570" spans="1:37" x14ac:dyDescent="0.25">
      <c r="A1570" s="76">
        <v>3</v>
      </c>
      <c r="B1570" s="3" t="s">
        <v>348</v>
      </c>
      <c r="C1570" s="2" t="s">
        <v>157</v>
      </c>
      <c r="D1570" s="1">
        <v>0</v>
      </c>
      <c r="E1570" s="1">
        <v>0</v>
      </c>
      <c r="F1570" s="1">
        <v>0</v>
      </c>
      <c r="G1570" s="1">
        <v>9</v>
      </c>
      <c r="H1570" s="4">
        <v>0.67</v>
      </c>
      <c r="I1570" s="1">
        <v>2</v>
      </c>
      <c r="J1570" s="4">
        <v>0</v>
      </c>
      <c r="K1570" s="1">
        <v>0</v>
      </c>
      <c r="L1570" s="1">
        <v>8</v>
      </c>
      <c r="M1570" s="32">
        <f>IF(Mecze[[#This Row],[PR]]=0,0,Mecze[[#This Row],[PR]]/Mecze[[#This Row],[CZAS]])</f>
        <v>8.3333333333333329E-2</v>
      </c>
      <c r="N1570" s="32">
        <f>IF(Mecze[[#This Row],[OU]]=0,0,Mecze[[#This Row],[OU]]/Mecze[[#This Row],[CZAS]])</f>
        <v>0</v>
      </c>
      <c r="O1570" s="32">
        <f>IF(Mecze[[#This Row],[PC]]=0,0,Mecze[[#This Row],[PC]]/Mecze[[#This Row],[CZAS]])</f>
        <v>6.25E-2</v>
      </c>
      <c r="P1570" s="32">
        <f>IF(Mecze[[#This Row],[SC]]=0,0,Mecze[[#This Row],[SC]]/Mecze[[#This Row],[CZAS]])</f>
        <v>0</v>
      </c>
      <c r="Q1570" s="32">
        <f>IF(Mecze[[#This Row],[OB]]=0,0,Mecze[[#This Row],[OB]]/Mecze[[#This Row],[CZAS]])</f>
        <v>0</v>
      </c>
      <c r="R1570" s="32">
        <f>IF(Mecze[[#This Row],[BR]]=0,0,Mecze[[#This Row],[BR]]/Mecze[[#This Row],[CZAS]])</f>
        <v>0</v>
      </c>
      <c r="S1570" s="44">
        <f>IF(Mecze[[#This Row],[Role]]="BR",SUMPRODUCT(Mecze[[#This Row],[/PR:90]:[/BR:90]],Brudnopis!$E$23:$J$23),0)</f>
        <v>0</v>
      </c>
      <c r="T1570" s="44">
        <f>IF(Mecze[[#This Row],[Role]]&lt;&gt;"BR",SUMPRODUCT(Mecze[[#This Row],[/PR:90]:[/BR:90]],Brudnopis!$E$24:$J$24),0)</f>
        <v>0.14583333333333331</v>
      </c>
      <c r="U1570" s="44">
        <f>IF(Mecze[[#This Row],[Role]]&lt;&gt;"BR",SUMPRODUCT(Mecze[[#This Row],[/PR:90]:[/BR:90]],Brudnopis!$E$25:$J$25),0)</f>
        <v>0.17708333333333331</v>
      </c>
      <c r="V1570" s="44">
        <f>IF(Mecze[[#This Row],[Role]]&lt;&gt;"BR",SUMPRODUCT(Mecze[[#This Row],[/PR:90]:[/BR:90]],Brudnopis!$E$26:$J$26),0)</f>
        <v>0.14583333333333331</v>
      </c>
      <c r="W1570" s="44">
        <f>IF(Mecze[[#This Row],[Role]]&lt;&gt;"BR",SUMPRODUCT(Mecze[[#This Row],[/PR:90]:[/BR:90]],Brudnopis!$E$27:$J$27),0)</f>
        <v>0.15625</v>
      </c>
      <c r="X1570" s="44">
        <f>IF(Mecze[[#This Row],[Role]]&lt;&gt;"BR",SUMPRODUCT(Mecze[[#This Row],[/PR:90]:[/BR:90]],Brudnopis!$E$28:$J$28),0)</f>
        <v>6.25E-2</v>
      </c>
      <c r="Y1570" s="35">
        <f>IF(Mecze[[#This Row],[Role]]="BR",Mecze[[#This Row],[/OB:90]]+Mecze[[#This Row],[/PC:90]],SUM(Mecze[[#This Row],[/PR:90]:[/BR:90]]))</f>
        <v>0.14583333333333331</v>
      </c>
      <c r="Z1570" s="35">
        <f>IF(Mecze[[#This Row],[KC]]=0,SUM(Mecze[[#This Row],[/BRI]:[/NPI]]),SUM(Mecze[[#This Row],[/BRI]:[/NPI]])*0.6)</f>
        <v>0.6875</v>
      </c>
      <c r="AA1570" s="10">
        <f>IFERROR(Mecze[[#This Row],[BR]]/Mecze[[#This Row],[ST]],0)</f>
        <v>0</v>
      </c>
      <c r="AB1570">
        <f>ROUND(Mecze[[#This Row],[PD]]*Mecze[[#This Row],[%PC]],0)</f>
        <v>6</v>
      </c>
      <c r="AC1570">
        <f>ROUND(Mecze[[#This Row],[OD]]*Mecze[[#This Row],[%OU]],0)</f>
        <v>0</v>
      </c>
      <c r="AD1570" s="36" t="s">
        <v>174</v>
      </c>
      <c r="AE1570" s="36">
        <v>85</v>
      </c>
      <c r="AF1570" s="71">
        <v>8.7200000000000006</v>
      </c>
      <c r="AG1570" s="37">
        <v>0</v>
      </c>
      <c r="AH1570" s="37">
        <v>0</v>
      </c>
      <c r="AI1570" s="37">
        <v>96</v>
      </c>
      <c r="AJ1570" s="37">
        <v>5</v>
      </c>
      <c r="AK1570" s="37" t="str">
        <f>VLOOKUP(Mecze[[#This Row],[Match ID]],Meczusie[Mecz]:Meczusie[RodzajMeczu],2,FALSE)</f>
        <v>Liga</v>
      </c>
    </row>
    <row r="1571" spans="1:37" x14ac:dyDescent="0.25">
      <c r="A1571" s="76">
        <v>6</v>
      </c>
      <c r="B1571" s="3" t="s">
        <v>349</v>
      </c>
      <c r="C1571" s="2" t="s">
        <v>160</v>
      </c>
      <c r="D1571" s="1">
        <v>1</v>
      </c>
      <c r="E1571" s="1">
        <v>1</v>
      </c>
      <c r="F1571" s="1">
        <v>1</v>
      </c>
      <c r="G1571" s="1">
        <v>15</v>
      </c>
      <c r="H1571" s="4">
        <v>0.87</v>
      </c>
      <c r="I1571" s="1">
        <v>0</v>
      </c>
      <c r="J1571" s="4"/>
      <c r="K1571" s="1">
        <v>0</v>
      </c>
      <c r="L1571" s="1">
        <v>12</v>
      </c>
      <c r="M1571" s="32">
        <f>IF(Mecze[[#This Row],[PR]]=0,0,Mecze[[#This Row],[PR]]/Mecze[[#This Row],[CZAS]])</f>
        <v>0.125</v>
      </c>
      <c r="N1571" s="32">
        <f>IF(Mecze[[#This Row],[OU]]=0,0,Mecze[[#This Row],[OU]]/Mecze[[#This Row],[CZAS]])</f>
        <v>0</v>
      </c>
      <c r="O1571" s="32">
        <f>IF(Mecze[[#This Row],[PC]]=0,0,Mecze[[#This Row],[PC]]/Mecze[[#This Row],[CZAS]])</f>
        <v>0.13541666666666666</v>
      </c>
      <c r="P1571" s="32">
        <f>IF(Mecze[[#This Row],[SC]]=0,0,Mecze[[#This Row],[SC]]/Mecze[[#This Row],[CZAS]])</f>
        <v>1.0416666666666666E-2</v>
      </c>
      <c r="Q1571" s="32">
        <f>IF(Mecze[[#This Row],[OB]]=0,0,Mecze[[#This Row],[OB]]/Mecze[[#This Row],[CZAS]])</f>
        <v>0</v>
      </c>
      <c r="R1571" s="32">
        <f>IF(Mecze[[#This Row],[BR]]=0,0,Mecze[[#This Row],[BR]]/Mecze[[#This Row],[CZAS]])</f>
        <v>1.0416666666666666E-2</v>
      </c>
      <c r="S1571" s="44">
        <f>IF(Mecze[[#This Row],[Role]]="BR",SUMPRODUCT(Mecze[[#This Row],[/PR:90]:[/BR:90]],Brudnopis!$E$23:$J$23),0)</f>
        <v>0</v>
      </c>
      <c r="T1571" s="44">
        <f>IF(Mecze[[#This Row],[Role]]&lt;&gt;"BR",SUMPRODUCT(Mecze[[#This Row],[/PR:90]:[/BR:90]],Brudnopis!$E$24:$J$24),0)</f>
        <v>0.28645833333333331</v>
      </c>
      <c r="U1571" s="44">
        <f>IF(Mecze[[#This Row],[Role]]&lt;&gt;"BR",SUMPRODUCT(Mecze[[#This Row],[/PR:90]:[/BR:90]],Brudnopis!$E$25:$J$25),0)</f>
        <v>0.35416666666666669</v>
      </c>
      <c r="V1571" s="44">
        <f>IF(Mecze[[#This Row],[Role]]&lt;&gt;"BR",SUMPRODUCT(Mecze[[#This Row],[/PR:90]:[/BR:90]],Brudnopis!$E$26:$J$26),0)</f>
        <v>0.29166666666666663</v>
      </c>
      <c r="W1571" s="44">
        <f>IF(Mecze[[#This Row],[Role]]&lt;&gt;"BR",SUMPRODUCT(Mecze[[#This Row],[/PR:90]:[/BR:90]],Brudnopis!$E$27:$J$27),0)</f>
        <v>0.328125</v>
      </c>
      <c r="X1571" s="44">
        <f>IF(Mecze[[#This Row],[Role]]&lt;&gt;"BR",SUMPRODUCT(Mecze[[#This Row],[/PR:90]:[/BR:90]],Brudnopis!$E$28:$J$28),0)</f>
        <v>0.1875</v>
      </c>
      <c r="Y1571" s="35">
        <f>IF(Mecze[[#This Row],[Role]]="BR",Mecze[[#This Row],[/OB:90]]+Mecze[[#This Row],[/PC:90]],SUM(Mecze[[#This Row],[/PR:90]:[/BR:90]]))</f>
        <v>0.28125</v>
      </c>
      <c r="Z1571" s="35">
        <f>IF(Mecze[[#This Row],[KC]]=0,SUM(Mecze[[#This Row],[/BRI]:[/NPI]]),SUM(Mecze[[#This Row],[/BRI]:[/NPI]])*0.6)</f>
        <v>1.4479166666666665</v>
      </c>
      <c r="AA1571" s="10">
        <f>IFERROR(Mecze[[#This Row],[BR]]/Mecze[[#This Row],[ST]],0)</f>
        <v>1</v>
      </c>
      <c r="AB1571">
        <f>ROUND(Mecze[[#This Row],[PD]]*Mecze[[#This Row],[%PC]],0)</f>
        <v>13</v>
      </c>
      <c r="AC1571">
        <f>ROUND(Mecze[[#This Row],[OD]]*Mecze[[#This Row],[%OU]],0)</f>
        <v>0</v>
      </c>
      <c r="AD1571" s="36" t="s">
        <v>41</v>
      </c>
      <c r="AE1571" s="36">
        <v>85</v>
      </c>
      <c r="AF1571" s="71">
        <v>14.02</v>
      </c>
      <c r="AG1571" s="37">
        <v>0</v>
      </c>
      <c r="AH1571" s="37">
        <v>0</v>
      </c>
      <c r="AI1571" s="37">
        <v>96</v>
      </c>
      <c r="AJ1571" s="37">
        <v>5</v>
      </c>
      <c r="AK1571" s="37" t="str">
        <f>VLOOKUP(Mecze[[#This Row],[Match ID]],Meczusie[Mecz]:Meczusie[RodzajMeczu],2,FALSE)</f>
        <v>Liga</v>
      </c>
    </row>
    <row r="1572" spans="1:37" x14ac:dyDescent="0.25">
      <c r="A1572" s="76">
        <v>7</v>
      </c>
      <c r="B1572" s="3" t="s">
        <v>350</v>
      </c>
      <c r="C1572" s="2" t="s">
        <v>160</v>
      </c>
      <c r="D1572" s="1">
        <v>0</v>
      </c>
      <c r="E1572" s="1">
        <v>0</v>
      </c>
      <c r="F1572" s="1">
        <v>0</v>
      </c>
      <c r="G1572" s="1">
        <v>20</v>
      </c>
      <c r="H1572" s="4">
        <v>0.9</v>
      </c>
      <c r="I1572" s="1">
        <v>2</v>
      </c>
      <c r="J1572" s="4">
        <v>1</v>
      </c>
      <c r="K1572" s="1">
        <v>0</v>
      </c>
      <c r="L1572" s="1">
        <v>5</v>
      </c>
      <c r="M1572" s="32">
        <f>IF(Mecze[[#This Row],[PR]]=0,0,Mecze[[#This Row],[PR]]/Mecze[[#This Row],[CZAS]])</f>
        <v>5.2083333333333336E-2</v>
      </c>
      <c r="N1572" s="32">
        <f>IF(Mecze[[#This Row],[OU]]=0,0,Mecze[[#This Row],[OU]]/Mecze[[#This Row],[CZAS]])</f>
        <v>2.0833333333333332E-2</v>
      </c>
      <c r="O1572" s="32">
        <f>IF(Mecze[[#This Row],[PC]]=0,0,Mecze[[#This Row],[PC]]/Mecze[[#This Row],[CZAS]])</f>
        <v>0.1875</v>
      </c>
      <c r="P1572" s="32">
        <f>IF(Mecze[[#This Row],[SC]]=0,0,Mecze[[#This Row],[SC]]/Mecze[[#This Row],[CZAS]])</f>
        <v>0</v>
      </c>
      <c r="Q1572" s="32">
        <f>IF(Mecze[[#This Row],[OB]]=0,0,Mecze[[#This Row],[OB]]/Mecze[[#This Row],[CZAS]])</f>
        <v>0</v>
      </c>
      <c r="R1572" s="32">
        <f>IF(Mecze[[#This Row],[BR]]=0,0,Mecze[[#This Row],[BR]]/Mecze[[#This Row],[CZAS]])</f>
        <v>0</v>
      </c>
      <c r="S1572" s="44">
        <f>IF(Mecze[[#This Row],[Role]]="BR",SUMPRODUCT(Mecze[[#This Row],[/PR:90]:[/BR:90]],Brudnopis!$E$23:$J$23),0)</f>
        <v>0</v>
      </c>
      <c r="T1572" s="44">
        <f>IF(Mecze[[#This Row],[Role]]&lt;&gt;"BR",SUMPRODUCT(Mecze[[#This Row],[/PR:90]:[/BR:90]],Brudnopis!$E$24:$J$24),0)</f>
        <v>0.27083333333333337</v>
      </c>
      <c r="U1572" s="44">
        <f>IF(Mecze[[#This Row],[Role]]&lt;&gt;"BR",SUMPRODUCT(Mecze[[#This Row],[/PR:90]:[/BR:90]],Brudnopis!$E$25:$J$25),0)</f>
        <v>0.35416666666666669</v>
      </c>
      <c r="V1572" s="44">
        <f>IF(Mecze[[#This Row],[Role]]&lt;&gt;"BR",SUMPRODUCT(Mecze[[#This Row],[/PR:90]:[/BR:90]],Brudnopis!$E$26:$J$26),0)</f>
        <v>0.26041666666666669</v>
      </c>
      <c r="W1572" s="44">
        <f>IF(Mecze[[#This Row],[Role]]&lt;&gt;"BR",SUMPRODUCT(Mecze[[#This Row],[/PR:90]:[/BR:90]],Brudnopis!$E$27:$J$27),0)</f>
        <v>0.3359375</v>
      </c>
      <c r="X1572" s="44">
        <f>IF(Mecze[[#This Row],[Role]]&lt;&gt;"BR",SUMPRODUCT(Mecze[[#This Row],[/PR:90]:[/BR:90]],Brudnopis!$E$28:$J$28),0)</f>
        <v>0.1875</v>
      </c>
      <c r="Y1572" s="35">
        <f>IF(Mecze[[#This Row],[Role]]="BR",Mecze[[#This Row],[/OB:90]]+Mecze[[#This Row],[/PC:90]],SUM(Mecze[[#This Row],[/PR:90]:[/BR:90]]))</f>
        <v>0.26041666666666669</v>
      </c>
      <c r="Z1572" s="35">
        <f>IF(Mecze[[#This Row],[KC]]=0,SUM(Mecze[[#This Row],[/BRI]:[/NPI]]),SUM(Mecze[[#This Row],[/BRI]:[/NPI]])*0.6)</f>
        <v>1.4088541666666667</v>
      </c>
      <c r="AA1572" s="10">
        <f>IFERROR(Mecze[[#This Row],[BR]]/Mecze[[#This Row],[ST]],0)</f>
        <v>0</v>
      </c>
      <c r="AB1572">
        <f>ROUND(Mecze[[#This Row],[PD]]*Mecze[[#This Row],[%PC]],0)</f>
        <v>18</v>
      </c>
      <c r="AC1572">
        <f>ROUND(Mecze[[#This Row],[OD]]*Mecze[[#This Row],[%OU]],0)</f>
        <v>2</v>
      </c>
      <c r="AD1572" s="36" t="s">
        <v>67</v>
      </c>
      <c r="AE1572" s="36">
        <v>85</v>
      </c>
      <c r="AF1572" s="71">
        <v>10.210000000000001</v>
      </c>
      <c r="AG1572" s="37">
        <v>0</v>
      </c>
      <c r="AH1572" s="37">
        <v>0</v>
      </c>
      <c r="AI1572" s="37">
        <v>96</v>
      </c>
      <c r="AJ1572" s="37">
        <v>5</v>
      </c>
      <c r="AK1572" s="37" t="str">
        <f>VLOOKUP(Mecze[[#This Row],[Match ID]],Meczusie[Mecz]:Meczusie[RodzajMeczu],2,FALSE)</f>
        <v>Liga</v>
      </c>
    </row>
    <row r="1573" spans="1:37" x14ac:dyDescent="0.25">
      <c r="A1573" s="76">
        <v>8</v>
      </c>
      <c r="B1573" s="3" t="s">
        <v>351</v>
      </c>
      <c r="C1573" s="2" t="s">
        <v>160</v>
      </c>
      <c r="D1573" s="1">
        <v>0</v>
      </c>
      <c r="E1573" s="1">
        <v>0</v>
      </c>
      <c r="F1573" s="1">
        <v>0</v>
      </c>
      <c r="G1573" s="1">
        <v>19</v>
      </c>
      <c r="H1573" s="4">
        <v>0.84</v>
      </c>
      <c r="I1573" s="1">
        <v>4</v>
      </c>
      <c r="J1573" s="4">
        <v>1</v>
      </c>
      <c r="K1573" s="1">
        <v>0</v>
      </c>
      <c r="L1573" s="1">
        <v>6</v>
      </c>
      <c r="M1573" s="32">
        <f>IF(Mecze[[#This Row],[PR]]=0,0,Mecze[[#This Row],[PR]]/Mecze[[#This Row],[CZAS]])</f>
        <v>6.25E-2</v>
      </c>
      <c r="N1573" s="32">
        <f>IF(Mecze[[#This Row],[OU]]=0,0,Mecze[[#This Row],[OU]]/Mecze[[#This Row],[CZAS]])</f>
        <v>4.1666666666666664E-2</v>
      </c>
      <c r="O1573" s="32">
        <f>IF(Mecze[[#This Row],[PC]]=0,0,Mecze[[#This Row],[PC]]/Mecze[[#This Row],[CZAS]])</f>
        <v>0.16666666666666666</v>
      </c>
      <c r="P1573" s="32">
        <f>IF(Mecze[[#This Row],[SC]]=0,0,Mecze[[#This Row],[SC]]/Mecze[[#This Row],[CZAS]])</f>
        <v>0</v>
      </c>
      <c r="Q1573" s="32">
        <f>IF(Mecze[[#This Row],[OB]]=0,0,Mecze[[#This Row],[OB]]/Mecze[[#This Row],[CZAS]])</f>
        <v>0</v>
      </c>
      <c r="R1573" s="32">
        <f>IF(Mecze[[#This Row],[BR]]=0,0,Mecze[[#This Row],[BR]]/Mecze[[#This Row],[CZAS]])</f>
        <v>0</v>
      </c>
      <c r="S1573" s="44">
        <f>IF(Mecze[[#This Row],[Role]]="BR",SUMPRODUCT(Mecze[[#This Row],[/PR:90]:[/BR:90]],Brudnopis!$E$23:$J$23),0)</f>
        <v>0</v>
      </c>
      <c r="T1573" s="44">
        <f>IF(Mecze[[#This Row],[Role]]&lt;&gt;"BR",SUMPRODUCT(Mecze[[#This Row],[/PR:90]:[/BR:90]],Brudnopis!$E$24:$J$24),0)</f>
        <v>0.29166666666666663</v>
      </c>
      <c r="U1573" s="44">
        <f>IF(Mecze[[#This Row],[Role]]&lt;&gt;"BR",SUMPRODUCT(Mecze[[#This Row],[/PR:90]:[/BR:90]],Brudnopis!$E$25:$J$25),0)</f>
        <v>0.35416666666666663</v>
      </c>
      <c r="V1573" s="44">
        <f>IF(Mecze[[#This Row],[Role]]&lt;&gt;"BR",SUMPRODUCT(Mecze[[#This Row],[/PR:90]:[/BR:90]],Brudnopis!$E$26:$J$26),0)</f>
        <v>0.27083333333333331</v>
      </c>
      <c r="W1573" s="44">
        <f>IF(Mecze[[#This Row],[Role]]&lt;&gt;"BR",SUMPRODUCT(Mecze[[#This Row],[/PR:90]:[/BR:90]],Brudnopis!$E$27:$J$27),0)</f>
        <v>0.328125</v>
      </c>
      <c r="X1573" s="44">
        <f>IF(Mecze[[#This Row],[Role]]&lt;&gt;"BR",SUMPRODUCT(Mecze[[#This Row],[/PR:90]:[/BR:90]],Brudnopis!$E$28:$J$28),0)</f>
        <v>0.16666666666666666</v>
      </c>
      <c r="Y1573" s="35">
        <f>IF(Mecze[[#This Row],[Role]]="BR",Mecze[[#This Row],[/OB:90]]+Mecze[[#This Row],[/PC:90]],SUM(Mecze[[#This Row],[/PR:90]:[/BR:90]]))</f>
        <v>0.27083333333333331</v>
      </c>
      <c r="Z1573" s="35">
        <f>IF(Mecze[[#This Row],[KC]]=0,SUM(Mecze[[#This Row],[/BRI]:[/NPI]]),SUM(Mecze[[#This Row],[/BRI]:[/NPI]])*0.6)</f>
        <v>1.4114583333333333</v>
      </c>
      <c r="AA1573" s="10">
        <f>IFERROR(Mecze[[#This Row],[BR]]/Mecze[[#This Row],[ST]],0)</f>
        <v>0</v>
      </c>
      <c r="AB1573">
        <f>ROUND(Mecze[[#This Row],[PD]]*Mecze[[#This Row],[%PC]],0)</f>
        <v>16</v>
      </c>
      <c r="AC1573">
        <f>ROUND(Mecze[[#This Row],[OD]]*Mecze[[#This Row],[%OU]],0)</f>
        <v>4</v>
      </c>
      <c r="AD1573" s="36" t="s">
        <v>67</v>
      </c>
      <c r="AE1573" s="36">
        <v>85</v>
      </c>
      <c r="AF1573" s="71">
        <v>10.42</v>
      </c>
      <c r="AG1573" s="37">
        <v>0</v>
      </c>
      <c r="AH1573" s="37">
        <v>0</v>
      </c>
      <c r="AI1573" s="37">
        <v>96</v>
      </c>
      <c r="AJ1573" s="37">
        <v>5</v>
      </c>
      <c r="AK1573" s="37" t="str">
        <f>VLOOKUP(Mecze[[#This Row],[Match ID]],Meczusie[Mecz]:Meczusie[RodzajMeczu],2,FALSE)</f>
        <v>Liga</v>
      </c>
    </row>
    <row r="1574" spans="1:37" x14ac:dyDescent="0.25">
      <c r="A1574" s="76">
        <v>11</v>
      </c>
      <c r="B1574" s="3" t="s">
        <v>353</v>
      </c>
      <c r="C1574" s="2" t="s">
        <v>165</v>
      </c>
      <c r="D1574" s="1">
        <v>2</v>
      </c>
      <c r="E1574" s="1">
        <v>2</v>
      </c>
      <c r="F1574" s="1">
        <v>2</v>
      </c>
      <c r="G1574" s="1">
        <v>9</v>
      </c>
      <c r="H1574" s="4">
        <v>0.78</v>
      </c>
      <c r="I1574" s="1">
        <v>7</v>
      </c>
      <c r="J1574" s="4">
        <v>0.43</v>
      </c>
      <c r="K1574" s="1">
        <v>0</v>
      </c>
      <c r="L1574" s="1">
        <v>3</v>
      </c>
      <c r="M1574" s="32">
        <f>IF(Mecze[[#This Row],[PR]]=0,0,Mecze[[#This Row],[PR]]/Mecze[[#This Row],[CZAS]])</f>
        <v>3.125E-2</v>
      </c>
      <c r="N1574" s="32">
        <f>IF(Mecze[[#This Row],[OU]]=0,0,Mecze[[#This Row],[OU]]/Mecze[[#This Row],[CZAS]])</f>
        <v>3.125E-2</v>
      </c>
      <c r="O1574" s="32">
        <f>IF(Mecze[[#This Row],[PC]]=0,0,Mecze[[#This Row],[PC]]/Mecze[[#This Row],[CZAS]])</f>
        <v>7.2916666666666671E-2</v>
      </c>
      <c r="P1574" s="32">
        <f>IF(Mecze[[#This Row],[SC]]=0,0,Mecze[[#This Row],[SC]]/Mecze[[#This Row],[CZAS]])</f>
        <v>2.0833333333333332E-2</v>
      </c>
      <c r="Q1574" s="32">
        <f>IF(Mecze[[#This Row],[OB]]=0,0,Mecze[[#This Row],[OB]]/Mecze[[#This Row],[CZAS]])</f>
        <v>0</v>
      </c>
      <c r="R1574" s="32">
        <f>IF(Mecze[[#This Row],[BR]]=0,0,Mecze[[#This Row],[BR]]/Mecze[[#This Row],[CZAS]])</f>
        <v>2.0833333333333332E-2</v>
      </c>
      <c r="S1574" s="44">
        <f>IF(Mecze[[#This Row],[Role]]="BR",SUMPRODUCT(Mecze[[#This Row],[/PR:90]:[/BR:90]],Brudnopis!$E$23:$J$23),0)</f>
        <v>0</v>
      </c>
      <c r="T1574" s="44">
        <f>IF(Mecze[[#This Row],[Role]]&lt;&gt;"BR",SUMPRODUCT(Mecze[[#This Row],[/PR:90]:[/BR:90]],Brudnopis!$E$24:$J$24),0)</f>
        <v>0.20312500000000003</v>
      </c>
      <c r="U1574" s="44">
        <f>IF(Mecze[[#This Row],[Role]]&lt;&gt;"BR",SUMPRODUCT(Mecze[[#This Row],[/PR:90]:[/BR:90]],Brudnopis!$E$25:$J$25),0)</f>
        <v>0.22395833333333334</v>
      </c>
      <c r="V1574" s="44">
        <f>IF(Mecze[[#This Row],[Role]]&lt;&gt;"BR",SUMPRODUCT(Mecze[[#This Row],[/PR:90]:[/BR:90]],Brudnopis!$E$26:$J$26),0)</f>
        <v>0.19791666666666669</v>
      </c>
      <c r="W1574" s="44">
        <f>IF(Mecze[[#This Row],[Role]]&lt;&gt;"BR",SUMPRODUCT(Mecze[[#This Row],[/PR:90]:[/BR:90]],Brudnopis!$E$27:$J$27),0)</f>
        <v>0.21875</v>
      </c>
      <c r="X1574" s="44">
        <f>IF(Mecze[[#This Row],[Role]]&lt;&gt;"BR",SUMPRODUCT(Mecze[[#This Row],[/PR:90]:[/BR:90]],Brudnopis!$E$28:$J$28),0)</f>
        <v>0.17708333333333334</v>
      </c>
      <c r="Y1574" s="35">
        <f>IF(Mecze[[#This Row],[Role]]="BR",Mecze[[#This Row],[/OB:90]]+Mecze[[#This Row],[/PC:90]],SUM(Mecze[[#This Row],[/PR:90]:[/BR:90]]))</f>
        <v>0.17708333333333337</v>
      </c>
      <c r="Z1574" s="35">
        <f>IF(Mecze[[#This Row],[KC]]=0,SUM(Mecze[[#This Row],[/BRI]:[/NPI]]),SUM(Mecze[[#This Row],[/BRI]:[/NPI]])*0.6)</f>
        <v>1.0208333333333333</v>
      </c>
      <c r="AA1574" s="10">
        <f>IFERROR(Mecze[[#This Row],[BR]]/Mecze[[#This Row],[ST]],0)</f>
        <v>1</v>
      </c>
      <c r="AB1574">
        <f>ROUND(Mecze[[#This Row],[PD]]*Mecze[[#This Row],[%PC]],0)</f>
        <v>7</v>
      </c>
      <c r="AC1574">
        <f>ROUND(Mecze[[#This Row],[OD]]*Mecze[[#This Row],[%OU]],0)</f>
        <v>3</v>
      </c>
      <c r="AD1574" s="36" t="s">
        <v>46</v>
      </c>
      <c r="AE1574" s="36">
        <v>85</v>
      </c>
      <c r="AF1574" s="71">
        <v>10.3</v>
      </c>
      <c r="AG1574" s="37">
        <v>0</v>
      </c>
      <c r="AH1574" s="37">
        <v>0</v>
      </c>
      <c r="AI1574" s="37">
        <v>96</v>
      </c>
      <c r="AJ1574" s="37">
        <v>5</v>
      </c>
      <c r="AK1574" s="37" t="str">
        <f>VLOOKUP(Mecze[[#This Row],[Match ID]],Meczusie[Mecz]:Meczusie[RodzajMeczu],2,FALSE)</f>
        <v>Liga</v>
      </c>
    </row>
    <row r="1575" spans="1:37" x14ac:dyDescent="0.25">
      <c r="A1575" s="76">
        <v>10</v>
      </c>
      <c r="B1575" s="3" t="s">
        <v>352</v>
      </c>
      <c r="C1575" s="2" t="s">
        <v>165</v>
      </c>
      <c r="D1575" s="1">
        <v>4</v>
      </c>
      <c r="E1575" s="1">
        <v>22</v>
      </c>
      <c r="F1575" s="1">
        <v>21</v>
      </c>
      <c r="G1575" s="1">
        <v>4</v>
      </c>
      <c r="H1575" s="4">
        <v>0.5</v>
      </c>
      <c r="I1575" s="1">
        <v>1</v>
      </c>
      <c r="J1575" s="4">
        <v>0</v>
      </c>
      <c r="K1575" s="1">
        <v>0</v>
      </c>
      <c r="L1575" s="1">
        <v>0</v>
      </c>
      <c r="M1575" s="32">
        <f>IF(Mecze[[#This Row],[PR]]=0,0,Mecze[[#This Row],[PR]]/Mecze[[#This Row],[CZAS]])</f>
        <v>0</v>
      </c>
      <c r="N1575" s="32">
        <f>IF(Mecze[[#This Row],[OU]]=0,0,Mecze[[#This Row],[OU]]/Mecze[[#This Row],[CZAS]])</f>
        <v>0</v>
      </c>
      <c r="O1575" s="32">
        <f>IF(Mecze[[#This Row],[PC]]=0,0,Mecze[[#This Row],[PC]]/Mecze[[#This Row],[CZAS]])</f>
        <v>2.0833333333333332E-2</v>
      </c>
      <c r="P1575" s="32">
        <f>IF(Mecze[[#This Row],[SC]]=0,0,Mecze[[#This Row],[SC]]/Mecze[[#This Row],[CZAS]])</f>
        <v>0.21875</v>
      </c>
      <c r="Q1575" s="32">
        <f>IF(Mecze[[#This Row],[OB]]=0,0,Mecze[[#This Row],[OB]]/Mecze[[#This Row],[CZAS]])</f>
        <v>0</v>
      </c>
      <c r="R1575" s="32">
        <f>IF(Mecze[[#This Row],[BR]]=0,0,Mecze[[#This Row],[BR]]/Mecze[[#This Row],[CZAS]])</f>
        <v>4.1666666666666664E-2</v>
      </c>
      <c r="S1575" s="44">
        <f>IF(Mecze[[#This Row],[Role]]="BR",SUMPRODUCT(Mecze[[#This Row],[/PR:90]:[/BR:90]],Brudnopis!$E$23:$J$23),0)</f>
        <v>0</v>
      </c>
      <c r="T1575" s="44">
        <f>IF(Mecze[[#This Row],[Role]]&lt;&gt;"BR",SUMPRODUCT(Mecze[[#This Row],[/PR:90]:[/BR:90]],Brudnopis!$E$24:$J$24),0)</f>
        <v>0.30208333333333337</v>
      </c>
      <c r="U1575" s="44">
        <f>IF(Mecze[[#This Row],[Role]]&lt;&gt;"BR",SUMPRODUCT(Mecze[[#This Row],[/PR:90]:[/BR:90]],Brudnopis!$E$25:$J$25),0)</f>
        <v>0.3125</v>
      </c>
      <c r="V1575" s="44">
        <f>IF(Mecze[[#This Row],[Role]]&lt;&gt;"BR",SUMPRODUCT(Mecze[[#This Row],[/PR:90]:[/BR:90]],Brudnopis!$E$26:$J$26),0)</f>
        <v>0.32291666666666669</v>
      </c>
      <c r="W1575" s="44">
        <f>IF(Mecze[[#This Row],[Role]]&lt;&gt;"BR",SUMPRODUCT(Mecze[[#This Row],[/PR:90]:[/BR:90]],Brudnopis!$E$27:$J$27),0)</f>
        <v>0.33333333333333331</v>
      </c>
      <c r="X1575" s="44">
        <f>IF(Mecze[[#This Row],[Role]]&lt;&gt;"BR",SUMPRODUCT(Mecze[[#This Row],[/PR:90]:[/BR:90]],Brudnopis!$E$28:$J$28),0)</f>
        <v>0.58333333333333326</v>
      </c>
      <c r="Y1575" s="35">
        <f>IF(Mecze[[#This Row],[Role]]="BR",Mecze[[#This Row],[/OB:90]]+Mecze[[#This Row],[/PC:90]],SUM(Mecze[[#This Row],[/PR:90]:[/BR:90]]))</f>
        <v>0.28125</v>
      </c>
      <c r="Z1575" s="35">
        <f>IF(Mecze[[#This Row],[KC]]=0,SUM(Mecze[[#This Row],[/BRI]:[/NPI]]),SUM(Mecze[[#This Row],[/BRI]:[/NPI]])*0.6)</f>
        <v>1.8541666666666665</v>
      </c>
      <c r="AA1575" s="10">
        <f>IFERROR(Mecze[[#This Row],[BR]]/Mecze[[#This Row],[ST]],0)</f>
        <v>0.18181818181818182</v>
      </c>
      <c r="AB1575">
        <f>ROUND(Mecze[[#This Row],[PD]]*Mecze[[#This Row],[%PC]],0)</f>
        <v>2</v>
      </c>
      <c r="AC1575">
        <f>ROUND(Mecze[[#This Row],[OD]]*Mecze[[#This Row],[%OU]],0)</f>
        <v>0</v>
      </c>
      <c r="AD1575" s="36" t="s">
        <v>272</v>
      </c>
      <c r="AE1575" s="36">
        <v>85</v>
      </c>
      <c r="AF1575" s="71">
        <v>17.75</v>
      </c>
      <c r="AG1575" s="37">
        <v>0</v>
      </c>
      <c r="AH1575" s="37">
        <v>0</v>
      </c>
      <c r="AI1575" s="37">
        <v>96</v>
      </c>
      <c r="AJ1575" s="37">
        <v>5</v>
      </c>
      <c r="AK1575" s="37" t="str">
        <f>VLOOKUP(Mecze[[#This Row],[Match ID]],Meczusie[Mecz]:Meczusie[RodzajMeczu],2,FALSE)</f>
        <v>Liga</v>
      </c>
    </row>
    <row r="1576" spans="1:37" x14ac:dyDescent="0.25">
      <c r="A1576" s="76">
        <v>9</v>
      </c>
      <c r="B1576" s="3" t="s">
        <v>354</v>
      </c>
      <c r="C1576" s="2" t="s">
        <v>165</v>
      </c>
      <c r="D1576" s="1">
        <v>3</v>
      </c>
      <c r="E1576" s="1">
        <v>8</v>
      </c>
      <c r="F1576" s="1">
        <v>7</v>
      </c>
      <c r="G1576" s="1">
        <v>11</v>
      </c>
      <c r="H1576" s="4">
        <v>1</v>
      </c>
      <c r="I1576" s="1">
        <v>1</v>
      </c>
      <c r="J1576" s="4">
        <v>1</v>
      </c>
      <c r="K1576" s="1">
        <v>0</v>
      </c>
      <c r="L1576" s="1">
        <v>1</v>
      </c>
      <c r="M1576" s="32">
        <f>IF(Mecze[[#This Row],[PR]]=0,0,Mecze[[#This Row],[PR]]/Mecze[[#This Row],[CZAS]])</f>
        <v>1.0416666666666666E-2</v>
      </c>
      <c r="N1576" s="32">
        <f>IF(Mecze[[#This Row],[OU]]=0,0,Mecze[[#This Row],[OU]]/Mecze[[#This Row],[CZAS]])</f>
        <v>1.0416666666666666E-2</v>
      </c>
      <c r="O1576" s="32">
        <f>IF(Mecze[[#This Row],[PC]]=0,0,Mecze[[#This Row],[PC]]/Mecze[[#This Row],[CZAS]])</f>
        <v>0.11458333333333333</v>
      </c>
      <c r="P1576" s="32">
        <f>IF(Mecze[[#This Row],[SC]]=0,0,Mecze[[#This Row],[SC]]/Mecze[[#This Row],[CZAS]])</f>
        <v>7.2916666666666671E-2</v>
      </c>
      <c r="Q1576" s="32">
        <f>IF(Mecze[[#This Row],[OB]]=0,0,Mecze[[#This Row],[OB]]/Mecze[[#This Row],[CZAS]])</f>
        <v>0</v>
      </c>
      <c r="R1576" s="32">
        <f>IF(Mecze[[#This Row],[BR]]=0,0,Mecze[[#This Row],[BR]]/Mecze[[#This Row],[CZAS]])</f>
        <v>3.125E-2</v>
      </c>
      <c r="S1576" s="44">
        <f>IF(Mecze[[#This Row],[Role]]="BR",SUMPRODUCT(Mecze[[#This Row],[/PR:90]:[/BR:90]],Brudnopis!$E$23:$J$23),0)</f>
        <v>0</v>
      </c>
      <c r="T1576" s="44">
        <f>IF(Mecze[[#This Row],[Role]]&lt;&gt;"BR",SUMPRODUCT(Mecze[[#This Row],[/PR:90]:[/BR:90]],Brudnopis!$E$24:$J$24),0)</f>
        <v>0.26041666666666669</v>
      </c>
      <c r="U1576" s="44">
        <f>IF(Mecze[[#This Row],[Role]]&lt;&gt;"BR",SUMPRODUCT(Mecze[[#This Row],[/PR:90]:[/BR:90]],Brudnopis!$E$25:$J$25),0)</f>
        <v>0.3125</v>
      </c>
      <c r="V1576" s="44">
        <f>IF(Mecze[[#This Row],[Role]]&lt;&gt;"BR",SUMPRODUCT(Mecze[[#This Row],[/PR:90]:[/BR:90]],Brudnopis!$E$26:$J$26),0)</f>
        <v>0.27083333333333331</v>
      </c>
      <c r="W1576" s="44">
        <f>IF(Mecze[[#This Row],[Role]]&lt;&gt;"BR",SUMPRODUCT(Mecze[[#This Row],[/PR:90]:[/BR:90]],Brudnopis!$E$27:$J$27),0)</f>
        <v>0.32291666666666669</v>
      </c>
      <c r="X1576" s="44">
        <f>IF(Mecze[[#This Row],[Role]]&lt;&gt;"BR",SUMPRODUCT(Mecze[[#This Row],[/PR:90]:[/BR:90]],Brudnopis!$E$28:$J$28),0)</f>
        <v>0.35416666666666669</v>
      </c>
      <c r="Y1576" s="35">
        <f>IF(Mecze[[#This Row],[Role]]="BR",Mecze[[#This Row],[/OB:90]]+Mecze[[#This Row],[/PC:90]],SUM(Mecze[[#This Row],[/PR:90]:[/BR:90]]))</f>
        <v>0.23958333333333331</v>
      </c>
      <c r="Z1576" s="35">
        <f>IF(Mecze[[#This Row],[KC]]=0,SUM(Mecze[[#This Row],[/BRI]:[/NPI]]),SUM(Mecze[[#This Row],[/BRI]:[/NPI]])*0.6)</f>
        <v>1.5208333333333335</v>
      </c>
      <c r="AA1576" s="10">
        <f>IFERROR(Mecze[[#This Row],[BR]]/Mecze[[#This Row],[ST]],0)</f>
        <v>0.375</v>
      </c>
      <c r="AB1576">
        <f>ROUND(Mecze[[#This Row],[PD]]*Mecze[[#This Row],[%PC]],0)</f>
        <v>11</v>
      </c>
      <c r="AC1576">
        <f>ROUND(Mecze[[#This Row],[OD]]*Mecze[[#This Row],[%OU]],0)</f>
        <v>1</v>
      </c>
      <c r="AD1576" s="36" t="s">
        <v>273</v>
      </c>
      <c r="AE1576" s="36">
        <v>85</v>
      </c>
      <c r="AF1576" s="71">
        <v>15.51</v>
      </c>
      <c r="AG1576" s="37">
        <v>0</v>
      </c>
      <c r="AH1576" s="37">
        <v>0</v>
      </c>
      <c r="AI1576" s="37">
        <v>96</v>
      </c>
      <c r="AJ1576" s="37">
        <v>5</v>
      </c>
      <c r="AK1576" s="37" t="str">
        <f>VLOOKUP(Mecze[[#This Row],[Match ID]],Meczusie[Mecz]:Meczusie[RodzajMeczu],2,FALSE)</f>
        <v>Liga</v>
      </c>
    </row>
    <row r="1577" spans="1:37" x14ac:dyDescent="0.25">
      <c r="A1577" s="76">
        <v>1</v>
      </c>
      <c r="B1577" s="3" t="s">
        <v>261</v>
      </c>
      <c r="C1577" s="2" t="s">
        <v>155</v>
      </c>
      <c r="D1577" s="1">
        <v>0</v>
      </c>
      <c r="E1577" s="1">
        <v>0</v>
      </c>
      <c r="F1577" s="1">
        <v>0</v>
      </c>
      <c r="G1577" s="1">
        <v>14</v>
      </c>
      <c r="H1577" s="4">
        <v>0.36</v>
      </c>
      <c r="I1577" s="1">
        <v>0</v>
      </c>
      <c r="J1577" s="4"/>
      <c r="K1577" s="1">
        <v>12</v>
      </c>
      <c r="L1577" s="1">
        <v>0</v>
      </c>
      <c r="M1577" s="32">
        <f>IF(Mecze[[#This Row],[PR]]=0,0,Mecze[[#This Row],[PR]]/Mecze[[#This Row],[CZAS]])</f>
        <v>0</v>
      </c>
      <c r="N1577" s="32">
        <f>IF(Mecze[[#This Row],[OU]]=0,0,Mecze[[#This Row],[OU]]/Mecze[[#This Row],[CZAS]])</f>
        <v>0</v>
      </c>
      <c r="O1577" s="32">
        <f>IF(Mecze[[#This Row],[PC]]=0,0,Mecze[[#This Row],[PC]]/Mecze[[#This Row],[CZAS]])</f>
        <v>5.2083333333333336E-2</v>
      </c>
      <c r="P1577" s="32">
        <f>IF(Mecze[[#This Row],[SC]]=0,0,Mecze[[#This Row],[SC]]/Mecze[[#This Row],[CZAS]])</f>
        <v>0</v>
      </c>
      <c r="Q1577" s="32">
        <f>IF(Mecze[[#This Row],[OB]]=0,0,Mecze[[#This Row],[OB]]/Mecze[[#This Row],[CZAS]])</f>
        <v>0.125</v>
      </c>
      <c r="R1577" s="32">
        <f>IF(Mecze[[#This Row],[BR]]=0,0,Mecze[[#This Row],[BR]]/Mecze[[#This Row],[CZAS]])</f>
        <v>0</v>
      </c>
      <c r="S1577" s="44">
        <f>IF(Mecze[[#This Row],[Role]]="BR",SUMPRODUCT(Mecze[[#This Row],[/PR:90]:[/BR:90]],Brudnopis!$E$23:$J$23),0)</f>
        <v>0.53125</v>
      </c>
      <c r="T1577" s="44">
        <f>IF(Mecze[[#This Row],[Role]]&lt;&gt;"BR",SUMPRODUCT(Mecze[[#This Row],[/PR:90]:[/BR:90]],Brudnopis!$E$24:$J$24),0)</f>
        <v>0</v>
      </c>
      <c r="U1577" s="44">
        <f>IF(Mecze[[#This Row],[Role]]&lt;&gt;"BR",SUMPRODUCT(Mecze[[#This Row],[/PR:90]:[/BR:90]],Brudnopis!$E$25:$J$25),0)</f>
        <v>0</v>
      </c>
      <c r="V1577" s="44">
        <f>IF(Mecze[[#This Row],[Role]]&lt;&gt;"BR",SUMPRODUCT(Mecze[[#This Row],[/PR:90]:[/BR:90]],Brudnopis!$E$26:$J$26),0)</f>
        <v>0</v>
      </c>
      <c r="W1577" s="44">
        <f>IF(Mecze[[#This Row],[Role]]&lt;&gt;"BR",SUMPRODUCT(Mecze[[#This Row],[/PR:90]:[/BR:90]],Brudnopis!$E$27:$J$27),0)</f>
        <v>0</v>
      </c>
      <c r="X1577" s="44">
        <f>IF(Mecze[[#This Row],[Role]]&lt;&gt;"BR",SUMPRODUCT(Mecze[[#This Row],[/PR:90]:[/BR:90]],Brudnopis!$E$28:$J$28),0)</f>
        <v>0</v>
      </c>
      <c r="Y1577" s="35">
        <f>IF(Mecze[[#This Row],[Role]]="BR",Mecze[[#This Row],[/OB:90]]+Mecze[[#This Row],[/PC:90]],SUM(Mecze[[#This Row],[/PR:90]:[/BR:90]]))</f>
        <v>0.17708333333333334</v>
      </c>
      <c r="Z1577" s="35">
        <f>IF(Mecze[[#This Row],[KC]]=0,SUM(Mecze[[#This Row],[/BRI]:[/NPI]]),SUM(Mecze[[#This Row],[/BRI]:[/NPI]])*0.6)</f>
        <v>0.53125</v>
      </c>
      <c r="AA1577" s="10">
        <f>IFERROR(Mecze[[#This Row],[BR]]/Mecze[[#This Row],[ST]],0)</f>
        <v>0</v>
      </c>
      <c r="AB1577">
        <f>ROUND(Mecze[[#This Row],[PD]]*Mecze[[#This Row],[%PC]],0)</f>
        <v>5</v>
      </c>
      <c r="AC1577">
        <f>ROUND(Mecze[[#This Row],[OD]]*Mecze[[#This Row],[%OU]],0)</f>
        <v>0</v>
      </c>
      <c r="AD1577" s="36" t="s">
        <v>40</v>
      </c>
      <c r="AE1577" s="36">
        <v>86</v>
      </c>
      <c r="AF1577" s="71">
        <v>5.79</v>
      </c>
      <c r="AG1577" s="37">
        <v>0</v>
      </c>
      <c r="AH1577" s="37">
        <v>0</v>
      </c>
      <c r="AI1577" s="37">
        <v>96</v>
      </c>
      <c r="AJ1577" s="37">
        <v>3</v>
      </c>
      <c r="AK1577" s="37" t="str">
        <f>VLOOKUP(Mecze[[#This Row],[Match ID]],Meczusie[Mecz]:Meczusie[RodzajMeczu],2,FALSE)</f>
        <v>Liga</v>
      </c>
    </row>
    <row r="1578" spans="1:37" x14ac:dyDescent="0.25">
      <c r="A1578" s="76">
        <v>13</v>
      </c>
      <c r="B1578" s="3" t="s">
        <v>262</v>
      </c>
      <c r="C1578" s="2" t="s">
        <v>157</v>
      </c>
      <c r="D1578" s="1">
        <v>0</v>
      </c>
      <c r="E1578" s="1">
        <v>0</v>
      </c>
      <c r="F1578" s="1">
        <v>0</v>
      </c>
      <c r="G1578" s="1">
        <v>5</v>
      </c>
      <c r="H1578" s="4">
        <v>0.6</v>
      </c>
      <c r="I1578" s="1">
        <v>11</v>
      </c>
      <c r="J1578" s="4">
        <v>0.45</v>
      </c>
      <c r="K1578" s="1">
        <v>0</v>
      </c>
      <c r="L1578" s="1">
        <v>4</v>
      </c>
      <c r="M1578" s="32">
        <f>IF(Mecze[[#This Row],[PR]]=0,0,Mecze[[#This Row],[PR]]/Mecze[[#This Row],[CZAS]])</f>
        <v>4.1666666666666664E-2</v>
      </c>
      <c r="N1578" s="32">
        <f>IF(Mecze[[#This Row],[OU]]=0,0,Mecze[[#This Row],[OU]]/Mecze[[#This Row],[CZAS]])</f>
        <v>5.2083333333333336E-2</v>
      </c>
      <c r="O1578" s="32">
        <f>IF(Mecze[[#This Row],[PC]]=0,0,Mecze[[#This Row],[PC]]/Mecze[[#This Row],[CZAS]])</f>
        <v>3.125E-2</v>
      </c>
      <c r="P1578" s="32">
        <f>IF(Mecze[[#This Row],[SC]]=0,0,Mecze[[#This Row],[SC]]/Mecze[[#This Row],[CZAS]])</f>
        <v>0</v>
      </c>
      <c r="Q1578" s="32">
        <f>IF(Mecze[[#This Row],[OB]]=0,0,Mecze[[#This Row],[OB]]/Mecze[[#This Row],[CZAS]])</f>
        <v>0</v>
      </c>
      <c r="R1578" s="32">
        <f>IF(Mecze[[#This Row],[BR]]=0,0,Mecze[[#This Row],[BR]]/Mecze[[#This Row],[CZAS]])</f>
        <v>0</v>
      </c>
      <c r="S1578" s="44">
        <f>IF(Mecze[[#This Row],[Role]]="BR",SUMPRODUCT(Mecze[[#This Row],[/PR:90]:[/BR:90]],Brudnopis!$E$23:$J$23),0)</f>
        <v>0</v>
      </c>
      <c r="T1578" s="44">
        <f>IF(Mecze[[#This Row],[Role]]&lt;&gt;"BR",SUMPRODUCT(Mecze[[#This Row],[/PR:90]:[/BR:90]],Brudnopis!$E$24:$J$24),0)</f>
        <v>0.15104166666666666</v>
      </c>
      <c r="U1578" s="44">
        <f>IF(Mecze[[#This Row],[Role]]&lt;&gt;"BR",SUMPRODUCT(Mecze[[#This Row],[/PR:90]:[/BR:90]],Brudnopis!$E$25:$J$25),0)</f>
        <v>0.140625</v>
      </c>
      <c r="V1578" s="44">
        <f>IF(Mecze[[#This Row],[Role]]&lt;&gt;"BR",SUMPRODUCT(Mecze[[#This Row],[/PR:90]:[/BR:90]],Brudnopis!$E$26:$J$26),0)</f>
        <v>0.125</v>
      </c>
      <c r="W1578" s="44">
        <f>IF(Mecze[[#This Row],[Role]]&lt;&gt;"BR",SUMPRODUCT(Mecze[[#This Row],[/PR:90]:[/BR:90]],Brudnopis!$E$27:$J$27),0)</f>
        <v>0.1171875</v>
      </c>
      <c r="X1578" s="44">
        <f>IF(Mecze[[#This Row],[Role]]&lt;&gt;"BR",SUMPRODUCT(Mecze[[#This Row],[/PR:90]:[/BR:90]],Brudnopis!$E$28:$J$28),0)</f>
        <v>3.125E-2</v>
      </c>
      <c r="Y1578" s="35">
        <f>IF(Mecze[[#This Row],[Role]]="BR",Mecze[[#This Row],[/OB:90]]+Mecze[[#This Row],[/PC:90]],SUM(Mecze[[#This Row],[/PR:90]:[/BR:90]]))</f>
        <v>0.125</v>
      </c>
      <c r="Z1578" s="35">
        <f>IF(Mecze[[#This Row],[KC]]=0,SUM(Mecze[[#This Row],[/BRI]:[/NPI]]),SUM(Mecze[[#This Row],[/BRI]:[/NPI]])*0.6)</f>
        <v>0.56510416666666663</v>
      </c>
      <c r="AA1578" s="10">
        <f>IFERROR(Mecze[[#This Row],[BR]]/Mecze[[#This Row],[ST]],0)</f>
        <v>0</v>
      </c>
      <c r="AB1578">
        <f>ROUND(Mecze[[#This Row],[PD]]*Mecze[[#This Row],[%PC]],0)</f>
        <v>3</v>
      </c>
      <c r="AC1578">
        <f>ROUND(Mecze[[#This Row],[OD]]*Mecze[[#This Row],[%OU]],0)</f>
        <v>5</v>
      </c>
      <c r="AD1578" s="36" t="s">
        <v>175</v>
      </c>
      <c r="AE1578" s="36">
        <v>86</v>
      </c>
      <c r="AF1578" s="71">
        <v>2.4300000000000002</v>
      </c>
      <c r="AG1578" s="37">
        <v>0</v>
      </c>
      <c r="AH1578" s="37">
        <v>0</v>
      </c>
      <c r="AI1578" s="37">
        <v>96</v>
      </c>
      <c r="AJ1578" s="37">
        <v>3</v>
      </c>
      <c r="AK1578" s="37" t="str">
        <f>VLOOKUP(Mecze[[#This Row],[Match ID]],Meczusie[Mecz]:Meczusie[RodzajMeczu],2,FALSE)</f>
        <v>Liga</v>
      </c>
    </row>
    <row r="1579" spans="1:37" x14ac:dyDescent="0.25">
      <c r="A1579" s="76">
        <v>4</v>
      </c>
      <c r="B1579" s="3" t="s">
        <v>264</v>
      </c>
      <c r="C1579" s="2" t="s">
        <v>157</v>
      </c>
      <c r="D1579" s="1">
        <v>0</v>
      </c>
      <c r="E1579" s="1">
        <v>0</v>
      </c>
      <c r="F1579" s="1">
        <v>0</v>
      </c>
      <c r="G1579" s="1">
        <v>12</v>
      </c>
      <c r="H1579" s="4">
        <v>0.75</v>
      </c>
      <c r="I1579" s="1">
        <v>11</v>
      </c>
      <c r="J1579" s="4">
        <v>0.45</v>
      </c>
      <c r="K1579" s="1">
        <v>0</v>
      </c>
      <c r="L1579" s="1">
        <v>16</v>
      </c>
      <c r="M1579" s="32">
        <f>IF(Mecze[[#This Row],[PR]]=0,0,Mecze[[#This Row],[PR]]/Mecze[[#This Row],[CZAS]])</f>
        <v>0.16666666666666666</v>
      </c>
      <c r="N1579" s="32">
        <f>IF(Mecze[[#This Row],[OU]]=0,0,Mecze[[#This Row],[OU]]/Mecze[[#This Row],[CZAS]])</f>
        <v>5.2083333333333336E-2</v>
      </c>
      <c r="O1579" s="32">
        <f>IF(Mecze[[#This Row],[PC]]=0,0,Mecze[[#This Row],[PC]]/Mecze[[#This Row],[CZAS]])</f>
        <v>9.375E-2</v>
      </c>
      <c r="P1579" s="32">
        <f>IF(Mecze[[#This Row],[SC]]=0,0,Mecze[[#This Row],[SC]]/Mecze[[#This Row],[CZAS]])</f>
        <v>0</v>
      </c>
      <c r="Q1579" s="32">
        <f>IF(Mecze[[#This Row],[OB]]=0,0,Mecze[[#This Row],[OB]]/Mecze[[#This Row],[CZAS]])</f>
        <v>0</v>
      </c>
      <c r="R1579" s="32">
        <f>IF(Mecze[[#This Row],[BR]]=0,0,Mecze[[#This Row],[BR]]/Mecze[[#This Row],[CZAS]])</f>
        <v>0</v>
      </c>
      <c r="S1579" s="44">
        <f>IF(Mecze[[#This Row],[Role]]="BR",SUMPRODUCT(Mecze[[#This Row],[/PR:90]:[/BR:90]],Brudnopis!$E$23:$J$23),0)</f>
        <v>0</v>
      </c>
      <c r="T1579" s="44">
        <f>IF(Mecze[[#This Row],[Role]]&lt;&gt;"BR",SUMPRODUCT(Mecze[[#This Row],[/PR:90]:[/BR:90]],Brudnopis!$E$24:$J$24),0)</f>
        <v>0.33854166666666663</v>
      </c>
      <c r="U1579" s="44">
        <f>IF(Mecze[[#This Row],[Role]]&lt;&gt;"BR",SUMPRODUCT(Mecze[[#This Row],[/PR:90]:[/BR:90]],Brudnopis!$E$25:$J$25),0)</f>
        <v>0.359375</v>
      </c>
      <c r="V1579" s="44">
        <f>IF(Mecze[[#This Row],[Role]]&lt;&gt;"BR",SUMPRODUCT(Mecze[[#This Row],[/PR:90]:[/BR:90]],Brudnopis!$E$26:$J$26),0)</f>
        <v>0.3125</v>
      </c>
      <c r="W1579" s="44">
        <f>IF(Mecze[[#This Row],[Role]]&lt;&gt;"BR",SUMPRODUCT(Mecze[[#This Row],[/PR:90]:[/BR:90]],Brudnopis!$E$27:$J$27),0)</f>
        <v>0.3046875</v>
      </c>
      <c r="X1579" s="44">
        <f>IF(Mecze[[#This Row],[Role]]&lt;&gt;"BR",SUMPRODUCT(Mecze[[#This Row],[/PR:90]:[/BR:90]],Brudnopis!$E$28:$J$28),0)</f>
        <v>9.375E-2</v>
      </c>
      <c r="Y1579" s="35">
        <f>IF(Mecze[[#This Row],[Role]]="BR",Mecze[[#This Row],[/OB:90]]+Mecze[[#This Row],[/PC:90]],SUM(Mecze[[#This Row],[/PR:90]:[/BR:90]]))</f>
        <v>0.3125</v>
      </c>
      <c r="Z1579" s="35">
        <f>IF(Mecze[[#This Row],[KC]]=0,SUM(Mecze[[#This Row],[/BRI]:[/NPI]]),SUM(Mecze[[#This Row],[/BRI]:[/NPI]])*0.6)</f>
        <v>1.4088541666666665</v>
      </c>
      <c r="AA1579" s="10">
        <f>IFERROR(Mecze[[#This Row],[BR]]/Mecze[[#This Row],[ST]],0)</f>
        <v>0</v>
      </c>
      <c r="AB1579">
        <f>ROUND(Mecze[[#This Row],[PD]]*Mecze[[#This Row],[%PC]],0)</f>
        <v>9</v>
      </c>
      <c r="AC1579">
        <f>ROUND(Mecze[[#This Row],[OD]]*Mecze[[#This Row],[%OU]],0)</f>
        <v>5</v>
      </c>
      <c r="AD1579" s="36" t="s">
        <v>174</v>
      </c>
      <c r="AE1579" s="36">
        <v>86</v>
      </c>
      <c r="AF1579" s="71">
        <v>3.84</v>
      </c>
      <c r="AG1579" s="37">
        <v>1</v>
      </c>
      <c r="AH1579" s="37">
        <v>0</v>
      </c>
      <c r="AI1579" s="37">
        <v>96</v>
      </c>
      <c r="AJ1579" s="37">
        <v>3</v>
      </c>
      <c r="AK1579" s="37" t="str">
        <f>VLOOKUP(Mecze[[#This Row],[Match ID]],Meczusie[Mecz]:Meczusie[RodzajMeczu],2,FALSE)</f>
        <v>Liga</v>
      </c>
    </row>
    <row r="1580" spans="1:37" x14ac:dyDescent="0.25">
      <c r="A1580" s="76">
        <v>6</v>
      </c>
      <c r="B1580" s="3" t="s">
        <v>263</v>
      </c>
      <c r="C1580" s="2" t="s">
        <v>157</v>
      </c>
      <c r="D1580" s="1">
        <v>0</v>
      </c>
      <c r="E1580" s="1">
        <v>0</v>
      </c>
      <c r="F1580" s="1">
        <v>0</v>
      </c>
      <c r="G1580" s="1">
        <v>10</v>
      </c>
      <c r="H1580" s="4">
        <v>0.6</v>
      </c>
      <c r="I1580" s="1">
        <v>5</v>
      </c>
      <c r="J1580" s="4">
        <v>0.4</v>
      </c>
      <c r="K1580" s="1">
        <v>0</v>
      </c>
      <c r="L1580" s="1">
        <v>1</v>
      </c>
      <c r="M1580" s="32">
        <f>IF(Mecze[[#This Row],[PR]]=0,0,Mecze[[#This Row],[PR]]/Mecze[[#This Row],[CZAS]])</f>
        <v>1.0416666666666666E-2</v>
      </c>
      <c r="N1580" s="32">
        <f>IF(Mecze[[#This Row],[OU]]=0,0,Mecze[[#This Row],[OU]]/Mecze[[#This Row],[CZAS]])</f>
        <v>2.0833333333333332E-2</v>
      </c>
      <c r="O1580" s="32">
        <f>IF(Mecze[[#This Row],[PC]]=0,0,Mecze[[#This Row],[PC]]/Mecze[[#This Row],[CZAS]])</f>
        <v>6.25E-2</v>
      </c>
      <c r="P1580" s="32">
        <f>IF(Mecze[[#This Row],[SC]]=0,0,Mecze[[#This Row],[SC]]/Mecze[[#This Row],[CZAS]])</f>
        <v>0</v>
      </c>
      <c r="Q1580" s="32">
        <f>IF(Mecze[[#This Row],[OB]]=0,0,Mecze[[#This Row],[OB]]/Mecze[[#This Row],[CZAS]])</f>
        <v>0</v>
      </c>
      <c r="R1580" s="32">
        <f>IF(Mecze[[#This Row],[BR]]=0,0,Mecze[[#This Row],[BR]]/Mecze[[#This Row],[CZAS]])</f>
        <v>0</v>
      </c>
      <c r="S1580" s="44">
        <f>IF(Mecze[[#This Row],[Role]]="BR",SUMPRODUCT(Mecze[[#This Row],[/PR:90]:[/BR:90]],Brudnopis!$E$23:$J$23),0)</f>
        <v>0</v>
      </c>
      <c r="T1580" s="44">
        <f>IF(Mecze[[#This Row],[Role]]&lt;&gt;"BR",SUMPRODUCT(Mecze[[#This Row],[/PR:90]:[/BR:90]],Brudnopis!$E$24:$J$24),0)</f>
        <v>0.10416666666666666</v>
      </c>
      <c r="U1580" s="44">
        <f>IF(Mecze[[#This Row],[Role]]&lt;&gt;"BR",SUMPRODUCT(Mecze[[#This Row],[/PR:90]:[/BR:90]],Brudnopis!$E$25:$J$25),0)</f>
        <v>0.125</v>
      </c>
      <c r="V1580" s="44">
        <f>IF(Mecze[[#This Row],[Role]]&lt;&gt;"BR",SUMPRODUCT(Mecze[[#This Row],[/PR:90]:[/BR:90]],Brudnopis!$E$26:$J$26),0)</f>
        <v>9.375E-2</v>
      </c>
      <c r="W1580" s="44">
        <f>IF(Mecze[[#This Row],[Role]]&lt;&gt;"BR",SUMPRODUCT(Mecze[[#This Row],[/PR:90]:[/BR:90]],Brudnopis!$E$27:$J$27),0)</f>
        <v>0.1171875</v>
      </c>
      <c r="X1580" s="44">
        <f>IF(Mecze[[#This Row],[Role]]&lt;&gt;"BR",SUMPRODUCT(Mecze[[#This Row],[/PR:90]:[/BR:90]],Brudnopis!$E$28:$J$28),0)</f>
        <v>6.25E-2</v>
      </c>
      <c r="Y1580" s="35">
        <f>IF(Mecze[[#This Row],[Role]]="BR",Mecze[[#This Row],[/OB:90]]+Mecze[[#This Row],[/PC:90]],SUM(Mecze[[#This Row],[/PR:90]:[/BR:90]]))</f>
        <v>9.375E-2</v>
      </c>
      <c r="Z1580" s="35">
        <f>IF(Mecze[[#This Row],[KC]]=0,SUM(Mecze[[#This Row],[/BRI]:[/NPI]]),SUM(Mecze[[#This Row],[/BRI]:[/NPI]])*0.6)</f>
        <v>0.50260416666666663</v>
      </c>
      <c r="AA1580" s="10">
        <f>IFERROR(Mecze[[#This Row],[BR]]/Mecze[[#This Row],[ST]],0)</f>
        <v>0</v>
      </c>
      <c r="AB1580">
        <f>ROUND(Mecze[[#This Row],[PD]]*Mecze[[#This Row],[%PC]],0)</f>
        <v>6</v>
      </c>
      <c r="AC1580">
        <f>ROUND(Mecze[[#This Row],[OD]]*Mecze[[#This Row],[%OU]],0)</f>
        <v>2</v>
      </c>
      <c r="AD1580" s="36" t="s">
        <v>47</v>
      </c>
      <c r="AE1580" s="36">
        <v>86</v>
      </c>
      <c r="AF1580" s="71">
        <v>1.8</v>
      </c>
      <c r="AG1580" s="37">
        <v>0</v>
      </c>
      <c r="AH1580" s="37">
        <v>0</v>
      </c>
      <c r="AI1580" s="37">
        <v>96</v>
      </c>
      <c r="AJ1580" s="37">
        <v>3</v>
      </c>
      <c r="AK1580" s="37" t="str">
        <f>VLOOKUP(Mecze[[#This Row],[Match ID]],Meczusie[Mecz]:Meczusie[RodzajMeczu],2,FALSE)</f>
        <v>Liga</v>
      </c>
    </row>
    <row r="1581" spans="1:37" x14ac:dyDescent="0.25">
      <c r="A1581" s="76">
        <v>2</v>
      </c>
      <c r="B1581" s="3" t="s">
        <v>265</v>
      </c>
      <c r="C1581" s="2" t="s">
        <v>157</v>
      </c>
      <c r="D1581" s="1">
        <v>0</v>
      </c>
      <c r="E1581" s="1">
        <v>0</v>
      </c>
      <c r="F1581" s="1">
        <v>0</v>
      </c>
      <c r="G1581" s="1">
        <v>8</v>
      </c>
      <c r="H1581" s="4">
        <v>0.63</v>
      </c>
      <c r="I1581" s="1">
        <v>4</v>
      </c>
      <c r="J1581" s="4">
        <v>0.75</v>
      </c>
      <c r="K1581" s="1">
        <v>0</v>
      </c>
      <c r="L1581" s="1">
        <v>2</v>
      </c>
      <c r="M1581" s="32">
        <f>IF(Mecze[[#This Row],[PR]]=0,0,Mecze[[#This Row],[PR]]/Mecze[[#This Row],[CZAS]])</f>
        <v>2.0833333333333332E-2</v>
      </c>
      <c r="N1581" s="32">
        <f>IF(Mecze[[#This Row],[OU]]=0,0,Mecze[[#This Row],[OU]]/Mecze[[#This Row],[CZAS]])</f>
        <v>3.125E-2</v>
      </c>
      <c r="O1581" s="32">
        <f>IF(Mecze[[#This Row],[PC]]=0,0,Mecze[[#This Row],[PC]]/Mecze[[#This Row],[CZAS]])</f>
        <v>5.2083333333333336E-2</v>
      </c>
      <c r="P1581" s="32">
        <f>IF(Mecze[[#This Row],[SC]]=0,0,Mecze[[#This Row],[SC]]/Mecze[[#This Row],[CZAS]])</f>
        <v>0</v>
      </c>
      <c r="Q1581" s="32">
        <f>IF(Mecze[[#This Row],[OB]]=0,0,Mecze[[#This Row],[OB]]/Mecze[[#This Row],[CZAS]])</f>
        <v>0</v>
      </c>
      <c r="R1581" s="32">
        <f>IF(Mecze[[#This Row],[BR]]=0,0,Mecze[[#This Row],[BR]]/Mecze[[#This Row],[CZAS]])</f>
        <v>0</v>
      </c>
      <c r="S1581" s="44">
        <f>IF(Mecze[[#This Row],[Role]]="BR",SUMPRODUCT(Mecze[[#This Row],[/PR:90]:[/BR:90]],Brudnopis!$E$23:$J$23),0)</f>
        <v>0</v>
      </c>
      <c r="T1581" s="44">
        <f>IF(Mecze[[#This Row],[Role]]&lt;&gt;"BR",SUMPRODUCT(Mecze[[#This Row],[/PR:90]:[/BR:90]],Brudnopis!$E$24:$J$24),0)</f>
        <v>0.11979166666666666</v>
      </c>
      <c r="U1581" s="44">
        <f>IF(Mecze[[#This Row],[Role]]&lt;&gt;"BR",SUMPRODUCT(Mecze[[#This Row],[/PR:90]:[/BR:90]],Brudnopis!$E$25:$J$25),0)</f>
        <v>0.13020833333333331</v>
      </c>
      <c r="V1581" s="44">
        <f>IF(Mecze[[#This Row],[Role]]&lt;&gt;"BR",SUMPRODUCT(Mecze[[#This Row],[/PR:90]:[/BR:90]],Brudnopis!$E$26:$J$26),0)</f>
        <v>0.10416666666666666</v>
      </c>
      <c r="W1581" s="44">
        <f>IF(Mecze[[#This Row],[Role]]&lt;&gt;"BR",SUMPRODUCT(Mecze[[#This Row],[/PR:90]:[/BR:90]],Brudnopis!$E$27:$J$27),0)</f>
        <v>0.1171875</v>
      </c>
      <c r="X1581" s="44">
        <f>IF(Mecze[[#This Row],[Role]]&lt;&gt;"BR",SUMPRODUCT(Mecze[[#This Row],[/PR:90]:[/BR:90]],Brudnopis!$E$28:$J$28),0)</f>
        <v>5.2083333333333336E-2</v>
      </c>
      <c r="Y1581" s="35">
        <f>IF(Mecze[[#This Row],[Role]]="BR",Mecze[[#This Row],[/OB:90]]+Mecze[[#This Row],[/PC:90]],SUM(Mecze[[#This Row],[/PR:90]:[/BR:90]]))</f>
        <v>0.10416666666666666</v>
      </c>
      <c r="Z1581" s="35">
        <f>IF(Mecze[[#This Row],[KC]]=0,SUM(Mecze[[#This Row],[/BRI]:[/NPI]]),SUM(Mecze[[#This Row],[/BRI]:[/NPI]])*0.6)</f>
        <v>0.5234375</v>
      </c>
      <c r="AA1581" s="10">
        <f>IFERROR(Mecze[[#This Row],[BR]]/Mecze[[#This Row],[ST]],0)</f>
        <v>0</v>
      </c>
      <c r="AB1581">
        <f>ROUND(Mecze[[#This Row],[PD]]*Mecze[[#This Row],[%PC]],0)</f>
        <v>5</v>
      </c>
      <c r="AC1581">
        <f>ROUND(Mecze[[#This Row],[OD]]*Mecze[[#This Row],[%OU]],0)</f>
        <v>3</v>
      </c>
      <c r="AD1581" s="36" t="s">
        <v>47</v>
      </c>
      <c r="AE1581" s="36">
        <v>86</v>
      </c>
      <c r="AF1581" s="71">
        <v>3.13</v>
      </c>
      <c r="AG1581" s="37">
        <v>0</v>
      </c>
      <c r="AH1581" s="37">
        <v>0</v>
      </c>
      <c r="AI1581" s="37">
        <v>96</v>
      </c>
      <c r="AJ1581" s="37">
        <v>3</v>
      </c>
      <c r="AK1581" s="37" t="str">
        <f>VLOOKUP(Mecze[[#This Row],[Match ID]],Meczusie[Mecz]:Meczusie[RodzajMeczu],2,FALSE)</f>
        <v>Liga</v>
      </c>
    </row>
    <row r="1582" spans="1:37" x14ac:dyDescent="0.25">
      <c r="A1582" s="76">
        <v>5</v>
      </c>
      <c r="B1582" s="3" t="s">
        <v>267</v>
      </c>
      <c r="C1582" s="2" t="s">
        <v>160</v>
      </c>
      <c r="D1582" s="1">
        <v>0</v>
      </c>
      <c r="E1582" s="1">
        <v>1</v>
      </c>
      <c r="F1582" s="1">
        <v>1</v>
      </c>
      <c r="G1582" s="1">
        <v>5</v>
      </c>
      <c r="H1582" s="4">
        <v>0.8</v>
      </c>
      <c r="I1582" s="1">
        <v>5</v>
      </c>
      <c r="J1582" s="4">
        <v>0</v>
      </c>
      <c r="K1582" s="1">
        <v>0</v>
      </c>
      <c r="L1582" s="1">
        <v>1</v>
      </c>
      <c r="M1582" s="32">
        <f>IF(Mecze[[#This Row],[PR]]=0,0,Mecze[[#This Row],[PR]]/Mecze[[#This Row],[CZAS]])</f>
        <v>1.0416666666666666E-2</v>
      </c>
      <c r="N1582" s="32">
        <f>IF(Mecze[[#This Row],[OU]]=0,0,Mecze[[#This Row],[OU]]/Mecze[[#This Row],[CZAS]])</f>
        <v>0</v>
      </c>
      <c r="O1582" s="32">
        <f>IF(Mecze[[#This Row],[PC]]=0,0,Mecze[[#This Row],[PC]]/Mecze[[#This Row],[CZAS]])</f>
        <v>4.1666666666666664E-2</v>
      </c>
      <c r="P1582" s="32">
        <f>IF(Mecze[[#This Row],[SC]]=0,0,Mecze[[#This Row],[SC]]/Mecze[[#This Row],[CZAS]])</f>
        <v>1.0416666666666666E-2</v>
      </c>
      <c r="Q1582" s="32">
        <f>IF(Mecze[[#This Row],[OB]]=0,0,Mecze[[#This Row],[OB]]/Mecze[[#This Row],[CZAS]])</f>
        <v>0</v>
      </c>
      <c r="R1582" s="32">
        <f>IF(Mecze[[#This Row],[BR]]=0,0,Mecze[[#This Row],[BR]]/Mecze[[#This Row],[CZAS]])</f>
        <v>0</v>
      </c>
      <c r="S1582" s="44">
        <f>IF(Mecze[[#This Row],[Role]]="BR",SUMPRODUCT(Mecze[[#This Row],[/PR:90]:[/BR:90]],Brudnopis!$E$23:$J$23),0)</f>
        <v>0</v>
      </c>
      <c r="T1582" s="44">
        <f>IF(Mecze[[#This Row],[Role]]&lt;&gt;"BR",SUMPRODUCT(Mecze[[#This Row],[/PR:90]:[/BR:90]],Brudnopis!$E$24:$J$24),0)</f>
        <v>6.2499999999999993E-2</v>
      </c>
      <c r="U1582" s="44">
        <f>IF(Mecze[[#This Row],[Role]]&lt;&gt;"BR",SUMPRODUCT(Mecze[[#This Row],[/PR:90]:[/BR:90]],Brudnopis!$E$25:$J$25),0)</f>
        <v>8.3333333333333343E-2</v>
      </c>
      <c r="V1582" s="44">
        <f>IF(Mecze[[#This Row],[Role]]&lt;&gt;"BR",SUMPRODUCT(Mecze[[#This Row],[/PR:90]:[/BR:90]],Brudnopis!$E$26:$J$26),0)</f>
        <v>6.2499999999999993E-2</v>
      </c>
      <c r="W1582" s="44">
        <f>IF(Mecze[[#This Row],[Role]]&lt;&gt;"BR",SUMPRODUCT(Mecze[[#This Row],[/PR:90]:[/BR:90]],Brudnopis!$E$27:$J$27),0)</f>
        <v>8.0729166666666671E-2</v>
      </c>
      <c r="X1582" s="44">
        <f>IF(Mecze[[#This Row],[Role]]&lt;&gt;"BR",SUMPRODUCT(Mecze[[#This Row],[/PR:90]:[/BR:90]],Brudnopis!$E$28:$J$28),0)</f>
        <v>6.25E-2</v>
      </c>
      <c r="Y1582" s="35">
        <f>IF(Mecze[[#This Row],[Role]]="BR",Mecze[[#This Row],[/OB:90]]+Mecze[[#This Row],[/PC:90]],SUM(Mecze[[#This Row],[/PR:90]:[/BR:90]]))</f>
        <v>6.2499999999999993E-2</v>
      </c>
      <c r="Z1582" s="35">
        <f>IF(Mecze[[#This Row],[KC]]=0,SUM(Mecze[[#This Row],[/BRI]:[/NPI]]),SUM(Mecze[[#This Row],[/BRI]:[/NPI]])*0.6)</f>
        <v>0.3515625</v>
      </c>
      <c r="AA1582" s="10">
        <f>IFERROR(Mecze[[#This Row],[BR]]/Mecze[[#This Row],[ST]],0)</f>
        <v>0</v>
      </c>
      <c r="AB1582">
        <f>ROUND(Mecze[[#This Row],[PD]]*Mecze[[#This Row],[%PC]],0)</f>
        <v>4</v>
      </c>
      <c r="AC1582">
        <f>ROUND(Mecze[[#This Row],[OD]]*Mecze[[#This Row],[%OU]],0)</f>
        <v>0</v>
      </c>
      <c r="AD1582" s="36" t="s">
        <v>67</v>
      </c>
      <c r="AE1582" s="36">
        <v>86</v>
      </c>
      <c r="AF1582" s="71">
        <v>5.26</v>
      </c>
      <c r="AG1582" s="37">
        <v>0</v>
      </c>
      <c r="AH1582" s="37">
        <v>0</v>
      </c>
      <c r="AI1582" s="37">
        <v>96</v>
      </c>
      <c r="AJ1582" s="37">
        <v>3</v>
      </c>
      <c r="AK1582" s="37" t="str">
        <f>VLOOKUP(Mecze[[#This Row],[Match ID]],Meczusie[Mecz]:Meczusie[RodzajMeczu],2,FALSE)</f>
        <v>Liga</v>
      </c>
    </row>
    <row r="1583" spans="1:37" x14ac:dyDescent="0.25">
      <c r="A1583" s="76">
        <v>9</v>
      </c>
      <c r="B1583" s="3" t="s">
        <v>266</v>
      </c>
      <c r="C1583" s="2" t="s">
        <v>160</v>
      </c>
      <c r="D1583" s="1">
        <v>0</v>
      </c>
      <c r="E1583" s="1">
        <v>2</v>
      </c>
      <c r="F1583" s="1">
        <v>2</v>
      </c>
      <c r="G1583" s="1">
        <v>13</v>
      </c>
      <c r="H1583" s="4">
        <v>0.77</v>
      </c>
      <c r="I1583" s="1">
        <v>7</v>
      </c>
      <c r="J1583" s="4">
        <v>0.43</v>
      </c>
      <c r="K1583" s="1">
        <v>0</v>
      </c>
      <c r="L1583" s="1">
        <v>3</v>
      </c>
      <c r="M1583" s="32">
        <f>IF(Mecze[[#This Row],[PR]]=0,0,Mecze[[#This Row],[PR]]/Mecze[[#This Row],[CZAS]])</f>
        <v>3.125E-2</v>
      </c>
      <c r="N1583" s="32">
        <f>IF(Mecze[[#This Row],[OU]]=0,0,Mecze[[#This Row],[OU]]/Mecze[[#This Row],[CZAS]])</f>
        <v>3.125E-2</v>
      </c>
      <c r="O1583" s="32">
        <f>IF(Mecze[[#This Row],[PC]]=0,0,Mecze[[#This Row],[PC]]/Mecze[[#This Row],[CZAS]])</f>
        <v>0.10416666666666667</v>
      </c>
      <c r="P1583" s="32">
        <f>IF(Mecze[[#This Row],[SC]]=0,0,Mecze[[#This Row],[SC]]/Mecze[[#This Row],[CZAS]])</f>
        <v>2.0833333333333332E-2</v>
      </c>
      <c r="Q1583" s="32">
        <f>IF(Mecze[[#This Row],[OB]]=0,0,Mecze[[#This Row],[OB]]/Mecze[[#This Row],[CZAS]])</f>
        <v>0</v>
      </c>
      <c r="R1583" s="32">
        <f>IF(Mecze[[#This Row],[BR]]=0,0,Mecze[[#This Row],[BR]]/Mecze[[#This Row],[CZAS]])</f>
        <v>0</v>
      </c>
      <c r="S1583" s="44">
        <f>IF(Mecze[[#This Row],[Role]]="BR",SUMPRODUCT(Mecze[[#This Row],[/PR:90]:[/BR:90]],Brudnopis!$E$23:$J$23),0)</f>
        <v>0</v>
      </c>
      <c r="T1583" s="44">
        <f>IF(Mecze[[#This Row],[Role]]&lt;&gt;"BR",SUMPRODUCT(Mecze[[#This Row],[/PR:90]:[/BR:90]],Brudnopis!$E$24:$J$24),0)</f>
        <v>0.20312500000000003</v>
      </c>
      <c r="U1583" s="44">
        <f>IF(Mecze[[#This Row],[Role]]&lt;&gt;"BR",SUMPRODUCT(Mecze[[#This Row],[/PR:90]:[/BR:90]],Brudnopis!$E$25:$J$25),0)</f>
        <v>0.23958333333333334</v>
      </c>
      <c r="V1583" s="44">
        <f>IF(Mecze[[#This Row],[Role]]&lt;&gt;"BR",SUMPRODUCT(Mecze[[#This Row],[/PR:90]:[/BR:90]],Brudnopis!$E$26:$J$26),0)</f>
        <v>0.18750000000000003</v>
      </c>
      <c r="W1583" s="44">
        <f>IF(Mecze[[#This Row],[Role]]&lt;&gt;"BR",SUMPRODUCT(Mecze[[#This Row],[/PR:90]:[/BR:90]],Brudnopis!$E$27:$J$27),0)</f>
        <v>0.22395833333333334</v>
      </c>
      <c r="X1583" s="44">
        <f>IF(Mecze[[#This Row],[Role]]&lt;&gt;"BR",SUMPRODUCT(Mecze[[#This Row],[/PR:90]:[/BR:90]],Brudnopis!$E$28:$J$28),0)</f>
        <v>0.14583333333333334</v>
      </c>
      <c r="Y1583" s="35">
        <f>IF(Mecze[[#This Row],[Role]]="BR",Mecze[[#This Row],[/OB:90]]+Mecze[[#This Row],[/PC:90]],SUM(Mecze[[#This Row],[/PR:90]:[/BR:90]]))</f>
        <v>0.18750000000000003</v>
      </c>
      <c r="Z1583" s="35">
        <f>IF(Mecze[[#This Row],[KC]]=0,SUM(Mecze[[#This Row],[/BRI]:[/NPI]]),SUM(Mecze[[#This Row],[/BRI]:[/NPI]])*0.6)</f>
        <v>1</v>
      </c>
      <c r="AA1583" s="10">
        <f>IFERROR(Mecze[[#This Row],[BR]]/Mecze[[#This Row],[ST]],0)</f>
        <v>0</v>
      </c>
      <c r="AB1583">
        <f>ROUND(Mecze[[#This Row],[PD]]*Mecze[[#This Row],[%PC]],0)</f>
        <v>10</v>
      </c>
      <c r="AC1583">
        <f>ROUND(Mecze[[#This Row],[OD]]*Mecze[[#This Row],[%OU]],0)</f>
        <v>3</v>
      </c>
      <c r="AD1583" s="36" t="s">
        <v>67</v>
      </c>
      <c r="AE1583" s="36">
        <v>86</v>
      </c>
      <c r="AF1583" s="71">
        <v>5</v>
      </c>
      <c r="AG1583" s="37">
        <v>0</v>
      </c>
      <c r="AH1583" s="37">
        <v>0</v>
      </c>
      <c r="AI1583" s="37">
        <v>96</v>
      </c>
      <c r="AJ1583" s="37">
        <v>3</v>
      </c>
      <c r="AK1583" s="37" t="str">
        <f>VLOOKUP(Mecze[[#This Row],[Match ID]],Meczusie[Mecz]:Meczusie[RodzajMeczu],2,FALSE)</f>
        <v>Liga</v>
      </c>
    </row>
    <row r="1584" spans="1:37" x14ac:dyDescent="0.25">
      <c r="A1584" s="76">
        <v>3</v>
      </c>
      <c r="B1584" s="3" t="s">
        <v>268</v>
      </c>
      <c r="C1584" s="2" t="s">
        <v>160</v>
      </c>
      <c r="D1584" s="1">
        <v>0</v>
      </c>
      <c r="E1584" s="1">
        <v>1</v>
      </c>
      <c r="F1584" s="1">
        <v>1</v>
      </c>
      <c r="G1584" s="1">
        <v>11</v>
      </c>
      <c r="H1584" s="4">
        <v>0.82</v>
      </c>
      <c r="I1584" s="1">
        <v>4</v>
      </c>
      <c r="J1584" s="4">
        <v>0.5</v>
      </c>
      <c r="K1584" s="1">
        <v>0</v>
      </c>
      <c r="L1584" s="1">
        <v>2</v>
      </c>
      <c r="M1584" s="32">
        <f>IF(Mecze[[#This Row],[PR]]=0,0,Mecze[[#This Row],[PR]]/Mecze[[#This Row],[CZAS]])</f>
        <v>2.0833333333333332E-2</v>
      </c>
      <c r="N1584" s="32">
        <f>IF(Mecze[[#This Row],[OU]]=0,0,Mecze[[#This Row],[OU]]/Mecze[[#This Row],[CZAS]])</f>
        <v>2.0833333333333332E-2</v>
      </c>
      <c r="O1584" s="32">
        <f>IF(Mecze[[#This Row],[PC]]=0,0,Mecze[[#This Row],[PC]]/Mecze[[#This Row],[CZAS]])</f>
        <v>9.375E-2</v>
      </c>
      <c r="P1584" s="32">
        <f>IF(Mecze[[#This Row],[SC]]=0,0,Mecze[[#This Row],[SC]]/Mecze[[#This Row],[CZAS]])</f>
        <v>1.0416666666666666E-2</v>
      </c>
      <c r="Q1584" s="32">
        <f>IF(Mecze[[#This Row],[OB]]=0,0,Mecze[[#This Row],[OB]]/Mecze[[#This Row],[CZAS]])</f>
        <v>0</v>
      </c>
      <c r="R1584" s="32">
        <f>IF(Mecze[[#This Row],[BR]]=0,0,Mecze[[#This Row],[BR]]/Mecze[[#This Row],[CZAS]])</f>
        <v>0</v>
      </c>
      <c r="S1584" s="44">
        <f>IF(Mecze[[#This Row],[Role]]="BR",SUMPRODUCT(Mecze[[#This Row],[/PR:90]:[/BR:90]],Brudnopis!$E$23:$J$23),0)</f>
        <v>0</v>
      </c>
      <c r="T1584" s="44">
        <f>IF(Mecze[[#This Row],[Role]]&lt;&gt;"BR",SUMPRODUCT(Mecze[[#This Row],[/PR:90]:[/BR:90]],Brudnopis!$E$24:$J$24),0)</f>
        <v>0.15624999999999997</v>
      </c>
      <c r="U1584" s="44">
        <f>IF(Mecze[[#This Row],[Role]]&lt;&gt;"BR",SUMPRODUCT(Mecze[[#This Row],[/PR:90]:[/BR:90]],Brudnopis!$E$25:$J$25),0)</f>
        <v>0.19270833333333331</v>
      </c>
      <c r="V1584" s="44">
        <f>IF(Mecze[[#This Row],[Role]]&lt;&gt;"BR",SUMPRODUCT(Mecze[[#This Row],[/PR:90]:[/BR:90]],Brudnopis!$E$26:$J$26),0)</f>
        <v>0.14583333333333331</v>
      </c>
      <c r="W1584" s="44">
        <f>IF(Mecze[[#This Row],[Role]]&lt;&gt;"BR",SUMPRODUCT(Mecze[[#This Row],[/PR:90]:[/BR:90]],Brudnopis!$E$27:$J$27),0)</f>
        <v>0.18229166666666666</v>
      </c>
      <c r="X1584" s="44">
        <f>IF(Mecze[[#This Row],[Role]]&lt;&gt;"BR",SUMPRODUCT(Mecze[[#This Row],[/PR:90]:[/BR:90]],Brudnopis!$E$28:$J$28),0)</f>
        <v>0.11458333333333333</v>
      </c>
      <c r="Y1584" s="35">
        <f>IF(Mecze[[#This Row],[Role]]="BR",Mecze[[#This Row],[/OB:90]]+Mecze[[#This Row],[/PC:90]],SUM(Mecze[[#This Row],[/PR:90]:[/BR:90]]))</f>
        <v>0.14583333333333331</v>
      </c>
      <c r="Z1584" s="35">
        <f>IF(Mecze[[#This Row],[KC]]=0,SUM(Mecze[[#This Row],[/BRI]:[/NPI]]),SUM(Mecze[[#This Row],[/BRI]:[/NPI]])*0.6)</f>
        <v>0.79166666666666663</v>
      </c>
      <c r="AA1584" s="10">
        <f>IFERROR(Mecze[[#This Row],[BR]]/Mecze[[#This Row],[ST]],0)</f>
        <v>0</v>
      </c>
      <c r="AB1584">
        <f>ROUND(Mecze[[#This Row],[PD]]*Mecze[[#This Row],[%PC]],0)</f>
        <v>9</v>
      </c>
      <c r="AC1584">
        <f>ROUND(Mecze[[#This Row],[OD]]*Mecze[[#This Row],[%OU]],0)</f>
        <v>2</v>
      </c>
      <c r="AD1584" s="36" t="s">
        <v>44</v>
      </c>
      <c r="AE1584" s="36">
        <v>86</v>
      </c>
      <c r="AF1584" s="71">
        <v>5.47</v>
      </c>
      <c r="AG1584" s="37">
        <v>0</v>
      </c>
      <c r="AH1584" s="37">
        <v>0</v>
      </c>
      <c r="AI1584" s="37">
        <v>96</v>
      </c>
      <c r="AJ1584" s="37">
        <v>3</v>
      </c>
      <c r="AK1584" s="37" t="str">
        <f>VLOOKUP(Mecze[[#This Row],[Match ID]],Meczusie[Mecz]:Meczusie[RodzajMeczu],2,FALSE)</f>
        <v>Liga</v>
      </c>
    </row>
    <row r="1585" spans="1:37" x14ac:dyDescent="0.25">
      <c r="A1585" s="76">
        <v>8</v>
      </c>
      <c r="B1585" s="3" t="s">
        <v>269</v>
      </c>
      <c r="C1585" s="2" t="s">
        <v>165</v>
      </c>
      <c r="D1585" s="1">
        <v>0</v>
      </c>
      <c r="E1585" s="1">
        <v>2</v>
      </c>
      <c r="F1585" s="1">
        <v>2</v>
      </c>
      <c r="G1585" s="1">
        <v>4</v>
      </c>
      <c r="H1585" s="4">
        <v>0.75</v>
      </c>
      <c r="I1585" s="1">
        <v>1</v>
      </c>
      <c r="J1585" s="4">
        <v>1</v>
      </c>
      <c r="K1585" s="1">
        <v>0</v>
      </c>
      <c r="L1585" s="1">
        <v>1</v>
      </c>
      <c r="M1585" s="32">
        <f>IF(Mecze[[#This Row],[PR]]=0,0,Mecze[[#This Row],[PR]]/Mecze[[#This Row],[CZAS]])</f>
        <v>1.0416666666666666E-2</v>
      </c>
      <c r="N1585" s="32">
        <f>IF(Mecze[[#This Row],[OU]]=0,0,Mecze[[#This Row],[OU]]/Mecze[[#This Row],[CZAS]])</f>
        <v>1.0416666666666666E-2</v>
      </c>
      <c r="O1585" s="32">
        <f>IF(Mecze[[#This Row],[PC]]=0,0,Mecze[[#This Row],[PC]]/Mecze[[#This Row],[CZAS]])</f>
        <v>3.125E-2</v>
      </c>
      <c r="P1585" s="32">
        <f>IF(Mecze[[#This Row],[SC]]=0,0,Mecze[[#This Row],[SC]]/Mecze[[#This Row],[CZAS]])</f>
        <v>2.0833333333333332E-2</v>
      </c>
      <c r="Q1585" s="32">
        <f>IF(Mecze[[#This Row],[OB]]=0,0,Mecze[[#This Row],[OB]]/Mecze[[#This Row],[CZAS]])</f>
        <v>0</v>
      </c>
      <c r="R1585" s="32">
        <f>IF(Mecze[[#This Row],[BR]]=0,0,Mecze[[#This Row],[BR]]/Mecze[[#This Row],[CZAS]])</f>
        <v>0</v>
      </c>
      <c r="S1585" s="44">
        <f>IF(Mecze[[#This Row],[Role]]="BR",SUMPRODUCT(Mecze[[#This Row],[/PR:90]:[/BR:90]],Brudnopis!$E$23:$J$23),0)</f>
        <v>0</v>
      </c>
      <c r="T1585" s="44">
        <f>IF(Mecze[[#This Row],[Role]]&lt;&gt;"BR",SUMPRODUCT(Mecze[[#This Row],[/PR:90]:[/BR:90]],Brudnopis!$E$24:$J$24),0)</f>
        <v>7.8125E-2</v>
      </c>
      <c r="U1585" s="44">
        <f>IF(Mecze[[#This Row],[Role]]&lt;&gt;"BR",SUMPRODUCT(Mecze[[#This Row],[/PR:90]:[/BR:90]],Brudnopis!$E$25:$J$25),0)</f>
        <v>8.8541666666666657E-2</v>
      </c>
      <c r="V1585" s="44">
        <f>IF(Mecze[[#This Row],[Role]]&lt;&gt;"BR",SUMPRODUCT(Mecze[[#This Row],[/PR:90]:[/BR:90]],Brudnopis!$E$26:$J$26),0)</f>
        <v>7.2916666666666657E-2</v>
      </c>
      <c r="W1585" s="44">
        <f>IF(Mecze[[#This Row],[Role]]&lt;&gt;"BR",SUMPRODUCT(Mecze[[#This Row],[/PR:90]:[/BR:90]],Brudnopis!$E$27:$J$27),0)</f>
        <v>8.3333333333333329E-2</v>
      </c>
      <c r="X1585" s="44">
        <f>IF(Mecze[[#This Row],[Role]]&lt;&gt;"BR",SUMPRODUCT(Mecze[[#This Row],[/PR:90]:[/BR:90]],Brudnopis!$E$28:$J$28),0)</f>
        <v>7.2916666666666657E-2</v>
      </c>
      <c r="Y1585" s="35">
        <f>IF(Mecze[[#This Row],[Role]]="BR",Mecze[[#This Row],[/OB:90]]+Mecze[[#This Row],[/PC:90]],SUM(Mecze[[#This Row],[/PR:90]:[/BR:90]]))</f>
        <v>7.2916666666666657E-2</v>
      </c>
      <c r="Z1585" s="35">
        <f>IF(Mecze[[#This Row],[KC]]=0,SUM(Mecze[[#This Row],[/BRI]:[/NPI]]),SUM(Mecze[[#This Row],[/BRI]:[/NPI]])*0.6)</f>
        <v>0.39583333333333326</v>
      </c>
      <c r="AA1585" s="10">
        <f>IFERROR(Mecze[[#This Row],[BR]]/Mecze[[#This Row],[ST]],0)</f>
        <v>0</v>
      </c>
      <c r="AB1585">
        <f>ROUND(Mecze[[#This Row],[PD]]*Mecze[[#This Row],[%PC]],0)</f>
        <v>3</v>
      </c>
      <c r="AC1585">
        <f>ROUND(Mecze[[#This Row],[OD]]*Mecze[[#This Row],[%OU]],0)</f>
        <v>1</v>
      </c>
      <c r="AD1585" s="36" t="s">
        <v>272</v>
      </c>
      <c r="AE1585" s="36">
        <v>86</v>
      </c>
      <c r="AF1585" s="71">
        <v>3.15</v>
      </c>
      <c r="AG1585" s="37">
        <v>0</v>
      </c>
      <c r="AH1585" s="37">
        <v>0</v>
      </c>
      <c r="AI1585" s="37">
        <v>96</v>
      </c>
      <c r="AJ1585" s="37">
        <v>3</v>
      </c>
      <c r="AK1585" s="37" t="str">
        <f>VLOOKUP(Mecze[[#This Row],[Match ID]],Meczusie[Mecz]:Meczusie[RodzajMeczu],2,FALSE)</f>
        <v>Liga</v>
      </c>
    </row>
    <row r="1586" spans="1:37" x14ac:dyDescent="0.25">
      <c r="A1586" s="76">
        <v>11</v>
      </c>
      <c r="B1586" s="3" t="s">
        <v>270</v>
      </c>
      <c r="C1586" s="2" t="s">
        <v>165</v>
      </c>
      <c r="D1586" s="1">
        <v>1</v>
      </c>
      <c r="E1586" s="1">
        <v>7</v>
      </c>
      <c r="F1586" s="1">
        <v>7</v>
      </c>
      <c r="G1586" s="1">
        <v>6</v>
      </c>
      <c r="H1586" s="4">
        <v>0.67</v>
      </c>
      <c r="I1586" s="1">
        <v>0</v>
      </c>
      <c r="J1586" s="4"/>
      <c r="K1586" s="1">
        <v>0</v>
      </c>
      <c r="L1586" s="1">
        <v>0</v>
      </c>
      <c r="M1586" s="32">
        <f>IF(Mecze[[#This Row],[PR]]=0,0,Mecze[[#This Row],[PR]]/Mecze[[#This Row],[CZAS]])</f>
        <v>0</v>
      </c>
      <c r="N1586" s="32">
        <f>IF(Mecze[[#This Row],[OU]]=0,0,Mecze[[#This Row],[OU]]/Mecze[[#This Row],[CZAS]])</f>
        <v>0</v>
      </c>
      <c r="O1586" s="32">
        <f>IF(Mecze[[#This Row],[PC]]=0,0,Mecze[[#This Row],[PC]]/Mecze[[#This Row],[CZAS]])</f>
        <v>4.1666666666666664E-2</v>
      </c>
      <c r="P1586" s="32">
        <f>IF(Mecze[[#This Row],[SC]]=0,0,Mecze[[#This Row],[SC]]/Mecze[[#This Row],[CZAS]])</f>
        <v>7.2916666666666671E-2</v>
      </c>
      <c r="Q1586" s="32">
        <f>IF(Mecze[[#This Row],[OB]]=0,0,Mecze[[#This Row],[OB]]/Mecze[[#This Row],[CZAS]])</f>
        <v>0</v>
      </c>
      <c r="R1586" s="32">
        <f>IF(Mecze[[#This Row],[BR]]=0,0,Mecze[[#This Row],[BR]]/Mecze[[#This Row],[CZAS]])</f>
        <v>1.0416666666666666E-2</v>
      </c>
      <c r="S1586" s="44">
        <f>IF(Mecze[[#This Row],[Role]]="BR",SUMPRODUCT(Mecze[[#This Row],[/PR:90]:[/BR:90]],Brudnopis!$E$23:$J$23),0)</f>
        <v>0</v>
      </c>
      <c r="T1586" s="44">
        <f>IF(Mecze[[#This Row],[Role]]&lt;&gt;"BR",SUMPRODUCT(Mecze[[#This Row],[/PR:90]:[/BR:90]],Brudnopis!$E$24:$J$24),0)</f>
        <v>0.13020833333333334</v>
      </c>
      <c r="U1586" s="44">
        <f>IF(Mecze[[#This Row],[Role]]&lt;&gt;"BR",SUMPRODUCT(Mecze[[#This Row],[/PR:90]:[/BR:90]],Brudnopis!$E$25:$J$25),0)</f>
        <v>0.15104166666666669</v>
      </c>
      <c r="V1586" s="44">
        <f>IF(Mecze[[#This Row],[Role]]&lt;&gt;"BR",SUMPRODUCT(Mecze[[#This Row],[/PR:90]:[/BR:90]],Brudnopis!$E$26:$J$26),0)</f>
        <v>0.13541666666666669</v>
      </c>
      <c r="W1586" s="44">
        <f>IF(Mecze[[#This Row],[Role]]&lt;&gt;"BR",SUMPRODUCT(Mecze[[#This Row],[/PR:90]:[/BR:90]],Brudnopis!$E$27:$J$27),0)</f>
        <v>0.15625000000000003</v>
      </c>
      <c r="X1586" s="44">
        <f>IF(Mecze[[#This Row],[Role]]&lt;&gt;"BR",SUMPRODUCT(Mecze[[#This Row],[/PR:90]:[/BR:90]],Brudnopis!$E$28:$J$28),0)</f>
        <v>0.21875</v>
      </c>
      <c r="Y1586" s="35">
        <f>IF(Mecze[[#This Row],[Role]]="BR",Mecze[[#This Row],[/OB:90]]+Mecze[[#This Row],[/PC:90]],SUM(Mecze[[#This Row],[/PR:90]:[/BR:90]]))</f>
        <v>0.125</v>
      </c>
      <c r="Z1586" s="35">
        <f>IF(Mecze[[#This Row],[KC]]=0,SUM(Mecze[[#This Row],[/BRI]:[/NPI]]),SUM(Mecze[[#This Row],[/BRI]:[/NPI]])*0.6)</f>
        <v>0.79166666666666674</v>
      </c>
      <c r="AA1586" s="10">
        <f>IFERROR(Mecze[[#This Row],[BR]]/Mecze[[#This Row],[ST]],0)</f>
        <v>0.14285714285714285</v>
      </c>
      <c r="AB1586">
        <f>ROUND(Mecze[[#This Row],[PD]]*Mecze[[#This Row],[%PC]],0)</f>
        <v>4</v>
      </c>
      <c r="AC1586">
        <f>ROUND(Mecze[[#This Row],[OD]]*Mecze[[#This Row],[%OU]],0)</f>
        <v>0</v>
      </c>
      <c r="AD1586" s="36" t="s">
        <v>273</v>
      </c>
      <c r="AE1586" s="36">
        <v>86</v>
      </c>
      <c r="AF1586" s="71">
        <v>7.88</v>
      </c>
      <c r="AG1586" s="37">
        <v>0</v>
      </c>
      <c r="AH1586" s="37">
        <v>0</v>
      </c>
      <c r="AI1586" s="37">
        <v>96</v>
      </c>
      <c r="AJ1586" s="37">
        <v>3</v>
      </c>
      <c r="AK1586" s="37" t="str">
        <f>VLOOKUP(Mecze[[#This Row],[Match ID]],Meczusie[Mecz]:Meczusie[RodzajMeczu],2,FALSE)</f>
        <v>Liga</v>
      </c>
    </row>
    <row r="1587" spans="1:37" x14ac:dyDescent="0.25">
      <c r="A1587" s="76">
        <v>10</v>
      </c>
      <c r="B1587" s="3" t="s">
        <v>271</v>
      </c>
      <c r="C1587" s="2" t="s">
        <v>165</v>
      </c>
      <c r="D1587" s="1">
        <v>1</v>
      </c>
      <c r="E1587" s="1">
        <v>5</v>
      </c>
      <c r="F1587" s="1">
        <v>5</v>
      </c>
      <c r="G1587" s="1">
        <v>5</v>
      </c>
      <c r="H1587" s="4">
        <v>0.6</v>
      </c>
      <c r="I1587" s="1">
        <v>2</v>
      </c>
      <c r="J1587" s="4">
        <v>0.5</v>
      </c>
      <c r="K1587" s="1">
        <v>0</v>
      </c>
      <c r="L1587" s="1">
        <v>1</v>
      </c>
      <c r="M1587" s="32">
        <f>IF(Mecze[[#This Row],[PR]]=0,0,Mecze[[#This Row],[PR]]/Mecze[[#This Row],[CZAS]])</f>
        <v>1.0416666666666666E-2</v>
      </c>
      <c r="N1587" s="32">
        <f>IF(Mecze[[#This Row],[OU]]=0,0,Mecze[[#This Row],[OU]]/Mecze[[#This Row],[CZAS]])</f>
        <v>1.0416666666666666E-2</v>
      </c>
      <c r="O1587" s="32">
        <f>IF(Mecze[[#This Row],[PC]]=0,0,Mecze[[#This Row],[PC]]/Mecze[[#This Row],[CZAS]])</f>
        <v>3.125E-2</v>
      </c>
      <c r="P1587" s="32">
        <f>IF(Mecze[[#This Row],[SC]]=0,0,Mecze[[#This Row],[SC]]/Mecze[[#This Row],[CZAS]])</f>
        <v>5.2083333333333336E-2</v>
      </c>
      <c r="Q1587" s="32">
        <f>IF(Mecze[[#This Row],[OB]]=0,0,Mecze[[#This Row],[OB]]/Mecze[[#This Row],[CZAS]])</f>
        <v>0</v>
      </c>
      <c r="R1587" s="32">
        <f>IF(Mecze[[#This Row],[BR]]=0,0,Mecze[[#This Row],[BR]]/Mecze[[#This Row],[CZAS]])</f>
        <v>1.0416666666666666E-2</v>
      </c>
      <c r="S1587" s="44">
        <f>IF(Mecze[[#This Row],[Role]]="BR",SUMPRODUCT(Mecze[[#This Row],[/PR:90]:[/BR:90]],Brudnopis!$E$23:$J$23),0)</f>
        <v>0</v>
      </c>
      <c r="T1587" s="44">
        <f>IF(Mecze[[#This Row],[Role]]&lt;&gt;"BR",SUMPRODUCT(Mecze[[#This Row],[/PR:90]:[/BR:90]],Brudnopis!$E$24:$J$24),0)</f>
        <v>0.125</v>
      </c>
      <c r="U1587" s="44">
        <f>IF(Mecze[[#This Row],[Role]]&lt;&gt;"BR",SUMPRODUCT(Mecze[[#This Row],[/PR:90]:[/BR:90]],Brudnopis!$E$25:$J$25),0)</f>
        <v>0.13541666666666666</v>
      </c>
      <c r="V1587" s="44">
        <f>IF(Mecze[[#This Row],[Role]]&lt;&gt;"BR",SUMPRODUCT(Mecze[[#This Row],[/PR:90]:[/BR:90]],Brudnopis!$E$26:$J$26),0)</f>
        <v>0.12499999999999999</v>
      </c>
      <c r="W1587" s="44">
        <f>IF(Mecze[[#This Row],[Role]]&lt;&gt;"BR",SUMPRODUCT(Mecze[[#This Row],[/PR:90]:[/BR:90]],Brudnopis!$E$27:$J$27),0)</f>
        <v>0.13541666666666669</v>
      </c>
      <c r="X1587" s="44">
        <f>IF(Mecze[[#This Row],[Role]]&lt;&gt;"BR",SUMPRODUCT(Mecze[[#This Row],[/PR:90]:[/BR:90]],Brudnopis!$E$28:$J$28),0)</f>
        <v>0.16666666666666669</v>
      </c>
      <c r="Y1587" s="35">
        <f>IF(Mecze[[#This Row],[Role]]="BR",Mecze[[#This Row],[/OB:90]]+Mecze[[#This Row],[/PC:90]],SUM(Mecze[[#This Row],[/PR:90]:[/BR:90]]))</f>
        <v>0.11458333333333333</v>
      </c>
      <c r="Z1587" s="35">
        <f>IF(Mecze[[#This Row],[KC]]=0,SUM(Mecze[[#This Row],[/BRI]:[/NPI]]),SUM(Mecze[[#This Row],[/BRI]:[/NPI]])*0.6)</f>
        <v>0.6875</v>
      </c>
      <c r="AA1587" s="10">
        <f>IFERROR(Mecze[[#This Row],[BR]]/Mecze[[#This Row],[ST]],0)</f>
        <v>0.2</v>
      </c>
      <c r="AB1587">
        <f>ROUND(Mecze[[#This Row],[PD]]*Mecze[[#This Row],[%PC]],0)</f>
        <v>3</v>
      </c>
      <c r="AC1587">
        <f>ROUND(Mecze[[#This Row],[OD]]*Mecze[[#This Row],[%OU]],0)</f>
        <v>1</v>
      </c>
      <c r="AD1587" s="36" t="s">
        <v>46</v>
      </c>
      <c r="AE1587" s="36">
        <v>86</v>
      </c>
      <c r="AF1587" s="71">
        <v>7.44</v>
      </c>
      <c r="AG1587" s="37">
        <v>0</v>
      </c>
      <c r="AH1587" s="37">
        <v>0</v>
      </c>
      <c r="AI1587" s="37">
        <v>96</v>
      </c>
      <c r="AJ1587" s="37">
        <v>3</v>
      </c>
      <c r="AK1587" s="37" t="str">
        <f>VLOOKUP(Mecze[[#This Row],[Match ID]],Meczusie[Mecz]:Meczusie[RodzajMeczu],2,FALSE)</f>
        <v>Liga</v>
      </c>
    </row>
    <row r="1588" spans="1:37" x14ac:dyDescent="0.25">
      <c r="A1588" s="76">
        <v>1</v>
      </c>
      <c r="B1588" s="3" t="s">
        <v>220</v>
      </c>
      <c r="C1588" s="2" t="s">
        <v>155</v>
      </c>
      <c r="D1588" s="1">
        <v>0</v>
      </c>
      <c r="E1588" s="1">
        <v>0</v>
      </c>
      <c r="F1588" s="1">
        <v>0</v>
      </c>
      <c r="G1588" s="1">
        <v>10</v>
      </c>
      <c r="H1588" s="4">
        <v>0.9</v>
      </c>
      <c r="I1588" s="1">
        <v>0</v>
      </c>
      <c r="J1588" s="4"/>
      <c r="K1588" s="1">
        <v>15</v>
      </c>
      <c r="L1588" s="1">
        <v>0</v>
      </c>
      <c r="M1588" s="32">
        <f>IF(Mecze[[#This Row],[PR]]=0,0,Mecze[[#This Row],[PR]]/Mecze[[#This Row],[CZAS]])</f>
        <v>0</v>
      </c>
      <c r="N1588" s="32">
        <f>IF(Mecze[[#This Row],[OU]]=0,0,Mecze[[#This Row],[OU]]/Mecze[[#This Row],[CZAS]])</f>
        <v>0</v>
      </c>
      <c r="O1588" s="32">
        <f>IF(Mecze[[#This Row],[PC]]=0,0,Mecze[[#This Row],[PC]]/Mecze[[#This Row],[CZAS]])</f>
        <v>9.375E-2</v>
      </c>
      <c r="P1588" s="32">
        <f>IF(Mecze[[#This Row],[SC]]=0,0,Mecze[[#This Row],[SC]]/Mecze[[#This Row],[CZAS]])</f>
        <v>0</v>
      </c>
      <c r="Q1588" s="32">
        <f>IF(Mecze[[#This Row],[OB]]=0,0,Mecze[[#This Row],[OB]]/Mecze[[#This Row],[CZAS]])</f>
        <v>0.15625</v>
      </c>
      <c r="R1588" s="32">
        <f>IF(Mecze[[#This Row],[BR]]=0,0,Mecze[[#This Row],[BR]]/Mecze[[#This Row],[CZAS]])</f>
        <v>0</v>
      </c>
      <c r="S1588" s="44">
        <f>IF(Mecze[[#This Row],[Role]]="BR",SUMPRODUCT(Mecze[[#This Row],[/PR:90]:[/BR:90]],Brudnopis!$E$23:$J$23),0)</f>
        <v>0.75</v>
      </c>
      <c r="T1588" s="44">
        <f>IF(Mecze[[#This Row],[Role]]&lt;&gt;"BR",SUMPRODUCT(Mecze[[#This Row],[/PR:90]:[/BR:90]],Brudnopis!$E$24:$J$24),0)</f>
        <v>0</v>
      </c>
      <c r="U1588" s="44">
        <f>IF(Mecze[[#This Row],[Role]]&lt;&gt;"BR",SUMPRODUCT(Mecze[[#This Row],[/PR:90]:[/BR:90]],Brudnopis!$E$25:$J$25),0)</f>
        <v>0</v>
      </c>
      <c r="V1588" s="44">
        <f>IF(Mecze[[#This Row],[Role]]&lt;&gt;"BR",SUMPRODUCT(Mecze[[#This Row],[/PR:90]:[/BR:90]],Brudnopis!$E$26:$J$26),0)</f>
        <v>0</v>
      </c>
      <c r="W1588" s="44">
        <f>IF(Mecze[[#This Row],[Role]]&lt;&gt;"BR",SUMPRODUCT(Mecze[[#This Row],[/PR:90]:[/BR:90]],Brudnopis!$E$27:$J$27),0)</f>
        <v>0</v>
      </c>
      <c r="X1588" s="44">
        <f>IF(Mecze[[#This Row],[Role]]&lt;&gt;"BR",SUMPRODUCT(Mecze[[#This Row],[/PR:90]:[/BR:90]],Brudnopis!$E$28:$J$28),0)</f>
        <v>0</v>
      </c>
      <c r="Y1588" s="35">
        <f>IF(Mecze[[#This Row],[Role]]="BR",Mecze[[#This Row],[/OB:90]]+Mecze[[#This Row],[/PC:90]],SUM(Mecze[[#This Row],[/PR:90]:[/BR:90]]))</f>
        <v>0.25</v>
      </c>
      <c r="Z1588" s="35">
        <f>IF(Mecze[[#This Row],[KC]]=0,SUM(Mecze[[#This Row],[/BRI]:[/NPI]]),SUM(Mecze[[#This Row],[/BRI]:[/NPI]])*0.6)</f>
        <v>0.75</v>
      </c>
      <c r="AA1588" s="10">
        <f>IFERROR(Mecze[[#This Row],[BR]]/Mecze[[#This Row],[ST]],0)</f>
        <v>0</v>
      </c>
      <c r="AB1588">
        <f>ROUND(Mecze[[#This Row],[PD]]*Mecze[[#This Row],[%PC]],0)</f>
        <v>9</v>
      </c>
      <c r="AC1588">
        <f>ROUND(Mecze[[#This Row],[OD]]*Mecze[[#This Row],[%OU]],0)</f>
        <v>0</v>
      </c>
      <c r="AD1588" s="36" t="s">
        <v>40</v>
      </c>
      <c r="AE1588" s="36">
        <v>86</v>
      </c>
      <c r="AF1588" s="71">
        <v>8.9499999999999993</v>
      </c>
      <c r="AG1588" s="37">
        <v>0</v>
      </c>
      <c r="AH1588" s="37">
        <v>0</v>
      </c>
      <c r="AI1588" s="37">
        <v>96</v>
      </c>
      <c r="AJ1588" s="37">
        <v>2</v>
      </c>
      <c r="AK1588" s="37" t="str">
        <f>VLOOKUP(Mecze[[#This Row],[Match ID]],Meczusie[Mecz]:Meczusie[RodzajMeczu],2,FALSE)</f>
        <v>Liga</v>
      </c>
    </row>
    <row r="1589" spans="1:37" x14ac:dyDescent="0.25">
      <c r="A1589" s="76">
        <v>3</v>
      </c>
      <c r="B1589" s="3" t="s">
        <v>222</v>
      </c>
      <c r="C1589" s="2" t="s">
        <v>157</v>
      </c>
      <c r="D1589" s="1">
        <v>0</v>
      </c>
      <c r="E1589" s="1">
        <v>0</v>
      </c>
      <c r="F1589" s="1">
        <v>0</v>
      </c>
      <c r="G1589" s="1">
        <v>10</v>
      </c>
      <c r="H1589" s="4">
        <v>0.6</v>
      </c>
      <c r="I1589" s="1">
        <v>9</v>
      </c>
      <c r="J1589" s="4">
        <v>0.33</v>
      </c>
      <c r="K1589" s="1">
        <v>0</v>
      </c>
      <c r="L1589" s="1">
        <v>5</v>
      </c>
      <c r="M1589" s="32">
        <f>IF(Mecze[[#This Row],[PR]]=0,0,Mecze[[#This Row],[PR]]/Mecze[[#This Row],[CZAS]])</f>
        <v>5.2083333333333336E-2</v>
      </c>
      <c r="N1589" s="32">
        <f>IF(Mecze[[#This Row],[OU]]=0,0,Mecze[[#This Row],[OU]]/Mecze[[#This Row],[CZAS]])</f>
        <v>3.125E-2</v>
      </c>
      <c r="O1589" s="32">
        <f>IF(Mecze[[#This Row],[PC]]=0,0,Mecze[[#This Row],[PC]]/Mecze[[#This Row],[CZAS]])</f>
        <v>6.25E-2</v>
      </c>
      <c r="P1589" s="32">
        <f>IF(Mecze[[#This Row],[SC]]=0,0,Mecze[[#This Row],[SC]]/Mecze[[#This Row],[CZAS]])</f>
        <v>0</v>
      </c>
      <c r="Q1589" s="32">
        <f>IF(Mecze[[#This Row],[OB]]=0,0,Mecze[[#This Row],[OB]]/Mecze[[#This Row],[CZAS]])</f>
        <v>0</v>
      </c>
      <c r="R1589" s="32">
        <f>IF(Mecze[[#This Row],[BR]]=0,0,Mecze[[#This Row],[BR]]/Mecze[[#This Row],[CZAS]])</f>
        <v>0</v>
      </c>
      <c r="S1589" s="44">
        <f>IF(Mecze[[#This Row],[Role]]="BR",SUMPRODUCT(Mecze[[#This Row],[/PR:90]:[/BR:90]],Brudnopis!$E$23:$J$23),0)</f>
        <v>0</v>
      </c>
      <c r="T1589" s="44">
        <f>IF(Mecze[[#This Row],[Role]]&lt;&gt;"BR",SUMPRODUCT(Mecze[[#This Row],[/PR:90]:[/BR:90]],Brudnopis!$E$24:$J$24),0)</f>
        <v>0.16145833333333334</v>
      </c>
      <c r="U1589" s="44">
        <f>IF(Mecze[[#This Row],[Role]]&lt;&gt;"BR",SUMPRODUCT(Mecze[[#This Row],[/PR:90]:[/BR:90]],Brudnopis!$E$25:$J$25),0)</f>
        <v>0.17708333333333334</v>
      </c>
      <c r="V1589" s="44">
        <f>IF(Mecze[[#This Row],[Role]]&lt;&gt;"BR",SUMPRODUCT(Mecze[[#This Row],[/PR:90]:[/BR:90]],Brudnopis!$E$26:$J$26),0)</f>
        <v>0.14583333333333334</v>
      </c>
      <c r="W1589" s="44">
        <f>IF(Mecze[[#This Row],[Role]]&lt;&gt;"BR",SUMPRODUCT(Mecze[[#This Row],[/PR:90]:[/BR:90]],Brudnopis!$E$27:$J$27),0)</f>
        <v>0.15625</v>
      </c>
      <c r="X1589" s="44">
        <f>IF(Mecze[[#This Row],[Role]]&lt;&gt;"BR",SUMPRODUCT(Mecze[[#This Row],[/PR:90]:[/BR:90]],Brudnopis!$E$28:$J$28),0)</f>
        <v>6.25E-2</v>
      </c>
      <c r="Y1589" s="35">
        <f>IF(Mecze[[#This Row],[Role]]="BR",Mecze[[#This Row],[/OB:90]]+Mecze[[#This Row],[/PC:90]],SUM(Mecze[[#This Row],[/PR:90]:[/BR:90]]))</f>
        <v>0.14583333333333334</v>
      </c>
      <c r="Z1589" s="35">
        <f>IF(Mecze[[#This Row],[KC]]=0,SUM(Mecze[[#This Row],[/BRI]:[/NPI]]),SUM(Mecze[[#This Row],[/BRI]:[/NPI]])*0.6)</f>
        <v>0.703125</v>
      </c>
      <c r="AA1589" s="10">
        <f>IFERROR(Mecze[[#This Row],[BR]]/Mecze[[#This Row],[ST]],0)</f>
        <v>0</v>
      </c>
      <c r="AB1589">
        <f>ROUND(Mecze[[#This Row],[PD]]*Mecze[[#This Row],[%PC]],0)</f>
        <v>6</v>
      </c>
      <c r="AC1589">
        <f>ROUND(Mecze[[#This Row],[OD]]*Mecze[[#This Row],[%OU]],0)</f>
        <v>3</v>
      </c>
      <c r="AD1589" s="36" t="s">
        <v>47</v>
      </c>
      <c r="AE1589" s="36">
        <v>86</v>
      </c>
      <c r="AF1589" s="71">
        <v>2.64</v>
      </c>
      <c r="AG1589" s="37">
        <v>0</v>
      </c>
      <c r="AH1589" s="37">
        <v>0</v>
      </c>
      <c r="AI1589" s="37">
        <v>96</v>
      </c>
      <c r="AJ1589" s="37">
        <v>2</v>
      </c>
      <c r="AK1589" s="37" t="str">
        <f>VLOOKUP(Mecze[[#This Row],[Match ID]],Meczusie[Mecz]:Meczusie[RodzajMeczu],2,FALSE)</f>
        <v>Liga</v>
      </c>
    </row>
    <row r="1590" spans="1:37" x14ac:dyDescent="0.25">
      <c r="A1590" s="76">
        <v>4</v>
      </c>
      <c r="B1590" s="3" t="s">
        <v>221</v>
      </c>
      <c r="C1590" s="2" t="s">
        <v>157</v>
      </c>
      <c r="D1590" s="1">
        <v>0</v>
      </c>
      <c r="E1590" s="1">
        <v>0</v>
      </c>
      <c r="F1590" s="1">
        <v>0</v>
      </c>
      <c r="G1590" s="1">
        <v>11</v>
      </c>
      <c r="H1590" s="4">
        <v>0.73</v>
      </c>
      <c r="I1590" s="1">
        <v>14</v>
      </c>
      <c r="J1590" s="4">
        <v>0.43</v>
      </c>
      <c r="K1590" s="1">
        <v>0</v>
      </c>
      <c r="L1590" s="1">
        <v>7</v>
      </c>
      <c r="M1590" s="32">
        <f>IF(Mecze[[#This Row],[PR]]=0,0,Mecze[[#This Row],[PR]]/Mecze[[#This Row],[CZAS]])</f>
        <v>7.2916666666666671E-2</v>
      </c>
      <c r="N1590" s="32">
        <f>IF(Mecze[[#This Row],[OU]]=0,0,Mecze[[#This Row],[OU]]/Mecze[[#This Row],[CZAS]])</f>
        <v>6.25E-2</v>
      </c>
      <c r="O1590" s="32">
        <f>IF(Mecze[[#This Row],[PC]]=0,0,Mecze[[#This Row],[PC]]/Mecze[[#This Row],[CZAS]])</f>
        <v>8.3333333333333329E-2</v>
      </c>
      <c r="P1590" s="32">
        <f>IF(Mecze[[#This Row],[SC]]=0,0,Mecze[[#This Row],[SC]]/Mecze[[#This Row],[CZAS]])</f>
        <v>0</v>
      </c>
      <c r="Q1590" s="32">
        <f>IF(Mecze[[#This Row],[OB]]=0,0,Mecze[[#This Row],[OB]]/Mecze[[#This Row],[CZAS]])</f>
        <v>0</v>
      </c>
      <c r="R1590" s="32">
        <f>IF(Mecze[[#This Row],[BR]]=0,0,Mecze[[#This Row],[BR]]/Mecze[[#This Row],[CZAS]])</f>
        <v>0</v>
      </c>
      <c r="S1590" s="44">
        <f>IF(Mecze[[#This Row],[Role]]="BR",SUMPRODUCT(Mecze[[#This Row],[/PR:90]:[/BR:90]],Brudnopis!$E$23:$J$23),0)</f>
        <v>0</v>
      </c>
      <c r="T1590" s="44">
        <f>IF(Mecze[[#This Row],[Role]]&lt;&gt;"BR",SUMPRODUCT(Mecze[[#This Row],[/PR:90]:[/BR:90]],Brudnopis!$E$24:$J$24),0)</f>
        <v>0.25</v>
      </c>
      <c r="U1590" s="44">
        <f>IF(Mecze[[#This Row],[Role]]&lt;&gt;"BR",SUMPRODUCT(Mecze[[#This Row],[/PR:90]:[/BR:90]],Brudnopis!$E$25:$J$25),0)</f>
        <v>0.26041666666666669</v>
      </c>
      <c r="V1590" s="44">
        <f>IF(Mecze[[#This Row],[Role]]&lt;&gt;"BR",SUMPRODUCT(Mecze[[#This Row],[/PR:90]:[/BR:90]],Brudnopis!$E$26:$J$26),0)</f>
        <v>0.21875</v>
      </c>
      <c r="W1590" s="44">
        <f>IF(Mecze[[#This Row],[Role]]&lt;&gt;"BR",SUMPRODUCT(Mecze[[#This Row],[/PR:90]:[/BR:90]],Brudnopis!$E$27:$J$27),0)</f>
        <v>0.2265625</v>
      </c>
      <c r="X1590" s="44">
        <f>IF(Mecze[[#This Row],[Role]]&lt;&gt;"BR",SUMPRODUCT(Mecze[[#This Row],[/PR:90]:[/BR:90]],Brudnopis!$E$28:$J$28),0)</f>
        <v>8.3333333333333329E-2</v>
      </c>
      <c r="Y1590" s="35">
        <f>IF(Mecze[[#This Row],[Role]]="BR",Mecze[[#This Row],[/OB:90]]+Mecze[[#This Row],[/PC:90]],SUM(Mecze[[#This Row],[/PR:90]:[/BR:90]]))</f>
        <v>0.21875</v>
      </c>
      <c r="Z1590" s="35">
        <f>IF(Mecze[[#This Row],[KC]]=0,SUM(Mecze[[#This Row],[/BRI]:[/NPI]]),SUM(Mecze[[#This Row],[/BRI]:[/NPI]])*0.6)</f>
        <v>1.0390625</v>
      </c>
      <c r="AA1590" s="10">
        <f>IFERROR(Mecze[[#This Row],[BR]]/Mecze[[#This Row],[ST]],0)</f>
        <v>0</v>
      </c>
      <c r="AB1590">
        <f>ROUND(Mecze[[#This Row],[PD]]*Mecze[[#This Row],[%PC]],0)</f>
        <v>8</v>
      </c>
      <c r="AC1590">
        <f>ROUND(Mecze[[#This Row],[OD]]*Mecze[[#This Row],[%OU]],0)</f>
        <v>6</v>
      </c>
      <c r="AD1590" s="36" t="s">
        <v>47</v>
      </c>
      <c r="AE1590" s="36">
        <v>86</v>
      </c>
      <c r="AF1590" s="71">
        <v>3.06</v>
      </c>
      <c r="AG1590" s="37">
        <v>0</v>
      </c>
      <c r="AH1590" s="37">
        <v>0</v>
      </c>
      <c r="AI1590" s="37">
        <v>96</v>
      </c>
      <c r="AJ1590" s="37">
        <v>2</v>
      </c>
      <c r="AK1590" s="37" t="str">
        <f>VLOOKUP(Mecze[[#This Row],[Match ID]],Meczusie[Mecz]:Meczusie[RodzajMeczu],2,FALSE)</f>
        <v>Liga</v>
      </c>
    </row>
    <row r="1591" spans="1:37" x14ac:dyDescent="0.25">
      <c r="A1591" s="76">
        <v>5</v>
      </c>
      <c r="B1591" s="3" t="s">
        <v>223</v>
      </c>
      <c r="C1591" s="2" t="s">
        <v>157</v>
      </c>
      <c r="D1591" s="1">
        <v>0</v>
      </c>
      <c r="E1591" s="1">
        <v>0</v>
      </c>
      <c r="F1591" s="1">
        <v>0</v>
      </c>
      <c r="G1591" s="1">
        <v>4</v>
      </c>
      <c r="H1591" s="4">
        <v>0.5</v>
      </c>
      <c r="I1591" s="1">
        <v>4</v>
      </c>
      <c r="J1591" s="4">
        <v>0.5</v>
      </c>
      <c r="K1591" s="1">
        <v>0</v>
      </c>
      <c r="L1591" s="1">
        <v>4</v>
      </c>
      <c r="M1591" s="32">
        <f>IF(Mecze[[#This Row],[PR]]=0,0,Mecze[[#This Row],[PR]]/Mecze[[#This Row],[CZAS]])</f>
        <v>4.1666666666666664E-2</v>
      </c>
      <c r="N1591" s="32">
        <f>IF(Mecze[[#This Row],[OU]]=0,0,Mecze[[#This Row],[OU]]/Mecze[[#This Row],[CZAS]])</f>
        <v>2.0833333333333332E-2</v>
      </c>
      <c r="O1591" s="32">
        <f>IF(Mecze[[#This Row],[PC]]=0,0,Mecze[[#This Row],[PC]]/Mecze[[#This Row],[CZAS]])</f>
        <v>2.0833333333333332E-2</v>
      </c>
      <c r="P1591" s="32">
        <f>IF(Mecze[[#This Row],[SC]]=0,0,Mecze[[#This Row],[SC]]/Mecze[[#This Row],[CZAS]])</f>
        <v>0</v>
      </c>
      <c r="Q1591" s="32">
        <f>IF(Mecze[[#This Row],[OB]]=0,0,Mecze[[#This Row],[OB]]/Mecze[[#This Row],[CZAS]])</f>
        <v>0</v>
      </c>
      <c r="R1591" s="32">
        <f>IF(Mecze[[#This Row],[BR]]=0,0,Mecze[[#This Row],[BR]]/Mecze[[#This Row],[CZAS]])</f>
        <v>0</v>
      </c>
      <c r="S1591" s="44">
        <f>IF(Mecze[[#This Row],[Role]]="BR",SUMPRODUCT(Mecze[[#This Row],[/PR:90]:[/BR:90]],Brudnopis!$E$23:$J$23),0)</f>
        <v>0</v>
      </c>
      <c r="T1591" s="44">
        <f>IF(Mecze[[#This Row],[Role]]&lt;&gt;"BR",SUMPRODUCT(Mecze[[#This Row],[/PR:90]:[/BR:90]],Brudnopis!$E$24:$J$24),0)</f>
        <v>9.3749999999999986E-2</v>
      </c>
      <c r="U1591" s="44">
        <f>IF(Mecze[[#This Row],[Role]]&lt;&gt;"BR",SUMPRODUCT(Mecze[[#This Row],[/PR:90]:[/BR:90]],Brudnopis!$E$25:$J$25),0)</f>
        <v>9.375E-2</v>
      </c>
      <c r="V1591" s="44">
        <f>IF(Mecze[[#This Row],[Role]]&lt;&gt;"BR",SUMPRODUCT(Mecze[[#This Row],[/PR:90]:[/BR:90]],Brudnopis!$E$26:$J$26),0)</f>
        <v>8.3333333333333329E-2</v>
      </c>
      <c r="W1591" s="44">
        <f>IF(Mecze[[#This Row],[Role]]&lt;&gt;"BR",SUMPRODUCT(Mecze[[#This Row],[/PR:90]:[/BR:90]],Brudnopis!$E$27:$J$27),0)</f>
        <v>7.8125E-2</v>
      </c>
      <c r="X1591" s="44">
        <f>IF(Mecze[[#This Row],[Role]]&lt;&gt;"BR",SUMPRODUCT(Mecze[[#This Row],[/PR:90]:[/BR:90]],Brudnopis!$E$28:$J$28),0)</f>
        <v>2.0833333333333332E-2</v>
      </c>
      <c r="Y1591" s="35">
        <f>IF(Mecze[[#This Row],[Role]]="BR",Mecze[[#This Row],[/OB:90]]+Mecze[[#This Row],[/PC:90]],SUM(Mecze[[#This Row],[/PR:90]:[/BR:90]]))</f>
        <v>8.3333333333333329E-2</v>
      </c>
      <c r="Z1591" s="35">
        <f>IF(Mecze[[#This Row],[KC]]=0,SUM(Mecze[[#This Row],[/BRI]:[/NPI]]),SUM(Mecze[[#This Row],[/BRI]:[/NPI]])*0.6)</f>
        <v>0.36979166666666663</v>
      </c>
      <c r="AA1591" s="10">
        <f>IFERROR(Mecze[[#This Row],[BR]]/Mecze[[#This Row],[ST]],0)</f>
        <v>0</v>
      </c>
      <c r="AB1591">
        <f>ROUND(Mecze[[#This Row],[PD]]*Mecze[[#This Row],[%PC]],0)</f>
        <v>2</v>
      </c>
      <c r="AC1591">
        <f>ROUND(Mecze[[#This Row],[OD]]*Mecze[[#This Row],[%OU]],0)</f>
        <v>2</v>
      </c>
      <c r="AD1591" s="36" t="s">
        <v>174</v>
      </c>
      <c r="AE1591" s="36">
        <v>86</v>
      </c>
      <c r="AF1591" s="71">
        <v>3.55</v>
      </c>
      <c r="AG1591" s="37">
        <v>0</v>
      </c>
      <c r="AH1591" s="37">
        <v>0</v>
      </c>
      <c r="AI1591" s="37">
        <v>96</v>
      </c>
      <c r="AJ1591" s="37">
        <v>2</v>
      </c>
      <c r="AK1591" s="37" t="str">
        <f>VLOOKUP(Mecze[[#This Row],[Match ID]],Meczusie[Mecz]:Meczusie[RodzajMeczu],2,FALSE)</f>
        <v>Liga</v>
      </c>
    </row>
    <row r="1592" spans="1:37" x14ac:dyDescent="0.25">
      <c r="A1592" s="76">
        <v>2</v>
      </c>
      <c r="B1592" s="3" t="s">
        <v>224</v>
      </c>
      <c r="C1592" s="2" t="s">
        <v>157</v>
      </c>
      <c r="D1592" s="1">
        <v>0</v>
      </c>
      <c r="E1592" s="1">
        <v>0</v>
      </c>
      <c r="F1592" s="1">
        <v>0</v>
      </c>
      <c r="G1592" s="1">
        <v>2</v>
      </c>
      <c r="H1592" s="4">
        <v>0</v>
      </c>
      <c r="I1592" s="1">
        <v>2</v>
      </c>
      <c r="J1592" s="4">
        <v>0</v>
      </c>
      <c r="K1592" s="1">
        <v>0</v>
      </c>
      <c r="L1592" s="1">
        <v>0</v>
      </c>
      <c r="M1592" s="32">
        <f>IF(Mecze[[#This Row],[PR]]=0,0,Mecze[[#This Row],[PR]]/Mecze[[#This Row],[CZAS]])</f>
        <v>0</v>
      </c>
      <c r="N1592" s="32">
        <f>IF(Mecze[[#This Row],[OU]]=0,0,Mecze[[#This Row],[OU]]/Mecze[[#This Row],[CZAS]])</f>
        <v>0</v>
      </c>
      <c r="O1592" s="32">
        <f>IF(Mecze[[#This Row],[PC]]=0,0,Mecze[[#This Row],[PC]]/Mecze[[#This Row],[CZAS]])</f>
        <v>0</v>
      </c>
      <c r="P1592" s="32">
        <f>IF(Mecze[[#This Row],[SC]]=0,0,Mecze[[#This Row],[SC]]/Mecze[[#This Row],[CZAS]])</f>
        <v>0</v>
      </c>
      <c r="Q1592" s="32">
        <f>IF(Mecze[[#This Row],[OB]]=0,0,Mecze[[#This Row],[OB]]/Mecze[[#This Row],[CZAS]])</f>
        <v>0</v>
      </c>
      <c r="R1592" s="32">
        <f>IF(Mecze[[#This Row],[BR]]=0,0,Mecze[[#This Row],[BR]]/Mecze[[#This Row],[CZAS]])</f>
        <v>0</v>
      </c>
      <c r="S1592" s="44">
        <f>IF(Mecze[[#This Row],[Role]]="BR",SUMPRODUCT(Mecze[[#This Row],[/PR:90]:[/BR:90]],Brudnopis!$E$23:$J$23),0)</f>
        <v>0</v>
      </c>
      <c r="T1592" s="44">
        <f>IF(Mecze[[#This Row],[Role]]&lt;&gt;"BR",SUMPRODUCT(Mecze[[#This Row],[/PR:90]:[/BR:90]],Brudnopis!$E$24:$J$24),0)</f>
        <v>0</v>
      </c>
      <c r="U1592" s="44">
        <f>IF(Mecze[[#This Row],[Role]]&lt;&gt;"BR",SUMPRODUCT(Mecze[[#This Row],[/PR:90]:[/BR:90]],Brudnopis!$E$25:$J$25),0)</f>
        <v>0</v>
      </c>
      <c r="V1592" s="44">
        <f>IF(Mecze[[#This Row],[Role]]&lt;&gt;"BR",SUMPRODUCT(Mecze[[#This Row],[/PR:90]:[/BR:90]],Brudnopis!$E$26:$J$26),0)</f>
        <v>0</v>
      </c>
      <c r="W1592" s="44">
        <f>IF(Mecze[[#This Row],[Role]]&lt;&gt;"BR",SUMPRODUCT(Mecze[[#This Row],[/PR:90]:[/BR:90]],Brudnopis!$E$27:$J$27),0)</f>
        <v>0</v>
      </c>
      <c r="X1592" s="44">
        <f>IF(Mecze[[#This Row],[Role]]&lt;&gt;"BR",SUMPRODUCT(Mecze[[#This Row],[/PR:90]:[/BR:90]],Brudnopis!$E$28:$J$28),0)</f>
        <v>0</v>
      </c>
      <c r="Y1592" s="35">
        <f>IF(Mecze[[#This Row],[Role]]="BR",Mecze[[#This Row],[/OB:90]]+Mecze[[#This Row],[/PC:90]],SUM(Mecze[[#This Row],[/PR:90]:[/BR:90]]))</f>
        <v>0</v>
      </c>
      <c r="Z1592" s="35">
        <f>IF(Mecze[[#This Row],[KC]]=0,SUM(Mecze[[#This Row],[/BRI]:[/NPI]]),SUM(Mecze[[#This Row],[/BRI]:[/NPI]])*0.6)</f>
        <v>0</v>
      </c>
      <c r="AA1592" s="10">
        <f>IFERROR(Mecze[[#This Row],[BR]]/Mecze[[#This Row],[ST]],0)</f>
        <v>0</v>
      </c>
      <c r="AB1592">
        <f>ROUND(Mecze[[#This Row],[PD]]*Mecze[[#This Row],[%PC]],0)</f>
        <v>0</v>
      </c>
      <c r="AC1592">
        <f>ROUND(Mecze[[#This Row],[OD]]*Mecze[[#This Row],[%OU]],0)</f>
        <v>0</v>
      </c>
      <c r="AD1592" s="36" t="s">
        <v>175</v>
      </c>
      <c r="AE1592" s="36">
        <v>86</v>
      </c>
      <c r="AF1592" s="71">
        <v>1.59</v>
      </c>
      <c r="AG1592" s="37">
        <v>0</v>
      </c>
      <c r="AH1592" s="37">
        <v>0</v>
      </c>
      <c r="AI1592" s="37">
        <v>96</v>
      </c>
      <c r="AJ1592" s="37">
        <v>2</v>
      </c>
      <c r="AK1592" s="37" t="str">
        <f>VLOOKUP(Mecze[[#This Row],[Match ID]],Meczusie[Mecz]:Meczusie[RodzajMeczu],2,FALSE)</f>
        <v>Liga</v>
      </c>
    </row>
    <row r="1593" spans="1:37" x14ac:dyDescent="0.25">
      <c r="A1593" s="76">
        <v>7</v>
      </c>
      <c r="B1593" s="3" t="s">
        <v>226</v>
      </c>
      <c r="C1593" s="2" t="s">
        <v>160</v>
      </c>
      <c r="D1593" s="1">
        <v>0</v>
      </c>
      <c r="E1593" s="1">
        <v>1</v>
      </c>
      <c r="F1593" s="1">
        <v>1</v>
      </c>
      <c r="G1593" s="1">
        <v>19</v>
      </c>
      <c r="H1593" s="4">
        <v>0.57999999999999996</v>
      </c>
      <c r="I1593" s="1">
        <v>1</v>
      </c>
      <c r="J1593" s="4">
        <v>1</v>
      </c>
      <c r="K1593" s="1">
        <v>0</v>
      </c>
      <c r="L1593" s="1">
        <v>4</v>
      </c>
      <c r="M1593" s="32">
        <f>IF(Mecze[[#This Row],[PR]]=0,0,Mecze[[#This Row],[PR]]/Mecze[[#This Row],[CZAS]])</f>
        <v>4.1666666666666664E-2</v>
      </c>
      <c r="N1593" s="32">
        <f>IF(Mecze[[#This Row],[OU]]=0,0,Mecze[[#This Row],[OU]]/Mecze[[#This Row],[CZAS]])</f>
        <v>1.0416666666666666E-2</v>
      </c>
      <c r="O1593" s="32">
        <f>IF(Mecze[[#This Row],[PC]]=0,0,Mecze[[#This Row],[PC]]/Mecze[[#This Row],[CZAS]])</f>
        <v>0.11458333333333333</v>
      </c>
      <c r="P1593" s="32">
        <f>IF(Mecze[[#This Row],[SC]]=0,0,Mecze[[#This Row],[SC]]/Mecze[[#This Row],[CZAS]])</f>
        <v>1.0416666666666666E-2</v>
      </c>
      <c r="Q1593" s="32">
        <f>IF(Mecze[[#This Row],[OB]]=0,0,Mecze[[#This Row],[OB]]/Mecze[[#This Row],[CZAS]])</f>
        <v>0</v>
      </c>
      <c r="R1593" s="32">
        <f>IF(Mecze[[#This Row],[BR]]=0,0,Mecze[[#This Row],[BR]]/Mecze[[#This Row],[CZAS]])</f>
        <v>0</v>
      </c>
      <c r="S1593" s="44">
        <f>IF(Mecze[[#This Row],[Role]]="BR",SUMPRODUCT(Mecze[[#This Row],[/PR:90]:[/BR:90]],Brudnopis!$E$23:$J$23),0)</f>
        <v>0</v>
      </c>
      <c r="T1593" s="44">
        <f>IF(Mecze[[#This Row],[Role]]&lt;&gt;"BR",SUMPRODUCT(Mecze[[#This Row],[/PR:90]:[/BR:90]],Brudnopis!$E$24:$J$24),0)</f>
        <v>0.18229166666666666</v>
      </c>
      <c r="U1593" s="44">
        <f>IF(Mecze[[#This Row],[Role]]&lt;&gt;"BR",SUMPRODUCT(Mecze[[#This Row],[/PR:90]:[/BR:90]],Brudnopis!$E$25:$J$25),0)</f>
        <v>0.23437499999999997</v>
      </c>
      <c r="V1593" s="44">
        <f>IF(Mecze[[#This Row],[Role]]&lt;&gt;"BR",SUMPRODUCT(Mecze[[#This Row],[/PR:90]:[/BR:90]],Brudnopis!$E$26:$J$26),0)</f>
        <v>0.17708333333333331</v>
      </c>
      <c r="W1593" s="44">
        <f>IF(Mecze[[#This Row],[Role]]&lt;&gt;"BR",SUMPRODUCT(Mecze[[#This Row],[/PR:90]:[/BR:90]],Brudnopis!$E$27:$J$27),0)</f>
        <v>0.22135416666666666</v>
      </c>
      <c r="X1593" s="44">
        <f>IF(Mecze[[#This Row],[Role]]&lt;&gt;"BR",SUMPRODUCT(Mecze[[#This Row],[/PR:90]:[/BR:90]],Brudnopis!$E$28:$J$28),0)</f>
        <v>0.13541666666666666</v>
      </c>
      <c r="Y1593" s="35">
        <f>IF(Mecze[[#This Row],[Role]]="BR",Mecze[[#This Row],[/OB:90]]+Mecze[[#This Row],[/PC:90]],SUM(Mecze[[#This Row],[/PR:90]:[/BR:90]]))</f>
        <v>0.17708333333333331</v>
      </c>
      <c r="Z1593" s="35">
        <f>IF(Mecze[[#This Row],[KC]]=0,SUM(Mecze[[#This Row],[/BRI]:[/NPI]]),SUM(Mecze[[#This Row],[/BRI]:[/NPI]])*0.6)</f>
        <v>0.95052083333333326</v>
      </c>
      <c r="AA1593" s="10">
        <f>IFERROR(Mecze[[#This Row],[BR]]/Mecze[[#This Row],[ST]],0)</f>
        <v>0</v>
      </c>
      <c r="AB1593">
        <f>ROUND(Mecze[[#This Row],[PD]]*Mecze[[#This Row],[%PC]],0)</f>
        <v>11</v>
      </c>
      <c r="AC1593">
        <f>ROUND(Mecze[[#This Row],[OD]]*Mecze[[#This Row],[%OU]],0)</f>
        <v>1</v>
      </c>
      <c r="AD1593" s="36" t="s">
        <v>41</v>
      </c>
      <c r="AE1593" s="36">
        <v>86</v>
      </c>
      <c r="AF1593" s="71">
        <v>4.9800000000000004</v>
      </c>
      <c r="AG1593" s="37">
        <v>0</v>
      </c>
      <c r="AH1593" s="37">
        <v>0</v>
      </c>
      <c r="AI1593" s="37">
        <v>96</v>
      </c>
      <c r="AJ1593" s="37">
        <v>2</v>
      </c>
      <c r="AK1593" s="37" t="str">
        <f>VLOOKUP(Mecze[[#This Row],[Match ID]],Meczusie[Mecz]:Meczusie[RodzajMeczu],2,FALSE)</f>
        <v>Liga</v>
      </c>
    </row>
    <row r="1594" spans="1:37" x14ac:dyDescent="0.25">
      <c r="A1594" s="76">
        <v>6</v>
      </c>
      <c r="B1594" s="3" t="s">
        <v>225</v>
      </c>
      <c r="C1594" s="2" t="s">
        <v>160</v>
      </c>
      <c r="D1594" s="1">
        <v>0</v>
      </c>
      <c r="E1594" s="1">
        <v>2</v>
      </c>
      <c r="F1594" s="1">
        <v>2</v>
      </c>
      <c r="G1594" s="1">
        <v>14</v>
      </c>
      <c r="H1594" s="4">
        <v>0.64</v>
      </c>
      <c r="I1594" s="1">
        <v>12</v>
      </c>
      <c r="J1594" s="4">
        <v>0.67</v>
      </c>
      <c r="K1594" s="1">
        <v>0</v>
      </c>
      <c r="L1594" s="1">
        <v>6</v>
      </c>
      <c r="M1594" s="32">
        <f>IF(Mecze[[#This Row],[PR]]=0,0,Mecze[[#This Row],[PR]]/Mecze[[#This Row],[CZAS]])</f>
        <v>6.25E-2</v>
      </c>
      <c r="N1594" s="32">
        <f>IF(Mecze[[#This Row],[OU]]=0,0,Mecze[[#This Row],[OU]]/Mecze[[#This Row],[CZAS]])</f>
        <v>8.3333333333333329E-2</v>
      </c>
      <c r="O1594" s="32">
        <f>IF(Mecze[[#This Row],[PC]]=0,0,Mecze[[#This Row],[PC]]/Mecze[[#This Row],[CZAS]])</f>
        <v>9.375E-2</v>
      </c>
      <c r="P1594" s="32">
        <f>IF(Mecze[[#This Row],[SC]]=0,0,Mecze[[#This Row],[SC]]/Mecze[[#This Row],[CZAS]])</f>
        <v>2.0833333333333332E-2</v>
      </c>
      <c r="Q1594" s="32">
        <f>IF(Mecze[[#This Row],[OB]]=0,0,Mecze[[#This Row],[OB]]/Mecze[[#This Row],[CZAS]])</f>
        <v>0</v>
      </c>
      <c r="R1594" s="32">
        <f>IF(Mecze[[#This Row],[BR]]=0,0,Mecze[[#This Row],[BR]]/Mecze[[#This Row],[CZAS]])</f>
        <v>0</v>
      </c>
      <c r="S1594" s="44">
        <f>IF(Mecze[[#This Row],[Role]]="BR",SUMPRODUCT(Mecze[[#This Row],[/PR:90]:[/BR:90]],Brudnopis!$E$23:$J$23),0)</f>
        <v>0</v>
      </c>
      <c r="T1594" s="44">
        <f>IF(Mecze[[#This Row],[Role]]&lt;&gt;"BR",SUMPRODUCT(Mecze[[#This Row],[/PR:90]:[/BR:90]],Brudnopis!$E$24:$J$24),0)</f>
        <v>0.30208333333333331</v>
      </c>
      <c r="U1594" s="44">
        <f>IF(Mecze[[#This Row],[Role]]&lt;&gt;"BR",SUMPRODUCT(Mecze[[#This Row],[/PR:90]:[/BR:90]],Brudnopis!$E$25:$J$25),0)</f>
        <v>0.30729166666666663</v>
      </c>
      <c r="V1594" s="44">
        <f>IF(Mecze[[#This Row],[Role]]&lt;&gt;"BR",SUMPRODUCT(Mecze[[#This Row],[/PR:90]:[/BR:90]],Brudnopis!$E$26:$J$26),0)</f>
        <v>0.26041666666666663</v>
      </c>
      <c r="W1594" s="44">
        <f>IF(Mecze[[#This Row],[Role]]&lt;&gt;"BR",SUMPRODUCT(Mecze[[#This Row],[/PR:90]:[/BR:90]],Brudnopis!$E$27:$J$27),0)</f>
        <v>0.27083333333333331</v>
      </c>
      <c r="X1594" s="44">
        <f>IF(Mecze[[#This Row],[Role]]&lt;&gt;"BR",SUMPRODUCT(Mecze[[#This Row],[/PR:90]:[/BR:90]],Brudnopis!$E$28:$J$28),0)</f>
        <v>0.13541666666666666</v>
      </c>
      <c r="Y1594" s="35">
        <f>IF(Mecze[[#This Row],[Role]]="BR",Mecze[[#This Row],[/OB:90]]+Mecze[[#This Row],[/PC:90]],SUM(Mecze[[#This Row],[/PR:90]:[/BR:90]]))</f>
        <v>0.26041666666666663</v>
      </c>
      <c r="Z1594" s="35">
        <f>IF(Mecze[[#This Row],[KC]]=0,SUM(Mecze[[#This Row],[/BRI]:[/NPI]]),SUM(Mecze[[#This Row],[/BRI]:[/NPI]])*0.6)</f>
        <v>1.2760416666666667</v>
      </c>
      <c r="AA1594" s="10">
        <f>IFERROR(Mecze[[#This Row],[BR]]/Mecze[[#This Row],[ST]],0)</f>
        <v>0</v>
      </c>
      <c r="AB1594">
        <f>ROUND(Mecze[[#This Row],[PD]]*Mecze[[#This Row],[%PC]],0)</f>
        <v>9</v>
      </c>
      <c r="AC1594">
        <f>ROUND(Mecze[[#This Row],[OD]]*Mecze[[#This Row],[%OU]],0)</f>
        <v>8</v>
      </c>
      <c r="AD1594" s="36" t="s">
        <v>41</v>
      </c>
      <c r="AE1594" s="36">
        <v>86</v>
      </c>
      <c r="AF1594" s="71">
        <v>5.63</v>
      </c>
      <c r="AG1594" s="37">
        <v>0</v>
      </c>
      <c r="AH1594" s="37">
        <v>0</v>
      </c>
      <c r="AI1594" s="37">
        <v>96</v>
      </c>
      <c r="AJ1594" s="37">
        <v>2</v>
      </c>
      <c r="AK1594" s="37" t="str">
        <f>VLOOKUP(Mecze[[#This Row],[Match ID]],Meczusie[Mecz]:Meczusie[RodzajMeczu],2,FALSE)</f>
        <v>Liga</v>
      </c>
    </row>
    <row r="1595" spans="1:37" x14ac:dyDescent="0.25">
      <c r="A1595" s="76">
        <v>9</v>
      </c>
      <c r="B1595" s="3" t="s">
        <v>227</v>
      </c>
      <c r="C1595" s="2" t="s">
        <v>160</v>
      </c>
      <c r="D1595" s="1">
        <v>0</v>
      </c>
      <c r="E1595" s="1">
        <v>2</v>
      </c>
      <c r="F1595" s="1">
        <v>1</v>
      </c>
      <c r="G1595" s="1">
        <v>20</v>
      </c>
      <c r="H1595" s="4">
        <v>0.75</v>
      </c>
      <c r="I1595" s="1">
        <v>10</v>
      </c>
      <c r="J1595" s="4">
        <v>0.7</v>
      </c>
      <c r="K1595" s="1">
        <v>0</v>
      </c>
      <c r="L1595" s="1">
        <v>3</v>
      </c>
      <c r="M1595" s="32">
        <f>IF(Mecze[[#This Row],[PR]]=0,0,Mecze[[#This Row],[PR]]/Mecze[[#This Row],[CZAS]])</f>
        <v>3.125E-2</v>
      </c>
      <c r="N1595" s="32">
        <f>IF(Mecze[[#This Row],[OU]]=0,0,Mecze[[#This Row],[OU]]/Mecze[[#This Row],[CZAS]])</f>
        <v>7.2916666666666671E-2</v>
      </c>
      <c r="O1595" s="32">
        <f>IF(Mecze[[#This Row],[PC]]=0,0,Mecze[[#This Row],[PC]]/Mecze[[#This Row],[CZAS]])</f>
        <v>0.15625</v>
      </c>
      <c r="P1595" s="32">
        <f>IF(Mecze[[#This Row],[SC]]=0,0,Mecze[[#This Row],[SC]]/Mecze[[#This Row],[CZAS]])</f>
        <v>1.0416666666666666E-2</v>
      </c>
      <c r="Q1595" s="32">
        <f>IF(Mecze[[#This Row],[OB]]=0,0,Mecze[[#This Row],[OB]]/Mecze[[#This Row],[CZAS]])</f>
        <v>0</v>
      </c>
      <c r="R1595" s="32">
        <f>IF(Mecze[[#This Row],[BR]]=0,0,Mecze[[#This Row],[BR]]/Mecze[[#This Row],[CZAS]])</f>
        <v>0</v>
      </c>
      <c r="S1595" s="44">
        <f>IF(Mecze[[#This Row],[Role]]="BR",SUMPRODUCT(Mecze[[#This Row],[/PR:90]:[/BR:90]],Brudnopis!$E$23:$J$23),0)</f>
        <v>0</v>
      </c>
      <c r="T1595" s="44">
        <f>IF(Mecze[[#This Row],[Role]]&lt;&gt;"BR",SUMPRODUCT(Mecze[[#This Row],[/PR:90]:[/BR:90]],Brudnopis!$E$24:$J$24),0)</f>
        <v>0.30729166666666669</v>
      </c>
      <c r="U1595" s="44">
        <f>IF(Mecze[[#This Row],[Role]]&lt;&gt;"BR",SUMPRODUCT(Mecze[[#This Row],[/PR:90]:[/BR:90]],Brudnopis!$E$25:$J$25),0)</f>
        <v>0.34895833333333337</v>
      </c>
      <c r="V1595" s="44">
        <f>IF(Mecze[[#This Row],[Role]]&lt;&gt;"BR",SUMPRODUCT(Mecze[[#This Row],[/PR:90]:[/BR:90]],Brudnopis!$E$26:$J$26),0)</f>
        <v>0.27083333333333337</v>
      </c>
      <c r="W1595" s="44">
        <f>IF(Mecze[[#This Row],[Role]]&lt;&gt;"BR",SUMPRODUCT(Mecze[[#This Row],[/PR:90]:[/BR:90]],Brudnopis!$E$27:$J$27),0)</f>
        <v>0.32291666666666669</v>
      </c>
      <c r="X1595" s="44">
        <f>IF(Mecze[[#This Row],[Role]]&lt;&gt;"BR",SUMPRODUCT(Mecze[[#This Row],[/PR:90]:[/BR:90]],Brudnopis!$E$28:$J$28),0)</f>
        <v>0.17708333333333334</v>
      </c>
      <c r="Y1595" s="35">
        <f>IF(Mecze[[#This Row],[Role]]="BR",Mecze[[#This Row],[/OB:90]]+Mecze[[#This Row],[/PC:90]],SUM(Mecze[[#This Row],[/PR:90]:[/BR:90]]))</f>
        <v>0.27083333333333337</v>
      </c>
      <c r="Z1595" s="35">
        <f>IF(Mecze[[#This Row],[KC]]=0,SUM(Mecze[[#This Row],[/BRI]:[/NPI]]),SUM(Mecze[[#This Row],[/BRI]:[/NPI]])*0.6)</f>
        <v>1.4270833333333333</v>
      </c>
      <c r="AA1595" s="10">
        <f>IFERROR(Mecze[[#This Row],[BR]]/Mecze[[#This Row],[ST]],0)</f>
        <v>0</v>
      </c>
      <c r="AB1595">
        <f>ROUND(Mecze[[#This Row],[PD]]*Mecze[[#This Row],[%PC]],0)</f>
        <v>15</v>
      </c>
      <c r="AC1595">
        <f>ROUND(Mecze[[#This Row],[OD]]*Mecze[[#This Row],[%OU]],0)</f>
        <v>7</v>
      </c>
      <c r="AD1595" s="36" t="s">
        <v>67</v>
      </c>
      <c r="AE1595" s="36">
        <v>86</v>
      </c>
      <c r="AF1595" s="71">
        <v>4.7699999999999996</v>
      </c>
      <c r="AG1595" s="37">
        <v>0</v>
      </c>
      <c r="AH1595" s="37">
        <v>0</v>
      </c>
      <c r="AI1595" s="37">
        <v>96</v>
      </c>
      <c r="AJ1595" s="37">
        <v>2</v>
      </c>
      <c r="AK1595" s="37" t="str">
        <f>VLOOKUP(Mecze[[#This Row],[Match ID]],Meczusie[Mecz]:Meczusie[RodzajMeczu],2,FALSE)</f>
        <v>Liga</v>
      </c>
    </row>
    <row r="1596" spans="1:37" x14ac:dyDescent="0.25">
      <c r="A1596" s="76">
        <v>8</v>
      </c>
      <c r="B1596" s="3" t="s">
        <v>228</v>
      </c>
      <c r="C1596" s="2" t="s">
        <v>160</v>
      </c>
      <c r="D1596" s="1">
        <v>0</v>
      </c>
      <c r="E1596" s="1">
        <v>0</v>
      </c>
      <c r="F1596" s="1">
        <v>0</v>
      </c>
      <c r="G1596" s="1">
        <v>5</v>
      </c>
      <c r="H1596" s="4">
        <v>1</v>
      </c>
      <c r="I1596" s="1">
        <v>0</v>
      </c>
      <c r="J1596" s="4"/>
      <c r="K1596" s="1">
        <v>0</v>
      </c>
      <c r="L1596" s="1">
        <v>0</v>
      </c>
      <c r="M1596" s="32">
        <f>IF(Mecze[[#This Row],[PR]]=0,0,Mecze[[#This Row],[PR]]/Mecze[[#This Row],[CZAS]])</f>
        <v>0</v>
      </c>
      <c r="N1596" s="32">
        <f>IF(Mecze[[#This Row],[OU]]=0,0,Mecze[[#This Row],[OU]]/Mecze[[#This Row],[CZAS]])</f>
        <v>0</v>
      </c>
      <c r="O1596" s="32">
        <f>IF(Mecze[[#This Row],[PC]]=0,0,Mecze[[#This Row],[PC]]/Mecze[[#This Row],[CZAS]])</f>
        <v>5.2083333333333336E-2</v>
      </c>
      <c r="P1596" s="32">
        <f>IF(Mecze[[#This Row],[SC]]=0,0,Mecze[[#This Row],[SC]]/Mecze[[#This Row],[CZAS]])</f>
        <v>0</v>
      </c>
      <c r="Q1596" s="32">
        <f>IF(Mecze[[#This Row],[OB]]=0,0,Mecze[[#This Row],[OB]]/Mecze[[#This Row],[CZAS]])</f>
        <v>0</v>
      </c>
      <c r="R1596" s="32">
        <f>IF(Mecze[[#This Row],[BR]]=0,0,Mecze[[#This Row],[BR]]/Mecze[[#This Row],[CZAS]])</f>
        <v>0</v>
      </c>
      <c r="S1596" s="44">
        <f>IF(Mecze[[#This Row],[Role]]="BR",SUMPRODUCT(Mecze[[#This Row],[/PR:90]:[/BR:90]],Brudnopis!$E$23:$J$23),0)</f>
        <v>0</v>
      </c>
      <c r="T1596" s="44">
        <f>IF(Mecze[[#This Row],[Role]]&lt;&gt;"BR",SUMPRODUCT(Mecze[[#This Row],[/PR:90]:[/BR:90]],Brudnopis!$E$24:$J$24),0)</f>
        <v>5.2083333333333336E-2</v>
      </c>
      <c r="U1596" s="44">
        <f>IF(Mecze[[#This Row],[Role]]&lt;&gt;"BR",SUMPRODUCT(Mecze[[#This Row],[/PR:90]:[/BR:90]],Brudnopis!$E$25:$J$25),0)</f>
        <v>7.8125E-2</v>
      </c>
      <c r="V1596" s="44">
        <f>IF(Mecze[[#This Row],[Role]]&lt;&gt;"BR",SUMPRODUCT(Mecze[[#This Row],[/PR:90]:[/BR:90]],Brudnopis!$E$26:$J$26),0)</f>
        <v>5.2083333333333336E-2</v>
      </c>
      <c r="W1596" s="44">
        <f>IF(Mecze[[#This Row],[Role]]&lt;&gt;"BR",SUMPRODUCT(Mecze[[#This Row],[/PR:90]:[/BR:90]],Brudnopis!$E$27:$J$27),0)</f>
        <v>7.8125E-2</v>
      </c>
      <c r="X1596" s="44">
        <f>IF(Mecze[[#This Row],[Role]]&lt;&gt;"BR",SUMPRODUCT(Mecze[[#This Row],[/PR:90]:[/BR:90]],Brudnopis!$E$28:$J$28),0)</f>
        <v>5.2083333333333336E-2</v>
      </c>
      <c r="Y1596" s="35">
        <f>IF(Mecze[[#This Row],[Role]]="BR",Mecze[[#This Row],[/OB:90]]+Mecze[[#This Row],[/PC:90]],SUM(Mecze[[#This Row],[/PR:90]:[/BR:90]]))</f>
        <v>5.2083333333333336E-2</v>
      </c>
      <c r="Z1596" s="35">
        <f>IF(Mecze[[#This Row],[KC]]=0,SUM(Mecze[[#This Row],[/BRI]:[/NPI]]),SUM(Mecze[[#This Row],[/BRI]:[/NPI]])*0.6)</f>
        <v>0.3125</v>
      </c>
      <c r="AA1596" s="10">
        <f>IFERROR(Mecze[[#This Row],[BR]]/Mecze[[#This Row],[ST]],0)</f>
        <v>0</v>
      </c>
      <c r="AB1596">
        <f>ROUND(Mecze[[#This Row],[PD]]*Mecze[[#This Row],[%PC]],0)</f>
        <v>5</v>
      </c>
      <c r="AC1596">
        <f>ROUND(Mecze[[#This Row],[OD]]*Mecze[[#This Row],[%OU]],0)</f>
        <v>0</v>
      </c>
      <c r="AD1596" s="36" t="s">
        <v>171</v>
      </c>
      <c r="AE1596" s="36">
        <v>86</v>
      </c>
      <c r="AF1596" s="71">
        <v>6.03</v>
      </c>
      <c r="AG1596" s="37">
        <v>0</v>
      </c>
      <c r="AH1596" s="37">
        <v>0</v>
      </c>
      <c r="AI1596" s="37">
        <v>96</v>
      </c>
      <c r="AJ1596" s="37">
        <v>2</v>
      </c>
      <c r="AK1596" s="37" t="str">
        <f>VLOOKUP(Mecze[[#This Row],[Match ID]],Meczusie[Mecz]:Meczusie[RodzajMeczu],2,FALSE)</f>
        <v>Liga</v>
      </c>
    </row>
    <row r="1597" spans="1:37" x14ac:dyDescent="0.25">
      <c r="A1597" s="76">
        <v>11</v>
      </c>
      <c r="B1597" s="3" t="s">
        <v>229</v>
      </c>
      <c r="C1597" s="2" t="s">
        <v>165</v>
      </c>
      <c r="D1597" s="1">
        <v>2</v>
      </c>
      <c r="E1597" s="1">
        <v>10</v>
      </c>
      <c r="F1597" s="1">
        <v>9</v>
      </c>
      <c r="G1597" s="1">
        <v>6</v>
      </c>
      <c r="H1597" s="4">
        <v>1</v>
      </c>
      <c r="I1597" s="1">
        <v>1</v>
      </c>
      <c r="J1597" s="4">
        <v>0</v>
      </c>
      <c r="K1597" s="1">
        <v>0</v>
      </c>
      <c r="L1597" s="1">
        <v>3</v>
      </c>
      <c r="M1597" s="32">
        <f>IF(Mecze[[#This Row],[PR]]=0,0,Mecze[[#This Row],[PR]]/Mecze[[#This Row],[CZAS]])</f>
        <v>4.3478260869565216E-2</v>
      </c>
      <c r="N1597" s="32">
        <f>IF(Mecze[[#This Row],[OU]]=0,0,Mecze[[#This Row],[OU]]/Mecze[[#This Row],[CZAS]])</f>
        <v>0</v>
      </c>
      <c r="O1597" s="32">
        <f>IF(Mecze[[#This Row],[PC]]=0,0,Mecze[[#This Row],[PC]]/Mecze[[#This Row],[CZAS]])</f>
        <v>8.6956521739130432E-2</v>
      </c>
      <c r="P1597" s="32">
        <f>IF(Mecze[[#This Row],[SC]]=0,0,Mecze[[#This Row],[SC]]/Mecze[[#This Row],[CZAS]])</f>
        <v>0.13043478260869565</v>
      </c>
      <c r="Q1597" s="32">
        <f>IF(Mecze[[#This Row],[OB]]=0,0,Mecze[[#This Row],[OB]]/Mecze[[#This Row],[CZAS]])</f>
        <v>0</v>
      </c>
      <c r="R1597" s="32">
        <f>IF(Mecze[[#This Row],[BR]]=0,0,Mecze[[#This Row],[BR]]/Mecze[[#This Row],[CZAS]])</f>
        <v>2.8985507246376812E-2</v>
      </c>
      <c r="S1597" s="44">
        <f>IF(Mecze[[#This Row],[Role]]="BR",SUMPRODUCT(Mecze[[#This Row],[/PR:90]:[/BR:90]],Brudnopis!$E$23:$J$23),0)</f>
        <v>0</v>
      </c>
      <c r="T1597" s="44">
        <f>IF(Mecze[[#This Row],[Role]]&lt;&gt;"BR",SUMPRODUCT(Mecze[[#This Row],[/PR:90]:[/BR:90]],Brudnopis!$E$24:$J$24),0)</f>
        <v>0.30434782608695654</v>
      </c>
      <c r="U1597" s="44">
        <f>IF(Mecze[[#This Row],[Role]]&lt;&gt;"BR",SUMPRODUCT(Mecze[[#This Row],[/PR:90]:[/BR:90]],Brudnopis!$E$25:$J$25),0)</f>
        <v>0.34782608695652173</v>
      </c>
      <c r="V1597" s="44">
        <f>IF(Mecze[[#This Row],[Role]]&lt;&gt;"BR",SUMPRODUCT(Mecze[[#This Row],[/PR:90]:[/BR:90]],Brudnopis!$E$26:$J$26),0)</f>
        <v>0.3188405797101449</v>
      </c>
      <c r="W1597" s="44">
        <f>IF(Mecze[[#This Row],[Role]]&lt;&gt;"BR",SUMPRODUCT(Mecze[[#This Row],[/PR:90]:[/BR:90]],Brudnopis!$E$27:$J$27),0)</f>
        <v>0.35144927536231879</v>
      </c>
      <c r="X1597" s="44">
        <f>IF(Mecze[[#This Row],[Role]]&lt;&gt;"BR",SUMPRODUCT(Mecze[[#This Row],[/PR:90]:[/BR:90]],Brudnopis!$E$28:$J$28),0)</f>
        <v>0.43478260869565216</v>
      </c>
      <c r="Y1597" s="35">
        <f>IF(Mecze[[#This Row],[Role]]="BR",Mecze[[#This Row],[/OB:90]]+Mecze[[#This Row],[/PC:90]],SUM(Mecze[[#This Row],[/PR:90]:[/BR:90]]))</f>
        <v>0.28985507246376813</v>
      </c>
      <c r="Z1597" s="35">
        <f>IF(Mecze[[#This Row],[KC]]=0,SUM(Mecze[[#This Row],[/BRI]:[/NPI]]),SUM(Mecze[[#This Row],[/BRI]:[/NPI]])*0.6)</f>
        <v>1.757246376811594</v>
      </c>
      <c r="AA1597" s="10">
        <f>IFERROR(Mecze[[#This Row],[BR]]/Mecze[[#This Row],[ST]],0)</f>
        <v>0.2</v>
      </c>
      <c r="AB1597">
        <f>ROUND(Mecze[[#This Row],[PD]]*Mecze[[#This Row],[%PC]],0)</f>
        <v>6</v>
      </c>
      <c r="AC1597">
        <f>ROUND(Mecze[[#This Row],[OD]]*Mecze[[#This Row],[%OU]],0)</f>
        <v>0</v>
      </c>
      <c r="AD1597" s="36" t="s">
        <v>46</v>
      </c>
      <c r="AE1597" s="36">
        <v>86</v>
      </c>
      <c r="AF1597" s="71">
        <v>12.43</v>
      </c>
      <c r="AG1597" s="37">
        <v>0</v>
      </c>
      <c r="AH1597" s="37">
        <v>0</v>
      </c>
      <c r="AI1597" s="37">
        <v>69</v>
      </c>
      <c r="AJ1597" s="37">
        <v>2</v>
      </c>
      <c r="AK1597" s="37" t="str">
        <f>VLOOKUP(Mecze[[#This Row],[Match ID]],Meczusie[Mecz]:Meczusie[RodzajMeczu],2,FALSE)</f>
        <v>Liga</v>
      </c>
    </row>
    <row r="1598" spans="1:37" x14ac:dyDescent="0.25">
      <c r="A1598" s="76">
        <v>10</v>
      </c>
      <c r="B1598" s="3" t="s">
        <v>230</v>
      </c>
      <c r="C1598" s="2" t="s">
        <v>165</v>
      </c>
      <c r="D1598" s="1">
        <v>0</v>
      </c>
      <c r="E1598" s="1">
        <v>0</v>
      </c>
      <c r="F1598" s="1">
        <v>0</v>
      </c>
      <c r="G1598" s="1">
        <v>10</v>
      </c>
      <c r="H1598" s="4">
        <v>0.8</v>
      </c>
      <c r="I1598" s="1">
        <v>0</v>
      </c>
      <c r="J1598" s="4"/>
      <c r="K1598" s="1">
        <v>0</v>
      </c>
      <c r="L1598" s="1">
        <v>0</v>
      </c>
      <c r="M1598" s="32">
        <f>IF(Mecze[[#This Row],[PR]]=0,0,Mecze[[#This Row],[PR]]/Mecze[[#This Row],[CZAS]])</f>
        <v>0</v>
      </c>
      <c r="N1598" s="32">
        <f>IF(Mecze[[#This Row],[OU]]=0,0,Mecze[[#This Row],[OU]]/Mecze[[#This Row],[CZAS]])</f>
        <v>0</v>
      </c>
      <c r="O1598" s="32">
        <f>IF(Mecze[[#This Row],[PC]]=0,0,Mecze[[#This Row],[PC]]/Mecze[[#This Row],[CZAS]])</f>
        <v>8.3333333333333329E-2</v>
      </c>
      <c r="P1598" s="32">
        <f>IF(Mecze[[#This Row],[SC]]=0,0,Mecze[[#This Row],[SC]]/Mecze[[#This Row],[CZAS]])</f>
        <v>0</v>
      </c>
      <c r="Q1598" s="32">
        <f>IF(Mecze[[#This Row],[OB]]=0,0,Mecze[[#This Row],[OB]]/Mecze[[#This Row],[CZAS]])</f>
        <v>0</v>
      </c>
      <c r="R1598" s="32">
        <f>IF(Mecze[[#This Row],[BR]]=0,0,Mecze[[#This Row],[BR]]/Mecze[[#This Row],[CZAS]])</f>
        <v>0</v>
      </c>
      <c r="S1598" s="44">
        <f>IF(Mecze[[#This Row],[Role]]="BR",SUMPRODUCT(Mecze[[#This Row],[/PR:90]:[/BR:90]],Brudnopis!$E$23:$J$23),0)</f>
        <v>0</v>
      </c>
      <c r="T1598" s="44">
        <f>IF(Mecze[[#This Row],[Role]]&lt;&gt;"BR",SUMPRODUCT(Mecze[[#This Row],[/PR:90]:[/BR:90]],Brudnopis!$E$24:$J$24),0)</f>
        <v>8.3333333333333329E-2</v>
      </c>
      <c r="U1598" s="44">
        <f>IF(Mecze[[#This Row],[Role]]&lt;&gt;"BR",SUMPRODUCT(Mecze[[#This Row],[/PR:90]:[/BR:90]],Brudnopis!$E$25:$J$25),0)</f>
        <v>0.125</v>
      </c>
      <c r="V1598" s="44">
        <f>IF(Mecze[[#This Row],[Role]]&lt;&gt;"BR",SUMPRODUCT(Mecze[[#This Row],[/PR:90]:[/BR:90]],Brudnopis!$E$26:$J$26),0)</f>
        <v>8.3333333333333329E-2</v>
      </c>
      <c r="W1598" s="44">
        <f>IF(Mecze[[#This Row],[Role]]&lt;&gt;"BR",SUMPRODUCT(Mecze[[#This Row],[/PR:90]:[/BR:90]],Brudnopis!$E$27:$J$27),0)</f>
        <v>0.125</v>
      </c>
      <c r="X1598" s="44">
        <f>IF(Mecze[[#This Row],[Role]]&lt;&gt;"BR",SUMPRODUCT(Mecze[[#This Row],[/PR:90]:[/BR:90]],Brudnopis!$E$28:$J$28),0)</f>
        <v>8.3333333333333329E-2</v>
      </c>
      <c r="Y1598" s="35">
        <f>IF(Mecze[[#This Row],[Role]]="BR",Mecze[[#This Row],[/OB:90]]+Mecze[[#This Row],[/PC:90]],SUM(Mecze[[#This Row],[/PR:90]:[/BR:90]]))</f>
        <v>8.3333333333333329E-2</v>
      </c>
      <c r="Z1598" s="35">
        <f>IF(Mecze[[#This Row],[KC]]=0,SUM(Mecze[[#This Row],[/BRI]:[/NPI]]),SUM(Mecze[[#This Row],[/BRI]:[/NPI]])*0.6)</f>
        <v>0.49999999999999994</v>
      </c>
      <c r="AA1598" s="10">
        <f>IFERROR(Mecze[[#This Row],[BR]]/Mecze[[#This Row],[ST]],0)</f>
        <v>0</v>
      </c>
      <c r="AB1598">
        <f>ROUND(Mecze[[#This Row],[PD]]*Mecze[[#This Row],[%PC]],0)</f>
        <v>8</v>
      </c>
      <c r="AC1598">
        <f>ROUND(Mecze[[#This Row],[OD]]*Mecze[[#This Row],[%OU]],0)</f>
        <v>0</v>
      </c>
      <c r="AD1598" s="36" t="s">
        <v>232</v>
      </c>
      <c r="AE1598" s="36">
        <v>86</v>
      </c>
      <c r="AF1598" s="71">
        <v>4.96</v>
      </c>
      <c r="AG1598" s="37">
        <v>0</v>
      </c>
      <c r="AH1598" s="37">
        <v>0</v>
      </c>
      <c r="AI1598" s="37">
        <v>96</v>
      </c>
      <c r="AJ1598" s="37">
        <v>2</v>
      </c>
      <c r="AK1598" s="37" t="str">
        <f>VLOOKUP(Mecze[[#This Row],[Match ID]],Meczusie[Mecz]:Meczusie[RodzajMeczu],2,FALSE)</f>
        <v>Liga</v>
      </c>
    </row>
    <row r="1599" spans="1:37" x14ac:dyDescent="0.25">
      <c r="A1599" s="76">
        <v>12</v>
      </c>
      <c r="B1599" s="3" t="s">
        <v>231</v>
      </c>
      <c r="C1599" s="2" t="s">
        <v>165</v>
      </c>
      <c r="D1599" s="1">
        <v>0</v>
      </c>
      <c r="E1599" s="1">
        <v>4</v>
      </c>
      <c r="F1599" s="1">
        <v>4</v>
      </c>
      <c r="G1599" s="1">
        <v>3</v>
      </c>
      <c r="H1599" s="4">
        <v>0.67</v>
      </c>
      <c r="I1599" s="1">
        <v>1</v>
      </c>
      <c r="J1599" s="4">
        <v>1</v>
      </c>
      <c r="K1599" s="1">
        <v>0</v>
      </c>
      <c r="L1599" s="1">
        <v>0</v>
      </c>
      <c r="M1599" s="32">
        <f>IF(Mecze[[#This Row],[PR]]=0,0,Mecze[[#This Row],[PR]]/Mecze[[#This Row],[CZAS]])</f>
        <v>0</v>
      </c>
      <c r="N1599" s="32">
        <f>IF(Mecze[[#This Row],[OU]]=0,0,Mecze[[#This Row],[OU]]/Mecze[[#This Row],[CZAS]])</f>
        <v>3.7037037037037035E-2</v>
      </c>
      <c r="O1599" s="32">
        <f>IF(Mecze[[#This Row],[PC]]=0,0,Mecze[[#This Row],[PC]]/Mecze[[#This Row],[CZAS]])</f>
        <v>7.407407407407407E-2</v>
      </c>
      <c r="P1599" s="32">
        <f>IF(Mecze[[#This Row],[SC]]=0,0,Mecze[[#This Row],[SC]]/Mecze[[#This Row],[CZAS]])</f>
        <v>0.14814814814814814</v>
      </c>
      <c r="Q1599" s="32">
        <f>IF(Mecze[[#This Row],[OB]]=0,0,Mecze[[#This Row],[OB]]/Mecze[[#This Row],[CZAS]])</f>
        <v>0</v>
      </c>
      <c r="R1599" s="32">
        <f>IF(Mecze[[#This Row],[BR]]=0,0,Mecze[[#This Row],[BR]]/Mecze[[#This Row],[CZAS]])</f>
        <v>0</v>
      </c>
      <c r="S1599" s="44">
        <f>IF(Mecze[[#This Row],[Role]]="BR",SUMPRODUCT(Mecze[[#This Row],[/PR:90]:[/BR:90]],Brudnopis!$E$23:$J$23),0)</f>
        <v>0</v>
      </c>
      <c r="T1599" s="44">
        <f>IF(Mecze[[#This Row],[Role]]&lt;&gt;"BR",SUMPRODUCT(Mecze[[#This Row],[/PR:90]:[/BR:90]],Brudnopis!$E$24:$J$24),0)</f>
        <v>0.27777777777777779</v>
      </c>
      <c r="U1599" s="44">
        <f>IF(Mecze[[#This Row],[Role]]&lt;&gt;"BR",SUMPRODUCT(Mecze[[#This Row],[/PR:90]:[/BR:90]],Brudnopis!$E$25:$J$25),0)</f>
        <v>0.29629629629629628</v>
      </c>
      <c r="V1599" s="44">
        <f>IF(Mecze[[#This Row],[Role]]&lt;&gt;"BR",SUMPRODUCT(Mecze[[#This Row],[/PR:90]:[/BR:90]],Brudnopis!$E$26:$J$26),0)</f>
        <v>0.25925925925925924</v>
      </c>
      <c r="W1599" s="44">
        <f>IF(Mecze[[#This Row],[Role]]&lt;&gt;"BR",SUMPRODUCT(Mecze[[#This Row],[/PR:90]:[/BR:90]],Brudnopis!$E$27:$J$27),0)</f>
        <v>0.28703703703703703</v>
      </c>
      <c r="X1599" s="44">
        <f>IF(Mecze[[#This Row],[Role]]&lt;&gt;"BR",SUMPRODUCT(Mecze[[#This Row],[/PR:90]:[/BR:90]],Brudnopis!$E$28:$J$28),0)</f>
        <v>0.37037037037037035</v>
      </c>
      <c r="Y1599" s="35">
        <f>IF(Mecze[[#This Row],[Role]]="BR",Mecze[[#This Row],[/OB:90]]+Mecze[[#This Row],[/PC:90]],SUM(Mecze[[#This Row],[/PR:90]:[/BR:90]]))</f>
        <v>0.25925925925925924</v>
      </c>
      <c r="Z1599" s="35">
        <f>IF(Mecze[[#This Row],[KC]]=0,SUM(Mecze[[#This Row],[/BRI]:[/NPI]]),SUM(Mecze[[#This Row],[/BRI]:[/NPI]])*0.6)</f>
        <v>1.4907407407407405</v>
      </c>
      <c r="AA1599" s="10">
        <f>IFERROR(Mecze[[#This Row],[BR]]/Mecze[[#This Row],[ST]],0)</f>
        <v>0</v>
      </c>
      <c r="AB1599">
        <f>ROUND(Mecze[[#This Row],[PD]]*Mecze[[#This Row],[%PC]],0)</f>
        <v>2</v>
      </c>
      <c r="AC1599">
        <f>ROUND(Mecze[[#This Row],[OD]]*Mecze[[#This Row],[%OU]],0)</f>
        <v>1</v>
      </c>
      <c r="AD1599" s="36" t="s">
        <v>46</v>
      </c>
      <c r="AE1599" s="36">
        <v>86</v>
      </c>
      <c r="AF1599" s="71">
        <v>1.38</v>
      </c>
      <c r="AG1599" s="37">
        <v>0</v>
      </c>
      <c r="AH1599" s="37">
        <v>0</v>
      </c>
      <c r="AI1599" s="37">
        <v>27</v>
      </c>
      <c r="AJ1599" s="37">
        <v>2</v>
      </c>
      <c r="AK1599" s="37" t="str">
        <f>VLOOKUP(Mecze[[#This Row],[Match ID]],Meczusie[Mecz]:Meczusie[RodzajMeczu],2,FALSE)</f>
        <v>Liga</v>
      </c>
    </row>
    <row r="1600" spans="1:37" x14ac:dyDescent="0.25">
      <c r="A1600" s="76">
        <v>1</v>
      </c>
      <c r="B1600" s="3" t="s">
        <v>236</v>
      </c>
      <c r="C1600" s="2" t="s">
        <v>155</v>
      </c>
      <c r="D1600" s="1">
        <v>0</v>
      </c>
      <c r="E1600" s="1">
        <v>0</v>
      </c>
      <c r="F1600" s="1">
        <v>0</v>
      </c>
      <c r="G1600" s="1">
        <v>7</v>
      </c>
      <c r="H1600" s="4">
        <v>0.14000000000000001</v>
      </c>
      <c r="I1600" s="1">
        <v>0</v>
      </c>
      <c r="J1600" s="4"/>
      <c r="K1600" s="1">
        <v>13</v>
      </c>
      <c r="L1600" s="1">
        <v>0</v>
      </c>
      <c r="M1600" s="32">
        <f>IF(Mecze[[#This Row],[PR]]=0,0,Mecze[[#This Row],[PR]]/Mecze[[#This Row],[CZAS]])</f>
        <v>0</v>
      </c>
      <c r="N1600" s="32">
        <f>IF(Mecze[[#This Row],[OU]]=0,0,Mecze[[#This Row],[OU]]/Mecze[[#This Row],[CZAS]])</f>
        <v>0</v>
      </c>
      <c r="O1600" s="32">
        <f>IF(Mecze[[#This Row],[PC]]=0,0,Mecze[[#This Row],[PC]]/Mecze[[#This Row],[CZAS]])</f>
        <v>1.020408163265306E-2</v>
      </c>
      <c r="P1600" s="32">
        <f>IF(Mecze[[#This Row],[SC]]=0,0,Mecze[[#This Row],[SC]]/Mecze[[#This Row],[CZAS]])</f>
        <v>0</v>
      </c>
      <c r="Q1600" s="32">
        <f>IF(Mecze[[#This Row],[OB]]=0,0,Mecze[[#This Row],[OB]]/Mecze[[#This Row],[CZAS]])</f>
        <v>0.1326530612244898</v>
      </c>
      <c r="R1600" s="32">
        <f>IF(Mecze[[#This Row],[BR]]=0,0,Mecze[[#This Row],[BR]]/Mecze[[#This Row],[CZAS]])</f>
        <v>0</v>
      </c>
      <c r="S1600" s="44">
        <f>IF(Mecze[[#This Row],[Role]]="BR",SUMPRODUCT(Mecze[[#This Row],[/PR:90]:[/BR:90]],Brudnopis!$E$23:$J$23),0)</f>
        <v>0.42857142857142855</v>
      </c>
      <c r="T1600" s="44">
        <f>IF(Mecze[[#This Row],[Role]]&lt;&gt;"BR",SUMPRODUCT(Mecze[[#This Row],[/PR:90]:[/BR:90]],Brudnopis!$E$24:$J$24),0)</f>
        <v>0</v>
      </c>
      <c r="U1600" s="44">
        <f>IF(Mecze[[#This Row],[Role]]&lt;&gt;"BR",SUMPRODUCT(Mecze[[#This Row],[/PR:90]:[/BR:90]],Brudnopis!$E$25:$J$25),0)</f>
        <v>0</v>
      </c>
      <c r="V1600" s="44">
        <f>IF(Mecze[[#This Row],[Role]]&lt;&gt;"BR",SUMPRODUCT(Mecze[[#This Row],[/PR:90]:[/BR:90]],Brudnopis!$E$26:$J$26),0)</f>
        <v>0</v>
      </c>
      <c r="W1600" s="44">
        <f>IF(Mecze[[#This Row],[Role]]&lt;&gt;"BR",SUMPRODUCT(Mecze[[#This Row],[/PR:90]:[/BR:90]],Brudnopis!$E$27:$J$27),0)</f>
        <v>0</v>
      </c>
      <c r="X1600" s="44">
        <f>IF(Mecze[[#This Row],[Role]]&lt;&gt;"BR",SUMPRODUCT(Mecze[[#This Row],[/PR:90]:[/BR:90]],Brudnopis!$E$28:$J$28),0)</f>
        <v>0</v>
      </c>
      <c r="Y1600" s="35">
        <f>IF(Mecze[[#This Row],[Role]]="BR",Mecze[[#This Row],[/OB:90]]+Mecze[[#This Row],[/PC:90]],SUM(Mecze[[#This Row],[/PR:90]:[/BR:90]]))</f>
        <v>0.14285714285714288</v>
      </c>
      <c r="Z1600" s="35">
        <f>IF(Mecze[[#This Row],[KC]]=0,SUM(Mecze[[#This Row],[/BRI]:[/NPI]]),SUM(Mecze[[#This Row],[/BRI]:[/NPI]])*0.6)</f>
        <v>0.42857142857142855</v>
      </c>
      <c r="AA1600" s="10">
        <f>IFERROR(Mecze[[#This Row],[BR]]/Mecze[[#This Row],[ST]],0)</f>
        <v>0</v>
      </c>
      <c r="AB1600">
        <f>ROUND(Mecze[[#This Row],[PD]]*Mecze[[#This Row],[%PC]],0)</f>
        <v>1</v>
      </c>
      <c r="AC1600">
        <f>ROUND(Mecze[[#This Row],[OD]]*Mecze[[#This Row],[%OU]],0)</f>
        <v>0</v>
      </c>
      <c r="AD1600" s="36" t="s">
        <v>40</v>
      </c>
      <c r="AE1600" s="36">
        <v>87</v>
      </c>
      <c r="AF1600" s="71">
        <v>7.36</v>
      </c>
      <c r="AG1600" s="37">
        <v>0</v>
      </c>
      <c r="AH1600" s="37">
        <v>0</v>
      </c>
      <c r="AI1600" s="37">
        <v>98</v>
      </c>
      <c r="AJ1600" s="37">
        <v>10</v>
      </c>
      <c r="AK1600" s="37" t="str">
        <f>VLOOKUP(Mecze[[#This Row],[Match ID]],Meczusie[Mecz]:Meczusie[RodzajMeczu],2,FALSE)</f>
        <v>Liga</v>
      </c>
    </row>
    <row r="1601" spans="1:37" x14ac:dyDescent="0.25">
      <c r="A1601" s="76">
        <v>4</v>
      </c>
      <c r="B1601" s="3" t="s">
        <v>238</v>
      </c>
      <c r="C1601" s="2" t="s">
        <v>157</v>
      </c>
      <c r="D1601" s="1">
        <v>0</v>
      </c>
      <c r="E1601" s="1">
        <v>0</v>
      </c>
      <c r="F1601" s="1">
        <v>0</v>
      </c>
      <c r="G1601" s="1">
        <v>0</v>
      </c>
      <c r="H1601" s="72"/>
      <c r="I1601" s="1">
        <v>2</v>
      </c>
      <c r="J1601" s="4">
        <v>0.5</v>
      </c>
      <c r="K1601" s="1">
        <v>0</v>
      </c>
      <c r="L1601" s="1">
        <v>1</v>
      </c>
      <c r="M1601" s="32">
        <f>IF(Mecze[[#This Row],[PR]]=0,0,Mecze[[#This Row],[PR]]/Mecze[[#This Row],[CZAS]])</f>
        <v>5.5555555555555552E-2</v>
      </c>
      <c r="N1601" s="32">
        <f>IF(Mecze[[#This Row],[OU]]=0,0,Mecze[[#This Row],[OU]]/Mecze[[#This Row],[CZAS]])</f>
        <v>5.5555555555555552E-2</v>
      </c>
      <c r="O1601" s="32">
        <f>IF(Mecze[[#This Row],[PC]]=0,0,Mecze[[#This Row],[PC]]/Mecze[[#This Row],[CZAS]])</f>
        <v>0</v>
      </c>
      <c r="P1601" s="32">
        <f>IF(Mecze[[#This Row],[SC]]=0,0,Mecze[[#This Row],[SC]]/Mecze[[#This Row],[CZAS]])</f>
        <v>0</v>
      </c>
      <c r="Q1601" s="32">
        <f>IF(Mecze[[#This Row],[OB]]=0,0,Mecze[[#This Row],[OB]]/Mecze[[#This Row],[CZAS]])</f>
        <v>0</v>
      </c>
      <c r="R1601" s="32">
        <f>IF(Mecze[[#This Row],[BR]]=0,0,Mecze[[#This Row],[BR]]/Mecze[[#This Row],[CZAS]])</f>
        <v>0</v>
      </c>
      <c r="S1601" s="44">
        <f>IF(Mecze[[#This Row],[Role]]="BR",SUMPRODUCT(Mecze[[#This Row],[/PR:90]:[/BR:90]],Brudnopis!$E$23:$J$23),0)</f>
        <v>0</v>
      </c>
      <c r="T1601" s="44">
        <f>IF(Mecze[[#This Row],[Role]]&lt;&gt;"BR",SUMPRODUCT(Mecze[[#This Row],[/PR:90]:[/BR:90]],Brudnopis!$E$24:$J$24),0)</f>
        <v>0.1388888888888889</v>
      </c>
      <c r="U1601" s="44">
        <f>IF(Mecze[[#This Row],[Role]]&lt;&gt;"BR",SUMPRODUCT(Mecze[[#This Row],[/PR:90]:[/BR:90]],Brudnopis!$E$25:$J$25),0)</f>
        <v>0.1111111111111111</v>
      </c>
      <c r="V1601" s="44">
        <f>IF(Mecze[[#This Row],[Role]]&lt;&gt;"BR",SUMPRODUCT(Mecze[[#This Row],[/PR:90]:[/BR:90]],Brudnopis!$E$26:$J$26),0)</f>
        <v>0.1111111111111111</v>
      </c>
      <c r="W1601" s="44">
        <f>IF(Mecze[[#This Row],[Role]]&lt;&gt;"BR",SUMPRODUCT(Mecze[[#This Row],[/PR:90]:[/BR:90]],Brudnopis!$E$27:$J$27),0)</f>
        <v>8.3333333333333329E-2</v>
      </c>
      <c r="X1601" s="44">
        <f>IF(Mecze[[#This Row],[Role]]&lt;&gt;"BR",SUMPRODUCT(Mecze[[#This Row],[/PR:90]:[/BR:90]],Brudnopis!$E$28:$J$28),0)</f>
        <v>0</v>
      </c>
      <c r="Y1601" s="35">
        <f>IF(Mecze[[#This Row],[Role]]="BR",Mecze[[#This Row],[/OB:90]]+Mecze[[#This Row],[/PC:90]],SUM(Mecze[[#This Row],[/PR:90]:[/BR:90]]))</f>
        <v>0.1111111111111111</v>
      </c>
      <c r="Z1601" s="35">
        <f>IF(Mecze[[#This Row],[KC]]=0,SUM(Mecze[[#This Row],[/BRI]:[/NPI]]),SUM(Mecze[[#This Row],[/BRI]:[/NPI]])*0.6)</f>
        <v>0.26666666666666666</v>
      </c>
      <c r="AA1601" s="10">
        <f>IFERROR(Mecze[[#This Row],[BR]]/Mecze[[#This Row],[ST]],0)</f>
        <v>0</v>
      </c>
      <c r="AB1601">
        <f>ROUND(Mecze[[#This Row],[PD]]*Mecze[[#This Row],[%PC]],0)</f>
        <v>0</v>
      </c>
      <c r="AC1601">
        <f>ROUND(Mecze[[#This Row],[OD]]*Mecze[[#This Row],[%OU]],0)</f>
        <v>1</v>
      </c>
      <c r="AD1601" s="36" t="s">
        <v>47</v>
      </c>
      <c r="AE1601" s="36">
        <v>87</v>
      </c>
      <c r="AF1601" s="71">
        <v>-1.39</v>
      </c>
      <c r="AG1601" s="37">
        <v>0</v>
      </c>
      <c r="AH1601" s="37">
        <v>1</v>
      </c>
      <c r="AI1601" s="37">
        <v>18</v>
      </c>
      <c r="AJ1601" s="37">
        <v>10</v>
      </c>
      <c r="AK1601" s="37" t="str">
        <f>VLOOKUP(Mecze[[#This Row],[Match ID]],Meczusie[Mecz]:Meczusie[RodzajMeczu],2,FALSE)</f>
        <v>Liga</v>
      </c>
    </row>
    <row r="1602" spans="1:37" x14ac:dyDescent="0.25">
      <c r="A1602" s="76">
        <v>11</v>
      </c>
      <c r="B1602" s="3" t="s">
        <v>243</v>
      </c>
      <c r="C1602" s="2" t="s">
        <v>157</v>
      </c>
      <c r="D1602" s="1">
        <v>0</v>
      </c>
      <c r="E1602" s="1">
        <v>1</v>
      </c>
      <c r="F1602" s="1">
        <v>1</v>
      </c>
      <c r="G1602" s="1">
        <v>6</v>
      </c>
      <c r="H1602" s="4">
        <v>0.83</v>
      </c>
      <c r="I1602" s="1">
        <v>4</v>
      </c>
      <c r="J1602" s="4">
        <v>0</v>
      </c>
      <c r="K1602" s="1">
        <v>0</v>
      </c>
      <c r="L1602" s="1">
        <v>8</v>
      </c>
      <c r="M1602" s="32">
        <f>IF(Mecze[[#This Row],[PR]]=0,0,Mecze[[#This Row],[PR]]/Mecze[[#This Row],[CZAS]])</f>
        <v>8.1632653061224483E-2</v>
      </c>
      <c r="N1602" s="32">
        <f>IF(Mecze[[#This Row],[OU]]=0,0,Mecze[[#This Row],[OU]]/Mecze[[#This Row],[CZAS]])</f>
        <v>0</v>
      </c>
      <c r="O1602" s="32">
        <f>IF(Mecze[[#This Row],[PC]]=0,0,Mecze[[#This Row],[PC]]/Mecze[[#This Row],[CZAS]])</f>
        <v>5.1020408163265307E-2</v>
      </c>
      <c r="P1602" s="32">
        <f>IF(Mecze[[#This Row],[SC]]=0,0,Mecze[[#This Row],[SC]]/Mecze[[#This Row],[CZAS]])</f>
        <v>1.020408163265306E-2</v>
      </c>
      <c r="Q1602" s="32">
        <f>IF(Mecze[[#This Row],[OB]]=0,0,Mecze[[#This Row],[OB]]/Mecze[[#This Row],[CZAS]])</f>
        <v>0</v>
      </c>
      <c r="R1602" s="32">
        <f>IF(Mecze[[#This Row],[BR]]=0,0,Mecze[[#This Row],[BR]]/Mecze[[#This Row],[CZAS]])</f>
        <v>0</v>
      </c>
      <c r="S1602" s="44">
        <f>IF(Mecze[[#This Row],[Role]]="BR",SUMPRODUCT(Mecze[[#This Row],[/PR:90]:[/BR:90]],Brudnopis!$E$23:$J$23),0)</f>
        <v>0</v>
      </c>
      <c r="T1602" s="44">
        <f>IF(Mecze[[#This Row],[Role]]&lt;&gt;"BR",SUMPRODUCT(Mecze[[#This Row],[/PR:90]:[/BR:90]],Brudnopis!$E$24:$J$24),0)</f>
        <v>0.14285714285714285</v>
      </c>
      <c r="U1602" s="44">
        <f>IF(Mecze[[#This Row],[Role]]&lt;&gt;"BR",SUMPRODUCT(Mecze[[#This Row],[/PR:90]:[/BR:90]],Brudnopis!$E$25:$J$25),0)</f>
        <v>0.16836734693877553</v>
      </c>
      <c r="V1602" s="44">
        <f>IF(Mecze[[#This Row],[Role]]&lt;&gt;"BR",SUMPRODUCT(Mecze[[#This Row],[/PR:90]:[/BR:90]],Brudnopis!$E$26:$J$26),0)</f>
        <v>0.14285714285714285</v>
      </c>
      <c r="W1602" s="44">
        <f>IF(Mecze[[#This Row],[Role]]&lt;&gt;"BR",SUMPRODUCT(Mecze[[#This Row],[/PR:90]:[/BR:90]],Brudnopis!$E$27:$J$27),0)</f>
        <v>0.14795918367346939</v>
      </c>
      <c r="X1602" s="44">
        <f>IF(Mecze[[#This Row],[Role]]&lt;&gt;"BR",SUMPRODUCT(Mecze[[#This Row],[/PR:90]:[/BR:90]],Brudnopis!$E$28:$J$28),0)</f>
        <v>7.1428571428571425E-2</v>
      </c>
      <c r="Y1602" s="35">
        <f>IF(Mecze[[#This Row],[Role]]="BR",Mecze[[#This Row],[/OB:90]]+Mecze[[#This Row],[/PC:90]],SUM(Mecze[[#This Row],[/PR:90]:[/BR:90]]))</f>
        <v>0.14285714285714285</v>
      </c>
      <c r="Z1602" s="35">
        <f>IF(Mecze[[#This Row],[KC]]=0,SUM(Mecze[[#This Row],[/BRI]:[/NPI]]),SUM(Mecze[[#This Row],[/BRI]:[/NPI]])*0.6)</f>
        <v>0.67346938775510201</v>
      </c>
      <c r="AA1602" s="10">
        <f>IFERROR(Mecze[[#This Row],[BR]]/Mecze[[#This Row],[ST]],0)</f>
        <v>0</v>
      </c>
      <c r="AB1602">
        <f>ROUND(Mecze[[#This Row],[PD]]*Mecze[[#This Row],[%PC]],0)</f>
        <v>5</v>
      </c>
      <c r="AC1602">
        <f>ROUND(Mecze[[#This Row],[OD]]*Mecze[[#This Row],[%OU]],0)</f>
        <v>0</v>
      </c>
      <c r="AD1602" s="36" t="s">
        <v>47</v>
      </c>
      <c r="AE1602" s="36">
        <v>87</v>
      </c>
      <c r="AF1602" s="71">
        <v>4.49</v>
      </c>
      <c r="AG1602" s="37">
        <v>0</v>
      </c>
      <c r="AH1602" s="37">
        <v>0</v>
      </c>
      <c r="AI1602" s="37">
        <v>98</v>
      </c>
      <c r="AJ1602" s="37">
        <v>10</v>
      </c>
      <c r="AK1602" s="37" t="str">
        <f>VLOOKUP(Mecze[[#This Row],[Match ID]],Meczusie[Mecz]:Meczusie[RodzajMeczu],2,FALSE)</f>
        <v>Liga</v>
      </c>
    </row>
    <row r="1603" spans="1:37" x14ac:dyDescent="0.25">
      <c r="A1603" s="76">
        <v>12</v>
      </c>
      <c r="B1603" s="3" t="s">
        <v>239</v>
      </c>
      <c r="C1603" s="2" t="s">
        <v>157</v>
      </c>
      <c r="D1603" s="1">
        <v>0</v>
      </c>
      <c r="E1603" s="1">
        <v>0</v>
      </c>
      <c r="F1603" s="1">
        <v>0</v>
      </c>
      <c r="G1603" s="1">
        <v>1</v>
      </c>
      <c r="H1603" s="4">
        <v>1</v>
      </c>
      <c r="I1603" s="1">
        <v>1</v>
      </c>
      <c r="J1603" s="4">
        <v>0</v>
      </c>
      <c r="K1603" s="1">
        <v>0</v>
      </c>
      <c r="L1603" s="1">
        <v>1</v>
      </c>
      <c r="M1603" s="32">
        <f>IF(Mecze[[#This Row],[PR]]=0,0,Mecze[[#This Row],[PR]]/Mecze[[#This Row],[CZAS]])</f>
        <v>1.020408163265306E-2</v>
      </c>
      <c r="N1603" s="32">
        <f>IF(Mecze[[#This Row],[OU]]=0,0,Mecze[[#This Row],[OU]]/Mecze[[#This Row],[CZAS]])</f>
        <v>0</v>
      </c>
      <c r="O1603" s="32">
        <f>IF(Mecze[[#This Row],[PC]]=0,0,Mecze[[#This Row],[PC]]/Mecze[[#This Row],[CZAS]])</f>
        <v>1.020408163265306E-2</v>
      </c>
      <c r="P1603" s="32">
        <f>IF(Mecze[[#This Row],[SC]]=0,0,Mecze[[#This Row],[SC]]/Mecze[[#This Row],[CZAS]])</f>
        <v>0</v>
      </c>
      <c r="Q1603" s="32">
        <f>IF(Mecze[[#This Row],[OB]]=0,0,Mecze[[#This Row],[OB]]/Mecze[[#This Row],[CZAS]])</f>
        <v>0</v>
      </c>
      <c r="R1603" s="32">
        <f>IF(Mecze[[#This Row],[BR]]=0,0,Mecze[[#This Row],[BR]]/Mecze[[#This Row],[CZAS]])</f>
        <v>0</v>
      </c>
      <c r="S1603" s="44">
        <f>IF(Mecze[[#This Row],[Role]]="BR",SUMPRODUCT(Mecze[[#This Row],[/PR:90]:[/BR:90]],Brudnopis!$E$23:$J$23),0)</f>
        <v>0</v>
      </c>
      <c r="T1603" s="44">
        <f>IF(Mecze[[#This Row],[Role]]&lt;&gt;"BR",SUMPRODUCT(Mecze[[#This Row],[/PR:90]:[/BR:90]],Brudnopis!$E$24:$J$24),0)</f>
        <v>2.0408163265306121E-2</v>
      </c>
      <c r="U1603" s="44">
        <f>IF(Mecze[[#This Row],[Role]]&lt;&gt;"BR",SUMPRODUCT(Mecze[[#This Row],[/PR:90]:[/BR:90]],Brudnopis!$E$25:$J$25),0)</f>
        <v>2.5510204081632654E-2</v>
      </c>
      <c r="V1603" s="44">
        <f>IF(Mecze[[#This Row],[Role]]&lt;&gt;"BR",SUMPRODUCT(Mecze[[#This Row],[/PR:90]:[/BR:90]],Brudnopis!$E$26:$J$26),0)</f>
        <v>2.0408163265306121E-2</v>
      </c>
      <c r="W1603" s="44">
        <f>IF(Mecze[[#This Row],[Role]]&lt;&gt;"BR",SUMPRODUCT(Mecze[[#This Row],[/PR:90]:[/BR:90]],Brudnopis!$E$27:$J$27),0)</f>
        <v>2.2959183673469385E-2</v>
      </c>
      <c r="X1603" s="44">
        <f>IF(Mecze[[#This Row],[Role]]&lt;&gt;"BR",SUMPRODUCT(Mecze[[#This Row],[/PR:90]:[/BR:90]],Brudnopis!$E$28:$J$28),0)</f>
        <v>1.020408163265306E-2</v>
      </c>
      <c r="Y1603" s="35">
        <f>IF(Mecze[[#This Row],[Role]]="BR",Mecze[[#This Row],[/OB:90]]+Mecze[[#This Row],[/PC:90]],SUM(Mecze[[#This Row],[/PR:90]:[/BR:90]]))</f>
        <v>2.0408163265306121E-2</v>
      </c>
      <c r="Z1603" s="35">
        <f>IF(Mecze[[#This Row],[KC]]=0,SUM(Mecze[[#This Row],[/BRI]:[/NPI]]),SUM(Mecze[[#This Row],[/BRI]:[/NPI]])*0.6)</f>
        <v>9.9489795918367332E-2</v>
      </c>
      <c r="AA1603" s="10">
        <f>IFERROR(Mecze[[#This Row],[BR]]/Mecze[[#This Row],[ST]],0)</f>
        <v>0</v>
      </c>
      <c r="AB1603">
        <f>ROUND(Mecze[[#This Row],[PD]]*Mecze[[#This Row],[%PC]],0)</f>
        <v>1</v>
      </c>
      <c r="AC1603">
        <f>ROUND(Mecze[[#This Row],[OD]]*Mecze[[#This Row],[%OU]],0)</f>
        <v>0</v>
      </c>
      <c r="AD1603" s="36" t="s">
        <v>175</v>
      </c>
      <c r="AE1603" s="36">
        <v>87</v>
      </c>
      <c r="AF1603" s="71">
        <v>3.02</v>
      </c>
      <c r="AG1603" s="37">
        <v>0</v>
      </c>
      <c r="AH1603" s="37">
        <v>0</v>
      </c>
      <c r="AI1603" s="37">
        <v>98</v>
      </c>
      <c r="AJ1603" s="37">
        <v>10</v>
      </c>
      <c r="AK1603" s="37" t="str">
        <f>VLOOKUP(Mecze[[#This Row],[Match ID]],Meczusie[Mecz]:Meczusie[RodzajMeczu],2,FALSE)</f>
        <v>Liga</v>
      </c>
    </row>
    <row r="1604" spans="1:37" x14ac:dyDescent="0.25">
      <c r="A1604" s="76">
        <v>2</v>
      </c>
      <c r="B1604" s="3" t="s">
        <v>240</v>
      </c>
      <c r="C1604" s="2" t="s">
        <v>157</v>
      </c>
      <c r="D1604" s="1">
        <v>0</v>
      </c>
      <c r="E1604" s="1">
        <v>0</v>
      </c>
      <c r="F1604" s="1">
        <v>0</v>
      </c>
      <c r="G1604" s="1">
        <v>8</v>
      </c>
      <c r="H1604" s="4">
        <v>0.38</v>
      </c>
      <c r="I1604" s="1">
        <v>5</v>
      </c>
      <c r="J1604" s="4">
        <v>0.4</v>
      </c>
      <c r="K1604" s="1">
        <v>0</v>
      </c>
      <c r="L1604" s="1">
        <v>7</v>
      </c>
      <c r="M1604" s="32">
        <f>IF(Mecze[[#This Row],[PR]]=0,0,Mecze[[#This Row],[PR]]/Mecze[[#This Row],[CZAS]])</f>
        <v>7.1428571428571425E-2</v>
      </c>
      <c r="N1604" s="32">
        <f>IF(Mecze[[#This Row],[OU]]=0,0,Mecze[[#This Row],[OU]]/Mecze[[#This Row],[CZAS]])</f>
        <v>2.0408163265306121E-2</v>
      </c>
      <c r="O1604" s="32">
        <f>IF(Mecze[[#This Row],[PC]]=0,0,Mecze[[#This Row],[PC]]/Mecze[[#This Row],[CZAS]])</f>
        <v>3.0612244897959183E-2</v>
      </c>
      <c r="P1604" s="32">
        <f>IF(Mecze[[#This Row],[SC]]=0,0,Mecze[[#This Row],[SC]]/Mecze[[#This Row],[CZAS]])</f>
        <v>0</v>
      </c>
      <c r="Q1604" s="32">
        <f>IF(Mecze[[#This Row],[OB]]=0,0,Mecze[[#This Row],[OB]]/Mecze[[#This Row],[CZAS]])</f>
        <v>0</v>
      </c>
      <c r="R1604" s="32">
        <f>IF(Mecze[[#This Row],[BR]]=0,0,Mecze[[#This Row],[BR]]/Mecze[[#This Row],[CZAS]])</f>
        <v>0</v>
      </c>
      <c r="S1604" s="44">
        <f>IF(Mecze[[#This Row],[Role]]="BR",SUMPRODUCT(Mecze[[#This Row],[/PR:90]:[/BR:90]],Brudnopis!$E$23:$J$23),0)</f>
        <v>0</v>
      </c>
      <c r="T1604" s="44">
        <f>IF(Mecze[[#This Row],[Role]]&lt;&gt;"BR",SUMPRODUCT(Mecze[[#This Row],[/PR:90]:[/BR:90]],Brudnopis!$E$24:$J$24),0)</f>
        <v>0.1326530612244898</v>
      </c>
      <c r="U1604" s="44">
        <f>IF(Mecze[[#This Row],[Role]]&lt;&gt;"BR",SUMPRODUCT(Mecze[[#This Row],[/PR:90]:[/BR:90]],Brudnopis!$E$25:$J$25),0)</f>
        <v>0.13775510204081631</v>
      </c>
      <c r="V1604" s="44">
        <f>IF(Mecze[[#This Row],[Role]]&lt;&gt;"BR",SUMPRODUCT(Mecze[[#This Row],[/PR:90]:[/BR:90]],Brudnopis!$E$26:$J$26),0)</f>
        <v>0.12244897959183673</v>
      </c>
      <c r="W1604" s="44">
        <f>IF(Mecze[[#This Row],[Role]]&lt;&gt;"BR",SUMPRODUCT(Mecze[[#This Row],[/PR:90]:[/BR:90]],Brudnopis!$E$27:$J$27),0)</f>
        <v>0.11479591836734693</v>
      </c>
      <c r="X1604" s="44">
        <f>IF(Mecze[[#This Row],[Role]]&lt;&gt;"BR",SUMPRODUCT(Mecze[[#This Row],[/PR:90]:[/BR:90]],Brudnopis!$E$28:$J$28),0)</f>
        <v>3.0612244897959183E-2</v>
      </c>
      <c r="Y1604" s="35">
        <f>IF(Mecze[[#This Row],[Role]]="BR",Mecze[[#This Row],[/OB:90]]+Mecze[[#This Row],[/PC:90]],SUM(Mecze[[#This Row],[/PR:90]:[/BR:90]]))</f>
        <v>0.12244897959183673</v>
      </c>
      <c r="Z1604" s="35">
        <f>IF(Mecze[[#This Row],[KC]]=0,SUM(Mecze[[#This Row],[/BRI]:[/NPI]]),SUM(Mecze[[#This Row],[/BRI]:[/NPI]])*0.6)</f>
        <v>0.53826530612244905</v>
      </c>
      <c r="AA1604" s="10">
        <f>IFERROR(Mecze[[#This Row],[BR]]/Mecze[[#This Row],[ST]],0)</f>
        <v>0</v>
      </c>
      <c r="AB1604">
        <f>ROUND(Mecze[[#This Row],[PD]]*Mecze[[#This Row],[%PC]],0)</f>
        <v>3</v>
      </c>
      <c r="AC1604">
        <f>ROUND(Mecze[[#This Row],[OD]]*Mecze[[#This Row],[%OU]],0)</f>
        <v>2</v>
      </c>
      <c r="AD1604" s="36" t="s">
        <v>174</v>
      </c>
      <c r="AE1604" s="36">
        <v>87</v>
      </c>
      <c r="AF1604" s="71">
        <v>4.28</v>
      </c>
      <c r="AG1604" s="37">
        <v>0</v>
      </c>
      <c r="AH1604" s="37">
        <v>0</v>
      </c>
      <c r="AI1604" s="37">
        <v>98</v>
      </c>
      <c r="AJ1604" s="37">
        <v>10</v>
      </c>
      <c r="AK1604" s="37" t="str">
        <f>VLOOKUP(Mecze[[#This Row],[Match ID]],Meczusie[Mecz]:Meczusie[RodzajMeczu],2,FALSE)</f>
        <v>Liga</v>
      </c>
    </row>
    <row r="1605" spans="1:37" x14ac:dyDescent="0.25">
      <c r="A1605" s="76">
        <v>8</v>
      </c>
      <c r="B1605" s="3" t="s">
        <v>245</v>
      </c>
      <c r="C1605" s="2" t="s">
        <v>160</v>
      </c>
      <c r="D1605" s="1">
        <v>0</v>
      </c>
      <c r="E1605" s="1">
        <v>0</v>
      </c>
      <c r="F1605" s="1">
        <v>0</v>
      </c>
      <c r="G1605" s="1">
        <v>11</v>
      </c>
      <c r="H1605" s="4">
        <v>0.64</v>
      </c>
      <c r="I1605" s="1">
        <v>3</v>
      </c>
      <c r="J1605" s="4">
        <v>0.67</v>
      </c>
      <c r="K1605" s="1">
        <v>0</v>
      </c>
      <c r="L1605" s="1">
        <v>3</v>
      </c>
      <c r="M1605" s="32">
        <f>IF(Mecze[[#This Row],[PR]]=0,0,Mecze[[#This Row],[PR]]/Mecze[[#This Row],[CZAS]])</f>
        <v>3.0612244897959183E-2</v>
      </c>
      <c r="N1605" s="32">
        <f>IF(Mecze[[#This Row],[OU]]=0,0,Mecze[[#This Row],[OU]]/Mecze[[#This Row],[CZAS]])</f>
        <v>2.0408163265306121E-2</v>
      </c>
      <c r="O1605" s="32">
        <f>IF(Mecze[[#This Row],[PC]]=0,0,Mecze[[#This Row],[PC]]/Mecze[[#This Row],[CZAS]])</f>
        <v>7.1428571428571425E-2</v>
      </c>
      <c r="P1605" s="32">
        <f>IF(Mecze[[#This Row],[SC]]=0,0,Mecze[[#This Row],[SC]]/Mecze[[#This Row],[CZAS]])</f>
        <v>0</v>
      </c>
      <c r="Q1605" s="32">
        <f>IF(Mecze[[#This Row],[OB]]=0,0,Mecze[[#This Row],[OB]]/Mecze[[#This Row],[CZAS]])</f>
        <v>0</v>
      </c>
      <c r="R1605" s="32">
        <f>IF(Mecze[[#This Row],[BR]]=0,0,Mecze[[#This Row],[BR]]/Mecze[[#This Row],[CZAS]])</f>
        <v>0</v>
      </c>
      <c r="S1605" s="44">
        <f>IF(Mecze[[#This Row],[Role]]="BR",SUMPRODUCT(Mecze[[#This Row],[/PR:90]:[/BR:90]],Brudnopis!$E$23:$J$23),0)</f>
        <v>0</v>
      </c>
      <c r="T1605" s="44">
        <f>IF(Mecze[[#This Row],[Role]]&lt;&gt;"BR",SUMPRODUCT(Mecze[[#This Row],[/PR:90]:[/BR:90]],Brudnopis!$E$24:$J$24),0)</f>
        <v>0.13265306122448978</v>
      </c>
      <c r="U1605" s="44">
        <f>IF(Mecze[[#This Row],[Role]]&lt;&gt;"BR",SUMPRODUCT(Mecze[[#This Row],[/PR:90]:[/BR:90]],Brudnopis!$E$25:$J$25),0)</f>
        <v>0.15816326530612246</v>
      </c>
      <c r="V1605" s="44">
        <f>IF(Mecze[[#This Row],[Role]]&lt;&gt;"BR",SUMPRODUCT(Mecze[[#This Row],[/PR:90]:[/BR:90]],Brudnopis!$E$26:$J$26),0)</f>
        <v>0.12244897959183673</v>
      </c>
      <c r="W1605" s="44">
        <f>IF(Mecze[[#This Row],[Role]]&lt;&gt;"BR",SUMPRODUCT(Mecze[[#This Row],[/PR:90]:[/BR:90]],Brudnopis!$E$27:$J$27),0)</f>
        <v>0.14540816326530612</v>
      </c>
      <c r="X1605" s="44">
        <f>IF(Mecze[[#This Row],[Role]]&lt;&gt;"BR",SUMPRODUCT(Mecze[[#This Row],[/PR:90]:[/BR:90]],Brudnopis!$E$28:$J$28),0)</f>
        <v>7.1428571428571425E-2</v>
      </c>
      <c r="Y1605" s="35">
        <f>IF(Mecze[[#This Row],[Role]]="BR",Mecze[[#This Row],[/OB:90]]+Mecze[[#This Row],[/PC:90]],SUM(Mecze[[#This Row],[/PR:90]:[/BR:90]]))</f>
        <v>0.12244897959183673</v>
      </c>
      <c r="Z1605" s="35">
        <f>IF(Mecze[[#This Row],[KC]]=0,SUM(Mecze[[#This Row],[/BRI]:[/NPI]]),SUM(Mecze[[#This Row],[/BRI]:[/NPI]])*0.6)</f>
        <v>0.63010204081632648</v>
      </c>
      <c r="AA1605" s="10">
        <f>IFERROR(Mecze[[#This Row],[BR]]/Mecze[[#This Row],[ST]],0)</f>
        <v>0</v>
      </c>
      <c r="AB1605">
        <f>ROUND(Mecze[[#This Row],[PD]]*Mecze[[#This Row],[%PC]],0)</f>
        <v>7</v>
      </c>
      <c r="AC1605">
        <f>ROUND(Mecze[[#This Row],[OD]]*Mecze[[#This Row],[%OU]],0)</f>
        <v>2</v>
      </c>
      <c r="AD1605" s="36" t="s">
        <v>41</v>
      </c>
      <c r="AE1605" s="36">
        <v>87</v>
      </c>
      <c r="AF1605" s="71">
        <v>5.76</v>
      </c>
      <c r="AG1605" s="37">
        <v>0</v>
      </c>
      <c r="AH1605" s="37">
        <v>0</v>
      </c>
      <c r="AI1605" s="37">
        <v>98</v>
      </c>
      <c r="AJ1605" s="37">
        <v>10</v>
      </c>
      <c r="AK1605" s="37" t="str">
        <f>VLOOKUP(Mecze[[#This Row],[Match ID]],Meczusie[Mecz]:Meczusie[RodzajMeczu],2,FALSE)</f>
        <v>Liga</v>
      </c>
    </row>
    <row r="1606" spans="1:37" x14ac:dyDescent="0.25">
      <c r="A1606" s="76">
        <v>5</v>
      </c>
      <c r="B1606" s="3" t="s">
        <v>242</v>
      </c>
      <c r="C1606" s="2" t="s">
        <v>160</v>
      </c>
      <c r="D1606" s="1">
        <v>0</v>
      </c>
      <c r="E1606" s="1">
        <v>0</v>
      </c>
      <c r="F1606" s="1">
        <v>0</v>
      </c>
      <c r="G1606" s="1">
        <v>9</v>
      </c>
      <c r="H1606" s="4">
        <v>1</v>
      </c>
      <c r="I1606" s="1">
        <v>7</v>
      </c>
      <c r="J1606" s="4">
        <v>0.56999999999999995</v>
      </c>
      <c r="K1606" s="1">
        <v>0</v>
      </c>
      <c r="L1606" s="1">
        <v>1</v>
      </c>
      <c r="M1606" s="32">
        <f>IF(Mecze[[#This Row],[PR]]=0,0,Mecze[[#This Row],[PR]]/Mecze[[#This Row],[CZAS]])</f>
        <v>1.020408163265306E-2</v>
      </c>
      <c r="N1606" s="32">
        <f>IF(Mecze[[#This Row],[OU]]=0,0,Mecze[[#This Row],[OU]]/Mecze[[#This Row],[CZAS]])</f>
        <v>4.0816326530612242E-2</v>
      </c>
      <c r="O1606" s="32">
        <f>IF(Mecze[[#This Row],[PC]]=0,0,Mecze[[#This Row],[PC]]/Mecze[[#This Row],[CZAS]])</f>
        <v>9.1836734693877556E-2</v>
      </c>
      <c r="P1606" s="32">
        <f>IF(Mecze[[#This Row],[SC]]=0,0,Mecze[[#This Row],[SC]]/Mecze[[#This Row],[CZAS]])</f>
        <v>0</v>
      </c>
      <c r="Q1606" s="32">
        <f>IF(Mecze[[#This Row],[OB]]=0,0,Mecze[[#This Row],[OB]]/Mecze[[#This Row],[CZAS]])</f>
        <v>0</v>
      </c>
      <c r="R1606" s="32">
        <f>IF(Mecze[[#This Row],[BR]]=0,0,Mecze[[#This Row],[BR]]/Mecze[[#This Row],[CZAS]])</f>
        <v>0</v>
      </c>
      <c r="S1606" s="44">
        <f>IF(Mecze[[#This Row],[Role]]="BR",SUMPRODUCT(Mecze[[#This Row],[/PR:90]:[/BR:90]],Brudnopis!$E$23:$J$23),0)</f>
        <v>0</v>
      </c>
      <c r="T1606" s="44">
        <f>IF(Mecze[[#This Row],[Role]]&lt;&gt;"BR",SUMPRODUCT(Mecze[[#This Row],[/PR:90]:[/BR:90]],Brudnopis!$E$24:$J$24),0)</f>
        <v>0.16326530612244899</v>
      </c>
      <c r="U1606" s="44">
        <f>IF(Mecze[[#This Row],[Role]]&lt;&gt;"BR",SUMPRODUCT(Mecze[[#This Row],[/PR:90]:[/BR:90]],Brudnopis!$E$25:$J$25),0)</f>
        <v>0.18877551020408165</v>
      </c>
      <c r="V1606" s="44">
        <f>IF(Mecze[[#This Row],[Role]]&lt;&gt;"BR",SUMPRODUCT(Mecze[[#This Row],[/PR:90]:[/BR:90]],Brudnopis!$E$26:$J$26),0)</f>
        <v>0.14285714285714285</v>
      </c>
      <c r="W1606" s="44">
        <f>IF(Mecze[[#This Row],[Role]]&lt;&gt;"BR",SUMPRODUCT(Mecze[[#This Row],[/PR:90]:[/BR:90]],Brudnopis!$E$27:$J$27),0)</f>
        <v>0.17602040816326531</v>
      </c>
      <c r="X1606" s="44">
        <f>IF(Mecze[[#This Row],[Role]]&lt;&gt;"BR",SUMPRODUCT(Mecze[[#This Row],[/PR:90]:[/BR:90]],Brudnopis!$E$28:$J$28),0)</f>
        <v>9.1836734693877556E-2</v>
      </c>
      <c r="Y1606" s="35">
        <f>IF(Mecze[[#This Row],[Role]]="BR",Mecze[[#This Row],[/OB:90]]+Mecze[[#This Row],[/PC:90]],SUM(Mecze[[#This Row],[/PR:90]:[/BR:90]]))</f>
        <v>0.14285714285714285</v>
      </c>
      <c r="Z1606" s="35">
        <f>IF(Mecze[[#This Row],[KC]]=0,SUM(Mecze[[#This Row],[/BRI]:[/NPI]]),SUM(Mecze[[#This Row],[/BRI]:[/NPI]])*0.6)</f>
        <v>0.76275510204081631</v>
      </c>
      <c r="AA1606" s="10">
        <f>IFERROR(Mecze[[#This Row],[BR]]/Mecze[[#This Row],[ST]],0)</f>
        <v>0</v>
      </c>
      <c r="AB1606">
        <f>ROUND(Mecze[[#This Row],[PD]]*Mecze[[#This Row],[%PC]],0)</f>
        <v>9</v>
      </c>
      <c r="AC1606">
        <f>ROUND(Mecze[[#This Row],[OD]]*Mecze[[#This Row],[%OU]],0)</f>
        <v>4</v>
      </c>
      <c r="AD1606" s="36" t="s">
        <v>41</v>
      </c>
      <c r="AE1606" s="36">
        <v>87</v>
      </c>
      <c r="AF1606" s="71">
        <v>7.46</v>
      </c>
      <c r="AG1606" s="37">
        <v>0</v>
      </c>
      <c r="AH1606" s="37">
        <v>0</v>
      </c>
      <c r="AI1606" s="37">
        <v>98</v>
      </c>
      <c r="AJ1606" s="37">
        <v>10</v>
      </c>
      <c r="AK1606" s="37" t="str">
        <f>VLOOKUP(Mecze[[#This Row],[Match ID]],Meczusie[Mecz]:Meczusie[RodzajMeczu],2,FALSE)</f>
        <v>Liga</v>
      </c>
    </row>
    <row r="1607" spans="1:37" x14ac:dyDescent="0.25">
      <c r="A1607" s="76">
        <v>13</v>
      </c>
      <c r="B1607" s="3" t="s">
        <v>403</v>
      </c>
      <c r="C1607" s="2" t="s">
        <v>160</v>
      </c>
      <c r="D1607" s="1">
        <v>0</v>
      </c>
      <c r="E1607" s="1">
        <v>5</v>
      </c>
      <c r="F1607" s="1">
        <v>3</v>
      </c>
      <c r="G1607" s="1">
        <v>21</v>
      </c>
      <c r="H1607" s="4">
        <v>0.62</v>
      </c>
      <c r="I1607" s="1">
        <v>9</v>
      </c>
      <c r="J1607" s="4">
        <v>0.56000000000000005</v>
      </c>
      <c r="K1607" s="1">
        <v>0</v>
      </c>
      <c r="L1607" s="1">
        <v>2</v>
      </c>
      <c r="M1607" s="32">
        <f>IF(Mecze[[#This Row],[PR]]=0,0,Mecze[[#This Row],[PR]]/Mecze[[#This Row],[CZAS]])</f>
        <v>2.0408163265306121E-2</v>
      </c>
      <c r="N1607" s="32">
        <f>IF(Mecze[[#This Row],[OU]]=0,0,Mecze[[#This Row],[OU]]/Mecze[[#This Row],[CZAS]])</f>
        <v>5.1020408163265307E-2</v>
      </c>
      <c r="O1607" s="32">
        <f>IF(Mecze[[#This Row],[PC]]=0,0,Mecze[[#This Row],[PC]]/Mecze[[#This Row],[CZAS]])</f>
        <v>0.1326530612244898</v>
      </c>
      <c r="P1607" s="32">
        <f>IF(Mecze[[#This Row],[SC]]=0,0,Mecze[[#This Row],[SC]]/Mecze[[#This Row],[CZAS]])</f>
        <v>3.0612244897959183E-2</v>
      </c>
      <c r="Q1607" s="32">
        <f>IF(Mecze[[#This Row],[OB]]=0,0,Mecze[[#This Row],[OB]]/Mecze[[#This Row],[CZAS]])</f>
        <v>0</v>
      </c>
      <c r="R1607" s="32">
        <f>IF(Mecze[[#This Row],[BR]]=0,0,Mecze[[#This Row],[BR]]/Mecze[[#This Row],[CZAS]])</f>
        <v>0</v>
      </c>
      <c r="S1607" s="44">
        <f>IF(Mecze[[#This Row],[Role]]="BR",SUMPRODUCT(Mecze[[#This Row],[/PR:90]:[/BR:90]],Brudnopis!$E$23:$J$23),0)</f>
        <v>0</v>
      </c>
      <c r="T1607" s="44">
        <f>IF(Mecze[[#This Row],[Role]]&lt;&gt;"BR",SUMPRODUCT(Mecze[[#This Row],[/PR:90]:[/BR:90]],Brudnopis!$E$24:$J$24),0)</f>
        <v>0.26020408163265307</v>
      </c>
      <c r="U1607" s="44">
        <f>IF(Mecze[[#This Row],[Role]]&lt;&gt;"BR",SUMPRODUCT(Mecze[[#This Row],[/PR:90]:[/BR:90]],Brudnopis!$E$25:$J$25),0)</f>
        <v>0.30102040816326531</v>
      </c>
      <c r="V1607" s="44">
        <f>IF(Mecze[[#This Row],[Role]]&lt;&gt;"BR",SUMPRODUCT(Mecze[[#This Row],[/PR:90]:[/BR:90]],Brudnopis!$E$26:$J$26),0)</f>
        <v>0.23469387755102042</v>
      </c>
      <c r="W1607" s="44">
        <f>IF(Mecze[[#This Row],[Role]]&lt;&gt;"BR",SUMPRODUCT(Mecze[[#This Row],[/PR:90]:[/BR:90]],Brudnopis!$E$27:$J$27),0)</f>
        <v>0.2831632653061224</v>
      </c>
      <c r="X1607" s="44">
        <f>IF(Mecze[[#This Row],[Role]]&lt;&gt;"BR",SUMPRODUCT(Mecze[[#This Row],[/PR:90]:[/BR:90]],Brudnopis!$E$28:$J$28),0)</f>
        <v>0.19387755102040816</v>
      </c>
      <c r="Y1607" s="35">
        <f>IF(Mecze[[#This Row],[Role]]="BR",Mecze[[#This Row],[/OB:90]]+Mecze[[#This Row],[/PC:90]],SUM(Mecze[[#This Row],[/PR:90]:[/BR:90]]))</f>
        <v>0.23469387755102042</v>
      </c>
      <c r="Z1607" s="35">
        <f>IF(Mecze[[#This Row],[KC]]=0,SUM(Mecze[[#This Row],[/BRI]:[/NPI]]),SUM(Mecze[[#This Row],[/BRI]:[/NPI]])*0.6)</f>
        <v>1.2729591836734695</v>
      </c>
      <c r="AA1607" s="10">
        <f>IFERROR(Mecze[[#This Row],[BR]]/Mecze[[#This Row],[ST]],0)</f>
        <v>0</v>
      </c>
      <c r="AB1607">
        <f>ROUND(Mecze[[#This Row],[PD]]*Mecze[[#This Row],[%PC]],0)</f>
        <v>13</v>
      </c>
      <c r="AC1607">
        <f>ROUND(Mecze[[#This Row],[OD]]*Mecze[[#This Row],[%OU]],0)</f>
        <v>5</v>
      </c>
      <c r="AD1607" s="36" t="s">
        <v>67</v>
      </c>
      <c r="AE1607" s="36">
        <v>87</v>
      </c>
      <c r="AF1607" s="71">
        <v>6.24</v>
      </c>
      <c r="AG1607" s="37">
        <v>0</v>
      </c>
      <c r="AH1607" s="37">
        <v>0</v>
      </c>
      <c r="AI1607" s="37">
        <v>98</v>
      </c>
      <c r="AJ1607" s="37">
        <v>10</v>
      </c>
      <c r="AK1607" s="37" t="str">
        <f>VLOOKUP(Mecze[[#This Row],[Match ID]],Meczusie[Mecz]:Meczusie[RodzajMeczu],2,FALSE)</f>
        <v>Liga</v>
      </c>
    </row>
    <row r="1608" spans="1:37" x14ac:dyDescent="0.25">
      <c r="A1608" s="76">
        <v>7</v>
      </c>
      <c r="B1608" s="3" t="s">
        <v>241</v>
      </c>
      <c r="C1608" s="2" t="s">
        <v>165</v>
      </c>
      <c r="D1608" s="1">
        <v>0</v>
      </c>
      <c r="E1608" s="1">
        <v>2</v>
      </c>
      <c r="F1608" s="1">
        <v>2</v>
      </c>
      <c r="G1608" s="1">
        <v>3</v>
      </c>
      <c r="H1608" s="4">
        <v>0.67</v>
      </c>
      <c r="I1608" s="1">
        <v>4</v>
      </c>
      <c r="J1608" s="4">
        <v>0.5</v>
      </c>
      <c r="K1608" s="1">
        <v>0</v>
      </c>
      <c r="L1608" s="1">
        <v>2</v>
      </c>
      <c r="M1608" s="32">
        <f>IF(Mecze[[#This Row],[PR]]=0,0,Mecze[[#This Row],[PR]]/Mecze[[#This Row],[CZAS]])</f>
        <v>2.0408163265306121E-2</v>
      </c>
      <c r="N1608" s="32">
        <f>IF(Mecze[[#This Row],[OU]]=0,0,Mecze[[#This Row],[OU]]/Mecze[[#This Row],[CZAS]])</f>
        <v>2.0408163265306121E-2</v>
      </c>
      <c r="O1608" s="32">
        <f>IF(Mecze[[#This Row],[PC]]=0,0,Mecze[[#This Row],[PC]]/Mecze[[#This Row],[CZAS]])</f>
        <v>2.0408163265306121E-2</v>
      </c>
      <c r="P1608" s="32">
        <f>IF(Mecze[[#This Row],[SC]]=0,0,Mecze[[#This Row],[SC]]/Mecze[[#This Row],[CZAS]])</f>
        <v>2.0408163265306121E-2</v>
      </c>
      <c r="Q1608" s="32">
        <f>IF(Mecze[[#This Row],[OB]]=0,0,Mecze[[#This Row],[OB]]/Mecze[[#This Row],[CZAS]])</f>
        <v>0</v>
      </c>
      <c r="R1608" s="32">
        <f>IF(Mecze[[#This Row],[BR]]=0,0,Mecze[[#This Row],[BR]]/Mecze[[#This Row],[CZAS]])</f>
        <v>0</v>
      </c>
      <c r="S1608" s="44">
        <f>IF(Mecze[[#This Row],[Role]]="BR",SUMPRODUCT(Mecze[[#This Row],[/PR:90]:[/BR:90]],Brudnopis!$E$23:$J$23),0)</f>
        <v>0</v>
      </c>
      <c r="T1608" s="44">
        <f>IF(Mecze[[#This Row],[Role]]&lt;&gt;"BR",SUMPRODUCT(Mecze[[#This Row],[/PR:90]:[/BR:90]],Brudnopis!$E$24:$J$24),0)</f>
        <v>9.1836734693877542E-2</v>
      </c>
      <c r="U1608" s="44">
        <f>IF(Mecze[[#This Row],[Role]]&lt;&gt;"BR",SUMPRODUCT(Mecze[[#This Row],[/PR:90]:[/BR:90]],Brudnopis!$E$25:$J$25),0)</f>
        <v>9.1836734693877542E-2</v>
      </c>
      <c r="V1608" s="44">
        <f>IF(Mecze[[#This Row],[Role]]&lt;&gt;"BR",SUMPRODUCT(Mecze[[#This Row],[/PR:90]:[/BR:90]],Brudnopis!$E$26:$J$26),0)</f>
        <v>8.1632653061224483E-2</v>
      </c>
      <c r="W1608" s="44">
        <f>IF(Mecze[[#This Row],[Role]]&lt;&gt;"BR",SUMPRODUCT(Mecze[[#This Row],[/PR:90]:[/BR:90]],Brudnopis!$E$27:$J$27),0)</f>
        <v>8.1632653061224483E-2</v>
      </c>
      <c r="X1608" s="44">
        <f>IF(Mecze[[#This Row],[Role]]&lt;&gt;"BR",SUMPRODUCT(Mecze[[#This Row],[/PR:90]:[/BR:90]],Brudnopis!$E$28:$J$28),0)</f>
        <v>6.1224489795918366E-2</v>
      </c>
      <c r="Y1608" s="35">
        <f>IF(Mecze[[#This Row],[Role]]="BR",Mecze[[#This Row],[/OB:90]]+Mecze[[#This Row],[/PC:90]],SUM(Mecze[[#This Row],[/PR:90]:[/BR:90]]))</f>
        <v>8.1632653061224483E-2</v>
      </c>
      <c r="Z1608" s="35">
        <f>IF(Mecze[[#This Row],[KC]]=0,SUM(Mecze[[#This Row],[/BRI]:[/NPI]]),SUM(Mecze[[#This Row],[/BRI]:[/NPI]])*0.6)</f>
        <v>0.4081632653061224</v>
      </c>
      <c r="AA1608" s="10">
        <f>IFERROR(Mecze[[#This Row],[BR]]/Mecze[[#This Row],[ST]],0)</f>
        <v>0</v>
      </c>
      <c r="AB1608">
        <f>ROUND(Mecze[[#This Row],[PD]]*Mecze[[#This Row],[%PC]],0)</f>
        <v>2</v>
      </c>
      <c r="AC1608">
        <f>ROUND(Mecze[[#This Row],[OD]]*Mecze[[#This Row],[%OU]],0)</f>
        <v>2</v>
      </c>
      <c r="AD1608" s="36" t="s">
        <v>46</v>
      </c>
      <c r="AE1608" s="36">
        <v>87</v>
      </c>
      <c r="AF1608" s="71">
        <v>4.37</v>
      </c>
      <c r="AG1608" s="37">
        <v>0</v>
      </c>
      <c r="AH1608" s="37">
        <v>0</v>
      </c>
      <c r="AI1608" s="37">
        <v>98</v>
      </c>
      <c r="AJ1608" s="37">
        <v>10</v>
      </c>
      <c r="AK1608" s="37" t="str">
        <f>VLOOKUP(Mecze[[#This Row],[Match ID]],Meczusie[Mecz]:Meczusie[RodzajMeczu],2,FALSE)</f>
        <v>Liga</v>
      </c>
    </row>
    <row r="1609" spans="1:37" x14ac:dyDescent="0.25">
      <c r="A1609" s="76">
        <v>14</v>
      </c>
      <c r="B1609" s="3" t="s">
        <v>244</v>
      </c>
      <c r="C1609" s="2" t="s">
        <v>165</v>
      </c>
      <c r="D1609" s="1">
        <v>2</v>
      </c>
      <c r="E1609" s="1">
        <v>4</v>
      </c>
      <c r="F1609" s="1">
        <v>2</v>
      </c>
      <c r="G1609" s="1">
        <v>11</v>
      </c>
      <c r="H1609" s="4">
        <v>0.64</v>
      </c>
      <c r="I1609" s="1">
        <v>6</v>
      </c>
      <c r="J1609" s="4">
        <v>0.5</v>
      </c>
      <c r="K1609" s="1">
        <v>0</v>
      </c>
      <c r="L1609" s="1">
        <v>2</v>
      </c>
      <c r="M1609" s="32">
        <f>IF(Mecze[[#This Row],[PR]]=0,0,Mecze[[#This Row],[PR]]/Mecze[[#This Row],[CZAS]])</f>
        <v>2.0408163265306121E-2</v>
      </c>
      <c r="N1609" s="32">
        <f>IF(Mecze[[#This Row],[OU]]=0,0,Mecze[[#This Row],[OU]]/Mecze[[#This Row],[CZAS]])</f>
        <v>3.0612244897959183E-2</v>
      </c>
      <c r="O1609" s="32">
        <f>IF(Mecze[[#This Row],[PC]]=0,0,Mecze[[#This Row],[PC]]/Mecze[[#This Row],[CZAS]])</f>
        <v>7.1428571428571425E-2</v>
      </c>
      <c r="P1609" s="32">
        <f>IF(Mecze[[#This Row],[SC]]=0,0,Mecze[[#This Row],[SC]]/Mecze[[#This Row],[CZAS]])</f>
        <v>2.0408163265306121E-2</v>
      </c>
      <c r="Q1609" s="32">
        <f>IF(Mecze[[#This Row],[OB]]=0,0,Mecze[[#This Row],[OB]]/Mecze[[#This Row],[CZAS]])</f>
        <v>0</v>
      </c>
      <c r="R1609" s="32">
        <f>IF(Mecze[[#This Row],[BR]]=0,0,Mecze[[#This Row],[BR]]/Mecze[[#This Row],[CZAS]])</f>
        <v>2.0408163265306121E-2</v>
      </c>
      <c r="S1609" s="44">
        <f>IF(Mecze[[#This Row],[Role]]="BR",SUMPRODUCT(Mecze[[#This Row],[/PR:90]:[/BR:90]],Brudnopis!$E$23:$J$23),0)</f>
        <v>0</v>
      </c>
      <c r="T1609" s="44">
        <f>IF(Mecze[[#This Row],[Role]]&lt;&gt;"BR",SUMPRODUCT(Mecze[[#This Row],[/PR:90]:[/BR:90]],Brudnopis!$E$24:$J$24),0)</f>
        <v>0.18877551020408162</v>
      </c>
      <c r="U1609" s="44">
        <f>IF(Mecze[[#This Row],[Role]]&lt;&gt;"BR",SUMPRODUCT(Mecze[[#This Row],[/PR:90]:[/BR:90]],Brudnopis!$E$25:$J$25),0)</f>
        <v>0.20918367346938777</v>
      </c>
      <c r="V1609" s="44">
        <f>IF(Mecze[[#This Row],[Role]]&lt;&gt;"BR",SUMPRODUCT(Mecze[[#This Row],[/PR:90]:[/BR:90]],Brudnopis!$E$26:$J$26),0)</f>
        <v>0.18367346938775508</v>
      </c>
      <c r="W1609" s="44">
        <f>IF(Mecze[[#This Row],[Role]]&lt;&gt;"BR",SUMPRODUCT(Mecze[[#This Row],[/PR:90]:[/BR:90]],Brudnopis!$E$27:$J$27),0)</f>
        <v>0.20663265306122447</v>
      </c>
      <c r="X1609" s="44">
        <f>IF(Mecze[[#This Row],[Role]]&lt;&gt;"BR",SUMPRODUCT(Mecze[[#This Row],[/PR:90]:[/BR:90]],Brudnopis!$E$28:$J$28),0)</f>
        <v>0.17346938775510201</v>
      </c>
      <c r="Y1609" s="35">
        <f>IF(Mecze[[#This Row],[Role]]="BR",Mecze[[#This Row],[/OB:90]]+Mecze[[#This Row],[/PC:90]],SUM(Mecze[[#This Row],[/PR:90]:[/BR:90]]))</f>
        <v>0.16326530612244897</v>
      </c>
      <c r="Z1609" s="35">
        <f>IF(Mecze[[#This Row],[KC]]=0,SUM(Mecze[[#This Row],[/BRI]:[/NPI]]),SUM(Mecze[[#This Row],[/BRI]:[/NPI]])*0.6)</f>
        <v>0.96173469387755095</v>
      </c>
      <c r="AA1609" s="10">
        <f>IFERROR(Mecze[[#This Row],[BR]]/Mecze[[#This Row],[ST]],0)</f>
        <v>0.5</v>
      </c>
      <c r="AB1609">
        <f>ROUND(Mecze[[#This Row],[PD]]*Mecze[[#This Row],[%PC]],0)</f>
        <v>7</v>
      </c>
      <c r="AC1609">
        <f>ROUND(Mecze[[#This Row],[OD]]*Mecze[[#This Row],[%OU]],0)</f>
        <v>3</v>
      </c>
      <c r="AD1609" s="36" t="s">
        <v>46</v>
      </c>
      <c r="AE1609" s="36">
        <v>87</v>
      </c>
      <c r="AF1609" s="71">
        <v>9.19</v>
      </c>
      <c r="AG1609" s="37">
        <v>1</v>
      </c>
      <c r="AH1609" s="37">
        <v>0</v>
      </c>
      <c r="AI1609" s="37">
        <v>98</v>
      </c>
      <c r="AJ1609" s="37">
        <v>10</v>
      </c>
      <c r="AK1609" s="37" t="str">
        <f>VLOOKUP(Mecze[[#This Row],[Match ID]],Meczusie[Mecz]:Meczusie[RodzajMeczu],2,FALSE)</f>
        <v>Liga</v>
      </c>
    </row>
    <row r="1610" spans="1:37" x14ac:dyDescent="0.25">
      <c r="A1610" s="76">
        <v>10</v>
      </c>
      <c r="B1610" s="3" t="s">
        <v>246</v>
      </c>
      <c r="C1610" s="2" t="s">
        <v>165</v>
      </c>
      <c r="D1610" s="1">
        <v>2</v>
      </c>
      <c r="E1610" s="1">
        <v>8</v>
      </c>
      <c r="F1610" s="1">
        <v>7</v>
      </c>
      <c r="G1610" s="1">
        <v>11</v>
      </c>
      <c r="H1610" s="4">
        <v>0.82</v>
      </c>
      <c r="I1610" s="1">
        <v>4</v>
      </c>
      <c r="J1610" s="4">
        <v>0.25</v>
      </c>
      <c r="K1610" s="1">
        <v>0</v>
      </c>
      <c r="L1610" s="1">
        <v>0</v>
      </c>
      <c r="M1610" s="32">
        <f>IF(Mecze[[#This Row],[PR]]=0,0,Mecze[[#This Row],[PR]]/Mecze[[#This Row],[CZAS]])</f>
        <v>0</v>
      </c>
      <c r="N1610" s="32">
        <f>IF(Mecze[[#This Row],[OU]]=0,0,Mecze[[#This Row],[OU]]/Mecze[[#This Row],[CZAS]])</f>
        <v>1.020408163265306E-2</v>
      </c>
      <c r="O1610" s="32">
        <f>IF(Mecze[[#This Row],[PC]]=0,0,Mecze[[#This Row],[PC]]/Mecze[[#This Row],[CZAS]])</f>
        <v>9.1836734693877556E-2</v>
      </c>
      <c r="P1610" s="32">
        <f>IF(Mecze[[#This Row],[SC]]=0,0,Mecze[[#This Row],[SC]]/Mecze[[#This Row],[CZAS]])</f>
        <v>7.1428571428571425E-2</v>
      </c>
      <c r="Q1610" s="32">
        <f>IF(Mecze[[#This Row],[OB]]=0,0,Mecze[[#This Row],[OB]]/Mecze[[#This Row],[CZAS]])</f>
        <v>0</v>
      </c>
      <c r="R1610" s="32">
        <f>IF(Mecze[[#This Row],[BR]]=0,0,Mecze[[#This Row],[BR]]/Mecze[[#This Row],[CZAS]])</f>
        <v>2.0408163265306121E-2</v>
      </c>
      <c r="S1610" s="44">
        <f>IF(Mecze[[#This Row],[Role]]="BR",SUMPRODUCT(Mecze[[#This Row],[/PR:90]:[/BR:90]],Brudnopis!$E$23:$J$23),0)</f>
        <v>0</v>
      </c>
      <c r="T1610" s="44">
        <f>IF(Mecze[[#This Row],[Role]]&lt;&gt;"BR",SUMPRODUCT(Mecze[[#This Row],[/PR:90]:[/BR:90]],Brudnopis!$E$24:$J$24),0)</f>
        <v>0.20918367346938777</v>
      </c>
      <c r="U1610" s="44">
        <f>IF(Mecze[[#This Row],[Role]]&lt;&gt;"BR",SUMPRODUCT(Mecze[[#This Row],[/PR:90]:[/BR:90]],Brudnopis!$E$25:$J$25),0)</f>
        <v>0.25</v>
      </c>
      <c r="V1610" s="44">
        <f>IF(Mecze[[#This Row],[Role]]&lt;&gt;"BR",SUMPRODUCT(Mecze[[#This Row],[/PR:90]:[/BR:90]],Brudnopis!$E$26:$J$26),0)</f>
        <v>0.21428571428571427</v>
      </c>
      <c r="W1610" s="44">
        <f>IF(Mecze[[#This Row],[Role]]&lt;&gt;"BR",SUMPRODUCT(Mecze[[#This Row],[/PR:90]:[/BR:90]],Brudnopis!$E$27:$J$27),0)</f>
        <v>0.25765306122448983</v>
      </c>
      <c r="X1610" s="44">
        <f>IF(Mecze[[#This Row],[Role]]&lt;&gt;"BR",SUMPRODUCT(Mecze[[#This Row],[/PR:90]:[/BR:90]],Brudnopis!$E$28:$J$28),0)</f>
        <v>0.29591836734693877</v>
      </c>
      <c r="Y1610" s="35">
        <f>IF(Mecze[[#This Row],[Role]]="BR",Mecze[[#This Row],[/OB:90]]+Mecze[[#This Row],[/PC:90]],SUM(Mecze[[#This Row],[/PR:90]:[/BR:90]]))</f>
        <v>0.19387755102040816</v>
      </c>
      <c r="Z1610" s="35">
        <f>IF(Mecze[[#This Row],[KC]]=0,SUM(Mecze[[#This Row],[/BRI]:[/NPI]]),SUM(Mecze[[#This Row],[/BRI]:[/NPI]])*0.6)</f>
        <v>1.2270408163265305</v>
      </c>
      <c r="AA1610" s="10">
        <f>IFERROR(Mecze[[#This Row],[BR]]/Mecze[[#This Row],[ST]],0)</f>
        <v>0.25</v>
      </c>
      <c r="AB1610">
        <f>ROUND(Mecze[[#This Row],[PD]]*Mecze[[#This Row],[%PC]],0)</f>
        <v>9</v>
      </c>
      <c r="AC1610">
        <f>ROUND(Mecze[[#This Row],[OD]]*Mecze[[#This Row],[%OU]],0)</f>
        <v>1</v>
      </c>
      <c r="AD1610" s="36" t="s">
        <v>46</v>
      </c>
      <c r="AE1610" s="36">
        <v>87</v>
      </c>
      <c r="AF1610" s="71">
        <v>12.32</v>
      </c>
      <c r="AG1610" s="37">
        <v>0</v>
      </c>
      <c r="AH1610" s="37">
        <v>0</v>
      </c>
      <c r="AI1610" s="37">
        <v>98</v>
      </c>
      <c r="AJ1610" s="37">
        <v>10</v>
      </c>
      <c r="AK1610" s="37" t="str">
        <f>VLOOKUP(Mecze[[#This Row],[Match ID]],Meczusie[Mecz]:Meczusie[RodzajMeczu],2,FALSE)</f>
        <v>Liga</v>
      </c>
    </row>
    <row r="1611" spans="1:37" x14ac:dyDescent="0.25">
      <c r="A1611" s="76">
        <v>1</v>
      </c>
      <c r="B1611" s="3" t="s">
        <v>288</v>
      </c>
      <c r="C1611" s="2" t="s">
        <v>155</v>
      </c>
      <c r="D1611" s="1">
        <v>0</v>
      </c>
      <c r="E1611" s="1">
        <v>0</v>
      </c>
      <c r="F1611" s="1">
        <v>0</v>
      </c>
      <c r="G1611" s="1">
        <v>12</v>
      </c>
      <c r="H1611" s="4">
        <v>0.75</v>
      </c>
      <c r="I1611" s="1">
        <v>0</v>
      </c>
      <c r="J1611" s="4"/>
      <c r="K1611" s="1">
        <v>10</v>
      </c>
      <c r="L1611" s="1">
        <v>0</v>
      </c>
      <c r="M1611" s="32">
        <f>IF(Mecze[[#This Row],[PR]]=0,0,Mecze[[#This Row],[PR]]/Mecze[[#This Row],[CZAS]])</f>
        <v>0</v>
      </c>
      <c r="N1611" s="32">
        <f>IF(Mecze[[#This Row],[OU]]=0,0,Mecze[[#This Row],[OU]]/Mecze[[#This Row],[CZAS]])</f>
        <v>0</v>
      </c>
      <c r="O1611" s="32">
        <f>IF(Mecze[[#This Row],[PC]]=0,0,Mecze[[#This Row],[PC]]/Mecze[[#This Row],[CZAS]])</f>
        <v>9.1836734693877556E-2</v>
      </c>
      <c r="P1611" s="32">
        <f>IF(Mecze[[#This Row],[SC]]=0,0,Mecze[[#This Row],[SC]]/Mecze[[#This Row],[CZAS]])</f>
        <v>0</v>
      </c>
      <c r="Q1611" s="32">
        <f>IF(Mecze[[#This Row],[OB]]=0,0,Mecze[[#This Row],[OB]]/Mecze[[#This Row],[CZAS]])</f>
        <v>0.10204081632653061</v>
      </c>
      <c r="R1611" s="32">
        <f>IF(Mecze[[#This Row],[BR]]=0,0,Mecze[[#This Row],[BR]]/Mecze[[#This Row],[CZAS]])</f>
        <v>0</v>
      </c>
      <c r="S1611" s="44">
        <f>IF(Mecze[[#This Row],[Role]]="BR",SUMPRODUCT(Mecze[[#This Row],[/PR:90]:[/BR:90]],Brudnopis!$E$23:$J$23),0)</f>
        <v>0.58163265306122458</v>
      </c>
      <c r="T1611" s="44">
        <f>IF(Mecze[[#This Row],[Role]]&lt;&gt;"BR",SUMPRODUCT(Mecze[[#This Row],[/PR:90]:[/BR:90]],Brudnopis!$E$24:$J$24),0)</f>
        <v>0</v>
      </c>
      <c r="U1611" s="44">
        <f>IF(Mecze[[#This Row],[Role]]&lt;&gt;"BR",SUMPRODUCT(Mecze[[#This Row],[/PR:90]:[/BR:90]],Brudnopis!$E$25:$J$25),0)</f>
        <v>0</v>
      </c>
      <c r="V1611" s="44">
        <f>IF(Mecze[[#This Row],[Role]]&lt;&gt;"BR",SUMPRODUCT(Mecze[[#This Row],[/PR:90]:[/BR:90]],Brudnopis!$E$26:$J$26),0)</f>
        <v>0</v>
      </c>
      <c r="W1611" s="44">
        <f>IF(Mecze[[#This Row],[Role]]&lt;&gt;"BR",SUMPRODUCT(Mecze[[#This Row],[/PR:90]:[/BR:90]],Brudnopis!$E$27:$J$27),0)</f>
        <v>0</v>
      </c>
      <c r="X1611" s="44">
        <f>IF(Mecze[[#This Row],[Role]]&lt;&gt;"BR",SUMPRODUCT(Mecze[[#This Row],[/PR:90]:[/BR:90]],Brudnopis!$E$28:$J$28),0)</f>
        <v>0</v>
      </c>
      <c r="Y1611" s="35">
        <f>IF(Mecze[[#This Row],[Role]]="BR",Mecze[[#This Row],[/OB:90]]+Mecze[[#This Row],[/PC:90]],SUM(Mecze[[#This Row],[/PR:90]:[/BR:90]]))</f>
        <v>0.19387755102040816</v>
      </c>
      <c r="Z1611" s="35">
        <f>IF(Mecze[[#This Row],[KC]]=0,SUM(Mecze[[#This Row],[/BRI]:[/NPI]]),SUM(Mecze[[#This Row],[/BRI]:[/NPI]])*0.6)</f>
        <v>0.58163265306122458</v>
      </c>
      <c r="AA1611" s="10">
        <f>IFERROR(Mecze[[#This Row],[BR]]/Mecze[[#This Row],[ST]],0)</f>
        <v>0</v>
      </c>
      <c r="AB1611">
        <f>ROUND(Mecze[[#This Row],[PD]]*Mecze[[#This Row],[%PC]],0)</f>
        <v>9</v>
      </c>
      <c r="AC1611">
        <f>ROUND(Mecze[[#This Row],[OD]]*Mecze[[#This Row],[%OU]],0)</f>
        <v>0</v>
      </c>
      <c r="AD1611" s="36" t="s">
        <v>40</v>
      </c>
      <c r="AE1611" s="36">
        <v>87</v>
      </c>
      <c r="AF1611" s="71">
        <v>5.3</v>
      </c>
      <c r="AG1611" s="37">
        <v>0</v>
      </c>
      <c r="AH1611" s="37">
        <v>0</v>
      </c>
      <c r="AI1611" s="37">
        <v>98</v>
      </c>
      <c r="AJ1611" s="37">
        <v>9</v>
      </c>
      <c r="AK1611" s="37" t="str">
        <f>VLOOKUP(Mecze[[#This Row],[Match ID]],Meczusie[Mecz]:Meczusie[RodzajMeczu],2,FALSE)</f>
        <v>Liga</v>
      </c>
    </row>
    <row r="1612" spans="1:37" x14ac:dyDescent="0.25">
      <c r="A1612" s="76">
        <v>4</v>
      </c>
      <c r="B1612" s="3" t="s">
        <v>289</v>
      </c>
      <c r="C1612" s="2" t="s">
        <v>157</v>
      </c>
      <c r="D1612" s="1">
        <v>0</v>
      </c>
      <c r="E1612" s="1">
        <v>0</v>
      </c>
      <c r="F1612" s="1">
        <v>0</v>
      </c>
      <c r="G1612" s="1">
        <v>5</v>
      </c>
      <c r="H1612" s="4">
        <v>0.4</v>
      </c>
      <c r="I1612" s="1">
        <v>1</v>
      </c>
      <c r="J1612" s="4">
        <v>0</v>
      </c>
      <c r="K1612" s="1">
        <v>0</v>
      </c>
      <c r="L1612" s="1">
        <v>8</v>
      </c>
      <c r="M1612" s="32">
        <f>IF(Mecze[[#This Row],[PR]]=0,0,Mecze[[#This Row],[PR]]/Mecze[[#This Row],[CZAS]])</f>
        <v>8.1632653061224483E-2</v>
      </c>
      <c r="N1612" s="32">
        <f>IF(Mecze[[#This Row],[OU]]=0,0,Mecze[[#This Row],[OU]]/Mecze[[#This Row],[CZAS]])</f>
        <v>0</v>
      </c>
      <c r="O1612" s="32">
        <f>IF(Mecze[[#This Row],[PC]]=0,0,Mecze[[#This Row],[PC]]/Mecze[[#This Row],[CZAS]])</f>
        <v>2.0408163265306121E-2</v>
      </c>
      <c r="P1612" s="32">
        <f>IF(Mecze[[#This Row],[SC]]=0,0,Mecze[[#This Row],[SC]]/Mecze[[#This Row],[CZAS]])</f>
        <v>0</v>
      </c>
      <c r="Q1612" s="32">
        <f>IF(Mecze[[#This Row],[OB]]=0,0,Mecze[[#This Row],[OB]]/Mecze[[#This Row],[CZAS]])</f>
        <v>0</v>
      </c>
      <c r="R1612" s="32">
        <f>IF(Mecze[[#This Row],[BR]]=0,0,Mecze[[#This Row],[BR]]/Mecze[[#This Row],[CZAS]])</f>
        <v>0</v>
      </c>
      <c r="S1612" s="44">
        <f>IF(Mecze[[#This Row],[Role]]="BR",SUMPRODUCT(Mecze[[#This Row],[/PR:90]:[/BR:90]],Brudnopis!$E$23:$J$23),0)</f>
        <v>0</v>
      </c>
      <c r="T1612" s="44">
        <f>IF(Mecze[[#This Row],[Role]]&lt;&gt;"BR",SUMPRODUCT(Mecze[[#This Row],[/PR:90]:[/BR:90]],Brudnopis!$E$24:$J$24),0)</f>
        <v>0.1020408163265306</v>
      </c>
      <c r="U1612" s="44">
        <f>IF(Mecze[[#This Row],[Role]]&lt;&gt;"BR",SUMPRODUCT(Mecze[[#This Row],[/PR:90]:[/BR:90]],Brudnopis!$E$25:$J$25),0)</f>
        <v>0.11224489795918366</v>
      </c>
      <c r="V1612" s="44">
        <f>IF(Mecze[[#This Row],[Role]]&lt;&gt;"BR",SUMPRODUCT(Mecze[[#This Row],[/PR:90]:[/BR:90]],Brudnopis!$E$26:$J$26),0)</f>
        <v>0.1020408163265306</v>
      </c>
      <c r="W1612" s="44">
        <f>IF(Mecze[[#This Row],[Role]]&lt;&gt;"BR",SUMPRODUCT(Mecze[[#This Row],[/PR:90]:[/BR:90]],Brudnopis!$E$27:$J$27),0)</f>
        <v>9.1836734693877542E-2</v>
      </c>
      <c r="X1612" s="44">
        <f>IF(Mecze[[#This Row],[Role]]&lt;&gt;"BR",SUMPRODUCT(Mecze[[#This Row],[/PR:90]:[/BR:90]],Brudnopis!$E$28:$J$28),0)</f>
        <v>2.0408163265306121E-2</v>
      </c>
      <c r="Y1612" s="35">
        <f>IF(Mecze[[#This Row],[Role]]="BR",Mecze[[#This Row],[/OB:90]]+Mecze[[#This Row],[/PC:90]],SUM(Mecze[[#This Row],[/PR:90]:[/BR:90]]))</f>
        <v>0.1020408163265306</v>
      </c>
      <c r="Z1612" s="35">
        <f>IF(Mecze[[#This Row],[KC]]=0,SUM(Mecze[[#This Row],[/BRI]:[/NPI]]),SUM(Mecze[[#This Row],[/BRI]:[/NPI]])*0.6)</f>
        <v>0.42857142857142855</v>
      </c>
      <c r="AA1612" s="10">
        <f>IFERROR(Mecze[[#This Row],[BR]]/Mecze[[#This Row],[ST]],0)</f>
        <v>0</v>
      </c>
      <c r="AB1612">
        <f>ROUND(Mecze[[#This Row],[PD]]*Mecze[[#This Row],[%PC]],0)</f>
        <v>2</v>
      </c>
      <c r="AC1612">
        <f>ROUND(Mecze[[#This Row],[OD]]*Mecze[[#This Row],[%OU]],0)</f>
        <v>0</v>
      </c>
      <c r="AD1612" s="36" t="s">
        <v>168</v>
      </c>
      <c r="AE1612" s="36">
        <v>87</v>
      </c>
      <c r="AF1612" s="71">
        <v>2.2599999999999998</v>
      </c>
      <c r="AG1612" s="37">
        <v>0</v>
      </c>
      <c r="AH1612" s="37">
        <v>0</v>
      </c>
      <c r="AI1612" s="37">
        <v>98</v>
      </c>
      <c r="AJ1612" s="37">
        <v>9</v>
      </c>
      <c r="AK1612" s="37" t="str">
        <f>VLOOKUP(Mecze[[#This Row],[Match ID]],Meczusie[Mecz]:Meczusie[RodzajMeczu],2,FALSE)</f>
        <v>Liga</v>
      </c>
    </row>
    <row r="1613" spans="1:37" x14ac:dyDescent="0.25">
      <c r="A1613" s="76">
        <v>2</v>
      </c>
      <c r="B1613" s="3" t="s">
        <v>290</v>
      </c>
      <c r="C1613" s="2" t="s">
        <v>157</v>
      </c>
      <c r="D1613" s="1">
        <v>1</v>
      </c>
      <c r="E1613" s="1">
        <v>1</v>
      </c>
      <c r="F1613" s="1">
        <v>1</v>
      </c>
      <c r="G1613" s="1">
        <v>8</v>
      </c>
      <c r="H1613" s="4">
        <v>0.88</v>
      </c>
      <c r="I1613" s="1">
        <v>2</v>
      </c>
      <c r="J1613" s="4">
        <v>0</v>
      </c>
      <c r="K1613" s="1">
        <v>0</v>
      </c>
      <c r="L1613" s="1">
        <v>6</v>
      </c>
      <c r="M1613" s="32">
        <f>IF(Mecze[[#This Row],[PR]]=0,0,Mecze[[#This Row],[PR]]/Mecze[[#This Row],[CZAS]])</f>
        <v>6.1224489795918366E-2</v>
      </c>
      <c r="N1613" s="32">
        <f>IF(Mecze[[#This Row],[OU]]=0,0,Mecze[[#This Row],[OU]]/Mecze[[#This Row],[CZAS]])</f>
        <v>0</v>
      </c>
      <c r="O1613" s="32">
        <f>IF(Mecze[[#This Row],[PC]]=0,0,Mecze[[#This Row],[PC]]/Mecze[[#This Row],[CZAS]])</f>
        <v>7.1428571428571425E-2</v>
      </c>
      <c r="P1613" s="32">
        <f>IF(Mecze[[#This Row],[SC]]=0,0,Mecze[[#This Row],[SC]]/Mecze[[#This Row],[CZAS]])</f>
        <v>1.020408163265306E-2</v>
      </c>
      <c r="Q1613" s="32">
        <f>IF(Mecze[[#This Row],[OB]]=0,0,Mecze[[#This Row],[OB]]/Mecze[[#This Row],[CZAS]])</f>
        <v>0</v>
      </c>
      <c r="R1613" s="32">
        <f>IF(Mecze[[#This Row],[BR]]=0,0,Mecze[[#This Row],[BR]]/Mecze[[#This Row],[CZAS]])</f>
        <v>1.020408163265306E-2</v>
      </c>
      <c r="S1613" s="44">
        <f>IF(Mecze[[#This Row],[Role]]="BR",SUMPRODUCT(Mecze[[#This Row],[/PR:90]:[/BR:90]],Brudnopis!$E$23:$J$23),0)</f>
        <v>0</v>
      </c>
      <c r="T1613" s="44">
        <f>IF(Mecze[[#This Row],[Role]]&lt;&gt;"BR",SUMPRODUCT(Mecze[[#This Row],[/PR:90]:[/BR:90]],Brudnopis!$E$24:$J$24),0)</f>
        <v>0.15816326530612243</v>
      </c>
      <c r="U1613" s="44">
        <f>IF(Mecze[[#This Row],[Role]]&lt;&gt;"BR",SUMPRODUCT(Mecze[[#This Row],[/PR:90]:[/BR:90]],Brudnopis!$E$25:$J$25),0)</f>
        <v>0.19387755102040816</v>
      </c>
      <c r="V1613" s="44">
        <f>IF(Mecze[[#This Row],[Role]]&lt;&gt;"BR",SUMPRODUCT(Mecze[[#This Row],[/PR:90]:[/BR:90]],Brudnopis!$E$26:$J$26),0)</f>
        <v>0.16326530612244897</v>
      </c>
      <c r="W1613" s="44">
        <f>IF(Mecze[[#This Row],[Role]]&lt;&gt;"BR",SUMPRODUCT(Mecze[[#This Row],[/PR:90]:[/BR:90]],Brudnopis!$E$27:$J$27),0)</f>
        <v>0.18367346938775511</v>
      </c>
      <c r="X1613" s="44">
        <f>IF(Mecze[[#This Row],[Role]]&lt;&gt;"BR",SUMPRODUCT(Mecze[[#This Row],[/PR:90]:[/BR:90]],Brudnopis!$E$28:$J$28),0)</f>
        <v>0.12244897959183673</v>
      </c>
      <c r="Y1613" s="35">
        <f>IF(Mecze[[#This Row],[Role]]="BR",Mecze[[#This Row],[/OB:90]]+Mecze[[#This Row],[/PC:90]],SUM(Mecze[[#This Row],[/PR:90]:[/BR:90]]))</f>
        <v>0.15306122448979592</v>
      </c>
      <c r="Z1613" s="35">
        <f>IF(Mecze[[#This Row],[KC]]=0,SUM(Mecze[[#This Row],[/BRI]:[/NPI]]),SUM(Mecze[[#This Row],[/BRI]:[/NPI]])*0.6)</f>
        <v>0.8214285714285714</v>
      </c>
      <c r="AA1613" s="10">
        <f>IFERROR(Mecze[[#This Row],[BR]]/Mecze[[#This Row],[ST]],0)</f>
        <v>1</v>
      </c>
      <c r="AB1613">
        <f>ROUND(Mecze[[#This Row],[PD]]*Mecze[[#This Row],[%PC]],0)</f>
        <v>7</v>
      </c>
      <c r="AC1613">
        <f>ROUND(Mecze[[#This Row],[OD]]*Mecze[[#This Row],[%OU]],0)</f>
        <v>0</v>
      </c>
      <c r="AD1613" s="36" t="s">
        <v>47</v>
      </c>
      <c r="AE1613" s="36">
        <v>87</v>
      </c>
      <c r="AF1613" s="71">
        <v>1.84</v>
      </c>
      <c r="AG1613" s="37">
        <v>0</v>
      </c>
      <c r="AH1613" s="37">
        <v>0</v>
      </c>
      <c r="AI1613" s="37">
        <v>98</v>
      </c>
      <c r="AJ1613" s="37">
        <v>9</v>
      </c>
      <c r="AK1613" s="37" t="str">
        <f>VLOOKUP(Mecze[[#This Row],[Match ID]],Meczusie[Mecz]:Meczusie[RodzajMeczu],2,FALSE)</f>
        <v>Liga</v>
      </c>
    </row>
    <row r="1614" spans="1:37" x14ac:dyDescent="0.25">
      <c r="A1614" s="76">
        <v>16</v>
      </c>
      <c r="B1614" s="3" t="s">
        <v>405</v>
      </c>
      <c r="C1614" s="2" t="s">
        <v>157</v>
      </c>
      <c r="D1614" s="1">
        <v>0</v>
      </c>
      <c r="E1614" s="1">
        <v>0</v>
      </c>
      <c r="F1614" s="1">
        <v>0</v>
      </c>
      <c r="G1614" s="1">
        <v>8</v>
      </c>
      <c r="H1614" s="4">
        <v>0.63</v>
      </c>
      <c r="I1614" s="1">
        <v>8</v>
      </c>
      <c r="J1614" s="4">
        <v>0.38</v>
      </c>
      <c r="K1614" s="1">
        <v>0</v>
      </c>
      <c r="L1614" s="1">
        <v>5</v>
      </c>
      <c r="M1614" s="32">
        <f>IF(Mecze[[#This Row],[PR]]=0,0,Mecze[[#This Row],[PR]]/Mecze[[#This Row],[CZAS]])</f>
        <v>5.1020408163265307E-2</v>
      </c>
      <c r="N1614" s="32">
        <f>IF(Mecze[[#This Row],[OU]]=0,0,Mecze[[#This Row],[OU]]/Mecze[[#This Row],[CZAS]])</f>
        <v>3.0612244897959183E-2</v>
      </c>
      <c r="O1614" s="32">
        <f>IF(Mecze[[#This Row],[PC]]=0,0,Mecze[[#This Row],[PC]]/Mecze[[#This Row],[CZAS]])</f>
        <v>5.1020408163265307E-2</v>
      </c>
      <c r="P1614" s="32">
        <f>IF(Mecze[[#This Row],[SC]]=0,0,Mecze[[#This Row],[SC]]/Mecze[[#This Row],[CZAS]])</f>
        <v>0</v>
      </c>
      <c r="Q1614" s="32">
        <f>IF(Mecze[[#This Row],[OB]]=0,0,Mecze[[#This Row],[OB]]/Mecze[[#This Row],[CZAS]])</f>
        <v>0</v>
      </c>
      <c r="R1614" s="32">
        <f>IF(Mecze[[#This Row],[BR]]=0,0,Mecze[[#This Row],[BR]]/Mecze[[#This Row],[CZAS]])</f>
        <v>0</v>
      </c>
      <c r="S1614" s="44">
        <f>IF(Mecze[[#This Row],[Role]]="BR",SUMPRODUCT(Mecze[[#This Row],[/PR:90]:[/BR:90]],Brudnopis!$E$23:$J$23),0)</f>
        <v>0</v>
      </c>
      <c r="T1614" s="44">
        <f>IF(Mecze[[#This Row],[Role]]&lt;&gt;"BR",SUMPRODUCT(Mecze[[#This Row],[/PR:90]:[/BR:90]],Brudnopis!$E$24:$J$24),0)</f>
        <v>0.14795918367346939</v>
      </c>
      <c r="U1614" s="44">
        <f>IF(Mecze[[#This Row],[Role]]&lt;&gt;"BR",SUMPRODUCT(Mecze[[#This Row],[/PR:90]:[/BR:90]],Brudnopis!$E$25:$J$25),0)</f>
        <v>0.15816326530612246</v>
      </c>
      <c r="V1614" s="44">
        <f>IF(Mecze[[#This Row],[Role]]&lt;&gt;"BR",SUMPRODUCT(Mecze[[#This Row],[/PR:90]:[/BR:90]],Brudnopis!$E$26:$J$26),0)</f>
        <v>0.1326530612244898</v>
      </c>
      <c r="W1614" s="44">
        <f>IF(Mecze[[#This Row],[Role]]&lt;&gt;"BR",SUMPRODUCT(Mecze[[#This Row],[/PR:90]:[/BR:90]],Brudnopis!$E$27:$J$27),0)</f>
        <v>0.13775510204081631</v>
      </c>
      <c r="X1614" s="44">
        <f>IF(Mecze[[#This Row],[Role]]&lt;&gt;"BR",SUMPRODUCT(Mecze[[#This Row],[/PR:90]:[/BR:90]],Brudnopis!$E$28:$J$28),0)</f>
        <v>5.1020408163265307E-2</v>
      </c>
      <c r="Y1614" s="35">
        <f>IF(Mecze[[#This Row],[Role]]="BR",Mecze[[#This Row],[/OB:90]]+Mecze[[#This Row],[/PC:90]],SUM(Mecze[[#This Row],[/PR:90]:[/BR:90]]))</f>
        <v>0.1326530612244898</v>
      </c>
      <c r="Z1614" s="35">
        <f>IF(Mecze[[#This Row],[KC]]=0,SUM(Mecze[[#This Row],[/BRI]:[/NPI]]),SUM(Mecze[[#This Row],[/BRI]:[/NPI]])*0.6)</f>
        <v>0.62755102040816335</v>
      </c>
      <c r="AA1614" s="10">
        <f>IFERROR(Mecze[[#This Row],[BR]]/Mecze[[#This Row],[ST]],0)</f>
        <v>0</v>
      </c>
      <c r="AB1614">
        <f>ROUND(Mecze[[#This Row],[PD]]*Mecze[[#This Row],[%PC]],0)</f>
        <v>5</v>
      </c>
      <c r="AC1614">
        <f>ROUND(Mecze[[#This Row],[OD]]*Mecze[[#This Row],[%OU]],0)</f>
        <v>3</v>
      </c>
      <c r="AD1614" s="36" t="s">
        <v>167</v>
      </c>
      <c r="AE1614" s="36">
        <v>87</v>
      </c>
      <c r="AF1614" s="71">
        <v>0.52</v>
      </c>
      <c r="AG1614" s="37">
        <v>1</v>
      </c>
      <c r="AH1614" s="37">
        <v>0</v>
      </c>
      <c r="AI1614" s="37">
        <v>98</v>
      </c>
      <c r="AJ1614" s="37">
        <v>9</v>
      </c>
      <c r="AK1614" s="37" t="str">
        <f>VLOOKUP(Mecze[[#This Row],[Match ID]],Meczusie[Mecz]:Meczusie[RodzajMeczu],2,FALSE)</f>
        <v>Liga</v>
      </c>
    </row>
    <row r="1615" spans="1:37" x14ac:dyDescent="0.25">
      <c r="A1615" s="76">
        <v>14</v>
      </c>
      <c r="B1615" s="3" t="s">
        <v>293</v>
      </c>
      <c r="C1615" s="2" t="s">
        <v>160</v>
      </c>
      <c r="D1615" s="1">
        <v>0</v>
      </c>
      <c r="E1615" s="1">
        <v>0</v>
      </c>
      <c r="F1615" s="1">
        <v>0</v>
      </c>
      <c r="G1615" s="1">
        <v>1</v>
      </c>
      <c r="H1615" s="4">
        <v>0</v>
      </c>
      <c r="I1615" s="1">
        <v>1</v>
      </c>
      <c r="J1615" s="4">
        <v>0</v>
      </c>
      <c r="K1615" s="1">
        <v>0</v>
      </c>
      <c r="L1615" s="1">
        <v>0</v>
      </c>
      <c r="M1615" s="32">
        <f>IF(Mecze[[#This Row],[PR]]=0,0,Mecze[[#This Row],[PR]]/Mecze[[#This Row],[CZAS]])</f>
        <v>0</v>
      </c>
      <c r="N1615" s="32">
        <f>IF(Mecze[[#This Row],[OU]]=0,0,Mecze[[#This Row],[OU]]/Mecze[[#This Row],[CZAS]])</f>
        <v>0</v>
      </c>
      <c r="O1615" s="32">
        <f>IF(Mecze[[#This Row],[PC]]=0,0,Mecze[[#This Row],[PC]]/Mecze[[#This Row],[CZAS]])</f>
        <v>0</v>
      </c>
      <c r="P1615" s="32">
        <f>IF(Mecze[[#This Row],[SC]]=0,0,Mecze[[#This Row],[SC]]/Mecze[[#This Row],[CZAS]])</f>
        <v>0</v>
      </c>
      <c r="Q1615" s="32">
        <f>IF(Mecze[[#This Row],[OB]]=0,0,Mecze[[#This Row],[OB]]/Mecze[[#This Row],[CZAS]])</f>
        <v>0</v>
      </c>
      <c r="R1615" s="32">
        <f>IF(Mecze[[#This Row],[BR]]=0,0,Mecze[[#This Row],[BR]]/Mecze[[#This Row],[CZAS]])</f>
        <v>0</v>
      </c>
      <c r="S1615" s="44">
        <f>IF(Mecze[[#This Row],[Role]]="BR",SUMPRODUCT(Mecze[[#This Row],[/PR:90]:[/BR:90]],Brudnopis!$E$23:$J$23),0)</f>
        <v>0</v>
      </c>
      <c r="T1615" s="44">
        <f>IF(Mecze[[#This Row],[Role]]&lt;&gt;"BR",SUMPRODUCT(Mecze[[#This Row],[/PR:90]:[/BR:90]],Brudnopis!$E$24:$J$24),0)</f>
        <v>0</v>
      </c>
      <c r="U1615" s="44">
        <f>IF(Mecze[[#This Row],[Role]]&lt;&gt;"BR",SUMPRODUCT(Mecze[[#This Row],[/PR:90]:[/BR:90]],Brudnopis!$E$25:$J$25),0)</f>
        <v>0</v>
      </c>
      <c r="V1615" s="44">
        <f>IF(Mecze[[#This Row],[Role]]&lt;&gt;"BR",SUMPRODUCT(Mecze[[#This Row],[/PR:90]:[/BR:90]],Brudnopis!$E$26:$J$26),0)</f>
        <v>0</v>
      </c>
      <c r="W1615" s="44">
        <f>IF(Mecze[[#This Row],[Role]]&lt;&gt;"BR",SUMPRODUCT(Mecze[[#This Row],[/PR:90]:[/BR:90]],Brudnopis!$E$27:$J$27),0)</f>
        <v>0</v>
      </c>
      <c r="X1615" s="44">
        <f>IF(Mecze[[#This Row],[Role]]&lt;&gt;"BR",SUMPRODUCT(Mecze[[#This Row],[/PR:90]:[/BR:90]],Brudnopis!$E$28:$J$28),0)</f>
        <v>0</v>
      </c>
      <c r="Y1615" s="35">
        <f>IF(Mecze[[#This Row],[Role]]="BR",Mecze[[#This Row],[/OB:90]]+Mecze[[#This Row],[/PC:90]],SUM(Mecze[[#This Row],[/PR:90]:[/BR:90]]))</f>
        <v>0</v>
      </c>
      <c r="Z1615" s="35">
        <f>IF(Mecze[[#This Row],[KC]]=0,SUM(Mecze[[#This Row],[/BRI]:[/NPI]]),SUM(Mecze[[#This Row],[/BRI]:[/NPI]])*0.6)</f>
        <v>0</v>
      </c>
      <c r="AA1615" s="10">
        <f>IFERROR(Mecze[[#This Row],[BR]]/Mecze[[#This Row],[ST]],0)</f>
        <v>0</v>
      </c>
      <c r="AB1615">
        <f>ROUND(Mecze[[#This Row],[PD]]*Mecze[[#This Row],[%PC]],0)</f>
        <v>0</v>
      </c>
      <c r="AC1615">
        <f>ROUND(Mecze[[#This Row],[OD]]*Mecze[[#This Row],[%OU]],0)</f>
        <v>0</v>
      </c>
      <c r="AD1615" s="36" t="s">
        <v>172</v>
      </c>
      <c r="AE1615" s="36">
        <v>87</v>
      </c>
      <c r="AF1615" s="71">
        <v>2.7</v>
      </c>
      <c r="AG1615" s="37">
        <v>0</v>
      </c>
      <c r="AH1615" s="37">
        <v>0</v>
      </c>
      <c r="AI1615" s="37">
        <v>98</v>
      </c>
      <c r="AJ1615" s="37">
        <v>9</v>
      </c>
      <c r="AK1615" s="37" t="str">
        <f>VLOOKUP(Mecze[[#This Row],[Match ID]],Meczusie[Mecz]:Meczusie[RodzajMeczu],2,FALSE)</f>
        <v>Liga</v>
      </c>
    </row>
    <row r="1616" spans="1:37" x14ac:dyDescent="0.25">
      <c r="A1616" s="76">
        <v>3</v>
      </c>
      <c r="B1616" s="3" t="s">
        <v>292</v>
      </c>
      <c r="C1616" s="2" t="s">
        <v>160</v>
      </c>
      <c r="D1616" s="1">
        <v>0</v>
      </c>
      <c r="E1616" s="1">
        <v>0</v>
      </c>
      <c r="F1616" s="1">
        <v>0</v>
      </c>
      <c r="G1616" s="1">
        <v>0</v>
      </c>
      <c r="H1616" s="72"/>
      <c r="I1616" s="1">
        <v>0</v>
      </c>
      <c r="J1616" s="4"/>
      <c r="K1616" s="1">
        <v>0</v>
      </c>
      <c r="L1616" s="1">
        <v>0</v>
      </c>
      <c r="M1616" s="32">
        <f>IF(Mecze[[#This Row],[PR]]=0,0,Mecze[[#This Row],[PR]]/Mecze[[#This Row],[CZAS]])</f>
        <v>0</v>
      </c>
      <c r="N1616" s="32">
        <f>IF(Mecze[[#This Row],[OU]]=0,0,Mecze[[#This Row],[OU]]/Mecze[[#This Row],[CZAS]])</f>
        <v>0</v>
      </c>
      <c r="O1616" s="32">
        <f>IF(Mecze[[#This Row],[PC]]=0,0,Mecze[[#This Row],[PC]]/Mecze[[#This Row],[CZAS]])</f>
        <v>0</v>
      </c>
      <c r="P1616" s="32">
        <f>IF(Mecze[[#This Row],[SC]]=0,0,Mecze[[#This Row],[SC]]/Mecze[[#This Row],[CZAS]])</f>
        <v>0</v>
      </c>
      <c r="Q1616" s="32">
        <f>IF(Mecze[[#This Row],[OB]]=0,0,Mecze[[#This Row],[OB]]/Mecze[[#This Row],[CZAS]])</f>
        <v>0</v>
      </c>
      <c r="R1616" s="32">
        <f>IF(Mecze[[#This Row],[BR]]=0,0,Mecze[[#This Row],[BR]]/Mecze[[#This Row],[CZAS]])</f>
        <v>0</v>
      </c>
      <c r="S1616" s="44">
        <f>IF(Mecze[[#This Row],[Role]]="BR",SUMPRODUCT(Mecze[[#This Row],[/PR:90]:[/BR:90]],Brudnopis!$E$23:$J$23),0)</f>
        <v>0</v>
      </c>
      <c r="T1616" s="44">
        <f>IF(Mecze[[#This Row],[Role]]&lt;&gt;"BR",SUMPRODUCT(Mecze[[#This Row],[/PR:90]:[/BR:90]],Brudnopis!$E$24:$J$24),0)</f>
        <v>0</v>
      </c>
      <c r="U1616" s="44">
        <f>IF(Mecze[[#This Row],[Role]]&lt;&gt;"BR",SUMPRODUCT(Mecze[[#This Row],[/PR:90]:[/BR:90]],Brudnopis!$E$25:$J$25),0)</f>
        <v>0</v>
      </c>
      <c r="V1616" s="44">
        <f>IF(Mecze[[#This Row],[Role]]&lt;&gt;"BR",SUMPRODUCT(Mecze[[#This Row],[/PR:90]:[/BR:90]],Brudnopis!$E$26:$J$26),0)</f>
        <v>0</v>
      </c>
      <c r="W1616" s="44">
        <f>IF(Mecze[[#This Row],[Role]]&lt;&gt;"BR",SUMPRODUCT(Mecze[[#This Row],[/PR:90]:[/BR:90]],Brudnopis!$E$27:$J$27),0)</f>
        <v>0</v>
      </c>
      <c r="X1616" s="44">
        <f>IF(Mecze[[#This Row],[Role]]&lt;&gt;"BR",SUMPRODUCT(Mecze[[#This Row],[/PR:90]:[/BR:90]],Brudnopis!$E$28:$J$28),0)</f>
        <v>0</v>
      </c>
      <c r="Y1616" s="35">
        <f>IF(Mecze[[#This Row],[Role]]="BR",Mecze[[#This Row],[/OB:90]]+Mecze[[#This Row],[/PC:90]],SUM(Mecze[[#This Row],[/PR:90]:[/BR:90]]))</f>
        <v>0</v>
      </c>
      <c r="Z1616" s="35">
        <f>IF(Mecze[[#This Row],[KC]]=0,SUM(Mecze[[#This Row],[/BRI]:[/NPI]]),SUM(Mecze[[#This Row],[/BRI]:[/NPI]])*0.6)</f>
        <v>0</v>
      </c>
      <c r="AA1616" s="10">
        <f>IFERROR(Mecze[[#This Row],[BR]]/Mecze[[#This Row],[ST]],0)</f>
        <v>0</v>
      </c>
      <c r="AB1616">
        <f>ROUND(Mecze[[#This Row],[PD]]*Mecze[[#This Row],[%PC]],0)</f>
        <v>0</v>
      </c>
      <c r="AC1616">
        <f>ROUND(Mecze[[#This Row],[OD]]*Mecze[[#This Row],[%OU]],0)</f>
        <v>0</v>
      </c>
      <c r="AD1616" s="36" t="s">
        <v>173</v>
      </c>
      <c r="AE1616" s="36">
        <v>87</v>
      </c>
      <c r="AF1616" s="71">
        <v>2.7</v>
      </c>
      <c r="AG1616" s="37">
        <v>0</v>
      </c>
      <c r="AH1616" s="37">
        <v>0</v>
      </c>
      <c r="AI1616" s="37">
        <v>98</v>
      </c>
      <c r="AJ1616" s="37">
        <v>9</v>
      </c>
      <c r="AK1616" s="37" t="str">
        <f>VLOOKUP(Mecze[[#This Row],[Match ID]],Meczusie[Mecz]:Meczusie[RodzajMeczu],2,FALSE)</f>
        <v>Liga</v>
      </c>
    </row>
    <row r="1617" spans="1:37" x14ac:dyDescent="0.25">
      <c r="A1617" s="76">
        <v>8</v>
      </c>
      <c r="B1617" s="3" t="s">
        <v>294</v>
      </c>
      <c r="C1617" s="2" t="s">
        <v>160</v>
      </c>
      <c r="D1617" s="1">
        <v>0</v>
      </c>
      <c r="E1617" s="1">
        <v>0</v>
      </c>
      <c r="F1617" s="1">
        <v>0</v>
      </c>
      <c r="G1617" s="1">
        <v>17</v>
      </c>
      <c r="H1617" s="4">
        <v>0.94</v>
      </c>
      <c r="I1617" s="1">
        <v>13</v>
      </c>
      <c r="J1617" s="4">
        <v>0.54</v>
      </c>
      <c r="K1617" s="1">
        <v>0</v>
      </c>
      <c r="L1617" s="1">
        <v>6</v>
      </c>
      <c r="M1617" s="32">
        <f>IF(Mecze[[#This Row],[PR]]=0,0,Mecze[[#This Row],[PR]]/Mecze[[#This Row],[CZAS]])</f>
        <v>6.1224489795918366E-2</v>
      </c>
      <c r="N1617" s="32">
        <f>IF(Mecze[[#This Row],[OU]]=0,0,Mecze[[#This Row],[OU]]/Mecze[[#This Row],[CZAS]])</f>
        <v>7.1428571428571425E-2</v>
      </c>
      <c r="O1617" s="32">
        <f>IF(Mecze[[#This Row],[PC]]=0,0,Mecze[[#This Row],[PC]]/Mecze[[#This Row],[CZAS]])</f>
        <v>0.16326530612244897</v>
      </c>
      <c r="P1617" s="32">
        <f>IF(Mecze[[#This Row],[SC]]=0,0,Mecze[[#This Row],[SC]]/Mecze[[#This Row],[CZAS]])</f>
        <v>0</v>
      </c>
      <c r="Q1617" s="32">
        <f>IF(Mecze[[#This Row],[OB]]=0,0,Mecze[[#This Row],[OB]]/Mecze[[#This Row],[CZAS]])</f>
        <v>0</v>
      </c>
      <c r="R1617" s="32">
        <f>IF(Mecze[[#This Row],[BR]]=0,0,Mecze[[#This Row],[BR]]/Mecze[[#This Row],[CZAS]])</f>
        <v>0</v>
      </c>
      <c r="S1617" s="44">
        <f>IF(Mecze[[#This Row],[Role]]="BR",SUMPRODUCT(Mecze[[#This Row],[/PR:90]:[/BR:90]],Brudnopis!$E$23:$J$23),0)</f>
        <v>0</v>
      </c>
      <c r="T1617" s="44">
        <f>IF(Mecze[[#This Row],[Role]]&lt;&gt;"BR",SUMPRODUCT(Mecze[[#This Row],[/PR:90]:[/BR:90]],Brudnopis!$E$24:$J$24),0)</f>
        <v>0.33163265306122447</v>
      </c>
      <c r="U1617" s="44">
        <f>IF(Mecze[[#This Row],[Role]]&lt;&gt;"BR",SUMPRODUCT(Mecze[[#This Row],[/PR:90]:[/BR:90]],Brudnopis!$E$25:$J$25),0)</f>
        <v>0.37755102040816324</v>
      </c>
      <c r="V1617" s="44">
        <f>IF(Mecze[[#This Row],[Role]]&lt;&gt;"BR",SUMPRODUCT(Mecze[[#This Row],[/PR:90]:[/BR:90]],Brudnopis!$E$26:$J$26),0)</f>
        <v>0.29591836734693877</v>
      </c>
      <c r="W1617" s="44">
        <f>IF(Mecze[[#This Row],[Role]]&lt;&gt;"BR",SUMPRODUCT(Mecze[[#This Row],[/PR:90]:[/BR:90]],Brudnopis!$E$27:$J$27),0)</f>
        <v>0.34438775510204078</v>
      </c>
      <c r="X1617" s="44">
        <f>IF(Mecze[[#This Row],[Role]]&lt;&gt;"BR",SUMPRODUCT(Mecze[[#This Row],[/PR:90]:[/BR:90]],Brudnopis!$E$28:$J$28),0)</f>
        <v>0.16326530612244897</v>
      </c>
      <c r="Y1617" s="35">
        <f>IF(Mecze[[#This Row],[Role]]="BR",Mecze[[#This Row],[/OB:90]]+Mecze[[#This Row],[/PC:90]],SUM(Mecze[[#This Row],[/PR:90]:[/BR:90]]))</f>
        <v>0.29591836734693877</v>
      </c>
      <c r="Z1617" s="35">
        <f>IF(Mecze[[#This Row],[KC]]=0,SUM(Mecze[[#This Row],[/BRI]:[/NPI]]),SUM(Mecze[[#This Row],[/BRI]:[/NPI]])*0.6)</f>
        <v>1.5127551020408163</v>
      </c>
      <c r="AA1617" s="10">
        <f>IFERROR(Mecze[[#This Row],[BR]]/Mecze[[#This Row],[ST]],0)</f>
        <v>0</v>
      </c>
      <c r="AB1617">
        <f>ROUND(Mecze[[#This Row],[PD]]*Mecze[[#This Row],[%PC]],0)</f>
        <v>16</v>
      </c>
      <c r="AC1617">
        <f>ROUND(Mecze[[#This Row],[OD]]*Mecze[[#This Row],[%OU]],0)</f>
        <v>7</v>
      </c>
      <c r="AD1617" s="36" t="s">
        <v>67</v>
      </c>
      <c r="AE1617" s="36">
        <v>87</v>
      </c>
      <c r="AF1617" s="71">
        <v>6.08</v>
      </c>
      <c r="AG1617" s="37">
        <v>0</v>
      </c>
      <c r="AH1617" s="37">
        <v>0</v>
      </c>
      <c r="AI1617" s="37">
        <v>98</v>
      </c>
      <c r="AJ1617" s="37">
        <v>9</v>
      </c>
      <c r="AK1617" s="37" t="str">
        <f>VLOOKUP(Mecze[[#This Row],[Match ID]],Meczusie[Mecz]:Meczusie[RodzajMeczu],2,FALSE)</f>
        <v>Liga</v>
      </c>
    </row>
    <row r="1618" spans="1:37" x14ac:dyDescent="0.25">
      <c r="A1618" s="76">
        <v>11</v>
      </c>
      <c r="B1618" s="3" t="s">
        <v>410</v>
      </c>
      <c r="C1618" s="2" t="s">
        <v>160</v>
      </c>
      <c r="D1618" s="1">
        <v>0</v>
      </c>
      <c r="E1618" s="1">
        <v>1</v>
      </c>
      <c r="F1618" s="1">
        <v>1</v>
      </c>
      <c r="G1618" s="1">
        <v>15</v>
      </c>
      <c r="H1618" s="4">
        <v>0.6</v>
      </c>
      <c r="I1618" s="1">
        <v>3</v>
      </c>
      <c r="J1618" s="4">
        <v>0.67</v>
      </c>
      <c r="K1618" s="1">
        <v>0</v>
      </c>
      <c r="L1618" s="1">
        <v>3</v>
      </c>
      <c r="M1618" s="32">
        <f>IF(Mecze[[#This Row],[PR]]=0,0,Mecze[[#This Row],[PR]]/Mecze[[#This Row],[CZAS]])</f>
        <v>3.0612244897959183E-2</v>
      </c>
      <c r="N1618" s="32">
        <f>IF(Mecze[[#This Row],[OU]]=0,0,Mecze[[#This Row],[OU]]/Mecze[[#This Row],[CZAS]])</f>
        <v>2.0408163265306121E-2</v>
      </c>
      <c r="O1618" s="32">
        <f>IF(Mecze[[#This Row],[PC]]=0,0,Mecze[[#This Row],[PC]]/Mecze[[#This Row],[CZAS]])</f>
        <v>9.1836734693877556E-2</v>
      </c>
      <c r="P1618" s="32">
        <f>IF(Mecze[[#This Row],[SC]]=0,0,Mecze[[#This Row],[SC]]/Mecze[[#This Row],[CZAS]])</f>
        <v>1.020408163265306E-2</v>
      </c>
      <c r="Q1618" s="32">
        <f>IF(Mecze[[#This Row],[OB]]=0,0,Mecze[[#This Row],[OB]]/Mecze[[#This Row],[CZAS]])</f>
        <v>0</v>
      </c>
      <c r="R1618" s="32">
        <f>IF(Mecze[[#This Row],[BR]]=0,0,Mecze[[#This Row],[BR]]/Mecze[[#This Row],[CZAS]])</f>
        <v>0</v>
      </c>
      <c r="S1618" s="44">
        <f>IF(Mecze[[#This Row],[Role]]="BR",SUMPRODUCT(Mecze[[#This Row],[/PR:90]:[/BR:90]],Brudnopis!$E$23:$J$23),0)</f>
        <v>0</v>
      </c>
      <c r="T1618" s="44">
        <f>IF(Mecze[[#This Row],[Role]]&lt;&gt;"BR",SUMPRODUCT(Mecze[[#This Row],[/PR:90]:[/BR:90]],Brudnopis!$E$24:$J$24),0)</f>
        <v>0.16326530612244899</v>
      </c>
      <c r="U1618" s="44">
        <f>IF(Mecze[[#This Row],[Role]]&lt;&gt;"BR",SUMPRODUCT(Mecze[[#This Row],[/PR:90]:[/BR:90]],Brudnopis!$E$25:$J$25),0)</f>
        <v>0.19897959183673472</v>
      </c>
      <c r="V1618" s="44">
        <f>IF(Mecze[[#This Row],[Role]]&lt;&gt;"BR",SUMPRODUCT(Mecze[[#This Row],[/PR:90]:[/BR:90]],Brudnopis!$E$26:$J$26),0)</f>
        <v>0.15306122448979592</v>
      </c>
      <c r="W1618" s="44">
        <f>IF(Mecze[[#This Row],[Role]]&lt;&gt;"BR",SUMPRODUCT(Mecze[[#This Row],[/PR:90]:[/BR:90]],Brudnopis!$E$27:$J$27),0)</f>
        <v>0.18622448979591838</v>
      </c>
      <c r="X1618" s="44">
        <f>IF(Mecze[[#This Row],[Role]]&lt;&gt;"BR",SUMPRODUCT(Mecze[[#This Row],[/PR:90]:[/BR:90]],Brudnopis!$E$28:$J$28),0)</f>
        <v>0.11224489795918367</v>
      </c>
      <c r="Y1618" s="35">
        <f>IF(Mecze[[#This Row],[Role]]="BR",Mecze[[#This Row],[/OB:90]]+Mecze[[#This Row],[/PC:90]],SUM(Mecze[[#This Row],[/PR:90]:[/BR:90]]))</f>
        <v>0.15306122448979592</v>
      </c>
      <c r="Z1618" s="35">
        <f>IF(Mecze[[#This Row],[KC]]=0,SUM(Mecze[[#This Row],[/BRI]:[/NPI]]),SUM(Mecze[[#This Row],[/BRI]:[/NPI]])*0.6)</f>
        <v>0.81377551020408179</v>
      </c>
      <c r="AA1618" s="10">
        <f>IFERROR(Mecze[[#This Row],[BR]]/Mecze[[#This Row],[ST]],0)</f>
        <v>0</v>
      </c>
      <c r="AB1618">
        <f>ROUND(Mecze[[#This Row],[PD]]*Mecze[[#This Row],[%PC]],0)</f>
        <v>9</v>
      </c>
      <c r="AC1618">
        <f>ROUND(Mecze[[#This Row],[OD]]*Mecze[[#This Row],[%OU]],0)</f>
        <v>2</v>
      </c>
      <c r="AD1618" s="36" t="s">
        <v>299</v>
      </c>
      <c r="AE1618" s="36">
        <v>87</v>
      </c>
      <c r="AF1618" s="71">
        <v>4.7699999999999996</v>
      </c>
      <c r="AG1618" s="37">
        <v>0</v>
      </c>
      <c r="AH1618" s="37">
        <v>0</v>
      </c>
      <c r="AI1618" s="37">
        <v>98</v>
      </c>
      <c r="AJ1618" s="37">
        <v>9</v>
      </c>
      <c r="AK1618" s="37" t="str">
        <f>VLOOKUP(Mecze[[#This Row],[Match ID]],Meczusie[Mecz]:Meczusie[RodzajMeczu],2,FALSE)</f>
        <v>Liga</v>
      </c>
    </row>
    <row r="1619" spans="1:37" x14ac:dyDescent="0.25">
      <c r="A1619" s="76">
        <v>13</v>
      </c>
      <c r="B1619" s="3" t="s">
        <v>295</v>
      </c>
      <c r="C1619" s="2" t="s">
        <v>160</v>
      </c>
      <c r="D1619" s="1">
        <v>0</v>
      </c>
      <c r="E1619" s="1">
        <v>0</v>
      </c>
      <c r="F1619" s="1">
        <v>0</v>
      </c>
      <c r="G1619" s="1">
        <v>5</v>
      </c>
      <c r="H1619" s="4">
        <v>0.6</v>
      </c>
      <c r="I1619" s="1">
        <v>0</v>
      </c>
      <c r="J1619" s="4"/>
      <c r="K1619" s="1">
        <v>0</v>
      </c>
      <c r="L1619" s="1">
        <v>0</v>
      </c>
      <c r="M1619" s="32">
        <f>IF(Mecze[[#This Row],[PR]]=0,0,Mecze[[#This Row],[PR]]/Mecze[[#This Row],[CZAS]])</f>
        <v>0</v>
      </c>
      <c r="N1619" s="32">
        <f>IF(Mecze[[#This Row],[OU]]=0,0,Mecze[[#This Row],[OU]]/Mecze[[#This Row],[CZAS]])</f>
        <v>0</v>
      </c>
      <c r="O1619" s="32">
        <f>IF(Mecze[[#This Row],[PC]]=0,0,Mecze[[#This Row],[PC]]/Mecze[[#This Row],[CZAS]])</f>
        <v>3.0612244897959183E-2</v>
      </c>
      <c r="P1619" s="32">
        <f>IF(Mecze[[#This Row],[SC]]=0,0,Mecze[[#This Row],[SC]]/Mecze[[#This Row],[CZAS]])</f>
        <v>0</v>
      </c>
      <c r="Q1619" s="32">
        <f>IF(Mecze[[#This Row],[OB]]=0,0,Mecze[[#This Row],[OB]]/Mecze[[#This Row],[CZAS]])</f>
        <v>0</v>
      </c>
      <c r="R1619" s="32">
        <f>IF(Mecze[[#This Row],[BR]]=0,0,Mecze[[#This Row],[BR]]/Mecze[[#This Row],[CZAS]])</f>
        <v>0</v>
      </c>
      <c r="S1619" s="44">
        <f>IF(Mecze[[#This Row],[Role]]="BR",SUMPRODUCT(Mecze[[#This Row],[/PR:90]:[/BR:90]],Brudnopis!$E$23:$J$23),0)</f>
        <v>0</v>
      </c>
      <c r="T1619" s="44">
        <f>IF(Mecze[[#This Row],[Role]]&lt;&gt;"BR",SUMPRODUCT(Mecze[[#This Row],[/PR:90]:[/BR:90]],Brudnopis!$E$24:$J$24),0)</f>
        <v>3.0612244897959183E-2</v>
      </c>
      <c r="U1619" s="44">
        <f>IF(Mecze[[#This Row],[Role]]&lt;&gt;"BR",SUMPRODUCT(Mecze[[#This Row],[/PR:90]:[/BR:90]],Brudnopis!$E$25:$J$25),0)</f>
        <v>4.5918367346938771E-2</v>
      </c>
      <c r="V1619" s="44">
        <f>IF(Mecze[[#This Row],[Role]]&lt;&gt;"BR",SUMPRODUCT(Mecze[[#This Row],[/PR:90]:[/BR:90]],Brudnopis!$E$26:$J$26),0)</f>
        <v>3.0612244897959183E-2</v>
      </c>
      <c r="W1619" s="44">
        <f>IF(Mecze[[#This Row],[Role]]&lt;&gt;"BR",SUMPRODUCT(Mecze[[#This Row],[/PR:90]:[/BR:90]],Brudnopis!$E$27:$J$27),0)</f>
        <v>4.5918367346938771E-2</v>
      </c>
      <c r="X1619" s="44">
        <f>IF(Mecze[[#This Row],[Role]]&lt;&gt;"BR",SUMPRODUCT(Mecze[[#This Row],[/PR:90]:[/BR:90]],Brudnopis!$E$28:$J$28),0)</f>
        <v>3.0612244897959183E-2</v>
      </c>
      <c r="Y1619" s="35">
        <f>IF(Mecze[[#This Row],[Role]]="BR",Mecze[[#This Row],[/OB:90]]+Mecze[[#This Row],[/PC:90]],SUM(Mecze[[#This Row],[/PR:90]:[/BR:90]]))</f>
        <v>3.0612244897959183E-2</v>
      </c>
      <c r="Z1619" s="35">
        <f>IF(Mecze[[#This Row],[KC]]=0,SUM(Mecze[[#This Row],[/BRI]:[/NPI]]),SUM(Mecze[[#This Row],[/BRI]:[/NPI]])*0.6)</f>
        <v>0.18367346938775511</v>
      </c>
      <c r="AA1619" s="10">
        <f>IFERROR(Mecze[[#This Row],[BR]]/Mecze[[#This Row],[ST]],0)</f>
        <v>0</v>
      </c>
      <c r="AB1619">
        <f>ROUND(Mecze[[#This Row],[PD]]*Mecze[[#This Row],[%PC]],0)</f>
        <v>3</v>
      </c>
      <c r="AC1619">
        <f>ROUND(Mecze[[#This Row],[OD]]*Mecze[[#This Row],[%OU]],0)</f>
        <v>0</v>
      </c>
      <c r="AD1619" s="36" t="s">
        <v>171</v>
      </c>
      <c r="AE1619" s="36">
        <v>87</v>
      </c>
      <c r="AF1619" s="71">
        <v>3.91</v>
      </c>
      <c r="AG1619" s="37">
        <v>0</v>
      </c>
      <c r="AH1619" s="37">
        <v>0</v>
      </c>
      <c r="AI1619" s="37">
        <v>98</v>
      </c>
      <c r="AJ1619" s="37">
        <v>9</v>
      </c>
      <c r="AK1619" s="37" t="str">
        <f>VLOOKUP(Mecze[[#This Row],[Match ID]],Meczusie[Mecz]:Meczusie[RodzajMeczu],2,FALSE)</f>
        <v>Liga</v>
      </c>
    </row>
    <row r="1620" spans="1:37" x14ac:dyDescent="0.25">
      <c r="A1620" s="76">
        <v>9</v>
      </c>
      <c r="B1620" s="3" t="s">
        <v>296</v>
      </c>
      <c r="C1620" s="2" t="s">
        <v>165</v>
      </c>
      <c r="D1620" s="1">
        <v>1</v>
      </c>
      <c r="E1620" s="1">
        <v>8</v>
      </c>
      <c r="F1620" s="1">
        <v>7</v>
      </c>
      <c r="G1620" s="1">
        <v>7</v>
      </c>
      <c r="H1620" s="4">
        <v>0.28999999999999998</v>
      </c>
      <c r="I1620" s="1">
        <v>3</v>
      </c>
      <c r="J1620" s="4">
        <v>0.67</v>
      </c>
      <c r="K1620" s="1">
        <v>0</v>
      </c>
      <c r="L1620" s="1">
        <v>3</v>
      </c>
      <c r="M1620" s="32">
        <f>IF(Mecze[[#This Row],[PR]]=0,0,Mecze[[#This Row],[PR]]/Mecze[[#This Row],[CZAS]])</f>
        <v>3.0612244897959183E-2</v>
      </c>
      <c r="N1620" s="32">
        <f>IF(Mecze[[#This Row],[OU]]=0,0,Mecze[[#This Row],[OU]]/Mecze[[#This Row],[CZAS]])</f>
        <v>2.0408163265306121E-2</v>
      </c>
      <c r="O1620" s="32">
        <f>IF(Mecze[[#This Row],[PC]]=0,0,Mecze[[#This Row],[PC]]/Mecze[[#This Row],[CZAS]])</f>
        <v>2.0408163265306121E-2</v>
      </c>
      <c r="P1620" s="32">
        <f>IF(Mecze[[#This Row],[SC]]=0,0,Mecze[[#This Row],[SC]]/Mecze[[#This Row],[CZAS]])</f>
        <v>7.1428571428571425E-2</v>
      </c>
      <c r="Q1620" s="32">
        <f>IF(Mecze[[#This Row],[OB]]=0,0,Mecze[[#This Row],[OB]]/Mecze[[#This Row],[CZAS]])</f>
        <v>0</v>
      </c>
      <c r="R1620" s="32">
        <f>IF(Mecze[[#This Row],[BR]]=0,0,Mecze[[#This Row],[BR]]/Mecze[[#This Row],[CZAS]])</f>
        <v>1.020408163265306E-2</v>
      </c>
      <c r="S1620" s="44">
        <f>IF(Mecze[[#This Row],[Role]]="BR",SUMPRODUCT(Mecze[[#This Row],[/PR:90]:[/BR:90]],Brudnopis!$E$23:$J$23),0)</f>
        <v>0</v>
      </c>
      <c r="T1620" s="44">
        <f>IF(Mecze[[#This Row],[Role]]&lt;&gt;"BR",SUMPRODUCT(Mecze[[#This Row],[/PR:90]:[/BR:90]],Brudnopis!$E$24:$J$24),0)</f>
        <v>0.1683673469387755</v>
      </c>
      <c r="U1620" s="44">
        <f>IF(Mecze[[#This Row],[Role]]&lt;&gt;"BR",SUMPRODUCT(Mecze[[#This Row],[/PR:90]:[/BR:90]],Brudnopis!$E$25:$J$25),0)</f>
        <v>0.1683673469387755</v>
      </c>
      <c r="V1620" s="44">
        <f>IF(Mecze[[#This Row],[Role]]&lt;&gt;"BR",SUMPRODUCT(Mecze[[#This Row],[/PR:90]:[/BR:90]],Brudnopis!$E$26:$J$26),0)</f>
        <v>0.16326530612244897</v>
      </c>
      <c r="W1620" s="44">
        <f>IF(Mecze[[#This Row],[Role]]&lt;&gt;"BR",SUMPRODUCT(Mecze[[#This Row],[/PR:90]:[/BR:90]],Brudnopis!$E$27:$J$27),0)</f>
        <v>0.1607142857142857</v>
      </c>
      <c r="X1620" s="44">
        <f>IF(Mecze[[#This Row],[Role]]&lt;&gt;"BR",SUMPRODUCT(Mecze[[#This Row],[/PR:90]:[/BR:90]],Brudnopis!$E$28:$J$28),0)</f>
        <v>0.19387755102040816</v>
      </c>
      <c r="Y1620" s="35">
        <f>IF(Mecze[[#This Row],[Role]]="BR",Mecze[[#This Row],[/OB:90]]+Mecze[[#This Row],[/PC:90]],SUM(Mecze[[#This Row],[/PR:90]:[/BR:90]]))</f>
        <v>0.15306122448979592</v>
      </c>
      <c r="Z1620" s="35">
        <f>IF(Mecze[[#This Row],[KC]]=0,SUM(Mecze[[#This Row],[/BRI]:[/NPI]]),SUM(Mecze[[#This Row],[/BRI]:[/NPI]])*0.6)</f>
        <v>0.85459183673469385</v>
      </c>
      <c r="AA1620" s="10">
        <f>IFERROR(Mecze[[#This Row],[BR]]/Mecze[[#This Row],[ST]],0)</f>
        <v>0.125</v>
      </c>
      <c r="AB1620">
        <f>ROUND(Mecze[[#This Row],[PD]]*Mecze[[#This Row],[%PC]],0)</f>
        <v>2</v>
      </c>
      <c r="AC1620">
        <f>ROUND(Mecze[[#This Row],[OD]]*Mecze[[#This Row],[%OU]],0)</f>
        <v>2</v>
      </c>
      <c r="AD1620" s="36" t="s">
        <v>272</v>
      </c>
      <c r="AE1620" s="36">
        <v>87</v>
      </c>
      <c r="AF1620" s="71">
        <v>6.55</v>
      </c>
      <c r="AG1620" s="37">
        <v>0</v>
      </c>
      <c r="AH1620" s="37">
        <v>0</v>
      </c>
      <c r="AI1620" s="37">
        <v>98</v>
      </c>
      <c r="AJ1620" s="37">
        <v>9</v>
      </c>
      <c r="AK1620" s="37" t="str">
        <f>VLOOKUP(Mecze[[#This Row],[Match ID]],Meczusie[Mecz]:Meczusie[RodzajMeczu],2,FALSE)</f>
        <v>Liga</v>
      </c>
    </row>
    <row r="1621" spans="1:37" x14ac:dyDescent="0.25">
      <c r="A1621" s="76">
        <v>6</v>
      </c>
      <c r="B1621" s="3" t="s">
        <v>297</v>
      </c>
      <c r="C1621" s="2" t="s">
        <v>165</v>
      </c>
      <c r="D1621" s="1">
        <v>1</v>
      </c>
      <c r="E1621" s="1">
        <v>7</v>
      </c>
      <c r="F1621" s="1">
        <v>6</v>
      </c>
      <c r="G1621" s="1">
        <v>11</v>
      </c>
      <c r="H1621" s="4">
        <v>0.82</v>
      </c>
      <c r="I1621" s="1">
        <v>3</v>
      </c>
      <c r="J1621" s="4">
        <v>0.33</v>
      </c>
      <c r="K1621" s="1">
        <v>0</v>
      </c>
      <c r="L1621" s="1">
        <v>0</v>
      </c>
      <c r="M1621" s="32">
        <f>IF(Mecze[[#This Row],[PR]]=0,0,Mecze[[#This Row],[PR]]/Mecze[[#This Row],[CZAS]])</f>
        <v>0</v>
      </c>
      <c r="N1621" s="32">
        <f>IF(Mecze[[#This Row],[OU]]=0,0,Mecze[[#This Row],[OU]]/Mecze[[#This Row],[CZAS]])</f>
        <v>1.020408163265306E-2</v>
      </c>
      <c r="O1621" s="32">
        <f>IF(Mecze[[#This Row],[PC]]=0,0,Mecze[[#This Row],[PC]]/Mecze[[#This Row],[CZAS]])</f>
        <v>9.1836734693877556E-2</v>
      </c>
      <c r="P1621" s="32">
        <f>IF(Mecze[[#This Row],[SC]]=0,0,Mecze[[#This Row],[SC]]/Mecze[[#This Row],[CZAS]])</f>
        <v>6.1224489795918366E-2</v>
      </c>
      <c r="Q1621" s="32">
        <f>IF(Mecze[[#This Row],[OB]]=0,0,Mecze[[#This Row],[OB]]/Mecze[[#This Row],[CZAS]])</f>
        <v>0</v>
      </c>
      <c r="R1621" s="32">
        <f>IF(Mecze[[#This Row],[BR]]=0,0,Mecze[[#This Row],[BR]]/Mecze[[#This Row],[CZAS]])</f>
        <v>1.020408163265306E-2</v>
      </c>
      <c r="S1621" s="44">
        <f>IF(Mecze[[#This Row],[Role]]="BR",SUMPRODUCT(Mecze[[#This Row],[/PR:90]:[/BR:90]],Brudnopis!$E$23:$J$23),0)</f>
        <v>0</v>
      </c>
      <c r="T1621" s="44">
        <f>IF(Mecze[[#This Row],[Role]]&lt;&gt;"BR",SUMPRODUCT(Mecze[[#This Row],[/PR:90]:[/BR:90]],Brudnopis!$E$24:$J$24),0)</f>
        <v>0.18367346938775511</v>
      </c>
      <c r="U1621" s="44">
        <f>IF(Mecze[[#This Row],[Role]]&lt;&gt;"BR",SUMPRODUCT(Mecze[[#This Row],[/PR:90]:[/BR:90]],Brudnopis!$E$25:$J$25),0)</f>
        <v>0.22448979591836735</v>
      </c>
      <c r="V1621" s="44">
        <f>IF(Mecze[[#This Row],[Role]]&lt;&gt;"BR",SUMPRODUCT(Mecze[[#This Row],[/PR:90]:[/BR:90]],Brudnopis!$E$26:$J$26),0)</f>
        <v>0.18367346938775511</v>
      </c>
      <c r="W1621" s="44">
        <f>IF(Mecze[[#This Row],[Role]]&lt;&gt;"BR",SUMPRODUCT(Mecze[[#This Row],[/PR:90]:[/BR:90]],Brudnopis!$E$27:$J$27),0)</f>
        <v>0.22704081632653064</v>
      </c>
      <c r="X1621" s="44">
        <f>IF(Mecze[[#This Row],[Role]]&lt;&gt;"BR",SUMPRODUCT(Mecze[[#This Row],[/PR:90]:[/BR:90]],Brudnopis!$E$28:$J$28),0)</f>
        <v>0.24489795918367349</v>
      </c>
      <c r="Y1621" s="35">
        <f>IF(Mecze[[#This Row],[Role]]="BR",Mecze[[#This Row],[/OB:90]]+Mecze[[#This Row],[/PC:90]],SUM(Mecze[[#This Row],[/PR:90]:[/BR:90]]))</f>
        <v>0.17346938775510207</v>
      </c>
      <c r="Z1621" s="35">
        <f>IF(Mecze[[#This Row],[KC]]=0,SUM(Mecze[[#This Row],[/BRI]:[/NPI]]),SUM(Mecze[[#This Row],[/BRI]:[/NPI]])*0.6)</f>
        <v>1.0637755102040816</v>
      </c>
      <c r="AA1621" s="10">
        <f>IFERROR(Mecze[[#This Row],[BR]]/Mecze[[#This Row],[ST]],0)</f>
        <v>0.14285714285714285</v>
      </c>
      <c r="AB1621">
        <f>ROUND(Mecze[[#This Row],[PD]]*Mecze[[#This Row],[%PC]],0)</f>
        <v>9</v>
      </c>
      <c r="AC1621">
        <f>ROUND(Mecze[[#This Row],[OD]]*Mecze[[#This Row],[%OU]],0)</f>
        <v>1</v>
      </c>
      <c r="AD1621" s="36" t="s">
        <v>46</v>
      </c>
      <c r="AE1621" s="36">
        <v>87</v>
      </c>
      <c r="AF1621" s="71">
        <v>8.58</v>
      </c>
      <c r="AG1621" s="37">
        <v>0</v>
      </c>
      <c r="AH1621" s="37">
        <v>0</v>
      </c>
      <c r="AI1621" s="37">
        <v>98</v>
      </c>
      <c r="AJ1621" s="37">
        <v>9</v>
      </c>
      <c r="AK1621" s="37" t="str">
        <f>VLOOKUP(Mecze[[#This Row],[Match ID]],Meczusie[Mecz]:Meczusie[RodzajMeczu],2,FALSE)</f>
        <v>Liga</v>
      </c>
    </row>
    <row r="1622" spans="1:37" x14ac:dyDescent="0.25">
      <c r="A1622" s="76">
        <v>1</v>
      </c>
      <c r="B1622" s="3" t="s">
        <v>304</v>
      </c>
      <c r="C1622" s="2" t="s">
        <v>155</v>
      </c>
      <c r="D1622" s="1">
        <v>0</v>
      </c>
      <c r="E1622" s="1">
        <v>0</v>
      </c>
      <c r="F1622" s="1">
        <v>0</v>
      </c>
      <c r="G1622" s="1">
        <v>13</v>
      </c>
      <c r="H1622" s="4">
        <v>0.62</v>
      </c>
      <c r="I1622" s="1">
        <v>0</v>
      </c>
      <c r="J1622" s="4"/>
      <c r="K1622" s="1">
        <v>12</v>
      </c>
      <c r="L1622" s="1">
        <v>0</v>
      </c>
      <c r="M1622" s="32">
        <f>IF(Mecze[[#This Row],[PR]]=0,0,Mecze[[#This Row],[PR]]/Mecze[[#This Row],[CZAS]])</f>
        <v>0</v>
      </c>
      <c r="N1622" s="32">
        <f>IF(Mecze[[#This Row],[OU]]=0,0,Mecze[[#This Row],[OU]]/Mecze[[#This Row],[CZAS]])</f>
        <v>0</v>
      </c>
      <c r="O1622" s="32">
        <f>IF(Mecze[[#This Row],[PC]]=0,0,Mecze[[#This Row],[PC]]/Mecze[[#This Row],[CZAS]])</f>
        <v>8.1632653061224483E-2</v>
      </c>
      <c r="P1622" s="32">
        <f>IF(Mecze[[#This Row],[SC]]=0,0,Mecze[[#This Row],[SC]]/Mecze[[#This Row],[CZAS]])</f>
        <v>0</v>
      </c>
      <c r="Q1622" s="32">
        <f>IF(Mecze[[#This Row],[OB]]=0,0,Mecze[[#This Row],[OB]]/Mecze[[#This Row],[CZAS]])</f>
        <v>0.12244897959183673</v>
      </c>
      <c r="R1622" s="32">
        <f>IF(Mecze[[#This Row],[BR]]=0,0,Mecze[[#This Row],[BR]]/Mecze[[#This Row],[CZAS]])</f>
        <v>0</v>
      </c>
      <c r="S1622" s="44">
        <f>IF(Mecze[[#This Row],[Role]]="BR",SUMPRODUCT(Mecze[[#This Row],[/PR:90]:[/BR:90]],Brudnopis!$E$23:$J$23),0)</f>
        <v>0.61224489795918369</v>
      </c>
      <c r="T1622" s="44">
        <f>IF(Mecze[[#This Row],[Role]]&lt;&gt;"BR",SUMPRODUCT(Mecze[[#This Row],[/PR:90]:[/BR:90]],Brudnopis!$E$24:$J$24),0)</f>
        <v>0</v>
      </c>
      <c r="U1622" s="44">
        <f>IF(Mecze[[#This Row],[Role]]&lt;&gt;"BR",SUMPRODUCT(Mecze[[#This Row],[/PR:90]:[/BR:90]],Brudnopis!$E$25:$J$25),0)</f>
        <v>0</v>
      </c>
      <c r="V1622" s="44">
        <f>IF(Mecze[[#This Row],[Role]]&lt;&gt;"BR",SUMPRODUCT(Mecze[[#This Row],[/PR:90]:[/BR:90]],Brudnopis!$E$26:$J$26),0)</f>
        <v>0</v>
      </c>
      <c r="W1622" s="44">
        <f>IF(Mecze[[#This Row],[Role]]&lt;&gt;"BR",SUMPRODUCT(Mecze[[#This Row],[/PR:90]:[/BR:90]],Brudnopis!$E$27:$J$27),0)</f>
        <v>0</v>
      </c>
      <c r="X1622" s="44">
        <f>IF(Mecze[[#This Row],[Role]]&lt;&gt;"BR",SUMPRODUCT(Mecze[[#This Row],[/PR:90]:[/BR:90]],Brudnopis!$E$28:$J$28),0)</f>
        <v>0</v>
      </c>
      <c r="Y1622" s="35">
        <f>IF(Mecze[[#This Row],[Role]]="BR",Mecze[[#This Row],[/OB:90]]+Mecze[[#This Row],[/PC:90]],SUM(Mecze[[#This Row],[/PR:90]:[/BR:90]]))</f>
        <v>0.20408163265306123</v>
      </c>
      <c r="Z1622" s="35">
        <f>IF(Mecze[[#This Row],[KC]]=0,SUM(Mecze[[#This Row],[/BRI]:[/NPI]]),SUM(Mecze[[#This Row],[/BRI]:[/NPI]])*0.6)</f>
        <v>0.61224489795918369</v>
      </c>
      <c r="AA1622" s="10">
        <f>IFERROR(Mecze[[#This Row],[BR]]/Mecze[[#This Row],[ST]],0)</f>
        <v>0</v>
      </c>
      <c r="AB1622">
        <f>ROUND(Mecze[[#This Row],[PD]]*Mecze[[#This Row],[%PC]],0)</f>
        <v>8</v>
      </c>
      <c r="AC1622">
        <f>ROUND(Mecze[[#This Row],[OD]]*Mecze[[#This Row],[%OU]],0)</f>
        <v>0</v>
      </c>
      <c r="AD1622" s="36" t="s">
        <v>40</v>
      </c>
      <c r="AE1622" s="36">
        <v>88</v>
      </c>
      <c r="AF1622" s="71">
        <v>7.01</v>
      </c>
      <c r="AG1622" s="37">
        <v>0</v>
      </c>
      <c r="AH1622" s="37">
        <v>0</v>
      </c>
      <c r="AI1622" s="37">
        <v>98</v>
      </c>
      <c r="AJ1622" s="37">
        <v>8</v>
      </c>
      <c r="AK1622" s="37" t="str">
        <f>VLOOKUP(Mecze[[#This Row],[Match ID]],Meczusie[Mecz]:Meczusie[RodzajMeczu],2,FALSE)</f>
        <v>Liga</v>
      </c>
    </row>
    <row r="1623" spans="1:37" x14ac:dyDescent="0.25">
      <c r="A1623" s="76">
        <v>5</v>
      </c>
      <c r="B1623" s="3" t="s">
        <v>305</v>
      </c>
      <c r="C1623" s="2" t="s">
        <v>157</v>
      </c>
      <c r="D1623" s="1">
        <v>0</v>
      </c>
      <c r="E1623" s="1">
        <v>0</v>
      </c>
      <c r="F1623" s="1">
        <v>0</v>
      </c>
      <c r="G1623" s="1">
        <v>7</v>
      </c>
      <c r="H1623" s="4">
        <v>1</v>
      </c>
      <c r="I1623" s="1">
        <v>5</v>
      </c>
      <c r="J1623" s="4">
        <v>0.2</v>
      </c>
      <c r="K1623" s="1">
        <v>0</v>
      </c>
      <c r="L1623" s="1">
        <v>2</v>
      </c>
      <c r="M1623" s="32">
        <f>IF(Mecze[[#This Row],[PR]]=0,0,Mecze[[#This Row],[PR]]/Mecze[[#This Row],[CZAS]])</f>
        <v>2.0408163265306121E-2</v>
      </c>
      <c r="N1623" s="32">
        <f>IF(Mecze[[#This Row],[OU]]=0,0,Mecze[[#This Row],[OU]]/Mecze[[#This Row],[CZAS]])</f>
        <v>1.020408163265306E-2</v>
      </c>
      <c r="O1623" s="32">
        <f>IF(Mecze[[#This Row],[PC]]=0,0,Mecze[[#This Row],[PC]]/Mecze[[#This Row],[CZAS]])</f>
        <v>7.1428571428571425E-2</v>
      </c>
      <c r="P1623" s="32">
        <f>IF(Mecze[[#This Row],[SC]]=0,0,Mecze[[#This Row],[SC]]/Mecze[[#This Row],[CZAS]])</f>
        <v>0</v>
      </c>
      <c r="Q1623" s="32">
        <f>IF(Mecze[[#This Row],[OB]]=0,0,Mecze[[#This Row],[OB]]/Mecze[[#This Row],[CZAS]])</f>
        <v>0</v>
      </c>
      <c r="R1623" s="32">
        <f>IF(Mecze[[#This Row],[BR]]=0,0,Mecze[[#This Row],[BR]]/Mecze[[#This Row],[CZAS]])</f>
        <v>0</v>
      </c>
      <c r="S1623" s="44">
        <f>IF(Mecze[[#This Row],[Role]]="BR",SUMPRODUCT(Mecze[[#This Row],[/PR:90]:[/BR:90]],Brudnopis!$E$23:$J$23),0)</f>
        <v>0</v>
      </c>
      <c r="T1623" s="44">
        <f>IF(Mecze[[#This Row],[Role]]&lt;&gt;"BR",SUMPRODUCT(Mecze[[#This Row],[/PR:90]:[/BR:90]],Brudnopis!$E$24:$J$24),0)</f>
        <v>0.10714285714285714</v>
      </c>
      <c r="U1623" s="44">
        <f>IF(Mecze[[#This Row],[Role]]&lt;&gt;"BR",SUMPRODUCT(Mecze[[#This Row],[/PR:90]:[/BR:90]],Brudnopis!$E$25:$J$25),0)</f>
        <v>0.13775510204081631</v>
      </c>
      <c r="V1623" s="44">
        <f>IF(Mecze[[#This Row],[Role]]&lt;&gt;"BR",SUMPRODUCT(Mecze[[#This Row],[/PR:90]:[/BR:90]],Brudnopis!$E$26:$J$26),0)</f>
        <v>0.10204081632653061</v>
      </c>
      <c r="W1623" s="44">
        <f>IF(Mecze[[#This Row],[Role]]&lt;&gt;"BR",SUMPRODUCT(Mecze[[#This Row],[/PR:90]:[/BR:90]],Brudnopis!$E$27:$J$27),0)</f>
        <v>0.13010204081632654</v>
      </c>
      <c r="X1623" s="44">
        <f>IF(Mecze[[#This Row],[Role]]&lt;&gt;"BR",SUMPRODUCT(Mecze[[#This Row],[/PR:90]:[/BR:90]],Brudnopis!$E$28:$J$28),0)</f>
        <v>7.1428571428571425E-2</v>
      </c>
      <c r="Y1623" s="35">
        <f>IF(Mecze[[#This Row],[Role]]="BR",Mecze[[#This Row],[/OB:90]]+Mecze[[#This Row],[/PC:90]],SUM(Mecze[[#This Row],[/PR:90]:[/BR:90]]))</f>
        <v>0.10204081632653061</v>
      </c>
      <c r="Z1623" s="35">
        <f>IF(Mecze[[#This Row],[KC]]=0,SUM(Mecze[[#This Row],[/BRI]:[/NPI]]),SUM(Mecze[[#This Row],[/BRI]:[/NPI]])*0.6)</f>
        <v>0.54846938775510201</v>
      </c>
      <c r="AA1623" s="10">
        <f>IFERROR(Mecze[[#This Row],[BR]]/Mecze[[#This Row],[ST]],0)</f>
        <v>0</v>
      </c>
      <c r="AB1623">
        <f>ROUND(Mecze[[#This Row],[PD]]*Mecze[[#This Row],[%PC]],0)</f>
        <v>7</v>
      </c>
      <c r="AC1623">
        <f>ROUND(Mecze[[#This Row],[OD]]*Mecze[[#This Row],[%OU]],0)</f>
        <v>1</v>
      </c>
      <c r="AD1623" s="36" t="s">
        <v>47</v>
      </c>
      <c r="AE1623" s="36">
        <v>88</v>
      </c>
      <c r="AF1623" s="71">
        <v>2.0099999999999998</v>
      </c>
      <c r="AG1623" s="37">
        <v>0</v>
      </c>
      <c r="AH1623" s="37">
        <v>0</v>
      </c>
      <c r="AI1623" s="37">
        <v>98</v>
      </c>
      <c r="AJ1623" s="37">
        <v>8</v>
      </c>
      <c r="AK1623" s="37" t="str">
        <f>VLOOKUP(Mecze[[#This Row],[Match ID]],Meczusie[Mecz]:Meczusie[RodzajMeczu],2,FALSE)</f>
        <v>Liga</v>
      </c>
    </row>
    <row r="1624" spans="1:37" x14ac:dyDescent="0.25">
      <c r="A1624" s="76">
        <v>23</v>
      </c>
      <c r="B1624" s="3" t="s">
        <v>306</v>
      </c>
      <c r="C1624" s="2" t="s">
        <v>157</v>
      </c>
      <c r="D1624" s="1">
        <v>0</v>
      </c>
      <c r="E1624" s="1">
        <v>0</v>
      </c>
      <c r="F1624" s="1">
        <v>0</v>
      </c>
      <c r="G1624" s="1">
        <v>10</v>
      </c>
      <c r="H1624" s="4">
        <v>0.7</v>
      </c>
      <c r="I1624" s="1">
        <v>7</v>
      </c>
      <c r="J1624" s="4">
        <v>0.56999999999999995</v>
      </c>
      <c r="K1624" s="1">
        <v>0</v>
      </c>
      <c r="L1624" s="1">
        <v>7</v>
      </c>
      <c r="M1624" s="32">
        <f>IF(Mecze[[#This Row],[PR]]=0,0,Mecze[[#This Row],[PR]]/Mecze[[#This Row],[CZAS]])</f>
        <v>7.1428571428571425E-2</v>
      </c>
      <c r="N1624" s="32">
        <f>IF(Mecze[[#This Row],[OU]]=0,0,Mecze[[#This Row],[OU]]/Mecze[[#This Row],[CZAS]])</f>
        <v>4.0816326530612242E-2</v>
      </c>
      <c r="O1624" s="32">
        <f>IF(Mecze[[#This Row],[PC]]=0,0,Mecze[[#This Row],[PC]]/Mecze[[#This Row],[CZAS]])</f>
        <v>7.1428571428571425E-2</v>
      </c>
      <c r="P1624" s="32">
        <f>IF(Mecze[[#This Row],[SC]]=0,0,Mecze[[#This Row],[SC]]/Mecze[[#This Row],[CZAS]])</f>
        <v>0</v>
      </c>
      <c r="Q1624" s="32">
        <f>IF(Mecze[[#This Row],[OB]]=0,0,Mecze[[#This Row],[OB]]/Mecze[[#This Row],[CZAS]])</f>
        <v>0</v>
      </c>
      <c r="R1624" s="32">
        <f>IF(Mecze[[#This Row],[BR]]=0,0,Mecze[[#This Row],[BR]]/Mecze[[#This Row],[CZAS]])</f>
        <v>0</v>
      </c>
      <c r="S1624" s="44">
        <f>IF(Mecze[[#This Row],[Role]]="BR",SUMPRODUCT(Mecze[[#This Row],[/PR:90]:[/BR:90]],Brudnopis!$E$23:$J$23),0)</f>
        <v>0</v>
      </c>
      <c r="T1624" s="44">
        <f>IF(Mecze[[#This Row],[Role]]&lt;&gt;"BR",SUMPRODUCT(Mecze[[#This Row],[/PR:90]:[/BR:90]],Brudnopis!$E$24:$J$24),0)</f>
        <v>0.2040816326530612</v>
      </c>
      <c r="U1624" s="44">
        <f>IF(Mecze[[#This Row],[Role]]&lt;&gt;"BR",SUMPRODUCT(Mecze[[#This Row],[/PR:90]:[/BR:90]],Brudnopis!$E$25:$J$25),0)</f>
        <v>0.21938775510204078</v>
      </c>
      <c r="V1624" s="44">
        <f>IF(Mecze[[#This Row],[Role]]&lt;&gt;"BR",SUMPRODUCT(Mecze[[#This Row],[/PR:90]:[/BR:90]],Brudnopis!$E$26:$J$26),0)</f>
        <v>0.18367346938775508</v>
      </c>
      <c r="W1624" s="44">
        <f>IF(Mecze[[#This Row],[Role]]&lt;&gt;"BR",SUMPRODUCT(Mecze[[#This Row],[/PR:90]:[/BR:90]],Brudnopis!$E$27:$J$27),0)</f>
        <v>0.19132653061224489</v>
      </c>
      <c r="X1624" s="44">
        <f>IF(Mecze[[#This Row],[Role]]&lt;&gt;"BR",SUMPRODUCT(Mecze[[#This Row],[/PR:90]:[/BR:90]],Brudnopis!$E$28:$J$28),0)</f>
        <v>7.1428571428571425E-2</v>
      </c>
      <c r="Y1624" s="35">
        <f>IF(Mecze[[#This Row],[Role]]="BR",Mecze[[#This Row],[/OB:90]]+Mecze[[#This Row],[/PC:90]],SUM(Mecze[[#This Row],[/PR:90]:[/BR:90]]))</f>
        <v>0.18367346938775508</v>
      </c>
      <c r="Z1624" s="35">
        <f>IF(Mecze[[#This Row],[KC]]=0,SUM(Mecze[[#This Row],[/BRI]:[/NPI]]),SUM(Mecze[[#This Row],[/BRI]:[/NPI]])*0.6)</f>
        <v>0.86989795918367341</v>
      </c>
      <c r="AA1624" s="10">
        <f>IFERROR(Mecze[[#This Row],[BR]]/Mecze[[#This Row],[ST]],0)</f>
        <v>0</v>
      </c>
      <c r="AB1624">
        <f>ROUND(Mecze[[#This Row],[PD]]*Mecze[[#This Row],[%PC]],0)</f>
        <v>7</v>
      </c>
      <c r="AC1624">
        <f>ROUND(Mecze[[#This Row],[OD]]*Mecze[[#This Row],[%OU]],0)</f>
        <v>4</v>
      </c>
      <c r="AD1624" s="36" t="s">
        <v>167</v>
      </c>
      <c r="AE1624" s="36">
        <v>88</v>
      </c>
      <c r="AF1624" s="71">
        <v>4.18</v>
      </c>
      <c r="AG1624" s="37">
        <v>0</v>
      </c>
      <c r="AH1624" s="37">
        <v>0</v>
      </c>
      <c r="AI1624" s="37">
        <v>98</v>
      </c>
      <c r="AJ1624" s="37">
        <v>8</v>
      </c>
      <c r="AK1624" s="37" t="str">
        <f>VLOOKUP(Mecze[[#This Row],[Match ID]],Meczusie[Mecz]:Meczusie[RodzajMeczu],2,FALSE)</f>
        <v>Liga</v>
      </c>
    </row>
    <row r="1625" spans="1:37" x14ac:dyDescent="0.25">
      <c r="A1625" s="76">
        <v>2</v>
      </c>
      <c r="B1625" s="3" t="s">
        <v>307</v>
      </c>
      <c r="C1625" s="2" t="s">
        <v>157</v>
      </c>
      <c r="D1625" s="1">
        <v>0</v>
      </c>
      <c r="E1625" s="1">
        <v>0</v>
      </c>
      <c r="F1625" s="1">
        <v>0</v>
      </c>
      <c r="G1625" s="1">
        <v>12</v>
      </c>
      <c r="H1625" s="4">
        <v>0.57999999999999996</v>
      </c>
      <c r="I1625" s="1">
        <v>31</v>
      </c>
      <c r="J1625" s="4">
        <v>0.48</v>
      </c>
      <c r="K1625" s="1">
        <v>0</v>
      </c>
      <c r="L1625" s="1">
        <v>8</v>
      </c>
      <c r="M1625" s="32">
        <f>IF(Mecze[[#This Row],[PR]]=0,0,Mecze[[#This Row],[PR]]/Mecze[[#This Row],[CZAS]])</f>
        <v>8.1632653061224483E-2</v>
      </c>
      <c r="N1625" s="32">
        <f>IF(Mecze[[#This Row],[OU]]=0,0,Mecze[[#This Row],[OU]]/Mecze[[#This Row],[CZAS]])</f>
        <v>0.15306122448979592</v>
      </c>
      <c r="O1625" s="32">
        <f>IF(Mecze[[#This Row],[PC]]=0,0,Mecze[[#This Row],[PC]]/Mecze[[#This Row],[CZAS]])</f>
        <v>7.1428571428571425E-2</v>
      </c>
      <c r="P1625" s="32">
        <f>IF(Mecze[[#This Row],[SC]]=0,0,Mecze[[#This Row],[SC]]/Mecze[[#This Row],[CZAS]])</f>
        <v>0</v>
      </c>
      <c r="Q1625" s="32">
        <f>IF(Mecze[[#This Row],[OB]]=0,0,Mecze[[#This Row],[OB]]/Mecze[[#This Row],[CZAS]])</f>
        <v>0</v>
      </c>
      <c r="R1625" s="32">
        <f>IF(Mecze[[#This Row],[BR]]=0,0,Mecze[[#This Row],[BR]]/Mecze[[#This Row],[CZAS]])</f>
        <v>0</v>
      </c>
      <c r="S1625" s="44">
        <f>IF(Mecze[[#This Row],[Role]]="BR",SUMPRODUCT(Mecze[[#This Row],[/PR:90]:[/BR:90]],Brudnopis!$E$23:$J$23),0)</f>
        <v>0</v>
      </c>
      <c r="T1625" s="44">
        <f>IF(Mecze[[#This Row],[Role]]&lt;&gt;"BR",SUMPRODUCT(Mecze[[#This Row],[/PR:90]:[/BR:90]],Brudnopis!$E$24:$J$24),0)</f>
        <v>0.38265306122448983</v>
      </c>
      <c r="U1625" s="44">
        <f>IF(Mecze[[#This Row],[Role]]&lt;&gt;"BR",SUMPRODUCT(Mecze[[#This Row],[/PR:90]:[/BR:90]],Brudnopis!$E$25:$J$25),0)</f>
        <v>0.34183673469387754</v>
      </c>
      <c r="V1625" s="44">
        <f>IF(Mecze[[#This Row],[Role]]&lt;&gt;"BR",SUMPRODUCT(Mecze[[#This Row],[/PR:90]:[/BR:90]],Brudnopis!$E$26:$J$26),0)</f>
        <v>0.30612244897959184</v>
      </c>
      <c r="W1625" s="44">
        <f>IF(Mecze[[#This Row],[Role]]&lt;&gt;"BR",SUMPRODUCT(Mecze[[#This Row],[/PR:90]:[/BR:90]],Brudnopis!$E$27:$J$27),0)</f>
        <v>0.28316326530612246</v>
      </c>
      <c r="X1625" s="44">
        <f>IF(Mecze[[#This Row],[Role]]&lt;&gt;"BR",SUMPRODUCT(Mecze[[#This Row],[/PR:90]:[/BR:90]],Brudnopis!$E$28:$J$28),0)</f>
        <v>7.1428571428571425E-2</v>
      </c>
      <c r="Y1625" s="35">
        <f>IF(Mecze[[#This Row],[Role]]="BR",Mecze[[#This Row],[/OB:90]]+Mecze[[#This Row],[/PC:90]],SUM(Mecze[[#This Row],[/PR:90]:[/BR:90]]))</f>
        <v>0.30612244897959184</v>
      </c>
      <c r="Z1625" s="35">
        <f>IF(Mecze[[#This Row],[KC]]=0,SUM(Mecze[[#This Row],[/BRI]:[/NPI]]),SUM(Mecze[[#This Row],[/BRI]:[/NPI]])*0.6)</f>
        <v>1.3852040816326532</v>
      </c>
      <c r="AA1625" s="10">
        <f>IFERROR(Mecze[[#This Row],[BR]]/Mecze[[#This Row],[ST]],0)</f>
        <v>0</v>
      </c>
      <c r="AB1625">
        <f>ROUND(Mecze[[#This Row],[PD]]*Mecze[[#This Row],[%PC]],0)</f>
        <v>7</v>
      </c>
      <c r="AC1625">
        <f>ROUND(Mecze[[#This Row],[OD]]*Mecze[[#This Row],[%OU]],0)</f>
        <v>15</v>
      </c>
      <c r="AD1625" s="36" t="s">
        <v>168</v>
      </c>
      <c r="AE1625" s="36">
        <v>88</v>
      </c>
      <c r="AF1625" s="71">
        <v>2.16</v>
      </c>
      <c r="AG1625" s="37">
        <v>1</v>
      </c>
      <c r="AH1625" s="37">
        <v>0</v>
      </c>
      <c r="AI1625" s="37">
        <v>98</v>
      </c>
      <c r="AJ1625" s="37">
        <v>8</v>
      </c>
      <c r="AK1625" s="37" t="str">
        <f>VLOOKUP(Mecze[[#This Row],[Match ID]],Meczusie[Mecz]:Meczusie[RodzajMeczu],2,FALSE)</f>
        <v>Liga</v>
      </c>
    </row>
    <row r="1626" spans="1:37" x14ac:dyDescent="0.25">
      <c r="A1626" s="76">
        <v>6</v>
      </c>
      <c r="B1626" s="3" t="s">
        <v>308</v>
      </c>
      <c r="C1626" s="2" t="s">
        <v>160</v>
      </c>
      <c r="D1626" s="1">
        <v>0</v>
      </c>
      <c r="E1626" s="1">
        <v>0</v>
      </c>
      <c r="F1626" s="1">
        <v>0</v>
      </c>
      <c r="G1626" s="1">
        <v>9</v>
      </c>
      <c r="H1626" s="4">
        <v>0.67</v>
      </c>
      <c r="I1626" s="1">
        <v>2</v>
      </c>
      <c r="J1626" s="4">
        <v>1</v>
      </c>
      <c r="K1626" s="1">
        <v>0</v>
      </c>
      <c r="L1626" s="1">
        <v>3</v>
      </c>
      <c r="M1626" s="32">
        <f>IF(Mecze[[#This Row],[PR]]=0,0,Mecze[[#This Row],[PR]]/Mecze[[#This Row],[CZAS]])</f>
        <v>4.0540540540540543E-2</v>
      </c>
      <c r="N1626" s="32">
        <f>IF(Mecze[[#This Row],[OU]]=0,0,Mecze[[#This Row],[OU]]/Mecze[[#This Row],[CZAS]])</f>
        <v>2.7027027027027029E-2</v>
      </c>
      <c r="O1626" s="32">
        <f>IF(Mecze[[#This Row],[PC]]=0,0,Mecze[[#This Row],[PC]]/Mecze[[#This Row],[CZAS]])</f>
        <v>8.1081081081081086E-2</v>
      </c>
      <c r="P1626" s="32">
        <f>IF(Mecze[[#This Row],[SC]]=0,0,Mecze[[#This Row],[SC]]/Mecze[[#This Row],[CZAS]])</f>
        <v>0</v>
      </c>
      <c r="Q1626" s="32">
        <f>IF(Mecze[[#This Row],[OB]]=0,0,Mecze[[#This Row],[OB]]/Mecze[[#This Row],[CZAS]])</f>
        <v>0</v>
      </c>
      <c r="R1626" s="32">
        <f>IF(Mecze[[#This Row],[BR]]=0,0,Mecze[[#This Row],[BR]]/Mecze[[#This Row],[CZAS]])</f>
        <v>0</v>
      </c>
      <c r="S1626" s="44">
        <f>IF(Mecze[[#This Row],[Role]]="BR",SUMPRODUCT(Mecze[[#This Row],[/PR:90]:[/BR:90]],Brudnopis!$E$23:$J$23),0)</f>
        <v>0</v>
      </c>
      <c r="T1626" s="44">
        <f>IF(Mecze[[#This Row],[Role]]&lt;&gt;"BR",SUMPRODUCT(Mecze[[#This Row],[/PR:90]:[/BR:90]],Brudnopis!$E$24:$J$24),0)</f>
        <v>0.16216216216216217</v>
      </c>
      <c r="U1626" s="44">
        <f>IF(Mecze[[#This Row],[Role]]&lt;&gt;"BR",SUMPRODUCT(Mecze[[#This Row],[/PR:90]:[/BR:90]],Brudnopis!$E$25:$J$25),0)</f>
        <v>0.1891891891891892</v>
      </c>
      <c r="V1626" s="44">
        <f>IF(Mecze[[#This Row],[Role]]&lt;&gt;"BR",SUMPRODUCT(Mecze[[#This Row],[/PR:90]:[/BR:90]],Brudnopis!$E$26:$J$26),0)</f>
        <v>0.14864864864864866</v>
      </c>
      <c r="W1626" s="44">
        <f>IF(Mecze[[#This Row],[Role]]&lt;&gt;"BR",SUMPRODUCT(Mecze[[#This Row],[/PR:90]:[/BR:90]],Brudnopis!$E$27:$J$27),0)</f>
        <v>0.17229729729729731</v>
      </c>
      <c r="X1626" s="44">
        <f>IF(Mecze[[#This Row],[Role]]&lt;&gt;"BR",SUMPRODUCT(Mecze[[#This Row],[/PR:90]:[/BR:90]],Brudnopis!$E$28:$J$28),0)</f>
        <v>8.1081081081081086E-2</v>
      </c>
      <c r="Y1626" s="35">
        <f>IF(Mecze[[#This Row],[Role]]="BR",Mecze[[#This Row],[/OB:90]]+Mecze[[#This Row],[/PC:90]],SUM(Mecze[[#This Row],[/PR:90]:[/BR:90]]))</f>
        <v>0.14864864864864866</v>
      </c>
      <c r="Z1626" s="35">
        <f>IF(Mecze[[#This Row],[KC]]=0,SUM(Mecze[[#This Row],[/BRI]:[/NPI]]),SUM(Mecze[[#This Row],[/BRI]:[/NPI]])*0.6)</f>
        <v>0.75337837837837851</v>
      </c>
      <c r="AA1626" s="10">
        <f>IFERROR(Mecze[[#This Row],[BR]]/Mecze[[#This Row],[ST]],0)</f>
        <v>0</v>
      </c>
      <c r="AB1626">
        <f>ROUND(Mecze[[#This Row],[PD]]*Mecze[[#This Row],[%PC]],0)</f>
        <v>6</v>
      </c>
      <c r="AC1626">
        <f>ROUND(Mecze[[#This Row],[OD]]*Mecze[[#This Row],[%OU]],0)</f>
        <v>2</v>
      </c>
      <c r="AD1626" s="36" t="s">
        <v>41</v>
      </c>
      <c r="AE1626" s="36">
        <v>88</v>
      </c>
      <c r="AF1626" s="71">
        <v>4.54</v>
      </c>
      <c r="AG1626" s="37">
        <v>0</v>
      </c>
      <c r="AH1626" s="37">
        <v>0</v>
      </c>
      <c r="AI1626" s="37">
        <v>74</v>
      </c>
      <c r="AJ1626" s="37">
        <v>8</v>
      </c>
      <c r="AK1626" s="37" t="str">
        <f>VLOOKUP(Mecze[[#This Row],[Match ID]],Meczusie[Mecz]:Meczusie[RodzajMeczu],2,FALSE)</f>
        <v>Liga</v>
      </c>
    </row>
    <row r="1627" spans="1:37" x14ac:dyDescent="0.25">
      <c r="A1627" s="76">
        <v>7</v>
      </c>
      <c r="B1627" s="3" t="s">
        <v>311</v>
      </c>
      <c r="C1627" s="2" t="s">
        <v>160</v>
      </c>
      <c r="D1627" s="1">
        <v>0</v>
      </c>
      <c r="E1627" s="1">
        <v>1</v>
      </c>
      <c r="F1627" s="1">
        <v>1</v>
      </c>
      <c r="G1627" s="1">
        <v>11</v>
      </c>
      <c r="H1627" s="4">
        <v>0.55000000000000004</v>
      </c>
      <c r="I1627" s="1">
        <v>1</v>
      </c>
      <c r="J1627" s="4">
        <v>1</v>
      </c>
      <c r="K1627" s="1">
        <v>0</v>
      </c>
      <c r="L1627" s="1">
        <v>0</v>
      </c>
      <c r="M1627" s="32">
        <f>IF(Mecze[[#This Row],[PR]]=0,0,Mecze[[#This Row],[PR]]/Mecze[[#This Row],[CZAS]])</f>
        <v>0</v>
      </c>
      <c r="N1627" s="32">
        <f>IF(Mecze[[#This Row],[OU]]=0,0,Mecze[[#This Row],[OU]]/Mecze[[#This Row],[CZAS]])</f>
        <v>1.020408163265306E-2</v>
      </c>
      <c r="O1627" s="32">
        <f>IF(Mecze[[#This Row],[PC]]=0,0,Mecze[[#This Row],[PC]]/Mecze[[#This Row],[CZAS]])</f>
        <v>6.1224489795918366E-2</v>
      </c>
      <c r="P1627" s="32">
        <f>IF(Mecze[[#This Row],[SC]]=0,0,Mecze[[#This Row],[SC]]/Mecze[[#This Row],[CZAS]])</f>
        <v>1.020408163265306E-2</v>
      </c>
      <c r="Q1627" s="32">
        <f>IF(Mecze[[#This Row],[OB]]=0,0,Mecze[[#This Row],[OB]]/Mecze[[#This Row],[CZAS]])</f>
        <v>0</v>
      </c>
      <c r="R1627" s="32">
        <f>IF(Mecze[[#This Row],[BR]]=0,0,Mecze[[#This Row],[BR]]/Mecze[[#This Row],[CZAS]])</f>
        <v>0</v>
      </c>
      <c r="S1627" s="44">
        <f>IF(Mecze[[#This Row],[Role]]="BR",SUMPRODUCT(Mecze[[#This Row],[/PR:90]:[/BR:90]],Brudnopis!$E$23:$J$23),0)</f>
        <v>0</v>
      </c>
      <c r="T1627" s="44">
        <f>IF(Mecze[[#This Row],[Role]]&lt;&gt;"BR",SUMPRODUCT(Mecze[[#This Row],[/PR:90]:[/BR:90]],Brudnopis!$E$24:$J$24),0)</f>
        <v>8.673469387755102E-2</v>
      </c>
      <c r="U1627" s="44">
        <f>IF(Mecze[[#This Row],[Role]]&lt;&gt;"BR",SUMPRODUCT(Mecze[[#This Row],[/PR:90]:[/BR:90]],Brudnopis!$E$25:$J$25),0)</f>
        <v>0.11224489795918366</v>
      </c>
      <c r="V1627" s="44">
        <f>IF(Mecze[[#This Row],[Role]]&lt;&gt;"BR",SUMPRODUCT(Mecze[[#This Row],[/PR:90]:[/BR:90]],Brudnopis!$E$26:$J$26),0)</f>
        <v>8.1632653061224483E-2</v>
      </c>
      <c r="W1627" s="44">
        <f>IF(Mecze[[#This Row],[Role]]&lt;&gt;"BR",SUMPRODUCT(Mecze[[#This Row],[/PR:90]:[/BR:90]],Brudnopis!$E$27:$J$27),0)</f>
        <v>0.10969387755102039</v>
      </c>
      <c r="X1627" s="44">
        <f>IF(Mecze[[#This Row],[Role]]&lt;&gt;"BR",SUMPRODUCT(Mecze[[#This Row],[/PR:90]:[/BR:90]],Brudnopis!$E$28:$J$28),0)</f>
        <v>8.1632653061224483E-2</v>
      </c>
      <c r="Y1627" s="35">
        <f>IF(Mecze[[#This Row],[Role]]="BR",Mecze[[#This Row],[/OB:90]]+Mecze[[#This Row],[/PC:90]],SUM(Mecze[[#This Row],[/PR:90]:[/BR:90]]))</f>
        <v>8.1632653061224483E-2</v>
      </c>
      <c r="Z1627" s="35">
        <f>IF(Mecze[[#This Row],[KC]]=0,SUM(Mecze[[#This Row],[/BRI]:[/NPI]]),SUM(Mecze[[#This Row],[/BRI]:[/NPI]])*0.6)</f>
        <v>0.47193877551020402</v>
      </c>
      <c r="AA1627" s="10">
        <f>IFERROR(Mecze[[#This Row],[BR]]/Mecze[[#This Row],[ST]],0)</f>
        <v>0</v>
      </c>
      <c r="AB1627">
        <f>ROUND(Mecze[[#This Row],[PD]]*Mecze[[#This Row],[%PC]],0)</f>
        <v>6</v>
      </c>
      <c r="AC1627">
        <f>ROUND(Mecze[[#This Row],[OD]]*Mecze[[#This Row],[%OU]],0)</f>
        <v>1</v>
      </c>
      <c r="AD1627" s="36" t="s">
        <v>172</v>
      </c>
      <c r="AE1627" s="36">
        <v>88</v>
      </c>
      <c r="AF1627" s="71">
        <v>4.1399999999999997</v>
      </c>
      <c r="AG1627" s="37">
        <v>0</v>
      </c>
      <c r="AH1627" s="37">
        <v>0</v>
      </c>
      <c r="AI1627" s="37">
        <v>98</v>
      </c>
      <c r="AJ1627" s="37">
        <v>8</v>
      </c>
      <c r="AK1627" s="37" t="str">
        <f>VLOOKUP(Mecze[[#This Row],[Match ID]],Meczusie[Mecz]:Meczusie[RodzajMeczu],2,FALSE)</f>
        <v>Liga</v>
      </c>
    </row>
    <row r="1628" spans="1:37" x14ac:dyDescent="0.25">
      <c r="A1628" s="76">
        <v>73</v>
      </c>
      <c r="B1628" s="3" t="s">
        <v>431</v>
      </c>
      <c r="C1628" s="2" t="s">
        <v>160</v>
      </c>
      <c r="D1628" s="1">
        <v>0</v>
      </c>
      <c r="E1628" s="1">
        <v>0</v>
      </c>
      <c r="F1628" s="1">
        <v>0</v>
      </c>
      <c r="G1628" s="1">
        <v>18</v>
      </c>
      <c r="H1628" s="4">
        <v>0.5</v>
      </c>
      <c r="I1628" s="1">
        <v>9</v>
      </c>
      <c r="J1628" s="4">
        <v>0.44</v>
      </c>
      <c r="K1628" s="1">
        <v>0</v>
      </c>
      <c r="L1628" s="1">
        <v>4</v>
      </c>
      <c r="M1628" s="32">
        <f>IF(Mecze[[#This Row],[PR]]=0,0,Mecze[[#This Row],[PR]]/Mecze[[#This Row],[CZAS]])</f>
        <v>4.0816326530612242E-2</v>
      </c>
      <c r="N1628" s="32">
        <f>IF(Mecze[[#This Row],[OU]]=0,0,Mecze[[#This Row],[OU]]/Mecze[[#This Row],[CZAS]])</f>
        <v>4.0816326530612242E-2</v>
      </c>
      <c r="O1628" s="32">
        <f>IF(Mecze[[#This Row],[PC]]=0,0,Mecze[[#This Row],[PC]]/Mecze[[#This Row],[CZAS]])</f>
        <v>9.1836734693877556E-2</v>
      </c>
      <c r="P1628" s="32">
        <f>IF(Mecze[[#This Row],[SC]]=0,0,Mecze[[#This Row],[SC]]/Mecze[[#This Row],[CZAS]])</f>
        <v>0</v>
      </c>
      <c r="Q1628" s="32">
        <f>IF(Mecze[[#This Row],[OB]]=0,0,Mecze[[#This Row],[OB]]/Mecze[[#This Row],[CZAS]])</f>
        <v>0</v>
      </c>
      <c r="R1628" s="32">
        <f>IF(Mecze[[#This Row],[BR]]=0,0,Mecze[[#This Row],[BR]]/Mecze[[#This Row],[CZAS]])</f>
        <v>0</v>
      </c>
      <c r="S1628" s="44">
        <f>IF(Mecze[[#This Row],[Role]]="BR",SUMPRODUCT(Mecze[[#This Row],[/PR:90]:[/BR:90]],Brudnopis!$E$23:$J$23),0)</f>
        <v>0</v>
      </c>
      <c r="T1628" s="44">
        <f>IF(Mecze[[#This Row],[Role]]&lt;&gt;"BR",SUMPRODUCT(Mecze[[#This Row],[/PR:90]:[/BR:90]],Brudnopis!$E$24:$J$24),0)</f>
        <v>0.19387755102040816</v>
      </c>
      <c r="U1628" s="44">
        <f>IF(Mecze[[#This Row],[Role]]&lt;&gt;"BR",SUMPRODUCT(Mecze[[#This Row],[/PR:90]:[/BR:90]],Brudnopis!$E$25:$J$25),0)</f>
        <v>0.21938775510204084</v>
      </c>
      <c r="V1628" s="44">
        <f>IF(Mecze[[#This Row],[Role]]&lt;&gt;"BR",SUMPRODUCT(Mecze[[#This Row],[/PR:90]:[/BR:90]],Brudnopis!$E$26:$J$26),0)</f>
        <v>0.17346938775510204</v>
      </c>
      <c r="W1628" s="44">
        <f>IF(Mecze[[#This Row],[Role]]&lt;&gt;"BR",SUMPRODUCT(Mecze[[#This Row],[/PR:90]:[/BR:90]],Brudnopis!$E$27:$J$27),0)</f>
        <v>0.19897959183673469</v>
      </c>
      <c r="X1628" s="44">
        <f>IF(Mecze[[#This Row],[Role]]&lt;&gt;"BR",SUMPRODUCT(Mecze[[#This Row],[/PR:90]:[/BR:90]],Brudnopis!$E$28:$J$28),0)</f>
        <v>9.1836734693877556E-2</v>
      </c>
      <c r="Y1628" s="35">
        <f>IF(Mecze[[#This Row],[Role]]="BR",Mecze[[#This Row],[/OB:90]]+Mecze[[#This Row],[/PC:90]],SUM(Mecze[[#This Row],[/PR:90]:[/BR:90]]))</f>
        <v>0.17346938775510204</v>
      </c>
      <c r="Z1628" s="35">
        <f>IF(Mecze[[#This Row],[KC]]=0,SUM(Mecze[[#This Row],[/BRI]:[/NPI]]),SUM(Mecze[[#This Row],[/BRI]:[/NPI]])*0.6)</f>
        <v>0.87755102040816335</v>
      </c>
      <c r="AA1628" s="10">
        <f>IFERROR(Mecze[[#This Row],[BR]]/Mecze[[#This Row],[ST]],0)</f>
        <v>0</v>
      </c>
      <c r="AB1628">
        <f>ROUND(Mecze[[#This Row],[PD]]*Mecze[[#This Row],[%PC]],0)</f>
        <v>9</v>
      </c>
      <c r="AC1628">
        <f>ROUND(Mecze[[#This Row],[OD]]*Mecze[[#This Row],[%OU]],0)</f>
        <v>4</v>
      </c>
      <c r="AD1628" s="36" t="s">
        <v>173</v>
      </c>
      <c r="AE1628" s="36">
        <v>88</v>
      </c>
      <c r="AF1628" s="71">
        <v>4.75</v>
      </c>
      <c r="AG1628" s="37">
        <v>0</v>
      </c>
      <c r="AH1628" s="37">
        <v>0</v>
      </c>
      <c r="AI1628" s="37">
        <v>98</v>
      </c>
      <c r="AJ1628" s="37">
        <v>8</v>
      </c>
      <c r="AK1628" s="37" t="str">
        <f>VLOOKUP(Mecze[[#This Row],[Match ID]],Meczusie[Mecz]:Meczusie[RodzajMeczu],2,FALSE)</f>
        <v>Liga</v>
      </c>
    </row>
    <row r="1629" spans="1:37" x14ac:dyDescent="0.25">
      <c r="A1629" s="76">
        <v>14</v>
      </c>
      <c r="B1629" s="3" t="s">
        <v>312</v>
      </c>
      <c r="C1629" s="2" t="s">
        <v>160</v>
      </c>
      <c r="D1629" s="1">
        <v>1</v>
      </c>
      <c r="E1629" s="1">
        <v>3</v>
      </c>
      <c r="F1629" s="1">
        <v>3</v>
      </c>
      <c r="G1629" s="1">
        <v>6</v>
      </c>
      <c r="H1629" s="4">
        <v>0.5</v>
      </c>
      <c r="I1629" s="1">
        <v>3</v>
      </c>
      <c r="J1629" s="4">
        <v>0</v>
      </c>
      <c r="K1629" s="1">
        <v>0</v>
      </c>
      <c r="L1629" s="1">
        <v>0</v>
      </c>
      <c r="M1629" s="32">
        <f>IF(Mecze[[#This Row],[PR]]=0,0,Mecze[[#This Row],[PR]]/Mecze[[#This Row],[CZAS]])</f>
        <v>0</v>
      </c>
      <c r="N1629" s="32">
        <f>IF(Mecze[[#This Row],[OU]]=0,0,Mecze[[#This Row],[OU]]/Mecze[[#This Row],[CZAS]])</f>
        <v>0</v>
      </c>
      <c r="O1629" s="32">
        <f>IF(Mecze[[#This Row],[PC]]=0,0,Mecze[[#This Row],[PC]]/Mecze[[#This Row],[CZAS]])</f>
        <v>3.896103896103896E-2</v>
      </c>
      <c r="P1629" s="32">
        <f>IF(Mecze[[#This Row],[SC]]=0,0,Mecze[[#This Row],[SC]]/Mecze[[#This Row],[CZAS]])</f>
        <v>3.896103896103896E-2</v>
      </c>
      <c r="Q1629" s="32">
        <f>IF(Mecze[[#This Row],[OB]]=0,0,Mecze[[#This Row],[OB]]/Mecze[[#This Row],[CZAS]])</f>
        <v>0</v>
      </c>
      <c r="R1629" s="32">
        <f>IF(Mecze[[#This Row],[BR]]=0,0,Mecze[[#This Row],[BR]]/Mecze[[#This Row],[CZAS]])</f>
        <v>1.2987012987012988E-2</v>
      </c>
      <c r="S1629" s="44">
        <f>IF(Mecze[[#This Row],[Role]]="BR",SUMPRODUCT(Mecze[[#This Row],[/PR:90]:[/BR:90]],Brudnopis!$E$23:$J$23),0)</f>
        <v>0</v>
      </c>
      <c r="T1629" s="44">
        <f>IF(Mecze[[#This Row],[Role]]&lt;&gt;"BR",SUMPRODUCT(Mecze[[#This Row],[/PR:90]:[/BR:90]],Brudnopis!$E$24:$J$24),0)</f>
        <v>9.7402597402597407E-2</v>
      </c>
      <c r="U1629" s="44">
        <f>IF(Mecze[[#This Row],[Role]]&lt;&gt;"BR",SUMPRODUCT(Mecze[[#This Row],[/PR:90]:[/BR:90]],Brudnopis!$E$25:$J$25),0)</f>
        <v>0.11688311688311689</v>
      </c>
      <c r="V1629" s="44">
        <f>IF(Mecze[[#This Row],[Role]]&lt;&gt;"BR",SUMPRODUCT(Mecze[[#This Row],[/PR:90]:[/BR:90]],Brudnopis!$E$26:$J$26),0)</f>
        <v>0.1038961038961039</v>
      </c>
      <c r="W1629" s="44">
        <f>IF(Mecze[[#This Row],[Role]]&lt;&gt;"BR",SUMPRODUCT(Mecze[[#This Row],[/PR:90]:[/BR:90]],Brudnopis!$E$27:$J$27),0)</f>
        <v>0.12337662337662339</v>
      </c>
      <c r="X1629" s="44">
        <f>IF(Mecze[[#This Row],[Role]]&lt;&gt;"BR",SUMPRODUCT(Mecze[[#This Row],[/PR:90]:[/BR:90]],Brudnopis!$E$28:$J$28),0)</f>
        <v>0.15584415584415584</v>
      </c>
      <c r="Y1629" s="35">
        <f>IF(Mecze[[#This Row],[Role]]="BR",Mecze[[#This Row],[/OB:90]]+Mecze[[#This Row],[/PC:90]],SUM(Mecze[[#This Row],[/PR:90]:[/BR:90]]))</f>
        <v>9.0909090909090912E-2</v>
      </c>
      <c r="Z1629" s="35">
        <f>IF(Mecze[[#This Row],[KC]]=0,SUM(Mecze[[#This Row],[/BRI]:[/NPI]]),SUM(Mecze[[#This Row],[/BRI]:[/NPI]])*0.6)</f>
        <v>0.59740259740259738</v>
      </c>
      <c r="AA1629" s="10">
        <f>IFERROR(Mecze[[#This Row],[BR]]/Mecze[[#This Row],[ST]],0)</f>
        <v>0.33333333333333331</v>
      </c>
      <c r="AB1629">
        <f>ROUND(Mecze[[#This Row],[PD]]*Mecze[[#This Row],[%PC]],0)</f>
        <v>3</v>
      </c>
      <c r="AC1629">
        <f>ROUND(Mecze[[#This Row],[OD]]*Mecze[[#This Row],[%OU]],0)</f>
        <v>0</v>
      </c>
      <c r="AD1629" s="36" t="s">
        <v>44</v>
      </c>
      <c r="AE1629" s="36">
        <v>88</v>
      </c>
      <c r="AF1629" s="71">
        <v>6.71</v>
      </c>
      <c r="AG1629" s="37">
        <v>0</v>
      </c>
      <c r="AH1629" s="37">
        <v>0</v>
      </c>
      <c r="AI1629" s="37">
        <v>77</v>
      </c>
      <c r="AJ1629" s="37">
        <v>8</v>
      </c>
      <c r="AK1629" s="37" t="str">
        <f>VLOOKUP(Mecze[[#This Row],[Match ID]],Meczusie[Mecz]:Meczusie[RodzajMeczu],2,FALSE)</f>
        <v>Liga</v>
      </c>
    </row>
    <row r="1630" spans="1:37" x14ac:dyDescent="0.25">
      <c r="A1630" s="76">
        <v>13</v>
      </c>
      <c r="B1630" s="3" t="s">
        <v>313</v>
      </c>
      <c r="C1630" s="2" t="s">
        <v>165</v>
      </c>
      <c r="D1630" s="1">
        <v>0</v>
      </c>
      <c r="E1630" s="1">
        <v>0</v>
      </c>
      <c r="F1630" s="1">
        <v>0</v>
      </c>
      <c r="G1630" s="1">
        <v>7</v>
      </c>
      <c r="H1630" s="4">
        <v>1</v>
      </c>
      <c r="I1630" s="1">
        <v>2</v>
      </c>
      <c r="J1630" s="4">
        <v>0.5</v>
      </c>
      <c r="K1630" s="1">
        <v>0</v>
      </c>
      <c r="L1630" s="1">
        <v>0</v>
      </c>
      <c r="M1630" s="32">
        <f>IF(Mecze[[#This Row],[PR]]=0,0,Mecze[[#This Row],[PR]]/Mecze[[#This Row],[CZAS]])</f>
        <v>0</v>
      </c>
      <c r="N1630" s="32">
        <f>IF(Mecze[[#This Row],[OU]]=0,0,Mecze[[#This Row],[OU]]/Mecze[[#This Row],[CZAS]])</f>
        <v>1.282051282051282E-2</v>
      </c>
      <c r="O1630" s="32">
        <f>IF(Mecze[[#This Row],[PC]]=0,0,Mecze[[#This Row],[PC]]/Mecze[[#This Row],[CZAS]])</f>
        <v>8.9743589743589744E-2</v>
      </c>
      <c r="P1630" s="32">
        <f>IF(Mecze[[#This Row],[SC]]=0,0,Mecze[[#This Row],[SC]]/Mecze[[#This Row],[CZAS]])</f>
        <v>0</v>
      </c>
      <c r="Q1630" s="32">
        <f>IF(Mecze[[#This Row],[OB]]=0,0,Mecze[[#This Row],[OB]]/Mecze[[#This Row],[CZAS]])</f>
        <v>0</v>
      </c>
      <c r="R1630" s="32">
        <f>IF(Mecze[[#This Row],[BR]]=0,0,Mecze[[#This Row],[BR]]/Mecze[[#This Row],[CZAS]])</f>
        <v>0</v>
      </c>
      <c r="S1630" s="44">
        <f>IF(Mecze[[#This Row],[Role]]="BR",SUMPRODUCT(Mecze[[#This Row],[/PR:90]:[/BR:90]],Brudnopis!$E$23:$J$23),0)</f>
        <v>0</v>
      </c>
      <c r="T1630" s="44">
        <f>IF(Mecze[[#This Row],[Role]]&lt;&gt;"BR",SUMPRODUCT(Mecze[[#This Row],[/PR:90]:[/BR:90]],Brudnopis!$E$24:$J$24),0)</f>
        <v>0.10897435897435898</v>
      </c>
      <c r="U1630" s="44">
        <f>IF(Mecze[[#This Row],[Role]]&lt;&gt;"BR",SUMPRODUCT(Mecze[[#This Row],[/PR:90]:[/BR:90]],Brudnopis!$E$25:$J$25),0)</f>
        <v>0.14743589743589744</v>
      </c>
      <c r="V1630" s="44">
        <f>IF(Mecze[[#This Row],[Role]]&lt;&gt;"BR",SUMPRODUCT(Mecze[[#This Row],[/PR:90]:[/BR:90]],Brudnopis!$E$26:$J$26),0)</f>
        <v>0.10256410256410256</v>
      </c>
      <c r="W1630" s="44">
        <f>IF(Mecze[[#This Row],[Role]]&lt;&gt;"BR",SUMPRODUCT(Mecze[[#This Row],[/PR:90]:[/BR:90]],Brudnopis!$E$27:$J$27),0)</f>
        <v>0.14423076923076922</v>
      </c>
      <c r="X1630" s="44">
        <f>IF(Mecze[[#This Row],[Role]]&lt;&gt;"BR",SUMPRODUCT(Mecze[[#This Row],[/PR:90]:[/BR:90]],Brudnopis!$E$28:$J$28),0)</f>
        <v>8.9743589743589744E-2</v>
      </c>
      <c r="Y1630" s="35">
        <f>IF(Mecze[[#This Row],[Role]]="BR",Mecze[[#This Row],[/OB:90]]+Mecze[[#This Row],[/PC:90]],SUM(Mecze[[#This Row],[/PR:90]:[/BR:90]]))</f>
        <v>0.10256410256410256</v>
      </c>
      <c r="Z1630" s="35">
        <f>IF(Mecze[[#This Row],[KC]]=0,SUM(Mecze[[#This Row],[/BRI]:[/NPI]]),SUM(Mecze[[#This Row],[/BRI]:[/NPI]])*0.6)</f>
        <v>0.59294871794871795</v>
      </c>
      <c r="AA1630" s="10">
        <f>IFERROR(Mecze[[#This Row],[BR]]/Mecze[[#This Row],[ST]],0)</f>
        <v>0</v>
      </c>
      <c r="AB1630">
        <f>ROUND(Mecze[[#This Row],[PD]]*Mecze[[#This Row],[%PC]],0)</f>
        <v>7</v>
      </c>
      <c r="AC1630">
        <f>ROUND(Mecze[[#This Row],[OD]]*Mecze[[#This Row],[%OU]],0)</f>
        <v>1</v>
      </c>
      <c r="AD1630" s="36" t="s">
        <v>272</v>
      </c>
      <c r="AE1630" s="36">
        <v>88</v>
      </c>
      <c r="AF1630" s="71">
        <v>5.85</v>
      </c>
      <c r="AG1630" s="37">
        <v>0</v>
      </c>
      <c r="AH1630" s="37">
        <v>0</v>
      </c>
      <c r="AI1630" s="37">
        <v>78</v>
      </c>
      <c r="AJ1630" s="37">
        <v>8</v>
      </c>
      <c r="AK1630" s="37" t="str">
        <f>VLOOKUP(Mecze[[#This Row],[Match ID]],Meczusie[Mecz]:Meczusie[RodzajMeczu],2,FALSE)</f>
        <v>Liga</v>
      </c>
    </row>
    <row r="1631" spans="1:37" x14ac:dyDescent="0.25">
      <c r="A1631" s="76">
        <v>74</v>
      </c>
      <c r="B1631" s="3" t="s">
        <v>442</v>
      </c>
      <c r="C1631" s="2" t="s">
        <v>165</v>
      </c>
      <c r="D1631" s="1">
        <v>0</v>
      </c>
      <c r="E1631" s="1">
        <v>0</v>
      </c>
      <c r="F1631" s="1">
        <v>0</v>
      </c>
      <c r="G1631" s="1">
        <v>11</v>
      </c>
      <c r="H1631" s="4">
        <v>0.64</v>
      </c>
      <c r="I1631" s="1">
        <v>1</v>
      </c>
      <c r="J1631" s="4">
        <v>0</v>
      </c>
      <c r="K1631" s="1">
        <v>0</v>
      </c>
      <c r="L1631" s="1">
        <v>0</v>
      </c>
      <c r="M1631" s="32">
        <f>IF(Mecze[[#This Row],[PR]]=0,0,Mecze[[#This Row],[PR]]/Mecze[[#This Row],[CZAS]])</f>
        <v>0</v>
      </c>
      <c r="N1631" s="32">
        <f>IF(Mecze[[#This Row],[OU]]=0,0,Mecze[[#This Row],[OU]]/Mecze[[#This Row],[CZAS]])</f>
        <v>0</v>
      </c>
      <c r="O1631" s="32">
        <f>IF(Mecze[[#This Row],[PC]]=0,0,Mecze[[#This Row],[PC]]/Mecze[[#This Row],[CZAS]])</f>
        <v>7.1428571428571425E-2</v>
      </c>
      <c r="P1631" s="32">
        <f>IF(Mecze[[#This Row],[SC]]=0,0,Mecze[[#This Row],[SC]]/Mecze[[#This Row],[CZAS]])</f>
        <v>0</v>
      </c>
      <c r="Q1631" s="32">
        <f>IF(Mecze[[#This Row],[OB]]=0,0,Mecze[[#This Row],[OB]]/Mecze[[#This Row],[CZAS]])</f>
        <v>0</v>
      </c>
      <c r="R1631" s="32">
        <f>IF(Mecze[[#This Row],[BR]]=0,0,Mecze[[#This Row],[BR]]/Mecze[[#This Row],[CZAS]])</f>
        <v>0</v>
      </c>
      <c r="S1631" s="44">
        <f>IF(Mecze[[#This Row],[Role]]="BR",SUMPRODUCT(Mecze[[#This Row],[/PR:90]:[/BR:90]],Brudnopis!$E$23:$J$23),0)</f>
        <v>0</v>
      </c>
      <c r="T1631" s="44">
        <f>IF(Mecze[[#This Row],[Role]]&lt;&gt;"BR",SUMPRODUCT(Mecze[[#This Row],[/PR:90]:[/BR:90]],Brudnopis!$E$24:$J$24),0)</f>
        <v>7.1428571428571425E-2</v>
      </c>
      <c r="U1631" s="44">
        <f>IF(Mecze[[#This Row],[Role]]&lt;&gt;"BR",SUMPRODUCT(Mecze[[#This Row],[/PR:90]:[/BR:90]],Brudnopis!$E$25:$J$25),0)</f>
        <v>0.10714285714285714</v>
      </c>
      <c r="V1631" s="44">
        <f>IF(Mecze[[#This Row],[Role]]&lt;&gt;"BR",SUMPRODUCT(Mecze[[#This Row],[/PR:90]:[/BR:90]],Brudnopis!$E$26:$J$26),0)</f>
        <v>7.1428571428571425E-2</v>
      </c>
      <c r="W1631" s="44">
        <f>IF(Mecze[[#This Row],[Role]]&lt;&gt;"BR",SUMPRODUCT(Mecze[[#This Row],[/PR:90]:[/BR:90]],Brudnopis!$E$27:$J$27),0)</f>
        <v>0.10714285714285714</v>
      </c>
      <c r="X1631" s="44">
        <f>IF(Mecze[[#This Row],[Role]]&lt;&gt;"BR",SUMPRODUCT(Mecze[[#This Row],[/PR:90]:[/BR:90]],Brudnopis!$E$28:$J$28),0)</f>
        <v>7.1428571428571425E-2</v>
      </c>
      <c r="Y1631" s="35">
        <f>IF(Mecze[[#This Row],[Role]]="BR",Mecze[[#This Row],[/OB:90]]+Mecze[[#This Row],[/PC:90]],SUM(Mecze[[#This Row],[/PR:90]:[/BR:90]]))</f>
        <v>7.1428571428571425E-2</v>
      </c>
      <c r="Z1631" s="35">
        <f>IF(Mecze[[#This Row],[KC]]=0,SUM(Mecze[[#This Row],[/BRI]:[/NPI]]),SUM(Mecze[[#This Row],[/BRI]:[/NPI]])*0.6)</f>
        <v>0.42857142857142849</v>
      </c>
      <c r="AA1631" s="10">
        <f>IFERROR(Mecze[[#This Row],[BR]]/Mecze[[#This Row],[ST]],0)</f>
        <v>0</v>
      </c>
      <c r="AB1631">
        <f>ROUND(Mecze[[#This Row],[PD]]*Mecze[[#This Row],[%PC]],0)</f>
        <v>7</v>
      </c>
      <c r="AC1631">
        <f>ROUND(Mecze[[#This Row],[OD]]*Mecze[[#This Row],[%OU]],0)</f>
        <v>0</v>
      </c>
      <c r="AD1631" s="36" t="s">
        <v>273</v>
      </c>
      <c r="AE1631" s="36">
        <v>88</v>
      </c>
      <c r="AF1631" s="71">
        <v>4.04</v>
      </c>
      <c r="AG1631" s="37">
        <v>0</v>
      </c>
      <c r="AH1631" s="37">
        <v>0</v>
      </c>
      <c r="AI1631" s="37">
        <v>98</v>
      </c>
      <c r="AJ1631" s="37">
        <v>8</v>
      </c>
      <c r="AK1631" s="37" t="str">
        <f>VLOOKUP(Mecze[[#This Row],[Match ID]],Meczusie[Mecz]:Meczusie[RodzajMeczu],2,FALSE)</f>
        <v>Liga</v>
      </c>
    </row>
    <row r="1632" spans="1:37" x14ac:dyDescent="0.25">
      <c r="A1632" s="76">
        <v>8</v>
      </c>
      <c r="B1632" s="3" t="s">
        <v>314</v>
      </c>
      <c r="C1632" s="2" t="s">
        <v>165</v>
      </c>
      <c r="D1632" s="1">
        <v>0</v>
      </c>
      <c r="E1632" s="1">
        <v>1</v>
      </c>
      <c r="F1632" s="1">
        <v>1</v>
      </c>
      <c r="G1632" s="1">
        <v>11</v>
      </c>
      <c r="H1632" s="4">
        <v>0.82</v>
      </c>
      <c r="I1632" s="1">
        <v>0</v>
      </c>
      <c r="J1632" s="4"/>
      <c r="K1632" s="1">
        <v>0</v>
      </c>
      <c r="L1632" s="1">
        <v>0</v>
      </c>
      <c r="M1632" s="32">
        <f>IF(Mecze[[#This Row],[PR]]=0,0,Mecze[[#This Row],[PR]]/Mecze[[#This Row],[CZAS]])</f>
        <v>0</v>
      </c>
      <c r="N1632" s="32">
        <f>IF(Mecze[[#This Row],[OU]]=0,0,Mecze[[#This Row],[OU]]/Mecze[[#This Row],[CZAS]])</f>
        <v>0</v>
      </c>
      <c r="O1632" s="32">
        <f>IF(Mecze[[#This Row],[PC]]=0,0,Mecze[[#This Row],[PC]]/Mecze[[#This Row],[CZAS]])</f>
        <v>9.1836734693877556E-2</v>
      </c>
      <c r="P1632" s="32">
        <f>IF(Mecze[[#This Row],[SC]]=0,0,Mecze[[#This Row],[SC]]/Mecze[[#This Row],[CZAS]])</f>
        <v>1.020408163265306E-2</v>
      </c>
      <c r="Q1632" s="32">
        <f>IF(Mecze[[#This Row],[OB]]=0,0,Mecze[[#This Row],[OB]]/Mecze[[#This Row],[CZAS]])</f>
        <v>0</v>
      </c>
      <c r="R1632" s="32">
        <f>IF(Mecze[[#This Row],[BR]]=0,0,Mecze[[#This Row],[BR]]/Mecze[[#This Row],[CZAS]])</f>
        <v>0</v>
      </c>
      <c r="S1632" s="44">
        <f>IF(Mecze[[#This Row],[Role]]="BR",SUMPRODUCT(Mecze[[#This Row],[/PR:90]:[/BR:90]],Brudnopis!$E$23:$J$23),0)</f>
        <v>0</v>
      </c>
      <c r="T1632" s="44">
        <f>IF(Mecze[[#This Row],[Role]]&lt;&gt;"BR",SUMPRODUCT(Mecze[[#This Row],[/PR:90]:[/BR:90]],Brudnopis!$E$24:$J$24),0)</f>
        <v>0.10204081632653061</v>
      </c>
      <c r="U1632" s="44">
        <f>IF(Mecze[[#This Row],[Role]]&lt;&gt;"BR",SUMPRODUCT(Mecze[[#This Row],[/PR:90]:[/BR:90]],Brudnopis!$E$25:$J$25),0)</f>
        <v>0.14795918367346941</v>
      </c>
      <c r="V1632" s="44">
        <f>IF(Mecze[[#This Row],[Role]]&lt;&gt;"BR",SUMPRODUCT(Mecze[[#This Row],[/PR:90]:[/BR:90]],Brudnopis!$E$26:$J$26),0)</f>
        <v>0.10204081632653061</v>
      </c>
      <c r="W1632" s="44">
        <f>IF(Mecze[[#This Row],[Role]]&lt;&gt;"BR",SUMPRODUCT(Mecze[[#This Row],[/PR:90]:[/BR:90]],Brudnopis!$E$27:$J$27),0)</f>
        <v>0.14795918367346941</v>
      </c>
      <c r="X1632" s="44">
        <f>IF(Mecze[[#This Row],[Role]]&lt;&gt;"BR",SUMPRODUCT(Mecze[[#This Row],[/PR:90]:[/BR:90]],Brudnopis!$E$28:$J$28),0)</f>
        <v>0.11224489795918367</v>
      </c>
      <c r="Y1632" s="35">
        <f>IF(Mecze[[#This Row],[Role]]="BR",Mecze[[#This Row],[/OB:90]]+Mecze[[#This Row],[/PC:90]],SUM(Mecze[[#This Row],[/PR:90]:[/BR:90]]))</f>
        <v>0.10204081632653061</v>
      </c>
      <c r="Z1632" s="35">
        <f>IF(Mecze[[#This Row],[KC]]=0,SUM(Mecze[[#This Row],[/BRI]:[/NPI]]),SUM(Mecze[[#This Row],[/BRI]:[/NPI]])*0.6)</f>
        <v>0.61224489795918369</v>
      </c>
      <c r="AA1632" s="10">
        <f>IFERROR(Mecze[[#This Row],[BR]]/Mecze[[#This Row],[ST]],0)</f>
        <v>0</v>
      </c>
      <c r="AB1632">
        <f>ROUND(Mecze[[#This Row],[PD]]*Mecze[[#This Row],[%PC]],0)</f>
        <v>9</v>
      </c>
      <c r="AC1632">
        <f>ROUND(Mecze[[#This Row],[OD]]*Mecze[[#This Row],[%OU]],0)</f>
        <v>0</v>
      </c>
      <c r="AD1632" s="36" t="s">
        <v>46</v>
      </c>
      <c r="AE1632" s="36">
        <v>88</v>
      </c>
      <c r="AF1632" s="71">
        <v>5.18</v>
      </c>
      <c r="AG1632" s="37">
        <v>0</v>
      </c>
      <c r="AH1632" s="37">
        <v>0</v>
      </c>
      <c r="AI1632" s="37">
        <v>98</v>
      </c>
      <c r="AJ1632" s="37">
        <v>8</v>
      </c>
      <c r="AK1632" s="37" t="str">
        <f>VLOOKUP(Mecze[[#This Row],[Match ID]],Meczusie[Mecz]:Meczusie[RodzajMeczu],2,FALSE)</f>
        <v>Liga</v>
      </c>
    </row>
    <row r="1633" spans="1:37" x14ac:dyDescent="0.25">
      <c r="A1633" s="76">
        <v>17</v>
      </c>
      <c r="B1633" s="3" t="s">
        <v>317</v>
      </c>
      <c r="C1633" s="2" t="s">
        <v>165</v>
      </c>
      <c r="D1633" s="1">
        <v>0</v>
      </c>
      <c r="E1633" s="1">
        <v>0</v>
      </c>
      <c r="F1633" s="1">
        <v>0</v>
      </c>
      <c r="G1633" s="1">
        <v>1</v>
      </c>
      <c r="H1633" s="4">
        <v>1</v>
      </c>
      <c r="I1633" s="1">
        <v>1</v>
      </c>
      <c r="J1633" s="4">
        <v>1</v>
      </c>
      <c r="K1633" s="1">
        <v>0</v>
      </c>
      <c r="L1633" s="1">
        <v>0</v>
      </c>
      <c r="M1633" s="32">
        <f>IF(Mecze[[#This Row],[PR]]=0,0,Mecze[[#This Row],[PR]]/Mecze[[#This Row],[CZAS]])</f>
        <v>0</v>
      </c>
      <c r="N1633" s="32">
        <f>IF(Mecze[[#This Row],[OU]]=0,0,Mecze[[#This Row],[OU]]/Mecze[[#This Row],[CZAS]])</f>
        <v>0.05</v>
      </c>
      <c r="O1633" s="32">
        <f>IF(Mecze[[#This Row],[PC]]=0,0,Mecze[[#This Row],[PC]]/Mecze[[#This Row],[CZAS]])</f>
        <v>0.05</v>
      </c>
      <c r="P1633" s="32">
        <f>IF(Mecze[[#This Row],[SC]]=0,0,Mecze[[#This Row],[SC]]/Mecze[[#This Row],[CZAS]])</f>
        <v>0</v>
      </c>
      <c r="Q1633" s="32">
        <f>IF(Mecze[[#This Row],[OB]]=0,0,Mecze[[#This Row],[OB]]/Mecze[[#This Row],[CZAS]])</f>
        <v>0</v>
      </c>
      <c r="R1633" s="32">
        <f>IF(Mecze[[#This Row],[BR]]=0,0,Mecze[[#This Row],[BR]]/Mecze[[#This Row],[CZAS]])</f>
        <v>0</v>
      </c>
      <c r="S1633" s="44">
        <f>IF(Mecze[[#This Row],[Role]]="BR",SUMPRODUCT(Mecze[[#This Row],[/PR:90]:[/BR:90]],Brudnopis!$E$23:$J$23),0)</f>
        <v>0</v>
      </c>
      <c r="T1633" s="44">
        <f>IF(Mecze[[#This Row],[Role]]&lt;&gt;"BR",SUMPRODUCT(Mecze[[#This Row],[/PR:90]:[/BR:90]],Brudnopis!$E$24:$J$24),0)</f>
        <v>0.125</v>
      </c>
      <c r="U1633" s="44">
        <f>IF(Mecze[[#This Row],[Role]]&lt;&gt;"BR",SUMPRODUCT(Mecze[[#This Row],[/PR:90]:[/BR:90]],Brudnopis!$E$25:$J$25),0)</f>
        <v>0.125</v>
      </c>
      <c r="V1633" s="44">
        <f>IF(Mecze[[#This Row],[Role]]&lt;&gt;"BR",SUMPRODUCT(Mecze[[#This Row],[/PR:90]:[/BR:90]],Brudnopis!$E$26:$J$26),0)</f>
        <v>0.1</v>
      </c>
      <c r="W1633" s="44">
        <f>IF(Mecze[[#This Row],[Role]]&lt;&gt;"BR",SUMPRODUCT(Mecze[[#This Row],[/PR:90]:[/BR:90]],Brudnopis!$E$27:$J$27),0)</f>
        <v>0.11250000000000002</v>
      </c>
      <c r="X1633" s="44">
        <f>IF(Mecze[[#This Row],[Role]]&lt;&gt;"BR",SUMPRODUCT(Mecze[[#This Row],[/PR:90]:[/BR:90]],Brudnopis!$E$28:$J$28),0)</f>
        <v>0.05</v>
      </c>
      <c r="Y1633" s="35">
        <f>IF(Mecze[[#This Row],[Role]]="BR",Mecze[[#This Row],[/OB:90]]+Mecze[[#This Row],[/PC:90]],SUM(Mecze[[#This Row],[/PR:90]:[/BR:90]]))</f>
        <v>0.1</v>
      </c>
      <c r="Z1633" s="35">
        <f>IF(Mecze[[#This Row],[KC]]=0,SUM(Mecze[[#This Row],[/BRI]:[/NPI]]),SUM(Mecze[[#This Row],[/BRI]:[/NPI]])*0.6)</f>
        <v>0.51250000000000007</v>
      </c>
      <c r="AA1633" s="10">
        <f>IFERROR(Mecze[[#This Row],[BR]]/Mecze[[#This Row],[ST]],0)</f>
        <v>0</v>
      </c>
      <c r="AB1633">
        <f>ROUND(Mecze[[#This Row],[PD]]*Mecze[[#This Row],[%PC]],0)</f>
        <v>1</v>
      </c>
      <c r="AC1633">
        <f>ROUND(Mecze[[#This Row],[OD]]*Mecze[[#This Row],[%OU]],0)</f>
        <v>1</v>
      </c>
      <c r="AD1633" s="36" t="s">
        <v>272</v>
      </c>
      <c r="AE1633" s="36">
        <v>88</v>
      </c>
      <c r="AF1633" s="71">
        <v>0.5</v>
      </c>
      <c r="AG1633" s="37">
        <v>0</v>
      </c>
      <c r="AH1633" s="37">
        <v>0</v>
      </c>
      <c r="AI1633" s="37">
        <v>20</v>
      </c>
      <c r="AJ1633" s="37">
        <v>8</v>
      </c>
      <c r="AK1633" s="37" t="str">
        <f>VLOOKUP(Mecze[[#This Row],[Match ID]],Meczusie[Mecz]:Meczusie[RodzajMeczu],2,FALSE)</f>
        <v>Liga</v>
      </c>
    </row>
    <row r="1634" spans="1:37" x14ac:dyDescent="0.25">
      <c r="A1634" s="76">
        <v>71</v>
      </c>
      <c r="B1634" s="3" t="s">
        <v>429</v>
      </c>
      <c r="C1634" s="2" t="s">
        <v>160</v>
      </c>
      <c r="D1634" s="1">
        <v>0</v>
      </c>
      <c r="E1634" s="1">
        <v>0</v>
      </c>
      <c r="F1634" s="1">
        <v>0</v>
      </c>
      <c r="G1634" s="1">
        <v>1</v>
      </c>
      <c r="H1634" s="4">
        <v>1</v>
      </c>
      <c r="I1634" s="1">
        <v>0</v>
      </c>
      <c r="J1634" s="4"/>
      <c r="K1634" s="1">
        <v>0</v>
      </c>
      <c r="L1634" s="1">
        <v>3</v>
      </c>
      <c r="M1634" s="32">
        <f>IF(Mecze[[#This Row],[PR]]=0,0,Mecze[[#This Row],[PR]]/Mecze[[#This Row],[CZAS]])</f>
        <v>0.125</v>
      </c>
      <c r="N1634" s="32">
        <f>IF(Mecze[[#This Row],[OU]]=0,0,Mecze[[#This Row],[OU]]/Mecze[[#This Row],[CZAS]])</f>
        <v>0</v>
      </c>
      <c r="O1634" s="32">
        <f>IF(Mecze[[#This Row],[PC]]=0,0,Mecze[[#This Row],[PC]]/Mecze[[#This Row],[CZAS]])</f>
        <v>4.1666666666666664E-2</v>
      </c>
      <c r="P1634" s="32">
        <f>IF(Mecze[[#This Row],[SC]]=0,0,Mecze[[#This Row],[SC]]/Mecze[[#This Row],[CZAS]])</f>
        <v>0</v>
      </c>
      <c r="Q1634" s="32">
        <f>IF(Mecze[[#This Row],[OB]]=0,0,Mecze[[#This Row],[OB]]/Mecze[[#This Row],[CZAS]])</f>
        <v>0</v>
      </c>
      <c r="R1634" s="32">
        <f>IF(Mecze[[#This Row],[BR]]=0,0,Mecze[[#This Row],[BR]]/Mecze[[#This Row],[CZAS]])</f>
        <v>0</v>
      </c>
      <c r="S1634" s="44">
        <f>IF(Mecze[[#This Row],[Role]]="BR",SUMPRODUCT(Mecze[[#This Row],[/PR:90]:[/BR:90]],Brudnopis!$E$23:$J$23),0)</f>
        <v>0</v>
      </c>
      <c r="T1634" s="44">
        <f>IF(Mecze[[#This Row],[Role]]&lt;&gt;"BR",SUMPRODUCT(Mecze[[#This Row],[/PR:90]:[/BR:90]],Brudnopis!$E$24:$J$24),0)</f>
        <v>0.16666666666666666</v>
      </c>
      <c r="U1634" s="44">
        <f>IF(Mecze[[#This Row],[Role]]&lt;&gt;"BR",SUMPRODUCT(Mecze[[#This Row],[/PR:90]:[/BR:90]],Brudnopis!$E$25:$J$25),0)</f>
        <v>0.1875</v>
      </c>
      <c r="V1634" s="44">
        <f>IF(Mecze[[#This Row],[Role]]&lt;&gt;"BR",SUMPRODUCT(Mecze[[#This Row],[/PR:90]:[/BR:90]],Brudnopis!$E$26:$J$26),0)</f>
        <v>0.16666666666666666</v>
      </c>
      <c r="W1634" s="44">
        <f>IF(Mecze[[#This Row],[Role]]&lt;&gt;"BR",SUMPRODUCT(Mecze[[#This Row],[/PR:90]:[/BR:90]],Brudnopis!$E$27:$J$27),0)</f>
        <v>0.15625</v>
      </c>
      <c r="X1634" s="44">
        <f>IF(Mecze[[#This Row],[Role]]&lt;&gt;"BR",SUMPRODUCT(Mecze[[#This Row],[/PR:90]:[/BR:90]],Brudnopis!$E$28:$J$28),0)</f>
        <v>4.1666666666666664E-2</v>
      </c>
      <c r="Y1634" s="35">
        <f>IF(Mecze[[#This Row],[Role]]="BR",Mecze[[#This Row],[/OB:90]]+Mecze[[#This Row],[/PC:90]],SUM(Mecze[[#This Row],[/PR:90]:[/BR:90]]))</f>
        <v>0.16666666666666666</v>
      </c>
      <c r="Z1634" s="35">
        <f>IF(Mecze[[#This Row],[KC]]=0,SUM(Mecze[[#This Row],[/BRI]:[/NPI]]),SUM(Mecze[[#This Row],[/BRI]:[/NPI]])*0.6)</f>
        <v>0.71874999999999989</v>
      </c>
      <c r="AA1634" s="10">
        <f>IFERROR(Mecze[[#This Row],[BR]]/Mecze[[#This Row],[ST]],0)</f>
        <v>0</v>
      </c>
      <c r="AB1634">
        <f>ROUND(Mecze[[#This Row],[PD]]*Mecze[[#This Row],[%PC]],0)</f>
        <v>1</v>
      </c>
      <c r="AC1634">
        <f>ROUND(Mecze[[#This Row],[OD]]*Mecze[[#This Row],[%OU]],0)</f>
        <v>0</v>
      </c>
      <c r="AD1634" s="36" t="s">
        <v>41</v>
      </c>
      <c r="AE1634" s="36">
        <v>88</v>
      </c>
      <c r="AF1634" s="71">
        <v>1.1299999999999999</v>
      </c>
      <c r="AG1634" s="37">
        <v>0</v>
      </c>
      <c r="AH1634" s="37">
        <v>0</v>
      </c>
      <c r="AI1634" s="37">
        <v>24</v>
      </c>
      <c r="AJ1634" s="37">
        <v>8</v>
      </c>
      <c r="AK1634" s="37" t="str">
        <f>VLOOKUP(Mecze[[#This Row],[Match ID]],Meczusie[Mecz]:Meczusie[RodzajMeczu],2,FALSE)</f>
        <v>Liga</v>
      </c>
    </row>
    <row r="1635" spans="1:37" x14ac:dyDescent="0.25">
      <c r="A1635" s="76">
        <v>16</v>
      </c>
      <c r="B1635" s="3" t="s">
        <v>309</v>
      </c>
      <c r="C1635" s="2" t="s">
        <v>160</v>
      </c>
      <c r="D1635" s="1">
        <v>0</v>
      </c>
      <c r="E1635" s="1">
        <v>1</v>
      </c>
      <c r="F1635" s="1">
        <v>0</v>
      </c>
      <c r="G1635" s="1">
        <v>4</v>
      </c>
      <c r="H1635" s="4">
        <v>1</v>
      </c>
      <c r="I1635" s="1">
        <v>2</v>
      </c>
      <c r="J1635" s="4">
        <v>0</v>
      </c>
      <c r="K1635" s="1">
        <v>0</v>
      </c>
      <c r="L1635" s="1">
        <v>0</v>
      </c>
      <c r="M1635" s="32">
        <f>IF(Mecze[[#This Row],[PR]]=0,0,Mecze[[#This Row],[PR]]/Mecze[[#This Row],[CZAS]])</f>
        <v>0</v>
      </c>
      <c r="N1635" s="32">
        <f>IF(Mecze[[#This Row],[OU]]=0,0,Mecze[[#This Row],[OU]]/Mecze[[#This Row],[CZAS]])</f>
        <v>0</v>
      </c>
      <c r="O1635" s="32">
        <f>IF(Mecze[[#This Row],[PC]]=0,0,Mecze[[#This Row],[PC]]/Mecze[[#This Row],[CZAS]])</f>
        <v>0.19047619047619047</v>
      </c>
      <c r="P1635" s="32">
        <f>IF(Mecze[[#This Row],[SC]]=0,0,Mecze[[#This Row],[SC]]/Mecze[[#This Row],[CZAS]])</f>
        <v>0</v>
      </c>
      <c r="Q1635" s="32">
        <f>IF(Mecze[[#This Row],[OB]]=0,0,Mecze[[#This Row],[OB]]/Mecze[[#This Row],[CZAS]])</f>
        <v>0</v>
      </c>
      <c r="R1635" s="32">
        <f>IF(Mecze[[#This Row],[BR]]=0,0,Mecze[[#This Row],[BR]]/Mecze[[#This Row],[CZAS]])</f>
        <v>0</v>
      </c>
      <c r="S1635" s="44">
        <f>IF(Mecze[[#This Row],[Role]]="BR",SUMPRODUCT(Mecze[[#This Row],[/PR:90]:[/BR:90]],Brudnopis!$E$23:$J$23),0)</f>
        <v>0</v>
      </c>
      <c r="T1635" s="44">
        <f>IF(Mecze[[#This Row],[Role]]&lt;&gt;"BR",SUMPRODUCT(Mecze[[#This Row],[/PR:90]:[/BR:90]],Brudnopis!$E$24:$J$24),0)</f>
        <v>0.19047619047619047</v>
      </c>
      <c r="U1635" s="44">
        <f>IF(Mecze[[#This Row],[Role]]&lt;&gt;"BR",SUMPRODUCT(Mecze[[#This Row],[/PR:90]:[/BR:90]],Brudnopis!$E$25:$J$25),0)</f>
        <v>0.2857142857142857</v>
      </c>
      <c r="V1635" s="44">
        <f>IF(Mecze[[#This Row],[Role]]&lt;&gt;"BR",SUMPRODUCT(Mecze[[#This Row],[/PR:90]:[/BR:90]],Brudnopis!$E$26:$J$26),0)</f>
        <v>0.19047619047619047</v>
      </c>
      <c r="W1635" s="44">
        <f>IF(Mecze[[#This Row],[Role]]&lt;&gt;"BR",SUMPRODUCT(Mecze[[#This Row],[/PR:90]:[/BR:90]],Brudnopis!$E$27:$J$27),0)</f>
        <v>0.2857142857142857</v>
      </c>
      <c r="X1635" s="44">
        <f>IF(Mecze[[#This Row],[Role]]&lt;&gt;"BR",SUMPRODUCT(Mecze[[#This Row],[/PR:90]:[/BR:90]],Brudnopis!$E$28:$J$28),0)</f>
        <v>0.19047619047619047</v>
      </c>
      <c r="Y1635" s="35">
        <f>IF(Mecze[[#This Row],[Role]]="BR",Mecze[[#This Row],[/OB:90]]+Mecze[[#This Row],[/PC:90]],SUM(Mecze[[#This Row],[/PR:90]:[/BR:90]]))</f>
        <v>0.19047619047619047</v>
      </c>
      <c r="Z1635" s="35">
        <f>IF(Mecze[[#This Row],[KC]]=0,SUM(Mecze[[#This Row],[/BRI]:[/NPI]]),SUM(Mecze[[#This Row],[/BRI]:[/NPI]])*0.6)</f>
        <v>1.1428571428571428</v>
      </c>
      <c r="AA1635" s="10">
        <f>IFERROR(Mecze[[#This Row],[BR]]/Mecze[[#This Row],[ST]],0)</f>
        <v>0</v>
      </c>
      <c r="AB1635">
        <f>ROUND(Mecze[[#This Row],[PD]]*Mecze[[#This Row],[%PC]],0)</f>
        <v>4</v>
      </c>
      <c r="AC1635">
        <f>ROUND(Mecze[[#This Row],[OD]]*Mecze[[#This Row],[%OU]],0)</f>
        <v>0</v>
      </c>
      <c r="AD1635" s="36" t="s">
        <v>44</v>
      </c>
      <c r="AE1635" s="36">
        <v>88</v>
      </c>
      <c r="AF1635" s="71">
        <v>0.5</v>
      </c>
      <c r="AG1635" s="37">
        <v>0</v>
      </c>
      <c r="AH1635" s="37">
        <v>0</v>
      </c>
      <c r="AI1635" s="37">
        <v>21</v>
      </c>
      <c r="AJ1635" s="37">
        <v>8</v>
      </c>
      <c r="AK1635" s="37" t="str">
        <f>VLOOKUP(Mecze[[#This Row],[Match ID]],Meczusie[Mecz]:Meczusie[RodzajMeczu],2,FALSE)</f>
        <v>Liga</v>
      </c>
    </row>
    <row r="1636" spans="1:37" x14ac:dyDescent="0.25">
      <c r="A1636" s="76">
        <v>208</v>
      </c>
      <c r="B1636" s="3" t="s">
        <v>436</v>
      </c>
      <c r="C1636" s="2" t="s">
        <v>155</v>
      </c>
      <c r="D1636" s="1">
        <v>0</v>
      </c>
      <c r="E1636" s="1">
        <v>0</v>
      </c>
      <c r="F1636" s="1">
        <v>0</v>
      </c>
      <c r="G1636" s="1">
        <v>4</v>
      </c>
      <c r="H1636" s="4">
        <v>0.75</v>
      </c>
      <c r="I1636" s="1">
        <v>0</v>
      </c>
      <c r="J1636" s="4"/>
      <c r="K1636" s="1">
        <v>4</v>
      </c>
      <c r="L1636" s="1">
        <v>0</v>
      </c>
      <c r="M1636" s="32">
        <f>IF(Mecze[[#This Row],[PR]]=0,0,Mecze[[#This Row],[PR]]/Mecze[[#This Row],[CZAS]])</f>
        <v>0</v>
      </c>
      <c r="N1636" s="32">
        <f>IF(Mecze[[#This Row],[OU]]=0,0,Mecze[[#This Row],[OU]]/Mecze[[#This Row],[CZAS]])</f>
        <v>0</v>
      </c>
      <c r="O1636" s="32">
        <f>IF(Mecze[[#This Row],[PC]]=0,0,Mecze[[#This Row],[PC]]/Mecze[[#This Row],[CZAS]])</f>
        <v>3.0612244897959183E-2</v>
      </c>
      <c r="P1636" s="32">
        <f>IF(Mecze[[#This Row],[SC]]=0,0,Mecze[[#This Row],[SC]]/Mecze[[#This Row],[CZAS]])</f>
        <v>0</v>
      </c>
      <c r="Q1636" s="32">
        <f>IF(Mecze[[#This Row],[OB]]=0,0,Mecze[[#This Row],[OB]]/Mecze[[#This Row],[CZAS]])</f>
        <v>4.0816326530612242E-2</v>
      </c>
      <c r="R1636" s="32">
        <f>IF(Mecze[[#This Row],[BR]]=0,0,Mecze[[#This Row],[BR]]/Mecze[[#This Row],[CZAS]])</f>
        <v>0</v>
      </c>
      <c r="S1636" s="44">
        <f>IF(Mecze[[#This Row],[Role]]="BR",SUMPRODUCT(Mecze[[#This Row],[/PR:90]:[/BR:90]],Brudnopis!$E$23:$J$23),0)</f>
        <v>0.21428571428571427</v>
      </c>
      <c r="T1636" s="44">
        <f>IF(Mecze[[#This Row],[Role]]&lt;&gt;"BR",SUMPRODUCT(Mecze[[#This Row],[/PR:90]:[/BR:90]],Brudnopis!$E$24:$J$24),0)</f>
        <v>0</v>
      </c>
      <c r="U1636" s="44">
        <f>IF(Mecze[[#This Row],[Role]]&lt;&gt;"BR",SUMPRODUCT(Mecze[[#This Row],[/PR:90]:[/BR:90]],Brudnopis!$E$25:$J$25),0)</f>
        <v>0</v>
      </c>
      <c r="V1636" s="44">
        <f>IF(Mecze[[#This Row],[Role]]&lt;&gt;"BR",SUMPRODUCT(Mecze[[#This Row],[/PR:90]:[/BR:90]],Brudnopis!$E$26:$J$26),0)</f>
        <v>0</v>
      </c>
      <c r="W1636" s="44">
        <f>IF(Mecze[[#This Row],[Role]]&lt;&gt;"BR",SUMPRODUCT(Mecze[[#This Row],[/PR:90]:[/BR:90]],Brudnopis!$E$27:$J$27),0)</f>
        <v>0</v>
      </c>
      <c r="X1636" s="44">
        <f>IF(Mecze[[#This Row],[Role]]&lt;&gt;"BR",SUMPRODUCT(Mecze[[#This Row],[/PR:90]:[/BR:90]],Brudnopis!$E$28:$J$28),0)</f>
        <v>0</v>
      </c>
      <c r="Y1636" s="35">
        <f>IF(Mecze[[#This Row],[Role]]="BR",Mecze[[#This Row],[/OB:90]]+Mecze[[#This Row],[/PC:90]],SUM(Mecze[[#This Row],[/PR:90]:[/BR:90]]))</f>
        <v>7.1428571428571425E-2</v>
      </c>
      <c r="Z1636" s="35">
        <f>IF(Mecze[[#This Row],[KC]]=0,SUM(Mecze[[#This Row],[/BRI]:[/NPI]]),SUM(Mecze[[#This Row],[/BRI]:[/NPI]])*0.6)</f>
        <v>0.21428571428571427</v>
      </c>
      <c r="AA1636" s="10">
        <f>IFERROR(Mecze[[#This Row],[BR]]/Mecze[[#This Row],[ST]],0)</f>
        <v>0</v>
      </c>
      <c r="AB1636">
        <f>ROUND(Mecze[[#This Row],[PD]]*Mecze[[#This Row],[%PC]],0)</f>
        <v>3</v>
      </c>
      <c r="AC1636">
        <f>ROUND(Mecze[[#This Row],[OD]]*Mecze[[#This Row],[%OU]],0)</f>
        <v>0</v>
      </c>
      <c r="AD1636" s="36" t="s">
        <v>40</v>
      </c>
      <c r="AE1636" s="36">
        <v>88</v>
      </c>
      <c r="AF1636" s="71">
        <v>5.32</v>
      </c>
      <c r="AG1636" s="37">
        <v>0</v>
      </c>
      <c r="AH1636" s="37">
        <v>0</v>
      </c>
      <c r="AI1636" s="37">
        <v>98</v>
      </c>
      <c r="AJ1636" s="37">
        <v>7</v>
      </c>
      <c r="AK1636" s="37" t="str">
        <f>VLOOKUP(Mecze[[#This Row],[Match ID]],Meczusie[Mecz]:Meczusie[RodzajMeczu],2,FALSE)</f>
        <v>Liga</v>
      </c>
    </row>
    <row r="1637" spans="1:37" x14ac:dyDescent="0.25">
      <c r="A1637" s="76">
        <v>204</v>
      </c>
      <c r="B1637" s="3" t="s">
        <v>334</v>
      </c>
      <c r="C1637" s="2" t="s">
        <v>157</v>
      </c>
      <c r="D1637" s="1">
        <v>0</v>
      </c>
      <c r="E1637" s="1">
        <v>1</v>
      </c>
      <c r="F1637" s="1">
        <v>1</v>
      </c>
      <c r="G1637" s="1">
        <v>16</v>
      </c>
      <c r="H1637" s="4">
        <v>1</v>
      </c>
      <c r="I1637" s="1">
        <v>5</v>
      </c>
      <c r="J1637" s="4">
        <v>0.6</v>
      </c>
      <c r="K1637" s="1">
        <v>0</v>
      </c>
      <c r="L1637" s="1">
        <v>10</v>
      </c>
      <c r="M1637" s="32">
        <f>IF(Mecze[[#This Row],[PR]]=0,0,Mecze[[#This Row],[PR]]/Mecze[[#This Row],[CZAS]])</f>
        <v>0.10204081632653061</v>
      </c>
      <c r="N1637" s="32">
        <f>IF(Mecze[[#This Row],[OU]]=0,0,Mecze[[#This Row],[OU]]/Mecze[[#This Row],[CZAS]])</f>
        <v>3.0612244897959183E-2</v>
      </c>
      <c r="O1637" s="32">
        <f>IF(Mecze[[#This Row],[PC]]=0,0,Mecze[[#This Row],[PC]]/Mecze[[#This Row],[CZAS]])</f>
        <v>0.16326530612244897</v>
      </c>
      <c r="P1637" s="32">
        <f>IF(Mecze[[#This Row],[SC]]=0,0,Mecze[[#This Row],[SC]]/Mecze[[#This Row],[CZAS]])</f>
        <v>1.020408163265306E-2</v>
      </c>
      <c r="Q1637" s="32">
        <f>IF(Mecze[[#This Row],[OB]]=0,0,Mecze[[#This Row],[OB]]/Mecze[[#This Row],[CZAS]])</f>
        <v>0</v>
      </c>
      <c r="R1637" s="32">
        <f>IF(Mecze[[#This Row],[BR]]=0,0,Mecze[[#This Row],[BR]]/Mecze[[#This Row],[CZAS]])</f>
        <v>0</v>
      </c>
      <c r="S1637" s="44">
        <f>IF(Mecze[[#This Row],[Role]]="BR",SUMPRODUCT(Mecze[[#This Row],[/PR:90]:[/BR:90]],Brudnopis!$E$23:$J$23),0)</f>
        <v>0</v>
      </c>
      <c r="T1637" s="44">
        <f>IF(Mecze[[#This Row],[Role]]&lt;&gt;"BR",SUMPRODUCT(Mecze[[#This Row],[/PR:90]:[/BR:90]],Brudnopis!$E$24:$J$24),0)</f>
        <v>0.3214285714285714</v>
      </c>
      <c r="U1637" s="44">
        <f>IF(Mecze[[#This Row],[Role]]&lt;&gt;"BR",SUMPRODUCT(Mecze[[#This Row],[/PR:90]:[/BR:90]],Brudnopis!$E$25:$J$25),0)</f>
        <v>0.38775510204081631</v>
      </c>
      <c r="V1637" s="44">
        <f>IF(Mecze[[#This Row],[Role]]&lt;&gt;"BR",SUMPRODUCT(Mecze[[#This Row],[/PR:90]:[/BR:90]],Brudnopis!$E$26:$J$26),0)</f>
        <v>0.30612244897959184</v>
      </c>
      <c r="W1637" s="44">
        <f>IF(Mecze[[#This Row],[Role]]&lt;&gt;"BR",SUMPRODUCT(Mecze[[#This Row],[/PR:90]:[/BR:90]],Brudnopis!$E$27:$J$27),0)</f>
        <v>0.35459183673469385</v>
      </c>
      <c r="X1637" s="44">
        <f>IF(Mecze[[#This Row],[Role]]&lt;&gt;"BR",SUMPRODUCT(Mecze[[#This Row],[/PR:90]:[/BR:90]],Brudnopis!$E$28:$J$28),0)</f>
        <v>0.18367346938775508</v>
      </c>
      <c r="Y1637" s="35">
        <f>IF(Mecze[[#This Row],[Role]]="BR",Mecze[[#This Row],[/OB:90]]+Mecze[[#This Row],[/PC:90]],SUM(Mecze[[#This Row],[/PR:90]:[/BR:90]]))</f>
        <v>0.30612244897959184</v>
      </c>
      <c r="Z1637" s="35">
        <f>IF(Mecze[[#This Row],[KC]]=0,SUM(Mecze[[#This Row],[/BRI]:[/NPI]]),SUM(Mecze[[#This Row],[/BRI]:[/NPI]])*0.6)</f>
        <v>1.5535714285714286</v>
      </c>
      <c r="AA1637" s="10">
        <f>IFERROR(Mecze[[#This Row],[BR]]/Mecze[[#This Row],[ST]],0)</f>
        <v>0</v>
      </c>
      <c r="AB1637">
        <f>ROUND(Mecze[[#This Row],[PD]]*Mecze[[#This Row],[%PC]],0)</f>
        <v>16</v>
      </c>
      <c r="AC1637">
        <f>ROUND(Mecze[[#This Row],[OD]]*Mecze[[#This Row],[%OU]],0)</f>
        <v>3</v>
      </c>
      <c r="AD1637" s="36" t="s">
        <v>47</v>
      </c>
      <c r="AE1637" s="36">
        <v>88</v>
      </c>
      <c r="AF1637" s="71">
        <v>7.14</v>
      </c>
      <c r="AG1637" s="37">
        <v>0</v>
      </c>
      <c r="AH1637" s="37">
        <v>0</v>
      </c>
      <c r="AI1637" s="37">
        <v>98</v>
      </c>
      <c r="AJ1637" s="37">
        <v>7</v>
      </c>
      <c r="AK1637" s="37" t="str">
        <f>VLOOKUP(Mecze[[#This Row],[Match ID]],Meczusie[Mecz]:Meczusie[RodzajMeczu],2,FALSE)</f>
        <v>Liga</v>
      </c>
    </row>
    <row r="1638" spans="1:37" x14ac:dyDescent="0.25">
      <c r="A1638" s="76">
        <v>150</v>
      </c>
      <c r="B1638" s="3" t="s">
        <v>335</v>
      </c>
      <c r="C1638" s="2" t="s">
        <v>157</v>
      </c>
      <c r="D1638" s="1">
        <v>0</v>
      </c>
      <c r="E1638" s="1">
        <v>0</v>
      </c>
      <c r="F1638" s="1">
        <v>0</v>
      </c>
      <c r="G1638" s="1">
        <v>8</v>
      </c>
      <c r="H1638" s="4">
        <v>0.88</v>
      </c>
      <c r="I1638" s="1">
        <v>6</v>
      </c>
      <c r="J1638" s="4">
        <v>1</v>
      </c>
      <c r="K1638" s="1">
        <v>0</v>
      </c>
      <c r="L1638" s="1">
        <v>2</v>
      </c>
      <c r="M1638" s="32">
        <f>IF(Mecze[[#This Row],[PR]]=0,0,Mecze[[#This Row],[PR]]/Mecze[[#This Row],[CZAS]])</f>
        <v>2.0408163265306121E-2</v>
      </c>
      <c r="N1638" s="32">
        <f>IF(Mecze[[#This Row],[OU]]=0,0,Mecze[[#This Row],[OU]]/Mecze[[#This Row],[CZAS]])</f>
        <v>6.1224489795918366E-2</v>
      </c>
      <c r="O1638" s="32">
        <f>IF(Mecze[[#This Row],[PC]]=0,0,Mecze[[#This Row],[PC]]/Mecze[[#This Row],[CZAS]])</f>
        <v>7.1428571428571425E-2</v>
      </c>
      <c r="P1638" s="32">
        <f>IF(Mecze[[#This Row],[SC]]=0,0,Mecze[[#This Row],[SC]]/Mecze[[#This Row],[CZAS]])</f>
        <v>0</v>
      </c>
      <c r="Q1638" s="32">
        <f>IF(Mecze[[#This Row],[OB]]=0,0,Mecze[[#This Row],[OB]]/Mecze[[#This Row],[CZAS]])</f>
        <v>0</v>
      </c>
      <c r="R1638" s="32">
        <f>IF(Mecze[[#This Row],[BR]]=0,0,Mecze[[#This Row],[BR]]/Mecze[[#This Row],[CZAS]])</f>
        <v>0</v>
      </c>
      <c r="S1638" s="44">
        <f>IF(Mecze[[#This Row],[Role]]="BR",SUMPRODUCT(Mecze[[#This Row],[/PR:90]:[/BR:90]],Brudnopis!$E$23:$J$23),0)</f>
        <v>0</v>
      </c>
      <c r="T1638" s="44">
        <f>IF(Mecze[[#This Row],[Role]]&lt;&gt;"BR",SUMPRODUCT(Mecze[[#This Row],[/PR:90]:[/BR:90]],Brudnopis!$E$24:$J$24),0)</f>
        <v>0.18367346938775508</v>
      </c>
      <c r="U1638" s="44">
        <f>IF(Mecze[[#This Row],[Role]]&lt;&gt;"BR",SUMPRODUCT(Mecze[[#This Row],[/PR:90]:[/BR:90]],Brudnopis!$E$25:$J$25),0)</f>
        <v>0.18877551020408162</v>
      </c>
      <c r="V1638" s="44">
        <f>IF(Mecze[[#This Row],[Role]]&lt;&gt;"BR",SUMPRODUCT(Mecze[[#This Row],[/PR:90]:[/BR:90]],Brudnopis!$E$26:$J$26),0)</f>
        <v>0.15306122448979592</v>
      </c>
      <c r="W1638" s="44">
        <f>IF(Mecze[[#This Row],[Role]]&lt;&gt;"BR",SUMPRODUCT(Mecze[[#This Row],[/PR:90]:[/BR:90]],Brudnopis!$E$27:$J$27),0)</f>
        <v>0.1683673469387755</v>
      </c>
      <c r="X1638" s="44">
        <f>IF(Mecze[[#This Row],[Role]]&lt;&gt;"BR",SUMPRODUCT(Mecze[[#This Row],[/PR:90]:[/BR:90]],Brudnopis!$E$28:$J$28),0)</f>
        <v>7.1428571428571425E-2</v>
      </c>
      <c r="Y1638" s="35">
        <f>IF(Mecze[[#This Row],[Role]]="BR",Mecze[[#This Row],[/OB:90]]+Mecze[[#This Row],[/PC:90]],SUM(Mecze[[#This Row],[/PR:90]:[/BR:90]]))</f>
        <v>0.15306122448979592</v>
      </c>
      <c r="Z1638" s="35">
        <f>IF(Mecze[[#This Row],[KC]]=0,SUM(Mecze[[#This Row],[/BRI]:[/NPI]]),SUM(Mecze[[#This Row],[/BRI]:[/NPI]])*0.6)</f>
        <v>0.76530612244897955</v>
      </c>
      <c r="AA1638" s="10">
        <f>IFERROR(Mecze[[#This Row],[BR]]/Mecze[[#This Row],[ST]],0)</f>
        <v>0</v>
      </c>
      <c r="AB1638">
        <f>ROUND(Mecze[[#This Row],[PD]]*Mecze[[#This Row],[%PC]],0)</f>
        <v>7</v>
      </c>
      <c r="AC1638">
        <f>ROUND(Mecze[[#This Row],[OD]]*Mecze[[#This Row],[%OU]],0)</f>
        <v>6</v>
      </c>
      <c r="AD1638" s="36" t="s">
        <v>167</v>
      </c>
      <c r="AE1638" s="36">
        <v>88</v>
      </c>
      <c r="AF1638" s="71">
        <v>7.49</v>
      </c>
      <c r="AG1638" s="37">
        <v>0</v>
      </c>
      <c r="AH1638" s="37">
        <v>0</v>
      </c>
      <c r="AI1638" s="37">
        <v>98</v>
      </c>
      <c r="AJ1638" s="37">
        <v>7</v>
      </c>
      <c r="AK1638" s="37" t="str">
        <f>VLOOKUP(Mecze[[#This Row],[Match ID]],Meczusie[Mecz]:Meczusie[RodzajMeczu],2,FALSE)</f>
        <v>Liga</v>
      </c>
    </row>
    <row r="1639" spans="1:37" x14ac:dyDescent="0.25">
      <c r="A1639" s="76">
        <v>156</v>
      </c>
      <c r="B1639" s="3" t="s">
        <v>443</v>
      </c>
      <c r="C1639" s="2" t="s">
        <v>157</v>
      </c>
      <c r="D1639" s="1">
        <v>0</v>
      </c>
      <c r="E1639" s="1">
        <v>0</v>
      </c>
      <c r="F1639" s="1">
        <v>0</v>
      </c>
      <c r="G1639" s="1">
        <v>5</v>
      </c>
      <c r="H1639" s="4">
        <v>0.8</v>
      </c>
      <c r="I1639" s="1">
        <v>6</v>
      </c>
      <c r="J1639" s="4">
        <v>0.67</v>
      </c>
      <c r="K1639" s="1">
        <v>0</v>
      </c>
      <c r="L1639" s="1">
        <v>7</v>
      </c>
      <c r="M1639" s="32">
        <f>IF(Mecze[[#This Row],[PR]]=0,0,Mecze[[#This Row],[PR]]/Mecze[[#This Row],[CZAS]])</f>
        <v>7.1428571428571425E-2</v>
      </c>
      <c r="N1639" s="32">
        <f>IF(Mecze[[#This Row],[OU]]=0,0,Mecze[[#This Row],[OU]]/Mecze[[#This Row],[CZAS]])</f>
        <v>4.0816326530612242E-2</v>
      </c>
      <c r="O1639" s="32">
        <f>IF(Mecze[[#This Row],[PC]]=0,0,Mecze[[#This Row],[PC]]/Mecze[[#This Row],[CZAS]])</f>
        <v>4.0816326530612242E-2</v>
      </c>
      <c r="P1639" s="32">
        <f>IF(Mecze[[#This Row],[SC]]=0,0,Mecze[[#This Row],[SC]]/Mecze[[#This Row],[CZAS]])</f>
        <v>0</v>
      </c>
      <c r="Q1639" s="32">
        <f>IF(Mecze[[#This Row],[OB]]=0,0,Mecze[[#This Row],[OB]]/Mecze[[#This Row],[CZAS]])</f>
        <v>0</v>
      </c>
      <c r="R1639" s="32">
        <f>IF(Mecze[[#This Row],[BR]]=0,0,Mecze[[#This Row],[BR]]/Mecze[[#This Row],[CZAS]])</f>
        <v>0</v>
      </c>
      <c r="S1639" s="44">
        <f>IF(Mecze[[#This Row],[Role]]="BR",SUMPRODUCT(Mecze[[#This Row],[/PR:90]:[/BR:90]],Brudnopis!$E$23:$J$23),0)</f>
        <v>0</v>
      </c>
      <c r="T1639" s="44">
        <f>IF(Mecze[[#This Row],[Role]]&lt;&gt;"BR",SUMPRODUCT(Mecze[[#This Row],[/PR:90]:[/BR:90]],Brudnopis!$E$24:$J$24),0)</f>
        <v>0.17346938775510201</v>
      </c>
      <c r="U1639" s="44">
        <f>IF(Mecze[[#This Row],[Role]]&lt;&gt;"BR",SUMPRODUCT(Mecze[[#This Row],[/PR:90]:[/BR:90]],Brudnopis!$E$25:$J$25),0)</f>
        <v>0.17346938775510201</v>
      </c>
      <c r="V1639" s="44">
        <f>IF(Mecze[[#This Row],[Role]]&lt;&gt;"BR",SUMPRODUCT(Mecze[[#This Row],[/PR:90]:[/BR:90]],Brudnopis!$E$26:$J$26),0)</f>
        <v>0.15306122448979589</v>
      </c>
      <c r="W1639" s="44">
        <f>IF(Mecze[[#This Row],[Role]]&lt;&gt;"BR",SUMPRODUCT(Mecze[[#This Row],[/PR:90]:[/BR:90]],Brudnopis!$E$27:$J$27),0)</f>
        <v>0.14540816326530612</v>
      </c>
      <c r="X1639" s="44">
        <f>IF(Mecze[[#This Row],[Role]]&lt;&gt;"BR",SUMPRODUCT(Mecze[[#This Row],[/PR:90]:[/BR:90]],Brudnopis!$E$28:$J$28),0)</f>
        <v>4.0816326530612242E-2</v>
      </c>
      <c r="Y1639" s="35">
        <f>IF(Mecze[[#This Row],[Role]]="BR",Mecze[[#This Row],[/OB:90]]+Mecze[[#This Row],[/PC:90]],SUM(Mecze[[#This Row],[/PR:90]:[/BR:90]]))</f>
        <v>0.15306122448979589</v>
      </c>
      <c r="Z1639" s="35">
        <f>IF(Mecze[[#This Row],[KC]]=0,SUM(Mecze[[#This Row],[/BRI]:[/NPI]]),SUM(Mecze[[#This Row],[/BRI]:[/NPI]])*0.6)</f>
        <v>0.68622448979591832</v>
      </c>
      <c r="AA1639" s="10">
        <f>IFERROR(Mecze[[#This Row],[BR]]/Mecze[[#This Row],[ST]],0)</f>
        <v>0</v>
      </c>
      <c r="AB1639">
        <f>ROUND(Mecze[[#This Row],[PD]]*Mecze[[#This Row],[%PC]],0)</f>
        <v>4</v>
      </c>
      <c r="AC1639">
        <f>ROUND(Mecze[[#This Row],[OD]]*Mecze[[#This Row],[%OU]],0)</f>
        <v>4</v>
      </c>
      <c r="AD1639" s="36" t="s">
        <v>168</v>
      </c>
      <c r="AE1639" s="36">
        <v>88</v>
      </c>
      <c r="AF1639" s="71">
        <v>6.51</v>
      </c>
      <c r="AG1639" s="37">
        <v>0</v>
      </c>
      <c r="AH1639" s="37">
        <v>0</v>
      </c>
      <c r="AI1639" s="37">
        <v>98</v>
      </c>
      <c r="AJ1639" s="37">
        <v>7</v>
      </c>
      <c r="AK1639" s="37" t="str">
        <f>VLOOKUP(Mecze[[#This Row],[Match ID]],Meczusie[Mecz]:Meczusie[RodzajMeczu],2,FALSE)</f>
        <v>Liga</v>
      </c>
    </row>
    <row r="1640" spans="1:37" x14ac:dyDescent="0.25">
      <c r="A1640" s="76">
        <v>151</v>
      </c>
      <c r="B1640" s="3" t="s">
        <v>337</v>
      </c>
      <c r="C1640" s="2" t="s">
        <v>160</v>
      </c>
      <c r="D1640" s="1">
        <v>0</v>
      </c>
      <c r="E1640" s="1">
        <v>1</v>
      </c>
      <c r="F1640" s="1">
        <v>0</v>
      </c>
      <c r="G1640" s="1">
        <v>5</v>
      </c>
      <c r="H1640" s="4">
        <v>0.6</v>
      </c>
      <c r="I1640" s="1">
        <v>0</v>
      </c>
      <c r="J1640" s="4"/>
      <c r="K1640" s="1">
        <v>0</v>
      </c>
      <c r="L1640" s="1">
        <v>2</v>
      </c>
      <c r="M1640" s="32">
        <f>IF(Mecze[[#This Row],[PR]]=0,0,Mecze[[#This Row],[PR]]/Mecze[[#This Row],[CZAS]])</f>
        <v>2.0408163265306121E-2</v>
      </c>
      <c r="N1640" s="32">
        <f>IF(Mecze[[#This Row],[OU]]=0,0,Mecze[[#This Row],[OU]]/Mecze[[#This Row],[CZAS]])</f>
        <v>0</v>
      </c>
      <c r="O1640" s="32">
        <f>IF(Mecze[[#This Row],[PC]]=0,0,Mecze[[#This Row],[PC]]/Mecze[[#This Row],[CZAS]])</f>
        <v>3.0612244897959183E-2</v>
      </c>
      <c r="P1640" s="32">
        <f>IF(Mecze[[#This Row],[SC]]=0,0,Mecze[[#This Row],[SC]]/Mecze[[#This Row],[CZAS]])</f>
        <v>0</v>
      </c>
      <c r="Q1640" s="32">
        <f>IF(Mecze[[#This Row],[OB]]=0,0,Mecze[[#This Row],[OB]]/Mecze[[#This Row],[CZAS]])</f>
        <v>0</v>
      </c>
      <c r="R1640" s="32">
        <f>IF(Mecze[[#This Row],[BR]]=0,0,Mecze[[#This Row],[BR]]/Mecze[[#This Row],[CZAS]])</f>
        <v>0</v>
      </c>
      <c r="S1640" s="44">
        <f>IF(Mecze[[#This Row],[Role]]="BR",SUMPRODUCT(Mecze[[#This Row],[/PR:90]:[/BR:90]],Brudnopis!$E$23:$J$23),0)</f>
        <v>0</v>
      </c>
      <c r="T1640" s="44">
        <f>IF(Mecze[[#This Row],[Role]]&lt;&gt;"BR",SUMPRODUCT(Mecze[[#This Row],[/PR:90]:[/BR:90]],Brudnopis!$E$24:$J$24),0)</f>
        <v>5.1020408163265307E-2</v>
      </c>
      <c r="U1640" s="44">
        <f>IF(Mecze[[#This Row],[Role]]&lt;&gt;"BR",SUMPRODUCT(Mecze[[#This Row],[/PR:90]:[/BR:90]],Brudnopis!$E$25:$J$25),0)</f>
        <v>6.6326530612244888E-2</v>
      </c>
      <c r="V1640" s="44">
        <f>IF(Mecze[[#This Row],[Role]]&lt;&gt;"BR",SUMPRODUCT(Mecze[[#This Row],[/PR:90]:[/BR:90]],Brudnopis!$E$26:$J$26),0)</f>
        <v>5.1020408163265307E-2</v>
      </c>
      <c r="W1640" s="44">
        <f>IF(Mecze[[#This Row],[Role]]&lt;&gt;"BR",SUMPRODUCT(Mecze[[#This Row],[/PR:90]:[/BR:90]],Brudnopis!$E$27:$J$27),0)</f>
        <v>6.1224489795918366E-2</v>
      </c>
      <c r="X1640" s="44">
        <f>IF(Mecze[[#This Row],[Role]]&lt;&gt;"BR",SUMPRODUCT(Mecze[[#This Row],[/PR:90]:[/BR:90]],Brudnopis!$E$28:$J$28),0)</f>
        <v>3.0612244897959183E-2</v>
      </c>
      <c r="Y1640" s="35">
        <f>IF(Mecze[[#This Row],[Role]]="BR",Mecze[[#This Row],[/OB:90]]+Mecze[[#This Row],[/PC:90]],SUM(Mecze[[#This Row],[/PR:90]:[/BR:90]]))</f>
        <v>5.1020408163265307E-2</v>
      </c>
      <c r="Z1640" s="35">
        <f>IF(Mecze[[#This Row],[KC]]=0,SUM(Mecze[[#This Row],[/BRI]:[/NPI]]),SUM(Mecze[[#This Row],[/BRI]:[/NPI]])*0.6)</f>
        <v>0.26020408163265302</v>
      </c>
      <c r="AA1640" s="10">
        <f>IFERROR(Mecze[[#This Row],[BR]]/Mecze[[#This Row],[ST]],0)</f>
        <v>0</v>
      </c>
      <c r="AB1640">
        <f>ROUND(Mecze[[#This Row],[PD]]*Mecze[[#This Row],[%PC]],0)</f>
        <v>3</v>
      </c>
      <c r="AC1640">
        <f>ROUND(Mecze[[#This Row],[OD]]*Mecze[[#This Row],[%OU]],0)</f>
        <v>0</v>
      </c>
      <c r="AD1640" s="36" t="s">
        <v>41</v>
      </c>
      <c r="AE1640" s="36">
        <v>88</v>
      </c>
      <c r="AF1640" s="71">
        <v>5.55</v>
      </c>
      <c r="AG1640" s="37">
        <v>0</v>
      </c>
      <c r="AH1640" s="37">
        <v>0</v>
      </c>
      <c r="AI1640" s="37">
        <v>98</v>
      </c>
      <c r="AJ1640" s="37">
        <v>7</v>
      </c>
      <c r="AK1640" s="37" t="str">
        <f>VLOOKUP(Mecze[[#This Row],[Match ID]],Meczusie[Mecz]:Meczusie[RodzajMeczu],2,FALSE)</f>
        <v>Liga</v>
      </c>
    </row>
    <row r="1641" spans="1:37" x14ac:dyDescent="0.25">
      <c r="A1641" s="76">
        <v>109</v>
      </c>
      <c r="B1641" s="3" t="s">
        <v>404</v>
      </c>
      <c r="C1641" s="2" t="s">
        <v>160</v>
      </c>
      <c r="D1641" s="1">
        <v>0</v>
      </c>
      <c r="E1641" s="1">
        <v>0</v>
      </c>
      <c r="F1641" s="1">
        <v>0</v>
      </c>
      <c r="G1641" s="1">
        <v>16</v>
      </c>
      <c r="H1641" s="4">
        <v>0.69</v>
      </c>
      <c r="I1641" s="1">
        <v>5</v>
      </c>
      <c r="J1641" s="4">
        <v>0.6</v>
      </c>
      <c r="K1641" s="1">
        <v>0</v>
      </c>
      <c r="L1641" s="1">
        <v>7</v>
      </c>
      <c r="M1641" s="32">
        <f>IF(Mecze[[#This Row],[PR]]=0,0,Mecze[[#This Row],[PR]]/Mecze[[#This Row],[CZAS]])</f>
        <v>7.1428571428571425E-2</v>
      </c>
      <c r="N1641" s="32">
        <f>IF(Mecze[[#This Row],[OU]]=0,0,Mecze[[#This Row],[OU]]/Mecze[[#This Row],[CZAS]])</f>
        <v>3.0612244897959183E-2</v>
      </c>
      <c r="O1641" s="32">
        <f>IF(Mecze[[#This Row],[PC]]=0,0,Mecze[[#This Row],[PC]]/Mecze[[#This Row],[CZAS]])</f>
        <v>0.11224489795918367</v>
      </c>
      <c r="P1641" s="32">
        <f>IF(Mecze[[#This Row],[SC]]=0,0,Mecze[[#This Row],[SC]]/Mecze[[#This Row],[CZAS]])</f>
        <v>0</v>
      </c>
      <c r="Q1641" s="32">
        <f>IF(Mecze[[#This Row],[OB]]=0,0,Mecze[[#This Row],[OB]]/Mecze[[#This Row],[CZAS]])</f>
        <v>0</v>
      </c>
      <c r="R1641" s="32">
        <f>IF(Mecze[[#This Row],[BR]]=0,0,Mecze[[#This Row],[BR]]/Mecze[[#This Row],[CZAS]])</f>
        <v>0</v>
      </c>
      <c r="S1641" s="44">
        <f>IF(Mecze[[#This Row],[Role]]="BR",SUMPRODUCT(Mecze[[#This Row],[/PR:90]:[/BR:90]],Brudnopis!$E$23:$J$23),0)</f>
        <v>0</v>
      </c>
      <c r="T1641" s="44">
        <f>IF(Mecze[[#This Row],[Role]]&lt;&gt;"BR",SUMPRODUCT(Mecze[[#This Row],[/PR:90]:[/BR:90]],Brudnopis!$E$24:$J$24),0)</f>
        <v>0.22959183673469385</v>
      </c>
      <c r="U1641" s="44">
        <f>IF(Mecze[[#This Row],[Role]]&lt;&gt;"BR",SUMPRODUCT(Mecze[[#This Row],[/PR:90]:[/BR:90]],Brudnopis!$E$25:$J$25),0)</f>
        <v>0.27040816326530615</v>
      </c>
      <c r="V1641" s="44">
        <f>IF(Mecze[[#This Row],[Role]]&lt;&gt;"BR",SUMPRODUCT(Mecze[[#This Row],[/PR:90]:[/BR:90]],Brudnopis!$E$26:$J$26),0)</f>
        <v>0.2142857142857143</v>
      </c>
      <c r="W1641" s="44">
        <f>IF(Mecze[[#This Row],[Role]]&lt;&gt;"BR",SUMPRODUCT(Mecze[[#This Row],[/PR:90]:[/BR:90]],Brudnopis!$E$27:$J$27),0)</f>
        <v>0.24489795918367346</v>
      </c>
      <c r="X1641" s="44">
        <f>IF(Mecze[[#This Row],[Role]]&lt;&gt;"BR",SUMPRODUCT(Mecze[[#This Row],[/PR:90]:[/BR:90]],Brudnopis!$E$28:$J$28),0)</f>
        <v>0.11224489795918367</v>
      </c>
      <c r="Y1641" s="35">
        <f>IF(Mecze[[#This Row],[Role]]="BR",Mecze[[#This Row],[/OB:90]]+Mecze[[#This Row],[/PC:90]],SUM(Mecze[[#This Row],[/PR:90]:[/BR:90]]))</f>
        <v>0.2142857142857143</v>
      </c>
      <c r="Z1641" s="35">
        <f>IF(Mecze[[#This Row],[KC]]=0,SUM(Mecze[[#This Row],[/BRI]:[/NPI]]),SUM(Mecze[[#This Row],[/BRI]:[/NPI]])*0.6)</f>
        <v>1.0714285714285714</v>
      </c>
      <c r="AA1641" s="10">
        <f>IFERROR(Mecze[[#This Row],[BR]]/Mecze[[#This Row],[ST]],0)</f>
        <v>0</v>
      </c>
      <c r="AB1641">
        <f>ROUND(Mecze[[#This Row],[PD]]*Mecze[[#This Row],[%PC]],0)</f>
        <v>11</v>
      </c>
      <c r="AC1641">
        <f>ROUND(Mecze[[#This Row],[OD]]*Mecze[[#This Row],[%OU]],0)</f>
        <v>3</v>
      </c>
      <c r="AD1641" s="36" t="s">
        <v>41</v>
      </c>
      <c r="AE1641" s="36">
        <v>88</v>
      </c>
      <c r="AF1641" s="71">
        <v>6.6</v>
      </c>
      <c r="AG1641" s="37">
        <v>0</v>
      </c>
      <c r="AH1641" s="37">
        <v>0</v>
      </c>
      <c r="AI1641" s="37">
        <v>98</v>
      </c>
      <c r="AJ1641" s="37">
        <v>7</v>
      </c>
      <c r="AK1641" s="37" t="str">
        <f>VLOOKUP(Mecze[[#This Row],[Match ID]],Meczusie[Mecz]:Meczusie[RodzajMeczu],2,FALSE)</f>
        <v>Liga</v>
      </c>
    </row>
    <row r="1642" spans="1:37" x14ac:dyDescent="0.25">
      <c r="A1642" s="76">
        <v>200</v>
      </c>
      <c r="B1642" s="3" t="s">
        <v>339</v>
      </c>
      <c r="C1642" s="2" t="s">
        <v>160</v>
      </c>
      <c r="D1642" s="1">
        <v>0</v>
      </c>
      <c r="E1642" s="1">
        <v>1</v>
      </c>
      <c r="F1642" s="1">
        <v>1</v>
      </c>
      <c r="G1642" s="1">
        <v>17</v>
      </c>
      <c r="H1642" s="4">
        <v>0.65</v>
      </c>
      <c r="I1642" s="1">
        <v>8</v>
      </c>
      <c r="J1642" s="4">
        <v>0.5</v>
      </c>
      <c r="K1642" s="1">
        <v>0</v>
      </c>
      <c r="L1642" s="1">
        <v>7</v>
      </c>
      <c r="M1642" s="32">
        <f>IF(Mecze[[#This Row],[PR]]=0,0,Mecze[[#This Row],[PR]]/Mecze[[#This Row],[CZAS]])</f>
        <v>7.1428571428571425E-2</v>
      </c>
      <c r="N1642" s="32">
        <f>IF(Mecze[[#This Row],[OU]]=0,0,Mecze[[#This Row],[OU]]/Mecze[[#This Row],[CZAS]])</f>
        <v>4.0816326530612242E-2</v>
      </c>
      <c r="O1642" s="32">
        <f>IF(Mecze[[#This Row],[PC]]=0,0,Mecze[[#This Row],[PC]]/Mecze[[#This Row],[CZAS]])</f>
        <v>0.11224489795918367</v>
      </c>
      <c r="P1642" s="32">
        <f>IF(Mecze[[#This Row],[SC]]=0,0,Mecze[[#This Row],[SC]]/Mecze[[#This Row],[CZAS]])</f>
        <v>1.020408163265306E-2</v>
      </c>
      <c r="Q1642" s="32">
        <f>IF(Mecze[[#This Row],[OB]]=0,0,Mecze[[#This Row],[OB]]/Mecze[[#This Row],[CZAS]])</f>
        <v>0</v>
      </c>
      <c r="R1642" s="32">
        <f>IF(Mecze[[#This Row],[BR]]=0,0,Mecze[[#This Row],[BR]]/Mecze[[#This Row],[CZAS]])</f>
        <v>0</v>
      </c>
      <c r="S1642" s="44">
        <f>IF(Mecze[[#This Row],[Role]]="BR",SUMPRODUCT(Mecze[[#This Row],[/PR:90]:[/BR:90]],Brudnopis!$E$23:$J$23),0)</f>
        <v>0</v>
      </c>
      <c r="T1642" s="44">
        <f>IF(Mecze[[#This Row],[Role]]&lt;&gt;"BR",SUMPRODUCT(Mecze[[#This Row],[/PR:90]:[/BR:90]],Brudnopis!$E$24:$J$24),0)</f>
        <v>0.25510204081632654</v>
      </c>
      <c r="U1642" s="44">
        <f>IF(Mecze[[#This Row],[Role]]&lt;&gt;"BR",SUMPRODUCT(Mecze[[#This Row],[/PR:90]:[/BR:90]],Brudnopis!$E$25:$J$25),0)</f>
        <v>0.29081632653061223</v>
      </c>
      <c r="V1642" s="44">
        <f>IF(Mecze[[#This Row],[Role]]&lt;&gt;"BR",SUMPRODUCT(Mecze[[#This Row],[/PR:90]:[/BR:90]],Brudnopis!$E$26:$J$26),0)</f>
        <v>0.23469387755102039</v>
      </c>
      <c r="W1642" s="44">
        <f>IF(Mecze[[#This Row],[Role]]&lt;&gt;"BR",SUMPRODUCT(Mecze[[#This Row],[/PR:90]:[/BR:90]],Brudnopis!$E$27:$J$27),0)</f>
        <v>0.26275510204081631</v>
      </c>
      <c r="X1642" s="44">
        <f>IF(Mecze[[#This Row],[Role]]&lt;&gt;"BR",SUMPRODUCT(Mecze[[#This Row],[/PR:90]:[/BR:90]],Brudnopis!$E$28:$J$28),0)</f>
        <v>0.1326530612244898</v>
      </c>
      <c r="Y1642" s="35">
        <f>IF(Mecze[[#This Row],[Role]]="BR",Mecze[[#This Row],[/OB:90]]+Mecze[[#This Row],[/PC:90]],SUM(Mecze[[#This Row],[/PR:90]:[/BR:90]]))</f>
        <v>0.23469387755102039</v>
      </c>
      <c r="Z1642" s="35">
        <f>IF(Mecze[[#This Row],[KC]]=0,SUM(Mecze[[#This Row],[/BRI]:[/NPI]]),SUM(Mecze[[#This Row],[/BRI]:[/NPI]])*0.6)</f>
        <v>1.1760204081632653</v>
      </c>
      <c r="AA1642" s="10">
        <f>IFERROR(Mecze[[#This Row],[BR]]/Mecze[[#This Row],[ST]],0)</f>
        <v>0</v>
      </c>
      <c r="AB1642">
        <f>ROUND(Mecze[[#This Row],[PD]]*Mecze[[#This Row],[%PC]],0)</f>
        <v>11</v>
      </c>
      <c r="AC1642">
        <f>ROUND(Mecze[[#This Row],[OD]]*Mecze[[#This Row],[%OU]],0)</f>
        <v>4</v>
      </c>
      <c r="AD1642" s="36" t="s">
        <v>67</v>
      </c>
      <c r="AE1642" s="36">
        <v>88</v>
      </c>
      <c r="AF1642" s="71">
        <v>5.72</v>
      </c>
      <c r="AG1642" s="37">
        <v>1</v>
      </c>
      <c r="AH1642" s="37">
        <v>0</v>
      </c>
      <c r="AI1642" s="37">
        <v>98</v>
      </c>
      <c r="AJ1642" s="37">
        <v>7</v>
      </c>
      <c r="AK1642" s="37" t="str">
        <f>VLOOKUP(Mecze[[#This Row],[Match ID]],Meczusie[Mecz]:Meczusie[RodzajMeczu],2,FALSE)</f>
        <v>Liga</v>
      </c>
    </row>
    <row r="1643" spans="1:37" x14ac:dyDescent="0.25">
      <c r="A1643" s="76">
        <v>101</v>
      </c>
      <c r="B1643" s="3" t="s">
        <v>444</v>
      </c>
      <c r="C1643" s="2" t="s">
        <v>160</v>
      </c>
      <c r="D1643" s="1">
        <v>0</v>
      </c>
      <c r="E1643" s="1">
        <v>1</v>
      </c>
      <c r="F1643" s="1">
        <v>1</v>
      </c>
      <c r="G1643" s="1">
        <v>10</v>
      </c>
      <c r="H1643" s="4">
        <v>0.9</v>
      </c>
      <c r="I1643" s="1">
        <v>1</v>
      </c>
      <c r="J1643" s="4">
        <v>0</v>
      </c>
      <c r="K1643" s="1">
        <v>0</v>
      </c>
      <c r="L1643" s="1">
        <v>0</v>
      </c>
      <c r="M1643" s="32">
        <f>IF(Mecze[[#This Row],[PR]]=0,0,Mecze[[#This Row],[PR]]/Mecze[[#This Row],[CZAS]])</f>
        <v>0</v>
      </c>
      <c r="N1643" s="32">
        <f>IF(Mecze[[#This Row],[OU]]=0,0,Mecze[[#This Row],[OU]]/Mecze[[#This Row],[CZAS]])</f>
        <v>0</v>
      </c>
      <c r="O1643" s="32">
        <f>IF(Mecze[[#This Row],[PC]]=0,0,Mecze[[#This Row],[PC]]/Mecze[[#This Row],[CZAS]])</f>
        <v>9.1836734693877556E-2</v>
      </c>
      <c r="P1643" s="32">
        <f>IF(Mecze[[#This Row],[SC]]=0,0,Mecze[[#This Row],[SC]]/Mecze[[#This Row],[CZAS]])</f>
        <v>1.020408163265306E-2</v>
      </c>
      <c r="Q1643" s="32">
        <f>IF(Mecze[[#This Row],[OB]]=0,0,Mecze[[#This Row],[OB]]/Mecze[[#This Row],[CZAS]])</f>
        <v>0</v>
      </c>
      <c r="R1643" s="32">
        <f>IF(Mecze[[#This Row],[BR]]=0,0,Mecze[[#This Row],[BR]]/Mecze[[#This Row],[CZAS]])</f>
        <v>0</v>
      </c>
      <c r="S1643" s="44">
        <f>IF(Mecze[[#This Row],[Role]]="BR",SUMPRODUCT(Mecze[[#This Row],[/PR:90]:[/BR:90]],Brudnopis!$E$23:$J$23),0)</f>
        <v>0</v>
      </c>
      <c r="T1643" s="44">
        <f>IF(Mecze[[#This Row],[Role]]&lt;&gt;"BR",SUMPRODUCT(Mecze[[#This Row],[/PR:90]:[/BR:90]],Brudnopis!$E$24:$J$24),0)</f>
        <v>0.10204081632653061</v>
      </c>
      <c r="U1643" s="44">
        <f>IF(Mecze[[#This Row],[Role]]&lt;&gt;"BR",SUMPRODUCT(Mecze[[#This Row],[/PR:90]:[/BR:90]],Brudnopis!$E$25:$J$25),0)</f>
        <v>0.14795918367346941</v>
      </c>
      <c r="V1643" s="44">
        <f>IF(Mecze[[#This Row],[Role]]&lt;&gt;"BR",SUMPRODUCT(Mecze[[#This Row],[/PR:90]:[/BR:90]],Brudnopis!$E$26:$J$26),0)</f>
        <v>0.10204081632653061</v>
      </c>
      <c r="W1643" s="44">
        <f>IF(Mecze[[#This Row],[Role]]&lt;&gt;"BR",SUMPRODUCT(Mecze[[#This Row],[/PR:90]:[/BR:90]],Brudnopis!$E$27:$J$27),0)</f>
        <v>0.14795918367346941</v>
      </c>
      <c r="X1643" s="44">
        <f>IF(Mecze[[#This Row],[Role]]&lt;&gt;"BR",SUMPRODUCT(Mecze[[#This Row],[/PR:90]:[/BR:90]],Brudnopis!$E$28:$J$28),0)</f>
        <v>0.11224489795918367</v>
      </c>
      <c r="Y1643" s="35">
        <f>IF(Mecze[[#This Row],[Role]]="BR",Mecze[[#This Row],[/OB:90]]+Mecze[[#This Row],[/PC:90]],SUM(Mecze[[#This Row],[/PR:90]:[/BR:90]]))</f>
        <v>0.10204081632653061</v>
      </c>
      <c r="Z1643" s="35">
        <f>IF(Mecze[[#This Row],[KC]]=0,SUM(Mecze[[#This Row],[/BRI]:[/NPI]]),SUM(Mecze[[#This Row],[/BRI]:[/NPI]])*0.6)</f>
        <v>0.61224489795918369</v>
      </c>
      <c r="AA1643" s="10">
        <f>IFERROR(Mecze[[#This Row],[BR]]/Mecze[[#This Row],[ST]],0)</f>
        <v>0</v>
      </c>
      <c r="AB1643">
        <f>ROUND(Mecze[[#This Row],[PD]]*Mecze[[#This Row],[%PC]],0)</f>
        <v>9</v>
      </c>
      <c r="AC1643">
        <f>ROUND(Mecze[[#This Row],[OD]]*Mecze[[#This Row],[%OU]],0)</f>
        <v>0</v>
      </c>
      <c r="AD1643" s="36" t="s">
        <v>299</v>
      </c>
      <c r="AE1643" s="36">
        <v>88</v>
      </c>
      <c r="AF1643" s="71">
        <v>6.27</v>
      </c>
      <c r="AG1643" s="37">
        <v>0</v>
      </c>
      <c r="AH1643" s="37">
        <v>0</v>
      </c>
      <c r="AI1643" s="37">
        <v>98</v>
      </c>
      <c r="AJ1643" s="37">
        <v>7</v>
      </c>
      <c r="AK1643" s="37" t="str">
        <f>VLOOKUP(Mecze[[#This Row],[Match ID]],Meczusie[Mecz]:Meczusie[RodzajMeczu],2,FALSE)</f>
        <v>Liga</v>
      </c>
    </row>
    <row r="1644" spans="1:37" x14ac:dyDescent="0.25">
      <c r="A1644" s="76">
        <v>202</v>
      </c>
      <c r="B1644" s="3" t="s">
        <v>340</v>
      </c>
      <c r="C1644" s="2" t="s">
        <v>160</v>
      </c>
      <c r="D1644" s="1">
        <v>0</v>
      </c>
      <c r="E1644" s="1">
        <v>2</v>
      </c>
      <c r="F1644" s="1">
        <v>2</v>
      </c>
      <c r="G1644" s="1">
        <v>3</v>
      </c>
      <c r="H1644" s="4">
        <v>0.33</v>
      </c>
      <c r="I1644" s="1">
        <v>3</v>
      </c>
      <c r="J1644" s="4">
        <v>0.67</v>
      </c>
      <c r="K1644" s="1">
        <v>0</v>
      </c>
      <c r="L1644" s="1">
        <v>0</v>
      </c>
      <c r="M1644" s="32">
        <f>IF(Mecze[[#This Row],[PR]]=0,0,Mecze[[#This Row],[PR]]/Mecze[[#This Row],[CZAS]])</f>
        <v>0</v>
      </c>
      <c r="N1644" s="32">
        <f>IF(Mecze[[#This Row],[OU]]=0,0,Mecze[[#This Row],[OU]]/Mecze[[#This Row],[CZAS]])</f>
        <v>2.0408163265306121E-2</v>
      </c>
      <c r="O1644" s="32">
        <f>IF(Mecze[[#This Row],[PC]]=0,0,Mecze[[#This Row],[PC]]/Mecze[[#This Row],[CZAS]])</f>
        <v>1.020408163265306E-2</v>
      </c>
      <c r="P1644" s="32">
        <f>IF(Mecze[[#This Row],[SC]]=0,0,Mecze[[#This Row],[SC]]/Mecze[[#This Row],[CZAS]])</f>
        <v>2.0408163265306121E-2</v>
      </c>
      <c r="Q1644" s="32">
        <f>IF(Mecze[[#This Row],[OB]]=0,0,Mecze[[#This Row],[OB]]/Mecze[[#This Row],[CZAS]])</f>
        <v>0</v>
      </c>
      <c r="R1644" s="32">
        <f>IF(Mecze[[#This Row],[BR]]=0,0,Mecze[[#This Row],[BR]]/Mecze[[#This Row],[CZAS]])</f>
        <v>0</v>
      </c>
      <c r="S1644" s="44">
        <f>IF(Mecze[[#This Row],[Role]]="BR",SUMPRODUCT(Mecze[[#This Row],[/PR:90]:[/BR:90]],Brudnopis!$E$23:$J$23),0)</f>
        <v>0</v>
      </c>
      <c r="T1644" s="44">
        <f>IF(Mecze[[#This Row],[Role]]&lt;&gt;"BR",SUMPRODUCT(Mecze[[#This Row],[/PR:90]:[/BR:90]],Brudnopis!$E$24:$J$24),0)</f>
        <v>6.1224489795918366E-2</v>
      </c>
      <c r="U1644" s="44">
        <f>IF(Mecze[[#This Row],[Role]]&lt;&gt;"BR",SUMPRODUCT(Mecze[[#This Row],[/PR:90]:[/BR:90]],Brudnopis!$E$25:$J$25),0)</f>
        <v>5.612244897959183E-2</v>
      </c>
      <c r="V1644" s="44">
        <f>IF(Mecze[[#This Row],[Role]]&lt;&gt;"BR",SUMPRODUCT(Mecze[[#This Row],[/PR:90]:[/BR:90]],Brudnopis!$E$26:$J$26),0)</f>
        <v>5.1020408163265307E-2</v>
      </c>
      <c r="W1644" s="44">
        <f>IF(Mecze[[#This Row],[Role]]&lt;&gt;"BR",SUMPRODUCT(Mecze[[#This Row],[/PR:90]:[/BR:90]],Brudnopis!$E$27:$J$27),0)</f>
        <v>5.1020408163265307E-2</v>
      </c>
      <c r="X1644" s="44">
        <f>IF(Mecze[[#This Row],[Role]]&lt;&gt;"BR",SUMPRODUCT(Mecze[[#This Row],[/PR:90]:[/BR:90]],Brudnopis!$E$28:$J$28),0)</f>
        <v>5.10204081632653E-2</v>
      </c>
      <c r="Y1644" s="35">
        <f>IF(Mecze[[#This Row],[Role]]="BR",Mecze[[#This Row],[/OB:90]]+Mecze[[#This Row],[/PC:90]],SUM(Mecze[[#This Row],[/PR:90]:[/BR:90]]))</f>
        <v>5.1020408163265307E-2</v>
      </c>
      <c r="Z1644" s="35">
        <f>IF(Mecze[[#This Row],[KC]]=0,SUM(Mecze[[#This Row],[/BRI]:[/NPI]]),SUM(Mecze[[#This Row],[/BRI]:[/NPI]])*0.6)</f>
        <v>0.27040816326530609</v>
      </c>
      <c r="AA1644" s="10">
        <f>IFERROR(Mecze[[#This Row],[BR]]/Mecze[[#This Row],[ST]],0)</f>
        <v>0</v>
      </c>
      <c r="AB1644">
        <f>ROUND(Mecze[[#This Row],[PD]]*Mecze[[#This Row],[%PC]],0)</f>
        <v>1</v>
      </c>
      <c r="AC1644">
        <f>ROUND(Mecze[[#This Row],[OD]]*Mecze[[#This Row],[%OU]],0)</f>
        <v>2</v>
      </c>
      <c r="AD1644" s="36" t="s">
        <v>44</v>
      </c>
      <c r="AE1644" s="36">
        <v>88</v>
      </c>
      <c r="AF1644" s="71">
        <v>4.38</v>
      </c>
      <c r="AG1644" s="37">
        <v>0</v>
      </c>
      <c r="AH1644" s="37">
        <v>0</v>
      </c>
      <c r="AI1644" s="37">
        <v>98</v>
      </c>
      <c r="AJ1644" s="37">
        <v>7</v>
      </c>
      <c r="AK1644" s="37" t="str">
        <f>VLOOKUP(Mecze[[#This Row],[Match ID]],Meczusie[Mecz]:Meczusie[RodzajMeczu],2,FALSE)</f>
        <v>Liga</v>
      </c>
    </row>
    <row r="1645" spans="1:37" x14ac:dyDescent="0.25">
      <c r="A1645" s="76">
        <v>203</v>
      </c>
      <c r="B1645" s="3" t="s">
        <v>342</v>
      </c>
      <c r="C1645" s="2" t="s">
        <v>165</v>
      </c>
      <c r="D1645" s="1">
        <v>2</v>
      </c>
      <c r="E1645" s="1">
        <v>9</v>
      </c>
      <c r="F1645" s="1">
        <v>8</v>
      </c>
      <c r="G1645" s="1">
        <v>3</v>
      </c>
      <c r="H1645" s="4">
        <v>0.67</v>
      </c>
      <c r="I1645" s="1">
        <v>4</v>
      </c>
      <c r="J1645" s="4">
        <v>0.25</v>
      </c>
      <c r="K1645" s="1">
        <v>0</v>
      </c>
      <c r="L1645" s="1">
        <v>1</v>
      </c>
      <c r="M1645" s="32">
        <f>IF(Mecze[[#This Row],[PR]]=0,0,Mecze[[#This Row],[PR]]/Mecze[[#This Row],[CZAS]])</f>
        <v>1.020408163265306E-2</v>
      </c>
      <c r="N1645" s="32">
        <f>IF(Mecze[[#This Row],[OU]]=0,0,Mecze[[#This Row],[OU]]/Mecze[[#This Row],[CZAS]])</f>
        <v>1.020408163265306E-2</v>
      </c>
      <c r="O1645" s="32">
        <f>IF(Mecze[[#This Row],[PC]]=0,0,Mecze[[#This Row],[PC]]/Mecze[[#This Row],[CZAS]])</f>
        <v>2.0408163265306121E-2</v>
      </c>
      <c r="P1645" s="32">
        <f>IF(Mecze[[#This Row],[SC]]=0,0,Mecze[[#This Row],[SC]]/Mecze[[#This Row],[CZAS]])</f>
        <v>8.1632653061224483E-2</v>
      </c>
      <c r="Q1645" s="32">
        <f>IF(Mecze[[#This Row],[OB]]=0,0,Mecze[[#This Row],[OB]]/Mecze[[#This Row],[CZAS]])</f>
        <v>0</v>
      </c>
      <c r="R1645" s="32">
        <f>IF(Mecze[[#This Row],[BR]]=0,0,Mecze[[#This Row],[BR]]/Mecze[[#This Row],[CZAS]])</f>
        <v>2.0408163265306121E-2</v>
      </c>
      <c r="S1645" s="44">
        <f>IF(Mecze[[#This Row],[Role]]="BR",SUMPRODUCT(Mecze[[#This Row],[/PR:90]:[/BR:90]],Brudnopis!$E$23:$J$23),0)</f>
        <v>0</v>
      </c>
      <c r="T1645" s="44">
        <f>IF(Mecze[[#This Row],[Role]]&lt;&gt;"BR",SUMPRODUCT(Mecze[[#This Row],[/PR:90]:[/BR:90]],Brudnopis!$E$24:$J$24),0)</f>
        <v>0.15816326530612243</v>
      </c>
      <c r="U1645" s="44">
        <f>IF(Mecze[[#This Row],[Role]]&lt;&gt;"BR",SUMPRODUCT(Mecze[[#This Row],[/PR:90]:[/BR:90]],Brudnopis!$E$25:$J$25),0)</f>
        <v>0.16326530612244897</v>
      </c>
      <c r="V1645" s="44">
        <f>IF(Mecze[[#This Row],[Role]]&lt;&gt;"BR",SUMPRODUCT(Mecze[[#This Row],[/PR:90]:[/BR:90]],Brudnopis!$E$26:$J$26),0)</f>
        <v>0.16326530612244897</v>
      </c>
      <c r="W1645" s="44">
        <f>IF(Mecze[[#This Row],[Role]]&lt;&gt;"BR",SUMPRODUCT(Mecze[[#This Row],[/PR:90]:[/BR:90]],Brudnopis!$E$27:$J$27),0)</f>
        <v>0.16836734693877548</v>
      </c>
      <c r="X1645" s="44">
        <f>IF(Mecze[[#This Row],[Role]]&lt;&gt;"BR",SUMPRODUCT(Mecze[[#This Row],[/PR:90]:[/BR:90]],Brudnopis!$E$28:$J$28),0)</f>
        <v>0.24489795918367346</v>
      </c>
      <c r="Y1645" s="35">
        <f>IF(Mecze[[#This Row],[Role]]="BR",Mecze[[#This Row],[/OB:90]]+Mecze[[#This Row],[/PC:90]],SUM(Mecze[[#This Row],[/PR:90]:[/BR:90]]))</f>
        <v>0.14285714285714285</v>
      </c>
      <c r="Z1645" s="35">
        <f>IF(Mecze[[#This Row],[KC]]=0,SUM(Mecze[[#This Row],[/BRI]:[/NPI]]),SUM(Mecze[[#This Row],[/BRI]:[/NPI]])*0.6)</f>
        <v>0.89795918367346927</v>
      </c>
      <c r="AA1645" s="10">
        <f>IFERROR(Mecze[[#This Row],[BR]]/Mecze[[#This Row],[ST]],0)</f>
        <v>0.22222222222222221</v>
      </c>
      <c r="AB1645">
        <f>ROUND(Mecze[[#This Row],[PD]]*Mecze[[#This Row],[%PC]],0)</f>
        <v>2</v>
      </c>
      <c r="AC1645">
        <f>ROUND(Mecze[[#This Row],[OD]]*Mecze[[#This Row],[%OU]],0)</f>
        <v>1</v>
      </c>
      <c r="AD1645" s="36" t="s">
        <v>46</v>
      </c>
      <c r="AE1645" s="36">
        <v>88</v>
      </c>
      <c r="AF1645" s="71">
        <v>10.29</v>
      </c>
      <c r="AG1645" s="37">
        <v>0</v>
      </c>
      <c r="AH1645" s="37">
        <v>0</v>
      </c>
      <c r="AI1645" s="37">
        <v>98</v>
      </c>
      <c r="AJ1645" s="37">
        <v>7</v>
      </c>
      <c r="AK1645" s="37" t="str">
        <f>VLOOKUP(Mecze[[#This Row],[Match ID]],Meczusie[Mecz]:Meczusie[RodzajMeczu],2,FALSE)</f>
        <v>Liga</v>
      </c>
    </row>
    <row r="1646" spans="1:37" x14ac:dyDescent="0.25">
      <c r="A1646" s="76">
        <v>104</v>
      </c>
      <c r="B1646" s="3" t="s">
        <v>343</v>
      </c>
      <c r="C1646" s="2" t="s">
        <v>165</v>
      </c>
      <c r="D1646" s="1">
        <v>0</v>
      </c>
      <c r="E1646" s="1">
        <v>2</v>
      </c>
      <c r="F1646" s="1">
        <v>2</v>
      </c>
      <c r="G1646" s="1">
        <v>24</v>
      </c>
      <c r="H1646" s="4">
        <v>0.71</v>
      </c>
      <c r="I1646" s="1">
        <v>5</v>
      </c>
      <c r="J1646" s="4">
        <v>0.6</v>
      </c>
      <c r="K1646" s="1">
        <v>0</v>
      </c>
      <c r="L1646" s="1">
        <v>3</v>
      </c>
      <c r="M1646" s="32">
        <f>IF(Mecze[[#This Row],[PR]]=0,0,Mecze[[#This Row],[PR]]/Mecze[[#This Row],[CZAS]])</f>
        <v>3.0612244897959183E-2</v>
      </c>
      <c r="N1646" s="32">
        <f>IF(Mecze[[#This Row],[OU]]=0,0,Mecze[[#This Row],[OU]]/Mecze[[#This Row],[CZAS]])</f>
        <v>3.0612244897959183E-2</v>
      </c>
      <c r="O1646" s="32">
        <f>IF(Mecze[[#This Row],[PC]]=0,0,Mecze[[#This Row],[PC]]/Mecze[[#This Row],[CZAS]])</f>
        <v>0.17346938775510204</v>
      </c>
      <c r="P1646" s="32">
        <f>IF(Mecze[[#This Row],[SC]]=0,0,Mecze[[#This Row],[SC]]/Mecze[[#This Row],[CZAS]])</f>
        <v>2.0408163265306121E-2</v>
      </c>
      <c r="Q1646" s="32">
        <f>IF(Mecze[[#This Row],[OB]]=0,0,Mecze[[#This Row],[OB]]/Mecze[[#This Row],[CZAS]])</f>
        <v>0</v>
      </c>
      <c r="R1646" s="32">
        <f>IF(Mecze[[#This Row],[BR]]=0,0,Mecze[[#This Row],[BR]]/Mecze[[#This Row],[CZAS]])</f>
        <v>0</v>
      </c>
      <c r="S1646" s="44">
        <f>IF(Mecze[[#This Row],[Role]]="BR",SUMPRODUCT(Mecze[[#This Row],[/PR:90]:[/BR:90]],Brudnopis!$E$23:$J$23),0)</f>
        <v>0</v>
      </c>
      <c r="T1646" s="44">
        <f>IF(Mecze[[#This Row],[Role]]&lt;&gt;"BR",SUMPRODUCT(Mecze[[#This Row],[/PR:90]:[/BR:90]],Brudnopis!$E$24:$J$24),0)</f>
        <v>0.27040816326530615</v>
      </c>
      <c r="U1646" s="44">
        <f>IF(Mecze[[#This Row],[Role]]&lt;&gt;"BR",SUMPRODUCT(Mecze[[#This Row],[/PR:90]:[/BR:90]],Brudnopis!$E$25:$J$25),0)</f>
        <v>0.3418367346938776</v>
      </c>
      <c r="V1646" s="44">
        <f>IF(Mecze[[#This Row],[Role]]&lt;&gt;"BR",SUMPRODUCT(Mecze[[#This Row],[/PR:90]:[/BR:90]],Brudnopis!$E$26:$J$26),0)</f>
        <v>0.25510204081632654</v>
      </c>
      <c r="W1646" s="44">
        <f>IF(Mecze[[#This Row],[Role]]&lt;&gt;"BR",SUMPRODUCT(Mecze[[#This Row],[/PR:90]:[/BR:90]],Brudnopis!$E$27:$J$27),0)</f>
        <v>0.32653061224489799</v>
      </c>
      <c r="X1646" s="44">
        <f>IF(Mecze[[#This Row],[Role]]&lt;&gt;"BR",SUMPRODUCT(Mecze[[#This Row],[/PR:90]:[/BR:90]],Brudnopis!$E$28:$J$28),0)</f>
        <v>0.21428571428571427</v>
      </c>
      <c r="Y1646" s="35">
        <f>IF(Mecze[[#This Row],[Role]]="BR",Mecze[[#This Row],[/OB:90]]+Mecze[[#This Row],[/PC:90]],SUM(Mecze[[#This Row],[/PR:90]:[/BR:90]]))</f>
        <v>0.25510204081632654</v>
      </c>
      <c r="Z1646" s="35">
        <f>IF(Mecze[[#This Row],[KC]]=0,SUM(Mecze[[#This Row],[/BRI]:[/NPI]]),SUM(Mecze[[#This Row],[/BRI]:[/NPI]])*0.6)</f>
        <v>1.4081632653061222</v>
      </c>
      <c r="AA1646" s="10">
        <f>IFERROR(Mecze[[#This Row],[BR]]/Mecze[[#This Row],[ST]],0)</f>
        <v>0</v>
      </c>
      <c r="AB1646">
        <f>ROUND(Mecze[[#This Row],[PD]]*Mecze[[#This Row],[%PC]],0)</f>
        <v>17</v>
      </c>
      <c r="AC1646">
        <f>ROUND(Mecze[[#This Row],[OD]]*Mecze[[#This Row],[%OU]],0)</f>
        <v>3</v>
      </c>
      <c r="AD1646" s="36" t="s">
        <v>355</v>
      </c>
      <c r="AE1646" s="36">
        <v>88</v>
      </c>
      <c r="AF1646" s="71">
        <v>5.7</v>
      </c>
      <c r="AG1646" s="37">
        <v>0</v>
      </c>
      <c r="AH1646" s="37">
        <v>0</v>
      </c>
      <c r="AI1646" s="37">
        <v>98</v>
      </c>
      <c r="AJ1646" s="37">
        <v>7</v>
      </c>
      <c r="AK1646" s="37" t="str">
        <f>VLOOKUP(Mecze[[#This Row],[Match ID]],Meczusie[Mecz]:Meczusie[RodzajMeczu],2,FALSE)</f>
        <v>Liga</v>
      </c>
    </row>
    <row r="1647" spans="1:37" x14ac:dyDescent="0.25">
      <c r="A1647" s="76">
        <v>1</v>
      </c>
      <c r="B1647" s="3" t="s">
        <v>274</v>
      </c>
      <c r="C1647" s="2" t="s">
        <v>155</v>
      </c>
      <c r="D1647" s="1">
        <v>0</v>
      </c>
      <c r="E1647" s="1">
        <v>0</v>
      </c>
      <c r="F1647" s="1">
        <v>0</v>
      </c>
      <c r="G1647" s="1">
        <v>12</v>
      </c>
      <c r="H1647" s="4">
        <v>0.57999999999999996</v>
      </c>
      <c r="I1647" s="1">
        <v>0</v>
      </c>
      <c r="J1647" s="4"/>
      <c r="K1647" s="1">
        <v>11</v>
      </c>
      <c r="L1647" s="1">
        <v>0</v>
      </c>
      <c r="M1647" s="32">
        <f>IF(Mecze[[#This Row],[PR]]=0,0,Mecze[[#This Row],[PR]]/Mecze[[#This Row],[CZAS]])</f>
        <v>0</v>
      </c>
      <c r="N1647" s="32">
        <f>IF(Mecze[[#This Row],[OU]]=0,0,Mecze[[#This Row],[OU]]/Mecze[[#This Row],[CZAS]])</f>
        <v>0</v>
      </c>
      <c r="O1647" s="32">
        <f>IF(Mecze[[#This Row],[PC]]=0,0,Mecze[[#This Row],[PC]]/Mecze[[#This Row],[CZAS]])</f>
        <v>7.3684210526315783E-2</v>
      </c>
      <c r="P1647" s="32">
        <f>IF(Mecze[[#This Row],[SC]]=0,0,Mecze[[#This Row],[SC]]/Mecze[[#This Row],[CZAS]])</f>
        <v>0</v>
      </c>
      <c r="Q1647" s="32">
        <f>IF(Mecze[[#This Row],[OB]]=0,0,Mecze[[#This Row],[OB]]/Mecze[[#This Row],[CZAS]])</f>
        <v>0.11578947368421053</v>
      </c>
      <c r="R1647" s="32">
        <f>IF(Mecze[[#This Row],[BR]]=0,0,Mecze[[#This Row],[BR]]/Mecze[[#This Row],[CZAS]])</f>
        <v>0</v>
      </c>
      <c r="S1647" s="44">
        <f>IF(Mecze[[#This Row],[Role]]="BR",SUMPRODUCT(Mecze[[#This Row],[/PR:90]:[/BR:90]],Brudnopis!$E$23:$J$23),0)</f>
        <v>0.56842105263157894</v>
      </c>
      <c r="T1647" s="44">
        <f>IF(Mecze[[#This Row],[Role]]&lt;&gt;"BR",SUMPRODUCT(Mecze[[#This Row],[/PR:90]:[/BR:90]],Brudnopis!$E$24:$J$24),0)</f>
        <v>0</v>
      </c>
      <c r="U1647" s="44">
        <f>IF(Mecze[[#This Row],[Role]]&lt;&gt;"BR",SUMPRODUCT(Mecze[[#This Row],[/PR:90]:[/BR:90]],Brudnopis!$E$25:$J$25),0)</f>
        <v>0</v>
      </c>
      <c r="V1647" s="44">
        <f>IF(Mecze[[#This Row],[Role]]&lt;&gt;"BR",SUMPRODUCT(Mecze[[#This Row],[/PR:90]:[/BR:90]],Brudnopis!$E$26:$J$26),0)</f>
        <v>0</v>
      </c>
      <c r="W1647" s="44">
        <f>IF(Mecze[[#This Row],[Role]]&lt;&gt;"BR",SUMPRODUCT(Mecze[[#This Row],[/PR:90]:[/BR:90]],Brudnopis!$E$27:$J$27),0)</f>
        <v>0</v>
      </c>
      <c r="X1647" s="44">
        <f>IF(Mecze[[#This Row],[Role]]&lt;&gt;"BR",SUMPRODUCT(Mecze[[#This Row],[/PR:90]:[/BR:90]],Brudnopis!$E$28:$J$28),0)</f>
        <v>0</v>
      </c>
      <c r="Y1647" s="35">
        <f>IF(Mecze[[#This Row],[Role]]="BR",Mecze[[#This Row],[/OB:90]]+Mecze[[#This Row],[/PC:90]],SUM(Mecze[[#This Row],[/PR:90]:[/BR:90]]))</f>
        <v>0.18947368421052629</v>
      </c>
      <c r="Z1647" s="35">
        <f>IF(Mecze[[#This Row],[KC]]=0,SUM(Mecze[[#This Row],[/BRI]:[/NPI]]),SUM(Mecze[[#This Row],[/BRI]:[/NPI]])*0.6)</f>
        <v>0.56842105263157894</v>
      </c>
      <c r="AA1647" s="10">
        <f>IFERROR(Mecze[[#This Row],[BR]]/Mecze[[#This Row],[ST]],0)</f>
        <v>0</v>
      </c>
      <c r="AB1647">
        <f>ROUND(Mecze[[#This Row],[PD]]*Mecze[[#This Row],[%PC]],0)</f>
        <v>7</v>
      </c>
      <c r="AC1647">
        <f>ROUND(Mecze[[#This Row],[OD]]*Mecze[[#This Row],[%OU]],0)</f>
        <v>0</v>
      </c>
      <c r="AD1647" s="36" t="s">
        <v>40</v>
      </c>
      <c r="AE1647" s="36">
        <v>89</v>
      </c>
      <c r="AF1647" s="71">
        <v>6.66</v>
      </c>
      <c r="AG1647" s="37">
        <v>0</v>
      </c>
      <c r="AH1647" s="37">
        <v>0</v>
      </c>
      <c r="AI1647" s="37">
        <v>95</v>
      </c>
      <c r="AJ1647" s="37">
        <v>4</v>
      </c>
      <c r="AK1647" s="37" t="str">
        <f>VLOOKUP(Mecze[[#This Row],[Match ID]],Meczusie[Mecz]:Meczusie[RodzajMeczu],2,FALSE)</f>
        <v>Liga</v>
      </c>
    </row>
    <row r="1648" spans="1:37" x14ac:dyDescent="0.25">
      <c r="A1648" s="76">
        <v>9</v>
      </c>
      <c r="B1648" s="3" t="s">
        <v>275</v>
      </c>
      <c r="C1648" s="2" t="s">
        <v>157</v>
      </c>
      <c r="D1648" s="1">
        <v>0</v>
      </c>
      <c r="E1648" s="1">
        <v>0</v>
      </c>
      <c r="F1648" s="1">
        <v>0</v>
      </c>
      <c r="G1648" s="1">
        <v>2</v>
      </c>
      <c r="H1648" s="4">
        <v>1</v>
      </c>
      <c r="I1648" s="1">
        <v>1</v>
      </c>
      <c r="J1648" s="4">
        <v>1</v>
      </c>
      <c r="K1648" s="1">
        <v>0</v>
      </c>
      <c r="L1648" s="1">
        <v>1</v>
      </c>
      <c r="M1648" s="32">
        <f>IF(Mecze[[#This Row],[PR]]=0,0,Mecze[[#This Row],[PR]]/Mecze[[#This Row],[CZAS]])</f>
        <v>4.7619047619047616E-2</v>
      </c>
      <c r="N1648" s="32">
        <f>IF(Mecze[[#This Row],[OU]]=0,0,Mecze[[#This Row],[OU]]/Mecze[[#This Row],[CZAS]])</f>
        <v>4.7619047619047616E-2</v>
      </c>
      <c r="O1648" s="32">
        <f>IF(Mecze[[#This Row],[PC]]=0,0,Mecze[[#This Row],[PC]]/Mecze[[#This Row],[CZAS]])</f>
        <v>9.5238095238095233E-2</v>
      </c>
      <c r="P1648" s="32">
        <f>IF(Mecze[[#This Row],[SC]]=0,0,Mecze[[#This Row],[SC]]/Mecze[[#This Row],[CZAS]])</f>
        <v>0</v>
      </c>
      <c r="Q1648" s="32">
        <f>IF(Mecze[[#This Row],[OB]]=0,0,Mecze[[#This Row],[OB]]/Mecze[[#This Row],[CZAS]])</f>
        <v>0</v>
      </c>
      <c r="R1648" s="32">
        <f>IF(Mecze[[#This Row],[BR]]=0,0,Mecze[[#This Row],[BR]]/Mecze[[#This Row],[CZAS]])</f>
        <v>0</v>
      </c>
      <c r="S1648" s="44">
        <f>IF(Mecze[[#This Row],[Role]]="BR",SUMPRODUCT(Mecze[[#This Row],[/PR:90]:[/BR:90]],Brudnopis!$E$23:$J$23),0)</f>
        <v>0</v>
      </c>
      <c r="T1648" s="44">
        <f>IF(Mecze[[#This Row],[Role]]&lt;&gt;"BR",SUMPRODUCT(Mecze[[#This Row],[/PR:90]:[/BR:90]],Brudnopis!$E$24:$J$24),0)</f>
        <v>0.21428571428571427</v>
      </c>
      <c r="U1648" s="44">
        <f>IF(Mecze[[#This Row],[Role]]&lt;&gt;"BR",SUMPRODUCT(Mecze[[#This Row],[/PR:90]:[/BR:90]],Brudnopis!$E$25:$J$25),0)</f>
        <v>0.23809523809523808</v>
      </c>
      <c r="V1648" s="44">
        <f>IF(Mecze[[#This Row],[Role]]&lt;&gt;"BR",SUMPRODUCT(Mecze[[#This Row],[/PR:90]:[/BR:90]],Brudnopis!$E$26:$J$26),0)</f>
        <v>0.19047619047619047</v>
      </c>
      <c r="W1648" s="44">
        <f>IF(Mecze[[#This Row],[Role]]&lt;&gt;"BR",SUMPRODUCT(Mecze[[#This Row],[/PR:90]:[/BR:90]],Brudnopis!$E$27:$J$27),0)</f>
        <v>0.21428571428571427</v>
      </c>
      <c r="X1648" s="44">
        <f>IF(Mecze[[#This Row],[Role]]&lt;&gt;"BR",SUMPRODUCT(Mecze[[#This Row],[/PR:90]:[/BR:90]],Brudnopis!$E$28:$J$28),0)</f>
        <v>9.5238095238095233E-2</v>
      </c>
      <c r="Y1648" s="35">
        <f>IF(Mecze[[#This Row],[Role]]="BR",Mecze[[#This Row],[/OB:90]]+Mecze[[#This Row],[/PC:90]],SUM(Mecze[[#This Row],[/PR:90]:[/BR:90]]))</f>
        <v>0.19047619047619047</v>
      </c>
      <c r="Z1648" s="35">
        <f>IF(Mecze[[#This Row],[KC]]=0,SUM(Mecze[[#This Row],[/BRI]:[/NPI]]),SUM(Mecze[[#This Row],[/BRI]:[/NPI]])*0.6)</f>
        <v>0.5714285714285714</v>
      </c>
      <c r="AA1648" s="10">
        <f>IFERROR(Mecze[[#This Row],[BR]]/Mecze[[#This Row],[ST]],0)</f>
        <v>0</v>
      </c>
      <c r="AB1648">
        <f>ROUND(Mecze[[#This Row],[PD]]*Mecze[[#This Row],[%PC]],0)</f>
        <v>2</v>
      </c>
      <c r="AC1648">
        <f>ROUND(Mecze[[#This Row],[OD]]*Mecze[[#This Row],[%OU]],0)</f>
        <v>1</v>
      </c>
      <c r="AD1648" s="36" t="s">
        <v>47</v>
      </c>
      <c r="AE1648" s="36">
        <v>89</v>
      </c>
      <c r="AF1648" s="71">
        <v>-2.61</v>
      </c>
      <c r="AG1648" s="37">
        <v>0</v>
      </c>
      <c r="AH1648" s="37">
        <v>1</v>
      </c>
      <c r="AI1648" s="37">
        <v>21</v>
      </c>
      <c r="AJ1648" s="37">
        <v>4</v>
      </c>
      <c r="AK1648" s="37" t="str">
        <f>VLOOKUP(Mecze[[#This Row],[Match ID]],Meczusie[Mecz]:Meczusie[RodzajMeczu],2,FALSE)</f>
        <v>Liga</v>
      </c>
    </row>
    <row r="1649" spans="1:37" x14ac:dyDescent="0.25">
      <c r="A1649" s="76">
        <v>4</v>
      </c>
      <c r="B1649" s="3" t="s">
        <v>276</v>
      </c>
      <c r="C1649" s="2" t="s">
        <v>157</v>
      </c>
      <c r="D1649" s="1">
        <v>0</v>
      </c>
      <c r="E1649" s="1">
        <v>0</v>
      </c>
      <c r="F1649" s="1">
        <v>0</v>
      </c>
      <c r="G1649" s="1">
        <v>10</v>
      </c>
      <c r="H1649" s="4">
        <v>0.8</v>
      </c>
      <c r="I1649" s="1">
        <v>4</v>
      </c>
      <c r="J1649" s="4">
        <v>1</v>
      </c>
      <c r="K1649" s="1">
        <v>0</v>
      </c>
      <c r="L1649" s="1">
        <v>9</v>
      </c>
      <c r="M1649" s="32">
        <f>IF(Mecze[[#This Row],[PR]]=0,0,Mecze[[#This Row],[PR]]/Mecze[[#This Row],[CZAS]])</f>
        <v>9.4736842105263161E-2</v>
      </c>
      <c r="N1649" s="32">
        <f>IF(Mecze[[#This Row],[OU]]=0,0,Mecze[[#This Row],[OU]]/Mecze[[#This Row],[CZAS]])</f>
        <v>4.2105263157894736E-2</v>
      </c>
      <c r="O1649" s="32">
        <f>IF(Mecze[[#This Row],[PC]]=0,0,Mecze[[#This Row],[PC]]/Mecze[[#This Row],[CZAS]])</f>
        <v>8.4210526315789472E-2</v>
      </c>
      <c r="P1649" s="32">
        <f>IF(Mecze[[#This Row],[SC]]=0,0,Mecze[[#This Row],[SC]]/Mecze[[#This Row],[CZAS]])</f>
        <v>0</v>
      </c>
      <c r="Q1649" s="32">
        <f>IF(Mecze[[#This Row],[OB]]=0,0,Mecze[[#This Row],[OB]]/Mecze[[#This Row],[CZAS]])</f>
        <v>0</v>
      </c>
      <c r="R1649" s="32">
        <f>IF(Mecze[[#This Row],[BR]]=0,0,Mecze[[#This Row],[BR]]/Mecze[[#This Row],[CZAS]])</f>
        <v>0</v>
      </c>
      <c r="S1649" s="44">
        <f>IF(Mecze[[#This Row],[Role]]="BR",SUMPRODUCT(Mecze[[#This Row],[/PR:90]:[/BR:90]],Brudnopis!$E$23:$J$23),0)</f>
        <v>0</v>
      </c>
      <c r="T1649" s="44">
        <f>IF(Mecze[[#This Row],[Role]]&lt;&gt;"BR",SUMPRODUCT(Mecze[[#This Row],[/PR:90]:[/BR:90]],Brudnopis!$E$24:$J$24),0)</f>
        <v>0.24210526315789471</v>
      </c>
      <c r="U1649" s="44">
        <f>IF(Mecze[[#This Row],[Role]]&lt;&gt;"BR",SUMPRODUCT(Mecze[[#This Row],[/PR:90]:[/BR:90]],Brudnopis!$E$25:$J$25),0)</f>
        <v>0.26315789473684215</v>
      </c>
      <c r="V1649" s="44">
        <f>IF(Mecze[[#This Row],[Role]]&lt;&gt;"BR",SUMPRODUCT(Mecze[[#This Row],[/PR:90]:[/BR:90]],Brudnopis!$E$26:$J$26),0)</f>
        <v>0.22105263157894739</v>
      </c>
      <c r="W1649" s="44">
        <f>IF(Mecze[[#This Row],[Role]]&lt;&gt;"BR",SUMPRODUCT(Mecze[[#This Row],[/PR:90]:[/BR:90]],Brudnopis!$E$27:$J$27),0)</f>
        <v>0.22894736842105262</v>
      </c>
      <c r="X1649" s="44">
        <f>IF(Mecze[[#This Row],[Role]]&lt;&gt;"BR",SUMPRODUCT(Mecze[[#This Row],[/PR:90]:[/BR:90]],Brudnopis!$E$28:$J$28),0)</f>
        <v>8.4210526315789472E-2</v>
      </c>
      <c r="Y1649" s="35">
        <f>IF(Mecze[[#This Row],[Role]]="BR",Mecze[[#This Row],[/OB:90]]+Mecze[[#This Row],[/PC:90]],SUM(Mecze[[#This Row],[/PR:90]:[/BR:90]]))</f>
        <v>0.22105263157894739</v>
      </c>
      <c r="Z1649" s="35">
        <f>IF(Mecze[[#This Row],[KC]]=0,SUM(Mecze[[#This Row],[/BRI]:[/NPI]]),SUM(Mecze[[#This Row],[/BRI]:[/NPI]])*0.6)</f>
        <v>1.0394736842105263</v>
      </c>
      <c r="AA1649" s="10">
        <f>IFERROR(Mecze[[#This Row],[BR]]/Mecze[[#This Row],[ST]],0)</f>
        <v>0</v>
      </c>
      <c r="AB1649">
        <f>ROUND(Mecze[[#This Row],[PD]]*Mecze[[#This Row],[%PC]],0)</f>
        <v>8</v>
      </c>
      <c r="AC1649">
        <f>ROUND(Mecze[[#This Row],[OD]]*Mecze[[#This Row],[%OU]],0)</f>
        <v>4</v>
      </c>
      <c r="AD1649" s="36" t="s">
        <v>168</v>
      </c>
      <c r="AE1649" s="36">
        <v>89</v>
      </c>
      <c r="AF1649" s="71">
        <v>6.63</v>
      </c>
      <c r="AG1649" s="37">
        <v>0</v>
      </c>
      <c r="AH1649" s="37">
        <v>0</v>
      </c>
      <c r="AI1649" s="37">
        <v>95</v>
      </c>
      <c r="AJ1649" s="37">
        <v>4</v>
      </c>
      <c r="AK1649" s="37" t="str">
        <f>VLOOKUP(Mecze[[#This Row],[Match ID]],Meczusie[Mecz]:Meczusie[RodzajMeczu],2,FALSE)</f>
        <v>Liga</v>
      </c>
    </row>
    <row r="1650" spans="1:37" x14ac:dyDescent="0.25">
      <c r="A1650" s="76">
        <v>5</v>
      </c>
      <c r="B1650" s="3" t="s">
        <v>277</v>
      </c>
      <c r="C1650" s="2" t="s">
        <v>157</v>
      </c>
      <c r="D1650" s="1">
        <v>0</v>
      </c>
      <c r="E1650" s="1">
        <v>0</v>
      </c>
      <c r="F1650" s="1">
        <v>0</v>
      </c>
      <c r="G1650" s="1">
        <v>7</v>
      </c>
      <c r="H1650" s="4">
        <v>0.56999999999999995</v>
      </c>
      <c r="I1650" s="1">
        <v>2</v>
      </c>
      <c r="J1650" s="4">
        <v>1</v>
      </c>
      <c r="K1650" s="1">
        <v>0</v>
      </c>
      <c r="L1650" s="1">
        <v>5</v>
      </c>
      <c r="M1650" s="32">
        <f>IF(Mecze[[#This Row],[PR]]=0,0,Mecze[[#This Row],[PR]]/Mecze[[#This Row],[CZAS]])</f>
        <v>7.3529411764705885E-2</v>
      </c>
      <c r="N1650" s="32">
        <f>IF(Mecze[[#This Row],[OU]]=0,0,Mecze[[#This Row],[OU]]/Mecze[[#This Row],[CZAS]])</f>
        <v>2.9411764705882353E-2</v>
      </c>
      <c r="O1650" s="32">
        <f>IF(Mecze[[#This Row],[PC]]=0,0,Mecze[[#This Row],[PC]]/Mecze[[#This Row],[CZAS]])</f>
        <v>5.8823529411764705E-2</v>
      </c>
      <c r="P1650" s="32">
        <f>IF(Mecze[[#This Row],[SC]]=0,0,Mecze[[#This Row],[SC]]/Mecze[[#This Row],[CZAS]])</f>
        <v>0</v>
      </c>
      <c r="Q1650" s="32">
        <f>IF(Mecze[[#This Row],[OB]]=0,0,Mecze[[#This Row],[OB]]/Mecze[[#This Row],[CZAS]])</f>
        <v>0</v>
      </c>
      <c r="R1650" s="32">
        <f>IF(Mecze[[#This Row],[BR]]=0,0,Mecze[[#This Row],[BR]]/Mecze[[#This Row],[CZAS]])</f>
        <v>0</v>
      </c>
      <c r="S1650" s="44">
        <f>IF(Mecze[[#This Row],[Role]]="BR",SUMPRODUCT(Mecze[[#This Row],[/PR:90]:[/BR:90]],Brudnopis!$E$23:$J$23),0)</f>
        <v>0</v>
      </c>
      <c r="T1650" s="44">
        <f>IF(Mecze[[#This Row],[Role]]&lt;&gt;"BR",SUMPRODUCT(Mecze[[#This Row],[/PR:90]:[/BR:90]],Brudnopis!$E$24:$J$24),0)</f>
        <v>0.1764705882352941</v>
      </c>
      <c r="U1650" s="44">
        <f>IF(Mecze[[#This Row],[Role]]&lt;&gt;"BR",SUMPRODUCT(Mecze[[#This Row],[/PR:90]:[/BR:90]],Brudnopis!$E$25:$J$25),0)</f>
        <v>0.19117647058823528</v>
      </c>
      <c r="V1650" s="44">
        <f>IF(Mecze[[#This Row],[Role]]&lt;&gt;"BR",SUMPRODUCT(Mecze[[#This Row],[/PR:90]:[/BR:90]],Brudnopis!$E$26:$J$26),0)</f>
        <v>0.16176470588235292</v>
      </c>
      <c r="W1650" s="44">
        <f>IF(Mecze[[#This Row],[Role]]&lt;&gt;"BR",SUMPRODUCT(Mecze[[#This Row],[/PR:90]:[/BR:90]],Brudnopis!$E$27:$J$27),0)</f>
        <v>0.16544117647058823</v>
      </c>
      <c r="X1650" s="44">
        <f>IF(Mecze[[#This Row],[Role]]&lt;&gt;"BR",SUMPRODUCT(Mecze[[#This Row],[/PR:90]:[/BR:90]],Brudnopis!$E$28:$J$28),0)</f>
        <v>5.8823529411764705E-2</v>
      </c>
      <c r="Y1650" s="35">
        <f>IF(Mecze[[#This Row],[Role]]="BR",Mecze[[#This Row],[/OB:90]]+Mecze[[#This Row],[/PC:90]],SUM(Mecze[[#This Row],[/PR:90]:[/BR:90]]))</f>
        <v>0.16176470588235292</v>
      </c>
      <c r="Z1650" s="35">
        <f>IF(Mecze[[#This Row],[KC]]=0,SUM(Mecze[[#This Row],[/BRI]:[/NPI]]),SUM(Mecze[[#This Row],[/BRI]:[/NPI]])*0.6)</f>
        <v>0.75367647058823517</v>
      </c>
      <c r="AA1650" s="10">
        <f>IFERROR(Mecze[[#This Row],[BR]]/Mecze[[#This Row],[ST]],0)</f>
        <v>0</v>
      </c>
      <c r="AB1650">
        <f>ROUND(Mecze[[#This Row],[PD]]*Mecze[[#This Row],[%PC]],0)</f>
        <v>4</v>
      </c>
      <c r="AC1650">
        <f>ROUND(Mecze[[#This Row],[OD]]*Mecze[[#This Row],[%OU]],0)</f>
        <v>2</v>
      </c>
      <c r="AD1650" s="36" t="s">
        <v>167</v>
      </c>
      <c r="AE1650" s="36">
        <v>89</v>
      </c>
      <c r="AF1650" s="71">
        <v>2.64</v>
      </c>
      <c r="AG1650" s="37">
        <v>0</v>
      </c>
      <c r="AH1650" s="37">
        <v>0</v>
      </c>
      <c r="AI1650" s="37">
        <v>68</v>
      </c>
      <c r="AJ1650" s="37">
        <v>4</v>
      </c>
      <c r="AK1650" s="37" t="str">
        <f>VLOOKUP(Mecze[[#This Row],[Match ID]],Meczusie[Mecz]:Meczusie[RodzajMeczu],2,FALSE)</f>
        <v>Liga</v>
      </c>
    </row>
    <row r="1651" spans="1:37" x14ac:dyDescent="0.25">
      <c r="A1651" s="76">
        <v>7</v>
      </c>
      <c r="B1651" s="3" t="s">
        <v>279</v>
      </c>
      <c r="C1651" s="2" t="s">
        <v>160</v>
      </c>
      <c r="D1651" s="1">
        <v>0</v>
      </c>
      <c r="E1651" s="1">
        <v>0</v>
      </c>
      <c r="F1651" s="1">
        <v>0</v>
      </c>
      <c r="G1651" s="1">
        <v>18</v>
      </c>
      <c r="H1651" s="4">
        <v>0.72</v>
      </c>
      <c r="I1651" s="1">
        <v>2</v>
      </c>
      <c r="J1651" s="4">
        <v>1</v>
      </c>
      <c r="K1651" s="1">
        <v>0</v>
      </c>
      <c r="L1651" s="1">
        <v>3</v>
      </c>
      <c r="M1651" s="32">
        <f>IF(Mecze[[#This Row],[PR]]=0,0,Mecze[[#This Row],[PR]]/Mecze[[#This Row],[CZAS]])</f>
        <v>3.1578947368421054E-2</v>
      </c>
      <c r="N1651" s="32">
        <f>IF(Mecze[[#This Row],[OU]]=0,0,Mecze[[#This Row],[OU]]/Mecze[[#This Row],[CZAS]])</f>
        <v>2.1052631578947368E-2</v>
      </c>
      <c r="O1651" s="32">
        <f>IF(Mecze[[#This Row],[PC]]=0,0,Mecze[[#This Row],[PC]]/Mecze[[#This Row],[CZAS]])</f>
        <v>0.1368421052631579</v>
      </c>
      <c r="P1651" s="32">
        <f>IF(Mecze[[#This Row],[SC]]=0,0,Mecze[[#This Row],[SC]]/Mecze[[#This Row],[CZAS]])</f>
        <v>0</v>
      </c>
      <c r="Q1651" s="32">
        <f>IF(Mecze[[#This Row],[OB]]=0,0,Mecze[[#This Row],[OB]]/Mecze[[#This Row],[CZAS]])</f>
        <v>0</v>
      </c>
      <c r="R1651" s="32">
        <f>IF(Mecze[[#This Row],[BR]]=0,0,Mecze[[#This Row],[BR]]/Mecze[[#This Row],[CZAS]])</f>
        <v>0</v>
      </c>
      <c r="S1651" s="44">
        <f>IF(Mecze[[#This Row],[Role]]="BR",SUMPRODUCT(Mecze[[#This Row],[/PR:90]:[/BR:90]],Brudnopis!$E$23:$J$23),0)</f>
        <v>0</v>
      </c>
      <c r="T1651" s="44">
        <f>IF(Mecze[[#This Row],[Role]]&lt;&gt;"BR",SUMPRODUCT(Mecze[[#This Row],[/PR:90]:[/BR:90]],Brudnopis!$E$24:$J$24),0)</f>
        <v>0.2</v>
      </c>
      <c r="U1651" s="44">
        <f>IF(Mecze[[#This Row],[Role]]&lt;&gt;"BR",SUMPRODUCT(Mecze[[#This Row],[/PR:90]:[/BR:90]],Brudnopis!$E$25:$J$25),0)</f>
        <v>0.25789473684210529</v>
      </c>
      <c r="V1651" s="44">
        <f>IF(Mecze[[#This Row],[Role]]&lt;&gt;"BR",SUMPRODUCT(Mecze[[#This Row],[/PR:90]:[/BR:90]],Brudnopis!$E$26:$J$26),0)</f>
        <v>0.18947368421052632</v>
      </c>
      <c r="W1651" s="44">
        <f>IF(Mecze[[#This Row],[Role]]&lt;&gt;"BR",SUMPRODUCT(Mecze[[#This Row],[/PR:90]:[/BR:90]],Brudnopis!$E$27:$J$27),0)</f>
        <v>0.2447368421052632</v>
      </c>
      <c r="X1651" s="44">
        <f>IF(Mecze[[#This Row],[Role]]&lt;&gt;"BR",SUMPRODUCT(Mecze[[#This Row],[/PR:90]:[/BR:90]],Brudnopis!$E$28:$J$28),0)</f>
        <v>0.1368421052631579</v>
      </c>
      <c r="Y1651" s="35">
        <f>IF(Mecze[[#This Row],[Role]]="BR",Mecze[[#This Row],[/OB:90]]+Mecze[[#This Row],[/PC:90]],SUM(Mecze[[#This Row],[/PR:90]:[/BR:90]]))</f>
        <v>0.18947368421052632</v>
      </c>
      <c r="Z1651" s="35">
        <f>IF(Mecze[[#This Row],[KC]]=0,SUM(Mecze[[#This Row],[/BRI]:[/NPI]]),SUM(Mecze[[#This Row],[/BRI]:[/NPI]])*0.6)</f>
        <v>1.0289473684210526</v>
      </c>
      <c r="AA1651" s="10">
        <f>IFERROR(Mecze[[#This Row],[BR]]/Mecze[[#This Row],[ST]],0)</f>
        <v>0</v>
      </c>
      <c r="AB1651">
        <f>ROUND(Mecze[[#This Row],[PD]]*Mecze[[#This Row],[%PC]],0)</f>
        <v>13</v>
      </c>
      <c r="AC1651">
        <f>ROUND(Mecze[[#This Row],[OD]]*Mecze[[#This Row],[%OU]],0)</f>
        <v>2</v>
      </c>
      <c r="AD1651" s="36" t="s">
        <v>41</v>
      </c>
      <c r="AE1651" s="36">
        <v>89</v>
      </c>
      <c r="AF1651" s="71">
        <v>4.54</v>
      </c>
      <c r="AG1651" s="37">
        <v>0</v>
      </c>
      <c r="AH1651" s="37">
        <v>0</v>
      </c>
      <c r="AI1651" s="37">
        <v>95</v>
      </c>
      <c r="AJ1651" s="37">
        <v>4</v>
      </c>
      <c r="AK1651" s="37" t="str">
        <f>VLOOKUP(Mecze[[#This Row],[Match ID]],Meczusie[Mecz]:Meczusie[RodzajMeczu],2,FALSE)</f>
        <v>Liga</v>
      </c>
    </row>
    <row r="1652" spans="1:37" x14ac:dyDescent="0.25">
      <c r="A1652" s="76">
        <v>12</v>
      </c>
      <c r="B1652" s="3" t="s">
        <v>278</v>
      </c>
      <c r="C1652" s="2" t="s">
        <v>160</v>
      </c>
      <c r="D1652" s="1">
        <v>0</v>
      </c>
      <c r="E1652" s="1">
        <v>0</v>
      </c>
      <c r="F1652" s="1">
        <v>0</v>
      </c>
      <c r="G1652" s="1">
        <v>20</v>
      </c>
      <c r="H1652" s="4">
        <v>0.75</v>
      </c>
      <c r="I1652" s="1">
        <v>6</v>
      </c>
      <c r="J1652" s="4">
        <v>0.33</v>
      </c>
      <c r="K1652" s="1">
        <v>0</v>
      </c>
      <c r="L1652" s="1">
        <v>7</v>
      </c>
      <c r="M1652" s="32">
        <f>IF(Mecze[[#This Row],[PR]]=0,0,Mecze[[#This Row],[PR]]/Mecze[[#This Row],[CZAS]])</f>
        <v>7.3684210526315783E-2</v>
      </c>
      <c r="N1652" s="32">
        <f>IF(Mecze[[#This Row],[OU]]=0,0,Mecze[[#This Row],[OU]]/Mecze[[#This Row],[CZAS]])</f>
        <v>2.1052631578947368E-2</v>
      </c>
      <c r="O1652" s="32">
        <f>IF(Mecze[[#This Row],[PC]]=0,0,Mecze[[#This Row],[PC]]/Mecze[[#This Row],[CZAS]])</f>
        <v>0.15789473684210525</v>
      </c>
      <c r="P1652" s="32">
        <f>IF(Mecze[[#This Row],[SC]]=0,0,Mecze[[#This Row],[SC]]/Mecze[[#This Row],[CZAS]])</f>
        <v>0</v>
      </c>
      <c r="Q1652" s="32">
        <f>IF(Mecze[[#This Row],[OB]]=0,0,Mecze[[#This Row],[OB]]/Mecze[[#This Row],[CZAS]])</f>
        <v>0</v>
      </c>
      <c r="R1652" s="32">
        <f>IF(Mecze[[#This Row],[BR]]=0,0,Mecze[[#This Row],[BR]]/Mecze[[#This Row],[CZAS]])</f>
        <v>0</v>
      </c>
      <c r="S1652" s="44">
        <f>IF(Mecze[[#This Row],[Role]]="BR",SUMPRODUCT(Mecze[[#This Row],[/PR:90]:[/BR:90]],Brudnopis!$E$23:$J$23),0)</f>
        <v>0</v>
      </c>
      <c r="T1652" s="44">
        <f>IF(Mecze[[#This Row],[Role]]&lt;&gt;"BR",SUMPRODUCT(Mecze[[#This Row],[/PR:90]:[/BR:90]],Brudnopis!$E$24:$J$24),0)</f>
        <v>0.26315789473684209</v>
      </c>
      <c r="U1652" s="44">
        <f>IF(Mecze[[#This Row],[Role]]&lt;&gt;"BR",SUMPRODUCT(Mecze[[#This Row],[/PR:90]:[/BR:90]],Brudnopis!$E$25:$J$25),0)</f>
        <v>0.33157894736842103</v>
      </c>
      <c r="V1652" s="44">
        <f>IF(Mecze[[#This Row],[Role]]&lt;&gt;"BR",SUMPRODUCT(Mecze[[#This Row],[/PR:90]:[/BR:90]],Brudnopis!$E$26:$J$26),0)</f>
        <v>0.25263157894736843</v>
      </c>
      <c r="W1652" s="44">
        <f>IF(Mecze[[#This Row],[Role]]&lt;&gt;"BR",SUMPRODUCT(Mecze[[#This Row],[/PR:90]:[/BR:90]],Brudnopis!$E$27:$J$27),0)</f>
        <v>0.30789473684210522</v>
      </c>
      <c r="X1652" s="44">
        <f>IF(Mecze[[#This Row],[Role]]&lt;&gt;"BR",SUMPRODUCT(Mecze[[#This Row],[/PR:90]:[/BR:90]],Brudnopis!$E$28:$J$28),0)</f>
        <v>0.15789473684210525</v>
      </c>
      <c r="Y1652" s="35">
        <f>IF(Mecze[[#This Row],[Role]]="BR",Mecze[[#This Row],[/OB:90]]+Mecze[[#This Row],[/PC:90]],SUM(Mecze[[#This Row],[/PR:90]:[/BR:90]]))</f>
        <v>0.25263157894736843</v>
      </c>
      <c r="Z1652" s="35">
        <f>IF(Mecze[[#This Row],[KC]]=0,SUM(Mecze[[#This Row],[/BRI]:[/NPI]]),SUM(Mecze[[#This Row],[/BRI]:[/NPI]])*0.6)</f>
        <v>1.3131578947368421</v>
      </c>
      <c r="AA1652" s="10">
        <f>IFERROR(Mecze[[#This Row],[BR]]/Mecze[[#This Row],[ST]],0)</f>
        <v>0</v>
      </c>
      <c r="AB1652">
        <f>ROUND(Mecze[[#This Row],[PD]]*Mecze[[#This Row],[%PC]],0)</f>
        <v>15</v>
      </c>
      <c r="AC1652">
        <f>ROUND(Mecze[[#This Row],[OD]]*Mecze[[#This Row],[%OU]],0)</f>
        <v>2</v>
      </c>
      <c r="AD1652" s="36" t="s">
        <v>41</v>
      </c>
      <c r="AE1652" s="36">
        <v>89</v>
      </c>
      <c r="AF1652" s="71">
        <v>5.38</v>
      </c>
      <c r="AG1652" s="37">
        <v>0</v>
      </c>
      <c r="AH1652" s="37">
        <v>0</v>
      </c>
      <c r="AI1652" s="37">
        <v>95</v>
      </c>
      <c r="AJ1652" s="37">
        <v>4</v>
      </c>
      <c r="AK1652" s="37" t="str">
        <f>VLOOKUP(Mecze[[#This Row],[Match ID]],Meczusie[Mecz]:Meczusie[RodzajMeczu],2,FALSE)</f>
        <v>Liga</v>
      </c>
    </row>
    <row r="1653" spans="1:37" x14ac:dyDescent="0.25">
      <c r="A1653" s="76">
        <v>6</v>
      </c>
      <c r="B1653" s="3" t="s">
        <v>280</v>
      </c>
      <c r="C1653" s="2" t="s">
        <v>160</v>
      </c>
      <c r="D1653" s="1">
        <v>0</v>
      </c>
      <c r="E1653" s="1">
        <v>3</v>
      </c>
      <c r="F1653" s="1">
        <v>3</v>
      </c>
      <c r="G1653" s="1">
        <v>15</v>
      </c>
      <c r="H1653" s="4">
        <v>0.87</v>
      </c>
      <c r="I1653" s="1">
        <v>3</v>
      </c>
      <c r="J1653" s="4">
        <v>0.33</v>
      </c>
      <c r="K1653" s="1">
        <v>0</v>
      </c>
      <c r="L1653" s="1">
        <v>4</v>
      </c>
      <c r="M1653" s="32">
        <f>IF(Mecze[[#This Row],[PR]]=0,0,Mecze[[#This Row],[PR]]/Mecze[[#This Row],[CZAS]])</f>
        <v>4.2105263157894736E-2</v>
      </c>
      <c r="N1653" s="32">
        <f>IF(Mecze[[#This Row],[OU]]=0,0,Mecze[[#This Row],[OU]]/Mecze[[#This Row],[CZAS]])</f>
        <v>1.0526315789473684E-2</v>
      </c>
      <c r="O1653" s="32">
        <f>IF(Mecze[[#This Row],[PC]]=0,0,Mecze[[#This Row],[PC]]/Mecze[[#This Row],[CZAS]])</f>
        <v>0.1368421052631579</v>
      </c>
      <c r="P1653" s="32">
        <f>IF(Mecze[[#This Row],[SC]]=0,0,Mecze[[#This Row],[SC]]/Mecze[[#This Row],[CZAS]])</f>
        <v>3.1578947368421054E-2</v>
      </c>
      <c r="Q1653" s="32">
        <f>IF(Mecze[[#This Row],[OB]]=0,0,Mecze[[#This Row],[OB]]/Mecze[[#This Row],[CZAS]])</f>
        <v>0</v>
      </c>
      <c r="R1653" s="32">
        <f>IF(Mecze[[#This Row],[BR]]=0,0,Mecze[[#This Row],[BR]]/Mecze[[#This Row],[CZAS]])</f>
        <v>0</v>
      </c>
      <c r="S1653" s="44">
        <f>IF(Mecze[[#This Row],[Role]]="BR",SUMPRODUCT(Mecze[[#This Row],[/PR:90]:[/BR:90]],Brudnopis!$E$23:$J$23),0)</f>
        <v>0</v>
      </c>
      <c r="T1653" s="44">
        <f>IF(Mecze[[#This Row],[Role]]&lt;&gt;"BR",SUMPRODUCT(Mecze[[#This Row],[/PR:90]:[/BR:90]],Brudnopis!$E$24:$J$24),0)</f>
        <v>0.22631578947368419</v>
      </c>
      <c r="U1653" s="44">
        <f>IF(Mecze[[#This Row],[Role]]&lt;&gt;"BR",SUMPRODUCT(Mecze[[#This Row],[/PR:90]:[/BR:90]],Brudnopis!$E$25:$J$25),0)</f>
        <v>0.28947368421052633</v>
      </c>
      <c r="V1653" s="44">
        <f>IF(Mecze[[#This Row],[Role]]&lt;&gt;"BR",SUMPRODUCT(Mecze[[#This Row],[/PR:90]:[/BR:90]],Brudnopis!$E$26:$J$26),0)</f>
        <v>0.22105263157894739</v>
      </c>
      <c r="W1653" s="44">
        <f>IF(Mecze[[#This Row],[Role]]&lt;&gt;"BR",SUMPRODUCT(Mecze[[#This Row],[/PR:90]:[/BR:90]],Brudnopis!$E$27:$J$27),0)</f>
        <v>0.27631578947368424</v>
      </c>
      <c r="X1653" s="44">
        <f>IF(Mecze[[#This Row],[Role]]&lt;&gt;"BR",SUMPRODUCT(Mecze[[#This Row],[/PR:90]:[/BR:90]],Brudnopis!$E$28:$J$28),0)</f>
        <v>0.2</v>
      </c>
      <c r="Y1653" s="35">
        <f>IF(Mecze[[#This Row],[Role]]="BR",Mecze[[#This Row],[/OB:90]]+Mecze[[#This Row],[/PC:90]],SUM(Mecze[[#This Row],[/PR:90]:[/BR:90]]))</f>
        <v>0.22105263157894739</v>
      </c>
      <c r="Z1653" s="35">
        <f>IF(Mecze[[#This Row],[KC]]=0,SUM(Mecze[[#This Row],[/BRI]:[/NPI]]),SUM(Mecze[[#This Row],[/BRI]:[/NPI]])*0.6)</f>
        <v>1.2131578947368422</v>
      </c>
      <c r="AA1653" s="10">
        <f>IFERROR(Mecze[[#This Row],[BR]]/Mecze[[#This Row],[ST]],0)</f>
        <v>0</v>
      </c>
      <c r="AB1653">
        <f>ROUND(Mecze[[#This Row],[PD]]*Mecze[[#This Row],[%PC]],0)</f>
        <v>13</v>
      </c>
      <c r="AC1653">
        <f>ROUND(Mecze[[#This Row],[OD]]*Mecze[[#This Row],[%OU]],0)</f>
        <v>1</v>
      </c>
      <c r="AD1653" s="36" t="s">
        <v>67</v>
      </c>
      <c r="AE1653" s="36">
        <v>89</v>
      </c>
      <c r="AF1653" s="71">
        <v>6.35</v>
      </c>
      <c r="AG1653" s="37">
        <v>0</v>
      </c>
      <c r="AH1653" s="37">
        <v>0</v>
      </c>
      <c r="AI1653" s="37">
        <v>95</v>
      </c>
      <c r="AJ1653" s="37">
        <v>4</v>
      </c>
      <c r="AK1653" s="37" t="str">
        <f>VLOOKUP(Mecze[[#This Row],[Match ID]],Meczusie[Mecz]:Meczusie[RodzajMeczu],2,FALSE)</f>
        <v>Liga</v>
      </c>
    </row>
    <row r="1654" spans="1:37" x14ac:dyDescent="0.25">
      <c r="A1654" s="76">
        <v>14</v>
      </c>
      <c r="B1654" s="3" t="s">
        <v>281</v>
      </c>
      <c r="C1654" s="2" t="s">
        <v>160</v>
      </c>
      <c r="D1654" s="1">
        <v>1</v>
      </c>
      <c r="E1654" s="1">
        <v>1</v>
      </c>
      <c r="F1654" s="1">
        <v>1</v>
      </c>
      <c r="G1654" s="1">
        <v>14</v>
      </c>
      <c r="H1654" s="4">
        <v>0.64</v>
      </c>
      <c r="I1654" s="1">
        <v>4</v>
      </c>
      <c r="J1654" s="4">
        <v>0.75</v>
      </c>
      <c r="K1654" s="1">
        <v>0</v>
      </c>
      <c r="L1654" s="1">
        <v>0</v>
      </c>
      <c r="M1654" s="32">
        <f>IF(Mecze[[#This Row],[PR]]=0,0,Mecze[[#This Row],[PR]]/Mecze[[#This Row],[CZAS]])</f>
        <v>0</v>
      </c>
      <c r="N1654" s="32">
        <f>IF(Mecze[[#This Row],[OU]]=0,0,Mecze[[#This Row],[OU]]/Mecze[[#This Row],[CZAS]])</f>
        <v>3.1578947368421054E-2</v>
      </c>
      <c r="O1654" s="32">
        <f>IF(Mecze[[#This Row],[PC]]=0,0,Mecze[[#This Row],[PC]]/Mecze[[#This Row],[CZAS]])</f>
        <v>9.4736842105263161E-2</v>
      </c>
      <c r="P1654" s="32">
        <f>IF(Mecze[[#This Row],[SC]]=0,0,Mecze[[#This Row],[SC]]/Mecze[[#This Row],[CZAS]])</f>
        <v>1.0526315789473684E-2</v>
      </c>
      <c r="Q1654" s="32">
        <f>IF(Mecze[[#This Row],[OB]]=0,0,Mecze[[#This Row],[OB]]/Mecze[[#This Row],[CZAS]])</f>
        <v>0</v>
      </c>
      <c r="R1654" s="32">
        <f>IF(Mecze[[#This Row],[BR]]=0,0,Mecze[[#This Row],[BR]]/Mecze[[#This Row],[CZAS]])</f>
        <v>1.0526315789473684E-2</v>
      </c>
      <c r="S1654" s="44">
        <f>IF(Mecze[[#This Row],[Role]]="BR",SUMPRODUCT(Mecze[[#This Row],[/PR:90]:[/BR:90]],Brudnopis!$E$23:$J$23),0)</f>
        <v>0</v>
      </c>
      <c r="T1654" s="44">
        <f>IF(Mecze[[#This Row],[Role]]&lt;&gt;"BR",SUMPRODUCT(Mecze[[#This Row],[/PR:90]:[/BR:90]],Brudnopis!$E$24:$J$24),0)</f>
        <v>0.16842105263157894</v>
      </c>
      <c r="U1654" s="44">
        <f>IF(Mecze[[#This Row],[Role]]&lt;&gt;"BR",SUMPRODUCT(Mecze[[#This Row],[/PR:90]:[/BR:90]],Brudnopis!$E$25:$J$25),0)</f>
        <v>0.19999999999999998</v>
      </c>
      <c r="V1654" s="44">
        <f>IF(Mecze[[#This Row],[Role]]&lt;&gt;"BR",SUMPRODUCT(Mecze[[#This Row],[/PR:90]:[/BR:90]],Brudnopis!$E$26:$J$26),0)</f>
        <v>0.15789473684210528</v>
      </c>
      <c r="W1654" s="44">
        <f>IF(Mecze[[#This Row],[Role]]&lt;&gt;"BR",SUMPRODUCT(Mecze[[#This Row],[/PR:90]:[/BR:90]],Brudnopis!$E$27:$J$27),0)</f>
        <v>0.19736842105263158</v>
      </c>
      <c r="X1654" s="44">
        <f>IF(Mecze[[#This Row],[Role]]&lt;&gt;"BR",SUMPRODUCT(Mecze[[#This Row],[/PR:90]:[/BR:90]],Brudnopis!$E$28:$J$28),0)</f>
        <v>0.14736842105263159</v>
      </c>
      <c r="Y1654" s="35">
        <f>IF(Mecze[[#This Row],[Role]]="BR",Mecze[[#This Row],[/OB:90]]+Mecze[[#This Row],[/PC:90]],SUM(Mecze[[#This Row],[/PR:90]:[/BR:90]]))</f>
        <v>0.14736842105263159</v>
      </c>
      <c r="Z1654" s="35">
        <f>IF(Mecze[[#This Row],[KC]]=0,SUM(Mecze[[#This Row],[/BRI]:[/NPI]]),SUM(Mecze[[#This Row],[/BRI]:[/NPI]])*0.6)</f>
        <v>0.8710526315789473</v>
      </c>
      <c r="AA1654" s="10">
        <f>IFERROR(Mecze[[#This Row],[BR]]/Mecze[[#This Row],[ST]],0)</f>
        <v>1</v>
      </c>
      <c r="AB1654">
        <f>ROUND(Mecze[[#This Row],[PD]]*Mecze[[#This Row],[%PC]],0)</f>
        <v>9</v>
      </c>
      <c r="AC1654">
        <f>ROUND(Mecze[[#This Row],[OD]]*Mecze[[#This Row],[%OU]],0)</f>
        <v>3</v>
      </c>
      <c r="AD1654" s="36" t="s">
        <v>171</v>
      </c>
      <c r="AE1654" s="36">
        <v>89</v>
      </c>
      <c r="AF1654" s="71">
        <v>6.25</v>
      </c>
      <c r="AG1654" s="37">
        <v>0</v>
      </c>
      <c r="AH1654" s="37">
        <v>0</v>
      </c>
      <c r="AI1654" s="37">
        <v>95</v>
      </c>
      <c r="AJ1654" s="37">
        <v>4</v>
      </c>
      <c r="AK1654" s="37" t="str">
        <f>VLOOKUP(Mecze[[#This Row],[Match ID]],Meczusie[Mecz]:Meczusie[RodzajMeczu],2,FALSE)</f>
        <v>Liga</v>
      </c>
    </row>
    <row r="1655" spans="1:37" x14ac:dyDescent="0.25">
      <c r="A1655" s="76">
        <v>11</v>
      </c>
      <c r="B1655" s="3" t="s">
        <v>282</v>
      </c>
      <c r="C1655" s="2" t="s">
        <v>165</v>
      </c>
      <c r="D1655" s="1">
        <v>0</v>
      </c>
      <c r="E1655" s="1">
        <v>2</v>
      </c>
      <c r="F1655" s="1">
        <v>1</v>
      </c>
      <c r="G1655" s="1">
        <v>8</v>
      </c>
      <c r="H1655" s="4">
        <v>0.63</v>
      </c>
      <c r="I1655" s="1">
        <v>1</v>
      </c>
      <c r="J1655" s="4">
        <v>0</v>
      </c>
      <c r="K1655" s="1">
        <v>0</v>
      </c>
      <c r="L1655" s="1">
        <v>0</v>
      </c>
      <c r="M1655" s="32">
        <f>IF(Mecze[[#This Row],[PR]]=0,0,Mecze[[#This Row],[PR]]/Mecze[[#This Row],[CZAS]])</f>
        <v>0</v>
      </c>
      <c r="N1655" s="32">
        <f>IF(Mecze[[#This Row],[OU]]=0,0,Mecze[[#This Row],[OU]]/Mecze[[#This Row],[CZAS]])</f>
        <v>0</v>
      </c>
      <c r="O1655" s="32">
        <f>IF(Mecze[[#This Row],[PC]]=0,0,Mecze[[#This Row],[PC]]/Mecze[[#This Row],[CZAS]])</f>
        <v>7.4626865671641784E-2</v>
      </c>
      <c r="P1655" s="32">
        <f>IF(Mecze[[#This Row],[SC]]=0,0,Mecze[[#This Row],[SC]]/Mecze[[#This Row],[CZAS]])</f>
        <v>1.4925373134328358E-2</v>
      </c>
      <c r="Q1655" s="32">
        <f>IF(Mecze[[#This Row],[OB]]=0,0,Mecze[[#This Row],[OB]]/Mecze[[#This Row],[CZAS]])</f>
        <v>0</v>
      </c>
      <c r="R1655" s="32">
        <f>IF(Mecze[[#This Row],[BR]]=0,0,Mecze[[#This Row],[BR]]/Mecze[[#This Row],[CZAS]])</f>
        <v>0</v>
      </c>
      <c r="S1655" s="44">
        <f>IF(Mecze[[#This Row],[Role]]="BR",SUMPRODUCT(Mecze[[#This Row],[/PR:90]:[/BR:90]],Brudnopis!$E$23:$J$23),0)</f>
        <v>0</v>
      </c>
      <c r="T1655" s="44">
        <f>IF(Mecze[[#This Row],[Role]]&lt;&gt;"BR",SUMPRODUCT(Mecze[[#This Row],[/PR:90]:[/BR:90]],Brudnopis!$E$24:$J$24),0)</f>
        <v>8.9552238805970144E-2</v>
      </c>
      <c r="U1655" s="44">
        <f>IF(Mecze[[#This Row],[Role]]&lt;&gt;"BR",SUMPRODUCT(Mecze[[#This Row],[/PR:90]:[/BR:90]],Brudnopis!$E$25:$J$25),0)</f>
        <v>0.12686567164179102</v>
      </c>
      <c r="V1655" s="44">
        <f>IF(Mecze[[#This Row],[Role]]&lt;&gt;"BR",SUMPRODUCT(Mecze[[#This Row],[/PR:90]:[/BR:90]],Brudnopis!$E$26:$J$26),0)</f>
        <v>8.9552238805970144E-2</v>
      </c>
      <c r="W1655" s="44">
        <f>IF(Mecze[[#This Row],[Role]]&lt;&gt;"BR",SUMPRODUCT(Mecze[[#This Row],[/PR:90]:[/BR:90]],Brudnopis!$E$27:$J$27),0)</f>
        <v>0.12686567164179102</v>
      </c>
      <c r="X1655" s="44">
        <f>IF(Mecze[[#This Row],[Role]]&lt;&gt;"BR",SUMPRODUCT(Mecze[[#This Row],[/PR:90]:[/BR:90]],Brudnopis!$E$28:$J$28),0)</f>
        <v>0.1044776119402985</v>
      </c>
      <c r="Y1655" s="35">
        <f>IF(Mecze[[#This Row],[Role]]="BR",Mecze[[#This Row],[/OB:90]]+Mecze[[#This Row],[/PC:90]],SUM(Mecze[[#This Row],[/PR:90]:[/BR:90]]))</f>
        <v>8.9552238805970144E-2</v>
      </c>
      <c r="Z1655" s="35">
        <f>IF(Mecze[[#This Row],[KC]]=0,SUM(Mecze[[#This Row],[/BRI]:[/NPI]]),SUM(Mecze[[#This Row],[/BRI]:[/NPI]])*0.6)</f>
        <v>0.53731343283582078</v>
      </c>
      <c r="AA1655" s="10">
        <f>IFERROR(Mecze[[#This Row],[BR]]/Mecze[[#This Row],[ST]],0)</f>
        <v>0</v>
      </c>
      <c r="AB1655">
        <f>ROUND(Mecze[[#This Row],[PD]]*Mecze[[#This Row],[%PC]],0)</f>
        <v>5</v>
      </c>
      <c r="AC1655">
        <f>ROUND(Mecze[[#This Row],[OD]]*Mecze[[#This Row],[%OU]],0)</f>
        <v>0</v>
      </c>
      <c r="AD1655" s="36" t="s">
        <v>46</v>
      </c>
      <c r="AE1655" s="36">
        <v>89</v>
      </c>
      <c r="AF1655" s="71">
        <v>4.26</v>
      </c>
      <c r="AG1655" s="37">
        <v>0</v>
      </c>
      <c r="AH1655" s="37">
        <v>0</v>
      </c>
      <c r="AI1655" s="37">
        <v>67</v>
      </c>
      <c r="AJ1655" s="37">
        <v>4</v>
      </c>
      <c r="AK1655" s="37" t="str">
        <f>VLOOKUP(Mecze[[#This Row],[Match ID]],Meczusie[Mecz]:Meczusie[RodzajMeczu],2,FALSE)</f>
        <v>Liga</v>
      </c>
    </row>
    <row r="1656" spans="1:37" x14ac:dyDescent="0.25">
      <c r="A1656" s="76">
        <v>8</v>
      </c>
      <c r="B1656" s="3" t="s">
        <v>283</v>
      </c>
      <c r="C1656" s="2" t="s">
        <v>165</v>
      </c>
      <c r="D1656" s="1">
        <v>0</v>
      </c>
      <c r="E1656" s="1">
        <v>0</v>
      </c>
      <c r="F1656" s="1">
        <v>0</v>
      </c>
      <c r="G1656" s="1">
        <v>5</v>
      </c>
      <c r="H1656" s="4">
        <v>0.8</v>
      </c>
      <c r="I1656" s="1">
        <v>2</v>
      </c>
      <c r="J1656" s="4">
        <v>0.5</v>
      </c>
      <c r="K1656" s="1">
        <v>0</v>
      </c>
      <c r="L1656" s="1">
        <v>4</v>
      </c>
      <c r="M1656" s="32">
        <f>IF(Mecze[[#This Row],[PR]]=0,0,Mecze[[#This Row],[PR]]/Mecze[[#This Row],[CZAS]])</f>
        <v>4.2105263157894736E-2</v>
      </c>
      <c r="N1656" s="32">
        <f>IF(Mecze[[#This Row],[OU]]=0,0,Mecze[[#This Row],[OU]]/Mecze[[#This Row],[CZAS]])</f>
        <v>1.0526315789473684E-2</v>
      </c>
      <c r="O1656" s="32">
        <f>IF(Mecze[[#This Row],[PC]]=0,0,Mecze[[#This Row],[PC]]/Mecze[[#This Row],[CZAS]])</f>
        <v>4.2105263157894736E-2</v>
      </c>
      <c r="P1656" s="32">
        <f>IF(Mecze[[#This Row],[SC]]=0,0,Mecze[[#This Row],[SC]]/Mecze[[#This Row],[CZAS]])</f>
        <v>0</v>
      </c>
      <c r="Q1656" s="32">
        <f>IF(Mecze[[#This Row],[OB]]=0,0,Mecze[[#This Row],[OB]]/Mecze[[#This Row],[CZAS]])</f>
        <v>0</v>
      </c>
      <c r="R1656" s="32">
        <f>IF(Mecze[[#This Row],[BR]]=0,0,Mecze[[#This Row],[BR]]/Mecze[[#This Row],[CZAS]])</f>
        <v>0</v>
      </c>
      <c r="S1656" s="44">
        <f>IF(Mecze[[#This Row],[Role]]="BR",SUMPRODUCT(Mecze[[#This Row],[/PR:90]:[/BR:90]],Brudnopis!$E$23:$J$23),0)</f>
        <v>0</v>
      </c>
      <c r="T1656" s="44">
        <f>IF(Mecze[[#This Row],[Role]]&lt;&gt;"BR",SUMPRODUCT(Mecze[[#This Row],[/PR:90]:[/BR:90]],Brudnopis!$E$24:$J$24),0)</f>
        <v>0.1</v>
      </c>
      <c r="U1656" s="44">
        <f>IF(Mecze[[#This Row],[Role]]&lt;&gt;"BR",SUMPRODUCT(Mecze[[#This Row],[/PR:90]:[/BR:90]],Brudnopis!$E$25:$J$25),0)</f>
        <v>0.11578947368421053</v>
      </c>
      <c r="V1656" s="44">
        <f>IF(Mecze[[#This Row],[Role]]&lt;&gt;"BR",SUMPRODUCT(Mecze[[#This Row],[/PR:90]:[/BR:90]],Brudnopis!$E$26:$J$26),0)</f>
        <v>9.4736842105263147E-2</v>
      </c>
      <c r="W1656" s="44">
        <f>IF(Mecze[[#This Row],[Role]]&lt;&gt;"BR",SUMPRODUCT(Mecze[[#This Row],[/PR:90]:[/BR:90]],Brudnopis!$E$27:$J$27),0)</f>
        <v>0.10263157894736842</v>
      </c>
      <c r="X1656" s="44">
        <f>IF(Mecze[[#This Row],[Role]]&lt;&gt;"BR",SUMPRODUCT(Mecze[[#This Row],[/PR:90]:[/BR:90]],Brudnopis!$E$28:$J$28),0)</f>
        <v>4.2105263157894736E-2</v>
      </c>
      <c r="Y1656" s="35">
        <f>IF(Mecze[[#This Row],[Role]]="BR",Mecze[[#This Row],[/OB:90]]+Mecze[[#This Row],[/PC:90]],SUM(Mecze[[#This Row],[/PR:90]:[/BR:90]]))</f>
        <v>9.4736842105263147E-2</v>
      </c>
      <c r="Z1656" s="35">
        <f>IF(Mecze[[#This Row],[KC]]=0,SUM(Mecze[[#This Row],[/BRI]:[/NPI]]),SUM(Mecze[[#This Row],[/BRI]:[/NPI]])*0.6)</f>
        <v>0.45526315789473681</v>
      </c>
      <c r="AA1656" s="10">
        <f>IFERROR(Mecze[[#This Row],[BR]]/Mecze[[#This Row],[ST]],0)</f>
        <v>0</v>
      </c>
      <c r="AB1656">
        <f>ROUND(Mecze[[#This Row],[PD]]*Mecze[[#This Row],[%PC]],0)</f>
        <v>4</v>
      </c>
      <c r="AC1656">
        <f>ROUND(Mecze[[#This Row],[OD]]*Mecze[[#This Row],[%OU]],0)</f>
        <v>1</v>
      </c>
      <c r="AD1656" s="36" t="s">
        <v>273</v>
      </c>
      <c r="AE1656" s="36">
        <v>89</v>
      </c>
      <c r="AF1656" s="71">
        <v>4.96</v>
      </c>
      <c r="AG1656" s="37">
        <v>0</v>
      </c>
      <c r="AH1656" s="37">
        <v>0</v>
      </c>
      <c r="AI1656" s="37">
        <v>95</v>
      </c>
      <c r="AJ1656" s="37">
        <v>4</v>
      </c>
      <c r="AK1656" s="37" t="str">
        <f>VLOOKUP(Mecze[[#This Row],[Match ID]],Meczusie[Mecz]:Meczusie[RodzajMeczu],2,FALSE)</f>
        <v>Liga</v>
      </c>
    </row>
    <row r="1657" spans="1:37" x14ac:dyDescent="0.25">
      <c r="A1657" s="76">
        <v>10</v>
      </c>
      <c r="B1657" s="3" t="s">
        <v>284</v>
      </c>
      <c r="C1657" s="2" t="s">
        <v>165</v>
      </c>
      <c r="D1657" s="1">
        <v>1</v>
      </c>
      <c r="E1657" s="1">
        <v>5</v>
      </c>
      <c r="F1657" s="1">
        <v>4</v>
      </c>
      <c r="G1657" s="1">
        <v>7</v>
      </c>
      <c r="H1657" s="4">
        <v>1</v>
      </c>
      <c r="I1657" s="1">
        <v>5</v>
      </c>
      <c r="J1657" s="4">
        <v>0.8</v>
      </c>
      <c r="K1657" s="1">
        <v>0</v>
      </c>
      <c r="L1657" s="1">
        <v>0</v>
      </c>
      <c r="M1657" s="32">
        <f>IF(Mecze[[#This Row],[PR]]=0,0,Mecze[[#This Row],[PR]]/Mecze[[#This Row],[CZAS]])</f>
        <v>0</v>
      </c>
      <c r="N1657" s="32">
        <f>IF(Mecze[[#This Row],[OU]]=0,0,Mecze[[#This Row],[OU]]/Mecze[[#This Row],[CZAS]])</f>
        <v>4.2105263157894736E-2</v>
      </c>
      <c r="O1657" s="32">
        <f>IF(Mecze[[#This Row],[PC]]=0,0,Mecze[[#This Row],[PC]]/Mecze[[#This Row],[CZAS]])</f>
        <v>7.3684210526315783E-2</v>
      </c>
      <c r="P1657" s="32">
        <f>IF(Mecze[[#This Row],[SC]]=0,0,Mecze[[#This Row],[SC]]/Mecze[[#This Row],[CZAS]])</f>
        <v>4.2105263157894736E-2</v>
      </c>
      <c r="Q1657" s="32">
        <f>IF(Mecze[[#This Row],[OB]]=0,0,Mecze[[#This Row],[OB]]/Mecze[[#This Row],[CZAS]])</f>
        <v>0</v>
      </c>
      <c r="R1657" s="32">
        <f>IF(Mecze[[#This Row],[BR]]=0,0,Mecze[[#This Row],[BR]]/Mecze[[#This Row],[CZAS]])</f>
        <v>1.0526315789473684E-2</v>
      </c>
      <c r="S1657" s="44">
        <f>IF(Mecze[[#This Row],[Role]]="BR",SUMPRODUCT(Mecze[[#This Row],[/PR:90]:[/BR:90]],Brudnopis!$E$23:$J$23),0)</f>
        <v>0</v>
      </c>
      <c r="T1657" s="44">
        <f>IF(Mecze[[#This Row],[Role]]&lt;&gt;"BR",SUMPRODUCT(Mecze[[#This Row],[/PR:90]:[/BR:90]],Brudnopis!$E$24:$J$24),0)</f>
        <v>0.19473684210526312</v>
      </c>
      <c r="U1657" s="44">
        <f>IF(Mecze[[#This Row],[Role]]&lt;&gt;"BR",SUMPRODUCT(Mecze[[#This Row],[/PR:90]:[/BR:90]],Brudnopis!$E$25:$J$25),0)</f>
        <v>0.21052631578947364</v>
      </c>
      <c r="V1657" s="44">
        <f>IF(Mecze[[#This Row],[Role]]&lt;&gt;"BR",SUMPRODUCT(Mecze[[#This Row],[/PR:90]:[/BR:90]],Brudnopis!$E$26:$J$26),0)</f>
        <v>0.17894736842105263</v>
      </c>
      <c r="W1657" s="44">
        <f>IF(Mecze[[#This Row],[Role]]&lt;&gt;"BR",SUMPRODUCT(Mecze[[#This Row],[/PR:90]:[/BR:90]],Brudnopis!$E$27:$J$27),0)</f>
        <v>0.20526315789473684</v>
      </c>
      <c r="X1657" s="44">
        <f>IF(Mecze[[#This Row],[Role]]&lt;&gt;"BR",SUMPRODUCT(Mecze[[#This Row],[/PR:90]:[/BR:90]],Brudnopis!$E$28:$J$28),0)</f>
        <v>0.18947368421052629</v>
      </c>
      <c r="Y1657" s="35">
        <f>IF(Mecze[[#This Row],[Role]]="BR",Mecze[[#This Row],[/OB:90]]+Mecze[[#This Row],[/PC:90]],SUM(Mecze[[#This Row],[/PR:90]:[/BR:90]]))</f>
        <v>0.16842105263157894</v>
      </c>
      <c r="Z1657" s="35">
        <f>IF(Mecze[[#This Row],[KC]]=0,SUM(Mecze[[#This Row],[/BRI]:[/NPI]]),SUM(Mecze[[#This Row],[/BRI]:[/NPI]])*0.6)</f>
        <v>0.97894736842105257</v>
      </c>
      <c r="AA1657" s="10">
        <f>IFERROR(Mecze[[#This Row],[BR]]/Mecze[[#This Row],[ST]],0)</f>
        <v>0.2</v>
      </c>
      <c r="AB1657">
        <f>ROUND(Mecze[[#This Row],[PD]]*Mecze[[#This Row],[%PC]],0)</f>
        <v>7</v>
      </c>
      <c r="AC1657">
        <f>ROUND(Mecze[[#This Row],[OD]]*Mecze[[#This Row],[%OU]],0)</f>
        <v>4</v>
      </c>
      <c r="AD1657" s="36" t="s">
        <v>46</v>
      </c>
      <c r="AE1657" s="36">
        <v>89</v>
      </c>
      <c r="AF1657" s="71">
        <v>9.0299999999999994</v>
      </c>
      <c r="AG1657" s="37">
        <v>0</v>
      </c>
      <c r="AH1657" s="37">
        <v>0</v>
      </c>
      <c r="AI1657" s="37">
        <v>95</v>
      </c>
      <c r="AJ1657" s="37">
        <v>4</v>
      </c>
      <c r="AK1657" s="37" t="str">
        <f>VLOOKUP(Mecze[[#This Row],[Match ID]],Meczusie[Mecz]:Meczusie[RodzajMeczu],2,FALSE)</f>
        <v>Liga</v>
      </c>
    </row>
    <row r="1658" spans="1:37" x14ac:dyDescent="0.25">
      <c r="A1658" s="76">
        <v>2</v>
      </c>
      <c r="B1658" s="3" t="s">
        <v>285</v>
      </c>
      <c r="C1658" s="2" t="s">
        <v>157</v>
      </c>
      <c r="D1658" s="1">
        <v>0</v>
      </c>
      <c r="E1658" s="1">
        <v>0</v>
      </c>
      <c r="F1658" s="1">
        <v>0</v>
      </c>
      <c r="G1658" s="1">
        <v>2</v>
      </c>
      <c r="H1658" s="4">
        <v>0.5</v>
      </c>
      <c r="I1658" s="1">
        <v>2</v>
      </c>
      <c r="J1658" s="4">
        <v>1</v>
      </c>
      <c r="K1658" s="1">
        <v>0</v>
      </c>
      <c r="L1658" s="1">
        <v>1</v>
      </c>
      <c r="M1658" s="32">
        <f>IF(Mecze[[#This Row],[PR]]=0,0,Mecze[[#This Row],[PR]]/Mecze[[#This Row],[CZAS]])</f>
        <v>3.7037037037037035E-2</v>
      </c>
      <c r="N1658" s="32">
        <f>IF(Mecze[[#This Row],[OU]]=0,0,Mecze[[#This Row],[OU]]/Mecze[[#This Row],[CZAS]])</f>
        <v>7.407407407407407E-2</v>
      </c>
      <c r="O1658" s="32">
        <f>IF(Mecze[[#This Row],[PC]]=0,0,Mecze[[#This Row],[PC]]/Mecze[[#This Row],[CZAS]])</f>
        <v>3.7037037037037035E-2</v>
      </c>
      <c r="P1658" s="32">
        <f>IF(Mecze[[#This Row],[SC]]=0,0,Mecze[[#This Row],[SC]]/Mecze[[#This Row],[CZAS]])</f>
        <v>0</v>
      </c>
      <c r="Q1658" s="32">
        <f>IF(Mecze[[#This Row],[OB]]=0,0,Mecze[[#This Row],[OB]]/Mecze[[#This Row],[CZAS]])</f>
        <v>0</v>
      </c>
      <c r="R1658" s="32">
        <f>IF(Mecze[[#This Row],[BR]]=0,0,Mecze[[#This Row],[BR]]/Mecze[[#This Row],[CZAS]])</f>
        <v>0</v>
      </c>
      <c r="S1658" s="44">
        <f>IF(Mecze[[#This Row],[Role]]="BR",SUMPRODUCT(Mecze[[#This Row],[/PR:90]:[/BR:90]],Brudnopis!$E$23:$J$23),0)</f>
        <v>0</v>
      </c>
      <c r="T1658" s="44">
        <f>IF(Mecze[[#This Row],[Role]]&lt;&gt;"BR",SUMPRODUCT(Mecze[[#This Row],[/PR:90]:[/BR:90]],Brudnopis!$E$24:$J$24),0)</f>
        <v>0.18518518518518517</v>
      </c>
      <c r="U1658" s="44">
        <f>IF(Mecze[[#This Row],[Role]]&lt;&gt;"BR",SUMPRODUCT(Mecze[[#This Row],[/PR:90]:[/BR:90]],Brudnopis!$E$25:$J$25),0)</f>
        <v>0.16666666666666666</v>
      </c>
      <c r="V1658" s="44">
        <f>IF(Mecze[[#This Row],[Role]]&lt;&gt;"BR",SUMPRODUCT(Mecze[[#This Row],[/PR:90]:[/BR:90]],Brudnopis!$E$26:$J$26),0)</f>
        <v>0.14814814814814814</v>
      </c>
      <c r="W1658" s="44">
        <f>IF(Mecze[[#This Row],[Role]]&lt;&gt;"BR",SUMPRODUCT(Mecze[[#This Row],[/PR:90]:[/BR:90]],Brudnopis!$E$27:$J$27),0)</f>
        <v>0.1388888888888889</v>
      </c>
      <c r="X1658" s="44">
        <f>IF(Mecze[[#This Row],[Role]]&lt;&gt;"BR",SUMPRODUCT(Mecze[[#This Row],[/PR:90]:[/BR:90]],Brudnopis!$E$28:$J$28),0)</f>
        <v>3.7037037037037035E-2</v>
      </c>
      <c r="Y1658" s="35">
        <f>IF(Mecze[[#This Row],[Role]]="BR",Mecze[[#This Row],[/OB:90]]+Mecze[[#This Row],[/PC:90]],SUM(Mecze[[#This Row],[/PR:90]:[/BR:90]]))</f>
        <v>0.14814814814814814</v>
      </c>
      <c r="Z1658" s="35">
        <f>IF(Mecze[[#This Row],[KC]]=0,SUM(Mecze[[#This Row],[/BRI]:[/NPI]]),SUM(Mecze[[#This Row],[/BRI]:[/NPI]])*0.6)</f>
        <v>0.67592592592592582</v>
      </c>
      <c r="AA1658" s="10">
        <f>IFERROR(Mecze[[#This Row],[BR]]/Mecze[[#This Row],[ST]],0)</f>
        <v>0</v>
      </c>
      <c r="AB1658">
        <f>ROUND(Mecze[[#This Row],[PD]]*Mecze[[#This Row],[%PC]],0)</f>
        <v>1</v>
      </c>
      <c r="AC1658">
        <f>ROUND(Mecze[[#This Row],[OD]]*Mecze[[#This Row],[%OU]],0)</f>
        <v>2</v>
      </c>
      <c r="AD1658" s="36" t="s">
        <v>167</v>
      </c>
      <c r="AE1658" s="36">
        <v>89</v>
      </c>
      <c r="AF1658" s="71">
        <v>-0.4</v>
      </c>
      <c r="AG1658" s="37">
        <v>0</v>
      </c>
      <c r="AH1658" s="37">
        <v>0</v>
      </c>
      <c r="AI1658" s="37">
        <v>27</v>
      </c>
      <c r="AJ1658" s="37">
        <v>4</v>
      </c>
      <c r="AK1658" s="37" t="str">
        <f>VLOOKUP(Mecze[[#This Row],[Match ID]],Meczusie[Mecz]:Meczusie[RodzajMeczu],2,FALSE)</f>
        <v>Liga</v>
      </c>
    </row>
    <row r="1659" spans="1:37" x14ac:dyDescent="0.25">
      <c r="A1659" s="76">
        <v>15</v>
      </c>
      <c r="B1659" s="3" t="s">
        <v>286</v>
      </c>
      <c r="C1659" s="2" t="s">
        <v>165</v>
      </c>
      <c r="D1659" s="1">
        <v>0</v>
      </c>
      <c r="E1659" s="1">
        <v>0</v>
      </c>
      <c r="F1659" s="1">
        <v>0</v>
      </c>
      <c r="G1659" s="1">
        <v>5</v>
      </c>
      <c r="H1659" s="4">
        <v>0</v>
      </c>
      <c r="I1659" s="1">
        <v>1</v>
      </c>
      <c r="J1659" s="4">
        <v>0</v>
      </c>
      <c r="K1659" s="1">
        <v>0</v>
      </c>
      <c r="L1659" s="1">
        <v>0</v>
      </c>
      <c r="M1659" s="32">
        <f>IF(Mecze[[#This Row],[PR]]=0,0,Mecze[[#This Row],[PR]]/Mecze[[#This Row],[CZAS]])</f>
        <v>0</v>
      </c>
      <c r="N1659" s="32">
        <f>IF(Mecze[[#This Row],[OU]]=0,0,Mecze[[#This Row],[OU]]/Mecze[[#This Row],[CZAS]])</f>
        <v>0</v>
      </c>
      <c r="O1659" s="32">
        <f>IF(Mecze[[#This Row],[PC]]=0,0,Mecze[[#This Row],[PC]]/Mecze[[#This Row],[CZAS]])</f>
        <v>0</v>
      </c>
      <c r="P1659" s="32">
        <f>IF(Mecze[[#This Row],[SC]]=0,0,Mecze[[#This Row],[SC]]/Mecze[[#This Row],[CZAS]])</f>
        <v>0</v>
      </c>
      <c r="Q1659" s="32">
        <f>IF(Mecze[[#This Row],[OB]]=0,0,Mecze[[#This Row],[OB]]/Mecze[[#This Row],[CZAS]])</f>
        <v>0</v>
      </c>
      <c r="R1659" s="32">
        <f>IF(Mecze[[#This Row],[BR]]=0,0,Mecze[[#This Row],[BR]]/Mecze[[#This Row],[CZAS]])</f>
        <v>0</v>
      </c>
      <c r="S1659" s="44">
        <f>IF(Mecze[[#This Row],[Role]]="BR",SUMPRODUCT(Mecze[[#This Row],[/PR:90]:[/BR:90]],Brudnopis!$E$23:$J$23),0)</f>
        <v>0</v>
      </c>
      <c r="T1659" s="44">
        <f>IF(Mecze[[#This Row],[Role]]&lt;&gt;"BR",SUMPRODUCT(Mecze[[#This Row],[/PR:90]:[/BR:90]],Brudnopis!$E$24:$J$24),0)</f>
        <v>0</v>
      </c>
      <c r="U1659" s="44">
        <f>IF(Mecze[[#This Row],[Role]]&lt;&gt;"BR",SUMPRODUCT(Mecze[[#This Row],[/PR:90]:[/BR:90]],Brudnopis!$E$25:$J$25),0)</f>
        <v>0</v>
      </c>
      <c r="V1659" s="44">
        <f>IF(Mecze[[#This Row],[Role]]&lt;&gt;"BR",SUMPRODUCT(Mecze[[#This Row],[/PR:90]:[/BR:90]],Brudnopis!$E$26:$J$26),0)</f>
        <v>0</v>
      </c>
      <c r="W1659" s="44">
        <f>IF(Mecze[[#This Row],[Role]]&lt;&gt;"BR",SUMPRODUCT(Mecze[[#This Row],[/PR:90]:[/BR:90]],Brudnopis!$E$27:$J$27),0)</f>
        <v>0</v>
      </c>
      <c r="X1659" s="44">
        <f>IF(Mecze[[#This Row],[Role]]&lt;&gt;"BR",SUMPRODUCT(Mecze[[#This Row],[/PR:90]:[/BR:90]],Brudnopis!$E$28:$J$28),0)</f>
        <v>0</v>
      </c>
      <c r="Y1659" s="35">
        <f>IF(Mecze[[#This Row],[Role]]="BR",Mecze[[#This Row],[/OB:90]]+Mecze[[#This Row],[/PC:90]],SUM(Mecze[[#This Row],[/PR:90]:[/BR:90]]))</f>
        <v>0</v>
      </c>
      <c r="Z1659" s="35">
        <f>IF(Mecze[[#This Row],[KC]]=0,SUM(Mecze[[#This Row],[/BRI]:[/NPI]]),SUM(Mecze[[#This Row],[/BRI]:[/NPI]])*0.6)</f>
        <v>0</v>
      </c>
      <c r="AA1659" s="10">
        <f>IFERROR(Mecze[[#This Row],[BR]]/Mecze[[#This Row],[ST]],0)</f>
        <v>0</v>
      </c>
      <c r="AB1659">
        <f>ROUND(Mecze[[#This Row],[PD]]*Mecze[[#This Row],[%PC]],0)</f>
        <v>0</v>
      </c>
      <c r="AC1659">
        <f>ROUND(Mecze[[#This Row],[OD]]*Mecze[[#This Row],[%OU]],0)</f>
        <v>0</v>
      </c>
      <c r="AD1659" s="36" t="s">
        <v>46</v>
      </c>
      <c r="AE1659" s="36">
        <v>89</v>
      </c>
      <c r="AF1659" s="71">
        <v>0.5</v>
      </c>
      <c r="AG1659" s="37">
        <v>0</v>
      </c>
      <c r="AH1659" s="37">
        <v>0</v>
      </c>
      <c r="AI1659" s="37">
        <v>28</v>
      </c>
      <c r="AJ1659" s="37">
        <v>4</v>
      </c>
      <c r="AK1659" s="37" t="str">
        <f>VLOOKUP(Mecze[[#This Row],[Match ID]],Meczusie[Mecz]:Meczusie[RodzajMeczu],2,FALSE)</f>
        <v>Liga</v>
      </c>
    </row>
    <row r="1660" spans="1:37" x14ac:dyDescent="0.25">
      <c r="A1660" s="76">
        <v>102</v>
      </c>
      <c r="B1660" s="3" t="s">
        <v>417</v>
      </c>
      <c r="C1660" s="2" t="s">
        <v>155</v>
      </c>
      <c r="D1660" s="1">
        <v>0</v>
      </c>
      <c r="E1660" s="1">
        <v>0</v>
      </c>
      <c r="F1660" s="1">
        <v>0</v>
      </c>
      <c r="G1660" s="1">
        <v>6</v>
      </c>
      <c r="H1660" s="4">
        <v>0.33</v>
      </c>
      <c r="I1660" s="1">
        <v>0</v>
      </c>
      <c r="J1660" s="4"/>
      <c r="K1660" s="1">
        <v>5</v>
      </c>
      <c r="L1660" s="1">
        <v>0</v>
      </c>
      <c r="M1660" s="32">
        <f>IF(Mecze[[#This Row],[PR]]=0,0,Mecze[[#This Row],[PR]]/Mecze[[#This Row],[CZAS]])</f>
        <v>0</v>
      </c>
      <c r="N1660" s="32">
        <f>IF(Mecze[[#This Row],[OU]]=0,0,Mecze[[#This Row],[OU]]/Mecze[[#This Row],[CZAS]])</f>
        <v>0</v>
      </c>
      <c r="O1660" s="32">
        <f>IF(Mecze[[#This Row],[PC]]=0,0,Mecze[[#This Row],[PC]]/Mecze[[#This Row],[CZAS]])</f>
        <v>2.1052631578947368E-2</v>
      </c>
      <c r="P1660" s="32">
        <f>IF(Mecze[[#This Row],[SC]]=0,0,Mecze[[#This Row],[SC]]/Mecze[[#This Row],[CZAS]])</f>
        <v>0</v>
      </c>
      <c r="Q1660" s="32">
        <f>IF(Mecze[[#This Row],[OB]]=0,0,Mecze[[#This Row],[OB]]/Mecze[[#This Row],[CZAS]])</f>
        <v>5.2631578947368418E-2</v>
      </c>
      <c r="R1660" s="32">
        <f>IF(Mecze[[#This Row],[BR]]=0,0,Mecze[[#This Row],[BR]]/Mecze[[#This Row],[CZAS]])</f>
        <v>0</v>
      </c>
      <c r="S1660" s="44">
        <f>IF(Mecze[[#This Row],[Role]]="BR",SUMPRODUCT(Mecze[[#This Row],[/PR:90]:[/BR:90]],Brudnopis!$E$23:$J$23),0)</f>
        <v>0.22105263157894736</v>
      </c>
      <c r="T1660" s="44">
        <f>IF(Mecze[[#This Row],[Role]]&lt;&gt;"BR",SUMPRODUCT(Mecze[[#This Row],[/PR:90]:[/BR:90]],Brudnopis!$E$24:$J$24),0)</f>
        <v>0</v>
      </c>
      <c r="U1660" s="44">
        <f>IF(Mecze[[#This Row],[Role]]&lt;&gt;"BR",SUMPRODUCT(Mecze[[#This Row],[/PR:90]:[/BR:90]],Brudnopis!$E$25:$J$25),0)</f>
        <v>0</v>
      </c>
      <c r="V1660" s="44">
        <f>IF(Mecze[[#This Row],[Role]]&lt;&gt;"BR",SUMPRODUCT(Mecze[[#This Row],[/PR:90]:[/BR:90]],Brudnopis!$E$26:$J$26),0)</f>
        <v>0</v>
      </c>
      <c r="W1660" s="44">
        <f>IF(Mecze[[#This Row],[Role]]&lt;&gt;"BR",SUMPRODUCT(Mecze[[#This Row],[/PR:90]:[/BR:90]],Brudnopis!$E$27:$J$27),0)</f>
        <v>0</v>
      </c>
      <c r="X1660" s="44">
        <f>IF(Mecze[[#This Row],[Role]]&lt;&gt;"BR",SUMPRODUCT(Mecze[[#This Row],[/PR:90]:[/BR:90]],Brudnopis!$E$28:$J$28),0)</f>
        <v>0</v>
      </c>
      <c r="Y1660" s="35">
        <f>IF(Mecze[[#This Row],[Role]]="BR",Mecze[[#This Row],[/OB:90]]+Mecze[[#This Row],[/PC:90]],SUM(Mecze[[#This Row],[/PR:90]:[/BR:90]]))</f>
        <v>7.3684210526315783E-2</v>
      </c>
      <c r="Z1660" s="35">
        <f>IF(Mecze[[#This Row],[KC]]=0,SUM(Mecze[[#This Row],[/BRI]:[/NPI]]),SUM(Mecze[[#This Row],[/BRI]:[/NPI]])*0.6)</f>
        <v>0.22105263157894736</v>
      </c>
      <c r="AA1660" s="10">
        <f>IFERROR(Mecze[[#This Row],[BR]]/Mecze[[#This Row],[ST]],0)</f>
        <v>0</v>
      </c>
      <c r="AB1660">
        <f>ROUND(Mecze[[#This Row],[PD]]*Mecze[[#This Row],[%PC]],0)</f>
        <v>2</v>
      </c>
      <c r="AC1660">
        <f>ROUND(Mecze[[#This Row],[OD]]*Mecze[[#This Row],[%OU]],0)</f>
        <v>0</v>
      </c>
      <c r="AD1660" s="36" t="s">
        <v>40</v>
      </c>
      <c r="AE1660" s="36">
        <v>89</v>
      </c>
      <c r="AF1660" s="71">
        <v>3.34</v>
      </c>
      <c r="AG1660" s="37">
        <v>0</v>
      </c>
      <c r="AH1660" s="37">
        <v>0</v>
      </c>
      <c r="AI1660" s="37">
        <v>95</v>
      </c>
      <c r="AJ1660" s="37">
        <v>6</v>
      </c>
      <c r="AK1660" s="37" t="str">
        <f>VLOOKUP(Mecze[[#This Row],[Match ID]],Meczusie[Mecz]:Meczusie[RodzajMeczu],2,FALSE)</f>
        <v>Liga</v>
      </c>
    </row>
    <row r="1661" spans="1:37" x14ac:dyDescent="0.25">
      <c r="A1661" s="76">
        <v>101</v>
      </c>
      <c r="B1661" s="3" t="s">
        <v>248</v>
      </c>
      <c r="C1661" s="2" t="s">
        <v>157</v>
      </c>
      <c r="D1661" s="1">
        <v>0</v>
      </c>
      <c r="E1661" s="1">
        <v>0</v>
      </c>
      <c r="F1661" s="1">
        <v>0</v>
      </c>
      <c r="G1661" s="1">
        <v>8</v>
      </c>
      <c r="H1661" s="4">
        <v>0.63</v>
      </c>
      <c r="I1661" s="1">
        <v>8</v>
      </c>
      <c r="J1661" s="4">
        <v>0.63</v>
      </c>
      <c r="K1661" s="1">
        <v>0</v>
      </c>
      <c r="L1661" s="1">
        <v>2</v>
      </c>
      <c r="M1661" s="32">
        <f>IF(Mecze[[#This Row],[PR]]=0,0,Mecze[[#This Row],[PR]]/Mecze[[#This Row],[CZAS]])</f>
        <v>2.1052631578947368E-2</v>
      </c>
      <c r="N1661" s="32">
        <f>IF(Mecze[[#This Row],[OU]]=0,0,Mecze[[#This Row],[OU]]/Mecze[[#This Row],[CZAS]])</f>
        <v>5.2631578947368418E-2</v>
      </c>
      <c r="O1661" s="32">
        <f>IF(Mecze[[#This Row],[PC]]=0,0,Mecze[[#This Row],[PC]]/Mecze[[#This Row],[CZAS]])</f>
        <v>5.2631578947368418E-2</v>
      </c>
      <c r="P1661" s="32">
        <f>IF(Mecze[[#This Row],[SC]]=0,0,Mecze[[#This Row],[SC]]/Mecze[[#This Row],[CZAS]])</f>
        <v>0</v>
      </c>
      <c r="Q1661" s="32">
        <f>IF(Mecze[[#This Row],[OB]]=0,0,Mecze[[#This Row],[OB]]/Mecze[[#This Row],[CZAS]])</f>
        <v>0</v>
      </c>
      <c r="R1661" s="32">
        <f>IF(Mecze[[#This Row],[BR]]=0,0,Mecze[[#This Row],[BR]]/Mecze[[#This Row],[CZAS]])</f>
        <v>0</v>
      </c>
      <c r="S1661" s="44">
        <f>IF(Mecze[[#This Row],[Role]]="BR",SUMPRODUCT(Mecze[[#This Row],[/PR:90]:[/BR:90]],Brudnopis!$E$23:$J$23),0)</f>
        <v>0</v>
      </c>
      <c r="T1661" s="44">
        <f>IF(Mecze[[#This Row],[Role]]&lt;&gt;"BR",SUMPRODUCT(Mecze[[#This Row],[/PR:90]:[/BR:90]],Brudnopis!$E$24:$J$24),0)</f>
        <v>0.1526315789473684</v>
      </c>
      <c r="U1661" s="44">
        <f>IF(Mecze[[#This Row],[Role]]&lt;&gt;"BR",SUMPRODUCT(Mecze[[#This Row],[/PR:90]:[/BR:90]],Brudnopis!$E$25:$J$25),0)</f>
        <v>0.1526315789473684</v>
      </c>
      <c r="V1661" s="44">
        <f>IF(Mecze[[#This Row],[Role]]&lt;&gt;"BR",SUMPRODUCT(Mecze[[#This Row],[/PR:90]:[/BR:90]],Brudnopis!$E$26:$J$26),0)</f>
        <v>0.12631578947368421</v>
      </c>
      <c r="W1661" s="44">
        <f>IF(Mecze[[#This Row],[Role]]&lt;&gt;"BR",SUMPRODUCT(Mecze[[#This Row],[/PR:90]:[/BR:90]],Brudnopis!$E$27:$J$27),0)</f>
        <v>0.13421052631578947</v>
      </c>
      <c r="X1661" s="44">
        <f>IF(Mecze[[#This Row],[Role]]&lt;&gt;"BR",SUMPRODUCT(Mecze[[#This Row],[/PR:90]:[/BR:90]],Brudnopis!$E$28:$J$28),0)</f>
        <v>5.2631578947368418E-2</v>
      </c>
      <c r="Y1661" s="35">
        <f>IF(Mecze[[#This Row],[Role]]="BR",Mecze[[#This Row],[/OB:90]]+Mecze[[#This Row],[/PC:90]],SUM(Mecze[[#This Row],[/PR:90]:[/BR:90]]))</f>
        <v>0.12631578947368421</v>
      </c>
      <c r="Z1661" s="35">
        <f>IF(Mecze[[#This Row],[KC]]=0,SUM(Mecze[[#This Row],[/BRI]:[/NPI]]),SUM(Mecze[[#This Row],[/BRI]:[/NPI]])*0.6)</f>
        <v>0.61842105263157898</v>
      </c>
      <c r="AA1661" s="10">
        <f>IFERROR(Mecze[[#This Row],[BR]]/Mecze[[#This Row],[ST]],0)</f>
        <v>0</v>
      </c>
      <c r="AB1661">
        <f>ROUND(Mecze[[#This Row],[PD]]*Mecze[[#This Row],[%PC]],0)</f>
        <v>5</v>
      </c>
      <c r="AC1661">
        <f>ROUND(Mecze[[#This Row],[OD]]*Mecze[[#This Row],[%OU]],0)</f>
        <v>5</v>
      </c>
      <c r="AD1661" s="36" t="s">
        <v>47</v>
      </c>
      <c r="AE1661" s="36">
        <v>89</v>
      </c>
      <c r="AF1661" s="71">
        <v>3.13</v>
      </c>
      <c r="AG1661" s="37">
        <v>0</v>
      </c>
      <c r="AH1661" s="37">
        <v>0</v>
      </c>
      <c r="AI1661" s="37">
        <v>95</v>
      </c>
      <c r="AJ1661" s="37">
        <v>6</v>
      </c>
      <c r="AK1661" s="37" t="str">
        <f>VLOOKUP(Mecze[[#This Row],[Match ID]],Meczusie[Mecz]:Meczusie[RodzajMeczu],2,FALSE)</f>
        <v>Liga</v>
      </c>
    </row>
    <row r="1662" spans="1:37" x14ac:dyDescent="0.25">
      <c r="A1662" s="76">
        <v>7</v>
      </c>
      <c r="B1662" s="3" t="s">
        <v>251</v>
      </c>
      <c r="C1662" s="2" t="s">
        <v>157</v>
      </c>
      <c r="D1662" s="1">
        <v>0</v>
      </c>
      <c r="E1662" s="1">
        <v>0</v>
      </c>
      <c r="F1662" s="1">
        <v>0</v>
      </c>
      <c r="G1662" s="1">
        <v>7</v>
      </c>
      <c r="H1662" s="4">
        <v>0.71</v>
      </c>
      <c r="I1662" s="1">
        <v>3</v>
      </c>
      <c r="J1662" s="4">
        <v>0.67</v>
      </c>
      <c r="K1662" s="1">
        <v>0</v>
      </c>
      <c r="L1662" s="1">
        <v>4</v>
      </c>
      <c r="M1662" s="32">
        <f>IF(Mecze[[#This Row],[PR]]=0,0,Mecze[[#This Row],[PR]]/Mecze[[#This Row],[CZAS]])</f>
        <v>4.2105263157894736E-2</v>
      </c>
      <c r="N1662" s="32">
        <f>IF(Mecze[[#This Row],[OU]]=0,0,Mecze[[#This Row],[OU]]/Mecze[[#This Row],[CZAS]])</f>
        <v>2.1052631578947368E-2</v>
      </c>
      <c r="O1662" s="32">
        <f>IF(Mecze[[#This Row],[PC]]=0,0,Mecze[[#This Row],[PC]]/Mecze[[#This Row],[CZAS]])</f>
        <v>5.2631578947368418E-2</v>
      </c>
      <c r="P1662" s="32">
        <f>IF(Mecze[[#This Row],[SC]]=0,0,Mecze[[#This Row],[SC]]/Mecze[[#This Row],[CZAS]])</f>
        <v>0</v>
      </c>
      <c r="Q1662" s="32">
        <f>IF(Mecze[[#This Row],[OB]]=0,0,Mecze[[#This Row],[OB]]/Mecze[[#This Row],[CZAS]])</f>
        <v>0</v>
      </c>
      <c r="R1662" s="32">
        <f>IF(Mecze[[#This Row],[BR]]=0,0,Mecze[[#This Row],[BR]]/Mecze[[#This Row],[CZAS]])</f>
        <v>0</v>
      </c>
      <c r="S1662" s="44">
        <f>IF(Mecze[[#This Row],[Role]]="BR",SUMPRODUCT(Mecze[[#This Row],[/PR:90]:[/BR:90]],Brudnopis!$E$23:$J$23),0)</f>
        <v>0</v>
      </c>
      <c r="T1662" s="44">
        <f>IF(Mecze[[#This Row],[Role]]&lt;&gt;"BR",SUMPRODUCT(Mecze[[#This Row],[/PR:90]:[/BR:90]],Brudnopis!$E$24:$J$24),0)</f>
        <v>0.12631578947368421</v>
      </c>
      <c r="U1662" s="44">
        <f>IF(Mecze[[#This Row],[Role]]&lt;&gt;"BR",SUMPRODUCT(Mecze[[#This Row],[/PR:90]:[/BR:90]],Brudnopis!$E$25:$J$25),0)</f>
        <v>0.14210526315789473</v>
      </c>
      <c r="V1662" s="44">
        <f>IF(Mecze[[#This Row],[Role]]&lt;&gt;"BR",SUMPRODUCT(Mecze[[#This Row],[/PR:90]:[/BR:90]],Brudnopis!$E$26:$J$26),0)</f>
        <v>0.11578947368421053</v>
      </c>
      <c r="W1662" s="44">
        <f>IF(Mecze[[#This Row],[Role]]&lt;&gt;"BR",SUMPRODUCT(Mecze[[#This Row],[/PR:90]:[/BR:90]],Brudnopis!$E$27:$J$27),0)</f>
        <v>0.12631578947368421</v>
      </c>
      <c r="X1662" s="44">
        <f>IF(Mecze[[#This Row],[Role]]&lt;&gt;"BR",SUMPRODUCT(Mecze[[#This Row],[/PR:90]:[/BR:90]],Brudnopis!$E$28:$J$28),0)</f>
        <v>5.2631578947368418E-2</v>
      </c>
      <c r="Y1662" s="35">
        <f>IF(Mecze[[#This Row],[Role]]="BR",Mecze[[#This Row],[/OB:90]]+Mecze[[#This Row],[/PC:90]],SUM(Mecze[[#This Row],[/PR:90]:[/BR:90]]))</f>
        <v>0.11578947368421053</v>
      </c>
      <c r="Z1662" s="35">
        <f>IF(Mecze[[#This Row],[KC]]=0,SUM(Mecze[[#This Row],[/BRI]:[/NPI]]),SUM(Mecze[[#This Row],[/BRI]:[/NPI]])*0.6)</f>
        <v>0.56315789473684208</v>
      </c>
      <c r="AA1662" s="10">
        <f>IFERROR(Mecze[[#This Row],[BR]]/Mecze[[#This Row],[ST]],0)</f>
        <v>0</v>
      </c>
      <c r="AB1662">
        <f>ROUND(Mecze[[#This Row],[PD]]*Mecze[[#This Row],[%PC]],0)</f>
        <v>5</v>
      </c>
      <c r="AC1662">
        <f>ROUND(Mecze[[#This Row],[OD]]*Mecze[[#This Row],[%OU]],0)</f>
        <v>2</v>
      </c>
      <c r="AD1662" s="36" t="s">
        <v>168</v>
      </c>
      <c r="AE1662" s="36">
        <v>89</v>
      </c>
      <c r="AF1662" s="71">
        <v>3.55</v>
      </c>
      <c r="AG1662" s="37">
        <v>0</v>
      </c>
      <c r="AH1662" s="37">
        <v>0</v>
      </c>
      <c r="AI1662" s="37">
        <v>95</v>
      </c>
      <c r="AJ1662" s="37">
        <v>6</v>
      </c>
      <c r="AK1662" s="37" t="str">
        <f>VLOOKUP(Mecze[[#This Row],[Match ID]],Meczusie[Mecz]:Meczusie[RodzajMeczu],2,FALSE)</f>
        <v>Liga</v>
      </c>
    </row>
    <row r="1663" spans="1:37" x14ac:dyDescent="0.25">
      <c r="A1663" s="76">
        <v>2</v>
      </c>
      <c r="B1663" s="3" t="s">
        <v>249</v>
      </c>
      <c r="C1663" s="2" t="s">
        <v>157</v>
      </c>
      <c r="D1663" s="1">
        <v>0</v>
      </c>
      <c r="E1663" s="1">
        <v>0</v>
      </c>
      <c r="F1663" s="1">
        <v>0</v>
      </c>
      <c r="G1663" s="1">
        <v>8</v>
      </c>
      <c r="H1663" s="4">
        <v>0.5</v>
      </c>
      <c r="I1663" s="1">
        <v>9</v>
      </c>
      <c r="J1663" s="4">
        <v>0.56000000000000005</v>
      </c>
      <c r="K1663" s="1">
        <v>0</v>
      </c>
      <c r="L1663" s="1">
        <v>9</v>
      </c>
      <c r="M1663" s="32">
        <f>IF(Mecze[[#This Row],[PR]]=0,0,Mecze[[#This Row],[PR]]/Mecze[[#This Row],[CZAS]])</f>
        <v>0.10588235294117647</v>
      </c>
      <c r="N1663" s="32">
        <f>IF(Mecze[[#This Row],[OU]]=0,0,Mecze[[#This Row],[OU]]/Mecze[[#This Row],[CZAS]])</f>
        <v>5.8823529411764705E-2</v>
      </c>
      <c r="O1663" s="32">
        <f>IF(Mecze[[#This Row],[PC]]=0,0,Mecze[[#This Row],[PC]]/Mecze[[#This Row],[CZAS]])</f>
        <v>4.7058823529411764E-2</v>
      </c>
      <c r="P1663" s="32">
        <f>IF(Mecze[[#This Row],[SC]]=0,0,Mecze[[#This Row],[SC]]/Mecze[[#This Row],[CZAS]])</f>
        <v>0</v>
      </c>
      <c r="Q1663" s="32">
        <f>IF(Mecze[[#This Row],[OB]]=0,0,Mecze[[#This Row],[OB]]/Mecze[[#This Row],[CZAS]])</f>
        <v>0</v>
      </c>
      <c r="R1663" s="32">
        <f>IF(Mecze[[#This Row],[BR]]=0,0,Mecze[[#This Row],[BR]]/Mecze[[#This Row],[CZAS]])</f>
        <v>0</v>
      </c>
      <c r="S1663" s="44">
        <f>IF(Mecze[[#This Row],[Role]]="BR",SUMPRODUCT(Mecze[[#This Row],[/PR:90]:[/BR:90]],Brudnopis!$E$23:$J$23),0)</f>
        <v>0</v>
      </c>
      <c r="T1663" s="44">
        <f>IF(Mecze[[#This Row],[Role]]&lt;&gt;"BR",SUMPRODUCT(Mecze[[#This Row],[/PR:90]:[/BR:90]],Brudnopis!$E$24:$J$24),0)</f>
        <v>0.24117647058823527</v>
      </c>
      <c r="U1663" s="44">
        <f>IF(Mecze[[#This Row],[Role]]&lt;&gt;"BR",SUMPRODUCT(Mecze[[#This Row],[/PR:90]:[/BR:90]],Brudnopis!$E$25:$J$25),0)</f>
        <v>0.23529411764705882</v>
      </c>
      <c r="V1663" s="44">
        <f>IF(Mecze[[#This Row],[Role]]&lt;&gt;"BR",SUMPRODUCT(Mecze[[#This Row],[/PR:90]:[/BR:90]],Brudnopis!$E$26:$J$26),0)</f>
        <v>0.21176470588235294</v>
      </c>
      <c r="W1663" s="44">
        <f>IF(Mecze[[#This Row],[Role]]&lt;&gt;"BR",SUMPRODUCT(Mecze[[#This Row],[/PR:90]:[/BR:90]],Brudnopis!$E$27:$J$27),0)</f>
        <v>0.19411764705882351</v>
      </c>
      <c r="X1663" s="44">
        <f>IF(Mecze[[#This Row],[Role]]&lt;&gt;"BR",SUMPRODUCT(Mecze[[#This Row],[/PR:90]:[/BR:90]],Brudnopis!$E$28:$J$28),0)</f>
        <v>4.7058823529411764E-2</v>
      </c>
      <c r="Y1663" s="35">
        <f>IF(Mecze[[#This Row],[Role]]="BR",Mecze[[#This Row],[/OB:90]]+Mecze[[#This Row],[/PC:90]],SUM(Mecze[[#This Row],[/PR:90]:[/BR:90]]))</f>
        <v>0.21176470588235294</v>
      </c>
      <c r="Z1663" s="35">
        <f>IF(Mecze[[#This Row],[KC]]=0,SUM(Mecze[[#This Row],[/BRI]:[/NPI]]),SUM(Mecze[[#This Row],[/BRI]:[/NPI]])*0.6)</f>
        <v>0.92941176470588238</v>
      </c>
      <c r="AA1663" s="10">
        <f>IFERROR(Mecze[[#This Row],[BR]]/Mecze[[#This Row],[ST]],0)</f>
        <v>0</v>
      </c>
      <c r="AB1663">
        <f>ROUND(Mecze[[#This Row],[PD]]*Mecze[[#This Row],[%PC]],0)</f>
        <v>4</v>
      </c>
      <c r="AC1663">
        <f>ROUND(Mecze[[#This Row],[OD]]*Mecze[[#This Row],[%OU]],0)</f>
        <v>5</v>
      </c>
      <c r="AD1663" s="36" t="s">
        <v>167</v>
      </c>
      <c r="AE1663" s="36">
        <v>89</v>
      </c>
      <c r="AF1663" s="71">
        <v>4.5999999999999996</v>
      </c>
      <c r="AG1663" s="37">
        <v>0</v>
      </c>
      <c r="AH1663" s="37">
        <v>0</v>
      </c>
      <c r="AI1663" s="37">
        <v>85</v>
      </c>
      <c r="AJ1663" s="37">
        <v>6</v>
      </c>
      <c r="AK1663" s="37" t="str">
        <f>VLOOKUP(Mecze[[#This Row],[Match ID]],Meczusie[Mecz]:Meczusie[RodzajMeczu],2,FALSE)</f>
        <v>Liga</v>
      </c>
    </row>
    <row r="1664" spans="1:37" x14ac:dyDescent="0.25">
      <c r="A1664" s="76">
        <v>8</v>
      </c>
      <c r="B1664" s="3" t="s">
        <v>254</v>
      </c>
      <c r="C1664" s="2" t="s">
        <v>160</v>
      </c>
      <c r="D1664" s="1">
        <v>0</v>
      </c>
      <c r="E1664" s="1">
        <v>0</v>
      </c>
      <c r="F1664" s="1">
        <v>0</v>
      </c>
      <c r="G1664" s="1">
        <v>14</v>
      </c>
      <c r="H1664" s="4">
        <v>0.71</v>
      </c>
      <c r="I1664" s="1">
        <v>6</v>
      </c>
      <c r="J1664" s="4">
        <v>0.67</v>
      </c>
      <c r="K1664" s="1">
        <v>0</v>
      </c>
      <c r="L1664" s="1">
        <v>6</v>
      </c>
      <c r="M1664" s="32">
        <f>IF(Mecze[[#This Row],[PR]]=0,0,Mecze[[#This Row],[PR]]/Mecze[[#This Row],[CZAS]])</f>
        <v>6.3157894736842107E-2</v>
      </c>
      <c r="N1664" s="32">
        <f>IF(Mecze[[#This Row],[OU]]=0,0,Mecze[[#This Row],[OU]]/Mecze[[#This Row],[CZAS]])</f>
        <v>4.2105263157894736E-2</v>
      </c>
      <c r="O1664" s="32">
        <f>IF(Mecze[[#This Row],[PC]]=0,0,Mecze[[#This Row],[PC]]/Mecze[[#This Row],[CZAS]])</f>
        <v>0.10526315789473684</v>
      </c>
      <c r="P1664" s="32">
        <f>IF(Mecze[[#This Row],[SC]]=0,0,Mecze[[#This Row],[SC]]/Mecze[[#This Row],[CZAS]])</f>
        <v>0</v>
      </c>
      <c r="Q1664" s="32">
        <f>IF(Mecze[[#This Row],[OB]]=0,0,Mecze[[#This Row],[OB]]/Mecze[[#This Row],[CZAS]])</f>
        <v>0</v>
      </c>
      <c r="R1664" s="32">
        <f>IF(Mecze[[#This Row],[BR]]=0,0,Mecze[[#This Row],[BR]]/Mecze[[#This Row],[CZAS]])</f>
        <v>0</v>
      </c>
      <c r="S1664" s="44">
        <f>IF(Mecze[[#This Row],[Role]]="BR",SUMPRODUCT(Mecze[[#This Row],[/PR:90]:[/BR:90]],Brudnopis!$E$23:$J$23),0)</f>
        <v>0</v>
      </c>
      <c r="T1664" s="44">
        <f>IF(Mecze[[#This Row],[Role]]&lt;&gt;"BR",SUMPRODUCT(Mecze[[#This Row],[/PR:90]:[/BR:90]],Brudnopis!$E$24:$J$24),0)</f>
        <v>0.23157894736842105</v>
      </c>
      <c r="U1664" s="44">
        <f>IF(Mecze[[#This Row],[Role]]&lt;&gt;"BR",SUMPRODUCT(Mecze[[#This Row],[/PR:90]:[/BR:90]],Brudnopis!$E$25:$J$25),0)</f>
        <v>0.26315789473684209</v>
      </c>
      <c r="V1664" s="44">
        <f>IF(Mecze[[#This Row],[Role]]&lt;&gt;"BR",SUMPRODUCT(Mecze[[#This Row],[/PR:90]:[/BR:90]],Brudnopis!$E$26:$J$26),0)</f>
        <v>0.21052631578947367</v>
      </c>
      <c r="W1664" s="44">
        <f>IF(Mecze[[#This Row],[Role]]&lt;&gt;"BR",SUMPRODUCT(Mecze[[#This Row],[/PR:90]:[/BR:90]],Brudnopis!$E$27:$J$27),0)</f>
        <v>0.23684210526315788</v>
      </c>
      <c r="X1664" s="44">
        <f>IF(Mecze[[#This Row],[Role]]&lt;&gt;"BR",SUMPRODUCT(Mecze[[#This Row],[/PR:90]:[/BR:90]],Brudnopis!$E$28:$J$28),0)</f>
        <v>0.10526315789473684</v>
      </c>
      <c r="Y1664" s="35">
        <f>IF(Mecze[[#This Row],[Role]]="BR",Mecze[[#This Row],[/OB:90]]+Mecze[[#This Row],[/PC:90]],SUM(Mecze[[#This Row],[/PR:90]:[/BR:90]]))</f>
        <v>0.21052631578947367</v>
      </c>
      <c r="Z1664" s="35">
        <f>IF(Mecze[[#This Row],[KC]]=0,SUM(Mecze[[#This Row],[/BRI]:[/NPI]]),SUM(Mecze[[#This Row],[/BRI]:[/NPI]])*0.6)</f>
        <v>1.0473684210526315</v>
      </c>
      <c r="AA1664" s="10">
        <f>IFERROR(Mecze[[#This Row],[BR]]/Mecze[[#This Row],[ST]],0)</f>
        <v>0</v>
      </c>
      <c r="AB1664">
        <f>ROUND(Mecze[[#This Row],[PD]]*Mecze[[#This Row],[%PC]],0)</f>
        <v>10</v>
      </c>
      <c r="AC1664">
        <f>ROUND(Mecze[[#This Row],[OD]]*Mecze[[#This Row],[%OU]],0)</f>
        <v>4</v>
      </c>
      <c r="AD1664" s="36" t="s">
        <v>41</v>
      </c>
      <c r="AE1664" s="36">
        <v>89</v>
      </c>
      <c r="AF1664" s="71">
        <v>5.17</v>
      </c>
      <c r="AG1664" s="37">
        <v>0</v>
      </c>
      <c r="AH1664" s="37">
        <v>0</v>
      </c>
      <c r="AI1664" s="37">
        <v>95</v>
      </c>
      <c r="AJ1664" s="37">
        <v>6</v>
      </c>
      <c r="AK1664" s="37" t="str">
        <f>VLOOKUP(Mecze[[#This Row],[Match ID]],Meczusie[Mecz]:Meczusie[RodzajMeczu],2,FALSE)</f>
        <v>Liga</v>
      </c>
    </row>
    <row r="1665" spans="1:37" x14ac:dyDescent="0.25">
      <c r="A1665" s="76">
        <v>10</v>
      </c>
      <c r="B1665" s="3" t="s">
        <v>252</v>
      </c>
      <c r="C1665" s="2" t="s">
        <v>160</v>
      </c>
      <c r="D1665" s="1">
        <v>0</v>
      </c>
      <c r="E1665" s="1">
        <v>1</v>
      </c>
      <c r="F1665" s="1">
        <v>1</v>
      </c>
      <c r="G1665" s="1">
        <v>6</v>
      </c>
      <c r="H1665" s="4">
        <v>0.5</v>
      </c>
      <c r="I1665" s="1">
        <v>3</v>
      </c>
      <c r="J1665" s="4">
        <v>0</v>
      </c>
      <c r="K1665" s="1">
        <v>0</v>
      </c>
      <c r="L1665" s="1">
        <v>3</v>
      </c>
      <c r="M1665" s="32">
        <f>IF(Mecze[[#This Row],[PR]]=0,0,Mecze[[#This Row],[PR]]/Mecze[[#This Row],[CZAS]])</f>
        <v>4.0540540540540543E-2</v>
      </c>
      <c r="N1665" s="32">
        <f>IF(Mecze[[#This Row],[OU]]=0,0,Mecze[[#This Row],[OU]]/Mecze[[#This Row],[CZAS]])</f>
        <v>0</v>
      </c>
      <c r="O1665" s="32">
        <f>IF(Mecze[[#This Row],[PC]]=0,0,Mecze[[#This Row],[PC]]/Mecze[[#This Row],[CZAS]])</f>
        <v>4.0540540540540543E-2</v>
      </c>
      <c r="P1665" s="32">
        <f>IF(Mecze[[#This Row],[SC]]=0,0,Mecze[[#This Row],[SC]]/Mecze[[#This Row],[CZAS]])</f>
        <v>1.3513513513513514E-2</v>
      </c>
      <c r="Q1665" s="32">
        <f>IF(Mecze[[#This Row],[OB]]=0,0,Mecze[[#This Row],[OB]]/Mecze[[#This Row],[CZAS]])</f>
        <v>0</v>
      </c>
      <c r="R1665" s="32">
        <f>IF(Mecze[[#This Row],[BR]]=0,0,Mecze[[#This Row],[BR]]/Mecze[[#This Row],[CZAS]])</f>
        <v>0</v>
      </c>
      <c r="S1665" s="44">
        <f>IF(Mecze[[#This Row],[Role]]="BR",SUMPRODUCT(Mecze[[#This Row],[/PR:90]:[/BR:90]],Brudnopis!$E$23:$J$23),0)</f>
        <v>0</v>
      </c>
      <c r="T1665" s="44">
        <f>IF(Mecze[[#This Row],[Role]]&lt;&gt;"BR",SUMPRODUCT(Mecze[[#This Row],[/PR:90]:[/BR:90]],Brudnopis!$E$24:$J$24),0)</f>
        <v>9.45945945945946E-2</v>
      </c>
      <c r="U1665" s="44">
        <f>IF(Mecze[[#This Row],[Role]]&lt;&gt;"BR",SUMPRODUCT(Mecze[[#This Row],[/PR:90]:[/BR:90]],Brudnopis!$E$25:$J$25),0)</f>
        <v>0.11486486486486487</v>
      </c>
      <c r="V1665" s="44">
        <f>IF(Mecze[[#This Row],[Role]]&lt;&gt;"BR",SUMPRODUCT(Mecze[[#This Row],[/PR:90]:[/BR:90]],Brudnopis!$E$26:$J$26),0)</f>
        <v>9.45945945945946E-2</v>
      </c>
      <c r="W1665" s="44">
        <f>IF(Mecze[[#This Row],[Role]]&lt;&gt;"BR",SUMPRODUCT(Mecze[[#This Row],[/PR:90]:[/BR:90]],Brudnopis!$E$27:$J$27),0)</f>
        <v>0.10472972972972974</v>
      </c>
      <c r="X1665" s="44">
        <f>IF(Mecze[[#This Row],[Role]]&lt;&gt;"BR",SUMPRODUCT(Mecze[[#This Row],[/PR:90]:[/BR:90]],Brudnopis!$E$28:$J$28),0)</f>
        <v>6.7567567567567571E-2</v>
      </c>
      <c r="Y1665" s="35">
        <f>IF(Mecze[[#This Row],[Role]]="BR",Mecze[[#This Row],[/OB:90]]+Mecze[[#This Row],[/PC:90]],SUM(Mecze[[#This Row],[/PR:90]:[/BR:90]]))</f>
        <v>9.45945945945946E-2</v>
      </c>
      <c r="Z1665" s="35">
        <f>IF(Mecze[[#This Row],[KC]]=0,SUM(Mecze[[#This Row],[/BRI]:[/NPI]]),SUM(Mecze[[#This Row],[/BRI]:[/NPI]])*0.6)</f>
        <v>0.47635135135135132</v>
      </c>
      <c r="AA1665" s="10">
        <f>IFERROR(Mecze[[#This Row],[BR]]/Mecze[[#This Row],[ST]],0)</f>
        <v>0</v>
      </c>
      <c r="AB1665">
        <f>ROUND(Mecze[[#This Row],[PD]]*Mecze[[#This Row],[%PC]],0)</f>
        <v>3</v>
      </c>
      <c r="AC1665">
        <f>ROUND(Mecze[[#This Row],[OD]]*Mecze[[#This Row],[%OU]],0)</f>
        <v>0</v>
      </c>
      <c r="AD1665" s="36" t="s">
        <v>318</v>
      </c>
      <c r="AE1665" s="36">
        <v>89</v>
      </c>
      <c r="AF1665" s="71">
        <v>4.7699999999999996</v>
      </c>
      <c r="AG1665" s="37">
        <v>0</v>
      </c>
      <c r="AH1665" s="37">
        <v>0</v>
      </c>
      <c r="AI1665" s="37">
        <v>74</v>
      </c>
      <c r="AJ1665" s="37">
        <v>6</v>
      </c>
      <c r="AK1665" s="37" t="str">
        <f>VLOOKUP(Mecze[[#This Row],[Match ID]],Meczusie[Mecz]:Meczusie[RodzajMeczu],2,FALSE)</f>
        <v>Liga</v>
      </c>
    </row>
    <row r="1666" spans="1:37" x14ac:dyDescent="0.25">
      <c r="A1666" s="76">
        <v>11</v>
      </c>
      <c r="B1666" s="3" t="s">
        <v>250</v>
      </c>
      <c r="C1666" s="2" t="s">
        <v>160</v>
      </c>
      <c r="D1666" s="1">
        <v>0</v>
      </c>
      <c r="E1666" s="1">
        <v>0</v>
      </c>
      <c r="F1666" s="1">
        <v>0</v>
      </c>
      <c r="G1666" s="1">
        <v>5</v>
      </c>
      <c r="H1666" s="4">
        <v>0.6</v>
      </c>
      <c r="I1666" s="1">
        <v>2</v>
      </c>
      <c r="J1666" s="4">
        <v>0.5</v>
      </c>
      <c r="K1666" s="1">
        <v>0</v>
      </c>
      <c r="L1666" s="1">
        <v>1</v>
      </c>
      <c r="M1666" s="32">
        <f>IF(Mecze[[#This Row],[PR]]=0,0,Mecze[[#This Row],[PR]]/Mecze[[#This Row],[CZAS]])</f>
        <v>1.0526315789473684E-2</v>
      </c>
      <c r="N1666" s="32">
        <f>IF(Mecze[[#This Row],[OU]]=0,0,Mecze[[#This Row],[OU]]/Mecze[[#This Row],[CZAS]])</f>
        <v>1.0526315789473684E-2</v>
      </c>
      <c r="O1666" s="32">
        <f>IF(Mecze[[#This Row],[PC]]=0,0,Mecze[[#This Row],[PC]]/Mecze[[#This Row],[CZAS]])</f>
        <v>3.1578947368421054E-2</v>
      </c>
      <c r="P1666" s="32">
        <f>IF(Mecze[[#This Row],[SC]]=0,0,Mecze[[#This Row],[SC]]/Mecze[[#This Row],[CZAS]])</f>
        <v>0</v>
      </c>
      <c r="Q1666" s="32">
        <f>IF(Mecze[[#This Row],[OB]]=0,0,Mecze[[#This Row],[OB]]/Mecze[[#This Row],[CZAS]])</f>
        <v>0</v>
      </c>
      <c r="R1666" s="32">
        <f>IF(Mecze[[#This Row],[BR]]=0,0,Mecze[[#This Row],[BR]]/Mecze[[#This Row],[CZAS]])</f>
        <v>0</v>
      </c>
      <c r="S1666" s="44">
        <f>IF(Mecze[[#This Row],[Role]]="BR",SUMPRODUCT(Mecze[[#This Row],[/PR:90]:[/BR:90]],Brudnopis!$E$23:$J$23),0)</f>
        <v>0</v>
      </c>
      <c r="T1666" s="44">
        <f>IF(Mecze[[#This Row],[Role]]&lt;&gt;"BR",SUMPRODUCT(Mecze[[#This Row],[/PR:90]:[/BR:90]],Brudnopis!$E$24:$J$24),0)</f>
        <v>5.7894736842105263E-2</v>
      </c>
      <c r="U1666" s="44">
        <f>IF(Mecze[[#This Row],[Role]]&lt;&gt;"BR",SUMPRODUCT(Mecze[[#This Row],[/PR:90]:[/BR:90]],Brudnopis!$E$25:$J$25),0)</f>
        <v>6.8421052631578952E-2</v>
      </c>
      <c r="V1666" s="44">
        <f>IF(Mecze[[#This Row],[Role]]&lt;&gt;"BR",SUMPRODUCT(Mecze[[#This Row],[/PR:90]:[/BR:90]],Brudnopis!$E$26:$J$26),0)</f>
        <v>5.2631578947368418E-2</v>
      </c>
      <c r="W1666" s="44">
        <f>IF(Mecze[[#This Row],[Role]]&lt;&gt;"BR",SUMPRODUCT(Mecze[[#This Row],[/PR:90]:[/BR:90]],Brudnopis!$E$27:$J$27),0)</f>
        <v>6.3157894736842107E-2</v>
      </c>
      <c r="X1666" s="44">
        <f>IF(Mecze[[#This Row],[Role]]&lt;&gt;"BR",SUMPRODUCT(Mecze[[#This Row],[/PR:90]:[/BR:90]],Brudnopis!$E$28:$J$28),0)</f>
        <v>3.1578947368421054E-2</v>
      </c>
      <c r="Y1666" s="35">
        <f>IF(Mecze[[#This Row],[Role]]="BR",Mecze[[#This Row],[/OB:90]]+Mecze[[#This Row],[/PC:90]],SUM(Mecze[[#This Row],[/PR:90]:[/BR:90]]))</f>
        <v>5.2631578947368418E-2</v>
      </c>
      <c r="Z1666" s="35">
        <f>IF(Mecze[[#This Row],[KC]]=0,SUM(Mecze[[#This Row],[/BRI]:[/NPI]]),SUM(Mecze[[#This Row],[/BRI]:[/NPI]])*0.6)</f>
        <v>0.27368421052631581</v>
      </c>
      <c r="AA1666" s="10">
        <f>IFERROR(Mecze[[#This Row],[BR]]/Mecze[[#This Row],[ST]],0)</f>
        <v>0</v>
      </c>
      <c r="AB1666">
        <f>ROUND(Mecze[[#This Row],[PD]]*Mecze[[#This Row],[%PC]],0)</f>
        <v>3</v>
      </c>
      <c r="AC1666">
        <f>ROUND(Mecze[[#This Row],[OD]]*Mecze[[#This Row],[%OU]],0)</f>
        <v>1</v>
      </c>
      <c r="AD1666" s="36" t="s">
        <v>319</v>
      </c>
      <c r="AE1666" s="36">
        <v>89</v>
      </c>
      <c r="AF1666" s="71">
        <v>4.12</v>
      </c>
      <c r="AG1666" s="37">
        <v>0</v>
      </c>
      <c r="AH1666" s="37">
        <v>0</v>
      </c>
      <c r="AI1666" s="37">
        <v>95</v>
      </c>
      <c r="AJ1666" s="37">
        <v>6</v>
      </c>
      <c r="AK1666" s="37" t="str">
        <f>VLOOKUP(Mecze[[#This Row],[Match ID]],Meczusie[Mecz]:Meczusie[RodzajMeczu],2,FALSE)</f>
        <v>Liga</v>
      </c>
    </row>
    <row r="1667" spans="1:37" x14ac:dyDescent="0.25">
      <c r="A1667" s="76">
        <v>106</v>
      </c>
      <c r="B1667" s="3" t="s">
        <v>424</v>
      </c>
      <c r="C1667" s="2" t="s">
        <v>160</v>
      </c>
      <c r="D1667" s="1">
        <v>0</v>
      </c>
      <c r="E1667" s="1">
        <v>3</v>
      </c>
      <c r="F1667" s="1">
        <v>3</v>
      </c>
      <c r="G1667" s="1">
        <v>12</v>
      </c>
      <c r="H1667" s="4">
        <v>0.67</v>
      </c>
      <c r="I1667" s="1">
        <v>7</v>
      </c>
      <c r="J1667" s="4">
        <v>0.56999999999999995</v>
      </c>
      <c r="K1667" s="1">
        <v>0</v>
      </c>
      <c r="L1667" s="1">
        <v>4</v>
      </c>
      <c r="M1667" s="32">
        <f>IF(Mecze[[#This Row],[PR]]=0,0,Mecze[[#This Row],[PR]]/Mecze[[#This Row],[CZAS]])</f>
        <v>4.2105263157894736E-2</v>
      </c>
      <c r="N1667" s="32">
        <f>IF(Mecze[[#This Row],[OU]]=0,0,Mecze[[#This Row],[OU]]/Mecze[[#This Row],[CZAS]])</f>
        <v>4.2105263157894736E-2</v>
      </c>
      <c r="O1667" s="32">
        <f>IF(Mecze[[#This Row],[PC]]=0,0,Mecze[[#This Row],[PC]]/Mecze[[#This Row],[CZAS]])</f>
        <v>8.4210526315789472E-2</v>
      </c>
      <c r="P1667" s="32">
        <f>IF(Mecze[[#This Row],[SC]]=0,0,Mecze[[#This Row],[SC]]/Mecze[[#This Row],[CZAS]])</f>
        <v>3.1578947368421054E-2</v>
      </c>
      <c r="Q1667" s="32">
        <f>IF(Mecze[[#This Row],[OB]]=0,0,Mecze[[#This Row],[OB]]/Mecze[[#This Row],[CZAS]])</f>
        <v>0</v>
      </c>
      <c r="R1667" s="32">
        <f>IF(Mecze[[#This Row],[BR]]=0,0,Mecze[[#This Row],[BR]]/Mecze[[#This Row],[CZAS]])</f>
        <v>0</v>
      </c>
      <c r="S1667" s="44">
        <f>IF(Mecze[[#This Row],[Role]]="BR",SUMPRODUCT(Mecze[[#This Row],[/PR:90]:[/BR:90]],Brudnopis!$E$23:$J$23),0)</f>
        <v>0</v>
      </c>
      <c r="T1667" s="44">
        <f>IF(Mecze[[#This Row],[Role]]&lt;&gt;"BR",SUMPRODUCT(Mecze[[#This Row],[/PR:90]:[/BR:90]],Brudnopis!$E$24:$J$24),0)</f>
        <v>0.22105263157894733</v>
      </c>
      <c r="U1667" s="44">
        <f>IF(Mecze[[#This Row],[Role]]&lt;&gt;"BR",SUMPRODUCT(Mecze[[#This Row],[/PR:90]:[/BR:90]],Brudnopis!$E$25:$J$25),0)</f>
        <v>0.24210526315789471</v>
      </c>
      <c r="V1667" s="44">
        <f>IF(Mecze[[#This Row],[Role]]&lt;&gt;"BR",SUMPRODUCT(Mecze[[#This Row],[/PR:90]:[/BR:90]],Brudnopis!$E$26:$J$26),0)</f>
        <v>0.2</v>
      </c>
      <c r="W1667" s="44">
        <f>IF(Mecze[[#This Row],[Role]]&lt;&gt;"BR",SUMPRODUCT(Mecze[[#This Row],[/PR:90]:[/BR:90]],Brudnopis!$E$27:$J$27),0)</f>
        <v>0.22105263157894739</v>
      </c>
      <c r="X1667" s="44">
        <f>IF(Mecze[[#This Row],[Role]]&lt;&gt;"BR",SUMPRODUCT(Mecze[[#This Row],[/PR:90]:[/BR:90]],Brudnopis!$E$28:$J$28),0)</f>
        <v>0.14736842105263159</v>
      </c>
      <c r="Y1667" s="35">
        <f>IF(Mecze[[#This Row],[Role]]="BR",Mecze[[#This Row],[/OB:90]]+Mecze[[#This Row],[/PC:90]],SUM(Mecze[[#This Row],[/PR:90]:[/BR:90]]))</f>
        <v>0.2</v>
      </c>
      <c r="Z1667" s="35">
        <f>IF(Mecze[[#This Row],[KC]]=0,SUM(Mecze[[#This Row],[/BRI]:[/NPI]]),SUM(Mecze[[#This Row],[/BRI]:[/NPI]])*0.6)</f>
        <v>1.0315789473684212</v>
      </c>
      <c r="AA1667" s="10">
        <f>IFERROR(Mecze[[#This Row],[BR]]/Mecze[[#This Row],[ST]],0)</f>
        <v>0</v>
      </c>
      <c r="AB1667">
        <f>ROUND(Mecze[[#This Row],[PD]]*Mecze[[#This Row],[%PC]],0)</f>
        <v>8</v>
      </c>
      <c r="AC1667">
        <f>ROUND(Mecze[[#This Row],[OD]]*Mecze[[#This Row],[%OU]],0)</f>
        <v>4</v>
      </c>
      <c r="AD1667" s="36" t="s">
        <v>44</v>
      </c>
      <c r="AE1667" s="36">
        <v>89</v>
      </c>
      <c r="AF1667" s="71">
        <v>5.44</v>
      </c>
      <c r="AG1667" s="37">
        <v>0</v>
      </c>
      <c r="AH1667" s="37">
        <v>0</v>
      </c>
      <c r="AI1667" s="37">
        <v>95</v>
      </c>
      <c r="AJ1667" s="37">
        <v>6</v>
      </c>
      <c r="AK1667" s="37" t="str">
        <f>VLOOKUP(Mecze[[#This Row],[Match ID]],Meczusie[Mecz]:Meczusie[RodzajMeczu],2,FALSE)</f>
        <v>Liga</v>
      </c>
    </row>
    <row r="1668" spans="1:37" x14ac:dyDescent="0.25">
      <c r="A1668" s="76">
        <v>6</v>
      </c>
      <c r="B1668" s="3" t="s">
        <v>255</v>
      </c>
      <c r="C1668" s="2" t="s">
        <v>165</v>
      </c>
      <c r="D1668" s="1">
        <v>0</v>
      </c>
      <c r="E1668" s="1">
        <v>0</v>
      </c>
      <c r="F1668" s="1">
        <v>0</v>
      </c>
      <c r="G1668" s="1">
        <v>4</v>
      </c>
      <c r="H1668" s="4">
        <v>0.5</v>
      </c>
      <c r="I1668" s="1">
        <v>3</v>
      </c>
      <c r="J1668" s="4">
        <v>0.33</v>
      </c>
      <c r="K1668" s="1">
        <v>0</v>
      </c>
      <c r="L1668" s="1">
        <v>0</v>
      </c>
      <c r="M1668" s="32">
        <f>IF(Mecze[[#This Row],[PR]]=0,0,Mecze[[#This Row],[PR]]/Mecze[[#This Row],[CZAS]])</f>
        <v>0</v>
      </c>
      <c r="N1668" s="32">
        <f>IF(Mecze[[#This Row],[OU]]=0,0,Mecze[[#This Row],[OU]]/Mecze[[#This Row],[CZAS]])</f>
        <v>1.0526315789473684E-2</v>
      </c>
      <c r="O1668" s="32">
        <f>IF(Mecze[[#This Row],[PC]]=0,0,Mecze[[#This Row],[PC]]/Mecze[[#This Row],[CZAS]])</f>
        <v>2.1052631578947368E-2</v>
      </c>
      <c r="P1668" s="32">
        <f>IF(Mecze[[#This Row],[SC]]=0,0,Mecze[[#This Row],[SC]]/Mecze[[#This Row],[CZAS]])</f>
        <v>0</v>
      </c>
      <c r="Q1668" s="32">
        <f>IF(Mecze[[#This Row],[OB]]=0,0,Mecze[[#This Row],[OB]]/Mecze[[#This Row],[CZAS]])</f>
        <v>0</v>
      </c>
      <c r="R1668" s="32">
        <f>IF(Mecze[[#This Row],[BR]]=0,0,Mecze[[#This Row],[BR]]/Mecze[[#This Row],[CZAS]])</f>
        <v>0</v>
      </c>
      <c r="S1668" s="44">
        <f>IF(Mecze[[#This Row],[Role]]="BR",SUMPRODUCT(Mecze[[#This Row],[/PR:90]:[/BR:90]],Brudnopis!$E$23:$J$23),0)</f>
        <v>0</v>
      </c>
      <c r="T1668" s="44">
        <f>IF(Mecze[[#This Row],[Role]]&lt;&gt;"BR",SUMPRODUCT(Mecze[[#This Row],[/PR:90]:[/BR:90]],Brudnopis!$E$24:$J$24),0)</f>
        <v>3.6842105263157898E-2</v>
      </c>
      <c r="U1668" s="44">
        <f>IF(Mecze[[#This Row],[Role]]&lt;&gt;"BR",SUMPRODUCT(Mecze[[#This Row],[/PR:90]:[/BR:90]],Brudnopis!$E$25:$J$25),0)</f>
        <v>4.2105263157894736E-2</v>
      </c>
      <c r="V1668" s="44">
        <f>IF(Mecze[[#This Row],[Role]]&lt;&gt;"BR",SUMPRODUCT(Mecze[[#This Row],[/PR:90]:[/BR:90]],Brudnopis!$E$26:$J$26),0)</f>
        <v>3.1578947368421054E-2</v>
      </c>
      <c r="W1668" s="44">
        <f>IF(Mecze[[#This Row],[Role]]&lt;&gt;"BR",SUMPRODUCT(Mecze[[#This Row],[/PR:90]:[/BR:90]],Brudnopis!$E$27:$J$27),0)</f>
        <v>3.9473684210526314E-2</v>
      </c>
      <c r="X1668" s="44">
        <f>IF(Mecze[[#This Row],[Role]]&lt;&gt;"BR",SUMPRODUCT(Mecze[[#This Row],[/PR:90]:[/BR:90]],Brudnopis!$E$28:$J$28),0)</f>
        <v>2.1052631578947368E-2</v>
      </c>
      <c r="Y1668" s="35">
        <f>IF(Mecze[[#This Row],[Role]]="BR",Mecze[[#This Row],[/OB:90]]+Mecze[[#This Row],[/PC:90]],SUM(Mecze[[#This Row],[/PR:90]:[/BR:90]]))</f>
        <v>3.1578947368421054E-2</v>
      </c>
      <c r="Z1668" s="35">
        <f>IF(Mecze[[#This Row],[KC]]=0,SUM(Mecze[[#This Row],[/BRI]:[/NPI]]),SUM(Mecze[[#This Row],[/BRI]:[/NPI]])*0.6)</f>
        <v>0.17105263157894737</v>
      </c>
      <c r="AA1668" s="10">
        <f>IFERROR(Mecze[[#This Row],[BR]]/Mecze[[#This Row],[ST]],0)</f>
        <v>0</v>
      </c>
      <c r="AB1668">
        <f>ROUND(Mecze[[#This Row],[PD]]*Mecze[[#This Row],[%PC]],0)</f>
        <v>2</v>
      </c>
      <c r="AC1668">
        <f>ROUND(Mecze[[#This Row],[OD]]*Mecze[[#This Row],[%OU]],0)</f>
        <v>1</v>
      </c>
      <c r="AD1668" s="36" t="s">
        <v>232</v>
      </c>
      <c r="AE1668" s="36">
        <v>89</v>
      </c>
      <c r="AF1668" s="71">
        <v>2.71</v>
      </c>
      <c r="AG1668" s="37">
        <v>0</v>
      </c>
      <c r="AH1668" s="37">
        <v>0</v>
      </c>
      <c r="AI1668" s="37">
        <v>95</v>
      </c>
      <c r="AJ1668" s="37">
        <v>6</v>
      </c>
      <c r="AK1668" s="37" t="str">
        <f>VLOOKUP(Mecze[[#This Row],[Match ID]],Meczusie[Mecz]:Meczusie[RodzajMeczu],2,FALSE)</f>
        <v>Liga</v>
      </c>
    </row>
    <row r="1669" spans="1:37" x14ac:dyDescent="0.25">
      <c r="A1669" s="76">
        <v>5</v>
      </c>
      <c r="B1669" s="3" t="s">
        <v>256</v>
      </c>
      <c r="C1669" s="2" t="s">
        <v>165</v>
      </c>
      <c r="D1669" s="1">
        <v>0</v>
      </c>
      <c r="E1669" s="1">
        <v>6</v>
      </c>
      <c r="F1669" s="1">
        <v>6</v>
      </c>
      <c r="G1669" s="1">
        <v>5</v>
      </c>
      <c r="H1669" s="4">
        <v>0.8</v>
      </c>
      <c r="I1669" s="1">
        <v>4</v>
      </c>
      <c r="J1669" s="4">
        <v>0.25</v>
      </c>
      <c r="K1669" s="1">
        <v>0</v>
      </c>
      <c r="L1669" s="1">
        <v>3</v>
      </c>
      <c r="M1669" s="32">
        <f>IF(Mecze[[#This Row],[PR]]=0,0,Mecze[[#This Row],[PR]]/Mecze[[#This Row],[CZAS]])</f>
        <v>3.1578947368421054E-2</v>
      </c>
      <c r="N1669" s="32">
        <f>IF(Mecze[[#This Row],[OU]]=0,0,Mecze[[#This Row],[OU]]/Mecze[[#This Row],[CZAS]])</f>
        <v>1.0526315789473684E-2</v>
      </c>
      <c r="O1669" s="32">
        <f>IF(Mecze[[#This Row],[PC]]=0,0,Mecze[[#This Row],[PC]]/Mecze[[#This Row],[CZAS]])</f>
        <v>4.2105263157894736E-2</v>
      </c>
      <c r="P1669" s="32">
        <f>IF(Mecze[[#This Row],[SC]]=0,0,Mecze[[#This Row],[SC]]/Mecze[[#This Row],[CZAS]])</f>
        <v>6.3157894736842107E-2</v>
      </c>
      <c r="Q1669" s="32">
        <f>IF(Mecze[[#This Row],[OB]]=0,0,Mecze[[#This Row],[OB]]/Mecze[[#This Row],[CZAS]])</f>
        <v>0</v>
      </c>
      <c r="R1669" s="32">
        <f>IF(Mecze[[#This Row],[BR]]=0,0,Mecze[[#This Row],[BR]]/Mecze[[#This Row],[CZAS]])</f>
        <v>0</v>
      </c>
      <c r="S1669" s="44">
        <f>IF(Mecze[[#This Row],[Role]]="BR",SUMPRODUCT(Mecze[[#This Row],[/PR:90]:[/BR:90]],Brudnopis!$E$23:$J$23),0)</f>
        <v>0</v>
      </c>
      <c r="T1669" s="44">
        <f>IF(Mecze[[#This Row],[Role]]&lt;&gt;"BR",SUMPRODUCT(Mecze[[#This Row],[/PR:90]:[/BR:90]],Brudnopis!$E$24:$J$24),0)</f>
        <v>0.15263157894736842</v>
      </c>
      <c r="U1669" s="44">
        <f>IF(Mecze[[#This Row],[Role]]&lt;&gt;"BR",SUMPRODUCT(Mecze[[#This Row],[/PR:90]:[/BR:90]],Brudnopis!$E$25:$J$25),0)</f>
        <v>0.16842105263157894</v>
      </c>
      <c r="V1669" s="44">
        <f>IF(Mecze[[#This Row],[Role]]&lt;&gt;"BR",SUMPRODUCT(Mecze[[#This Row],[/PR:90]:[/BR:90]],Brudnopis!$E$26:$J$26),0)</f>
        <v>0.14736842105263159</v>
      </c>
      <c r="W1669" s="44">
        <f>IF(Mecze[[#This Row],[Role]]&lt;&gt;"BR",SUMPRODUCT(Mecze[[#This Row],[/PR:90]:[/BR:90]],Brudnopis!$E$27:$J$27),0)</f>
        <v>0.15789473684210525</v>
      </c>
      <c r="X1669" s="44">
        <f>IF(Mecze[[#This Row],[Role]]&lt;&gt;"BR",SUMPRODUCT(Mecze[[#This Row],[/PR:90]:[/BR:90]],Brudnopis!$E$28:$J$28),0)</f>
        <v>0.16842105263157894</v>
      </c>
      <c r="Y1669" s="35">
        <f>IF(Mecze[[#This Row],[Role]]="BR",Mecze[[#This Row],[/OB:90]]+Mecze[[#This Row],[/PC:90]],SUM(Mecze[[#This Row],[/PR:90]:[/BR:90]]))</f>
        <v>0.14736842105263159</v>
      </c>
      <c r="Z1669" s="35">
        <f>IF(Mecze[[#This Row],[KC]]=0,SUM(Mecze[[#This Row],[/BRI]:[/NPI]]),SUM(Mecze[[#This Row],[/BRI]:[/NPI]])*0.6)</f>
        <v>0.79473684210526307</v>
      </c>
      <c r="AA1669" s="10">
        <f>IFERROR(Mecze[[#This Row],[BR]]/Mecze[[#This Row],[ST]],0)</f>
        <v>0</v>
      </c>
      <c r="AB1669">
        <f>ROUND(Mecze[[#This Row],[PD]]*Mecze[[#This Row],[%PC]],0)</f>
        <v>4</v>
      </c>
      <c r="AC1669">
        <f>ROUND(Mecze[[#This Row],[OD]]*Mecze[[#This Row],[%OU]],0)</f>
        <v>1</v>
      </c>
      <c r="AD1669" s="36" t="s">
        <v>46</v>
      </c>
      <c r="AE1669" s="36">
        <v>89</v>
      </c>
      <c r="AF1669" s="71">
        <v>6.28</v>
      </c>
      <c r="AG1669" s="37">
        <v>0</v>
      </c>
      <c r="AH1669" s="37">
        <v>0</v>
      </c>
      <c r="AI1669" s="37">
        <v>95</v>
      </c>
      <c r="AJ1669" s="37">
        <v>6</v>
      </c>
      <c r="AK1669" s="37" t="str">
        <f>VLOOKUP(Mecze[[#This Row],[Match ID]],Meczusie[Mecz]:Meczusie[RodzajMeczu],2,FALSE)</f>
        <v>Liga</v>
      </c>
    </row>
    <row r="1670" spans="1:37" x14ac:dyDescent="0.25">
      <c r="A1670" s="76">
        <v>100</v>
      </c>
      <c r="B1670" s="3" t="s">
        <v>257</v>
      </c>
      <c r="C1670" s="2" t="s">
        <v>165</v>
      </c>
      <c r="D1670" s="1">
        <v>2</v>
      </c>
      <c r="E1670" s="1">
        <v>4</v>
      </c>
      <c r="F1670" s="1">
        <v>4</v>
      </c>
      <c r="G1670" s="1">
        <v>7</v>
      </c>
      <c r="H1670" s="4">
        <v>0.56999999999999995</v>
      </c>
      <c r="I1670" s="1">
        <v>0</v>
      </c>
      <c r="J1670" s="4"/>
      <c r="K1670" s="1">
        <v>0</v>
      </c>
      <c r="L1670" s="1">
        <v>2</v>
      </c>
      <c r="M1670" s="32">
        <f>IF(Mecze[[#This Row],[PR]]=0,0,Mecze[[#This Row],[PR]]/Mecze[[#This Row],[CZAS]])</f>
        <v>2.3529411764705882E-2</v>
      </c>
      <c r="N1670" s="32">
        <f>IF(Mecze[[#This Row],[OU]]=0,0,Mecze[[#This Row],[OU]]/Mecze[[#This Row],[CZAS]])</f>
        <v>0</v>
      </c>
      <c r="O1670" s="32">
        <f>IF(Mecze[[#This Row],[PC]]=0,0,Mecze[[#This Row],[PC]]/Mecze[[#This Row],[CZAS]])</f>
        <v>4.7058823529411764E-2</v>
      </c>
      <c r="P1670" s="32">
        <f>IF(Mecze[[#This Row],[SC]]=0,0,Mecze[[#This Row],[SC]]/Mecze[[#This Row],[CZAS]])</f>
        <v>4.7058823529411764E-2</v>
      </c>
      <c r="Q1670" s="32">
        <f>IF(Mecze[[#This Row],[OB]]=0,0,Mecze[[#This Row],[OB]]/Mecze[[#This Row],[CZAS]])</f>
        <v>0</v>
      </c>
      <c r="R1670" s="32">
        <f>IF(Mecze[[#This Row],[BR]]=0,0,Mecze[[#This Row],[BR]]/Mecze[[#This Row],[CZAS]])</f>
        <v>2.3529411764705882E-2</v>
      </c>
      <c r="S1670" s="44">
        <f>IF(Mecze[[#This Row],[Role]]="BR",SUMPRODUCT(Mecze[[#This Row],[/PR:90]:[/BR:90]],Brudnopis!$E$23:$J$23),0)</f>
        <v>0</v>
      </c>
      <c r="T1670" s="44">
        <f>IF(Mecze[[#This Row],[Role]]&lt;&gt;"BR",SUMPRODUCT(Mecze[[#This Row],[/PR:90]:[/BR:90]],Brudnopis!$E$24:$J$24),0)</f>
        <v>0.15294117647058825</v>
      </c>
      <c r="U1670" s="44">
        <f>IF(Mecze[[#This Row],[Role]]&lt;&gt;"BR",SUMPRODUCT(Mecze[[#This Row],[/PR:90]:[/BR:90]],Brudnopis!$E$25:$J$25),0)</f>
        <v>0.1764705882352941</v>
      </c>
      <c r="V1670" s="44">
        <f>IF(Mecze[[#This Row],[Role]]&lt;&gt;"BR",SUMPRODUCT(Mecze[[#This Row],[/PR:90]:[/BR:90]],Brudnopis!$E$26:$J$26),0)</f>
        <v>0.16470588235294117</v>
      </c>
      <c r="W1670" s="44">
        <f>IF(Mecze[[#This Row],[Role]]&lt;&gt;"BR",SUMPRODUCT(Mecze[[#This Row],[/PR:90]:[/BR:90]],Brudnopis!$E$27:$J$27),0)</f>
        <v>0.18235294117647058</v>
      </c>
      <c r="X1670" s="44">
        <f>IF(Mecze[[#This Row],[Role]]&lt;&gt;"BR",SUMPRODUCT(Mecze[[#This Row],[/PR:90]:[/BR:90]],Brudnopis!$E$28:$J$28),0)</f>
        <v>0.21176470588235294</v>
      </c>
      <c r="Y1670" s="35">
        <f>IF(Mecze[[#This Row],[Role]]="BR",Mecze[[#This Row],[/OB:90]]+Mecze[[#This Row],[/PC:90]],SUM(Mecze[[#This Row],[/PR:90]:[/BR:90]]))</f>
        <v>0.14117647058823529</v>
      </c>
      <c r="Z1670" s="35">
        <f>IF(Mecze[[#This Row],[KC]]=0,SUM(Mecze[[#This Row],[/BRI]:[/NPI]]),SUM(Mecze[[#This Row],[/BRI]:[/NPI]])*0.6)</f>
        <v>0.88823529411764712</v>
      </c>
      <c r="AA1670" s="10">
        <f>IFERROR(Mecze[[#This Row],[BR]]/Mecze[[#This Row],[ST]],0)</f>
        <v>0.5</v>
      </c>
      <c r="AB1670">
        <f>ROUND(Mecze[[#This Row],[PD]]*Mecze[[#This Row],[%PC]],0)</f>
        <v>4</v>
      </c>
      <c r="AC1670">
        <f>ROUND(Mecze[[#This Row],[OD]]*Mecze[[#This Row],[%OU]],0)</f>
        <v>0</v>
      </c>
      <c r="AD1670" s="36" t="s">
        <v>46</v>
      </c>
      <c r="AE1670" s="36">
        <v>89</v>
      </c>
      <c r="AF1670" s="71">
        <v>9.52</v>
      </c>
      <c r="AG1670" s="37">
        <v>0</v>
      </c>
      <c r="AH1670" s="37">
        <v>0</v>
      </c>
      <c r="AI1670" s="37">
        <v>85</v>
      </c>
      <c r="AJ1670" s="37">
        <v>6</v>
      </c>
      <c r="AK1670" s="37" t="str">
        <f>VLOOKUP(Mecze[[#This Row],[Match ID]],Meczusie[Mecz]:Meczusie[RodzajMeczu],2,FALSE)</f>
        <v>Liga</v>
      </c>
    </row>
    <row r="1671" spans="1:37" x14ac:dyDescent="0.25">
      <c r="A1671" s="76">
        <v>20</v>
      </c>
      <c r="B1671" s="3" t="s">
        <v>391</v>
      </c>
      <c r="C1671" s="2" t="s">
        <v>165</v>
      </c>
      <c r="D1671" s="1">
        <v>0</v>
      </c>
      <c r="E1671" s="1">
        <v>0</v>
      </c>
      <c r="F1671" s="1">
        <v>0</v>
      </c>
      <c r="G1671" s="1">
        <v>1</v>
      </c>
      <c r="H1671" s="4">
        <v>0</v>
      </c>
      <c r="I1671" s="1">
        <v>1</v>
      </c>
      <c r="J1671" s="4">
        <v>0</v>
      </c>
      <c r="K1671" s="1">
        <v>0</v>
      </c>
      <c r="L1671" s="1">
        <v>0</v>
      </c>
      <c r="M1671" s="32">
        <f>IF(Mecze[[#This Row],[PR]]=0,0,Mecze[[#This Row],[PR]]/Mecze[[#This Row],[CZAS]])</f>
        <v>0</v>
      </c>
      <c r="N1671" s="32">
        <f>IF(Mecze[[#This Row],[OU]]=0,0,Mecze[[#This Row],[OU]]/Mecze[[#This Row],[CZAS]])</f>
        <v>0</v>
      </c>
      <c r="O1671" s="32">
        <f>IF(Mecze[[#This Row],[PC]]=0,0,Mecze[[#This Row],[PC]]/Mecze[[#This Row],[CZAS]])</f>
        <v>0</v>
      </c>
      <c r="P1671" s="32">
        <f>IF(Mecze[[#This Row],[SC]]=0,0,Mecze[[#This Row],[SC]]/Mecze[[#This Row],[CZAS]])</f>
        <v>0</v>
      </c>
      <c r="Q1671" s="32">
        <f>IF(Mecze[[#This Row],[OB]]=0,0,Mecze[[#This Row],[OB]]/Mecze[[#This Row],[CZAS]])</f>
        <v>0</v>
      </c>
      <c r="R1671" s="32">
        <f>IF(Mecze[[#This Row],[BR]]=0,0,Mecze[[#This Row],[BR]]/Mecze[[#This Row],[CZAS]])</f>
        <v>0</v>
      </c>
      <c r="S1671" s="44">
        <f>IF(Mecze[[#This Row],[Role]]="BR",SUMPRODUCT(Mecze[[#This Row],[/PR:90]:[/BR:90]],Brudnopis!$E$23:$J$23),0)</f>
        <v>0</v>
      </c>
      <c r="T1671" s="44">
        <f>IF(Mecze[[#This Row],[Role]]&lt;&gt;"BR",SUMPRODUCT(Mecze[[#This Row],[/PR:90]:[/BR:90]],Brudnopis!$E$24:$J$24),0)</f>
        <v>0</v>
      </c>
      <c r="U1671" s="44">
        <f>IF(Mecze[[#This Row],[Role]]&lt;&gt;"BR",SUMPRODUCT(Mecze[[#This Row],[/PR:90]:[/BR:90]],Brudnopis!$E$25:$J$25),0)</f>
        <v>0</v>
      </c>
      <c r="V1671" s="44">
        <f>IF(Mecze[[#This Row],[Role]]&lt;&gt;"BR",SUMPRODUCT(Mecze[[#This Row],[/PR:90]:[/BR:90]],Brudnopis!$E$26:$J$26),0)</f>
        <v>0</v>
      </c>
      <c r="W1671" s="44">
        <f>IF(Mecze[[#This Row],[Role]]&lt;&gt;"BR",SUMPRODUCT(Mecze[[#This Row],[/PR:90]:[/BR:90]],Brudnopis!$E$27:$J$27),0)</f>
        <v>0</v>
      </c>
      <c r="X1671" s="44">
        <f>IF(Mecze[[#This Row],[Role]]&lt;&gt;"BR",SUMPRODUCT(Mecze[[#This Row],[/PR:90]:[/BR:90]],Brudnopis!$E$28:$J$28),0)</f>
        <v>0</v>
      </c>
      <c r="Y1671" s="35">
        <f>IF(Mecze[[#This Row],[Role]]="BR",Mecze[[#This Row],[/OB:90]]+Mecze[[#This Row],[/PC:90]],SUM(Mecze[[#This Row],[/PR:90]:[/BR:90]]))</f>
        <v>0</v>
      </c>
      <c r="Z1671" s="35">
        <f>IF(Mecze[[#This Row],[KC]]=0,SUM(Mecze[[#This Row],[/BRI]:[/NPI]]),SUM(Mecze[[#This Row],[/BRI]:[/NPI]])*0.6)</f>
        <v>0</v>
      </c>
      <c r="AA1671" s="10">
        <f>IFERROR(Mecze[[#This Row],[BR]]/Mecze[[#This Row],[ST]],0)</f>
        <v>0</v>
      </c>
      <c r="AB1671">
        <f>ROUND(Mecze[[#This Row],[PD]]*Mecze[[#This Row],[%PC]],0)</f>
        <v>0</v>
      </c>
      <c r="AC1671">
        <f>ROUND(Mecze[[#This Row],[OD]]*Mecze[[#This Row],[%OU]],0)</f>
        <v>0</v>
      </c>
      <c r="AD1671" s="36" t="s">
        <v>46</v>
      </c>
      <c r="AE1671" s="36">
        <v>89</v>
      </c>
      <c r="AF1671" s="71">
        <v>0.5</v>
      </c>
      <c r="AG1671" s="37">
        <v>0</v>
      </c>
      <c r="AH1671" s="37">
        <v>0</v>
      </c>
      <c r="AI1671" s="37">
        <v>10</v>
      </c>
      <c r="AJ1671" s="37">
        <v>6</v>
      </c>
      <c r="AK1671" s="37" t="str">
        <f>VLOOKUP(Mecze[[#This Row],[Match ID]],Meczusie[Mecz]:Meczusie[RodzajMeczu],2,FALSE)</f>
        <v>Liga</v>
      </c>
    </row>
    <row r="1672" spans="1:37" x14ac:dyDescent="0.25">
      <c r="A1672" s="76">
        <v>105</v>
      </c>
      <c r="B1672" s="3" t="s">
        <v>423</v>
      </c>
      <c r="C1672" s="2" t="s">
        <v>157</v>
      </c>
      <c r="D1672" s="1">
        <v>0</v>
      </c>
      <c r="E1672" s="1">
        <v>0</v>
      </c>
      <c r="F1672" s="1">
        <v>0</v>
      </c>
      <c r="G1672" s="1">
        <v>3</v>
      </c>
      <c r="H1672" s="4">
        <v>1</v>
      </c>
      <c r="I1672" s="1">
        <v>2</v>
      </c>
      <c r="J1672" s="4">
        <v>0.5</v>
      </c>
      <c r="K1672" s="1">
        <v>0</v>
      </c>
      <c r="L1672" s="1">
        <v>1</v>
      </c>
      <c r="M1672" s="32">
        <f>IF(Mecze[[#This Row],[PR]]=0,0,Mecze[[#This Row],[PR]]/Mecze[[#This Row],[CZAS]])</f>
        <v>0.1</v>
      </c>
      <c r="N1672" s="32">
        <f>IF(Mecze[[#This Row],[OU]]=0,0,Mecze[[#This Row],[OU]]/Mecze[[#This Row],[CZAS]])</f>
        <v>0.1</v>
      </c>
      <c r="O1672" s="32">
        <f>IF(Mecze[[#This Row],[PC]]=0,0,Mecze[[#This Row],[PC]]/Mecze[[#This Row],[CZAS]])</f>
        <v>0.3</v>
      </c>
      <c r="P1672" s="32">
        <f>IF(Mecze[[#This Row],[SC]]=0,0,Mecze[[#This Row],[SC]]/Mecze[[#This Row],[CZAS]])</f>
        <v>0</v>
      </c>
      <c r="Q1672" s="32">
        <f>IF(Mecze[[#This Row],[OB]]=0,0,Mecze[[#This Row],[OB]]/Mecze[[#This Row],[CZAS]])</f>
        <v>0</v>
      </c>
      <c r="R1672" s="32">
        <f>IF(Mecze[[#This Row],[BR]]=0,0,Mecze[[#This Row],[BR]]/Mecze[[#This Row],[CZAS]])</f>
        <v>0</v>
      </c>
      <c r="S1672" s="44">
        <f>IF(Mecze[[#This Row],[Role]]="BR",SUMPRODUCT(Mecze[[#This Row],[/PR:90]:[/BR:90]],Brudnopis!$E$23:$J$23),0)</f>
        <v>0</v>
      </c>
      <c r="T1672" s="44">
        <f>IF(Mecze[[#This Row],[Role]]&lt;&gt;"BR",SUMPRODUCT(Mecze[[#This Row],[/PR:90]:[/BR:90]],Brudnopis!$E$24:$J$24),0)</f>
        <v>0.55000000000000004</v>
      </c>
      <c r="U1672" s="44">
        <f>IF(Mecze[[#This Row],[Role]]&lt;&gt;"BR",SUMPRODUCT(Mecze[[#This Row],[/PR:90]:[/BR:90]],Brudnopis!$E$25:$J$25),0)</f>
        <v>0.64999999999999991</v>
      </c>
      <c r="V1672" s="44">
        <f>IF(Mecze[[#This Row],[Role]]&lt;&gt;"BR",SUMPRODUCT(Mecze[[#This Row],[/PR:90]:[/BR:90]],Brudnopis!$E$26:$J$26),0)</f>
        <v>0.5</v>
      </c>
      <c r="W1672" s="44">
        <f>IF(Mecze[[#This Row],[Role]]&lt;&gt;"BR",SUMPRODUCT(Mecze[[#This Row],[/PR:90]:[/BR:90]],Brudnopis!$E$27:$J$27),0)</f>
        <v>0.6</v>
      </c>
      <c r="X1672" s="44">
        <f>IF(Mecze[[#This Row],[Role]]&lt;&gt;"BR",SUMPRODUCT(Mecze[[#This Row],[/PR:90]:[/BR:90]],Brudnopis!$E$28:$J$28),0)</f>
        <v>0.3</v>
      </c>
      <c r="Y1672" s="35">
        <f>IF(Mecze[[#This Row],[Role]]="BR",Mecze[[#This Row],[/OB:90]]+Mecze[[#This Row],[/PC:90]],SUM(Mecze[[#This Row],[/PR:90]:[/BR:90]]))</f>
        <v>0.5</v>
      </c>
      <c r="Z1672" s="35">
        <f>IF(Mecze[[#This Row],[KC]]=0,SUM(Mecze[[#This Row],[/BRI]:[/NPI]]),SUM(Mecze[[#This Row],[/BRI]:[/NPI]])*0.6)</f>
        <v>2.5999999999999996</v>
      </c>
      <c r="AA1672" s="10">
        <f>IFERROR(Mecze[[#This Row],[BR]]/Mecze[[#This Row],[ST]],0)</f>
        <v>0</v>
      </c>
      <c r="AB1672">
        <f>ROUND(Mecze[[#This Row],[PD]]*Mecze[[#This Row],[%PC]],0)</f>
        <v>3</v>
      </c>
      <c r="AC1672">
        <f>ROUND(Mecze[[#This Row],[OD]]*Mecze[[#This Row],[%OU]],0)</f>
        <v>1</v>
      </c>
      <c r="AD1672" s="36" t="s">
        <v>167</v>
      </c>
      <c r="AE1672" s="36">
        <v>89</v>
      </c>
      <c r="AF1672" s="71">
        <v>-0.4</v>
      </c>
      <c r="AG1672" s="37">
        <v>0</v>
      </c>
      <c r="AH1672" s="37">
        <v>0</v>
      </c>
      <c r="AI1672" s="37">
        <v>10</v>
      </c>
      <c r="AJ1672" s="37">
        <v>6</v>
      </c>
      <c r="AK1672" s="37" t="str">
        <f>VLOOKUP(Mecze[[#This Row],[Match ID]],Meczusie[Mecz]:Meczusie[RodzajMeczu],2,FALSE)</f>
        <v>Liga</v>
      </c>
    </row>
    <row r="1673" spans="1:37" x14ac:dyDescent="0.25">
      <c r="A1673" s="76">
        <v>9</v>
      </c>
      <c r="B1673" s="3" t="s">
        <v>258</v>
      </c>
      <c r="C1673" s="2" t="s">
        <v>160</v>
      </c>
      <c r="D1673" s="1">
        <v>0</v>
      </c>
      <c r="E1673" s="1">
        <v>0</v>
      </c>
      <c r="F1673" s="1">
        <v>0</v>
      </c>
      <c r="G1673" s="1">
        <v>1</v>
      </c>
      <c r="H1673" s="4">
        <v>0</v>
      </c>
      <c r="I1673" s="1">
        <v>0</v>
      </c>
      <c r="J1673" s="4"/>
      <c r="K1673" s="1">
        <v>0</v>
      </c>
      <c r="L1673" s="1">
        <v>0</v>
      </c>
      <c r="M1673" s="32">
        <f>IF(Mecze[[#This Row],[PR]]=0,0,Mecze[[#This Row],[PR]]/Mecze[[#This Row],[CZAS]])</f>
        <v>0</v>
      </c>
      <c r="N1673" s="32">
        <f>IF(Mecze[[#This Row],[OU]]=0,0,Mecze[[#This Row],[OU]]/Mecze[[#This Row],[CZAS]])</f>
        <v>0</v>
      </c>
      <c r="O1673" s="32">
        <f>IF(Mecze[[#This Row],[PC]]=0,0,Mecze[[#This Row],[PC]]/Mecze[[#This Row],[CZAS]])</f>
        <v>0</v>
      </c>
      <c r="P1673" s="32">
        <f>IF(Mecze[[#This Row],[SC]]=0,0,Mecze[[#This Row],[SC]]/Mecze[[#This Row],[CZAS]])</f>
        <v>0</v>
      </c>
      <c r="Q1673" s="32">
        <f>IF(Mecze[[#This Row],[OB]]=0,0,Mecze[[#This Row],[OB]]/Mecze[[#This Row],[CZAS]])</f>
        <v>0</v>
      </c>
      <c r="R1673" s="32">
        <f>IF(Mecze[[#This Row],[BR]]=0,0,Mecze[[#This Row],[BR]]/Mecze[[#This Row],[CZAS]])</f>
        <v>0</v>
      </c>
      <c r="S1673" s="44">
        <f>IF(Mecze[[#This Row],[Role]]="BR",SUMPRODUCT(Mecze[[#This Row],[/PR:90]:[/BR:90]],Brudnopis!$E$23:$J$23),0)</f>
        <v>0</v>
      </c>
      <c r="T1673" s="44">
        <f>IF(Mecze[[#This Row],[Role]]&lt;&gt;"BR",SUMPRODUCT(Mecze[[#This Row],[/PR:90]:[/BR:90]],Brudnopis!$E$24:$J$24),0)</f>
        <v>0</v>
      </c>
      <c r="U1673" s="44">
        <f>IF(Mecze[[#This Row],[Role]]&lt;&gt;"BR",SUMPRODUCT(Mecze[[#This Row],[/PR:90]:[/BR:90]],Brudnopis!$E$25:$J$25),0)</f>
        <v>0</v>
      </c>
      <c r="V1673" s="44">
        <f>IF(Mecze[[#This Row],[Role]]&lt;&gt;"BR",SUMPRODUCT(Mecze[[#This Row],[/PR:90]:[/BR:90]],Brudnopis!$E$26:$J$26),0)</f>
        <v>0</v>
      </c>
      <c r="W1673" s="44">
        <f>IF(Mecze[[#This Row],[Role]]&lt;&gt;"BR",SUMPRODUCT(Mecze[[#This Row],[/PR:90]:[/BR:90]],Brudnopis!$E$27:$J$27),0)</f>
        <v>0</v>
      </c>
      <c r="X1673" s="44">
        <f>IF(Mecze[[#This Row],[Role]]&lt;&gt;"BR",SUMPRODUCT(Mecze[[#This Row],[/PR:90]:[/BR:90]],Brudnopis!$E$28:$J$28),0)</f>
        <v>0</v>
      </c>
      <c r="Y1673" s="35">
        <f>IF(Mecze[[#This Row],[Role]]="BR",Mecze[[#This Row],[/OB:90]]+Mecze[[#This Row],[/PC:90]],SUM(Mecze[[#This Row],[/PR:90]:[/BR:90]]))</f>
        <v>0</v>
      </c>
      <c r="Z1673" s="35">
        <f>IF(Mecze[[#This Row],[KC]]=0,SUM(Mecze[[#This Row],[/BRI]:[/NPI]]),SUM(Mecze[[#This Row],[/BRI]:[/NPI]])*0.6)</f>
        <v>0</v>
      </c>
      <c r="AA1673" s="10">
        <f>IFERROR(Mecze[[#This Row],[BR]]/Mecze[[#This Row],[ST]],0)</f>
        <v>0</v>
      </c>
      <c r="AB1673">
        <f>ROUND(Mecze[[#This Row],[PD]]*Mecze[[#This Row],[%PC]],0)</f>
        <v>0</v>
      </c>
      <c r="AC1673">
        <f>ROUND(Mecze[[#This Row],[OD]]*Mecze[[#This Row],[%OU]],0)</f>
        <v>0</v>
      </c>
      <c r="AD1673" s="36" t="s">
        <v>318</v>
      </c>
      <c r="AE1673" s="36">
        <v>89</v>
      </c>
      <c r="AF1673" s="71">
        <v>0.5</v>
      </c>
      <c r="AG1673" s="37">
        <v>0</v>
      </c>
      <c r="AH1673" s="37">
        <v>0</v>
      </c>
      <c r="AI1673" s="37">
        <v>26</v>
      </c>
      <c r="AJ1673" s="37">
        <v>6</v>
      </c>
      <c r="AK1673" s="37" t="str">
        <f>VLOOKUP(Mecze[[#This Row],[Match ID]],Meczusie[Mecz]:Meczusie[RodzajMeczu],2,FALSE)</f>
        <v>Liga</v>
      </c>
    </row>
    <row r="1674" spans="1:37" x14ac:dyDescent="0.25">
      <c r="A1674" s="76">
        <v>1</v>
      </c>
      <c r="B1674" s="3" t="s">
        <v>169</v>
      </c>
      <c r="C1674" s="2" t="s">
        <v>155</v>
      </c>
      <c r="D1674" s="1">
        <v>0</v>
      </c>
      <c r="E1674" s="1">
        <v>0</v>
      </c>
      <c r="F1674" s="1">
        <v>0</v>
      </c>
      <c r="G1674" s="1">
        <v>3</v>
      </c>
      <c r="H1674" s="4">
        <v>1</v>
      </c>
      <c r="I1674" s="1">
        <v>0</v>
      </c>
      <c r="J1674" s="4"/>
      <c r="K1674" s="1">
        <v>1</v>
      </c>
      <c r="L1674" s="1">
        <v>0</v>
      </c>
      <c r="M1674" s="32">
        <f>IF(Mecze[[#This Row],[PR]]=0,0,Mecze[[#This Row],[PR]]/Mecze[[#This Row],[CZAS]])</f>
        <v>0</v>
      </c>
      <c r="N1674" s="32">
        <f>IF(Mecze[[#This Row],[OU]]=0,0,Mecze[[#This Row],[OU]]/Mecze[[#This Row],[CZAS]])</f>
        <v>0</v>
      </c>
      <c r="O1674" s="32">
        <f>IF(Mecze[[#This Row],[PC]]=0,0,Mecze[[#This Row],[PC]]/Mecze[[#This Row],[CZAS]])</f>
        <v>3.0927835051546393E-2</v>
      </c>
      <c r="P1674" s="32">
        <f>IF(Mecze[[#This Row],[SC]]=0,0,Mecze[[#This Row],[SC]]/Mecze[[#This Row],[CZAS]])</f>
        <v>0</v>
      </c>
      <c r="Q1674" s="32">
        <f>IF(Mecze[[#This Row],[OB]]=0,0,Mecze[[#This Row],[OB]]/Mecze[[#This Row],[CZAS]])</f>
        <v>1.0309278350515464E-2</v>
      </c>
      <c r="R1674" s="32">
        <f>IF(Mecze[[#This Row],[BR]]=0,0,Mecze[[#This Row],[BR]]/Mecze[[#This Row],[CZAS]])</f>
        <v>0</v>
      </c>
      <c r="S1674" s="44">
        <f>IF(Mecze[[#This Row],[Role]]="BR",SUMPRODUCT(Mecze[[#This Row],[/PR:90]:[/BR:90]],Brudnopis!$E$23:$J$23),0)</f>
        <v>0.12371134020618557</v>
      </c>
      <c r="T1674" s="44">
        <f>IF(Mecze[[#This Row],[Role]]&lt;&gt;"BR",SUMPRODUCT(Mecze[[#This Row],[/PR:90]:[/BR:90]],Brudnopis!$E$24:$J$24),0)</f>
        <v>0</v>
      </c>
      <c r="U1674" s="44">
        <f>IF(Mecze[[#This Row],[Role]]&lt;&gt;"BR",SUMPRODUCT(Mecze[[#This Row],[/PR:90]:[/BR:90]],Brudnopis!$E$25:$J$25),0)</f>
        <v>0</v>
      </c>
      <c r="V1674" s="44">
        <f>IF(Mecze[[#This Row],[Role]]&lt;&gt;"BR",SUMPRODUCT(Mecze[[#This Row],[/PR:90]:[/BR:90]],Brudnopis!$E$26:$J$26),0)</f>
        <v>0</v>
      </c>
      <c r="W1674" s="44">
        <f>IF(Mecze[[#This Row],[Role]]&lt;&gt;"BR",SUMPRODUCT(Mecze[[#This Row],[/PR:90]:[/BR:90]],Brudnopis!$E$27:$J$27),0)</f>
        <v>0</v>
      </c>
      <c r="X1674" s="44">
        <f>IF(Mecze[[#This Row],[Role]]&lt;&gt;"BR",SUMPRODUCT(Mecze[[#This Row],[/PR:90]:[/BR:90]],Brudnopis!$E$28:$J$28),0)</f>
        <v>0</v>
      </c>
      <c r="Y1674" s="35">
        <f>IF(Mecze[[#This Row],[Role]]="BR",Mecze[[#This Row],[/OB:90]]+Mecze[[#This Row],[/PC:90]],SUM(Mecze[[#This Row],[/PR:90]:[/BR:90]]))</f>
        <v>4.1237113402061855E-2</v>
      </c>
      <c r="Z1674" s="35">
        <f>IF(Mecze[[#This Row],[KC]]=0,SUM(Mecze[[#This Row],[/BRI]:[/NPI]]),SUM(Mecze[[#This Row],[/BRI]:[/NPI]])*0.6)</f>
        <v>0.12371134020618557</v>
      </c>
      <c r="AA1674" s="10">
        <f>IFERROR(Mecze[[#This Row],[BR]]/Mecze[[#This Row],[ST]],0)</f>
        <v>0</v>
      </c>
      <c r="AB1674">
        <f>ROUND(Mecze[[#This Row],[PD]]*Mecze[[#This Row],[%PC]],0)</f>
        <v>3</v>
      </c>
      <c r="AC1674">
        <f>ROUND(Mecze[[#This Row],[OD]]*Mecze[[#This Row],[%OU]],0)</f>
        <v>0</v>
      </c>
      <c r="AD1674" s="36" t="s">
        <v>40</v>
      </c>
      <c r="AE1674" s="36">
        <v>90</v>
      </c>
      <c r="AF1674" s="71">
        <v>7.39</v>
      </c>
      <c r="AG1674" s="37">
        <v>0</v>
      </c>
      <c r="AH1674" s="37">
        <v>0</v>
      </c>
      <c r="AI1674" s="37">
        <v>97</v>
      </c>
      <c r="AJ1674" s="37">
        <v>1</v>
      </c>
      <c r="AK1674" s="37" t="str">
        <f>VLOOKUP(Mecze[[#This Row],[Match ID]],Meczusie[Mecz]:Meczusie[RodzajMeczu],2,FALSE)</f>
        <v>Liga</v>
      </c>
    </row>
    <row r="1675" spans="1:37" x14ac:dyDescent="0.25">
      <c r="A1675" s="76">
        <v>5</v>
      </c>
      <c r="B1675" s="3" t="s">
        <v>161</v>
      </c>
      <c r="C1675" s="2" t="s">
        <v>157</v>
      </c>
      <c r="D1675" s="1">
        <v>0</v>
      </c>
      <c r="E1675" s="1">
        <v>0</v>
      </c>
      <c r="F1675" s="1">
        <v>0</v>
      </c>
      <c r="G1675" s="1">
        <v>16</v>
      </c>
      <c r="H1675" s="4">
        <v>0.63</v>
      </c>
      <c r="I1675" s="1">
        <v>8</v>
      </c>
      <c r="J1675" s="4">
        <v>0.75</v>
      </c>
      <c r="K1675" s="1">
        <v>0</v>
      </c>
      <c r="L1675" s="1">
        <v>12</v>
      </c>
      <c r="M1675" s="32">
        <f>IF(Mecze[[#This Row],[PR]]=0,0,Mecze[[#This Row],[PR]]/Mecze[[#This Row],[CZAS]])</f>
        <v>0.12371134020618557</v>
      </c>
      <c r="N1675" s="32">
        <f>IF(Mecze[[#This Row],[OU]]=0,0,Mecze[[#This Row],[OU]]/Mecze[[#This Row],[CZAS]])</f>
        <v>6.1855670103092786E-2</v>
      </c>
      <c r="O1675" s="32">
        <f>IF(Mecze[[#This Row],[PC]]=0,0,Mecze[[#This Row],[PC]]/Mecze[[#This Row],[CZAS]])</f>
        <v>0.10309278350515463</v>
      </c>
      <c r="P1675" s="32">
        <f>IF(Mecze[[#This Row],[SC]]=0,0,Mecze[[#This Row],[SC]]/Mecze[[#This Row],[CZAS]])</f>
        <v>0</v>
      </c>
      <c r="Q1675" s="32">
        <f>IF(Mecze[[#This Row],[OB]]=0,0,Mecze[[#This Row],[OB]]/Mecze[[#This Row],[CZAS]])</f>
        <v>0</v>
      </c>
      <c r="R1675" s="32">
        <f>IF(Mecze[[#This Row],[BR]]=0,0,Mecze[[#This Row],[BR]]/Mecze[[#This Row],[CZAS]])</f>
        <v>0</v>
      </c>
      <c r="S1675" s="44">
        <f>IF(Mecze[[#This Row],[Role]]="BR",SUMPRODUCT(Mecze[[#This Row],[/PR:90]:[/BR:90]],Brudnopis!$E$23:$J$23),0)</f>
        <v>0</v>
      </c>
      <c r="T1675" s="44">
        <f>IF(Mecze[[#This Row],[Role]]&lt;&gt;"BR",SUMPRODUCT(Mecze[[#This Row],[/PR:90]:[/BR:90]],Brudnopis!$E$24:$J$24),0)</f>
        <v>0.31958762886597936</v>
      </c>
      <c r="U1675" s="44">
        <f>IF(Mecze[[#This Row],[Role]]&lt;&gt;"BR",SUMPRODUCT(Mecze[[#This Row],[/PR:90]:[/BR:90]],Brudnopis!$E$25:$J$25),0)</f>
        <v>0.34020618556701032</v>
      </c>
      <c r="V1675" s="44">
        <f>IF(Mecze[[#This Row],[Role]]&lt;&gt;"BR",SUMPRODUCT(Mecze[[#This Row],[/PR:90]:[/BR:90]],Brudnopis!$E$26:$J$26),0)</f>
        <v>0.28865979381443296</v>
      </c>
      <c r="W1675" s="44">
        <f>IF(Mecze[[#This Row],[Role]]&lt;&gt;"BR",SUMPRODUCT(Mecze[[#This Row],[/PR:90]:[/BR:90]],Brudnopis!$E$27:$J$27),0)</f>
        <v>0.29381443298969073</v>
      </c>
      <c r="X1675" s="44">
        <f>IF(Mecze[[#This Row],[Role]]&lt;&gt;"BR",SUMPRODUCT(Mecze[[#This Row],[/PR:90]:[/BR:90]],Brudnopis!$E$28:$J$28),0)</f>
        <v>0.10309278350515463</v>
      </c>
      <c r="Y1675" s="35">
        <f>IF(Mecze[[#This Row],[Role]]="BR",Mecze[[#This Row],[/OB:90]]+Mecze[[#This Row],[/PC:90]],SUM(Mecze[[#This Row],[/PR:90]:[/BR:90]]))</f>
        <v>0.28865979381443296</v>
      </c>
      <c r="Z1675" s="35">
        <f>IF(Mecze[[#This Row],[KC]]=0,SUM(Mecze[[#This Row],[/BRI]:[/NPI]]),SUM(Mecze[[#This Row],[/BRI]:[/NPI]])*0.6)</f>
        <v>1.3453608247422681</v>
      </c>
      <c r="AA1675" s="10">
        <f>IFERROR(Mecze[[#This Row],[BR]]/Mecze[[#This Row],[ST]],0)</f>
        <v>0</v>
      </c>
      <c r="AB1675">
        <f>ROUND(Mecze[[#This Row],[PD]]*Mecze[[#This Row],[%PC]],0)</f>
        <v>10</v>
      </c>
      <c r="AC1675">
        <f>ROUND(Mecze[[#This Row],[OD]]*Mecze[[#This Row],[%OU]],0)</f>
        <v>6</v>
      </c>
      <c r="AD1675" s="36" t="s">
        <v>47</v>
      </c>
      <c r="AE1675" s="36">
        <v>90</v>
      </c>
      <c r="AF1675" s="71">
        <v>10.68</v>
      </c>
      <c r="AG1675" s="37">
        <v>0</v>
      </c>
      <c r="AH1675" s="37">
        <v>0</v>
      </c>
      <c r="AI1675" s="37">
        <v>97</v>
      </c>
      <c r="AJ1675" s="37">
        <v>1</v>
      </c>
      <c r="AK1675" s="37" t="str">
        <f>VLOOKUP(Mecze[[#This Row],[Match ID]],Meczusie[Mecz]:Meczusie[RodzajMeczu],2,FALSE)</f>
        <v>Liga</v>
      </c>
    </row>
    <row r="1676" spans="1:37" x14ac:dyDescent="0.25">
      <c r="A1676" s="76">
        <v>18</v>
      </c>
      <c r="B1676" s="3" t="s">
        <v>211</v>
      </c>
      <c r="C1676" s="2" t="s">
        <v>157</v>
      </c>
      <c r="D1676" s="1">
        <v>0</v>
      </c>
      <c r="E1676" s="1">
        <v>0</v>
      </c>
      <c r="F1676" s="1">
        <v>0</v>
      </c>
      <c r="G1676" s="1">
        <v>2</v>
      </c>
      <c r="H1676" s="4">
        <v>1</v>
      </c>
      <c r="I1676" s="1">
        <v>0</v>
      </c>
      <c r="J1676" s="4"/>
      <c r="K1676" s="1">
        <v>0</v>
      </c>
      <c r="L1676" s="1">
        <v>1</v>
      </c>
      <c r="M1676" s="32">
        <f>IF(Mecze[[#This Row],[PR]]=0,0,Mecze[[#This Row],[PR]]/Mecze[[#This Row],[CZAS]])</f>
        <v>1.0309278350515464E-2</v>
      </c>
      <c r="N1676" s="32">
        <f>IF(Mecze[[#This Row],[OU]]=0,0,Mecze[[#This Row],[OU]]/Mecze[[#This Row],[CZAS]])</f>
        <v>0</v>
      </c>
      <c r="O1676" s="32">
        <f>IF(Mecze[[#This Row],[PC]]=0,0,Mecze[[#This Row],[PC]]/Mecze[[#This Row],[CZAS]])</f>
        <v>2.0618556701030927E-2</v>
      </c>
      <c r="P1676" s="32">
        <f>IF(Mecze[[#This Row],[SC]]=0,0,Mecze[[#This Row],[SC]]/Mecze[[#This Row],[CZAS]])</f>
        <v>0</v>
      </c>
      <c r="Q1676" s="32">
        <f>IF(Mecze[[#This Row],[OB]]=0,0,Mecze[[#This Row],[OB]]/Mecze[[#This Row],[CZAS]])</f>
        <v>0</v>
      </c>
      <c r="R1676" s="32">
        <f>IF(Mecze[[#This Row],[BR]]=0,0,Mecze[[#This Row],[BR]]/Mecze[[#This Row],[CZAS]])</f>
        <v>0</v>
      </c>
      <c r="S1676" s="44">
        <f>IF(Mecze[[#This Row],[Role]]="BR",SUMPRODUCT(Mecze[[#This Row],[/PR:90]:[/BR:90]],Brudnopis!$E$23:$J$23),0)</f>
        <v>0</v>
      </c>
      <c r="T1676" s="44">
        <f>IF(Mecze[[#This Row],[Role]]&lt;&gt;"BR",SUMPRODUCT(Mecze[[#This Row],[/PR:90]:[/BR:90]],Brudnopis!$E$24:$J$24),0)</f>
        <v>3.0927835051546393E-2</v>
      </c>
      <c r="U1676" s="44">
        <f>IF(Mecze[[#This Row],[Role]]&lt;&gt;"BR",SUMPRODUCT(Mecze[[#This Row],[/PR:90]:[/BR:90]],Brudnopis!$E$25:$J$25),0)</f>
        <v>4.1237113402061855E-2</v>
      </c>
      <c r="V1676" s="44">
        <f>IF(Mecze[[#This Row],[Role]]&lt;&gt;"BR",SUMPRODUCT(Mecze[[#This Row],[/PR:90]:[/BR:90]],Brudnopis!$E$26:$J$26),0)</f>
        <v>3.0927835051546393E-2</v>
      </c>
      <c r="W1676" s="44">
        <f>IF(Mecze[[#This Row],[Role]]&lt;&gt;"BR",SUMPRODUCT(Mecze[[#This Row],[/PR:90]:[/BR:90]],Brudnopis!$E$27:$J$27),0)</f>
        <v>3.8659793814432991E-2</v>
      </c>
      <c r="X1676" s="44">
        <f>IF(Mecze[[#This Row],[Role]]&lt;&gt;"BR",SUMPRODUCT(Mecze[[#This Row],[/PR:90]:[/BR:90]],Brudnopis!$E$28:$J$28),0)</f>
        <v>2.0618556701030927E-2</v>
      </c>
      <c r="Y1676" s="35">
        <f>IF(Mecze[[#This Row],[Role]]="BR",Mecze[[#This Row],[/OB:90]]+Mecze[[#This Row],[/PC:90]],SUM(Mecze[[#This Row],[/PR:90]:[/BR:90]]))</f>
        <v>3.0927835051546393E-2</v>
      </c>
      <c r="Z1676" s="35">
        <f>IF(Mecze[[#This Row],[KC]]=0,SUM(Mecze[[#This Row],[/BRI]:[/NPI]]),SUM(Mecze[[#This Row],[/BRI]:[/NPI]])*0.6)</f>
        <v>0.16237113402061856</v>
      </c>
      <c r="AA1676" s="10">
        <f>IFERROR(Mecze[[#This Row],[BR]]/Mecze[[#This Row],[ST]],0)</f>
        <v>0</v>
      </c>
      <c r="AB1676">
        <f>ROUND(Mecze[[#This Row],[PD]]*Mecze[[#This Row],[%PC]],0)</f>
        <v>2</v>
      </c>
      <c r="AC1676">
        <f>ROUND(Mecze[[#This Row],[OD]]*Mecze[[#This Row],[%OU]],0)</f>
        <v>0</v>
      </c>
      <c r="AD1676" s="36" t="s">
        <v>167</v>
      </c>
      <c r="AE1676" s="36">
        <v>90</v>
      </c>
      <c r="AF1676" s="71">
        <v>7.25</v>
      </c>
      <c r="AG1676" s="37">
        <v>0</v>
      </c>
      <c r="AH1676" s="37">
        <v>0</v>
      </c>
      <c r="AI1676" s="37">
        <v>97</v>
      </c>
      <c r="AJ1676" s="37">
        <v>1</v>
      </c>
      <c r="AK1676" s="37" t="str">
        <f>VLOOKUP(Mecze[[#This Row],[Match ID]],Meczusie[Mecz]:Meczusie[RodzajMeczu],2,FALSE)</f>
        <v>Liga</v>
      </c>
    </row>
    <row r="1677" spans="1:37" x14ac:dyDescent="0.25">
      <c r="A1677" s="76">
        <v>3</v>
      </c>
      <c r="B1677" s="3" t="s">
        <v>158</v>
      </c>
      <c r="C1677" s="2" t="s">
        <v>157</v>
      </c>
      <c r="D1677" s="1">
        <v>0</v>
      </c>
      <c r="E1677" s="1">
        <v>0</v>
      </c>
      <c r="F1677" s="1">
        <v>0</v>
      </c>
      <c r="G1677" s="1">
        <v>6</v>
      </c>
      <c r="H1677" s="4">
        <v>0.5</v>
      </c>
      <c r="I1677" s="1">
        <v>4</v>
      </c>
      <c r="J1677" s="4">
        <v>0.25</v>
      </c>
      <c r="K1677" s="1">
        <v>0</v>
      </c>
      <c r="L1677" s="1">
        <v>6</v>
      </c>
      <c r="M1677" s="32">
        <f>IF(Mecze[[#This Row],[PR]]=0,0,Mecze[[#This Row],[PR]]/Mecze[[#This Row],[CZAS]])</f>
        <v>6.1855670103092786E-2</v>
      </c>
      <c r="N1677" s="32">
        <f>IF(Mecze[[#This Row],[OU]]=0,0,Mecze[[#This Row],[OU]]/Mecze[[#This Row],[CZAS]])</f>
        <v>1.0309278350515464E-2</v>
      </c>
      <c r="O1677" s="32">
        <f>IF(Mecze[[#This Row],[PC]]=0,0,Mecze[[#This Row],[PC]]/Mecze[[#This Row],[CZAS]])</f>
        <v>3.0927835051546393E-2</v>
      </c>
      <c r="P1677" s="32">
        <f>IF(Mecze[[#This Row],[SC]]=0,0,Mecze[[#This Row],[SC]]/Mecze[[#This Row],[CZAS]])</f>
        <v>0</v>
      </c>
      <c r="Q1677" s="32">
        <f>IF(Mecze[[#This Row],[OB]]=0,0,Mecze[[#This Row],[OB]]/Mecze[[#This Row],[CZAS]])</f>
        <v>0</v>
      </c>
      <c r="R1677" s="32">
        <f>IF(Mecze[[#This Row],[BR]]=0,0,Mecze[[#This Row],[BR]]/Mecze[[#This Row],[CZAS]])</f>
        <v>0</v>
      </c>
      <c r="S1677" s="44">
        <f>IF(Mecze[[#This Row],[Role]]="BR",SUMPRODUCT(Mecze[[#This Row],[/PR:90]:[/BR:90]],Brudnopis!$E$23:$J$23),0)</f>
        <v>0</v>
      </c>
      <c r="T1677" s="44">
        <f>IF(Mecze[[#This Row],[Role]]&lt;&gt;"BR",SUMPRODUCT(Mecze[[#This Row],[/PR:90]:[/BR:90]],Brudnopis!$E$24:$J$24),0)</f>
        <v>0.10824742268041238</v>
      </c>
      <c r="U1677" s="44">
        <f>IF(Mecze[[#This Row],[Role]]&lt;&gt;"BR",SUMPRODUCT(Mecze[[#This Row],[/PR:90]:[/BR:90]],Brudnopis!$E$25:$J$25),0)</f>
        <v>0.11855670103092784</v>
      </c>
      <c r="V1677" s="44">
        <f>IF(Mecze[[#This Row],[Role]]&lt;&gt;"BR",SUMPRODUCT(Mecze[[#This Row],[/PR:90]:[/BR:90]],Brudnopis!$E$26:$J$26),0)</f>
        <v>0.10309278350515465</v>
      </c>
      <c r="W1677" s="44">
        <f>IF(Mecze[[#This Row],[Role]]&lt;&gt;"BR",SUMPRODUCT(Mecze[[#This Row],[/PR:90]:[/BR:90]],Brudnopis!$E$27:$J$27),0)</f>
        <v>0.10051546391752578</v>
      </c>
      <c r="X1677" s="44">
        <f>IF(Mecze[[#This Row],[Role]]&lt;&gt;"BR",SUMPRODUCT(Mecze[[#This Row],[/PR:90]:[/BR:90]],Brudnopis!$E$28:$J$28),0)</f>
        <v>3.0927835051546393E-2</v>
      </c>
      <c r="Y1677" s="35">
        <f>IF(Mecze[[#This Row],[Role]]="BR",Mecze[[#This Row],[/OB:90]]+Mecze[[#This Row],[/PC:90]],SUM(Mecze[[#This Row],[/PR:90]:[/BR:90]]))</f>
        <v>0.10309278350515465</v>
      </c>
      <c r="Z1677" s="35">
        <f>IF(Mecze[[#This Row],[KC]]=0,SUM(Mecze[[#This Row],[/BRI]:[/NPI]]),SUM(Mecze[[#This Row],[/BRI]:[/NPI]])*0.6)</f>
        <v>0.46134020618556704</v>
      </c>
      <c r="AA1677" s="10">
        <f>IFERROR(Mecze[[#This Row],[BR]]/Mecze[[#This Row],[ST]],0)</f>
        <v>0</v>
      </c>
      <c r="AB1677">
        <f>ROUND(Mecze[[#This Row],[PD]]*Mecze[[#This Row],[%PC]],0)</f>
        <v>3</v>
      </c>
      <c r="AC1677">
        <f>ROUND(Mecze[[#This Row],[OD]]*Mecze[[#This Row],[%OU]],0)</f>
        <v>1</v>
      </c>
      <c r="AD1677" s="36" t="s">
        <v>168</v>
      </c>
      <c r="AE1677" s="36">
        <v>90</v>
      </c>
      <c r="AF1677" s="71">
        <v>8.3000000000000007</v>
      </c>
      <c r="AG1677" s="37">
        <v>0</v>
      </c>
      <c r="AH1677" s="37">
        <v>0</v>
      </c>
      <c r="AI1677" s="37">
        <v>97</v>
      </c>
      <c r="AJ1677" s="37">
        <v>1</v>
      </c>
      <c r="AK1677" s="37" t="str">
        <f>VLOOKUP(Mecze[[#This Row],[Match ID]],Meczusie[Mecz]:Meczusie[RodzajMeczu],2,FALSE)</f>
        <v>Liga</v>
      </c>
    </row>
    <row r="1678" spans="1:37" x14ac:dyDescent="0.25">
      <c r="A1678" s="76">
        <v>15</v>
      </c>
      <c r="B1678" s="3" t="s">
        <v>170</v>
      </c>
      <c r="C1678" s="2" t="s">
        <v>160</v>
      </c>
      <c r="D1678" s="1">
        <v>0</v>
      </c>
      <c r="E1678" s="1">
        <v>1</v>
      </c>
      <c r="F1678" s="1">
        <v>0</v>
      </c>
      <c r="G1678" s="1">
        <v>17</v>
      </c>
      <c r="H1678" s="4">
        <v>0.71</v>
      </c>
      <c r="I1678" s="1">
        <v>5</v>
      </c>
      <c r="J1678" s="4">
        <v>0.2</v>
      </c>
      <c r="K1678" s="1">
        <v>0</v>
      </c>
      <c r="L1678" s="1">
        <v>15</v>
      </c>
      <c r="M1678" s="32">
        <f>IF(Mecze[[#This Row],[PR]]=0,0,Mecze[[#This Row],[PR]]/Mecze[[#This Row],[CZAS]])</f>
        <v>0.15463917525773196</v>
      </c>
      <c r="N1678" s="32">
        <f>IF(Mecze[[#This Row],[OU]]=0,0,Mecze[[#This Row],[OU]]/Mecze[[#This Row],[CZAS]])</f>
        <v>1.0309278350515464E-2</v>
      </c>
      <c r="O1678" s="32">
        <f>IF(Mecze[[#This Row],[PC]]=0,0,Mecze[[#This Row],[PC]]/Mecze[[#This Row],[CZAS]])</f>
        <v>0.12371134020618557</v>
      </c>
      <c r="P1678" s="32">
        <f>IF(Mecze[[#This Row],[SC]]=0,0,Mecze[[#This Row],[SC]]/Mecze[[#This Row],[CZAS]])</f>
        <v>0</v>
      </c>
      <c r="Q1678" s="32">
        <f>IF(Mecze[[#This Row],[OB]]=0,0,Mecze[[#This Row],[OB]]/Mecze[[#This Row],[CZAS]])</f>
        <v>0</v>
      </c>
      <c r="R1678" s="32">
        <f>IF(Mecze[[#This Row],[BR]]=0,0,Mecze[[#This Row],[BR]]/Mecze[[#This Row],[CZAS]])</f>
        <v>0</v>
      </c>
      <c r="S1678" s="44">
        <f>IF(Mecze[[#This Row],[Role]]="BR",SUMPRODUCT(Mecze[[#This Row],[/PR:90]:[/BR:90]],Brudnopis!$E$23:$J$23),0)</f>
        <v>0</v>
      </c>
      <c r="T1678" s="44">
        <f>IF(Mecze[[#This Row],[Role]]&lt;&gt;"BR",SUMPRODUCT(Mecze[[#This Row],[/PR:90]:[/BR:90]],Brudnopis!$E$24:$J$24),0)</f>
        <v>0.29381443298969073</v>
      </c>
      <c r="U1678" s="44">
        <f>IF(Mecze[[#This Row],[Role]]&lt;&gt;"BR",SUMPRODUCT(Mecze[[#This Row],[/PR:90]:[/BR:90]],Brudnopis!$E$25:$J$25),0)</f>
        <v>0.35051546391752575</v>
      </c>
      <c r="V1678" s="44">
        <f>IF(Mecze[[#This Row],[Role]]&lt;&gt;"BR",SUMPRODUCT(Mecze[[#This Row],[/PR:90]:[/BR:90]],Brudnopis!$E$26:$J$26),0)</f>
        <v>0.28865979381443296</v>
      </c>
      <c r="W1678" s="44">
        <f>IF(Mecze[[#This Row],[Role]]&lt;&gt;"BR",SUMPRODUCT(Mecze[[#This Row],[/PR:90]:[/BR:90]],Brudnopis!$E$27:$J$27),0)</f>
        <v>0.30927835051546393</v>
      </c>
      <c r="X1678" s="44">
        <f>IF(Mecze[[#This Row],[Role]]&lt;&gt;"BR",SUMPRODUCT(Mecze[[#This Row],[/PR:90]:[/BR:90]],Brudnopis!$E$28:$J$28),0)</f>
        <v>0.12371134020618557</v>
      </c>
      <c r="Y1678" s="35">
        <f>IF(Mecze[[#This Row],[Role]]="BR",Mecze[[#This Row],[/OB:90]]+Mecze[[#This Row],[/PC:90]],SUM(Mecze[[#This Row],[/PR:90]:[/BR:90]]))</f>
        <v>0.28865979381443296</v>
      </c>
      <c r="Z1678" s="35">
        <f>IF(Mecze[[#This Row],[KC]]=0,SUM(Mecze[[#This Row],[/BRI]:[/NPI]]),SUM(Mecze[[#This Row],[/BRI]:[/NPI]])*0.6)</f>
        <v>1.365979381443299</v>
      </c>
      <c r="AA1678" s="10">
        <f>IFERROR(Mecze[[#This Row],[BR]]/Mecze[[#This Row],[ST]],0)</f>
        <v>0</v>
      </c>
      <c r="AB1678">
        <f>ROUND(Mecze[[#This Row],[PD]]*Mecze[[#This Row],[%PC]],0)</f>
        <v>12</v>
      </c>
      <c r="AC1678">
        <f>ROUND(Mecze[[#This Row],[OD]]*Mecze[[#This Row],[%OU]],0)</f>
        <v>1</v>
      </c>
      <c r="AD1678" s="36" t="s">
        <v>41</v>
      </c>
      <c r="AE1678" s="36">
        <v>90</v>
      </c>
      <c r="AF1678" s="71">
        <v>11.4</v>
      </c>
      <c r="AG1678" s="37">
        <v>0</v>
      </c>
      <c r="AH1678" s="37">
        <v>0</v>
      </c>
      <c r="AI1678" s="37">
        <v>97</v>
      </c>
      <c r="AJ1678" s="37">
        <v>1</v>
      </c>
      <c r="AK1678" s="37" t="str">
        <f>VLOOKUP(Mecze[[#This Row],[Match ID]],Meczusie[Mecz]:Meczusie[RodzajMeczu],2,FALSE)</f>
        <v>Liga</v>
      </c>
    </row>
    <row r="1679" spans="1:37" x14ac:dyDescent="0.25">
      <c r="A1679" s="76">
        <v>6</v>
      </c>
      <c r="B1679" s="3" t="s">
        <v>159</v>
      </c>
      <c r="C1679" s="2" t="s">
        <v>160</v>
      </c>
      <c r="D1679" s="1">
        <v>0</v>
      </c>
      <c r="E1679" s="1">
        <v>0</v>
      </c>
      <c r="F1679" s="1">
        <v>0</v>
      </c>
      <c r="G1679" s="1">
        <v>4</v>
      </c>
      <c r="H1679" s="4">
        <v>0.5</v>
      </c>
      <c r="I1679" s="1">
        <v>0</v>
      </c>
      <c r="J1679" s="4"/>
      <c r="K1679" s="1">
        <v>0</v>
      </c>
      <c r="L1679" s="1">
        <v>6</v>
      </c>
      <c r="M1679" s="32">
        <f>IF(Mecze[[#This Row],[PR]]=0,0,Mecze[[#This Row],[PR]]/Mecze[[#This Row],[CZAS]])</f>
        <v>6.1855670103092786E-2</v>
      </c>
      <c r="N1679" s="32">
        <f>IF(Mecze[[#This Row],[OU]]=0,0,Mecze[[#This Row],[OU]]/Mecze[[#This Row],[CZAS]])</f>
        <v>0</v>
      </c>
      <c r="O1679" s="32">
        <f>IF(Mecze[[#This Row],[PC]]=0,0,Mecze[[#This Row],[PC]]/Mecze[[#This Row],[CZAS]])</f>
        <v>2.0618556701030927E-2</v>
      </c>
      <c r="P1679" s="32">
        <f>IF(Mecze[[#This Row],[SC]]=0,0,Mecze[[#This Row],[SC]]/Mecze[[#This Row],[CZAS]])</f>
        <v>0</v>
      </c>
      <c r="Q1679" s="32">
        <f>IF(Mecze[[#This Row],[OB]]=0,0,Mecze[[#This Row],[OB]]/Mecze[[#This Row],[CZAS]])</f>
        <v>0</v>
      </c>
      <c r="R1679" s="32">
        <f>IF(Mecze[[#This Row],[BR]]=0,0,Mecze[[#This Row],[BR]]/Mecze[[#This Row],[CZAS]])</f>
        <v>0</v>
      </c>
      <c r="S1679" s="44">
        <f>IF(Mecze[[#This Row],[Role]]="BR",SUMPRODUCT(Mecze[[#This Row],[/PR:90]:[/BR:90]],Brudnopis!$E$23:$J$23),0)</f>
        <v>0</v>
      </c>
      <c r="T1679" s="44">
        <f>IF(Mecze[[#This Row],[Role]]&lt;&gt;"BR",SUMPRODUCT(Mecze[[#This Row],[/PR:90]:[/BR:90]],Brudnopis!$E$24:$J$24),0)</f>
        <v>8.247422680412371E-2</v>
      </c>
      <c r="U1679" s="44">
        <f>IF(Mecze[[#This Row],[Role]]&lt;&gt;"BR",SUMPRODUCT(Mecze[[#This Row],[/PR:90]:[/BR:90]],Brudnopis!$E$25:$J$25),0)</f>
        <v>9.2783505154639179E-2</v>
      </c>
      <c r="V1679" s="44">
        <f>IF(Mecze[[#This Row],[Role]]&lt;&gt;"BR",SUMPRODUCT(Mecze[[#This Row],[/PR:90]:[/BR:90]],Brudnopis!$E$26:$J$26),0)</f>
        <v>8.247422680412371E-2</v>
      </c>
      <c r="W1679" s="44">
        <f>IF(Mecze[[#This Row],[Role]]&lt;&gt;"BR",SUMPRODUCT(Mecze[[#This Row],[/PR:90]:[/BR:90]],Brudnopis!$E$27:$J$27),0)</f>
        <v>7.7319587628865982E-2</v>
      </c>
      <c r="X1679" s="44">
        <f>IF(Mecze[[#This Row],[Role]]&lt;&gt;"BR",SUMPRODUCT(Mecze[[#This Row],[/PR:90]:[/BR:90]],Brudnopis!$E$28:$J$28),0)</f>
        <v>2.0618556701030927E-2</v>
      </c>
      <c r="Y1679" s="35">
        <f>IF(Mecze[[#This Row],[Role]]="BR",Mecze[[#This Row],[/OB:90]]+Mecze[[#This Row],[/PC:90]],SUM(Mecze[[#This Row],[/PR:90]:[/BR:90]]))</f>
        <v>8.247422680412371E-2</v>
      </c>
      <c r="Z1679" s="35">
        <f>IF(Mecze[[#This Row],[KC]]=0,SUM(Mecze[[#This Row],[/BRI]:[/NPI]]),SUM(Mecze[[#This Row],[/BRI]:[/NPI]])*0.6)</f>
        <v>0.35567010309278346</v>
      </c>
      <c r="AA1679" s="10">
        <f>IFERROR(Mecze[[#This Row],[BR]]/Mecze[[#This Row],[ST]],0)</f>
        <v>0</v>
      </c>
      <c r="AB1679">
        <f>ROUND(Mecze[[#This Row],[PD]]*Mecze[[#This Row],[%PC]],0)</f>
        <v>2</v>
      </c>
      <c r="AC1679">
        <f>ROUND(Mecze[[#This Row],[OD]]*Mecze[[#This Row],[%OU]],0)</f>
        <v>0</v>
      </c>
      <c r="AD1679" s="36" t="s">
        <v>41</v>
      </c>
      <c r="AE1679" s="36">
        <v>90</v>
      </c>
      <c r="AF1679" s="71">
        <v>8.3000000000000007</v>
      </c>
      <c r="AG1679" s="37">
        <v>0</v>
      </c>
      <c r="AH1679" s="37">
        <v>0</v>
      </c>
      <c r="AI1679" s="37">
        <v>97</v>
      </c>
      <c r="AJ1679" s="37">
        <v>1</v>
      </c>
      <c r="AK1679" s="37" t="str">
        <f>VLOOKUP(Mecze[[#This Row],[Match ID]],Meczusie[Mecz]:Meczusie[RodzajMeczu],2,FALSE)</f>
        <v>Liga</v>
      </c>
    </row>
    <row r="1680" spans="1:37" x14ac:dyDescent="0.25">
      <c r="A1680" s="76">
        <v>8</v>
      </c>
      <c r="B1680" s="3" t="s">
        <v>154</v>
      </c>
      <c r="C1680" s="2" t="s">
        <v>160</v>
      </c>
      <c r="D1680" s="1">
        <v>1</v>
      </c>
      <c r="E1680" s="1">
        <v>2</v>
      </c>
      <c r="F1680" s="1">
        <v>2</v>
      </c>
      <c r="G1680" s="1">
        <v>13</v>
      </c>
      <c r="H1680" s="4">
        <v>0.85</v>
      </c>
      <c r="I1680" s="1">
        <v>6</v>
      </c>
      <c r="J1680" s="4">
        <v>0.5</v>
      </c>
      <c r="K1680" s="1">
        <v>0</v>
      </c>
      <c r="L1680" s="1">
        <v>7</v>
      </c>
      <c r="M1680" s="32">
        <f>IF(Mecze[[#This Row],[PR]]=0,0,Mecze[[#This Row],[PR]]/Mecze[[#This Row],[CZAS]])</f>
        <v>7.2164948453608241E-2</v>
      </c>
      <c r="N1680" s="32">
        <f>IF(Mecze[[#This Row],[OU]]=0,0,Mecze[[#This Row],[OU]]/Mecze[[#This Row],[CZAS]])</f>
        <v>3.0927835051546393E-2</v>
      </c>
      <c r="O1680" s="32">
        <f>IF(Mecze[[#This Row],[PC]]=0,0,Mecze[[#This Row],[PC]]/Mecze[[#This Row],[CZAS]])</f>
        <v>0.1134020618556701</v>
      </c>
      <c r="P1680" s="32">
        <f>IF(Mecze[[#This Row],[SC]]=0,0,Mecze[[#This Row],[SC]]/Mecze[[#This Row],[CZAS]])</f>
        <v>2.0618556701030927E-2</v>
      </c>
      <c r="Q1680" s="32">
        <f>IF(Mecze[[#This Row],[OB]]=0,0,Mecze[[#This Row],[OB]]/Mecze[[#This Row],[CZAS]])</f>
        <v>0</v>
      </c>
      <c r="R1680" s="32">
        <f>IF(Mecze[[#This Row],[BR]]=0,0,Mecze[[#This Row],[BR]]/Mecze[[#This Row],[CZAS]])</f>
        <v>1.0309278350515464E-2</v>
      </c>
      <c r="S1680" s="44">
        <f>IF(Mecze[[#This Row],[Role]]="BR",SUMPRODUCT(Mecze[[#This Row],[/PR:90]:[/BR:90]],Brudnopis!$E$23:$J$23),0)</f>
        <v>0</v>
      </c>
      <c r="T1680" s="44">
        <f>IF(Mecze[[#This Row],[Role]]&lt;&gt;"BR",SUMPRODUCT(Mecze[[#This Row],[/PR:90]:[/BR:90]],Brudnopis!$E$24:$J$24),0)</f>
        <v>0.26804123711340205</v>
      </c>
      <c r="U1680" s="44">
        <f>IF(Mecze[[#This Row],[Role]]&lt;&gt;"BR",SUMPRODUCT(Mecze[[#This Row],[/PR:90]:[/BR:90]],Brudnopis!$E$25:$J$25),0)</f>
        <v>0.30927835051546393</v>
      </c>
      <c r="V1680" s="44">
        <f>IF(Mecze[[#This Row],[Role]]&lt;&gt;"BR",SUMPRODUCT(Mecze[[#This Row],[/PR:90]:[/BR:90]],Brudnopis!$E$26:$J$26),0)</f>
        <v>0.25773195876288663</v>
      </c>
      <c r="W1680" s="44">
        <f>IF(Mecze[[#This Row],[Role]]&lt;&gt;"BR",SUMPRODUCT(Mecze[[#This Row],[/PR:90]:[/BR:90]],Brudnopis!$E$27:$J$27),0)</f>
        <v>0.28865979381443296</v>
      </c>
      <c r="X1680" s="44">
        <f>IF(Mecze[[#This Row],[Role]]&lt;&gt;"BR",SUMPRODUCT(Mecze[[#This Row],[/PR:90]:[/BR:90]],Brudnopis!$E$28:$J$28),0)</f>
        <v>0.18556701030927836</v>
      </c>
      <c r="Y1680" s="35">
        <f>IF(Mecze[[#This Row],[Role]]="BR",Mecze[[#This Row],[/OB:90]]+Mecze[[#This Row],[/PC:90]],SUM(Mecze[[#This Row],[/PR:90]:[/BR:90]]))</f>
        <v>0.24742268041237114</v>
      </c>
      <c r="Z1680" s="35">
        <f>IF(Mecze[[#This Row],[KC]]=0,SUM(Mecze[[#This Row],[/BRI]:[/NPI]]),SUM(Mecze[[#This Row],[/BRI]:[/NPI]])*0.6)</f>
        <v>1.3092783505154639</v>
      </c>
      <c r="AA1680" s="10">
        <f>IFERROR(Mecze[[#This Row],[BR]]/Mecze[[#This Row],[ST]],0)</f>
        <v>0.5</v>
      </c>
      <c r="AB1680">
        <f>ROUND(Mecze[[#This Row],[PD]]*Mecze[[#This Row],[%PC]],0)</f>
        <v>11</v>
      </c>
      <c r="AC1680">
        <f>ROUND(Mecze[[#This Row],[OD]]*Mecze[[#This Row],[%OU]],0)</f>
        <v>3</v>
      </c>
      <c r="AD1680" s="36" t="s">
        <v>67</v>
      </c>
      <c r="AE1680" s="36">
        <v>90</v>
      </c>
      <c r="AF1680" s="71">
        <v>13.2</v>
      </c>
      <c r="AG1680" s="37">
        <v>0</v>
      </c>
      <c r="AH1680" s="37">
        <v>0</v>
      </c>
      <c r="AI1680" s="37">
        <v>97</v>
      </c>
      <c r="AJ1680" s="37">
        <v>1</v>
      </c>
      <c r="AK1680" s="37" t="str">
        <f>VLOOKUP(Mecze[[#This Row],[Match ID]],Meczusie[Mecz]:Meczusie[RodzajMeczu],2,FALSE)</f>
        <v>Liga</v>
      </c>
    </row>
    <row r="1681" spans="1:37" x14ac:dyDescent="0.25">
      <c r="A1681" s="76">
        <v>13</v>
      </c>
      <c r="B1681" s="3" t="s">
        <v>162</v>
      </c>
      <c r="C1681" s="2" t="s">
        <v>160</v>
      </c>
      <c r="D1681" s="1">
        <v>0</v>
      </c>
      <c r="E1681" s="1">
        <v>4</v>
      </c>
      <c r="F1681" s="1">
        <v>2</v>
      </c>
      <c r="G1681" s="1">
        <v>10</v>
      </c>
      <c r="H1681" s="4">
        <v>0.7</v>
      </c>
      <c r="I1681" s="1">
        <v>0</v>
      </c>
      <c r="J1681" s="4"/>
      <c r="K1681" s="1">
        <v>0</v>
      </c>
      <c r="L1681" s="1">
        <v>0</v>
      </c>
      <c r="M1681" s="32">
        <f>IF(Mecze[[#This Row],[PR]]=0,0,Mecze[[#This Row],[PR]]/Mecze[[#This Row],[CZAS]])</f>
        <v>0</v>
      </c>
      <c r="N1681" s="32">
        <f>IF(Mecze[[#This Row],[OU]]=0,0,Mecze[[#This Row],[OU]]/Mecze[[#This Row],[CZAS]])</f>
        <v>0</v>
      </c>
      <c r="O1681" s="32">
        <f>IF(Mecze[[#This Row],[PC]]=0,0,Mecze[[#This Row],[PC]]/Mecze[[#This Row],[CZAS]])</f>
        <v>7.2164948453608241E-2</v>
      </c>
      <c r="P1681" s="32">
        <f>IF(Mecze[[#This Row],[SC]]=0,0,Mecze[[#This Row],[SC]]/Mecze[[#This Row],[CZAS]])</f>
        <v>2.0618556701030927E-2</v>
      </c>
      <c r="Q1681" s="32">
        <f>IF(Mecze[[#This Row],[OB]]=0,0,Mecze[[#This Row],[OB]]/Mecze[[#This Row],[CZAS]])</f>
        <v>0</v>
      </c>
      <c r="R1681" s="32">
        <f>IF(Mecze[[#This Row],[BR]]=0,0,Mecze[[#This Row],[BR]]/Mecze[[#This Row],[CZAS]])</f>
        <v>0</v>
      </c>
      <c r="S1681" s="44">
        <f>IF(Mecze[[#This Row],[Role]]="BR",SUMPRODUCT(Mecze[[#This Row],[/PR:90]:[/BR:90]],Brudnopis!$E$23:$J$23),0)</f>
        <v>0</v>
      </c>
      <c r="T1681" s="44">
        <f>IF(Mecze[[#This Row],[Role]]&lt;&gt;"BR",SUMPRODUCT(Mecze[[#This Row],[/PR:90]:[/BR:90]],Brudnopis!$E$24:$J$24),0)</f>
        <v>9.2783505154639165E-2</v>
      </c>
      <c r="U1681" s="44">
        <f>IF(Mecze[[#This Row],[Role]]&lt;&gt;"BR",SUMPRODUCT(Mecze[[#This Row],[/PR:90]:[/BR:90]],Brudnopis!$E$25:$J$25),0)</f>
        <v>0.12886597938144329</v>
      </c>
      <c r="V1681" s="44">
        <f>IF(Mecze[[#This Row],[Role]]&lt;&gt;"BR",SUMPRODUCT(Mecze[[#This Row],[/PR:90]:[/BR:90]],Brudnopis!$E$26:$J$26),0)</f>
        <v>9.2783505154639165E-2</v>
      </c>
      <c r="W1681" s="44">
        <f>IF(Mecze[[#This Row],[Role]]&lt;&gt;"BR",SUMPRODUCT(Mecze[[#This Row],[/PR:90]:[/BR:90]],Brudnopis!$E$27:$J$27),0)</f>
        <v>0.12886597938144329</v>
      </c>
      <c r="X1681" s="44">
        <f>IF(Mecze[[#This Row],[Role]]&lt;&gt;"BR",SUMPRODUCT(Mecze[[#This Row],[/PR:90]:[/BR:90]],Brudnopis!$E$28:$J$28),0)</f>
        <v>0.11340206185567009</v>
      </c>
      <c r="Y1681" s="35">
        <f>IF(Mecze[[#This Row],[Role]]="BR",Mecze[[#This Row],[/OB:90]]+Mecze[[#This Row],[/PC:90]],SUM(Mecze[[#This Row],[/PR:90]:[/BR:90]]))</f>
        <v>9.2783505154639165E-2</v>
      </c>
      <c r="Z1681" s="35">
        <f>IF(Mecze[[#This Row],[KC]]=0,SUM(Mecze[[#This Row],[/BRI]:[/NPI]]),SUM(Mecze[[#This Row],[/BRI]:[/NPI]])*0.6)</f>
        <v>0.55670103092783507</v>
      </c>
      <c r="AA1681" s="10">
        <f>IFERROR(Mecze[[#This Row],[BR]]/Mecze[[#This Row],[ST]],0)</f>
        <v>0</v>
      </c>
      <c r="AB1681">
        <f>ROUND(Mecze[[#This Row],[PD]]*Mecze[[#This Row],[%PC]],0)</f>
        <v>7</v>
      </c>
      <c r="AC1681">
        <f>ROUND(Mecze[[#This Row],[OD]]*Mecze[[#This Row],[%OU]],0)</f>
        <v>0</v>
      </c>
      <c r="AD1681" s="36" t="s">
        <v>299</v>
      </c>
      <c r="AE1681" s="36">
        <v>90</v>
      </c>
      <c r="AF1681" s="71">
        <v>8.7100000000000009</v>
      </c>
      <c r="AG1681" s="37">
        <v>0</v>
      </c>
      <c r="AH1681" s="37">
        <v>0</v>
      </c>
      <c r="AI1681" s="37">
        <v>97</v>
      </c>
      <c r="AJ1681" s="37">
        <v>1</v>
      </c>
      <c r="AK1681" s="37" t="str">
        <f>VLOOKUP(Mecze[[#This Row],[Match ID]],Meczusie[Mecz]:Meczusie[RodzajMeczu],2,FALSE)</f>
        <v>Liga</v>
      </c>
    </row>
    <row r="1682" spans="1:37" x14ac:dyDescent="0.25">
      <c r="A1682" s="76">
        <v>14</v>
      </c>
      <c r="B1682" s="3" t="s">
        <v>164</v>
      </c>
      <c r="C1682" s="2" t="s">
        <v>165</v>
      </c>
      <c r="D1682" s="1">
        <v>0</v>
      </c>
      <c r="E1682" s="1">
        <v>2</v>
      </c>
      <c r="F1682" s="1">
        <v>1</v>
      </c>
      <c r="G1682" s="1">
        <v>9</v>
      </c>
      <c r="H1682" s="4">
        <v>0.67</v>
      </c>
      <c r="I1682" s="1">
        <v>2</v>
      </c>
      <c r="J1682" s="4">
        <v>1</v>
      </c>
      <c r="K1682" s="1">
        <v>0</v>
      </c>
      <c r="L1682" s="1">
        <v>4</v>
      </c>
      <c r="M1682" s="32">
        <f>IF(Mecze[[#This Row],[PR]]=0,0,Mecze[[#This Row],[PR]]/Mecze[[#This Row],[CZAS]])</f>
        <v>4.1237113402061855E-2</v>
      </c>
      <c r="N1682" s="32">
        <f>IF(Mecze[[#This Row],[OU]]=0,0,Mecze[[#This Row],[OU]]/Mecze[[#This Row],[CZAS]])</f>
        <v>2.0618556701030927E-2</v>
      </c>
      <c r="O1682" s="32">
        <f>IF(Mecze[[#This Row],[PC]]=0,0,Mecze[[#This Row],[PC]]/Mecze[[#This Row],[CZAS]])</f>
        <v>6.1855670103092786E-2</v>
      </c>
      <c r="P1682" s="32">
        <f>IF(Mecze[[#This Row],[SC]]=0,0,Mecze[[#This Row],[SC]]/Mecze[[#This Row],[CZAS]])</f>
        <v>1.0309278350515464E-2</v>
      </c>
      <c r="Q1682" s="32">
        <f>IF(Mecze[[#This Row],[OB]]=0,0,Mecze[[#This Row],[OB]]/Mecze[[#This Row],[CZAS]])</f>
        <v>0</v>
      </c>
      <c r="R1682" s="32">
        <f>IF(Mecze[[#This Row],[BR]]=0,0,Mecze[[#This Row],[BR]]/Mecze[[#This Row],[CZAS]])</f>
        <v>0</v>
      </c>
      <c r="S1682" s="44">
        <f>IF(Mecze[[#This Row],[Role]]="BR",SUMPRODUCT(Mecze[[#This Row],[/PR:90]:[/BR:90]],Brudnopis!$E$23:$J$23),0)</f>
        <v>0</v>
      </c>
      <c r="T1682" s="44">
        <f>IF(Mecze[[#This Row],[Role]]&lt;&gt;"BR",SUMPRODUCT(Mecze[[#This Row],[/PR:90]:[/BR:90]],Brudnopis!$E$24:$J$24),0)</f>
        <v>0.14432989690721648</v>
      </c>
      <c r="U1682" s="44">
        <f>IF(Mecze[[#This Row],[Role]]&lt;&gt;"BR",SUMPRODUCT(Mecze[[#This Row],[/PR:90]:[/BR:90]],Brudnopis!$E$25:$J$25),0)</f>
        <v>0.16494845360824742</v>
      </c>
      <c r="V1682" s="44">
        <f>IF(Mecze[[#This Row],[Role]]&lt;&gt;"BR",SUMPRODUCT(Mecze[[#This Row],[/PR:90]:[/BR:90]],Brudnopis!$E$26:$J$26),0)</f>
        <v>0.13402061855670103</v>
      </c>
      <c r="W1682" s="44">
        <f>IF(Mecze[[#This Row],[Role]]&lt;&gt;"BR",SUMPRODUCT(Mecze[[#This Row],[/PR:90]:[/BR:90]],Brudnopis!$E$27:$J$27),0)</f>
        <v>0.14948453608247422</v>
      </c>
      <c r="X1682" s="44">
        <f>IF(Mecze[[#This Row],[Role]]&lt;&gt;"BR",SUMPRODUCT(Mecze[[#This Row],[/PR:90]:[/BR:90]],Brudnopis!$E$28:$J$28),0)</f>
        <v>8.247422680412371E-2</v>
      </c>
      <c r="Y1682" s="35">
        <f>IF(Mecze[[#This Row],[Role]]="BR",Mecze[[#This Row],[/OB:90]]+Mecze[[#This Row],[/PC:90]],SUM(Mecze[[#This Row],[/PR:90]:[/BR:90]]))</f>
        <v>0.13402061855670103</v>
      </c>
      <c r="Z1682" s="35">
        <f>IF(Mecze[[#This Row],[KC]]=0,SUM(Mecze[[#This Row],[/BRI]:[/NPI]]),SUM(Mecze[[#This Row],[/BRI]:[/NPI]])*0.6)</f>
        <v>0.67525773195876293</v>
      </c>
      <c r="AA1682" s="10">
        <f>IFERROR(Mecze[[#This Row],[BR]]/Mecze[[#This Row],[ST]],0)</f>
        <v>0</v>
      </c>
      <c r="AB1682">
        <f>ROUND(Mecze[[#This Row],[PD]]*Mecze[[#This Row],[%PC]],0)</f>
        <v>6</v>
      </c>
      <c r="AC1682">
        <f>ROUND(Mecze[[#This Row],[OD]]*Mecze[[#This Row],[%OU]],0)</f>
        <v>2</v>
      </c>
      <c r="AD1682" s="36" t="s">
        <v>273</v>
      </c>
      <c r="AE1682" s="36">
        <v>90</v>
      </c>
      <c r="AF1682" s="71">
        <v>5.48</v>
      </c>
      <c r="AG1682" s="37">
        <v>0</v>
      </c>
      <c r="AH1682" s="37">
        <v>0</v>
      </c>
      <c r="AI1682" s="37">
        <v>97</v>
      </c>
      <c r="AJ1682" s="37">
        <v>1</v>
      </c>
      <c r="AK1682" s="37" t="str">
        <f>VLOOKUP(Mecze[[#This Row],[Match ID]],Meczusie[Mecz]:Meczusie[RodzajMeczu],2,FALSE)</f>
        <v>Liga</v>
      </c>
    </row>
    <row r="1683" spans="1:37" x14ac:dyDescent="0.25">
      <c r="A1683" s="76">
        <v>19</v>
      </c>
      <c r="B1683" s="3" t="s">
        <v>166</v>
      </c>
      <c r="C1683" s="2" t="s">
        <v>165</v>
      </c>
      <c r="D1683" s="1">
        <v>2</v>
      </c>
      <c r="E1683" s="1">
        <v>6</v>
      </c>
      <c r="F1683" s="1">
        <v>3</v>
      </c>
      <c r="G1683" s="1">
        <v>5</v>
      </c>
      <c r="H1683" s="4">
        <v>0.8</v>
      </c>
      <c r="I1683" s="1">
        <v>1</v>
      </c>
      <c r="J1683" s="4">
        <v>0</v>
      </c>
      <c r="K1683" s="1">
        <v>0</v>
      </c>
      <c r="L1683" s="1">
        <v>0</v>
      </c>
      <c r="M1683" s="32">
        <f>IF(Mecze[[#This Row],[PR]]=0,0,Mecze[[#This Row],[PR]]/Mecze[[#This Row],[CZAS]])</f>
        <v>0</v>
      </c>
      <c r="N1683" s="32">
        <f>IF(Mecze[[#This Row],[OU]]=0,0,Mecze[[#This Row],[OU]]/Mecze[[#This Row],[CZAS]])</f>
        <v>0</v>
      </c>
      <c r="O1683" s="32">
        <f>IF(Mecze[[#This Row],[PC]]=0,0,Mecze[[#This Row],[PC]]/Mecze[[#This Row],[CZAS]])</f>
        <v>4.1237113402061855E-2</v>
      </c>
      <c r="P1683" s="32">
        <f>IF(Mecze[[#This Row],[SC]]=0,0,Mecze[[#This Row],[SC]]/Mecze[[#This Row],[CZAS]])</f>
        <v>3.0927835051546393E-2</v>
      </c>
      <c r="Q1683" s="32">
        <f>IF(Mecze[[#This Row],[OB]]=0,0,Mecze[[#This Row],[OB]]/Mecze[[#This Row],[CZAS]])</f>
        <v>0</v>
      </c>
      <c r="R1683" s="32">
        <f>IF(Mecze[[#This Row],[BR]]=0,0,Mecze[[#This Row],[BR]]/Mecze[[#This Row],[CZAS]])</f>
        <v>2.0618556701030927E-2</v>
      </c>
      <c r="S1683" s="44">
        <f>IF(Mecze[[#This Row],[Role]]="BR",SUMPRODUCT(Mecze[[#This Row],[/PR:90]:[/BR:90]],Brudnopis!$E$23:$J$23),0)</f>
        <v>0</v>
      </c>
      <c r="T1683" s="44">
        <f>IF(Mecze[[#This Row],[Role]]&lt;&gt;"BR",SUMPRODUCT(Mecze[[#This Row],[/PR:90]:[/BR:90]],Brudnopis!$E$24:$J$24),0)</f>
        <v>0.10309278350515463</v>
      </c>
      <c r="U1683" s="44">
        <f>IF(Mecze[[#This Row],[Role]]&lt;&gt;"BR",SUMPRODUCT(Mecze[[#This Row],[/PR:90]:[/BR:90]],Brudnopis!$E$25:$J$25),0)</f>
        <v>0.12371134020618557</v>
      </c>
      <c r="V1683" s="44">
        <f>IF(Mecze[[#This Row],[Role]]&lt;&gt;"BR",SUMPRODUCT(Mecze[[#This Row],[/PR:90]:[/BR:90]],Brudnopis!$E$26:$J$26),0)</f>
        <v>0.11340206185567009</v>
      </c>
      <c r="W1683" s="44">
        <f>IF(Mecze[[#This Row],[Role]]&lt;&gt;"BR",SUMPRODUCT(Mecze[[#This Row],[/PR:90]:[/BR:90]],Brudnopis!$E$27:$J$27),0)</f>
        <v>0.13402061855670103</v>
      </c>
      <c r="X1683" s="44">
        <f>IF(Mecze[[#This Row],[Role]]&lt;&gt;"BR",SUMPRODUCT(Mecze[[#This Row],[/PR:90]:[/BR:90]],Brudnopis!$E$28:$J$28),0)</f>
        <v>0.16494845360824742</v>
      </c>
      <c r="Y1683" s="35">
        <f>IF(Mecze[[#This Row],[Role]]="BR",Mecze[[#This Row],[/OB:90]]+Mecze[[#This Row],[/PC:90]],SUM(Mecze[[#This Row],[/PR:90]:[/BR:90]]))</f>
        <v>9.2783505154639165E-2</v>
      </c>
      <c r="Z1683" s="35">
        <f>IF(Mecze[[#This Row],[KC]]=0,SUM(Mecze[[#This Row],[/BRI]:[/NPI]]),SUM(Mecze[[#This Row],[/BRI]:[/NPI]])*0.6)</f>
        <v>0.63917525773195871</v>
      </c>
      <c r="AA1683" s="10">
        <f>IFERROR(Mecze[[#This Row],[BR]]/Mecze[[#This Row],[ST]],0)</f>
        <v>0.33333333333333331</v>
      </c>
      <c r="AB1683">
        <f>ROUND(Mecze[[#This Row],[PD]]*Mecze[[#This Row],[%PC]],0)</f>
        <v>4</v>
      </c>
      <c r="AC1683">
        <f>ROUND(Mecze[[#This Row],[OD]]*Mecze[[#This Row],[%OU]],0)</f>
        <v>0</v>
      </c>
      <c r="AD1683" s="36" t="s">
        <v>272</v>
      </c>
      <c r="AE1683" s="36">
        <v>90</v>
      </c>
      <c r="AF1683" s="71">
        <v>11.44</v>
      </c>
      <c r="AG1683" s="37">
        <v>0</v>
      </c>
      <c r="AH1683" s="37">
        <v>0</v>
      </c>
      <c r="AI1683" s="37">
        <v>97</v>
      </c>
      <c r="AJ1683" s="37">
        <v>1</v>
      </c>
      <c r="AK1683" s="37" t="str">
        <f>VLOOKUP(Mecze[[#This Row],[Match ID]],Meczusie[Mecz]:Meczusie[RodzajMeczu],2,FALSE)</f>
        <v>Liga</v>
      </c>
    </row>
    <row r="1684" spans="1:37" x14ac:dyDescent="0.25">
      <c r="A1684" s="76">
        <v>9</v>
      </c>
      <c r="B1684" s="3" t="s">
        <v>411</v>
      </c>
      <c r="C1684" s="2" t="s">
        <v>165</v>
      </c>
      <c r="D1684" s="1">
        <v>1</v>
      </c>
      <c r="E1684" s="1">
        <v>16</v>
      </c>
      <c r="F1684" s="1">
        <v>15</v>
      </c>
      <c r="G1684" s="1">
        <v>9</v>
      </c>
      <c r="H1684" s="4">
        <v>0.78</v>
      </c>
      <c r="I1684" s="1">
        <v>7</v>
      </c>
      <c r="J1684" s="4">
        <v>0.56999999999999995</v>
      </c>
      <c r="K1684" s="1">
        <v>0</v>
      </c>
      <c r="L1684" s="1">
        <v>0</v>
      </c>
      <c r="M1684" s="32">
        <f>IF(Mecze[[#This Row],[PR]]=0,0,Mecze[[#This Row],[PR]]/Mecze[[#This Row],[CZAS]])</f>
        <v>0</v>
      </c>
      <c r="N1684" s="32">
        <f>IF(Mecze[[#This Row],[OU]]=0,0,Mecze[[#This Row],[OU]]/Mecze[[#This Row],[CZAS]])</f>
        <v>4.1237113402061855E-2</v>
      </c>
      <c r="O1684" s="32">
        <f>IF(Mecze[[#This Row],[PC]]=0,0,Mecze[[#This Row],[PC]]/Mecze[[#This Row],[CZAS]])</f>
        <v>7.2164948453608241E-2</v>
      </c>
      <c r="P1684" s="32">
        <f>IF(Mecze[[#This Row],[SC]]=0,0,Mecze[[#This Row],[SC]]/Mecze[[#This Row],[CZAS]])</f>
        <v>0.15463917525773196</v>
      </c>
      <c r="Q1684" s="32">
        <f>IF(Mecze[[#This Row],[OB]]=0,0,Mecze[[#This Row],[OB]]/Mecze[[#This Row],[CZAS]])</f>
        <v>0</v>
      </c>
      <c r="R1684" s="32">
        <f>IF(Mecze[[#This Row],[BR]]=0,0,Mecze[[#This Row],[BR]]/Mecze[[#This Row],[CZAS]])</f>
        <v>1.0309278350515464E-2</v>
      </c>
      <c r="S1684" s="44">
        <f>IF(Mecze[[#This Row],[Role]]="BR",SUMPRODUCT(Mecze[[#This Row],[/PR:90]:[/BR:90]],Brudnopis!$E$23:$J$23),0)</f>
        <v>0</v>
      </c>
      <c r="T1684" s="44">
        <f>IF(Mecze[[#This Row],[Role]]&lt;&gt;"BR",SUMPRODUCT(Mecze[[#This Row],[/PR:90]:[/BR:90]],Brudnopis!$E$24:$J$24),0)</f>
        <v>0.30412371134020616</v>
      </c>
      <c r="U1684" s="44">
        <f>IF(Mecze[[#This Row],[Role]]&lt;&gt;"BR",SUMPRODUCT(Mecze[[#This Row],[/PR:90]:[/BR:90]],Brudnopis!$E$25:$J$25),0)</f>
        <v>0.31958762886597941</v>
      </c>
      <c r="V1684" s="44">
        <f>IF(Mecze[[#This Row],[Role]]&lt;&gt;"BR",SUMPRODUCT(Mecze[[#This Row],[/PR:90]:[/BR:90]],Brudnopis!$E$26:$J$26),0)</f>
        <v>0.28865979381443296</v>
      </c>
      <c r="W1684" s="44">
        <f>IF(Mecze[[#This Row],[Role]]&lt;&gt;"BR",SUMPRODUCT(Mecze[[#This Row],[/PR:90]:[/BR:90]],Brudnopis!$E$27:$J$27),0)</f>
        <v>0.31443298969072164</v>
      </c>
      <c r="X1684" s="44">
        <f>IF(Mecze[[#This Row],[Role]]&lt;&gt;"BR",SUMPRODUCT(Mecze[[#This Row],[/PR:90]:[/BR:90]],Brudnopis!$E$28:$J$28),0)</f>
        <v>0.41237113402061853</v>
      </c>
      <c r="Y1684" s="35">
        <f>IF(Mecze[[#This Row],[Role]]="BR",Mecze[[#This Row],[/OB:90]]+Mecze[[#This Row],[/PC:90]],SUM(Mecze[[#This Row],[/PR:90]:[/BR:90]]))</f>
        <v>0.27835051546391754</v>
      </c>
      <c r="Z1684" s="35">
        <f>IF(Mecze[[#This Row],[KC]]=0,SUM(Mecze[[#This Row],[/BRI]:[/NPI]]),SUM(Mecze[[#This Row],[/BRI]:[/NPI]])*0.6)</f>
        <v>1.6391752577319587</v>
      </c>
      <c r="AA1684" s="10">
        <f>IFERROR(Mecze[[#This Row],[BR]]/Mecze[[#This Row],[ST]],0)</f>
        <v>6.25E-2</v>
      </c>
      <c r="AB1684">
        <f>ROUND(Mecze[[#This Row],[PD]]*Mecze[[#This Row],[%PC]],0)</f>
        <v>7</v>
      </c>
      <c r="AC1684">
        <f>ROUND(Mecze[[#This Row],[OD]]*Mecze[[#This Row],[%OU]],0)</f>
        <v>4</v>
      </c>
      <c r="AD1684" s="36" t="s">
        <v>46</v>
      </c>
      <c r="AE1684" s="36">
        <v>90</v>
      </c>
      <c r="AF1684" s="71">
        <v>9.75</v>
      </c>
      <c r="AG1684" s="37">
        <v>1</v>
      </c>
      <c r="AH1684" s="37">
        <v>0</v>
      </c>
      <c r="AI1684" s="37">
        <v>97</v>
      </c>
      <c r="AJ1684" s="37">
        <v>1</v>
      </c>
      <c r="AK1684" s="37" t="str">
        <f>VLOOKUP(Mecze[[#This Row],[Match ID]],Meczusie[Mecz]:Meczusie[RodzajMeczu],2,FALSE)</f>
        <v>Liga</v>
      </c>
    </row>
    <row r="1685" spans="1:37" x14ac:dyDescent="0.25">
      <c r="A1685" s="76">
        <v>1</v>
      </c>
      <c r="B1685" s="3" t="s">
        <v>320</v>
      </c>
      <c r="C1685" s="2" t="s">
        <v>155</v>
      </c>
      <c r="D1685" s="1">
        <v>0</v>
      </c>
      <c r="E1685" s="1">
        <v>0</v>
      </c>
      <c r="F1685" s="1">
        <v>0</v>
      </c>
      <c r="G1685" s="1">
        <v>11</v>
      </c>
      <c r="H1685" s="4">
        <v>0.36</v>
      </c>
      <c r="I1685" s="1">
        <v>0</v>
      </c>
      <c r="J1685" s="4"/>
      <c r="K1685" s="1">
        <v>11</v>
      </c>
      <c r="L1685" s="1">
        <v>0</v>
      </c>
      <c r="M1685" s="32">
        <f>IF(Mecze[[#This Row],[PR]]=0,0,Mecze[[#This Row],[PR]]/Mecze[[#This Row],[CZAS]])</f>
        <v>0</v>
      </c>
      <c r="N1685" s="32">
        <f>IF(Mecze[[#This Row],[OU]]=0,0,Mecze[[#This Row],[OU]]/Mecze[[#This Row],[CZAS]])</f>
        <v>0</v>
      </c>
      <c r="O1685" s="32">
        <f>IF(Mecze[[#This Row],[PC]]=0,0,Mecze[[#This Row],[PC]]/Mecze[[#This Row],[CZAS]])</f>
        <v>4.1666666666666664E-2</v>
      </c>
      <c r="P1685" s="32">
        <f>IF(Mecze[[#This Row],[SC]]=0,0,Mecze[[#This Row],[SC]]/Mecze[[#This Row],[CZAS]])</f>
        <v>0</v>
      </c>
      <c r="Q1685" s="32">
        <f>IF(Mecze[[#This Row],[OB]]=0,0,Mecze[[#This Row],[OB]]/Mecze[[#This Row],[CZAS]])</f>
        <v>0.11458333333333333</v>
      </c>
      <c r="R1685" s="32">
        <f>IF(Mecze[[#This Row],[BR]]=0,0,Mecze[[#This Row],[BR]]/Mecze[[#This Row],[CZAS]])</f>
        <v>0</v>
      </c>
      <c r="S1685" s="44">
        <f>IF(Mecze[[#This Row],[Role]]="BR",SUMPRODUCT(Mecze[[#This Row],[/PR:90]:[/BR:90]],Brudnopis!$E$23:$J$23),0)</f>
        <v>0.46875</v>
      </c>
      <c r="T1685" s="44">
        <f>IF(Mecze[[#This Row],[Role]]&lt;&gt;"BR",SUMPRODUCT(Mecze[[#This Row],[/PR:90]:[/BR:90]],Brudnopis!$E$24:$J$24),0)</f>
        <v>0</v>
      </c>
      <c r="U1685" s="44">
        <f>IF(Mecze[[#This Row],[Role]]&lt;&gt;"BR",SUMPRODUCT(Mecze[[#This Row],[/PR:90]:[/BR:90]],Brudnopis!$E$25:$J$25),0)</f>
        <v>0</v>
      </c>
      <c r="V1685" s="44">
        <f>IF(Mecze[[#This Row],[Role]]&lt;&gt;"BR",SUMPRODUCT(Mecze[[#This Row],[/PR:90]:[/BR:90]],Brudnopis!$E$26:$J$26),0)</f>
        <v>0</v>
      </c>
      <c r="W1685" s="44">
        <f>IF(Mecze[[#This Row],[Role]]&lt;&gt;"BR",SUMPRODUCT(Mecze[[#This Row],[/PR:90]:[/BR:90]],Brudnopis!$E$27:$J$27),0)</f>
        <v>0</v>
      </c>
      <c r="X1685" s="44">
        <f>IF(Mecze[[#This Row],[Role]]&lt;&gt;"BR",SUMPRODUCT(Mecze[[#This Row],[/PR:90]:[/BR:90]],Brudnopis!$E$28:$J$28),0)</f>
        <v>0</v>
      </c>
      <c r="Y1685" s="35">
        <f>IF(Mecze[[#This Row],[Role]]="BR",Mecze[[#This Row],[/OB:90]]+Mecze[[#This Row],[/PC:90]],SUM(Mecze[[#This Row],[/PR:90]:[/BR:90]]))</f>
        <v>0.15625</v>
      </c>
      <c r="Z1685" s="35">
        <f>IF(Mecze[[#This Row],[KC]]=0,SUM(Mecze[[#This Row],[/BRI]:[/NPI]]),SUM(Mecze[[#This Row],[/BRI]:[/NPI]])*0.6)</f>
        <v>0.46875</v>
      </c>
      <c r="AA1685" s="10">
        <f>IFERROR(Mecze[[#This Row],[BR]]/Mecze[[#This Row],[ST]],0)</f>
        <v>0</v>
      </c>
      <c r="AB1685">
        <f>ROUND(Mecze[[#This Row],[PD]]*Mecze[[#This Row],[%PC]],0)</f>
        <v>4</v>
      </c>
      <c r="AC1685">
        <f>ROUND(Mecze[[#This Row],[OD]]*Mecze[[#This Row],[%OU]],0)</f>
        <v>0</v>
      </c>
      <c r="AD1685" s="36" t="s">
        <v>40</v>
      </c>
      <c r="AE1685" s="36">
        <v>91</v>
      </c>
      <c r="AF1685" s="71">
        <v>5.44</v>
      </c>
      <c r="AG1685" s="37">
        <v>0</v>
      </c>
      <c r="AH1685" s="37">
        <v>0</v>
      </c>
      <c r="AI1685" s="37">
        <v>96</v>
      </c>
      <c r="AJ1685" s="37">
        <v>11</v>
      </c>
      <c r="AK1685" s="37" t="str">
        <f>VLOOKUP(Mecze[[#This Row],[Match ID]],Meczusie[Mecz]:Meczusie[RodzajMeczu],2,FALSE)</f>
        <v>Liga</v>
      </c>
    </row>
    <row r="1686" spans="1:37" x14ac:dyDescent="0.25">
      <c r="A1686" s="76">
        <v>4</v>
      </c>
      <c r="B1686" s="3" t="s">
        <v>321</v>
      </c>
      <c r="C1686" s="2" t="s">
        <v>157</v>
      </c>
      <c r="D1686" s="1">
        <v>0</v>
      </c>
      <c r="E1686" s="1">
        <v>0</v>
      </c>
      <c r="F1686" s="1">
        <v>0</v>
      </c>
      <c r="G1686" s="1">
        <v>14</v>
      </c>
      <c r="H1686" s="4">
        <v>0.86</v>
      </c>
      <c r="I1686" s="1">
        <v>4</v>
      </c>
      <c r="J1686" s="4">
        <v>1</v>
      </c>
      <c r="K1686" s="1">
        <v>0</v>
      </c>
      <c r="L1686" s="1">
        <v>9</v>
      </c>
      <c r="M1686" s="32">
        <f>IF(Mecze[[#This Row],[PR]]=0,0,Mecze[[#This Row],[PR]]/Mecze[[#This Row],[CZAS]])</f>
        <v>9.375E-2</v>
      </c>
      <c r="N1686" s="32">
        <f>IF(Mecze[[#This Row],[OU]]=0,0,Mecze[[#This Row],[OU]]/Mecze[[#This Row],[CZAS]])</f>
        <v>4.1666666666666664E-2</v>
      </c>
      <c r="O1686" s="32">
        <f>IF(Mecze[[#This Row],[PC]]=0,0,Mecze[[#This Row],[PC]]/Mecze[[#This Row],[CZAS]])</f>
        <v>0.125</v>
      </c>
      <c r="P1686" s="32">
        <f>IF(Mecze[[#This Row],[SC]]=0,0,Mecze[[#This Row],[SC]]/Mecze[[#This Row],[CZAS]])</f>
        <v>0</v>
      </c>
      <c r="Q1686" s="32">
        <f>IF(Mecze[[#This Row],[OB]]=0,0,Mecze[[#This Row],[OB]]/Mecze[[#This Row],[CZAS]])</f>
        <v>0</v>
      </c>
      <c r="R1686" s="32">
        <f>IF(Mecze[[#This Row],[BR]]=0,0,Mecze[[#This Row],[BR]]/Mecze[[#This Row],[CZAS]])</f>
        <v>0</v>
      </c>
      <c r="S1686" s="44">
        <f>IF(Mecze[[#This Row],[Role]]="BR",SUMPRODUCT(Mecze[[#This Row],[/PR:90]:[/BR:90]],Brudnopis!$E$23:$J$23),0)</f>
        <v>0</v>
      </c>
      <c r="T1686" s="44">
        <f>IF(Mecze[[#This Row],[Role]]&lt;&gt;"BR",SUMPRODUCT(Mecze[[#This Row],[/PR:90]:[/BR:90]],Brudnopis!$E$24:$J$24),0)</f>
        <v>0.28125</v>
      </c>
      <c r="U1686" s="44">
        <f>IF(Mecze[[#This Row],[Role]]&lt;&gt;"BR",SUMPRODUCT(Mecze[[#This Row],[/PR:90]:[/BR:90]],Brudnopis!$E$25:$J$25),0)</f>
        <v>0.32291666666666663</v>
      </c>
      <c r="V1686" s="44">
        <f>IF(Mecze[[#This Row],[Role]]&lt;&gt;"BR",SUMPRODUCT(Mecze[[#This Row],[/PR:90]:[/BR:90]],Brudnopis!$E$26:$J$26),0)</f>
        <v>0.26041666666666663</v>
      </c>
      <c r="W1686" s="44">
        <f>IF(Mecze[[#This Row],[Role]]&lt;&gt;"BR",SUMPRODUCT(Mecze[[#This Row],[/PR:90]:[/BR:90]],Brudnopis!$E$27:$J$27),0)</f>
        <v>0.2890625</v>
      </c>
      <c r="X1686" s="44">
        <f>IF(Mecze[[#This Row],[Role]]&lt;&gt;"BR",SUMPRODUCT(Mecze[[#This Row],[/PR:90]:[/BR:90]],Brudnopis!$E$28:$J$28),0)</f>
        <v>0.125</v>
      </c>
      <c r="Y1686" s="35">
        <f>IF(Mecze[[#This Row],[Role]]="BR",Mecze[[#This Row],[/OB:90]]+Mecze[[#This Row],[/PC:90]],SUM(Mecze[[#This Row],[/PR:90]:[/BR:90]]))</f>
        <v>0.26041666666666663</v>
      </c>
      <c r="Z1686" s="35">
        <f>IF(Mecze[[#This Row],[KC]]=0,SUM(Mecze[[#This Row],[/BRI]:[/NPI]]),SUM(Mecze[[#This Row],[/BRI]:[/NPI]])*0.6)</f>
        <v>1.2786458333333333</v>
      </c>
      <c r="AA1686" s="10">
        <f>IFERROR(Mecze[[#This Row],[BR]]/Mecze[[#This Row],[ST]],0)</f>
        <v>0</v>
      </c>
      <c r="AB1686">
        <f>ROUND(Mecze[[#This Row],[PD]]*Mecze[[#This Row],[%PC]],0)</f>
        <v>12</v>
      </c>
      <c r="AC1686">
        <f>ROUND(Mecze[[#This Row],[OD]]*Mecze[[#This Row],[%OU]],0)</f>
        <v>4</v>
      </c>
      <c r="AD1686" s="36" t="s">
        <v>47</v>
      </c>
      <c r="AE1686" s="36">
        <v>91</v>
      </c>
      <c r="AF1686" s="71">
        <v>6.63</v>
      </c>
      <c r="AG1686" s="37">
        <v>0</v>
      </c>
      <c r="AH1686" s="37">
        <v>0</v>
      </c>
      <c r="AI1686" s="37">
        <v>96</v>
      </c>
      <c r="AJ1686" s="37">
        <v>11</v>
      </c>
      <c r="AK1686" s="37" t="str">
        <f>VLOOKUP(Mecze[[#This Row],[Match ID]],Meczusie[Mecz]:Meczusie[RodzajMeczu],2,FALSE)</f>
        <v>Liga</v>
      </c>
    </row>
    <row r="1687" spans="1:37" x14ac:dyDescent="0.25">
      <c r="A1687" s="76">
        <v>7</v>
      </c>
      <c r="B1687" s="3" t="s">
        <v>322</v>
      </c>
      <c r="C1687" s="2" t="s">
        <v>157</v>
      </c>
      <c r="D1687" s="1">
        <v>0</v>
      </c>
      <c r="E1687" s="1">
        <v>0</v>
      </c>
      <c r="F1687" s="1">
        <v>0</v>
      </c>
      <c r="G1687" s="1">
        <v>10</v>
      </c>
      <c r="H1687" s="4">
        <v>0.9</v>
      </c>
      <c r="I1687" s="1">
        <v>5</v>
      </c>
      <c r="J1687" s="4">
        <v>0.6</v>
      </c>
      <c r="K1687" s="1">
        <v>0</v>
      </c>
      <c r="L1687" s="1">
        <v>8</v>
      </c>
      <c r="M1687" s="32">
        <f>IF(Mecze[[#This Row],[PR]]=0,0,Mecze[[#This Row],[PR]]/Mecze[[#This Row],[CZAS]])</f>
        <v>8.3333333333333329E-2</v>
      </c>
      <c r="N1687" s="32">
        <f>IF(Mecze[[#This Row],[OU]]=0,0,Mecze[[#This Row],[OU]]/Mecze[[#This Row],[CZAS]])</f>
        <v>3.125E-2</v>
      </c>
      <c r="O1687" s="32">
        <f>IF(Mecze[[#This Row],[PC]]=0,0,Mecze[[#This Row],[PC]]/Mecze[[#This Row],[CZAS]])</f>
        <v>9.375E-2</v>
      </c>
      <c r="P1687" s="32">
        <f>IF(Mecze[[#This Row],[SC]]=0,0,Mecze[[#This Row],[SC]]/Mecze[[#This Row],[CZAS]])</f>
        <v>0</v>
      </c>
      <c r="Q1687" s="32">
        <f>IF(Mecze[[#This Row],[OB]]=0,0,Mecze[[#This Row],[OB]]/Mecze[[#This Row],[CZAS]])</f>
        <v>0</v>
      </c>
      <c r="R1687" s="32">
        <f>IF(Mecze[[#This Row],[BR]]=0,0,Mecze[[#This Row],[BR]]/Mecze[[#This Row],[CZAS]])</f>
        <v>0</v>
      </c>
      <c r="S1687" s="44">
        <f>IF(Mecze[[#This Row],[Role]]="BR",SUMPRODUCT(Mecze[[#This Row],[/PR:90]:[/BR:90]],Brudnopis!$E$23:$J$23),0)</f>
        <v>0</v>
      </c>
      <c r="T1687" s="44">
        <f>IF(Mecze[[#This Row],[Role]]&lt;&gt;"BR",SUMPRODUCT(Mecze[[#This Row],[/PR:90]:[/BR:90]],Brudnopis!$E$24:$J$24),0)</f>
        <v>0.22395833333333331</v>
      </c>
      <c r="U1687" s="44">
        <f>IF(Mecze[[#This Row],[Role]]&lt;&gt;"BR",SUMPRODUCT(Mecze[[#This Row],[/PR:90]:[/BR:90]],Brudnopis!$E$25:$J$25),0)</f>
        <v>0.25520833333333331</v>
      </c>
      <c r="V1687" s="44">
        <f>IF(Mecze[[#This Row],[Role]]&lt;&gt;"BR",SUMPRODUCT(Mecze[[#This Row],[/PR:90]:[/BR:90]],Brudnopis!$E$26:$J$26),0)</f>
        <v>0.20833333333333331</v>
      </c>
      <c r="W1687" s="44">
        <f>IF(Mecze[[#This Row],[Role]]&lt;&gt;"BR",SUMPRODUCT(Mecze[[#This Row],[/PR:90]:[/BR:90]],Brudnopis!$E$27:$J$27),0)</f>
        <v>0.2265625</v>
      </c>
      <c r="X1687" s="44">
        <f>IF(Mecze[[#This Row],[Role]]&lt;&gt;"BR",SUMPRODUCT(Mecze[[#This Row],[/PR:90]:[/BR:90]],Brudnopis!$E$28:$J$28),0)</f>
        <v>9.375E-2</v>
      </c>
      <c r="Y1687" s="35">
        <f>IF(Mecze[[#This Row],[Role]]="BR",Mecze[[#This Row],[/OB:90]]+Mecze[[#This Row],[/PC:90]],SUM(Mecze[[#This Row],[/PR:90]:[/BR:90]]))</f>
        <v>0.20833333333333331</v>
      </c>
      <c r="Z1687" s="35">
        <f>IF(Mecze[[#This Row],[KC]]=0,SUM(Mecze[[#This Row],[/BRI]:[/NPI]]),SUM(Mecze[[#This Row],[/BRI]:[/NPI]])*0.6)</f>
        <v>1.0078125</v>
      </c>
      <c r="AA1687" s="10">
        <f>IFERROR(Mecze[[#This Row],[BR]]/Mecze[[#This Row],[ST]],0)</f>
        <v>0</v>
      </c>
      <c r="AB1687">
        <f>ROUND(Mecze[[#This Row],[PD]]*Mecze[[#This Row],[%PC]],0)</f>
        <v>9</v>
      </c>
      <c r="AC1687">
        <f>ROUND(Mecze[[#This Row],[OD]]*Mecze[[#This Row],[%OU]],0)</f>
        <v>3</v>
      </c>
      <c r="AD1687" s="36" t="s">
        <v>47</v>
      </c>
      <c r="AE1687" s="36">
        <v>91</v>
      </c>
      <c r="AF1687" s="71">
        <v>4.3899999999999997</v>
      </c>
      <c r="AG1687" s="37">
        <v>0</v>
      </c>
      <c r="AH1687" s="37">
        <v>0</v>
      </c>
      <c r="AI1687" s="37">
        <v>96</v>
      </c>
      <c r="AJ1687" s="37">
        <v>11</v>
      </c>
      <c r="AK1687" s="37" t="str">
        <f>VLOOKUP(Mecze[[#This Row],[Match ID]],Meczusie[Mecz]:Meczusie[RodzajMeczu],2,FALSE)</f>
        <v>Liga</v>
      </c>
    </row>
    <row r="1688" spans="1:37" x14ac:dyDescent="0.25">
      <c r="A1688" s="76">
        <v>6</v>
      </c>
      <c r="B1688" s="3" t="s">
        <v>324</v>
      </c>
      <c r="C1688" s="2" t="s">
        <v>157</v>
      </c>
      <c r="D1688" s="1">
        <v>0</v>
      </c>
      <c r="E1688" s="1">
        <v>0</v>
      </c>
      <c r="F1688" s="1">
        <v>0</v>
      </c>
      <c r="G1688" s="1">
        <v>9</v>
      </c>
      <c r="H1688" s="4">
        <v>0.78</v>
      </c>
      <c r="I1688" s="1">
        <v>8</v>
      </c>
      <c r="J1688" s="4">
        <v>0.63</v>
      </c>
      <c r="K1688" s="1">
        <v>0</v>
      </c>
      <c r="L1688" s="1">
        <v>10</v>
      </c>
      <c r="M1688" s="32">
        <f>IF(Mecze[[#This Row],[PR]]=0,0,Mecze[[#This Row],[PR]]/Mecze[[#This Row],[CZAS]])</f>
        <v>0.10416666666666667</v>
      </c>
      <c r="N1688" s="32">
        <f>IF(Mecze[[#This Row],[OU]]=0,0,Mecze[[#This Row],[OU]]/Mecze[[#This Row],[CZAS]])</f>
        <v>5.2083333333333336E-2</v>
      </c>
      <c r="O1688" s="32">
        <f>IF(Mecze[[#This Row],[PC]]=0,0,Mecze[[#This Row],[PC]]/Mecze[[#This Row],[CZAS]])</f>
        <v>7.2916666666666671E-2</v>
      </c>
      <c r="P1688" s="32">
        <f>IF(Mecze[[#This Row],[SC]]=0,0,Mecze[[#This Row],[SC]]/Mecze[[#This Row],[CZAS]])</f>
        <v>0</v>
      </c>
      <c r="Q1688" s="32">
        <f>IF(Mecze[[#This Row],[OB]]=0,0,Mecze[[#This Row],[OB]]/Mecze[[#This Row],[CZAS]])</f>
        <v>0</v>
      </c>
      <c r="R1688" s="32">
        <f>IF(Mecze[[#This Row],[BR]]=0,0,Mecze[[#This Row],[BR]]/Mecze[[#This Row],[CZAS]])</f>
        <v>0</v>
      </c>
      <c r="S1688" s="44">
        <f>IF(Mecze[[#This Row],[Role]]="BR",SUMPRODUCT(Mecze[[#This Row],[/PR:90]:[/BR:90]],Brudnopis!$E$23:$J$23),0)</f>
        <v>0</v>
      </c>
      <c r="T1688" s="44">
        <f>IF(Mecze[[#This Row],[Role]]&lt;&gt;"BR",SUMPRODUCT(Mecze[[#This Row],[/PR:90]:[/BR:90]],Brudnopis!$E$24:$J$24),0)</f>
        <v>0.25520833333333337</v>
      </c>
      <c r="U1688" s="44">
        <f>IF(Mecze[[#This Row],[Role]]&lt;&gt;"BR",SUMPRODUCT(Mecze[[#This Row],[/PR:90]:[/BR:90]],Brudnopis!$E$25:$J$25),0)</f>
        <v>0.265625</v>
      </c>
      <c r="V1688" s="44">
        <f>IF(Mecze[[#This Row],[Role]]&lt;&gt;"BR",SUMPRODUCT(Mecze[[#This Row],[/PR:90]:[/BR:90]],Brudnopis!$E$26:$J$26),0)</f>
        <v>0.22916666666666669</v>
      </c>
      <c r="W1688" s="44">
        <f>IF(Mecze[[#This Row],[Role]]&lt;&gt;"BR",SUMPRODUCT(Mecze[[#This Row],[/PR:90]:[/BR:90]],Brudnopis!$E$27:$J$27),0)</f>
        <v>0.2265625</v>
      </c>
      <c r="X1688" s="44">
        <f>IF(Mecze[[#This Row],[Role]]&lt;&gt;"BR",SUMPRODUCT(Mecze[[#This Row],[/PR:90]:[/BR:90]],Brudnopis!$E$28:$J$28),0)</f>
        <v>7.2916666666666671E-2</v>
      </c>
      <c r="Y1688" s="35">
        <f>IF(Mecze[[#This Row],[Role]]="BR",Mecze[[#This Row],[/OB:90]]+Mecze[[#This Row],[/PC:90]],SUM(Mecze[[#This Row],[/PR:90]:[/BR:90]]))</f>
        <v>0.22916666666666669</v>
      </c>
      <c r="Z1688" s="35">
        <f>IF(Mecze[[#This Row],[KC]]=0,SUM(Mecze[[#This Row],[/BRI]:[/NPI]]),SUM(Mecze[[#This Row],[/BRI]:[/NPI]])*0.6)</f>
        <v>1.0494791666666667</v>
      </c>
      <c r="AA1688" s="10">
        <f>IFERROR(Mecze[[#This Row],[BR]]/Mecze[[#This Row],[ST]],0)</f>
        <v>0</v>
      </c>
      <c r="AB1688">
        <f>ROUND(Mecze[[#This Row],[PD]]*Mecze[[#This Row],[%PC]],0)</f>
        <v>7</v>
      </c>
      <c r="AC1688">
        <f>ROUND(Mecze[[#This Row],[OD]]*Mecze[[#This Row],[%OU]],0)</f>
        <v>5</v>
      </c>
      <c r="AD1688" s="36" t="s">
        <v>174</v>
      </c>
      <c r="AE1688" s="36">
        <v>91</v>
      </c>
      <c r="AF1688" s="71">
        <v>4.8099999999999996</v>
      </c>
      <c r="AG1688" s="37">
        <v>0</v>
      </c>
      <c r="AH1688" s="37">
        <v>0</v>
      </c>
      <c r="AI1688" s="37">
        <v>96</v>
      </c>
      <c r="AJ1688" s="37">
        <v>11</v>
      </c>
      <c r="AK1688" s="37" t="str">
        <f>VLOOKUP(Mecze[[#This Row],[Match ID]],Meczusie[Mecz]:Meczusie[RodzajMeczu],2,FALSE)</f>
        <v>Liga</v>
      </c>
    </row>
    <row r="1689" spans="1:37" x14ac:dyDescent="0.25">
      <c r="A1689" s="76">
        <v>2</v>
      </c>
      <c r="B1689" s="3" t="s">
        <v>392</v>
      </c>
      <c r="C1689" s="2" t="s">
        <v>157</v>
      </c>
      <c r="D1689" s="1">
        <v>0</v>
      </c>
      <c r="E1689" s="1">
        <v>0</v>
      </c>
      <c r="F1689" s="1">
        <v>0</v>
      </c>
      <c r="G1689" s="1">
        <v>8</v>
      </c>
      <c r="H1689" s="4">
        <v>0.63</v>
      </c>
      <c r="I1689" s="1">
        <v>3</v>
      </c>
      <c r="J1689" s="4">
        <v>0.33</v>
      </c>
      <c r="K1689" s="1">
        <v>0</v>
      </c>
      <c r="L1689" s="1">
        <v>7</v>
      </c>
      <c r="M1689" s="32">
        <f>IF(Mecze[[#This Row],[PR]]=0,0,Mecze[[#This Row],[PR]]/Mecze[[#This Row],[CZAS]])</f>
        <v>7.2916666666666671E-2</v>
      </c>
      <c r="N1689" s="32">
        <f>IF(Mecze[[#This Row],[OU]]=0,0,Mecze[[#This Row],[OU]]/Mecze[[#This Row],[CZAS]])</f>
        <v>1.0416666666666666E-2</v>
      </c>
      <c r="O1689" s="32">
        <f>IF(Mecze[[#This Row],[PC]]=0,0,Mecze[[#This Row],[PC]]/Mecze[[#This Row],[CZAS]])</f>
        <v>5.2083333333333336E-2</v>
      </c>
      <c r="P1689" s="32">
        <f>IF(Mecze[[#This Row],[SC]]=0,0,Mecze[[#This Row],[SC]]/Mecze[[#This Row],[CZAS]])</f>
        <v>0</v>
      </c>
      <c r="Q1689" s="32">
        <f>IF(Mecze[[#This Row],[OB]]=0,0,Mecze[[#This Row],[OB]]/Mecze[[#This Row],[CZAS]])</f>
        <v>0</v>
      </c>
      <c r="R1689" s="32">
        <f>IF(Mecze[[#This Row],[BR]]=0,0,Mecze[[#This Row],[BR]]/Mecze[[#This Row],[CZAS]])</f>
        <v>0</v>
      </c>
      <c r="S1689" s="44">
        <f>IF(Mecze[[#This Row],[Role]]="BR",SUMPRODUCT(Mecze[[#This Row],[/PR:90]:[/BR:90]],Brudnopis!$E$23:$J$23),0)</f>
        <v>0</v>
      </c>
      <c r="T1689" s="44">
        <f>IF(Mecze[[#This Row],[Role]]&lt;&gt;"BR",SUMPRODUCT(Mecze[[#This Row],[/PR:90]:[/BR:90]],Brudnopis!$E$24:$J$24),0)</f>
        <v>0.140625</v>
      </c>
      <c r="U1689" s="44">
        <f>IF(Mecze[[#This Row],[Role]]&lt;&gt;"BR",SUMPRODUCT(Mecze[[#This Row],[/PR:90]:[/BR:90]],Brudnopis!$E$25:$J$25),0)</f>
        <v>0.16145833333333334</v>
      </c>
      <c r="V1689" s="44">
        <f>IF(Mecze[[#This Row],[Role]]&lt;&gt;"BR",SUMPRODUCT(Mecze[[#This Row],[/PR:90]:[/BR:90]],Brudnopis!$E$26:$J$26),0)</f>
        <v>0.13541666666666669</v>
      </c>
      <c r="W1689" s="44">
        <f>IF(Mecze[[#This Row],[Role]]&lt;&gt;"BR",SUMPRODUCT(Mecze[[#This Row],[/PR:90]:[/BR:90]],Brudnopis!$E$27:$J$27),0)</f>
        <v>0.140625</v>
      </c>
      <c r="X1689" s="44">
        <f>IF(Mecze[[#This Row],[Role]]&lt;&gt;"BR",SUMPRODUCT(Mecze[[#This Row],[/PR:90]:[/BR:90]],Brudnopis!$E$28:$J$28),0)</f>
        <v>5.2083333333333336E-2</v>
      </c>
      <c r="Y1689" s="35">
        <f>IF(Mecze[[#This Row],[Role]]="BR",Mecze[[#This Row],[/OB:90]]+Mecze[[#This Row],[/PC:90]],SUM(Mecze[[#This Row],[/PR:90]:[/BR:90]]))</f>
        <v>0.13541666666666669</v>
      </c>
      <c r="Z1689" s="35">
        <f>IF(Mecze[[#This Row],[KC]]=0,SUM(Mecze[[#This Row],[/BRI]:[/NPI]]),SUM(Mecze[[#This Row],[/BRI]:[/NPI]])*0.6)</f>
        <v>0.63020833333333337</v>
      </c>
      <c r="AA1689" s="10">
        <f>IFERROR(Mecze[[#This Row],[BR]]/Mecze[[#This Row],[ST]],0)</f>
        <v>0</v>
      </c>
      <c r="AB1689">
        <f>ROUND(Mecze[[#This Row],[PD]]*Mecze[[#This Row],[%PC]],0)</f>
        <v>5</v>
      </c>
      <c r="AC1689">
        <f>ROUND(Mecze[[#This Row],[OD]]*Mecze[[#This Row],[%OU]],0)</f>
        <v>1</v>
      </c>
      <c r="AD1689" s="36" t="s">
        <v>175</v>
      </c>
      <c r="AE1689" s="36">
        <v>91</v>
      </c>
      <c r="AF1689" s="71">
        <v>3.06</v>
      </c>
      <c r="AG1689" s="37">
        <v>0</v>
      </c>
      <c r="AH1689" s="37">
        <v>0</v>
      </c>
      <c r="AI1689" s="37">
        <v>96</v>
      </c>
      <c r="AJ1689" s="37">
        <v>11</v>
      </c>
      <c r="AK1689" s="37" t="str">
        <f>VLOOKUP(Mecze[[#This Row],[Match ID]],Meczusie[Mecz]:Meczusie[RodzajMeczu],2,FALSE)</f>
        <v>Liga</v>
      </c>
    </row>
    <row r="1690" spans="1:37" x14ac:dyDescent="0.25">
      <c r="A1690" s="76">
        <v>5</v>
      </c>
      <c r="B1690" s="3" t="s">
        <v>325</v>
      </c>
      <c r="C1690" s="2" t="s">
        <v>160</v>
      </c>
      <c r="D1690" s="1">
        <v>0</v>
      </c>
      <c r="E1690" s="1">
        <v>0</v>
      </c>
      <c r="F1690" s="1">
        <v>0</v>
      </c>
      <c r="G1690" s="1">
        <v>16</v>
      </c>
      <c r="H1690" s="4">
        <v>0.63</v>
      </c>
      <c r="I1690" s="1">
        <v>5</v>
      </c>
      <c r="J1690" s="4">
        <v>0.4</v>
      </c>
      <c r="K1690" s="1">
        <v>0</v>
      </c>
      <c r="L1690" s="1">
        <v>5</v>
      </c>
      <c r="M1690" s="32">
        <f>IF(Mecze[[#This Row],[PR]]=0,0,Mecze[[#This Row],[PR]]/Mecze[[#This Row],[CZAS]])</f>
        <v>5.2083333333333336E-2</v>
      </c>
      <c r="N1690" s="32">
        <f>IF(Mecze[[#This Row],[OU]]=0,0,Mecze[[#This Row],[OU]]/Mecze[[#This Row],[CZAS]])</f>
        <v>2.0833333333333332E-2</v>
      </c>
      <c r="O1690" s="32">
        <f>IF(Mecze[[#This Row],[PC]]=0,0,Mecze[[#This Row],[PC]]/Mecze[[#This Row],[CZAS]])</f>
        <v>0.10416666666666667</v>
      </c>
      <c r="P1690" s="32">
        <f>IF(Mecze[[#This Row],[SC]]=0,0,Mecze[[#This Row],[SC]]/Mecze[[#This Row],[CZAS]])</f>
        <v>0</v>
      </c>
      <c r="Q1690" s="32">
        <f>IF(Mecze[[#This Row],[OB]]=0,0,Mecze[[#This Row],[OB]]/Mecze[[#This Row],[CZAS]])</f>
        <v>0</v>
      </c>
      <c r="R1690" s="32">
        <f>IF(Mecze[[#This Row],[BR]]=0,0,Mecze[[#This Row],[BR]]/Mecze[[#This Row],[CZAS]])</f>
        <v>0</v>
      </c>
      <c r="S1690" s="44">
        <f>IF(Mecze[[#This Row],[Role]]="BR",SUMPRODUCT(Mecze[[#This Row],[/PR:90]:[/BR:90]],Brudnopis!$E$23:$J$23),0)</f>
        <v>0</v>
      </c>
      <c r="T1690" s="44">
        <f>IF(Mecze[[#This Row],[Role]]&lt;&gt;"BR",SUMPRODUCT(Mecze[[#This Row],[/PR:90]:[/BR:90]],Brudnopis!$E$24:$J$24),0)</f>
        <v>0.1875</v>
      </c>
      <c r="U1690" s="44">
        <f>IF(Mecze[[#This Row],[Role]]&lt;&gt;"BR",SUMPRODUCT(Mecze[[#This Row],[/PR:90]:[/BR:90]],Brudnopis!$E$25:$J$25),0)</f>
        <v>0.22916666666666669</v>
      </c>
      <c r="V1690" s="44">
        <f>IF(Mecze[[#This Row],[Role]]&lt;&gt;"BR",SUMPRODUCT(Mecze[[#This Row],[/PR:90]:[/BR:90]],Brudnopis!$E$26:$J$26),0)</f>
        <v>0.17708333333333334</v>
      </c>
      <c r="W1690" s="44">
        <f>IF(Mecze[[#This Row],[Role]]&lt;&gt;"BR",SUMPRODUCT(Mecze[[#This Row],[/PR:90]:[/BR:90]],Brudnopis!$E$27:$J$27),0)</f>
        <v>0.2109375</v>
      </c>
      <c r="X1690" s="44">
        <f>IF(Mecze[[#This Row],[Role]]&lt;&gt;"BR",SUMPRODUCT(Mecze[[#This Row],[/PR:90]:[/BR:90]],Brudnopis!$E$28:$J$28),0)</f>
        <v>0.10416666666666667</v>
      </c>
      <c r="Y1690" s="35">
        <f>IF(Mecze[[#This Row],[Role]]="BR",Mecze[[#This Row],[/OB:90]]+Mecze[[#This Row],[/PC:90]],SUM(Mecze[[#This Row],[/PR:90]:[/BR:90]]))</f>
        <v>0.17708333333333334</v>
      </c>
      <c r="Z1690" s="35">
        <f>IF(Mecze[[#This Row],[KC]]=0,SUM(Mecze[[#This Row],[/BRI]:[/NPI]]),SUM(Mecze[[#This Row],[/BRI]:[/NPI]])*0.6)</f>
        <v>0.90885416666666663</v>
      </c>
      <c r="AA1690" s="10">
        <f>IFERROR(Mecze[[#This Row],[BR]]/Mecze[[#This Row],[ST]],0)</f>
        <v>0</v>
      </c>
      <c r="AB1690">
        <f>ROUND(Mecze[[#This Row],[PD]]*Mecze[[#This Row],[%PC]],0)</f>
        <v>10</v>
      </c>
      <c r="AC1690">
        <f>ROUND(Mecze[[#This Row],[OD]]*Mecze[[#This Row],[%OU]],0)</f>
        <v>2</v>
      </c>
      <c r="AD1690" s="36" t="s">
        <v>41</v>
      </c>
      <c r="AE1690" s="36">
        <v>91</v>
      </c>
      <c r="AF1690" s="71">
        <v>4.96</v>
      </c>
      <c r="AG1690" s="37">
        <v>0</v>
      </c>
      <c r="AH1690" s="37">
        <v>0</v>
      </c>
      <c r="AI1690" s="37">
        <v>96</v>
      </c>
      <c r="AJ1690" s="37">
        <v>11</v>
      </c>
      <c r="AK1690" s="37" t="str">
        <f>VLOOKUP(Mecze[[#This Row],[Match ID]],Meczusie[Mecz]:Meczusie[RodzajMeczu],2,FALSE)</f>
        <v>Liga</v>
      </c>
    </row>
    <row r="1691" spans="1:37" x14ac:dyDescent="0.25">
      <c r="A1691" s="76">
        <v>8</v>
      </c>
      <c r="B1691" s="3" t="s">
        <v>326</v>
      </c>
      <c r="C1691" s="2" t="s">
        <v>160</v>
      </c>
      <c r="D1691" s="1">
        <v>0</v>
      </c>
      <c r="E1691" s="1">
        <v>0</v>
      </c>
      <c r="F1691" s="1">
        <v>0</v>
      </c>
      <c r="G1691" s="1">
        <v>10</v>
      </c>
      <c r="H1691" s="4">
        <v>0.5</v>
      </c>
      <c r="I1691" s="1">
        <v>5</v>
      </c>
      <c r="J1691" s="4">
        <v>0.6</v>
      </c>
      <c r="K1691" s="1">
        <v>0</v>
      </c>
      <c r="L1691" s="1">
        <v>4</v>
      </c>
      <c r="M1691" s="32">
        <f>IF(Mecze[[#This Row],[PR]]=0,0,Mecze[[#This Row],[PR]]/Mecze[[#This Row],[CZAS]])</f>
        <v>4.1666666666666664E-2</v>
      </c>
      <c r="N1691" s="32">
        <f>IF(Mecze[[#This Row],[OU]]=0,0,Mecze[[#This Row],[OU]]/Mecze[[#This Row],[CZAS]])</f>
        <v>3.125E-2</v>
      </c>
      <c r="O1691" s="32">
        <f>IF(Mecze[[#This Row],[PC]]=0,0,Mecze[[#This Row],[PC]]/Mecze[[#This Row],[CZAS]])</f>
        <v>5.2083333333333336E-2</v>
      </c>
      <c r="P1691" s="32">
        <f>IF(Mecze[[#This Row],[SC]]=0,0,Mecze[[#This Row],[SC]]/Mecze[[#This Row],[CZAS]])</f>
        <v>0</v>
      </c>
      <c r="Q1691" s="32">
        <f>IF(Mecze[[#This Row],[OB]]=0,0,Mecze[[#This Row],[OB]]/Mecze[[#This Row],[CZAS]])</f>
        <v>0</v>
      </c>
      <c r="R1691" s="32">
        <f>IF(Mecze[[#This Row],[BR]]=0,0,Mecze[[#This Row],[BR]]/Mecze[[#This Row],[CZAS]])</f>
        <v>0</v>
      </c>
      <c r="S1691" s="44">
        <f>IF(Mecze[[#This Row],[Role]]="BR",SUMPRODUCT(Mecze[[#This Row],[/PR:90]:[/BR:90]],Brudnopis!$E$23:$J$23),0)</f>
        <v>0</v>
      </c>
      <c r="T1691" s="44">
        <f>IF(Mecze[[#This Row],[Role]]&lt;&gt;"BR",SUMPRODUCT(Mecze[[#This Row],[/PR:90]:[/BR:90]],Brudnopis!$E$24:$J$24),0)</f>
        <v>0.140625</v>
      </c>
      <c r="U1691" s="44">
        <f>IF(Mecze[[#This Row],[Role]]&lt;&gt;"BR",SUMPRODUCT(Mecze[[#This Row],[/PR:90]:[/BR:90]],Brudnopis!$E$25:$J$25),0)</f>
        <v>0.15104166666666666</v>
      </c>
      <c r="V1691" s="44">
        <f>IF(Mecze[[#This Row],[Role]]&lt;&gt;"BR",SUMPRODUCT(Mecze[[#This Row],[/PR:90]:[/BR:90]],Brudnopis!$E$26:$J$26),0)</f>
        <v>0.125</v>
      </c>
      <c r="W1691" s="44">
        <f>IF(Mecze[[#This Row],[Role]]&lt;&gt;"BR",SUMPRODUCT(Mecze[[#This Row],[/PR:90]:[/BR:90]],Brudnopis!$E$27:$J$27),0)</f>
        <v>0.1328125</v>
      </c>
      <c r="X1691" s="44">
        <f>IF(Mecze[[#This Row],[Role]]&lt;&gt;"BR",SUMPRODUCT(Mecze[[#This Row],[/PR:90]:[/BR:90]],Brudnopis!$E$28:$J$28),0)</f>
        <v>5.2083333333333336E-2</v>
      </c>
      <c r="Y1691" s="35">
        <f>IF(Mecze[[#This Row],[Role]]="BR",Mecze[[#This Row],[/OB:90]]+Mecze[[#This Row],[/PC:90]],SUM(Mecze[[#This Row],[/PR:90]:[/BR:90]]))</f>
        <v>0.125</v>
      </c>
      <c r="Z1691" s="35">
        <f>IF(Mecze[[#This Row],[KC]]=0,SUM(Mecze[[#This Row],[/BRI]:[/NPI]]),SUM(Mecze[[#This Row],[/BRI]:[/NPI]])*0.6)</f>
        <v>0.6015625</v>
      </c>
      <c r="AA1691" s="10">
        <f>IFERROR(Mecze[[#This Row],[BR]]/Mecze[[#This Row],[ST]],0)</f>
        <v>0</v>
      </c>
      <c r="AB1691">
        <f>ROUND(Mecze[[#This Row],[PD]]*Mecze[[#This Row],[%PC]],0)</f>
        <v>5</v>
      </c>
      <c r="AC1691">
        <f>ROUND(Mecze[[#This Row],[OD]]*Mecze[[#This Row],[%OU]],0)</f>
        <v>3</v>
      </c>
      <c r="AD1691" s="36" t="s">
        <v>318</v>
      </c>
      <c r="AE1691" s="36">
        <v>91</v>
      </c>
      <c r="AF1691" s="71">
        <v>4.75</v>
      </c>
      <c r="AG1691" s="37">
        <v>0</v>
      </c>
      <c r="AH1691" s="37">
        <v>0</v>
      </c>
      <c r="AI1691" s="37">
        <v>96</v>
      </c>
      <c r="AJ1691" s="37">
        <v>11</v>
      </c>
      <c r="AK1691" s="37" t="str">
        <f>VLOOKUP(Mecze[[#This Row],[Match ID]],Meczusie[Mecz]:Meczusie[RodzajMeczu],2,FALSE)</f>
        <v>Liga</v>
      </c>
    </row>
    <row r="1692" spans="1:37" x14ac:dyDescent="0.25">
      <c r="A1692" s="76">
        <v>9</v>
      </c>
      <c r="B1692" s="3" t="s">
        <v>327</v>
      </c>
      <c r="C1692" s="2" t="s">
        <v>160</v>
      </c>
      <c r="D1692" s="1">
        <v>0</v>
      </c>
      <c r="E1692" s="1">
        <v>0</v>
      </c>
      <c r="F1692" s="1">
        <v>0</v>
      </c>
      <c r="G1692" s="1">
        <v>7</v>
      </c>
      <c r="H1692" s="4">
        <v>0.71</v>
      </c>
      <c r="I1692" s="1">
        <v>2</v>
      </c>
      <c r="J1692" s="4">
        <v>0</v>
      </c>
      <c r="K1692" s="1">
        <v>0</v>
      </c>
      <c r="L1692" s="1">
        <v>3</v>
      </c>
      <c r="M1692" s="32">
        <f>IF(Mecze[[#This Row],[PR]]=0,0,Mecze[[#This Row],[PR]]/Mecze[[#This Row],[CZAS]])</f>
        <v>3.125E-2</v>
      </c>
      <c r="N1692" s="32">
        <f>IF(Mecze[[#This Row],[OU]]=0,0,Mecze[[#This Row],[OU]]/Mecze[[#This Row],[CZAS]])</f>
        <v>0</v>
      </c>
      <c r="O1692" s="32">
        <f>IF(Mecze[[#This Row],[PC]]=0,0,Mecze[[#This Row],[PC]]/Mecze[[#This Row],[CZAS]])</f>
        <v>5.2083333333333336E-2</v>
      </c>
      <c r="P1692" s="32">
        <f>IF(Mecze[[#This Row],[SC]]=0,0,Mecze[[#This Row],[SC]]/Mecze[[#This Row],[CZAS]])</f>
        <v>0</v>
      </c>
      <c r="Q1692" s="32">
        <f>IF(Mecze[[#This Row],[OB]]=0,0,Mecze[[#This Row],[OB]]/Mecze[[#This Row],[CZAS]])</f>
        <v>0</v>
      </c>
      <c r="R1692" s="32">
        <f>IF(Mecze[[#This Row],[BR]]=0,0,Mecze[[#This Row],[BR]]/Mecze[[#This Row],[CZAS]])</f>
        <v>0</v>
      </c>
      <c r="S1692" s="44">
        <f>IF(Mecze[[#This Row],[Role]]="BR",SUMPRODUCT(Mecze[[#This Row],[/PR:90]:[/BR:90]],Brudnopis!$E$23:$J$23),0)</f>
        <v>0</v>
      </c>
      <c r="T1692" s="44">
        <f>IF(Mecze[[#This Row],[Role]]&lt;&gt;"BR",SUMPRODUCT(Mecze[[#This Row],[/PR:90]:[/BR:90]],Brudnopis!$E$24:$J$24),0)</f>
        <v>8.3333333333333343E-2</v>
      </c>
      <c r="U1692" s="44">
        <f>IF(Mecze[[#This Row],[Role]]&lt;&gt;"BR",SUMPRODUCT(Mecze[[#This Row],[/PR:90]:[/BR:90]],Brudnopis!$E$25:$J$25),0)</f>
        <v>0.109375</v>
      </c>
      <c r="V1692" s="44">
        <f>IF(Mecze[[#This Row],[Role]]&lt;&gt;"BR",SUMPRODUCT(Mecze[[#This Row],[/PR:90]:[/BR:90]],Brudnopis!$E$26:$J$26),0)</f>
        <v>8.3333333333333343E-2</v>
      </c>
      <c r="W1692" s="44">
        <f>IF(Mecze[[#This Row],[Role]]&lt;&gt;"BR",SUMPRODUCT(Mecze[[#This Row],[/PR:90]:[/BR:90]],Brudnopis!$E$27:$J$27),0)</f>
        <v>0.1015625</v>
      </c>
      <c r="X1692" s="44">
        <f>IF(Mecze[[#This Row],[Role]]&lt;&gt;"BR",SUMPRODUCT(Mecze[[#This Row],[/PR:90]:[/BR:90]],Brudnopis!$E$28:$J$28),0)</f>
        <v>5.2083333333333336E-2</v>
      </c>
      <c r="Y1692" s="35">
        <f>IF(Mecze[[#This Row],[Role]]="BR",Mecze[[#This Row],[/OB:90]]+Mecze[[#This Row],[/PC:90]],SUM(Mecze[[#This Row],[/PR:90]:[/BR:90]]))</f>
        <v>8.3333333333333343E-2</v>
      </c>
      <c r="Z1692" s="35">
        <f>IF(Mecze[[#This Row],[KC]]=0,SUM(Mecze[[#This Row],[/BRI]:[/NPI]]),SUM(Mecze[[#This Row],[/BRI]:[/NPI]])*0.6)</f>
        <v>0.4296875</v>
      </c>
      <c r="AA1692" s="10">
        <f>IFERROR(Mecze[[#This Row],[BR]]/Mecze[[#This Row],[ST]],0)</f>
        <v>0</v>
      </c>
      <c r="AB1692">
        <f>ROUND(Mecze[[#This Row],[PD]]*Mecze[[#This Row],[%PC]],0)</f>
        <v>5</v>
      </c>
      <c r="AC1692">
        <f>ROUND(Mecze[[#This Row],[OD]]*Mecze[[#This Row],[%OU]],0)</f>
        <v>0</v>
      </c>
      <c r="AD1692" s="36" t="s">
        <v>44</v>
      </c>
      <c r="AE1692" s="36">
        <v>91</v>
      </c>
      <c r="AF1692" s="71">
        <v>4.54</v>
      </c>
      <c r="AG1692" s="37">
        <v>0</v>
      </c>
      <c r="AH1692" s="37">
        <v>0</v>
      </c>
      <c r="AI1692" s="37">
        <v>96</v>
      </c>
      <c r="AJ1692" s="37">
        <v>11</v>
      </c>
      <c r="AK1692" s="37" t="str">
        <f>VLOOKUP(Mecze[[#This Row],[Match ID]],Meczusie[Mecz]:Meczusie[RodzajMeczu],2,FALSE)</f>
        <v>Liga</v>
      </c>
    </row>
    <row r="1693" spans="1:37" x14ac:dyDescent="0.25">
      <c r="A1693" s="76">
        <v>10</v>
      </c>
      <c r="B1693" s="3" t="s">
        <v>328</v>
      </c>
      <c r="C1693" s="2" t="s">
        <v>165</v>
      </c>
      <c r="D1693" s="1">
        <v>0</v>
      </c>
      <c r="E1693" s="1">
        <v>2</v>
      </c>
      <c r="F1693" s="1">
        <v>1</v>
      </c>
      <c r="G1693" s="1">
        <v>4</v>
      </c>
      <c r="H1693" s="4">
        <v>1</v>
      </c>
      <c r="I1693" s="1">
        <v>6</v>
      </c>
      <c r="J1693" s="4">
        <v>0</v>
      </c>
      <c r="K1693" s="1">
        <v>0</v>
      </c>
      <c r="L1693" s="1">
        <v>0</v>
      </c>
      <c r="M1693" s="32">
        <f>IF(Mecze[[#This Row],[PR]]=0,0,Mecze[[#This Row],[PR]]/Mecze[[#This Row],[CZAS]])</f>
        <v>0</v>
      </c>
      <c r="N1693" s="32">
        <f>IF(Mecze[[#This Row],[OU]]=0,0,Mecze[[#This Row],[OU]]/Mecze[[#This Row],[CZAS]])</f>
        <v>0</v>
      </c>
      <c r="O1693" s="32">
        <f>IF(Mecze[[#This Row],[PC]]=0,0,Mecze[[#This Row],[PC]]/Mecze[[#This Row],[CZAS]])</f>
        <v>4.1666666666666664E-2</v>
      </c>
      <c r="P1693" s="32">
        <f>IF(Mecze[[#This Row],[SC]]=0,0,Mecze[[#This Row],[SC]]/Mecze[[#This Row],[CZAS]])</f>
        <v>1.0416666666666666E-2</v>
      </c>
      <c r="Q1693" s="32">
        <f>IF(Mecze[[#This Row],[OB]]=0,0,Mecze[[#This Row],[OB]]/Mecze[[#This Row],[CZAS]])</f>
        <v>0</v>
      </c>
      <c r="R1693" s="32">
        <f>IF(Mecze[[#This Row],[BR]]=0,0,Mecze[[#This Row],[BR]]/Mecze[[#This Row],[CZAS]])</f>
        <v>0</v>
      </c>
      <c r="S1693" s="44">
        <f>IF(Mecze[[#This Row],[Role]]="BR",SUMPRODUCT(Mecze[[#This Row],[/PR:90]:[/BR:90]],Brudnopis!$E$23:$J$23),0)</f>
        <v>0</v>
      </c>
      <c r="T1693" s="44">
        <f>IF(Mecze[[#This Row],[Role]]&lt;&gt;"BR",SUMPRODUCT(Mecze[[#This Row],[/PR:90]:[/BR:90]],Brudnopis!$E$24:$J$24),0)</f>
        <v>5.2083333333333329E-2</v>
      </c>
      <c r="U1693" s="44">
        <f>IF(Mecze[[#This Row],[Role]]&lt;&gt;"BR",SUMPRODUCT(Mecze[[#This Row],[/PR:90]:[/BR:90]],Brudnopis!$E$25:$J$25),0)</f>
        <v>7.2916666666666671E-2</v>
      </c>
      <c r="V1693" s="44">
        <f>IF(Mecze[[#This Row],[Role]]&lt;&gt;"BR",SUMPRODUCT(Mecze[[#This Row],[/PR:90]:[/BR:90]],Brudnopis!$E$26:$J$26),0)</f>
        <v>5.2083333333333329E-2</v>
      </c>
      <c r="W1693" s="44">
        <f>IF(Mecze[[#This Row],[Role]]&lt;&gt;"BR",SUMPRODUCT(Mecze[[#This Row],[/PR:90]:[/BR:90]],Brudnopis!$E$27:$J$27),0)</f>
        <v>7.2916666666666671E-2</v>
      </c>
      <c r="X1693" s="44">
        <f>IF(Mecze[[#This Row],[Role]]&lt;&gt;"BR",SUMPRODUCT(Mecze[[#This Row],[/PR:90]:[/BR:90]],Brudnopis!$E$28:$J$28),0)</f>
        <v>6.25E-2</v>
      </c>
      <c r="Y1693" s="35">
        <f>IF(Mecze[[#This Row],[Role]]="BR",Mecze[[#This Row],[/OB:90]]+Mecze[[#This Row],[/PC:90]],SUM(Mecze[[#This Row],[/PR:90]:[/BR:90]]))</f>
        <v>5.2083333333333329E-2</v>
      </c>
      <c r="Z1693" s="35">
        <f>IF(Mecze[[#This Row],[KC]]=0,SUM(Mecze[[#This Row],[/BRI]:[/NPI]]),SUM(Mecze[[#This Row],[/BRI]:[/NPI]])*0.6)</f>
        <v>0.3125</v>
      </c>
      <c r="AA1693" s="10">
        <f>IFERROR(Mecze[[#This Row],[BR]]/Mecze[[#This Row],[ST]],0)</f>
        <v>0</v>
      </c>
      <c r="AB1693">
        <f>ROUND(Mecze[[#This Row],[PD]]*Mecze[[#This Row],[%PC]],0)</f>
        <v>4</v>
      </c>
      <c r="AC1693">
        <f>ROUND(Mecze[[#This Row],[OD]]*Mecze[[#This Row],[%OU]],0)</f>
        <v>0</v>
      </c>
      <c r="AD1693" s="36" t="s">
        <v>46</v>
      </c>
      <c r="AE1693" s="36">
        <v>91</v>
      </c>
      <c r="AF1693" s="71">
        <v>2.93</v>
      </c>
      <c r="AG1693" s="37">
        <v>0</v>
      </c>
      <c r="AH1693" s="37">
        <v>0</v>
      </c>
      <c r="AI1693" s="37">
        <v>96</v>
      </c>
      <c r="AJ1693" s="37">
        <v>11</v>
      </c>
      <c r="AK1693" s="37" t="str">
        <f>VLOOKUP(Mecze[[#This Row],[Match ID]],Meczusie[Mecz]:Meczusie[RodzajMeczu],2,FALSE)</f>
        <v>Liga</v>
      </c>
    </row>
    <row r="1694" spans="1:37" x14ac:dyDescent="0.25">
      <c r="A1694" s="76">
        <v>14</v>
      </c>
      <c r="B1694" s="3" t="s">
        <v>330</v>
      </c>
      <c r="C1694" s="2" t="s">
        <v>165</v>
      </c>
      <c r="D1694" s="1">
        <v>1</v>
      </c>
      <c r="E1694" s="1">
        <v>4</v>
      </c>
      <c r="F1694" s="1">
        <v>3</v>
      </c>
      <c r="G1694" s="1">
        <v>4</v>
      </c>
      <c r="H1694" s="4">
        <v>0.75</v>
      </c>
      <c r="I1694" s="1">
        <v>3</v>
      </c>
      <c r="J1694" s="4">
        <v>0.33</v>
      </c>
      <c r="K1694" s="1">
        <v>0</v>
      </c>
      <c r="L1694" s="1">
        <v>0</v>
      </c>
      <c r="M1694" s="32">
        <f>IF(Mecze[[#This Row],[PR]]=0,0,Mecze[[#This Row],[PR]]/Mecze[[#This Row],[CZAS]])</f>
        <v>0</v>
      </c>
      <c r="N1694" s="32">
        <f>IF(Mecze[[#This Row],[OU]]=0,0,Mecze[[#This Row],[OU]]/Mecze[[#This Row],[CZAS]])</f>
        <v>1.0416666666666666E-2</v>
      </c>
      <c r="O1694" s="32">
        <f>IF(Mecze[[#This Row],[PC]]=0,0,Mecze[[#This Row],[PC]]/Mecze[[#This Row],[CZAS]])</f>
        <v>3.125E-2</v>
      </c>
      <c r="P1694" s="32">
        <f>IF(Mecze[[#This Row],[SC]]=0,0,Mecze[[#This Row],[SC]]/Mecze[[#This Row],[CZAS]])</f>
        <v>3.125E-2</v>
      </c>
      <c r="Q1694" s="32">
        <f>IF(Mecze[[#This Row],[OB]]=0,0,Mecze[[#This Row],[OB]]/Mecze[[#This Row],[CZAS]])</f>
        <v>0</v>
      </c>
      <c r="R1694" s="32">
        <f>IF(Mecze[[#This Row],[BR]]=0,0,Mecze[[#This Row],[BR]]/Mecze[[#This Row],[CZAS]])</f>
        <v>1.0416666666666666E-2</v>
      </c>
      <c r="S1694" s="44">
        <f>IF(Mecze[[#This Row],[Role]]="BR",SUMPRODUCT(Mecze[[#This Row],[/PR:90]:[/BR:90]],Brudnopis!$E$23:$J$23),0)</f>
        <v>0</v>
      </c>
      <c r="T1694" s="44">
        <f>IF(Mecze[[#This Row],[Role]]&lt;&gt;"BR",SUMPRODUCT(Mecze[[#This Row],[/PR:90]:[/BR:90]],Brudnopis!$E$24:$J$24),0)</f>
        <v>9.375E-2</v>
      </c>
      <c r="U1694" s="44">
        <f>IF(Mecze[[#This Row],[Role]]&lt;&gt;"BR",SUMPRODUCT(Mecze[[#This Row],[/PR:90]:[/BR:90]],Brudnopis!$E$25:$J$25),0)</f>
        <v>0.10416666666666666</v>
      </c>
      <c r="V1694" s="44">
        <f>IF(Mecze[[#This Row],[Role]]&lt;&gt;"BR",SUMPRODUCT(Mecze[[#This Row],[/PR:90]:[/BR:90]],Brudnopis!$E$26:$J$26),0)</f>
        <v>9.3749999999999986E-2</v>
      </c>
      <c r="W1694" s="44">
        <f>IF(Mecze[[#This Row],[Role]]&lt;&gt;"BR",SUMPRODUCT(Mecze[[#This Row],[/PR:90]:[/BR:90]],Brudnopis!$E$27:$J$27),0)</f>
        <v>0.10677083333333333</v>
      </c>
      <c r="X1694" s="44">
        <f>IF(Mecze[[#This Row],[Role]]&lt;&gt;"BR",SUMPRODUCT(Mecze[[#This Row],[/PR:90]:[/BR:90]],Brudnopis!$E$28:$J$28),0)</f>
        <v>0.125</v>
      </c>
      <c r="Y1694" s="35">
        <f>IF(Mecze[[#This Row],[Role]]="BR",Mecze[[#This Row],[/OB:90]]+Mecze[[#This Row],[/PC:90]],SUM(Mecze[[#This Row],[/PR:90]:[/BR:90]]))</f>
        <v>8.3333333333333329E-2</v>
      </c>
      <c r="Z1694" s="35">
        <f>IF(Mecze[[#This Row],[KC]]=0,SUM(Mecze[[#This Row],[/BRI]:[/NPI]]),SUM(Mecze[[#This Row],[/BRI]:[/NPI]])*0.6)</f>
        <v>0.5234375</v>
      </c>
      <c r="AA1694" s="10">
        <f>IFERROR(Mecze[[#This Row],[BR]]/Mecze[[#This Row],[ST]],0)</f>
        <v>0.25</v>
      </c>
      <c r="AB1694">
        <f>ROUND(Mecze[[#This Row],[PD]]*Mecze[[#This Row],[%PC]],0)</f>
        <v>3</v>
      </c>
      <c r="AC1694">
        <f>ROUND(Mecze[[#This Row],[OD]]*Mecze[[#This Row],[%OU]],0)</f>
        <v>1</v>
      </c>
      <c r="AD1694" s="36" t="s">
        <v>272</v>
      </c>
      <c r="AE1694" s="36">
        <v>91</v>
      </c>
      <c r="AF1694" s="71">
        <v>5.67</v>
      </c>
      <c r="AG1694" s="37">
        <v>0</v>
      </c>
      <c r="AH1694" s="37">
        <v>0</v>
      </c>
      <c r="AI1694" s="37">
        <v>96</v>
      </c>
      <c r="AJ1694" s="37">
        <v>11</v>
      </c>
      <c r="AK1694" s="37" t="str">
        <f>VLOOKUP(Mecze[[#This Row],[Match ID]],Meczusie[Mecz]:Meczusie[RodzajMeczu],2,FALSE)</f>
        <v>Liga</v>
      </c>
    </row>
    <row r="1695" spans="1:37" x14ac:dyDescent="0.25">
      <c r="A1695" s="76">
        <v>11</v>
      </c>
      <c r="B1695" s="3" t="s">
        <v>329</v>
      </c>
      <c r="C1695" s="2" t="s">
        <v>165</v>
      </c>
      <c r="D1695" s="1">
        <v>1</v>
      </c>
      <c r="E1695" s="1">
        <v>3</v>
      </c>
      <c r="F1695" s="1">
        <v>2</v>
      </c>
      <c r="G1695" s="1">
        <v>10</v>
      </c>
      <c r="H1695" s="4">
        <v>0.7</v>
      </c>
      <c r="I1695" s="1">
        <v>3</v>
      </c>
      <c r="J1695" s="4">
        <v>0</v>
      </c>
      <c r="K1695" s="1">
        <v>0</v>
      </c>
      <c r="L1695" s="1">
        <v>1</v>
      </c>
      <c r="M1695" s="32">
        <f>IF(Mecze[[#This Row],[PR]]=0,0,Mecze[[#This Row],[PR]]/Mecze[[#This Row],[CZAS]])</f>
        <v>1.0416666666666666E-2</v>
      </c>
      <c r="N1695" s="32">
        <f>IF(Mecze[[#This Row],[OU]]=0,0,Mecze[[#This Row],[OU]]/Mecze[[#This Row],[CZAS]])</f>
        <v>0</v>
      </c>
      <c r="O1695" s="32">
        <f>IF(Mecze[[#This Row],[PC]]=0,0,Mecze[[#This Row],[PC]]/Mecze[[#This Row],[CZAS]])</f>
        <v>7.2916666666666671E-2</v>
      </c>
      <c r="P1695" s="32">
        <f>IF(Mecze[[#This Row],[SC]]=0,0,Mecze[[#This Row],[SC]]/Mecze[[#This Row],[CZAS]])</f>
        <v>2.0833333333333332E-2</v>
      </c>
      <c r="Q1695" s="32">
        <f>IF(Mecze[[#This Row],[OB]]=0,0,Mecze[[#This Row],[OB]]/Mecze[[#This Row],[CZAS]])</f>
        <v>0</v>
      </c>
      <c r="R1695" s="32">
        <f>IF(Mecze[[#This Row],[BR]]=0,0,Mecze[[#This Row],[BR]]/Mecze[[#This Row],[CZAS]])</f>
        <v>1.0416666666666666E-2</v>
      </c>
      <c r="S1695" s="44">
        <f>IF(Mecze[[#This Row],[Role]]="BR",SUMPRODUCT(Mecze[[#This Row],[/PR:90]:[/BR:90]],Brudnopis!$E$23:$J$23),0)</f>
        <v>0</v>
      </c>
      <c r="T1695" s="44">
        <f>IF(Mecze[[#This Row],[Role]]&lt;&gt;"BR",SUMPRODUCT(Mecze[[#This Row],[/PR:90]:[/BR:90]],Brudnopis!$E$24:$J$24),0)</f>
        <v>0.11979166666666667</v>
      </c>
      <c r="U1695" s="44">
        <f>IF(Mecze[[#This Row],[Role]]&lt;&gt;"BR",SUMPRODUCT(Mecze[[#This Row],[/PR:90]:[/BR:90]],Brudnopis!$E$25:$J$25),0)</f>
        <v>0.15625</v>
      </c>
      <c r="V1695" s="44">
        <f>IF(Mecze[[#This Row],[Role]]&lt;&gt;"BR",SUMPRODUCT(Mecze[[#This Row],[/PR:90]:[/BR:90]],Brudnopis!$E$26:$J$26),0)</f>
        <v>0.125</v>
      </c>
      <c r="W1695" s="44">
        <f>IF(Mecze[[#This Row],[Role]]&lt;&gt;"BR",SUMPRODUCT(Mecze[[#This Row],[/PR:90]:[/BR:90]],Brudnopis!$E$27:$J$27),0)</f>
        <v>0.15885416666666669</v>
      </c>
      <c r="X1695" s="44">
        <f>IF(Mecze[[#This Row],[Role]]&lt;&gt;"BR",SUMPRODUCT(Mecze[[#This Row],[/PR:90]:[/BR:90]],Brudnopis!$E$28:$J$28),0)</f>
        <v>0.14583333333333334</v>
      </c>
      <c r="Y1695" s="35">
        <f>IF(Mecze[[#This Row],[Role]]="BR",Mecze[[#This Row],[/OB:90]]+Mecze[[#This Row],[/PC:90]],SUM(Mecze[[#This Row],[/PR:90]:[/BR:90]]))</f>
        <v>0.11458333333333334</v>
      </c>
      <c r="Z1695" s="35">
        <f>IF(Mecze[[#This Row],[KC]]=0,SUM(Mecze[[#This Row],[/BRI]:[/NPI]]),SUM(Mecze[[#This Row],[/BRI]:[/NPI]])*0.6)</f>
        <v>0.70572916666666674</v>
      </c>
      <c r="AA1695" s="10">
        <f>IFERROR(Mecze[[#This Row],[BR]]/Mecze[[#This Row],[ST]],0)</f>
        <v>0.33333333333333331</v>
      </c>
      <c r="AB1695">
        <f>ROUND(Mecze[[#This Row],[PD]]*Mecze[[#This Row],[%PC]],0)</f>
        <v>7</v>
      </c>
      <c r="AC1695">
        <f>ROUND(Mecze[[#This Row],[OD]]*Mecze[[#This Row],[%OU]],0)</f>
        <v>0</v>
      </c>
      <c r="AD1695" s="36" t="s">
        <v>273</v>
      </c>
      <c r="AE1695" s="36">
        <v>91</v>
      </c>
      <c r="AF1695" s="71">
        <v>6.78</v>
      </c>
      <c r="AG1695" s="37">
        <v>0</v>
      </c>
      <c r="AH1695" s="37">
        <v>0</v>
      </c>
      <c r="AI1695" s="37">
        <v>96</v>
      </c>
      <c r="AJ1695" s="37">
        <v>11</v>
      </c>
      <c r="AK1695" s="37" t="str">
        <f>VLOOKUP(Mecze[[#This Row],[Match ID]],Meczusie[Mecz]:Meczusie[RodzajMeczu],2,FALSE)</f>
        <v>Liga</v>
      </c>
    </row>
    <row r="1696" spans="1:37" x14ac:dyDescent="0.25">
      <c r="A1696" s="76">
        <v>1</v>
      </c>
      <c r="B1696" s="3" t="s">
        <v>344</v>
      </c>
      <c r="C1696" s="2" t="s">
        <v>155</v>
      </c>
      <c r="D1696" s="1">
        <v>0</v>
      </c>
      <c r="E1696" s="1">
        <v>0</v>
      </c>
      <c r="F1696" s="1">
        <v>0</v>
      </c>
      <c r="G1696" s="1">
        <v>6</v>
      </c>
      <c r="H1696" s="4">
        <v>0.67</v>
      </c>
      <c r="I1696" s="1">
        <v>0</v>
      </c>
      <c r="J1696" s="4"/>
      <c r="K1696" s="1">
        <v>3</v>
      </c>
      <c r="L1696" s="1">
        <v>0</v>
      </c>
      <c r="M1696" s="32">
        <f>IF(Mecze[[#This Row],[PR]]=0,0,Mecze[[#This Row],[PR]]/Mecze[[#This Row],[CZAS]])</f>
        <v>0</v>
      </c>
      <c r="N1696" s="32">
        <f>IF(Mecze[[#This Row],[OU]]=0,0,Mecze[[#This Row],[OU]]/Mecze[[#This Row],[CZAS]])</f>
        <v>0</v>
      </c>
      <c r="O1696" s="32">
        <f>IF(Mecze[[#This Row],[PC]]=0,0,Mecze[[#This Row],[PC]]/Mecze[[#This Row],[CZAS]])</f>
        <v>4.1666666666666664E-2</v>
      </c>
      <c r="P1696" s="32">
        <f>IF(Mecze[[#This Row],[SC]]=0,0,Mecze[[#This Row],[SC]]/Mecze[[#This Row],[CZAS]])</f>
        <v>0</v>
      </c>
      <c r="Q1696" s="32">
        <f>IF(Mecze[[#This Row],[OB]]=0,0,Mecze[[#This Row],[OB]]/Mecze[[#This Row],[CZAS]])</f>
        <v>3.125E-2</v>
      </c>
      <c r="R1696" s="32">
        <f>IF(Mecze[[#This Row],[BR]]=0,0,Mecze[[#This Row],[BR]]/Mecze[[#This Row],[CZAS]])</f>
        <v>0</v>
      </c>
      <c r="S1696" s="44">
        <f>IF(Mecze[[#This Row],[Role]]="BR",SUMPRODUCT(Mecze[[#This Row],[/PR:90]:[/BR:90]],Brudnopis!$E$23:$J$23),0)</f>
        <v>0.21875</v>
      </c>
      <c r="T1696" s="44">
        <f>IF(Mecze[[#This Row],[Role]]&lt;&gt;"BR",SUMPRODUCT(Mecze[[#This Row],[/PR:90]:[/BR:90]],Brudnopis!$E$24:$J$24),0)</f>
        <v>0</v>
      </c>
      <c r="U1696" s="44">
        <f>IF(Mecze[[#This Row],[Role]]&lt;&gt;"BR",SUMPRODUCT(Mecze[[#This Row],[/PR:90]:[/BR:90]],Brudnopis!$E$25:$J$25),0)</f>
        <v>0</v>
      </c>
      <c r="V1696" s="44">
        <f>IF(Mecze[[#This Row],[Role]]&lt;&gt;"BR",SUMPRODUCT(Mecze[[#This Row],[/PR:90]:[/BR:90]],Brudnopis!$E$26:$J$26),0)</f>
        <v>0</v>
      </c>
      <c r="W1696" s="44">
        <f>IF(Mecze[[#This Row],[Role]]&lt;&gt;"BR",SUMPRODUCT(Mecze[[#This Row],[/PR:90]:[/BR:90]],Brudnopis!$E$27:$J$27),0)</f>
        <v>0</v>
      </c>
      <c r="X1696" s="44">
        <f>IF(Mecze[[#This Row],[Role]]&lt;&gt;"BR",SUMPRODUCT(Mecze[[#This Row],[/PR:90]:[/BR:90]],Brudnopis!$E$28:$J$28),0)</f>
        <v>0</v>
      </c>
      <c r="Y1696" s="35">
        <f>IF(Mecze[[#This Row],[Role]]="BR",Mecze[[#This Row],[/OB:90]]+Mecze[[#This Row],[/PC:90]],SUM(Mecze[[#This Row],[/PR:90]:[/BR:90]]))</f>
        <v>7.2916666666666657E-2</v>
      </c>
      <c r="Z1696" s="35">
        <f>IF(Mecze[[#This Row],[KC]]=0,SUM(Mecze[[#This Row],[/BRI]:[/NPI]]),SUM(Mecze[[#This Row],[/BRI]:[/NPI]])*0.6)</f>
        <v>0.21875</v>
      </c>
      <c r="AA1696" s="10">
        <f>IFERROR(Mecze[[#This Row],[BR]]/Mecze[[#This Row],[ST]],0)</f>
        <v>0</v>
      </c>
      <c r="AB1696">
        <f>ROUND(Mecze[[#This Row],[PD]]*Mecze[[#This Row],[%PC]],0)</f>
        <v>4</v>
      </c>
      <c r="AC1696">
        <f>ROUND(Mecze[[#This Row],[OD]]*Mecze[[#This Row],[%OU]],0)</f>
        <v>0</v>
      </c>
      <c r="AD1696" s="36" t="s">
        <v>40</v>
      </c>
      <c r="AE1696" s="36">
        <v>91</v>
      </c>
      <c r="AF1696" s="71">
        <v>3.86</v>
      </c>
      <c r="AG1696" s="37">
        <v>0</v>
      </c>
      <c r="AH1696" s="37">
        <v>0</v>
      </c>
      <c r="AI1696" s="37">
        <v>96</v>
      </c>
      <c r="AJ1696" s="37">
        <v>5</v>
      </c>
      <c r="AK1696" s="37" t="str">
        <f>VLOOKUP(Mecze[[#This Row],[Match ID]],Meczusie[Mecz]:Meczusie[RodzajMeczu],2,FALSE)</f>
        <v>Liga</v>
      </c>
    </row>
    <row r="1697" spans="1:37" x14ac:dyDescent="0.25">
      <c r="A1697" s="76">
        <v>2</v>
      </c>
      <c r="B1697" s="3" t="s">
        <v>345</v>
      </c>
      <c r="C1697" s="2" t="s">
        <v>157</v>
      </c>
      <c r="D1697" s="1">
        <v>0</v>
      </c>
      <c r="E1697" s="1">
        <v>0</v>
      </c>
      <c r="F1697" s="1">
        <v>0</v>
      </c>
      <c r="G1697" s="1">
        <v>11</v>
      </c>
      <c r="H1697" s="4">
        <v>0.73</v>
      </c>
      <c r="I1697" s="1">
        <v>9</v>
      </c>
      <c r="J1697" s="4">
        <v>0.56000000000000005</v>
      </c>
      <c r="K1697" s="1">
        <v>0</v>
      </c>
      <c r="L1697" s="1">
        <v>9</v>
      </c>
      <c r="M1697" s="32">
        <f>IF(Mecze[[#This Row],[PR]]=0,0,Mecze[[#This Row],[PR]]/Mecze[[#This Row],[CZAS]])</f>
        <v>9.375E-2</v>
      </c>
      <c r="N1697" s="32">
        <f>IF(Mecze[[#This Row],[OU]]=0,0,Mecze[[#This Row],[OU]]/Mecze[[#This Row],[CZAS]])</f>
        <v>5.2083333333333336E-2</v>
      </c>
      <c r="O1697" s="32">
        <f>IF(Mecze[[#This Row],[PC]]=0,0,Mecze[[#This Row],[PC]]/Mecze[[#This Row],[CZAS]])</f>
        <v>8.3333333333333329E-2</v>
      </c>
      <c r="P1697" s="32">
        <f>IF(Mecze[[#This Row],[SC]]=0,0,Mecze[[#This Row],[SC]]/Mecze[[#This Row],[CZAS]])</f>
        <v>0</v>
      </c>
      <c r="Q1697" s="32">
        <f>IF(Mecze[[#This Row],[OB]]=0,0,Mecze[[#This Row],[OB]]/Mecze[[#This Row],[CZAS]])</f>
        <v>0</v>
      </c>
      <c r="R1697" s="32">
        <f>IF(Mecze[[#This Row],[BR]]=0,0,Mecze[[#This Row],[BR]]/Mecze[[#This Row],[CZAS]])</f>
        <v>0</v>
      </c>
      <c r="S1697" s="44">
        <f>IF(Mecze[[#This Row],[Role]]="BR",SUMPRODUCT(Mecze[[#This Row],[/PR:90]:[/BR:90]],Brudnopis!$E$23:$J$23),0)</f>
        <v>0</v>
      </c>
      <c r="T1697" s="44">
        <f>IF(Mecze[[#This Row],[Role]]&lt;&gt;"BR",SUMPRODUCT(Mecze[[#This Row],[/PR:90]:[/BR:90]],Brudnopis!$E$24:$J$24),0)</f>
        <v>0.25520833333333331</v>
      </c>
      <c r="U1697" s="44">
        <f>IF(Mecze[[#This Row],[Role]]&lt;&gt;"BR",SUMPRODUCT(Mecze[[#This Row],[/PR:90]:[/BR:90]],Brudnopis!$E$25:$J$25),0)</f>
        <v>0.27083333333333337</v>
      </c>
      <c r="V1697" s="44">
        <f>IF(Mecze[[#This Row],[Role]]&lt;&gt;"BR",SUMPRODUCT(Mecze[[#This Row],[/PR:90]:[/BR:90]],Brudnopis!$E$26:$J$26),0)</f>
        <v>0.22916666666666669</v>
      </c>
      <c r="W1697" s="44">
        <f>IF(Mecze[[#This Row],[Role]]&lt;&gt;"BR",SUMPRODUCT(Mecze[[#This Row],[/PR:90]:[/BR:90]],Brudnopis!$E$27:$J$27),0)</f>
        <v>0.234375</v>
      </c>
      <c r="X1697" s="44">
        <f>IF(Mecze[[#This Row],[Role]]&lt;&gt;"BR",SUMPRODUCT(Mecze[[#This Row],[/PR:90]:[/BR:90]],Brudnopis!$E$28:$J$28),0)</f>
        <v>8.3333333333333329E-2</v>
      </c>
      <c r="Y1697" s="35">
        <f>IF(Mecze[[#This Row],[Role]]="BR",Mecze[[#This Row],[/OB:90]]+Mecze[[#This Row],[/PC:90]],SUM(Mecze[[#This Row],[/PR:90]:[/BR:90]]))</f>
        <v>0.22916666666666669</v>
      </c>
      <c r="Z1697" s="35">
        <f>IF(Mecze[[#This Row],[KC]]=0,SUM(Mecze[[#This Row],[/BRI]:[/NPI]]),SUM(Mecze[[#This Row],[/BRI]:[/NPI]])*0.6)</f>
        <v>1.0729166666666667</v>
      </c>
      <c r="AA1697" s="10">
        <f>IFERROR(Mecze[[#This Row],[BR]]/Mecze[[#This Row],[ST]],0)</f>
        <v>0</v>
      </c>
      <c r="AB1697">
        <f>ROUND(Mecze[[#This Row],[PD]]*Mecze[[#This Row],[%PC]],0)</f>
        <v>8</v>
      </c>
      <c r="AC1697">
        <f>ROUND(Mecze[[#This Row],[OD]]*Mecze[[#This Row],[%OU]],0)</f>
        <v>5</v>
      </c>
      <c r="AD1697" s="36" t="s">
        <v>47</v>
      </c>
      <c r="AE1697" s="36">
        <v>91</v>
      </c>
      <c r="AF1697" s="71">
        <v>4.5999999999999996</v>
      </c>
      <c r="AG1697" s="37">
        <v>0</v>
      </c>
      <c r="AH1697" s="37">
        <v>0</v>
      </c>
      <c r="AI1697" s="37">
        <v>96</v>
      </c>
      <c r="AJ1697" s="37">
        <v>5</v>
      </c>
      <c r="AK1697" s="37" t="str">
        <f>VLOOKUP(Mecze[[#This Row],[Match ID]],Meczusie[Mecz]:Meczusie[RodzajMeczu],2,FALSE)</f>
        <v>Liga</v>
      </c>
    </row>
    <row r="1698" spans="1:37" x14ac:dyDescent="0.25">
      <c r="A1698" s="76">
        <v>4</v>
      </c>
      <c r="B1698" s="3" t="s">
        <v>346</v>
      </c>
      <c r="C1698" s="2" t="s">
        <v>157</v>
      </c>
      <c r="D1698" s="1">
        <v>0</v>
      </c>
      <c r="E1698" s="1">
        <v>0</v>
      </c>
      <c r="F1698" s="1">
        <v>0</v>
      </c>
      <c r="G1698" s="1">
        <v>13</v>
      </c>
      <c r="H1698" s="4">
        <v>0.46</v>
      </c>
      <c r="I1698" s="1">
        <v>7</v>
      </c>
      <c r="J1698" s="4">
        <v>0.86</v>
      </c>
      <c r="K1698" s="1">
        <v>0</v>
      </c>
      <c r="L1698" s="1">
        <v>3</v>
      </c>
      <c r="M1698" s="32">
        <f>IF(Mecze[[#This Row],[PR]]=0,0,Mecze[[#This Row],[PR]]/Mecze[[#This Row],[CZAS]])</f>
        <v>3.125E-2</v>
      </c>
      <c r="N1698" s="32">
        <f>IF(Mecze[[#This Row],[OU]]=0,0,Mecze[[#This Row],[OU]]/Mecze[[#This Row],[CZAS]])</f>
        <v>6.25E-2</v>
      </c>
      <c r="O1698" s="32">
        <f>IF(Mecze[[#This Row],[PC]]=0,0,Mecze[[#This Row],[PC]]/Mecze[[#This Row],[CZAS]])</f>
        <v>6.25E-2</v>
      </c>
      <c r="P1698" s="32">
        <f>IF(Mecze[[#This Row],[SC]]=0,0,Mecze[[#This Row],[SC]]/Mecze[[#This Row],[CZAS]])</f>
        <v>0</v>
      </c>
      <c r="Q1698" s="32">
        <f>IF(Mecze[[#This Row],[OB]]=0,0,Mecze[[#This Row],[OB]]/Mecze[[#This Row],[CZAS]])</f>
        <v>0</v>
      </c>
      <c r="R1698" s="32">
        <f>IF(Mecze[[#This Row],[BR]]=0,0,Mecze[[#This Row],[BR]]/Mecze[[#This Row],[CZAS]])</f>
        <v>0</v>
      </c>
      <c r="S1698" s="44">
        <f>IF(Mecze[[#This Row],[Role]]="BR",SUMPRODUCT(Mecze[[#This Row],[/PR:90]:[/BR:90]],Brudnopis!$E$23:$J$23),0)</f>
        <v>0</v>
      </c>
      <c r="T1698" s="44">
        <f>IF(Mecze[[#This Row],[Role]]&lt;&gt;"BR",SUMPRODUCT(Mecze[[#This Row],[/PR:90]:[/BR:90]],Brudnopis!$E$24:$J$24),0)</f>
        <v>0.1875</v>
      </c>
      <c r="U1698" s="44">
        <f>IF(Mecze[[#This Row],[Role]]&lt;&gt;"BR",SUMPRODUCT(Mecze[[#This Row],[/PR:90]:[/BR:90]],Brudnopis!$E$25:$J$25),0)</f>
        <v>0.1875</v>
      </c>
      <c r="V1698" s="44">
        <f>IF(Mecze[[#This Row],[Role]]&lt;&gt;"BR",SUMPRODUCT(Mecze[[#This Row],[/PR:90]:[/BR:90]],Brudnopis!$E$26:$J$26),0)</f>
        <v>0.15625</v>
      </c>
      <c r="W1698" s="44">
        <f>IF(Mecze[[#This Row],[Role]]&lt;&gt;"BR",SUMPRODUCT(Mecze[[#This Row],[/PR:90]:[/BR:90]],Brudnopis!$E$27:$J$27),0)</f>
        <v>0.1640625</v>
      </c>
      <c r="X1698" s="44">
        <f>IF(Mecze[[#This Row],[Role]]&lt;&gt;"BR",SUMPRODUCT(Mecze[[#This Row],[/PR:90]:[/BR:90]],Brudnopis!$E$28:$J$28),0)</f>
        <v>6.25E-2</v>
      </c>
      <c r="Y1698" s="35">
        <f>IF(Mecze[[#This Row],[Role]]="BR",Mecze[[#This Row],[/OB:90]]+Mecze[[#This Row],[/PC:90]],SUM(Mecze[[#This Row],[/PR:90]:[/BR:90]]))</f>
        <v>0.15625</v>
      </c>
      <c r="Z1698" s="35">
        <f>IF(Mecze[[#This Row],[KC]]=0,SUM(Mecze[[#This Row],[/BRI]:[/NPI]]),SUM(Mecze[[#This Row],[/BRI]:[/NPI]])*0.6)</f>
        <v>0.7578125</v>
      </c>
      <c r="AA1698" s="10">
        <f>IFERROR(Mecze[[#This Row],[BR]]/Mecze[[#This Row],[ST]],0)</f>
        <v>0</v>
      </c>
      <c r="AB1698">
        <f>ROUND(Mecze[[#This Row],[PD]]*Mecze[[#This Row],[%PC]],0)</f>
        <v>6</v>
      </c>
      <c r="AC1698">
        <f>ROUND(Mecze[[#This Row],[OD]]*Mecze[[#This Row],[%OU]],0)</f>
        <v>6</v>
      </c>
      <c r="AD1698" s="36" t="s">
        <v>47</v>
      </c>
      <c r="AE1698" s="36">
        <v>91</v>
      </c>
      <c r="AF1698" s="71">
        <v>4.54</v>
      </c>
      <c r="AG1698" s="37">
        <v>0</v>
      </c>
      <c r="AH1698" s="37">
        <v>0</v>
      </c>
      <c r="AI1698" s="37">
        <v>96</v>
      </c>
      <c r="AJ1698" s="37">
        <v>5</v>
      </c>
      <c r="AK1698" s="37" t="str">
        <f>VLOOKUP(Mecze[[#This Row],[Match ID]],Meczusie[Mecz]:Meczusie[RodzajMeczu],2,FALSE)</f>
        <v>Liga</v>
      </c>
    </row>
    <row r="1699" spans="1:37" x14ac:dyDescent="0.25">
      <c r="A1699" s="76">
        <v>5</v>
      </c>
      <c r="B1699" s="3" t="s">
        <v>347</v>
      </c>
      <c r="C1699" s="2" t="s">
        <v>157</v>
      </c>
      <c r="D1699" s="1">
        <v>0</v>
      </c>
      <c r="E1699" s="1">
        <v>0</v>
      </c>
      <c r="F1699" s="1">
        <v>0</v>
      </c>
      <c r="G1699" s="1">
        <v>7</v>
      </c>
      <c r="H1699" s="4">
        <v>0.56999999999999995</v>
      </c>
      <c r="I1699" s="1">
        <v>5</v>
      </c>
      <c r="J1699" s="4">
        <v>0.8</v>
      </c>
      <c r="K1699" s="1">
        <v>0</v>
      </c>
      <c r="L1699" s="1">
        <v>2</v>
      </c>
      <c r="M1699" s="32">
        <f>IF(Mecze[[#This Row],[PR]]=0,0,Mecze[[#This Row],[PR]]/Mecze[[#This Row],[CZAS]])</f>
        <v>2.0833333333333332E-2</v>
      </c>
      <c r="N1699" s="32">
        <f>IF(Mecze[[#This Row],[OU]]=0,0,Mecze[[#This Row],[OU]]/Mecze[[#This Row],[CZAS]])</f>
        <v>4.1666666666666664E-2</v>
      </c>
      <c r="O1699" s="32">
        <f>IF(Mecze[[#This Row],[PC]]=0,0,Mecze[[#This Row],[PC]]/Mecze[[#This Row],[CZAS]])</f>
        <v>4.1666666666666664E-2</v>
      </c>
      <c r="P1699" s="32">
        <f>IF(Mecze[[#This Row],[SC]]=0,0,Mecze[[#This Row],[SC]]/Mecze[[#This Row],[CZAS]])</f>
        <v>0</v>
      </c>
      <c r="Q1699" s="32">
        <f>IF(Mecze[[#This Row],[OB]]=0,0,Mecze[[#This Row],[OB]]/Mecze[[#This Row],[CZAS]])</f>
        <v>0</v>
      </c>
      <c r="R1699" s="32">
        <f>IF(Mecze[[#This Row],[BR]]=0,0,Mecze[[#This Row],[BR]]/Mecze[[#This Row],[CZAS]])</f>
        <v>0</v>
      </c>
      <c r="S1699" s="44">
        <f>IF(Mecze[[#This Row],[Role]]="BR",SUMPRODUCT(Mecze[[#This Row],[/PR:90]:[/BR:90]],Brudnopis!$E$23:$J$23),0)</f>
        <v>0</v>
      </c>
      <c r="T1699" s="44">
        <f>IF(Mecze[[#This Row],[Role]]&lt;&gt;"BR",SUMPRODUCT(Mecze[[#This Row],[/PR:90]:[/BR:90]],Brudnopis!$E$24:$J$24),0)</f>
        <v>0.125</v>
      </c>
      <c r="U1699" s="44">
        <f>IF(Mecze[[#This Row],[Role]]&lt;&gt;"BR",SUMPRODUCT(Mecze[[#This Row],[/PR:90]:[/BR:90]],Brudnopis!$E$25:$J$25),0)</f>
        <v>0.125</v>
      </c>
      <c r="V1699" s="44">
        <f>IF(Mecze[[#This Row],[Role]]&lt;&gt;"BR",SUMPRODUCT(Mecze[[#This Row],[/PR:90]:[/BR:90]],Brudnopis!$E$26:$J$26),0)</f>
        <v>0.10416666666666666</v>
      </c>
      <c r="W1699" s="44">
        <f>IF(Mecze[[#This Row],[Role]]&lt;&gt;"BR",SUMPRODUCT(Mecze[[#This Row],[/PR:90]:[/BR:90]],Brudnopis!$E$27:$J$27),0)</f>
        <v>0.109375</v>
      </c>
      <c r="X1699" s="44">
        <f>IF(Mecze[[#This Row],[Role]]&lt;&gt;"BR",SUMPRODUCT(Mecze[[#This Row],[/PR:90]:[/BR:90]],Brudnopis!$E$28:$J$28),0)</f>
        <v>4.1666666666666664E-2</v>
      </c>
      <c r="Y1699" s="35">
        <f>IF(Mecze[[#This Row],[Role]]="BR",Mecze[[#This Row],[/OB:90]]+Mecze[[#This Row],[/PC:90]],SUM(Mecze[[#This Row],[/PR:90]:[/BR:90]]))</f>
        <v>0.10416666666666666</v>
      </c>
      <c r="Z1699" s="35">
        <f>IF(Mecze[[#This Row],[KC]]=0,SUM(Mecze[[#This Row],[/BRI]:[/NPI]]),SUM(Mecze[[#This Row],[/BRI]:[/NPI]])*0.6)</f>
        <v>0.50520833333333326</v>
      </c>
      <c r="AA1699" s="10">
        <f>IFERROR(Mecze[[#This Row],[BR]]/Mecze[[#This Row],[ST]],0)</f>
        <v>0</v>
      </c>
      <c r="AB1699">
        <f>ROUND(Mecze[[#This Row],[PD]]*Mecze[[#This Row],[%PC]],0)</f>
        <v>4</v>
      </c>
      <c r="AC1699">
        <f>ROUND(Mecze[[#This Row],[OD]]*Mecze[[#This Row],[%OU]],0)</f>
        <v>4</v>
      </c>
      <c r="AD1699" s="36" t="s">
        <v>175</v>
      </c>
      <c r="AE1699" s="36">
        <v>91</v>
      </c>
      <c r="AF1699" s="71">
        <v>4.33</v>
      </c>
      <c r="AG1699" s="37">
        <v>0</v>
      </c>
      <c r="AH1699" s="37">
        <v>0</v>
      </c>
      <c r="AI1699" s="37">
        <v>96</v>
      </c>
      <c r="AJ1699" s="37">
        <v>5</v>
      </c>
      <c r="AK1699" s="37" t="str">
        <f>VLOOKUP(Mecze[[#This Row],[Match ID]],Meczusie[Mecz]:Meczusie[RodzajMeczu],2,FALSE)</f>
        <v>Liga</v>
      </c>
    </row>
    <row r="1700" spans="1:37" x14ac:dyDescent="0.25">
      <c r="A1700" s="76">
        <v>3</v>
      </c>
      <c r="B1700" s="3" t="s">
        <v>348</v>
      </c>
      <c r="C1700" s="2" t="s">
        <v>157</v>
      </c>
      <c r="D1700" s="1">
        <v>0</v>
      </c>
      <c r="E1700" s="1">
        <v>0</v>
      </c>
      <c r="F1700" s="1">
        <v>0</v>
      </c>
      <c r="G1700" s="1">
        <v>12</v>
      </c>
      <c r="H1700" s="4">
        <v>0.57999999999999996</v>
      </c>
      <c r="I1700" s="1">
        <v>9</v>
      </c>
      <c r="J1700" s="4">
        <v>0.89</v>
      </c>
      <c r="K1700" s="1">
        <v>0</v>
      </c>
      <c r="L1700" s="1">
        <v>8</v>
      </c>
      <c r="M1700" s="32">
        <f>IF(Mecze[[#This Row],[PR]]=0,0,Mecze[[#This Row],[PR]]/Mecze[[#This Row],[CZAS]])</f>
        <v>8.3333333333333329E-2</v>
      </c>
      <c r="N1700" s="32">
        <f>IF(Mecze[[#This Row],[OU]]=0,0,Mecze[[#This Row],[OU]]/Mecze[[#This Row],[CZAS]])</f>
        <v>8.3333333333333329E-2</v>
      </c>
      <c r="O1700" s="32">
        <f>IF(Mecze[[#This Row],[PC]]=0,0,Mecze[[#This Row],[PC]]/Mecze[[#This Row],[CZAS]])</f>
        <v>7.2916666666666671E-2</v>
      </c>
      <c r="P1700" s="32">
        <f>IF(Mecze[[#This Row],[SC]]=0,0,Mecze[[#This Row],[SC]]/Mecze[[#This Row],[CZAS]])</f>
        <v>0</v>
      </c>
      <c r="Q1700" s="32">
        <f>IF(Mecze[[#This Row],[OB]]=0,0,Mecze[[#This Row],[OB]]/Mecze[[#This Row],[CZAS]])</f>
        <v>0</v>
      </c>
      <c r="R1700" s="32">
        <f>IF(Mecze[[#This Row],[BR]]=0,0,Mecze[[#This Row],[BR]]/Mecze[[#This Row],[CZAS]])</f>
        <v>0</v>
      </c>
      <c r="S1700" s="44">
        <f>IF(Mecze[[#This Row],[Role]]="BR",SUMPRODUCT(Mecze[[#This Row],[/PR:90]:[/BR:90]],Brudnopis!$E$23:$J$23),0)</f>
        <v>0</v>
      </c>
      <c r="T1700" s="44">
        <f>IF(Mecze[[#This Row],[Role]]&lt;&gt;"BR",SUMPRODUCT(Mecze[[#This Row],[/PR:90]:[/BR:90]],Brudnopis!$E$24:$J$24),0)</f>
        <v>0.28125</v>
      </c>
      <c r="U1700" s="44">
        <f>IF(Mecze[[#This Row],[Role]]&lt;&gt;"BR",SUMPRODUCT(Mecze[[#This Row],[/PR:90]:[/BR:90]],Brudnopis!$E$25:$J$25),0)</f>
        <v>0.27604166666666663</v>
      </c>
      <c r="V1700" s="44">
        <f>IF(Mecze[[#This Row],[Role]]&lt;&gt;"BR",SUMPRODUCT(Mecze[[#This Row],[/PR:90]:[/BR:90]],Brudnopis!$E$26:$J$26),0)</f>
        <v>0.23958333333333331</v>
      </c>
      <c r="W1700" s="44">
        <f>IF(Mecze[[#This Row],[Role]]&lt;&gt;"BR",SUMPRODUCT(Mecze[[#This Row],[/PR:90]:[/BR:90]],Brudnopis!$E$27:$J$27),0)</f>
        <v>0.234375</v>
      </c>
      <c r="X1700" s="44">
        <f>IF(Mecze[[#This Row],[Role]]&lt;&gt;"BR",SUMPRODUCT(Mecze[[#This Row],[/PR:90]:[/BR:90]],Brudnopis!$E$28:$J$28),0)</f>
        <v>7.2916666666666671E-2</v>
      </c>
      <c r="Y1700" s="35">
        <f>IF(Mecze[[#This Row],[Role]]="BR",Mecze[[#This Row],[/OB:90]]+Mecze[[#This Row],[/PC:90]],SUM(Mecze[[#This Row],[/PR:90]:[/BR:90]]))</f>
        <v>0.23958333333333331</v>
      </c>
      <c r="Z1700" s="35">
        <f>IF(Mecze[[#This Row],[KC]]=0,SUM(Mecze[[#This Row],[/BRI]:[/NPI]]),SUM(Mecze[[#This Row],[/BRI]:[/NPI]])*0.6)</f>
        <v>1.1041666666666667</v>
      </c>
      <c r="AA1700" s="10">
        <f>IFERROR(Mecze[[#This Row],[BR]]/Mecze[[#This Row],[ST]],0)</f>
        <v>0</v>
      </c>
      <c r="AB1700">
        <f>ROUND(Mecze[[#This Row],[PD]]*Mecze[[#This Row],[%PC]],0)</f>
        <v>7</v>
      </c>
      <c r="AC1700">
        <f>ROUND(Mecze[[#This Row],[OD]]*Mecze[[#This Row],[%OU]],0)</f>
        <v>8</v>
      </c>
      <c r="AD1700" s="36" t="s">
        <v>174</v>
      </c>
      <c r="AE1700" s="36">
        <v>91</v>
      </c>
      <c r="AF1700" s="71">
        <v>5.59</v>
      </c>
      <c r="AG1700" s="37">
        <v>0</v>
      </c>
      <c r="AH1700" s="37">
        <v>0</v>
      </c>
      <c r="AI1700" s="37">
        <v>96</v>
      </c>
      <c r="AJ1700" s="37">
        <v>5</v>
      </c>
      <c r="AK1700" s="37" t="str">
        <f>VLOOKUP(Mecze[[#This Row],[Match ID]],Meczusie[Mecz]:Meczusie[RodzajMeczu],2,FALSE)</f>
        <v>Liga</v>
      </c>
    </row>
    <row r="1701" spans="1:37" x14ac:dyDescent="0.25">
      <c r="A1701" s="76">
        <v>6</v>
      </c>
      <c r="B1701" s="3" t="s">
        <v>349</v>
      </c>
      <c r="C1701" s="2" t="s">
        <v>160</v>
      </c>
      <c r="D1701" s="1">
        <v>0</v>
      </c>
      <c r="E1701" s="1">
        <v>0</v>
      </c>
      <c r="F1701" s="1">
        <v>0</v>
      </c>
      <c r="G1701" s="1">
        <v>10</v>
      </c>
      <c r="H1701" s="4">
        <v>1</v>
      </c>
      <c r="I1701" s="1">
        <v>5</v>
      </c>
      <c r="J1701" s="4">
        <v>0.6</v>
      </c>
      <c r="K1701" s="1">
        <v>0</v>
      </c>
      <c r="L1701" s="1">
        <v>3</v>
      </c>
      <c r="M1701" s="32">
        <f>IF(Mecze[[#This Row],[PR]]=0,0,Mecze[[#This Row],[PR]]/Mecze[[#This Row],[CZAS]])</f>
        <v>3.125E-2</v>
      </c>
      <c r="N1701" s="32">
        <f>IF(Mecze[[#This Row],[OU]]=0,0,Mecze[[#This Row],[OU]]/Mecze[[#This Row],[CZAS]])</f>
        <v>3.125E-2</v>
      </c>
      <c r="O1701" s="32">
        <f>IF(Mecze[[#This Row],[PC]]=0,0,Mecze[[#This Row],[PC]]/Mecze[[#This Row],[CZAS]])</f>
        <v>0.10416666666666667</v>
      </c>
      <c r="P1701" s="32">
        <f>IF(Mecze[[#This Row],[SC]]=0,0,Mecze[[#This Row],[SC]]/Mecze[[#This Row],[CZAS]])</f>
        <v>0</v>
      </c>
      <c r="Q1701" s="32">
        <f>IF(Mecze[[#This Row],[OB]]=0,0,Mecze[[#This Row],[OB]]/Mecze[[#This Row],[CZAS]])</f>
        <v>0</v>
      </c>
      <c r="R1701" s="32">
        <f>IF(Mecze[[#This Row],[BR]]=0,0,Mecze[[#This Row],[BR]]/Mecze[[#This Row],[CZAS]])</f>
        <v>0</v>
      </c>
      <c r="S1701" s="44">
        <f>IF(Mecze[[#This Row],[Role]]="BR",SUMPRODUCT(Mecze[[#This Row],[/PR:90]:[/BR:90]],Brudnopis!$E$23:$J$23),0)</f>
        <v>0</v>
      </c>
      <c r="T1701" s="44">
        <f>IF(Mecze[[#This Row],[Role]]&lt;&gt;"BR",SUMPRODUCT(Mecze[[#This Row],[/PR:90]:[/BR:90]],Brudnopis!$E$24:$J$24),0)</f>
        <v>0.18229166666666669</v>
      </c>
      <c r="U1701" s="44">
        <f>IF(Mecze[[#This Row],[Role]]&lt;&gt;"BR",SUMPRODUCT(Mecze[[#This Row],[/PR:90]:[/BR:90]],Brudnopis!$E$25:$J$25),0)</f>
        <v>0.21875</v>
      </c>
      <c r="V1701" s="44">
        <f>IF(Mecze[[#This Row],[Role]]&lt;&gt;"BR",SUMPRODUCT(Mecze[[#This Row],[/PR:90]:[/BR:90]],Brudnopis!$E$26:$J$26),0)</f>
        <v>0.16666666666666669</v>
      </c>
      <c r="W1701" s="44">
        <f>IF(Mecze[[#This Row],[Role]]&lt;&gt;"BR",SUMPRODUCT(Mecze[[#This Row],[/PR:90]:[/BR:90]],Brudnopis!$E$27:$J$27),0)</f>
        <v>0.203125</v>
      </c>
      <c r="X1701" s="44">
        <f>IF(Mecze[[#This Row],[Role]]&lt;&gt;"BR",SUMPRODUCT(Mecze[[#This Row],[/PR:90]:[/BR:90]],Brudnopis!$E$28:$J$28),0)</f>
        <v>0.10416666666666667</v>
      </c>
      <c r="Y1701" s="35">
        <f>IF(Mecze[[#This Row],[Role]]="BR",Mecze[[#This Row],[/OB:90]]+Mecze[[#This Row],[/PC:90]],SUM(Mecze[[#This Row],[/PR:90]:[/BR:90]]))</f>
        <v>0.16666666666666669</v>
      </c>
      <c r="Z1701" s="35">
        <f>IF(Mecze[[#This Row],[KC]]=0,SUM(Mecze[[#This Row],[/BRI]:[/NPI]]),SUM(Mecze[[#This Row],[/BRI]:[/NPI]])*0.6)</f>
        <v>0.875</v>
      </c>
      <c r="AA1701" s="10">
        <f>IFERROR(Mecze[[#This Row],[BR]]/Mecze[[#This Row],[ST]],0)</f>
        <v>0</v>
      </c>
      <c r="AB1701">
        <f>ROUND(Mecze[[#This Row],[PD]]*Mecze[[#This Row],[%PC]],0)</f>
        <v>10</v>
      </c>
      <c r="AC1701">
        <f>ROUND(Mecze[[#This Row],[OD]]*Mecze[[#This Row],[%OU]],0)</f>
        <v>3</v>
      </c>
      <c r="AD1701" s="36" t="s">
        <v>41</v>
      </c>
      <c r="AE1701" s="36">
        <v>91</v>
      </c>
      <c r="AF1701" s="71">
        <v>6.66</v>
      </c>
      <c r="AG1701" s="37">
        <v>0</v>
      </c>
      <c r="AH1701" s="37">
        <v>0</v>
      </c>
      <c r="AI1701" s="37">
        <v>96</v>
      </c>
      <c r="AJ1701" s="37">
        <v>5</v>
      </c>
      <c r="AK1701" s="37" t="str">
        <f>VLOOKUP(Mecze[[#This Row],[Match ID]],Meczusie[Mecz]:Meczusie[RodzajMeczu],2,FALSE)</f>
        <v>Liga</v>
      </c>
    </row>
    <row r="1702" spans="1:37" x14ac:dyDescent="0.25">
      <c r="A1702" s="76">
        <v>7</v>
      </c>
      <c r="B1702" s="3" t="s">
        <v>350</v>
      </c>
      <c r="C1702" s="2" t="s">
        <v>160</v>
      </c>
      <c r="D1702" s="1">
        <v>0</v>
      </c>
      <c r="E1702" s="1">
        <v>1</v>
      </c>
      <c r="F1702" s="1">
        <v>1</v>
      </c>
      <c r="G1702" s="1">
        <v>13</v>
      </c>
      <c r="H1702" s="4">
        <v>0.46</v>
      </c>
      <c r="I1702" s="1">
        <v>7</v>
      </c>
      <c r="J1702" s="4">
        <v>0.56999999999999995</v>
      </c>
      <c r="K1702" s="1">
        <v>0</v>
      </c>
      <c r="L1702" s="1">
        <v>1</v>
      </c>
      <c r="M1702" s="32">
        <f>IF(Mecze[[#This Row],[PR]]=0,0,Mecze[[#This Row],[PR]]/Mecze[[#This Row],[CZAS]])</f>
        <v>1.0416666666666666E-2</v>
      </c>
      <c r="N1702" s="32">
        <f>IF(Mecze[[#This Row],[OU]]=0,0,Mecze[[#This Row],[OU]]/Mecze[[#This Row],[CZAS]])</f>
        <v>4.1666666666666664E-2</v>
      </c>
      <c r="O1702" s="32">
        <f>IF(Mecze[[#This Row],[PC]]=0,0,Mecze[[#This Row],[PC]]/Mecze[[#This Row],[CZAS]])</f>
        <v>6.25E-2</v>
      </c>
      <c r="P1702" s="32">
        <f>IF(Mecze[[#This Row],[SC]]=0,0,Mecze[[#This Row],[SC]]/Mecze[[#This Row],[CZAS]])</f>
        <v>1.0416666666666666E-2</v>
      </c>
      <c r="Q1702" s="32">
        <f>IF(Mecze[[#This Row],[OB]]=0,0,Mecze[[#This Row],[OB]]/Mecze[[#This Row],[CZAS]])</f>
        <v>0</v>
      </c>
      <c r="R1702" s="32">
        <f>IF(Mecze[[#This Row],[BR]]=0,0,Mecze[[#This Row],[BR]]/Mecze[[#This Row],[CZAS]])</f>
        <v>0</v>
      </c>
      <c r="S1702" s="44">
        <f>IF(Mecze[[#This Row],[Role]]="BR",SUMPRODUCT(Mecze[[#This Row],[/PR:90]:[/BR:90]],Brudnopis!$E$23:$J$23),0)</f>
        <v>0</v>
      </c>
      <c r="T1702" s="44">
        <f>IF(Mecze[[#This Row],[Role]]&lt;&gt;"BR",SUMPRODUCT(Mecze[[#This Row],[/PR:90]:[/BR:90]],Brudnopis!$E$24:$J$24),0)</f>
        <v>0.14583333333333334</v>
      </c>
      <c r="U1702" s="44">
        <f>IF(Mecze[[#This Row],[Role]]&lt;&gt;"BR",SUMPRODUCT(Mecze[[#This Row],[/PR:90]:[/BR:90]],Brudnopis!$E$25:$J$25),0)</f>
        <v>0.15624999999999997</v>
      </c>
      <c r="V1702" s="44">
        <f>IF(Mecze[[#This Row],[Role]]&lt;&gt;"BR",SUMPRODUCT(Mecze[[#This Row],[/PR:90]:[/BR:90]],Brudnopis!$E$26:$J$26),0)</f>
        <v>0.125</v>
      </c>
      <c r="W1702" s="44">
        <f>IF(Mecze[[#This Row],[Role]]&lt;&gt;"BR",SUMPRODUCT(Mecze[[#This Row],[/PR:90]:[/BR:90]],Brudnopis!$E$27:$J$27),0)</f>
        <v>0.14322916666666666</v>
      </c>
      <c r="X1702" s="44">
        <f>IF(Mecze[[#This Row],[Role]]&lt;&gt;"BR",SUMPRODUCT(Mecze[[#This Row],[/PR:90]:[/BR:90]],Brudnopis!$E$28:$J$28),0)</f>
        <v>8.3333333333333329E-2</v>
      </c>
      <c r="Y1702" s="35">
        <f>IF(Mecze[[#This Row],[Role]]="BR",Mecze[[#This Row],[/OB:90]]+Mecze[[#This Row],[/PC:90]],SUM(Mecze[[#This Row],[/PR:90]:[/BR:90]]))</f>
        <v>0.125</v>
      </c>
      <c r="Z1702" s="35">
        <f>IF(Mecze[[#This Row],[KC]]=0,SUM(Mecze[[#This Row],[/BRI]:[/NPI]]),SUM(Mecze[[#This Row],[/BRI]:[/NPI]])*0.6)</f>
        <v>0.65364583333333337</v>
      </c>
      <c r="AA1702" s="10">
        <f>IFERROR(Mecze[[#This Row],[BR]]/Mecze[[#This Row],[ST]],0)</f>
        <v>0</v>
      </c>
      <c r="AB1702">
        <f>ROUND(Mecze[[#This Row],[PD]]*Mecze[[#This Row],[%PC]],0)</f>
        <v>6</v>
      </c>
      <c r="AC1702">
        <f>ROUND(Mecze[[#This Row],[OD]]*Mecze[[#This Row],[%OU]],0)</f>
        <v>4</v>
      </c>
      <c r="AD1702" s="36" t="s">
        <v>67</v>
      </c>
      <c r="AE1702" s="36">
        <v>91</v>
      </c>
      <c r="AF1702" s="71">
        <v>3.14</v>
      </c>
      <c r="AG1702" s="37">
        <v>0</v>
      </c>
      <c r="AH1702" s="37">
        <v>0</v>
      </c>
      <c r="AI1702" s="37">
        <v>96</v>
      </c>
      <c r="AJ1702" s="37">
        <v>5</v>
      </c>
      <c r="AK1702" s="37" t="str">
        <f>VLOOKUP(Mecze[[#This Row],[Match ID]],Meczusie[Mecz]:Meczusie[RodzajMeczu],2,FALSE)</f>
        <v>Liga</v>
      </c>
    </row>
    <row r="1703" spans="1:37" x14ac:dyDescent="0.25">
      <c r="A1703" s="76">
        <v>8</v>
      </c>
      <c r="B1703" s="3" t="s">
        <v>351</v>
      </c>
      <c r="C1703" s="2" t="s">
        <v>160</v>
      </c>
      <c r="D1703" s="1">
        <v>0</v>
      </c>
      <c r="E1703" s="1">
        <v>0</v>
      </c>
      <c r="F1703" s="1">
        <v>0</v>
      </c>
      <c r="G1703" s="1">
        <v>14</v>
      </c>
      <c r="H1703" s="4">
        <v>0.71</v>
      </c>
      <c r="I1703" s="1">
        <v>3</v>
      </c>
      <c r="J1703" s="4">
        <v>0.67</v>
      </c>
      <c r="K1703" s="1">
        <v>0</v>
      </c>
      <c r="L1703" s="1">
        <v>4</v>
      </c>
      <c r="M1703" s="32">
        <f>IF(Mecze[[#This Row],[PR]]=0,0,Mecze[[#This Row],[PR]]/Mecze[[#This Row],[CZAS]])</f>
        <v>4.1666666666666664E-2</v>
      </c>
      <c r="N1703" s="32">
        <f>IF(Mecze[[#This Row],[OU]]=0,0,Mecze[[#This Row],[OU]]/Mecze[[#This Row],[CZAS]])</f>
        <v>2.0833333333333332E-2</v>
      </c>
      <c r="O1703" s="32">
        <f>IF(Mecze[[#This Row],[PC]]=0,0,Mecze[[#This Row],[PC]]/Mecze[[#This Row],[CZAS]])</f>
        <v>0.10416666666666667</v>
      </c>
      <c r="P1703" s="32">
        <f>IF(Mecze[[#This Row],[SC]]=0,0,Mecze[[#This Row],[SC]]/Mecze[[#This Row],[CZAS]])</f>
        <v>0</v>
      </c>
      <c r="Q1703" s="32">
        <f>IF(Mecze[[#This Row],[OB]]=0,0,Mecze[[#This Row],[OB]]/Mecze[[#This Row],[CZAS]])</f>
        <v>0</v>
      </c>
      <c r="R1703" s="32">
        <f>IF(Mecze[[#This Row],[BR]]=0,0,Mecze[[#This Row],[BR]]/Mecze[[#This Row],[CZAS]])</f>
        <v>0</v>
      </c>
      <c r="S1703" s="44">
        <f>IF(Mecze[[#This Row],[Role]]="BR",SUMPRODUCT(Mecze[[#This Row],[/PR:90]:[/BR:90]],Brudnopis!$E$23:$J$23),0)</f>
        <v>0</v>
      </c>
      <c r="T1703" s="44">
        <f>IF(Mecze[[#This Row],[Role]]&lt;&gt;"BR",SUMPRODUCT(Mecze[[#This Row],[/PR:90]:[/BR:90]],Brudnopis!$E$24:$J$24),0)</f>
        <v>0.17708333333333331</v>
      </c>
      <c r="U1703" s="44">
        <f>IF(Mecze[[#This Row],[Role]]&lt;&gt;"BR",SUMPRODUCT(Mecze[[#This Row],[/PR:90]:[/BR:90]],Brudnopis!$E$25:$J$25),0)</f>
        <v>0.21875</v>
      </c>
      <c r="V1703" s="44">
        <f>IF(Mecze[[#This Row],[Role]]&lt;&gt;"BR",SUMPRODUCT(Mecze[[#This Row],[/PR:90]:[/BR:90]],Brudnopis!$E$26:$J$26),0)</f>
        <v>0.16666666666666669</v>
      </c>
      <c r="W1703" s="44">
        <f>IF(Mecze[[#This Row],[Role]]&lt;&gt;"BR",SUMPRODUCT(Mecze[[#This Row],[/PR:90]:[/BR:90]],Brudnopis!$E$27:$J$27),0)</f>
        <v>0.203125</v>
      </c>
      <c r="X1703" s="44">
        <f>IF(Mecze[[#This Row],[Role]]&lt;&gt;"BR",SUMPRODUCT(Mecze[[#This Row],[/PR:90]:[/BR:90]],Brudnopis!$E$28:$J$28),0)</f>
        <v>0.10416666666666667</v>
      </c>
      <c r="Y1703" s="35">
        <f>IF(Mecze[[#This Row],[Role]]="BR",Mecze[[#This Row],[/OB:90]]+Mecze[[#This Row],[/PC:90]],SUM(Mecze[[#This Row],[/PR:90]:[/BR:90]]))</f>
        <v>0.16666666666666669</v>
      </c>
      <c r="Z1703" s="35">
        <f>IF(Mecze[[#This Row],[KC]]=0,SUM(Mecze[[#This Row],[/BRI]:[/NPI]]),SUM(Mecze[[#This Row],[/BRI]:[/NPI]])*0.6)</f>
        <v>0.86979166666666663</v>
      </c>
      <c r="AA1703" s="10">
        <f>IFERROR(Mecze[[#This Row],[BR]]/Mecze[[#This Row],[ST]],0)</f>
        <v>0</v>
      </c>
      <c r="AB1703">
        <f>ROUND(Mecze[[#This Row],[PD]]*Mecze[[#This Row],[%PC]],0)</f>
        <v>10</v>
      </c>
      <c r="AC1703">
        <f>ROUND(Mecze[[#This Row],[OD]]*Mecze[[#This Row],[%OU]],0)</f>
        <v>2</v>
      </c>
      <c r="AD1703" s="36" t="s">
        <v>67</v>
      </c>
      <c r="AE1703" s="36">
        <v>91</v>
      </c>
      <c r="AF1703" s="71">
        <v>4.75</v>
      </c>
      <c r="AG1703" s="37">
        <v>0</v>
      </c>
      <c r="AH1703" s="37">
        <v>0</v>
      </c>
      <c r="AI1703" s="37">
        <v>96</v>
      </c>
      <c r="AJ1703" s="37">
        <v>5</v>
      </c>
      <c r="AK1703" s="37" t="str">
        <f>VLOOKUP(Mecze[[#This Row],[Match ID]],Meczusie[Mecz]:Meczusie[RodzajMeczu],2,FALSE)</f>
        <v>Liga</v>
      </c>
    </row>
    <row r="1704" spans="1:37" x14ac:dyDescent="0.25">
      <c r="A1704" s="76">
        <v>11</v>
      </c>
      <c r="B1704" s="3" t="s">
        <v>353</v>
      </c>
      <c r="C1704" s="2" t="s">
        <v>165</v>
      </c>
      <c r="D1704" s="1">
        <v>1</v>
      </c>
      <c r="E1704" s="1">
        <v>6</v>
      </c>
      <c r="F1704" s="1">
        <v>6</v>
      </c>
      <c r="G1704" s="1">
        <v>7</v>
      </c>
      <c r="H1704" s="4">
        <v>0.43</v>
      </c>
      <c r="I1704" s="1">
        <v>3</v>
      </c>
      <c r="J1704" s="4">
        <v>0.67</v>
      </c>
      <c r="K1704" s="1">
        <v>0</v>
      </c>
      <c r="L1704" s="1">
        <v>2</v>
      </c>
      <c r="M1704" s="32">
        <f>IF(Mecze[[#This Row],[PR]]=0,0,Mecze[[#This Row],[PR]]/Mecze[[#This Row],[CZAS]])</f>
        <v>2.0833333333333332E-2</v>
      </c>
      <c r="N1704" s="32">
        <f>IF(Mecze[[#This Row],[OU]]=0,0,Mecze[[#This Row],[OU]]/Mecze[[#This Row],[CZAS]])</f>
        <v>2.0833333333333332E-2</v>
      </c>
      <c r="O1704" s="32">
        <f>IF(Mecze[[#This Row],[PC]]=0,0,Mecze[[#This Row],[PC]]/Mecze[[#This Row],[CZAS]])</f>
        <v>3.125E-2</v>
      </c>
      <c r="P1704" s="32">
        <f>IF(Mecze[[#This Row],[SC]]=0,0,Mecze[[#This Row],[SC]]/Mecze[[#This Row],[CZAS]])</f>
        <v>6.25E-2</v>
      </c>
      <c r="Q1704" s="32">
        <f>IF(Mecze[[#This Row],[OB]]=0,0,Mecze[[#This Row],[OB]]/Mecze[[#This Row],[CZAS]])</f>
        <v>0</v>
      </c>
      <c r="R1704" s="32">
        <f>IF(Mecze[[#This Row],[BR]]=0,0,Mecze[[#This Row],[BR]]/Mecze[[#This Row],[CZAS]])</f>
        <v>1.0416666666666666E-2</v>
      </c>
      <c r="S1704" s="44">
        <f>IF(Mecze[[#This Row],[Role]]="BR",SUMPRODUCT(Mecze[[#This Row],[/PR:90]:[/BR:90]],Brudnopis!$E$23:$J$23),0)</f>
        <v>0</v>
      </c>
      <c r="T1704" s="44">
        <f>IF(Mecze[[#This Row],[Role]]&lt;&gt;"BR",SUMPRODUCT(Mecze[[#This Row],[/PR:90]:[/BR:90]],Brudnopis!$E$24:$J$24),0)</f>
        <v>0.16145833333333331</v>
      </c>
      <c r="U1704" s="44">
        <f>IF(Mecze[[#This Row],[Role]]&lt;&gt;"BR",SUMPRODUCT(Mecze[[#This Row],[/PR:90]:[/BR:90]],Brudnopis!$E$25:$J$25),0)</f>
        <v>0.16666666666666666</v>
      </c>
      <c r="V1704" s="44">
        <f>IF(Mecze[[#This Row],[Role]]&lt;&gt;"BR",SUMPRODUCT(Mecze[[#This Row],[/PR:90]:[/BR:90]],Brudnopis!$E$26:$J$26),0)</f>
        <v>0.15625</v>
      </c>
      <c r="W1704" s="44">
        <f>IF(Mecze[[#This Row],[Role]]&lt;&gt;"BR",SUMPRODUCT(Mecze[[#This Row],[/PR:90]:[/BR:90]],Brudnopis!$E$27:$J$27),0)</f>
        <v>0.16145833333333334</v>
      </c>
      <c r="X1704" s="44">
        <f>IF(Mecze[[#This Row],[Role]]&lt;&gt;"BR",SUMPRODUCT(Mecze[[#This Row],[/PR:90]:[/BR:90]],Brudnopis!$E$28:$J$28),0)</f>
        <v>0.1875</v>
      </c>
      <c r="Y1704" s="35">
        <f>IF(Mecze[[#This Row],[Role]]="BR",Mecze[[#This Row],[/OB:90]]+Mecze[[#This Row],[/PC:90]],SUM(Mecze[[#This Row],[/PR:90]:[/BR:90]]))</f>
        <v>0.14583333333333331</v>
      </c>
      <c r="Z1704" s="35">
        <f>IF(Mecze[[#This Row],[KC]]=0,SUM(Mecze[[#This Row],[/BRI]:[/NPI]]),SUM(Mecze[[#This Row],[/BRI]:[/NPI]])*0.6)</f>
        <v>0.83333333333333337</v>
      </c>
      <c r="AA1704" s="10">
        <f>IFERROR(Mecze[[#This Row],[BR]]/Mecze[[#This Row],[ST]],0)</f>
        <v>0.16666666666666666</v>
      </c>
      <c r="AB1704">
        <f>ROUND(Mecze[[#This Row],[PD]]*Mecze[[#This Row],[%PC]],0)</f>
        <v>3</v>
      </c>
      <c r="AC1704">
        <f>ROUND(Mecze[[#This Row],[OD]]*Mecze[[#This Row],[%OU]],0)</f>
        <v>2</v>
      </c>
      <c r="AD1704" s="36" t="s">
        <v>46</v>
      </c>
      <c r="AE1704" s="36">
        <v>91</v>
      </c>
      <c r="AF1704" s="71">
        <v>6.33</v>
      </c>
      <c r="AG1704" s="37">
        <v>0</v>
      </c>
      <c r="AH1704" s="37">
        <v>0</v>
      </c>
      <c r="AI1704" s="37">
        <v>96</v>
      </c>
      <c r="AJ1704" s="37">
        <v>5</v>
      </c>
      <c r="AK1704" s="37" t="str">
        <f>VLOOKUP(Mecze[[#This Row],[Match ID]],Meczusie[Mecz]:Meczusie[RodzajMeczu],2,FALSE)</f>
        <v>Liga</v>
      </c>
    </row>
    <row r="1705" spans="1:37" x14ac:dyDescent="0.25">
      <c r="A1705" s="76">
        <v>10</v>
      </c>
      <c r="B1705" s="3" t="s">
        <v>352</v>
      </c>
      <c r="C1705" s="2" t="s">
        <v>165</v>
      </c>
      <c r="D1705" s="1">
        <v>1</v>
      </c>
      <c r="E1705" s="1">
        <v>5</v>
      </c>
      <c r="F1705" s="1">
        <v>4</v>
      </c>
      <c r="G1705" s="1">
        <v>9</v>
      </c>
      <c r="H1705" s="4">
        <v>0.33</v>
      </c>
      <c r="I1705" s="1">
        <v>8</v>
      </c>
      <c r="J1705" s="4">
        <v>0.5</v>
      </c>
      <c r="K1705" s="1">
        <v>0</v>
      </c>
      <c r="L1705" s="1">
        <v>0</v>
      </c>
      <c r="M1705" s="32">
        <f>IF(Mecze[[#This Row],[PR]]=0,0,Mecze[[#This Row],[PR]]/Mecze[[#This Row],[CZAS]])</f>
        <v>0</v>
      </c>
      <c r="N1705" s="32">
        <f>IF(Mecze[[#This Row],[OU]]=0,0,Mecze[[#This Row],[OU]]/Mecze[[#This Row],[CZAS]])</f>
        <v>4.1666666666666664E-2</v>
      </c>
      <c r="O1705" s="32">
        <f>IF(Mecze[[#This Row],[PC]]=0,0,Mecze[[#This Row],[PC]]/Mecze[[#This Row],[CZAS]])</f>
        <v>3.125E-2</v>
      </c>
      <c r="P1705" s="32">
        <f>IF(Mecze[[#This Row],[SC]]=0,0,Mecze[[#This Row],[SC]]/Mecze[[#This Row],[CZAS]])</f>
        <v>4.1666666666666664E-2</v>
      </c>
      <c r="Q1705" s="32">
        <f>IF(Mecze[[#This Row],[OB]]=0,0,Mecze[[#This Row],[OB]]/Mecze[[#This Row],[CZAS]])</f>
        <v>0</v>
      </c>
      <c r="R1705" s="32">
        <f>IF(Mecze[[#This Row],[BR]]=0,0,Mecze[[#This Row],[BR]]/Mecze[[#This Row],[CZAS]])</f>
        <v>1.0416666666666666E-2</v>
      </c>
      <c r="S1705" s="44">
        <f>IF(Mecze[[#This Row],[Role]]="BR",SUMPRODUCT(Mecze[[#This Row],[/PR:90]:[/BR:90]],Brudnopis!$E$23:$J$23),0)</f>
        <v>0</v>
      </c>
      <c r="T1705" s="44">
        <f>IF(Mecze[[#This Row],[Role]]&lt;&gt;"BR",SUMPRODUCT(Mecze[[#This Row],[/PR:90]:[/BR:90]],Brudnopis!$E$24:$J$24),0)</f>
        <v>0.15104166666666666</v>
      </c>
      <c r="U1705" s="44">
        <f>IF(Mecze[[#This Row],[Role]]&lt;&gt;"BR",SUMPRODUCT(Mecze[[#This Row],[/PR:90]:[/BR:90]],Brudnopis!$E$25:$J$25),0)</f>
        <v>0.14583333333333331</v>
      </c>
      <c r="V1705" s="44">
        <f>IF(Mecze[[#This Row],[Role]]&lt;&gt;"BR",SUMPRODUCT(Mecze[[#This Row],[/PR:90]:[/BR:90]],Brudnopis!$E$26:$J$26),0)</f>
        <v>0.13541666666666666</v>
      </c>
      <c r="W1705" s="44">
        <f>IF(Mecze[[#This Row],[Role]]&lt;&gt;"BR",SUMPRODUCT(Mecze[[#This Row],[/PR:90]:[/BR:90]],Brudnopis!$E$27:$J$27),0)</f>
        <v>0.140625</v>
      </c>
      <c r="X1705" s="44">
        <f>IF(Mecze[[#This Row],[Role]]&lt;&gt;"BR",SUMPRODUCT(Mecze[[#This Row],[/PR:90]:[/BR:90]],Brudnopis!$E$28:$J$28),0)</f>
        <v>0.14583333333333331</v>
      </c>
      <c r="Y1705" s="35">
        <f>IF(Mecze[[#This Row],[Role]]="BR",Mecze[[#This Row],[/OB:90]]+Mecze[[#This Row],[/PC:90]],SUM(Mecze[[#This Row],[/PR:90]:[/BR:90]]))</f>
        <v>0.12499999999999999</v>
      </c>
      <c r="Z1705" s="35">
        <f>IF(Mecze[[#This Row],[KC]]=0,SUM(Mecze[[#This Row],[/BRI]:[/NPI]]),SUM(Mecze[[#This Row],[/BRI]:[/NPI]])*0.6)</f>
        <v>0.71875</v>
      </c>
      <c r="AA1705" s="10">
        <f>IFERROR(Mecze[[#This Row],[BR]]/Mecze[[#This Row],[ST]],0)</f>
        <v>0.2</v>
      </c>
      <c r="AB1705">
        <f>ROUND(Mecze[[#This Row],[PD]]*Mecze[[#This Row],[%PC]],0)</f>
        <v>3</v>
      </c>
      <c r="AC1705">
        <f>ROUND(Mecze[[#This Row],[OD]]*Mecze[[#This Row],[%OU]],0)</f>
        <v>4</v>
      </c>
      <c r="AD1705" s="36" t="s">
        <v>272</v>
      </c>
      <c r="AE1705" s="36">
        <v>91</v>
      </c>
      <c r="AF1705" s="71">
        <v>5.89</v>
      </c>
      <c r="AG1705" s="37">
        <v>0</v>
      </c>
      <c r="AH1705" s="37">
        <v>0</v>
      </c>
      <c r="AI1705" s="37">
        <v>96</v>
      </c>
      <c r="AJ1705" s="37">
        <v>5</v>
      </c>
      <c r="AK1705" s="37" t="str">
        <f>VLOOKUP(Mecze[[#This Row],[Match ID]],Meczusie[Mecz]:Meczusie[RodzajMeczu],2,FALSE)</f>
        <v>Liga</v>
      </c>
    </row>
    <row r="1706" spans="1:37" x14ac:dyDescent="0.25">
      <c r="A1706" s="76">
        <v>9</v>
      </c>
      <c r="B1706" s="3" t="s">
        <v>354</v>
      </c>
      <c r="C1706" s="2" t="s">
        <v>165</v>
      </c>
      <c r="D1706" s="1">
        <v>0</v>
      </c>
      <c r="E1706" s="1">
        <v>3</v>
      </c>
      <c r="F1706" s="1">
        <v>3</v>
      </c>
      <c r="G1706" s="1">
        <v>10</v>
      </c>
      <c r="H1706" s="4">
        <v>0.4</v>
      </c>
      <c r="I1706" s="1">
        <v>1</v>
      </c>
      <c r="J1706" s="4">
        <v>0</v>
      </c>
      <c r="K1706" s="1">
        <v>0</v>
      </c>
      <c r="L1706" s="1">
        <v>0</v>
      </c>
      <c r="M1706" s="32">
        <f>IF(Mecze[[#This Row],[PR]]=0,0,Mecze[[#This Row],[PR]]/Mecze[[#This Row],[CZAS]])</f>
        <v>0</v>
      </c>
      <c r="N1706" s="32">
        <f>IF(Mecze[[#This Row],[OU]]=0,0,Mecze[[#This Row],[OU]]/Mecze[[#This Row],[CZAS]])</f>
        <v>0</v>
      </c>
      <c r="O1706" s="32">
        <f>IF(Mecze[[#This Row],[PC]]=0,0,Mecze[[#This Row],[PC]]/Mecze[[#This Row],[CZAS]])</f>
        <v>4.1666666666666664E-2</v>
      </c>
      <c r="P1706" s="32">
        <f>IF(Mecze[[#This Row],[SC]]=0,0,Mecze[[#This Row],[SC]]/Mecze[[#This Row],[CZAS]])</f>
        <v>3.125E-2</v>
      </c>
      <c r="Q1706" s="32">
        <f>IF(Mecze[[#This Row],[OB]]=0,0,Mecze[[#This Row],[OB]]/Mecze[[#This Row],[CZAS]])</f>
        <v>0</v>
      </c>
      <c r="R1706" s="32">
        <f>IF(Mecze[[#This Row],[BR]]=0,0,Mecze[[#This Row],[BR]]/Mecze[[#This Row],[CZAS]])</f>
        <v>0</v>
      </c>
      <c r="S1706" s="44">
        <f>IF(Mecze[[#This Row],[Role]]="BR",SUMPRODUCT(Mecze[[#This Row],[/PR:90]:[/BR:90]],Brudnopis!$E$23:$J$23),0)</f>
        <v>0</v>
      </c>
      <c r="T1706" s="44">
        <f>IF(Mecze[[#This Row],[Role]]&lt;&gt;"BR",SUMPRODUCT(Mecze[[#This Row],[/PR:90]:[/BR:90]],Brudnopis!$E$24:$J$24),0)</f>
        <v>7.2916666666666657E-2</v>
      </c>
      <c r="U1706" s="44">
        <f>IF(Mecze[[#This Row],[Role]]&lt;&gt;"BR",SUMPRODUCT(Mecze[[#This Row],[/PR:90]:[/BR:90]],Brudnopis!$E$25:$J$25),0)</f>
        <v>9.375E-2</v>
      </c>
      <c r="V1706" s="44">
        <f>IF(Mecze[[#This Row],[Role]]&lt;&gt;"BR",SUMPRODUCT(Mecze[[#This Row],[/PR:90]:[/BR:90]],Brudnopis!$E$26:$J$26),0)</f>
        <v>7.2916666666666657E-2</v>
      </c>
      <c r="W1706" s="44">
        <f>IF(Mecze[[#This Row],[Role]]&lt;&gt;"BR",SUMPRODUCT(Mecze[[#This Row],[/PR:90]:[/BR:90]],Brudnopis!$E$27:$J$27),0)</f>
        <v>9.375E-2</v>
      </c>
      <c r="X1706" s="44">
        <f>IF(Mecze[[#This Row],[Role]]&lt;&gt;"BR",SUMPRODUCT(Mecze[[#This Row],[/PR:90]:[/BR:90]],Brudnopis!$E$28:$J$28),0)</f>
        <v>0.10416666666666666</v>
      </c>
      <c r="Y1706" s="35">
        <f>IF(Mecze[[#This Row],[Role]]="BR",Mecze[[#This Row],[/OB:90]]+Mecze[[#This Row],[/PC:90]],SUM(Mecze[[#This Row],[/PR:90]:[/BR:90]]))</f>
        <v>7.2916666666666657E-2</v>
      </c>
      <c r="Z1706" s="35">
        <f>IF(Mecze[[#This Row],[KC]]=0,SUM(Mecze[[#This Row],[/BRI]:[/NPI]]),SUM(Mecze[[#This Row],[/BRI]:[/NPI]])*0.6)</f>
        <v>0.4375</v>
      </c>
      <c r="AA1706" s="10">
        <f>IFERROR(Mecze[[#This Row],[BR]]/Mecze[[#This Row],[ST]],0)</f>
        <v>0</v>
      </c>
      <c r="AB1706">
        <f>ROUND(Mecze[[#This Row],[PD]]*Mecze[[#This Row],[%PC]],0)</f>
        <v>4</v>
      </c>
      <c r="AC1706">
        <f>ROUND(Mecze[[#This Row],[OD]]*Mecze[[#This Row],[%OU]],0)</f>
        <v>0</v>
      </c>
      <c r="AD1706" s="36" t="s">
        <v>273</v>
      </c>
      <c r="AE1706" s="36">
        <v>91</v>
      </c>
      <c r="AF1706" s="71">
        <v>3.37</v>
      </c>
      <c r="AG1706" s="37">
        <v>0</v>
      </c>
      <c r="AH1706" s="37">
        <v>0</v>
      </c>
      <c r="AI1706" s="37">
        <v>96</v>
      </c>
      <c r="AJ1706" s="37">
        <v>5</v>
      </c>
      <c r="AK1706" s="37" t="str">
        <f>VLOOKUP(Mecze[[#This Row],[Match ID]],Meczusie[Mecz]:Meczusie[RodzajMeczu],2,FALSE)</f>
        <v>Liga</v>
      </c>
    </row>
    <row r="1707" spans="1:37" x14ac:dyDescent="0.25">
      <c r="A1707" s="76">
        <v>49</v>
      </c>
      <c r="B1707" s="3" t="s">
        <v>358</v>
      </c>
      <c r="C1707" s="2" t="s">
        <v>155</v>
      </c>
      <c r="D1707" s="1">
        <v>0</v>
      </c>
      <c r="E1707" s="1">
        <v>0</v>
      </c>
      <c r="F1707" s="1">
        <v>0</v>
      </c>
      <c r="G1707" s="1">
        <v>2</v>
      </c>
      <c r="H1707" s="4">
        <v>0</v>
      </c>
      <c r="I1707" s="1">
        <v>0</v>
      </c>
      <c r="J1707" s="4"/>
      <c r="K1707" s="1">
        <v>2</v>
      </c>
      <c r="L1707" s="1">
        <v>0</v>
      </c>
      <c r="M1707" s="32">
        <f>IF(Mecze[[#This Row],[PR]]=0,0,Mecze[[#This Row],[PR]]/Mecze[[#This Row],[CZAS]])</f>
        <v>0</v>
      </c>
      <c r="N1707" s="32">
        <f>IF(Mecze[[#This Row],[OU]]=0,0,Mecze[[#This Row],[OU]]/Mecze[[#This Row],[CZAS]])</f>
        <v>0</v>
      </c>
      <c r="O1707" s="32">
        <f>IF(Mecze[[#This Row],[PC]]=0,0,Mecze[[#This Row],[PC]]/Mecze[[#This Row],[CZAS]])</f>
        <v>0</v>
      </c>
      <c r="P1707" s="32">
        <f>IF(Mecze[[#This Row],[SC]]=0,0,Mecze[[#This Row],[SC]]/Mecze[[#This Row],[CZAS]])</f>
        <v>0</v>
      </c>
      <c r="Q1707" s="32">
        <f>IF(Mecze[[#This Row],[OB]]=0,0,Mecze[[#This Row],[OB]]/Mecze[[#This Row],[CZAS]])</f>
        <v>2.0833333333333332E-2</v>
      </c>
      <c r="R1707" s="32">
        <f>IF(Mecze[[#This Row],[BR]]=0,0,Mecze[[#This Row],[BR]]/Mecze[[#This Row],[CZAS]])</f>
        <v>0</v>
      </c>
      <c r="S1707" s="44">
        <f>IF(Mecze[[#This Row],[Role]]="BR",SUMPRODUCT(Mecze[[#This Row],[/PR:90]:[/BR:90]],Brudnopis!$E$23:$J$23),0)</f>
        <v>6.25E-2</v>
      </c>
      <c r="T1707" s="44">
        <f>IF(Mecze[[#This Row],[Role]]&lt;&gt;"BR",SUMPRODUCT(Mecze[[#This Row],[/PR:90]:[/BR:90]],Brudnopis!$E$24:$J$24),0)</f>
        <v>0</v>
      </c>
      <c r="U1707" s="44">
        <f>IF(Mecze[[#This Row],[Role]]&lt;&gt;"BR",SUMPRODUCT(Mecze[[#This Row],[/PR:90]:[/BR:90]],Brudnopis!$E$25:$J$25),0)</f>
        <v>0</v>
      </c>
      <c r="V1707" s="44">
        <f>IF(Mecze[[#This Row],[Role]]&lt;&gt;"BR",SUMPRODUCT(Mecze[[#This Row],[/PR:90]:[/BR:90]],Brudnopis!$E$26:$J$26),0)</f>
        <v>0</v>
      </c>
      <c r="W1707" s="44">
        <f>IF(Mecze[[#This Row],[Role]]&lt;&gt;"BR",SUMPRODUCT(Mecze[[#This Row],[/PR:90]:[/BR:90]],Brudnopis!$E$27:$J$27),0)</f>
        <v>0</v>
      </c>
      <c r="X1707" s="44">
        <f>IF(Mecze[[#This Row],[Role]]&lt;&gt;"BR",SUMPRODUCT(Mecze[[#This Row],[/PR:90]:[/BR:90]],Brudnopis!$E$28:$J$28),0)</f>
        <v>0</v>
      </c>
      <c r="Y1707" s="35">
        <f>IF(Mecze[[#This Row],[Role]]="BR",Mecze[[#This Row],[/OB:90]]+Mecze[[#This Row],[/PC:90]],SUM(Mecze[[#This Row],[/PR:90]:[/BR:90]]))</f>
        <v>2.0833333333333332E-2</v>
      </c>
      <c r="Z1707" s="35">
        <f>IF(Mecze[[#This Row],[KC]]=0,SUM(Mecze[[#This Row],[/BRI]:[/NPI]]),SUM(Mecze[[#This Row],[/BRI]:[/NPI]])*0.6)</f>
        <v>6.25E-2</v>
      </c>
      <c r="AA1707" s="10">
        <f>IFERROR(Mecze[[#This Row],[BR]]/Mecze[[#This Row],[ST]],0)</f>
        <v>0</v>
      </c>
      <c r="AB1707">
        <f>ROUND(Mecze[[#This Row],[PD]]*Mecze[[#This Row],[%PC]],0)</f>
        <v>0</v>
      </c>
      <c r="AC1707">
        <f>ROUND(Mecze[[#This Row],[OD]]*Mecze[[#This Row],[%OU]],0)</f>
        <v>0</v>
      </c>
      <c r="AD1707" s="36" t="s">
        <v>40</v>
      </c>
      <c r="AE1707" s="36">
        <v>92</v>
      </c>
      <c r="AF1707" s="71">
        <v>4.62</v>
      </c>
      <c r="AG1707" s="37">
        <v>0</v>
      </c>
      <c r="AH1707" s="37">
        <v>0</v>
      </c>
      <c r="AI1707" s="37">
        <v>96</v>
      </c>
      <c r="AJ1707" s="37">
        <v>1</v>
      </c>
      <c r="AK1707" s="37" t="str">
        <f>VLOOKUP(Mecze[[#This Row],[Match ID]],Meczusie[Mecz]:Meczusie[RodzajMeczu],2,FALSE)</f>
        <v>Towarzyski</v>
      </c>
    </row>
    <row r="1708" spans="1:37" x14ac:dyDescent="0.25">
      <c r="A1708" s="76">
        <v>38</v>
      </c>
      <c r="B1708" s="3" t="s">
        <v>359</v>
      </c>
      <c r="C1708" s="2" t="s">
        <v>157</v>
      </c>
      <c r="D1708" s="1">
        <v>0</v>
      </c>
      <c r="E1708" s="1">
        <v>0</v>
      </c>
      <c r="F1708" s="1">
        <v>0</v>
      </c>
      <c r="G1708" s="1">
        <v>16</v>
      </c>
      <c r="H1708" s="4">
        <v>0.56000000000000005</v>
      </c>
      <c r="I1708" s="1">
        <v>3</v>
      </c>
      <c r="J1708" s="4">
        <v>0.33</v>
      </c>
      <c r="K1708" s="1">
        <v>0</v>
      </c>
      <c r="L1708" s="1">
        <v>14</v>
      </c>
      <c r="M1708" s="32">
        <f>IF(Mecze[[#This Row],[PR]]=0,0,Mecze[[#This Row],[PR]]/Mecze[[#This Row],[CZAS]])</f>
        <v>0.14583333333333334</v>
      </c>
      <c r="N1708" s="32">
        <f>IF(Mecze[[#This Row],[OU]]=0,0,Mecze[[#This Row],[OU]]/Mecze[[#This Row],[CZAS]])</f>
        <v>1.0416666666666666E-2</v>
      </c>
      <c r="O1708" s="32">
        <f>IF(Mecze[[#This Row],[PC]]=0,0,Mecze[[#This Row],[PC]]/Mecze[[#This Row],[CZAS]])</f>
        <v>9.375E-2</v>
      </c>
      <c r="P1708" s="32">
        <f>IF(Mecze[[#This Row],[SC]]=0,0,Mecze[[#This Row],[SC]]/Mecze[[#This Row],[CZAS]])</f>
        <v>0</v>
      </c>
      <c r="Q1708" s="32">
        <f>IF(Mecze[[#This Row],[OB]]=0,0,Mecze[[#This Row],[OB]]/Mecze[[#This Row],[CZAS]])</f>
        <v>0</v>
      </c>
      <c r="R1708" s="32">
        <f>IF(Mecze[[#This Row],[BR]]=0,0,Mecze[[#This Row],[BR]]/Mecze[[#This Row],[CZAS]])</f>
        <v>0</v>
      </c>
      <c r="S1708" s="44">
        <f>IF(Mecze[[#This Row],[Role]]="BR",SUMPRODUCT(Mecze[[#This Row],[/PR:90]:[/BR:90]],Brudnopis!$E$23:$J$23),0)</f>
        <v>0</v>
      </c>
      <c r="T1708" s="44">
        <f>IF(Mecze[[#This Row],[Role]]&lt;&gt;"BR",SUMPRODUCT(Mecze[[#This Row],[/PR:90]:[/BR:90]],Brudnopis!$E$24:$J$24),0)</f>
        <v>0.25520833333333337</v>
      </c>
      <c r="U1708" s="44">
        <f>IF(Mecze[[#This Row],[Role]]&lt;&gt;"BR",SUMPRODUCT(Mecze[[#This Row],[/PR:90]:[/BR:90]],Brudnopis!$E$25:$J$25),0)</f>
        <v>0.296875</v>
      </c>
      <c r="V1708" s="44">
        <f>IF(Mecze[[#This Row],[Role]]&lt;&gt;"BR",SUMPRODUCT(Mecze[[#This Row],[/PR:90]:[/BR:90]],Brudnopis!$E$26:$J$26),0)</f>
        <v>0.25</v>
      </c>
      <c r="W1708" s="44">
        <f>IF(Mecze[[#This Row],[Role]]&lt;&gt;"BR",SUMPRODUCT(Mecze[[#This Row],[/PR:90]:[/BR:90]],Brudnopis!$E$27:$J$27),0)</f>
        <v>0.2578125</v>
      </c>
      <c r="X1708" s="44">
        <f>IF(Mecze[[#This Row],[Role]]&lt;&gt;"BR",SUMPRODUCT(Mecze[[#This Row],[/PR:90]:[/BR:90]],Brudnopis!$E$28:$J$28),0)</f>
        <v>9.375E-2</v>
      </c>
      <c r="Y1708" s="35">
        <f>IF(Mecze[[#This Row],[Role]]="BR",Mecze[[#This Row],[/OB:90]]+Mecze[[#This Row],[/PC:90]],SUM(Mecze[[#This Row],[/PR:90]:[/BR:90]]))</f>
        <v>0.25</v>
      </c>
      <c r="Z1708" s="35">
        <f>IF(Mecze[[#This Row],[KC]]=0,SUM(Mecze[[#This Row],[/BRI]:[/NPI]]),SUM(Mecze[[#This Row],[/BRI]:[/NPI]])*0.6)</f>
        <v>1.1536458333333335</v>
      </c>
      <c r="AA1708" s="10">
        <f>IFERROR(Mecze[[#This Row],[BR]]/Mecze[[#This Row],[ST]],0)</f>
        <v>0</v>
      </c>
      <c r="AB1708">
        <f>ROUND(Mecze[[#This Row],[PD]]*Mecze[[#This Row],[%PC]],0)</f>
        <v>9</v>
      </c>
      <c r="AC1708">
        <f>ROUND(Mecze[[#This Row],[OD]]*Mecze[[#This Row],[%OU]],0)</f>
        <v>1</v>
      </c>
      <c r="AD1708" s="36" t="s">
        <v>47</v>
      </c>
      <c r="AE1708" s="36">
        <v>92</v>
      </c>
      <c r="AF1708" s="71">
        <v>6.86</v>
      </c>
      <c r="AG1708" s="37">
        <v>0</v>
      </c>
      <c r="AH1708" s="37">
        <v>0</v>
      </c>
      <c r="AI1708" s="37">
        <v>96</v>
      </c>
      <c r="AJ1708" s="37">
        <v>1</v>
      </c>
      <c r="AK1708" s="37" t="str">
        <f>VLOOKUP(Mecze[[#This Row],[Match ID]],Meczusie[Mecz]:Meczusie[RodzajMeczu],2,FALSE)</f>
        <v>Towarzyski</v>
      </c>
    </row>
    <row r="1709" spans="1:37" x14ac:dyDescent="0.25">
      <c r="A1709" s="76">
        <v>4</v>
      </c>
      <c r="B1709" s="3" t="s">
        <v>360</v>
      </c>
      <c r="C1709" s="2" t="s">
        <v>157</v>
      </c>
      <c r="D1709" s="1">
        <v>0</v>
      </c>
      <c r="E1709" s="1">
        <v>0</v>
      </c>
      <c r="F1709" s="1">
        <v>0</v>
      </c>
      <c r="G1709" s="1">
        <v>6</v>
      </c>
      <c r="H1709" s="4">
        <v>0</v>
      </c>
      <c r="I1709" s="1">
        <v>3</v>
      </c>
      <c r="J1709" s="4">
        <v>0.67</v>
      </c>
      <c r="K1709" s="1">
        <v>0</v>
      </c>
      <c r="L1709" s="1">
        <v>6</v>
      </c>
      <c r="M1709" s="32">
        <f>IF(Mecze[[#This Row],[PR]]=0,0,Mecze[[#This Row],[PR]]/Mecze[[#This Row],[CZAS]])</f>
        <v>6.25E-2</v>
      </c>
      <c r="N1709" s="32">
        <f>IF(Mecze[[#This Row],[OU]]=0,0,Mecze[[#This Row],[OU]]/Mecze[[#This Row],[CZAS]])</f>
        <v>2.0833333333333332E-2</v>
      </c>
      <c r="O1709" s="32">
        <f>IF(Mecze[[#This Row],[PC]]=0,0,Mecze[[#This Row],[PC]]/Mecze[[#This Row],[CZAS]])</f>
        <v>0</v>
      </c>
      <c r="P1709" s="32">
        <f>IF(Mecze[[#This Row],[SC]]=0,0,Mecze[[#This Row],[SC]]/Mecze[[#This Row],[CZAS]])</f>
        <v>0</v>
      </c>
      <c r="Q1709" s="32">
        <f>IF(Mecze[[#This Row],[OB]]=0,0,Mecze[[#This Row],[OB]]/Mecze[[#This Row],[CZAS]])</f>
        <v>0</v>
      </c>
      <c r="R1709" s="32">
        <f>IF(Mecze[[#This Row],[BR]]=0,0,Mecze[[#This Row],[BR]]/Mecze[[#This Row],[CZAS]])</f>
        <v>0</v>
      </c>
      <c r="S1709" s="44">
        <f>IF(Mecze[[#This Row],[Role]]="BR",SUMPRODUCT(Mecze[[#This Row],[/PR:90]:[/BR:90]],Brudnopis!$E$23:$J$23),0)</f>
        <v>0</v>
      </c>
      <c r="T1709" s="44">
        <f>IF(Mecze[[#This Row],[Role]]&lt;&gt;"BR",SUMPRODUCT(Mecze[[#This Row],[/PR:90]:[/BR:90]],Brudnopis!$E$24:$J$24),0)</f>
        <v>9.375E-2</v>
      </c>
      <c r="U1709" s="44">
        <f>IF(Mecze[[#This Row],[Role]]&lt;&gt;"BR",SUMPRODUCT(Mecze[[#This Row],[/PR:90]:[/BR:90]],Brudnopis!$E$25:$J$25),0)</f>
        <v>8.3333333333333329E-2</v>
      </c>
      <c r="V1709" s="44">
        <f>IF(Mecze[[#This Row],[Role]]&lt;&gt;"BR",SUMPRODUCT(Mecze[[#This Row],[/PR:90]:[/BR:90]],Brudnopis!$E$26:$J$26),0)</f>
        <v>8.3333333333333329E-2</v>
      </c>
      <c r="W1709" s="44">
        <f>IF(Mecze[[#This Row],[Role]]&lt;&gt;"BR",SUMPRODUCT(Mecze[[#This Row],[/PR:90]:[/BR:90]],Brudnopis!$E$27:$J$27),0)</f>
        <v>6.25E-2</v>
      </c>
      <c r="X1709" s="44">
        <f>IF(Mecze[[#This Row],[Role]]&lt;&gt;"BR",SUMPRODUCT(Mecze[[#This Row],[/PR:90]:[/BR:90]],Brudnopis!$E$28:$J$28),0)</f>
        <v>0</v>
      </c>
      <c r="Y1709" s="35">
        <f>IF(Mecze[[#This Row],[Role]]="BR",Mecze[[#This Row],[/OB:90]]+Mecze[[#This Row],[/PC:90]],SUM(Mecze[[#This Row],[/PR:90]:[/BR:90]]))</f>
        <v>8.3333333333333329E-2</v>
      </c>
      <c r="Z1709" s="35">
        <f>IF(Mecze[[#This Row],[KC]]=0,SUM(Mecze[[#This Row],[/BRI]:[/NPI]]),SUM(Mecze[[#This Row],[/BRI]:[/NPI]])*0.6)</f>
        <v>0.32291666666666663</v>
      </c>
      <c r="AA1709" s="10">
        <f>IFERROR(Mecze[[#This Row],[BR]]/Mecze[[#This Row],[ST]],0)</f>
        <v>0</v>
      </c>
      <c r="AB1709">
        <f>ROUND(Mecze[[#This Row],[PD]]*Mecze[[#This Row],[%PC]],0)</f>
        <v>0</v>
      </c>
      <c r="AC1709">
        <f>ROUND(Mecze[[#This Row],[OD]]*Mecze[[#This Row],[%OU]],0)</f>
        <v>2</v>
      </c>
      <c r="AD1709" s="36" t="s">
        <v>168</v>
      </c>
      <c r="AE1709" s="36">
        <v>92</v>
      </c>
      <c r="AF1709" s="71">
        <v>6.3</v>
      </c>
      <c r="AG1709" s="37">
        <v>0</v>
      </c>
      <c r="AH1709" s="37">
        <v>0</v>
      </c>
      <c r="AI1709" s="37">
        <v>96</v>
      </c>
      <c r="AJ1709" s="37">
        <v>1</v>
      </c>
      <c r="AK1709" s="37" t="str">
        <f>VLOOKUP(Mecze[[#This Row],[Match ID]],Meczusie[Mecz]:Meczusie[RodzajMeczu],2,FALSE)</f>
        <v>Towarzyski</v>
      </c>
    </row>
    <row r="1710" spans="1:37" x14ac:dyDescent="0.25">
      <c r="A1710" s="76">
        <v>42</v>
      </c>
      <c r="B1710" s="3" t="s">
        <v>361</v>
      </c>
      <c r="C1710" s="2" t="s">
        <v>157</v>
      </c>
      <c r="D1710" s="1">
        <v>0</v>
      </c>
      <c r="E1710" s="1">
        <v>0</v>
      </c>
      <c r="F1710" s="1">
        <v>0</v>
      </c>
      <c r="G1710" s="1">
        <v>1</v>
      </c>
      <c r="H1710" s="4">
        <v>0</v>
      </c>
      <c r="I1710" s="1">
        <v>2</v>
      </c>
      <c r="J1710" s="4">
        <v>0.5</v>
      </c>
      <c r="K1710" s="1">
        <v>0</v>
      </c>
      <c r="L1710" s="1">
        <v>1</v>
      </c>
      <c r="M1710" s="32">
        <f>IF(Mecze[[#This Row],[PR]]=0,0,Mecze[[#This Row],[PR]]/Mecze[[#This Row],[CZAS]])</f>
        <v>1.0416666666666666E-2</v>
      </c>
      <c r="N1710" s="32">
        <f>IF(Mecze[[#This Row],[OU]]=0,0,Mecze[[#This Row],[OU]]/Mecze[[#This Row],[CZAS]])</f>
        <v>1.0416666666666666E-2</v>
      </c>
      <c r="O1710" s="32">
        <f>IF(Mecze[[#This Row],[PC]]=0,0,Mecze[[#This Row],[PC]]/Mecze[[#This Row],[CZAS]])</f>
        <v>0</v>
      </c>
      <c r="P1710" s="32">
        <f>IF(Mecze[[#This Row],[SC]]=0,0,Mecze[[#This Row],[SC]]/Mecze[[#This Row],[CZAS]])</f>
        <v>0</v>
      </c>
      <c r="Q1710" s="32">
        <f>IF(Mecze[[#This Row],[OB]]=0,0,Mecze[[#This Row],[OB]]/Mecze[[#This Row],[CZAS]])</f>
        <v>0</v>
      </c>
      <c r="R1710" s="32">
        <f>IF(Mecze[[#This Row],[BR]]=0,0,Mecze[[#This Row],[BR]]/Mecze[[#This Row],[CZAS]])</f>
        <v>0</v>
      </c>
      <c r="S1710" s="44">
        <f>IF(Mecze[[#This Row],[Role]]="BR",SUMPRODUCT(Mecze[[#This Row],[/PR:90]:[/BR:90]],Brudnopis!$E$23:$J$23),0)</f>
        <v>0</v>
      </c>
      <c r="T1710" s="44">
        <f>IF(Mecze[[#This Row],[Role]]&lt;&gt;"BR",SUMPRODUCT(Mecze[[#This Row],[/PR:90]:[/BR:90]],Brudnopis!$E$24:$J$24),0)</f>
        <v>2.6041666666666664E-2</v>
      </c>
      <c r="U1710" s="44">
        <f>IF(Mecze[[#This Row],[Role]]&lt;&gt;"BR",SUMPRODUCT(Mecze[[#This Row],[/PR:90]:[/BR:90]],Brudnopis!$E$25:$J$25),0)</f>
        <v>2.0833333333333332E-2</v>
      </c>
      <c r="V1710" s="44">
        <f>IF(Mecze[[#This Row],[Role]]&lt;&gt;"BR",SUMPRODUCT(Mecze[[#This Row],[/PR:90]:[/BR:90]],Brudnopis!$E$26:$J$26),0)</f>
        <v>2.0833333333333332E-2</v>
      </c>
      <c r="W1710" s="44">
        <f>IF(Mecze[[#This Row],[Role]]&lt;&gt;"BR",SUMPRODUCT(Mecze[[#This Row],[/PR:90]:[/BR:90]],Brudnopis!$E$27:$J$27),0)</f>
        <v>1.5625E-2</v>
      </c>
      <c r="X1710" s="44">
        <f>IF(Mecze[[#This Row],[Role]]&lt;&gt;"BR",SUMPRODUCT(Mecze[[#This Row],[/PR:90]:[/BR:90]],Brudnopis!$E$28:$J$28),0)</f>
        <v>0</v>
      </c>
      <c r="Y1710" s="35">
        <f>IF(Mecze[[#This Row],[Role]]="BR",Mecze[[#This Row],[/OB:90]]+Mecze[[#This Row],[/PC:90]],SUM(Mecze[[#This Row],[/PR:90]:[/BR:90]]))</f>
        <v>2.0833333333333332E-2</v>
      </c>
      <c r="Z1710" s="35">
        <f>IF(Mecze[[#This Row],[KC]]=0,SUM(Mecze[[#This Row],[/BRI]:[/NPI]]),SUM(Mecze[[#This Row],[/BRI]:[/NPI]])*0.6)</f>
        <v>4.9999999999999996E-2</v>
      </c>
      <c r="AA1710" s="10">
        <f>IFERROR(Mecze[[#This Row],[BR]]/Mecze[[#This Row],[ST]],0)</f>
        <v>0</v>
      </c>
      <c r="AB1710">
        <f>ROUND(Mecze[[#This Row],[PD]]*Mecze[[#This Row],[%PC]],0)</f>
        <v>0</v>
      </c>
      <c r="AC1710">
        <f>ROUND(Mecze[[#This Row],[OD]]*Mecze[[#This Row],[%OU]],0)</f>
        <v>1</v>
      </c>
      <c r="AD1710" s="36" t="s">
        <v>167</v>
      </c>
      <c r="AE1710" s="36">
        <v>92</v>
      </c>
      <c r="AF1710" s="71">
        <v>-0.28000000000000003</v>
      </c>
      <c r="AG1710" s="37">
        <v>0</v>
      </c>
      <c r="AH1710" s="37">
        <v>1</v>
      </c>
      <c r="AI1710" s="37">
        <v>96</v>
      </c>
      <c r="AJ1710" s="37">
        <v>1</v>
      </c>
      <c r="AK1710" s="37" t="str">
        <f>VLOOKUP(Mecze[[#This Row],[Match ID]],Meczusie[Mecz]:Meczusie[RodzajMeczu],2,FALSE)</f>
        <v>Towarzyski</v>
      </c>
    </row>
    <row r="1711" spans="1:37" x14ac:dyDescent="0.25">
      <c r="A1711" s="76">
        <v>33</v>
      </c>
      <c r="B1711" s="3" t="s">
        <v>362</v>
      </c>
      <c r="C1711" s="2" t="s">
        <v>160</v>
      </c>
      <c r="D1711" s="1">
        <v>0</v>
      </c>
      <c r="E1711" s="1">
        <v>1</v>
      </c>
      <c r="F1711" s="1">
        <v>1</v>
      </c>
      <c r="G1711" s="1">
        <v>11</v>
      </c>
      <c r="H1711" s="4">
        <v>0.64</v>
      </c>
      <c r="I1711" s="1">
        <v>8</v>
      </c>
      <c r="J1711" s="4">
        <v>0.5</v>
      </c>
      <c r="K1711" s="1">
        <v>0</v>
      </c>
      <c r="L1711" s="1">
        <v>9</v>
      </c>
      <c r="M1711" s="32">
        <f>IF(Mecze[[#This Row],[PR]]=0,0,Mecze[[#This Row],[PR]]/Mecze[[#This Row],[CZAS]])</f>
        <v>9.375E-2</v>
      </c>
      <c r="N1711" s="32">
        <f>IF(Mecze[[#This Row],[OU]]=0,0,Mecze[[#This Row],[OU]]/Mecze[[#This Row],[CZAS]])</f>
        <v>4.1666666666666664E-2</v>
      </c>
      <c r="O1711" s="32">
        <f>IF(Mecze[[#This Row],[PC]]=0,0,Mecze[[#This Row],[PC]]/Mecze[[#This Row],[CZAS]])</f>
        <v>7.2916666666666671E-2</v>
      </c>
      <c r="P1711" s="32">
        <f>IF(Mecze[[#This Row],[SC]]=0,0,Mecze[[#This Row],[SC]]/Mecze[[#This Row],[CZAS]])</f>
        <v>1.0416666666666666E-2</v>
      </c>
      <c r="Q1711" s="32">
        <f>IF(Mecze[[#This Row],[OB]]=0,0,Mecze[[#This Row],[OB]]/Mecze[[#This Row],[CZAS]])</f>
        <v>0</v>
      </c>
      <c r="R1711" s="32">
        <f>IF(Mecze[[#This Row],[BR]]=0,0,Mecze[[#This Row],[BR]]/Mecze[[#This Row],[CZAS]])</f>
        <v>0</v>
      </c>
      <c r="S1711" s="44">
        <f>IF(Mecze[[#This Row],[Role]]="BR",SUMPRODUCT(Mecze[[#This Row],[/PR:90]:[/BR:90]],Brudnopis!$E$23:$J$23),0)</f>
        <v>0</v>
      </c>
      <c r="T1711" s="44">
        <f>IF(Mecze[[#This Row],[Role]]&lt;&gt;"BR",SUMPRODUCT(Mecze[[#This Row],[/PR:90]:[/BR:90]],Brudnopis!$E$24:$J$24),0)</f>
        <v>0.23958333333333334</v>
      </c>
      <c r="U1711" s="44">
        <f>IF(Mecze[[#This Row],[Role]]&lt;&gt;"BR",SUMPRODUCT(Mecze[[#This Row],[/PR:90]:[/BR:90]],Brudnopis!$E$25:$J$25),0)</f>
        <v>0.25520833333333331</v>
      </c>
      <c r="V1711" s="44">
        <f>IF(Mecze[[#This Row],[Role]]&lt;&gt;"BR",SUMPRODUCT(Mecze[[#This Row],[/PR:90]:[/BR:90]],Brudnopis!$E$26:$J$26),0)</f>
        <v>0.21874999999999997</v>
      </c>
      <c r="W1711" s="44">
        <f>IF(Mecze[[#This Row],[Role]]&lt;&gt;"BR",SUMPRODUCT(Mecze[[#This Row],[/PR:90]:[/BR:90]],Brudnopis!$E$27:$J$27),0)</f>
        <v>0.22135416666666666</v>
      </c>
      <c r="X1711" s="44">
        <f>IF(Mecze[[#This Row],[Role]]&lt;&gt;"BR",SUMPRODUCT(Mecze[[#This Row],[/PR:90]:[/BR:90]],Brudnopis!$E$28:$J$28),0)</f>
        <v>9.375E-2</v>
      </c>
      <c r="Y1711" s="35">
        <f>IF(Mecze[[#This Row],[Role]]="BR",Mecze[[#This Row],[/OB:90]]+Mecze[[#This Row],[/PC:90]],SUM(Mecze[[#This Row],[/PR:90]:[/BR:90]]))</f>
        <v>0.21874999999999997</v>
      </c>
      <c r="Z1711" s="35">
        <f>IF(Mecze[[#This Row],[KC]]=0,SUM(Mecze[[#This Row],[/BRI]:[/NPI]]),SUM(Mecze[[#This Row],[/BRI]:[/NPI]])*0.6)</f>
        <v>1.0286458333333333</v>
      </c>
      <c r="AA1711" s="10">
        <f>IFERROR(Mecze[[#This Row],[BR]]/Mecze[[#This Row],[ST]],0)</f>
        <v>0</v>
      </c>
      <c r="AB1711">
        <f>ROUND(Mecze[[#This Row],[PD]]*Mecze[[#This Row],[%PC]],0)</f>
        <v>7</v>
      </c>
      <c r="AC1711">
        <f>ROUND(Mecze[[#This Row],[OD]]*Mecze[[#This Row],[%OU]],0)</f>
        <v>4</v>
      </c>
      <c r="AD1711" s="36" t="s">
        <v>41</v>
      </c>
      <c r="AE1711" s="36">
        <v>92</v>
      </c>
      <c r="AF1711" s="71">
        <v>7.25</v>
      </c>
      <c r="AG1711" s="37">
        <v>0</v>
      </c>
      <c r="AH1711" s="37">
        <v>0</v>
      </c>
      <c r="AI1711" s="37">
        <v>96</v>
      </c>
      <c r="AJ1711" s="37">
        <v>1</v>
      </c>
      <c r="AK1711" s="37" t="str">
        <f>VLOOKUP(Mecze[[#This Row],[Match ID]],Meczusie[Mecz]:Meczusie[RodzajMeczu],2,FALSE)</f>
        <v>Towarzyski</v>
      </c>
    </row>
    <row r="1712" spans="1:37" x14ac:dyDescent="0.25">
      <c r="A1712" s="76">
        <v>22</v>
      </c>
      <c r="B1712" s="3" t="s">
        <v>363</v>
      </c>
      <c r="C1712" s="2" t="s">
        <v>160</v>
      </c>
      <c r="D1712" s="1">
        <v>0</v>
      </c>
      <c r="E1712" s="1">
        <v>0</v>
      </c>
      <c r="F1712" s="1">
        <v>0</v>
      </c>
      <c r="G1712" s="1">
        <v>11</v>
      </c>
      <c r="H1712" s="4">
        <v>0.73</v>
      </c>
      <c r="I1712" s="1">
        <v>3</v>
      </c>
      <c r="J1712" s="4">
        <v>0.33</v>
      </c>
      <c r="K1712" s="1">
        <v>0</v>
      </c>
      <c r="L1712" s="1">
        <v>10</v>
      </c>
      <c r="M1712" s="32">
        <f>IF(Mecze[[#This Row],[PR]]=0,0,Mecze[[#This Row],[PR]]/Mecze[[#This Row],[CZAS]])</f>
        <v>0.10416666666666667</v>
      </c>
      <c r="N1712" s="32">
        <f>IF(Mecze[[#This Row],[OU]]=0,0,Mecze[[#This Row],[OU]]/Mecze[[#This Row],[CZAS]])</f>
        <v>1.0416666666666666E-2</v>
      </c>
      <c r="O1712" s="32">
        <f>IF(Mecze[[#This Row],[PC]]=0,0,Mecze[[#This Row],[PC]]/Mecze[[#This Row],[CZAS]])</f>
        <v>8.3333333333333329E-2</v>
      </c>
      <c r="P1712" s="32">
        <f>IF(Mecze[[#This Row],[SC]]=0,0,Mecze[[#This Row],[SC]]/Mecze[[#This Row],[CZAS]])</f>
        <v>0</v>
      </c>
      <c r="Q1712" s="32">
        <f>IF(Mecze[[#This Row],[OB]]=0,0,Mecze[[#This Row],[OB]]/Mecze[[#This Row],[CZAS]])</f>
        <v>0</v>
      </c>
      <c r="R1712" s="32">
        <f>IF(Mecze[[#This Row],[BR]]=0,0,Mecze[[#This Row],[BR]]/Mecze[[#This Row],[CZAS]])</f>
        <v>0</v>
      </c>
      <c r="S1712" s="44">
        <f>IF(Mecze[[#This Row],[Role]]="BR",SUMPRODUCT(Mecze[[#This Row],[/PR:90]:[/BR:90]],Brudnopis!$E$23:$J$23),0)</f>
        <v>0</v>
      </c>
      <c r="T1712" s="44">
        <f>IF(Mecze[[#This Row],[Role]]&lt;&gt;"BR",SUMPRODUCT(Mecze[[#This Row],[/PR:90]:[/BR:90]],Brudnopis!$E$24:$J$24),0)</f>
        <v>0.203125</v>
      </c>
      <c r="U1712" s="44">
        <f>IF(Mecze[[#This Row],[Role]]&lt;&gt;"BR",SUMPRODUCT(Mecze[[#This Row],[/PR:90]:[/BR:90]],Brudnopis!$E$25:$J$25),0)</f>
        <v>0.23958333333333334</v>
      </c>
      <c r="V1712" s="44">
        <f>IF(Mecze[[#This Row],[Role]]&lt;&gt;"BR",SUMPRODUCT(Mecze[[#This Row],[/PR:90]:[/BR:90]],Brudnopis!$E$26:$J$26),0)</f>
        <v>0.19791666666666669</v>
      </c>
      <c r="W1712" s="44">
        <f>IF(Mecze[[#This Row],[Role]]&lt;&gt;"BR",SUMPRODUCT(Mecze[[#This Row],[/PR:90]:[/BR:90]],Brudnopis!$E$27:$J$27),0)</f>
        <v>0.2109375</v>
      </c>
      <c r="X1712" s="44">
        <f>IF(Mecze[[#This Row],[Role]]&lt;&gt;"BR",SUMPRODUCT(Mecze[[#This Row],[/PR:90]:[/BR:90]],Brudnopis!$E$28:$J$28),0)</f>
        <v>8.3333333333333329E-2</v>
      </c>
      <c r="Y1712" s="35">
        <f>IF(Mecze[[#This Row],[Role]]="BR",Mecze[[#This Row],[/OB:90]]+Mecze[[#This Row],[/PC:90]],SUM(Mecze[[#This Row],[/PR:90]:[/BR:90]]))</f>
        <v>0.19791666666666669</v>
      </c>
      <c r="Z1712" s="35">
        <f>IF(Mecze[[#This Row],[KC]]=0,SUM(Mecze[[#This Row],[/BRI]:[/NPI]]),SUM(Mecze[[#This Row],[/BRI]:[/NPI]])*0.6)</f>
        <v>0.93489583333333337</v>
      </c>
      <c r="AA1712" s="10">
        <f>IFERROR(Mecze[[#This Row],[BR]]/Mecze[[#This Row],[ST]],0)</f>
        <v>0</v>
      </c>
      <c r="AB1712">
        <f>ROUND(Mecze[[#This Row],[PD]]*Mecze[[#This Row],[%PC]],0)</f>
        <v>8</v>
      </c>
      <c r="AC1712">
        <f>ROUND(Mecze[[#This Row],[OD]]*Mecze[[#This Row],[%OU]],0)</f>
        <v>1</v>
      </c>
      <c r="AD1712" s="36" t="s">
        <v>41</v>
      </c>
      <c r="AE1712" s="36">
        <v>92</v>
      </c>
      <c r="AF1712" s="71">
        <v>7.23</v>
      </c>
      <c r="AG1712" s="37">
        <v>0</v>
      </c>
      <c r="AH1712" s="37">
        <v>0</v>
      </c>
      <c r="AI1712" s="37">
        <v>96</v>
      </c>
      <c r="AJ1712" s="37">
        <v>1</v>
      </c>
      <c r="AK1712" s="37" t="str">
        <f>VLOOKUP(Mecze[[#This Row],[Match ID]],Meczusie[Mecz]:Meczusie[RodzajMeczu],2,FALSE)</f>
        <v>Towarzyski</v>
      </c>
    </row>
    <row r="1713" spans="1:37" x14ac:dyDescent="0.25">
      <c r="A1713" s="76">
        <v>17</v>
      </c>
      <c r="B1713" s="3" t="s">
        <v>413</v>
      </c>
      <c r="C1713" s="2" t="s">
        <v>160</v>
      </c>
      <c r="D1713" s="1">
        <v>0</v>
      </c>
      <c r="E1713" s="1">
        <v>0</v>
      </c>
      <c r="F1713" s="1">
        <v>0</v>
      </c>
      <c r="G1713" s="1">
        <v>7</v>
      </c>
      <c r="H1713" s="4">
        <v>0.28999999999999998</v>
      </c>
      <c r="I1713" s="1">
        <v>4</v>
      </c>
      <c r="J1713" s="4">
        <v>0.25</v>
      </c>
      <c r="K1713" s="1">
        <v>0</v>
      </c>
      <c r="L1713" s="1">
        <v>3</v>
      </c>
      <c r="M1713" s="32">
        <f>IF(Mecze[[#This Row],[PR]]=0,0,Mecze[[#This Row],[PR]]/Mecze[[#This Row],[CZAS]])</f>
        <v>3.125E-2</v>
      </c>
      <c r="N1713" s="32">
        <f>IF(Mecze[[#This Row],[OU]]=0,0,Mecze[[#This Row],[OU]]/Mecze[[#This Row],[CZAS]])</f>
        <v>1.0416666666666666E-2</v>
      </c>
      <c r="O1713" s="32">
        <f>IF(Mecze[[#This Row],[PC]]=0,0,Mecze[[#This Row],[PC]]/Mecze[[#This Row],[CZAS]])</f>
        <v>2.0833333333333332E-2</v>
      </c>
      <c r="P1713" s="32">
        <f>IF(Mecze[[#This Row],[SC]]=0,0,Mecze[[#This Row],[SC]]/Mecze[[#This Row],[CZAS]])</f>
        <v>0</v>
      </c>
      <c r="Q1713" s="32">
        <f>IF(Mecze[[#This Row],[OB]]=0,0,Mecze[[#This Row],[OB]]/Mecze[[#This Row],[CZAS]])</f>
        <v>0</v>
      </c>
      <c r="R1713" s="32">
        <f>IF(Mecze[[#This Row],[BR]]=0,0,Mecze[[#This Row],[BR]]/Mecze[[#This Row],[CZAS]])</f>
        <v>0</v>
      </c>
      <c r="S1713" s="44">
        <f>IF(Mecze[[#This Row],[Role]]="BR",SUMPRODUCT(Mecze[[#This Row],[/PR:90]:[/BR:90]],Brudnopis!$E$23:$J$23),0)</f>
        <v>0</v>
      </c>
      <c r="T1713" s="44">
        <f>IF(Mecze[[#This Row],[Role]]&lt;&gt;"BR",SUMPRODUCT(Mecze[[#This Row],[/PR:90]:[/BR:90]],Brudnopis!$E$24:$J$24),0)</f>
        <v>6.7708333333333329E-2</v>
      </c>
      <c r="U1713" s="44">
        <f>IF(Mecze[[#This Row],[Role]]&lt;&gt;"BR",SUMPRODUCT(Mecze[[#This Row],[/PR:90]:[/BR:90]],Brudnopis!$E$25:$J$25),0)</f>
        <v>7.2916666666666657E-2</v>
      </c>
      <c r="V1713" s="44">
        <f>IF(Mecze[[#This Row],[Role]]&lt;&gt;"BR",SUMPRODUCT(Mecze[[#This Row],[/PR:90]:[/BR:90]],Brudnopis!$E$26:$J$26),0)</f>
        <v>6.25E-2</v>
      </c>
      <c r="W1713" s="44">
        <f>IF(Mecze[[#This Row],[Role]]&lt;&gt;"BR",SUMPRODUCT(Mecze[[#This Row],[/PR:90]:[/BR:90]],Brudnopis!$E$27:$J$27),0)</f>
        <v>6.25E-2</v>
      </c>
      <c r="X1713" s="44">
        <f>IF(Mecze[[#This Row],[Role]]&lt;&gt;"BR",SUMPRODUCT(Mecze[[#This Row],[/PR:90]:[/BR:90]],Brudnopis!$E$28:$J$28),0)</f>
        <v>2.0833333333333332E-2</v>
      </c>
      <c r="Y1713" s="35">
        <f>IF(Mecze[[#This Row],[Role]]="BR",Mecze[[#This Row],[/OB:90]]+Mecze[[#This Row],[/PC:90]],SUM(Mecze[[#This Row],[/PR:90]:[/BR:90]]))</f>
        <v>6.25E-2</v>
      </c>
      <c r="Z1713" s="35">
        <f>IF(Mecze[[#This Row],[KC]]=0,SUM(Mecze[[#This Row],[/BRI]:[/NPI]]),SUM(Mecze[[#This Row],[/BRI]:[/NPI]])*0.6)</f>
        <v>0.28645833333333331</v>
      </c>
      <c r="AA1713" s="10">
        <f>IFERROR(Mecze[[#This Row],[BR]]/Mecze[[#This Row],[ST]],0)</f>
        <v>0</v>
      </c>
      <c r="AB1713">
        <f>ROUND(Mecze[[#This Row],[PD]]*Mecze[[#This Row],[%PC]],0)</f>
        <v>2</v>
      </c>
      <c r="AC1713">
        <f>ROUND(Mecze[[#This Row],[OD]]*Mecze[[#This Row],[%OU]],0)</f>
        <v>1</v>
      </c>
      <c r="AD1713" s="36" t="s">
        <v>44</v>
      </c>
      <c r="AE1713" s="36">
        <v>92</v>
      </c>
      <c r="AF1713" s="71">
        <v>4.55</v>
      </c>
      <c r="AG1713" s="37">
        <v>0</v>
      </c>
      <c r="AH1713" s="37">
        <v>0</v>
      </c>
      <c r="AI1713" s="37">
        <v>96</v>
      </c>
      <c r="AJ1713" s="37">
        <v>1</v>
      </c>
      <c r="AK1713" s="37" t="str">
        <f>VLOOKUP(Mecze[[#This Row],[Match ID]],Meczusie[Mecz]:Meczusie[RodzajMeczu],2,FALSE)</f>
        <v>Towarzyski</v>
      </c>
    </row>
    <row r="1714" spans="1:37" x14ac:dyDescent="0.25">
      <c r="A1714" s="76">
        <v>28</v>
      </c>
      <c r="B1714" s="3" t="s">
        <v>419</v>
      </c>
      <c r="C1714" s="2" t="s">
        <v>160</v>
      </c>
      <c r="D1714" s="1">
        <v>0</v>
      </c>
      <c r="E1714" s="1">
        <v>2</v>
      </c>
      <c r="F1714" s="1">
        <v>1</v>
      </c>
      <c r="G1714" s="1">
        <v>3</v>
      </c>
      <c r="H1714" s="4">
        <v>0.33</v>
      </c>
      <c r="I1714" s="1">
        <v>5</v>
      </c>
      <c r="J1714" s="4">
        <v>0</v>
      </c>
      <c r="K1714" s="1">
        <v>0</v>
      </c>
      <c r="L1714" s="1">
        <v>0</v>
      </c>
      <c r="M1714" s="32">
        <f>IF(Mecze[[#This Row],[PR]]=0,0,Mecze[[#This Row],[PR]]/Mecze[[#This Row],[CZAS]])</f>
        <v>0</v>
      </c>
      <c r="N1714" s="32">
        <f>IF(Mecze[[#This Row],[OU]]=0,0,Mecze[[#This Row],[OU]]/Mecze[[#This Row],[CZAS]])</f>
        <v>0</v>
      </c>
      <c r="O1714" s="32">
        <f>IF(Mecze[[#This Row],[PC]]=0,0,Mecze[[#This Row],[PC]]/Mecze[[#This Row],[CZAS]])</f>
        <v>1.0416666666666666E-2</v>
      </c>
      <c r="P1714" s="32">
        <f>IF(Mecze[[#This Row],[SC]]=0,0,Mecze[[#This Row],[SC]]/Mecze[[#This Row],[CZAS]])</f>
        <v>1.0416666666666666E-2</v>
      </c>
      <c r="Q1714" s="32">
        <f>IF(Mecze[[#This Row],[OB]]=0,0,Mecze[[#This Row],[OB]]/Mecze[[#This Row],[CZAS]])</f>
        <v>0</v>
      </c>
      <c r="R1714" s="32">
        <f>IF(Mecze[[#This Row],[BR]]=0,0,Mecze[[#This Row],[BR]]/Mecze[[#This Row],[CZAS]])</f>
        <v>0</v>
      </c>
      <c r="S1714" s="44">
        <f>IF(Mecze[[#This Row],[Role]]="BR",SUMPRODUCT(Mecze[[#This Row],[/PR:90]:[/BR:90]],Brudnopis!$E$23:$J$23),0)</f>
        <v>0</v>
      </c>
      <c r="T1714" s="44">
        <f>IF(Mecze[[#This Row],[Role]]&lt;&gt;"BR",SUMPRODUCT(Mecze[[#This Row],[/PR:90]:[/BR:90]],Brudnopis!$E$24:$J$24),0)</f>
        <v>2.0833333333333332E-2</v>
      </c>
      <c r="U1714" s="44">
        <f>IF(Mecze[[#This Row],[Role]]&lt;&gt;"BR",SUMPRODUCT(Mecze[[#This Row],[/PR:90]:[/BR:90]],Brudnopis!$E$25:$J$25),0)</f>
        <v>2.6041666666666664E-2</v>
      </c>
      <c r="V1714" s="44">
        <f>IF(Mecze[[#This Row],[Role]]&lt;&gt;"BR",SUMPRODUCT(Mecze[[#This Row],[/PR:90]:[/BR:90]],Brudnopis!$E$26:$J$26),0)</f>
        <v>2.0833333333333332E-2</v>
      </c>
      <c r="W1714" s="44">
        <f>IF(Mecze[[#This Row],[Role]]&lt;&gt;"BR",SUMPRODUCT(Mecze[[#This Row],[/PR:90]:[/BR:90]],Brudnopis!$E$27:$J$27),0)</f>
        <v>2.6041666666666664E-2</v>
      </c>
      <c r="X1714" s="44">
        <f>IF(Mecze[[#This Row],[Role]]&lt;&gt;"BR",SUMPRODUCT(Mecze[[#This Row],[/PR:90]:[/BR:90]],Brudnopis!$E$28:$J$28),0)</f>
        <v>3.125E-2</v>
      </c>
      <c r="Y1714" s="35">
        <f>IF(Mecze[[#This Row],[Role]]="BR",Mecze[[#This Row],[/OB:90]]+Mecze[[#This Row],[/PC:90]],SUM(Mecze[[#This Row],[/PR:90]:[/BR:90]]))</f>
        <v>2.0833333333333332E-2</v>
      </c>
      <c r="Z1714" s="35">
        <f>IF(Mecze[[#This Row],[KC]]=0,SUM(Mecze[[#This Row],[/BRI]:[/NPI]]),SUM(Mecze[[#This Row],[/BRI]:[/NPI]])*0.6)</f>
        <v>0.125</v>
      </c>
      <c r="AA1714" s="10">
        <f>IFERROR(Mecze[[#This Row],[BR]]/Mecze[[#This Row],[ST]],0)</f>
        <v>0</v>
      </c>
      <c r="AB1714">
        <f>ROUND(Mecze[[#This Row],[PD]]*Mecze[[#This Row],[%PC]],0)</f>
        <v>1</v>
      </c>
      <c r="AC1714">
        <f>ROUND(Mecze[[#This Row],[OD]]*Mecze[[#This Row],[%OU]],0)</f>
        <v>0</v>
      </c>
      <c r="AD1714" s="36" t="s">
        <v>44</v>
      </c>
      <c r="AE1714" s="36">
        <v>92</v>
      </c>
      <c r="AF1714" s="71">
        <v>4.1500000000000004</v>
      </c>
      <c r="AG1714" s="37">
        <v>0</v>
      </c>
      <c r="AH1714" s="37">
        <v>0</v>
      </c>
      <c r="AI1714" s="37">
        <v>96</v>
      </c>
      <c r="AJ1714" s="37">
        <v>1</v>
      </c>
      <c r="AK1714" s="37" t="str">
        <f>VLOOKUP(Mecze[[#This Row],[Match ID]],Meczusie[Mecz]:Meczusie[RodzajMeczu],2,FALSE)</f>
        <v>Towarzyski</v>
      </c>
    </row>
    <row r="1715" spans="1:37" x14ac:dyDescent="0.25">
      <c r="A1715" s="76">
        <v>27</v>
      </c>
      <c r="B1715" s="3" t="s">
        <v>364</v>
      </c>
      <c r="C1715" s="2" t="s">
        <v>165</v>
      </c>
      <c r="D1715" s="1">
        <v>2</v>
      </c>
      <c r="E1715" s="1">
        <v>12</v>
      </c>
      <c r="F1715" s="1">
        <v>12</v>
      </c>
      <c r="G1715" s="1">
        <v>6</v>
      </c>
      <c r="H1715" s="4">
        <v>0.33</v>
      </c>
      <c r="I1715" s="1">
        <v>8</v>
      </c>
      <c r="J1715" s="4">
        <v>0.13</v>
      </c>
      <c r="K1715" s="1">
        <v>0</v>
      </c>
      <c r="L1715" s="1">
        <v>1</v>
      </c>
      <c r="M1715" s="32">
        <f>IF(Mecze[[#This Row],[PR]]=0,0,Mecze[[#This Row],[PR]]/Mecze[[#This Row],[CZAS]])</f>
        <v>1.0416666666666666E-2</v>
      </c>
      <c r="N1715" s="32">
        <f>IF(Mecze[[#This Row],[OU]]=0,0,Mecze[[#This Row],[OU]]/Mecze[[#This Row],[CZAS]])</f>
        <v>1.0416666666666666E-2</v>
      </c>
      <c r="O1715" s="32">
        <f>IF(Mecze[[#This Row],[PC]]=0,0,Mecze[[#This Row],[PC]]/Mecze[[#This Row],[CZAS]])</f>
        <v>2.0833333333333332E-2</v>
      </c>
      <c r="P1715" s="32">
        <f>IF(Mecze[[#This Row],[SC]]=0,0,Mecze[[#This Row],[SC]]/Mecze[[#This Row],[CZAS]])</f>
        <v>0.125</v>
      </c>
      <c r="Q1715" s="32">
        <f>IF(Mecze[[#This Row],[OB]]=0,0,Mecze[[#This Row],[OB]]/Mecze[[#This Row],[CZAS]])</f>
        <v>0</v>
      </c>
      <c r="R1715" s="32">
        <f>IF(Mecze[[#This Row],[BR]]=0,0,Mecze[[#This Row],[BR]]/Mecze[[#This Row],[CZAS]])</f>
        <v>2.0833333333333332E-2</v>
      </c>
      <c r="S1715" s="44">
        <f>IF(Mecze[[#This Row],[Role]]="BR",SUMPRODUCT(Mecze[[#This Row],[/PR:90]:[/BR:90]],Brudnopis!$E$23:$J$23),0)</f>
        <v>0</v>
      </c>
      <c r="T1715" s="44">
        <f>IF(Mecze[[#This Row],[Role]]&lt;&gt;"BR",SUMPRODUCT(Mecze[[#This Row],[/PR:90]:[/BR:90]],Brudnopis!$E$24:$J$24),0)</f>
        <v>0.203125</v>
      </c>
      <c r="U1715" s="44">
        <f>IF(Mecze[[#This Row],[Role]]&lt;&gt;"BR",SUMPRODUCT(Mecze[[#This Row],[/PR:90]:[/BR:90]],Brudnopis!$E$25:$J$25),0)</f>
        <v>0.20833333333333331</v>
      </c>
      <c r="V1715" s="44">
        <f>IF(Mecze[[#This Row],[Role]]&lt;&gt;"BR",SUMPRODUCT(Mecze[[#This Row],[/PR:90]:[/BR:90]],Brudnopis!$E$26:$J$26),0)</f>
        <v>0.20833333333333331</v>
      </c>
      <c r="W1715" s="44">
        <f>IF(Mecze[[#This Row],[Role]]&lt;&gt;"BR",SUMPRODUCT(Mecze[[#This Row],[/PR:90]:[/BR:90]],Brudnopis!$E$27:$J$27),0)</f>
        <v>0.21354166666666666</v>
      </c>
      <c r="X1715" s="44">
        <f>IF(Mecze[[#This Row],[Role]]&lt;&gt;"BR",SUMPRODUCT(Mecze[[#This Row],[/PR:90]:[/BR:90]],Brudnopis!$E$28:$J$28),0)</f>
        <v>0.33333333333333331</v>
      </c>
      <c r="Y1715" s="35">
        <f>IF(Mecze[[#This Row],[Role]]="BR",Mecze[[#This Row],[/OB:90]]+Mecze[[#This Row],[/PC:90]],SUM(Mecze[[#This Row],[/PR:90]:[/BR:90]]))</f>
        <v>0.1875</v>
      </c>
      <c r="Z1715" s="35">
        <f>IF(Mecze[[#This Row],[KC]]=0,SUM(Mecze[[#This Row],[/BRI]:[/NPI]]),SUM(Mecze[[#This Row],[/BRI]:[/NPI]])*0.6)</f>
        <v>1.1666666666666665</v>
      </c>
      <c r="AA1715" s="10">
        <f>IFERROR(Mecze[[#This Row],[BR]]/Mecze[[#This Row],[ST]],0)</f>
        <v>0.16666666666666666</v>
      </c>
      <c r="AB1715">
        <f>ROUND(Mecze[[#This Row],[PD]]*Mecze[[#This Row],[%PC]],0)</f>
        <v>2</v>
      </c>
      <c r="AC1715">
        <f>ROUND(Mecze[[#This Row],[OD]]*Mecze[[#This Row],[%OU]],0)</f>
        <v>1</v>
      </c>
      <c r="AD1715" s="36" t="s">
        <v>46</v>
      </c>
      <c r="AE1715" s="36">
        <v>92</v>
      </c>
      <c r="AF1715" s="71">
        <v>11.17</v>
      </c>
      <c r="AG1715" s="37">
        <v>0</v>
      </c>
      <c r="AH1715" s="37">
        <v>0</v>
      </c>
      <c r="AI1715" s="37">
        <v>96</v>
      </c>
      <c r="AJ1715" s="37">
        <v>1</v>
      </c>
      <c r="AK1715" s="37" t="str">
        <f>VLOOKUP(Mecze[[#This Row],[Match ID]],Meczusie[Mecz]:Meczusie[RodzajMeczu],2,FALSE)</f>
        <v>Towarzyski</v>
      </c>
    </row>
    <row r="1716" spans="1:37" x14ac:dyDescent="0.25">
      <c r="A1716" s="76">
        <v>48</v>
      </c>
      <c r="B1716" s="3" t="s">
        <v>414</v>
      </c>
      <c r="C1716" s="2" t="s">
        <v>165</v>
      </c>
      <c r="D1716" s="1">
        <v>1</v>
      </c>
      <c r="E1716" s="1">
        <v>2</v>
      </c>
      <c r="F1716" s="1">
        <v>1</v>
      </c>
      <c r="G1716" s="1">
        <v>7</v>
      </c>
      <c r="H1716" s="4">
        <v>0.56999999999999995</v>
      </c>
      <c r="I1716" s="1">
        <v>1</v>
      </c>
      <c r="J1716" s="4">
        <v>0</v>
      </c>
      <c r="K1716" s="1">
        <v>0</v>
      </c>
      <c r="L1716" s="1">
        <v>1</v>
      </c>
      <c r="M1716" s="32">
        <f>IF(Mecze[[#This Row],[PR]]=0,0,Mecze[[#This Row],[PR]]/Mecze[[#This Row],[CZAS]])</f>
        <v>1.0416666666666666E-2</v>
      </c>
      <c r="N1716" s="32">
        <f>IF(Mecze[[#This Row],[OU]]=0,0,Mecze[[#This Row],[OU]]/Mecze[[#This Row],[CZAS]])</f>
        <v>0</v>
      </c>
      <c r="O1716" s="32">
        <f>IF(Mecze[[#This Row],[PC]]=0,0,Mecze[[#This Row],[PC]]/Mecze[[#This Row],[CZAS]])</f>
        <v>4.1666666666666664E-2</v>
      </c>
      <c r="P1716" s="32">
        <f>IF(Mecze[[#This Row],[SC]]=0,0,Mecze[[#This Row],[SC]]/Mecze[[#This Row],[CZAS]])</f>
        <v>1.0416666666666666E-2</v>
      </c>
      <c r="Q1716" s="32">
        <f>IF(Mecze[[#This Row],[OB]]=0,0,Mecze[[#This Row],[OB]]/Mecze[[#This Row],[CZAS]])</f>
        <v>0</v>
      </c>
      <c r="R1716" s="32">
        <f>IF(Mecze[[#This Row],[BR]]=0,0,Mecze[[#This Row],[BR]]/Mecze[[#This Row],[CZAS]])</f>
        <v>1.0416666666666666E-2</v>
      </c>
      <c r="S1716" s="44">
        <f>IF(Mecze[[#This Row],[Role]]="BR",SUMPRODUCT(Mecze[[#This Row],[/PR:90]:[/BR:90]],Brudnopis!$E$23:$J$23),0)</f>
        <v>0</v>
      </c>
      <c r="T1716" s="44">
        <f>IF(Mecze[[#This Row],[Role]]&lt;&gt;"BR",SUMPRODUCT(Mecze[[#This Row],[/PR:90]:[/BR:90]],Brudnopis!$E$24:$J$24),0)</f>
        <v>7.8125E-2</v>
      </c>
      <c r="U1716" s="44">
        <f>IF(Mecze[[#This Row],[Role]]&lt;&gt;"BR",SUMPRODUCT(Mecze[[#This Row],[/PR:90]:[/BR:90]],Brudnopis!$E$25:$J$25),0)</f>
        <v>9.8958333333333343E-2</v>
      </c>
      <c r="V1716" s="44">
        <f>IF(Mecze[[#This Row],[Role]]&lt;&gt;"BR",SUMPRODUCT(Mecze[[#This Row],[/PR:90]:[/BR:90]],Brudnopis!$E$26:$J$26),0)</f>
        <v>8.3333333333333329E-2</v>
      </c>
      <c r="W1716" s="44">
        <f>IF(Mecze[[#This Row],[Role]]&lt;&gt;"BR",SUMPRODUCT(Mecze[[#This Row],[/PR:90]:[/BR:90]],Brudnopis!$E$27:$J$27),0)</f>
        <v>0.1015625</v>
      </c>
      <c r="X1716" s="44">
        <f>IF(Mecze[[#This Row],[Role]]&lt;&gt;"BR",SUMPRODUCT(Mecze[[#This Row],[/PR:90]:[/BR:90]],Brudnopis!$E$28:$J$28),0)</f>
        <v>9.375E-2</v>
      </c>
      <c r="Y1716" s="35">
        <f>IF(Mecze[[#This Row],[Role]]="BR",Mecze[[#This Row],[/OB:90]]+Mecze[[#This Row],[/PC:90]],SUM(Mecze[[#This Row],[/PR:90]:[/BR:90]]))</f>
        <v>7.2916666666666657E-2</v>
      </c>
      <c r="Z1716" s="35">
        <f>IF(Mecze[[#This Row],[KC]]=0,SUM(Mecze[[#This Row],[/BRI]:[/NPI]]),SUM(Mecze[[#This Row],[/BRI]:[/NPI]])*0.6)</f>
        <v>0.45572916666666669</v>
      </c>
      <c r="AA1716" s="10">
        <f>IFERROR(Mecze[[#This Row],[BR]]/Mecze[[#This Row],[ST]],0)</f>
        <v>0.5</v>
      </c>
      <c r="AB1716">
        <f>ROUND(Mecze[[#This Row],[PD]]*Mecze[[#This Row],[%PC]],0)</f>
        <v>4</v>
      </c>
      <c r="AC1716">
        <f>ROUND(Mecze[[#This Row],[OD]]*Mecze[[#This Row],[%OU]],0)</f>
        <v>0</v>
      </c>
      <c r="AD1716" s="36" t="s">
        <v>46</v>
      </c>
      <c r="AE1716" s="36">
        <v>92</v>
      </c>
      <c r="AF1716" s="71">
        <v>7.78</v>
      </c>
      <c r="AG1716" s="37">
        <v>0</v>
      </c>
      <c r="AH1716" s="37">
        <v>0</v>
      </c>
      <c r="AI1716" s="37">
        <v>96</v>
      </c>
      <c r="AJ1716" s="37">
        <v>1</v>
      </c>
      <c r="AK1716" s="37" t="str">
        <f>VLOOKUP(Mecze[[#This Row],[Match ID]],Meczusie[Mecz]:Meczusie[RodzajMeczu],2,FALSE)</f>
        <v>Towarzyski</v>
      </c>
    </row>
    <row r="1717" spans="1:37" x14ac:dyDescent="0.25">
      <c r="A1717" s="76">
        <v>26</v>
      </c>
      <c r="B1717" s="3" t="s">
        <v>368</v>
      </c>
      <c r="C1717" s="2" t="s">
        <v>165</v>
      </c>
      <c r="D1717" s="1">
        <v>0</v>
      </c>
      <c r="E1717" s="1">
        <v>0</v>
      </c>
      <c r="F1717" s="1">
        <v>0</v>
      </c>
      <c r="G1717" s="1">
        <v>11</v>
      </c>
      <c r="H1717" s="4">
        <v>0.18</v>
      </c>
      <c r="I1717" s="1">
        <v>10</v>
      </c>
      <c r="J1717" s="4">
        <v>0.2</v>
      </c>
      <c r="K1717" s="1">
        <v>0</v>
      </c>
      <c r="L1717" s="1">
        <v>13</v>
      </c>
      <c r="M1717" s="32">
        <f>IF(Mecze[[#This Row],[PR]]=0,0,Mecze[[#This Row],[PR]]/Mecze[[#This Row],[CZAS]])</f>
        <v>0.13541666666666666</v>
      </c>
      <c r="N1717" s="32">
        <f>IF(Mecze[[#This Row],[OU]]=0,0,Mecze[[#This Row],[OU]]/Mecze[[#This Row],[CZAS]])</f>
        <v>2.0833333333333332E-2</v>
      </c>
      <c r="O1717" s="32">
        <f>IF(Mecze[[#This Row],[PC]]=0,0,Mecze[[#This Row],[PC]]/Mecze[[#This Row],[CZAS]])</f>
        <v>2.0833333333333332E-2</v>
      </c>
      <c r="P1717" s="32">
        <f>IF(Mecze[[#This Row],[SC]]=0,0,Mecze[[#This Row],[SC]]/Mecze[[#This Row],[CZAS]])</f>
        <v>0</v>
      </c>
      <c r="Q1717" s="32">
        <f>IF(Mecze[[#This Row],[OB]]=0,0,Mecze[[#This Row],[OB]]/Mecze[[#This Row],[CZAS]])</f>
        <v>0</v>
      </c>
      <c r="R1717" s="32">
        <f>IF(Mecze[[#This Row],[BR]]=0,0,Mecze[[#This Row],[BR]]/Mecze[[#This Row],[CZAS]])</f>
        <v>0</v>
      </c>
      <c r="S1717" s="44">
        <f>IF(Mecze[[#This Row],[Role]]="BR",SUMPRODUCT(Mecze[[#This Row],[/PR:90]:[/BR:90]],Brudnopis!$E$23:$J$23),0)</f>
        <v>0</v>
      </c>
      <c r="T1717" s="44">
        <f>IF(Mecze[[#This Row],[Role]]&lt;&gt;"BR",SUMPRODUCT(Mecze[[#This Row],[/PR:90]:[/BR:90]],Brudnopis!$E$24:$J$24),0)</f>
        <v>0.1875</v>
      </c>
      <c r="U1717" s="44">
        <f>IF(Mecze[[#This Row],[Role]]&lt;&gt;"BR",SUMPRODUCT(Mecze[[#This Row],[/PR:90]:[/BR:90]],Brudnopis!$E$25:$J$25),0)</f>
        <v>0.1875</v>
      </c>
      <c r="V1717" s="44">
        <f>IF(Mecze[[#This Row],[Role]]&lt;&gt;"BR",SUMPRODUCT(Mecze[[#This Row],[/PR:90]:[/BR:90]],Brudnopis!$E$26:$J$26),0)</f>
        <v>0.17708333333333334</v>
      </c>
      <c r="W1717" s="44">
        <f>IF(Mecze[[#This Row],[Role]]&lt;&gt;"BR",SUMPRODUCT(Mecze[[#This Row],[/PR:90]:[/BR:90]],Brudnopis!$E$27:$J$27),0)</f>
        <v>0.1484375</v>
      </c>
      <c r="X1717" s="44">
        <f>IF(Mecze[[#This Row],[Role]]&lt;&gt;"BR",SUMPRODUCT(Mecze[[#This Row],[/PR:90]:[/BR:90]],Brudnopis!$E$28:$J$28),0)</f>
        <v>2.0833333333333332E-2</v>
      </c>
      <c r="Y1717" s="35">
        <f>IF(Mecze[[#This Row],[Role]]="BR",Mecze[[#This Row],[/OB:90]]+Mecze[[#This Row],[/PC:90]],SUM(Mecze[[#This Row],[/PR:90]:[/BR:90]]))</f>
        <v>0.17708333333333334</v>
      </c>
      <c r="Z1717" s="35">
        <f>IF(Mecze[[#This Row],[KC]]=0,SUM(Mecze[[#This Row],[/BRI]:[/NPI]]),SUM(Mecze[[#This Row],[/BRI]:[/NPI]])*0.6)</f>
        <v>0.72135416666666674</v>
      </c>
      <c r="AA1717" s="10">
        <f>IFERROR(Mecze[[#This Row],[BR]]/Mecze[[#This Row],[ST]],0)</f>
        <v>0</v>
      </c>
      <c r="AB1717">
        <f>ROUND(Mecze[[#This Row],[PD]]*Mecze[[#This Row],[%PC]],0)</f>
        <v>2</v>
      </c>
      <c r="AC1717">
        <f>ROUND(Mecze[[#This Row],[OD]]*Mecze[[#This Row],[%OU]],0)</f>
        <v>2</v>
      </c>
      <c r="AD1717" s="36" t="s">
        <v>46</v>
      </c>
      <c r="AE1717" s="36">
        <v>92</v>
      </c>
      <c r="AF1717" s="71">
        <v>2.2799999999999998</v>
      </c>
      <c r="AG1717" s="37">
        <v>1</v>
      </c>
      <c r="AH1717" s="37">
        <v>0</v>
      </c>
      <c r="AI1717" s="37">
        <v>96</v>
      </c>
      <c r="AJ1717" s="37">
        <v>1</v>
      </c>
      <c r="AK1717" s="37" t="str">
        <f>VLOOKUP(Mecze[[#This Row],[Match ID]],Meczusie[Mecz]:Meczusie[RodzajMeczu],2,FALSE)</f>
        <v>Towarzyski</v>
      </c>
    </row>
    <row r="1718" spans="1:37" x14ac:dyDescent="0.25">
      <c r="A1718" s="76">
        <v>39</v>
      </c>
      <c r="B1718" s="3" t="s">
        <v>450</v>
      </c>
      <c r="C1718" s="2" t="s">
        <v>155</v>
      </c>
      <c r="D1718" s="1">
        <v>0</v>
      </c>
      <c r="E1718" s="1">
        <v>0</v>
      </c>
      <c r="F1718" s="1">
        <v>0</v>
      </c>
      <c r="G1718" s="1">
        <v>1</v>
      </c>
      <c r="H1718" s="4">
        <v>1</v>
      </c>
      <c r="I1718" s="1">
        <v>0</v>
      </c>
      <c r="J1718" s="4"/>
      <c r="K1718" s="1">
        <v>1</v>
      </c>
      <c r="L1718" s="1">
        <v>0</v>
      </c>
      <c r="M1718" s="32">
        <f>IF(Mecze[[#This Row],[PR]]=0,0,Mecze[[#This Row],[PR]]/Mecze[[#This Row],[CZAS]])</f>
        <v>0</v>
      </c>
      <c r="N1718" s="32">
        <f>IF(Mecze[[#This Row],[OU]]=0,0,Mecze[[#This Row],[OU]]/Mecze[[#This Row],[CZAS]])</f>
        <v>0</v>
      </c>
      <c r="O1718" s="32">
        <f>IF(Mecze[[#This Row],[PC]]=0,0,Mecze[[#This Row],[PC]]/Mecze[[#This Row],[CZAS]])</f>
        <v>1.0309278350515464E-2</v>
      </c>
      <c r="P1718" s="32">
        <f>IF(Mecze[[#This Row],[SC]]=0,0,Mecze[[#This Row],[SC]]/Mecze[[#This Row],[CZAS]])</f>
        <v>0</v>
      </c>
      <c r="Q1718" s="32">
        <f>IF(Mecze[[#This Row],[OB]]=0,0,Mecze[[#This Row],[OB]]/Mecze[[#This Row],[CZAS]])</f>
        <v>1.0309278350515464E-2</v>
      </c>
      <c r="R1718" s="32">
        <f>IF(Mecze[[#This Row],[BR]]=0,0,Mecze[[#This Row],[BR]]/Mecze[[#This Row],[CZAS]])</f>
        <v>0</v>
      </c>
      <c r="S1718" s="44">
        <f>IF(Mecze[[#This Row],[Role]]="BR",SUMPRODUCT(Mecze[[#This Row],[/PR:90]:[/BR:90]],Brudnopis!$E$23:$J$23),0)</f>
        <v>6.1855670103092786E-2</v>
      </c>
      <c r="T1718" s="44">
        <f>IF(Mecze[[#This Row],[Role]]&lt;&gt;"BR",SUMPRODUCT(Mecze[[#This Row],[/PR:90]:[/BR:90]],Brudnopis!$E$24:$J$24),0)</f>
        <v>0</v>
      </c>
      <c r="U1718" s="44">
        <f>IF(Mecze[[#This Row],[Role]]&lt;&gt;"BR",SUMPRODUCT(Mecze[[#This Row],[/PR:90]:[/BR:90]],Brudnopis!$E$25:$J$25),0)</f>
        <v>0</v>
      </c>
      <c r="V1718" s="44">
        <f>IF(Mecze[[#This Row],[Role]]&lt;&gt;"BR",SUMPRODUCT(Mecze[[#This Row],[/PR:90]:[/BR:90]],Brudnopis!$E$26:$J$26),0)</f>
        <v>0</v>
      </c>
      <c r="W1718" s="44">
        <f>IF(Mecze[[#This Row],[Role]]&lt;&gt;"BR",SUMPRODUCT(Mecze[[#This Row],[/PR:90]:[/BR:90]],Brudnopis!$E$27:$J$27),0)</f>
        <v>0</v>
      </c>
      <c r="X1718" s="44">
        <f>IF(Mecze[[#This Row],[Role]]&lt;&gt;"BR",SUMPRODUCT(Mecze[[#This Row],[/PR:90]:[/BR:90]],Brudnopis!$E$28:$J$28),0)</f>
        <v>0</v>
      </c>
      <c r="Y1718" s="35">
        <f>IF(Mecze[[#This Row],[Role]]="BR",Mecze[[#This Row],[/OB:90]]+Mecze[[#This Row],[/PC:90]],SUM(Mecze[[#This Row],[/PR:90]:[/BR:90]]))</f>
        <v>2.0618556701030927E-2</v>
      </c>
      <c r="Z1718" s="35">
        <f>IF(Mecze[[#This Row],[KC]]=0,SUM(Mecze[[#This Row],[/BRI]:[/NPI]]),SUM(Mecze[[#This Row],[/BRI]:[/NPI]])*0.6)</f>
        <v>6.1855670103092786E-2</v>
      </c>
      <c r="AA1718" s="10">
        <f>IFERROR(Mecze[[#This Row],[BR]]/Mecze[[#This Row],[ST]],0)</f>
        <v>0</v>
      </c>
      <c r="AB1718">
        <f>ROUND(Mecze[[#This Row],[PD]]*Mecze[[#This Row],[%PC]],0)</f>
        <v>1</v>
      </c>
      <c r="AC1718">
        <f>ROUND(Mecze[[#This Row],[OD]]*Mecze[[#This Row],[%OU]],0)</f>
        <v>0</v>
      </c>
      <c r="AD1718" s="36" t="s">
        <v>40</v>
      </c>
      <c r="AE1718" s="36">
        <v>93</v>
      </c>
      <c r="AF1718" s="71">
        <v>3.16</v>
      </c>
      <c r="AG1718" s="37">
        <v>0</v>
      </c>
      <c r="AH1718" s="37">
        <v>0</v>
      </c>
      <c r="AI1718" s="37">
        <v>97</v>
      </c>
      <c r="AJ1718" s="37">
        <v>1</v>
      </c>
      <c r="AK1718" s="37" t="str">
        <f>VLOOKUP(Mecze[[#This Row],[Match ID]],Meczusie[Mecz]:Meczusie[RodzajMeczu],2,FALSE)</f>
        <v>Towarzyski</v>
      </c>
    </row>
    <row r="1719" spans="1:37" x14ac:dyDescent="0.25">
      <c r="A1719" s="76">
        <v>38</v>
      </c>
      <c r="B1719" s="3" t="s">
        <v>359</v>
      </c>
      <c r="C1719" s="2" t="s">
        <v>157</v>
      </c>
      <c r="D1719" s="1">
        <v>0</v>
      </c>
      <c r="E1719" s="1">
        <v>0</v>
      </c>
      <c r="F1719" s="1">
        <v>0</v>
      </c>
      <c r="G1719" s="1">
        <v>5</v>
      </c>
      <c r="H1719" s="4">
        <v>0.2</v>
      </c>
      <c r="I1719" s="1">
        <v>3</v>
      </c>
      <c r="J1719" s="4">
        <v>0.33</v>
      </c>
      <c r="K1719" s="1">
        <v>0</v>
      </c>
      <c r="L1719" s="1">
        <v>3</v>
      </c>
      <c r="M1719" s="32">
        <f>IF(Mecze[[#This Row],[PR]]=0,0,Mecze[[#This Row],[PR]]/Mecze[[#This Row],[CZAS]])</f>
        <v>3.0927835051546393E-2</v>
      </c>
      <c r="N1719" s="32">
        <f>IF(Mecze[[#This Row],[OU]]=0,0,Mecze[[#This Row],[OU]]/Mecze[[#This Row],[CZAS]])</f>
        <v>1.0309278350515464E-2</v>
      </c>
      <c r="O1719" s="32">
        <f>IF(Mecze[[#This Row],[PC]]=0,0,Mecze[[#This Row],[PC]]/Mecze[[#This Row],[CZAS]])</f>
        <v>1.0309278350515464E-2</v>
      </c>
      <c r="P1719" s="32">
        <f>IF(Mecze[[#This Row],[SC]]=0,0,Mecze[[#This Row],[SC]]/Mecze[[#This Row],[CZAS]])</f>
        <v>0</v>
      </c>
      <c r="Q1719" s="32">
        <f>IF(Mecze[[#This Row],[OB]]=0,0,Mecze[[#This Row],[OB]]/Mecze[[#This Row],[CZAS]])</f>
        <v>0</v>
      </c>
      <c r="R1719" s="32">
        <f>IF(Mecze[[#This Row],[BR]]=0,0,Mecze[[#This Row],[BR]]/Mecze[[#This Row],[CZAS]])</f>
        <v>0</v>
      </c>
      <c r="S1719" s="44">
        <f>IF(Mecze[[#This Row],[Role]]="BR",SUMPRODUCT(Mecze[[#This Row],[/PR:90]:[/BR:90]],Brudnopis!$E$23:$J$23),0)</f>
        <v>0</v>
      </c>
      <c r="T1719" s="44">
        <f>IF(Mecze[[#This Row],[Role]]&lt;&gt;"BR",SUMPRODUCT(Mecze[[#This Row],[/PR:90]:[/BR:90]],Brudnopis!$E$24:$J$24),0)</f>
        <v>5.6701030927835051E-2</v>
      </c>
      <c r="U1719" s="44">
        <f>IF(Mecze[[#This Row],[Role]]&lt;&gt;"BR",SUMPRODUCT(Mecze[[#This Row],[/PR:90]:[/BR:90]],Brudnopis!$E$25:$J$25),0)</f>
        <v>5.6701030927835051E-2</v>
      </c>
      <c r="V1719" s="44">
        <f>IF(Mecze[[#This Row],[Role]]&lt;&gt;"BR",SUMPRODUCT(Mecze[[#This Row],[/PR:90]:[/BR:90]],Brudnopis!$E$26:$J$26),0)</f>
        <v>5.1546391752577317E-2</v>
      </c>
      <c r="W1719" s="44">
        <f>IF(Mecze[[#This Row],[Role]]&lt;&gt;"BR",SUMPRODUCT(Mecze[[#This Row],[/PR:90]:[/BR:90]],Brudnopis!$E$27:$J$27),0)</f>
        <v>4.6391752577319589E-2</v>
      </c>
      <c r="X1719" s="44">
        <f>IF(Mecze[[#This Row],[Role]]&lt;&gt;"BR",SUMPRODUCT(Mecze[[#This Row],[/PR:90]:[/BR:90]],Brudnopis!$E$28:$J$28),0)</f>
        <v>1.0309278350515464E-2</v>
      </c>
      <c r="Y1719" s="35">
        <f>IF(Mecze[[#This Row],[Role]]="BR",Mecze[[#This Row],[/OB:90]]+Mecze[[#This Row],[/PC:90]],SUM(Mecze[[#This Row],[/PR:90]:[/BR:90]]))</f>
        <v>5.1546391752577317E-2</v>
      </c>
      <c r="Z1719" s="35">
        <f>IF(Mecze[[#This Row],[KC]]=0,SUM(Mecze[[#This Row],[/BRI]:[/NPI]]),SUM(Mecze[[#This Row],[/BRI]:[/NPI]])*0.6)</f>
        <v>0.22164948453608246</v>
      </c>
      <c r="AA1719" s="10">
        <f>IFERROR(Mecze[[#This Row],[BR]]/Mecze[[#This Row],[ST]],0)</f>
        <v>0</v>
      </c>
      <c r="AB1719">
        <f>ROUND(Mecze[[#This Row],[PD]]*Mecze[[#This Row],[%PC]],0)</f>
        <v>1</v>
      </c>
      <c r="AC1719">
        <f>ROUND(Mecze[[#This Row],[OD]]*Mecze[[#This Row],[%OU]],0)</f>
        <v>1</v>
      </c>
      <c r="AD1719" s="36" t="s">
        <v>47</v>
      </c>
      <c r="AE1719" s="36">
        <v>93</v>
      </c>
      <c r="AF1719" s="71">
        <v>3.44</v>
      </c>
      <c r="AG1719" s="37">
        <v>0</v>
      </c>
      <c r="AH1719" s="37">
        <v>0</v>
      </c>
      <c r="AI1719" s="37">
        <v>97</v>
      </c>
      <c r="AJ1719" s="37">
        <v>1</v>
      </c>
      <c r="AK1719" s="37" t="str">
        <f>VLOOKUP(Mecze[[#This Row],[Match ID]],Meczusie[Mecz]:Meczusie[RodzajMeczu],2,FALSE)</f>
        <v>Towarzyski</v>
      </c>
    </row>
    <row r="1720" spans="1:37" x14ac:dyDescent="0.25">
      <c r="A1720" s="76">
        <v>4</v>
      </c>
      <c r="B1720" s="3" t="s">
        <v>360</v>
      </c>
      <c r="C1720" s="2" t="s">
        <v>157</v>
      </c>
      <c r="D1720" s="1">
        <v>1</v>
      </c>
      <c r="E1720" s="1">
        <v>3</v>
      </c>
      <c r="F1720" s="1">
        <v>3</v>
      </c>
      <c r="G1720" s="1">
        <v>9</v>
      </c>
      <c r="H1720" s="4">
        <v>0.67</v>
      </c>
      <c r="I1720" s="1">
        <v>5</v>
      </c>
      <c r="J1720" s="4">
        <v>0.8</v>
      </c>
      <c r="K1720" s="1">
        <v>0</v>
      </c>
      <c r="L1720" s="1">
        <v>12</v>
      </c>
      <c r="M1720" s="32">
        <f>IF(Mecze[[#This Row],[PR]]=0,0,Mecze[[#This Row],[PR]]/Mecze[[#This Row],[CZAS]])</f>
        <v>0.12371134020618557</v>
      </c>
      <c r="N1720" s="32">
        <f>IF(Mecze[[#This Row],[OU]]=0,0,Mecze[[#This Row],[OU]]/Mecze[[#This Row],[CZAS]])</f>
        <v>4.1237113402061855E-2</v>
      </c>
      <c r="O1720" s="32">
        <f>IF(Mecze[[#This Row],[PC]]=0,0,Mecze[[#This Row],[PC]]/Mecze[[#This Row],[CZAS]])</f>
        <v>6.1855670103092786E-2</v>
      </c>
      <c r="P1720" s="32">
        <f>IF(Mecze[[#This Row],[SC]]=0,0,Mecze[[#This Row],[SC]]/Mecze[[#This Row],[CZAS]])</f>
        <v>3.0927835051546393E-2</v>
      </c>
      <c r="Q1720" s="32">
        <f>IF(Mecze[[#This Row],[OB]]=0,0,Mecze[[#This Row],[OB]]/Mecze[[#This Row],[CZAS]])</f>
        <v>0</v>
      </c>
      <c r="R1720" s="32">
        <f>IF(Mecze[[#This Row],[BR]]=0,0,Mecze[[#This Row],[BR]]/Mecze[[#This Row],[CZAS]])</f>
        <v>1.0309278350515464E-2</v>
      </c>
      <c r="S1720" s="44">
        <f>IF(Mecze[[#This Row],[Role]]="BR",SUMPRODUCT(Mecze[[#This Row],[/PR:90]:[/BR:90]],Brudnopis!$E$23:$J$23),0)</f>
        <v>0</v>
      </c>
      <c r="T1720" s="44">
        <f>IF(Mecze[[#This Row],[Role]]&lt;&gt;"BR",SUMPRODUCT(Mecze[[#This Row],[/PR:90]:[/BR:90]],Brudnopis!$E$24:$J$24),0)</f>
        <v>0.29381443298969073</v>
      </c>
      <c r="U1720" s="44">
        <f>IF(Mecze[[#This Row],[Role]]&lt;&gt;"BR",SUMPRODUCT(Mecze[[#This Row],[/PR:90]:[/BR:90]],Brudnopis!$E$25:$J$25),0)</f>
        <v>0.30412371134020616</v>
      </c>
      <c r="V1720" s="44">
        <f>IF(Mecze[[#This Row],[Role]]&lt;&gt;"BR",SUMPRODUCT(Mecze[[#This Row],[/PR:90]:[/BR:90]],Brudnopis!$E$26:$J$26),0)</f>
        <v>0.27835051546391748</v>
      </c>
      <c r="W1720" s="44">
        <f>IF(Mecze[[#This Row],[Role]]&lt;&gt;"BR",SUMPRODUCT(Mecze[[#This Row],[/PR:90]:[/BR:90]],Brudnopis!$E$27:$J$27),0)</f>
        <v>0.26804123711340205</v>
      </c>
      <c r="X1720" s="44">
        <f>IF(Mecze[[#This Row],[Role]]&lt;&gt;"BR",SUMPRODUCT(Mecze[[#This Row],[/PR:90]:[/BR:90]],Brudnopis!$E$28:$J$28),0)</f>
        <v>0.15463917525773196</v>
      </c>
      <c r="Y1720" s="35">
        <f>IF(Mecze[[#This Row],[Role]]="BR",Mecze[[#This Row],[/OB:90]]+Mecze[[#This Row],[/PC:90]],SUM(Mecze[[#This Row],[/PR:90]:[/BR:90]]))</f>
        <v>0.26804123711340205</v>
      </c>
      <c r="Z1720" s="35">
        <f>IF(Mecze[[#This Row],[KC]]=0,SUM(Mecze[[#This Row],[/BRI]:[/NPI]]),SUM(Mecze[[#This Row],[/BRI]:[/NPI]])*0.6)</f>
        <v>1.2989690721649483</v>
      </c>
      <c r="AA1720" s="10">
        <f>IFERROR(Mecze[[#This Row],[BR]]/Mecze[[#This Row],[ST]],0)</f>
        <v>0.33333333333333331</v>
      </c>
      <c r="AB1720">
        <f>ROUND(Mecze[[#This Row],[PD]]*Mecze[[#This Row],[%PC]],0)</f>
        <v>6</v>
      </c>
      <c r="AC1720">
        <f>ROUND(Mecze[[#This Row],[OD]]*Mecze[[#This Row],[%OU]],0)</f>
        <v>4</v>
      </c>
      <c r="AD1720" s="36" t="s">
        <v>168</v>
      </c>
      <c r="AE1720" s="36">
        <v>93</v>
      </c>
      <c r="AF1720" s="71">
        <v>7.65</v>
      </c>
      <c r="AG1720" s="37">
        <v>0</v>
      </c>
      <c r="AH1720" s="37">
        <v>0</v>
      </c>
      <c r="AI1720" s="37">
        <v>97</v>
      </c>
      <c r="AJ1720" s="37">
        <v>1</v>
      </c>
      <c r="AK1720" s="37" t="str">
        <f>VLOOKUP(Mecze[[#This Row],[Match ID]],Meczusie[Mecz]:Meczusie[RodzajMeczu],2,FALSE)</f>
        <v>Towarzyski</v>
      </c>
    </row>
    <row r="1721" spans="1:37" x14ac:dyDescent="0.25">
      <c r="A1721" s="76">
        <v>42</v>
      </c>
      <c r="B1721" s="3" t="s">
        <v>361</v>
      </c>
      <c r="C1721" s="2" t="s">
        <v>157</v>
      </c>
      <c r="D1721" s="1">
        <v>0</v>
      </c>
      <c r="E1721" s="1">
        <v>0</v>
      </c>
      <c r="F1721" s="1">
        <v>0</v>
      </c>
      <c r="G1721" s="1">
        <v>1</v>
      </c>
      <c r="H1721" s="4">
        <v>1</v>
      </c>
      <c r="I1721" s="1">
        <v>0</v>
      </c>
      <c r="J1721" s="4"/>
      <c r="K1721" s="1">
        <v>0</v>
      </c>
      <c r="L1721" s="1">
        <v>1</v>
      </c>
      <c r="M1721" s="32">
        <f>IF(Mecze[[#This Row],[PR]]=0,0,Mecze[[#This Row],[PR]]/Mecze[[#This Row],[CZAS]])</f>
        <v>1.0309278350515464E-2</v>
      </c>
      <c r="N1721" s="32">
        <f>IF(Mecze[[#This Row],[OU]]=0,0,Mecze[[#This Row],[OU]]/Mecze[[#This Row],[CZAS]])</f>
        <v>0</v>
      </c>
      <c r="O1721" s="32">
        <f>IF(Mecze[[#This Row],[PC]]=0,0,Mecze[[#This Row],[PC]]/Mecze[[#This Row],[CZAS]])</f>
        <v>1.0309278350515464E-2</v>
      </c>
      <c r="P1721" s="32">
        <f>IF(Mecze[[#This Row],[SC]]=0,0,Mecze[[#This Row],[SC]]/Mecze[[#This Row],[CZAS]])</f>
        <v>0</v>
      </c>
      <c r="Q1721" s="32">
        <f>IF(Mecze[[#This Row],[OB]]=0,0,Mecze[[#This Row],[OB]]/Mecze[[#This Row],[CZAS]])</f>
        <v>0</v>
      </c>
      <c r="R1721" s="32">
        <f>IF(Mecze[[#This Row],[BR]]=0,0,Mecze[[#This Row],[BR]]/Mecze[[#This Row],[CZAS]])</f>
        <v>0</v>
      </c>
      <c r="S1721" s="44">
        <f>IF(Mecze[[#This Row],[Role]]="BR",SUMPRODUCT(Mecze[[#This Row],[/PR:90]:[/BR:90]],Brudnopis!$E$23:$J$23),0)</f>
        <v>0</v>
      </c>
      <c r="T1721" s="44">
        <f>IF(Mecze[[#This Row],[Role]]&lt;&gt;"BR",SUMPRODUCT(Mecze[[#This Row],[/PR:90]:[/BR:90]],Brudnopis!$E$24:$J$24),0)</f>
        <v>2.0618556701030927E-2</v>
      </c>
      <c r="U1721" s="44">
        <f>IF(Mecze[[#This Row],[Role]]&lt;&gt;"BR",SUMPRODUCT(Mecze[[#This Row],[/PR:90]:[/BR:90]],Brudnopis!$E$25:$J$25),0)</f>
        <v>2.5773195876288658E-2</v>
      </c>
      <c r="V1721" s="44">
        <f>IF(Mecze[[#This Row],[Role]]&lt;&gt;"BR",SUMPRODUCT(Mecze[[#This Row],[/PR:90]:[/BR:90]],Brudnopis!$E$26:$J$26),0)</f>
        <v>2.0618556701030927E-2</v>
      </c>
      <c r="W1721" s="44">
        <f>IF(Mecze[[#This Row],[Role]]&lt;&gt;"BR",SUMPRODUCT(Mecze[[#This Row],[/PR:90]:[/BR:90]],Brudnopis!$E$27:$J$27),0)</f>
        <v>2.3195876288659795E-2</v>
      </c>
      <c r="X1721" s="44">
        <f>IF(Mecze[[#This Row],[Role]]&lt;&gt;"BR",SUMPRODUCT(Mecze[[#This Row],[/PR:90]:[/BR:90]],Brudnopis!$E$28:$J$28),0)</f>
        <v>1.0309278350515464E-2</v>
      </c>
      <c r="Y1721" s="35">
        <f>IF(Mecze[[#This Row],[Role]]="BR",Mecze[[#This Row],[/OB:90]]+Mecze[[#This Row],[/PC:90]],SUM(Mecze[[#This Row],[/PR:90]:[/BR:90]]))</f>
        <v>2.0618556701030927E-2</v>
      </c>
      <c r="Z1721" s="35">
        <f>IF(Mecze[[#This Row],[KC]]=0,SUM(Mecze[[#This Row],[/BRI]:[/NPI]]),SUM(Mecze[[#This Row],[/BRI]:[/NPI]])*0.6)</f>
        <v>0.10051546391752578</v>
      </c>
      <c r="AA1721" s="10">
        <f>IFERROR(Mecze[[#This Row],[BR]]/Mecze[[#This Row],[ST]],0)</f>
        <v>0</v>
      </c>
      <c r="AB1721">
        <f>ROUND(Mecze[[#This Row],[PD]]*Mecze[[#This Row],[%PC]],0)</f>
        <v>1</v>
      </c>
      <c r="AC1721">
        <f>ROUND(Mecze[[#This Row],[OD]]*Mecze[[#This Row],[%OU]],0)</f>
        <v>0</v>
      </c>
      <c r="AD1721" s="36" t="s">
        <v>167</v>
      </c>
      <c r="AE1721" s="36">
        <v>93</v>
      </c>
      <c r="AF1721" s="71">
        <v>3.02</v>
      </c>
      <c r="AG1721" s="37">
        <v>0</v>
      </c>
      <c r="AH1721" s="37">
        <v>0</v>
      </c>
      <c r="AI1721" s="37">
        <v>97</v>
      </c>
      <c r="AJ1721" s="37">
        <v>1</v>
      </c>
      <c r="AK1721" s="37" t="str">
        <f>VLOOKUP(Mecze[[#This Row],[Match ID]],Meczusie[Mecz]:Meczusie[RodzajMeczu],2,FALSE)</f>
        <v>Towarzyski</v>
      </c>
    </row>
    <row r="1722" spans="1:37" x14ac:dyDescent="0.25">
      <c r="A1722" s="76">
        <v>33</v>
      </c>
      <c r="B1722" s="3" t="s">
        <v>362</v>
      </c>
      <c r="C1722" s="2" t="s">
        <v>160</v>
      </c>
      <c r="D1722" s="1">
        <v>1</v>
      </c>
      <c r="E1722" s="1">
        <v>1</v>
      </c>
      <c r="F1722" s="1">
        <v>1</v>
      </c>
      <c r="G1722" s="1">
        <v>25</v>
      </c>
      <c r="H1722" s="4">
        <v>0.64</v>
      </c>
      <c r="I1722" s="1">
        <v>2</v>
      </c>
      <c r="J1722" s="4">
        <v>0.5</v>
      </c>
      <c r="K1722" s="1">
        <v>0</v>
      </c>
      <c r="L1722" s="1">
        <v>19</v>
      </c>
      <c r="M1722" s="32">
        <f>IF(Mecze[[#This Row],[PR]]=0,0,Mecze[[#This Row],[PR]]/Mecze[[#This Row],[CZAS]])</f>
        <v>0.19587628865979381</v>
      </c>
      <c r="N1722" s="32">
        <f>IF(Mecze[[#This Row],[OU]]=0,0,Mecze[[#This Row],[OU]]/Mecze[[#This Row],[CZAS]])</f>
        <v>1.0309278350515464E-2</v>
      </c>
      <c r="O1722" s="32">
        <f>IF(Mecze[[#This Row],[PC]]=0,0,Mecze[[#This Row],[PC]]/Mecze[[#This Row],[CZAS]])</f>
        <v>0.16494845360824742</v>
      </c>
      <c r="P1722" s="32">
        <f>IF(Mecze[[#This Row],[SC]]=0,0,Mecze[[#This Row],[SC]]/Mecze[[#This Row],[CZAS]])</f>
        <v>1.0309278350515464E-2</v>
      </c>
      <c r="Q1722" s="32">
        <f>IF(Mecze[[#This Row],[OB]]=0,0,Mecze[[#This Row],[OB]]/Mecze[[#This Row],[CZAS]])</f>
        <v>0</v>
      </c>
      <c r="R1722" s="32">
        <f>IF(Mecze[[#This Row],[BR]]=0,0,Mecze[[#This Row],[BR]]/Mecze[[#This Row],[CZAS]])</f>
        <v>1.0309278350515464E-2</v>
      </c>
      <c r="S1722" s="44">
        <f>IF(Mecze[[#This Row],[Role]]="BR",SUMPRODUCT(Mecze[[#This Row],[/PR:90]:[/BR:90]],Brudnopis!$E$23:$J$23),0)</f>
        <v>0</v>
      </c>
      <c r="T1722" s="44">
        <f>IF(Mecze[[#This Row],[Role]]&lt;&gt;"BR",SUMPRODUCT(Mecze[[#This Row],[/PR:90]:[/BR:90]],Brudnopis!$E$24:$J$24),0)</f>
        <v>0.40206185567010311</v>
      </c>
      <c r="U1722" s="44">
        <f>IF(Mecze[[#This Row],[Role]]&lt;&gt;"BR",SUMPRODUCT(Mecze[[#This Row],[/PR:90]:[/BR:90]],Brudnopis!$E$25:$J$25),0)</f>
        <v>0.47938144329896909</v>
      </c>
      <c r="V1722" s="44">
        <f>IF(Mecze[[#This Row],[Role]]&lt;&gt;"BR",SUMPRODUCT(Mecze[[#This Row],[/PR:90]:[/BR:90]],Brudnopis!$E$26:$J$26),0)</f>
        <v>0.40206185567010311</v>
      </c>
      <c r="W1722" s="44">
        <f>IF(Mecze[[#This Row],[Role]]&lt;&gt;"BR",SUMPRODUCT(Mecze[[#This Row],[/PR:90]:[/BR:90]],Brudnopis!$E$27:$J$27),0)</f>
        <v>0.4329896907216495</v>
      </c>
      <c r="X1722" s="44">
        <f>IF(Mecze[[#This Row],[Role]]&lt;&gt;"BR",SUMPRODUCT(Mecze[[#This Row],[/PR:90]:[/BR:90]],Brudnopis!$E$28:$J$28),0)</f>
        <v>0.21649484536082475</v>
      </c>
      <c r="Y1722" s="35">
        <f>IF(Mecze[[#This Row],[Role]]="BR",Mecze[[#This Row],[/OB:90]]+Mecze[[#This Row],[/PC:90]],SUM(Mecze[[#This Row],[/PR:90]:[/BR:90]]))</f>
        <v>0.39175257731958768</v>
      </c>
      <c r="Z1722" s="35">
        <f>IF(Mecze[[#This Row],[KC]]=0,SUM(Mecze[[#This Row],[/BRI]:[/NPI]]),SUM(Mecze[[#This Row],[/BRI]:[/NPI]])*0.6)</f>
        <v>1.9329896907216493</v>
      </c>
      <c r="AA1722" s="10">
        <f>IFERROR(Mecze[[#This Row],[BR]]/Mecze[[#This Row],[ST]],0)</f>
        <v>1</v>
      </c>
      <c r="AB1722">
        <f>ROUND(Mecze[[#This Row],[PD]]*Mecze[[#This Row],[%PC]],0)</f>
        <v>16</v>
      </c>
      <c r="AC1722">
        <f>ROUND(Mecze[[#This Row],[OD]]*Mecze[[#This Row],[%OU]],0)</f>
        <v>1</v>
      </c>
      <c r="AD1722" s="36" t="s">
        <v>41</v>
      </c>
      <c r="AE1722" s="36">
        <v>93</v>
      </c>
      <c r="AF1722" s="71">
        <v>11.46</v>
      </c>
      <c r="AG1722" s="37">
        <v>0</v>
      </c>
      <c r="AH1722" s="37">
        <v>0</v>
      </c>
      <c r="AI1722" s="37">
        <v>97</v>
      </c>
      <c r="AJ1722" s="37">
        <v>1</v>
      </c>
      <c r="AK1722" s="37" t="str">
        <f>VLOOKUP(Mecze[[#This Row],[Match ID]],Meczusie[Mecz]:Meczusie[RodzajMeczu],2,FALSE)</f>
        <v>Towarzyski</v>
      </c>
    </row>
    <row r="1723" spans="1:37" x14ac:dyDescent="0.25">
      <c r="A1723" s="76">
        <v>22</v>
      </c>
      <c r="B1723" s="3" t="s">
        <v>363</v>
      </c>
      <c r="C1723" s="2" t="s">
        <v>160</v>
      </c>
      <c r="D1723" s="1">
        <v>0</v>
      </c>
      <c r="E1723" s="1">
        <v>1</v>
      </c>
      <c r="F1723" s="1">
        <v>1</v>
      </c>
      <c r="G1723" s="1">
        <v>10</v>
      </c>
      <c r="H1723" s="4">
        <v>0.5</v>
      </c>
      <c r="I1723" s="1">
        <v>5</v>
      </c>
      <c r="J1723" s="4">
        <v>0.6</v>
      </c>
      <c r="K1723" s="1">
        <v>0</v>
      </c>
      <c r="L1723" s="1">
        <v>3</v>
      </c>
      <c r="M1723" s="32">
        <f>IF(Mecze[[#This Row],[PR]]=0,0,Mecze[[#This Row],[PR]]/Mecze[[#This Row],[CZAS]])</f>
        <v>3.0927835051546393E-2</v>
      </c>
      <c r="N1723" s="32">
        <f>IF(Mecze[[#This Row],[OU]]=0,0,Mecze[[#This Row],[OU]]/Mecze[[#This Row],[CZAS]])</f>
        <v>3.0927835051546393E-2</v>
      </c>
      <c r="O1723" s="32">
        <f>IF(Mecze[[#This Row],[PC]]=0,0,Mecze[[#This Row],[PC]]/Mecze[[#This Row],[CZAS]])</f>
        <v>5.1546391752577317E-2</v>
      </c>
      <c r="P1723" s="32">
        <f>IF(Mecze[[#This Row],[SC]]=0,0,Mecze[[#This Row],[SC]]/Mecze[[#This Row],[CZAS]])</f>
        <v>1.0309278350515464E-2</v>
      </c>
      <c r="Q1723" s="32">
        <f>IF(Mecze[[#This Row],[OB]]=0,0,Mecze[[#This Row],[OB]]/Mecze[[#This Row],[CZAS]])</f>
        <v>0</v>
      </c>
      <c r="R1723" s="32">
        <f>IF(Mecze[[#This Row],[BR]]=0,0,Mecze[[#This Row],[BR]]/Mecze[[#This Row],[CZAS]])</f>
        <v>0</v>
      </c>
      <c r="S1723" s="44">
        <f>IF(Mecze[[#This Row],[Role]]="BR",SUMPRODUCT(Mecze[[#This Row],[/PR:90]:[/BR:90]],Brudnopis!$E$23:$J$23),0)</f>
        <v>0</v>
      </c>
      <c r="T1723" s="44">
        <f>IF(Mecze[[#This Row],[Role]]&lt;&gt;"BR",SUMPRODUCT(Mecze[[#This Row],[/PR:90]:[/BR:90]],Brudnopis!$E$24:$J$24),0)</f>
        <v>0.13917525773195874</v>
      </c>
      <c r="U1723" s="44">
        <f>IF(Mecze[[#This Row],[Role]]&lt;&gt;"BR",SUMPRODUCT(Mecze[[#This Row],[/PR:90]:[/BR:90]],Brudnopis!$E$25:$J$25),0)</f>
        <v>0.14948453608247422</v>
      </c>
      <c r="V1723" s="44">
        <f>IF(Mecze[[#This Row],[Role]]&lt;&gt;"BR",SUMPRODUCT(Mecze[[#This Row],[/PR:90]:[/BR:90]],Brudnopis!$E$26:$J$26),0)</f>
        <v>0.12371134020618557</v>
      </c>
      <c r="W1723" s="44">
        <f>IF(Mecze[[#This Row],[Role]]&lt;&gt;"BR",SUMPRODUCT(Mecze[[#This Row],[/PR:90]:[/BR:90]],Brudnopis!$E$27:$J$27),0)</f>
        <v>0.13402061855670103</v>
      </c>
      <c r="X1723" s="44">
        <f>IF(Mecze[[#This Row],[Role]]&lt;&gt;"BR",SUMPRODUCT(Mecze[[#This Row],[/PR:90]:[/BR:90]],Brudnopis!$E$28:$J$28),0)</f>
        <v>7.2164948453608241E-2</v>
      </c>
      <c r="Y1723" s="35">
        <f>IF(Mecze[[#This Row],[Role]]="BR",Mecze[[#This Row],[/OB:90]]+Mecze[[#This Row],[/PC:90]],SUM(Mecze[[#This Row],[/PR:90]:[/BR:90]]))</f>
        <v>0.12371134020618557</v>
      </c>
      <c r="Z1723" s="35">
        <f>IF(Mecze[[#This Row],[KC]]=0,SUM(Mecze[[#This Row],[/BRI]:[/NPI]]),SUM(Mecze[[#This Row],[/BRI]:[/NPI]])*0.6)</f>
        <v>0.61855670103092775</v>
      </c>
      <c r="AA1723" s="10">
        <f>IFERROR(Mecze[[#This Row],[BR]]/Mecze[[#This Row],[ST]],0)</f>
        <v>0</v>
      </c>
      <c r="AB1723">
        <f>ROUND(Mecze[[#This Row],[PD]]*Mecze[[#This Row],[%PC]],0)</f>
        <v>5</v>
      </c>
      <c r="AC1723">
        <f>ROUND(Mecze[[#This Row],[OD]]*Mecze[[#This Row],[%OU]],0)</f>
        <v>3</v>
      </c>
      <c r="AD1723" s="36" t="s">
        <v>41</v>
      </c>
      <c r="AE1723" s="36">
        <v>93</v>
      </c>
      <c r="AF1723" s="71">
        <v>5.99</v>
      </c>
      <c r="AG1723" s="37">
        <v>0</v>
      </c>
      <c r="AH1723" s="37">
        <v>0</v>
      </c>
      <c r="AI1723" s="37">
        <v>97</v>
      </c>
      <c r="AJ1723" s="37">
        <v>1</v>
      </c>
      <c r="AK1723" s="37" t="str">
        <f>VLOOKUP(Mecze[[#This Row],[Match ID]],Meczusie[Mecz]:Meczusie[RodzajMeczu],2,FALSE)</f>
        <v>Towarzyski</v>
      </c>
    </row>
    <row r="1724" spans="1:37" x14ac:dyDescent="0.25">
      <c r="A1724" s="76">
        <v>17</v>
      </c>
      <c r="B1724" s="3" t="s">
        <v>413</v>
      </c>
      <c r="C1724" s="2" t="s">
        <v>160</v>
      </c>
      <c r="D1724" s="1">
        <v>0</v>
      </c>
      <c r="E1724" s="1">
        <v>1</v>
      </c>
      <c r="F1724" s="1">
        <v>1</v>
      </c>
      <c r="G1724" s="1">
        <v>8</v>
      </c>
      <c r="H1724" s="4">
        <v>0.63</v>
      </c>
      <c r="I1724" s="1">
        <v>2</v>
      </c>
      <c r="J1724" s="4">
        <v>0.5</v>
      </c>
      <c r="K1724" s="1">
        <v>0</v>
      </c>
      <c r="L1724" s="1">
        <v>2</v>
      </c>
      <c r="M1724" s="32">
        <f>IF(Mecze[[#This Row],[PR]]=0,0,Mecze[[#This Row],[PR]]/Mecze[[#This Row],[CZAS]])</f>
        <v>2.0618556701030927E-2</v>
      </c>
      <c r="N1724" s="32">
        <f>IF(Mecze[[#This Row],[OU]]=0,0,Mecze[[#This Row],[OU]]/Mecze[[#This Row],[CZAS]])</f>
        <v>1.0309278350515464E-2</v>
      </c>
      <c r="O1724" s="32">
        <f>IF(Mecze[[#This Row],[PC]]=0,0,Mecze[[#This Row],[PC]]/Mecze[[#This Row],[CZAS]])</f>
        <v>5.1546391752577317E-2</v>
      </c>
      <c r="P1724" s="32">
        <f>IF(Mecze[[#This Row],[SC]]=0,0,Mecze[[#This Row],[SC]]/Mecze[[#This Row],[CZAS]])</f>
        <v>1.0309278350515464E-2</v>
      </c>
      <c r="Q1724" s="32">
        <f>IF(Mecze[[#This Row],[OB]]=0,0,Mecze[[#This Row],[OB]]/Mecze[[#This Row],[CZAS]])</f>
        <v>0</v>
      </c>
      <c r="R1724" s="32">
        <f>IF(Mecze[[#This Row],[BR]]=0,0,Mecze[[#This Row],[BR]]/Mecze[[#This Row],[CZAS]])</f>
        <v>0</v>
      </c>
      <c r="S1724" s="44">
        <f>IF(Mecze[[#This Row],[Role]]="BR",SUMPRODUCT(Mecze[[#This Row],[/PR:90]:[/BR:90]],Brudnopis!$E$23:$J$23),0)</f>
        <v>0</v>
      </c>
      <c r="T1724" s="44">
        <f>IF(Mecze[[#This Row],[Role]]&lt;&gt;"BR",SUMPRODUCT(Mecze[[#This Row],[/PR:90]:[/BR:90]],Brudnopis!$E$24:$J$24),0)</f>
        <v>9.7938144329896906E-2</v>
      </c>
      <c r="U1724" s="44">
        <f>IF(Mecze[[#This Row],[Role]]&lt;&gt;"BR",SUMPRODUCT(Mecze[[#This Row],[/PR:90]:[/BR:90]],Brudnopis!$E$25:$J$25),0)</f>
        <v>0.11855670103092784</v>
      </c>
      <c r="V1724" s="44">
        <f>IF(Mecze[[#This Row],[Role]]&lt;&gt;"BR",SUMPRODUCT(Mecze[[#This Row],[/PR:90]:[/BR:90]],Brudnopis!$E$26:$J$26),0)</f>
        <v>9.2783505154639179E-2</v>
      </c>
      <c r="W1724" s="44">
        <f>IF(Mecze[[#This Row],[Role]]&lt;&gt;"BR",SUMPRODUCT(Mecze[[#This Row],[/PR:90]:[/BR:90]],Brudnopis!$E$27:$J$27),0)</f>
        <v>0.11082474226804125</v>
      </c>
      <c r="X1724" s="44">
        <f>IF(Mecze[[#This Row],[Role]]&lt;&gt;"BR",SUMPRODUCT(Mecze[[#This Row],[/PR:90]:[/BR:90]],Brudnopis!$E$28:$J$28),0)</f>
        <v>7.2164948453608241E-2</v>
      </c>
      <c r="Y1724" s="35">
        <f>IF(Mecze[[#This Row],[Role]]="BR",Mecze[[#This Row],[/OB:90]]+Mecze[[#This Row],[/PC:90]],SUM(Mecze[[#This Row],[/PR:90]:[/BR:90]]))</f>
        <v>9.2783505154639179E-2</v>
      </c>
      <c r="Z1724" s="35">
        <f>IF(Mecze[[#This Row],[KC]]=0,SUM(Mecze[[#This Row],[/BRI]:[/NPI]]),SUM(Mecze[[#This Row],[/BRI]:[/NPI]])*0.6)</f>
        <v>0.49226804123711343</v>
      </c>
      <c r="AA1724" s="10">
        <f>IFERROR(Mecze[[#This Row],[BR]]/Mecze[[#This Row],[ST]],0)</f>
        <v>0</v>
      </c>
      <c r="AB1724">
        <f>ROUND(Mecze[[#This Row],[PD]]*Mecze[[#This Row],[%PC]],0)</f>
        <v>5</v>
      </c>
      <c r="AC1724">
        <f>ROUND(Mecze[[#This Row],[OD]]*Mecze[[#This Row],[%OU]],0)</f>
        <v>1</v>
      </c>
      <c r="AD1724" s="36" t="s">
        <v>44</v>
      </c>
      <c r="AE1724" s="36">
        <v>93</v>
      </c>
      <c r="AF1724" s="71">
        <v>5.78</v>
      </c>
      <c r="AG1724" s="37">
        <v>0</v>
      </c>
      <c r="AH1724" s="37">
        <v>0</v>
      </c>
      <c r="AI1724" s="37">
        <v>97</v>
      </c>
      <c r="AJ1724" s="37">
        <v>1</v>
      </c>
      <c r="AK1724" s="37" t="str">
        <f>VLOOKUP(Mecze[[#This Row],[Match ID]],Meczusie[Mecz]:Meczusie[RodzajMeczu],2,FALSE)</f>
        <v>Towarzyski</v>
      </c>
    </row>
    <row r="1725" spans="1:37" x14ac:dyDescent="0.25">
      <c r="A1725" s="76">
        <v>28</v>
      </c>
      <c r="B1725" s="3" t="s">
        <v>419</v>
      </c>
      <c r="C1725" s="2" t="s">
        <v>160</v>
      </c>
      <c r="D1725" s="1">
        <v>1</v>
      </c>
      <c r="E1725" s="1">
        <v>3</v>
      </c>
      <c r="F1725" s="1">
        <v>3</v>
      </c>
      <c r="G1725" s="1">
        <v>5</v>
      </c>
      <c r="H1725" s="4">
        <v>0.6</v>
      </c>
      <c r="I1725" s="1">
        <v>1</v>
      </c>
      <c r="J1725" s="4">
        <v>1</v>
      </c>
      <c r="K1725" s="1">
        <v>0</v>
      </c>
      <c r="L1725" s="1">
        <v>3</v>
      </c>
      <c r="M1725" s="32">
        <f>IF(Mecze[[#This Row],[PR]]=0,0,Mecze[[#This Row],[PR]]/Mecze[[#This Row],[CZAS]])</f>
        <v>3.0927835051546393E-2</v>
      </c>
      <c r="N1725" s="32">
        <f>IF(Mecze[[#This Row],[OU]]=0,0,Mecze[[#This Row],[OU]]/Mecze[[#This Row],[CZAS]])</f>
        <v>1.0309278350515464E-2</v>
      </c>
      <c r="O1725" s="32">
        <f>IF(Mecze[[#This Row],[PC]]=0,0,Mecze[[#This Row],[PC]]/Mecze[[#This Row],[CZAS]])</f>
        <v>3.0927835051546393E-2</v>
      </c>
      <c r="P1725" s="32">
        <f>IF(Mecze[[#This Row],[SC]]=0,0,Mecze[[#This Row],[SC]]/Mecze[[#This Row],[CZAS]])</f>
        <v>3.0927835051546393E-2</v>
      </c>
      <c r="Q1725" s="32">
        <f>IF(Mecze[[#This Row],[OB]]=0,0,Mecze[[#This Row],[OB]]/Mecze[[#This Row],[CZAS]])</f>
        <v>0</v>
      </c>
      <c r="R1725" s="32">
        <f>IF(Mecze[[#This Row],[BR]]=0,0,Mecze[[#This Row],[BR]]/Mecze[[#This Row],[CZAS]])</f>
        <v>1.0309278350515464E-2</v>
      </c>
      <c r="S1725" s="44">
        <f>IF(Mecze[[#This Row],[Role]]="BR",SUMPRODUCT(Mecze[[#This Row],[/PR:90]:[/BR:90]],Brudnopis!$E$23:$J$23),0)</f>
        <v>0</v>
      </c>
      <c r="T1725" s="44">
        <f>IF(Mecze[[#This Row],[Role]]&lt;&gt;"BR",SUMPRODUCT(Mecze[[#This Row],[/PR:90]:[/BR:90]],Brudnopis!$E$24:$J$24),0)</f>
        <v>0.12371134020618557</v>
      </c>
      <c r="U1725" s="44">
        <f>IF(Mecze[[#This Row],[Role]]&lt;&gt;"BR",SUMPRODUCT(Mecze[[#This Row],[/PR:90]:[/BR:90]],Brudnopis!$E$25:$J$25),0)</f>
        <v>0.13402061855670103</v>
      </c>
      <c r="V1725" s="44">
        <f>IF(Mecze[[#This Row],[Role]]&lt;&gt;"BR",SUMPRODUCT(Mecze[[#This Row],[/PR:90]:[/BR:90]],Brudnopis!$E$26:$J$26),0)</f>
        <v>0.12371134020618556</v>
      </c>
      <c r="W1725" s="44">
        <f>IF(Mecze[[#This Row],[Role]]&lt;&gt;"BR",SUMPRODUCT(Mecze[[#This Row],[/PR:90]:[/BR:90]],Brudnopis!$E$27:$J$27),0)</f>
        <v>0.12886597938144331</v>
      </c>
      <c r="X1725" s="44">
        <f>IF(Mecze[[#This Row],[Role]]&lt;&gt;"BR",SUMPRODUCT(Mecze[[#This Row],[/PR:90]:[/BR:90]],Brudnopis!$E$28:$J$28),0)</f>
        <v>0.12371134020618557</v>
      </c>
      <c r="Y1725" s="35">
        <f>IF(Mecze[[#This Row],[Role]]="BR",Mecze[[#This Row],[/OB:90]]+Mecze[[#This Row],[/PC:90]],SUM(Mecze[[#This Row],[/PR:90]:[/BR:90]]))</f>
        <v>0.1134020618556701</v>
      </c>
      <c r="Z1725" s="35">
        <f>IF(Mecze[[#This Row],[KC]]=0,SUM(Mecze[[#This Row],[/BRI]:[/NPI]]),SUM(Mecze[[#This Row],[/BRI]:[/NPI]])*0.6)</f>
        <v>0.634020618556701</v>
      </c>
      <c r="AA1725" s="10">
        <f>IFERROR(Mecze[[#This Row],[BR]]/Mecze[[#This Row],[ST]],0)</f>
        <v>0.33333333333333331</v>
      </c>
      <c r="AB1725">
        <f>ROUND(Mecze[[#This Row],[PD]]*Mecze[[#This Row],[%PC]],0)</f>
        <v>3</v>
      </c>
      <c r="AC1725">
        <f>ROUND(Mecze[[#This Row],[OD]]*Mecze[[#This Row],[%OU]],0)</f>
        <v>1</v>
      </c>
      <c r="AD1725" s="36" t="s">
        <v>44</v>
      </c>
      <c r="AE1725" s="36">
        <v>93</v>
      </c>
      <c r="AF1725" s="71">
        <v>8.56</v>
      </c>
      <c r="AG1725" s="37">
        <v>0</v>
      </c>
      <c r="AH1725" s="37">
        <v>0</v>
      </c>
      <c r="AI1725" s="37">
        <v>97</v>
      </c>
      <c r="AJ1725" s="37">
        <v>1</v>
      </c>
      <c r="AK1725" s="37" t="str">
        <f>VLOOKUP(Mecze[[#This Row],[Match ID]],Meczusie[Mecz]:Meczusie[RodzajMeczu],2,FALSE)</f>
        <v>Towarzyski</v>
      </c>
    </row>
    <row r="1726" spans="1:37" x14ac:dyDescent="0.25">
      <c r="A1726" s="76">
        <v>27</v>
      </c>
      <c r="B1726" s="3" t="s">
        <v>364</v>
      </c>
      <c r="C1726" s="2" t="s">
        <v>165</v>
      </c>
      <c r="D1726" s="1">
        <v>0</v>
      </c>
      <c r="E1726" s="1">
        <v>8</v>
      </c>
      <c r="F1726" s="1">
        <v>8</v>
      </c>
      <c r="G1726" s="1">
        <v>8</v>
      </c>
      <c r="H1726" s="4">
        <v>0.63</v>
      </c>
      <c r="I1726" s="1">
        <v>6</v>
      </c>
      <c r="J1726" s="4">
        <v>0.33</v>
      </c>
      <c r="K1726" s="1">
        <v>0</v>
      </c>
      <c r="L1726" s="1">
        <v>2</v>
      </c>
      <c r="M1726" s="32">
        <f>IF(Mecze[[#This Row],[PR]]=0,0,Mecze[[#This Row],[PR]]/Mecze[[#This Row],[CZAS]])</f>
        <v>2.0618556701030927E-2</v>
      </c>
      <c r="N1726" s="32">
        <f>IF(Mecze[[#This Row],[OU]]=0,0,Mecze[[#This Row],[OU]]/Mecze[[#This Row],[CZAS]])</f>
        <v>2.0618556701030927E-2</v>
      </c>
      <c r="O1726" s="32">
        <f>IF(Mecze[[#This Row],[PC]]=0,0,Mecze[[#This Row],[PC]]/Mecze[[#This Row],[CZAS]])</f>
        <v>5.1546391752577317E-2</v>
      </c>
      <c r="P1726" s="32">
        <f>IF(Mecze[[#This Row],[SC]]=0,0,Mecze[[#This Row],[SC]]/Mecze[[#This Row],[CZAS]])</f>
        <v>8.247422680412371E-2</v>
      </c>
      <c r="Q1726" s="32">
        <f>IF(Mecze[[#This Row],[OB]]=0,0,Mecze[[#This Row],[OB]]/Mecze[[#This Row],[CZAS]])</f>
        <v>0</v>
      </c>
      <c r="R1726" s="32">
        <f>IF(Mecze[[#This Row],[BR]]=0,0,Mecze[[#This Row],[BR]]/Mecze[[#This Row],[CZAS]])</f>
        <v>0</v>
      </c>
      <c r="S1726" s="44">
        <f>IF(Mecze[[#This Row],[Role]]="BR",SUMPRODUCT(Mecze[[#This Row],[/PR:90]:[/BR:90]],Brudnopis!$E$23:$J$23),0)</f>
        <v>0</v>
      </c>
      <c r="T1726" s="44">
        <f>IF(Mecze[[#This Row],[Role]]&lt;&gt;"BR",SUMPRODUCT(Mecze[[#This Row],[/PR:90]:[/BR:90]],Brudnopis!$E$24:$J$24),0)</f>
        <v>0.18556701030927836</v>
      </c>
      <c r="U1726" s="44">
        <f>IF(Mecze[[#This Row],[Role]]&lt;&gt;"BR",SUMPRODUCT(Mecze[[#This Row],[/PR:90]:[/BR:90]],Brudnopis!$E$25:$J$25),0)</f>
        <v>0.20103092783505155</v>
      </c>
      <c r="V1726" s="44">
        <f>IF(Mecze[[#This Row],[Role]]&lt;&gt;"BR",SUMPRODUCT(Mecze[[#This Row],[/PR:90]:[/BR:90]],Brudnopis!$E$26:$J$26),0)</f>
        <v>0.17525773195876287</v>
      </c>
      <c r="W1726" s="44">
        <f>IF(Mecze[[#This Row],[Role]]&lt;&gt;"BR",SUMPRODUCT(Mecze[[#This Row],[/PR:90]:[/BR:90]],Brudnopis!$E$27:$J$27),0)</f>
        <v>0.19072164948453607</v>
      </c>
      <c r="X1726" s="44">
        <f>IF(Mecze[[#This Row],[Role]]&lt;&gt;"BR",SUMPRODUCT(Mecze[[#This Row],[/PR:90]:[/BR:90]],Brudnopis!$E$28:$J$28),0)</f>
        <v>0.21649484536082475</v>
      </c>
      <c r="Y1726" s="35">
        <f>IF(Mecze[[#This Row],[Role]]="BR",Mecze[[#This Row],[/OB:90]]+Mecze[[#This Row],[/PC:90]],SUM(Mecze[[#This Row],[/PR:90]:[/BR:90]]))</f>
        <v>0.17525773195876287</v>
      </c>
      <c r="Z1726" s="35">
        <f>IF(Mecze[[#This Row],[KC]]=0,SUM(Mecze[[#This Row],[/BRI]:[/NPI]]),SUM(Mecze[[#This Row],[/BRI]:[/NPI]])*0.6)</f>
        <v>0.96907216494845361</v>
      </c>
      <c r="AA1726" s="10">
        <f>IFERROR(Mecze[[#This Row],[BR]]/Mecze[[#This Row],[ST]],0)</f>
        <v>0</v>
      </c>
      <c r="AB1726">
        <f>ROUND(Mecze[[#This Row],[PD]]*Mecze[[#This Row],[%PC]],0)</f>
        <v>5</v>
      </c>
      <c r="AC1726">
        <f>ROUND(Mecze[[#This Row],[OD]]*Mecze[[#This Row],[%OU]],0)</f>
        <v>2</v>
      </c>
      <c r="AD1726" s="36" t="s">
        <v>46</v>
      </c>
      <c r="AE1726" s="36">
        <v>93</v>
      </c>
      <c r="AF1726" s="71">
        <v>5.91</v>
      </c>
      <c r="AG1726" s="37">
        <v>1</v>
      </c>
      <c r="AH1726" s="37">
        <v>0</v>
      </c>
      <c r="AI1726" s="37">
        <v>97</v>
      </c>
      <c r="AJ1726" s="37">
        <v>1</v>
      </c>
      <c r="AK1726" s="37" t="str">
        <f>VLOOKUP(Mecze[[#This Row],[Match ID]],Meczusie[Mecz]:Meczusie[RodzajMeczu],2,FALSE)</f>
        <v>Towarzyski</v>
      </c>
    </row>
    <row r="1727" spans="1:37" x14ac:dyDescent="0.25">
      <c r="A1727" s="76">
        <v>48</v>
      </c>
      <c r="B1727" s="3" t="s">
        <v>414</v>
      </c>
      <c r="C1727" s="2" t="s">
        <v>165</v>
      </c>
      <c r="D1727" s="1">
        <v>0</v>
      </c>
      <c r="E1727" s="1">
        <v>2</v>
      </c>
      <c r="F1727" s="1">
        <v>2</v>
      </c>
      <c r="G1727" s="1">
        <v>8</v>
      </c>
      <c r="H1727" s="4">
        <v>0.63</v>
      </c>
      <c r="I1727" s="1">
        <v>5</v>
      </c>
      <c r="J1727" s="4">
        <v>0.6</v>
      </c>
      <c r="K1727" s="1">
        <v>0</v>
      </c>
      <c r="L1727" s="1">
        <v>0</v>
      </c>
      <c r="M1727" s="32">
        <f>IF(Mecze[[#This Row],[PR]]=0,0,Mecze[[#This Row],[PR]]/Mecze[[#This Row],[CZAS]])</f>
        <v>0</v>
      </c>
      <c r="N1727" s="32">
        <f>IF(Mecze[[#This Row],[OU]]=0,0,Mecze[[#This Row],[OU]]/Mecze[[#This Row],[CZAS]])</f>
        <v>3.0927835051546393E-2</v>
      </c>
      <c r="O1727" s="32">
        <f>IF(Mecze[[#This Row],[PC]]=0,0,Mecze[[#This Row],[PC]]/Mecze[[#This Row],[CZAS]])</f>
        <v>5.1546391752577317E-2</v>
      </c>
      <c r="P1727" s="32">
        <f>IF(Mecze[[#This Row],[SC]]=0,0,Mecze[[#This Row],[SC]]/Mecze[[#This Row],[CZAS]])</f>
        <v>2.0618556701030927E-2</v>
      </c>
      <c r="Q1727" s="32">
        <f>IF(Mecze[[#This Row],[OB]]=0,0,Mecze[[#This Row],[OB]]/Mecze[[#This Row],[CZAS]])</f>
        <v>0</v>
      </c>
      <c r="R1727" s="32">
        <f>IF(Mecze[[#This Row],[BR]]=0,0,Mecze[[#This Row],[BR]]/Mecze[[#This Row],[CZAS]])</f>
        <v>0</v>
      </c>
      <c r="S1727" s="44">
        <f>IF(Mecze[[#This Row],[Role]]="BR",SUMPRODUCT(Mecze[[#This Row],[/PR:90]:[/BR:90]],Brudnopis!$E$23:$J$23),0)</f>
        <v>0</v>
      </c>
      <c r="T1727" s="44">
        <f>IF(Mecze[[#This Row],[Role]]&lt;&gt;"BR",SUMPRODUCT(Mecze[[#This Row],[/PR:90]:[/BR:90]],Brudnopis!$E$24:$J$24),0)</f>
        <v>0.11855670103092783</v>
      </c>
      <c r="U1727" s="44">
        <f>IF(Mecze[[#This Row],[Role]]&lt;&gt;"BR",SUMPRODUCT(Mecze[[#This Row],[/PR:90]:[/BR:90]],Brudnopis!$E$25:$J$25),0)</f>
        <v>0.12886597938144331</v>
      </c>
      <c r="V1727" s="44">
        <f>IF(Mecze[[#This Row],[Role]]&lt;&gt;"BR",SUMPRODUCT(Mecze[[#This Row],[/PR:90]:[/BR:90]],Brudnopis!$E$26:$J$26),0)</f>
        <v>0.10309278350515463</v>
      </c>
      <c r="W1727" s="44">
        <f>IF(Mecze[[#This Row],[Role]]&lt;&gt;"BR",SUMPRODUCT(Mecze[[#This Row],[/PR:90]:[/BR:90]],Brudnopis!$E$27:$J$27),0)</f>
        <v>0.1211340206185567</v>
      </c>
      <c r="X1727" s="44">
        <f>IF(Mecze[[#This Row],[Role]]&lt;&gt;"BR",SUMPRODUCT(Mecze[[#This Row],[/PR:90]:[/BR:90]],Brudnopis!$E$28:$J$28),0)</f>
        <v>9.2783505154639179E-2</v>
      </c>
      <c r="Y1727" s="35">
        <f>IF(Mecze[[#This Row],[Role]]="BR",Mecze[[#This Row],[/OB:90]]+Mecze[[#This Row],[/PC:90]],SUM(Mecze[[#This Row],[/PR:90]:[/BR:90]]))</f>
        <v>0.10309278350515463</v>
      </c>
      <c r="Z1727" s="35">
        <f>IF(Mecze[[#This Row],[KC]]=0,SUM(Mecze[[#This Row],[/BRI]:[/NPI]]),SUM(Mecze[[#This Row],[/BRI]:[/NPI]])*0.6)</f>
        <v>0.56443298969072164</v>
      </c>
      <c r="AA1727" s="10">
        <f>IFERROR(Mecze[[#This Row],[BR]]/Mecze[[#This Row],[ST]],0)</f>
        <v>0</v>
      </c>
      <c r="AB1727">
        <f>ROUND(Mecze[[#This Row],[PD]]*Mecze[[#This Row],[%PC]],0)</f>
        <v>5</v>
      </c>
      <c r="AC1727">
        <f>ROUND(Mecze[[#This Row],[OD]]*Mecze[[#This Row],[%OU]],0)</f>
        <v>3</v>
      </c>
      <c r="AD1727" s="36" t="s">
        <v>46</v>
      </c>
      <c r="AE1727" s="36">
        <v>93</v>
      </c>
      <c r="AF1727" s="71">
        <v>5.7</v>
      </c>
      <c r="AG1727" s="37">
        <v>0</v>
      </c>
      <c r="AH1727" s="37">
        <v>0</v>
      </c>
      <c r="AI1727" s="37">
        <v>97</v>
      </c>
      <c r="AJ1727" s="37">
        <v>1</v>
      </c>
      <c r="AK1727" s="37" t="str">
        <f>VLOOKUP(Mecze[[#This Row],[Match ID]],Meczusie[Mecz]:Meczusie[RodzajMeczu],2,FALSE)</f>
        <v>Towarzyski</v>
      </c>
    </row>
    <row r="1728" spans="1:37" x14ac:dyDescent="0.25">
      <c r="A1728" s="76">
        <v>26</v>
      </c>
      <c r="B1728" s="3" t="s">
        <v>368</v>
      </c>
      <c r="C1728" s="2" t="s">
        <v>165</v>
      </c>
      <c r="D1728" s="1">
        <v>2</v>
      </c>
      <c r="E1728" s="1">
        <v>6</v>
      </c>
      <c r="F1728" s="1">
        <v>6</v>
      </c>
      <c r="G1728" s="1">
        <v>7</v>
      </c>
      <c r="H1728" s="4">
        <v>0.56999999999999995</v>
      </c>
      <c r="I1728" s="1">
        <v>2</v>
      </c>
      <c r="J1728" s="4">
        <v>0.5</v>
      </c>
      <c r="K1728" s="1">
        <v>0</v>
      </c>
      <c r="L1728" s="1">
        <v>1</v>
      </c>
      <c r="M1728" s="32">
        <f>IF(Mecze[[#This Row],[PR]]=0,0,Mecze[[#This Row],[PR]]/Mecze[[#This Row],[CZAS]])</f>
        <v>1.0309278350515464E-2</v>
      </c>
      <c r="N1728" s="32">
        <f>IF(Mecze[[#This Row],[OU]]=0,0,Mecze[[#This Row],[OU]]/Mecze[[#This Row],[CZAS]])</f>
        <v>1.0309278350515464E-2</v>
      </c>
      <c r="O1728" s="32">
        <f>IF(Mecze[[#This Row],[PC]]=0,0,Mecze[[#This Row],[PC]]/Mecze[[#This Row],[CZAS]])</f>
        <v>4.1237113402061855E-2</v>
      </c>
      <c r="P1728" s="32">
        <f>IF(Mecze[[#This Row],[SC]]=0,0,Mecze[[#This Row],[SC]]/Mecze[[#This Row],[CZAS]])</f>
        <v>6.1855670103092786E-2</v>
      </c>
      <c r="Q1728" s="32">
        <f>IF(Mecze[[#This Row],[OB]]=0,0,Mecze[[#This Row],[OB]]/Mecze[[#This Row],[CZAS]])</f>
        <v>0</v>
      </c>
      <c r="R1728" s="32">
        <f>IF(Mecze[[#This Row],[BR]]=0,0,Mecze[[#This Row],[BR]]/Mecze[[#This Row],[CZAS]])</f>
        <v>2.0618556701030927E-2</v>
      </c>
      <c r="S1728" s="44">
        <f>IF(Mecze[[#This Row],[Role]]="BR",SUMPRODUCT(Mecze[[#This Row],[/PR:90]:[/BR:90]],Brudnopis!$E$23:$J$23),0)</f>
        <v>0</v>
      </c>
      <c r="T1728" s="44">
        <f>IF(Mecze[[#This Row],[Role]]&lt;&gt;"BR",SUMPRODUCT(Mecze[[#This Row],[/PR:90]:[/BR:90]],Brudnopis!$E$24:$J$24),0)</f>
        <v>0.15979381443298968</v>
      </c>
      <c r="U1728" s="44">
        <f>IF(Mecze[[#This Row],[Role]]&lt;&gt;"BR",SUMPRODUCT(Mecze[[#This Row],[/PR:90]:[/BR:90]],Brudnopis!$E$25:$J$25),0)</f>
        <v>0.17525773195876287</v>
      </c>
      <c r="V1728" s="44">
        <f>IF(Mecze[[#This Row],[Role]]&lt;&gt;"BR",SUMPRODUCT(Mecze[[#This Row],[/PR:90]:[/BR:90]],Brudnopis!$E$26:$J$26),0)</f>
        <v>0.16494845360824742</v>
      </c>
      <c r="W1728" s="44">
        <f>IF(Mecze[[#This Row],[Role]]&lt;&gt;"BR",SUMPRODUCT(Mecze[[#This Row],[/PR:90]:[/BR:90]],Brudnopis!$E$27:$J$27),0)</f>
        <v>0.18041237113402062</v>
      </c>
      <c r="X1728" s="44">
        <f>IF(Mecze[[#This Row],[Role]]&lt;&gt;"BR",SUMPRODUCT(Mecze[[#This Row],[/PR:90]:[/BR:90]],Brudnopis!$E$28:$J$28),0)</f>
        <v>0.22680412371134021</v>
      </c>
      <c r="Y1728" s="35">
        <f>IF(Mecze[[#This Row],[Role]]="BR",Mecze[[#This Row],[/OB:90]]+Mecze[[#This Row],[/PC:90]],SUM(Mecze[[#This Row],[/PR:90]:[/BR:90]]))</f>
        <v>0.14432989690721651</v>
      </c>
      <c r="Z1728" s="35">
        <f>IF(Mecze[[#This Row],[KC]]=0,SUM(Mecze[[#This Row],[/BRI]:[/NPI]]),SUM(Mecze[[#This Row],[/BRI]:[/NPI]])*0.6)</f>
        <v>0.90721649484536082</v>
      </c>
      <c r="AA1728" s="10">
        <f>IFERROR(Mecze[[#This Row],[BR]]/Mecze[[#This Row],[ST]],0)</f>
        <v>0.33333333333333331</v>
      </c>
      <c r="AB1728">
        <f>ROUND(Mecze[[#This Row],[PD]]*Mecze[[#This Row],[%PC]],0)</f>
        <v>4</v>
      </c>
      <c r="AC1728">
        <f>ROUND(Mecze[[#This Row],[OD]]*Mecze[[#This Row],[%OU]],0)</f>
        <v>1</v>
      </c>
      <c r="AD1728" s="36" t="s">
        <v>46</v>
      </c>
      <c r="AE1728" s="36">
        <v>93</v>
      </c>
      <c r="AF1728" s="71">
        <v>11.18</v>
      </c>
      <c r="AG1728" s="37">
        <v>0</v>
      </c>
      <c r="AH1728" s="37">
        <v>0</v>
      </c>
      <c r="AI1728" s="37">
        <v>97</v>
      </c>
      <c r="AJ1728" s="37">
        <v>1</v>
      </c>
      <c r="AK1728" s="37" t="str">
        <f>VLOOKUP(Mecze[[#This Row],[Match ID]],Meczusie[Mecz]:Meczusie[RodzajMeczu],2,FALSE)</f>
        <v>Towarzyski</v>
      </c>
    </row>
    <row r="1729" spans="1:37" x14ac:dyDescent="0.25">
      <c r="A1729" s="76">
        <v>39</v>
      </c>
      <c r="B1729" s="3" t="s">
        <v>450</v>
      </c>
      <c r="C1729" s="2" t="s">
        <v>155</v>
      </c>
      <c r="D1729" s="1">
        <v>0</v>
      </c>
      <c r="E1729" s="1">
        <v>0</v>
      </c>
      <c r="F1729" s="1">
        <v>0</v>
      </c>
      <c r="G1729" s="1">
        <v>12</v>
      </c>
      <c r="H1729" s="4">
        <v>0.57999999999999996</v>
      </c>
      <c r="I1729" s="1">
        <v>0</v>
      </c>
      <c r="J1729" s="4"/>
      <c r="K1729" s="1">
        <v>9</v>
      </c>
      <c r="L1729" s="1">
        <v>0</v>
      </c>
      <c r="M1729" s="32">
        <f>IF(Mecze[[#This Row],[PR]]=0,0,Mecze[[#This Row],[PR]]/Mecze[[#This Row],[CZAS]])</f>
        <v>0</v>
      </c>
      <c r="N1729" s="32">
        <f>IF(Mecze[[#This Row],[OU]]=0,0,Mecze[[#This Row],[OU]]/Mecze[[#This Row],[CZAS]])</f>
        <v>0</v>
      </c>
      <c r="O1729" s="32">
        <f>IF(Mecze[[#This Row],[PC]]=0,0,Mecze[[#This Row],[PC]]/Mecze[[#This Row],[CZAS]])</f>
        <v>7.2916666666666671E-2</v>
      </c>
      <c r="P1729" s="32">
        <f>IF(Mecze[[#This Row],[SC]]=0,0,Mecze[[#This Row],[SC]]/Mecze[[#This Row],[CZAS]])</f>
        <v>0</v>
      </c>
      <c r="Q1729" s="32">
        <f>IF(Mecze[[#This Row],[OB]]=0,0,Mecze[[#This Row],[OB]]/Mecze[[#This Row],[CZAS]])</f>
        <v>9.375E-2</v>
      </c>
      <c r="R1729" s="32">
        <f>IF(Mecze[[#This Row],[BR]]=0,0,Mecze[[#This Row],[BR]]/Mecze[[#This Row],[CZAS]])</f>
        <v>0</v>
      </c>
      <c r="S1729" s="44">
        <f>IF(Mecze[[#This Row],[Role]]="BR",SUMPRODUCT(Mecze[[#This Row],[/PR:90]:[/BR:90]],Brudnopis!$E$23:$J$23),0)</f>
        <v>0.5</v>
      </c>
      <c r="T1729" s="44">
        <f>IF(Mecze[[#This Row],[Role]]&lt;&gt;"BR",SUMPRODUCT(Mecze[[#This Row],[/PR:90]:[/BR:90]],Brudnopis!$E$24:$J$24),0)</f>
        <v>0</v>
      </c>
      <c r="U1729" s="44">
        <f>IF(Mecze[[#This Row],[Role]]&lt;&gt;"BR",SUMPRODUCT(Mecze[[#This Row],[/PR:90]:[/BR:90]],Brudnopis!$E$25:$J$25),0)</f>
        <v>0</v>
      </c>
      <c r="V1729" s="44">
        <f>IF(Mecze[[#This Row],[Role]]&lt;&gt;"BR",SUMPRODUCT(Mecze[[#This Row],[/PR:90]:[/BR:90]],Brudnopis!$E$26:$J$26),0)</f>
        <v>0</v>
      </c>
      <c r="W1729" s="44">
        <f>IF(Mecze[[#This Row],[Role]]&lt;&gt;"BR",SUMPRODUCT(Mecze[[#This Row],[/PR:90]:[/BR:90]],Brudnopis!$E$27:$J$27),0)</f>
        <v>0</v>
      </c>
      <c r="X1729" s="44">
        <f>IF(Mecze[[#This Row],[Role]]&lt;&gt;"BR",SUMPRODUCT(Mecze[[#This Row],[/PR:90]:[/BR:90]],Brudnopis!$E$28:$J$28),0)</f>
        <v>0</v>
      </c>
      <c r="Y1729" s="35">
        <f>IF(Mecze[[#This Row],[Role]]="BR",Mecze[[#This Row],[/OB:90]]+Mecze[[#This Row],[/PC:90]],SUM(Mecze[[#This Row],[/PR:90]:[/BR:90]]))</f>
        <v>0.16666666666666669</v>
      </c>
      <c r="Z1729" s="35">
        <f>IF(Mecze[[#This Row],[KC]]=0,SUM(Mecze[[#This Row],[/BRI]:[/NPI]]),SUM(Mecze[[#This Row],[/BRI]:[/NPI]])*0.6)</f>
        <v>0.5</v>
      </c>
      <c r="AA1729" s="10">
        <f>IFERROR(Mecze[[#This Row],[BR]]/Mecze[[#This Row],[ST]],0)</f>
        <v>0</v>
      </c>
      <c r="AB1729">
        <f>ROUND(Mecze[[#This Row],[PD]]*Mecze[[#This Row],[%PC]],0)</f>
        <v>7</v>
      </c>
      <c r="AC1729">
        <f>ROUND(Mecze[[#This Row],[OD]]*Mecze[[#This Row],[%OU]],0)</f>
        <v>0</v>
      </c>
      <c r="AD1729" s="36" t="s">
        <v>40</v>
      </c>
      <c r="AE1729" s="36">
        <v>94</v>
      </c>
      <c r="AF1729" s="71">
        <v>5.96</v>
      </c>
      <c r="AG1729" s="37">
        <v>0</v>
      </c>
      <c r="AH1729" s="37">
        <v>0</v>
      </c>
      <c r="AI1729" s="37">
        <v>96</v>
      </c>
      <c r="AJ1729" s="37">
        <v>1</v>
      </c>
      <c r="AK1729" s="37" t="str">
        <f>VLOOKUP(Mecze[[#This Row],[Match ID]],Meczusie[Mecz]:Meczusie[RodzajMeczu],2,FALSE)</f>
        <v>Towarzyski</v>
      </c>
    </row>
    <row r="1730" spans="1:37" x14ac:dyDescent="0.25">
      <c r="A1730" s="76">
        <v>38</v>
      </c>
      <c r="B1730" s="3" t="s">
        <v>359</v>
      </c>
      <c r="C1730" s="2" t="s">
        <v>157</v>
      </c>
      <c r="D1730" s="1">
        <v>0</v>
      </c>
      <c r="E1730" s="1">
        <v>0</v>
      </c>
      <c r="F1730" s="1">
        <v>0</v>
      </c>
      <c r="G1730" s="1">
        <v>9</v>
      </c>
      <c r="H1730" s="4">
        <v>0.56000000000000005</v>
      </c>
      <c r="I1730" s="1">
        <v>7</v>
      </c>
      <c r="J1730" s="4">
        <v>0.28999999999999998</v>
      </c>
      <c r="K1730" s="1">
        <v>0</v>
      </c>
      <c r="L1730" s="1">
        <v>10</v>
      </c>
      <c r="M1730" s="32">
        <f>IF(Mecze[[#This Row],[PR]]=0,0,Mecze[[#This Row],[PR]]/Mecze[[#This Row],[CZAS]])</f>
        <v>0.10416666666666667</v>
      </c>
      <c r="N1730" s="32">
        <f>IF(Mecze[[#This Row],[OU]]=0,0,Mecze[[#This Row],[OU]]/Mecze[[#This Row],[CZAS]])</f>
        <v>2.0833333333333332E-2</v>
      </c>
      <c r="O1730" s="32">
        <f>IF(Mecze[[#This Row],[PC]]=0,0,Mecze[[#This Row],[PC]]/Mecze[[#This Row],[CZAS]])</f>
        <v>5.2083333333333336E-2</v>
      </c>
      <c r="P1730" s="32">
        <f>IF(Mecze[[#This Row],[SC]]=0,0,Mecze[[#This Row],[SC]]/Mecze[[#This Row],[CZAS]])</f>
        <v>0</v>
      </c>
      <c r="Q1730" s="32">
        <f>IF(Mecze[[#This Row],[OB]]=0,0,Mecze[[#This Row],[OB]]/Mecze[[#This Row],[CZAS]])</f>
        <v>0</v>
      </c>
      <c r="R1730" s="32">
        <f>IF(Mecze[[#This Row],[BR]]=0,0,Mecze[[#This Row],[BR]]/Mecze[[#This Row],[CZAS]])</f>
        <v>0</v>
      </c>
      <c r="S1730" s="44">
        <f>IF(Mecze[[#This Row],[Role]]="BR",SUMPRODUCT(Mecze[[#This Row],[/PR:90]:[/BR:90]],Brudnopis!$E$23:$J$23),0)</f>
        <v>0</v>
      </c>
      <c r="T1730" s="44">
        <f>IF(Mecze[[#This Row],[Role]]&lt;&gt;"BR",SUMPRODUCT(Mecze[[#This Row],[/PR:90]:[/BR:90]],Brudnopis!$E$24:$J$24),0)</f>
        <v>0.18750000000000003</v>
      </c>
      <c r="U1730" s="44">
        <f>IF(Mecze[[#This Row],[Role]]&lt;&gt;"BR",SUMPRODUCT(Mecze[[#This Row],[/PR:90]:[/BR:90]],Brudnopis!$E$25:$J$25),0)</f>
        <v>0.203125</v>
      </c>
      <c r="V1730" s="44">
        <f>IF(Mecze[[#This Row],[Role]]&lt;&gt;"BR",SUMPRODUCT(Mecze[[#This Row],[/PR:90]:[/BR:90]],Brudnopis!$E$26:$J$26),0)</f>
        <v>0.17708333333333334</v>
      </c>
      <c r="W1730" s="44">
        <f>IF(Mecze[[#This Row],[Role]]&lt;&gt;"BR",SUMPRODUCT(Mecze[[#This Row],[/PR:90]:[/BR:90]],Brudnopis!$E$27:$J$27),0)</f>
        <v>0.171875</v>
      </c>
      <c r="X1730" s="44">
        <f>IF(Mecze[[#This Row],[Role]]&lt;&gt;"BR",SUMPRODUCT(Mecze[[#This Row],[/PR:90]:[/BR:90]],Brudnopis!$E$28:$J$28),0)</f>
        <v>5.2083333333333336E-2</v>
      </c>
      <c r="Y1730" s="35">
        <f>IF(Mecze[[#This Row],[Role]]="BR",Mecze[[#This Row],[/OB:90]]+Mecze[[#This Row],[/PC:90]],SUM(Mecze[[#This Row],[/PR:90]:[/BR:90]]))</f>
        <v>0.17708333333333334</v>
      </c>
      <c r="Z1730" s="35">
        <f>IF(Mecze[[#This Row],[KC]]=0,SUM(Mecze[[#This Row],[/BRI]:[/NPI]]),SUM(Mecze[[#This Row],[/BRI]:[/NPI]])*0.6)</f>
        <v>0.79166666666666674</v>
      </c>
      <c r="AA1730" s="10">
        <f>IFERROR(Mecze[[#This Row],[BR]]/Mecze[[#This Row],[ST]],0)</f>
        <v>0</v>
      </c>
      <c r="AB1730">
        <f>ROUND(Mecze[[#This Row],[PD]]*Mecze[[#This Row],[%PC]],0)</f>
        <v>5</v>
      </c>
      <c r="AC1730">
        <f>ROUND(Mecze[[#This Row],[OD]]*Mecze[[#This Row],[%OU]],0)</f>
        <v>2</v>
      </c>
      <c r="AD1730" s="36" t="s">
        <v>47</v>
      </c>
      <c r="AE1730" s="36">
        <v>94</v>
      </c>
      <c r="AF1730" s="71">
        <v>3.69</v>
      </c>
      <c r="AG1730" s="37">
        <v>0</v>
      </c>
      <c r="AH1730" s="37">
        <v>0</v>
      </c>
      <c r="AI1730" s="37">
        <v>96</v>
      </c>
      <c r="AJ1730" s="37">
        <v>1</v>
      </c>
      <c r="AK1730" s="37" t="str">
        <f>VLOOKUP(Mecze[[#This Row],[Match ID]],Meczusie[Mecz]:Meczusie[RodzajMeczu],2,FALSE)</f>
        <v>Towarzyski</v>
      </c>
    </row>
    <row r="1731" spans="1:37" x14ac:dyDescent="0.25">
      <c r="A1731" s="76">
        <v>4</v>
      </c>
      <c r="B1731" s="3" t="s">
        <v>360</v>
      </c>
      <c r="C1731" s="2" t="s">
        <v>157</v>
      </c>
      <c r="D1731" s="1">
        <v>0</v>
      </c>
      <c r="E1731" s="1">
        <v>0</v>
      </c>
      <c r="F1731" s="1">
        <v>0</v>
      </c>
      <c r="G1731" s="1">
        <v>6</v>
      </c>
      <c r="H1731" s="4">
        <v>0.5</v>
      </c>
      <c r="I1731" s="1">
        <v>5</v>
      </c>
      <c r="J1731" s="4">
        <v>0.4</v>
      </c>
      <c r="K1731" s="1">
        <v>0</v>
      </c>
      <c r="L1731" s="1">
        <v>4</v>
      </c>
      <c r="M1731" s="32">
        <f>IF(Mecze[[#This Row],[PR]]=0,0,Mecze[[#This Row],[PR]]/Mecze[[#This Row],[CZAS]])</f>
        <v>4.1666666666666664E-2</v>
      </c>
      <c r="N1731" s="32">
        <f>IF(Mecze[[#This Row],[OU]]=0,0,Mecze[[#This Row],[OU]]/Mecze[[#This Row],[CZAS]])</f>
        <v>2.0833333333333332E-2</v>
      </c>
      <c r="O1731" s="32">
        <f>IF(Mecze[[#This Row],[PC]]=0,0,Mecze[[#This Row],[PC]]/Mecze[[#This Row],[CZAS]])</f>
        <v>3.125E-2</v>
      </c>
      <c r="P1731" s="32">
        <f>IF(Mecze[[#This Row],[SC]]=0,0,Mecze[[#This Row],[SC]]/Mecze[[#This Row],[CZAS]])</f>
        <v>0</v>
      </c>
      <c r="Q1731" s="32">
        <f>IF(Mecze[[#This Row],[OB]]=0,0,Mecze[[#This Row],[OB]]/Mecze[[#This Row],[CZAS]])</f>
        <v>0</v>
      </c>
      <c r="R1731" s="32">
        <f>IF(Mecze[[#This Row],[BR]]=0,0,Mecze[[#This Row],[BR]]/Mecze[[#This Row],[CZAS]])</f>
        <v>0</v>
      </c>
      <c r="S1731" s="44">
        <f>IF(Mecze[[#This Row],[Role]]="BR",SUMPRODUCT(Mecze[[#This Row],[/PR:90]:[/BR:90]],Brudnopis!$E$23:$J$23),0)</f>
        <v>0</v>
      </c>
      <c r="T1731" s="44">
        <f>IF(Mecze[[#This Row],[Role]]&lt;&gt;"BR",SUMPRODUCT(Mecze[[#This Row],[/PR:90]:[/BR:90]],Brudnopis!$E$24:$J$24),0)</f>
        <v>0.10416666666666666</v>
      </c>
      <c r="U1731" s="44">
        <f>IF(Mecze[[#This Row],[Role]]&lt;&gt;"BR",SUMPRODUCT(Mecze[[#This Row],[/PR:90]:[/BR:90]],Brudnopis!$E$25:$J$25),0)</f>
        <v>0.109375</v>
      </c>
      <c r="V1731" s="44">
        <f>IF(Mecze[[#This Row],[Role]]&lt;&gt;"BR",SUMPRODUCT(Mecze[[#This Row],[/PR:90]:[/BR:90]],Brudnopis!$E$26:$J$26),0)</f>
        <v>9.375E-2</v>
      </c>
      <c r="W1731" s="44">
        <f>IF(Mecze[[#This Row],[Role]]&lt;&gt;"BR",SUMPRODUCT(Mecze[[#This Row],[/PR:90]:[/BR:90]],Brudnopis!$E$27:$J$27),0)</f>
        <v>9.375E-2</v>
      </c>
      <c r="X1731" s="44">
        <f>IF(Mecze[[#This Row],[Role]]&lt;&gt;"BR",SUMPRODUCT(Mecze[[#This Row],[/PR:90]:[/BR:90]],Brudnopis!$E$28:$J$28),0)</f>
        <v>3.125E-2</v>
      </c>
      <c r="Y1731" s="35">
        <f>IF(Mecze[[#This Row],[Role]]="BR",Mecze[[#This Row],[/OB:90]]+Mecze[[#This Row],[/PC:90]],SUM(Mecze[[#This Row],[/PR:90]:[/BR:90]]))</f>
        <v>9.375E-2</v>
      </c>
      <c r="Z1731" s="35">
        <f>IF(Mecze[[#This Row],[KC]]=0,SUM(Mecze[[#This Row],[/BRI]:[/NPI]]),SUM(Mecze[[#This Row],[/BRI]:[/NPI]])*0.6)</f>
        <v>0.43229166666666663</v>
      </c>
      <c r="AA1731" s="10">
        <f>IFERROR(Mecze[[#This Row],[BR]]/Mecze[[#This Row],[ST]],0)</f>
        <v>0</v>
      </c>
      <c r="AB1731">
        <f>ROUND(Mecze[[#This Row],[PD]]*Mecze[[#This Row],[%PC]],0)</f>
        <v>3</v>
      </c>
      <c r="AC1731">
        <f>ROUND(Mecze[[#This Row],[OD]]*Mecze[[#This Row],[%OU]],0)</f>
        <v>2</v>
      </c>
      <c r="AD1731" s="36" t="s">
        <v>168</v>
      </c>
      <c r="AE1731" s="36">
        <v>94</v>
      </c>
      <c r="AF1731" s="71">
        <v>2.4300000000000002</v>
      </c>
      <c r="AG1731" s="37">
        <v>0</v>
      </c>
      <c r="AH1731" s="37">
        <v>0</v>
      </c>
      <c r="AI1731" s="37">
        <v>96</v>
      </c>
      <c r="AJ1731" s="37">
        <v>1</v>
      </c>
      <c r="AK1731" s="37" t="str">
        <f>VLOOKUP(Mecze[[#This Row],[Match ID]],Meczusie[Mecz]:Meczusie[RodzajMeczu],2,FALSE)</f>
        <v>Towarzyski</v>
      </c>
    </row>
    <row r="1732" spans="1:37" x14ac:dyDescent="0.25">
      <c r="A1732" s="76">
        <v>42</v>
      </c>
      <c r="B1732" s="3" t="s">
        <v>361</v>
      </c>
      <c r="C1732" s="2" t="s">
        <v>157</v>
      </c>
      <c r="D1732" s="1">
        <v>0</v>
      </c>
      <c r="E1732" s="1">
        <v>0</v>
      </c>
      <c r="F1732" s="1">
        <v>0</v>
      </c>
      <c r="G1732" s="1">
        <v>6</v>
      </c>
      <c r="H1732" s="4">
        <v>0.5</v>
      </c>
      <c r="I1732" s="1">
        <v>12</v>
      </c>
      <c r="J1732" s="4">
        <v>0.25</v>
      </c>
      <c r="K1732" s="1">
        <v>0</v>
      </c>
      <c r="L1732" s="1">
        <v>3</v>
      </c>
      <c r="M1732" s="32">
        <f>IF(Mecze[[#This Row],[PR]]=0,0,Mecze[[#This Row],[PR]]/Mecze[[#This Row],[CZAS]])</f>
        <v>3.125E-2</v>
      </c>
      <c r="N1732" s="32">
        <f>IF(Mecze[[#This Row],[OU]]=0,0,Mecze[[#This Row],[OU]]/Mecze[[#This Row],[CZAS]])</f>
        <v>3.125E-2</v>
      </c>
      <c r="O1732" s="32">
        <f>IF(Mecze[[#This Row],[PC]]=0,0,Mecze[[#This Row],[PC]]/Mecze[[#This Row],[CZAS]])</f>
        <v>3.125E-2</v>
      </c>
      <c r="P1732" s="32">
        <f>IF(Mecze[[#This Row],[SC]]=0,0,Mecze[[#This Row],[SC]]/Mecze[[#This Row],[CZAS]])</f>
        <v>0</v>
      </c>
      <c r="Q1732" s="32">
        <f>IF(Mecze[[#This Row],[OB]]=0,0,Mecze[[#This Row],[OB]]/Mecze[[#This Row],[CZAS]])</f>
        <v>0</v>
      </c>
      <c r="R1732" s="32">
        <f>IF(Mecze[[#This Row],[BR]]=0,0,Mecze[[#This Row],[BR]]/Mecze[[#This Row],[CZAS]])</f>
        <v>0</v>
      </c>
      <c r="S1732" s="44">
        <f>IF(Mecze[[#This Row],[Role]]="BR",SUMPRODUCT(Mecze[[#This Row],[/PR:90]:[/BR:90]],Brudnopis!$E$23:$J$23),0)</f>
        <v>0</v>
      </c>
      <c r="T1732" s="44">
        <f>IF(Mecze[[#This Row],[Role]]&lt;&gt;"BR",SUMPRODUCT(Mecze[[#This Row],[/PR:90]:[/BR:90]],Brudnopis!$E$24:$J$24),0)</f>
        <v>0.109375</v>
      </c>
      <c r="U1732" s="44">
        <f>IF(Mecze[[#This Row],[Role]]&lt;&gt;"BR",SUMPRODUCT(Mecze[[#This Row],[/PR:90]:[/BR:90]],Brudnopis!$E$25:$J$25),0)</f>
        <v>0.109375</v>
      </c>
      <c r="V1732" s="44">
        <f>IF(Mecze[[#This Row],[Role]]&lt;&gt;"BR",SUMPRODUCT(Mecze[[#This Row],[/PR:90]:[/BR:90]],Brudnopis!$E$26:$J$26),0)</f>
        <v>9.375E-2</v>
      </c>
      <c r="W1732" s="44">
        <f>IF(Mecze[[#This Row],[Role]]&lt;&gt;"BR",SUMPRODUCT(Mecze[[#This Row],[/PR:90]:[/BR:90]],Brudnopis!$E$27:$J$27),0)</f>
        <v>9.375E-2</v>
      </c>
      <c r="X1732" s="44">
        <f>IF(Mecze[[#This Row],[Role]]&lt;&gt;"BR",SUMPRODUCT(Mecze[[#This Row],[/PR:90]:[/BR:90]],Brudnopis!$E$28:$J$28),0)</f>
        <v>3.125E-2</v>
      </c>
      <c r="Y1732" s="35">
        <f>IF(Mecze[[#This Row],[Role]]="BR",Mecze[[#This Row],[/OB:90]]+Mecze[[#This Row],[/PC:90]],SUM(Mecze[[#This Row],[/PR:90]:[/BR:90]]))</f>
        <v>9.375E-2</v>
      </c>
      <c r="Z1732" s="35">
        <f>IF(Mecze[[#This Row],[KC]]=0,SUM(Mecze[[#This Row],[/BRI]:[/NPI]]),SUM(Mecze[[#This Row],[/BRI]:[/NPI]])*0.6)</f>
        <v>0.4375</v>
      </c>
      <c r="AA1732" s="10">
        <f>IFERROR(Mecze[[#This Row],[BR]]/Mecze[[#This Row],[ST]],0)</f>
        <v>0</v>
      </c>
      <c r="AB1732">
        <f>ROUND(Mecze[[#This Row],[PD]]*Mecze[[#This Row],[%PC]],0)</f>
        <v>3</v>
      </c>
      <c r="AC1732">
        <f>ROUND(Mecze[[#This Row],[OD]]*Mecze[[#This Row],[%OU]],0)</f>
        <v>3</v>
      </c>
      <c r="AD1732" s="36" t="s">
        <v>167</v>
      </c>
      <c r="AE1732" s="36">
        <v>94</v>
      </c>
      <c r="AF1732" s="71">
        <v>2.2200000000000002</v>
      </c>
      <c r="AG1732" s="37">
        <v>0</v>
      </c>
      <c r="AH1732" s="37">
        <v>0</v>
      </c>
      <c r="AI1732" s="37">
        <v>96</v>
      </c>
      <c r="AJ1732" s="37">
        <v>1</v>
      </c>
      <c r="AK1732" s="37" t="str">
        <f>VLOOKUP(Mecze[[#This Row],[Match ID]],Meczusie[Mecz]:Meczusie[RodzajMeczu],2,FALSE)</f>
        <v>Towarzyski</v>
      </c>
    </row>
    <row r="1733" spans="1:37" x14ac:dyDescent="0.25">
      <c r="A1733" s="76">
        <v>33</v>
      </c>
      <c r="B1733" s="3" t="s">
        <v>362</v>
      </c>
      <c r="C1733" s="2" t="s">
        <v>160</v>
      </c>
      <c r="D1733" s="1">
        <v>0</v>
      </c>
      <c r="E1733" s="1">
        <v>0</v>
      </c>
      <c r="F1733" s="1">
        <v>0</v>
      </c>
      <c r="G1733" s="1">
        <v>11</v>
      </c>
      <c r="H1733" s="4">
        <v>0.09</v>
      </c>
      <c r="I1733" s="1">
        <v>5</v>
      </c>
      <c r="J1733" s="4">
        <v>0.4</v>
      </c>
      <c r="K1733" s="1">
        <v>0</v>
      </c>
      <c r="L1733" s="1">
        <v>9</v>
      </c>
      <c r="M1733" s="32">
        <f>IF(Mecze[[#This Row],[PR]]=0,0,Mecze[[#This Row],[PR]]/Mecze[[#This Row],[CZAS]])</f>
        <v>9.375E-2</v>
      </c>
      <c r="N1733" s="32">
        <f>IF(Mecze[[#This Row],[OU]]=0,0,Mecze[[#This Row],[OU]]/Mecze[[#This Row],[CZAS]])</f>
        <v>2.0833333333333332E-2</v>
      </c>
      <c r="O1733" s="32">
        <f>IF(Mecze[[#This Row],[PC]]=0,0,Mecze[[#This Row],[PC]]/Mecze[[#This Row],[CZAS]])</f>
        <v>1.0416666666666666E-2</v>
      </c>
      <c r="P1733" s="32">
        <f>IF(Mecze[[#This Row],[SC]]=0,0,Mecze[[#This Row],[SC]]/Mecze[[#This Row],[CZAS]])</f>
        <v>0</v>
      </c>
      <c r="Q1733" s="32">
        <f>IF(Mecze[[#This Row],[OB]]=0,0,Mecze[[#This Row],[OB]]/Mecze[[#This Row],[CZAS]])</f>
        <v>0</v>
      </c>
      <c r="R1733" s="32">
        <f>IF(Mecze[[#This Row],[BR]]=0,0,Mecze[[#This Row],[BR]]/Mecze[[#This Row],[CZAS]])</f>
        <v>0</v>
      </c>
      <c r="S1733" s="44">
        <f>IF(Mecze[[#This Row],[Role]]="BR",SUMPRODUCT(Mecze[[#This Row],[/PR:90]:[/BR:90]],Brudnopis!$E$23:$J$23),0)</f>
        <v>0</v>
      </c>
      <c r="T1733" s="44">
        <f>IF(Mecze[[#This Row],[Role]]&lt;&gt;"BR",SUMPRODUCT(Mecze[[#This Row],[/PR:90]:[/BR:90]],Brudnopis!$E$24:$J$24),0)</f>
        <v>0.13541666666666666</v>
      </c>
      <c r="U1733" s="44">
        <f>IF(Mecze[[#This Row],[Role]]&lt;&gt;"BR",SUMPRODUCT(Mecze[[#This Row],[/PR:90]:[/BR:90]],Brudnopis!$E$25:$J$25),0)</f>
        <v>0.13020833333333331</v>
      </c>
      <c r="V1733" s="44">
        <f>IF(Mecze[[#This Row],[Role]]&lt;&gt;"BR",SUMPRODUCT(Mecze[[#This Row],[/PR:90]:[/BR:90]],Brudnopis!$E$26:$J$26),0)</f>
        <v>0.125</v>
      </c>
      <c r="W1733" s="44">
        <f>IF(Mecze[[#This Row],[Role]]&lt;&gt;"BR",SUMPRODUCT(Mecze[[#This Row],[/PR:90]:[/BR:90]],Brudnopis!$E$27:$J$27),0)</f>
        <v>0.1015625</v>
      </c>
      <c r="X1733" s="44">
        <f>IF(Mecze[[#This Row],[Role]]&lt;&gt;"BR",SUMPRODUCT(Mecze[[#This Row],[/PR:90]:[/BR:90]],Brudnopis!$E$28:$J$28),0)</f>
        <v>1.0416666666666666E-2</v>
      </c>
      <c r="Y1733" s="35">
        <f>IF(Mecze[[#This Row],[Role]]="BR",Mecze[[#This Row],[/OB:90]]+Mecze[[#This Row],[/PC:90]],SUM(Mecze[[#This Row],[/PR:90]:[/BR:90]]))</f>
        <v>0.125</v>
      </c>
      <c r="Z1733" s="35">
        <f>IF(Mecze[[#This Row],[KC]]=0,SUM(Mecze[[#This Row],[/BRI]:[/NPI]]),SUM(Mecze[[#This Row],[/BRI]:[/NPI]])*0.6)</f>
        <v>0.50260416666666663</v>
      </c>
      <c r="AA1733" s="10">
        <f>IFERROR(Mecze[[#This Row],[BR]]/Mecze[[#This Row],[ST]],0)</f>
        <v>0</v>
      </c>
      <c r="AB1733">
        <f>ROUND(Mecze[[#This Row],[PD]]*Mecze[[#This Row],[%PC]],0)</f>
        <v>1</v>
      </c>
      <c r="AC1733">
        <f>ROUND(Mecze[[#This Row],[OD]]*Mecze[[#This Row],[%OU]],0)</f>
        <v>2</v>
      </c>
      <c r="AD1733" s="36" t="s">
        <v>41</v>
      </c>
      <c r="AE1733" s="36">
        <v>94</v>
      </c>
      <c r="AF1733" s="71">
        <v>4.59</v>
      </c>
      <c r="AG1733" s="37">
        <v>0</v>
      </c>
      <c r="AH1733" s="37">
        <v>0</v>
      </c>
      <c r="AI1733" s="37">
        <v>96</v>
      </c>
      <c r="AJ1733" s="37">
        <v>1</v>
      </c>
      <c r="AK1733" s="37" t="str">
        <f>VLOOKUP(Mecze[[#This Row],[Match ID]],Meczusie[Mecz]:Meczusie[RodzajMeczu],2,FALSE)</f>
        <v>Towarzyski</v>
      </c>
    </row>
    <row r="1734" spans="1:37" x14ac:dyDescent="0.25">
      <c r="A1734" s="76">
        <v>22</v>
      </c>
      <c r="B1734" s="3" t="s">
        <v>363</v>
      </c>
      <c r="C1734" s="2" t="s">
        <v>160</v>
      </c>
      <c r="D1734" s="1">
        <v>0</v>
      </c>
      <c r="E1734" s="1">
        <v>0</v>
      </c>
      <c r="F1734" s="1">
        <v>0</v>
      </c>
      <c r="G1734" s="1">
        <v>7</v>
      </c>
      <c r="H1734" s="4">
        <v>0.56999999999999995</v>
      </c>
      <c r="I1734" s="1">
        <v>3</v>
      </c>
      <c r="J1734" s="4">
        <v>0</v>
      </c>
      <c r="K1734" s="1">
        <v>0</v>
      </c>
      <c r="L1734" s="1">
        <v>6</v>
      </c>
      <c r="M1734" s="32">
        <f>IF(Mecze[[#This Row],[PR]]=0,0,Mecze[[#This Row],[PR]]/Mecze[[#This Row],[CZAS]])</f>
        <v>6.25E-2</v>
      </c>
      <c r="N1734" s="32">
        <f>IF(Mecze[[#This Row],[OU]]=0,0,Mecze[[#This Row],[OU]]/Mecze[[#This Row],[CZAS]])</f>
        <v>0</v>
      </c>
      <c r="O1734" s="32">
        <f>IF(Mecze[[#This Row],[PC]]=0,0,Mecze[[#This Row],[PC]]/Mecze[[#This Row],[CZAS]])</f>
        <v>4.1666666666666664E-2</v>
      </c>
      <c r="P1734" s="32">
        <f>IF(Mecze[[#This Row],[SC]]=0,0,Mecze[[#This Row],[SC]]/Mecze[[#This Row],[CZAS]])</f>
        <v>0</v>
      </c>
      <c r="Q1734" s="32">
        <f>IF(Mecze[[#This Row],[OB]]=0,0,Mecze[[#This Row],[OB]]/Mecze[[#This Row],[CZAS]])</f>
        <v>0</v>
      </c>
      <c r="R1734" s="32">
        <f>IF(Mecze[[#This Row],[BR]]=0,0,Mecze[[#This Row],[BR]]/Mecze[[#This Row],[CZAS]])</f>
        <v>0</v>
      </c>
      <c r="S1734" s="44">
        <f>IF(Mecze[[#This Row],[Role]]="BR",SUMPRODUCT(Mecze[[#This Row],[/PR:90]:[/BR:90]],Brudnopis!$E$23:$J$23),0)</f>
        <v>0</v>
      </c>
      <c r="T1734" s="44">
        <f>IF(Mecze[[#This Row],[Role]]&lt;&gt;"BR",SUMPRODUCT(Mecze[[#This Row],[/PR:90]:[/BR:90]],Brudnopis!$E$24:$J$24),0)</f>
        <v>0.10416666666666666</v>
      </c>
      <c r="U1734" s="44">
        <f>IF(Mecze[[#This Row],[Role]]&lt;&gt;"BR",SUMPRODUCT(Mecze[[#This Row],[/PR:90]:[/BR:90]],Brudnopis!$E$25:$J$25),0)</f>
        <v>0.125</v>
      </c>
      <c r="V1734" s="44">
        <f>IF(Mecze[[#This Row],[Role]]&lt;&gt;"BR",SUMPRODUCT(Mecze[[#This Row],[/PR:90]:[/BR:90]],Brudnopis!$E$26:$J$26),0)</f>
        <v>0.10416666666666666</v>
      </c>
      <c r="W1734" s="44">
        <f>IF(Mecze[[#This Row],[Role]]&lt;&gt;"BR",SUMPRODUCT(Mecze[[#This Row],[/PR:90]:[/BR:90]],Brudnopis!$E$27:$J$27),0)</f>
        <v>0.109375</v>
      </c>
      <c r="X1734" s="44">
        <f>IF(Mecze[[#This Row],[Role]]&lt;&gt;"BR",SUMPRODUCT(Mecze[[#This Row],[/PR:90]:[/BR:90]],Brudnopis!$E$28:$J$28),0)</f>
        <v>4.1666666666666664E-2</v>
      </c>
      <c r="Y1734" s="35">
        <f>IF(Mecze[[#This Row],[Role]]="BR",Mecze[[#This Row],[/OB:90]]+Mecze[[#This Row],[/PC:90]],SUM(Mecze[[#This Row],[/PR:90]:[/BR:90]]))</f>
        <v>0.10416666666666666</v>
      </c>
      <c r="Z1734" s="35">
        <f>IF(Mecze[[#This Row],[KC]]=0,SUM(Mecze[[#This Row],[/BRI]:[/NPI]]),SUM(Mecze[[#This Row],[/BRI]:[/NPI]])*0.6)</f>
        <v>0.484375</v>
      </c>
      <c r="AA1734" s="10">
        <f>IFERROR(Mecze[[#This Row],[BR]]/Mecze[[#This Row],[ST]],0)</f>
        <v>0</v>
      </c>
      <c r="AB1734">
        <f>ROUND(Mecze[[#This Row],[PD]]*Mecze[[#This Row],[%PC]],0)</f>
        <v>4</v>
      </c>
      <c r="AC1734">
        <f>ROUND(Mecze[[#This Row],[OD]]*Mecze[[#This Row],[%OU]],0)</f>
        <v>0</v>
      </c>
      <c r="AD1734" s="36" t="s">
        <v>41</v>
      </c>
      <c r="AE1734" s="36">
        <v>94</v>
      </c>
      <c r="AF1734" s="71">
        <v>5.17</v>
      </c>
      <c r="AG1734" s="37">
        <v>0</v>
      </c>
      <c r="AH1734" s="37">
        <v>0</v>
      </c>
      <c r="AI1734" s="37">
        <v>96</v>
      </c>
      <c r="AJ1734" s="37">
        <v>1</v>
      </c>
      <c r="AK1734" s="37" t="str">
        <f>VLOOKUP(Mecze[[#This Row],[Match ID]],Meczusie[Mecz]:Meczusie[RodzajMeczu],2,FALSE)</f>
        <v>Towarzyski</v>
      </c>
    </row>
    <row r="1735" spans="1:37" x14ac:dyDescent="0.25">
      <c r="A1735" s="76">
        <v>17</v>
      </c>
      <c r="B1735" s="3" t="s">
        <v>413</v>
      </c>
      <c r="C1735" s="2" t="s">
        <v>160</v>
      </c>
      <c r="D1735" s="1">
        <v>0</v>
      </c>
      <c r="E1735" s="1">
        <v>0</v>
      </c>
      <c r="F1735" s="1">
        <v>0</v>
      </c>
      <c r="G1735" s="1">
        <v>10</v>
      </c>
      <c r="H1735" s="4">
        <v>0.5</v>
      </c>
      <c r="I1735" s="1">
        <v>3</v>
      </c>
      <c r="J1735" s="4">
        <v>0.33</v>
      </c>
      <c r="K1735" s="1">
        <v>0</v>
      </c>
      <c r="L1735" s="1">
        <v>6</v>
      </c>
      <c r="M1735" s="32">
        <f>IF(Mecze[[#This Row],[PR]]=0,0,Mecze[[#This Row],[PR]]/Mecze[[#This Row],[CZAS]])</f>
        <v>6.25E-2</v>
      </c>
      <c r="N1735" s="32">
        <f>IF(Mecze[[#This Row],[OU]]=0,0,Mecze[[#This Row],[OU]]/Mecze[[#This Row],[CZAS]])</f>
        <v>1.0416666666666666E-2</v>
      </c>
      <c r="O1735" s="32">
        <f>IF(Mecze[[#This Row],[PC]]=0,0,Mecze[[#This Row],[PC]]/Mecze[[#This Row],[CZAS]])</f>
        <v>5.2083333333333336E-2</v>
      </c>
      <c r="P1735" s="32">
        <f>IF(Mecze[[#This Row],[SC]]=0,0,Mecze[[#This Row],[SC]]/Mecze[[#This Row],[CZAS]])</f>
        <v>0</v>
      </c>
      <c r="Q1735" s="32">
        <f>IF(Mecze[[#This Row],[OB]]=0,0,Mecze[[#This Row],[OB]]/Mecze[[#This Row],[CZAS]])</f>
        <v>0</v>
      </c>
      <c r="R1735" s="32">
        <f>IF(Mecze[[#This Row],[BR]]=0,0,Mecze[[#This Row],[BR]]/Mecze[[#This Row],[CZAS]])</f>
        <v>0</v>
      </c>
      <c r="S1735" s="44">
        <f>IF(Mecze[[#This Row],[Role]]="BR",SUMPRODUCT(Mecze[[#This Row],[/PR:90]:[/BR:90]],Brudnopis!$E$23:$J$23),0)</f>
        <v>0</v>
      </c>
      <c r="T1735" s="44">
        <f>IF(Mecze[[#This Row],[Role]]&lt;&gt;"BR",SUMPRODUCT(Mecze[[#This Row],[/PR:90]:[/BR:90]],Brudnopis!$E$24:$J$24),0)</f>
        <v>0.13020833333333334</v>
      </c>
      <c r="U1735" s="44">
        <f>IF(Mecze[[#This Row],[Role]]&lt;&gt;"BR",SUMPRODUCT(Mecze[[#This Row],[/PR:90]:[/BR:90]],Brudnopis!$E$25:$J$25),0)</f>
        <v>0.15104166666666669</v>
      </c>
      <c r="V1735" s="44">
        <f>IF(Mecze[[#This Row],[Role]]&lt;&gt;"BR",SUMPRODUCT(Mecze[[#This Row],[/PR:90]:[/BR:90]],Brudnopis!$E$26:$J$26),0)</f>
        <v>0.125</v>
      </c>
      <c r="W1735" s="44">
        <f>IF(Mecze[[#This Row],[Role]]&lt;&gt;"BR",SUMPRODUCT(Mecze[[#This Row],[/PR:90]:[/BR:90]],Brudnopis!$E$27:$J$27),0)</f>
        <v>0.1328125</v>
      </c>
      <c r="X1735" s="44">
        <f>IF(Mecze[[#This Row],[Role]]&lt;&gt;"BR",SUMPRODUCT(Mecze[[#This Row],[/PR:90]:[/BR:90]],Brudnopis!$E$28:$J$28),0)</f>
        <v>5.2083333333333336E-2</v>
      </c>
      <c r="Y1735" s="35">
        <f>IF(Mecze[[#This Row],[Role]]="BR",Mecze[[#This Row],[/OB:90]]+Mecze[[#This Row],[/PC:90]],SUM(Mecze[[#This Row],[/PR:90]:[/BR:90]]))</f>
        <v>0.125</v>
      </c>
      <c r="Z1735" s="35">
        <f>IF(Mecze[[#This Row],[KC]]=0,SUM(Mecze[[#This Row],[/BRI]:[/NPI]]),SUM(Mecze[[#This Row],[/BRI]:[/NPI]])*0.6)</f>
        <v>0.59114583333333337</v>
      </c>
      <c r="AA1735" s="10">
        <f>IFERROR(Mecze[[#This Row],[BR]]/Mecze[[#This Row],[ST]],0)</f>
        <v>0</v>
      </c>
      <c r="AB1735">
        <f>ROUND(Mecze[[#This Row],[PD]]*Mecze[[#This Row],[%PC]],0)</f>
        <v>5</v>
      </c>
      <c r="AC1735">
        <f>ROUND(Mecze[[#This Row],[OD]]*Mecze[[#This Row],[%OU]],0)</f>
        <v>1</v>
      </c>
      <c r="AD1735" s="36" t="s">
        <v>44</v>
      </c>
      <c r="AE1735" s="36">
        <v>94</v>
      </c>
      <c r="AF1735" s="71">
        <v>5.17</v>
      </c>
      <c r="AG1735" s="37">
        <v>0</v>
      </c>
      <c r="AH1735" s="37">
        <v>0</v>
      </c>
      <c r="AI1735" s="37">
        <v>96</v>
      </c>
      <c r="AJ1735" s="37">
        <v>1</v>
      </c>
      <c r="AK1735" s="37" t="str">
        <f>VLOOKUP(Mecze[[#This Row],[Match ID]],Meczusie[Mecz]:Meczusie[RodzajMeczu],2,FALSE)</f>
        <v>Towarzyski</v>
      </c>
    </row>
    <row r="1736" spans="1:37" x14ac:dyDescent="0.25">
      <c r="A1736" s="76">
        <v>28</v>
      </c>
      <c r="B1736" s="3" t="s">
        <v>419</v>
      </c>
      <c r="C1736" s="2" t="s">
        <v>160</v>
      </c>
      <c r="D1736" s="1">
        <v>0</v>
      </c>
      <c r="E1736" s="1">
        <v>0</v>
      </c>
      <c r="F1736" s="1">
        <v>0</v>
      </c>
      <c r="G1736" s="1">
        <v>8</v>
      </c>
      <c r="H1736" s="4">
        <v>0.25</v>
      </c>
      <c r="I1736" s="1">
        <v>3</v>
      </c>
      <c r="J1736" s="4">
        <v>0.33</v>
      </c>
      <c r="K1736" s="1">
        <v>0</v>
      </c>
      <c r="L1736" s="1">
        <v>2</v>
      </c>
      <c r="M1736" s="32">
        <f>IF(Mecze[[#This Row],[PR]]=0,0,Mecze[[#This Row],[PR]]/Mecze[[#This Row],[CZAS]])</f>
        <v>2.0833333333333332E-2</v>
      </c>
      <c r="N1736" s="32">
        <f>IF(Mecze[[#This Row],[OU]]=0,0,Mecze[[#This Row],[OU]]/Mecze[[#This Row],[CZAS]])</f>
        <v>1.0416666666666666E-2</v>
      </c>
      <c r="O1736" s="32">
        <f>IF(Mecze[[#This Row],[PC]]=0,0,Mecze[[#This Row],[PC]]/Mecze[[#This Row],[CZAS]])</f>
        <v>2.0833333333333332E-2</v>
      </c>
      <c r="P1736" s="32">
        <f>IF(Mecze[[#This Row],[SC]]=0,0,Mecze[[#This Row],[SC]]/Mecze[[#This Row],[CZAS]])</f>
        <v>0</v>
      </c>
      <c r="Q1736" s="32">
        <f>IF(Mecze[[#This Row],[OB]]=0,0,Mecze[[#This Row],[OB]]/Mecze[[#This Row],[CZAS]])</f>
        <v>0</v>
      </c>
      <c r="R1736" s="32">
        <f>IF(Mecze[[#This Row],[BR]]=0,0,Mecze[[#This Row],[BR]]/Mecze[[#This Row],[CZAS]])</f>
        <v>0</v>
      </c>
      <c r="S1736" s="44">
        <f>IF(Mecze[[#This Row],[Role]]="BR",SUMPRODUCT(Mecze[[#This Row],[/PR:90]:[/BR:90]],Brudnopis!$E$23:$J$23),0)</f>
        <v>0</v>
      </c>
      <c r="T1736" s="44">
        <f>IF(Mecze[[#This Row],[Role]]&lt;&gt;"BR",SUMPRODUCT(Mecze[[#This Row],[/PR:90]:[/BR:90]],Brudnopis!$E$24:$J$24),0)</f>
        <v>5.7291666666666657E-2</v>
      </c>
      <c r="U1736" s="44">
        <f>IF(Mecze[[#This Row],[Role]]&lt;&gt;"BR",SUMPRODUCT(Mecze[[#This Row],[/PR:90]:[/BR:90]],Brudnopis!$E$25:$J$25),0)</f>
        <v>6.25E-2</v>
      </c>
      <c r="V1736" s="44">
        <f>IF(Mecze[[#This Row],[Role]]&lt;&gt;"BR",SUMPRODUCT(Mecze[[#This Row],[/PR:90]:[/BR:90]],Brudnopis!$E$26:$J$26),0)</f>
        <v>5.2083333333333329E-2</v>
      </c>
      <c r="W1736" s="44">
        <f>IF(Mecze[[#This Row],[Role]]&lt;&gt;"BR",SUMPRODUCT(Mecze[[#This Row],[/PR:90]:[/BR:90]],Brudnopis!$E$27:$J$27),0)</f>
        <v>5.46875E-2</v>
      </c>
      <c r="X1736" s="44">
        <f>IF(Mecze[[#This Row],[Role]]&lt;&gt;"BR",SUMPRODUCT(Mecze[[#This Row],[/PR:90]:[/BR:90]],Brudnopis!$E$28:$J$28),0)</f>
        <v>2.0833333333333332E-2</v>
      </c>
      <c r="Y1736" s="35">
        <f>IF(Mecze[[#This Row],[Role]]="BR",Mecze[[#This Row],[/OB:90]]+Mecze[[#This Row],[/PC:90]],SUM(Mecze[[#This Row],[/PR:90]:[/BR:90]]))</f>
        <v>5.2083333333333329E-2</v>
      </c>
      <c r="Z1736" s="35">
        <f>IF(Mecze[[#This Row],[KC]]=0,SUM(Mecze[[#This Row],[/BRI]:[/NPI]]),SUM(Mecze[[#This Row],[/BRI]:[/NPI]])*0.6)</f>
        <v>0.24739583333333334</v>
      </c>
      <c r="AA1736" s="10">
        <f>IFERROR(Mecze[[#This Row],[BR]]/Mecze[[#This Row],[ST]],0)</f>
        <v>0</v>
      </c>
      <c r="AB1736">
        <f>ROUND(Mecze[[#This Row],[PD]]*Mecze[[#This Row],[%PC]],0)</f>
        <v>2</v>
      </c>
      <c r="AC1736">
        <f>ROUND(Mecze[[#This Row],[OD]]*Mecze[[#This Row],[%OU]],0)</f>
        <v>1</v>
      </c>
      <c r="AD1736" s="36" t="s">
        <v>44</v>
      </c>
      <c r="AE1736" s="36">
        <v>94</v>
      </c>
      <c r="AF1736" s="71">
        <v>3.12</v>
      </c>
      <c r="AG1736" s="37">
        <v>0</v>
      </c>
      <c r="AH1736" s="37">
        <v>0</v>
      </c>
      <c r="AI1736" s="37">
        <v>96</v>
      </c>
      <c r="AJ1736" s="37">
        <v>1</v>
      </c>
      <c r="AK1736" s="37" t="str">
        <f>VLOOKUP(Mecze[[#This Row],[Match ID]],Meczusie[Mecz]:Meczusie[RodzajMeczu],2,FALSE)</f>
        <v>Towarzyski</v>
      </c>
    </row>
    <row r="1737" spans="1:37" x14ac:dyDescent="0.25">
      <c r="A1737" s="76">
        <v>27</v>
      </c>
      <c r="B1737" s="3" t="s">
        <v>364</v>
      </c>
      <c r="C1737" s="2" t="s">
        <v>165</v>
      </c>
      <c r="D1737" s="1">
        <v>0</v>
      </c>
      <c r="E1737" s="1">
        <v>2</v>
      </c>
      <c r="F1737" s="1">
        <v>2</v>
      </c>
      <c r="G1737" s="1">
        <v>12</v>
      </c>
      <c r="H1737" s="4">
        <v>0.57999999999999996</v>
      </c>
      <c r="I1737" s="1">
        <v>0</v>
      </c>
      <c r="J1737" s="4"/>
      <c r="K1737" s="1">
        <v>0</v>
      </c>
      <c r="L1737" s="1">
        <v>1</v>
      </c>
      <c r="M1737" s="32">
        <f>IF(Mecze[[#This Row],[PR]]=0,0,Mecze[[#This Row],[PR]]/Mecze[[#This Row],[CZAS]])</f>
        <v>1.0416666666666666E-2</v>
      </c>
      <c r="N1737" s="32">
        <f>IF(Mecze[[#This Row],[OU]]=0,0,Mecze[[#This Row],[OU]]/Mecze[[#This Row],[CZAS]])</f>
        <v>0</v>
      </c>
      <c r="O1737" s="32">
        <f>IF(Mecze[[#This Row],[PC]]=0,0,Mecze[[#This Row],[PC]]/Mecze[[#This Row],[CZAS]])</f>
        <v>7.2916666666666671E-2</v>
      </c>
      <c r="P1737" s="32">
        <f>IF(Mecze[[#This Row],[SC]]=0,0,Mecze[[#This Row],[SC]]/Mecze[[#This Row],[CZAS]])</f>
        <v>2.0833333333333332E-2</v>
      </c>
      <c r="Q1737" s="32">
        <f>IF(Mecze[[#This Row],[OB]]=0,0,Mecze[[#This Row],[OB]]/Mecze[[#This Row],[CZAS]])</f>
        <v>0</v>
      </c>
      <c r="R1737" s="32">
        <f>IF(Mecze[[#This Row],[BR]]=0,0,Mecze[[#This Row],[BR]]/Mecze[[#This Row],[CZAS]])</f>
        <v>0</v>
      </c>
      <c r="S1737" s="44">
        <f>IF(Mecze[[#This Row],[Role]]="BR",SUMPRODUCT(Mecze[[#This Row],[/PR:90]:[/BR:90]],Brudnopis!$E$23:$J$23),0)</f>
        <v>0</v>
      </c>
      <c r="T1737" s="44">
        <f>IF(Mecze[[#This Row],[Role]]&lt;&gt;"BR",SUMPRODUCT(Mecze[[#This Row],[/PR:90]:[/BR:90]],Brudnopis!$E$24:$J$24),0)</f>
        <v>0.10416666666666667</v>
      </c>
      <c r="U1737" s="44">
        <f>IF(Mecze[[#This Row],[Role]]&lt;&gt;"BR",SUMPRODUCT(Mecze[[#This Row],[/PR:90]:[/BR:90]],Brudnopis!$E$25:$J$25),0)</f>
        <v>0.140625</v>
      </c>
      <c r="V1737" s="44">
        <f>IF(Mecze[[#This Row],[Role]]&lt;&gt;"BR",SUMPRODUCT(Mecze[[#This Row],[/PR:90]:[/BR:90]],Brudnopis!$E$26:$J$26),0)</f>
        <v>0.10416666666666667</v>
      </c>
      <c r="W1737" s="44">
        <f>IF(Mecze[[#This Row],[Role]]&lt;&gt;"BR",SUMPRODUCT(Mecze[[#This Row],[/PR:90]:[/BR:90]],Brudnopis!$E$27:$J$27),0)</f>
        <v>0.13802083333333334</v>
      </c>
      <c r="X1737" s="44">
        <f>IF(Mecze[[#This Row],[Role]]&lt;&gt;"BR",SUMPRODUCT(Mecze[[#This Row],[/PR:90]:[/BR:90]],Brudnopis!$E$28:$J$28),0)</f>
        <v>0.11458333333333334</v>
      </c>
      <c r="Y1737" s="35">
        <f>IF(Mecze[[#This Row],[Role]]="BR",Mecze[[#This Row],[/OB:90]]+Mecze[[#This Row],[/PC:90]],SUM(Mecze[[#This Row],[/PR:90]:[/BR:90]]))</f>
        <v>0.10416666666666667</v>
      </c>
      <c r="Z1737" s="35">
        <f>IF(Mecze[[#This Row],[KC]]=0,SUM(Mecze[[#This Row],[/BRI]:[/NPI]]),SUM(Mecze[[#This Row],[/BRI]:[/NPI]])*0.6)</f>
        <v>0.60156250000000011</v>
      </c>
      <c r="AA1737" s="10">
        <f>IFERROR(Mecze[[#This Row],[BR]]/Mecze[[#This Row],[ST]],0)</f>
        <v>0</v>
      </c>
      <c r="AB1737">
        <f>ROUND(Mecze[[#This Row],[PD]]*Mecze[[#This Row],[%PC]],0)</f>
        <v>7</v>
      </c>
      <c r="AC1737">
        <f>ROUND(Mecze[[#This Row],[OD]]*Mecze[[#This Row],[%OU]],0)</f>
        <v>0</v>
      </c>
      <c r="AD1737" s="36" t="s">
        <v>46</v>
      </c>
      <c r="AE1737" s="36">
        <v>94</v>
      </c>
      <c r="AF1737" s="71">
        <v>4.4800000000000004</v>
      </c>
      <c r="AG1737" s="37">
        <v>0</v>
      </c>
      <c r="AH1737" s="37">
        <v>0</v>
      </c>
      <c r="AI1737" s="37">
        <v>96</v>
      </c>
      <c r="AJ1737" s="37">
        <v>1</v>
      </c>
      <c r="AK1737" s="37" t="str">
        <f>VLOOKUP(Mecze[[#This Row],[Match ID]],Meczusie[Mecz]:Meczusie[RodzajMeczu],2,FALSE)</f>
        <v>Towarzyski</v>
      </c>
    </row>
    <row r="1738" spans="1:37" x14ac:dyDescent="0.25">
      <c r="A1738" s="76">
        <v>48</v>
      </c>
      <c r="B1738" s="3" t="s">
        <v>414</v>
      </c>
      <c r="C1738" s="2" t="s">
        <v>165</v>
      </c>
      <c r="D1738" s="1">
        <v>0</v>
      </c>
      <c r="E1738" s="1">
        <v>1</v>
      </c>
      <c r="F1738" s="1">
        <v>0</v>
      </c>
      <c r="G1738" s="1">
        <v>4</v>
      </c>
      <c r="H1738" s="4">
        <v>0.75</v>
      </c>
      <c r="I1738" s="1">
        <v>4</v>
      </c>
      <c r="J1738" s="4">
        <v>0.5</v>
      </c>
      <c r="K1738" s="1">
        <v>0</v>
      </c>
      <c r="L1738" s="1">
        <v>1</v>
      </c>
      <c r="M1738" s="32">
        <f>IF(Mecze[[#This Row],[PR]]=0,0,Mecze[[#This Row],[PR]]/Mecze[[#This Row],[CZAS]])</f>
        <v>1.0416666666666666E-2</v>
      </c>
      <c r="N1738" s="32">
        <f>IF(Mecze[[#This Row],[OU]]=0,0,Mecze[[#This Row],[OU]]/Mecze[[#This Row],[CZAS]])</f>
        <v>2.0833333333333332E-2</v>
      </c>
      <c r="O1738" s="32">
        <f>IF(Mecze[[#This Row],[PC]]=0,0,Mecze[[#This Row],[PC]]/Mecze[[#This Row],[CZAS]])</f>
        <v>3.125E-2</v>
      </c>
      <c r="P1738" s="32">
        <f>IF(Mecze[[#This Row],[SC]]=0,0,Mecze[[#This Row],[SC]]/Mecze[[#This Row],[CZAS]])</f>
        <v>0</v>
      </c>
      <c r="Q1738" s="32">
        <f>IF(Mecze[[#This Row],[OB]]=0,0,Mecze[[#This Row],[OB]]/Mecze[[#This Row],[CZAS]])</f>
        <v>0</v>
      </c>
      <c r="R1738" s="32">
        <f>IF(Mecze[[#This Row],[BR]]=0,0,Mecze[[#This Row],[BR]]/Mecze[[#This Row],[CZAS]])</f>
        <v>0</v>
      </c>
      <c r="S1738" s="44">
        <f>IF(Mecze[[#This Row],[Role]]="BR",SUMPRODUCT(Mecze[[#This Row],[/PR:90]:[/BR:90]],Brudnopis!$E$23:$J$23),0)</f>
        <v>0</v>
      </c>
      <c r="T1738" s="44">
        <f>IF(Mecze[[#This Row],[Role]]&lt;&gt;"BR",SUMPRODUCT(Mecze[[#This Row],[/PR:90]:[/BR:90]],Brudnopis!$E$24:$J$24),0)</f>
        <v>7.2916666666666657E-2</v>
      </c>
      <c r="U1738" s="44">
        <f>IF(Mecze[[#This Row],[Role]]&lt;&gt;"BR",SUMPRODUCT(Mecze[[#This Row],[/PR:90]:[/BR:90]],Brudnopis!$E$25:$J$25),0)</f>
        <v>7.8125E-2</v>
      </c>
      <c r="V1738" s="44">
        <f>IF(Mecze[[#This Row],[Role]]&lt;&gt;"BR",SUMPRODUCT(Mecze[[#This Row],[/PR:90]:[/BR:90]],Brudnopis!$E$26:$J$26),0)</f>
        <v>6.25E-2</v>
      </c>
      <c r="W1738" s="44">
        <f>IF(Mecze[[#This Row],[Role]]&lt;&gt;"BR",SUMPRODUCT(Mecze[[#This Row],[/PR:90]:[/BR:90]],Brudnopis!$E$27:$J$27),0)</f>
        <v>7.03125E-2</v>
      </c>
      <c r="X1738" s="44">
        <f>IF(Mecze[[#This Row],[Role]]&lt;&gt;"BR",SUMPRODUCT(Mecze[[#This Row],[/PR:90]:[/BR:90]],Brudnopis!$E$28:$J$28),0)</f>
        <v>3.125E-2</v>
      </c>
      <c r="Y1738" s="35">
        <f>IF(Mecze[[#This Row],[Role]]="BR",Mecze[[#This Row],[/OB:90]]+Mecze[[#This Row],[/PC:90]],SUM(Mecze[[#This Row],[/PR:90]:[/BR:90]]))</f>
        <v>6.25E-2</v>
      </c>
      <c r="Z1738" s="35">
        <f>IF(Mecze[[#This Row],[KC]]=0,SUM(Mecze[[#This Row],[/BRI]:[/NPI]]),SUM(Mecze[[#This Row],[/BRI]:[/NPI]])*0.6)</f>
        <v>0.31510416666666663</v>
      </c>
      <c r="AA1738" s="10">
        <f>IFERROR(Mecze[[#This Row],[BR]]/Mecze[[#This Row],[ST]],0)</f>
        <v>0</v>
      </c>
      <c r="AB1738">
        <f>ROUND(Mecze[[#This Row],[PD]]*Mecze[[#This Row],[%PC]],0)</f>
        <v>3</v>
      </c>
      <c r="AC1738">
        <f>ROUND(Mecze[[#This Row],[OD]]*Mecze[[#This Row],[%OU]],0)</f>
        <v>2</v>
      </c>
      <c r="AD1738" s="36" t="s">
        <v>46</v>
      </c>
      <c r="AE1738" s="36">
        <v>94</v>
      </c>
      <c r="AF1738" s="71">
        <v>1.6</v>
      </c>
      <c r="AG1738" s="37">
        <v>1</v>
      </c>
      <c r="AH1738" s="37">
        <v>0</v>
      </c>
      <c r="AI1738" s="37">
        <v>96</v>
      </c>
      <c r="AJ1738" s="37">
        <v>1</v>
      </c>
      <c r="AK1738" s="37" t="str">
        <f>VLOOKUP(Mecze[[#This Row],[Match ID]],Meczusie[Mecz]:Meczusie[RodzajMeczu],2,FALSE)</f>
        <v>Towarzyski</v>
      </c>
    </row>
    <row r="1739" spans="1:37" x14ac:dyDescent="0.25">
      <c r="A1739" s="76">
        <v>26</v>
      </c>
      <c r="B1739" s="3" t="s">
        <v>368</v>
      </c>
      <c r="C1739" s="2" t="s">
        <v>165</v>
      </c>
      <c r="D1739" s="1">
        <v>1</v>
      </c>
      <c r="E1739" s="1">
        <v>2</v>
      </c>
      <c r="F1739" s="1">
        <v>2</v>
      </c>
      <c r="G1739" s="1">
        <v>7</v>
      </c>
      <c r="H1739" s="4">
        <v>0.43</v>
      </c>
      <c r="I1739" s="1">
        <v>1</v>
      </c>
      <c r="J1739" s="4">
        <v>0</v>
      </c>
      <c r="K1739" s="1">
        <v>0</v>
      </c>
      <c r="L1739" s="1">
        <v>0</v>
      </c>
      <c r="M1739" s="32">
        <f>IF(Mecze[[#This Row],[PR]]=0,0,Mecze[[#This Row],[PR]]/Mecze[[#This Row],[CZAS]])</f>
        <v>0</v>
      </c>
      <c r="N1739" s="32">
        <f>IF(Mecze[[#This Row],[OU]]=0,0,Mecze[[#This Row],[OU]]/Mecze[[#This Row],[CZAS]])</f>
        <v>0</v>
      </c>
      <c r="O1739" s="32">
        <f>IF(Mecze[[#This Row],[PC]]=0,0,Mecze[[#This Row],[PC]]/Mecze[[#This Row],[CZAS]])</f>
        <v>3.125E-2</v>
      </c>
      <c r="P1739" s="32">
        <f>IF(Mecze[[#This Row],[SC]]=0,0,Mecze[[#This Row],[SC]]/Mecze[[#This Row],[CZAS]])</f>
        <v>2.0833333333333332E-2</v>
      </c>
      <c r="Q1739" s="32">
        <f>IF(Mecze[[#This Row],[OB]]=0,0,Mecze[[#This Row],[OB]]/Mecze[[#This Row],[CZAS]])</f>
        <v>0</v>
      </c>
      <c r="R1739" s="32">
        <f>IF(Mecze[[#This Row],[BR]]=0,0,Mecze[[#This Row],[BR]]/Mecze[[#This Row],[CZAS]])</f>
        <v>1.0416666666666666E-2</v>
      </c>
      <c r="S1739" s="44">
        <f>IF(Mecze[[#This Row],[Role]]="BR",SUMPRODUCT(Mecze[[#This Row],[/PR:90]:[/BR:90]],Brudnopis!$E$23:$J$23),0)</f>
        <v>0</v>
      </c>
      <c r="T1739" s="44">
        <f>IF(Mecze[[#This Row],[Role]]&lt;&gt;"BR",SUMPRODUCT(Mecze[[#This Row],[/PR:90]:[/BR:90]],Brudnopis!$E$24:$J$24),0)</f>
        <v>6.7708333333333329E-2</v>
      </c>
      <c r="U1739" s="44">
        <f>IF(Mecze[[#This Row],[Role]]&lt;&gt;"BR",SUMPRODUCT(Mecze[[#This Row],[/PR:90]:[/BR:90]],Brudnopis!$E$25:$J$25),0)</f>
        <v>8.3333333333333329E-2</v>
      </c>
      <c r="V1739" s="44">
        <f>IF(Mecze[[#This Row],[Role]]&lt;&gt;"BR",SUMPRODUCT(Mecze[[#This Row],[/PR:90]:[/BR:90]],Brudnopis!$E$26:$J$26),0)</f>
        <v>7.2916666666666657E-2</v>
      </c>
      <c r="W1739" s="44">
        <f>IF(Mecze[[#This Row],[Role]]&lt;&gt;"BR",SUMPRODUCT(Mecze[[#This Row],[/PR:90]:[/BR:90]],Brudnopis!$E$27:$J$27),0)</f>
        <v>8.8541666666666657E-2</v>
      </c>
      <c r="X1739" s="44">
        <f>IF(Mecze[[#This Row],[Role]]&lt;&gt;"BR",SUMPRODUCT(Mecze[[#This Row],[/PR:90]:[/BR:90]],Brudnopis!$E$28:$J$28),0)</f>
        <v>0.10416666666666666</v>
      </c>
      <c r="Y1739" s="35">
        <f>IF(Mecze[[#This Row],[Role]]="BR",Mecze[[#This Row],[/OB:90]]+Mecze[[#This Row],[/PC:90]],SUM(Mecze[[#This Row],[/PR:90]:[/BR:90]]))</f>
        <v>6.2499999999999993E-2</v>
      </c>
      <c r="Z1739" s="35">
        <f>IF(Mecze[[#This Row],[KC]]=0,SUM(Mecze[[#This Row],[/BRI]:[/NPI]]),SUM(Mecze[[#This Row],[/BRI]:[/NPI]])*0.6)</f>
        <v>0.41666666666666663</v>
      </c>
      <c r="AA1739" s="10">
        <f>IFERROR(Mecze[[#This Row],[BR]]/Mecze[[#This Row],[ST]],0)</f>
        <v>0.5</v>
      </c>
      <c r="AB1739">
        <f>ROUND(Mecze[[#This Row],[PD]]*Mecze[[#This Row],[%PC]],0)</f>
        <v>3</v>
      </c>
      <c r="AC1739">
        <f>ROUND(Mecze[[#This Row],[OD]]*Mecze[[#This Row],[%OU]],0)</f>
        <v>0</v>
      </c>
      <c r="AD1739" s="36" t="s">
        <v>46</v>
      </c>
      <c r="AE1739" s="36">
        <v>94</v>
      </c>
      <c r="AF1739" s="71">
        <v>5.45</v>
      </c>
      <c r="AG1739" s="37">
        <v>0</v>
      </c>
      <c r="AH1739" s="37">
        <v>0</v>
      </c>
      <c r="AI1739" s="37">
        <v>96</v>
      </c>
      <c r="AJ1739" s="37">
        <v>1</v>
      </c>
      <c r="AK1739" s="37" t="str">
        <f>VLOOKUP(Mecze[[#This Row],[Match ID]],Meczusie[Mecz]:Meczusie[RodzajMeczu],2,FALSE)</f>
        <v>Towarzyski</v>
      </c>
    </row>
    <row r="1740" spans="1:37" x14ac:dyDescent="0.25">
      <c r="A1740" s="76">
        <v>39</v>
      </c>
      <c r="B1740" s="3" t="s">
        <v>450</v>
      </c>
      <c r="C1740" s="2" t="s">
        <v>155</v>
      </c>
      <c r="D1740" s="1">
        <v>0</v>
      </c>
      <c r="E1740" s="1">
        <v>0</v>
      </c>
      <c r="F1740" s="1">
        <v>0</v>
      </c>
      <c r="G1740" s="1">
        <v>6</v>
      </c>
      <c r="H1740" s="4">
        <v>0.67</v>
      </c>
      <c r="I1740" s="1">
        <v>0</v>
      </c>
      <c r="J1740" s="4"/>
      <c r="K1740" s="1">
        <v>5</v>
      </c>
      <c r="L1740" s="1">
        <v>0</v>
      </c>
      <c r="M1740" s="32">
        <f>IF(Mecze[[#This Row],[PR]]=0,0,Mecze[[#This Row],[PR]]/Mecze[[#This Row],[CZAS]])</f>
        <v>0</v>
      </c>
      <c r="N1740" s="32">
        <f>IF(Mecze[[#This Row],[OU]]=0,0,Mecze[[#This Row],[OU]]/Mecze[[#This Row],[CZAS]])</f>
        <v>0</v>
      </c>
      <c r="O1740" s="32">
        <f>IF(Mecze[[#This Row],[PC]]=0,0,Mecze[[#This Row],[PC]]/Mecze[[#This Row],[CZAS]])</f>
        <v>4.2105263157894736E-2</v>
      </c>
      <c r="P1740" s="32">
        <f>IF(Mecze[[#This Row],[SC]]=0,0,Mecze[[#This Row],[SC]]/Mecze[[#This Row],[CZAS]])</f>
        <v>0</v>
      </c>
      <c r="Q1740" s="32">
        <f>IF(Mecze[[#This Row],[OB]]=0,0,Mecze[[#This Row],[OB]]/Mecze[[#This Row],[CZAS]])</f>
        <v>5.2631578947368418E-2</v>
      </c>
      <c r="R1740" s="32">
        <f>IF(Mecze[[#This Row],[BR]]=0,0,Mecze[[#This Row],[BR]]/Mecze[[#This Row],[CZAS]])</f>
        <v>0</v>
      </c>
      <c r="S1740" s="44">
        <f>IF(Mecze[[#This Row],[Role]]="BR",SUMPRODUCT(Mecze[[#This Row],[/PR:90]:[/BR:90]],Brudnopis!$E$23:$J$23),0)</f>
        <v>0.28421052631578947</v>
      </c>
      <c r="T1740" s="44">
        <f>IF(Mecze[[#This Row],[Role]]&lt;&gt;"BR",SUMPRODUCT(Mecze[[#This Row],[/PR:90]:[/BR:90]],Brudnopis!$E$24:$J$24),0)</f>
        <v>0</v>
      </c>
      <c r="U1740" s="44">
        <f>IF(Mecze[[#This Row],[Role]]&lt;&gt;"BR",SUMPRODUCT(Mecze[[#This Row],[/PR:90]:[/BR:90]],Brudnopis!$E$25:$J$25),0)</f>
        <v>0</v>
      </c>
      <c r="V1740" s="44">
        <f>IF(Mecze[[#This Row],[Role]]&lt;&gt;"BR",SUMPRODUCT(Mecze[[#This Row],[/PR:90]:[/BR:90]],Brudnopis!$E$26:$J$26),0)</f>
        <v>0</v>
      </c>
      <c r="W1740" s="44">
        <f>IF(Mecze[[#This Row],[Role]]&lt;&gt;"BR",SUMPRODUCT(Mecze[[#This Row],[/PR:90]:[/BR:90]],Brudnopis!$E$27:$J$27),0)</f>
        <v>0</v>
      </c>
      <c r="X1740" s="44">
        <f>IF(Mecze[[#This Row],[Role]]&lt;&gt;"BR",SUMPRODUCT(Mecze[[#This Row],[/PR:90]:[/BR:90]],Brudnopis!$E$28:$J$28),0)</f>
        <v>0</v>
      </c>
      <c r="Y1740" s="35">
        <f>IF(Mecze[[#This Row],[Role]]="BR",Mecze[[#This Row],[/OB:90]]+Mecze[[#This Row],[/PC:90]],SUM(Mecze[[#This Row],[/PR:90]:[/BR:90]]))</f>
        <v>9.4736842105263147E-2</v>
      </c>
      <c r="Z1740" s="35">
        <f>IF(Mecze[[#This Row],[KC]]=0,SUM(Mecze[[#This Row],[/BRI]:[/NPI]]),SUM(Mecze[[#This Row],[/BRI]:[/NPI]])*0.6)</f>
        <v>0.28421052631578947</v>
      </c>
      <c r="AA1740" s="10">
        <f>IFERROR(Mecze[[#This Row],[BR]]/Mecze[[#This Row],[ST]],0)</f>
        <v>0</v>
      </c>
      <c r="AB1740">
        <f>ROUND(Mecze[[#This Row],[PD]]*Mecze[[#This Row],[%PC]],0)</f>
        <v>4</v>
      </c>
      <c r="AC1740">
        <f>ROUND(Mecze[[#This Row],[OD]]*Mecze[[#This Row],[%OU]],0)</f>
        <v>0</v>
      </c>
      <c r="AD1740" s="36" t="s">
        <v>40</v>
      </c>
      <c r="AE1740" s="36">
        <v>95</v>
      </c>
      <c r="AF1740" s="71">
        <v>2.35</v>
      </c>
      <c r="AG1740" s="37">
        <v>0</v>
      </c>
      <c r="AH1740" s="37">
        <v>0</v>
      </c>
      <c r="AI1740" s="37">
        <v>95</v>
      </c>
      <c r="AJ1740" s="37">
        <v>1</v>
      </c>
      <c r="AK1740" s="37" t="str">
        <f>VLOOKUP(Mecze[[#This Row],[Match ID]],Meczusie[Mecz]:Meczusie[RodzajMeczu],2,FALSE)</f>
        <v>Towarzyski</v>
      </c>
    </row>
    <row r="1741" spans="1:37" x14ac:dyDescent="0.25">
      <c r="A1741" s="76">
        <v>38</v>
      </c>
      <c r="B1741" s="3" t="s">
        <v>359</v>
      </c>
      <c r="C1741" s="2" t="s">
        <v>157</v>
      </c>
      <c r="D1741" s="1">
        <v>0</v>
      </c>
      <c r="E1741" s="1">
        <v>0</v>
      </c>
      <c r="F1741" s="1">
        <v>0</v>
      </c>
      <c r="G1741" s="1">
        <v>11</v>
      </c>
      <c r="H1741" s="4">
        <v>0.82</v>
      </c>
      <c r="I1741" s="1">
        <v>6</v>
      </c>
      <c r="J1741" s="4">
        <v>0.33</v>
      </c>
      <c r="K1741" s="1">
        <v>0</v>
      </c>
      <c r="L1741" s="1">
        <v>5</v>
      </c>
      <c r="M1741" s="32">
        <f>IF(Mecze[[#This Row],[PR]]=0,0,Mecze[[#This Row],[PR]]/Mecze[[#This Row],[CZAS]])</f>
        <v>5.2631578947368418E-2</v>
      </c>
      <c r="N1741" s="32">
        <f>IF(Mecze[[#This Row],[OU]]=0,0,Mecze[[#This Row],[OU]]/Mecze[[#This Row],[CZAS]])</f>
        <v>2.1052631578947368E-2</v>
      </c>
      <c r="O1741" s="32">
        <f>IF(Mecze[[#This Row],[PC]]=0,0,Mecze[[#This Row],[PC]]/Mecze[[#This Row],[CZAS]])</f>
        <v>9.4736842105263161E-2</v>
      </c>
      <c r="P1741" s="32">
        <f>IF(Mecze[[#This Row],[SC]]=0,0,Mecze[[#This Row],[SC]]/Mecze[[#This Row],[CZAS]])</f>
        <v>0</v>
      </c>
      <c r="Q1741" s="32">
        <f>IF(Mecze[[#This Row],[OB]]=0,0,Mecze[[#This Row],[OB]]/Mecze[[#This Row],[CZAS]])</f>
        <v>0</v>
      </c>
      <c r="R1741" s="32">
        <f>IF(Mecze[[#This Row],[BR]]=0,0,Mecze[[#This Row],[BR]]/Mecze[[#This Row],[CZAS]])</f>
        <v>0</v>
      </c>
      <c r="S1741" s="44">
        <f>IF(Mecze[[#This Row],[Role]]="BR",SUMPRODUCT(Mecze[[#This Row],[/PR:90]:[/BR:90]],Brudnopis!$E$23:$J$23),0)</f>
        <v>0</v>
      </c>
      <c r="T1741" s="44">
        <f>IF(Mecze[[#This Row],[Role]]&lt;&gt;"BR",SUMPRODUCT(Mecze[[#This Row],[/PR:90]:[/BR:90]],Brudnopis!$E$24:$J$24),0)</f>
        <v>0.17894736842105263</v>
      </c>
      <c r="U1741" s="44">
        <f>IF(Mecze[[#This Row],[Role]]&lt;&gt;"BR",SUMPRODUCT(Mecze[[#This Row],[/PR:90]:[/BR:90]],Brudnopis!$E$25:$J$25),0)</f>
        <v>0.21578947368421053</v>
      </c>
      <c r="V1741" s="44">
        <f>IF(Mecze[[#This Row],[Role]]&lt;&gt;"BR",SUMPRODUCT(Mecze[[#This Row],[/PR:90]:[/BR:90]],Brudnopis!$E$26:$J$26),0)</f>
        <v>0.16842105263157894</v>
      </c>
      <c r="W1741" s="44">
        <f>IF(Mecze[[#This Row],[Role]]&lt;&gt;"BR",SUMPRODUCT(Mecze[[#This Row],[/PR:90]:[/BR:90]],Brudnopis!$E$27:$J$27),0)</f>
        <v>0.19736842105263158</v>
      </c>
      <c r="X1741" s="44">
        <f>IF(Mecze[[#This Row],[Role]]&lt;&gt;"BR",SUMPRODUCT(Mecze[[#This Row],[/PR:90]:[/BR:90]],Brudnopis!$E$28:$J$28),0)</f>
        <v>9.4736842105263161E-2</v>
      </c>
      <c r="Y1741" s="35">
        <f>IF(Mecze[[#This Row],[Role]]="BR",Mecze[[#This Row],[/OB:90]]+Mecze[[#This Row],[/PC:90]],SUM(Mecze[[#This Row],[/PR:90]:[/BR:90]]))</f>
        <v>0.16842105263157894</v>
      </c>
      <c r="Z1741" s="35">
        <f>IF(Mecze[[#This Row],[KC]]=0,SUM(Mecze[[#This Row],[/BRI]:[/NPI]]),SUM(Mecze[[#This Row],[/BRI]:[/NPI]])*0.6)</f>
        <v>0.85526315789473684</v>
      </c>
      <c r="AA1741" s="10">
        <f>IFERROR(Mecze[[#This Row],[BR]]/Mecze[[#This Row],[ST]],0)</f>
        <v>0</v>
      </c>
      <c r="AB1741">
        <f>ROUND(Mecze[[#This Row],[PD]]*Mecze[[#This Row],[%PC]],0)</f>
        <v>9</v>
      </c>
      <c r="AC1741">
        <f>ROUND(Mecze[[#This Row],[OD]]*Mecze[[#This Row],[%OU]],0)</f>
        <v>2</v>
      </c>
      <c r="AD1741" s="36" t="s">
        <v>47</v>
      </c>
      <c r="AE1741" s="36">
        <v>95</v>
      </c>
      <c r="AF1741" s="71">
        <v>0.43</v>
      </c>
      <c r="AG1741" s="37">
        <v>0</v>
      </c>
      <c r="AH1741" s="37">
        <v>0</v>
      </c>
      <c r="AI1741" s="37">
        <v>95</v>
      </c>
      <c r="AJ1741" s="37">
        <v>1</v>
      </c>
      <c r="AK1741" s="37" t="str">
        <f>VLOOKUP(Mecze[[#This Row],[Match ID]],Meczusie[Mecz]:Meczusie[RodzajMeczu],2,FALSE)</f>
        <v>Towarzyski</v>
      </c>
    </row>
    <row r="1742" spans="1:37" x14ac:dyDescent="0.25">
      <c r="A1742" s="76">
        <v>4</v>
      </c>
      <c r="B1742" s="3" t="s">
        <v>360</v>
      </c>
      <c r="C1742" s="2" t="s">
        <v>157</v>
      </c>
      <c r="D1742" s="1">
        <v>0</v>
      </c>
      <c r="E1742" s="1">
        <v>0</v>
      </c>
      <c r="F1742" s="1">
        <v>0</v>
      </c>
      <c r="G1742" s="1">
        <v>9</v>
      </c>
      <c r="H1742" s="4">
        <v>0.78</v>
      </c>
      <c r="I1742" s="1">
        <v>6</v>
      </c>
      <c r="J1742" s="4">
        <v>0.33</v>
      </c>
      <c r="K1742" s="1">
        <v>0</v>
      </c>
      <c r="L1742" s="1">
        <v>8</v>
      </c>
      <c r="M1742" s="32">
        <f>IF(Mecze[[#This Row],[PR]]=0,0,Mecze[[#This Row],[PR]]/Mecze[[#This Row],[CZAS]])</f>
        <v>8.4210526315789472E-2</v>
      </c>
      <c r="N1742" s="32">
        <f>IF(Mecze[[#This Row],[OU]]=0,0,Mecze[[#This Row],[OU]]/Mecze[[#This Row],[CZAS]])</f>
        <v>2.1052631578947368E-2</v>
      </c>
      <c r="O1742" s="32">
        <f>IF(Mecze[[#This Row],[PC]]=0,0,Mecze[[#This Row],[PC]]/Mecze[[#This Row],[CZAS]])</f>
        <v>7.3684210526315783E-2</v>
      </c>
      <c r="P1742" s="32">
        <f>IF(Mecze[[#This Row],[SC]]=0,0,Mecze[[#This Row],[SC]]/Mecze[[#This Row],[CZAS]])</f>
        <v>0</v>
      </c>
      <c r="Q1742" s="32">
        <f>IF(Mecze[[#This Row],[OB]]=0,0,Mecze[[#This Row],[OB]]/Mecze[[#This Row],[CZAS]])</f>
        <v>0</v>
      </c>
      <c r="R1742" s="32">
        <f>IF(Mecze[[#This Row],[BR]]=0,0,Mecze[[#This Row],[BR]]/Mecze[[#This Row],[CZAS]])</f>
        <v>0</v>
      </c>
      <c r="S1742" s="44">
        <f>IF(Mecze[[#This Row],[Role]]="BR",SUMPRODUCT(Mecze[[#This Row],[/PR:90]:[/BR:90]],Brudnopis!$E$23:$J$23),0)</f>
        <v>0</v>
      </c>
      <c r="T1742" s="44">
        <f>IF(Mecze[[#This Row],[Role]]&lt;&gt;"BR",SUMPRODUCT(Mecze[[#This Row],[/PR:90]:[/BR:90]],Brudnopis!$E$24:$J$24),0)</f>
        <v>0.18947368421052629</v>
      </c>
      <c r="U1742" s="44">
        <f>IF(Mecze[[#This Row],[Role]]&lt;&gt;"BR",SUMPRODUCT(Mecze[[#This Row],[/PR:90]:[/BR:90]],Brudnopis!$E$25:$J$25),0)</f>
        <v>0.2157894736842105</v>
      </c>
      <c r="V1742" s="44">
        <f>IF(Mecze[[#This Row],[Role]]&lt;&gt;"BR",SUMPRODUCT(Mecze[[#This Row],[/PR:90]:[/BR:90]],Brudnopis!$E$26:$J$26),0)</f>
        <v>0.17894736842105263</v>
      </c>
      <c r="W1742" s="44">
        <f>IF(Mecze[[#This Row],[Role]]&lt;&gt;"BR",SUMPRODUCT(Mecze[[#This Row],[/PR:90]:[/BR:90]],Brudnopis!$E$27:$J$27),0)</f>
        <v>0.18947368421052629</v>
      </c>
      <c r="X1742" s="44">
        <f>IF(Mecze[[#This Row],[Role]]&lt;&gt;"BR",SUMPRODUCT(Mecze[[#This Row],[/PR:90]:[/BR:90]],Brudnopis!$E$28:$J$28),0)</f>
        <v>7.3684210526315783E-2</v>
      </c>
      <c r="Y1742" s="35">
        <f>IF(Mecze[[#This Row],[Role]]="BR",Mecze[[#This Row],[/OB:90]]+Mecze[[#This Row],[/PC:90]],SUM(Mecze[[#This Row],[/PR:90]:[/BR:90]]))</f>
        <v>0.17894736842105263</v>
      </c>
      <c r="Z1742" s="35">
        <f>IF(Mecze[[#This Row],[KC]]=0,SUM(Mecze[[#This Row],[/BRI]:[/NPI]]),SUM(Mecze[[#This Row],[/BRI]:[/NPI]])*0.6)</f>
        <v>0.84736842105263155</v>
      </c>
      <c r="AA1742" s="10">
        <f>IFERROR(Mecze[[#This Row],[BR]]/Mecze[[#This Row],[ST]],0)</f>
        <v>0</v>
      </c>
      <c r="AB1742">
        <f>ROUND(Mecze[[#This Row],[PD]]*Mecze[[#This Row],[%PC]],0)</f>
        <v>7</v>
      </c>
      <c r="AC1742">
        <f>ROUND(Mecze[[#This Row],[OD]]*Mecze[[#This Row],[%OU]],0)</f>
        <v>2</v>
      </c>
      <c r="AD1742" s="36" t="s">
        <v>168</v>
      </c>
      <c r="AE1742" s="36">
        <v>95</v>
      </c>
      <c r="AF1742" s="71">
        <v>1.06</v>
      </c>
      <c r="AG1742" s="37">
        <v>0</v>
      </c>
      <c r="AH1742" s="37">
        <v>0</v>
      </c>
      <c r="AI1742" s="37">
        <v>95</v>
      </c>
      <c r="AJ1742" s="37">
        <v>1</v>
      </c>
      <c r="AK1742" s="37" t="str">
        <f>VLOOKUP(Mecze[[#This Row],[Match ID]],Meczusie[Mecz]:Meczusie[RodzajMeczu],2,FALSE)</f>
        <v>Towarzyski</v>
      </c>
    </row>
    <row r="1743" spans="1:37" x14ac:dyDescent="0.25">
      <c r="A1743" s="76">
        <v>42</v>
      </c>
      <c r="B1743" s="3" t="s">
        <v>361</v>
      </c>
      <c r="C1743" s="2" t="s">
        <v>157</v>
      </c>
      <c r="D1743" s="1">
        <v>0</v>
      </c>
      <c r="E1743" s="1">
        <v>0</v>
      </c>
      <c r="F1743" s="1">
        <v>0</v>
      </c>
      <c r="G1743" s="1">
        <v>4</v>
      </c>
      <c r="H1743" s="4">
        <v>0</v>
      </c>
      <c r="I1743" s="1">
        <v>7</v>
      </c>
      <c r="J1743" s="4">
        <v>0</v>
      </c>
      <c r="K1743" s="1">
        <v>0</v>
      </c>
      <c r="L1743" s="1">
        <v>3</v>
      </c>
      <c r="M1743" s="32">
        <f>IF(Mecze[[#This Row],[PR]]=0,0,Mecze[[#This Row],[PR]]/Mecze[[#This Row],[CZAS]])</f>
        <v>3.1578947368421054E-2</v>
      </c>
      <c r="N1743" s="32">
        <f>IF(Mecze[[#This Row],[OU]]=0,0,Mecze[[#This Row],[OU]]/Mecze[[#This Row],[CZAS]])</f>
        <v>0</v>
      </c>
      <c r="O1743" s="32">
        <f>IF(Mecze[[#This Row],[PC]]=0,0,Mecze[[#This Row],[PC]]/Mecze[[#This Row],[CZAS]])</f>
        <v>0</v>
      </c>
      <c r="P1743" s="32">
        <f>IF(Mecze[[#This Row],[SC]]=0,0,Mecze[[#This Row],[SC]]/Mecze[[#This Row],[CZAS]])</f>
        <v>0</v>
      </c>
      <c r="Q1743" s="32">
        <f>IF(Mecze[[#This Row],[OB]]=0,0,Mecze[[#This Row],[OB]]/Mecze[[#This Row],[CZAS]])</f>
        <v>0</v>
      </c>
      <c r="R1743" s="32">
        <f>IF(Mecze[[#This Row],[BR]]=0,0,Mecze[[#This Row],[BR]]/Mecze[[#This Row],[CZAS]])</f>
        <v>0</v>
      </c>
      <c r="S1743" s="44">
        <f>IF(Mecze[[#This Row],[Role]]="BR",SUMPRODUCT(Mecze[[#This Row],[/PR:90]:[/BR:90]],Brudnopis!$E$23:$J$23),0)</f>
        <v>0</v>
      </c>
      <c r="T1743" s="44">
        <f>IF(Mecze[[#This Row],[Role]]&lt;&gt;"BR",SUMPRODUCT(Mecze[[#This Row],[/PR:90]:[/BR:90]],Brudnopis!$E$24:$J$24),0)</f>
        <v>3.1578947368421054E-2</v>
      </c>
      <c r="U1743" s="44">
        <f>IF(Mecze[[#This Row],[Role]]&lt;&gt;"BR",SUMPRODUCT(Mecze[[#This Row],[/PR:90]:[/BR:90]],Brudnopis!$E$25:$J$25),0)</f>
        <v>3.1578947368421054E-2</v>
      </c>
      <c r="V1743" s="44">
        <f>IF(Mecze[[#This Row],[Role]]&lt;&gt;"BR",SUMPRODUCT(Mecze[[#This Row],[/PR:90]:[/BR:90]],Brudnopis!$E$26:$J$26),0)</f>
        <v>3.1578947368421054E-2</v>
      </c>
      <c r="W1743" s="44">
        <f>IF(Mecze[[#This Row],[Role]]&lt;&gt;"BR",SUMPRODUCT(Mecze[[#This Row],[/PR:90]:[/BR:90]],Brudnopis!$E$27:$J$27),0)</f>
        <v>2.368421052631579E-2</v>
      </c>
      <c r="X1743" s="44">
        <f>IF(Mecze[[#This Row],[Role]]&lt;&gt;"BR",SUMPRODUCT(Mecze[[#This Row],[/PR:90]:[/BR:90]],Brudnopis!$E$28:$J$28),0)</f>
        <v>0</v>
      </c>
      <c r="Y1743" s="35">
        <f>IF(Mecze[[#This Row],[Role]]="BR",Mecze[[#This Row],[/OB:90]]+Mecze[[#This Row],[/PC:90]],SUM(Mecze[[#This Row],[/PR:90]:[/BR:90]]))</f>
        <v>3.1578947368421054E-2</v>
      </c>
      <c r="Z1743" s="35">
        <f>IF(Mecze[[#This Row],[KC]]=0,SUM(Mecze[[#This Row],[/BRI]:[/NPI]]),SUM(Mecze[[#This Row],[/BRI]:[/NPI]])*0.6)</f>
        <v>0.11842105263157895</v>
      </c>
      <c r="AA1743" s="10">
        <f>IFERROR(Mecze[[#This Row],[BR]]/Mecze[[#This Row],[ST]],0)</f>
        <v>0</v>
      </c>
      <c r="AB1743">
        <f>ROUND(Mecze[[#This Row],[PD]]*Mecze[[#This Row],[%PC]],0)</f>
        <v>0</v>
      </c>
      <c r="AC1743">
        <f>ROUND(Mecze[[#This Row],[OD]]*Mecze[[#This Row],[%OU]],0)</f>
        <v>0</v>
      </c>
      <c r="AD1743" s="36" t="s">
        <v>167</v>
      </c>
      <c r="AE1743" s="36">
        <v>95</v>
      </c>
      <c r="AF1743" s="71">
        <v>0.01</v>
      </c>
      <c r="AG1743" s="37">
        <v>0</v>
      </c>
      <c r="AH1743" s="37">
        <v>0</v>
      </c>
      <c r="AI1743" s="37">
        <v>95</v>
      </c>
      <c r="AJ1743" s="37">
        <v>1</v>
      </c>
      <c r="AK1743" s="37" t="str">
        <f>VLOOKUP(Mecze[[#This Row],[Match ID]],Meczusie[Mecz]:Meczusie[RodzajMeczu],2,FALSE)</f>
        <v>Towarzyski</v>
      </c>
    </row>
    <row r="1744" spans="1:37" x14ac:dyDescent="0.25">
      <c r="A1744" s="76">
        <v>33</v>
      </c>
      <c r="B1744" s="3" t="s">
        <v>362</v>
      </c>
      <c r="C1744" s="2" t="s">
        <v>160</v>
      </c>
      <c r="D1744" s="1">
        <v>0</v>
      </c>
      <c r="E1744" s="1">
        <v>0</v>
      </c>
      <c r="F1744" s="1">
        <v>0</v>
      </c>
      <c r="G1744" s="1">
        <v>12</v>
      </c>
      <c r="H1744" s="4">
        <v>0.75</v>
      </c>
      <c r="I1744" s="1">
        <v>4</v>
      </c>
      <c r="J1744" s="4">
        <v>0.75</v>
      </c>
      <c r="K1744" s="1">
        <v>0</v>
      </c>
      <c r="L1744" s="1">
        <v>5</v>
      </c>
      <c r="M1744" s="32">
        <f>IF(Mecze[[#This Row],[PR]]=0,0,Mecze[[#This Row],[PR]]/Mecze[[#This Row],[CZAS]])</f>
        <v>5.2631578947368418E-2</v>
      </c>
      <c r="N1744" s="32">
        <f>IF(Mecze[[#This Row],[OU]]=0,0,Mecze[[#This Row],[OU]]/Mecze[[#This Row],[CZAS]])</f>
        <v>3.1578947368421054E-2</v>
      </c>
      <c r="O1744" s="32">
        <f>IF(Mecze[[#This Row],[PC]]=0,0,Mecze[[#This Row],[PC]]/Mecze[[#This Row],[CZAS]])</f>
        <v>9.4736842105263161E-2</v>
      </c>
      <c r="P1744" s="32">
        <f>IF(Mecze[[#This Row],[SC]]=0,0,Mecze[[#This Row],[SC]]/Mecze[[#This Row],[CZAS]])</f>
        <v>0</v>
      </c>
      <c r="Q1744" s="32">
        <f>IF(Mecze[[#This Row],[OB]]=0,0,Mecze[[#This Row],[OB]]/Mecze[[#This Row],[CZAS]])</f>
        <v>0</v>
      </c>
      <c r="R1744" s="32">
        <f>IF(Mecze[[#This Row],[BR]]=0,0,Mecze[[#This Row],[BR]]/Mecze[[#This Row],[CZAS]])</f>
        <v>0</v>
      </c>
      <c r="S1744" s="44">
        <f>IF(Mecze[[#This Row],[Role]]="BR",SUMPRODUCT(Mecze[[#This Row],[/PR:90]:[/BR:90]],Brudnopis!$E$23:$J$23),0)</f>
        <v>0</v>
      </c>
      <c r="T1744" s="44">
        <f>IF(Mecze[[#This Row],[Role]]&lt;&gt;"BR",SUMPRODUCT(Mecze[[#This Row],[/PR:90]:[/BR:90]],Brudnopis!$E$24:$J$24),0)</f>
        <v>0.19473684210526315</v>
      </c>
      <c r="U1744" s="44">
        <f>IF(Mecze[[#This Row],[Role]]&lt;&gt;"BR",SUMPRODUCT(Mecze[[#This Row],[/PR:90]:[/BR:90]],Brudnopis!$E$25:$J$25),0)</f>
        <v>0.22631578947368419</v>
      </c>
      <c r="V1744" s="44">
        <f>IF(Mecze[[#This Row],[Role]]&lt;&gt;"BR",SUMPRODUCT(Mecze[[#This Row],[/PR:90]:[/BR:90]],Brudnopis!$E$26:$J$26),0)</f>
        <v>0.17894736842105263</v>
      </c>
      <c r="W1744" s="44">
        <f>IF(Mecze[[#This Row],[Role]]&lt;&gt;"BR",SUMPRODUCT(Mecze[[#This Row],[/PR:90]:[/BR:90]],Brudnopis!$E$27:$J$27),0)</f>
        <v>0.20526315789473684</v>
      </c>
      <c r="X1744" s="44">
        <f>IF(Mecze[[#This Row],[Role]]&lt;&gt;"BR",SUMPRODUCT(Mecze[[#This Row],[/PR:90]:[/BR:90]],Brudnopis!$E$28:$J$28),0)</f>
        <v>9.4736842105263161E-2</v>
      </c>
      <c r="Y1744" s="35">
        <f>IF(Mecze[[#This Row],[Role]]="BR",Mecze[[#This Row],[/OB:90]]+Mecze[[#This Row],[/PC:90]],SUM(Mecze[[#This Row],[/PR:90]:[/BR:90]]))</f>
        <v>0.17894736842105263</v>
      </c>
      <c r="Z1744" s="35">
        <f>IF(Mecze[[#This Row],[KC]]=0,SUM(Mecze[[#This Row],[/BRI]:[/NPI]]),SUM(Mecze[[#This Row],[/BRI]:[/NPI]])*0.6)</f>
        <v>0.89999999999999991</v>
      </c>
      <c r="AA1744" s="10">
        <f>IFERROR(Mecze[[#This Row],[BR]]/Mecze[[#This Row],[ST]],0)</f>
        <v>0</v>
      </c>
      <c r="AB1744">
        <f>ROUND(Mecze[[#This Row],[PD]]*Mecze[[#This Row],[%PC]],0)</f>
        <v>9</v>
      </c>
      <c r="AC1744">
        <f>ROUND(Mecze[[#This Row],[OD]]*Mecze[[#This Row],[%OU]],0)</f>
        <v>3</v>
      </c>
      <c r="AD1744" s="36" t="s">
        <v>41</v>
      </c>
      <c r="AE1744" s="36">
        <v>95</v>
      </c>
      <c r="AF1744" s="71">
        <v>4.96</v>
      </c>
      <c r="AG1744" s="37">
        <v>0</v>
      </c>
      <c r="AH1744" s="37">
        <v>0</v>
      </c>
      <c r="AI1744" s="37">
        <v>95</v>
      </c>
      <c r="AJ1744" s="37">
        <v>1</v>
      </c>
      <c r="AK1744" s="37" t="str">
        <f>VLOOKUP(Mecze[[#This Row],[Match ID]],Meczusie[Mecz]:Meczusie[RodzajMeczu],2,FALSE)</f>
        <v>Towarzyski</v>
      </c>
    </row>
    <row r="1745" spans="1:37" x14ac:dyDescent="0.25">
      <c r="A1745" s="76">
        <v>22</v>
      </c>
      <c r="B1745" s="3" t="s">
        <v>363</v>
      </c>
      <c r="C1745" s="2" t="s">
        <v>160</v>
      </c>
      <c r="D1745" s="1">
        <v>0</v>
      </c>
      <c r="E1745" s="1">
        <v>0</v>
      </c>
      <c r="F1745" s="1">
        <v>0</v>
      </c>
      <c r="G1745" s="1">
        <v>5</v>
      </c>
      <c r="H1745" s="4">
        <v>0.6</v>
      </c>
      <c r="I1745" s="1">
        <v>1</v>
      </c>
      <c r="J1745" s="4">
        <v>1</v>
      </c>
      <c r="K1745" s="1">
        <v>0</v>
      </c>
      <c r="L1745" s="1">
        <v>2</v>
      </c>
      <c r="M1745" s="32">
        <f>IF(Mecze[[#This Row],[PR]]=0,0,Mecze[[#This Row],[PR]]/Mecze[[#This Row],[CZAS]])</f>
        <v>2.1052631578947368E-2</v>
      </c>
      <c r="N1745" s="32">
        <f>IF(Mecze[[#This Row],[OU]]=0,0,Mecze[[#This Row],[OU]]/Mecze[[#This Row],[CZAS]])</f>
        <v>1.0526315789473684E-2</v>
      </c>
      <c r="O1745" s="32">
        <f>IF(Mecze[[#This Row],[PC]]=0,0,Mecze[[#This Row],[PC]]/Mecze[[#This Row],[CZAS]])</f>
        <v>3.1578947368421054E-2</v>
      </c>
      <c r="P1745" s="32">
        <f>IF(Mecze[[#This Row],[SC]]=0,0,Mecze[[#This Row],[SC]]/Mecze[[#This Row],[CZAS]])</f>
        <v>0</v>
      </c>
      <c r="Q1745" s="32">
        <f>IF(Mecze[[#This Row],[OB]]=0,0,Mecze[[#This Row],[OB]]/Mecze[[#This Row],[CZAS]])</f>
        <v>0</v>
      </c>
      <c r="R1745" s="32">
        <f>IF(Mecze[[#This Row],[BR]]=0,0,Mecze[[#This Row],[BR]]/Mecze[[#This Row],[CZAS]])</f>
        <v>0</v>
      </c>
      <c r="S1745" s="44">
        <f>IF(Mecze[[#This Row],[Role]]="BR",SUMPRODUCT(Mecze[[#This Row],[/PR:90]:[/BR:90]],Brudnopis!$E$23:$J$23),0)</f>
        <v>0</v>
      </c>
      <c r="T1745" s="44">
        <f>IF(Mecze[[#This Row],[Role]]&lt;&gt;"BR",SUMPRODUCT(Mecze[[#This Row],[/PR:90]:[/BR:90]],Brudnopis!$E$24:$J$24),0)</f>
        <v>6.8421052631578952E-2</v>
      </c>
      <c r="U1745" s="44">
        <f>IF(Mecze[[#This Row],[Role]]&lt;&gt;"BR",SUMPRODUCT(Mecze[[#This Row],[/PR:90]:[/BR:90]],Brudnopis!$E$25:$J$25),0)</f>
        <v>7.8947368421052627E-2</v>
      </c>
      <c r="V1745" s="44">
        <f>IF(Mecze[[#This Row],[Role]]&lt;&gt;"BR",SUMPRODUCT(Mecze[[#This Row],[/PR:90]:[/BR:90]],Brudnopis!$E$26:$J$26),0)</f>
        <v>6.3157894736842107E-2</v>
      </c>
      <c r="W1745" s="44">
        <f>IF(Mecze[[#This Row],[Role]]&lt;&gt;"BR",SUMPRODUCT(Mecze[[#This Row],[/PR:90]:[/BR:90]],Brudnopis!$E$27:$J$27),0)</f>
        <v>7.1052631578947367E-2</v>
      </c>
      <c r="X1745" s="44">
        <f>IF(Mecze[[#This Row],[Role]]&lt;&gt;"BR",SUMPRODUCT(Mecze[[#This Row],[/PR:90]:[/BR:90]],Brudnopis!$E$28:$J$28),0)</f>
        <v>3.1578947368421054E-2</v>
      </c>
      <c r="Y1745" s="35">
        <f>IF(Mecze[[#This Row],[Role]]="BR",Mecze[[#This Row],[/OB:90]]+Mecze[[#This Row],[/PC:90]],SUM(Mecze[[#This Row],[/PR:90]:[/BR:90]]))</f>
        <v>6.3157894736842107E-2</v>
      </c>
      <c r="Z1745" s="35">
        <f>IF(Mecze[[#This Row],[KC]]=0,SUM(Mecze[[#This Row],[/BRI]:[/NPI]]),SUM(Mecze[[#This Row],[/BRI]:[/NPI]])*0.6)</f>
        <v>0.31315789473684208</v>
      </c>
      <c r="AA1745" s="10">
        <f>IFERROR(Mecze[[#This Row],[BR]]/Mecze[[#This Row],[ST]],0)</f>
        <v>0</v>
      </c>
      <c r="AB1745">
        <f>ROUND(Mecze[[#This Row],[PD]]*Mecze[[#This Row],[%PC]],0)</f>
        <v>3</v>
      </c>
      <c r="AC1745">
        <f>ROUND(Mecze[[#This Row],[OD]]*Mecze[[#This Row],[%OU]],0)</f>
        <v>1</v>
      </c>
      <c r="AD1745" s="36" t="s">
        <v>41</v>
      </c>
      <c r="AE1745" s="36">
        <v>95</v>
      </c>
      <c r="AF1745" s="71">
        <v>4.33</v>
      </c>
      <c r="AG1745" s="37">
        <v>0</v>
      </c>
      <c r="AH1745" s="37">
        <v>0</v>
      </c>
      <c r="AI1745" s="37">
        <v>95</v>
      </c>
      <c r="AJ1745" s="37">
        <v>1</v>
      </c>
      <c r="AK1745" s="37" t="str">
        <f>VLOOKUP(Mecze[[#This Row],[Match ID]],Meczusie[Mecz]:Meczusie[RodzajMeczu],2,FALSE)</f>
        <v>Towarzyski</v>
      </c>
    </row>
    <row r="1746" spans="1:37" x14ac:dyDescent="0.25">
      <c r="A1746" s="76">
        <v>17</v>
      </c>
      <c r="B1746" s="3" t="s">
        <v>413</v>
      </c>
      <c r="C1746" s="2" t="s">
        <v>160</v>
      </c>
      <c r="D1746" s="1">
        <v>0</v>
      </c>
      <c r="E1746" s="1">
        <v>0</v>
      </c>
      <c r="F1746" s="1">
        <v>0</v>
      </c>
      <c r="G1746" s="1">
        <v>5</v>
      </c>
      <c r="H1746" s="4">
        <v>0.2</v>
      </c>
      <c r="I1746" s="1">
        <v>5</v>
      </c>
      <c r="J1746" s="4">
        <v>0</v>
      </c>
      <c r="K1746" s="1">
        <v>0</v>
      </c>
      <c r="L1746" s="1">
        <v>4</v>
      </c>
      <c r="M1746" s="32">
        <f>IF(Mecze[[#This Row],[PR]]=0,0,Mecze[[#This Row],[PR]]/Mecze[[#This Row],[CZAS]])</f>
        <v>4.2105263157894736E-2</v>
      </c>
      <c r="N1746" s="32">
        <f>IF(Mecze[[#This Row],[OU]]=0,0,Mecze[[#This Row],[OU]]/Mecze[[#This Row],[CZAS]])</f>
        <v>0</v>
      </c>
      <c r="O1746" s="32">
        <f>IF(Mecze[[#This Row],[PC]]=0,0,Mecze[[#This Row],[PC]]/Mecze[[#This Row],[CZAS]])</f>
        <v>1.0526315789473684E-2</v>
      </c>
      <c r="P1746" s="32">
        <f>IF(Mecze[[#This Row],[SC]]=0,0,Mecze[[#This Row],[SC]]/Mecze[[#This Row],[CZAS]])</f>
        <v>0</v>
      </c>
      <c r="Q1746" s="32">
        <f>IF(Mecze[[#This Row],[OB]]=0,0,Mecze[[#This Row],[OB]]/Mecze[[#This Row],[CZAS]])</f>
        <v>0</v>
      </c>
      <c r="R1746" s="32">
        <f>IF(Mecze[[#This Row],[BR]]=0,0,Mecze[[#This Row],[BR]]/Mecze[[#This Row],[CZAS]])</f>
        <v>0</v>
      </c>
      <c r="S1746" s="44">
        <f>IF(Mecze[[#This Row],[Role]]="BR",SUMPRODUCT(Mecze[[#This Row],[/PR:90]:[/BR:90]],Brudnopis!$E$23:$J$23),0)</f>
        <v>0</v>
      </c>
      <c r="T1746" s="44">
        <f>IF(Mecze[[#This Row],[Role]]&lt;&gt;"BR",SUMPRODUCT(Mecze[[#This Row],[/PR:90]:[/BR:90]],Brudnopis!$E$24:$J$24),0)</f>
        <v>5.2631578947368418E-2</v>
      </c>
      <c r="U1746" s="44">
        <f>IF(Mecze[[#This Row],[Role]]&lt;&gt;"BR",SUMPRODUCT(Mecze[[#This Row],[/PR:90]:[/BR:90]],Brudnopis!$E$25:$J$25),0)</f>
        <v>5.7894736842105263E-2</v>
      </c>
      <c r="V1746" s="44">
        <f>IF(Mecze[[#This Row],[Role]]&lt;&gt;"BR",SUMPRODUCT(Mecze[[#This Row],[/PR:90]:[/BR:90]],Brudnopis!$E$26:$J$26),0)</f>
        <v>5.2631578947368418E-2</v>
      </c>
      <c r="W1746" s="44">
        <f>IF(Mecze[[#This Row],[Role]]&lt;&gt;"BR",SUMPRODUCT(Mecze[[#This Row],[/PR:90]:[/BR:90]],Brudnopis!$E$27:$J$27),0)</f>
        <v>4.736842105263158E-2</v>
      </c>
      <c r="X1746" s="44">
        <f>IF(Mecze[[#This Row],[Role]]&lt;&gt;"BR",SUMPRODUCT(Mecze[[#This Row],[/PR:90]:[/BR:90]],Brudnopis!$E$28:$J$28),0)</f>
        <v>1.0526315789473684E-2</v>
      </c>
      <c r="Y1746" s="35">
        <f>IF(Mecze[[#This Row],[Role]]="BR",Mecze[[#This Row],[/OB:90]]+Mecze[[#This Row],[/PC:90]],SUM(Mecze[[#This Row],[/PR:90]:[/BR:90]]))</f>
        <v>5.2631578947368418E-2</v>
      </c>
      <c r="Z1746" s="35">
        <f>IF(Mecze[[#This Row],[KC]]=0,SUM(Mecze[[#This Row],[/BRI]:[/NPI]]),SUM(Mecze[[#This Row],[/BRI]:[/NPI]])*0.6)</f>
        <v>0.22105263157894739</v>
      </c>
      <c r="AA1746" s="10">
        <f>IFERROR(Mecze[[#This Row],[BR]]/Mecze[[#This Row],[ST]],0)</f>
        <v>0</v>
      </c>
      <c r="AB1746">
        <f>ROUND(Mecze[[#This Row],[PD]]*Mecze[[#This Row],[%PC]],0)</f>
        <v>1</v>
      </c>
      <c r="AC1746">
        <f>ROUND(Mecze[[#This Row],[OD]]*Mecze[[#This Row],[%OU]],0)</f>
        <v>0</v>
      </c>
      <c r="AD1746" s="36" t="s">
        <v>44</v>
      </c>
      <c r="AE1746" s="36">
        <v>95</v>
      </c>
      <c r="AF1746" s="71">
        <v>3.54</v>
      </c>
      <c r="AG1746" s="37">
        <v>0</v>
      </c>
      <c r="AH1746" s="37">
        <v>0</v>
      </c>
      <c r="AI1746" s="37">
        <v>95</v>
      </c>
      <c r="AJ1746" s="37">
        <v>1</v>
      </c>
      <c r="AK1746" s="37" t="str">
        <f>VLOOKUP(Mecze[[#This Row],[Match ID]],Meczusie[Mecz]:Meczusie[RodzajMeczu],2,FALSE)</f>
        <v>Towarzyski</v>
      </c>
    </row>
    <row r="1747" spans="1:37" x14ac:dyDescent="0.25">
      <c r="A1747" s="76">
        <v>28</v>
      </c>
      <c r="B1747" s="3" t="s">
        <v>419</v>
      </c>
      <c r="C1747" s="2" t="s">
        <v>160</v>
      </c>
      <c r="D1747" s="1">
        <v>0</v>
      </c>
      <c r="E1747" s="1">
        <v>0</v>
      </c>
      <c r="F1747" s="1">
        <v>0</v>
      </c>
      <c r="G1747" s="1">
        <v>6</v>
      </c>
      <c r="H1747" s="4">
        <v>0.33</v>
      </c>
      <c r="I1747" s="1">
        <v>1</v>
      </c>
      <c r="J1747" s="4">
        <v>0</v>
      </c>
      <c r="K1747" s="1">
        <v>0</v>
      </c>
      <c r="L1747" s="1">
        <v>4</v>
      </c>
      <c r="M1747" s="32">
        <f>IF(Mecze[[#This Row],[PR]]=0,0,Mecze[[#This Row],[PR]]/Mecze[[#This Row],[CZAS]])</f>
        <v>4.2105263157894736E-2</v>
      </c>
      <c r="N1747" s="32">
        <f>IF(Mecze[[#This Row],[OU]]=0,0,Mecze[[#This Row],[OU]]/Mecze[[#This Row],[CZAS]])</f>
        <v>0</v>
      </c>
      <c r="O1747" s="32">
        <f>IF(Mecze[[#This Row],[PC]]=0,0,Mecze[[#This Row],[PC]]/Mecze[[#This Row],[CZAS]])</f>
        <v>2.1052631578947368E-2</v>
      </c>
      <c r="P1747" s="32">
        <f>IF(Mecze[[#This Row],[SC]]=0,0,Mecze[[#This Row],[SC]]/Mecze[[#This Row],[CZAS]])</f>
        <v>0</v>
      </c>
      <c r="Q1747" s="32">
        <f>IF(Mecze[[#This Row],[OB]]=0,0,Mecze[[#This Row],[OB]]/Mecze[[#This Row],[CZAS]])</f>
        <v>0</v>
      </c>
      <c r="R1747" s="32">
        <f>IF(Mecze[[#This Row],[BR]]=0,0,Mecze[[#This Row],[BR]]/Mecze[[#This Row],[CZAS]])</f>
        <v>0</v>
      </c>
      <c r="S1747" s="44">
        <f>IF(Mecze[[#This Row],[Role]]="BR",SUMPRODUCT(Mecze[[#This Row],[/PR:90]:[/BR:90]],Brudnopis!$E$23:$J$23),0)</f>
        <v>0</v>
      </c>
      <c r="T1747" s="44">
        <f>IF(Mecze[[#This Row],[Role]]&lt;&gt;"BR",SUMPRODUCT(Mecze[[#This Row],[/PR:90]:[/BR:90]],Brudnopis!$E$24:$J$24),0)</f>
        <v>6.3157894736842107E-2</v>
      </c>
      <c r="U1747" s="44">
        <f>IF(Mecze[[#This Row],[Role]]&lt;&gt;"BR",SUMPRODUCT(Mecze[[#This Row],[/PR:90]:[/BR:90]],Brudnopis!$E$25:$J$25),0)</f>
        <v>7.3684210526315796E-2</v>
      </c>
      <c r="V1747" s="44">
        <f>IF(Mecze[[#This Row],[Role]]&lt;&gt;"BR",SUMPRODUCT(Mecze[[#This Row],[/PR:90]:[/BR:90]],Brudnopis!$E$26:$J$26),0)</f>
        <v>6.3157894736842107E-2</v>
      </c>
      <c r="W1747" s="44">
        <f>IF(Mecze[[#This Row],[Role]]&lt;&gt;"BR",SUMPRODUCT(Mecze[[#This Row],[/PR:90]:[/BR:90]],Brudnopis!$E$27:$J$27),0)</f>
        <v>6.3157894736842107E-2</v>
      </c>
      <c r="X1747" s="44">
        <f>IF(Mecze[[#This Row],[Role]]&lt;&gt;"BR",SUMPRODUCT(Mecze[[#This Row],[/PR:90]:[/BR:90]],Brudnopis!$E$28:$J$28),0)</f>
        <v>2.1052631578947368E-2</v>
      </c>
      <c r="Y1747" s="35">
        <f>IF(Mecze[[#This Row],[Role]]="BR",Mecze[[#This Row],[/OB:90]]+Mecze[[#This Row],[/PC:90]],SUM(Mecze[[#This Row],[/PR:90]:[/BR:90]]))</f>
        <v>6.3157894736842107E-2</v>
      </c>
      <c r="Z1747" s="35">
        <f>IF(Mecze[[#This Row],[KC]]=0,SUM(Mecze[[#This Row],[/BRI]:[/NPI]]),SUM(Mecze[[#This Row],[/BRI]:[/NPI]])*0.6)</f>
        <v>0.28421052631578952</v>
      </c>
      <c r="AA1747" s="10">
        <f>IFERROR(Mecze[[#This Row],[BR]]/Mecze[[#This Row],[ST]],0)</f>
        <v>0</v>
      </c>
      <c r="AB1747">
        <f>ROUND(Mecze[[#This Row],[PD]]*Mecze[[#This Row],[%PC]],0)</f>
        <v>2</v>
      </c>
      <c r="AC1747">
        <f>ROUND(Mecze[[#This Row],[OD]]*Mecze[[#This Row],[%OU]],0)</f>
        <v>0</v>
      </c>
      <c r="AD1747" s="36" t="s">
        <v>44</v>
      </c>
      <c r="AE1747" s="36">
        <v>95</v>
      </c>
      <c r="AF1747" s="71">
        <v>3.54</v>
      </c>
      <c r="AG1747" s="37">
        <v>0</v>
      </c>
      <c r="AH1747" s="37">
        <v>0</v>
      </c>
      <c r="AI1747" s="37">
        <v>95</v>
      </c>
      <c r="AJ1747" s="37">
        <v>1</v>
      </c>
      <c r="AK1747" s="37" t="str">
        <f>VLOOKUP(Mecze[[#This Row],[Match ID]],Meczusie[Mecz]:Meczusie[RodzajMeczu],2,FALSE)</f>
        <v>Towarzyski</v>
      </c>
    </row>
    <row r="1748" spans="1:37" x14ac:dyDescent="0.25">
      <c r="A1748" s="76">
        <v>27</v>
      </c>
      <c r="B1748" s="3" t="s">
        <v>364</v>
      </c>
      <c r="C1748" s="2" t="s">
        <v>165</v>
      </c>
      <c r="D1748" s="1">
        <v>0</v>
      </c>
      <c r="E1748" s="1">
        <v>1</v>
      </c>
      <c r="F1748" s="1">
        <v>0</v>
      </c>
      <c r="G1748" s="1">
        <v>11</v>
      </c>
      <c r="H1748" s="4">
        <v>0.27</v>
      </c>
      <c r="I1748" s="1">
        <v>4</v>
      </c>
      <c r="J1748" s="4">
        <v>0</v>
      </c>
      <c r="K1748" s="1">
        <v>0</v>
      </c>
      <c r="L1748" s="1">
        <v>4</v>
      </c>
      <c r="M1748" s="32">
        <f>IF(Mecze[[#This Row],[PR]]=0,0,Mecze[[#This Row],[PR]]/Mecze[[#This Row],[CZAS]])</f>
        <v>4.2105263157894736E-2</v>
      </c>
      <c r="N1748" s="32">
        <f>IF(Mecze[[#This Row],[OU]]=0,0,Mecze[[#This Row],[OU]]/Mecze[[#This Row],[CZAS]])</f>
        <v>0</v>
      </c>
      <c r="O1748" s="32">
        <f>IF(Mecze[[#This Row],[PC]]=0,0,Mecze[[#This Row],[PC]]/Mecze[[#This Row],[CZAS]])</f>
        <v>3.1578947368421054E-2</v>
      </c>
      <c r="P1748" s="32">
        <f>IF(Mecze[[#This Row],[SC]]=0,0,Mecze[[#This Row],[SC]]/Mecze[[#This Row],[CZAS]])</f>
        <v>0</v>
      </c>
      <c r="Q1748" s="32">
        <f>IF(Mecze[[#This Row],[OB]]=0,0,Mecze[[#This Row],[OB]]/Mecze[[#This Row],[CZAS]])</f>
        <v>0</v>
      </c>
      <c r="R1748" s="32">
        <f>IF(Mecze[[#This Row],[BR]]=0,0,Mecze[[#This Row],[BR]]/Mecze[[#This Row],[CZAS]])</f>
        <v>0</v>
      </c>
      <c r="S1748" s="44">
        <f>IF(Mecze[[#This Row],[Role]]="BR",SUMPRODUCT(Mecze[[#This Row],[/PR:90]:[/BR:90]],Brudnopis!$E$23:$J$23),0)</f>
        <v>0</v>
      </c>
      <c r="T1748" s="44">
        <f>IF(Mecze[[#This Row],[Role]]&lt;&gt;"BR",SUMPRODUCT(Mecze[[#This Row],[/PR:90]:[/BR:90]],Brudnopis!$E$24:$J$24),0)</f>
        <v>7.3684210526315796E-2</v>
      </c>
      <c r="U1748" s="44">
        <f>IF(Mecze[[#This Row],[Role]]&lt;&gt;"BR",SUMPRODUCT(Mecze[[#This Row],[/PR:90]:[/BR:90]],Brudnopis!$E$25:$J$25),0)</f>
        <v>8.9473684210526316E-2</v>
      </c>
      <c r="V1748" s="44">
        <f>IF(Mecze[[#This Row],[Role]]&lt;&gt;"BR",SUMPRODUCT(Mecze[[#This Row],[/PR:90]:[/BR:90]],Brudnopis!$E$26:$J$26),0)</f>
        <v>7.3684210526315796E-2</v>
      </c>
      <c r="W1748" s="44">
        <f>IF(Mecze[[#This Row],[Role]]&lt;&gt;"BR",SUMPRODUCT(Mecze[[#This Row],[/PR:90]:[/BR:90]],Brudnopis!$E$27:$J$27),0)</f>
        <v>7.8947368421052627E-2</v>
      </c>
      <c r="X1748" s="44">
        <f>IF(Mecze[[#This Row],[Role]]&lt;&gt;"BR",SUMPRODUCT(Mecze[[#This Row],[/PR:90]:[/BR:90]],Brudnopis!$E$28:$J$28),0)</f>
        <v>3.1578947368421054E-2</v>
      </c>
      <c r="Y1748" s="35">
        <f>IF(Mecze[[#This Row],[Role]]="BR",Mecze[[#This Row],[/OB:90]]+Mecze[[#This Row],[/PC:90]],SUM(Mecze[[#This Row],[/PR:90]:[/BR:90]]))</f>
        <v>7.3684210526315796E-2</v>
      </c>
      <c r="Z1748" s="35">
        <f>IF(Mecze[[#This Row],[KC]]=0,SUM(Mecze[[#This Row],[/BRI]:[/NPI]]),SUM(Mecze[[#This Row],[/BRI]:[/NPI]])*0.6)</f>
        <v>0.34736842105263155</v>
      </c>
      <c r="AA1748" s="10">
        <f>IFERROR(Mecze[[#This Row],[BR]]/Mecze[[#This Row],[ST]],0)</f>
        <v>0</v>
      </c>
      <c r="AB1748">
        <f>ROUND(Mecze[[#This Row],[PD]]*Mecze[[#This Row],[%PC]],0)</f>
        <v>3</v>
      </c>
      <c r="AC1748">
        <f>ROUND(Mecze[[#This Row],[OD]]*Mecze[[#This Row],[%OU]],0)</f>
        <v>0</v>
      </c>
      <c r="AD1748" s="36" t="s">
        <v>46</v>
      </c>
      <c r="AE1748" s="36">
        <v>95</v>
      </c>
      <c r="AF1748" s="71">
        <v>2.71</v>
      </c>
      <c r="AG1748" s="37">
        <v>0</v>
      </c>
      <c r="AH1748" s="37">
        <v>0</v>
      </c>
      <c r="AI1748" s="37">
        <v>95</v>
      </c>
      <c r="AJ1748" s="37">
        <v>1</v>
      </c>
      <c r="AK1748" s="37" t="str">
        <f>VLOOKUP(Mecze[[#This Row],[Match ID]],Meczusie[Mecz]:Meczusie[RodzajMeczu],2,FALSE)</f>
        <v>Towarzyski</v>
      </c>
    </row>
    <row r="1749" spans="1:37" x14ac:dyDescent="0.25">
      <c r="A1749" s="76">
        <v>48</v>
      </c>
      <c r="B1749" s="3" t="s">
        <v>414</v>
      </c>
      <c r="C1749" s="2" t="s">
        <v>165</v>
      </c>
      <c r="D1749" s="1">
        <v>1</v>
      </c>
      <c r="E1749" s="1">
        <v>8</v>
      </c>
      <c r="F1749" s="1">
        <v>4</v>
      </c>
      <c r="G1749" s="1">
        <v>3</v>
      </c>
      <c r="H1749" s="4">
        <v>0.33</v>
      </c>
      <c r="I1749" s="1">
        <v>1</v>
      </c>
      <c r="J1749" s="4">
        <v>0</v>
      </c>
      <c r="K1749" s="1">
        <v>0</v>
      </c>
      <c r="L1749" s="1">
        <v>0</v>
      </c>
      <c r="M1749" s="32">
        <f>IF(Mecze[[#This Row],[PR]]=0,0,Mecze[[#This Row],[PR]]/Mecze[[#This Row],[CZAS]])</f>
        <v>0</v>
      </c>
      <c r="N1749" s="32">
        <f>IF(Mecze[[#This Row],[OU]]=0,0,Mecze[[#This Row],[OU]]/Mecze[[#This Row],[CZAS]])</f>
        <v>0</v>
      </c>
      <c r="O1749" s="32">
        <f>IF(Mecze[[#This Row],[PC]]=0,0,Mecze[[#This Row],[PC]]/Mecze[[#This Row],[CZAS]])</f>
        <v>1.0526315789473684E-2</v>
      </c>
      <c r="P1749" s="32">
        <f>IF(Mecze[[#This Row],[SC]]=0,0,Mecze[[#This Row],[SC]]/Mecze[[#This Row],[CZAS]])</f>
        <v>4.2105263157894736E-2</v>
      </c>
      <c r="Q1749" s="32">
        <f>IF(Mecze[[#This Row],[OB]]=0,0,Mecze[[#This Row],[OB]]/Mecze[[#This Row],[CZAS]])</f>
        <v>0</v>
      </c>
      <c r="R1749" s="32">
        <f>IF(Mecze[[#This Row],[BR]]=0,0,Mecze[[#This Row],[BR]]/Mecze[[#This Row],[CZAS]])</f>
        <v>1.0526315789473684E-2</v>
      </c>
      <c r="S1749" s="44">
        <f>IF(Mecze[[#This Row],[Role]]="BR",SUMPRODUCT(Mecze[[#This Row],[/PR:90]:[/BR:90]],Brudnopis!$E$23:$J$23),0)</f>
        <v>0</v>
      </c>
      <c r="T1749" s="44">
        <f>IF(Mecze[[#This Row],[Role]]&lt;&gt;"BR",SUMPRODUCT(Mecze[[#This Row],[/PR:90]:[/BR:90]],Brudnopis!$E$24:$J$24),0)</f>
        <v>6.8421052631578938E-2</v>
      </c>
      <c r="U1749" s="44">
        <f>IF(Mecze[[#This Row],[Role]]&lt;&gt;"BR",SUMPRODUCT(Mecze[[#This Row],[/PR:90]:[/BR:90]],Brudnopis!$E$25:$J$25),0)</f>
        <v>7.3684210526315796E-2</v>
      </c>
      <c r="V1749" s="44">
        <f>IF(Mecze[[#This Row],[Role]]&lt;&gt;"BR",SUMPRODUCT(Mecze[[#This Row],[/PR:90]:[/BR:90]],Brudnopis!$E$26:$J$26),0)</f>
        <v>7.3684210526315783E-2</v>
      </c>
      <c r="W1749" s="44">
        <f>IF(Mecze[[#This Row],[Role]]&lt;&gt;"BR",SUMPRODUCT(Mecze[[#This Row],[/PR:90]:[/BR:90]],Brudnopis!$E$27:$J$27),0)</f>
        <v>7.8947368421052627E-2</v>
      </c>
      <c r="X1749" s="44">
        <f>IF(Mecze[[#This Row],[Role]]&lt;&gt;"BR",SUMPRODUCT(Mecze[[#This Row],[/PR:90]:[/BR:90]],Brudnopis!$E$28:$J$28),0)</f>
        <v>0.12631578947368421</v>
      </c>
      <c r="Y1749" s="35">
        <f>IF(Mecze[[#This Row],[Role]]="BR",Mecze[[#This Row],[/OB:90]]+Mecze[[#This Row],[/PC:90]],SUM(Mecze[[#This Row],[/PR:90]:[/BR:90]]))</f>
        <v>6.3157894736842107E-2</v>
      </c>
      <c r="Z1749" s="35">
        <f>IF(Mecze[[#This Row],[KC]]=0,SUM(Mecze[[#This Row],[/BRI]:[/NPI]]),SUM(Mecze[[#This Row],[/BRI]:[/NPI]])*0.6)</f>
        <v>0.4210526315789474</v>
      </c>
      <c r="AA1749" s="10">
        <f>IFERROR(Mecze[[#This Row],[BR]]/Mecze[[#This Row],[ST]],0)</f>
        <v>0.125</v>
      </c>
      <c r="AB1749">
        <f>ROUND(Mecze[[#This Row],[PD]]*Mecze[[#This Row],[%PC]],0)</f>
        <v>1</v>
      </c>
      <c r="AC1749">
        <f>ROUND(Mecze[[#This Row],[OD]]*Mecze[[#This Row],[%OU]],0)</f>
        <v>0</v>
      </c>
      <c r="AD1749" s="36" t="s">
        <v>46</v>
      </c>
      <c r="AE1749" s="36">
        <v>95</v>
      </c>
      <c r="AF1749" s="71">
        <v>5.89</v>
      </c>
      <c r="AG1749" s="37">
        <v>0</v>
      </c>
      <c r="AH1749" s="37">
        <v>0</v>
      </c>
      <c r="AI1749" s="37">
        <v>95</v>
      </c>
      <c r="AJ1749" s="37">
        <v>1</v>
      </c>
      <c r="AK1749" s="37" t="str">
        <f>VLOOKUP(Mecze[[#This Row],[Match ID]],Meczusie[Mecz]:Meczusie[RodzajMeczu],2,FALSE)</f>
        <v>Towarzyski</v>
      </c>
    </row>
    <row r="1750" spans="1:37" x14ac:dyDescent="0.25">
      <c r="A1750" s="76">
        <v>26</v>
      </c>
      <c r="B1750" s="3" t="s">
        <v>368</v>
      </c>
      <c r="C1750" s="2" t="s">
        <v>165</v>
      </c>
      <c r="D1750" s="1">
        <v>0</v>
      </c>
      <c r="E1750" s="1">
        <v>2</v>
      </c>
      <c r="F1750" s="1">
        <v>1</v>
      </c>
      <c r="G1750" s="1">
        <v>7</v>
      </c>
      <c r="H1750" s="4">
        <v>1</v>
      </c>
      <c r="I1750" s="1">
        <v>1</v>
      </c>
      <c r="J1750" s="4">
        <v>1</v>
      </c>
      <c r="K1750" s="1">
        <v>0</v>
      </c>
      <c r="L1750" s="1">
        <v>0</v>
      </c>
      <c r="M1750" s="32">
        <f>IF(Mecze[[#This Row],[PR]]=0,0,Mecze[[#This Row],[PR]]/Mecze[[#This Row],[CZAS]])</f>
        <v>0</v>
      </c>
      <c r="N1750" s="32">
        <f>IF(Mecze[[#This Row],[OU]]=0,0,Mecze[[#This Row],[OU]]/Mecze[[#This Row],[CZAS]])</f>
        <v>1.0526315789473684E-2</v>
      </c>
      <c r="O1750" s="32">
        <f>IF(Mecze[[#This Row],[PC]]=0,0,Mecze[[#This Row],[PC]]/Mecze[[#This Row],[CZAS]])</f>
        <v>7.3684210526315783E-2</v>
      </c>
      <c r="P1750" s="32">
        <f>IF(Mecze[[#This Row],[SC]]=0,0,Mecze[[#This Row],[SC]]/Mecze[[#This Row],[CZAS]])</f>
        <v>1.0526315789473684E-2</v>
      </c>
      <c r="Q1750" s="32">
        <f>IF(Mecze[[#This Row],[OB]]=0,0,Mecze[[#This Row],[OB]]/Mecze[[#This Row],[CZAS]])</f>
        <v>0</v>
      </c>
      <c r="R1750" s="32">
        <f>IF(Mecze[[#This Row],[BR]]=0,0,Mecze[[#This Row],[BR]]/Mecze[[#This Row],[CZAS]])</f>
        <v>0</v>
      </c>
      <c r="S1750" s="44">
        <f>IF(Mecze[[#This Row],[Role]]="BR",SUMPRODUCT(Mecze[[#This Row],[/PR:90]:[/BR:90]],Brudnopis!$E$23:$J$23),0)</f>
        <v>0</v>
      </c>
      <c r="T1750" s="44">
        <f>IF(Mecze[[#This Row],[Role]]&lt;&gt;"BR",SUMPRODUCT(Mecze[[#This Row],[/PR:90]:[/BR:90]],Brudnopis!$E$24:$J$24),0)</f>
        <v>0.1</v>
      </c>
      <c r="U1750" s="44">
        <f>IF(Mecze[[#This Row],[Role]]&lt;&gt;"BR",SUMPRODUCT(Mecze[[#This Row],[/PR:90]:[/BR:90]],Brudnopis!$E$25:$J$25),0)</f>
        <v>0.13157894736842105</v>
      </c>
      <c r="V1750" s="44">
        <f>IF(Mecze[[#This Row],[Role]]&lt;&gt;"BR",SUMPRODUCT(Mecze[[#This Row],[/PR:90]:[/BR:90]],Brudnopis!$E$26:$J$26),0)</f>
        <v>9.4736842105263161E-2</v>
      </c>
      <c r="W1750" s="44">
        <f>IF(Mecze[[#This Row],[Role]]&lt;&gt;"BR",SUMPRODUCT(Mecze[[#This Row],[/PR:90]:[/BR:90]],Brudnopis!$E$27:$J$27),0)</f>
        <v>0.12894736842105262</v>
      </c>
      <c r="X1750" s="44">
        <f>IF(Mecze[[#This Row],[Role]]&lt;&gt;"BR",SUMPRODUCT(Mecze[[#This Row],[/PR:90]:[/BR:90]],Brudnopis!$E$28:$J$28),0)</f>
        <v>9.4736842105263147E-2</v>
      </c>
      <c r="Y1750" s="35">
        <f>IF(Mecze[[#This Row],[Role]]="BR",Mecze[[#This Row],[/OB:90]]+Mecze[[#This Row],[/PC:90]],SUM(Mecze[[#This Row],[/PR:90]:[/BR:90]]))</f>
        <v>9.4736842105263161E-2</v>
      </c>
      <c r="Z1750" s="35">
        <f>IF(Mecze[[#This Row],[KC]]=0,SUM(Mecze[[#This Row],[/BRI]:[/NPI]]),SUM(Mecze[[#This Row],[/BRI]:[/NPI]])*0.6)</f>
        <v>0.54999999999999993</v>
      </c>
      <c r="AA1750" s="10">
        <f>IFERROR(Mecze[[#This Row],[BR]]/Mecze[[#This Row],[ST]],0)</f>
        <v>0</v>
      </c>
      <c r="AB1750">
        <f>ROUND(Mecze[[#This Row],[PD]]*Mecze[[#This Row],[%PC]],0)</f>
        <v>7</v>
      </c>
      <c r="AC1750">
        <f>ROUND(Mecze[[#This Row],[OD]]*Mecze[[#This Row],[%OU]],0)</f>
        <v>1</v>
      </c>
      <c r="AD1750" s="36" t="s">
        <v>46</v>
      </c>
      <c r="AE1750" s="36">
        <v>95</v>
      </c>
      <c r="AF1750" s="71">
        <v>6.07</v>
      </c>
      <c r="AG1750" s="37">
        <v>0</v>
      </c>
      <c r="AH1750" s="37">
        <v>0</v>
      </c>
      <c r="AI1750" s="37">
        <v>95</v>
      </c>
      <c r="AJ1750" s="37">
        <v>1</v>
      </c>
      <c r="AK1750" s="37" t="str">
        <f>VLOOKUP(Mecze[[#This Row],[Match ID]],Meczusie[Mecz]:Meczusie[RodzajMeczu],2,FALSE)</f>
        <v>Towarzyski</v>
      </c>
    </row>
    <row r="1751" spans="1:37" x14ac:dyDescent="0.25">
      <c r="A1751" s="76">
        <v>39</v>
      </c>
      <c r="B1751" s="3" t="s">
        <v>450</v>
      </c>
      <c r="C1751" s="2" t="s">
        <v>155</v>
      </c>
      <c r="D1751" s="1">
        <v>0</v>
      </c>
      <c r="E1751" s="1">
        <v>0</v>
      </c>
      <c r="F1751" s="1">
        <v>0</v>
      </c>
      <c r="G1751" s="1">
        <v>1</v>
      </c>
      <c r="H1751" s="4">
        <v>1</v>
      </c>
      <c r="I1751" s="1">
        <v>0</v>
      </c>
      <c r="J1751" s="4"/>
      <c r="K1751" s="1">
        <v>1</v>
      </c>
      <c r="L1751" s="1">
        <v>0</v>
      </c>
      <c r="M1751" s="32">
        <f>IF(Mecze[[#This Row],[PR]]=0,0,Mecze[[#This Row],[PR]]/Mecze[[#This Row],[CZAS]])</f>
        <v>0</v>
      </c>
      <c r="N1751" s="32">
        <f>IF(Mecze[[#This Row],[OU]]=0,0,Mecze[[#This Row],[OU]]/Mecze[[#This Row],[CZAS]])</f>
        <v>0</v>
      </c>
      <c r="O1751" s="32">
        <f>IF(Mecze[[#This Row],[PC]]=0,0,Mecze[[#This Row],[PC]]/Mecze[[#This Row],[CZAS]])</f>
        <v>1.020408163265306E-2</v>
      </c>
      <c r="P1751" s="32">
        <f>IF(Mecze[[#This Row],[SC]]=0,0,Mecze[[#This Row],[SC]]/Mecze[[#This Row],[CZAS]])</f>
        <v>0</v>
      </c>
      <c r="Q1751" s="32">
        <f>IF(Mecze[[#This Row],[OB]]=0,0,Mecze[[#This Row],[OB]]/Mecze[[#This Row],[CZAS]])</f>
        <v>1.020408163265306E-2</v>
      </c>
      <c r="R1751" s="32">
        <f>IF(Mecze[[#This Row],[BR]]=0,0,Mecze[[#This Row],[BR]]/Mecze[[#This Row],[CZAS]])</f>
        <v>0</v>
      </c>
      <c r="S1751" s="44">
        <f>IF(Mecze[[#This Row],[Role]]="BR",SUMPRODUCT(Mecze[[#This Row],[/PR:90]:[/BR:90]],Brudnopis!$E$23:$J$23),0)</f>
        <v>6.1224489795918366E-2</v>
      </c>
      <c r="T1751" s="44">
        <f>IF(Mecze[[#This Row],[Role]]&lt;&gt;"BR",SUMPRODUCT(Mecze[[#This Row],[/PR:90]:[/BR:90]],Brudnopis!$E$24:$J$24),0)</f>
        <v>0</v>
      </c>
      <c r="U1751" s="44">
        <f>IF(Mecze[[#This Row],[Role]]&lt;&gt;"BR",SUMPRODUCT(Mecze[[#This Row],[/PR:90]:[/BR:90]],Brudnopis!$E$25:$J$25),0)</f>
        <v>0</v>
      </c>
      <c r="V1751" s="44">
        <f>IF(Mecze[[#This Row],[Role]]&lt;&gt;"BR",SUMPRODUCT(Mecze[[#This Row],[/PR:90]:[/BR:90]],Brudnopis!$E$26:$J$26),0)</f>
        <v>0</v>
      </c>
      <c r="W1751" s="44">
        <f>IF(Mecze[[#This Row],[Role]]&lt;&gt;"BR",SUMPRODUCT(Mecze[[#This Row],[/PR:90]:[/BR:90]],Brudnopis!$E$27:$J$27),0)</f>
        <v>0</v>
      </c>
      <c r="X1751" s="44">
        <f>IF(Mecze[[#This Row],[Role]]&lt;&gt;"BR",SUMPRODUCT(Mecze[[#This Row],[/PR:90]:[/BR:90]],Brudnopis!$E$28:$J$28),0)</f>
        <v>0</v>
      </c>
      <c r="Y1751" s="35">
        <f>IF(Mecze[[#This Row],[Role]]="BR",Mecze[[#This Row],[/OB:90]]+Mecze[[#This Row],[/PC:90]],SUM(Mecze[[#This Row],[/PR:90]:[/BR:90]]))</f>
        <v>2.0408163265306121E-2</v>
      </c>
      <c r="Z1751" s="35">
        <f>IF(Mecze[[#This Row],[KC]]=0,SUM(Mecze[[#This Row],[/BRI]:[/NPI]]),SUM(Mecze[[#This Row],[/BRI]:[/NPI]])*0.6)</f>
        <v>6.1224489795918366E-2</v>
      </c>
      <c r="AA1751" s="10">
        <f>IFERROR(Mecze[[#This Row],[BR]]/Mecze[[#This Row],[ST]],0)</f>
        <v>0</v>
      </c>
      <c r="AB1751">
        <f>ROUND(Mecze[[#This Row],[PD]]*Mecze[[#This Row],[%PC]],0)</f>
        <v>1</v>
      </c>
      <c r="AC1751">
        <f>ROUND(Mecze[[#This Row],[OD]]*Mecze[[#This Row],[%OU]],0)</f>
        <v>0</v>
      </c>
      <c r="AD1751" s="36" t="s">
        <v>40</v>
      </c>
      <c r="AE1751" s="36">
        <v>96</v>
      </c>
      <c r="AF1751" s="71">
        <v>7.39</v>
      </c>
      <c r="AG1751" s="37">
        <v>0</v>
      </c>
      <c r="AH1751" s="37">
        <v>0</v>
      </c>
      <c r="AI1751" s="37">
        <v>98</v>
      </c>
      <c r="AJ1751" s="37">
        <v>1</v>
      </c>
      <c r="AK1751" s="37" t="str">
        <f>VLOOKUP(Mecze[[#This Row],[Match ID]],Meczusie[Mecz]:Meczusie[RodzajMeczu],2,FALSE)</f>
        <v>Towarzyski</v>
      </c>
    </row>
    <row r="1752" spans="1:37" x14ac:dyDescent="0.25">
      <c r="A1752" s="76">
        <v>38</v>
      </c>
      <c r="B1752" s="3" t="s">
        <v>359</v>
      </c>
      <c r="C1752" s="2" t="s">
        <v>157</v>
      </c>
      <c r="D1752" s="1">
        <v>0</v>
      </c>
      <c r="E1752" s="1">
        <v>0</v>
      </c>
      <c r="F1752" s="1">
        <v>0</v>
      </c>
      <c r="G1752" s="1">
        <v>14</v>
      </c>
      <c r="H1752" s="4">
        <v>0.71</v>
      </c>
      <c r="I1752" s="1">
        <v>4</v>
      </c>
      <c r="J1752" s="4">
        <v>1</v>
      </c>
      <c r="K1752" s="1">
        <v>0</v>
      </c>
      <c r="L1752" s="1">
        <v>10</v>
      </c>
      <c r="M1752" s="32">
        <f>IF(Mecze[[#This Row],[PR]]=0,0,Mecze[[#This Row],[PR]]/Mecze[[#This Row],[CZAS]])</f>
        <v>0.10204081632653061</v>
      </c>
      <c r="N1752" s="32">
        <f>IF(Mecze[[#This Row],[OU]]=0,0,Mecze[[#This Row],[OU]]/Mecze[[#This Row],[CZAS]])</f>
        <v>4.0816326530612242E-2</v>
      </c>
      <c r="O1752" s="32">
        <f>IF(Mecze[[#This Row],[PC]]=0,0,Mecze[[#This Row],[PC]]/Mecze[[#This Row],[CZAS]])</f>
        <v>0.10204081632653061</v>
      </c>
      <c r="P1752" s="32">
        <f>IF(Mecze[[#This Row],[SC]]=0,0,Mecze[[#This Row],[SC]]/Mecze[[#This Row],[CZAS]])</f>
        <v>0</v>
      </c>
      <c r="Q1752" s="32">
        <f>IF(Mecze[[#This Row],[OB]]=0,0,Mecze[[#This Row],[OB]]/Mecze[[#This Row],[CZAS]])</f>
        <v>0</v>
      </c>
      <c r="R1752" s="32">
        <f>IF(Mecze[[#This Row],[BR]]=0,0,Mecze[[#This Row],[BR]]/Mecze[[#This Row],[CZAS]])</f>
        <v>0</v>
      </c>
      <c r="S1752" s="44">
        <f>IF(Mecze[[#This Row],[Role]]="BR",SUMPRODUCT(Mecze[[#This Row],[/PR:90]:[/BR:90]],Brudnopis!$E$23:$J$23),0)</f>
        <v>0</v>
      </c>
      <c r="T1752" s="44">
        <f>IF(Mecze[[#This Row],[Role]]&lt;&gt;"BR",SUMPRODUCT(Mecze[[#This Row],[/PR:90]:[/BR:90]],Brudnopis!$E$24:$J$24),0)</f>
        <v>0.26530612244897961</v>
      </c>
      <c r="U1752" s="44">
        <f>IF(Mecze[[#This Row],[Role]]&lt;&gt;"BR",SUMPRODUCT(Mecze[[#This Row],[/PR:90]:[/BR:90]],Brudnopis!$E$25:$J$25),0)</f>
        <v>0.29591836734693877</v>
      </c>
      <c r="V1752" s="44">
        <f>IF(Mecze[[#This Row],[Role]]&lt;&gt;"BR",SUMPRODUCT(Mecze[[#This Row],[/PR:90]:[/BR:90]],Brudnopis!$E$26:$J$26),0)</f>
        <v>0.24489795918367346</v>
      </c>
      <c r="W1752" s="44">
        <f>IF(Mecze[[#This Row],[Role]]&lt;&gt;"BR",SUMPRODUCT(Mecze[[#This Row],[/PR:90]:[/BR:90]],Brudnopis!$E$27:$J$27),0)</f>
        <v>0.26020408163265307</v>
      </c>
      <c r="X1752" s="44">
        <f>IF(Mecze[[#This Row],[Role]]&lt;&gt;"BR",SUMPRODUCT(Mecze[[#This Row],[/PR:90]:[/BR:90]],Brudnopis!$E$28:$J$28),0)</f>
        <v>0.10204081632653061</v>
      </c>
      <c r="Y1752" s="35">
        <f>IF(Mecze[[#This Row],[Role]]="BR",Mecze[[#This Row],[/OB:90]]+Mecze[[#This Row],[/PC:90]],SUM(Mecze[[#This Row],[/PR:90]:[/BR:90]]))</f>
        <v>0.24489795918367346</v>
      </c>
      <c r="Z1752" s="35">
        <f>IF(Mecze[[#This Row],[KC]]=0,SUM(Mecze[[#This Row],[/BRI]:[/NPI]]),SUM(Mecze[[#This Row],[/BRI]:[/NPI]])*0.6)</f>
        <v>1.1683673469387754</v>
      </c>
      <c r="AA1752" s="10">
        <f>IFERROR(Mecze[[#This Row],[BR]]/Mecze[[#This Row],[ST]],0)</f>
        <v>0</v>
      </c>
      <c r="AB1752">
        <f>ROUND(Mecze[[#This Row],[PD]]*Mecze[[#This Row],[%PC]],0)</f>
        <v>10</v>
      </c>
      <c r="AC1752">
        <f>ROUND(Mecze[[#This Row],[OD]]*Mecze[[#This Row],[%OU]],0)</f>
        <v>4</v>
      </c>
      <c r="AD1752" s="36" t="s">
        <v>47</v>
      </c>
      <c r="AE1752" s="36">
        <v>96</v>
      </c>
      <c r="AF1752" s="71">
        <v>12.29</v>
      </c>
      <c r="AG1752" s="37">
        <v>0</v>
      </c>
      <c r="AH1752" s="37">
        <v>0</v>
      </c>
      <c r="AI1752" s="37">
        <v>98</v>
      </c>
      <c r="AJ1752" s="37">
        <v>1</v>
      </c>
      <c r="AK1752" s="37" t="str">
        <f>VLOOKUP(Mecze[[#This Row],[Match ID]],Meczusie[Mecz]:Meczusie[RodzajMeczu],2,FALSE)</f>
        <v>Towarzyski</v>
      </c>
    </row>
    <row r="1753" spans="1:37" x14ac:dyDescent="0.25">
      <c r="A1753" s="76">
        <v>4</v>
      </c>
      <c r="B1753" s="3" t="s">
        <v>360</v>
      </c>
      <c r="C1753" s="2" t="s">
        <v>157</v>
      </c>
      <c r="D1753" s="1">
        <v>1</v>
      </c>
      <c r="E1753" s="1">
        <v>4</v>
      </c>
      <c r="F1753" s="1">
        <v>3</v>
      </c>
      <c r="G1753" s="1">
        <v>14</v>
      </c>
      <c r="H1753" s="4">
        <v>0.64</v>
      </c>
      <c r="I1753" s="1">
        <v>4</v>
      </c>
      <c r="J1753" s="4">
        <v>0.5</v>
      </c>
      <c r="K1753" s="1">
        <v>0</v>
      </c>
      <c r="L1753" s="1">
        <v>12</v>
      </c>
      <c r="M1753" s="32">
        <f>IF(Mecze[[#This Row],[PR]]=0,0,Mecze[[#This Row],[PR]]/Mecze[[#This Row],[CZAS]])</f>
        <v>0.12244897959183673</v>
      </c>
      <c r="N1753" s="32">
        <f>IF(Mecze[[#This Row],[OU]]=0,0,Mecze[[#This Row],[OU]]/Mecze[[#This Row],[CZAS]])</f>
        <v>2.0408163265306121E-2</v>
      </c>
      <c r="O1753" s="32">
        <f>IF(Mecze[[#This Row],[PC]]=0,0,Mecze[[#This Row],[PC]]/Mecze[[#This Row],[CZAS]])</f>
        <v>9.1836734693877556E-2</v>
      </c>
      <c r="P1753" s="32">
        <f>IF(Mecze[[#This Row],[SC]]=0,0,Mecze[[#This Row],[SC]]/Mecze[[#This Row],[CZAS]])</f>
        <v>3.0612244897959183E-2</v>
      </c>
      <c r="Q1753" s="32">
        <f>IF(Mecze[[#This Row],[OB]]=0,0,Mecze[[#This Row],[OB]]/Mecze[[#This Row],[CZAS]])</f>
        <v>0</v>
      </c>
      <c r="R1753" s="32">
        <f>IF(Mecze[[#This Row],[BR]]=0,0,Mecze[[#This Row],[BR]]/Mecze[[#This Row],[CZAS]])</f>
        <v>1.020408163265306E-2</v>
      </c>
      <c r="S1753" s="44">
        <f>IF(Mecze[[#This Row],[Role]]="BR",SUMPRODUCT(Mecze[[#This Row],[/PR:90]:[/BR:90]],Brudnopis!$E$23:$J$23),0)</f>
        <v>0</v>
      </c>
      <c r="T1753" s="44">
        <f>IF(Mecze[[#This Row],[Role]]&lt;&gt;"BR",SUMPRODUCT(Mecze[[#This Row],[/PR:90]:[/BR:90]],Brudnopis!$E$24:$J$24),0)</f>
        <v>0.29081632653061223</v>
      </c>
      <c r="U1753" s="44">
        <f>IF(Mecze[[#This Row],[Role]]&lt;&gt;"BR",SUMPRODUCT(Mecze[[#This Row],[/PR:90]:[/BR:90]],Brudnopis!$E$25:$J$25),0)</f>
        <v>0.32653061224489799</v>
      </c>
      <c r="V1753" s="44">
        <f>IF(Mecze[[#This Row],[Role]]&lt;&gt;"BR",SUMPRODUCT(Mecze[[#This Row],[/PR:90]:[/BR:90]],Brudnopis!$E$26:$J$26),0)</f>
        <v>0.2857142857142857</v>
      </c>
      <c r="W1753" s="44">
        <f>IF(Mecze[[#This Row],[Role]]&lt;&gt;"BR",SUMPRODUCT(Mecze[[#This Row],[/PR:90]:[/BR:90]],Brudnopis!$E$27:$J$27),0)</f>
        <v>0.29591836734693877</v>
      </c>
      <c r="X1753" s="44">
        <f>IF(Mecze[[#This Row],[Role]]&lt;&gt;"BR",SUMPRODUCT(Mecze[[#This Row],[/PR:90]:[/BR:90]],Brudnopis!$E$28:$J$28),0)</f>
        <v>0.18367346938775511</v>
      </c>
      <c r="Y1753" s="35">
        <f>IF(Mecze[[#This Row],[Role]]="BR",Mecze[[#This Row],[/OB:90]]+Mecze[[#This Row],[/PC:90]],SUM(Mecze[[#This Row],[/PR:90]:[/BR:90]]))</f>
        <v>0.27551020408163263</v>
      </c>
      <c r="Z1753" s="35">
        <f>IF(Mecze[[#This Row],[KC]]=0,SUM(Mecze[[#This Row],[/BRI]:[/NPI]]),SUM(Mecze[[#This Row],[/BRI]:[/NPI]])*0.6)</f>
        <v>1.3826530612244898</v>
      </c>
      <c r="AA1753" s="10">
        <f>IFERROR(Mecze[[#This Row],[BR]]/Mecze[[#This Row],[ST]],0)</f>
        <v>0.25</v>
      </c>
      <c r="AB1753">
        <f>ROUND(Mecze[[#This Row],[PD]]*Mecze[[#This Row],[%PC]],0)</f>
        <v>9</v>
      </c>
      <c r="AC1753">
        <f>ROUND(Mecze[[#This Row],[OD]]*Mecze[[#This Row],[%OU]],0)</f>
        <v>2</v>
      </c>
      <c r="AD1753" s="36" t="s">
        <v>168</v>
      </c>
      <c r="AE1753" s="36">
        <v>96</v>
      </c>
      <c r="AF1753" s="71">
        <v>10.68</v>
      </c>
      <c r="AG1753" s="37">
        <v>0</v>
      </c>
      <c r="AH1753" s="37">
        <v>0</v>
      </c>
      <c r="AI1753" s="37">
        <v>98</v>
      </c>
      <c r="AJ1753" s="37">
        <v>1</v>
      </c>
      <c r="AK1753" s="37" t="str">
        <f>VLOOKUP(Mecze[[#This Row],[Match ID]],Meczusie[Mecz]:Meczusie[RodzajMeczu],2,FALSE)</f>
        <v>Towarzyski</v>
      </c>
    </row>
    <row r="1754" spans="1:37" x14ac:dyDescent="0.25">
      <c r="A1754" s="76">
        <v>42</v>
      </c>
      <c r="B1754" s="3" t="s">
        <v>361</v>
      </c>
      <c r="C1754" s="2" t="s">
        <v>157</v>
      </c>
      <c r="D1754" s="1">
        <v>0</v>
      </c>
      <c r="E1754" s="1">
        <v>0</v>
      </c>
      <c r="F1754" s="1">
        <v>0</v>
      </c>
      <c r="G1754" s="1">
        <v>3</v>
      </c>
      <c r="H1754" s="4">
        <v>0.67</v>
      </c>
      <c r="I1754" s="1">
        <v>3</v>
      </c>
      <c r="J1754" s="4">
        <v>0.33</v>
      </c>
      <c r="K1754" s="1">
        <v>0</v>
      </c>
      <c r="L1754" s="1">
        <v>4</v>
      </c>
      <c r="M1754" s="32">
        <f>IF(Mecze[[#This Row],[PR]]=0,0,Mecze[[#This Row],[PR]]/Mecze[[#This Row],[CZAS]])</f>
        <v>4.0816326530612242E-2</v>
      </c>
      <c r="N1754" s="32">
        <f>IF(Mecze[[#This Row],[OU]]=0,0,Mecze[[#This Row],[OU]]/Mecze[[#This Row],[CZAS]])</f>
        <v>1.020408163265306E-2</v>
      </c>
      <c r="O1754" s="32">
        <f>IF(Mecze[[#This Row],[PC]]=0,0,Mecze[[#This Row],[PC]]/Mecze[[#This Row],[CZAS]])</f>
        <v>2.0408163265306121E-2</v>
      </c>
      <c r="P1754" s="32">
        <f>IF(Mecze[[#This Row],[SC]]=0,0,Mecze[[#This Row],[SC]]/Mecze[[#This Row],[CZAS]])</f>
        <v>0</v>
      </c>
      <c r="Q1754" s="32">
        <f>IF(Mecze[[#This Row],[OB]]=0,0,Mecze[[#This Row],[OB]]/Mecze[[#This Row],[CZAS]])</f>
        <v>0</v>
      </c>
      <c r="R1754" s="32">
        <f>IF(Mecze[[#This Row],[BR]]=0,0,Mecze[[#This Row],[BR]]/Mecze[[#This Row],[CZAS]])</f>
        <v>0</v>
      </c>
      <c r="S1754" s="44">
        <f>IF(Mecze[[#This Row],[Role]]="BR",SUMPRODUCT(Mecze[[#This Row],[/PR:90]:[/BR:90]],Brudnopis!$E$23:$J$23),0)</f>
        <v>0</v>
      </c>
      <c r="T1754" s="44">
        <f>IF(Mecze[[#This Row],[Role]]&lt;&gt;"BR",SUMPRODUCT(Mecze[[#This Row],[/PR:90]:[/BR:90]],Brudnopis!$E$24:$J$24),0)</f>
        <v>7.6530612244897947E-2</v>
      </c>
      <c r="U1754" s="44">
        <f>IF(Mecze[[#This Row],[Role]]&lt;&gt;"BR",SUMPRODUCT(Mecze[[#This Row],[/PR:90]:[/BR:90]],Brudnopis!$E$25:$J$25),0)</f>
        <v>8.1632653061224483E-2</v>
      </c>
      <c r="V1754" s="44">
        <f>IF(Mecze[[#This Row],[Role]]&lt;&gt;"BR",SUMPRODUCT(Mecze[[#This Row],[/PR:90]:[/BR:90]],Brudnopis!$E$26:$J$26),0)</f>
        <v>7.1428571428571425E-2</v>
      </c>
      <c r="W1754" s="44">
        <f>IF(Mecze[[#This Row],[Role]]&lt;&gt;"BR",SUMPRODUCT(Mecze[[#This Row],[/PR:90]:[/BR:90]],Brudnopis!$E$27:$J$27),0)</f>
        <v>6.8877551020408156E-2</v>
      </c>
      <c r="X1754" s="44">
        <f>IF(Mecze[[#This Row],[Role]]&lt;&gt;"BR",SUMPRODUCT(Mecze[[#This Row],[/PR:90]:[/BR:90]],Brudnopis!$E$28:$J$28),0)</f>
        <v>2.0408163265306121E-2</v>
      </c>
      <c r="Y1754" s="35">
        <f>IF(Mecze[[#This Row],[Role]]="BR",Mecze[[#This Row],[/OB:90]]+Mecze[[#This Row],[/PC:90]],SUM(Mecze[[#This Row],[/PR:90]:[/BR:90]]))</f>
        <v>7.1428571428571425E-2</v>
      </c>
      <c r="Z1754" s="35">
        <f>IF(Mecze[[#This Row],[KC]]=0,SUM(Mecze[[#This Row],[/BRI]:[/NPI]]),SUM(Mecze[[#This Row],[/BRI]:[/NPI]])*0.6)</f>
        <v>0.31887755102040816</v>
      </c>
      <c r="AA1754" s="10">
        <f>IFERROR(Mecze[[#This Row],[BR]]/Mecze[[#This Row],[ST]],0)</f>
        <v>0</v>
      </c>
      <c r="AB1754">
        <f>ROUND(Mecze[[#This Row],[PD]]*Mecze[[#This Row],[%PC]],0)</f>
        <v>2</v>
      </c>
      <c r="AC1754">
        <f>ROUND(Mecze[[#This Row],[OD]]*Mecze[[#This Row],[%OU]],0)</f>
        <v>1</v>
      </c>
      <c r="AD1754" s="36" t="s">
        <v>167</v>
      </c>
      <c r="AE1754" s="36">
        <v>96</v>
      </c>
      <c r="AF1754" s="71">
        <v>7.88</v>
      </c>
      <c r="AG1754" s="37">
        <v>0</v>
      </c>
      <c r="AH1754" s="37">
        <v>0</v>
      </c>
      <c r="AI1754" s="37">
        <v>98</v>
      </c>
      <c r="AJ1754" s="37">
        <v>1</v>
      </c>
      <c r="AK1754" s="37" t="str">
        <f>VLOOKUP(Mecze[[#This Row],[Match ID]],Meczusie[Mecz]:Meczusie[RodzajMeczu],2,FALSE)</f>
        <v>Towarzyski</v>
      </c>
    </row>
    <row r="1755" spans="1:37" x14ac:dyDescent="0.25">
      <c r="A1755" s="76">
        <v>33</v>
      </c>
      <c r="B1755" s="3" t="s">
        <v>362</v>
      </c>
      <c r="C1755" s="2" t="s">
        <v>160</v>
      </c>
      <c r="D1755" s="1">
        <v>0</v>
      </c>
      <c r="E1755" s="1">
        <v>0</v>
      </c>
      <c r="F1755" s="1">
        <v>0</v>
      </c>
      <c r="G1755" s="1">
        <v>15</v>
      </c>
      <c r="H1755" s="4">
        <v>0.67</v>
      </c>
      <c r="I1755" s="1">
        <v>2</v>
      </c>
      <c r="J1755" s="4">
        <v>1</v>
      </c>
      <c r="K1755" s="1">
        <v>0</v>
      </c>
      <c r="L1755" s="1">
        <v>12</v>
      </c>
      <c r="M1755" s="32">
        <f>IF(Mecze[[#This Row],[PR]]=0,0,Mecze[[#This Row],[PR]]/Mecze[[#This Row],[CZAS]])</f>
        <v>0.12244897959183673</v>
      </c>
      <c r="N1755" s="32">
        <f>IF(Mecze[[#This Row],[OU]]=0,0,Mecze[[#This Row],[OU]]/Mecze[[#This Row],[CZAS]])</f>
        <v>2.0408163265306121E-2</v>
      </c>
      <c r="O1755" s="32">
        <f>IF(Mecze[[#This Row],[PC]]=0,0,Mecze[[#This Row],[PC]]/Mecze[[#This Row],[CZAS]])</f>
        <v>0.10204081632653061</v>
      </c>
      <c r="P1755" s="32">
        <f>IF(Mecze[[#This Row],[SC]]=0,0,Mecze[[#This Row],[SC]]/Mecze[[#This Row],[CZAS]])</f>
        <v>0</v>
      </c>
      <c r="Q1755" s="32">
        <f>IF(Mecze[[#This Row],[OB]]=0,0,Mecze[[#This Row],[OB]]/Mecze[[#This Row],[CZAS]])</f>
        <v>0</v>
      </c>
      <c r="R1755" s="32">
        <f>IF(Mecze[[#This Row],[BR]]=0,0,Mecze[[#This Row],[BR]]/Mecze[[#This Row],[CZAS]])</f>
        <v>0</v>
      </c>
      <c r="S1755" s="44">
        <f>IF(Mecze[[#This Row],[Role]]="BR",SUMPRODUCT(Mecze[[#This Row],[/PR:90]:[/BR:90]],Brudnopis!$E$23:$J$23),0)</f>
        <v>0</v>
      </c>
      <c r="T1755" s="44">
        <f>IF(Mecze[[#This Row],[Role]]&lt;&gt;"BR",SUMPRODUCT(Mecze[[#This Row],[/PR:90]:[/BR:90]],Brudnopis!$E$24:$J$24),0)</f>
        <v>0.25510204081632654</v>
      </c>
      <c r="U1755" s="44">
        <f>IF(Mecze[[#This Row],[Role]]&lt;&gt;"BR",SUMPRODUCT(Mecze[[#This Row],[/PR:90]:[/BR:90]],Brudnopis!$E$25:$J$25),0)</f>
        <v>0.29591836734693877</v>
      </c>
      <c r="V1755" s="44">
        <f>IF(Mecze[[#This Row],[Role]]&lt;&gt;"BR",SUMPRODUCT(Mecze[[#This Row],[/PR:90]:[/BR:90]],Brudnopis!$E$26:$J$26),0)</f>
        <v>0.24489795918367346</v>
      </c>
      <c r="W1755" s="44">
        <f>IF(Mecze[[#This Row],[Role]]&lt;&gt;"BR",SUMPRODUCT(Mecze[[#This Row],[/PR:90]:[/BR:90]],Brudnopis!$E$27:$J$27),0)</f>
        <v>0.26020408163265307</v>
      </c>
      <c r="X1755" s="44">
        <f>IF(Mecze[[#This Row],[Role]]&lt;&gt;"BR",SUMPRODUCT(Mecze[[#This Row],[/PR:90]:[/BR:90]],Brudnopis!$E$28:$J$28),0)</f>
        <v>0.10204081632653061</v>
      </c>
      <c r="Y1755" s="35">
        <f>IF(Mecze[[#This Row],[Role]]="BR",Mecze[[#This Row],[/OB:90]]+Mecze[[#This Row],[/PC:90]],SUM(Mecze[[#This Row],[/PR:90]:[/BR:90]]))</f>
        <v>0.24489795918367346</v>
      </c>
      <c r="Z1755" s="35">
        <f>IF(Mecze[[#This Row],[KC]]=0,SUM(Mecze[[#This Row],[/BRI]:[/NPI]]),SUM(Mecze[[#This Row],[/BRI]:[/NPI]])*0.6)</f>
        <v>1.1581632653061225</v>
      </c>
      <c r="AA1755" s="10">
        <f>IFERROR(Mecze[[#This Row],[BR]]/Mecze[[#This Row],[ST]],0)</f>
        <v>0</v>
      </c>
      <c r="AB1755">
        <f>ROUND(Mecze[[#This Row],[PD]]*Mecze[[#This Row],[%PC]],0)</f>
        <v>10</v>
      </c>
      <c r="AC1755">
        <f>ROUND(Mecze[[#This Row],[OD]]*Mecze[[#This Row],[%OU]],0)</f>
        <v>2</v>
      </c>
      <c r="AD1755" s="36" t="s">
        <v>41</v>
      </c>
      <c r="AE1755" s="36">
        <v>96</v>
      </c>
      <c r="AF1755" s="71">
        <v>10.77</v>
      </c>
      <c r="AG1755" s="37">
        <v>0</v>
      </c>
      <c r="AH1755" s="37">
        <v>0</v>
      </c>
      <c r="AI1755" s="37">
        <v>98</v>
      </c>
      <c r="AJ1755" s="37">
        <v>1</v>
      </c>
      <c r="AK1755" s="37" t="str">
        <f>VLOOKUP(Mecze[[#This Row],[Match ID]],Meczusie[Mecz]:Meczusie[RodzajMeczu],2,FALSE)</f>
        <v>Towarzyski</v>
      </c>
    </row>
    <row r="1756" spans="1:37" x14ac:dyDescent="0.25">
      <c r="A1756" s="76">
        <v>22</v>
      </c>
      <c r="B1756" s="3" t="s">
        <v>363</v>
      </c>
      <c r="C1756" s="2" t="s">
        <v>160</v>
      </c>
      <c r="D1756" s="1">
        <v>0</v>
      </c>
      <c r="E1756" s="1">
        <v>0</v>
      </c>
      <c r="F1756" s="1">
        <v>0</v>
      </c>
      <c r="G1756" s="1">
        <v>13</v>
      </c>
      <c r="H1756" s="4">
        <v>0.62</v>
      </c>
      <c r="I1756" s="1">
        <v>1</v>
      </c>
      <c r="J1756" s="4">
        <v>0</v>
      </c>
      <c r="K1756" s="1">
        <v>0</v>
      </c>
      <c r="L1756" s="1">
        <v>7</v>
      </c>
      <c r="M1756" s="32">
        <f>IF(Mecze[[#This Row],[PR]]=0,0,Mecze[[#This Row],[PR]]/Mecze[[#This Row],[CZAS]])</f>
        <v>7.1428571428571425E-2</v>
      </c>
      <c r="N1756" s="32">
        <f>IF(Mecze[[#This Row],[OU]]=0,0,Mecze[[#This Row],[OU]]/Mecze[[#This Row],[CZAS]])</f>
        <v>0</v>
      </c>
      <c r="O1756" s="32">
        <f>IF(Mecze[[#This Row],[PC]]=0,0,Mecze[[#This Row],[PC]]/Mecze[[#This Row],[CZAS]])</f>
        <v>8.1632653061224483E-2</v>
      </c>
      <c r="P1756" s="32">
        <f>IF(Mecze[[#This Row],[SC]]=0,0,Mecze[[#This Row],[SC]]/Mecze[[#This Row],[CZAS]])</f>
        <v>0</v>
      </c>
      <c r="Q1756" s="32">
        <f>IF(Mecze[[#This Row],[OB]]=0,0,Mecze[[#This Row],[OB]]/Mecze[[#This Row],[CZAS]])</f>
        <v>0</v>
      </c>
      <c r="R1756" s="32">
        <f>IF(Mecze[[#This Row],[BR]]=0,0,Mecze[[#This Row],[BR]]/Mecze[[#This Row],[CZAS]])</f>
        <v>0</v>
      </c>
      <c r="S1756" s="44">
        <f>IF(Mecze[[#This Row],[Role]]="BR",SUMPRODUCT(Mecze[[#This Row],[/PR:90]:[/BR:90]],Brudnopis!$E$23:$J$23),0)</f>
        <v>0</v>
      </c>
      <c r="T1756" s="44">
        <f>IF(Mecze[[#This Row],[Role]]&lt;&gt;"BR",SUMPRODUCT(Mecze[[#This Row],[/PR:90]:[/BR:90]],Brudnopis!$E$24:$J$24),0)</f>
        <v>0.15306122448979592</v>
      </c>
      <c r="U1756" s="44">
        <f>IF(Mecze[[#This Row],[Role]]&lt;&gt;"BR",SUMPRODUCT(Mecze[[#This Row],[/PR:90]:[/BR:90]],Brudnopis!$E$25:$J$25),0)</f>
        <v>0.19387755102040816</v>
      </c>
      <c r="V1756" s="44">
        <f>IF(Mecze[[#This Row],[Role]]&lt;&gt;"BR",SUMPRODUCT(Mecze[[#This Row],[/PR:90]:[/BR:90]],Brudnopis!$E$26:$J$26),0)</f>
        <v>0.15306122448979592</v>
      </c>
      <c r="W1756" s="44">
        <f>IF(Mecze[[#This Row],[Role]]&lt;&gt;"BR",SUMPRODUCT(Mecze[[#This Row],[/PR:90]:[/BR:90]],Brudnopis!$E$27:$J$27),0)</f>
        <v>0.17602040816326531</v>
      </c>
      <c r="X1756" s="44">
        <f>IF(Mecze[[#This Row],[Role]]&lt;&gt;"BR",SUMPRODUCT(Mecze[[#This Row],[/PR:90]:[/BR:90]],Brudnopis!$E$28:$J$28),0)</f>
        <v>8.1632653061224483E-2</v>
      </c>
      <c r="Y1756" s="35">
        <f>IF(Mecze[[#This Row],[Role]]="BR",Mecze[[#This Row],[/OB:90]]+Mecze[[#This Row],[/PC:90]],SUM(Mecze[[#This Row],[/PR:90]:[/BR:90]]))</f>
        <v>0.15306122448979592</v>
      </c>
      <c r="Z1756" s="35">
        <f>IF(Mecze[[#This Row],[KC]]=0,SUM(Mecze[[#This Row],[/BRI]:[/NPI]]),SUM(Mecze[[#This Row],[/BRI]:[/NPI]])*0.6)</f>
        <v>0.75765306122448972</v>
      </c>
      <c r="AA1756" s="10">
        <f>IFERROR(Mecze[[#This Row],[BR]]/Mecze[[#This Row],[ST]],0)</f>
        <v>0</v>
      </c>
      <c r="AB1756">
        <f>ROUND(Mecze[[#This Row],[PD]]*Mecze[[#This Row],[%PC]],0)</f>
        <v>8</v>
      </c>
      <c r="AC1756">
        <f>ROUND(Mecze[[#This Row],[OD]]*Mecze[[#This Row],[%OU]],0)</f>
        <v>0</v>
      </c>
      <c r="AD1756" s="36" t="s">
        <v>41</v>
      </c>
      <c r="AE1756" s="36">
        <v>96</v>
      </c>
      <c r="AF1756" s="71">
        <v>9.7200000000000006</v>
      </c>
      <c r="AG1756" s="37">
        <v>0</v>
      </c>
      <c r="AH1756" s="37">
        <v>0</v>
      </c>
      <c r="AI1756" s="37">
        <v>98</v>
      </c>
      <c r="AJ1756" s="37">
        <v>1</v>
      </c>
      <c r="AK1756" s="37" t="str">
        <f>VLOOKUP(Mecze[[#This Row],[Match ID]],Meczusie[Mecz]:Meczusie[RodzajMeczu],2,FALSE)</f>
        <v>Towarzyski</v>
      </c>
    </row>
    <row r="1757" spans="1:37" x14ac:dyDescent="0.25">
      <c r="A1757" s="76">
        <v>17</v>
      </c>
      <c r="B1757" s="3" t="s">
        <v>413</v>
      </c>
      <c r="C1757" s="2" t="s">
        <v>160</v>
      </c>
      <c r="D1757" s="1">
        <v>0</v>
      </c>
      <c r="E1757" s="1">
        <v>2</v>
      </c>
      <c r="F1757" s="1">
        <v>2</v>
      </c>
      <c r="G1757" s="1">
        <v>11</v>
      </c>
      <c r="H1757" s="4">
        <v>0.73</v>
      </c>
      <c r="I1757" s="1">
        <v>1</v>
      </c>
      <c r="J1757" s="4">
        <v>0</v>
      </c>
      <c r="K1757" s="1">
        <v>0</v>
      </c>
      <c r="L1757" s="1">
        <v>6</v>
      </c>
      <c r="M1757" s="32">
        <f>IF(Mecze[[#This Row],[PR]]=0,0,Mecze[[#This Row],[PR]]/Mecze[[#This Row],[CZAS]])</f>
        <v>6.1224489795918366E-2</v>
      </c>
      <c r="N1757" s="32">
        <f>IF(Mecze[[#This Row],[OU]]=0,0,Mecze[[#This Row],[OU]]/Mecze[[#This Row],[CZAS]])</f>
        <v>0</v>
      </c>
      <c r="O1757" s="32">
        <f>IF(Mecze[[#This Row],[PC]]=0,0,Mecze[[#This Row],[PC]]/Mecze[[#This Row],[CZAS]])</f>
        <v>8.1632653061224483E-2</v>
      </c>
      <c r="P1757" s="32">
        <f>IF(Mecze[[#This Row],[SC]]=0,0,Mecze[[#This Row],[SC]]/Mecze[[#This Row],[CZAS]])</f>
        <v>2.0408163265306121E-2</v>
      </c>
      <c r="Q1757" s="32">
        <f>IF(Mecze[[#This Row],[OB]]=0,0,Mecze[[#This Row],[OB]]/Mecze[[#This Row],[CZAS]])</f>
        <v>0</v>
      </c>
      <c r="R1757" s="32">
        <f>IF(Mecze[[#This Row],[BR]]=0,0,Mecze[[#This Row],[BR]]/Mecze[[#This Row],[CZAS]])</f>
        <v>0</v>
      </c>
      <c r="S1757" s="44">
        <f>IF(Mecze[[#This Row],[Role]]="BR",SUMPRODUCT(Mecze[[#This Row],[/PR:90]:[/BR:90]],Brudnopis!$E$23:$J$23),0)</f>
        <v>0</v>
      </c>
      <c r="T1757" s="44">
        <f>IF(Mecze[[#This Row],[Role]]&lt;&gt;"BR",SUMPRODUCT(Mecze[[#This Row],[/PR:90]:[/BR:90]],Brudnopis!$E$24:$J$24),0)</f>
        <v>0.16326530612244897</v>
      </c>
      <c r="U1757" s="44">
        <f>IF(Mecze[[#This Row],[Role]]&lt;&gt;"BR",SUMPRODUCT(Mecze[[#This Row],[/PR:90]:[/BR:90]],Brudnopis!$E$25:$J$25),0)</f>
        <v>0.2040816326530612</v>
      </c>
      <c r="V1757" s="44">
        <f>IF(Mecze[[#This Row],[Role]]&lt;&gt;"BR",SUMPRODUCT(Mecze[[#This Row],[/PR:90]:[/BR:90]],Brudnopis!$E$26:$J$26),0)</f>
        <v>0.16326530612244897</v>
      </c>
      <c r="W1757" s="44">
        <f>IF(Mecze[[#This Row],[Role]]&lt;&gt;"BR",SUMPRODUCT(Mecze[[#This Row],[/PR:90]:[/BR:90]],Brudnopis!$E$27:$J$27),0)</f>
        <v>0.18877551020408162</v>
      </c>
      <c r="X1757" s="44">
        <f>IF(Mecze[[#This Row],[Role]]&lt;&gt;"BR",SUMPRODUCT(Mecze[[#This Row],[/PR:90]:[/BR:90]],Brudnopis!$E$28:$J$28),0)</f>
        <v>0.12244897959183673</v>
      </c>
      <c r="Y1757" s="35">
        <f>IF(Mecze[[#This Row],[Role]]="BR",Mecze[[#This Row],[/OB:90]]+Mecze[[#This Row],[/PC:90]],SUM(Mecze[[#This Row],[/PR:90]:[/BR:90]]))</f>
        <v>0.16326530612244897</v>
      </c>
      <c r="Z1757" s="35">
        <f>IF(Mecze[[#This Row],[KC]]=0,SUM(Mecze[[#This Row],[/BRI]:[/NPI]]),SUM(Mecze[[#This Row],[/BRI]:[/NPI]])*0.6)</f>
        <v>0.84183673469387743</v>
      </c>
      <c r="AA1757" s="10">
        <f>IFERROR(Mecze[[#This Row],[BR]]/Mecze[[#This Row],[ST]],0)</f>
        <v>0</v>
      </c>
      <c r="AB1757">
        <f>ROUND(Mecze[[#This Row],[PD]]*Mecze[[#This Row],[%PC]],0)</f>
        <v>8</v>
      </c>
      <c r="AC1757">
        <f>ROUND(Mecze[[#This Row],[OD]]*Mecze[[#This Row],[%OU]],0)</f>
        <v>0</v>
      </c>
      <c r="AD1757" s="36" t="s">
        <v>44</v>
      </c>
      <c r="AE1757" s="36">
        <v>96</v>
      </c>
      <c r="AF1757" s="71">
        <v>9.9700000000000006</v>
      </c>
      <c r="AG1757" s="37">
        <v>0</v>
      </c>
      <c r="AH1757" s="37">
        <v>0</v>
      </c>
      <c r="AI1757" s="37">
        <v>98</v>
      </c>
      <c r="AJ1757" s="37">
        <v>1</v>
      </c>
      <c r="AK1757" s="37" t="str">
        <f>VLOOKUP(Mecze[[#This Row],[Match ID]],Meczusie[Mecz]:Meczusie[RodzajMeczu],2,FALSE)</f>
        <v>Towarzyski</v>
      </c>
    </row>
    <row r="1758" spans="1:37" x14ac:dyDescent="0.25">
      <c r="A1758" s="76">
        <v>28</v>
      </c>
      <c r="B1758" s="3" t="s">
        <v>419</v>
      </c>
      <c r="C1758" s="2" t="s">
        <v>160</v>
      </c>
      <c r="D1758" s="1">
        <v>0</v>
      </c>
      <c r="E1758" s="1">
        <v>1</v>
      </c>
      <c r="F1758" s="1">
        <v>1</v>
      </c>
      <c r="G1758" s="1">
        <v>7</v>
      </c>
      <c r="H1758" s="4">
        <v>0.71</v>
      </c>
      <c r="I1758" s="1">
        <v>1</v>
      </c>
      <c r="J1758" s="4">
        <v>0</v>
      </c>
      <c r="K1758" s="1">
        <v>0</v>
      </c>
      <c r="L1758" s="1">
        <v>4</v>
      </c>
      <c r="M1758" s="32">
        <f>IF(Mecze[[#This Row],[PR]]=0,0,Mecze[[#This Row],[PR]]/Mecze[[#This Row],[CZAS]])</f>
        <v>4.0816326530612242E-2</v>
      </c>
      <c r="N1758" s="32">
        <f>IF(Mecze[[#This Row],[OU]]=0,0,Mecze[[#This Row],[OU]]/Mecze[[#This Row],[CZAS]])</f>
        <v>0</v>
      </c>
      <c r="O1758" s="32">
        <f>IF(Mecze[[#This Row],[PC]]=0,0,Mecze[[#This Row],[PC]]/Mecze[[#This Row],[CZAS]])</f>
        <v>5.1020408163265307E-2</v>
      </c>
      <c r="P1758" s="32">
        <f>IF(Mecze[[#This Row],[SC]]=0,0,Mecze[[#This Row],[SC]]/Mecze[[#This Row],[CZAS]])</f>
        <v>1.020408163265306E-2</v>
      </c>
      <c r="Q1758" s="32">
        <f>IF(Mecze[[#This Row],[OB]]=0,0,Mecze[[#This Row],[OB]]/Mecze[[#This Row],[CZAS]])</f>
        <v>0</v>
      </c>
      <c r="R1758" s="32">
        <f>IF(Mecze[[#This Row],[BR]]=0,0,Mecze[[#This Row],[BR]]/Mecze[[#This Row],[CZAS]])</f>
        <v>0</v>
      </c>
      <c r="S1758" s="44">
        <f>IF(Mecze[[#This Row],[Role]]="BR",SUMPRODUCT(Mecze[[#This Row],[/PR:90]:[/BR:90]],Brudnopis!$E$23:$J$23),0)</f>
        <v>0</v>
      </c>
      <c r="T1758" s="44">
        <f>IF(Mecze[[#This Row],[Role]]&lt;&gt;"BR",SUMPRODUCT(Mecze[[#This Row],[/PR:90]:[/BR:90]],Brudnopis!$E$24:$J$24),0)</f>
        <v>0.1020408163265306</v>
      </c>
      <c r="U1758" s="44">
        <f>IF(Mecze[[#This Row],[Role]]&lt;&gt;"BR",SUMPRODUCT(Mecze[[#This Row],[/PR:90]:[/BR:90]],Brudnopis!$E$25:$J$25),0)</f>
        <v>0.12755102040816327</v>
      </c>
      <c r="V1758" s="44">
        <f>IF(Mecze[[#This Row],[Role]]&lt;&gt;"BR",SUMPRODUCT(Mecze[[#This Row],[/PR:90]:[/BR:90]],Brudnopis!$E$26:$J$26),0)</f>
        <v>0.1020408163265306</v>
      </c>
      <c r="W1758" s="44">
        <f>IF(Mecze[[#This Row],[Role]]&lt;&gt;"BR",SUMPRODUCT(Mecze[[#This Row],[/PR:90]:[/BR:90]],Brudnopis!$E$27:$J$27),0)</f>
        <v>0.11734693877551021</v>
      </c>
      <c r="X1758" s="44">
        <f>IF(Mecze[[#This Row],[Role]]&lt;&gt;"BR",SUMPRODUCT(Mecze[[#This Row],[/PR:90]:[/BR:90]],Brudnopis!$E$28:$J$28),0)</f>
        <v>7.1428571428571425E-2</v>
      </c>
      <c r="Y1758" s="35">
        <f>IF(Mecze[[#This Row],[Role]]="BR",Mecze[[#This Row],[/OB:90]]+Mecze[[#This Row],[/PC:90]],SUM(Mecze[[#This Row],[/PR:90]:[/BR:90]]))</f>
        <v>0.1020408163265306</v>
      </c>
      <c r="Z1758" s="35">
        <f>IF(Mecze[[#This Row],[KC]]=0,SUM(Mecze[[#This Row],[/BRI]:[/NPI]]),SUM(Mecze[[#This Row],[/BRI]:[/NPI]])*0.6)</f>
        <v>0.52040816326530615</v>
      </c>
      <c r="AA1758" s="10">
        <f>IFERROR(Mecze[[#This Row],[BR]]/Mecze[[#This Row],[ST]],0)</f>
        <v>0</v>
      </c>
      <c r="AB1758">
        <f>ROUND(Mecze[[#This Row],[PD]]*Mecze[[#This Row],[%PC]],0)</f>
        <v>5</v>
      </c>
      <c r="AC1758">
        <f>ROUND(Mecze[[#This Row],[OD]]*Mecze[[#This Row],[%OU]],0)</f>
        <v>0</v>
      </c>
      <c r="AD1758" s="36" t="s">
        <v>44</v>
      </c>
      <c r="AE1758" s="36">
        <v>96</v>
      </c>
      <c r="AF1758" s="71">
        <v>9.32</v>
      </c>
      <c r="AG1758" s="37">
        <v>0</v>
      </c>
      <c r="AH1758" s="37">
        <v>0</v>
      </c>
      <c r="AI1758" s="37">
        <v>98</v>
      </c>
      <c r="AJ1758" s="37">
        <v>1</v>
      </c>
      <c r="AK1758" s="37" t="str">
        <f>VLOOKUP(Mecze[[#This Row],[Match ID]],Meczusie[Mecz]:Meczusie[RodzajMeczu],2,FALSE)</f>
        <v>Towarzyski</v>
      </c>
    </row>
    <row r="1759" spans="1:37" x14ac:dyDescent="0.25">
      <c r="A1759" s="76">
        <v>27</v>
      </c>
      <c r="B1759" s="3" t="s">
        <v>364</v>
      </c>
      <c r="C1759" s="2" t="s">
        <v>165</v>
      </c>
      <c r="D1759" s="1">
        <v>1</v>
      </c>
      <c r="E1759" s="1">
        <v>12</v>
      </c>
      <c r="F1759" s="1">
        <v>11</v>
      </c>
      <c r="G1759" s="1">
        <v>5</v>
      </c>
      <c r="H1759" s="4">
        <v>0.8</v>
      </c>
      <c r="I1759" s="1">
        <v>2</v>
      </c>
      <c r="J1759" s="4">
        <v>0</v>
      </c>
      <c r="K1759" s="1">
        <v>0</v>
      </c>
      <c r="L1759" s="1">
        <v>3</v>
      </c>
      <c r="M1759" s="32">
        <f>IF(Mecze[[#This Row],[PR]]=0,0,Mecze[[#This Row],[PR]]/Mecze[[#This Row],[CZAS]])</f>
        <v>3.0612244897959183E-2</v>
      </c>
      <c r="N1759" s="32">
        <f>IF(Mecze[[#This Row],[OU]]=0,0,Mecze[[#This Row],[OU]]/Mecze[[#This Row],[CZAS]])</f>
        <v>0</v>
      </c>
      <c r="O1759" s="32">
        <f>IF(Mecze[[#This Row],[PC]]=0,0,Mecze[[#This Row],[PC]]/Mecze[[#This Row],[CZAS]])</f>
        <v>4.0816326530612242E-2</v>
      </c>
      <c r="P1759" s="32">
        <f>IF(Mecze[[#This Row],[SC]]=0,0,Mecze[[#This Row],[SC]]/Mecze[[#This Row],[CZAS]])</f>
        <v>0.11224489795918367</v>
      </c>
      <c r="Q1759" s="32">
        <f>IF(Mecze[[#This Row],[OB]]=0,0,Mecze[[#This Row],[OB]]/Mecze[[#This Row],[CZAS]])</f>
        <v>0</v>
      </c>
      <c r="R1759" s="32">
        <f>IF(Mecze[[#This Row],[BR]]=0,0,Mecze[[#This Row],[BR]]/Mecze[[#This Row],[CZAS]])</f>
        <v>1.020408163265306E-2</v>
      </c>
      <c r="S1759" s="44">
        <f>IF(Mecze[[#This Row],[Role]]="BR",SUMPRODUCT(Mecze[[#This Row],[/PR:90]:[/BR:90]],Brudnopis!$E$23:$J$23),0)</f>
        <v>0</v>
      </c>
      <c r="T1759" s="44">
        <f>IF(Mecze[[#This Row],[Role]]&lt;&gt;"BR",SUMPRODUCT(Mecze[[#This Row],[/PR:90]:[/BR:90]],Brudnopis!$E$24:$J$24),0)</f>
        <v>0.19897959183673466</v>
      </c>
      <c r="U1759" s="44">
        <f>IF(Mecze[[#This Row],[Role]]&lt;&gt;"BR",SUMPRODUCT(Mecze[[#This Row],[/PR:90]:[/BR:90]],Brudnopis!$E$25:$J$25),0)</f>
        <v>0.21938775510204081</v>
      </c>
      <c r="V1759" s="44">
        <f>IF(Mecze[[#This Row],[Role]]&lt;&gt;"BR",SUMPRODUCT(Mecze[[#This Row],[/PR:90]:[/BR:90]],Brudnopis!$E$26:$J$26),0)</f>
        <v>0.2040816326530612</v>
      </c>
      <c r="W1759" s="44">
        <f>IF(Mecze[[#This Row],[Role]]&lt;&gt;"BR",SUMPRODUCT(Mecze[[#This Row],[/PR:90]:[/BR:90]],Brudnopis!$E$27:$J$27),0)</f>
        <v>0.21683673469387754</v>
      </c>
      <c r="X1759" s="44">
        <f>IF(Mecze[[#This Row],[Role]]&lt;&gt;"BR",SUMPRODUCT(Mecze[[#This Row],[/PR:90]:[/BR:90]],Brudnopis!$E$28:$J$28),0)</f>
        <v>0.29591836734693877</v>
      </c>
      <c r="Y1759" s="35">
        <f>IF(Mecze[[#This Row],[Role]]="BR",Mecze[[#This Row],[/OB:90]]+Mecze[[#This Row],[/PC:90]],SUM(Mecze[[#This Row],[/PR:90]:[/BR:90]]))</f>
        <v>0.19387755102040816</v>
      </c>
      <c r="Z1759" s="35">
        <f>IF(Mecze[[#This Row],[KC]]=0,SUM(Mecze[[#This Row],[/BRI]:[/NPI]]),SUM(Mecze[[#This Row],[/BRI]:[/NPI]])*0.6)</f>
        <v>1.135204081632653</v>
      </c>
      <c r="AA1759" s="10">
        <f>IFERROR(Mecze[[#This Row],[BR]]/Mecze[[#This Row],[ST]],0)</f>
        <v>8.3333333333333329E-2</v>
      </c>
      <c r="AB1759">
        <f>ROUND(Mecze[[#This Row],[PD]]*Mecze[[#This Row],[%PC]],0)</f>
        <v>4</v>
      </c>
      <c r="AC1759">
        <f>ROUND(Mecze[[#This Row],[OD]]*Mecze[[#This Row],[%OU]],0)</f>
        <v>0</v>
      </c>
      <c r="AD1759" s="36" t="s">
        <v>46</v>
      </c>
      <c r="AE1759" s="36">
        <v>96</v>
      </c>
      <c r="AF1759" s="71">
        <v>10.9</v>
      </c>
      <c r="AG1759" s="37">
        <v>0</v>
      </c>
      <c r="AH1759" s="37">
        <v>0</v>
      </c>
      <c r="AI1759" s="37">
        <v>98</v>
      </c>
      <c r="AJ1759" s="37">
        <v>1</v>
      </c>
      <c r="AK1759" s="37" t="str">
        <f>VLOOKUP(Mecze[[#This Row],[Match ID]],Meczusie[Mecz]:Meczusie[RodzajMeczu],2,FALSE)</f>
        <v>Towarzyski</v>
      </c>
    </row>
    <row r="1760" spans="1:37" x14ac:dyDescent="0.25">
      <c r="A1760" s="76">
        <v>48</v>
      </c>
      <c r="B1760" s="3" t="s">
        <v>414</v>
      </c>
      <c r="C1760" s="2" t="s">
        <v>165</v>
      </c>
      <c r="D1760" s="1">
        <v>0</v>
      </c>
      <c r="E1760" s="1">
        <v>6</v>
      </c>
      <c r="F1760" s="1">
        <v>4</v>
      </c>
      <c r="G1760" s="1">
        <v>3</v>
      </c>
      <c r="H1760" s="4">
        <v>0.67</v>
      </c>
      <c r="I1760" s="1">
        <v>6</v>
      </c>
      <c r="J1760" s="4">
        <v>0.33</v>
      </c>
      <c r="K1760" s="1">
        <v>0</v>
      </c>
      <c r="L1760" s="1">
        <v>0</v>
      </c>
      <c r="M1760" s="32">
        <f>IF(Mecze[[#This Row],[PR]]=0,0,Mecze[[#This Row],[PR]]/Mecze[[#This Row],[CZAS]])</f>
        <v>0</v>
      </c>
      <c r="N1760" s="32">
        <f>IF(Mecze[[#This Row],[OU]]=0,0,Mecze[[#This Row],[OU]]/Mecze[[#This Row],[CZAS]])</f>
        <v>2.0408163265306121E-2</v>
      </c>
      <c r="O1760" s="32">
        <f>IF(Mecze[[#This Row],[PC]]=0,0,Mecze[[#This Row],[PC]]/Mecze[[#This Row],[CZAS]])</f>
        <v>2.0408163265306121E-2</v>
      </c>
      <c r="P1760" s="32">
        <f>IF(Mecze[[#This Row],[SC]]=0,0,Mecze[[#This Row],[SC]]/Mecze[[#This Row],[CZAS]])</f>
        <v>4.0816326530612242E-2</v>
      </c>
      <c r="Q1760" s="32">
        <f>IF(Mecze[[#This Row],[OB]]=0,0,Mecze[[#This Row],[OB]]/Mecze[[#This Row],[CZAS]])</f>
        <v>0</v>
      </c>
      <c r="R1760" s="32">
        <f>IF(Mecze[[#This Row],[BR]]=0,0,Mecze[[#This Row],[BR]]/Mecze[[#This Row],[CZAS]])</f>
        <v>0</v>
      </c>
      <c r="S1760" s="44">
        <f>IF(Mecze[[#This Row],[Role]]="BR",SUMPRODUCT(Mecze[[#This Row],[/PR:90]:[/BR:90]],Brudnopis!$E$23:$J$23),0)</f>
        <v>0</v>
      </c>
      <c r="T1760" s="44">
        <f>IF(Mecze[[#This Row],[Role]]&lt;&gt;"BR",SUMPRODUCT(Mecze[[#This Row],[/PR:90]:[/BR:90]],Brudnopis!$E$24:$J$24),0)</f>
        <v>9.1836734693877542E-2</v>
      </c>
      <c r="U1760" s="44">
        <f>IF(Mecze[[#This Row],[Role]]&lt;&gt;"BR",SUMPRODUCT(Mecze[[#This Row],[/PR:90]:[/BR:90]],Brudnopis!$E$25:$J$25),0)</f>
        <v>9.1836734693877542E-2</v>
      </c>
      <c r="V1760" s="44">
        <f>IF(Mecze[[#This Row],[Role]]&lt;&gt;"BR",SUMPRODUCT(Mecze[[#This Row],[/PR:90]:[/BR:90]],Brudnopis!$E$26:$J$26),0)</f>
        <v>8.1632653061224483E-2</v>
      </c>
      <c r="W1760" s="44">
        <f>IF(Mecze[[#This Row],[Role]]&lt;&gt;"BR",SUMPRODUCT(Mecze[[#This Row],[/PR:90]:[/BR:90]],Brudnopis!$E$27:$J$27),0)</f>
        <v>8.6734693877551006E-2</v>
      </c>
      <c r="X1760" s="44">
        <f>IF(Mecze[[#This Row],[Role]]&lt;&gt;"BR",SUMPRODUCT(Mecze[[#This Row],[/PR:90]:[/BR:90]],Brudnopis!$E$28:$J$28),0)</f>
        <v>0.1020408163265306</v>
      </c>
      <c r="Y1760" s="35">
        <f>IF(Mecze[[#This Row],[Role]]="BR",Mecze[[#This Row],[/OB:90]]+Mecze[[#This Row],[/PC:90]],SUM(Mecze[[#This Row],[/PR:90]:[/BR:90]]))</f>
        <v>8.1632653061224483E-2</v>
      </c>
      <c r="Z1760" s="35">
        <f>IF(Mecze[[#This Row],[KC]]=0,SUM(Mecze[[#This Row],[/BRI]:[/NPI]]),SUM(Mecze[[#This Row],[/BRI]:[/NPI]])*0.6)</f>
        <v>0.45408163265306117</v>
      </c>
      <c r="AA1760" s="10">
        <f>IFERROR(Mecze[[#This Row],[BR]]/Mecze[[#This Row],[ST]],0)</f>
        <v>0</v>
      </c>
      <c r="AB1760">
        <f>ROUND(Mecze[[#This Row],[PD]]*Mecze[[#This Row],[%PC]],0)</f>
        <v>2</v>
      </c>
      <c r="AC1760">
        <f>ROUND(Mecze[[#This Row],[OD]]*Mecze[[#This Row],[%OU]],0)</f>
        <v>2</v>
      </c>
      <c r="AD1760" s="36" t="s">
        <v>46</v>
      </c>
      <c r="AE1760" s="36">
        <v>96</v>
      </c>
      <c r="AF1760" s="71">
        <v>4.8099999999999996</v>
      </c>
      <c r="AG1760" s="37">
        <v>0</v>
      </c>
      <c r="AH1760" s="37">
        <v>0</v>
      </c>
      <c r="AI1760" s="37">
        <v>98</v>
      </c>
      <c r="AJ1760" s="37">
        <v>1</v>
      </c>
      <c r="AK1760" s="37" t="str">
        <f>VLOOKUP(Mecze[[#This Row],[Match ID]],Meczusie[Mecz]:Meczusie[RodzajMeczu],2,FALSE)</f>
        <v>Towarzyski</v>
      </c>
    </row>
    <row r="1761" spans="1:37" x14ac:dyDescent="0.25">
      <c r="A1761" s="76">
        <v>26</v>
      </c>
      <c r="B1761" s="3" t="s">
        <v>368</v>
      </c>
      <c r="C1761" s="2" t="s">
        <v>165</v>
      </c>
      <c r="D1761" s="1">
        <v>1</v>
      </c>
      <c r="E1761" s="1">
        <v>4</v>
      </c>
      <c r="F1761" s="1">
        <v>4</v>
      </c>
      <c r="G1761" s="1">
        <v>9</v>
      </c>
      <c r="H1761" s="4">
        <v>0.67</v>
      </c>
      <c r="I1761" s="1">
        <v>1</v>
      </c>
      <c r="J1761" s="4">
        <v>0</v>
      </c>
      <c r="K1761" s="1">
        <v>0</v>
      </c>
      <c r="L1761" s="1">
        <v>1</v>
      </c>
      <c r="M1761" s="32">
        <f>IF(Mecze[[#This Row],[PR]]=0,0,Mecze[[#This Row],[PR]]/Mecze[[#This Row],[CZAS]])</f>
        <v>1.020408163265306E-2</v>
      </c>
      <c r="N1761" s="32">
        <f>IF(Mecze[[#This Row],[OU]]=0,0,Mecze[[#This Row],[OU]]/Mecze[[#This Row],[CZAS]])</f>
        <v>0</v>
      </c>
      <c r="O1761" s="32">
        <f>IF(Mecze[[#This Row],[PC]]=0,0,Mecze[[#This Row],[PC]]/Mecze[[#This Row],[CZAS]])</f>
        <v>6.1224489795918366E-2</v>
      </c>
      <c r="P1761" s="32">
        <f>IF(Mecze[[#This Row],[SC]]=0,0,Mecze[[#This Row],[SC]]/Mecze[[#This Row],[CZAS]])</f>
        <v>4.0816326530612242E-2</v>
      </c>
      <c r="Q1761" s="32">
        <f>IF(Mecze[[#This Row],[OB]]=0,0,Mecze[[#This Row],[OB]]/Mecze[[#This Row],[CZAS]])</f>
        <v>0</v>
      </c>
      <c r="R1761" s="32">
        <f>IF(Mecze[[#This Row],[BR]]=0,0,Mecze[[#This Row],[BR]]/Mecze[[#This Row],[CZAS]])</f>
        <v>1.020408163265306E-2</v>
      </c>
      <c r="S1761" s="44">
        <f>IF(Mecze[[#This Row],[Role]]="BR",SUMPRODUCT(Mecze[[#This Row],[/PR:90]:[/BR:90]],Brudnopis!$E$23:$J$23),0)</f>
        <v>0</v>
      </c>
      <c r="T1761" s="44">
        <f>IF(Mecze[[#This Row],[Role]]&lt;&gt;"BR",SUMPRODUCT(Mecze[[#This Row],[/PR:90]:[/BR:90]],Brudnopis!$E$24:$J$24),0)</f>
        <v>0.12755102040816324</v>
      </c>
      <c r="U1761" s="44">
        <f>IF(Mecze[[#This Row],[Role]]&lt;&gt;"BR",SUMPRODUCT(Mecze[[#This Row],[/PR:90]:[/BR:90]],Brudnopis!$E$25:$J$25),0)</f>
        <v>0.15816326530612243</v>
      </c>
      <c r="V1761" s="44">
        <f>IF(Mecze[[#This Row],[Role]]&lt;&gt;"BR",SUMPRODUCT(Mecze[[#This Row],[/PR:90]:[/BR:90]],Brudnopis!$E$26:$J$26),0)</f>
        <v>0.13265306122448978</v>
      </c>
      <c r="W1761" s="44">
        <f>IF(Mecze[[#This Row],[Role]]&lt;&gt;"BR",SUMPRODUCT(Mecze[[#This Row],[/PR:90]:[/BR:90]],Brudnopis!$E$27:$J$27),0)</f>
        <v>0.1607142857142857</v>
      </c>
      <c r="X1761" s="44">
        <f>IF(Mecze[[#This Row],[Role]]&lt;&gt;"BR",SUMPRODUCT(Mecze[[#This Row],[/PR:90]:[/BR:90]],Brudnopis!$E$28:$J$28),0)</f>
        <v>0.17346938775510204</v>
      </c>
      <c r="Y1761" s="35">
        <f>IF(Mecze[[#This Row],[Role]]="BR",Mecze[[#This Row],[/OB:90]]+Mecze[[#This Row],[/PC:90]],SUM(Mecze[[#This Row],[/PR:90]:[/BR:90]]))</f>
        <v>0.12244897959183672</v>
      </c>
      <c r="Z1761" s="35">
        <f>IF(Mecze[[#This Row],[KC]]=0,SUM(Mecze[[#This Row],[/BRI]:[/NPI]]),SUM(Mecze[[#This Row],[/BRI]:[/NPI]])*0.6)</f>
        <v>0.75255102040816324</v>
      </c>
      <c r="AA1761" s="10">
        <f>IFERROR(Mecze[[#This Row],[BR]]/Mecze[[#This Row],[ST]],0)</f>
        <v>0.25</v>
      </c>
      <c r="AB1761">
        <f>ROUND(Mecze[[#This Row],[PD]]*Mecze[[#This Row],[%PC]],0)</f>
        <v>6</v>
      </c>
      <c r="AC1761">
        <f>ROUND(Mecze[[#This Row],[OD]]*Mecze[[#This Row],[%OU]],0)</f>
        <v>0</v>
      </c>
      <c r="AD1761" s="36" t="s">
        <v>46</v>
      </c>
      <c r="AE1761" s="36">
        <v>96</v>
      </c>
      <c r="AF1761" s="71">
        <v>8.44</v>
      </c>
      <c r="AG1761" s="37">
        <v>0</v>
      </c>
      <c r="AH1761" s="37">
        <v>0</v>
      </c>
      <c r="AI1761" s="37">
        <v>98</v>
      </c>
      <c r="AJ1761" s="37">
        <v>1</v>
      </c>
      <c r="AK1761" s="37" t="str">
        <f>VLOOKUP(Mecze[[#This Row],[Match ID]],Meczusie[Mecz]:Meczusie[RodzajMeczu],2,FALSE)</f>
        <v>Towarzyski</v>
      </c>
    </row>
    <row r="1762" spans="1:37" x14ac:dyDescent="0.25">
      <c r="A1762" s="76">
        <v>39</v>
      </c>
      <c r="B1762" s="3" t="s">
        <v>450</v>
      </c>
      <c r="C1762" s="2" t="s">
        <v>155</v>
      </c>
      <c r="D1762" s="1">
        <v>0</v>
      </c>
      <c r="E1762" s="1">
        <v>0</v>
      </c>
      <c r="F1762" s="1">
        <v>0</v>
      </c>
      <c r="G1762" s="1">
        <v>5</v>
      </c>
      <c r="H1762" s="4">
        <v>0.2</v>
      </c>
      <c r="I1762" s="1">
        <v>0</v>
      </c>
      <c r="J1762" s="4"/>
      <c r="K1762" s="1">
        <v>1</v>
      </c>
      <c r="L1762" s="1">
        <v>0</v>
      </c>
      <c r="M1762" s="32">
        <f>IF(Mecze[[#This Row],[PR]]=0,0,Mecze[[#This Row],[PR]]/Mecze[[#This Row],[CZAS]])</f>
        <v>0</v>
      </c>
      <c r="N1762" s="32">
        <f>IF(Mecze[[#This Row],[OU]]=0,0,Mecze[[#This Row],[OU]]/Mecze[[#This Row],[CZAS]])</f>
        <v>0</v>
      </c>
      <c r="O1762" s="32">
        <f>IF(Mecze[[#This Row],[PC]]=0,0,Mecze[[#This Row],[PC]]/Mecze[[#This Row],[CZAS]])</f>
        <v>1.020408163265306E-2</v>
      </c>
      <c r="P1762" s="32">
        <f>IF(Mecze[[#This Row],[SC]]=0,0,Mecze[[#This Row],[SC]]/Mecze[[#This Row],[CZAS]])</f>
        <v>0</v>
      </c>
      <c r="Q1762" s="32">
        <f>IF(Mecze[[#This Row],[OB]]=0,0,Mecze[[#This Row],[OB]]/Mecze[[#This Row],[CZAS]])</f>
        <v>1.020408163265306E-2</v>
      </c>
      <c r="R1762" s="32">
        <f>IF(Mecze[[#This Row],[BR]]=0,0,Mecze[[#This Row],[BR]]/Mecze[[#This Row],[CZAS]])</f>
        <v>0</v>
      </c>
      <c r="S1762" s="44">
        <f>IF(Mecze[[#This Row],[Role]]="BR",SUMPRODUCT(Mecze[[#This Row],[/PR:90]:[/BR:90]],Brudnopis!$E$23:$J$23),0)</f>
        <v>6.1224489795918366E-2</v>
      </c>
      <c r="T1762" s="44">
        <f>IF(Mecze[[#This Row],[Role]]&lt;&gt;"BR",SUMPRODUCT(Mecze[[#This Row],[/PR:90]:[/BR:90]],Brudnopis!$E$24:$J$24),0)</f>
        <v>0</v>
      </c>
      <c r="U1762" s="44">
        <f>IF(Mecze[[#This Row],[Role]]&lt;&gt;"BR",SUMPRODUCT(Mecze[[#This Row],[/PR:90]:[/BR:90]],Brudnopis!$E$25:$J$25),0)</f>
        <v>0</v>
      </c>
      <c r="V1762" s="44">
        <f>IF(Mecze[[#This Row],[Role]]&lt;&gt;"BR",SUMPRODUCT(Mecze[[#This Row],[/PR:90]:[/BR:90]],Brudnopis!$E$26:$J$26),0)</f>
        <v>0</v>
      </c>
      <c r="W1762" s="44">
        <f>IF(Mecze[[#This Row],[Role]]&lt;&gt;"BR",SUMPRODUCT(Mecze[[#This Row],[/PR:90]:[/BR:90]],Brudnopis!$E$27:$J$27),0)</f>
        <v>0</v>
      </c>
      <c r="X1762" s="44">
        <f>IF(Mecze[[#This Row],[Role]]&lt;&gt;"BR",SUMPRODUCT(Mecze[[#This Row],[/PR:90]:[/BR:90]],Brudnopis!$E$28:$J$28),0)</f>
        <v>0</v>
      </c>
      <c r="Y1762" s="35">
        <f>IF(Mecze[[#This Row],[Role]]="BR",Mecze[[#This Row],[/OB:90]]+Mecze[[#This Row],[/PC:90]],SUM(Mecze[[#This Row],[/PR:90]:[/BR:90]]))</f>
        <v>2.0408163265306121E-2</v>
      </c>
      <c r="Z1762" s="35">
        <f>IF(Mecze[[#This Row],[KC]]=0,SUM(Mecze[[#This Row],[/BRI]:[/NPI]]),SUM(Mecze[[#This Row],[/BRI]:[/NPI]])*0.6)</f>
        <v>6.1224489795918366E-2</v>
      </c>
      <c r="AA1762" s="10">
        <f>IFERROR(Mecze[[#This Row],[BR]]/Mecze[[#This Row],[ST]],0)</f>
        <v>0</v>
      </c>
      <c r="AB1762">
        <f>ROUND(Mecze[[#This Row],[PD]]*Mecze[[#This Row],[%PC]],0)</f>
        <v>1</v>
      </c>
      <c r="AC1762">
        <f>ROUND(Mecze[[#This Row],[OD]]*Mecze[[#This Row],[%OU]],0)</f>
        <v>0</v>
      </c>
      <c r="AD1762" s="36" t="s">
        <v>40</v>
      </c>
      <c r="AE1762" s="36">
        <v>97</v>
      </c>
      <c r="AF1762" s="71">
        <v>7.39</v>
      </c>
      <c r="AG1762" s="37">
        <v>0</v>
      </c>
      <c r="AH1762" s="37">
        <v>0</v>
      </c>
      <c r="AI1762" s="37">
        <v>98</v>
      </c>
      <c r="AJ1762" s="37">
        <v>1</v>
      </c>
      <c r="AK1762" s="37" t="str">
        <f>VLOOKUP(Mecze[[#This Row],[Match ID]],Meczusie[Mecz]:Meczusie[RodzajMeczu],2,FALSE)</f>
        <v>Towarzyski</v>
      </c>
    </row>
    <row r="1763" spans="1:37" x14ac:dyDescent="0.25">
      <c r="A1763" s="76">
        <v>38</v>
      </c>
      <c r="B1763" s="3" t="s">
        <v>359</v>
      </c>
      <c r="C1763" s="2" t="s">
        <v>157</v>
      </c>
      <c r="D1763" s="1">
        <v>0</v>
      </c>
      <c r="E1763" s="1">
        <v>0</v>
      </c>
      <c r="F1763" s="1">
        <v>0</v>
      </c>
      <c r="G1763" s="1">
        <v>9</v>
      </c>
      <c r="H1763" s="4">
        <v>0.44</v>
      </c>
      <c r="I1763" s="1">
        <v>9</v>
      </c>
      <c r="J1763" s="4">
        <v>0.33</v>
      </c>
      <c r="K1763" s="1">
        <v>0</v>
      </c>
      <c r="L1763" s="1">
        <v>9</v>
      </c>
      <c r="M1763" s="32">
        <f>IF(Mecze[[#This Row],[PR]]=0,0,Mecze[[#This Row],[PR]]/Mecze[[#This Row],[CZAS]])</f>
        <v>9.1836734693877556E-2</v>
      </c>
      <c r="N1763" s="32">
        <f>IF(Mecze[[#This Row],[OU]]=0,0,Mecze[[#This Row],[OU]]/Mecze[[#This Row],[CZAS]])</f>
        <v>3.0612244897959183E-2</v>
      </c>
      <c r="O1763" s="32">
        <f>IF(Mecze[[#This Row],[PC]]=0,0,Mecze[[#This Row],[PC]]/Mecze[[#This Row],[CZAS]])</f>
        <v>4.0816326530612242E-2</v>
      </c>
      <c r="P1763" s="32">
        <f>IF(Mecze[[#This Row],[SC]]=0,0,Mecze[[#This Row],[SC]]/Mecze[[#This Row],[CZAS]])</f>
        <v>0</v>
      </c>
      <c r="Q1763" s="32">
        <f>IF(Mecze[[#This Row],[OB]]=0,0,Mecze[[#This Row],[OB]]/Mecze[[#This Row],[CZAS]])</f>
        <v>0</v>
      </c>
      <c r="R1763" s="32">
        <f>IF(Mecze[[#This Row],[BR]]=0,0,Mecze[[#This Row],[BR]]/Mecze[[#This Row],[CZAS]])</f>
        <v>0</v>
      </c>
      <c r="S1763" s="44">
        <f>IF(Mecze[[#This Row],[Role]]="BR",SUMPRODUCT(Mecze[[#This Row],[/PR:90]:[/BR:90]],Brudnopis!$E$23:$J$23),0)</f>
        <v>0</v>
      </c>
      <c r="T1763" s="44">
        <f>IF(Mecze[[#This Row],[Role]]&lt;&gt;"BR",SUMPRODUCT(Mecze[[#This Row],[/PR:90]:[/BR:90]],Brudnopis!$E$24:$J$24),0)</f>
        <v>0.17857142857142855</v>
      </c>
      <c r="U1763" s="44">
        <f>IF(Mecze[[#This Row],[Role]]&lt;&gt;"BR",SUMPRODUCT(Mecze[[#This Row],[/PR:90]:[/BR:90]],Brudnopis!$E$25:$J$25),0)</f>
        <v>0.18367346938775508</v>
      </c>
      <c r="V1763" s="44">
        <f>IF(Mecze[[#This Row],[Role]]&lt;&gt;"BR",SUMPRODUCT(Mecze[[#This Row],[/PR:90]:[/BR:90]],Brudnopis!$E$26:$J$26),0)</f>
        <v>0.16326530612244897</v>
      </c>
      <c r="W1763" s="44">
        <f>IF(Mecze[[#This Row],[Role]]&lt;&gt;"BR",SUMPRODUCT(Mecze[[#This Row],[/PR:90]:[/BR:90]],Brudnopis!$E$27:$J$27),0)</f>
        <v>0.15306122448979592</v>
      </c>
      <c r="X1763" s="44">
        <f>IF(Mecze[[#This Row],[Role]]&lt;&gt;"BR",SUMPRODUCT(Mecze[[#This Row],[/PR:90]:[/BR:90]],Brudnopis!$E$28:$J$28),0)</f>
        <v>4.0816326530612242E-2</v>
      </c>
      <c r="Y1763" s="35">
        <f>IF(Mecze[[#This Row],[Role]]="BR",Mecze[[#This Row],[/OB:90]]+Mecze[[#This Row],[/PC:90]],SUM(Mecze[[#This Row],[/PR:90]:[/BR:90]]))</f>
        <v>0.16326530612244897</v>
      </c>
      <c r="Z1763" s="35">
        <f>IF(Mecze[[#This Row],[KC]]=0,SUM(Mecze[[#This Row],[/BRI]:[/NPI]]),SUM(Mecze[[#This Row],[/BRI]:[/NPI]])*0.6)</f>
        <v>0.71938775510204089</v>
      </c>
      <c r="AA1763" s="10">
        <f>IFERROR(Mecze[[#This Row],[BR]]/Mecze[[#This Row],[ST]],0)</f>
        <v>0</v>
      </c>
      <c r="AB1763">
        <f>ROUND(Mecze[[#This Row],[PD]]*Mecze[[#This Row],[%PC]],0)</f>
        <v>4</v>
      </c>
      <c r="AC1763">
        <f>ROUND(Mecze[[#This Row],[OD]]*Mecze[[#This Row],[%OU]],0)</f>
        <v>3</v>
      </c>
      <c r="AD1763" s="36" t="s">
        <v>47</v>
      </c>
      <c r="AE1763" s="36">
        <v>97</v>
      </c>
      <c r="AF1763" s="71">
        <v>8.93</v>
      </c>
      <c r="AG1763" s="37">
        <v>0</v>
      </c>
      <c r="AH1763" s="37">
        <v>0</v>
      </c>
      <c r="AI1763" s="37">
        <v>98</v>
      </c>
      <c r="AJ1763" s="37">
        <v>1</v>
      </c>
      <c r="AK1763" s="37" t="str">
        <f>VLOOKUP(Mecze[[#This Row],[Match ID]],Meczusie[Mecz]:Meczusie[RodzajMeczu],2,FALSE)</f>
        <v>Towarzyski</v>
      </c>
    </row>
    <row r="1764" spans="1:37" x14ac:dyDescent="0.25">
      <c r="A1764" s="76">
        <v>4</v>
      </c>
      <c r="B1764" s="3" t="s">
        <v>360</v>
      </c>
      <c r="C1764" s="2" t="s">
        <v>157</v>
      </c>
      <c r="D1764" s="1">
        <v>1</v>
      </c>
      <c r="E1764" s="1">
        <v>2</v>
      </c>
      <c r="F1764" s="1">
        <v>2</v>
      </c>
      <c r="G1764" s="1">
        <v>14</v>
      </c>
      <c r="H1764" s="4">
        <v>0.79</v>
      </c>
      <c r="I1764" s="1">
        <v>3</v>
      </c>
      <c r="J1764" s="4">
        <v>0.33</v>
      </c>
      <c r="K1764" s="1">
        <v>0</v>
      </c>
      <c r="L1764" s="1">
        <v>19</v>
      </c>
      <c r="M1764" s="32">
        <f>IF(Mecze[[#This Row],[PR]]=0,0,Mecze[[#This Row],[PR]]/Mecze[[#This Row],[CZAS]])</f>
        <v>0.19387755102040816</v>
      </c>
      <c r="N1764" s="32">
        <f>IF(Mecze[[#This Row],[OU]]=0,0,Mecze[[#This Row],[OU]]/Mecze[[#This Row],[CZAS]])</f>
        <v>1.020408163265306E-2</v>
      </c>
      <c r="O1764" s="32">
        <f>IF(Mecze[[#This Row],[PC]]=0,0,Mecze[[#This Row],[PC]]/Mecze[[#This Row],[CZAS]])</f>
        <v>0.11224489795918367</v>
      </c>
      <c r="P1764" s="32">
        <f>IF(Mecze[[#This Row],[SC]]=0,0,Mecze[[#This Row],[SC]]/Mecze[[#This Row],[CZAS]])</f>
        <v>2.0408163265306121E-2</v>
      </c>
      <c r="Q1764" s="32">
        <f>IF(Mecze[[#This Row],[OB]]=0,0,Mecze[[#This Row],[OB]]/Mecze[[#This Row],[CZAS]])</f>
        <v>0</v>
      </c>
      <c r="R1764" s="32">
        <f>IF(Mecze[[#This Row],[BR]]=0,0,Mecze[[#This Row],[BR]]/Mecze[[#This Row],[CZAS]])</f>
        <v>1.020408163265306E-2</v>
      </c>
      <c r="S1764" s="44">
        <f>IF(Mecze[[#This Row],[Role]]="BR",SUMPRODUCT(Mecze[[#This Row],[/PR:90]:[/BR:90]],Brudnopis!$E$23:$J$23),0)</f>
        <v>0</v>
      </c>
      <c r="T1764" s="44">
        <f>IF(Mecze[[#This Row],[Role]]&lt;&gt;"BR",SUMPRODUCT(Mecze[[#This Row],[/PR:90]:[/BR:90]],Brudnopis!$E$24:$J$24),0)</f>
        <v>0.35714285714285715</v>
      </c>
      <c r="U1764" s="44">
        <f>IF(Mecze[[#This Row],[Role]]&lt;&gt;"BR",SUMPRODUCT(Mecze[[#This Row],[/PR:90]:[/BR:90]],Brudnopis!$E$25:$J$25),0)</f>
        <v>0.40816326530612251</v>
      </c>
      <c r="V1764" s="44">
        <f>IF(Mecze[[#This Row],[Role]]&lt;&gt;"BR",SUMPRODUCT(Mecze[[#This Row],[/PR:90]:[/BR:90]],Brudnopis!$E$26:$J$26),0)</f>
        <v>0.35714285714285721</v>
      </c>
      <c r="W1764" s="44">
        <f>IF(Mecze[[#This Row],[Role]]&lt;&gt;"BR",SUMPRODUCT(Mecze[[#This Row],[/PR:90]:[/BR:90]],Brudnopis!$E$27:$J$27),0)</f>
        <v>0.36224489795918369</v>
      </c>
      <c r="X1764" s="44">
        <f>IF(Mecze[[#This Row],[Role]]&lt;&gt;"BR",SUMPRODUCT(Mecze[[#This Row],[/PR:90]:[/BR:90]],Brudnopis!$E$28:$J$28),0)</f>
        <v>0.18367346938775511</v>
      </c>
      <c r="Y1764" s="35">
        <f>IF(Mecze[[#This Row],[Role]]="BR",Mecze[[#This Row],[/OB:90]]+Mecze[[#This Row],[/PC:90]],SUM(Mecze[[#This Row],[/PR:90]:[/BR:90]]))</f>
        <v>0.34693877551020413</v>
      </c>
      <c r="Z1764" s="35">
        <f>IF(Mecze[[#This Row],[KC]]=0,SUM(Mecze[[#This Row],[/BRI]:[/NPI]]),SUM(Mecze[[#This Row],[/BRI]:[/NPI]])*0.6)</f>
        <v>1.6683673469387756</v>
      </c>
      <c r="AA1764" s="10">
        <f>IFERROR(Mecze[[#This Row],[BR]]/Mecze[[#This Row],[ST]],0)</f>
        <v>0.5</v>
      </c>
      <c r="AB1764">
        <f>ROUND(Mecze[[#This Row],[PD]]*Mecze[[#This Row],[%PC]],0)</f>
        <v>11</v>
      </c>
      <c r="AC1764">
        <f>ROUND(Mecze[[#This Row],[OD]]*Mecze[[#This Row],[%OU]],0)</f>
        <v>1</v>
      </c>
      <c r="AD1764" s="36" t="s">
        <v>168</v>
      </c>
      <c r="AE1764" s="36">
        <v>97</v>
      </c>
      <c r="AF1764" s="71">
        <v>11.03</v>
      </c>
      <c r="AG1764" s="37">
        <v>0</v>
      </c>
      <c r="AH1764" s="37">
        <v>0</v>
      </c>
      <c r="AI1764" s="37">
        <v>98</v>
      </c>
      <c r="AJ1764" s="37">
        <v>1</v>
      </c>
      <c r="AK1764" s="37" t="str">
        <f>VLOOKUP(Mecze[[#This Row],[Match ID]],Meczusie[Mecz]:Meczusie[RodzajMeczu],2,FALSE)</f>
        <v>Towarzyski</v>
      </c>
    </row>
    <row r="1765" spans="1:37" x14ac:dyDescent="0.25">
      <c r="A1765" s="76">
        <v>42</v>
      </c>
      <c r="B1765" s="3" t="s">
        <v>361</v>
      </c>
      <c r="C1765" s="2" t="s">
        <v>157</v>
      </c>
      <c r="D1765" s="1">
        <v>0</v>
      </c>
      <c r="E1765" s="1">
        <v>0</v>
      </c>
      <c r="F1765" s="1">
        <v>0</v>
      </c>
      <c r="G1765" s="1">
        <v>4</v>
      </c>
      <c r="H1765" s="4">
        <v>0.5</v>
      </c>
      <c r="I1765" s="1">
        <v>0</v>
      </c>
      <c r="J1765" s="4"/>
      <c r="K1765" s="1">
        <v>0</v>
      </c>
      <c r="L1765" s="1">
        <v>5</v>
      </c>
      <c r="M1765" s="32">
        <f>IF(Mecze[[#This Row],[PR]]=0,0,Mecze[[#This Row],[PR]]/Mecze[[#This Row],[CZAS]])</f>
        <v>5.1020408163265307E-2</v>
      </c>
      <c r="N1765" s="32">
        <f>IF(Mecze[[#This Row],[OU]]=0,0,Mecze[[#This Row],[OU]]/Mecze[[#This Row],[CZAS]])</f>
        <v>0</v>
      </c>
      <c r="O1765" s="32">
        <f>IF(Mecze[[#This Row],[PC]]=0,0,Mecze[[#This Row],[PC]]/Mecze[[#This Row],[CZAS]])</f>
        <v>2.0408163265306121E-2</v>
      </c>
      <c r="P1765" s="32">
        <f>IF(Mecze[[#This Row],[SC]]=0,0,Mecze[[#This Row],[SC]]/Mecze[[#This Row],[CZAS]])</f>
        <v>0</v>
      </c>
      <c r="Q1765" s="32">
        <f>IF(Mecze[[#This Row],[OB]]=0,0,Mecze[[#This Row],[OB]]/Mecze[[#This Row],[CZAS]])</f>
        <v>0</v>
      </c>
      <c r="R1765" s="32">
        <f>IF(Mecze[[#This Row],[BR]]=0,0,Mecze[[#This Row],[BR]]/Mecze[[#This Row],[CZAS]])</f>
        <v>0</v>
      </c>
      <c r="S1765" s="44">
        <f>IF(Mecze[[#This Row],[Role]]="BR",SUMPRODUCT(Mecze[[#This Row],[/PR:90]:[/BR:90]],Brudnopis!$E$23:$J$23),0)</f>
        <v>0</v>
      </c>
      <c r="T1765" s="44">
        <f>IF(Mecze[[#This Row],[Role]]&lt;&gt;"BR",SUMPRODUCT(Mecze[[#This Row],[/PR:90]:[/BR:90]],Brudnopis!$E$24:$J$24),0)</f>
        <v>7.1428571428571425E-2</v>
      </c>
      <c r="U1765" s="44">
        <f>IF(Mecze[[#This Row],[Role]]&lt;&gt;"BR",SUMPRODUCT(Mecze[[#This Row],[/PR:90]:[/BR:90]],Brudnopis!$E$25:$J$25),0)</f>
        <v>8.1632653061224497E-2</v>
      </c>
      <c r="V1765" s="44">
        <f>IF(Mecze[[#This Row],[Role]]&lt;&gt;"BR",SUMPRODUCT(Mecze[[#This Row],[/PR:90]:[/BR:90]],Brudnopis!$E$26:$J$26),0)</f>
        <v>7.1428571428571425E-2</v>
      </c>
      <c r="W1765" s="44">
        <f>IF(Mecze[[#This Row],[Role]]&lt;&gt;"BR",SUMPRODUCT(Mecze[[#This Row],[/PR:90]:[/BR:90]],Brudnopis!$E$27:$J$27),0)</f>
        <v>6.8877551020408156E-2</v>
      </c>
      <c r="X1765" s="44">
        <f>IF(Mecze[[#This Row],[Role]]&lt;&gt;"BR",SUMPRODUCT(Mecze[[#This Row],[/PR:90]:[/BR:90]],Brudnopis!$E$28:$J$28),0)</f>
        <v>2.0408163265306121E-2</v>
      </c>
      <c r="Y1765" s="35">
        <f>IF(Mecze[[#This Row],[Role]]="BR",Mecze[[#This Row],[/OB:90]]+Mecze[[#This Row],[/PC:90]],SUM(Mecze[[#This Row],[/PR:90]:[/BR:90]]))</f>
        <v>7.1428571428571425E-2</v>
      </c>
      <c r="Z1765" s="35">
        <f>IF(Mecze[[#This Row],[KC]]=0,SUM(Mecze[[#This Row],[/BRI]:[/NPI]]),SUM(Mecze[[#This Row],[/BRI]:[/NPI]])*0.6)</f>
        <v>0.31377551020408168</v>
      </c>
      <c r="AA1765" s="10">
        <f>IFERROR(Mecze[[#This Row],[BR]]/Mecze[[#This Row],[ST]],0)</f>
        <v>0</v>
      </c>
      <c r="AB1765">
        <f>ROUND(Mecze[[#This Row],[PD]]*Mecze[[#This Row],[%PC]],0)</f>
        <v>2</v>
      </c>
      <c r="AC1765">
        <f>ROUND(Mecze[[#This Row],[OD]]*Mecze[[#This Row],[%OU]],0)</f>
        <v>0</v>
      </c>
      <c r="AD1765" s="36" t="s">
        <v>167</v>
      </c>
      <c r="AE1765" s="36">
        <v>97</v>
      </c>
      <c r="AF1765" s="71">
        <v>8.09</v>
      </c>
      <c r="AG1765" s="37">
        <v>0</v>
      </c>
      <c r="AH1765" s="37">
        <v>0</v>
      </c>
      <c r="AI1765" s="37">
        <v>98</v>
      </c>
      <c r="AJ1765" s="37">
        <v>1</v>
      </c>
      <c r="AK1765" s="37" t="str">
        <f>VLOOKUP(Mecze[[#This Row],[Match ID]],Meczusie[Mecz]:Meczusie[RodzajMeczu],2,FALSE)</f>
        <v>Towarzyski</v>
      </c>
    </row>
    <row r="1766" spans="1:37" x14ac:dyDescent="0.25">
      <c r="A1766" s="76">
        <v>33</v>
      </c>
      <c r="B1766" s="3" t="s">
        <v>362</v>
      </c>
      <c r="C1766" s="2" t="s">
        <v>160</v>
      </c>
      <c r="D1766" s="1">
        <v>0</v>
      </c>
      <c r="E1766" s="1">
        <v>0</v>
      </c>
      <c r="F1766" s="1">
        <v>0</v>
      </c>
      <c r="G1766" s="1">
        <v>12</v>
      </c>
      <c r="H1766" s="4">
        <v>0.42</v>
      </c>
      <c r="I1766" s="1">
        <v>10</v>
      </c>
      <c r="J1766" s="4">
        <v>0.6</v>
      </c>
      <c r="K1766" s="1">
        <v>0</v>
      </c>
      <c r="L1766" s="1">
        <v>7</v>
      </c>
      <c r="M1766" s="32">
        <f>IF(Mecze[[#This Row],[PR]]=0,0,Mecze[[#This Row],[PR]]/Mecze[[#This Row],[CZAS]])</f>
        <v>7.1428571428571425E-2</v>
      </c>
      <c r="N1766" s="32">
        <f>IF(Mecze[[#This Row],[OU]]=0,0,Mecze[[#This Row],[OU]]/Mecze[[#This Row],[CZAS]])</f>
        <v>6.1224489795918366E-2</v>
      </c>
      <c r="O1766" s="32">
        <f>IF(Mecze[[#This Row],[PC]]=0,0,Mecze[[#This Row],[PC]]/Mecze[[#This Row],[CZAS]])</f>
        <v>5.1020408163265307E-2</v>
      </c>
      <c r="P1766" s="32">
        <f>IF(Mecze[[#This Row],[SC]]=0,0,Mecze[[#This Row],[SC]]/Mecze[[#This Row],[CZAS]])</f>
        <v>0</v>
      </c>
      <c r="Q1766" s="32">
        <f>IF(Mecze[[#This Row],[OB]]=0,0,Mecze[[#This Row],[OB]]/Mecze[[#This Row],[CZAS]])</f>
        <v>0</v>
      </c>
      <c r="R1766" s="32">
        <f>IF(Mecze[[#This Row],[BR]]=0,0,Mecze[[#This Row],[BR]]/Mecze[[#This Row],[CZAS]])</f>
        <v>0</v>
      </c>
      <c r="S1766" s="44">
        <f>IF(Mecze[[#This Row],[Role]]="BR",SUMPRODUCT(Mecze[[#This Row],[/PR:90]:[/BR:90]],Brudnopis!$E$23:$J$23),0)</f>
        <v>0</v>
      </c>
      <c r="T1766" s="44">
        <f>IF(Mecze[[#This Row],[Role]]&lt;&gt;"BR",SUMPRODUCT(Mecze[[#This Row],[/PR:90]:[/BR:90]],Brudnopis!$E$24:$J$24),0)</f>
        <v>0.21428571428571427</v>
      </c>
      <c r="U1766" s="44">
        <f>IF(Mecze[[#This Row],[Role]]&lt;&gt;"BR",SUMPRODUCT(Mecze[[#This Row],[/PR:90]:[/BR:90]],Brudnopis!$E$25:$J$25),0)</f>
        <v>0.20918367346938774</v>
      </c>
      <c r="V1766" s="44">
        <f>IF(Mecze[[#This Row],[Role]]&lt;&gt;"BR",SUMPRODUCT(Mecze[[#This Row],[/PR:90]:[/BR:90]],Brudnopis!$E$26:$J$26),0)</f>
        <v>0.18367346938775508</v>
      </c>
      <c r="W1766" s="44">
        <f>IF(Mecze[[#This Row],[Role]]&lt;&gt;"BR",SUMPRODUCT(Mecze[[#This Row],[/PR:90]:[/BR:90]],Brudnopis!$E$27:$J$27),0)</f>
        <v>0.17602040816326531</v>
      </c>
      <c r="X1766" s="44">
        <f>IF(Mecze[[#This Row],[Role]]&lt;&gt;"BR",SUMPRODUCT(Mecze[[#This Row],[/PR:90]:[/BR:90]],Brudnopis!$E$28:$J$28),0)</f>
        <v>5.1020408163265307E-2</v>
      </c>
      <c r="Y1766" s="35">
        <f>IF(Mecze[[#This Row],[Role]]="BR",Mecze[[#This Row],[/OB:90]]+Mecze[[#This Row],[/PC:90]],SUM(Mecze[[#This Row],[/PR:90]:[/BR:90]]))</f>
        <v>0.18367346938775508</v>
      </c>
      <c r="Z1766" s="35">
        <f>IF(Mecze[[#This Row],[KC]]=0,SUM(Mecze[[#This Row],[/BRI]:[/NPI]]),SUM(Mecze[[#This Row],[/BRI]:[/NPI]])*0.6)</f>
        <v>0.83418367346938771</v>
      </c>
      <c r="AA1766" s="10">
        <f>IFERROR(Mecze[[#This Row],[BR]]/Mecze[[#This Row],[ST]],0)</f>
        <v>0</v>
      </c>
      <c r="AB1766">
        <f>ROUND(Mecze[[#This Row],[PD]]*Mecze[[#This Row],[%PC]],0)</f>
        <v>5</v>
      </c>
      <c r="AC1766">
        <f>ROUND(Mecze[[#This Row],[OD]]*Mecze[[#This Row],[%OU]],0)</f>
        <v>6</v>
      </c>
      <c r="AD1766" s="36" t="s">
        <v>41</v>
      </c>
      <c r="AE1766" s="36">
        <v>97</v>
      </c>
      <c r="AF1766" s="71">
        <v>7.4</v>
      </c>
      <c r="AG1766" s="37">
        <v>1</v>
      </c>
      <c r="AH1766" s="37">
        <v>0</v>
      </c>
      <c r="AI1766" s="37">
        <v>98</v>
      </c>
      <c r="AJ1766" s="37">
        <v>1</v>
      </c>
      <c r="AK1766" s="37" t="str">
        <f>VLOOKUP(Mecze[[#This Row],[Match ID]],Meczusie[Mecz]:Meczusie[RodzajMeczu],2,FALSE)</f>
        <v>Towarzyski</v>
      </c>
    </row>
    <row r="1767" spans="1:37" x14ac:dyDescent="0.25">
      <c r="A1767" s="76">
        <v>22</v>
      </c>
      <c r="B1767" s="3" t="s">
        <v>363</v>
      </c>
      <c r="C1767" s="2" t="s">
        <v>160</v>
      </c>
      <c r="D1767" s="1">
        <v>0</v>
      </c>
      <c r="E1767" s="1">
        <v>0</v>
      </c>
      <c r="F1767" s="1">
        <v>0</v>
      </c>
      <c r="G1767" s="1">
        <v>10</v>
      </c>
      <c r="H1767" s="4">
        <v>0.7</v>
      </c>
      <c r="I1767" s="1">
        <v>7</v>
      </c>
      <c r="J1767" s="4">
        <v>0.14000000000000001</v>
      </c>
      <c r="K1767" s="1">
        <v>0</v>
      </c>
      <c r="L1767" s="1">
        <v>2</v>
      </c>
      <c r="M1767" s="32">
        <f>IF(Mecze[[#This Row],[PR]]=0,0,Mecze[[#This Row],[PR]]/Mecze[[#This Row],[CZAS]])</f>
        <v>2.0408163265306121E-2</v>
      </c>
      <c r="N1767" s="32">
        <f>IF(Mecze[[#This Row],[OU]]=0,0,Mecze[[#This Row],[OU]]/Mecze[[#This Row],[CZAS]])</f>
        <v>1.020408163265306E-2</v>
      </c>
      <c r="O1767" s="32">
        <f>IF(Mecze[[#This Row],[PC]]=0,0,Mecze[[#This Row],[PC]]/Mecze[[#This Row],[CZAS]])</f>
        <v>7.1428571428571425E-2</v>
      </c>
      <c r="P1767" s="32">
        <f>IF(Mecze[[#This Row],[SC]]=0,0,Mecze[[#This Row],[SC]]/Mecze[[#This Row],[CZAS]])</f>
        <v>0</v>
      </c>
      <c r="Q1767" s="32">
        <f>IF(Mecze[[#This Row],[OB]]=0,0,Mecze[[#This Row],[OB]]/Mecze[[#This Row],[CZAS]])</f>
        <v>0</v>
      </c>
      <c r="R1767" s="32">
        <f>IF(Mecze[[#This Row],[BR]]=0,0,Mecze[[#This Row],[BR]]/Mecze[[#This Row],[CZAS]])</f>
        <v>0</v>
      </c>
      <c r="S1767" s="44">
        <f>IF(Mecze[[#This Row],[Role]]="BR",SUMPRODUCT(Mecze[[#This Row],[/PR:90]:[/BR:90]],Brudnopis!$E$23:$J$23),0)</f>
        <v>0</v>
      </c>
      <c r="T1767" s="44">
        <f>IF(Mecze[[#This Row],[Role]]&lt;&gt;"BR",SUMPRODUCT(Mecze[[#This Row],[/PR:90]:[/BR:90]],Brudnopis!$E$24:$J$24),0)</f>
        <v>0.10714285714285714</v>
      </c>
      <c r="U1767" s="44">
        <f>IF(Mecze[[#This Row],[Role]]&lt;&gt;"BR",SUMPRODUCT(Mecze[[#This Row],[/PR:90]:[/BR:90]],Brudnopis!$E$25:$J$25),0)</f>
        <v>0.13775510204081631</v>
      </c>
      <c r="V1767" s="44">
        <f>IF(Mecze[[#This Row],[Role]]&lt;&gt;"BR",SUMPRODUCT(Mecze[[#This Row],[/PR:90]:[/BR:90]],Brudnopis!$E$26:$J$26),0)</f>
        <v>0.10204081632653061</v>
      </c>
      <c r="W1767" s="44">
        <f>IF(Mecze[[#This Row],[Role]]&lt;&gt;"BR",SUMPRODUCT(Mecze[[#This Row],[/PR:90]:[/BR:90]],Brudnopis!$E$27:$J$27),0)</f>
        <v>0.13010204081632654</v>
      </c>
      <c r="X1767" s="44">
        <f>IF(Mecze[[#This Row],[Role]]&lt;&gt;"BR",SUMPRODUCT(Mecze[[#This Row],[/PR:90]:[/BR:90]],Brudnopis!$E$28:$J$28),0)</f>
        <v>7.1428571428571425E-2</v>
      </c>
      <c r="Y1767" s="35">
        <f>IF(Mecze[[#This Row],[Role]]="BR",Mecze[[#This Row],[/OB:90]]+Mecze[[#This Row],[/PC:90]],SUM(Mecze[[#This Row],[/PR:90]:[/BR:90]]))</f>
        <v>0.10204081632653061</v>
      </c>
      <c r="Z1767" s="35">
        <f>IF(Mecze[[#This Row],[KC]]=0,SUM(Mecze[[#This Row],[/BRI]:[/NPI]]),SUM(Mecze[[#This Row],[/BRI]:[/NPI]])*0.6)</f>
        <v>0.54846938775510201</v>
      </c>
      <c r="AA1767" s="10">
        <f>IFERROR(Mecze[[#This Row],[BR]]/Mecze[[#This Row],[ST]],0)</f>
        <v>0</v>
      </c>
      <c r="AB1767">
        <f>ROUND(Mecze[[#This Row],[PD]]*Mecze[[#This Row],[%PC]],0)</f>
        <v>7</v>
      </c>
      <c r="AC1767">
        <f>ROUND(Mecze[[#This Row],[OD]]*Mecze[[#This Row],[%OU]],0)</f>
        <v>1</v>
      </c>
      <c r="AD1767" s="36" t="s">
        <v>41</v>
      </c>
      <c r="AE1767" s="36">
        <v>97</v>
      </c>
      <c r="AF1767" s="71">
        <v>8.67</v>
      </c>
      <c r="AG1767" s="37">
        <v>0</v>
      </c>
      <c r="AH1767" s="37">
        <v>0</v>
      </c>
      <c r="AI1767" s="37">
        <v>98</v>
      </c>
      <c r="AJ1767" s="37">
        <v>1</v>
      </c>
      <c r="AK1767" s="37" t="str">
        <f>VLOOKUP(Mecze[[#This Row],[Match ID]],Meczusie[Mecz]:Meczusie[RodzajMeczu],2,FALSE)</f>
        <v>Towarzyski</v>
      </c>
    </row>
    <row r="1768" spans="1:37" x14ac:dyDescent="0.25">
      <c r="A1768" s="76">
        <v>17</v>
      </c>
      <c r="B1768" s="3" t="s">
        <v>413</v>
      </c>
      <c r="C1768" s="2" t="s">
        <v>160</v>
      </c>
      <c r="D1768" s="1">
        <v>0</v>
      </c>
      <c r="E1768" s="1">
        <v>3</v>
      </c>
      <c r="F1768" s="1">
        <v>3</v>
      </c>
      <c r="G1768" s="1">
        <v>5</v>
      </c>
      <c r="H1768" s="4">
        <v>0.6</v>
      </c>
      <c r="I1768" s="1">
        <v>2</v>
      </c>
      <c r="J1768" s="4">
        <v>0.5</v>
      </c>
      <c r="K1768" s="1">
        <v>0</v>
      </c>
      <c r="L1768" s="1">
        <v>4</v>
      </c>
      <c r="M1768" s="32">
        <f>IF(Mecze[[#This Row],[PR]]=0,0,Mecze[[#This Row],[PR]]/Mecze[[#This Row],[CZAS]])</f>
        <v>4.0816326530612242E-2</v>
      </c>
      <c r="N1768" s="32">
        <f>IF(Mecze[[#This Row],[OU]]=0,0,Mecze[[#This Row],[OU]]/Mecze[[#This Row],[CZAS]])</f>
        <v>1.020408163265306E-2</v>
      </c>
      <c r="O1768" s="32">
        <f>IF(Mecze[[#This Row],[PC]]=0,0,Mecze[[#This Row],[PC]]/Mecze[[#This Row],[CZAS]])</f>
        <v>3.0612244897959183E-2</v>
      </c>
      <c r="P1768" s="32">
        <f>IF(Mecze[[#This Row],[SC]]=0,0,Mecze[[#This Row],[SC]]/Mecze[[#This Row],[CZAS]])</f>
        <v>3.0612244897959183E-2</v>
      </c>
      <c r="Q1768" s="32">
        <f>IF(Mecze[[#This Row],[OB]]=0,0,Mecze[[#This Row],[OB]]/Mecze[[#This Row],[CZAS]])</f>
        <v>0</v>
      </c>
      <c r="R1768" s="32">
        <f>IF(Mecze[[#This Row],[BR]]=0,0,Mecze[[#This Row],[BR]]/Mecze[[#This Row],[CZAS]])</f>
        <v>0</v>
      </c>
      <c r="S1768" s="44">
        <f>IF(Mecze[[#This Row],[Role]]="BR",SUMPRODUCT(Mecze[[#This Row],[/PR:90]:[/BR:90]],Brudnopis!$E$23:$J$23),0)</f>
        <v>0</v>
      </c>
      <c r="T1768" s="44">
        <f>IF(Mecze[[#This Row],[Role]]&lt;&gt;"BR",SUMPRODUCT(Mecze[[#This Row],[/PR:90]:[/BR:90]],Brudnopis!$E$24:$J$24),0)</f>
        <v>0.1173469387755102</v>
      </c>
      <c r="U1768" s="44">
        <f>IF(Mecze[[#This Row],[Role]]&lt;&gt;"BR",SUMPRODUCT(Mecze[[#This Row],[/PR:90]:[/BR:90]],Brudnopis!$E$25:$J$25),0)</f>
        <v>0.12755102040816327</v>
      </c>
      <c r="V1768" s="44">
        <f>IF(Mecze[[#This Row],[Role]]&lt;&gt;"BR",SUMPRODUCT(Mecze[[#This Row],[/PR:90]:[/BR:90]],Brudnopis!$E$26:$J$26),0)</f>
        <v>0.11224489795918366</v>
      </c>
      <c r="W1768" s="44">
        <f>IF(Mecze[[#This Row],[Role]]&lt;&gt;"BR",SUMPRODUCT(Mecze[[#This Row],[/PR:90]:[/BR:90]],Brudnopis!$E$27:$J$27),0)</f>
        <v>0.11479591836734693</v>
      </c>
      <c r="X1768" s="44">
        <f>IF(Mecze[[#This Row],[Role]]&lt;&gt;"BR",SUMPRODUCT(Mecze[[#This Row],[/PR:90]:[/BR:90]],Brudnopis!$E$28:$J$28),0)</f>
        <v>9.1836734693877542E-2</v>
      </c>
      <c r="Y1768" s="35">
        <f>IF(Mecze[[#This Row],[Role]]="BR",Mecze[[#This Row],[/OB:90]]+Mecze[[#This Row],[/PC:90]],SUM(Mecze[[#This Row],[/PR:90]:[/BR:90]]))</f>
        <v>0.11224489795918366</v>
      </c>
      <c r="Z1768" s="35">
        <f>IF(Mecze[[#This Row],[KC]]=0,SUM(Mecze[[#This Row],[/BRI]:[/NPI]]),SUM(Mecze[[#This Row],[/BRI]:[/NPI]])*0.6)</f>
        <v>0.56377551020408156</v>
      </c>
      <c r="AA1768" s="10">
        <f>IFERROR(Mecze[[#This Row],[BR]]/Mecze[[#This Row],[ST]],0)</f>
        <v>0</v>
      </c>
      <c r="AB1768">
        <f>ROUND(Mecze[[#This Row],[PD]]*Mecze[[#This Row],[%PC]],0)</f>
        <v>3</v>
      </c>
      <c r="AC1768">
        <f>ROUND(Mecze[[#This Row],[OD]]*Mecze[[#This Row],[%OU]],0)</f>
        <v>1</v>
      </c>
      <c r="AD1768" s="36" t="s">
        <v>44</v>
      </c>
      <c r="AE1768" s="36">
        <v>97</v>
      </c>
      <c r="AF1768" s="71">
        <v>9.7799999999999994</v>
      </c>
      <c r="AG1768" s="37">
        <v>0</v>
      </c>
      <c r="AH1768" s="37">
        <v>0</v>
      </c>
      <c r="AI1768" s="37">
        <v>98</v>
      </c>
      <c r="AJ1768" s="37">
        <v>1</v>
      </c>
      <c r="AK1768" s="37" t="str">
        <f>VLOOKUP(Mecze[[#This Row],[Match ID]],Meczusie[Mecz]:Meczusie[RodzajMeczu],2,FALSE)</f>
        <v>Towarzyski</v>
      </c>
    </row>
    <row r="1769" spans="1:37" x14ac:dyDescent="0.25">
      <c r="A1769" s="76">
        <v>28</v>
      </c>
      <c r="B1769" s="3" t="s">
        <v>419</v>
      </c>
      <c r="C1769" s="2" t="s">
        <v>160</v>
      </c>
      <c r="D1769" s="1">
        <v>0</v>
      </c>
      <c r="E1769" s="1">
        <v>1</v>
      </c>
      <c r="F1769" s="1">
        <v>1</v>
      </c>
      <c r="G1769" s="1">
        <v>9</v>
      </c>
      <c r="H1769" s="4">
        <v>0.56000000000000005</v>
      </c>
      <c r="I1769" s="1">
        <v>4</v>
      </c>
      <c r="J1769" s="4">
        <v>0.5</v>
      </c>
      <c r="K1769" s="1">
        <v>0</v>
      </c>
      <c r="L1769" s="1">
        <v>6</v>
      </c>
      <c r="M1769" s="32">
        <f>IF(Mecze[[#This Row],[PR]]=0,0,Mecze[[#This Row],[PR]]/Mecze[[#This Row],[CZAS]])</f>
        <v>6.1224489795918366E-2</v>
      </c>
      <c r="N1769" s="32">
        <f>IF(Mecze[[#This Row],[OU]]=0,0,Mecze[[#This Row],[OU]]/Mecze[[#This Row],[CZAS]])</f>
        <v>2.0408163265306121E-2</v>
      </c>
      <c r="O1769" s="32">
        <f>IF(Mecze[[#This Row],[PC]]=0,0,Mecze[[#This Row],[PC]]/Mecze[[#This Row],[CZAS]])</f>
        <v>5.1020408163265307E-2</v>
      </c>
      <c r="P1769" s="32">
        <f>IF(Mecze[[#This Row],[SC]]=0,0,Mecze[[#This Row],[SC]]/Mecze[[#This Row],[CZAS]])</f>
        <v>1.020408163265306E-2</v>
      </c>
      <c r="Q1769" s="32">
        <f>IF(Mecze[[#This Row],[OB]]=0,0,Mecze[[#This Row],[OB]]/Mecze[[#This Row],[CZAS]])</f>
        <v>0</v>
      </c>
      <c r="R1769" s="32">
        <f>IF(Mecze[[#This Row],[BR]]=0,0,Mecze[[#This Row],[BR]]/Mecze[[#This Row],[CZAS]])</f>
        <v>0</v>
      </c>
      <c r="S1769" s="44">
        <f>IF(Mecze[[#This Row],[Role]]="BR",SUMPRODUCT(Mecze[[#This Row],[/PR:90]:[/BR:90]],Brudnopis!$E$23:$J$23),0)</f>
        <v>0</v>
      </c>
      <c r="T1769" s="44">
        <f>IF(Mecze[[#This Row],[Role]]&lt;&gt;"BR",SUMPRODUCT(Mecze[[#This Row],[/PR:90]:[/BR:90]],Brudnopis!$E$24:$J$24),0)</f>
        <v>0.15306122448979592</v>
      </c>
      <c r="U1769" s="44">
        <f>IF(Mecze[[#This Row],[Role]]&lt;&gt;"BR",SUMPRODUCT(Mecze[[#This Row],[/PR:90]:[/BR:90]],Brudnopis!$E$25:$J$25),0)</f>
        <v>0.16836734693877553</v>
      </c>
      <c r="V1769" s="44">
        <f>IF(Mecze[[#This Row],[Role]]&lt;&gt;"BR",SUMPRODUCT(Mecze[[#This Row],[/PR:90]:[/BR:90]],Brudnopis!$E$26:$J$26),0)</f>
        <v>0.14285714285714285</v>
      </c>
      <c r="W1769" s="44">
        <f>IF(Mecze[[#This Row],[Role]]&lt;&gt;"BR",SUMPRODUCT(Mecze[[#This Row],[/PR:90]:[/BR:90]],Brudnopis!$E$27:$J$27),0)</f>
        <v>0.14795918367346939</v>
      </c>
      <c r="X1769" s="44">
        <f>IF(Mecze[[#This Row],[Role]]&lt;&gt;"BR",SUMPRODUCT(Mecze[[#This Row],[/PR:90]:[/BR:90]],Brudnopis!$E$28:$J$28),0)</f>
        <v>7.1428571428571425E-2</v>
      </c>
      <c r="Y1769" s="35">
        <f>IF(Mecze[[#This Row],[Role]]="BR",Mecze[[#This Row],[/OB:90]]+Mecze[[#This Row],[/PC:90]],SUM(Mecze[[#This Row],[/PR:90]:[/BR:90]]))</f>
        <v>0.14285714285714285</v>
      </c>
      <c r="Z1769" s="35">
        <f>IF(Mecze[[#This Row],[KC]]=0,SUM(Mecze[[#This Row],[/BRI]:[/NPI]]),SUM(Mecze[[#This Row],[/BRI]:[/NPI]])*0.6)</f>
        <v>0.68367346938775508</v>
      </c>
      <c r="AA1769" s="10">
        <f>IFERROR(Mecze[[#This Row],[BR]]/Mecze[[#This Row],[ST]],0)</f>
        <v>0</v>
      </c>
      <c r="AB1769">
        <f>ROUND(Mecze[[#This Row],[PD]]*Mecze[[#This Row],[%PC]],0)</f>
        <v>5</v>
      </c>
      <c r="AC1769">
        <f>ROUND(Mecze[[#This Row],[OD]]*Mecze[[#This Row],[%OU]],0)</f>
        <v>2</v>
      </c>
      <c r="AD1769" s="36" t="s">
        <v>44</v>
      </c>
      <c r="AE1769" s="36">
        <v>97</v>
      </c>
      <c r="AF1769" s="71">
        <v>9.74</v>
      </c>
      <c r="AG1769" s="37">
        <v>0</v>
      </c>
      <c r="AH1769" s="37">
        <v>0</v>
      </c>
      <c r="AI1769" s="37">
        <v>98</v>
      </c>
      <c r="AJ1769" s="37">
        <v>1</v>
      </c>
      <c r="AK1769" s="37" t="str">
        <f>VLOOKUP(Mecze[[#This Row],[Match ID]],Meczusie[Mecz]:Meczusie[RodzajMeczu],2,FALSE)</f>
        <v>Towarzyski</v>
      </c>
    </row>
    <row r="1770" spans="1:37" x14ac:dyDescent="0.25">
      <c r="A1770" s="76">
        <v>27</v>
      </c>
      <c r="B1770" s="3" t="s">
        <v>364</v>
      </c>
      <c r="C1770" s="2" t="s">
        <v>165</v>
      </c>
      <c r="D1770" s="1">
        <v>1</v>
      </c>
      <c r="E1770" s="1">
        <v>7</v>
      </c>
      <c r="F1770" s="1">
        <v>7</v>
      </c>
      <c r="G1770" s="1">
        <v>7</v>
      </c>
      <c r="H1770" s="4">
        <v>0.43</v>
      </c>
      <c r="I1770" s="1">
        <v>7</v>
      </c>
      <c r="J1770" s="4">
        <v>0.28999999999999998</v>
      </c>
      <c r="K1770" s="1">
        <v>0</v>
      </c>
      <c r="L1770" s="1">
        <v>1</v>
      </c>
      <c r="M1770" s="32">
        <f>IF(Mecze[[#This Row],[PR]]=0,0,Mecze[[#This Row],[PR]]/Mecze[[#This Row],[CZAS]])</f>
        <v>1.020408163265306E-2</v>
      </c>
      <c r="N1770" s="32">
        <f>IF(Mecze[[#This Row],[OU]]=0,0,Mecze[[#This Row],[OU]]/Mecze[[#This Row],[CZAS]])</f>
        <v>2.0408163265306121E-2</v>
      </c>
      <c r="O1770" s="32">
        <f>IF(Mecze[[#This Row],[PC]]=0,0,Mecze[[#This Row],[PC]]/Mecze[[#This Row],[CZAS]])</f>
        <v>3.0612244897959183E-2</v>
      </c>
      <c r="P1770" s="32">
        <f>IF(Mecze[[#This Row],[SC]]=0,0,Mecze[[#This Row],[SC]]/Mecze[[#This Row],[CZAS]])</f>
        <v>7.1428571428571425E-2</v>
      </c>
      <c r="Q1770" s="32">
        <f>IF(Mecze[[#This Row],[OB]]=0,0,Mecze[[#This Row],[OB]]/Mecze[[#This Row],[CZAS]])</f>
        <v>0</v>
      </c>
      <c r="R1770" s="32">
        <f>IF(Mecze[[#This Row],[BR]]=0,0,Mecze[[#This Row],[BR]]/Mecze[[#This Row],[CZAS]])</f>
        <v>1.020408163265306E-2</v>
      </c>
      <c r="S1770" s="44">
        <f>IF(Mecze[[#This Row],[Role]]="BR",SUMPRODUCT(Mecze[[#This Row],[/PR:90]:[/BR:90]],Brudnopis!$E$23:$J$23),0)</f>
        <v>0</v>
      </c>
      <c r="T1770" s="44">
        <f>IF(Mecze[[#This Row],[Role]]&lt;&gt;"BR",SUMPRODUCT(Mecze[[#This Row],[/PR:90]:[/BR:90]],Brudnopis!$E$24:$J$24),0)</f>
        <v>0.15816326530612243</v>
      </c>
      <c r="U1770" s="44">
        <f>IF(Mecze[[#This Row],[Role]]&lt;&gt;"BR",SUMPRODUCT(Mecze[[#This Row],[/PR:90]:[/BR:90]],Brudnopis!$E$25:$J$25),0)</f>
        <v>0.16326530612244897</v>
      </c>
      <c r="V1770" s="44">
        <f>IF(Mecze[[#This Row],[Role]]&lt;&gt;"BR",SUMPRODUCT(Mecze[[#This Row],[/PR:90]:[/BR:90]],Brudnopis!$E$26:$J$26),0)</f>
        <v>0.15306122448979589</v>
      </c>
      <c r="W1770" s="44">
        <f>IF(Mecze[[#This Row],[Role]]&lt;&gt;"BR",SUMPRODUCT(Mecze[[#This Row],[/PR:90]:[/BR:90]],Brudnopis!$E$27:$J$27),0)</f>
        <v>0.1607142857142857</v>
      </c>
      <c r="X1770" s="44">
        <f>IF(Mecze[[#This Row],[Role]]&lt;&gt;"BR",SUMPRODUCT(Mecze[[#This Row],[/PR:90]:[/BR:90]],Brudnopis!$E$28:$J$28),0)</f>
        <v>0.20408163265306123</v>
      </c>
      <c r="Y1770" s="35">
        <f>IF(Mecze[[#This Row],[Role]]="BR",Mecze[[#This Row],[/OB:90]]+Mecze[[#This Row],[/PC:90]],SUM(Mecze[[#This Row],[/PR:90]:[/BR:90]]))</f>
        <v>0.14285714285714285</v>
      </c>
      <c r="Z1770" s="35">
        <f>IF(Mecze[[#This Row],[KC]]=0,SUM(Mecze[[#This Row],[/BRI]:[/NPI]]),SUM(Mecze[[#This Row],[/BRI]:[/NPI]])*0.6)</f>
        <v>0.83928571428571419</v>
      </c>
      <c r="AA1770" s="10">
        <f>IFERROR(Mecze[[#This Row],[BR]]/Mecze[[#This Row],[ST]],0)</f>
        <v>0.14285714285714285</v>
      </c>
      <c r="AB1770">
        <f>ROUND(Mecze[[#This Row],[PD]]*Mecze[[#This Row],[%PC]],0)</f>
        <v>3</v>
      </c>
      <c r="AC1770">
        <f>ROUND(Mecze[[#This Row],[OD]]*Mecze[[#This Row],[%OU]],0)</f>
        <v>2</v>
      </c>
      <c r="AD1770" s="36" t="s">
        <v>46</v>
      </c>
      <c r="AE1770" s="36">
        <v>97</v>
      </c>
      <c r="AF1770" s="71">
        <v>7.77</v>
      </c>
      <c r="AG1770" s="37">
        <v>0</v>
      </c>
      <c r="AH1770" s="37">
        <v>0</v>
      </c>
      <c r="AI1770" s="37">
        <v>98</v>
      </c>
      <c r="AJ1770" s="37">
        <v>1</v>
      </c>
      <c r="AK1770" s="37" t="str">
        <f>VLOOKUP(Mecze[[#This Row],[Match ID]],Meczusie[Mecz]:Meczusie[RodzajMeczu],2,FALSE)</f>
        <v>Towarzyski</v>
      </c>
    </row>
    <row r="1771" spans="1:37" x14ac:dyDescent="0.25">
      <c r="A1771" s="76">
        <v>48</v>
      </c>
      <c r="B1771" s="3" t="s">
        <v>414</v>
      </c>
      <c r="C1771" s="2" t="s">
        <v>165</v>
      </c>
      <c r="D1771" s="1">
        <v>0</v>
      </c>
      <c r="E1771" s="1">
        <v>3</v>
      </c>
      <c r="F1771" s="1">
        <v>2</v>
      </c>
      <c r="G1771" s="1">
        <v>3</v>
      </c>
      <c r="H1771" s="4">
        <v>0.67</v>
      </c>
      <c r="I1771" s="1">
        <v>4</v>
      </c>
      <c r="J1771" s="4">
        <v>0</v>
      </c>
      <c r="K1771" s="1">
        <v>0</v>
      </c>
      <c r="L1771" s="1">
        <v>0</v>
      </c>
      <c r="M1771" s="32">
        <f>IF(Mecze[[#This Row],[PR]]=0,0,Mecze[[#This Row],[PR]]/Mecze[[#This Row],[CZAS]])</f>
        <v>0</v>
      </c>
      <c r="N1771" s="32">
        <f>IF(Mecze[[#This Row],[OU]]=0,0,Mecze[[#This Row],[OU]]/Mecze[[#This Row],[CZAS]])</f>
        <v>0</v>
      </c>
      <c r="O1771" s="32">
        <f>IF(Mecze[[#This Row],[PC]]=0,0,Mecze[[#This Row],[PC]]/Mecze[[#This Row],[CZAS]])</f>
        <v>2.0408163265306121E-2</v>
      </c>
      <c r="P1771" s="32">
        <f>IF(Mecze[[#This Row],[SC]]=0,0,Mecze[[#This Row],[SC]]/Mecze[[#This Row],[CZAS]])</f>
        <v>2.0408163265306121E-2</v>
      </c>
      <c r="Q1771" s="32">
        <f>IF(Mecze[[#This Row],[OB]]=0,0,Mecze[[#This Row],[OB]]/Mecze[[#This Row],[CZAS]])</f>
        <v>0</v>
      </c>
      <c r="R1771" s="32">
        <f>IF(Mecze[[#This Row],[BR]]=0,0,Mecze[[#This Row],[BR]]/Mecze[[#This Row],[CZAS]])</f>
        <v>0</v>
      </c>
      <c r="S1771" s="44">
        <f>IF(Mecze[[#This Row],[Role]]="BR",SUMPRODUCT(Mecze[[#This Row],[/PR:90]:[/BR:90]],Brudnopis!$E$23:$J$23),0)</f>
        <v>0</v>
      </c>
      <c r="T1771" s="44">
        <f>IF(Mecze[[#This Row],[Role]]&lt;&gt;"BR",SUMPRODUCT(Mecze[[#This Row],[/PR:90]:[/BR:90]],Brudnopis!$E$24:$J$24),0)</f>
        <v>4.0816326530612242E-2</v>
      </c>
      <c r="U1771" s="44">
        <f>IF(Mecze[[#This Row],[Role]]&lt;&gt;"BR",SUMPRODUCT(Mecze[[#This Row],[/PR:90]:[/BR:90]],Brudnopis!$E$25:$J$25),0)</f>
        <v>5.1020408163265307E-2</v>
      </c>
      <c r="V1771" s="44">
        <f>IF(Mecze[[#This Row],[Role]]&lt;&gt;"BR",SUMPRODUCT(Mecze[[#This Row],[/PR:90]:[/BR:90]],Brudnopis!$E$26:$J$26),0)</f>
        <v>4.0816326530612242E-2</v>
      </c>
      <c r="W1771" s="44">
        <f>IF(Mecze[[#This Row],[Role]]&lt;&gt;"BR",SUMPRODUCT(Mecze[[#This Row],[/PR:90]:[/BR:90]],Brudnopis!$E$27:$J$27),0)</f>
        <v>5.1020408163265307E-2</v>
      </c>
      <c r="X1771" s="44">
        <f>IF(Mecze[[#This Row],[Role]]&lt;&gt;"BR",SUMPRODUCT(Mecze[[#This Row],[/PR:90]:[/BR:90]],Brudnopis!$E$28:$J$28),0)</f>
        <v>6.1224489795918366E-2</v>
      </c>
      <c r="Y1771" s="35">
        <f>IF(Mecze[[#This Row],[Role]]="BR",Mecze[[#This Row],[/OB:90]]+Mecze[[#This Row],[/PC:90]],SUM(Mecze[[#This Row],[/PR:90]:[/BR:90]]))</f>
        <v>4.0816326530612242E-2</v>
      </c>
      <c r="Z1771" s="35">
        <f>IF(Mecze[[#This Row],[KC]]=0,SUM(Mecze[[#This Row],[/BRI]:[/NPI]]),SUM(Mecze[[#This Row],[/BRI]:[/NPI]])*0.6)</f>
        <v>0.24489795918367346</v>
      </c>
      <c r="AA1771" s="10">
        <f>IFERROR(Mecze[[#This Row],[BR]]/Mecze[[#This Row],[ST]],0)</f>
        <v>0</v>
      </c>
      <c r="AB1771">
        <f>ROUND(Mecze[[#This Row],[PD]]*Mecze[[#This Row],[%PC]],0)</f>
        <v>2</v>
      </c>
      <c r="AC1771">
        <f>ROUND(Mecze[[#This Row],[OD]]*Mecze[[#This Row],[%OU]],0)</f>
        <v>0</v>
      </c>
      <c r="AD1771" s="36" t="s">
        <v>46</v>
      </c>
      <c r="AE1771" s="36">
        <v>97</v>
      </c>
      <c r="AF1771" s="71">
        <v>4.37</v>
      </c>
      <c r="AG1771" s="37">
        <v>0</v>
      </c>
      <c r="AH1771" s="37">
        <v>0</v>
      </c>
      <c r="AI1771" s="37">
        <v>98</v>
      </c>
      <c r="AJ1771" s="37">
        <v>1</v>
      </c>
      <c r="AK1771" s="37" t="str">
        <f>VLOOKUP(Mecze[[#This Row],[Match ID]],Meczusie[Mecz]:Meczusie[RodzajMeczu],2,FALSE)</f>
        <v>Towarzyski</v>
      </c>
    </row>
    <row r="1772" spans="1:37" x14ac:dyDescent="0.25">
      <c r="A1772" s="76">
        <v>26</v>
      </c>
      <c r="B1772" s="3" t="s">
        <v>368</v>
      </c>
      <c r="C1772" s="2" t="s">
        <v>165</v>
      </c>
      <c r="D1772" s="1">
        <v>1</v>
      </c>
      <c r="E1772" s="1">
        <v>4</v>
      </c>
      <c r="F1772" s="1">
        <v>4</v>
      </c>
      <c r="G1772" s="1">
        <v>5</v>
      </c>
      <c r="H1772" s="4">
        <v>0.8</v>
      </c>
      <c r="I1772" s="1">
        <v>4</v>
      </c>
      <c r="J1772" s="4">
        <v>0</v>
      </c>
      <c r="K1772" s="1">
        <v>0</v>
      </c>
      <c r="L1772" s="1">
        <v>0</v>
      </c>
      <c r="M1772" s="32">
        <f>IF(Mecze[[#This Row],[PR]]=0,0,Mecze[[#This Row],[PR]]/Mecze[[#This Row],[CZAS]])</f>
        <v>0</v>
      </c>
      <c r="N1772" s="32">
        <f>IF(Mecze[[#This Row],[OU]]=0,0,Mecze[[#This Row],[OU]]/Mecze[[#This Row],[CZAS]])</f>
        <v>0</v>
      </c>
      <c r="O1772" s="32">
        <f>IF(Mecze[[#This Row],[PC]]=0,0,Mecze[[#This Row],[PC]]/Mecze[[#This Row],[CZAS]])</f>
        <v>4.0816326530612242E-2</v>
      </c>
      <c r="P1772" s="32">
        <f>IF(Mecze[[#This Row],[SC]]=0,0,Mecze[[#This Row],[SC]]/Mecze[[#This Row],[CZAS]])</f>
        <v>4.0816326530612242E-2</v>
      </c>
      <c r="Q1772" s="32">
        <f>IF(Mecze[[#This Row],[OB]]=0,0,Mecze[[#This Row],[OB]]/Mecze[[#This Row],[CZAS]])</f>
        <v>0</v>
      </c>
      <c r="R1772" s="32">
        <f>IF(Mecze[[#This Row],[BR]]=0,0,Mecze[[#This Row],[BR]]/Mecze[[#This Row],[CZAS]])</f>
        <v>1.020408163265306E-2</v>
      </c>
      <c r="S1772" s="44">
        <f>IF(Mecze[[#This Row],[Role]]="BR",SUMPRODUCT(Mecze[[#This Row],[/PR:90]:[/BR:90]],Brudnopis!$E$23:$J$23),0)</f>
        <v>0</v>
      </c>
      <c r="T1772" s="44">
        <f>IF(Mecze[[#This Row],[Role]]&lt;&gt;"BR",SUMPRODUCT(Mecze[[#This Row],[/PR:90]:[/BR:90]],Brudnopis!$E$24:$J$24),0)</f>
        <v>9.6938775510204078E-2</v>
      </c>
      <c r="U1772" s="44">
        <f>IF(Mecze[[#This Row],[Role]]&lt;&gt;"BR",SUMPRODUCT(Mecze[[#This Row],[/PR:90]:[/BR:90]],Brudnopis!$E$25:$J$25),0)</f>
        <v>0.11734693877551021</v>
      </c>
      <c r="V1772" s="44">
        <f>IF(Mecze[[#This Row],[Role]]&lt;&gt;"BR",SUMPRODUCT(Mecze[[#This Row],[/PR:90]:[/BR:90]],Brudnopis!$E$26:$J$26),0)</f>
        <v>0.1020408163265306</v>
      </c>
      <c r="W1772" s="44">
        <f>IF(Mecze[[#This Row],[Role]]&lt;&gt;"BR",SUMPRODUCT(Mecze[[#This Row],[/PR:90]:[/BR:90]],Brudnopis!$E$27:$J$27),0)</f>
        <v>0.12244897959183673</v>
      </c>
      <c r="X1772" s="44">
        <f>IF(Mecze[[#This Row],[Role]]&lt;&gt;"BR",SUMPRODUCT(Mecze[[#This Row],[/PR:90]:[/BR:90]],Brudnopis!$E$28:$J$28),0)</f>
        <v>0.15306122448979592</v>
      </c>
      <c r="Y1772" s="35">
        <f>IF(Mecze[[#This Row],[Role]]="BR",Mecze[[#This Row],[/OB:90]]+Mecze[[#This Row],[/PC:90]],SUM(Mecze[[#This Row],[/PR:90]:[/BR:90]]))</f>
        <v>9.1836734693877542E-2</v>
      </c>
      <c r="Z1772" s="35">
        <f>IF(Mecze[[#This Row],[KC]]=0,SUM(Mecze[[#This Row],[/BRI]:[/NPI]]),SUM(Mecze[[#This Row],[/BRI]:[/NPI]])*0.6)</f>
        <v>0.59183673469387754</v>
      </c>
      <c r="AA1772" s="10">
        <f>IFERROR(Mecze[[#This Row],[BR]]/Mecze[[#This Row],[ST]],0)</f>
        <v>0.25</v>
      </c>
      <c r="AB1772">
        <f>ROUND(Mecze[[#This Row],[PD]]*Mecze[[#This Row],[%PC]],0)</f>
        <v>4</v>
      </c>
      <c r="AC1772">
        <f>ROUND(Mecze[[#This Row],[OD]]*Mecze[[#This Row],[%OU]],0)</f>
        <v>0</v>
      </c>
      <c r="AD1772" s="36" t="s">
        <v>46</v>
      </c>
      <c r="AE1772" s="36">
        <v>97</v>
      </c>
      <c r="AF1772" s="71">
        <v>9.36</v>
      </c>
      <c r="AG1772" s="37">
        <v>0</v>
      </c>
      <c r="AH1772" s="37">
        <v>0</v>
      </c>
      <c r="AI1772" s="37">
        <v>98</v>
      </c>
      <c r="AJ1772" s="37">
        <v>1</v>
      </c>
      <c r="AK1772" s="37" t="str">
        <f>VLOOKUP(Mecze[[#This Row],[Match ID]],Meczusie[Mecz]:Meczusie[RodzajMeczu],2,FALSE)</f>
        <v>Towarzyski</v>
      </c>
    </row>
    <row r="1773" spans="1:37" x14ac:dyDescent="0.25">
      <c r="A1773" s="76">
        <v>1</v>
      </c>
      <c r="B1773" s="3" t="s">
        <v>220</v>
      </c>
      <c r="C1773" s="2" t="s">
        <v>155</v>
      </c>
      <c r="D1773" s="1">
        <v>0</v>
      </c>
      <c r="E1773" s="1">
        <v>0</v>
      </c>
      <c r="F1773" s="1">
        <v>0</v>
      </c>
      <c r="G1773" s="1">
        <v>11</v>
      </c>
      <c r="H1773" s="4">
        <v>0.73</v>
      </c>
      <c r="I1773" s="1">
        <v>0</v>
      </c>
      <c r="J1773" s="4"/>
      <c r="K1773" s="1">
        <v>17</v>
      </c>
      <c r="L1773" s="1">
        <v>0</v>
      </c>
      <c r="M1773" s="32">
        <f>IF(Mecze[[#This Row],[PR]]=0,0,Mecze[[#This Row],[PR]]/Mecze[[#This Row],[CZAS]])</f>
        <v>0</v>
      </c>
      <c r="N1773" s="32">
        <f>IF(Mecze[[#This Row],[OU]]=0,0,Mecze[[#This Row],[OU]]/Mecze[[#This Row],[CZAS]])</f>
        <v>0</v>
      </c>
      <c r="O1773" s="32">
        <f>IF(Mecze[[#This Row],[PC]]=0,0,Mecze[[#This Row],[PC]]/Mecze[[#This Row],[CZAS]])</f>
        <v>8.3333333333333329E-2</v>
      </c>
      <c r="P1773" s="32">
        <f>IF(Mecze[[#This Row],[SC]]=0,0,Mecze[[#This Row],[SC]]/Mecze[[#This Row],[CZAS]])</f>
        <v>0</v>
      </c>
      <c r="Q1773" s="32">
        <f>IF(Mecze[[#This Row],[OB]]=0,0,Mecze[[#This Row],[OB]]/Mecze[[#This Row],[CZAS]])</f>
        <v>0.17708333333333334</v>
      </c>
      <c r="R1773" s="32">
        <f>IF(Mecze[[#This Row],[BR]]=0,0,Mecze[[#This Row],[BR]]/Mecze[[#This Row],[CZAS]])</f>
        <v>0</v>
      </c>
      <c r="S1773" s="44">
        <f>IF(Mecze[[#This Row],[Role]]="BR",SUMPRODUCT(Mecze[[#This Row],[/PR:90]:[/BR:90]],Brudnopis!$E$23:$J$23),0)</f>
        <v>0.78125</v>
      </c>
      <c r="T1773" s="44">
        <f>IF(Mecze[[#This Row],[Role]]&lt;&gt;"BR",SUMPRODUCT(Mecze[[#This Row],[/PR:90]:[/BR:90]],Brudnopis!$E$24:$J$24),0)</f>
        <v>0</v>
      </c>
      <c r="U1773" s="44">
        <f>IF(Mecze[[#This Row],[Role]]&lt;&gt;"BR",SUMPRODUCT(Mecze[[#This Row],[/PR:90]:[/BR:90]],Brudnopis!$E$25:$J$25),0)</f>
        <v>0</v>
      </c>
      <c r="V1773" s="44">
        <f>IF(Mecze[[#This Row],[Role]]&lt;&gt;"BR",SUMPRODUCT(Mecze[[#This Row],[/PR:90]:[/BR:90]],Brudnopis!$E$26:$J$26),0)</f>
        <v>0</v>
      </c>
      <c r="W1773" s="44">
        <f>IF(Mecze[[#This Row],[Role]]&lt;&gt;"BR",SUMPRODUCT(Mecze[[#This Row],[/PR:90]:[/BR:90]],Brudnopis!$E$27:$J$27),0)</f>
        <v>0</v>
      </c>
      <c r="X1773" s="44">
        <f>IF(Mecze[[#This Row],[Role]]&lt;&gt;"BR",SUMPRODUCT(Mecze[[#This Row],[/PR:90]:[/BR:90]],Brudnopis!$E$28:$J$28),0)</f>
        <v>0</v>
      </c>
      <c r="Y1773" s="35">
        <f>IF(Mecze[[#This Row],[Role]]="BR",Mecze[[#This Row],[/OB:90]]+Mecze[[#This Row],[/PC:90]],SUM(Mecze[[#This Row],[/PR:90]:[/BR:90]]))</f>
        <v>0.26041666666666669</v>
      </c>
      <c r="Z1773" s="35">
        <f>IF(Mecze[[#This Row],[KC]]=0,SUM(Mecze[[#This Row],[/BRI]:[/NPI]]),SUM(Mecze[[#This Row],[/BRI]:[/NPI]])*0.6)</f>
        <v>0.78125</v>
      </c>
      <c r="AA1773" s="10">
        <f>IFERROR(Mecze[[#This Row],[BR]]/Mecze[[#This Row],[ST]],0)</f>
        <v>0</v>
      </c>
      <c r="AB1773">
        <f>ROUND(Mecze[[#This Row],[PD]]*Mecze[[#This Row],[%PC]],0)</f>
        <v>8</v>
      </c>
      <c r="AC1773">
        <f>ROUND(Mecze[[#This Row],[OD]]*Mecze[[#This Row],[%OU]],0)</f>
        <v>0</v>
      </c>
      <c r="AD1773" s="36" t="s">
        <v>40</v>
      </c>
      <c r="AE1773" s="36">
        <v>98</v>
      </c>
      <c r="AF1773" s="71">
        <v>14.21</v>
      </c>
      <c r="AG1773" s="37">
        <v>0</v>
      </c>
      <c r="AH1773" s="37">
        <v>0</v>
      </c>
      <c r="AI1773" s="37">
        <v>96</v>
      </c>
      <c r="AJ1773" s="37">
        <v>2</v>
      </c>
      <c r="AK1773" s="37" t="str">
        <f>VLOOKUP(Mecze[[#This Row],[Match ID]],Meczusie[Mecz]:Meczusie[RodzajMeczu],2,FALSE)</f>
        <v>Liga</v>
      </c>
    </row>
    <row r="1774" spans="1:37" x14ac:dyDescent="0.25">
      <c r="A1774" s="76">
        <v>3</v>
      </c>
      <c r="B1774" s="3" t="s">
        <v>222</v>
      </c>
      <c r="C1774" s="2" t="s">
        <v>157</v>
      </c>
      <c r="D1774" s="1">
        <v>0</v>
      </c>
      <c r="E1774" s="1">
        <v>0</v>
      </c>
      <c r="F1774" s="1">
        <v>0</v>
      </c>
      <c r="G1774" s="1">
        <v>6</v>
      </c>
      <c r="H1774" s="4">
        <v>0.67</v>
      </c>
      <c r="I1774" s="1">
        <v>9</v>
      </c>
      <c r="J1774" s="4">
        <v>0.56000000000000005</v>
      </c>
      <c r="K1774" s="1">
        <v>0</v>
      </c>
      <c r="L1774" s="1">
        <v>4</v>
      </c>
      <c r="M1774" s="32">
        <f>IF(Mecze[[#This Row],[PR]]=0,0,Mecze[[#This Row],[PR]]/Mecze[[#This Row],[CZAS]])</f>
        <v>4.1666666666666664E-2</v>
      </c>
      <c r="N1774" s="32">
        <f>IF(Mecze[[#This Row],[OU]]=0,0,Mecze[[#This Row],[OU]]/Mecze[[#This Row],[CZAS]])</f>
        <v>5.2083333333333336E-2</v>
      </c>
      <c r="O1774" s="32">
        <f>IF(Mecze[[#This Row],[PC]]=0,0,Mecze[[#This Row],[PC]]/Mecze[[#This Row],[CZAS]])</f>
        <v>4.1666666666666664E-2</v>
      </c>
      <c r="P1774" s="32">
        <f>IF(Mecze[[#This Row],[SC]]=0,0,Mecze[[#This Row],[SC]]/Mecze[[#This Row],[CZAS]])</f>
        <v>0</v>
      </c>
      <c r="Q1774" s="32">
        <f>IF(Mecze[[#This Row],[OB]]=0,0,Mecze[[#This Row],[OB]]/Mecze[[#This Row],[CZAS]])</f>
        <v>0</v>
      </c>
      <c r="R1774" s="32">
        <f>IF(Mecze[[#This Row],[BR]]=0,0,Mecze[[#This Row],[BR]]/Mecze[[#This Row],[CZAS]])</f>
        <v>0</v>
      </c>
      <c r="S1774" s="44">
        <f>IF(Mecze[[#This Row],[Role]]="BR",SUMPRODUCT(Mecze[[#This Row],[/PR:90]:[/BR:90]],Brudnopis!$E$23:$J$23),0)</f>
        <v>0</v>
      </c>
      <c r="T1774" s="44">
        <f>IF(Mecze[[#This Row],[Role]]&lt;&gt;"BR",SUMPRODUCT(Mecze[[#This Row],[/PR:90]:[/BR:90]],Brudnopis!$E$24:$J$24),0)</f>
        <v>0.16145833333333331</v>
      </c>
      <c r="U1774" s="44">
        <f>IF(Mecze[[#This Row],[Role]]&lt;&gt;"BR",SUMPRODUCT(Mecze[[#This Row],[/PR:90]:[/BR:90]],Brudnopis!$E$25:$J$25),0)</f>
        <v>0.15625</v>
      </c>
      <c r="V1774" s="44">
        <f>IF(Mecze[[#This Row],[Role]]&lt;&gt;"BR",SUMPRODUCT(Mecze[[#This Row],[/PR:90]:[/BR:90]],Brudnopis!$E$26:$J$26),0)</f>
        <v>0.13541666666666666</v>
      </c>
      <c r="W1774" s="44">
        <f>IF(Mecze[[#This Row],[Role]]&lt;&gt;"BR",SUMPRODUCT(Mecze[[#This Row],[/PR:90]:[/BR:90]],Brudnopis!$E$27:$J$27),0)</f>
        <v>0.1328125</v>
      </c>
      <c r="X1774" s="44">
        <f>IF(Mecze[[#This Row],[Role]]&lt;&gt;"BR",SUMPRODUCT(Mecze[[#This Row],[/PR:90]:[/BR:90]],Brudnopis!$E$28:$J$28),0)</f>
        <v>4.1666666666666664E-2</v>
      </c>
      <c r="Y1774" s="35">
        <f>IF(Mecze[[#This Row],[Role]]="BR",Mecze[[#This Row],[/OB:90]]+Mecze[[#This Row],[/PC:90]],SUM(Mecze[[#This Row],[/PR:90]:[/BR:90]]))</f>
        <v>0.13541666666666666</v>
      </c>
      <c r="Z1774" s="35">
        <f>IF(Mecze[[#This Row],[KC]]=0,SUM(Mecze[[#This Row],[/BRI]:[/NPI]]),SUM(Mecze[[#This Row],[/BRI]:[/NPI]])*0.6)</f>
        <v>0.62760416666666663</v>
      </c>
      <c r="AA1774" s="10">
        <f>IFERROR(Mecze[[#This Row],[BR]]/Mecze[[#This Row],[ST]],0)</f>
        <v>0</v>
      </c>
      <c r="AB1774">
        <f>ROUND(Mecze[[#This Row],[PD]]*Mecze[[#This Row],[%PC]],0)</f>
        <v>4</v>
      </c>
      <c r="AC1774">
        <f>ROUND(Mecze[[#This Row],[OD]]*Mecze[[#This Row],[%OU]],0)</f>
        <v>5</v>
      </c>
      <c r="AD1774" s="36" t="s">
        <v>47</v>
      </c>
      <c r="AE1774" s="36">
        <v>98</v>
      </c>
      <c r="AF1774" s="71">
        <v>9</v>
      </c>
      <c r="AG1774" s="37">
        <v>0</v>
      </c>
      <c r="AH1774" s="37">
        <v>0</v>
      </c>
      <c r="AI1774" s="37">
        <v>96</v>
      </c>
      <c r="AJ1774" s="37">
        <v>2</v>
      </c>
      <c r="AK1774" s="37" t="str">
        <f>VLOOKUP(Mecze[[#This Row],[Match ID]],Meczusie[Mecz]:Meczusie[RodzajMeczu],2,FALSE)</f>
        <v>Liga</v>
      </c>
    </row>
    <row r="1775" spans="1:37" x14ac:dyDescent="0.25">
      <c r="A1775" s="76">
        <v>4</v>
      </c>
      <c r="B1775" s="3" t="s">
        <v>221</v>
      </c>
      <c r="C1775" s="2" t="s">
        <v>157</v>
      </c>
      <c r="D1775" s="1">
        <v>0</v>
      </c>
      <c r="E1775" s="1">
        <v>0</v>
      </c>
      <c r="F1775" s="1">
        <v>0</v>
      </c>
      <c r="G1775" s="1">
        <v>16</v>
      </c>
      <c r="H1775" s="4">
        <v>0.56000000000000005</v>
      </c>
      <c r="I1775" s="1">
        <v>14</v>
      </c>
      <c r="J1775" s="4">
        <v>0.64</v>
      </c>
      <c r="K1775" s="1">
        <v>0</v>
      </c>
      <c r="L1775" s="1">
        <v>4</v>
      </c>
      <c r="M1775" s="32">
        <f>IF(Mecze[[#This Row],[PR]]=0,0,Mecze[[#This Row],[PR]]/Mecze[[#This Row],[CZAS]])</f>
        <v>4.1666666666666664E-2</v>
      </c>
      <c r="N1775" s="32">
        <f>IF(Mecze[[#This Row],[OU]]=0,0,Mecze[[#This Row],[OU]]/Mecze[[#This Row],[CZAS]])</f>
        <v>9.375E-2</v>
      </c>
      <c r="O1775" s="32">
        <f>IF(Mecze[[#This Row],[PC]]=0,0,Mecze[[#This Row],[PC]]/Mecze[[#This Row],[CZAS]])</f>
        <v>9.375E-2</v>
      </c>
      <c r="P1775" s="32">
        <f>IF(Mecze[[#This Row],[SC]]=0,0,Mecze[[#This Row],[SC]]/Mecze[[#This Row],[CZAS]])</f>
        <v>0</v>
      </c>
      <c r="Q1775" s="32">
        <f>IF(Mecze[[#This Row],[OB]]=0,0,Mecze[[#This Row],[OB]]/Mecze[[#This Row],[CZAS]])</f>
        <v>0</v>
      </c>
      <c r="R1775" s="32">
        <f>IF(Mecze[[#This Row],[BR]]=0,0,Mecze[[#This Row],[BR]]/Mecze[[#This Row],[CZAS]])</f>
        <v>0</v>
      </c>
      <c r="S1775" s="44">
        <f>IF(Mecze[[#This Row],[Role]]="BR",SUMPRODUCT(Mecze[[#This Row],[/PR:90]:[/BR:90]],Brudnopis!$E$23:$J$23),0)</f>
        <v>0</v>
      </c>
      <c r="T1775" s="44">
        <f>IF(Mecze[[#This Row],[Role]]&lt;&gt;"BR",SUMPRODUCT(Mecze[[#This Row],[/PR:90]:[/BR:90]],Brudnopis!$E$24:$J$24),0)</f>
        <v>0.27604166666666663</v>
      </c>
      <c r="U1775" s="44">
        <f>IF(Mecze[[#This Row],[Role]]&lt;&gt;"BR",SUMPRODUCT(Mecze[[#This Row],[/PR:90]:[/BR:90]],Brudnopis!$E$25:$J$25),0)</f>
        <v>0.27604166666666663</v>
      </c>
      <c r="V1775" s="44">
        <f>IF(Mecze[[#This Row],[Role]]&lt;&gt;"BR",SUMPRODUCT(Mecze[[#This Row],[/PR:90]:[/BR:90]],Brudnopis!$E$26:$J$26),0)</f>
        <v>0.22916666666666666</v>
      </c>
      <c r="W1775" s="44">
        <f>IF(Mecze[[#This Row],[Role]]&lt;&gt;"BR",SUMPRODUCT(Mecze[[#This Row],[/PR:90]:[/BR:90]],Brudnopis!$E$27:$J$27),0)</f>
        <v>0.2421875</v>
      </c>
      <c r="X1775" s="44">
        <f>IF(Mecze[[#This Row],[Role]]&lt;&gt;"BR",SUMPRODUCT(Mecze[[#This Row],[/PR:90]:[/BR:90]],Brudnopis!$E$28:$J$28),0)</f>
        <v>9.375E-2</v>
      </c>
      <c r="Y1775" s="35">
        <f>IF(Mecze[[#This Row],[Role]]="BR",Mecze[[#This Row],[/OB:90]]+Mecze[[#This Row],[/PC:90]],SUM(Mecze[[#This Row],[/PR:90]:[/BR:90]]))</f>
        <v>0.22916666666666666</v>
      </c>
      <c r="Z1775" s="35">
        <f>IF(Mecze[[#This Row],[KC]]=0,SUM(Mecze[[#This Row],[/BRI]:[/NPI]]),SUM(Mecze[[#This Row],[/BRI]:[/NPI]])*0.6)</f>
        <v>1.1171875</v>
      </c>
      <c r="AA1775" s="10">
        <f>IFERROR(Mecze[[#This Row],[BR]]/Mecze[[#This Row],[ST]],0)</f>
        <v>0</v>
      </c>
      <c r="AB1775">
        <f>ROUND(Mecze[[#This Row],[PD]]*Mecze[[#This Row],[%PC]],0)</f>
        <v>9</v>
      </c>
      <c r="AC1775">
        <f>ROUND(Mecze[[#This Row],[OD]]*Mecze[[#This Row],[%OU]],0)</f>
        <v>9</v>
      </c>
      <c r="AD1775" s="36" t="s">
        <v>47</v>
      </c>
      <c r="AE1775" s="36">
        <v>98</v>
      </c>
      <c r="AF1775" s="71">
        <v>9</v>
      </c>
      <c r="AG1775" s="37">
        <v>0</v>
      </c>
      <c r="AH1775" s="37">
        <v>0</v>
      </c>
      <c r="AI1775" s="37">
        <v>96</v>
      </c>
      <c r="AJ1775" s="37">
        <v>2</v>
      </c>
      <c r="AK1775" s="37" t="str">
        <f>VLOOKUP(Mecze[[#This Row],[Match ID]],Meczusie[Mecz]:Meczusie[RodzajMeczu],2,FALSE)</f>
        <v>Liga</v>
      </c>
    </row>
    <row r="1776" spans="1:37" x14ac:dyDescent="0.25">
      <c r="A1776" s="76">
        <v>5</v>
      </c>
      <c r="B1776" s="3" t="s">
        <v>223</v>
      </c>
      <c r="C1776" s="2" t="s">
        <v>157</v>
      </c>
      <c r="D1776" s="1">
        <v>0</v>
      </c>
      <c r="E1776" s="1">
        <v>0</v>
      </c>
      <c r="F1776" s="1">
        <v>0</v>
      </c>
      <c r="G1776" s="1">
        <v>5</v>
      </c>
      <c r="H1776" s="4">
        <v>0.8</v>
      </c>
      <c r="I1776" s="1">
        <v>3</v>
      </c>
      <c r="J1776" s="4">
        <v>0.67</v>
      </c>
      <c r="K1776" s="1">
        <v>0</v>
      </c>
      <c r="L1776" s="1">
        <v>3</v>
      </c>
      <c r="M1776" s="32">
        <f>IF(Mecze[[#This Row],[PR]]=0,0,Mecze[[#This Row],[PR]]/Mecze[[#This Row],[CZAS]])</f>
        <v>3.125E-2</v>
      </c>
      <c r="N1776" s="32">
        <f>IF(Mecze[[#This Row],[OU]]=0,0,Mecze[[#This Row],[OU]]/Mecze[[#This Row],[CZAS]])</f>
        <v>2.0833333333333332E-2</v>
      </c>
      <c r="O1776" s="32">
        <f>IF(Mecze[[#This Row],[PC]]=0,0,Mecze[[#This Row],[PC]]/Mecze[[#This Row],[CZAS]])</f>
        <v>4.1666666666666664E-2</v>
      </c>
      <c r="P1776" s="32">
        <f>IF(Mecze[[#This Row],[SC]]=0,0,Mecze[[#This Row],[SC]]/Mecze[[#This Row],[CZAS]])</f>
        <v>0</v>
      </c>
      <c r="Q1776" s="32">
        <f>IF(Mecze[[#This Row],[OB]]=0,0,Mecze[[#This Row],[OB]]/Mecze[[#This Row],[CZAS]])</f>
        <v>0</v>
      </c>
      <c r="R1776" s="32">
        <f>IF(Mecze[[#This Row],[BR]]=0,0,Mecze[[#This Row],[BR]]/Mecze[[#This Row],[CZAS]])</f>
        <v>0</v>
      </c>
      <c r="S1776" s="44">
        <f>IF(Mecze[[#This Row],[Role]]="BR",SUMPRODUCT(Mecze[[#This Row],[/PR:90]:[/BR:90]],Brudnopis!$E$23:$J$23),0)</f>
        <v>0</v>
      </c>
      <c r="T1776" s="44">
        <f>IF(Mecze[[#This Row],[Role]]&lt;&gt;"BR",SUMPRODUCT(Mecze[[#This Row],[/PR:90]:[/BR:90]],Brudnopis!$E$24:$J$24),0)</f>
        <v>0.10416666666666666</v>
      </c>
      <c r="U1776" s="44">
        <f>IF(Mecze[[#This Row],[Role]]&lt;&gt;"BR",SUMPRODUCT(Mecze[[#This Row],[/PR:90]:[/BR:90]],Brudnopis!$E$25:$J$25),0)</f>
        <v>0.11458333333333333</v>
      </c>
      <c r="V1776" s="44">
        <f>IF(Mecze[[#This Row],[Role]]&lt;&gt;"BR",SUMPRODUCT(Mecze[[#This Row],[/PR:90]:[/BR:90]],Brudnopis!$E$26:$J$26),0)</f>
        <v>9.375E-2</v>
      </c>
      <c r="W1776" s="44">
        <f>IF(Mecze[[#This Row],[Role]]&lt;&gt;"BR",SUMPRODUCT(Mecze[[#This Row],[/PR:90]:[/BR:90]],Brudnopis!$E$27:$J$27),0)</f>
        <v>0.1015625</v>
      </c>
      <c r="X1776" s="44">
        <f>IF(Mecze[[#This Row],[Role]]&lt;&gt;"BR",SUMPRODUCT(Mecze[[#This Row],[/PR:90]:[/BR:90]],Brudnopis!$E$28:$J$28),0)</f>
        <v>4.1666666666666664E-2</v>
      </c>
      <c r="Y1776" s="35">
        <f>IF(Mecze[[#This Row],[Role]]="BR",Mecze[[#This Row],[/OB:90]]+Mecze[[#This Row],[/PC:90]],SUM(Mecze[[#This Row],[/PR:90]:[/BR:90]]))</f>
        <v>9.375E-2</v>
      </c>
      <c r="Z1776" s="35">
        <f>IF(Mecze[[#This Row],[KC]]=0,SUM(Mecze[[#This Row],[/BRI]:[/NPI]]),SUM(Mecze[[#This Row],[/BRI]:[/NPI]])*0.6)</f>
        <v>0.45572916666666669</v>
      </c>
      <c r="AA1776" s="10">
        <f>IFERROR(Mecze[[#This Row],[BR]]/Mecze[[#This Row],[ST]],0)</f>
        <v>0</v>
      </c>
      <c r="AB1776">
        <f>ROUND(Mecze[[#This Row],[PD]]*Mecze[[#This Row],[%PC]],0)</f>
        <v>4</v>
      </c>
      <c r="AC1776">
        <f>ROUND(Mecze[[#This Row],[OD]]*Mecze[[#This Row],[%OU]],0)</f>
        <v>2</v>
      </c>
      <c r="AD1776" s="36" t="s">
        <v>174</v>
      </c>
      <c r="AE1776" s="36">
        <v>98</v>
      </c>
      <c r="AF1776" s="71">
        <v>8.7899999999999991</v>
      </c>
      <c r="AG1776" s="37">
        <v>0</v>
      </c>
      <c r="AH1776" s="37">
        <v>0</v>
      </c>
      <c r="AI1776" s="37">
        <v>96</v>
      </c>
      <c r="AJ1776" s="37">
        <v>2</v>
      </c>
      <c r="AK1776" s="37" t="str">
        <f>VLOOKUP(Mecze[[#This Row],[Match ID]],Meczusie[Mecz]:Meczusie[RodzajMeczu],2,FALSE)</f>
        <v>Liga</v>
      </c>
    </row>
    <row r="1777" spans="1:37" x14ac:dyDescent="0.25">
      <c r="A1777" s="76">
        <v>2</v>
      </c>
      <c r="B1777" s="3" t="s">
        <v>224</v>
      </c>
      <c r="C1777" s="2" t="s">
        <v>157</v>
      </c>
      <c r="D1777" s="1">
        <v>0</v>
      </c>
      <c r="E1777" s="1">
        <v>0</v>
      </c>
      <c r="F1777" s="1">
        <v>0</v>
      </c>
      <c r="G1777" s="1">
        <v>1</v>
      </c>
      <c r="H1777" s="4">
        <v>0</v>
      </c>
      <c r="I1777" s="1">
        <v>0</v>
      </c>
      <c r="J1777" s="4"/>
      <c r="K1777" s="1">
        <v>0</v>
      </c>
      <c r="L1777" s="1">
        <v>1</v>
      </c>
      <c r="M1777" s="32">
        <f>IF(Mecze[[#This Row],[PR]]=0,0,Mecze[[#This Row],[PR]]/Mecze[[#This Row],[CZAS]])</f>
        <v>1.0416666666666666E-2</v>
      </c>
      <c r="N1777" s="32">
        <f>IF(Mecze[[#This Row],[OU]]=0,0,Mecze[[#This Row],[OU]]/Mecze[[#This Row],[CZAS]])</f>
        <v>0</v>
      </c>
      <c r="O1777" s="32">
        <f>IF(Mecze[[#This Row],[PC]]=0,0,Mecze[[#This Row],[PC]]/Mecze[[#This Row],[CZAS]])</f>
        <v>0</v>
      </c>
      <c r="P1777" s="32">
        <f>IF(Mecze[[#This Row],[SC]]=0,0,Mecze[[#This Row],[SC]]/Mecze[[#This Row],[CZAS]])</f>
        <v>0</v>
      </c>
      <c r="Q1777" s="32">
        <f>IF(Mecze[[#This Row],[OB]]=0,0,Mecze[[#This Row],[OB]]/Mecze[[#This Row],[CZAS]])</f>
        <v>0</v>
      </c>
      <c r="R1777" s="32">
        <f>IF(Mecze[[#This Row],[BR]]=0,0,Mecze[[#This Row],[BR]]/Mecze[[#This Row],[CZAS]])</f>
        <v>0</v>
      </c>
      <c r="S1777" s="44">
        <f>IF(Mecze[[#This Row],[Role]]="BR",SUMPRODUCT(Mecze[[#This Row],[/PR:90]:[/BR:90]],Brudnopis!$E$23:$J$23),0)</f>
        <v>0</v>
      </c>
      <c r="T1777" s="44">
        <f>IF(Mecze[[#This Row],[Role]]&lt;&gt;"BR",SUMPRODUCT(Mecze[[#This Row],[/PR:90]:[/BR:90]],Brudnopis!$E$24:$J$24),0)</f>
        <v>1.0416666666666666E-2</v>
      </c>
      <c r="U1777" s="44">
        <f>IF(Mecze[[#This Row],[Role]]&lt;&gt;"BR",SUMPRODUCT(Mecze[[#This Row],[/PR:90]:[/BR:90]],Brudnopis!$E$25:$J$25),0)</f>
        <v>1.0416666666666666E-2</v>
      </c>
      <c r="V1777" s="44">
        <f>IF(Mecze[[#This Row],[Role]]&lt;&gt;"BR",SUMPRODUCT(Mecze[[#This Row],[/PR:90]:[/BR:90]],Brudnopis!$E$26:$J$26),0)</f>
        <v>1.0416666666666666E-2</v>
      </c>
      <c r="W1777" s="44">
        <f>IF(Mecze[[#This Row],[Role]]&lt;&gt;"BR",SUMPRODUCT(Mecze[[#This Row],[/PR:90]:[/BR:90]],Brudnopis!$E$27:$J$27),0)</f>
        <v>7.8125E-3</v>
      </c>
      <c r="X1777" s="44">
        <f>IF(Mecze[[#This Row],[Role]]&lt;&gt;"BR",SUMPRODUCT(Mecze[[#This Row],[/PR:90]:[/BR:90]],Brudnopis!$E$28:$J$28),0)</f>
        <v>0</v>
      </c>
      <c r="Y1777" s="35">
        <f>IF(Mecze[[#This Row],[Role]]="BR",Mecze[[#This Row],[/OB:90]]+Mecze[[#This Row],[/PC:90]],SUM(Mecze[[#This Row],[/PR:90]:[/BR:90]]))</f>
        <v>1.0416666666666666E-2</v>
      </c>
      <c r="Z1777" s="35">
        <f>IF(Mecze[[#This Row],[KC]]=0,SUM(Mecze[[#This Row],[/BRI]:[/NPI]]),SUM(Mecze[[#This Row],[/BRI]:[/NPI]])*0.6)</f>
        <v>3.90625E-2</v>
      </c>
      <c r="AA1777" s="10">
        <f>IFERROR(Mecze[[#This Row],[BR]]/Mecze[[#This Row],[ST]],0)</f>
        <v>0</v>
      </c>
      <c r="AB1777">
        <f>ROUND(Mecze[[#This Row],[PD]]*Mecze[[#This Row],[%PC]],0)</f>
        <v>0</v>
      </c>
      <c r="AC1777">
        <f>ROUND(Mecze[[#This Row],[OD]]*Mecze[[#This Row],[%OU]],0)</f>
        <v>0</v>
      </c>
      <c r="AD1777" s="36" t="s">
        <v>175</v>
      </c>
      <c r="AE1777" s="36">
        <v>98</v>
      </c>
      <c r="AF1777" s="71">
        <v>7.25</v>
      </c>
      <c r="AG1777" s="37">
        <v>0</v>
      </c>
      <c r="AH1777" s="37">
        <v>0</v>
      </c>
      <c r="AI1777" s="37">
        <v>96</v>
      </c>
      <c r="AJ1777" s="37">
        <v>2</v>
      </c>
      <c r="AK1777" s="37" t="str">
        <f>VLOOKUP(Mecze[[#This Row],[Match ID]],Meczusie[Mecz]:Meczusie[RodzajMeczu],2,FALSE)</f>
        <v>Liga</v>
      </c>
    </row>
    <row r="1778" spans="1:37" x14ac:dyDescent="0.25">
      <c r="A1778" s="76">
        <v>7</v>
      </c>
      <c r="B1778" s="3" t="s">
        <v>226</v>
      </c>
      <c r="C1778" s="2" t="s">
        <v>160</v>
      </c>
      <c r="D1778" s="1">
        <v>0</v>
      </c>
      <c r="E1778" s="1">
        <v>1</v>
      </c>
      <c r="F1778" s="1">
        <v>1</v>
      </c>
      <c r="G1778" s="1">
        <v>15</v>
      </c>
      <c r="H1778" s="4">
        <v>0.67</v>
      </c>
      <c r="I1778" s="1">
        <v>6</v>
      </c>
      <c r="J1778" s="4">
        <v>0.67</v>
      </c>
      <c r="K1778" s="1">
        <v>0</v>
      </c>
      <c r="L1778" s="1">
        <v>7</v>
      </c>
      <c r="M1778" s="32">
        <f>IF(Mecze[[#This Row],[PR]]=0,0,Mecze[[#This Row],[PR]]/Mecze[[#This Row],[CZAS]])</f>
        <v>7.2916666666666671E-2</v>
      </c>
      <c r="N1778" s="32">
        <f>IF(Mecze[[#This Row],[OU]]=0,0,Mecze[[#This Row],[OU]]/Mecze[[#This Row],[CZAS]])</f>
        <v>4.1666666666666664E-2</v>
      </c>
      <c r="O1778" s="32">
        <f>IF(Mecze[[#This Row],[PC]]=0,0,Mecze[[#This Row],[PC]]/Mecze[[#This Row],[CZAS]])</f>
        <v>0.10416666666666667</v>
      </c>
      <c r="P1778" s="32">
        <f>IF(Mecze[[#This Row],[SC]]=0,0,Mecze[[#This Row],[SC]]/Mecze[[#This Row],[CZAS]])</f>
        <v>1.0416666666666666E-2</v>
      </c>
      <c r="Q1778" s="32">
        <f>IF(Mecze[[#This Row],[OB]]=0,0,Mecze[[#This Row],[OB]]/Mecze[[#This Row],[CZAS]])</f>
        <v>0</v>
      </c>
      <c r="R1778" s="32">
        <f>IF(Mecze[[#This Row],[BR]]=0,0,Mecze[[#This Row],[BR]]/Mecze[[#This Row],[CZAS]])</f>
        <v>0</v>
      </c>
      <c r="S1778" s="44">
        <f>IF(Mecze[[#This Row],[Role]]="BR",SUMPRODUCT(Mecze[[#This Row],[/PR:90]:[/BR:90]],Brudnopis!$E$23:$J$23),0)</f>
        <v>0</v>
      </c>
      <c r="T1778" s="44">
        <f>IF(Mecze[[#This Row],[Role]]&lt;&gt;"BR",SUMPRODUCT(Mecze[[#This Row],[/PR:90]:[/BR:90]],Brudnopis!$E$24:$J$24),0)</f>
        <v>0.25000000000000006</v>
      </c>
      <c r="U1778" s="44">
        <f>IF(Mecze[[#This Row],[Role]]&lt;&gt;"BR",SUMPRODUCT(Mecze[[#This Row],[/PR:90]:[/BR:90]],Brudnopis!$E$25:$J$25),0)</f>
        <v>0.28125000000000006</v>
      </c>
      <c r="V1778" s="44">
        <f>IF(Mecze[[#This Row],[Role]]&lt;&gt;"BR",SUMPRODUCT(Mecze[[#This Row],[/PR:90]:[/BR:90]],Brudnopis!$E$26:$J$26),0)</f>
        <v>0.22916666666666666</v>
      </c>
      <c r="W1778" s="44">
        <f>IF(Mecze[[#This Row],[Role]]&lt;&gt;"BR",SUMPRODUCT(Mecze[[#This Row],[/PR:90]:[/BR:90]],Brudnopis!$E$27:$J$27),0)</f>
        <v>0.25260416666666669</v>
      </c>
      <c r="X1778" s="44">
        <f>IF(Mecze[[#This Row],[Role]]&lt;&gt;"BR",SUMPRODUCT(Mecze[[#This Row],[/PR:90]:[/BR:90]],Brudnopis!$E$28:$J$28),0)</f>
        <v>0.125</v>
      </c>
      <c r="Y1778" s="35">
        <f>IF(Mecze[[#This Row],[Role]]="BR",Mecze[[#This Row],[/OB:90]]+Mecze[[#This Row],[/PC:90]],SUM(Mecze[[#This Row],[/PR:90]:[/BR:90]]))</f>
        <v>0.22916666666666666</v>
      </c>
      <c r="Z1778" s="35">
        <f>IF(Mecze[[#This Row],[KC]]=0,SUM(Mecze[[#This Row],[/BRI]:[/NPI]]),SUM(Mecze[[#This Row],[/BRI]:[/NPI]])*0.6)</f>
        <v>1.1380208333333335</v>
      </c>
      <c r="AA1778" s="10">
        <f>IFERROR(Mecze[[#This Row],[BR]]/Mecze[[#This Row],[ST]],0)</f>
        <v>0</v>
      </c>
      <c r="AB1778">
        <f>ROUND(Mecze[[#This Row],[PD]]*Mecze[[#This Row],[%PC]],0)</f>
        <v>10</v>
      </c>
      <c r="AC1778">
        <f>ROUND(Mecze[[#This Row],[OD]]*Mecze[[#This Row],[%OU]],0)</f>
        <v>4</v>
      </c>
      <c r="AD1778" s="36" t="s">
        <v>41</v>
      </c>
      <c r="AE1778" s="36">
        <v>98</v>
      </c>
      <c r="AF1778" s="71">
        <v>9.9499999999999993</v>
      </c>
      <c r="AG1778" s="37">
        <v>0</v>
      </c>
      <c r="AH1778" s="37">
        <v>0</v>
      </c>
      <c r="AI1778" s="37">
        <v>96</v>
      </c>
      <c r="AJ1778" s="37">
        <v>2</v>
      </c>
      <c r="AK1778" s="37" t="str">
        <f>VLOOKUP(Mecze[[#This Row],[Match ID]],Meczusie[Mecz]:Meczusie[RodzajMeczu],2,FALSE)</f>
        <v>Liga</v>
      </c>
    </row>
    <row r="1779" spans="1:37" x14ac:dyDescent="0.25">
      <c r="A1779" s="76">
        <v>6</v>
      </c>
      <c r="B1779" s="3" t="s">
        <v>225</v>
      </c>
      <c r="C1779" s="2" t="s">
        <v>160</v>
      </c>
      <c r="D1779" s="1">
        <v>0</v>
      </c>
      <c r="E1779" s="1">
        <v>1</v>
      </c>
      <c r="F1779" s="1">
        <v>1</v>
      </c>
      <c r="G1779" s="1">
        <v>12</v>
      </c>
      <c r="H1779" s="4">
        <v>0.75</v>
      </c>
      <c r="I1779" s="1">
        <v>9</v>
      </c>
      <c r="J1779" s="4">
        <v>0.44</v>
      </c>
      <c r="K1779" s="1">
        <v>0</v>
      </c>
      <c r="L1779" s="1">
        <v>4</v>
      </c>
      <c r="M1779" s="32">
        <f>IF(Mecze[[#This Row],[PR]]=0,0,Mecze[[#This Row],[PR]]/Mecze[[#This Row],[CZAS]])</f>
        <v>4.1666666666666664E-2</v>
      </c>
      <c r="N1779" s="32">
        <f>IF(Mecze[[#This Row],[OU]]=0,0,Mecze[[#This Row],[OU]]/Mecze[[#This Row],[CZAS]])</f>
        <v>4.1666666666666664E-2</v>
      </c>
      <c r="O1779" s="32">
        <f>IF(Mecze[[#This Row],[PC]]=0,0,Mecze[[#This Row],[PC]]/Mecze[[#This Row],[CZAS]])</f>
        <v>9.375E-2</v>
      </c>
      <c r="P1779" s="32">
        <f>IF(Mecze[[#This Row],[SC]]=0,0,Mecze[[#This Row],[SC]]/Mecze[[#This Row],[CZAS]])</f>
        <v>1.0416666666666666E-2</v>
      </c>
      <c r="Q1779" s="32">
        <f>IF(Mecze[[#This Row],[OB]]=0,0,Mecze[[#This Row],[OB]]/Mecze[[#This Row],[CZAS]])</f>
        <v>0</v>
      </c>
      <c r="R1779" s="32">
        <f>IF(Mecze[[#This Row],[BR]]=0,0,Mecze[[#This Row],[BR]]/Mecze[[#This Row],[CZAS]])</f>
        <v>0</v>
      </c>
      <c r="S1779" s="44">
        <f>IF(Mecze[[#This Row],[Role]]="BR",SUMPRODUCT(Mecze[[#This Row],[/PR:90]:[/BR:90]],Brudnopis!$E$23:$J$23),0)</f>
        <v>0</v>
      </c>
      <c r="T1779" s="44">
        <f>IF(Mecze[[#This Row],[Role]]&lt;&gt;"BR",SUMPRODUCT(Mecze[[#This Row],[/PR:90]:[/BR:90]],Brudnopis!$E$24:$J$24),0)</f>
        <v>0.20833333333333331</v>
      </c>
      <c r="U1779" s="44">
        <f>IF(Mecze[[#This Row],[Role]]&lt;&gt;"BR",SUMPRODUCT(Mecze[[#This Row],[/PR:90]:[/BR:90]],Brudnopis!$E$25:$J$25),0)</f>
        <v>0.23437499999999997</v>
      </c>
      <c r="V1779" s="44">
        <f>IF(Mecze[[#This Row],[Role]]&lt;&gt;"BR",SUMPRODUCT(Mecze[[#This Row],[/PR:90]:[/BR:90]],Brudnopis!$E$26:$J$26),0)</f>
        <v>0.18749999999999997</v>
      </c>
      <c r="W1779" s="44">
        <f>IF(Mecze[[#This Row],[Role]]&lt;&gt;"BR",SUMPRODUCT(Mecze[[#This Row],[/PR:90]:[/BR:90]],Brudnopis!$E$27:$J$27),0)</f>
        <v>0.21354166666666666</v>
      </c>
      <c r="X1779" s="44">
        <f>IF(Mecze[[#This Row],[Role]]&lt;&gt;"BR",SUMPRODUCT(Mecze[[#This Row],[/PR:90]:[/BR:90]],Brudnopis!$E$28:$J$28),0)</f>
        <v>0.11458333333333333</v>
      </c>
      <c r="Y1779" s="35">
        <f>IF(Mecze[[#This Row],[Role]]="BR",Mecze[[#This Row],[/OB:90]]+Mecze[[#This Row],[/PC:90]],SUM(Mecze[[#This Row],[/PR:90]:[/BR:90]]))</f>
        <v>0.18749999999999997</v>
      </c>
      <c r="Z1779" s="35">
        <f>IF(Mecze[[#This Row],[KC]]=0,SUM(Mecze[[#This Row],[/BRI]:[/NPI]]),SUM(Mecze[[#This Row],[/BRI]:[/NPI]])*0.6)</f>
        <v>0.95833333333333326</v>
      </c>
      <c r="AA1779" s="10">
        <f>IFERROR(Mecze[[#This Row],[BR]]/Mecze[[#This Row],[ST]],0)</f>
        <v>0</v>
      </c>
      <c r="AB1779">
        <f>ROUND(Mecze[[#This Row],[PD]]*Mecze[[#This Row],[%PC]],0)</f>
        <v>9</v>
      </c>
      <c r="AC1779">
        <f>ROUND(Mecze[[#This Row],[OD]]*Mecze[[#This Row],[%OU]],0)</f>
        <v>4</v>
      </c>
      <c r="AD1779" s="36" t="s">
        <v>41</v>
      </c>
      <c r="AE1779" s="36">
        <v>98</v>
      </c>
      <c r="AF1779" s="71">
        <v>8.2100000000000009</v>
      </c>
      <c r="AG1779" s="37">
        <v>1</v>
      </c>
      <c r="AH1779" s="37">
        <v>0</v>
      </c>
      <c r="AI1779" s="37">
        <v>96</v>
      </c>
      <c r="AJ1779" s="37">
        <v>2</v>
      </c>
      <c r="AK1779" s="37" t="str">
        <f>VLOOKUP(Mecze[[#This Row],[Match ID]],Meczusie[Mecz]:Meczusie[RodzajMeczu],2,FALSE)</f>
        <v>Liga</v>
      </c>
    </row>
    <row r="1780" spans="1:37" x14ac:dyDescent="0.25">
      <c r="A1780" s="76">
        <v>9</v>
      </c>
      <c r="B1780" s="3" t="s">
        <v>227</v>
      </c>
      <c r="C1780" s="2" t="s">
        <v>160</v>
      </c>
      <c r="D1780" s="1">
        <v>0</v>
      </c>
      <c r="E1780" s="1">
        <v>2</v>
      </c>
      <c r="F1780" s="1">
        <v>1</v>
      </c>
      <c r="G1780" s="1">
        <v>20</v>
      </c>
      <c r="H1780" s="4">
        <v>0.65</v>
      </c>
      <c r="I1780" s="1">
        <v>5</v>
      </c>
      <c r="J1780" s="4">
        <v>0.2</v>
      </c>
      <c r="K1780" s="1">
        <v>0</v>
      </c>
      <c r="L1780" s="1">
        <v>4</v>
      </c>
      <c r="M1780" s="32">
        <f>IF(Mecze[[#This Row],[PR]]=0,0,Mecze[[#This Row],[PR]]/Mecze[[#This Row],[CZAS]])</f>
        <v>4.1666666666666664E-2</v>
      </c>
      <c r="N1780" s="32">
        <f>IF(Mecze[[#This Row],[OU]]=0,0,Mecze[[#This Row],[OU]]/Mecze[[#This Row],[CZAS]])</f>
        <v>1.0416666666666666E-2</v>
      </c>
      <c r="O1780" s="32">
        <f>IF(Mecze[[#This Row],[PC]]=0,0,Mecze[[#This Row],[PC]]/Mecze[[#This Row],[CZAS]])</f>
        <v>0.13541666666666666</v>
      </c>
      <c r="P1780" s="32">
        <f>IF(Mecze[[#This Row],[SC]]=0,0,Mecze[[#This Row],[SC]]/Mecze[[#This Row],[CZAS]])</f>
        <v>1.0416666666666666E-2</v>
      </c>
      <c r="Q1780" s="32">
        <f>IF(Mecze[[#This Row],[OB]]=0,0,Mecze[[#This Row],[OB]]/Mecze[[#This Row],[CZAS]])</f>
        <v>0</v>
      </c>
      <c r="R1780" s="32">
        <f>IF(Mecze[[#This Row],[BR]]=0,0,Mecze[[#This Row],[BR]]/Mecze[[#This Row],[CZAS]])</f>
        <v>0</v>
      </c>
      <c r="S1780" s="44">
        <f>IF(Mecze[[#This Row],[Role]]="BR",SUMPRODUCT(Mecze[[#This Row],[/PR:90]:[/BR:90]],Brudnopis!$E$23:$J$23),0)</f>
        <v>0</v>
      </c>
      <c r="T1780" s="44">
        <f>IF(Mecze[[#This Row],[Role]]&lt;&gt;"BR",SUMPRODUCT(Mecze[[#This Row],[/PR:90]:[/BR:90]],Brudnopis!$E$24:$J$24),0)</f>
        <v>0.20312499999999997</v>
      </c>
      <c r="U1780" s="44">
        <f>IF(Mecze[[#This Row],[Role]]&lt;&gt;"BR",SUMPRODUCT(Mecze[[#This Row],[/PR:90]:[/BR:90]],Brudnopis!$E$25:$J$25),0)</f>
        <v>0.265625</v>
      </c>
      <c r="V1780" s="44">
        <f>IF(Mecze[[#This Row],[Role]]&lt;&gt;"BR",SUMPRODUCT(Mecze[[#This Row],[/PR:90]:[/BR:90]],Brudnopis!$E$26:$J$26),0)</f>
        <v>0.19791666666666666</v>
      </c>
      <c r="W1780" s="44">
        <f>IF(Mecze[[#This Row],[Role]]&lt;&gt;"BR",SUMPRODUCT(Mecze[[#This Row],[/PR:90]:[/BR:90]],Brudnopis!$E$27:$J$27),0)</f>
        <v>0.25260416666666669</v>
      </c>
      <c r="X1780" s="44">
        <f>IF(Mecze[[#This Row],[Role]]&lt;&gt;"BR",SUMPRODUCT(Mecze[[#This Row],[/PR:90]:[/BR:90]],Brudnopis!$E$28:$J$28),0)</f>
        <v>0.15625</v>
      </c>
      <c r="Y1780" s="35">
        <f>IF(Mecze[[#This Row],[Role]]="BR",Mecze[[#This Row],[/OB:90]]+Mecze[[#This Row],[/PC:90]],SUM(Mecze[[#This Row],[/PR:90]:[/BR:90]]))</f>
        <v>0.19791666666666666</v>
      </c>
      <c r="Z1780" s="35">
        <f>IF(Mecze[[#This Row],[KC]]=0,SUM(Mecze[[#This Row],[/BRI]:[/NPI]]),SUM(Mecze[[#This Row],[/BRI]:[/NPI]])*0.6)</f>
        <v>1.0755208333333333</v>
      </c>
      <c r="AA1780" s="10">
        <f>IFERROR(Mecze[[#This Row],[BR]]/Mecze[[#This Row],[ST]],0)</f>
        <v>0</v>
      </c>
      <c r="AB1780">
        <f>ROUND(Mecze[[#This Row],[PD]]*Mecze[[#This Row],[%PC]],0)</f>
        <v>13</v>
      </c>
      <c r="AC1780">
        <f>ROUND(Mecze[[#This Row],[OD]]*Mecze[[#This Row],[%OU]],0)</f>
        <v>1</v>
      </c>
      <c r="AD1780" s="36" t="s">
        <v>67</v>
      </c>
      <c r="AE1780" s="36">
        <v>98</v>
      </c>
      <c r="AF1780" s="71">
        <v>9.32</v>
      </c>
      <c r="AG1780" s="37">
        <v>0</v>
      </c>
      <c r="AH1780" s="37">
        <v>0</v>
      </c>
      <c r="AI1780" s="37">
        <v>96</v>
      </c>
      <c r="AJ1780" s="37">
        <v>2</v>
      </c>
      <c r="AK1780" s="37" t="str">
        <f>VLOOKUP(Mecze[[#This Row],[Match ID]],Meczusie[Mecz]:Meczusie[RodzajMeczu],2,FALSE)</f>
        <v>Liga</v>
      </c>
    </row>
    <row r="1781" spans="1:37" x14ac:dyDescent="0.25">
      <c r="A1781" s="76">
        <v>8</v>
      </c>
      <c r="B1781" s="3" t="s">
        <v>228</v>
      </c>
      <c r="C1781" s="2" t="s">
        <v>160</v>
      </c>
      <c r="D1781" s="1">
        <v>0</v>
      </c>
      <c r="E1781" s="1">
        <v>0</v>
      </c>
      <c r="F1781" s="1">
        <v>0</v>
      </c>
      <c r="G1781" s="1">
        <v>10</v>
      </c>
      <c r="H1781" s="4">
        <v>0.9</v>
      </c>
      <c r="I1781" s="1">
        <v>3</v>
      </c>
      <c r="J1781" s="4">
        <v>0.33</v>
      </c>
      <c r="K1781" s="1">
        <v>0</v>
      </c>
      <c r="L1781" s="1">
        <v>0</v>
      </c>
      <c r="M1781" s="32">
        <f>IF(Mecze[[#This Row],[PR]]=0,0,Mecze[[#This Row],[PR]]/Mecze[[#This Row],[CZAS]])</f>
        <v>0</v>
      </c>
      <c r="N1781" s="32">
        <f>IF(Mecze[[#This Row],[OU]]=0,0,Mecze[[#This Row],[OU]]/Mecze[[#This Row],[CZAS]])</f>
        <v>1.0416666666666666E-2</v>
      </c>
      <c r="O1781" s="32">
        <f>IF(Mecze[[#This Row],[PC]]=0,0,Mecze[[#This Row],[PC]]/Mecze[[#This Row],[CZAS]])</f>
        <v>9.375E-2</v>
      </c>
      <c r="P1781" s="32">
        <f>IF(Mecze[[#This Row],[SC]]=0,0,Mecze[[#This Row],[SC]]/Mecze[[#This Row],[CZAS]])</f>
        <v>0</v>
      </c>
      <c r="Q1781" s="32">
        <f>IF(Mecze[[#This Row],[OB]]=0,0,Mecze[[#This Row],[OB]]/Mecze[[#This Row],[CZAS]])</f>
        <v>0</v>
      </c>
      <c r="R1781" s="32">
        <f>IF(Mecze[[#This Row],[BR]]=0,0,Mecze[[#This Row],[BR]]/Mecze[[#This Row],[CZAS]])</f>
        <v>0</v>
      </c>
      <c r="S1781" s="44">
        <f>IF(Mecze[[#This Row],[Role]]="BR",SUMPRODUCT(Mecze[[#This Row],[/PR:90]:[/BR:90]],Brudnopis!$E$23:$J$23),0)</f>
        <v>0</v>
      </c>
      <c r="T1781" s="44">
        <f>IF(Mecze[[#This Row],[Role]]&lt;&gt;"BR",SUMPRODUCT(Mecze[[#This Row],[/PR:90]:[/BR:90]],Brudnopis!$E$24:$J$24),0)</f>
        <v>0.109375</v>
      </c>
      <c r="U1781" s="44">
        <f>IF(Mecze[[#This Row],[Role]]&lt;&gt;"BR",SUMPRODUCT(Mecze[[#This Row],[/PR:90]:[/BR:90]],Brudnopis!$E$25:$J$25),0)</f>
        <v>0.15104166666666666</v>
      </c>
      <c r="V1781" s="44">
        <f>IF(Mecze[[#This Row],[Role]]&lt;&gt;"BR",SUMPRODUCT(Mecze[[#This Row],[/PR:90]:[/BR:90]],Brudnopis!$E$26:$J$26),0)</f>
        <v>0.10416666666666667</v>
      </c>
      <c r="W1781" s="44">
        <f>IF(Mecze[[#This Row],[Role]]&lt;&gt;"BR",SUMPRODUCT(Mecze[[#This Row],[/PR:90]:[/BR:90]],Brudnopis!$E$27:$J$27),0)</f>
        <v>0.1484375</v>
      </c>
      <c r="X1781" s="44">
        <f>IF(Mecze[[#This Row],[Role]]&lt;&gt;"BR",SUMPRODUCT(Mecze[[#This Row],[/PR:90]:[/BR:90]],Brudnopis!$E$28:$J$28),0)</f>
        <v>9.375E-2</v>
      </c>
      <c r="Y1781" s="35">
        <f>IF(Mecze[[#This Row],[Role]]="BR",Mecze[[#This Row],[/OB:90]]+Mecze[[#This Row],[/PC:90]],SUM(Mecze[[#This Row],[/PR:90]:[/BR:90]]))</f>
        <v>0.10416666666666667</v>
      </c>
      <c r="Z1781" s="35">
        <f>IF(Mecze[[#This Row],[KC]]=0,SUM(Mecze[[#This Row],[/BRI]:[/NPI]]),SUM(Mecze[[#This Row],[/BRI]:[/NPI]])*0.6)</f>
        <v>0.60677083333333326</v>
      </c>
      <c r="AA1781" s="10">
        <f>IFERROR(Mecze[[#This Row],[BR]]/Mecze[[#This Row],[ST]],0)</f>
        <v>0</v>
      </c>
      <c r="AB1781">
        <f>ROUND(Mecze[[#This Row],[PD]]*Mecze[[#This Row],[%PC]],0)</f>
        <v>9</v>
      </c>
      <c r="AC1781">
        <f>ROUND(Mecze[[#This Row],[OD]]*Mecze[[#This Row],[%OU]],0)</f>
        <v>1</v>
      </c>
      <c r="AD1781" s="36" t="s">
        <v>171</v>
      </c>
      <c r="AE1781" s="36">
        <v>98</v>
      </c>
      <c r="AF1781" s="71">
        <v>9.16</v>
      </c>
      <c r="AG1781" s="37">
        <v>0</v>
      </c>
      <c r="AH1781" s="37">
        <v>0</v>
      </c>
      <c r="AI1781" s="37">
        <v>96</v>
      </c>
      <c r="AJ1781" s="37">
        <v>2</v>
      </c>
      <c r="AK1781" s="37" t="str">
        <f>VLOOKUP(Mecze[[#This Row],[Match ID]],Meczusie[Mecz]:Meczusie[RodzajMeczu],2,FALSE)</f>
        <v>Liga</v>
      </c>
    </row>
    <row r="1782" spans="1:37" x14ac:dyDescent="0.25">
      <c r="A1782" s="76">
        <v>11</v>
      </c>
      <c r="B1782" s="3" t="s">
        <v>229</v>
      </c>
      <c r="C1782" s="2" t="s">
        <v>165</v>
      </c>
      <c r="D1782" s="1">
        <v>2</v>
      </c>
      <c r="E1782" s="1">
        <v>10</v>
      </c>
      <c r="F1782" s="1">
        <v>10</v>
      </c>
      <c r="G1782" s="1">
        <v>1</v>
      </c>
      <c r="H1782" s="4">
        <v>0</v>
      </c>
      <c r="I1782" s="1">
        <v>1</v>
      </c>
      <c r="J1782" s="4">
        <v>0</v>
      </c>
      <c r="K1782" s="1">
        <v>0</v>
      </c>
      <c r="L1782" s="1">
        <v>0</v>
      </c>
      <c r="M1782" s="32">
        <f>IF(Mecze[[#This Row],[PR]]=0,0,Mecze[[#This Row],[PR]]/Mecze[[#This Row],[CZAS]])</f>
        <v>0</v>
      </c>
      <c r="N1782" s="32">
        <f>IF(Mecze[[#This Row],[OU]]=0,0,Mecze[[#This Row],[OU]]/Mecze[[#This Row],[CZAS]])</f>
        <v>0</v>
      </c>
      <c r="O1782" s="32">
        <f>IF(Mecze[[#This Row],[PC]]=0,0,Mecze[[#This Row],[PC]]/Mecze[[#This Row],[CZAS]])</f>
        <v>0</v>
      </c>
      <c r="P1782" s="32">
        <f>IF(Mecze[[#This Row],[SC]]=0,0,Mecze[[#This Row],[SC]]/Mecze[[#This Row],[CZAS]])</f>
        <v>0.16949152542372881</v>
      </c>
      <c r="Q1782" s="32">
        <f>IF(Mecze[[#This Row],[OB]]=0,0,Mecze[[#This Row],[OB]]/Mecze[[#This Row],[CZAS]])</f>
        <v>0</v>
      </c>
      <c r="R1782" s="32">
        <f>IF(Mecze[[#This Row],[BR]]=0,0,Mecze[[#This Row],[BR]]/Mecze[[#This Row],[CZAS]])</f>
        <v>3.3898305084745763E-2</v>
      </c>
      <c r="S1782" s="44">
        <f>IF(Mecze[[#This Row],[Role]]="BR",SUMPRODUCT(Mecze[[#This Row],[/PR:90]:[/BR:90]],Brudnopis!$E$23:$J$23),0)</f>
        <v>0</v>
      </c>
      <c r="T1782" s="44">
        <f>IF(Mecze[[#This Row],[Role]]&lt;&gt;"BR",SUMPRODUCT(Mecze[[#This Row],[/PR:90]:[/BR:90]],Brudnopis!$E$24:$J$24),0)</f>
        <v>0.22033898305084745</v>
      </c>
      <c r="U1782" s="44">
        <f>IF(Mecze[[#This Row],[Role]]&lt;&gt;"BR",SUMPRODUCT(Mecze[[#This Row],[/PR:90]:[/BR:90]],Brudnopis!$E$25:$J$25),0)</f>
        <v>0.22033898305084745</v>
      </c>
      <c r="V1782" s="44">
        <f>IF(Mecze[[#This Row],[Role]]&lt;&gt;"BR",SUMPRODUCT(Mecze[[#This Row],[/PR:90]:[/BR:90]],Brudnopis!$E$26:$J$26),0)</f>
        <v>0.23728813559322032</v>
      </c>
      <c r="W1782" s="44">
        <f>IF(Mecze[[#This Row],[Role]]&lt;&gt;"BR",SUMPRODUCT(Mecze[[#This Row],[/PR:90]:[/BR:90]],Brudnopis!$E$27:$J$27),0)</f>
        <v>0.23728813559322032</v>
      </c>
      <c r="X1782" s="44">
        <f>IF(Mecze[[#This Row],[Role]]&lt;&gt;"BR",SUMPRODUCT(Mecze[[#This Row],[/PR:90]:[/BR:90]],Brudnopis!$E$28:$J$28),0)</f>
        <v>0.44067796610169491</v>
      </c>
      <c r="Y1782" s="35">
        <f>IF(Mecze[[#This Row],[Role]]="BR",Mecze[[#This Row],[/OB:90]]+Mecze[[#This Row],[/PC:90]],SUM(Mecze[[#This Row],[/PR:90]:[/BR:90]]))</f>
        <v>0.20338983050847456</v>
      </c>
      <c r="Z1782" s="35">
        <f>IF(Mecze[[#This Row],[KC]]=0,SUM(Mecze[[#This Row],[/BRI]:[/NPI]]),SUM(Mecze[[#This Row],[/BRI]:[/NPI]])*0.6)</f>
        <v>1.3559322033898304</v>
      </c>
      <c r="AA1782" s="10">
        <f>IFERROR(Mecze[[#This Row],[BR]]/Mecze[[#This Row],[ST]],0)</f>
        <v>0.2</v>
      </c>
      <c r="AB1782">
        <f>ROUND(Mecze[[#This Row],[PD]]*Mecze[[#This Row],[%PC]],0)</f>
        <v>0</v>
      </c>
      <c r="AC1782">
        <f>ROUND(Mecze[[#This Row],[OD]]*Mecze[[#This Row],[%OU]],0)</f>
        <v>0</v>
      </c>
      <c r="AD1782" s="36" t="s">
        <v>46</v>
      </c>
      <c r="AE1782" s="36">
        <v>98</v>
      </c>
      <c r="AF1782" s="71">
        <v>8.52</v>
      </c>
      <c r="AG1782" s="37">
        <v>0</v>
      </c>
      <c r="AH1782" s="37">
        <v>0</v>
      </c>
      <c r="AI1782" s="37">
        <v>59</v>
      </c>
      <c r="AJ1782" s="37">
        <v>2</v>
      </c>
      <c r="AK1782" s="37" t="str">
        <f>VLOOKUP(Mecze[[#This Row],[Match ID]],Meczusie[Mecz]:Meczusie[RodzajMeczu],2,FALSE)</f>
        <v>Liga</v>
      </c>
    </row>
    <row r="1783" spans="1:37" x14ac:dyDescent="0.25">
      <c r="A1783" s="76">
        <v>10</v>
      </c>
      <c r="B1783" s="3" t="s">
        <v>230</v>
      </c>
      <c r="C1783" s="2" t="s">
        <v>165</v>
      </c>
      <c r="D1783" s="1">
        <v>0</v>
      </c>
      <c r="E1783" s="1">
        <v>0</v>
      </c>
      <c r="F1783" s="1">
        <v>0</v>
      </c>
      <c r="G1783" s="1">
        <v>11</v>
      </c>
      <c r="H1783" s="4">
        <v>0.45</v>
      </c>
      <c r="I1783" s="1">
        <v>0</v>
      </c>
      <c r="J1783" s="4"/>
      <c r="K1783" s="1">
        <v>0</v>
      </c>
      <c r="L1783" s="1">
        <v>0</v>
      </c>
      <c r="M1783" s="32">
        <f>IF(Mecze[[#This Row],[PR]]=0,0,Mecze[[#This Row],[PR]]/Mecze[[#This Row],[CZAS]])</f>
        <v>0</v>
      </c>
      <c r="N1783" s="32">
        <f>IF(Mecze[[#This Row],[OU]]=0,0,Mecze[[#This Row],[OU]]/Mecze[[#This Row],[CZAS]])</f>
        <v>0</v>
      </c>
      <c r="O1783" s="32">
        <f>IF(Mecze[[#This Row],[PC]]=0,0,Mecze[[#This Row],[PC]]/Mecze[[#This Row],[CZAS]])</f>
        <v>5.2083333333333336E-2</v>
      </c>
      <c r="P1783" s="32">
        <f>IF(Mecze[[#This Row],[SC]]=0,0,Mecze[[#This Row],[SC]]/Mecze[[#This Row],[CZAS]])</f>
        <v>0</v>
      </c>
      <c r="Q1783" s="32">
        <f>IF(Mecze[[#This Row],[OB]]=0,0,Mecze[[#This Row],[OB]]/Mecze[[#This Row],[CZAS]])</f>
        <v>0</v>
      </c>
      <c r="R1783" s="32">
        <f>IF(Mecze[[#This Row],[BR]]=0,0,Mecze[[#This Row],[BR]]/Mecze[[#This Row],[CZAS]])</f>
        <v>0</v>
      </c>
      <c r="S1783" s="44">
        <f>IF(Mecze[[#This Row],[Role]]="BR",SUMPRODUCT(Mecze[[#This Row],[/PR:90]:[/BR:90]],Brudnopis!$E$23:$J$23),0)</f>
        <v>0</v>
      </c>
      <c r="T1783" s="44">
        <f>IF(Mecze[[#This Row],[Role]]&lt;&gt;"BR",SUMPRODUCT(Mecze[[#This Row],[/PR:90]:[/BR:90]],Brudnopis!$E$24:$J$24),0)</f>
        <v>5.2083333333333336E-2</v>
      </c>
      <c r="U1783" s="44">
        <f>IF(Mecze[[#This Row],[Role]]&lt;&gt;"BR",SUMPRODUCT(Mecze[[#This Row],[/PR:90]:[/BR:90]],Brudnopis!$E$25:$J$25),0)</f>
        <v>7.8125E-2</v>
      </c>
      <c r="V1783" s="44">
        <f>IF(Mecze[[#This Row],[Role]]&lt;&gt;"BR",SUMPRODUCT(Mecze[[#This Row],[/PR:90]:[/BR:90]],Brudnopis!$E$26:$J$26),0)</f>
        <v>5.2083333333333336E-2</v>
      </c>
      <c r="W1783" s="44">
        <f>IF(Mecze[[#This Row],[Role]]&lt;&gt;"BR",SUMPRODUCT(Mecze[[#This Row],[/PR:90]:[/BR:90]],Brudnopis!$E$27:$J$27),0)</f>
        <v>7.8125E-2</v>
      </c>
      <c r="X1783" s="44">
        <f>IF(Mecze[[#This Row],[Role]]&lt;&gt;"BR",SUMPRODUCT(Mecze[[#This Row],[/PR:90]:[/BR:90]],Brudnopis!$E$28:$J$28),0)</f>
        <v>5.2083333333333336E-2</v>
      </c>
      <c r="Y1783" s="35">
        <f>IF(Mecze[[#This Row],[Role]]="BR",Mecze[[#This Row],[/OB:90]]+Mecze[[#This Row],[/PC:90]],SUM(Mecze[[#This Row],[/PR:90]:[/BR:90]]))</f>
        <v>5.2083333333333336E-2</v>
      </c>
      <c r="Z1783" s="35">
        <f>IF(Mecze[[#This Row],[KC]]=0,SUM(Mecze[[#This Row],[/BRI]:[/NPI]]),SUM(Mecze[[#This Row],[/BRI]:[/NPI]])*0.6)</f>
        <v>0.3125</v>
      </c>
      <c r="AA1783" s="10">
        <f>IFERROR(Mecze[[#This Row],[BR]]/Mecze[[#This Row],[ST]],0)</f>
        <v>0</v>
      </c>
      <c r="AB1783">
        <f>ROUND(Mecze[[#This Row],[PD]]*Mecze[[#This Row],[%PC]],0)</f>
        <v>5</v>
      </c>
      <c r="AC1783">
        <f>ROUND(Mecze[[#This Row],[OD]]*Mecze[[#This Row],[%OU]],0)</f>
        <v>0</v>
      </c>
      <c r="AD1783" s="36" t="s">
        <v>232</v>
      </c>
      <c r="AE1783" s="36">
        <v>98</v>
      </c>
      <c r="AF1783" s="71">
        <v>3.93</v>
      </c>
      <c r="AG1783" s="37">
        <v>0</v>
      </c>
      <c r="AH1783" s="37">
        <v>0</v>
      </c>
      <c r="AI1783" s="37">
        <v>96</v>
      </c>
      <c r="AJ1783" s="37">
        <v>2</v>
      </c>
      <c r="AK1783" s="37" t="str">
        <f>VLOOKUP(Mecze[[#This Row],[Match ID]],Meczusie[Mecz]:Meczusie[RodzajMeczu],2,FALSE)</f>
        <v>Liga</v>
      </c>
    </row>
    <row r="1784" spans="1:37" x14ac:dyDescent="0.25">
      <c r="A1784" s="76">
        <v>12</v>
      </c>
      <c r="B1784" s="3" t="s">
        <v>231</v>
      </c>
      <c r="C1784" s="2" t="s">
        <v>165</v>
      </c>
      <c r="D1784" s="1">
        <v>1</v>
      </c>
      <c r="E1784" s="1">
        <v>2</v>
      </c>
      <c r="F1784" s="1">
        <v>2</v>
      </c>
      <c r="G1784" s="1">
        <v>4</v>
      </c>
      <c r="H1784" s="4">
        <v>1</v>
      </c>
      <c r="I1784" s="1">
        <v>1</v>
      </c>
      <c r="J1784" s="4">
        <v>0</v>
      </c>
      <c r="K1784" s="1">
        <v>0</v>
      </c>
      <c r="L1784" s="1">
        <v>1</v>
      </c>
      <c r="M1784" s="32">
        <f>IF(Mecze[[#This Row],[PR]]=0,0,Mecze[[#This Row],[PR]]/Mecze[[#This Row],[CZAS]])</f>
        <v>2.7027027027027029E-2</v>
      </c>
      <c r="N1784" s="32">
        <f>IF(Mecze[[#This Row],[OU]]=0,0,Mecze[[#This Row],[OU]]/Mecze[[#This Row],[CZAS]])</f>
        <v>0</v>
      </c>
      <c r="O1784" s="32">
        <f>IF(Mecze[[#This Row],[PC]]=0,0,Mecze[[#This Row],[PC]]/Mecze[[#This Row],[CZAS]])</f>
        <v>0.10810810810810811</v>
      </c>
      <c r="P1784" s="32">
        <f>IF(Mecze[[#This Row],[SC]]=0,0,Mecze[[#This Row],[SC]]/Mecze[[#This Row],[CZAS]])</f>
        <v>5.4054054054054057E-2</v>
      </c>
      <c r="Q1784" s="32">
        <f>IF(Mecze[[#This Row],[OB]]=0,0,Mecze[[#This Row],[OB]]/Mecze[[#This Row],[CZAS]])</f>
        <v>0</v>
      </c>
      <c r="R1784" s="32">
        <f>IF(Mecze[[#This Row],[BR]]=0,0,Mecze[[#This Row],[BR]]/Mecze[[#This Row],[CZAS]])</f>
        <v>2.7027027027027029E-2</v>
      </c>
      <c r="S1784" s="44">
        <f>IF(Mecze[[#This Row],[Role]]="BR",SUMPRODUCT(Mecze[[#This Row],[/PR:90]:[/BR:90]],Brudnopis!$E$23:$J$23),0)</f>
        <v>0</v>
      </c>
      <c r="T1784" s="44">
        <f>IF(Mecze[[#This Row],[Role]]&lt;&gt;"BR",SUMPRODUCT(Mecze[[#This Row],[/PR:90]:[/BR:90]],Brudnopis!$E$24:$J$24),0)</f>
        <v>0.22972972972972974</v>
      </c>
      <c r="U1784" s="44">
        <f>IF(Mecze[[#This Row],[Role]]&lt;&gt;"BR",SUMPRODUCT(Mecze[[#This Row],[/PR:90]:[/BR:90]],Brudnopis!$E$25:$J$25),0)</f>
        <v>0.28378378378378377</v>
      </c>
      <c r="V1784" s="44">
        <f>IF(Mecze[[#This Row],[Role]]&lt;&gt;"BR",SUMPRODUCT(Mecze[[#This Row],[/PR:90]:[/BR:90]],Brudnopis!$E$26:$J$26),0)</f>
        <v>0.24324324324324326</v>
      </c>
      <c r="W1784" s="44">
        <f>IF(Mecze[[#This Row],[Role]]&lt;&gt;"BR",SUMPRODUCT(Mecze[[#This Row],[/PR:90]:[/BR:90]],Brudnopis!$E$27:$J$27),0)</f>
        <v>0.29054054054054057</v>
      </c>
      <c r="X1784" s="44">
        <f>IF(Mecze[[#This Row],[Role]]&lt;&gt;"BR",SUMPRODUCT(Mecze[[#This Row],[/PR:90]:[/BR:90]],Brudnopis!$E$28:$J$28),0)</f>
        <v>0.29729729729729731</v>
      </c>
      <c r="Y1784" s="35">
        <f>IF(Mecze[[#This Row],[Role]]="BR",Mecze[[#This Row],[/OB:90]]+Mecze[[#This Row],[/PC:90]],SUM(Mecze[[#This Row],[/PR:90]:[/BR:90]]))</f>
        <v>0.21621621621621623</v>
      </c>
      <c r="Z1784" s="35">
        <f>IF(Mecze[[#This Row],[KC]]=0,SUM(Mecze[[#This Row],[/BRI]:[/NPI]]),SUM(Mecze[[#This Row],[/BRI]:[/NPI]])*0.6)</f>
        <v>1.3445945945945947</v>
      </c>
      <c r="AA1784" s="10">
        <f>IFERROR(Mecze[[#This Row],[BR]]/Mecze[[#This Row],[ST]],0)</f>
        <v>0.5</v>
      </c>
      <c r="AB1784">
        <f>ROUND(Mecze[[#This Row],[PD]]*Mecze[[#This Row],[%PC]],0)</f>
        <v>4</v>
      </c>
      <c r="AC1784">
        <f>ROUND(Mecze[[#This Row],[OD]]*Mecze[[#This Row],[%OU]],0)</f>
        <v>0</v>
      </c>
      <c r="AD1784" s="36" t="s">
        <v>46</v>
      </c>
      <c r="AE1784" s="36">
        <v>98</v>
      </c>
      <c r="AF1784" s="71">
        <v>4.46</v>
      </c>
      <c r="AG1784" s="37">
        <v>0</v>
      </c>
      <c r="AH1784" s="37">
        <v>0</v>
      </c>
      <c r="AI1784" s="37">
        <v>37</v>
      </c>
      <c r="AJ1784" s="37">
        <v>2</v>
      </c>
      <c r="AK1784" s="37" t="str">
        <f>VLOOKUP(Mecze[[#This Row],[Match ID]],Meczusie[Mecz]:Meczusie[RodzajMeczu],2,FALSE)</f>
        <v>Liga</v>
      </c>
    </row>
    <row r="1785" spans="1:37" x14ac:dyDescent="0.25">
      <c r="A1785" s="76">
        <v>1</v>
      </c>
      <c r="B1785" s="3" t="s">
        <v>261</v>
      </c>
      <c r="C1785" s="2" t="s">
        <v>155</v>
      </c>
      <c r="D1785" s="1">
        <v>0</v>
      </c>
      <c r="E1785" s="1">
        <v>0</v>
      </c>
      <c r="F1785" s="1">
        <v>0</v>
      </c>
      <c r="G1785" s="1">
        <v>9</v>
      </c>
      <c r="H1785" s="4">
        <v>0.67</v>
      </c>
      <c r="I1785" s="1">
        <v>0</v>
      </c>
      <c r="J1785" s="4"/>
      <c r="K1785" s="1">
        <v>12</v>
      </c>
      <c r="L1785" s="1">
        <v>0</v>
      </c>
      <c r="M1785" s="32">
        <f>IF(Mecze[[#This Row],[PR]]=0,0,Mecze[[#This Row],[PR]]/Mecze[[#This Row],[CZAS]])</f>
        <v>0</v>
      </c>
      <c r="N1785" s="32">
        <f>IF(Mecze[[#This Row],[OU]]=0,0,Mecze[[#This Row],[OU]]/Mecze[[#This Row],[CZAS]])</f>
        <v>0</v>
      </c>
      <c r="O1785" s="32">
        <f>IF(Mecze[[#This Row],[PC]]=0,0,Mecze[[#This Row],[PC]]/Mecze[[#This Row],[CZAS]])</f>
        <v>6.25E-2</v>
      </c>
      <c r="P1785" s="32">
        <f>IF(Mecze[[#This Row],[SC]]=0,0,Mecze[[#This Row],[SC]]/Mecze[[#This Row],[CZAS]])</f>
        <v>0</v>
      </c>
      <c r="Q1785" s="32">
        <f>IF(Mecze[[#This Row],[OB]]=0,0,Mecze[[#This Row],[OB]]/Mecze[[#This Row],[CZAS]])</f>
        <v>0.125</v>
      </c>
      <c r="R1785" s="32">
        <f>IF(Mecze[[#This Row],[BR]]=0,0,Mecze[[#This Row],[BR]]/Mecze[[#This Row],[CZAS]])</f>
        <v>0</v>
      </c>
      <c r="S1785" s="44">
        <f>IF(Mecze[[#This Row],[Role]]="BR",SUMPRODUCT(Mecze[[#This Row],[/PR:90]:[/BR:90]],Brudnopis!$E$23:$J$23),0)</f>
        <v>0.5625</v>
      </c>
      <c r="T1785" s="44">
        <f>IF(Mecze[[#This Row],[Role]]&lt;&gt;"BR",SUMPRODUCT(Mecze[[#This Row],[/PR:90]:[/BR:90]],Brudnopis!$E$24:$J$24),0)</f>
        <v>0</v>
      </c>
      <c r="U1785" s="44">
        <f>IF(Mecze[[#This Row],[Role]]&lt;&gt;"BR",SUMPRODUCT(Mecze[[#This Row],[/PR:90]:[/BR:90]],Brudnopis!$E$25:$J$25),0)</f>
        <v>0</v>
      </c>
      <c r="V1785" s="44">
        <f>IF(Mecze[[#This Row],[Role]]&lt;&gt;"BR",SUMPRODUCT(Mecze[[#This Row],[/PR:90]:[/BR:90]],Brudnopis!$E$26:$J$26),0)</f>
        <v>0</v>
      </c>
      <c r="W1785" s="44">
        <f>IF(Mecze[[#This Row],[Role]]&lt;&gt;"BR",SUMPRODUCT(Mecze[[#This Row],[/PR:90]:[/BR:90]],Brudnopis!$E$27:$J$27),0)</f>
        <v>0</v>
      </c>
      <c r="X1785" s="44">
        <f>IF(Mecze[[#This Row],[Role]]&lt;&gt;"BR",SUMPRODUCT(Mecze[[#This Row],[/PR:90]:[/BR:90]],Brudnopis!$E$28:$J$28),0)</f>
        <v>0</v>
      </c>
      <c r="Y1785" s="35">
        <f>IF(Mecze[[#This Row],[Role]]="BR",Mecze[[#This Row],[/OB:90]]+Mecze[[#This Row],[/PC:90]],SUM(Mecze[[#This Row],[/PR:90]:[/BR:90]]))</f>
        <v>0.1875</v>
      </c>
      <c r="Z1785" s="35">
        <f>IF(Mecze[[#This Row],[KC]]=0,SUM(Mecze[[#This Row],[/BRI]:[/NPI]]),SUM(Mecze[[#This Row],[/BRI]:[/NPI]])*0.6)</f>
        <v>0.5625</v>
      </c>
      <c r="AA1785" s="10">
        <f>IFERROR(Mecze[[#This Row],[BR]]/Mecze[[#This Row],[ST]],0)</f>
        <v>0</v>
      </c>
      <c r="AB1785">
        <f>ROUND(Mecze[[#This Row],[PD]]*Mecze[[#This Row],[%PC]],0)</f>
        <v>6</v>
      </c>
      <c r="AC1785">
        <f>ROUND(Mecze[[#This Row],[OD]]*Mecze[[#This Row],[%OU]],0)</f>
        <v>0</v>
      </c>
      <c r="AD1785" s="36" t="s">
        <v>40</v>
      </c>
      <c r="AE1785" s="36">
        <v>98</v>
      </c>
      <c r="AF1785" s="71">
        <v>7.01</v>
      </c>
      <c r="AG1785" s="37">
        <v>0</v>
      </c>
      <c r="AH1785" s="37">
        <v>0</v>
      </c>
      <c r="AI1785" s="37">
        <v>96</v>
      </c>
      <c r="AJ1785" s="37">
        <v>3</v>
      </c>
      <c r="AK1785" s="37" t="str">
        <f>VLOOKUP(Mecze[[#This Row],[Match ID]],Meczusie[Mecz]:Meczusie[RodzajMeczu],2,FALSE)</f>
        <v>Liga</v>
      </c>
    </row>
    <row r="1786" spans="1:37" x14ac:dyDescent="0.25">
      <c r="A1786" s="76">
        <v>13</v>
      </c>
      <c r="B1786" s="3" t="s">
        <v>262</v>
      </c>
      <c r="C1786" s="2" t="s">
        <v>157</v>
      </c>
      <c r="D1786" s="1">
        <v>0</v>
      </c>
      <c r="E1786" s="1">
        <v>0</v>
      </c>
      <c r="F1786" s="1">
        <v>0</v>
      </c>
      <c r="G1786" s="1">
        <v>10</v>
      </c>
      <c r="H1786" s="4">
        <v>0.6</v>
      </c>
      <c r="I1786" s="1">
        <v>15</v>
      </c>
      <c r="J1786" s="4">
        <v>0.4</v>
      </c>
      <c r="K1786" s="1">
        <v>0</v>
      </c>
      <c r="L1786" s="1">
        <v>9</v>
      </c>
      <c r="M1786" s="32">
        <f>IF(Mecze[[#This Row],[PR]]=0,0,Mecze[[#This Row],[PR]]/Mecze[[#This Row],[CZAS]])</f>
        <v>9.375E-2</v>
      </c>
      <c r="N1786" s="32">
        <f>IF(Mecze[[#This Row],[OU]]=0,0,Mecze[[#This Row],[OU]]/Mecze[[#This Row],[CZAS]])</f>
        <v>6.25E-2</v>
      </c>
      <c r="O1786" s="32">
        <f>IF(Mecze[[#This Row],[PC]]=0,0,Mecze[[#This Row],[PC]]/Mecze[[#This Row],[CZAS]])</f>
        <v>6.25E-2</v>
      </c>
      <c r="P1786" s="32">
        <f>IF(Mecze[[#This Row],[SC]]=0,0,Mecze[[#This Row],[SC]]/Mecze[[#This Row],[CZAS]])</f>
        <v>0</v>
      </c>
      <c r="Q1786" s="32">
        <f>IF(Mecze[[#This Row],[OB]]=0,0,Mecze[[#This Row],[OB]]/Mecze[[#This Row],[CZAS]])</f>
        <v>0</v>
      </c>
      <c r="R1786" s="32">
        <f>IF(Mecze[[#This Row],[BR]]=0,0,Mecze[[#This Row],[BR]]/Mecze[[#This Row],[CZAS]])</f>
        <v>0</v>
      </c>
      <c r="S1786" s="44">
        <f>IF(Mecze[[#This Row],[Role]]="BR",SUMPRODUCT(Mecze[[#This Row],[/PR:90]:[/BR:90]],Brudnopis!$E$23:$J$23),0)</f>
        <v>0</v>
      </c>
      <c r="T1786" s="44">
        <f>IF(Mecze[[#This Row],[Role]]&lt;&gt;"BR",SUMPRODUCT(Mecze[[#This Row],[/PR:90]:[/BR:90]],Brudnopis!$E$24:$J$24),0)</f>
        <v>0.25</v>
      </c>
      <c r="U1786" s="44">
        <f>IF(Mecze[[#This Row],[Role]]&lt;&gt;"BR",SUMPRODUCT(Mecze[[#This Row],[/PR:90]:[/BR:90]],Brudnopis!$E$25:$J$25),0)</f>
        <v>0.25</v>
      </c>
      <c r="V1786" s="44">
        <f>IF(Mecze[[#This Row],[Role]]&lt;&gt;"BR",SUMPRODUCT(Mecze[[#This Row],[/PR:90]:[/BR:90]],Brudnopis!$E$26:$J$26),0)</f>
        <v>0.21875</v>
      </c>
      <c r="W1786" s="44">
        <f>IF(Mecze[[#This Row],[Role]]&lt;&gt;"BR",SUMPRODUCT(Mecze[[#This Row],[/PR:90]:[/BR:90]],Brudnopis!$E$27:$J$27),0)</f>
        <v>0.2109375</v>
      </c>
      <c r="X1786" s="44">
        <f>IF(Mecze[[#This Row],[Role]]&lt;&gt;"BR",SUMPRODUCT(Mecze[[#This Row],[/PR:90]:[/BR:90]],Brudnopis!$E$28:$J$28),0)</f>
        <v>6.25E-2</v>
      </c>
      <c r="Y1786" s="35">
        <f>IF(Mecze[[#This Row],[Role]]="BR",Mecze[[#This Row],[/OB:90]]+Mecze[[#This Row],[/PC:90]],SUM(Mecze[[#This Row],[/PR:90]:[/BR:90]]))</f>
        <v>0.21875</v>
      </c>
      <c r="Z1786" s="35">
        <f>IF(Mecze[[#This Row],[KC]]=0,SUM(Mecze[[#This Row],[/BRI]:[/NPI]]),SUM(Mecze[[#This Row],[/BRI]:[/NPI]])*0.6)</f>
        <v>0.9921875</v>
      </c>
      <c r="AA1786" s="10">
        <f>IFERROR(Mecze[[#This Row],[BR]]/Mecze[[#This Row],[ST]],0)</f>
        <v>0</v>
      </c>
      <c r="AB1786">
        <f>ROUND(Mecze[[#This Row],[PD]]*Mecze[[#This Row],[%PC]],0)</f>
        <v>6</v>
      </c>
      <c r="AC1786">
        <f>ROUND(Mecze[[#This Row],[OD]]*Mecze[[#This Row],[%OU]],0)</f>
        <v>6</v>
      </c>
      <c r="AD1786" s="36" t="s">
        <v>175</v>
      </c>
      <c r="AE1786" s="36">
        <v>98</v>
      </c>
      <c r="AF1786" s="71">
        <v>3.48</v>
      </c>
      <c r="AG1786" s="37">
        <v>0</v>
      </c>
      <c r="AH1786" s="37">
        <v>0</v>
      </c>
      <c r="AI1786" s="37">
        <v>96</v>
      </c>
      <c r="AJ1786" s="37">
        <v>3</v>
      </c>
      <c r="AK1786" s="37" t="str">
        <f>VLOOKUP(Mecze[[#This Row],[Match ID]],Meczusie[Mecz]:Meczusie[RodzajMeczu],2,FALSE)</f>
        <v>Liga</v>
      </c>
    </row>
    <row r="1787" spans="1:37" x14ac:dyDescent="0.25">
      <c r="A1787" s="76">
        <v>4</v>
      </c>
      <c r="B1787" s="3" t="s">
        <v>264</v>
      </c>
      <c r="C1787" s="2" t="s">
        <v>157</v>
      </c>
      <c r="D1787" s="1">
        <v>0</v>
      </c>
      <c r="E1787" s="1">
        <v>0</v>
      </c>
      <c r="F1787" s="1">
        <v>0</v>
      </c>
      <c r="G1787" s="1">
        <v>5</v>
      </c>
      <c r="H1787" s="4">
        <v>0.4</v>
      </c>
      <c r="I1787" s="1">
        <v>10</v>
      </c>
      <c r="J1787" s="4">
        <v>0.3</v>
      </c>
      <c r="K1787" s="1">
        <v>0</v>
      </c>
      <c r="L1787" s="1">
        <v>10</v>
      </c>
      <c r="M1787" s="32">
        <f>IF(Mecze[[#This Row],[PR]]=0,0,Mecze[[#This Row],[PR]]/Mecze[[#This Row],[CZAS]])</f>
        <v>0.10416666666666667</v>
      </c>
      <c r="N1787" s="32">
        <f>IF(Mecze[[#This Row],[OU]]=0,0,Mecze[[#This Row],[OU]]/Mecze[[#This Row],[CZAS]])</f>
        <v>3.125E-2</v>
      </c>
      <c r="O1787" s="32">
        <f>IF(Mecze[[#This Row],[PC]]=0,0,Mecze[[#This Row],[PC]]/Mecze[[#This Row],[CZAS]])</f>
        <v>2.0833333333333332E-2</v>
      </c>
      <c r="P1787" s="32">
        <f>IF(Mecze[[#This Row],[SC]]=0,0,Mecze[[#This Row],[SC]]/Mecze[[#This Row],[CZAS]])</f>
        <v>0</v>
      </c>
      <c r="Q1787" s="32">
        <f>IF(Mecze[[#This Row],[OB]]=0,0,Mecze[[#This Row],[OB]]/Mecze[[#This Row],[CZAS]])</f>
        <v>0</v>
      </c>
      <c r="R1787" s="32">
        <f>IF(Mecze[[#This Row],[BR]]=0,0,Mecze[[#This Row],[BR]]/Mecze[[#This Row],[CZAS]])</f>
        <v>0</v>
      </c>
      <c r="S1787" s="44">
        <f>IF(Mecze[[#This Row],[Role]]="BR",SUMPRODUCT(Mecze[[#This Row],[/PR:90]:[/BR:90]],Brudnopis!$E$23:$J$23),0)</f>
        <v>0</v>
      </c>
      <c r="T1787" s="44">
        <f>IF(Mecze[[#This Row],[Role]]&lt;&gt;"BR",SUMPRODUCT(Mecze[[#This Row],[/PR:90]:[/BR:90]],Brudnopis!$E$24:$J$24),0)</f>
        <v>0.17187500000000003</v>
      </c>
      <c r="U1787" s="44">
        <f>IF(Mecze[[#This Row],[Role]]&lt;&gt;"BR",SUMPRODUCT(Mecze[[#This Row],[/PR:90]:[/BR:90]],Brudnopis!$E$25:$J$25),0)</f>
        <v>0.16666666666666669</v>
      </c>
      <c r="V1787" s="44">
        <f>IF(Mecze[[#This Row],[Role]]&lt;&gt;"BR",SUMPRODUCT(Mecze[[#This Row],[/PR:90]:[/BR:90]],Brudnopis!$E$26:$J$26),0)</f>
        <v>0.15625000000000003</v>
      </c>
      <c r="W1787" s="44">
        <f>IF(Mecze[[#This Row],[Role]]&lt;&gt;"BR",SUMPRODUCT(Mecze[[#This Row],[/PR:90]:[/BR:90]],Brudnopis!$E$27:$J$27),0)</f>
        <v>0.1328125</v>
      </c>
      <c r="X1787" s="44">
        <f>IF(Mecze[[#This Row],[Role]]&lt;&gt;"BR",SUMPRODUCT(Mecze[[#This Row],[/PR:90]:[/BR:90]],Brudnopis!$E$28:$J$28),0)</f>
        <v>2.0833333333333332E-2</v>
      </c>
      <c r="Y1787" s="35">
        <f>IF(Mecze[[#This Row],[Role]]="BR",Mecze[[#This Row],[/OB:90]]+Mecze[[#This Row],[/PC:90]],SUM(Mecze[[#This Row],[/PR:90]:[/BR:90]]))</f>
        <v>0.15625000000000003</v>
      </c>
      <c r="Z1787" s="35">
        <f>IF(Mecze[[#This Row],[KC]]=0,SUM(Mecze[[#This Row],[/BRI]:[/NPI]]),SUM(Mecze[[#This Row],[/BRI]:[/NPI]])*0.6)</f>
        <v>0.64843750000000011</v>
      </c>
      <c r="AA1787" s="10">
        <f>IFERROR(Mecze[[#This Row],[BR]]/Mecze[[#This Row],[ST]],0)</f>
        <v>0</v>
      </c>
      <c r="AB1787">
        <f>ROUND(Mecze[[#This Row],[PD]]*Mecze[[#This Row],[%PC]],0)</f>
        <v>2</v>
      </c>
      <c r="AC1787">
        <f>ROUND(Mecze[[#This Row],[OD]]*Mecze[[#This Row],[%OU]],0)</f>
        <v>3</v>
      </c>
      <c r="AD1787" s="36" t="s">
        <v>174</v>
      </c>
      <c r="AE1787" s="36">
        <v>98</v>
      </c>
      <c r="AF1787" s="71">
        <v>3.69</v>
      </c>
      <c r="AG1787" s="37">
        <v>0</v>
      </c>
      <c r="AH1787" s="37">
        <v>0</v>
      </c>
      <c r="AI1787" s="37">
        <v>96</v>
      </c>
      <c r="AJ1787" s="37">
        <v>3</v>
      </c>
      <c r="AK1787" s="37" t="str">
        <f>VLOOKUP(Mecze[[#This Row],[Match ID]],Meczusie[Mecz]:Meczusie[RodzajMeczu],2,FALSE)</f>
        <v>Liga</v>
      </c>
    </row>
    <row r="1788" spans="1:37" x14ac:dyDescent="0.25">
      <c r="A1788" s="76">
        <v>6</v>
      </c>
      <c r="B1788" s="3" t="s">
        <v>263</v>
      </c>
      <c r="C1788" s="2" t="s">
        <v>157</v>
      </c>
      <c r="D1788" s="1">
        <v>0</v>
      </c>
      <c r="E1788" s="1">
        <v>0</v>
      </c>
      <c r="F1788" s="1">
        <v>0</v>
      </c>
      <c r="G1788" s="1">
        <v>11</v>
      </c>
      <c r="H1788" s="4">
        <v>0.82</v>
      </c>
      <c r="I1788" s="1">
        <v>4</v>
      </c>
      <c r="J1788" s="4">
        <v>0.5</v>
      </c>
      <c r="K1788" s="1">
        <v>0</v>
      </c>
      <c r="L1788" s="1">
        <v>2</v>
      </c>
      <c r="M1788" s="32">
        <f>IF(Mecze[[#This Row],[PR]]=0,0,Mecze[[#This Row],[PR]]/Mecze[[#This Row],[CZAS]])</f>
        <v>2.0833333333333332E-2</v>
      </c>
      <c r="N1788" s="32">
        <f>IF(Mecze[[#This Row],[OU]]=0,0,Mecze[[#This Row],[OU]]/Mecze[[#This Row],[CZAS]])</f>
        <v>2.0833333333333332E-2</v>
      </c>
      <c r="O1788" s="32">
        <f>IF(Mecze[[#This Row],[PC]]=0,0,Mecze[[#This Row],[PC]]/Mecze[[#This Row],[CZAS]])</f>
        <v>9.375E-2</v>
      </c>
      <c r="P1788" s="32">
        <f>IF(Mecze[[#This Row],[SC]]=0,0,Mecze[[#This Row],[SC]]/Mecze[[#This Row],[CZAS]])</f>
        <v>0</v>
      </c>
      <c r="Q1788" s="32">
        <f>IF(Mecze[[#This Row],[OB]]=0,0,Mecze[[#This Row],[OB]]/Mecze[[#This Row],[CZAS]])</f>
        <v>0</v>
      </c>
      <c r="R1788" s="32">
        <f>IF(Mecze[[#This Row],[BR]]=0,0,Mecze[[#This Row],[BR]]/Mecze[[#This Row],[CZAS]])</f>
        <v>0</v>
      </c>
      <c r="S1788" s="44">
        <f>IF(Mecze[[#This Row],[Role]]="BR",SUMPRODUCT(Mecze[[#This Row],[/PR:90]:[/BR:90]],Brudnopis!$E$23:$J$23),0)</f>
        <v>0</v>
      </c>
      <c r="T1788" s="44">
        <f>IF(Mecze[[#This Row],[Role]]&lt;&gt;"BR",SUMPRODUCT(Mecze[[#This Row],[/PR:90]:[/BR:90]],Brudnopis!$E$24:$J$24),0)</f>
        <v>0.14583333333333331</v>
      </c>
      <c r="U1788" s="44">
        <f>IF(Mecze[[#This Row],[Role]]&lt;&gt;"BR",SUMPRODUCT(Mecze[[#This Row],[/PR:90]:[/BR:90]],Brudnopis!$E$25:$J$25),0)</f>
        <v>0.18229166666666666</v>
      </c>
      <c r="V1788" s="44">
        <f>IF(Mecze[[#This Row],[Role]]&lt;&gt;"BR",SUMPRODUCT(Mecze[[#This Row],[/PR:90]:[/BR:90]],Brudnopis!$E$26:$J$26),0)</f>
        <v>0.13541666666666666</v>
      </c>
      <c r="W1788" s="44">
        <f>IF(Mecze[[#This Row],[Role]]&lt;&gt;"BR",SUMPRODUCT(Mecze[[#This Row],[/PR:90]:[/BR:90]],Brudnopis!$E$27:$J$27),0)</f>
        <v>0.171875</v>
      </c>
      <c r="X1788" s="44">
        <f>IF(Mecze[[#This Row],[Role]]&lt;&gt;"BR",SUMPRODUCT(Mecze[[#This Row],[/PR:90]:[/BR:90]],Brudnopis!$E$28:$J$28),0)</f>
        <v>9.375E-2</v>
      </c>
      <c r="Y1788" s="35">
        <f>IF(Mecze[[#This Row],[Role]]="BR",Mecze[[#This Row],[/OB:90]]+Mecze[[#This Row],[/PC:90]],SUM(Mecze[[#This Row],[/PR:90]:[/BR:90]]))</f>
        <v>0.13541666666666666</v>
      </c>
      <c r="Z1788" s="35">
        <f>IF(Mecze[[#This Row],[KC]]=0,SUM(Mecze[[#This Row],[/BRI]:[/NPI]]),SUM(Mecze[[#This Row],[/BRI]:[/NPI]])*0.6)</f>
        <v>0.72916666666666663</v>
      </c>
      <c r="AA1788" s="10">
        <f>IFERROR(Mecze[[#This Row],[BR]]/Mecze[[#This Row],[ST]],0)</f>
        <v>0</v>
      </c>
      <c r="AB1788">
        <f>ROUND(Mecze[[#This Row],[PD]]*Mecze[[#This Row],[%PC]],0)</f>
        <v>9</v>
      </c>
      <c r="AC1788">
        <f>ROUND(Mecze[[#This Row],[OD]]*Mecze[[#This Row],[%OU]],0)</f>
        <v>2</v>
      </c>
      <c r="AD1788" s="36" t="s">
        <v>47</v>
      </c>
      <c r="AE1788" s="36">
        <v>98</v>
      </c>
      <c r="AF1788" s="71">
        <v>3.13</v>
      </c>
      <c r="AG1788" s="37">
        <v>0</v>
      </c>
      <c r="AH1788" s="37">
        <v>0</v>
      </c>
      <c r="AI1788" s="37">
        <v>96</v>
      </c>
      <c r="AJ1788" s="37">
        <v>3</v>
      </c>
      <c r="AK1788" s="37" t="str">
        <f>VLOOKUP(Mecze[[#This Row],[Match ID]],Meczusie[Mecz]:Meczusie[RodzajMeczu],2,FALSE)</f>
        <v>Liga</v>
      </c>
    </row>
    <row r="1789" spans="1:37" x14ac:dyDescent="0.25">
      <c r="A1789" s="76">
        <v>2</v>
      </c>
      <c r="B1789" s="3" t="s">
        <v>265</v>
      </c>
      <c r="C1789" s="2" t="s">
        <v>157</v>
      </c>
      <c r="D1789" s="1">
        <v>0</v>
      </c>
      <c r="E1789" s="1">
        <v>0</v>
      </c>
      <c r="F1789" s="1">
        <v>0</v>
      </c>
      <c r="G1789" s="1">
        <v>11</v>
      </c>
      <c r="H1789" s="4">
        <v>0.55000000000000004</v>
      </c>
      <c r="I1789" s="1">
        <v>2</v>
      </c>
      <c r="J1789" s="4">
        <v>1</v>
      </c>
      <c r="K1789" s="1">
        <v>0</v>
      </c>
      <c r="L1789" s="1">
        <v>4</v>
      </c>
      <c r="M1789" s="32">
        <f>IF(Mecze[[#This Row],[PR]]=0,0,Mecze[[#This Row],[PR]]/Mecze[[#This Row],[CZAS]])</f>
        <v>4.1666666666666664E-2</v>
      </c>
      <c r="N1789" s="32">
        <f>IF(Mecze[[#This Row],[OU]]=0,0,Mecze[[#This Row],[OU]]/Mecze[[#This Row],[CZAS]])</f>
        <v>2.0833333333333332E-2</v>
      </c>
      <c r="O1789" s="32">
        <f>IF(Mecze[[#This Row],[PC]]=0,0,Mecze[[#This Row],[PC]]/Mecze[[#This Row],[CZAS]])</f>
        <v>6.25E-2</v>
      </c>
      <c r="P1789" s="32">
        <f>IF(Mecze[[#This Row],[SC]]=0,0,Mecze[[#This Row],[SC]]/Mecze[[#This Row],[CZAS]])</f>
        <v>0</v>
      </c>
      <c r="Q1789" s="32">
        <f>IF(Mecze[[#This Row],[OB]]=0,0,Mecze[[#This Row],[OB]]/Mecze[[#This Row],[CZAS]])</f>
        <v>0</v>
      </c>
      <c r="R1789" s="32">
        <f>IF(Mecze[[#This Row],[BR]]=0,0,Mecze[[#This Row],[BR]]/Mecze[[#This Row],[CZAS]])</f>
        <v>0</v>
      </c>
      <c r="S1789" s="44">
        <f>IF(Mecze[[#This Row],[Role]]="BR",SUMPRODUCT(Mecze[[#This Row],[/PR:90]:[/BR:90]],Brudnopis!$E$23:$J$23),0)</f>
        <v>0</v>
      </c>
      <c r="T1789" s="44">
        <f>IF(Mecze[[#This Row],[Role]]&lt;&gt;"BR",SUMPRODUCT(Mecze[[#This Row],[/PR:90]:[/BR:90]],Brudnopis!$E$24:$J$24),0)</f>
        <v>0.13541666666666666</v>
      </c>
      <c r="U1789" s="44">
        <f>IF(Mecze[[#This Row],[Role]]&lt;&gt;"BR",SUMPRODUCT(Mecze[[#This Row],[/PR:90]:[/BR:90]],Brudnopis!$E$25:$J$25),0)</f>
        <v>0.15625</v>
      </c>
      <c r="V1789" s="44">
        <f>IF(Mecze[[#This Row],[Role]]&lt;&gt;"BR",SUMPRODUCT(Mecze[[#This Row],[/PR:90]:[/BR:90]],Brudnopis!$E$26:$J$26),0)</f>
        <v>0.125</v>
      </c>
      <c r="W1789" s="44">
        <f>IF(Mecze[[#This Row],[Role]]&lt;&gt;"BR",SUMPRODUCT(Mecze[[#This Row],[/PR:90]:[/BR:90]],Brudnopis!$E$27:$J$27),0)</f>
        <v>0.140625</v>
      </c>
      <c r="X1789" s="44">
        <f>IF(Mecze[[#This Row],[Role]]&lt;&gt;"BR",SUMPRODUCT(Mecze[[#This Row],[/PR:90]:[/BR:90]],Brudnopis!$E$28:$J$28),0)</f>
        <v>6.25E-2</v>
      </c>
      <c r="Y1789" s="35">
        <f>IF(Mecze[[#This Row],[Role]]="BR",Mecze[[#This Row],[/OB:90]]+Mecze[[#This Row],[/PC:90]],SUM(Mecze[[#This Row],[/PR:90]:[/BR:90]]))</f>
        <v>0.125</v>
      </c>
      <c r="Z1789" s="35">
        <f>IF(Mecze[[#This Row],[KC]]=0,SUM(Mecze[[#This Row],[/BRI]:[/NPI]]),SUM(Mecze[[#This Row],[/BRI]:[/NPI]])*0.6)</f>
        <v>0.61979166666666663</v>
      </c>
      <c r="AA1789" s="10">
        <f>IFERROR(Mecze[[#This Row],[BR]]/Mecze[[#This Row],[ST]],0)</f>
        <v>0</v>
      </c>
      <c r="AB1789">
        <f>ROUND(Mecze[[#This Row],[PD]]*Mecze[[#This Row],[%PC]],0)</f>
        <v>6</v>
      </c>
      <c r="AC1789">
        <f>ROUND(Mecze[[#This Row],[OD]]*Mecze[[#This Row],[%OU]],0)</f>
        <v>2</v>
      </c>
      <c r="AD1789" s="36" t="s">
        <v>47</v>
      </c>
      <c r="AE1789" s="36">
        <v>98</v>
      </c>
      <c r="AF1789" s="71">
        <v>2.4300000000000002</v>
      </c>
      <c r="AG1789" s="37">
        <v>0</v>
      </c>
      <c r="AH1789" s="37">
        <v>0</v>
      </c>
      <c r="AI1789" s="37">
        <v>96</v>
      </c>
      <c r="AJ1789" s="37">
        <v>3</v>
      </c>
      <c r="AK1789" s="37" t="str">
        <f>VLOOKUP(Mecze[[#This Row],[Match ID]],Meczusie[Mecz]:Meczusie[RodzajMeczu],2,FALSE)</f>
        <v>Liga</v>
      </c>
    </row>
    <row r="1790" spans="1:37" x14ac:dyDescent="0.25">
      <c r="A1790" s="76">
        <v>5</v>
      </c>
      <c r="B1790" s="3" t="s">
        <v>267</v>
      </c>
      <c r="C1790" s="2" t="s">
        <v>160</v>
      </c>
      <c r="D1790" s="1">
        <v>0</v>
      </c>
      <c r="E1790" s="1">
        <v>0</v>
      </c>
      <c r="F1790" s="1">
        <v>0</v>
      </c>
      <c r="G1790" s="1">
        <v>12</v>
      </c>
      <c r="H1790" s="4">
        <v>0.75</v>
      </c>
      <c r="I1790" s="1">
        <v>2</v>
      </c>
      <c r="J1790" s="4">
        <v>0</v>
      </c>
      <c r="K1790" s="1">
        <v>0</v>
      </c>
      <c r="L1790" s="1">
        <v>3</v>
      </c>
      <c r="M1790" s="32">
        <f>IF(Mecze[[#This Row],[PR]]=0,0,Mecze[[#This Row],[PR]]/Mecze[[#This Row],[CZAS]])</f>
        <v>3.125E-2</v>
      </c>
      <c r="N1790" s="32">
        <f>IF(Mecze[[#This Row],[OU]]=0,0,Mecze[[#This Row],[OU]]/Mecze[[#This Row],[CZAS]])</f>
        <v>0</v>
      </c>
      <c r="O1790" s="32">
        <f>IF(Mecze[[#This Row],[PC]]=0,0,Mecze[[#This Row],[PC]]/Mecze[[#This Row],[CZAS]])</f>
        <v>9.375E-2</v>
      </c>
      <c r="P1790" s="32">
        <f>IF(Mecze[[#This Row],[SC]]=0,0,Mecze[[#This Row],[SC]]/Mecze[[#This Row],[CZAS]])</f>
        <v>0</v>
      </c>
      <c r="Q1790" s="32">
        <f>IF(Mecze[[#This Row],[OB]]=0,0,Mecze[[#This Row],[OB]]/Mecze[[#This Row],[CZAS]])</f>
        <v>0</v>
      </c>
      <c r="R1790" s="32">
        <f>IF(Mecze[[#This Row],[BR]]=0,0,Mecze[[#This Row],[BR]]/Mecze[[#This Row],[CZAS]])</f>
        <v>0</v>
      </c>
      <c r="S1790" s="44">
        <f>IF(Mecze[[#This Row],[Role]]="BR",SUMPRODUCT(Mecze[[#This Row],[/PR:90]:[/BR:90]],Brudnopis!$E$23:$J$23),0)</f>
        <v>0</v>
      </c>
      <c r="T1790" s="44">
        <f>IF(Mecze[[#This Row],[Role]]&lt;&gt;"BR",SUMPRODUCT(Mecze[[#This Row],[/PR:90]:[/BR:90]],Brudnopis!$E$24:$J$24),0)</f>
        <v>0.125</v>
      </c>
      <c r="U1790" s="44">
        <f>IF(Mecze[[#This Row],[Role]]&lt;&gt;"BR",SUMPRODUCT(Mecze[[#This Row],[/PR:90]:[/BR:90]],Brudnopis!$E$25:$J$25),0)</f>
        <v>0.171875</v>
      </c>
      <c r="V1790" s="44">
        <f>IF(Mecze[[#This Row],[Role]]&lt;&gt;"BR",SUMPRODUCT(Mecze[[#This Row],[/PR:90]:[/BR:90]],Brudnopis!$E$26:$J$26),0)</f>
        <v>0.125</v>
      </c>
      <c r="W1790" s="44">
        <f>IF(Mecze[[#This Row],[Role]]&lt;&gt;"BR",SUMPRODUCT(Mecze[[#This Row],[/PR:90]:[/BR:90]],Brudnopis!$E$27:$J$27),0)</f>
        <v>0.1640625</v>
      </c>
      <c r="X1790" s="44">
        <f>IF(Mecze[[#This Row],[Role]]&lt;&gt;"BR",SUMPRODUCT(Mecze[[#This Row],[/PR:90]:[/BR:90]],Brudnopis!$E$28:$J$28),0)</f>
        <v>9.375E-2</v>
      </c>
      <c r="Y1790" s="35">
        <f>IF(Mecze[[#This Row],[Role]]="BR",Mecze[[#This Row],[/OB:90]]+Mecze[[#This Row],[/PC:90]],SUM(Mecze[[#This Row],[/PR:90]:[/BR:90]]))</f>
        <v>0.125</v>
      </c>
      <c r="Z1790" s="35">
        <f>IF(Mecze[[#This Row],[KC]]=0,SUM(Mecze[[#This Row],[/BRI]:[/NPI]]),SUM(Mecze[[#This Row],[/BRI]:[/NPI]])*0.6)</f>
        <v>0.6796875</v>
      </c>
      <c r="AA1790" s="10">
        <f>IFERROR(Mecze[[#This Row],[BR]]/Mecze[[#This Row],[ST]],0)</f>
        <v>0</v>
      </c>
      <c r="AB1790">
        <f>ROUND(Mecze[[#This Row],[PD]]*Mecze[[#This Row],[%PC]],0)</f>
        <v>9</v>
      </c>
      <c r="AC1790">
        <f>ROUND(Mecze[[#This Row],[OD]]*Mecze[[#This Row],[%OU]],0)</f>
        <v>0</v>
      </c>
      <c r="AD1790" s="36" t="s">
        <v>67</v>
      </c>
      <c r="AE1790" s="36">
        <v>98</v>
      </c>
      <c r="AF1790" s="71">
        <v>4.54</v>
      </c>
      <c r="AG1790" s="37">
        <v>0</v>
      </c>
      <c r="AH1790" s="37">
        <v>0</v>
      </c>
      <c r="AI1790" s="37">
        <v>96</v>
      </c>
      <c r="AJ1790" s="37">
        <v>3</v>
      </c>
      <c r="AK1790" s="37" t="str">
        <f>VLOOKUP(Mecze[[#This Row],[Match ID]],Meczusie[Mecz]:Meczusie[RodzajMeczu],2,FALSE)</f>
        <v>Liga</v>
      </c>
    </row>
    <row r="1791" spans="1:37" x14ac:dyDescent="0.25">
      <c r="A1791" s="76">
        <v>9</v>
      </c>
      <c r="B1791" s="3" t="s">
        <v>266</v>
      </c>
      <c r="C1791" s="2" t="s">
        <v>160</v>
      </c>
      <c r="D1791" s="1">
        <v>0</v>
      </c>
      <c r="E1791" s="1">
        <v>0</v>
      </c>
      <c r="F1791" s="1">
        <v>0</v>
      </c>
      <c r="G1791" s="1">
        <v>8</v>
      </c>
      <c r="H1791" s="4">
        <v>1</v>
      </c>
      <c r="I1791" s="1">
        <v>4</v>
      </c>
      <c r="J1791" s="4">
        <v>0.5</v>
      </c>
      <c r="K1791" s="1">
        <v>0</v>
      </c>
      <c r="L1791" s="1">
        <v>1</v>
      </c>
      <c r="M1791" s="32">
        <f>IF(Mecze[[#This Row],[PR]]=0,0,Mecze[[#This Row],[PR]]/Mecze[[#This Row],[CZAS]])</f>
        <v>1.0416666666666666E-2</v>
      </c>
      <c r="N1791" s="32">
        <f>IF(Mecze[[#This Row],[OU]]=0,0,Mecze[[#This Row],[OU]]/Mecze[[#This Row],[CZAS]])</f>
        <v>2.0833333333333332E-2</v>
      </c>
      <c r="O1791" s="32">
        <f>IF(Mecze[[#This Row],[PC]]=0,0,Mecze[[#This Row],[PC]]/Mecze[[#This Row],[CZAS]])</f>
        <v>8.3333333333333329E-2</v>
      </c>
      <c r="P1791" s="32">
        <f>IF(Mecze[[#This Row],[SC]]=0,0,Mecze[[#This Row],[SC]]/Mecze[[#This Row],[CZAS]])</f>
        <v>0</v>
      </c>
      <c r="Q1791" s="32">
        <f>IF(Mecze[[#This Row],[OB]]=0,0,Mecze[[#This Row],[OB]]/Mecze[[#This Row],[CZAS]])</f>
        <v>0</v>
      </c>
      <c r="R1791" s="32">
        <f>IF(Mecze[[#This Row],[BR]]=0,0,Mecze[[#This Row],[BR]]/Mecze[[#This Row],[CZAS]])</f>
        <v>0</v>
      </c>
      <c r="S1791" s="44">
        <f>IF(Mecze[[#This Row],[Role]]="BR",SUMPRODUCT(Mecze[[#This Row],[/PR:90]:[/BR:90]],Brudnopis!$E$23:$J$23),0)</f>
        <v>0</v>
      </c>
      <c r="T1791" s="44">
        <f>IF(Mecze[[#This Row],[Role]]&lt;&gt;"BR",SUMPRODUCT(Mecze[[#This Row],[/PR:90]:[/BR:90]],Brudnopis!$E$24:$J$24),0)</f>
        <v>0.125</v>
      </c>
      <c r="U1791" s="44">
        <f>IF(Mecze[[#This Row],[Role]]&lt;&gt;"BR",SUMPRODUCT(Mecze[[#This Row],[/PR:90]:[/BR:90]],Brudnopis!$E$25:$J$25),0)</f>
        <v>0.15625</v>
      </c>
      <c r="V1791" s="44">
        <f>IF(Mecze[[#This Row],[Role]]&lt;&gt;"BR",SUMPRODUCT(Mecze[[#This Row],[/PR:90]:[/BR:90]],Brudnopis!$E$26:$J$26),0)</f>
        <v>0.11458333333333333</v>
      </c>
      <c r="W1791" s="44">
        <f>IF(Mecze[[#This Row],[Role]]&lt;&gt;"BR",SUMPRODUCT(Mecze[[#This Row],[/PR:90]:[/BR:90]],Brudnopis!$E$27:$J$27),0)</f>
        <v>0.1484375</v>
      </c>
      <c r="X1791" s="44">
        <f>IF(Mecze[[#This Row],[Role]]&lt;&gt;"BR",SUMPRODUCT(Mecze[[#This Row],[/PR:90]:[/BR:90]],Brudnopis!$E$28:$J$28),0)</f>
        <v>8.3333333333333329E-2</v>
      </c>
      <c r="Y1791" s="35">
        <f>IF(Mecze[[#This Row],[Role]]="BR",Mecze[[#This Row],[/OB:90]]+Mecze[[#This Row],[/PC:90]],SUM(Mecze[[#This Row],[/PR:90]:[/BR:90]]))</f>
        <v>0.11458333333333333</v>
      </c>
      <c r="Z1791" s="35">
        <f>IF(Mecze[[#This Row],[KC]]=0,SUM(Mecze[[#This Row],[/BRI]:[/NPI]]),SUM(Mecze[[#This Row],[/BRI]:[/NPI]])*0.6)</f>
        <v>0.62760416666666663</v>
      </c>
      <c r="AA1791" s="10">
        <f>IFERROR(Mecze[[#This Row],[BR]]/Mecze[[#This Row],[ST]],0)</f>
        <v>0</v>
      </c>
      <c r="AB1791">
        <f>ROUND(Mecze[[#This Row],[PD]]*Mecze[[#This Row],[%PC]],0)</f>
        <v>8</v>
      </c>
      <c r="AC1791">
        <f>ROUND(Mecze[[#This Row],[OD]]*Mecze[[#This Row],[%OU]],0)</f>
        <v>2</v>
      </c>
      <c r="AD1791" s="36" t="s">
        <v>67</v>
      </c>
      <c r="AE1791" s="36">
        <v>98</v>
      </c>
      <c r="AF1791" s="71">
        <v>6.24</v>
      </c>
      <c r="AG1791" s="37">
        <v>0</v>
      </c>
      <c r="AH1791" s="37">
        <v>0</v>
      </c>
      <c r="AI1791" s="37">
        <v>96</v>
      </c>
      <c r="AJ1791" s="37">
        <v>3</v>
      </c>
      <c r="AK1791" s="37" t="str">
        <f>VLOOKUP(Mecze[[#This Row],[Match ID]],Meczusie[Mecz]:Meczusie[RodzajMeczu],2,FALSE)</f>
        <v>Liga</v>
      </c>
    </row>
    <row r="1792" spans="1:37" x14ac:dyDescent="0.25">
      <c r="A1792" s="76">
        <v>3</v>
      </c>
      <c r="B1792" s="3" t="s">
        <v>268</v>
      </c>
      <c r="C1792" s="2" t="s">
        <v>160</v>
      </c>
      <c r="D1792" s="1">
        <v>0</v>
      </c>
      <c r="E1792" s="1">
        <v>1</v>
      </c>
      <c r="F1792" s="1">
        <v>1</v>
      </c>
      <c r="G1792" s="1">
        <v>9</v>
      </c>
      <c r="H1792" s="4">
        <v>1</v>
      </c>
      <c r="I1792" s="1">
        <v>2</v>
      </c>
      <c r="J1792" s="4">
        <v>0.5</v>
      </c>
      <c r="K1792" s="1">
        <v>0</v>
      </c>
      <c r="L1792" s="1">
        <v>1</v>
      </c>
      <c r="M1792" s="32">
        <f>IF(Mecze[[#This Row],[PR]]=0,0,Mecze[[#This Row],[PR]]/Mecze[[#This Row],[CZAS]])</f>
        <v>1.0416666666666666E-2</v>
      </c>
      <c r="N1792" s="32">
        <f>IF(Mecze[[#This Row],[OU]]=0,0,Mecze[[#This Row],[OU]]/Mecze[[#This Row],[CZAS]])</f>
        <v>1.0416666666666666E-2</v>
      </c>
      <c r="O1792" s="32">
        <f>IF(Mecze[[#This Row],[PC]]=0,0,Mecze[[#This Row],[PC]]/Mecze[[#This Row],[CZAS]])</f>
        <v>9.375E-2</v>
      </c>
      <c r="P1792" s="32">
        <f>IF(Mecze[[#This Row],[SC]]=0,0,Mecze[[#This Row],[SC]]/Mecze[[#This Row],[CZAS]])</f>
        <v>1.0416666666666666E-2</v>
      </c>
      <c r="Q1792" s="32">
        <f>IF(Mecze[[#This Row],[OB]]=0,0,Mecze[[#This Row],[OB]]/Mecze[[#This Row],[CZAS]])</f>
        <v>0</v>
      </c>
      <c r="R1792" s="32">
        <f>IF(Mecze[[#This Row],[BR]]=0,0,Mecze[[#This Row],[BR]]/Mecze[[#This Row],[CZAS]])</f>
        <v>0</v>
      </c>
      <c r="S1792" s="44">
        <f>IF(Mecze[[#This Row],[Role]]="BR",SUMPRODUCT(Mecze[[#This Row],[/PR:90]:[/BR:90]],Brudnopis!$E$23:$J$23),0)</f>
        <v>0</v>
      </c>
      <c r="T1792" s="44">
        <f>IF(Mecze[[#This Row],[Role]]&lt;&gt;"BR",SUMPRODUCT(Mecze[[#This Row],[/PR:90]:[/BR:90]],Brudnopis!$E$24:$J$24),0)</f>
        <v>0.13020833333333331</v>
      </c>
      <c r="U1792" s="44">
        <f>IF(Mecze[[#This Row],[Role]]&lt;&gt;"BR",SUMPRODUCT(Mecze[[#This Row],[/PR:90]:[/BR:90]],Brudnopis!$E$25:$J$25),0)</f>
        <v>0.171875</v>
      </c>
      <c r="V1792" s="44">
        <f>IF(Mecze[[#This Row],[Role]]&lt;&gt;"BR",SUMPRODUCT(Mecze[[#This Row],[/PR:90]:[/BR:90]],Brudnopis!$E$26:$J$26),0)</f>
        <v>0.125</v>
      </c>
      <c r="W1792" s="44">
        <f>IF(Mecze[[#This Row],[Role]]&lt;&gt;"BR",SUMPRODUCT(Mecze[[#This Row],[/PR:90]:[/BR:90]],Brudnopis!$E$27:$J$27),0)</f>
        <v>0.16666666666666666</v>
      </c>
      <c r="X1792" s="44">
        <f>IF(Mecze[[#This Row],[Role]]&lt;&gt;"BR",SUMPRODUCT(Mecze[[#This Row],[/PR:90]:[/BR:90]],Brudnopis!$E$28:$J$28),0)</f>
        <v>0.11458333333333333</v>
      </c>
      <c r="Y1792" s="35">
        <f>IF(Mecze[[#This Row],[Role]]="BR",Mecze[[#This Row],[/OB:90]]+Mecze[[#This Row],[/PC:90]],SUM(Mecze[[#This Row],[/PR:90]:[/BR:90]]))</f>
        <v>0.125</v>
      </c>
      <c r="Z1792" s="35">
        <f>IF(Mecze[[#This Row],[KC]]=0,SUM(Mecze[[#This Row],[/BRI]:[/NPI]]),SUM(Mecze[[#This Row],[/BRI]:[/NPI]])*0.6)</f>
        <v>0.70833333333333337</v>
      </c>
      <c r="AA1792" s="10">
        <f>IFERROR(Mecze[[#This Row],[BR]]/Mecze[[#This Row],[ST]],0)</f>
        <v>0</v>
      </c>
      <c r="AB1792">
        <f>ROUND(Mecze[[#This Row],[PD]]*Mecze[[#This Row],[%PC]],0)</f>
        <v>9</v>
      </c>
      <c r="AC1792">
        <f>ROUND(Mecze[[#This Row],[OD]]*Mecze[[#This Row],[%OU]],0)</f>
        <v>1</v>
      </c>
      <c r="AD1792" s="36" t="s">
        <v>44</v>
      </c>
      <c r="AE1792" s="36">
        <v>98</v>
      </c>
      <c r="AF1792" s="71">
        <v>5.36</v>
      </c>
      <c r="AG1792" s="37">
        <v>1</v>
      </c>
      <c r="AH1792" s="37">
        <v>0</v>
      </c>
      <c r="AI1792" s="37">
        <v>96</v>
      </c>
      <c r="AJ1792" s="37">
        <v>3</v>
      </c>
      <c r="AK1792" s="37" t="str">
        <f>VLOOKUP(Mecze[[#This Row],[Match ID]],Meczusie[Mecz]:Meczusie[RodzajMeczu],2,FALSE)</f>
        <v>Liga</v>
      </c>
    </row>
    <row r="1793" spans="1:37" x14ac:dyDescent="0.25">
      <c r="A1793" s="76">
        <v>8</v>
      </c>
      <c r="B1793" s="3" t="s">
        <v>269</v>
      </c>
      <c r="C1793" s="2" t="s">
        <v>165</v>
      </c>
      <c r="D1793" s="1">
        <v>0</v>
      </c>
      <c r="E1793" s="1">
        <v>4</v>
      </c>
      <c r="F1793" s="1">
        <v>4</v>
      </c>
      <c r="G1793" s="1">
        <v>6</v>
      </c>
      <c r="H1793" s="4">
        <v>0.67</v>
      </c>
      <c r="I1793" s="1">
        <v>1</v>
      </c>
      <c r="J1793" s="4">
        <v>0</v>
      </c>
      <c r="K1793" s="1">
        <v>0</v>
      </c>
      <c r="L1793" s="1">
        <v>0</v>
      </c>
      <c r="M1793" s="32">
        <f>IF(Mecze[[#This Row],[PR]]=0,0,Mecze[[#This Row],[PR]]/Mecze[[#This Row],[CZAS]])</f>
        <v>0</v>
      </c>
      <c r="N1793" s="32">
        <f>IF(Mecze[[#This Row],[OU]]=0,0,Mecze[[#This Row],[OU]]/Mecze[[#This Row],[CZAS]])</f>
        <v>0</v>
      </c>
      <c r="O1793" s="32">
        <f>IF(Mecze[[#This Row],[PC]]=0,0,Mecze[[#This Row],[PC]]/Mecze[[#This Row],[CZAS]])</f>
        <v>4.1666666666666664E-2</v>
      </c>
      <c r="P1793" s="32">
        <f>IF(Mecze[[#This Row],[SC]]=0,0,Mecze[[#This Row],[SC]]/Mecze[[#This Row],[CZAS]])</f>
        <v>4.1666666666666664E-2</v>
      </c>
      <c r="Q1793" s="32">
        <f>IF(Mecze[[#This Row],[OB]]=0,0,Mecze[[#This Row],[OB]]/Mecze[[#This Row],[CZAS]])</f>
        <v>0</v>
      </c>
      <c r="R1793" s="32">
        <f>IF(Mecze[[#This Row],[BR]]=0,0,Mecze[[#This Row],[BR]]/Mecze[[#This Row],[CZAS]])</f>
        <v>0</v>
      </c>
      <c r="S1793" s="44">
        <f>IF(Mecze[[#This Row],[Role]]="BR",SUMPRODUCT(Mecze[[#This Row],[/PR:90]:[/BR:90]],Brudnopis!$E$23:$J$23),0)</f>
        <v>0</v>
      </c>
      <c r="T1793" s="44">
        <f>IF(Mecze[[#This Row],[Role]]&lt;&gt;"BR",SUMPRODUCT(Mecze[[#This Row],[/PR:90]:[/BR:90]],Brudnopis!$E$24:$J$24),0)</f>
        <v>8.3333333333333329E-2</v>
      </c>
      <c r="U1793" s="44">
        <f>IF(Mecze[[#This Row],[Role]]&lt;&gt;"BR",SUMPRODUCT(Mecze[[#This Row],[/PR:90]:[/BR:90]],Brudnopis!$E$25:$J$25),0)</f>
        <v>0.10416666666666666</v>
      </c>
      <c r="V1793" s="44">
        <f>IF(Mecze[[#This Row],[Role]]&lt;&gt;"BR",SUMPRODUCT(Mecze[[#This Row],[/PR:90]:[/BR:90]],Brudnopis!$E$26:$J$26),0)</f>
        <v>8.3333333333333329E-2</v>
      </c>
      <c r="W1793" s="44">
        <f>IF(Mecze[[#This Row],[Role]]&lt;&gt;"BR",SUMPRODUCT(Mecze[[#This Row],[/PR:90]:[/BR:90]],Brudnopis!$E$27:$J$27),0)</f>
        <v>0.10416666666666666</v>
      </c>
      <c r="X1793" s="44">
        <f>IF(Mecze[[#This Row],[Role]]&lt;&gt;"BR",SUMPRODUCT(Mecze[[#This Row],[/PR:90]:[/BR:90]],Brudnopis!$E$28:$J$28),0)</f>
        <v>0.125</v>
      </c>
      <c r="Y1793" s="35">
        <f>IF(Mecze[[#This Row],[Role]]="BR",Mecze[[#This Row],[/OB:90]]+Mecze[[#This Row],[/PC:90]],SUM(Mecze[[#This Row],[/PR:90]:[/BR:90]]))</f>
        <v>8.3333333333333329E-2</v>
      </c>
      <c r="Z1793" s="35">
        <f>IF(Mecze[[#This Row],[KC]]=0,SUM(Mecze[[#This Row],[/BRI]:[/NPI]]),SUM(Mecze[[#This Row],[/BRI]:[/NPI]])*0.6)</f>
        <v>0.5</v>
      </c>
      <c r="AA1793" s="10">
        <f>IFERROR(Mecze[[#This Row],[BR]]/Mecze[[#This Row],[ST]],0)</f>
        <v>0</v>
      </c>
      <c r="AB1793">
        <f>ROUND(Mecze[[#This Row],[PD]]*Mecze[[#This Row],[%PC]],0)</f>
        <v>4</v>
      </c>
      <c r="AC1793">
        <f>ROUND(Mecze[[#This Row],[OD]]*Mecze[[#This Row],[%OU]],0)</f>
        <v>0</v>
      </c>
      <c r="AD1793" s="36" t="s">
        <v>272</v>
      </c>
      <c r="AE1793" s="36">
        <v>98</v>
      </c>
      <c r="AF1793" s="71">
        <v>4.92</v>
      </c>
      <c r="AG1793" s="37">
        <v>0</v>
      </c>
      <c r="AH1793" s="37">
        <v>0</v>
      </c>
      <c r="AI1793" s="37">
        <v>96</v>
      </c>
      <c r="AJ1793" s="37">
        <v>3</v>
      </c>
      <c r="AK1793" s="37" t="str">
        <f>VLOOKUP(Mecze[[#This Row],[Match ID]],Meczusie[Mecz]:Meczusie[RodzajMeczu],2,FALSE)</f>
        <v>Liga</v>
      </c>
    </row>
    <row r="1794" spans="1:37" x14ac:dyDescent="0.25">
      <c r="A1794" s="76">
        <v>11</v>
      </c>
      <c r="B1794" s="3" t="s">
        <v>270</v>
      </c>
      <c r="C1794" s="2" t="s">
        <v>165</v>
      </c>
      <c r="D1794" s="1">
        <v>0</v>
      </c>
      <c r="E1794" s="1">
        <v>6</v>
      </c>
      <c r="F1794" s="1">
        <v>6</v>
      </c>
      <c r="G1794" s="1">
        <v>9</v>
      </c>
      <c r="H1794" s="4">
        <v>0.67</v>
      </c>
      <c r="I1794" s="1">
        <v>2</v>
      </c>
      <c r="J1794" s="4">
        <v>1</v>
      </c>
      <c r="K1794" s="1">
        <v>0</v>
      </c>
      <c r="L1794" s="1">
        <v>2</v>
      </c>
      <c r="M1794" s="32">
        <f>IF(Mecze[[#This Row],[PR]]=0,0,Mecze[[#This Row],[PR]]/Mecze[[#This Row],[CZAS]])</f>
        <v>2.0833333333333332E-2</v>
      </c>
      <c r="N1794" s="32">
        <f>IF(Mecze[[#This Row],[OU]]=0,0,Mecze[[#This Row],[OU]]/Mecze[[#This Row],[CZAS]])</f>
        <v>2.0833333333333332E-2</v>
      </c>
      <c r="O1794" s="32">
        <f>IF(Mecze[[#This Row],[PC]]=0,0,Mecze[[#This Row],[PC]]/Mecze[[#This Row],[CZAS]])</f>
        <v>6.25E-2</v>
      </c>
      <c r="P1794" s="32">
        <f>IF(Mecze[[#This Row],[SC]]=0,0,Mecze[[#This Row],[SC]]/Mecze[[#This Row],[CZAS]])</f>
        <v>6.25E-2</v>
      </c>
      <c r="Q1794" s="32">
        <f>IF(Mecze[[#This Row],[OB]]=0,0,Mecze[[#This Row],[OB]]/Mecze[[#This Row],[CZAS]])</f>
        <v>0</v>
      </c>
      <c r="R1794" s="32">
        <f>IF(Mecze[[#This Row],[BR]]=0,0,Mecze[[#This Row],[BR]]/Mecze[[#This Row],[CZAS]])</f>
        <v>0</v>
      </c>
      <c r="S1794" s="44">
        <f>IF(Mecze[[#This Row],[Role]]="BR",SUMPRODUCT(Mecze[[#This Row],[/PR:90]:[/BR:90]],Brudnopis!$E$23:$J$23),0)</f>
        <v>0</v>
      </c>
      <c r="T1794" s="44">
        <f>IF(Mecze[[#This Row],[Role]]&lt;&gt;"BR",SUMPRODUCT(Mecze[[#This Row],[/PR:90]:[/BR:90]],Brudnopis!$E$24:$J$24),0)</f>
        <v>0.17708333333333331</v>
      </c>
      <c r="U1794" s="44">
        <f>IF(Mecze[[#This Row],[Role]]&lt;&gt;"BR",SUMPRODUCT(Mecze[[#This Row],[/PR:90]:[/BR:90]],Brudnopis!$E$25:$J$25),0)</f>
        <v>0.19791666666666666</v>
      </c>
      <c r="V1794" s="44">
        <f>IF(Mecze[[#This Row],[Role]]&lt;&gt;"BR",SUMPRODUCT(Mecze[[#This Row],[/PR:90]:[/BR:90]],Brudnopis!$E$26:$J$26),0)</f>
        <v>0.16666666666666666</v>
      </c>
      <c r="W1794" s="44">
        <f>IF(Mecze[[#This Row],[Role]]&lt;&gt;"BR",SUMPRODUCT(Mecze[[#This Row],[/PR:90]:[/BR:90]],Brudnopis!$E$27:$J$27),0)</f>
        <v>0.1875</v>
      </c>
      <c r="X1794" s="44">
        <f>IF(Mecze[[#This Row],[Role]]&lt;&gt;"BR",SUMPRODUCT(Mecze[[#This Row],[/PR:90]:[/BR:90]],Brudnopis!$E$28:$J$28),0)</f>
        <v>0.1875</v>
      </c>
      <c r="Y1794" s="35">
        <f>IF(Mecze[[#This Row],[Role]]="BR",Mecze[[#This Row],[/OB:90]]+Mecze[[#This Row],[/PC:90]],SUM(Mecze[[#This Row],[/PR:90]:[/BR:90]]))</f>
        <v>0.16666666666666666</v>
      </c>
      <c r="Z1794" s="35">
        <f>IF(Mecze[[#This Row],[KC]]=0,SUM(Mecze[[#This Row],[/BRI]:[/NPI]]),SUM(Mecze[[#This Row],[/BRI]:[/NPI]])*0.6)</f>
        <v>0.91666666666666663</v>
      </c>
      <c r="AA1794" s="10">
        <f>IFERROR(Mecze[[#This Row],[BR]]/Mecze[[#This Row],[ST]],0)</f>
        <v>0</v>
      </c>
      <c r="AB1794">
        <f>ROUND(Mecze[[#This Row],[PD]]*Mecze[[#This Row],[%PC]],0)</f>
        <v>6</v>
      </c>
      <c r="AC1794">
        <f>ROUND(Mecze[[#This Row],[OD]]*Mecze[[#This Row],[%OU]],0)</f>
        <v>2</v>
      </c>
      <c r="AD1794" s="36" t="s">
        <v>273</v>
      </c>
      <c r="AE1794" s="36">
        <v>98</v>
      </c>
      <c r="AF1794" s="71">
        <v>5.36</v>
      </c>
      <c r="AG1794" s="37">
        <v>0</v>
      </c>
      <c r="AH1794" s="37">
        <v>0</v>
      </c>
      <c r="AI1794" s="37">
        <v>96</v>
      </c>
      <c r="AJ1794" s="37">
        <v>3</v>
      </c>
      <c r="AK1794" s="37" t="str">
        <f>VLOOKUP(Mecze[[#This Row],[Match ID]],Meczusie[Mecz]:Meczusie[RodzajMeczu],2,FALSE)</f>
        <v>Liga</v>
      </c>
    </row>
    <row r="1795" spans="1:37" x14ac:dyDescent="0.25">
      <c r="A1795" s="76">
        <v>10</v>
      </c>
      <c r="B1795" s="3" t="s">
        <v>271</v>
      </c>
      <c r="C1795" s="2" t="s">
        <v>165</v>
      </c>
      <c r="D1795" s="1">
        <v>0</v>
      </c>
      <c r="E1795" s="1">
        <v>6</v>
      </c>
      <c r="F1795" s="1">
        <v>6</v>
      </c>
      <c r="G1795" s="1">
        <v>8</v>
      </c>
      <c r="H1795" s="4">
        <v>0.63</v>
      </c>
      <c r="I1795" s="1">
        <v>1</v>
      </c>
      <c r="J1795" s="4">
        <v>0</v>
      </c>
      <c r="K1795" s="1">
        <v>0</v>
      </c>
      <c r="L1795" s="1">
        <v>1</v>
      </c>
      <c r="M1795" s="32">
        <f>IF(Mecze[[#This Row],[PR]]=0,0,Mecze[[#This Row],[PR]]/Mecze[[#This Row],[CZAS]])</f>
        <v>1.0416666666666666E-2</v>
      </c>
      <c r="N1795" s="32">
        <f>IF(Mecze[[#This Row],[OU]]=0,0,Mecze[[#This Row],[OU]]/Mecze[[#This Row],[CZAS]])</f>
        <v>0</v>
      </c>
      <c r="O1795" s="32">
        <f>IF(Mecze[[#This Row],[PC]]=0,0,Mecze[[#This Row],[PC]]/Mecze[[#This Row],[CZAS]])</f>
        <v>5.2083333333333336E-2</v>
      </c>
      <c r="P1795" s="32">
        <f>IF(Mecze[[#This Row],[SC]]=0,0,Mecze[[#This Row],[SC]]/Mecze[[#This Row],[CZAS]])</f>
        <v>6.25E-2</v>
      </c>
      <c r="Q1795" s="32">
        <f>IF(Mecze[[#This Row],[OB]]=0,0,Mecze[[#This Row],[OB]]/Mecze[[#This Row],[CZAS]])</f>
        <v>0</v>
      </c>
      <c r="R1795" s="32">
        <f>IF(Mecze[[#This Row],[BR]]=0,0,Mecze[[#This Row],[BR]]/Mecze[[#This Row],[CZAS]])</f>
        <v>0</v>
      </c>
      <c r="S1795" s="44">
        <f>IF(Mecze[[#This Row],[Role]]="BR",SUMPRODUCT(Mecze[[#This Row],[/PR:90]:[/BR:90]],Brudnopis!$E$23:$J$23),0)</f>
        <v>0</v>
      </c>
      <c r="T1795" s="44">
        <f>IF(Mecze[[#This Row],[Role]]&lt;&gt;"BR",SUMPRODUCT(Mecze[[#This Row],[/PR:90]:[/BR:90]],Brudnopis!$E$24:$J$24),0)</f>
        <v>0.125</v>
      </c>
      <c r="U1795" s="44">
        <f>IF(Mecze[[#This Row],[Role]]&lt;&gt;"BR",SUMPRODUCT(Mecze[[#This Row],[/PR:90]:[/BR:90]],Brudnopis!$E$25:$J$25),0)</f>
        <v>0.15104166666666669</v>
      </c>
      <c r="V1795" s="44">
        <f>IF(Mecze[[#This Row],[Role]]&lt;&gt;"BR",SUMPRODUCT(Mecze[[#This Row],[/PR:90]:[/BR:90]],Brudnopis!$E$26:$J$26),0)</f>
        <v>0.125</v>
      </c>
      <c r="W1795" s="44">
        <f>IF(Mecze[[#This Row],[Role]]&lt;&gt;"BR",SUMPRODUCT(Mecze[[#This Row],[/PR:90]:[/BR:90]],Brudnopis!$E$27:$J$27),0)</f>
        <v>0.1484375</v>
      </c>
      <c r="X1795" s="44">
        <f>IF(Mecze[[#This Row],[Role]]&lt;&gt;"BR",SUMPRODUCT(Mecze[[#This Row],[/PR:90]:[/BR:90]],Brudnopis!$E$28:$J$28),0)</f>
        <v>0.17708333333333334</v>
      </c>
      <c r="Y1795" s="35">
        <f>IF(Mecze[[#This Row],[Role]]="BR",Mecze[[#This Row],[/OB:90]]+Mecze[[#This Row],[/PC:90]],SUM(Mecze[[#This Row],[/PR:90]:[/BR:90]]))</f>
        <v>0.125</v>
      </c>
      <c r="Z1795" s="35">
        <f>IF(Mecze[[#This Row],[KC]]=0,SUM(Mecze[[#This Row],[/BRI]:[/NPI]]),SUM(Mecze[[#This Row],[/BRI]:[/NPI]])*0.6)</f>
        <v>0.72656250000000011</v>
      </c>
      <c r="AA1795" s="10">
        <f>IFERROR(Mecze[[#This Row],[BR]]/Mecze[[#This Row],[ST]],0)</f>
        <v>0</v>
      </c>
      <c r="AB1795">
        <f>ROUND(Mecze[[#This Row],[PD]]*Mecze[[#This Row],[%PC]],0)</f>
        <v>5</v>
      </c>
      <c r="AC1795">
        <f>ROUND(Mecze[[#This Row],[OD]]*Mecze[[#This Row],[%OU]],0)</f>
        <v>0</v>
      </c>
      <c r="AD1795" s="36" t="s">
        <v>46</v>
      </c>
      <c r="AE1795" s="36">
        <v>98</v>
      </c>
      <c r="AF1795" s="71">
        <v>5.36</v>
      </c>
      <c r="AG1795" s="37">
        <v>0</v>
      </c>
      <c r="AH1795" s="37">
        <v>0</v>
      </c>
      <c r="AI1795" s="37">
        <v>96</v>
      </c>
      <c r="AJ1795" s="37">
        <v>3</v>
      </c>
      <c r="AK1795" s="37" t="str">
        <f>VLOOKUP(Mecze[[#This Row],[Match ID]],Meczusie[Mecz]:Meczusie[RodzajMeczu],2,FALSE)</f>
        <v>Liga</v>
      </c>
    </row>
    <row r="1796" spans="1:37" x14ac:dyDescent="0.25">
      <c r="A1796" s="76">
        <v>1</v>
      </c>
      <c r="B1796" s="3" t="s">
        <v>288</v>
      </c>
      <c r="C1796" s="2" t="s">
        <v>155</v>
      </c>
      <c r="D1796" s="1">
        <v>0</v>
      </c>
      <c r="E1796" s="1">
        <v>0</v>
      </c>
      <c r="F1796" s="1">
        <v>0</v>
      </c>
      <c r="G1796" s="1">
        <v>12</v>
      </c>
      <c r="H1796" s="4">
        <v>0.42</v>
      </c>
      <c r="I1796" s="1">
        <v>0</v>
      </c>
      <c r="J1796" s="4"/>
      <c r="K1796" s="1">
        <v>9</v>
      </c>
      <c r="L1796" s="1">
        <v>0</v>
      </c>
      <c r="M1796" s="32">
        <f>IF(Mecze[[#This Row],[PR]]=0,0,Mecze[[#This Row],[PR]]/Mecze[[#This Row],[CZAS]])</f>
        <v>0</v>
      </c>
      <c r="N1796" s="32">
        <f>IF(Mecze[[#This Row],[OU]]=0,0,Mecze[[#This Row],[OU]]/Mecze[[#This Row],[CZAS]])</f>
        <v>0</v>
      </c>
      <c r="O1796" s="32">
        <f>IF(Mecze[[#This Row],[PC]]=0,0,Mecze[[#This Row],[PC]]/Mecze[[#This Row],[CZAS]])</f>
        <v>5.0505050505050504E-2</v>
      </c>
      <c r="P1796" s="32">
        <f>IF(Mecze[[#This Row],[SC]]=0,0,Mecze[[#This Row],[SC]]/Mecze[[#This Row],[CZAS]])</f>
        <v>0</v>
      </c>
      <c r="Q1796" s="32">
        <f>IF(Mecze[[#This Row],[OB]]=0,0,Mecze[[#This Row],[OB]]/Mecze[[#This Row],[CZAS]])</f>
        <v>9.0909090909090912E-2</v>
      </c>
      <c r="R1796" s="32">
        <f>IF(Mecze[[#This Row],[BR]]=0,0,Mecze[[#This Row],[BR]]/Mecze[[#This Row],[CZAS]])</f>
        <v>0</v>
      </c>
      <c r="S1796" s="44">
        <f>IF(Mecze[[#This Row],[Role]]="BR",SUMPRODUCT(Mecze[[#This Row],[/PR:90]:[/BR:90]],Brudnopis!$E$23:$J$23),0)</f>
        <v>0.4242424242424242</v>
      </c>
      <c r="T1796" s="44">
        <f>IF(Mecze[[#This Row],[Role]]&lt;&gt;"BR",SUMPRODUCT(Mecze[[#This Row],[/PR:90]:[/BR:90]],Brudnopis!$E$24:$J$24),0)</f>
        <v>0</v>
      </c>
      <c r="U1796" s="44">
        <f>IF(Mecze[[#This Row],[Role]]&lt;&gt;"BR",SUMPRODUCT(Mecze[[#This Row],[/PR:90]:[/BR:90]],Brudnopis!$E$25:$J$25),0)</f>
        <v>0</v>
      </c>
      <c r="V1796" s="44">
        <f>IF(Mecze[[#This Row],[Role]]&lt;&gt;"BR",SUMPRODUCT(Mecze[[#This Row],[/PR:90]:[/BR:90]],Brudnopis!$E$26:$J$26),0)</f>
        <v>0</v>
      </c>
      <c r="W1796" s="44">
        <f>IF(Mecze[[#This Row],[Role]]&lt;&gt;"BR",SUMPRODUCT(Mecze[[#This Row],[/PR:90]:[/BR:90]],Brudnopis!$E$27:$J$27),0)</f>
        <v>0</v>
      </c>
      <c r="X1796" s="44">
        <f>IF(Mecze[[#This Row],[Role]]&lt;&gt;"BR",SUMPRODUCT(Mecze[[#This Row],[/PR:90]:[/BR:90]],Brudnopis!$E$28:$J$28),0)</f>
        <v>0</v>
      </c>
      <c r="Y1796" s="35">
        <f>IF(Mecze[[#This Row],[Role]]="BR",Mecze[[#This Row],[/OB:90]]+Mecze[[#This Row],[/PC:90]],SUM(Mecze[[#This Row],[/PR:90]:[/BR:90]]))</f>
        <v>0.14141414141414141</v>
      </c>
      <c r="Z1796" s="35">
        <f>IF(Mecze[[#This Row],[KC]]=0,SUM(Mecze[[#This Row],[/BRI]:[/NPI]]),SUM(Mecze[[#This Row],[/BRI]:[/NPI]])*0.6)</f>
        <v>0.4242424242424242</v>
      </c>
      <c r="AA1796" s="10">
        <f>IFERROR(Mecze[[#This Row],[BR]]/Mecze[[#This Row],[ST]],0)</f>
        <v>0</v>
      </c>
      <c r="AB1796">
        <f>ROUND(Mecze[[#This Row],[PD]]*Mecze[[#This Row],[%PC]],0)</f>
        <v>5</v>
      </c>
      <c r="AC1796">
        <f>ROUND(Mecze[[#This Row],[OD]]*Mecze[[#This Row],[%OU]],0)</f>
        <v>0</v>
      </c>
      <c r="AD1796" s="36" t="s">
        <v>40</v>
      </c>
      <c r="AE1796" s="36">
        <v>99</v>
      </c>
      <c r="AF1796" s="71">
        <v>5.96</v>
      </c>
      <c r="AG1796" s="37">
        <v>0</v>
      </c>
      <c r="AH1796" s="37">
        <v>0</v>
      </c>
      <c r="AI1796" s="37">
        <v>99</v>
      </c>
      <c r="AJ1796" s="37">
        <v>9</v>
      </c>
      <c r="AK1796" s="37" t="str">
        <f>VLOOKUP(Mecze[[#This Row],[Match ID]],Meczusie[Mecz]:Meczusie[RodzajMeczu],2,FALSE)</f>
        <v>Liga</v>
      </c>
    </row>
    <row r="1797" spans="1:37" x14ac:dyDescent="0.25">
      <c r="A1797" s="76">
        <v>4</v>
      </c>
      <c r="B1797" s="3" t="s">
        <v>289</v>
      </c>
      <c r="C1797" s="2" t="s">
        <v>157</v>
      </c>
      <c r="D1797" s="1">
        <v>0</v>
      </c>
      <c r="E1797" s="1">
        <v>0</v>
      </c>
      <c r="F1797" s="1">
        <v>0</v>
      </c>
      <c r="G1797" s="1">
        <v>4</v>
      </c>
      <c r="H1797" s="4">
        <v>0.5</v>
      </c>
      <c r="I1797" s="1">
        <v>6</v>
      </c>
      <c r="J1797" s="4">
        <v>0.17</v>
      </c>
      <c r="K1797" s="1">
        <v>0</v>
      </c>
      <c r="L1797" s="1">
        <v>4</v>
      </c>
      <c r="M1797" s="32">
        <f>IF(Mecze[[#This Row],[PR]]=0,0,Mecze[[#This Row],[PR]]/Mecze[[#This Row],[CZAS]])</f>
        <v>4.0404040404040407E-2</v>
      </c>
      <c r="N1797" s="32">
        <f>IF(Mecze[[#This Row],[OU]]=0,0,Mecze[[#This Row],[OU]]/Mecze[[#This Row],[CZAS]])</f>
        <v>1.0101010101010102E-2</v>
      </c>
      <c r="O1797" s="32">
        <f>IF(Mecze[[#This Row],[PC]]=0,0,Mecze[[#This Row],[PC]]/Mecze[[#This Row],[CZAS]])</f>
        <v>2.0202020202020204E-2</v>
      </c>
      <c r="P1797" s="32">
        <f>IF(Mecze[[#This Row],[SC]]=0,0,Mecze[[#This Row],[SC]]/Mecze[[#This Row],[CZAS]])</f>
        <v>0</v>
      </c>
      <c r="Q1797" s="32">
        <f>IF(Mecze[[#This Row],[OB]]=0,0,Mecze[[#This Row],[OB]]/Mecze[[#This Row],[CZAS]])</f>
        <v>0</v>
      </c>
      <c r="R1797" s="32">
        <f>IF(Mecze[[#This Row],[BR]]=0,0,Mecze[[#This Row],[BR]]/Mecze[[#This Row],[CZAS]])</f>
        <v>0</v>
      </c>
      <c r="S1797" s="44">
        <f>IF(Mecze[[#This Row],[Role]]="BR",SUMPRODUCT(Mecze[[#This Row],[/PR:90]:[/BR:90]],Brudnopis!$E$23:$J$23),0)</f>
        <v>0</v>
      </c>
      <c r="T1797" s="44">
        <f>IF(Mecze[[#This Row],[Role]]&lt;&gt;"BR",SUMPRODUCT(Mecze[[#This Row],[/PR:90]:[/BR:90]],Brudnopis!$E$24:$J$24),0)</f>
        <v>7.575757575757576E-2</v>
      </c>
      <c r="U1797" s="44">
        <f>IF(Mecze[[#This Row],[Role]]&lt;&gt;"BR",SUMPRODUCT(Mecze[[#This Row],[/PR:90]:[/BR:90]],Brudnopis!$E$25:$J$25),0)</f>
        <v>8.0808080808080815E-2</v>
      </c>
      <c r="V1797" s="44">
        <f>IF(Mecze[[#This Row],[Role]]&lt;&gt;"BR",SUMPRODUCT(Mecze[[#This Row],[/PR:90]:[/BR:90]],Brudnopis!$E$26:$J$26),0)</f>
        <v>7.0707070707070718E-2</v>
      </c>
      <c r="W1797" s="44">
        <f>IF(Mecze[[#This Row],[Role]]&lt;&gt;"BR",SUMPRODUCT(Mecze[[#This Row],[/PR:90]:[/BR:90]],Brudnopis!$E$27:$J$27),0)</f>
        <v>6.8181818181818177E-2</v>
      </c>
      <c r="X1797" s="44">
        <f>IF(Mecze[[#This Row],[Role]]&lt;&gt;"BR",SUMPRODUCT(Mecze[[#This Row],[/PR:90]:[/BR:90]],Brudnopis!$E$28:$J$28),0)</f>
        <v>2.0202020202020204E-2</v>
      </c>
      <c r="Y1797" s="35">
        <f>IF(Mecze[[#This Row],[Role]]="BR",Mecze[[#This Row],[/OB:90]]+Mecze[[#This Row],[/PC:90]],SUM(Mecze[[#This Row],[/PR:90]:[/BR:90]]))</f>
        <v>7.0707070707070718E-2</v>
      </c>
      <c r="Z1797" s="35">
        <f>IF(Mecze[[#This Row],[KC]]=0,SUM(Mecze[[#This Row],[/BRI]:[/NPI]]),SUM(Mecze[[#This Row],[/BRI]:[/NPI]])*0.6)</f>
        <v>0.31565656565656569</v>
      </c>
      <c r="AA1797" s="10">
        <f>IFERROR(Mecze[[#This Row],[BR]]/Mecze[[#This Row],[ST]],0)</f>
        <v>0</v>
      </c>
      <c r="AB1797">
        <f>ROUND(Mecze[[#This Row],[PD]]*Mecze[[#This Row],[%PC]],0)</f>
        <v>2</v>
      </c>
      <c r="AC1797">
        <f>ROUND(Mecze[[#This Row],[OD]]*Mecze[[#This Row],[%OU]],0)</f>
        <v>1</v>
      </c>
      <c r="AD1797" s="36" t="s">
        <v>168</v>
      </c>
      <c r="AE1797" s="36">
        <v>99</v>
      </c>
      <c r="AF1797" s="71">
        <v>3.65</v>
      </c>
      <c r="AG1797" s="37">
        <v>0</v>
      </c>
      <c r="AH1797" s="37">
        <v>0</v>
      </c>
      <c r="AI1797" s="37">
        <v>99</v>
      </c>
      <c r="AJ1797" s="37">
        <v>9</v>
      </c>
      <c r="AK1797" s="37" t="str">
        <f>VLOOKUP(Mecze[[#This Row],[Match ID]],Meczusie[Mecz]:Meczusie[RodzajMeczu],2,FALSE)</f>
        <v>Liga</v>
      </c>
    </row>
    <row r="1798" spans="1:37" x14ac:dyDescent="0.25">
      <c r="A1798" s="76">
        <v>2</v>
      </c>
      <c r="B1798" s="3" t="s">
        <v>290</v>
      </c>
      <c r="C1798" s="2" t="s">
        <v>157</v>
      </c>
      <c r="D1798" s="1">
        <v>0</v>
      </c>
      <c r="E1798" s="1">
        <v>0</v>
      </c>
      <c r="F1798" s="1">
        <v>0</v>
      </c>
      <c r="G1798" s="1">
        <v>12</v>
      </c>
      <c r="H1798" s="4">
        <v>0.57999999999999996</v>
      </c>
      <c r="I1798" s="1">
        <v>8</v>
      </c>
      <c r="J1798" s="4">
        <v>0.75</v>
      </c>
      <c r="K1798" s="1">
        <v>0</v>
      </c>
      <c r="L1798" s="1">
        <v>7</v>
      </c>
      <c r="M1798" s="32">
        <f>IF(Mecze[[#This Row],[PR]]=0,0,Mecze[[#This Row],[PR]]/Mecze[[#This Row],[CZAS]])</f>
        <v>7.0707070707070704E-2</v>
      </c>
      <c r="N1798" s="32">
        <f>IF(Mecze[[#This Row],[OU]]=0,0,Mecze[[#This Row],[OU]]/Mecze[[#This Row],[CZAS]])</f>
        <v>6.0606060606060608E-2</v>
      </c>
      <c r="O1798" s="32">
        <f>IF(Mecze[[#This Row],[PC]]=0,0,Mecze[[#This Row],[PC]]/Mecze[[#This Row],[CZAS]])</f>
        <v>7.0707070707070704E-2</v>
      </c>
      <c r="P1798" s="32">
        <f>IF(Mecze[[#This Row],[SC]]=0,0,Mecze[[#This Row],[SC]]/Mecze[[#This Row],[CZAS]])</f>
        <v>0</v>
      </c>
      <c r="Q1798" s="32">
        <f>IF(Mecze[[#This Row],[OB]]=0,0,Mecze[[#This Row],[OB]]/Mecze[[#This Row],[CZAS]])</f>
        <v>0</v>
      </c>
      <c r="R1798" s="32">
        <f>IF(Mecze[[#This Row],[BR]]=0,0,Mecze[[#This Row],[BR]]/Mecze[[#This Row],[CZAS]])</f>
        <v>0</v>
      </c>
      <c r="S1798" s="44">
        <f>IF(Mecze[[#This Row],[Role]]="BR",SUMPRODUCT(Mecze[[#This Row],[/PR:90]:[/BR:90]],Brudnopis!$E$23:$J$23),0)</f>
        <v>0</v>
      </c>
      <c r="T1798" s="44">
        <f>IF(Mecze[[#This Row],[Role]]&lt;&gt;"BR",SUMPRODUCT(Mecze[[#This Row],[/PR:90]:[/BR:90]],Brudnopis!$E$24:$J$24),0)</f>
        <v>0.23232323232323232</v>
      </c>
      <c r="U1798" s="44">
        <f>IF(Mecze[[#This Row],[Role]]&lt;&gt;"BR",SUMPRODUCT(Mecze[[#This Row],[/PR:90]:[/BR:90]],Brudnopis!$E$25:$J$25),0)</f>
        <v>0.23737373737373738</v>
      </c>
      <c r="V1798" s="44">
        <f>IF(Mecze[[#This Row],[Role]]&lt;&gt;"BR",SUMPRODUCT(Mecze[[#This Row],[/PR:90]:[/BR:90]],Brudnopis!$E$26:$J$26),0)</f>
        <v>0.20202020202020204</v>
      </c>
      <c r="W1798" s="44">
        <f>IF(Mecze[[#This Row],[Role]]&lt;&gt;"BR",SUMPRODUCT(Mecze[[#This Row],[/PR:90]:[/BR:90]],Brudnopis!$E$27:$J$27),0)</f>
        <v>0.20454545454545453</v>
      </c>
      <c r="X1798" s="44">
        <f>IF(Mecze[[#This Row],[Role]]&lt;&gt;"BR",SUMPRODUCT(Mecze[[#This Row],[/PR:90]:[/BR:90]],Brudnopis!$E$28:$J$28),0)</f>
        <v>7.0707070707070704E-2</v>
      </c>
      <c r="Y1798" s="35">
        <f>IF(Mecze[[#This Row],[Role]]="BR",Mecze[[#This Row],[/OB:90]]+Mecze[[#This Row],[/PC:90]],SUM(Mecze[[#This Row],[/PR:90]:[/BR:90]]))</f>
        <v>0.20202020202020204</v>
      </c>
      <c r="Z1798" s="35">
        <f>IF(Mecze[[#This Row],[KC]]=0,SUM(Mecze[[#This Row],[/BRI]:[/NPI]]),SUM(Mecze[[#This Row],[/BRI]:[/NPI]])*0.6)</f>
        <v>0.94696969696969702</v>
      </c>
      <c r="AA1798" s="10">
        <f>IFERROR(Mecze[[#This Row],[BR]]/Mecze[[#This Row],[ST]],0)</f>
        <v>0</v>
      </c>
      <c r="AB1798">
        <f>ROUND(Mecze[[#This Row],[PD]]*Mecze[[#This Row],[%PC]],0)</f>
        <v>7</v>
      </c>
      <c r="AC1798">
        <f>ROUND(Mecze[[#This Row],[OD]]*Mecze[[#This Row],[%OU]],0)</f>
        <v>6</v>
      </c>
      <c r="AD1798" s="36" t="s">
        <v>47</v>
      </c>
      <c r="AE1798" s="36">
        <v>99</v>
      </c>
      <c r="AF1798" s="71">
        <v>5.4</v>
      </c>
      <c r="AG1798" s="37">
        <v>0</v>
      </c>
      <c r="AH1798" s="37">
        <v>0</v>
      </c>
      <c r="AI1798" s="37">
        <v>99</v>
      </c>
      <c r="AJ1798" s="37">
        <v>9</v>
      </c>
      <c r="AK1798" s="37" t="str">
        <f>VLOOKUP(Mecze[[#This Row],[Match ID]],Meczusie[Mecz]:Meczusie[RodzajMeczu],2,FALSE)</f>
        <v>Liga</v>
      </c>
    </row>
    <row r="1799" spans="1:37" x14ac:dyDescent="0.25">
      <c r="A1799" s="76">
        <v>15</v>
      </c>
      <c r="B1799" s="3" t="s">
        <v>430</v>
      </c>
      <c r="C1799" s="2" t="s">
        <v>157</v>
      </c>
      <c r="D1799" s="1">
        <v>0</v>
      </c>
      <c r="E1799" s="1">
        <v>0</v>
      </c>
      <c r="F1799" s="1">
        <v>0</v>
      </c>
      <c r="G1799" s="1">
        <v>7</v>
      </c>
      <c r="H1799" s="4">
        <v>1</v>
      </c>
      <c r="I1799" s="1">
        <v>6</v>
      </c>
      <c r="J1799" s="4">
        <v>0.67</v>
      </c>
      <c r="K1799" s="1">
        <v>0</v>
      </c>
      <c r="L1799" s="1">
        <v>10</v>
      </c>
      <c r="M1799" s="32">
        <f>IF(Mecze[[#This Row],[PR]]=0,0,Mecze[[#This Row],[PR]]/Mecze[[#This Row],[CZAS]])</f>
        <v>0.10101010101010101</v>
      </c>
      <c r="N1799" s="32">
        <f>IF(Mecze[[#This Row],[OU]]=0,0,Mecze[[#This Row],[OU]]/Mecze[[#This Row],[CZAS]])</f>
        <v>4.0404040404040407E-2</v>
      </c>
      <c r="O1799" s="32">
        <f>IF(Mecze[[#This Row],[PC]]=0,0,Mecze[[#This Row],[PC]]/Mecze[[#This Row],[CZAS]])</f>
        <v>7.0707070707070704E-2</v>
      </c>
      <c r="P1799" s="32">
        <f>IF(Mecze[[#This Row],[SC]]=0,0,Mecze[[#This Row],[SC]]/Mecze[[#This Row],[CZAS]])</f>
        <v>0</v>
      </c>
      <c r="Q1799" s="32">
        <f>IF(Mecze[[#This Row],[OB]]=0,0,Mecze[[#This Row],[OB]]/Mecze[[#This Row],[CZAS]])</f>
        <v>0</v>
      </c>
      <c r="R1799" s="32">
        <f>IF(Mecze[[#This Row],[BR]]=0,0,Mecze[[#This Row],[BR]]/Mecze[[#This Row],[CZAS]])</f>
        <v>0</v>
      </c>
      <c r="S1799" s="44">
        <f>IF(Mecze[[#This Row],[Role]]="BR",SUMPRODUCT(Mecze[[#This Row],[/PR:90]:[/BR:90]],Brudnopis!$E$23:$J$23),0)</f>
        <v>0</v>
      </c>
      <c r="T1799" s="44">
        <f>IF(Mecze[[#This Row],[Role]]&lt;&gt;"BR",SUMPRODUCT(Mecze[[#This Row],[/PR:90]:[/BR:90]],Brudnopis!$E$24:$J$24),0)</f>
        <v>0.23232323232323232</v>
      </c>
      <c r="U1799" s="44">
        <f>IF(Mecze[[#This Row],[Role]]&lt;&gt;"BR",SUMPRODUCT(Mecze[[#This Row],[/PR:90]:[/BR:90]],Brudnopis!$E$25:$J$25),0)</f>
        <v>0.24747474747474746</v>
      </c>
      <c r="V1799" s="44">
        <f>IF(Mecze[[#This Row],[Role]]&lt;&gt;"BR",SUMPRODUCT(Mecze[[#This Row],[/PR:90]:[/BR:90]],Brudnopis!$E$26:$J$26),0)</f>
        <v>0.2121212121212121</v>
      </c>
      <c r="W1799" s="44">
        <f>IF(Mecze[[#This Row],[Role]]&lt;&gt;"BR",SUMPRODUCT(Mecze[[#This Row],[/PR:90]:[/BR:90]],Brudnopis!$E$27:$J$27),0)</f>
        <v>0.2121212121212121</v>
      </c>
      <c r="X1799" s="44">
        <f>IF(Mecze[[#This Row],[Role]]&lt;&gt;"BR",SUMPRODUCT(Mecze[[#This Row],[/PR:90]:[/BR:90]],Brudnopis!$E$28:$J$28),0)</f>
        <v>7.0707070707070704E-2</v>
      </c>
      <c r="Y1799" s="35">
        <f>IF(Mecze[[#This Row],[Role]]="BR",Mecze[[#This Row],[/OB:90]]+Mecze[[#This Row],[/PC:90]],SUM(Mecze[[#This Row],[/PR:90]:[/BR:90]]))</f>
        <v>0.2121212121212121</v>
      </c>
      <c r="Z1799" s="35">
        <f>IF(Mecze[[#This Row],[KC]]=0,SUM(Mecze[[#This Row],[/BRI]:[/NPI]]),SUM(Mecze[[#This Row],[/BRI]:[/NPI]])*0.6)</f>
        <v>0.9747474747474747</v>
      </c>
      <c r="AA1799" s="10">
        <f>IFERROR(Mecze[[#This Row],[BR]]/Mecze[[#This Row],[ST]],0)</f>
        <v>0</v>
      </c>
      <c r="AB1799">
        <f>ROUND(Mecze[[#This Row],[PD]]*Mecze[[#This Row],[%PC]],0)</f>
        <v>7</v>
      </c>
      <c r="AC1799">
        <f>ROUND(Mecze[[#This Row],[OD]]*Mecze[[#This Row],[%OU]],0)</f>
        <v>4</v>
      </c>
      <c r="AD1799" s="36" t="s">
        <v>167</v>
      </c>
      <c r="AE1799" s="36">
        <v>99</v>
      </c>
      <c r="AF1799" s="71">
        <v>6.03</v>
      </c>
      <c r="AG1799" s="37">
        <v>0</v>
      </c>
      <c r="AH1799" s="37">
        <v>0</v>
      </c>
      <c r="AI1799" s="37">
        <v>99</v>
      </c>
      <c r="AJ1799" s="37">
        <v>9</v>
      </c>
      <c r="AK1799" s="37" t="str">
        <f>VLOOKUP(Mecze[[#This Row],[Match ID]],Meczusie[Mecz]:Meczusie[RodzajMeczu],2,FALSE)</f>
        <v>Liga</v>
      </c>
    </row>
    <row r="1800" spans="1:37" x14ac:dyDescent="0.25">
      <c r="A1800" s="76">
        <v>14</v>
      </c>
      <c r="B1800" s="3" t="s">
        <v>293</v>
      </c>
      <c r="C1800" s="2" t="s">
        <v>160</v>
      </c>
      <c r="D1800" s="1">
        <v>0</v>
      </c>
      <c r="E1800" s="1">
        <v>0</v>
      </c>
      <c r="F1800" s="1">
        <v>0</v>
      </c>
      <c r="G1800" s="1">
        <v>2</v>
      </c>
      <c r="H1800" s="4">
        <v>1</v>
      </c>
      <c r="I1800" s="1">
        <v>0</v>
      </c>
      <c r="J1800" s="4"/>
      <c r="K1800" s="1">
        <v>0</v>
      </c>
      <c r="L1800" s="1">
        <v>0</v>
      </c>
      <c r="M1800" s="32">
        <f>IF(Mecze[[#This Row],[PR]]=0,0,Mecze[[#This Row],[PR]]/Mecze[[#This Row],[CZAS]])</f>
        <v>0</v>
      </c>
      <c r="N1800" s="32">
        <f>IF(Mecze[[#This Row],[OU]]=0,0,Mecze[[#This Row],[OU]]/Mecze[[#This Row],[CZAS]])</f>
        <v>0</v>
      </c>
      <c r="O1800" s="32">
        <f>IF(Mecze[[#This Row],[PC]]=0,0,Mecze[[#This Row],[PC]]/Mecze[[#This Row],[CZAS]])</f>
        <v>2.0202020202020204E-2</v>
      </c>
      <c r="P1800" s="32">
        <f>IF(Mecze[[#This Row],[SC]]=0,0,Mecze[[#This Row],[SC]]/Mecze[[#This Row],[CZAS]])</f>
        <v>0</v>
      </c>
      <c r="Q1800" s="32">
        <f>IF(Mecze[[#This Row],[OB]]=0,0,Mecze[[#This Row],[OB]]/Mecze[[#This Row],[CZAS]])</f>
        <v>0</v>
      </c>
      <c r="R1800" s="32">
        <f>IF(Mecze[[#This Row],[BR]]=0,0,Mecze[[#This Row],[BR]]/Mecze[[#This Row],[CZAS]])</f>
        <v>0</v>
      </c>
      <c r="S1800" s="44">
        <f>IF(Mecze[[#This Row],[Role]]="BR",SUMPRODUCT(Mecze[[#This Row],[/PR:90]:[/BR:90]],Brudnopis!$E$23:$J$23),0)</f>
        <v>0</v>
      </c>
      <c r="T1800" s="44">
        <f>IF(Mecze[[#This Row],[Role]]&lt;&gt;"BR",SUMPRODUCT(Mecze[[#This Row],[/PR:90]:[/BR:90]],Brudnopis!$E$24:$J$24),0)</f>
        <v>2.0202020202020204E-2</v>
      </c>
      <c r="U1800" s="44">
        <f>IF(Mecze[[#This Row],[Role]]&lt;&gt;"BR",SUMPRODUCT(Mecze[[#This Row],[/PR:90]:[/BR:90]],Brudnopis!$E$25:$J$25),0)</f>
        <v>3.0303030303030304E-2</v>
      </c>
      <c r="V1800" s="44">
        <f>IF(Mecze[[#This Row],[Role]]&lt;&gt;"BR",SUMPRODUCT(Mecze[[#This Row],[/PR:90]:[/BR:90]],Brudnopis!$E$26:$J$26),0)</f>
        <v>2.0202020202020204E-2</v>
      </c>
      <c r="W1800" s="44">
        <f>IF(Mecze[[#This Row],[Role]]&lt;&gt;"BR",SUMPRODUCT(Mecze[[#This Row],[/PR:90]:[/BR:90]],Brudnopis!$E$27:$J$27),0)</f>
        <v>3.0303030303030304E-2</v>
      </c>
      <c r="X1800" s="44">
        <f>IF(Mecze[[#This Row],[Role]]&lt;&gt;"BR",SUMPRODUCT(Mecze[[#This Row],[/PR:90]:[/BR:90]],Brudnopis!$E$28:$J$28),0)</f>
        <v>2.0202020202020204E-2</v>
      </c>
      <c r="Y1800" s="35">
        <f>IF(Mecze[[#This Row],[Role]]="BR",Mecze[[#This Row],[/OB:90]]+Mecze[[#This Row],[/PC:90]],SUM(Mecze[[#This Row],[/PR:90]:[/BR:90]]))</f>
        <v>2.0202020202020204E-2</v>
      </c>
      <c r="Z1800" s="35">
        <f>IF(Mecze[[#This Row],[KC]]=0,SUM(Mecze[[#This Row],[/BRI]:[/NPI]]),SUM(Mecze[[#This Row],[/BRI]:[/NPI]])*0.6)</f>
        <v>0.12121212121212123</v>
      </c>
      <c r="AA1800" s="10">
        <f>IFERROR(Mecze[[#This Row],[BR]]/Mecze[[#This Row],[ST]],0)</f>
        <v>0</v>
      </c>
      <c r="AB1800">
        <f>ROUND(Mecze[[#This Row],[PD]]*Mecze[[#This Row],[%PC]],0)</f>
        <v>2</v>
      </c>
      <c r="AC1800">
        <f>ROUND(Mecze[[#This Row],[OD]]*Mecze[[#This Row],[%OU]],0)</f>
        <v>0</v>
      </c>
      <c r="AD1800" s="36" t="s">
        <v>172</v>
      </c>
      <c r="AE1800" s="36">
        <v>99</v>
      </c>
      <c r="AF1800" s="71">
        <v>3.92</v>
      </c>
      <c r="AG1800" s="37">
        <v>0</v>
      </c>
      <c r="AH1800" s="37">
        <v>0</v>
      </c>
      <c r="AI1800" s="37">
        <v>99</v>
      </c>
      <c r="AJ1800" s="37">
        <v>9</v>
      </c>
      <c r="AK1800" s="37" t="str">
        <f>VLOOKUP(Mecze[[#This Row],[Match ID]],Meczusie[Mecz]:Meczusie[RodzajMeczu],2,FALSE)</f>
        <v>Liga</v>
      </c>
    </row>
    <row r="1801" spans="1:37" x14ac:dyDescent="0.25">
      <c r="A1801" s="76">
        <v>3</v>
      </c>
      <c r="B1801" s="3" t="s">
        <v>292</v>
      </c>
      <c r="C1801" s="2" t="s">
        <v>160</v>
      </c>
      <c r="D1801" s="1">
        <v>0</v>
      </c>
      <c r="E1801" s="1">
        <v>0</v>
      </c>
      <c r="F1801" s="1">
        <v>0</v>
      </c>
      <c r="G1801" s="1">
        <v>3</v>
      </c>
      <c r="H1801" s="4">
        <v>0.67</v>
      </c>
      <c r="I1801" s="1">
        <v>0</v>
      </c>
      <c r="J1801" s="4"/>
      <c r="K1801" s="1">
        <v>0</v>
      </c>
      <c r="L1801" s="1">
        <v>0</v>
      </c>
      <c r="M1801" s="32">
        <f>IF(Mecze[[#This Row],[PR]]=0,0,Mecze[[#This Row],[PR]]/Mecze[[#This Row],[CZAS]])</f>
        <v>0</v>
      </c>
      <c r="N1801" s="32">
        <f>IF(Mecze[[#This Row],[OU]]=0,0,Mecze[[#This Row],[OU]]/Mecze[[#This Row],[CZAS]])</f>
        <v>0</v>
      </c>
      <c r="O1801" s="32">
        <f>IF(Mecze[[#This Row],[PC]]=0,0,Mecze[[#This Row],[PC]]/Mecze[[#This Row],[CZAS]])</f>
        <v>2.0202020202020204E-2</v>
      </c>
      <c r="P1801" s="32">
        <f>IF(Mecze[[#This Row],[SC]]=0,0,Mecze[[#This Row],[SC]]/Mecze[[#This Row],[CZAS]])</f>
        <v>0</v>
      </c>
      <c r="Q1801" s="32">
        <f>IF(Mecze[[#This Row],[OB]]=0,0,Mecze[[#This Row],[OB]]/Mecze[[#This Row],[CZAS]])</f>
        <v>0</v>
      </c>
      <c r="R1801" s="32">
        <f>IF(Mecze[[#This Row],[BR]]=0,0,Mecze[[#This Row],[BR]]/Mecze[[#This Row],[CZAS]])</f>
        <v>0</v>
      </c>
      <c r="S1801" s="44">
        <f>IF(Mecze[[#This Row],[Role]]="BR",SUMPRODUCT(Mecze[[#This Row],[/PR:90]:[/BR:90]],Brudnopis!$E$23:$J$23),0)</f>
        <v>0</v>
      </c>
      <c r="T1801" s="44">
        <f>IF(Mecze[[#This Row],[Role]]&lt;&gt;"BR",SUMPRODUCT(Mecze[[#This Row],[/PR:90]:[/BR:90]],Brudnopis!$E$24:$J$24),0)</f>
        <v>2.0202020202020204E-2</v>
      </c>
      <c r="U1801" s="44">
        <f>IF(Mecze[[#This Row],[Role]]&lt;&gt;"BR",SUMPRODUCT(Mecze[[#This Row],[/PR:90]:[/BR:90]],Brudnopis!$E$25:$J$25),0)</f>
        <v>3.0303030303030304E-2</v>
      </c>
      <c r="V1801" s="44">
        <f>IF(Mecze[[#This Row],[Role]]&lt;&gt;"BR",SUMPRODUCT(Mecze[[#This Row],[/PR:90]:[/BR:90]],Brudnopis!$E$26:$J$26),0)</f>
        <v>2.0202020202020204E-2</v>
      </c>
      <c r="W1801" s="44">
        <f>IF(Mecze[[#This Row],[Role]]&lt;&gt;"BR",SUMPRODUCT(Mecze[[#This Row],[/PR:90]:[/BR:90]],Brudnopis!$E$27:$J$27),0)</f>
        <v>3.0303030303030304E-2</v>
      </c>
      <c r="X1801" s="44">
        <f>IF(Mecze[[#This Row],[Role]]&lt;&gt;"BR",SUMPRODUCT(Mecze[[#This Row],[/PR:90]:[/BR:90]],Brudnopis!$E$28:$J$28),0)</f>
        <v>2.0202020202020204E-2</v>
      </c>
      <c r="Y1801" s="35">
        <f>IF(Mecze[[#This Row],[Role]]="BR",Mecze[[#This Row],[/OB:90]]+Mecze[[#This Row],[/PC:90]],SUM(Mecze[[#This Row],[/PR:90]:[/BR:90]]))</f>
        <v>2.0202020202020204E-2</v>
      </c>
      <c r="Z1801" s="35">
        <f>IF(Mecze[[#This Row],[KC]]=0,SUM(Mecze[[#This Row],[/BRI]:[/NPI]]),SUM(Mecze[[#This Row],[/BRI]:[/NPI]])*0.6)</f>
        <v>0.12121212121212123</v>
      </c>
      <c r="AA1801" s="10">
        <f>IFERROR(Mecze[[#This Row],[BR]]/Mecze[[#This Row],[ST]],0)</f>
        <v>0</v>
      </c>
      <c r="AB1801">
        <f>ROUND(Mecze[[#This Row],[PD]]*Mecze[[#This Row],[%PC]],0)</f>
        <v>2</v>
      </c>
      <c r="AC1801">
        <f>ROUND(Mecze[[#This Row],[OD]]*Mecze[[#This Row],[%OU]],0)</f>
        <v>0</v>
      </c>
      <c r="AD1801" s="36" t="s">
        <v>173</v>
      </c>
      <c r="AE1801" s="36">
        <v>99</v>
      </c>
      <c r="AF1801" s="71">
        <v>3.92</v>
      </c>
      <c r="AG1801" s="37">
        <v>0</v>
      </c>
      <c r="AH1801" s="37">
        <v>0</v>
      </c>
      <c r="AI1801" s="37">
        <v>99</v>
      </c>
      <c r="AJ1801" s="37">
        <v>9</v>
      </c>
      <c r="AK1801" s="37" t="str">
        <f>VLOOKUP(Mecze[[#This Row],[Match ID]],Meczusie[Mecz]:Meczusie[RodzajMeczu],2,FALSE)</f>
        <v>Liga</v>
      </c>
    </row>
    <row r="1802" spans="1:37" x14ac:dyDescent="0.25">
      <c r="A1802" s="76">
        <v>8</v>
      </c>
      <c r="B1802" s="3" t="s">
        <v>294</v>
      </c>
      <c r="C1802" s="2" t="s">
        <v>160</v>
      </c>
      <c r="D1802" s="1">
        <v>0</v>
      </c>
      <c r="E1802" s="1">
        <v>0</v>
      </c>
      <c r="F1802" s="1">
        <v>0</v>
      </c>
      <c r="G1802" s="1">
        <v>21</v>
      </c>
      <c r="H1802" s="4">
        <v>0.9</v>
      </c>
      <c r="I1802" s="1">
        <v>11</v>
      </c>
      <c r="J1802" s="4">
        <v>0.64</v>
      </c>
      <c r="K1802" s="1">
        <v>0</v>
      </c>
      <c r="L1802" s="1">
        <v>4</v>
      </c>
      <c r="M1802" s="32">
        <f>IF(Mecze[[#This Row],[PR]]=0,0,Mecze[[#This Row],[PR]]/Mecze[[#This Row],[CZAS]])</f>
        <v>4.0404040404040407E-2</v>
      </c>
      <c r="N1802" s="32">
        <f>IF(Mecze[[#This Row],[OU]]=0,0,Mecze[[#This Row],[OU]]/Mecze[[#This Row],[CZAS]])</f>
        <v>7.0707070707070704E-2</v>
      </c>
      <c r="O1802" s="32">
        <f>IF(Mecze[[#This Row],[PC]]=0,0,Mecze[[#This Row],[PC]]/Mecze[[#This Row],[CZAS]])</f>
        <v>0.19191919191919191</v>
      </c>
      <c r="P1802" s="32">
        <f>IF(Mecze[[#This Row],[SC]]=0,0,Mecze[[#This Row],[SC]]/Mecze[[#This Row],[CZAS]])</f>
        <v>0</v>
      </c>
      <c r="Q1802" s="32">
        <f>IF(Mecze[[#This Row],[OB]]=0,0,Mecze[[#This Row],[OB]]/Mecze[[#This Row],[CZAS]])</f>
        <v>0</v>
      </c>
      <c r="R1802" s="32">
        <f>IF(Mecze[[#This Row],[BR]]=0,0,Mecze[[#This Row],[BR]]/Mecze[[#This Row],[CZAS]])</f>
        <v>0</v>
      </c>
      <c r="S1802" s="44">
        <f>IF(Mecze[[#This Row],[Role]]="BR",SUMPRODUCT(Mecze[[#This Row],[/PR:90]:[/BR:90]],Brudnopis!$E$23:$J$23),0)</f>
        <v>0</v>
      </c>
      <c r="T1802" s="44">
        <f>IF(Mecze[[#This Row],[Role]]&lt;&gt;"BR",SUMPRODUCT(Mecze[[#This Row],[/PR:90]:[/BR:90]],Brudnopis!$E$24:$J$24),0)</f>
        <v>0.33838383838383834</v>
      </c>
      <c r="U1802" s="44">
        <f>IF(Mecze[[#This Row],[Role]]&lt;&gt;"BR",SUMPRODUCT(Mecze[[#This Row],[/PR:90]:[/BR:90]],Brudnopis!$E$25:$J$25),0)</f>
        <v>0.39898989898989895</v>
      </c>
      <c r="V1802" s="44">
        <f>IF(Mecze[[#This Row],[Role]]&lt;&gt;"BR",SUMPRODUCT(Mecze[[#This Row],[/PR:90]:[/BR:90]],Brudnopis!$E$26:$J$26),0)</f>
        <v>0.30303030303030298</v>
      </c>
      <c r="W1802" s="44">
        <f>IF(Mecze[[#This Row],[Role]]&lt;&gt;"BR",SUMPRODUCT(Mecze[[#This Row],[/PR:90]:[/BR:90]],Brudnopis!$E$27:$J$27),0)</f>
        <v>0.37121212121212116</v>
      </c>
      <c r="X1802" s="44">
        <f>IF(Mecze[[#This Row],[Role]]&lt;&gt;"BR",SUMPRODUCT(Mecze[[#This Row],[/PR:90]:[/BR:90]],Brudnopis!$E$28:$J$28),0)</f>
        <v>0.19191919191919191</v>
      </c>
      <c r="Y1802" s="35">
        <f>IF(Mecze[[#This Row],[Role]]="BR",Mecze[[#This Row],[/OB:90]]+Mecze[[#This Row],[/PC:90]],SUM(Mecze[[#This Row],[/PR:90]:[/BR:90]]))</f>
        <v>0.30303030303030298</v>
      </c>
      <c r="Z1802" s="35">
        <f>IF(Mecze[[#This Row],[KC]]=0,SUM(Mecze[[#This Row],[/BRI]:[/NPI]]),SUM(Mecze[[#This Row],[/BRI]:[/NPI]])*0.6)</f>
        <v>1.6035353535353531</v>
      </c>
      <c r="AA1802" s="10">
        <f>IFERROR(Mecze[[#This Row],[BR]]/Mecze[[#This Row],[ST]],0)</f>
        <v>0</v>
      </c>
      <c r="AB1802">
        <f>ROUND(Mecze[[#This Row],[PD]]*Mecze[[#This Row],[%PC]],0)</f>
        <v>19</v>
      </c>
      <c r="AC1802">
        <f>ROUND(Mecze[[#This Row],[OD]]*Mecze[[#This Row],[%OU]],0)</f>
        <v>7</v>
      </c>
      <c r="AD1802" s="36" t="s">
        <v>67</v>
      </c>
      <c r="AE1802" s="36">
        <v>99</v>
      </c>
      <c r="AF1802" s="71">
        <v>6.88</v>
      </c>
      <c r="AG1802" s="37">
        <v>0</v>
      </c>
      <c r="AH1802" s="37">
        <v>0</v>
      </c>
      <c r="AI1802" s="37">
        <v>99</v>
      </c>
      <c r="AJ1802" s="37">
        <v>9</v>
      </c>
      <c r="AK1802" s="37" t="str">
        <f>VLOOKUP(Mecze[[#This Row],[Match ID]],Meczusie[Mecz]:Meczusie[RodzajMeczu],2,FALSE)</f>
        <v>Liga</v>
      </c>
    </row>
    <row r="1803" spans="1:37" x14ac:dyDescent="0.25">
      <c r="A1803" s="76">
        <v>11</v>
      </c>
      <c r="B1803" s="3" t="s">
        <v>410</v>
      </c>
      <c r="C1803" s="2" t="s">
        <v>160</v>
      </c>
      <c r="D1803" s="1">
        <v>1</v>
      </c>
      <c r="E1803" s="1">
        <v>2</v>
      </c>
      <c r="F1803" s="1">
        <v>1</v>
      </c>
      <c r="G1803" s="1">
        <v>10</v>
      </c>
      <c r="H1803" s="4">
        <v>0.8</v>
      </c>
      <c r="I1803" s="1">
        <v>0</v>
      </c>
      <c r="J1803" s="4"/>
      <c r="K1803" s="1">
        <v>0</v>
      </c>
      <c r="L1803" s="1">
        <v>5</v>
      </c>
      <c r="M1803" s="32">
        <f>IF(Mecze[[#This Row],[PR]]=0,0,Mecze[[#This Row],[PR]]/Mecze[[#This Row],[CZAS]])</f>
        <v>5.0505050505050504E-2</v>
      </c>
      <c r="N1803" s="32">
        <f>IF(Mecze[[#This Row],[OU]]=0,0,Mecze[[#This Row],[OU]]/Mecze[[#This Row],[CZAS]])</f>
        <v>0</v>
      </c>
      <c r="O1803" s="32">
        <f>IF(Mecze[[#This Row],[PC]]=0,0,Mecze[[#This Row],[PC]]/Mecze[[#This Row],[CZAS]])</f>
        <v>8.0808080808080815E-2</v>
      </c>
      <c r="P1803" s="32">
        <f>IF(Mecze[[#This Row],[SC]]=0,0,Mecze[[#This Row],[SC]]/Mecze[[#This Row],[CZAS]])</f>
        <v>1.0101010101010102E-2</v>
      </c>
      <c r="Q1803" s="32">
        <f>IF(Mecze[[#This Row],[OB]]=0,0,Mecze[[#This Row],[OB]]/Mecze[[#This Row],[CZAS]])</f>
        <v>0</v>
      </c>
      <c r="R1803" s="32">
        <f>IF(Mecze[[#This Row],[BR]]=0,0,Mecze[[#This Row],[BR]]/Mecze[[#This Row],[CZAS]])</f>
        <v>1.0101010101010102E-2</v>
      </c>
      <c r="S1803" s="44">
        <f>IF(Mecze[[#This Row],[Role]]="BR",SUMPRODUCT(Mecze[[#This Row],[/PR:90]:[/BR:90]],Brudnopis!$E$23:$J$23),0)</f>
        <v>0</v>
      </c>
      <c r="T1803" s="44">
        <f>IF(Mecze[[#This Row],[Role]]&lt;&gt;"BR",SUMPRODUCT(Mecze[[#This Row],[/PR:90]:[/BR:90]],Brudnopis!$E$24:$J$24),0)</f>
        <v>0.15656565656565657</v>
      </c>
      <c r="U1803" s="44">
        <f>IF(Mecze[[#This Row],[Role]]&lt;&gt;"BR",SUMPRODUCT(Mecze[[#This Row],[/PR:90]:[/BR:90]],Brudnopis!$E$25:$J$25),0)</f>
        <v>0.19696969696969696</v>
      </c>
      <c r="V1803" s="44">
        <f>IF(Mecze[[#This Row],[Role]]&lt;&gt;"BR",SUMPRODUCT(Mecze[[#This Row],[/PR:90]:[/BR:90]],Brudnopis!$E$26:$J$26),0)</f>
        <v>0.16161616161616163</v>
      </c>
      <c r="W1803" s="44">
        <f>IF(Mecze[[#This Row],[Role]]&lt;&gt;"BR",SUMPRODUCT(Mecze[[#This Row],[/PR:90]:[/BR:90]],Brudnopis!$E$27:$J$27),0)</f>
        <v>0.18939393939393939</v>
      </c>
      <c r="X1803" s="44">
        <f>IF(Mecze[[#This Row],[Role]]&lt;&gt;"BR",SUMPRODUCT(Mecze[[#This Row],[/PR:90]:[/BR:90]],Brudnopis!$E$28:$J$28),0)</f>
        <v>0.13131313131313133</v>
      </c>
      <c r="Y1803" s="35">
        <f>IF(Mecze[[#This Row],[Role]]="BR",Mecze[[#This Row],[/OB:90]]+Mecze[[#This Row],[/PC:90]],SUM(Mecze[[#This Row],[/PR:90]:[/BR:90]]))</f>
        <v>0.15151515151515155</v>
      </c>
      <c r="Z1803" s="35">
        <f>IF(Mecze[[#This Row],[KC]]=0,SUM(Mecze[[#This Row],[/BRI]:[/NPI]]),SUM(Mecze[[#This Row],[/BRI]:[/NPI]])*0.6)</f>
        <v>0.83585858585858586</v>
      </c>
      <c r="AA1803" s="10">
        <f>IFERROR(Mecze[[#This Row],[BR]]/Mecze[[#This Row],[ST]],0)</f>
        <v>0.5</v>
      </c>
      <c r="AB1803">
        <f>ROUND(Mecze[[#This Row],[PD]]*Mecze[[#This Row],[%PC]],0)</f>
        <v>8</v>
      </c>
      <c r="AC1803">
        <f>ROUND(Mecze[[#This Row],[OD]]*Mecze[[#This Row],[%OU]],0)</f>
        <v>0</v>
      </c>
      <c r="AD1803" s="36" t="s">
        <v>299</v>
      </c>
      <c r="AE1803" s="36">
        <v>99</v>
      </c>
      <c r="AF1803" s="71">
        <v>9.43</v>
      </c>
      <c r="AG1803" s="37">
        <v>0</v>
      </c>
      <c r="AH1803" s="37">
        <v>0</v>
      </c>
      <c r="AI1803" s="37">
        <v>99</v>
      </c>
      <c r="AJ1803" s="37">
        <v>9</v>
      </c>
      <c r="AK1803" s="37" t="str">
        <f>VLOOKUP(Mecze[[#This Row],[Match ID]],Meczusie[Mecz]:Meczusie[RodzajMeczu],2,FALSE)</f>
        <v>Liga</v>
      </c>
    </row>
    <row r="1804" spans="1:37" x14ac:dyDescent="0.25">
      <c r="A1804" s="76">
        <v>13</v>
      </c>
      <c r="B1804" s="3" t="s">
        <v>295</v>
      </c>
      <c r="C1804" s="2" t="s">
        <v>160</v>
      </c>
      <c r="D1804" s="1">
        <v>1</v>
      </c>
      <c r="E1804" s="1">
        <v>2</v>
      </c>
      <c r="F1804" s="1">
        <v>1</v>
      </c>
      <c r="G1804" s="1">
        <v>5</v>
      </c>
      <c r="H1804" s="4">
        <v>0.6</v>
      </c>
      <c r="I1804" s="1">
        <v>0</v>
      </c>
      <c r="J1804" s="4"/>
      <c r="K1804" s="1">
        <v>0</v>
      </c>
      <c r="L1804" s="1">
        <v>1</v>
      </c>
      <c r="M1804" s="32">
        <f>IF(Mecze[[#This Row],[PR]]=0,0,Mecze[[#This Row],[PR]]/Mecze[[#This Row],[CZAS]])</f>
        <v>1.0101010101010102E-2</v>
      </c>
      <c r="N1804" s="32">
        <f>IF(Mecze[[#This Row],[OU]]=0,0,Mecze[[#This Row],[OU]]/Mecze[[#This Row],[CZAS]])</f>
        <v>0</v>
      </c>
      <c r="O1804" s="32">
        <f>IF(Mecze[[#This Row],[PC]]=0,0,Mecze[[#This Row],[PC]]/Mecze[[#This Row],[CZAS]])</f>
        <v>3.0303030303030304E-2</v>
      </c>
      <c r="P1804" s="32">
        <f>IF(Mecze[[#This Row],[SC]]=0,0,Mecze[[#This Row],[SC]]/Mecze[[#This Row],[CZAS]])</f>
        <v>1.0101010101010102E-2</v>
      </c>
      <c r="Q1804" s="32">
        <f>IF(Mecze[[#This Row],[OB]]=0,0,Mecze[[#This Row],[OB]]/Mecze[[#This Row],[CZAS]])</f>
        <v>0</v>
      </c>
      <c r="R1804" s="32">
        <f>IF(Mecze[[#This Row],[BR]]=0,0,Mecze[[#This Row],[BR]]/Mecze[[#This Row],[CZAS]])</f>
        <v>1.0101010101010102E-2</v>
      </c>
      <c r="S1804" s="44">
        <f>IF(Mecze[[#This Row],[Role]]="BR",SUMPRODUCT(Mecze[[#This Row],[/PR:90]:[/BR:90]],Brudnopis!$E$23:$J$23),0)</f>
        <v>0</v>
      </c>
      <c r="T1804" s="44">
        <f>IF(Mecze[[#This Row],[Role]]&lt;&gt;"BR",SUMPRODUCT(Mecze[[#This Row],[/PR:90]:[/BR:90]],Brudnopis!$E$24:$J$24),0)</f>
        <v>6.5656565656565663E-2</v>
      </c>
      <c r="U1804" s="44">
        <f>IF(Mecze[[#This Row],[Role]]&lt;&gt;"BR",SUMPRODUCT(Mecze[[#This Row],[/PR:90]:[/BR:90]],Brudnopis!$E$25:$J$25),0)</f>
        <v>8.0808080808080815E-2</v>
      </c>
      <c r="V1804" s="44">
        <f>IF(Mecze[[#This Row],[Role]]&lt;&gt;"BR",SUMPRODUCT(Mecze[[#This Row],[/PR:90]:[/BR:90]],Brudnopis!$E$26:$J$26),0)</f>
        <v>7.0707070707070718E-2</v>
      </c>
      <c r="W1804" s="44">
        <f>IF(Mecze[[#This Row],[Role]]&lt;&gt;"BR",SUMPRODUCT(Mecze[[#This Row],[/PR:90]:[/BR:90]],Brudnopis!$E$27:$J$27),0)</f>
        <v>8.3333333333333343E-2</v>
      </c>
      <c r="X1804" s="44">
        <f>IF(Mecze[[#This Row],[Role]]&lt;&gt;"BR",SUMPRODUCT(Mecze[[#This Row],[/PR:90]:[/BR:90]],Brudnopis!$E$28:$J$28),0)</f>
        <v>8.0808080808080815E-2</v>
      </c>
      <c r="Y1804" s="35">
        <f>IF(Mecze[[#This Row],[Role]]="BR",Mecze[[#This Row],[/OB:90]]+Mecze[[#This Row],[/PC:90]],SUM(Mecze[[#This Row],[/PR:90]:[/BR:90]]))</f>
        <v>6.0606060606060615E-2</v>
      </c>
      <c r="Z1804" s="35">
        <f>IF(Mecze[[#This Row],[KC]]=0,SUM(Mecze[[#This Row],[/BRI]:[/NPI]]),SUM(Mecze[[#This Row],[/BRI]:[/NPI]])*0.6)</f>
        <v>0.38131313131313133</v>
      </c>
      <c r="AA1804" s="10">
        <f>IFERROR(Mecze[[#This Row],[BR]]/Mecze[[#This Row],[ST]],0)</f>
        <v>0.5</v>
      </c>
      <c r="AB1804">
        <f>ROUND(Mecze[[#This Row],[PD]]*Mecze[[#This Row],[%PC]],0)</f>
        <v>3</v>
      </c>
      <c r="AC1804">
        <f>ROUND(Mecze[[#This Row],[OD]]*Mecze[[#This Row],[%OU]],0)</f>
        <v>0</v>
      </c>
      <c r="AD1804" s="36" t="s">
        <v>171</v>
      </c>
      <c r="AE1804" s="36">
        <v>99</v>
      </c>
      <c r="AF1804" s="71">
        <v>7.68</v>
      </c>
      <c r="AG1804" s="37">
        <v>0</v>
      </c>
      <c r="AH1804" s="37">
        <v>0</v>
      </c>
      <c r="AI1804" s="37">
        <v>99</v>
      </c>
      <c r="AJ1804" s="37">
        <v>9</v>
      </c>
      <c r="AK1804" s="37" t="str">
        <f>VLOOKUP(Mecze[[#This Row],[Match ID]],Meczusie[Mecz]:Meczusie[RodzajMeczu],2,FALSE)</f>
        <v>Liga</v>
      </c>
    </row>
    <row r="1805" spans="1:37" x14ac:dyDescent="0.25">
      <c r="A1805" s="76">
        <v>9</v>
      </c>
      <c r="B1805" s="3" t="s">
        <v>296</v>
      </c>
      <c r="C1805" s="2" t="s">
        <v>165</v>
      </c>
      <c r="D1805" s="1">
        <v>1</v>
      </c>
      <c r="E1805" s="1">
        <v>5</v>
      </c>
      <c r="F1805" s="1">
        <v>5</v>
      </c>
      <c r="G1805" s="1">
        <v>10</v>
      </c>
      <c r="H1805" s="4">
        <v>0.8</v>
      </c>
      <c r="I1805" s="1">
        <v>3</v>
      </c>
      <c r="J1805" s="4">
        <v>1</v>
      </c>
      <c r="K1805" s="1">
        <v>0</v>
      </c>
      <c r="L1805" s="1">
        <v>2</v>
      </c>
      <c r="M1805" s="32">
        <f>IF(Mecze[[#This Row],[PR]]=0,0,Mecze[[#This Row],[PR]]/Mecze[[#This Row],[CZAS]])</f>
        <v>2.0202020202020204E-2</v>
      </c>
      <c r="N1805" s="32">
        <f>IF(Mecze[[#This Row],[OU]]=0,0,Mecze[[#This Row],[OU]]/Mecze[[#This Row],[CZAS]])</f>
        <v>3.0303030303030304E-2</v>
      </c>
      <c r="O1805" s="32">
        <f>IF(Mecze[[#This Row],[PC]]=0,0,Mecze[[#This Row],[PC]]/Mecze[[#This Row],[CZAS]])</f>
        <v>8.0808080808080815E-2</v>
      </c>
      <c r="P1805" s="32">
        <f>IF(Mecze[[#This Row],[SC]]=0,0,Mecze[[#This Row],[SC]]/Mecze[[#This Row],[CZAS]])</f>
        <v>5.0505050505050504E-2</v>
      </c>
      <c r="Q1805" s="32">
        <f>IF(Mecze[[#This Row],[OB]]=0,0,Mecze[[#This Row],[OB]]/Mecze[[#This Row],[CZAS]])</f>
        <v>0</v>
      </c>
      <c r="R1805" s="32">
        <f>IF(Mecze[[#This Row],[BR]]=0,0,Mecze[[#This Row],[BR]]/Mecze[[#This Row],[CZAS]])</f>
        <v>1.0101010101010102E-2</v>
      </c>
      <c r="S1805" s="44">
        <f>IF(Mecze[[#This Row],[Role]]="BR",SUMPRODUCT(Mecze[[#This Row],[/PR:90]:[/BR:90]],Brudnopis!$E$23:$J$23),0)</f>
        <v>0</v>
      </c>
      <c r="T1805" s="44">
        <f>IF(Mecze[[#This Row],[Role]]&lt;&gt;"BR",SUMPRODUCT(Mecze[[#This Row],[/PR:90]:[/BR:90]],Brudnopis!$E$24:$J$24),0)</f>
        <v>0.2121212121212121</v>
      </c>
      <c r="U1805" s="44">
        <f>IF(Mecze[[#This Row],[Role]]&lt;&gt;"BR",SUMPRODUCT(Mecze[[#This Row],[/PR:90]:[/BR:90]],Brudnopis!$E$25:$J$25),0)</f>
        <v>0.23737373737373735</v>
      </c>
      <c r="V1805" s="44">
        <f>IF(Mecze[[#This Row],[Role]]&lt;&gt;"BR",SUMPRODUCT(Mecze[[#This Row],[/PR:90]:[/BR:90]],Brudnopis!$E$26:$J$26),0)</f>
        <v>0.20202020202020202</v>
      </c>
      <c r="W1805" s="44">
        <f>IF(Mecze[[#This Row],[Role]]&lt;&gt;"BR",SUMPRODUCT(Mecze[[#This Row],[/PR:90]:[/BR:90]],Brudnopis!$E$27:$J$27),0)</f>
        <v>0.22979797979797978</v>
      </c>
      <c r="X1805" s="44">
        <f>IF(Mecze[[#This Row],[Role]]&lt;&gt;"BR",SUMPRODUCT(Mecze[[#This Row],[/PR:90]:[/BR:90]],Brudnopis!$E$28:$J$28),0)</f>
        <v>0.21212121212121213</v>
      </c>
      <c r="Y1805" s="35">
        <f>IF(Mecze[[#This Row],[Role]]="BR",Mecze[[#This Row],[/OB:90]]+Mecze[[#This Row],[/PC:90]],SUM(Mecze[[#This Row],[/PR:90]:[/BR:90]]))</f>
        <v>0.19191919191919193</v>
      </c>
      <c r="Z1805" s="35">
        <f>IF(Mecze[[#This Row],[KC]]=0,SUM(Mecze[[#This Row],[/BRI]:[/NPI]]),SUM(Mecze[[#This Row],[/BRI]:[/NPI]])*0.6)</f>
        <v>1.0934343434343434</v>
      </c>
      <c r="AA1805" s="10">
        <f>IFERROR(Mecze[[#This Row],[BR]]/Mecze[[#This Row],[ST]],0)</f>
        <v>0.2</v>
      </c>
      <c r="AB1805">
        <f>ROUND(Mecze[[#This Row],[PD]]*Mecze[[#This Row],[%PC]],0)</f>
        <v>8</v>
      </c>
      <c r="AC1805">
        <f>ROUND(Mecze[[#This Row],[OD]]*Mecze[[#This Row],[%OU]],0)</f>
        <v>3</v>
      </c>
      <c r="AD1805" s="36" t="s">
        <v>272</v>
      </c>
      <c r="AE1805" s="36">
        <v>99</v>
      </c>
      <c r="AF1805" s="71">
        <v>9.58</v>
      </c>
      <c r="AG1805" s="37">
        <v>0</v>
      </c>
      <c r="AH1805" s="37">
        <v>0</v>
      </c>
      <c r="AI1805" s="37">
        <v>99</v>
      </c>
      <c r="AJ1805" s="37">
        <v>9</v>
      </c>
      <c r="AK1805" s="37" t="str">
        <f>VLOOKUP(Mecze[[#This Row],[Match ID]],Meczusie[Mecz]:Meczusie[RodzajMeczu],2,FALSE)</f>
        <v>Liga</v>
      </c>
    </row>
    <row r="1806" spans="1:37" x14ac:dyDescent="0.25">
      <c r="A1806" s="76">
        <v>6</v>
      </c>
      <c r="B1806" s="3" t="s">
        <v>297</v>
      </c>
      <c r="C1806" s="2" t="s">
        <v>165</v>
      </c>
      <c r="D1806" s="1">
        <v>2</v>
      </c>
      <c r="E1806" s="1">
        <v>8</v>
      </c>
      <c r="F1806" s="1">
        <v>4</v>
      </c>
      <c r="G1806" s="1">
        <v>10</v>
      </c>
      <c r="H1806" s="4">
        <v>0.9</v>
      </c>
      <c r="I1806" s="1">
        <v>6</v>
      </c>
      <c r="J1806" s="4">
        <v>0.5</v>
      </c>
      <c r="K1806" s="1">
        <v>0</v>
      </c>
      <c r="L1806" s="1">
        <v>4</v>
      </c>
      <c r="M1806" s="32">
        <f>IF(Mecze[[#This Row],[PR]]=0,0,Mecze[[#This Row],[PR]]/Mecze[[#This Row],[CZAS]])</f>
        <v>4.0404040404040407E-2</v>
      </c>
      <c r="N1806" s="32">
        <f>IF(Mecze[[#This Row],[OU]]=0,0,Mecze[[#This Row],[OU]]/Mecze[[#This Row],[CZAS]])</f>
        <v>3.0303030303030304E-2</v>
      </c>
      <c r="O1806" s="32">
        <f>IF(Mecze[[#This Row],[PC]]=0,0,Mecze[[#This Row],[PC]]/Mecze[[#This Row],[CZAS]])</f>
        <v>9.0909090909090912E-2</v>
      </c>
      <c r="P1806" s="32">
        <f>IF(Mecze[[#This Row],[SC]]=0,0,Mecze[[#This Row],[SC]]/Mecze[[#This Row],[CZAS]])</f>
        <v>4.0404040404040407E-2</v>
      </c>
      <c r="Q1806" s="32">
        <f>IF(Mecze[[#This Row],[OB]]=0,0,Mecze[[#This Row],[OB]]/Mecze[[#This Row],[CZAS]])</f>
        <v>0</v>
      </c>
      <c r="R1806" s="32">
        <f>IF(Mecze[[#This Row],[BR]]=0,0,Mecze[[#This Row],[BR]]/Mecze[[#This Row],[CZAS]])</f>
        <v>2.0202020202020204E-2</v>
      </c>
      <c r="S1806" s="44">
        <f>IF(Mecze[[#This Row],[Role]]="BR",SUMPRODUCT(Mecze[[#This Row],[/PR:90]:[/BR:90]],Brudnopis!$E$23:$J$23),0)</f>
        <v>0</v>
      </c>
      <c r="T1806" s="44">
        <f>IF(Mecze[[#This Row],[Role]]&lt;&gt;"BR",SUMPRODUCT(Mecze[[#This Row],[/PR:90]:[/BR:90]],Brudnopis!$E$24:$J$24),0)</f>
        <v>0.24747474747474749</v>
      </c>
      <c r="U1806" s="44">
        <f>IF(Mecze[[#This Row],[Role]]&lt;&gt;"BR",SUMPRODUCT(Mecze[[#This Row],[/PR:90]:[/BR:90]],Brudnopis!$E$25:$J$25),0)</f>
        <v>0.27777777777777779</v>
      </c>
      <c r="V1806" s="44">
        <f>IF(Mecze[[#This Row],[Role]]&lt;&gt;"BR",SUMPRODUCT(Mecze[[#This Row],[/PR:90]:[/BR:90]],Brudnopis!$E$26:$J$26),0)</f>
        <v>0.24242424242424246</v>
      </c>
      <c r="W1806" s="44">
        <f>IF(Mecze[[#This Row],[Role]]&lt;&gt;"BR",SUMPRODUCT(Mecze[[#This Row],[/PR:90]:[/BR:90]],Brudnopis!$E$27:$J$27),0)</f>
        <v>0.27020202020202022</v>
      </c>
      <c r="X1806" s="44">
        <f>IF(Mecze[[#This Row],[Role]]&lt;&gt;"BR",SUMPRODUCT(Mecze[[#This Row],[/PR:90]:[/BR:90]],Brudnopis!$E$28:$J$28),0)</f>
        <v>0.23232323232323232</v>
      </c>
      <c r="Y1806" s="35">
        <f>IF(Mecze[[#This Row],[Role]]="BR",Mecze[[#This Row],[/OB:90]]+Mecze[[#This Row],[/PC:90]],SUM(Mecze[[#This Row],[/PR:90]:[/BR:90]]))</f>
        <v>0.22222222222222224</v>
      </c>
      <c r="Z1806" s="35">
        <f>IF(Mecze[[#This Row],[KC]]=0,SUM(Mecze[[#This Row],[/BRI]:[/NPI]]),SUM(Mecze[[#This Row],[/BRI]:[/NPI]])*0.6)</f>
        <v>1.2702020202020203</v>
      </c>
      <c r="AA1806" s="10">
        <f>IFERROR(Mecze[[#This Row],[BR]]/Mecze[[#This Row],[ST]],0)</f>
        <v>0.25</v>
      </c>
      <c r="AB1806">
        <f>ROUND(Mecze[[#This Row],[PD]]*Mecze[[#This Row],[%PC]],0)</f>
        <v>9</v>
      </c>
      <c r="AC1806">
        <f>ROUND(Mecze[[#This Row],[OD]]*Mecze[[#This Row],[%OU]],0)</f>
        <v>3</v>
      </c>
      <c r="AD1806" s="36" t="s">
        <v>46</v>
      </c>
      <c r="AE1806" s="36">
        <v>99</v>
      </c>
      <c r="AF1806" s="71">
        <v>11.66</v>
      </c>
      <c r="AG1806" s="37">
        <v>0</v>
      </c>
      <c r="AH1806" s="37">
        <v>0</v>
      </c>
      <c r="AI1806" s="37">
        <v>99</v>
      </c>
      <c r="AJ1806" s="37">
        <v>9</v>
      </c>
      <c r="AK1806" s="37" t="str">
        <f>VLOOKUP(Mecze[[#This Row],[Match ID]],Meczusie[Mecz]:Meczusie[RodzajMeczu],2,FALSE)</f>
        <v>Liga</v>
      </c>
    </row>
    <row r="1807" spans="1:37" x14ac:dyDescent="0.25">
      <c r="A1807" s="76">
        <v>1</v>
      </c>
      <c r="B1807" s="3" t="s">
        <v>236</v>
      </c>
      <c r="C1807" s="2" t="s">
        <v>155</v>
      </c>
      <c r="D1807" s="1">
        <v>0</v>
      </c>
      <c r="E1807" s="1">
        <v>0</v>
      </c>
      <c r="F1807" s="1">
        <v>0</v>
      </c>
      <c r="G1807" s="1">
        <v>14</v>
      </c>
      <c r="H1807" s="4">
        <v>0.43</v>
      </c>
      <c r="I1807" s="1">
        <v>0</v>
      </c>
      <c r="J1807" s="4"/>
      <c r="K1807" s="1">
        <v>6</v>
      </c>
      <c r="L1807" s="1">
        <v>0</v>
      </c>
      <c r="M1807" s="32">
        <f>IF(Mecze[[#This Row],[PR]]=0,0,Mecze[[#This Row],[PR]]/Mecze[[#This Row],[CZAS]])</f>
        <v>0</v>
      </c>
      <c r="N1807" s="32">
        <f>IF(Mecze[[#This Row],[OU]]=0,0,Mecze[[#This Row],[OU]]/Mecze[[#This Row],[CZAS]])</f>
        <v>0</v>
      </c>
      <c r="O1807" s="32">
        <f>IF(Mecze[[#This Row],[PC]]=0,0,Mecze[[#This Row],[PC]]/Mecze[[#This Row],[CZAS]])</f>
        <v>6.0606060606060608E-2</v>
      </c>
      <c r="P1807" s="32">
        <f>IF(Mecze[[#This Row],[SC]]=0,0,Mecze[[#This Row],[SC]]/Mecze[[#This Row],[CZAS]])</f>
        <v>0</v>
      </c>
      <c r="Q1807" s="32">
        <f>IF(Mecze[[#This Row],[OB]]=0,0,Mecze[[#This Row],[OB]]/Mecze[[#This Row],[CZAS]])</f>
        <v>6.0606060606060608E-2</v>
      </c>
      <c r="R1807" s="32">
        <f>IF(Mecze[[#This Row],[BR]]=0,0,Mecze[[#This Row],[BR]]/Mecze[[#This Row],[CZAS]])</f>
        <v>0</v>
      </c>
      <c r="S1807" s="44">
        <f>IF(Mecze[[#This Row],[Role]]="BR",SUMPRODUCT(Mecze[[#This Row],[/PR:90]:[/BR:90]],Brudnopis!$E$23:$J$23),0)</f>
        <v>0.36363636363636365</v>
      </c>
      <c r="T1807" s="44">
        <f>IF(Mecze[[#This Row],[Role]]&lt;&gt;"BR",SUMPRODUCT(Mecze[[#This Row],[/PR:90]:[/BR:90]],Brudnopis!$E$24:$J$24),0)</f>
        <v>0</v>
      </c>
      <c r="U1807" s="44">
        <f>IF(Mecze[[#This Row],[Role]]&lt;&gt;"BR",SUMPRODUCT(Mecze[[#This Row],[/PR:90]:[/BR:90]],Brudnopis!$E$25:$J$25),0)</f>
        <v>0</v>
      </c>
      <c r="V1807" s="44">
        <f>IF(Mecze[[#This Row],[Role]]&lt;&gt;"BR",SUMPRODUCT(Mecze[[#This Row],[/PR:90]:[/BR:90]],Brudnopis!$E$26:$J$26),0)</f>
        <v>0</v>
      </c>
      <c r="W1807" s="44">
        <f>IF(Mecze[[#This Row],[Role]]&lt;&gt;"BR",SUMPRODUCT(Mecze[[#This Row],[/PR:90]:[/BR:90]],Brudnopis!$E$27:$J$27),0)</f>
        <v>0</v>
      </c>
      <c r="X1807" s="44">
        <f>IF(Mecze[[#This Row],[Role]]&lt;&gt;"BR",SUMPRODUCT(Mecze[[#This Row],[/PR:90]:[/BR:90]],Brudnopis!$E$28:$J$28),0)</f>
        <v>0</v>
      </c>
      <c r="Y1807" s="35">
        <f>IF(Mecze[[#This Row],[Role]]="BR",Mecze[[#This Row],[/OB:90]]+Mecze[[#This Row],[/PC:90]],SUM(Mecze[[#This Row],[/PR:90]:[/BR:90]]))</f>
        <v>0.12121212121212122</v>
      </c>
      <c r="Z1807" s="35">
        <f>IF(Mecze[[#This Row],[KC]]=0,SUM(Mecze[[#This Row],[/BRI]:[/NPI]]),SUM(Mecze[[#This Row],[/BRI]:[/NPI]])*0.6)</f>
        <v>0.36363636363636365</v>
      </c>
      <c r="AA1807" s="10">
        <f>IFERROR(Mecze[[#This Row],[BR]]/Mecze[[#This Row],[ST]],0)</f>
        <v>0</v>
      </c>
      <c r="AB1807">
        <f>ROUND(Mecze[[#This Row],[PD]]*Mecze[[#This Row],[%PC]],0)</f>
        <v>6</v>
      </c>
      <c r="AC1807">
        <f>ROUND(Mecze[[#This Row],[OD]]*Mecze[[#This Row],[%OU]],0)</f>
        <v>0</v>
      </c>
      <c r="AD1807" s="36" t="s">
        <v>40</v>
      </c>
      <c r="AE1807" s="36">
        <v>99</v>
      </c>
      <c r="AF1807" s="71">
        <v>2.68</v>
      </c>
      <c r="AG1807" s="37">
        <v>0</v>
      </c>
      <c r="AH1807" s="37">
        <v>0</v>
      </c>
      <c r="AI1807" s="37">
        <v>99</v>
      </c>
      <c r="AJ1807" s="37">
        <v>10</v>
      </c>
      <c r="AK1807" s="37" t="str">
        <f>VLOOKUP(Mecze[[#This Row],[Match ID]],Meczusie[Mecz]:Meczusie[RodzajMeczu],2,FALSE)</f>
        <v>Liga</v>
      </c>
    </row>
    <row r="1808" spans="1:37" x14ac:dyDescent="0.25">
      <c r="A1808" s="76">
        <v>13</v>
      </c>
      <c r="B1808" s="3" t="s">
        <v>403</v>
      </c>
      <c r="C1808" s="2" t="s">
        <v>157</v>
      </c>
      <c r="D1808" s="1">
        <v>0</v>
      </c>
      <c r="E1808" s="1">
        <v>0</v>
      </c>
      <c r="F1808" s="1">
        <v>0</v>
      </c>
      <c r="G1808" s="1">
        <v>1</v>
      </c>
      <c r="H1808" s="4">
        <v>1</v>
      </c>
      <c r="I1808" s="1">
        <v>2</v>
      </c>
      <c r="J1808" s="4">
        <v>0</v>
      </c>
      <c r="K1808" s="1">
        <v>0</v>
      </c>
      <c r="L1808" s="1">
        <v>1</v>
      </c>
      <c r="M1808" s="32">
        <f>IF(Mecze[[#This Row],[PR]]=0,0,Mecze[[#This Row],[PR]]/Mecze[[#This Row],[CZAS]])</f>
        <v>1.0101010101010102E-2</v>
      </c>
      <c r="N1808" s="32">
        <f>IF(Mecze[[#This Row],[OU]]=0,0,Mecze[[#This Row],[OU]]/Mecze[[#This Row],[CZAS]])</f>
        <v>0</v>
      </c>
      <c r="O1808" s="32">
        <f>IF(Mecze[[#This Row],[PC]]=0,0,Mecze[[#This Row],[PC]]/Mecze[[#This Row],[CZAS]])</f>
        <v>1.0101010101010102E-2</v>
      </c>
      <c r="P1808" s="32">
        <f>IF(Mecze[[#This Row],[SC]]=0,0,Mecze[[#This Row],[SC]]/Mecze[[#This Row],[CZAS]])</f>
        <v>0</v>
      </c>
      <c r="Q1808" s="32">
        <f>IF(Mecze[[#This Row],[OB]]=0,0,Mecze[[#This Row],[OB]]/Mecze[[#This Row],[CZAS]])</f>
        <v>0</v>
      </c>
      <c r="R1808" s="32">
        <f>IF(Mecze[[#This Row],[BR]]=0,0,Mecze[[#This Row],[BR]]/Mecze[[#This Row],[CZAS]])</f>
        <v>0</v>
      </c>
      <c r="S1808" s="44">
        <f>IF(Mecze[[#This Row],[Role]]="BR",SUMPRODUCT(Mecze[[#This Row],[/PR:90]:[/BR:90]],Brudnopis!$E$23:$J$23),0)</f>
        <v>0</v>
      </c>
      <c r="T1808" s="44">
        <f>IF(Mecze[[#This Row],[Role]]&lt;&gt;"BR",SUMPRODUCT(Mecze[[#This Row],[/PR:90]:[/BR:90]],Brudnopis!$E$24:$J$24),0)</f>
        <v>2.0202020202020204E-2</v>
      </c>
      <c r="U1808" s="44">
        <f>IF(Mecze[[#This Row],[Role]]&lt;&gt;"BR",SUMPRODUCT(Mecze[[#This Row],[/PR:90]:[/BR:90]],Brudnopis!$E$25:$J$25),0)</f>
        <v>2.5252525252525256E-2</v>
      </c>
      <c r="V1808" s="44">
        <f>IF(Mecze[[#This Row],[Role]]&lt;&gt;"BR",SUMPRODUCT(Mecze[[#This Row],[/PR:90]:[/BR:90]],Brudnopis!$E$26:$J$26),0)</f>
        <v>2.0202020202020204E-2</v>
      </c>
      <c r="W1808" s="44">
        <f>IF(Mecze[[#This Row],[Role]]&lt;&gt;"BR",SUMPRODUCT(Mecze[[#This Row],[/PR:90]:[/BR:90]],Brudnopis!$E$27:$J$27),0)</f>
        <v>2.2727272727272728E-2</v>
      </c>
      <c r="X1808" s="44">
        <f>IF(Mecze[[#This Row],[Role]]&lt;&gt;"BR",SUMPRODUCT(Mecze[[#This Row],[/PR:90]:[/BR:90]],Brudnopis!$E$28:$J$28),0)</f>
        <v>1.0101010101010102E-2</v>
      </c>
      <c r="Y1808" s="35">
        <f>IF(Mecze[[#This Row],[Role]]="BR",Mecze[[#This Row],[/OB:90]]+Mecze[[#This Row],[/PC:90]],SUM(Mecze[[#This Row],[/PR:90]:[/BR:90]]))</f>
        <v>2.0202020202020204E-2</v>
      </c>
      <c r="Z1808" s="35">
        <f>IF(Mecze[[#This Row],[KC]]=0,SUM(Mecze[[#This Row],[/BRI]:[/NPI]]),SUM(Mecze[[#This Row],[/BRI]:[/NPI]])*0.6)</f>
        <v>9.8484848484848495E-2</v>
      </c>
      <c r="AA1808" s="10">
        <f>IFERROR(Mecze[[#This Row],[BR]]/Mecze[[#This Row],[ST]],0)</f>
        <v>0</v>
      </c>
      <c r="AB1808">
        <f>ROUND(Mecze[[#This Row],[PD]]*Mecze[[#This Row],[%PC]],0)</f>
        <v>1</v>
      </c>
      <c r="AC1808">
        <f>ROUND(Mecze[[#This Row],[OD]]*Mecze[[#This Row],[%OU]],0)</f>
        <v>0</v>
      </c>
      <c r="AD1808" s="36" t="s">
        <v>47</v>
      </c>
      <c r="AE1808" s="36">
        <v>99</v>
      </c>
      <c r="AF1808" s="71">
        <v>0.79</v>
      </c>
      <c r="AG1808" s="37">
        <v>0</v>
      </c>
      <c r="AH1808" s="37">
        <v>0</v>
      </c>
      <c r="AI1808" s="37">
        <v>99</v>
      </c>
      <c r="AJ1808" s="37">
        <v>10</v>
      </c>
      <c r="AK1808" s="37" t="str">
        <f>VLOOKUP(Mecze[[#This Row],[Match ID]],Meczusie[Mecz]:Meczusie[RodzajMeczu],2,FALSE)</f>
        <v>Liga</v>
      </c>
    </row>
    <row r="1809" spans="1:37" x14ac:dyDescent="0.25">
      <c r="A1809" s="76">
        <v>7</v>
      </c>
      <c r="B1809" s="3" t="s">
        <v>241</v>
      </c>
      <c r="C1809" s="2" t="s">
        <v>157</v>
      </c>
      <c r="D1809" s="1">
        <v>0</v>
      </c>
      <c r="E1809" s="1">
        <v>0</v>
      </c>
      <c r="F1809" s="1">
        <v>0</v>
      </c>
      <c r="G1809" s="1">
        <v>9</v>
      </c>
      <c r="H1809" s="4">
        <v>0.44</v>
      </c>
      <c r="I1809" s="1">
        <v>8</v>
      </c>
      <c r="J1809" s="4">
        <v>0.63</v>
      </c>
      <c r="K1809" s="1">
        <v>0</v>
      </c>
      <c r="L1809" s="1">
        <v>7</v>
      </c>
      <c r="M1809" s="32">
        <f>IF(Mecze[[#This Row],[PR]]=0,0,Mecze[[#This Row],[PR]]/Mecze[[#This Row],[CZAS]])</f>
        <v>7.0707070707070704E-2</v>
      </c>
      <c r="N1809" s="32">
        <f>IF(Mecze[[#This Row],[OU]]=0,0,Mecze[[#This Row],[OU]]/Mecze[[#This Row],[CZAS]])</f>
        <v>5.0505050505050504E-2</v>
      </c>
      <c r="O1809" s="32">
        <f>IF(Mecze[[#This Row],[PC]]=0,0,Mecze[[#This Row],[PC]]/Mecze[[#This Row],[CZAS]])</f>
        <v>4.0404040404040407E-2</v>
      </c>
      <c r="P1809" s="32">
        <f>IF(Mecze[[#This Row],[SC]]=0,0,Mecze[[#This Row],[SC]]/Mecze[[#This Row],[CZAS]])</f>
        <v>0</v>
      </c>
      <c r="Q1809" s="32">
        <f>IF(Mecze[[#This Row],[OB]]=0,0,Mecze[[#This Row],[OB]]/Mecze[[#This Row],[CZAS]])</f>
        <v>0</v>
      </c>
      <c r="R1809" s="32">
        <f>IF(Mecze[[#This Row],[BR]]=0,0,Mecze[[#This Row],[BR]]/Mecze[[#This Row],[CZAS]])</f>
        <v>0</v>
      </c>
      <c r="S1809" s="44">
        <f>IF(Mecze[[#This Row],[Role]]="BR",SUMPRODUCT(Mecze[[#This Row],[/PR:90]:[/BR:90]],Brudnopis!$E$23:$J$23),0)</f>
        <v>0</v>
      </c>
      <c r="T1809" s="44">
        <f>IF(Mecze[[#This Row],[Role]]&lt;&gt;"BR",SUMPRODUCT(Mecze[[#This Row],[/PR:90]:[/BR:90]],Brudnopis!$E$24:$J$24),0)</f>
        <v>0.18686868686868688</v>
      </c>
      <c r="U1809" s="44">
        <f>IF(Mecze[[#This Row],[Role]]&lt;&gt;"BR",SUMPRODUCT(Mecze[[#This Row],[/PR:90]:[/BR:90]],Brudnopis!$E$25:$J$25),0)</f>
        <v>0.18181818181818182</v>
      </c>
      <c r="V1809" s="44">
        <f>IF(Mecze[[#This Row],[Role]]&lt;&gt;"BR",SUMPRODUCT(Mecze[[#This Row],[/PR:90]:[/BR:90]],Brudnopis!$E$26:$J$26),0)</f>
        <v>0.16161616161616163</v>
      </c>
      <c r="W1809" s="44">
        <f>IF(Mecze[[#This Row],[Role]]&lt;&gt;"BR",SUMPRODUCT(Mecze[[#This Row],[/PR:90]:[/BR:90]],Brudnopis!$E$27:$J$27),0)</f>
        <v>0.15151515151515152</v>
      </c>
      <c r="X1809" s="44">
        <f>IF(Mecze[[#This Row],[Role]]&lt;&gt;"BR",SUMPRODUCT(Mecze[[#This Row],[/PR:90]:[/BR:90]],Brudnopis!$E$28:$J$28),0)</f>
        <v>4.0404040404040407E-2</v>
      </c>
      <c r="Y1809" s="35">
        <f>IF(Mecze[[#This Row],[Role]]="BR",Mecze[[#This Row],[/OB:90]]+Mecze[[#This Row],[/PC:90]],SUM(Mecze[[#This Row],[/PR:90]:[/BR:90]]))</f>
        <v>0.16161616161616163</v>
      </c>
      <c r="Z1809" s="35">
        <f>IF(Mecze[[#This Row],[KC]]=0,SUM(Mecze[[#This Row],[/BRI]:[/NPI]]),SUM(Mecze[[#This Row],[/BRI]:[/NPI]])*0.6)</f>
        <v>0.72222222222222232</v>
      </c>
      <c r="AA1809" s="10">
        <f>IFERROR(Mecze[[#This Row],[BR]]/Mecze[[#This Row],[ST]],0)</f>
        <v>0</v>
      </c>
      <c r="AB1809">
        <f>ROUND(Mecze[[#This Row],[PD]]*Mecze[[#This Row],[%PC]],0)</f>
        <v>4</v>
      </c>
      <c r="AC1809">
        <f>ROUND(Mecze[[#This Row],[OD]]*Mecze[[#This Row],[%OU]],0)</f>
        <v>5</v>
      </c>
      <c r="AD1809" s="36" t="s">
        <v>47</v>
      </c>
      <c r="AE1809" s="36">
        <v>99</v>
      </c>
      <c r="AF1809" s="71">
        <v>3.17</v>
      </c>
      <c r="AG1809" s="37">
        <v>0</v>
      </c>
      <c r="AH1809" s="37">
        <v>0</v>
      </c>
      <c r="AI1809" s="37">
        <v>99</v>
      </c>
      <c r="AJ1809" s="37">
        <v>10</v>
      </c>
      <c r="AK1809" s="37" t="str">
        <f>VLOOKUP(Mecze[[#This Row],[Match ID]],Meczusie[Mecz]:Meczusie[RodzajMeczu],2,FALSE)</f>
        <v>Liga</v>
      </c>
    </row>
    <row r="1810" spans="1:37" x14ac:dyDescent="0.25">
      <c r="A1810" s="76">
        <v>2</v>
      </c>
      <c r="B1810" s="3" t="s">
        <v>240</v>
      </c>
      <c r="C1810" s="2" t="s">
        <v>157</v>
      </c>
      <c r="D1810" s="1">
        <v>0</v>
      </c>
      <c r="E1810" s="1">
        <v>0</v>
      </c>
      <c r="F1810" s="1">
        <v>0</v>
      </c>
      <c r="G1810" s="1">
        <v>5</v>
      </c>
      <c r="H1810" s="4">
        <v>0</v>
      </c>
      <c r="I1810" s="1">
        <v>6</v>
      </c>
      <c r="J1810" s="4">
        <v>0.5</v>
      </c>
      <c r="K1810" s="1">
        <v>0</v>
      </c>
      <c r="L1810" s="1">
        <v>3</v>
      </c>
      <c r="M1810" s="32">
        <f>IF(Mecze[[#This Row],[PR]]=0,0,Mecze[[#This Row],[PR]]/Mecze[[#This Row],[CZAS]])</f>
        <v>3.0303030303030304E-2</v>
      </c>
      <c r="N1810" s="32">
        <f>IF(Mecze[[#This Row],[OU]]=0,0,Mecze[[#This Row],[OU]]/Mecze[[#This Row],[CZAS]])</f>
        <v>3.0303030303030304E-2</v>
      </c>
      <c r="O1810" s="32">
        <f>IF(Mecze[[#This Row],[PC]]=0,0,Mecze[[#This Row],[PC]]/Mecze[[#This Row],[CZAS]])</f>
        <v>0</v>
      </c>
      <c r="P1810" s="32">
        <f>IF(Mecze[[#This Row],[SC]]=0,0,Mecze[[#This Row],[SC]]/Mecze[[#This Row],[CZAS]])</f>
        <v>0</v>
      </c>
      <c r="Q1810" s="32">
        <f>IF(Mecze[[#This Row],[OB]]=0,0,Mecze[[#This Row],[OB]]/Mecze[[#This Row],[CZAS]])</f>
        <v>0</v>
      </c>
      <c r="R1810" s="32">
        <f>IF(Mecze[[#This Row],[BR]]=0,0,Mecze[[#This Row],[BR]]/Mecze[[#This Row],[CZAS]])</f>
        <v>0</v>
      </c>
      <c r="S1810" s="44">
        <f>IF(Mecze[[#This Row],[Role]]="BR",SUMPRODUCT(Mecze[[#This Row],[/PR:90]:[/BR:90]],Brudnopis!$E$23:$J$23),0)</f>
        <v>0</v>
      </c>
      <c r="T1810" s="44">
        <f>IF(Mecze[[#This Row],[Role]]&lt;&gt;"BR",SUMPRODUCT(Mecze[[#This Row],[/PR:90]:[/BR:90]],Brudnopis!$E$24:$J$24),0)</f>
        <v>7.575757575757576E-2</v>
      </c>
      <c r="U1810" s="44">
        <f>IF(Mecze[[#This Row],[Role]]&lt;&gt;"BR",SUMPRODUCT(Mecze[[#This Row],[/PR:90]:[/BR:90]],Brudnopis!$E$25:$J$25),0)</f>
        <v>6.0606060606060608E-2</v>
      </c>
      <c r="V1810" s="44">
        <f>IF(Mecze[[#This Row],[Role]]&lt;&gt;"BR",SUMPRODUCT(Mecze[[#This Row],[/PR:90]:[/BR:90]],Brudnopis!$E$26:$J$26),0)</f>
        <v>6.0606060606060608E-2</v>
      </c>
      <c r="W1810" s="44">
        <f>IF(Mecze[[#This Row],[Role]]&lt;&gt;"BR",SUMPRODUCT(Mecze[[#This Row],[/PR:90]:[/BR:90]],Brudnopis!$E$27:$J$27),0)</f>
        <v>4.5454545454545456E-2</v>
      </c>
      <c r="X1810" s="44">
        <f>IF(Mecze[[#This Row],[Role]]&lt;&gt;"BR",SUMPRODUCT(Mecze[[#This Row],[/PR:90]:[/BR:90]],Brudnopis!$E$28:$J$28),0)</f>
        <v>0</v>
      </c>
      <c r="Y1810" s="35">
        <f>IF(Mecze[[#This Row],[Role]]="BR",Mecze[[#This Row],[/OB:90]]+Mecze[[#This Row],[/PC:90]],SUM(Mecze[[#This Row],[/PR:90]:[/BR:90]]))</f>
        <v>6.0606060606060608E-2</v>
      </c>
      <c r="Z1810" s="35">
        <f>IF(Mecze[[#This Row],[KC]]=0,SUM(Mecze[[#This Row],[/BRI]:[/NPI]]),SUM(Mecze[[#This Row],[/BRI]:[/NPI]])*0.6)</f>
        <v>0.24242424242424243</v>
      </c>
      <c r="AA1810" s="10">
        <f>IFERROR(Mecze[[#This Row],[BR]]/Mecze[[#This Row],[ST]],0)</f>
        <v>0</v>
      </c>
      <c r="AB1810">
        <f>ROUND(Mecze[[#This Row],[PD]]*Mecze[[#This Row],[%PC]],0)</f>
        <v>0</v>
      </c>
      <c r="AC1810">
        <f>ROUND(Mecze[[#This Row],[OD]]*Mecze[[#This Row],[%OU]],0)</f>
        <v>3</v>
      </c>
      <c r="AD1810" s="36" t="s">
        <v>174</v>
      </c>
      <c r="AE1810" s="36">
        <v>99</v>
      </c>
      <c r="AF1810" s="71">
        <v>2.33</v>
      </c>
      <c r="AG1810" s="37">
        <v>0</v>
      </c>
      <c r="AH1810" s="37">
        <v>0</v>
      </c>
      <c r="AI1810" s="37">
        <v>99</v>
      </c>
      <c r="AJ1810" s="37">
        <v>10</v>
      </c>
      <c r="AK1810" s="37" t="str">
        <f>VLOOKUP(Mecze[[#This Row],[Match ID]],Meczusie[Mecz]:Meczusie[RodzajMeczu],2,FALSE)</f>
        <v>Liga</v>
      </c>
    </row>
    <row r="1811" spans="1:37" x14ac:dyDescent="0.25">
      <c r="A1811" s="76">
        <v>12</v>
      </c>
      <c r="B1811" s="3" t="s">
        <v>239</v>
      </c>
      <c r="C1811" s="2" t="s">
        <v>157</v>
      </c>
      <c r="D1811" s="1">
        <v>0</v>
      </c>
      <c r="E1811" s="1">
        <v>0</v>
      </c>
      <c r="F1811" s="1">
        <v>0</v>
      </c>
      <c r="G1811" s="1">
        <v>6</v>
      </c>
      <c r="H1811" s="4">
        <v>0.67</v>
      </c>
      <c r="I1811" s="1">
        <v>6</v>
      </c>
      <c r="J1811" s="4">
        <v>0.83</v>
      </c>
      <c r="K1811" s="1">
        <v>0</v>
      </c>
      <c r="L1811" s="1">
        <v>2</v>
      </c>
      <c r="M1811" s="32">
        <f>IF(Mecze[[#This Row],[PR]]=0,0,Mecze[[#This Row],[PR]]/Mecze[[#This Row],[CZAS]])</f>
        <v>2.0202020202020204E-2</v>
      </c>
      <c r="N1811" s="32">
        <f>IF(Mecze[[#This Row],[OU]]=0,0,Mecze[[#This Row],[OU]]/Mecze[[#This Row],[CZAS]])</f>
        <v>5.0505050505050504E-2</v>
      </c>
      <c r="O1811" s="32">
        <f>IF(Mecze[[#This Row],[PC]]=0,0,Mecze[[#This Row],[PC]]/Mecze[[#This Row],[CZAS]])</f>
        <v>4.0404040404040407E-2</v>
      </c>
      <c r="P1811" s="32">
        <f>IF(Mecze[[#This Row],[SC]]=0,0,Mecze[[#This Row],[SC]]/Mecze[[#This Row],[CZAS]])</f>
        <v>0</v>
      </c>
      <c r="Q1811" s="32">
        <f>IF(Mecze[[#This Row],[OB]]=0,0,Mecze[[#This Row],[OB]]/Mecze[[#This Row],[CZAS]])</f>
        <v>0</v>
      </c>
      <c r="R1811" s="32">
        <f>IF(Mecze[[#This Row],[BR]]=0,0,Mecze[[#This Row],[BR]]/Mecze[[#This Row],[CZAS]])</f>
        <v>0</v>
      </c>
      <c r="S1811" s="44">
        <f>IF(Mecze[[#This Row],[Role]]="BR",SUMPRODUCT(Mecze[[#This Row],[/PR:90]:[/BR:90]],Brudnopis!$E$23:$J$23),0)</f>
        <v>0</v>
      </c>
      <c r="T1811" s="44">
        <f>IF(Mecze[[#This Row],[Role]]&lt;&gt;"BR",SUMPRODUCT(Mecze[[#This Row],[/PR:90]:[/BR:90]],Brudnopis!$E$24:$J$24),0)</f>
        <v>0.13636363636363638</v>
      </c>
      <c r="U1811" s="44">
        <f>IF(Mecze[[#This Row],[Role]]&lt;&gt;"BR",SUMPRODUCT(Mecze[[#This Row],[/PR:90]:[/BR:90]],Brudnopis!$E$25:$J$25),0)</f>
        <v>0.13131313131313133</v>
      </c>
      <c r="V1811" s="44">
        <f>IF(Mecze[[#This Row],[Role]]&lt;&gt;"BR",SUMPRODUCT(Mecze[[#This Row],[/PR:90]:[/BR:90]],Brudnopis!$E$26:$J$26),0)</f>
        <v>0.1111111111111111</v>
      </c>
      <c r="W1811" s="44">
        <f>IF(Mecze[[#This Row],[Role]]&lt;&gt;"BR",SUMPRODUCT(Mecze[[#This Row],[/PR:90]:[/BR:90]],Brudnopis!$E$27:$J$27),0)</f>
        <v>0.11363636363636365</v>
      </c>
      <c r="X1811" s="44">
        <f>IF(Mecze[[#This Row],[Role]]&lt;&gt;"BR",SUMPRODUCT(Mecze[[#This Row],[/PR:90]:[/BR:90]],Brudnopis!$E$28:$J$28),0)</f>
        <v>4.0404040404040407E-2</v>
      </c>
      <c r="Y1811" s="35">
        <f>IF(Mecze[[#This Row],[Role]]="BR",Mecze[[#This Row],[/OB:90]]+Mecze[[#This Row],[/PC:90]],SUM(Mecze[[#This Row],[/PR:90]:[/BR:90]]))</f>
        <v>0.1111111111111111</v>
      </c>
      <c r="Z1811" s="35">
        <f>IF(Mecze[[#This Row],[KC]]=0,SUM(Mecze[[#This Row],[/BRI]:[/NPI]]),SUM(Mecze[[#This Row],[/BRI]:[/NPI]])*0.6)</f>
        <v>0.53282828282828287</v>
      </c>
      <c r="AA1811" s="10">
        <f>IFERROR(Mecze[[#This Row],[BR]]/Mecze[[#This Row],[ST]],0)</f>
        <v>0</v>
      </c>
      <c r="AB1811">
        <f>ROUND(Mecze[[#This Row],[PD]]*Mecze[[#This Row],[%PC]],0)</f>
        <v>4</v>
      </c>
      <c r="AC1811">
        <f>ROUND(Mecze[[#This Row],[OD]]*Mecze[[#This Row],[%OU]],0)</f>
        <v>5</v>
      </c>
      <c r="AD1811" s="36" t="s">
        <v>175</v>
      </c>
      <c r="AE1811" s="36">
        <v>99</v>
      </c>
      <c r="AF1811" s="71">
        <v>3.32</v>
      </c>
      <c r="AG1811" s="37">
        <v>0</v>
      </c>
      <c r="AH1811" s="37">
        <v>0</v>
      </c>
      <c r="AI1811" s="37">
        <v>99</v>
      </c>
      <c r="AJ1811" s="37">
        <v>10</v>
      </c>
      <c r="AK1811" s="37" t="str">
        <f>VLOOKUP(Mecze[[#This Row],[Match ID]],Meczusie[Mecz]:Meczusie[RodzajMeczu],2,FALSE)</f>
        <v>Liga</v>
      </c>
    </row>
    <row r="1812" spans="1:37" x14ac:dyDescent="0.25">
      <c r="A1812" s="76">
        <v>8</v>
      </c>
      <c r="B1812" s="3" t="s">
        <v>245</v>
      </c>
      <c r="C1812" s="2" t="s">
        <v>160</v>
      </c>
      <c r="D1812" s="1">
        <v>0</v>
      </c>
      <c r="E1812" s="1">
        <v>0</v>
      </c>
      <c r="F1812" s="1">
        <v>0</v>
      </c>
      <c r="G1812" s="1">
        <v>7</v>
      </c>
      <c r="H1812" s="4">
        <v>0.86</v>
      </c>
      <c r="I1812" s="1">
        <v>1</v>
      </c>
      <c r="J1812" s="4">
        <v>1</v>
      </c>
      <c r="K1812" s="1">
        <v>0</v>
      </c>
      <c r="L1812" s="1">
        <v>0</v>
      </c>
      <c r="M1812" s="32">
        <f>IF(Mecze[[#This Row],[PR]]=0,0,Mecze[[#This Row],[PR]]/Mecze[[#This Row],[CZAS]])</f>
        <v>0</v>
      </c>
      <c r="N1812" s="32">
        <f>IF(Mecze[[#This Row],[OU]]=0,0,Mecze[[#This Row],[OU]]/Mecze[[#This Row],[CZAS]])</f>
        <v>1.0101010101010102E-2</v>
      </c>
      <c r="O1812" s="32">
        <f>IF(Mecze[[#This Row],[PC]]=0,0,Mecze[[#This Row],[PC]]/Mecze[[#This Row],[CZAS]])</f>
        <v>6.0606060606060608E-2</v>
      </c>
      <c r="P1812" s="32">
        <f>IF(Mecze[[#This Row],[SC]]=0,0,Mecze[[#This Row],[SC]]/Mecze[[#This Row],[CZAS]])</f>
        <v>0</v>
      </c>
      <c r="Q1812" s="32">
        <f>IF(Mecze[[#This Row],[OB]]=0,0,Mecze[[#This Row],[OB]]/Mecze[[#This Row],[CZAS]])</f>
        <v>0</v>
      </c>
      <c r="R1812" s="32">
        <f>IF(Mecze[[#This Row],[BR]]=0,0,Mecze[[#This Row],[BR]]/Mecze[[#This Row],[CZAS]])</f>
        <v>0</v>
      </c>
      <c r="S1812" s="44">
        <f>IF(Mecze[[#This Row],[Role]]="BR",SUMPRODUCT(Mecze[[#This Row],[/PR:90]:[/BR:90]],Brudnopis!$E$23:$J$23),0)</f>
        <v>0</v>
      </c>
      <c r="T1812" s="44">
        <f>IF(Mecze[[#This Row],[Role]]&lt;&gt;"BR",SUMPRODUCT(Mecze[[#This Row],[/PR:90]:[/BR:90]],Brudnopis!$E$24:$J$24),0)</f>
        <v>7.575757575757576E-2</v>
      </c>
      <c r="U1812" s="44">
        <f>IF(Mecze[[#This Row],[Role]]&lt;&gt;"BR",SUMPRODUCT(Mecze[[#This Row],[/PR:90]:[/BR:90]],Brudnopis!$E$25:$J$25),0)</f>
        <v>0.10101010101010101</v>
      </c>
      <c r="V1812" s="44">
        <f>IF(Mecze[[#This Row],[Role]]&lt;&gt;"BR",SUMPRODUCT(Mecze[[#This Row],[/PR:90]:[/BR:90]],Brudnopis!$E$26:$J$26),0)</f>
        <v>7.0707070707070704E-2</v>
      </c>
      <c r="W1812" s="44">
        <f>IF(Mecze[[#This Row],[Role]]&lt;&gt;"BR",SUMPRODUCT(Mecze[[#This Row],[/PR:90]:[/BR:90]],Brudnopis!$E$27:$J$27),0)</f>
        <v>9.8484848484848481E-2</v>
      </c>
      <c r="X1812" s="44">
        <f>IF(Mecze[[#This Row],[Role]]&lt;&gt;"BR",SUMPRODUCT(Mecze[[#This Row],[/PR:90]:[/BR:90]],Brudnopis!$E$28:$J$28),0)</f>
        <v>6.0606060606060608E-2</v>
      </c>
      <c r="Y1812" s="35">
        <f>IF(Mecze[[#This Row],[Role]]="BR",Mecze[[#This Row],[/OB:90]]+Mecze[[#This Row],[/PC:90]],SUM(Mecze[[#This Row],[/PR:90]:[/BR:90]]))</f>
        <v>7.0707070707070704E-2</v>
      </c>
      <c r="Z1812" s="35">
        <f>IF(Mecze[[#This Row],[KC]]=0,SUM(Mecze[[#This Row],[/BRI]:[/NPI]]),SUM(Mecze[[#This Row],[/BRI]:[/NPI]])*0.6)</f>
        <v>0.40656565656565652</v>
      </c>
      <c r="AA1812" s="10">
        <f>IFERROR(Mecze[[#This Row],[BR]]/Mecze[[#This Row],[ST]],0)</f>
        <v>0</v>
      </c>
      <c r="AB1812">
        <f>ROUND(Mecze[[#This Row],[PD]]*Mecze[[#This Row],[%PC]],0)</f>
        <v>6</v>
      </c>
      <c r="AC1812">
        <f>ROUND(Mecze[[#This Row],[OD]]*Mecze[[#This Row],[%OU]],0)</f>
        <v>1</v>
      </c>
      <c r="AD1812" s="36" t="s">
        <v>41</v>
      </c>
      <c r="AE1812" s="36">
        <v>99</v>
      </c>
      <c r="AF1812" s="71">
        <v>4.82</v>
      </c>
      <c r="AG1812" s="37">
        <v>0</v>
      </c>
      <c r="AH1812" s="37">
        <v>0</v>
      </c>
      <c r="AI1812" s="37">
        <v>99</v>
      </c>
      <c r="AJ1812" s="37">
        <v>10</v>
      </c>
      <c r="AK1812" s="37" t="str">
        <f>VLOOKUP(Mecze[[#This Row],[Match ID]],Meczusie[Mecz]:Meczusie[RodzajMeczu],2,FALSE)</f>
        <v>Liga</v>
      </c>
    </row>
    <row r="1813" spans="1:37" x14ac:dyDescent="0.25">
      <c r="A1813" s="76">
        <v>5</v>
      </c>
      <c r="B1813" s="3" t="s">
        <v>242</v>
      </c>
      <c r="C1813" s="2" t="s">
        <v>160</v>
      </c>
      <c r="D1813" s="1">
        <v>0</v>
      </c>
      <c r="E1813" s="1">
        <v>0</v>
      </c>
      <c r="F1813" s="1">
        <v>0</v>
      </c>
      <c r="G1813" s="1">
        <v>12</v>
      </c>
      <c r="H1813" s="4">
        <v>0.75</v>
      </c>
      <c r="I1813" s="1">
        <v>7</v>
      </c>
      <c r="J1813" s="4">
        <v>0.56999999999999995</v>
      </c>
      <c r="K1813" s="1">
        <v>0</v>
      </c>
      <c r="L1813" s="1">
        <v>3</v>
      </c>
      <c r="M1813" s="32">
        <f>IF(Mecze[[#This Row],[PR]]=0,0,Mecze[[#This Row],[PR]]/Mecze[[#This Row],[CZAS]])</f>
        <v>3.0303030303030304E-2</v>
      </c>
      <c r="N1813" s="32">
        <f>IF(Mecze[[#This Row],[OU]]=0,0,Mecze[[#This Row],[OU]]/Mecze[[#This Row],[CZAS]])</f>
        <v>4.0404040404040407E-2</v>
      </c>
      <c r="O1813" s="32">
        <f>IF(Mecze[[#This Row],[PC]]=0,0,Mecze[[#This Row],[PC]]/Mecze[[#This Row],[CZAS]])</f>
        <v>9.0909090909090912E-2</v>
      </c>
      <c r="P1813" s="32">
        <f>IF(Mecze[[#This Row],[SC]]=0,0,Mecze[[#This Row],[SC]]/Mecze[[#This Row],[CZAS]])</f>
        <v>0</v>
      </c>
      <c r="Q1813" s="32">
        <f>IF(Mecze[[#This Row],[OB]]=0,0,Mecze[[#This Row],[OB]]/Mecze[[#This Row],[CZAS]])</f>
        <v>0</v>
      </c>
      <c r="R1813" s="32">
        <f>IF(Mecze[[#This Row],[BR]]=0,0,Mecze[[#This Row],[BR]]/Mecze[[#This Row],[CZAS]])</f>
        <v>0</v>
      </c>
      <c r="S1813" s="44">
        <f>IF(Mecze[[#This Row],[Role]]="BR",SUMPRODUCT(Mecze[[#This Row],[/PR:90]:[/BR:90]],Brudnopis!$E$23:$J$23),0)</f>
        <v>0</v>
      </c>
      <c r="T1813" s="44">
        <f>IF(Mecze[[#This Row],[Role]]&lt;&gt;"BR",SUMPRODUCT(Mecze[[#This Row],[/PR:90]:[/BR:90]],Brudnopis!$E$24:$J$24),0)</f>
        <v>0.18181818181818182</v>
      </c>
      <c r="U1813" s="44">
        <f>IF(Mecze[[#This Row],[Role]]&lt;&gt;"BR",SUMPRODUCT(Mecze[[#This Row],[/PR:90]:[/BR:90]],Brudnopis!$E$25:$J$25),0)</f>
        <v>0.20707070707070707</v>
      </c>
      <c r="V1813" s="44">
        <f>IF(Mecze[[#This Row],[Role]]&lt;&gt;"BR",SUMPRODUCT(Mecze[[#This Row],[/PR:90]:[/BR:90]],Brudnopis!$E$26:$J$26),0)</f>
        <v>0.16161616161616163</v>
      </c>
      <c r="W1813" s="44">
        <f>IF(Mecze[[#This Row],[Role]]&lt;&gt;"BR",SUMPRODUCT(Mecze[[#This Row],[/PR:90]:[/BR:90]],Brudnopis!$E$27:$J$27),0)</f>
        <v>0.18939393939393939</v>
      </c>
      <c r="X1813" s="44">
        <f>IF(Mecze[[#This Row],[Role]]&lt;&gt;"BR",SUMPRODUCT(Mecze[[#This Row],[/PR:90]:[/BR:90]],Brudnopis!$E$28:$J$28),0)</f>
        <v>9.0909090909090912E-2</v>
      </c>
      <c r="Y1813" s="35">
        <f>IF(Mecze[[#This Row],[Role]]="BR",Mecze[[#This Row],[/OB:90]]+Mecze[[#This Row],[/PC:90]],SUM(Mecze[[#This Row],[/PR:90]:[/BR:90]]))</f>
        <v>0.16161616161616163</v>
      </c>
      <c r="Z1813" s="35">
        <f>IF(Mecze[[#This Row],[KC]]=0,SUM(Mecze[[#This Row],[/BRI]:[/NPI]]),SUM(Mecze[[#This Row],[/BRI]:[/NPI]])*0.6)</f>
        <v>0.83080808080808077</v>
      </c>
      <c r="AA1813" s="10">
        <f>IFERROR(Mecze[[#This Row],[BR]]/Mecze[[#This Row],[ST]],0)</f>
        <v>0</v>
      </c>
      <c r="AB1813">
        <f>ROUND(Mecze[[#This Row],[PD]]*Mecze[[#This Row],[%PC]],0)</f>
        <v>9</v>
      </c>
      <c r="AC1813">
        <f>ROUND(Mecze[[#This Row],[OD]]*Mecze[[#This Row],[%OU]],0)</f>
        <v>4</v>
      </c>
      <c r="AD1813" s="36" t="s">
        <v>41</v>
      </c>
      <c r="AE1813" s="36">
        <v>99</v>
      </c>
      <c r="AF1813" s="71">
        <v>4.54</v>
      </c>
      <c r="AG1813" s="37">
        <v>0</v>
      </c>
      <c r="AH1813" s="37">
        <v>0</v>
      </c>
      <c r="AI1813" s="37">
        <v>99</v>
      </c>
      <c r="AJ1813" s="37">
        <v>10</v>
      </c>
      <c r="AK1813" s="37" t="str">
        <f>VLOOKUP(Mecze[[#This Row],[Match ID]],Meczusie[Mecz]:Meczusie[RodzajMeczu],2,FALSE)</f>
        <v>Liga</v>
      </c>
    </row>
    <row r="1814" spans="1:37" x14ac:dyDescent="0.25">
      <c r="A1814" s="76">
        <v>11</v>
      </c>
      <c r="B1814" s="3" t="s">
        <v>243</v>
      </c>
      <c r="C1814" s="2" t="s">
        <v>160</v>
      </c>
      <c r="D1814" s="1">
        <v>0</v>
      </c>
      <c r="E1814" s="1">
        <v>2</v>
      </c>
      <c r="F1814" s="1">
        <v>1</v>
      </c>
      <c r="G1814" s="1">
        <v>9</v>
      </c>
      <c r="H1814" s="4">
        <v>0.56000000000000005</v>
      </c>
      <c r="I1814" s="1">
        <v>10</v>
      </c>
      <c r="J1814" s="4">
        <v>0.5</v>
      </c>
      <c r="K1814" s="1">
        <v>0</v>
      </c>
      <c r="L1814" s="1">
        <v>2</v>
      </c>
      <c r="M1814" s="32">
        <f>IF(Mecze[[#This Row],[PR]]=0,0,Mecze[[#This Row],[PR]]/Mecze[[#This Row],[CZAS]])</f>
        <v>2.0202020202020204E-2</v>
      </c>
      <c r="N1814" s="32">
        <f>IF(Mecze[[#This Row],[OU]]=0,0,Mecze[[#This Row],[OU]]/Mecze[[#This Row],[CZAS]])</f>
        <v>5.0505050505050504E-2</v>
      </c>
      <c r="O1814" s="32">
        <f>IF(Mecze[[#This Row],[PC]]=0,0,Mecze[[#This Row],[PC]]/Mecze[[#This Row],[CZAS]])</f>
        <v>5.0505050505050504E-2</v>
      </c>
      <c r="P1814" s="32">
        <f>IF(Mecze[[#This Row],[SC]]=0,0,Mecze[[#This Row],[SC]]/Mecze[[#This Row],[CZAS]])</f>
        <v>1.0101010101010102E-2</v>
      </c>
      <c r="Q1814" s="32">
        <f>IF(Mecze[[#This Row],[OB]]=0,0,Mecze[[#This Row],[OB]]/Mecze[[#This Row],[CZAS]])</f>
        <v>0</v>
      </c>
      <c r="R1814" s="32">
        <f>IF(Mecze[[#This Row],[BR]]=0,0,Mecze[[#This Row],[BR]]/Mecze[[#This Row],[CZAS]])</f>
        <v>0</v>
      </c>
      <c r="S1814" s="44">
        <f>IF(Mecze[[#This Row],[Role]]="BR",SUMPRODUCT(Mecze[[#This Row],[/PR:90]:[/BR:90]],Brudnopis!$E$23:$J$23),0)</f>
        <v>0</v>
      </c>
      <c r="T1814" s="44">
        <f>IF(Mecze[[#This Row],[Role]]&lt;&gt;"BR",SUMPRODUCT(Mecze[[#This Row],[/PR:90]:[/BR:90]],Brudnopis!$E$24:$J$24),0)</f>
        <v>0.15656565656565657</v>
      </c>
      <c r="U1814" s="44">
        <f>IF(Mecze[[#This Row],[Role]]&lt;&gt;"BR",SUMPRODUCT(Mecze[[#This Row],[/PR:90]:[/BR:90]],Brudnopis!$E$25:$J$25),0)</f>
        <v>0.15656565656565657</v>
      </c>
      <c r="V1814" s="44">
        <f>IF(Mecze[[#This Row],[Role]]&lt;&gt;"BR",SUMPRODUCT(Mecze[[#This Row],[/PR:90]:[/BR:90]],Brudnopis!$E$26:$J$26),0)</f>
        <v>0.13131313131313133</v>
      </c>
      <c r="W1814" s="44">
        <f>IF(Mecze[[#This Row],[Role]]&lt;&gt;"BR",SUMPRODUCT(Mecze[[#This Row],[/PR:90]:[/BR:90]],Brudnopis!$E$27:$J$27),0)</f>
        <v>0.1388888888888889</v>
      </c>
      <c r="X1814" s="44">
        <f>IF(Mecze[[#This Row],[Role]]&lt;&gt;"BR",SUMPRODUCT(Mecze[[#This Row],[/PR:90]:[/BR:90]],Brudnopis!$E$28:$J$28),0)</f>
        <v>7.0707070707070704E-2</v>
      </c>
      <c r="Y1814" s="35">
        <f>IF(Mecze[[#This Row],[Role]]="BR",Mecze[[#This Row],[/OB:90]]+Mecze[[#This Row],[/PC:90]],SUM(Mecze[[#This Row],[/PR:90]:[/BR:90]]))</f>
        <v>0.13131313131313133</v>
      </c>
      <c r="Z1814" s="35">
        <f>IF(Mecze[[#This Row],[KC]]=0,SUM(Mecze[[#This Row],[/BRI]:[/NPI]]),SUM(Mecze[[#This Row],[/BRI]:[/NPI]])*0.6)</f>
        <v>0.65404040404040409</v>
      </c>
      <c r="AA1814" s="10">
        <f>IFERROR(Mecze[[#This Row],[BR]]/Mecze[[#This Row],[ST]],0)</f>
        <v>0</v>
      </c>
      <c r="AB1814">
        <f>ROUND(Mecze[[#This Row],[PD]]*Mecze[[#This Row],[%PC]],0)</f>
        <v>5</v>
      </c>
      <c r="AC1814">
        <f>ROUND(Mecze[[#This Row],[OD]]*Mecze[[#This Row],[%OU]],0)</f>
        <v>5</v>
      </c>
      <c r="AD1814" s="36" t="s">
        <v>67</v>
      </c>
      <c r="AE1814" s="36">
        <v>99</v>
      </c>
      <c r="AF1814" s="71">
        <v>3.45</v>
      </c>
      <c r="AG1814" s="37">
        <v>1</v>
      </c>
      <c r="AH1814" s="37">
        <v>0</v>
      </c>
      <c r="AI1814" s="37">
        <v>99</v>
      </c>
      <c r="AJ1814" s="37">
        <v>10</v>
      </c>
      <c r="AK1814" s="37" t="str">
        <f>VLOOKUP(Mecze[[#This Row],[Match ID]],Meczusie[Mecz]:Meczusie[RodzajMeczu],2,FALSE)</f>
        <v>Liga</v>
      </c>
    </row>
    <row r="1815" spans="1:37" x14ac:dyDescent="0.25">
      <c r="A1815" s="76">
        <v>14</v>
      </c>
      <c r="B1815" s="3" t="s">
        <v>244</v>
      </c>
      <c r="C1815" s="2" t="s">
        <v>165</v>
      </c>
      <c r="D1815" s="1">
        <v>2</v>
      </c>
      <c r="E1815" s="1">
        <v>6</v>
      </c>
      <c r="F1815" s="1">
        <v>5</v>
      </c>
      <c r="G1815" s="1">
        <v>9</v>
      </c>
      <c r="H1815" s="4">
        <v>0.67</v>
      </c>
      <c r="I1815" s="1">
        <v>7</v>
      </c>
      <c r="J1815" s="4">
        <v>0.56999999999999995</v>
      </c>
      <c r="K1815" s="1">
        <v>0</v>
      </c>
      <c r="L1815" s="1">
        <v>4</v>
      </c>
      <c r="M1815" s="32">
        <f>IF(Mecze[[#This Row],[PR]]=0,0,Mecze[[#This Row],[PR]]/Mecze[[#This Row],[CZAS]])</f>
        <v>4.0404040404040407E-2</v>
      </c>
      <c r="N1815" s="32">
        <f>IF(Mecze[[#This Row],[OU]]=0,0,Mecze[[#This Row],[OU]]/Mecze[[#This Row],[CZAS]])</f>
        <v>4.0404040404040407E-2</v>
      </c>
      <c r="O1815" s="32">
        <f>IF(Mecze[[#This Row],[PC]]=0,0,Mecze[[#This Row],[PC]]/Mecze[[#This Row],[CZAS]])</f>
        <v>6.0606060606060608E-2</v>
      </c>
      <c r="P1815" s="32">
        <f>IF(Mecze[[#This Row],[SC]]=0,0,Mecze[[#This Row],[SC]]/Mecze[[#This Row],[CZAS]])</f>
        <v>5.0505050505050504E-2</v>
      </c>
      <c r="Q1815" s="32">
        <f>IF(Mecze[[#This Row],[OB]]=0,0,Mecze[[#This Row],[OB]]/Mecze[[#This Row],[CZAS]])</f>
        <v>0</v>
      </c>
      <c r="R1815" s="32">
        <f>IF(Mecze[[#This Row],[BR]]=0,0,Mecze[[#This Row],[BR]]/Mecze[[#This Row],[CZAS]])</f>
        <v>2.0202020202020204E-2</v>
      </c>
      <c r="S1815" s="44">
        <f>IF(Mecze[[#This Row],[Role]]="BR",SUMPRODUCT(Mecze[[#This Row],[/PR:90]:[/BR:90]],Brudnopis!$E$23:$J$23),0)</f>
        <v>0</v>
      </c>
      <c r="T1815" s="44">
        <f>IF(Mecze[[#This Row],[Role]]&lt;&gt;"BR",SUMPRODUCT(Mecze[[#This Row],[/PR:90]:[/BR:90]],Brudnopis!$E$24:$J$24),0)</f>
        <v>0.24242424242424243</v>
      </c>
      <c r="U1815" s="44">
        <f>IF(Mecze[[#This Row],[Role]]&lt;&gt;"BR",SUMPRODUCT(Mecze[[#This Row],[/PR:90]:[/BR:90]],Brudnopis!$E$25:$J$25),0)</f>
        <v>0.25252525252525249</v>
      </c>
      <c r="V1815" s="44">
        <f>IF(Mecze[[#This Row],[Role]]&lt;&gt;"BR",SUMPRODUCT(Mecze[[#This Row],[/PR:90]:[/BR:90]],Brudnopis!$E$26:$J$26),0)</f>
        <v>0.23232323232323235</v>
      </c>
      <c r="W1815" s="44">
        <f>IF(Mecze[[#This Row],[Role]]&lt;&gt;"BR",SUMPRODUCT(Mecze[[#This Row],[/PR:90]:[/BR:90]],Brudnopis!$E$27:$J$27),0)</f>
        <v>0.24242424242424243</v>
      </c>
      <c r="X1815" s="44">
        <f>IF(Mecze[[#This Row],[Role]]&lt;&gt;"BR",SUMPRODUCT(Mecze[[#This Row],[/PR:90]:[/BR:90]],Brudnopis!$E$28:$J$28),0)</f>
        <v>0.22222222222222221</v>
      </c>
      <c r="Y1815" s="35">
        <f>IF(Mecze[[#This Row],[Role]]="BR",Mecze[[#This Row],[/OB:90]]+Mecze[[#This Row],[/PC:90]],SUM(Mecze[[#This Row],[/PR:90]:[/BR:90]]))</f>
        <v>0.21212121212121213</v>
      </c>
      <c r="Z1815" s="35">
        <f>IF(Mecze[[#This Row],[KC]]=0,SUM(Mecze[[#This Row],[/BRI]:[/NPI]]),SUM(Mecze[[#This Row],[/BRI]:[/NPI]])*0.6)</f>
        <v>1.191919191919192</v>
      </c>
      <c r="AA1815" s="10">
        <f>IFERROR(Mecze[[#This Row],[BR]]/Mecze[[#This Row],[ST]],0)</f>
        <v>0.33333333333333331</v>
      </c>
      <c r="AB1815">
        <f>ROUND(Mecze[[#This Row],[PD]]*Mecze[[#This Row],[%PC]],0)</f>
        <v>6</v>
      </c>
      <c r="AC1815">
        <f>ROUND(Mecze[[#This Row],[OD]]*Mecze[[#This Row],[%OU]],0)</f>
        <v>4</v>
      </c>
      <c r="AD1815" s="36" t="s">
        <v>273</v>
      </c>
      <c r="AE1815" s="36">
        <v>99</v>
      </c>
      <c r="AF1815" s="71">
        <v>9.74</v>
      </c>
      <c r="AG1815" s="37">
        <v>0</v>
      </c>
      <c r="AH1815" s="37">
        <v>0</v>
      </c>
      <c r="AI1815" s="37">
        <v>99</v>
      </c>
      <c r="AJ1815" s="37">
        <v>10</v>
      </c>
      <c r="AK1815" s="37" t="str">
        <f>VLOOKUP(Mecze[[#This Row],[Match ID]],Meczusie[Mecz]:Meczusie[RodzajMeczu],2,FALSE)</f>
        <v>Liga</v>
      </c>
    </row>
    <row r="1816" spans="1:37" x14ac:dyDescent="0.25">
      <c r="A1816" s="76">
        <v>9</v>
      </c>
      <c r="B1816" s="3" t="s">
        <v>451</v>
      </c>
      <c r="C1816" s="2" t="s">
        <v>165</v>
      </c>
      <c r="D1816" s="1">
        <v>0</v>
      </c>
      <c r="E1816" s="1">
        <v>1</v>
      </c>
      <c r="F1816" s="1">
        <v>1</v>
      </c>
      <c r="G1816" s="1">
        <v>8</v>
      </c>
      <c r="H1816" s="4">
        <v>0.63</v>
      </c>
      <c r="I1816" s="1">
        <v>1</v>
      </c>
      <c r="J1816" s="4">
        <v>1</v>
      </c>
      <c r="K1816" s="1">
        <v>0</v>
      </c>
      <c r="L1816" s="1">
        <v>2</v>
      </c>
      <c r="M1816" s="32">
        <f>IF(Mecze[[#This Row],[PR]]=0,0,Mecze[[#This Row],[PR]]/Mecze[[#This Row],[CZAS]])</f>
        <v>2.0202020202020204E-2</v>
      </c>
      <c r="N1816" s="32">
        <f>IF(Mecze[[#This Row],[OU]]=0,0,Mecze[[#This Row],[OU]]/Mecze[[#This Row],[CZAS]])</f>
        <v>1.0101010101010102E-2</v>
      </c>
      <c r="O1816" s="32">
        <f>IF(Mecze[[#This Row],[PC]]=0,0,Mecze[[#This Row],[PC]]/Mecze[[#This Row],[CZAS]])</f>
        <v>5.0505050505050504E-2</v>
      </c>
      <c r="P1816" s="32">
        <f>IF(Mecze[[#This Row],[SC]]=0,0,Mecze[[#This Row],[SC]]/Mecze[[#This Row],[CZAS]])</f>
        <v>1.0101010101010102E-2</v>
      </c>
      <c r="Q1816" s="32">
        <f>IF(Mecze[[#This Row],[OB]]=0,0,Mecze[[#This Row],[OB]]/Mecze[[#This Row],[CZAS]])</f>
        <v>0</v>
      </c>
      <c r="R1816" s="32">
        <f>IF(Mecze[[#This Row],[BR]]=0,0,Mecze[[#This Row],[BR]]/Mecze[[#This Row],[CZAS]])</f>
        <v>0</v>
      </c>
      <c r="S1816" s="44">
        <f>IF(Mecze[[#This Row],[Role]]="BR",SUMPRODUCT(Mecze[[#This Row],[/PR:90]:[/BR:90]],Brudnopis!$E$23:$J$23),0)</f>
        <v>0</v>
      </c>
      <c r="T1816" s="44">
        <f>IF(Mecze[[#This Row],[Role]]&lt;&gt;"BR",SUMPRODUCT(Mecze[[#This Row],[/PR:90]:[/BR:90]],Brudnopis!$E$24:$J$24),0)</f>
        <v>9.5959595959595953E-2</v>
      </c>
      <c r="U1816" s="44">
        <f>IF(Mecze[[#This Row],[Role]]&lt;&gt;"BR",SUMPRODUCT(Mecze[[#This Row],[/PR:90]:[/BR:90]],Brudnopis!$E$25:$J$25),0)</f>
        <v>0.11616161616161616</v>
      </c>
      <c r="V1816" s="44">
        <f>IF(Mecze[[#This Row],[Role]]&lt;&gt;"BR",SUMPRODUCT(Mecze[[#This Row],[/PR:90]:[/BR:90]],Brudnopis!$E$26:$J$26),0)</f>
        <v>9.0909090909090898E-2</v>
      </c>
      <c r="W1816" s="44">
        <f>IF(Mecze[[#This Row],[Role]]&lt;&gt;"BR",SUMPRODUCT(Mecze[[#This Row],[/PR:90]:[/BR:90]],Brudnopis!$E$27:$J$27),0)</f>
        <v>0.10858585858585858</v>
      </c>
      <c r="X1816" s="44">
        <f>IF(Mecze[[#This Row],[Role]]&lt;&gt;"BR",SUMPRODUCT(Mecze[[#This Row],[/PR:90]:[/BR:90]],Brudnopis!$E$28:$J$28),0)</f>
        <v>7.0707070707070704E-2</v>
      </c>
      <c r="Y1816" s="35">
        <f>IF(Mecze[[#This Row],[Role]]="BR",Mecze[[#This Row],[/OB:90]]+Mecze[[#This Row],[/PC:90]],SUM(Mecze[[#This Row],[/PR:90]:[/BR:90]]))</f>
        <v>9.0909090909090898E-2</v>
      </c>
      <c r="Z1816" s="35">
        <f>IF(Mecze[[#This Row],[KC]]=0,SUM(Mecze[[#This Row],[/BRI]:[/NPI]]),SUM(Mecze[[#This Row],[/BRI]:[/NPI]])*0.6)</f>
        <v>0.48232323232323226</v>
      </c>
      <c r="AA1816" s="10">
        <f>IFERROR(Mecze[[#This Row],[BR]]/Mecze[[#This Row],[ST]],0)</f>
        <v>0</v>
      </c>
      <c r="AB1816">
        <f>ROUND(Mecze[[#This Row],[PD]]*Mecze[[#This Row],[%PC]],0)</f>
        <v>5</v>
      </c>
      <c r="AC1816">
        <f>ROUND(Mecze[[#This Row],[OD]]*Mecze[[#This Row],[%OU]],0)</f>
        <v>1</v>
      </c>
      <c r="AD1816" s="36" t="s">
        <v>272</v>
      </c>
      <c r="AE1816" s="36">
        <v>99</v>
      </c>
      <c r="AF1816" s="71">
        <v>4.26</v>
      </c>
      <c r="AG1816" s="37">
        <v>0</v>
      </c>
      <c r="AH1816" s="37">
        <v>0</v>
      </c>
      <c r="AI1816" s="37">
        <v>99</v>
      </c>
      <c r="AJ1816" s="37">
        <v>10</v>
      </c>
      <c r="AK1816" s="37" t="str">
        <f>VLOOKUP(Mecze[[#This Row],[Match ID]],Meczusie[Mecz]:Meczusie[RodzajMeczu],2,FALSE)</f>
        <v>Liga</v>
      </c>
    </row>
    <row r="1817" spans="1:37" x14ac:dyDescent="0.25">
      <c r="A1817" s="76">
        <v>10</v>
      </c>
      <c r="B1817" s="3" t="s">
        <v>246</v>
      </c>
      <c r="C1817" s="2" t="s">
        <v>165</v>
      </c>
      <c r="D1817" s="1">
        <v>1</v>
      </c>
      <c r="E1817" s="1">
        <v>7</v>
      </c>
      <c r="F1817" s="1">
        <v>6</v>
      </c>
      <c r="G1817" s="1">
        <v>7</v>
      </c>
      <c r="H1817" s="4">
        <v>0.56999999999999995</v>
      </c>
      <c r="I1817" s="1">
        <v>0</v>
      </c>
      <c r="J1817" s="4"/>
      <c r="K1817" s="1">
        <v>0</v>
      </c>
      <c r="L1817" s="1">
        <v>0</v>
      </c>
      <c r="M1817" s="32">
        <f>IF(Mecze[[#This Row],[PR]]=0,0,Mecze[[#This Row],[PR]]/Mecze[[#This Row],[CZAS]])</f>
        <v>0</v>
      </c>
      <c r="N1817" s="32">
        <f>IF(Mecze[[#This Row],[OU]]=0,0,Mecze[[#This Row],[OU]]/Mecze[[#This Row],[CZAS]])</f>
        <v>0</v>
      </c>
      <c r="O1817" s="32">
        <f>IF(Mecze[[#This Row],[PC]]=0,0,Mecze[[#This Row],[PC]]/Mecze[[#This Row],[CZAS]])</f>
        <v>4.0404040404040407E-2</v>
      </c>
      <c r="P1817" s="32">
        <f>IF(Mecze[[#This Row],[SC]]=0,0,Mecze[[#This Row],[SC]]/Mecze[[#This Row],[CZAS]])</f>
        <v>6.0606060606060608E-2</v>
      </c>
      <c r="Q1817" s="32">
        <f>IF(Mecze[[#This Row],[OB]]=0,0,Mecze[[#This Row],[OB]]/Mecze[[#This Row],[CZAS]])</f>
        <v>0</v>
      </c>
      <c r="R1817" s="32">
        <f>IF(Mecze[[#This Row],[BR]]=0,0,Mecze[[#This Row],[BR]]/Mecze[[#This Row],[CZAS]])</f>
        <v>1.0101010101010102E-2</v>
      </c>
      <c r="S1817" s="44">
        <f>IF(Mecze[[#This Row],[Role]]="BR",SUMPRODUCT(Mecze[[#This Row],[/PR:90]:[/BR:90]],Brudnopis!$E$23:$J$23),0)</f>
        <v>0</v>
      </c>
      <c r="T1817" s="44">
        <f>IF(Mecze[[#This Row],[Role]]&lt;&gt;"BR",SUMPRODUCT(Mecze[[#This Row],[/PR:90]:[/BR:90]],Brudnopis!$E$24:$J$24),0)</f>
        <v>0.11616161616161617</v>
      </c>
      <c r="U1817" s="44">
        <f>IF(Mecze[[#This Row],[Role]]&lt;&gt;"BR",SUMPRODUCT(Mecze[[#This Row],[/PR:90]:[/BR:90]],Brudnopis!$E$25:$J$25),0)</f>
        <v>0.13636363636363635</v>
      </c>
      <c r="V1817" s="44">
        <f>IF(Mecze[[#This Row],[Role]]&lt;&gt;"BR",SUMPRODUCT(Mecze[[#This Row],[/PR:90]:[/BR:90]],Brudnopis!$E$26:$J$26),0)</f>
        <v>0.12121212121212123</v>
      </c>
      <c r="W1817" s="44">
        <f>IF(Mecze[[#This Row],[Role]]&lt;&gt;"BR",SUMPRODUCT(Mecze[[#This Row],[/PR:90]:[/BR:90]],Brudnopis!$E$27:$J$27),0)</f>
        <v>0.14141414141414141</v>
      </c>
      <c r="X1817" s="44">
        <f>IF(Mecze[[#This Row],[Role]]&lt;&gt;"BR",SUMPRODUCT(Mecze[[#This Row],[/PR:90]:[/BR:90]],Brudnopis!$E$28:$J$28),0)</f>
        <v>0.19191919191919193</v>
      </c>
      <c r="Y1817" s="35">
        <f>IF(Mecze[[#This Row],[Role]]="BR",Mecze[[#This Row],[/OB:90]]+Mecze[[#This Row],[/PC:90]],SUM(Mecze[[#This Row],[/PR:90]:[/BR:90]]))</f>
        <v>0.11111111111111112</v>
      </c>
      <c r="Z1817" s="35">
        <f>IF(Mecze[[#This Row],[KC]]=0,SUM(Mecze[[#This Row],[/BRI]:[/NPI]]),SUM(Mecze[[#This Row],[/BRI]:[/NPI]])*0.6)</f>
        <v>0.70707070707070707</v>
      </c>
      <c r="AA1817" s="10">
        <f>IFERROR(Mecze[[#This Row],[BR]]/Mecze[[#This Row],[ST]],0)</f>
        <v>0.14285714285714285</v>
      </c>
      <c r="AB1817">
        <f>ROUND(Mecze[[#This Row],[PD]]*Mecze[[#This Row],[%PC]],0)</f>
        <v>4</v>
      </c>
      <c r="AC1817">
        <f>ROUND(Mecze[[#This Row],[OD]]*Mecze[[#This Row],[%OU]],0)</f>
        <v>0</v>
      </c>
      <c r="AD1817" s="36" t="s">
        <v>46</v>
      </c>
      <c r="AE1817" s="36">
        <v>99</v>
      </c>
      <c r="AF1817" s="71">
        <v>7.66</v>
      </c>
      <c r="AG1817" s="37">
        <v>0</v>
      </c>
      <c r="AH1817" s="37">
        <v>0</v>
      </c>
      <c r="AI1817" s="37">
        <v>99</v>
      </c>
      <c r="AJ1817" s="37">
        <v>10</v>
      </c>
      <c r="AK1817" s="37" t="str">
        <f>VLOOKUP(Mecze[[#This Row],[Match ID]],Meczusie[Mecz]:Meczusie[RodzajMeczu],2,FALSE)</f>
        <v>Liga</v>
      </c>
    </row>
    <row r="1818" spans="1:37" x14ac:dyDescent="0.25">
      <c r="A1818" s="76">
        <v>208</v>
      </c>
      <c r="B1818" s="3" t="s">
        <v>436</v>
      </c>
      <c r="C1818" s="2" t="s">
        <v>155</v>
      </c>
      <c r="D1818" s="1">
        <v>0</v>
      </c>
      <c r="E1818" s="1">
        <v>0</v>
      </c>
      <c r="F1818" s="1">
        <v>0</v>
      </c>
      <c r="G1818" s="1">
        <v>2</v>
      </c>
      <c r="H1818" s="4">
        <v>0.5</v>
      </c>
      <c r="I1818" s="1">
        <v>0</v>
      </c>
      <c r="J1818" s="4"/>
      <c r="K1818" s="1">
        <v>1</v>
      </c>
      <c r="L1818" s="1">
        <v>0</v>
      </c>
      <c r="M1818" s="32">
        <f>IF(Mecze[[#This Row],[PR]]=0,0,Mecze[[#This Row],[PR]]/Mecze[[#This Row],[CZAS]])</f>
        <v>0</v>
      </c>
      <c r="N1818" s="32">
        <f>IF(Mecze[[#This Row],[OU]]=0,0,Mecze[[#This Row],[OU]]/Mecze[[#This Row],[CZAS]])</f>
        <v>0</v>
      </c>
      <c r="O1818" s="32">
        <f>IF(Mecze[[#This Row],[PC]]=0,0,Mecze[[#This Row],[PC]]/Mecze[[#This Row],[CZAS]])</f>
        <v>1.020408163265306E-2</v>
      </c>
      <c r="P1818" s="32">
        <f>IF(Mecze[[#This Row],[SC]]=0,0,Mecze[[#This Row],[SC]]/Mecze[[#This Row],[CZAS]])</f>
        <v>0</v>
      </c>
      <c r="Q1818" s="32">
        <f>IF(Mecze[[#This Row],[OB]]=0,0,Mecze[[#This Row],[OB]]/Mecze[[#This Row],[CZAS]])</f>
        <v>1.020408163265306E-2</v>
      </c>
      <c r="R1818" s="32">
        <f>IF(Mecze[[#This Row],[BR]]=0,0,Mecze[[#This Row],[BR]]/Mecze[[#This Row],[CZAS]])</f>
        <v>0</v>
      </c>
      <c r="S1818" s="44">
        <f>IF(Mecze[[#This Row],[Role]]="BR",SUMPRODUCT(Mecze[[#This Row],[/PR:90]:[/BR:90]],Brudnopis!$E$23:$J$23),0)</f>
        <v>6.1224489795918366E-2</v>
      </c>
      <c r="T1818" s="44">
        <f>IF(Mecze[[#This Row],[Role]]&lt;&gt;"BR",SUMPRODUCT(Mecze[[#This Row],[/PR:90]:[/BR:90]],Brudnopis!$E$24:$J$24),0)</f>
        <v>0</v>
      </c>
      <c r="U1818" s="44">
        <f>IF(Mecze[[#This Row],[Role]]&lt;&gt;"BR",SUMPRODUCT(Mecze[[#This Row],[/PR:90]:[/BR:90]],Brudnopis!$E$25:$J$25),0)</f>
        <v>0</v>
      </c>
      <c r="V1818" s="44">
        <f>IF(Mecze[[#This Row],[Role]]&lt;&gt;"BR",SUMPRODUCT(Mecze[[#This Row],[/PR:90]:[/BR:90]],Brudnopis!$E$26:$J$26),0)</f>
        <v>0</v>
      </c>
      <c r="W1818" s="44">
        <f>IF(Mecze[[#This Row],[Role]]&lt;&gt;"BR",SUMPRODUCT(Mecze[[#This Row],[/PR:90]:[/BR:90]],Brudnopis!$E$27:$J$27),0)</f>
        <v>0</v>
      </c>
      <c r="X1818" s="44">
        <f>IF(Mecze[[#This Row],[Role]]&lt;&gt;"BR",SUMPRODUCT(Mecze[[#This Row],[/PR:90]:[/BR:90]],Brudnopis!$E$28:$J$28),0)</f>
        <v>0</v>
      </c>
      <c r="Y1818" s="35">
        <f>IF(Mecze[[#This Row],[Role]]="BR",Mecze[[#This Row],[/OB:90]]+Mecze[[#This Row],[/PC:90]],SUM(Mecze[[#This Row],[/PR:90]:[/BR:90]]))</f>
        <v>2.0408163265306121E-2</v>
      </c>
      <c r="Z1818" s="35">
        <f>IF(Mecze[[#This Row],[KC]]=0,SUM(Mecze[[#This Row],[/BRI]:[/NPI]]),SUM(Mecze[[#This Row],[/BRI]:[/NPI]])*0.6)</f>
        <v>6.1224489795918366E-2</v>
      </c>
      <c r="AA1818" s="10">
        <f>IFERROR(Mecze[[#This Row],[BR]]/Mecze[[#This Row],[ST]],0)</f>
        <v>0</v>
      </c>
      <c r="AB1818">
        <f>ROUND(Mecze[[#This Row],[PD]]*Mecze[[#This Row],[%PC]],0)</f>
        <v>1</v>
      </c>
      <c r="AC1818">
        <f>ROUND(Mecze[[#This Row],[OD]]*Mecze[[#This Row],[%OU]],0)</f>
        <v>0</v>
      </c>
      <c r="AD1818" s="36" t="s">
        <v>40</v>
      </c>
      <c r="AE1818" s="36">
        <v>100</v>
      </c>
      <c r="AF1818" s="71">
        <v>4.2699999999999996</v>
      </c>
      <c r="AG1818" s="37">
        <v>0</v>
      </c>
      <c r="AH1818" s="37">
        <v>0</v>
      </c>
      <c r="AI1818" s="37">
        <v>98</v>
      </c>
      <c r="AJ1818" s="37">
        <v>7</v>
      </c>
      <c r="AK1818" s="37" t="str">
        <f>VLOOKUP(Mecze[[#This Row],[Match ID]],Meczusie[Mecz]:Meczusie[RodzajMeczu],2,FALSE)</f>
        <v>Liga</v>
      </c>
    </row>
    <row r="1819" spans="1:37" x14ac:dyDescent="0.25">
      <c r="A1819" s="76">
        <v>204</v>
      </c>
      <c r="B1819" s="3" t="s">
        <v>334</v>
      </c>
      <c r="C1819" s="2" t="s">
        <v>157</v>
      </c>
      <c r="D1819" s="1">
        <v>0</v>
      </c>
      <c r="E1819" s="1">
        <v>0</v>
      </c>
      <c r="F1819" s="1">
        <v>0</v>
      </c>
      <c r="G1819" s="1">
        <v>11</v>
      </c>
      <c r="H1819" s="4">
        <v>0.73</v>
      </c>
      <c r="I1819" s="1">
        <v>1</v>
      </c>
      <c r="J1819" s="4">
        <v>1</v>
      </c>
      <c r="K1819" s="1">
        <v>0</v>
      </c>
      <c r="L1819" s="1">
        <v>9</v>
      </c>
      <c r="M1819" s="32">
        <f>IF(Mecze[[#This Row],[PR]]=0,0,Mecze[[#This Row],[PR]]/Mecze[[#This Row],[CZAS]])</f>
        <v>9.1836734693877556E-2</v>
      </c>
      <c r="N1819" s="32">
        <f>IF(Mecze[[#This Row],[OU]]=0,0,Mecze[[#This Row],[OU]]/Mecze[[#This Row],[CZAS]])</f>
        <v>1.020408163265306E-2</v>
      </c>
      <c r="O1819" s="32">
        <f>IF(Mecze[[#This Row],[PC]]=0,0,Mecze[[#This Row],[PC]]/Mecze[[#This Row],[CZAS]])</f>
        <v>8.1632653061224483E-2</v>
      </c>
      <c r="P1819" s="32">
        <f>IF(Mecze[[#This Row],[SC]]=0,0,Mecze[[#This Row],[SC]]/Mecze[[#This Row],[CZAS]])</f>
        <v>0</v>
      </c>
      <c r="Q1819" s="32">
        <f>IF(Mecze[[#This Row],[OB]]=0,0,Mecze[[#This Row],[OB]]/Mecze[[#This Row],[CZAS]])</f>
        <v>0</v>
      </c>
      <c r="R1819" s="32">
        <f>IF(Mecze[[#This Row],[BR]]=0,0,Mecze[[#This Row],[BR]]/Mecze[[#This Row],[CZAS]])</f>
        <v>0</v>
      </c>
      <c r="S1819" s="44">
        <f>IF(Mecze[[#This Row],[Role]]="BR",SUMPRODUCT(Mecze[[#This Row],[/PR:90]:[/BR:90]],Brudnopis!$E$23:$J$23),0)</f>
        <v>0</v>
      </c>
      <c r="T1819" s="44">
        <f>IF(Mecze[[#This Row],[Role]]&lt;&gt;"BR",SUMPRODUCT(Mecze[[#This Row],[/PR:90]:[/BR:90]],Brudnopis!$E$24:$J$24),0)</f>
        <v>0.18877551020408162</v>
      </c>
      <c r="U1819" s="44">
        <f>IF(Mecze[[#This Row],[Role]]&lt;&gt;"BR",SUMPRODUCT(Mecze[[#This Row],[/PR:90]:[/BR:90]],Brudnopis!$E$25:$J$25),0)</f>
        <v>0.22448979591836735</v>
      </c>
      <c r="V1819" s="44">
        <f>IF(Mecze[[#This Row],[Role]]&lt;&gt;"BR",SUMPRODUCT(Mecze[[#This Row],[/PR:90]:[/BR:90]],Brudnopis!$E$26:$J$26),0)</f>
        <v>0.18367346938775508</v>
      </c>
      <c r="W1819" s="44">
        <f>IF(Mecze[[#This Row],[Role]]&lt;&gt;"BR",SUMPRODUCT(Mecze[[#This Row],[/PR:90]:[/BR:90]],Brudnopis!$E$27:$J$27),0)</f>
        <v>0.19897959183673469</v>
      </c>
      <c r="X1819" s="44">
        <f>IF(Mecze[[#This Row],[Role]]&lt;&gt;"BR",SUMPRODUCT(Mecze[[#This Row],[/PR:90]:[/BR:90]],Brudnopis!$E$28:$J$28),0)</f>
        <v>8.1632653061224483E-2</v>
      </c>
      <c r="Y1819" s="35">
        <f>IF(Mecze[[#This Row],[Role]]="BR",Mecze[[#This Row],[/OB:90]]+Mecze[[#This Row],[/PC:90]],SUM(Mecze[[#This Row],[/PR:90]:[/BR:90]]))</f>
        <v>0.18367346938775508</v>
      </c>
      <c r="Z1819" s="35">
        <f>IF(Mecze[[#This Row],[KC]]=0,SUM(Mecze[[#This Row],[/BRI]:[/NPI]]),SUM(Mecze[[#This Row],[/BRI]:[/NPI]])*0.6)</f>
        <v>0.87755102040816324</v>
      </c>
      <c r="AA1819" s="10">
        <f>IFERROR(Mecze[[#This Row],[BR]]/Mecze[[#This Row],[ST]],0)</f>
        <v>0</v>
      </c>
      <c r="AB1819">
        <f>ROUND(Mecze[[#This Row],[PD]]*Mecze[[#This Row],[%PC]],0)</f>
        <v>8</v>
      </c>
      <c r="AC1819">
        <f>ROUND(Mecze[[#This Row],[OD]]*Mecze[[#This Row],[%OU]],0)</f>
        <v>1</v>
      </c>
      <c r="AD1819" s="36" t="s">
        <v>47</v>
      </c>
      <c r="AE1819" s="36">
        <v>100</v>
      </c>
      <c r="AF1819" s="71">
        <v>5.81</v>
      </c>
      <c r="AG1819" s="37">
        <v>0</v>
      </c>
      <c r="AH1819" s="37">
        <v>0</v>
      </c>
      <c r="AI1819" s="37">
        <v>98</v>
      </c>
      <c r="AJ1819" s="37">
        <v>7</v>
      </c>
      <c r="AK1819" s="37" t="str">
        <f>VLOOKUP(Mecze[[#This Row],[Match ID]],Meczusie[Mecz]:Meczusie[RodzajMeczu],2,FALSE)</f>
        <v>Liga</v>
      </c>
    </row>
    <row r="1820" spans="1:37" x14ac:dyDescent="0.25">
      <c r="A1820" s="76">
        <v>156</v>
      </c>
      <c r="B1820" s="3" t="s">
        <v>443</v>
      </c>
      <c r="C1820" s="2" t="s">
        <v>157</v>
      </c>
      <c r="D1820" s="1">
        <v>0</v>
      </c>
      <c r="E1820" s="1">
        <v>0</v>
      </c>
      <c r="F1820" s="1">
        <v>0</v>
      </c>
      <c r="G1820" s="1">
        <v>7</v>
      </c>
      <c r="H1820" s="4">
        <v>0.56999999999999995</v>
      </c>
      <c r="I1820" s="1">
        <v>5</v>
      </c>
      <c r="J1820" s="4">
        <v>0.4</v>
      </c>
      <c r="K1820" s="1">
        <v>0</v>
      </c>
      <c r="L1820" s="1">
        <v>11</v>
      </c>
      <c r="M1820" s="32">
        <f>IF(Mecze[[#This Row],[PR]]=0,0,Mecze[[#This Row],[PR]]/Mecze[[#This Row],[CZAS]])</f>
        <v>0.11224489795918367</v>
      </c>
      <c r="N1820" s="32">
        <f>IF(Mecze[[#This Row],[OU]]=0,0,Mecze[[#This Row],[OU]]/Mecze[[#This Row],[CZAS]])</f>
        <v>2.0408163265306121E-2</v>
      </c>
      <c r="O1820" s="32">
        <f>IF(Mecze[[#This Row],[PC]]=0,0,Mecze[[#This Row],[PC]]/Mecze[[#This Row],[CZAS]])</f>
        <v>4.0816326530612242E-2</v>
      </c>
      <c r="P1820" s="32">
        <f>IF(Mecze[[#This Row],[SC]]=0,0,Mecze[[#This Row],[SC]]/Mecze[[#This Row],[CZAS]])</f>
        <v>0</v>
      </c>
      <c r="Q1820" s="32">
        <f>IF(Mecze[[#This Row],[OB]]=0,0,Mecze[[#This Row],[OB]]/Mecze[[#This Row],[CZAS]])</f>
        <v>0</v>
      </c>
      <c r="R1820" s="32">
        <f>IF(Mecze[[#This Row],[BR]]=0,0,Mecze[[#This Row],[BR]]/Mecze[[#This Row],[CZAS]])</f>
        <v>0</v>
      </c>
      <c r="S1820" s="44">
        <f>IF(Mecze[[#This Row],[Role]]="BR",SUMPRODUCT(Mecze[[#This Row],[/PR:90]:[/BR:90]],Brudnopis!$E$23:$J$23),0)</f>
        <v>0</v>
      </c>
      <c r="T1820" s="44">
        <f>IF(Mecze[[#This Row],[Role]]&lt;&gt;"BR",SUMPRODUCT(Mecze[[#This Row],[/PR:90]:[/BR:90]],Brudnopis!$E$24:$J$24),0)</f>
        <v>0.18367346938775508</v>
      </c>
      <c r="U1820" s="44">
        <f>IF(Mecze[[#This Row],[Role]]&lt;&gt;"BR",SUMPRODUCT(Mecze[[#This Row],[/PR:90]:[/BR:90]],Brudnopis!$E$25:$J$25),0)</f>
        <v>0.19387755102040816</v>
      </c>
      <c r="V1820" s="44">
        <f>IF(Mecze[[#This Row],[Role]]&lt;&gt;"BR",SUMPRODUCT(Mecze[[#This Row],[/PR:90]:[/BR:90]],Brudnopis!$E$26:$J$26),0)</f>
        <v>0.17346938775510204</v>
      </c>
      <c r="W1820" s="44">
        <f>IF(Mecze[[#This Row],[Role]]&lt;&gt;"BR",SUMPRODUCT(Mecze[[#This Row],[/PR:90]:[/BR:90]],Brudnopis!$E$27:$J$27),0)</f>
        <v>0.1607142857142857</v>
      </c>
      <c r="X1820" s="44">
        <f>IF(Mecze[[#This Row],[Role]]&lt;&gt;"BR",SUMPRODUCT(Mecze[[#This Row],[/PR:90]:[/BR:90]],Brudnopis!$E$28:$J$28),0)</f>
        <v>4.0816326530612242E-2</v>
      </c>
      <c r="Y1820" s="35">
        <f>IF(Mecze[[#This Row],[Role]]="BR",Mecze[[#This Row],[/OB:90]]+Mecze[[#This Row],[/PC:90]],SUM(Mecze[[#This Row],[/PR:90]:[/BR:90]]))</f>
        <v>0.17346938775510204</v>
      </c>
      <c r="Z1820" s="35">
        <f>IF(Mecze[[#This Row],[KC]]=0,SUM(Mecze[[#This Row],[/BRI]:[/NPI]]),SUM(Mecze[[#This Row],[/BRI]:[/NPI]])*0.6)</f>
        <v>0.75255102040816324</v>
      </c>
      <c r="AA1820" s="10">
        <f>IFERROR(Mecze[[#This Row],[BR]]/Mecze[[#This Row],[ST]],0)</f>
        <v>0</v>
      </c>
      <c r="AB1820">
        <f>ROUND(Mecze[[#This Row],[PD]]*Mecze[[#This Row],[%PC]],0)</f>
        <v>4</v>
      </c>
      <c r="AC1820">
        <f>ROUND(Mecze[[#This Row],[OD]]*Mecze[[#This Row],[%OU]],0)</f>
        <v>2</v>
      </c>
      <c r="AD1820" s="36" t="s">
        <v>168</v>
      </c>
      <c r="AE1820" s="36">
        <v>100</v>
      </c>
      <c r="AF1820" s="71">
        <v>6.23</v>
      </c>
      <c r="AG1820" s="37">
        <v>0</v>
      </c>
      <c r="AH1820" s="37">
        <v>0</v>
      </c>
      <c r="AI1820" s="37">
        <v>98</v>
      </c>
      <c r="AJ1820" s="37">
        <v>7</v>
      </c>
      <c r="AK1820" s="37" t="str">
        <f>VLOOKUP(Mecze[[#This Row],[Match ID]],Meczusie[Mecz]:Meczusie[RodzajMeczu],2,FALSE)</f>
        <v>Liga</v>
      </c>
    </row>
    <row r="1821" spans="1:37" x14ac:dyDescent="0.25">
      <c r="A1821" s="76">
        <v>150</v>
      </c>
      <c r="B1821" s="3" t="s">
        <v>335</v>
      </c>
      <c r="C1821" s="2" t="s">
        <v>157</v>
      </c>
      <c r="D1821" s="1">
        <v>0</v>
      </c>
      <c r="E1821" s="1">
        <v>0</v>
      </c>
      <c r="F1821" s="1">
        <v>0</v>
      </c>
      <c r="G1821" s="1">
        <v>11</v>
      </c>
      <c r="H1821" s="4">
        <v>0.82</v>
      </c>
      <c r="I1821" s="1">
        <v>6</v>
      </c>
      <c r="J1821" s="4">
        <v>0.67</v>
      </c>
      <c r="K1821" s="1">
        <v>0</v>
      </c>
      <c r="L1821" s="1">
        <v>26</v>
      </c>
      <c r="M1821" s="32">
        <f>IF(Mecze[[#This Row],[PR]]=0,0,Mecze[[#This Row],[PR]]/Mecze[[#This Row],[CZAS]])</f>
        <v>0.26530612244897961</v>
      </c>
      <c r="N1821" s="32">
        <f>IF(Mecze[[#This Row],[OU]]=0,0,Mecze[[#This Row],[OU]]/Mecze[[#This Row],[CZAS]])</f>
        <v>4.0816326530612242E-2</v>
      </c>
      <c r="O1821" s="32">
        <f>IF(Mecze[[#This Row],[PC]]=0,0,Mecze[[#This Row],[PC]]/Mecze[[#This Row],[CZAS]])</f>
        <v>9.1836734693877556E-2</v>
      </c>
      <c r="P1821" s="32">
        <f>IF(Mecze[[#This Row],[SC]]=0,0,Mecze[[#This Row],[SC]]/Mecze[[#This Row],[CZAS]])</f>
        <v>0</v>
      </c>
      <c r="Q1821" s="32">
        <f>IF(Mecze[[#This Row],[OB]]=0,0,Mecze[[#This Row],[OB]]/Mecze[[#This Row],[CZAS]])</f>
        <v>0</v>
      </c>
      <c r="R1821" s="32">
        <f>IF(Mecze[[#This Row],[BR]]=0,0,Mecze[[#This Row],[BR]]/Mecze[[#This Row],[CZAS]])</f>
        <v>0</v>
      </c>
      <c r="S1821" s="44">
        <f>IF(Mecze[[#This Row],[Role]]="BR",SUMPRODUCT(Mecze[[#This Row],[/PR:90]:[/BR:90]],Brudnopis!$E$23:$J$23),0)</f>
        <v>0</v>
      </c>
      <c r="T1821" s="44">
        <f>IF(Mecze[[#This Row],[Role]]&lt;&gt;"BR",SUMPRODUCT(Mecze[[#This Row],[/PR:90]:[/BR:90]],Brudnopis!$E$24:$J$24),0)</f>
        <v>0.41836734693877553</v>
      </c>
      <c r="U1821" s="44">
        <f>IF(Mecze[[#This Row],[Role]]&lt;&gt;"BR",SUMPRODUCT(Mecze[[#This Row],[/PR:90]:[/BR:90]],Brudnopis!$E$25:$J$25),0)</f>
        <v>0.44387755102040816</v>
      </c>
      <c r="V1821" s="44">
        <f>IF(Mecze[[#This Row],[Role]]&lt;&gt;"BR",SUMPRODUCT(Mecze[[#This Row],[/PR:90]:[/BR:90]],Brudnopis!$E$26:$J$26),0)</f>
        <v>0.39795918367346939</v>
      </c>
      <c r="W1821" s="44">
        <f>IF(Mecze[[#This Row],[Role]]&lt;&gt;"BR",SUMPRODUCT(Mecze[[#This Row],[/PR:90]:[/BR:90]],Brudnopis!$E$27:$J$27),0)</f>
        <v>0.36734693877551022</v>
      </c>
      <c r="X1821" s="44">
        <f>IF(Mecze[[#This Row],[Role]]&lt;&gt;"BR",SUMPRODUCT(Mecze[[#This Row],[/PR:90]:[/BR:90]],Brudnopis!$E$28:$J$28),0)</f>
        <v>9.1836734693877556E-2</v>
      </c>
      <c r="Y1821" s="35">
        <f>IF(Mecze[[#This Row],[Role]]="BR",Mecze[[#This Row],[/OB:90]]+Mecze[[#This Row],[/PC:90]],SUM(Mecze[[#This Row],[/PR:90]:[/BR:90]]))</f>
        <v>0.39795918367346939</v>
      </c>
      <c r="Z1821" s="35">
        <f>IF(Mecze[[#This Row],[KC]]=0,SUM(Mecze[[#This Row],[/BRI]:[/NPI]]),SUM(Mecze[[#This Row],[/BRI]:[/NPI]])*0.6)</f>
        <v>1.7193877551020407</v>
      </c>
      <c r="AA1821" s="10">
        <f>IFERROR(Mecze[[#This Row],[BR]]/Mecze[[#This Row],[ST]],0)</f>
        <v>0</v>
      </c>
      <c r="AB1821">
        <f>ROUND(Mecze[[#This Row],[PD]]*Mecze[[#This Row],[%PC]],0)</f>
        <v>9</v>
      </c>
      <c r="AC1821">
        <f>ROUND(Mecze[[#This Row],[OD]]*Mecze[[#This Row],[%OU]],0)</f>
        <v>4</v>
      </c>
      <c r="AD1821" s="36" t="s">
        <v>167</v>
      </c>
      <c r="AE1821" s="36">
        <v>100</v>
      </c>
      <c r="AF1821" s="71">
        <v>10.5</v>
      </c>
      <c r="AG1821" s="37">
        <v>0</v>
      </c>
      <c r="AH1821" s="37">
        <v>0</v>
      </c>
      <c r="AI1821" s="37">
        <v>98</v>
      </c>
      <c r="AJ1821" s="37">
        <v>7</v>
      </c>
      <c r="AK1821" s="37" t="str">
        <f>VLOOKUP(Mecze[[#This Row],[Match ID]],Meczusie[Mecz]:Meczusie[RodzajMeczu],2,FALSE)</f>
        <v>Liga</v>
      </c>
    </row>
    <row r="1822" spans="1:37" x14ac:dyDescent="0.25">
      <c r="A1822" s="76">
        <v>151</v>
      </c>
      <c r="B1822" s="3" t="s">
        <v>337</v>
      </c>
      <c r="C1822" s="2" t="s">
        <v>160</v>
      </c>
      <c r="D1822" s="1">
        <v>0</v>
      </c>
      <c r="E1822" s="1">
        <v>0</v>
      </c>
      <c r="F1822" s="1">
        <v>0</v>
      </c>
      <c r="G1822" s="1">
        <v>17</v>
      </c>
      <c r="H1822" s="4">
        <v>0.59</v>
      </c>
      <c r="I1822" s="1">
        <v>2</v>
      </c>
      <c r="J1822" s="4">
        <v>0.5</v>
      </c>
      <c r="K1822" s="1">
        <v>0</v>
      </c>
      <c r="L1822" s="1">
        <v>7</v>
      </c>
      <c r="M1822" s="32">
        <f>IF(Mecze[[#This Row],[PR]]=0,0,Mecze[[#This Row],[PR]]/Mecze[[#This Row],[CZAS]])</f>
        <v>7.1428571428571425E-2</v>
      </c>
      <c r="N1822" s="32">
        <f>IF(Mecze[[#This Row],[OU]]=0,0,Mecze[[#This Row],[OU]]/Mecze[[#This Row],[CZAS]])</f>
        <v>1.020408163265306E-2</v>
      </c>
      <c r="O1822" s="32">
        <f>IF(Mecze[[#This Row],[PC]]=0,0,Mecze[[#This Row],[PC]]/Mecze[[#This Row],[CZAS]])</f>
        <v>0.10204081632653061</v>
      </c>
      <c r="P1822" s="32">
        <f>IF(Mecze[[#This Row],[SC]]=0,0,Mecze[[#This Row],[SC]]/Mecze[[#This Row],[CZAS]])</f>
        <v>0</v>
      </c>
      <c r="Q1822" s="32">
        <f>IF(Mecze[[#This Row],[OB]]=0,0,Mecze[[#This Row],[OB]]/Mecze[[#This Row],[CZAS]])</f>
        <v>0</v>
      </c>
      <c r="R1822" s="32">
        <f>IF(Mecze[[#This Row],[BR]]=0,0,Mecze[[#This Row],[BR]]/Mecze[[#This Row],[CZAS]])</f>
        <v>0</v>
      </c>
      <c r="S1822" s="44">
        <f>IF(Mecze[[#This Row],[Role]]="BR",SUMPRODUCT(Mecze[[#This Row],[/PR:90]:[/BR:90]],Brudnopis!$E$23:$J$23),0)</f>
        <v>0</v>
      </c>
      <c r="T1822" s="44">
        <f>IF(Mecze[[#This Row],[Role]]&lt;&gt;"BR",SUMPRODUCT(Mecze[[#This Row],[/PR:90]:[/BR:90]],Brudnopis!$E$24:$J$24),0)</f>
        <v>0.18877551020408162</v>
      </c>
      <c r="U1822" s="44">
        <f>IF(Mecze[[#This Row],[Role]]&lt;&gt;"BR",SUMPRODUCT(Mecze[[#This Row],[/PR:90]:[/BR:90]],Brudnopis!$E$25:$J$25),0)</f>
        <v>0.23469387755102039</v>
      </c>
      <c r="V1822" s="44">
        <f>IF(Mecze[[#This Row],[Role]]&lt;&gt;"BR",SUMPRODUCT(Mecze[[#This Row],[/PR:90]:[/BR:90]],Brudnopis!$E$26:$J$26),0)</f>
        <v>0.18367346938775508</v>
      </c>
      <c r="W1822" s="44">
        <f>IF(Mecze[[#This Row],[Role]]&lt;&gt;"BR",SUMPRODUCT(Mecze[[#This Row],[/PR:90]:[/BR:90]],Brudnopis!$E$27:$J$27),0)</f>
        <v>0.2142857142857143</v>
      </c>
      <c r="X1822" s="44">
        <f>IF(Mecze[[#This Row],[Role]]&lt;&gt;"BR",SUMPRODUCT(Mecze[[#This Row],[/PR:90]:[/BR:90]],Brudnopis!$E$28:$J$28),0)</f>
        <v>0.10204081632653061</v>
      </c>
      <c r="Y1822" s="35">
        <f>IF(Mecze[[#This Row],[Role]]="BR",Mecze[[#This Row],[/OB:90]]+Mecze[[#This Row],[/PC:90]],SUM(Mecze[[#This Row],[/PR:90]:[/BR:90]]))</f>
        <v>0.18367346938775508</v>
      </c>
      <c r="Z1822" s="35">
        <f>IF(Mecze[[#This Row],[KC]]=0,SUM(Mecze[[#This Row],[/BRI]:[/NPI]]),SUM(Mecze[[#This Row],[/BRI]:[/NPI]])*0.6)</f>
        <v>0.92346938775510201</v>
      </c>
      <c r="AA1822" s="10">
        <f>IFERROR(Mecze[[#This Row],[BR]]/Mecze[[#This Row],[ST]],0)</f>
        <v>0</v>
      </c>
      <c r="AB1822">
        <f>ROUND(Mecze[[#This Row],[PD]]*Mecze[[#This Row],[%PC]],0)</f>
        <v>10</v>
      </c>
      <c r="AC1822">
        <f>ROUND(Mecze[[#This Row],[OD]]*Mecze[[#This Row],[%OU]],0)</f>
        <v>1</v>
      </c>
      <c r="AD1822" s="36" t="s">
        <v>41</v>
      </c>
      <c r="AE1822" s="36">
        <v>100</v>
      </c>
      <c r="AF1822" s="71">
        <v>6.6</v>
      </c>
      <c r="AG1822" s="37">
        <v>0</v>
      </c>
      <c r="AH1822" s="37">
        <v>0</v>
      </c>
      <c r="AI1822" s="37">
        <v>98</v>
      </c>
      <c r="AJ1822" s="37">
        <v>7</v>
      </c>
      <c r="AK1822" s="37" t="str">
        <f>VLOOKUP(Mecze[[#This Row],[Match ID]],Meczusie[Mecz]:Meczusie[RodzajMeczu],2,FALSE)</f>
        <v>Liga</v>
      </c>
    </row>
    <row r="1823" spans="1:37" x14ac:dyDescent="0.25">
      <c r="A1823" s="76">
        <v>109</v>
      </c>
      <c r="B1823" s="3" t="s">
        <v>404</v>
      </c>
      <c r="C1823" s="2" t="s">
        <v>160</v>
      </c>
      <c r="D1823" s="1">
        <v>0</v>
      </c>
      <c r="E1823" s="1">
        <v>0</v>
      </c>
      <c r="F1823" s="1">
        <v>0</v>
      </c>
      <c r="G1823" s="1">
        <v>7</v>
      </c>
      <c r="H1823" s="4">
        <v>0.71</v>
      </c>
      <c r="I1823" s="1">
        <v>4</v>
      </c>
      <c r="J1823" s="4">
        <v>0.5</v>
      </c>
      <c r="K1823" s="1">
        <v>0</v>
      </c>
      <c r="L1823" s="1">
        <v>2</v>
      </c>
      <c r="M1823" s="32">
        <f>IF(Mecze[[#This Row],[PR]]=0,0,Mecze[[#This Row],[PR]]/Mecze[[#This Row],[CZAS]])</f>
        <v>2.0408163265306121E-2</v>
      </c>
      <c r="N1823" s="32">
        <f>IF(Mecze[[#This Row],[OU]]=0,0,Mecze[[#This Row],[OU]]/Mecze[[#This Row],[CZAS]])</f>
        <v>2.0408163265306121E-2</v>
      </c>
      <c r="O1823" s="32">
        <f>IF(Mecze[[#This Row],[PC]]=0,0,Mecze[[#This Row],[PC]]/Mecze[[#This Row],[CZAS]])</f>
        <v>5.1020408163265307E-2</v>
      </c>
      <c r="P1823" s="32">
        <f>IF(Mecze[[#This Row],[SC]]=0,0,Mecze[[#This Row],[SC]]/Mecze[[#This Row],[CZAS]])</f>
        <v>0</v>
      </c>
      <c r="Q1823" s="32">
        <f>IF(Mecze[[#This Row],[OB]]=0,0,Mecze[[#This Row],[OB]]/Mecze[[#This Row],[CZAS]])</f>
        <v>0</v>
      </c>
      <c r="R1823" s="32">
        <f>IF(Mecze[[#This Row],[BR]]=0,0,Mecze[[#This Row],[BR]]/Mecze[[#This Row],[CZAS]])</f>
        <v>0</v>
      </c>
      <c r="S1823" s="44">
        <f>IF(Mecze[[#This Row],[Role]]="BR",SUMPRODUCT(Mecze[[#This Row],[/PR:90]:[/BR:90]],Brudnopis!$E$23:$J$23),0)</f>
        <v>0</v>
      </c>
      <c r="T1823" s="44">
        <f>IF(Mecze[[#This Row],[Role]]&lt;&gt;"BR",SUMPRODUCT(Mecze[[#This Row],[/PR:90]:[/BR:90]],Brudnopis!$E$24:$J$24),0)</f>
        <v>0.10204081632653061</v>
      </c>
      <c r="U1823" s="44">
        <f>IF(Mecze[[#This Row],[Role]]&lt;&gt;"BR",SUMPRODUCT(Mecze[[#This Row],[/PR:90]:[/BR:90]],Brudnopis!$E$25:$J$25),0)</f>
        <v>0.1173469387755102</v>
      </c>
      <c r="V1823" s="44">
        <f>IF(Mecze[[#This Row],[Role]]&lt;&gt;"BR",SUMPRODUCT(Mecze[[#This Row],[/PR:90]:[/BR:90]],Brudnopis!$E$26:$J$26),0)</f>
        <v>9.1836734693877542E-2</v>
      </c>
      <c r="W1823" s="44">
        <f>IF(Mecze[[#This Row],[Role]]&lt;&gt;"BR",SUMPRODUCT(Mecze[[#This Row],[/PR:90]:[/BR:90]],Brudnopis!$E$27:$J$27),0)</f>
        <v>0.10714285714285715</v>
      </c>
      <c r="X1823" s="44">
        <f>IF(Mecze[[#This Row],[Role]]&lt;&gt;"BR",SUMPRODUCT(Mecze[[#This Row],[/PR:90]:[/BR:90]],Brudnopis!$E$28:$J$28),0)</f>
        <v>5.1020408163265307E-2</v>
      </c>
      <c r="Y1823" s="35">
        <f>IF(Mecze[[#This Row],[Role]]="BR",Mecze[[#This Row],[/OB:90]]+Mecze[[#This Row],[/PC:90]],SUM(Mecze[[#This Row],[/PR:90]:[/BR:90]]))</f>
        <v>9.1836734693877542E-2</v>
      </c>
      <c r="Z1823" s="35">
        <f>IF(Mecze[[#This Row],[KC]]=0,SUM(Mecze[[#This Row],[/BRI]:[/NPI]]),SUM(Mecze[[#This Row],[/BRI]:[/NPI]])*0.6)</f>
        <v>0.46938775510204078</v>
      </c>
      <c r="AA1823" s="10">
        <f>IFERROR(Mecze[[#This Row],[BR]]/Mecze[[#This Row],[ST]],0)</f>
        <v>0</v>
      </c>
      <c r="AB1823">
        <f>ROUND(Mecze[[#This Row],[PD]]*Mecze[[#This Row],[%PC]],0)</f>
        <v>5</v>
      </c>
      <c r="AC1823">
        <f>ROUND(Mecze[[#This Row],[OD]]*Mecze[[#This Row],[%OU]],0)</f>
        <v>2</v>
      </c>
      <c r="AD1823" s="36" t="s">
        <v>41</v>
      </c>
      <c r="AE1823" s="36">
        <v>100</v>
      </c>
      <c r="AF1823" s="71">
        <v>5.55</v>
      </c>
      <c r="AG1823" s="37">
        <v>0</v>
      </c>
      <c r="AH1823" s="37">
        <v>0</v>
      </c>
      <c r="AI1823" s="37">
        <v>98</v>
      </c>
      <c r="AJ1823" s="37">
        <v>7</v>
      </c>
      <c r="AK1823" s="37" t="str">
        <f>VLOOKUP(Mecze[[#This Row],[Match ID]],Meczusie[Mecz]:Meczusie[RodzajMeczu],2,FALSE)</f>
        <v>Liga</v>
      </c>
    </row>
    <row r="1824" spans="1:37" x14ac:dyDescent="0.25">
      <c r="A1824" s="76">
        <v>200</v>
      </c>
      <c r="B1824" s="3" t="s">
        <v>339</v>
      </c>
      <c r="C1824" s="2" t="s">
        <v>160</v>
      </c>
      <c r="D1824" s="1">
        <v>0</v>
      </c>
      <c r="E1824" s="1">
        <v>4</v>
      </c>
      <c r="F1824" s="1">
        <v>3</v>
      </c>
      <c r="G1824" s="1">
        <v>13</v>
      </c>
      <c r="H1824" s="4">
        <v>0.54</v>
      </c>
      <c r="I1824" s="1">
        <v>4</v>
      </c>
      <c r="J1824" s="4">
        <v>0.75</v>
      </c>
      <c r="K1824" s="1">
        <v>0</v>
      </c>
      <c r="L1824" s="1">
        <v>4</v>
      </c>
      <c r="M1824" s="32">
        <f>IF(Mecze[[#This Row],[PR]]=0,0,Mecze[[#This Row],[PR]]/Mecze[[#This Row],[CZAS]])</f>
        <v>4.0816326530612242E-2</v>
      </c>
      <c r="N1824" s="32">
        <f>IF(Mecze[[#This Row],[OU]]=0,0,Mecze[[#This Row],[OU]]/Mecze[[#This Row],[CZAS]])</f>
        <v>3.0612244897959183E-2</v>
      </c>
      <c r="O1824" s="32">
        <f>IF(Mecze[[#This Row],[PC]]=0,0,Mecze[[#This Row],[PC]]/Mecze[[#This Row],[CZAS]])</f>
        <v>7.1428571428571425E-2</v>
      </c>
      <c r="P1824" s="32">
        <f>IF(Mecze[[#This Row],[SC]]=0,0,Mecze[[#This Row],[SC]]/Mecze[[#This Row],[CZAS]])</f>
        <v>3.0612244897959183E-2</v>
      </c>
      <c r="Q1824" s="32">
        <f>IF(Mecze[[#This Row],[OB]]=0,0,Mecze[[#This Row],[OB]]/Mecze[[#This Row],[CZAS]])</f>
        <v>0</v>
      </c>
      <c r="R1824" s="32">
        <f>IF(Mecze[[#This Row],[BR]]=0,0,Mecze[[#This Row],[BR]]/Mecze[[#This Row],[CZAS]])</f>
        <v>0</v>
      </c>
      <c r="S1824" s="44">
        <f>IF(Mecze[[#This Row],[Role]]="BR",SUMPRODUCT(Mecze[[#This Row],[/PR:90]:[/BR:90]],Brudnopis!$E$23:$J$23),0)</f>
        <v>0</v>
      </c>
      <c r="T1824" s="44">
        <f>IF(Mecze[[#This Row],[Role]]&lt;&gt;"BR",SUMPRODUCT(Mecze[[#This Row],[/PR:90]:[/BR:90]],Brudnopis!$E$24:$J$24),0)</f>
        <v>0.18877551020408162</v>
      </c>
      <c r="U1824" s="44">
        <f>IF(Mecze[[#This Row],[Role]]&lt;&gt;"BR",SUMPRODUCT(Mecze[[#This Row],[/PR:90]:[/BR:90]],Brudnopis!$E$25:$J$25),0)</f>
        <v>0.20918367346938774</v>
      </c>
      <c r="V1824" s="44">
        <f>IF(Mecze[[#This Row],[Role]]&lt;&gt;"BR",SUMPRODUCT(Mecze[[#This Row],[/PR:90]:[/BR:90]],Brudnopis!$E$26:$J$26),0)</f>
        <v>0.17346938775510204</v>
      </c>
      <c r="W1824" s="44">
        <f>IF(Mecze[[#This Row],[Role]]&lt;&gt;"BR",SUMPRODUCT(Mecze[[#This Row],[/PR:90]:[/BR:90]],Brudnopis!$E$27:$J$27),0)</f>
        <v>0.19132653061224489</v>
      </c>
      <c r="X1824" s="44">
        <f>IF(Mecze[[#This Row],[Role]]&lt;&gt;"BR",SUMPRODUCT(Mecze[[#This Row],[/PR:90]:[/BR:90]],Brudnopis!$E$28:$J$28),0)</f>
        <v>0.13265306122448978</v>
      </c>
      <c r="Y1824" s="35">
        <f>IF(Mecze[[#This Row],[Role]]="BR",Mecze[[#This Row],[/OB:90]]+Mecze[[#This Row],[/PC:90]],SUM(Mecze[[#This Row],[/PR:90]:[/BR:90]]))</f>
        <v>0.17346938775510204</v>
      </c>
      <c r="Z1824" s="35">
        <f>IF(Mecze[[#This Row],[KC]]=0,SUM(Mecze[[#This Row],[/BRI]:[/NPI]]),SUM(Mecze[[#This Row],[/BRI]:[/NPI]])*0.6)</f>
        <v>0.89540816326530615</v>
      </c>
      <c r="AA1824" s="10">
        <f>IFERROR(Mecze[[#This Row],[BR]]/Mecze[[#This Row],[ST]],0)</f>
        <v>0</v>
      </c>
      <c r="AB1824">
        <f>ROUND(Mecze[[#This Row],[PD]]*Mecze[[#This Row],[%PC]],0)</f>
        <v>7</v>
      </c>
      <c r="AC1824">
        <f>ROUND(Mecze[[#This Row],[OD]]*Mecze[[#This Row],[%OU]],0)</f>
        <v>3</v>
      </c>
      <c r="AD1824" s="36" t="s">
        <v>67</v>
      </c>
      <c r="AE1824" s="36">
        <v>100</v>
      </c>
      <c r="AF1824" s="71">
        <v>6.66</v>
      </c>
      <c r="AG1824" s="37">
        <v>0</v>
      </c>
      <c r="AH1824" s="37">
        <v>0</v>
      </c>
      <c r="AI1824" s="37">
        <v>98</v>
      </c>
      <c r="AJ1824" s="37">
        <v>7</v>
      </c>
      <c r="AK1824" s="37" t="str">
        <f>VLOOKUP(Mecze[[#This Row],[Match ID]],Meczusie[Mecz]:Meczusie[RodzajMeczu],2,FALSE)</f>
        <v>Liga</v>
      </c>
    </row>
    <row r="1825" spans="1:37" x14ac:dyDescent="0.25">
      <c r="A1825" s="76">
        <v>202</v>
      </c>
      <c r="B1825" s="3" t="s">
        <v>340</v>
      </c>
      <c r="C1825" s="2" t="s">
        <v>160</v>
      </c>
      <c r="D1825" s="1">
        <v>0</v>
      </c>
      <c r="E1825" s="1">
        <v>0</v>
      </c>
      <c r="F1825" s="1">
        <v>0</v>
      </c>
      <c r="G1825" s="1">
        <v>2</v>
      </c>
      <c r="H1825" s="4">
        <v>0</v>
      </c>
      <c r="I1825" s="1">
        <v>3</v>
      </c>
      <c r="J1825" s="4">
        <v>0</v>
      </c>
      <c r="K1825" s="1">
        <v>0</v>
      </c>
      <c r="L1825" s="1">
        <v>1</v>
      </c>
      <c r="M1825" s="32">
        <f>IF(Mecze[[#This Row],[PR]]=0,0,Mecze[[#This Row],[PR]]/Mecze[[#This Row],[CZAS]])</f>
        <v>1.020408163265306E-2</v>
      </c>
      <c r="N1825" s="32">
        <f>IF(Mecze[[#This Row],[OU]]=0,0,Mecze[[#This Row],[OU]]/Mecze[[#This Row],[CZAS]])</f>
        <v>0</v>
      </c>
      <c r="O1825" s="32">
        <f>IF(Mecze[[#This Row],[PC]]=0,0,Mecze[[#This Row],[PC]]/Mecze[[#This Row],[CZAS]])</f>
        <v>0</v>
      </c>
      <c r="P1825" s="32">
        <f>IF(Mecze[[#This Row],[SC]]=0,0,Mecze[[#This Row],[SC]]/Mecze[[#This Row],[CZAS]])</f>
        <v>0</v>
      </c>
      <c r="Q1825" s="32">
        <f>IF(Mecze[[#This Row],[OB]]=0,0,Mecze[[#This Row],[OB]]/Mecze[[#This Row],[CZAS]])</f>
        <v>0</v>
      </c>
      <c r="R1825" s="32">
        <f>IF(Mecze[[#This Row],[BR]]=0,0,Mecze[[#This Row],[BR]]/Mecze[[#This Row],[CZAS]])</f>
        <v>0</v>
      </c>
      <c r="S1825" s="44">
        <f>IF(Mecze[[#This Row],[Role]]="BR",SUMPRODUCT(Mecze[[#This Row],[/PR:90]:[/BR:90]],Brudnopis!$E$23:$J$23),0)</f>
        <v>0</v>
      </c>
      <c r="T1825" s="44">
        <f>IF(Mecze[[#This Row],[Role]]&lt;&gt;"BR",SUMPRODUCT(Mecze[[#This Row],[/PR:90]:[/BR:90]],Brudnopis!$E$24:$J$24),0)</f>
        <v>1.020408163265306E-2</v>
      </c>
      <c r="U1825" s="44">
        <f>IF(Mecze[[#This Row],[Role]]&lt;&gt;"BR",SUMPRODUCT(Mecze[[#This Row],[/PR:90]:[/BR:90]],Brudnopis!$E$25:$J$25),0)</f>
        <v>1.020408163265306E-2</v>
      </c>
      <c r="V1825" s="44">
        <f>IF(Mecze[[#This Row],[Role]]&lt;&gt;"BR",SUMPRODUCT(Mecze[[#This Row],[/PR:90]:[/BR:90]],Brudnopis!$E$26:$J$26),0)</f>
        <v>1.020408163265306E-2</v>
      </c>
      <c r="W1825" s="44">
        <f>IF(Mecze[[#This Row],[Role]]&lt;&gt;"BR",SUMPRODUCT(Mecze[[#This Row],[/PR:90]:[/BR:90]],Brudnopis!$E$27:$J$27),0)</f>
        <v>7.6530612244897957E-3</v>
      </c>
      <c r="X1825" s="44">
        <f>IF(Mecze[[#This Row],[Role]]&lt;&gt;"BR",SUMPRODUCT(Mecze[[#This Row],[/PR:90]:[/BR:90]],Brudnopis!$E$28:$J$28),0)</f>
        <v>0</v>
      </c>
      <c r="Y1825" s="35">
        <f>IF(Mecze[[#This Row],[Role]]="BR",Mecze[[#This Row],[/OB:90]]+Mecze[[#This Row],[/PC:90]],SUM(Mecze[[#This Row],[/PR:90]:[/BR:90]]))</f>
        <v>1.020408163265306E-2</v>
      </c>
      <c r="Z1825" s="35">
        <f>IF(Mecze[[#This Row],[KC]]=0,SUM(Mecze[[#This Row],[/BRI]:[/NPI]]),SUM(Mecze[[#This Row],[/BRI]:[/NPI]])*0.6)</f>
        <v>3.826530612244898E-2</v>
      </c>
      <c r="AA1825" s="10">
        <f>IFERROR(Mecze[[#This Row],[BR]]/Mecze[[#This Row],[ST]],0)</f>
        <v>0</v>
      </c>
      <c r="AB1825">
        <f>ROUND(Mecze[[#This Row],[PD]]*Mecze[[#This Row],[%PC]],0)</f>
        <v>0</v>
      </c>
      <c r="AC1825">
        <f>ROUND(Mecze[[#This Row],[OD]]*Mecze[[#This Row],[%OU]],0)</f>
        <v>0</v>
      </c>
      <c r="AD1825" s="36" t="s">
        <v>299</v>
      </c>
      <c r="AE1825" s="36">
        <v>100</v>
      </c>
      <c r="AF1825" s="71">
        <v>4.13</v>
      </c>
      <c r="AG1825" s="37">
        <v>0</v>
      </c>
      <c r="AH1825" s="37">
        <v>0</v>
      </c>
      <c r="AI1825" s="37">
        <v>98</v>
      </c>
      <c r="AJ1825" s="37">
        <v>7</v>
      </c>
      <c r="AK1825" s="37" t="str">
        <f>VLOOKUP(Mecze[[#This Row],[Match ID]],Meczusie[Mecz]:Meczusie[RodzajMeczu],2,FALSE)</f>
        <v>Liga</v>
      </c>
    </row>
    <row r="1826" spans="1:37" x14ac:dyDescent="0.25">
      <c r="A1826" s="76">
        <v>101</v>
      </c>
      <c r="B1826" s="3" t="s">
        <v>444</v>
      </c>
      <c r="C1826" s="2" t="s">
        <v>160</v>
      </c>
      <c r="D1826" s="1">
        <v>0</v>
      </c>
      <c r="E1826" s="1">
        <v>0</v>
      </c>
      <c r="F1826" s="1">
        <v>0</v>
      </c>
      <c r="G1826" s="1">
        <v>19</v>
      </c>
      <c r="H1826" s="4">
        <v>0.74</v>
      </c>
      <c r="I1826" s="1">
        <v>0</v>
      </c>
      <c r="J1826" s="4"/>
      <c r="K1826" s="1">
        <v>0</v>
      </c>
      <c r="L1826" s="1">
        <v>0</v>
      </c>
      <c r="M1826" s="32">
        <f>IF(Mecze[[#This Row],[PR]]=0,0,Mecze[[#This Row],[PR]]/Mecze[[#This Row],[CZAS]])</f>
        <v>0</v>
      </c>
      <c r="N1826" s="32">
        <f>IF(Mecze[[#This Row],[OU]]=0,0,Mecze[[#This Row],[OU]]/Mecze[[#This Row],[CZAS]])</f>
        <v>0</v>
      </c>
      <c r="O1826" s="32">
        <f>IF(Mecze[[#This Row],[PC]]=0,0,Mecze[[#This Row],[PC]]/Mecze[[#This Row],[CZAS]])</f>
        <v>0.14285714285714285</v>
      </c>
      <c r="P1826" s="32">
        <f>IF(Mecze[[#This Row],[SC]]=0,0,Mecze[[#This Row],[SC]]/Mecze[[#This Row],[CZAS]])</f>
        <v>0</v>
      </c>
      <c r="Q1826" s="32">
        <f>IF(Mecze[[#This Row],[OB]]=0,0,Mecze[[#This Row],[OB]]/Mecze[[#This Row],[CZAS]])</f>
        <v>0</v>
      </c>
      <c r="R1826" s="32">
        <f>IF(Mecze[[#This Row],[BR]]=0,0,Mecze[[#This Row],[BR]]/Mecze[[#This Row],[CZAS]])</f>
        <v>0</v>
      </c>
      <c r="S1826" s="44">
        <f>IF(Mecze[[#This Row],[Role]]="BR",SUMPRODUCT(Mecze[[#This Row],[/PR:90]:[/BR:90]],Brudnopis!$E$23:$J$23),0)</f>
        <v>0</v>
      </c>
      <c r="T1826" s="44">
        <f>IF(Mecze[[#This Row],[Role]]&lt;&gt;"BR",SUMPRODUCT(Mecze[[#This Row],[/PR:90]:[/BR:90]],Brudnopis!$E$24:$J$24),0)</f>
        <v>0.14285714285714285</v>
      </c>
      <c r="U1826" s="44">
        <f>IF(Mecze[[#This Row],[Role]]&lt;&gt;"BR",SUMPRODUCT(Mecze[[#This Row],[/PR:90]:[/BR:90]],Brudnopis!$E$25:$J$25),0)</f>
        <v>0.21428571428571427</v>
      </c>
      <c r="V1826" s="44">
        <f>IF(Mecze[[#This Row],[Role]]&lt;&gt;"BR",SUMPRODUCT(Mecze[[#This Row],[/PR:90]:[/BR:90]],Brudnopis!$E$26:$J$26),0)</f>
        <v>0.14285714285714285</v>
      </c>
      <c r="W1826" s="44">
        <f>IF(Mecze[[#This Row],[Role]]&lt;&gt;"BR",SUMPRODUCT(Mecze[[#This Row],[/PR:90]:[/BR:90]],Brudnopis!$E$27:$J$27),0)</f>
        <v>0.21428571428571427</v>
      </c>
      <c r="X1826" s="44">
        <f>IF(Mecze[[#This Row],[Role]]&lt;&gt;"BR",SUMPRODUCT(Mecze[[#This Row],[/PR:90]:[/BR:90]],Brudnopis!$E$28:$J$28),0)</f>
        <v>0.14285714285714285</v>
      </c>
      <c r="Y1826" s="35">
        <f>IF(Mecze[[#This Row],[Role]]="BR",Mecze[[#This Row],[/OB:90]]+Mecze[[#This Row],[/PC:90]],SUM(Mecze[[#This Row],[/PR:90]:[/BR:90]]))</f>
        <v>0.14285714285714285</v>
      </c>
      <c r="Z1826" s="35">
        <f>IF(Mecze[[#This Row],[KC]]=0,SUM(Mecze[[#This Row],[/BRI]:[/NPI]]),SUM(Mecze[[#This Row],[/BRI]:[/NPI]])*0.6)</f>
        <v>0.85714285714285698</v>
      </c>
      <c r="AA1826" s="10">
        <f>IFERROR(Mecze[[#This Row],[BR]]/Mecze[[#This Row],[ST]],0)</f>
        <v>0</v>
      </c>
      <c r="AB1826">
        <f>ROUND(Mecze[[#This Row],[PD]]*Mecze[[#This Row],[%PC]],0)</f>
        <v>14</v>
      </c>
      <c r="AC1826">
        <f>ROUND(Mecze[[#This Row],[OD]]*Mecze[[#This Row],[%OU]],0)</f>
        <v>0</v>
      </c>
      <c r="AD1826" s="36" t="s">
        <v>44</v>
      </c>
      <c r="AE1826" s="36">
        <v>100</v>
      </c>
      <c r="AF1826" s="71">
        <v>5.13</v>
      </c>
      <c r="AG1826" s="37">
        <v>0</v>
      </c>
      <c r="AH1826" s="37">
        <v>0</v>
      </c>
      <c r="AI1826" s="37">
        <v>98</v>
      </c>
      <c r="AJ1826" s="37">
        <v>7</v>
      </c>
      <c r="AK1826" s="37" t="str">
        <f>VLOOKUP(Mecze[[#This Row],[Match ID]],Meczusie[Mecz]:Meczusie[RodzajMeczu],2,FALSE)</f>
        <v>Liga</v>
      </c>
    </row>
    <row r="1827" spans="1:37" x14ac:dyDescent="0.25">
      <c r="A1827" s="76">
        <v>203</v>
      </c>
      <c r="B1827" s="3" t="s">
        <v>342</v>
      </c>
      <c r="C1827" s="2" t="s">
        <v>165</v>
      </c>
      <c r="D1827" s="1">
        <v>4</v>
      </c>
      <c r="E1827" s="1">
        <v>14</v>
      </c>
      <c r="F1827" s="1">
        <v>13</v>
      </c>
      <c r="G1827" s="1">
        <v>5</v>
      </c>
      <c r="H1827" s="4">
        <v>0.6</v>
      </c>
      <c r="I1827" s="1">
        <v>2</v>
      </c>
      <c r="J1827" s="4">
        <v>0.5</v>
      </c>
      <c r="K1827" s="1">
        <v>0</v>
      </c>
      <c r="L1827" s="1">
        <v>2</v>
      </c>
      <c r="M1827" s="32">
        <f>IF(Mecze[[#This Row],[PR]]=0,0,Mecze[[#This Row],[PR]]/Mecze[[#This Row],[CZAS]])</f>
        <v>2.0408163265306121E-2</v>
      </c>
      <c r="N1827" s="32">
        <f>IF(Mecze[[#This Row],[OU]]=0,0,Mecze[[#This Row],[OU]]/Mecze[[#This Row],[CZAS]])</f>
        <v>1.020408163265306E-2</v>
      </c>
      <c r="O1827" s="32">
        <f>IF(Mecze[[#This Row],[PC]]=0,0,Mecze[[#This Row],[PC]]/Mecze[[#This Row],[CZAS]])</f>
        <v>3.0612244897959183E-2</v>
      </c>
      <c r="P1827" s="32">
        <f>IF(Mecze[[#This Row],[SC]]=0,0,Mecze[[#This Row],[SC]]/Mecze[[#This Row],[CZAS]])</f>
        <v>0.1326530612244898</v>
      </c>
      <c r="Q1827" s="32">
        <f>IF(Mecze[[#This Row],[OB]]=0,0,Mecze[[#This Row],[OB]]/Mecze[[#This Row],[CZAS]])</f>
        <v>0</v>
      </c>
      <c r="R1827" s="32">
        <f>IF(Mecze[[#This Row],[BR]]=0,0,Mecze[[#This Row],[BR]]/Mecze[[#This Row],[CZAS]])</f>
        <v>4.0816326530612242E-2</v>
      </c>
      <c r="S1827" s="44">
        <f>IF(Mecze[[#This Row],[Role]]="BR",SUMPRODUCT(Mecze[[#This Row],[/PR:90]:[/BR:90]],Brudnopis!$E$23:$J$23),0)</f>
        <v>0</v>
      </c>
      <c r="T1827" s="44">
        <f>IF(Mecze[[#This Row],[Role]]&lt;&gt;"BR",SUMPRODUCT(Mecze[[#This Row],[/PR:90]:[/BR:90]],Brudnopis!$E$24:$J$24),0)</f>
        <v>0.26020408163265307</v>
      </c>
      <c r="U1827" s="44">
        <f>IF(Mecze[[#This Row],[Role]]&lt;&gt;"BR",SUMPRODUCT(Mecze[[#This Row],[/PR:90]:[/BR:90]],Brudnopis!$E$25:$J$25),0)</f>
        <v>0.27040816326530615</v>
      </c>
      <c r="V1827" s="44">
        <f>IF(Mecze[[#This Row],[Role]]&lt;&gt;"BR",SUMPRODUCT(Mecze[[#This Row],[/PR:90]:[/BR:90]],Brudnopis!$E$26:$J$26),0)</f>
        <v>0.27551020408163263</v>
      </c>
      <c r="W1827" s="44">
        <f>IF(Mecze[[#This Row],[Role]]&lt;&gt;"BR",SUMPRODUCT(Mecze[[#This Row],[/PR:90]:[/BR:90]],Brudnopis!$E$27:$J$27),0)</f>
        <v>0.28316326530612246</v>
      </c>
      <c r="X1827" s="44">
        <f>IF(Mecze[[#This Row],[Role]]&lt;&gt;"BR",SUMPRODUCT(Mecze[[#This Row],[/PR:90]:[/BR:90]],Brudnopis!$E$28:$J$28),0)</f>
        <v>0.41836734693877553</v>
      </c>
      <c r="Y1827" s="35">
        <f>IF(Mecze[[#This Row],[Role]]="BR",Mecze[[#This Row],[/OB:90]]+Mecze[[#This Row],[/PC:90]],SUM(Mecze[[#This Row],[/PR:90]:[/BR:90]]))</f>
        <v>0.23469387755102039</v>
      </c>
      <c r="Z1827" s="35">
        <f>IF(Mecze[[#This Row],[KC]]=0,SUM(Mecze[[#This Row],[/BRI]:[/NPI]]),SUM(Mecze[[#This Row],[/BRI]:[/NPI]])*0.6)</f>
        <v>1.5076530612244898</v>
      </c>
      <c r="AA1827" s="10">
        <f>IFERROR(Mecze[[#This Row],[BR]]/Mecze[[#This Row],[ST]],0)</f>
        <v>0.2857142857142857</v>
      </c>
      <c r="AB1827">
        <f>ROUND(Mecze[[#This Row],[PD]]*Mecze[[#This Row],[%PC]],0)</f>
        <v>3</v>
      </c>
      <c r="AC1827">
        <f>ROUND(Mecze[[#This Row],[OD]]*Mecze[[#This Row],[%OU]],0)</f>
        <v>1</v>
      </c>
      <c r="AD1827" s="36" t="s">
        <v>46</v>
      </c>
      <c r="AE1827" s="36">
        <v>100</v>
      </c>
      <c r="AF1827" s="71">
        <v>17.32</v>
      </c>
      <c r="AG1827" s="37">
        <v>0</v>
      </c>
      <c r="AH1827" s="37">
        <v>0</v>
      </c>
      <c r="AI1827" s="37">
        <v>98</v>
      </c>
      <c r="AJ1827" s="37">
        <v>7</v>
      </c>
      <c r="AK1827" s="37" t="str">
        <f>VLOOKUP(Mecze[[#This Row],[Match ID]],Meczusie[Mecz]:Meczusie[RodzajMeczu],2,FALSE)</f>
        <v>Liga</v>
      </c>
    </row>
    <row r="1828" spans="1:37" x14ac:dyDescent="0.25">
      <c r="A1828" s="76">
        <v>104</v>
      </c>
      <c r="B1828" s="3" t="s">
        <v>343</v>
      </c>
      <c r="C1828" s="2" t="s">
        <v>165</v>
      </c>
      <c r="D1828" s="1">
        <v>0</v>
      </c>
      <c r="E1828" s="1">
        <v>0</v>
      </c>
      <c r="F1828" s="1">
        <v>0</v>
      </c>
      <c r="G1828" s="1">
        <v>14</v>
      </c>
      <c r="H1828" s="4">
        <v>0.79</v>
      </c>
      <c r="I1828" s="1">
        <v>7</v>
      </c>
      <c r="J1828" s="4">
        <v>0.43</v>
      </c>
      <c r="K1828" s="1">
        <v>0</v>
      </c>
      <c r="L1828" s="1">
        <v>0</v>
      </c>
      <c r="M1828" s="32">
        <f>IF(Mecze[[#This Row],[PR]]=0,0,Mecze[[#This Row],[PR]]/Mecze[[#This Row],[CZAS]])</f>
        <v>0</v>
      </c>
      <c r="N1828" s="32">
        <f>IF(Mecze[[#This Row],[OU]]=0,0,Mecze[[#This Row],[OU]]/Mecze[[#This Row],[CZAS]])</f>
        <v>3.0612244897959183E-2</v>
      </c>
      <c r="O1828" s="32">
        <f>IF(Mecze[[#This Row],[PC]]=0,0,Mecze[[#This Row],[PC]]/Mecze[[#This Row],[CZAS]])</f>
        <v>0.11224489795918367</v>
      </c>
      <c r="P1828" s="32">
        <f>IF(Mecze[[#This Row],[SC]]=0,0,Mecze[[#This Row],[SC]]/Mecze[[#This Row],[CZAS]])</f>
        <v>0</v>
      </c>
      <c r="Q1828" s="32">
        <f>IF(Mecze[[#This Row],[OB]]=0,0,Mecze[[#This Row],[OB]]/Mecze[[#This Row],[CZAS]])</f>
        <v>0</v>
      </c>
      <c r="R1828" s="32">
        <f>IF(Mecze[[#This Row],[BR]]=0,0,Mecze[[#This Row],[BR]]/Mecze[[#This Row],[CZAS]])</f>
        <v>0</v>
      </c>
      <c r="S1828" s="44">
        <f>IF(Mecze[[#This Row],[Role]]="BR",SUMPRODUCT(Mecze[[#This Row],[/PR:90]:[/BR:90]],Brudnopis!$E$23:$J$23),0)</f>
        <v>0</v>
      </c>
      <c r="T1828" s="44">
        <f>IF(Mecze[[#This Row],[Role]]&lt;&gt;"BR",SUMPRODUCT(Mecze[[#This Row],[/PR:90]:[/BR:90]],Brudnopis!$E$24:$J$24),0)</f>
        <v>0.15816326530612246</v>
      </c>
      <c r="U1828" s="44">
        <f>IF(Mecze[[#This Row],[Role]]&lt;&gt;"BR",SUMPRODUCT(Mecze[[#This Row],[/PR:90]:[/BR:90]],Brudnopis!$E$25:$J$25),0)</f>
        <v>0.19897959183673469</v>
      </c>
      <c r="V1828" s="44">
        <f>IF(Mecze[[#This Row],[Role]]&lt;&gt;"BR",SUMPRODUCT(Mecze[[#This Row],[/PR:90]:[/BR:90]],Brudnopis!$E$26:$J$26),0)</f>
        <v>0.14285714285714285</v>
      </c>
      <c r="W1828" s="44">
        <f>IF(Mecze[[#This Row],[Role]]&lt;&gt;"BR",SUMPRODUCT(Mecze[[#This Row],[/PR:90]:[/BR:90]],Brudnopis!$E$27:$J$27),0)</f>
        <v>0.19132653061224489</v>
      </c>
      <c r="X1828" s="44">
        <f>IF(Mecze[[#This Row],[Role]]&lt;&gt;"BR",SUMPRODUCT(Mecze[[#This Row],[/PR:90]:[/BR:90]],Brudnopis!$E$28:$J$28),0)</f>
        <v>0.11224489795918367</v>
      </c>
      <c r="Y1828" s="35">
        <f>IF(Mecze[[#This Row],[Role]]="BR",Mecze[[#This Row],[/OB:90]]+Mecze[[#This Row],[/PC:90]],SUM(Mecze[[#This Row],[/PR:90]:[/BR:90]]))</f>
        <v>0.14285714285714285</v>
      </c>
      <c r="Z1828" s="35">
        <f>IF(Mecze[[#This Row],[KC]]=0,SUM(Mecze[[#This Row],[/BRI]:[/NPI]]),SUM(Mecze[[#This Row],[/BRI]:[/NPI]])*0.6)</f>
        <v>0.8035714285714286</v>
      </c>
      <c r="AA1828" s="10">
        <f>IFERROR(Mecze[[#This Row],[BR]]/Mecze[[#This Row],[ST]],0)</f>
        <v>0</v>
      </c>
      <c r="AB1828">
        <f>ROUND(Mecze[[#This Row],[PD]]*Mecze[[#This Row],[%PC]],0)</f>
        <v>11</v>
      </c>
      <c r="AC1828">
        <f>ROUND(Mecze[[#This Row],[OD]]*Mecze[[#This Row],[%OU]],0)</f>
        <v>3</v>
      </c>
      <c r="AD1828" s="36" t="s">
        <v>355</v>
      </c>
      <c r="AE1828" s="36">
        <v>100</v>
      </c>
      <c r="AF1828" s="71">
        <v>5.26</v>
      </c>
      <c r="AG1828" s="37">
        <v>0</v>
      </c>
      <c r="AH1828" s="37">
        <v>0</v>
      </c>
      <c r="AI1828" s="37">
        <v>98</v>
      </c>
      <c r="AJ1828" s="37">
        <v>7</v>
      </c>
      <c r="AK1828" s="37" t="str">
        <f>VLOOKUP(Mecze[[#This Row],[Match ID]],Meczusie[Mecz]:Meczusie[RodzajMeczu],2,FALSE)</f>
        <v>Liga</v>
      </c>
    </row>
    <row r="1829" spans="1:37" x14ac:dyDescent="0.25">
      <c r="A1829" s="76">
        <v>1</v>
      </c>
      <c r="B1829" s="3" t="s">
        <v>304</v>
      </c>
      <c r="C1829" s="2" t="s">
        <v>155</v>
      </c>
      <c r="D1829" s="1">
        <v>0</v>
      </c>
      <c r="E1829" s="1">
        <v>0</v>
      </c>
      <c r="F1829" s="1">
        <v>0</v>
      </c>
      <c r="G1829" s="1">
        <v>12</v>
      </c>
      <c r="H1829" s="4">
        <v>0.25</v>
      </c>
      <c r="I1829" s="1">
        <v>0</v>
      </c>
      <c r="J1829" s="4"/>
      <c r="K1829" s="1">
        <v>12</v>
      </c>
      <c r="L1829" s="1">
        <v>0</v>
      </c>
      <c r="M1829" s="32">
        <f>IF(Mecze[[#This Row],[PR]]=0,0,Mecze[[#This Row],[PR]]/Mecze[[#This Row],[CZAS]])</f>
        <v>0</v>
      </c>
      <c r="N1829" s="32">
        <f>IF(Mecze[[#This Row],[OU]]=0,0,Mecze[[#This Row],[OU]]/Mecze[[#This Row],[CZAS]])</f>
        <v>0</v>
      </c>
      <c r="O1829" s="32">
        <f>IF(Mecze[[#This Row],[PC]]=0,0,Mecze[[#This Row],[PC]]/Mecze[[#This Row],[CZAS]])</f>
        <v>3.0612244897959183E-2</v>
      </c>
      <c r="P1829" s="32">
        <f>IF(Mecze[[#This Row],[SC]]=0,0,Mecze[[#This Row],[SC]]/Mecze[[#This Row],[CZAS]])</f>
        <v>0</v>
      </c>
      <c r="Q1829" s="32">
        <f>IF(Mecze[[#This Row],[OB]]=0,0,Mecze[[#This Row],[OB]]/Mecze[[#This Row],[CZAS]])</f>
        <v>0.12244897959183673</v>
      </c>
      <c r="R1829" s="32">
        <f>IF(Mecze[[#This Row],[BR]]=0,0,Mecze[[#This Row],[BR]]/Mecze[[#This Row],[CZAS]])</f>
        <v>0</v>
      </c>
      <c r="S1829" s="44">
        <f>IF(Mecze[[#This Row],[Role]]="BR",SUMPRODUCT(Mecze[[#This Row],[/PR:90]:[/BR:90]],Brudnopis!$E$23:$J$23),0)</f>
        <v>0.45918367346938771</v>
      </c>
      <c r="T1829" s="44">
        <f>IF(Mecze[[#This Row],[Role]]&lt;&gt;"BR",SUMPRODUCT(Mecze[[#This Row],[/PR:90]:[/BR:90]],Brudnopis!$E$24:$J$24),0)</f>
        <v>0</v>
      </c>
      <c r="U1829" s="44">
        <f>IF(Mecze[[#This Row],[Role]]&lt;&gt;"BR",SUMPRODUCT(Mecze[[#This Row],[/PR:90]:[/BR:90]],Brudnopis!$E$25:$J$25),0)</f>
        <v>0</v>
      </c>
      <c r="V1829" s="44">
        <f>IF(Mecze[[#This Row],[Role]]&lt;&gt;"BR",SUMPRODUCT(Mecze[[#This Row],[/PR:90]:[/BR:90]],Brudnopis!$E$26:$J$26),0)</f>
        <v>0</v>
      </c>
      <c r="W1829" s="44">
        <f>IF(Mecze[[#This Row],[Role]]&lt;&gt;"BR",SUMPRODUCT(Mecze[[#This Row],[/PR:90]:[/BR:90]],Brudnopis!$E$27:$J$27),0)</f>
        <v>0</v>
      </c>
      <c r="X1829" s="44">
        <f>IF(Mecze[[#This Row],[Role]]&lt;&gt;"BR",SUMPRODUCT(Mecze[[#This Row],[/PR:90]:[/BR:90]],Brudnopis!$E$28:$J$28),0)</f>
        <v>0</v>
      </c>
      <c r="Y1829" s="35">
        <f>IF(Mecze[[#This Row],[Role]]="BR",Mecze[[#This Row],[/OB:90]]+Mecze[[#This Row],[/PC:90]],SUM(Mecze[[#This Row],[/PR:90]:[/BR:90]]))</f>
        <v>0.15306122448979592</v>
      </c>
      <c r="Z1829" s="35">
        <f>IF(Mecze[[#This Row],[KC]]=0,SUM(Mecze[[#This Row],[/BRI]:[/NPI]]),SUM(Mecze[[#This Row],[/BRI]:[/NPI]])*0.6)</f>
        <v>0.45918367346938771</v>
      </c>
      <c r="AA1829" s="10">
        <f>IFERROR(Mecze[[#This Row],[BR]]/Mecze[[#This Row],[ST]],0)</f>
        <v>0</v>
      </c>
      <c r="AB1829">
        <f>ROUND(Mecze[[#This Row],[PD]]*Mecze[[#This Row],[%PC]],0)</f>
        <v>3</v>
      </c>
      <c r="AC1829">
        <f>ROUND(Mecze[[#This Row],[OD]]*Mecze[[#This Row],[%OU]],0)</f>
        <v>0</v>
      </c>
      <c r="AD1829" s="36" t="s">
        <v>40</v>
      </c>
      <c r="AE1829" s="36">
        <v>100</v>
      </c>
      <c r="AF1829" s="71">
        <v>4.78</v>
      </c>
      <c r="AG1829" s="37">
        <v>0</v>
      </c>
      <c r="AH1829" s="37">
        <v>0</v>
      </c>
      <c r="AI1829" s="37">
        <v>98</v>
      </c>
      <c r="AJ1829" s="37">
        <v>8</v>
      </c>
      <c r="AK1829" s="37" t="str">
        <f>VLOOKUP(Mecze[[#This Row],[Match ID]],Meczusie[Mecz]:Meczusie[RodzajMeczu],2,FALSE)</f>
        <v>Liga</v>
      </c>
    </row>
    <row r="1830" spans="1:37" x14ac:dyDescent="0.25">
      <c r="A1830" s="76">
        <v>5</v>
      </c>
      <c r="B1830" s="3" t="s">
        <v>305</v>
      </c>
      <c r="C1830" s="2" t="s">
        <v>157</v>
      </c>
      <c r="D1830" s="1">
        <v>0</v>
      </c>
      <c r="E1830" s="1">
        <v>0</v>
      </c>
      <c r="F1830" s="1">
        <v>0</v>
      </c>
      <c r="G1830" s="1">
        <v>8</v>
      </c>
      <c r="H1830" s="4">
        <v>0.5</v>
      </c>
      <c r="I1830" s="1">
        <v>6</v>
      </c>
      <c r="J1830" s="4">
        <v>0.67</v>
      </c>
      <c r="K1830" s="1">
        <v>0</v>
      </c>
      <c r="L1830" s="1">
        <v>3</v>
      </c>
      <c r="M1830" s="32">
        <f>IF(Mecze[[#This Row],[PR]]=0,0,Mecze[[#This Row],[PR]]/Mecze[[#This Row],[CZAS]])</f>
        <v>3.0612244897959183E-2</v>
      </c>
      <c r="N1830" s="32">
        <f>IF(Mecze[[#This Row],[OU]]=0,0,Mecze[[#This Row],[OU]]/Mecze[[#This Row],[CZAS]])</f>
        <v>4.0816326530612242E-2</v>
      </c>
      <c r="O1830" s="32">
        <f>IF(Mecze[[#This Row],[PC]]=0,0,Mecze[[#This Row],[PC]]/Mecze[[#This Row],[CZAS]])</f>
        <v>4.0816326530612242E-2</v>
      </c>
      <c r="P1830" s="32">
        <f>IF(Mecze[[#This Row],[SC]]=0,0,Mecze[[#This Row],[SC]]/Mecze[[#This Row],[CZAS]])</f>
        <v>0</v>
      </c>
      <c r="Q1830" s="32">
        <f>IF(Mecze[[#This Row],[OB]]=0,0,Mecze[[#This Row],[OB]]/Mecze[[#This Row],[CZAS]])</f>
        <v>0</v>
      </c>
      <c r="R1830" s="32">
        <f>IF(Mecze[[#This Row],[BR]]=0,0,Mecze[[#This Row],[BR]]/Mecze[[#This Row],[CZAS]])</f>
        <v>0</v>
      </c>
      <c r="S1830" s="44">
        <f>IF(Mecze[[#This Row],[Role]]="BR",SUMPRODUCT(Mecze[[#This Row],[/PR:90]:[/BR:90]],Brudnopis!$E$23:$J$23),0)</f>
        <v>0</v>
      </c>
      <c r="T1830" s="44">
        <f>IF(Mecze[[#This Row],[Role]]&lt;&gt;"BR",SUMPRODUCT(Mecze[[#This Row],[/PR:90]:[/BR:90]],Brudnopis!$E$24:$J$24),0)</f>
        <v>0.13265306122448978</v>
      </c>
      <c r="U1830" s="44">
        <f>IF(Mecze[[#This Row],[Role]]&lt;&gt;"BR",SUMPRODUCT(Mecze[[#This Row],[/PR:90]:[/BR:90]],Brudnopis!$E$25:$J$25),0)</f>
        <v>0.13265306122448978</v>
      </c>
      <c r="V1830" s="44">
        <f>IF(Mecze[[#This Row],[Role]]&lt;&gt;"BR",SUMPRODUCT(Mecze[[#This Row],[/PR:90]:[/BR:90]],Brudnopis!$E$26:$J$26),0)</f>
        <v>0.11224489795918366</v>
      </c>
      <c r="W1830" s="44">
        <f>IF(Mecze[[#This Row],[Role]]&lt;&gt;"BR",SUMPRODUCT(Mecze[[#This Row],[/PR:90]:[/BR:90]],Brudnopis!$E$27:$J$27),0)</f>
        <v>0.11479591836734693</v>
      </c>
      <c r="X1830" s="44">
        <f>IF(Mecze[[#This Row],[Role]]&lt;&gt;"BR",SUMPRODUCT(Mecze[[#This Row],[/PR:90]:[/BR:90]],Brudnopis!$E$28:$J$28),0)</f>
        <v>4.0816326530612242E-2</v>
      </c>
      <c r="Y1830" s="35">
        <f>IF(Mecze[[#This Row],[Role]]="BR",Mecze[[#This Row],[/OB:90]]+Mecze[[#This Row],[/PC:90]],SUM(Mecze[[#This Row],[/PR:90]:[/BR:90]]))</f>
        <v>0.11224489795918366</v>
      </c>
      <c r="Z1830" s="35">
        <f>IF(Mecze[[#This Row],[KC]]=0,SUM(Mecze[[#This Row],[/BRI]:[/NPI]]),SUM(Mecze[[#This Row],[/BRI]:[/NPI]])*0.6)</f>
        <v>0.53316326530612246</v>
      </c>
      <c r="AA1830" s="10">
        <f>IFERROR(Mecze[[#This Row],[BR]]/Mecze[[#This Row],[ST]],0)</f>
        <v>0</v>
      </c>
      <c r="AB1830">
        <f>ROUND(Mecze[[#This Row],[PD]]*Mecze[[#This Row],[%PC]],0)</f>
        <v>4</v>
      </c>
      <c r="AC1830">
        <f>ROUND(Mecze[[#This Row],[OD]]*Mecze[[#This Row],[%OU]],0)</f>
        <v>4</v>
      </c>
      <c r="AD1830" s="36" t="s">
        <v>47</v>
      </c>
      <c r="AE1830" s="36">
        <v>100</v>
      </c>
      <c r="AF1830" s="71">
        <v>2.33</v>
      </c>
      <c r="AG1830" s="37">
        <v>0</v>
      </c>
      <c r="AH1830" s="37">
        <v>0</v>
      </c>
      <c r="AI1830" s="37">
        <v>98</v>
      </c>
      <c r="AJ1830" s="37">
        <v>8</v>
      </c>
      <c r="AK1830" s="37" t="str">
        <f>VLOOKUP(Mecze[[#This Row],[Match ID]],Meczusie[Mecz]:Meczusie[RodzajMeczu],2,FALSE)</f>
        <v>Liga</v>
      </c>
    </row>
    <row r="1831" spans="1:37" x14ac:dyDescent="0.25">
      <c r="A1831" s="76">
        <v>6</v>
      </c>
      <c r="B1831" s="3" t="s">
        <v>308</v>
      </c>
      <c r="C1831" s="2" t="s">
        <v>157</v>
      </c>
      <c r="D1831" s="1">
        <v>0</v>
      </c>
      <c r="E1831" s="1">
        <v>0</v>
      </c>
      <c r="F1831" s="1">
        <v>0</v>
      </c>
      <c r="G1831" s="1">
        <v>1</v>
      </c>
      <c r="H1831" s="4">
        <v>0</v>
      </c>
      <c r="I1831" s="1">
        <v>5</v>
      </c>
      <c r="J1831" s="4">
        <v>0.4</v>
      </c>
      <c r="K1831" s="1">
        <v>0</v>
      </c>
      <c r="L1831" s="1">
        <v>2</v>
      </c>
      <c r="M1831" s="32">
        <f>IF(Mecze[[#This Row],[PR]]=0,0,Mecze[[#This Row],[PR]]/Mecze[[#This Row],[CZAS]])</f>
        <v>2.7777777777777776E-2</v>
      </c>
      <c r="N1831" s="32">
        <f>IF(Mecze[[#This Row],[OU]]=0,0,Mecze[[#This Row],[OU]]/Mecze[[#This Row],[CZAS]])</f>
        <v>2.7777777777777776E-2</v>
      </c>
      <c r="O1831" s="32">
        <f>IF(Mecze[[#This Row],[PC]]=0,0,Mecze[[#This Row],[PC]]/Mecze[[#This Row],[CZAS]])</f>
        <v>0</v>
      </c>
      <c r="P1831" s="32">
        <f>IF(Mecze[[#This Row],[SC]]=0,0,Mecze[[#This Row],[SC]]/Mecze[[#This Row],[CZAS]])</f>
        <v>0</v>
      </c>
      <c r="Q1831" s="32">
        <f>IF(Mecze[[#This Row],[OB]]=0,0,Mecze[[#This Row],[OB]]/Mecze[[#This Row],[CZAS]])</f>
        <v>0</v>
      </c>
      <c r="R1831" s="32">
        <f>IF(Mecze[[#This Row],[BR]]=0,0,Mecze[[#This Row],[BR]]/Mecze[[#This Row],[CZAS]])</f>
        <v>0</v>
      </c>
      <c r="S1831" s="44">
        <f>IF(Mecze[[#This Row],[Role]]="BR",SUMPRODUCT(Mecze[[#This Row],[/PR:90]:[/BR:90]],Brudnopis!$E$23:$J$23),0)</f>
        <v>0</v>
      </c>
      <c r="T1831" s="44">
        <f>IF(Mecze[[#This Row],[Role]]&lt;&gt;"BR",SUMPRODUCT(Mecze[[#This Row],[/PR:90]:[/BR:90]],Brudnopis!$E$24:$J$24),0)</f>
        <v>6.9444444444444448E-2</v>
      </c>
      <c r="U1831" s="44">
        <f>IF(Mecze[[#This Row],[Role]]&lt;&gt;"BR",SUMPRODUCT(Mecze[[#This Row],[/PR:90]:[/BR:90]],Brudnopis!$E$25:$J$25),0)</f>
        <v>5.5555555555555552E-2</v>
      </c>
      <c r="V1831" s="44">
        <f>IF(Mecze[[#This Row],[Role]]&lt;&gt;"BR",SUMPRODUCT(Mecze[[#This Row],[/PR:90]:[/BR:90]],Brudnopis!$E$26:$J$26),0)</f>
        <v>5.5555555555555552E-2</v>
      </c>
      <c r="W1831" s="44">
        <f>IF(Mecze[[#This Row],[Role]]&lt;&gt;"BR",SUMPRODUCT(Mecze[[#This Row],[/PR:90]:[/BR:90]],Brudnopis!$E$27:$J$27),0)</f>
        <v>4.1666666666666664E-2</v>
      </c>
      <c r="X1831" s="44">
        <f>IF(Mecze[[#This Row],[Role]]&lt;&gt;"BR",SUMPRODUCT(Mecze[[#This Row],[/PR:90]:[/BR:90]],Brudnopis!$E$28:$J$28),0)</f>
        <v>0</v>
      </c>
      <c r="Y1831" s="35">
        <f>IF(Mecze[[#This Row],[Role]]="BR",Mecze[[#This Row],[/OB:90]]+Mecze[[#This Row],[/PC:90]],SUM(Mecze[[#This Row],[/PR:90]:[/BR:90]]))</f>
        <v>5.5555555555555552E-2</v>
      </c>
      <c r="Z1831" s="35">
        <f>IF(Mecze[[#This Row],[KC]]=0,SUM(Mecze[[#This Row],[/BRI]:[/NPI]]),SUM(Mecze[[#This Row],[/BRI]:[/NPI]])*0.6)</f>
        <v>0.22222222222222221</v>
      </c>
      <c r="AA1831" s="10">
        <f>IFERROR(Mecze[[#This Row],[BR]]/Mecze[[#This Row],[ST]],0)</f>
        <v>0</v>
      </c>
      <c r="AB1831">
        <f>ROUND(Mecze[[#This Row],[PD]]*Mecze[[#This Row],[%PC]],0)</f>
        <v>0</v>
      </c>
      <c r="AC1831">
        <f>ROUND(Mecze[[#This Row],[OD]]*Mecze[[#This Row],[%OU]],0)</f>
        <v>2</v>
      </c>
      <c r="AD1831" s="36" t="s">
        <v>167</v>
      </c>
      <c r="AE1831" s="36">
        <v>100</v>
      </c>
      <c r="AF1831" s="71">
        <v>1</v>
      </c>
      <c r="AG1831" s="37">
        <v>0</v>
      </c>
      <c r="AH1831" s="37">
        <v>0</v>
      </c>
      <c r="AI1831" s="37">
        <v>72</v>
      </c>
      <c r="AJ1831" s="37">
        <v>8</v>
      </c>
      <c r="AK1831" s="37" t="str">
        <f>VLOOKUP(Mecze[[#This Row],[Match ID]],Meczusie[Mecz]:Meczusie[RodzajMeczu],2,FALSE)</f>
        <v>Liga</v>
      </c>
    </row>
    <row r="1832" spans="1:37" x14ac:dyDescent="0.25">
      <c r="A1832" s="76">
        <v>73</v>
      </c>
      <c r="B1832" s="3" t="s">
        <v>431</v>
      </c>
      <c r="C1832" s="2" t="s">
        <v>157</v>
      </c>
      <c r="D1832" s="1">
        <v>0</v>
      </c>
      <c r="E1832" s="1">
        <v>0</v>
      </c>
      <c r="F1832" s="1">
        <v>0</v>
      </c>
      <c r="G1832" s="1">
        <v>7</v>
      </c>
      <c r="H1832" s="4">
        <v>0.43</v>
      </c>
      <c r="I1832" s="1">
        <v>2</v>
      </c>
      <c r="J1832" s="4">
        <v>0.5</v>
      </c>
      <c r="K1832" s="1">
        <v>0</v>
      </c>
      <c r="L1832" s="1">
        <v>7</v>
      </c>
      <c r="M1832" s="32">
        <f>IF(Mecze[[#This Row],[PR]]=0,0,Mecze[[#This Row],[PR]]/Mecze[[#This Row],[CZAS]])</f>
        <v>7.1428571428571425E-2</v>
      </c>
      <c r="N1832" s="32">
        <f>IF(Mecze[[#This Row],[OU]]=0,0,Mecze[[#This Row],[OU]]/Mecze[[#This Row],[CZAS]])</f>
        <v>1.020408163265306E-2</v>
      </c>
      <c r="O1832" s="32">
        <f>IF(Mecze[[#This Row],[PC]]=0,0,Mecze[[#This Row],[PC]]/Mecze[[#This Row],[CZAS]])</f>
        <v>3.0612244897959183E-2</v>
      </c>
      <c r="P1832" s="32">
        <f>IF(Mecze[[#This Row],[SC]]=0,0,Mecze[[#This Row],[SC]]/Mecze[[#This Row],[CZAS]])</f>
        <v>0</v>
      </c>
      <c r="Q1832" s="32">
        <f>IF(Mecze[[#This Row],[OB]]=0,0,Mecze[[#This Row],[OB]]/Mecze[[#This Row],[CZAS]])</f>
        <v>0</v>
      </c>
      <c r="R1832" s="32">
        <f>IF(Mecze[[#This Row],[BR]]=0,0,Mecze[[#This Row],[BR]]/Mecze[[#This Row],[CZAS]])</f>
        <v>0</v>
      </c>
      <c r="S1832" s="44">
        <f>IF(Mecze[[#This Row],[Role]]="BR",SUMPRODUCT(Mecze[[#This Row],[/PR:90]:[/BR:90]],Brudnopis!$E$23:$J$23),0)</f>
        <v>0</v>
      </c>
      <c r="T1832" s="44">
        <f>IF(Mecze[[#This Row],[Role]]&lt;&gt;"BR",SUMPRODUCT(Mecze[[#This Row],[/PR:90]:[/BR:90]],Brudnopis!$E$24:$J$24),0)</f>
        <v>0.1173469387755102</v>
      </c>
      <c r="U1832" s="44">
        <f>IF(Mecze[[#This Row],[Role]]&lt;&gt;"BR",SUMPRODUCT(Mecze[[#This Row],[/PR:90]:[/BR:90]],Brudnopis!$E$25:$J$25),0)</f>
        <v>0.12755102040816324</v>
      </c>
      <c r="V1832" s="44">
        <f>IF(Mecze[[#This Row],[Role]]&lt;&gt;"BR",SUMPRODUCT(Mecze[[#This Row],[/PR:90]:[/BR:90]],Brudnopis!$E$26:$J$26),0)</f>
        <v>0.11224489795918366</v>
      </c>
      <c r="W1832" s="44">
        <f>IF(Mecze[[#This Row],[Role]]&lt;&gt;"BR",SUMPRODUCT(Mecze[[#This Row],[/PR:90]:[/BR:90]],Brudnopis!$E$27:$J$27),0)</f>
        <v>0.10714285714285714</v>
      </c>
      <c r="X1832" s="44">
        <f>IF(Mecze[[#This Row],[Role]]&lt;&gt;"BR",SUMPRODUCT(Mecze[[#This Row],[/PR:90]:[/BR:90]],Brudnopis!$E$28:$J$28),0)</f>
        <v>3.0612244897959183E-2</v>
      </c>
      <c r="Y1832" s="35">
        <f>IF(Mecze[[#This Row],[Role]]="BR",Mecze[[#This Row],[/OB:90]]+Mecze[[#This Row],[/PC:90]],SUM(Mecze[[#This Row],[/PR:90]:[/BR:90]]))</f>
        <v>0.11224489795918366</v>
      </c>
      <c r="Z1832" s="35">
        <f>IF(Mecze[[#This Row],[KC]]=0,SUM(Mecze[[#This Row],[/BRI]:[/NPI]]),SUM(Mecze[[#This Row],[/BRI]:[/NPI]])*0.6)</f>
        <v>0.49489795918367341</v>
      </c>
      <c r="AA1832" s="10">
        <f>IFERROR(Mecze[[#This Row],[BR]]/Mecze[[#This Row],[ST]],0)</f>
        <v>0</v>
      </c>
      <c r="AB1832">
        <f>ROUND(Mecze[[#This Row],[PD]]*Mecze[[#This Row],[%PC]],0)</f>
        <v>3</v>
      </c>
      <c r="AC1832">
        <f>ROUND(Mecze[[#This Row],[OD]]*Mecze[[#This Row],[%OU]],0)</f>
        <v>1</v>
      </c>
      <c r="AD1832" s="36" t="s">
        <v>168</v>
      </c>
      <c r="AE1832" s="36">
        <v>100</v>
      </c>
      <c r="AF1832" s="71">
        <v>2.0499999999999998</v>
      </c>
      <c r="AG1832" s="37">
        <v>0</v>
      </c>
      <c r="AH1832" s="37">
        <v>0</v>
      </c>
      <c r="AI1832" s="37">
        <v>98</v>
      </c>
      <c r="AJ1832" s="37">
        <v>8</v>
      </c>
      <c r="AK1832" s="37" t="str">
        <f>VLOOKUP(Mecze[[#This Row],[Match ID]],Meczusie[Mecz]:Meczusie[RodzajMeczu],2,FALSE)</f>
        <v>Liga</v>
      </c>
    </row>
    <row r="1833" spans="1:37" x14ac:dyDescent="0.25">
      <c r="A1833" s="76">
        <v>23</v>
      </c>
      <c r="B1833" s="3" t="s">
        <v>306</v>
      </c>
      <c r="C1833" s="2" t="s">
        <v>157</v>
      </c>
      <c r="D1833" s="1">
        <v>0</v>
      </c>
      <c r="E1833" s="1">
        <v>0</v>
      </c>
      <c r="F1833" s="1">
        <v>0</v>
      </c>
      <c r="G1833" s="1">
        <v>5</v>
      </c>
      <c r="H1833" s="4">
        <v>0.6</v>
      </c>
      <c r="I1833" s="1">
        <v>0</v>
      </c>
      <c r="J1833" s="4"/>
      <c r="K1833" s="1">
        <v>0</v>
      </c>
      <c r="L1833" s="1">
        <v>3</v>
      </c>
      <c r="M1833" s="32">
        <f>IF(Mecze[[#This Row],[PR]]=0,0,Mecze[[#This Row],[PR]]/Mecze[[#This Row],[CZAS]])</f>
        <v>3.0612244897959183E-2</v>
      </c>
      <c r="N1833" s="32">
        <f>IF(Mecze[[#This Row],[OU]]=0,0,Mecze[[#This Row],[OU]]/Mecze[[#This Row],[CZAS]])</f>
        <v>0</v>
      </c>
      <c r="O1833" s="32">
        <f>IF(Mecze[[#This Row],[PC]]=0,0,Mecze[[#This Row],[PC]]/Mecze[[#This Row],[CZAS]])</f>
        <v>3.0612244897959183E-2</v>
      </c>
      <c r="P1833" s="32">
        <f>IF(Mecze[[#This Row],[SC]]=0,0,Mecze[[#This Row],[SC]]/Mecze[[#This Row],[CZAS]])</f>
        <v>0</v>
      </c>
      <c r="Q1833" s="32">
        <f>IF(Mecze[[#This Row],[OB]]=0,0,Mecze[[#This Row],[OB]]/Mecze[[#This Row],[CZAS]])</f>
        <v>0</v>
      </c>
      <c r="R1833" s="32">
        <f>IF(Mecze[[#This Row],[BR]]=0,0,Mecze[[#This Row],[BR]]/Mecze[[#This Row],[CZAS]])</f>
        <v>0</v>
      </c>
      <c r="S1833" s="44">
        <f>IF(Mecze[[#This Row],[Role]]="BR",SUMPRODUCT(Mecze[[#This Row],[/PR:90]:[/BR:90]],Brudnopis!$E$23:$J$23),0)</f>
        <v>0</v>
      </c>
      <c r="T1833" s="44">
        <f>IF(Mecze[[#This Row],[Role]]&lt;&gt;"BR",SUMPRODUCT(Mecze[[#This Row],[/PR:90]:[/BR:90]],Brudnopis!$E$24:$J$24),0)</f>
        <v>6.1224489795918366E-2</v>
      </c>
      <c r="U1833" s="44">
        <f>IF(Mecze[[#This Row],[Role]]&lt;&gt;"BR",SUMPRODUCT(Mecze[[#This Row],[/PR:90]:[/BR:90]],Brudnopis!$E$25:$J$25),0)</f>
        <v>7.6530612244897961E-2</v>
      </c>
      <c r="V1833" s="44">
        <f>IF(Mecze[[#This Row],[Role]]&lt;&gt;"BR",SUMPRODUCT(Mecze[[#This Row],[/PR:90]:[/BR:90]],Brudnopis!$E$26:$J$26),0)</f>
        <v>6.1224489795918366E-2</v>
      </c>
      <c r="W1833" s="44">
        <f>IF(Mecze[[#This Row],[Role]]&lt;&gt;"BR",SUMPRODUCT(Mecze[[#This Row],[/PR:90]:[/BR:90]],Brudnopis!$E$27:$J$27),0)</f>
        <v>6.8877551020408156E-2</v>
      </c>
      <c r="X1833" s="44">
        <f>IF(Mecze[[#This Row],[Role]]&lt;&gt;"BR",SUMPRODUCT(Mecze[[#This Row],[/PR:90]:[/BR:90]],Brudnopis!$E$28:$J$28),0)</f>
        <v>3.0612244897959183E-2</v>
      </c>
      <c r="Y1833" s="35">
        <f>IF(Mecze[[#This Row],[Role]]="BR",Mecze[[#This Row],[/OB:90]]+Mecze[[#This Row],[/PC:90]],SUM(Mecze[[#This Row],[/PR:90]:[/BR:90]]))</f>
        <v>6.1224489795918366E-2</v>
      </c>
      <c r="Z1833" s="35">
        <f>IF(Mecze[[#This Row],[KC]]=0,SUM(Mecze[[#This Row],[/BRI]:[/NPI]]),SUM(Mecze[[#This Row],[/BRI]:[/NPI]])*0.6)</f>
        <v>0.29846938775510201</v>
      </c>
      <c r="AA1833" s="10">
        <f>IFERROR(Mecze[[#This Row],[BR]]/Mecze[[#This Row],[ST]],0)</f>
        <v>0</v>
      </c>
      <c r="AB1833">
        <f>ROUND(Mecze[[#This Row],[PD]]*Mecze[[#This Row],[%PC]],0)</f>
        <v>3</v>
      </c>
      <c r="AC1833">
        <f>ROUND(Mecze[[#This Row],[OD]]*Mecze[[#This Row],[%OU]],0)</f>
        <v>0</v>
      </c>
      <c r="AD1833" s="36" t="s">
        <v>175</v>
      </c>
      <c r="AE1833" s="36">
        <v>100</v>
      </c>
      <c r="AF1833" s="71">
        <v>1.21</v>
      </c>
      <c r="AG1833" s="37">
        <v>0</v>
      </c>
      <c r="AH1833" s="37">
        <v>0</v>
      </c>
      <c r="AI1833" s="37">
        <v>98</v>
      </c>
      <c r="AJ1833" s="37">
        <v>8</v>
      </c>
      <c r="AK1833" s="37" t="str">
        <f>VLOOKUP(Mecze[[#This Row],[Match ID]],Meczusie[Mecz]:Meczusie[RodzajMeczu],2,FALSE)</f>
        <v>Liga</v>
      </c>
    </row>
    <row r="1834" spans="1:37" x14ac:dyDescent="0.25">
      <c r="A1834" s="76">
        <v>2</v>
      </c>
      <c r="B1834" s="3" t="s">
        <v>307</v>
      </c>
      <c r="C1834" s="2" t="s">
        <v>157</v>
      </c>
      <c r="D1834" s="1">
        <v>0</v>
      </c>
      <c r="E1834" s="1">
        <v>0</v>
      </c>
      <c r="F1834" s="1">
        <v>0</v>
      </c>
      <c r="G1834" s="1">
        <v>20</v>
      </c>
      <c r="H1834" s="4">
        <v>0.15</v>
      </c>
      <c r="I1834" s="1">
        <v>22</v>
      </c>
      <c r="J1834" s="4">
        <v>0.55000000000000004</v>
      </c>
      <c r="K1834" s="1">
        <v>0</v>
      </c>
      <c r="L1834" s="1">
        <v>16</v>
      </c>
      <c r="M1834" s="32">
        <f>IF(Mecze[[#This Row],[PR]]=0,0,Mecze[[#This Row],[PR]]/Mecze[[#This Row],[CZAS]])</f>
        <v>0.16326530612244897</v>
      </c>
      <c r="N1834" s="32">
        <f>IF(Mecze[[#This Row],[OU]]=0,0,Mecze[[#This Row],[OU]]/Mecze[[#This Row],[CZAS]])</f>
        <v>0.12244897959183673</v>
      </c>
      <c r="O1834" s="32">
        <f>IF(Mecze[[#This Row],[PC]]=0,0,Mecze[[#This Row],[PC]]/Mecze[[#This Row],[CZAS]])</f>
        <v>3.0612244897959183E-2</v>
      </c>
      <c r="P1834" s="32">
        <f>IF(Mecze[[#This Row],[SC]]=0,0,Mecze[[#This Row],[SC]]/Mecze[[#This Row],[CZAS]])</f>
        <v>0</v>
      </c>
      <c r="Q1834" s="32">
        <f>IF(Mecze[[#This Row],[OB]]=0,0,Mecze[[#This Row],[OB]]/Mecze[[#This Row],[CZAS]])</f>
        <v>0</v>
      </c>
      <c r="R1834" s="32">
        <f>IF(Mecze[[#This Row],[BR]]=0,0,Mecze[[#This Row],[BR]]/Mecze[[#This Row],[CZAS]])</f>
        <v>0</v>
      </c>
      <c r="S1834" s="44">
        <f>IF(Mecze[[#This Row],[Role]]="BR",SUMPRODUCT(Mecze[[#This Row],[/PR:90]:[/BR:90]],Brudnopis!$E$23:$J$23),0)</f>
        <v>0</v>
      </c>
      <c r="T1834" s="44">
        <f>IF(Mecze[[#This Row],[Role]]&lt;&gt;"BR",SUMPRODUCT(Mecze[[#This Row],[/PR:90]:[/BR:90]],Brudnopis!$E$24:$J$24),0)</f>
        <v>0.37755102040816318</v>
      </c>
      <c r="U1834" s="44">
        <f>IF(Mecze[[#This Row],[Role]]&lt;&gt;"BR",SUMPRODUCT(Mecze[[#This Row],[/PR:90]:[/BR:90]],Brudnopis!$E$25:$J$25),0)</f>
        <v>0.33163265306122447</v>
      </c>
      <c r="V1834" s="44">
        <f>IF(Mecze[[#This Row],[Role]]&lt;&gt;"BR",SUMPRODUCT(Mecze[[#This Row],[/PR:90]:[/BR:90]],Brudnopis!$E$26:$J$26),0)</f>
        <v>0.31632653061224486</v>
      </c>
      <c r="W1834" s="44">
        <f>IF(Mecze[[#This Row],[Role]]&lt;&gt;"BR",SUMPRODUCT(Mecze[[#This Row],[/PR:90]:[/BR:90]],Brudnopis!$E$27:$J$27),0)</f>
        <v>0.26020408163265307</v>
      </c>
      <c r="X1834" s="44">
        <f>IF(Mecze[[#This Row],[Role]]&lt;&gt;"BR",SUMPRODUCT(Mecze[[#This Row],[/PR:90]:[/BR:90]],Brudnopis!$E$28:$J$28),0)</f>
        <v>3.0612244897959183E-2</v>
      </c>
      <c r="Y1834" s="35">
        <f>IF(Mecze[[#This Row],[Role]]="BR",Mecze[[#This Row],[/OB:90]]+Mecze[[#This Row],[/PC:90]],SUM(Mecze[[#This Row],[/PR:90]:[/BR:90]]))</f>
        <v>0.31632653061224486</v>
      </c>
      <c r="Z1834" s="35">
        <f>IF(Mecze[[#This Row],[KC]]=0,SUM(Mecze[[#This Row],[/BRI]:[/NPI]]),SUM(Mecze[[#This Row],[/BRI]:[/NPI]])*0.6)</f>
        <v>1.3163265306122447</v>
      </c>
      <c r="AA1834" s="10">
        <f>IFERROR(Mecze[[#This Row],[BR]]/Mecze[[#This Row],[ST]],0)</f>
        <v>0</v>
      </c>
      <c r="AB1834">
        <f>ROUND(Mecze[[#This Row],[PD]]*Mecze[[#This Row],[%PC]],0)</f>
        <v>3</v>
      </c>
      <c r="AC1834">
        <f>ROUND(Mecze[[#This Row],[OD]]*Mecze[[#This Row],[%OU]],0)</f>
        <v>12</v>
      </c>
      <c r="AD1834" s="36" t="s">
        <v>174</v>
      </c>
      <c r="AE1834" s="36">
        <v>100</v>
      </c>
      <c r="AF1834" s="71">
        <v>5.0599999999999996</v>
      </c>
      <c r="AG1834" s="37">
        <v>0</v>
      </c>
      <c r="AH1834" s="37">
        <v>0</v>
      </c>
      <c r="AI1834" s="37">
        <v>98</v>
      </c>
      <c r="AJ1834" s="37">
        <v>8</v>
      </c>
      <c r="AK1834" s="37" t="str">
        <f>VLOOKUP(Mecze[[#This Row],[Match ID]],Meczusie[Mecz]:Meczusie[RodzajMeczu],2,FALSE)</f>
        <v>Liga</v>
      </c>
    </row>
    <row r="1835" spans="1:37" x14ac:dyDescent="0.25">
      <c r="A1835" s="76">
        <v>16</v>
      </c>
      <c r="B1835" s="3" t="s">
        <v>309</v>
      </c>
      <c r="C1835" s="2" t="s">
        <v>160</v>
      </c>
      <c r="D1835" s="1">
        <v>0</v>
      </c>
      <c r="E1835" s="1">
        <v>0</v>
      </c>
      <c r="F1835" s="1">
        <v>0</v>
      </c>
      <c r="G1835" s="1">
        <v>8</v>
      </c>
      <c r="H1835" s="4">
        <v>0.25</v>
      </c>
      <c r="I1835" s="1">
        <v>1</v>
      </c>
      <c r="J1835" s="4">
        <v>0</v>
      </c>
      <c r="K1835" s="1">
        <v>0</v>
      </c>
      <c r="L1835" s="1">
        <v>0</v>
      </c>
      <c r="M1835" s="32">
        <f>IF(Mecze[[#This Row],[PR]]=0,0,Mecze[[#This Row],[PR]]/Mecze[[#This Row],[CZAS]])</f>
        <v>0</v>
      </c>
      <c r="N1835" s="32">
        <f>IF(Mecze[[#This Row],[OU]]=0,0,Mecze[[#This Row],[OU]]/Mecze[[#This Row],[CZAS]])</f>
        <v>0</v>
      </c>
      <c r="O1835" s="32">
        <f>IF(Mecze[[#This Row],[PC]]=0,0,Mecze[[#This Row],[PC]]/Mecze[[#This Row],[CZAS]])</f>
        <v>2.0408163265306121E-2</v>
      </c>
      <c r="P1835" s="32">
        <f>IF(Mecze[[#This Row],[SC]]=0,0,Mecze[[#This Row],[SC]]/Mecze[[#This Row],[CZAS]])</f>
        <v>0</v>
      </c>
      <c r="Q1835" s="32">
        <f>IF(Mecze[[#This Row],[OB]]=0,0,Mecze[[#This Row],[OB]]/Mecze[[#This Row],[CZAS]])</f>
        <v>0</v>
      </c>
      <c r="R1835" s="32">
        <f>IF(Mecze[[#This Row],[BR]]=0,0,Mecze[[#This Row],[BR]]/Mecze[[#This Row],[CZAS]])</f>
        <v>0</v>
      </c>
      <c r="S1835" s="44">
        <f>IF(Mecze[[#This Row],[Role]]="BR",SUMPRODUCT(Mecze[[#This Row],[/PR:90]:[/BR:90]],Brudnopis!$E$23:$J$23),0)</f>
        <v>0</v>
      </c>
      <c r="T1835" s="44">
        <f>IF(Mecze[[#This Row],[Role]]&lt;&gt;"BR",SUMPRODUCT(Mecze[[#This Row],[/PR:90]:[/BR:90]],Brudnopis!$E$24:$J$24),0)</f>
        <v>2.0408163265306121E-2</v>
      </c>
      <c r="U1835" s="44">
        <f>IF(Mecze[[#This Row],[Role]]&lt;&gt;"BR",SUMPRODUCT(Mecze[[#This Row],[/PR:90]:[/BR:90]],Brudnopis!$E$25:$J$25),0)</f>
        <v>3.0612244897959183E-2</v>
      </c>
      <c r="V1835" s="44">
        <f>IF(Mecze[[#This Row],[Role]]&lt;&gt;"BR",SUMPRODUCT(Mecze[[#This Row],[/PR:90]:[/BR:90]],Brudnopis!$E$26:$J$26),0)</f>
        <v>2.0408163265306121E-2</v>
      </c>
      <c r="W1835" s="44">
        <f>IF(Mecze[[#This Row],[Role]]&lt;&gt;"BR",SUMPRODUCT(Mecze[[#This Row],[/PR:90]:[/BR:90]],Brudnopis!$E$27:$J$27),0)</f>
        <v>3.0612244897959183E-2</v>
      </c>
      <c r="X1835" s="44">
        <f>IF(Mecze[[#This Row],[Role]]&lt;&gt;"BR",SUMPRODUCT(Mecze[[#This Row],[/PR:90]:[/BR:90]],Brudnopis!$E$28:$J$28),0)</f>
        <v>2.0408163265306121E-2</v>
      </c>
      <c r="Y1835" s="35">
        <f>IF(Mecze[[#This Row],[Role]]="BR",Mecze[[#This Row],[/OB:90]]+Mecze[[#This Row],[/PC:90]],SUM(Mecze[[#This Row],[/PR:90]:[/BR:90]]))</f>
        <v>2.0408163265306121E-2</v>
      </c>
      <c r="Z1835" s="35">
        <f>IF(Mecze[[#This Row],[KC]]=0,SUM(Mecze[[#This Row],[/BRI]:[/NPI]]),SUM(Mecze[[#This Row],[/BRI]:[/NPI]])*0.6)</f>
        <v>0.12244897959183673</v>
      </c>
      <c r="AA1835" s="10">
        <f>IFERROR(Mecze[[#This Row],[BR]]/Mecze[[#This Row],[ST]],0)</f>
        <v>0</v>
      </c>
      <c r="AB1835">
        <f>ROUND(Mecze[[#This Row],[PD]]*Mecze[[#This Row],[%PC]],0)</f>
        <v>2</v>
      </c>
      <c r="AC1835">
        <f>ROUND(Mecze[[#This Row],[OD]]*Mecze[[#This Row],[%OU]],0)</f>
        <v>0</v>
      </c>
      <c r="AD1835" s="36" t="s">
        <v>67</v>
      </c>
      <c r="AE1835" s="36">
        <v>100</v>
      </c>
      <c r="AF1835" s="71">
        <v>2.7</v>
      </c>
      <c r="AG1835" s="37">
        <v>0</v>
      </c>
      <c r="AH1835" s="37">
        <v>0</v>
      </c>
      <c r="AI1835" s="37">
        <v>98</v>
      </c>
      <c r="AJ1835" s="37">
        <v>8</v>
      </c>
      <c r="AK1835" s="37" t="str">
        <f>VLOOKUP(Mecze[[#This Row],[Match ID]],Meczusie[Mecz]:Meczusie[RodzajMeczu],2,FALSE)</f>
        <v>Liga</v>
      </c>
    </row>
    <row r="1836" spans="1:37" x14ac:dyDescent="0.25">
      <c r="A1836" s="76">
        <v>14</v>
      </c>
      <c r="B1836" s="3" t="s">
        <v>312</v>
      </c>
      <c r="C1836" s="2" t="s">
        <v>160</v>
      </c>
      <c r="D1836" s="1">
        <v>0</v>
      </c>
      <c r="E1836" s="1">
        <v>0</v>
      </c>
      <c r="F1836" s="1">
        <v>0</v>
      </c>
      <c r="G1836" s="1">
        <v>12</v>
      </c>
      <c r="H1836" s="4">
        <v>0.5</v>
      </c>
      <c r="I1836" s="1">
        <v>6</v>
      </c>
      <c r="J1836" s="4">
        <v>0.83</v>
      </c>
      <c r="K1836" s="1">
        <v>0</v>
      </c>
      <c r="L1836" s="1">
        <v>0</v>
      </c>
      <c r="M1836" s="32">
        <f>IF(Mecze[[#This Row],[PR]]=0,0,Mecze[[#This Row],[PR]]/Mecze[[#This Row],[CZAS]])</f>
        <v>0</v>
      </c>
      <c r="N1836" s="32">
        <f>IF(Mecze[[#This Row],[OU]]=0,0,Mecze[[#This Row],[OU]]/Mecze[[#This Row],[CZAS]])</f>
        <v>6.1728395061728392E-2</v>
      </c>
      <c r="O1836" s="32">
        <f>IF(Mecze[[#This Row],[PC]]=0,0,Mecze[[#This Row],[PC]]/Mecze[[#This Row],[CZAS]])</f>
        <v>7.407407407407407E-2</v>
      </c>
      <c r="P1836" s="32">
        <f>IF(Mecze[[#This Row],[SC]]=0,0,Mecze[[#This Row],[SC]]/Mecze[[#This Row],[CZAS]])</f>
        <v>0</v>
      </c>
      <c r="Q1836" s="32">
        <f>IF(Mecze[[#This Row],[OB]]=0,0,Mecze[[#This Row],[OB]]/Mecze[[#This Row],[CZAS]])</f>
        <v>0</v>
      </c>
      <c r="R1836" s="32">
        <f>IF(Mecze[[#This Row],[BR]]=0,0,Mecze[[#This Row],[BR]]/Mecze[[#This Row],[CZAS]])</f>
        <v>0</v>
      </c>
      <c r="S1836" s="44">
        <f>IF(Mecze[[#This Row],[Role]]="BR",SUMPRODUCT(Mecze[[#This Row],[/PR:90]:[/BR:90]],Brudnopis!$E$23:$J$23),0)</f>
        <v>0</v>
      </c>
      <c r="T1836" s="44">
        <f>IF(Mecze[[#This Row],[Role]]&lt;&gt;"BR",SUMPRODUCT(Mecze[[#This Row],[/PR:90]:[/BR:90]],Brudnopis!$E$24:$J$24),0)</f>
        <v>0.16666666666666666</v>
      </c>
      <c r="U1836" s="44">
        <f>IF(Mecze[[#This Row],[Role]]&lt;&gt;"BR",SUMPRODUCT(Mecze[[#This Row],[/PR:90]:[/BR:90]],Brudnopis!$E$25:$J$25),0)</f>
        <v>0.1728395061728395</v>
      </c>
      <c r="V1836" s="44">
        <f>IF(Mecze[[#This Row],[Role]]&lt;&gt;"BR",SUMPRODUCT(Mecze[[#This Row],[/PR:90]:[/BR:90]],Brudnopis!$E$26:$J$26),0)</f>
        <v>0.13580246913580246</v>
      </c>
      <c r="W1836" s="44">
        <f>IF(Mecze[[#This Row],[Role]]&lt;&gt;"BR",SUMPRODUCT(Mecze[[#This Row],[/PR:90]:[/BR:90]],Brudnopis!$E$27:$J$27),0)</f>
        <v>0.15740740740740738</v>
      </c>
      <c r="X1836" s="44">
        <f>IF(Mecze[[#This Row],[Role]]&lt;&gt;"BR",SUMPRODUCT(Mecze[[#This Row],[/PR:90]:[/BR:90]],Brudnopis!$E$28:$J$28),0)</f>
        <v>7.407407407407407E-2</v>
      </c>
      <c r="Y1836" s="35">
        <f>IF(Mecze[[#This Row],[Role]]="BR",Mecze[[#This Row],[/OB:90]]+Mecze[[#This Row],[/PC:90]],SUM(Mecze[[#This Row],[/PR:90]:[/BR:90]]))</f>
        <v>0.13580246913580246</v>
      </c>
      <c r="Z1836" s="35">
        <f>IF(Mecze[[#This Row],[KC]]=0,SUM(Mecze[[#This Row],[/BRI]:[/NPI]]),SUM(Mecze[[#This Row],[/BRI]:[/NPI]])*0.6)</f>
        <v>0.70679012345679004</v>
      </c>
      <c r="AA1836" s="10">
        <f>IFERROR(Mecze[[#This Row],[BR]]/Mecze[[#This Row],[ST]],0)</f>
        <v>0</v>
      </c>
      <c r="AB1836">
        <f>ROUND(Mecze[[#This Row],[PD]]*Mecze[[#This Row],[%PC]],0)</f>
        <v>6</v>
      </c>
      <c r="AC1836">
        <f>ROUND(Mecze[[#This Row],[OD]]*Mecze[[#This Row],[%OU]],0)</f>
        <v>5</v>
      </c>
      <c r="AD1836" s="36" t="s">
        <v>67</v>
      </c>
      <c r="AE1836" s="36">
        <v>100</v>
      </c>
      <c r="AF1836" s="71">
        <v>3.91</v>
      </c>
      <c r="AG1836" s="37">
        <v>0</v>
      </c>
      <c r="AH1836" s="37">
        <v>0</v>
      </c>
      <c r="AI1836" s="37">
        <v>81</v>
      </c>
      <c r="AJ1836" s="37">
        <v>8</v>
      </c>
      <c r="AK1836" s="37" t="str">
        <f>VLOOKUP(Mecze[[#This Row],[Match ID]],Meczusie[Mecz]:Meczusie[RodzajMeczu],2,FALSE)</f>
        <v>Liga</v>
      </c>
    </row>
    <row r="1837" spans="1:37" x14ac:dyDescent="0.25">
      <c r="A1837" s="76">
        <v>8</v>
      </c>
      <c r="B1837" s="3" t="s">
        <v>314</v>
      </c>
      <c r="C1837" s="2" t="s">
        <v>165</v>
      </c>
      <c r="D1837" s="1">
        <v>1</v>
      </c>
      <c r="E1837" s="1">
        <v>3</v>
      </c>
      <c r="F1837" s="1">
        <v>2</v>
      </c>
      <c r="G1837" s="1">
        <v>7</v>
      </c>
      <c r="H1837" s="4">
        <v>0.43</v>
      </c>
      <c r="I1837" s="1">
        <v>6</v>
      </c>
      <c r="J1837" s="4">
        <v>0.5</v>
      </c>
      <c r="K1837" s="1">
        <v>0</v>
      </c>
      <c r="L1837" s="1">
        <v>1</v>
      </c>
      <c r="M1837" s="32">
        <f>IF(Mecze[[#This Row],[PR]]=0,0,Mecze[[#This Row],[PR]]/Mecze[[#This Row],[CZAS]])</f>
        <v>1.020408163265306E-2</v>
      </c>
      <c r="N1837" s="32">
        <f>IF(Mecze[[#This Row],[OU]]=0,0,Mecze[[#This Row],[OU]]/Mecze[[#This Row],[CZAS]])</f>
        <v>3.0612244897959183E-2</v>
      </c>
      <c r="O1837" s="32">
        <f>IF(Mecze[[#This Row],[PC]]=0,0,Mecze[[#This Row],[PC]]/Mecze[[#This Row],[CZAS]])</f>
        <v>3.0612244897959183E-2</v>
      </c>
      <c r="P1837" s="32">
        <f>IF(Mecze[[#This Row],[SC]]=0,0,Mecze[[#This Row],[SC]]/Mecze[[#This Row],[CZAS]])</f>
        <v>2.0408163265306121E-2</v>
      </c>
      <c r="Q1837" s="32">
        <f>IF(Mecze[[#This Row],[OB]]=0,0,Mecze[[#This Row],[OB]]/Mecze[[#This Row],[CZAS]])</f>
        <v>0</v>
      </c>
      <c r="R1837" s="32">
        <f>IF(Mecze[[#This Row],[BR]]=0,0,Mecze[[#This Row],[BR]]/Mecze[[#This Row],[CZAS]])</f>
        <v>1.020408163265306E-2</v>
      </c>
      <c r="S1837" s="44">
        <f>IF(Mecze[[#This Row],[Role]]="BR",SUMPRODUCT(Mecze[[#This Row],[/PR:90]:[/BR:90]],Brudnopis!$E$23:$J$23),0)</f>
        <v>0</v>
      </c>
      <c r="T1837" s="44">
        <f>IF(Mecze[[#This Row],[Role]]&lt;&gt;"BR",SUMPRODUCT(Mecze[[#This Row],[/PR:90]:[/BR:90]],Brudnopis!$E$24:$J$24),0)</f>
        <v>0.12244897959183672</v>
      </c>
      <c r="U1837" s="44">
        <f>IF(Mecze[[#This Row],[Role]]&lt;&gt;"BR",SUMPRODUCT(Mecze[[#This Row],[/PR:90]:[/BR:90]],Brudnopis!$E$25:$J$25),0)</f>
        <v>0.12244897959183672</v>
      </c>
      <c r="V1837" s="44">
        <f>IF(Mecze[[#This Row],[Role]]&lt;&gt;"BR",SUMPRODUCT(Mecze[[#This Row],[/PR:90]:[/BR:90]],Brudnopis!$E$26:$J$26),0)</f>
        <v>0.11224489795918366</v>
      </c>
      <c r="W1837" s="44">
        <f>IF(Mecze[[#This Row],[Role]]&lt;&gt;"BR",SUMPRODUCT(Mecze[[#This Row],[/PR:90]:[/BR:90]],Brudnopis!$E$27:$J$27),0)</f>
        <v>0.1173469387755102</v>
      </c>
      <c r="X1837" s="44">
        <f>IF(Mecze[[#This Row],[Role]]&lt;&gt;"BR",SUMPRODUCT(Mecze[[#This Row],[/PR:90]:[/BR:90]],Brudnopis!$E$28:$J$28),0)</f>
        <v>0.10204081632653061</v>
      </c>
      <c r="Y1837" s="35">
        <f>IF(Mecze[[#This Row],[Role]]="BR",Mecze[[#This Row],[/OB:90]]+Mecze[[#This Row],[/PC:90]],SUM(Mecze[[#This Row],[/PR:90]:[/BR:90]]))</f>
        <v>0.1020408163265306</v>
      </c>
      <c r="Z1837" s="35">
        <f>IF(Mecze[[#This Row],[KC]]=0,SUM(Mecze[[#This Row],[/BRI]:[/NPI]]),SUM(Mecze[[#This Row],[/BRI]:[/NPI]])*0.6)</f>
        <v>0.57653061224489788</v>
      </c>
      <c r="AA1837" s="10">
        <f>IFERROR(Mecze[[#This Row],[BR]]/Mecze[[#This Row],[ST]],0)</f>
        <v>0.33333333333333331</v>
      </c>
      <c r="AB1837">
        <f>ROUND(Mecze[[#This Row],[PD]]*Mecze[[#This Row],[%PC]],0)</f>
        <v>3</v>
      </c>
      <c r="AC1837">
        <f>ROUND(Mecze[[#This Row],[OD]]*Mecze[[#This Row],[%OU]],0)</f>
        <v>3</v>
      </c>
      <c r="AD1837" s="36" t="s">
        <v>46</v>
      </c>
      <c r="AE1837" s="36">
        <v>100</v>
      </c>
      <c r="AF1837" s="71">
        <v>5.45</v>
      </c>
      <c r="AG1837" s="37">
        <v>0</v>
      </c>
      <c r="AH1837" s="37">
        <v>0</v>
      </c>
      <c r="AI1837" s="37">
        <v>98</v>
      </c>
      <c r="AJ1837" s="37">
        <v>8</v>
      </c>
      <c r="AK1837" s="37" t="str">
        <f>VLOOKUP(Mecze[[#This Row],[Match ID]],Meczusie[Mecz]:Meczusie[RodzajMeczu],2,FALSE)</f>
        <v>Liga</v>
      </c>
    </row>
    <row r="1838" spans="1:37" x14ac:dyDescent="0.25">
      <c r="A1838" s="76">
        <v>7</v>
      </c>
      <c r="B1838" s="3" t="s">
        <v>311</v>
      </c>
      <c r="C1838" s="2" t="s">
        <v>165</v>
      </c>
      <c r="D1838" s="1">
        <v>0</v>
      </c>
      <c r="E1838" s="1">
        <v>0</v>
      </c>
      <c r="F1838" s="1">
        <v>0</v>
      </c>
      <c r="G1838" s="1">
        <v>7</v>
      </c>
      <c r="H1838" s="4">
        <v>0.56999999999999995</v>
      </c>
      <c r="I1838" s="1">
        <v>0</v>
      </c>
      <c r="J1838" s="4"/>
      <c r="K1838" s="1">
        <v>0</v>
      </c>
      <c r="L1838" s="1">
        <v>0</v>
      </c>
      <c r="M1838" s="32">
        <f>IF(Mecze[[#This Row],[PR]]=0,0,Mecze[[#This Row],[PR]]/Mecze[[#This Row],[CZAS]])</f>
        <v>0</v>
      </c>
      <c r="N1838" s="32">
        <f>IF(Mecze[[#This Row],[OU]]=0,0,Mecze[[#This Row],[OU]]/Mecze[[#This Row],[CZAS]])</f>
        <v>0</v>
      </c>
      <c r="O1838" s="32">
        <f>IF(Mecze[[#This Row],[PC]]=0,0,Mecze[[#This Row],[PC]]/Mecze[[#This Row],[CZAS]])</f>
        <v>4.0816326530612242E-2</v>
      </c>
      <c r="P1838" s="32">
        <f>IF(Mecze[[#This Row],[SC]]=0,0,Mecze[[#This Row],[SC]]/Mecze[[#This Row],[CZAS]])</f>
        <v>0</v>
      </c>
      <c r="Q1838" s="32">
        <f>IF(Mecze[[#This Row],[OB]]=0,0,Mecze[[#This Row],[OB]]/Mecze[[#This Row],[CZAS]])</f>
        <v>0</v>
      </c>
      <c r="R1838" s="32">
        <f>IF(Mecze[[#This Row],[BR]]=0,0,Mecze[[#This Row],[BR]]/Mecze[[#This Row],[CZAS]])</f>
        <v>0</v>
      </c>
      <c r="S1838" s="44">
        <f>IF(Mecze[[#This Row],[Role]]="BR",SUMPRODUCT(Mecze[[#This Row],[/PR:90]:[/BR:90]],Brudnopis!$E$23:$J$23),0)</f>
        <v>0</v>
      </c>
      <c r="T1838" s="44">
        <f>IF(Mecze[[#This Row],[Role]]&lt;&gt;"BR",SUMPRODUCT(Mecze[[#This Row],[/PR:90]:[/BR:90]],Brudnopis!$E$24:$J$24),0)</f>
        <v>4.0816326530612242E-2</v>
      </c>
      <c r="U1838" s="44">
        <f>IF(Mecze[[#This Row],[Role]]&lt;&gt;"BR",SUMPRODUCT(Mecze[[#This Row],[/PR:90]:[/BR:90]],Brudnopis!$E$25:$J$25),0)</f>
        <v>6.1224489795918366E-2</v>
      </c>
      <c r="V1838" s="44">
        <f>IF(Mecze[[#This Row],[Role]]&lt;&gt;"BR",SUMPRODUCT(Mecze[[#This Row],[/PR:90]:[/BR:90]],Brudnopis!$E$26:$J$26),0)</f>
        <v>4.0816326530612242E-2</v>
      </c>
      <c r="W1838" s="44">
        <f>IF(Mecze[[#This Row],[Role]]&lt;&gt;"BR",SUMPRODUCT(Mecze[[#This Row],[/PR:90]:[/BR:90]],Brudnopis!$E$27:$J$27),0)</f>
        <v>6.1224489795918366E-2</v>
      </c>
      <c r="X1838" s="44">
        <f>IF(Mecze[[#This Row],[Role]]&lt;&gt;"BR",SUMPRODUCT(Mecze[[#This Row],[/PR:90]:[/BR:90]],Brudnopis!$E$28:$J$28),0)</f>
        <v>4.0816326530612242E-2</v>
      </c>
      <c r="Y1838" s="35">
        <f>IF(Mecze[[#This Row],[Role]]="BR",Mecze[[#This Row],[/OB:90]]+Mecze[[#This Row],[/PC:90]],SUM(Mecze[[#This Row],[/PR:90]:[/BR:90]]))</f>
        <v>4.0816326530612242E-2</v>
      </c>
      <c r="Z1838" s="35">
        <f>IF(Mecze[[#This Row],[KC]]=0,SUM(Mecze[[#This Row],[/BRI]:[/NPI]]),SUM(Mecze[[#This Row],[/BRI]:[/NPI]])*0.6)</f>
        <v>0.24489795918367346</v>
      </c>
      <c r="AA1838" s="10">
        <f>IFERROR(Mecze[[#This Row],[BR]]/Mecze[[#This Row],[ST]],0)</f>
        <v>0</v>
      </c>
      <c r="AB1838">
        <f>ROUND(Mecze[[#This Row],[PD]]*Mecze[[#This Row],[%PC]],0)</f>
        <v>4</v>
      </c>
      <c r="AC1838">
        <f>ROUND(Mecze[[#This Row],[OD]]*Mecze[[#This Row],[%OU]],0)</f>
        <v>0</v>
      </c>
      <c r="AD1838" s="36" t="s">
        <v>355</v>
      </c>
      <c r="AE1838" s="36">
        <v>100</v>
      </c>
      <c r="AF1838" s="71">
        <v>4.04</v>
      </c>
      <c r="AG1838" s="37">
        <v>0</v>
      </c>
      <c r="AH1838" s="37">
        <v>0</v>
      </c>
      <c r="AI1838" s="37">
        <v>98</v>
      </c>
      <c r="AJ1838" s="37">
        <v>8</v>
      </c>
      <c r="AK1838" s="37" t="str">
        <f>VLOOKUP(Mecze[[#This Row],[Match ID]],Meczusie[Mecz]:Meczusie[RodzajMeczu],2,FALSE)</f>
        <v>Liga</v>
      </c>
    </row>
    <row r="1839" spans="1:37" x14ac:dyDescent="0.25">
      <c r="A1839" s="76">
        <v>13</v>
      </c>
      <c r="B1839" s="3" t="s">
        <v>313</v>
      </c>
      <c r="C1839" s="2" t="s">
        <v>165</v>
      </c>
      <c r="D1839" s="1">
        <v>0</v>
      </c>
      <c r="E1839" s="1">
        <v>0</v>
      </c>
      <c r="F1839" s="1">
        <v>0</v>
      </c>
      <c r="G1839" s="1">
        <v>9</v>
      </c>
      <c r="H1839" s="4">
        <v>0.56000000000000005</v>
      </c>
      <c r="I1839" s="1">
        <v>7</v>
      </c>
      <c r="J1839" s="4">
        <v>0.28999999999999998</v>
      </c>
      <c r="K1839" s="1">
        <v>0</v>
      </c>
      <c r="L1839" s="1">
        <v>1</v>
      </c>
      <c r="M1839" s="32">
        <f>IF(Mecze[[#This Row],[PR]]=0,0,Mecze[[#This Row],[PR]]/Mecze[[#This Row],[CZAS]])</f>
        <v>1.3888888888888888E-2</v>
      </c>
      <c r="N1839" s="32">
        <f>IF(Mecze[[#This Row],[OU]]=0,0,Mecze[[#This Row],[OU]]/Mecze[[#This Row],[CZAS]])</f>
        <v>2.7777777777777776E-2</v>
      </c>
      <c r="O1839" s="32">
        <f>IF(Mecze[[#This Row],[PC]]=0,0,Mecze[[#This Row],[PC]]/Mecze[[#This Row],[CZAS]])</f>
        <v>6.9444444444444448E-2</v>
      </c>
      <c r="P1839" s="32">
        <f>IF(Mecze[[#This Row],[SC]]=0,0,Mecze[[#This Row],[SC]]/Mecze[[#This Row],[CZAS]])</f>
        <v>0</v>
      </c>
      <c r="Q1839" s="32">
        <f>IF(Mecze[[#This Row],[OB]]=0,0,Mecze[[#This Row],[OB]]/Mecze[[#This Row],[CZAS]])</f>
        <v>0</v>
      </c>
      <c r="R1839" s="32">
        <f>IF(Mecze[[#This Row],[BR]]=0,0,Mecze[[#This Row],[BR]]/Mecze[[#This Row],[CZAS]])</f>
        <v>0</v>
      </c>
      <c r="S1839" s="44">
        <f>IF(Mecze[[#This Row],[Role]]="BR",SUMPRODUCT(Mecze[[#This Row],[/PR:90]:[/BR:90]],Brudnopis!$E$23:$J$23),0)</f>
        <v>0</v>
      </c>
      <c r="T1839" s="44">
        <f>IF(Mecze[[#This Row],[Role]]&lt;&gt;"BR",SUMPRODUCT(Mecze[[#This Row],[/PR:90]:[/BR:90]],Brudnopis!$E$24:$J$24),0)</f>
        <v>0.125</v>
      </c>
      <c r="U1839" s="44">
        <f>IF(Mecze[[#This Row],[Role]]&lt;&gt;"BR",SUMPRODUCT(Mecze[[#This Row],[/PR:90]:[/BR:90]],Brudnopis!$E$25:$J$25),0)</f>
        <v>0.14583333333333334</v>
      </c>
      <c r="V1839" s="44">
        <f>IF(Mecze[[#This Row],[Role]]&lt;&gt;"BR",SUMPRODUCT(Mecze[[#This Row],[/PR:90]:[/BR:90]],Brudnopis!$E$26:$J$26),0)</f>
        <v>0.1111111111111111</v>
      </c>
      <c r="W1839" s="44">
        <f>IF(Mecze[[#This Row],[Role]]&lt;&gt;"BR",SUMPRODUCT(Mecze[[#This Row],[/PR:90]:[/BR:90]],Brudnopis!$E$27:$J$27),0)</f>
        <v>0.13541666666666669</v>
      </c>
      <c r="X1839" s="44">
        <f>IF(Mecze[[#This Row],[Role]]&lt;&gt;"BR",SUMPRODUCT(Mecze[[#This Row],[/PR:90]:[/BR:90]],Brudnopis!$E$28:$J$28),0)</f>
        <v>6.9444444444444448E-2</v>
      </c>
      <c r="Y1839" s="35">
        <f>IF(Mecze[[#This Row],[Role]]="BR",Mecze[[#This Row],[/OB:90]]+Mecze[[#This Row],[/PC:90]],SUM(Mecze[[#This Row],[/PR:90]:[/BR:90]]))</f>
        <v>0.1111111111111111</v>
      </c>
      <c r="Z1839" s="35">
        <f>IF(Mecze[[#This Row],[KC]]=0,SUM(Mecze[[#This Row],[/BRI]:[/NPI]]),SUM(Mecze[[#This Row],[/BRI]:[/NPI]])*0.6)</f>
        <v>0.58680555555555558</v>
      </c>
      <c r="AA1839" s="10">
        <f>IFERROR(Mecze[[#This Row],[BR]]/Mecze[[#This Row],[ST]],0)</f>
        <v>0</v>
      </c>
      <c r="AB1839">
        <f>ROUND(Mecze[[#This Row],[PD]]*Mecze[[#This Row],[%PC]],0)</f>
        <v>5</v>
      </c>
      <c r="AC1839">
        <f>ROUND(Mecze[[#This Row],[OD]]*Mecze[[#This Row],[%OU]],0)</f>
        <v>2</v>
      </c>
      <c r="AD1839" s="36" t="s">
        <v>273</v>
      </c>
      <c r="AE1839" s="36">
        <v>100</v>
      </c>
      <c r="AF1839" s="71">
        <v>4.04</v>
      </c>
      <c r="AG1839" s="37">
        <v>0</v>
      </c>
      <c r="AH1839" s="37">
        <v>0</v>
      </c>
      <c r="AI1839" s="37">
        <v>72</v>
      </c>
      <c r="AJ1839" s="37">
        <v>8</v>
      </c>
      <c r="AK1839" s="37" t="str">
        <f>VLOOKUP(Mecze[[#This Row],[Match ID]],Meczusie[Mecz]:Meczusie[RodzajMeczu],2,FALSE)</f>
        <v>Liga</v>
      </c>
    </row>
    <row r="1840" spans="1:37" x14ac:dyDescent="0.25">
      <c r="A1840" s="76">
        <v>74</v>
      </c>
      <c r="B1840" s="3" t="s">
        <v>442</v>
      </c>
      <c r="C1840" s="2" t="s">
        <v>165</v>
      </c>
      <c r="D1840" s="1">
        <v>0</v>
      </c>
      <c r="E1840" s="1">
        <v>0</v>
      </c>
      <c r="F1840" s="1">
        <v>0</v>
      </c>
      <c r="G1840" s="1">
        <v>2</v>
      </c>
      <c r="H1840" s="4">
        <v>0</v>
      </c>
      <c r="I1840" s="1">
        <v>0</v>
      </c>
      <c r="J1840" s="4"/>
      <c r="K1840" s="1">
        <v>0</v>
      </c>
      <c r="L1840" s="1">
        <v>0</v>
      </c>
      <c r="M1840" s="32">
        <f>IF(Mecze[[#This Row],[PR]]=0,0,Mecze[[#This Row],[PR]]/Mecze[[#This Row],[CZAS]])</f>
        <v>0</v>
      </c>
      <c r="N1840" s="32">
        <f>IF(Mecze[[#This Row],[OU]]=0,0,Mecze[[#This Row],[OU]]/Mecze[[#This Row],[CZAS]])</f>
        <v>0</v>
      </c>
      <c r="O1840" s="32">
        <f>IF(Mecze[[#This Row],[PC]]=0,0,Mecze[[#This Row],[PC]]/Mecze[[#This Row],[CZAS]])</f>
        <v>0</v>
      </c>
      <c r="P1840" s="32">
        <f>IF(Mecze[[#This Row],[SC]]=0,0,Mecze[[#This Row],[SC]]/Mecze[[#This Row],[CZAS]])</f>
        <v>0</v>
      </c>
      <c r="Q1840" s="32">
        <f>IF(Mecze[[#This Row],[OB]]=0,0,Mecze[[#This Row],[OB]]/Mecze[[#This Row],[CZAS]])</f>
        <v>0</v>
      </c>
      <c r="R1840" s="32">
        <f>IF(Mecze[[#This Row],[BR]]=0,0,Mecze[[#This Row],[BR]]/Mecze[[#This Row],[CZAS]])</f>
        <v>0</v>
      </c>
      <c r="S1840" s="44">
        <f>IF(Mecze[[#This Row],[Role]]="BR",SUMPRODUCT(Mecze[[#This Row],[/PR:90]:[/BR:90]],Brudnopis!$E$23:$J$23),0)</f>
        <v>0</v>
      </c>
      <c r="T1840" s="44">
        <f>IF(Mecze[[#This Row],[Role]]&lt;&gt;"BR",SUMPRODUCT(Mecze[[#This Row],[/PR:90]:[/BR:90]],Brudnopis!$E$24:$J$24),0)</f>
        <v>0</v>
      </c>
      <c r="U1840" s="44">
        <f>IF(Mecze[[#This Row],[Role]]&lt;&gt;"BR",SUMPRODUCT(Mecze[[#This Row],[/PR:90]:[/BR:90]],Brudnopis!$E$25:$J$25),0)</f>
        <v>0</v>
      </c>
      <c r="V1840" s="44">
        <f>IF(Mecze[[#This Row],[Role]]&lt;&gt;"BR",SUMPRODUCT(Mecze[[#This Row],[/PR:90]:[/BR:90]],Brudnopis!$E$26:$J$26),0)</f>
        <v>0</v>
      </c>
      <c r="W1840" s="44">
        <f>IF(Mecze[[#This Row],[Role]]&lt;&gt;"BR",SUMPRODUCT(Mecze[[#This Row],[/PR:90]:[/BR:90]],Brudnopis!$E$27:$J$27),0)</f>
        <v>0</v>
      </c>
      <c r="X1840" s="44">
        <f>IF(Mecze[[#This Row],[Role]]&lt;&gt;"BR",SUMPRODUCT(Mecze[[#This Row],[/PR:90]:[/BR:90]],Brudnopis!$E$28:$J$28),0)</f>
        <v>0</v>
      </c>
      <c r="Y1840" s="35">
        <f>IF(Mecze[[#This Row],[Role]]="BR",Mecze[[#This Row],[/OB:90]]+Mecze[[#This Row],[/PC:90]],SUM(Mecze[[#This Row],[/PR:90]:[/BR:90]]))</f>
        <v>0</v>
      </c>
      <c r="Z1840" s="35">
        <f>IF(Mecze[[#This Row],[KC]]=0,SUM(Mecze[[#This Row],[/BRI]:[/NPI]]),SUM(Mecze[[#This Row],[/BRI]:[/NPI]])*0.6)</f>
        <v>0</v>
      </c>
      <c r="AA1840" s="10">
        <f>IFERROR(Mecze[[#This Row],[BR]]/Mecze[[#This Row],[ST]],0)</f>
        <v>0</v>
      </c>
      <c r="AB1840">
        <f>ROUND(Mecze[[#This Row],[PD]]*Mecze[[#This Row],[%PC]],0)</f>
        <v>0</v>
      </c>
      <c r="AC1840">
        <f>ROUND(Mecze[[#This Row],[OD]]*Mecze[[#This Row],[%OU]],0)</f>
        <v>0</v>
      </c>
      <c r="AD1840" s="36" t="s">
        <v>273</v>
      </c>
      <c r="AE1840" s="36">
        <v>100</v>
      </c>
      <c r="AF1840" s="71">
        <v>0.5</v>
      </c>
      <c r="AG1840" s="37">
        <v>0</v>
      </c>
      <c r="AH1840" s="37">
        <v>0</v>
      </c>
      <c r="AI1840" s="37">
        <v>26</v>
      </c>
      <c r="AJ1840" s="37">
        <v>8</v>
      </c>
      <c r="AK1840" s="37" t="str">
        <f>VLOOKUP(Mecze[[#This Row],[Match ID]],Meczusie[Mecz]:Meczusie[RodzajMeczu],2,FALSE)</f>
        <v>Liga</v>
      </c>
    </row>
    <row r="1841" spans="1:37" x14ac:dyDescent="0.25">
      <c r="A1841" s="76">
        <v>17</v>
      </c>
      <c r="B1841" s="3" t="s">
        <v>317</v>
      </c>
      <c r="C1841" s="2" t="s">
        <v>160</v>
      </c>
      <c r="D1841" s="1">
        <v>0</v>
      </c>
      <c r="E1841" s="1">
        <v>0</v>
      </c>
      <c r="F1841" s="1">
        <v>0</v>
      </c>
      <c r="G1841" s="1">
        <v>1</v>
      </c>
      <c r="H1841" s="4">
        <v>1</v>
      </c>
      <c r="I1841" s="1">
        <v>1</v>
      </c>
      <c r="J1841" s="4">
        <v>0</v>
      </c>
      <c r="K1841" s="1">
        <v>0</v>
      </c>
      <c r="L1841" s="1">
        <v>0</v>
      </c>
      <c r="M1841" s="32">
        <f>IF(Mecze[[#This Row],[PR]]=0,0,Mecze[[#This Row],[PR]]/Mecze[[#This Row],[CZAS]])</f>
        <v>0</v>
      </c>
      <c r="N1841" s="32">
        <f>IF(Mecze[[#This Row],[OU]]=0,0,Mecze[[#This Row],[OU]]/Mecze[[#This Row],[CZAS]])</f>
        <v>0</v>
      </c>
      <c r="O1841" s="32">
        <f>IF(Mecze[[#This Row],[PC]]=0,0,Mecze[[#This Row],[PC]]/Mecze[[#This Row],[CZAS]])</f>
        <v>5.8823529411764705E-2</v>
      </c>
      <c r="P1841" s="32">
        <f>IF(Mecze[[#This Row],[SC]]=0,0,Mecze[[#This Row],[SC]]/Mecze[[#This Row],[CZAS]])</f>
        <v>0</v>
      </c>
      <c r="Q1841" s="32">
        <f>IF(Mecze[[#This Row],[OB]]=0,0,Mecze[[#This Row],[OB]]/Mecze[[#This Row],[CZAS]])</f>
        <v>0</v>
      </c>
      <c r="R1841" s="32">
        <f>IF(Mecze[[#This Row],[BR]]=0,0,Mecze[[#This Row],[BR]]/Mecze[[#This Row],[CZAS]])</f>
        <v>0</v>
      </c>
      <c r="S1841" s="44">
        <f>IF(Mecze[[#This Row],[Role]]="BR",SUMPRODUCT(Mecze[[#This Row],[/PR:90]:[/BR:90]],Brudnopis!$E$23:$J$23),0)</f>
        <v>0</v>
      </c>
      <c r="T1841" s="44">
        <f>IF(Mecze[[#This Row],[Role]]&lt;&gt;"BR",SUMPRODUCT(Mecze[[#This Row],[/PR:90]:[/BR:90]],Brudnopis!$E$24:$J$24),0)</f>
        <v>5.8823529411764705E-2</v>
      </c>
      <c r="U1841" s="44">
        <f>IF(Mecze[[#This Row],[Role]]&lt;&gt;"BR",SUMPRODUCT(Mecze[[#This Row],[/PR:90]:[/BR:90]],Brudnopis!$E$25:$J$25),0)</f>
        <v>8.8235294117647051E-2</v>
      </c>
      <c r="V1841" s="44">
        <f>IF(Mecze[[#This Row],[Role]]&lt;&gt;"BR",SUMPRODUCT(Mecze[[#This Row],[/PR:90]:[/BR:90]],Brudnopis!$E$26:$J$26),0)</f>
        <v>5.8823529411764705E-2</v>
      </c>
      <c r="W1841" s="44">
        <f>IF(Mecze[[#This Row],[Role]]&lt;&gt;"BR",SUMPRODUCT(Mecze[[#This Row],[/PR:90]:[/BR:90]],Brudnopis!$E$27:$J$27),0)</f>
        <v>8.8235294117647051E-2</v>
      </c>
      <c r="X1841" s="44">
        <f>IF(Mecze[[#This Row],[Role]]&lt;&gt;"BR",SUMPRODUCT(Mecze[[#This Row],[/PR:90]:[/BR:90]],Brudnopis!$E$28:$J$28),0)</f>
        <v>5.8823529411764705E-2</v>
      </c>
      <c r="Y1841" s="35">
        <f>IF(Mecze[[#This Row],[Role]]="BR",Mecze[[#This Row],[/OB:90]]+Mecze[[#This Row],[/PC:90]],SUM(Mecze[[#This Row],[/PR:90]:[/BR:90]]))</f>
        <v>5.8823529411764705E-2</v>
      </c>
      <c r="Z1841" s="35">
        <f>IF(Mecze[[#This Row],[KC]]=0,SUM(Mecze[[#This Row],[/BRI]:[/NPI]]),SUM(Mecze[[#This Row],[/BRI]:[/NPI]])*0.6)</f>
        <v>0.3529411764705882</v>
      </c>
      <c r="AA1841" s="10">
        <f>IFERROR(Mecze[[#This Row],[BR]]/Mecze[[#This Row],[ST]],0)</f>
        <v>0</v>
      </c>
      <c r="AB1841">
        <f>ROUND(Mecze[[#This Row],[PD]]*Mecze[[#This Row],[%PC]],0)</f>
        <v>1</v>
      </c>
      <c r="AC1841">
        <f>ROUND(Mecze[[#This Row],[OD]]*Mecze[[#This Row],[%OU]],0)</f>
        <v>0</v>
      </c>
      <c r="AD1841" s="36" t="s">
        <v>67</v>
      </c>
      <c r="AE1841" s="36">
        <v>100</v>
      </c>
      <c r="AF1841" s="71">
        <v>0.5</v>
      </c>
      <c r="AG1841" s="37">
        <v>0</v>
      </c>
      <c r="AH1841" s="37">
        <v>0</v>
      </c>
      <c r="AI1841" s="37">
        <v>17</v>
      </c>
      <c r="AJ1841" s="37">
        <v>8</v>
      </c>
      <c r="AK1841" s="37" t="str">
        <f>VLOOKUP(Mecze[[#This Row],[Match ID]],Meczusie[Mecz]:Meczusie[RodzajMeczu],2,FALSE)</f>
        <v>Liga</v>
      </c>
    </row>
    <row r="1842" spans="1:37" x14ac:dyDescent="0.25">
      <c r="A1842" s="76">
        <v>71</v>
      </c>
      <c r="B1842" s="3" t="s">
        <v>429</v>
      </c>
      <c r="C1842" s="2" t="s">
        <v>157</v>
      </c>
      <c r="D1842" s="1">
        <v>0</v>
      </c>
      <c r="E1842" s="1">
        <v>0</v>
      </c>
      <c r="F1842" s="1">
        <v>0</v>
      </c>
      <c r="G1842" s="1">
        <v>3</v>
      </c>
      <c r="H1842" s="4">
        <v>0.33</v>
      </c>
      <c r="I1842" s="1">
        <v>4</v>
      </c>
      <c r="J1842" s="4">
        <v>0.5</v>
      </c>
      <c r="K1842" s="1">
        <v>0</v>
      </c>
      <c r="L1842" s="1">
        <v>2</v>
      </c>
      <c r="M1842" s="32">
        <f>IF(Mecze[[#This Row],[PR]]=0,0,Mecze[[#This Row],[PR]]/Mecze[[#This Row],[CZAS]])</f>
        <v>7.6923076923076927E-2</v>
      </c>
      <c r="N1842" s="32">
        <f>IF(Mecze[[#This Row],[OU]]=0,0,Mecze[[#This Row],[OU]]/Mecze[[#This Row],[CZAS]])</f>
        <v>7.6923076923076927E-2</v>
      </c>
      <c r="O1842" s="32">
        <f>IF(Mecze[[#This Row],[PC]]=0,0,Mecze[[#This Row],[PC]]/Mecze[[#This Row],[CZAS]])</f>
        <v>3.8461538461538464E-2</v>
      </c>
      <c r="P1842" s="32">
        <f>IF(Mecze[[#This Row],[SC]]=0,0,Mecze[[#This Row],[SC]]/Mecze[[#This Row],[CZAS]])</f>
        <v>0</v>
      </c>
      <c r="Q1842" s="32">
        <f>IF(Mecze[[#This Row],[OB]]=0,0,Mecze[[#This Row],[OB]]/Mecze[[#This Row],[CZAS]])</f>
        <v>0</v>
      </c>
      <c r="R1842" s="32">
        <f>IF(Mecze[[#This Row],[BR]]=0,0,Mecze[[#This Row],[BR]]/Mecze[[#This Row],[CZAS]])</f>
        <v>0</v>
      </c>
      <c r="S1842" s="44">
        <f>IF(Mecze[[#This Row],[Role]]="BR",SUMPRODUCT(Mecze[[#This Row],[/PR:90]:[/BR:90]],Brudnopis!$E$23:$J$23),0)</f>
        <v>0</v>
      </c>
      <c r="T1842" s="44">
        <f>IF(Mecze[[#This Row],[Role]]&lt;&gt;"BR",SUMPRODUCT(Mecze[[#This Row],[/PR:90]:[/BR:90]],Brudnopis!$E$24:$J$24),0)</f>
        <v>0.23076923076923078</v>
      </c>
      <c r="U1842" s="44">
        <f>IF(Mecze[[#This Row],[Role]]&lt;&gt;"BR",SUMPRODUCT(Mecze[[#This Row],[/PR:90]:[/BR:90]],Brudnopis!$E$25:$J$25),0)</f>
        <v>0.21153846153846156</v>
      </c>
      <c r="V1842" s="44">
        <f>IF(Mecze[[#This Row],[Role]]&lt;&gt;"BR",SUMPRODUCT(Mecze[[#This Row],[/PR:90]:[/BR:90]],Brudnopis!$E$26:$J$26),0)</f>
        <v>0.19230769230769232</v>
      </c>
      <c r="W1842" s="44">
        <f>IF(Mecze[[#This Row],[Role]]&lt;&gt;"BR",SUMPRODUCT(Mecze[[#This Row],[/PR:90]:[/BR:90]],Brudnopis!$E$27:$J$27),0)</f>
        <v>0.17307692307692307</v>
      </c>
      <c r="X1842" s="44">
        <f>IF(Mecze[[#This Row],[Role]]&lt;&gt;"BR",SUMPRODUCT(Mecze[[#This Row],[/PR:90]:[/BR:90]],Brudnopis!$E$28:$J$28),0)</f>
        <v>3.8461538461538464E-2</v>
      </c>
      <c r="Y1842" s="35">
        <f>IF(Mecze[[#This Row],[Role]]="BR",Mecze[[#This Row],[/OB:90]]+Mecze[[#This Row],[/PC:90]],SUM(Mecze[[#This Row],[/PR:90]:[/BR:90]]))</f>
        <v>0.19230769230769232</v>
      </c>
      <c r="Z1842" s="35">
        <f>IF(Mecze[[#This Row],[KC]]=0,SUM(Mecze[[#This Row],[/BRI]:[/NPI]]),SUM(Mecze[[#This Row],[/BRI]:[/NPI]])*0.6)</f>
        <v>0.84615384615384615</v>
      </c>
      <c r="AA1842" s="10">
        <f>IFERROR(Mecze[[#This Row],[BR]]/Mecze[[#This Row],[ST]],0)</f>
        <v>0</v>
      </c>
      <c r="AB1842">
        <f>ROUND(Mecze[[#This Row],[PD]]*Mecze[[#This Row],[%PC]],0)</f>
        <v>1</v>
      </c>
      <c r="AC1842">
        <f>ROUND(Mecze[[#This Row],[OD]]*Mecze[[#This Row],[%OU]],0)</f>
        <v>2</v>
      </c>
      <c r="AD1842" s="36" t="s">
        <v>167</v>
      </c>
      <c r="AE1842" s="36">
        <v>100</v>
      </c>
      <c r="AF1842" s="71">
        <v>-0.08</v>
      </c>
      <c r="AG1842" s="37">
        <v>0</v>
      </c>
      <c r="AH1842" s="37">
        <v>0</v>
      </c>
      <c r="AI1842" s="37">
        <v>26</v>
      </c>
      <c r="AJ1842" s="37">
        <v>8</v>
      </c>
      <c r="AK1842" s="37" t="str">
        <f>VLOOKUP(Mecze[[#This Row],[Match ID]],Meczusie[Mecz]:Meczusie[RodzajMeczu],2,FALSE)</f>
        <v>Liga</v>
      </c>
    </row>
    <row r="1843" spans="1:37" x14ac:dyDescent="0.25">
      <c r="A1843" s="76">
        <v>102</v>
      </c>
      <c r="B1843" s="3" t="s">
        <v>417</v>
      </c>
      <c r="C1843" s="2" t="s">
        <v>155</v>
      </c>
      <c r="D1843" s="1">
        <v>0</v>
      </c>
      <c r="E1843" s="1">
        <v>0</v>
      </c>
      <c r="F1843" s="1">
        <v>0</v>
      </c>
      <c r="G1843" s="1">
        <v>8</v>
      </c>
      <c r="H1843" s="4">
        <v>0.5</v>
      </c>
      <c r="I1843" s="1">
        <v>0</v>
      </c>
      <c r="J1843" s="4"/>
      <c r="K1843" s="1">
        <v>6</v>
      </c>
      <c r="L1843" s="1">
        <v>0</v>
      </c>
      <c r="M1843" s="32">
        <f>IF(Mecze[[#This Row],[PR]]=0,0,Mecze[[#This Row],[PR]]/Mecze[[#This Row],[CZAS]])</f>
        <v>0</v>
      </c>
      <c r="N1843" s="32">
        <f>IF(Mecze[[#This Row],[OU]]=0,0,Mecze[[#This Row],[OU]]/Mecze[[#This Row],[CZAS]])</f>
        <v>0</v>
      </c>
      <c r="O1843" s="32">
        <f>IF(Mecze[[#This Row],[PC]]=0,0,Mecze[[#This Row],[PC]]/Mecze[[#This Row],[CZAS]])</f>
        <v>4.0816326530612242E-2</v>
      </c>
      <c r="P1843" s="32">
        <f>IF(Mecze[[#This Row],[SC]]=0,0,Mecze[[#This Row],[SC]]/Mecze[[#This Row],[CZAS]])</f>
        <v>0</v>
      </c>
      <c r="Q1843" s="32">
        <f>IF(Mecze[[#This Row],[OB]]=0,0,Mecze[[#This Row],[OB]]/Mecze[[#This Row],[CZAS]])</f>
        <v>6.1224489795918366E-2</v>
      </c>
      <c r="R1843" s="32">
        <f>IF(Mecze[[#This Row],[BR]]=0,0,Mecze[[#This Row],[BR]]/Mecze[[#This Row],[CZAS]])</f>
        <v>0</v>
      </c>
      <c r="S1843" s="44">
        <f>IF(Mecze[[#This Row],[Role]]="BR",SUMPRODUCT(Mecze[[#This Row],[/PR:90]:[/BR:90]],Brudnopis!$E$23:$J$23),0)</f>
        <v>0.30612244897959184</v>
      </c>
      <c r="T1843" s="44">
        <f>IF(Mecze[[#This Row],[Role]]&lt;&gt;"BR",SUMPRODUCT(Mecze[[#This Row],[/PR:90]:[/BR:90]],Brudnopis!$E$24:$J$24),0)</f>
        <v>0</v>
      </c>
      <c r="U1843" s="44">
        <f>IF(Mecze[[#This Row],[Role]]&lt;&gt;"BR",SUMPRODUCT(Mecze[[#This Row],[/PR:90]:[/BR:90]],Brudnopis!$E$25:$J$25),0)</f>
        <v>0</v>
      </c>
      <c r="V1843" s="44">
        <f>IF(Mecze[[#This Row],[Role]]&lt;&gt;"BR",SUMPRODUCT(Mecze[[#This Row],[/PR:90]:[/BR:90]],Brudnopis!$E$26:$J$26),0)</f>
        <v>0</v>
      </c>
      <c r="W1843" s="44">
        <f>IF(Mecze[[#This Row],[Role]]&lt;&gt;"BR",SUMPRODUCT(Mecze[[#This Row],[/PR:90]:[/BR:90]],Brudnopis!$E$27:$J$27),0)</f>
        <v>0</v>
      </c>
      <c r="X1843" s="44">
        <f>IF(Mecze[[#This Row],[Role]]&lt;&gt;"BR",SUMPRODUCT(Mecze[[#This Row],[/PR:90]:[/BR:90]],Brudnopis!$E$28:$J$28),0)</f>
        <v>0</v>
      </c>
      <c r="Y1843" s="35">
        <f>IF(Mecze[[#This Row],[Role]]="BR",Mecze[[#This Row],[/OB:90]]+Mecze[[#This Row],[/PC:90]],SUM(Mecze[[#This Row],[/PR:90]:[/BR:90]]))</f>
        <v>0.10204081632653061</v>
      </c>
      <c r="Z1843" s="35">
        <f>IF(Mecze[[#This Row],[KC]]=0,SUM(Mecze[[#This Row],[/BRI]:[/NPI]]),SUM(Mecze[[#This Row],[/BRI]:[/NPI]])*0.6)</f>
        <v>0.30612244897959184</v>
      </c>
      <c r="AA1843" s="10">
        <f>IFERROR(Mecze[[#This Row],[BR]]/Mecze[[#This Row],[ST]],0)</f>
        <v>0</v>
      </c>
      <c r="AB1843">
        <f>ROUND(Mecze[[#This Row],[PD]]*Mecze[[#This Row],[%PC]],0)</f>
        <v>4</v>
      </c>
      <c r="AC1843">
        <f>ROUND(Mecze[[#This Row],[OD]]*Mecze[[#This Row],[%OU]],0)</f>
        <v>0</v>
      </c>
      <c r="AD1843" s="36" t="s">
        <v>40</v>
      </c>
      <c r="AE1843" s="36">
        <v>101</v>
      </c>
      <c r="AF1843" s="71">
        <v>7.24</v>
      </c>
      <c r="AG1843" s="37">
        <v>0</v>
      </c>
      <c r="AH1843" s="37">
        <v>0</v>
      </c>
      <c r="AI1843" s="37">
        <v>98</v>
      </c>
      <c r="AJ1843" s="37">
        <v>6</v>
      </c>
      <c r="AK1843" s="37" t="str">
        <f>VLOOKUP(Mecze[[#This Row],[Match ID]],Meczusie[Mecz]:Meczusie[RodzajMeczu],2,FALSE)</f>
        <v>Liga</v>
      </c>
    </row>
    <row r="1844" spans="1:37" x14ac:dyDescent="0.25">
      <c r="A1844" s="76">
        <v>101</v>
      </c>
      <c r="B1844" s="3" t="s">
        <v>248</v>
      </c>
      <c r="C1844" s="2" t="s">
        <v>157</v>
      </c>
      <c r="D1844" s="1">
        <v>0</v>
      </c>
      <c r="E1844" s="1">
        <v>0</v>
      </c>
      <c r="F1844" s="1">
        <v>0</v>
      </c>
      <c r="G1844" s="1">
        <v>12</v>
      </c>
      <c r="H1844" s="4">
        <v>0.57999999999999996</v>
      </c>
      <c r="I1844" s="1">
        <v>8</v>
      </c>
      <c r="J1844" s="4">
        <v>0.88</v>
      </c>
      <c r="K1844" s="1">
        <v>0</v>
      </c>
      <c r="L1844" s="1">
        <v>4</v>
      </c>
      <c r="M1844" s="32">
        <f>IF(Mecze[[#This Row],[PR]]=0,0,Mecze[[#This Row],[PR]]/Mecze[[#This Row],[CZAS]])</f>
        <v>5.0632911392405063E-2</v>
      </c>
      <c r="N1844" s="32">
        <f>IF(Mecze[[#This Row],[OU]]=0,0,Mecze[[#This Row],[OU]]/Mecze[[#This Row],[CZAS]])</f>
        <v>8.8607594936708861E-2</v>
      </c>
      <c r="O1844" s="32">
        <f>IF(Mecze[[#This Row],[PC]]=0,0,Mecze[[#This Row],[PC]]/Mecze[[#This Row],[CZAS]])</f>
        <v>8.8607594936708861E-2</v>
      </c>
      <c r="P1844" s="32">
        <f>IF(Mecze[[#This Row],[SC]]=0,0,Mecze[[#This Row],[SC]]/Mecze[[#This Row],[CZAS]])</f>
        <v>0</v>
      </c>
      <c r="Q1844" s="32">
        <f>IF(Mecze[[#This Row],[OB]]=0,0,Mecze[[#This Row],[OB]]/Mecze[[#This Row],[CZAS]])</f>
        <v>0</v>
      </c>
      <c r="R1844" s="32">
        <f>IF(Mecze[[#This Row],[BR]]=0,0,Mecze[[#This Row],[BR]]/Mecze[[#This Row],[CZAS]])</f>
        <v>0</v>
      </c>
      <c r="S1844" s="44">
        <f>IF(Mecze[[#This Row],[Role]]="BR",SUMPRODUCT(Mecze[[#This Row],[/PR:90]:[/BR:90]],Brudnopis!$E$23:$J$23),0)</f>
        <v>0</v>
      </c>
      <c r="T1844" s="44">
        <f>IF(Mecze[[#This Row],[Role]]&lt;&gt;"BR",SUMPRODUCT(Mecze[[#This Row],[/PR:90]:[/BR:90]],Brudnopis!$E$24:$J$24),0)</f>
        <v>0.27215189873417722</v>
      </c>
      <c r="U1844" s="44">
        <f>IF(Mecze[[#This Row],[Role]]&lt;&gt;"BR",SUMPRODUCT(Mecze[[#This Row],[/PR:90]:[/BR:90]],Brudnopis!$E$25:$J$25),0)</f>
        <v>0.27215189873417722</v>
      </c>
      <c r="V1844" s="44">
        <f>IF(Mecze[[#This Row],[Role]]&lt;&gt;"BR",SUMPRODUCT(Mecze[[#This Row],[/PR:90]:[/BR:90]],Brudnopis!$E$26:$J$26),0)</f>
        <v>0.22784810126582278</v>
      </c>
      <c r="W1844" s="44">
        <f>IF(Mecze[[#This Row],[Role]]&lt;&gt;"BR",SUMPRODUCT(Mecze[[#This Row],[/PR:90]:[/BR:90]],Brudnopis!$E$27:$J$27),0)</f>
        <v>0.23734177215189872</v>
      </c>
      <c r="X1844" s="44">
        <f>IF(Mecze[[#This Row],[Role]]&lt;&gt;"BR",SUMPRODUCT(Mecze[[#This Row],[/PR:90]:[/BR:90]],Brudnopis!$E$28:$J$28),0)</f>
        <v>8.8607594936708861E-2</v>
      </c>
      <c r="Y1844" s="35">
        <f>IF(Mecze[[#This Row],[Role]]="BR",Mecze[[#This Row],[/OB:90]]+Mecze[[#This Row],[/PC:90]],SUM(Mecze[[#This Row],[/PR:90]:[/BR:90]]))</f>
        <v>0.22784810126582278</v>
      </c>
      <c r="Z1844" s="35">
        <f>IF(Mecze[[#This Row],[KC]]=0,SUM(Mecze[[#This Row],[/BRI]:[/NPI]]),SUM(Mecze[[#This Row],[/BRI]:[/NPI]])*0.6)</f>
        <v>0.65886075949367096</v>
      </c>
      <c r="AA1844" s="10">
        <f>IFERROR(Mecze[[#This Row],[BR]]/Mecze[[#This Row],[ST]],0)</f>
        <v>0</v>
      </c>
      <c r="AB1844">
        <f>ROUND(Mecze[[#This Row],[PD]]*Mecze[[#This Row],[%PC]],0)</f>
        <v>7</v>
      </c>
      <c r="AC1844">
        <f>ROUND(Mecze[[#This Row],[OD]]*Mecze[[#This Row],[%OU]],0)</f>
        <v>7</v>
      </c>
      <c r="AD1844" s="36" t="s">
        <v>47</v>
      </c>
      <c r="AE1844" s="36">
        <v>101</v>
      </c>
      <c r="AF1844" s="71">
        <v>4.87</v>
      </c>
      <c r="AG1844" s="37">
        <v>0</v>
      </c>
      <c r="AH1844" s="37">
        <v>1</v>
      </c>
      <c r="AI1844" s="37">
        <v>79</v>
      </c>
      <c r="AJ1844" s="37">
        <v>6</v>
      </c>
      <c r="AK1844" s="37" t="str">
        <f>VLOOKUP(Mecze[[#This Row],[Match ID]],Meczusie[Mecz]:Meczusie[RodzajMeczu],2,FALSE)</f>
        <v>Liga</v>
      </c>
    </row>
    <row r="1845" spans="1:37" x14ac:dyDescent="0.25">
      <c r="A1845" s="76">
        <v>7</v>
      </c>
      <c r="B1845" s="3" t="s">
        <v>251</v>
      </c>
      <c r="C1845" s="2" t="s">
        <v>157</v>
      </c>
      <c r="D1845" s="1">
        <v>0</v>
      </c>
      <c r="E1845" s="1">
        <v>0</v>
      </c>
      <c r="F1845" s="1">
        <v>0</v>
      </c>
      <c r="G1845" s="1">
        <v>3</v>
      </c>
      <c r="H1845" s="4">
        <v>0.33</v>
      </c>
      <c r="I1845" s="1">
        <v>5</v>
      </c>
      <c r="J1845" s="4">
        <v>0.4</v>
      </c>
      <c r="K1845" s="1">
        <v>0</v>
      </c>
      <c r="L1845" s="1">
        <v>2</v>
      </c>
      <c r="M1845" s="32">
        <f>IF(Mecze[[#This Row],[PR]]=0,0,Mecze[[#This Row],[PR]]/Mecze[[#This Row],[CZAS]])</f>
        <v>2.0408163265306121E-2</v>
      </c>
      <c r="N1845" s="32">
        <f>IF(Mecze[[#This Row],[OU]]=0,0,Mecze[[#This Row],[OU]]/Mecze[[#This Row],[CZAS]])</f>
        <v>2.0408163265306121E-2</v>
      </c>
      <c r="O1845" s="32">
        <f>IF(Mecze[[#This Row],[PC]]=0,0,Mecze[[#This Row],[PC]]/Mecze[[#This Row],[CZAS]])</f>
        <v>1.020408163265306E-2</v>
      </c>
      <c r="P1845" s="32">
        <f>IF(Mecze[[#This Row],[SC]]=0,0,Mecze[[#This Row],[SC]]/Mecze[[#This Row],[CZAS]])</f>
        <v>0</v>
      </c>
      <c r="Q1845" s="32">
        <f>IF(Mecze[[#This Row],[OB]]=0,0,Mecze[[#This Row],[OB]]/Mecze[[#This Row],[CZAS]])</f>
        <v>0</v>
      </c>
      <c r="R1845" s="32">
        <f>IF(Mecze[[#This Row],[BR]]=0,0,Mecze[[#This Row],[BR]]/Mecze[[#This Row],[CZAS]])</f>
        <v>0</v>
      </c>
      <c r="S1845" s="44">
        <f>IF(Mecze[[#This Row],[Role]]="BR",SUMPRODUCT(Mecze[[#This Row],[/PR:90]:[/BR:90]],Brudnopis!$E$23:$J$23),0)</f>
        <v>0</v>
      </c>
      <c r="T1845" s="44">
        <f>IF(Mecze[[#This Row],[Role]]&lt;&gt;"BR",SUMPRODUCT(Mecze[[#This Row],[/PR:90]:[/BR:90]],Brudnopis!$E$24:$J$24),0)</f>
        <v>6.1224489795918366E-2</v>
      </c>
      <c r="U1845" s="44">
        <f>IF(Mecze[[#This Row],[Role]]&lt;&gt;"BR",SUMPRODUCT(Mecze[[#This Row],[/PR:90]:[/BR:90]],Brudnopis!$E$25:$J$25),0)</f>
        <v>5.612244897959183E-2</v>
      </c>
      <c r="V1845" s="44">
        <f>IF(Mecze[[#This Row],[Role]]&lt;&gt;"BR",SUMPRODUCT(Mecze[[#This Row],[/PR:90]:[/BR:90]],Brudnopis!$E$26:$J$26),0)</f>
        <v>5.10204081632653E-2</v>
      </c>
      <c r="W1845" s="44">
        <f>IF(Mecze[[#This Row],[Role]]&lt;&gt;"BR",SUMPRODUCT(Mecze[[#This Row],[/PR:90]:[/BR:90]],Brudnopis!$E$27:$J$27),0)</f>
        <v>4.5918367346938771E-2</v>
      </c>
      <c r="X1845" s="44">
        <f>IF(Mecze[[#This Row],[Role]]&lt;&gt;"BR",SUMPRODUCT(Mecze[[#This Row],[/PR:90]:[/BR:90]],Brudnopis!$E$28:$J$28),0)</f>
        <v>1.020408163265306E-2</v>
      </c>
      <c r="Y1845" s="35">
        <f>IF(Mecze[[#This Row],[Role]]="BR",Mecze[[#This Row],[/OB:90]]+Mecze[[#This Row],[/PC:90]],SUM(Mecze[[#This Row],[/PR:90]:[/BR:90]]))</f>
        <v>5.10204081632653E-2</v>
      </c>
      <c r="Z1845" s="35">
        <f>IF(Mecze[[#This Row],[KC]]=0,SUM(Mecze[[#This Row],[/BRI]:[/NPI]]),SUM(Mecze[[#This Row],[/BRI]:[/NPI]])*0.6)</f>
        <v>0.22448979591836735</v>
      </c>
      <c r="AA1845" s="10">
        <f>IFERROR(Mecze[[#This Row],[BR]]/Mecze[[#This Row],[ST]],0)</f>
        <v>0</v>
      </c>
      <c r="AB1845">
        <f>ROUND(Mecze[[#This Row],[PD]]*Mecze[[#This Row],[%PC]],0)</f>
        <v>1</v>
      </c>
      <c r="AC1845">
        <f>ROUND(Mecze[[#This Row],[OD]]*Mecze[[#This Row],[%OU]],0)</f>
        <v>2</v>
      </c>
      <c r="AD1845" s="36" t="s">
        <v>168</v>
      </c>
      <c r="AE1845" s="36">
        <v>101</v>
      </c>
      <c r="AF1845" s="71">
        <v>4.34</v>
      </c>
      <c r="AG1845" s="37">
        <v>0</v>
      </c>
      <c r="AH1845" s="37">
        <v>0</v>
      </c>
      <c r="AI1845" s="37">
        <v>98</v>
      </c>
      <c r="AJ1845" s="37">
        <v>6</v>
      </c>
      <c r="AK1845" s="37" t="str">
        <f>VLOOKUP(Mecze[[#This Row],[Match ID]],Meczusie[Mecz]:Meczusie[RodzajMeczu],2,FALSE)</f>
        <v>Liga</v>
      </c>
    </row>
    <row r="1846" spans="1:37" x14ac:dyDescent="0.25">
      <c r="A1846" s="76">
        <v>2</v>
      </c>
      <c r="B1846" s="3" t="s">
        <v>249</v>
      </c>
      <c r="C1846" s="2" t="s">
        <v>157</v>
      </c>
      <c r="D1846" s="1">
        <v>0</v>
      </c>
      <c r="E1846" s="1">
        <v>0</v>
      </c>
      <c r="F1846" s="1">
        <v>0</v>
      </c>
      <c r="G1846" s="1">
        <v>8</v>
      </c>
      <c r="H1846" s="4">
        <v>0.75</v>
      </c>
      <c r="I1846" s="1">
        <v>10</v>
      </c>
      <c r="J1846" s="4">
        <v>0.3</v>
      </c>
      <c r="K1846" s="1">
        <v>0</v>
      </c>
      <c r="L1846" s="1">
        <v>14</v>
      </c>
      <c r="M1846" s="32">
        <f>IF(Mecze[[#This Row],[PR]]=0,0,Mecze[[#This Row],[PR]]/Mecze[[#This Row],[CZAS]])</f>
        <v>0.14893617021276595</v>
      </c>
      <c r="N1846" s="32">
        <f>IF(Mecze[[#This Row],[OU]]=0,0,Mecze[[#This Row],[OU]]/Mecze[[#This Row],[CZAS]])</f>
        <v>3.1914893617021274E-2</v>
      </c>
      <c r="O1846" s="32">
        <f>IF(Mecze[[#This Row],[PC]]=0,0,Mecze[[#This Row],[PC]]/Mecze[[#This Row],[CZAS]])</f>
        <v>6.3829787234042548E-2</v>
      </c>
      <c r="P1846" s="32">
        <f>IF(Mecze[[#This Row],[SC]]=0,0,Mecze[[#This Row],[SC]]/Mecze[[#This Row],[CZAS]])</f>
        <v>0</v>
      </c>
      <c r="Q1846" s="32">
        <f>IF(Mecze[[#This Row],[OB]]=0,0,Mecze[[#This Row],[OB]]/Mecze[[#This Row],[CZAS]])</f>
        <v>0</v>
      </c>
      <c r="R1846" s="32">
        <f>IF(Mecze[[#This Row],[BR]]=0,0,Mecze[[#This Row],[BR]]/Mecze[[#This Row],[CZAS]])</f>
        <v>0</v>
      </c>
      <c r="S1846" s="44">
        <f>IF(Mecze[[#This Row],[Role]]="BR",SUMPRODUCT(Mecze[[#This Row],[/PR:90]:[/BR:90]],Brudnopis!$E$23:$J$23),0)</f>
        <v>0</v>
      </c>
      <c r="T1846" s="44">
        <f>IF(Mecze[[#This Row],[Role]]&lt;&gt;"BR",SUMPRODUCT(Mecze[[#This Row],[/PR:90]:[/BR:90]],Brudnopis!$E$24:$J$24),0)</f>
        <v>0.26063829787234039</v>
      </c>
      <c r="U1846" s="44">
        <f>IF(Mecze[[#This Row],[Role]]&lt;&gt;"BR",SUMPRODUCT(Mecze[[#This Row],[/PR:90]:[/BR:90]],Brudnopis!$E$25:$J$25),0)</f>
        <v>0.27659574468085102</v>
      </c>
      <c r="V1846" s="44">
        <f>IF(Mecze[[#This Row],[Role]]&lt;&gt;"BR",SUMPRODUCT(Mecze[[#This Row],[/PR:90]:[/BR:90]],Brudnopis!$E$26:$J$26),0)</f>
        <v>0.24468085106382975</v>
      </c>
      <c r="W1846" s="44">
        <f>IF(Mecze[[#This Row],[Role]]&lt;&gt;"BR",SUMPRODUCT(Mecze[[#This Row],[/PR:90]:[/BR:90]],Brudnopis!$E$27:$J$27),0)</f>
        <v>0.23138297872340424</v>
      </c>
      <c r="X1846" s="44">
        <f>IF(Mecze[[#This Row],[Role]]&lt;&gt;"BR",SUMPRODUCT(Mecze[[#This Row],[/PR:90]:[/BR:90]],Brudnopis!$E$28:$J$28),0)</f>
        <v>6.3829787234042548E-2</v>
      </c>
      <c r="Y1846" s="35">
        <f>IF(Mecze[[#This Row],[Role]]="BR",Mecze[[#This Row],[/OB:90]]+Mecze[[#This Row],[/PC:90]],SUM(Mecze[[#This Row],[/PR:90]:[/BR:90]]))</f>
        <v>0.24468085106382975</v>
      </c>
      <c r="Z1846" s="35">
        <f>IF(Mecze[[#This Row],[KC]]=0,SUM(Mecze[[#This Row],[/BRI]:[/NPI]]),SUM(Mecze[[#This Row],[/BRI]:[/NPI]])*0.6)</f>
        <v>1.0771276595744679</v>
      </c>
      <c r="AA1846" s="10">
        <f>IFERROR(Mecze[[#This Row],[BR]]/Mecze[[#This Row],[ST]],0)</f>
        <v>0</v>
      </c>
      <c r="AB1846">
        <f>ROUND(Mecze[[#This Row],[PD]]*Mecze[[#This Row],[%PC]],0)</f>
        <v>6</v>
      </c>
      <c r="AC1846">
        <f>ROUND(Mecze[[#This Row],[OD]]*Mecze[[#This Row],[%OU]],0)</f>
        <v>3</v>
      </c>
      <c r="AD1846" s="36" t="s">
        <v>167</v>
      </c>
      <c r="AE1846" s="36">
        <v>101</v>
      </c>
      <c r="AF1846" s="71">
        <v>6.86</v>
      </c>
      <c r="AG1846" s="37">
        <v>0</v>
      </c>
      <c r="AH1846" s="37">
        <v>0</v>
      </c>
      <c r="AI1846" s="37">
        <v>94</v>
      </c>
      <c r="AJ1846" s="37">
        <v>6</v>
      </c>
      <c r="AK1846" s="37" t="str">
        <f>VLOOKUP(Mecze[[#This Row],[Match ID]],Meczusie[Mecz]:Meczusie[RodzajMeczu],2,FALSE)</f>
        <v>Liga</v>
      </c>
    </row>
    <row r="1847" spans="1:37" x14ac:dyDescent="0.25">
      <c r="A1847" s="76">
        <v>8</v>
      </c>
      <c r="B1847" s="3" t="s">
        <v>254</v>
      </c>
      <c r="C1847" s="2" t="s">
        <v>160</v>
      </c>
      <c r="D1847" s="1">
        <v>0</v>
      </c>
      <c r="E1847" s="1">
        <v>0</v>
      </c>
      <c r="F1847" s="1">
        <v>0</v>
      </c>
      <c r="G1847" s="1">
        <v>8</v>
      </c>
      <c r="H1847" s="4">
        <v>0.88</v>
      </c>
      <c r="I1847" s="1">
        <v>6</v>
      </c>
      <c r="J1847" s="4">
        <v>0.17</v>
      </c>
      <c r="K1847" s="1">
        <v>0</v>
      </c>
      <c r="L1847" s="1">
        <v>2</v>
      </c>
      <c r="M1847" s="32">
        <f>IF(Mecze[[#This Row],[PR]]=0,0,Mecze[[#This Row],[PR]]/Mecze[[#This Row],[CZAS]])</f>
        <v>2.0408163265306121E-2</v>
      </c>
      <c r="N1847" s="32">
        <f>IF(Mecze[[#This Row],[OU]]=0,0,Mecze[[#This Row],[OU]]/Mecze[[#This Row],[CZAS]])</f>
        <v>1.020408163265306E-2</v>
      </c>
      <c r="O1847" s="32">
        <f>IF(Mecze[[#This Row],[PC]]=0,0,Mecze[[#This Row],[PC]]/Mecze[[#This Row],[CZAS]])</f>
        <v>7.1428571428571425E-2</v>
      </c>
      <c r="P1847" s="32">
        <f>IF(Mecze[[#This Row],[SC]]=0,0,Mecze[[#This Row],[SC]]/Mecze[[#This Row],[CZAS]])</f>
        <v>0</v>
      </c>
      <c r="Q1847" s="32">
        <f>IF(Mecze[[#This Row],[OB]]=0,0,Mecze[[#This Row],[OB]]/Mecze[[#This Row],[CZAS]])</f>
        <v>0</v>
      </c>
      <c r="R1847" s="32">
        <f>IF(Mecze[[#This Row],[BR]]=0,0,Mecze[[#This Row],[BR]]/Mecze[[#This Row],[CZAS]])</f>
        <v>0</v>
      </c>
      <c r="S1847" s="44">
        <f>IF(Mecze[[#This Row],[Role]]="BR",SUMPRODUCT(Mecze[[#This Row],[/PR:90]:[/BR:90]],Brudnopis!$E$23:$J$23),0)</f>
        <v>0</v>
      </c>
      <c r="T1847" s="44">
        <f>IF(Mecze[[#This Row],[Role]]&lt;&gt;"BR",SUMPRODUCT(Mecze[[#This Row],[/PR:90]:[/BR:90]],Brudnopis!$E$24:$J$24),0)</f>
        <v>0.10714285714285714</v>
      </c>
      <c r="U1847" s="44">
        <f>IF(Mecze[[#This Row],[Role]]&lt;&gt;"BR",SUMPRODUCT(Mecze[[#This Row],[/PR:90]:[/BR:90]],Brudnopis!$E$25:$J$25),0)</f>
        <v>0.13775510204081631</v>
      </c>
      <c r="V1847" s="44">
        <f>IF(Mecze[[#This Row],[Role]]&lt;&gt;"BR",SUMPRODUCT(Mecze[[#This Row],[/PR:90]:[/BR:90]],Brudnopis!$E$26:$J$26),0)</f>
        <v>0.10204081632653061</v>
      </c>
      <c r="W1847" s="44">
        <f>IF(Mecze[[#This Row],[Role]]&lt;&gt;"BR",SUMPRODUCT(Mecze[[#This Row],[/PR:90]:[/BR:90]],Brudnopis!$E$27:$J$27),0)</f>
        <v>0.13010204081632654</v>
      </c>
      <c r="X1847" s="44">
        <f>IF(Mecze[[#This Row],[Role]]&lt;&gt;"BR",SUMPRODUCT(Mecze[[#This Row],[/PR:90]:[/BR:90]],Brudnopis!$E$28:$J$28),0)</f>
        <v>7.1428571428571425E-2</v>
      </c>
      <c r="Y1847" s="35">
        <f>IF(Mecze[[#This Row],[Role]]="BR",Mecze[[#This Row],[/OB:90]]+Mecze[[#This Row],[/PC:90]],SUM(Mecze[[#This Row],[/PR:90]:[/BR:90]]))</f>
        <v>0.10204081632653061</v>
      </c>
      <c r="Z1847" s="35">
        <f>IF(Mecze[[#This Row],[KC]]=0,SUM(Mecze[[#This Row],[/BRI]:[/NPI]]),SUM(Mecze[[#This Row],[/BRI]:[/NPI]])*0.6)</f>
        <v>0.54846938775510201</v>
      </c>
      <c r="AA1847" s="10">
        <f>IFERROR(Mecze[[#This Row],[BR]]/Mecze[[#This Row],[ST]],0)</f>
        <v>0</v>
      </c>
      <c r="AB1847">
        <f>ROUND(Mecze[[#This Row],[PD]]*Mecze[[#This Row],[%PC]],0)</f>
        <v>7</v>
      </c>
      <c r="AC1847">
        <f>ROUND(Mecze[[#This Row],[OD]]*Mecze[[#This Row],[%OU]],0)</f>
        <v>1</v>
      </c>
      <c r="AD1847" s="36" t="s">
        <v>41</v>
      </c>
      <c r="AE1847" s="36">
        <v>101</v>
      </c>
      <c r="AF1847" s="71">
        <v>6.46</v>
      </c>
      <c r="AG1847" s="37">
        <v>0</v>
      </c>
      <c r="AH1847" s="37">
        <v>0</v>
      </c>
      <c r="AI1847" s="37">
        <v>98</v>
      </c>
      <c r="AJ1847" s="37">
        <v>6</v>
      </c>
      <c r="AK1847" s="37" t="str">
        <f>VLOOKUP(Mecze[[#This Row],[Match ID]],Meczusie[Mecz]:Meczusie[RodzajMeczu],2,FALSE)</f>
        <v>Liga</v>
      </c>
    </row>
    <row r="1848" spans="1:37" x14ac:dyDescent="0.25">
      <c r="A1848" s="76">
        <v>10</v>
      </c>
      <c r="B1848" s="3" t="s">
        <v>252</v>
      </c>
      <c r="C1848" s="2" t="s">
        <v>160</v>
      </c>
      <c r="D1848" s="1">
        <v>0</v>
      </c>
      <c r="E1848" s="1">
        <v>1</v>
      </c>
      <c r="F1848" s="1">
        <v>1</v>
      </c>
      <c r="G1848" s="1">
        <v>10</v>
      </c>
      <c r="H1848" s="4">
        <v>0.7</v>
      </c>
      <c r="I1848" s="1">
        <v>1</v>
      </c>
      <c r="J1848" s="4">
        <v>0</v>
      </c>
      <c r="K1848" s="1">
        <v>0</v>
      </c>
      <c r="L1848" s="1">
        <v>1</v>
      </c>
      <c r="M1848" s="32">
        <f>IF(Mecze[[#This Row],[PR]]=0,0,Mecze[[#This Row],[PR]]/Mecze[[#This Row],[CZAS]])</f>
        <v>1.3888888888888888E-2</v>
      </c>
      <c r="N1848" s="32">
        <f>IF(Mecze[[#This Row],[OU]]=0,0,Mecze[[#This Row],[OU]]/Mecze[[#This Row],[CZAS]])</f>
        <v>0</v>
      </c>
      <c r="O1848" s="32">
        <f>IF(Mecze[[#This Row],[PC]]=0,0,Mecze[[#This Row],[PC]]/Mecze[[#This Row],[CZAS]])</f>
        <v>9.7222222222222224E-2</v>
      </c>
      <c r="P1848" s="32">
        <f>IF(Mecze[[#This Row],[SC]]=0,0,Mecze[[#This Row],[SC]]/Mecze[[#This Row],[CZAS]])</f>
        <v>1.3888888888888888E-2</v>
      </c>
      <c r="Q1848" s="32">
        <f>IF(Mecze[[#This Row],[OB]]=0,0,Mecze[[#This Row],[OB]]/Mecze[[#This Row],[CZAS]])</f>
        <v>0</v>
      </c>
      <c r="R1848" s="32">
        <f>IF(Mecze[[#This Row],[BR]]=0,0,Mecze[[#This Row],[BR]]/Mecze[[#This Row],[CZAS]])</f>
        <v>0</v>
      </c>
      <c r="S1848" s="44">
        <f>IF(Mecze[[#This Row],[Role]]="BR",SUMPRODUCT(Mecze[[#This Row],[/PR:90]:[/BR:90]],Brudnopis!$E$23:$J$23),0)</f>
        <v>0</v>
      </c>
      <c r="T1848" s="44">
        <f>IF(Mecze[[#This Row],[Role]]&lt;&gt;"BR",SUMPRODUCT(Mecze[[#This Row],[/PR:90]:[/BR:90]],Brudnopis!$E$24:$J$24),0)</f>
        <v>0.125</v>
      </c>
      <c r="U1848" s="44">
        <f>IF(Mecze[[#This Row],[Role]]&lt;&gt;"BR",SUMPRODUCT(Mecze[[#This Row],[/PR:90]:[/BR:90]],Brudnopis!$E$25:$J$25),0)</f>
        <v>0.17361111111111113</v>
      </c>
      <c r="V1848" s="44">
        <f>IF(Mecze[[#This Row],[Role]]&lt;&gt;"BR",SUMPRODUCT(Mecze[[#This Row],[/PR:90]:[/BR:90]],Brudnopis!$E$26:$J$26),0)</f>
        <v>0.125</v>
      </c>
      <c r="W1848" s="44">
        <f>IF(Mecze[[#This Row],[Role]]&lt;&gt;"BR",SUMPRODUCT(Mecze[[#This Row],[/PR:90]:[/BR:90]],Brudnopis!$E$27:$J$27),0)</f>
        <v>0.1701388888888889</v>
      </c>
      <c r="X1848" s="44">
        <f>IF(Mecze[[#This Row],[Role]]&lt;&gt;"BR",SUMPRODUCT(Mecze[[#This Row],[/PR:90]:[/BR:90]],Brudnopis!$E$28:$J$28),0)</f>
        <v>0.125</v>
      </c>
      <c r="Y1848" s="35">
        <f>IF(Mecze[[#This Row],[Role]]="BR",Mecze[[#This Row],[/OB:90]]+Mecze[[#This Row],[/PC:90]],SUM(Mecze[[#This Row],[/PR:90]:[/BR:90]]))</f>
        <v>0.125</v>
      </c>
      <c r="Z1848" s="35">
        <f>IF(Mecze[[#This Row],[KC]]=0,SUM(Mecze[[#This Row],[/BRI]:[/NPI]]),SUM(Mecze[[#This Row],[/BRI]:[/NPI]])*0.6)</f>
        <v>0.71875</v>
      </c>
      <c r="AA1848" s="10">
        <f>IFERROR(Mecze[[#This Row],[BR]]/Mecze[[#This Row],[ST]],0)</f>
        <v>0</v>
      </c>
      <c r="AB1848">
        <f>ROUND(Mecze[[#This Row],[PD]]*Mecze[[#This Row],[%PC]],0)</f>
        <v>7</v>
      </c>
      <c r="AC1848">
        <f>ROUND(Mecze[[#This Row],[OD]]*Mecze[[#This Row],[%OU]],0)</f>
        <v>0</v>
      </c>
      <c r="AD1848" s="36" t="s">
        <v>318</v>
      </c>
      <c r="AE1848" s="36">
        <v>101</v>
      </c>
      <c r="AF1848" s="71">
        <v>5.57</v>
      </c>
      <c r="AG1848" s="37">
        <v>0</v>
      </c>
      <c r="AH1848" s="37">
        <v>0</v>
      </c>
      <c r="AI1848" s="37">
        <v>72</v>
      </c>
      <c r="AJ1848" s="37">
        <v>6</v>
      </c>
      <c r="AK1848" s="37" t="str">
        <f>VLOOKUP(Mecze[[#This Row],[Match ID]],Meczusie[Mecz]:Meczusie[RodzajMeczu],2,FALSE)</f>
        <v>Liga</v>
      </c>
    </row>
    <row r="1849" spans="1:37" x14ac:dyDescent="0.25">
      <c r="A1849" s="76">
        <v>11</v>
      </c>
      <c r="B1849" s="3" t="s">
        <v>250</v>
      </c>
      <c r="C1849" s="2" t="s">
        <v>160</v>
      </c>
      <c r="D1849" s="1">
        <v>0</v>
      </c>
      <c r="E1849" s="1">
        <v>0</v>
      </c>
      <c r="F1849" s="1">
        <v>0</v>
      </c>
      <c r="G1849" s="1">
        <v>12</v>
      </c>
      <c r="H1849" s="4">
        <v>0.75</v>
      </c>
      <c r="I1849" s="1">
        <v>0</v>
      </c>
      <c r="J1849" s="4"/>
      <c r="K1849" s="1">
        <v>0</v>
      </c>
      <c r="L1849" s="1">
        <v>4</v>
      </c>
      <c r="M1849" s="32">
        <f>IF(Mecze[[#This Row],[PR]]=0,0,Mecze[[#This Row],[PR]]/Mecze[[#This Row],[CZAS]])</f>
        <v>4.0816326530612242E-2</v>
      </c>
      <c r="N1849" s="32">
        <f>IF(Mecze[[#This Row],[OU]]=0,0,Mecze[[#This Row],[OU]]/Mecze[[#This Row],[CZAS]])</f>
        <v>0</v>
      </c>
      <c r="O1849" s="32">
        <f>IF(Mecze[[#This Row],[PC]]=0,0,Mecze[[#This Row],[PC]]/Mecze[[#This Row],[CZAS]])</f>
        <v>9.1836734693877556E-2</v>
      </c>
      <c r="P1849" s="32">
        <f>IF(Mecze[[#This Row],[SC]]=0,0,Mecze[[#This Row],[SC]]/Mecze[[#This Row],[CZAS]])</f>
        <v>0</v>
      </c>
      <c r="Q1849" s="32">
        <f>IF(Mecze[[#This Row],[OB]]=0,0,Mecze[[#This Row],[OB]]/Mecze[[#This Row],[CZAS]])</f>
        <v>0</v>
      </c>
      <c r="R1849" s="32">
        <f>IF(Mecze[[#This Row],[BR]]=0,0,Mecze[[#This Row],[BR]]/Mecze[[#This Row],[CZAS]])</f>
        <v>0</v>
      </c>
      <c r="S1849" s="44">
        <f>IF(Mecze[[#This Row],[Role]]="BR",SUMPRODUCT(Mecze[[#This Row],[/PR:90]:[/BR:90]],Brudnopis!$E$23:$J$23),0)</f>
        <v>0</v>
      </c>
      <c r="T1849" s="44">
        <f>IF(Mecze[[#This Row],[Role]]&lt;&gt;"BR",SUMPRODUCT(Mecze[[#This Row],[/PR:90]:[/BR:90]],Brudnopis!$E$24:$J$24),0)</f>
        <v>0.1326530612244898</v>
      </c>
      <c r="U1849" s="44">
        <f>IF(Mecze[[#This Row],[Role]]&lt;&gt;"BR",SUMPRODUCT(Mecze[[#This Row],[/PR:90]:[/BR:90]],Brudnopis!$E$25:$J$25),0)</f>
        <v>0.17857142857142858</v>
      </c>
      <c r="V1849" s="44">
        <f>IF(Mecze[[#This Row],[Role]]&lt;&gt;"BR",SUMPRODUCT(Mecze[[#This Row],[/PR:90]:[/BR:90]],Brudnopis!$E$26:$J$26),0)</f>
        <v>0.1326530612244898</v>
      </c>
      <c r="W1849" s="44">
        <f>IF(Mecze[[#This Row],[Role]]&lt;&gt;"BR",SUMPRODUCT(Mecze[[#This Row],[/PR:90]:[/BR:90]],Brudnopis!$E$27:$J$27),0)</f>
        <v>0.16836734693877553</v>
      </c>
      <c r="X1849" s="44">
        <f>IF(Mecze[[#This Row],[Role]]&lt;&gt;"BR",SUMPRODUCT(Mecze[[#This Row],[/PR:90]:[/BR:90]],Brudnopis!$E$28:$J$28),0)</f>
        <v>9.1836734693877556E-2</v>
      </c>
      <c r="Y1849" s="35">
        <f>IF(Mecze[[#This Row],[Role]]="BR",Mecze[[#This Row],[/OB:90]]+Mecze[[#This Row],[/PC:90]],SUM(Mecze[[#This Row],[/PR:90]:[/BR:90]]))</f>
        <v>0.1326530612244898</v>
      </c>
      <c r="Z1849" s="35">
        <f>IF(Mecze[[#This Row],[KC]]=0,SUM(Mecze[[#This Row],[/BRI]:[/NPI]]),SUM(Mecze[[#This Row],[/BRI]:[/NPI]])*0.6)</f>
        <v>0.70408163265306123</v>
      </c>
      <c r="AA1849" s="10">
        <f>IFERROR(Mecze[[#This Row],[BR]]/Mecze[[#This Row],[ST]],0)</f>
        <v>0</v>
      </c>
      <c r="AB1849">
        <f>ROUND(Mecze[[#This Row],[PD]]*Mecze[[#This Row],[%PC]],0)</f>
        <v>9</v>
      </c>
      <c r="AC1849">
        <f>ROUND(Mecze[[#This Row],[OD]]*Mecze[[#This Row],[%OU]],0)</f>
        <v>0</v>
      </c>
      <c r="AD1849" s="36" t="s">
        <v>319</v>
      </c>
      <c r="AE1849" s="36">
        <v>101</v>
      </c>
      <c r="AF1849" s="71">
        <v>5.97</v>
      </c>
      <c r="AG1849" s="37">
        <v>0</v>
      </c>
      <c r="AH1849" s="37">
        <v>0</v>
      </c>
      <c r="AI1849" s="37">
        <v>98</v>
      </c>
      <c r="AJ1849" s="37">
        <v>6</v>
      </c>
      <c r="AK1849" s="37" t="str">
        <f>VLOOKUP(Mecze[[#This Row],[Match ID]],Meczusie[Mecz]:Meczusie[RodzajMeczu],2,FALSE)</f>
        <v>Liga</v>
      </c>
    </row>
    <row r="1850" spans="1:37" x14ac:dyDescent="0.25">
      <c r="A1850" s="76">
        <v>106</v>
      </c>
      <c r="B1850" s="3" t="s">
        <v>424</v>
      </c>
      <c r="C1850" s="2" t="s">
        <v>160</v>
      </c>
      <c r="D1850" s="1">
        <v>0</v>
      </c>
      <c r="E1850" s="1">
        <v>2</v>
      </c>
      <c r="F1850" s="1">
        <v>2</v>
      </c>
      <c r="G1850" s="1">
        <v>9</v>
      </c>
      <c r="H1850" s="4">
        <v>0.44</v>
      </c>
      <c r="I1850" s="1">
        <v>1</v>
      </c>
      <c r="J1850" s="4">
        <v>1</v>
      </c>
      <c r="K1850" s="1">
        <v>0</v>
      </c>
      <c r="L1850" s="1">
        <v>3</v>
      </c>
      <c r="M1850" s="32">
        <f>IF(Mecze[[#This Row],[PR]]=0,0,Mecze[[#This Row],[PR]]/Mecze[[#This Row],[CZAS]])</f>
        <v>3.0612244897959183E-2</v>
      </c>
      <c r="N1850" s="32">
        <f>IF(Mecze[[#This Row],[OU]]=0,0,Mecze[[#This Row],[OU]]/Mecze[[#This Row],[CZAS]])</f>
        <v>1.020408163265306E-2</v>
      </c>
      <c r="O1850" s="32">
        <f>IF(Mecze[[#This Row],[PC]]=0,0,Mecze[[#This Row],[PC]]/Mecze[[#This Row],[CZAS]])</f>
        <v>4.0816326530612242E-2</v>
      </c>
      <c r="P1850" s="32">
        <f>IF(Mecze[[#This Row],[SC]]=0,0,Mecze[[#This Row],[SC]]/Mecze[[#This Row],[CZAS]])</f>
        <v>2.0408163265306121E-2</v>
      </c>
      <c r="Q1850" s="32">
        <f>IF(Mecze[[#This Row],[OB]]=0,0,Mecze[[#This Row],[OB]]/Mecze[[#This Row],[CZAS]])</f>
        <v>0</v>
      </c>
      <c r="R1850" s="32">
        <f>IF(Mecze[[#This Row],[BR]]=0,0,Mecze[[#This Row],[BR]]/Mecze[[#This Row],[CZAS]])</f>
        <v>0</v>
      </c>
      <c r="S1850" s="44">
        <f>IF(Mecze[[#This Row],[Role]]="BR",SUMPRODUCT(Mecze[[#This Row],[/PR:90]:[/BR:90]],Brudnopis!$E$23:$J$23),0)</f>
        <v>0</v>
      </c>
      <c r="T1850" s="44">
        <f>IF(Mecze[[#This Row],[Role]]&lt;&gt;"BR",SUMPRODUCT(Mecze[[#This Row],[/PR:90]:[/BR:90]],Brudnopis!$E$24:$J$24),0)</f>
        <v>0.10714285714285712</v>
      </c>
      <c r="U1850" s="44">
        <f>IF(Mecze[[#This Row],[Role]]&lt;&gt;"BR",SUMPRODUCT(Mecze[[#This Row],[/PR:90]:[/BR:90]],Brudnopis!$E$25:$J$25),0)</f>
        <v>0.12244897959183673</v>
      </c>
      <c r="V1850" s="44">
        <f>IF(Mecze[[#This Row],[Role]]&lt;&gt;"BR",SUMPRODUCT(Mecze[[#This Row],[/PR:90]:[/BR:90]],Brudnopis!$E$26:$J$26),0)</f>
        <v>0.1020408163265306</v>
      </c>
      <c r="W1850" s="44">
        <f>IF(Mecze[[#This Row],[Role]]&lt;&gt;"BR",SUMPRODUCT(Mecze[[#This Row],[/PR:90]:[/BR:90]],Brudnopis!$E$27:$J$27),0)</f>
        <v>0.11224489795918366</v>
      </c>
      <c r="X1850" s="44">
        <f>IF(Mecze[[#This Row],[Role]]&lt;&gt;"BR",SUMPRODUCT(Mecze[[#This Row],[/PR:90]:[/BR:90]],Brudnopis!$E$28:$J$28),0)</f>
        <v>8.1632653061224483E-2</v>
      </c>
      <c r="Y1850" s="35">
        <f>IF(Mecze[[#This Row],[Role]]="BR",Mecze[[#This Row],[/OB:90]]+Mecze[[#This Row],[/PC:90]],SUM(Mecze[[#This Row],[/PR:90]:[/BR:90]]))</f>
        <v>0.1020408163265306</v>
      </c>
      <c r="Z1850" s="35">
        <f>IF(Mecze[[#This Row],[KC]]=0,SUM(Mecze[[#This Row],[/BRI]:[/NPI]]),SUM(Mecze[[#This Row],[/BRI]:[/NPI]])*0.6)</f>
        <v>0.52551020408163263</v>
      </c>
      <c r="AA1850" s="10">
        <f>IFERROR(Mecze[[#This Row],[BR]]/Mecze[[#This Row],[ST]],0)</f>
        <v>0</v>
      </c>
      <c r="AB1850">
        <f>ROUND(Mecze[[#This Row],[PD]]*Mecze[[#This Row],[%PC]],0)</f>
        <v>4</v>
      </c>
      <c r="AC1850">
        <f>ROUND(Mecze[[#This Row],[OD]]*Mecze[[#This Row],[%OU]],0)</f>
        <v>1</v>
      </c>
      <c r="AD1850" s="36" t="s">
        <v>44</v>
      </c>
      <c r="AE1850" s="36">
        <v>101</v>
      </c>
      <c r="AF1850" s="71">
        <v>5.01</v>
      </c>
      <c r="AG1850" s="37">
        <v>0</v>
      </c>
      <c r="AH1850" s="37">
        <v>0</v>
      </c>
      <c r="AI1850" s="37">
        <v>98</v>
      </c>
      <c r="AJ1850" s="37">
        <v>6</v>
      </c>
      <c r="AK1850" s="37" t="str">
        <f>VLOOKUP(Mecze[[#This Row],[Match ID]],Meczusie[Mecz]:Meczusie[RodzajMeczu],2,FALSE)</f>
        <v>Liga</v>
      </c>
    </row>
    <row r="1851" spans="1:37" x14ac:dyDescent="0.25">
      <c r="A1851" s="76">
        <v>6</v>
      </c>
      <c r="B1851" s="3" t="s">
        <v>255</v>
      </c>
      <c r="C1851" s="2" t="s">
        <v>165</v>
      </c>
      <c r="D1851" s="1">
        <v>0</v>
      </c>
      <c r="E1851" s="1">
        <v>0</v>
      </c>
      <c r="F1851" s="1">
        <v>0</v>
      </c>
      <c r="G1851" s="1">
        <v>4</v>
      </c>
      <c r="H1851" s="4">
        <v>0.5</v>
      </c>
      <c r="I1851" s="1">
        <v>0</v>
      </c>
      <c r="J1851" s="4"/>
      <c r="K1851" s="1">
        <v>0</v>
      </c>
      <c r="L1851" s="1">
        <v>1</v>
      </c>
      <c r="M1851" s="32">
        <f>IF(Mecze[[#This Row],[PR]]=0,0,Mecze[[#This Row],[PR]]/Mecze[[#This Row],[CZAS]])</f>
        <v>1.020408163265306E-2</v>
      </c>
      <c r="N1851" s="32">
        <f>IF(Mecze[[#This Row],[OU]]=0,0,Mecze[[#This Row],[OU]]/Mecze[[#This Row],[CZAS]])</f>
        <v>0</v>
      </c>
      <c r="O1851" s="32">
        <f>IF(Mecze[[#This Row],[PC]]=0,0,Mecze[[#This Row],[PC]]/Mecze[[#This Row],[CZAS]])</f>
        <v>2.0408163265306121E-2</v>
      </c>
      <c r="P1851" s="32">
        <f>IF(Mecze[[#This Row],[SC]]=0,0,Mecze[[#This Row],[SC]]/Mecze[[#This Row],[CZAS]])</f>
        <v>0</v>
      </c>
      <c r="Q1851" s="32">
        <f>IF(Mecze[[#This Row],[OB]]=0,0,Mecze[[#This Row],[OB]]/Mecze[[#This Row],[CZAS]])</f>
        <v>0</v>
      </c>
      <c r="R1851" s="32">
        <f>IF(Mecze[[#This Row],[BR]]=0,0,Mecze[[#This Row],[BR]]/Mecze[[#This Row],[CZAS]])</f>
        <v>0</v>
      </c>
      <c r="S1851" s="44">
        <f>IF(Mecze[[#This Row],[Role]]="BR",SUMPRODUCT(Mecze[[#This Row],[/PR:90]:[/BR:90]],Brudnopis!$E$23:$J$23),0)</f>
        <v>0</v>
      </c>
      <c r="T1851" s="44">
        <f>IF(Mecze[[#This Row],[Role]]&lt;&gt;"BR",SUMPRODUCT(Mecze[[#This Row],[/PR:90]:[/BR:90]],Brudnopis!$E$24:$J$24),0)</f>
        <v>3.0612244897959183E-2</v>
      </c>
      <c r="U1851" s="44">
        <f>IF(Mecze[[#This Row],[Role]]&lt;&gt;"BR",SUMPRODUCT(Mecze[[#This Row],[/PR:90]:[/BR:90]],Brudnopis!$E$25:$J$25),0)</f>
        <v>4.0816326530612242E-2</v>
      </c>
      <c r="V1851" s="44">
        <f>IF(Mecze[[#This Row],[Role]]&lt;&gt;"BR",SUMPRODUCT(Mecze[[#This Row],[/PR:90]:[/BR:90]],Brudnopis!$E$26:$J$26),0)</f>
        <v>3.0612244897959183E-2</v>
      </c>
      <c r="W1851" s="44">
        <f>IF(Mecze[[#This Row],[Role]]&lt;&gt;"BR",SUMPRODUCT(Mecze[[#This Row],[/PR:90]:[/BR:90]],Brudnopis!$E$27:$J$27),0)</f>
        <v>3.826530612244898E-2</v>
      </c>
      <c r="X1851" s="44">
        <f>IF(Mecze[[#This Row],[Role]]&lt;&gt;"BR",SUMPRODUCT(Mecze[[#This Row],[/PR:90]:[/BR:90]],Brudnopis!$E$28:$J$28),0)</f>
        <v>2.0408163265306121E-2</v>
      </c>
      <c r="Y1851" s="35">
        <f>IF(Mecze[[#This Row],[Role]]="BR",Mecze[[#This Row],[/OB:90]]+Mecze[[#This Row],[/PC:90]],SUM(Mecze[[#This Row],[/PR:90]:[/BR:90]]))</f>
        <v>3.0612244897959183E-2</v>
      </c>
      <c r="Z1851" s="35">
        <f>IF(Mecze[[#This Row],[KC]]=0,SUM(Mecze[[#This Row],[/BRI]:[/NPI]]),SUM(Mecze[[#This Row],[/BRI]:[/NPI]])*0.6)</f>
        <v>0.16071428571428573</v>
      </c>
      <c r="AA1851" s="10">
        <f>IFERROR(Mecze[[#This Row],[BR]]/Mecze[[#This Row],[ST]],0)</f>
        <v>0</v>
      </c>
      <c r="AB1851">
        <f>ROUND(Mecze[[#This Row],[PD]]*Mecze[[#This Row],[%PC]],0)</f>
        <v>2</v>
      </c>
      <c r="AC1851">
        <f>ROUND(Mecze[[#This Row],[OD]]*Mecze[[#This Row],[%OU]],0)</f>
        <v>0</v>
      </c>
      <c r="AD1851" s="36" t="s">
        <v>232</v>
      </c>
      <c r="AE1851" s="36">
        <v>101</v>
      </c>
      <c r="AF1851" s="71">
        <v>3.93</v>
      </c>
      <c r="AG1851" s="37">
        <v>0</v>
      </c>
      <c r="AH1851" s="37">
        <v>0</v>
      </c>
      <c r="AI1851" s="37">
        <v>98</v>
      </c>
      <c r="AJ1851" s="37">
        <v>6</v>
      </c>
      <c r="AK1851" s="37" t="str">
        <f>VLOOKUP(Mecze[[#This Row],[Match ID]],Meczusie[Mecz]:Meczusie[RodzajMeczu],2,FALSE)</f>
        <v>Liga</v>
      </c>
    </row>
    <row r="1852" spans="1:37" x14ac:dyDescent="0.25">
      <c r="A1852" s="76">
        <v>5</v>
      </c>
      <c r="B1852" s="3" t="s">
        <v>256</v>
      </c>
      <c r="C1852" s="2" t="s">
        <v>165</v>
      </c>
      <c r="D1852" s="1">
        <v>2</v>
      </c>
      <c r="E1852" s="1">
        <v>7</v>
      </c>
      <c r="F1852" s="1">
        <v>6</v>
      </c>
      <c r="G1852" s="1">
        <v>8</v>
      </c>
      <c r="H1852" s="4">
        <v>0.63</v>
      </c>
      <c r="I1852" s="1">
        <v>4</v>
      </c>
      <c r="J1852" s="4">
        <v>0.75</v>
      </c>
      <c r="K1852" s="1">
        <v>0</v>
      </c>
      <c r="L1852" s="1">
        <v>2</v>
      </c>
      <c r="M1852" s="32">
        <f>IF(Mecze[[#This Row],[PR]]=0,0,Mecze[[#This Row],[PR]]/Mecze[[#This Row],[CZAS]])</f>
        <v>2.0408163265306121E-2</v>
      </c>
      <c r="N1852" s="32">
        <f>IF(Mecze[[#This Row],[OU]]=0,0,Mecze[[#This Row],[OU]]/Mecze[[#This Row],[CZAS]])</f>
        <v>3.0612244897959183E-2</v>
      </c>
      <c r="O1852" s="32">
        <f>IF(Mecze[[#This Row],[PC]]=0,0,Mecze[[#This Row],[PC]]/Mecze[[#This Row],[CZAS]])</f>
        <v>5.1020408163265307E-2</v>
      </c>
      <c r="P1852" s="32">
        <f>IF(Mecze[[#This Row],[SC]]=0,0,Mecze[[#This Row],[SC]]/Mecze[[#This Row],[CZAS]])</f>
        <v>6.1224489795918366E-2</v>
      </c>
      <c r="Q1852" s="32">
        <f>IF(Mecze[[#This Row],[OB]]=0,0,Mecze[[#This Row],[OB]]/Mecze[[#This Row],[CZAS]])</f>
        <v>0</v>
      </c>
      <c r="R1852" s="32">
        <f>IF(Mecze[[#This Row],[BR]]=0,0,Mecze[[#This Row],[BR]]/Mecze[[#This Row],[CZAS]])</f>
        <v>2.0408163265306121E-2</v>
      </c>
      <c r="S1852" s="44">
        <f>IF(Mecze[[#This Row],[Role]]="BR",SUMPRODUCT(Mecze[[#This Row],[/PR:90]:[/BR:90]],Brudnopis!$E$23:$J$23),0)</f>
        <v>0</v>
      </c>
      <c r="T1852" s="44">
        <f>IF(Mecze[[#This Row],[Role]]&lt;&gt;"BR",SUMPRODUCT(Mecze[[#This Row],[/PR:90]:[/BR:90]],Brudnopis!$E$24:$J$24),0)</f>
        <v>0.20918367346938774</v>
      </c>
      <c r="U1852" s="44">
        <f>IF(Mecze[[#This Row],[Role]]&lt;&gt;"BR",SUMPRODUCT(Mecze[[#This Row],[/PR:90]:[/BR:90]],Brudnopis!$E$25:$J$25),0)</f>
        <v>0.21938775510204081</v>
      </c>
      <c r="V1852" s="44">
        <f>IF(Mecze[[#This Row],[Role]]&lt;&gt;"BR",SUMPRODUCT(Mecze[[#This Row],[/PR:90]:[/BR:90]],Brudnopis!$E$26:$J$26),0)</f>
        <v>0.20408163265306123</v>
      </c>
      <c r="W1852" s="44">
        <f>IF(Mecze[[#This Row],[Role]]&lt;&gt;"BR",SUMPRODUCT(Mecze[[#This Row],[/PR:90]:[/BR:90]],Brudnopis!$E$27:$J$27),0)</f>
        <v>0.21683673469387754</v>
      </c>
      <c r="X1852" s="44">
        <f>IF(Mecze[[#This Row],[Role]]&lt;&gt;"BR",SUMPRODUCT(Mecze[[#This Row],[/PR:90]:[/BR:90]],Brudnopis!$E$28:$J$28),0)</f>
        <v>0.23469387755102039</v>
      </c>
      <c r="Y1852" s="35">
        <f>IF(Mecze[[#This Row],[Role]]="BR",Mecze[[#This Row],[/OB:90]]+Mecze[[#This Row],[/PC:90]],SUM(Mecze[[#This Row],[/PR:90]:[/BR:90]]))</f>
        <v>0.18367346938775511</v>
      </c>
      <c r="Z1852" s="35">
        <f>IF(Mecze[[#This Row],[KC]]=0,SUM(Mecze[[#This Row],[/BRI]:[/NPI]]),SUM(Mecze[[#This Row],[/BRI]:[/NPI]])*0.6)</f>
        <v>1.0841836734693877</v>
      </c>
      <c r="AA1852" s="10">
        <f>IFERROR(Mecze[[#This Row],[BR]]/Mecze[[#This Row],[ST]],0)</f>
        <v>0.2857142857142857</v>
      </c>
      <c r="AB1852">
        <f>ROUND(Mecze[[#This Row],[PD]]*Mecze[[#This Row],[%PC]],0)</f>
        <v>5</v>
      </c>
      <c r="AC1852">
        <f>ROUND(Mecze[[#This Row],[OD]]*Mecze[[#This Row],[%OU]],0)</f>
        <v>3</v>
      </c>
      <c r="AD1852" s="36" t="s">
        <v>46</v>
      </c>
      <c r="AE1852" s="36">
        <v>101</v>
      </c>
      <c r="AF1852" s="71">
        <v>11.18</v>
      </c>
      <c r="AG1852" s="37">
        <v>0</v>
      </c>
      <c r="AH1852" s="37">
        <v>0</v>
      </c>
      <c r="AI1852" s="37">
        <v>98</v>
      </c>
      <c r="AJ1852" s="37">
        <v>6</v>
      </c>
      <c r="AK1852" s="37" t="str">
        <f>VLOOKUP(Mecze[[#This Row],[Match ID]],Meczusie[Mecz]:Meczusie[RodzajMeczu],2,FALSE)</f>
        <v>Liga</v>
      </c>
    </row>
    <row r="1853" spans="1:37" x14ac:dyDescent="0.25">
      <c r="A1853" s="76">
        <v>100</v>
      </c>
      <c r="B1853" s="3" t="s">
        <v>257</v>
      </c>
      <c r="C1853" s="2" t="s">
        <v>165</v>
      </c>
      <c r="D1853" s="1">
        <v>1</v>
      </c>
      <c r="E1853" s="1">
        <v>2</v>
      </c>
      <c r="F1853" s="1">
        <v>2</v>
      </c>
      <c r="G1853" s="1">
        <v>8</v>
      </c>
      <c r="H1853" s="4">
        <v>0.5</v>
      </c>
      <c r="I1853" s="1">
        <v>3</v>
      </c>
      <c r="J1853" s="4">
        <v>0.67</v>
      </c>
      <c r="K1853" s="1">
        <v>0</v>
      </c>
      <c r="L1853" s="1">
        <v>1</v>
      </c>
      <c r="M1853" s="32">
        <f>IF(Mecze[[#This Row],[PR]]=0,0,Mecze[[#This Row],[PR]]/Mecze[[#This Row],[CZAS]])</f>
        <v>1.0752688172043012E-2</v>
      </c>
      <c r="N1853" s="32">
        <f>IF(Mecze[[#This Row],[OU]]=0,0,Mecze[[#This Row],[OU]]/Mecze[[#This Row],[CZAS]])</f>
        <v>2.1505376344086023E-2</v>
      </c>
      <c r="O1853" s="32">
        <f>IF(Mecze[[#This Row],[PC]]=0,0,Mecze[[#This Row],[PC]]/Mecze[[#This Row],[CZAS]])</f>
        <v>4.3010752688172046E-2</v>
      </c>
      <c r="P1853" s="32">
        <f>IF(Mecze[[#This Row],[SC]]=0,0,Mecze[[#This Row],[SC]]/Mecze[[#This Row],[CZAS]])</f>
        <v>2.1505376344086023E-2</v>
      </c>
      <c r="Q1853" s="32">
        <f>IF(Mecze[[#This Row],[OB]]=0,0,Mecze[[#This Row],[OB]]/Mecze[[#This Row],[CZAS]])</f>
        <v>0</v>
      </c>
      <c r="R1853" s="32">
        <f>IF(Mecze[[#This Row],[BR]]=0,0,Mecze[[#This Row],[BR]]/Mecze[[#This Row],[CZAS]])</f>
        <v>1.0752688172043012E-2</v>
      </c>
      <c r="S1853" s="44">
        <f>IF(Mecze[[#This Row],[Role]]="BR",SUMPRODUCT(Mecze[[#This Row],[/PR:90]:[/BR:90]],Brudnopis!$E$23:$J$23),0)</f>
        <v>0</v>
      </c>
      <c r="T1853" s="44">
        <f>IF(Mecze[[#This Row],[Role]]&lt;&gt;"BR",SUMPRODUCT(Mecze[[#This Row],[/PR:90]:[/BR:90]],Brudnopis!$E$24:$J$24),0)</f>
        <v>0.12365591397849464</v>
      </c>
      <c r="U1853" s="44">
        <f>IF(Mecze[[#This Row],[Role]]&lt;&gt;"BR",SUMPRODUCT(Mecze[[#This Row],[/PR:90]:[/BR:90]],Brudnopis!$E$25:$J$25),0)</f>
        <v>0.13440860215053763</v>
      </c>
      <c r="V1853" s="44">
        <f>IF(Mecze[[#This Row],[Role]]&lt;&gt;"BR",SUMPRODUCT(Mecze[[#This Row],[/PR:90]:[/BR:90]],Brudnopis!$E$26:$J$26),0)</f>
        <v>0.11827956989247312</v>
      </c>
      <c r="W1853" s="44">
        <f>IF(Mecze[[#This Row],[Role]]&lt;&gt;"BR",SUMPRODUCT(Mecze[[#This Row],[/PR:90]:[/BR:90]],Brudnopis!$E$27:$J$27),0)</f>
        <v>0.1317204301075269</v>
      </c>
      <c r="X1853" s="44">
        <f>IF(Mecze[[#This Row],[Role]]&lt;&gt;"BR",SUMPRODUCT(Mecze[[#This Row],[/PR:90]:[/BR:90]],Brudnopis!$E$28:$J$28),0)</f>
        <v>0.11827956989247312</v>
      </c>
      <c r="Y1853" s="35">
        <f>IF(Mecze[[#This Row],[Role]]="BR",Mecze[[#This Row],[/OB:90]]+Mecze[[#This Row],[/PC:90]],SUM(Mecze[[#This Row],[/PR:90]:[/BR:90]]))</f>
        <v>0.10752688172043011</v>
      </c>
      <c r="Z1853" s="35">
        <f>IF(Mecze[[#This Row],[KC]]=0,SUM(Mecze[[#This Row],[/BRI]:[/NPI]]),SUM(Mecze[[#This Row],[/BRI]:[/NPI]])*0.6)</f>
        <v>0.62634408602150538</v>
      </c>
      <c r="AA1853" s="10">
        <f>IFERROR(Mecze[[#This Row],[BR]]/Mecze[[#This Row],[ST]],0)</f>
        <v>0.5</v>
      </c>
      <c r="AB1853">
        <f>ROUND(Mecze[[#This Row],[PD]]*Mecze[[#This Row],[%PC]],0)</f>
        <v>4</v>
      </c>
      <c r="AC1853">
        <f>ROUND(Mecze[[#This Row],[OD]]*Mecze[[#This Row],[%OU]],0)</f>
        <v>2</v>
      </c>
      <c r="AD1853" s="36" t="s">
        <v>46</v>
      </c>
      <c r="AE1853" s="36">
        <v>101</v>
      </c>
      <c r="AF1853" s="71">
        <v>8</v>
      </c>
      <c r="AG1853" s="37">
        <v>0</v>
      </c>
      <c r="AH1853" s="37">
        <v>0</v>
      </c>
      <c r="AI1853" s="37">
        <v>93</v>
      </c>
      <c r="AJ1853" s="37">
        <v>6</v>
      </c>
      <c r="AK1853" s="37" t="str">
        <f>VLOOKUP(Mecze[[#This Row],[Match ID]],Meczusie[Mecz]:Meczusie[RodzajMeczu],2,FALSE)</f>
        <v>Liga</v>
      </c>
    </row>
    <row r="1854" spans="1:37" x14ac:dyDescent="0.25">
      <c r="A1854" s="76">
        <v>20</v>
      </c>
      <c r="B1854" s="3" t="s">
        <v>391</v>
      </c>
      <c r="C1854" s="2" t="s">
        <v>165</v>
      </c>
      <c r="D1854" s="1">
        <v>0</v>
      </c>
      <c r="E1854" s="1">
        <v>0</v>
      </c>
      <c r="F1854" s="1">
        <v>0</v>
      </c>
      <c r="G1854" s="1">
        <v>0</v>
      </c>
      <c r="H1854" s="72"/>
      <c r="I1854" s="1">
        <v>0</v>
      </c>
      <c r="J1854" s="4"/>
      <c r="K1854" s="1">
        <v>0</v>
      </c>
      <c r="L1854" s="1">
        <v>0</v>
      </c>
      <c r="M1854" s="32">
        <f>IF(Mecze[[#This Row],[PR]]=0,0,Mecze[[#This Row],[PR]]/Mecze[[#This Row],[CZAS]])</f>
        <v>0</v>
      </c>
      <c r="N1854" s="32">
        <f>IF(Mecze[[#This Row],[OU]]=0,0,Mecze[[#This Row],[OU]]/Mecze[[#This Row],[CZAS]])</f>
        <v>0</v>
      </c>
      <c r="O1854" s="32">
        <f>IF(Mecze[[#This Row],[PC]]=0,0,Mecze[[#This Row],[PC]]/Mecze[[#This Row],[CZAS]])</f>
        <v>0</v>
      </c>
      <c r="P1854" s="32">
        <f>IF(Mecze[[#This Row],[SC]]=0,0,Mecze[[#This Row],[SC]]/Mecze[[#This Row],[CZAS]])</f>
        <v>0</v>
      </c>
      <c r="Q1854" s="32">
        <f>IF(Mecze[[#This Row],[OB]]=0,0,Mecze[[#This Row],[OB]]/Mecze[[#This Row],[CZAS]])</f>
        <v>0</v>
      </c>
      <c r="R1854" s="32">
        <f>IF(Mecze[[#This Row],[BR]]=0,0,Mecze[[#This Row],[BR]]/Mecze[[#This Row],[CZAS]])</f>
        <v>0</v>
      </c>
      <c r="S1854" s="44">
        <f>IF(Mecze[[#This Row],[Role]]="BR",SUMPRODUCT(Mecze[[#This Row],[/PR:90]:[/BR:90]],Brudnopis!$E$23:$J$23),0)</f>
        <v>0</v>
      </c>
      <c r="T1854" s="44">
        <f>IF(Mecze[[#This Row],[Role]]&lt;&gt;"BR",SUMPRODUCT(Mecze[[#This Row],[/PR:90]:[/BR:90]],Brudnopis!$E$24:$J$24),0)</f>
        <v>0</v>
      </c>
      <c r="U1854" s="44">
        <f>IF(Mecze[[#This Row],[Role]]&lt;&gt;"BR",SUMPRODUCT(Mecze[[#This Row],[/PR:90]:[/BR:90]],Brudnopis!$E$25:$J$25),0)</f>
        <v>0</v>
      </c>
      <c r="V1854" s="44">
        <f>IF(Mecze[[#This Row],[Role]]&lt;&gt;"BR",SUMPRODUCT(Mecze[[#This Row],[/PR:90]:[/BR:90]],Brudnopis!$E$26:$J$26),0)</f>
        <v>0</v>
      </c>
      <c r="W1854" s="44">
        <f>IF(Mecze[[#This Row],[Role]]&lt;&gt;"BR",SUMPRODUCT(Mecze[[#This Row],[/PR:90]:[/BR:90]],Brudnopis!$E$27:$J$27),0)</f>
        <v>0</v>
      </c>
      <c r="X1854" s="44">
        <f>IF(Mecze[[#This Row],[Role]]&lt;&gt;"BR",SUMPRODUCT(Mecze[[#This Row],[/PR:90]:[/BR:90]],Brudnopis!$E$28:$J$28),0)</f>
        <v>0</v>
      </c>
      <c r="Y1854" s="35">
        <f>IF(Mecze[[#This Row],[Role]]="BR",Mecze[[#This Row],[/OB:90]]+Mecze[[#This Row],[/PC:90]],SUM(Mecze[[#This Row],[/PR:90]:[/BR:90]]))</f>
        <v>0</v>
      </c>
      <c r="Z1854" s="35">
        <f>IF(Mecze[[#This Row],[KC]]=0,SUM(Mecze[[#This Row],[/BRI]:[/NPI]]),SUM(Mecze[[#This Row],[/BRI]:[/NPI]])*0.6)</f>
        <v>0</v>
      </c>
      <c r="AA1854" s="10">
        <f>IFERROR(Mecze[[#This Row],[BR]]/Mecze[[#This Row],[ST]],0)</f>
        <v>0</v>
      </c>
      <c r="AB1854">
        <f>ROUND(Mecze[[#This Row],[PD]]*Mecze[[#This Row],[%PC]],0)</f>
        <v>0</v>
      </c>
      <c r="AC1854">
        <f>ROUND(Mecze[[#This Row],[OD]]*Mecze[[#This Row],[%OU]],0)</f>
        <v>0</v>
      </c>
      <c r="AD1854" s="36" t="s">
        <v>46</v>
      </c>
      <c r="AE1854" s="36">
        <v>101</v>
      </c>
      <c r="AF1854" s="71">
        <v>1.72</v>
      </c>
      <c r="AG1854" s="37">
        <v>0</v>
      </c>
      <c r="AH1854" s="37">
        <v>0</v>
      </c>
      <c r="AI1854" s="37">
        <v>5</v>
      </c>
      <c r="AJ1854" s="37">
        <v>6</v>
      </c>
      <c r="AK1854" s="37" t="str">
        <f>VLOOKUP(Mecze[[#This Row],[Match ID]],Meczusie[Mecz]:Meczusie[RodzajMeczu],2,FALSE)</f>
        <v>Liga</v>
      </c>
    </row>
    <row r="1855" spans="1:37" x14ac:dyDescent="0.25">
      <c r="A1855" s="76">
        <v>105</v>
      </c>
      <c r="B1855" s="3" t="s">
        <v>423</v>
      </c>
      <c r="C1855" s="2" t="s">
        <v>157</v>
      </c>
      <c r="D1855" s="1">
        <v>0</v>
      </c>
      <c r="E1855" s="1">
        <v>0</v>
      </c>
      <c r="F1855" s="1">
        <v>0</v>
      </c>
      <c r="G1855" s="1">
        <v>1</v>
      </c>
      <c r="H1855" s="4">
        <v>1</v>
      </c>
      <c r="I1855" s="1">
        <v>0</v>
      </c>
      <c r="J1855" s="4"/>
      <c r="K1855" s="1">
        <v>0</v>
      </c>
      <c r="L1855" s="1">
        <v>0</v>
      </c>
      <c r="M1855" s="32">
        <f>IF(Mecze[[#This Row],[PR]]=0,0,Mecze[[#This Row],[PR]]/Mecze[[#This Row],[CZAS]])</f>
        <v>0</v>
      </c>
      <c r="N1855" s="32">
        <f>IF(Mecze[[#This Row],[OU]]=0,0,Mecze[[#This Row],[OU]]/Mecze[[#This Row],[CZAS]])</f>
        <v>0</v>
      </c>
      <c r="O1855" s="32">
        <f>IF(Mecze[[#This Row],[PC]]=0,0,Mecze[[#This Row],[PC]]/Mecze[[#This Row],[CZAS]])</f>
        <v>0.25</v>
      </c>
      <c r="P1855" s="32">
        <f>IF(Mecze[[#This Row],[SC]]=0,0,Mecze[[#This Row],[SC]]/Mecze[[#This Row],[CZAS]])</f>
        <v>0</v>
      </c>
      <c r="Q1855" s="32">
        <f>IF(Mecze[[#This Row],[OB]]=0,0,Mecze[[#This Row],[OB]]/Mecze[[#This Row],[CZAS]])</f>
        <v>0</v>
      </c>
      <c r="R1855" s="32">
        <f>IF(Mecze[[#This Row],[BR]]=0,0,Mecze[[#This Row],[BR]]/Mecze[[#This Row],[CZAS]])</f>
        <v>0</v>
      </c>
      <c r="S1855" s="44">
        <f>IF(Mecze[[#This Row],[Role]]="BR",SUMPRODUCT(Mecze[[#This Row],[/PR:90]:[/BR:90]],Brudnopis!$E$23:$J$23),0)</f>
        <v>0</v>
      </c>
      <c r="T1855" s="44">
        <f>IF(Mecze[[#This Row],[Role]]&lt;&gt;"BR",SUMPRODUCT(Mecze[[#This Row],[/PR:90]:[/BR:90]],Brudnopis!$E$24:$J$24),0)</f>
        <v>0.25</v>
      </c>
      <c r="U1855" s="44">
        <f>IF(Mecze[[#This Row],[Role]]&lt;&gt;"BR",SUMPRODUCT(Mecze[[#This Row],[/PR:90]:[/BR:90]],Brudnopis!$E$25:$J$25),0)</f>
        <v>0.375</v>
      </c>
      <c r="V1855" s="44">
        <f>IF(Mecze[[#This Row],[Role]]&lt;&gt;"BR",SUMPRODUCT(Mecze[[#This Row],[/PR:90]:[/BR:90]],Brudnopis!$E$26:$J$26),0)</f>
        <v>0.25</v>
      </c>
      <c r="W1855" s="44">
        <f>IF(Mecze[[#This Row],[Role]]&lt;&gt;"BR",SUMPRODUCT(Mecze[[#This Row],[/PR:90]:[/BR:90]],Brudnopis!$E$27:$J$27),0)</f>
        <v>0.375</v>
      </c>
      <c r="X1855" s="44">
        <f>IF(Mecze[[#This Row],[Role]]&lt;&gt;"BR",SUMPRODUCT(Mecze[[#This Row],[/PR:90]:[/BR:90]],Brudnopis!$E$28:$J$28),0)</f>
        <v>0.25</v>
      </c>
      <c r="Y1855" s="35">
        <f>IF(Mecze[[#This Row],[Role]]="BR",Mecze[[#This Row],[/OB:90]]+Mecze[[#This Row],[/PC:90]],SUM(Mecze[[#This Row],[/PR:90]:[/BR:90]]))</f>
        <v>0.25</v>
      </c>
      <c r="Z1855" s="35">
        <f>IF(Mecze[[#This Row],[KC]]=0,SUM(Mecze[[#This Row],[/BRI]:[/NPI]]),SUM(Mecze[[#This Row],[/BRI]:[/NPI]])*0.6)</f>
        <v>1.5</v>
      </c>
      <c r="AA1855" s="10">
        <f>IFERROR(Mecze[[#This Row],[BR]]/Mecze[[#This Row],[ST]],0)</f>
        <v>0</v>
      </c>
      <c r="AB1855">
        <f>ROUND(Mecze[[#This Row],[PD]]*Mecze[[#This Row],[%PC]],0)</f>
        <v>1</v>
      </c>
      <c r="AC1855">
        <f>ROUND(Mecze[[#This Row],[OD]]*Mecze[[#This Row],[%OU]],0)</f>
        <v>0</v>
      </c>
      <c r="AD1855" s="36" t="s">
        <v>167</v>
      </c>
      <c r="AE1855" s="36">
        <v>101</v>
      </c>
      <c r="AF1855" s="71">
        <v>1.72</v>
      </c>
      <c r="AG1855" s="37">
        <v>0</v>
      </c>
      <c r="AH1855" s="37">
        <v>0</v>
      </c>
      <c r="AI1855" s="37">
        <v>4</v>
      </c>
      <c r="AJ1855" s="37">
        <v>6</v>
      </c>
      <c r="AK1855" s="37" t="str">
        <f>VLOOKUP(Mecze[[#This Row],[Match ID]],Meczusie[Mecz]:Meczusie[RodzajMeczu],2,FALSE)</f>
        <v>Liga</v>
      </c>
    </row>
    <row r="1856" spans="1:37" x14ac:dyDescent="0.25">
      <c r="A1856" s="76">
        <v>9</v>
      </c>
      <c r="B1856" s="3" t="s">
        <v>258</v>
      </c>
      <c r="C1856" s="2" t="s">
        <v>160</v>
      </c>
      <c r="D1856" s="1">
        <v>0</v>
      </c>
      <c r="E1856" s="1">
        <v>0</v>
      </c>
      <c r="F1856" s="1">
        <v>0</v>
      </c>
      <c r="G1856" s="1">
        <v>5</v>
      </c>
      <c r="H1856" s="4">
        <v>0.4</v>
      </c>
      <c r="I1856" s="1">
        <v>2</v>
      </c>
      <c r="J1856" s="4">
        <v>0</v>
      </c>
      <c r="K1856" s="1">
        <v>0</v>
      </c>
      <c r="L1856" s="1">
        <v>0</v>
      </c>
      <c r="M1856" s="32">
        <f>IF(Mecze[[#This Row],[PR]]=0,0,Mecze[[#This Row],[PR]]/Mecze[[#This Row],[CZAS]])</f>
        <v>0</v>
      </c>
      <c r="N1856" s="32">
        <f>IF(Mecze[[#This Row],[OU]]=0,0,Mecze[[#This Row],[OU]]/Mecze[[#This Row],[CZAS]])</f>
        <v>0</v>
      </c>
      <c r="O1856" s="32">
        <f>IF(Mecze[[#This Row],[PC]]=0,0,Mecze[[#This Row],[PC]]/Mecze[[#This Row],[CZAS]])</f>
        <v>7.6923076923076927E-2</v>
      </c>
      <c r="P1856" s="32">
        <f>IF(Mecze[[#This Row],[SC]]=0,0,Mecze[[#This Row],[SC]]/Mecze[[#This Row],[CZAS]])</f>
        <v>0</v>
      </c>
      <c r="Q1856" s="32">
        <f>IF(Mecze[[#This Row],[OB]]=0,0,Mecze[[#This Row],[OB]]/Mecze[[#This Row],[CZAS]])</f>
        <v>0</v>
      </c>
      <c r="R1856" s="32">
        <f>IF(Mecze[[#This Row],[BR]]=0,0,Mecze[[#This Row],[BR]]/Mecze[[#This Row],[CZAS]])</f>
        <v>0</v>
      </c>
      <c r="S1856" s="44">
        <f>IF(Mecze[[#This Row],[Role]]="BR",SUMPRODUCT(Mecze[[#This Row],[/PR:90]:[/BR:90]],Brudnopis!$E$23:$J$23),0)</f>
        <v>0</v>
      </c>
      <c r="T1856" s="44">
        <f>IF(Mecze[[#This Row],[Role]]&lt;&gt;"BR",SUMPRODUCT(Mecze[[#This Row],[/PR:90]:[/BR:90]],Brudnopis!$E$24:$J$24),0)</f>
        <v>7.6923076923076927E-2</v>
      </c>
      <c r="U1856" s="44">
        <f>IF(Mecze[[#This Row],[Role]]&lt;&gt;"BR",SUMPRODUCT(Mecze[[#This Row],[/PR:90]:[/BR:90]],Brudnopis!$E$25:$J$25),0)</f>
        <v>0.11538461538461539</v>
      </c>
      <c r="V1856" s="44">
        <f>IF(Mecze[[#This Row],[Role]]&lt;&gt;"BR",SUMPRODUCT(Mecze[[#This Row],[/PR:90]:[/BR:90]],Brudnopis!$E$26:$J$26),0)</f>
        <v>7.6923076923076927E-2</v>
      </c>
      <c r="W1856" s="44">
        <f>IF(Mecze[[#This Row],[Role]]&lt;&gt;"BR",SUMPRODUCT(Mecze[[#This Row],[/PR:90]:[/BR:90]],Brudnopis!$E$27:$J$27),0)</f>
        <v>0.11538461538461539</v>
      </c>
      <c r="X1856" s="44">
        <f>IF(Mecze[[#This Row],[Role]]&lt;&gt;"BR",SUMPRODUCT(Mecze[[#This Row],[/PR:90]:[/BR:90]],Brudnopis!$E$28:$J$28),0)</f>
        <v>7.6923076923076927E-2</v>
      </c>
      <c r="Y1856" s="35">
        <f>IF(Mecze[[#This Row],[Role]]="BR",Mecze[[#This Row],[/OB:90]]+Mecze[[#This Row],[/PC:90]],SUM(Mecze[[#This Row],[/PR:90]:[/BR:90]]))</f>
        <v>7.6923076923076927E-2</v>
      </c>
      <c r="Z1856" s="35">
        <f>IF(Mecze[[#This Row],[KC]]=0,SUM(Mecze[[#This Row],[/BRI]:[/NPI]]),SUM(Mecze[[#This Row],[/BRI]:[/NPI]])*0.6)</f>
        <v>0.46153846153846162</v>
      </c>
      <c r="AA1856" s="10">
        <f>IFERROR(Mecze[[#This Row],[BR]]/Mecze[[#This Row],[ST]],0)</f>
        <v>0</v>
      </c>
      <c r="AB1856">
        <f>ROUND(Mecze[[#This Row],[PD]]*Mecze[[#This Row],[%PC]],0)</f>
        <v>2</v>
      </c>
      <c r="AC1856">
        <f>ROUND(Mecze[[#This Row],[OD]]*Mecze[[#This Row],[%OU]],0)</f>
        <v>0</v>
      </c>
      <c r="AD1856" s="36" t="s">
        <v>318</v>
      </c>
      <c r="AE1856" s="36">
        <v>101</v>
      </c>
      <c r="AF1856" s="71">
        <v>1.72</v>
      </c>
      <c r="AG1856" s="37">
        <v>0</v>
      </c>
      <c r="AH1856" s="37">
        <v>0</v>
      </c>
      <c r="AI1856" s="37">
        <v>26</v>
      </c>
      <c r="AJ1856" s="37">
        <v>6</v>
      </c>
      <c r="AK1856" s="37" t="str">
        <f>VLOOKUP(Mecze[[#This Row],[Match ID]],Meczusie[Mecz]:Meczusie[RodzajMeczu],2,FALSE)</f>
        <v>Liga</v>
      </c>
    </row>
    <row r="1857" spans="1:37" x14ac:dyDescent="0.25">
      <c r="A1857" s="76">
        <v>1</v>
      </c>
      <c r="B1857" s="3" t="s">
        <v>274</v>
      </c>
      <c r="C1857" s="2" t="s">
        <v>155</v>
      </c>
      <c r="D1857" s="1">
        <v>0</v>
      </c>
      <c r="E1857" s="1">
        <v>0</v>
      </c>
      <c r="F1857" s="1">
        <v>0</v>
      </c>
      <c r="G1857" s="1">
        <v>7</v>
      </c>
      <c r="H1857" s="4">
        <v>0.56999999999999995</v>
      </c>
      <c r="I1857" s="1">
        <v>0</v>
      </c>
      <c r="J1857" s="4"/>
      <c r="K1857" s="1">
        <v>7</v>
      </c>
      <c r="L1857" s="1">
        <v>0</v>
      </c>
      <c r="M1857" s="32">
        <f>IF(Mecze[[#This Row],[PR]]=0,0,Mecze[[#This Row],[PR]]/Mecze[[#This Row],[CZAS]])</f>
        <v>0</v>
      </c>
      <c r="N1857" s="32">
        <f>IF(Mecze[[#This Row],[OU]]=0,0,Mecze[[#This Row],[OU]]/Mecze[[#This Row],[CZAS]])</f>
        <v>0</v>
      </c>
      <c r="O1857" s="32">
        <f>IF(Mecze[[#This Row],[PC]]=0,0,Mecze[[#This Row],[PC]]/Mecze[[#This Row],[CZAS]])</f>
        <v>4.0816326530612242E-2</v>
      </c>
      <c r="P1857" s="32">
        <f>IF(Mecze[[#This Row],[SC]]=0,0,Mecze[[#This Row],[SC]]/Mecze[[#This Row],[CZAS]])</f>
        <v>0</v>
      </c>
      <c r="Q1857" s="32">
        <f>IF(Mecze[[#This Row],[OB]]=0,0,Mecze[[#This Row],[OB]]/Mecze[[#This Row],[CZAS]])</f>
        <v>7.1428571428571425E-2</v>
      </c>
      <c r="R1857" s="32">
        <f>IF(Mecze[[#This Row],[BR]]=0,0,Mecze[[#This Row],[BR]]/Mecze[[#This Row],[CZAS]])</f>
        <v>0</v>
      </c>
      <c r="S1857" s="44">
        <f>IF(Mecze[[#This Row],[Role]]="BR",SUMPRODUCT(Mecze[[#This Row],[/PR:90]:[/BR:90]],Brudnopis!$E$23:$J$23),0)</f>
        <v>0.33673469387755101</v>
      </c>
      <c r="T1857" s="44">
        <f>IF(Mecze[[#This Row],[Role]]&lt;&gt;"BR",SUMPRODUCT(Mecze[[#This Row],[/PR:90]:[/BR:90]],Brudnopis!$E$24:$J$24),0)</f>
        <v>0</v>
      </c>
      <c r="U1857" s="44">
        <f>IF(Mecze[[#This Row],[Role]]&lt;&gt;"BR",SUMPRODUCT(Mecze[[#This Row],[/PR:90]:[/BR:90]],Brudnopis!$E$25:$J$25),0)</f>
        <v>0</v>
      </c>
      <c r="V1857" s="44">
        <f>IF(Mecze[[#This Row],[Role]]&lt;&gt;"BR",SUMPRODUCT(Mecze[[#This Row],[/PR:90]:[/BR:90]],Brudnopis!$E$26:$J$26),0)</f>
        <v>0</v>
      </c>
      <c r="W1857" s="44">
        <f>IF(Mecze[[#This Row],[Role]]&lt;&gt;"BR",SUMPRODUCT(Mecze[[#This Row],[/PR:90]:[/BR:90]],Brudnopis!$E$27:$J$27),0)</f>
        <v>0</v>
      </c>
      <c r="X1857" s="44">
        <f>IF(Mecze[[#This Row],[Role]]&lt;&gt;"BR",SUMPRODUCT(Mecze[[#This Row],[/PR:90]:[/BR:90]],Brudnopis!$E$28:$J$28),0)</f>
        <v>0</v>
      </c>
      <c r="Y1857" s="35">
        <f>IF(Mecze[[#This Row],[Role]]="BR",Mecze[[#This Row],[/OB:90]]+Mecze[[#This Row],[/PC:90]],SUM(Mecze[[#This Row],[/PR:90]:[/BR:90]]))</f>
        <v>0.11224489795918366</v>
      </c>
      <c r="Z1857" s="35">
        <f>IF(Mecze[[#This Row],[KC]]=0,SUM(Mecze[[#This Row],[/BRI]:[/NPI]]),SUM(Mecze[[#This Row],[/BRI]:[/NPI]])*0.6)</f>
        <v>0.33673469387755101</v>
      </c>
      <c r="AA1857" s="10">
        <f>IFERROR(Mecze[[#This Row],[BR]]/Mecze[[#This Row],[ST]],0)</f>
        <v>0</v>
      </c>
      <c r="AB1857">
        <f>ROUND(Mecze[[#This Row],[PD]]*Mecze[[#This Row],[%PC]],0)</f>
        <v>4</v>
      </c>
      <c r="AC1857">
        <f>ROUND(Mecze[[#This Row],[OD]]*Mecze[[#This Row],[%OU]],0)</f>
        <v>0</v>
      </c>
      <c r="AD1857" s="36" t="s">
        <v>40</v>
      </c>
      <c r="AE1857" s="36">
        <v>101</v>
      </c>
      <c r="AF1857" s="71">
        <v>5.26</v>
      </c>
      <c r="AG1857" s="37">
        <v>0</v>
      </c>
      <c r="AH1857" s="37">
        <v>0</v>
      </c>
      <c r="AI1857" s="37">
        <v>98</v>
      </c>
      <c r="AJ1857" s="37">
        <v>4</v>
      </c>
      <c r="AK1857" s="37" t="str">
        <f>VLOOKUP(Mecze[[#This Row],[Match ID]],Meczusie[Mecz]:Meczusie[RodzajMeczu],2,FALSE)</f>
        <v>Liga</v>
      </c>
    </row>
    <row r="1858" spans="1:37" x14ac:dyDescent="0.25">
      <c r="A1858" s="76">
        <v>4</v>
      </c>
      <c r="B1858" s="3" t="s">
        <v>276</v>
      </c>
      <c r="C1858" s="2" t="s">
        <v>157</v>
      </c>
      <c r="D1858" s="1">
        <v>0</v>
      </c>
      <c r="E1858" s="1">
        <v>0</v>
      </c>
      <c r="F1858" s="1">
        <v>0</v>
      </c>
      <c r="G1858" s="1">
        <v>8</v>
      </c>
      <c r="H1858" s="4">
        <v>0.88</v>
      </c>
      <c r="I1858" s="1">
        <v>0</v>
      </c>
      <c r="J1858" s="4"/>
      <c r="K1858" s="1">
        <v>0</v>
      </c>
      <c r="L1858" s="1">
        <v>10</v>
      </c>
      <c r="M1858" s="32">
        <f>IF(Mecze[[#This Row],[PR]]=0,0,Mecze[[#This Row],[PR]]/Mecze[[#This Row],[CZAS]])</f>
        <v>0.10204081632653061</v>
      </c>
      <c r="N1858" s="32">
        <f>IF(Mecze[[#This Row],[OU]]=0,0,Mecze[[#This Row],[OU]]/Mecze[[#This Row],[CZAS]])</f>
        <v>0</v>
      </c>
      <c r="O1858" s="32">
        <f>IF(Mecze[[#This Row],[PC]]=0,0,Mecze[[#This Row],[PC]]/Mecze[[#This Row],[CZAS]])</f>
        <v>7.1428571428571425E-2</v>
      </c>
      <c r="P1858" s="32">
        <f>IF(Mecze[[#This Row],[SC]]=0,0,Mecze[[#This Row],[SC]]/Mecze[[#This Row],[CZAS]])</f>
        <v>0</v>
      </c>
      <c r="Q1858" s="32">
        <f>IF(Mecze[[#This Row],[OB]]=0,0,Mecze[[#This Row],[OB]]/Mecze[[#This Row],[CZAS]])</f>
        <v>0</v>
      </c>
      <c r="R1858" s="32">
        <f>IF(Mecze[[#This Row],[BR]]=0,0,Mecze[[#This Row],[BR]]/Mecze[[#This Row],[CZAS]])</f>
        <v>0</v>
      </c>
      <c r="S1858" s="44">
        <f>IF(Mecze[[#This Row],[Role]]="BR",SUMPRODUCT(Mecze[[#This Row],[/PR:90]:[/BR:90]],Brudnopis!$E$23:$J$23),0)</f>
        <v>0</v>
      </c>
      <c r="T1858" s="44">
        <f>IF(Mecze[[#This Row],[Role]]&lt;&gt;"BR",SUMPRODUCT(Mecze[[#This Row],[/PR:90]:[/BR:90]],Brudnopis!$E$24:$J$24),0)</f>
        <v>0.17346938775510204</v>
      </c>
      <c r="U1858" s="44">
        <f>IF(Mecze[[#This Row],[Role]]&lt;&gt;"BR",SUMPRODUCT(Mecze[[#This Row],[/PR:90]:[/BR:90]],Brudnopis!$E$25:$J$25),0)</f>
        <v>0.20918367346938777</v>
      </c>
      <c r="V1858" s="44">
        <f>IF(Mecze[[#This Row],[Role]]&lt;&gt;"BR",SUMPRODUCT(Mecze[[#This Row],[/PR:90]:[/BR:90]],Brudnopis!$E$26:$J$26),0)</f>
        <v>0.17346938775510204</v>
      </c>
      <c r="W1858" s="44">
        <f>IF(Mecze[[#This Row],[Role]]&lt;&gt;"BR",SUMPRODUCT(Mecze[[#This Row],[/PR:90]:[/BR:90]],Brudnopis!$E$27:$J$27),0)</f>
        <v>0.18367346938775508</v>
      </c>
      <c r="X1858" s="44">
        <f>IF(Mecze[[#This Row],[Role]]&lt;&gt;"BR",SUMPRODUCT(Mecze[[#This Row],[/PR:90]:[/BR:90]],Brudnopis!$E$28:$J$28),0)</f>
        <v>7.1428571428571425E-2</v>
      </c>
      <c r="Y1858" s="35">
        <f>IF(Mecze[[#This Row],[Role]]="BR",Mecze[[#This Row],[/OB:90]]+Mecze[[#This Row],[/PC:90]],SUM(Mecze[[#This Row],[/PR:90]:[/BR:90]]))</f>
        <v>0.17346938775510204</v>
      </c>
      <c r="Z1858" s="35">
        <f>IF(Mecze[[#This Row],[KC]]=0,SUM(Mecze[[#This Row],[/BRI]:[/NPI]]),SUM(Mecze[[#This Row],[/BRI]:[/NPI]])*0.6)</f>
        <v>0.81122448979591832</v>
      </c>
      <c r="AA1858" s="10">
        <f>IFERROR(Mecze[[#This Row],[BR]]/Mecze[[#This Row],[ST]],0)</f>
        <v>0</v>
      </c>
      <c r="AB1858">
        <f>ROUND(Mecze[[#This Row],[PD]]*Mecze[[#This Row],[%PC]],0)</f>
        <v>7</v>
      </c>
      <c r="AC1858">
        <f>ROUND(Mecze[[#This Row],[OD]]*Mecze[[#This Row],[%OU]],0)</f>
        <v>0</v>
      </c>
      <c r="AD1858" s="36" t="s">
        <v>47</v>
      </c>
      <c r="AE1858" s="36">
        <v>101</v>
      </c>
      <c r="AF1858" s="71">
        <v>3.69</v>
      </c>
      <c r="AG1858" s="37">
        <v>0</v>
      </c>
      <c r="AH1858" s="37">
        <v>0</v>
      </c>
      <c r="AI1858" s="37">
        <v>98</v>
      </c>
      <c r="AJ1858" s="37">
        <v>4</v>
      </c>
      <c r="AK1858" s="37" t="str">
        <f>VLOOKUP(Mecze[[#This Row],[Match ID]],Meczusie[Mecz]:Meczusie[RodzajMeczu],2,FALSE)</f>
        <v>Liga</v>
      </c>
    </row>
    <row r="1859" spans="1:37" x14ac:dyDescent="0.25">
      <c r="A1859" s="76">
        <v>2</v>
      </c>
      <c r="B1859" s="3" t="s">
        <v>285</v>
      </c>
      <c r="C1859" s="2" t="s">
        <v>157</v>
      </c>
      <c r="D1859" s="1">
        <v>0</v>
      </c>
      <c r="E1859" s="1">
        <v>0</v>
      </c>
      <c r="F1859" s="1">
        <v>0</v>
      </c>
      <c r="G1859" s="1">
        <v>8</v>
      </c>
      <c r="H1859" s="4">
        <v>0.63</v>
      </c>
      <c r="I1859" s="1">
        <v>5</v>
      </c>
      <c r="J1859" s="4">
        <v>0.4</v>
      </c>
      <c r="K1859" s="1">
        <v>0</v>
      </c>
      <c r="L1859" s="1">
        <v>9</v>
      </c>
      <c r="M1859" s="32">
        <f>IF(Mecze[[#This Row],[PR]]=0,0,Mecze[[#This Row],[PR]]/Mecze[[#This Row],[CZAS]])</f>
        <v>9.1836734693877556E-2</v>
      </c>
      <c r="N1859" s="32">
        <f>IF(Mecze[[#This Row],[OU]]=0,0,Mecze[[#This Row],[OU]]/Mecze[[#This Row],[CZAS]])</f>
        <v>2.0408163265306121E-2</v>
      </c>
      <c r="O1859" s="32">
        <f>IF(Mecze[[#This Row],[PC]]=0,0,Mecze[[#This Row],[PC]]/Mecze[[#This Row],[CZAS]])</f>
        <v>5.1020408163265307E-2</v>
      </c>
      <c r="P1859" s="32">
        <f>IF(Mecze[[#This Row],[SC]]=0,0,Mecze[[#This Row],[SC]]/Mecze[[#This Row],[CZAS]])</f>
        <v>0</v>
      </c>
      <c r="Q1859" s="32">
        <f>IF(Mecze[[#This Row],[OB]]=0,0,Mecze[[#This Row],[OB]]/Mecze[[#This Row],[CZAS]])</f>
        <v>0</v>
      </c>
      <c r="R1859" s="32">
        <f>IF(Mecze[[#This Row],[BR]]=0,0,Mecze[[#This Row],[BR]]/Mecze[[#This Row],[CZAS]])</f>
        <v>0</v>
      </c>
      <c r="S1859" s="44">
        <f>IF(Mecze[[#This Row],[Role]]="BR",SUMPRODUCT(Mecze[[#This Row],[/PR:90]:[/BR:90]],Brudnopis!$E$23:$J$23),0)</f>
        <v>0</v>
      </c>
      <c r="T1859" s="44">
        <f>IF(Mecze[[#This Row],[Role]]&lt;&gt;"BR",SUMPRODUCT(Mecze[[#This Row],[/PR:90]:[/BR:90]],Brudnopis!$E$24:$J$24),0)</f>
        <v>0.17346938775510204</v>
      </c>
      <c r="U1859" s="44">
        <f>IF(Mecze[[#This Row],[Role]]&lt;&gt;"BR",SUMPRODUCT(Mecze[[#This Row],[/PR:90]:[/BR:90]],Brudnopis!$E$25:$J$25),0)</f>
        <v>0.18877551020408162</v>
      </c>
      <c r="V1859" s="44">
        <f>IF(Mecze[[#This Row],[Role]]&lt;&gt;"BR",SUMPRODUCT(Mecze[[#This Row],[/PR:90]:[/BR:90]],Brudnopis!$E$26:$J$26),0)</f>
        <v>0.16326530612244899</v>
      </c>
      <c r="W1859" s="44">
        <f>IF(Mecze[[#This Row],[Role]]&lt;&gt;"BR",SUMPRODUCT(Mecze[[#This Row],[/PR:90]:[/BR:90]],Brudnopis!$E$27:$J$27),0)</f>
        <v>0.16071428571428573</v>
      </c>
      <c r="X1859" s="44">
        <f>IF(Mecze[[#This Row],[Role]]&lt;&gt;"BR",SUMPRODUCT(Mecze[[#This Row],[/PR:90]:[/BR:90]],Brudnopis!$E$28:$J$28),0)</f>
        <v>5.1020408163265307E-2</v>
      </c>
      <c r="Y1859" s="35">
        <f>IF(Mecze[[#This Row],[Role]]="BR",Mecze[[#This Row],[/OB:90]]+Mecze[[#This Row],[/PC:90]],SUM(Mecze[[#This Row],[/PR:90]:[/BR:90]]))</f>
        <v>0.16326530612244899</v>
      </c>
      <c r="Z1859" s="35">
        <f>IF(Mecze[[#This Row],[KC]]=0,SUM(Mecze[[#This Row],[/BRI]:[/NPI]]),SUM(Mecze[[#This Row],[/BRI]:[/NPI]])*0.6)</f>
        <v>0.73724489795918369</v>
      </c>
      <c r="AA1859" s="10">
        <f>IFERROR(Mecze[[#This Row],[BR]]/Mecze[[#This Row],[ST]],0)</f>
        <v>0</v>
      </c>
      <c r="AB1859">
        <f>ROUND(Mecze[[#This Row],[PD]]*Mecze[[#This Row],[%PC]],0)</f>
        <v>5</v>
      </c>
      <c r="AC1859">
        <f>ROUND(Mecze[[#This Row],[OD]]*Mecze[[#This Row],[%OU]],0)</f>
        <v>2</v>
      </c>
      <c r="AD1859" s="36" t="s">
        <v>168</v>
      </c>
      <c r="AE1859" s="36">
        <v>101</v>
      </c>
      <c r="AF1859" s="71">
        <v>3.48</v>
      </c>
      <c r="AG1859" s="37">
        <v>0</v>
      </c>
      <c r="AH1859" s="37">
        <v>0</v>
      </c>
      <c r="AI1859" s="37">
        <v>98</v>
      </c>
      <c r="AJ1859" s="37">
        <v>4</v>
      </c>
      <c r="AK1859" s="37" t="str">
        <f>VLOOKUP(Mecze[[#This Row],[Match ID]],Meczusie[Mecz]:Meczusie[RodzajMeczu],2,FALSE)</f>
        <v>Liga</v>
      </c>
    </row>
    <row r="1860" spans="1:37" x14ac:dyDescent="0.25">
      <c r="A1860" s="76">
        <v>5</v>
      </c>
      <c r="B1860" s="3" t="s">
        <v>277</v>
      </c>
      <c r="C1860" s="2" t="s">
        <v>157</v>
      </c>
      <c r="D1860" s="1">
        <v>0</v>
      </c>
      <c r="E1860" s="1">
        <v>0</v>
      </c>
      <c r="F1860" s="1">
        <v>0</v>
      </c>
      <c r="G1860" s="1">
        <v>6</v>
      </c>
      <c r="H1860" s="4">
        <v>0.67</v>
      </c>
      <c r="I1860" s="1">
        <v>7</v>
      </c>
      <c r="J1860" s="4">
        <v>0.71</v>
      </c>
      <c r="K1860" s="1">
        <v>0</v>
      </c>
      <c r="L1860" s="1">
        <v>4</v>
      </c>
      <c r="M1860" s="32">
        <f>IF(Mecze[[#This Row],[PR]]=0,0,Mecze[[#This Row],[PR]]/Mecze[[#This Row],[CZAS]])</f>
        <v>4.0816326530612242E-2</v>
      </c>
      <c r="N1860" s="32">
        <f>IF(Mecze[[#This Row],[OU]]=0,0,Mecze[[#This Row],[OU]]/Mecze[[#This Row],[CZAS]])</f>
        <v>5.1020408163265307E-2</v>
      </c>
      <c r="O1860" s="32">
        <f>IF(Mecze[[#This Row],[PC]]=0,0,Mecze[[#This Row],[PC]]/Mecze[[#This Row],[CZAS]])</f>
        <v>4.0816326530612242E-2</v>
      </c>
      <c r="P1860" s="32">
        <f>IF(Mecze[[#This Row],[SC]]=0,0,Mecze[[#This Row],[SC]]/Mecze[[#This Row],[CZAS]])</f>
        <v>0</v>
      </c>
      <c r="Q1860" s="32">
        <f>IF(Mecze[[#This Row],[OB]]=0,0,Mecze[[#This Row],[OB]]/Mecze[[#This Row],[CZAS]])</f>
        <v>0</v>
      </c>
      <c r="R1860" s="32">
        <f>IF(Mecze[[#This Row],[BR]]=0,0,Mecze[[#This Row],[BR]]/Mecze[[#This Row],[CZAS]])</f>
        <v>0</v>
      </c>
      <c r="S1860" s="44">
        <f>IF(Mecze[[#This Row],[Role]]="BR",SUMPRODUCT(Mecze[[#This Row],[/PR:90]:[/BR:90]],Brudnopis!$E$23:$J$23),0)</f>
        <v>0</v>
      </c>
      <c r="T1860" s="44">
        <f>IF(Mecze[[#This Row],[Role]]&lt;&gt;"BR",SUMPRODUCT(Mecze[[#This Row],[/PR:90]:[/BR:90]],Brudnopis!$E$24:$J$24),0)</f>
        <v>0.15816326530612243</v>
      </c>
      <c r="U1860" s="44">
        <f>IF(Mecze[[#This Row],[Role]]&lt;&gt;"BR",SUMPRODUCT(Mecze[[#This Row],[/PR:90]:[/BR:90]],Brudnopis!$E$25:$J$25),0)</f>
        <v>0.15306122448979592</v>
      </c>
      <c r="V1860" s="44">
        <f>IF(Mecze[[#This Row],[Role]]&lt;&gt;"BR",SUMPRODUCT(Mecze[[#This Row],[/PR:90]:[/BR:90]],Brudnopis!$E$26:$J$26),0)</f>
        <v>0.13265306122448978</v>
      </c>
      <c r="W1860" s="44">
        <f>IF(Mecze[[#This Row],[Role]]&lt;&gt;"BR",SUMPRODUCT(Mecze[[#This Row],[/PR:90]:[/BR:90]],Brudnopis!$E$27:$J$27),0)</f>
        <v>0.13010204081632654</v>
      </c>
      <c r="X1860" s="44">
        <f>IF(Mecze[[#This Row],[Role]]&lt;&gt;"BR",SUMPRODUCT(Mecze[[#This Row],[/PR:90]:[/BR:90]],Brudnopis!$E$28:$J$28),0)</f>
        <v>4.0816326530612242E-2</v>
      </c>
      <c r="Y1860" s="35">
        <f>IF(Mecze[[#This Row],[Role]]="BR",Mecze[[#This Row],[/OB:90]]+Mecze[[#This Row],[/PC:90]],SUM(Mecze[[#This Row],[/PR:90]:[/BR:90]]))</f>
        <v>0.13265306122448978</v>
      </c>
      <c r="Z1860" s="35">
        <f>IF(Mecze[[#This Row],[KC]]=0,SUM(Mecze[[#This Row],[/BRI]:[/NPI]]),SUM(Mecze[[#This Row],[/BRI]:[/NPI]])*0.6)</f>
        <v>0.61479591836734693</v>
      </c>
      <c r="AA1860" s="10">
        <f>IFERROR(Mecze[[#This Row],[BR]]/Mecze[[#This Row],[ST]],0)</f>
        <v>0</v>
      </c>
      <c r="AB1860">
        <f>ROUND(Mecze[[#This Row],[PD]]*Mecze[[#This Row],[%PC]],0)</f>
        <v>4</v>
      </c>
      <c r="AC1860">
        <f>ROUND(Mecze[[#This Row],[OD]]*Mecze[[#This Row],[%OU]],0)</f>
        <v>5</v>
      </c>
      <c r="AD1860" s="36" t="s">
        <v>167</v>
      </c>
      <c r="AE1860" s="36">
        <v>101</v>
      </c>
      <c r="AF1860" s="71">
        <v>3.55</v>
      </c>
      <c r="AG1860" s="37">
        <v>0</v>
      </c>
      <c r="AH1860" s="37">
        <v>0</v>
      </c>
      <c r="AI1860" s="37">
        <v>98</v>
      </c>
      <c r="AJ1860" s="37">
        <v>4</v>
      </c>
      <c r="AK1860" s="37" t="str">
        <f>VLOOKUP(Mecze[[#This Row],[Match ID]],Meczusie[Mecz]:Meczusie[RodzajMeczu],2,FALSE)</f>
        <v>Liga</v>
      </c>
    </row>
    <row r="1861" spans="1:37" x14ac:dyDescent="0.25">
      <c r="A1861" s="76">
        <v>7</v>
      </c>
      <c r="B1861" s="3" t="s">
        <v>279</v>
      </c>
      <c r="C1861" s="2" t="s">
        <v>160</v>
      </c>
      <c r="D1861" s="1">
        <v>0</v>
      </c>
      <c r="E1861" s="1">
        <v>1</v>
      </c>
      <c r="F1861" s="1">
        <v>0</v>
      </c>
      <c r="G1861" s="1">
        <v>14</v>
      </c>
      <c r="H1861" s="4">
        <v>0.71</v>
      </c>
      <c r="I1861" s="1">
        <v>11</v>
      </c>
      <c r="J1861" s="4">
        <v>0.45</v>
      </c>
      <c r="K1861" s="1">
        <v>0</v>
      </c>
      <c r="L1861" s="1">
        <v>3</v>
      </c>
      <c r="M1861" s="32">
        <f>IF(Mecze[[#This Row],[PR]]=0,0,Mecze[[#This Row],[PR]]/Mecze[[#This Row],[CZAS]])</f>
        <v>3.0612244897959183E-2</v>
      </c>
      <c r="N1861" s="32">
        <f>IF(Mecze[[#This Row],[OU]]=0,0,Mecze[[#This Row],[OU]]/Mecze[[#This Row],[CZAS]])</f>
        <v>5.1020408163265307E-2</v>
      </c>
      <c r="O1861" s="32">
        <f>IF(Mecze[[#This Row],[PC]]=0,0,Mecze[[#This Row],[PC]]/Mecze[[#This Row],[CZAS]])</f>
        <v>0.10204081632653061</v>
      </c>
      <c r="P1861" s="32">
        <f>IF(Mecze[[#This Row],[SC]]=0,0,Mecze[[#This Row],[SC]]/Mecze[[#This Row],[CZAS]])</f>
        <v>0</v>
      </c>
      <c r="Q1861" s="32">
        <f>IF(Mecze[[#This Row],[OB]]=0,0,Mecze[[#This Row],[OB]]/Mecze[[#This Row],[CZAS]])</f>
        <v>0</v>
      </c>
      <c r="R1861" s="32">
        <f>IF(Mecze[[#This Row],[BR]]=0,0,Mecze[[#This Row],[BR]]/Mecze[[#This Row],[CZAS]])</f>
        <v>0</v>
      </c>
      <c r="S1861" s="44">
        <f>IF(Mecze[[#This Row],[Role]]="BR",SUMPRODUCT(Mecze[[#This Row],[/PR:90]:[/BR:90]],Brudnopis!$E$23:$J$23),0)</f>
        <v>0</v>
      </c>
      <c r="T1861" s="44">
        <f>IF(Mecze[[#This Row],[Role]]&lt;&gt;"BR",SUMPRODUCT(Mecze[[#This Row],[/PR:90]:[/BR:90]],Brudnopis!$E$24:$J$24),0)</f>
        <v>0.20918367346938777</v>
      </c>
      <c r="U1861" s="44">
        <f>IF(Mecze[[#This Row],[Role]]&lt;&gt;"BR",SUMPRODUCT(Mecze[[#This Row],[/PR:90]:[/BR:90]],Brudnopis!$E$25:$J$25),0)</f>
        <v>0.23469387755102042</v>
      </c>
      <c r="V1861" s="44">
        <f>IF(Mecze[[#This Row],[Role]]&lt;&gt;"BR",SUMPRODUCT(Mecze[[#This Row],[/PR:90]:[/BR:90]],Brudnopis!$E$26:$J$26),0)</f>
        <v>0.18367346938775511</v>
      </c>
      <c r="W1861" s="44">
        <f>IF(Mecze[[#This Row],[Role]]&lt;&gt;"BR",SUMPRODUCT(Mecze[[#This Row],[/PR:90]:[/BR:90]],Brudnopis!$E$27:$J$27),0)</f>
        <v>0.2142857142857143</v>
      </c>
      <c r="X1861" s="44">
        <f>IF(Mecze[[#This Row],[Role]]&lt;&gt;"BR",SUMPRODUCT(Mecze[[#This Row],[/PR:90]:[/BR:90]],Brudnopis!$E$28:$J$28),0)</f>
        <v>0.10204081632653061</v>
      </c>
      <c r="Y1861" s="35">
        <f>IF(Mecze[[#This Row],[Role]]="BR",Mecze[[#This Row],[/OB:90]]+Mecze[[#This Row],[/PC:90]],SUM(Mecze[[#This Row],[/PR:90]:[/BR:90]]))</f>
        <v>0.18367346938775511</v>
      </c>
      <c r="Z1861" s="35">
        <f>IF(Mecze[[#This Row],[KC]]=0,SUM(Mecze[[#This Row],[/BRI]:[/NPI]]),SUM(Mecze[[#This Row],[/BRI]:[/NPI]])*0.6)</f>
        <v>0.94387755102040816</v>
      </c>
      <c r="AA1861" s="10">
        <f>IFERROR(Mecze[[#This Row],[BR]]/Mecze[[#This Row],[ST]],0)</f>
        <v>0</v>
      </c>
      <c r="AB1861">
        <f>ROUND(Mecze[[#This Row],[PD]]*Mecze[[#This Row],[%PC]],0)</f>
        <v>10</v>
      </c>
      <c r="AC1861">
        <f>ROUND(Mecze[[#This Row],[OD]]*Mecze[[#This Row],[%OU]],0)</f>
        <v>5</v>
      </c>
      <c r="AD1861" s="36" t="s">
        <v>41</v>
      </c>
      <c r="AE1861" s="36">
        <v>101</v>
      </c>
      <c r="AF1861" s="71">
        <v>4.54</v>
      </c>
      <c r="AG1861" s="37">
        <v>0</v>
      </c>
      <c r="AH1861" s="37">
        <v>0</v>
      </c>
      <c r="AI1861" s="37">
        <v>98</v>
      </c>
      <c r="AJ1861" s="37">
        <v>4</v>
      </c>
      <c r="AK1861" s="37" t="str">
        <f>VLOOKUP(Mecze[[#This Row],[Match ID]],Meczusie[Mecz]:Meczusie[RodzajMeczu],2,FALSE)</f>
        <v>Liga</v>
      </c>
    </row>
    <row r="1862" spans="1:37" x14ac:dyDescent="0.25">
      <c r="A1862" s="76">
        <v>12</v>
      </c>
      <c r="B1862" s="3" t="s">
        <v>278</v>
      </c>
      <c r="C1862" s="2" t="s">
        <v>160</v>
      </c>
      <c r="D1862" s="1">
        <v>0</v>
      </c>
      <c r="E1862" s="1">
        <v>0</v>
      </c>
      <c r="F1862" s="1">
        <v>0</v>
      </c>
      <c r="G1862" s="1">
        <v>11</v>
      </c>
      <c r="H1862" s="4">
        <v>0.73</v>
      </c>
      <c r="I1862" s="1">
        <v>5</v>
      </c>
      <c r="J1862" s="4">
        <v>0.2</v>
      </c>
      <c r="K1862" s="1">
        <v>0</v>
      </c>
      <c r="L1862" s="1">
        <v>1</v>
      </c>
      <c r="M1862" s="32">
        <f>IF(Mecze[[#This Row],[PR]]=0,0,Mecze[[#This Row],[PR]]/Mecze[[#This Row],[CZAS]])</f>
        <v>1.020408163265306E-2</v>
      </c>
      <c r="N1862" s="32">
        <f>IF(Mecze[[#This Row],[OU]]=0,0,Mecze[[#This Row],[OU]]/Mecze[[#This Row],[CZAS]])</f>
        <v>1.020408163265306E-2</v>
      </c>
      <c r="O1862" s="32">
        <f>IF(Mecze[[#This Row],[PC]]=0,0,Mecze[[#This Row],[PC]]/Mecze[[#This Row],[CZAS]])</f>
        <v>8.1632653061224483E-2</v>
      </c>
      <c r="P1862" s="32">
        <f>IF(Mecze[[#This Row],[SC]]=0,0,Mecze[[#This Row],[SC]]/Mecze[[#This Row],[CZAS]])</f>
        <v>0</v>
      </c>
      <c r="Q1862" s="32">
        <f>IF(Mecze[[#This Row],[OB]]=0,0,Mecze[[#This Row],[OB]]/Mecze[[#This Row],[CZAS]])</f>
        <v>0</v>
      </c>
      <c r="R1862" s="32">
        <f>IF(Mecze[[#This Row],[BR]]=0,0,Mecze[[#This Row],[BR]]/Mecze[[#This Row],[CZAS]])</f>
        <v>0</v>
      </c>
      <c r="S1862" s="44">
        <f>IF(Mecze[[#This Row],[Role]]="BR",SUMPRODUCT(Mecze[[#This Row],[/PR:90]:[/BR:90]],Brudnopis!$E$23:$J$23),0)</f>
        <v>0</v>
      </c>
      <c r="T1862" s="44">
        <f>IF(Mecze[[#This Row],[Role]]&lt;&gt;"BR",SUMPRODUCT(Mecze[[#This Row],[/PR:90]:[/BR:90]],Brudnopis!$E$24:$J$24),0)</f>
        <v>0.10714285714285714</v>
      </c>
      <c r="U1862" s="44">
        <f>IF(Mecze[[#This Row],[Role]]&lt;&gt;"BR",SUMPRODUCT(Mecze[[#This Row],[/PR:90]:[/BR:90]],Brudnopis!$E$25:$J$25),0)</f>
        <v>0.14285714285714285</v>
      </c>
      <c r="V1862" s="44">
        <f>IF(Mecze[[#This Row],[Role]]&lt;&gt;"BR",SUMPRODUCT(Mecze[[#This Row],[/PR:90]:[/BR:90]],Brudnopis!$E$26:$J$26),0)</f>
        <v>0.1020408163265306</v>
      </c>
      <c r="W1862" s="44">
        <f>IF(Mecze[[#This Row],[Role]]&lt;&gt;"BR",SUMPRODUCT(Mecze[[#This Row],[/PR:90]:[/BR:90]],Brudnopis!$E$27:$J$27),0)</f>
        <v>0.13775510204081631</v>
      </c>
      <c r="X1862" s="44">
        <f>IF(Mecze[[#This Row],[Role]]&lt;&gt;"BR",SUMPRODUCT(Mecze[[#This Row],[/PR:90]:[/BR:90]],Brudnopis!$E$28:$J$28),0)</f>
        <v>8.1632653061224483E-2</v>
      </c>
      <c r="Y1862" s="35">
        <f>IF(Mecze[[#This Row],[Role]]="BR",Mecze[[#This Row],[/OB:90]]+Mecze[[#This Row],[/PC:90]],SUM(Mecze[[#This Row],[/PR:90]:[/BR:90]]))</f>
        <v>0.1020408163265306</v>
      </c>
      <c r="Z1862" s="35">
        <f>IF(Mecze[[#This Row],[KC]]=0,SUM(Mecze[[#This Row],[/BRI]:[/NPI]]),SUM(Mecze[[#This Row],[/BRI]:[/NPI]])*0.6)</f>
        <v>0.5714285714285714</v>
      </c>
      <c r="AA1862" s="10">
        <f>IFERROR(Mecze[[#This Row],[BR]]/Mecze[[#This Row],[ST]],0)</f>
        <v>0</v>
      </c>
      <c r="AB1862">
        <f>ROUND(Mecze[[#This Row],[PD]]*Mecze[[#This Row],[%PC]],0)</f>
        <v>8</v>
      </c>
      <c r="AC1862">
        <f>ROUND(Mecze[[#This Row],[OD]]*Mecze[[#This Row],[%OU]],0)</f>
        <v>1</v>
      </c>
      <c r="AD1862" s="36" t="s">
        <v>41</v>
      </c>
      <c r="AE1862" s="36">
        <v>101</v>
      </c>
      <c r="AF1862" s="71">
        <v>4.12</v>
      </c>
      <c r="AG1862" s="37">
        <v>0</v>
      </c>
      <c r="AH1862" s="37">
        <v>0</v>
      </c>
      <c r="AI1862" s="37">
        <v>98</v>
      </c>
      <c r="AJ1862" s="37">
        <v>4</v>
      </c>
      <c r="AK1862" s="37" t="str">
        <f>VLOOKUP(Mecze[[#This Row],[Match ID]],Meczusie[Mecz]:Meczusie[RodzajMeczu],2,FALSE)</f>
        <v>Liga</v>
      </c>
    </row>
    <row r="1863" spans="1:37" x14ac:dyDescent="0.25">
      <c r="A1863" s="76">
        <v>6</v>
      </c>
      <c r="B1863" s="3" t="s">
        <v>280</v>
      </c>
      <c r="C1863" s="2" t="s">
        <v>160</v>
      </c>
      <c r="D1863" s="1">
        <v>1</v>
      </c>
      <c r="E1863" s="1">
        <v>1</v>
      </c>
      <c r="F1863" s="1">
        <v>1</v>
      </c>
      <c r="G1863" s="1">
        <v>15</v>
      </c>
      <c r="H1863" s="4">
        <v>0.6</v>
      </c>
      <c r="I1863" s="1">
        <v>4</v>
      </c>
      <c r="J1863" s="4">
        <v>0.75</v>
      </c>
      <c r="K1863" s="1">
        <v>0</v>
      </c>
      <c r="L1863" s="1">
        <v>4</v>
      </c>
      <c r="M1863" s="32">
        <f>IF(Mecze[[#This Row],[PR]]=0,0,Mecze[[#This Row],[PR]]/Mecze[[#This Row],[CZAS]])</f>
        <v>4.0816326530612242E-2</v>
      </c>
      <c r="N1863" s="32">
        <f>IF(Mecze[[#This Row],[OU]]=0,0,Mecze[[#This Row],[OU]]/Mecze[[#This Row],[CZAS]])</f>
        <v>3.0612244897959183E-2</v>
      </c>
      <c r="O1863" s="32">
        <f>IF(Mecze[[#This Row],[PC]]=0,0,Mecze[[#This Row],[PC]]/Mecze[[#This Row],[CZAS]])</f>
        <v>9.1836734693877556E-2</v>
      </c>
      <c r="P1863" s="32">
        <f>IF(Mecze[[#This Row],[SC]]=0,0,Mecze[[#This Row],[SC]]/Mecze[[#This Row],[CZAS]])</f>
        <v>1.020408163265306E-2</v>
      </c>
      <c r="Q1863" s="32">
        <f>IF(Mecze[[#This Row],[OB]]=0,0,Mecze[[#This Row],[OB]]/Mecze[[#This Row],[CZAS]])</f>
        <v>0</v>
      </c>
      <c r="R1863" s="32">
        <f>IF(Mecze[[#This Row],[BR]]=0,0,Mecze[[#This Row],[BR]]/Mecze[[#This Row],[CZAS]])</f>
        <v>1.020408163265306E-2</v>
      </c>
      <c r="S1863" s="44">
        <f>IF(Mecze[[#This Row],[Role]]="BR",SUMPRODUCT(Mecze[[#This Row],[/PR:90]:[/BR:90]],Brudnopis!$E$23:$J$23),0)</f>
        <v>0</v>
      </c>
      <c r="T1863" s="44">
        <f>IF(Mecze[[#This Row],[Role]]&lt;&gt;"BR",SUMPRODUCT(Mecze[[#This Row],[/PR:90]:[/BR:90]],Brudnopis!$E$24:$J$24),0)</f>
        <v>0.2040816326530612</v>
      </c>
      <c r="U1863" s="44">
        <f>IF(Mecze[[#This Row],[Role]]&lt;&gt;"BR",SUMPRODUCT(Mecze[[#This Row],[/PR:90]:[/BR:90]],Brudnopis!$E$25:$J$25),0)</f>
        <v>0.23469387755102042</v>
      </c>
      <c r="V1863" s="44">
        <f>IF(Mecze[[#This Row],[Role]]&lt;&gt;"BR",SUMPRODUCT(Mecze[[#This Row],[/PR:90]:[/BR:90]],Brudnopis!$E$26:$J$26),0)</f>
        <v>0.19387755102040818</v>
      </c>
      <c r="W1863" s="44">
        <f>IF(Mecze[[#This Row],[Role]]&lt;&gt;"BR",SUMPRODUCT(Mecze[[#This Row],[/PR:90]:[/BR:90]],Brudnopis!$E$27:$J$27),0)</f>
        <v>0.22193877551020411</v>
      </c>
      <c r="X1863" s="44">
        <f>IF(Mecze[[#This Row],[Role]]&lt;&gt;"BR",SUMPRODUCT(Mecze[[#This Row],[/PR:90]:[/BR:90]],Brudnopis!$E$28:$J$28),0)</f>
        <v>0.14285714285714285</v>
      </c>
      <c r="Y1863" s="35">
        <f>IF(Mecze[[#This Row],[Role]]="BR",Mecze[[#This Row],[/OB:90]]+Mecze[[#This Row],[/PC:90]],SUM(Mecze[[#This Row],[/PR:90]:[/BR:90]]))</f>
        <v>0.18367346938775514</v>
      </c>
      <c r="Z1863" s="35">
        <f>IF(Mecze[[#This Row],[KC]]=0,SUM(Mecze[[#This Row],[/BRI]:[/NPI]]),SUM(Mecze[[#This Row],[/BRI]:[/NPI]])*0.6)</f>
        <v>0.99744897959183687</v>
      </c>
      <c r="AA1863" s="10">
        <f>IFERROR(Mecze[[#This Row],[BR]]/Mecze[[#This Row],[ST]],0)</f>
        <v>1</v>
      </c>
      <c r="AB1863">
        <f>ROUND(Mecze[[#This Row],[PD]]*Mecze[[#This Row],[%PC]],0)</f>
        <v>9</v>
      </c>
      <c r="AC1863">
        <f>ROUND(Mecze[[#This Row],[OD]]*Mecze[[#This Row],[%OU]],0)</f>
        <v>3</v>
      </c>
      <c r="AD1863" s="36" t="s">
        <v>67</v>
      </c>
      <c r="AE1863" s="36">
        <v>101</v>
      </c>
      <c r="AF1863" s="71">
        <v>7.09</v>
      </c>
      <c r="AG1863" s="37">
        <v>0</v>
      </c>
      <c r="AH1863" s="37">
        <v>0</v>
      </c>
      <c r="AI1863" s="37">
        <v>98</v>
      </c>
      <c r="AJ1863" s="37">
        <v>4</v>
      </c>
      <c r="AK1863" s="37" t="str">
        <f>VLOOKUP(Mecze[[#This Row],[Match ID]],Meczusie[Mecz]:Meczusie[RodzajMeczu],2,FALSE)</f>
        <v>Liga</v>
      </c>
    </row>
    <row r="1864" spans="1:37" x14ac:dyDescent="0.25">
      <c r="A1864" s="76">
        <v>14</v>
      </c>
      <c r="B1864" s="3" t="s">
        <v>281</v>
      </c>
      <c r="C1864" s="2" t="s">
        <v>160</v>
      </c>
      <c r="D1864" s="1">
        <v>0</v>
      </c>
      <c r="E1864" s="1">
        <v>3</v>
      </c>
      <c r="F1864" s="1">
        <v>3</v>
      </c>
      <c r="G1864" s="1">
        <v>6</v>
      </c>
      <c r="H1864" s="4">
        <v>0.67</v>
      </c>
      <c r="I1864" s="1">
        <v>1</v>
      </c>
      <c r="J1864" s="4">
        <v>0</v>
      </c>
      <c r="K1864" s="1">
        <v>0</v>
      </c>
      <c r="L1864" s="1">
        <v>2</v>
      </c>
      <c r="M1864" s="32">
        <f>IF(Mecze[[#This Row],[PR]]=0,0,Mecze[[#This Row],[PR]]/Mecze[[#This Row],[CZAS]])</f>
        <v>2.0408163265306121E-2</v>
      </c>
      <c r="N1864" s="32">
        <f>IF(Mecze[[#This Row],[OU]]=0,0,Mecze[[#This Row],[OU]]/Mecze[[#This Row],[CZAS]])</f>
        <v>0</v>
      </c>
      <c r="O1864" s="32">
        <f>IF(Mecze[[#This Row],[PC]]=0,0,Mecze[[#This Row],[PC]]/Mecze[[#This Row],[CZAS]])</f>
        <v>4.0816326530612242E-2</v>
      </c>
      <c r="P1864" s="32">
        <f>IF(Mecze[[#This Row],[SC]]=0,0,Mecze[[#This Row],[SC]]/Mecze[[#This Row],[CZAS]])</f>
        <v>3.0612244897959183E-2</v>
      </c>
      <c r="Q1864" s="32">
        <f>IF(Mecze[[#This Row],[OB]]=0,0,Mecze[[#This Row],[OB]]/Mecze[[#This Row],[CZAS]])</f>
        <v>0</v>
      </c>
      <c r="R1864" s="32">
        <f>IF(Mecze[[#This Row],[BR]]=0,0,Mecze[[#This Row],[BR]]/Mecze[[#This Row],[CZAS]])</f>
        <v>0</v>
      </c>
      <c r="S1864" s="44">
        <f>IF(Mecze[[#This Row],[Role]]="BR",SUMPRODUCT(Mecze[[#This Row],[/PR:90]:[/BR:90]],Brudnopis!$E$23:$J$23),0)</f>
        <v>0</v>
      </c>
      <c r="T1864" s="44">
        <f>IF(Mecze[[#This Row],[Role]]&lt;&gt;"BR",SUMPRODUCT(Mecze[[#This Row],[/PR:90]:[/BR:90]],Brudnopis!$E$24:$J$24),0)</f>
        <v>9.1836734693877542E-2</v>
      </c>
      <c r="U1864" s="44">
        <f>IF(Mecze[[#This Row],[Role]]&lt;&gt;"BR",SUMPRODUCT(Mecze[[#This Row],[/PR:90]:[/BR:90]],Brudnopis!$E$25:$J$25),0)</f>
        <v>0.11224489795918366</v>
      </c>
      <c r="V1864" s="44">
        <f>IF(Mecze[[#This Row],[Role]]&lt;&gt;"BR",SUMPRODUCT(Mecze[[#This Row],[/PR:90]:[/BR:90]],Brudnopis!$E$26:$J$26),0)</f>
        <v>9.1836734693877542E-2</v>
      </c>
      <c r="W1864" s="44">
        <f>IF(Mecze[[#This Row],[Role]]&lt;&gt;"BR",SUMPRODUCT(Mecze[[#This Row],[/PR:90]:[/BR:90]],Brudnopis!$E$27:$J$27),0)</f>
        <v>0.10714285714285715</v>
      </c>
      <c r="X1864" s="44">
        <f>IF(Mecze[[#This Row],[Role]]&lt;&gt;"BR",SUMPRODUCT(Mecze[[#This Row],[/PR:90]:[/BR:90]],Brudnopis!$E$28:$J$28),0)</f>
        <v>0.10204081632653061</v>
      </c>
      <c r="Y1864" s="35">
        <f>IF(Mecze[[#This Row],[Role]]="BR",Mecze[[#This Row],[/OB:90]]+Mecze[[#This Row],[/PC:90]],SUM(Mecze[[#This Row],[/PR:90]:[/BR:90]]))</f>
        <v>9.1836734693877542E-2</v>
      </c>
      <c r="Z1864" s="35">
        <f>IF(Mecze[[#This Row],[KC]]=0,SUM(Mecze[[#This Row],[/BRI]:[/NPI]]),SUM(Mecze[[#This Row],[/BRI]:[/NPI]])*0.6)</f>
        <v>0.50510204081632648</v>
      </c>
      <c r="AA1864" s="10">
        <f>IFERROR(Mecze[[#This Row],[BR]]/Mecze[[#This Row],[ST]],0)</f>
        <v>0</v>
      </c>
      <c r="AB1864">
        <f>ROUND(Mecze[[#This Row],[PD]]*Mecze[[#This Row],[%PC]],0)</f>
        <v>4</v>
      </c>
      <c r="AC1864">
        <f>ROUND(Mecze[[#This Row],[OD]]*Mecze[[#This Row],[%OU]],0)</f>
        <v>0</v>
      </c>
      <c r="AD1864" s="36" t="s">
        <v>171</v>
      </c>
      <c r="AE1864" s="36">
        <v>101</v>
      </c>
      <c r="AF1864" s="71">
        <v>5.0199999999999996</v>
      </c>
      <c r="AG1864" s="37">
        <v>0</v>
      </c>
      <c r="AH1864" s="37">
        <v>0</v>
      </c>
      <c r="AI1864" s="37">
        <v>98</v>
      </c>
      <c r="AJ1864" s="37">
        <v>4</v>
      </c>
      <c r="AK1864" s="37" t="str">
        <f>VLOOKUP(Mecze[[#This Row],[Match ID]],Meczusie[Mecz]:Meczusie[RodzajMeczu],2,FALSE)</f>
        <v>Liga</v>
      </c>
    </row>
    <row r="1865" spans="1:37" x14ac:dyDescent="0.25">
      <c r="A1865" s="76">
        <v>11</v>
      </c>
      <c r="B1865" s="3" t="s">
        <v>282</v>
      </c>
      <c r="C1865" s="2" t="s">
        <v>165</v>
      </c>
      <c r="D1865" s="1">
        <v>0</v>
      </c>
      <c r="E1865" s="1">
        <v>2</v>
      </c>
      <c r="F1865" s="1">
        <v>2</v>
      </c>
      <c r="G1865" s="1">
        <v>3</v>
      </c>
      <c r="H1865" s="4">
        <v>0.67</v>
      </c>
      <c r="I1865" s="1">
        <v>0</v>
      </c>
      <c r="J1865" s="4"/>
      <c r="K1865" s="1">
        <v>0</v>
      </c>
      <c r="L1865" s="1">
        <v>1</v>
      </c>
      <c r="M1865" s="32">
        <f>IF(Mecze[[#This Row],[PR]]=0,0,Mecze[[#This Row],[PR]]/Mecze[[#This Row],[CZAS]])</f>
        <v>1.6393442622950821E-2</v>
      </c>
      <c r="N1865" s="32">
        <f>IF(Mecze[[#This Row],[OU]]=0,0,Mecze[[#This Row],[OU]]/Mecze[[#This Row],[CZAS]])</f>
        <v>0</v>
      </c>
      <c r="O1865" s="32">
        <f>IF(Mecze[[#This Row],[PC]]=0,0,Mecze[[#This Row],[PC]]/Mecze[[#This Row],[CZAS]])</f>
        <v>3.2786885245901641E-2</v>
      </c>
      <c r="P1865" s="32">
        <f>IF(Mecze[[#This Row],[SC]]=0,0,Mecze[[#This Row],[SC]]/Mecze[[#This Row],[CZAS]])</f>
        <v>3.2786885245901641E-2</v>
      </c>
      <c r="Q1865" s="32">
        <f>IF(Mecze[[#This Row],[OB]]=0,0,Mecze[[#This Row],[OB]]/Mecze[[#This Row],[CZAS]])</f>
        <v>0</v>
      </c>
      <c r="R1865" s="32">
        <f>IF(Mecze[[#This Row],[BR]]=0,0,Mecze[[#This Row],[BR]]/Mecze[[#This Row],[CZAS]])</f>
        <v>0</v>
      </c>
      <c r="S1865" s="44">
        <f>IF(Mecze[[#This Row],[Role]]="BR",SUMPRODUCT(Mecze[[#This Row],[/PR:90]:[/BR:90]],Brudnopis!$E$23:$J$23),0)</f>
        <v>0</v>
      </c>
      <c r="T1865" s="44">
        <f>IF(Mecze[[#This Row],[Role]]&lt;&gt;"BR",SUMPRODUCT(Mecze[[#This Row],[/PR:90]:[/BR:90]],Brudnopis!$E$24:$J$24),0)</f>
        <v>8.1967213114754106E-2</v>
      </c>
      <c r="U1865" s="44">
        <f>IF(Mecze[[#This Row],[Role]]&lt;&gt;"BR",SUMPRODUCT(Mecze[[#This Row],[/PR:90]:[/BR:90]],Brudnopis!$E$25:$J$25),0)</f>
        <v>9.8360655737704916E-2</v>
      </c>
      <c r="V1865" s="44">
        <f>IF(Mecze[[#This Row],[Role]]&lt;&gt;"BR",SUMPRODUCT(Mecze[[#This Row],[/PR:90]:[/BR:90]],Brudnopis!$E$26:$J$26),0)</f>
        <v>8.1967213114754106E-2</v>
      </c>
      <c r="W1865" s="44">
        <f>IF(Mecze[[#This Row],[Role]]&lt;&gt;"BR",SUMPRODUCT(Mecze[[#This Row],[/PR:90]:[/BR:90]],Brudnopis!$E$27:$J$27),0)</f>
        <v>9.4262295081967207E-2</v>
      </c>
      <c r="X1865" s="44">
        <f>IF(Mecze[[#This Row],[Role]]&lt;&gt;"BR",SUMPRODUCT(Mecze[[#This Row],[/PR:90]:[/BR:90]],Brudnopis!$E$28:$J$28),0)</f>
        <v>9.8360655737704916E-2</v>
      </c>
      <c r="Y1865" s="35">
        <f>IF(Mecze[[#This Row],[Role]]="BR",Mecze[[#This Row],[/OB:90]]+Mecze[[#This Row],[/PC:90]],SUM(Mecze[[#This Row],[/PR:90]:[/BR:90]]))</f>
        <v>8.1967213114754106E-2</v>
      </c>
      <c r="Z1865" s="35">
        <f>IF(Mecze[[#This Row],[KC]]=0,SUM(Mecze[[#This Row],[/BRI]:[/NPI]]),SUM(Mecze[[#This Row],[/BRI]:[/NPI]])*0.6)</f>
        <v>0.45491803278688525</v>
      </c>
      <c r="AA1865" s="10">
        <f>IFERROR(Mecze[[#This Row],[BR]]/Mecze[[#This Row],[ST]],0)</f>
        <v>0</v>
      </c>
      <c r="AB1865">
        <f>ROUND(Mecze[[#This Row],[PD]]*Mecze[[#This Row],[%PC]],0)</f>
        <v>2</v>
      </c>
      <c r="AC1865">
        <f>ROUND(Mecze[[#This Row],[OD]]*Mecze[[#This Row],[%OU]],0)</f>
        <v>0</v>
      </c>
      <c r="AD1865" s="36" t="s">
        <v>46</v>
      </c>
      <c r="AE1865" s="36">
        <v>101</v>
      </c>
      <c r="AF1865" s="71">
        <v>3.15</v>
      </c>
      <c r="AG1865" s="37">
        <v>0</v>
      </c>
      <c r="AH1865" s="37">
        <v>0</v>
      </c>
      <c r="AI1865" s="37">
        <v>61</v>
      </c>
      <c r="AJ1865" s="37">
        <v>4</v>
      </c>
      <c r="AK1865" s="37" t="str">
        <f>VLOOKUP(Mecze[[#This Row],[Match ID]],Meczusie[Mecz]:Meczusie[RodzajMeczu],2,FALSE)</f>
        <v>Liga</v>
      </c>
    </row>
    <row r="1866" spans="1:37" x14ac:dyDescent="0.25">
      <c r="A1866" s="76">
        <v>8</v>
      </c>
      <c r="B1866" s="3" t="s">
        <v>283</v>
      </c>
      <c r="C1866" s="2" t="s">
        <v>165</v>
      </c>
      <c r="D1866" s="1">
        <v>0</v>
      </c>
      <c r="E1866" s="1">
        <v>2</v>
      </c>
      <c r="F1866" s="1">
        <v>2</v>
      </c>
      <c r="G1866" s="1">
        <v>12</v>
      </c>
      <c r="H1866" s="4">
        <v>0.5</v>
      </c>
      <c r="I1866" s="1">
        <v>5</v>
      </c>
      <c r="J1866" s="4">
        <v>0.8</v>
      </c>
      <c r="K1866" s="1">
        <v>0</v>
      </c>
      <c r="L1866" s="1">
        <v>0</v>
      </c>
      <c r="M1866" s="32">
        <f>IF(Mecze[[#This Row],[PR]]=0,0,Mecze[[#This Row],[PR]]/Mecze[[#This Row],[CZAS]])</f>
        <v>0</v>
      </c>
      <c r="N1866" s="32">
        <f>IF(Mecze[[#This Row],[OU]]=0,0,Mecze[[#This Row],[OU]]/Mecze[[#This Row],[CZAS]])</f>
        <v>4.0816326530612242E-2</v>
      </c>
      <c r="O1866" s="32">
        <f>IF(Mecze[[#This Row],[PC]]=0,0,Mecze[[#This Row],[PC]]/Mecze[[#This Row],[CZAS]])</f>
        <v>6.1224489795918366E-2</v>
      </c>
      <c r="P1866" s="32">
        <f>IF(Mecze[[#This Row],[SC]]=0,0,Mecze[[#This Row],[SC]]/Mecze[[#This Row],[CZAS]])</f>
        <v>2.0408163265306121E-2</v>
      </c>
      <c r="Q1866" s="32">
        <f>IF(Mecze[[#This Row],[OB]]=0,0,Mecze[[#This Row],[OB]]/Mecze[[#This Row],[CZAS]])</f>
        <v>0</v>
      </c>
      <c r="R1866" s="32">
        <f>IF(Mecze[[#This Row],[BR]]=0,0,Mecze[[#This Row],[BR]]/Mecze[[#This Row],[CZAS]])</f>
        <v>0</v>
      </c>
      <c r="S1866" s="44">
        <f>IF(Mecze[[#This Row],[Role]]="BR",SUMPRODUCT(Mecze[[#This Row],[/PR:90]:[/BR:90]],Brudnopis!$E$23:$J$23),0)</f>
        <v>0</v>
      </c>
      <c r="T1866" s="44">
        <f>IF(Mecze[[#This Row],[Role]]&lt;&gt;"BR",SUMPRODUCT(Mecze[[#This Row],[/PR:90]:[/BR:90]],Brudnopis!$E$24:$J$24),0)</f>
        <v>0.14285714285714285</v>
      </c>
      <c r="U1866" s="44">
        <f>IF(Mecze[[#This Row],[Role]]&lt;&gt;"BR",SUMPRODUCT(Mecze[[#This Row],[/PR:90]:[/BR:90]],Brudnopis!$E$25:$J$25),0)</f>
        <v>0.15306122448979589</v>
      </c>
      <c r="V1866" s="44">
        <f>IF(Mecze[[#This Row],[Role]]&lt;&gt;"BR",SUMPRODUCT(Mecze[[#This Row],[/PR:90]:[/BR:90]],Brudnopis!$E$26:$J$26),0)</f>
        <v>0.12244897959183673</v>
      </c>
      <c r="W1866" s="44">
        <f>IF(Mecze[[#This Row],[Role]]&lt;&gt;"BR",SUMPRODUCT(Mecze[[#This Row],[/PR:90]:[/BR:90]],Brudnopis!$E$27:$J$27),0)</f>
        <v>0.14285714285714285</v>
      </c>
      <c r="X1866" s="44">
        <f>IF(Mecze[[#This Row],[Role]]&lt;&gt;"BR",SUMPRODUCT(Mecze[[#This Row],[/PR:90]:[/BR:90]],Brudnopis!$E$28:$J$28),0)</f>
        <v>0.10204081632653061</v>
      </c>
      <c r="Y1866" s="35">
        <f>IF(Mecze[[#This Row],[Role]]="BR",Mecze[[#This Row],[/OB:90]]+Mecze[[#This Row],[/PC:90]],SUM(Mecze[[#This Row],[/PR:90]:[/BR:90]]))</f>
        <v>0.12244897959183673</v>
      </c>
      <c r="Z1866" s="35">
        <f>IF(Mecze[[#This Row],[KC]]=0,SUM(Mecze[[#This Row],[/BRI]:[/NPI]]),SUM(Mecze[[#This Row],[/BRI]:[/NPI]])*0.6)</f>
        <v>0.66326530612244905</v>
      </c>
      <c r="AA1866" s="10">
        <f>IFERROR(Mecze[[#This Row],[BR]]/Mecze[[#This Row],[ST]],0)</f>
        <v>0</v>
      </c>
      <c r="AB1866">
        <f>ROUND(Mecze[[#This Row],[PD]]*Mecze[[#This Row],[%PC]],0)</f>
        <v>6</v>
      </c>
      <c r="AC1866">
        <f>ROUND(Mecze[[#This Row],[OD]]*Mecze[[#This Row],[%OU]],0)</f>
        <v>4</v>
      </c>
      <c r="AD1866" s="36" t="s">
        <v>273</v>
      </c>
      <c r="AE1866" s="36">
        <v>101</v>
      </c>
      <c r="AF1866" s="71">
        <v>4.4800000000000004</v>
      </c>
      <c r="AG1866" s="37">
        <v>0</v>
      </c>
      <c r="AH1866" s="37">
        <v>0</v>
      </c>
      <c r="AI1866" s="37">
        <v>98</v>
      </c>
      <c r="AJ1866" s="37">
        <v>4</v>
      </c>
      <c r="AK1866" s="37" t="str">
        <f>VLOOKUP(Mecze[[#This Row],[Match ID]],Meczusie[Mecz]:Meczusie[RodzajMeczu],2,FALSE)</f>
        <v>Liga</v>
      </c>
    </row>
    <row r="1867" spans="1:37" x14ac:dyDescent="0.25">
      <c r="A1867" s="76">
        <v>10</v>
      </c>
      <c r="B1867" s="3" t="s">
        <v>284</v>
      </c>
      <c r="C1867" s="2" t="s">
        <v>165</v>
      </c>
      <c r="D1867" s="1">
        <v>0</v>
      </c>
      <c r="E1867" s="1">
        <v>1</v>
      </c>
      <c r="F1867" s="1">
        <v>0</v>
      </c>
      <c r="G1867" s="1">
        <v>9</v>
      </c>
      <c r="H1867" s="4">
        <v>0.89</v>
      </c>
      <c r="I1867" s="1">
        <v>2</v>
      </c>
      <c r="J1867" s="4">
        <v>0</v>
      </c>
      <c r="K1867" s="1">
        <v>0</v>
      </c>
      <c r="L1867" s="1">
        <v>0</v>
      </c>
      <c r="M1867" s="32">
        <f>IF(Mecze[[#This Row],[PR]]=0,0,Mecze[[#This Row],[PR]]/Mecze[[#This Row],[CZAS]])</f>
        <v>0</v>
      </c>
      <c r="N1867" s="32">
        <f>IF(Mecze[[#This Row],[OU]]=0,0,Mecze[[#This Row],[OU]]/Mecze[[#This Row],[CZAS]])</f>
        <v>0</v>
      </c>
      <c r="O1867" s="32">
        <f>IF(Mecze[[#This Row],[PC]]=0,0,Mecze[[#This Row],[PC]]/Mecze[[#This Row],[CZAS]])</f>
        <v>8.1632653061224483E-2</v>
      </c>
      <c r="P1867" s="32">
        <f>IF(Mecze[[#This Row],[SC]]=0,0,Mecze[[#This Row],[SC]]/Mecze[[#This Row],[CZAS]])</f>
        <v>0</v>
      </c>
      <c r="Q1867" s="32">
        <f>IF(Mecze[[#This Row],[OB]]=0,0,Mecze[[#This Row],[OB]]/Mecze[[#This Row],[CZAS]])</f>
        <v>0</v>
      </c>
      <c r="R1867" s="32">
        <f>IF(Mecze[[#This Row],[BR]]=0,0,Mecze[[#This Row],[BR]]/Mecze[[#This Row],[CZAS]])</f>
        <v>0</v>
      </c>
      <c r="S1867" s="44">
        <f>IF(Mecze[[#This Row],[Role]]="BR",SUMPRODUCT(Mecze[[#This Row],[/PR:90]:[/BR:90]],Brudnopis!$E$23:$J$23),0)</f>
        <v>0</v>
      </c>
      <c r="T1867" s="44">
        <f>IF(Mecze[[#This Row],[Role]]&lt;&gt;"BR",SUMPRODUCT(Mecze[[#This Row],[/PR:90]:[/BR:90]],Brudnopis!$E$24:$J$24),0)</f>
        <v>8.1632653061224483E-2</v>
      </c>
      <c r="U1867" s="44">
        <f>IF(Mecze[[#This Row],[Role]]&lt;&gt;"BR",SUMPRODUCT(Mecze[[#This Row],[/PR:90]:[/BR:90]],Brudnopis!$E$25:$J$25),0)</f>
        <v>0.12244897959183673</v>
      </c>
      <c r="V1867" s="44">
        <f>IF(Mecze[[#This Row],[Role]]&lt;&gt;"BR",SUMPRODUCT(Mecze[[#This Row],[/PR:90]:[/BR:90]],Brudnopis!$E$26:$J$26),0)</f>
        <v>8.1632653061224483E-2</v>
      </c>
      <c r="W1867" s="44">
        <f>IF(Mecze[[#This Row],[Role]]&lt;&gt;"BR",SUMPRODUCT(Mecze[[#This Row],[/PR:90]:[/BR:90]],Brudnopis!$E$27:$J$27),0)</f>
        <v>0.12244897959183673</v>
      </c>
      <c r="X1867" s="44">
        <f>IF(Mecze[[#This Row],[Role]]&lt;&gt;"BR",SUMPRODUCT(Mecze[[#This Row],[/PR:90]:[/BR:90]],Brudnopis!$E$28:$J$28),0)</f>
        <v>8.1632653061224483E-2</v>
      </c>
      <c r="Y1867" s="35">
        <f>IF(Mecze[[#This Row],[Role]]="BR",Mecze[[#This Row],[/OB:90]]+Mecze[[#This Row],[/PC:90]],SUM(Mecze[[#This Row],[/PR:90]:[/BR:90]]))</f>
        <v>8.1632653061224483E-2</v>
      </c>
      <c r="Z1867" s="35">
        <f>IF(Mecze[[#This Row],[KC]]=0,SUM(Mecze[[#This Row],[/BRI]:[/NPI]]),SUM(Mecze[[#This Row],[/BRI]:[/NPI]])*0.6)</f>
        <v>0.48979591836734693</v>
      </c>
      <c r="AA1867" s="10">
        <f>IFERROR(Mecze[[#This Row],[BR]]/Mecze[[#This Row],[ST]],0)</f>
        <v>0</v>
      </c>
      <c r="AB1867">
        <f>ROUND(Mecze[[#This Row],[PD]]*Mecze[[#This Row],[%PC]],0)</f>
        <v>8</v>
      </c>
      <c r="AC1867">
        <f>ROUND(Mecze[[#This Row],[OD]]*Mecze[[#This Row],[%OU]],0)</f>
        <v>0</v>
      </c>
      <c r="AD1867" s="36" t="s">
        <v>46</v>
      </c>
      <c r="AE1867" s="36">
        <v>101</v>
      </c>
      <c r="AF1867" s="71">
        <v>4.96</v>
      </c>
      <c r="AG1867" s="37">
        <v>0</v>
      </c>
      <c r="AH1867" s="37">
        <v>0</v>
      </c>
      <c r="AI1867" s="37">
        <v>98</v>
      </c>
      <c r="AJ1867" s="37">
        <v>4</v>
      </c>
      <c r="AK1867" s="37" t="str">
        <f>VLOOKUP(Mecze[[#This Row],[Match ID]],Meczusie[Mecz]:Meczusie[RodzajMeczu],2,FALSE)</f>
        <v>Liga</v>
      </c>
    </row>
    <row r="1868" spans="1:37" x14ac:dyDescent="0.25">
      <c r="A1868" s="76">
        <v>15</v>
      </c>
      <c r="B1868" s="3" t="s">
        <v>286</v>
      </c>
      <c r="C1868" s="2" t="s">
        <v>165</v>
      </c>
      <c r="D1868" s="1">
        <v>0</v>
      </c>
      <c r="E1868" s="1">
        <v>1</v>
      </c>
      <c r="F1868" s="1">
        <v>0</v>
      </c>
      <c r="G1868" s="1">
        <v>5</v>
      </c>
      <c r="H1868" s="4">
        <v>0.4</v>
      </c>
      <c r="I1868" s="1">
        <v>0</v>
      </c>
      <c r="J1868" s="4"/>
      <c r="K1868" s="1">
        <v>0</v>
      </c>
      <c r="L1868" s="1">
        <v>1</v>
      </c>
      <c r="M1868" s="32">
        <f>IF(Mecze[[#This Row],[PR]]=0,0,Mecze[[#This Row],[PR]]/Mecze[[#This Row],[CZAS]])</f>
        <v>2.7027027027027029E-2</v>
      </c>
      <c r="N1868" s="32">
        <f>IF(Mecze[[#This Row],[OU]]=0,0,Mecze[[#This Row],[OU]]/Mecze[[#This Row],[CZAS]])</f>
        <v>0</v>
      </c>
      <c r="O1868" s="32">
        <f>IF(Mecze[[#This Row],[PC]]=0,0,Mecze[[#This Row],[PC]]/Mecze[[#This Row],[CZAS]])</f>
        <v>5.4054054054054057E-2</v>
      </c>
      <c r="P1868" s="32">
        <f>IF(Mecze[[#This Row],[SC]]=0,0,Mecze[[#This Row],[SC]]/Mecze[[#This Row],[CZAS]])</f>
        <v>0</v>
      </c>
      <c r="Q1868" s="32">
        <f>IF(Mecze[[#This Row],[OB]]=0,0,Mecze[[#This Row],[OB]]/Mecze[[#This Row],[CZAS]])</f>
        <v>0</v>
      </c>
      <c r="R1868" s="32">
        <f>IF(Mecze[[#This Row],[BR]]=0,0,Mecze[[#This Row],[BR]]/Mecze[[#This Row],[CZAS]])</f>
        <v>0</v>
      </c>
      <c r="S1868" s="44">
        <f>IF(Mecze[[#This Row],[Role]]="BR",SUMPRODUCT(Mecze[[#This Row],[/PR:90]:[/BR:90]],Brudnopis!$E$23:$J$23),0)</f>
        <v>0</v>
      </c>
      <c r="T1868" s="44">
        <f>IF(Mecze[[#This Row],[Role]]&lt;&gt;"BR",SUMPRODUCT(Mecze[[#This Row],[/PR:90]:[/BR:90]],Brudnopis!$E$24:$J$24),0)</f>
        <v>8.1081081081081086E-2</v>
      </c>
      <c r="U1868" s="44">
        <f>IF(Mecze[[#This Row],[Role]]&lt;&gt;"BR",SUMPRODUCT(Mecze[[#This Row],[/PR:90]:[/BR:90]],Brudnopis!$E$25:$J$25),0)</f>
        <v>0.10810810810810811</v>
      </c>
      <c r="V1868" s="44">
        <f>IF(Mecze[[#This Row],[Role]]&lt;&gt;"BR",SUMPRODUCT(Mecze[[#This Row],[/PR:90]:[/BR:90]],Brudnopis!$E$26:$J$26),0)</f>
        <v>8.1081081081081086E-2</v>
      </c>
      <c r="W1868" s="44">
        <f>IF(Mecze[[#This Row],[Role]]&lt;&gt;"BR",SUMPRODUCT(Mecze[[#This Row],[/PR:90]:[/BR:90]],Brudnopis!$E$27:$J$27),0)</f>
        <v>0.10135135135135136</v>
      </c>
      <c r="X1868" s="44">
        <f>IF(Mecze[[#This Row],[Role]]&lt;&gt;"BR",SUMPRODUCT(Mecze[[#This Row],[/PR:90]:[/BR:90]],Brudnopis!$E$28:$J$28),0)</f>
        <v>5.4054054054054057E-2</v>
      </c>
      <c r="Y1868" s="35">
        <f>IF(Mecze[[#This Row],[Role]]="BR",Mecze[[#This Row],[/OB:90]]+Mecze[[#This Row],[/PC:90]],SUM(Mecze[[#This Row],[/PR:90]:[/BR:90]]))</f>
        <v>8.1081081081081086E-2</v>
      </c>
      <c r="Z1868" s="35">
        <f>IF(Mecze[[#This Row],[KC]]=0,SUM(Mecze[[#This Row],[/BRI]:[/NPI]]),SUM(Mecze[[#This Row],[/BRI]:[/NPI]])*0.6)</f>
        <v>0.42567567567567571</v>
      </c>
      <c r="AA1868" s="10">
        <f>IFERROR(Mecze[[#This Row],[BR]]/Mecze[[#This Row],[ST]],0)</f>
        <v>0</v>
      </c>
      <c r="AB1868">
        <f>ROUND(Mecze[[#This Row],[PD]]*Mecze[[#This Row],[%PC]],0)</f>
        <v>2</v>
      </c>
      <c r="AC1868">
        <f>ROUND(Mecze[[#This Row],[OD]]*Mecze[[#This Row],[%OU]],0)</f>
        <v>0</v>
      </c>
      <c r="AD1868" s="36" t="s">
        <v>46</v>
      </c>
      <c r="AE1868" s="36">
        <v>101</v>
      </c>
      <c r="AF1868" s="71">
        <v>0.5</v>
      </c>
      <c r="AG1868" s="37">
        <v>0</v>
      </c>
      <c r="AH1868" s="37">
        <v>0</v>
      </c>
      <c r="AI1868" s="37">
        <v>37</v>
      </c>
      <c r="AJ1868" s="37">
        <v>4</v>
      </c>
      <c r="AK1868" s="37" t="str">
        <f>VLOOKUP(Mecze[[#This Row],[Match ID]],Meczusie[Mecz]:Meczusie[RodzajMeczu],2,FALSE)</f>
        <v>Liga</v>
      </c>
    </row>
    <row r="1869" spans="1:37" x14ac:dyDescent="0.25">
      <c r="A1869" s="76">
        <v>1</v>
      </c>
      <c r="B1869" s="3" t="s">
        <v>169</v>
      </c>
      <c r="C1869" s="2" t="s">
        <v>155</v>
      </c>
      <c r="D1869" s="1">
        <v>0</v>
      </c>
      <c r="E1869" s="1">
        <v>0</v>
      </c>
      <c r="F1869" s="1">
        <v>0</v>
      </c>
      <c r="G1869" s="1">
        <v>1</v>
      </c>
      <c r="H1869" s="4">
        <v>0</v>
      </c>
      <c r="I1869" s="1">
        <v>0</v>
      </c>
      <c r="J1869" s="4"/>
      <c r="K1869" s="1">
        <v>1</v>
      </c>
      <c r="L1869" s="1">
        <v>0</v>
      </c>
      <c r="M1869" s="32">
        <f>IF(Mecze[[#This Row],[PR]]=0,0,Mecze[[#This Row],[PR]]/Mecze[[#This Row],[CZAS]])</f>
        <v>0</v>
      </c>
      <c r="N1869" s="32">
        <f>IF(Mecze[[#This Row],[OU]]=0,0,Mecze[[#This Row],[OU]]/Mecze[[#This Row],[CZAS]])</f>
        <v>0</v>
      </c>
      <c r="O1869" s="32">
        <f>IF(Mecze[[#This Row],[PC]]=0,0,Mecze[[#This Row],[PC]]/Mecze[[#This Row],[CZAS]])</f>
        <v>0</v>
      </c>
      <c r="P1869" s="32">
        <f>IF(Mecze[[#This Row],[SC]]=0,0,Mecze[[#This Row],[SC]]/Mecze[[#This Row],[CZAS]])</f>
        <v>0</v>
      </c>
      <c r="Q1869" s="32">
        <f>IF(Mecze[[#This Row],[OB]]=0,0,Mecze[[#This Row],[OB]]/Mecze[[#This Row],[CZAS]])</f>
        <v>1.0416666666666666E-2</v>
      </c>
      <c r="R1869" s="32">
        <f>IF(Mecze[[#This Row],[BR]]=0,0,Mecze[[#This Row],[BR]]/Mecze[[#This Row],[CZAS]])</f>
        <v>0</v>
      </c>
      <c r="S1869" s="44">
        <f>IF(Mecze[[#This Row],[Role]]="BR",SUMPRODUCT(Mecze[[#This Row],[/PR:90]:[/BR:90]],Brudnopis!$E$23:$J$23),0)</f>
        <v>3.125E-2</v>
      </c>
      <c r="T1869" s="44">
        <f>IF(Mecze[[#This Row],[Role]]&lt;&gt;"BR",SUMPRODUCT(Mecze[[#This Row],[/PR:90]:[/BR:90]],Brudnopis!$E$24:$J$24),0)</f>
        <v>0</v>
      </c>
      <c r="U1869" s="44">
        <f>IF(Mecze[[#This Row],[Role]]&lt;&gt;"BR",SUMPRODUCT(Mecze[[#This Row],[/PR:90]:[/BR:90]],Brudnopis!$E$25:$J$25),0)</f>
        <v>0</v>
      </c>
      <c r="V1869" s="44">
        <f>IF(Mecze[[#This Row],[Role]]&lt;&gt;"BR",SUMPRODUCT(Mecze[[#This Row],[/PR:90]:[/BR:90]],Brudnopis!$E$26:$J$26),0)</f>
        <v>0</v>
      </c>
      <c r="W1869" s="44">
        <f>IF(Mecze[[#This Row],[Role]]&lt;&gt;"BR",SUMPRODUCT(Mecze[[#This Row],[/PR:90]:[/BR:90]],Brudnopis!$E$27:$J$27),0)</f>
        <v>0</v>
      </c>
      <c r="X1869" s="44">
        <f>IF(Mecze[[#This Row],[Role]]&lt;&gt;"BR",SUMPRODUCT(Mecze[[#This Row],[/PR:90]:[/BR:90]],Brudnopis!$E$28:$J$28),0)</f>
        <v>0</v>
      </c>
      <c r="Y1869" s="35">
        <f>IF(Mecze[[#This Row],[Role]]="BR",Mecze[[#This Row],[/OB:90]]+Mecze[[#This Row],[/PC:90]],SUM(Mecze[[#This Row],[/PR:90]:[/BR:90]]))</f>
        <v>1.0416666666666666E-2</v>
      </c>
      <c r="Z1869" s="35">
        <f>IF(Mecze[[#This Row],[KC]]=0,SUM(Mecze[[#This Row],[/BRI]:[/NPI]]),SUM(Mecze[[#This Row],[/BRI]:[/NPI]])*0.6)</f>
        <v>3.125E-2</v>
      </c>
      <c r="AA1869" s="10">
        <f>IFERROR(Mecze[[#This Row],[BR]]/Mecze[[#This Row],[ST]],0)</f>
        <v>0</v>
      </c>
      <c r="AB1869">
        <f>ROUND(Mecze[[#This Row],[PD]]*Mecze[[#This Row],[%PC]],0)</f>
        <v>0</v>
      </c>
      <c r="AC1869">
        <f>ROUND(Mecze[[#This Row],[OD]]*Mecze[[#This Row],[%OU]],0)</f>
        <v>0</v>
      </c>
      <c r="AD1869" s="36" t="s">
        <v>40</v>
      </c>
      <c r="AE1869" s="36">
        <v>102</v>
      </c>
      <c r="AF1869" s="71">
        <v>7.39</v>
      </c>
      <c r="AG1869" s="37">
        <v>0</v>
      </c>
      <c r="AH1869" s="37">
        <v>0</v>
      </c>
      <c r="AI1869" s="37">
        <v>96</v>
      </c>
      <c r="AJ1869" s="37">
        <v>1</v>
      </c>
      <c r="AK1869" s="37" t="str">
        <f>VLOOKUP(Mecze[[#This Row],[Match ID]],Meczusie[Mecz]:Meczusie[RodzajMeczu],2,FALSE)</f>
        <v>Liga</v>
      </c>
    </row>
    <row r="1870" spans="1:37" x14ac:dyDescent="0.25">
      <c r="A1870" s="76">
        <v>5</v>
      </c>
      <c r="B1870" s="3" t="s">
        <v>161</v>
      </c>
      <c r="C1870" s="2" t="s">
        <v>157</v>
      </c>
      <c r="D1870" s="1">
        <v>0</v>
      </c>
      <c r="E1870" s="1">
        <v>0</v>
      </c>
      <c r="F1870" s="1">
        <v>0</v>
      </c>
      <c r="G1870" s="1">
        <v>11</v>
      </c>
      <c r="H1870" s="4">
        <v>0.45</v>
      </c>
      <c r="I1870" s="1">
        <v>12</v>
      </c>
      <c r="J1870" s="4">
        <v>0.57999999999999996</v>
      </c>
      <c r="K1870" s="1">
        <v>0</v>
      </c>
      <c r="L1870" s="1">
        <v>8</v>
      </c>
      <c r="M1870" s="32">
        <f>IF(Mecze[[#This Row],[PR]]=0,0,Mecze[[#This Row],[PR]]/Mecze[[#This Row],[CZAS]])</f>
        <v>8.3333333333333329E-2</v>
      </c>
      <c r="N1870" s="32">
        <f>IF(Mecze[[#This Row],[OU]]=0,0,Mecze[[#This Row],[OU]]/Mecze[[#This Row],[CZAS]])</f>
        <v>7.2916666666666671E-2</v>
      </c>
      <c r="O1870" s="32">
        <f>IF(Mecze[[#This Row],[PC]]=0,0,Mecze[[#This Row],[PC]]/Mecze[[#This Row],[CZAS]])</f>
        <v>5.2083333333333336E-2</v>
      </c>
      <c r="P1870" s="32">
        <f>IF(Mecze[[#This Row],[SC]]=0,0,Mecze[[#This Row],[SC]]/Mecze[[#This Row],[CZAS]])</f>
        <v>0</v>
      </c>
      <c r="Q1870" s="32">
        <f>IF(Mecze[[#This Row],[OB]]=0,0,Mecze[[#This Row],[OB]]/Mecze[[#This Row],[CZAS]])</f>
        <v>0</v>
      </c>
      <c r="R1870" s="32">
        <f>IF(Mecze[[#This Row],[BR]]=0,0,Mecze[[#This Row],[BR]]/Mecze[[#This Row],[CZAS]])</f>
        <v>0</v>
      </c>
      <c r="S1870" s="44">
        <f>IF(Mecze[[#This Row],[Role]]="BR",SUMPRODUCT(Mecze[[#This Row],[/PR:90]:[/BR:90]],Brudnopis!$E$23:$J$23),0)</f>
        <v>0</v>
      </c>
      <c r="T1870" s="44">
        <f>IF(Mecze[[#This Row],[Role]]&lt;&gt;"BR",SUMPRODUCT(Mecze[[#This Row],[/PR:90]:[/BR:90]],Brudnopis!$E$24:$J$24),0)</f>
        <v>0.24479166666666666</v>
      </c>
      <c r="U1870" s="44">
        <f>IF(Mecze[[#This Row],[Role]]&lt;&gt;"BR",SUMPRODUCT(Mecze[[#This Row],[/PR:90]:[/BR:90]],Brudnopis!$E$25:$J$25),0)</f>
        <v>0.234375</v>
      </c>
      <c r="V1870" s="44">
        <f>IF(Mecze[[#This Row],[Role]]&lt;&gt;"BR",SUMPRODUCT(Mecze[[#This Row],[/PR:90]:[/BR:90]],Brudnopis!$E$26:$J$26),0)</f>
        <v>0.20833333333333334</v>
      </c>
      <c r="W1870" s="44">
        <f>IF(Mecze[[#This Row],[Role]]&lt;&gt;"BR",SUMPRODUCT(Mecze[[#This Row],[/PR:90]:[/BR:90]],Brudnopis!$E$27:$J$27),0)</f>
        <v>0.1953125</v>
      </c>
      <c r="X1870" s="44">
        <f>IF(Mecze[[#This Row],[Role]]&lt;&gt;"BR",SUMPRODUCT(Mecze[[#This Row],[/PR:90]:[/BR:90]],Brudnopis!$E$28:$J$28),0)</f>
        <v>5.2083333333333336E-2</v>
      </c>
      <c r="Y1870" s="35">
        <f>IF(Mecze[[#This Row],[Role]]="BR",Mecze[[#This Row],[/OB:90]]+Mecze[[#This Row],[/PC:90]],SUM(Mecze[[#This Row],[/PR:90]:[/BR:90]]))</f>
        <v>0.20833333333333334</v>
      </c>
      <c r="Z1870" s="35">
        <f>IF(Mecze[[#This Row],[KC]]=0,SUM(Mecze[[#This Row],[/BRI]:[/NPI]]),SUM(Mecze[[#This Row],[/BRI]:[/NPI]])*0.6)</f>
        <v>0.93489583333333337</v>
      </c>
      <c r="AA1870" s="10">
        <f>IFERROR(Mecze[[#This Row],[BR]]/Mecze[[#This Row],[ST]],0)</f>
        <v>0</v>
      </c>
      <c r="AB1870">
        <f>ROUND(Mecze[[#This Row],[PD]]*Mecze[[#This Row],[%PC]],0)</f>
        <v>5</v>
      </c>
      <c r="AC1870">
        <f>ROUND(Mecze[[#This Row],[OD]]*Mecze[[#This Row],[%OU]],0)</f>
        <v>7</v>
      </c>
      <c r="AD1870" s="36" t="s">
        <v>47</v>
      </c>
      <c r="AE1870" s="36">
        <v>102</v>
      </c>
      <c r="AF1870" s="71">
        <v>9.84</v>
      </c>
      <c r="AG1870" s="37">
        <v>0</v>
      </c>
      <c r="AH1870" s="37">
        <v>0</v>
      </c>
      <c r="AI1870" s="37">
        <v>96</v>
      </c>
      <c r="AJ1870" s="37">
        <v>1</v>
      </c>
      <c r="AK1870" s="37" t="str">
        <f>VLOOKUP(Mecze[[#This Row],[Match ID]],Meczusie[Mecz]:Meczusie[RodzajMeczu],2,FALSE)</f>
        <v>Liga</v>
      </c>
    </row>
    <row r="1871" spans="1:37" x14ac:dyDescent="0.25">
      <c r="A1871" s="76">
        <v>3</v>
      </c>
      <c r="B1871" s="3" t="s">
        <v>158</v>
      </c>
      <c r="C1871" s="2" t="s">
        <v>157</v>
      </c>
      <c r="D1871" s="1">
        <v>0</v>
      </c>
      <c r="E1871" s="1">
        <v>0</v>
      </c>
      <c r="F1871" s="1">
        <v>0</v>
      </c>
      <c r="G1871" s="1">
        <v>7</v>
      </c>
      <c r="H1871" s="4">
        <v>0.86</v>
      </c>
      <c r="I1871" s="1">
        <v>2</v>
      </c>
      <c r="J1871" s="4">
        <v>1</v>
      </c>
      <c r="K1871" s="1">
        <v>0</v>
      </c>
      <c r="L1871" s="1">
        <v>9</v>
      </c>
      <c r="M1871" s="32">
        <f>IF(Mecze[[#This Row],[PR]]=0,0,Mecze[[#This Row],[PR]]/Mecze[[#This Row],[CZAS]])</f>
        <v>9.375E-2</v>
      </c>
      <c r="N1871" s="32">
        <f>IF(Mecze[[#This Row],[OU]]=0,0,Mecze[[#This Row],[OU]]/Mecze[[#This Row],[CZAS]])</f>
        <v>2.0833333333333332E-2</v>
      </c>
      <c r="O1871" s="32">
        <f>IF(Mecze[[#This Row],[PC]]=0,0,Mecze[[#This Row],[PC]]/Mecze[[#This Row],[CZAS]])</f>
        <v>6.25E-2</v>
      </c>
      <c r="P1871" s="32">
        <f>IF(Mecze[[#This Row],[SC]]=0,0,Mecze[[#This Row],[SC]]/Mecze[[#This Row],[CZAS]])</f>
        <v>0</v>
      </c>
      <c r="Q1871" s="32">
        <f>IF(Mecze[[#This Row],[OB]]=0,0,Mecze[[#This Row],[OB]]/Mecze[[#This Row],[CZAS]])</f>
        <v>0</v>
      </c>
      <c r="R1871" s="32">
        <f>IF(Mecze[[#This Row],[BR]]=0,0,Mecze[[#This Row],[BR]]/Mecze[[#This Row],[CZAS]])</f>
        <v>0</v>
      </c>
      <c r="S1871" s="44">
        <f>IF(Mecze[[#This Row],[Role]]="BR",SUMPRODUCT(Mecze[[#This Row],[/PR:90]:[/BR:90]],Brudnopis!$E$23:$J$23),0)</f>
        <v>0</v>
      </c>
      <c r="T1871" s="44">
        <f>IF(Mecze[[#This Row],[Role]]&lt;&gt;"BR",SUMPRODUCT(Mecze[[#This Row],[/PR:90]:[/BR:90]],Brudnopis!$E$24:$J$24),0)</f>
        <v>0.1875</v>
      </c>
      <c r="U1871" s="44">
        <f>IF(Mecze[[#This Row],[Role]]&lt;&gt;"BR",SUMPRODUCT(Mecze[[#This Row],[/PR:90]:[/BR:90]],Brudnopis!$E$25:$J$25),0)</f>
        <v>0.20833333333333331</v>
      </c>
      <c r="V1871" s="44">
        <f>IF(Mecze[[#This Row],[Role]]&lt;&gt;"BR",SUMPRODUCT(Mecze[[#This Row],[/PR:90]:[/BR:90]],Brudnopis!$E$26:$J$26),0)</f>
        <v>0.17708333333333331</v>
      </c>
      <c r="W1871" s="44">
        <f>IF(Mecze[[#This Row],[Role]]&lt;&gt;"BR",SUMPRODUCT(Mecze[[#This Row],[/PR:90]:[/BR:90]],Brudnopis!$E$27:$J$27),0)</f>
        <v>0.1796875</v>
      </c>
      <c r="X1871" s="44">
        <f>IF(Mecze[[#This Row],[Role]]&lt;&gt;"BR",SUMPRODUCT(Mecze[[#This Row],[/PR:90]:[/BR:90]],Brudnopis!$E$28:$J$28),0)</f>
        <v>6.25E-2</v>
      </c>
      <c r="Y1871" s="35">
        <f>IF(Mecze[[#This Row],[Role]]="BR",Mecze[[#This Row],[/OB:90]]+Mecze[[#This Row],[/PC:90]],SUM(Mecze[[#This Row],[/PR:90]:[/BR:90]]))</f>
        <v>0.17708333333333331</v>
      </c>
      <c r="Z1871" s="35">
        <f>IF(Mecze[[#This Row],[KC]]=0,SUM(Mecze[[#This Row],[/BRI]:[/NPI]]),SUM(Mecze[[#This Row],[/BRI]:[/NPI]])*0.6)</f>
        <v>0.81510416666666663</v>
      </c>
      <c r="AA1871" s="10">
        <f>IFERROR(Mecze[[#This Row],[BR]]/Mecze[[#This Row],[ST]],0)</f>
        <v>0</v>
      </c>
      <c r="AB1871">
        <f>ROUND(Mecze[[#This Row],[PD]]*Mecze[[#This Row],[%PC]],0)</f>
        <v>6</v>
      </c>
      <c r="AC1871">
        <f>ROUND(Mecze[[#This Row],[OD]]*Mecze[[#This Row],[%OU]],0)</f>
        <v>2</v>
      </c>
      <c r="AD1871" s="36" t="s">
        <v>168</v>
      </c>
      <c r="AE1871" s="36">
        <v>102</v>
      </c>
      <c r="AF1871" s="71">
        <v>8.93</v>
      </c>
      <c r="AG1871" s="37">
        <v>0</v>
      </c>
      <c r="AH1871" s="37">
        <v>0</v>
      </c>
      <c r="AI1871" s="37">
        <v>96</v>
      </c>
      <c r="AJ1871" s="37">
        <v>1</v>
      </c>
      <c r="AK1871" s="37" t="str">
        <f>VLOOKUP(Mecze[[#This Row],[Match ID]],Meczusie[Mecz]:Meczusie[RodzajMeczu],2,FALSE)</f>
        <v>Liga</v>
      </c>
    </row>
    <row r="1872" spans="1:37" x14ac:dyDescent="0.25">
      <c r="A1872" s="76">
        <v>18</v>
      </c>
      <c r="B1872" s="3" t="s">
        <v>211</v>
      </c>
      <c r="C1872" s="2" t="s">
        <v>157</v>
      </c>
      <c r="D1872" s="1">
        <v>0</v>
      </c>
      <c r="E1872" s="1">
        <v>0</v>
      </c>
      <c r="F1872" s="1">
        <v>0</v>
      </c>
      <c r="G1872" s="1">
        <v>0</v>
      </c>
      <c r="H1872" s="72"/>
      <c r="I1872" s="1">
        <v>0</v>
      </c>
      <c r="J1872" s="4"/>
      <c r="K1872" s="1">
        <v>0</v>
      </c>
      <c r="L1872" s="1">
        <v>0</v>
      </c>
      <c r="M1872" s="32">
        <f>IF(Mecze[[#This Row],[PR]]=0,0,Mecze[[#This Row],[PR]]/Mecze[[#This Row],[CZAS]])</f>
        <v>0</v>
      </c>
      <c r="N1872" s="32">
        <f>IF(Mecze[[#This Row],[OU]]=0,0,Mecze[[#This Row],[OU]]/Mecze[[#This Row],[CZAS]])</f>
        <v>0</v>
      </c>
      <c r="O1872" s="32">
        <f>IF(Mecze[[#This Row],[PC]]=0,0,Mecze[[#This Row],[PC]]/Mecze[[#This Row],[CZAS]])</f>
        <v>0</v>
      </c>
      <c r="P1872" s="32">
        <f>IF(Mecze[[#This Row],[SC]]=0,0,Mecze[[#This Row],[SC]]/Mecze[[#This Row],[CZAS]])</f>
        <v>0</v>
      </c>
      <c r="Q1872" s="32">
        <f>IF(Mecze[[#This Row],[OB]]=0,0,Mecze[[#This Row],[OB]]/Mecze[[#This Row],[CZAS]])</f>
        <v>0</v>
      </c>
      <c r="R1872" s="32">
        <f>IF(Mecze[[#This Row],[BR]]=0,0,Mecze[[#This Row],[BR]]/Mecze[[#This Row],[CZAS]])</f>
        <v>0</v>
      </c>
      <c r="S1872" s="44">
        <f>IF(Mecze[[#This Row],[Role]]="BR",SUMPRODUCT(Mecze[[#This Row],[/PR:90]:[/BR:90]],Brudnopis!$E$23:$J$23),0)</f>
        <v>0</v>
      </c>
      <c r="T1872" s="44">
        <f>IF(Mecze[[#This Row],[Role]]&lt;&gt;"BR",SUMPRODUCT(Mecze[[#This Row],[/PR:90]:[/BR:90]],Brudnopis!$E$24:$J$24),0)</f>
        <v>0</v>
      </c>
      <c r="U1872" s="44">
        <f>IF(Mecze[[#This Row],[Role]]&lt;&gt;"BR",SUMPRODUCT(Mecze[[#This Row],[/PR:90]:[/BR:90]],Brudnopis!$E$25:$J$25),0)</f>
        <v>0</v>
      </c>
      <c r="V1872" s="44">
        <f>IF(Mecze[[#This Row],[Role]]&lt;&gt;"BR",SUMPRODUCT(Mecze[[#This Row],[/PR:90]:[/BR:90]],Brudnopis!$E$26:$J$26),0)</f>
        <v>0</v>
      </c>
      <c r="W1872" s="44">
        <f>IF(Mecze[[#This Row],[Role]]&lt;&gt;"BR",SUMPRODUCT(Mecze[[#This Row],[/PR:90]:[/BR:90]],Brudnopis!$E$27:$J$27),0)</f>
        <v>0</v>
      </c>
      <c r="X1872" s="44">
        <f>IF(Mecze[[#This Row],[Role]]&lt;&gt;"BR",SUMPRODUCT(Mecze[[#This Row],[/PR:90]:[/BR:90]],Brudnopis!$E$28:$J$28),0)</f>
        <v>0</v>
      </c>
      <c r="Y1872" s="35">
        <f>IF(Mecze[[#This Row],[Role]]="BR",Mecze[[#This Row],[/OB:90]]+Mecze[[#This Row],[/PC:90]],SUM(Mecze[[#This Row],[/PR:90]:[/BR:90]]))</f>
        <v>0</v>
      </c>
      <c r="Z1872" s="35">
        <f>IF(Mecze[[#This Row],[KC]]=0,SUM(Mecze[[#This Row],[/BRI]:[/NPI]]),SUM(Mecze[[#This Row],[/BRI]:[/NPI]])*0.6)</f>
        <v>0</v>
      </c>
      <c r="AA1872" s="10">
        <f>IFERROR(Mecze[[#This Row],[BR]]/Mecze[[#This Row],[ST]],0)</f>
        <v>0</v>
      </c>
      <c r="AB1872">
        <f>ROUND(Mecze[[#This Row],[PD]]*Mecze[[#This Row],[%PC]],0)</f>
        <v>0</v>
      </c>
      <c r="AC1872">
        <f>ROUND(Mecze[[#This Row],[OD]]*Mecze[[#This Row],[%OU]],0)</f>
        <v>0</v>
      </c>
      <c r="AD1872" s="36" t="s">
        <v>167</v>
      </c>
      <c r="AE1872" s="36">
        <v>102</v>
      </c>
      <c r="AF1872" s="71">
        <v>7.04</v>
      </c>
      <c r="AG1872" s="37">
        <v>0</v>
      </c>
      <c r="AH1872" s="37">
        <v>0</v>
      </c>
      <c r="AI1872" s="37">
        <v>96</v>
      </c>
      <c r="AJ1872" s="37">
        <v>1</v>
      </c>
      <c r="AK1872" s="37" t="str">
        <f>VLOOKUP(Mecze[[#This Row],[Match ID]],Meczusie[Mecz]:Meczusie[RodzajMeczu],2,FALSE)</f>
        <v>Liga</v>
      </c>
    </row>
    <row r="1873" spans="1:37" x14ac:dyDescent="0.25">
      <c r="A1873" s="76">
        <v>15</v>
      </c>
      <c r="B1873" s="3" t="s">
        <v>170</v>
      </c>
      <c r="C1873" s="2" t="s">
        <v>160</v>
      </c>
      <c r="D1873" s="1">
        <v>0</v>
      </c>
      <c r="E1873" s="1">
        <v>0</v>
      </c>
      <c r="F1873" s="1">
        <v>0</v>
      </c>
      <c r="G1873" s="1">
        <v>11</v>
      </c>
      <c r="H1873" s="4">
        <v>0.82</v>
      </c>
      <c r="I1873" s="1">
        <v>1</v>
      </c>
      <c r="J1873" s="4">
        <v>0</v>
      </c>
      <c r="K1873" s="1">
        <v>0</v>
      </c>
      <c r="L1873" s="1">
        <v>7</v>
      </c>
      <c r="M1873" s="32">
        <f>IF(Mecze[[#This Row],[PR]]=0,0,Mecze[[#This Row],[PR]]/Mecze[[#This Row],[CZAS]])</f>
        <v>7.2916666666666671E-2</v>
      </c>
      <c r="N1873" s="32">
        <f>IF(Mecze[[#This Row],[OU]]=0,0,Mecze[[#This Row],[OU]]/Mecze[[#This Row],[CZAS]])</f>
        <v>0</v>
      </c>
      <c r="O1873" s="32">
        <f>IF(Mecze[[#This Row],[PC]]=0,0,Mecze[[#This Row],[PC]]/Mecze[[#This Row],[CZAS]])</f>
        <v>9.375E-2</v>
      </c>
      <c r="P1873" s="32">
        <f>IF(Mecze[[#This Row],[SC]]=0,0,Mecze[[#This Row],[SC]]/Mecze[[#This Row],[CZAS]])</f>
        <v>0</v>
      </c>
      <c r="Q1873" s="32">
        <f>IF(Mecze[[#This Row],[OB]]=0,0,Mecze[[#This Row],[OB]]/Mecze[[#This Row],[CZAS]])</f>
        <v>0</v>
      </c>
      <c r="R1873" s="32">
        <f>IF(Mecze[[#This Row],[BR]]=0,0,Mecze[[#This Row],[BR]]/Mecze[[#This Row],[CZAS]])</f>
        <v>0</v>
      </c>
      <c r="S1873" s="44">
        <f>IF(Mecze[[#This Row],[Role]]="BR",SUMPRODUCT(Mecze[[#This Row],[/PR:90]:[/BR:90]],Brudnopis!$E$23:$J$23),0)</f>
        <v>0</v>
      </c>
      <c r="T1873" s="44">
        <f>IF(Mecze[[#This Row],[Role]]&lt;&gt;"BR",SUMPRODUCT(Mecze[[#This Row],[/PR:90]:[/BR:90]],Brudnopis!$E$24:$J$24),0)</f>
        <v>0.16666666666666669</v>
      </c>
      <c r="U1873" s="44">
        <f>IF(Mecze[[#This Row],[Role]]&lt;&gt;"BR",SUMPRODUCT(Mecze[[#This Row],[/PR:90]:[/BR:90]],Brudnopis!$E$25:$J$25),0)</f>
        <v>0.21354166666666669</v>
      </c>
      <c r="V1873" s="44">
        <f>IF(Mecze[[#This Row],[Role]]&lt;&gt;"BR",SUMPRODUCT(Mecze[[#This Row],[/PR:90]:[/BR:90]],Brudnopis!$E$26:$J$26),0)</f>
        <v>0.16666666666666669</v>
      </c>
      <c r="W1873" s="44">
        <f>IF(Mecze[[#This Row],[Role]]&lt;&gt;"BR",SUMPRODUCT(Mecze[[#This Row],[/PR:90]:[/BR:90]],Brudnopis!$E$27:$J$27),0)</f>
        <v>0.1953125</v>
      </c>
      <c r="X1873" s="44">
        <f>IF(Mecze[[#This Row],[Role]]&lt;&gt;"BR",SUMPRODUCT(Mecze[[#This Row],[/PR:90]:[/BR:90]],Brudnopis!$E$28:$J$28),0)</f>
        <v>9.375E-2</v>
      </c>
      <c r="Y1873" s="35">
        <f>IF(Mecze[[#This Row],[Role]]="BR",Mecze[[#This Row],[/OB:90]]+Mecze[[#This Row],[/PC:90]],SUM(Mecze[[#This Row],[/PR:90]:[/BR:90]]))</f>
        <v>0.16666666666666669</v>
      </c>
      <c r="Z1873" s="35">
        <f>IF(Mecze[[#This Row],[KC]]=0,SUM(Mecze[[#This Row],[/BRI]:[/NPI]]),SUM(Mecze[[#This Row],[/BRI]:[/NPI]])*0.6)</f>
        <v>0.8359375</v>
      </c>
      <c r="AA1873" s="10">
        <f>IFERROR(Mecze[[#This Row],[BR]]/Mecze[[#This Row],[ST]],0)</f>
        <v>0</v>
      </c>
      <c r="AB1873">
        <f>ROUND(Mecze[[#This Row],[PD]]*Mecze[[#This Row],[%PC]],0)</f>
        <v>9</v>
      </c>
      <c r="AC1873">
        <f>ROUND(Mecze[[#This Row],[OD]]*Mecze[[#This Row],[%OU]],0)</f>
        <v>0</v>
      </c>
      <c r="AD1873" s="36" t="s">
        <v>41</v>
      </c>
      <c r="AE1873" s="36">
        <v>102</v>
      </c>
      <c r="AF1873" s="71">
        <v>10.63</v>
      </c>
      <c r="AG1873" s="37">
        <v>0</v>
      </c>
      <c r="AH1873" s="37">
        <v>0</v>
      </c>
      <c r="AI1873" s="37">
        <v>96</v>
      </c>
      <c r="AJ1873" s="37">
        <v>1</v>
      </c>
      <c r="AK1873" s="37" t="str">
        <f>VLOOKUP(Mecze[[#This Row],[Match ID]],Meczusie[Mecz]:Meczusie[RodzajMeczu],2,FALSE)</f>
        <v>Liga</v>
      </c>
    </row>
    <row r="1874" spans="1:37" x14ac:dyDescent="0.25">
      <c r="A1874" s="76">
        <v>8</v>
      </c>
      <c r="B1874" s="3" t="s">
        <v>154</v>
      </c>
      <c r="C1874" s="2" t="s">
        <v>160</v>
      </c>
      <c r="D1874" s="1">
        <v>0</v>
      </c>
      <c r="E1874" s="1">
        <v>0</v>
      </c>
      <c r="F1874" s="1">
        <v>0</v>
      </c>
      <c r="G1874" s="1">
        <v>12</v>
      </c>
      <c r="H1874" s="4">
        <v>0.67</v>
      </c>
      <c r="I1874" s="1">
        <v>2</v>
      </c>
      <c r="J1874" s="4">
        <v>1</v>
      </c>
      <c r="K1874" s="1">
        <v>0</v>
      </c>
      <c r="L1874" s="1">
        <v>10</v>
      </c>
      <c r="M1874" s="32">
        <f>IF(Mecze[[#This Row],[PR]]=0,0,Mecze[[#This Row],[PR]]/Mecze[[#This Row],[CZAS]])</f>
        <v>0.10416666666666667</v>
      </c>
      <c r="N1874" s="32">
        <f>IF(Mecze[[#This Row],[OU]]=0,0,Mecze[[#This Row],[OU]]/Mecze[[#This Row],[CZAS]])</f>
        <v>2.0833333333333332E-2</v>
      </c>
      <c r="O1874" s="32">
        <f>IF(Mecze[[#This Row],[PC]]=0,0,Mecze[[#This Row],[PC]]/Mecze[[#This Row],[CZAS]])</f>
        <v>8.3333333333333329E-2</v>
      </c>
      <c r="P1874" s="32">
        <f>IF(Mecze[[#This Row],[SC]]=0,0,Mecze[[#This Row],[SC]]/Mecze[[#This Row],[CZAS]])</f>
        <v>0</v>
      </c>
      <c r="Q1874" s="32">
        <f>IF(Mecze[[#This Row],[OB]]=0,0,Mecze[[#This Row],[OB]]/Mecze[[#This Row],[CZAS]])</f>
        <v>0</v>
      </c>
      <c r="R1874" s="32">
        <f>IF(Mecze[[#This Row],[BR]]=0,0,Mecze[[#This Row],[BR]]/Mecze[[#This Row],[CZAS]])</f>
        <v>0</v>
      </c>
      <c r="S1874" s="44">
        <f>IF(Mecze[[#This Row],[Role]]="BR",SUMPRODUCT(Mecze[[#This Row],[/PR:90]:[/BR:90]],Brudnopis!$E$23:$J$23),0)</f>
        <v>0</v>
      </c>
      <c r="T1874" s="44">
        <f>IF(Mecze[[#This Row],[Role]]&lt;&gt;"BR",SUMPRODUCT(Mecze[[#This Row],[/PR:90]:[/BR:90]],Brudnopis!$E$24:$J$24),0)</f>
        <v>0.21875</v>
      </c>
      <c r="U1874" s="44">
        <f>IF(Mecze[[#This Row],[Role]]&lt;&gt;"BR",SUMPRODUCT(Mecze[[#This Row],[/PR:90]:[/BR:90]],Brudnopis!$E$25:$J$25),0)</f>
        <v>0.25</v>
      </c>
      <c r="V1874" s="44">
        <f>IF(Mecze[[#This Row],[Role]]&lt;&gt;"BR",SUMPRODUCT(Mecze[[#This Row],[/PR:90]:[/BR:90]],Brudnopis!$E$26:$J$26),0)</f>
        <v>0.20833333333333331</v>
      </c>
      <c r="W1874" s="44">
        <f>IF(Mecze[[#This Row],[Role]]&lt;&gt;"BR",SUMPRODUCT(Mecze[[#This Row],[/PR:90]:[/BR:90]],Brudnopis!$E$27:$J$27),0)</f>
        <v>0.21875</v>
      </c>
      <c r="X1874" s="44">
        <f>IF(Mecze[[#This Row],[Role]]&lt;&gt;"BR",SUMPRODUCT(Mecze[[#This Row],[/PR:90]:[/BR:90]],Brudnopis!$E$28:$J$28),0)</f>
        <v>8.3333333333333329E-2</v>
      </c>
      <c r="Y1874" s="35">
        <f>IF(Mecze[[#This Row],[Role]]="BR",Mecze[[#This Row],[/OB:90]]+Mecze[[#This Row],[/PC:90]],SUM(Mecze[[#This Row],[/PR:90]:[/BR:90]]))</f>
        <v>0.20833333333333331</v>
      </c>
      <c r="Z1874" s="35">
        <f>IF(Mecze[[#This Row],[KC]]=0,SUM(Mecze[[#This Row],[/BRI]:[/NPI]]),SUM(Mecze[[#This Row],[/BRI]:[/NPI]])*0.6)</f>
        <v>0.97916666666666663</v>
      </c>
      <c r="AA1874" s="10">
        <f>IFERROR(Mecze[[#This Row],[BR]]/Mecze[[#This Row],[ST]],0)</f>
        <v>0</v>
      </c>
      <c r="AB1874">
        <f>ROUND(Mecze[[#This Row],[PD]]*Mecze[[#This Row],[%PC]],0)</f>
        <v>8</v>
      </c>
      <c r="AC1874">
        <f>ROUND(Mecze[[#This Row],[OD]]*Mecze[[#This Row],[%OU]],0)</f>
        <v>2</v>
      </c>
      <c r="AD1874" s="36" t="s">
        <v>41</v>
      </c>
      <c r="AE1874" s="36">
        <v>102</v>
      </c>
      <c r="AF1874" s="71">
        <v>10.35</v>
      </c>
      <c r="AG1874" s="37">
        <v>0</v>
      </c>
      <c r="AH1874" s="37">
        <v>0</v>
      </c>
      <c r="AI1874" s="37">
        <v>96</v>
      </c>
      <c r="AJ1874" s="37">
        <v>1</v>
      </c>
      <c r="AK1874" s="37" t="str">
        <f>VLOOKUP(Mecze[[#This Row],[Match ID]],Meczusie[Mecz]:Meczusie[RodzajMeczu],2,FALSE)</f>
        <v>Liga</v>
      </c>
    </row>
    <row r="1875" spans="1:37" x14ac:dyDescent="0.25">
      <c r="A1875" s="76">
        <v>13</v>
      </c>
      <c r="B1875" s="3" t="s">
        <v>162</v>
      </c>
      <c r="C1875" s="2" t="s">
        <v>160</v>
      </c>
      <c r="D1875" s="1">
        <v>0</v>
      </c>
      <c r="E1875" s="1">
        <v>2</v>
      </c>
      <c r="F1875" s="1">
        <v>2</v>
      </c>
      <c r="G1875" s="1">
        <v>13</v>
      </c>
      <c r="H1875" s="4">
        <v>0.77</v>
      </c>
      <c r="I1875" s="1">
        <v>4</v>
      </c>
      <c r="J1875" s="4">
        <v>0.25</v>
      </c>
      <c r="K1875" s="1">
        <v>0</v>
      </c>
      <c r="L1875" s="1">
        <v>8</v>
      </c>
      <c r="M1875" s="32">
        <f>IF(Mecze[[#This Row],[PR]]=0,0,Mecze[[#This Row],[PR]]/Mecze[[#This Row],[CZAS]])</f>
        <v>8.3333333333333329E-2</v>
      </c>
      <c r="N1875" s="32">
        <f>IF(Mecze[[#This Row],[OU]]=0,0,Mecze[[#This Row],[OU]]/Mecze[[#This Row],[CZAS]])</f>
        <v>1.0416666666666666E-2</v>
      </c>
      <c r="O1875" s="32">
        <f>IF(Mecze[[#This Row],[PC]]=0,0,Mecze[[#This Row],[PC]]/Mecze[[#This Row],[CZAS]])</f>
        <v>0.10416666666666667</v>
      </c>
      <c r="P1875" s="32">
        <f>IF(Mecze[[#This Row],[SC]]=0,0,Mecze[[#This Row],[SC]]/Mecze[[#This Row],[CZAS]])</f>
        <v>2.0833333333333332E-2</v>
      </c>
      <c r="Q1875" s="32">
        <f>IF(Mecze[[#This Row],[OB]]=0,0,Mecze[[#This Row],[OB]]/Mecze[[#This Row],[CZAS]])</f>
        <v>0</v>
      </c>
      <c r="R1875" s="32">
        <f>IF(Mecze[[#This Row],[BR]]=0,0,Mecze[[#This Row],[BR]]/Mecze[[#This Row],[CZAS]])</f>
        <v>0</v>
      </c>
      <c r="S1875" s="44">
        <f>IF(Mecze[[#This Row],[Role]]="BR",SUMPRODUCT(Mecze[[#This Row],[/PR:90]:[/BR:90]],Brudnopis!$E$23:$J$23),0)</f>
        <v>0</v>
      </c>
      <c r="T1875" s="44">
        <f>IF(Mecze[[#This Row],[Role]]&lt;&gt;"BR",SUMPRODUCT(Mecze[[#This Row],[/PR:90]:[/BR:90]],Brudnopis!$E$24:$J$24),0)</f>
        <v>0.22395833333333334</v>
      </c>
      <c r="U1875" s="44">
        <f>IF(Mecze[[#This Row],[Role]]&lt;&gt;"BR",SUMPRODUCT(Mecze[[#This Row],[/PR:90]:[/BR:90]],Brudnopis!$E$25:$J$25),0)</f>
        <v>0.27083333333333331</v>
      </c>
      <c r="V1875" s="44">
        <f>IF(Mecze[[#This Row],[Role]]&lt;&gt;"BR",SUMPRODUCT(Mecze[[#This Row],[/PR:90]:[/BR:90]],Brudnopis!$E$26:$J$26),0)</f>
        <v>0.21875000000000003</v>
      </c>
      <c r="W1875" s="44">
        <f>IF(Mecze[[#This Row],[Role]]&lt;&gt;"BR",SUMPRODUCT(Mecze[[#This Row],[/PR:90]:[/BR:90]],Brudnopis!$E$27:$J$27),0)</f>
        <v>0.24739583333333334</v>
      </c>
      <c r="X1875" s="44">
        <f>IF(Mecze[[#This Row],[Role]]&lt;&gt;"BR",SUMPRODUCT(Mecze[[#This Row],[/PR:90]:[/BR:90]],Brudnopis!$E$28:$J$28),0)</f>
        <v>0.14583333333333334</v>
      </c>
      <c r="Y1875" s="35">
        <f>IF(Mecze[[#This Row],[Role]]="BR",Mecze[[#This Row],[/OB:90]]+Mecze[[#This Row],[/PC:90]],SUM(Mecze[[#This Row],[/PR:90]:[/BR:90]]))</f>
        <v>0.21875000000000003</v>
      </c>
      <c r="Z1875" s="35">
        <f>IF(Mecze[[#This Row],[KC]]=0,SUM(Mecze[[#This Row],[/BRI]:[/NPI]]),SUM(Mecze[[#This Row],[/BRI]:[/NPI]])*0.6)</f>
        <v>1.1067708333333333</v>
      </c>
      <c r="AA1875" s="10">
        <f>IFERROR(Mecze[[#This Row],[BR]]/Mecze[[#This Row],[ST]],0)</f>
        <v>0</v>
      </c>
      <c r="AB1875">
        <f>ROUND(Mecze[[#This Row],[PD]]*Mecze[[#This Row],[%PC]],0)</f>
        <v>10</v>
      </c>
      <c r="AC1875">
        <f>ROUND(Mecze[[#This Row],[OD]]*Mecze[[#This Row],[%OU]],0)</f>
        <v>1</v>
      </c>
      <c r="AD1875" s="36" t="s">
        <v>319</v>
      </c>
      <c r="AE1875" s="36">
        <v>102</v>
      </c>
      <c r="AF1875" s="71">
        <v>10.39</v>
      </c>
      <c r="AG1875" s="37">
        <v>0</v>
      </c>
      <c r="AH1875" s="37">
        <v>0</v>
      </c>
      <c r="AI1875" s="37">
        <v>96</v>
      </c>
      <c r="AJ1875" s="37">
        <v>1</v>
      </c>
      <c r="AK1875" s="37" t="str">
        <f>VLOOKUP(Mecze[[#This Row],[Match ID]],Meczusie[Mecz]:Meczusie[RodzajMeczu],2,FALSE)</f>
        <v>Liga</v>
      </c>
    </row>
    <row r="1876" spans="1:37" x14ac:dyDescent="0.25">
      <c r="A1876" s="76">
        <v>20</v>
      </c>
      <c r="B1876" s="3" t="s">
        <v>452</v>
      </c>
      <c r="C1876" s="2" t="s">
        <v>160</v>
      </c>
      <c r="D1876" s="1">
        <v>0</v>
      </c>
      <c r="E1876" s="1">
        <v>0</v>
      </c>
      <c r="F1876" s="1">
        <v>0</v>
      </c>
      <c r="G1876" s="1">
        <v>12</v>
      </c>
      <c r="H1876" s="4">
        <v>0.67</v>
      </c>
      <c r="I1876" s="1">
        <v>0</v>
      </c>
      <c r="J1876" s="4"/>
      <c r="K1876" s="1">
        <v>0</v>
      </c>
      <c r="L1876" s="1">
        <v>3</v>
      </c>
      <c r="M1876" s="32">
        <f>IF(Mecze[[#This Row],[PR]]=0,0,Mecze[[#This Row],[PR]]/Mecze[[#This Row],[CZAS]])</f>
        <v>3.125E-2</v>
      </c>
      <c r="N1876" s="32">
        <f>IF(Mecze[[#This Row],[OU]]=0,0,Mecze[[#This Row],[OU]]/Mecze[[#This Row],[CZAS]])</f>
        <v>0</v>
      </c>
      <c r="O1876" s="32">
        <f>IF(Mecze[[#This Row],[PC]]=0,0,Mecze[[#This Row],[PC]]/Mecze[[#This Row],[CZAS]])</f>
        <v>8.3333333333333329E-2</v>
      </c>
      <c r="P1876" s="32">
        <f>IF(Mecze[[#This Row],[SC]]=0,0,Mecze[[#This Row],[SC]]/Mecze[[#This Row],[CZAS]])</f>
        <v>0</v>
      </c>
      <c r="Q1876" s="32">
        <f>IF(Mecze[[#This Row],[OB]]=0,0,Mecze[[#This Row],[OB]]/Mecze[[#This Row],[CZAS]])</f>
        <v>0</v>
      </c>
      <c r="R1876" s="32">
        <f>IF(Mecze[[#This Row],[BR]]=0,0,Mecze[[#This Row],[BR]]/Mecze[[#This Row],[CZAS]])</f>
        <v>0</v>
      </c>
      <c r="S1876" s="44">
        <f>IF(Mecze[[#This Row],[Role]]="BR",SUMPRODUCT(Mecze[[#This Row],[/PR:90]:[/BR:90]],Brudnopis!$E$23:$J$23),0)</f>
        <v>0</v>
      </c>
      <c r="T1876" s="44">
        <f>IF(Mecze[[#This Row],[Role]]&lt;&gt;"BR",SUMPRODUCT(Mecze[[#This Row],[/PR:90]:[/BR:90]],Brudnopis!$E$24:$J$24),0)</f>
        <v>0.11458333333333333</v>
      </c>
      <c r="U1876" s="44">
        <f>IF(Mecze[[#This Row],[Role]]&lt;&gt;"BR",SUMPRODUCT(Mecze[[#This Row],[/PR:90]:[/BR:90]],Brudnopis!$E$25:$J$25),0)</f>
        <v>0.15625</v>
      </c>
      <c r="V1876" s="44">
        <f>IF(Mecze[[#This Row],[Role]]&lt;&gt;"BR",SUMPRODUCT(Mecze[[#This Row],[/PR:90]:[/BR:90]],Brudnopis!$E$26:$J$26),0)</f>
        <v>0.11458333333333333</v>
      </c>
      <c r="W1876" s="44">
        <f>IF(Mecze[[#This Row],[Role]]&lt;&gt;"BR",SUMPRODUCT(Mecze[[#This Row],[/PR:90]:[/BR:90]],Brudnopis!$E$27:$J$27),0)</f>
        <v>0.1484375</v>
      </c>
      <c r="X1876" s="44">
        <f>IF(Mecze[[#This Row],[Role]]&lt;&gt;"BR",SUMPRODUCT(Mecze[[#This Row],[/PR:90]:[/BR:90]],Brudnopis!$E$28:$J$28),0)</f>
        <v>8.3333333333333329E-2</v>
      </c>
      <c r="Y1876" s="35">
        <f>IF(Mecze[[#This Row],[Role]]="BR",Mecze[[#This Row],[/OB:90]]+Mecze[[#This Row],[/PC:90]],SUM(Mecze[[#This Row],[/PR:90]:[/BR:90]]))</f>
        <v>0.11458333333333333</v>
      </c>
      <c r="Z1876" s="35">
        <f>IF(Mecze[[#This Row],[KC]]=0,SUM(Mecze[[#This Row],[/BRI]:[/NPI]]),SUM(Mecze[[#This Row],[/BRI]:[/NPI]])*0.6)</f>
        <v>0.6171875</v>
      </c>
      <c r="AA1876" s="10">
        <f>IFERROR(Mecze[[#This Row],[BR]]/Mecze[[#This Row],[ST]],0)</f>
        <v>0</v>
      </c>
      <c r="AB1876">
        <f>ROUND(Mecze[[#This Row],[PD]]*Mecze[[#This Row],[%PC]],0)</f>
        <v>8</v>
      </c>
      <c r="AC1876">
        <f>ROUND(Mecze[[#This Row],[OD]]*Mecze[[#This Row],[%OU]],0)</f>
        <v>0</v>
      </c>
      <c r="AD1876" s="36" t="s">
        <v>318</v>
      </c>
      <c r="AE1876" s="36">
        <v>102</v>
      </c>
      <c r="AF1876" s="71">
        <v>8.8800000000000008</v>
      </c>
      <c r="AG1876" s="37">
        <v>0</v>
      </c>
      <c r="AH1876" s="37">
        <v>0</v>
      </c>
      <c r="AI1876" s="37">
        <v>96</v>
      </c>
      <c r="AJ1876" s="37">
        <v>1</v>
      </c>
      <c r="AK1876" s="37" t="str">
        <f>VLOOKUP(Mecze[[#This Row],[Match ID]],Meczusie[Mecz]:Meczusie[RodzajMeczu],2,FALSE)</f>
        <v>Liga</v>
      </c>
    </row>
    <row r="1877" spans="1:37" x14ac:dyDescent="0.25">
      <c r="A1877" s="76">
        <v>14</v>
      </c>
      <c r="B1877" s="3" t="s">
        <v>164</v>
      </c>
      <c r="C1877" s="2" t="s">
        <v>165</v>
      </c>
      <c r="D1877" s="1">
        <v>0</v>
      </c>
      <c r="E1877" s="1">
        <v>3</v>
      </c>
      <c r="F1877" s="1">
        <v>3</v>
      </c>
      <c r="G1877" s="1">
        <v>9</v>
      </c>
      <c r="H1877" s="4">
        <v>1</v>
      </c>
      <c r="I1877" s="1">
        <v>3</v>
      </c>
      <c r="J1877" s="4">
        <v>0</v>
      </c>
      <c r="K1877" s="1">
        <v>0</v>
      </c>
      <c r="L1877" s="1">
        <v>4</v>
      </c>
      <c r="M1877" s="32">
        <f>IF(Mecze[[#This Row],[PR]]=0,0,Mecze[[#This Row],[PR]]/Mecze[[#This Row],[CZAS]])</f>
        <v>4.1666666666666664E-2</v>
      </c>
      <c r="N1877" s="32">
        <f>IF(Mecze[[#This Row],[OU]]=0,0,Mecze[[#This Row],[OU]]/Mecze[[#This Row],[CZAS]])</f>
        <v>0</v>
      </c>
      <c r="O1877" s="32">
        <f>IF(Mecze[[#This Row],[PC]]=0,0,Mecze[[#This Row],[PC]]/Mecze[[#This Row],[CZAS]])</f>
        <v>9.375E-2</v>
      </c>
      <c r="P1877" s="32">
        <f>IF(Mecze[[#This Row],[SC]]=0,0,Mecze[[#This Row],[SC]]/Mecze[[#This Row],[CZAS]])</f>
        <v>3.125E-2</v>
      </c>
      <c r="Q1877" s="32">
        <f>IF(Mecze[[#This Row],[OB]]=0,0,Mecze[[#This Row],[OB]]/Mecze[[#This Row],[CZAS]])</f>
        <v>0</v>
      </c>
      <c r="R1877" s="32">
        <f>IF(Mecze[[#This Row],[BR]]=0,0,Mecze[[#This Row],[BR]]/Mecze[[#This Row],[CZAS]])</f>
        <v>0</v>
      </c>
      <c r="S1877" s="44">
        <f>IF(Mecze[[#This Row],[Role]]="BR",SUMPRODUCT(Mecze[[#This Row],[/PR:90]:[/BR:90]],Brudnopis!$E$23:$J$23),0)</f>
        <v>0</v>
      </c>
      <c r="T1877" s="44">
        <f>IF(Mecze[[#This Row],[Role]]&lt;&gt;"BR",SUMPRODUCT(Mecze[[#This Row],[/PR:90]:[/BR:90]],Brudnopis!$E$24:$J$24),0)</f>
        <v>0.16666666666666666</v>
      </c>
      <c r="U1877" s="44">
        <f>IF(Mecze[[#This Row],[Role]]&lt;&gt;"BR",SUMPRODUCT(Mecze[[#This Row],[/PR:90]:[/BR:90]],Brudnopis!$E$25:$J$25),0)</f>
        <v>0.21354166666666666</v>
      </c>
      <c r="V1877" s="44">
        <f>IF(Mecze[[#This Row],[Role]]&lt;&gt;"BR",SUMPRODUCT(Mecze[[#This Row],[/PR:90]:[/BR:90]],Brudnopis!$E$26:$J$26),0)</f>
        <v>0.16666666666666666</v>
      </c>
      <c r="W1877" s="44">
        <f>IF(Mecze[[#This Row],[Role]]&lt;&gt;"BR",SUMPRODUCT(Mecze[[#This Row],[/PR:90]:[/BR:90]],Brudnopis!$E$27:$J$27),0)</f>
        <v>0.203125</v>
      </c>
      <c r="X1877" s="44">
        <f>IF(Mecze[[#This Row],[Role]]&lt;&gt;"BR",SUMPRODUCT(Mecze[[#This Row],[/PR:90]:[/BR:90]],Brudnopis!$E$28:$J$28),0)</f>
        <v>0.15625</v>
      </c>
      <c r="Y1877" s="35">
        <f>IF(Mecze[[#This Row],[Role]]="BR",Mecze[[#This Row],[/OB:90]]+Mecze[[#This Row],[/PC:90]],SUM(Mecze[[#This Row],[/PR:90]:[/BR:90]]))</f>
        <v>0.16666666666666666</v>
      </c>
      <c r="Z1877" s="35">
        <f>IF(Mecze[[#This Row],[KC]]=0,SUM(Mecze[[#This Row],[/BRI]:[/NPI]]),SUM(Mecze[[#This Row],[/BRI]:[/NPI]])*0.6)</f>
        <v>0.90625</v>
      </c>
      <c r="AA1877" s="10">
        <f>IFERROR(Mecze[[#This Row],[BR]]/Mecze[[#This Row],[ST]],0)</f>
        <v>0</v>
      </c>
      <c r="AB1877">
        <f>ROUND(Mecze[[#This Row],[PD]]*Mecze[[#This Row],[%PC]],0)</f>
        <v>9</v>
      </c>
      <c r="AC1877">
        <f>ROUND(Mecze[[#This Row],[OD]]*Mecze[[#This Row],[%OU]],0)</f>
        <v>0</v>
      </c>
      <c r="AD1877" s="36" t="s">
        <v>46</v>
      </c>
      <c r="AE1877" s="36">
        <v>102</v>
      </c>
      <c r="AF1877" s="71">
        <v>7.73</v>
      </c>
      <c r="AG1877" s="37">
        <v>0</v>
      </c>
      <c r="AH1877" s="37">
        <v>0</v>
      </c>
      <c r="AI1877" s="37">
        <v>96</v>
      </c>
      <c r="AJ1877" s="37">
        <v>1</v>
      </c>
      <c r="AK1877" s="37" t="str">
        <f>VLOOKUP(Mecze[[#This Row],[Match ID]],Meczusie[Mecz]:Meczusie[RodzajMeczu],2,FALSE)</f>
        <v>Liga</v>
      </c>
    </row>
    <row r="1878" spans="1:37" x14ac:dyDescent="0.25">
      <c r="A1878" s="76">
        <v>9</v>
      </c>
      <c r="B1878" s="3" t="s">
        <v>411</v>
      </c>
      <c r="C1878" s="2" t="s">
        <v>165</v>
      </c>
      <c r="D1878" s="1">
        <v>5</v>
      </c>
      <c r="E1878" s="1">
        <v>11</v>
      </c>
      <c r="F1878" s="1">
        <v>10</v>
      </c>
      <c r="G1878" s="1">
        <v>15</v>
      </c>
      <c r="H1878" s="4">
        <v>0.73</v>
      </c>
      <c r="I1878" s="1">
        <v>6</v>
      </c>
      <c r="J1878" s="4">
        <v>0.17</v>
      </c>
      <c r="K1878" s="1">
        <v>0</v>
      </c>
      <c r="L1878" s="1">
        <v>1</v>
      </c>
      <c r="M1878" s="32">
        <f>IF(Mecze[[#This Row],[PR]]=0,0,Mecze[[#This Row],[PR]]/Mecze[[#This Row],[CZAS]])</f>
        <v>1.0416666666666666E-2</v>
      </c>
      <c r="N1878" s="32">
        <f>IF(Mecze[[#This Row],[OU]]=0,0,Mecze[[#This Row],[OU]]/Mecze[[#This Row],[CZAS]])</f>
        <v>1.0416666666666666E-2</v>
      </c>
      <c r="O1878" s="32">
        <f>IF(Mecze[[#This Row],[PC]]=0,0,Mecze[[#This Row],[PC]]/Mecze[[#This Row],[CZAS]])</f>
        <v>0.11458333333333333</v>
      </c>
      <c r="P1878" s="32">
        <f>IF(Mecze[[#This Row],[SC]]=0,0,Mecze[[#This Row],[SC]]/Mecze[[#This Row],[CZAS]])</f>
        <v>0.10416666666666667</v>
      </c>
      <c r="Q1878" s="32">
        <f>IF(Mecze[[#This Row],[OB]]=0,0,Mecze[[#This Row],[OB]]/Mecze[[#This Row],[CZAS]])</f>
        <v>0</v>
      </c>
      <c r="R1878" s="32">
        <f>IF(Mecze[[#This Row],[BR]]=0,0,Mecze[[#This Row],[BR]]/Mecze[[#This Row],[CZAS]])</f>
        <v>5.2083333333333336E-2</v>
      </c>
      <c r="S1878" s="44">
        <f>IF(Mecze[[#This Row],[Role]]="BR",SUMPRODUCT(Mecze[[#This Row],[/PR:90]:[/BR:90]],Brudnopis!$E$23:$J$23),0)</f>
        <v>0</v>
      </c>
      <c r="T1878" s="44">
        <f>IF(Mecze[[#This Row],[Role]]&lt;&gt;"BR",SUMPRODUCT(Mecze[[#This Row],[/PR:90]:[/BR:90]],Brudnopis!$E$24:$J$24),0)</f>
        <v>0.32291666666666669</v>
      </c>
      <c r="U1878" s="44">
        <f>IF(Mecze[[#This Row],[Role]]&lt;&gt;"BR",SUMPRODUCT(Mecze[[#This Row],[/PR:90]:[/BR:90]],Brudnopis!$E$25:$J$25),0)</f>
        <v>0.375</v>
      </c>
      <c r="V1878" s="44">
        <f>IF(Mecze[[#This Row],[Role]]&lt;&gt;"BR",SUMPRODUCT(Mecze[[#This Row],[/PR:90]:[/BR:90]],Brudnopis!$E$26:$J$26),0)</f>
        <v>0.34375</v>
      </c>
      <c r="W1878" s="44">
        <f>IF(Mecze[[#This Row],[Role]]&lt;&gt;"BR",SUMPRODUCT(Mecze[[#This Row],[/PR:90]:[/BR:90]],Brudnopis!$E$27:$J$27),0)</f>
        <v>0.39583333333333337</v>
      </c>
      <c r="X1878" s="44">
        <f>IF(Mecze[[#This Row],[Role]]&lt;&gt;"BR",SUMPRODUCT(Mecze[[#This Row],[/PR:90]:[/BR:90]],Brudnopis!$E$28:$J$28),0)</f>
        <v>0.47916666666666669</v>
      </c>
      <c r="Y1878" s="35">
        <f>IF(Mecze[[#This Row],[Role]]="BR",Mecze[[#This Row],[/OB:90]]+Mecze[[#This Row],[/PC:90]],SUM(Mecze[[#This Row],[/PR:90]:[/BR:90]]))</f>
        <v>0.29166666666666663</v>
      </c>
      <c r="Z1878" s="35">
        <f>IF(Mecze[[#This Row],[KC]]=0,SUM(Mecze[[#This Row],[/BRI]:[/NPI]]),SUM(Mecze[[#This Row],[/BRI]:[/NPI]])*0.6)</f>
        <v>1.9166666666666667</v>
      </c>
      <c r="AA1878" s="10">
        <f>IFERROR(Mecze[[#This Row],[BR]]/Mecze[[#This Row],[ST]],0)</f>
        <v>0.45454545454545453</v>
      </c>
      <c r="AB1878">
        <f>ROUND(Mecze[[#This Row],[PD]]*Mecze[[#This Row],[%PC]],0)</f>
        <v>11</v>
      </c>
      <c r="AC1878">
        <f>ROUND(Mecze[[#This Row],[OD]]*Mecze[[#This Row],[%OU]],0)</f>
        <v>1</v>
      </c>
      <c r="AD1878" s="36" t="s">
        <v>46</v>
      </c>
      <c r="AE1878" s="36">
        <v>102</v>
      </c>
      <c r="AF1878" s="71">
        <v>18.96</v>
      </c>
      <c r="AG1878" s="37">
        <v>0</v>
      </c>
      <c r="AH1878" s="37">
        <v>0</v>
      </c>
      <c r="AI1878" s="37">
        <v>96</v>
      </c>
      <c r="AJ1878" s="37">
        <v>1</v>
      </c>
      <c r="AK1878" s="37" t="str">
        <f>VLOOKUP(Mecze[[#This Row],[Match ID]],Meczusie[Mecz]:Meczusie[RodzajMeczu],2,FALSE)</f>
        <v>Liga</v>
      </c>
    </row>
    <row r="1879" spans="1:37" x14ac:dyDescent="0.25">
      <c r="A1879" s="76">
        <v>19</v>
      </c>
      <c r="B1879" s="3" t="s">
        <v>166</v>
      </c>
      <c r="C1879" s="2" t="s">
        <v>165</v>
      </c>
      <c r="D1879" s="1">
        <v>4</v>
      </c>
      <c r="E1879" s="1">
        <v>15</v>
      </c>
      <c r="F1879" s="1">
        <v>15</v>
      </c>
      <c r="G1879" s="1">
        <v>4</v>
      </c>
      <c r="H1879" s="4">
        <v>0.5</v>
      </c>
      <c r="I1879" s="1">
        <v>4</v>
      </c>
      <c r="J1879" s="4">
        <v>0.25</v>
      </c>
      <c r="K1879" s="1">
        <v>0</v>
      </c>
      <c r="L1879" s="1">
        <v>0</v>
      </c>
      <c r="M1879" s="32">
        <f>IF(Mecze[[#This Row],[PR]]=0,0,Mecze[[#This Row],[PR]]/Mecze[[#This Row],[CZAS]])</f>
        <v>0</v>
      </c>
      <c r="N1879" s="32">
        <f>IF(Mecze[[#This Row],[OU]]=0,0,Mecze[[#This Row],[OU]]/Mecze[[#This Row],[CZAS]])</f>
        <v>1.0416666666666666E-2</v>
      </c>
      <c r="O1879" s="32">
        <f>IF(Mecze[[#This Row],[PC]]=0,0,Mecze[[#This Row],[PC]]/Mecze[[#This Row],[CZAS]])</f>
        <v>2.0833333333333332E-2</v>
      </c>
      <c r="P1879" s="32">
        <f>IF(Mecze[[#This Row],[SC]]=0,0,Mecze[[#This Row],[SC]]/Mecze[[#This Row],[CZAS]])</f>
        <v>0.15625</v>
      </c>
      <c r="Q1879" s="32">
        <f>IF(Mecze[[#This Row],[OB]]=0,0,Mecze[[#This Row],[OB]]/Mecze[[#This Row],[CZAS]])</f>
        <v>0</v>
      </c>
      <c r="R1879" s="32">
        <f>IF(Mecze[[#This Row],[BR]]=0,0,Mecze[[#This Row],[BR]]/Mecze[[#This Row],[CZAS]])</f>
        <v>4.1666666666666664E-2</v>
      </c>
      <c r="S1879" s="44">
        <f>IF(Mecze[[#This Row],[Role]]="BR",SUMPRODUCT(Mecze[[#This Row],[/PR:90]:[/BR:90]],Brudnopis!$E$23:$J$23),0)</f>
        <v>0</v>
      </c>
      <c r="T1879" s="44">
        <f>IF(Mecze[[#This Row],[Role]]&lt;&gt;"BR",SUMPRODUCT(Mecze[[#This Row],[/PR:90]:[/BR:90]],Brudnopis!$E$24:$J$24),0)</f>
        <v>0.25520833333333331</v>
      </c>
      <c r="U1879" s="44">
        <f>IF(Mecze[[#This Row],[Role]]&lt;&gt;"BR",SUMPRODUCT(Mecze[[#This Row],[/PR:90]:[/BR:90]],Brudnopis!$E$25:$J$25),0)</f>
        <v>0.26041666666666663</v>
      </c>
      <c r="V1879" s="44">
        <f>IF(Mecze[[#This Row],[Role]]&lt;&gt;"BR",SUMPRODUCT(Mecze[[#This Row],[/PR:90]:[/BR:90]],Brudnopis!$E$26:$J$26),0)</f>
        <v>0.27083333333333331</v>
      </c>
      <c r="W1879" s="44">
        <f>IF(Mecze[[#This Row],[Role]]&lt;&gt;"BR",SUMPRODUCT(Mecze[[#This Row],[/PR:90]:[/BR:90]],Brudnopis!$E$27:$J$27),0)</f>
        <v>0.27864583333333331</v>
      </c>
      <c r="X1879" s="44">
        <f>IF(Mecze[[#This Row],[Role]]&lt;&gt;"BR",SUMPRODUCT(Mecze[[#This Row],[/PR:90]:[/BR:90]],Brudnopis!$E$28:$J$28),0)</f>
        <v>0.45833333333333331</v>
      </c>
      <c r="Y1879" s="35">
        <f>IF(Mecze[[#This Row],[Role]]="BR",Mecze[[#This Row],[/OB:90]]+Mecze[[#This Row],[/PC:90]],SUM(Mecze[[#This Row],[/PR:90]:[/BR:90]]))</f>
        <v>0.22916666666666666</v>
      </c>
      <c r="Z1879" s="35">
        <f>IF(Mecze[[#This Row],[KC]]=0,SUM(Mecze[[#This Row],[/BRI]:[/NPI]]),SUM(Mecze[[#This Row],[/BRI]:[/NPI]])*0.6)</f>
        <v>1.5234374999999998</v>
      </c>
      <c r="AA1879" s="10">
        <f>IFERROR(Mecze[[#This Row],[BR]]/Mecze[[#This Row],[ST]],0)</f>
        <v>0.26666666666666666</v>
      </c>
      <c r="AB1879">
        <f>ROUND(Mecze[[#This Row],[PD]]*Mecze[[#This Row],[%PC]],0)</f>
        <v>2</v>
      </c>
      <c r="AC1879">
        <f>ROUND(Mecze[[#This Row],[OD]]*Mecze[[#This Row],[%OU]],0)</f>
        <v>1</v>
      </c>
      <c r="AD1879" s="36" t="s">
        <v>46</v>
      </c>
      <c r="AE1879" s="36">
        <v>102</v>
      </c>
      <c r="AF1879" s="71">
        <v>16.43</v>
      </c>
      <c r="AG1879" s="37">
        <v>0</v>
      </c>
      <c r="AH1879" s="37">
        <v>0</v>
      </c>
      <c r="AI1879" s="37">
        <v>96</v>
      </c>
      <c r="AJ1879" s="37">
        <v>1</v>
      </c>
      <c r="AK1879" s="37" t="str">
        <f>VLOOKUP(Mecze[[#This Row],[Match ID]],Meczusie[Mecz]:Meczusie[RodzajMeczu],2,FALSE)</f>
        <v>Liga</v>
      </c>
    </row>
    <row r="1880" spans="1:37" x14ac:dyDescent="0.25">
      <c r="A1880" s="76">
        <v>1</v>
      </c>
      <c r="B1880" s="3" t="s">
        <v>344</v>
      </c>
      <c r="C1880" s="2" t="s">
        <v>155</v>
      </c>
      <c r="D1880" s="1">
        <v>0</v>
      </c>
      <c r="E1880" s="1">
        <v>0</v>
      </c>
      <c r="F1880" s="1">
        <v>0</v>
      </c>
      <c r="G1880" s="1">
        <v>12</v>
      </c>
      <c r="H1880" s="4">
        <v>0.5</v>
      </c>
      <c r="I1880" s="1">
        <v>0</v>
      </c>
      <c r="J1880" s="4"/>
      <c r="K1880" s="1">
        <v>16</v>
      </c>
      <c r="L1880" s="1">
        <v>0</v>
      </c>
      <c r="M1880" s="32">
        <f>IF(Mecze[[#This Row],[PR]]=0,0,Mecze[[#This Row],[PR]]/Mecze[[#This Row],[CZAS]])</f>
        <v>0</v>
      </c>
      <c r="N1880" s="32">
        <f>IF(Mecze[[#This Row],[OU]]=0,0,Mecze[[#This Row],[OU]]/Mecze[[#This Row],[CZAS]])</f>
        <v>0</v>
      </c>
      <c r="O1880" s="32">
        <f>IF(Mecze[[#This Row],[PC]]=0,0,Mecze[[#This Row],[PC]]/Mecze[[#This Row],[CZAS]])</f>
        <v>6.25E-2</v>
      </c>
      <c r="P1880" s="32">
        <f>IF(Mecze[[#This Row],[SC]]=0,0,Mecze[[#This Row],[SC]]/Mecze[[#This Row],[CZAS]])</f>
        <v>0</v>
      </c>
      <c r="Q1880" s="32">
        <f>IF(Mecze[[#This Row],[OB]]=0,0,Mecze[[#This Row],[OB]]/Mecze[[#This Row],[CZAS]])</f>
        <v>0.16666666666666666</v>
      </c>
      <c r="R1880" s="32">
        <f>IF(Mecze[[#This Row],[BR]]=0,0,Mecze[[#This Row],[BR]]/Mecze[[#This Row],[CZAS]])</f>
        <v>0</v>
      </c>
      <c r="S1880" s="44">
        <f>IF(Mecze[[#This Row],[Role]]="BR",SUMPRODUCT(Mecze[[#This Row],[/PR:90]:[/BR:90]],Brudnopis!$E$23:$J$23),0)</f>
        <v>0.6875</v>
      </c>
      <c r="T1880" s="44">
        <f>IF(Mecze[[#This Row],[Role]]&lt;&gt;"BR",SUMPRODUCT(Mecze[[#This Row],[/PR:90]:[/BR:90]],Brudnopis!$E$24:$J$24),0)</f>
        <v>0</v>
      </c>
      <c r="U1880" s="44">
        <f>IF(Mecze[[#This Row],[Role]]&lt;&gt;"BR",SUMPRODUCT(Mecze[[#This Row],[/PR:90]:[/BR:90]],Brudnopis!$E$25:$J$25),0)</f>
        <v>0</v>
      </c>
      <c r="V1880" s="44">
        <f>IF(Mecze[[#This Row],[Role]]&lt;&gt;"BR",SUMPRODUCT(Mecze[[#This Row],[/PR:90]:[/BR:90]],Brudnopis!$E$26:$J$26),0)</f>
        <v>0</v>
      </c>
      <c r="W1880" s="44">
        <f>IF(Mecze[[#This Row],[Role]]&lt;&gt;"BR",SUMPRODUCT(Mecze[[#This Row],[/PR:90]:[/BR:90]],Brudnopis!$E$27:$J$27),0)</f>
        <v>0</v>
      </c>
      <c r="X1880" s="44">
        <f>IF(Mecze[[#This Row],[Role]]&lt;&gt;"BR",SUMPRODUCT(Mecze[[#This Row],[/PR:90]:[/BR:90]],Brudnopis!$E$28:$J$28),0)</f>
        <v>0</v>
      </c>
      <c r="Y1880" s="35">
        <f>IF(Mecze[[#This Row],[Role]]="BR",Mecze[[#This Row],[/OB:90]]+Mecze[[#This Row],[/PC:90]],SUM(Mecze[[#This Row],[/PR:90]:[/BR:90]]))</f>
        <v>0.22916666666666666</v>
      </c>
      <c r="Z1880" s="35">
        <f>IF(Mecze[[#This Row],[KC]]=0,SUM(Mecze[[#This Row],[/BRI]:[/NPI]]),SUM(Mecze[[#This Row],[/BRI]:[/NPI]])*0.6)</f>
        <v>0.6875</v>
      </c>
      <c r="AA1880" s="10">
        <f>IFERROR(Mecze[[#This Row],[BR]]/Mecze[[#This Row],[ST]],0)</f>
        <v>0</v>
      </c>
      <c r="AB1880">
        <f>ROUND(Mecze[[#This Row],[PD]]*Mecze[[#This Row],[%PC]],0)</f>
        <v>6</v>
      </c>
      <c r="AC1880">
        <f>ROUND(Mecze[[#This Row],[OD]]*Mecze[[#This Row],[%OU]],0)</f>
        <v>0</v>
      </c>
      <c r="AD1880" s="36" t="s">
        <v>40</v>
      </c>
      <c r="AE1880" s="36">
        <v>103</v>
      </c>
      <c r="AF1880" s="71">
        <v>9.6300000000000008</v>
      </c>
      <c r="AG1880" s="37">
        <v>0</v>
      </c>
      <c r="AH1880" s="37">
        <v>0</v>
      </c>
      <c r="AI1880" s="37">
        <v>96</v>
      </c>
      <c r="AJ1880" s="37">
        <v>5</v>
      </c>
      <c r="AK1880" s="37" t="str">
        <f>VLOOKUP(Mecze[[#This Row],[Match ID]],Meczusie[Mecz]:Meczusie[RodzajMeczu],2,FALSE)</f>
        <v>Liga</v>
      </c>
    </row>
    <row r="1881" spans="1:37" x14ac:dyDescent="0.25">
      <c r="A1881" s="76">
        <v>2</v>
      </c>
      <c r="B1881" s="3" t="s">
        <v>345</v>
      </c>
      <c r="C1881" s="2" t="s">
        <v>157</v>
      </c>
      <c r="D1881" s="1">
        <v>0</v>
      </c>
      <c r="E1881" s="1">
        <v>0</v>
      </c>
      <c r="F1881" s="1">
        <v>0</v>
      </c>
      <c r="G1881" s="1">
        <v>5</v>
      </c>
      <c r="H1881" s="4">
        <v>0.6</v>
      </c>
      <c r="I1881" s="1">
        <v>4</v>
      </c>
      <c r="J1881" s="4">
        <v>0</v>
      </c>
      <c r="K1881" s="1">
        <v>0</v>
      </c>
      <c r="L1881" s="1">
        <v>6</v>
      </c>
      <c r="M1881" s="32">
        <f>IF(Mecze[[#This Row],[PR]]=0,0,Mecze[[#This Row],[PR]]/Mecze[[#This Row],[CZAS]])</f>
        <v>6.25E-2</v>
      </c>
      <c r="N1881" s="32">
        <f>IF(Mecze[[#This Row],[OU]]=0,0,Mecze[[#This Row],[OU]]/Mecze[[#This Row],[CZAS]])</f>
        <v>0</v>
      </c>
      <c r="O1881" s="32">
        <f>IF(Mecze[[#This Row],[PC]]=0,0,Mecze[[#This Row],[PC]]/Mecze[[#This Row],[CZAS]])</f>
        <v>3.125E-2</v>
      </c>
      <c r="P1881" s="32">
        <f>IF(Mecze[[#This Row],[SC]]=0,0,Mecze[[#This Row],[SC]]/Mecze[[#This Row],[CZAS]])</f>
        <v>0</v>
      </c>
      <c r="Q1881" s="32">
        <f>IF(Mecze[[#This Row],[OB]]=0,0,Mecze[[#This Row],[OB]]/Mecze[[#This Row],[CZAS]])</f>
        <v>0</v>
      </c>
      <c r="R1881" s="32">
        <f>IF(Mecze[[#This Row],[BR]]=0,0,Mecze[[#This Row],[BR]]/Mecze[[#This Row],[CZAS]])</f>
        <v>0</v>
      </c>
      <c r="S1881" s="44">
        <f>IF(Mecze[[#This Row],[Role]]="BR",SUMPRODUCT(Mecze[[#This Row],[/PR:90]:[/BR:90]],Brudnopis!$E$23:$J$23),0)</f>
        <v>0</v>
      </c>
      <c r="T1881" s="44">
        <f>IF(Mecze[[#This Row],[Role]]&lt;&gt;"BR",SUMPRODUCT(Mecze[[#This Row],[/PR:90]:[/BR:90]],Brudnopis!$E$24:$J$24),0)</f>
        <v>9.375E-2</v>
      </c>
      <c r="U1881" s="44">
        <f>IF(Mecze[[#This Row],[Role]]&lt;&gt;"BR",SUMPRODUCT(Mecze[[#This Row],[/PR:90]:[/BR:90]],Brudnopis!$E$25:$J$25),0)</f>
        <v>0.109375</v>
      </c>
      <c r="V1881" s="44">
        <f>IF(Mecze[[#This Row],[Role]]&lt;&gt;"BR",SUMPRODUCT(Mecze[[#This Row],[/PR:90]:[/BR:90]],Brudnopis!$E$26:$J$26),0)</f>
        <v>9.375E-2</v>
      </c>
      <c r="W1881" s="44">
        <f>IF(Mecze[[#This Row],[Role]]&lt;&gt;"BR",SUMPRODUCT(Mecze[[#This Row],[/PR:90]:[/BR:90]],Brudnopis!$E$27:$J$27),0)</f>
        <v>9.375E-2</v>
      </c>
      <c r="X1881" s="44">
        <f>IF(Mecze[[#This Row],[Role]]&lt;&gt;"BR",SUMPRODUCT(Mecze[[#This Row],[/PR:90]:[/BR:90]],Brudnopis!$E$28:$J$28),0)</f>
        <v>3.125E-2</v>
      </c>
      <c r="Y1881" s="35">
        <f>IF(Mecze[[#This Row],[Role]]="BR",Mecze[[#This Row],[/OB:90]]+Mecze[[#This Row],[/PC:90]],SUM(Mecze[[#This Row],[/PR:90]:[/BR:90]]))</f>
        <v>9.375E-2</v>
      </c>
      <c r="Z1881" s="35">
        <f>IF(Mecze[[#This Row],[KC]]=0,SUM(Mecze[[#This Row],[/BRI]:[/NPI]]),SUM(Mecze[[#This Row],[/BRI]:[/NPI]])*0.6)</f>
        <v>0.421875</v>
      </c>
      <c r="AA1881" s="10">
        <f>IFERROR(Mecze[[#This Row],[BR]]/Mecze[[#This Row],[ST]],0)</f>
        <v>0</v>
      </c>
      <c r="AB1881">
        <f>ROUND(Mecze[[#This Row],[PD]]*Mecze[[#This Row],[%PC]],0)</f>
        <v>3</v>
      </c>
      <c r="AC1881">
        <f>ROUND(Mecze[[#This Row],[OD]]*Mecze[[#This Row],[%OU]],0)</f>
        <v>0</v>
      </c>
      <c r="AD1881" s="36" t="s">
        <v>47</v>
      </c>
      <c r="AE1881" s="36">
        <v>103</v>
      </c>
      <c r="AF1881" s="71">
        <v>4.07</v>
      </c>
      <c r="AG1881" s="37">
        <v>0</v>
      </c>
      <c r="AH1881" s="37">
        <v>0</v>
      </c>
      <c r="AI1881" s="37">
        <v>96</v>
      </c>
      <c r="AJ1881" s="37">
        <v>5</v>
      </c>
      <c r="AK1881" s="37" t="str">
        <f>VLOOKUP(Mecze[[#This Row],[Match ID]],Meczusie[Mecz]:Meczusie[RodzajMeczu],2,FALSE)</f>
        <v>Liga</v>
      </c>
    </row>
    <row r="1882" spans="1:37" x14ac:dyDescent="0.25">
      <c r="A1882" s="76">
        <v>4</v>
      </c>
      <c r="B1882" s="3" t="s">
        <v>346</v>
      </c>
      <c r="C1882" s="2" t="s">
        <v>157</v>
      </c>
      <c r="D1882" s="1">
        <v>1</v>
      </c>
      <c r="E1882" s="1">
        <v>1</v>
      </c>
      <c r="F1882" s="1">
        <v>1</v>
      </c>
      <c r="G1882" s="1">
        <v>10</v>
      </c>
      <c r="H1882" s="4">
        <v>0.9</v>
      </c>
      <c r="I1882" s="1">
        <v>10</v>
      </c>
      <c r="J1882" s="4">
        <v>0.5</v>
      </c>
      <c r="K1882" s="1">
        <v>0</v>
      </c>
      <c r="L1882" s="1">
        <v>3</v>
      </c>
      <c r="M1882" s="32">
        <f>IF(Mecze[[#This Row],[PR]]=0,0,Mecze[[#This Row],[PR]]/Mecze[[#This Row],[CZAS]])</f>
        <v>3.125E-2</v>
      </c>
      <c r="N1882" s="32">
        <f>IF(Mecze[[#This Row],[OU]]=0,0,Mecze[[#This Row],[OU]]/Mecze[[#This Row],[CZAS]])</f>
        <v>5.2083333333333336E-2</v>
      </c>
      <c r="O1882" s="32">
        <f>IF(Mecze[[#This Row],[PC]]=0,0,Mecze[[#This Row],[PC]]/Mecze[[#This Row],[CZAS]])</f>
        <v>9.375E-2</v>
      </c>
      <c r="P1882" s="32">
        <f>IF(Mecze[[#This Row],[SC]]=0,0,Mecze[[#This Row],[SC]]/Mecze[[#This Row],[CZAS]])</f>
        <v>1.0416666666666666E-2</v>
      </c>
      <c r="Q1882" s="32">
        <f>IF(Mecze[[#This Row],[OB]]=0,0,Mecze[[#This Row],[OB]]/Mecze[[#This Row],[CZAS]])</f>
        <v>0</v>
      </c>
      <c r="R1882" s="32">
        <f>IF(Mecze[[#This Row],[BR]]=0,0,Mecze[[#This Row],[BR]]/Mecze[[#This Row],[CZAS]])</f>
        <v>1.0416666666666666E-2</v>
      </c>
      <c r="S1882" s="44">
        <f>IF(Mecze[[#This Row],[Role]]="BR",SUMPRODUCT(Mecze[[#This Row],[/PR:90]:[/BR:90]],Brudnopis!$E$23:$J$23),0)</f>
        <v>0</v>
      </c>
      <c r="T1882" s="44">
        <f>IF(Mecze[[#This Row],[Role]]&lt;&gt;"BR",SUMPRODUCT(Mecze[[#This Row],[/PR:90]:[/BR:90]],Brudnopis!$E$24:$J$24),0)</f>
        <v>0.22916666666666666</v>
      </c>
      <c r="U1882" s="44">
        <f>IF(Mecze[[#This Row],[Role]]&lt;&gt;"BR",SUMPRODUCT(Mecze[[#This Row],[/PR:90]:[/BR:90]],Brudnopis!$E$25:$J$25),0)</f>
        <v>0.25</v>
      </c>
      <c r="V1882" s="44">
        <f>IF(Mecze[[#This Row],[Role]]&lt;&gt;"BR",SUMPRODUCT(Mecze[[#This Row],[/PR:90]:[/BR:90]],Brudnopis!$E$26:$J$26),0)</f>
        <v>0.20833333333333334</v>
      </c>
      <c r="W1882" s="44">
        <f>IF(Mecze[[#This Row],[Role]]&lt;&gt;"BR",SUMPRODUCT(Mecze[[#This Row],[/PR:90]:[/BR:90]],Brudnopis!$E$27:$J$27),0)</f>
        <v>0.234375</v>
      </c>
      <c r="X1882" s="44">
        <f>IF(Mecze[[#This Row],[Role]]&lt;&gt;"BR",SUMPRODUCT(Mecze[[#This Row],[/PR:90]:[/BR:90]],Brudnopis!$E$28:$J$28),0)</f>
        <v>0.14583333333333331</v>
      </c>
      <c r="Y1882" s="35">
        <f>IF(Mecze[[#This Row],[Role]]="BR",Mecze[[#This Row],[/OB:90]]+Mecze[[#This Row],[/PC:90]],SUM(Mecze[[#This Row],[/PR:90]:[/BR:90]]))</f>
        <v>0.19791666666666666</v>
      </c>
      <c r="Z1882" s="35">
        <f>IF(Mecze[[#This Row],[KC]]=0,SUM(Mecze[[#This Row],[/BRI]:[/NPI]]),SUM(Mecze[[#This Row],[/BRI]:[/NPI]])*0.6)</f>
        <v>1.0677083333333333</v>
      </c>
      <c r="AA1882" s="10">
        <f>IFERROR(Mecze[[#This Row],[BR]]/Mecze[[#This Row],[ST]],0)</f>
        <v>1</v>
      </c>
      <c r="AB1882">
        <f>ROUND(Mecze[[#This Row],[PD]]*Mecze[[#This Row],[%PC]],0)</f>
        <v>9</v>
      </c>
      <c r="AC1882">
        <f>ROUND(Mecze[[#This Row],[OD]]*Mecze[[#This Row],[%OU]],0)</f>
        <v>5</v>
      </c>
      <c r="AD1882" s="36" t="s">
        <v>47</v>
      </c>
      <c r="AE1882" s="36">
        <v>103</v>
      </c>
      <c r="AF1882" s="71">
        <v>4.5599999999999996</v>
      </c>
      <c r="AG1882" s="37">
        <v>0</v>
      </c>
      <c r="AH1882" s="37">
        <v>0</v>
      </c>
      <c r="AI1882" s="37">
        <v>96</v>
      </c>
      <c r="AJ1882" s="37">
        <v>5</v>
      </c>
      <c r="AK1882" s="37" t="str">
        <f>VLOOKUP(Mecze[[#This Row],[Match ID]],Meczusie[Mecz]:Meczusie[RodzajMeczu],2,FALSE)</f>
        <v>Liga</v>
      </c>
    </row>
    <row r="1883" spans="1:37" x14ac:dyDescent="0.25">
      <c r="A1883" s="76">
        <v>5</v>
      </c>
      <c r="B1883" s="3" t="s">
        <v>347</v>
      </c>
      <c r="C1883" s="2" t="s">
        <v>157</v>
      </c>
      <c r="D1883" s="1">
        <v>0</v>
      </c>
      <c r="E1883" s="1">
        <v>0</v>
      </c>
      <c r="F1883" s="1">
        <v>0</v>
      </c>
      <c r="G1883" s="1">
        <v>7</v>
      </c>
      <c r="H1883" s="4">
        <v>0.71</v>
      </c>
      <c r="I1883" s="1">
        <v>4</v>
      </c>
      <c r="J1883" s="4">
        <v>0.75</v>
      </c>
      <c r="K1883" s="1">
        <v>0</v>
      </c>
      <c r="L1883" s="1">
        <v>3</v>
      </c>
      <c r="M1883" s="32">
        <f>IF(Mecze[[#This Row],[PR]]=0,0,Mecze[[#This Row],[PR]]/Mecze[[#This Row],[CZAS]])</f>
        <v>3.125E-2</v>
      </c>
      <c r="N1883" s="32">
        <f>IF(Mecze[[#This Row],[OU]]=0,0,Mecze[[#This Row],[OU]]/Mecze[[#This Row],[CZAS]])</f>
        <v>3.125E-2</v>
      </c>
      <c r="O1883" s="32">
        <f>IF(Mecze[[#This Row],[PC]]=0,0,Mecze[[#This Row],[PC]]/Mecze[[#This Row],[CZAS]])</f>
        <v>5.2083333333333336E-2</v>
      </c>
      <c r="P1883" s="32">
        <f>IF(Mecze[[#This Row],[SC]]=0,0,Mecze[[#This Row],[SC]]/Mecze[[#This Row],[CZAS]])</f>
        <v>0</v>
      </c>
      <c r="Q1883" s="32">
        <f>IF(Mecze[[#This Row],[OB]]=0,0,Mecze[[#This Row],[OB]]/Mecze[[#This Row],[CZAS]])</f>
        <v>0</v>
      </c>
      <c r="R1883" s="32">
        <f>IF(Mecze[[#This Row],[BR]]=0,0,Mecze[[#This Row],[BR]]/Mecze[[#This Row],[CZAS]])</f>
        <v>0</v>
      </c>
      <c r="S1883" s="44">
        <f>IF(Mecze[[#This Row],[Role]]="BR",SUMPRODUCT(Mecze[[#This Row],[/PR:90]:[/BR:90]],Brudnopis!$E$23:$J$23),0)</f>
        <v>0</v>
      </c>
      <c r="T1883" s="44">
        <f>IF(Mecze[[#This Row],[Role]]&lt;&gt;"BR",SUMPRODUCT(Mecze[[#This Row],[/PR:90]:[/BR:90]],Brudnopis!$E$24:$J$24),0)</f>
        <v>0.13020833333333334</v>
      </c>
      <c r="U1883" s="44">
        <f>IF(Mecze[[#This Row],[Role]]&lt;&gt;"BR",SUMPRODUCT(Mecze[[#This Row],[/PR:90]:[/BR:90]],Brudnopis!$E$25:$J$25),0)</f>
        <v>0.140625</v>
      </c>
      <c r="V1883" s="44">
        <f>IF(Mecze[[#This Row],[Role]]&lt;&gt;"BR",SUMPRODUCT(Mecze[[#This Row],[/PR:90]:[/BR:90]],Brudnopis!$E$26:$J$26),0)</f>
        <v>0.11458333333333334</v>
      </c>
      <c r="W1883" s="44">
        <f>IF(Mecze[[#This Row],[Role]]&lt;&gt;"BR",SUMPRODUCT(Mecze[[#This Row],[/PR:90]:[/BR:90]],Brudnopis!$E$27:$J$27),0)</f>
        <v>0.125</v>
      </c>
      <c r="X1883" s="44">
        <f>IF(Mecze[[#This Row],[Role]]&lt;&gt;"BR",SUMPRODUCT(Mecze[[#This Row],[/PR:90]:[/BR:90]],Brudnopis!$E$28:$J$28),0)</f>
        <v>5.2083333333333336E-2</v>
      </c>
      <c r="Y1883" s="35">
        <f>IF(Mecze[[#This Row],[Role]]="BR",Mecze[[#This Row],[/OB:90]]+Mecze[[#This Row],[/PC:90]],SUM(Mecze[[#This Row],[/PR:90]:[/BR:90]]))</f>
        <v>0.11458333333333334</v>
      </c>
      <c r="Z1883" s="35">
        <f>IF(Mecze[[#This Row],[KC]]=0,SUM(Mecze[[#This Row],[/BRI]:[/NPI]]),SUM(Mecze[[#This Row],[/BRI]:[/NPI]])*0.6)</f>
        <v>0.56250000000000011</v>
      </c>
      <c r="AA1883" s="10">
        <f>IFERROR(Mecze[[#This Row],[BR]]/Mecze[[#This Row],[ST]],0)</f>
        <v>0</v>
      </c>
      <c r="AB1883">
        <f>ROUND(Mecze[[#This Row],[PD]]*Mecze[[#This Row],[%PC]],0)</f>
        <v>5</v>
      </c>
      <c r="AC1883">
        <f>ROUND(Mecze[[#This Row],[OD]]*Mecze[[#This Row],[%OU]],0)</f>
        <v>3</v>
      </c>
      <c r="AD1883" s="36" t="s">
        <v>175</v>
      </c>
      <c r="AE1883" s="36">
        <v>103</v>
      </c>
      <c r="AF1883" s="71">
        <v>4.5599999999999996</v>
      </c>
      <c r="AG1883" s="37">
        <v>0</v>
      </c>
      <c r="AH1883" s="37">
        <v>0</v>
      </c>
      <c r="AI1883" s="37">
        <v>96</v>
      </c>
      <c r="AJ1883" s="37">
        <v>5</v>
      </c>
      <c r="AK1883" s="37" t="str">
        <f>VLOOKUP(Mecze[[#This Row],[Match ID]],Meczusie[Mecz]:Meczusie[RodzajMeczu],2,FALSE)</f>
        <v>Liga</v>
      </c>
    </row>
    <row r="1884" spans="1:37" x14ac:dyDescent="0.25">
      <c r="A1884" s="76">
        <v>3</v>
      </c>
      <c r="B1884" s="3" t="s">
        <v>348</v>
      </c>
      <c r="C1884" s="2" t="s">
        <v>157</v>
      </c>
      <c r="D1884" s="1">
        <v>0</v>
      </c>
      <c r="E1884" s="1">
        <v>0</v>
      </c>
      <c r="F1884" s="1">
        <v>0</v>
      </c>
      <c r="G1884" s="1">
        <v>7</v>
      </c>
      <c r="H1884" s="4">
        <v>0.71</v>
      </c>
      <c r="I1884" s="1">
        <v>12</v>
      </c>
      <c r="J1884" s="4">
        <v>0.5</v>
      </c>
      <c r="K1884" s="1">
        <v>0</v>
      </c>
      <c r="L1884" s="1">
        <v>4</v>
      </c>
      <c r="M1884" s="32">
        <f>IF(Mecze[[#This Row],[PR]]=0,0,Mecze[[#This Row],[PR]]/Mecze[[#This Row],[CZAS]])</f>
        <v>4.1666666666666664E-2</v>
      </c>
      <c r="N1884" s="32">
        <f>IF(Mecze[[#This Row],[OU]]=0,0,Mecze[[#This Row],[OU]]/Mecze[[#This Row],[CZAS]])</f>
        <v>6.25E-2</v>
      </c>
      <c r="O1884" s="32">
        <f>IF(Mecze[[#This Row],[PC]]=0,0,Mecze[[#This Row],[PC]]/Mecze[[#This Row],[CZAS]])</f>
        <v>5.2083333333333336E-2</v>
      </c>
      <c r="P1884" s="32">
        <f>IF(Mecze[[#This Row],[SC]]=0,0,Mecze[[#This Row],[SC]]/Mecze[[#This Row],[CZAS]])</f>
        <v>0</v>
      </c>
      <c r="Q1884" s="32">
        <f>IF(Mecze[[#This Row],[OB]]=0,0,Mecze[[#This Row],[OB]]/Mecze[[#This Row],[CZAS]])</f>
        <v>0</v>
      </c>
      <c r="R1884" s="32">
        <f>IF(Mecze[[#This Row],[BR]]=0,0,Mecze[[#This Row],[BR]]/Mecze[[#This Row],[CZAS]])</f>
        <v>0</v>
      </c>
      <c r="S1884" s="44">
        <f>IF(Mecze[[#This Row],[Role]]="BR",SUMPRODUCT(Mecze[[#This Row],[/PR:90]:[/BR:90]],Brudnopis!$E$23:$J$23),0)</f>
        <v>0</v>
      </c>
      <c r="T1884" s="44">
        <f>IF(Mecze[[#This Row],[Role]]&lt;&gt;"BR",SUMPRODUCT(Mecze[[#This Row],[/PR:90]:[/BR:90]],Brudnopis!$E$24:$J$24),0)</f>
        <v>0.1875</v>
      </c>
      <c r="U1884" s="44">
        <f>IF(Mecze[[#This Row],[Role]]&lt;&gt;"BR",SUMPRODUCT(Mecze[[#This Row],[/PR:90]:[/BR:90]],Brudnopis!$E$25:$J$25),0)</f>
        <v>0.18229166666666666</v>
      </c>
      <c r="V1884" s="44">
        <f>IF(Mecze[[#This Row],[Role]]&lt;&gt;"BR",SUMPRODUCT(Mecze[[#This Row],[/PR:90]:[/BR:90]],Brudnopis!$E$26:$J$26),0)</f>
        <v>0.15625</v>
      </c>
      <c r="W1884" s="44">
        <f>IF(Mecze[[#This Row],[Role]]&lt;&gt;"BR",SUMPRODUCT(Mecze[[#This Row],[/PR:90]:[/BR:90]],Brudnopis!$E$27:$J$27),0)</f>
        <v>0.15625</v>
      </c>
      <c r="X1884" s="44">
        <f>IF(Mecze[[#This Row],[Role]]&lt;&gt;"BR",SUMPRODUCT(Mecze[[#This Row],[/PR:90]:[/BR:90]],Brudnopis!$E$28:$J$28),0)</f>
        <v>5.2083333333333336E-2</v>
      </c>
      <c r="Y1884" s="35">
        <f>IF(Mecze[[#This Row],[Role]]="BR",Mecze[[#This Row],[/OB:90]]+Mecze[[#This Row],[/PC:90]],SUM(Mecze[[#This Row],[/PR:90]:[/BR:90]]))</f>
        <v>0.15625</v>
      </c>
      <c r="Z1884" s="35">
        <f>IF(Mecze[[#This Row],[KC]]=0,SUM(Mecze[[#This Row],[/BRI]:[/NPI]]),SUM(Mecze[[#This Row],[/BRI]:[/NPI]])*0.6)</f>
        <v>0.734375</v>
      </c>
      <c r="AA1884" s="10">
        <f>IFERROR(Mecze[[#This Row],[BR]]/Mecze[[#This Row],[ST]],0)</f>
        <v>0</v>
      </c>
      <c r="AB1884">
        <f>ROUND(Mecze[[#This Row],[PD]]*Mecze[[#This Row],[%PC]],0)</f>
        <v>5</v>
      </c>
      <c r="AC1884">
        <f>ROUND(Mecze[[#This Row],[OD]]*Mecze[[#This Row],[%OU]],0)</f>
        <v>6</v>
      </c>
      <c r="AD1884" s="36" t="s">
        <v>174</v>
      </c>
      <c r="AE1884" s="36">
        <v>103</v>
      </c>
      <c r="AF1884" s="71">
        <v>4.7699999999999996</v>
      </c>
      <c r="AG1884" s="37">
        <v>0</v>
      </c>
      <c r="AH1884" s="37">
        <v>0</v>
      </c>
      <c r="AI1884" s="37">
        <v>96</v>
      </c>
      <c r="AJ1884" s="37">
        <v>5</v>
      </c>
      <c r="AK1884" s="37" t="str">
        <f>VLOOKUP(Mecze[[#This Row],[Match ID]],Meczusie[Mecz]:Meczusie[RodzajMeczu],2,FALSE)</f>
        <v>Liga</v>
      </c>
    </row>
    <row r="1885" spans="1:37" x14ac:dyDescent="0.25">
      <c r="A1885" s="76">
        <v>6</v>
      </c>
      <c r="B1885" s="3" t="s">
        <v>349</v>
      </c>
      <c r="C1885" s="2" t="s">
        <v>160</v>
      </c>
      <c r="D1885" s="1">
        <v>0</v>
      </c>
      <c r="E1885" s="1">
        <v>0</v>
      </c>
      <c r="F1885" s="1">
        <v>0</v>
      </c>
      <c r="G1885" s="1">
        <v>6</v>
      </c>
      <c r="H1885" s="4">
        <v>0.83</v>
      </c>
      <c r="I1885" s="1">
        <v>4</v>
      </c>
      <c r="J1885" s="4">
        <v>0.25</v>
      </c>
      <c r="K1885" s="1">
        <v>0</v>
      </c>
      <c r="L1885" s="1">
        <v>4</v>
      </c>
      <c r="M1885" s="32">
        <f>IF(Mecze[[#This Row],[PR]]=0,0,Mecze[[#This Row],[PR]]/Mecze[[#This Row],[CZAS]])</f>
        <v>4.1666666666666664E-2</v>
      </c>
      <c r="N1885" s="32">
        <f>IF(Mecze[[#This Row],[OU]]=0,0,Mecze[[#This Row],[OU]]/Mecze[[#This Row],[CZAS]])</f>
        <v>1.0416666666666666E-2</v>
      </c>
      <c r="O1885" s="32">
        <f>IF(Mecze[[#This Row],[PC]]=0,0,Mecze[[#This Row],[PC]]/Mecze[[#This Row],[CZAS]])</f>
        <v>5.2083333333333336E-2</v>
      </c>
      <c r="P1885" s="32">
        <f>IF(Mecze[[#This Row],[SC]]=0,0,Mecze[[#This Row],[SC]]/Mecze[[#This Row],[CZAS]])</f>
        <v>0</v>
      </c>
      <c r="Q1885" s="32">
        <f>IF(Mecze[[#This Row],[OB]]=0,0,Mecze[[#This Row],[OB]]/Mecze[[#This Row],[CZAS]])</f>
        <v>0</v>
      </c>
      <c r="R1885" s="32">
        <f>IF(Mecze[[#This Row],[BR]]=0,0,Mecze[[#This Row],[BR]]/Mecze[[#This Row],[CZAS]])</f>
        <v>0</v>
      </c>
      <c r="S1885" s="44">
        <f>IF(Mecze[[#This Row],[Role]]="BR",SUMPRODUCT(Mecze[[#This Row],[/PR:90]:[/BR:90]],Brudnopis!$E$23:$J$23),0)</f>
        <v>0</v>
      </c>
      <c r="T1885" s="44">
        <f>IF(Mecze[[#This Row],[Role]]&lt;&gt;"BR",SUMPRODUCT(Mecze[[#This Row],[/PR:90]:[/BR:90]],Brudnopis!$E$24:$J$24),0)</f>
        <v>0.109375</v>
      </c>
      <c r="U1885" s="44">
        <f>IF(Mecze[[#This Row],[Role]]&lt;&gt;"BR",SUMPRODUCT(Mecze[[#This Row],[/PR:90]:[/BR:90]],Brudnopis!$E$25:$J$25),0)</f>
        <v>0.13020833333333331</v>
      </c>
      <c r="V1885" s="44">
        <f>IF(Mecze[[#This Row],[Role]]&lt;&gt;"BR",SUMPRODUCT(Mecze[[#This Row],[/PR:90]:[/BR:90]],Brudnopis!$E$26:$J$26),0)</f>
        <v>0.10416666666666666</v>
      </c>
      <c r="W1885" s="44">
        <f>IF(Mecze[[#This Row],[Role]]&lt;&gt;"BR",SUMPRODUCT(Mecze[[#This Row],[/PR:90]:[/BR:90]],Brudnopis!$E$27:$J$27),0)</f>
        <v>0.1171875</v>
      </c>
      <c r="X1885" s="44">
        <f>IF(Mecze[[#This Row],[Role]]&lt;&gt;"BR",SUMPRODUCT(Mecze[[#This Row],[/PR:90]:[/BR:90]],Brudnopis!$E$28:$J$28),0)</f>
        <v>5.2083333333333336E-2</v>
      </c>
      <c r="Y1885" s="35">
        <f>IF(Mecze[[#This Row],[Role]]="BR",Mecze[[#This Row],[/OB:90]]+Mecze[[#This Row],[/PC:90]],SUM(Mecze[[#This Row],[/PR:90]:[/BR:90]]))</f>
        <v>0.10416666666666666</v>
      </c>
      <c r="Z1885" s="35">
        <f>IF(Mecze[[#This Row],[KC]]=0,SUM(Mecze[[#This Row],[/BRI]:[/NPI]]),SUM(Mecze[[#This Row],[/BRI]:[/NPI]])*0.6)</f>
        <v>0.51302083333333337</v>
      </c>
      <c r="AA1885" s="10">
        <f>IFERROR(Mecze[[#This Row],[BR]]/Mecze[[#This Row],[ST]],0)</f>
        <v>0</v>
      </c>
      <c r="AB1885">
        <f>ROUND(Mecze[[#This Row],[PD]]*Mecze[[#This Row],[%PC]],0)</f>
        <v>5</v>
      </c>
      <c r="AC1885">
        <f>ROUND(Mecze[[#This Row],[OD]]*Mecze[[#This Row],[%OU]],0)</f>
        <v>1</v>
      </c>
      <c r="AD1885" s="36" t="s">
        <v>41</v>
      </c>
      <c r="AE1885" s="36">
        <v>103</v>
      </c>
      <c r="AF1885" s="71">
        <v>6.88</v>
      </c>
      <c r="AG1885" s="37">
        <v>0</v>
      </c>
      <c r="AH1885" s="37">
        <v>0</v>
      </c>
      <c r="AI1885" s="37">
        <v>96</v>
      </c>
      <c r="AJ1885" s="37">
        <v>5</v>
      </c>
      <c r="AK1885" s="37" t="str">
        <f>VLOOKUP(Mecze[[#This Row],[Match ID]],Meczusie[Mecz]:Meczusie[RodzajMeczu],2,FALSE)</f>
        <v>Liga</v>
      </c>
    </row>
    <row r="1886" spans="1:37" x14ac:dyDescent="0.25">
      <c r="A1886" s="76">
        <v>7</v>
      </c>
      <c r="B1886" s="3" t="s">
        <v>350</v>
      </c>
      <c r="C1886" s="2" t="s">
        <v>160</v>
      </c>
      <c r="D1886" s="1">
        <v>0</v>
      </c>
      <c r="E1886" s="1">
        <v>2</v>
      </c>
      <c r="F1886" s="1">
        <v>1</v>
      </c>
      <c r="G1886" s="1">
        <v>16</v>
      </c>
      <c r="H1886" s="4">
        <v>0.69</v>
      </c>
      <c r="I1886" s="1">
        <v>1</v>
      </c>
      <c r="J1886" s="4">
        <v>1</v>
      </c>
      <c r="K1886" s="1">
        <v>0</v>
      </c>
      <c r="L1886" s="1">
        <v>6</v>
      </c>
      <c r="M1886" s="32">
        <f>IF(Mecze[[#This Row],[PR]]=0,0,Mecze[[#This Row],[PR]]/Mecze[[#This Row],[CZAS]])</f>
        <v>6.25E-2</v>
      </c>
      <c r="N1886" s="32">
        <f>IF(Mecze[[#This Row],[OU]]=0,0,Mecze[[#This Row],[OU]]/Mecze[[#This Row],[CZAS]])</f>
        <v>1.0416666666666666E-2</v>
      </c>
      <c r="O1886" s="32">
        <f>IF(Mecze[[#This Row],[PC]]=0,0,Mecze[[#This Row],[PC]]/Mecze[[#This Row],[CZAS]])</f>
        <v>0.11458333333333333</v>
      </c>
      <c r="P1886" s="32">
        <f>IF(Mecze[[#This Row],[SC]]=0,0,Mecze[[#This Row],[SC]]/Mecze[[#This Row],[CZAS]])</f>
        <v>1.0416666666666666E-2</v>
      </c>
      <c r="Q1886" s="32">
        <f>IF(Mecze[[#This Row],[OB]]=0,0,Mecze[[#This Row],[OB]]/Mecze[[#This Row],[CZAS]])</f>
        <v>0</v>
      </c>
      <c r="R1886" s="32">
        <f>IF(Mecze[[#This Row],[BR]]=0,0,Mecze[[#This Row],[BR]]/Mecze[[#This Row],[CZAS]])</f>
        <v>0</v>
      </c>
      <c r="S1886" s="44">
        <f>IF(Mecze[[#This Row],[Role]]="BR",SUMPRODUCT(Mecze[[#This Row],[/PR:90]:[/BR:90]],Brudnopis!$E$23:$J$23),0)</f>
        <v>0</v>
      </c>
      <c r="T1886" s="44">
        <f>IF(Mecze[[#This Row],[Role]]&lt;&gt;"BR",SUMPRODUCT(Mecze[[#This Row],[/PR:90]:[/BR:90]],Brudnopis!$E$24:$J$24),0)</f>
        <v>0.20312499999999997</v>
      </c>
      <c r="U1886" s="44">
        <f>IF(Mecze[[#This Row],[Role]]&lt;&gt;"BR",SUMPRODUCT(Mecze[[#This Row],[/PR:90]:[/BR:90]],Brudnopis!$E$25:$J$25),0)</f>
        <v>0.25520833333333337</v>
      </c>
      <c r="V1886" s="44">
        <f>IF(Mecze[[#This Row],[Role]]&lt;&gt;"BR",SUMPRODUCT(Mecze[[#This Row],[/PR:90]:[/BR:90]],Brudnopis!$E$26:$J$26),0)</f>
        <v>0.19791666666666666</v>
      </c>
      <c r="W1886" s="44">
        <f>IF(Mecze[[#This Row],[Role]]&lt;&gt;"BR",SUMPRODUCT(Mecze[[#This Row],[/PR:90]:[/BR:90]],Brudnopis!$E$27:$J$27),0)</f>
        <v>0.23697916666666666</v>
      </c>
      <c r="X1886" s="44">
        <f>IF(Mecze[[#This Row],[Role]]&lt;&gt;"BR",SUMPRODUCT(Mecze[[#This Row],[/PR:90]:[/BR:90]],Brudnopis!$E$28:$J$28),0)</f>
        <v>0.13541666666666666</v>
      </c>
      <c r="Y1886" s="35">
        <f>IF(Mecze[[#This Row],[Role]]="BR",Mecze[[#This Row],[/OB:90]]+Mecze[[#This Row],[/PC:90]],SUM(Mecze[[#This Row],[/PR:90]:[/BR:90]]))</f>
        <v>0.19791666666666666</v>
      </c>
      <c r="Z1886" s="35">
        <f>IF(Mecze[[#This Row],[KC]]=0,SUM(Mecze[[#This Row],[/BRI]:[/NPI]]),SUM(Mecze[[#This Row],[/BRI]:[/NPI]])*0.6)</f>
        <v>1.0286458333333333</v>
      </c>
      <c r="AA1886" s="10">
        <f>IFERROR(Mecze[[#This Row],[BR]]/Mecze[[#This Row],[ST]],0)</f>
        <v>0</v>
      </c>
      <c r="AB1886">
        <f>ROUND(Mecze[[#This Row],[PD]]*Mecze[[#This Row],[%PC]],0)</f>
        <v>11</v>
      </c>
      <c r="AC1886">
        <f>ROUND(Mecze[[#This Row],[OD]]*Mecze[[#This Row],[%OU]],0)</f>
        <v>1</v>
      </c>
      <c r="AD1886" s="36" t="s">
        <v>67</v>
      </c>
      <c r="AE1886" s="36">
        <v>103</v>
      </c>
      <c r="AF1886" s="71">
        <v>6.62</v>
      </c>
      <c r="AG1886" s="37">
        <v>0</v>
      </c>
      <c r="AH1886" s="37">
        <v>0</v>
      </c>
      <c r="AI1886" s="37">
        <v>96</v>
      </c>
      <c r="AJ1886" s="37">
        <v>5</v>
      </c>
      <c r="AK1886" s="37" t="str">
        <f>VLOOKUP(Mecze[[#This Row],[Match ID]],Meczusie[Mecz]:Meczusie[RodzajMeczu],2,FALSE)</f>
        <v>Liga</v>
      </c>
    </row>
    <row r="1887" spans="1:37" x14ac:dyDescent="0.25">
      <c r="A1887" s="76">
        <v>8</v>
      </c>
      <c r="B1887" s="3" t="s">
        <v>351</v>
      </c>
      <c r="C1887" s="2" t="s">
        <v>160</v>
      </c>
      <c r="D1887" s="1">
        <v>0</v>
      </c>
      <c r="E1887" s="1">
        <v>1</v>
      </c>
      <c r="F1887" s="1">
        <v>1</v>
      </c>
      <c r="G1887" s="1">
        <v>12</v>
      </c>
      <c r="H1887" s="4">
        <v>0.67</v>
      </c>
      <c r="I1887" s="1">
        <v>2</v>
      </c>
      <c r="J1887" s="4">
        <v>0</v>
      </c>
      <c r="K1887" s="1">
        <v>0</v>
      </c>
      <c r="L1887" s="1">
        <v>3</v>
      </c>
      <c r="M1887" s="32">
        <f>IF(Mecze[[#This Row],[PR]]=0,0,Mecze[[#This Row],[PR]]/Mecze[[#This Row],[CZAS]])</f>
        <v>3.125E-2</v>
      </c>
      <c r="N1887" s="32">
        <f>IF(Mecze[[#This Row],[OU]]=0,0,Mecze[[#This Row],[OU]]/Mecze[[#This Row],[CZAS]])</f>
        <v>0</v>
      </c>
      <c r="O1887" s="32">
        <f>IF(Mecze[[#This Row],[PC]]=0,0,Mecze[[#This Row],[PC]]/Mecze[[#This Row],[CZAS]])</f>
        <v>8.3333333333333329E-2</v>
      </c>
      <c r="P1887" s="32">
        <f>IF(Mecze[[#This Row],[SC]]=0,0,Mecze[[#This Row],[SC]]/Mecze[[#This Row],[CZAS]])</f>
        <v>1.0416666666666666E-2</v>
      </c>
      <c r="Q1887" s="32">
        <f>IF(Mecze[[#This Row],[OB]]=0,0,Mecze[[#This Row],[OB]]/Mecze[[#This Row],[CZAS]])</f>
        <v>0</v>
      </c>
      <c r="R1887" s="32">
        <f>IF(Mecze[[#This Row],[BR]]=0,0,Mecze[[#This Row],[BR]]/Mecze[[#This Row],[CZAS]])</f>
        <v>0</v>
      </c>
      <c r="S1887" s="44">
        <f>IF(Mecze[[#This Row],[Role]]="BR",SUMPRODUCT(Mecze[[#This Row],[/PR:90]:[/BR:90]],Brudnopis!$E$23:$J$23),0)</f>
        <v>0</v>
      </c>
      <c r="T1887" s="44">
        <f>IF(Mecze[[#This Row],[Role]]&lt;&gt;"BR",SUMPRODUCT(Mecze[[#This Row],[/PR:90]:[/BR:90]],Brudnopis!$E$24:$J$24),0)</f>
        <v>0.125</v>
      </c>
      <c r="U1887" s="44">
        <f>IF(Mecze[[#This Row],[Role]]&lt;&gt;"BR",SUMPRODUCT(Mecze[[#This Row],[/PR:90]:[/BR:90]],Brudnopis!$E$25:$J$25),0)</f>
        <v>0.16666666666666666</v>
      </c>
      <c r="V1887" s="44">
        <f>IF(Mecze[[#This Row],[Role]]&lt;&gt;"BR",SUMPRODUCT(Mecze[[#This Row],[/PR:90]:[/BR:90]],Brudnopis!$E$26:$J$26),0)</f>
        <v>0.125</v>
      </c>
      <c r="W1887" s="44">
        <f>IF(Mecze[[#This Row],[Role]]&lt;&gt;"BR",SUMPRODUCT(Mecze[[#This Row],[/PR:90]:[/BR:90]],Brudnopis!$E$27:$J$27),0)</f>
        <v>0.15885416666666666</v>
      </c>
      <c r="X1887" s="44">
        <f>IF(Mecze[[#This Row],[Role]]&lt;&gt;"BR",SUMPRODUCT(Mecze[[#This Row],[/PR:90]:[/BR:90]],Brudnopis!$E$28:$J$28),0)</f>
        <v>0.10416666666666666</v>
      </c>
      <c r="Y1887" s="35">
        <f>IF(Mecze[[#This Row],[Role]]="BR",Mecze[[#This Row],[/OB:90]]+Mecze[[#This Row],[/PC:90]],SUM(Mecze[[#This Row],[/PR:90]:[/BR:90]]))</f>
        <v>0.125</v>
      </c>
      <c r="Z1887" s="35">
        <f>IF(Mecze[[#This Row],[KC]]=0,SUM(Mecze[[#This Row],[/BRI]:[/NPI]]),SUM(Mecze[[#This Row],[/BRI]:[/NPI]])*0.6)</f>
        <v>0.67968749999999989</v>
      </c>
      <c r="AA1887" s="10">
        <f>IFERROR(Mecze[[#This Row],[BR]]/Mecze[[#This Row],[ST]],0)</f>
        <v>0</v>
      </c>
      <c r="AB1887">
        <f>ROUND(Mecze[[#This Row],[PD]]*Mecze[[#This Row],[%PC]],0)</f>
        <v>8</v>
      </c>
      <c r="AC1887">
        <f>ROUND(Mecze[[#This Row],[OD]]*Mecze[[#This Row],[%OU]],0)</f>
        <v>0</v>
      </c>
      <c r="AD1887" s="36" t="s">
        <v>67</v>
      </c>
      <c r="AE1887" s="36">
        <v>103</v>
      </c>
      <c r="AF1887" s="71">
        <v>5.99</v>
      </c>
      <c r="AG1887" s="37">
        <v>0</v>
      </c>
      <c r="AH1887" s="37">
        <v>0</v>
      </c>
      <c r="AI1887" s="37">
        <v>96</v>
      </c>
      <c r="AJ1887" s="37">
        <v>5</v>
      </c>
      <c r="AK1887" s="37" t="str">
        <f>VLOOKUP(Mecze[[#This Row],[Match ID]],Meczusie[Mecz]:Meczusie[RodzajMeczu],2,FALSE)</f>
        <v>Liga</v>
      </c>
    </row>
    <row r="1888" spans="1:37" x14ac:dyDescent="0.25">
      <c r="A1888" s="76">
        <v>11</v>
      </c>
      <c r="B1888" s="3" t="s">
        <v>353</v>
      </c>
      <c r="C1888" s="2" t="s">
        <v>165</v>
      </c>
      <c r="D1888" s="1">
        <v>1</v>
      </c>
      <c r="E1888" s="1">
        <v>9</v>
      </c>
      <c r="F1888" s="1">
        <v>9</v>
      </c>
      <c r="G1888" s="1">
        <v>4</v>
      </c>
      <c r="H1888" s="4">
        <v>1</v>
      </c>
      <c r="I1888" s="1">
        <v>4</v>
      </c>
      <c r="J1888" s="4">
        <v>0.25</v>
      </c>
      <c r="K1888" s="1">
        <v>0</v>
      </c>
      <c r="L1888" s="1">
        <v>0</v>
      </c>
      <c r="M1888" s="32">
        <f>IF(Mecze[[#This Row],[PR]]=0,0,Mecze[[#This Row],[PR]]/Mecze[[#This Row],[CZAS]])</f>
        <v>0</v>
      </c>
      <c r="N1888" s="32">
        <f>IF(Mecze[[#This Row],[OU]]=0,0,Mecze[[#This Row],[OU]]/Mecze[[#This Row],[CZAS]])</f>
        <v>1.0416666666666666E-2</v>
      </c>
      <c r="O1888" s="32">
        <f>IF(Mecze[[#This Row],[PC]]=0,0,Mecze[[#This Row],[PC]]/Mecze[[#This Row],[CZAS]])</f>
        <v>4.1666666666666664E-2</v>
      </c>
      <c r="P1888" s="32">
        <f>IF(Mecze[[#This Row],[SC]]=0,0,Mecze[[#This Row],[SC]]/Mecze[[#This Row],[CZAS]])</f>
        <v>9.375E-2</v>
      </c>
      <c r="Q1888" s="32">
        <f>IF(Mecze[[#This Row],[OB]]=0,0,Mecze[[#This Row],[OB]]/Mecze[[#This Row],[CZAS]])</f>
        <v>0</v>
      </c>
      <c r="R1888" s="32">
        <f>IF(Mecze[[#This Row],[BR]]=0,0,Mecze[[#This Row],[BR]]/Mecze[[#This Row],[CZAS]])</f>
        <v>1.0416666666666666E-2</v>
      </c>
      <c r="S1888" s="44">
        <f>IF(Mecze[[#This Row],[Role]]="BR",SUMPRODUCT(Mecze[[#This Row],[/PR:90]:[/BR:90]],Brudnopis!$E$23:$J$23),0)</f>
        <v>0</v>
      </c>
      <c r="T1888" s="44">
        <f>IF(Mecze[[#This Row],[Role]]&lt;&gt;"BR",SUMPRODUCT(Mecze[[#This Row],[/PR:90]:[/BR:90]],Brudnopis!$E$24:$J$24),0)</f>
        <v>0.16666666666666666</v>
      </c>
      <c r="U1888" s="44">
        <f>IF(Mecze[[#This Row],[Role]]&lt;&gt;"BR",SUMPRODUCT(Mecze[[#This Row],[/PR:90]:[/BR:90]],Brudnopis!$E$25:$J$25),0)</f>
        <v>0.18229166666666669</v>
      </c>
      <c r="V1888" s="44">
        <f>IF(Mecze[[#This Row],[Role]]&lt;&gt;"BR",SUMPRODUCT(Mecze[[#This Row],[/PR:90]:[/BR:90]],Brudnopis!$E$26:$J$26),0)</f>
        <v>0.16666666666666666</v>
      </c>
      <c r="W1888" s="44">
        <f>IF(Mecze[[#This Row],[Role]]&lt;&gt;"BR",SUMPRODUCT(Mecze[[#This Row],[/PR:90]:[/BR:90]],Brudnopis!$E$27:$J$27),0)</f>
        <v>0.18489583333333334</v>
      </c>
      <c r="X1888" s="44">
        <f>IF(Mecze[[#This Row],[Role]]&lt;&gt;"BR",SUMPRODUCT(Mecze[[#This Row],[/PR:90]:[/BR:90]],Brudnopis!$E$28:$J$28),0)</f>
        <v>0.26041666666666663</v>
      </c>
      <c r="Y1888" s="35">
        <f>IF(Mecze[[#This Row],[Role]]="BR",Mecze[[#This Row],[/OB:90]]+Mecze[[#This Row],[/PC:90]],SUM(Mecze[[#This Row],[/PR:90]:[/BR:90]]))</f>
        <v>0.15624999999999997</v>
      </c>
      <c r="Z1888" s="35">
        <f>IF(Mecze[[#This Row],[KC]]=0,SUM(Mecze[[#This Row],[/BRI]:[/NPI]]),SUM(Mecze[[#This Row],[/BRI]:[/NPI]])*0.6)</f>
        <v>0.9609375</v>
      </c>
      <c r="AA1888" s="10">
        <f>IFERROR(Mecze[[#This Row],[BR]]/Mecze[[#This Row],[ST]],0)</f>
        <v>0.1111111111111111</v>
      </c>
      <c r="AB1888">
        <f>ROUND(Mecze[[#This Row],[PD]]*Mecze[[#This Row],[%PC]],0)</f>
        <v>4</v>
      </c>
      <c r="AC1888">
        <f>ROUND(Mecze[[#This Row],[OD]]*Mecze[[#This Row],[%OU]],0)</f>
        <v>1</v>
      </c>
      <c r="AD1888" s="36" t="s">
        <v>46</v>
      </c>
      <c r="AE1888" s="36">
        <v>103</v>
      </c>
      <c r="AF1888" s="71">
        <v>8.2100000000000009</v>
      </c>
      <c r="AG1888" s="37">
        <v>0</v>
      </c>
      <c r="AH1888" s="37">
        <v>0</v>
      </c>
      <c r="AI1888" s="37">
        <v>96</v>
      </c>
      <c r="AJ1888" s="37">
        <v>5</v>
      </c>
      <c r="AK1888" s="37" t="str">
        <f>VLOOKUP(Mecze[[#This Row],[Match ID]],Meczusie[Mecz]:Meczusie[RodzajMeczu],2,FALSE)</f>
        <v>Liga</v>
      </c>
    </row>
    <row r="1889" spans="1:37" x14ac:dyDescent="0.25">
      <c r="A1889" s="76">
        <v>10</v>
      </c>
      <c r="B1889" s="3" t="s">
        <v>352</v>
      </c>
      <c r="C1889" s="2" t="s">
        <v>165</v>
      </c>
      <c r="D1889" s="1">
        <v>1</v>
      </c>
      <c r="E1889" s="1">
        <v>8</v>
      </c>
      <c r="F1889" s="1">
        <v>7</v>
      </c>
      <c r="G1889" s="1">
        <v>4</v>
      </c>
      <c r="H1889" s="4">
        <v>0.5</v>
      </c>
      <c r="I1889" s="1">
        <v>0</v>
      </c>
      <c r="J1889" s="4"/>
      <c r="K1889" s="1">
        <v>0</v>
      </c>
      <c r="L1889" s="1">
        <v>0</v>
      </c>
      <c r="M1889" s="32">
        <f>IF(Mecze[[#This Row],[PR]]=0,0,Mecze[[#This Row],[PR]]/Mecze[[#This Row],[CZAS]])</f>
        <v>0</v>
      </c>
      <c r="N1889" s="32">
        <f>IF(Mecze[[#This Row],[OU]]=0,0,Mecze[[#This Row],[OU]]/Mecze[[#This Row],[CZAS]])</f>
        <v>0</v>
      </c>
      <c r="O1889" s="32">
        <f>IF(Mecze[[#This Row],[PC]]=0,0,Mecze[[#This Row],[PC]]/Mecze[[#This Row],[CZAS]])</f>
        <v>2.0833333333333332E-2</v>
      </c>
      <c r="P1889" s="32">
        <f>IF(Mecze[[#This Row],[SC]]=0,0,Mecze[[#This Row],[SC]]/Mecze[[#This Row],[CZAS]])</f>
        <v>7.2916666666666671E-2</v>
      </c>
      <c r="Q1889" s="32">
        <f>IF(Mecze[[#This Row],[OB]]=0,0,Mecze[[#This Row],[OB]]/Mecze[[#This Row],[CZAS]])</f>
        <v>0</v>
      </c>
      <c r="R1889" s="32">
        <f>IF(Mecze[[#This Row],[BR]]=0,0,Mecze[[#This Row],[BR]]/Mecze[[#This Row],[CZAS]])</f>
        <v>1.0416666666666666E-2</v>
      </c>
      <c r="S1889" s="44">
        <f>IF(Mecze[[#This Row],[Role]]="BR",SUMPRODUCT(Mecze[[#This Row],[/PR:90]:[/BR:90]],Brudnopis!$E$23:$J$23),0)</f>
        <v>0</v>
      </c>
      <c r="T1889" s="44">
        <f>IF(Mecze[[#This Row],[Role]]&lt;&gt;"BR",SUMPRODUCT(Mecze[[#This Row],[/PR:90]:[/BR:90]],Brudnopis!$E$24:$J$24),0)</f>
        <v>0.109375</v>
      </c>
      <c r="U1889" s="44">
        <f>IF(Mecze[[#This Row],[Role]]&lt;&gt;"BR",SUMPRODUCT(Mecze[[#This Row],[/PR:90]:[/BR:90]],Brudnopis!$E$25:$J$25),0)</f>
        <v>0.11979166666666667</v>
      </c>
      <c r="V1889" s="44">
        <f>IF(Mecze[[#This Row],[Role]]&lt;&gt;"BR",SUMPRODUCT(Mecze[[#This Row],[/PR:90]:[/BR:90]],Brudnopis!$E$26:$J$26),0)</f>
        <v>0.11458333333333333</v>
      </c>
      <c r="W1889" s="44">
        <f>IF(Mecze[[#This Row],[Role]]&lt;&gt;"BR",SUMPRODUCT(Mecze[[#This Row],[/PR:90]:[/BR:90]],Brudnopis!$E$27:$J$27),0)</f>
        <v>0.125</v>
      </c>
      <c r="X1889" s="44">
        <f>IF(Mecze[[#This Row],[Role]]&lt;&gt;"BR",SUMPRODUCT(Mecze[[#This Row],[/PR:90]:[/BR:90]],Brudnopis!$E$28:$J$28),0)</f>
        <v>0.19791666666666669</v>
      </c>
      <c r="Y1889" s="35">
        <f>IF(Mecze[[#This Row],[Role]]="BR",Mecze[[#This Row],[/OB:90]]+Mecze[[#This Row],[/PC:90]],SUM(Mecze[[#This Row],[/PR:90]:[/BR:90]]))</f>
        <v>0.10416666666666667</v>
      </c>
      <c r="Z1889" s="35">
        <f>IF(Mecze[[#This Row],[KC]]=0,SUM(Mecze[[#This Row],[/BRI]:[/NPI]]),SUM(Mecze[[#This Row],[/BRI]:[/NPI]])*0.6)</f>
        <v>0.66666666666666674</v>
      </c>
      <c r="AA1889" s="10">
        <f>IFERROR(Mecze[[#This Row],[BR]]/Mecze[[#This Row],[ST]],0)</f>
        <v>0.125</v>
      </c>
      <c r="AB1889">
        <f>ROUND(Mecze[[#This Row],[PD]]*Mecze[[#This Row],[%PC]],0)</f>
        <v>2</v>
      </c>
      <c r="AC1889">
        <f>ROUND(Mecze[[#This Row],[OD]]*Mecze[[#This Row],[%OU]],0)</f>
        <v>0</v>
      </c>
      <c r="AD1889" s="36" t="s">
        <v>272</v>
      </c>
      <c r="AE1889" s="36">
        <v>103</v>
      </c>
      <c r="AF1889" s="71">
        <v>7.77</v>
      </c>
      <c r="AG1889" s="37">
        <v>0</v>
      </c>
      <c r="AH1889" s="37">
        <v>0</v>
      </c>
      <c r="AI1889" s="37">
        <v>96</v>
      </c>
      <c r="AJ1889" s="37">
        <v>5</v>
      </c>
      <c r="AK1889" s="37" t="str">
        <f>VLOOKUP(Mecze[[#This Row],[Match ID]],Meczusie[Mecz]:Meczusie[RodzajMeczu],2,FALSE)</f>
        <v>Liga</v>
      </c>
    </row>
    <row r="1890" spans="1:37" x14ac:dyDescent="0.25">
      <c r="A1890" s="76">
        <v>9</v>
      </c>
      <c r="B1890" s="3" t="s">
        <v>354</v>
      </c>
      <c r="C1890" s="2" t="s">
        <v>165</v>
      </c>
      <c r="D1890" s="1">
        <v>1</v>
      </c>
      <c r="E1890" s="1">
        <v>3</v>
      </c>
      <c r="F1890" s="1">
        <v>2</v>
      </c>
      <c r="G1890" s="1">
        <v>9</v>
      </c>
      <c r="H1890" s="4">
        <v>0.89</v>
      </c>
      <c r="I1890" s="1">
        <v>0</v>
      </c>
      <c r="J1890" s="4"/>
      <c r="K1890" s="1">
        <v>0</v>
      </c>
      <c r="L1890" s="1">
        <v>0</v>
      </c>
      <c r="M1890" s="32">
        <f>IF(Mecze[[#This Row],[PR]]=0,0,Mecze[[#This Row],[PR]]/Mecze[[#This Row],[CZAS]])</f>
        <v>0</v>
      </c>
      <c r="N1890" s="32">
        <f>IF(Mecze[[#This Row],[OU]]=0,0,Mecze[[#This Row],[OU]]/Mecze[[#This Row],[CZAS]])</f>
        <v>0</v>
      </c>
      <c r="O1890" s="32">
        <f>IF(Mecze[[#This Row],[PC]]=0,0,Mecze[[#This Row],[PC]]/Mecze[[#This Row],[CZAS]])</f>
        <v>8.3333333333333329E-2</v>
      </c>
      <c r="P1890" s="32">
        <f>IF(Mecze[[#This Row],[SC]]=0,0,Mecze[[#This Row],[SC]]/Mecze[[#This Row],[CZAS]])</f>
        <v>2.0833333333333332E-2</v>
      </c>
      <c r="Q1890" s="32">
        <f>IF(Mecze[[#This Row],[OB]]=0,0,Mecze[[#This Row],[OB]]/Mecze[[#This Row],[CZAS]])</f>
        <v>0</v>
      </c>
      <c r="R1890" s="32">
        <f>IF(Mecze[[#This Row],[BR]]=0,0,Mecze[[#This Row],[BR]]/Mecze[[#This Row],[CZAS]])</f>
        <v>1.0416666666666666E-2</v>
      </c>
      <c r="S1890" s="44">
        <f>IF(Mecze[[#This Row],[Role]]="BR",SUMPRODUCT(Mecze[[#This Row],[/PR:90]:[/BR:90]],Brudnopis!$E$23:$J$23),0)</f>
        <v>0</v>
      </c>
      <c r="T1890" s="44">
        <f>IF(Mecze[[#This Row],[Role]]&lt;&gt;"BR",SUMPRODUCT(Mecze[[#This Row],[/PR:90]:[/BR:90]],Brudnopis!$E$24:$J$24),0)</f>
        <v>0.11979166666666666</v>
      </c>
      <c r="U1890" s="44">
        <f>IF(Mecze[[#This Row],[Role]]&lt;&gt;"BR",SUMPRODUCT(Mecze[[#This Row],[/PR:90]:[/BR:90]],Brudnopis!$E$25:$J$25),0)</f>
        <v>0.16145833333333334</v>
      </c>
      <c r="V1890" s="44">
        <f>IF(Mecze[[#This Row],[Role]]&lt;&gt;"BR",SUMPRODUCT(Mecze[[#This Row],[/PR:90]:[/BR:90]],Brudnopis!$E$26:$J$26),0)</f>
        <v>0.12499999999999999</v>
      </c>
      <c r="W1890" s="44">
        <f>IF(Mecze[[#This Row],[Role]]&lt;&gt;"BR",SUMPRODUCT(Mecze[[#This Row],[/PR:90]:[/BR:90]],Brudnopis!$E$27:$J$27),0)</f>
        <v>0.16666666666666669</v>
      </c>
      <c r="X1890" s="44">
        <f>IF(Mecze[[#This Row],[Role]]&lt;&gt;"BR",SUMPRODUCT(Mecze[[#This Row],[/PR:90]:[/BR:90]],Brudnopis!$E$28:$J$28),0)</f>
        <v>0.15625</v>
      </c>
      <c r="Y1890" s="35">
        <f>IF(Mecze[[#This Row],[Role]]="BR",Mecze[[#This Row],[/OB:90]]+Mecze[[#This Row],[/PC:90]],SUM(Mecze[[#This Row],[/PR:90]:[/BR:90]]))</f>
        <v>0.11458333333333333</v>
      </c>
      <c r="Z1890" s="35">
        <f>IF(Mecze[[#This Row],[KC]]=0,SUM(Mecze[[#This Row],[/BRI]:[/NPI]]),SUM(Mecze[[#This Row],[/BRI]:[/NPI]])*0.6)</f>
        <v>0.72916666666666674</v>
      </c>
      <c r="AA1890" s="10">
        <f>IFERROR(Mecze[[#This Row],[BR]]/Mecze[[#This Row],[ST]],0)</f>
        <v>0.33333333333333331</v>
      </c>
      <c r="AB1890">
        <f>ROUND(Mecze[[#This Row],[PD]]*Mecze[[#This Row],[%PC]],0)</f>
        <v>8</v>
      </c>
      <c r="AC1890">
        <f>ROUND(Mecze[[#This Row],[OD]]*Mecze[[#This Row],[%OU]],0)</f>
        <v>0</v>
      </c>
      <c r="AD1890" s="36" t="s">
        <v>273</v>
      </c>
      <c r="AE1890" s="36">
        <v>103</v>
      </c>
      <c r="AF1890" s="71">
        <v>8.92</v>
      </c>
      <c r="AG1890" s="37">
        <v>0</v>
      </c>
      <c r="AH1890" s="37">
        <v>0</v>
      </c>
      <c r="AI1890" s="37">
        <v>96</v>
      </c>
      <c r="AJ1890" s="37">
        <v>5</v>
      </c>
      <c r="AK1890" s="37" t="str">
        <f>VLOOKUP(Mecze[[#This Row],[Match ID]],Meczusie[Mecz]:Meczusie[RodzajMeczu],2,FALSE)</f>
        <v>Liga</v>
      </c>
    </row>
    <row r="1891" spans="1:37" x14ac:dyDescent="0.25">
      <c r="A1891" s="76">
        <v>1</v>
      </c>
      <c r="B1891" s="3" t="s">
        <v>320</v>
      </c>
      <c r="C1891" s="2" t="s">
        <v>155</v>
      </c>
      <c r="D1891" s="1">
        <v>0</v>
      </c>
      <c r="E1891" s="1">
        <v>0</v>
      </c>
      <c r="F1891" s="1">
        <v>0</v>
      </c>
      <c r="G1891" s="1">
        <v>15</v>
      </c>
      <c r="H1891" s="4">
        <v>0.4</v>
      </c>
      <c r="I1891" s="1">
        <v>0</v>
      </c>
      <c r="J1891" s="4"/>
      <c r="K1891" s="1">
        <v>18</v>
      </c>
      <c r="L1891" s="1">
        <v>0</v>
      </c>
      <c r="M1891" s="32">
        <f>IF(Mecze[[#This Row],[PR]]=0,0,Mecze[[#This Row],[PR]]/Mecze[[#This Row],[CZAS]])</f>
        <v>0</v>
      </c>
      <c r="N1891" s="32">
        <f>IF(Mecze[[#This Row],[OU]]=0,0,Mecze[[#This Row],[OU]]/Mecze[[#This Row],[CZAS]])</f>
        <v>0</v>
      </c>
      <c r="O1891" s="32">
        <f>IF(Mecze[[#This Row],[PC]]=0,0,Mecze[[#This Row],[PC]]/Mecze[[#This Row],[CZAS]])</f>
        <v>6.25E-2</v>
      </c>
      <c r="P1891" s="32">
        <f>IF(Mecze[[#This Row],[SC]]=0,0,Mecze[[#This Row],[SC]]/Mecze[[#This Row],[CZAS]])</f>
        <v>0</v>
      </c>
      <c r="Q1891" s="32">
        <f>IF(Mecze[[#This Row],[OB]]=0,0,Mecze[[#This Row],[OB]]/Mecze[[#This Row],[CZAS]])</f>
        <v>0.1875</v>
      </c>
      <c r="R1891" s="32">
        <f>IF(Mecze[[#This Row],[BR]]=0,0,Mecze[[#This Row],[BR]]/Mecze[[#This Row],[CZAS]])</f>
        <v>0</v>
      </c>
      <c r="S1891" s="44">
        <f>IF(Mecze[[#This Row],[Role]]="BR",SUMPRODUCT(Mecze[[#This Row],[/PR:90]:[/BR:90]],Brudnopis!$E$23:$J$23),0)</f>
        <v>0.75</v>
      </c>
      <c r="T1891" s="44">
        <f>IF(Mecze[[#This Row],[Role]]&lt;&gt;"BR",SUMPRODUCT(Mecze[[#This Row],[/PR:90]:[/BR:90]],Brudnopis!$E$24:$J$24),0)</f>
        <v>0</v>
      </c>
      <c r="U1891" s="44">
        <f>IF(Mecze[[#This Row],[Role]]&lt;&gt;"BR",SUMPRODUCT(Mecze[[#This Row],[/PR:90]:[/BR:90]],Brudnopis!$E$25:$J$25),0)</f>
        <v>0</v>
      </c>
      <c r="V1891" s="44">
        <f>IF(Mecze[[#This Row],[Role]]&lt;&gt;"BR",SUMPRODUCT(Mecze[[#This Row],[/PR:90]:[/BR:90]],Brudnopis!$E$26:$J$26),0)</f>
        <v>0</v>
      </c>
      <c r="W1891" s="44">
        <f>IF(Mecze[[#This Row],[Role]]&lt;&gt;"BR",SUMPRODUCT(Mecze[[#This Row],[/PR:90]:[/BR:90]],Brudnopis!$E$27:$J$27),0)</f>
        <v>0</v>
      </c>
      <c r="X1891" s="44">
        <f>IF(Mecze[[#This Row],[Role]]&lt;&gt;"BR",SUMPRODUCT(Mecze[[#This Row],[/PR:90]:[/BR:90]],Brudnopis!$E$28:$J$28),0)</f>
        <v>0</v>
      </c>
      <c r="Y1891" s="35">
        <f>IF(Mecze[[#This Row],[Role]]="BR",Mecze[[#This Row],[/OB:90]]+Mecze[[#This Row],[/PC:90]],SUM(Mecze[[#This Row],[/PR:90]:[/BR:90]]))</f>
        <v>0.25</v>
      </c>
      <c r="Z1891" s="35">
        <f>IF(Mecze[[#This Row],[KC]]=0,SUM(Mecze[[#This Row],[/BRI]:[/NPI]]),SUM(Mecze[[#This Row],[/BRI]:[/NPI]])*0.6)</f>
        <v>0.75</v>
      </c>
      <c r="AA1891" s="10">
        <f>IFERROR(Mecze[[#This Row],[BR]]/Mecze[[#This Row],[ST]],0)</f>
        <v>0</v>
      </c>
      <c r="AB1891">
        <f>ROUND(Mecze[[#This Row],[PD]]*Mecze[[#This Row],[%PC]],0)</f>
        <v>6</v>
      </c>
      <c r="AC1891">
        <f>ROUND(Mecze[[#This Row],[OD]]*Mecze[[#This Row],[%OU]],0)</f>
        <v>0</v>
      </c>
      <c r="AD1891" s="36" t="s">
        <v>40</v>
      </c>
      <c r="AE1891" s="36">
        <v>103</v>
      </c>
      <c r="AF1891" s="71">
        <v>6.88</v>
      </c>
      <c r="AG1891" s="37">
        <v>0</v>
      </c>
      <c r="AH1891" s="37">
        <v>0</v>
      </c>
      <c r="AI1891" s="37">
        <v>96</v>
      </c>
      <c r="AJ1891" s="37">
        <v>11</v>
      </c>
      <c r="AK1891" s="37" t="str">
        <f>VLOOKUP(Mecze[[#This Row],[Match ID]],Meczusie[Mecz]:Meczusie[RodzajMeczu],2,FALSE)</f>
        <v>Liga</v>
      </c>
    </row>
    <row r="1892" spans="1:37" x14ac:dyDescent="0.25">
      <c r="A1892" s="76">
        <v>7</v>
      </c>
      <c r="B1892" s="3" t="s">
        <v>322</v>
      </c>
      <c r="C1892" s="2" t="s">
        <v>157</v>
      </c>
      <c r="D1892" s="1">
        <v>0</v>
      </c>
      <c r="E1892" s="1">
        <v>0</v>
      </c>
      <c r="F1892" s="1">
        <v>0</v>
      </c>
      <c r="G1892" s="1">
        <v>6</v>
      </c>
      <c r="H1892" s="4">
        <v>1</v>
      </c>
      <c r="I1892" s="1">
        <v>3</v>
      </c>
      <c r="J1892" s="4">
        <v>1</v>
      </c>
      <c r="K1892" s="1">
        <v>0</v>
      </c>
      <c r="L1892" s="1">
        <v>3</v>
      </c>
      <c r="M1892" s="32">
        <f>IF(Mecze[[#This Row],[PR]]=0,0,Mecze[[#This Row],[PR]]/Mecze[[#This Row],[CZAS]])</f>
        <v>3.125E-2</v>
      </c>
      <c r="N1892" s="32">
        <f>IF(Mecze[[#This Row],[OU]]=0,0,Mecze[[#This Row],[OU]]/Mecze[[#This Row],[CZAS]])</f>
        <v>3.125E-2</v>
      </c>
      <c r="O1892" s="32">
        <f>IF(Mecze[[#This Row],[PC]]=0,0,Mecze[[#This Row],[PC]]/Mecze[[#This Row],[CZAS]])</f>
        <v>6.25E-2</v>
      </c>
      <c r="P1892" s="32">
        <f>IF(Mecze[[#This Row],[SC]]=0,0,Mecze[[#This Row],[SC]]/Mecze[[#This Row],[CZAS]])</f>
        <v>0</v>
      </c>
      <c r="Q1892" s="32">
        <f>IF(Mecze[[#This Row],[OB]]=0,0,Mecze[[#This Row],[OB]]/Mecze[[#This Row],[CZAS]])</f>
        <v>0</v>
      </c>
      <c r="R1892" s="32">
        <f>IF(Mecze[[#This Row],[BR]]=0,0,Mecze[[#This Row],[BR]]/Mecze[[#This Row],[CZAS]])</f>
        <v>0</v>
      </c>
      <c r="S1892" s="44">
        <f>IF(Mecze[[#This Row],[Role]]="BR",SUMPRODUCT(Mecze[[#This Row],[/PR:90]:[/BR:90]],Brudnopis!$E$23:$J$23),0)</f>
        <v>0</v>
      </c>
      <c r="T1892" s="44">
        <f>IF(Mecze[[#This Row],[Role]]&lt;&gt;"BR",SUMPRODUCT(Mecze[[#This Row],[/PR:90]:[/BR:90]],Brudnopis!$E$24:$J$24),0)</f>
        <v>0.140625</v>
      </c>
      <c r="U1892" s="44">
        <f>IF(Mecze[[#This Row],[Role]]&lt;&gt;"BR",SUMPRODUCT(Mecze[[#This Row],[/PR:90]:[/BR:90]],Brudnopis!$E$25:$J$25),0)</f>
        <v>0.15625</v>
      </c>
      <c r="V1892" s="44">
        <f>IF(Mecze[[#This Row],[Role]]&lt;&gt;"BR",SUMPRODUCT(Mecze[[#This Row],[/PR:90]:[/BR:90]],Brudnopis!$E$26:$J$26),0)</f>
        <v>0.125</v>
      </c>
      <c r="W1892" s="44">
        <f>IF(Mecze[[#This Row],[Role]]&lt;&gt;"BR",SUMPRODUCT(Mecze[[#This Row],[/PR:90]:[/BR:90]],Brudnopis!$E$27:$J$27),0)</f>
        <v>0.140625</v>
      </c>
      <c r="X1892" s="44">
        <f>IF(Mecze[[#This Row],[Role]]&lt;&gt;"BR",SUMPRODUCT(Mecze[[#This Row],[/PR:90]:[/BR:90]],Brudnopis!$E$28:$J$28),0)</f>
        <v>6.25E-2</v>
      </c>
      <c r="Y1892" s="35">
        <f>IF(Mecze[[#This Row],[Role]]="BR",Mecze[[#This Row],[/OB:90]]+Mecze[[#This Row],[/PC:90]],SUM(Mecze[[#This Row],[/PR:90]:[/BR:90]]))</f>
        <v>0.125</v>
      </c>
      <c r="Z1892" s="35">
        <f>IF(Mecze[[#This Row],[KC]]=0,SUM(Mecze[[#This Row],[/BRI]:[/NPI]]),SUM(Mecze[[#This Row],[/BRI]:[/NPI]])*0.6)</f>
        <v>0.625</v>
      </c>
      <c r="AA1892" s="10">
        <f>IFERROR(Mecze[[#This Row],[BR]]/Mecze[[#This Row],[ST]],0)</f>
        <v>0</v>
      </c>
      <c r="AB1892">
        <f>ROUND(Mecze[[#This Row],[PD]]*Mecze[[#This Row],[%PC]],0)</f>
        <v>6</v>
      </c>
      <c r="AC1892">
        <f>ROUND(Mecze[[#This Row],[OD]]*Mecze[[#This Row],[%OU]],0)</f>
        <v>3</v>
      </c>
      <c r="AD1892" s="36" t="s">
        <v>47</v>
      </c>
      <c r="AE1892" s="36">
        <v>103</v>
      </c>
      <c r="AF1892" s="71">
        <v>4.3600000000000003</v>
      </c>
      <c r="AG1892" s="37">
        <v>0</v>
      </c>
      <c r="AH1892" s="37">
        <v>0</v>
      </c>
      <c r="AI1892" s="37">
        <v>96</v>
      </c>
      <c r="AJ1892" s="37">
        <v>11</v>
      </c>
      <c r="AK1892" s="37" t="str">
        <f>VLOOKUP(Mecze[[#This Row],[Match ID]],Meczusie[Mecz]:Meczusie[RodzajMeczu],2,FALSE)</f>
        <v>Liga</v>
      </c>
    </row>
    <row r="1893" spans="1:37" x14ac:dyDescent="0.25">
      <c r="A1893" s="76">
        <v>4</v>
      </c>
      <c r="B1893" s="3" t="s">
        <v>321</v>
      </c>
      <c r="C1893" s="2" t="s">
        <v>157</v>
      </c>
      <c r="D1893" s="1">
        <v>0</v>
      </c>
      <c r="E1893" s="1">
        <v>0</v>
      </c>
      <c r="F1893" s="1">
        <v>0</v>
      </c>
      <c r="G1893" s="1">
        <v>6</v>
      </c>
      <c r="H1893" s="4">
        <v>0.5</v>
      </c>
      <c r="I1893" s="1">
        <v>9</v>
      </c>
      <c r="J1893" s="4">
        <v>0.33</v>
      </c>
      <c r="K1893" s="1">
        <v>0</v>
      </c>
      <c r="L1893" s="1">
        <v>5</v>
      </c>
      <c r="M1893" s="32">
        <f>IF(Mecze[[#This Row],[PR]]=0,0,Mecze[[#This Row],[PR]]/Mecze[[#This Row],[CZAS]])</f>
        <v>5.2083333333333336E-2</v>
      </c>
      <c r="N1893" s="32">
        <f>IF(Mecze[[#This Row],[OU]]=0,0,Mecze[[#This Row],[OU]]/Mecze[[#This Row],[CZAS]])</f>
        <v>3.125E-2</v>
      </c>
      <c r="O1893" s="32">
        <f>IF(Mecze[[#This Row],[PC]]=0,0,Mecze[[#This Row],[PC]]/Mecze[[#This Row],[CZAS]])</f>
        <v>3.125E-2</v>
      </c>
      <c r="P1893" s="32">
        <f>IF(Mecze[[#This Row],[SC]]=0,0,Mecze[[#This Row],[SC]]/Mecze[[#This Row],[CZAS]])</f>
        <v>0</v>
      </c>
      <c r="Q1893" s="32">
        <f>IF(Mecze[[#This Row],[OB]]=0,0,Mecze[[#This Row],[OB]]/Mecze[[#This Row],[CZAS]])</f>
        <v>0</v>
      </c>
      <c r="R1893" s="32">
        <f>IF(Mecze[[#This Row],[BR]]=0,0,Mecze[[#This Row],[BR]]/Mecze[[#This Row],[CZAS]])</f>
        <v>0</v>
      </c>
      <c r="S1893" s="44">
        <f>IF(Mecze[[#This Row],[Role]]="BR",SUMPRODUCT(Mecze[[#This Row],[/PR:90]:[/BR:90]],Brudnopis!$E$23:$J$23),0)</f>
        <v>0</v>
      </c>
      <c r="T1893" s="44">
        <f>IF(Mecze[[#This Row],[Role]]&lt;&gt;"BR",SUMPRODUCT(Mecze[[#This Row],[/PR:90]:[/BR:90]],Brudnopis!$E$24:$J$24),0)</f>
        <v>0.13020833333333334</v>
      </c>
      <c r="U1893" s="44">
        <f>IF(Mecze[[#This Row],[Role]]&lt;&gt;"BR",SUMPRODUCT(Mecze[[#This Row],[/PR:90]:[/BR:90]],Brudnopis!$E$25:$J$25),0)</f>
        <v>0.13020833333333334</v>
      </c>
      <c r="V1893" s="44">
        <f>IF(Mecze[[#This Row],[Role]]&lt;&gt;"BR",SUMPRODUCT(Mecze[[#This Row],[/PR:90]:[/BR:90]],Brudnopis!$E$26:$J$26),0)</f>
        <v>0.11458333333333334</v>
      </c>
      <c r="W1893" s="44">
        <f>IF(Mecze[[#This Row],[Role]]&lt;&gt;"BR",SUMPRODUCT(Mecze[[#This Row],[/PR:90]:[/BR:90]],Brudnopis!$E$27:$J$27),0)</f>
        <v>0.109375</v>
      </c>
      <c r="X1893" s="44">
        <f>IF(Mecze[[#This Row],[Role]]&lt;&gt;"BR",SUMPRODUCT(Mecze[[#This Row],[/PR:90]:[/BR:90]],Brudnopis!$E$28:$J$28),0)</f>
        <v>3.125E-2</v>
      </c>
      <c r="Y1893" s="35">
        <f>IF(Mecze[[#This Row],[Role]]="BR",Mecze[[#This Row],[/OB:90]]+Mecze[[#This Row],[/PC:90]],SUM(Mecze[[#This Row],[/PR:90]:[/BR:90]]))</f>
        <v>0.11458333333333334</v>
      </c>
      <c r="Z1893" s="35">
        <f>IF(Mecze[[#This Row],[KC]]=0,SUM(Mecze[[#This Row],[/BRI]:[/NPI]]),SUM(Mecze[[#This Row],[/BRI]:[/NPI]])*0.6)</f>
        <v>0.515625</v>
      </c>
      <c r="AA1893" s="10">
        <f>IFERROR(Mecze[[#This Row],[BR]]/Mecze[[#This Row],[ST]],0)</f>
        <v>0</v>
      </c>
      <c r="AB1893">
        <f>ROUND(Mecze[[#This Row],[PD]]*Mecze[[#This Row],[%PC]],0)</f>
        <v>3</v>
      </c>
      <c r="AC1893">
        <f>ROUND(Mecze[[#This Row],[OD]]*Mecze[[#This Row],[%OU]],0)</f>
        <v>3</v>
      </c>
      <c r="AD1893" s="36" t="s">
        <v>47</v>
      </c>
      <c r="AE1893" s="36">
        <v>103</v>
      </c>
      <c r="AF1893" s="71">
        <v>1.63</v>
      </c>
      <c r="AG1893" s="37">
        <v>0</v>
      </c>
      <c r="AH1893" s="37">
        <v>0</v>
      </c>
      <c r="AI1893" s="37">
        <v>96</v>
      </c>
      <c r="AJ1893" s="37">
        <v>11</v>
      </c>
      <c r="AK1893" s="37" t="str">
        <f>VLOOKUP(Mecze[[#This Row],[Match ID]],Meczusie[Mecz]:Meczusie[RodzajMeczu],2,FALSE)</f>
        <v>Liga</v>
      </c>
    </row>
    <row r="1894" spans="1:37" x14ac:dyDescent="0.25">
      <c r="A1894" s="76">
        <v>2</v>
      </c>
      <c r="B1894" s="3" t="s">
        <v>392</v>
      </c>
      <c r="C1894" s="2" t="s">
        <v>157</v>
      </c>
      <c r="D1894" s="1">
        <v>0</v>
      </c>
      <c r="E1894" s="1">
        <v>0</v>
      </c>
      <c r="F1894" s="1">
        <v>0</v>
      </c>
      <c r="G1894" s="1">
        <v>3</v>
      </c>
      <c r="H1894" s="4">
        <v>1</v>
      </c>
      <c r="I1894" s="1">
        <v>1</v>
      </c>
      <c r="J1894" s="4">
        <v>0</v>
      </c>
      <c r="K1894" s="1">
        <v>0</v>
      </c>
      <c r="L1894" s="1">
        <v>2</v>
      </c>
      <c r="M1894" s="32">
        <f>IF(Mecze[[#This Row],[PR]]=0,0,Mecze[[#This Row],[PR]]/Mecze[[#This Row],[CZAS]])</f>
        <v>2.0833333333333332E-2</v>
      </c>
      <c r="N1894" s="32">
        <f>IF(Mecze[[#This Row],[OU]]=0,0,Mecze[[#This Row],[OU]]/Mecze[[#This Row],[CZAS]])</f>
        <v>0</v>
      </c>
      <c r="O1894" s="32">
        <f>IF(Mecze[[#This Row],[PC]]=0,0,Mecze[[#This Row],[PC]]/Mecze[[#This Row],[CZAS]])</f>
        <v>3.125E-2</v>
      </c>
      <c r="P1894" s="32">
        <f>IF(Mecze[[#This Row],[SC]]=0,0,Mecze[[#This Row],[SC]]/Mecze[[#This Row],[CZAS]])</f>
        <v>0</v>
      </c>
      <c r="Q1894" s="32">
        <f>IF(Mecze[[#This Row],[OB]]=0,0,Mecze[[#This Row],[OB]]/Mecze[[#This Row],[CZAS]])</f>
        <v>0</v>
      </c>
      <c r="R1894" s="32">
        <f>IF(Mecze[[#This Row],[BR]]=0,0,Mecze[[#This Row],[BR]]/Mecze[[#This Row],[CZAS]])</f>
        <v>0</v>
      </c>
      <c r="S1894" s="44">
        <f>IF(Mecze[[#This Row],[Role]]="BR",SUMPRODUCT(Mecze[[#This Row],[/PR:90]:[/BR:90]],Brudnopis!$E$23:$J$23),0)</f>
        <v>0</v>
      </c>
      <c r="T1894" s="44">
        <f>IF(Mecze[[#This Row],[Role]]&lt;&gt;"BR",SUMPRODUCT(Mecze[[#This Row],[/PR:90]:[/BR:90]],Brudnopis!$E$24:$J$24),0)</f>
        <v>5.2083333333333329E-2</v>
      </c>
      <c r="U1894" s="44">
        <f>IF(Mecze[[#This Row],[Role]]&lt;&gt;"BR",SUMPRODUCT(Mecze[[#This Row],[/PR:90]:[/BR:90]],Brudnopis!$E$25:$J$25),0)</f>
        <v>6.7708333333333329E-2</v>
      </c>
      <c r="V1894" s="44">
        <f>IF(Mecze[[#This Row],[Role]]&lt;&gt;"BR",SUMPRODUCT(Mecze[[#This Row],[/PR:90]:[/BR:90]],Brudnopis!$E$26:$J$26),0)</f>
        <v>5.2083333333333329E-2</v>
      </c>
      <c r="W1894" s="44">
        <f>IF(Mecze[[#This Row],[Role]]&lt;&gt;"BR",SUMPRODUCT(Mecze[[#This Row],[/PR:90]:[/BR:90]],Brudnopis!$E$27:$J$27),0)</f>
        <v>6.25E-2</v>
      </c>
      <c r="X1894" s="44">
        <f>IF(Mecze[[#This Row],[Role]]&lt;&gt;"BR",SUMPRODUCT(Mecze[[#This Row],[/PR:90]:[/BR:90]],Brudnopis!$E$28:$J$28),0)</f>
        <v>3.125E-2</v>
      </c>
      <c r="Y1894" s="35">
        <f>IF(Mecze[[#This Row],[Role]]="BR",Mecze[[#This Row],[/OB:90]]+Mecze[[#This Row],[/PC:90]],SUM(Mecze[[#This Row],[/PR:90]:[/BR:90]]))</f>
        <v>5.2083333333333329E-2</v>
      </c>
      <c r="Z1894" s="35">
        <f>IF(Mecze[[#This Row],[KC]]=0,SUM(Mecze[[#This Row],[/BRI]:[/NPI]]),SUM(Mecze[[#This Row],[/BRI]:[/NPI]])*0.6)</f>
        <v>0.265625</v>
      </c>
      <c r="AA1894" s="10">
        <f>IFERROR(Mecze[[#This Row],[BR]]/Mecze[[#This Row],[ST]],0)</f>
        <v>0</v>
      </c>
      <c r="AB1894">
        <f>ROUND(Mecze[[#This Row],[PD]]*Mecze[[#This Row],[%PC]],0)</f>
        <v>3</v>
      </c>
      <c r="AC1894">
        <f>ROUND(Mecze[[#This Row],[OD]]*Mecze[[#This Row],[%OU]],0)</f>
        <v>0</v>
      </c>
      <c r="AD1894" s="36" t="s">
        <v>175</v>
      </c>
      <c r="AE1894" s="36">
        <v>103</v>
      </c>
      <c r="AF1894" s="71">
        <v>1</v>
      </c>
      <c r="AG1894" s="37">
        <v>0</v>
      </c>
      <c r="AH1894" s="37">
        <v>0</v>
      </c>
      <c r="AI1894" s="37">
        <v>96</v>
      </c>
      <c r="AJ1894" s="37">
        <v>11</v>
      </c>
      <c r="AK1894" s="37" t="str">
        <f>VLOOKUP(Mecze[[#This Row],[Match ID]],Meczusie[Mecz]:Meczusie[RodzajMeczu],2,FALSE)</f>
        <v>Liga</v>
      </c>
    </row>
    <row r="1895" spans="1:37" x14ac:dyDescent="0.25">
      <c r="A1895" s="76">
        <v>6</v>
      </c>
      <c r="B1895" s="3" t="s">
        <v>324</v>
      </c>
      <c r="C1895" s="2" t="s">
        <v>157</v>
      </c>
      <c r="D1895" s="1">
        <v>0</v>
      </c>
      <c r="E1895" s="1">
        <v>0</v>
      </c>
      <c r="F1895" s="1">
        <v>0</v>
      </c>
      <c r="G1895" s="1">
        <v>5</v>
      </c>
      <c r="H1895" s="4">
        <v>0.6</v>
      </c>
      <c r="I1895" s="1">
        <v>1</v>
      </c>
      <c r="J1895" s="4">
        <v>0</v>
      </c>
      <c r="K1895" s="1">
        <v>0</v>
      </c>
      <c r="L1895" s="1">
        <v>5</v>
      </c>
      <c r="M1895" s="32">
        <f>IF(Mecze[[#This Row],[PR]]=0,0,Mecze[[#This Row],[PR]]/Mecze[[#This Row],[CZAS]])</f>
        <v>5.2083333333333336E-2</v>
      </c>
      <c r="N1895" s="32">
        <f>IF(Mecze[[#This Row],[OU]]=0,0,Mecze[[#This Row],[OU]]/Mecze[[#This Row],[CZAS]])</f>
        <v>0</v>
      </c>
      <c r="O1895" s="32">
        <f>IF(Mecze[[#This Row],[PC]]=0,0,Mecze[[#This Row],[PC]]/Mecze[[#This Row],[CZAS]])</f>
        <v>3.125E-2</v>
      </c>
      <c r="P1895" s="32">
        <f>IF(Mecze[[#This Row],[SC]]=0,0,Mecze[[#This Row],[SC]]/Mecze[[#This Row],[CZAS]])</f>
        <v>0</v>
      </c>
      <c r="Q1895" s="32">
        <f>IF(Mecze[[#This Row],[OB]]=0,0,Mecze[[#This Row],[OB]]/Mecze[[#This Row],[CZAS]])</f>
        <v>0</v>
      </c>
      <c r="R1895" s="32">
        <f>IF(Mecze[[#This Row],[BR]]=0,0,Mecze[[#This Row],[BR]]/Mecze[[#This Row],[CZAS]])</f>
        <v>0</v>
      </c>
      <c r="S1895" s="44">
        <f>IF(Mecze[[#This Row],[Role]]="BR",SUMPRODUCT(Mecze[[#This Row],[/PR:90]:[/BR:90]],Brudnopis!$E$23:$J$23),0)</f>
        <v>0</v>
      </c>
      <c r="T1895" s="44">
        <f>IF(Mecze[[#This Row],[Role]]&lt;&gt;"BR",SUMPRODUCT(Mecze[[#This Row],[/PR:90]:[/BR:90]],Brudnopis!$E$24:$J$24),0)</f>
        <v>8.3333333333333343E-2</v>
      </c>
      <c r="U1895" s="44">
        <f>IF(Mecze[[#This Row],[Role]]&lt;&gt;"BR",SUMPRODUCT(Mecze[[#This Row],[/PR:90]:[/BR:90]],Brudnopis!$E$25:$J$25),0)</f>
        <v>9.8958333333333343E-2</v>
      </c>
      <c r="V1895" s="44">
        <f>IF(Mecze[[#This Row],[Role]]&lt;&gt;"BR",SUMPRODUCT(Mecze[[#This Row],[/PR:90]:[/BR:90]],Brudnopis!$E$26:$J$26),0)</f>
        <v>8.3333333333333343E-2</v>
      </c>
      <c r="W1895" s="44">
        <f>IF(Mecze[[#This Row],[Role]]&lt;&gt;"BR",SUMPRODUCT(Mecze[[#This Row],[/PR:90]:[/BR:90]],Brudnopis!$E$27:$J$27),0)</f>
        <v>8.59375E-2</v>
      </c>
      <c r="X1895" s="44">
        <f>IF(Mecze[[#This Row],[Role]]&lt;&gt;"BR",SUMPRODUCT(Mecze[[#This Row],[/PR:90]:[/BR:90]],Brudnopis!$E$28:$J$28),0)</f>
        <v>3.125E-2</v>
      </c>
      <c r="Y1895" s="35">
        <f>IF(Mecze[[#This Row],[Role]]="BR",Mecze[[#This Row],[/OB:90]]+Mecze[[#This Row],[/PC:90]],SUM(Mecze[[#This Row],[/PR:90]:[/BR:90]]))</f>
        <v>8.3333333333333343E-2</v>
      </c>
      <c r="Z1895" s="35">
        <f>IF(Mecze[[#This Row],[KC]]=0,SUM(Mecze[[#This Row],[/BRI]:[/NPI]]),SUM(Mecze[[#This Row],[/BRI]:[/NPI]])*0.6)</f>
        <v>0.3828125</v>
      </c>
      <c r="AA1895" s="10">
        <f>IFERROR(Mecze[[#This Row],[BR]]/Mecze[[#This Row],[ST]],0)</f>
        <v>0</v>
      </c>
      <c r="AB1895">
        <f>ROUND(Mecze[[#This Row],[PD]]*Mecze[[#This Row],[%PC]],0)</f>
        <v>3</v>
      </c>
      <c r="AC1895">
        <f>ROUND(Mecze[[#This Row],[OD]]*Mecze[[#This Row],[%OU]],0)</f>
        <v>0</v>
      </c>
      <c r="AD1895" s="36" t="s">
        <v>174</v>
      </c>
      <c r="AE1895" s="36">
        <v>103</v>
      </c>
      <c r="AF1895" s="71">
        <v>1.63</v>
      </c>
      <c r="AG1895" s="37">
        <v>0</v>
      </c>
      <c r="AH1895" s="37">
        <v>0</v>
      </c>
      <c r="AI1895" s="37">
        <v>96</v>
      </c>
      <c r="AJ1895" s="37">
        <v>11</v>
      </c>
      <c r="AK1895" s="37" t="str">
        <f>VLOOKUP(Mecze[[#This Row],[Match ID]],Meczusie[Mecz]:Meczusie[RodzajMeczu],2,FALSE)</f>
        <v>Liga</v>
      </c>
    </row>
    <row r="1896" spans="1:37" x14ac:dyDescent="0.25">
      <c r="A1896" s="76">
        <v>8</v>
      </c>
      <c r="B1896" s="3" t="s">
        <v>326</v>
      </c>
      <c r="C1896" s="2" t="s">
        <v>160</v>
      </c>
      <c r="D1896" s="1">
        <v>0</v>
      </c>
      <c r="E1896" s="1">
        <v>0</v>
      </c>
      <c r="F1896" s="1">
        <v>0</v>
      </c>
      <c r="G1896" s="1">
        <v>24</v>
      </c>
      <c r="H1896" s="4">
        <v>0.96</v>
      </c>
      <c r="I1896" s="1">
        <v>7</v>
      </c>
      <c r="J1896" s="4">
        <v>0.71</v>
      </c>
      <c r="K1896" s="1">
        <v>0</v>
      </c>
      <c r="L1896" s="1">
        <v>5</v>
      </c>
      <c r="M1896" s="32">
        <f>IF(Mecze[[#This Row],[PR]]=0,0,Mecze[[#This Row],[PR]]/Mecze[[#This Row],[CZAS]])</f>
        <v>5.2083333333333336E-2</v>
      </c>
      <c r="N1896" s="32">
        <f>IF(Mecze[[#This Row],[OU]]=0,0,Mecze[[#This Row],[OU]]/Mecze[[#This Row],[CZAS]])</f>
        <v>5.2083333333333336E-2</v>
      </c>
      <c r="O1896" s="32">
        <f>IF(Mecze[[#This Row],[PC]]=0,0,Mecze[[#This Row],[PC]]/Mecze[[#This Row],[CZAS]])</f>
        <v>0.23958333333333334</v>
      </c>
      <c r="P1896" s="32">
        <f>IF(Mecze[[#This Row],[SC]]=0,0,Mecze[[#This Row],[SC]]/Mecze[[#This Row],[CZAS]])</f>
        <v>0</v>
      </c>
      <c r="Q1896" s="32">
        <f>IF(Mecze[[#This Row],[OB]]=0,0,Mecze[[#This Row],[OB]]/Mecze[[#This Row],[CZAS]])</f>
        <v>0</v>
      </c>
      <c r="R1896" s="32">
        <f>IF(Mecze[[#This Row],[BR]]=0,0,Mecze[[#This Row],[BR]]/Mecze[[#This Row],[CZAS]])</f>
        <v>0</v>
      </c>
      <c r="S1896" s="44">
        <f>IF(Mecze[[#This Row],[Role]]="BR",SUMPRODUCT(Mecze[[#This Row],[/PR:90]:[/BR:90]],Brudnopis!$E$23:$J$23),0)</f>
        <v>0</v>
      </c>
      <c r="T1896" s="44">
        <f>IF(Mecze[[#This Row],[Role]]&lt;&gt;"BR",SUMPRODUCT(Mecze[[#This Row],[/PR:90]:[/BR:90]],Brudnopis!$E$24:$J$24),0)</f>
        <v>0.36979166666666669</v>
      </c>
      <c r="U1896" s="44">
        <f>IF(Mecze[[#This Row],[Role]]&lt;&gt;"BR",SUMPRODUCT(Mecze[[#This Row],[/PR:90]:[/BR:90]],Brudnopis!$E$25:$J$25),0)</f>
        <v>0.46354166666666669</v>
      </c>
      <c r="V1896" s="44">
        <f>IF(Mecze[[#This Row],[Role]]&lt;&gt;"BR",SUMPRODUCT(Mecze[[#This Row],[/PR:90]:[/BR:90]],Brudnopis!$E$26:$J$26),0)</f>
        <v>0.34375</v>
      </c>
      <c r="W1896" s="44">
        <f>IF(Mecze[[#This Row],[Role]]&lt;&gt;"BR",SUMPRODUCT(Mecze[[#This Row],[/PR:90]:[/BR:90]],Brudnopis!$E$27:$J$27),0)</f>
        <v>0.4375</v>
      </c>
      <c r="X1896" s="44">
        <f>IF(Mecze[[#This Row],[Role]]&lt;&gt;"BR",SUMPRODUCT(Mecze[[#This Row],[/PR:90]:[/BR:90]],Brudnopis!$E$28:$J$28),0)</f>
        <v>0.23958333333333334</v>
      </c>
      <c r="Y1896" s="35">
        <f>IF(Mecze[[#This Row],[Role]]="BR",Mecze[[#This Row],[/OB:90]]+Mecze[[#This Row],[/PC:90]],SUM(Mecze[[#This Row],[/PR:90]:[/BR:90]]))</f>
        <v>0.34375</v>
      </c>
      <c r="Z1896" s="35">
        <f>IF(Mecze[[#This Row],[KC]]=0,SUM(Mecze[[#This Row],[/BRI]:[/NPI]]),SUM(Mecze[[#This Row],[/BRI]:[/NPI]])*0.6)</f>
        <v>1.8541666666666667</v>
      </c>
      <c r="AA1896" s="10">
        <f>IFERROR(Mecze[[#This Row],[BR]]/Mecze[[#This Row],[ST]],0)</f>
        <v>0</v>
      </c>
      <c r="AB1896">
        <f>ROUND(Mecze[[#This Row],[PD]]*Mecze[[#This Row],[%PC]],0)</f>
        <v>23</v>
      </c>
      <c r="AC1896">
        <f>ROUND(Mecze[[#This Row],[OD]]*Mecze[[#This Row],[%OU]],0)</f>
        <v>5</v>
      </c>
      <c r="AD1896" s="36" t="s">
        <v>41</v>
      </c>
      <c r="AE1896" s="36">
        <v>103</v>
      </c>
      <c r="AF1896" s="71">
        <v>5.87</v>
      </c>
      <c r="AG1896" s="37">
        <v>0</v>
      </c>
      <c r="AH1896" s="37">
        <v>0</v>
      </c>
      <c r="AI1896" s="37">
        <v>96</v>
      </c>
      <c r="AJ1896" s="37">
        <v>11</v>
      </c>
      <c r="AK1896" s="37" t="str">
        <f>VLOOKUP(Mecze[[#This Row],[Match ID]],Meczusie[Mecz]:Meczusie[RodzajMeczu],2,FALSE)</f>
        <v>Liga</v>
      </c>
    </row>
    <row r="1897" spans="1:37" x14ac:dyDescent="0.25">
      <c r="A1897" s="76">
        <v>11</v>
      </c>
      <c r="B1897" s="3" t="s">
        <v>329</v>
      </c>
      <c r="C1897" s="2" t="s">
        <v>160</v>
      </c>
      <c r="D1897" s="1">
        <v>0</v>
      </c>
      <c r="E1897" s="1">
        <v>4</v>
      </c>
      <c r="F1897" s="1">
        <v>4</v>
      </c>
      <c r="G1897" s="1">
        <v>11</v>
      </c>
      <c r="H1897" s="4">
        <v>1</v>
      </c>
      <c r="I1897" s="1">
        <v>3</v>
      </c>
      <c r="J1897" s="4">
        <v>0.33</v>
      </c>
      <c r="K1897" s="1">
        <v>0</v>
      </c>
      <c r="L1897" s="1">
        <v>3</v>
      </c>
      <c r="M1897" s="32">
        <f>IF(Mecze[[#This Row],[PR]]=0,0,Mecze[[#This Row],[PR]]/Mecze[[#This Row],[CZAS]])</f>
        <v>3.125E-2</v>
      </c>
      <c r="N1897" s="32">
        <f>IF(Mecze[[#This Row],[OU]]=0,0,Mecze[[#This Row],[OU]]/Mecze[[#This Row],[CZAS]])</f>
        <v>1.0416666666666666E-2</v>
      </c>
      <c r="O1897" s="32">
        <f>IF(Mecze[[#This Row],[PC]]=0,0,Mecze[[#This Row],[PC]]/Mecze[[#This Row],[CZAS]])</f>
        <v>0.11458333333333333</v>
      </c>
      <c r="P1897" s="32">
        <f>IF(Mecze[[#This Row],[SC]]=0,0,Mecze[[#This Row],[SC]]/Mecze[[#This Row],[CZAS]])</f>
        <v>4.1666666666666664E-2</v>
      </c>
      <c r="Q1897" s="32">
        <f>IF(Mecze[[#This Row],[OB]]=0,0,Mecze[[#This Row],[OB]]/Mecze[[#This Row],[CZAS]])</f>
        <v>0</v>
      </c>
      <c r="R1897" s="32">
        <f>IF(Mecze[[#This Row],[BR]]=0,0,Mecze[[#This Row],[BR]]/Mecze[[#This Row],[CZAS]])</f>
        <v>0</v>
      </c>
      <c r="S1897" s="44">
        <f>IF(Mecze[[#This Row],[Role]]="BR",SUMPRODUCT(Mecze[[#This Row],[/PR:90]:[/BR:90]],Brudnopis!$E$23:$J$23),0)</f>
        <v>0</v>
      </c>
      <c r="T1897" s="44">
        <f>IF(Mecze[[#This Row],[Role]]&lt;&gt;"BR",SUMPRODUCT(Mecze[[#This Row],[/PR:90]:[/BR:90]],Brudnopis!$E$24:$J$24),0)</f>
        <v>0.20312499999999997</v>
      </c>
      <c r="U1897" s="44">
        <f>IF(Mecze[[#This Row],[Role]]&lt;&gt;"BR",SUMPRODUCT(Mecze[[#This Row],[/PR:90]:[/BR:90]],Brudnopis!$E$25:$J$25),0)</f>
        <v>0.25520833333333331</v>
      </c>
      <c r="V1897" s="44">
        <f>IF(Mecze[[#This Row],[Role]]&lt;&gt;"BR",SUMPRODUCT(Mecze[[#This Row],[/PR:90]:[/BR:90]],Brudnopis!$E$26:$J$26),0)</f>
        <v>0.19791666666666666</v>
      </c>
      <c r="W1897" s="44">
        <f>IF(Mecze[[#This Row],[Role]]&lt;&gt;"BR",SUMPRODUCT(Mecze[[#This Row],[/PR:90]:[/BR:90]],Brudnopis!$E$27:$J$27),0)</f>
        <v>0.24479166666666666</v>
      </c>
      <c r="X1897" s="44">
        <f>IF(Mecze[[#This Row],[Role]]&lt;&gt;"BR",SUMPRODUCT(Mecze[[#This Row],[/PR:90]:[/BR:90]],Brudnopis!$E$28:$J$28),0)</f>
        <v>0.19791666666666666</v>
      </c>
      <c r="Y1897" s="35">
        <f>IF(Mecze[[#This Row],[Role]]="BR",Mecze[[#This Row],[/OB:90]]+Mecze[[#This Row],[/PC:90]],SUM(Mecze[[#This Row],[/PR:90]:[/BR:90]]))</f>
        <v>0.19791666666666666</v>
      </c>
      <c r="Z1897" s="35">
        <f>IF(Mecze[[#This Row],[KC]]=0,SUM(Mecze[[#This Row],[/BRI]:[/NPI]]),SUM(Mecze[[#This Row],[/BRI]:[/NPI]])*0.6)</f>
        <v>1.0989583333333333</v>
      </c>
      <c r="AA1897" s="10">
        <f>IFERROR(Mecze[[#This Row],[BR]]/Mecze[[#This Row],[ST]],0)</f>
        <v>0</v>
      </c>
      <c r="AB1897">
        <f>ROUND(Mecze[[#This Row],[PD]]*Mecze[[#This Row],[%PC]],0)</f>
        <v>11</v>
      </c>
      <c r="AC1897">
        <f>ROUND(Mecze[[#This Row],[OD]]*Mecze[[#This Row],[%OU]],0)</f>
        <v>1</v>
      </c>
      <c r="AD1897" s="36" t="s">
        <v>44</v>
      </c>
      <c r="AE1897" s="36">
        <v>103</v>
      </c>
      <c r="AF1897" s="71">
        <v>7.58</v>
      </c>
      <c r="AG1897" s="37">
        <v>0</v>
      </c>
      <c r="AH1897" s="37">
        <v>0</v>
      </c>
      <c r="AI1897" s="37">
        <v>96</v>
      </c>
      <c r="AJ1897" s="37">
        <v>11</v>
      </c>
      <c r="AK1897" s="37" t="str">
        <f>VLOOKUP(Mecze[[#This Row],[Match ID]],Meczusie[Mecz]:Meczusie[RodzajMeczu],2,FALSE)</f>
        <v>Liga</v>
      </c>
    </row>
    <row r="1898" spans="1:37" x14ac:dyDescent="0.25">
      <c r="A1898" s="76">
        <v>9</v>
      </c>
      <c r="B1898" s="3" t="s">
        <v>327</v>
      </c>
      <c r="C1898" s="2" t="s">
        <v>160</v>
      </c>
      <c r="D1898" s="1">
        <v>0</v>
      </c>
      <c r="E1898" s="1">
        <v>2</v>
      </c>
      <c r="F1898" s="1">
        <v>2</v>
      </c>
      <c r="G1898" s="1">
        <v>16</v>
      </c>
      <c r="H1898" s="4">
        <v>0.63</v>
      </c>
      <c r="I1898" s="1">
        <v>2</v>
      </c>
      <c r="J1898" s="4">
        <v>1</v>
      </c>
      <c r="K1898" s="1">
        <v>0</v>
      </c>
      <c r="L1898" s="1">
        <v>3</v>
      </c>
      <c r="M1898" s="32">
        <f>IF(Mecze[[#This Row],[PR]]=0,0,Mecze[[#This Row],[PR]]/Mecze[[#This Row],[CZAS]])</f>
        <v>3.125E-2</v>
      </c>
      <c r="N1898" s="32">
        <f>IF(Mecze[[#This Row],[OU]]=0,0,Mecze[[#This Row],[OU]]/Mecze[[#This Row],[CZAS]])</f>
        <v>2.0833333333333332E-2</v>
      </c>
      <c r="O1898" s="32">
        <f>IF(Mecze[[#This Row],[PC]]=0,0,Mecze[[#This Row],[PC]]/Mecze[[#This Row],[CZAS]])</f>
        <v>0.10416666666666667</v>
      </c>
      <c r="P1898" s="32">
        <f>IF(Mecze[[#This Row],[SC]]=0,0,Mecze[[#This Row],[SC]]/Mecze[[#This Row],[CZAS]])</f>
        <v>2.0833333333333332E-2</v>
      </c>
      <c r="Q1898" s="32">
        <f>IF(Mecze[[#This Row],[OB]]=0,0,Mecze[[#This Row],[OB]]/Mecze[[#This Row],[CZAS]])</f>
        <v>0</v>
      </c>
      <c r="R1898" s="32">
        <f>IF(Mecze[[#This Row],[BR]]=0,0,Mecze[[#This Row],[BR]]/Mecze[[#This Row],[CZAS]])</f>
        <v>0</v>
      </c>
      <c r="S1898" s="44">
        <f>IF(Mecze[[#This Row],[Role]]="BR",SUMPRODUCT(Mecze[[#This Row],[/PR:90]:[/BR:90]],Brudnopis!$E$23:$J$23),0)</f>
        <v>0</v>
      </c>
      <c r="T1898" s="44">
        <f>IF(Mecze[[#This Row],[Role]]&lt;&gt;"BR",SUMPRODUCT(Mecze[[#This Row],[/PR:90]:[/BR:90]],Brudnopis!$E$24:$J$24),0)</f>
        <v>0.18750000000000003</v>
      </c>
      <c r="U1898" s="44">
        <f>IF(Mecze[[#This Row],[Role]]&lt;&gt;"BR",SUMPRODUCT(Mecze[[#This Row],[/PR:90]:[/BR:90]],Brudnopis!$E$25:$J$25),0)</f>
        <v>0.22916666666666666</v>
      </c>
      <c r="V1898" s="44">
        <f>IF(Mecze[[#This Row],[Role]]&lt;&gt;"BR",SUMPRODUCT(Mecze[[#This Row],[/PR:90]:[/BR:90]],Brudnopis!$E$26:$J$26),0)</f>
        <v>0.17708333333333334</v>
      </c>
      <c r="W1898" s="44">
        <f>IF(Mecze[[#This Row],[Role]]&lt;&gt;"BR",SUMPRODUCT(Mecze[[#This Row],[/PR:90]:[/BR:90]],Brudnopis!$E$27:$J$27),0)</f>
        <v>0.21614583333333334</v>
      </c>
      <c r="X1898" s="44">
        <f>IF(Mecze[[#This Row],[Role]]&lt;&gt;"BR",SUMPRODUCT(Mecze[[#This Row],[/PR:90]:[/BR:90]],Brudnopis!$E$28:$J$28),0)</f>
        <v>0.14583333333333334</v>
      </c>
      <c r="Y1898" s="35">
        <f>IF(Mecze[[#This Row],[Role]]="BR",Mecze[[#This Row],[/OB:90]]+Mecze[[#This Row],[/PC:90]],SUM(Mecze[[#This Row],[/PR:90]:[/BR:90]]))</f>
        <v>0.17708333333333334</v>
      </c>
      <c r="Z1898" s="35">
        <f>IF(Mecze[[#This Row],[KC]]=0,SUM(Mecze[[#This Row],[/BRI]:[/NPI]]),SUM(Mecze[[#This Row],[/BRI]:[/NPI]])*0.6)</f>
        <v>0.95572916666666674</v>
      </c>
      <c r="AA1898" s="10">
        <f>IFERROR(Mecze[[#This Row],[BR]]/Mecze[[#This Row],[ST]],0)</f>
        <v>0</v>
      </c>
      <c r="AB1898">
        <f>ROUND(Mecze[[#This Row],[PD]]*Mecze[[#This Row],[%PC]],0)</f>
        <v>10</v>
      </c>
      <c r="AC1898">
        <f>ROUND(Mecze[[#This Row],[OD]]*Mecze[[#This Row],[%OU]],0)</f>
        <v>2</v>
      </c>
      <c r="AD1898" s="36" t="s">
        <v>44</v>
      </c>
      <c r="AE1898" s="36">
        <v>103</v>
      </c>
      <c r="AF1898" s="71">
        <v>5</v>
      </c>
      <c r="AG1898" s="37">
        <v>0</v>
      </c>
      <c r="AH1898" s="37">
        <v>0</v>
      </c>
      <c r="AI1898" s="37">
        <v>96</v>
      </c>
      <c r="AJ1898" s="37">
        <v>11</v>
      </c>
      <c r="AK1898" s="37" t="str">
        <f>VLOOKUP(Mecze[[#This Row],[Match ID]],Meczusie[Mecz]:Meczusie[RodzajMeczu],2,FALSE)</f>
        <v>Liga</v>
      </c>
    </row>
    <row r="1899" spans="1:37" x14ac:dyDescent="0.25">
      <c r="A1899" s="76">
        <v>5</v>
      </c>
      <c r="B1899" s="3" t="s">
        <v>325</v>
      </c>
      <c r="C1899" s="2" t="s">
        <v>165</v>
      </c>
      <c r="D1899" s="1">
        <v>0</v>
      </c>
      <c r="E1899" s="1">
        <v>1</v>
      </c>
      <c r="F1899" s="1">
        <v>1</v>
      </c>
      <c r="G1899" s="1">
        <v>7</v>
      </c>
      <c r="H1899" s="4">
        <v>0.86</v>
      </c>
      <c r="I1899" s="1">
        <v>0</v>
      </c>
      <c r="J1899" s="4"/>
      <c r="K1899" s="1">
        <v>0</v>
      </c>
      <c r="L1899" s="1">
        <v>0</v>
      </c>
      <c r="M1899" s="32">
        <f>IF(Mecze[[#This Row],[PR]]=0,0,Mecze[[#This Row],[PR]]/Mecze[[#This Row],[CZAS]])</f>
        <v>0</v>
      </c>
      <c r="N1899" s="32">
        <f>IF(Mecze[[#This Row],[OU]]=0,0,Mecze[[#This Row],[OU]]/Mecze[[#This Row],[CZAS]])</f>
        <v>0</v>
      </c>
      <c r="O1899" s="32">
        <f>IF(Mecze[[#This Row],[PC]]=0,0,Mecze[[#This Row],[PC]]/Mecze[[#This Row],[CZAS]])</f>
        <v>6.25E-2</v>
      </c>
      <c r="P1899" s="32">
        <f>IF(Mecze[[#This Row],[SC]]=0,0,Mecze[[#This Row],[SC]]/Mecze[[#This Row],[CZAS]])</f>
        <v>1.0416666666666666E-2</v>
      </c>
      <c r="Q1899" s="32">
        <f>IF(Mecze[[#This Row],[OB]]=0,0,Mecze[[#This Row],[OB]]/Mecze[[#This Row],[CZAS]])</f>
        <v>0</v>
      </c>
      <c r="R1899" s="32">
        <f>IF(Mecze[[#This Row],[BR]]=0,0,Mecze[[#This Row],[BR]]/Mecze[[#This Row],[CZAS]])</f>
        <v>0</v>
      </c>
      <c r="S1899" s="44">
        <f>IF(Mecze[[#This Row],[Role]]="BR",SUMPRODUCT(Mecze[[#This Row],[/PR:90]:[/BR:90]],Brudnopis!$E$23:$J$23),0)</f>
        <v>0</v>
      </c>
      <c r="T1899" s="44">
        <f>IF(Mecze[[#This Row],[Role]]&lt;&gt;"BR",SUMPRODUCT(Mecze[[#This Row],[/PR:90]:[/BR:90]],Brudnopis!$E$24:$J$24),0)</f>
        <v>7.2916666666666671E-2</v>
      </c>
      <c r="U1899" s="44">
        <f>IF(Mecze[[#This Row],[Role]]&lt;&gt;"BR",SUMPRODUCT(Mecze[[#This Row],[/PR:90]:[/BR:90]],Brudnopis!$E$25:$J$25),0)</f>
        <v>0.10416666666666667</v>
      </c>
      <c r="V1899" s="44">
        <f>IF(Mecze[[#This Row],[Role]]&lt;&gt;"BR",SUMPRODUCT(Mecze[[#This Row],[/PR:90]:[/BR:90]],Brudnopis!$E$26:$J$26),0)</f>
        <v>7.2916666666666671E-2</v>
      </c>
      <c r="W1899" s="44">
        <f>IF(Mecze[[#This Row],[Role]]&lt;&gt;"BR",SUMPRODUCT(Mecze[[#This Row],[/PR:90]:[/BR:90]],Brudnopis!$E$27:$J$27),0)</f>
        <v>0.10416666666666667</v>
      </c>
      <c r="X1899" s="44">
        <f>IF(Mecze[[#This Row],[Role]]&lt;&gt;"BR",SUMPRODUCT(Mecze[[#This Row],[/PR:90]:[/BR:90]],Brudnopis!$E$28:$J$28),0)</f>
        <v>8.3333333333333329E-2</v>
      </c>
      <c r="Y1899" s="35">
        <f>IF(Mecze[[#This Row],[Role]]="BR",Mecze[[#This Row],[/OB:90]]+Mecze[[#This Row],[/PC:90]],SUM(Mecze[[#This Row],[/PR:90]:[/BR:90]]))</f>
        <v>7.2916666666666671E-2</v>
      </c>
      <c r="Z1899" s="35">
        <f>IF(Mecze[[#This Row],[KC]]=0,SUM(Mecze[[#This Row],[/BRI]:[/NPI]]),SUM(Mecze[[#This Row],[/BRI]:[/NPI]])*0.6)</f>
        <v>0.4375</v>
      </c>
      <c r="AA1899" s="10">
        <f>IFERROR(Mecze[[#This Row],[BR]]/Mecze[[#This Row],[ST]],0)</f>
        <v>0</v>
      </c>
      <c r="AB1899">
        <f>ROUND(Mecze[[#This Row],[PD]]*Mecze[[#This Row],[%PC]],0)</f>
        <v>6</v>
      </c>
      <c r="AC1899">
        <f>ROUND(Mecze[[#This Row],[OD]]*Mecze[[#This Row],[%OU]],0)</f>
        <v>0</v>
      </c>
      <c r="AD1899" s="36" t="s">
        <v>355</v>
      </c>
      <c r="AE1899" s="36">
        <v>103</v>
      </c>
      <c r="AF1899" s="71">
        <v>5.18</v>
      </c>
      <c r="AG1899" s="37">
        <v>0</v>
      </c>
      <c r="AH1899" s="37">
        <v>0</v>
      </c>
      <c r="AI1899" s="37">
        <v>96</v>
      </c>
      <c r="AJ1899" s="37">
        <v>11</v>
      </c>
      <c r="AK1899" s="37" t="str">
        <f>VLOOKUP(Mecze[[#This Row],[Match ID]],Meczusie[Mecz]:Meczusie[RodzajMeczu],2,FALSE)</f>
        <v>Liga</v>
      </c>
    </row>
    <row r="1900" spans="1:37" x14ac:dyDescent="0.25">
      <c r="A1900" s="76">
        <v>14</v>
      </c>
      <c r="B1900" s="3" t="s">
        <v>330</v>
      </c>
      <c r="C1900" s="2" t="s">
        <v>165</v>
      </c>
      <c r="D1900" s="1">
        <v>2</v>
      </c>
      <c r="E1900" s="1">
        <v>10</v>
      </c>
      <c r="F1900" s="1">
        <v>9</v>
      </c>
      <c r="G1900" s="1">
        <v>4</v>
      </c>
      <c r="H1900" s="4">
        <v>0.25</v>
      </c>
      <c r="I1900" s="1">
        <v>4</v>
      </c>
      <c r="J1900" s="4">
        <v>0.25</v>
      </c>
      <c r="K1900" s="1">
        <v>0</v>
      </c>
      <c r="L1900" s="1">
        <v>0</v>
      </c>
      <c r="M1900" s="32">
        <f>IF(Mecze[[#This Row],[PR]]=0,0,Mecze[[#This Row],[PR]]/Mecze[[#This Row],[CZAS]])</f>
        <v>0</v>
      </c>
      <c r="N1900" s="32">
        <f>IF(Mecze[[#This Row],[OU]]=0,0,Mecze[[#This Row],[OU]]/Mecze[[#This Row],[CZAS]])</f>
        <v>1.0416666666666666E-2</v>
      </c>
      <c r="O1900" s="32">
        <f>IF(Mecze[[#This Row],[PC]]=0,0,Mecze[[#This Row],[PC]]/Mecze[[#This Row],[CZAS]])</f>
        <v>1.0416666666666666E-2</v>
      </c>
      <c r="P1900" s="32">
        <f>IF(Mecze[[#This Row],[SC]]=0,0,Mecze[[#This Row],[SC]]/Mecze[[#This Row],[CZAS]])</f>
        <v>9.375E-2</v>
      </c>
      <c r="Q1900" s="32">
        <f>IF(Mecze[[#This Row],[OB]]=0,0,Mecze[[#This Row],[OB]]/Mecze[[#This Row],[CZAS]])</f>
        <v>0</v>
      </c>
      <c r="R1900" s="32">
        <f>IF(Mecze[[#This Row],[BR]]=0,0,Mecze[[#This Row],[BR]]/Mecze[[#This Row],[CZAS]])</f>
        <v>2.0833333333333332E-2</v>
      </c>
      <c r="S1900" s="44">
        <f>IF(Mecze[[#This Row],[Role]]="BR",SUMPRODUCT(Mecze[[#This Row],[/PR:90]:[/BR:90]],Brudnopis!$E$23:$J$23),0)</f>
        <v>0</v>
      </c>
      <c r="T1900" s="44">
        <f>IF(Mecze[[#This Row],[Role]]&lt;&gt;"BR",SUMPRODUCT(Mecze[[#This Row],[/PR:90]:[/BR:90]],Brudnopis!$E$24:$J$24),0)</f>
        <v>0.15104166666666666</v>
      </c>
      <c r="U1900" s="44">
        <f>IF(Mecze[[#This Row],[Role]]&lt;&gt;"BR",SUMPRODUCT(Mecze[[#This Row],[/PR:90]:[/BR:90]],Brudnopis!$E$25:$J$25),0)</f>
        <v>0.15104166666666666</v>
      </c>
      <c r="V1900" s="44">
        <f>IF(Mecze[[#This Row],[Role]]&lt;&gt;"BR",SUMPRODUCT(Mecze[[#This Row],[/PR:90]:[/BR:90]],Brudnopis!$E$26:$J$26),0)</f>
        <v>0.15625</v>
      </c>
      <c r="W1900" s="44">
        <f>IF(Mecze[[#This Row],[Role]]&lt;&gt;"BR",SUMPRODUCT(Mecze[[#This Row],[/PR:90]:[/BR:90]],Brudnopis!$E$27:$J$27),0)</f>
        <v>0.15885416666666666</v>
      </c>
      <c r="X1900" s="44">
        <f>IF(Mecze[[#This Row],[Role]]&lt;&gt;"BR",SUMPRODUCT(Mecze[[#This Row],[/PR:90]:[/BR:90]],Brudnopis!$E$28:$J$28),0)</f>
        <v>0.26041666666666663</v>
      </c>
      <c r="Y1900" s="35">
        <f>IF(Mecze[[#This Row],[Role]]="BR",Mecze[[#This Row],[/OB:90]]+Mecze[[#This Row],[/PC:90]],SUM(Mecze[[#This Row],[/PR:90]:[/BR:90]]))</f>
        <v>0.13541666666666666</v>
      </c>
      <c r="Z1900" s="35">
        <f>IF(Mecze[[#This Row],[KC]]=0,SUM(Mecze[[#This Row],[/BRI]:[/NPI]]),SUM(Mecze[[#This Row],[/BRI]:[/NPI]])*0.6)</f>
        <v>0.87760416666666663</v>
      </c>
      <c r="AA1900" s="10">
        <f>IFERROR(Mecze[[#This Row],[BR]]/Mecze[[#This Row],[ST]],0)</f>
        <v>0.2</v>
      </c>
      <c r="AB1900">
        <f>ROUND(Mecze[[#This Row],[PD]]*Mecze[[#This Row],[%PC]],0)</f>
        <v>1</v>
      </c>
      <c r="AC1900">
        <f>ROUND(Mecze[[#This Row],[OD]]*Mecze[[#This Row],[%OU]],0)</f>
        <v>1</v>
      </c>
      <c r="AD1900" s="36" t="s">
        <v>46</v>
      </c>
      <c r="AE1900" s="36">
        <v>103</v>
      </c>
      <c r="AF1900" s="71">
        <v>9.2899999999999991</v>
      </c>
      <c r="AG1900" s="37">
        <v>0</v>
      </c>
      <c r="AH1900" s="37">
        <v>0</v>
      </c>
      <c r="AI1900" s="37">
        <v>96</v>
      </c>
      <c r="AJ1900" s="37">
        <v>11</v>
      </c>
      <c r="AK1900" s="37" t="str">
        <f>VLOOKUP(Mecze[[#This Row],[Match ID]],Meczusie[Mecz]:Meczusie[RodzajMeczu],2,FALSE)</f>
        <v>Liga</v>
      </c>
    </row>
    <row r="1901" spans="1:37" x14ac:dyDescent="0.25">
      <c r="A1901" s="76">
        <v>10</v>
      </c>
      <c r="B1901" s="3" t="s">
        <v>328</v>
      </c>
      <c r="C1901" s="2" t="s">
        <v>165</v>
      </c>
      <c r="D1901" s="1">
        <v>0</v>
      </c>
      <c r="E1901" s="1">
        <v>3</v>
      </c>
      <c r="F1901" s="1">
        <v>3</v>
      </c>
      <c r="G1901" s="1">
        <v>14</v>
      </c>
      <c r="H1901" s="4">
        <v>0.71</v>
      </c>
      <c r="I1901" s="1">
        <v>0</v>
      </c>
      <c r="J1901" s="4"/>
      <c r="K1901" s="1">
        <v>0</v>
      </c>
      <c r="L1901" s="1">
        <v>0</v>
      </c>
      <c r="M1901" s="32">
        <f>IF(Mecze[[#This Row],[PR]]=0,0,Mecze[[#This Row],[PR]]/Mecze[[#This Row],[CZAS]])</f>
        <v>0</v>
      </c>
      <c r="N1901" s="32">
        <f>IF(Mecze[[#This Row],[OU]]=0,0,Mecze[[#This Row],[OU]]/Mecze[[#This Row],[CZAS]])</f>
        <v>0</v>
      </c>
      <c r="O1901" s="32">
        <f>IF(Mecze[[#This Row],[PC]]=0,0,Mecze[[#This Row],[PC]]/Mecze[[#This Row],[CZAS]])</f>
        <v>0.10416666666666667</v>
      </c>
      <c r="P1901" s="32">
        <f>IF(Mecze[[#This Row],[SC]]=0,0,Mecze[[#This Row],[SC]]/Mecze[[#This Row],[CZAS]])</f>
        <v>3.125E-2</v>
      </c>
      <c r="Q1901" s="32">
        <f>IF(Mecze[[#This Row],[OB]]=0,0,Mecze[[#This Row],[OB]]/Mecze[[#This Row],[CZAS]])</f>
        <v>0</v>
      </c>
      <c r="R1901" s="32">
        <f>IF(Mecze[[#This Row],[BR]]=0,0,Mecze[[#This Row],[BR]]/Mecze[[#This Row],[CZAS]])</f>
        <v>0</v>
      </c>
      <c r="S1901" s="44">
        <f>IF(Mecze[[#This Row],[Role]]="BR",SUMPRODUCT(Mecze[[#This Row],[/PR:90]:[/BR:90]],Brudnopis!$E$23:$J$23),0)</f>
        <v>0</v>
      </c>
      <c r="T1901" s="44">
        <f>IF(Mecze[[#This Row],[Role]]&lt;&gt;"BR",SUMPRODUCT(Mecze[[#This Row],[/PR:90]:[/BR:90]],Brudnopis!$E$24:$J$24),0)</f>
        <v>0.13541666666666669</v>
      </c>
      <c r="U1901" s="44">
        <f>IF(Mecze[[#This Row],[Role]]&lt;&gt;"BR",SUMPRODUCT(Mecze[[#This Row],[/PR:90]:[/BR:90]],Brudnopis!$E$25:$J$25),0)</f>
        <v>0.1875</v>
      </c>
      <c r="V1901" s="44">
        <f>IF(Mecze[[#This Row],[Role]]&lt;&gt;"BR",SUMPRODUCT(Mecze[[#This Row],[/PR:90]:[/BR:90]],Brudnopis!$E$26:$J$26),0)</f>
        <v>0.13541666666666669</v>
      </c>
      <c r="W1901" s="44">
        <f>IF(Mecze[[#This Row],[Role]]&lt;&gt;"BR",SUMPRODUCT(Mecze[[#This Row],[/PR:90]:[/BR:90]],Brudnopis!$E$27:$J$27),0)</f>
        <v>0.1875</v>
      </c>
      <c r="X1901" s="44">
        <f>IF(Mecze[[#This Row],[Role]]&lt;&gt;"BR",SUMPRODUCT(Mecze[[#This Row],[/PR:90]:[/BR:90]],Brudnopis!$E$28:$J$28),0)</f>
        <v>0.16666666666666669</v>
      </c>
      <c r="Y1901" s="35">
        <f>IF(Mecze[[#This Row],[Role]]="BR",Mecze[[#This Row],[/OB:90]]+Mecze[[#This Row],[/PC:90]],SUM(Mecze[[#This Row],[/PR:90]:[/BR:90]]))</f>
        <v>0.13541666666666669</v>
      </c>
      <c r="Z1901" s="35">
        <f>IF(Mecze[[#This Row],[KC]]=0,SUM(Mecze[[#This Row],[/BRI]:[/NPI]]),SUM(Mecze[[#This Row],[/BRI]:[/NPI]])*0.6)</f>
        <v>0.8125</v>
      </c>
      <c r="AA1901" s="10">
        <f>IFERROR(Mecze[[#This Row],[BR]]/Mecze[[#This Row],[ST]],0)</f>
        <v>0</v>
      </c>
      <c r="AB1901">
        <f>ROUND(Mecze[[#This Row],[PD]]*Mecze[[#This Row],[%PC]],0)</f>
        <v>10</v>
      </c>
      <c r="AC1901">
        <f>ROUND(Mecze[[#This Row],[OD]]*Mecze[[#This Row],[%OU]],0)</f>
        <v>0</v>
      </c>
      <c r="AD1901" s="36" t="s">
        <v>272</v>
      </c>
      <c r="AE1901" s="36">
        <v>103</v>
      </c>
      <c r="AF1901" s="71">
        <v>4.7</v>
      </c>
      <c r="AG1901" s="37">
        <v>0</v>
      </c>
      <c r="AH1901" s="37">
        <v>0</v>
      </c>
      <c r="AI1901" s="37">
        <v>96</v>
      </c>
      <c r="AJ1901" s="37">
        <v>11</v>
      </c>
      <c r="AK1901" s="37" t="str">
        <f>VLOOKUP(Mecze[[#This Row],[Match ID]],Meczusie[Mecz]:Meczusie[RodzajMeczu],2,FALSE)</f>
        <v>Liga</v>
      </c>
    </row>
    <row r="1902" spans="1:37" x14ac:dyDescent="0.25">
      <c r="A1902" s="76">
        <v>39</v>
      </c>
      <c r="B1902" s="3" t="s">
        <v>450</v>
      </c>
      <c r="C1902" s="2" t="s">
        <v>155</v>
      </c>
      <c r="D1902" s="1">
        <v>0</v>
      </c>
      <c r="E1902" s="1">
        <v>0</v>
      </c>
      <c r="F1902" s="1">
        <v>0</v>
      </c>
      <c r="G1902" s="1">
        <v>12</v>
      </c>
      <c r="H1902" s="4">
        <v>0.33</v>
      </c>
      <c r="I1902" s="1">
        <v>0</v>
      </c>
      <c r="J1902" s="4"/>
      <c r="K1902" s="1">
        <v>14</v>
      </c>
      <c r="L1902" s="1">
        <v>0</v>
      </c>
      <c r="M1902" s="32">
        <f>IF(Mecze[[#This Row],[PR]]=0,0,Mecze[[#This Row],[PR]]/Mecze[[#This Row],[CZAS]])</f>
        <v>0</v>
      </c>
      <c r="N1902" s="32">
        <f>IF(Mecze[[#This Row],[OU]]=0,0,Mecze[[#This Row],[OU]]/Mecze[[#This Row],[CZAS]])</f>
        <v>0</v>
      </c>
      <c r="O1902" s="32">
        <f>IF(Mecze[[#This Row],[PC]]=0,0,Mecze[[#This Row],[PC]]/Mecze[[#This Row],[CZAS]])</f>
        <v>4.1666666666666664E-2</v>
      </c>
      <c r="P1902" s="32">
        <f>IF(Mecze[[#This Row],[SC]]=0,0,Mecze[[#This Row],[SC]]/Mecze[[#This Row],[CZAS]])</f>
        <v>0</v>
      </c>
      <c r="Q1902" s="32">
        <f>IF(Mecze[[#This Row],[OB]]=0,0,Mecze[[#This Row],[OB]]/Mecze[[#This Row],[CZAS]])</f>
        <v>0.14583333333333334</v>
      </c>
      <c r="R1902" s="32">
        <f>IF(Mecze[[#This Row],[BR]]=0,0,Mecze[[#This Row],[BR]]/Mecze[[#This Row],[CZAS]])</f>
        <v>0</v>
      </c>
      <c r="S1902" s="44">
        <f>IF(Mecze[[#This Row],[Role]]="BR",SUMPRODUCT(Mecze[[#This Row],[/PR:90]:[/BR:90]],Brudnopis!$E$23:$J$23),0)</f>
        <v>0.5625</v>
      </c>
      <c r="T1902" s="44">
        <f>IF(Mecze[[#This Row],[Role]]&lt;&gt;"BR",SUMPRODUCT(Mecze[[#This Row],[/PR:90]:[/BR:90]],Brudnopis!$E$24:$J$24),0)</f>
        <v>0</v>
      </c>
      <c r="U1902" s="44">
        <f>IF(Mecze[[#This Row],[Role]]&lt;&gt;"BR",SUMPRODUCT(Mecze[[#This Row],[/PR:90]:[/BR:90]],Brudnopis!$E$25:$J$25),0)</f>
        <v>0</v>
      </c>
      <c r="V1902" s="44">
        <f>IF(Mecze[[#This Row],[Role]]&lt;&gt;"BR",SUMPRODUCT(Mecze[[#This Row],[/PR:90]:[/BR:90]],Brudnopis!$E$26:$J$26),0)</f>
        <v>0</v>
      </c>
      <c r="W1902" s="44">
        <f>IF(Mecze[[#This Row],[Role]]&lt;&gt;"BR",SUMPRODUCT(Mecze[[#This Row],[/PR:90]:[/BR:90]],Brudnopis!$E$27:$J$27),0)</f>
        <v>0</v>
      </c>
      <c r="X1902" s="44">
        <f>IF(Mecze[[#This Row],[Role]]&lt;&gt;"BR",SUMPRODUCT(Mecze[[#This Row],[/PR:90]:[/BR:90]],Brudnopis!$E$28:$J$28),0)</f>
        <v>0</v>
      </c>
      <c r="Y1902" s="35">
        <f>IF(Mecze[[#This Row],[Role]]="BR",Mecze[[#This Row],[/OB:90]]+Mecze[[#This Row],[/PC:90]],SUM(Mecze[[#This Row],[/PR:90]:[/BR:90]]))</f>
        <v>0.1875</v>
      </c>
      <c r="Z1902" s="35">
        <f>IF(Mecze[[#This Row],[KC]]=0,SUM(Mecze[[#This Row],[/BRI]:[/NPI]]),SUM(Mecze[[#This Row],[/BRI]:[/NPI]])*0.6)</f>
        <v>0.5625</v>
      </c>
      <c r="AA1902" s="10">
        <f>IFERROR(Mecze[[#This Row],[BR]]/Mecze[[#This Row],[ST]],0)</f>
        <v>0</v>
      </c>
      <c r="AB1902">
        <f>ROUND(Mecze[[#This Row],[PD]]*Mecze[[#This Row],[%PC]],0)</f>
        <v>4</v>
      </c>
      <c r="AC1902">
        <f>ROUND(Mecze[[#This Row],[OD]]*Mecze[[#This Row],[%OU]],0)</f>
        <v>0</v>
      </c>
      <c r="AD1902" s="36" t="s">
        <v>40</v>
      </c>
      <c r="AE1902" s="36">
        <v>104</v>
      </c>
      <c r="AF1902" s="71">
        <v>5.48</v>
      </c>
      <c r="AG1902" s="37">
        <v>0</v>
      </c>
      <c r="AH1902" s="37">
        <v>0</v>
      </c>
      <c r="AI1902" s="37">
        <v>96</v>
      </c>
      <c r="AJ1902" s="37">
        <v>1</v>
      </c>
      <c r="AK1902" s="37" t="str">
        <f>VLOOKUP(Mecze[[#This Row],[Match ID]],Meczusie[Mecz]:Meczusie[RodzajMeczu],2,FALSE)</f>
        <v>Towarzyski</v>
      </c>
    </row>
    <row r="1903" spans="1:37" x14ac:dyDescent="0.25">
      <c r="A1903" s="76">
        <v>38</v>
      </c>
      <c r="B1903" s="3" t="s">
        <v>359</v>
      </c>
      <c r="C1903" s="2" t="s">
        <v>157</v>
      </c>
      <c r="D1903" s="1">
        <v>0</v>
      </c>
      <c r="E1903" s="1">
        <v>0</v>
      </c>
      <c r="F1903" s="1">
        <v>0</v>
      </c>
      <c r="G1903" s="1">
        <v>8</v>
      </c>
      <c r="H1903" s="4">
        <v>0</v>
      </c>
      <c r="I1903" s="1">
        <v>3</v>
      </c>
      <c r="J1903" s="4">
        <v>0.33</v>
      </c>
      <c r="K1903" s="1">
        <v>0</v>
      </c>
      <c r="L1903" s="1">
        <v>6</v>
      </c>
      <c r="M1903" s="32">
        <f>IF(Mecze[[#This Row],[PR]]=0,0,Mecze[[#This Row],[PR]]/Mecze[[#This Row],[CZAS]])</f>
        <v>6.25E-2</v>
      </c>
      <c r="N1903" s="32">
        <f>IF(Mecze[[#This Row],[OU]]=0,0,Mecze[[#This Row],[OU]]/Mecze[[#This Row],[CZAS]])</f>
        <v>1.0416666666666666E-2</v>
      </c>
      <c r="O1903" s="32">
        <f>IF(Mecze[[#This Row],[PC]]=0,0,Mecze[[#This Row],[PC]]/Mecze[[#This Row],[CZAS]])</f>
        <v>0</v>
      </c>
      <c r="P1903" s="32">
        <f>IF(Mecze[[#This Row],[SC]]=0,0,Mecze[[#This Row],[SC]]/Mecze[[#This Row],[CZAS]])</f>
        <v>0</v>
      </c>
      <c r="Q1903" s="32">
        <f>IF(Mecze[[#This Row],[OB]]=0,0,Mecze[[#This Row],[OB]]/Mecze[[#This Row],[CZAS]])</f>
        <v>0</v>
      </c>
      <c r="R1903" s="32">
        <f>IF(Mecze[[#This Row],[BR]]=0,0,Mecze[[#This Row],[BR]]/Mecze[[#This Row],[CZAS]])</f>
        <v>0</v>
      </c>
      <c r="S1903" s="44">
        <f>IF(Mecze[[#This Row],[Role]]="BR",SUMPRODUCT(Mecze[[#This Row],[/PR:90]:[/BR:90]],Brudnopis!$E$23:$J$23),0)</f>
        <v>0</v>
      </c>
      <c r="T1903" s="44">
        <f>IF(Mecze[[#This Row],[Role]]&lt;&gt;"BR",SUMPRODUCT(Mecze[[#This Row],[/PR:90]:[/BR:90]],Brudnopis!$E$24:$J$24),0)</f>
        <v>7.8125E-2</v>
      </c>
      <c r="U1903" s="44">
        <f>IF(Mecze[[#This Row],[Role]]&lt;&gt;"BR",SUMPRODUCT(Mecze[[#This Row],[/PR:90]:[/BR:90]],Brudnopis!$E$25:$J$25),0)</f>
        <v>7.2916666666666671E-2</v>
      </c>
      <c r="V1903" s="44">
        <f>IF(Mecze[[#This Row],[Role]]&lt;&gt;"BR",SUMPRODUCT(Mecze[[#This Row],[/PR:90]:[/BR:90]],Brudnopis!$E$26:$J$26),0)</f>
        <v>7.2916666666666671E-2</v>
      </c>
      <c r="W1903" s="44">
        <f>IF(Mecze[[#This Row],[Role]]&lt;&gt;"BR",SUMPRODUCT(Mecze[[#This Row],[/PR:90]:[/BR:90]],Brudnopis!$E$27:$J$27),0)</f>
        <v>5.46875E-2</v>
      </c>
      <c r="X1903" s="44">
        <f>IF(Mecze[[#This Row],[Role]]&lt;&gt;"BR",SUMPRODUCT(Mecze[[#This Row],[/PR:90]:[/BR:90]],Brudnopis!$E$28:$J$28),0)</f>
        <v>0</v>
      </c>
      <c r="Y1903" s="35">
        <f>IF(Mecze[[#This Row],[Role]]="BR",Mecze[[#This Row],[/OB:90]]+Mecze[[#This Row],[/PC:90]],SUM(Mecze[[#This Row],[/PR:90]:[/BR:90]]))</f>
        <v>7.2916666666666671E-2</v>
      </c>
      <c r="Z1903" s="35">
        <f>IF(Mecze[[#This Row],[KC]]=0,SUM(Mecze[[#This Row],[/BRI]:[/NPI]]),SUM(Mecze[[#This Row],[/BRI]:[/NPI]])*0.6)</f>
        <v>0.27864583333333337</v>
      </c>
      <c r="AA1903" s="10">
        <f>IFERROR(Mecze[[#This Row],[BR]]/Mecze[[#This Row],[ST]],0)</f>
        <v>0</v>
      </c>
      <c r="AB1903">
        <f>ROUND(Mecze[[#This Row],[PD]]*Mecze[[#This Row],[%PC]],0)</f>
        <v>0</v>
      </c>
      <c r="AC1903">
        <f>ROUND(Mecze[[#This Row],[OD]]*Mecze[[#This Row],[%OU]],0)</f>
        <v>1</v>
      </c>
      <c r="AD1903" s="36" t="s">
        <v>47</v>
      </c>
      <c r="AE1903" s="36">
        <v>104</v>
      </c>
      <c r="AF1903" s="71">
        <v>1.84</v>
      </c>
      <c r="AG1903" s="37">
        <v>0</v>
      </c>
      <c r="AH1903" s="37">
        <v>0</v>
      </c>
      <c r="AI1903" s="37">
        <v>96</v>
      </c>
      <c r="AJ1903" s="37">
        <v>1</v>
      </c>
      <c r="AK1903" s="37" t="str">
        <f>VLOOKUP(Mecze[[#This Row],[Match ID]],Meczusie[Mecz]:Meczusie[RodzajMeczu],2,FALSE)</f>
        <v>Towarzyski</v>
      </c>
    </row>
    <row r="1904" spans="1:37" x14ac:dyDescent="0.25">
      <c r="A1904" s="76">
        <v>17</v>
      </c>
      <c r="B1904" s="3" t="s">
        <v>413</v>
      </c>
      <c r="C1904" s="2" t="s">
        <v>157</v>
      </c>
      <c r="D1904" s="1">
        <v>0</v>
      </c>
      <c r="E1904" s="1">
        <v>0</v>
      </c>
      <c r="F1904" s="1">
        <v>0</v>
      </c>
      <c r="G1904" s="1">
        <v>8</v>
      </c>
      <c r="H1904" s="4">
        <v>0.5</v>
      </c>
      <c r="I1904" s="1">
        <v>8</v>
      </c>
      <c r="J1904" s="4">
        <v>0.25</v>
      </c>
      <c r="K1904" s="1">
        <v>0</v>
      </c>
      <c r="L1904" s="1">
        <v>6</v>
      </c>
      <c r="M1904" s="32">
        <f>IF(Mecze[[#This Row],[PR]]=0,0,Mecze[[#This Row],[PR]]/Mecze[[#This Row],[CZAS]])</f>
        <v>6.25E-2</v>
      </c>
      <c r="N1904" s="32">
        <f>IF(Mecze[[#This Row],[OU]]=0,0,Mecze[[#This Row],[OU]]/Mecze[[#This Row],[CZAS]])</f>
        <v>2.0833333333333332E-2</v>
      </c>
      <c r="O1904" s="32">
        <f>IF(Mecze[[#This Row],[PC]]=0,0,Mecze[[#This Row],[PC]]/Mecze[[#This Row],[CZAS]])</f>
        <v>4.1666666666666664E-2</v>
      </c>
      <c r="P1904" s="32">
        <f>IF(Mecze[[#This Row],[SC]]=0,0,Mecze[[#This Row],[SC]]/Mecze[[#This Row],[CZAS]])</f>
        <v>0</v>
      </c>
      <c r="Q1904" s="32">
        <f>IF(Mecze[[#This Row],[OB]]=0,0,Mecze[[#This Row],[OB]]/Mecze[[#This Row],[CZAS]])</f>
        <v>0</v>
      </c>
      <c r="R1904" s="32">
        <f>IF(Mecze[[#This Row],[BR]]=0,0,Mecze[[#This Row],[BR]]/Mecze[[#This Row],[CZAS]])</f>
        <v>0</v>
      </c>
      <c r="S1904" s="44">
        <f>IF(Mecze[[#This Row],[Role]]="BR",SUMPRODUCT(Mecze[[#This Row],[/PR:90]:[/BR:90]],Brudnopis!$E$23:$J$23),0)</f>
        <v>0</v>
      </c>
      <c r="T1904" s="44">
        <f>IF(Mecze[[#This Row],[Role]]&lt;&gt;"BR",SUMPRODUCT(Mecze[[#This Row],[/PR:90]:[/BR:90]],Brudnopis!$E$24:$J$24),0)</f>
        <v>0.13541666666666666</v>
      </c>
      <c r="U1904" s="44">
        <f>IF(Mecze[[#This Row],[Role]]&lt;&gt;"BR",SUMPRODUCT(Mecze[[#This Row],[/PR:90]:[/BR:90]],Brudnopis!$E$25:$J$25),0)</f>
        <v>0.14583333333333331</v>
      </c>
      <c r="V1904" s="44">
        <f>IF(Mecze[[#This Row],[Role]]&lt;&gt;"BR",SUMPRODUCT(Mecze[[#This Row],[/PR:90]:[/BR:90]],Brudnopis!$E$26:$J$26),0)</f>
        <v>0.125</v>
      </c>
      <c r="W1904" s="44">
        <f>IF(Mecze[[#This Row],[Role]]&lt;&gt;"BR",SUMPRODUCT(Mecze[[#This Row],[/PR:90]:[/BR:90]],Brudnopis!$E$27:$J$27),0)</f>
        <v>0.125</v>
      </c>
      <c r="X1904" s="44">
        <f>IF(Mecze[[#This Row],[Role]]&lt;&gt;"BR",SUMPRODUCT(Mecze[[#This Row],[/PR:90]:[/BR:90]],Brudnopis!$E$28:$J$28),0)</f>
        <v>4.1666666666666664E-2</v>
      </c>
      <c r="Y1904" s="35">
        <f>IF(Mecze[[#This Row],[Role]]="BR",Mecze[[#This Row],[/OB:90]]+Mecze[[#This Row],[/PC:90]],SUM(Mecze[[#This Row],[/PR:90]:[/BR:90]]))</f>
        <v>0.125</v>
      </c>
      <c r="Z1904" s="35">
        <f>IF(Mecze[[#This Row],[KC]]=0,SUM(Mecze[[#This Row],[/BRI]:[/NPI]]),SUM(Mecze[[#This Row],[/BRI]:[/NPI]])*0.6)</f>
        <v>0.57291666666666663</v>
      </c>
      <c r="AA1904" s="10">
        <f>IFERROR(Mecze[[#This Row],[BR]]/Mecze[[#This Row],[ST]],0)</f>
        <v>0</v>
      </c>
      <c r="AB1904">
        <f>ROUND(Mecze[[#This Row],[PD]]*Mecze[[#This Row],[%PC]],0)</f>
        <v>4</v>
      </c>
      <c r="AC1904">
        <f>ROUND(Mecze[[#This Row],[OD]]*Mecze[[#This Row],[%OU]],0)</f>
        <v>2</v>
      </c>
      <c r="AD1904" s="36" t="s">
        <v>167</v>
      </c>
      <c r="AE1904" s="36">
        <v>104</v>
      </c>
      <c r="AF1904" s="71">
        <v>1.84</v>
      </c>
      <c r="AG1904" s="37">
        <v>0</v>
      </c>
      <c r="AH1904" s="37">
        <v>0</v>
      </c>
      <c r="AI1904" s="37">
        <v>96</v>
      </c>
      <c r="AJ1904" s="37">
        <v>1</v>
      </c>
      <c r="AK1904" s="37" t="str">
        <f>VLOOKUP(Mecze[[#This Row],[Match ID]],Meczusie[Mecz]:Meczusie[RodzajMeczu],2,FALSE)</f>
        <v>Towarzyski</v>
      </c>
    </row>
    <row r="1905" spans="1:37" x14ac:dyDescent="0.25">
      <c r="A1905" s="76">
        <v>4</v>
      </c>
      <c r="B1905" s="3" t="s">
        <v>360</v>
      </c>
      <c r="C1905" s="2" t="s">
        <v>157</v>
      </c>
      <c r="D1905" s="1">
        <v>0</v>
      </c>
      <c r="E1905" s="1">
        <v>0</v>
      </c>
      <c r="F1905" s="1">
        <v>0</v>
      </c>
      <c r="G1905" s="1">
        <v>6</v>
      </c>
      <c r="H1905" s="4">
        <v>0.5</v>
      </c>
      <c r="I1905" s="1">
        <v>4</v>
      </c>
      <c r="J1905" s="4">
        <v>0.75</v>
      </c>
      <c r="K1905" s="1">
        <v>0</v>
      </c>
      <c r="L1905" s="1">
        <v>6</v>
      </c>
      <c r="M1905" s="32">
        <f>IF(Mecze[[#This Row],[PR]]=0,0,Mecze[[#This Row],[PR]]/Mecze[[#This Row],[CZAS]])</f>
        <v>6.25E-2</v>
      </c>
      <c r="N1905" s="32">
        <f>IF(Mecze[[#This Row],[OU]]=0,0,Mecze[[#This Row],[OU]]/Mecze[[#This Row],[CZAS]])</f>
        <v>3.125E-2</v>
      </c>
      <c r="O1905" s="32">
        <f>IF(Mecze[[#This Row],[PC]]=0,0,Mecze[[#This Row],[PC]]/Mecze[[#This Row],[CZAS]])</f>
        <v>3.125E-2</v>
      </c>
      <c r="P1905" s="32">
        <f>IF(Mecze[[#This Row],[SC]]=0,0,Mecze[[#This Row],[SC]]/Mecze[[#This Row],[CZAS]])</f>
        <v>0</v>
      </c>
      <c r="Q1905" s="32">
        <f>IF(Mecze[[#This Row],[OB]]=0,0,Mecze[[#This Row],[OB]]/Mecze[[#This Row],[CZAS]])</f>
        <v>0</v>
      </c>
      <c r="R1905" s="32">
        <f>IF(Mecze[[#This Row],[BR]]=0,0,Mecze[[#This Row],[BR]]/Mecze[[#This Row],[CZAS]])</f>
        <v>0</v>
      </c>
      <c r="S1905" s="44">
        <f>IF(Mecze[[#This Row],[Role]]="BR",SUMPRODUCT(Mecze[[#This Row],[/PR:90]:[/BR:90]],Brudnopis!$E$23:$J$23),0)</f>
        <v>0</v>
      </c>
      <c r="T1905" s="44">
        <f>IF(Mecze[[#This Row],[Role]]&lt;&gt;"BR",SUMPRODUCT(Mecze[[#This Row],[/PR:90]:[/BR:90]],Brudnopis!$E$24:$J$24),0)</f>
        <v>0.140625</v>
      </c>
      <c r="U1905" s="44">
        <f>IF(Mecze[[#This Row],[Role]]&lt;&gt;"BR",SUMPRODUCT(Mecze[[#This Row],[/PR:90]:[/BR:90]],Brudnopis!$E$25:$J$25),0)</f>
        <v>0.140625</v>
      </c>
      <c r="V1905" s="44">
        <f>IF(Mecze[[#This Row],[Role]]&lt;&gt;"BR",SUMPRODUCT(Mecze[[#This Row],[/PR:90]:[/BR:90]],Brudnopis!$E$26:$J$26),0)</f>
        <v>0.125</v>
      </c>
      <c r="W1905" s="44">
        <f>IF(Mecze[[#This Row],[Role]]&lt;&gt;"BR",SUMPRODUCT(Mecze[[#This Row],[/PR:90]:[/BR:90]],Brudnopis!$E$27:$J$27),0)</f>
        <v>0.1171875</v>
      </c>
      <c r="X1905" s="44">
        <f>IF(Mecze[[#This Row],[Role]]&lt;&gt;"BR",SUMPRODUCT(Mecze[[#This Row],[/PR:90]:[/BR:90]],Brudnopis!$E$28:$J$28),0)</f>
        <v>3.125E-2</v>
      </c>
      <c r="Y1905" s="35">
        <f>IF(Mecze[[#This Row],[Role]]="BR",Mecze[[#This Row],[/OB:90]]+Mecze[[#This Row],[/PC:90]],SUM(Mecze[[#This Row],[/PR:90]:[/BR:90]]))</f>
        <v>0.125</v>
      </c>
      <c r="Z1905" s="35">
        <f>IF(Mecze[[#This Row],[KC]]=0,SUM(Mecze[[#This Row],[/BRI]:[/NPI]]),SUM(Mecze[[#This Row],[/BRI]:[/NPI]])*0.6)</f>
        <v>0.5546875</v>
      </c>
      <c r="AA1905" s="10">
        <f>IFERROR(Mecze[[#This Row],[BR]]/Mecze[[#This Row],[ST]],0)</f>
        <v>0</v>
      </c>
      <c r="AB1905">
        <f>ROUND(Mecze[[#This Row],[PD]]*Mecze[[#This Row],[%PC]],0)</f>
        <v>3</v>
      </c>
      <c r="AC1905">
        <f>ROUND(Mecze[[#This Row],[OD]]*Mecze[[#This Row],[%OU]],0)</f>
        <v>3</v>
      </c>
      <c r="AD1905" s="36" t="s">
        <v>168</v>
      </c>
      <c r="AE1905" s="36">
        <v>104</v>
      </c>
      <c r="AF1905" s="71">
        <v>2.96</v>
      </c>
      <c r="AG1905" s="37">
        <v>0</v>
      </c>
      <c r="AH1905" s="37">
        <v>0</v>
      </c>
      <c r="AI1905" s="37">
        <v>96</v>
      </c>
      <c r="AJ1905" s="37">
        <v>1</v>
      </c>
      <c r="AK1905" s="37" t="str">
        <f>VLOOKUP(Mecze[[#This Row],[Match ID]],Meczusie[Mecz]:Meczusie[RodzajMeczu],2,FALSE)</f>
        <v>Towarzyski</v>
      </c>
    </row>
    <row r="1906" spans="1:37" x14ac:dyDescent="0.25">
      <c r="A1906" s="76">
        <v>40</v>
      </c>
      <c r="B1906" s="3" t="s">
        <v>453</v>
      </c>
      <c r="C1906" s="2" t="s">
        <v>160</v>
      </c>
      <c r="D1906" s="1">
        <v>0</v>
      </c>
      <c r="E1906" s="1">
        <v>0</v>
      </c>
      <c r="F1906" s="1">
        <v>0</v>
      </c>
      <c r="G1906" s="1">
        <v>13</v>
      </c>
      <c r="H1906" s="4">
        <v>0.38</v>
      </c>
      <c r="I1906" s="1">
        <v>6</v>
      </c>
      <c r="J1906" s="4">
        <v>0.17</v>
      </c>
      <c r="K1906" s="1">
        <v>0</v>
      </c>
      <c r="L1906" s="1">
        <v>9</v>
      </c>
      <c r="M1906" s="32">
        <f>IF(Mecze[[#This Row],[PR]]=0,0,Mecze[[#This Row],[PR]]/Mecze[[#This Row],[CZAS]])</f>
        <v>9.375E-2</v>
      </c>
      <c r="N1906" s="32">
        <f>IF(Mecze[[#This Row],[OU]]=0,0,Mecze[[#This Row],[OU]]/Mecze[[#This Row],[CZAS]])</f>
        <v>1.0416666666666666E-2</v>
      </c>
      <c r="O1906" s="32">
        <f>IF(Mecze[[#This Row],[PC]]=0,0,Mecze[[#This Row],[PC]]/Mecze[[#This Row],[CZAS]])</f>
        <v>5.2083333333333336E-2</v>
      </c>
      <c r="P1906" s="32">
        <f>IF(Mecze[[#This Row],[SC]]=0,0,Mecze[[#This Row],[SC]]/Mecze[[#This Row],[CZAS]])</f>
        <v>0</v>
      </c>
      <c r="Q1906" s="32">
        <f>IF(Mecze[[#This Row],[OB]]=0,0,Mecze[[#This Row],[OB]]/Mecze[[#This Row],[CZAS]])</f>
        <v>0</v>
      </c>
      <c r="R1906" s="32">
        <f>IF(Mecze[[#This Row],[BR]]=0,0,Mecze[[#This Row],[BR]]/Mecze[[#This Row],[CZAS]])</f>
        <v>0</v>
      </c>
      <c r="S1906" s="44">
        <f>IF(Mecze[[#This Row],[Role]]="BR",SUMPRODUCT(Mecze[[#This Row],[/PR:90]:[/BR:90]],Brudnopis!$E$23:$J$23),0)</f>
        <v>0</v>
      </c>
      <c r="T1906" s="44">
        <f>IF(Mecze[[#This Row],[Role]]&lt;&gt;"BR",SUMPRODUCT(Mecze[[#This Row],[/PR:90]:[/BR:90]],Brudnopis!$E$24:$J$24),0)</f>
        <v>0.16145833333333334</v>
      </c>
      <c r="U1906" s="44">
        <f>IF(Mecze[[#This Row],[Role]]&lt;&gt;"BR",SUMPRODUCT(Mecze[[#This Row],[/PR:90]:[/BR:90]],Brudnopis!$E$25:$J$25),0)</f>
        <v>0.18229166666666669</v>
      </c>
      <c r="V1906" s="44">
        <f>IF(Mecze[[#This Row],[Role]]&lt;&gt;"BR",SUMPRODUCT(Mecze[[#This Row],[/PR:90]:[/BR:90]],Brudnopis!$E$26:$J$26),0)</f>
        <v>0.15625</v>
      </c>
      <c r="W1906" s="44">
        <f>IF(Mecze[[#This Row],[Role]]&lt;&gt;"BR",SUMPRODUCT(Mecze[[#This Row],[/PR:90]:[/BR:90]],Brudnopis!$E$27:$J$27),0)</f>
        <v>0.15625</v>
      </c>
      <c r="X1906" s="44">
        <f>IF(Mecze[[#This Row],[Role]]&lt;&gt;"BR",SUMPRODUCT(Mecze[[#This Row],[/PR:90]:[/BR:90]],Brudnopis!$E$28:$J$28),0)</f>
        <v>5.2083333333333336E-2</v>
      </c>
      <c r="Y1906" s="35">
        <f>IF(Mecze[[#This Row],[Role]]="BR",Mecze[[#This Row],[/OB:90]]+Mecze[[#This Row],[/PC:90]],SUM(Mecze[[#This Row],[/PR:90]:[/BR:90]]))</f>
        <v>0.15625</v>
      </c>
      <c r="Z1906" s="35">
        <f>IF(Mecze[[#This Row],[KC]]=0,SUM(Mecze[[#This Row],[/BRI]:[/NPI]]),SUM(Mecze[[#This Row],[/BRI]:[/NPI]])*0.6)</f>
        <v>0.70833333333333337</v>
      </c>
      <c r="AA1906" s="10">
        <f>IFERROR(Mecze[[#This Row],[BR]]/Mecze[[#This Row],[ST]],0)</f>
        <v>0</v>
      </c>
      <c r="AB1906">
        <f>ROUND(Mecze[[#This Row],[PD]]*Mecze[[#This Row],[%PC]],0)</f>
        <v>5</v>
      </c>
      <c r="AC1906">
        <f>ROUND(Mecze[[#This Row],[OD]]*Mecze[[#This Row],[%OU]],0)</f>
        <v>1</v>
      </c>
      <c r="AD1906" s="36" t="s">
        <v>41</v>
      </c>
      <c r="AE1906" s="36">
        <v>104</v>
      </c>
      <c r="AF1906" s="71">
        <v>4.59</v>
      </c>
      <c r="AG1906" s="37">
        <v>0</v>
      </c>
      <c r="AH1906" s="37">
        <v>0</v>
      </c>
      <c r="AI1906" s="37">
        <v>96</v>
      </c>
      <c r="AJ1906" s="37">
        <v>1</v>
      </c>
      <c r="AK1906" s="37" t="str">
        <f>VLOOKUP(Mecze[[#This Row],[Match ID]],Meczusie[Mecz]:Meczusie[RodzajMeczu],2,FALSE)</f>
        <v>Towarzyski</v>
      </c>
    </row>
    <row r="1907" spans="1:37" x14ac:dyDescent="0.25">
      <c r="A1907" s="76">
        <v>22</v>
      </c>
      <c r="B1907" s="3" t="s">
        <v>363</v>
      </c>
      <c r="C1907" s="2" t="s">
        <v>160</v>
      </c>
      <c r="D1907" s="1">
        <v>0</v>
      </c>
      <c r="E1907" s="1">
        <v>0</v>
      </c>
      <c r="F1907" s="1">
        <v>0</v>
      </c>
      <c r="G1907" s="1">
        <v>5</v>
      </c>
      <c r="H1907" s="4">
        <v>0.6</v>
      </c>
      <c r="I1907" s="1">
        <v>9</v>
      </c>
      <c r="J1907" s="4">
        <v>0.33</v>
      </c>
      <c r="K1907" s="1">
        <v>0</v>
      </c>
      <c r="L1907" s="1">
        <v>5</v>
      </c>
      <c r="M1907" s="32">
        <f>IF(Mecze[[#This Row],[PR]]=0,0,Mecze[[#This Row],[PR]]/Mecze[[#This Row],[CZAS]])</f>
        <v>5.2083333333333336E-2</v>
      </c>
      <c r="N1907" s="32">
        <f>IF(Mecze[[#This Row],[OU]]=0,0,Mecze[[#This Row],[OU]]/Mecze[[#This Row],[CZAS]])</f>
        <v>3.125E-2</v>
      </c>
      <c r="O1907" s="32">
        <f>IF(Mecze[[#This Row],[PC]]=0,0,Mecze[[#This Row],[PC]]/Mecze[[#This Row],[CZAS]])</f>
        <v>3.125E-2</v>
      </c>
      <c r="P1907" s="32">
        <f>IF(Mecze[[#This Row],[SC]]=0,0,Mecze[[#This Row],[SC]]/Mecze[[#This Row],[CZAS]])</f>
        <v>0</v>
      </c>
      <c r="Q1907" s="32">
        <f>IF(Mecze[[#This Row],[OB]]=0,0,Mecze[[#This Row],[OB]]/Mecze[[#This Row],[CZAS]])</f>
        <v>0</v>
      </c>
      <c r="R1907" s="32">
        <f>IF(Mecze[[#This Row],[BR]]=0,0,Mecze[[#This Row],[BR]]/Mecze[[#This Row],[CZAS]])</f>
        <v>0</v>
      </c>
      <c r="S1907" s="44">
        <f>IF(Mecze[[#This Row],[Role]]="BR",SUMPRODUCT(Mecze[[#This Row],[/PR:90]:[/BR:90]],Brudnopis!$E$23:$J$23),0)</f>
        <v>0</v>
      </c>
      <c r="T1907" s="44">
        <f>IF(Mecze[[#This Row],[Role]]&lt;&gt;"BR",SUMPRODUCT(Mecze[[#This Row],[/PR:90]:[/BR:90]],Brudnopis!$E$24:$J$24),0)</f>
        <v>0.13020833333333334</v>
      </c>
      <c r="U1907" s="44">
        <f>IF(Mecze[[#This Row],[Role]]&lt;&gt;"BR",SUMPRODUCT(Mecze[[#This Row],[/PR:90]:[/BR:90]],Brudnopis!$E$25:$J$25),0)</f>
        <v>0.13020833333333334</v>
      </c>
      <c r="V1907" s="44">
        <f>IF(Mecze[[#This Row],[Role]]&lt;&gt;"BR",SUMPRODUCT(Mecze[[#This Row],[/PR:90]:[/BR:90]],Brudnopis!$E$26:$J$26),0)</f>
        <v>0.11458333333333334</v>
      </c>
      <c r="W1907" s="44">
        <f>IF(Mecze[[#This Row],[Role]]&lt;&gt;"BR",SUMPRODUCT(Mecze[[#This Row],[/PR:90]:[/BR:90]],Brudnopis!$E$27:$J$27),0)</f>
        <v>0.109375</v>
      </c>
      <c r="X1907" s="44">
        <f>IF(Mecze[[#This Row],[Role]]&lt;&gt;"BR",SUMPRODUCT(Mecze[[#This Row],[/PR:90]:[/BR:90]],Brudnopis!$E$28:$J$28),0)</f>
        <v>3.125E-2</v>
      </c>
      <c r="Y1907" s="35">
        <f>IF(Mecze[[#This Row],[Role]]="BR",Mecze[[#This Row],[/OB:90]]+Mecze[[#This Row],[/PC:90]],SUM(Mecze[[#This Row],[/PR:90]:[/BR:90]]))</f>
        <v>0.11458333333333334</v>
      </c>
      <c r="Z1907" s="35">
        <f>IF(Mecze[[#This Row],[KC]]=0,SUM(Mecze[[#This Row],[/BRI]:[/NPI]]),SUM(Mecze[[#This Row],[/BRI]:[/NPI]])*0.6)</f>
        <v>0.515625</v>
      </c>
      <c r="AA1907" s="10">
        <f>IFERROR(Mecze[[#This Row],[BR]]/Mecze[[#This Row],[ST]],0)</f>
        <v>0</v>
      </c>
      <c r="AB1907">
        <f>ROUND(Mecze[[#This Row],[PD]]*Mecze[[#This Row],[%PC]],0)</f>
        <v>3</v>
      </c>
      <c r="AC1907">
        <f>ROUND(Mecze[[#This Row],[OD]]*Mecze[[#This Row],[%OU]],0)</f>
        <v>3</v>
      </c>
      <c r="AD1907" s="36" t="s">
        <v>41</v>
      </c>
      <c r="AE1907" s="36">
        <v>104</v>
      </c>
      <c r="AF1907" s="71">
        <v>4.96</v>
      </c>
      <c r="AG1907" s="37">
        <v>0</v>
      </c>
      <c r="AH1907" s="37">
        <v>0</v>
      </c>
      <c r="AI1907" s="37">
        <v>96</v>
      </c>
      <c r="AJ1907" s="37">
        <v>1</v>
      </c>
      <c r="AK1907" s="37" t="str">
        <f>VLOOKUP(Mecze[[#This Row],[Match ID]],Meczusie[Mecz]:Meczusie[RodzajMeczu],2,FALSE)</f>
        <v>Towarzyski</v>
      </c>
    </row>
    <row r="1908" spans="1:37" x14ac:dyDescent="0.25">
      <c r="A1908" s="76">
        <v>25</v>
      </c>
      <c r="B1908" s="3" t="s">
        <v>366</v>
      </c>
      <c r="C1908" s="2" t="s">
        <v>160</v>
      </c>
      <c r="D1908" s="1">
        <v>0</v>
      </c>
      <c r="E1908" s="1">
        <v>1</v>
      </c>
      <c r="F1908" s="1">
        <v>0</v>
      </c>
      <c r="G1908" s="1">
        <v>5</v>
      </c>
      <c r="H1908" s="4">
        <v>0.8</v>
      </c>
      <c r="I1908" s="1">
        <v>4</v>
      </c>
      <c r="J1908" s="4">
        <v>0.5</v>
      </c>
      <c r="K1908" s="1">
        <v>0</v>
      </c>
      <c r="L1908" s="1">
        <v>4</v>
      </c>
      <c r="M1908" s="32">
        <f>IF(Mecze[[#This Row],[PR]]=0,0,Mecze[[#This Row],[PR]]/Mecze[[#This Row],[CZAS]])</f>
        <v>4.1666666666666664E-2</v>
      </c>
      <c r="N1908" s="32">
        <f>IF(Mecze[[#This Row],[OU]]=0,0,Mecze[[#This Row],[OU]]/Mecze[[#This Row],[CZAS]])</f>
        <v>2.0833333333333332E-2</v>
      </c>
      <c r="O1908" s="32">
        <f>IF(Mecze[[#This Row],[PC]]=0,0,Mecze[[#This Row],[PC]]/Mecze[[#This Row],[CZAS]])</f>
        <v>4.1666666666666664E-2</v>
      </c>
      <c r="P1908" s="32">
        <f>IF(Mecze[[#This Row],[SC]]=0,0,Mecze[[#This Row],[SC]]/Mecze[[#This Row],[CZAS]])</f>
        <v>0</v>
      </c>
      <c r="Q1908" s="32">
        <f>IF(Mecze[[#This Row],[OB]]=0,0,Mecze[[#This Row],[OB]]/Mecze[[#This Row],[CZAS]])</f>
        <v>0</v>
      </c>
      <c r="R1908" s="32">
        <f>IF(Mecze[[#This Row],[BR]]=0,0,Mecze[[#This Row],[BR]]/Mecze[[#This Row],[CZAS]])</f>
        <v>0</v>
      </c>
      <c r="S1908" s="44">
        <f>IF(Mecze[[#This Row],[Role]]="BR",SUMPRODUCT(Mecze[[#This Row],[/PR:90]:[/BR:90]],Brudnopis!$E$23:$J$23),0)</f>
        <v>0</v>
      </c>
      <c r="T1908" s="44">
        <f>IF(Mecze[[#This Row],[Role]]&lt;&gt;"BR",SUMPRODUCT(Mecze[[#This Row],[/PR:90]:[/BR:90]],Brudnopis!$E$24:$J$24),0)</f>
        <v>0.11458333333333331</v>
      </c>
      <c r="U1908" s="44">
        <f>IF(Mecze[[#This Row],[Role]]&lt;&gt;"BR",SUMPRODUCT(Mecze[[#This Row],[/PR:90]:[/BR:90]],Brudnopis!$E$25:$J$25),0)</f>
        <v>0.125</v>
      </c>
      <c r="V1908" s="44">
        <f>IF(Mecze[[#This Row],[Role]]&lt;&gt;"BR",SUMPRODUCT(Mecze[[#This Row],[/PR:90]:[/BR:90]],Brudnopis!$E$26:$J$26),0)</f>
        <v>0.10416666666666666</v>
      </c>
      <c r="W1908" s="44">
        <f>IF(Mecze[[#This Row],[Role]]&lt;&gt;"BR",SUMPRODUCT(Mecze[[#This Row],[/PR:90]:[/BR:90]],Brudnopis!$E$27:$J$27),0)</f>
        <v>0.109375</v>
      </c>
      <c r="X1908" s="44">
        <f>IF(Mecze[[#This Row],[Role]]&lt;&gt;"BR",SUMPRODUCT(Mecze[[#This Row],[/PR:90]:[/BR:90]],Brudnopis!$E$28:$J$28),0)</f>
        <v>4.1666666666666664E-2</v>
      </c>
      <c r="Y1908" s="35">
        <f>IF(Mecze[[#This Row],[Role]]="BR",Mecze[[#This Row],[/OB:90]]+Mecze[[#This Row],[/PC:90]],SUM(Mecze[[#This Row],[/PR:90]:[/BR:90]]))</f>
        <v>0.10416666666666666</v>
      </c>
      <c r="Z1908" s="35">
        <f>IF(Mecze[[#This Row],[KC]]=0,SUM(Mecze[[#This Row],[/BRI]:[/NPI]]),SUM(Mecze[[#This Row],[/BRI]:[/NPI]])*0.6)</f>
        <v>0.49479166666666669</v>
      </c>
      <c r="AA1908" s="10">
        <f>IFERROR(Mecze[[#This Row],[BR]]/Mecze[[#This Row],[ST]],0)</f>
        <v>0</v>
      </c>
      <c r="AB1908">
        <f>ROUND(Mecze[[#This Row],[PD]]*Mecze[[#This Row],[%PC]],0)</f>
        <v>4</v>
      </c>
      <c r="AC1908">
        <f>ROUND(Mecze[[#This Row],[OD]]*Mecze[[#This Row],[%OU]],0)</f>
        <v>2</v>
      </c>
      <c r="AD1908" s="36" t="s">
        <v>44</v>
      </c>
      <c r="AE1908" s="36">
        <v>104</v>
      </c>
      <c r="AF1908" s="71">
        <v>5.66</v>
      </c>
      <c r="AG1908" s="37">
        <v>0</v>
      </c>
      <c r="AH1908" s="37">
        <v>0</v>
      </c>
      <c r="AI1908" s="37">
        <v>96</v>
      </c>
      <c r="AJ1908" s="37">
        <v>1</v>
      </c>
      <c r="AK1908" s="37" t="str">
        <f>VLOOKUP(Mecze[[#This Row],[Match ID]],Meczusie[Mecz]:Meczusie[RodzajMeczu],2,FALSE)</f>
        <v>Towarzyski</v>
      </c>
    </row>
    <row r="1909" spans="1:37" x14ac:dyDescent="0.25">
      <c r="A1909" s="76">
        <v>28</v>
      </c>
      <c r="B1909" s="3" t="s">
        <v>419</v>
      </c>
      <c r="C1909" s="2" t="s">
        <v>160</v>
      </c>
      <c r="D1909" s="1">
        <v>0</v>
      </c>
      <c r="E1909" s="1">
        <v>0</v>
      </c>
      <c r="F1909" s="1">
        <v>0</v>
      </c>
      <c r="G1909" s="1">
        <v>5</v>
      </c>
      <c r="H1909" s="4">
        <v>0.8</v>
      </c>
      <c r="I1909" s="1">
        <v>3</v>
      </c>
      <c r="J1909" s="4">
        <v>0</v>
      </c>
      <c r="K1909" s="1">
        <v>0</v>
      </c>
      <c r="L1909" s="1">
        <v>1</v>
      </c>
      <c r="M1909" s="32">
        <f>IF(Mecze[[#This Row],[PR]]=0,0,Mecze[[#This Row],[PR]]/Mecze[[#This Row],[CZAS]])</f>
        <v>1.0416666666666666E-2</v>
      </c>
      <c r="N1909" s="32">
        <f>IF(Mecze[[#This Row],[OU]]=0,0,Mecze[[#This Row],[OU]]/Mecze[[#This Row],[CZAS]])</f>
        <v>0</v>
      </c>
      <c r="O1909" s="32">
        <f>IF(Mecze[[#This Row],[PC]]=0,0,Mecze[[#This Row],[PC]]/Mecze[[#This Row],[CZAS]])</f>
        <v>4.1666666666666664E-2</v>
      </c>
      <c r="P1909" s="32">
        <f>IF(Mecze[[#This Row],[SC]]=0,0,Mecze[[#This Row],[SC]]/Mecze[[#This Row],[CZAS]])</f>
        <v>0</v>
      </c>
      <c r="Q1909" s="32">
        <f>IF(Mecze[[#This Row],[OB]]=0,0,Mecze[[#This Row],[OB]]/Mecze[[#This Row],[CZAS]])</f>
        <v>0</v>
      </c>
      <c r="R1909" s="32">
        <f>IF(Mecze[[#This Row],[BR]]=0,0,Mecze[[#This Row],[BR]]/Mecze[[#This Row],[CZAS]])</f>
        <v>0</v>
      </c>
      <c r="S1909" s="44">
        <f>IF(Mecze[[#This Row],[Role]]="BR",SUMPRODUCT(Mecze[[#This Row],[/PR:90]:[/BR:90]],Brudnopis!$E$23:$J$23),0)</f>
        <v>0</v>
      </c>
      <c r="T1909" s="44">
        <f>IF(Mecze[[#This Row],[Role]]&lt;&gt;"BR",SUMPRODUCT(Mecze[[#This Row],[/PR:90]:[/BR:90]],Brudnopis!$E$24:$J$24),0)</f>
        <v>5.2083333333333329E-2</v>
      </c>
      <c r="U1909" s="44">
        <f>IF(Mecze[[#This Row],[Role]]&lt;&gt;"BR",SUMPRODUCT(Mecze[[#This Row],[/PR:90]:[/BR:90]],Brudnopis!$E$25:$J$25),0)</f>
        <v>7.2916666666666671E-2</v>
      </c>
      <c r="V1909" s="44">
        <f>IF(Mecze[[#This Row],[Role]]&lt;&gt;"BR",SUMPRODUCT(Mecze[[#This Row],[/PR:90]:[/BR:90]],Brudnopis!$E$26:$J$26),0)</f>
        <v>5.2083333333333329E-2</v>
      </c>
      <c r="W1909" s="44">
        <f>IF(Mecze[[#This Row],[Role]]&lt;&gt;"BR",SUMPRODUCT(Mecze[[#This Row],[/PR:90]:[/BR:90]],Brudnopis!$E$27:$J$27),0)</f>
        <v>7.03125E-2</v>
      </c>
      <c r="X1909" s="44">
        <f>IF(Mecze[[#This Row],[Role]]&lt;&gt;"BR",SUMPRODUCT(Mecze[[#This Row],[/PR:90]:[/BR:90]],Brudnopis!$E$28:$J$28),0)</f>
        <v>4.1666666666666664E-2</v>
      </c>
      <c r="Y1909" s="35">
        <f>IF(Mecze[[#This Row],[Role]]="BR",Mecze[[#This Row],[/OB:90]]+Mecze[[#This Row],[/PC:90]],SUM(Mecze[[#This Row],[/PR:90]:[/BR:90]]))</f>
        <v>5.2083333333333329E-2</v>
      </c>
      <c r="Z1909" s="35">
        <f>IF(Mecze[[#This Row],[KC]]=0,SUM(Mecze[[#This Row],[/BRI]:[/NPI]]),SUM(Mecze[[#This Row],[/BRI]:[/NPI]])*0.6)</f>
        <v>0.2890625</v>
      </c>
      <c r="AA1909" s="10">
        <f>IFERROR(Mecze[[#This Row],[BR]]/Mecze[[#This Row],[ST]],0)</f>
        <v>0</v>
      </c>
      <c r="AB1909">
        <f>ROUND(Mecze[[#This Row],[PD]]*Mecze[[#This Row],[%PC]],0)</f>
        <v>4</v>
      </c>
      <c r="AC1909">
        <f>ROUND(Mecze[[#This Row],[OD]]*Mecze[[#This Row],[%OU]],0)</f>
        <v>0</v>
      </c>
      <c r="AD1909" s="36" t="s">
        <v>44</v>
      </c>
      <c r="AE1909" s="36">
        <v>104</v>
      </c>
      <c r="AF1909" s="71">
        <v>5.03</v>
      </c>
      <c r="AG1909" s="37">
        <v>0</v>
      </c>
      <c r="AH1909" s="37">
        <v>0</v>
      </c>
      <c r="AI1909" s="37">
        <v>96</v>
      </c>
      <c r="AJ1909" s="37">
        <v>1</v>
      </c>
      <c r="AK1909" s="37" t="str">
        <f>VLOOKUP(Mecze[[#This Row],[Match ID]],Meczusie[Mecz]:Meczusie[RodzajMeczu],2,FALSE)</f>
        <v>Towarzyski</v>
      </c>
    </row>
    <row r="1910" spans="1:37" x14ac:dyDescent="0.25">
      <c r="A1910" s="76">
        <v>27</v>
      </c>
      <c r="B1910" s="3" t="s">
        <v>364</v>
      </c>
      <c r="C1910" s="2" t="s">
        <v>165</v>
      </c>
      <c r="D1910" s="1">
        <v>0</v>
      </c>
      <c r="E1910" s="1">
        <v>0</v>
      </c>
      <c r="F1910" s="1">
        <v>0</v>
      </c>
      <c r="G1910" s="1">
        <v>13</v>
      </c>
      <c r="H1910" s="4">
        <v>0.54</v>
      </c>
      <c r="I1910" s="1">
        <v>2</v>
      </c>
      <c r="J1910" s="4">
        <v>1</v>
      </c>
      <c r="K1910" s="1">
        <v>0</v>
      </c>
      <c r="L1910" s="1">
        <v>1</v>
      </c>
      <c r="M1910" s="32">
        <f>IF(Mecze[[#This Row],[PR]]=0,0,Mecze[[#This Row],[PR]]/Mecze[[#This Row],[CZAS]])</f>
        <v>1.0416666666666666E-2</v>
      </c>
      <c r="N1910" s="32">
        <f>IF(Mecze[[#This Row],[OU]]=0,0,Mecze[[#This Row],[OU]]/Mecze[[#This Row],[CZAS]])</f>
        <v>2.0833333333333332E-2</v>
      </c>
      <c r="O1910" s="32">
        <f>IF(Mecze[[#This Row],[PC]]=0,0,Mecze[[#This Row],[PC]]/Mecze[[#This Row],[CZAS]])</f>
        <v>7.2916666666666671E-2</v>
      </c>
      <c r="P1910" s="32">
        <f>IF(Mecze[[#This Row],[SC]]=0,0,Mecze[[#This Row],[SC]]/Mecze[[#This Row],[CZAS]])</f>
        <v>0</v>
      </c>
      <c r="Q1910" s="32">
        <f>IF(Mecze[[#This Row],[OB]]=0,0,Mecze[[#This Row],[OB]]/Mecze[[#This Row],[CZAS]])</f>
        <v>0</v>
      </c>
      <c r="R1910" s="32">
        <f>IF(Mecze[[#This Row],[BR]]=0,0,Mecze[[#This Row],[BR]]/Mecze[[#This Row],[CZAS]])</f>
        <v>0</v>
      </c>
      <c r="S1910" s="44">
        <f>IF(Mecze[[#This Row],[Role]]="BR",SUMPRODUCT(Mecze[[#This Row],[/PR:90]:[/BR:90]],Brudnopis!$E$23:$J$23),0)</f>
        <v>0</v>
      </c>
      <c r="T1910" s="44">
        <f>IF(Mecze[[#This Row],[Role]]&lt;&gt;"BR",SUMPRODUCT(Mecze[[#This Row],[/PR:90]:[/BR:90]],Brudnopis!$E$24:$J$24),0)</f>
        <v>0.11458333333333334</v>
      </c>
      <c r="U1910" s="44">
        <f>IF(Mecze[[#This Row],[Role]]&lt;&gt;"BR",SUMPRODUCT(Mecze[[#This Row],[/PR:90]:[/BR:90]],Brudnopis!$E$25:$J$25),0)</f>
        <v>0.140625</v>
      </c>
      <c r="V1910" s="44">
        <f>IF(Mecze[[#This Row],[Role]]&lt;&gt;"BR",SUMPRODUCT(Mecze[[#This Row],[/PR:90]:[/BR:90]],Brudnopis!$E$26:$J$26),0)</f>
        <v>0.10416666666666667</v>
      </c>
      <c r="W1910" s="44">
        <f>IF(Mecze[[#This Row],[Role]]&lt;&gt;"BR",SUMPRODUCT(Mecze[[#This Row],[/PR:90]:[/BR:90]],Brudnopis!$E$27:$J$27),0)</f>
        <v>0.1328125</v>
      </c>
      <c r="X1910" s="44">
        <f>IF(Mecze[[#This Row],[Role]]&lt;&gt;"BR",SUMPRODUCT(Mecze[[#This Row],[/PR:90]:[/BR:90]],Brudnopis!$E$28:$J$28),0)</f>
        <v>7.2916666666666671E-2</v>
      </c>
      <c r="Y1910" s="35">
        <f>IF(Mecze[[#This Row],[Role]]="BR",Mecze[[#This Row],[/OB:90]]+Mecze[[#This Row],[/PC:90]],SUM(Mecze[[#This Row],[/PR:90]:[/BR:90]]))</f>
        <v>0.10416666666666667</v>
      </c>
      <c r="Z1910" s="35">
        <f>IF(Mecze[[#This Row],[KC]]=0,SUM(Mecze[[#This Row],[/BRI]:[/NPI]]),SUM(Mecze[[#This Row],[/BRI]:[/NPI]])*0.6)</f>
        <v>0.56510416666666674</v>
      </c>
      <c r="AA1910" s="10">
        <f>IFERROR(Mecze[[#This Row],[BR]]/Mecze[[#This Row],[ST]],0)</f>
        <v>0</v>
      </c>
      <c r="AB1910">
        <f>ROUND(Mecze[[#This Row],[PD]]*Mecze[[#This Row],[%PC]],0)</f>
        <v>7</v>
      </c>
      <c r="AC1910">
        <f>ROUND(Mecze[[#This Row],[OD]]*Mecze[[#This Row],[%OU]],0)</f>
        <v>2</v>
      </c>
      <c r="AD1910" s="36" t="s">
        <v>46</v>
      </c>
      <c r="AE1910" s="36">
        <v>104</v>
      </c>
      <c r="AF1910" s="71">
        <v>4.04</v>
      </c>
      <c r="AG1910" s="37">
        <v>0</v>
      </c>
      <c r="AH1910" s="37">
        <v>0</v>
      </c>
      <c r="AI1910" s="37">
        <v>96</v>
      </c>
      <c r="AJ1910" s="37">
        <v>1</v>
      </c>
      <c r="AK1910" s="37" t="str">
        <f>VLOOKUP(Mecze[[#This Row],[Match ID]],Meczusie[Mecz]:Meczusie[RodzajMeczu],2,FALSE)</f>
        <v>Towarzyski</v>
      </c>
    </row>
    <row r="1911" spans="1:37" x14ac:dyDescent="0.25">
      <c r="A1911" s="76">
        <v>61</v>
      </c>
      <c r="B1911" s="3" t="s">
        <v>454</v>
      </c>
      <c r="C1911" s="2" t="s">
        <v>165</v>
      </c>
      <c r="D1911" s="1">
        <v>0</v>
      </c>
      <c r="E1911" s="1">
        <v>6</v>
      </c>
      <c r="F1911" s="1">
        <v>5</v>
      </c>
      <c r="G1911" s="1">
        <v>2</v>
      </c>
      <c r="H1911" s="4">
        <v>1</v>
      </c>
      <c r="I1911" s="1">
        <v>3</v>
      </c>
      <c r="J1911" s="4">
        <v>0.33</v>
      </c>
      <c r="K1911" s="1">
        <v>0</v>
      </c>
      <c r="L1911" s="1">
        <v>0</v>
      </c>
      <c r="M1911" s="32">
        <f>IF(Mecze[[#This Row],[PR]]=0,0,Mecze[[#This Row],[PR]]/Mecze[[#This Row],[CZAS]])</f>
        <v>0</v>
      </c>
      <c r="N1911" s="32">
        <f>IF(Mecze[[#This Row],[OU]]=0,0,Mecze[[#This Row],[OU]]/Mecze[[#This Row],[CZAS]])</f>
        <v>1.0416666666666666E-2</v>
      </c>
      <c r="O1911" s="32">
        <f>IF(Mecze[[#This Row],[PC]]=0,0,Mecze[[#This Row],[PC]]/Mecze[[#This Row],[CZAS]])</f>
        <v>2.0833333333333332E-2</v>
      </c>
      <c r="P1911" s="32">
        <f>IF(Mecze[[#This Row],[SC]]=0,0,Mecze[[#This Row],[SC]]/Mecze[[#This Row],[CZAS]])</f>
        <v>5.2083333333333336E-2</v>
      </c>
      <c r="Q1911" s="32">
        <f>IF(Mecze[[#This Row],[OB]]=0,0,Mecze[[#This Row],[OB]]/Mecze[[#This Row],[CZAS]])</f>
        <v>0</v>
      </c>
      <c r="R1911" s="32">
        <f>IF(Mecze[[#This Row],[BR]]=0,0,Mecze[[#This Row],[BR]]/Mecze[[#This Row],[CZAS]])</f>
        <v>0</v>
      </c>
      <c r="S1911" s="44">
        <f>IF(Mecze[[#This Row],[Role]]="BR",SUMPRODUCT(Mecze[[#This Row],[/PR:90]:[/BR:90]],Brudnopis!$E$23:$J$23),0)</f>
        <v>0</v>
      </c>
      <c r="T1911" s="44">
        <f>IF(Mecze[[#This Row],[Role]]&lt;&gt;"BR",SUMPRODUCT(Mecze[[#This Row],[/PR:90]:[/BR:90]],Brudnopis!$E$24:$J$24),0)</f>
        <v>8.8541666666666657E-2</v>
      </c>
      <c r="U1911" s="44">
        <f>IF(Mecze[[#This Row],[Role]]&lt;&gt;"BR",SUMPRODUCT(Mecze[[#This Row],[/PR:90]:[/BR:90]],Brudnopis!$E$25:$J$25),0)</f>
        <v>9.375E-2</v>
      </c>
      <c r="V1911" s="44">
        <f>IF(Mecze[[#This Row],[Role]]&lt;&gt;"BR",SUMPRODUCT(Mecze[[#This Row],[/PR:90]:[/BR:90]],Brudnopis!$E$26:$J$26),0)</f>
        <v>8.3333333333333343E-2</v>
      </c>
      <c r="W1911" s="44">
        <f>IF(Mecze[[#This Row],[Role]]&lt;&gt;"BR",SUMPRODUCT(Mecze[[#This Row],[/PR:90]:[/BR:90]],Brudnopis!$E$27:$J$27),0)</f>
        <v>9.1145833333333343E-2</v>
      </c>
      <c r="X1911" s="44">
        <f>IF(Mecze[[#This Row],[Role]]&lt;&gt;"BR",SUMPRODUCT(Mecze[[#This Row],[/PR:90]:[/BR:90]],Brudnopis!$E$28:$J$28),0)</f>
        <v>0.125</v>
      </c>
      <c r="Y1911" s="35">
        <f>IF(Mecze[[#This Row],[Role]]="BR",Mecze[[#This Row],[/OB:90]]+Mecze[[#This Row],[/PC:90]],SUM(Mecze[[#This Row],[/PR:90]:[/BR:90]]))</f>
        <v>8.3333333333333343E-2</v>
      </c>
      <c r="Z1911" s="35">
        <f>IF(Mecze[[#This Row],[KC]]=0,SUM(Mecze[[#This Row],[/BRI]:[/NPI]]),SUM(Mecze[[#This Row],[/BRI]:[/NPI]])*0.6)</f>
        <v>0.48177083333333337</v>
      </c>
      <c r="AA1911" s="10">
        <f>IFERROR(Mecze[[#This Row],[BR]]/Mecze[[#This Row],[ST]],0)</f>
        <v>0</v>
      </c>
      <c r="AB1911">
        <f>ROUND(Mecze[[#This Row],[PD]]*Mecze[[#This Row],[%PC]],0)</f>
        <v>2</v>
      </c>
      <c r="AC1911">
        <f>ROUND(Mecze[[#This Row],[OD]]*Mecze[[#This Row],[%OU]],0)</f>
        <v>1</v>
      </c>
      <c r="AD1911" s="36" t="s">
        <v>46</v>
      </c>
      <c r="AE1911" s="36">
        <v>104</v>
      </c>
      <c r="AF1911" s="71">
        <v>3.81</v>
      </c>
      <c r="AG1911" s="37">
        <v>0</v>
      </c>
      <c r="AH1911" s="37">
        <v>0</v>
      </c>
      <c r="AI1911" s="37">
        <v>96</v>
      </c>
      <c r="AJ1911" s="37">
        <v>1</v>
      </c>
      <c r="AK1911" s="37" t="str">
        <f>VLOOKUP(Mecze[[#This Row],[Match ID]],Meczusie[Mecz]:Meczusie[RodzajMeczu],2,FALSE)</f>
        <v>Towarzyski</v>
      </c>
    </row>
    <row r="1912" spans="1:37" x14ac:dyDescent="0.25">
      <c r="A1912" s="76">
        <v>31</v>
      </c>
      <c r="B1912" s="3" t="s">
        <v>365</v>
      </c>
      <c r="C1912" s="2" t="s">
        <v>165</v>
      </c>
      <c r="D1912" s="1">
        <v>0</v>
      </c>
      <c r="E1912" s="1">
        <v>1</v>
      </c>
      <c r="F1912" s="1">
        <v>0</v>
      </c>
      <c r="G1912" s="1">
        <v>4</v>
      </c>
      <c r="H1912" s="4">
        <v>0.5</v>
      </c>
      <c r="I1912" s="1">
        <v>3</v>
      </c>
      <c r="J1912" s="4">
        <v>0</v>
      </c>
      <c r="K1912" s="1">
        <v>0</v>
      </c>
      <c r="L1912" s="1">
        <v>0</v>
      </c>
      <c r="M1912" s="32">
        <f>IF(Mecze[[#This Row],[PR]]=0,0,Mecze[[#This Row],[PR]]/Mecze[[#This Row],[CZAS]])</f>
        <v>0</v>
      </c>
      <c r="N1912" s="32">
        <f>IF(Mecze[[#This Row],[OU]]=0,0,Mecze[[#This Row],[OU]]/Mecze[[#This Row],[CZAS]])</f>
        <v>0</v>
      </c>
      <c r="O1912" s="32">
        <f>IF(Mecze[[#This Row],[PC]]=0,0,Mecze[[#This Row],[PC]]/Mecze[[#This Row],[CZAS]])</f>
        <v>2.0833333333333332E-2</v>
      </c>
      <c r="P1912" s="32">
        <f>IF(Mecze[[#This Row],[SC]]=0,0,Mecze[[#This Row],[SC]]/Mecze[[#This Row],[CZAS]])</f>
        <v>0</v>
      </c>
      <c r="Q1912" s="32">
        <f>IF(Mecze[[#This Row],[OB]]=0,0,Mecze[[#This Row],[OB]]/Mecze[[#This Row],[CZAS]])</f>
        <v>0</v>
      </c>
      <c r="R1912" s="32">
        <f>IF(Mecze[[#This Row],[BR]]=0,0,Mecze[[#This Row],[BR]]/Mecze[[#This Row],[CZAS]])</f>
        <v>0</v>
      </c>
      <c r="S1912" s="44">
        <f>IF(Mecze[[#This Row],[Role]]="BR",SUMPRODUCT(Mecze[[#This Row],[/PR:90]:[/BR:90]],Brudnopis!$E$23:$J$23),0)</f>
        <v>0</v>
      </c>
      <c r="T1912" s="44">
        <f>IF(Mecze[[#This Row],[Role]]&lt;&gt;"BR",SUMPRODUCT(Mecze[[#This Row],[/PR:90]:[/BR:90]],Brudnopis!$E$24:$J$24),0)</f>
        <v>2.0833333333333332E-2</v>
      </c>
      <c r="U1912" s="44">
        <f>IF(Mecze[[#This Row],[Role]]&lt;&gt;"BR",SUMPRODUCT(Mecze[[#This Row],[/PR:90]:[/BR:90]],Brudnopis!$E$25:$J$25),0)</f>
        <v>3.125E-2</v>
      </c>
      <c r="V1912" s="44">
        <f>IF(Mecze[[#This Row],[Role]]&lt;&gt;"BR",SUMPRODUCT(Mecze[[#This Row],[/PR:90]:[/BR:90]],Brudnopis!$E$26:$J$26),0)</f>
        <v>2.0833333333333332E-2</v>
      </c>
      <c r="W1912" s="44">
        <f>IF(Mecze[[#This Row],[Role]]&lt;&gt;"BR",SUMPRODUCT(Mecze[[#This Row],[/PR:90]:[/BR:90]],Brudnopis!$E$27:$J$27),0)</f>
        <v>3.125E-2</v>
      </c>
      <c r="X1912" s="44">
        <f>IF(Mecze[[#This Row],[Role]]&lt;&gt;"BR",SUMPRODUCT(Mecze[[#This Row],[/PR:90]:[/BR:90]],Brudnopis!$E$28:$J$28),0)</f>
        <v>2.0833333333333332E-2</v>
      </c>
      <c r="Y1912" s="35">
        <f>IF(Mecze[[#This Row],[Role]]="BR",Mecze[[#This Row],[/OB:90]]+Mecze[[#This Row],[/PC:90]],SUM(Mecze[[#This Row],[/PR:90]:[/BR:90]]))</f>
        <v>2.0833333333333332E-2</v>
      </c>
      <c r="Z1912" s="35">
        <f>IF(Mecze[[#This Row],[KC]]=0,SUM(Mecze[[#This Row],[/BRI]:[/NPI]]),SUM(Mecze[[#This Row],[/BRI]:[/NPI]])*0.6)</f>
        <v>0.12499999999999999</v>
      </c>
      <c r="AA1912" s="10">
        <f>IFERROR(Mecze[[#This Row],[BR]]/Mecze[[#This Row],[ST]],0)</f>
        <v>0</v>
      </c>
      <c r="AB1912">
        <f>ROUND(Mecze[[#This Row],[PD]]*Mecze[[#This Row],[%PC]],0)</f>
        <v>2</v>
      </c>
      <c r="AC1912">
        <f>ROUND(Mecze[[#This Row],[OD]]*Mecze[[#This Row],[%OU]],0)</f>
        <v>0</v>
      </c>
      <c r="AD1912" s="36" t="s">
        <v>46</v>
      </c>
      <c r="AE1912" s="36">
        <v>104</v>
      </c>
      <c r="AF1912" s="71">
        <v>2.71</v>
      </c>
      <c r="AG1912" s="37">
        <v>0</v>
      </c>
      <c r="AH1912" s="37">
        <v>0</v>
      </c>
      <c r="AI1912" s="37">
        <v>96</v>
      </c>
      <c r="AJ1912" s="37">
        <v>1</v>
      </c>
      <c r="AK1912" s="37" t="str">
        <f>VLOOKUP(Mecze[[#This Row],[Match ID]],Meczusie[Mecz]:Meczusie[RodzajMeczu],2,FALSE)</f>
        <v>Towarzyski</v>
      </c>
    </row>
    <row r="1913" spans="1:37" x14ac:dyDescent="0.25">
      <c r="A1913" s="76">
        <v>39</v>
      </c>
      <c r="B1913" s="3" t="s">
        <v>450</v>
      </c>
      <c r="C1913" s="2" t="s">
        <v>155</v>
      </c>
      <c r="D1913" s="1">
        <v>0</v>
      </c>
      <c r="E1913" s="1">
        <v>0</v>
      </c>
      <c r="F1913" s="1">
        <v>0</v>
      </c>
      <c r="G1913" s="1">
        <v>8</v>
      </c>
      <c r="H1913" s="4">
        <v>0.38</v>
      </c>
      <c r="I1913" s="1">
        <v>0</v>
      </c>
      <c r="J1913" s="4"/>
      <c r="K1913" s="1">
        <v>8</v>
      </c>
      <c r="L1913" s="1">
        <v>0</v>
      </c>
      <c r="M1913" s="32">
        <f>IF(Mecze[[#This Row],[PR]]=0,0,Mecze[[#This Row],[PR]]/Mecze[[#This Row],[CZAS]])</f>
        <v>0</v>
      </c>
      <c r="N1913" s="32">
        <f>IF(Mecze[[#This Row],[OU]]=0,0,Mecze[[#This Row],[OU]]/Mecze[[#This Row],[CZAS]])</f>
        <v>0</v>
      </c>
      <c r="O1913" s="32">
        <f>IF(Mecze[[#This Row],[PC]]=0,0,Mecze[[#This Row],[PC]]/Mecze[[#This Row],[CZAS]])</f>
        <v>3.1578947368421054E-2</v>
      </c>
      <c r="P1913" s="32">
        <f>IF(Mecze[[#This Row],[SC]]=0,0,Mecze[[#This Row],[SC]]/Mecze[[#This Row],[CZAS]])</f>
        <v>0</v>
      </c>
      <c r="Q1913" s="32">
        <f>IF(Mecze[[#This Row],[OB]]=0,0,Mecze[[#This Row],[OB]]/Mecze[[#This Row],[CZAS]])</f>
        <v>8.4210526315789472E-2</v>
      </c>
      <c r="R1913" s="32">
        <f>IF(Mecze[[#This Row],[BR]]=0,0,Mecze[[#This Row],[BR]]/Mecze[[#This Row],[CZAS]])</f>
        <v>0</v>
      </c>
      <c r="S1913" s="44">
        <f>IF(Mecze[[#This Row],[Role]]="BR",SUMPRODUCT(Mecze[[#This Row],[/PR:90]:[/BR:90]],Brudnopis!$E$23:$J$23),0)</f>
        <v>0.3473684210526316</v>
      </c>
      <c r="T1913" s="44">
        <f>IF(Mecze[[#This Row],[Role]]&lt;&gt;"BR",SUMPRODUCT(Mecze[[#This Row],[/PR:90]:[/BR:90]],Brudnopis!$E$24:$J$24),0)</f>
        <v>0</v>
      </c>
      <c r="U1913" s="44">
        <f>IF(Mecze[[#This Row],[Role]]&lt;&gt;"BR",SUMPRODUCT(Mecze[[#This Row],[/PR:90]:[/BR:90]],Brudnopis!$E$25:$J$25),0)</f>
        <v>0</v>
      </c>
      <c r="V1913" s="44">
        <f>IF(Mecze[[#This Row],[Role]]&lt;&gt;"BR",SUMPRODUCT(Mecze[[#This Row],[/PR:90]:[/BR:90]],Brudnopis!$E$26:$J$26),0)</f>
        <v>0</v>
      </c>
      <c r="W1913" s="44">
        <f>IF(Mecze[[#This Row],[Role]]&lt;&gt;"BR",SUMPRODUCT(Mecze[[#This Row],[/PR:90]:[/BR:90]],Brudnopis!$E$27:$J$27),0)</f>
        <v>0</v>
      </c>
      <c r="X1913" s="44">
        <f>IF(Mecze[[#This Row],[Role]]&lt;&gt;"BR",SUMPRODUCT(Mecze[[#This Row],[/PR:90]:[/BR:90]],Brudnopis!$E$28:$J$28),0)</f>
        <v>0</v>
      </c>
      <c r="Y1913" s="35">
        <f>IF(Mecze[[#This Row],[Role]]="BR",Mecze[[#This Row],[/OB:90]]+Mecze[[#This Row],[/PC:90]],SUM(Mecze[[#This Row],[/PR:90]:[/BR:90]]))</f>
        <v>0.11578947368421053</v>
      </c>
      <c r="Z1913" s="35">
        <f>IF(Mecze[[#This Row],[KC]]=0,SUM(Mecze[[#This Row],[/BRI]:[/NPI]]),SUM(Mecze[[#This Row],[/BRI]:[/NPI]])*0.6)</f>
        <v>0.3473684210526316</v>
      </c>
      <c r="AA1913" s="10">
        <f>IFERROR(Mecze[[#This Row],[BR]]/Mecze[[#This Row],[ST]],0)</f>
        <v>0</v>
      </c>
      <c r="AB1913">
        <f>ROUND(Mecze[[#This Row],[PD]]*Mecze[[#This Row],[%PC]],0)</f>
        <v>3</v>
      </c>
      <c r="AC1913">
        <f>ROUND(Mecze[[#This Row],[OD]]*Mecze[[#This Row],[%OU]],0)</f>
        <v>0</v>
      </c>
      <c r="AD1913" s="36" t="s">
        <v>40</v>
      </c>
      <c r="AE1913" s="36">
        <v>105</v>
      </c>
      <c r="AF1913" s="71">
        <v>3.38</v>
      </c>
      <c r="AG1913" s="37">
        <v>0</v>
      </c>
      <c r="AH1913" s="37">
        <v>0</v>
      </c>
      <c r="AI1913" s="37">
        <v>95</v>
      </c>
      <c r="AJ1913" s="37">
        <v>1</v>
      </c>
      <c r="AK1913" s="37" t="str">
        <f>VLOOKUP(Mecze[[#This Row],[Match ID]],Meczusie[Mecz]:Meczusie[RodzajMeczu],2,FALSE)</f>
        <v>Towarzyski</v>
      </c>
    </row>
    <row r="1914" spans="1:37" x14ac:dyDescent="0.25">
      <c r="A1914" s="76">
        <v>38</v>
      </c>
      <c r="B1914" s="3" t="s">
        <v>359</v>
      </c>
      <c r="C1914" s="2" t="s">
        <v>157</v>
      </c>
      <c r="D1914" s="1">
        <v>0</v>
      </c>
      <c r="E1914" s="1">
        <v>0</v>
      </c>
      <c r="F1914" s="1">
        <v>0</v>
      </c>
      <c r="G1914" s="1">
        <v>10</v>
      </c>
      <c r="H1914" s="4">
        <v>0.7</v>
      </c>
      <c r="I1914" s="1">
        <v>7</v>
      </c>
      <c r="J1914" s="4">
        <v>0.56999999999999995</v>
      </c>
      <c r="K1914" s="1">
        <v>0</v>
      </c>
      <c r="L1914" s="1">
        <v>2</v>
      </c>
      <c r="M1914" s="32">
        <f>IF(Mecze[[#This Row],[PR]]=0,0,Mecze[[#This Row],[PR]]/Mecze[[#This Row],[CZAS]])</f>
        <v>2.1052631578947368E-2</v>
      </c>
      <c r="N1914" s="32">
        <f>IF(Mecze[[#This Row],[OU]]=0,0,Mecze[[#This Row],[OU]]/Mecze[[#This Row],[CZAS]])</f>
        <v>4.2105263157894736E-2</v>
      </c>
      <c r="O1914" s="32">
        <f>IF(Mecze[[#This Row],[PC]]=0,0,Mecze[[#This Row],[PC]]/Mecze[[#This Row],[CZAS]])</f>
        <v>7.3684210526315783E-2</v>
      </c>
      <c r="P1914" s="32">
        <f>IF(Mecze[[#This Row],[SC]]=0,0,Mecze[[#This Row],[SC]]/Mecze[[#This Row],[CZAS]])</f>
        <v>0</v>
      </c>
      <c r="Q1914" s="32">
        <f>IF(Mecze[[#This Row],[OB]]=0,0,Mecze[[#This Row],[OB]]/Mecze[[#This Row],[CZAS]])</f>
        <v>0</v>
      </c>
      <c r="R1914" s="32">
        <f>IF(Mecze[[#This Row],[BR]]=0,0,Mecze[[#This Row],[BR]]/Mecze[[#This Row],[CZAS]])</f>
        <v>0</v>
      </c>
      <c r="S1914" s="44">
        <f>IF(Mecze[[#This Row],[Role]]="BR",SUMPRODUCT(Mecze[[#This Row],[/PR:90]:[/BR:90]],Brudnopis!$E$23:$J$23),0)</f>
        <v>0</v>
      </c>
      <c r="T1914" s="44">
        <f>IF(Mecze[[#This Row],[Role]]&lt;&gt;"BR",SUMPRODUCT(Mecze[[#This Row],[/PR:90]:[/BR:90]],Brudnopis!$E$24:$J$24),0)</f>
        <v>0.15789473684210525</v>
      </c>
      <c r="U1914" s="44">
        <f>IF(Mecze[[#This Row],[Role]]&lt;&gt;"BR",SUMPRODUCT(Mecze[[#This Row],[/PR:90]:[/BR:90]],Brudnopis!$E$25:$J$25),0)</f>
        <v>0.17368421052631577</v>
      </c>
      <c r="V1914" s="44">
        <f>IF(Mecze[[#This Row],[Role]]&lt;&gt;"BR",SUMPRODUCT(Mecze[[#This Row],[/PR:90]:[/BR:90]],Brudnopis!$E$26:$J$26),0)</f>
        <v>0.13684210526315788</v>
      </c>
      <c r="W1914" s="44">
        <f>IF(Mecze[[#This Row],[Role]]&lt;&gt;"BR",SUMPRODUCT(Mecze[[#This Row],[/PR:90]:[/BR:90]],Brudnopis!$E$27:$J$27),0)</f>
        <v>0.15789473684210525</v>
      </c>
      <c r="X1914" s="44">
        <f>IF(Mecze[[#This Row],[Role]]&lt;&gt;"BR",SUMPRODUCT(Mecze[[#This Row],[/PR:90]:[/BR:90]],Brudnopis!$E$28:$J$28),0)</f>
        <v>7.3684210526315783E-2</v>
      </c>
      <c r="Y1914" s="35">
        <f>IF(Mecze[[#This Row],[Role]]="BR",Mecze[[#This Row],[/OB:90]]+Mecze[[#This Row],[/PC:90]],SUM(Mecze[[#This Row],[/PR:90]:[/BR:90]]))</f>
        <v>0.13684210526315788</v>
      </c>
      <c r="Z1914" s="35">
        <f>IF(Mecze[[#This Row],[KC]]=0,SUM(Mecze[[#This Row],[/BRI]:[/NPI]]),SUM(Mecze[[#This Row],[/BRI]:[/NPI]])*0.6)</f>
        <v>0.7</v>
      </c>
      <c r="AA1914" s="10">
        <f>IFERROR(Mecze[[#This Row],[BR]]/Mecze[[#This Row],[ST]],0)</f>
        <v>0</v>
      </c>
      <c r="AB1914">
        <f>ROUND(Mecze[[#This Row],[PD]]*Mecze[[#This Row],[%PC]],0)</f>
        <v>7</v>
      </c>
      <c r="AC1914">
        <f>ROUND(Mecze[[#This Row],[OD]]*Mecze[[#This Row],[%OU]],0)</f>
        <v>4</v>
      </c>
      <c r="AD1914" s="36" t="s">
        <v>47</v>
      </c>
      <c r="AE1914" s="36">
        <v>105</v>
      </c>
      <c r="AF1914" s="71">
        <v>1.01</v>
      </c>
      <c r="AG1914" s="37">
        <v>1</v>
      </c>
      <c r="AH1914" s="37">
        <v>0</v>
      </c>
      <c r="AI1914" s="37">
        <v>95</v>
      </c>
      <c r="AJ1914" s="37">
        <v>1</v>
      </c>
      <c r="AK1914" s="37" t="str">
        <f>VLOOKUP(Mecze[[#This Row],[Match ID]],Meczusie[Mecz]:Meczusie[RodzajMeczu],2,FALSE)</f>
        <v>Towarzyski</v>
      </c>
    </row>
    <row r="1915" spans="1:37" x14ac:dyDescent="0.25">
      <c r="A1915" s="76">
        <v>4</v>
      </c>
      <c r="B1915" s="3" t="s">
        <v>360</v>
      </c>
      <c r="C1915" s="2" t="s">
        <v>157</v>
      </c>
      <c r="D1915" s="1">
        <v>0</v>
      </c>
      <c r="E1915" s="1">
        <v>0</v>
      </c>
      <c r="F1915" s="1">
        <v>0</v>
      </c>
      <c r="G1915" s="1">
        <v>10</v>
      </c>
      <c r="H1915" s="4">
        <v>0.3</v>
      </c>
      <c r="I1915" s="1">
        <v>7</v>
      </c>
      <c r="J1915" s="4">
        <v>0.43</v>
      </c>
      <c r="K1915" s="1">
        <v>0</v>
      </c>
      <c r="L1915" s="1">
        <v>8</v>
      </c>
      <c r="M1915" s="32">
        <f>IF(Mecze[[#This Row],[PR]]=0,0,Mecze[[#This Row],[PR]]/Mecze[[#This Row],[CZAS]])</f>
        <v>8.4210526315789472E-2</v>
      </c>
      <c r="N1915" s="32">
        <f>IF(Mecze[[#This Row],[OU]]=0,0,Mecze[[#This Row],[OU]]/Mecze[[#This Row],[CZAS]])</f>
        <v>3.1578947368421054E-2</v>
      </c>
      <c r="O1915" s="32">
        <f>IF(Mecze[[#This Row],[PC]]=0,0,Mecze[[#This Row],[PC]]/Mecze[[#This Row],[CZAS]])</f>
        <v>3.1578947368421054E-2</v>
      </c>
      <c r="P1915" s="32">
        <f>IF(Mecze[[#This Row],[SC]]=0,0,Mecze[[#This Row],[SC]]/Mecze[[#This Row],[CZAS]])</f>
        <v>0</v>
      </c>
      <c r="Q1915" s="32">
        <f>IF(Mecze[[#This Row],[OB]]=0,0,Mecze[[#This Row],[OB]]/Mecze[[#This Row],[CZAS]])</f>
        <v>0</v>
      </c>
      <c r="R1915" s="32">
        <f>IF(Mecze[[#This Row],[BR]]=0,0,Mecze[[#This Row],[BR]]/Mecze[[#This Row],[CZAS]])</f>
        <v>0</v>
      </c>
      <c r="S1915" s="44">
        <f>IF(Mecze[[#This Row],[Role]]="BR",SUMPRODUCT(Mecze[[#This Row],[/PR:90]:[/BR:90]],Brudnopis!$E$23:$J$23),0)</f>
        <v>0</v>
      </c>
      <c r="T1915" s="44">
        <f>IF(Mecze[[#This Row],[Role]]&lt;&gt;"BR",SUMPRODUCT(Mecze[[#This Row],[/PR:90]:[/BR:90]],Brudnopis!$E$24:$J$24),0)</f>
        <v>0.16315789473684211</v>
      </c>
      <c r="U1915" s="44">
        <f>IF(Mecze[[#This Row],[Role]]&lt;&gt;"BR",SUMPRODUCT(Mecze[[#This Row],[/PR:90]:[/BR:90]],Brudnopis!$E$25:$J$25),0)</f>
        <v>0.16315789473684211</v>
      </c>
      <c r="V1915" s="44">
        <f>IF(Mecze[[#This Row],[Role]]&lt;&gt;"BR",SUMPRODUCT(Mecze[[#This Row],[/PR:90]:[/BR:90]],Brudnopis!$E$26:$J$26),0)</f>
        <v>0.14736842105263159</v>
      </c>
      <c r="W1915" s="44">
        <f>IF(Mecze[[#This Row],[Role]]&lt;&gt;"BR",SUMPRODUCT(Mecze[[#This Row],[/PR:90]:[/BR:90]],Brudnopis!$E$27:$J$27),0)</f>
        <v>0.13421052631578947</v>
      </c>
      <c r="X1915" s="44">
        <f>IF(Mecze[[#This Row],[Role]]&lt;&gt;"BR",SUMPRODUCT(Mecze[[#This Row],[/PR:90]:[/BR:90]],Brudnopis!$E$28:$J$28),0)</f>
        <v>3.1578947368421054E-2</v>
      </c>
      <c r="Y1915" s="35">
        <f>IF(Mecze[[#This Row],[Role]]="BR",Mecze[[#This Row],[/OB:90]]+Mecze[[#This Row],[/PC:90]],SUM(Mecze[[#This Row],[/PR:90]:[/BR:90]]))</f>
        <v>0.14736842105263159</v>
      </c>
      <c r="Z1915" s="35">
        <f>IF(Mecze[[#This Row],[KC]]=0,SUM(Mecze[[#This Row],[/BRI]:[/NPI]]),SUM(Mecze[[#This Row],[/BRI]:[/NPI]])*0.6)</f>
        <v>0.63947368421052631</v>
      </c>
      <c r="AA1915" s="10">
        <f>IFERROR(Mecze[[#This Row],[BR]]/Mecze[[#This Row],[ST]],0)</f>
        <v>0</v>
      </c>
      <c r="AB1915">
        <f>ROUND(Mecze[[#This Row],[PD]]*Mecze[[#This Row],[%PC]],0)</f>
        <v>3</v>
      </c>
      <c r="AC1915">
        <f>ROUND(Mecze[[#This Row],[OD]]*Mecze[[#This Row],[%OU]],0)</f>
        <v>3</v>
      </c>
      <c r="AD1915" s="36" t="s">
        <v>168</v>
      </c>
      <c r="AE1915" s="36">
        <v>105</v>
      </c>
      <c r="AF1915" s="71">
        <v>2.2599999999999998</v>
      </c>
      <c r="AG1915" s="37">
        <v>0</v>
      </c>
      <c r="AH1915" s="37">
        <v>0</v>
      </c>
      <c r="AI1915" s="37">
        <v>95</v>
      </c>
      <c r="AJ1915" s="37">
        <v>1</v>
      </c>
      <c r="AK1915" s="37" t="str">
        <f>VLOOKUP(Mecze[[#This Row],[Match ID]],Meczusie[Mecz]:Meczusie[RodzajMeczu],2,FALSE)</f>
        <v>Towarzyski</v>
      </c>
    </row>
    <row r="1916" spans="1:37" x14ac:dyDescent="0.25">
      <c r="A1916" s="76">
        <v>17</v>
      </c>
      <c r="B1916" s="3" t="s">
        <v>413</v>
      </c>
      <c r="C1916" s="2" t="s">
        <v>157</v>
      </c>
      <c r="D1916" s="1">
        <v>0</v>
      </c>
      <c r="E1916" s="1">
        <v>0</v>
      </c>
      <c r="F1916" s="1">
        <v>0</v>
      </c>
      <c r="G1916" s="1">
        <v>5</v>
      </c>
      <c r="H1916" s="4">
        <v>0.4</v>
      </c>
      <c r="I1916" s="1">
        <v>8</v>
      </c>
      <c r="J1916" s="4">
        <v>0.38</v>
      </c>
      <c r="K1916" s="1">
        <v>0</v>
      </c>
      <c r="L1916" s="1">
        <v>7</v>
      </c>
      <c r="M1916" s="32">
        <f>IF(Mecze[[#This Row],[PR]]=0,0,Mecze[[#This Row],[PR]]/Mecze[[#This Row],[CZAS]])</f>
        <v>7.3684210526315783E-2</v>
      </c>
      <c r="N1916" s="32">
        <f>IF(Mecze[[#This Row],[OU]]=0,0,Mecze[[#This Row],[OU]]/Mecze[[#This Row],[CZAS]])</f>
        <v>3.1578947368421054E-2</v>
      </c>
      <c r="O1916" s="32">
        <f>IF(Mecze[[#This Row],[PC]]=0,0,Mecze[[#This Row],[PC]]/Mecze[[#This Row],[CZAS]])</f>
        <v>2.1052631578947368E-2</v>
      </c>
      <c r="P1916" s="32">
        <f>IF(Mecze[[#This Row],[SC]]=0,0,Mecze[[#This Row],[SC]]/Mecze[[#This Row],[CZAS]])</f>
        <v>0</v>
      </c>
      <c r="Q1916" s="32">
        <f>IF(Mecze[[#This Row],[OB]]=0,0,Mecze[[#This Row],[OB]]/Mecze[[#This Row],[CZAS]])</f>
        <v>0</v>
      </c>
      <c r="R1916" s="32">
        <f>IF(Mecze[[#This Row],[BR]]=0,0,Mecze[[#This Row],[BR]]/Mecze[[#This Row],[CZAS]])</f>
        <v>0</v>
      </c>
      <c r="S1916" s="44">
        <f>IF(Mecze[[#This Row],[Role]]="BR",SUMPRODUCT(Mecze[[#This Row],[/PR:90]:[/BR:90]],Brudnopis!$E$23:$J$23),0)</f>
        <v>0</v>
      </c>
      <c r="T1916" s="44">
        <f>IF(Mecze[[#This Row],[Role]]&lt;&gt;"BR",SUMPRODUCT(Mecze[[#This Row],[/PR:90]:[/BR:90]],Brudnopis!$E$24:$J$24),0)</f>
        <v>0.14210526315789473</v>
      </c>
      <c r="U1916" s="44">
        <f>IF(Mecze[[#This Row],[Role]]&lt;&gt;"BR",SUMPRODUCT(Mecze[[#This Row],[/PR:90]:[/BR:90]],Brudnopis!$E$25:$J$25),0)</f>
        <v>0.13684210526315788</v>
      </c>
      <c r="V1916" s="44">
        <f>IF(Mecze[[#This Row],[Role]]&lt;&gt;"BR",SUMPRODUCT(Mecze[[#This Row],[/PR:90]:[/BR:90]],Brudnopis!$E$26:$J$26),0)</f>
        <v>0.12631578947368421</v>
      </c>
      <c r="W1916" s="44">
        <f>IF(Mecze[[#This Row],[Role]]&lt;&gt;"BR",SUMPRODUCT(Mecze[[#This Row],[/PR:90]:[/BR:90]],Brudnopis!$E$27:$J$27),0)</f>
        <v>0.11052631578947368</v>
      </c>
      <c r="X1916" s="44">
        <f>IF(Mecze[[#This Row],[Role]]&lt;&gt;"BR",SUMPRODUCT(Mecze[[#This Row],[/PR:90]:[/BR:90]],Brudnopis!$E$28:$J$28),0)</f>
        <v>2.1052631578947368E-2</v>
      </c>
      <c r="Y1916" s="35">
        <f>IF(Mecze[[#This Row],[Role]]="BR",Mecze[[#This Row],[/OB:90]]+Mecze[[#This Row],[/PC:90]],SUM(Mecze[[#This Row],[/PR:90]:[/BR:90]]))</f>
        <v>0.12631578947368421</v>
      </c>
      <c r="Z1916" s="35">
        <f>IF(Mecze[[#This Row],[KC]]=0,SUM(Mecze[[#This Row],[/BRI]:[/NPI]]),SUM(Mecze[[#This Row],[/BRI]:[/NPI]])*0.6)</f>
        <v>0.53684210526315779</v>
      </c>
      <c r="AA1916" s="10">
        <f>IFERROR(Mecze[[#This Row],[BR]]/Mecze[[#This Row],[ST]],0)</f>
        <v>0</v>
      </c>
      <c r="AB1916">
        <f>ROUND(Mecze[[#This Row],[PD]]*Mecze[[#This Row],[%PC]],0)</f>
        <v>2</v>
      </c>
      <c r="AC1916">
        <f>ROUND(Mecze[[#This Row],[OD]]*Mecze[[#This Row],[%OU]],0)</f>
        <v>3</v>
      </c>
      <c r="AD1916" s="36" t="s">
        <v>167</v>
      </c>
      <c r="AE1916" s="36">
        <v>105</v>
      </c>
      <c r="AF1916" s="71">
        <v>2.0499999999999998</v>
      </c>
      <c r="AG1916" s="37">
        <v>0</v>
      </c>
      <c r="AH1916" s="37">
        <v>0</v>
      </c>
      <c r="AI1916" s="37">
        <v>95</v>
      </c>
      <c r="AJ1916" s="37">
        <v>1</v>
      </c>
      <c r="AK1916" s="37" t="str">
        <f>VLOOKUP(Mecze[[#This Row],[Match ID]],Meczusie[Mecz]:Meczusie[RodzajMeczu],2,FALSE)</f>
        <v>Towarzyski</v>
      </c>
    </row>
    <row r="1917" spans="1:37" x14ac:dyDescent="0.25">
      <c r="A1917" s="76">
        <v>40</v>
      </c>
      <c r="B1917" s="3" t="s">
        <v>453</v>
      </c>
      <c r="C1917" s="2" t="s">
        <v>160</v>
      </c>
      <c r="D1917" s="1">
        <v>0</v>
      </c>
      <c r="E1917" s="1">
        <v>0</v>
      </c>
      <c r="F1917" s="1">
        <v>0</v>
      </c>
      <c r="G1917" s="1">
        <v>14</v>
      </c>
      <c r="H1917" s="4">
        <v>0.21</v>
      </c>
      <c r="I1917" s="1">
        <v>9</v>
      </c>
      <c r="J1917" s="4">
        <v>0.33</v>
      </c>
      <c r="K1917" s="1">
        <v>0</v>
      </c>
      <c r="L1917" s="1">
        <v>5</v>
      </c>
      <c r="M1917" s="32">
        <f>IF(Mecze[[#This Row],[PR]]=0,0,Mecze[[#This Row],[PR]]/Mecze[[#This Row],[CZAS]])</f>
        <v>5.2631578947368418E-2</v>
      </c>
      <c r="N1917" s="32">
        <f>IF(Mecze[[#This Row],[OU]]=0,0,Mecze[[#This Row],[OU]]/Mecze[[#This Row],[CZAS]])</f>
        <v>3.1578947368421054E-2</v>
      </c>
      <c r="O1917" s="32">
        <f>IF(Mecze[[#This Row],[PC]]=0,0,Mecze[[#This Row],[PC]]/Mecze[[#This Row],[CZAS]])</f>
        <v>3.1578947368421054E-2</v>
      </c>
      <c r="P1917" s="32">
        <f>IF(Mecze[[#This Row],[SC]]=0,0,Mecze[[#This Row],[SC]]/Mecze[[#This Row],[CZAS]])</f>
        <v>0</v>
      </c>
      <c r="Q1917" s="32">
        <f>IF(Mecze[[#This Row],[OB]]=0,0,Mecze[[#This Row],[OB]]/Mecze[[#This Row],[CZAS]])</f>
        <v>0</v>
      </c>
      <c r="R1917" s="32">
        <f>IF(Mecze[[#This Row],[BR]]=0,0,Mecze[[#This Row],[BR]]/Mecze[[#This Row],[CZAS]])</f>
        <v>0</v>
      </c>
      <c r="S1917" s="44">
        <f>IF(Mecze[[#This Row],[Role]]="BR",SUMPRODUCT(Mecze[[#This Row],[/PR:90]:[/BR:90]],Brudnopis!$E$23:$J$23),0)</f>
        <v>0</v>
      </c>
      <c r="T1917" s="44">
        <f>IF(Mecze[[#This Row],[Role]]&lt;&gt;"BR",SUMPRODUCT(Mecze[[#This Row],[/PR:90]:[/BR:90]],Brudnopis!$E$24:$J$24),0)</f>
        <v>0.13157894736842107</v>
      </c>
      <c r="U1917" s="44">
        <f>IF(Mecze[[#This Row],[Role]]&lt;&gt;"BR",SUMPRODUCT(Mecze[[#This Row],[/PR:90]:[/BR:90]],Brudnopis!$E$25:$J$25),0)</f>
        <v>0.13157894736842105</v>
      </c>
      <c r="V1917" s="44">
        <f>IF(Mecze[[#This Row],[Role]]&lt;&gt;"BR",SUMPRODUCT(Mecze[[#This Row],[/PR:90]:[/BR:90]],Brudnopis!$E$26:$J$26),0)</f>
        <v>0.11578947368421053</v>
      </c>
      <c r="W1917" s="44">
        <f>IF(Mecze[[#This Row],[Role]]&lt;&gt;"BR",SUMPRODUCT(Mecze[[#This Row],[/PR:90]:[/BR:90]],Brudnopis!$E$27:$J$27),0)</f>
        <v>0.11052631578947369</v>
      </c>
      <c r="X1917" s="44">
        <f>IF(Mecze[[#This Row],[Role]]&lt;&gt;"BR",SUMPRODUCT(Mecze[[#This Row],[/PR:90]:[/BR:90]],Brudnopis!$E$28:$J$28),0)</f>
        <v>3.1578947368421054E-2</v>
      </c>
      <c r="Y1917" s="35">
        <f>IF(Mecze[[#This Row],[Role]]="BR",Mecze[[#This Row],[/OB:90]]+Mecze[[#This Row],[/PC:90]],SUM(Mecze[[#This Row],[/PR:90]:[/BR:90]]))</f>
        <v>0.11578947368421053</v>
      </c>
      <c r="Z1917" s="35">
        <f>IF(Mecze[[#This Row],[KC]]=0,SUM(Mecze[[#This Row],[/BRI]:[/NPI]]),SUM(Mecze[[#This Row],[/BRI]:[/NPI]])*0.6)</f>
        <v>0.52105263157894743</v>
      </c>
      <c r="AA1917" s="10">
        <f>IFERROR(Mecze[[#This Row],[BR]]/Mecze[[#This Row],[ST]],0)</f>
        <v>0</v>
      </c>
      <c r="AB1917">
        <f>ROUND(Mecze[[#This Row],[PD]]*Mecze[[#This Row],[%PC]],0)</f>
        <v>3</v>
      </c>
      <c r="AC1917">
        <f>ROUND(Mecze[[#This Row],[OD]]*Mecze[[#This Row],[%OU]],0)</f>
        <v>3</v>
      </c>
      <c r="AD1917" s="36" t="s">
        <v>41</v>
      </c>
      <c r="AE1917" s="36">
        <v>105</v>
      </c>
      <c r="AF1917" s="71">
        <v>3.75</v>
      </c>
      <c r="AG1917" s="37">
        <v>0</v>
      </c>
      <c r="AH1917" s="37">
        <v>0</v>
      </c>
      <c r="AI1917" s="37">
        <v>95</v>
      </c>
      <c r="AJ1917" s="37">
        <v>1</v>
      </c>
      <c r="AK1917" s="37" t="str">
        <f>VLOOKUP(Mecze[[#This Row],[Match ID]],Meczusie[Mecz]:Meczusie[RodzajMeczu],2,FALSE)</f>
        <v>Towarzyski</v>
      </c>
    </row>
    <row r="1918" spans="1:37" x14ac:dyDescent="0.25">
      <c r="A1918" s="76">
        <v>22</v>
      </c>
      <c r="B1918" s="3" t="s">
        <v>363</v>
      </c>
      <c r="C1918" s="2" t="s">
        <v>160</v>
      </c>
      <c r="D1918" s="1">
        <v>0</v>
      </c>
      <c r="E1918" s="1">
        <v>0</v>
      </c>
      <c r="F1918" s="1">
        <v>0</v>
      </c>
      <c r="G1918" s="1">
        <v>12</v>
      </c>
      <c r="H1918" s="4">
        <v>0.5</v>
      </c>
      <c r="I1918" s="1">
        <v>10</v>
      </c>
      <c r="J1918" s="4">
        <v>0.1</v>
      </c>
      <c r="K1918" s="1">
        <v>0</v>
      </c>
      <c r="L1918" s="1">
        <v>7</v>
      </c>
      <c r="M1918" s="32">
        <f>IF(Mecze[[#This Row],[PR]]=0,0,Mecze[[#This Row],[PR]]/Mecze[[#This Row],[CZAS]])</f>
        <v>7.3684210526315783E-2</v>
      </c>
      <c r="N1918" s="32">
        <f>IF(Mecze[[#This Row],[OU]]=0,0,Mecze[[#This Row],[OU]]/Mecze[[#This Row],[CZAS]])</f>
        <v>1.0526315789473684E-2</v>
      </c>
      <c r="O1918" s="32">
        <f>IF(Mecze[[#This Row],[PC]]=0,0,Mecze[[#This Row],[PC]]/Mecze[[#This Row],[CZAS]])</f>
        <v>6.3157894736842107E-2</v>
      </c>
      <c r="P1918" s="32">
        <f>IF(Mecze[[#This Row],[SC]]=0,0,Mecze[[#This Row],[SC]]/Mecze[[#This Row],[CZAS]])</f>
        <v>0</v>
      </c>
      <c r="Q1918" s="32">
        <f>IF(Mecze[[#This Row],[OB]]=0,0,Mecze[[#This Row],[OB]]/Mecze[[#This Row],[CZAS]])</f>
        <v>0</v>
      </c>
      <c r="R1918" s="32">
        <f>IF(Mecze[[#This Row],[BR]]=0,0,Mecze[[#This Row],[BR]]/Mecze[[#This Row],[CZAS]])</f>
        <v>0</v>
      </c>
      <c r="S1918" s="44">
        <f>IF(Mecze[[#This Row],[Role]]="BR",SUMPRODUCT(Mecze[[#This Row],[/PR:90]:[/BR:90]],Brudnopis!$E$23:$J$23),0)</f>
        <v>0</v>
      </c>
      <c r="T1918" s="44">
        <f>IF(Mecze[[#This Row],[Role]]&lt;&gt;"BR",SUMPRODUCT(Mecze[[#This Row],[/PR:90]:[/BR:90]],Brudnopis!$E$24:$J$24),0)</f>
        <v>0.15263157894736842</v>
      </c>
      <c r="U1918" s="44">
        <f>IF(Mecze[[#This Row],[Role]]&lt;&gt;"BR",SUMPRODUCT(Mecze[[#This Row],[/PR:90]:[/BR:90]],Brudnopis!$E$25:$J$25),0)</f>
        <v>0.17894736842105263</v>
      </c>
      <c r="V1918" s="44">
        <f>IF(Mecze[[#This Row],[Role]]&lt;&gt;"BR",SUMPRODUCT(Mecze[[#This Row],[/PR:90]:[/BR:90]],Brudnopis!$E$26:$J$26),0)</f>
        <v>0.14736842105263159</v>
      </c>
      <c r="W1918" s="44">
        <f>IF(Mecze[[#This Row],[Role]]&lt;&gt;"BR",SUMPRODUCT(Mecze[[#This Row],[/PR:90]:[/BR:90]],Brudnopis!$E$27:$J$27),0)</f>
        <v>0.15789473684210525</v>
      </c>
      <c r="X1918" s="44">
        <f>IF(Mecze[[#This Row],[Role]]&lt;&gt;"BR",SUMPRODUCT(Mecze[[#This Row],[/PR:90]:[/BR:90]],Brudnopis!$E$28:$J$28),0)</f>
        <v>6.3157894736842107E-2</v>
      </c>
      <c r="Y1918" s="35">
        <f>IF(Mecze[[#This Row],[Role]]="BR",Mecze[[#This Row],[/OB:90]]+Mecze[[#This Row],[/PC:90]],SUM(Mecze[[#This Row],[/PR:90]:[/BR:90]]))</f>
        <v>0.14736842105263159</v>
      </c>
      <c r="Z1918" s="35">
        <f>IF(Mecze[[#This Row],[KC]]=0,SUM(Mecze[[#This Row],[/BRI]:[/NPI]]),SUM(Mecze[[#This Row],[/BRI]:[/NPI]])*0.6)</f>
        <v>0.7</v>
      </c>
      <c r="AA1918" s="10">
        <f>IFERROR(Mecze[[#This Row],[BR]]/Mecze[[#This Row],[ST]],0)</f>
        <v>0</v>
      </c>
      <c r="AB1918">
        <f>ROUND(Mecze[[#This Row],[PD]]*Mecze[[#This Row],[%PC]],0)</f>
        <v>6</v>
      </c>
      <c r="AC1918">
        <f>ROUND(Mecze[[#This Row],[OD]]*Mecze[[#This Row],[%OU]],0)</f>
        <v>1</v>
      </c>
      <c r="AD1918" s="36" t="s">
        <v>41</v>
      </c>
      <c r="AE1918" s="36">
        <v>105</v>
      </c>
      <c r="AF1918" s="71">
        <v>5.38</v>
      </c>
      <c r="AG1918" s="37">
        <v>0</v>
      </c>
      <c r="AH1918" s="37">
        <v>0</v>
      </c>
      <c r="AI1918" s="37">
        <v>95</v>
      </c>
      <c r="AJ1918" s="37">
        <v>1</v>
      </c>
      <c r="AK1918" s="37" t="str">
        <f>VLOOKUP(Mecze[[#This Row],[Match ID]],Meczusie[Mecz]:Meczusie[RodzajMeczu],2,FALSE)</f>
        <v>Towarzyski</v>
      </c>
    </row>
    <row r="1919" spans="1:37" x14ac:dyDescent="0.25">
      <c r="A1919" s="76">
        <v>25</v>
      </c>
      <c r="B1919" s="3" t="s">
        <v>366</v>
      </c>
      <c r="C1919" s="2" t="s">
        <v>160</v>
      </c>
      <c r="D1919" s="1">
        <v>0</v>
      </c>
      <c r="E1919" s="1">
        <v>0</v>
      </c>
      <c r="F1919" s="1">
        <v>0</v>
      </c>
      <c r="G1919" s="1">
        <v>7</v>
      </c>
      <c r="H1919" s="4">
        <v>0.43</v>
      </c>
      <c r="I1919" s="1">
        <v>6</v>
      </c>
      <c r="J1919" s="4">
        <v>0.17</v>
      </c>
      <c r="K1919" s="1">
        <v>0</v>
      </c>
      <c r="L1919" s="1">
        <v>5</v>
      </c>
      <c r="M1919" s="32">
        <f>IF(Mecze[[#This Row],[PR]]=0,0,Mecze[[#This Row],[PR]]/Mecze[[#This Row],[CZAS]])</f>
        <v>5.2631578947368418E-2</v>
      </c>
      <c r="N1919" s="32">
        <f>IF(Mecze[[#This Row],[OU]]=0,0,Mecze[[#This Row],[OU]]/Mecze[[#This Row],[CZAS]])</f>
        <v>1.0526315789473684E-2</v>
      </c>
      <c r="O1919" s="32">
        <f>IF(Mecze[[#This Row],[PC]]=0,0,Mecze[[#This Row],[PC]]/Mecze[[#This Row],[CZAS]])</f>
        <v>3.1578947368421054E-2</v>
      </c>
      <c r="P1919" s="32">
        <f>IF(Mecze[[#This Row],[SC]]=0,0,Mecze[[#This Row],[SC]]/Mecze[[#This Row],[CZAS]])</f>
        <v>0</v>
      </c>
      <c r="Q1919" s="32">
        <f>IF(Mecze[[#This Row],[OB]]=0,0,Mecze[[#This Row],[OB]]/Mecze[[#This Row],[CZAS]])</f>
        <v>0</v>
      </c>
      <c r="R1919" s="32">
        <f>IF(Mecze[[#This Row],[BR]]=0,0,Mecze[[#This Row],[BR]]/Mecze[[#This Row],[CZAS]])</f>
        <v>0</v>
      </c>
      <c r="S1919" s="44">
        <f>IF(Mecze[[#This Row],[Role]]="BR",SUMPRODUCT(Mecze[[#This Row],[/PR:90]:[/BR:90]],Brudnopis!$E$23:$J$23),0)</f>
        <v>0</v>
      </c>
      <c r="T1919" s="44">
        <f>IF(Mecze[[#This Row],[Role]]&lt;&gt;"BR",SUMPRODUCT(Mecze[[#This Row],[/PR:90]:[/BR:90]],Brudnopis!$E$24:$J$24),0)</f>
        <v>9.9999999999999992E-2</v>
      </c>
      <c r="U1919" s="44">
        <f>IF(Mecze[[#This Row],[Role]]&lt;&gt;"BR",SUMPRODUCT(Mecze[[#This Row],[/PR:90]:[/BR:90]],Brudnopis!$E$25:$J$25),0)</f>
        <v>0.11052631578947369</v>
      </c>
      <c r="V1919" s="44">
        <f>IF(Mecze[[#This Row],[Role]]&lt;&gt;"BR",SUMPRODUCT(Mecze[[#This Row],[/PR:90]:[/BR:90]],Brudnopis!$E$26:$J$26),0)</f>
        <v>9.4736842105263161E-2</v>
      </c>
      <c r="W1919" s="44">
        <f>IF(Mecze[[#This Row],[Role]]&lt;&gt;"BR",SUMPRODUCT(Mecze[[#This Row],[/PR:90]:[/BR:90]],Brudnopis!$E$27:$J$27),0)</f>
        <v>9.4736842105263147E-2</v>
      </c>
      <c r="X1919" s="44">
        <f>IF(Mecze[[#This Row],[Role]]&lt;&gt;"BR",SUMPRODUCT(Mecze[[#This Row],[/PR:90]:[/BR:90]],Brudnopis!$E$28:$J$28),0)</f>
        <v>3.1578947368421054E-2</v>
      </c>
      <c r="Y1919" s="35">
        <f>IF(Mecze[[#This Row],[Role]]="BR",Mecze[[#This Row],[/OB:90]]+Mecze[[#This Row],[/PC:90]],SUM(Mecze[[#This Row],[/PR:90]:[/BR:90]]))</f>
        <v>9.4736842105263161E-2</v>
      </c>
      <c r="Z1919" s="35">
        <f>IF(Mecze[[#This Row],[KC]]=0,SUM(Mecze[[#This Row],[/BRI]:[/NPI]]),SUM(Mecze[[#This Row],[/BRI]:[/NPI]])*0.6)</f>
        <v>0.43157894736842106</v>
      </c>
      <c r="AA1919" s="10">
        <f>IFERROR(Mecze[[#This Row],[BR]]/Mecze[[#This Row],[ST]],0)</f>
        <v>0</v>
      </c>
      <c r="AB1919">
        <f>ROUND(Mecze[[#This Row],[PD]]*Mecze[[#This Row],[%PC]],0)</f>
        <v>3</v>
      </c>
      <c r="AC1919">
        <f>ROUND(Mecze[[#This Row],[OD]]*Mecze[[#This Row],[%OU]],0)</f>
        <v>1</v>
      </c>
      <c r="AD1919" s="36" t="s">
        <v>44</v>
      </c>
      <c r="AE1919" s="36">
        <v>105</v>
      </c>
      <c r="AF1919" s="71">
        <v>2.64</v>
      </c>
      <c r="AG1919" s="37">
        <v>1</v>
      </c>
      <c r="AH1919" s="37">
        <v>0</v>
      </c>
      <c r="AI1919" s="37">
        <v>95</v>
      </c>
      <c r="AJ1919" s="37">
        <v>1</v>
      </c>
      <c r="AK1919" s="37" t="str">
        <f>VLOOKUP(Mecze[[#This Row],[Match ID]],Meczusie[Mecz]:Meczusie[RodzajMeczu],2,FALSE)</f>
        <v>Towarzyski</v>
      </c>
    </row>
    <row r="1920" spans="1:37" x14ac:dyDescent="0.25">
      <c r="A1920" s="76">
        <v>28</v>
      </c>
      <c r="B1920" s="3" t="s">
        <v>419</v>
      </c>
      <c r="C1920" s="2" t="s">
        <v>160</v>
      </c>
      <c r="D1920" s="1">
        <v>0</v>
      </c>
      <c r="E1920" s="1">
        <v>0</v>
      </c>
      <c r="F1920" s="1">
        <v>0</v>
      </c>
      <c r="G1920" s="1">
        <v>4</v>
      </c>
      <c r="H1920" s="4">
        <v>0.25</v>
      </c>
      <c r="I1920" s="1">
        <v>2</v>
      </c>
      <c r="J1920" s="4">
        <v>0</v>
      </c>
      <c r="K1920" s="1">
        <v>0</v>
      </c>
      <c r="L1920" s="1">
        <v>1</v>
      </c>
      <c r="M1920" s="32">
        <f>IF(Mecze[[#This Row],[PR]]=0,0,Mecze[[#This Row],[PR]]/Mecze[[#This Row],[CZAS]])</f>
        <v>1.0526315789473684E-2</v>
      </c>
      <c r="N1920" s="32">
        <f>IF(Mecze[[#This Row],[OU]]=0,0,Mecze[[#This Row],[OU]]/Mecze[[#This Row],[CZAS]])</f>
        <v>0</v>
      </c>
      <c r="O1920" s="32">
        <f>IF(Mecze[[#This Row],[PC]]=0,0,Mecze[[#This Row],[PC]]/Mecze[[#This Row],[CZAS]])</f>
        <v>1.0526315789473684E-2</v>
      </c>
      <c r="P1920" s="32">
        <f>IF(Mecze[[#This Row],[SC]]=0,0,Mecze[[#This Row],[SC]]/Mecze[[#This Row],[CZAS]])</f>
        <v>0</v>
      </c>
      <c r="Q1920" s="32">
        <f>IF(Mecze[[#This Row],[OB]]=0,0,Mecze[[#This Row],[OB]]/Mecze[[#This Row],[CZAS]])</f>
        <v>0</v>
      </c>
      <c r="R1920" s="32">
        <f>IF(Mecze[[#This Row],[BR]]=0,0,Mecze[[#This Row],[BR]]/Mecze[[#This Row],[CZAS]])</f>
        <v>0</v>
      </c>
      <c r="S1920" s="44">
        <f>IF(Mecze[[#This Row],[Role]]="BR",SUMPRODUCT(Mecze[[#This Row],[/PR:90]:[/BR:90]],Brudnopis!$E$23:$J$23),0)</f>
        <v>0</v>
      </c>
      <c r="T1920" s="44">
        <f>IF(Mecze[[#This Row],[Role]]&lt;&gt;"BR",SUMPRODUCT(Mecze[[#This Row],[/PR:90]:[/BR:90]],Brudnopis!$E$24:$J$24),0)</f>
        <v>2.1052631578947368E-2</v>
      </c>
      <c r="U1920" s="44">
        <f>IF(Mecze[[#This Row],[Role]]&lt;&gt;"BR",SUMPRODUCT(Mecze[[#This Row],[/PR:90]:[/BR:90]],Brudnopis!$E$25:$J$25),0)</f>
        <v>2.6315789473684209E-2</v>
      </c>
      <c r="V1920" s="44">
        <f>IF(Mecze[[#This Row],[Role]]&lt;&gt;"BR",SUMPRODUCT(Mecze[[#This Row],[/PR:90]:[/BR:90]],Brudnopis!$E$26:$J$26),0)</f>
        <v>2.1052631578947368E-2</v>
      </c>
      <c r="W1920" s="44">
        <f>IF(Mecze[[#This Row],[Role]]&lt;&gt;"BR",SUMPRODUCT(Mecze[[#This Row],[/PR:90]:[/BR:90]],Brudnopis!$E$27:$J$27),0)</f>
        <v>2.368421052631579E-2</v>
      </c>
      <c r="X1920" s="44">
        <f>IF(Mecze[[#This Row],[Role]]&lt;&gt;"BR",SUMPRODUCT(Mecze[[#This Row],[/PR:90]:[/BR:90]],Brudnopis!$E$28:$J$28),0)</f>
        <v>1.0526315789473684E-2</v>
      </c>
      <c r="Y1920" s="35">
        <f>IF(Mecze[[#This Row],[Role]]="BR",Mecze[[#This Row],[/OB:90]]+Mecze[[#This Row],[/PC:90]],SUM(Mecze[[#This Row],[/PR:90]:[/BR:90]]))</f>
        <v>2.1052631578947368E-2</v>
      </c>
      <c r="Z1920" s="35">
        <f>IF(Mecze[[#This Row],[KC]]=0,SUM(Mecze[[#This Row],[/BRI]:[/NPI]]),SUM(Mecze[[#This Row],[/BRI]:[/NPI]])*0.6)</f>
        <v>0.10263157894736842</v>
      </c>
      <c r="AA1920" s="10">
        <f>IFERROR(Mecze[[#This Row],[BR]]/Mecze[[#This Row],[ST]],0)</f>
        <v>0</v>
      </c>
      <c r="AB1920">
        <f>ROUND(Mecze[[#This Row],[PD]]*Mecze[[#This Row],[%PC]],0)</f>
        <v>1</v>
      </c>
      <c r="AC1920">
        <f>ROUND(Mecze[[#This Row],[OD]]*Mecze[[#This Row],[%OU]],0)</f>
        <v>0</v>
      </c>
      <c r="AD1920" s="36" t="s">
        <v>44</v>
      </c>
      <c r="AE1920" s="36">
        <v>105</v>
      </c>
      <c r="AF1920" s="71">
        <v>2.91</v>
      </c>
      <c r="AG1920" s="37">
        <v>0</v>
      </c>
      <c r="AH1920" s="37">
        <v>0</v>
      </c>
      <c r="AI1920" s="37">
        <v>95</v>
      </c>
      <c r="AJ1920" s="37">
        <v>1</v>
      </c>
      <c r="AK1920" s="37" t="str">
        <f>VLOOKUP(Mecze[[#This Row],[Match ID]],Meczusie[Mecz]:Meczusie[RodzajMeczu],2,FALSE)</f>
        <v>Towarzyski</v>
      </c>
    </row>
    <row r="1921" spans="1:37" x14ac:dyDescent="0.25">
      <c r="A1921" s="76">
        <v>27</v>
      </c>
      <c r="B1921" s="3" t="s">
        <v>364</v>
      </c>
      <c r="C1921" s="2" t="s">
        <v>165</v>
      </c>
      <c r="D1921" s="1">
        <v>0</v>
      </c>
      <c r="E1921" s="1">
        <v>0</v>
      </c>
      <c r="F1921" s="1">
        <v>0</v>
      </c>
      <c r="G1921" s="1">
        <v>4</v>
      </c>
      <c r="H1921" s="4">
        <v>0</v>
      </c>
      <c r="I1921" s="1">
        <v>2</v>
      </c>
      <c r="J1921" s="4">
        <v>0</v>
      </c>
      <c r="K1921" s="1">
        <v>0</v>
      </c>
      <c r="L1921" s="1">
        <v>3</v>
      </c>
      <c r="M1921" s="32">
        <f>IF(Mecze[[#This Row],[PR]]=0,0,Mecze[[#This Row],[PR]]/Mecze[[#This Row],[CZAS]])</f>
        <v>3.1578947368421054E-2</v>
      </c>
      <c r="N1921" s="32">
        <f>IF(Mecze[[#This Row],[OU]]=0,0,Mecze[[#This Row],[OU]]/Mecze[[#This Row],[CZAS]])</f>
        <v>0</v>
      </c>
      <c r="O1921" s="32">
        <f>IF(Mecze[[#This Row],[PC]]=0,0,Mecze[[#This Row],[PC]]/Mecze[[#This Row],[CZAS]])</f>
        <v>0</v>
      </c>
      <c r="P1921" s="32">
        <f>IF(Mecze[[#This Row],[SC]]=0,0,Mecze[[#This Row],[SC]]/Mecze[[#This Row],[CZAS]])</f>
        <v>0</v>
      </c>
      <c r="Q1921" s="32">
        <f>IF(Mecze[[#This Row],[OB]]=0,0,Mecze[[#This Row],[OB]]/Mecze[[#This Row],[CZAS]])</f>
        <v>0</v>
      </c>
      <c r="R1921" s="32">
        <f>IF(Mecze[[#This Row],[BR]]=0,0,Mecze[[#This Row],[BR]]/Mecze[[#This Row],[CZAS]])</f>
        <v>0</v>
      </c>
      <c r="S1921" s="44">
        <f>IF(Mecze[[#This Row],[Role]]="BR",SUMPRODUCT(Mecze[[#This Row],[/PR:90]:[/BR:90]],Brudnopis!$E$23:$J$23),0)</f>
        <v>0</v>
      </c>
      <c r="T1921" s="44">
        <f>IF(Mecze[[#This Row],[Role]]&lt;&gt;"BR",SUMPRODUCT(Mecze[[#This Row],[/PR:90]:[/BR:90]],Brudnopis!$E$24:$J$24),0)</f>
        <v>3.1578947368421054E-2</v>
      </c>
      <c r="U1921" s="44">
        <f>IF(Mecze[[#This Row],[Role]]&lt;&gt;"BR",SUMPRODUCT(Mecze[[#This Row],[/PR:90]:[/BR:90]],Brudnopis!$E$25:$J$25),0)</f>
        <v>3.1578947368421054E-2</v>
      </c>
      <c r="V1921" s="44">
        <f>IF(Mecze[[#This Row],[Role]]&lt;&gt;"BR",SUMPRODUCT(Mecze[[#This Row],[/PR:90]:[/BR:90]],Brudnopis!$E$26:$J$26),0)</f>
        <v>3.1578947368421054E-2</v>
      </c>
      <c r="W1921" s="44">
        <f>IF(Mecze[[#This Row],[Role]]&lt;&gt;"BR",SUMPRODUCT(Mecze[[#This Row],[/PR:90]:[/BR:90]],Brudnopis!$E$27:$J$27),0)</f>
        <v>2.368421052631579E-2</v>
      </c>
      <c r="X1921" s="44">
        <f>IF(Mecze[[#This Row],[Role]]&lt;&gt;"BR",SUMPRODUCT(Mecze[[#This Row],[/PR:90]:[/BR:90]],Brudnopis!$E$28:$J$28),0)</f>
        <v>0</v>
      </c>
      <c r="Y1921" s="35">
        <f>IF(Mecze[[#This Row],[Role]]="BR",Mecze[[#This Row],[/OB:90]]+Mecze[[#This Row],[/PC:90]],SUM(Mecze[[#This Row],[/PR:90]:[/BR:90]]))</f>
        <v>3.1578947368421054E-2</v>
      </c>
      <c r="Z1921" s="35">
        <f>IF(Mecze[[#This Row],[KC]]=0,SUM(Mecze[[#This Row],[/BRI]:[/NPI]]),SUM(Mecze[[#This Row],[/BRI]:[/NPI]])*0.6)</f>
        <v>0.11842105263157895</v>
      </c>
      <c r="AA1921" s="10">
        <f>IFERROR(Mecze[[#This Row],[BR]]/Mecze[[#This Row],[ST]],0)</f>
        <v>0</v>
      </c>
      <c r="AB1921">
        <f>ROUND(Mecze[[#This Row],[PD]]*Mecze[[#This Row],[%PC]],0)</f>
        <v>0</v>
      </c>
      <c r="AC1921">
        <f>ROUND(Mecze[[#This Row],[OD]]*Mecze[[#This Row],[%OU]],0)</f>
        <v>0</v>
      </c>
      <c r="AD1921" s="36" t="s">
        <v>46</v>
      </c>
      <c r="AE1921" s="36">
        <v>105</v>
      </c>
      <c r="AF1921" s="71">
        <v>2.71</v>
      </c>
      <c r="AG1921" s="37">
        <v>0</v>
      </c>
      <c r="AH1921" s="37">
        <v>0</v>
      </c>
      <c r="AI1921" s="37">
        <v>95</v>
      </c>
      <c r="AJ1921" s="37">
        <v>1</v>
      </c>
      <c r="AK1921" s="37" t="str">
        <f>VLOOKUP(Mecze[[#This Row],[Match ID]],Meczusie[Mecz]:Meczusie[RodzajMeczu],2,FALSE)</f>
        <v>Towarzyski</v>
      </c>
    </row>
    <row r="1922" spans="1:37" x14ac:dyDescent="0.25">
      <c r="A1922" s="76">
        <v>61</v>
      </c>
      <c r="B1922" s="3" t="s">
        <v>454</v>
      </c>
      <c r="C1922" s="2" t="s">
        <v>165</v>
      </c>
      <c r="D1922" s="1">
        <v>0</v>
      </c>
      <c r="E1922" s="1">
        <v>1</v>
      </c>
      <c r="F1922" s="1">
        <v>1</v>
      </c>
      <c r="G1922" s="1">
        <v>6</v>
      </c>
      <c r="H1922" s="4">
        <v>0.5</v>
      </c>
      <c r="I1922" s="1">
        <v>3</v>
      </c>
      <c r="J1922" s="4">
        <v>0.67</v>
      </c>
      <c r="K1922" s="1">
        <v>0</v>
      </c>
      <c r="L1922" s="1">
        <v>0</v>
      </c>
      <c r="M1922" s="32">
        <f>IF(Mecze[[#This Row],[PR]]=0,0,Mecze[[#This Row],[PR]]/Mecze[[#This Row],[CZAS]])</f>
        <v>0</v>
      </c>
      <c r="N1922" s="32">
        <f>IF(Mecze[[#This Row],[OU]]=0,0,Mecze[[#This Row],[OU]]/Mecze[[#This Row],[CZAS]])</f>
        <v>2.1052631578947368E-2</v>
      </c>
      <c r="O1922" s="32">
        <f>IF(Mecze[[#This Row],[PC]]=0,0,Mecze[[#This Row],[PC]]/Mecze[[#This Row],[CZAS]])</f>
        <v>3.1578947368421054E-2</v>
      </c>
      <c r="P1922" s="32">
        <f>IF(Mecze[[#This Row],[SC]]=0,0,Mecze[[#This Row],[SC]]/Mecze[[#This Row],[CZAS]])</f>
        <v>1.0526315789473684E-2</v>
      </c>
      <c r="Q1922" s="32">
        <f>IF(Mecze[[#This Row],[OB]]=0,0,Mecze[[#This Row],[OB]]/Mecze[[#This Row],[CZAS]])</f>
        <v>0</v>
      </c>
      <c r="R1922" s="32">
        <f>IF(Mecze[[#This Row],[BR]]=0,0,Mecze[[#This Row],[BR]]/Mecze[[#This Row],[CZAS]])</f>
        <v>0</v>
      </c>
      <c r="S1922" s="44">
        <f>IF(Mecze[[#This Row],[Role]]="BR",SUMPRODUCT(Mecze[[#This Row],[/PR:90]:[/BR:90]],Brudnopis!$E$23:$J$23),0)</f>
        <v>0</v>
      </c>
      <c r="T1922" s="44">
        <f>IF(Mecze[[#This Row],[Role]]&lt;&gt;"BR",SUMPRODUCT(Mecze[[#This Row],[/PR:90]:[/BR:90]],Brudnopis!$E$24:$J$24),0)</f>
        <v>7.3684210526315796E-2</v>
      </c>
      <c r="U1922" s="44">
        <f>IF(Mecze[[#This Row],[Role]]&lt;&gt;"BR",SUMPRODUCT(Mecze[[#This Row],[/PR:90]:[/BR:90]],Brudnopis!$E$25:$J$25),0)</f>
        <v>7.8947368421052641E-2</v>
      </c>
      <c r="V1922" s="44">
        <f>IF(Mecze[[#This Row],[Role]]&lt;&gt;"BR",SUMPRODUCT(Mecze[[#This Row],[/PR:90]:[/BR:90]],Brudnopis!$E$26:$J$26),0)</f>
        <v>6.3157894736842107E-2</v>
      </c>
      <c r="W1922" s="44">
        <f>IF(Mecze[[#This Row],[Role]]&lt;&gt;"BR",SUMPRODUCT(Mecze[[#This Row],[/PR:90]:[/BR:90]],Brudnopis!$E$27:$J$27),0)</f>
        <v>7.3684210526315796E-2</v>
      </c>
      <c r="X1922" s="44">
        <f>IF(Mecze[[#This Row],[Role]]&lt;&gt;"BR",SUMPRODUCT(Mecze[[#This Row],[/PR:90]:[/BR:90]],Brudnopis!$E$28:$J$28),0)</f>
        <v>5.2631578947368418E-2</v>
      </c>
      <c r="Y1922" s="35">
        <f>IF(Mecze[[#This Row],[Role]]="BR",Mecze[[#This Row],[/OB:90]]+Mecze[[#This Row],[/PC:90]],SUM(Mecze[[#This Row],[/PR:90]:[/BR:90]]))</f>
        <v>6.3157894736842107E-2</v>
      </c>
      <c r="Z1922" s="35">
        <f>IF(Mecze[[#This Row],[KC]]=0,SUM(Mecze[[#This Row],[/BRI]:[/NPI]]),SUM(Mecze[[#This Row],[/BRI]:[/NPI]])*0.6)</f>
        <v>0.34210526315789475</v>
      </c>
      <c r="AA1922" s="10">
        <f>IFERROR(Mecze[[#This Row],[BR]]/Mecze[[#This Row],[ST]],0)</f>
        <v>0</v>
      </c>
      <c r="AB1922">
        <f>ROUND(Mecze[[#This Row],[PD]]*Mecze[[#This Row],[%PC]],0)</f>
        <v>3</v>
      </c>
      <c r="AC1922">
        <f>ROUND(Mecze[[#This Row],[OD]]*Mecze[[#This Row],[%OU]],0)</f>
        <v>2</v>
      </c>
      <c r="AD1922" s="36" t="s">
        <v>46</v>
      </c>
      <c r="AE1922" s="36">
        <v>105</v>
      </c>
      <c r="AF1922" s="71">
        <v>4.26</v>
      </c>
      <c r="AG1922" s="37">
        <v>0</v>
      </c>
      <c r="AH1922" s="37">
        <v>0</v>
      </c>
      <c r="AI1922" s="37">
        <v>95</v>
      </c>
      <c r="AJ1922" s="37">
        <v>1</v>
      </c>
      <c r="AK1922" s="37" t="str">
        <f>VLOOKUP(Mecze[[#This Row],[Match ID]],Meczusie[Mecz]:Meczusie[RodzajMeczu],2,FALSE)</f>
        <v>Towarzyski</v>
      </c>
    </row>
    <row r="1923" spans="1:37" x14ac:dyDescent="0.25">
      <c r="A1923" s="76">
        <v>31</v>
      </c>
      <c r="B1923" s="3" t="s">
        <v>365</v>
      </c>
      <c r="C1923" s="2" t="s">
        <v>165</v>
      </c>
      <c r="D1923" s="1">
        <v>0</v>
      </c>
      <c r="E1923" s="1">
        <v>1</v>
      </c>
      <c r="F1923" s="1">
        <v>0</v>
      </c>
      <c r="G1923" s="1">
        <v>3</v>
      </c>
      <c r="H1923" s="4">
        <v>0.67</v>
      </c>
      <c r="I1923" s="1">
        <v>5</v>
      </c>
      <c r="J1923" s="4">
        <v>0.2</v>
      </c>
      <c r="K1923" s="1">
        <v>0</v>
      </c>
      <c r="L1923" s="1">
        <v>0</v>
      </c>
      <c r="M1923" s="32">
        <f>IF(Mecze[[#This Row],[PR]]=0,0,Mecze[[#This Row],[PR]]/Mecze[[#This Row],[CZAS]])</f>
        <v>0</v>
      </c>
      <c r="N1923" s="32">
        <f>IF(Mecze[[#This Row],[OU]]=0,0,Mecze[[#This Row],[OU]]/Mecze[[#This Row],[CZAS]])</f>
        <v>1.0526315789473684E-2</v>
      </c>
      <c r="O1923" s="32">
        <f>IF(Mecze[[#This Row],[PC]]=0,0,Mecze[[#This Row],[PC]]/Mecze[[#This Row],[CZAS]])</f>
        <v>2.1052631578947368E-2</v>
      </c>
      <c r="P1923" s="32">
        <f>IF(Mecze[[#This Row],[SC]]=0,0,Mecze[[#This Row],[SC]]/Mecze[[#This Row],[CZAS]])</f>
        <v>0</v>
      </c>
      <c r="Q1923" s="32">
        <f>IF(Mecze[[#This Row],[OB]]=0,0,Mecze[[#This Row],[OB]]/Mecze[[#This Row],[CZAS]])</f>
        <v>0</v>
      </c>
      <c r="R1923" s="32">
        <f>IF(Mecze[[#This Row],[BR]]=0,0,Mecze[[#This Row],[BR]]/Mecze[[#This Row],[CZAS]])</f>
        <v>0</v>
      </c>
      <c r="S1923" s="44">
        <f>IF(Mecze[[#This Row],[Role]]="BR",SUMPRODUCT(Mecze[[#This Row],[/PR:90]:[/BR:90]],Brudnopis!$E$23:$J$23),0)</f>
        <v>0</v>
      </c>
      <c r="T1923" s="44">
        <f>IF(Mecze[[#This Row],[Role]]&lt;&gt;"BR",SUMPRODUCT(Mecze[[#This Row],[/PR:90]:[/BR:90]],Brudnopis!$E$24:$J$24),0)</f>
        <v>3.6842105263157898E-2</v>
      </c>
      <c r="U1923" s="44">
        <f>IF(Mecze[[#This Row],[Role]]&lt;&gt;"BR",SUMPRODUCT(Mecze[[#This Row],[/PR:90]:[/BR:90]],Brudnopis!$E$25:$J$25),0)</f>
        <v>4.2105263157894736E-2</v>
      </c>
      <c r="V1923" s="44">
        <f>IF(Mecze[[#This Row],[Role]]&lt;&gt;"BR",SUMPRODUCT(Mecze[[#This Row],[/PR:90]:[/BR:90]],Brudnopis!$E$26:$J$26),0)</f>
        <v>3.1578947368421054E-2</v>
      </c>
      <c r="W1923" s="44">
        <f>IF(Mecze[[#This Row],[Role]]&lt;&gt;"BR",SUMPRODUCT(Mecze[[#This Row],[/PR:90]:[/BR:90]],Brudnopis!$E$27:$J$27),0)</f>
        <v>3.9473684210526314E-2</v>
      </c>
      <c r="X1923" s="44">
        <f>IF(Mecze[[#This Row],[Role]]&lt;&gt;"BR",SUMPRODUCT(Mecze[[#This Row],[/PR:90]:[/BR:90]],Brudnopis!$E$28:$J$28),0)</f>
        <v>2.1052631578947368E-2</v>
      </c>
      <c r="Y1923" s="35">
        <f>IF(Mecze[[#This Row],[Role]]="BR",Mecze[[#This Row],[/OB:90]]+Mecze[[#This Row],[/PC:90]],SUM(Mecze[[#This Row],[/PR:90]:[/BR:90]]))</f>
        <v>3.1578947368421054E-2</v>
      </c>
      <c r="Z1923" s="35">
        <f>IF(Mecze[[#This Row],[KC]]=0,SUM(Mecze[[#This Row],[/BRI]:[/NPI]]),SUM(Mecze[[#This Row],[/BRI]:[/NPI]])*0.6)</f>
        <v>0.17105263157894737</v>
      </c>
      <c r="AA1923" s="10">
        <f>IFERROR(Mecze[[#This Row],[BR]]/Mecze[[#This Row],[ST]],0)</f>
        <v>0</v>
      </c>
      <c r="AB1923">
        <f>ROUND(Mecze[[#This Row],[PD]]*Mecze[[#This Row],[%PC]],0)</f>
        <v>2</v>
      </c>
      <c r="AC1923">
        <f>ROUND(Mecze[[#This Row],[OD]]*Mecze[[#This Row],[%OU]],0)</f>
        <v>1</v>
      </c>
      <c r="AD1923" s="36" t="s">
        <v>46</v>
      </c>
      <c r="AE1923" s="36">
        <v>105</v>
      </c>
      <c r="AF1923" s="71">
        <v>2.71</v>
      </c>
      <c r="AG1923" s="37">
        <v>0</v>
      </c>
      <c r="AH1923" s="37">
        <v>0</v>
      </c>
      <c r="AI1923" s="37">
        <v>95</v>
      </c>
      <c r="AJ1923" s="37">
        <v>1</v>
      </c>
      <c r="AK1923" s="37" t="str">
        <f>VLOOKUP(Mecze[[#This Row],[Match ID]],Meczusie[Mecz]:Meczusie[RodzajMeczu],2,FALSE)</f>
        <v>Towarzyski</v>
      </c>
    </row>
    <row r="1924" spans="1:37" x14ac:dyDescent="0.25">
      <c r="A1924" s="76">
        <v>39</v>
      </c>
      <c r="B1924" s="3" t="s">
        <v>450</v>
      </c>
      <c r="C1924" s="2" t="s">
        <v>155</v>
      </c>
      <c r="D1924" s="1">
        <v>0</v>
      </c>
      <c r="E1924" s="1">
        <v>0</v>
      </c>
      <c r="F1924" s="1">
        <v>0</v>
      </c>
      <c r="G1924" s="1">
        <v>3</v>
      </c>
      <c r="H1924" s="4">
        <v>0.33</v>
      </c>
      <c r="I1924" s="1">
        <v>0</v>
      </c>
      <c r="J1924" s="4"/>
      <c r="K1924" s="1">
        <v>1</v>
      </c>
      <c r="L1924" s="1">
        <v>0</v>
      </c>
      <c r="M1924" s="32">
        <f>IF(Mecze[[#This Row],[PR]]=0,0,Mecze[[#This Row],[PR]]/Mecze[[#This Row],[CZAS]])</f>
        <v>0</v>
      </c>
      <c r="N1924" s="32">
        <f>IF(Mecze[[#This Row],[OU]]=0,0,Mecze[[#This Row],[OU]]/Mecze[[#This Row],[CZAS]])</f>
        <v>0</v>
      </c>
      <c r="O1924" s="32">
        <f>IF(Mecze[[#This Row],[PC]]=0,0,Mecze[[#This Row],[PC]]/Mecze[[#This Row],[CZAS]])</f>
        <v>1.0416666666666666E-2</v>
      </c>
      <c r="P1924" s="32">
        <f>IF(Mecze[[#This Row],[SC]]=0,0,Mecze[[#This Row],[SC]]/Mecze[[#This Row],[CZAS]])</f>
        <v>0</v>
      </c>
      <c r="Q1924" s="32">
        <f>IF(Mecze[[#This Row],[OB]]=0,0,Mecze[[#This Row],[OB]]/Mecze[[#This Row],[CZAS]])</f>
        <v>1.0416666666666666E-2</v>
      </c>
      <c r="R1924" s="32">
        <f>IF(Mecze[[#This Row],[BR]]=0,0,Mecze[[#This Row],[BR]]/Mecze[[#This Row],[CZAS]])</f>
        <v>0</v>
      </c>
      <c r="S1924" s="44">
        <f>IF(Mecze[[#This Row],[Role]]="BR",SUMPRODUCT(Mecze[[#This Row],[/PR:90]:[/BR:90]],Brudnopis!$E$23:$J$23),0)</f>
        <v>6.25E-2</v>
      </c>
      <c r="T1924" s="44">
        <f>IF(Mecze[[#This Row],[Role]]&lt;&gt;"BR",SUMPRODUCT(Mecze[[#This Row],[/PR:90]:[/BR:90]],Brudnopis!$E$24:$J$24),0)</f>
        <v>0</v>
      </c>
      <c r="U1924" s="44">
        <f>IF(Mecze[[#This Row],[Role]]&lt;&gt;"BR",SUMPRODUCT(Mecze[[#This Row],[/PR:90]:[/BR:90]],Brudnopis!$E$25:$J$25),0)</f>
        <v>0</v>
      </c>
      <c r="V1924" s="44">
        <f>IF(Mecze[[#This Row],[Role]]&lt;&gt;"BR",SUMPRODUCT(Mecze[[#This Row],[/PR:90]:[/BR:90]],Brudnopis!$E$26:$J$26),0)</f>
        <v>0</v>
      </c>
      <c r="W1924" s="44">
        <f>IF(Mecze[[#This Row],[Role]]&lt;&gt;"BR",SUMPRODUCT(Mecze[[#This Row],[/PR:90]:[/BR:90]],Brudnopis!$E$27:$J$27),0)</f>
        <v>0</v>
      </c>
      <c r="X1924" s="44">
        <f>IF(Mecze[[#This Row],[Role]]&lt;&gt;"BR",SUMPRODUCT(Mecze[[#This Row],[/PR:90]:[/BR:90]],Brudnopis!$E$28:$J$28),0)</f>
        <v>0</v>
      </c>
      <c r="Y1924" s="35">
        <f>IF(Mecze[[#This Row],[Role]]="BR",Mecze[[#This Row],[/OB:90]]+Mecze[[#This Row],[/PC:90]],SUM(Mecze[[#This Row],[/PR:90]:[/BR:90]]))</f>
        <v>2.0833333333333332E-2</v>
      </c>
      <c r="Z1924" s="35">
        <f>IF(Mecze[[#This Row],[KC]]=0,SUM(Mecze[[#This Row],[/BRI]:[/NPI]]),SUM(Mecze[[#This Row],[/BRI]:[/NPI]])*0.6)</f>
        <v>6.25E-2</v>
      </c>
      <c r="AA1924" s="10">
        <f>IFERROR(Mecze[[#This Row],[BR]]/Mecze[[#This Row],[ST]],0)</f>
        <v>0</v>
      </c>
      <c r="AB1924">
        <f>ROUND(Mecze[[#This Row],[PD]]*Mecze[[#This Row],[%PC]],0)</f>
        <v>1</v>
      </c>
      <c r="AC1924">
        <f>ROUND(Mecze[[#This Row],[OD]]*Mecze[[#This Row],[%OU]],0)</f>
        <v>0</v>
      </c>
      <c r="AD1924" s="36" t="s">
        <v>40</v>
      </c>
      <c r="AE1924" s="36">
        <v>106</v>
      </c>
      <c r="AF1924" s="71">
        <v>7.39</v>
      </c>
      <c r="AG1924" s="37">
        <v>0</v>
      </c>
      <c r="AH1924" s="37">
        <v>0</v>
      </c>
      <c r="AI1924" s="37">
        <v>96</v>
      </c>
      <c r="AJ1924" s="37">
        <v>1</v>
      </c>
      <c r="AK1924" s="37" t="str">
        <f>VLOOKUP(Mecze[[#This Row],[Match ID]],Meczusie[Mecz]:Meczusie[RodzajMeczu],2,FALSE)</f>
        <v>Towarzyski</v>
      </c>
    </row>
    <row r="1925" spans="1:37" x14ac:dyDescent="0.25">
      <c r="A1925" s="76">
        <v>38</v>
      </c>
      <c r="B1925" s="3" t="s">
        <v>359</v>
      </c>
      <c r="C1925" s="2" t="s">
        <v>157</v>
      </c>
      <c r="D1925" s="1">
        <v>0</v>
      </c>
      <c r="E1925" s="1">
        <v>0</v>
      </c>
      <c r="F1925" s="1">
        <v>0</v>
      </c>
      <c r="G1925" s="1">
        <v>9</v>
      </c>
      <c r="H1925" s="4">
        <v>0.78</v>
      </c>
      <c r="I1925" s="1">
        <v>1</v>
      </c>
      <c r="J1925" s="4">
        <v>1</v>
      </c>
      <c r="K1925" s="1">
        <v>0</v>
      </c>
      <c r="L1925" s="1">
        <v>7</v>
      </c>
      <c r="M1925" s="32">
        <f>IF(Mecze[[#This Row],[PR]]=0,0,Mecze[[#This Row],[PR]]/Mecze[[#This Row],[CZAS]])</f>
        <v>7.2916666666666671E-2</v>
      </c>
      <c r="N1925" s="32">
        <f>IF(Mecze[[#This Row],[OU]]=0,0,Mecze[[#This Row],[OU]]/Mecze[[#This Row],[CZAS]])</f>
        <v>1.0416666666666666E-2</v>
      </c>
      <c r="O1925" s="32">
        <f>IF(Mecze[[#This Row],[PC]]=0,0,Mecze[[#This Row],[PC]]/Mecze[[#This Row],[CZAS]])</f>
        <v>7.2916666666666671E-2</v>
      </c>
      <c r="P1925" s="32">
        <f>IF(Mecze[[#This Row],[SC]]=0,0,Mecze[[#This Row],[SC]]/Mecze[[#This Row],[CZAS]])</f>
        <v>0</v>
      </c>
      <c r="Q1925" s="32">
        <f>IF(Mecze[[#This Row],[OB]]=0,0,Mecze[[#This Row],[OB]]/Mecze[[#This Row],[CZAS]])</f>
        <v>0</v>
      </c>
      <c r="R1925" s="32">
        <f>IF(Mecze[[#This Row],[BR]]=0,0,Mecze[[#This Row],[BR]]/Mecze[[#This Row],[CZAS]])</f>
        <v>0</v>
      </c>
      <c r="S1925" s="44">
        <f>IF(Mecze[[#This Row],[Role]]="BR",SUMPRODUCT(Mecze[[#This Row],[/PR:90]:[/BR:90]],Brudnopis!$E$23:$J$23),0)</f>
        <v>0</v>
      </c>
      <c r="T1925" s="44">
        <f>IF(Mecze[[#This Row],[Role]]&lt;&gt;"BR",SUMPRODUCT(Mecze[[#This Row],[/PR:90]:[/BR:90]],Brudnopis!$E$24:$J$24),0)</f>
        <v>0.16145833333333334</v>
      </c>
      <c r="U1925" s="44">
        <f>IF(Mecze[[#This Row],[Role]]&lt;&gt;"BR",SUMPRODUCT(Mecze[[#This Row],[/PR:90]:[/BR:90]],Brudnopis!$E$25:$J$25),0)</f>
        <v>0.19270833333333334</v>
      </c>
      <c r="V1925" s="44">
        <f>IF(Mecze[[#This Row],[Role]]&lt;&gt;"BR",SUMPRODUCT(Mecze[[#This Row],[/PR:90]:[/BR:90]],Brudnopis!$E$26:$J$26),0)</f>
        <v>0.15625</v>
      </c>
      <c r="W1925" s="44">
        <f>IF(Mecze[[#This Row],[Role]]&lt;&gt;"BR",SUMPRODUCT(Mecze[[#This Row],[/PR:90]:[/BR:90]],Brudnopis!$E$27:$J$27),0)</f>
        <v>0.171875</v>
      </c>
      <c r="X1925" s="44">
        <f>IF(Mecze[[#This Row],[Role]]&lt;&gt;"BR",SUMPRODUCT(Mecze[[#This Row],[/PR:90]:[/BR:90]],Brudnopis!$E$28:$J$28),0)</f>
        <v>7.2916666666666671E-2</v>
      </c>
      <c r="Y1925" s="35">
        <f>IF(Mecze[[#This Row],[Role]]="BR",Mecze[[#This Row],[/OB:90]]+Mecze[[#This Row],[/PC:90]],SUM(Mecze[[#This Row],[/PR:90]:[/BR:90]]))</f>
        <v>0.15625</v>
      </c>
      <c r="Z1925" s="35">
        <f>IF(Mecze[[#This Row],[KC]]=0,SUM(Mecze[[#This Row],[/BRI]:[/NPI]]),SUM(Mecze[[#This Row],[/BRI]:[/NPI]])*0.6)</f>
        <v>0.75520833333333337</v>
      </c>
      <c r="AA1925" s="10">
        <f>IFERROR(Mecze[[#This Row],[BR]]/Mecze[[#This Row],[ST]],0)</f>
        <v>0</v>
      </c>
      <c r="AB1925">
        <f>ROUND(Mecze[[#This Row],[PD]]*Mecze[[#This Row],[%PC]],0)</f>
        <v>7</v>
      </c>
      <c r="AC1925">
        <f>ROUND(Mecze[[#This Row],[OD]]*Mecze[[#This Row],[%OU]],0)</f>
        <v>1</v>
      </c>
      <c r="AD1925" s="36" t="s">
        <v>47</v>
      </c>
      <c r="AE1925" s="36">
        <v>106</v>
      </c>
      <c r="AF1925" s="71">
        <v>8.51</v>
      </c>
      <c r="AG1925" s="37">
        <v>0</v>
      </c>
      <c r="AH1925" s="37">
        <v>0</v>
      </c>
      <c r="AI1925" s="37">
        <v>96</v>
      </c>
      <c r="AJ1925" s="37">
        <v>1</v>
      </c>
      <c r="AK1925" s="37" t="str">
        <f>VLOOKUP(Mecze[[#This Row],[Match ID]],Meczusie[Mecz]:Meczusie[RodzajMeczu],2,FALSE)</f>
        <v>Towarzyski</v>
      </c>
    </row>
    <row r="1926" spans="1:37" x14ac:dyDescent="0.25">
      <c r="A1926" s="76">
        <v>4</v>
      </c>
      <c r="B1926" s="3" t="s">
        <v>360</v>
      </c>
      <c r="C1926" s="2" t="s">
        <v>157</v>
      </c>
      <c r="D1926" s="1">
        <v>0</v>
      </c>
      <c r="E1926" s="1">
        <v>1</v>
      </c>
      <c r="F1926" s="1">
        <v>1</v>
      </c>
      <c r="G1926" s="1">
        <v>8</v>
      </c>
      <c r="H1926" s="4">
        <v>0.63</v>
      </c>
      <c r="I1926" s="1">
        <v>5</v>
      </c>
      <c r="J1926" s="4">
        <v>0.4</v>
      </c>
      <c r="K1926" s="1">
        <v>0</v>
      </c>
      <c r="L1926" s="1">
        <v>11</v>
      </c>
      <c r="M1926" s="32">
        <f>IF(Mecze[[#This Row],[PR]]=0,0,Mecze[[#This Row],[PR]]/Mecze[[#This Row],[CZAS]])</f>
        <v>0.11458333333333333</v>
      </c>
      <c r="N1926" s="32">
        <f>IF(Mecze[[#This Row],[OU]]=0,0,Mecze[[#This Row],[OU]]/Mecze[[#This Row],[CZAS]])</f>
        <v>2.0833333333333332E-2</v>
      </c>
      <c r="O1926" s="32">
        <f>IF(Mecze[[#This Row],[PC]]=0,0,Mecze[[#This Row],[PC]]/Mecze[[#This Row],[CZAS]])</f>
        <v>5.2083333333333336E-2</v>
      </c>
      <c r="P1926" s="32">
        <f>IF(Mecze[[#This Row],[SC]]=0,0,Mecze[[#This Row],[SC]]/Mecze[[#This Row],[CZAS]])</f>
        <v>1.0416666666666666E-2</v>
      </c>
      <c r="Q1926" s="32">
        <f>IF(Mecze[[#This Row],[OB]]=0,0,Mecze[[#This Row],[OB]]/Mecze[[#This Row],[CZAS]])</f>
        <v>0</v>
      </c>
      <c r="R1926" s="32">
        <f>IF(Mecze[[#This Row],[BR]]=0,0,Mecze[[#This Row],[BR]]/Mecze[[#This Row],[CZAS]])</f>
        <v>0</v>
      </c>
      <c r="S1926" s="44">
        <f>IF(Mecze[[#This Row],[Role]]="BR",SUMPRODUCT(Mecze[[#This Row],[/PR:90]:[/BR:90]],Brudnopis!$E$23:$J$23),0)</f>
        <v>0</v>
      </c>
      <c r="T1926" s="44">
        <f>IF(Mecze[[#This Row],[Role]]&lt;&gt;"BR",SUMPRODUCT(Mecze[[#This Row],[/PR:90]:[/BR:90]],Brudnopis!$E$24:$J$24),0)</f>
        <v>0.20833333333333331</v>
      </c>
      <c r="U1926" s="44">
        <f>IF(Mecze[[#This Row],[Role]]&lt;&gt;"BR",SUMPRODUCT(Mecze[[#This Row],[/PR:90]:[/BR:90]],Brudnopis!$E$25:$J$25),0)</f>
        <v>0.22395833333333331</v>
      </c>
      <c r="V1926" s="44">
        <f>IF(Mecze[[#This Row],[Role]]&lt;&gt;"BR",SUMPRODUCT(Mecze[[#This Row],[/PR:90]:[/BR:90]],Brudnopis!$E$26:$J$26),0)</f>
        <v>0.19791666666666666</v>
      </c>
      <c r="W1926" s="44">
        <f>IF(Mecze[[#This Row],[Role]]&lt;&gt;"BR",SUMPRODUCT(Mecze[[#This Row],[/PR:90]:[/BR:90]],Brudnopis!$E$27:$J$27),0)</f>
        <v>0.19010416666666666</v>
      </c>
      <c r="X1926" s="44">
        <f>IF(Mecze[[#This Row],[Role]]&lt;&gt;"BR",SUMPRODUCT(Mecze[[#This Row],[/PR:90]:[/BR:90]],Brudnopis!$E$28:$J$28),0)</f>
        <v>7.2916666666666671E-2</v>
      </c>
      <c r="Y1926" s="35">
        <f>IF(Mecze[[#This Row],[Role]]="BR",Mecze[[#This Row],[/OB:90]]+Mecze[[#This Row],[/PC:90]],SUM(Mecze[[#This Row],[/PR:90]:[/BR:90]]))</f>
        <v>0.19791666666666666</v>
      </c>
      <c r="Z1926" s="35">
        <f>IF(Mecze[[#This Row],[KC]]=0,SUM(Mecze[[#This Row],[/BRI]:[/NPI]]),SUM(Mecze[[#This Row],[/BRI]:[/NPI]])*0.6)</f>
        <v>0.89322916666666652</v>
      </c>
      <c r="AA1926" s="10">
        <f>IFERROR(Mecze[[#This Row],[BR]]/Mecze[[#This Row],[ST]],0)</f>
        <v>0</v>
      </c>
      <c r="AB1926">
        <f>ROUND(Mecze[[#This Row],[PD]]*Mecze[[#This Row],[%PC]],0)</f>
        <v>5</v>
      </c>
      <c r="AC1926">
        <f>ROUND(Mecze[[#This Row],[OD]]*Mecze[[#This Row],[%OU]],0)</f>
        <v>2</v>
      </c>
      <c r="AD1926" s="36" t="s">
        <v>168</v>
      </c>
      <c r="AE1926" s="36">
        <v>106</v>
      </c>
      <c r="AF1926" s="71">
        <v>9.35</v>
      </c>
      <c r="AG1926" s="37">
        <v>0</v>
      </c>
      <c r="AH1926" s="37">
        <v>0</v>
      </c>
      <c r="AI1926" s="37">
        <v>96</v>
      </c>
      <c r="AJ1926" s="37">
        <v>1</v>
      </c>
      <c r="AK1926" s="37" t="str">
        <f>VLOOKUP(Mecze[[#This Row],[Match ID]],Meczusie[Mecz]:Meczusie[RodzajMeczu],2,FALSE)</f>
        <v>Towarzyski</v>
      </c>
    </row>
    <row r="1927" spans="1:37" x14ac:dyDescent="0.25">
      <c r="A1927" s="76">
        <v>17</v>
      </c>
      <c r="B1927" s="3" t="s">
        <v>413</v>
      </c>
      <c r="C1927" s="2" t="s">
        <v>157</v>
      </c>
      <c r="D1927" s="1">
        <v>0</v>
      </c>
      <c r="E1927" s="1">
        <v>0</v>
      </c>
      <c r="F1927" s="1">
        <v>0</v>
      </c>
      <c r="G1927" s="1">
        <v>11</v>
      </c>
      <c r="H1927" s="4">
        <v>0.64</v>
      </c>
      <c r="I1927" s="1">
        <v>5</v>
      </c>
      <c r="J1927" s="4">
        <v>1</v>
      </c>
      <c r="K1927" s="1">
        <v>0</v>
      </c>
      <c r="L1927" s="1">
        <v>6</v>
      </c>
      <c r="M1927" s="32">
        <f>IF(Mecze[[#This Row],[PR]]=0,0,Mecze[[#This Row],[PR]]/Mecze[[#This Row],[CZAS]])</f>
        <v>6.25E-2</v>
      </c>
      <c r="N1927" s="32">
        <f>IF(Mecze[[#This Row],[OU]]=0,0,Mecze[[#This Row],[OU]]/Mecze[[#This Row],[CZAS]])</f>
        <v>5.2083333333333336E-2</v>
      </c>
      <c r="O1927" s="32">
        <f>IF(Mecze[[#This Row],[PC]]=0,0,Mecze[[#This Row],[PC]]/Mecze[[#This Row],[CZAS]])</f>
        <v>7.2916666666666671E-2</v>
      </c>
      <c r="P1927" s="32">
        <f>IF(Mecze[[#This Row],[SC]]=0,0,Mecze[[#This Row],[SC]]/Mecze[[#This Row],[CZAS]])</f>
        <v>0</v>
      </c>
      <c r="Q1927" s="32">
        <f>IF(Mecze[[#This Row],[OB]]=0,0,Mecze[[#This Row],[OB]]/Mecze[[#This Row],[CZAS]])</f>
        <v>0</v>
      </c>
      <c r="R1927" s="32">
        <f>IF(Mecze[[#This Row],[BR]]=0,0,Mecze[[#This Row],[BR]]/Mecze[[#This Row],[CZAS]])</f>
        <v>0</v>
      </c>
      <c r="S1927" s="44">
        <f>IF(Mecze[[#This Row],[Role]]="BR",SUMPRODUCT(Mecze[[#This Row],[/PR:90]:[/BR:90]],Brudnopis!$E$23:$J$23),0)</f>
        <v>0</v>
      </c>
      <c r="T1927" s="44">
        <f>IF(Mecze[[#This Row],[Role]]&lt;&gt;"BR",SUMPRODUCT(Mecze[[#This Row],[/PR:90]:[/BR:90]],Brudnopis!$E$24:$J$24),0)</f>
        <v>0.21354166666666669</v>
      </c>
      <c r="U1927" s="44">
        <f>IF(Mecze[[#This Row],[Role]]&lt;&gt;"BR",SUMPRODUCT(Mecze[[#This Row],[/PR:90]:[/BR:90]],Brudnopis!$E$25:$J$25),0)</f>
        <v>0.22395833333333334</v>
      </c>
      <c r="V1927" s="44">
        <f>IF(Mecze[[#This Row],[Role]]&lt;&gt;"BR",SUMPRODUCT(Mecze[[#This Row],[/PR:90]:[/BR:90]],Brudnopis!$E$26:$J$26),0)</f>
        <v>0.1875</v>
      </c>
      <c r="W1927" s="44">
        <f>IF(Mecze[[#This Row],[Role]]&lt;&gt;"BR",SUMPRODUCT(Mecze[[#This Row],[/PR:90]:[/BR:90]],Brudnopis!$E$27:$J$27),0)</f>
        <v>0.1953125</v>
      </c>
      <c r="X1927" s="44">
        <f>IF(Mecze[[#This Row],[Role]]&lt;&gt;"BR",SUMPRODUCT(Mecze[[#This Row],[/PR:90]:[/BR:90]],Brudnopis!$E$28:$J$28),0)</f>
        <v>7.2916666666666671E-2</v>
      </c>
      <c r="Y1927" s="35">
        <f>IF(Mecze[[#This Row],[Role]]="BR",Mecze[[#This Row],[/OB:90]]+Mecze[[#This Row],[/PC:90]],SUM(Mecze[[#This Row],[/PR:90]:[/BR:90]]))</f>
        <v>0.1875</v>
      </c>
      <c r="Z1927" s="35">
        <f>IF(Mecze[[#This Row],[KC]]=0,SUM(Mecze[[#This Row],[/BRI]:[/NPI]]),SUM(Mecze[[#This Row],[/BRI]:[/NPI]])*0.6)</f>
        <v>0.89322916666666663</v>
      </c>
      <c r="AA1927" s="10">
        <f>IFERROR(Mecze[[#This Row],[BR]]/Mecze[[#This Row],[ST]],0)</f>
        <v>0</v>
      </c>
      <c r="AB1927">
        <f>ROUND(Mecze[[#This Row],[PD]]*Mecze[[#This Row],[%PC]],0)</f>
        <v>7</v>
      </c>
      <c r="AC1927">
        <f>ROUND(Mecze[[#This Row],[OD]]*Mecze[[#This Row],[%OU]],0)</f>
        <v>5</v>
      </c>
      <c r="AD1927" s="36" t="s">
        <v>167</v>
      </c>
      <c r="AE1927" s="36">
        <v>106</v>
      </c>
      <c r="AF1927" s="71">
        <v>10.34</v>
      </c>
      <c r="AG1927" s="37">
        <v>1</v>
      </c>
      <c r="AH1927" s="37">
        <v>0</v>
      </c>
      <c r="AI1927" s="37">
        <v>96</v>
      </c>
      <c r="AJ1927" s="37">
        <v>1</v>
      </c>
      <c r="AK1927" s="37" t="str">
        <f>VLOOKUP(Mecze[[#This Row],[Match ID]],Meczusie[Mecz]:Meczusie[RodzajMeczu],2,FALSE)</f>
        <v>Towarzyski</v>
      </c>
    </row>
    <row r="1928" spans="1:37" x14ac:dyDescent="0.25">
      <c r="A1928" s="76">
        <v>40</v>
      </c>
      <c r="B1928" s="3" t="s">
        <v>453</v>
      </c>
      <c r="C1928" s="2" t="s">
        <v>160</v>
      </c>
      <c r="D1928" s="1">
        <v>0</v>
      </c>
      <c r="E1928" s="1">
        <v>0</v>
      </c>
      <c r="F1928" s="1">
        <v>0</v>
      </c>
      <c r="G1928" s="1">
        <v>12</v>
      </c>
      <c r="H1928" s="4">
        <v>0.75</v>
      </c>
      <c r="I1928" s="1">
        <v>5</v>
      </c>
      <c r="J1928" s="4">
        <v>0.2</v>
      </c>
      <c r="K1928" s="1">
        <v>0</v>
      </c>
      <c r="L1928" s="1">
        <v>6</v>
      </c>
      <c r="M1928" s="32">
        <f>IF(Mecze[[#This Row],[PR]]=0,0,Mecze[[#This Row],[PR]]/Mecze[[#This Row],[CZAS]])</f>
        <v>6.25E-2</v>
      </c>
      <c r="N1928" s="32">
        <f>IF(Mecze[[#This Row],[OU]]=0,0,Mecze[[#This Row],[OU]]/Mecze[[#This Row],[CZAS]])</f>
        <v>1.0416666666666666E-2</v>
      </c>
      <c r="O1928" s="32">
        <f>IF(Mecze[[#This Row],[PC]]=0,0,Mecze[[#This Row],[PC]]/Mecze[[#This Row],[CZAS]])</f>
        <v>9.375E-2</v>
      </c>
      <c r="P1928" s="32">
        <f>IF(Mecze[[#This Row],[SC]]=0,0,Mecze[[#This Row],[SC]]/Mecze[[#This Row],[CZAS]])</f>
        <v>0</v>
      </c>
      <c r="Q1928" s="32">
        <f>IF(Mecze[[#This Row],[OB]]=0,0,Mecze[[#This Row],[OB]]/Mecze[[#This Row],[CZAS]])</f>
        <v>0</v>
      </c>
      <c r="R1928" s="32">
        <f>IF(Mecze[[#This Row],[BR]]=0,0,Mecze[[#This Row],[BR]]/Mecze[[#This Row],[CZAS]])</f>
        <v>0</v>
      </c>
      <c r="S1928" s="44">
        <f>IF(Mecze[[#This Row],[Role]]="BR",SUMPRODUCT(Mecze[[#This Row],[/PR:90]:[/BR:90]],Brudnopis!$E$23:$J$23),0)</f>
        <v>0</v>
      </c>
      <c r="T1928" s="44">
        <f>IF(Mecze[[#This Row],[Role]]&lt;&gt;"BR",SUMPRODUCT(Mecze[[#This Row],[/PR:90]:[/BR:90]],Brudnopis!$E$24:$J$24),0)</f>
        <v>0.171875</v>
      </c>
      <c r="U1928" s="44">
        <f>IF(Mecze[[#This Row],[Role]]&lt;&gt;"BR",SUMPRODUCT(Mecze[[#This Row],[/PR:90]:[/BR:90]],Brudnopis!$E$25:$J$25),0)</f>
        <v>0.21354166666666669</v>
      </c>
      <c r="V1928" s="44">
        <f>IF(Mecze[[#This Row],[Role]]&lt;&gt;"BR",SUMPRODUCT(Mecze[[#This Row],[/PR:90]:[/BR:90]],Brudnopis!$E$26:$J$26),0)</f>
        <v>0.16666666666666669</v>
      </c>
      <c r="W1928" s="44">
        <f>IF(Mecze[[#This Row],[Role]]&lt;&gt;"BR",SUMPRODUCT(Mecze[[#This Row],[/PR:90]:[/BR:90]],Brudnopis!$E$27:$J$27),0)</f>
        <v>0.1953125</v>
      </c>
      <c r="X1928" s="44">
        <f>IF(Mecze[[#This Row],[Role]]&lt;&gt;"BR",SUMPRODUCT(Mecze[[#This Row],[/PR:90]:[/BR:90]],Brudnopis!$E$28:$J$28),0)</f>
        <v>9.375E-2</v>
      </c>
      <c r="Y1928" s="35">
        <f>IF(Mecze[[#This Row],[Role]]="BR",Mecze[[#This Row],[/OB:90]]+Mecze[[#This Row],[/PC:90]],SUM(Mecze[[#This Row],[/PR:90]:[/BR:90]]))</f>
        <v>0.16666666666666669</v>
      </c>
      <c r="Z1928" s="35">
        <f>IF(Mecze[[#This Row],[KC]]=0,SUM(Mecze[[#This Row],[/BRI]:[/NPI]]),SUM(Mecze[[#This Row],[/BRI]:[/NPI]])*0.6)</f>
        <v>0.84114583333333337</v>
      </c>
      <c r="AA1928" s="10">
        <f>IFERROR(Mecze[[#This Row],[BR]]/Mecze[[#This Row],[ST]],0)</f>
        <v>0</v>
      </c>
      <c r="AB1928">
        <f>ROUND(Mecze[[#This Row],[PD]]*Mecze[[#This Row],[%PC]],0)</f>
        <v>9</v>
      </c>
      <c r="AC1928">
        <f>ROUND(Mecze[[#This Row],[OD]]*Mecze[[#This Row],[%OU]],0)</f>
        <v>1</v>
      </c>
      <c r="AD1928" s="36" t="s">
        <v>41</v>
      </c>
      <c r="AE1928" s="36">
        <v>106</v>
      </c>
      <c r="AF1928" s="71">
        <v>9.51</v>
      </c>
      <c r="AG1928" s="37">
        <v>0</v>
      </c>
      <c r="AH1928" s="37">
        <v>0</v>
      </c>
      <c r="AI1928" s="37">
        <v>96</v>
      </c>
      <c r="AJ1928" s="37">
        <v>1</v>
      </c>
      <c r="AK1928" s="37" t="str">
        <f>VLOOKUP(Mecze[[#This Row],[Match ID]],Meczusie[Mecz]:Meczusie[RodzajMeczu],2,FALSE)</f>
        <v>Towarzyski</v>
      </c>
    </row>
    <row r="1929" spans="1:37" x14ac:dyDescent="0.25">
      <c r="A1929" s="76">
        <v>22</v>
      </c>
      <c r="B1929" s="3" t="s">
        <v>363</v>
      </c>
      <c r="C1929" s="2" t="s">
        <v>160</v>
      </c>
      <c r="D1929" s="1">
        <v>0</v>
      </c>
      <c r="E1929" s="1">
        <v>0</v>
      </c>
      <c r="F1929" s="1">
        <v>0</v>
      </c>
      <c r="G1929" s="1">
        <v>10</v>
      </c>
      <c r="H1929" s="4">
        <v>0.7</v>
      </c>
      <c r="I1929" s="1">
        <v>3</v>
      </c>
      <c r="J1929" s="4">
        <v>0.33</v>
      </c>
      <c r="K1929" s="1">
        <v>0</v>
      </c>
      <c r="L1929" s="1">
        <v>5</v>
      </c>
      <c r="M1929" s="32">
        <f>IF(Mecze[[#This Row],[PR]]=0,0,Mecze[[#This Row],[PR]]/Mecze[[#This Row],[CZAS]])</f>
        <v>5.2083333333333336E-2</v>
      </c>
      <c r="N1929" s="32">
        <f>IF(Mecze[[#This Row],[OU]]=0,0,Mecze[[#This Row],[OU]]/Mecze[[#This Row],[CZAS]])</f>
        <v>1.0416666666666666E-2</v>
      </c>
      <c r="O1929" s="32">
        <f>IF(Mecze[[#This Row],[PC]]=0,0,Mecze[[#This Row],[PC]]/Mecze[[#This Row],[CZAS]])</f>
        <v>7.2916666666666671E-2</v>
      </c>
      <c r="P1929" s="32">
        <f>IF(Mecze[[#This Row],[SC]]=0,0,Mecze[[#This Row],[SC]]/Mecze[[#This Row],[CZAS]])</f>
        <v>0</v>
      </c>
      <c r="Q1929" s="32">
        <f>IF(Mecze[[#This Row],[OB]]=0,0,Mecze[[#This Row],[OB]]/Mecze[[#This Row],[CZAS]])</f>
        <v>0</v>
      </c>
      <c r="R1929" s="32">
        <f>IF(Mecze[[#This Row],[BR]]=0,0,Mecze[[#This Row],[BR]]/Mecze[[#This Row],[CZAS]])</f>
        <v>0</v>
      </c>
      <c r="S1929" s="44">
        <f>IF(Mecze[[#This Row],[Role]]="BR",SUMPRODUCT(Mecze[[#This Row],[/PR:90]:[/BR:90]],Brudnopis!$E$23:$J$23),0)</f>
        <v>0</v>
      </c>
      <c r="T1929" s="44">
        <f>IF(Mecze[[#This Row],[Role]]&lt;&gt;"BR",SUMPRODUCT(Mecze[[#This Row],[/PR:90]:[/BR:90]],Brudnopis!$E$24:$J$24),0)</f>
        <v>0.140625</v>
      </c>
      <c r="U1929" s="44">
        <f>IF(Mecze[[#This Row],[Role]]&lt;&gt;"BR",SUMPRODUCT(Mecze[[#This Row],[/PR:90]:[/BR:90]],Brudnopis!$E$25:$J$25),0)</f>
        <v>0.171875</v>
      </c>
      <c r="V1929" s="44">
        <f>IF(Mecze[[#This Row],[Role]]&lt;&gt;"BR",SUMPRODUCT(Mecze[[#This Row],[/PR:90]:[/BR:90]],Brudnopis!$E$26:$J$26),0)</f>
        <v>0.13541666666666669</v>
      </c>
      <c r="W1929" s="44">
        <f>IF(Mecze[[#This Row],[Role]]&lt;&gt;"BR",SUMPRODUCT(Mecze[[#This Row],[/PR:90]:[/BR:90]],Brudnopis!$E$27:$J$27),0)</f>
        <v>0.15625</v>
      </c>
      <c r="X1929" s="44">
        <f>IF(Mecze[[#This Row],[Role]]&lt;&gt;"BR",SUMPRODUCT(Mecze[[#This Row],[/PR:90]:[/BR:90]],Brudnopis!$E$28:$J$28),0)</f>
        <v>7.2916666666666671E-2</v>
      </c>
      <c r="Y1929" s="35">
        <f>IF(Mecze[[#This Row],[Role]]="BR",Mecze[[#This Row],[/OB:90]]+Mecze[[#This Row],[/PC:90]],SUM(Mecze[[#This Row],[/PR:90]:[/BR:90]]))</f>
        <v>0.13541666666666669</v>
      </c>
      <c r="Z1929" s="35">
        <f>IF(Mecze[[#This Row],[KC]]=0,SUM(Mecze[[#This Row],[/BRI]:[/NPI]]),SUM(Mecze[[#This Row],[/BRI]:[/NPI]])*0.6)</f>
        <v>0.67708333333333337</v>
      </c>
      <c r="AA1929" s="10">
        <f>IFERROR(Mecze[[#This Row],[BR]]/Mecze[[#This Row],[ST]],0)</f>
        <v>0</v>
      </c>
      <c r="AB1929">
        <f>ROUND(Mecze[[#This Row],[PD]]*Mecze[[#This Row],[%PC]],0)</f>
        <v>7</v>
      </c>
      <c r="AC1929">
        <f>ROUND(Mecze[[#This Row],[OD]]*Mecze[[#This Row],[%OU]],0)</f>
        <v>1</v>
      </c>
      <c r="AD1929" s="36" t="s">
        <v>41</v>
      </c>
      <c r="AE1929" s="36">
        <v>106</v>
      </c>
      <c r="AF1929" s="71">
        <v>9.3000000000000007</v>
      </c>
      <c r="AG1929" s="37">
        <v>0</v>
      </c>
      <c r="AH1929" s="37">
        <v>0</v>
      </c>
      <c r="AI1929" s="37">
        <v>96</v>
      </c>
      <c r="AJ1929" s="37">
        <v>1</v>
      </c>
      <c r="AK1929" s="37" t="str">
        <f>VLOOKUP(Mecze[[#This Row],[Match ID]],Meczusie[Mecz]:Meczusie[RodzajMeczu],2,FALSE)</f>
        <v>Towarzyski</v>
      </c>
    </row>
    <row r="1930" spans="1:37" x14ac:dyDescent="0.25">
      <c r="A1930" s="76">
        <v>25</v>
      </c>
      <c r="B1930" s="3" t="s">
        <v>366</v>
      </c>
      <c r="C1930" s="2" t="s">
        <v>160</v>
      </c>
      <c r="D1930" s="1">
        <v>0</v>
      </c>
      <c r="E1930" s="1">
        <v>0</v>
      </c>
      <c r="F1930" s="1">
        <v>0</v>
      </c>
      <c r="G1930" s="1">
        <v>6</v>
      </c>
      <c r="H1930" s="4">
        <v>0.67</v>
      </c>
      <c r="I1930" s="1">
        <v>1</v>
      </c>
      <c r="J1930" s="4">
        <v>0</v>
      </c>
      <c r="K1930" s="1">
        <v>0</v>
      </c>
      <c r="L1930" s="1">
        <v>4</v>
      </c>
      <c r="M1930" s="32">
        <f>IF(Mecze[[#This Row],[PR]]=0,0,Mecze[[#This Row],[PR]]/Mecze[[#This Row],[CZAS]])</f>
        <v>4.1666666666666664E-2</v>
      </c>
      <c r="N1930" s="32">
        <f>IF(Mecze[[#This Row],[OU]]=0,0,Mecze[[#This Row],[OU]]/Mecze[[#This Row],[CZAS]])</f>
        <v>0</v>
      </c>
      <c r="O1930" s="32">
        <f>IF(Mecze[[#This Row],[PC]]=0,0,Mecze[[#This Row],[PC]]/Mecze[[#This Row],[CZAS]])</f>
        <v>4.1666666666666664E-2</v>
      </c>
      <c r="P1930" s="32">
        <f>IF(Mecze[[#This Row],[SC]]=0,0,Mecze[[#This Row],[SC]]/Mecze[[#This Row],[CZAS]])</f>
        <v>0</v>
      </c>
      <c r="Q1930" s="32">
        <f>IF(Mecze[[#This Row],[OB]]=0,0,Mecze[[#This Row],[OB]]/Mecze[[#This Row],[CZAS]])</f>
        <v>0</v>
      </c>
      <c r="R1930" s="32">
        <f>IF(Mecze[[#This Row],[BR]]=0,0,Mecze[[#This Row],[BR]]/Mecze[[#This Row],[CZAS]])</f>
        <v>0</v>
      </c>
      <c r="S1930" s="44">
        <f>IF(Mecze[[#This Row],[Role]]="BR",SUMPRODUCT(Mecze[[#This Row],[/PR:90]:[/BR:90]],Brudnopis!$E$23:$J$23),0)</f>
        <v>0</v>
      </c>
      <c r="T1930" s="44">
        <f>IF(Mecze[[#This Row],[Role]]&lt;&gt;"BR",SUMPRODUCT(Mecze[[#This Row],[/PR:90]:[/BR:90]],Brudnopis!$E$24:$J$24),0)</f>
        <v>8.3333333333333329E-2</v>
      </c>
      <c r="U1930" s="44">
        <f>IF(Mecze[[#This Row],[Role]]&lt;&gt;"BR",SUMPRODUCT(Mecze[[#This Row],[/PR:90]:[/BR:90]],Brudnopis!$E$25:$J$25),0)</f>
        <v>0.10416666666666666</v>
      </c>
      <c r="V1930" s="44">
        <f>IF(Mecze[[#This Row],[Role]]&lt;&gt;"BR",SUMPRODUCT(Mecze[[#This Row],[/PR:90]:[/BR:90]],Brudnopis!$E$26:$J$26),0)</f>
        <v>8.3333333333333329E-2</v>
      </c>
      <c r="W1930" s="44">
        <f>IF(Mecze[[#This Row],[Role]]&lt;&gt;"BR",SUMPRODUCT(Mecze[[#This Row],[/PR:90]:[/BR:90]],Brudnopis!$E$27:$J$27),0)</f>
        <v>9.375E-2</v>
      </c>
      <c r="X1930" s="44">
        <f>IF(Mecze[[#This Row],[Role]]&lt;&gt;"BR",SUMPRODUCT(Mecze[[#This Row],[/PR:90]:[/BR:90]],Brudnopis!$E$28:$J$28),0)</f>
        <v>4.1666666666666664E-2</v>
      </c>
      <c r="Y1930" s="35">
        <f>IF(Mecze[[#This Row],[Role]]="BR",Mecze[[#This Row],[/OB:90]]+Mecze[[#This Row],[/PC:90]],SUM(Mecze[[#This Row],[/PR:90]:[/BR:90]]))</f>
        <v>8.3333333333333329E-2</v>
      </c>
      <c r="Z1930" s="35">
        <f>IF(Mecze[[#This Row],[KC]]=0,SUM(Mecze[[#This Row],[/BRI]:[/NPI]]),SUM(Mecze[[#This Row],[/BRI]:[/NPI]])*0.6)</f>
        <v>0.40625</v>
      </c>
      <c r="AA1930" s="10">
        <f>IFERROR(Mecze[[#This Row],[BR]]/Mecze[[#This Row],[ST]],0)</f>
        <v>0</v>
      </c>
      <c r="AB1930">
        <f>ROUND(Mecze[[#This Row],[PD]]*Mecze[[#This Row],[%PC]],0)</f>
        <v>4</v>
      </c>
      <c r="AC1930">
        <f>ROUND(Mecze[[#This Row],[OD]]*Mecze[[#This Row],[%OU]],0)</f>
        <v>0</v>
      </c>
      <c r="AD1930" s="36" t="s">
        <v>44</v>
      </c>
      <c r="AE1930" s="36">
        <v>106</v>
      </c>
      <c r="AF1930" s="71">
        <v>9.09</v>
      </c>
      <c r="AG1930" s="37">
        <v>0</v>
      </c>
      <c r="AH1930" s="37">
        <v>0</v>
      </c>
      <c r="AI1930" s="37">
        <v>96</v>
      </c>
      <c r="AJ1930" s="37">
        <v>1</v>
      </c>
      <c r="AK1930" s="37" t="str">
        <f>VLOOKUP(Mecze[[#This Row],[Match ID]],Meczusie[Mecz]:Meczusie[RodzajMeczu],2,FALSE)</f>
        <v>Towarzyski</v>
      </c>
    </row>
    <row r="1931" spans="1:37" x14ac:dyDescent="0.25">
      <c r="A1931" s="76">
        <v>28</v>
      </c>
      <c r="B1931" s="3" t="s">
        <v>419</v>
      </c>
      <c r="C1931" s="2" t="s">
        <v>160</v>
      </c>
      <c r="D1931" s="1">
        <v>0</v>
      </c>
      <c r="E1931" s="1">
        <v>1</v>
      </c>
      <c r="F1931" s="1">
        <v>0</v>
      </c>
      <c r="G1931" s="1">
        <v>9</v>
      </c>
      <c r="H1931" s="4">
        <v>0.56000000000000005</v>
      </c>
      <c r="I1931" s="1">
        <v>2</v>
      </c>
      <c r="J1931" s="4">
        <v>1</v>
      </c>
      <c r="K1931" s="1">
        <v>0</v>
      </c>
      <c r="L1931" s="1">
        <v>4</v>
      </c>
      <c r="M1931" s="32">
        <f>IF(Mecze[[#This Row],[PR]]=0,0,Mecze[[#This Row],[PR]]/Mecze[[#This Row],[CZAS]])</f>
        <v>4.1666666666666664E-2</v>
      </c>
      <c r="N1931" s="32">
        <f>IF(Mecze[[#This Row],[OU]]=0,0,Mecze[[#This Row],[OU]]/Mecze[[#This Row],[CZAS]])</f>
        <v>2.0833333333333332E-2</v>
      </c>
      <c r="O1931" s="32">
        <f>IF(Mecze[[#This Row],[PC]]=0,0,Mecze[[#This Row],[PC]]/Mecze[[#This Row],[CZAS]])</f>
        <v>5.2083333333333336E-2</v>
      </c>
      <c r="P1931" s="32">
        <f>IF(Mecze[[#This Row],[SC]]=0,0,Mecze[[#This Row],[SC]]/Mecze[[#This Row],[CZAS]])</f>
        <v>0</v>
      </c>
      <c r="Q1931" s="32">
        <f>IF(Mecze[[#This Row],[OB]]=0,0,Mecze[[#This Row],[OB]]/Mecze[[#This Row],[CZAS]])</f>
        <v>0</v>
      </c>
      <c r="R1931" s="32">
        <f>IF(Mecze[[#This Row],[BR]]=0,0,Mecze[[#This Row],[BR]]/Mecze[[#This Row],[CZAS]])</f>
        <v>0</v>
      </c>
      <c r="S1931" s="44">
        <f>IF(Mecze[[#This Row],[Role]]="BR",SUMPRODUCT(Mecze[[#This Row],[/PR:90]:[/BR:90]],Brudnopis!$E$23:$J$23),0)</f>
        <v>0</v>
      </c>
      <c r="T1931" s="44">
        <f>IF(Mecze[[#This Row],[Role]]&lt;&gt;"BR",SUMPRODUCT(Mecze[[#This Row],[/PR:90]:[/BR:90]],Brudnopis!$E$24:$J$24),0)</f>
        <v>0.125</v>
      </c>
      <c r="U1931" s="44">
        <f>IF(Mecze[[#This Row],[Role]]&lt;&gt;"BR",SUMPRODUCT(Mecze[[#This Row],[/PR:90]:[/BR:90]],Brudnopis!$E$25:$J$25),0)</f>
        <v>0.140625</v>
      </c>
      <c r="V1931" s="44">
        <f>IF(Mecze[[#This Row],[Role]]&lt;&gt;"BR",SUMPRODUCT(Mecze[[#This Row],[/PR:90]:[/BR:90]],Brudnopis!$E$26:$J$26),0)</f>
        <v>0.11458333333333334</v>
      </c>
      <c r="W1931" s="44">
        <f>IF(Mecze[[#This Row],[Role]]&lt;&gt;"BR",SUMPRODUCT(Mecze[[#This Row],[/PR:90]:[/BR:90]],Brudnopis!$E$27:$J$27),0)</f>
        <v>0.125</v>
      </c>
      <c r="X1931" s="44">
        <f>IF(Mecze[[#This Row],[Role]]&lt;&gt;"BR",SUMPRODUCT(Mecze[[#This Row],[/PR:90]:[/BR:90]],Brudnopis!$E$28:$J$28),0)</f>
        <v>5.2083333333333336E-2</v>
      </c>
      <c r="Y1931" s="35">
        <f>IF(Mecze[[#This Row],[Role]]="BR",Mecze[[#This Row],[/OB:90]]+Mecze[[#This Row],[/PC:90]],SUM(Mecze[[#This Row],[/PR:90]:[/BR:90]]))</f>
        <v>0.11458333333333334</v>
      </c>
      <c r="Z1931" s="35">
        <f>IF(Mecze[[#This Row],[KC]]=0,SUM(Mecze[[#This Row],[/BRI]:[/NPI]]),SUM(Mecze[[#This Row],[/BRI]:[/NPI]])*0.6)</f>
        <v>0.55729166666666674</v>
      </c>
      <c r="AA1931" s="10">
        <f>IFERROR(Mecze[[#This Row],[BR]]/Mecze[[#This Row],[ST]],0)</f>
        <v>0</v>
      </c>
      <c r="AB1931">
        <f>ROUND(Mecze[[#This Row],[PD]]*Mecze[[#This Row],[%PC]],0)</f>
        <v>5</v>
      </c>
      <c r="AC1931">
        <f>ROUND(Mecze[[#This Row],[OD]]*Mecze[[#This Row],[%OU]],0)</f>
        <v>2</v>
      </c>
      <c r="AD1931" s="36" t="s">
        <v>44</v>
      </c>
      <c r="AE1931" s="36">
        <v>106</v>
      </c>
      <c r="AF1931" s="71">
        <v>9.09</v>
      </c>
      <c r="AG1931" s="37">
        <v>0</v>
      </c>
      <c r="AH1931" s="37">
        <v>0</v>
      </c>
      <c r="AI1931" s="37">
        <v>96</v>
      </c>
      <c r="AJ1931" s="37">
        <v>1</v>
      </c>
      <c r="AK1931" s="37" t="str">
        <f>VLOOKUP(Mecze[[#This Row],[Match ID]],Meczusie[Mecz]:Meczusie[RodzajMeczu],2,FALSE)</f>
        <v>Towarzyski</v>
      </c>
    </row>
    <row r="1932" spans="1:37" x14ac:dyDescent="0.25">
      <c r="A1932" s="76">
        <v>27</v>
      </c>
      <c r="B1932" s="3" t="s">
        <v>364</v>
      </c>
      <c r="C1932" s="2" t="s">
        <v>165</v>
      </c>
      <c r="D1932" s="1">
        <v>3</v>
      </c>
      <c r="E1932" s="1">
        <v>8</v>
      </c>
      <c r="F1932" s="1">
        <v>8</v>
      </c>
      <c r="G1932" s="1">
        <v>12</v>
      </c>
      <c r="H1932" s="4">
        <v>0.42</v>
      </c>
      <c r="I1932" s="1">
        <v>5</v>
      </c>
      <c r="J1932" s="4">
        <v>0.2</v>
      </c>
      <c r="K1932" s="1">
        <v>0</v>
      </c>
      <c r="L1932" s="1">
        <v>5</v>
      </c>
      <c r="M1932" s="32">
        <f>IF(Mecze[[#This Row],[PR]]=0,0,Mecze[[#This Row],[PR]]/Mecze[[#This Row],[CZAS]])</f>
        <v>5.2083333333333336E-2</v>
      </c>
      <c r="N1932" s="32">
        <f>IF(Mecze[[#This Row],[OU]]=0,0,Mecze[[#This Row],[OU]]/Mecze[[#This Row],[CZAS]])</f>
        <v>1.0416666666666666E-2</v>
      </c>
      <c r="O1932" s="32">
        <f>IF(Mecze[[#This Row],[PC]]=0,0,Mecze[[#This Row],[PC]]/Mecze[[#This Row],[CZAS]])</f>
        <v>5.2083333333333336E-2</v>
      </c>
      <c r="P1932" s="32">
        <f>IF(Mecze[[#This Row],[SC]]=0,0,Mecze[[#This Row],[SC]]/Mecze[[#This Row],[CZAS]])</f>
        <v>8.3333333333333329E-2</v>
      </c>
      <c r="Q1932" s="32">
        <f>IF(Mecze[[#This Row],[OB]]=0,0,Mecze[[#This Row],[OB]]/Mecze[[#This Row],[CZAS]])</f>
        <v>0</v>
      </c>
      <c r="R1932" s="32">
        <f>IF(Mecze[[#This Row],[BR]]=0,0,Mecze[[#This Row],[BR]]/Mecze[[#This Row],[CZAS]])</f>
        <v>3.125E-2</v>
      </c>
      <c r="S1932" s="44">
        <f>IF(Mecze[[#This Row],[Role]]="BR",SUMPRODUCT(Mecze[[#This Row],[/PR:90]:[/BR:90]],Brudnopis!$E$23:$J$23),0)</f>
        <v>0</v>
      </c>
      <c r="T1932" s="44">
        <f>IF(Mecze[[#This Row],[Role]]&lt;&gt;"BR",SUMPRODUCT(Mecze[[#This Row],[/PR:90]:[/BR:90]],Brudnopis!$E$24:$J$24),0)</f>
        <v>0.25</v>
      </c>
      <c r="U1932" s="44">
        <f>IF(Mecze[[#This Row],[Role]]&lt;&gt;"BR",SUMPRODUCT(Mecze[[#This Row],[/PR:90]:[/BR:90]],Brudnopis!$E$25:$J$25),0)</f>
        <v>0.27083333333333331</v>
      </c>
      <c r="V1932" s="44">
        <f>IF(Mecze[[#This Row],[Role]]&lt;&gt;"BR",SUMPRODUCT(Mecze[[#This Row],[/PR:90]:[/BR:90]],Brudnopis!$E$26:$J$26),0)</f>
        <v>0.26041666666666669</v>
      </c>
      <c r="W1932" s="44">
        <f>IF(Mecze[[#This Row],[Role]]&lt;&gt;"BR",SUMPRODUCT(Mecze[[#This Row],[/PR:90]:[/BR:90]],Brudnopis!$E$27:$J$27),0)</f>
        <v>0.27083333333333331</v>
      </c>
      <c r="X1932" s="44">
        <f>IF(Mecze[[#This Row],[Role]]&lt;&gt;"BR",SUMPRODUCT(Mecze[[#This Row],[/PR:90]:[/BR:90]],Brudnopis!$E$28:$J$28),0)</f>
        <v>0.3125</v>
      </c>
      <c r="Y1932" s="35">
        <f>IF(Mecze[[#This Row],[Role]]="BR",Mecze[[#This Row],[/OB:90]]+Mecze[[#This Row],[/PC:90]],SUM(Mecze[[#This Row],[/PR:90]:[/BR:90]]))</f>
        <v>0.22916666666666669</v>
      </c>
      <c r="Z1932" s="35">
        <f>IF(Mecze[[#This Row],[KC]]=0,SUM(Mecze[[#This Row],[/BRI]:[/NPI]]),SUM(Mecze[[#This Row],[/BRI]:[/NPI]])*0.6)</f>
        <v>1.3645833333333333</v>
      </c>
      <c r="AA1932" s="10">
        <f>IFERROR(Mecze[[#This Row],[BR]]/Mecze[[#This Row],[ST]],0)</f>
        <v>0.375</v>
      </c>
      <c r="AB1932">
        <f>ROUND(Mecze[[#This Row],[PD]]*Mecze[[#This Row],[%PC]],0)</f>
        <v>5</v>
      </c>
      <c r="AC1932">
        <f>ROUND(Mecze[[#This Row],[OD]]*Mecze[[#This Row],[%OU]],0)</f>
        <v>1</v>
      </c>
      <c r="AD1932" s="36" t="s">
        <v>46</v>
      </c>
      <c r="AE1932" s="36">
        <v>106</v>
      </c>
      <c r="AF1932" s="71">
        <v>11.48</v>
      </c>
      <c r="AG1932" s="37">
        <v>1</v>
      </c>
      <c r="AH1932" s="37">
        <v>0</v>
      </c>
      <c r="AI1932" s="37">
        <v>96</v>
      </c>
      <c r="AJ1932" s="37">
        <v>1</v>
      </c>
      <c r="AK1932" s="37" t="str">
        <f>VLOOKUP(Mecze[[#This Row],[Match ID]],Meczusie[Mecz]:Meczusie[RodzajMeczu],2,FALSE)</f>
        <v>Towarzyski</v>
      </c>
    </row>
    <row r="1933" spans="1:37" x14ac:dyDescent="0.25">
      <c r="A1933" s="76">
        <v>61</v>
      </c>
      <c r="B1933" s="3" t="s">
        <v>454</v>
      </c>
      <c r="C1933" s="2" t="s">
        <v>165</v>
      </c>
      <c r="D1933" s="1">
        <v>0</v>
      </c>
      <c r="E1933" s="1">
        <v>7</v>
      </c>
      <c r="F1933" s="1">
        <v>6</v>
      </c>
      <c r="G1933" s="1">
        <v>8</v>
      </c>
      <c r="H1933" s="4">
        <v>0.75</v>
      </c>
      <c r="I1933" s="1">
        <v>6</v>
      </c>
      <c r="J1933" s="4">
        <v>0</v>
      </c>
      <c r="K1933" s="1">
        <v>0</v>
      </c>
      <c r="L1933" s="1">
        <v>0</v>
      </c>
      <c r="M1933" s="32">
        <f>IF(Mecze[[#This Row],[PR]]=0,0,Mecze[[#This Row],[PR]]/Mecze[[#This Row],[CZAS]])</f>
        <v>0</v>
      </c>
      <c r="N1933" s="32">
        <f>IF(Mecze[[#This Row],[OU]]=0,0,Mecze[[#This Row],[OU]]/Mecze[[#This Row],[CZAS]])</f>
        <v>0</v>
      </c>
      <c r="O1933" s="32">
        <f>IF(Mecze[[#This Row],[PC]]=0,0,Mecze[[#This Row],[PC]]/Mecze[[#This Row],[CZAS]])</f>
        <v>6.25E-2</v>
      </c>
      <c r="P1933" s="32">
        <f>IF(Mecze[[#This Row],[SC]]=0,0,Mecze[[#This Row],[SC]]/Mecze[[#This Row],[CZAS]])</f>
        <v>6.25E-2</v>
      </c>
      <c r="Q1933" s="32">
        <f>IF(Mecze[[#This Row],[OB]]=0,0,Mecze[[#This Row],[OB]]/Mecze[[#This Row],[CZAS]])</f>
        <v>0</v>
      </c>
      <c r="R1933" s="32">
        <f>IF(Mecze[[#This Row],[BR]]=0,0,Mecze[[#This Row],[BR]]/Mecze[[#This Row],[CZAS]])</f>
        <v>0</v>
      </c>
      <c r="S1933" s="44">
        <f>IF(Mecze[[#This Row],[Role]]="BR",SUMPRODUCT(Mecze[[#This Row],[/PR:90]:[/BR:90]],Brudnopis!$E$23:$J$23),0)</f>
        <v>0</v>
      </c>
      <c r="T1933" s="44">
        <f>IF(Mecze[[#This Row],[Role]]&lt;&gt;"BR",SUMPRODUCT(Mecze[[#This Row],[/PR:90]:[/BR:90]],Brudnopis!$E$24:$J$24),0)</f>
        <v>0.125</v>
      </c>
      <c r="U1933" s="44">
        <f>IF(Mecze[[#This Row],[Role]]&lt;&gt;"BR",SUMPRODUCT(Mecze[[#This Row],[/PR:90]:[/BR:90]],Brudnopis!$E$25:$J$25),0)</f>
        <v>0.15625</v>
      </c>
      <c r="V1933" s="44">
        <f>IF(Mecze[[#This Row],[Role]]&lt;&gt;"BR",SUMPRODUCT(Mecze[[#This Row],[/PR:90]:[/BR:90]],Brudnopis!$E$26:$J$26),0)</f>
        <v>0.125</v>
      </c>
      <c r="W1933" s="44">
        <f>IF(Mecze[[#This Row],[Role]]&lt;&gt;"BR",SUMPRODUCT(Mecze[[#This Row],[/PR:90]:[/BR:90]],Brudnopis!$E$27:$J$27),0)</f>
        <v>0.15625</v>
      </c>
      <c r="X1933" s="44">
        <f>IF(Mecze[[#This Row],[Role]]&lt;&gt;"BR",SUMPRODUCT(Mecze[[#This Row],[/PR:90]:[/BR:90]],Brudnopis!$E$28:$J$28),0)</f>
        <v>0.1875</v>
      </c>
      <c r="Y1933" s="35">
        <f>IF(Mecze[[#This Row],[Role]]="BR",Mecze[[#This Row],[/OB:90]]+Mecze[[#This Row],[/PC:90]],SUM(Mecze[[#This Row],[/PR:90]:[/BR:90]]))</f>
        <v>0.125</v>
      </c>
      <c r="Z1933" s="35">
        <f>IF(Mecze[[#This Row],[KC]]=0,SUM(Mecze[[#This Row],[/BRI]:[/NPI]]),SUM(Mecze[[#This Row],[/BRI]:[/NPI]])*0.6)</f>
        <v>0.75</v>
      </c>
      <c r="AA1933" s="10">
        <f>IFERROR(Mecze[[#This Row],[BR]]/Mecze[[#This Row],[ST]],0)</f>
        <v>0</v>
      </c>
      <c r="AB1933">
        <f>ROUND(Mecze[[#This Row],[PD]]*Mecze[[#This Row],[%PC]],0)</f>
        <v>6</v>
      </c>
      <c r="AC1933">
        <f>ROUND(Mecze[[#This Row],[OD]]*Mecze[[#This Row],[%OU]],0)</f>
        <v>0</v>
      </c>
      <c r="AD1933" s="36" t="s">
        <v>46</v>
      </c>
      <c r="AE1933" s="36">
        <v>106</v>
      </c>
      <c r="AF1933" s="71">
        <v>6.58</v>
      </c>
      <c r="AG1933" s="37">
        <v>0</v>
      </c>
      <c r="AH1933" s="37">
        <v>0</v>
      </c>
      <c r="AI1933" s="37">
        <v>96</v>
      </c>
      <c r="AJ1933" s="37">
        <v>1</v>
      </c>
      <c r="AK1933" s="37" t="str">
        <f>VLOOKUP(Mecze[[#This Row],[Match ID]],Meczusie[Mecz]:Meczusie[RodzajMeczu],2,FALSE)</f>
        <v>Towarzyski</v>
      </c>
    </row>
    <row r="1934" spans="1:37" x14ac:dyDescent="0.25">
      <c r="A1934" s="76">
        <v>31</v>
      </c>
      <c r="B1934" s="3" t="s">
        <v>365</v>
      </c>
      <c r="C1934" s="2" t="s">
        <v>165</v>
      </c>
      <c r="D1934" s="1">
        <v>2</v>
      </c>
      <c r="E1934" s="1">
        <v>4</v>
      </c>
      <c r="F1934" s="1">
        <v>3</v>
      </c>
      <c r="G1934" s="1">
        <v>6</v>
      </c>
      <c r="H1934" s="4">
        <v>0.67</v>
      </c>
      <c r="I1934" s="1">
        <v>1</v>
      </c>
      <c r="J1934" s="4">
        <v>0</v>
      </c>
      <c r="K1934" s="1">
        <v>0</v>
      </c>
      <c r="L1934" s="1">
        <v>0</v>
      </c>
      <c r="M1934" s="32">
        <f>IF(Mecze[[#This Row],[PR]]=0,0,Mecze[[#This Row],[PR]]/Mecze[[#This Row],[CZAS]])</f>
        <v>0</v>
      </c>
      <c r="N1934" s="32">
        <f>IF(Mecze[[#This Row],[OU]]=0,0,Mecze[[#This Row],[OU]]/Mecze[[#This Row],[CZAS]])</f>
        <v>0</v>
      </c>
      <c r="O1934" s="32">
        <f>IF(Mecze[[#This Row],[PC]]=0,0,Mecze[[#This Row],[PC]]/Mecze[[#This Row],[CZAS]])</f>
        <v>4.1666666666666664E-2</v>
      </c>
      <c r="P1934" s="32">
        <f>IF(Mecze[[#This Row],[SC]]=0,0,Mecze[[#This Row],[SC]]/Mecze[[#This Row],[CZAS]])</f>
        <v>3.125E-2</v>
      </c>
      <c r="Q1934" s="32">
        <f>IF(Mecze[[#This Row],[OB]]=0,0,Mecze[[#This Row],[OB]]/Mecze[[#This Row],[CZAS]])</f>
        <v>0</v>
      </c>
      <c r="R1934" s="32">
        <f>IF(Mecze[[#This Row],[BR]]=0,0,Mecze[[#This Row],[BR]]/Mecze[[#This Row],[CZAS]])</f>
        <v>2.0833333333333332E-2</v>
      </c>
      <c r="S1934" s="44">
        <f>IF(Mecze[[#This Row],[Role]]="BR",SUMPRODUCT(Mecze[[#This Row],[/PR:90]:[/BR:90]],Brudnopis!$E$23:$J$23),0)</f>
        <v>0</v>
      </c>
      <c r="T1934" s="44">
        <f>IF(Mecze[[#This Row],[Role]]&lt;&gt;"BR",SUMPRODUCT(Mecze[[#This Row],[/PR:90]:[/BR:90]],Brudnopis!$E$24:$J$24),0)</f>
        <v>0.10416666666666666</v>
      </c>
      <c r="U1934" s="44">
        <f>IF(Mecze[[#This Row],[Role]]&lt;&gt;"BR",SUMPRODUCT(Mecze[[#This Row],[/PR:90]:[/BR:90]],Brudnopis!$E$25:$J$25),0)</f>
        <v>0.125</v>
      </c>
      <c r="V1934" s="44">
        <f>IF(Mecze[[#This Row],[Role]]&lt;&gt;"BR",SUMPRODUCT(Mecze[[#This Row],[/PR:90]:[/BR:90]],Brudnopis!$E$26:$J$26),0)</f>
        <v>0.11458333333333331</v>
      </c>
      <c r="W1934" s="44">
        <f>IF(Mecze[[#This Row],[Role]]&lt;&gt;"BR",SUMPRODUCT(Mecze[[#This Row],[/PR:90]:[/BR:90]],Brudnopis!$E$27:$J$27),0)</f>
        <v>0.13541666666666666</v>
      </c>
      <c r="X1934" s="44">
        <f>IF(Mecze[[#This Row],[Role]]&lt;&gt;"BR",SUMPRODUCT(Mecze[[#This Row],[/PR:90]:[/BR:90]],Brudnopis!$E$28:$J$28),0)</f>
        <v>0.16666666666666666</v>
      </c>
      <c r="Y1934" s="35">
        <f>IF(Mecze[[#This Row],[Role]]="BR",Mecze[[#This Row],[/OB:90]]+Mecze[[#This Row],[/PC:90]],SUM(Mecze[[#This Row],[/PR:90]:[/BR:90]]))</f>
        <v>9.3749999999999986E-2</v>
      </c>
      <c r="Z1934" s="35">
        <f>IF(Mecze[[#This Row],[KC]]=0,SUM(Mecze[[#This Row],[/BRI]:[/NPI]]),SUM(Mecze[[#This Row],[/BRI]:[/NPI]])*0.6)</f>
        <v>0.64583333333333326</v>
      </c>
      <c r="AA1934" s="10">
        <f>IFERROR(Mecze[[#This Row],[BR]]/Mecze[[#This Row],[ST]],0)</f>
        <v>0.5</v>
      </c>
      <c r="AB1934">
        <f>ROUND(Mecze[[#This Row],[PD]]*Mecze[[#This Row],[%PC]],0)</f>
        <v>4</v>
      </c>
      <c r="AC1934">
        <f>ROUND(Mecze[[#This Row],[OD]]*Mecze[[#This Row],[%OU]],0)</f>
        <v>0</v>
      </c>
      <c r="AD1934" s="36" t="s">
        <v>46</v>
      </c>
      <c r="AE1934" s="36">
        <v>106</v>
      </c>
      <c r="AF1934" s="71">
        <v>10.52</v>
      </c>
      <c r="AG1934" s="37">
        <v>0</v>
      </c>
      <c r="AH1934" s="37">
        <v>0</v>
      </c>
      <c r="AI1934" s="37">
        <v>96</v>
      </c>
      <c r="AJ1934" s="37">
        <v>1</v>
      </c>
      <c r="AK1934" s="37" t="str">
        <f>VLOOKUP(Mecze[[#This Row],[Match ID]],Meczusie[Mecz]:Meczusie[RodzajMeczu],2,FALSE)</f>
        <v>Towarzyski</v>
      </c>
    </row>
    <row r="1935" spans="1:37" x14ac:dyDescent="0.25">
      <c r="A1935" s="76">
        <v>39</v>
      </c>
      <c r="B1935" s="3" t="s">
        <v>450</v>
      </c>
      <c r="C1935" s="2" t="s">
        <v>155</v>
      </c>
      <c r="D1935" s="1">
        <v>0</v>
      </c>
      <c r="E1935" s="1">
        <v>0</v>
      </c>
      <c r="F1935" s="1">
        <v>0</v>
      </c>
      <c r="G1935" s="1">
        <v>4</v>
      </c>
      <c r="H1935" s="4">
        <v>0</v>
      </c>
      <c r="I1935" s="1">
        <v>0</v>
      </c>
      <c r="J1935" s="4"/>
      <c r="K1935" s="1">
        <v>4</v>
      </c>
      <c r="L1935" s="1">
        <v>0</v>
      </c>
      <c r="M1935" s="32">
        <f>IF(Mecze[[#This Row],[PR]]=0,0,Mecze[[#This Row],[PR]]/Mecze[[#This Row],[CZAS]])</f>
        <v>0</v>
      </c>
      <c r="N1935" s="32">
        <f>IF(Mecze[[#This Row],[OU]]=0,0,Mecze[[#This Row],[OU]]/Mecze[[#This Row],[CZAS]])</f>
        <v>0</v>
      </c>
      <c r="O1935" s="32">
        <f>IF(Mecze[[#This Row],[PC]]=0,0,Mecze[[#This Row],[PC]]/Mecze[[#This Row],[CZAS]])</f>
        <v>0</v>
      </c>
      <c r="P1935" s="32">
        <f>IF(Mecze[[#This Row],[SC]]=0,0,Mecze[[#This Row],[SC]]/Mecze[[#This Row],[CZAS]])</f>
        <v>0</v>
      </c>
      <c r="Q1935" s="32">
        <f>IF(Mecze[[#This Row],[OB]]=0,0,Mecze[[#This Row],[OB]]/Mecze[[#This Row],[CZAS]])</f>
        <v>4.0816326530612242E-2</v>
      </c>
      <c r="R1935" s="32">
        <f>IF(Mecze[[#This Row],[BR]]=0,0,Mecze[[#This Row],[BR]]/Mecze[[#This Row],[CZAS]])</f>
        <v>0</v>
      </c>
      <c r="S1935" s="44">
        <f>IF(Mecze[[#This Row],[Role]]="BR",SUMPRODUCT(Mecze[[#This Row],[/PR:90]:[/BR:90]],Brudnopis!$E$23:$J$23),0)</f>
        <v>0.12244897959183673</v>
      </c>
      <c r="T1935" s="44">
        <f>IF(Mecze[[#This Row],[Role]]&lt;&gt;"BR",SUMPRODUCT(Mecze[[#This Row],[/PR:90]:[/BR:90]],Brudnopis!$E$24:$J$24),0)</f>
        <v>0</v>
      </c>
      <c r="U1935" s="44">
        <f>IF(Mecze[[#This Row],[Role]]&lt;&gt;"BR",SUMPRODUCT(Mecze[[#This Row],[/PR:90]:[/BR:90]],Brudnopis!$E$25:$J$25),0)</f>
        <v>0</v>
      </c>
      <c r="V1935" s="44">
        <f>IF(Mecze[[#This Row],[Role]]&lt;&gt;"BR",SUMPRODUCT(Mecze[[#This Row],[/PR:90]:[/BR:90]],Brudnopis!$E$26:$J$26),0)</f>
        <v>0</v>
      </c>
      <c r="W1935" s="44">
        <f>IF(Mecze[[#This Row],[Role]]&lt;&gt;"BR",SUMPRODUCT(Mecze[[#This Row],[/PR:90]:[/BR:90]],Brudnopis!$E$27:$J$27),0)</f>
        <v>0</v>
      </c>
      <c r="X1935" s="44">
        <f>IF(Mecze[[#This Row],[Role]]&lt;&gt;"BR",SUMPRODUCT(Mecze[[#This Row],[/PR:90]:[/BR:90]],Brudnopis!$E$28:$J$28),0)</f>
        <v>0</v>
      </c>
      <c r="Y1935" s="35">
        <f>IF(Mecze[[#This Row],[Role]]="BR",Mecze[[#This Row],[/OB:90]]+Mecze[[#This Row],[/PC:90]],SUM(Mecze[[#This Row],[/PR:90]:[/BR:90]]))</f>
        <v>4.0816326530612242E-2</v>
      </c>
      <c r="Z1935" s="35">
        <f>IF(Mecze[[#This Row],[KC]]=0,SUM(Mecze[[#This Row],[/BRI]:[/NPI]]),SUM(Mecze[[#This Row],[/BRI]:[/NPI]])*0.6)</f>
        <v>0.12244897959183673</v>
      </c>
      <c r="AA1935" s="10">
        <f>IFERROR(Mecze[[#This Row],[BR]]/Mecze[[#This Row],[ST]],0)</f>
        <v>0</v>
      </c>
      <c r="AB1935">
        <f>ROUND(Mecze[[#This Row],[PD]]*Mecze[[#This Row],[%PC]],0)</f>
        <v>0</v>
      </c>
      <c r="AC1935">
        <f>ROUND(Mecze[[#This Row],[OD]]*Mecze[[#This Row],[%OU]],0)</f>
        <v>0</v>
      </c>
      <c r="AD1935" s="36" t="s">
        <v>40</v>
      </c>
      <c r="AE1935" s="36">
        <v>107</v>
      </c>
      <c r="AF1935" s="71">
        <v>8.44</v>
      </c>
      <c r="AG1935" s="37">
        <v>0</v>
      </c>
      <c r="AH1935" s="37">
        <v>0</v>
      </c>
      <c r="AI1935" s="37">
        <v>98</v>
      </c>
      <c r="AJ1935" s="37">
        <v>1</v>
      </c>
      <c r="AK1935" s="37" t="str">
        <f>VLOOKUP(Mecze[[#This Row],[Match ID]],Meczusie[Mecz]:Meczusie[RodzajMeczu],2,FALSE)</f>
        <v>Towarzyski</v>
      </c>
    </row>
    <row r="1936" spans="1:37" x14ac:dyDescent="0.25">
      <c r="A1936" s="76">
        <v>38</v>
      </c>
      <c r="B1936" s="3" t="s">
        <v>359</v>
      </c>
      <c r="C1936" s="2" t="s">
        <v>157</v>
      </c>
      <c r="D1936" s="1">
        <v>0</v>
      </c>
      <c r="E1936" s="1">
        <v>0</v>
      </c>
      <c r="F1936" s="1">
        <v>0</v>
      </c>
      <c r="G1936" s="1">
        <v>5</v>
      </c>
      <c r="H1936" s="4">
        <v>0.8</v>
      </c>
      <c r="I1936" s="1">
        <v>0</v>
      </c>
      <c r="J1936" s="4"/>
      <c r="K1936" s="1">
        <v>0</v>
      </c>
      <c r="L1936" s="1">
        <v>6</v>
      </c>
      <c r="M1936" s="32">
        <f>IF(Mecze[[#This Row],[PR]]=0,0,Mecze[[#This Row],[PR]]/Mecze[[#This Row],[CZAS]])</f>
        <v>6.1224489795918366E-2</v>
      </c>
      <c r="N1936" s="32">
        <f>IF(Mecze[[#This Row],[OU]]=0,0,Mecze[[#This Row],[OU]]/Mecze[[#This Row],[CZAS]])</f>
        <v>0</v>
      </c>
      <c r="O1936" s="32">
        <f>IF(Mecze[[#This Row],[PC]]=0,0,Mecze[[#This Row],[PC]]/Mecze[[#This Row],[CZAS]])</f>
        <v>4.0816326530612242E-2</v>
      </c>
      <c r="P1936" s="32">
        <f>IF(Mecze[[#This Row],[SC]]=0,0,Mecze[[#This Row],[SC]]/Mecze[[#This Row],[CZAS]])</f>
        <v>0</v>
      </c>
      <c r="Q1936" s="32">
        <f>IF(Mecze[[#This Row],[OB]]=0,0,Mecze[[#This Row],[OB]]/Mecze[[#This Row],[CZAS]])</f>
        <v>0</v>
      </c>
      <c r="R1936" s="32">
        <f>IF(Mecze[[#This Row],[BR]]=0,0,Mecze[[#This Row],[BR]]/Mecze[[#This Row],[CZAS]])</f>
        <v>0</v>
      </c>
      <c r="S1936" s="44">
        <f>IF(Mecze[[#This Row],[Role]]="BR",SUMPRODUCT(Mecze[[#This Row],[/PR:90]:[/BR:90]],Brudnopis!$E$23:$J$23),0)</f>
        <v>0</v>
      </c>
      <c r="T1936" s="44">
        <f>IF(Mecze[[#This Row],[Role]]&lt;&gt;"BR",SUMPRODUCT(Mecze[[#This Row],[/PR:90]:[/BR:90]],Brudnopis!$E$24:$J$24),0)</f>
        <v>0.10204081632653061</v>
      </c>
      <c r="U1936" s="44">
        <f>IF(Mecze[[#This Row],[Role]]&lt;&gt;"BR",SUMPRODUCT(Mecze[[#This Row],[/PR:90]:[/BR:90]],Brudnopis!$E$25:$J$25),0)</f>
        <v>0.12244897959183673</v>
      </c>
      <c r="V1936" s="44">
        <f>IF(Mecze[[#This Row],[Role]]&lt;&gt;"BR",SUMPRODUCT(Mecze[[#This Row],[/PR:90]:[/BR:90]],Brudnopis!$E$26:$J$26),0)</f>
        <v>0.10204081632653061</v>
      </c>
      <c r="W1936" s="44">
        <f>IF(Mecze[[#This Row],[Role]]&lt;&gt;"BR",SUMPRODUCT(Mecze[[#This Row],[/PR:90]:[/BR:90]],Brudnopis!$E$27:$J$27),0)</f>
        <v>0.10714285714285714</v>
      </c>
      <c r="X1936" s="44">
        <f>IF(Mecze[[#This Row],[Role]]&lt;&gt;"BR",SUMPRODUCT(Mecze[[#This Row],[/PR:90]:[/BR:90]],Brudnopis!$E$28:$J$28),0)</f>
        <v>4.0816326530612242E-2</v>
      </c>
      <c r="Y1936" s="35">
        <f>IF(Mecze[[#This Row],[Role]]="BR",Mecze[[#This Row],[/OB:90]]+Mecze[[#This Row],[/PC:90]],SUM(Mecze[[#This Row],[/PR:90]:[/BR:90]]))</f>
        <v>0.10204081632653061</v>
      </c>
      <c r="Z1936" s="35">
        <f>IF(Mecze[[#This Row],[KC]]=0,SUM(Mecze[[#This Row],[/BRI]:[/NPI]]),SUM(Mecze[[#This Row],[/BRI]:[/NPI]])*0.6)</f>
        <v>0.47448979591836737</v>
      </c>
      <c r="AA1936" s="10">
        <f>IFERROR(Mecze[[#This Row],[BR]]/Mecze[[#This Row],[ST]],0)</f>
        <v>0</v>
      </c>
      <c r="AB1936">
        <f>ROUND(Mecze[[#This Row],[PD]]*Mecze[[#This Row],[%PC]],0)</f>
        <v>4</v>
      </c>
      <c r="AC1936">
        <f>ROUND(Mecze[[#This Row],[OD]]*Mecze[[#This Row],[%OU]],0)</f>
        <v>0</v>
      </c>
      <c r="AD1936" s="36" t="s">
        <v>47</v>
      </c>
      <c r="AE1936" s="36">
        <v>107</v>
      </c>
      <c r="AF1936" s="71">
        <v>8.3000000000000007</v>
      </c>
      <c r="AG1936" s="37">
        <v>0</v>
      </c>
      <c r="AH1936" s="37">
        <v>0</v>
      </c>
      <c r="AI1936" s="37">
        <v>98</v>
      </c>
      <c r="AJ1936" s="37">
        <v>1</v>
      </c>
      <c r="AK1936" s="37" t="str">
        <f>VLOOKUP(Mecze[[#This Row],[Match ID]],Meczusie[Mecz]:Meczusie[RodzajMeczu],2,FALSE)</f>
        <v>Towarzyski</v>
      </c>
    </row>
    <row r="1937" spans="1:37" x14ac:dyDescent="0.25">
      <c r="A1937" s="76">
        <v>4</v>
      </c>
      <c r="B1937" s="3" t="s">
        <v>360</v>
      </c>
      <c r="C1937" s="2" t="s">
        <v>157</v>
      </c>
      <c r="D1937" s="1">
        <v>0</v>
      </c>
      <c r="E1937" s="1">
        <v>2</v>
      </c>
      <c r="F1937" s="1">
        <v>2</v>
      </c>
      <c r="G1937" s="1">
        <v>15</v>
      </c>
      <c r="H1937" s="4">
        <v>0.53</v>
      </c>
      <c r="I1937" s="1">
        <v>2</v>
      </c>
      <c r="J1937" s="4">
        <v>0</v>
      </c>
      <c r="K1937" s="1">
        <v>0</v>
      </c>
      <c r="L1937" s="1">
        <v>17</v>
      </c>
      <c r="M1937" s="32">
        <f>IF(Mecze[[#This Row],[PR]]=0,0,Mecze[[#This Row],[PR]]/Mecze[[#This Row],[CZAS]])</f>
        <v>0.17346938775510204</v>
      </c>
      <c r="N1937" s="32">
        <f>IF(Mecze[[#This Row],[OU]]=0,0,Mecze[[#This Row],[OU]]/Mecze[[#This Row],[CZAS]])</f>
        <v>0</v>
      </c>
      <c r="O1937" s="32">
        <f>IF(Mecze[[#This Row],[PC]]=0,0,Mecze[[#This Row],[PC]]/Mecze[[#This Row],[CZAS]])</f>
        <v>8.1632653061224483E-2</v>
      </c>
      <c r="P1937" s="32">
        <f>IF(Mecze[[#This Row],[SC]]=0,0,Mecze[[#This Row],[SC]]/Mecze[[#This Row],[CZAS]])</f>
        <v>2.0408163265306121E-2</v>
      </c>
      <c r="Q1937" s="32">
        <f>IF(Mecze[[#This Row],[OB]]=0,0,Mecze[[#This Row],[OB]]/Mecze[[#This Row],[CZAS]])</f>
        <v>0</v>
      </c>
      <c r="R1937" s="32">
        <f>IF(Mecze[[#This Row],[BR]]=0,0,Mecze[[#This Row],[BR]]/Mecze[[#This Row],[CZAS]])</f>
        <v>0</v>
      </c>
      <c r="S1937" s="44">
        <f>IF(Mecze[[#This Row],[Role]]="BR",SUMPRODUCT(Mecze[[#This Row],[/PR:90]:[/BR:90]],Brudnopis!$E$23:$J$23),0)</f>
        <v>0</v>
      </c>
      <c r="T1937" s="44">
        <f>IF(Mecze[[#This Row],[Role]]&lt;&gt;"BR",SUMPRODUCT(Mecze[[#This Row],[/PR:90]:[/BR:90]],Brudnopis!$E$24:$J$24),0)</f>
        <v>0.27551020408163268</v>
      </c>
      <c r="U1937" s="44">
        <f>IF(Mecze[[#This Row],[Role]]&lt;&gt;"BR",SUMPRODUCT(Mecze[[#This Row],[/PR:90]:[/BR:90]],Brudnopis!$E$25:$J$25),0)</f>
        <v>0.31632653061224492</v>
      </c>
      <c r="V1937" s="44">
        <f>IF(Mecze[[#This Row],[Role]]&lt;&gt;"BR",SUMPRODUCT(Mecze[[#This Row],[/PR:90]:[/BR:90]],Brudnopis!$E$26:$J$26),0)</f>
        <v>0.27551020408163268</v>
      </c>
      <c r="W1937" s="44">
        <f>IF(Mecze[[#This Row],[Role]]&lt;&gt;"BR",SUMPRODUCT(Mecze[[#This Row],[/PR:90]:[/BR:90]],Brudnopis!$E$27:$J$27),0)</f>
        <v>0.27295918367346939</v>
      </c>
      <c r="X1937" s="44">
        <f>IF(Mecze[[#This Row],[Role]]&lt;&gt;"BR",SUMPRODUCT(Mecze[[#This Row],[/PR:90]:[/BR:90]],Brudnopis!$E$28:$J$28),0)</f>
        <v>0.12244897959183673</v>
      </c>
      <c r="Y1937" s="35">
        <f>IF(Mecze[[#This Row],[Role]]="BR",Mecze[[#This Row],[/OB:90]]+Mecze[[#This Row],[/PC:90]],SUM(Mecze[[#This Row],[/PR:90]:[/BR:90]]))</f>
        <v>0.27551020408163268</v>
      </c>
      <c r="Z1937" s="35">
        <f>IF(Mecze[[#This Row],[KC]]=0,SUM(Mecze[[#This Row],[/BRI]:[/NPI]]),SUM(Mecze[[#This Row],[/BRI]:[/NPI]])*0.6)</f>
        <v>1.2627551020408163</v>
      </c>
      <c r="AA1937" s="10">
        <f>IFERROR(Mecze[[#This Row],[BR]]/Mecze[[#This Row],[ST]],0)</f>
        <v>0</v>
      </c>
      <c r="AB1937">
        <f>ROUND(Mecze[[#This Row],[PD]]*Mecze[[#This Row],[%PC]],0)</f>
        <v>8</v>
      </c>
      <c r="AC1937">
        <f>ROUND(Mecze[[#This Row],[OD]]*Mecze[[#This Row],[%OU]],0)</f>
        <v>0</v>
      </c>
      <c r="AD1937" s="36" t="s">
        <v>168</v>
      </c>
      <c r="AE1937" s="36">
        <v>107</v>
      </c>
      <c r="AF1937" s="71">
        <v>10.61</v>
      </c>
      <c r="AG1937" s="37">
        <v>0</v>
      </c>
      <c r="AH1937" s="37">
        <v>0</v>
      </c>
      <c r="AI1937" s="37">
        <v>98</v>
      </c>
      <c r="AJ1937" s="37">
        <v>1</v>
      </c>
      <c r="AK1937" s="37" t="str">
        <f>VLOOKUP(Mecze[[#This Row],[Match ID]],Meczusie[Mecz]:Meczusie[RodzajMeczu],2,FALSE)</f>
        <v>Towarzyski</v>
      </c>
    </row>
    <row r="1938" spans="1:37" x14ac:dyDescent="0.25">
      <c r="A1938" s="76">
        <v>17</v>
      </c>
      <c r="B1938" s="3" t="s">
        <v>413</v>
      </c>
      <c r="C1938" s="2" t="s">
        <v>157</v>
      </c>
      <c r="D1938" s="1">
        <v>0</v>
      </c>
      <c r="E1938" s="1">
        <v>0</v>
      </c>
      <c r="F1938" s="1">
        <v>0</v>
      </c>
      <c r="G1938" s="1">
        <v>11</v>
      </c>
      <c r="H1938" s="4">
        <v>0.64</v>
      </c>
      <c r="I1938" s="1">
        <v>8</v>
      </c>
      <c r="J1938" s="4">
        <v>0.88</v>
      </c>
      <c r="K1938" s="1">
        <v>0</v>
      </c>
      <c r="L1938" s="1">
        <v>10</v>
      </c>
      <c r="M1938" s="32">
        <f>IF(Mecze[[#This Row],[PR]]=0,0,Mecze[[#This Row],[PR]]/Mecze[[#This Row],[CZAS]])</f>
        <v>0.10204081632653061</v>
      </c>
      <c r="N1938" s="32">
        <f>IF(Mecze[[#This Row],[OU]]=0,0,Mecze[[#This Row],[OU]]/Mecze[[#This Row],[CZAS]])</f>
        <v>7.1428571428571425E-2</v>
      </c>
      <c r="O1938" s="32">
        <f>IF(Mecze[[#This Row],[PC]]=0,0,Mecze[[#This Row],[PC]]/Mecze[[#This Row],[CZAS]])</f>
        <v>7.1428571428571425E-2</v>
      </c>
      <c r="P1938" s="32">
        <f>IF(Mecze[[#This Row],[SC]]=0,0,Mecze[[#This Row],[SC]]/Mecze[[#This Row],[CZAS]])</f>
        <v>0</v>
      </c>
      <c r="Q1938" s="32">
        <f>IF(Mecze[[#This Row],[OB]]=0,0,Mecze[[#This Row],[OB]]/Mecze[[#This Row],[CZAS]])</f>
        <v>0</v>
      </c>
      <c r="R1938" s="32">
        <f>IF(Mecze[[#This Row],[BR]]=0,0,Mecze[[#This Row],[BR]]/Mecze[[#This Row],[CZAS]])</f>
        <v>0</v>
      </c>
      <c r="S1938" s="44">
        <f>IF(Mecze[[#This Row],[Role]]="BR",SUMPRODUCT(Mecze[[#This Row],[/PR:90]:[/BR:90]],Brudnopis!$E$23:$J$23),0)</f>
        <v>0</v>
      </c>
      <c r="T1938" s="44">
        <f>IF(Mecze[[#This Row],[Role]]&lt;&gt;"BR",SUMPRODUCT(Mecze[[#This Row],[/PR:90]:[/BR:90]],Brudnopis!$E$24:$J$24),0)</f>
        <v>0.28061224489795922</v>
      </c>
      <c r="U1938" s="44">
        <f>IF(Mecze[[#This Row],[Role]]&lt;&gt;"BR",SUMPRODUCT(Mecze[[#This Row],[/PR:90]:[/BR:90]],Brudnopis!$E$25:$J$25),0)</f>
        <v>0.28061224489795916</v>
      </c>
      <c r="V1938" s="44">
        <f>IF(Mecze[[#This Row],[Role]]&lt;&gt;"BR",SUMPRODUCT(Mecze[[#This Row],[/PR:90]:[/BR:90]],Brudnopis!$E$26:$J$26),0)</f>
        <v>0.24489795918367346</v>
      </c>
      <c r="W1938" s="44">
        <f>IF(Mecze[[#This Row],[Role]]&lt;&gt;"BR",SUMPRODUCT(Mecze[[#This Row],[/PR:90]:[/BR:90]],Brudnopis!$E$27:$J$27),0)</f>
        <v>0.23724489795918369</v>
      </c>
      <c r="X1938" s="44">
        <f>IF(Mecze[[#This Row],[Role]]&lt;&gt;"BR",SUMPRODUCT(Mecze[[#This Row],[/PR:90]:[/BR:90]],Brudnopis!$E$28:$J$28),0)</f>
        <v>7.1428571428571425E-2</v>
      </c>
      <c r="Y1938" s="35">
        <f>IF(Mecze[[#This Row],[Role]]="BR",Mecze[[#This Row],[/OB:90]]+Mecze[[#This Row],[/PC:90]],SUM(Mecze[[#This Row],[/PR:90]:[/BR:90]]))</f>
        <v>0.24489795918367346</v>
      </c>
      <c r="Z1938" s="35">
        <f>IF(Mecze[[#This Row],[KC]]=0,SUM(Mecze[[#This Row],[/BRI]:[/NPI]]),SUM(Mecze[[#This Row],[/BRI]:[/NPI]])*0.6)</f>
        <v>1.114795918367347</v>
      </c>
      <c r="AA1938" s="10">
        <f>IFERROR(Mecze[[#This Row],[BR]]/Mecze[[#This Row],[ST]],0)</f>
        <v>0</v>
      </c>
      <c r="AB1938">
        <f>ROUND(Mecze[[#This Row],[PD]]*Mecze[[#This Row],[%PC]],0)</f>
        <v>7</v>
      </c>
      <c r="AC1938">
        <f>ROUND(Mecze[[#This Row],[OD]]*Mecze[[#This Row],[%OU]],0)</f>
        <v>7</v>
      </c>
      <c r="AD1938" s="36" t="s">
        <v>167</v>
      </c>
      <c r="AE1938" s="36">
        <v>107</v>
      </c>
      <c r="AF1938" s="71">
        <v>11.46</v>
      </c>
      <c r="AG1938" s="37">
        <v>0</v>
      </c>
      <c r="AH1938" s="37">
        <v>0</v>
      </c>
      <c r="AI1938" s="37">
        <v>98</v>
      </c>
      <c r="AJ1938" s="37">
        <v>1</v>
      </c>
      <c r="AK1938" s="37" t="str">
        <f>VLOOKUP(Mecze[[#This Row],[Match ID]],Meczusie[Mecz]:Meczusie[RodzajMeczu],2,FALSE)</f>
        <v>Towarzyski</v>
      </c>
    </row>
    <row r="1939" spans="1:37" x14ac:dyDescent="0.25">
      <c r="A1939" s="76">
        <v>40</v>
      </c>
      <c r="B1939" s="3" t="s">
        <v>453</v>
      </c>
      <c r="C1939" s="2" t="s">
        <v>160</v>
      </c>
      <c r="D1939" s="1">
        <v>0</v>
      </c>
      <c r="E1939" s="1">
        <v>0</v>
      </c>
      <c r="F1939" s="1">
        <v>0</v>
      </c>
      <c r="G1939" s="1">
        <v>14</v>
      </c>
      <c r="H1939" s="4">
        <v>0.79</v>
      </c>
      <c r="I1939" s="1">
        <v>8</v>
      </c>
      <c r="J1939" s="4">
        <v>0.25</v>
      </c>
      <c r="K1939" s="1">
        <v>0</v>
      </c>
      <c r="L1939" s="1">
        <v>5</v>
      </c>
      <c r="M1939" s="32">
        <f>IF(Mecze[[#This Row],[PR]]=0,0,Mecze[[#This Row],[PR]]/Mecze[[#This Row],[CZAS]])</f>
        <v>5.1020408163265307E-2</v>
      </c>
      <c r="N1939" s="32">
        <f>IF(Mecze[[#This Row],[OU]]=0,0,Mecze[[#This Row],[OU]]/Mecze[[#This Row],[CZAS]])</f>
        <v>2.0408163265306121E-2</v>
      </c>
      <c r="O1939" s="32">
        <f>IF(Mecze[[#This Row],[PC]]=0,0,Mecze[[#This Row],[PC]]/Mecze[[#This Row],[CZAS]])</f>
        <v>0.11224489795918367</v>
      </c>
      <c r="P1939" s="32">
        <f>IF(Mecze[[#This Row],[SC]]=0,0,Mecze[[#This Row],[SC]]/Mecze[[#This Row],[CZAS]])</f>
        <v>0</v>
      </c>
      <c r="Q1939" s="32">
        <f>IF(Mecze[[#This Row],[OB]]=0,0,Mecze[[#This Row],[OB]]/Mecze[[#This Row],[CZAS]])</f>
        <v>0</v>
      </c>
      <c r="R1939" s="32">
        <f>IF(Mecze[[#This Row],[BR]]=0,0,Mecze[[#This Row],[BR]]/Mecze[[#This Row],[CZAS]])</f>
        <v>0</v>
      </c>
      <c r="S1939" s="44">
        <f>IF(Mecze[[#This Row],[Role]]="BR",SUMPRODUCT(Mecze[[#This Row],[/PR:90]:[/BR:90]],Brudnopis!$E$23:$J$23),0)</f>
        <v>0</v>
      </c>
      <c r="T1939" s="44">
        <f>IF(Mecze[[#This Row],[Role]]&lt;&gt;"BR",SUMPRODUCT(Mecze[[#This Row],[/PR:90]:[/BR:90]],Brudnopis!$E$24:$J$24),0)</f>
        <v>0.19387755102040816</v>
      </c>
      <c r="U1939" s="44">
        <f>IF(Mecze[[#This Row],[Role]]&lt;&gt;"BR",SUMPRODUCT(Mecze[[#This Row],[/PR:90]:[/BR:90]],Brudnopis!$E$25:$J$25),0)</f>
        <v>0.23979591836734693</v>
      </c>
      <c r="V1939" s="44">
        <f>IF(Mecze[[#This Row],[Role]]&lt;&gt;"BR",SUMPRODUCT(Mecze[[#This Row],[/PR:90]:[/BR:90]],Brudnopis!$E$26:$J$26),0)</f>
        <v>0.18367346938775508</v>
      </c>
      <c r="W1939" s="44">
        <f>IF(Mecze[[#This Row],[Role]]&lt;&gt;"BR",SUMPRODUCT(Mecze[[#This Row],[/PR:90]:[/BR:90]],Brudnopis!$E$27:$J$27),0)</f>
        <v>0.22193877551020408</v>
      </c>
      <c r="X1939" s="44">
        <f>IF(Mecze[[#This Row],[Role]]&lt;&gt;"BR",SUMPRODUCT(Mecze[[#This Row],[/PR:90]:[/BR:90]],Brudnopis!$E$28:$J$28),0)</f>
        <v>0.11224489795918367</v>
      </c>
      <c r="Y1939" s="35">
        <f>IF(Mecze[[#This Row],[Role]]="BR",Mecze[[#This Row],[/OB:90]]+Mecze[[#This Row],[/PC:90]],SUM(Mecze[[#This Row],[/PR:90]:[/BR:90]]))</f>
        <v>0.18367346938775508</v>
      </c>
      <c r="Z1939" s="35">
        <f>IF(Mecze[[#This Row],[KC]]=0,SUM(Mecze[[#This Row],[/BRI]:[/NPI]]),SUM(Mecze[[#This Row],[/BRI]:[/NPI]])*0.6)</f>
        <v>0.95153061224489788</v>
      </c>
      <c r="AA1939" s="10">
        <f>IFERROR(Mecze[[#This Row],[BR]]/Mecze[[#This Row],[ST]],0)</f>
        <v>0</v>
      </c>
      <c r="AB1939">
        <f>ROUND(Mecze[[#This Row],[PD]]*Mecze[[#This Row],[%PC]],0)</f>
        <v>11</v>
      </c>
      <c r="AC1939">
        <f>ROUND(Mecze[[#This Row],[OD]]*Mecze[[#This Row],[%OU]],0)</f>
        <v>2</v>
      </c>
      <c r="AD1939" s="36" t="s">
        <v>41</v>
      </c>
      <c r="AE1939" s="36">
        <v>107</v>
      </c>
      <c r="AF1939" s="71">
        <v>9.3000000000000007</v>
      </c>
      <c r="AG1939" s="37">
        <v>0</v>
      </c>
      <c r="AH1939" s="37">
        <v>0</v>
      </c>
      <c r="AI1939" s="37">
        <v>98</v>
      </c>
      <c r="AJ1939" s="37">
        <v>1</v>
      </c>
      <c r="AK1939" s="37" t="str">
        <f>VLOOKUP(Mecze[[#This Row],[Match ID]],Meczusie[Mecz]:Meczusie[RodzajMeczu],2,FALSE)</f>
        <v>Towarzyski</v>
      </c>
    </row>
    <row r="1940" spans="1:37" x14ac:dyDescent="0.25">
      <c r="A1940" s="76">
        <v>22</v>
      </c>
      <c r="B1940" s="3" t="s">
        <v>363</v>
      </c>
      <c r="C1940" s="2" t="s">
        <v>160</v>
      </c>
      <c r="D1940" s="1">
        <v>0</v>
      </c>
      <c r="E1940" s="1">
        <v>0</v>
      </c>
      <c r="F1940" s="1">
        <v>0</v>
      </c>
      <c r="G1940" s="1">
        <v>11</v>
      </c>
      <c r="H1940" s="4">
        <v>0.36</v>
      </c>
      <c r="I1940" s="1">
        <v>4</v>
      </c>
      <c r="J1940" s="4">
        <v>0.25</v>
      </c>
      <c r="K1940" s="1">
        <v>0</v>
      </c>
      <c r="L1940" s="1">
        <v>10</v>
      </c>
      <c r="M1940" s="32">
        <f>IF(Mecze[[#This Row],[PR]]=0,0,Mecze[[#This Row],[PR]]/Mecze[[#This Row],[CZAS]])</f>
        <v>0.10204081632653061</v>
      </c>
      <c r="N1940" s="32">
        <f>IF(Mecze[[#This Row],[OU]]=0,0,Mecze[[#This Row],[OU]]/Mecze[[#This Row],[CZAS]])</f>
        <v>1.020408163265306E-2</v>
      </c>
      <c r="O1940" s="32">
        <f>IF(Mecze[[#This Row],[PC]]=0,0,Mecze[[#This Row],[PC]]/Mecze[[#This Row],[CZAS]])</f>
        <v>4.0816326530612242E-2</v>
      </c>
      <c r="P1940" s="32">
        <f>IF(Mecze[[#This Row],[SC]]=0,0,Mecze[[#This Row],[SC]]/Mecze[[#This Row],[CZAS]])</f>
        <v>0</v>
      </c>
      <c r="Q1940" s="32">
        <f>IF(Mecze[[#This Row],[OB]]=0,0,Mecze[[#This Row],[OB]]/Mecze[[#This Row],[CZAS]])</f>
        <v>0</v>
      </c>
      <c r="R1940" s="32">
        <f>IF(Mecze[[#This Row],[BR]]=0,0,Mecze[[#This Row],[BR]]/Mecze[[#This Row],[CZAS]])</f>
        <v>0</v>
      </c>
      <c r="S1940" s="44">
        <f>IF(Mecze[[#This Row],[Role]]="BR",SUMPRODUCT(Mecze[[#This Row],[/PR:90]:[/BR:90]],Brudnopis!$E$23:$J$23),0)</f>
        <v>0</v>
      </c>
      <c r="T1940" s="44">
        <f>IF(Mecze[[#This Row],[Role]]&lt;&gt;"BR",SUMPRODUCT(Mecze[[#This Row],[/PR:90]:[/BR:90]],Brudnopis!$E$24:$J$24),0)</f>
        <v>0.15816326530612246</v>
      </c>
      <c r="U1940" s="44">
        <f>IF(Mecze[[#This Row],[Role]]&lt;&gt;"BR",SUMPRODUCT(Mecze[[#This Row],[/PR:90]:[/BR:90]],Brudnopis!$E$25:$J$25),0)</f>
        <v>0.17346938775510204</v>
      </c>
      <c r="V1940" s="44">
        <f>IF(Mecze[[#This Row],[Role]]&lt;&gt;"BR",SUMPRODUCT(Mecze[[#This Row],[/PR:90]:[/BR:90]],Brudnopis!$E$26:$J$26),0)</f>
        <v>0.15306122448979592</v>
      </c>
      <c r="W1940" s="44">
        <f>IF(Mecze[[#This Row],[Role]]&lt;&gt;"BR",SUMPRODUCT(Mecze[[#This Row],[/PR:90]:[/BR:90]],Brudnopis!$E$27:$J$27),0)</f>
        <v>0.14540816326530612</v>
      </c>
      <c r="X1940" s="44">
        <f>IF(Mecze[[#This Row],[Role]]&lt;&gt;"BR",SUMPRODUCT(Mecze[[#This Row],[/PR:90]:[/BR:90]],Brudnopis!$E$28:$J$28),0)</f>
        <v>4.0816326530612242E-2</v>
      </c>
      <c r="Y1940" s="35">
        <f>IF(Mecze[[#This Row],[Role]]="BR",Mecze[[#This Row],[/OB:90]]+Mecze[[#This Row],[/PC:90]],SUM(Mecze[[#This Row],[/PR:90]:[/BR:90]]))</f>
        <v>0.15306122448979592</v>
      </c>
      <c r="Z1940" s="35">
        <f>IF(Mecze[[#This Row],[KC]]=0,SUM(Mecze[[#This Row],[/BRI]:[/NPI]]),SUM(Mecze[[#This Row],[/BRI]:[/NPI]])*0.6)</f>
        <v>0.67091836734693877</v>
      </c>
      <c r="AA1940" s="10">
        <f>IFERROR(Mecze[[#This Row],[BR]]/Mecze[[#This Row],[ST]],0)</f>
        <v>0</v>
      </c>
      <c r="AB1940">
        <f>ROUND(Mecze[[#This Row],[PD]]*Mecze[[#This Row],[%PC]],0)</f>
        <v>4</v>
      </c>
      <c r="AC1940">
        <f>ROUND(Mecze[[#This Row],[OD]]*Mecze[[#This Row],[%OU]],0)</f>
        <v>1</v>
      </c>
      <c r="AD1940" s="36" t="s">
        <v>41</v>
      </c>
      <c r="AE1940" s="36">
        <v>107</v>
      </c>
      <c r="AF1940" s="71">
        <v>9.14</v>
      </c>
      <c r="AG1940" s="37">
        <v>0</v>
      </c>
      <c r="AH1940" s="37">
        <v>0</v>
      </c>
      <c r="AI1940" s="37">
        <v>98</v>
      </c>
      <c r="AJ1940" s="37">
        <v>1</v>
      </c>
      <c r="AK1940" s="37" t="str">
        <f>VLOOKUP(Mecze[[#This Row],[Match ID]],Meczusie[Mecz]:Meczusie[RodzajMeczu],2,FALSE)</f>
        <v>Towarzyski</v>
      </c>
    </row>
    <row r="1941" spans="1:37" x14ac:dyDescent="0.25">
      <c r="A1941" s="76">
        <v>25</v>
      </c>
      <c r="B1941" s="3" t="s">
        <v>366</v>
      </c>
      <c r="C1941" s="2" t="s">
        <v>160</v>
      </c>
      <c r="D1941" s="1">
        <v>1</v>
      </c>
      <c r="E1941" s="1">
        <v>1</v>
      </c>
      <c r="F1941" s="1">
        <v>1</v>
      </c>
      <c r="G1941" s="1">
        <v>6</v>
      </c>
      <c r="H1941" s="4">
        <v>1</v>
      </c>
      <c r="I1941" s="1">
        <v>1</v>
      </c>
      <c r="J1941" s="4">
        <v>1</v>
      </c>
      <c r="K1941" s="1">
        <v>0</v>
      </c>
      <c r="L1941" s="1">
        <v>4</v>
      </c>
      <c r="M1941" s="32">
        <f>IF(Mecze[[#This Row],[PR]]=0,0,Mecze[[#This Row],[PR]]/Mecze[[#This Row],[CZAS]])</f>
        <v>4.0816326530612242E-2</v>
      </c>
      <c r="N1941" s="32">
        <f>IF(Mecze[[#This Row],[OU]]=0,0,Mecze[[#This Row],[OU]]/Mecze[[#This Row],[CZAS]])</f>
        <v>1.020408163265306E-2</v>
      </c>
      <c r="O1941" s="32">
        <f>IF(Mecze[[#This Row],[PC]]=0,0,Mecze[[#This Row],[PC]]/Mecze[[#This Row],[CZAS]])</f>
        <v>6.1224489795918366E-2</v>
      </c>
      <c r="P1941" s="32">
        <f>IF(Mecze[[#This Row],[SC]]=0,0,Mecze[[#This Row],[SC]]/Mecze[[#This Row],[CZAS]])</f>
        <v>1.020408163265306E-2</v>
      </c>
      <c r="Q1941" s="32">
        <f>IF(Mecze[[#This Row],[OB]]=0,0,Mecze[[#This Row],[OB]]/Mecze[[#This Row],[CZAS]])</f>
        <v>0</v>
      </c>
      <c r="R1941" s="32">
        <f>IF(Mecze[[#This Row],[BR]]=0,0,Mecze[[#This Row],[BR]]/Mecze[[#This Row],[CZAS]])</f>
        <v>1.020408163265306E-2</v>
      </c>
      <c r="S1941" s="44">
        <f>IF(Mecze[[#This Row],[Role]]="BR",SUMPRODUCT(Mecze[[#This Row],[/PR:90]:[/BR:90]],Brudnopis!$E$23:$J$23),0)</f>
        <v>0</v>
      </c>
      <c r="T1941" s="44">
        <f>IF(Mecze[[#This Row],[Role]]&lt;&gt;"BR",SUMPRODUCT(Mecze[[#This Row],[/PR:90]:[/BR:90]],Brudnopis!$E$24:$J$24),0)</f>
        <v>0.14285714285714285</v>
      </c>
      <c r="U1941" s="44">
        <f>IF(Mecze[[#This Row],[Role]]&lt;&gt;"BR",SUMPRODUCT(Mecze[[#This Row],[/PR:90]:[/BR:90]],Brudnopis!$E$25:$J$25),0)</f>
        <v>0.1683673469387755</v>
      </c>
      <c r="V1941" s="44">
        <f>IF(Mecze[[#This Row],[Role]]&lt;&gt;"BR",SUMPRODUCT(Mecze[[#This Row],[/PR:90]:[/BR:90]],Brudnopis!$E$26:$J$26),0)</f>
        <v>0.14285714285714285</v>
      </c>
      <c r="W1941" s="44">
        <f>IF(Mecze[[#This Row],[Role]]&lt;&gt;"BR",SUMPRODUCT(Mecze[[#This Row],[/PR:90]:[/BR:90]],Brudnopis!$E$27:$J$27),0)</f>
        <v>0.16071428571428573</v>
      </c>
      <c r="X1941" s="44">
        <f>IF(Mecze[[#This Row],[Role]]&lt;&gt;"BR",SUMPRODUCT(Mecze[[#This Row],[/PR:90]:[/BR:90]],Brudnopis!$E$28:$J$28),0)</f>
        <v>0.11224489795918366</v>
      </c>
      <c r="Y1941" s="35">
        <f>IF(Mecze[[#This Row],[Role]]="BR",Mecze[[#This Row],[/OB:90]]+Mecze[[#This Row],[/PC:90]],SUM(Mecze[[#This Row],[/PR:90]:[/BR:90]]))</f>
        <v>0.13265306122448978</v>
      </c>
      <c r="Z1941" s="35">
        <f>IF(Mecze[[#This Row],[KC]]=0,SUM(Mecze[[#This Row],[/BRI]:[/NPI]]),SUM(Mecze[[#This Row],[/BRI]:[/NPI]])*0.6)</f>
        <v>0.72704081632653061</v>
      </c>
      <c r="AA1941" s="10">
        <f>IFERROR(Mecze[[#This Row],[BR]]/Mecze[[#This Row],[ST]],0)</f>
        <v>1</v>
      </c>
      <c r="AB1941">
        <f>ROUND(Mecze[[#This Row],[PD]]*Mecze[[#This Row],[%PC]],0)</f>
        <v>6</v>
      </c>
      <c r="AC1941">
        <f>ROUND(Mecze[[#This Row],[OD]]*Mecze[[#This Row],[%OU]],0)</f>
        <v>1</v>
      </c>
      <c r="AD1941" s="36" t="s">
        <v>44</v>
      </c>
      <c r="AE1941" s="36">
        <v>107</v>
      </c>
      <c r="AF1941" s="71">
        <v>13.55</v>
      </c>
      <c r="AG1941" s="37">
        <v>0</v>
      </c>
      <c r="AH1941" s="37">
        <v>0</v>
      </c>
      <c r="AI1941" s="37">
        <v>98</v>
      </c>
      <c r="AJ1941" s="37">
        <v>1</v>
      </c>
      <c r="AK1941" s="37" t="str">
        <f>VLOOKUP(Mecze[[#This Row],[Match ID]],Meczusie[Mecz]:Meczusie[RodzajMeczu],2,FALSE)</f>
        <v>Towarzyski</v>
      </c>
    </row>
    <row r="1942" spans="1:37" x14ac:dyDescent="0.25">
      <c r="A1942" s="76">
        <v>59</v>
      </c>
      <c r="B1942" s="3" t="s">
        <v>455</v>
      </c>
      <c r="C1942" s="2" t="s">
        <v>160</v>
      </c>
      <c r="D1942" s="1">
        <v>0</v>
      </c>
      <c r="E1942" s="1">
        <v>0</v>
      </c>
      <c r="F1942" s="1">
        <v>0</v>
      </c>
      <c r="G1942" s="1">
        <v>5</v>
      </c>
      <c r="H1942" s="4">
        <v>0.8</v>
      </c>
      <c r="I1942" s="1">
        <v>1</v>
      </c>
      <c r="J1942" s="4">
        <v>0</v>
      </c>
      <c r="K1942" s="1">
        <v>0</v>
      </c>
      <c r="L1942" s="1">
        <v>1</v>
      </c>
      <c r="M1942" s="32">
        <f>IF(Mecze[[#This Row],[PR]]=0,0,Mecze[[#This Row],[PR]]/Mecze[[#This Row],[CZAS]])</f>
        <v>1.020408163265306E-2</v>
      </c>
      <c r="N1942" s="32">
        <f>IF(Mecze[[#This Row],[OU]]=0,0,Mecze[[#This Row],[OU]]/Mecze[[#This Row],[CZAS]])</f>
        <v>0</v>
      </c>
      <c r="O1942" s="32">
        <f>IF(Mecze[[#This Row],[PC]]=0,0,Mecze[[#This Row],[PC]]/Mecze[[#This Row],[CZAS]])</f>
        <v>4.0816326530612242E-2</v>
      </c>
      <c r="P1942" s="32">
        <f>IF(Mecze[[#This Row],[SC]]=0,0,Mecze[[#This Row],[SC]]/Mecze[[#This Row],[CZAS]])</f>
        <v>0</v>
      </c>
      <c r="Q1942" s="32">
        <f>IF(Mecze[[#This Row],[OB]]=0,0,Mecze[[#This Row],[OB]]/Mecze[[#This Row],[CZAS]])</f>
        <v>0</v>
      </c>
      <c r="R1942" s="32">
        <f>IF(Mecze[[#This Row],[BR]]=0,0,Mecze[[#This Row],[BR]]/Mecze[[#This Row],[CZAS]])</f>
        <v>0</v>
      </c>
      <c r="S1942" s="44">
        <f>IF(Mecze[[#This Row],[Role]]="BR",SUMPRODUCT(Mecze[[#This Row],[/PR:90]:[/BR:90]],Brudnopis!$E$23:$J$23),0)</f>
        <v>0</v>
      </c>
      <c r="T1942" s="44">
        <f>IF(Mecze[[#This Row],[Role]]&lt;&gt;"BR",SUMPRODUCT(Mecze[[#This Row],[/PR:90]:[/BR:90]],Brudnopis!$E$24:$J$24),0)</f>
        <v>5.10204081632653E-2</v>
      </c>
      <c r="U1942" s="44">
        <f>IF(Mecze[[#This Row],[Role]]&lt;&gt;"BR",SUMPRODUCT(Mecze[[#This Row],[/PR:90]:[/BR:90]],Brudnopis!$E$25:$J$25),0)</f>
        <v>7.1428571428571425E-2</v>
      </c>
      <c r="V1942" s="44">
        <f>IF(Mecze[[#This Row],[Role]]&lt;&gt;"BR",SUMPRODUCT(Mecze[[#This Row],[/PR:90]:[/BR:90]],Brudnopis!$E$26:$J$26),0)</f>
        <v>5.10204081632653E-2</v>
      </c>
      <c r="W1942" s="44">
        <f>IF(Mecze[[#This Row],[Role]]&lt;&gt;"BR",SUMPRODUCT(Mecze[[#This Row],[/PR:90]:[/BR:90]],Brudnopis!$E$27:$J$27),0)</f>
        <v>6.8877551020408156E-2</v>
      </c>
      <c r="X1942" s="44">
        <f>IF(Mecze[[#This Row],[Role]]&lt;&gt;"BR",SUMPRODUCT(Mecze[[#This Row],[/PR:90]:[/BR:90]],Brudnopis!$E$28:$J$28),0)</f>
        <v>4.0816326530612242E-2</v>
      </c>
      <c r="Y1942" s="35">
        <f>IF(Mecze[[#This Row],[Role]]="BR",Mecze[[#This Row],[/OB:90]]+Mecze[[#This Row],[/PC:90]],SUM(Mecze[[#This Row],[/PR:90]:[/BR:90]]))</f>
        <v>5.10204081632653E-2</v>
      </c>
      <c r="Z1942" s="35">
        <f>IF(Mecze[[#This Row],[KC]]=0,SUM(Mecze[[#This Row],[/BRI]:[/NPI]]),SUM(Mecze[[#This Row],[/BRI]:[/NPI]])*0.6)</f>
        <v>0.28316326530612246</v>
      </c>
      <c r="AA1942" s="10">
        <f>IFERROR(Mecze[[#This Row],[BR]]/Mecze[[#This Row],[ST]],0)</f>
        <v>0</v>
      </c>
      <c r="AB1942">
        <f>ROUND(Mecze[[#This Row],[PD]]*Mecze[[#This Row],[%PC]],0)</f>
        <v>4</v>
      </c>
      <c r="AC1942">
        <f>ROUND(Mecze[[#This Row],[OD]]*Mecze[[#This Row],[%OU]],0)</f>
        <v>0</v>
      </c>
      <c r="AD1942" s="36" t="s">
        <v>44</v>
      </c>
      <c r="AE1942" s="36">
        <v>107</v>
      </c>
      <c r="AF1942" s="71">
        <v>9.3699999999999992</v>
      </c>
      <c r="AG1942" s="37">
        <v>0</v>
      </c>
      <c r="AH1942" s="37">
        <v>0</v>
      </c>
      <c r="AI1942" s="37">
        <v>98</v>
      </c>
      <c r="AJ1942" s="37">
        <v>1</v>
      </c>
      <c r="AK1942" s="37" t="str">
        <f>VLOOKUP(Mecze[[#This Row],[Match ID]],Meczusie[Mecz]:Meczusie[RodzajMeczu],2,FALSE)</f>
        <v>Towarzyski</v>
      </c>
    </row>
    <row r="1943" spans="1:37" x14ac:dyDescent="0.25">
      <c r="A1943" s="76">
        <v>27</v>
      </c>
      <c r="B1943" s="3" t="s">
        <v>364</v>
      </c>
      <c r="C1943" s="2" t="s">
        <v>165</v>
      </c>
      <c r="D1943" s="1">
        <v>0</v>
      </c>
      <c r="E1943" s="1">
        <v>9</v>
      </c>
      <c r="F1943" s="1">
        <v>9</v>
      </c>
      <c r="G1943" s="1">
        <v>10</v>
      </c>
      <c r="H1943" s="4">
        <v>0.9</v>
      </c>
      <c r="I1943" s="1">
        <v>8</v>
      </c>
      <c r="J1943" s="4">
        <v>0.13</v>
      </c>
      <c r="K1943" s="1">
        <v>0</v>
      </c>
      <c r="L1943" s="1">
        <v>1</v>
      </c>
      <c r="M1943" s="32">
        <f>IF(Mecze[[#This Row],[PR]]=0,0,Mecze[[#This Row],[PR]]/Mecze[[#This Row],[CZAS]])</f>
        <v>1.020408163265306E-2</v>
      </c>
      <c r="N1943" s="32">
        <f>IF(Mecze[[#This Row],[OU]]=0,0,Mecze[[#This Row],[OU]]/Mecze[[#This Row],[CZAS]])</f>
        <v>1.020408163265306E-2</v>
      </c>
      <c r="O1943" s="32">
        <f>IF(Mecze[[#This Row],[PC]]=0,0,Mecze[[#This Row],[PC]]/Mecze[[#This Row],[CZAS]])</f>
        <v>9.1836734693877556E-2</v>
      </c>
      <c r="P1943" s="32">
        <f>IF(Mecze[[#This Row],[SC]]=0,0,Mecze[[#This Row],[SC]]/Mecze[[#This Row],[CZAS]])</f>
        <v>9.1836734693877556E-2</v>
      </c>
      <c r="Q1943" s="32">
        <f>IF(Mecze[[#This Row],[OB]]=0,0,Mecze[[#This Row],[OB]]/Mecze[[#This Row],[CZAS]])</f>
        <v>0</v>
      </c>
      <c r="R1943" s="32">
        <f>IF(Mecze[[#This Row],[BR]]=0,0,Mecze[[#This Row],[BR]]/Mecze[[#This Row],[CZAS]])</f>
        <v>0</v>
      </c>
      <c r="S1943" s="44">
        <f>IF(Mecze[[#This Row],[Role]]="BR",SUMPRODUCT(Mecze[[#This Row],[/PR:90]:[/BR:90]],Brudnopis!$E$23:$J$23),0)</f>
        <v>0</v>
      </c>
      <c r="T1943" s="44">
        <f>IF(Mecze[[#This Row],[Role]]&lt;&gt;"BR",SUMPRODUCT(Mecze[[#This Row],[/PR:90]:[/BR:90]],Brudnopis!$E$24:$J$24),0)</f>
        <v>0.20918367346938777</v>
      </c>
      <c r="U1943" s="44">
        <f>IF(Mecze[[#This Row],[Role]]&lt;&gt;"BR",SUMPRODUCT(Mecze[[#This Row],[/PR:90]:[/BR:90]],Brudnopis!$E$25:$J$25),0)</f>
        <v>0.25</v>
      </c>
      <c r="V1943" s="44">
        <f>IF(Mecze[[#This Row],[Role]]&lt;&gt;"BR",SUMPRODUCT(Mecze[[#This Row],[/PR:90]:[/BR:90]],Brudnopis!$E$26:$J$26),0)</f>
        <v>0.20408163265306123</v>
      </c>
      <c r="W1943" s="44">
        <f>IF(Mecze[[#This Row],[Role]]&lt;&gt;"BR",SUMPRODUCT(Mecze[[#This Row],[/PR:90]:[/BR:90]],Brudnopis!$E$27:$J$27),0)</f>
        <v>0.24489795918367346</v>
      </c>
      <c r="X1943" s="44">
        <f>IF(Mecze[[#This Row],[Role]]&lt;&gt;"BR",SUMPRODUCT(Mecze[[#This Row],[/PR:90]:[/BR:90]],Brudnopis!$E$28:$J$28),0)</f>
        <v>0.27551020408163268</v>
      </c>
      <c r="Y1943" s="35">
        <f>IF(Mecze[[#This Row],[Role]]="BR",Mecze[[#This Row],[/OB:90]]+Mecze[[#This Row],[/PC:90]],SUM(Mecze[[#This Row],[/PR:90]:[/BR:90]]))</f>
        <v>0.20408163265306123</v>
      </c>
      <c r="Z1943" s="35">
        <f>IF(Mecze[[#This Row],[KC]]=0,SUM(Mecze[[#This Row],[/BRI]:[/NPI]]),SUM(Mecze[[#This Row],[/BRI]:[/NPI]])*0.6)</f>
        <v>1.1836734693877551</v>
      </c>
      <c r="AA1943" s="10">
        <f>IFERROR(Mecze[[#This Row],[BR]]/Mecze[[#This Row],[ST]],0)</f>
        <v>0</v>
      </c>
      <c r="AB1943">
        <f>ROUND(Mecze[[#This Row],[PD]]*Mecze[[#This Row],[%PC]],0)</f>
        <v>9</v>
      </c>
      <c r="AC1943">
        <f>ROUND(Mecze[[#This Row],[OD]]*Mecze[[#This Row],[%OU]],0)</f>
        <v>1</v>
      </c>
      <c r="AD1943" s="36" t="s">
        <v>46</v>
      </c>
      <c r="AE1943" s="36">
        <v>107</v>
      </c>
      <c r="AF1943" s="71">
        <v>8.16</v>
      </c>
      <c r="AG1943" s="37">
        <v>0</v>
      </c>
      <c r="AH1943" s="37">
        <v>0</v>
      </c>
      <c r="AI1943" s="37">
        <v>98</v>
      </c>
      <c r="AJ1943" s="37">
        <v>1</v>
      </c>
      <c r="AK1943" s="37" t="str">
        <f>VLOOKUP(Mecze[[#This Row],[Match ID]],Meczusie[Mecz]:Meczusie[RodzajMeczu],2,FALSE)</f>
        <v>Towarzyski</v>
      </c>
    </row>
    <row r="1944" spans="1:37" x14ac:dyDescent="0.25">
      <c r="A1944" s="76">
        <v>31</v>
      </c>
      <c r="B1944" s="3" t="s">
        <v>365</v>
      </c>
      <c r="C1944" s="2" t="s">
        <v>165</v>
      </c>
      <c r="D1944" s="1">
        <v>1</v>
      </c>
      <c r="E1944" s="1">
        <v>3</v>
      </c>
      <c r="F1944" s="1">
        <v>3</v>
      </c>
      <c r="G1944" s="1">
        <v>5</v>
      </c>
      <c r="H1944" s="4">
        <v>0.2</v>
      </c>
      <c r="I1944" s="1">
        <v>0</v>
      </c>
      <c r="J1944" s="4"/>
      <c r="K1944" s="1">
        <v>0</v>
      </c>
      <c r="L1944" s="1">
        <v>1</v>
      </c>
      <c r="M1944" s="32">
        <f>IF(Mecze[[#This Row],[PR]]=0,0,Mecze[[#This Row],[PR]]/Mecze[[#This Row],[CZAS]])</f>
        <v>1.020408163265306E-2</v>
      </c>
      <c r="N1944" s="32">
        <f>IF(Mecze[[#This Row],[OU]]=0,0,Mecze[[#This Row],[OU]]/Mecze[[#This Row],[CZAS]])</f>
        <v>0</v>
      </c>
      <c r="O1944" s="32">
        <f>IF(Mecze[[#This Row],[PC]]=0,0,Mecze[[#This Row],[PC]]/Mecze[[#This Row],[CZAS]])</f>
        <v>1.020408163265306E-2</v>
      </c>
      <c r="P1944" s="32">
        <f>IF(Mecze[[#This Row],[SC]]=0,0,Mecze[[#This Row],[SC]]/Mecze[[#This Row],[CZAS]])</f>
        <v>3.0612244897959183E-2</v>
      </c>
      <c r="Q1944" s="32">
        <f>IF(Mecze[[#This Row],[OB]]=0,0,Mecze[[#This Row],[OB]]/Mecze[[#This Row],[CZAS]])</f>
        <v>0</v>
      </c>
      <c r="R1944" s="32">
        <f>IF(Mecze[[#This Row],[BR]]=0,0,Mecze[[#This Row],[BR]]/Mecze[[#This Row],[CZAS]])</f>
        <v>1.020408163265306E-2</v>
      </c>
      <c r="S1944" s="44">
        <f>IF(Mecze[[#This Row],[Role]]="BR",SUMPRODUCT(Mecze[[#This Row],[/PR:90]:[/BR:90]],Brudnopis!$E$23:$J$23),0)</f>
        <v>0</v>
      </c>
      <c r="T1944" s="44">
        <f>IF(Mecze[[#This Row],[Role]]&lt;&gt;"BR",SUMPRODUCT(Mecze[[#This Row],[/PR:90]:[/BR:90]],Brudnopis!$E$24:$J$24),0)</f>
        <v>6.6326530612244902E-2</v>
      </c>
      <c r="U1944" s="44">
        <f>IF(Mecze[[#This Row],[Role]]&lt;&gt;"BR",SUMPRODUCT(Mecze[[#This Row],[/PR:90]:[/BR:90]],Brudnopis!$E$25:$J$25),0)</f>
        <v>7.1428571428571425E-2</v>
      </c>
      <c r="V1944" s="44">
        <f>IF(Mecze[[#This Row],[Role]]&lt;&gt;"BR",SUMPRODUCT(Mecze[[#This Row],[/PR:90]:[/BR:90]],Brudnopis!$E$26:$J$26),0)</f>
        <v>7.1428571428571425E-2</v>
      </c>
      <c r="W1944" s="44">
        <f>IF(Mecze[[#This Row],[Role]]&lt;&gt;"BR",SUMPRODUCT(Mecze[[#This Row],[/PR:90]:[/BR:90]],Brudnopis!$E$27:$J$27),0)</f>
        <v>7.3979591836734693E-2</v>
      </c>
      <c r="X1944" s="44">
        <f>IF(Mecze[[#This Row],[Role]]&lt;&gt;"BR",SUMPRODUCT(Mecze[[#This Row],[/PR:90]:[/BR:90]],Brudnopis!$E$28:$J$28),0)</f>
        <v>0.10204081632653061</v>
      </c>
      <c r="Y1944" s="35">
        <f>IF(Mecze[[#This Row],[Role]]="BR",Mecze[[#This Row],[/OB:90]]+Mecze[[#This Row],[/PC:90]],SUM(Mecze[[#This Row],[/PR:90]:[/BR:90]]))</f>
        <v>6.1224489795918366E-2</v>
      </c>
      <c r="Z1944" s="35">
        <f>IF(Mecze[[#This Row],[KC]]=0,SUM(Mecze[[#This Row],[/BRI]:[/NPI]]),SUM(Mecze[[#This Row],[/BRI]:[/NPI]])*0.6)</f>
        <v>0.38520408163265307</v>
      </c>
      <c r="AA1944" s="10">
        <f>IFERROR(Mecze[[#This Row],[BR]]/Mecze[[#This Row],[ST]],0)</f>
        <v>0.33333333333333331</v>
      </c>
      <c r="AB1944">
        <f>ROUND(Mecze[[#This Row],[PD]]*Mecze[[#This Row],[%PC]],0)</f>
        <v>1</v>
      </c>
      <c r="AC1944">
        <f>ROUND(Mecze[[#This Row],[OD]]*Mecze[[#This Row],[%OU]],0)</f>
        <v>0</v>
      </c>
      <c r="AD1944" s="36" t="s">
        <v>46</v>
      </c>
      <c r="AE1944" s="36">
        <v>107</v>
      </c>
      <c r="AF1944" s="71">
        <v>6.89</v>
      </c>
      <c r="AG1944" s="37">
        <v>0</v>
      </c>
      <c r="AH1944" s="37">
        <v>0</v>
      </c>
      <c r="AI1944" s="37">
        <v>98</v>
      </c>
      <c r="AJ1944" s="37">
        <v>1</v>
      </c>
      <c r="AK1944" s="37" t="str">
        <f>VLOOKUP(Mecze[[#This Row],[Match ID]],Meczusie[Mecz]:Meczusie[RodzajMeczu],2,FALSE)</f>
        <v>Towarzyski</v>
      </c>
    </row>
    <row r="1945" spans="1:37" x14ac:dyDescent="0.25">
      <c r="A1945" s="76">
        <v>61</v>
      </c>
      <c r="B1945" s="3" t="s">
        <v>454</v>
      </c>
      <c r="C1945" s="2" t="s">
        <v>165</v>
      </c>
      <c r="D1945" s="1">
        <v>1</v>
      </c>
      <c r="E1945" s="1">
        <v>6</v>
      </c>
      <c r="F1945" s="1">
        <v>6</v>
      </c>
      <c r="G1945" s="1">
        <v>6</v>
      </c>
      <c r="H1945" s="4">
        <v>0.33</v>
      </c>
      <c r="I1945" s="1">
        <v>3</v>
      </c>
      <c r="J1945" s="4">
        <v>0.33</v>
      </c>
      <c r="K1945" s="1">
        <v>0</v>
      </c>
      <c r="L1945" s="1">
        <v>0</v>
      </c>
      <c r="M1945" s="32">
        <f>IF(Mecze[[#This Row],[PR]]=0,0,Mecze[[#This Row],[PR]]/Mecze[[#This Row],[CZAS]])</f>
        <v>0</v>
      </c>
      <c r="N1945" s="32">
        <f>IF(Mecze[[#This Row],[OU]]=0,0,Mecze[[#This Row],[OU]]/Mecze[[#This Row],[CZAS]])</f>
        <v>1.020408163265306E-2</v>
      </c>
      <c r="O1945" s="32">
        <f>IF(Mecze[[#This Row],[PC]]=0,0,Mecze[[#This Row],[PC]]/Mecze[[#This Row],[CZAS]])</f>
        <v>2.0408163265306121E-2</v>
      </c>
      <c r="P1945" s="32">
        <f>IF(Mecze[[#This Row],[SC]]=0,0,Mecze[[#This Row],[SC]]/Mecze[[#This Row],[CZAS]])</f>
        <v>6.1224489795918366E-2</v>
      </c>
      <c r="Q1945" s="32">
        <f>IF(Mecze[[#This Row],[OB]]=0,0,Mecze[[#This Row],[OB]]/Mecze[[#This Row],[CZAS]])</f>
        <v>0</v>
      </c>
      <c r="R1945" s="32">
        <f>IF(Mecze[[#This Row],[BR]]=0,0,Mecze[[#This Row],[BR]]/Mecze[[#This Row],[CZAS]])</f>
        <v>1.020408163265306E-2</v>
      </c>
      <c r="S1945" s="44">
        <f>IF(Mecze[[#This Row],[Role]]="BR",SUMPRODUCT(Mecze[[#This Row],[/PR:90]:[/BR:90]],Brudnopis!$E$23:$J$23),0)</f>
        <v>0</v>
      </c>
      <c r="T1945" s="44">
        <f>IF(Mecze[[#This Row],[Role]]&lt;&gt;"BR",SUMPRODUCT(Mecze[[#This Row],[/PR:90]:[/BR:90]],Brudnopis!$E$24:$J$24),0)</f>
        <v>0.11224489795918367</v>
      </c>
      <c r="U1945" s="44">
        <f>IF(Mecze[[#This Row],[Role]]&lt;&gt;"BR",SUMPRODUCT(Mecze[[#This Row],[/PR:90]:[/BR:90]],Brudnopis!$E$25:$J$25),0)</f>
        <v>0.11734693877551021</v>
      </c>
      <c r="V1945" s="44">
        <f>IF(Mecze[[#This Row],[Role]]&lt;&gt;"BR",SUMPRODUCT(Mecze[[#This Row],[/PR:90]:[/BR:90]],Brudnopis!$E$26:$J$26),0)</f>
        <v>0.11224489795918366</v>
      </c>
      <c r="W1945" s="44">
        <f>IF(Mecze[[#This Row],[Role]]&lt;&gt;"BR",SUMPRODUCT(Mecze[[#This Row],[/PR:90]:[/BR:90]],Brudnopis!$E$27:$J$27),0)</f>
        <v>0.11989795918367346</v>
      </c>
      <c r="X1945" s="44">
        <f>IF(Mecze[[#This Row],[Role]]&lt;&gt;"BR",SUMPRODUCT(Mecze[[#This Row],[/PR:90]:[/BR:90]],Brudnopis!$E$28:$J$28),0)</f>
        <v>0.17346938775510204</v>
      </c>
      <c r="Y1945" s="35">
        <f>IF(Mecze[[#This Row],[Role]]="BR",Mecze[[#This Row],[/OB:90]]+Mecze[[#This Row],[/PC:90]],SUM(Mecze[[#This Row],[/PR:90]:[/BR:90]]))</f>
        <v>0.1020408163265306</v>
      </c>
      <c r="Z1945" s="35">
        <f>IF(Mecze[[#This Row],[KC]]=0,SUM(Mecze[[#This Row],[/BRI]:[/NPI]]),SUM(Mecze[[#This Row],[/BRI]:[/NPI]])*0.6)</f>
        <v>0.63520408163265307</v>
      </c>
      <c r="AA1945" s="10">
        <f>IFERROR(Mecze[[#This Row],[BR]]/Mecze[[#This Row],[ST]],0)</f>
        <v>0.16666666666666666</v>
      </c>
      <c r="AB1945">
        <f>ROUND(Mecze[[#This Row],[PD]]*Mecze[[#This Row],[%PC]],0)</f>
        <v>2</v>
      </c>
      <c r="AC1945">
        <f>ROUND(Mecze[[#This Row],[OD]]*Mecze[[#This Row],[%OU]],0)</f>
        <v>1</v>
      </c>
      <c r="AD1945" s="36" t="s">
        <v>46</v>
      </c>
      <c r="AE1945" s="36">
        <v>107</v>
      </c>
      <c r="AF1945" s="71">
        <v>7.55</v>
      </c>
      <c r="AG1945" s="37">
        <v>0</v>
      </c>
      <c r="AH1945" s="37">
        <v>0</v>
      </c>
      <c r="AI1945" s="37">
        <v>98</v>
      </c>
      <c r="AJ1945" s="37">
        <v>1</v>
      </c>
      <c r="AK1945" s="37" t="str">
        <f>VLOOKUP(Mecze[[#This Row],[Match ID]],Meczusie[Mecz]:Meczusie[RodzajMeczu],2,FALSE)</f>
        <v>Towarzyski</v>
      </c>
    </row>
    <row r="1946" spans="1:37" x14ac:dyDescent="0.25">
      <c r="A1946" s="76">
        <v>1</v>
      </c>
      <c r="B1946" s="3" t="s">
        <v>261</v>
      </c>
      <c r="C1946" s="2" t="s">
        <v>155</v>
      </c>
      <c r="D1946" s="1">
        <v>0</v>
      </c>
      <c r="E1946" s="1">
        <v>0</v>
      </c>
      <c r="F1946" s="1">
        <v>0</v>
      </c>
      <c r="G1946" s="1">
        <v>7</v>
      </c>
      <c r="H1946" s="4">
        <v>0.71</v>
      </c>
      <c r="I1946" s="1">
        <v>0</v>
      </c>
      <c r="J1946" s="4"/>
      <c r="K1946" s="1">
        <v>6</v>
      </c>
      <c r="L1946" s="1">
        <v>0</v>
      </c>
      <c r="M1946" s="32">
        <f>IF(Mecze[[#This Row],[PR]]=0,0,Mecze[[#This Row],[PR]]/Mecze[[#This Row],[CZAS]])</f>
        <v>0</v>
      </c>
      <c r="N1946" s="32">
        <f>IF(Mecze[[#This Row],[OU]]=0,0,Mecze[[#This Row],[OU]]/Mecze[[#This Row],[CZAS]])</f>
        <v>0</v>
      </c>
      <c r="O1946" s="32">
        <f>IF(Mecze[[#This Row],[PC]]=0,0,Mecze[[#This Row],[PC]]/Mecze[[#This Row],[CZAS]])</f>
        <v>5.2083333333333336E-2</v>
      </c>
      <c r="P1946" s="32">
        <f>IF(Mecze[[#This Row],[SC]]=0,0,Mecze[[#This Row],[SC]]/Mecze[[#This Row],[CZAS]])</f>
        <v>0</v>
      </c>
      <c r="Q1946" s="32">
        <f>IF(Mecze[[#This Row],[OB]]=0,0,Mecze[[#This Row],[OB]]/Mecze[[#This Row],[CZAS]])</f>
        <v>6.25E-2</v>
      </c>
      <c r="R1946" s="32">
        <f>IF(Mecze[[#This Row],[BR]]=0,0,Mecze[[#This Row],[BR]]/Mecze[[#This Row],[CZAS]])</f>
        <v>0</v>
      </c>
      <c r="S1946" s="44">
        <f>IF(Mecze[[#This Row],[Role]]="BR",SUMPRODUCT(Mecze[[#This Row],[/PR:90]:[/BR:90]],Brudnopis!$E$23:$J$23),0)</f>
        <v>0.34375</v>
      </c>
      <c r="T1946" s="44">
        <f>IF(Mecze[[#This Row],[Role]]&lt;&gt;"BR",SUMPRODUCT(Mecze[[#This Row],[/PR:90]:[/BR:90]],Brudnopis!$E$24:$J$24),0)</f>
        <v>0</v>
      </c>
      <c r="U1946" s="44">
        <f>IF(Mecze[[#This Row],[Role]]&lt;&gt;"BR",SUMPRODUCT(Mecze[[#This Row],[/PR:90]:[/BR:90]],Brudnopis!$E$25:$J$25),0)</f>
        <v>0</v>
      </c>
      <c r="V1946" s="44">
        <f>IF(Mecze[[#This Row],[Role]]&lt;&gt;"BR",SUMPRODUCT(Mecze[[#This Row],[/PR:90]:[/BR:90]],Brudnopis!$E$26:$J$26),0)</f>
        <v>0</v>
      </c>
      <c r="W1946" s="44">
        <f>IF(Mecze[[#This Row],[Role]]&lt;&gt;"BR",SUMPRODUCT(Mecze[[#This Row],[/PR:90]:[/BR:90]],Brudnopis!$E$27:$J$27),0)</f>
        <v>0</v>
      </c>
      <c r="X1946" s="44">
        <f>IF(Mecze[[#This Row],[Role]]&lt;&gt;"BR",SUMPRODUCT(Mecze[[#This Row],[/PR:90]:[/BR:90]],Brudnopis!$E$28:$J$28),0)</f>
        <v>0</v>
      </c>
      <c r="Y1946" s="35">
        <f>IF(Mecze[[#This Row],[Role]]="BR",Mecze[[#This Row],[/OB:90]]+Mecze[[#This Row],[/PC:90]],SUM(Mecze[[#This Row],[/PR:90]:[/BR:90]]))</f>
        <v>0.11458333333333334</v>
      </c>
      <c r="Z1946" s="35">
        <f>IF(Mecze[[#This Row],[KC]]=0,SUM(Mecze[[#This Row],[/BRI]:[/NPI]]),SUM(Mecze[[#This Row],[/BRI]:[/NPI]])*0.6)</f>
        <v>0.34375</v>
      </c>
      <c r="AA1946" s="10">
        <f>IFERROR(Mecze[[#This Row],[BR]]/Mecze[[#This Row],[ST]],0)</f>
        <v>0</v>
      </c>
      <c r="AB1946">
        <f>ROUND(Mecze[[#This Row],[PD]]*Mecze[[#This Row],[%PC]],0)</f>
        <v>5</v>
      </c>
      <c r="AC1946">
        <f>ROUND(Mecze[[#This Row],[OD]]*Mecze[[#This Row],[%OU]],0)</f>
        <v>0</v>
      </c>
      <c r="AD1946" s="36" t="s">
        <v>40</v>
      </c>
      <c r="AE1946" s="36">
        <v>109</v>
      </c>
      <c r="AF1946" s="71">
        <v>4.91</v>
      </c>
      <c r="AG1946" s="37">
        <v>0</v>
      </c>
      <c r="AH1946" s="37">
        <v>0</v>
      </c>
      <c r="AI1946" s="37">
        <v>96</v>
      </c>
      <c r="AJ1946" s="37">
        <v>3</v>
      </c>
      <c r="AK1946" s="37" t="str">
        <f>VLOOKUP(Mecze[[#This Row],[Match ID]],Meczusie[Mecz]:Meczusie[RodzajMeczu],2,FALSE)</f>
        <v>Liga</v>
      </c>
    </row>
    <row r="1947" spans="1:37" x14ac:dyDescent="0.25">
      <c r="A1947" s="76">
        <v>13</v>
      </c>
      <c r="B1947" s="3" t="s">
        <v>262</v>
      </c>
      <c r="C1947" s="2" t="s">
        <v>157</v>
      </c>
      <c r="D1947" s="1">
        <v>0</v>
      </c>
      <c r="E1947" s="1">
        <v>0</v>
      </c>
      <c r="F1947" s="1">
        <v>0</v>
      </c>
      <c r="G1947" s="1">
        <v>4</v>
      </c>
      <c r="H1947" s="4">
        <v>1</v>
      </c>
      <c r="I1947" s="1">
        <v>1</v>
      </c>
      <c r="J1947" s="4">
        <v>0</v>
      </c>
      <c r="K1947" s="1">
        <v>0</v>
      </c>
      <c r="L1947" s="1">
        <v>3</v>
      </c>
      <c r="M1947" s="32">
        <f>IF(Mecze[[#This Row],[PR]]=0,0,Mecze[[#This Row],[PR]]/Mecze[[#This Row],[CZAS]])</f>
        <v>3.125E-2</v>
      </c>
      <c r="N1947" s="32">
        <f>IF(Mecze[[#This Row],[OU]]=0,0,Mecze[[#This Row],[OU]]/Mecze[[#This Row],[CZAS]])</f>
        <v>0</v>
      </c>
      <c r="O1947" s="32">
        <f>IF(Mecze[[#This Row],[PC]]=0,0,Mecze[[#This Row],[PC]]/Mecze[[#This Row],[CZAS]])</f>
        <v>4.1666666666666664E-2</v>
      </c>
      <c r="P1947" s="32">
        <f>IF(Mecze[[#This Row],[SC]]=0,0,Mecze[[#This Row],[SC]]/Mecze[[#This Row],[CZAS]])</f>
        <v>0</v>
      </c>
      <c r="Q1947" s="32">
        <f>IF(Mecze[[#This Row],[OB]]=0,0,Mecze[[#This Row],[OB]]/Mecze[[#This Row],[CZAS]])</f>
        <v>0</v>
      </c>
      <c r="R1947" s="32">
        <f>IF(Mecze[[#This Row],[BR]]=0,0,Mecze[[#This Row],[BR]]/Mecze[[#This Row],[CZAS]])</f>
        <v>0</v>
      </c>
      <c r="S1947" s="44">
        <f>IF(Mecze[[#This Row],[Role]]="BR",SUMPRODUCT(Mecze[[#This Row],[/PR:90]:[/BR:90]],Brudnopis!$E$23:$J$23),0)</f>
        <v>0</v>
      </c>
      <c r="T1947" s="44">
        <f>IF(Mecze[[#This Row],[Role]]&lt;&gt;"BR",SUMPRODUCT(Mecze[[#This Row],[/PR:90]:[/BR:90]],Brudnopis!$E$24:$J$24),0)</f>
        <v>7.2916666666666657E-2</v>
      </c>
      <c r="U1947" s="44">
        <f>IF(Mecze[[#This Row],[Role]]&lt;&gt;"BR",SUMPRODUCT(Mecze[[#This Row],[/PR:90]:[/BR:90]],Brudnopis!$E$25:$J$25),0)</f>
        <v>9.375E-2</v>
      </c>
      <c r="V1947" s="44">
        <f>IF(Mecze[[#This Row],[Role]]&lt;&gt;"BR",SUMPRODUCT(Mecze[[#This Row],[/PR:90]:[/BR:90]],Brudnopis!$E$26:$J$26),0)</f>
        <v>7.2916666666666657E-2</v>
      </c>
      <c r="W1947" s="44">
        <f>IF(Mecze[[#This Row],[Role]]&lt;&gt;"BR",SUMPRODUCT(Mecze[[#This Row],[/PR:90]:[/BR:90]],Brudnopis!$E$27:$J$27),0)</f>
        <v>8.59375E-2</v>
      </c>
      <c r="X1947" s="44">
        <f>IF(Mecze[[#This Row],[Role]]&lt;&gt;"BR",SUMPRODUCT(Mecze[[#This Row],[/PR:90]:[/BR:90]],Brudnopis!$E$28:$J$28),0)</f>
        <v>4.1666666666666664E-2</v>
      </c>
      <c r="Y1947" s="35">
        <f>IF(Mecze[[#This Row],[Role]]="BR",Mecze[[#This Row],[/OB:90]]+Mecze[[#This Row],[/PC:90]],SUM(Mecze[[#This Row],[/PR:90]:[/BR:90]]))</f>
        <v>7.2916666666666657E-2</v>
      </c>
      <c r="Z1947" s="35">
        <f>IF(Mecze[[#This Row],[KC]]=0,SUM(Mecze[[#This Row],[/BRI]:[/NPI]]),SUM(Mecze[[#This Row],[/BRI]:[/NPI]])*0.6)</f>
        <v>0.3671875</v>
      </c>
      <c r="AA1947" s="10">
        <f>IFERROR(Mecze[[#This Row],[BR]]/Mecze[[#This Row],[ST]],0)</f>
        <v>0</v>
      </c>
      <c r="AB1947">
        <f>ROUND(Mecze[[#This Row],[PD]]*Mecze[[#This Row],[%PC]],0)</f>
        <v>4</v>
      </c>
      <c r="AC1947">
        <f>ROUND(Mecze[[#This Row],[OD]]*Mecze[[#This Row],[%OU]],0)</f>
        <v>0</v>
      </c>
      <c r="AD1947" s="36" t="s">
        <v>175</v>
      </c>
      <c r="AE1947" s="36">
        <v>109</v>
      </c>
      <c r="AF1947" s="71">
        <v>2.2200000000000002</v>
      </c>
      <c r="AG1947" s="37">
        <v>0</v>
      </c>
      <c r="AH1947" s="37">
        <v>0</v>
      </c>
      <c r="AI1947" s="37">
        <v>96</v>
      </c>
      <c r="AJ1947" s="37">
        <v>3</v>
      </c>
      <c r="AK1947" s="37" t="str">
        <f>VLOOKUP(Mecze[[#This Row],[Match ID]],Meczusie[Mecz]:Meczusie[RodzajMeczu],2,FALSE)</f>
        <v>Liga</v>
      </c>
    </row>
    <row r="1948" spans="1:37" x14ac:dyDescent="0.25">
      <c r="A1948" s="76">
        <v>4</v>
      </c>
      <c r="B1948" s="3" t="s">
        <v>264</v>
      </c>
      <c r="C1948" s="2" t="s">
        <v>157</v>
      </c>
      <c r="D1948" s="1">
        <v>0</v>
      </c>
      <c r="E1948" s="1">
        <v>0</v>
      </c>
      <c r="F1948" s="1">
        <v>0</v>
      </c>
      <c r="G1948" s="1">
        <v>5</v>
      </c>
      <c r="H1948" s="4">
        <v>0.8</v>
      </c>
      <c r="I1948" s="1">
        <v>4</v>
      </c>
      <c r="J1948" s="4">
        <v>0.5</v>
      </c>
      <c r="K1948" s="1">
        <v>0</v>
      </c>
      <c r="L1948" s="1">
        <v>2</v>
      </c>
      <c r="M1948" s="32">
        <f>IF(Mecze[[#This Row],[PR]]=0,0,Mecze[[#This Row],[PR]]/Mecze[[#This Row],[CZAS]])</f>
        <v>2.0833333333333332E-2</v>
      </c>
      <c r="N1948" s="32">
        <f>IF(Mecze[[#This Row],[OU]]=0,0,Mecze[[#This Row],[OU]]/Mecze[[#This Row],[CZAS]])</f>
        <v>2.0833333333333332E-2</v>
      </c>
      <c r="O1948" s="32">
        <f>IF(Mecze[[#This Row],[PC]]=0,0,Mecze[[#This Row],[PC]]/Mecze[[#This Row],[CZAS]])</f>
        <v>4.1666666666666664E-2</v>
      </c>
      <c r="P1948" s="32">
        <f>IF(Mecze[[#This Row],[SC]]=0,0,Mecze[[#This Row],[SC]]/Mecze[[#This Row],[CZAS]])</f>
        <v>0</v>
      </c>
      <c r="Q1948" s="32">
        <f>IF(Mecze[[#This Row],[OB]]=0,0,Mecze[[#This Row],[OB]]/Mecze[[#This Row],[CZAS]])</f>
        <v>0</v>
      </c>
      <c r="R1948" s="32">
        <f>IF(Mecze[[#This Row],[BR]]=0,0,Mecze[[#This Row],[BR]]/Mecze[[#This Row],[CZAS]])</f>
        <v>0</v>
      </c>
      <c r="S1948" s="44">
        <f>IF(Mecze[[#This Row],[Role]]="BR",SUMPRODUCT(Mecze[[#This Row],[/PR:90]:[/BR:90]],Brudnopis!$E$23:$J$23),0)</f>
        <v>0</v>
      </c>
      <c r="T1948" s="44">
        <f>IF(Mecze[[#This Row],[Role]]&lt;&gt;"BR",SUMPRODUCT(Mecze[[#This Row],[/PR:90]:[/BR:90]],Brudnopis!$E$24:$J$24),0)</f>
        <v>9.375E-2</v>
      </c>
      <c r="U1948" s="44">
        <f>IF(Mecze[[#This Row],[Role]]&lt;&gt;"BR",SUMPRODUCT(Mecze[[#This Row],[/PR:90]:[/BR:90]],Brudnopis!$E$25:$J$25),0)</f>
        <v>0.10416666666666666</v>
      </c>
      <c r="V1948" s="44">
        <f>IF(Mecze[[#This Row],[Role]]&lt;&gt;"BR",SUMPRODUCT(Mecze[[#This Row],[/PR:90]:[/BR:90]],Brudnopis!$E$26:$J$26),0)</f>
        <v>8.3333333333333329E-2</v>
      </c>
      <c r="W1948" s="44">
        <f>IF(Mecze[[#This Row],[Role]]&lt;&gt;"BR",SUMPRODUCT(Mecze[[#This Row],[/PR:90]:[/BR:90]],Brudnopis!$E$27:$J$27),0)</f>
        <v>9.375E-2</v>
      </c>
      <c r="X1948" s="44">
        <f>IF(Mecze[[#This Row],[Role]]&lt;&gt;"BR",SUMPRODUCT(Mecze[[#This Row],[/PR:90]:[/BR:90]],Brudnopis!$E$28:$J$28),0)</f>
        <v>4.1666666666666664E-2</v>
      </c>
      <c r="Y1948" s="35">
        <f>IF(Mecze[[#This Row],[Role]]="BR",Mecze[[#This Row],[/OB:90]]+Mecze[[#This Row],[/PC:90]],SUM(Mecze[[#This Row],[/PR:90]:[/BR:90]]))</f>
        <v>8.3333333333333329E-2</v>
      </c>
      <c r="Z1948" s="35">
        <f>IF(Mecze[[#This Row],[KC]]=0,SUM(Mecze[[#This Row],[/BRI]:[/NPI]]),SUM(Mecze[[#This Row],[/BRI]:[/NPI]])*0.6)</f>
        <v>0.41666666666666669</v>
      </c>
      <c r="AA1948" s="10">
        <f>IFERROR(Mecze[[#This Row],[BR]]/Mecze[[#This Row],[ST]],0)</f>
        <v>0</v>
      </c>
      <c r="AB1948">
        <f>ROUND(Mecze[[#This Row],[PD]]*Mecze[[#This Row],[%PC]],0)</f>
        <v>4</v>
      </c>
      <c r="AC1948">
        <f>ROUND(Mecze[[#This Row],[OD]]*Mecze[[#This Row],[%OU]],0)</f>
        <v>2</v>
      </c>
      <c r="AD1948" s="36" t="s">
        <v>174</v>
      </c>
      <c r="AE1948" s="36">
        <v>109</v>
      </c>
      <c r="AF1948" s="71">
        <v>2.02</v>
      </c>
      <c r="AG1948" s="37">
        <v>1</v>
      </c>
      <c r="AH1948" s="37">
        <v>0</v>
      </c>
      <c r="AI1948" s="37">
        <v>96</v>
      </c>
      <c r="AJ1948" s="37">
        <v>3</v>
      </c>
      <c r="AK1948" s="37" t="str">
        <f>VLOOKUP(Mecze[[#This Row],[Match ID]],Meczusie[Mecz]:Meczusie[RodzajMeczu],2,FALSE)</f>
        <v>Liga</v>
      </c>
    </row>
    <row r="1949" spans="1:37" x14ac:dyDescent="0.25">
      <c r="A1949" s="76">
        <v>6</v>
      </c>
      <c r="B1949" s="3" t="s">
        <v>263</v>
      </c>
      <c r="C1949" s="2" t="s">
        <v>157</v>
      </c>
      <c r="D1949" s="1">
        <v>0</v>
      </c>
      <c r="E1949" s="1">
        <v>0</v>
      </c>
      <c r="F1949" s="1">
        <v>0</v>
      </c>
      <c r="G1949" s="1">
        <v>13</v>
      </c>
      <c r="H1949" s="4">
        <v>0.92</v>
      </c>
      <c r="I1949" s="1">
        <v>8</v>
      </c>
      <c r="J1949" s="4">
        <v>0.63</v>
      </c>
      <c r="K1949" s="1">
        <v>0</v>
      </c>
      <c r="L1949" s="1">
        <v>7</v>
      </c>
      <c r="M1949" s="32">
        <f>IF(Mecze[[#This Row],[PR]]=0,0,Mecze[[#This Row],[PR]]/Mecze[[#This Row],[CZAS]])</f>
        <v>7.2916666666666671E-2</v>
      </c>
      <c r="N1949" s="32">
        <f>IF(Mecze[[#This Row],[OU]]=0,0,Mecze[[#This Row],[OU]]/Mecze[[#This Row],[CZAS]])</f>
        <v>5.2083333333333336E-2</v>
      </c>
      <c r="O1949" s="32">
        <f>IF(Mecze[[#This Row],[PC]]=0,0,Mecze[[#This Row],[PC]]/Mecze[[#This Row],[CZAS]])</f>
        <v>0.125</v>
      </c>
      <c r="P1949" s="32">
        <f>IF(Mecze[[#This Row],[SC]]=0,0,Mecze[[#This Row],[SC]]/Mecze[[#This Row],[CZAS]])</f>
        <v>0</v>
      </c>
      <c r="Q1949" s="32">
        <f>IF(Mecze[[#This Row],[OB]]=0,0,Mecze[[#This Row],[OB]]/Mecze[[#This Row],[CZAS]])</f>
        <v>0</v>
      </c>
      <c r="R1949" s="32">
        <f>IF(Mecze[[#This Row],[BR]]=0,0,Mecze[[#This Row],[BR]]/Mecze[[#This Row],[CZAS]])</f>
        <v>0</v>
      </c>
      <c r="S1949" s="44">
        <f>IF(Mecze[[#This Row],[Role]]="BR",SUMPRODUCT(Mecze[[#This Row],[/PR:90]:[/BR:90]],Brudnopis!$E$23:$J$23),0)</f>
        <v>0</v>
      </c>
      <c r="T1949" s="44">
        <f>IF(Mecze[[#This Row],[Role]]&lt;&gt;"BR",SUMPRODUCT(Mecze[[#This Row],[/PR:90]:[/BR:90]],Brudnopis!$E$24:$J$24),0)</f>
        <v>0.27604166666666669</v>
      </c>
      <c r="U1949" s="44">
        <f>IF(Mecze[[#This Row],[Role]]&lt;&gt;"BR",SUMPRODUCT(Mecze[[#This Row],[/PR:90]:[/BR:90]],Brudnopis!$E$25:$J$25),0)</f>
        <v>0.3125</v>
      </c>
      <c r="V1949" s="44">
        <f>IF(Mecze[[#This Row],[Role]]&lt;&gt;"BR",SUMPRODUCT(Mecze[[#This Row],[/PR:90]:[/BR:90]],Brudnopis!$E$26:$J$26),0)</f>
        <v>0.25</v>
      </c>
      <c r="W1949" s="44">
        <f>IF(Mecze[[#This Row],[Role]]&lt;&gt;"BR",SUMPRODUCT(Mecze[[#This Row],[/PR:90]:[/BR:90]],Brudnopis!$E$27:$J$27),0)</f>
        <v>0.28125</v>
      </c>
      <c r="X1949" s="44">
        <f>IF(Mecze[[#This Row],[Role]]&lt;&gt;"BR",SUMPRODUCT(Mecze[[#This Row],[/PR:90]:[/BR:90]],Brudnopis!$E$28:$J$28),0)</f>
        <v>0.125</v>
      </c>
      <c r="Y1949" s="35">
        <f>IF(Mecze[[#This Row],[Role]]="BR",Mecze[[#This Row],[/OB:90]]+Mecze[[#This Row],[/PC:90]],SUM(Mecze[[#This Row],[/PR:90]:[/BR:90]]))</f>
        <v>0.25</v>
      </c>
      <c r="Z1949" s="35">
        <f>IF(Mecze[[#This Row],[KC]]=0,SUM(Mecze[[#This Row],[/BRI]:[/NPI]]),SUM(Mecze[[#This Row],[/BRI]:[/NPI]])*0.6)</f>
        <v>1.2447916666666667</v>
      </c>
      <c r="AA1949" s="10">
        <f>IFERROR(Mecze[[#This Row],[BR]]/Mecze[[#This Row],[ST]],0)</f>
        <v>0</v>
      </c>
      <c r="AB1949">
        <f>ROUND(Mecze[[#This Row],[PD]]*Mecze[[#This Row],[%PC]],0)</f>
        <v>12</v>
      </c>
      <c r="AC1949">
        <f>ROUND(Mecze[[#This Row],[OD]]*Mecze[[#This Row],[%OU]],0)</f>
        <v>5</v>
      </c>
      <c r="AD1949" s="36" t="s">
        <v>47</v>
      </c>
      <c r="AE1949" s="36">
        <v>109</v>
      </c>
      <c r="AF1949" s="71">
        <v>4.18</v>
      </c>
      <c r="AG1949" s="37">
        <v>0</v>
      </c>
      <c r="AH1949" s="37">
        <v>0</v>
      </c>
      <c r="AI1949" s="37">
        <v>96</v>
      </c>
      <c r="AJ1949" s="37">
        <v>3</v>
      </c>
      <c r="AK1949" s="37" t="str">
        <f>VLOOKUP(Mecze[[#This Row],[Match ID]],Meczusie[Mecz]:Meczusie[RodzajMeczu],2,FALSE)</f>
        <v>Liga</v>
      </c>
    </row>
    <row r="1950" spans="1:37" x14ac:dyDescent="0.25">
      <c r="A1950" s="76">
        <v>2</v>
      </c>
      <c r="B1950" s="3" t="s">
        <v>265</v>
      </c>
      <c r="C1950" s="2" t="s">
        <v>157</v>
      </c>
      <c r="D1950" s="1">
        <v>0</v>
      </c>
      <c r="E1950" s="1">
        <v>1</v>
      </c>
      <c r="F1950" s="1">
        <v>1</v>
      </c>
      <c r="G1950" s="1">
        <v>13</v>
      </c>
      <c r="H1950" s="4">
        <v>0.77</v>
      </c>
      <c r="I1950" s="1">
        <v>7</v>
      </c>
      <c r="J1950" s="4">
        <v>0.56999999999999995</v>
      </c>
      <c r="K1950" s="1">
        <v>0</v>
      </c>
      <c r="L1950" s="1">
        <v>7</v>
      </c>
      <c r="M1950" s="32">
        <f>IF(Mecze[[#This Row],[PR]]=0,0,Mecze[[#This Row],[PR]]/Mecze[[#This Row],[CZAS]])</f>
        <v>7.2916666666666671E-2</v>
      </c>
      <c r="N1950" s="32">
        <f>IF(Mecze[[#This Row],[OU]]=0,0,Mecze[[#This Row],[OU]]/Mecze[[#This Row],[CZAS]])</f>
        <v>4.1666666666666664E-2</v>
      </c>
      <c r="O1950" s="32">
        <f>IF(Mecze[[#This Row],[PC]]=0,0,Mecze[[#This Row],[PC]]/Mecze[[#This Row],[CZAS]])</f>
        <v>0.10416666666666667</v>
      </c>
      <c r="P1950" s="32">
        <f>IF(Mecze[[#This Row],[SC]]=0,0,Mecze[[#This Row],[SC]]/Mecze[[#This Row],[CZAS]])</f>
        <v>1.0416666666666666E-2</v>
      </c>
      <c r="Q1950" s="32">
        <f>IF(Mecze[[#This Row],[OB]]=0,0,Mecze[[#This Row],[OB]]/Mecze[[#This Row],[CZAS]])</f>
        <v>0</v>
      </c>
      <c r="R1950" s="32">
        <f>IF(Mecze[[#This Row],[BR]]=0,0,Mecze[[#This Row],[BR]]/Mecze[[#This Row],[CZAS]])</f>
        <v>0</v>
      </c>
      <c r="S1950" s="44">
        <f>IF(Mecze[[#This Row],[Role]]="BR",SUMPRODUCT(Mecze[[#This Row],[/PR:90]:[/BR:90]],Brudnopis!$E$23:$J$23),0)</f>
        <v>0</v>
      </c>
      <c r="T1950" s="44">
        <f>IF(Mecze[[#This Row],[Role]]&lt;&gt;"BR",SUMPRODUCT(Mecze[[#This Row],[/PR:90]:[/BR:90]],Brudnopis!$E$24:$J$24),0)</f>
        <v>0.25000000000000006</v>
      </c>
      <c r="U1950" s="44">
        <f>IF(Mecze[[#This Row],[Role]]&lt;&gt;"BR",SUMPRODUCT(Mecze[[#This Row],[/PR:90]:[/BR:90]],Brudnopis!$E$25:$J$25),0)</f>
        <v>0.28125000000000006</v>
      </c>
      <c r="V1950" s="44">
        <f>IF(Mecze[[#This Row],[Role]]&lt;&gt;"BR",SUMPRODUCT(Mecze[[#This Row],[/PR:90]:[/BR:90]],Brudnopis!$E$26:$J$26),0)</f>
        <v>0.22916666666666666</v>
      </c>
      <c r="W1950" s="44">
        <f>IF(Mecze[[#This Row],[Role]]&lt;&gt;"BR",SUMPRODUCT(Mecze[[#This Row],[/PR:90]:[/BR:90]],Brudnopis!$E$27:$J$27),0)</f>
        <v>0.25260416666666669</v>
      </c>
      <c r="X1950" s="44">
        <f>IF(Mecze[[#This Row],[Role]]&lt;&gt;"BR",SUMPRODUCT(Mecze[[#This Row],[/PR:90]:[/BR:90]],Brudnopis!$E$28:$J$28),0)</f>
        <v>0.125</v>
      </c>
      <c r="Y1950" s="35">
        <f>IF(Mecze[[#This Row],[Role]]="BR",Mecze[[#This Row],[/OB:90]]+Mecze[[#This Row],[/PC:90]],SUM(Mecze[[#This Row],[/PR:90]:[/BR:90]]))</f>
        <v>0.22916666666666666</v>
      </c>
      <c r="Z1950" s="35">
        <f>IF(Mecze[[#This Row],[KC]]=0,SUM(Mecze[[#This Row],[/BRI]:[/NPI]]),SUM(Mecze[[#This Row],[/BRI]:[/NPI]])*0.6)</f>
        <v>1.1380208333333335</v>
      </c>
      <c r="AA1950" s="10">
        <f>IFERROR(Mecze[[#This Row],[BR]]/Mecze[[#This Row],[ST]],0)</f>
        <v>0</v>
      </c>
      <c r="AB1950">
        <f>ROUND(Mecze[[#This Row],[PD]]*Mecze[[#This Row],[%PC]],0)</f>
        <v>10</v>
      </c>
      <c r="AC1950">
        <f>ROUND(Mecze[[#This Row],[OD]]*Mecze[[#This Row],[%OU]],0)</f>
        <v>4</v>
      </c>
      <c r="AD1950" s="36" t="s">
        <v>47</v>
      </c>
      <c r="AE1950" s="36">
        <v>109</v>
      </c>
      <c r="AF1950" s="71">
        <v>4.18</v>
      </c>
      <c r="AG1950" s="37">
        <v>0</v>
      </c>
      <c r="AH1950" s="37">
        <v>0</v>
      </c>
      <c r="AI1950" s="37">
        <v>96</v>
      </c>
      <c r="AJ1950" s="37">
        <v>3</v>
      </c>
      <c r="AK1950" s="37" t="str">
        <f>VLOOKUP(Mecze[[#This Row],[Match ID]],Meczusie[Mecz]:Meczusie[RodzajMeczu],2,FALSE)</f>
        <v>Liga</v>
      </c>
    </row>
    <row r="1951" spans="1:37" x14ac:dyDescent="0.25">
      <c r="A1951" s="76">
        <v>5</v>
      </c>
      <c r="B1951" s="3" t="s">
        <v>267</v>
      </c>
      <c r="C1951" s="2" t="s">
        <v>160</v>
      </c>
      <c r="D1951" s="1">
        <v>0</v>
      </c>
      <c r="E1951" s="1">
        <v>1</v>
      </c>
      <c r="F1951" s="1">
        <v>1</v>
      </c>
      <c r="G1951" s="1">
        <v>13</v>
      </c>
      <c r="H1951" s="4">
        <v>0.77</v>
      </c>
      <c r="I1951" s="1">
        <v>4</v>
      </c>
      <c r="J1951" s="4">
        <v>0.5</v>
      </c>
      <c r="K1951" s="1">
        <v>0</v>
      </c>
      <c r="L1951" s="1">
        <v>6</v>
      </c>
      <c r="M1951" s="32">
        <f>IF(Mecze[[#This Row],[PR]]=0,0,Mecze[[#This Row],[PR]]/Mecze[[#This Row],[CZAS]])</f>
        <v>6.25E-2</v>
      </c>
      <c r="N1951" s="32">
        <f>IF(Mecze[[#This Row],[OU]]=0,0,Mecze[[#This Row],[OU]]/Mecze[[#This Row],[CZAS]])</f>
        <v>2.0833333333333332E-2</v>
      </c>
      <c r="O1951" s="32">
        <f>IF(Mecze[[#This Row],[PC]]=0,0,Mecze[[#This Row],[PC]]/Mecze[[#This Row],[CZAS]])</f>
        <v>0.10416666666666667</v>
      </c>
      <c r="P1951" s="32">
        <f>IF(Mecze[[#This Row],[SC]]=0,0,Mecze[[#This Row],[SC]]/Mecze[[#This Row],[CZAS]])</f>
        <v>1.0416666666666666E-2</v>
      </c>
      <c r="Q1951" s="32">
        <f>IF(Mecze[[#This Row],[OB]]=0,0,Mecze[[#This Row],[OB]]/Mecze[[#This Row],[CZAS]])</f>
        <v>0</v>
      </c>
      <c r="R1951" s="32">
        <f>IF(Mecze[[#This Row],[BR]]=0,0,Mecze[[#This Row],[BR]]/Mecze[[#This Row],[CZAS]])</f>
        <v>0</v>
      </c>
      <c r="S1951" s="44">
        <f>IF(Mecze[[#This Row],[Role]]="BR",SUMPRODUCT(Mecze[[#This Row],[/PR:90]:[/BR:90]],Brudnopis!$E$23:$J$23),0)</f>
        <v>0</v>
      </c>
      <c r="T1951" s="44">
        <f>IF(Mecze[[#This Row],[Role]]&lt;&gt;"BR",SUMPRODUCT(Mecze[[#This Row],[/PR:90]:[/BR:90]],Brudnopis!$E$24:$J$24),0)</f>
        <v>0.20833333333333334</v>
      </c>
      <c r="U1951" s="44">
        <f>IF(Mecze[[#This Row],[Role]]&lt;&gt;"BR",SUMPRODUCT(Mecze[[#This Row],[/PR:90]:[/BR:90]],Brudnopis!$E$25:$J$25),0)</f>
        <v>0.24999999999999997</v>
      </c>
      <c r="V1951" s="44">
        <f>IF(Mecze[[#This Row],[Role]]&lt;&gt;"BR",SUMPRODUCT(Mecze[[#This Row],[/PR:90]:[/BR:90]],Brudnopis!$E$26:$J$26),0)</f>
        <v>0.19791666666666666</v>
      </c>
      <c r="W1951" s="44">
        <f>IF(Mecze[[#This Row],[Role]]&lt;&gt;"BR",SUMPRODUCT(Mecze[[#This Row],[/PR:90]:[/BR:90]],Brudnopis!$E$27:$J$27),0)</f>
        <v>0.22916666666666666</v>
      </c>
      <c r="X1951" s="44">
        <f>IF(Mecze[[#This Row],[Role]]&lt;&gt;"BR",SUMPRODUCT(Mecze[[#This Row],[/PR:90]:[/BR:90]],Brudnopis!$E$28:$J$28),0)</f>
        <v>0.125</v>
      </c>
      <c r="Y1951" s="35">
        <f>IF(Mecze[[#This Row],[Role]]="BR",Mecze[[#This Row],[/OB:90]]+Mecze[[#This Row],[/PC:90]],SUM(Mecze[[#This Row],[/PR:90]:[/BR:90]]))</f>
        <v>0.19791666666666666</v>
      </c>
      <c r="Z1951" s="35">
        <f>IF(Mecze[[#This Row],[KC]]=0,SUM(Mecze[[#This Row],[/BRI]:[/NPI]]),SUM(Mecze[[#This Row],[/BRI]:[/NPI]])*0.6)</f>
        <v>1.0104166666666665</v>
      </c>
      <c r="AA1951" s="10">
        <f>IFERROR(Mecze[[#This Row],[BR]]/Mecze[[#This Row],[ST]],0)</f>
        <v>0</v>
      </c>
      <c r="AB1951">
        <f>ROUND(Mecze[[#This Row],[PD]]*Mecze[[#This Row],[%PC]],0)</f>
        <v>10</v>
      </c>
      <c r="AC1951">
        <f>ROUND(Mecze[[#This Row],[OD]]*Mecze[[#This Row],[%OU]],0)</f>
        <v>2</v>
      </c>
      <c r="AD1951" s="36" t="s">
        <v>67</v>
      </c>
      <c r="AE1951" s="36">
        <v>109</v>
      </c>
      <c r="AF1951" s="71">
        <v>5.4</v>
      </c>
      <c r="AG1951" s="37">
        <v>0</v>
      </c>
      <c r="AH1951" s="37">
        <v>0</v>
      </c>
      <c r="AI1951" s="37">
        <v>96</v>
      </c>
      <c r="AJ1951" s="37">
        <v>3</v>
      </c>
      <c r="AK1951" s="37" t="str">
        <f>VLOOKUP(Mecze[[#This Row],[Match ID]],Meczusie[Mecz]:Meczusie[RodzajMeczu],2,FALSE)</f>
        <v>Liga</v>
      </c>
    </row>
    <row r="1952" spans="1:37" x14ac:dyDescent="0.25">
      <c r="A1952" s="76">
        <v>9</v>
      </c>
      <c r="B1952" s="3" t="s">
        <v>266</v>
      </c>
      <c r="C1952" s="2" t="s">
        <v>160</v>
      </c>
      <c r="D1952" s="1">
        <v>0</v>
      </c>
      <c r="E1952" s="1">
        <v>2</v>
      </c>
      <c r="F1952" s="1">
        <v>1</v>
      </c>
      <c r="G1952" s="1">
        <v>19</v>
      </c>
      <c r="H1952" s="4">
        <v>0.84</v>
      </c>
      <c r="I1952" s="1">
        <v>6</v>
      </c>
      <c r="J1952" s="4">
        <v>0.83</v>
      </c>
      <c r="K1952" s="1">
        <v>0</v>
      </c>
      <c r="L1952" s="1">
        <v>9</v>
      </c>
      <c r="M1952" s="32">
        <f>IF(Mecze[[#This Row],[PR]]=0,0,Mecze[[#This Row],[PR]]/Mecze[[#This Row],[CZAS]])</f>
        <v>9.375E-2</v>
      </c>
      <c r="N1952" s="32">
        <f>IF(Mecze[[#This Row],[OU]]=0,0,Mecze[[#This Row],[OU]]/Mecze[[#This Row],[CZAS]])</f>
        <v>5.2083333333333336E-2</v>
      </c>
      <c r="O1952" s="32">
        <f>IF(Mecze[[#This Row],[PC]]=0,0,Mecze[[#This Row],[PC]]/Mecze[[#This Row],[CZAS]])</f>
        <v>0.16666666666666666</v>
      </c>
      <c r="P1952" s="32">
        <f>IF(Mecze[[#This Row],[SC]]=0,0,Mecze[[#This Row],[SC]]/Mecze[[#This Row],[CZAS]])</f>
        <v>1.0416666666666666E-2</v>
      </c>
      <c r="Q1952" s="32">
        <f>IF(Mecze[[#This Row],[OB]]=0,0,Mecze[[#This Row],[OB]]/Mecze[[#This Row],[CZAS]])</f>
        <v>0</v>
      </c>
      <c r="R1952" s="32">
        <f>IF(Mecze[[#This Row],[BR]]=0,0,Mecze[[#This Row],[BR]]/Mecze[[#This Row],[CZAS]])</f>
        <v>0</v>
      </c>
      <c r="S1952" s="44">
        <f>IF(Mecze[[#This Row],[Role]]="BR",SUMPRODUCT(Mecze[[#This Row],[/PR:90]:[/BR:90]],Brudnopis!$E$23:$J$23),0)</f>
        <v>0</v>
      </c>
      <c r="T1952" s="44">
        <f>IF(Mecze[[#This Row],[Role]]&lt;&gt;"BR",SUMPRODUCT(Mecze[[#This Row],[/PR:90]:[/BR:90]],Brudnopis!$E$24:$J$24),0)</f>
        <v>0.34895833333333331</v>
      </c>
      <c r="U1952" s="44">
        <f>IF(Mecze[[#This Row],[Role]]&lt;&gt;"BR",SUMPRODUCT(Mecze[[#This Row],[/PR:90]:[/BR:90]],Brudnopis!$E$25:$J$25),0)</f>
        <v>0.40625000000000006</v>
      </c>
      <c r="V1952" s="44">
        <f>IF(Mecze[[#This Row],[Role]]&lt;&gt;"BR",SUMPRODUCT(Mecze[[#This Row],[/PR:90]:[/BR:90]],Brudnopis!$E$26:$J$26),0)</f>
        <v>0.32291666666666669</v>
      </c>
      <c r="W1952" s="44">
        <f>IF(Mecze[[#This Row],[Role]]&lt;&gt;"BR",SUMPRODUCT(Mecze[[#This Row],[/PR:90]:[/BR:90]],Brudnopis!$E$27:$J$27),0)</f>
        <v>0.36979166666666669</v>
      </c>
      <c r="X1952" s="44">
        <f>IF(Mecze[[#This Row],[Role]]&lt;&gt;"BR",SUMPRODUCT(Mecze[[#This Row],[/PR:90]:[/BR:90]],Brudnopis!$E$28:$J$28),0)</f>
        <v>0.1875</v>
      </c>
      <c r="Y1952" s="35">
        <f>IF(Mecze[[#This Row],[Role]]="BR",Mecze[[#This Row],[/OB:90]]+Mecze[[#This Row],[/PC:90]],SUM(Mecze[[#This Row],[/PR:90]:[/BR:90]]))</f>
        <v>0.32291666666666669</v>
      </c>
      <c r="Z1952" s="35">
        <f>IF(Mecze[[#This Row],[KC]]=0,SUM(Mecze[[#This Row],[/BRI]:[/NPI]]),SUM(Mecze[[#This Row],[/BRI]:[/NPI]])*0.6)</f>
        <v>1.6354166666666667</v>
      </c>
      <c r="AA1952" s="10">
        <f>IFERROR(Mecze[[#This Row],[BR]]/Mecze[[#This Row],[ST]],0)</f>
        <v>0</v>
      </c>
      <c r="AB1952">
        <f>ROUND(Mecze[[#This Row],[PD]]*Mecze[[#This Row],[%PC]],0)</f>
        <v>16</v>
      </c>
      <c r="AC1952">
        <f>ROUND(Mecze[[#This Row],[OD]]*Mecze[[#This Row],[%OU]],0)</f>
        <v>5</v>
      </c>
      <c r="AD1952" s="36" t="s">
        <v>67</v>
      </c>
      <c r="AE1952" s="36">
        <v>109</v>
      </c>
      <c r="AF1952" s="71">
        <v>6.94</v>
      </c>
      <c r="AG1952" s="37">
        <v>0</v>
      </c>
      <c r="AH1952" s="37">
        <v>0</v>
      </c>
      <c r="AI1952" s="37">
        <v>96</v>
      </c>
      <c r="AJ1952" s="37">
        <v>3</v>
      </c>
      <c r="AK1952" s="37" t="str">
        <f>VLOOKUP(Mecze[[#This Row],[Match ID]],Meczusie[Mecz]:Meczusie[RodzajMeczu],2,FALSE)</f>
        <v>Liga</v>
      </c>
    </row>
    <row r="1953" spans="1:37" x14ac:dyDescent="0.25">
      <c r="A1953" s="76">
        <v>3</v>
      </c>
      <c r="B1953" s="3" t="s">
        <v>268</v>
      </c>
      <c r="C1953" s="2" t="s">
        <v>160</v>
      </c>
      <c r="D1953" s="1">
        <v>1</v>
      </c>
      <c r="E1953" s="1">
        <v>4</v>
      </c>
      <c r="F1953" s="1">
        <v>4</v>
      </c>
      <c r="G1953" s="1">
        <v>11</v>
      </c>
      <c r="H1953" s="4">
        <v>0.73</v>
      </c>
      <c r="I1953" s="1">
        <v>2</v>
      </c>
      <c r="J1953" s="4">
        <v>0.5</v>
      </c>
      <c r="K1953" s="1">
        <v>0</v>
      </c>
      <c r="L1953" s="1">
        <v>3</v>
      </c>
      <c r="M1953" s="32">
        <f>IF(Mecze[[#This Row],[PR]]=0,0,Mecze[[#This Row],[PR]]/Mecze[[#This Row],[CZAS]])</f>
        <v>3.125E-2</v>
      </c>
      <c r="N1953" s="32">
        <f>IF(Mecze[[#This Row],[OU]]=0,0,Mecze[[#This Row],[OU]]/Mecze[[#This Row],[CZAS]])</f>
        <v>1.0416666666666666E-2</v>
      </c>
      <c r="O1953" s="32">
        <f>IF(Mecze[[#This Row],[PC]]=0,0,Mecze[[#This Row],[PC]]/Mecze[[#This Row],[CZAS]])</f>
        <v>8.3333333333333329E-2</v>
      </c>
      <c r="P1953" s="32">
        <f>IF(Mecze[[#This Row],[SC]]=0,0,Mecze[[#This Row],[SC]]/Mecze[[#This Row],[CZAS]])</f>
        <v>4.1666666666666664E-2</v>
      </c>
      <c r="Q1953" s="32">
        <f>IF(Mecze[[#This Row],[OB]]=0,0,Mecze[[#This Row],[OB]]/Mecze[[#This Row],[CZAS]])</f>
        <v>0</v>
      </c>
      <c r="R1953" s="32">
        <f>IF(Mecze[[#This Row],[BR]]=0,0,Mecze[[#This Row],[BR]]/Mecze[[#This Row],[CZAS]])</f>
        <v>1.0416666666666666E-2</v>
      </c>
      <c r="S1953" s="44">
        <f>IF(Mecze[[#This Row],[Role]]="BR",SUMPRODUCT(Mecze[[#This Row],[/PR:90]:[/BR:90]],Brudnopis!$E$23:$J$23),0)</f>
        <v>0</v>
      </c>
      <c r="T1953" s="44">
        <f>IF(Mecze[[#This Row],[Role]]&lt;&gt;"BR",SUMPRODUCT(Mecze[[#This Row],[/PR:90]:[/BR:90]],Brudnopis!$E$24:$J$24),0)</f>
        <v>0.18749999999999997</v>
      </c>
      <c r="U1953" s="44">
        <f>IF(Mecze[[#This Row],[Role]]&lt;&gt;"BR",SUMPRODUCT(Mecze[[#This Row],[/PR:90]:[/BR:90]],Brudnopis!$E$25:$J$25),0)</f>
        <v>0.22395833333333331</v>
      </c>
      <c r="V1953" s="44">
        <f>IF(Mecze[[#This Row],[Role]]&lt;&gt;"BR",SUMPRODUCT(Mecze[[#This Row],[/PR:90]:[/BR:90]],Brudnopis!$E$26:$J$26),0)</f>
        <v>0.1875</v>
      </c>
      <c r="W1953" s="44">
        <f>IF(Mecze[[#This Row],[Role]]&lt;&gt;"BR",SUMPRODUCT(Mecze[[#This Row],[/PR:90]:[/BR:90]],Brudnopis!$E$27:$J$27),0)</f>
        <v>0.21875</v>
      </c>
      <c r="X1953" s="44">
        <f>IF(Mecze[[#This Row],[Role]]&lt;&gt;"BR",SUMPRODUCT(Mecze[[#This Row],[/PR:90]:[/BR:90]],Brudnopis!$E$28:$J$28),0)</f>
        <v>0.19791666666666666</v>
      </c>
      <c r="Y1953" s="35">
        <f>IF(Mecze[[#This Row],[Role]]="BR",Mecze[[#This Row],[/OB:90]]+Mecze[[#This Row],[/PC:90]],SUM(Mecze[[#This Row],[/PR:90]:[/BR:90]]))</f>
        <v>0.17708333333333331</v>
      </c>
      <c r="Z1953" s="35">
        <f>IF(Mecze[[#This Row],[KC]]=0,SUM(Mecze[[#This Row],[/BRI]:[/NPI]]),SUM(Mecze[[#This Row],[/BRI]:[/NPI]])*0.6)</f>
        <v>1.015625</v>
      </c>
      <c r="AA1953" s="10">
        <f>IFERROR(Mecze[[#This Row],[BR]]/Mecze[[#This Row],[ST]],0)</f>
        <v>0.25</v>
      </c>
      <c r="AB1953">
        <f>ROUND(Mecze[[#This Row],[PD]]*Mecze[[#This Row],[%PC]],0)</f>
        <v>8</v>
      </c>
      <c r="AC1953">
        <f>ROUND(Mecze[[#This Row],[OD]]*Mecze[[#This Row],[%OU]],0)</f>
        <v>1</v>
      </c>
      <c r="AD1953" s="36" t="s">
        <v>44</v>
      </c>
      <c r="AE1953" s="36">
        <v>109</v>
      </c>
      <c r="AF1953" s="71">
        <v>7.57</v>
      </c>
      <c r="AG1953" s="37">
        <v>0</v>
      </c>
      <c r="AH1953" s="37">
        <v>0</v>
      </c>
      <c r="AI1953" s="37">
        <v>96</v>
      </c>
      <c r="AJ1953" s="37">
        <v>3</v>
      </c>
      <c r="AK1953" s="37" t="str">
        <f>VLOOKUP(Mecze[[#This Row],[Match ID]],Meczusie[Mecz]:Meczusie[RodzajMeczu],2,FALSE)</f>
        <v>Liga</v>
      </c>
    </row>
    <row r="1954" spans="1:37" x14ac:dyDescent="0.25">
      <c r="A1954" s="76">
        <v>8</v>
      </c>
      <c r="B1954" s="3" t="s">
        <v>269</v>
      </c>
      <c r="C1954" s="2" t="s">
        <v>165</v>
      </c>
      <c r="D1954" s="1">
        <v>0</v>
      </c>
      <c r="E1954" s="1">
        <v>3</v>
      </c>
      <c r="F1954" s="1">
        <v>3</v>
      </c>
      <c r="G1954" s="1">
        <v>7</v>
      </c>
      <c r="H1954" s="4">
        <v>0.71</v>
      </c>
      <c r="I1954" s="1">
        <v>2</v>
      </c>
      <c r="J1954" s="4">
        <v>0.5</v>
      </c>
      <c r="K1954" s="1">
        <v>0</v>
      </c>
      <c r="L1954" s="1">
        <v>1</v>
      </c>
      <c r="M1954" s="32">
        <f>IF(Mecze[[#This Row],[PR]]=0,0,Mecze[[#This Row],[PR]]/Mecze[[#This Row],[CZAS]])</f>
        <v>1.0416666666666666E-2</v>
      </c>
      <c r="N1954" s="32">
        <f>IF(Mecze[[#This Row],[OU]]=0,0,Mecze[[#This Row],[OU]]/Mecze[[#This Row],[CZAS]])</f>
        <v>1.0416666666666666E-2</v>
      </c>
      <c r="O1954" s="32">
        <f>IF(Mecze[[#This Row],[PC]]=0,0,Mecze[[#This Row],[PC]]/Mecze[[#This Row],[CZAS]])</f>
        <v>5.2083333333333336E-2</v>
      </c>
      <c r="P1954" s="32">
        <f>IF(Mecze[[#This Row],[SC]]=0,0,Mecze[[#This Row],[SC]]/Mecze[[#This Row],[CZAS]])</f>
        <v>3.125E-2</v>
      </c>
      <c r="Q1954" s="32">
        <f>IF(Mecze[[#This Row],[OB]]=0,0,Mecze[[#This Row],[OB]]/Mecze[[#This Row],[CZAS]])</f>
        <v>0</v>
      </c>
      <c r="R1954" s="32">
        <f>IF(Mecze[[#This Row],[BR]]=0,0,Mecze[[#This Row],[BR]]/Mecze[[#This Row],[CZAS]])</f>
        <v>0</v>
      </c>
      <c r="S1954" s="44">
        <f>IF(Mecze[[#This Row],[Role]]="BR",SUMPRODUCT(Mecze[[#This Row],[/PR:90]:[/BR:90]],Brudnopis!$E$23:$J$23),0)</f>
        <v>0</v>
      </c>
      <c r="T1954" s="44">
        <f>IF(Mecze[[#This Row],[Role]]&lt;&gt;"BR",SUMPRODUCT(Mecze[[#This Row],[/PR:90]:[/BR:90]],Brudnopis!$E$24:$J$24),0)</f>
        <v>0.109375</v>
      </c>
      <c r="U1954" s="44">
        <f>IF(Mecze[[#This Row],[Role]]&lt;&gt;"BR",SUMPRODUCT(Mecze[[#This Row],[/PR:90]:[/BR:90]],Brudnopis!$E$25:$J$25),0)</f>
        <v>0.13020833333333331</v>
      </c>
      <c r="V1954" s="44">
        <f>IF(Mecze[[#This Row],[Role]]&lt;&gt;"BR",SUMPRODUCT(Mecze[[#This Row],[/PR:90]:[/BR:90]],Brudnopis!$E$26:$J$26),0)</f>
        <v>0.10416666666666667</v>
      </c>
      <c r="W1954" s="44">
        <f>IF(Mecze[[#This Row],[Role]]&lt;&gt;"BR",SUMPRODUCT(Mecze[[#This Row],[/PR:90]:[/BR:90]],Brudnopis!$E$27:$J$27),0)</f>
        <v>0.125</v>
      </c>
      <c r="X1954" s="44">
        <f>IF(Mecze[[#This Row],[Role]]&lt;&gt;"BR",SUMPRODUCT(Mecze[[#This Row],[/PR:90]:[/BR:90]],Brudnopis!$E$28:$J$28),0)</f>
        <v>0.11458333333333334</v>
      </c>
      <c r="Y1954" s="35">
        <f>IF(Mecze[[#This Row],[Role]]="BR",Mecze[[#This Row],[/OB:90]]+Mecze[[#This Row],[/PC:90]],SUM(Mecze[[#This Row],[/PR:90]:[/BR:90]]))</f>
        <v>0.10416666666666667</v>
      </c>
      <c r="Z1954" s="35">
        <f>IF(Mecze[[#This Row],[KC]]=0,SUM(Mecze[[#This Row],[/BRI]:[/NPI]]),SUM(Mecze[[#This Row],[/BRI]:[/NPI]])*0.6)</f>
        <v>0.58333333333333337</v>
      </c>
      <c r="AA1954" s="10">
        <f>IFERROR(Mecze[[#This Row],[BR]]/Mecze[[#This Row],[ST]],0)</f>
        <v>0</v>
      </c>
      <c r="AB1954">
        <f>ROUND(Mecze[[#This Row],[PD]]*Mecze[[#This Row],[%PC]],0)</f>
        <v>5</v>
      </c>
      <c r="AC1954">
        <f>ROUND(Mecze[[#This Row],[OD]]*Mecze[[#This Row],[%OU]],0)</f>
        <v>1</v>
      </c>
      <c r="AD1954" s="36" t="s">
        <v>272</v>
      </c>
      <c r="AE1954" s="36">
        <v>109</v>
      </c>
      <c r="AF1954" s="71">
        <v>4.7</v>
      </c>
      <c r="AG1954" s="37">
        <v>0</v>
      </c>
      <c r="AH1954" s="37">
        <v>0</v>
      </c>
      <c r="AI1954" s="37">
        <v>96</v>
      </c>
      <c r="AJ1954" s="37">
        <v>3</v>
      </c>
      <c r="AK1954" s="37" t="str">
        <f>VLOOKUP(Mecze[[#This Row],[Match ID]],Meczusie[Mecz]:Meczusie[RodzajMeczu],2,FALSE)</f>
        <v>Liga</v>
      </c>
    </row>
    <row r="1955" spans="1:37" x14ac:dyDescent="0.25">
      <c r="A1955" s="76">
        <v>11</v>
      </c>
      <c r="B1955" s="3" t="s">
        <v>270</v>
      </c>
      <c r="C1955" s="2" t="s">
        <v>165</v>
      </c>
      <c r="D1955" s="1">
        <v>0</v>
      </c>
      <c r="E1955" s="1">
        <v>6</v>
      </c>
      <c r="F1955" s="1">
        <v>6</v>
      </c>
      <c r="G1955" s="1">
        <v>9</v>
      </c>
      <c r="H1955" s="4">
        <v>0.89</v>
      </c>
      <c r="I1955" s="1">
        <v>3</v>
      </c>
      <c r="J1955" s="4">
        <v>0.67</v>
      </c>
      <c r="K1955" s="1">
        <v>0</v>
      </c>
      <c r="L1955" s="1">
        <v>0</v>
      </c>
      <c r="M1955" s="32">
        <f>IF(Mecze[[#This Row],[PR]]=0,0,Mecze[[#This Row],[PR]]/Mecze[[#This Row],[CZAS]])</f>
        <v>0</v>
      </c>
      <c r="N1955" s="32">
        <f>IF(Mecze[[#This Row],[OU]]=0,0,Mecze[[#This Row],[OU]]/Mecze[[#This Row],[CZAS]])</f>
        <v>2.0833333333333332E-2</v>
      </c>
      <c r="O1955" s="32">
        <f>IF(Mecze[[#This Row],[PC]]=0,0,Mecze[[#This Row],[PC]]/Mecze[[#This Row],[CZAS]])</f>
        <v>8.3333333333333329E-2</v>
      </c>
      <c r="P1955" s="32">
        <f>IF(Mecze[[#This Row],[SC]]=0,0,Mecze[[#This Row],[SC]]/Mecze[[#This Row],[CZAS]])</f>
        <v>6.25E-2</v>
      </c>
      <c r="Q1955" s="32">
        <f>IF(Mecze[[#This Row],[OB]]=0,0,Mecze[[#This Row],[OB]]/Mecze[[#This Row],[CZAS]])</f>
        <v>0</v>
      </c>
      <c r="R1955" s="32">
        <f>IF(Mecze[[#This Row],[BR]]=0,0,Mecze[[#This Row],[BR]]/Mecze[[#This Row],[CZAS]])</f>
        <v>0</v>
      </c>
      <c r="S1955" s="44">
        <f>IF(Mecze[[#This Row],[Role]]="BR",SUMPRODUCT(Mecze[[#This Row],[/PR:90]:[/BR:90]],Brudnopis!$E$23:$J$23),0)</f>
        <v>0</v>
      </c>
      <c r="T1955" s="44">
        <f>IF(Mecze[[#This Row],[Role]]&lt;&gt;"BR",SUMPRODUCT(Mecze[[#This Row],[/PR:90]:[/BR:90]],Brudnopis!$E$24:$J$24),0)</f>
        <v>0.17708333333333331</v>
      </c>
      <c r="U1955" s="44">
        <f>IF(Mecze[[#This Row],[Role]]&lt;&gt;"BR",SUMPRODUCT(Mecze[[#This Row],[/PR:90]:[/BR:90]],Brudnopis!$E$25:$J$25),0)</f>
        <v>0.20833333333333334</v>
      </c>
      <c r="V1955" s="44">
        <f>IF(Mecze[[#This Row],[Role]]&lt;&gt;"BR",SUMPRODUCT(Mecze[[#This Row],[/PR:90]:[/BR:90]],Brudnopis!$E$26:$J$26),0)</f>
        <v>0.16666666666666666</v>
      </c>
      <c r="W1955" s="44">
        <f>IF(Mecze[[#This Row],[Role]]&lt;&gt;"BR",SUMPRODUCT(Mecze[[#This Row],[/PR:90]:[/BR:90]],Brudnopis!$E$27:$J$27),0)</f>
        <v>0.203125</v>
      </c>
      <c r="X1955" s="44">
        <f>IF(Mecze[[#This Row],[Role]]&lt;&gt;"BR",SUMPRODUCT(Mecze[[#This Row],[/PR:90]:[/BR:90]],Brudnopis!$E$28:$J$28),0)</f>
        <v>0.20833333333333331</v>
      </c>
      <c r="Y1955" s="35">
        <f>IF(Mecze[[#This Row],[Role]]="BR",Mecze[[#This Row],[/OB:90]]+Mecze[[#This Row],[/PC:90]],SUM(Mecze[[#This Row],[/PR:90]:[/BR:90]]))</f>
        <v>0.16666666666666666</v>
      </c>
      <c r="Z1955" s="35">
        <f>IF(Mecze[[#This Row],[KC]]=0,SUM(Mecze[[#This Row],[/BRI]:[/NPI]]),SUM(Mecze[[#This Row],[/BRI]:[/NPI]])*0.6)</f>
        <v>0.96354166666666652</v>
      </c>
      <c r="AA1955" s="10">
        <f>IFERROR(Mecze[[#This Row],[BR]]/Mecze[[#This Row],[ST]],0)</f>
        <v>0</v>
      </c>
      <c r="AB1955">
        <f>ROUND(Mecze[[#This Row],[PD]]*Mecze[[#This Row],[%PC]],0)</f>
        <v>8</v>
      </c>
      <c r="AC1955">
        <f>ROUND(Mecze[[#This Row],[OD]]*Mecze[[#This Row],[%OU]],0)</f>
        <v>2</v>
      </c>
      <c r="AD1955" s="36" t="s">
        <v>273</v>
      </c>
      <c r="AE1955" s="36">
        <v>109</v>
      </c>
      <c r="AF1955" s="71">
        <v>6.28</v>
      </c>
      <c r="AG1955" s="37">
        <v>0</v>
      </c>
      <c r="AH1955" s="37">
        <v>0</v>
      </c>
      <c r="AI1955" s="37">
        <v>96</v>
      </c>
      <c r="AJ1955" s="37">
        <v>3</v>
      </c>
      <c r="AK1955" s="37" t="str">
        <f>VLOOKUP(Mecze[[#This Row],[Match ID]],Meczusie[Mecz]:Meczusie[RodzajMeczu],2,FALSE)</f>
        <v>Liga</v>
      </c>
    </row>
    <row r="1956" spans="1:37" x14ac:dyDescent="0.25">
      <c r="A1956" s="76">
        <v>10</v>
      </c>
      <c r="B1956" s="3" t="s">
        <v>271</v>
      </c>
      <c r="C1956" s="2" t="s">
        <v>165</v>
      </c>
      <c r="D1956" s="1">
        <v>0</v>
      </c>
      <c r="E1956" s="1">
        <v>7</v>
      </c>
      <c r="F1956" s="1">
        <v>7</v>
      </c>
      <c r="G1956" s="1">
        <v>8</v>
      </c>
      <c r="H1956" s="4">
        <v>0.75</v>
      </c>
      <c r="I1956" s="1">
        <v>1</v>
      </c>
      <c r="J1956" s="4">
        <v>1</v>
      </c>
      <c r="K1956" s="1">
        <v>0</v>
      </c>
      <c r="L1956" s="1">
        <v>0</v>
      </c>
      <c r="M1956" s="32">
        <f>IF(Mecze[[#This Row],[PR]]=0,0,Mecze[[#This Row],[PR]]/Mecze[[#This Row],[CZAS]])</f>
        <v>0</v>
      </c>
      <c r="N1956" s="32">
        <f>IF(Mecze[[#This Row],[OU]]=0,0,Mecze[[#This Row],[OU]]/Mecze[[#This Row],[CZAS]])</f>
        <v>1.0416666666666666E-2</v>
      </c>
      <c r="O1956" s="32">
        <f>IF(Mecze[[#This Row],[PC]]=0,0,Mecze[[#This Row],[PC]]/Mecze[[#This Row],[CZAS]])</f>
        <v>6.25E-2</v>
      </c>
      <c r="P1956" s="32">
        <f>IF(Mecze[[#This Row],[SC]]=0,0,Mecze[[#This Row],[SC]]/Mecze[[#This Row],[CZAS]])</f>
        <v>7.2916666666666671E-2</v>
      </c>
      <c r="Q1956" s="32">
        <f>IF(Mecze[[#This Row],[OB]]=0,0,Mecze[[#This Row],[OB]]/Mecze[[#This Row],[CZAS]])</f>
        <v>0</v>
      </c>
      <c r="R1956" s="32">
        <f>IF(Mecze[[#This Row],[BR]]=0,0,Mecze[[#This Row],[BR]]/Mecze[[#This Row],[CZAS]])</f>
        <v>0</v>
      </c>
      <c r="S1956" s="44">
        <f>IF(Mecze[[#This Row],[Role]]="BR",SUMPRODUCT(Mecze[[#This Row],[/PR:90]:[/BR:90]],Brudnopis!$E$23:$J$23),0)</f>
        <v>0</v>
      </c>
      <c r="T1956" s="44">
        <f>IF(Mecze[[#This Row],[Role]]&lt;&gt;"BR",SUMPRODUCT(Mecze[[#This Row],[/PR:90]:[/BR:90]],Brudnopis!$E$24:$J$24),0)</f>
        <v>0.15104166666666669</v>
      </c>
      <c r="U1956" s="44">
        <f>IF(Mecze[[#This Row],[Role]]&lt;&gt;"BR",SUMPRODUCT(Mecze[[#This Row],[/PR:90]:[/BR:90]],Brudnopis!$E$25:$J$25),0)</f>
        <v>0.17708333333333334</v>
      </c>
      <c r="V1956" s="44">
        <f>IF(Mecze[[#This Row],[Role]]&lt;&gt;"BR",SUMPRODUCT(Mecze[[#This Row],[/PR:90]:[/BR:90]],Brudnopis!$E$26:$J$26),0)</f>
        <v>0.14583333333333334</v>
      </c>
      <c r="W1956" s="44">
        <f>IF(Mecze[[#This Row],[Role]]&lt;&gt;"BR",SUMPRODUCT(Mecze[[#This Row],[/PR:90]:[/BR:90]],Brudnopis!$E$27:$J$27),0)</f>
        <v>0.17447916666666669</v>
      </c>
      <c r="X1956" s="44">
        <f>IF(Mecze[[#This Row],[Role]]&lt;&gt;"BR",SUMPRODUCT(Mecze[[#This Row],[/PR:90]:[/BR:90]],Brudnopis!$E$28:$J$28),0)</f>
        <v>0.20833333333333334</v>
      </c>
      <c r="Y1956" s="35">
        <f>IF(Mecze[[#This Row],[Role]]="BR",Mecze[[#This Row],[/OB:90]]+Mecze[[#This Row],[/PC:90]],SUM(Mecze[[#This Row],[/PR:90]:[/BR:90]]))</f>
        <v>0.14583333333333334</v>
      </c>
      <c r="Z1956" s="35">
        <f>IF(Mecze[[#This Row],[KC]]=0,SUM(Mecze[[#This Row],[/BRI]:[/NPI]]),SUM(Mecze[[#This Row],[/BRI]:[/NPI]])*0.6)</f>
        <v>0.85677083333333337</v>
      </c>
      <c r="AA1956" s="10">
        <f>IFERROR(Mecze[[#This Row],[BR]]/Mecze[[#This Row],[ST]],0)</f>
        <v>0</v>
      </c>
      <c r="AB1956">
        <f>ROUND(Mecze[[#This Row],[PD]]*Mecze[[#This Row],[%PC]],0)</f>
        <v>6</v>
      </c>
      <c r="AC1956">
        <f>ROUND(Mecze[[#This Row],[OD]]*Mecze[[#This Row],[%OU]],0)</f>
        <v>1</v>
      </c>
      <c r="AD1956" s="36" t="s">
        <v>46</v>
      </c>
      <c r="AE1956" s="36">
        <v>109</v>
      </c>
      <c r="AF1956" s="71">
        <v>5.58</v>
      </c>
      <c r="AG1956" s="37">
        <v>0</v>
      </c>
      <c r="AH1956" s="37">
        <v>0</v>
      </c>
      <c r="AI1956" s="37">
        <v>96</v>
      </c>
      <c r="AJ1956" s="37">
        <v>3</v>
      </c>
      <c r="AK1956" s="37" t="str">
        <f>VLOOKUP(Mecze[[#This Row],[Match ID]],Meczusie[Mecz]:Meczusie[RodzajMeczu],2,FALSE)</f>
        <v>Liga</v>
      </c>
    </row>
    <row r="1957" spans="1:37" x14ac:dyDescent="0.25">
      <c r="A1957" s="76">
        <v>1</v>
      </c>
      <c r="B1957" s="3" t="s">
        <v>304</v>
      </c>
      <c r="C1957" s="2" t="s">
        <v>155</v>
      </c>
      <c r="D1957" s="1">
        <v>0</v>
      </c>
      <c r="E1957" s="1">
        <v>0</v>
      </c>
      <c r="F1957" s="1">
        <v>0</v>
      </c>
      <c r="G1957" s="1">
        <v>18</v>
      </c>
      <c r="H1957" s="4">
        <v>0.5</v>
      </c>
      <c r="I1957" s="1">
        <v>0</v>
      </c>
      <c r="J1957" s="4"/>
      <c r="K1957" s="1">
        <v>21</v>
      </c>
      <c r="L1957" s="1">
        <v>0</v>
      </c>
      <c r="M1957" s="32">
        <f>IF(Mecze[[#This Row],[PR]]=0,0,Mecze[[#This Row],[PR]]/Mecze[[#This Row],[CZAS]])</f>
        <v>0</v>
      </c>
      <c r="N1957" s="32">
        <f>IF(Mecze[[#This Row],[OU]]=0,0,Mecze[[#This Row],[OU]]/Mecze[[#This Row],[CZAS]])</f>
        <v>0</v>
      </c>
      <c r="O1957" s="32">
        <f>IF(Mecze[[#This Row],[PC]]=0,0,Mecze[[#This Row],[PC]]/Mecze[[#This Row],[CZAS]])</f>
        <v>9.375E-2</v>
      </c>
      <c r="P1957" s="32">
        <f>IF(Mecze[[#This Row],[SC]]=0,0,Mecze[[#This Row],[SC]]/Mecze[[#This Row],[CZAS]])</f>
        <v>0</v>
      </c>
      <c r="Q1957" s="32">
        <f>IF(Mecze[[#This Row],[OB]]=0,0,Mecze[[#This Row],[OB]]/Mecze[[#This Row],[CZAS]])</f>
        <v>0.21875</v>
      </c>
      <c r="R1957" s="32">
        <f>IF(Mecze[[#This Row],[BR]]=0,0,Mecze[[#This Row],[BR]]/Mecze[[#This Row],[CZAS]])</f>
        <v>0</v>
      </c>
      <c r="S1957" s="44">
        <f>IF(Mecze[[#This Row],[Role]]="BR",SUMPRODUCT(Mecze[[#This Row],[/PR:90]:[/BR:90]],Brudnopis!$E$23:$J$23),0)</f>
        <v>0.9375</v>
      </c>
      <c r="T1957" s="44">
        <f>IF(Mecze[[#This Row],[Role]]&lt;&gt;"BR",SUMPRODUCT(Mecze[[#This Row],[/PR:90]:[/BR:90]],Brudnopis!$E$24:$J$24),0)</f>
        <v>0</v>
      </c>
      <c r="U1957" s="44">
        <f>IF(Mecze[[#This Row],[Role]]&lt;&gt;"BR",SUMPRODUCT(Mecze[[#This Row],[/PR:90]:[/BR:90]],Brudnopis!$E$25:$J$25),0)</f>
        <v>0</v>
      </c>
      <c r="V1957" s="44">
        <f>IF(Mecze[[#This Row],[Role]]&lt;&gt;"BR",SUMPRODUCT(Mecze[[#This Row],[/PR:90]:[/BR:90]],Brudnopis!$E$26:$J$26),0)</f>
        <v>0</v>
      </c>
      <c r="W1957" s="44">
        <f>IF(Mecze[[#This Row],[Role]]&lt;&gt;"BR",SUMPRODUCT(Mecze[[#This Row],[/PR:90]:[/BR:90]],Brudnopis!$E$27:$J$27),0)</f>
        <v>0</v>
      </c>
      <c r="X1957" s="44">
        <f>IF(Mecze[[#This Row],[Role]]&lt;&gt;"BR",SUMPRODUCT(Mecze[[#This Row],[/PR:90]:[/BR:90]],Brudnopis!$E$28:$J$28),0)</f>
        <v>0</v>
      </c>
      <c r="Y1957" s="35">
        <f>IF(Mecze[[#This Row],[Role]]="BR",Mecze[[#This Row],[/OB:90]]+Mecze[[#This Row],[/PC:90]],SUM(Mecze[[#This Row],[/PR:90]:[/BR:90]]))</f>
        <v>0.3125</v>
      </c>
      <c r="Z1957" s="35">
        <f>IF(Mecze[[#This Row],[KC]]=0,SUM(Mecze[[#This Row],[/BRI]:[/NPI]]),SUM(Mecze[[#This Row],[/BRI]:[/NPI]])*0.6)</f>
        <v>0.9375</v>
      </c>
      <c r="AA1957" s="10">
        <f>IFERROR(Mecze[[#This Row],[BR]]/Mecze[[#This Row],[ST]],0)</f>
        <v>0</v>
      </c>
      <c r="AB1957">
        <f>ROUND(Mecze[[#This Row],[PD]]*Mecze[[#This Row],[%PC]],0)</f>
        <v>9</v>
      </c>
      <c r="AC1957">
        <f>ROUND(Mecze[[#This Row],[OD]]*Mecze[[#This Row],[%OU]],0)</f>
        <v>0</v>
      </c>
      <c r="AD1957" s="36" t="s">
        <v>40</v>
      </c>
      <c r="AE1957" s="36">
        <v>109</v>
      </c>
      <c r="AF1957" s="71">
        <v>12.49</v>
      </c>
      <c r="AG1957" s="37">
        <v>0</v>
      </c>
      <c r="AH1957" s="37">
        <v>0</v>
      </c>
      <c r="AI1957" s="37">
        <v>96</v>
      </c>
      <c r="AJ1957" s="37">
        <v>8</v>
      </c>
      <c r="AK1957" s="37" t="str">
        <f>VLOOKUP(Mecze[[#This Row],[Match ID]],Meczusie[Mecz]:Meczusie[RodzajMeczu],2,FALSE)</f>
        <v>Liga</v>
      </c>
    </row>
    <row r="1958" spans="1:37" x14ac:dyDescent="0.25">
      <c r="A1958" s="76">
        <v>5</v>
      </c>
      <c r="B1958" s="3" t="s">
        <v>305</v>
      </c>
      <c r="C1958" s="2" t="s">
        <v>157</v>
      </c>
      <c r="D1958" s="1">
        <v>0</v>
      </c>
      <c r="E1958" s="1">
        <v>0</v>
      </c>
      <c r="F1958" s="1">
        <v>0</v>
      </c>
      <c r="G1958" s="1">
        <v>9</v>
      </c>
      <c r="H1958" s="4">
        <v>0.78</v>
      </c>
      <c r="I1958" s="1">
        <v>8</v>
      </c>
      <c r="J1958" s="4">
        <v>0.38</v>
      </c>
      <c r="K1958" s="1">
        <v>0</v>
      </c>
      <c r="L1958" s="1">
        <v>5</v>
      </c>
      <c r="M1958" s="32">
        <f>IF(Mecze[[#This Row],[PR]]=0,0,Mecze[[#This Row],[PR]]/Mecze[[#This Row],[CZAS]])</f>
        <v>7.6923076923076927E-2</v>
      </c>
      <c r="N1958" s="32">
        <f>IF(Mecze[[#This Row],[OU]]=0,0,Mecze[[#This Row],[OU]]/Mecze[[#This Row],[CZAS]])</f>
        <v>4.6153846153846156E-2</v>
      </c>
      <c r="O1958" s="32">
        <f>IF(Mecze[[#This Row],[PC]]=0,0,Mecze[[#This Row],[PC]]/Mecze[[#This Row],[CZAS]])</f>
        <v>0.1076923076923077</v>
      </c>
      <c r="P1958" s="32">
        <f>IF(Mecze[[#This Row],[SC]]=0,0,Mecze[[#This Row],[SC]]/Mecze[[#This Row],[CZAS]])</f>
        <v>0</v>
      </c>
      <c r="Q1958" s="32">
        <f>IF(Mecze[[#This Row],[OB]]=0,0,Mecze[[#This Row],[OB]]/Mecze[[#This Row],[CZAS]])</f>
        <v>0</v>
      </c>
      <c r="R1958" s="32">
        <f>IF(Mecze[[#This Row],[BR]]=0,0,Mecze[[#This Row],[BR]]/Mecze[[#This Row],[CZAS]])</f>
        <v>0</v>
      </c>
      <c r="S1958" s="44">
        <f>IF(Mecze[[#This Row],[Role]]="BR",SUMPRODUCT(Mecze[[#This Row],[/PR:90]:[/BR:90]],Brudnopis!$E$23:$J$23),0)</f>
        <v>0</v>
      </c>
      <c r="T1958" s="44">
        <f>IF(Mecze[[#This Row],[Role]]&lt;&gt;"BR",SUMPRODUCT(Mecze[[#This Row],[/PR:90]:[/BR:90]],Brudnopis!$E$24:$J$24),0)</f>
        <v>0.25384615384615383</v>
      </c>
      <c r="U1958" s="44">
        <f>IF(Mecze[[#This Row],[Role]]&lt;&gt;"BR",SUMPRODUCT(Mecze[[#This Row],[/PR:90]:[/BR:90]],Brudnopis!$E$25:$J$25),0)</f>
        <v>0.2846153846153846</v>
      </c>
      <c r="V1958" s="44">
        <f>IF(Mecze[[#This Row],[Role]]&lt;&gt;"BR",SUMPRODUCT(Mecze[[#This Row],[/PR:90]:[/BR:90]],Brudnopis!$E$26:$J$26),0)</f>
        <v>0.23076923076923078</v>
      </c>
      <c r="W1958" s="44">
        <f>IF(Mecze[[#This Row],[Role]]&lt;&gt;"BR",SUMPRODUCT(Mecze[[#This Row],[/PR:90]:[/BR:90]],Brudnopis!$E$27:$J$27),0)</f>
        <v>0.25384615384615383</v>
      </c>
      <c r="X1958" s="44">
        <f>IF(Mecze[[#This Row],[Role]]&lt;&gt;"BR",SUMPRODUCT(Mecze[[#This Row],[/PR:90]:[/BR:90]],Brudnopis!$E$28:$J$28),0)</f>
        <v>0.1076923076923077</v>
      </c>
      <c r="Y1958" s="35">
        <f>IF(Mecze[[#This Row],[Role]]="BR",Mecze[[#This Row],[/OB:90]]+Mecze[[#This Row],[/PC:90]],SUM(Mecze[[#This Row],[/PR:90]:[/BR:90]]))</f>
        <v>0.23076923076923078</v>
      </c>
      <c r="Z1958" s="35">
        <f>IF(Mecze[[#This Row],[KC]]=0,SUM(Mecze[[#This Row],[/BRI]:[/NPI]]),SUM(Mecze[[#This Row],[/BRI]:[/NPI]])*0.6)</f>
        <v>0.67846153846153845</v>
      </c>
      <c r="AA1958" s="10">
        <f>IFERROR(Mecze[[#This Row],[BR]]/Mecze[[#This Row],[ST]],0)</f>
        <v>0</v>
      </c>
      <c r="AB1958">
        <f>ROUND(Mecze[[#This Row],[PD]]*Mecze[[#This Row],[%PC]],0)</f>
        <v>7</v>
      </c>
      <c r="AC1958">
        <f>ROUND(Mecze[[#This Row],[OD]]*Mecze[[#This Row],[%OU]],0)</f>
        <v>3</v>
      </c>
      <c r="AD1958" s="36" t="s">
        <v>47</v>
      </c>
      <c r="AE1958" s="36">
        <v>109</v>
      </c>
      <c r="AF1958" s="71">
        <v>2.76</v>
      </c>
      <c r="AG1958" s="37">
        <v>0</v>
      </c>
      <c r="AH1958" s="37">
        <v>1</v>
      </c>
      <c r="AI1958" s="37">
        <v>65</v>
      </c>
      <c r="AJ1958" s="37">
        <v>8</v>
      </c>
      <c r="AK1958" s="37" t="str">
        <f>VLOOKUP(Mecze[[#This Row],[Match ID]],Meczusie[Mecz]:Meczusie[RodzajMeczu],2,FALSE)</f>
        <v>Liga</v>
      </c>
    </row>
    <row r="1959" spans="1:37" x14ac:dyDescent="0.25">
      <c r="A1959" s="76">
        <v>23</v>
      </c>
      <c r="B1959" s="3" t="s">
        <v>306</v>
      </c>
      <c r="C1959" s="2" t="s">
        <v>157</v>
      </c>
      <c r="D1959" s="1">
        <v>0</v>
      </c>
      <c r="E1959" s="1">
        <v>0</v>
      </c>
      <c r="F1959" s="1">
        <v>0</v>
      </c>
      <c r="G1959" s="1">
        <v>6</v>
      </c>
      <c r="H1959" s="4">
        <v>0.5</v>
      </c>
      <c r="I1959" s="1">
        <v>7</v>
      </c>
      <c r="J1959" s="4">
        <v>0.86</v>
      </c>
      <c r="K1959" s="1">
        <v>0</v>
      </c>
      <c r="L1959" s="1">
        <v>3</v>
      </c>
      <c r="M1959" s="32">
        <f>IF(Mecze[[#This Row],[PR]]=0,0,Mecze[[#This Row],[PR]]/Mecze[[#This Row],[CZAS]])</f>
        <v>3.125E-2</v>
      </c>
      <c r="N1959" s="32">
        <f>IF(Mecze[[#This Row],[OU]]=0,0,Mecze[[#This Row],[OU]]/Mecze[[#This Row],[CZAS]])</f>
        <v>6.25E-2</v>
      </c>
      <c r="O1959" s="32">
        <f>IF(Mecze[[#This Row],[PC]]=0,0,Mecze[[#This Row],[PC]]/Mecze[[#This Row],[CZAS]])</f>
        <v>3.125E-2</v>
      </c>
      <c r="P1959" s="32">
        <f>IF(Mecze[[#This Row],[SC]]=0,0,Mecze[[#This Row],[SC]]/Mecze[[#This Row],[CZAS]])</f>
        <v>0</v>
      </c>
      <c r="Q1959" s="32">
        <f>IF(Mecze[[#This Row],[OB]]=0,0,Mecze[[#This Row],[OB]]/Mecze[[#This Row],[CZAS]])</f>
        <v>0</v>
      </c>
      <c r="R1959" s="32">
        <f>IF(Mecze[[#This Row],[BR]]=0,0,Mecze[[#This Row],[BR]]/Mecze[[#This Row],[CZAS]])</f>
        <v>0</v>
      </c>
      <c r="S1959" s="44">
        <f>IF(Mecze[[#This Row],[Role]]="BR",SUMPRODUCT(Mecze[[#This Row],[/PR:90]:[/BR:90]],Brudnopis!$E$23:$J$23),0)</f>
        <v>0</v>
      </c>
      <c r="T1959" s="44">
        <f>IF(Mecze[[#This Row],[Role]]&lt;&gt;"BR",SUMPRODUCT(Mecze[[#This Row],[/PR:90]:[/BR:90]],Brudnopis!$E$24:$J$24),0)</f>
        <v>0.15625</v>
      </c>
      <c r="U1959" s="44">
        <f>IF(Mecze[[#This Row],[Role]]&lt;&gt;"BR",SUMPRODUCT(Mecze[[#This Row],[/PR:90]:[/BR:90]],Brudnopis!$E$25:$J$25),0)</f>
        <v>0.140625</v>
      </c>
      <c r="V1959" s="44">
        <f>IF(Mecze[[#This Row],[Role]]&lt;&gt;"BR",SUMPRODUCT(Mecze[[#This Row],[/PR:90]:[/BR:90]],Brudnopis!$E$26:$J$26),0)</f>
        <v>0.125</v>
      </c>
      <c r="W1959" s="44">
        <f>IF(Mecze[[#This Row],[Role]]&lt;&gt;"BR",SUMPRODUCT(Mecze[[#This Row],[/PR:90]:[/BR:90]],Brudnopis!$E$27:$J$27),0)</f>
        <v>0.1171875</v>
      </c>
      <c r="X1959" s="44">
        <f>IF(Mecze[[#This Row],[Role]]&lt;&gt;"BR",SUMPRODUCT(Mecze[[#This Row],[/PR:90]:[/BR:90]],Brudnopis!$E$28:$J$28),0)</f>
        <v>3.125E-2</v>
      </c>
      <c r="Y1959" s="35">
        <f>IF(Mecze[[#This Row],[Role]]="BR",Mecze[[#This Row],[/OB:90]]+Mecze[[#This Row],[/PC:90]],SUM(Mecze[[#This Row],[/PR:90]:[/BR:90]]))</f>
        <v>0.125</v>
      </c>
      <c r="Z1959" s="35">
        <f>IF(Mecze[[#This Row],[KC]]=0,SUM(Mecze[[#This Row],[/BRI]:[/NPI]]),SUM(Mecze[[#This Row],[/BRI]:[/NPI]])*0.6)</f>
        <v>0.5703125</v>
      </c>
      <c r="AA1959" s="10">
        <f>IFERROR(Mecze[[#This Row],[BR]]/Mecze[[#This Row],[ST]],0)</f>
        <v>0</v>
      </c>
      <c r="AB1959">
        <f>ROUND(Mecze[[#This Row],[PD]]*Mecze[[#This Row],[%PC]],0)</f>
        <v>3</v>
      </c>
      <c r="AC1959">
        <f>ROUND(Mecze[[#This Row],[OD]]*Mecze[[#This Row],[%OU]],0)</f>
        <v>6</v>
      </c>
      <c r="AD1959" s="36" t="s">
        <v>167</v>
      </c>
      <c r="AE1959" s="36">
        <v>109</v>
      </c>
      <c r="AF1959" s="71">
        <v>6.87</v>
      </c>
      <c r="AG1959" s="37">
        <v>0</v>
      </c>
      <c r="AH1959" s="37">
        <v>0</v>
      </c>
      <c r="AI1959" s="37">
        <v>96</v>
      </c>
      <c r="AJ1959" s="37">
        <v>8</v>
      </c>
      <c r="AK1959" s="37" t="str">
        <f>VLOOKUP(Mecze[[#This Row],[Match ID]],Meczusie[Mecz]:Meczusie[RodzajMeczu],2,FALSE)</f>
        <v>Liga</v>
      </c>
    </row>
    <row r="1960" spans="1:37" x14ac:dyDescent="0.25">
      <c r="A1960" s="76">
        <v>73</v>
      </c>
      <c r="B1960" s="3" t="s">
        <v>431</v>
      </c>
      <c r="C1960" s="2" t="s">
        <v>157</v>
      </c>
      <c r="D1960" s="1">
        <v>0</v>
      </c>
      <c r="E1960" s="1">
        <v>0</v>
      </c>
      <c r="F1960" s="1">
        <v>0</v>
      </c>
      <c r="G1960" s="1">
        <v>8</v>
      </c>
      <c r="H1960" s="4">
        <v>0.5</v>
      </c>
      <c r="I1960" s="1">
        <v>5</v>
      </c>
      <c r="J1960" s="4">
        <v>0.2</v>
      </c>
      <c r="K1960" s="1">
        <v>0</v>
      </c>
      <c r="L1960" s="1">
        <v>5</v>
      </c>
      <c r="M1960" s="32">
        <f>IF(Mecze[[#This Row],[PR]]=0,0,Mecze[[#This Row],[PR]]/Mecze[[#This Row],[CZAS]])</f>
        <v>5.2083333333333336E-2</v>
      </c>
      <c r="N1960" s="32">
        <f>IF(Mecze[[#This Row],[OU]]=0,0,Mecze[[#This Row],[OU]]/Mecze[[#This Row],[CZAS]])</f>
        <v>1.0416666666666666E-2</v>
      </c>
      <c r="O1960" s="32">
        <f>IF(Mecze[[#This Row],[PC]]=0,0,Mecze[[#This Row],[PC]]/Mecze[[#This Row],[CZAS]])</f>
        <v>4.1666666666666664E-2</v>
      </c>
      <c r="P1960" s="32">
        <f>IF(Mecze[[#This Row],[SC]]=0,0,Mecze[[#This Row],[SC]]/Mecze[[#This Row],[CZAS]])</f>
        <v>0</v>
      </c>
      <c r="Q1960" s="32">
        <f>IF(Mecze[[#This Row],[OB]]=0,0,Mecze[[#This Row],[OB]]/Mecze[[#This Row],[CZAS]])</f>
        <v>0</v>
      </c>
      <c r="R1960" s="32">
        <f>IF(Mecze[[#This Row],[BR]]=0,0,Mecze[[#This Row],[BR]]/Mecze[[#This Row],[CZAS]])</f>
        <v>0</v>
      </c>
      <c r="S1960" s="44">
        <f>IF(Mecze[[#This Row],[Role]]="BR",SUMPRODUCT(Mecze[[#This Row],[/PR:90]:[/BR:90]],Brudnopis!$E$23:$J$23),0)</f>
        <v>0</v>
      </c>
      <c r="T1960" s="44">
        <f>IF(Mecze[[#This Row],[Role]]&lt;&gt;"BR",SUMPRODUCT(Mecze[[#This Row],[/PR:90]:[/BR:90]],Brudnopis!$E$24:$J$24),0)</f>
        <v>0.109375</v>
      </c>
      <c r="U1960" s="44">
        <f>IF(Mecze[[#This Row],[Role]]&lt;&gt;"BR",SUMPRODUCT(Mecze[[#This Row],[/PR:90]:[/BR:90]],Brudnopis!$E$25:$J$25),0)</f>
        <v>0.125</v>
      </c>
      <c r="V1960" s="44">
        <f>IF(Mecze[[#This Row],[Role]]&lt;&gt;"BR",SUMPRODUCT(Mecze[[#This Row],[/PR:90]:[/BR:90]],Brudnopis!$E$26:$J$26),0)</f>
        <v>0.10416666666666666</v>
      </c>
      <c r="W1960" s="44">
        <f>IF(Mecze[[#This Row],[Role]]&lt;&gt;"BR",SUMPRODUCT(Mecze[[#This Row],[/PR:90]:[/BR:90]],Brudnopis!$E$27:$J$27),0)</f>
        <v>0.109375</v>
      </c>
      <c r="X1960" s="44">
        <f>IF(Mecze[[#This Row],[Role]]&lt;&gt;"BR",SUMPRODUCT(Mecze[[#This Row],[/PR:90]:[/BR:90]],Brudnopis!$E$28:$J$28),0)</f>
        <v>4.1666666666666664E-2</v>
      </c>
      <c r="Y1960" s="35">
        <f>IF(Mecze[[#This Row],[Role]]="BR",Mecze[[#This Row],[/OB:90]]+Mecze[[#This Row],[/PC:90]],SUM(Mecze[[#This Row],[/PR:90]:[/BR:90]]))</f>
        <v>0.10416666666666666</v>
      </c>
      <c r="Z1960" s="35">
        <f>IF(Mecze[[#This Row],[KC]]=0,SUM(Mecze[[#This Row],[/BRI]:[/NPI]]),SUM(Mecze[[#This Row],[/BRI]:[/NPI]])*0.6)</f>
        <v>0.48958333333333331</v>
      </c>
      <c r="AA1960" s="10">
        <f>IFERROR(Mecze[[#This Row],[BR]]/Mecze[[#This Row],[ST]],0)</f>
        <v>0</v>
      </c>
      <c r="AB1960">
        <f>ROUND(Mecze[[#This Row],[PD]]*Mecze[[#This Row],[%PC]],0)</f>
        <v>4</v>
      </c>
      <c r="AC1960">
        <f>ROUND(Mecze[[#This Row],[OD]]*Mecze[[#This Row],[%OU]],0)</f>
        <v>1</v>
      </c>
      <c r="AD1960" s="36" t="s">
        <v>168</v>
      </c>
      <c r="AE1960" s="36">
        <v>109</v>
      </c>
      <c r="AF1960" s="71">
        <v>4.97</v>
      </c>
      <c r="AG1960" s="37">
        <v>0</v>
      </c>
      <c r="AH1960" s="37">
        <v>0</v>
      </c>
      <c r="AI1960" s="37">
        <v>96</v>
      </c>
      <c r="AJ1960" s="37">
        <v>8</v>
      </c>
      <c r="AK1960" s="37" t="str">
        <f>VLOOKUP(Mecze[[#This Row],[Match ID]],Meczusie[Mecz]:Meczusie[RodzajMeczu],2,FALSE)</f>
        <v>Liga</v>
      </c>
    </row>
    <row r="1961" spans="1:37" x14ac:dyDescent="0.25">
      <c r="A1961" s="76">
        <v>6</v>
      </c>
      <c r="B1961" s="3" t="s">
        <v>308</v>
      </c>
      <c r="C1961" s="2" t="s">
        <v>160</v>
      </c>
      <c r="D1961" s="1">
        <v>0</v>
      </c>
      <c r="E1961" s="1">
        <v>0</v>
      </c>
      <c r="F1961" s="1">
        <v>0</v>
      </c>
      <c r="G1961" s="1">
        <v>10</v>
      </c>
      <c r="H1961" s="4">
        <v>0.4</v>
      </c>
      <c r="I1961" s="1">
        <v>8</v>
      </c>
      <c r="J1961" s="4">
        <v>0.63</v>
      </c>
      <c r="K1961" s="1">
        <v>0</v>
      </c>
      <c r="L1961" s="1">
        <v>1</v>
      </c>
      <c r="M1961" s="32">
        <f>IF(Mecze[[#This Row],[PR]]=0,0,Mecze[[#This Row],[PR]]/Mecze[[#This Row],[CZAS]])</f>
        <v>1.2987012987012988E-2</v>
      </c>
      <c r="N1961" s="32">
        <f>IF(Mecze[[#This Row],[OU]]=0,0,Mecze[[#This Row],[OU]]/Mecze[[#This Row],[CZAS]])</f>
        <v>6.4935064935064929E-2</v>
      </c>
      <c r="O1961" s="32">
        <f>IF(Mecze[[#This Row],[PC]]=0,0,Mecze[[#This Row],[PC]]/Mecze[[#This Row],[CZAS]])</f>
        <v>5.1948051948051951E-2</v>
      </c>
      <c r="P1961" s="32">
        <f>IF(Mecze[[#This Row],[SC]]=0,0,Mecze[[#This Row],[SC]]/Mecze[[#This Row],[CZAS]])</f>
        <v>0</v>
      </c>
      <c r="Q1961" s="32">
        <f>IF(Mecze[[#This Row],[OB]]=0,0,Mecze[[#This Row],[OB]]/Mecze[[#This Row],[CZAS]])</f>
        <v>0</v>
      </c>
      <c r="R1961" s="32">
        <f>IF(Mecze[[#This Row],[BR]]=0,0,Mecze[[#This Row],[BR]]/Mecze[[#This Row],[CZAS]])</f>
        <v>0</v>
      </c>
      <c r="S1961" s="44">
        <f>IF(Mecze[[#This Row],[Role]]="BR",SUMPRODUCT(Mecze[[#This Row],[/PR:90]:[/BR:90]],Brudnopis!$E$23:$J$23),0)</f>
        <v>0</v>
      </c>
      <c r="T1961" s="44">
        <f>IF(Mecze[[#This Row],[Role]]&lt;&gt;"BR",SUMPRODUCT(Mecze[[#This Row],[/PR:90]:[/BR:90]],Brudnopis!$E$24:$J$24),0)</f>
        <v>0.16233766233766234</v>
      </c>
      <c r="U1961" s="44">
        <f>IF(Mecze[[#This Row],[Role]]&lt;&gt;"BR",SUMPRODUCT(Mecze[[#This Row],[/PR:90]:[/BR:90]],Brudnopis!$E$25:$J$25),0)</f>
        <v>0.15584415584415584</v>
      </c>
      <c r="V1961" s="44">
        <f>IF(Mecze[[#This Row],[Role]]&lt;&gt;"BR",SUMPRODUCT(Mecze[[#This Row],[/PR:90]:[/BR:90]],Brudnopis!$E$26:$J$26),0)</f>
        <v>0.12987012987012986</v>
      </c>
      <c r="W1961" s="44">
        <f>IF(Mecze[[#This Row],[Role]]&lt;&gt;"BR",SUMPRODUCT(Mecze[[#This Row],[/PR:90]:[/BR:90]],Brudnopis!$E$27:$J$27),0)</f>
        <v>0.13636363636363635</v>
      </c>
      <c r="X1961" s="44">
        <f>IF(Mecze[[#This Row],[Role]]&lt;&gt;"BR",SUMPRODUCT(Mecze[[#This Row],[/PR:90]:[/BR:90]],Brudnopis!$E$28:$J$28),0)</f>
        <v>5.1948051948051951E-2</v>
      </c>
      <c r="Y1961" s="35">
        <f>IF(Mecze[[#This Row],[Role]]="BR",Mecze[[#This Row],[/OB:90]]+Mecze[[#This Row],[/PC:90]],SUM(Mecze[[#This Row],[/PR:90]:[/BR:90]]))</f>
        <v>0.12987012987012986</v>
      </c>
      <c r="Z1961" s="35">
        <f>IF(Mecze[[#This Row],[KC]]=0,SUM(Mecze[[#This Row],[/BRI]:[/NPI]]),SUM(Mecze[[#This Row],[/BRI]:[/NPI]])*0.6)</f>
        <v>0.63636363636363635</v>
      </c>
      <c r="AA1961" s="10">
        <f>IFERROR(Mecze[[#This Row],[BR]]/Mecze[[#This Row],[ST]],0)</f>
        <v>0</v>
      </c>
      <c r="AB1961">
        <f>ROUND(Mecze[[#This Row],[PD]]*Mecze[[#This Row],[%PC]],0)</f>
        <v>4</v>
      </c>
      <c r="AC1961">
        <f>ROUND(Mecze[[#This Row],[OD]]*Mecze[[#This Row],[%OU]],0)</f>
        <v>5</v>
      </c>
      <c r="AD1961" s="36" t="s">
        <v>41</v>
      </c>
      <c r="AE1961" s="36">
        <v>109</v>
      </c>
      <c r="AF1961" s="71">
        <v>4.13</v>
      </c>
      <c r="AG1961" s="37">
        <v>0</v>
      </c>
      <c r="AH1961" s="37">
        <v>0</v>
      </c>
      <c r="AI1961" s="37">
        <v>77</v>
      </c>
      <c r="AJ1961" s="37">
        <v>8</v>
      </c>
      <c r="AK1961" s="37" t="str">
        <f>VLOOKUP(Mecze[[#This Row],[Match ID]],Meczusie[Mecz]:Meczusie[RodzajMeczu],2,FALSE)</f>
        <v>Liga</v>
      </c>
    </row>
    <row r="1962" spans="1:37" x14ac:dyDescent="0.25">
      <c r="A1962" s="76">
        <v>2</v>
      </c>
      <c r="B1962" s="3" t="s">
        <v>307</v>
      </c>
      <c r="C1962" s="2" t="s">
        <v>160</v>
      </c>
      <c r="D1962" s="1">
        <v>0</v>
      </c>
      <c r="E1962" s="1">
        <v>0</v>
      </c>
      <c r="F1962" s="1">
        <v>0</v>
      </c>
      <c r="G1962" s="1">
        <v>5</v>
      </c>
      <c r="H1962" s="4">
        <v>0.6</v>
      </c>
      <c r="I1962" s="1">
        <v>0</v>
      </c>
      <c r="J1962" s="4"/>
      <c r="K1962" s="1">
        <v>0</v>
      </c>
      <c r="L1962" s="1">
        <v>0</v>
      </c>
      <c r="M1962" s="32">
        <f>IF(Mecze[[#This Row],[PR]]=0,0,Mecze[[#This Row],[PR]]/Mecze[[#This Row],[CZAS]])</f>
        <v>0</v>
      </c>
      <c r="N1962" s="32">
        <f>IF(Mecze[[#This Row],[OU]]=0,0,Mecze[[#This Row],[OU]]/Mecze[[#This Row],[CZAS]])</f>
        <v>0</v>
      </c>
      <c r="O1962" s="32">
        <f>IF(Mecze[[#This Row],[PC]]=0,0,Mecze[[#This Row],[PC]]/Mecze[[#This Row],[CZAS]])</f>
        <v>3.125E-2</v>
      </c>
      <c r="P1962" s="32">
        <f>IF(Mecze[[#This Row],[SC]]=0,0,Mecze[[#This Row],[SC]]/Mecze[[#This Row],[CZAS]])</f>
        <v>0</v>
      </c>
      <c r="Q1962" s="32">
        <f>IF(Mecze[[#This Row],[OB]]=0,0,Mecze[[#This Row],[OB]]/Mecze[[#This Row],[CZAS]])</f>
        <v>0</v>
      </c>
      <c r="R1962" s="32">
        <f>IF(Mecze[[#This Row],[BR]]=0,0,Mecze[[#This Row],[BR]]/Mecze[[#This Row],[CZAS]])</f>
        <v>0</v>
      </c>
      <c r="S1962" s="44">
        <f>IF(Mecze[[#This Row],[Role]]="BR",SUMPRODUCT(Mecze[[#This Row],[/PR:90]:[/BR:90]],Brudnopis!$E$23:$J$23),0)</f>
        <v>0</v>
      </c>
      <c r="T1962" s="44">
        <f>IF(Mecze[[#This Row],[Role]]&lt;&gt;"BR",SUMPRODUCT(Mecze[[#This Row],[/PR:90]:[/BR:90]],Brudnopis!$E$24:$J$24),0)</f>
        <v>3.125E-2</v>
      </c>
      <c r="U1962" s="44">
        <f>IF(Mecze[[#This Row],[Role]]&lt;&gt;"BR",SUMPRODUCT(Mecze[[#This Row],[/PR:90]:[/BR:90]],Brudnopis!$E$25:$J$25),0)</f>
        <v>4.6875E-2</v>
      </c>
      <c r="V1962" s="44">
        <f>IF(Mecze[[#This Row],[Role]]&lt;&gt;"BR",SUMPRODUCT(Mecze[[#This Row],[/PR:90]:[/BR:90]],Brudnopis!$E$26:$J$26),0)</f>
        <v>3.125E-2</v>
      </c>
      <c r="W1962" s="44">
        <f>IF(Mecze[[#This Row],[Role]]&lt;&gt;"BR",SUMPRODUCT(Mecze[[#This Row],[/PR:90]:[/BR:90]],Brudnopis!$E$27:$J$27),0)</f>
        <v>4.6875E-2</v>
      </c>
      <c r="X1962" s="44">
        <f>IF(Mecze[[#This Row],[Role]]&lt;&gt;"BR",SUMPRODUCT(Mecze[[#This Row],[/PR:90]:[/BR:90]],Brudnopis!$E$28:$J$28),0)</f>
        <v>3.125E-2</v>
      </c>
      <c r="Y1962" s="35">
        <f>IF(Mecze[[#This Row],[Role]]="BR",Mecze[[#This Row],[/OB:90]]+Mecze[[#This Row],[/PC:90]],SUM(Mecze[[#This Row],[/PR:90]:[/BR:90]]))</f>
        <v>3.125E-2</v>
      </c>
      <c r="Z1962" s="35">
        <f>IF(Mecze[[#This Row],[KC]]=0,SUM(Mecze[[#This Row],[/BRI]:[/NPI]]),SUM(Mecze[[#This Row],[/BRI]:[/NPI]])*0.6)</f>
        <v>0.1875</v>
      </c>
      <c r="AA1962" s="10">
        <f>IFERROR(Mecze[[#This Row],[BR]]/Mecze[[#This Row],[ST]],0)</f>
        <v>0</v>
      </c>
      <c r="AB1962">
        <f>ROUND(Mecze[[#This Row],[PD]]*Mecze[[#This Row],[%PC]],0)</f>
        <v>3</v>
      </c>
      <c r="AC1962">
        <f>ROUND(Mecze[[#This Row],[OD]]*Mecze[[#This Row],[%OU]],0)</f>
        <v>0</v>
      </c>
      <c r="AD1962" s="36" t="s">
        <v>173</v>
      </c>
      <c r="AE1962" s="36">
        <v>109</v>
      </c>
      <c r="AF1962" s="71">
        <v>5.13</v>
      </c>
      <c r="AG1962" s="37">
        <v>0</v>
      </c>
      <c r="AH1962" s="37">
        <v>0</v>
      </c>
      <c r="AI1962" s="37">
        <v>96</v>
      </c>
      <c r="AJ1962" s="37">
        <v>8</v>
      </c>
      <c r="AK1962" s="37" t="str">
        <f>VLOOKUP(Mecze[[#This Row],[Match ID]],Meczusie[Mecz]:Meczusie[RodzajMeczu],2,FALSE)</f>
        <v>Liga</v>
      </c>
    </row>
    <row r="1963" spans="1:37" x14ac:dyDescent="0.25">
      <c r="A1963" s="76">
        <v>16</v>
      </c>
      <c r="B1963" s="3" t="s">
        <v>309</v>
      </c>
      <c r="C1963" s="2" t="s">
        <v>160</v>
      </c>
      <c r="D1963" s="1">
        <v>0</v>
      </c>
      <c r="E1963" s="1">
        <v>0</v>
      </c>
      <c r="F1963" s="1">
        <v>0</v>
      </c>
      <c r="G1963" s="1">
        <v>2</v>
      </c>
      <c r="H1963" s="4">
        <v>0.5</v>
      </c>
      <c r="I1963" s="1">
        <v>0</v>
      </c>
      <c r="J1963" s="4"/>
      <c r="K1963" s="1">
        <v>0</v>
      </c>
      <c r="L1963" s="1">
        <v>0</v>
      </c>
      <c r="M1963" s="32">
        <f>IF(Mecze[[#This Row],[PR]]=0,0,Mecze[[#This Row],[PR]]/Mecze[[#This Row],[CZAS]])</f>
        <v>0</v>
      </c>
      <c r="N1963" s="32">
        <f>IF(Mecze[[#This Row],[OU]]=0,0,Mecze[[#This Row],[OU]]/Mecze[[#This Row],[CZAS]])</f>
        <v>0</v>
      </c>
      <c r="O1963" s="32">
        <f>IF(Mecze[[#This Row],[PC]]=0,0,Mecze[[#This Row],[PC]]/Mecze[[#This Row],[CZAS]])</f>
        <v>1.0416666666666666E-2</v>
      </c>
      <c r="P1963" s="32">
        <f>IF(Mecze[[#This Row],[SC]]=0,0,Mecze[[#This Row],[SC]]/Mecze[[#This Row],[CZAS]])</f>
        <v>0</v>
      </c>
      <c r="Q1963" s="32">
        <f>IF(Mecze[[#This Row],[OB]]=0,0,Mecze[[#This Row],[OB]]/Mecze[[#This Row],[CZAS]])</f>
        <v>0</v>
      </c>
      <c r="R1963" s="32">
        <f>IF(Mecze[[#This Row],[BR]]=0,0,Mecze[[#This Row],[BR]]/Mecze[[#This Row],[CZAS]])</f>
        <v>0</v>
      </c>
      <c r="S1963" s="44">
        <f>IF(Mecze[[#This Row],[Role]]="BR",SUMPRODUCT(Mecze[[#This Row],[/PR:90]:[/BR:90]],Brudnopis!$E$23:$J$23),0)</f>
        <v>0</v>
      </c>
      <c r="T1963" s="44">
        <f>IF(Mecze[[#This Row],[Role]]&lt;&gt;"BR",SUMPRODUCT(Mecze[[#This Row],[/PR:90]:[/BR:90]],Brudnopis!$E$24:$J$24),0)</f>
        <v>1.0416666666666666E-2</v>
      </c>
      <c r="U1963" s="44">
        <f>IF(Mecze[[#This Row],[Role]]&lt;&gt;"BR",SUMPRODUCT(Mecze[[#This Row],[/PR:90]:[/BR:90]],Brudnopis!$E$25:$J$25),0)</f>
        <v>1.5625E-2</v>
      </c>
      <c r="V1963" s="44">
        <f>IF(Mecze[[#This Row],[Role]]&lt;&gt;"BR",SUMPRODUCT(Mecze[[#This Row],[/PR:90]:[/BR:90]],Brudnopis!$E$26:$J$26),0)</f>
        <v>1.0416666666666666E-2</v>
      </c>
      <c r="W1963" s="44">
        <f>IF(Mecze[[#This Row],[Role]]&lt;&gt;"BR",SUMPRODUCT(Mecze[[#This Row],[/PR:90]:[/BR:90]],Brudnopis!$E$27:$J$27),0)</f>
        <v>1.5625E-2</v>
      </c>
      <c r="X1963" s="44">
        <f>IF(Mecze[[#This Row],[Role]]&lt;&gt;"BR",SUMPRODUCT(Mecze[[#This Row],[/PR:90]:[/BR:90]],Brudnopis!$E$28:$J$28),0)</f>
        <v>1.0416666666666666E-2</v>
      </c>
      <c r="Y1963" s="35">
        <f>IF(Mecze[[#This Row],[Role]]="BR",Mecze[[#This Row],[/OB:90]]+Mecze[[#This Row],[/PC:90]],SUM(Mecze[[#This Row],[/PR:90]:[/BR:90]]))</f>
        <v>1.0416666666666666E-2</v>
      </c>
      <c r="Z1963" s="35">
        <f>IF(Mecze[[#This Row],[KC]]=0,SUM(Mecze[[#This Row],[/BRI]:[/NPI]]),SUM(Mecze[[#This Row],[/BRI]:[/NPI]])*0.6)</f>
        <v>6.2499999999999993E-2</v>
      </c>
      <c r="AA1963" s="10">
        <f>IFERROR(Mecze[[#This Row],[BR]]/Mecze[[#This Row],[ST]],0)</f>
        <v>0</v>
      </c>
      <c r="AB1963">
        <f>ROUND(Mecze[[#This Row],[PD]]*Mecze[[#This Row],[%PC]],0)</f>
        <v>1</v>
      </c>
      <c r="AC1963">
        <f>ROUND(Mecze[[#This Row],[OD]]*Mecze[[#This Row],[%OU]],0)</f>
        <v>0</v>
      </c>
      <c r="AD1963" s="36" t="s">
        <v>172</v>
      </c>
      <c r="AE1963" s="36">
        <v>109</v>
      </c>
      <c r="AF1963" s="71">
        <v>3.92</v>
      </c>
      <c r="AG1963" s="37">
        <v>0</v>
      </c>
      <c r="AH1963" s="37">
        <v>0</v>
      </c>
      <c r="AI1963" s="37">
        <v>96</v>
      </c>
      <c r="AJ1963" s="37">
        <v>8</v>
      </c>
      <c r="AK1963" s="37" t="str">
        <f>VLOOKUP(Mecze[[#This Row],[Match ID]],Meczusie[Mecz]:Meczusie[RodzajMeczu],2,FALSE)</f>
        <v>Liga</v>
      </c>
    </row>
    <row r="1964" spans="1:37" x14ac:dyDescent="0.25">
      <c r="A1964" s="76">
        <v>14</v>
      </c>
      <c r="B1964" s="3" t="s">
        <v>312</v>
      </c>
      <c r="C1964" s="2" t="s">
        <v>160</v>
      </c>
      <c r="D1964" s="1">
        <v>1</v>
      </c>
      <c r="E1964" s="1">
        <v>2</v>
      </c>
      <c r="F1964" s="1">
        <v>2</v>
      </c>
      <c r="G1964" s="1">
        <v>10</v>
      </c>
      <c r="H1964" s="4">
        <v>0.8</v>
      </c>
      <c r="I1964" s="1">
        <v>13</v>
      </c>
      <c r="J1964" s="4">
        <v>0.31</v>
      </c>
      <c r="K1964" s="1">
        <v>0</v>
      </c>
      <c r="L1964" s="1">
        <v>3</v>
      </c>
      <c r="M1964" s="32">
        <f>IF(Mecze[[#This Row],[PR]]=0,0,Mecze[[#This Row],[PR]]/Mecze[[#This Row],[CZAS]])</f>
        <v>3.896103896103896E-2</v>
      </c>
      <c r="N1964" s="32">
        <f>IF(Mecze[[#This Row],[OU]]=0,0,Mecze[[#This Row],[OU]]/Mecze[[#This Row],[CZAS]])</f>
        <v>5.1948051948051951E-2</v>
      </c>
      <c r="O1964" s="32">
        <f>IF(Mecze[[#This Row],[PC]]=0,0,Mecze[[#This Row],[PC]]/Mecze[[#This Row],[CZAS]])</f>
        <v>0.1038961038961039</v>
      </c>
      <c r="P1964" s="32">
        <f>IF(Mecze[[#This Row],[SC]]=0,0,Mecze[[#This Row],[SC]]/Mecze[[#This Row],[CZAS]])</f>
        <v>2.5974025974025976E-2</v>
      </c>
      <c r="Q1964" s="32">
        <f>IF(Mecze[[#This Row],[OB]]=0,0,Mecze[[#This Row],[OB]]/Mecze[[#This Row],[CZAS]])</f>
        <v>0</v>
      </c>
      <c r="R1964" s="32">
        <f>IF(Mecze[[#This Row],[BR]]=0,0,Mecze[[#This Row],[BR]]/Mecze[[#This Row],[CZAS]])</f>
        <v>1.2987012987012988E-2</v>
      </c>
      <c r="S1964" s="44">
        <f>IF(Mecze[[#This Row],[Role]]="BR",SUMPRODUCT(Mecze[[#This Row],[/PR:90]:[/BR:90]],Brudnopis!$E$23:$J$23),0)</f>
        <v>0</v>
      </c>
      <c r="T1964" s="44">
        <f>IF(Mecze[[#This Row],[Role]]&lt;&gt;"BR",SUMPRODUCT(Mecze[[#This Row],[/PR:90]:[/BR:90]],Brudnopis!$E$24:$J$24),0)</f>
        <v>0.26623376623376627</v>
      </c>
      <c r="U1964" s="44">
        <f>IF(Mecze[[#This Row],[Role]]&lt;&gt;"BR",SUMPRODUCT(Mecze[[#This Row],[/PR:90]:[/BR:90]],Brudnopis!$E$25:$J$25),0)</f>
        <v>0.29220779220779219</v>
      </c>
      <c r="V1964" s="44">
        <f>IF(Mecze[[#This Row],[Role]]&lt;&gt;"BR",SUMPRODUCT(Mecze[[#This Row],[/PR:90]:[/BR:90]],Brudnopis!$E$26:$J$26),0)</f>
        <v>0.24675324675324678</v>
      </c>
      <c r="W1964" s="44">
        <f>IF(Mecze[[#This Row],[Role]]&lt;&gt;"BR",SUMPRODUCT(Mecze[[#This Row],[/PR:90]:[/BR:90]],Brudnopis!$E$27:$J$27),0)</f>
        <v>0.27597402597402598</v>
      </c>
      <c r="X1964" s="44">
        <f>IF(Mecze[[#This Row],[Role]]&lt;&gt;"BR",SUMPRODUCT(Mecze[[#This Row],[/PR:90]:[/BR:90]],Brudnopis!$E$28:$J$28),0)</f>
        <v>0.19480519480519481</v>
      </c>
      <c r="Y1964" s="35">
        <f>IF(Mecze[[#This Row],[Role]]="BR",Mecze[[#This Row],[/OB:90]]+Mecze[[#This Row],[/PC:90]],SUM(Mecze[[#This Row],[/PR:90]:[/BR:90]]))</f>
        <v>0.23376623376623379</v>
      </c>
      <c r="Z1964" s="35">
        <f>IF(Mecze[[#This Row],[KC]]=0,SUM(Mecze[[#This Row],[/BRI]:[/NPI]]),SUM(Mecze[[#This Row],[/BRI]:[/NPI]])*0.6)</f>
        <v>1.275974025974026</v>
      </c>
      <c r="AA1964" s="10">
        <f>IFERROR(Mecze[[#This Row],[BR]]/Mecze[[#This Row],[ST]],0)</f>
        <v>0.5</v>
      </c>
      <c r="AB1964">
        <f>ROUND(Mecze[[#This Row],[PD]]*Mecze[[#This Row],[%PC]],0)</f>
        <v>8</v>
      </c>
      <c r="AC1964">
        <f>ROUND(Mecze[[#This Row],[OD]]*Mecze[[#This Row],[%OU]],0)</f>
        <v>4</v>
      </c>
      <c r="AD1964" s="36" t="s">
        <v>67</v>
      </c>
      <c r="AE1964" s="36">
        <v>109</v>
      </c>
      <c r="AF1964" s="71">
        <v>9.24</v>
      </c>
      <c r="AG1964" s="37">
        <v>0</v>
      </c>
      <c r="AH1964" s="37">
        <v>0</v>
      </c>
      <c r="AI1964" s="37">
        <v>77</v>
      </c>
      <c r="AJ1964" s="37">
        <v>8</v>
      </c>
      <c r="AK1964" s="37" t="str">
        <f>VLOOKUP(Mecze[[#This Row],[Match ID]],Meczusie[Mecz]:Meczusie[RodzajMeczu],2,FALSE)</f>
        <v>Liga</v>
      </c>
    </row>
    <row r="1965" spans="1:37" x14ac:dyDescent="0.25">
      <c r="A1965" s="76">
        <v>74</v>
      </c>
      <c r="B1965" s="3" t="s">
        <v>442</v>
      </c>
      <c r="C1965" s="2" t="s">
        <v>165</v>
      </c>
      <c r="D1965" s="1">
        <v>0</v>
      </c>
      <c r="E1965" s="1">
        <v>1</v>
      </c>
      <c r="F1965" s="1">
        <v>1</v>
      </c>
      <c r="G1965" s="1">
        <v>6</v>
      </c>
      <c r="H1965" s="4">
        <v>0.83</v>
      </c>
      <c r="I1965" s="1">
        <v>1</v>
      </c>
      <c r="J1965" s="4">
        <v>1</v>
      </c>
      <c r="K1965" s="1">
        <v>0</v>
      </c>
      <c r="L1965" s="1">
        <v>1</v>
      </c>
      <c r="M1965" s="32">
        <f>IF(Mecze[[#This Row],[PR]]=0,0,Mecze[[#This Row],[PR]]/Mecze[[#This Row],[CZAS]])</f>
        <v>1.0416666666666666E-2</v>
      </c>
      <c r="N1965" s="32">
        <f>IF(Mecze[[#This Row],[OU]]=0,0,Mecze[[#This Row],[OU]]/Mecze[[#This Row],[CZAS]])</f>
        <v>1.0416666666666666E-2</v>
      </c>
      <c r="O1965" s="32">
        <f>IF(Mecze[[#This Row],[PC]]=0,0,Mecze[[#This Row],[PC]]/Mecze[[#This Row],[CZAS]])</f>
        <v>5.2083333333333336E-2</v>
      </c>
      <c r="P1965" s="32">
        <f>IF(Mecze[[#This Row],[SC]]=0,0,Mecze[[#This Row],[SC]]/Mecze[[#This Row],[CZAS]])</f>
        <v>1.0416666666666666E-2</v>
      </c>
      <c r="Q1965" s="32">
        <f>IF(Mecze[[#This Row],[OB]]=0,0,Mecze[[#This Row],[OB]]/Mecze[[#This Row],[CZAS]])</f>
        <v>0</v>
      </c>
      <c r="R1965" s="32">
        <f>IF(Mecze[[#This Row],[BR]]=0,0,Mecze[[#This Row],[BR]]/Mecze[[#This Row],[CZAS]])</f>
        <v>0</v>
      </c>
      <c r="S1965" s="44">
        <f>IF(Mecze[[#This Row],[Role]]="BR",SUMPRODUCT(Mecze[[#This Row],[/PR:90]:[/BR:90]],Brudnopis!$E$23:$J$23),0)</f>
        <v>0</v>
      </c>
      <c r="T1965" s="44">
        <f>IF(Mecze[[#This Row],[Role]]&lt;&gt;"BR",SUMPRODUCT(Mecze[[#This Row],[/PR:90]:[/BR:90]],Brudnopis!$E$24:$J$24),0)</f>
        <v>8.8541666666666671E-2</v>
      </c>
      <c r="U1965" s="44">
        <f>IF(Mecze[[#This Row],[Role]]&lt;&gt;"BR",SUMPRODUCT(Mecze[[#This Row],[/PR:90]:[/BR:90]],Brudnopis!$E$25:$J$25),0)</f>
        <v>0.109375</v>
      </c>
      <c r="V1965" s="44">
        <f>IF(Mecze[[#This Row],[Role]]&lt;&gt;"BR",SUMPRODUCT(Mecze[[#This Row],[/PR:90]:[/BR:90]],Brudnopis!$E$26:$J$26),0)</f>
        <v>8.3333333333333343E-2</v>
      </c>
      <c r="W1965" s="44">
        <f>IF(Mecze[[#This Row],[Role]]&lt;&gt;"BR",SUMPRODUCT(Mecze[[#This Row],[/PR:90]:[/BR:90]],Brudnopis!$E$27:$J$27),0)</f>
        <v>0.10416666666666667</v>
      </c>
      <c r="X1965" s="44">
        <f>IF(Mecze[[#This Row],[Role]]&lt;&gt;"BR",SUMPRODUCT(Mecze[[#This Row],[/PR:90]:[/BR:90]],Brudnopis!$E$28:$J$28),0)</f>
        <v>7.2916666666666671E-2</v>
      </c>
      <c r="Y1965" s="35">
        <f>IF(Mecze[[#This Row],[Role]]="BR",Mecze[[#This Row],[/OB:90]]+Mecze[[#This Row],[/PC:90]],SUM(Mecze[[#This Row],[/PR:90]:[/BR:90]]))</f>
        <v>8.3333333333333343E-2</v>
      </c>
      <c r="Z1965" s="35">
        <f>IF(Mecze[[#This Row],[KC]]=0,SUM(Mecze[[#This Row],[/BRI]:[/NPI]]),SUM(Mecze[[#This Row],[/BRI]:[/NPI]])*0.6)</f>
        <v>0.45833333333333337</v>
      </c>
      <c r="AA1965" s="10">
        <f>IFERROR(Mecze[[#This Row],[BR]]/Mecze[[#This Row],[ST]],0)</f>
        <v>0</v>
      </c>
      <c r="AB1965">
        <f>ROUND(Mecze[[#This Row],[PD]]*Mecze[[#This Row],[%PC]],0)</f>
        <v>5</v>
      </c>
      <c r="AC1965">
        <f>ROUND(Mecze[[#This Row],[OD]]*Mecze[[#This Row],[%OU]],0)</f>
        <v>1</v>
      </c>
      <c r="AD1965" s="36" t="s">
        <v>273</v>
      </c>
      <c r="AE1965" s="36">
        <v>109</v>
      </c>
      <c r="AF1965" s="71">
        <v>6.4</v>
      </c>
      <c r="AG1965" s="37">
        <v>0</v>
      </c>
      <c r="AH1965" s="37">
        <v>0</v>
      </c>
      <c r="AI1965" s="37">
        <v>96</v>
      </c>
      <c r="AJ1965" s="37">
        <v>8</v>
      </c>
      <c r="AK1965" s="37" t="str">
        <f>VLOOKUP(Mecze[[#This Row],[Match ID]],Meczusie[Mecz]:Meczusie[RodzajMeczu],2,FALSE)</f>
        <v>Liga</v>
      </c>
    </row>
    <row r="1966" spans="1:37" x14ac:dyDescent="0.25">
      <c r="A1966" s="76">
        <v>13</v>
      </c>
      <c r="B1966" s="3" t="s">
        <v>313</v>
      </c>
      <c r="C1966" s="2" t="s">
        <v>165</v>
      </c>
      <c r="D1966" s="1">
        <v>0</v>
      </c>
      <c r="E1966" s="1">
        <v>2</v>
      </c>
      <c r="F1966" s="1">
        <v>2</v>
      </c>
      <c r="G1966" s="1">
        <v>7</v>
      </c>
      <c r="H1966" s="4">
        <v>0.56999999999999995</v>
      </c>
      <c r="I1966" s="1">
        <v>3</v>
      </c>
      <c r="J1966" s="4">
        <v>0</v>
      </c>
      <c r="K1966" s="1">
        <v>0</v>
      </c>
      <c r="L1966" s="1">
        <v>0</v>
      </c>
      <c r="M1966" s="32">
        <f>IF(Mecze[[#This Row],[PR]]=0,0,Mecze[[#This Row],[PR]]/Mecze[[#This Row],[CZAS]])</f>
        <v>0</v>
      </c>
      <c r="N1966" s="32">
        <f>IF(Mecze[[#This Row],[OU]]=0,0,Mecze[[#This Row],[OU]]/Mecze[[#This Row],[CZAS]])</f>
        <v>0</v>
      </c>
      <c r="O1966" s="32">
        <f>IF(Mecze[[#This Row],[PC]]=0,0,Mecze[[#This Row],[PC]]/Mecze[[#This Row],[CZAS]])</f>
        <v>5.1948051948051951E-2</v>
      </c>
      <c r="P1966" s="32">
        <f>IF(Mecze[[#This Row],[SC]]=0,0,Mecze[[#This Row],[SC]]/Mecze[[#This Row],[CZAS]])</f>
        <v>2.5974025974025976E-2</v>
      </c>
      <c r="Q1966" s="32">
        <f>IF(Mecze[[#This Row],[OB]]=0,0,Mecze[[#This Row],[OB]]/Mecze[[#This Row],[CZAS]])</f>
        <v>0</v>
      </c>
      <c r="R1966" s="32">
        <f>IF(Mecze[[#This Row],[BR]]=0,0,Mecze[[#This Row],[BR]]/Mecze[[#This Row],[CZAS]])</f>
        <v>0</v>
      </c>
      <c r="S1966" s="44">
        <f>IF(Mecze[[#This Row],[Role]]="BR",SUMPRODUCT(Mecze[[#This Row],[/PR:90]:[/BR:90]],Brudnopis!$E$23:$J$23),0)</f>
        <v>0</v>
      </c>
      <c r="T1966" s="44">
        <f>IF(Mecze[[#This Row],[Role]]&lt;&gt;"BR",SUMPRODUCT(Mecze[[#This Row],[/PR:90]:[/BR:90]],Brudnopis!$E$24:$J$24),0)</f>
        <v>7.792207792207792E-2</v>
      </c>
      <c r="U1966" s="44">
        <f>IF(Mecze[[#This Row],[Role]]&lt;&gt;"BR",SUMPRODUCT(Mecze[[#This Row],[/PR:90]:[/BR:90]],Brudnopis!$E$25:$J$25),0)</f>
        <v>0.1038961038961039</v>
      </c>
      <c r="V1966" s="44">
        <f>IF(Mecze[[#This Row],[Role]]&lt;&gt;"BR",SUMPRODUCT(Mecze[[#This Row],[/PR:90]:[/BR:90]],Brudnopis!$E$26:$J$26),0)</f>
        <v>7.792207792207792E-2</v>
      </c>
      <c r="W1966" s="44">
        <f>IF(Mecze[[#This Row],[Role]]&lt;&gt;"BR",SUMPRODUCT(Mecze[[#This Row],[/PR:90]:[/BR:90]],Brudnopis!$E$27:$J$27),0)</f>
        <v>0.1038961038961039</v>
      </c>
      <c r="X1966" s="44">
        <f>IF(Mecze[[#This Row],[Role]]&lt;&gt;"BR",SUMPRODUCT(Mecze[[#This Row],[/PR:90]:[/BR:90]],Brudnopis!$E$28:$J$28),0)</f>
        <v>0.1038961038961039</v>
      </c>
      <c r="Y1966" s="35">
        <f>IF(Mecze[[#This Row],[Role]]="BR",Mecze[[#This Row],[/OB:90]]+Mecze[[#This Row],[/PC:90]],SUM(Mecze[[#This Row],[/PR:90]:[/BR:90]]))</f>
        <v>7.792207792207792E-2</v>
      </c>
      <c r="Z1966" s="35">
        <f>IF(Mecze[[#This Row],[KC]]=0,SUM(Mecze[[#This Row],[/BRI]:[/NPI]]),SUM(Mecze[[#This Row],[/BRI]:[/NPI]])*0.6)</f>
        <v>0.46753246753246758</v>
      </c>
      <c r="AA1966" s="10">
        <f>IFERROR(Mecze[[#This Row],[BR]]/Mecze[[#This Row],[ST]],0)</f>
        <v>0</v>
      </c>
      <c r="AB1966">
        <f>ROUND(Mecze[[#This Row],[PD]]*Mecze[[#This Row],[%PC]],0)</f>
        <v>4</v>
      </c>
      <c r="AC1966">
        <f>ROUND(Mecze[[#This Row],[OD]]*Mecze[[#This Row],[%OU]],0)</f>
        <v>0</v>
      </c>
      <c r="AD1966" s="36" t="s">
        <v>272</v>
      </c>
      <c r="AE1966" s="36">
        <v>109</v>
      </c>
      <c r="AF1966" s="71">
        <v>5.7</v>
      </c>
      <c r="AG1966" s="37">
        <v>0</v>
      </c>
      <c r="AH1966" s="37">
        <v>0</v>
      </c>
      <c r="AI1966" s="37">
        <v>77</v>
      </c>
      <c r="AJ1966" s="37">
        <v>8</v>
      </c>
      <c r="AK1966" s="37" t="str">
        <f>VLOOKUP(Mecze[[#This Row],[Match ID]],Meczusie[Mecz]:Meczusie[RodzajMeczu],2,FALSE)</f>
        <v>Liga</v>
      </c>
    </row>
    <row r="1967" spans="1:37" x14ac:dyDescent="0.25">
      <c r="A1967" s="76">
        <v>8</v>
      </c>
      <c r="B1967" s="3" t="s">
        <v>314</v>
      </c>
      <c r="C1967" s="2" t="s">
        <v>165</v>
      </c>
      <c r="D1967" s="1">
        <v>1</v>
      </c>
      <c r="E1967" s="1">
        <v>2</v>
      </c>
      <c r="F1967" s="1">
        <v>2</v>
      </c>
      <c r="G1967" s="1">
        <v>9</v>
      </c>
      <c r="H1967" s="4">
        <v>0.56000000000000005</v>
      </c>
      <c r="I1967" s="1">
        <v>3</v>
      </c>
      <c r="J1967" s="4">
        <v>0.67</v>
      </c>
      <c r="K1967" s="1">
        <v>0</v>
      </c>
      <c r="L1967" s="1">
        <v>2</v>
      </c>
      <c r="M1967" s="32">
        <f>IF(Mecze[[#This Row],[PR]]=0,0,Mecze[[#This Row],[PR]]/Mecze[[#This Row],[CZAS]])</f>
        <v>2.0833333333333332E-2</v>
      </c>
      <c r="N1967" s="32">
        <f>IF(Mecze[[#This Row],[OU]]=0,0,Mecze[[#This Row],[OU]]/Mecze[[#This Row],[CZAS]])</f>
        <v>2.0833333333333332E-2</v>
      </c>
      <c r="O1967" s="32">
        <f>IF(Mecze[[#This Row],[PC]]=0,0,Mecze[[#This Row],[PC]]/Mecze[[#This Row],[CZAS]])</f>
        <v>5.2083333333333336E-2</v>
      </c>
      <c r="P1967" s="32">
        <f>IF(Mecze[[#This Row],[SC]]=0,0,Mecze[[#This Row],[SC]]/Mecze[[#This Row],[CZAS]])</f>
        <v>2.0833333333333332E-2</v>
      </c>
      <c r="Q1967" s="32">
        <f>IF(Mecze[[#This Row],[OB]]=0,0,Mecze[[#This Row],[OB]]/Mecze[[#This Row],[CZAS]])</f>
        <v>0</v>
      </c>
      <c r="R1967" s="32">
        <f>IF(Mecze[[#This Row],[BR]]=0,0,Mecze[[#This Row],[BR]]/Mecze[[#This Row],[CZAS]])</f>
        <v>1.0416666666666666E-2</v>
      </c>
      <c r="S1967" s="44">
        <f>IF(Mecze[[#This Row],[Role]]="BR",SUMPRODUCT(Mecze[[#This Row],[/PR:90]:[/BR:90]],Brudnopis!$E$23:$J$23),0)</f>
        <v>0</v>
      </c>
      <c r="T1967" s="44">
        <f>IF(Mecze[[#This Row],[Role]]&lt;&gt;"BR",SUMPRODUCT(Mecze[[#This Row],[/PR:90]:[/BR:90]],Brudnopis!$E$24:$J$24),0)</f>
        <v>0.140625</v>
      </c>
      <c r="U1967" s="44">
        <f>IF(Mecze[[#This Row],[Role]]&lt;&gt;"BR",SUMPRODUCT(Mecze[[#This Row],[/PR:90]:[/BR:90]],Brudnopis!$E$25:$J$25),0)</f>
        <v>0.15625</v>
      </c>
      <c r="V1967" s="44">
        <f>IF(Mecze[[#This Row],[Role]]&lt;&gt;"BR",SUMPRODUCT(Mecze[[#This Row],[/PR:90]:[/BR:90]],Brudnopis!$E$26:$J$26),0)</f>
        <v>0.13541666666666666</v>
      </c>
      <c r="W1967" s="44">
        <f>IF(Mecze[[#This Row],[Role]]&lt;&gt;"BR",SUMPRODUCT(Mecze[[#This Row],[/PR:90]:[/BR:90]],Brudnopis!$E$27:$J$27),0)</f>
        <v>0.15104166666666669</v>
      </c>
      <c r="X1967" s="44">
        <f>IF(Mecze[[#This Row],[Role]]&lt;&gt;"BR",SUMPRODUCT(Mecze[[#This Row],[/PR:90]:[/BR:90]],Brudnopis!$E$28:$J$28),0)</f>
        <v>0.125</v>
      </c>
      <c r="Y1967" s="35">
        <f>IF(Mecze[[#This Row],[Role]]="BR",Mecze[[#This Row],[/OB:90]]+Mecze[[#This Row],[/PC:90]],SUM(Mecze[[#This Row],[/PR:90]:[/BR:90]]))</f>
        <v>0.125</v>
      </c>
      <c r="Z1967" s="35">
        <f>IF(Mecze[[#This Row],[KC]]=0,SUM(Mecze[[#This Row],[/BRI]:[/NPI]]),SUM(Mecze[[#This Row],[/BRI]:[/NPI]])*0.6)</f>
        <v>0.70833333333333326</v>
      </c>
      <c r="AA1967" s="10">
        <f>IFERROR(Mecze[[#This Row],[BR]]/Mecze[[#This Row],[ST]],0)</f>
        <v>0.5</v>
      </c>
      <c r="AB1967">
        <f>ROUND(Mecze[[#This Row],[PD]]*Mecze[[#This Row],[%PC]],0)</f>
        <v>5</v>
      </c>
      <c r="AC1967">
        <f>ROUND(Mecze[[#This Row],[OD]]*Mecze[[#This Row],[%OU]],0)</f>
        <v>2</v>
      </c>
      <c r="AD1967" s="36" t="s">
        <v>46</v>
      </c>
      <c r="AE1967" s="36">
        <v>109</v>
      </c>
      <c r="AF1967" s="71">
        <v>8</v>
      </c>
      <c r="AG1967" s="37">
        <v>0</v>
      </c>
      <c r="AH1967" s="37">
        <v>0</v>
      </c>
      <c r="AI1967" s="37">
        <v>96</v>
      </c>
      <c r="AJ1967" s="37">
        <v>8</v>
      </c>
      <c r="AK1967" s="37" t="str">
        <f>VLOOKUP(Mecze[[#This Row],[Match ID]],Meczusie[Mecz]:Meczusie[RodzajMeczu],2,FALSE)</f>
        <v>Liga</v>
      </c>
    </row>
    <row r="1968" spans="1:37" x14ac:dyDescent="0.25">
      <c r="A1968" s="76">
        <v>7</v>
      </c>
      <c r="B1968" s="3" t="s">
        <v>311</v>
      </c>
      <c r="C1968" s="2" t="s">
        <v>160</v>
      </c>
      <c r="D1968" s="1">
        <v>0</v>
      </c>
      <c r="E1968" s="1">
        <v>2</v>
      </c>
      <c r="F1968" s="1">
        <v>1</v>
      </c>
      <c r="G1968" s="1">
        <v>0</v>
      </c>
      <c r="H1968" s="72"/>
      <c r="I1968" s="1">
        <v>1</v>
      </c>
      <c r="J1968" s="4">
        <v>0</v>
      </c>
      <c r="K1968" s="1">
        <v>0</v>
      </c>
      <c r="L1968" s="1">
        <v>0</v>
      </c>
      <c r="M1968" s="32">
        <f>IF(Mecze[[#This Row],[PR]]=0,0,Mecze[[#This Row],[PR]]/Mecze[[#This Row],[CZAS]])</f>
        <v>0</v>
      </c>
      <c r="N1968" s="32">
        <f>IF(Mecze[[#This Row],[OU]]=0,0,Mecze[[#This Row],[OU]]/Mecze[[#This Row],[CZAS]])</f>
        <v>0</v>
      </c>
      <c r="O1968" s="32">
        <f>IF(Mecze[[#This Row],[PC]]=0,0,Mecze[[#This Row],[PC]]/Mecze[[#This Row],[CZAS]])</f>
        <v>0</v>
      </c>
      <c r="P1968" s="32">
        <f>IF(Mecze[[#This Row],[SC]]=0,0,Mecze[[#This Row],[SC]]/Mecze[[#This Row],[CZAS]])</f>
        <v>5.2631578947368418E-2</v>
      </c>
      <c r="Q1968" s="32">
        <f>IF(Mecze[[#This Row],[OB]]=0,0,Mecze[[#This Row],[OB]]/Mecze[[#This Row],[CZAS]])</f>
        <v>0</v>
      </c>
      <c r="R1968" s="32">
        <f>IF(Mecze[[#This Row],[BR]]=0,0,Mecze[[#This Row],[BR]]/Mecze[[#This Row],[CZAS]])</f>
        <v>0</v>
      </c>
      <c r="S1968" s="44">
        <f>IF(Mecze[[#This Row],[Role]]="BR",SUMPRODUCT(Mecze[[#This Row],[/PR:90]:[/BR:90]],Brudnopis!$E$23:$J$23),0)</f>
        <v>0</v>
      </c>
      <c r="T1968" s="44">
        <f>IF(Mecze[[#This Row],[Role]]&lt;&gt;"BR",SUMPRODUCT(Mecze[[#This Row],[/PR:90]:[/BR:90]],Brudnopis!$E$24:$J$24),0)</f>
        <v>5.2631578947368418E-2</v>
      </c>
      <c r="U1968" s="44">
        <f>IF(Mecze[[#This Row],[Role]]&lt;&gt;"BR",SUMPRODUCT(Mecze[[#This Row],[/PR:90]:[/BR:90]],Brudnopis!$E$25:$J$25),0)</f>
        <v>5.2631578947368418E-2</v>
      </c>
      <c r="V1968" s="44">
        <f>IF(Mecze[[#This Row],[Role]]&lt;&gt;"BR",SUMPRODUCT(Mecze[[#This Row],[/PR:90]:[/BR:90]],Brudnopis!$E$26:$J$26),0)</f>
        <v>5.2631578947368418E-2</v>
      </c>
      <c r="W1968" s="44">
        <f>IF(Mecze[[#This Row],[Role]]&lt;&gt;"BR",SUMPRODUCT(Mecze[[#This Row],[/PR:90]:[/BR:90]],Brudnopis!$E$27:$J$27),0)</f>
        <v>5.2631578947368418E-2</v>
      </c>
      <c r="X1968" s="44">
        <f>IF(Mecze[[#This Row],[Role]]&lt;&gt;"BR",SUMPRODUCT(Mecze[[#This Row],[/PR:90]:[/BR:90]],Brudnopis!$E$28:$J$28),0)</f>
        <v>0.10526315789473684</v>
      </c>
      <c r="Y1968" s="35">
        <f>IF(Mecze[[#This Row],[Role]]="BR",Mecze[[#This Row],[/OB:90]]+Mecze[[#This Row],[/PC:90]],SUM(Mecze[[#This Row],[/PR:90]:[/BR:90]]))</f>
        <v>5.2631578947368418E-2</v>
      </c>
      <c r="Z1968" s="35">
        <f>IF(Mecze[[#This Row],[KC]]=0,SUM(Mecze[[#This Row],[/BRI]:[/NPI]]),SUM(Mecze[[#This Row],[/BRI]:[/NPI]])*0.6)</f>
        <v>0.31578947368421051</v>
      </c>
      <c r="AA1968" s="10">
        <f>IFERROR(Mecze[[#This Row],[BR]]/Mecze[[#This Row],[ST]],0)</f>
        <v>0</v>
      </c>
      <c r="AB1968">
        <f>ROUND(Mecze[[#This Row],[PD]]*Mecze[[#This Row],[%PC]],0)</f>
        <v>0</v>
      </c>
      <c r="AC1968">
        <f>ROUND(Mecze[[#This Row],[OD]]*Mecze[[#This Row],[%OU]],0)</f>
        <v>0</v>
      </c>
      <c r="AD1968" s="36" t="s">
        <v>67</v>
      </c>
      <c r="AE1968" s="36">
        <v>109</v>
      </c>
      <c r="AF1968" s="71">
        <v>1.95</v>
      </c>
      <c r="AG1968" s="37">
        <v>0</v>
      </c>
      <c r="AH1968" s="37">
        <v>0</v>
      </c>
      <c r="AI1968" s="37">
        <v>19</v>
      </c>
      <c r="AJ1968" s="37">
        <v>8</v>
      </c>
      <c r="AK1968" s="37" t="str">
        <f>VLOOKUP(Mecze[[#This Row],[Match ID]],Meczusie[Mecz]:Meczusie[RodzajMeczu],2,FALSE)</f>
        <v>Liga</v>
      </c>
    </row>
    <row r="1969" spans="1:37" x14ac:dyDescent="0.25">
      <c r="A1969" s="76">
        <v>71</v>
      </c>
      <c r="B1969" s="3" t="s">
        <v>429</v>
      </c>
      <c r="C1969" s="2" t="s">
        <v>160</v>
      </c>
      <c r="D1969" s="1">
        <v>0</v>
      </c>
      <c r="E1969" s="1">
        <v>0</v>
      </c>
      <c r="F1969" s="1">
        <v>0</v>
      </c>
      <c r="G1969" s="1">
        <v>1</v>
      </c>
      <c r="H1969" s="4">
        <v>0</v>
      </c>
      <c r="I1969" s="1">
        <v>3</v>
      </c>
      <c r="J1969" s="4">
        <v>0.33</v>
      </c>
      <c r="K1969" s="1">
        <v>0</v>
      </c>
      <c r="L1969" s="1">
        <v>0</v>
      </c>
      <c r="M1969" s="32">
        <f>IF(Mecze[[#This Row],[PR]]=0,0,Mecze[[#This Row],[PR]]/Mecze[[#This Row],[CZAS]])</f>
        <v>0</v>
      </c>
      <c r="N1969" s="32">
        <f>IF(Mecze[[#This Row],[OU]]=0,0,Mecze[[#This Row],[OU]]/Mecze[[#This Row],[CZAS]])</f>
        <v>5.2631578947368418E-2</v>
      </c>
      <c r="O1969" s="32">
        <f>IF(Mecze[[#This Row],[PC]]=0,0,Mecze[[#This Row],[PC]]/Mecze[[#This Row],[CZAS]])</f>
        <v>0</v>
      </c>
      <c r="P1969" s="32">
        <f>IF(Mecze[[#This Row],[SC]]=0,0,Mecze[[#This Row],[SC]]/Mecze[[#This Row],[CZAS]])</f>
        <v>0</v>
      </c>
      <c r="Q1969" s="32">
        <f>IF(Mecze[[#This Row],[OB]]=0,0,Mecze[[#This Row],[OB]]/Mecze[[#This Row],[CZAS]])</f>
        <v>0</v>
      </c>
      <c r="R1969" s="32">
        <f>IF(Mecze[[#This Row],[BR]]=0,0,Mecze[[#This Row],[BR]]/Mecze[[#This Row],[CZAS]])</f>
        <v>0</v>
      </c>
      <c r="S1969" s="44">
        <f>IF(Mecze[[#This Row],[Role]]="BR",SUMPRODUCT(Mecze[[#This Row],[/PR:90]:[/BR:90]],Brudnopis!$E$23:$J$23),0)</f>
        <v>0</v>
      </c>
      <c r="T1969" s="44">
        <f>IF(Mecze[[#This Row],[Role]]&lt;&gt;"BR",SUMPRODUCT(Mecze[[#This Row],[/PR:90]:[/BR:90]],Brudnopis!$E$24:$J$24),0)</f>
        <v>7.8947368421052627E-2</v>
      </c>
      <c r="U1969" s="44">
        <f>IF(Mecze[[#This Row],[Role]]&lt;&gt;"BR",SUMPRODUCT(Mecze[[#This Row],[/PR:90]:[/BR:90]],Brudnopis!$E$25:$J$25),0)</f>
        <v>5.2631578947368418E-2</v>
      </c>
      <c r="V1969" s="44">
        <f>IF(Mecze[[#This Row],[Role]]&lt;&gt;"BR",SUMPRODUCT(Mecze[[#This Row],[/PR:90]:[/BR:90]],Brudnopis!$E$26:$J$26),0)</f>
        <v>5.2631578947368418E-2</v>
      </c>
      <c r="W1969" s="44">
        <f>IF(Mecze[[#This Row],[Role]]&lt;&gt;"BR",SUMPRODUCT(Mecze[[#This Row],[/PR:90]:[/BR:90]],Brudnopis!$E$27:$J$27),0)</f>
        <v>3.9473684210526314E-2</v>
      </c>
      <c r="X1969" s="44">
        <f>IF(Mecze[[#This Row],[Role]]&lt;&gt;"BR",SUMPRODUCT(Mecze[[#This Row],[/PR:90]:[/BR:90]],Brudnopis!$E$28:$J$28),0)</f>
        <v>0</v>
      </c>
      <c r="Y1969" s="35">
        <f>IF(Mecze[[#This Row],[Role]]="BR",Mecze[[#This Row],[/OB:90]]+Mecze[[#This Row],[/PC:90]],SUM(Mecze[[#This Row],[/PR:90]:[/BR:90]]))</f>
        <v>5.2631578947368418E-2</v>
      </c>
      <c r="Z1969" s="35">
        <f>IF(Mecze[[#This Row],[KC]]=0,SUM(Mecze[[#This Row],[/BRI]:[/NPI]]),SUM(Mecze[[#This Row],[/BRI]:[/NPI]])*0.6)</f>
        <v>0.22368421052631576</v>
      </c>
      <c r="AA1969" s="10">
        <f>IFERROR(Mecze[[#This Row],[BR]]/Mecze[[#This Row],[ST]],0)</f>
        <v>0</v>
      </c>
      <c r="AB1969">
        <f>ROUND(Mecze[[#This Row],[PD]]*Mecze[[#This Row],[%PC]],0)</f>
        <v>0</v>
      </c>
      <c r="AC1969">
        <f>ROUND(Mecze[[#This Row],[OD]]*Mecze[[#This Row],[%OU]],0)</f>
        <v>1</v>
      </c>
      <c r="AD1969" s="36" t="s">
        <v>41</v>
      </c>
      <c r="AE1969" s="36">
        <v>109</v>
      </c>
      <c r="AF1969" s="71">
        <v>1.72</v>
      </c>
      <c r="AG1969" s="37">
        <v>0</v>
      </c>
      <c r="AH1969" s="37">
        <v>0</v>
      </c>
      <c r="AI1969" s="37">
        <v>19</v>
      </c>
      <c r="AJ1969" s="37">
        <v>8</v>
      </c>
      <c r="AK1969" s="37" t="str">
        <f>VLOOKUP(Mecze[[#This Row],[Match ID]],Meczusie[Mecz]:Meczusie[RodzajMeczu],2,FALSE)</f>
        <v>Liga</v>
      </c>
    </row>
    <row r="1970" spans="1:37" x14ac:dyDescent="0.25">
      <c r="A1970" s="76">
        <v>17</v>
      </c>
      <c r="B1970" s="3" t="s">
        <v>317</v>
      </c>
      <c r="C1970" s="2" t="s">
        <v>165</v>
      </c>
      <c r="D1970" s="1">
        <v>0</v>
      </c>
      <c r="E1970" s="1">
        <v>0</v>
      </c>
      <c r="F1970" s="1">
        <v>0</v>
      </c>
      <c r="G1970" s="1">
        <v>0</v>
      </c>
      <c r="H1970" s="72"/>
      <c r="I1970" s="1">
        <v>0</v>
      </c>
      <c r="J1970" s="4"/>
      <c r="K1970" s="1">
        <v>0</v>
      </c>
      <c r="L1970" s="1">
        <v>1</v>
      </c>
      <c r="M1970" s="32">
        <f>IF(Mecze[[#This Row],[PR]]=0,0,Mecze[[#This Row],[PR]]/Mecze[[#This Row],[CZAS]])</f>
        <v>5.2631578947368418E-2</v>
      </c>
      <c r="N1970" s="32">
        <f>IF(Mecze[[#This Row],[OU]]=0,0,Mecze[[#This Row],[OU]]/Mecze[[#This Row],[CZAS]])</f>
        <v>0</v>
      </c>
      <c r="O1970" s="32">
        <f>IF(Mecze[[#This Row],[PC]]=0,0,Mecze[[#This Row],[PC]]/Mecze[[#This Row],[CZAS]])</f>
        <v>0</v>
      </c>
      <c r="P1970" s="32">
        <f>IF(Mecze[[#This Row],[SC]]=0,0,Mecze[[#This Row],[SC]]/Mecze[[#This Row],[CZAS]])</f>
        <v>0</v>
      </c>
      <c r="Q1970" s="32">
        <f>IF(Mecze[[#This Row],[OB]]=0,0,Mecze[[#This Row],[OB]]/Mecze[[#This Row],[CZAS]])</f>
        <v>0</v>
      </c>
      <c r="R1970" s="32">
        <f>IF(Mecze[[#This Row],[BR]]=0,0,Mecze[[#This Row],[BR]]/Mecze[[#This Row],[CZAS]])</f>
        <v>0</v>
      </c>
      <c r="S1970" s="44">
        <f>IF(Mecze[[#This Row],[Role]]="BR",SUMPRODUCT(Mecze[[#This Row],[/PR:90]:[/BR:90]],Brudnopis!$E$23:$J$23),0)</f>
        <v>0</v>
      </c>
      <c r="T1970" s="44">
        <f>IF(Mecze[[#This Row],[Role]]&lt;&gt;"BR",SUMPRODUCT(Mecze[[#This Row],[/PR:90]:[/BR:90]],Brudnopis!$E$24:$J$24),0)</f>
        <v>5.2631578947368418E-2</v>
      </c>
      <c r="U1970" s="44">
        <f>IF(Mecze[[#This Row],[Role]]&lt;&gt;"BR",SUMPRODUCT(Mecze[[#This Row],[/PR:90]:[/BR:90]],Brudnopis!$E$25:$J$25),0)</f>
        <v>5.2631578947368418E-2</v>
      </c>
      <c r="V1970" s="44">
        <f>IF(Mecze[[#This Row],[Role]]&lt;&gt;"BR",SUMPRODUCT(Mecze[[#This Row],[/PR:90]:[/BR:90]],Brudnopis!$E$26:$J$26),0)</f>
        <v>5.2631578947368418E-2</v>
      </c>
      <c r="W1970" s="44">
        <f>IF(Mecze[[#This Row],[Role]]&lt;&gt;"BR",SUMPRODUCT(Mecze[[#This Row],[/PR:90]:[/BR:90]],Brudnopis!$E$27:$J$27),0)</f>
        <v>3.9473684210526314E-2</v>
      </c>
      <c r="X1970" s="44">
        <f>IF(Mecze[[#This Row],[Role]]&lt;&gt;"BR",SUMPRODUCT(Mecze[[#This Row],[/PR:90]:[/BR:90]],Brudnopis!$E$28:$J$28),0)</f>
        <v>0</v>
      </c>
      <c r="Y1970" s="35">
        <f>IF(Mecze[[#This Row],[Role]]="BR",Mecze[[#This Row],[/OB:90]]+Mecze[[#This Row],[/PC:90]],SUM(Mecze[[#This Row],[/PR:90]:[/BR:90]]))</f>
        <v>5.2631578947368418E-2</v>
      </c>
      <c r="Z1970" s="35">
        <f>IF(Mecze[[#This Row],[KC]]=0,SUM(Mecze[[#This Row],[/BRI]:[/NPI]]),SUM(Mecze[[#This Row],[/BRI]:[/NPI]])*0.6)</f>
        <v>0.19736842105263158</v>
      </c>
      <c r="AA1970" s="10">
        <f>IFERROR(Mecze[[#This Row],[BR]]/Mecze[[#This Row],[ST]],0)</f>
        <v>0</v>
      </c>
      <c r="AB1970">
        <f>ROUND(Mecze[[#This Row],[PD]]*Mecze[[#This Row],[%PC]],0)</f>
        <v>0</v>
      </c>
      <c r="AC1970">
        <f>ROUND(Mecze[[#This Row],[OD]]*Mecze[[#This Row],[%OU]],0)</f>
        <v>0</v>
      </c>
      <c r="AD1970" s="36" t="s">
        <v>272</v>
      </c>
      <c r="AE1970" s="36">
        <v>109</v>
      </c>
      <c r="AF1970" s="71">
        <v>1.72</v>
      </c>
      <c r="AG1970" s="37">
        <v>0</v>
      </c>
      <c r="AH1970" s="37">
        <v>0</v>
      </c>
      <c r="AI1970" s="37">
        <v>19</v>
      </c>
      <c r="AJ1970" s="37">
        <v>8</v>
      </c>
      <c r="AK1970" s="37" t="str">
        <f>VLOOKUP(Mecze[[#This Row],[Match ID]],Meczusie[Mecz]:Meczusie[RodzajMeczu],2,FALSE)</f>
        <v>Liga</v>
      </c>
    </row>
    <row r="1971" spans="1:37" x14ac:dyDescent="0.25">
      <c r="A1971" s="76">
        <v>208</v>
      </c>
      <c r="B1971" s="3" t="s">
        <v>436</v>
      </c>
      <c r="C1971" s="2" t="s">
        <v>155</v>
      </c>
      <c r="D1971" s="1">
        <v>0</v>
      </c>
      <c r="E1971" s="1">
        <v>0</v>
      </c>
      <c r="F1971" s="1">
        <v>0</v>
      </c>
      <c r="G1971" s="1">
        <v>5</v>
      </c>
      <c r="H1971" s="4">
        <v>0.8</v>
      </c>
      <c r="I1971" s="1">
        <v>0</v>
      </c>
      <c r="J1971" s="4"/>
      <c r="K1971" s="1">
        <v>5</v>
      </c>
      <c r="L1971" s="1">
        <v>0</v>
      </c>
      <c r="M1971" s="32">
        <f>IF(Mecze[[#This Row],[PR]]=0,0,Mecze[[#This Row],[PR]]/Mecze[[#This Row],[CZAS]])</f>
        <v>0</v>
      </c>
      <c r="N1971" s="32">
        <f>IF(Mecze[[#This Row],[OU]]=0,0,Mecze[[#This Row],[OU]]/Mecze[[#This Row],[CZAS]])</f>
        <v>0</v>
      </c>
      <c r="O1971" s="32">
        <f>IF(Mecze[[#This Row],[PC]]=0,0,Mecze[[#This Row],[PC]]/Mecze[[#This Row],[CZAS]])</f>
        <v>4.1666666666666664E-2</v>
      </c>
      <c r="P1971" s="32">
        <f>IF(Mecze[[#This Row],[SC]]=0,0,Mecze[[#This Row],[SC]]/Mecze[[#This Row],[CZAS]])</f>
        <v>0</v>
      </c>
      <c r="Q1971" s="32">
        <f>IF(Mecze[[#This Row],[OB]]=0,0,Mecze[[#This Row],[OB]]/Mecze[[#This Row],[CZAS]])</f>
        <v>5.2083333333333336E-2</v>
      </c>
      <c r="R1971" s="32">
        <f>IF(Mecze[[#This Row],[BR]]=0,0,Mecze[[#This Row],[BR]]/Mecze[[#This Row],[CZAS]])</f>
        <v>0</v>
      </c>
      <c r="S1971" s="44">
        <f>IF(Mecze[[#This Row],[Role]]="BR",SUMPRODUCT(Mecze[[#This Row],[/PR:90]:[/BR:90]],Brudnopis!$E$23:$J$23),0)</f>
        <v>0.28125</v>
      </c>
      <c r="T1971" s="44">
        <f>IF(Mecze[[#This Row],[Role]]&lt;&gt;"BR",SUMPRODUCT(Mecze[[#This Row],[/PR:90]:[/BR:90]],Brudnopis!$E$24:$J$24),0)</f>
        <v>0</v>
      </c>
      <c r="U1971" s="44">
        <f>IF(Mecze[[#This Row],[Role]]&lt;&gt;"BR",SUMPRODUCT(Mecze[[#This Row],[/PR:90]:[/BR:90]],Brudnopis!$E$25:$J$25),0)</f>
        <v>0</v>
      </c>
      <c r="V1971" s="44">
        <f>IF(Mecze[[#This Row],[Role]]&lt;&gt;"BR",SUMPRODUCT(Mecze[[#This Row],[/PR:90]:[/BR:90]],Brudnopis!$E$26:$J$26),0)</f>
        <v>0</v>
      </c>
      <c r="W1971" s="44">
        <f>IF(Mecze[[#This Row],[Role]]&lt;&gt;"BR",SUMPRODUCT(Mecze[[#This Row],[/PR:90]:[/BR:90]],Brudnopis!$E$27:$J$27),0)</f>
        <v>0</v>
      </c>
      <c r="X1971" s="44">
        <f>IF(Mecze[[#This Row],[Role]]&lt;&gt;"BR",SUMPRODUCT(Mecze[[#This Row],[/PR:90]:[/BR:90]],Brudnopis!$E$28:$J$28),0)</f>
        <v>0</v>
      </c>
      <c r="Y1971" s="35">
        <f>IF(Mecze[[#This Row],[Role]]="BR",Mecze[[#This Row],[/OB:90]]+Mecze[[#This Row],[/PC:90]],SUM(Mecze[[#This Row],[/PR:90]:[/BR:90]]))</f>
        <v>9.375E-2</v>
      </c>
      <c r="Z1971" s="35">
        <f>IF(Mecze[[#This Row],[KC]]=0,SUM(Mecze[[#This Row],[/BRI]:[/NPI]]),SUM(Mecze[[#This Row],[/BRI]:[/NPI]])*0.6)</f>
        <v>0.28125</v>
      </c>
      <c r="AA1971" s="10">
        <f>IFERROR(Mecze[[#This Row],[BR]]/Mecze[[#This Row],[ST]],0)</f>
        <v>0</v>
      </c>
      <c r="AB1971">
        <f>ROUND(Mecze[[#This Row],[PD]]*Mecze[[#This Row],[%PC]],0)</f>
        <v>4</v>
      </c>
      <c r="AC1971">
        <f>ROUND(Mecze[[#This Row],[OD]]*Mecze[[#This Row],[%OU]],0)</f>
        <v>0</v>
      </c>
      <c r="AD1971" s="36" t="s">
        <v>40</v>
      </c>
      <c r="AE1971" s="36">
        <v>110</v>
      </c>
      <c r="AF1971" s="71">
        <v>7.78</v>
      </c>
      <c r="AG1971" s="37">
        <v>0</v>
      </c>
      <c r="AH1971" s="37">
        <v>0</v>
      </c>
      <c r="AI1971" s="37">
        <v>96</v>
      </c>
      <c r="AJ1971" s="37">
        <v>7</v>
      </c>
      <c r="AK1971" s="37" t="str">
        <f>VLOOKUP(Mecze[[#This Row],[Match ID]],Meczusie[Mecz]:Meczusie[RodzajMeczu],2,FALSE)</f>
        <v>Liga</v>
      </c>
    </row>
    <row r="1972" spans="1:37" x14ac:dyDescent="0.25">
      <c r="A1972" s="76">
        <v>150</v>
      </c>
      <c r="B1972" s="3" t="s">
        <v>335</v>
      </c>
      <c r="C1972" s="2" t="s">
        <v>157</v>
      </c>
      <c r="D1972" s="1">
        <v>0</v>
      </c>
      <c r="E1972" s="1">
        <v>0</v>
      </c>
      <c r="F1972" s="1">
        <v>0</v>
      </c>
      <c r="G1972" s="1">
        <v>4</v>
      </c>
      <c r="H1972" s="4">
        <v>1</v>
      </c>
      <c r="I1972" s="1">
        <v>2</v>
      </c>
      <c r="J1972" s="4">
        <v>0</v>
      </c>
      <c r="K1972" s="1">
        <v>0</v>
      </c>
      <c r="L1972" s="1">
        <v>8</v>
      </c>
      <c r="M1972" s="32">
        <f>IF(Mecze[[#This Row],[PR]]=0,0,Mecze[[#This Row],[PR]]/Mecze[[#This Row],[CZAS]])</f>
        <v>8.3333333333333329E-2</v>
      </c>
      <c r="N1972" s="32">
        <f>IF(Mecze[[#This Row],[OU]]=0,0,Mecze[[#This Row],[OU]]/Mecze[[#This Row],[CZAS]])</f>
        <v>0</v>
      </c>
      <c r="O1972" s="32">
        <f>IF(Mecze[[#This Row],[PC]]=0,0,Mecze[[#This Row],[PC]]/Mecze[[#This Row],[CZAS]])</f>
        <v>4.1666666666666664E-2</v>
      </c>
      <c r="P1972" s="32">
        <f>IF(Mecze[[#This Row],[SC]]=0,0,Mecze[[#This Row],[SC]]/Mecze[[#This Row],[CZAS]])</f>
        <v>0</v>
      </c>
      <c r="Q1972" s="32">
        <f>IF(Mecze[[#This Row],[OB]]=0,0,Mecze[[#This Row],[OB]]/Mecze[[#This Row],[CZAS]])</f>
        <v>0</v>
      </c>
      <c r="R1972" s="32">
        <f>IF(Mecze[[#This Row],[BR]]=0,0,Mecze[[#This Row],[BR]]/Mecze[[#This Row],[CZAS]])</f>
        <v>0</v>
      </c>
      <c r="S1972" s="44">
        <f>IF(Mecze[[#This Row],[Role]]="BR",SUMPRODUCT(Mecze[[#This Row],[/PR:90]:[/BR:90]],Brudnopis!$E$23:$J$23),0)</f>
        <v>0</v>
      </c>
      <c r="T1972" s="44">
        <f>IF(Mecze[[#This Row],[Role]]&lt;&gt;"BR",SUMPRODUCT(Mecze[[#This Row],[/PR:90]:[/BR:90]],Brudnopis!$E$24:$J$24),0)</f>
        <v>0.125</v>
      </c>
      <c r="U1972" s="44">
        <f>IF(Mecze[[#This Row],[Role]]&lt;&gt;"BR",SUMPRODUCT(Mecze[[#This Row],[/PR:90]:[/BR:90]],Brudnopis!$E$25:$J$25),0)</f>
        <v>0.14583333333333331</v>
      </c>
      <c r="V1972" s="44">
        <f>IF(Mecze[[#This Row],[Role]]&lt;&gt;"BR",SUMPRODUCT(Mecze[[#This Row],[/PR:90]:[/BR:90]],Brudnopis!$E$26:$J$26),0)</f>
        <v>0.125</v>
      </c>
      <c r="W1972" s="44">
        <f>IF(Mecze[[#This Row],[Role]]&lt;&gt;"BR",SUMPRODUCT(Mecze[[#This Row],[/PR:90]:[/BR:90]],Brudnopis!$E$27:$J$27),0)</f>
        <v>0.125</v>
      </c>
      <c r="X1972" s="44">
        <f>IF(Mecze[[#This Row],[Role]]&lt;&gt;"BR",SUMPRODUCT(Mecze[[#This Row],[/PR:90]:[/BR:90]],Brudnopis!$E$28:$J$28),0)</f>
        <v>4.1666666666666664E-2</v>
      </c>
      <c r="Y1972" s="35">
        <f>IF(Mecze[[#This Row],[Role]]="BR",Mecze[[#This Row],[/OB:90]]+Mecze[[#This Row],[/PC:90]],SUM(Mecze[[#This Row],[/PR:90]:[/BR:90]]))</f>
        <v>0.125</v>
      </c>
      <c r="Z1972" s="35">
        <f>IF(Mecze[[#This Row],[KC]]=0,SUM(Mecze[[#This Row],[/BRI]:[/NPI]]),SUM(Mecze[[#This Row],[/BRI]:[/NPI]])*0.6)</f>
        <v>0.56249999999999989</v>
      </c>
      <c r="AA1972" s="10">
        <f>IFERROR(Mecze[[#This Row],[BR]]/Mecze[[#This Row],[ST]],0)</f>
        <v>0</v>
      </c>
      <c r="AB1972">
        <f>ROUND(Mecze[[#This Row],[PD]]*Mecze[[#This Row],[%PC]],0)</f>
        <v>4</v>
      </c>
      <c r="AC1972">
        <f>ROUND(Mecze[[#This Row],[OD]]*Mecze[[#This Row],[%OU]],0)</f>
        <v>0</v>
      </c>
      <c r="AD1972" s="36" t="s">
        <v>47</v>
      </c>
      <c r="AE1972" s="36">
        <v>110</v>
      </c>
      <c r="AF1972" s="71">
        <v>5.6</v>
      </c>
      <c r="AG1972" s="37">
        <v>0</v>
      </c>
      <c r="AH1972" s="37">
        <v>0</v>
      </c>
      <c r="AI1972" s="37">
        <v>96</v>
      </c>
      <c r="AJ1972" s="37">
        <v>7</v>
      </c>
      <c r="AK1972" s="37" t="str">
        <f>VLOOKUP(Mecze[[#This Row],[Match ID]],Meczusie[Mecz]:Meczusie[RodzajMeczu],2,FALSE)</f>
        <v>Liga</v>
      </c>
    </row>
    <row r="1973" spans="1:37" x14ac:dyDescent="0.25">
      <c r="A1973" s="76">
        <v>204</v>
      </c>
      <c r="B1973" s="3" t="s">
        <v>334</v>
      </c>
      <c r="C1973" s="2" t="s">
        <v>157</v>
      </c>
      <c r="D1973" s="1">
        <v>0</v>
      </c>
      <c r="E1973" s="1">
        <v>0</v>
      </c>
      <c r="F1973" s="1">
        <v>0</v>
      </c>
      <c r="G1973" s="1">
        <v>6</v>
      </c>
      <c r="H1973" s="4">
        <v>0.5</v>
      </c>
      <c r="I1973" s="1">
        <v>5</v>
      </c>
      <c r="J1973" s="4">
        <v>0.2</v>
      </c>
      <c r="K1973" s="1">
        <v>0</v>
      </c>
      <c r="L1973" s="1">
        <v>3</v>
      </c>
      <c r="M1973" s="32">
        <f>IF(Mecze[[#This Row],[PR]]=0,0,Mecze[[#This Row],[PR]]/Mecze[[#This Row],[CZAS]])</f>
        <v>3.125E-2</v>
      </c>
      <c r="N1973" s="32">
        <f>IF(Mecze[[#This Row],[OU]]=0,0,Mecze[[#This Row],[OU]]/Mecze[[#This Row],[CZAS]])</f>
        <v>1.0416666666666666E-2</v>
      </c>
      <c r="O1973" s="32">
        <f>IF(Mecze[[#This Row],[PC]]=0,0,Mecze[[#This Row],[PC]]/Mecze[[#This Row],[CZAS]])</f>
        <v>3.125E-2</v>
      </c>
      <c r="P1973" s="32">
        <f>IF(Mecze[[#This Row],[SC]]=0,0,Mecze[[#This Row],[SC]]/Mecze[[#This Row],[CZAS]])</f>
        <v>0</v>
      </c>
      <c r="Q1973" s="32">
        <f>IF(Mecze[[#This Row],[OB]]=0,0,Mecze[[#This Row],[OB]]/Mecze[[#This Row],[CZAS]])</f>
        <v>0</v>
      </c>
      <c r="R1973" s="32">
        <f>IF(Mecze[[#This Row],[BR]]=0,0,Mecze[[#This Row],[BR]]/Mecze[[#This Row],[CZAS]])</f>
        <v>0</v>
      </c>
      <c r="S1973" s="44">
        <f>IF(Mecze[[#This Row],[Role]]="BR",SUMPRODUCT(Mecze[[#This Row],[/PR:90]:[/BR:90]],Brudnopis!$E$23:$J$23),0)</f>
        <v>0</v>
      </c>
      <c r="T1973" s="44">
        <f>IF(Mecze[[#This Row],[Role]]&lt;&gt;"BR",SUMPRODUCT(Mecze[[#This Row],[/PR:90]:[/BR:90]],Brudnopis!$E$24:$J$24),0)</f>
        <v>7.8125E-2</v>
      </c>
      <c r="U1973" s="44">
        <f>IF(Mecze[[#This Row],[Role]]&lt;&gt;"BR",SUMPRODUCT(Mecze[[#This Row],[/PR:90]:[/BR:90]],Brudnopis!$E$25:$J$25),0)</f>
        <v>8.8541666666666657E-2</v>
      </c>
      <c r="V1973" s="44">
        <f>IF(Mecze[[#This Row],[Role]]&lt;&gt;"BR",SUMPRODUCT(Mecze[[#This Row],[/PR:90]:[/BR:90]],Brudnopis!$E$26:$J$26),0)</f>
        <v>7.2916666666666657E-2</v>
      </c>
      <c r="W1973" s="44">
        <f>IF(Mecze[[#This Row],[Role]]&lt;&gt;"BR",SUMPRODUCT(Mecze[[#This Row],[/PR:90]:[/BR:90]],Brudnopis!$E$27:$J$27),0)</f>
        <v>7.8125E-2</v>
      </c>
      <c r="X1973" s="44">
        <f>IF(Mecze[[#This Row],[Role]]&lt;&gt;"BR",SUMPRODUCT(Mecze[[#This Row],[/PR:90]:[/BR:90]],Brudnopis!$E$28:$J$28),0)</f>
        <v>3.125E-2</v>
      </c>
      <c r="Y1973" s="35">
        <f>IF(Mecze[[#This Row],[Role]]="BR",Mecze[[#This Row],[/OB:90]]+Mecze[[#This Row],[/PC:90]],SUM(Mecze[[#This Row],[/PR:90]:[/BR:90]]))</f>
        <v>7.2916666666666657E-2</v>
      </c>
      <c r="Z1973" s="35">
        <f>IF(Mecze[[#This Row],[KC]]=0,SUM(Mecze[[#This Row],[/BRI]:[/NPI]]),SUM(Mecze[[#This Row],[/BRI]:[/NPI]])*0.6)</f>
        <v>0.34895833333333331</v>
      </c>
      <c r="AA1973" s="10">
        <f>IFERROR(Mecze[[#This Row],[BR]]/Mecze[[#This Row],[ST]],0)</f>
        <v>0</v>
      </c>
      <c r="AB1973">
        <f>ROUND(Mecze[[#This Row],[PD]]*Mecze[[#This Row],[%PC]],0)</f>
        <v>3</v>
      </c>
      <c r="AC1973">
        <f>ROUND(Mecze[[#This Row],[OD]]*Mecze[[#This Row],[%OU]],0)</f>
        <v>1</v>
      </c>
      <c r="AD1973" s="36" t="s">
        <v>47</v>
      </c>
      <c r="AE1973" s="36">
        <v>110</v>
      </c>
      <c r="AF1973" s="71">
        <v>4.55</v>
      </c>
      <c r="AG1973" s="37">
        <v>0</v>
      </c>
      <c r="AH1973" s="37">
        <v>0</v>
      </c>
      <c r="AI1973" s="37">
        <v>96</v>
      </c>
      <c r="AJ1973" s="37">
        <v>7</v>
      </c>
      <c r="AK1973" s="37" t="str">
        <f>VLOOKUP(Mecze[[#This Row],[Match ID]],Meczusie[Mecz]:Meczusie[RodzajMeczu],2,FALSE)</f>
        <v>Liga</v>
      </c>
    </row>
    <row r="1974" spans="1:37" x14ac:dyDescent="0.25">
      <c r="A1974" s="76">
        <v>156</v>
      </c>
      <c r="B1974" s="3" t="s">
        <v>443</v>
      </c>
      <c r="C1974" s="2" t="s">
        <v>157</v>
      </c>
      <c r="D1974" s="1">
        <v>0</v>
      </c>
      <c r="E1974" s="1">
        <v>0</v>
      </c>
      <c r="F1974" s="1">
        <v>0</v>
      </c>
      <c r="G1974" s="1">
        <v>4</v>
      </c>
      <c r="H1974" s="4">
        <v>0.5</v>
      </c>
      <c r="I1974" s="1">
        <v>4</v>
      </c>
      <c r="J1974" s="4">
        <v>0.5</v>
      </c>
      <c r="K1974" s="1">
        <v>0</v>
      </c>
      <c r="L1974" s="1">
        <v>6</v>
      </c>
      <c r="M1974" s="32">
        <f>IF(Mecze[[#This Row],[PR]]=0,0,Mecze[[#This Row],[PR]]/Mecze[[#This Row],[CZAS]])</f>
        <v>6.25E-2</v>
      </c>
      <c r="N1974" s="32">
        <f>IF(Mecze[[#This Row],[OU]]=0,0,Mecze[[#This Row],[OU]]/Mecze[[#This Row],[CZAS]])</f>
        <v>2.0833333333333332E-2</v>
      </c>
      <c r="O1974" s="32">
        <f>IF(Mecze[[#This Row],[PC]]=0,0,Mecze[[#This Row],[PC]]/Mecze[[#This Row],[CZAS]])</f>
        <v>2.0833333333333332E-2</v>
      </c>
      <c r="P1974" s="32">
        <f>IF(Mecze[[#This Row],[SC]]=0,0,Mecze[[#This Row],[SC]]/Mecze[[#This Row],[CZAS]])</f>
        <v>0</v>
      </c>
      <c r="Q1974" s="32">
        <f>IF(Mecze[[#This Row],[OB]]=0,0,Mecze[[#This Row],[OB]]/Mecze[[#This Row],[CZAS]])</f>
        <v>0</v>
      </c>
      <c r="R1974" s="32">
        <f>IF(Mecze[[#This Row],[BR]]=0,0,Mecze[[#This Row],[BR]]/Mecze[[#This Row],[CZAS]])</f>
        <v>0</v>
      </c>
      <c r="S1974" s="44">
        <f>IF(Mecze[[#This Row],[Role]]="BR",SUMPRODUCT(Mecze[[#This Row],[/PR:90]:[/BR:90]],Brudnopis!$E$23:$J$23),0)</f>
        <v>0</v>
      </c>
      <c r="T1974" s="44">
        <f>IF(Mecze[[#This Row],[Role]]&lt;&gt;"BR",SUMPRODUCT(Mecze[[#This Row],[/PR:90]:[/BR:90]],Brudnopis!$E$24:$J$24),0)</f>
        <v>0.11458333333333333</v>
      </c>
      <c r="U1974" s="44">
        <f>IF(Mecze[[#This Row],[Role]]&lt;&gt;"BR",SUMPRODUCT(Mecze[[#This Row],[/PR:90]:[/BR:90]],Brudnopis!$E$25:$J$25),0)</f>
        <v>0.11458333333333333</v>
      </c>
      <c r="V1974" s="44">
        <f>IF(Mecze[[#This Row],[Role]]&lt;&gt;"BR",SUMPRODUCT(Mecze[[#This Row],[/PR:90]:[/BR:90]],Brudnopis!$E$26:$J$26),0)</f>
        <v>0.10416666666666666</v>
      </c>
      <c r="W1974" s="44">
        <f>IF(Mecze[[#This Row],[Role]]&lt;&gt;"BR",SUMPRODUCT(Mecze[[#This Row],[/PR:90]:[/BR:90]],Brudnopis!$E$27:$J$27),0)</f>
        <v>9.375E-2</v>
      </c>
      <c r="X1974" s="44">
        <f>IF(Mecze[[#This Row],[Role]]&lt;&gt;"BR",SUMPRODUCT(Mecze[[#This Row],[/PR:90]:[/BR:90]],Brudnopis!$E$28:$J$28),0)</f>
        <v>2.0833333333333332E-2</v>
      </c>
      <c r="Y1974" s="35">
        <f>IF(Mecze[[#This Row],[Role]]="BR",Mecze[[#This Row],[/OB:90]]+Mecze[[#This Row],[/PC:90]],SUM(Mecze[[#This Row],[/PR:90]:[/BR:90]]))</f>
        <v>0.10416666666666666</v>
      </c>
      <c r="Z1974" s="35">
        <f>IF(Mecze[[#This Row],[KC]]=0,SUM(Mecze[[#This Row],[/BRI]:[/NPI]]),SUM(Mecze[[#This Row],[/BRI]:[/NPI]])*0.6)</f>
        <v>0.44791666666666663</v>
      </c>
      <c r="AA1974" s="10">
        <f>IFERROR(Mecze[[#This Row],[BR]]/Mecze[[#This Row],[ST]],0)</f>
        <v>0</v>
      </c>
      <c r="AB1974">
        <f>ROUND(Mecze[[#This Row],[PD]]*Mecze[[#This Row],[%PC]],0)</f>
        <v>2</v>
      </c>
      <c r="AC1974">
        <f>ROUND(Mecze[[#This Row],[OD]]*Mecze[[#This Row],[%OU]],0)</f>
        <v>2</v>
      </c>
      <c r="AD1974" s="36" t="s">
        <v>175</v>
      </c>
      <c r="AE1974" s="36">
        <v>110</v>
      </c>
      <c r="AF1974" s="71">
        <v>5.19</v>
      </c>
      <c r="AG1974" s="37">
        <v>1</v>
      </c>
      <c r="AH1974" s="37">
        <v>0</v>
      </c>
      <c r="AI1974" s="37">
        <v>96</v>
      </c>
      <c r="AJ1974" s="37">
        <v>7</v>
      </c>
      <c r="AK1974" s="37" t="str">
        <f>VLOOKUP(Mecze[[#This Row],[Match ID]],Meczusie[Mecz]:Meczusie[RodzajMeczu],2,FALSE)</f>
        <v>Liga</v>
      </c>
    </row>
    <row r="1975" spans="1:37" x14ac:dyDescent="0.25">
      <c r="A1975" s="76">
        <v>159</v>
      </c>
      <c r="B1975" s="3" t="s">
        <v>338</v>
      </c>
      <c r="C1975" s="2" t="s">
        <v>157</v>
      </c>
      <c r="D1975" s="1">
        <v>0</v>
      </c>
      <c r="E1975" s="1">
        <v>0</v>
      </c>
      <c r="F1975" s="1">
        <v>0</v>
      </c>
      <c r="G1975" s="1">
        <v>4</v>
      </c>
      <c r="H1975" s="4">
        <v>0.5</v>
      </c>
      <c r="I1975" s="1">
        <v>3</v>
      </c>
      <c r="J1975" s="4">
        <v>0.67</v>
      </c>
      <c r="K1975" s="1">
        <v>0</v>
      </c>
      <c r="L1975" s="1">
        <v>3</v>
      </c>
      <c r="M1975" s="32">
        <f>IF(Mecze[[#This Row],[PR]]=0,0,Mecze[[#This Row],[PR]]/Mecze[[#This Row],[CZAS]])</f>
        <v>3.125E-2</v>
      </c>
      <c r="N1975" s="32">
        <f>IF(Mecze[[#This Row],[OU]]=0,0,Mecze[[#This Row],[OU]]/Mecze[[#This Row],[CZAS]])</f>
        <v>2.0833333333333332E-2</v>
      </c>
      <c r="O1975" s="32">
        <f>IF(Mecze[[#This Row],[PC]]=0,0,Mecze[[#This Row],[PC]]/Mecze[[#This Row],[CZAS]])</f>
        <v>2.0833333333333332E-2</v>
      </c>
      <c r="P1975" s="32">
        <f>IF(Mecze[[#This Row],[SC]]=0,0,Mecze[[#This Row],[SC]]/Mecze[[#This Row],[CZAS]])</f>
        <v>0</v>
      </c>
      <c r="Q1975" s="32">
        <f>IF(Mecze[[#This Row],[OB]]=0,0,Mecze[[#This Row],[OB]]/Mecze[[#This Row],[CZAS]])</f>
        <v>0</v>
      </c>
      <c r="R1975" s="32">
        <f>IF(Mecze[[#This Row],[BR]]=0,0,Mecze[[#This Row],[BR]]/Mecze[[#This Row],[CZAS]])</f>
        <v>0</v>
      </c>
      <c r="S1975" s="44">
        <f>IF(Mecze[[#This Row],[Role]]="BR",SUMPRODUCT(Mecze[[#This Row],[/PR:90]:[/BR:90]],Brudnopis!$E$23:$J$23),0)</f>
        <v>0</v>
      </c>
      <c r="T1975" s="44">
        <f>IF(Mecze[[#This Row],[Role]]&lt;&gt;"BR",SUMPRODUCT(Mecze[[#This Row],[/PR:90]:[/BR:90]],Brudnopis!$E$24:$J$24),0)</f>
        <v>8.3333333333333329E-2</v>
      </c>
      <c r="U1975" s="44">
        <f>IF(Mecze[[#This Row],[Role]]&lt;&gt;"BR",SUMPRODUCT(Mecze[[#This Row],[/PR:90]:[/BR:90]],Brudnopis!$E$25:$J$25),0)</f>
        <v>8.3333333333333329E-2</v>
      </c>
      <c r="V1975" s="44">
        <f>IF(Mecze[[#This Row],[Role]]&lt;&gt;"BR",SUMPRODUCT(Mecze[[#This Row],[/PR:90]:[/BR:90]],Brudnopis!$E$26:$J$26),0)</f>
        <v>7.2916666666666657E-2</v>
      </c>
      <c r="W1975" s="44">
        <f>IF(Mecze[[#This Row],[Role]]&lt;&gt;"BR",SUMPRODUCT(Mecze[[#This Row],[/PR:90]:[/BR:90]],Brudnopis!$E$27:$J$27),0)</f>
        <v>7.03125E-2</v>
      </c>
      <c r="X1975" s="44">
        <f>IF(Mecze[[#This Row],[Role]]&lt;&gt;"BR",SUMPRODUCT(Mecze[[#This Row],[/PR:90]:[/BR:90]],Brudnopis!$E$28:$J$28),0)</f>
        <v>2.0833333333333332E-2</v>
      </c>
      <c r="Y1975" s="35">
        <f>IF(Mecze[[#This Row],[Role]]="BR",Mecze[[#This Row],[/OB:90]]+Mecze[[#This Row],[/PC:90]],SUM(Mecze[[#This Row],[/PR:90]:[/BR:90]]))</f>
        <v>7.2916666666666657E-2</v>
      </c>
      <c r="Z1975" s="35">
        <f>IF(Mecze[[#This Row],[KC]]=0,SUM(Mecze[[#This Row],[/BRI]:[/NPI]]),SUM(Mecze[[#This Row],[/BRI]:[/NPI]])*0.6)</f>
        <v>0.33072916666666663</v>
      </c>
      <c r="AA1975" s="10">
        <f>IFERROR(Mecze[[#This Row],[BR]]/Mecze[[#This Row],[ST]],0)</f>
        <v>0</v>
      </c>
      <c r="AB1975">
        <f>ROUND(Mecze[[#This Row],[PD]]*Mecze[[#This Row],[%PC]],0)</f>
        <v>2</v>
      </c>
      <c r="AC1975">
        <f>ROUND(Mecze[[#This Row],[OD]]*Mecze[[#This Row],[%OU]],0)</f>
        <v>2</v>
      </c>
      <c r="AD1975" s="36" t="s">
        <v>174</v>
      </c>
      <c r="AE1975" s="36">
        <v>110</v>
      </c>
      <c r="AF1975" s="71">
        <v>5.67</v>
      </c>
      <c r="AG1975" s="37">
        <v>0</v>
      </c>
      <c r="AH1975" s="37">
        <v>0</v>
      </c>
      <c r="AI1975" s="37">
        <v>96</v>
      </c>
      <c r="AJ1975" s="37">
        <v>7</v>
      </c>
      <c r="AK1975" s="37" t="str">
        <f>VLOOKUP(Mecze[[#This Row],[Match ID]],Meczusie[Mecz]:Meczusie[RodzajMeczu],2,FALSE)</f>
        <v>Liga</v>
      </c>
    </row>
    <row r="1976" spans="1:37" x14ac:dyDescent="0.25">
      <c r="A1976" s="76">
        <v>151</v>
      </c>
      <c r="B1976" s="3" t="s">
        <v>337</v>
      </c>
      <c r="C1976" s="2" t="s">
        <v>160</v>
      </c>
      <c r="D1976" s="1">
        <v>0</v>
      </c>
      <c r="E1976" s="1">
        <v>0</v>
      </c>
      <c r="F1976" s="1">
        <v>0</v>
      </c>
      <c r="G1976" s="1">
        <v>9</v>
      </c>
      <c r="H1976" s="4">
        <v>0.78</v>
      </c>
      <c r="I1976" s="1">
        <v>5</v>
      </c>
      <c r="J1976" s="4">
        <v>0.8</v>
      </c>
      <c r="K1976" s="1">
        <v>0</v>
      </c>
      <c r="L1976" s="1">
        <v>3</v>
      </c>
      <c r="M1976" s="32">
        <f>IF(Mecze[[#This Row],[PR]]=0,0,Mecze[[#This Row],[PR]]/Mecze[[#This Row],[CZAS]])</f>
        <v>3.125E-2</v>
      </c>
      <c r="N1976" s="32">
        <f>IF(Mecze[[#This Row],[OU]]=0,0,Mecze[[#This Row],[OU]]/Mecze[[#This Row],[CZAS]])</f>
        <v>4.1666666666666664E-2</v>
      </c>
      <c r="O1976" s="32">
        <f>IF(Mecze[[#This Row],[PC]]=0,0,Mecze[[#This Row],[PC]]/Mecze[[#This Row],[CZAS]])</f>
        <v>7.2916666666666671E-2</v>
      </c>
      <c r="P1976" s="32">
        <f>IF(Mecze[[#This Row],[SC]]=0,0,Mecze[[#This Row],[SC]]/Mecze[[#This Row],[CZAS]])</f>
        <v>0</v>
      </c>
      <c r="Q1976" s="32">
        <f>IF(Mecze[[#This Row],[OB]]=0,0,Mecze[[#This Row],[OB]]/Mecze[[#This Row],[CZAS]])</f>
        <v>0</v>
      </c>
      <c r="R1976" s="32">
        <f>IF(Mecze[[#This Row],[BR]]=0,0,Mecze[[#This Row],[BR]]/Mecze[[#This Row],[CZAS]])</f>
        <v>0</v>
      </c>
      <c r="S1976" s="44">
        <f>IF(Mecze[[#This Row],[Role]]="BR",SUMPRODUCT(Mecze[[#This Row],[/PR:90]:[/BR:90]],Brudnopis!$E$23:$J$23),0)</f>
        <v>0</v>
      </c>
      <c r="T1976" s="44">
        <f>IF(Mecze[[#This Row],[Role]]&lt;&gt;"BR",SUMPRODUCT(Mecze[[#This Row],[/PR:90]:[/BR:90]],Brudnopis!$E$24:$J$24),0)</f>
        <v>0.16666666666666669</v>
      </c>
      <c r="U1976" s="44">
        <f>IF(Mecze[[#This Row],[Role]]&lt;&gt;"BR",SUMPRODUCT(Mecze[[#This Row],[/PR:90]:[/BR:90]],Brudnopis!$E$25:$J$25),0)</f>
        <v>0.18229166666666666</v>
      </c>
      <c r="V1976" s="44">
        <f>IF(Mecze[[#This Row],[Role]]&lt;&gt;"BR",SUMPRODUCT(Mecze[[#This Row],[/PR:90]:[/BR:90]],Brudnopis!$E$26:$J$26),0)</f>
        <v>0.14583333333333331</v>
      </c>
      <c r="W1976" s="44">
        <f>IF(Mecze[[#This Row],[Role]]&lt;&gt;"BR",SUMPRODUCT(Mecze[[#This Row],[/PR:90]:[/BR:90]],Brudnopis!$E$27:$J$27),0)</f>
        <v>0.1640625</v>
      </c>
      <c r="X1976" s="44">
        <f>IF(Mecze[[#This Row],[Role]]&lt;&gt;"BR",SUMPRODUCT(Mecze[[#This Row],[/PR:90]:[/BR:90]],Brudnopis!$E$28:$J$28),0)</f>
        <v>7.2916666666666671E-2</v>
      </c>
      <c r="Y1976" s="35">
        <f>IF(Mecze[[#This Row],[Role]]="BR",Mecze[[#This Row],[/OB:90]]+Mecze[[#This Row],[/PC:90]],SUM(Mecze[[#This Row],[/PR:90]:[/BR:90]]))</f>
        <v>0.14583333333333331</v>
      </c>
      <c r="Z1976" s="35">
        <f>IF(Mecze[[#This Row],[KC]]=0,SUM(Mecze[[#This Row],[/BRI]:[/NPI]]),SUM(Mecze[[#This Row],[/BRI]:[/NPI]])*0.6)</f>
        <v>0.73177083333333337</v>
      </c>
      <c r="AA1976" s="10">
        <f>IFERROR(Mecze[[#This Row],[BR]]/Mecze[[#This Row],[ST]],0)</f>
        <v>0</v>
      </c>
      <c r="AB1976">
        <f>ROUND(Mecze[[#This Row],[PD]]*Mecze[[#This Row],[%PC]],0)</f>
        <v>7</v>
      </c>
      <c r="AC1976">
        <f>ROUND(Mecze[[#This Row],[OD]]*Mecze[[#This Row],[%OU]],0)</f>
        <v>4</v>
      </c>
      <c r="AD1976" s="36" t="s">
        <v>41</v>
      </c>
      <c r="AE1976" s="36">
        <v>110</v>
      </c>
      <c r="AF1976" s="71">
        <v>5.76</v>
      </c>
      <c r="AG1976" s="37">
        <v>0</v>
      </c>
      <c r="AH1976" s="37">
        <v>0</v>
      </c>
      <c r="AI1976" s="37">
        <v>96</v>
      </c>
      <c r="AJ1976" s="37">
        <v>7</v>
      </c>
      <c r="AK1976" s="37" t="str">
        <f>VLOOKUP(Mecze[[#This Row],[Match ID]],Meczusie[Mecz]:Meczusie[RodzajMeczu],2,FALSE)</f>
        <v>Liga</v>
      </c>
    </row>
    <row r="1977" spans="1:37" x14ac:dyDescent="0.25">
      <c r="A1977" s="76">
        <v>109</v>
      </c>
      <c r="B1977" s="3" t="s">
        <v>404</v>
      </c>
      <c r="C1977" s="2" t="s">
        <v>160</v>
      </c>
      <c r="D1977" s="1">
        <v>0</v>
      </c>
      <c r="E1977" s="1">
        <v>0</v>
      </c>
      <c r="F1977" s="1">
        <v>0</v>
      </c>
      <c r="G1977" s="1">
        <v>20</v>
      </c>
      <c r="H1977" s="4">
        <v>0.55000000000000004</v>
      </c>
      <c r="I1977" s="1">
        <v>5</v>
      </c>
      <c r="J1977" s="4">
        <v>0.6</v>
      </c>
      <c r="K1977" s="1">
        <v>0</v>
      </c>
      <c r="L1977" s="1">
        <v>10</v>
      </c>
      <c r="M1977" s="32">
        <f>IF(Mecze[[#This Row],[PR]]=0,0,Mecze[[#This Row],[PR]]/Mecze[[#This Row],[CZAS]])</f>
        <v>0.10416666666666667</v>
      </c>
      <c r="N1977" s="32">
        <f>IF(Mecze[[#This Row],[OU]]=0,0,Mecze[[#This Row],[OU]]/Mecze[[#This Row],[CZAS]])</f>
        <v>3.125E-2</v>
      </c>
      <c r="O1977" s="32">
        <f>IF(Mecze[[#This Row],[PC]]=0,0,Mecze[[#This Row],[PC]]/Mecze[[#This Row],[CZAS]])</f>
        <v>0.11458333333333333</v>
      </c>
      <c r="P1977" s="32">
        <f>IF(Mecze[[#This Row],[SC]]=0,0,Mecze[[#This Row],[SC]]/Mecze[[#This Row],[CZAS]])</f>
        <v>0</v>
      </c>
      <c r="Q1977" s="32">
        <f>IF(Mecze[[#This Row],[OB]]=0,0,Mecze[[#This Row],[OB]]/Mecze[[#This Row],[CZAS]])</f>
        <v>0</v>
      </c>
      <c r="R1977" s="32">
        <f>IF(Mecze[[#This Row],[BR]]=0,0,Mecze[[#This Row],[BR]]/Mecze[[#This Row],[CZAS]])</f>
        <v>0</v>
      </c>
      <c r="S1977" s="44">
        <f>IF(Mecze[[#This Row],[Role]]="BR",SUMPRODUCT(Mecze[[#This Row],[/PR:90]:[/BR:90]],Brudnopis!$E$23:$J$23),0)</f>
        <v>0</v>
      </c>
      <c r="T1977" s="44">
        <f>IF(Mecze[[#This Row],[Role]]&lt;&gt;"BR",SUMPRODUCT(Mecze[[#This Row],[/PR:90]:[/BR:90]],Brudnopis!$E$24:$J$24),0)</f>
        <v>0.265625</v>
      </c>
      <c r="U1977" s="44">
        <f>IF(Mecze[[#This Row],[Role]]&lt;&gt;"BR",SUMPRODUCT(Mecze[[#This Row],[/PR:90]:[/BR:90]],Brudnopis!$E$25:$J$25),0)</f>
        <v>0.30729166666666669</v>
      </c>
      <c r="V1977" s="44">
        <f>IF(Mecze[[#This Row],[Role]]&lt;&gt;"BR",SUMPRODUCT(Mecze[[#This Row],[/PR:90]:[/BR:90]],Brudnopis!$E$26:$J$26),0)</f>
        <v>0.25</v>
      </c>
      <c r="W1977" s="44">
        <f>IF(Mecze[[#This Row],[Role]]&lt;&gt;"BR",SUMPRODUCT(Mecze[[#This Row],[/PR:90]:[/BR:90]],Brudnopis!$E$27:$J$27),0)</f>
        <v>0.2734375</v>
      </c>
      <c r="X1977" s="44">
        <f>IF(Mecze[[#This Row],[Role]]&lt;&gt;"BR",SUMPRODUCT(Mecze[[#This Row],[/PR:90]:[/BR:90]],Brudnopis!$E$28:$J$28),0)</f>
        <v>0.11458333333333333</v>
      </c>
      <c r="Y1977" s="35">
        <f>IF(Mecze[[#This Row],[Role]]="BR",Mecze[[#This Row],[/OB:90]]+Mecze[[#This Row],[/PC:90]],SUM(Mecze[[#This Row],[/PR:90]:[/BR:90]]))</f>
        <v>0.25</v>
      </c>
      <c r="Z1977" s="35">
        <f>IF(Mecze[[#This Row],[KC]]=0,SUM(Mecze[[#This Row],[/BRI]:[/NPI]]),SUM(Mecze[[#This Row],[/BRI]:[/NPI]])*0.6)</f>
        <v>1.2109375</v>
      </c>
      <c r="AA1977" s="10">
        <f>IFERROR(Mecze[[#This Row],[BR]]/Mecze[[#This Row],[ST]],0)</f>
        <v>0</v>
      </c>
      <c r="AB1977">
        <f>ROUND(Mecze[[#This Row],[PD]]*Mecze[[#This Row],[%PC]],0)</f>
        <v>11</v>
      </c>
      <c r="AC1977">
        <f>ROUND(Mecze[[#This Row],[OD]]*Mecze[[#This Row],[%OU]],0)</f>
        <v>3</v>
      </c>
      <c r="AD1977" s="36" t="s">
        <v>41</v>
      </c>
      <c r="AE1977" s="36">
        <v>110</v>
      </c>
      <c r="AF1977" s="71">
        <v>7.23</v>
      </c>
      <c r="AG1977" s="37">
        <v>0</v>
      </c>
      <c r="AH1977" s="37">
        <v>0</v>
      </c>
      <c r="AI1977" s="37">
        <v>96</v>
      </c>
      <c r="AJ1977" s="37">
        <v>7</v>
      </c>
      <c r="AK1977" s="37" t="str">
        <f>VLOOKUP(Mecze[[#This Row],[Match ID]],Meczusie[Mecz]:Meczusie[RodzajMeczu],2,FALSE)</f>
        <v>Liga</v>
      </c>
    </row>
    <row r="1978" spans="1:37" x14ac:dyDescent="0.25">
      <c r="A1978" s="76">
        <v>200</v>
      </c>
      <c r="B1978" s="3" t="s">
        <v>339</v>
      </c>
      <c r="C1978" s="2" t="s">
        <v>160</v>
      </c>
      <c r="D1978" s="1">
        <v>0</v>
      </c>
      <c r="E1978" s="1">
        <v>2</v>
      </c>
      <c r="F1978" s="1">
        <v>2</v>
      </c>
      <c r="G1978" s="1">
        <v>9</v>
      </c>
      <c r="H1978" s="4">
        <v>0.67</v>
      </c>
      <c r="I1978" s="1">
        <v>3</v>
      </c>
      <c r="J1978" s="4">
        <v>0</v>
      </c>
      <c r="K1978" s="1">
        <v>0</v>
      </c>
      <c r="L1978" s="1">
        <v>8</v>
      </c>
      <c r="M1978" s="32">
        <f>IF(Mecze[[#This Row],[PR]]=0,0,Mecze[[#This Row],[PR]]/Mecze[[#This Row],[CZAS]])</f>
        <v>8.3333333333333329E-2</v>
      </c>
      <c r="N1978" s="32">
        <f>IF(Mecze[[#This Row],[OU]]=0,0,Mecze[[#This Row],[OU]]/Mecze[[#This Row],[CZAS]])</f>
        <v>0</v>
      </c>
      <c r="O1978" s="32">
        <f>IF(Mecze[[#This Row],[PC]]=0,0,Mecze[[#This Row],[PC]]/Mecze[[#This Row],[CZAS]])</f>
        <v>6.25E-2</v>
      </c>
      <c r="P1978" s="32">
        <f>IF(Mecze[[#This Row],[SC]]=0,0,Mecze[[#This Row],[SC]]/Mecze[[#This Row],[CZAS]])</f>
        <v>2.0833333333333332E-2</v>
      </c>
      <c r="Q1978" s="32">
        <f>IF(Mecze[[#This Row],[OB]]=0,0,Mecze[[#This Row],[OB]]/Mecze[[#This Row],[CZAS]])</f>
        <v>0</v>
      </c>
      <c r="R1978" s="32">
        <f>IF(Mecze[[#This Row],[BR]]=0,0,Mecze[[#This Row],[BR]]/Mecze[[#This Row],[CZAS]])</f>
        <v>0</v>
      </c>
      <c r="S1978" s="44">
        <f>IF(Mecze[[#This Row],[Role]]="BR",SUMPRODUCT(Mecze[[#This Row],[/PR:90]:[/BR:90]],Brudnopis!$E$23:$J$23),0)</f>
        <v>0</v>
      </c>
      <c r="T1978" s="44">
        <f>IF(Mecze[[#This Row],[Role]]&lt;&gt;"BR",SUMPRODUCT(Mecze[[#This Row],[/PR:90]:[/BR:90]],Brudnopis!$E$24:$J$24),0)</f>
        <v>0.16666666666666666</v>
      </c>
      <c r="U1978" s="44">
        <f>IF(Mecze[[#This Row],[Role]]&lt;&gt;"BR",SUMPRODUCT(Mecze[[#This Row],[/PR:90]:[/BR:90]],Brudnopis!$E$25:$J$25),0)</f>
        <v>0.19791666666666666</v>
      </c>
      <c r="V1978" s="44">
        <f>IF(Mecze[[#This Row],[Role]]&lt;&gt;"BR",SUMPRODUCT(Mecze[[#This Row],[/PR:90]:[/BR:90]],Brudnopis!$E$26:$J$26),0)</f>
        <v>0.16666666666666666</v>
      </c>
      <c r="W1978" s="44">
        <f>IF(Mecze[[#This Row],[Role]]&lt;&gt;"BR",SUMPRODUCT(Mecze[[#This Row],[/PR:90]:[/BR:90]],Brudnopis!$E$27:$J$27),0)</f>
        <v>0.17708333333333334</v>
      </c>
      <c r="X1978" s="44">
        <f>IF(Mecze[[#This Row],[Role]]&lt;&gt;"BR",SUMPRODUCT(Mecze[[#This Row],[/PR:90]:[/BR:90]],Brudnopis!$E$28:$J$28),0)</f>
        <v>0.10416666666666666</v>
      </c>
      <c r="Y1978" s="35">
        <f>IF(Mecze[[#This Row],[Role]]="BR",Mecze[[#This Row],[/OB:90]]+Mecze[[#This Row],[/PC:90]],SUM(Mecze[[#This Row],[/PR:90]:[/BR:90]]))</f>
        <v>0.16666666666666666</v>
      </c>
      <c r="Z1978" s="35">
        <f>IF(Mecze[[#This Row],[KC]]=0,SUM(Mecze[[#This Row],[/BRI]:[/NPI]]),SUM(Mecze[[#This Row],[/BRI]:[/NPI]])*0.6)</f>
        <v>0.8125</v>
      </c>
      <c r="AA1978" s="10">
        <f>IFERROR(Mecze[[#This Row],[BR]]/Mecze[[#This Row],[ST]],0)</f>
        <v>0</v>
      </c>
      <c r="AB1978">
        <f>ROUND(Mecze[[#This Row],[PD]]*Mecze[[#This Row],[%PC]],0)</f>
        <v>6</v>
      </c>
      <c r="AC1978">
        <f>ROUND(Mecze[[#This Row],[OD]]*Mecze[[#This Row],[%OU]],0)</f>
        <v>0</v>
      </c>
      <c r="AD1978" s="36" t="s">
        <v>67</v>
      </c>
      <c r="AE1978" s="36">
        <v>110</v>
      </c>
      <c r="AF1978" s="71">
        <v>7.27</v>
      </c>
      <c r="AG1978" s="37">
        <v>0</v>
      </c>
      <c r="AH1978" s="37">
        <v>0</v>
      </c>
      <c r="AI1978" s="37">
        <v>96</v>
      </c>
      <c r="AJ1978" s="37">
        <v>7</v>
      </c>
      <c r="AK1978" s="37" t="str">
        <f>VLOOKUP(Mecze[[#This Row],[Match ID]],Meczusie[Mecz]:Meczusie[RodzajMeczu],2,FALSE)</f>
        <v>Liga</v>
      </c>
    </row>
    <row r="1979" spans="1:37" x14ac:dyDescent="0.25">
      <c r="A1979" s="76">
        <v>101</v>
      </c>
      <c r="B1979" s="3" t="s">
        <v>444</v>
      </c>
      <c r="C1979" s="2" t="s">
        <v>160</v>
      </c>
      <c r="D1979" s="1">
        <v>0</v>
      </c>
      <c r="E1979" s="1">
        <v>0</v>
      </c>
      <c r="F1979" s="1">
        <v>0</v>
      </c>
      <c r="G1979" s="1">
        <v>17</v>
      </c>
      <c r="H1979" s="4">
        <v>0.94</v>
      </c>
      <c r="I1979" s="1">
        <v>3</v>
      </c>
      <c r="J1979" s="4">
        <v>0.67</v>
      </c>
      <c r="K1979" s="1">
        <v>0</v>
      </c>
      <c r="L1979" s="1">
        <v>0</v>
      </c>
      <c r="M1979" s="32">
        <f>IF(Mecze[[#This Row],[PR]]=0,0,Mecze[[#This Row],[PR]]/Mecze[[#This Row],[CZAS]])</f>
        <v>0</v>
      </c>
      <c r="N1979" s="32">
        <f>IF(Mecze[[#This Row],[OU]]=0,0,Mecze[[#This Row],[OU]]/Mecze[[#This Row],[CZAS]])</f>
        <v>2.0833333333333332E-2</v>
      </c>
      <c r="O1979" s="32">
        <f>IF(Mecze[[#This Row],[PC]]=0,0,Mecze[[#This Row],[PC]]/Mecze[[#This Row],[CZAS]])</f>
        <v>0.16666666666666666</v>
      </c>
      <c r="P1979" s="32">
        <f>IF(Mecze[[#This Row],[SC]]=0,0,Mecze[[#This Row],[SC]]/Mecze[[#This Row],[CZAS]])</f>
        <v>0</v>
      </c>
      <c r="Q1979" s="32">
        <f>IF(Mecze[[#This Row],[OB]]=0,0,Mecze[[#This Row],[OB]]/Mecze[[#This Row],[CZAS]])</f>
        <v>0</v>
      </c>
      <c r="R1979" s="32">
        <f>IF(Mecze[[#This Row],[BR]]=0,0,Mecze[[#This Row],[BR]]/Mecze[[#This Row],[CZAS]])</f>
        <v>0</v>
      </c>
      <c r="S1979" s="44">
        <f>IF(Mecze[[#This Row],[Role]]="BR",SUMPRODUCT(Mecze[[#This Row],[/PR:90]:[/BR:90]],Brudnopis!$E$23:$J$23),0)</f>
        <v>0</v>
      </c>
      <c r="T1979" s="44">
        <f>IF(Mecze[[#This Row],[Role]]&lt;&gt;"BR",SUMPRODUCT(Mecze[[#This Row],[/PR:90]:[/BR:90]],Brudnopis!$E$24:$J$24),0)</f>
        <v>0.19791666666666666</v>
      </c>
      <c r="U1979" s="44">
        <f>IF(Mecze[[#This Row],[Role]]&lt;&gt;"BR",SUMPRODUCT(Mecze[[#This Row],[/PR:90]:[/BR:90]],Brudnopis!$E$25:$J$25),0)</f>
        <v>0.27083333333333331</v>
      </c>
      <c r="V1979" s="44">
        <f>IF(Mecze[[#This Row],[Role]]&lt;&gt;"BR",SUMPRODUCT(Mecze[[#This Row],[/PR:90]:[/BR:90]],Brudnopis!$E$26:$J$26),0)</f>
        <v>0.1875</v>
      </c>
      <c r="W1979" s="44">
        <f>IF(Mecze[[#This Row],[Role]]&lt;&gt;"BR",SUMPRODUCT(Mecze[[#This Row],[/PR:90]:[/BR:90]],Brudnopis!$E$27:$J$27),0)</f>
        <v>0.265625</v>
      </c>
      <c r="X1979" s="44">
        <f>IF(Mecze[[#This Row],[Role]]&lt;&gt;"BR",SUMPRODUCT(Mecze[[#This Row],[/PR:90]:[/BR:90]],Brudnopis!$E$28:$J$28),0)</f>
        <v>0.16666666666666666</v>
      </c>
      <c r="Y1979" s="35">
        <f>IF(Mecze[[#This Row],[Role]]="BR",Mecze[[#This Row],[/OB:90]]+Mecze[[#This Row],[/PC:90]],SUM(Mecze[[#This Row],[/PR:90]:[/BR:90]]))</f>
        <v>0.1875</v>
      </c>
      <c r="Z1979" s="35">
        <f>IF(Mecze[[#This Row],[KC]]=0,SUM(Mecze[[#This Row],[/BRI]:[/NPI]]),SUM(Mecze[[#This Row],[/BRI]:[/NPI]])*0.6)</f>
        <v>1.0885416666666667</v>
      </c>
      <c r="AA1979" s="10">
        <f>IFERROR(Mecze[[#This Row],[BR]]/Mecze[[#This Row],[ST]],0)</f>
        <v>0</v>
      </c>
      <c r="AB1979">
        <f>ROUND(Mecze[[#This Row],[PD]]*Mecze[[#This Row],[%PC]],0)</f>
        <v>16</v>
      </c>
      <c r="AC1979">
        <f>ROUND(Mecze[[#This Row],[OD]]*Mecze[[#This Row],[%OU]],0)</f>
        <v>2</v>
      </c>
      <c r="AD1979" s="36" t="s">
        <v>299</v>
      </c>
      <c r="AE1979" s="36">
        <v>110</v>
      </c>
      <c r="AF1979" s="71">
        <v>6.04</v>
      </c>
      <c r="AG1979" s="37">
        <v>0</v>
      </c>
      <c r="AH1979" s="37">
        <v>0</v>
      </c>
      <c r="AI1979" s="37">
        <v>96</v>
      </c>
      <c r="AJ1979" s="37">
        <v>7</v>
      </c>
      <c r="AK1979" s="37" t="str">
        <f>VLOOKUP(Mecze[[#This Row],[Match ID]],Meczusie[Mecz]:Meczusie[RodzajMeczu],2,FALSE)</f>
        <v>Liga</v>
      </c>
    </row>
    <row r="1980" spans="1:37" x14ac:dyDescent="0.25">
      <c r="A1980" s="76">
        <v>203</v>
      </c>
      <c r="B1980" s="3" t="s">
        <v>342</v>
      </c>
      <c r="C1980" s="2" t="s">
        <v>165</v>
      </c>
      <c r="D1980" s="1">
        <v>2</v>
      </c>
      <c r="E1980" s="1">
        <v>15</v>
      </c>
      <c r="F1980" s="1">
        <v>13</v>
      </c>
      <c r="G1980" s="1">
        <v>2</v>
      </c>
      <c r="H1980" s="4">
        <v>1</v>
      </c>
      <c r="I1980" s="1">
        <v>1</v>
      </c>
      <c r="J1980" s="4">
        <v>0</v>
      </c>
      <c r="K1980" s="1">
        <v>0</v>
      </c>
      <c r="L1980" s="1">
        <v>0</v>
      </c>
      <c r="M1980" s="32">
        <f>IF(Mecze[[#This Row],[PR]]=0,0,Mecze[[#This Row],[PR]]/Mecze[[#This Row],[CZAS]])</f>
        <v>0</v>
      </c>
      <c r="N1980" s="32">
        <f>IF(Mecze[[#This Row],[OU]]=0,0,Mecze[[#This Row],[OU]]/Mecze[[#This Row],[CZAS]])</f>
        <v>0</v>
      </c>
      <c r="O1980" s="32">
        <f>IF(Mecze[[#This Row],[PC]]=0,0,Mecze[[#This Row],[PC]]/Mecze[[#This Row],[CZAS]])</f>
        <v>2.8169014084507043E-2</v>
      </c>
      <c r="P1980" s="32">
        <f>IF(Mecze[[#This Row],[SC]]=0,0,Mecze[[#This Row],[SC]]/Mecze[[#This Row],[CZAS]])</f>
        <v>0.18309859154929578</v>
      </c>
      <c r="Q1980" s="32">
        <f>IF(Mecze[[#This Row],[OB]]=0,0,Mecze[[#This Row],[OB]]/Mecze[[#This Row],[CZAS]])</f>
        <v>0</v>
      </c>
      <c r="R1980" s="32">
        <f>IF(Mecze[[#This Row],[BR]]=0,0,Mecze[[#This Row],[BR]]/Mecze[[#This Row],[CZAS]])</f>
        <v>2.8169014084507043E-2</v>
      </c>
      <c r="S1980" s="44">
        <f>IF(Mecze[[#This Row],[Role]]="BR",SUMPRODUCT(Mecze[[#This Row],[/PR:90]:[/BR:90]],Brudnopis!$E$23:$J$23),0)</f>
        <v>0</v>
      </c>
      <c r="T1980" s="44">
        <f>IF(Mecze[[#This Row],[Role]]&lt;&gt;"BR",SUMPRODUCT(Mecze[[#This Row],[/PR:90]:[/BR:90]],Brudnopis!$E$24:$J$24),0)</f>
        <v>0.25352112676056338</v>
      </c>
      <c r="U1980" s="44">
        <f>IF(Mecze[[#This Row],[Role]]&lt;&gt;"BR",SUMPRODUCT(Mecze[[#This Row],[/PR:90]:[/BR:90]],Brudnopis!$E$25:$J$25),0)</f>
        <v>0.26760563380281688</v>
      </c>
      <c r="V1980" s="44">
        <f>IF(Mecze[[#This Row],[Role]]&lt;&gt;"BR",SUMPRODUCT(Mecze[[#This Row],[/PR:90]:[/BR:90]],Brudnopis!$E$26:$J$26),0)</f>
        <v>0.26760563380281688</v>
      </c>
      <c r="W1980" s="44">
        <f>IF(Mecze[[#This Row],[Role]]&lt;&gt;"BR",SUMPRODUCT(Mecze[[#This Row],[/PR:90]:[/BR:90]],Brudnopis!$E$27:$J$27),0)</f>
        <v>0.28169014084507044</v>
      </c>
      <c r="X1980" s="44">
        <f>IF(Mecze[[#This Row],[Role]]&lt;&gt;"BR",SUMPRODUCT(Mecze[[#This Row],[/PR:90]:[/BR:90]],Brudnopis!$E$28:$J$28),0)</f>
        <v>0.47887323943661975</v>
      </c>
      <c r="Y1980" s="35">
        <f>IF(Mecze[[#This Row],[Role]]="BR",Mecze[[#This Row],[/OB:90]]+Mecze[[#This Row],[/PC:90]],SUM(Mecze[[#This Row],[/PR:90]:[/BR:90]]))</f>
        <v>0.23943661971830985</v>
      </c>
      <c r="Z1980" s="35">
        <f>IF(Mecze[[#This Row],[KC]]=0,SUM(Mecze[[#This Row],[/BRI]:[/NPI]]),SUM(Mecze[[#This Row],[/BRI]:[/NPI]])*0.6)</f>
        <v>1.5492957746478873</v>
      </c>
      <c r="AA1980" s="10">
        <f>IFERROR(Mecze[[#This Row],[BR]]/Mecze[[#This Row],[ST]],0)</f>
        <v>0.13333333333333333</v>
      </c>
      <c r="AB1980">
        <f>ROUND(Mecze[[#This Row],[PD]]*Mecze[[#This Row],[%PC]],0)</f>
        <v>2</v>
      </c>
      <c r="AC1980">
        <f>ROUND(Mecze[[#This Row],[OD]]*Mecze[[#This Row],[%OU]],0)</f>
        <v>0</v>
      </c>
      <c r="AD1980" s="36" t="s">
        <v>46</v>
      </c>
      <c r="AE1980" s="36">
        <v>110</v>
      </c>
      <c r="AF1980" s="71">
        <v>11.39</v>
      </c>
      <c r="AG1980" s="37">
        <v>0</v>
      </c>
      <c r="AH1980" s="37">
        <v>0</v>
      </c>
      <c r="AI1980" s="37">
        <v>71</v>
      </c>
      <c r="AJ1980" s="37">
        <v>7</v>
      </c>
      <c r="AK1980" s="37" t="str">
        <f>VLOOKUP(Mecze[[#This Row],[Match ID]],Meczusie[Mecz]:Meczusie[RodzajMeczu],2,FALSE)</f>
        <v>Liga</v>
      </c>
    </row>
    <row r="1981" spans="1:37" x14ac:dyDescent="0.25">
      <c r="A1981" s="76">
        <v>104</v>
      </c>
      <c r="B1981" s="3" t="s">
        <v>343</v>
      </c>
      <c r="C1981" s="2" t="s">
        <v>165</v>
      </c>
      <c r="D1981" s="1">
        <v>0</v>
      </c>
      <c r="E1981" s="1">
        <v>3</v>
      </c>
      <c r="F1981" s="1">
        <v>1</v>
      </c>
      <c r="G1981" s="1">
        <v>21</v>
      </c>
      <c r="H1981" s="4">
        <v>0.86</v>
      </c>
      <c r="I1981" s="1">
        <v>9</v>
      </c>
      <c r="J1981" s="4">
        <v>0.67</v>
      </c>
      <c r="K1981" s="1">
        <v>0</v>
      </c>
      <c r="L1981" s="1">
        <v>2</v>
      </c>
      <c r="M1981" s="32">
        <f>IF(Mecze[[#This Row],[PR]]=0,0,Mecze[[#This Row],[PR]]/Mecze[[#This Row],[CZAS]])</f>
        <v>2.0833333333333332E-2</v>
      </c>
      <c r="N1981" s="32">
        <f>IF(Mecze[[#This Row],[OU]]=0,0,Mecze[[#This Row],[OU]]/Mecze[[#This Row],[CZAS]])</f>
        <v>6.25E-2</v>
      </c>
      <c r="O1981" s="32">
        <f>IF(Mecze[[#This Row],[PC]]=0,0,Mecze[[#This Row],[PC]]/Mecze[[#This Row],[CZAS]])</f>
        <v>0.1875</v>
      </c>
      <c r="P1981" s="32">
        <f>IF(Mecze[[#This Row],[SC]]=0,0,Mecze[[#This Row],[SC]]/Mecze[[#This Row],[CZAS]])</f>
        <v>1.0416666666666666E-2</v>
      </c>
      <c r="Q1981" s="32">
        <f>IF(Mecze[[#This Row],[OB]]=0,0,Mecze[[#This Row],[OB]]/Mecze[[#This Row],[CZAS]])</f>
        <v>0</v>
      </c>
      <c r="R1981" s="32">
        <f>IF(Mecze[[#This Row],[BR]]=0,0,Mecze[[#This Row],[BR]]/Mecze[[#This Row],[CZAS]])</f>
        <v>0</v>
      </c>
      <c r="S1981" s="44">
        <f>IF(Mecze[[#This Row],[Role]]="BR",SUMPRODUCT(Mecze[[#This Row],[/PR:90]:[/BR:90]],Brudnopis!$E$23:$J$23),0)</f>
        <v>0</v>
      </c>
      <c r="T1981" s="44">
        <f>IF(Mecze[[#This Row],[Role]]&lt;&gt;"BR",SUMPRODUCT(Mecze[[#This Row],[/PR:90]:[/BR:90]],Brudnopis!$E$24:$J$24),0)</f>
        <v>0.3125</v>
      </c>
      <c r="U1981" s="44">
        <f>IF(Mecze[[#This Row],[Role]]&lt;&gt;"BR",SUMPRODUCT(Mecze[[#This Row],[/PR:90]:[/BR:90]],Brudnopis!$E$25:$J$25),0)</f>
        <v>0.375</v>
      </c>
      <c r="V1981" s="44">
        <f>IF(Mecze[[#This Row],[Role]]&lt;&gt;"BR",SUMPRODUCT(Mecze[[#This Row],[/PR:90]:[/BR:90]],Brudnopis!$E$26:$J$26),0)</f>
        <v>0.28125</v>
      </c>
      <c r="W1981" s="44">
        <f>IF(Mecze[[#This Row],[Role]]&lt;&gt;"BR",SUMPRODUCT(Mecze[[#This Row],[/PR:90]:[/BR:90]],Brudnopis!$E$27:$J$27),0)</f>
        <v>0.35416666666666669</v>
      </c>
      <c r="X1981" s="44">
        <f>IF(Mecze[[#This Row],[Role]]&lt;&gt;"BR",SUMPRODUCT(Mecze[[#This Row],[/PR:90]:[/BR:90]],Brudnopis!$E$28:$J$28),0)</f>
        <v>0.20833333333333334</v>
      </c>
      <c r="Y1981" s="35">
        <f>IF(Mecze[[#This Row],[Role]]="BR",Mecze[[#This Row],[/OB:90]]+Mecze[[#This Row],[/PC:90]],SUM(Mecze[[#This Row],[/PR:90]:[/BR:90]]))</f>
        <v>0.28125</v>
      </c>
      <c r="Z1981" s="35">
        <f>IF(Mecze[[#This Row],[KC]]=0,SUM(Mecze[[#This Row],[/BRI]:[/NPI]]),SUM(Mecze[[#This Row],[/BRI]:[/NPI]])*0.6)</f>
        <v>1.53125</v>
      </c>
      <c r="AA1981" s="10">
        <f>IFERROR(Mecze[[#This Row],[BR]]/Mecze[[#This Row],[ST]],0)</f>
        <v>0</v>
      </c>
      <c r="AB1981">
        <f>ROUND(Mecze[[#This Row],[PD]]*Mecze[[#This Row],[%PC]],0)</f>
        <v>18</v>
      </c>
      <c r="AC1981">
        <f>ROUND(Mecze[[#This Row],[OD]]*Mecze[[#This Row],[%OU]],0)</f>
        <v>6</v>
      </c>
      <c r="AD1981" s="36" t="s">
        <v>355</v>
      </c>
      <c r="AE1981" s="36">
        <v>110</v>
      </c>
      <c r="AF1981" s="71">
        <v>6.4</v>
      </c>
      <c r="AG1981" s="37">
        <v>0</v>
      </c>
      <c r="AH1981" s="37">
        <v>0</v>
      </c>
      <c r="AI1981" s="37">
        <v>96</v>
      </c>
      <c r="AJ1981" s="37">
        <v>7</v>
      </c>
      <c r="AK1981" s="37" t="str">
        <f>VLOOKUP(Mecze[[#This Row],[Match ID]],Meczusie[Mecz]:Meczusie[RodzajMeczu],2,FALSE)</f>
        <v>Liga</v>
      </c>
    </row>
    <row r="1982" spans="1:37" x14ac:dyDescent="0.25">
      <c r="A1982" s="76">
        <v>201</v>
      </c>
      <c r="B1982" s="3" t="s">
        <v>456</v>
      </c>
      <c r="C1982" s="2" t="s">
        <v>165</v>
      </c>
      <c r="D1982" s="1">
        <v>1</v>
      </c>
      <c r="E1982" s="1">
        <v>3</v>
      </c>
      <c r="F1982" s="1">
        <v>3</v>
      </c>
      <c r="G1982" s="1">
        <v>0</v>
      </c>
      <c r="H1982" s="72"/>
      <c r="I1982" s="1">
        <v>1</v>
      </c>
      <c r="J1982" s="4">
        <v>0</v>
      </c>
      <c r="K1982" s="1">
        <v>0</v>
      </c>
      <c r="L1982" s="1">
        <v>0</v>
      </c>
      <c r="M1982" s="32">
        <f>IF(Mecze[[#This Row],[PR]]=0,0,Mecze[[#This Row],[PR]]/Mecze[[#This Row],[CZAS]])</f>
        <v>0</v>
      </c>
      <c r="N1982" s="32">
        <f>IF(Mecze[[#This Row],[OU]]=0,0,Mecze[[#This Row],[OU]]/Mecze[[#This Row],[CZAS]])</f>
        <v>0</v>
      </c>
      <c r="O1982" s="32">
        <f>IF(Mecze[[#This Row],[PC]]=0,0,Mecze[[#This Row],[PC]]/Mecze[[#This Row],[CZAS]])</f>
        <v>0</v>
      </c>
      <c r="P1982" s="32">
        <f>IF(Mecze[[#This Row],[SC]]=0,0,Mecze[[#This Row],[SC]]/Mecze[[#This Row],[CZAS]])</f>
        <v>0.12</v>
      </c>
      <c r="Q1982" s="32">
        <f>IF(Mecze[[#This Row],[OB]]=0,0,Mecze[[#This Row],[OB]]/Mecze[[#This Row],[CZAS]])</f>
        <v>0</v>
      </c>
      <c r="R1982" s="32">
        <f>IF(Mecze[[#This Row],[BR]]=0,0,Mecze[[#This Row],[BR]]/Mecze[[#This Row],[CZAS]])</f>
        <v>0.04</v>
      </c>
      <c r="S1982" s="44">
        <f>IF(Mecze[[#This Row],[Role]]="BR",SUMPRODUCT(Mecze[[#This Row],[/PR:90]:[/BR:90]],Brudnopis!$E$23:$J$23),0)</f>
        <v>0</v>
      </c>
      <c r="T1982" s="44">
        <f>IF(Mecze[[#This Row],[Role]]&lt;&gt;"BR",SUMPRODUCT(Mecze[[#This Row],[/PR:90]:[/BR:90]],Brudnopis!$E$24:$J$24),0)</f>
        <v>0.18</v>
      </c>
      <c r="U1982" s="44">
        <f>IF(Mecze[[#This Row],[Role]]&lt;&gt;"BR",SUMPRODUCT(Mecze[[#This Row],[/PR:90]:[/BR:90]],Brudnopis!$E$25:$J$25),0)</f>
        <v>0.18</v>
      </c>
      <c r="V1982" s="44">
        <f>IF(Mecze[[#This Row],[Role]]&lt;&gt;"BR",SUMPRODUCT(Mecze[[#This Row],[/PR:90]:[/BR:90]],Brudnopis!$E$26:$J$26),0)</f>
        <v>0.2</v>
      </c>
      <c r="W1982" s="44">
        <f>IF(Mecze[[#This Row],[Role]]&lt;&gt;"BR",SUMPRODUCT(Mecze[[#This Row],[/PR:90]:[/BR:90]],Brudnopis!$E$27:$J$27),0)</f>
        <v>0.2</v>
      </c>
      <c r="X1982" s="44">
        <f>IF(Mecze[[#This Row],[Role]]&lt;&gt;"BR",SUMPRODUCT(Mecze[[#This Row],[/PR:90]:[/BR:90]],Brudnopis!$E$28:$J$28),0)</f>
        <v>0.36</v>
      </c>
      <c r="Y1982" s="35">
        <f>IF(Mecze[[#This Row],[Role]]="BR",Mecze[[#This Row],[/OB:90]]+Mecze[[#This Row],[/PC:90]],SUM(Mecze[[#This Row],[/PR:90]:[/BR:90]]))</f>
        <v>0.16</v>
      </c>
      <c r="Z1982" s="35">
        <f>IF(Mecze[[#This Row],[KC]]=0,SUM(Mecze[[#This Row],[/BRI]:[/NPI]]),SUM(Mecze[[#This Row],[/BRI]:[/NPI]])*0.6)</f>
        <v>1.1200000000000001</v>
      </c>
      <c r="AA1982" s="10">
        <f>IFERROR(Mecze[[#This Row],[BR]]/Mecze[[#This Row],[ST]],0)</f>
        <v>0.33333333333333331</v>
      </c>
      <c r="AB1982">
        <f>ROUND(Mecze[[#This Row],[PD]]*Mecze[[#This Row],[%PC]],0)</f>
        <v>0</v>
      </c>
      <c r="AC1982">
        <f>ROUND(Mecze[[#This Row],[OD]]*Mecze[[#This Row],[%OU]],0)</f>
        <v>0</v>
      </c>
      <c r="AD1982" s="36" t="s">
        <v>46</v>
      </c>
      <c r="AE1982" s="36">
        <v>110</v>
      </c>
      <c r="AF1982" s="71">
        <v>4.68</v>
      </c>
      <c r="AG1982" s="37">
        <v>0</v>
      </c>
      <c r="AH1982" s="37">
        <v>0</v>
      </c>
      <c r="AI1982" s="37">
        <v>25</v>
      </c>
      <c r="AJ1982" s="37">
        <v>7</v>
      </c>
      <c r="AK1982" s="37" t="str">
        <f>VLOOKUP(Mecze[[#This Row],[Match ID]],Meczusie[Mecz]:Meczusie[RodzajMeczu],2,FALSE)</f>
        <v>Liga</v>
      </c>
    </row>
    <row r="1983" spans="1:37" x14ac:dyDescent="0.25">
      <c r="A1983" s="76">
        <v>1</v>
      </c>
      <c r="B1983" s="3" t="s">
        <v>288</v>
      </c>
      <c r="C1983" s="2" t="s">
        <v>155</v>
      </c>
      <c r="D1983" s="1">
        <v>0</v>
      </c>
      <c r="E1983" s="1">
        <v>0</v>
      </c>
      <c r="F1983" s="1">
        <v>0</v>
      </c>
      <c r="G1983" s="1">
        <v>17</v>
      </c>
      <c r="H1983" s="4">
        <v>0.41</v>
      </c>
      <c r="I1983" s="1">
        <v>0</v>
      </c>
      <c r="J1983" s="4"/>
      <c r="K1983" s="1">
        <v>16</v>
      </c>
      <c r="L1983" s="1">
        <v>0</v>
      </c>
      <c r="M1983" s="32">
        <f>IF(Mecze[[#This Row],[PR]]=0,0,Mecze[[#This Row],[PR]]/Mecze[[#This Row],[CZAS]])</f>
        <v>0</v>
      </c>
      <c r="N1983" s="32">
        <f>IF(Mecze[[#This Row],[OU]]=0,0,Mecze[[#This Row],[OU]]/Mecze[[#This Row],[CZAS]])</f>
        <v>0</v>
      </c>
      <c r="O1983" s="32">
        <f>IF(Mecze[[#This Row],[PC]]=0,0,Mecze[[#This Row],[PC]]/Mecze[[#This Row],[CZAS]])</f>
        <v>7.2916666666666671E-2</v>
      </c>
      <c r="P1983" s="32">
        <f>IF(Mecze[[#This Row],[SC]]=0,0,Mecze[[#This Row],[SC]]/Mecze[[#This Row],[CZAS]])</f>
        <v>0</v>
      </c>
      <c r="Q1983" s="32">
        <f>IF(Mecze[[#This Row],[OB]]=0,0,Mecze[[#This Row],[OB]]/Mecze[[#This Row],[CZAS]])</f>
        <v>0.16666666666666666</v>
      </c>
      <c r="R1983" s="32">
        <f>IF(Mecze[[#This Row],[BR]]=0,0,Mecze[[#This Row],[BR]]/Mecze[[#This Row],[CZAS]])</f>
        <v>0</v>
      </c>
      <c r="S1983" s="44">
        <f>IF(Mecze[[#This Row],[Role]]="BR",SUMPRODUCT(Mecze[[#This Row],[/PR:90]:[/BR:90]],Brudnopis!$E$23:$J$23),0)</f>
        <v>0.71875</v>
      </c>
      <c r="T1983" s="44">
        <f>IF(Mecze[[#This Row],[Role]]&lt;&gt;"BR",SUMPRODUCT(Mecze[[#This Row],[/PR:90]:[/BR:90]],Brudnopis!$E$24:$J$24),0)</f>
        <v>0</v>
      </c>
      <c r="U1983" s="44">
        <f>IF(Mecze[[#This Row],[Role]]&lt;&gt;"BR",SUMPRODUCT(Mecze[[#This Row],[/PR:90]:[/BR:90]],Brudnopis!$E$25:$J$25),0)</f>
        <v>0</v>
      </c>
      <c r="V1983" s="44">
        <f>IF(Mecze[[#This Row],[Role]]&lt;&gt;"BR",SUMPRODUCT(Mecze[[#This Row],[/PR:90]:[/BR:90]],Brudnopis!$E$26:$J$26),0)</f>
        <v>0</v>
      </c>
      <c r="W1983" s="44">
        <f>IF(Mecze[[#This Row],[Role]]&lt;&gt;"BR",SUMPRODUCT(Mecze[[#This Row],[/PR:90]:[/BR:90]],Brudnopis!$E$27:$J$27),0)</f>
        <v>0</v>
      </c>
      <c r="X1983" s="44">
        <f>IF(Mecze[[#This Row],[Role]]&lt;&gt;"BR",SUMPRODUCT(Mecze[[#This Row],[/PR:90]:[/BR:90]],Brudnopis!$E$28:$J$28),0)</f>
        <v>0</v>
      </c>
      <c r="Y1983" s="35">
        <f>IF(Mecze[[#This Row],[Role]]="BR",Mecze[[#This Row],[/OB:90]]+Mecze[[#This Row],[/PC:90]],SUM(Mecze[[#This Row],[/PR:90]:[/BR:90]]))</f>
        <v>0.23958333333333331</v>
      </c>
      <c r="Z1983" s="35">
        <f>IF(Mecze[[#This Row],[KC]]=0,SUM(Mecze[[#This Row],[/BRI]:[/NPI]]),SUM(Mecze[[#This Row],[/BRI]:[/NPI]])*0.6)</f>
        <v>0.71875</v>
      </c>
      <c r="AA1983" s="10">
        <f>IFERROR(Mecze[[#This Row],[BR]]/Mecze[[#This Row],[ST]],0)</f>
        <v>0</v>
      </c>
      <c r="AB1983">
        <f>ROUND(Mecze[[#This Row],[PD]]*Mecze[[#This Row],[%PC]],0)</f>
        <v>7</v>
      </c>
      <c r="AC1983">
        <f>ROUND(Mecze[[#This Row],[OD]]*Mecze[[#This Row],[%OU]],0)</f>
        <v>0</v>
      </c>
      <c r="AD1983" s="36" t="s">
        <v>40</v>
      </c>
      <c r="AE1983" s="36">
        <v>110</v>
      </c>
      <c r="AF1983" s="71">
        <v>7.19</v>
      </c>
      <c r="AG1983" s="37">
        <v>0</v>
      </c>
      <c r="AH1983" s="37">
        <v>0</v>
      </c>
      <c r="AI1983" s="37">
        <v>96</v>
      </c>
      <c r="AJ1983" s="37">
        <v>9</v>
      </c>
      <c r="AK1983" s="37" t="str">
        <f>VLOOKUP(Mecze[[#This Row],[Match ID]],Meczusie[Mecz]:Meczusie[RodzajMeczu],2,FALSE)</f>
        <v>Liga</v>
      </c>
    </row>
    <row r="1984" spans="1:37" x14ac:dyDescent="0.25">
      <c r="A1984" s="76">
        <v>4</v>
      </c>
      <c r="B1984" s="3" t="s">
        <v>289</v>
      </c>
      <c r="C1984" s="2" t="s">
        <v>157</v>
      </c>
      <c r="D1984" s="1">
        <v>0</v>
      </c>
      <c r="E1984" s="1">
        <v>0</v>
      </c>
      <c r="F1984" s="1">
        <v>0</v>
      </c>
      <c r="G1984" s="1">
        <v>5</v>
      </c>
      <c r="H1984" s="4">
        <v>0.8</v>
      </c>
      <c r="I1984" s="1">
        <v>13</v>
      </c>
      <c r="J1984" s="4">
        <v>0.31</v>
      </c>
      <c r="K1984" s="1">
        <v>0</v>
      </c>
      <c r="L1984" s="1">
        <v>9</v>
      </c>
      <c r="M1984" s="32">
        <f>IF(Mecze[[#This Row],[PR]]=0,0,Mecze[[#This Row],[PR]]/Mecze[[#This Row],[CZAS]])</f>
        <v>9.375E-2</v>
      </c>
      <c r="N1984" s="32">
        <f>IF(Mecze[[#This Row],[OU]]=0,0,Mecze[[#This Row],[OU]]/Mecze[[#This Row],[CZAS]])</f>
        <v>4.1666666666666664E-2</v>
      </c>
      <c r="O1984" s="32">
        <f>IF(Mecze[[#This Row],[PC]]=0,0,Mecze[[#This Row],[PC]]/Mecze[[#This Row],[CZAS]])</f>
        <v>4.1666666666666664E-2</v>
      </c>
      <c r="P1984" s="32">
        <f>IF(Mecze[[#This Row],[SC]]=0,0,Mecze[[#This Row],[SC]]/Mecze[[#This Row],[CZAS]])</f>
        <v>0</v>
      </c>
      <c r="Q1984" s="32">
        <f>IF(Mecze[[#This Row],[OB]]=0,0,Mecze[[#This Row],[OB]]/Mecze[[#This Row],[CZAS]])</f>
        <v>0</v>
      </c>
      <c r="R1984" s="32">
        <f>IF(Mecze[[#This Row],[BR]]=0,0,Mecze[[#This Row],[BR]]/Mecze[[#This Row],[CZAS]])</f>
        <v>0</v>
      </c>
      <c r="S1984" s="44">
        <f>IF(Mecze[[#This Row],[Role]]="BR",SUMPRODUCT(Mecze[[#This Row],[/PR:90]:[/BR:90]],Brudnopis!$E$23:$J$23),0)</f>
        <v>0</v>
      </c>
      <c r="T1984" s="44">
        <f>IF(Mecze[[#This Row],[Role]]&lt;&gt;"BR",SUMPRODUCT(Mecze[[#This Row],[/PR:90]:[/BR:90]],Brudnopis!$E$24:$J$24),0)</f>
        <v>0.19791666666666666</v>
      </c>
      <c r="U1984" s="44">
        <f>IF(Mecze[[#This Row],[Role]]&lt;&gt;"BR",SUMPRODUCT(Mecze[[#This Row],[/PR:90]:[/BR:90]],Brudnopis!$E$25:$J$25),0)</f>
        <v>0.19791666666666666</v>
      </c>
      <c r="V1984" s="44">
        <f>IF(Mecze[[#This Row],[Role]]&lt;&gt;"BR",SUMPRODUCT(Mecze[[#This Row],[/PR:90]:[/BR:90]],Brudnopis!$E$26:$J$26),0)</f>
        <v>0.17708333333333331</v>
      </c>
      <c r="W1984" s="44">
        <f>IF(Mecze[[#This Row],[Role]]&lt;&gt;"BR",SUMPRODUCT(Mecze[[#This Row],[/PR:90]:[/BR:90]],Brudnopis!$E$27:$J$27),0)</f>
        <v>0.1640625</v>
      </c>
      <c r="X1984" s="44">
        <f>IF(Mecze[[#This Row],[Role]]&lt;&gt;"BR",SUMPRODUCT(Mecze[[#This Row],[/PR:90]:[/BR:90]],Brudnopis!$E$28:$J$28),0)</f>
        <v>4.1666666666666664E-2</v>
      </c>
      <c r="Y1984" s="35">
        <f>IF(Mecze[[#This Row],[Role]]="BR",Mecze[[#This Row],[/OB:90]]+Mecze[[#This Row],[/PC:90]],SUM(Mecze[[#This Row],[/PR:90]:[/BR:90]]))</f>
        <v>0.17708333333333331</v>
      </c>
      <c r="Z1984" s="35">
        <f>IF(Mecze[[#This Row],[KC]]=0,SUM(Mecze[[#This Row],[/BRI]:[/NPI]]),SUM(Mecze[[#This Row],[/BRI]:[/NPI]])*0.6)</f>
        <v>0.77864583333333326</v>
      </c>
      <c r="AA1984" s="10">
        <f>IFERROR(Mecze[[#This Row],[BR]]/Mecze[[#This Row],[ST]],0)</f>
        <v>0</v>
      </c>
      <c r="AB1984">
        <f>ROUND(Mecze[[#This Row],[PD]]*Mecze[[#This Row],[%PC]],0)</f>
        <v>4</v>
      </c>
      <c r="AC1984">
        <f>ROUND(Mecze[[#This Row],[OD]]*Mecze[[#This Row],[%OU]],0)</f>
        <v>4</v>
      </c>
      <c r="AD1984" s="36" t="s">
        <v>168</v>
      </c>
      <c r="AE1984" s="36">
        <v>110</v>
      </c>
      <c r="AF1984" s="71">
        <v>3.48</v>
      </c>
      <c r="AG1984" s="37">
        <v>0</v>
      </c>
      <c r="AH1984" s="37">
        <v>0</v>
      </c>
      <c r="AI1984" s="37">
        <v>96</v>
      </c>
      <c r="AJ1984" s="37">
        <v>9</v>
      </c>
      <c r="AK1984" s="37" t="str">
        <f>VLOOKUP(Mecze[[#This Row],[Match ID]],Meczusie[Mecz]:Meczusie[RodzajMeczu],2,FALSE)</f>
        <v>Liga</v>
      </c>
    </row>
    <row r="1985" spans="1:37" x14ac:dyDescent="0.25">
      <c r="A1985" s="76">
        <v>2</v>
      </c>
      <c r="B1985" s="3" t="s">
        <v>290</v>
      </c>
      <c r="C1985" s="2" t="s">
        <v>157</v>
      </c>
      <c r="D1985" s="1">
        <v>0</v>
      </c>
      <c r="E1985" s="1">
        <v>0</v>
      </c>
      <c r="F1985" s="1">
        <v>0</v>
      </c>
      <c r="G1985" s="1">
        <v>8</v>
      </c>
      <c r="H1985" s="4">
        <v>0.63</v>
      </c>
      <c r="I1985" s="1">
        <v>3</v>
      </c>
      <c r="J1985" s="4">
        <v>0</v>
      </c>
      <c r="K1985" s="1">
        <v>0</v>
      </c>
      <c r="L1985" s="1">
        <v>0</v>
      </c>
      <c r="M1985" s="32">
        <f>IF(Mecze[[#This Row],[PR]]=0,0,Mecze[[#This Row],[PR]]/Mecze[[#This Row],[CZAS]])</f>
        <v>0</v>
      </c>
      <c r="N1985" s="32">
        <f>IF(Mecze[[#This Row],[OU]]=0,0,Mecze[[#This Row],[OU]]/Mecze[[#This Row],[CZAS]])</f>
        <v>0</v>
      </c>
      <c r="O1985" s="32">
        <f>IF(Mecze[[#This Row],[PC]]=0,0,Mecze[[#This Row],[PC]]/Mecze[[#This Row],[CZAS]])</f>
        <v>5.2083333333333336E-2</v>
      </c>
      <c r="P1985" s="32">
        <f>IF(Mecze[[#This Row],[SC]]=0,0,Mecze[[#This Row],[SC]]/Mecze[[#This Row],[CZAS]])</f>
        <v>0</v>
      </c>
      <c r="Q1985" s="32">
        <f>IF(Mecze[[#This Row],[OB]]=0,0,Mecze[[#This Row],[OB]]/Mecze[[#This Row],[CZAS]])</f>
        <v>0</v>
      </c>
      <c r="R1985" s="32">
        <f>IF(Mecze[[#This Row],[BR]]=0,0,Mecze[[#This Row],[BR]]/Mecze[[#This Row],[CZAS]])</f>
        <v>0</v>
      </c>
      <c r="S1985" s="44">
        <f>IF(Mecze[[#This Row],[Role]]="BR",SUMPRODUCT(Mecze[[#This Row],[/PR:90]:[/BR:90]],Brudnopis!$E$23:$J$23),0)</f>
        <v>0</v>
      </c>
      <c r="T1985" s="44">
        <f>IF(Mecze[[#This Row],[Role]]&lt;&gt;"BR",SUMPRODUCT(Mecze[[#This Row],[/PR:90]:[/BR:90]],Brudnopis!$E$24:$J$24),0)</f>
        <v>5.2083333333333336E-2</v>
      </c>
      <c r="U1985" s="44">
        <f>IF(Mecze[[#This Row],[Role]]&lt;&gt;"BR",SUMPRODUCT(Mecze[[#This Row],[/PR:90]:[/BR:90]],Brudnopis!$E$25:$J$25),0)</f>
        <v>7.8125E-2</v>
      </c>
      <c r="V1985" s="44">
        <f>IF(Mecze[[#This Row],[Role]]&lt;&gt;"BR",SUMPRODUCT(Mecze[[#This Row],[/PR:90]:[/BR:90]],Brudnopis!$E$26:$J$26),0)</f>
        <v>5.2083333333333336E-2</v>
      </c>
      <c r="W1985" s="44">
        <f>IF(Mecze[[#This Row],[Role]]&lt;&gt;"BR",SUMPRODUCT(Mecze[[#This Row],[/PR:90]:[/BR:90]],Brudnopis!$E$27:$J$27),0)</f>
        <v>7.8125E-2</v>
      </c>
      <c r="X1985" s="44">
        <f>IF(Mecze[[#This Row],[Role]]&lt;&gt;"BR",SUMPRODUCT(Mecze[[#This Row],[/PR:90]:[/BR:90]],Brudnopis!$E$28:$J$28),0)</f>
        <v>5.2083333333333336E-2</v>
      </c>
      <c r="Y1985" s="35">
        <f>IF(Mecze[[#This Row],[Role]]="BR",Mecze[[#This Row],[/OB:90]]+Mecze[[#This Row],[/PC:90]],SUM(Mecze[[#This Row],[/PR:90]:[/BR:90]]))</f>
        <v>5.2083333333333336E-2</v>
      </c>
      <c r="Z1985" s="35">
        <f>IF(Mecze[[#This Row],[KC]]=0,SUM(Mecze[[#This Row],[/BRI]:[/NPI]]),SUM(Mecze[[#This Row],[/BRI]:[/NPI]])*0.6)</f>
        <v>0.3125</v>
      </c>
      <c r="AA1985" s="10">
        <f>IFERROR(Mecze[[#This Row],[BR]]/Mecze[[#This Row],[ST]],0)</f>
        <v>0</v>
      </c>
      <c r="AB1985">
        <f>ROUND(Mecze[[#This Row],[PD]]*Mecze[[#This Row],[%PC]],0)</f>
        <v>5</v>
      </c>
      <c r="AC1985">
        <f>ROUND(Mecze[[#This Row],[OD]]*Mecze[[#This Row],[%OU]],0)</f>
        <v>0</v>
      </c>
      <c r="AD1985" s="36" t="s">
        <v>47</v>
      </c>
      <c r="AE1985" s="36">
        <v>110</v>
      </c>
      <c r="AF1985" s="71">
        <v>1.59</v>
      </c>
      <c r="AG1985" s="37">
        <v>0</v>
      </c>
      <c r="AH1985" s="37">
        <v>0</v>
      </c>
      <c r="AI1985" s="37">
        <v>96</v>
      </c>
      <c r="AJ1985" s="37">
        <v>9</v>
      </c>
      <c r="AK1985" s="37" t="str">
        <f>VLOOKUP(Mecze[[#This Row],[Match ID]],Meczusie[Mecz]:Meczusie[RodzajMeczu],2,FALSE)</f>
        <v>Liga</v>
      </c>
    </row>
    <row r="1986" spans="1:37" x14ac:dyDescent="0.25">
      <c r="A1986" s="76">
        <v>16</v>
      </c>
      <c r="B1986" s="3" t="s">
        <v>405</v>
      </c>
      <c r="C1986" s="2" t="s">
        <v>157</v>
      </c>
      <c r="D1986" s="1">
        <v>0</v>
      </c>
      <c r="E1986" s="1">
        <v>0</v>
      </c>
      <c r="F1986" s="1">
        <v>0</v>
      </c>
      <c r="G1986" s="1">
        <v>9</v>
      </c>
      <c r="H1986" s="4">
        <v>0.67</v>
      </c>
      <c r="I1986" s="1">
        <v>11</v>
      </c>
      <c r="J1986" s="4">
        <v>0.36</v>
      </c>
      <c r="K1986" s="1">
        <v>0</v>
      </c>
      <c r="L1986" s="1">
        <v>3</v>
      </c>
      <c r="M1986" s="32">
        <f>IF(Mecze[[#This Row],[PR]]=0,0,Mecze[[#This Row],[PR]]/Mecze[[#This Row],[CZAS]])</f>
        <v>3.125E-2</v>
      </c>
      <c r="N1986" s="32">
        <f>IF(Mecze[[#This Row],[OU]]=0,0,Mecze[[#This Row],[OU]]/Mecze[[#This Row],[CZAS]])</f>
        <v>4.1666666666666664E-2</v>
      </c>
      <c r="O1986" s="32">
        <f>IF(Mecze[[#This Row],[PC]]=0,0,Mecze[[#This Row],[PC]]/Mecze[[#This Row],[CZAS]])</f>
        <v>6.25E-2</v>
      </c>
      <c r="P1986" s="32">
        <f>IF(Mecze[[#This Row],[SC]]=0,0,Mecze[[#This Row],[SC]]/Mecze[[#This Row],[CZAS]])</f>
        <v>0</v>
      </c>
      <c r="Q1986" s="32">
        <f>IF(Mecze[[#This Row],[OB]]=0,0,Mecze[[#This Row],[OB]]/Mecze[[#This Row],[CZAS]])</f>
        <v>0</v>
      </c>
      <c r="R1986" s="32">
        <f>IF(Mecze[[#This Row],[BR]]=0,0,Mecze[[#This Row],[BR]]/Mecze[[#This Row],[CZAS]])</f>
        <v>0</v>
      </c>
      <c r="S1986" s="44">
        <f>IF(Mecze[[#This Row],[Role]]="BR",SUMPRODUCT(Mecze[[#This Row],[/PR:90]:[/BR:90]],Brudnopis!$E$23:$J$23),0)</f>
        <v>0</v>
      </c>
      <c r="T1986" s="44">
        <f>IF(Mecze[[#This Row],[Role]]&lt;&gt;"BR",SUMPRODUCT(Mecze[[#This Row],[/PR:90]:[/BR:90]],Brudnopis!$E$24:$J$24),0)</f>
        <v>0.15625</v>
      </c>
      <c r="U1986" s="44">
        <f>IF(Mecze[[#This Row],[Role]]&lt;&gt;"BR",SUMPRODUCT(Mecze[[#This Row],[/PR:90]:[/BR:90]],Brudnopis!$E$25:$J$25),0)</f>
        <v>0.16666666666666666</v>
      </c>
      <c r="V1986" s="44">
        <f>IF(Mecze[[#This Row],[Role]]&lt;&gt;"BR",SUMPRODUCT(Mecze[[#This Row],[/PR:90]:[/BR:90]],Brudnopis!$E$26:$J$26),0)</f>
        <v>0.13541666666666666</v>
      </c>
      <c r="W1986" s="44">
        <f>IF(Mecze[[#This Row],[Role]]&lt;&gt;"BR",SUMPRODUCT(Mecze[[#This Row],[/PR:90]:[/BR:90]],Brudnopis!$E$27:$J$27),0)</f>
        <v>0.1484375</v>
      </c>
      <c r="X1986" s="44">
        <f>IF(Mecze[[#This Row],[Role]]&lt;&gt;"BR",SUMPRODUCT(Mecze[[#This Row],[/PR:90]:[/BR:90]],Brudnopis!$E$28:$J$28),0)</f>
        <v>6.25E-2</v>
      </c>
      <c r="Y1986" s="35">
        <f>IF(Mecze[[#This Row],[Role]]="BR",Mecze[[#This Row],[/OB:90]]+Mecze[[#This Row],[/PC:90]],SUM(Mecze[[#This Row],[/PR:90]:[/BR:90]]))</f>
        <v>0.13541666666666666</v>
      </c>
      <c r="Z1986" s="35">
        <f>IF(Mecze[[#This Row],[KC]]=0,SUM(Mecze[[#This Row],[/BRI]:[/NPI]]),SUM(Mecze[[#This Row],[/BRI]:[/NPI]])*0.6)</f>
        <v>0.66927083333333326</v>
      </c>
      <c r="AA1986" s="10">
        <f>IFERROR(Mecze[[#This Row],[BR]]/Mecze[[#This Row],[ST]],0)</f>
        <v>0</v>
      </c>
      <c r="AB1986">
        <f>ROUND(Mecze[[#This Row],[PD]]*Mecze[[#This Row],[%PC]],0)</f>
        <v>6</v>
      </c>
      <c r="AC1986">
        <f>ROUND(Mecze[[#This Row],[OD]]*Mecze[[#This Row],[%OU]],0)</f>
        <v>4</v>
      </c>
      <c r="AD1986" s="36" t="s">
        <v>167</v>
      </c>
      <c r="AE1986" s="36">
        <v>110</v>
      </c>
      <c r="AF1986" s="71">
        <v>2.2200000000000002</v>
      </c>
      <c r="AG1986" s="37">
        <v>0</v>
      </c>
      <c r="AH1986" s="37">
        <v>0</v>
      </c>
      <c r="AI1986" s="37">
        <v>96</v>
      </c>
      <c r="AJ1986" s="37">
        <v>9</v>
      </c>
      <c r="AK1986" s="37" t="str">
        <f>VLOOKUP(Mecze[[#This Row],[Match ID]],Meczusie[Mecz]:Meczusie[RodzajMeczu],2,FALSE)</f>
        <v>Liga</v>
      </c>
    </row>
    <row r="1987" spans="1:37" x14ac:dyDescent="0.25">
      <c r="A1987" s="76">
        <v>3</v>
      </c>
      <c r="B1987" s="3" t="s">
        <v>292</v>
      </c>
      <c r="C1987" s="2" t="s">
        <v>160</v>
      </c>
      <c r="D1987" s="1">
        <v>0</v>
      </c>
      <c r="E1987" s="1">
        <v>0</v>
      </c>
      <c r="F1987" s="1">
        <v>0</v>
      </c>
      <c r="G1987" s="1">
        <v>17</v>
      </c>
      <c r="H1987" s="4">
        <v>0.76</v>
      </c>
      <c r="I1987" s="1">
        <v>18</v>
      </c>
      <c r="J1987" s="4">
        <v>0.44</v>
      </c>
      <c r="K1987" s="1">
        <v>0</v>
      </c>
      <c r="L1987" s="1">
        <v>11</v>
      </c>
      <c r="M1987" s="32">
        <f>IF(Mecze[[#This Row],[PR]]=0,0,Mecze[[#This Row],[PR]]/Mecze[[#This Row],[CZAS]])</f>
        <v>0.11458333333333333</v>
      </c>
      <c r="N1987" s="32">
        <f>IF(Mecze[[#This Row],[OU]]=0,0,Mecze[[#This Row],[OU]]/Mecze[[#This Row],[CZAS]])</f>
        <v>8.3333333333333329E-2</v>
      </c>
      <c r="O1987" s="32">
        <f>IF(Mecze[[#This Row],[PC]]=0,0,Mecze[[#This Row],[PC]]/Mecze[[#This Row],[CZAS]])</f>
        <v>0.13541666666666666</v>
      </c>
      <c r="P1987" s="32">
        <f>IF(Mecze[[#This Row],[SC]]=0,0,Mecze[[#This Row],[SC]]/Mecze[[#This Row],[CZAS]])</f>
        <v>0</v>
      </c>
      <c r="Q1987" s="32">
        <f>IF(Mecze[[#This Row],[OB]]=0,0,Mecze[[#This Row],[OB]]/Mecze[[#This Row],[CZAS]])</f>
        <v>0</v>
      </c>
      <c r="R1987" s="32">
        <f>IF(Mecze[[#This Row],[BR]]=0,0,Mecze[[#This Row],[BR]]/Mecze[[#This Row],[CZAS]])</f>
        <v>0</v>
      </c>
      <c r="S1987" s="44">
        <f>IF(Mecze[[#This Row],[Role]]="BR",SUMPRODUCT(Mecze[[#This Row],[/PR:90]:[/BR:90]],Brudnopis!$E$23:$J$23),0)</f>
        <v>0</v>
      </c>
      <c r="T1987" s="44">
        <f>IF(Mecze[[#This Row],[Role]]&lt;&gt;"BR",SUMPRODUCT(Mecze[[#This Row],[/PR:90]:[/BR:90]],Brudnopis!$E$24:$J$24),0)</f>
        <v>0.375</v>
      </c>
      <c r="U1987" s="44">
        <f>IF(Mecze[[#This Row],[Role]]&lt;&gt;"BR",SUMPRODUCT(Mecze[[#This Row],[/PR:90]:[/BR:90]],Brudnopis!$E$25:$J$25),0)</f>
        <v>0.40104166666666663</v>
      </c>
      <c r="V1987" s="44">
        <f>IF(Mecze[[#This Row],[Role]]&lt;&gt;"BR",SUMPRODUCT(Mecze[[#This Row],[/PR:90]:[/BR:90]],Brudnopis!$E$26:$J$26),0)</f>
        <v>0.33333333333333331</v>
      </c>
      <c r="W1987" s="44">
        <f>IF(Mecze[[#This Row],[Role]]&lt;&gt;"BR",SUMPRODUCT(Mecze[[#This Row],[/PR:90]:[/BR:90]],Brudnopis!$E$27:$J$27),0)</f>
        <v>0.3515625</v>
      </c>
      <c r="X1987" s="44">
        <f>IF(Mecze[[#This Row],[Role]]&lt;&gt;"BR",SUMPRODUCT(Mecze[[#This Row],[/PR:90]:[/BR:90]],Brudnopis!$E$28:$J$28),0)</f>
        <v>0.13541666666666666</v>
      </c>
      <c r="Y1987" s="35">
        <f>IF(Mecze[[#This Row],[Role]]="BR",Mecze[[#This Row],[/OB:90]]+Mecze[[#This Row],[/PC:90]],SUM(Mecze[[#This Row],[/PR:90]:[/BR:90]]))</f>
        <v>0.33333333333333331</v>
      </c>
      <c r="Z1987" s="35">
        <f>IF(Mecze[[#This Row],[KC]]=0,SUM(Mecze[[#This Row],[/BRI]:[/NPI]]),SUM(Mecze[[#This Row],[/BRI]:[/NPI]])*0.6)</f>
        <v>1.5963541666666667</v>
      </c>
      <c r="AA1987" s="10">
        <f>IFERROR(Mecze[[#This Row],[BR]]/Mecze[[#This Row],[ST]],0)</f>
        <v>0</v>
      </c>
      <c r="AB1987">
        <f>ROUND(Mecze[[#This Row],[PD]]*Mecze[[#This Row],[%PC]],0)</f>
        <v>13</v>
      </c>
      <c r="AC1987">
        <f>ROUND(Mecze[[#This Row],[OD]]*Mecze[[#This Row],[%OU]],0)</f>
        <v>8</v>
      </c>
      <c r="AD1987" s="36" t="s">
        <v>173</v>
      </c>
      <c r="AE1987" s="36">
        <v>110</v>
      </c>
      <c r="AF1987" s="71">
        <v>6.22</v>
      </c>
      <c r="AG1987" s="37">
        <v>0</v>
      </c>
      <c r="AH1987" s="37">
        <v>0</v>
      </c>
      <c r="AI1987" s="37">
        <v>96</v>
      </c>
      <c r="AJ1987" s="37">
        <v>9</v>
      </c>
      <c r="AK1987" s="37" t="str">
        <f>VLOOKUP(Mecze[[#This Row],[Match ID]],Meczusie[Mecz]:Meczusie[RodzajMeczu],2,FALSE)</f>
        <v>Liga</v>
      </c>
    </row>
    <row r="1988" spans="1:37" x14ac:dyDescent="0.25">
      <c r="A1988" s="76">
        <v>14</v>
      </c>
      <c r="B1988" s="3" t="s">
        <v>293</v>
      </c>
      <c r="C1988" s="2" t="s">
        <v>160</v>
      </c>
      <c r="D1988" s="1">
        <v>0</v>
      </c>
      <c r="E1988" s="1">
        <v>0</v>
      </c>
      <c r="F1988" s="1">
        <v>0</v>
      </c>
      <c r="G1988" s="1">
        <v>2</v>
      </c>
      <c r="H1988" s="4">
        <v>0.5</v>
      </c>
      <c r="I1988" s="1">
        <v>0</v>
      </c>
      <c r="J1988" s="4"/>
      <c r="K1988" s="1">
        <v>0</v>
      </c>
      <c r="L1988" s="1">
        <v>1</v>
      </c>
      <c r="M1988" s="32">
        <f>IF(Mecze[[#This Row],[PR]]=0,0,Mecze[[#This Row],[PR]]/Mecze[[#This Row],[CZAS]])</f>
        <v>1.0416666666666666E-2</v>
      </c>
      <c r="N1988" s="32">
        <f>IF(Mecze[[#This Row],[OU]]=0,0,Mecze[[#This Row],[OU]]/Mecze[[#This Row],[CZAS]])</f>
        <v>0</v>
      </c>
      <c r="O1988" s="32">
        <f>IF(Mecze[[#This Row],[PC]]=0,0,Mecze[[#This Row],[PC]]/Mecze[[#This Row],[CZAS]])</f>
        <v>1.0416666666666666E-2</v>
      </c>
      <c r="P1988" s="32">
        <f>IF(Mecze[[#This Row],[SC]]=0,0,Mecze[[#This Row],[SC]]/Mecze[[#This Row],[CZAS]])</f>
        <v>0</v>
      </c>
      <c r="Q1988" s="32">
        <f>IF(Mecze[[#This Row],[OB]]=0,0,Mecze[[#This Row],[OB]]/Mecze[[#This Row],[CZAS]])</f>
        <v>0</v>
      </c>
      <c r="R1988" s="32">
        <f>IF(Mecze[[#This Row],[BR]]=0,0,Mecze[[#This Row],[BR]]/Mecze[[#This Row],[CZAS]])</f>
        <v>0</v>
      </c>
      <c r="S1988" s="44">
        <f>IF(Mecze[[#This Row],[Role]]="BR",SUMPRODUCT(Mecze[[#This Row],[/PR:90]:[/BR:90]],Brudnopis!$E$23:$J$23),0)</f>
        <v>0</v>
      </c>
      <c r="T1988" s="44">
        <f>IF(Mecze[[#This Row],[Role]]&lt;&gt;"BR",SUMPRODUCT(Mecze[[#This Row],[/PR:90]:[/BR:90]],Brudnopis!$E$24:$J$24),0)</f>
        <v>2.0833333333333332E-2</v>
      </c>
      <c r="U1988" s="44">
        <f>IF(Mecze[[#This Row],[Role]]&lt;&gt;"BR",SUMPRODUCT(Mecze[[#This Row],[/PR:90]:[/BR:90]],Brudnopis!$E$25:$J$25),0)</f>
        <v>2.6041666666666664E-2</v>
      </c>
      <c r="V1988" s="44">
        <f>IF(Mecze[[#This Row],[Role]]&lt;&gt;"BR",SUMPRODUCT(Mecze[[#This Row],[/PR:90]:[/BR:90]],Brudnopis!$E$26:$J$26),0)</f>
        <v>2.0833333333333332E-2</v>
      </c>
      <c r="W1988" s="44">
        <f>IF(Mecze[[#This Row],[Role]]&lt;&gt;"BR",SUMPRODUCT(Mecze[[#This Row],[/PR:90]:[/BR:90]],Brudnopis!$E$27:$J$27),0)</f>
        <v>2.34375E-2</v>
      </c>
      <c r="X1988" s="44">
        <f>IF(Mecze[[#This Row],[Role]]&lt;&gt;"BR",SUMPRODUCT(Mecze[[#This Row],[/PR:90]:[/BR:90]],Brudnopis!$E$28:$J$28),0)</f>
        <v>1.0416666666666666E-2</v>
      </c>
      <c r="Y1988" s="35">
        <f>IF(Mecze[[#This Row],[Role]]="BR",Mecze[[#This Row],[/OB:90]]+Mecze[[#This Row],[/PC:90]],SUM(Mecze[[#This Row],[/PR:90]:[/BR:90]]))</f>
        <v>2.0833333333333332E-2</v>
      </c>
      <c r="Z1988" s="35">
        <f>IF(Mecze[[#This Row],[KC]]=0,SUM(Mecze[[#This Row],[/BRI]:[/NPI]]),SUM(Mecze[[#This Row],[/BRI]:[/NPI]])*0.6)</f>
        <v>0.1015625</v>
      </c>
      <c r="AA1988" s="10">
        <f>IFERROR(Mecze[[#This Row],[BR]]/Mecze[[#This Row],[ST]],0)</f>
        <v>0</v>
      </c>
      <c r="AB1988">
        <f>ROUND(Mecze[[#This Row],[PD]]*Mecze[[#This Row],[%PC]],0)</f>
        <v>1</v>
      </c>
      <c r="AC1988">
        <f>ROUND(Mecze[[#This Row],[OD]]*Mecze[[#This Row],[%OU]],0)</f>
        <v>0</v>
      </c>
      <c r="AD1988" s="36" t="s">
        <v>172</v>
      </c>
      <c r="AE1988" s="36">
        <v>110</v>
      </c>
      <c r="AF1988" s="71">
        <v>2.91</v>
      </c>
      <c r="AG1988" s="37">
        <v>0</v>
      </c>
      <c r="AH1988" s="37">
        <v>0</v>
      </c>
      <c r="AI1988" s="37">
        <v>96</v>
      </c>
      <c r="AJ1988" s="37">
        <v>9</v>
      </c>
      <c r="AK1988" s="37" t="str">
        <f>VLOOKUP(Mecze[[#This Row],[Match ID]],Meczusie[Mecz]:Meczusie[RodzajMeczu],2,FALSE)</f>
        <v>Liga</v>
      </c>
    </row>
    <row r="1989" spans="1:37" x14ac:dyDescent="0.25">
      <c r="A1989" s="76">
        <v>8</v>
      </c>
      <c r="B1989" s="3" t="s">
        <v>294</v>
      </c>
      <c r="C1989" s="2" t="s">
        <v>160</v>
      </c>
      <c r="D1989" s="1">
        <v>0</v>
      </c>
      <c r="E1989" s="1">
        <v>0</v>
      </c>
      <c r="F1989" s="1">
        <v>0</v>
      </c>
      <c r="G1989" s="1">
        <v>9</v>
      </c>
      <c r="H1989" s="4">
        <v>0.89</v>
      </c>
      <c r="I1989" s="1">
        <v>2</v>
      </c>
      <c r="J1989" s="4">
        <v>0.5</v>
      </c>
      <c r="K1989" s="1">
        <v>0</v>
      </c>
      <c r="L1989" s="1">
        <v>1</v>
      </c>
      <c r="M1989" s="32">
        <f>IF(Mecze[[#This Row],[PR]]=0,0,Mecze[[#This Row],[PR]]/Mecze[[#This Row],[CZAS]])</f>
        <v>1.0416666666666666E-2</v>
      </c>
      <c r="N1989" s="32">
        <f>IF(Mecze[[#This Row],[OU]]=0,0,Mecze[[#This Row],[OU]]/Mecze[[#This Row],[CZAS]])</f>
        <v>1.0416666666666666E-2</v>
      </c>
      <c r="O1989" s="32">
        <f>IF(Mecze[[#This Row],[PC]]=0,0,Mecze[[#This Row],[PC]]/Mecze[[#This Row],[CZAS]])</f>
        <v>8.3333333333333329E-2</v>
      </c>
      <c r="P1989" s="32">
        <f>IF(Mecze[[#This Row],[SC]]=0,0,Mecze[[#This Row],[SC]]/Mecze[[#This Row],[CZAS]])</f>
        <v>0</v>
      </c>
      <c r="Q1989" s="32">
        <f>IF(Mecze[[#This Row],[OB]]=0,0,Mecze[[#This Row],[OB]]/Mecze[[#This Row],[CZAS]])</f>
        <v>0</v>
      </c>
      <c r="R1989" s="32">
        <f>IF(Mecze[[#This Row],[BR]]=0,0,Mecze[[#This Row],[BR]]/Mecze[[#This Row],[CZAS]])</f>
        <v>0</v>
      </c>
      <c r="S1989" s="44">
        <f>IF(Mecze[[#This Row],[Role]]="BR",SUMPRODUCT(Mecze[[#This Row],[/PR:90]:[/BR:90]],Brudnopis!$E$23:$J$23),0)</f>
        <v>0</v>
      </c>
      <c r="T1989" s="44">
        <f>IF(Mecze[[#This Row],[Role]]&lt;&gt;"BR",SUMPRODUCT(Mecze[[#This Row],[/PR:90]:[/BR:90]],Brudnopis!$E$24:$J$24),0)</f>
        <v>0.109375</v>
      </c>
      <c r="U1989" s="44">
        <f>IF(Mecze[[#This Row],[Role]]&lt;&gt;"BR",SUMPRODUCT(Mecze[[#This Row],[/PR:90]:[/BR:90]],Brudnopis!$E$25:$J$25),0)</f>
        <v>0.14583333333333334</v>
      </c>
      <c r="V1989" s="44">
        <f>IF(Mecze[[#This Row],[Role]]&lt;&gt;"BR",SUMPRODUCT(Mecze[[#This Row],[/PR:90]:[/BR:90]],Brudnopis!$E$26:$J$26),0)</f>
        <v>0.10416666666666666</v>
      </c>
      <c r="W1989" s="44">
        <f>IF(Mecze[[#This Row],[Role]]&lt;&gt;"BR",SUMPRODUCT(Mecze[[#This Row],[/PR:90]:[/BR:90]],Brudnopis!$E$27:$J$27),0)</f>
        <v>0.140625</v>
      </c>
      <c r="X1989" s="44">
        <f>IF(Mecze[[#This Row],[Role]]&lt;&gt;"BR",SUMPRODUCT(Mecze[[#This Row],[/PR:90]:[/BR:90]],Brudnopis!$E$28:$J$28),0)</f>
        <v>8.3333333333333329E-2</v>
      </c>
      <c r="Y1989" s="35">
        <f>IF(Mecze[[#This Row],[Role]]="BR",Mecze[[#This Row],[/OB:90]]+Mecze[[#This Row],[/PC:90]],SUM(Mecze[[#This Row],[/PR:90]:[/BR:90]]))</f>
        <v>0.10416666666666666</v>
      </c>
      <c r="Z1989" s="35">
        <f>IF(Mecze[[#This Row],[KC]]=0,SUM(Mecze[[#This Row],[/BRI]:[/NPI]]),SUM(Mecze[[#This Row],[/BRI]:[/NPI]])*0.6)</f>
        <v>0.58333333333333337</v>
      </c>
      <c r="AA1989" s="10">
        <f>IFERROR(Mecze[[#This Row],[BR]]/Mecze[[#This Row],[ST]],0)</f>
        <v>0</v>
      </c>
      <c r="AB1989">
        <f>ROUND(Mecze[[#This Row],[PD]]*Mecze[[#This Row],[%PC]],0)</f>
        <v>8</v>
      </c>
      <c r="AC1989">
        <f>ROUND(Mecze[[#This Row],[OD]]*Mecze[[#This Row],[%OU]],0)</f>
        <v>1</v>
      </c>
      <c r="AD1989" s="36" t="s">
        <v>67</v>
      </c>
      <c r="AE1989" s="36">
        <v>110</v>
      </c>
      <c r="AF1989" s="71">
        <v>5.03</v>
      </c>
      <c r="AG1989" s="37">
        <v>0</v>
      </c>
      <c r="AH1989" s="37">
        <v>0</v>
      </c>
      <c r="AI1989" s="37">
        <v>96</v>
      </c>
      <c r="AJ1989" s="37">
        <v>9</v>
      </c>
      <c r="AK1989" s="37" t="str">
        <f>VLOOKUP(Mecze[[#This Row],[Match ID]],Meczusie[Mecz]:Meczusie[RodzajMeczu],2,FALSE)</f>
        <v>Liga</v>
      </c>
    </row>
    <row r="1990" spans="1:37" x14ac:dyDescent="0.25">
      <c r="A1990" s="76">
        <v>11</v>
      </c>
      <c r="B1990" s="3" t="s">
        <v>410</v>
      </c>
      <c r="C1990" s="2" t="s">
        <v>160</v>
      </c>
      <c r="D1990" s="1">
        <v>0</v>
      </c>
      <c r="E1990" s="1">
        <v>0</v>
      </c>
      <c r="F1990" s="1">
        <v>0</v>
      </c>
      <c r="G1990" s="1">
        <v>8</v>
      </c>
      <c r="H1990" s="4">
        <v>0.5</v>
      </c>
      <c r="I1990" s="1">
        <v>1</v>
      </c>
      <c r="J1990" s="4">
        <v>1</v>
      </c>
      <c r="K1990" s="1">
        <v>0</v>
      </c>
      <c r="L1990" s="1">
        <v>0</v>
      </c>
      <c r="M1990" s="32">
        <f>IF(Mecze[[#This Row],[PR]]=0,0,Mecze[[#This Row],[PR]]/Mecze[[#This Row],[CZAS]])</f>
        <v>0</v>
      </c>
      <c r="N1990" s="32">
        <f>IF(Mecze[[#This Row],[OU]]=0,0,Mecze[[#This Row],[OU]]/Mecze[[#This Row],[CZAS]])</f>
        <v>1.0416666666666666E-2</v>
      </c>
      <c r="O1990" s="32">
        <f>IF(Mecze[[#This Row],[PC]]=0,0,Mecze[[#This Row],[PC]]/Mecze[[#This Row],[CZAS]])</f>
        <v>4.1666666666666664E-2</v>
      </c>
      <c r="P1990" s="32">
        <f>IF(Mecze[[#This Row],[SC]]=0,0,Mecze[[#This Row],[SC]]/Mecze[[#This Row],[CZAS]])</f>
        <v>0</v>
      </c>
      <c r="Q1990" s="32">
        <f>IF(Mecze[[#This Row],[OB]]=0,0,Mecze[[#This Row],[OB]]/Mecze[[#This Row],[CZAS]])</f>
        <v>0</v>
      </c>
      <c r="R1990" s="32">
        <f>IF(Mecze[[#This Row],[BR]]=0,0,Mecze[[#This Row],[BR]]/Mecze[[#This Row],[CZAS]])</f>
        <v>0</v>
      </c>
      <c r="S1990" s="44">
        <f>IF(Mecze[[#This Row],[Role]]="BR",SUMPRODUCT(Mecze[[#This Row],[/PR:90]:[/BR:90]],Brudnopis!$E$23:$J$23),0)</f>
        <v>0</v>
      </c>
      <c r="T1990" s="44">
        <f>IF(Mecze[[#This Row],[Role]]&lt;&gt;"BR",SUMPRODUCT(Mecze[[#This Row],[/PR:90]:[/BR:90]],Brudnopis!$E$24:$J$24),0)</f>
        <v>5.7291666666666664E-2</v>
      </c>
      <c r="U1990" s="44">
        <f>IF(Mecze[[#This Row],[Role]]&lt;&gt;"BR",SUMPRODUCT(Mecze[[#This Row],[/PR:90]:[/BR:90]],Brudnopis!$E$25:$J$25),0)</f>
        <v>7.2916666666666671E-2</v>
      </c>
      <c r="V1990" s="44">
        <f>IF(Mecze[[#This Row],[Role]]&lt;&gt;"BR",SUMPRODUCT(Mecze[[#This Row],[/PR:90]:[/BR:90]],Brudnopis!$E$26:$J$26),0)</f>
        <v>5.2083333333333329E-2</v>
      </c>
      <c r="W1990" s="44">
        <f>IF(Mecze[[#This Row],[Role]]&lt;&gt;"BR",SUMPRODUCT(Mecze[[#This Row],[/PR:90]:[/BR:90]],Brudnopis!$E$27:$J$27),0)</f>
        <v>7.03125E-2</v>
      </c>
      <c r="X1990" s="44">
        <f>IF(Mecze[[#This Row],[Role]]&lt;&gt;"BR",SUMPRODUCT(Mecze[[#This Row],[/PR:90]:[/BR:90]],Brudnopis!$E$28:$J$28),0)</f>
        <v>4.1666666666666664E-2</v>
      </c>
      <c r="Y1990" s="35">
        <f>IF(Mecze[[#This Row],[Role]]="BR",Mecze[[#This Row],[/OB:90]]+Mecze[[#This Row],[/PC:90]],SUM(Mecze[[#This Row],[/PR:90]:[/BR:90]]))</f>
        <v>5.2083333333333329E-2</v>
      </c>
      <c r="Z1990" s="35">
        <f>IF(Mecze[[#This Row],[KC]]=0,SUM(Mecze[[#This Row],[/BRI]:[/NPI]]),SUM(Mecze[[#This Row],[/BRI]:[/NPI]])*0.6)</f>
        <v>0.29427083333333337</v>
      </c>
      <c r="AA1990" s="10">
        <f>IFERROR(Mecze[[#This Row],[BR]]/Mecze[[#This Row],[ST]],0)</f>
        <v>0</v>
      </c>
      <c r="AB1990">
        <f>ROUND(Mecze[[#This Row],[PD]]*Mecze[[#This Row],[%PC]],0)</f>
        <v>4</v>
      </c>
      <c r="AC1990">
        <f>ROUND(Mecze[[#This Row],[OD]]*Mecze[[#This Row],[%OU]],0)</f>
        <v>1</v>
      </c>
      <c r="AD1990" s="36" t="s">
        <v>299</v>
      </c>
      <c r="AE1990" s="36">
        <v>110</v>
      </c>
      <c r="AF1990" s="71">
        <v>3.91</v>
      </c>
      <c r="AG1990" s="37">
        <v>0</v>
      </c>
      <c r="AH1990" s="37">
        <v>0</v>
      </c>
      <c r="AI1990" s="37">
        <v>96</v>
      </c>
      <c r="AJ1990" s="37">
        <v>9</v>
      </c>
      <c r="AK1990" s="37" t="str">
        <f>VLOOKUP(Mecze[[#This Row],[Match ID]],Meczusie[Mecz]:Meczusie[RodzajMeczu],2,FALSE)</f>
        <v>Liga</v>
      </c>
    </row>
    <row r="1991" spans="1:37" x14ac:dyDescent="0.25">
      <c r="A1991" s="76">
        <v>13</v>
      </c>
      <c r="B1991" s="3" t="s">
        <v>295</v>
      </c>
      <c r="C1991" s="2" t="s">
        <v>160</v>
      </c>
      <c r="D1991" s="1">
        <v>0</v>
      </c>
      <c r="E1991" s="1">
        <v>0</v>
      </c>
      <c r="F1991" s="1">
        <v>0</v>
      </c>
      <c r="G1991" s="1">
        <v>16</v>
      </c>
      <c r="H1991" s="4">
        <v>0.44</v>
      </c>
      <c r="I1991" s="1">
        <v>0</v>
      </c>
      <c r="J1991" s="4"/>
      <c r="K1991" s="1">
        <v>0</v>
      </c>
      <c r="L1991" s="1">
        <v>0</v>
      </c>
      <c r="M1991" s="32">
        <f>IF(Mecze[[#This Row],[PR]]=0,0,Mecze[[#This Row],[PR]]/Mecze[[#This Row],[CZAS]])</f>
        <v>0</v>
      </c>
      <c r="N1991" s="32">
        <f>IF(Mecze[[#This Row],[OU]]=0,0,Mecze[[#This Row],[OU]]/Mecze[[#This Row],[CZAS]])</f>
        <v>0</v>
      </c>
      <c r="O1991" s="32">
        <f>IF(Mecze[[#This Row],[PC]]=0,0,Mecze[[#This Row],[PC]]/Mecze[[#This Row],[CZAS]])</f>
        <v>7.2916666666666671E-2</v>
      </c>
      <c r="P1991" s="32">
        <f>IF(Mecze[[#This Row],[SC]]=0,0,Mecze[[#This Row],[SC]]/Mecze[[#This Row],[CZAS]])</f>
        <v>0</v>
      </c>
      <c r="Q1991" s="32">
        <f>IF(Mecze[[#This Row],[OB]]=0,0,Mecze[[#This Row],[OB]]/Mecze[[#This Row],[CZAS]])</f>
        <v>0</v>
      </c>
      <c r="R1991" s="32">
        <f>IF(Mecze[[#This Row],[BR]]=0,0,Mecze[[#This Row],[BR]]/Mecze[[#This Row],[CZAS]])</f>
        <v>0</v>
      </c>
      <c r="S1991" s="44">
        <f>IF(Mecze[[#This Row],[Role]]="BR",SUMPRODUCT(Mecze[[#This Row],[/PR:90]:[/BR:90]],Brudnopis!$E$23:$J$23),0)</f>
        <v>0</v>
      </c>
      <c r="T1991" s="44">
        <f>IF(Mecze[[#This Row],[Role]]&lt;&gt;"BR",SUMPRODUCT(Mecze[[#This Row],[/PR:90]:[/BR:90]],Brudnopis!$E$24:$J$24),0)</f>
        <v>7.2916666666666671E-2</v>
      </c>
      <c r="U1991" s="44">
        <f>IF(Mecze[[#This Row],[Role]]&lt;&gt;"BR",SUMPRODUCT(Mecze[[#This Row],[/PR:90]:[/BR:90]],Brudnopis!$E$25:$J$25),0)</f>
        <v>0.109375</v>
      </c>
      <c r="V1991" s="44">
        <f>IF(Mecze[[#This Row],[Role]]&lt;&gt;"BR",SUMPRODUCT(Mecze[[#This Row],[/PR:90]:[/BR:90]],Brudnopis!$E$26:$J$26),0)</f>
        <v>7.2916666666666671E-2</v>
      </c>
      <c r="W1991" s="44">
        <f>IF(Mecze[[#This Row],[Role]]&lt;&gt;"BR",SUMPRODUCT(Mecze[[#This Row],[/PR:90]:[/BR:90]],Brudnopis!$E$27:$J$27),0)</f>
        <v>0.109375</v>
      </c>
      <c r="X1991" s="44">
        <f>IF(Mecze[[#This Row],[Role]]&lt;&gt;"BR",SUMPRODUCT(Mecze[[#This Row],[/PR:90]:[/BR:90]],Brudnopis!$E$28:$J$28),0)</f>
        <v>7.2916666666666671E-2</v>
      </c>
      <c r="Y1991" s="35">
        <f>IF(Mecze[[#This Row],[Role]]="BR",Mecze[[#This Row],[/OB:90]]+Mecze[[#This Row],[/PC:90]],SUM(Mecze[[#This Row],[/PR:90]:[/BR:90]]))</f>
        <v>7.2916666666666671E-2</v>
      </c>
      <c r="Z1991" s="35">
        <f>IF(Mecze[[#This Row],[KC]]=0,SUM(Mecze[[#This Row],[/BRI]:[/NPI]]),SUM(Mecze[[#This Row],[/BRI]:[/NPI]])*0.6)</f>
        <v>0.43750000000000006</v>
      </c>
      <c r="AA1991" s="10">
        <f>IFERROR(Mecze[[#This Row],[BR]]/Mecze[[#This Row],[ST]],0)</f>
        <v>0</v>
      </c>
      <c r="AB1991">
        <f>ROUND(Mecze[[#This Row],[PD]]*Mecze[[#This Row],[%PC]],0)</f>
        <v>7</v>
      </c>
      <c r="AC1991">
        <f>ROUND(Mecze[[#This Row],[OD]]*Mecze[[#This Row],[%OU]],0)</f>
        <v>0</v>
      </c>
      <c r="AD1991" s="36" t="s">
        <v>171</v>
      </c>
      <c r="AE1991" s="36">
        <v>110</v>
      </c>
      <c r="AF1991" s="71">
        <v>2.7</v>
      </c>
      <c r="AG1991" s="37">
        <v>0</v>
      </c>
      <c r="AH1991" s="37">
        <v>0</v>
      </c>
      <c r="AI1991" s="37">
        <v>96</v>
      </c>
      <c r="AJ1991" s="37">
        <v>9</v>
      </c>
      <c r="AK1991" s="37" t="str">
        <f>VLOOKUP(Mecze[[#This Row],[Match ID]],Meczusie[Mecz]:Meczusie[RodzajMeczu],2,FALSE)</f>
        <v>Liga</v>
      </c>
    </row>
    <row r="1992" spans="1:37" x14ac:dyDescent="0.25">
      <c r="A1992" s="76">
        <v>9</v>
      </c>
      <c r="B1992" s="3" t="s">
        <v>296</v>
      </c>
      <c r="C1992" s="2" t="s">
        <v>165</v>
      </c>
      <c r="D1992" s="1">
        <v>1</v>
      </c>
      <c r="E1992" s="1">
        <v>7</v>
      </c>
      <c r="F1992" s="1">
        <v>5</v>
      </c>
      <c r="G1992" s="1">
        <v>5</v>
      </c>
      <c r="H1992" s="4">
        <v>0.6</v>
      </c>
      <c r="I1992" s="1">
        <v>5</v>
      </c>
      <c r="J1992" s="4">
        <v>0.4</v>
      </c>
      <c r="K1992" s="1">
        <v>0</v>
      </c>
      <c r="L1992" s="1">
        <v>0</v>
      </c>
      <c r="M1992" s="32">
        <f>IF(Mecze[[#This Row],[PR]]=0,0,Mecze[[#This Row],[PR]]/Mecze[[#This Row],[CZAS]])</f>
        <v>0</v>
      </c>
      <c r="N1992" s="32">
        <f>IF(Mecze[[#This Row],[OU]]=0,0,Mecze[[#This Row],[OU]]/Mecze[[#This Row],[CZAS]])</f>
        <v>2.0833333333333332E-2</v>
      </c>
      <c r="O1992" s="32">
        <f>IF(Mecze[[#This Row],[PC]]=0,0,Mecze[[#This Row],[PC]]/Mecze[[#This Row],[CZAS]])</f>
        <v>3.125E-2</v>
      </c>
      <c r="P1992" s="32">
        <f>IF(Mecze[[#This Row],[SC]]=0,0,Mecze[[#This Row],[SC]]/Mecze[[#This Row],[CZAS]])</f>
        <v>5.2083333333333336E-2</v>
      </c>
      <c r="Q1992" s="32">
        <f>IF(Mecze[[#This Row],[OB]]=0,0,Mecze[[#This Row],[OB]]/Mecze[[#This Row],[CZAS]])</f>
        <v>0</v>
      </c>
      <c r="R1992" s="32">
        <f>IF(Mecze[[#This Row],[BR]]=0,0,Mecze[[#This Row],[BR]]/Mecze[[#This Row],[CZAS]])</f>
        <v>1.0416666666666666E-2</v>
      </c>
      <c r="S1992" s="44">
        <f>IF(Mecze[[#This Row],[Role]]="BR",SUMPRODUCT(Mecze[[#This Row],[/PR:90]:[/BR:90]],Brudnopis!$E$23:$J$23),0)</f>
        <v>0</v>
      </c>
      <c r="T1992" s="44">
        <f>IF(Mecze[[#This Row],[Role]]&lt;&gt;"BR",SUMPRODUCT(Mecze[[#This Row],[/PR:90]:[/BR:90]],Brudnopis!$E$24:$J$24),0)</f>
        <v>0.13020833333333334</v>
      </c>
      <c r="U1992" s="44">
        <f>IF(Mecze[[#This Row],[Role]]&lt;&gt;"BR",SUMPRODUCT(Mecze[[#This Row],[/PR:90]:[/BR:90]],Brudnopis!$E$25:$J$25),0)</f>
        <v>0.13541666666666666</v>
      </c>
      <c r="V1992" s="44">
        <f>IF(Mecze[[#This Row],[Role]]&lt;&gt;"BR",SUMPRODUCT(Mecze[[#This Row],[/PR:90]:[/BR:90]],Brudnopis!$E$26:$J$26),0)</f>
        <v>0.12499999999999999</v>
      </c>
      <c r="W1992" s="44">
        <f>IF(Mecze[[#This Row],[Role]]&lt;&gt;"BR",SUMPRODUCT(Mecze[[#This Row],[/PR:90]:[/BR:90]],Brudnopis!$E$27:$J$27),0)</f>
        <v>0.13541666666666669</v>
      </c>
      <c r="X1992" s="44">
        <f>IF(Mecze[[#This Row],[Role]]&lt;&gt;"BR",SUMPRODUCT(Mecze[[#This Row],[/PR:90]:[/BR:90]],Brudnopis!$E$28:$J$28),0)</f>
        <v>0.16666666666666669</v>
      </c>
      <c r="Y1992" s="35">
        <f>IF(Mecze[[#This Row],[Role]]="BR",Mecze[[#This Row],[/OB:90]]+Mecze[[#This Row],[/PC:90]],SUM(Mecze[[#This Row],[/PR:90]:[/BR:90]]))</f>
        <v>0.11458333333333333</v>
      </c>
      <c r="Z1992" s="35">
        <f>IF(Mecze[[#This Row],[KC]]=0,SUM(Mecze[[#This Row],[/BRI]:[/NPI]]),SUM(Mecze[[#This Row],[/BRI]:[/NPI]])*0.6)</f>
        <v>0.69270833333333348</v>
      </c>
      <c r="AA1992" s="10">
        <f>IFERROR(Mecze[[#This Row],[BR]]/Mecze[[#This Row],[ST]],0)</f>
        <v>0.14285714285714285</v>
      </c>
      <c r="AB1992">
        <f>ROUND(Mecze[[#This Row],[PD]]*Mecze[[#This Row],[%PC]],0)</f>
        <v>3</v>
      </c>
      <c r="AC1992">
        <f>ROUND(Mecze[[#This Row],[OD]]*Mecze[[#This Row],[%OU]],0)</f>
        <v>2</v>
      </c>
      <c r="AD1992" s="36" t="s">
        <v>272</v>
      </c>
      <c r="AE1992" s="36">
        <v>110</v>
      </c>
      <c r="AF1992" s="71">
        <v>7.44</v>
      </c>
      <c r="AG1992" s="37">
        <v>0</v>
      </c>
      <c r="AH1992" s="37">
        <v>0</v>
      </c>
      <c r="AI1992" s="37">
        <v>96</v>
      </c>
      <c r="AJ1992" s="37">
        <v>9</v>
      </c>
      <c r="AK1992" s="37" t="str">
        <f>VLOOKUP(Mecze[[#This Row],[Match ID]],Meczusie[Mecz]:Meczusie[RodzajMeczu],2,FALSE)</f>
        <v>Liga</v>
      </c>
    </row>
    <row r="1993" spans="1:37" x14ac:dyDescent="0.25">
      <c r="A1993" s="76">
        <v>6</v>
      </c>
      <c r="B1993" s="3" t="s">
        <v>297</v>
      </c>
      <c r="C1993" s="2" t="s">
        <v>165</v>
      </c>
      <c r="D1993" s="1">
        <v>0</v>
      </c>
      <c r="E1993" s="1">
        <v>1</v>
      </c>
      <c r="F1993" s="1">
        <v>1</v>
      </c>
      <c r="G1993" s="1">
        <v>15</v>
      </c>
      <c r="H1993" s="4">
        <v>0.67</v>
      </c>
      <c r="I1993" s="1">
        <v>0</v>
      </c>
      <c r="J1993" s="4"/>
      <c r="K1993" s="1">
        <v>0</v>
      </c>
      <c r="L1993" s="1">
        <v>1</v>
      </c>
      <c r="M1993" s="32">
        <f>IF(Mecze[[#This Row],[PR]]=0,0,Mecze[[#This Row],[PR]]/Mecze[[#This Row],[CZAS]])</f>
        <v>1.0416666666666666E-2</v>
      </c>
      <c r="N1993" s="32">
        <f>IF(Mecze[[#This Row],[OU]]=0,0,Mecze[[#This Row],[OU]]/Mecze[[#This Row],[CZAS]])</f>
        <v>0</v>
      </c>
      <c r="O1993" s="32">
        <f>IF(Mecze[[#This Row],[PC]]=0,0,Mecze[[#This Row],[PC]]/Mecze[[#This Row],[CZAS]])</f>
        <v>0.10416666666666667</v>
      </c>
      <c r="P1993" s="32">
        <f>IF(Mecze[[#This Row],[SC]]=0,0,Mecze[[#This Row],[SC]]/Mecze[[#This Row],[CZAS]])</f>
        <v>1.0416666666666666E-2</v>
      </c>
      <c r="Q1993" s="32">
        <f>IF(Mecze[[#This Row],[OB]]=0,0,Mecze[[#This Row],[OB]]/Mecze[[#This Row],[CZAS]])</f>
        <v>0</v>
      </c>
      <c r="R1993" s="32">
        <f>IF(Mecze[[#This Row],[BR]]=0,0,Mecze[[#This Row],[BR]]/Mecze[[#This Row],[CZAS]])</f>
        <v>0</v>
      </c>
      <c r="S1993" s="44">
        <f>IF(Mecze[[#This Row],[Role]]="BR",SUMPRODUCT(Mecze[[#This Row],[/PR:90]:[/BR:90]],Brudnopis!$E$23:$J$23),0)</f>
        <v>0</v>
      </c>
      <c r="T1993" s="44">
        <f>IF(Mecze[[#This Row],[Role]]&lt;&gt;"BR",SUMPRODUCT(Mecze[[#This Row],[/PR:90]:[/BR:90]],Brudnopis!$E$24:$J$24),0)</f>
        <v>0.125</v>
      </c>
      <c r="U1993" s="44">
        <f>IF(Mecze[[#This Row],[Role]]&lt;&gt;"BR",SUMPRODUCT(Mecze[[#This Row],[/PR:90]:[/BR:90]],Brudnopis!$E$25:$J$25),0)</f>
        <v>0.17708333333333331</v>
      </c>
      <c r="V1993" s="44">
        <f>IF(Mecze[[#This Row],[Role]]&lt;&gt;"BR",SUMPRODUCT(Mecze[[#This Row],[/PR:90]:[/BR:90]],Brudnopis!$E$26:$J$26),0)</f>
        <v>0.125</v>
      </c>
      <c r="W1993" s="44">
        <f>IF(Mecze[[#This Row],[Role]]&lt;&gt;"BR",SUMPRODUCT(Mecze[[#This Row],[/PR:90]:[/BR:90]],Brudnopis!$E$27:$J$27),0)</f>
        <v>0.17447916666666666</v>
      </c>
      <c r="X1993" s="44">
        <f>IF(Mecze[[#This Row],[Role]]&lt;&gt;"BR",SUMPRODUCT(Mecze[[#This Row],[/PR:90]:[/BR:90]],Brudnopis!$E$28:$J$28),0)</f>
        <v>0.125</v>
      </c>
      <c r="Y1993" s="35">
        <f>IF(Mecze[[#This Row],[Role]]="BR",Mecze[[#This Row],[/OB:90]]+Mecze[[#This Row],[/PC:90]],SUM(Mecze[[#This Row],[/PR:90]:[/BR:90]]))</f>
        <v>0.125</v>
      </c>
      <c r="Z1993" s="35">
        <f>IF(Mecze[[#This Row],[KC]]=0,SUM(Mecze[[#This Row],[/BRI]:[/NPI]]),SUM(Mecze[[#This Row],[/BRI]:[/NPI]])*0.6)</f>
        <v>0.7265625</v>
      </c>
      <c r="AA1993" s="10">
        <f>IFERROR(Mecze[[#This Row],[BR]]/Mecze[[#This Row],[ST]],0)</f>
        <v>0</v>
      </c>
      <c r="AB1993">
        <f>ROUND(Mecze[[#This Row],[PD]]*Mecze[[#This Row],[%PC]],0)</f>
        <v>10</v>
      </c>
      <c r="AC1993">
        <f>ROUND(Mecze[[#This Row],[OD]]*Mecze[[#This Row],[%OU]],0)</f>
        <v>0</v>
      </c>
      <c r="AD1993" s="36" t="s">
        <v>46</v>
      </c>
      <c r="AE1993" s="36">
        <v>110</v>
      </c>
      <c r="AF1993" s="71">
        <v>4.26</v>
      </c>
      <c r="AG1993" s="37">
        <v>0</v>
      </c>
      <c r="AH1993" s="37">
        <v>0</v>
      </c>
      <c r="AI1993" s="37">
        <v>96</v>
      </c>
      <c r="AJ1993" s="37">
        <v>9</v>
      </c>
      <c r="AK1993" s="37" t="str">
        <f>VLOOKUP(Mecze[[#This Row],[Match ID]],Meczusie[Mecz]:Meczusie[RodzajMeczu],2,FALSE)</f>
        <v>Liga</v>
      </c>
    </row>
    <row r="1994" spans="1:37" x14ac:dyDescent="0.25">
      <c r="A1994" s="76">
        <v>102</v>
      </c>
      <c r="B1994" s="3" t="s">
        <v>417</v>
      </c>
      <c r="C1994" s="2" t="s">
        <v>155</v>
      </c>
      <c r="D1994" s="1">
        <v>0</v>
      </c>
      <c r="E1994" s="1">
        <v>0</v>
      </c>
      <c r="F1994" s="1">
        <v>0</v>
      </c>
      <c r="G1994" s="1">
        <v>10</v>
      </c>
      <c r="H1994" s="4">
        <v>0.5</v>
      </c>
      <c r="I1994" s="1">
        <v>0</v>
      </c>
      <c r="J1994" s="4"/>
      <c r="K1994" s="1">
        <v>10</v>
      </c>
      <c r="L1994" s="1">
        <v>0</v>
      </c>
      <c r="M1994" s="32">
        <f>IF(Mecze[[#This Row],[PR]]=0,0,Mecze[[#This Row],[PR]]/Mecze[[#This Row],[CZAS]])</f>
        <v>0</v>
      </c>
      <c r="N1994" s="32">
        <f>IF(Mecze[[#This Row],[OU]]=0,0,Mecze[[#This Row],[OU]]/Mecze[[#This Row],[CZAS]])</f>
        <v>0</v>
      </c>
      <c r="O1994" s="32">
        <f>IF(Mecze[[#This Row],[PC]]=0,0,Mecze[[#This Row],[PC]]/Mecze[[#This Row],[CZAS]])</f>
        <v>5.0505050505050504E-2</v>
      </c>
      <c r="P1994" s="32">
        <f>IF(Mecze[[#This Row],[SC]]=0,0,Mecze[[#This Row],[SC]]/Mecze[[#This Row],[CZAS]])</f>
        <v>0</v>
      </c>
      <c r="Q1994" s="32">
        <f>IF(Mecze[[#This Row],[OB]]=0,0,Mecze[[#This Row],[OB]]/Mecze[[#This Row],[CZAS]])</f>
        <v>0.10101010101010101</v>
      </c>
      <c r="R1994" s="32">
        <f>IF(Mecze[[#This Row],[BR]]=0,0,Mecze[[#This Row],[BR]]/Mecze[[#This Row],[CZAS]])</f>
        <v>0</v>
      </c>
      <c r="S1994" s="44">
        <f>IF(Mecze[[#This Row],[Role]]="BR",SUMPRODUCT(Mecze[[#This Row],[/PR:90]:[/BR:90]],Brudnopis!$E$23:$J$23),0)</f>
        <v>0.45454545454545459</v>
      </c>
      <c r="T1994" s="44">
        <f>IF(Mecze[[#This Row],[Role]]&lt;&gt;"BR",SUMPRODUCT(Mecze[[#This Row],[/PR:90]:[/BR:90]],Brudnopis!$E$24:$J$24),0)</f>
        <v>0</v>
      </c>
      <c r="U1994" s="44">
        <f>IF(Mecze[[#This Row],[Role]]&lt;&gt;"BR",SUMPRODUCT(Mecze[[#This Row],[/PR:90]:[/BR:90]],Brudnopis!$E$25:$J$25),0)</f>
        <v>0</v>
      </c>
      <c r="V1994" s="44">
        <f>IF(Mecze[[#This Row],[Role]]&lt;&gt;"BR",SUMPRODUCT(Mecze[[#This Row],[/PR:90]:[/BR:90]],Brudnopis!$E$26:$J$26),0)</f>
        <v>0</v>
      </c>
      <c r="W1994" s="44">
        <f>IF(Mecze[[#This Row],[Role]]&lt;&gt;"BR",SUMPRODUCT(Mecze[[#This Row],[/PR:90]:[/BR:90]],Brudnopis!$E$27:$J$27),0)</f>
        <v>0</v>
      </c>
      <c r="X1994" s="44">
        <f>IF(Mecze[[#This Row],[Role]]&lt;&gt;"BR",SUMPRODUCT(Mecze[[#This Row],[/PR:90]:[/BR:90]],Brudnopis!$E$28:$J$28),0)</f>
        <v>0</v>
      </c>
      <c r="Y1994" s="35">
        <f>IF(Mecze[[#This Row],[Role]]="BR",Mecze[[#This Row],[/OB:90]]+Mecze[[#This Row],[/PC:90]],SUM(Mecze[[#This Row],[/PR:90]:[/BR:90]]))</f>
        <v>0.15151515151515152</v>
      </c>
      <c r="Z1994" s="35">
        <f>IF(Mecze[[#This Row],[KC]]=0,SUM(Mecze[[#This Row],[/BRI]:[/NPI]]),SUM(Mecze[[#This Row],[/BRI]:[/NPI]])*0.6)</f>
        <v>0.45454545454545459</v>
      </c>
      <c r="AA1994" s="10">
        <f>IFERROR(Mecze[[#This Row],[BR]]/Mecze[[#This Row],[ST]],0)</f>
        <v>0</v>
      </c>
      <c r="AB1994">
        <f>ROUND(Mecze[[#This Row],[PD]]*Mecze[[#This Row],[%PC]],0)</f>
        <v>5</v>
      </c>
      <c r="AC1994">
        <f>ROUND(Mecze[[#This Row],[OD]]*Mecze[[#This Row],[%OU]],0)</f>
        <v>0</v>
      </c>
      <c r="AD1994" s="36" t="s">
        <v>40</v>
      </c>
      <c r="AE1994" s="36">
        <v>111</v>
      </c>
      <c r="AF1994" s="71">
        <v>11.76</v>
      </c>
      <c r="AG1994" s="37">
        <v>0</v>
      </c>
      <c r="AH1994" s="37">
        <v>0</v>
      </c>
      <c r="AI1994" s="37">
        <v>99</v>
      </c>
      <c r="AJ1994" s="37">
        <v>6</v>
      </c>
      <c r="AK1994" s="37" t="str">
        <f>VLOOKUP(Mecze[[#This Row],[Match ID]],Meczusie[Mecz]:Meczusie[RodzajMeczu],2,FALSE)</f>
        <v>Liga</v>
      </c>
    </row>
    <row r="1995" spans="1:37" x14ac:dyDescent="0.25">
      <c r="A1995" s="76">
        <v>105</v>
      </c>
      <c r="B1995" s="3" t="s">
        <v>423</v>
      </c>
      <c r="C1995" s="2" t="s">
        <v>157</v>
      </c>
      <c r="D1995" s="1">
        <v>0</v>
      </c>
      <c r="E1995" s="1">
        <v>0</v>
      </c>
      <c r="F1995" s="1">
        <v>0</v>
      </c>
      <c r="G1995" s="1">
        <v>5</v>
      </c>
      <c r="H1995" s="4">
        <v>0.6</v>
      </c>
      <c r="I1995" s="1">
        <v>8</v>
      </c>
      <c r="J1995" s="4">
        <v>0.25</v>
      </c>
      <c r="K1995" s="1">
        <v>0</v>
      </c>
      <c r="L1995" s="1">
        <v>7</v>
      </c>
      <c r="M1995" s="32">
        <f>IF(Mecze[[#This Row],[PR]]=0,0,Mecze[[#This Row],[PR]]/Mecze[[#This Row],[CZAS]])</f>
        <v>7.0707070707070704E-2</v>
      </c>
      <c r="N1995" s="32">
        <f>IF(Mecze[[#This Row],[OU]]=0,0,Mecze[[#This Row],[OU]]/Mecze[[#This Row],[CZAS]])</f>
        <v>2.0202020202020204E-2</v>
      </c>
      <c r="O1995" s="32">
        <f>IF(Mecze[[#This Row],[PC]]=0,0,Mecze[[#This Row],[PC]]/Mecze[[#This Row],[CZAS]])</f>
        <v>3.0303030303030304E-2</v>
      </c>
      <c r="P1995" s="32">
        <f>IF(Mecze[[#This Row],[SC]]=0,0,Mecze[[#This Row],[SC]]/Mecze[[#This Row],[CZAS]])</f>
        <v>0</v>
      </c>
      <c r="Q1995" s="32">
        <f>IF(Mecze[[#This Row],[OB]]=0,0,Mecze[[#This Row],[OB]]/Mecze[[#This Row],[CZAS]])</f>
        <v>0</v>
      </c>
      <c r="R1995" s="32">
        <f>IF(Mecze[[#This Row],[BR]]=0,0,Mecze[[#This Row],[BR]]/Mecze[[#This Row],[CZAS]])</f>
        <v>0</v>
      </c>
      <c r="S1995" s="44">
        <f>IF(Mecze[[#This Row],[Role]]="BR",SUMPRODUCT(Mecze[[#This Row],[/PR:90]:[/BR:90]],Brudnopis!$E$23:$J$23),0)</f>
        <v>0</v>
      </c>
      <c r="T1995" s="44">
        <f>IF(Mecze[[#This Row],[Role]]&lt;&gt;"BR",SUMPRODUCT(Mecze[[#This Row],[/PR:90]:[/BR:90]],Brudnopis!$E$24:$J$24),0)</f>
        <v>0.13131313131313133</v>
      </c>
      <c r="U1995" s="44">
        <f>IF(Mecze[[#This Row],[Role]]&lt;&gt;"BR",SUMPRODUCT(Mecze[[#This Row],[/PR:90]:[/BR:90]],Brudnopis!$E$25:$J$25),0)</f>
        <v>0.13636363636363635</v>
      </c>
      <c r="V1995" s="44">
        <f>IF(Mecze[[#This Row],[Role]]&lt;&gt;"BR",SUMPRODUCT(Mecze[[#This Row],[/PR:90]:[/BR:90]],Brudnopis!$E$26:$J$26),0)</f>
        <v>0.12121212121212122</v>
      </c>
      <c r="W1995" s="44">
        <f>IF(Mecze[[#This Row],[Role]]&lt;&gt;"BR",SUMPRODUCT(Mecze[[#This Row],[/PR:90]:[/BR:90]],Brudnopis!$E$27:$J$27),0)</f>
        <v>0.11363636363636363</v>
      </c>
      <c r="X1995" s="44">
        <f>IF(Mecze[[#This Row],[Role]]&lt;&gt;"BR",SUMPRODUCT(Mecze[[#This Row],[/PR:90]:[/BR:90]],Brudnopis!$E$28:$J$28),0)</f>
        <v>3.0303030303030304E-2</v>
      </c>
      <c r="Y1995" s="35">
        <f>IF(Mecze[[#This Row],[Role]]="BR",Mecze[[#This Row],[/OB:90]]+Mecze[[#This Row],[/PC:90]],SUM(Mecze[[#This Row],[/PR:90]:[/BR:90]]))</f>
        <v>0.12121212121212122</v>
      </c>
      <c r="Z1995" s="35">
        <f>IF(Mecze[[#This Row],[KC]]=0,SUM(Mecze[[#This Row],[/BRI]:[/NPI]]),SUM(Mecze[[#This Row],[/BRI]:[/NPI]])*0.6)</f>
        <v>0.53282828282828276</v>
      </c>
      <c r="AA1995" s="10">
        <f>IFERROR(Mecze[[#This Row],[BR]]/Mecze[[#This Row],[ST]],0)</f>
        <v>0</v>
      </c>
      <c r="AB1995">
        <f>ROUND(Mecze[[#This Row],[PD]]*Mecze[[#This Row],[%PC]],0)</f>
        <v>3</v>
      </c>
      <c r="AC1995">
        <f>ROUND(Mecze[[#This Row],[OD]]*Mecze[[#This Row],[%OU]],0)</f>
        <v>2</v>
      </c>
      <c r="AD1995" s="36" t="s">
        <v>47</v>
      </c>
      <c r="AE1995" s="36">
        <v>111</v>
      </c>
      <c r="AF1995" s="71">
        <v>8.51</v>
      </c>
      <c r="AG1995" s="37">
        <v>0</v>
      </c>
      <c r="AH1995" s="37">
        <v>0</v>
      </c>
      <c r="AI1995" s="37">
        <v>99</v>
      </c>
      <c r="AJ1995" s="37">
        <v>6</v>
      </c>
      <c r="AK1995" s="37" t="str">
        <f>VLOOKUP(Mecze[[#This Row],[Match ID]],Meczusie[Mecz]:Meczusie[RodzajMeczu],2,FALSE)</f>
        <v>Liga</v>
      </c>
    </row>
    <row r="1996" spans="1:37" x14ac:dyDescent="0.25">
      <c r="A1996" s="76">
        <v>7</v>
      </c>
      <c r="B1996" s="3" t="s">
        <v>251</v>
      </c>
      <c r="C1996" s="2" t="s">
        <v>157</v>
      </c>
      <c r="D1996" s="1">
        <v>0</v>
      </c>
      <c r="E1996" s="1">
        <v>0</v>
      </c>
      <c r="F1996" s="1">
        <v>0</v>
      </c>
      <c r="G1996" s="1">
        <v>15</v>
      </c>
      <c r="H1996" s="4">
        <v>0.67</v>
      </c>
      <c r="I1996" s="1">
        <v>12</v>
      </c>
      <c r="J1996" s="4">
        <v>0.5</v>
      </c>
      <c r="K1996" s="1">
        <v>0</v>
      </c>
      <c r="L1996" s="1">
        <v>12</v>
      </c>
      <c r="M1996" s="32">
        <f>IF(Mecze[[#This Row],[PR]]=0,0,Mecze[[#This Row],[PR]]/Mecze[[#This Row],[CZAS]])</f>
        <v>0.12121212121212122</v>
      </c>
      <c r="N1996" s="32">
        <f>IF(Mecze[[#This Row],[OU]]=0,0,Mecze[[#This Row],[OU]]/Mecze[[#This Row],[CZAS]])</f>
        <v>6.0606060606060608E-2</v>
      </c>
      <c r="O1996" s="32">
        <f>IF(Mecze[[#This Row],[PC]]=0,0,Mecze[[#This Row],[PC]]/Mecze[[#This Row],[CZAS]])</f>
        <v>0.10101010101010101</v>
      </c>
      <c r="P1996" s="32">
        <f>IF(Mecze[[#This Row],[SC]]=0,0,Mecze[[#This Row],[SC]]/Mecze[[#This Row],[CZAS]])</f>
        <v>0</v>
      </c>
      <c r="Q1996" s="32">
        <f>IF(Mecze[[#This Row],[OB]]=0,0,Mecze[[#This Row],[OB]]/Mecze[[#This Row],[CZAS]])</f>
        <v>0</v>
      </c>
      <c r="R1996" s="32">
        <f>IF(Mecze[[#This Row],[BR]]=0,0,Mecze[[#This Row],[BR]]/Mecze[[#This Row],[CZAS]])</f>
        <v>0</v>
      </c>
      <c r="S1996" s="44">
        <f>IF(Mecze[[#This Row],[Role]]="BR",SUMPRODUCT(Mecze[[#This Row],[/PR:90]:[/BR:90]],Brudnopis!$E$23:$J$23),0)</f>
        <v>0</v>
      </c>
      <c r="T1996" s="44">
        <f>IF(Mecze[[#This Row],[Role]]&lt;&gt;"BR",SUMPRODUCT(Mecze[[#This Row],[/PR:90]:[/BR:90]],Brudnopis!$E$24:$J$24),0)</f>
        <v>0.31313131313131315</v>
      </c>
      <c r="U1996" s="44">
        <f>IF(Mecze[[#This Row],[Role]]&lt;&gt;"BR",SUMPRODUCT(Mecze[[#This Row],[/PR:90]:[/BR:90]],Brudnopis!$E$25:$J$25),0)</f>
        <v>0.33333333333333337</v>
      </c>
      <c r="V1996" s="44">
        <f>IF(Mecze[[#This Row],[Role]]&lt;&gt;"BR",SUMPRODUCT(Mecze[[#This Row],[/PR:90]:[/BR:90]],Brudnopis!$E$26:$J$26),0)</f>
        <v>0.28282828282828282</v>
      </c>
      <c r="W1996" s="44">
        <f>IF(Mecze[[#This Row],[Role]]&lt;&gt;"BR",SUMPRODUCT(Mecze[[#This Row],[/PR:90]:[/BR:90]],Brudnopis!$E$27:$J$27),0)</f>
        <v>0.28787878787878785</v>
      </c>
      <c r="X1996" s="44">
        <f>IF(Mecze[[#This Row],[Role]]&lt;&gt;"BR",SUMPRODUCT(Mecze[[#This Row],[/PR:90]:[/BR:90]],Brudnopis!$E$28:$J$28),0)</f>
        <v>0.10101010101010101</v>
      </c>
      <c r="Y1996" s="35">
        <f>IF(Mecze[[#This Row],[Role]]="BR",Mecze[[#This Row],[/OB:90]]+Mecze[[#This Row],[/PC:90]],SUM(Mecze[[#This Row],[/PR:90]:[/BR:90]]))</f>
        <v>0.28282828282828282</v>
      </c>
      <c r="Z1996" s="35">
        <f>IF(Mecze[[#This Row],[KC]]=0,SUM(Mecze[[#This Row],[/BRI]:[/NPI]]),SUM(Mecze[[#This Row],[/BRI]:[/NPI]])*0.6)</f>
        <v>1.3181818181818181</v>
      </c>
      <c r="AA1996" s="10">
        <f>IFERROR(Mecze[[#This Row],[BR]]/Mecze[[#This Row],[ST]],0)</f>
        <v>0</v>
      </c>
      <c r="AB1996">
        <f>ROUND(Mecze[[#This Row],[PD]]*Mecze[[#This Row],[%PC]],0)</f>
        <v>10</v>
      </c>
      <c r="AC1996">
        <f>ROUND(Mecze[[#This Row],[OD]]*Mecze[[#This Row],[%OU]],0)</f>
        <v>6</v>
      </c>
      <c r="AD1996" s="36" t="s">
        <v>168</v>
      </c>
      <c r="AE1996" s="36">
        <v>111</v>
      </c>
      <c r="AF1996" s="71">
        <v>9.57</v>
      </c>
      <c r="AG1996" s="37">
        <v>1</v>
      </c>
      <c r="AH1996" s="37">
        <v>0</v>
      </c>
      <c r="AI1996" s="37">
        <v>99</v>
      </c>
      <c r="AJ1996" s="37">
        <v>6</v>
      </c>
      <c r="AK1996" s="37" t="str">
        <f>VLOOKUP(Mecze[[#This Row],[Match ID]],Meczusie[Mecz]:Meczusie[RodzajMeczu],2,FALSE)</f>
        <v>Liga</v>
      </c>
    </row>
    <row r="1997" spans="1:37" x14ac:dyDescent="0.25">
      <c r="A1997" s="76">
        <v>2</v>
      </c>
      <c r="B1997" s="3" t="s">
        <v>249</v>
      </c>
      <c r="C1997" s="2" t="s">
        <v>157</v>
      </c>
      <c r="D1997" s="1">
        <v>0</v>
      </c>
      <c r="E1997" s="1">
        <v>0</v>
      </c>
      <c r="F1997" s="1">
        <v>0</v>
      </c>
      <c r="G1997" s="1">
        <v>10</v>
      </c>
      <c r="H1997" s="4">
        <v>0.8</v>
      </c>
      <c r="I1997" s="1">
        <v>7</v>
      </c>
      <c r="J1997" s="4">
        <v>0.56999999999999995</v>
      </c>
      <c r="K1997" s="1">
        <v>0</v>
      </c>
      <c r="L1997" s="1">
        <v>6</v>
      </c>
      <c r="M1997" s="32">
        <f>IF(Mecze[[#This Row],[PR]]=0,0,Mecze[[#This Row],[PR]]/Mecze[[#This Row],[CZAS]])</f>
        <v>6.0606060606060608E-2</v>
      </c>
      <c r="N1997" s="32">
        <f>IF(Mecze[[#This Row],[OU]]=0,0,Mecze[[#This Row],[OU]]/Mecze[[#This Row],[CZAS]])</f>
        <v>4.0404040404040407E-2</v>
      </c>
      <c r="O1997" s="32">
        <f>IF(Mecze[[#This Row],[PC]]=0,0,Mecze[[#This Row],[PC]]/Mecze[[#This Row],[CZAS]])</f>
        <v>8.0808080808080815E-2</v>
      </c>
      <c r="P1997" s="32">
        <f>IF(Mecze[[#This Row],[SC]]=0,0,Mecze[[#This Row],[SC]]/Mecze[[#This Row],[CZAS]])</f>
        <v>0</v>
      </c>
      <c r="Q1997" s="32">
        <f>IF(Mecze[[#This Row],[OB]]=0,0,Mecze[[#This Row],[OB]]/Mecze[[#This Row],[CZAS]])</f>
        <v>0</v>
      </c>
      <c r="R1997" s="32">
        <f>IF(Mecze[[#This Row],[BR]]=0,0,Mecze[[#This Row],[BR]]/Mecze[[#This Row],[CZAS]])</f>
        <v>0</v>
      </c>
      <c r="S1997" s="44">
        <f>IF(Mecze[[#This Row],[Role]]="BR",SUMPRODUCT(Mecze[[#This Row],[/PR:90]:[/BR:90]],Brudnopis!$E$23:$J$23),0)</f>
        <v>0</v>
      </c>
      <c r="T1997" s="44">
        <f>IF(Mecze[[#This Row],[Role]]&lt;&gt;"BR",SUMPRODUCT(Mecze[[#This Row],[/PR:90]:[/BR:90]],Brudnopis!$E$24:$J$24),0)</f>
        <v>0.20202020202020204</v>
      </c>
      <c r="U1997" s="44">
        <f>IF(Mecze[[#This Row],[Role]]&lt;&gt;"BR",SUMPRODUCT(Mecze[[#This Row],[/PR:90]:[/BR:90]],Brudnopis!$E$25:$J$25),0)</f>
        <v>0.22222222222222224</v>
      </c>
      <c r="V1997" s="44">
        <f>IF(Mecze[[#This Row],[Role]]&lt;&gt;"BR",SUMPRODUCT(Mecze[[#This Row],[/PR:90]:[/BR:90]],Brudnopis!$E$26:$J$26),0)</f>
        <v>0.18181818181818182</v>
      </c>
      <c r="W1997" s="44">
        <f>IF(Mecze[[#This Row],[Role]]&lt;&gt;"BR",SUMPRODUCT(Mecze[[#This Row],[/PR:90]:[/BR:90]],Brudnopis!$E$27:$J$27),0)</f>
        <v>0.19696969696969696</v>
      </c>
      <c r="X1997" s="44">
        <f>IF(Mecze[[#This Row],[Role]]&lt;&gt;"BR",SUMPRODUCT(Mecze[[#This Row],[/PR:90]:[/BR:90]],Brudnopis!$E$28:$J$28),0)</f>
        <v>8.0808080808080815E-2</v>
      </c>
      <c r="Y1997" s="35">
        <f>IF(Mecze[[#This Row],[Role]]="BR",Mecze[[#This Row],[/OB:90]]+Mecze[[#This Row],[/PC:90]],SUM(Mecze[[#This Row],[/PR:90]:[/BR:90]]))</f>
        <v>0.18181818181818182</v>
      </c>
      <c r="Z1997" s="35">
        <f>IF(Mecze[[#This Row],[KC]]=0,SUM(Mecze[[#This Row],[/BRI]:[/NPI]]),SUM(Mecze[[#This Row],[/BRI]:[/NPI]])*0.6)</f>
        <v>0.88383838383838398</v>
      </c>
      <c r="AA1997" s="10">
        <f>IFERROR(Mecze[[#This Row],[BR]]/Mecze[[#This Row],[ST]],0)</f>
        <v>0</v>
      </c>
      <c r="AB1997">
        <f>ROUND(Mecze[[#This Row],[PD]]*Mecze[[#This Row],[%PC]],0)</f>
        <v>8</v>
      </c>
      <c r="AC1997">
        <f>ROUND(Mecze[[#This Row],[OD]]*Mecze[[#This Row],[%OU]],0)</f>
        <v>4</v>
      </c>
      <c r="AD1997" s="36" t="s">
        <v>167</v>
      </c>
      <c r="AE1997" s="36">
        <v>111</v>
      </c>
      <c r="AF1997" s="71">
        <v>9.42</v>
      </c>
      <c r="AG1997" s="37">
        <v>0</v>
      </c>
      <c r="AH1997" s="37">
        <v>0</v>
      </c>
      <c r="AI1997" s="37">
        <v>99</v>
      </c>
      <c r="AJ1997" s="37">
        <v>6</v>
      </c>
      <c r="AK1997" s="37" t="str">
        <f>VLOOKUP(Mecze[[#This Row],[Match ID]],Meczusie[Mecz]:Meczusie[RodzajMeczu],2,FALSE)</f>
        <v>Liga</v>
      </c>
    </row>
    <row r="1998" spans="1:37" x14ac:dyDescent="0.25">
      <c r="A1998" s="76">
        <v>8</v>
      </c>
      <c r="B1998" s="3" t="s">
        <v>254</v>
      </c>
      <c r="C1998" s="2" t="s">
        <v>160</v>
      </c>
      <c r="D1998" s="1">
        <v>0</v>
      </c>
      <c r="E1998" s="1">
        <v>1</v>
      </c>
      <c r="F1998" s="1">
        <v>1</v>
      </c>
      <c r="G1998" s="1">
        <v>19</v>
      </c>
      <c r="H1998" s="4">
        <v>0.53</v>
      </c>
      <c r="I1998" s="1">
        <v>12</v>
      </c>
      <c r="J1998" s="4">
        <v>0.57999999999999996</v>
      </c>
      <c r="K1998" s="1">
        <v>0</v>
      </c>
      <c r="L1998" s="1">
        <v>4</v>
      </c>
      <c r="M1998" s="32">
        <f>IF(Mecze[[#This Row],[PR]]=0,0,Mecze[[#This Row],[PR]]/Mecze[[#This Row],[CZAS]])</f>
        <v>4.0404040404040407E-2</v>
      </c>
      <c r="N1998" s="32">
        <f>IF(Mecze[[#This Row],[OU]]=0,0,Mecze[[#This Row],[OU]]/Mecze[[#This Row],[CZAS]])</f>
        <v>7.0707070707070704E-2</v>
      </c>
      <c r="O1998" s="32">
        <f>IF(Mecze[[#This Row],[PC]]=0,0,Mecze[[#This Row],[PC]]/Mecze[[#This Row],[CZAS]])</f>
        <v>0.10101010101010101</v>
      </c>
      <c r="P1998" s="32">
        <f>IF(Mecze[[#This Row],[SC]]=0,0,Mecze[[#This Row],[SC]]/Mecze[[#This Row],[CZAS]])</f>
        <v>1.0101010101010102E-2</v>
      </c>
      <c r="Q1998" s="32">
        <f>IF(Mecze[[#This Row],[OB]]=0,0,Mecze[[#This Row],[OB]]/Mecze[[#This Row],[CZAS]])</f>
        <v>0</v>
      </c>
      <c r="R1998" s="32">
        <f>IF(Mecze[[#This Row],[BR]]=0,0,Mecze[[#This Row],[BR]]/Mecze[[#This Row],[CZAS]])</f>
        <v>0</v>
      </c>
      <c r="S1998" s="44">
        <f>IF(Mecze[[#This Row],[Role]]="BR",SUMPRODUCT(Mecze[[#This Row],[/PR:90]:[/BR:90]],Brudnopis!$E$23:$J$23),0)</f>
        <v>0</v>
      </c>
      <c r="T1998" s="44">
        <f>IF(Mecze[[#This Row],[Role]]&lt;&gt;"BR",SUMPRODUCT(Mecze[[#This Row],[/PR:90]:[/BR:90]],Brudnopis!$E$24:$J$24),0)</f>
        <v>0.25757575757575757</v>
      </c>
      <c r="U1998" s="44">
        <f>IF(Mecze[[#This Row],[Role]]&lt;&gt;"BR",SUMPRODUCT(Mecze[[#This Row],[/PR:90]:[/BR:90]],Brudnopis!$E$25:$J$25),0)</f>
        <v>0.27272727272727276</v>
      </c>
      <c r="V1998" s="44">
        <f>IF(Mecze[[#This Row],[Role]]&lt;&gt;"BR",SUMPRODUCT(Mecze[[#This Row],[/PR:90]:[/BR:90]],Brudnopis!$E$26:$J$26),0)</f>
        <v>0.22222222222222221</v>
      </c>
      <c r="W1998" s="44">
        <f>IF(Mecze[[#This Row],[Role]]&lt;&gt;"BR",SUMPRODUCT(Mecze[[#This Row],[/PR:90]:[/BR:90]],Brudnopis!$E$27:$J$27),0)</f>
        <v>0.24494949494949497</v>
      </c>
      <c r="X1998" s="44">
        <f>IF(Mecze[[#This Row],[Role]]&lt;&gt;"BR",SUMPRODUCT(Mecze[[#This Row],[/PR:90]:[/BR:90]],Brudnopis!$E$28:$J$28),0)</f>
        <v>0.12121212121212122</v>
      </c>
      <c r="Y1998" s="35">
        <f>IF(Mecze[[#This Row],[Role]]="BR",Mecze[[#This Row],[/OB:90]]+Mecze[[#This Row],[/PC:90]],SUM(Mecze[[#This Row],[/PR:90]:[/BR:90]]))</f>
        <v>0.22222222222222221</v>
      </c>
      <c r="Z1998" s="35">
        <f>IF(Mecze[[#This Row],[KC]]=0,SUM(Mecze[[#This Row],[/BRI]:[/NPI]]),SUM(Mecze[[#This Row],[/BRI]:[/NPI]])*0.6)</f>
        <v>1.1186868686868685</v>
      </c>
      <c r="AA1998" s="10">
        <f>IFERROR(Mecze[[#This Row],[BR]]/Mecze[[#This Row],[ST]],0)</f>
        <v>0</v>
      </c>
      <c r="AB1998">
        <f>ROUND(Mecze[[#This Row],[PD]]*Mecze[[#This Row],[%PC]],0)</f>
        <v>10</v>
      </c>
      <c r="AC1998">
        <f>ROUND(Mecze[[#This Row],[OD]]*Mecze[[#This Row],[%OU]],0)</f>
        <v>7</v>
      </c>
      <c r="AD1998" s="36" t="s">
        <v>41</v>
      </c>
      <c r="AE1998" s="36">
        <v>111</v>
      </c>
      <c r="AF1998" s="71">
        <v>9.32</v>
      </c>
      <c r="AG1998" s="37">
        <v>0</v>
      </c>
      <c r="AH1998" s="37">
        <v>0</v>
      </c>
      <c r="AI1998" s="37">
        <v>99</v>
      </c>
      <c r="AJ1998" s="37">
        <v>6</v>
      </c>
      <c r="AK1998" s="37" t="str">
        <f>VLOOKUP(Mecze[[#This Row],[Match ID]],Meczusie[Mecz]:Meczusie[RodzajMeczu],2,FALSE)</f>
        <v>Liga</v>
      </c>
    </row>
    <row r="1999" spans="1:37" x14ac:dyDescent="0.25">
      <c r="A1999" s="76">
        <v>10</v>
      </c>
      <c r="B1999" s="3" t="s">
        <v>252</v>
      </c>
      <c r="C1999" s="2" t="s">
        <v>160</v>
      </c>
      <c r="D1999" s="1">
        <v>0</v>
      </c>
      <c r="E1999" s="1">
        <v>1</v>
      </c>
      <c r="F1999" s="1">
        <v>1</v>
      </c>
      <c r="G1999" s="1">
        <v>11</v>
      </c>
      <c r="H1999" s="4">
        <v>0.73</v>
      </c>
      <c r="I1999" s="1">
        <v>4</v>
      </c>
      <c r="J1999" s="4">
        <v>0.75</v>
      </c>
      <c r="K1999" s="1">
        <v>0</v>
      </c>
      <c r="L1999" s="1">
        <v>6</v>
      </c>
      <c r="M1999" s="32">
        <f>IF(Mecze[[#This Row],[PR]]=0,0,Mecze[[#This Row],[PR]]/Mecze[[#This Row],[CZAS]])</f>
        <v>6.0606060606060608E-2</v>
      </c>
      <c r="N1999" s="32">
        <f>IF(Mecze[[#This Row],[OU]]=0,0,Mecze[[#This Row],[OU]]/Mecze[[#This Row],[CZAS]])</f>
        <v>3.0303030303030304E-2</v>
      </c>
      <c r="O1999" s="32">
        <f>IF(Mecze[[#This Row],[PC]]=0,0,Mecze[[#This Row],[PC]]/Mecze[[#This Row],[CZAS]])</f>
        <v>8.0808080808080815E-2</v>
      </c>
      <c r="P1999" s="32">
        <f>IF(Mecze[[#This Row],[SC]]=0,0,Mecze[[#This Row],[SC]]/Mecze[[#This Row],[CZAS]])</f>
        <v>1.0101010101010102E-2</v>
      </c>
      <c r="Q1999" s="32">
        <f>IF(Mecze[[#This Row],[OB]]=0,0,Mecze[[#This Row],[OB]]/Mecze[[#This Row],[CZAS]])</f>
        <v>0</v>
      </c>
      <c r="R1999" s="32">
        <f>IF(Mecze[[#This Row],[BR]]=0,0,Mecze[[#This Row],[BR]]/Mecze[[#This Row],[CZAS]])</f>
        <v>0</v>
      </c>
      <c r="S1999" s="44">
        <f>IF(Mecze[[#This Row],[Role]]="BR",SUMPRODUCT(Mecze[[#This Row],[/PR:90]:[/BR:90]],Brudnopis!$E$23:$J$23),0)</f>
        <v>0</v>
      </c>
      <c r="T1999" s="44">
        <f>IF(Mecze[[#This Row],[Role]]&lt;&gt;"BR",SUMPRODUCT(Mecze[[#This Row],[/PR:90]:[/BR:90]],Brudnopis!$E$24:$J$24),0)</f>
        <v>0.19696969696969699</v>
      </c>
      <c r="U1999" s="44">
        <f>IF(Mecze[[#This Row],[Role]]&lt;&gt;"BR",SUMPRODUCT(Mecze[[#This Row],[/PR:90]:[/BR:90]],Brudnopis!$E$25:$J$25),0)</f>
        <v>0.22222222222222224</v>
      </c>
      <c r="V1999" s="44">
        <f>IF(Mecze[[#This Row],[Role]]&lt;&gt;"BR",SUMPRODUCT(Mecze[[#This Row],[/PR:90]:[/BR:90]],Brudnopis!$E$26:$J$26),0)</f>
        <v>0.18181818181818182</v>
      </c>
      <c r="W1999" s="44">
        <f>IF(Mecze[[#This Row],[Role]]&lt;&gt;"BR",SUMPRODUCT(Mecze[[#This Row],[/PR:90]:[/BR:90]],Brudnopis!$E$27:$J$27),0)</f>
        <v>0.1994949494949495</v>
      </c>
      <c r="X1999" s="44">
        <f>IF(Mecze[[#This Row],[Role]]&lt;&gt;"BR",SUMPRODUCT(Mecze[[#This Row],[/PR:90]:[/BR:90]],Brudnopis!$E$28:$J$28),0)</f>
        <v>0.10101010101010102</v>
      </c>
      <c r="Y1999" s="35">
        <f>IF(Mecze[[#This Row],[Role]]="BR",Mecze[[#This Row],[/OB:90]]+Mecze[[#This Row],[/PC:90]],SUM(Mecze[[#This Row],[/PR:90]:[/BR:90]]))</f>
        <v>0.18181818181818182</v>
      </c>
      <c r="Z1999" s="35">
        <f>IF(Mecze[[#This Row],[KC]]=0,SUM(Mecze[[#This Row],[/BRI]:[/NPI]]),SUM(Mecze[[#This Row],[/BRI]:[/NPI]])*0.6)</f>
        <v>0.90151515151515149</v>
      </c>
      <c r="AA1999" s="10">
        <f>IFERROR(Mecze[[#This Row],[BR]]/Mecze[[#This Row],[ST]],0)</f>
        <v>0</v>
      </c>
      <c r="AB1999">
        <f>ROUND(Mecze[[#This Row],[PD]]*Mecze[[#This Row],[%PC]],0)</f>
        <v>8</v>
      </c>
      <c r="AC1999">
        <f>ROUND(Mecze[[#This Row],[OD]]*Mecze[[#This Row],[%OU]],0)</f>
        <v>3</v>
      </c>
      <c r="AD1999" s="36" t="s">
        <v>318</v>
      </c>
      <c r="AE1999" s="36">
        <v>111</v>
      </c>
      <c r="AF1999" s="71">
        <v>9.74</v>
      </c>
      <c r="AG1999" s="37">
        <v>0</v>
      </c>
      <c r="AH1999" s="37">
        <v>0</v>
      </c>
      <c r="AI1999" s="37">
        <v>99</v>
      </c>
      <c r="AJ1999" s="37">
        <v>6</v>
      </c>
      <c r="AK1999" s="37" t="str">
        <f>VLOOKUP(Mecze[[#This Row],[Match ID]],Meczusie[Mecz]:Meczusie[RodzajMeczu],2,FALSE)</f>
        <v>Liga</v>
      </c>
    </row>
    <row r="2000" spans="1:37" x14ac:dyDescent="0.25">
      <c r="A2000" s="76">
        <v>11</v>
      </c>
      <c r="B2000" s="3" t="s">
        <v>250</v>
      </c>
      <c r="C2000" s="2" t="s">
        <v>160</v>
      </c>
      <c r="D2000" s="1">
        <v>0</v>
      </c>
      <c r="E2000" s="1">
        <v>0</v>
      </c>
      <c r="F2000" s="1">
        <v>0</v>
      </c>
      <c r="G2000" s="1">
        <v>9</v>
      </c>
      <c r="H2000" s="4">
        <v>0.56000000000000005</v>
      </c>
      <c r="I2000" s="1">
        <v>3</v>
      </c>
      <c r="J2000" s="4">
        <v>0.67</v>
      </c>
      <c r="K2000" s="1">
        <v>0</v>
      </c>
      <c r="L2000" s="1">
        <v>1</v>
      </c>
      <c r="M2000" s="32">
        <f>IF(Mecze[[#This Row],[PR]]=0,0,Mecze[[#This Row],[PR]]/Mecze[[#This Row],[CZAS]])</f>
        <v>1.3333333333333334E-2</v>
      </c>
      <c r="N2000" s="32">
        <f>IF(Mecze[[#This Row],[OU]]=0,0,Mecze[[#This Row],[OU]]/Mecze[[#This Row],[CZAS]])</f>
        <v>2.6666666666666668E-2</v>
      </c>
      <c r="O2000" s="32">
        <f>IF(Mecze[[#This Row],[PC]]=0,0,Mecze[[#This Row],[PC]]/Mecze[[#This Row],[CZAS]])</f>
        <v>6.6666666666666666E-2</v>
      </c>
      <c r="P2000" s="32">
        <f>IF(Mecze[[#This Row],[SC]]=0,0,Mecze[[#This Row],[SC]]/Mecze[[#This Row],[CZAS]])</f>
        <v>0</v>
      </c>
      <c r="Q2000" s="32">
        <f>IF(Mecze[[#This Row],[OB]]=0,0,Mecze[[#This Row],[OB]]/Mecze[[#This Row],[CZAS]])</f>
        <v>0</v>
      </c>
      <c r="R2000" s="32">
        <f>IF(Mecze[[#This Row],[BR]]=0,0,Mecze[[#This Row],[BR]]/Mecze[[#This Row],[CZAS]])</f>
        <v>0</v>
      </c>
      <c r="S2000" s="44">
        <f>IF(Mecze[[#This Row],[Role]]="BR",SUMPRODUCT(Mecze[[#This Row],[/PR:90]:[/BR:90]],Brudnopis!$E$23:$J$23),0)</f>
        <v>0</v>
      </c>
      <c r="T2000" s="44">
        <f>IF(Mecze[[#This Row],[Role]]&lt;&gt;"BR",SUMPRODUCT(Mecze[[#This Row],[/PR:90]:[/BR:90]],Brudnopis!$E$24:$J$24),0)</f>
        <v>0.12</v>
      </c>
      <c r="U2000" s="44">
        <f>IF(Mecze[[#This Row],[Role]]&lt;&gt;"BR",SUMPRODUCT(Mecze[[#This Row],[/PR:90]:[/BR:90]],Brudnopis!$E$25:$J$25),0)</f>
        <v>0.14000000000000001</v>
      </c>
      <c r="V2000" s="44">
        <f>IF(Mecze[[#This Row],[Role]]&lt;&gt;"BR",SUMPRODUCT(Mecze[[#This Row],[/PR:90]:[/BR:90]],Brudnopis!$E$26:$J$26),0)</f>
        <v>0.10666666666666666</v>
      </c>
      <c r="W2000" s="44">
        <f>IF(Mecze[[#This Row],[Role]]&lt;&gt;"BR",SUMPRODUCT(Mecze[[#This Row],[/PR:90]:[/BR:90]],Brudnopis!$E$27:$J$27),0)</f>
        <v>0.13</v>
      </c>
      <c r="X2000" s="44">
        <f>IF(Mecze[[#This Row],[Role]]&lt;&gt;"BR",SUMPRODUCT(Mecze[[#This Row],[/PR:90]:[/BR:90]],Brudnopis!$E$28:$J$28),0)</f>
        <v>6.6666666666666666E-2</v>
      </c>
      <c r="Y2000" s="35">
        <f>IF(Mecze[[#This Row],[Role]]="BR",Mecze[[#This Row],[/OB:90]]+Mecze[[#This Row],[/PC:90]],SUM(Mecze[[#This Row],[/PR:90]:[/BR:90]]))</f>
        <v>0.10666666666666666</v>
      </c>
      <c r="Z2000" s="35">
        <f>IF(Mecze[[#This Row],[KC]]=0,SUM(Mecze[[#This Row],[/BRI]:[/NPI]]),SUM(Mecze[[#This Row],[/BRI]:[/NPI]])*0.6)</f>
        <v>0.56333333333333335</v>
      </c>
      <c r="AA2000" s="10">
        <f>IFERROR(Mecze[[#This Row],[BR]]/Mecze[[#This Row],[ST]],0)</f>
        <v>0</v>
      </c>
      <c r="AB2000">
        <f>ROUND(Mecze[[#This Row],[PD]]*Mecze[[#This Row],[%PC]],0)</f>
        <v>5</v>
      </c>
      <c r="AC2000">
        <f>ROUND(Mecze[[#This Row],[OD]]*Mecze[[#This Row],[%OU]],0)</f>
        <v>2</v>
      </c>
      <c r="AD2000" s="36" t="s">
        <v>319</v>
      </c>
      <c r="AE2000" s="36">
        <v>111</v>
      </c>
      <c r="AF2000" s="71">
        <v>8.4600000000000009</v>
      </c>
      <c r="AG2000" s="37">
        <v>0</v>
      </c>
      <c r="AH2000" s="37">
        <v>0</v>
      </c>
      <c r="AI2000" s="37">
        <v>75</v>
      </c>
      <c r="AJ2000" s="37">
        <v>6</v>
      </c>
      <c r="AK2000" s="37" t="str">
        <f>VLOOKUP(Mecze[[#This Row],[Match ID]],Meczusie[Mecz]:Meczusie[RodzajMeczu],2,FALSE)</f>
        <v>Liga</v>
      </c>
    </row>
    <row r="2001" spans="1:37" x14ac:dyDescent="0.25">
      <c r="A2001" s="76">
        <v>106</v>
      </c>
      <c r="B2001" s="3" t="s">
        <v>424</v>
      </c>
      <c r="C2001" s="2" t="s">
        <v>160</v>
      </c>
      <c r="D2001" s="1">
        <v>0</v>
      </c>
      <c r="E2001" s="1">
        <v>3</v>
      </c>
      <c r="F2001" s="1">
        <v>3</v>
      </c>
      <c r="G2001" s="1">
        <v>16</v>
      </c>
      <c r="H2001" s="4">
        <v>0.56000000000000005</v>
      </c>
      <c r="I2001" s="1">
        <v>9</v>
      </c>
      <c r="J2001" s="4">
        <v>0.56000000000000005</v>
      </c>
      <c r="K2001" s="1">
        <v>0</v>
      </c>
      <c r="L2001" s="1">
        <v>2</v>
      </c>
      <c r="M2001" s="32">
        <f>IF(Mecze[[#This Row],[PR]]=0,0,Mecze[[#This Row],[PR]]/Mecze[[#This Row],[CZAS]])</f>
        <v>2.0202020202020204E-2</v>
      </c>
      <c r="N2001" s="32">
        <f>IF(Mecze[[#This Row],[OU]]=0,0,Mecze[[#This Row],[OU]]/Mecze[[#This Row],[CZAS]])</f>
        <v>5.0505050505050504E-2</v>
      </c>
      <c r="O2001" s="32">
        <f>IF(Mecze[[#This Row],[PC]]=0,0,Mecze[[#This Row],[PC]]/Mecze[[#This Row],[CZAS]])</f>
        <v>9.0909090909090912E-2</v>
      </c>
      <c r="P2001" s="32">
        <f>IF(Mecze[[#This Row],[SC]]=0,0,Mecze[[#This Row],[SC]]/Mecze[[#This Row],[CZAS]])</f>
        <v>3.0303030303030304E-2</v>
      </c>
      <c r="Q2001" s="32">
        <f>IF(Mecze[[#This Row],[OB]]=0,0,Mecze[[#This Row],[OB]]/Mecze[[#This Row],[CZAS]])</f>
        <v>0</v>
      </c>
      <c r="R2001" s="32">
        <f>IF(Mecze[[#This Row],[BR]]=0,0,Mecze[[#This Row],[BR]]/Mecze[[#This Row],[CZAS]])</f>
        <v>0</v>
      </c>
      <c r="S2001" s="44">
        <f>IF(Mecze[[#This Row],[Role]]="BR",SUMPRODUCT(Mecze[[#This Row],[/PR:90]:[/BR:90]],Brudnopis!$E$23:$J$23),0)</f>
        <v>0</v>
      </c>
      <c r="T2001" s="44">
        <f>IF(Mecze[[#This Row],[Role]]&lt;&gt;"BR",SUMPRODUCT(Mecze[[#This Row],[/PR:90]:[/BR:90]],Brudnopis!$E$24:$J$24),0)</f>
        <v>0.21717171717171718</v>
      </c>
      <c r="U2001" s="44">
        <f>IF(Mecze[[#This Row],[Role]]&lt;&gt;"BR",SUMPRODUCT(Mecze[[#This Row],[/PR:90]:[/BR:90]],Brudnopis!$E$25:$J$25),0)</f>
        <v>0.23737373737373738</v>
      </c>
      <c r="V2001" s="44">
        <f>IF(Mecze[[#This Row],[Role]]&lt;&gt;"BR",SUMPRODUCT(Mecze[[#This Row],[/PR:90]:[/BR:90]],Brudnopis!$E$26:$J$26),0)</f>
        <v>0.19191919191919191</v>
      </c>
      <c r="W2001" s="44">
        <f>IF(Mecze[[#This Row],[Role]]&lt;&gt;"BR",SUMPRODUCT(Mecze[[#This Row],[/PR:90]:[/BR:90]],Brudnopis!$E$27:$J$27),0)</f>
        <v>0.2196969696969697</v>
      </c>
      <c r="X2001" s="44">
        <f>IF(Mecze[[#This Row],[Role]]&lt;&gt;"BR",SUMPRODUCT(Mecze[[#This Row],[/PR:90]:[/BR:90]],Brudnopis!$E$28:$J$28),0)</f>
        <v>0.15151515151515152</v>
      </c>
      <c r="Y2001" s="35">
        <f>IF(Mecze[[#This Row],[Role]]="BR",Mecze[[#This Row],[/OB:90]]+Mecze[[#This Row],[/PC:90]],SUM(Mecze[[#This Row],[/PR:90]:[/BR:90]]))</f>
        <v>0.19191919191919191</v>
      </c>
      <c r="Z2001" s="35">
        <f>IF(Mecze[[#This Row],[KC]]=0,SUM(Mecze[[#This Row],[/BRI]:[/NPI]]),SUM(Mecze[[#This Row],[/BRI]:[/NPI]])*0.6)</f>
        <v>1.0176767676767677</v>
      </c>
      <c r="AA2001" s="10">
        <f>IFERROR(Mecze[[#This Row],[BR]]/Mecze[[#This Row],[ST]],0)</f>
        <v>0</v>
      </c>
      <c r="AB2001">
        <f>ROUND(Mecze[[#This Row],[PD]]*Mecze[[#This Row],[%PC]],0)</f>
        <v>9</v>
      </c>
      <c r="AC2001">
        <f>ROUND(Mecze[[#This Row],[OD]]*Mecze[[#This Row],[%OU]],0)</f>
        <v>5</v>
      </c>
      <c r="AD2001" s="36" t="s">
        <v>44</v>
      </c>
      <c r="AE2001" s="36">
        <v>111</v>
      </c>
      <c r="AF2001" s="71">
        <v>9.36</v>
      </c>
      <c r="AG2001" s="37">
        <v>0</v>
      </c>
      <c r="AH2001" s="37">
        <v>0</v>
      </c>
      <c r="AI2001" s="37">
        <v>99</v>
      </c>
      <c r="AJ2001" s="37">
        <v>6</v>
      </c>
      <c r="AK2001" s="37" t="str">
        <f>VLOOKUP(Mecze[[#This Row],[Match ID]],Meczusie[Mecz]:Meczusie[RodzajMeczu],2,FALSE)</f>
        <v>Liga</v>
      </c>
    </row>
    <row r="2002" spans="1:37" x14ac:dyDescent="0.25">
      <c r="A2002" s="76">
        <v>6</v>
      </c>
      <c r="B2002" s="3" t="s">
        <v>255</v>
      </c>
      <c r="C2002" s="2" t="s">
        <v>165</v>
      </c>
      <c r="D2002" s="1">
        <v>0</v>
      </c>
      <c r="E2002" s="1">
        <v>0</v>
      </c>
      <c r="F2002" s="1">
        <v>0</v>
      </c>
      <c r="G2002" s="1">
        <v>2</v>
      </c>
      <c r="H2002" s="4">
        <v>0.5</v>
      </c>
      <c r="I2002" s="1">
        <v>0</v>
      </c>
      <c r="J2002" s="4"/>
      <c r="K2002" s="1">
        <v>0</v>
      </c>
      <c r="L2002" s="1">
        <v>0</v>
      </c>
      <c r="M2002" s="32">
        <f>IF(Mecze[[#This Row],[PR]]=0,0,Mecze[[#This Row],[PR]]/Mecze[[#This Row],[CZAS]])</f>
        <v>0</v>
      </c>
      <c r="N2002" s="32">
        <f>IF(Mecze[[#This Row],[OU]]=0,0,Mecze[[#This Row],[OU]]/Mecze[[#This Row],[CZAS]])</f>
        <v>0</v>
      </c>
      <c r="O2002" s="32">
        <f>IF(Mecze[[#This Row],[PC]]=0,0,Mecze[[#This Row],[PC]]/Mecze[[#This Row],[CZAS]])</f>
        <v>1.0101010101010102E-2</v>
      </c>
      <c r="P2002" s="32">
        <f>IF(Mecze[[#This Row],[SC]]=0,0,Mecze[[#This Row],[SC]]/Mecze[[#This Row],[CZAS]])</f>
        <v>0</v>
      </c>
      <c r="Q2002" s="32">
        <f>IF(Mecze[[#This Row],[OB]]=0,0,Mecze[[#This Row],[OB]]/Mecze[[#This Row],[CZAS]])</f>
        <v>0</v>
      </c>
      <c r="R2002" s="32">
        <f>IF(Mecze[[#This Row],[BR]]=0,0,Mecze[[#This Row],[BR]]/Mecze[[#This Row],[CZAS]])</f>
        <v>0</v>
      </c>
      <c r="S2002" s="44">
        <f>IF(Mecze[[#This Row],[Role]]="BR",SUMPRODUCT(Mecze[[#This Row],[/PR:90]:[/BR:90]],Brudnopis!$E$23:$J$23),0)</f>
        <v>0</v>
      </c>
      <c r="T2002" s="44">
        <f>IF(Mecze[[#This Row],[Role]]&lt;&gt;"BR",SUMPRODUCT(Mecze[[#This Row],[/PR:90]:[/BR:90]],Brudnopis!$E$24:$J$24),0)</f>
        <v>1.0101010101010102E-2</v>
      </c>
      <c r="U2002" s="44">
        <f>IF(Mecze[[#This Row],[Role]]&lt;&gt;"BR",SUMPRODUCT(Mecze[[#This Row],[/PR:90]:[/BR:90]],Brudnopis!$E$25:$J$25),0)</f>
        <v>1.5151515151515152E-2</v>
      </c>
      <c r="V2002" s="44">
        <f>IF(Mecze[[#This Row],[Role]]&lt;&gt;"BR",SUMPRODUCT(Mecze[[#This Row],[/PR:90]:[/BR:90]],Brudnopis!$E$26:$J$26),0)</f>
        <v>1.0101010101010102E-2</v>
      </c>
      <c r="W2002" s="44">
        <f>IF(Mecze[[#This Row],[Role]]&lt;&gt;"BR",SUMPRODUCT(Mecze[[#This Row],[/PR:90]:[/BR:90]],Brudnopis!$E$27:$J$27),0)</f>
        <v>1.5151515151515152E-2</v>
      </c>
      <c r="X2002" s="44">
        <f>IF(Mecze[[#This Row],[Role]]&lt;&gt;"BR",SUMPRODUCT(Mecze[[#This Row],[/PR:90]:[/BR:90]],Brudnopis!$E$28:$J$28),0)</f>
        <v>1.0101010101010102E-2</v>
      </c>
      <c r="Y2002" s="35">
        <f>IF(Mecze[[#This Row],[Role]]="BR",Mecze[[#This Row],[/OB:90]]+Mecze[[#This Row],[/PC:90]],SUM(Mecze[[#This Row],[/PR:90]:[/BR:90]]))</f>
        <v>1.0101010101010102E-2</v>
      </c>
      <c r="Z2002" s="35">
        <f>IF(Mecze[[#This Row],[KC]]=0,SUM(Mecze[[#This Row],[/BRI]:[/NPI]]),SUM(Mecze[[#This Row],[/BRI]:[/NPI]])*0.6)</f>
        <v>6.0606060606060615E-2</v>
      </c>
      <c r="AA2002" s="10">
        <f>IFERROR(Mecze[[#This Row],[BR]]/Mecze[[#This Row],[ST]],0)</f>
        <v>0</v>
      </c>
      <c r="AB2002">
        <f>ROUND(Mecze[[#This Row],[PD]]*Mecze[[#This Row],[%PC]],0)</f>
        <v>1</v>
      </c>
      <c r="AC2002">
        <f>ROUND(Mecze[[#This Row],[OD]]*Mecze[[#This Row],[%OU]],0)</f>
        <v>0</v>
      </c>
      <c r="AD2002" s="36" t="s">
        <v>232</v>
      </c>
      <c r="AE2002" s="36">
        <v>111</v>
      </c>
      <c r="AF2002" s="71">
        <v>3.93</v>
      </c>
      <c r="AG2002" s="37">
        <v>0</v>
      </c>
      <c r="AH2002" s="37">
        <v>0</v>
      </c>
      <c r="AI2002" s="37">
        <v>99</v>
      </c>
      <c r="AJ2002" s="37">
        <v>6</v>
      </c>
      <c r="AK2002" s="37" t="str">
        <f>VLOOKUP(Mecze[[#This Row],[Match ID]],Meczusie[Mecz]:Meczusie[RodzajMeczu],2,FALSE)</f>
        <v>Liga</v>
      </c>
    </row>
    <row r="2003" spans="1:37" x14ac:dyDescent="0.25">
      <c r="A2003" s="76">
        <v>5</v>
      </c>
      <c r="B2003" s="3" t="s">
        <v>256</v>
      </c>
      <c r="C2003" s="2" t="s">
        <v>165</v>
      </c>
      <c r="D2003" s="1">
        <v>1</v>
      </c>
      <c r="E2003" s="1">
        <v>7</v>
      </c>
      <c r="F2003" s="1">
        <v>6</v>
      </c>
      <c r="G2003" s="1">
        <v>7</v>
      </c>
      <c r="H2003" s="4">
        <v>0.86</v>
      </c>
      <c r="I2003" s="1">
        <v>5</v>
      </c>
      <c r="J2003" s="4">
        <v>0.4</v>
      </c>
      <c r="K2003" s="1">
        <v>0</v>
      </c>
      <c r="L2003" s="1">
        <v>0</v>
      </c>
      <c r="M2003" s="32">
        <f>IF(Mecze[[#This Row],[PR]]=0,0,Mecze[[#This Row],[PR]]/Mecze[[#This Row],[CZAS]])</f>
        <v>0</v>
      </c>
      <c r="N2003" s="32">
        <f>IF(Mecze[[#This Row],[OU]]=0,0,Mecze[[#This Row],[OU]]/Mecze[[#This Row],[CZAS]])</f>
        <v>2.0202020202020204E-2</v>
      </c>
      <c r="O2003" s="32">
        <f>IF(Mecze[[#This Row],[PC]]=0,0,Mecze[[#This Row],[PC]]/Mecze[[#This Row],[CZAS]])</f>
        <v>6.0606060606060608E-2</v>
      </c>
      <c r="P2003" s="32">
        <f>IF(Mecze[[#This Row],[SC]]=0,0,Mecze[[#This Row],[SC]]/Mecze[[#This Row],[CZAS]])</f>
        <v>6.0606060606060608E-2</v>
      </c>
      <c r="Q2003" s="32">
        <f>IF(Mecze[[#This Row],[OB]]=0,0,Mecze[[#This Row],[OB]]/Mecze[[#This Row],[CZAS]])</f>
        <v>0</v>
      </c>
      <c r="R2003" s="32">
        <f>IF(Mecze[[#This Row],[BR]]=0,0,Mecze[[#This Row],[BR]]/Mecze[[#This Row],[CZAS]])</f>
        <v>1.0101010101010102E-2</v>
      </c>
      <c r="S2003" s="44">
        <f>IF(Mecze[[#This Row],[Role]]="BR",SUMPRODUCT(Mecze[[#This Row],[/PR:90]:[/BR:90]],Brudnopis!$E$23:$J$23),0)</f>
        <v>0</v>
      </c>
      <c r="T2003" s="44">
        <f>IF(Mecze[[#This Row],[Role]]&lt;&gt;"BR",SUMPRODUCT(Mecze[[#This Row],[/PR:90]:[/BR:90]],Brudnopis!$E$24:$J$24),0)</f>
        <v>0.16666666666666669</v>
      </c>
      <c r="U2003" s="44">
        <f>IF(Mecze[[#This Row],[Role]]&lt;&gt;"BR",SUMPRODUCT(Mecze[[#This Row],[/PR:90]:[/BR:90]],Brudnopis!$E$25:$J$25),0)</f>
        <v>0.18686868686868685</v>
      </c>
      <c r="V2003" s="44">
        <f>IF(Mecze[[#This Row],[Role]]&lt;&gt;"BR",SUMPRODUCT(Mecze[[#This Row],[/PR:90]:[/BR:90]],Brudnopis!$E$26:$J$26),0)</f>
        <v>0.16161616161616163</v>
      </c>
      <c r="W2003" s="44">
        <f>IF(Mecze[[#This Row],[Role]]&lt;&gt;"BR",SUMPRODUCT(Mecze[[#This Row],[/PR:90]:[/BR:90]],Brudnopis!$E$27:$J$27),0)</f>
        <v>0.18686868686868688</v>
      </c>
      <c r="X2003" s="44">
        <f>IF(Mecze[[#This Row],[Role]]&lt;&gt;"BR",SUMPRODUCT(Mecze[[#This Row],[/PR:90]:[/BR:90]],Brudnopis!$E$28:$J$28),0)</f>
        <v>0.21212121212121213</v>
      </c>
      <c r="Y2003" s="35">
        <f>IF(Mecze[[#This Row],[Role]]="BR",Mecze[[#This Row],[/OB:90]]+Mecze[[#This Row],[/PC:90]],SUM(Mecze[[#This Row],[/PR:90]:[/BR:90]]))</f>
        <v>0.15151515151515155</v>
      </c>
      <c r="Z2003" s="35">
        <f>IF(Mecze[[#This Row],[KC]]=0,SUM(Mecze[[#This Row],[/BRI]:[/NPI]]),SUM(Mecze[[#This Row],[/BRI]:[/NPI]])*0.6)</f>
        <v>0.91414141414141414</v>
      </c>
      <c r="AA2003" s="10">
        <f>IFERROR(Mecze[[#This Row],[BR]]/Mecze[[#This Row],[ST]],0)</f>
        <v>0.14285714285714285</v>
      </c>
      <c r="AB2003">
        <f>ROUND(Mecze[[#This Row],[PD]]*Mecze[[#This Row],[%PC]],0)</f>
        <v>6</v>
      </c>
      <c r="AC2003">
        <f>ROUND(Mecze[[#This Row],[OD]]*Mecze[[#This Row],[%OU]],0)</f>
        <v>2</v>
      </c>
      <c r="AD2003" s="36" t="s">
        <v>46</v>
      </c>
      <c r="AE2003" s="36">
        <v>111</v>
      </c>
      <c r="AF2003" s="71">
        <v>9.8000000000000007</v>
      </c>
      <c r="AG2003" s="37">
        <v>0</v>
      </c>
      <c r="AH2003" s="37">
        <v>0</v>
      </c>
      <c r="AI2003" s="37">
        <v>99</v>
      </c>
      <c r="AJ2003" s="37">
        <v>6</v>
      </c>
      <c r="AK2003" s="37" t="str">
        <f>VLOOKUP(Mecze[[#This Row],[Match ID]],Meczusie[Mecz]:Meczusie[RodzajMeczu],2,FALSE)</f>
        <v>Liga</v>
      </c>
    </row>
    <row r="2004" spans="1:37" x14ac:dyDescent="0.25">
      <c r="A2004" s="76">
        <v>100</v>
      </c>
      <c r="B2004" s="3" t="s">
        <v>257</v>
      </c>
      <c r="C2004" s="2" t="s">
        <v>165</v>
      </c>
      <c r="D2004" s="1">
        <v>0</v>
      </c>
      <c r="E2004" s="1">
        <v>4</v>
      </c>
      <c r="F2004" s="1">
        <v>4</v>
      </c>
      <c r="G2004" s="1">
        <v>11</v>
      </c>
      <c r="H2004" s="4">
        <v>0.91</v>
      </c>
      <c r="I2004" s="1">
        <v>5</v>
      </c>
      <c r="J2004" s="4">
        <v>0.4</v>
      </c>
      <c r="K2004" s="1">
        <v>0</v>
      </c>
      <c r="L2004" s="1">
        <v>1</v>
      </c>
      <c r="M2004" s="32">
        <f>IF(Mecze[[#This Row],[PR]]=0,0,Mecze[[#This Row],[PR]]/Mecze[[#This Row],[CZAS]])</f>
        <v>1.0101010101010102E-2</v>
      </c>
      <c r="N2004" s="32">
        <f>IF(Mecze[[#This Row],[OU]]=0,0,Mecze[[#This Row],[OU]]/Mecze[[#This Row],[CZAS]])</f>
        <v>2.0202020202020204E-2</v>
      </c>
      <c r="O2004" s="32">
        <f>IF(Mecze[[#This Row],[PC]]=0,0,Mecze[[#This Row],[PC]]/Mecze[[#This Row],[CZAS]])</f>
        <v>0.10101010101010101</v>
      </c>
      <c r="P2004" s="32">
        <f>IF(Mecze[[#This Row],[SC]]=0,0,Mecze[[#This Row],[SC]]/Mecze[[#This Row],[CZAS]])</f>
        <v>4.0404040404040407E-2</v>
      </c>
      <c r="Q2004" s="32">
        <f>IF(Mecze[[#This Row],[OB]]=0,0,Mecze[[#This Row],[OB]]/Mecze[[#This Row],[CZAS]])</f>
        <v>0</v>
      </c>
      <c r="R2004" s="32">
        <f>IF(Mecze[[#This Row],[BR]]=0,0,Mecze[[#This Row],[BR]]/Mecze[[#This Row],[CZAS]])</f>
        <v>0</v>
      </c>
      <c r="S2004" s="44">
        <f>IF(Mecze[[#This Row],[Role]]="BR",SUMPRODUCT(Mecze[[#This Row],[/PR:90]:[/BR:90]],Brudnopis!$E$23:$J$23),0)</f>
        <v>0</v>
      </c>
      <c r="T2004" s="44">
        <f>IF(Mecze[[#This Row],[Role]]&lt;&gt;"BR",SUMPRODUCT(Mecze[[#This Row],[/PR:90]:[/BR:90]],Brudnopis!$E$24:$J$24),0)</f>
        <v>0.18181818181818182</v>
      </c>
      <c r="U2004" s="44">
        <f>IF(Mecze[[#This Row],[Role]]&lt;&gt;"BR",SUMPRODUCT(Mecze[[#This Row],[/PR:90]:[/BR:90]],Brudnopis!$E$25:$J$25),0)</f>
        <v>0.22222222222222224</v>
      </c>
      <c r="V2004" s="44">
        <f>IF(Mecze[[#This Row],[Role]]&lt;&gt;"BR",SUMPRODUCT(Mecze[[#This Row],[/PR:90]:[/BR:90]],Brudnopis!$E$26:$J$26),0)</f>
        <v>0.17171717171717174</v>
      </c>
      <c r="W2004" s="44">
        <f>IF(Mecze[[#This Row],[Role]]&lt;&gt;"BR",SUMPRODUCT(Mecze[[#This Row],[/PR:90]:[/BR:90]],Brudnopis!$E$27:$J$27),0)</f>
        <v>0.21464646464646467</v>
      </c>
      <c r="X2004" s="44">
        <f>IF(Mecze[[#This Row],[Role]]&lt;&gt;"BR",SUMPRODUCT(Mecze[[#This Row],[/PR:90]:[/BR:90]],Brudnopis!$E$28:$J$28),0)</f>
        <v>0.18181818181818182</v>
      </c>
      <c r="Y2004" s="35">
        <f>IF(Mecze[[#This Row],[Role]]="BR",Mecze[[#This Row],[/OB:90]]+Mecze[[#This Row],[/PC:90]],SUM(Mecze[[#This Row],[/PR:90]:[/BR:90]]))</f>
        <v>0.17171717171717174</v>
      </c>
      <c r="Z2004" s="35">
        <f>IF(Mecze[[#This Row],[KC]]=0,SUM(Mecze[[#This Row],[/BRI]:[/NPI]]),SUM(Mecze[[#This Row],[/BRI]:[/NPI]])*0.6)</f>
        <v>0.97222222222222232</v>
      </c>
      <c r="AA2004" s="10">
        <f>IFERROR(Mecze[[#This Row],[BR]]/Mecze[[#This Row],[ST]],0)</f>
        <v>0</v>
      </c>
      <c r="AB2004">
        <f>ROUND(Mecze[[#This Row],[PD]]*Mecze[[#This Row],[%PC]],0)</f>
        <v>10</v>
      </c>
      <c r="AC2004">
        <f>ROUND(Mecze[[#This Row],[OD]]*Mecze[[#This Row],[%OU]],0)</f>
        <v>2</v>
      </c>
      <c r="AD2004" s="36" t="s">
        <v>46</v>
      </c>
      <c r="AE2004" s="36">
        <v>111</v>
      </c>
      <c r="AF2004" s="71">
        <v>7.06</v>
      </c>
      <c r="AG2004" s="37">
        <v>0</v>
      </c>
      <c r="AH2004" s="37">
        <v>0</v>
      </c>
      <c r="AI2004" s="37">
        <v>99</v>
      </c>
      <c r="AJ2004" s="37">
        <v>6</v>
      </c>
      <c r="AK2004" s="37" t="str">
        <f>VLOOKUP(Mecze[[#This Row],[Match ID]],Meczusie[Mecz]:Meczusie[RodzajMeczu],2,FALSE)</f>
        <v>Liga</v>
      </c>
    </row>
    <row r="2005" spans="1:37" x14ac:dyDescent="0.25">
      <c r="A2005" s="76">
        <v>9</v>
      </c>
      <c r="B2005" s="3" t="s">
        <v>258</v>
      </c>
      <c r="C2005" s="2" t="s">
        <v>160</v>
      </c>
      <c r="D2005" s="1">
        <v>0</v>
      </c>
      <c r="E2005" s="1">
        <v>0</v>
      </c>
      <c r="F2005" s="1">
        <v>0</v>
      </c>
      <c r="G2005" s="1">
        <v>4</v>
      </c>
      <c r="H2005" s="4">
        <v>0.75</v>
      </c>
      <c r="I2005" s="1">
        <v>1</v>
      </c>
      <c r="J2005" s="4">
        <v>1</v>
      </c>
      <c r="K2005" s="1">
        <v>0</v>
      </c>
      <c r="L2005" s="1">
        <v>1</v>
      </c>
      <c r="M2005" s="32">
        <f>IF(Mecze[[#This Row],[PR]]=0,0,Mecze[[#This Row],[PR]]/Mecze[[#This Row],[CZAS]])</f>
        <v>4.1666666666666664E-2</v>
      </c>
      <c r="N2005" s="32">
        <f>IF(Mecze[[#This Row],[OU]]=0,0,Mecze[[#This Row],[OU]]/Mecze[[#This Row],[CZAS]])</f>
        <v>4.1666666666666664E-2</v>
      </c>
      <c r="O2005" s="32">
        <f>IF(Mecze[[#This Row],[PC]]=0,0,Mecze[[#This Row],[PC]]/Mecze[[#This Row],[CZAS]])</f>
        <v>0.125</v>
      </c>
      <c r="P2005" s="32">
        <f>IF(Mecze[[#This Row],[SC]]=0,0,Mecze[[#This Row],[SC]]/Mecze[[#This Row],[CZAS]])</f>
        <v>0</v>
      </c>
      <c r="Q2005" s="32">
        <f>IF(Mecze[[#This Row],[OB]]=0,0,Mecze[[#This Row],[OB]]/Mecze[[#This Row],[CZAS]])</f>
        <v>0</v>
      </c>
      <c r="R2005" s="32">
        <f>IF(Mecze[[#This Row],[BR]]=0,0,Mecze[[#This Row],[BR]]/Mecze[[#This Row],[CZAS]])</f>
        <v>0</v>
      </c>
      <c r="S2005" s="44">
        <f>IF(Mecze[[#This Row],[Role]]="BR",SUMPRODUCT(Mecze[[#This Row],[/PR:90]:[/BR:90]],Brudnopis!$E$23:$J$23),0)</f>
        <v>0</v>
      </c>
      <c r="T2005" s="44">
        <f>IF(Mecze[[#This Row],[Role]]&lt;&gt;"BR",SUMPRODUCT(Mecze[[#This Row],[/PR:90]:[/BR:90]],Brudnopis!$E$24:$J$24),0)</f>
        <v>0.22916666666666666</v>
      </c>
      <c r="U2005" s="44">
        <f>IF(Mecze[[#This Row],[Role]]&lt;&gt;"BR",SUMPRODUCT(Mecze[[#This Row],[/PR:90]:[/BR:90]],Brudnopis!$E$25:$J$25),0)</f>
        <v>0.27083333333333331</v>
      </c>
      <c r="V2005" s="44">
        <f>IF(Mecze[[#This Row],[Role]]&lt;&gt;"BR",SUMPRODUCT(Mecze[[#This Row],[/PR:90]:[/BR:90]],Brudnopis!$E$26:$J$26),0)</f>
        <v>0.20833333333333331</v>
      </c>
      <c r="W2005" s="44">
        <f>IF(Mecze[[#This Row],[Role]]&lt;&gt;"BR",SUMPRODUCT(Mecze[[#This Row],[/PR:90]:[/BR:90]],Brudnopis!$E$27:$J$27),0)</f>
        <v>0.25</v>
      </c>
      <c r="X2005" s="44">
        <f>IF(Mecze[[#This Row],[Role]]&lt;&gt;"BR",SUMPRODUCT(Mecze[[#This Row],[/PR:90]:[/BR:90]],Brudnopis!$E$28:$J$28),0)</f>
        <v>0.125</v>
      </c>
      <c r="Y2005" s="35">
        <f>IF(Mecze[[#This Row],[Role]]="BR",Mecze[[#This Row],[/OB:90]]+Mecze[[#This Row],[/PC:90]],SUM(Mecze[[#This Row],[/PR:90]:[/BR:90]]))</f>
        <v>0.20833333333333331</v>
      </c>
      <c r="Z2005" s="35">
        <f>IF(Mecze[[#This Row],[KC]]=0,SUM(Mecze[[#This Row],[/BRI]:[/NPI]]),SUM(Mecze[[#This Row],[/BRI]:[/NPI]])*0.6)</f>
        <v>1.0833333333333333</v>
      </c>
      <c r="AA2005" s="10">
        <f>IFERROR(Mecze[[#This Row],[BR]]/Mecze[[#This Row],[ST]],0)</f>
        <v>0</v>
      </c>
      <c r="AB2005">
        <f>ROUND(Mecze[[#This Row],[PD]]*Mecze[[#This Row],[%PC]],0)</f>
        <v>3</v>
      </c>
      <c r="AC2005">
        <f>ROUND(Mecze[[#This Row],[OD]]*Mecze[[#This Row],[%OU]],0)</f>
        <v>1</v>
      </c>
      <c r="AD2005" s="36" t="s">
        <v>319</v>
      </c>
      <c r="AE2005" s="36">
        <v>111</v>
      </c>
      <c r="AF2005" s="71">
        <v>5.05</v>
      </c>
      <c r="AG2005" s="37">
        <v>0</v>
      </c>
      <c r="AH2005" s="37">
        <v>0</v>
      </c>
      <c r="AI2005" s="37">
        <v>24</v>
      </c>
      <c r="AJ2005" s="37">
        <v>6</v>
      </c>
      <c r="AK2005" s="37" t="str">
        <f>VLOOKUP(Mecze[[#This Row],[Match ID]],Meczusie[Mecz]:Meczusie[RodzajMeczu],2,FALSE)</f>
        <v>Liga</v>
      </c>
    </row>
    <row r="2006" spans="1:37" x14ac:dyDescent="0.25">
      <c r="A2006" s="76">
        <v>1</v>
      </c>
      <c r="B2006" s="3" t="s">
        <v>169</v>
      </c>
      <c r="C2006" s="2" t="s">
        <v>155</v>
      </c>
      <c r="D2006" s="1">
        <v>0</v>
      </c>
      <c r="E2006" s="1">
        <v>0</v>
      </c>
      <c r="F2006" s="1">
        <v>0</v>
      </c>
      <c r="G2006" s="1">
        <v>13</v>
      </c>
      <c r="H2006" s="4">
        <v>0.69</v>
      </c>
      <c r="I2006" s="1">
        <v>0</v>
      </c>
      <c r="J2006" s="4"/>
      <c r="K2006" s="1">
        <v>14</v>
      </c>
      <c r="L2006" s="1">
        <v>0</v>
      </c>
      <c r="M2006" s="32">
        <f>IF(Mecze[[#This Row],[PR]]=0,0,Mecze[[#This Row],[PR]]/Mecze[[#This Row],[CZAS]])</f>
        <v>0</v>
      </c>
      <c r="N2006" s="32">
        <f>IF(Mecze[[#This Row],[OU]]=0,0,Mecze[[#This Row],[OU]]/Mecze[[#This Row],[CZAS]])</f>
        <v>0</v>
      </c>
      <c r="O2006" s="32">
        <f>IF(Mecze[[#This Row],[PC]]=0,0,Mecze[[#This Row],[PC]]/Mecze[[#This Row],[CZAS]])</f>
        <v>9.0909090909090912E-2</v>
      </c>
      <c r="P2006" s="32">
        <f>IF(Mecze[[#This Row],[SC]]=0,0,Mecze[[#This Row],[SC]]/Mecze[[#This Row],[CZAS]])</f>
        <v>0</v>
      </c>
      <c r="Q2006" s="32">
        <f>IF(Mecze[[#This Row],[OB]]=0,0,Mecze[[#This Row],[OB]]/Mecze[[#This Row],[CZAS]])</f>
        <v>0.14141414141414141</v>
      </c>
      <c r="R2006" s="32">
        <f>IF(Mecze[[#This Row],[BR]]=0,0,Mecze[[#This Row],[BR]]/Mecze[[#This Row],[CZAS]])</f>
        <v>0</v>
      </c>
      <c r="S2006" s="44">
        <f>IF(Mecze[[#This Row],[Role]]="BR",SUMPRODUCT(Mecze[[#This Row],[/PR:90]:[/BR:90]],Brudnopis!$E$23:$J$23),0)</f>
        <v>0.69696969696969691</v>
      </c>
      <c r="T2006" s="44">
        <f>IF(Mecze[[#This Row],[Role]]&lt;&gt;"BR",SUMPRODUCT(Mecze[[#This Row],[/PR:90]:[/BR:90]],Brudnopis!$E$24:$J$24),0)</f>
        <v>0</v>
      </c>
      <c r="U2006" s="44">
        <f>IF(Mecze[[#This Row],[Role]]&lt;&gt;"BR",SUMPRODUCT(Mecze[[#This Row],[/PR:90]:[/BR:90]],Brudnopis!$E$25:$J$25),0)</f>
        <v>0</v>
      </c>
      <c r="V2006" s="44">
        <f>IF(Mecze[[#This Row],[Role]]&lt;&gt;"BR",SUMPRODUCT(Mecze[[#This Row],[/PR:90]:[/BR:90]],Brudnopis!$E$26:$J$26),0)</f>
        <v>0</v>
      </c>
      <c r="W2006" s="44">
        <f>IF(Mecze[[#This Row],[Role]]&lt;&gt;"BR",SUMPRODUCT(Mecze[[#This Row],[/PR:90]:[/BR:90]],Brudnopis!$E$27:$J$27),0)</f>
        <v>0</v>
      </c>
      <c r="X2006" s="44">
        <f>IF(Mecze[[#This Row],[Role]]&lt;&gt;"BR",SUMPRODUCT(Mecze[[#This Row],[/PR:90]:[/BR:90]],Brudnopis!$E$28:$J$28),0)</f>
        <v>0</v>
      </c>
      <c r="Y2006" s="35">
        <f>IF(Mecze[[#This Row],[Role]]="BR",Mecze[[#This Row],[/OB:90]]+Mecze[[#This Row],[/PC:90]],SUM(Mecze[[#This Row],[/PR:90]:[/BR:90]]))</f>
        <v>0.23232323232323232</v>
      </c>
      <c r="Z2006" s="35">
        <f>IF(Mecze[[#This Row],[KC]]=0,SUM(Mecze[[#This Row],[/BRI]:[/NPI]]),SUM(Mecze[[#This Row],[/BRI]:[/NPI]])*0.6)</f>
        <v>0.69696969696969691</v>
      </c>
      <c r="AA2006" s="10">
        <f>IFERROR(Mecze[[#This Row],[BR]]/Mecze[[#This Row],[ST]],0)</f>
        <v>0</v>
      </c>
      <c r="AB2006">
        <f>ROUND(Mecze[[#This Row],[PD]]*Mecze[[#This Row],[%PC]],0)</f>
        <v>9</v>
      </c>
      <c r="AC2006">
        <f>ROUND(Mecze[[#This Row],[OD]]*Mecze[[#This Row],[%OU]],0)</f>
        <v>0</v>
      </c>
      <c r="AD2006" s="36" t="s">
        <v>40</v>
      </c>
      <c r="AE2006" s="36">
        <v>111</v>
      </c>
      <c r="AF2006" s="71">
        <v>8.82</v>
      </c>
      <c r="AG2006" s="37">
        <v>0</v>
      </c>
      <c r="AH2006" s="37">
        <v>0</v>
      </c>
      <c r="AI2006" s="37">
        <v>99</v>
      </c>
      <c r="AJ2006" s="37">
        <v>1</v>
      </c>
      <c r="AK2006" s="37" t="str">
        <f>VLOOKUP(Mecze[[#This Row],[Match ID]],Meczusie[Mecz]:Meczusie[RodzajMeczu],2,FALSE)</f>
        <v>Liga</v>
      </c>
    </row>
    <row r="2007" spans="1:37" x14ac:dyDescent="0.25">
      <c r="A2007" s="76">
        <v>5</v>
      </c>
      <c r="B2007" s="3" t="s">
        <v>161</v>
      </c>
      <c r="C2007" s="2" t="s">
        <v>157</v>
      </c>
      <c r="D2007" s="1">
        <v>0</v>
      </c>
      <c r="E2007" s="1">
        <v>0</v>
      </c>
      <c r="F2007" s="1">
        <v>0</v>
      </c>
      <c r="G2007" s="1">
        <v>6</v>
      </c>
      <c r="H2007" s="4">
        <v>0.5</v>
      </c>
      <c r="I2007" s="1">
        <v>7</v>
      </c>
      <c r="J2007" s="4">
        <v>0.86</v>
      </c>
      <c r="K2007" s="1">
        <v>0</v>
      </c>
      <c r="L2007" s="1">
        <v>7</v>
      </c>
      <c r="M2007" s="32">
        <f>IF(Mecze[[#This Row],[PR]]=0,0,Mecze[[#This Row],[PR]]/Mecze[[#This Row],[CZAS]])</f>
        <v>7.0707070707070704E-2</v>
      </c>
      <c r="N2007" s="32">
        <f>IF(Mecze[[#This Row],[OU]]=0,0,Mecze[[#This Row],[OU]]/Mecze[[#This Row],[CZAS]])</f>
        <v>6.0606060606060608E-2</v>
      </c>
      <c r="O2007" s="32">
        <f>IF(Mecze[[#This Row],[PC]]=0,0,Mecze[[#This Row],[PC]]/Mecze[[#This Row],[CZAS]])</f>
        <v>3.0303030303030304E-2</v>
      </c>
      <c r="P2007" s="32">
        <f>IF(Mecze[[#This Row],[SC]]=0,0,Mecze[[#This Row],[SC]]/Mecze[[#This Row],[CZAS]])</f>
        <v>0</v>
      </c>
      <c r="Q2007" s="32">
        <f>IF(Mecze[[#This Row],[OB]]=0,0,Mecze[[#This Row],[OB]]/Mecze[[#This Row],[CZAS]])</f>
        <v>0</v>
      </c>
      <c r="R2007" s="32">
        <f>IF(Mecze[[#This Row],[BR]]=0,0,Mecze[[#This Row],[BR]]/Mecze[[#This Row],[CZAS]])</f>
        <v>0</v>
      </c>
      <c r="S2007" s="44">
        <f>IF(Mecze[[#This Row],[Role]]="BR",SUMPRODUCT(Mecze[[#This Row],[/PR:90]:[/BR:90]],Brudnopis!$E$23:$J$23),0)</f>
        <v>0</v>
      </c>
      <c r="T2007" s="44">
        <f>IF(Mecze[[#This Row],[Role]]&lt;&gt;"BR",SUMPRODUCT(Mecze[[#This Row],[/PR:90]:[/BR:90]],Brudnopis!$E$24:$J$24),0)</f>
        <v>0.19191919191919191</v>
      </c>
      <c r="U2007" s="44">
        <f>IF(Mecze[[#This Row],[Role]]&lt;&gt;"BR",SUMPRODUCT(Mecze[[#This Row],[/PR:90]:[/BR:90]],Brudnopis!$E$25:$J$25),0)</f>
        <v>0.1767676767676768</v>
      </c>
      <c r="V2007" s="44">
        <f>IF(Mecze[[#This Row],[Role]]&lt;&gt;"BR",SUMPRODUCT(Mecze[[#This Row],[/PR:90]:[/BR:90]],Brudnopis!$E$26:$J$26),0)</f>
        <v>0.16161616161616163</v>
      </c>
      <c r="W2007" s="44">
        <f>IF(Mecze[[#This Row],[Role]]&lt;&gt;"BR",SUMPRODUCT(Mecze[[#This Row],[/PR:90]:[/BR:90]],Brudnopis!$E$27:$J$27),0)</f>
        <v>0.14393939393939392</v>
      </c>
      <c r="X2007" s="44">
        <f>IF(Mecze[[#This Row],[Role]]&lt;&gt;"BR",SUMPRODUCT(Mecze[[#This Row],[/PR:90]:[/BR:90]],Brudnopis!$E$28:$J$28),0)</f>
        <v>3.0303030303030304E-2</v>
      </c>
      <c r="Y2007" s="35">
        <f>IF(Mecze[[#This Row],[Role]]="BR",Mecze[[#This Row],[/OB:90]]+Mecze[[#This Row],[/PC:90]],SUM(Mecze[[#This Row],[/PR:90]:[/BR:90]]))</f>
        <v>0.16161616161616163</v>
      </c>
      <c r="Z2007" s="35">
        <f>IF(Mecze[[#This Row],[KC]]=0,SUM(Mecze[[#This Row],[/BRI]:[/NPI]]),SUM(Mecze[[#This Row],[/BRI]:[/NPI]])*0.6)</f>
        <v>0.70454545454545459</v>
      </c>
      <c r="AA2007" s="10">
        <f>IFERROR(Mecze[[#This Row],[BR]]/Mecze[[#This Row],[ST]],0)</f>
        <v>0</v>
      </c>
      <c r="AB2007">
        <f>ROUND(Mecze[[#This Row],[PD]]*Mecze[[#This Row],[%PC]],0)</f>
        <v>3</v>
      </c>
      <c r="AC2007">
        <f>ROUND(Mecze[[#This Row],[OD]]*Mecze[[#This Row],[%OU]],0)</f>
        <v>6</v>
      </c>
      <c r="AD2007" s="36" t="s">
        <v>47</v>
      </c>
      <c r="AE2007" s="36">
        <v>111</v>
      </c>
      <c r="AF2007" s="71">
        <v>6.49</v>
      </c>
      <c r="AG2007" s="37">
        <v>0</v>
      </c>
      <c r="AH2007" s="37">
        <v>0</v>
      </c>
      <c r="AI2007" s="37">
        <v>99</v>
      </c>
      <c r="AJ2007" s="37">
        <v>1</v>
      </c>
      <c r="AK2007" s="37" t="str">
        <f>VLOOKUP(Mecze[[#This Row],[Match ID]],Meczusie[Mecz]:Meczusie[RodzajMeczu],2,FALSE)</f>
        <v>Liga</v>
      </c>
    </row>
    <row r="2008" spans="1:37" x14ac:dyDescent="0.25">
      <c r="A2008" s="76">
        <v>3</v>
      </c>
      <c r="B2008" s="3" t="s">
        <v>158</v>
      </c>
      <c r="C2008" s="2" t="s">
        <v>157</v>
      </c>
      <c r="D2008" s="1">
        <v>0</v>
      </c>
      <c r="E2008" s="1">
        <v>0</v>
      </c>
      <c r="F2008" s="1">
        <v>0</v>
      </c>
      <c r="G2008" s="1">
        <v>8</v>
      </c>
      <c r="H2008" s="4">
        <v>0.25</v>
      </c>
      <c r="I2008" s="1">
        <v>7</v>
      </c>
      <c r="J2008" s="4">
        <v>0.71</v>
      </c>
      <c r="K2008" s="1">
        <v>0</v>
      </c>
      <c r="L2008" s="1">
        <v>7</v>
      </c>
      <c r="M2008" s="32">
        <f>IF(Mecze[[#This Row],[PR]]=0,0,Mecze[[#This Row],[PR]]/Mecze[[#This Row],[CZAS]])</f>
        <v>7.0707070707070704E-2</v>
      </c>
      <c r="N2008" s="32">
        <f>IF(Mecze[[#This Row],[OU]]=0,0,Mecze[[#This Row],[OU]]/Mecze[[#This Row],[CZAS]])</f>
        <v>5.0505050505050504E-2</v>
      </c>
      <c r="O2008" s="32">
        <f>IF(Mecze[[#This Row],[PC]]=0,0,Mecze[[#This Row],[PC]]/Mecze[[#This Row],[CZAS]])</f>
        <v>2.0202020202020204E-2</v>
      </c>
      <c r="P2008" s="32">
        <f>IF(Mecze[[#This Row],[SC]]=0,0,Mecze[[#This Row],[SC]]/Mecze[[#This Row],[CZAS]])</f>
        <v>0</v>
      </c>
      <c r="Q2008" s="32">
        <f>IF(Mecze[[#This Row],[OB]]=0,0,Mecze[[#This Row],[OB]]/Mecze[[#This Row],[CZAS]])</f>
        <v>0</v>
      </c>
      <c r="R2008" s="32">
        <f>IF(Mecze[[#This Row],[BR]]=0,0,Mecze[[#This Row],[BR]]/Mecze[[#This Row],[CZAS]])</f>
        <v>0</v>
      </c>
      <c r="S2008" s="44">
        <f>IF(Mecze[[#This Row],[Role]]="BR",SUMPRODUCT(Mecze[[#This Row],[/PR:90]:[/BR:90]],Brudnopis!$E$23:$J$23),0)</f>
        <v>0</v>
      </c>
      <c r="T2008" s="44">
        <f>IF(Mecze[[#This Row],[Role]]&lt;&gt;"BR",SUMPRODUCT(Mecze[[#This Row],[/PR:90]:[/BR:90]],Brudnopis!$E$24:$J$24),0)</f>
        <v>0.16666666666666666</v>
      </c>
      <c r="U2008" s="44">
        <f>IF(Mecze[[#This Row],[Role]]&lt;&gt;"BR",SUMPRODUCT(Mecze[[#This Row],[/PR:90]:[/BR:90]],Brudnopis!$E$25:$J$25),0)</f>
        <v>0.15151515151515152</v>
      </c>
      <c r="V2008" s="44">
        <f>IF(Mecze[[#This Row],[Role]]&lt;&gt;"BR",SUMPRODUCT(Mecze[[#This Row],[/PR:90]:[/BR:90]],Brudnopis!$E$26:$J$26),0)</f>
        <v>0.14141414141414141</v>
      </c>
      <c r="W2008" s="44">
        <f>IF(Mecze[[#This Row],[Role]]&lt;&gt;"BR",SUMPRODUCT(Mecze[[#This Row],[/PR:90]:[/BR:90]],Brudnopis!$E$27:$J$27),0)</f>
        <v>0.12121212121212122</v>
      </c>
      <c r="X2008" s="44">
        <f>IF(Mecze[[#This Row],[Role]]&lt;&gt;"BR",SUMPRODUCT(Mecze[[#This Row],[/PR:90]:[/BR:90]],Brudnopis!$E$28:$J$28),0)</f>
        <v>2.0202020202020204E-2</v>
      </c>
      <c r="Y2008" s="35">
        <f>IF(Mecze[[#This Row],[Role]]="BR",Mecze[[#This Row],[/OB:90]]+Mecze[[#This Row],[/PC:90]],SUM(Mecze[[#This Row],[/PR:90]:[/BR:90]]))</f>
        <v>0.14141414141414141</v>
      </c>
      <c r="Z2008" s="35">
        <f>IF(Mecze[[#This Row],[KC]]=0,SUM(Mecze[[#This Row],[/BRI]:[/NPI]]),SUM(Mecze[[#This Row],[/BRI]:[/NPI]])*0.6)</f>
        <v>0.60101010101010099</v>
      </c>
      <c r="AA2008" s="10">
        <f>IFERROR(Mecze[[#This Row],[BR]]/Mecze[[#This Row],[ST]],0)</f>
        <v>0</v>
      </c>
      <c r="AB2008">
        <f>ROUND(Mecze[[#This Row],[PD]]*Mecze[[#This Row],[%PC]],0)</f>
        <v>2</v>
      </c>
      <c r="AC2008">
        <f>ROUND(Mecze[[#This Row],[OD]]*Mecze[[#This Row],[%OU]],0)</f>
        <v>5</v>
      </c>
      <c r="AD2008" s="36" t="s">
        <v>168</v>
      </c>
      <c r="AE2008" s="36">
        <v>111</v>
      </c>
      <c r="AF2008" s="71">
        <v>4.18</v>
      </c>
      <c r="AG2008" s="37">
        <v>1</v>
      </c>
      <c r="AH2008" s="37">
        <v>0</v>
      </c>
      <c r="AI2008" s="37">
        <v>99</v>
      </c>
      <c r="AJ2008" s="37">
        <v>1</v>
      </c>
      <c r="AK2008" s="37" t="str">
        <f>VLOOKUP(Mecze[[#This Row],[Match ID]],Meczusie[Mecz]:Meczusie[RodzajMeczu],2,FALSE)</f>
        <v>Liga</v>
      </c>
    </row>
    <row r="2009" spans="1:37" x14ac:dyDescent="0.25">
      <c r="A2009" s="76">
        <v>18</v>
      </c>
      <c r="B2009" s="3" t="s">
        <v>211</v>
      </c>
      <c r="C2009" s="2" t="s">
        <v>157</v>
      </c>
      <c r="D2009" s="1">
        <v>0</v>
      </c>
      <c r="E2009" s="1">
        <v>0</v>
      </c>
      <c r="F2009" s="1">
        <v>0</v>
      </c>
      <c r="G2009" s="1">
        <v>4</v>
      </c>
      <c r="H2009" s="4">
        <v>0</v>
      </c>
      <c r="I2009" s="1">
        <v>5</v>
      </c>
      <c r="J2009" s="4">
        <v>0.8</v>
      </c>
      <c r="K2009" s="1">
        <v>0</v>
      </c>
      <c r="L2009" s="1">
        <v>7</v>
      </c>
      <c r="M2009" s="32">
        <f>IF(Mecze[[#This Row],[PR]]=0,0,Mecze[[#This Row],[PR]]/Mecze[[#This Row],[CZAS]])</f>
        <v>7.0707070707070704E-2</v>
      </c>
      <c r="N2009" s="32">
        <f>IF(Mecze[[#This Row],[OU]]=0,0,Mecze[[#This Row],[OU]]/Mecze[[#This Row],[CZAS]])</f>
        <v>4.0404040404040407E-2</v>
      </c>
      <c r="O2009" s="32">
        <f>IF(Mecze[[#This Row],[PC]]=0,0,Mecze[[#This Row],[PC]]/Mecze[[#This Row],[CZAS]])</f>
        <v>0</v>
      </c>
      <c r="P2009" s="32">
        <f>IF(Mecze[[#This Row],[SC]]=0,0,Mecze[[#This Row],[SC]]/Mecze[[#This Row],[CZAS]])</f>
        <v>0</v>
      </c>
      <c r="Q2009" s="32">
        <f>IF(Mecze[[#This Row],[OB]]=0,0,Mecze[[#This Row],[OB]]/Mecze[[#This Row],[CZAS]])</f>
        <v>0</v>
      </c>
      <c r="R2009" s="32">
        <f>IF(Mecze[[#This Row],[BR]]=0,0,Mecze[[#This Row],[BR]]/Mecze[[#This Row],[CZAS]])</f>
        <v>0</v>
      </c>
      <c r="S2009" s="44">
        <f>IF(Mecze[[#This Row],[Role]]="BR",SUMPRODUCT(Mecze[[#This Row],[/PR:90]:[/BR:90]],Brudnopis!$E$23:$J$23),0)</f>
        <v>0</v>
      </c>
      <c r="T2009" s="44">
        <f>IF(Mecze[[#This Row],[Role]]&lt;&gt;"BR",SUMPRODUCT(Mecze[[#This Row],[/PR:90]:[/BR:90]],Brudnopis!$E$24:$J$24),0)</f>
        <v>0.13131313131313133</v>
      </c>
      <c r="U2009" s="44">
        <f>IF(Mecze[[#This Row],[Role]]&lt;&gt;"BR",SUMPRODUCT(Mecze[[#This Row],[/PR:90]:[/BR:90]],Brudnopis!$E$25:$J$25),0)</f>
        <v>0.1111111111111111</v>
      </c>
      <c r="V2009" s="44">
        <f>IF(Mecze[[#This Row],[Role]]&lt;&gt;"BR",SUMPRODUCT(Mecze[[#This Row],[/PR:90]:[/BR:90]],Brudnopis!$E$26:$J$26),0)</f>
        <v>0.1111111111111111</v>
      </c>
      <c r="W2009" s="44">
        <f>IF(Mecze[[#This Row],[Role]]&lt;&gt;"BR",SUMPRODUCT(Mecze[[#This Row],[/PR:90]:[/BR:90]],Brudnopis!$E$27:$J$27),0)</f>
        <v>8.3333333333333329E-2</v>
      </c>
      <c r="X2009" s="44">
        <f>IF(Mecze[[#This Row],[Role]]&lt;&gt;"BR",SUMPRODUCT(Mecze[[#This Row],[/PR:90]:[/BR:90]],Brudnopis!$E$28:$J$28),0)</f>
        <v>0</v>
      </c>
      <c r="Y2009" s="35">
        <f>IF(Mecze[[#This Row],[Role]]="BR",Mecze[[#This Row],[/OB:90]]+Mecze[[#This Row],[/PC:90]],SUM(Mecze[[#This Row],[/PR:90]:[/BR:90]]))</f>
        <v>0.1111111111111111</v>
      </c>
      <c r="Z2009" s="35">
        <f>IF(Mecze[[#This Row],[KC]]=0,SUM(Mecze[[#This Row],[/BRI]:[/NPI]]),SUM(Mecze[[#This Row],[/BRI]:[/NPI]])*0.6)</f>
        <v>0.43686868686868685</v>
      </c>
      <c r="AA2009" s="10">
        <f>IFERROR(Mecze[[#This Row],[BR]]/Mecze[[#This Row],[ST]],0)</f>
        <v>0</v>
      </c>
      <c r="AB2009">
        <f>ROUND(Mecze[[#This Row],[PD]]*Mecze[[#This Row],[%PC]],0)</f>
        <v>0</v>
      </c>
      <c r="AC2009">
        <f>ROUND(Mecze[[#This Row],[OD]]*Mecze[[#This Row],[%OU]],0)</f>
        <v>4</v>
      </c>
      <c r="AD2009" s="36" t="s">
        <v>167</v>
      </c>
      <c r="AE2009" s="36">
        <v>111</v>
      </c>
      <c r="AF2009" s="71">
        <v>6.49</v>
      </c>
      <c r="AG2009" s="37">
        <v>0</v>
      </c>
      <c r="AH2009" s="37">
        <v>0</v>
      </c>
      <c r="AI2009" s="37">
        <v>99</v>
      </c>
      <c r="AJ2009" s="37">
        <v>1</v>
      </c>
      <c r="AK2009" s="37" t="str">
        <f>VLOOKUP(Mecze[[#This Row],[Match ID]],Meczusie[Mecz]:Meczusie[RodzajMeczu],2,FALSE)</f>
        <v>Liga</v>
      </c>
    </row>
    <row r="2010" spans="1:37" x14ac:dyDescent="0.25">
      <c r="A2010" s="76">
        <v>6</v>
      </c>
      <c r="B2010" s="3" t="s">
        <v>159</v>
      </c>
      <c r="C2010" s="2" t="s">
        <v>160</v>
      </c>
      <c r="D2010" s="1">
        <v>0</v>
      </c>
      <c r="E2010" s="1">
        <v>0</v>
      </c>
      <c r="F2010" s="1">
        <v>0</v>
      </c>
      <c r="G2010" s="1">
        <v>13</v>
      </c>
      <c r="H2010" s="4">
        <v>0.46</v>
      </c>
      <c r="I2010" s="1">
        <v>7</v>
      </c>
      <c r="J2010" s="4">
        <v>0.43</v>
      </c>
      <c r="K2010" s="1">
        <v>0</v>
      </c>
      <c r="L2010" s="1">
        <v>8</v>
      </c>
      <c r="M2010" s="32">
        <f>IF(Mecze[[#This Row],[PR]]=0,0,Mecze[[#This Row],[PR]]/Mecze[[#This Row],[CZAS]])</f>
        <v>8.0808080808080815E-2</v>
      </c>
      <c r="N2010" s="32">
        <f>IF(Mecze[[#This Row],[OU]]=0,0,Mecze[[#This Row],[OU]]/Mecze[[#This Row],[CZAS]])</f>
        <v>3.0303030303030304E-2</v>
      </c>
      <c r="O2010" s="32">
        <f>IF(Mecze[[#This Row],[PC]]=0,0,Mecze[[#This Row],[PC]]/Mecze[[#This Row],[CZAS]])</f>
        <v>6.0606060606060608E-2</v>
      </c>
      <c r="P2010" s="32">
        <f>IF(Mecze[[#This Row],[SC]]=0,0,Mecze[[#This Row],[SC]]/Mecze[[#This Row],[CZAS]])</f>
        <v>0</v>
      </c>
      <c r="Q2010" s="32">
        <f>IF(Mecze[[#This Row],[OB]]=0,0,Mecze[[#This Row],[OB]]/Mecze[[#This Row],[CZAS]])</f>
        <v>0</v>
      </c>
      <c r="R2010" s="32">
        <f>IF(Mecze[[#This Row],[BR]]=0,0,Mecze[[#This Row],[BR]]/Mecze[[#This Row],[CZAS]])</f>
        <v>0</v>
      </c>
      <c r="S2010" s="44">
        <f>IF(Mecze[[#This Row],[Role]]="BR",SUMPRODUCT(Mecze[[#This Row],[/PR:90]:[/BR:90]],Brudnopis!$E$23:$J$23),0)</f>
        <v>0</v>
      </c>
      <c r="T2010" s="44">
        <f>IF(Mecze[[#This Row],[Role]]&lt;&gt;"BR",SUMPRODUCT(Mecze[[#This Row],[/PR:90]:[/BR:90]],Brudnopis!$E$24:$J$24),0)</f>
        <v>0.18686868686868688</v>
      </c>
      <c r="U2010" s="44">
        <f>IF(Mecze[[#This Row],[Role]]&lt;&gt;"BR",SUMPRODUCT(Mecze[[#This Row],[/PR:90]:[/BR:90]],Brudnopis!$E$25:$J$25),0)</f>
        <v>0.20202020202020204</v>
      </c>
      <c r="V2010" s="44">
        <f>IF(Mecze[[#This Row],[Role]]&lt;&gt;"BR",SUMPRODUCT(Mecze[[#This Row],[/PR:90]:[/BR:90]],Brudnopis!$E$26:$J$26),0)</f>
        <v>0.17171717171717171</v>
      </c>
      <c r="W2010" s="44">
        <f>IF(Mecze[[#This Row],[Role]]&lt;&gt;"BR",SUMPRODUCT(Mecze[[#This Row],[/PR:90]:[/BR:90]],Brudnopis!$E$27:$J$27),0)</f>
        <v>0.17424242424242425</v>
      </c>
      <c r="X2010" s="44">
        <f>IF(Mecze[[#This Row],[Role]]&lt;&gt;"BR",SUMPRODUCT(Mecze[[#This Row],[/PR:90]:[/BR:90]],Brudnopis!$E$28:$J$28),0)</f>
        <v>6.0606060606060608E-2</v>
      </c>
      <c r="Y2010" s="35">
        <f>IF(Mecze[[#This Row],[Role]]="BR",Mecze[[#This Row],[/OB:90]]+Mecze[[#This Row],[/PC:90]],SUM(Mecze[[#This Row],[/PR:90]:[/BR:90]]))</f>
        <v>0.17171717171717171</v>
      </c>
      <c r="Z2010" s="35">
        <f>IF(Mecze[[#This Row],[KC]]=0,SUM(Mecze[[#This Row],[/BRI]:[/NPI]]),SUM(Mecze[[#This Row],[/BRI]:[/NPI]])*0.6)</f>
        <v>0.79545454545454541</v>
      </c>
      <c r="AA2010" s="10">
        <f>IFERROR(Mecze[[#This Row],[BR]]/Mecze[[#This Row],[ST]],0)</f>
        <v>0</v>
      </c>
      <c r="AB2010">
        <f>ROUND(Mecze[[#This Row],[PD]]*Mecze[[#This Row],[%PC]],0)</f>
        <v>6</v>
      </c>
      <c r="AC2010">
        <f>ROUND(Mecze[[#This Row],[OD]]*Mecze[[#This Row],[%OU]],0)</f>
        <v>3</v>
      </c>
      <c r="AD2010" s="36" t="s">
        <v>41</v>
      </c>
      <c r="AE2010" s="36">
        <v>111</v>
      </c>
      <c r="AF2010" s="71">
        <v>4.38</v>
      </c>
      <c r="AG2010" s="37">
        <v>0</v>
      </c>
      <c r="AH2010" s="37">
        <v>0</v>
      </c>
      <c r="AI2010" s="37">
        <v>99</v>
      </c>
      <c r="AJ2010" s="37">
        <v>1</v>
      </c>
      <c r="AK2010" s="37" t="str">
        <f>VLOOKUP(Mecze[[#This Row],[Match ID]],Meczusie[Mecz]:Meczusie[RodzajMeczu],2,FALSE)</f>
        <v>Liga</v>
      </c>
    </row>
    <row r="2011" spans="1:37" x14ac:dyDescent="0.25">
      <c r="A2011" s="76">
        <v>8</v>
      </c>
      <c r="B2011" s="3" t="s">
        <v>154</v>
      </c>
      <c r="C2011" s="2" t="s">
        <v>160</v>
      </c>
      <c r="D2011" s="1">
        <v>0</v>
      </c>
      <c r="E2011" s="1">
        <v>0</v>
      </c>
      <c r="F2011" s="1">
        <v>0</v>
      </c>
      <c r="G2011" s="1">
        <v>11</v>
      </c>
      <c r="H2011" s="4">
        <v>0.64</v>
      </c>
      <c r="I2011" s="1">
        <v>9</v>
      </c>
      <c r="J2011" s="4">
        <v>0.44</v>
      </c>
      <c r="K2011" s="1">
        <v>0</v>
      </c>
      <c r="L2011" s="1">
        <v>5</v>
      </c>
      <c r="M2011" s="32">
        <f>IF(Mecze[[#This Row],[PR]]=0,0,Mecze[[#This Row],[PR]]/Mecze[[#This Row],[CZAS]])</f>
        <v>5.0505050505050504E-2</v>
      </c>
      <c r="N2011" s="32">
        <f>IF(Mecze[[#This Row],[OU]]=0,0,Mecze[[#This Row],[OU]]/Mecze[[#This Row],[CZAS]])</f>
        <v>4.0404040404040407E-2</v>
      </c>
      <c r="O2011" s="32">
        <f>IF(Mecze[[#This Row],[PC]]=0,0,Mecze[[#This Row],[PC]]/Mecze[[#This Row],[CZAS]])</f>
        <v>7.0707070707070704E-2</v>
      </c>
      <c r="P2011" s="32">
        <f>IF(Mecze[[#This Row],[SC]]=0,0,Mecze[[#This Row],[SC]]/Mecze[[#This Row],[CZAS]])</f>
        <v>0</v>
      </c>
      <c r="Q2011" s="32">
        <f>IF(Mecze[[#This Row],[OB]]=0,0,Mecze[[#This Row],[OB]]/Mecze[[#This Row],[CZAS]])</f>
        <v>0</v>
      </c>
      <c r="R2011" s="32">
        <f>IF(Mecze[[#This Row],[BR]]=0,0,Mecze[[#This Row],[BR]]/Mecze[[#This Row],[CZAS]])</f>
        <v>0</v>
      </c>
      <c r="S2011" s="44">
        <f>IF(Mecze[[#This Row],[Role]]="BR",SUMPRODUCT(Mecze[[#This Row],[/PR:90]:[/BR:90]],Brudnopis!$E$23:$J$23),0)</f>
        <v>0</v>
      </c>
      <c r="T2011" s="44">
        <f>IF(Mecze[[#This Row],[Role]]&lt;&gt;"BR",SUMPRODUCT(Mecze[[#This Row],[/PR:90]:[/BR:90]],Brudnopis!$E$24:$J$24),0)</f>
        <v>0.18181818181818182</v>
      </c>
      <c r="U2011" s="44">
        <f>IF(Mecze[[#This Row],[Role]]&lt;&gt;"BR",SUMPRODUCT(Mecze[[#This Row],[/PR:90]:[/BR:90]],Brudnopis!$E$25:$J$25),0)</f>
        <v>0.19696969696969696</v>
      </c>
      <c r="V2011" s="44">
        <f>IF(Mecze[[#This Row],[Role]]&lt;&gt;"BR",SUMPRODUCT(Mecze[[#This Row],[/PR:90]:[/BR:90]],Brudnopis!$E$26:$J$26),0)</f>
        <v>0.1616161616161616</v>
      </c>
      <c r="W2011" s="44">
        <f>IF(Mecze[[#This Row],[Role]]&lt;&gt;"BR",SUMPRODUCT(Mecze[[#This Row],[/PR:90]:[/BR:90]],Brudnopis!$E$27:$J$27),0)</f>
        <v>0.17424242424242423</v>
      </c>
      <c r="X2011" s="44">
        <f>IF(Mecze[[#This Row],[Role]]&lt;&gt;"BR",SUMPRODUCT(Mecze[[#This Row],[/PR:90]:[/BR:90]],Brudnopis!$E$28:$J$28),0)</f>
        <v>7.0707070707070704E-2</v>
      </c>
      <c r="Y2011" s="35">
        <f>IF(Mecze[[#This Row],[Role]]="BR",Mecze[[#This Row],[/OB:90]]+Mecze[[#This Row],[/PC:90]],SUM(Mecze[[#This Row],[/PR:90]:[/BR:90]]))</f>
        <v>0.1616161616161616</v>
      </c>
      <c r="Z2011" s="35">
        <f>IF(Mecze[[#This Row],[KC]]=0,SUM(Mecze[[#This Row],[/BRI]:[/NPI]]),SUM(Mecze[[#This Row],[/BRI]:[/NPI]])*0.6)</f>
        <v>0.78535353535353536</v>
      </c>
      <c r="AA2011" s="10">
        <f>IFERROR(Mecze[[#This Row],[BR]]/Mecze[[#This Row],[ST]],0)</f>
        <v>0</v>
      </c>
      <c r="AB2011">
        <f>ROUND(Mecze[[#This Row],[PD]]*Mecze[[#This Row],[%PC]],0)</f>
        <v>7</v>
      </c>
      <c r="AC2011">
        <f>ROUND(Mecze[[#This Row],[OD]]*Mecze[[#This Row],[%OU]],0)</f>
        <v>4</v>
      </c>
      <c r="AD2011" s="36" t="s">
        <v>41</v>
      </c>
      <c r="AE2011" s="36">
        <v>111</v>
      </c>
      <c r="AF2011" s="71">
        <v>4.96</v>
      </c>
      <c r="AG2011" s="37">
        <v>0</v>
      </c>
      <c r="AH2011" s="37">
        <v>0</v>
      </c>
      <c r="AI2011" s="37">
        <v>99</v>
      </c>
      <c r="AJ2011" s="37">
        <v>1</v>
      </c>
      <c r="AK2011" s="37" t="str">
        <f>VLOOKUP(Mecze[[#This Row],[Match ID]],Meczusie[Mecz]:Meczusie[RodzajMeczu],2,FALSE)</f>
        <v>Liga</v>
      </c>
    </row>
    <row r="2012" spans="1:37" x14ac:dyDescent="0.25">
      <c r="A2012" s="76">
        <v>15</v>
      </c>
      <c r="B2012" s="3" t="s">
        <v>170</v>
      </c>
      <c r="C2012" s="2" t="s">
        <v>160</v>
      </c>
      <c r="D2012" s="1">
        <v>0</v>
      </c>
      <c r="E2012" s="1">
        <v>0</v>
      </c>
      <c r="F2012" s="1">
        <v>0</v>
      </c>
      <c r="G2012" s="1">
        <v>7</v>
      </c>
      <c r="H2012" s="4">
        <v>0.56999999999999995</v>
      </c>
      <c r="I2012" s="1">
        <v>5</v>
      </c>
      <c r="J2012" s="4">
        <v>0.4</v>
      </c>
      <c r="K2012" s="1">
        <v>0</v>
      </c>
      <c r="L2012" s="1">
        <v>2</v>
      </c>
      <c r="M2012" s="32">
        <f>IF(Mecze[[#This Row],[PR]]=0,0,Mecze[[#This Row],[PR]]/Mecze[[#This Row],[CZAS]])</f>
        <v>2.0202020202020204E-2</v>
      </c>
      <c r="N2012" s="32">
        <f>IF(Mecze[[#This Row],[OU]]=0,0,Mecze[[#This Row],[OU]]/Mecze[[#This Row],[CZAS]])</f>
        <v>2.0202020202020204E-2</v>
      </c>
      <c r="O2012" s="32">
        <f>IF(Mecze[[#This Row],[PC]]=0,0,Mecze[[#This Row],[PC]]/Mecze[[#This Row],[CZAS]])</f>
        <v>4.0404040404040407E-2</v>
      </c>
      <c r="P2012" s="32">
        <f>IF(Mecze[[#This Row],[SC]]=0,0,Mecze[[#This Row],[SC]]/Mecze[[#This Row],[CZAS]])</f>
        <v>0</v>
      </c>
      <c r="Q2012" s="32">
        <f>IF(Mecze[[#This Row],[OB]]=0,0,Mecze[[#This Row],[OB]]/Mecze[[#This Row],[CZAS]])</f>
        <v>0</v>
      </c>
      <c r="R2012" s="32">
        <f>IF(Mecze[[#This Row],[BR]]=0,0,Mecze[[#This Row],[BR]]/Mecze[[#This Row],[CZAS]])</f>
        <v>0</v>
      </c>
      <c r="S2012" s="44">
        <f>IF(Mecze[[#This Row],[Role]]="BR",SUMPRODUCT(Mecze[[#This Row],[/PR:90]:[/BR:90]],Brudnopis!$E$23:$J$23),0)</f>
        <v>0</v>
      </c>
      <c r="T2012" s="44">
        <f>IF(Mecze[[#This Row],[Role]]&lt;&gt;"BR",SUMPRODUCT(Mecze[[#This Row],[/PR:90]:[/BR:90]],Brudnopis!$E$24:$J$24),0)</f>
        <v>9.0909090909090912E-2</v>
      </c>
      <c r="U2012" s="44">
        <f>IF(Mecze[[#This Row],[Role]]&lt;&gt;"BR",SUMPRODUCT(Mecze[[#This Row],[/PR:90]:[/BR:90]],Brudnopis!$E$25:$J$25),0)</f>
        <v>0.10101010101010102</v>
      </c>
      <c r="V2012" s="44">
        <f>IF(Mecze[[#This Row],[Role]]&lt;&gt;"BR",SUMPRODUCT(Mecze[[#This Row],[/PR:90]:[/BR:90]],Brudnopis!$E$26:$J$26),0)</f>
        <v>8.0808080808080815E-2</v>
      </c>
      <c r="W2012" s="44">
        <f>IF(Mecze[[#This Row],[Role]]&lt;&gt;"BR",SUMPRODUCT(Mecze[[#This Row],[/PR:90]:[/BR:90]],Brudnopis!$E$27:$J$27),0)</f>
        <v>9.0909090909090912E-2</v>
      </c>
      <c r="X2012" s="44">
        <f>IF(Mecze[[#This Row],[Role]]&lt;&gt;"BR",SUMPRODUCT(Mecze[[#This Row],[/PR:90]:[/BR:90]],Brudnopis!$E$28:$J$28),0)</f>
        <v>4.0404040404040407E-2</v>
      </c>
      <c r="Y2012" s="35">
        <f>IF(Mecze[[#This Row],[Role]]="BR",Mecze[[#This Row],[/OB:90]]+Mecze[[#This Row],[/PC:90]],SUM(Mecze[[#This Row],[/PR:90]:[/BR:90]]))</f>
        <v>8.0808080808080815E-2</v>
      </c>
      <c r="Z2012" s="35">
        <f>IF(Mecze[[#This Row],[KC]]=0,SUM(Mecze[[#This Row],[/BRI]:[/NPI]]),SUM(Mecze[[#This Row],[/BRI]:[/NPI]])*0.6)</f>
        <v>0.40404040404040403</v>
      </c>
      <c r="AA2012" s="10">
        <f>IFERROR(Mecze[[#This Row],[BR]]/Mecze[[#This Row],[ST]],0)</f>
        <v>0</v>
      </c>
      <c r="AB2012">
        <f>ROUND(Mecze[[#This Row],[PD]]*Mecze[[#This Row],[%PC]],0)</f>
        <v>4</v>
      </c>
      <c r="AC2012">
        <f>ROUND(Mecze[[#This Row],[OD]]*Mecze[[#This Row],[%OU]],0)</f>
        <v>2</v>
      </c>
      <c r="AD2012" s="36" t="s">
        <v>318</v>
      </c>
      <c r="AE2012" s="36">
        <v>111</v>
      </c>
      <c r="AF2012" s="71">
        <v>4.33</v>
      </c>
      <c r="AG2012" s="37">
        <v>0</v>
      </c>
      <c r="AH2012" s="37">
        <v>0</v>
      </c>
      <c r="AI2012" s="37">
        <v>99</v>
      </c>
      <c r="AJ2012" s="37">
        <v>1</v>
      </c>
      <c r="AK2012" s="37" t="str">
        <f>VLOOKUP(Mecze[[#This Row],[Match ID]],Meczusie[Mecz]:Meczusie[RodzajMeczu],2,FALSE)</f>
        <v>Liga</v>
      </c>
    </row>
    <row r="2013" spans="1:37" x14ac:dyDescent="0.25">
      <c r="A2013" s="76">
        <v>13</v>
      </c>
      <c r="B2013" s="3" t="s">
        <v>162</v>
      </c>
      <c r="C2013" s="2" t="s">
        <v>160</v>
      </c>
      <c r="D2013" s="1">
        <v>0</v>
      </c>
      <c r="E2013" s="1">
        <v>0</v>
      </c>
      <c r="F2013" s="1">
        <v>0</v>
      </c>
      <c r="G2013" s="1">
        <v>10</v>
      </c>
      <c r="H2013" s="4">
        <v>0.6</v>
      </c>
      <c r="I2013" s="1">
        <v>2</v>
      </c>
      <c r="J2013" s="4">
        <v>1</v>
      </c>
      <c r="K2013" s="1">
        <v>0</v>
      </c>
      <c r="L2013" s="1">
        <v>4</v>
      </c>
      <c r="M2013" s="32">
        <f>IF(Mecze[[#This Row],[PR]]=0,0,Mecze[[#This Row],[PR]]/Mecze[[#This Row],[CZAS]])</f>
        <v>4.0404040404040407E-2</v>
      </c>
      <c r="N2013" s="32">
        <f>IF(Mecze[[#This Row],[OU]]=0,0,Mecze[[#This Row],[OU]]/Mecze[[#This Row],[CZAS]])</f>
        <v>2.0202020202020204E-2</v>
      </c>
      <c r="O2013" s="32">
        <f>IF(Mecze[[#This Row],[PC]]=0,0,Mecze[[#This Row],[PC]]/Mecze[[#This Row],[CZAS]])</f>
        <v>6.0606060606060608E-2</v>
      </c>
      <c r="P2013" s="32">
        <f>IF(Mecze[[#This Row],[SC]]=0,0,Mecze[[#This Row],[SC]]/Mecze[[#This Row],[CZAS]])</f>
        <v>0</v>
      </c>
      <c r="Q2013" s="32">
        <f>IF(Mecze[[#This Row],[OB]]=0,0,Mecze[[#This Row],[OB]]/Mecze[[#This Row],[CZAS]])</f>
        <v>0</v>
      </c>
      <c r="R2013" s="32">
        <f>IF(Mecze[[#This Row],[BR]]=0,0,Mecze[[#This Row],[BR]]/Mecze[[#This Row],[CZAS]])</f>
        <v>0</v>
      </c>
      <c r="S2013" s="44">
        <f>IF(Mecze[[#This Row],[Role]]="BR",SUMPRODUCT(Mecze[[#This Row],[/PR:90]:[/BR:90]],Brudnopis!$E$23:$J$23),0)</f>
        <v>0</v>
      </c>
      <c r="T2013" s="44">
        <f>IF(Mecze[[#This Row],[Role]]&lt;&gt;"BR",SUMPRODUCT(Mecze[[#This Row],[/PR:90]:[/BR:90]],Brudnopis!$E$24:$J$24),0)</f>
        <v>0.13131313131313133</v>
      </c>
      <c r="U2013" s="44">
        <f>IF(Mecze[[#This Row],[Role]]&lt;&gt;"BR",SUMPRODUCT(Mecze[[#This Row],[/PR:90]:[/BR:90]],Brudnopis!$E$25:$J$25),0)</f>
        <v>0.15151515151515152</v>
      </c>
      <c r="V2013" s="44">
        <f>IF(Mecze[[#This Row],[Role]]&lt;&gt;"BR",SUMPRODUCT(Mecze[[#This Row],[/PR:90]:[/BR:90]],Brudnopis!$E$26:$J$26),0)</f>
        <v>0.12121212121212122</v>
      </c>
      <c r="W2013" s="44">
        <f>IF(Mecze[[#This Row],[Role]]&lt;&gt;"BR",SUMPRODUCT(Mecze[[#This Row],[/PR:90]:[/BR:90]],Brudnopis!$E$27:$J$27),0)</f>
        <v>0.13636363636363635</v>
      </c>
      <c r="X2013" s="44">
        <f>IF(Mecze[[#This Row],[Role]]&lt;&gt;"BR",SUMPRODUCT(Mecze[[#This Row],[/PR:90]:[/BR:90]],Brudnopis!$E$28:$J$28),0)</f>
        <v>6.0606060606060608E-2</v>
      </c>
      <c r="Y2013" s="35">
        <f>IF(Mecze[[#This Row],[Role]]="BR",Mecze[[#This Row],[/OB:90]]+Mecze[[#This Row],[/PC:90]],SUM(Mecze[[#This Row],[/PR:90]:[/BR:90]]))</f>
        <v>0.12121212121212122</v>
      </c>
      <c r="Z2013" s="35">
        <f>IF(Mecze[[#This Row],[KC]]=0,SUM(Mecze[[#This Row],[/BRI]:[/NPI]]),SUM(Mecze[[#This Row],[/BRI]:[/NPI]])*0.6)</f>
        <v>0.60101010101010099</v>
      </c>
      <c r="AA2013" s="10">
        <f>IFERROR(Mecze[[#This Row],[BR]]/Mecze[[#This Row],[ST]],0)</f>
        <v>0</v>
      </c>
      <c r="AB2013">
        <f>ROUND(Mecze[[#This Row],[PD]]*Mecze[[#This Row],[%PC]],0)</f>
        <v>6</v>
      </c>
      <c r="AC2013">
        <f>ROUND(Mecze[[#This Row],[OD]]*Mecze[[#This Row],[%OU]],0)</f>
        <v>2</v>
      </c>
      <c r="AD2013" s="36" t="s">
        <v>319</v>
      </c>
      <c r="AE2013" s="36">
        <v>111</v>
      </c>
      <c r="AF2013" s="71">
        <v>4.75</v>
      </c>
      <c r="AG2013" s="37">
        <v>0</v>
      </c>
      <c r="AH2013" s="37">
        <v>0</v>
      </c>
      <c r="AI2013" s="37">
        <v>99</v>
      </c>
      <c r="AJ2013" s="37">
        <v>1</v>
      </c>
      <c r="AK2013" s="37" t="str">
        <f>VLOOKUP(Mecze[[#This Row],[Match ID]],Meczusie[Mecz]:Meczusie[RodzajMeczu],2,FALSE)</f>
        <v>Liga</v>
      </c>
    </row>
    <row r="2014" spans="1:37" x14ac:dyDescent="0.25">
      <c r="A2014" s="76">
        <v>14</v>
      </c>
      <c r="B2014" s="3" t="s">
        <v>164</v>
      </c>
      <c r="C2014" s="2" t="s">
        <v>165</v>
      </c>
      <c r="D2014" s="1">
        <v>0</v>
      </c>
      <c r="E2014" s="1">
        <v>5</v>
      </c>
      <c r="F2014" s="1">
        <v>5</v>
      </c>
      <c r="G2014" s="1">
        <v>5</v>
      </c>
      <c r="H2014" s="4">
        <v>0.6</v>
      </c>
      <c r="I2014" s="1">
        <v>6</v>
      </c>
      <c r="J2014" s="4">
        <v>0</v>
      </c>
      <c r="K2014" s="1">
        <v>0</v>
      </c>
      <c r="L2014" s="1">
        <v>0</v>
      </c>
      <c r="M2014" s="32">
        <f>IF(Mecze[[#This Row],[PR]]=0,0,Mecze[[#This Row],[PR]]/Mecze[[#This Row],[CZAS]])</f>
        <v>0</v>
      </c>
      <c r="N2014" s="32">
        <f>IF(Mecze[[#This Row],[OU]]=0,0,Mecze[[#This Row],[OU]]/Mecze[[#This Row],[CZAS]])</f>
        <v>0</v>
      </c>
      <c r="O2014" s="32">
        <f>IF(Mecze[[#This Row],[PC]]=0,0,Mecze[[#This Row],[PC]]/Mecze[[#This Row],[CZAS]])</f>
        <v>3.0303030303030304E-2</v>
      </c>
      <c r="P2014" s="32">
        <f>IF(Mecze[[#This Row],[SC]]=0,0,Mecze[[#This Row],[SC]]/Mecze[[#This Row],[CZAS]])</f>
        <v>5.0505050505050504E-2</v>
      </c>
      <c r="Q2014" s="32">
        <f>IF(Mecze[[#This Row],[OB]]=0,0,Mecze[[#This Row],[OB]]/Mecze[[#This Row],[CZAS]])</f>
        <v>0</v>
      </c>
      <c r="R2014" s="32">
        <f>IF(Mecze[[#This Row],[BR]]=0,0,Mecze[[#This Row],[BR]]/Mecze[[#This Row],[CZAS]])</f>
        <v>0</v>
      </c>
      <c r="S2014" s="44">
        <f>IF(Mecze[[#This Row],[Role]]="BR",SUMPRODUCT(Mecze[[#This Row],[/PR:90]:[/BR:90]],Brudnopis!$E$23:$J$23),0)</f>
        <v>0</v>
      </c>
      <c r="T2014" s="44">
        <f>IF(Mecze[[#This Row],[Role]]&lt;&gt;"BR",SUMPRODUCT(Mecze[[#This Row],[/PR:90]:[/BR:90]],Brudnopis!$E$24:$J$24),0)</f>
        <v>8.0808080808080801E-2</v>
      </c>
      <c r="U2014" s="44">
        <f>IF(Mecze[[#This Row],[Role]]&lt;&gt;"BR",SUMPRODUCT(Mecze[[#This Row],[/PR:90]:[/BR:90]],Brudnopis!$E$25:$J$25),0)</f>
        <v>9.5959595959595967E-2</v>
      </c>
      <c r="V2014" s="44">
        <f>IF(Mecze[[#This Row],[Role]]&lt;&gt;"BR",SUMPRODUCT(Mecze[[#This Row],[/PR:90]:[/BR:90]],Brudnopis!$E$26:$J$26),0)</f>
        <v>8.0808080808080801E-2</v>
      </c>
      <c r="W2014" s="44">
        <f>IF(Mecze[[#This Row],[Role]]&lt;&gt;"BR",SUMPRODUCT(Mecze[[#This Row],[/PR:90]:[/BR:90]],Brudnopis!$E$27:$J$27),0)</f>
        <v>9.5959595959595967E-2</v>
      </c>
      <c r="X2014" s="44">
        <f>IF(Mecze[[#This Row],[Role]]&lt;&gt;"BR",SUMPRODUCT(Mecze[[#This Row],[/PR:90]:[/BR:90]],Brudnopis!$E$28:$J$28),0)</f>
        <v>0.13131313131313133</v>
      </c>
      <c r="Y2014" s="35">
        <f>IF(Mecze[[#This Row],[Role]]="BR",Mecze[[#This Row],[/OB:90]]+Mecze[[#This Row],[/PC:90]],SUM(Mecze[[#This Row],[/PR:90]:[/BR:90]]))</f>
        <v>8.0808080808080801E-2</v>
      </c>
      <c r="Z2014" s="35">
        <f>IF(Mecze[[#This Row],[KC]]=0,SUM(Mecze[[#This Row],[/BRI]:[/NPI]]),SUM(Mecze[[#This Row],[/BRI]:[/NPI]])*0.6)</f>
        <v>0.48484848484848486</v>
      </c>
      <c r="AA2014" s="10">
        <f>IFERROR(Mecze[[#This Row],[BR]]/Mecze[[#This Row],[ST]],0)</f>
        <v>0</v>
      </c>
      <c r="AB2014">
        <f>ROUND(Mecze[[#This Row],[PD]]*Mecze[[#This Row],[%PC]],0)</f>
        <v>3</v>
      </c>
      <c r="AC2014">
        <f>ROUND(Mecze[[#This Row],[OD]]*Mecze[[#This Row],[%OU]],0)</f>
        <v>0</v>
      </c>
      <c r="AD2014" s="36" t="s">
        <v>46</v>
      </c>
      <c r="AE2014" s="36">
        <v>111</v>
      </c>
      <c r="AF2014" s="71">
        <v>5.14</v>
      </c>
      <c r="AG2014" s="37">
        <v>0</v>
      </c>
      <c r="AH2014" s="37">
        <v>0</v>
      </c>
      <c r="AI2014" s="37">
        <v>99</v>
      </c>
      <c r="AJ2014" s="37">
        <v>1</v>
      </c>
      <c r="AK2014" s="37" t="str">
        <f>VLOOKUP(Mecze[[#This Row],[Match ID]],Meczusie[Mecz]:Meczusie[RodzajMeczu],2,FALSE)</f>
        <v>Liga</v>
      </c>
    </row>
    <row r="2015" spans="1:37" x14ac:dyDescent="0.25">
      <c r="A2015" s="76">
        <v>9</v>
      </c>
      <c r="B2015" s="3" t="s">
        <v>411</v>
      </c>
      <c r="C2015" s="2" t="s">
        <v>165</v>
      </c>
      <c r="D2015" s="1">
        <v>0</v>
      </c>
      <c r="E2015" s="1">
        <v>3</v>
      </c>
      <c r="F2015" s="1">
        <v>3</v>
      </c>
      <c r="G2015" s="1">
        <v>5</v>
      </c>
      <c r="H2015" s="4">
        <v>0.6</v>
      </c>
      <c r="I2015" s="1">
        <v>4</v>
      </c>
      <c r="J2015" s="4">
        <v>0.5</v>
      </c>
      <c r="K2015" s="1">
        <v>0</v>
      </c>
      <c r="L2015" s="1">
        <v>0</v>
      </c>
      <c r="M2015" s="32">
        <f>IF(Mecze[[#This Row],[PR]]=0,0,Mecze[[#This Row],[PR]]/Mecze[[#This Row],[CZAS]])</f>
        <v>0</v>
      </c>
      <c r="N2015" s="32">
        <f>IF(Mecze[[#This Row],[OU]]=0,0,Mecze[[#This Row],[OU]]/Mecze[[#This Row],[CZAS]])</f>
        <v>2.0202020202020204E-2</v>
      </c>
      <c r="O2015" s="32">
        <f>IF(Mecze[[#This Row],[PC]]=0,0,Mecze[[#This Row],[PC]]/Mecze[[#This Row],[CZAS]])</f>
        <v>3.0303030303030304E-2</v>
      </c>
      <c r="P2015" s="32">
        <f>IF(Mecze[[#This Row],[SC]]=0,0,Mecze[[#This Row],[SC]]/Mecze[[#This Row],[CZAS]])</f>
        <v>3.0303030303030304E-2</v>
      </c>
      <c r="Q2015" s="32">
        <f>IF(Mecze[[#This Row],[OB]]=0,0,Mecze[[#This Row],[OB]]/Mecze[[#This Row],[CZAS]])</f>
        <v>0</v>
      </c>
      <c r="R2015" s="32">
        <f>IF(Mecze[[#This Row],[BR]]=0,0,Mecze[[#This Row],[BR]]/Mecze[[#This Row],[CZAS]])</f>
        <v>0</v>
      </c>
      <c r="S2015" s="44">
        <f>IF(Mecze[[#This Row],[Role]]="BR",SUMPRODUCT(Mecze[[#This Row],[/PR:90]:[/BR:90]],Brudnopis!$E$23:$J$23),0)</f>
        <v>0</v>
      </c>
      <c r="T2015" s="44">
        <f>IF(Mecze[[#This Row],[Role]]&lt;&gt;"BR",SUMPRODUCT(Mecze[[#This Row],[/PR:90]:[/BR:90]],Brudnopis!$E$24:$J$24),0)</f>
        <v>9.0909090909090912E-2</v>
      </c>
      <c r="U2015" s="44">
        <f>IF(Mecze[[#This Row],[Role]]&lt;&gt;"BR",SUMPRODUCT(Mecze[[#This Row],[/PR:90]:[/BR:90]],Brudnopis!$E$25:$J$25),0)</f>
        <v>9.5959595959595967E-2</v>
      </c>
      <c r="V2015" s="44">
        <f>IF(Mecze[[#This Row],[Role]]&lt;&gt;"BR",SUMPRODUCT(Mecze[[#This Row],[/PR:90]:[/BR:90]],Brudnopis!$E$26:$J$26),0)</f>
        <v>8.0808080808080815E-2</v>
      </c>
      <c r="W2015" s="44">
        <f>IF(Mecze[[#This Row],[Role]]&lt;&gt;"BR",SUMPRODUCT(Mecze[[#This Row],[/PR:90]:[/BR:90]],Brudnopis!$E$27:$J$27),0)</f>
        <v>9.0909090909090912E-2</v>
      </c>
      <c r="X2015" s="44">
        <f>IF(Mecze[[#This Row],[Role]]&lt;&gt;"BR",SUMPRODUCT(Mecze[[#This Row],[/PR:90]:[/BR:90]],Brudnopis!$E$28:$J$28),0)</f>
        <v>9.0909090909090912E-2</v>
      </c>
      <c r="Y2015" s="35">
        <f>IF(Mecze[[#This Row],[Role]]="BR",Mecze[[#This Row],[/OB:90]]+Mecze[[#This Row],[/PC:90]],SUM(Mecze[[#This Row],[/PR:90]:[/BR:90]]))</f>
        <v>8.0808080808080815E-2</v>
      </c>
      <c r="Z2015" s="35">
        <f>IF(Mecze[[#This Row],[KC]]=0,SUM(Mecze[[#This Row],[/BRI]:[/NPI]]),SUM(Mecze[[#This Row],[/BRI]:[/NPI]])*0.6)</f>
        <v>0.4494949494949495</v>
      </c>
      <c r="AA2015" s="10">
        <f>IFERROR(Mecze[[#This Row],[BR]]/Mecze[[#This Row],[ST]],0)</f>
        <v>0</v>
      </c>
      <c r="AB2015">
        <f>ROUND(Mecze[[#This Row],[PD]]*Mecze[[#This Row],[%PC]],0)</f>
        <v>3</v>
      </c>
      <c r="AC2015">
        <f>ROUND(Mecze[[#This Row],[OD]]*Mecze[[#This Row],[%OU]],0)</f>
        <v>2</v>
      </c>
      <c r="AD2015" s="36" t="s">
        <v>46</v>
      </c>
      <c r="AE2015" s="36">
        <v>111</v>
      </c>
      <c r="AF2015" s="71">
        <v>4.7</v>
      </c>
      <c r="AG2015" s="37">
        <v>0</v>
      </c>
      <c r="AH2015" s="37">
        <v>0</v>
      </c>
      <c r="AI2015" s="37">
        <v>99</v>
      </c>
      <c r="AJ2015" s="37">
        <v>1</v>
      </c>
      <c r="AK2015" s="37" t="str">
        <f>VLOOKUP(Mecze[[#This Row],[Match ID]],Meczusie[Mecz]:Meczusie[RodzajMeczu],2,FALSE)</f>
        <v>Liga</v>
      </c>
    </row>
    <row r="2016" spans="1:37" x14ac:dyDescent="0.25">
      <c r="A2016" s="76">
        <v>19</v>
      </c>
      <c r="B2016" s="3" t="s">
        <v>166</v>
      </c>
      <c r="C2016" s="2" t="s">
        <v>165</v>
      </c>
      <c r="D2016" s="1">
        <v>0</v>
      </c>
      <c r="E2016" s="1">
        <v>3</v>
      </c>
      <c r="F2016" s="1">
        <v>3</v>
      </c>
      <c r="G2016" s="1">
        <v>3</v>
      </c>
      <c r="H2016" s="4">
        <v>0.67</v>
      </c>
      <c r="I2016" s="1">
        <v>3</v>
      </c>
      <c r="J2016" s="4">
        <v>0.33</v>
      </c>
      <c r="K2016" s="1">
        <v>0</v>
      </c>
      <c r="L2016" s="1">
        <v>1</v>
      </c>
      <c r="M2016" s="32">
        <f>IF(Mecze[[#This Row],[PR]]=0,0,Mecze[[#This Row],[PR]]/Mecze[[#This Row],[CZAS]])</f>
        <v>1.0101010101010102E-2</v>
      </c>
      <c r="N2016" s="32">
        <f>IF(Mecze[[#This Row],[OU]]=0,0,Mecze[[#This Row],[OU]]/Mecze[[#This Row],[CZAS]])</f>
        <v>1.0101010101010102E-2</v>
      </c>
      <c r="O2016" s="32">
        <f>IF(Mecze[[#This Row],[PC]]=0,0,Mecze[[#This Row],[PC]]/Mecze[[#This Row],[CZAS]])</f>
        <v>2.0202020202020204E-2</v>
      </c>
      <c r="P2016" s="32">
        <f>IF(Mecze[[#This Row],[SC]]=0,0,Mecze[[#This Row],[SC]]/Mecze[[#This Row],[CZAS]])</f>
        <v>3.0303030303030304E-2</v>
      </c>
      <c r="Q2016" s="32">
        <f>IF(Mecze[[#This Row],[OB]]=0,0,Mecze[[#This Row],[OB]]/Mecze[[#This Row],[CZAS]])</f>
        <v>0</v>
      </c>
      <c r="R2016" s="32">
        <f>IF(Mecze[[#This Row],[BR]]=0,0,Mecze[[#This Row],[BR]]/Mecze[[#This Row],[CZAS]])</f>
        <v>0</v>
      </c>
      <c r="S2016" s="44">
        <f>IF(Mecze[[#This Row],[Role]]="BR",SUMPRODUCT(Mecze[[#This Row],[/PR:90]:[/BR:90]],Brudnopis!$E$23:$J$23),0)</f>
        <v>0</v>
      </c>
      <c r="T2016" s="44">
        <f>IF(Mecze[[#This Row],[Role]]&lt;&gt;"BR",SUMPRODUCT(Mecze[[#This Row],[/PR:90]:[/BR:90]],Brudnopis!$E$24:$J$24),0)</f>
        <v>7.575757575757576E-2</v>
      </c>
      <c r="U2016" s="44">
        <f>IF(Mecze[[#This Row],[Role]]&lt;&gt;"BR",SUMPRODUCT(Mecze[[#This Row],[/PR:90]:[/BR:90]],Brudnopis!$E$25:$J$25),0)</f>
        <v>8.0808080808080815E-2</v>
      </c>
      <c r="V2016" s="44">
        <f>IF(Mecze[[#This Row],[Role]]&lt;&gt;"BR",SUMPRODUCT(Mecze[[#This Row],[/PR:90]:[/BR:90]],Brudnopis!$E$26:$J$26),0)</f>
        <v>7.0707070707070718E-2</v>
      </c>
      <c r="W2016" s="44">
        <f>IF(Mecze[[#This Row],[Role]]&lt;&gt;"BR",SUMPRODUCT(Mecze[[#This Row],[/PR:90]:[/BR:90]],Brudnopis!$E$27:$J$27),0)</f>
        <v>7.575757575757576E-2</v>
      </c>
      <c r="X2016" s="44">
        <f>IF(Mecze[[#This Row],[Role]]&lt;&gt;"BR",SUMPRODUCT(Mecze[[#This Row],[/PR:90]:[/BR:90]],Brudnopis!$E$28:$J$28),0)</f>
        <v>8.0808080808080815E-2</v>
      </c>
      <c r="Y2016" s="35">
        <f>IF(Mecze[[#This Row],[Role]]="BR",Mecze[[#This Row],[/OB:90]]+Mecze[[#This Row],[/PC:90]],SUM(Mecze[[#This Row],[/PR:90]:[/BR:90]]))</f>
        <v>7.0707070707070718E-2</v>
      </c>
      <c r="Z2016" s="35">
        <f>IF(Mecze[[#This Row],[KC]]=0,SUM(Mecze[[#This Row],[/BRI]:[/NPI]]),SUM(Mecze[[#This Row],[/BRI]:[/NPI]])*0.6)</f>
        <v>0.38383838383838387</v>
      </c>
      <c r="AA2016" s="10">
        <f>IFERROR(Mecze[[#This Row],[BR]]/Mecze[[#This Row],[ST]],0)</f>
        <v>0</v>
      </c>
      <c r="AB2016">
        <f>ROUND(Mecze[[#This Row],[PD]]*Mecze[[#This Row],[%PC]],0)</f>
        <v>2</v>
      </c>
      <c r="AC2016">
        <f>ROUND(Mecze[[#This Row],[OD]]*Mecze[[#This Row],[%OU]],0)</f>
        <v>1</v>
      </c>
      <c r="AD2016" s="36" t="s">
        <v>46</v>
      </c>
      <c r="AE2016" s="36">
        <v>111</v>
      </c>
      <c r="AF2016" s="71">
        <v>2.2599999999999998</v>
      </c>
      <c r="AG2016" s="37">
        <v>1</v>
      </c>
      <c r="AH2016" s="37">
        <v>0</v>
      </c>
      <c r="AI2016" s="37">
        <v>99</v>
      </c>
      <c r="AJ2016" s="37">
        <v>1</v>
      </c>
      <c r="AK2016" s="37" t="str">
        <f>VLOOKUP(Mecze[[#This Row],[Match ID]],Meczusie[Mecz]:Meczusie[RodzajMeczu],2,FALSE)</f>
        <v>Liga</v>
      </c>
    </row>
    <row r="2017" spans="1:37" x14ac:dyDescent="0.25">
      <c r="A2017" s="76">
        <v>1</v>
      </c>
      <c r="B2017" s="3" t="s">
        <v>274</v>
      </c>
      <c r="C2017" s="2" t="s">
        <v>155</v>
      </c>
      <c r="D2017" s="1">
        <v>0</v>
      </c>
      <c r="E2017" s="1">
        <v>0</v>
      </c>
      <c r="F2017" s="1">
        <v>0</v>
      </c>
      <c r="G2017" s="1">
        <v>0</v>
      </c>
      <c r="H2017" s="72"/>
      <c r="I2017" s="1">
        <v>0</v>
      </c>
      <c r="J2017" s="4"/>
      <c r="K2017" s="1">
        <v>0</v>
      </c>
      <c r="L2017" s="1">
        <v>0</v>
      </c>
      <c r="M2017" s="32">
        <f>IF(Mecze[[#This Row],[PR]]=0,0,Mecze[[#This Row],[PR]]/Mecze[[#This Row],[CZAS]])</f>
        <v>0</v>
      </c>
      <c r="N2017" s="32">
        <f>IF(Mecze[[#This Row],[OU]]=0,0,Mecze[[#This Row],[OU]]/Mecze[[#This Row],[CZAS]])</f>
        <v>0</v>
      </c>
      <c r="O2017" s="32">
        <f>IF(Mecze[[#This Row],[PC]]=0,0,Mecze[[#This Row],[PC]]/Mecze[[#This Row],[CZAS]])</f>
        <v>0</v>
      </c>
      <c r="P2017" s="32">
        <f>IF(Mecze[[#This Row],[SC]]=0,0,Mecze[[#This Row],[SC]]/Mecze[[#This Row],[CZAS]])</f>
        <v>0</v>
      </c>
      <c r="Q2017" s="32">
        <f>IF(Mecze[[#This Row],[OB]]=0,0,Mecze[[#This Row],[OB]]/Mecze[[#This Row],[CZAS]])</f>
        <v>0</v>
      </c>
      <c r="R2017" s="32">
        <f>IF(Mecze[[#This Row],[BR]]=0,0,Mecze[[#This Row],[BR]]/Mecze[[#This Row],[CZAS]])</f>
        <v>0</v>
      </c>
      <c r="S2017" s="44">
        <f>IF(Mecze[[#This Row],[Role]]="BR",SUMPRODUCT(Mecze[[#This Row],[/PR:90]:[/BR:90]],Brudnopis!$E$23:$J$23),0)</f>
        <v>0</v>
      </c>
      <c r="T2017" s="44">
        <f>IF(Mecze[[#This Row],[Role]]&lt;&gt;"BR",SUMPRODUCT(Mecze[[#This Row],[/PR:90]:[/BR:90]],Brudnopis!$E$24:$J$24),0)</f>
        <v>0</v>
      </c>
      <c r="U2017" s="44">
        <f>IF(Mecze[[#This Row],[Role]]&lt;&gt;"BR",SUMPRODUCT(Mecze[[#This Row],[/PR:90]:[/BR:90]],Brudnopis!$E$25:$J$25),0)</f>
        <v>0</v>
      </c>
      <c r="V2017" s="44">
        <f>IF(Mecze[[#This Row],[Role]]&lt;&gt;"BR",SUMPRODUCT(Mecze[[#This Row],[/PR:90]:[/BR:90]],Brudnopis!$E$26:$J$26),0)</f>
        <v>0</v>
      </c>
      <c r="W2017" s="44">
        <f>IF(Mecze[[#This Row],[Role]]&lt;&gt;"BR",SUMPRODUCT(Mecze[[#This Row],[/PR:90]:[/BR:90]],Brudnopis!$E$27:$J$27),0)</f>
        <v>0</v>
      </c>
      <c r="X2017" s="44">
        <f>IF(Mecze[[#This Row],[Role]]&lt;&gt;"BR",SUMPRODUCT(Mecze[[#This Row],[/PR:90]:[/BR:90]],Brudnopis!$E$28:$J$28),0)</f>
        <v>0</v>
      </c>
      <c r="Y2017" s="35">
        <f>IF(Mecze[[#This Row],[Role]]="BR",Mecze[[#This Row],[/OB:90]]+Mecze[[#This Row],[/PC:90]],SUM(Mecze[[#This Row],[/PR:90]:[/BR:90]]))</f>
        <v>0</v>
      </c>
      <c r="Z2017" s="35">
        <f>IF(Mecze[[#This Row],[KC]]=0,SUM(Mecze[[#This Row],[/BRI]:[/NPI]]),SUM(Mecze[[#This Row],[/BRI]:[/NPI]])*0.6)</f>
        <v>0</v>
      </c>
      <c r="AA2017" s="10">
        <f>IFERROR(Mecze[[#This Row],[BR]]/Mecze[[#This Row],[ST]],0)</f>
        <v>0</v>
      </c>
      <c r="AB2017">
        <f>ROUND(Mecze[[#This Row],[PD]]*Mecze[[#This Row],[%PC]],0)</f>
        <v>0</v>
      </c>
      <c r="AC2017">
        <f>ROUND(Mecze[[#This Row],[OD]]*Mecze[[#This Row],[%OU]],0)</f>
        <v>0</v>
      </c>
      <c r="AD2017" s="36" t="s">
        <v>40</v>
      </c>
      <c r="AE2017" s="36">
        <v>112</v>
      </c>
      <c r="AF2017" s="71">
        <v>3.92</v>
      </c>
      <c r="AG2017" s="37">
        <v>0</v>
      </c>
      <c r="AH2017" s="37">
        <v>0</v>
      </c>
      <c r="AI2017" s="37">
        <v>97</v>
      </c>
      <c r="AJ2017" s="37">
        <v>4</v>
      </c>
      <c r="AK2017" s="37" t="str">
        <f>VLOOKUP(Mecze[[#This Row],[Match ID]],Meczusie[Mecz]:Meczusie[RodzajMeczu],2,FALSE)</f>
        <v>Liga</v>
      </c>
    </row>
    <row r="2018" spans="1:37" x14ac:dyDescent="0.25">
      <c r="A2018" s="76">
        <v>9</v>
      </c>
      <c r="B2018" s="3" t="s">
        <v>275</v>
      </c>
      <c r="C2018" s="2" t="s">
        <v>157</v>
      </c>
      <c r="D2018" s="1">
        <v>0</v>
      </c>
      <c r="E2018" s="1">
        <v>0</v>
      </c>
      <c r="F2018" s="1">
        <v>0</v>
      </c>
      <c r="G2018" s="1">
        <v>13</v>
      </c>
      <c r="H2018" s="4">
        <v>0.54</v>
      </c>
      <c r="I2018" s="1">
        <v>9</v>
      </c>
      <c r="J2018" s="4">
        <v>0.56000000000000005</v>
      </c>
      <c r="K2018" s="1">
        <v>0</v>
      </c>
      <c r="L2018" s="1">
        <v>5</v>
      </c>
      <c r="M2018" s="32">
        <f>IF(Mecze[[#This Row],[PR]]=0,0,Mecze[[#This Row],[PR]]/Mecze[[#This Row],[CZAS]])</f>
        <v>5.1546391752577317E-2</v>
      </c>
      <c r="N2018" s="32">
        <f>IF(Mecze[[#This Row],[OU]]=0,0,Mecze[[#This Row],[OU]]/Mecze[[#This Row],[CZAS]])</f>
        <v>5.1546391752577317E-2</v>
      </c>
      <c r="O2018" s="32">
        <f>IF(Mecze[[#This Row],[PC]]=0,0,Mecze[[#This Row],[PC]]/Mecze[[#This Row],[CZAS]])</f>
        <v>7.2164948453608241E-2</v>
      </c>
      <c r="P2018" s="32">
        <f>IF(Mecze[[#This Row],[SC]]=0,0,Mecze[[#This Row],[SC]]/Mecze[[#This Row],[CZAS]])</f>
        <v>0</v>
      </c>
      <c r="Q2018" s="32">
        <f>IF(Mecze[[#This Row],[OB]]=0,0,Mecze[[#This Row],[OB]]/Mecze[[#This Row],[CZAS]])</f>
        <v>0</v>
      </c>
      <c r="R2018" s="32">
        <f>IF(Mecze[[#This Row],[BR]]=0,0,Mecze[[#This Row],[BR]]/Mecze[[#This Row],[CZAS]])</f>
        <v>0</v>
      </c>
      <c r="S2018" s="44">
        <f>IF(Mecze[[#This Row],[Role]]="BR",SUMPRODUCT(Mecze[[#This Row],[/PR:90]:[/BR:90]],Brudnopis!$E$23:$J$23),0)</f>
        <v>0</v>
      </c>
      <c r="T2018" s="44">
        <f>IF(Mecze[[#This Row],[Role]]&lt;&gt;"BR",SUMPRODUCT(Mecze[[#This Row],[/PR:90]:[/BR:90]],Brudnopis!$E$24:$J$24),0)</f>
        <v>0.20103092783505153</v>
      </c>
      <c r="U2018" s="44">
        <f>IF(Mecze[[#This Row],[Role]]&lt;&gt;"BR",SUMPRODUCT(Mecze[[#This Row],[/PR:90]:[/BR:90]],Brudnopis!$E$25:$J$25),0)</f>
        <v>0.21134020618556698</v>
      </c>
      <c r="V2018" s="44">
        <f>IF(Mecze[[#This Row],[Role]]&lt;&gt;"BR",SUMPRODUCT(Mecze[[#This Row],[/PR:90]:[/BR:90]],Brudnopis!$E$26:$J$26),0)</f>
        <v>0.17525773195876287</v>
      </c>
      <c r="W2018" s="44">
        <f>IF(Mecze[[#This Row],[Role]]&lt;&gt;"BR",SUMPRODUCT(Mecze[[#This Row],[/PR:90]:[/BR:90]],Brudnopis!$E$27:$J$27),0)</f>
        <v>0.18556701030927836</v>
      </c>
      <c r="X2018" s="44">
        <f>IF(Mecze[[#This Row],[Role]]&lt;&gt;"BR",SUMPRODUCT(Mecze[[#This Row],[/PR:90]:[/BR:90]],Brudnopis!$E$28:$J$28),0)</f>
        <v>7.2164948453608241E-2</v>
      </c>
      <c r="Y2018" s="35">
        <f>IF(Mecze[[#This Row],[Role]]="BR",Mecze[[#This Row],[/OB:90]]+Mecze[[#This Row],[/PC:90]],SUM(Mecze[[#This Row],[/PR:90]:[/BR:90]]))</f>
        <v>0.17525773195876287</v>
      </c>
      <c r="Z2018" s="35">
        <f>IF(Mecze[[#This Row],[KC]]=0,SUM(Mecze[[#This Row],[/BRI]:[/NPI]]),SUM(Mecze[[#This Row],[/BRI]:[/NPI]])*0.6)</f>
        <v>0.84536082474226792</v>
      </c>
      <c r="AA2018" s="10">
        <f>IFERROR(Mecze[[#This Row],[BR]]/Mecze[[#This Row],[ST]],0)</f>
        <v>0</v>
      </c>
      <c r="AB2018">
        <f>ROUND(Mecze[[#This Row],[PD]]*Mecze[[#This Row],[%PC]],0)</f>
        <v>7</v>
      </c>
      <c r="AC2018">
        <f>ROUND(Mecze[[#This Row],[OD]]*Mecze[[#This Row],[%OU]],0)</f>
        <v>5</v>
      </c>
      <c r="AD2018" s="36" t="s">
        <v>47</v>
      </c>
      <c r="AE2018" s="36">
        <v>112</v>
      </c>
      <c r="AF2018" s="71">
        <v>6.09</v>
      </c>
      <c r="AG2018" s="37">
        <v>0</v>
      </c>
      <c r="AH2018" s="37">
        <v>0</v>
      </c>
      <c r="AI2018" s="37">
        <v>97</v>
      </c>
      <c r="AJ2018" s="37">
        <v>4</v>
      </c>
      <c r="AK2018" s="37" t="str">
        <f>VLOOKUP(Mecze[[#This Row],[Match ID]],Meczusie[Mecz]:Meczusie[RodzajMeczu],2,FALSE)</f>
        <v>Liga</v>
      </c>
    </row>
    <row r="2019" spans="1:37" x14ac:dyDescent="0.25">
      <c r="A2019" s="76">
        <v>4</v>
      </c>
      <c r="B2019" s="3" t="s">
        <v>276</v>
      </c>
      <c r="C2019" s="2" t="s">
        <v>157</v>
      </c>
      <c r="D2019" s="1">
        <v>0</v>
      </c>
      <c r="E2019" s="1">
        <v>0</v>
      </c>
      <c r="F2019" s="1">
        <v>0</v>
      </c>
      <c r="G2019" s="1">
        <v>5</v>
      </c>
      <c r="H2019" s="4">
        <v>1</v>
      </c>
      <c r="I2019" s="1">
        <v>7</v>
      </c>
      <c r="J2019" s="4">
        <v>1</v>
      </c>
      <c r="K2019" s="1">
        <v>0</v>
      </c>
      <c r="L2019" s="1">
        <v>6</v>
      </c>
      <c r="M2019" s="32">
        <f>IF(Mecze[[#This Row],[PR]]=0,0,Mecze[[#This Row],[PR]]/Mecze[[#This Row],[CZAS]])</f>
        <v>6.1855670103092786E-2</v>
      </c>
      <c r="N2019" s="32">
        <f>IF(Mecze[[#This Row],[OU]]=0,0,Mecze[[#This Row],[OU]]/Mecze[[#This Row],[CZAS]])</f>
        <v>7.2164948453608241E-2</v>
      </c>
      <c r="O2019" s="32">
        <f>IF(Mecze[[#This Row],[PC]]=0,0,Mecze[[#This Row],[PC]]/Mecze[[#This Row],[CZAS]])</f>
        <v>5.1546391752577317E-2</v>
      </c>
      <c r="P2019" s="32">
        <f>IF(Mecze[[#This Row],[SC]]=0,0,Mecze[[#This Row],[SC]]/Mecze[[#This Row],[CZAS]])</f>
        <v>0</v>
      </c>
      <c r="Q2019" s="32">
        <f>IF(Mecze[[#This Row],[OB]]=0,0,Mecze[[#This Row],[OB]]/Mecze[[#This Row],[CZAS]])</f>
        <v>0</v>
      </c>
      <c r="R2019" s="32">
        <f>IF(Mecze[[#This Row],[BR]]=0,0,Mecze[[#This Row],[BR]]/Mecze[[#This Row],[CZAS]])</f>
        <v>0</v>
      </c>
      <c r="S2019" s="44">
        <f>IF(Mecze[[#This Row],[Role]]="BR",SUMPRODUCT(Mecze[[#This Row],[/PR:90]:[/BR:90]],Brudnopis!$E$23:$J$23),0)</f>
        <v>0</v>
      </c>
      <c r="T2019" s="44">
        <f>IF(Mecze[[#This Row],[Role]]&lt;&gt;"BR",SUMPRODUCT(Mecze[[#This Row],[/PR:90]:[/BR:90]],Brudnopis!$E$24:$J$24),0)</f>
        <v>0.22164948453608246</v>
      </c>
      <c r="U2019" s="44">
        <f>IF(Mecze[[#This Row],[Role]]&lt;&gt;"BR",SUMPRODUCT(Mecze[[#This Row],[/PR:90]:[/BR:90]],Brudnopis!$E$25:$J$25),0)</f>
        <v>0.21134020618556701</v>
      </c>
      <c r="V2019" s="44">
        <f>IF(Mecze[[#This Row],[Role]]&lt;&gt;"BR",SUMPRODUCT(Mecze[[#This Row],[/PR:90]:[/BR:90]],Brudnopis!$E$26:$J$26),0)</f>
        <v>0.18556701030927836</v>
      </c>
      <c r="W2019" s="44">
        <f>IF(Mecze[[#This Row],[Role]]&lt;&gt;"BR",SUMPRODUCT(Mecze[[#This Row],[/PR:90]:[/BR:90]],Brudnopis!$E$27:$J$27),0)</f>
        <v>0.17783505154639176</v>
      </c>
      <c r="X2019" s="44">
        <f>IF(Mecze[[#This Row],[Role]]&lt;&gt;"BR",SUMPRODUCT(Mecze[[#This Row],[/PR:90]:[/BR:90]],Brudnopis!$E$28:$J$28),0)</f>
        <v>5.1546391752577317E-2</v>
      </c>
      <c r="Y2019" s="35">
        <f>IF(Mecze[[#This Row],[Role]]="BR",Mecze[[#This Row],[/OB:90]]+Mecze[[#This Row],[/PC:90]],SUM(Mecze[[#This Row],[/PR:90]:[/BR:90]]))</f>
        <v>0.18556701030927836</v>
      </c>
      <c r="Z2019" s="35">
        <f>IF(Mecze[[#This Row],[KC]]=0,SUM(Mecze[[#This Row],[/BRI]:[/NPI]]),SUM(Mecze[[#This Row],[/BRI]:[/NPI]])*0.6)</f>
        <v>0.847938144329897</v>
      </c>
      <c r="AA2019" s="10">
        <f>IFERROR(Mecze[[#This Row],[BR]]/Mecze[[#This Row],[ST]],0)</f>
        <v>0</v>
      </c>
      <c r="AB2019">
        <f>ROUND(Mecze[[#This Row],[PD]]*Mecze[[#This Row],[%PC]],0)</f>
        <v>5</v>
      </c>
      <c r="AC2019">
        <f>ROUND(Mecze[[#This Row],[OD]]*Mecze[[#This Row],[%OU]],0)</f>
        <v>7</v>
      </c>
      <c r="AD2019" s="36" t="s">
        <v>168</v>
      </c>
      <c r="AE2019" s="36">
        <v>112</v>
      </c>
      <c r="AF2019" s="71">
        <v>8.33</v>
      </c>
      <c r="AG2019" s="37">
        <v>0</v>
      </c>
      <c r="AH2019" s="37">
        <v>0</v>
      </c>
      <c r="AI2019" s="37">
        <v>97</v>
      </c>
      <c r="AJ2019" s="37">
        <v>4</v>
      </c>
      <c r="AK2019" s="37" t="str">
        <f>VLOOKUP(Mecze[[#This Row],[Match ID]],Meczusie[Mecz]:Meczusie[RodzajMeczu],2,FALSE)</f>
        <v>Liga</v>
      </c>
    </row>
    <row r="2020" spans="1:37" x14ac:dyDescent="0.25">
      <c r="A2020" s="76">
        <v>5</v>
      </c>
      <c r="B2020" s="3" t="s">
        <v>277</v>
      </c>
      <c r="C2020" s="2" t="s">
        <v>157</v>
      </c>
      <c r="D2020" s="1">
        <v>0</v>
      </c>
      <c r="E2020" s="1">
        <v>0</v>
      </c>
      <c r="F2020" s="1">
        <v>0</v>
      </c>
      <c r="G2020" s="1">
        <v>4</v>
      </c>
      <c r="H2020" s="4">
        <v>0.5</v>
      </c>
      <c r="I2020" s="1">
        <v>4</v>
      </c>
      <c r="J2020" s="4">
        <v>0.75</v>
      </c>
      <c r="K2020" s="1">
        <v>0</v>
      </c>
      <c r="L2020" s="1">
        <v>3</v>
      </c>
      <c r="M2020" s="32">
        <f>IF(Mecze[[#This Row],[PR]]=0,0,Mecze[[#This Row],[PR]]/Mecze[[#This Row],[CZAS]])</f>
        <v>3.0927835051546393E-2</v>
      </c>
      <c r="N2020" s="32">
        <f>IF(Mecze[[#This Row],[OU]]=0,0,Mecze[[#This Row],[OU]]/Mecze[[#This Row],[CZAS]])</f>
        <v>3.0927835051546393E-2</v>
      </c>
      <c r="O2020" s="32">
        <f>IF(Mecze[[#This Row],[PC]]=0,0,Mecze[[#This Row],[PC]]/Mecze[[#This Row],[CZAS]])</f>
        <v>2.0618556701030927E-2</v>
      </c>
      <c r="P2020" s="32">
        <f>IF(Mecze[[#This Row],[SC]]=0,0,Mecze[[#This Row],[SC]]/Mecze[[#This Row],[CZAS]])</f>
        <v>0</v>
      </c>
      <c r="Q2020" s="32">
        <f>IF(Mecze[[#This Row],[OB]]=0,0,Mecze[[#This Row],[OB]]/Mecze[[#This Row],[CZAS]])</f>
        <v>0</v>
      </c>
      <c r="R2020" s="32">
        <f>IF(Mecze[[#This Row],[BR]]=0,0,Mecze[[#This Row],[BR]]/Mecze[[#This Row],[CZAS]])</f>
        <v>0</v>
      </c>
      <c r="S2020" s="44">
        <f>IF(Mecze[[#This Row],[Role]]="BR",SUMPRODUCT(Mecze[[#This Row],[/PR:90]:[/BR:90]],Brudnopis!$E$23:$J$23),0)</f>
        <v>0</v>
      </c>
      <c r="T2020" s="44">
        <f>IF(Mecze[[#This Row],[Role]]&lt;&gt;"BR",SUMPRODUCT(Mecze[[#This Row],[/PR:90]:[/BR:90]],Brudnopis!$E$24:$J$24),0)</f>
        <v>9.7938144329896906E-2</v>
      </c>
      <c r="U2020" s="44">
        <f>IF(Mecze[[#This Row],[Role]]&lt;&gt;"BR",SUMPRODUCT(Mecze[[#This Row],[/PR:90]:[/BR:90]],Brudnopis!$E$25:$J$25),0)</f>
        <v>9.2783505154639179E-2</v>
      </c>
      <c r="V2020" s="44">
        <f>IF(Mecze[[#This Row],[Role]]&lt;&gt;"BR",SUMPRODUCT(Mecze[[#This Row],[/PR:90]:[/BR:90]],Brudnopis!$E$26:$J$26),0)</f>
        <v>8.247422680412371E-2</v>
      </c>
      <c r="W2020" s="44">
        <f>IF(Mecze[[#This Row],[Role]]&lt;&gt;"BR",SUMPRODUCT(Mecze[[#This Row],[/PR:90]:[/BR:90]],Brudnopis!$E$27:$J$27),0)</f>
        <v>7.7319587628865982E-2</v>
      </c>
      <c r="X2020" s="44">
        <f>IF(Mecze[[#This Row],[Role]]&lt;&gt;"BR",SUMPRODUCT(Mecze[[#This Row],[/PR:90]:[/BR:90]],Brudnopis!$E$28:$J$28),0)</f>
        <v>2.0618556701030927E-2</v>
      </c>
      <c r="Y2020" s="35">
        <f>IF(Mecze[[#This Row],[Role]]="BR",Mecze[[#This Row],[/OB:90]]+Mecze[[#This Row],[/PC:90]],SUM(Mecze[[#This Row],[/PR:90]:[/BR:90]]))</f>
        <v>8.247422680412371E-2</v>
      </c>
      <c r="Z2020" s="35">
        <f>IF(Mecze[[#This Row],[KC]]=0,SUM(Mecze[[#This Row],[/BRI]:[/NPI]]),SUM(Mecze[[#This Row],[/BRI]:[/NPI]])*0.6)</f>
        <v>0.37113402061855666</v>
      </c>
      <c r="AA2020" s="10">
        <f>IFERROR(Mecze[[#This Row],[BR]]/Mecze[[#This Row],[ST]],0)</f>
        <v>0</v>
      </c>
      <c r="AB2020">
        <f>ROUND(Mecze[[#This Row],[PD]]*Mecze[[#This Row],[%PC]],0)</f>
        <v>2</v>
      </c>
      <c r="AC2020">
        <f>ROUND(Mecze[[#This Row],[OD]]*Mecze[[#This Row],[%OU]],0)</f>
        <v>3</v>
      </c>
      <c r="AD2020" s="36" t="s">
        <v>167</v>
      </c>
      <c r="AE2020" s="36">
        <v>112</v>
      </c>
      <c r="AF2020" s="71">
        <v>5.67</v>
      </c>
      <c r="AG2020" s="37">
        <v>0</v>
      </c>
      <c r="AH2020" s="37">
        <v>0</v>
      </c>
      <c r="AI2020" s="37">
        <v>97</v>
      </c>
      <c r="AJ2020" s="37">
        <v>4</v>
      </c>
      <c r="AK2020" s="37" t="str">
        <f>VLOOKUP(Mecze[[#This Row],[Match ID]],Meczusie[Mecz]:Meczusie[RodzajMeczu],2,FALSE)</f>
        <v>Liga</v>
      </c>
    </row>
    <row r="2021" spans="1:37" x14ac:dyDescent="0.25">
      <c r="A2021" s="76">
        <v>12</v>
      </c>
      <c r="B2021" s="3" t="s">
        <v>278</v>
      </c>
      <c r="C2021" s="2" t="s">
        <v>160</v>
      </c>
      <c r="D2021" s="1">
        <v>0</v>
      </c>
      <c r="E2021" s="1">
        <v>0</v>
      </c>
      <c r="F2021" s="1">
        <v>0</v>
      </c>
      <c r="G2021" s="1">
        <v>15</v>
      </c>
      <c r="H2021" s="4">
        <v>0.87</v>
      </c>
      <c r="I2021" s="1">
        <v>7</v>
      </c>
      <c r="J2021" s="4">
        <v>0.56999999999999995</v>
      </c>
      <c r="K2021" s="1">
        <v>0</v>
      </c>
      <c r="L2021" s="1">
        <v>6</v>
      </c>
      <c r="M2021" s="32">
        <f>IF(Mecze[[#This Row],[PR]]=0,0,Mecze[[#This Row],[PR]]/Mecze[[#This Row],[CZAS]])</f>
        <v>6.1855670103092786E-2</v>
      </c>
      <c r="N2021" s="32">
        <f>IF(Mecze[[#This Row],[OU]]=0,0,Mecze[[#This Row],[OU]]/Mecze[[#This Row],[CZAS]])</f>
        <v>4.1237113402061855E-2</v>
      </c>
      <c r="O2021" s="32">
        <f>IF(Mecze[[#This Row],[PC]]=0,0,Mecze[[#This Row],[PC]]/Mecze[[#This Row],[CZAS]])</f>
        <v>0.13402061855670103</v>
      </c>
      <c r="P2021" s="32">
        <f>IF(Mecze[[#This Row],[SC]]=0,0,Mecze[[#This Row],[SC]]/Mecze[[#This Row],[CZAS]])</f>
        <v>0</v>
      </c>
      <c r="Q2021" s="32">
        <f>IF(Mecze[[#This Row],[OB]]=0,0,Mecze[[#This Row],[OB]]/Mecze[[#This Row],[CZAS]])</f>
        <v>0</v>
      </c>
      <c r="R2021" s="32">
        <f>IF(Mecze[[#This Row],[BR]]=0,0,Mecze[[#This Row],[BR]]/Mecze[[#This Row],[CZAS]])</f>
        <v>0</v>
      </c>
      <c r="S2021" s="44">
        <f>IF(Mecze[[#This Row],[Role]]="BR",SUMPRODUCT(Mecze[[#This Row],[/PR:90]:[/BR:90]],Brudnopis!$E$23:$J$23),0)</f>
        <v>0</v>
      </c>
      <c r="T2021" s="44">
        <f>IF(Mecze[[#This Row],[Role]]&lt;&gt;"BR",SUMPRODUCT(Mecze[[#This Row],[/PR:90]:[/BR:90]],Brudnopis!$E$24:$J$24),0)</f>
        <v>0.25773195876288657</v>
      </c>
      <c r="U2021" s="44">
        <f>IF(Mecze[[#This Row],[Role]]&lt;&gt;"BR",SUMPRODUCT(Mecze[[#This Row],[/PR:90]:[/BR:90]],Brudnopis!$E$25:$J$25),0)</f>
        <v>0.30412371134020622</v>
      </c>
      <c r="V2021" s="44">
        <f>IF(Mecze[[#This Row],[Role]]&lt;&gt;"BR",SUMPRODUCT(Mecze[[#This Row],[/PR:90]:[/BR:90]],Brudnopis!$E$26:$J$26),0)</f>
        <v>0.23711340206185566</v>
      </c>
      <c r="W2021" s="44">
        <f>IF(Mecze[[#This Row],[Role]]&lt;&gt;"BR",SUMPRODUCT(Mecze[[#This Row],[/PR:90]:[/BR:90]],Brudnopis!$E$27:$J$27),0)</f>
        <v>0.27835051546391754</v>
      </c>
      <c r="X2021" s="44">
        <f>IF(Mecze[[#This Row],[Role]]&lt;&gt;"BR",SUMPRODUCT(Mecze[[#This Row],[/PR:90]:[/BR:90]],Brudnopis!$E$28:$J$28),0)</f>
        <v>0.13402061855670103</v>
      </c>
      <c r="Y2021" s="35">
        <f>IF(Mecze[[#This Row],[Role]]="BR",Mecze[[#This Row],[/OB:90]]+Mecze[[#This Row],[/PC:90]],SUM(Mecze[[#This Row],[/PR:90]:[/BR:90]]))</f>
        <v>0.23711340206185566</v>
      </c>
      <c r="Z2021" s="35">
        <f>IF(Mecze[[#This Row],[KC]]=0,SUM(Mecze[[#This Row],[/BRI]:[/NPI]]),SUM(Mecze[[#This Row],[/BRI]:[/NPI]])*0.6)</f>
        <v>1.2113402061855671</v>
      </c>
      <c r="AA2021" s="10">
        <f>IFERROR(Mecze[[#This Row],[BR]]/Mecze[[#This Row],[ST]],0)</f>
        <v>0</v>
      </c>
      <c r="AB2021">
        <f>ROUND(Mecze[[#This Row],[PD]]*Mecze[[#This Row],[%PC]],0)</f>
        <v>13</v>
      </c>
      <c r="AC2021">
        <f>ROUND(Mecze[[#This Row],[OD]]*Mecze[[#This Row],[%OU]],0)</f>
        <v>4</v>
      </c>
      <c r="AD2021" s="36" t="s">
        <v>41</v>
      </c>
      <c r="AE2021" s="36">
        <v>112</v>
      </c>
      <c r="AF2021" s="71">
        <v>7.3</v>
      </c>
      <c r="AG2021" s="37">
        <v>0</v>
      </c>
      <c r="AH2021" s="37">
        <v>0</v>
      </c>
      <c r="AI2021" s="37">
        <v>97</v>
      </c>
      <c r="AJ2021" s="37">
        <v>4</v>
      </c>
      <c r="AK2021" s="37" t="str">
        <f>VLOOKUP(Mecze[[#This Row],[Match ID]],Meczusie[Mecz]:Meczusie[RodzajMeczu],2,FALSE)</f>
        <v>Liga</v>
      </c>
    </row>
    <row r="2022" spans="1:37" x14ac:dyDescent="0.25">
      <c r="A2022" s="76">
        <v>7</v>
      </c>
      <c r="B2022" s="3" t="s">
        <v>279</v>
      </c>
      <c r="C2022" s="2" t="s">
        <v>160</v>
      </c>
      <c r="D2022" s="1">
        <v>0</v>
      </c>
      <c r="E2022" s="1">
        <v>0</v>
      </c>
      <c r="F2022" s="1">
        <v>0</v>
      </c>
      <c r="G2022" s="1">
        <v>9</v>
      </c>
      <c r="H2022" s="4">
        <v>0.78</v>
      </c>
      <c r="I2022" s="1">
        <v>5</v>
      </c>
      <c r="J2022" s="4">
        <v>0.4</v>
      </c>
      <c r="K2022" s="1">
        <v>0</v>
      </c>
      <c r="L2022" s="1">
        <v>6</v>
      </c>
      <c r="M2022" s="32">
        <f>IF(Mecze[[#This Row],[PR]]=0,0,Mecze[[#This Row],[PR]]/Mecze[[#This Row],[CZAS]])</f>
        <v>6.1855670103092786E-2</v>
      </c>
      <c r="N2022" s="32">
        <f>IF(Mecze[[#This Row],[OU]]=0,0,Mecze[[#This Row],[OU]]/Mecze[[#This Row],[CZAS]])</f>
        <v>2.0618556701030927E-2</v>
      </c>
      <c r="O2022" s="32">
        <f>IF(Mecze[[#This Row],[PC]]=0,0,Mecze[[#This Row],[PC]]/Mecze[[#This Row],[CZAS]])</f>
        <v>7.2164948453608241E-2</v>
      </c>
      <c r="P2022" s="32">
        <f>IF(Mecze[[#This Row],[SC]]=0,0,Mecze[[#This Row],[SC]]/Mecze[[#This Row],[CZAS]])</f>
        <v>0</v>
      </c>
      <c r="Q2022" s="32">
        <f>IF(Mecze[[#This Row],[OB]]=0,0,Mecze[[#This Row],[OB]]/Mecze[[#This Row],[CZAS]])</f>
        <v>0</v>
      </c>
      <c r="R2022" s="32">
        <f>IF(Mecze[[#This Row],[BR]]=0,0,Mecze[[#This Row],[BR]]/Mecze[[#This Row],[CZAS]])</f>
        <v>0</v>
      </c>
      <c r="S2022" s="44">
        <f>IF(Mecze[[#This Row],[Role]]="BR",SUMPRODUCT(Mecze[[#This Row],[/PR:90]:[/BR:90]],Brudnopis!$E$23:$J$23),0)</f>
        <v>0</v>
      </c>
      <c r="T2022" s="44">
        <f>IF(Mecze[[#This Row],[Role]]&lt;&gt;"BR",SUMPRODUCT(Mecze[[#This Row],[/PR:90]:[/BR:90]],Brudnopis!$E$24:$J$24),0)</f>
        <v>0.16494845360824742</v>
      </c>
      <c r="U2022" s="44">
        <f>IF(Mecze[[#This Row],[Role]]&lt;&gt;"BR",SUMPRODUCT(Mecze[[#This Row],[/PR:90]:[/BR:90]],Brudnopis!$E$25:$J$25),0)</f>
        <v>0.19072164948453607</v>
      </c>
      <c r="V2022" s="44">
        <f>IF(Mecze[[#This Row],[Role]]&lt;&gt;"BR",SUMPRODUCT(Mecze[[#This Row],[/PR:90]:[/BR:90]],Brudnopis!$E$26:$J$26),0)</f>
        <v>0.15463917525773196</v>
      </c>
      <c r="W2022" s="44">
        <f>IF(Mecze[[#This Row],[Role]]&lt;&gt;"BR",SUMPRODUCT(Mecze[[#This Row],[/PR:90]:[/BR:90]],Brudnopis!$E$27:$J$27),0)</f>
        <v>0.17010309278350516</v>
      </c>
      <c r="X2022" s="44">
        <f>IF(Mecze[[#This Row],[Role]]&lt;&gt;"BR",SUMPRODUCT(Mecze[[#This Row],[/PR:90]:[/BR:90]],Brudnopis!$E$28:$J$28),0)</f>
        <v>7.2164948453608241E-2</v>
      </c>
      <c r="Y2022" s="35">
        <f>IF(Mecze[[#This Row],[Role]]="BR",Mecze[[#This Row],[/OB:90]]+Mecze[[#This Row],[/PC:90]],SUM(Mecze[[#This Row],[/PR:90]:[/BR:90]]))</f>
        <v>0.15463917525773196</v>
      </c>
      <c r="Z2022" s="35">
        <f>IF(Mecze[[#This Row],[KC]]=0,SUM(Mecze[[#This Row],[/BRI]:[/NPI]]),SUM(Mecze[[#This Row],[/BRI]:[/NPI]])*0.6)</f>
        <v>0.75257731958762886</v>
      </c>
      <c r="AA2022" s="10">
        <f>IFERROR(Mecze[[#This Row],[BR]]/Mecze[[#This Row],[ST]],0)</f>
        <v>0</v>
      </c>
      <c r="AB2022">
        <f>ROUND(Mecze[[#This Row],[PD]]*Mecze[[#This Row],[%PC]],0)</f>
        <v>7</v>
      </c>
      <c r="AC2022">
        <f>ROUND(Mecze[[#This Row],[OD]]*Mecze[[#This Row],[%OU]],0)</f>
        <v>2</v>
      </c>
      <c r="AD2022" s="36" t="s">
        <v>41</v>
      </c>
      <c r="AE2022" s="36">
        <v>112</v>
      </c>
      <c r="AF2022" s="71">
        <v>6.39</v>
      </c>
      <c r="AG2022" s="37">
        <v>0</v>
      </c>
      <c r="AH2022" s="37">
        <v>0</v>
      </c>
      <c r="AI2022" s="37">
        <v>97</v>
      </c>
      <c r="AJ2022" s="37">
        <v>4</v>
      </c>
      <c r="AK2022" s="37" t="str">
        <f>VLOOKUP(Mecze[[#This Row],[Match ID]],Meczusie[Mecz]:Meczusie[RodzajMeczu],2,FALSE)</f>
        <v>Liga</v>
      </c>
    </row>
    <row r="2023" spans="1:37" x14ac:dyDescent="0.25">
      <c r="A2023" s="76">
        <v>6</v>
      </c>
      <c r="B2023" s="3" t="s">
        <v>280</v>
      </c>
      <c r="C2023" s="2" t="s">
        <v>160</v>
      </c>
      <c r="D2023" s="1">
        <v>0</v>
      </c>
      <c r="E2023" s="1">
        <v>2</v>
      </c>
      <c r="F2023" s="1">
        <v>1</v>
      </c>
      <c r="G2023" s="1">
        <v>17</v>
      </c>
      <c r="H2023" s="4">
        <v>0.94</v>
      </c>
      <c r="I2023" s="1">
        <v>8</v>
      </c>
      <c r="J2023" s="4">
        <v>0.75</v>
      </c>
      <c r="K2023" s="1">
        <v>0</v>
      </c>
      <c r="L2023" s="1">
        <v>6</v>
      </c>
      <c r="M2023" s="32">
        <f>IF(Mecze[[#This Row],[PR]]=0,0,Mecze[[#This Row],[PR]]/Mecze[[#This Row],[CZAS]])</f>
        <v>6.1855670103092786E-2</v>
      </c>
      <c r="N2023" s="32">
        <f>IF(Mecze[[#This Row],[OU]]=0,0,Mecze[[#This Row],[OU]]/Mecze[[#This Row],[CZAS]])</f>
        <v>6.1855670103092786E-2</v>
      </c>
      <c r="O2023" s="32">
        <f>IF(Mecze[[#This Row],[PC]]=0,0,Mecze[[#This Row],[PC]]/Mecze[[#This Row],[CZAS]])</f>
        <v>0.16494845360824742</v>
      </c>
      <c r="P2023" s="32">
        <f>IF(Mecze[[#This Row],[SC]]=0,0,Mecze[[#This Row],[SC]]/Mecze[[#This Row],[CZAS]])</f>
        <v>1.0309278350515464E-2</v>
      </c>
      <c r="Q2023" s="32">
        <f>IF(Mecze[[#This Row],[OB]]=0,0,Mecze[[#This Row],[OB]]/Mecze[[#This Row],[CZAS]])</f>
        <v>0</v>
      </c>
      <c r="R2023" s="32">
        <f>IF(Mecze[[#This Row],[BR]]=0,0,Mecze[[#This Row],[BR]]/Mecze[[#This Row],[CZAS]])</f>
        <v>0</v>
      </c>
      <c r="S2023" s="44">
        <f>IF(Mecze[[#This Row],[Role]]="BR",SUMPRODUCT(Mecze[[#This Row],[/PR:90]:[/BR:90]],Brudnopis!$E$23:$J$23),0)</f>
        <v>0</v>
      </c>
      <c r="T2023" s="44">
        <f>IF(Mecze[[#This Row],[Role]]&lt;&gt;"BR",SUMPRODUCT(Mecze[[#This Row],[/PR:90]:[/BR:90]],Brudnopis!$E$24:$J$24),0)</f>
        <v>0.32989690721649484</v>
      </c>
      <c r="U2023" s="44">
        <f>IF(Mecze[[#This Row],[Role]]&lt;&gt;"BR",SUMPRODUCT(Mecze[[#This Row],[/PR:90]:[/BR:90]],Brudnopis!$E$25:$J$25),0)</f>
        <v>0.3814432989690722</v>
      </c>
      <c r="V2023" s="44">
        <f>IF(Mecze[[#This Row],[Role]]&lt;&gt;"BR",SUMPRODUCT(Mecze[[#This Row],[/PR:90]:[/BR:90]],Brudnopis!$E$26:$J$26),0)</f>
        <v>0.29896907216494845</v>
      </c>
      <c r="W2023" s="44">
        <f>IF(Mecze[[#This Row],[Role]]&lt;&gt;"BR",SUMPRODUCT(Mecze[[#This Row],[/PR:90]:[/BR:90]],Brudnopis!$E$27:$J$27),0)</f>
        <v>0.3505154639175258</v>
      </c>
      <c r="X2023" s="44">
        <f>IF(Mecze[[#This Row],[Role]]&lt;&gt;"BR",SUMPRODUCT(Mecze[[#This Row],[/PR:90]:[/BR:90]],Brudnopis!$E$28:$J$28),0)</f>
        <v>0.18556701030927836</v>
      </c>
      <c r="Y2023" s="35">
        <f>IF(Mecze[[#This Row],[Role]]="BR",Mecze[[#This Row],[/OB:90]]+Mecze[[#This Row],[/PC:90]],SUM(Mecze[[#This Row],[/PR:90]:[/BR:90]]))</f>
        <v>0.29896907216494845</v>
      </c>
      <c r="Z2023" s="35">
        <f>IF(Mecze[[#This Row],[KC]]=0,SUM(Mecze[[#This Row],[/BRI]:[/NPI]]),SUM(Mecze[[#This Row],[/BRI]:[/NPI]])*0.6)</f>
        <v>1.5463917525773196</v>
      </c>
      <c r="AA2023" s="10">
        <f>IFERROR(Mecze[[#This Row],[BR]]/Mecze[[#This Row],[ST]],0)</f>
        <v>0</v>
      </c>
      <c r="AB2023">
        <f>ROUND(Mecze[[#This Row],[PD]]*Mecze[[#This Row],[%PC]],0)</f>
        <v>16</v>
      </c>
      <c r="AC2023">
        <f>ROUND(Mecze[[#This Row],[OD]]*Mecze[[#This Row],[%OU]],0)</f>
        <v>6</v>
      </c>
      <c r="AD2023" s="36" t="s">
        <v>67</v>
      </c>
      <c r="AE2023" s="36">
        <v>112</v>
      </c>
      <c r="AF2023" s="71">
        <v>7.53</v>
      </c>
      <c r="AG2023" s="37">
        <v>0</v>
      </c>
      <c r="AH2023" s="37">
        <v>0</v>
      </c>
      <c r="AI2023" s="37">
        <v>97</v>
      </c>
      <c r="AJ2023" s="37">
        <v>4</v>
      </c>
      <c r="AK2023" s="37" t="str">
        <f>VLOOKUP(Mecze[[#This Row],[Match ID]],Meczusie[Mecz]:Meczusie[RodzajMeczu],2,FALSE)</f>
        <v>Liga</v>
      </c>
    </row>
    <row r="2024" spans="1:37" x14ac:dyDescent="0.25">
      <c r="A2024" s="76">
        <v>14</v>
      </c>
      <c r="B2024" s="3" t="s">
        <v>281</v>
      </c>
      <c r="C2024" s="2" t="s">
        <v>160</v>
      </c>
      <c r="D2024" s="1">
        <v>0</v>
      </c>
      <c r="E2024" s="1">
        <v>1</v>
      </c>
      <c r="F2024" s="1">
        <v>1</v>
      </c>
      <c r="G2024" s="1">
        <v>14</v>
      </c>
      <c r="H2024" s="4">
        <v>0.93</v>
      </c>
      <c r="I2024" s="1">
        <v>2</v>
      </c>
      <c r="J2024" s="4">
        <v>0.5</v>
      </c>
      <c r="K2024" s="1">
        <v>0</v>
      </c>
      <c r="L2024" s="1">
        <v>2</v>
      </c>
      <c r="M2024" s="32">
        <f>IF(Mecze[[#This Row],[PR]]=0,0,Mecze[[#This Row],[PR]]/Mecze[[#This Row],[CZAS]])</f>
        <v>2.0618556701030927E-2</v>
      </c>
      <c r="N2024" s="32">
        <f>IF(Mecze[[#This Row],[OU]]=0,0,Mecze[[#This Row],[OU]]/Mecze[[#This Row],[CZAS]])</f>
        <v>1.0309278350515464E-2</v>
      </c>
      <c r="O2024" s="32">
        <f>IF(Mecze[[#This Row],[PC]]=0,0,Mecze[[#This Row],[PC]]/Mecze[[#This Row],[CZAS]])</f>
        <v>0.13402061855670103</v>
      </c>
      <c r="P2024" s="32">
        <f>IF(Mecze[[#This Row],[SC]]=0,0,Mecze[[#This Row],[SC]]/Mecze[[#This Row],[CZAS]])</f>
        <v>1.0309278350515464E-2</v>
      </c>
      <c r="Q2024" s="32">
        <f>IF(Mecze[[#This Row],[OB]]=0,0,Mecze[[#This Row],[OB]]/Mecze[[#This Row],[CZAS]])</f>
        <v>0</v>
      </c>
      <c r="R2024" s="32">
        <f>IF(Mecze[[#This Row],[BR]]=0,0,Mecze[[#This Row],[BR]]/Mecze[[#This Row],[CZAS]])</f>
        <v>0</v>
      </c>
      <c r="S2024" s="44">
        <f>IF(Mecze[[#This Row],[Role]]="BR",SUMPRODUCT(Mecze[[#This Row],[/PR:90]:[/BR:90]],Brudnopis!$E$23:$J$23),0)</f>
        <v>0</v>
      </c>
      <c r="T2024" s="44">
        <f>IF(Mecze[[#This Row],[Role]]&lt;&gt;"BR",SUMPRODUCT(Mecze[[#This Row],[/PR:90]:[/BR:90]],Brudnopis!$E$24:$J$24),0)</f>
        <v>0.18041237113402062</v>
      </c>
      <c r="U2024" s="44">
        <f>IF(Mecze[[#This Row],[Role]]&lt;&gt;"BR",SUMPRODUCT(Mecze[[#This Row],[/PR:90]:[/BR:90]],Brudnopis!$E$25:$J$25),0)</f>
        <v>0.2422680412371134</v>
      </c>
      <c r="V2024" s="44">
        <f>IF(Mecze[[#This Row],[Role]]&lt;&gt;"BR",SUMPRODUCT(Mecze[[#This Row],[/PR:90]:[/BR:90]],Brudnopis!$E$26:$J$26),0)</f>
        <v>0.17525773195876287</v>
      </c>
      <c r="W2024" s="44">
        <f>IF(Mecze[[#This Row],[Role]]&lt;&gt;"BR",SUMPRODUCT(Mecze[[#This Row],[/PR:90]:[/BR:90]],Brudnopis!$E$27:$J$27),0)</f>
        <v>0.2345360824742268</v>
      </c>
      <c r="X2024" s="44">
        <f>IF(Mecze[[#This Row],[Role]]&lt;&gt;"BR",SUMPRODUCT(Mecze[[#This Row],[/PR:90]:[/BR:90]],Brudnopis!$E$28:$J$28),0)</f>
        <v>0.15463917525773196</v>
      </c>
      <c r="Y2024" s="35">
        <f>IF(Mecze[[#This Row],[Role]]="BR",Mecze[[#This Row],[/OB:90]]+Mecze[[#This Row],[/PC:90]],SUM(Mecze[[#This Row],[/PR:90]:[/BR:90]]))</f>
        <v>0.17525773195876287</v>
      </c>
      <c r="Z2024" s="35">
        <f>IF(Mecze[[#This Row],[KC]]=0,SUM(Mecze[[#This Row],[/BRI]:[/NPI]]),SUM(Mecze[[#This Row],[/BRI]:[/NPI]])*0.6)</f>
        <v>0.9871134020618556</v>
      </c>
      <c r="AA2024" s="10">
        <f>IFERROR(Mecze[[#This Row],[BR]]/Mecze[[#This Row],[ST]],0)</f>
        <v>0</v>
      </c>
      <c r="AB2024">
        <f>ROUND(Mecze[[#This Row],[PD]]*Mecze[[#This Row],[%PC]],0)</f>
        <v>13</v>
      </c>
      <c r="AC2024">
        <f>ROUND(Mecze[[#This Row],[OD]]*Mecze[[#This Row],[%OU]],0)</f>
        <v>1</v>
      </c>
      <c r="AD2024" s="36" t="s">
        <v>171</v>
      </c>
      <c r="AE2024" s="36">
        <v>112</v>
      </c>
      <c r="AF2024" s="71">
        <v>6.69</v>
      </c>
      <c r="AG2024" s="37">
        <v>0</v>
      </c>
      <c r="AH2024" s="37">
        <v>0</v>
      </c>
      <c r="AI2024" s="37">
        <v>97</v>
      </c>
      <c r="AJ2024" s="37">
        <v>4</v>
      </c>
      <c r="AK2024" s="37" t="str">
        <f>VLOOKUP(Mecze[[#This Row],[Match ID]],Meczusie[Mecz]:Meczusie[RodzajMeczu],2,FALSE)</f>
        <v>Liga</v>
      </c>
    </row>
    <row r="2025" spans="1:37" x14ac:dyDescent="0.25">
      <c r="A2025" s="76">
        <v>11</v>
      </c>
      <c r="B2025" s="3" t="s">
        <v>282</v>
      </c>
      <c r="C2025" s="2" t="s">
        <v>165</v>
      </c>
      <c r="D2025" s="1">
        <v>1</v>
      </c>
      <c r="E2025" s="1">
        <v>2</v>
      </c>
      <c r="F2025" s="1">
        <v>2</v>
      </c>
      <c r="G2025" s="1">
        <v>5</v>
      </c>
      <c r="H2025" s="4">
        <v>1</v>
      </c>
      <c r="I2025" s="1">
        <v>3</v>
      </c>
      <c r="J2025" s="4">
        <v>0.33</v>
      </c>
      <c r="K2025" s="1">
        <v>0</v>
      </c>
      <c r="L2025" s="1">
        <v>0</v>
      </c>
      <c r="M2025" s="32">
        <f>IF(Mecze[[#This Row],[PR]]=0,0,Mecze[[#This Row],[PR]]/Mecze[[#This Row],[CZAS]])</f>
        <v>0</v>
      </c>
      <c r="N2025" s="32">
        <f>IF(Mecze[[#This Row],[OU]]=0,0,Mecze[[#This Row],[OU]]/Mecze[[#This Row],[CZAS]])</f>
        <v>1.0309278350515464E-2</v>
      </c>
      <c r="O2025" s="32">
        <f>IF(Mecze[[#This Row],[PC]]=0,0,Mecze[[#This Row],[PC]]/Mecze[[#This Row],[CZAS]])</f>
        <v>5.1546391752577317E-2</v>
      </c>
      <c r="P2025" s="32">
        <f>IF(Mecze[[#This Row],[SC]]=0,0,Mecze[[#This Row],[SC]]/Mecze[[#This Row],[CZAS]])</f>
        <v>2.0618556701030927E-2</v>
      </c>
      <c r="Q2025" s="32">
        <f>IF(Mecze[[#This Row],[OB]]=0,0,Mecze[[#This Row],[OB]]/Mecze[[#This Row],[CZAS]])</f>
        <v>0</v>
      </c>
      <c r="R2025" s="32">
        <f>IF(Mecze[[#This Row],[BR]]=0,0,Mecze[[#This Row],[BR]]/Mecze[[#This Row],[CZAS]])</f>
        <v>1.0309278350515464E-2</v>
      </c>
      <c r="S2025" s="44">
        <f>IF(Mecze[[#This Row],[Role]]="BR",SUMPRODUCT(Mecze[[#This Row],[/PR:90]:[/BR:90]],Brudnopis!$E$23:$J$23),0)</f>
        <v>0</v>
      </c>
      <c r="T2025" s="44">
        <f>IF(Mecze[[#This Row],[Role]]&lt;&gt;"BR",SUMPRODUCT(Mecze[[#This Row],[/PR:90]:[/BR:90]],Brudnopis!$E$24:$J$24),0)</f>
        <v>0.10309278350515463</v>
      </c>
      <c r="U2025" s="44">
        <f>IF(Mecze[[#This Row],[Role]]&lt;&gt;"BR",SUMPRODUCT(Mecze[[#This Row],[/PR:90]:[/BR:90]],Brudnopis!$E$25:$J$25),0)</f>
        <v>0.12371134020618557</v>
      </c>
      <c r="V2025" s="44">
        <f>IF(Mecze[[#This Row],[Role]]&lt;&gt;"BR",SUMPRODUCT(Mecze[[#This Row],[/PR:90]:[/BR:90]],Brudnopis!$E$26:$J$26),0)</f>
        <v>0.10309278350515463</v>
      </c>
      <c r="W2025" s="44">
        <f>IF(Mecze[[#This Row],[Role]]&lt;&gt;"BR",SUMPRODUCT(Mecze[[#This Row],[/PR:90]:[/BR:90]],Brudnopis!$E$27:$J$27),0)</f>
        <v>0.12628865979381443</v>
      </c>
      <c r="X2025" s="44">
        <f>IF(Mecze[[#This Row],[Role]]&lt;&gt;"BR",SUMPRODUCT(Mecze[[#This Row],[/PR:90]:[/BR:90]],Brudnopis!$E$28:$J$28),0)</f>
        <v>0.12371134020618557</v>
      </c>
      <c r="Y2025" s="35">
        <f>IF(Mecze[[#This Row],[Role]]="BR",Mecze[[#This Row],[/OB:90]]+Mecze[[#This Row],[/PC:90]],SUM(Mecze[[#This Row],[/PR:90]:[/BR:90]]))</f>
        <v>9.2783505154639179E-2</v>
      </c>
      <c r="Z2025" s="35">
        <f>IF(Mecze[[#This Row],[KC]]=0,SUM(Mecze[[#This Row],[/BRI]:[/NPI]]),SUM(Mecze[[#This Row],[/BRI]:[/NPI]])*0.6)</f>
        <v>0.57989690721649478</v>
      </c>
      <c r="AA2025" s="10">
        <f>IFERROR(Mecze[[#This Row],[BR]]/Mecze[[#This Row],[ST]],0)</f>
        <v>0.5</v>
      </c>
      <c r="AB2025">
        <f>ROUND(Mecze[[#This Row],[PD]]*Mecze[[#This Row],[%PC]],0)</f>
        <v>5</v>
      </c>
      <c r="AC2025">
        <f>ROUND(Mecze[[#This Row],[OD]]*Mecze[[#This Row],[%OU]],0)</f>
        <v>1</v>
      </c>
      <c r="AD2025" s="36" t="s">
        <v>46</v>
      </c>
      <c r="AE2025" s="36">
        <v>112</v>
      </c>
      <c r="AF2025" s="71">
        <v>9.81</v>
      </c>
      <c r="AG2025" s="37">
        <v>0</v>
      </c>
      <c r="AH2025" s="37">
        <v>0</v>
      </c>
      <c r="AI2025" s="37">
        <v>97</v>
      </c>
      <c r="AJ2025" s="37">
        <v>4</v>
      </c>
      <c r="AK2025" s="37" t="str">
        <f>VLOOKUP(Mecze[[#This Row],[Match ID]],Meczusie[Mecz]:Meczusie[RodzajMeczu],2,FALSE)</f>
        <v>Liga</v>
      </c>
    </row>
    <row r="2026" spans="1:37" x14ac:dyDescent="0.25">
      <c r="A2026" s="76">
        <v>8</v>
      </c>
      <c r="B2026" s="3" t="s">
        <v>283</v>
      </c>
      <c r="C2026" s="2" t="s">
        <v>165</v>
      </c>
      <c r="D2026" s="1">
        <v>1</v>
      </c>
      <c r="E2026" s="1">
        <v>9</v>
      </c>
      <c r="F2026" s="1">
        <v>9</v>
      </c>
      <c r="G2026" s="1">
        <v>12</v>
      </c>
      <c r="H2026" s="4">
        <v>0.67</v>
      </c>
      <c r="I2026" s="1">
        <v>0</v>
      </c>
      <c r="J2026" s="4"/>
      <c r="K2026" s="1">
        <v>0</v>
      </c>
      <c r="L2026" s="1">
        <v>0</v>
      </c>
      <c r="M2026" s="32">
        <f>IF(Mecze[[#This Row],[PR]]=0,0,Mecze[[#This Row],[PR]]/Mecze[[#This Row],[CZAS]])</f>
        <v>0</v>
      </c>
      <c r="N2026" s="32">
        <f>IF(Mecze[[#This Row],[OU]]=0,0,Mecze[[#This Row],[OU]]/Mecze[[#This Row],[CZAS]])</f>
        <v>0</v>
      </c>
      <c r="O2026" s="32">
        <f>IF(Mecze[[#This Row],[PC]]=0,0,Mecze[[#This Row],[PC]]/Mecze[[#This Row],[CZAS]])</f>
        <v>8.247422680412371E-2</v>
      </c>
      <c r="P2026" s="32">
        <f>IF(Mecze[[#This Row],[SC]]=0,0,Mecze[[#This Row],[SC]]/Mecze[[#This Row],[CZAS]])</f>
        <v>9.2783505154639179E-2</v>
      </c>
      <c r="Q2026" s="32">
        <f>IF(Mecze[[#This Row],[OB]]=0,0,Mecze[[#This Row],[OB]]/Mecze[[#This Row],[CZAS]])</f>
        <v>0</v>
      </c>
      <c r="R2026" s="32">
        <f>IF(Mecze[[#This Row],[BR]]=0,0,Mecze[[#This Row],[BR]]/Mecze[[#This Row],[CZAS]])</f>
        <v>1.0309278350515464E-2</v>
      </c>
      <c r="S2026" s="44">
        <f>IF(Mecze[[#This Row],[Role]]="BR",SUMPRODUCT(Mecze[[#This Row],[/PR:90]:[/BR:90]],Brudnopis!$E$23:$J$23),0)</f>
        <v>0</v>
      </c>
      <c r="T2026" s="44">
        <f>IF(Mecze[[#This Row],[Role]]&lt;&gt;"BR",SUMPRODUCT(Mecze[[#This Row],[/PR:90]:[/BR:90]],Brudnopis!$E$24:$J$24),0)</f>
        <v>0.19072164948453607</v>
      </c>
      <c r="U2026" s="44">
        <f>IF(Mecze[[#This Row],[Role]]&lt;&gt;"BR",SUMPRODUCT(Mecze[[#This Row],[/PR:90]:[/BR:90]],Brudnopis!$E$25:$J$25),0)</f>
        <v>0.23195876288659795</v>
      </c>
      <c r="V2026" s="44">
        <f>IF(Mecze[[#This Row],[Role]]&lt;&gt;"BR",SUMPRODUCT(Mecze[[#This Row],[/PR:90]:[/BR:90]],Brudnopis!$E$26:$J$26),0)</f>
        <v>0.19587628865979381</v>
      </c>
      <c r="W2026" s="44">
        <f>IF(Mecze[[#This Row],[Role]]&lt;&gt;"BR",SUMPRODUCT(Mecze[[#This Row],[/PR:90]:[/BR:90]],Brudnopis!$E$27:$J$27),0)</f>
        <v>0.23711340206185569</v>
      </c>
      <c r="X2026" s="44">
        <f>IF(Mecze[[#This Row],[Role]]&lt;&gt;"BR",SUMPRODUCT(Mecze[[#This Row],[/PR:90]:[/BR:90]],Brudnopis!$E$28:$J$28),0)</f>
        <v>0.29896907216494845</v>
      </c>
      <c r="Y2026" s="35">
        <f>IF(Mecze[[#This Row],[Role]]="BR",Mecze[[#This Row],[/OB:90]]+Mecze[[#This Row],[/PC:90]],SUM(Mecze[[#This Row],[/PR:90]:[/BR:90]]))</f>
        <v>0.18556701030927833</v>
      </c>
      <c r="Z2026" s="35">
        <f>IF(Mecze[[#This Row],[KC]]=0,SUM(Mecze[[#This Row],[/BRI]:[/NPI]]),SUM(Mecze[[#This Row],[/BRI]:[/NPI]])*0.6)</f>
        <v>1.1546391752577321</v>
      </c>
      <c r="AA2026" s="10">
        <f>IFERROR(Mecze[[#This Row],[BR]]/Mecze[[#This Row],[ST]],0)</f>
        <v>0.1111111111111111</v>
      </c>
      <c r="AB2026">
        <f>ROUND(Mecze[[#This Row],[PD]]*Mecze[[#This Row],[%PC]],0)</f>
        <v>8</v>
      </c>
      <c r="AC2026">
        <f>ROUND(Mecze[[#This Row],[OD]]*Mecze[[#This Row],[%OU]],0)</f>
        <v>0</v>
      </c>
      <c r="AD2026" s="36" t="s">
        <v>273</v>
      </c>
      <c r="AE2026" s="36">
        <v>112</v>
      </c>
      <c r="AF2026" s="71">
        <v>9.5399999999999991</v>
      </c>
      <c r="AG2026" s="37">
        <v>0</v>
      </c>
      <c r="AH2026" s="37">
        <v>0</v>
      </c>
      <c r="AI2026" s="37">
        <v>97</v>
      </c>
      <c r="AJ2026" s="37">
        <v>4</v>
      </c>
      <c r="AK2026" s="37" t="str">
        <f>VLOOKUP(Mecze[[#This Row],[Match ID]],Meczusie[Mecz]:Meczusie[RodzajMeczu],2,FALSE)</f>
        <v>Liga</v>
      </c>
    </row>
    <row r="2027" spans="1:37" x14ac:dyDescent="0.25">
      <c r="A2027" s="76">
        <v>10</v>
      </c>
      <c r="B2027" s="3" t="s">
        <v>284</v>
      </c>
      <c r="C2027" s="2" t="s">
        <v>165</v>
      </c>
      <c r="D2027" s="1">
        <v>0</v>
      </c>
      <c r="E2027" s="1">
        <v>10</v>
      </c>
      <c r="F2027" s="1">
        <v>9</v>
      </c>
      <c r="G2027" s="1">
        <v>3</v>
      </c>
      <c r="H2027" s="4">
        <v>0.67</v>
      </c>
      <c r="I2027" s="1">
        <v>1</v>
      </c>
      <c r="J2027" s="4">
        <v>0</v>
      </c>
      <c r="K2027" s="1">
        <v>0</v>
      </c>
      <c r="L2027" s="1">
        <v>1</v>
      </c>
      <c r="M2027" s="32">
        <f>IF(Mecze[[#This Row],[PR]]=0,0,Mecze[[#This Row],[PR]]/Mecze[[#This Row],[CZAS]])</f>
        <v>1.0309278350515464E-2</v>
      </c>
      <c r="N2027" s="32">
        <f>IF(Mecze[[#This Row],[OU]]=0,0,Mecze[[#This Row],[OU]]/Mecze[[#This Row],[CZAS]])</f>
        <v>0</v>
      </c>
      <c r="O2027" s="32">
        <f>IF(Mecze[[#This Row],[PC]]=0,0,Mecze[[#This Row],[PC]]/Mecze[[#This Row],[CZAS]])</f>
        <v>2.0618556701030927E-2</v>
      </c>
      <c r="P2027" s="32">
        <f>IF(Mecze[[#This Row],[SC]]=0,0,Mecze[[#This Row],[SC]]/Mecze[[#This Row],[CZAS]])</f>
        <v>9.2783505154639179E-2</v>
      </c>
      <c r="Q2027" s="32">
        <f>IF(Mecze[[#This Row],[OB]]=0,0,Mecze[[#This Row],[OB]]/Mecze[[#This Row],[CZAS]])</f>
        <v>0</v>
      </c>
      <c r="R2027" s="32">
        <f>IF(Mecze[[#This Row],[BR]]=0,0,Mecze[[#This Row],[BR]]/Mecze[[#This Row],[CZAS]])</f>
        <v>0</v>
      </c>
      <c r="S2027" s="44">
        <f>IF(Mecze[[#This Row],[Role]]="BR",SUMPRODUCT(Mecze[[#This Row],[/PR:90]:[/BR:90]],Brudnopis!$E$23:$J$23),0)</f>
        <v>0</v>
      </c>
      <c r="T2027" s="44">
        <f>IF(Mecze[[#This Row],[Role]]&lt;&gt;"BR",SUMPRODUCT(Mecze[[#This Row],[/PR:90]:[/BR:90]],Brudnopis!$E$24:$J$24),0)</f>
        <v>0.12371134020618557</v>
      </c>
      <c r="U2027" s="44">
        <f>IF(Mecze[[#This Row],[Role]]&lt;&gt;"BR",SUMPRODUCT(Mecze[[#This Row],[/PR:90]:[/BR:90]],Brudnopis!$E$25:$J$25),0)</f>
        <v>0.13402061855670103</v>
      </c>
      <c r="V2027" s="44">
        <f>IF(Mecze[[#This Row],[Role]]&lt;&gt;"BR",SUMPRODUCT(Mecze[[#This Row],[/PR:90]:[/BR:90]],Brudnopis!$E$26:$J$26),0)</f>
        <v>0.12371134020618557</v>
      </c>
      <c r="W2027" s="44">
        <f>IF(Mecze[[#This Row],[Role]]&lt;&gt;"BR",SUMPRODUCT(Mecze[[#This Row],[/PR:90]:[/BR:90]],Brudnopis!$E$27:$J$27),0)</f>
        <v>0.13144329896907217</v>
      </c>
      <c r="X2027" s="44">
        <f>IF(Mecze[[#This Row],[Role]]&lt;&gt;"BR",SUMPRODUCT(Mecze[[#This Row],[/PR:90]:[/BR:90]],Brudnopis!$E$28:$J$28),0)</f>
        <v>0.2061855670103093</v>
      </c>
      <c r="Y2027" s="35">
        <f>IF(Mecze[[#This Row],[Role]]="BR",Mecze[[#This Row],[/OB:90]]+Mecze[[#This Row],[/PC:90]],SUM(Mecze[[#This Row],[/PR:90]:[/BR:90]]))</f>
        <v>0.12371134020618557</v>
      </c>
      <c r="Z2027" s="35">
        <f>IF(Mecze[[#This Row],[KC]]=0,SUM(Mecze[[#This Row],[/BRI]:[/NPI]]),SUM(Mecze[[#This Row],[/BRI]:[/NPI]])*0.6)</f>
        <v>0.71907216494845361</v>
      </c>
      <c r="AA2027" s="10">
        <f>IFERROR(Mecze[[#This Row],[BR]]/Mecze[[#This Row],[ST]],0)</f>
        <v>0</v>
      </c>
      <c r="AB2027">
        <f>ROUND(Mecze[[#This Row],[PD]]*Mecze[[#This Row],[%PC]],0)</f>
        <v>2</v>
      </c>
      <c r="AC2027">
        <f>ROUND(Mecze[[#This Row],[OD]]*Mecze[[#This Row],[%OU]],0)</f>
        <v>0</v>
      </c>
      <c r="AD2027" s="36" t="s">
        <v>46</v>
      </c>
      <c r="AE2027" s="36">
        <v>112</v>
      </c>
      <c r="AF2027" s="71">
        <v>5.91</v>
      </c>
      <c r="AG2027" s="37">
        <v>0</v>
      </c>
      <c r="AH2027" s="37">
        <v>0</v>
      </c>
      <c r="AI2027" s="37">
        <v>97</v>
      </c>
      <c r="AJ2027" s="37">
        <v>4</v>
      </c>
      <c r="AK2027" s="37" t="str">
        <f>VLOOKUP(Mecze[[#This Row],[Match ID]],Meczusie[Mecz]:Meczusie[RodzajMeczu],2,FALSE)</f>
        <v>Liga</v>
      </c>
    </row>
    <row r="2028" spans="1:37" x14ac:dyDescent="0.25">
      <c r="A2028" s="76">
        <v>2</v>
      </c>
      <c r="B2028" s="3" t="s">
        <v>285</v>
      </c>
      <c r="C2028" s="2" t="s">
        <v>157</v>
      </c>
      <c r="D2028" s="1">
        <v>0</v>
      </c>
      <c r="E2028" s="1">
        <v>0</v>
      </c>
      <c r="F2028" s="1">
        <v>0</v>
      </c>
      <c r="G2028" s="1">
        <v>2</v>
      </c>
      <c r="H2028" s="4">
        <v>1</v>
      </c>
      <c r="I2028" s="1">
        <v>0</v>
      </c>
      <c r="J2028" s="4"/>
      <c r="K2028" s="1">
        <v>0</v>
      </c>
      <c r="L2028" s="1">
        <v>2</v>
      </c>
      <c r="M2028" s="32">
        <f>IF(Mecze[[#This Row],[PR]]=0,0,Mecze[[#This Row],[PR]]/Mecze[[#This Row],[CZAS]])</f>
        <v>2.0618556701030927E-2</v>
      </c>
      <c r="N2028" s="32">
        <f>IF(Mecze[[#This Row],[OU]]=0,0,Mecze[[#This Row],[OU]]/Mecze[[#This Row],[CZAS]])</f>
        <v>0</v>
      </c>
      <c r="O2028" s="32">
        <f>IF(Mecze[[#This Row],[PC]]=0,0,Mecze[[#This Row],[PC]]/Mecze[[#This Row],[CZAS]])</f>
        <v>2.0618556701030927E-2</v>
      </c>
      <c r="P2028" s="32">
        <f>IF(Mecze[[#This Row],[SC]]=0,0,Mecze[[#This Row],[SC]]/Mecze[[#This Row],[CZAS]])</f>
        <v>0</v>
      </c>
      <c r="Q2028" s="32">
        <f>IF(Mecze[[#This Row],[OB]]=0,0,Mecze[[#This Row],[OB]]/Mecze[[#This Row],[CZAS]])</f>
        <v>0</v>
      </c>
      <c r="R2028" s="32">
        <f>IF(Mecze[[#This Row],[BR]]=0,0,Mecze[[#This Row],[BR]]/Mecze[[#This Row],[CZAS]])</f>
        <v>0</v>
      </c>
      <c r="S2028" s="44">
        <f>IF(Mecze[[#This Row],[Role]]="BR",SUMPRODUCT(Mecze[[#This Row],[/PR:90]:[/BR:90]],Brudnopis!$E$23:$J$23),0)</f>
        <v>0</v>
      </c>
      <c r="T2028" s="44">
        <f>IF(Mecze[[#This Row],[Role]]&lt;&gt;"BR",SUMPRODUCT(Mecze[[#This Row],[/PR:90]:[/BR:90]],Brudnopis!$E$24:$J$24),0)</f>
        <v>4.1237113402061855E-2</v>
      </c>
      <c r="U2028" s="44">
        <f>IF(Mecze[[#This Row],[Role]]&lt;&gt;"BR",SUMPRODUCT(Mecze[[#This Row],[/PR:90]:[/BR:90]],Brudnopis!$E$25:$J$25),0)</f>
        <v>5.1546391752577317E-2</v>
      </c>
      <c r="V2028" s="44">
        <f>IF(Mecze[[#This Row],[Role]]&lt;&gt;"BR",SUMPRODUCT(Mecze[[#This Row],[/PR:90]:[/BR:90]],Brudnopis!$E$26:$J$26),0)</f>
        <v>4.1237113402061855E-2</v>
      </c>
      <c r="W2028" s="44">
        <f>IF(Mecze[[#This Row],[Role]]&lt;&gt;"BR",SUMPRODUCT(Mecze[[#This Row],[/PR:90]:[/BR:90]],Brudnopis!$E$27:$J$27),0)</f>
        <v>4.6391752577319589E-2</v>
      </c>
      <c r="X2028" s="44">
        <f>IF(Mecze[[#This Row],[Role]]&lt;&gt;"BR",SUMPRODUCT(Mecze[[#This Row],[/PR:90]:[/BR:90]],Brudnopis!$E$28:$J$28),0)</f>
        <v>2.0618556701030927E-2</v>
      </c>
      <c r="Y2028" s="35">
        <f>IF(Mecze[[#This Row],[Role]]="BR",Mecze[[#This Row],[/OB:90]]+Mecze[[#This Row],[/PC:90]],SUM(Mecze[[#This Row],[/PR:90]:[/BR:90]]))</f>
        <v>4.1237113402061855E-2</v>
      </c>
      <c r="Z2028" s="35">
        <f>IF(Mecze[[#This Row],[KC]]=0,SUM(Mecze[[#This Row],[/BRI]:[/NPI]]),SUM(Mecze[[#This Row],[/BRI]:[/NPI]])*0.6)</f>
        <v>0.20103092783505155</v>
      </c>
      <c r="AA2028" s="10">
        <f>IFERROR(Mecze[[#This Row],[BR]]/Mecze[[#This Row],[ST]],0)</f>
        <v>0</v>
      </c>
      <c r="AB2028">
        <f>ROUND(Mecze[[#This Row],[PD]]*Mecze[[#This Row],[%PC]],0)</f>
        <v>2</v>
      </c>
      <c r="AC2028">
        <f>ROUND(Mecze[[#This Row],[OD]]*Mecze[[#This Row],[%OU]],0)</f>
        <v>0</v>
      </c>
      <c r="AD2028" s="36" t="s">
        <v>167</v>
      </c>
      <c r="AE2028" s="36">
        <v>112</v>
      </c>
      <c r="AF2028" s="71">
        <v>2.14</v>
      </c>
      <c r="AG2028" s="37">
        <v>0</v>
      </c>
      <c r="AH2028" s="37">
        <v>0</v>
      </c>
      <c r="AI2028" s="37">
        <v>97</v>
      </c>
      <c r="AJ2028" s="37">
        <v>4</v>
      </c>
      <c r="AK2028" s="37" t="str">
        <f>VLOOKUP(Mecze[[#This Row],[Match ID]],Meczusie[Mecz]:Meczusie[RodzajMeczu],2,FALSE)</f>
        <v>Liga</v>
      </c>
    </row>
    <row r="2029" spans="1:37" x14ac:dyDescent="0.25">
      <c r="A2029" s="76">
        <v>15</v>
      </c>
      <c r="B2029" s="3" t="s">
        <v>286</v>
      </c>
      <c r="C2029" s="2" t="s">
        <v>165</v>
      </c>
      <c r="D2029" s="1">
        <v>0</v>
      </c>
      <c r="E2029" s="1">
        <v>1</v>
      </c>
      <c r="F2029" s="1">
        <v>1</v>
      </c>
      <c r="G2029" s="1">
        <v>1</v>
      </c>
      <c r="H2029" s="4">
        <v>1</v>
      </c>
      <c r="I2029" s="1">
        <v>1</v>
      </c>
      <c r="J2029" s="4">
        <v>0</v>
      </c>
      <c r="K2029" s="1">
        <v>0</v>
      </c>
      <c r="L2029" s="1">
        <v>1</v>
      </c>
      <c r="M2029" s="32">
        <f>IF(Mecze[[#This Row],[PR]]=0,0,Mecze[[#This Row],[PR]]/Mecze[[#This Row],[CZAS]])</f>
        <v>1.0309278350515464E-2</v>
      </c>
      <c r="N2029" s="32">
        <f>IF(Mecze[[#This Row],[OU]]=0,0,Mecze[[#This Row],[OU]]/Mecze[[#This Row],[CZAS]])</f>
        <v>0</v>
      </c>
      <c r="O2029" s="32">
        <f>IF(Mecze[[#This Row],[PC]]=0,0,Mecze[[#This Row],[PC]]/Mecze[[#This Row],[CZAS]])</f>
        <v>1.0309278350515464E-2</v>
      </c>
      <c r="P2029" s="32">
        <f>IF(Mecze[[#This Row],[SC]]=0,0,Mecze[[#This Row],[SC]]/Mecze[[#This Row],[CZAS]])</f>
        <v>1.0309278350515464E-2</v>
      </c>
      <c r="Q2029" s="32">
        <f>IF(Mecze[[#This Row],[OB]]=0,0,Mecze[[#This Row],[OB]]/Mecze[[#This Row],[CZAS]])</f>
        <v>0</v>
      </c>
      <c r="R2029" s="32">
        <f>IF(Mecze[[#This Row],[BR]]=0,0,Mecze[[#This Row],[BR]]/Mecze[[#This Row],[CZAS]])</f>
        <v>0</v>
      </c>
      <c r="S2029" s="44">
        <f>IF(Mecze[[#This Row],[Role]]="BR",SUMPRODUCT(Mecze[[#This Row],[/PR:90]:[/BR:90]],Brudnopis!$E$23:$J$23),0)</f>
        <v>0</v>
      </c>
      <c r="T2029" s="44">
        <f>IF(Mecze[[#This Row],[Role]]&lt;&gt;"BR",SUMPRODUCT(Mecze[[#This Row],[/PR:90]:[/BR:90]],Brudnopis!$E$24:$J$24),0)</f>
        <v>3.0927835051546393E-2</v>
      </c>
      <c r="U2029" s="44">
        <f>IF(Mecze[[#This Row],[Role]]&lt;&gt;"BR",SUMPRODUCT(Mecze[[#This Row],[/PR:90]:[/BR:90]],Brudnopis!$E$25:$J$25),0)</f>
        <v>3.608247422680412E-2</v>
      </c>
      <c r="V2029" s="44">
        <f>IF(Mecze[[#This Row],[Role]]&lt;&gt;"BR",SUMPRODUCT(Mecze[[#This Row],[/PR:90]:[/BR:90]],Brudnopis!$E$26:$J$26),0)</f>
        <v>3.0927835051546393E-2</v>
      </c>
      <c r="W2029" s="44">
        <f>IF(Mecze[[#This Row],[Role]]&lt;&gt;"BR",SUMPRODUCT(Mecze[[#This Row],[/PR:90]:[/BR:90]],Brudnopis!$E$27:$J$27),0)</f>
        <v>3.3505154639175257E-2</v>
      </c>
      <c r="X2029" s="44">
        <f>IF(Mecze[[#This Row],[Role]]&lt;&gt;"BR",SUMPRODUCT(Mecze[[#This Row],[/PR:90]:[/BR:90]],Brudnopis!$E$28:$J$28),0)</f>
        <v>3.0927835051546393E-2</v>
      </c>
      <c r="Y2029" s="35">
        <f>IF(Mecze[[#This Row],[Role]]="BR",Mecze[[#This Row],[/OB:90]]+Mecze[[#This Row],[/PC:90]],SUM(Mecze[[#This Row],[/PR:90]:[/BR:90]]))</f>
        <v>3.0927835051546393E-2</v>
      </c>
      <c r="Z2029" s="35">
        <f>IF(Mecze[[#This Row],[KC]]=0,SUM(Mecze[[#This Row],[/BRI]:[/NPI]]),SUM(Mecze[[#This Row],[/BRI]:[/NPI]])*0.6)</f>
        <v>0.16237113402061856</v>
      </c>
      <c r="AA2029" s="10">
        <f>IFERROR(Mecze[[#This Row],[BR]]/Mecze[[#This Row],[ST]],0)</f>
        <v>0</v>
      </c>
      <c r="AB2029">
        <f>ROUND(Mecze[[#This Row],[PD]]*Mecze[[#This Row],[%PC]],0)</f>
        <v>1</v>
      </c>
      <c r="AC2029">
        <f>ROUND(Mecze[[#This Row],[OD]]*Mecze[[#This Row],[%OU]],0)</f>
        <v>0</v>
      </c>
      <c r="AD2029" s="36" t="s">
        <v>46</v>
      </c>
      <c r="AE2029" s="36">
        <v>112</v>
      </c>
      <c r="AF2029" s="71">
        <v>1.94</v>
      </c>
      <c r="AG2029" s="37">
        <v>0</v>
      </c>
      <c r="AH2029" s="37">
        <v>0</v>
      </c>
      <c r="AI2029" s="37">
        <v>97</v>
      </c>
      <c r="AJ2029" s="37">
        <v>4</v>
      </c>
      <c r="AK2029" s="37" t="str">
        <f>VLOOKUP(Mecze[[#This Row],[Match ID]],Meczusie[Mecz]:Meczusie[RodzajMeczu],2,FALSE)</f>
        <v>Liga</v>
      </c>
    </row>
    <row r="2030" spans="1:37" x14ac:dyDescent="0.25">
      <c r="A2030" s="76">
        <v>13</v>
      </c>
      <c r="B2030" s="3" t="s">
        <v>287</v>
      </c>
      <c r="C2030" s="2" t="s">
        <v>160</v>
      </c>
      <c r="D2030" s="1">
        <v>0</v>
      </c>
      <c r="E2030" s="1">
        <v>1</v>
      </c>
      <c r="F2030" s="1">
        <v>0</v>
      </c>
      <c r="G2030" s="1">
        <v>6</v>
      </c>
      <c r="H2030" s="4">
        <v>0.67</v>
      </c>
      <c r="I2030" s="1">
        <v>0</v>
      </c>
      <c r="J2030" s="4"/>
      <c r="K2030" s="1">
        <v>0</v>
      </c>
      <c r="L2030" s="1">
        <v>0</v>
      </c>
      <c r="M2030" s="32">
        <f>IF(Mecze[[#This Row],[PR]]=0,0,Mecze[[#This Row],[PR]]/Mecze[[#This Row],[CZAS]])</f>
        <v>0</v>
      </c>
      <c r="N2030" s="32">
        <f>IF(Mecze[[#This Row],[OU]]=0,0,Mecze[[#This Row],[OU]]/Mecze[[#This Row],[CZAS]])</f>
        <v>0</v>
      </c>
      <c r="O2030" s="32">
        <f>IF(Mecze[[#This Row],[PC]]=0,0,Mecze[[#This Row],[PC]]/Mecze[[#This Row],[CZAS]])</f>
        <v>4.1237113402061855E-2</v>
      </c>
      <c r="P2030" s="32">
        <f>IF(Mecze[[#This Row],[SC]]=0,0,Mecze[[#This Row],[SC]]/Mecze[[#This Row],[CZAS]])</f>
        <v>0</v>
      </c>
      <c r="Q2030" s="32">
        <f>IF(Mecze[[#This Row],[OB]]=0,0,Mecze[[#This Row],[OB]]/Mecze[[#This Row],[CZAS]])</f>
        <v>0</v>
      </c>
      <c r="R2030" s="32">
        <f>IF(Mecze[[#This Row],[BR]]=0,0,Mecze[[#This Row],[BR]]/Mecze[[#This Row],[CZAS]])</f>
        <v>0</v>
      </c>
      <c r="S2030" s="44">
        <f>IF(Mecze[[#This Row],[Role]]="BR",SUMPRODUCT(Mecze[[#This Row],[/PR:90]:[/BR:90]],Brudnopis!$E$23:$J$23),0)</f>
        <v>0</v>
      </c>
      <c r="T2030" s="44">
        <f>IF(Mecze[[#This Row],[Role]]&lt;&gt;"BR",SUMPRODUCT(Mecze[[#This Row],[/PR:90]:[/BR:90]],Brudnopis!$E$24:$J$24),0)</f>
        <v>4.1237113402061855E-2</v>
      </c>
      <c r="U2030" s="44">
        <f>IF(Mecze[[#This Row],[Role]]&lt;&gt;"BR",SUMPRODUCT(Mecze[[#This Row],[/PR:90]:[/BR:90]],Brudnopis!$E$25:$J$25),0)</f>
        <v>6.1855670103092786E-2</v>
      </c>
      <c r="V2030" s="44">
        <f>IF(Mecze[[#This Row],[Role]]&lt;&gt;"BR",SUMPRODUCT(Mecze[[#This Row],[/PR:90]:[/BR:90]],Brudnopis!$E$26:$J$26),0)</f>
        <v>4.1237113402061855E-2</v>
      </c>
      <c r="W2030" s="44">
        <f>IF(Mecze[[#This Row],[Role]]&lt;&gt;"BR",SUMPRODUCT(Mecze[[#This Row],[/PR:90]:[/BR:90]],Brudnopis!$E$27:$J$27),0)</f>
        <v>6.1855670103092786E-2</v>
      </c>
      <c r="X2030" s="44">
        <f>IF(Mecze[[#This Row],[Role]]&lt;&gt;"BR",SUMPRODUCT(Mecze[[#This Row],[/PR:90]:[/BR:90]],Brudnopis!$E$28:$J$28),0)</f>
        <v>4.1237113402061855E-2</v>
      </c>
      <c r="Y2030" s="35">
        <f>IF(Mecze[[#This Row],[Role]]="BR",Mecze[[#This Row],[/OB:90]]+Mecze[[#This Row],[/PC:90]],SUM(Mecze[[#This Row],[/PR:90]:[/BR:90]]))</f>
        <v>4.1237113402061855E-2</v>
      </c>
      <c r="Z2030" s="35">
        <f>IF(Mecze[[#This Row],[KC]]=0,SUM(Mecze[[#This Row],[/BRI]:[/NPI]]),SUM(Mecze[[#This Row],[/BRI]:[/NPI]])*0.6)</f>
        <v>0.24742268041237112</v>
      </c>
      <c r="AA2030" s="10">
        <f>IFERROR(Mecze[[#This Row],[BR]]/Mecze[[#This Row],[ST]],0)</f>
        <v>0</v>
      </c>
      <c r="AB2030">
        <f>ROUND(Mecze[[#This Row],[PD]]*Mecze[[#This Row],[%PC]],0)</f>
        <v>4</v>
      </c>
      <c r="AC2030">
        <f>ROUND(Mecze[[#This Row],[OD]]*Mecze[[#This Row],[%OU]],0)</f>
        <v>0</v>
      </c>
      <c r="AD2030" s="36" t="s">
        <v>171</v>
      </c>
      <c r="AE2030" s="36">
        <v>112</v>
      </c>
      <c r="AF2030" s="71">
        <v>2.93</v>
      </c>
      <c r="AG2030" s="37">
        <v>0</v>
      </c>
      <c r="AH2030" s="37">
        <v>0</v>
      </c>
      <c r="AI2030" s="37">
        <v>97</v>
      </c>
      <c r="AJ2030" s="37">
        <v>4</v>
      </c>
      <c r="AK2030" s="37" t="str">
        <f>VLOOKUP(Mecze[[#This Row],[Match ID]],Meczusie[Mecz]:Meczusie[RodzajMeczu],2,FALSE)</f>
        <v>Liga</v>
      </c>
    </row>
    <row r="2031" spans="1:37" x14ac:dyDescent="0.25">
      <c r="A2031" s="76">
        <v>1</v>
      </c>
      <c r="B2031" s="3" t="s">
        <v>320</v>
      </c>
      <c r="C2031" s="2" t="s">
        <v>155</v>
      </c>
      <c r="D2031" s="1">
        <v>0</v>
      </c>
      <c r="E2031" s="1">
        <v>0</v>
      </c>
      <c r="F2031" s="1">
        <v>0</v>
      </c>
      <c r="G2031" s="1">
        <v>18</v>
      </c>
      <c r="H2031" s="4">
        <v>0.61</v>
      </c>
      <c r="I2031" s="1">
        <v>0</v>
      </c>
      <c r="J2031" s="4"/>
      <c r="K2031" s="1">
        <v>21</v>
      </c>
      <c r="L2031" s="1">
        <v>0</v>
      </c>
      <c r="M2031" s="32">
        <f>IF(Mecze[[#This Row],[PR]]=0,0,Mecze[[#This Row],[PR]]/Mecze[[#This Row],[CZAS]])</f>
        <v>0</v>
      </c>
      <c r="N2031" s="32">
        <f>IF(Mecze[[#This Row],[OU]]=0,0,Mecze[[#This Row],[OU]]/Mecze[[#This Row],[CZAS]])</f>
        <v>0</v>
      </c>
      <c r="O2031" s="32">
        <f>IF(Mecze[[#This Row],[PC]]=0,0,Mecze[[#This Row],[PC]]/Mecze[[#This Row],[CZAS]])</f>
        <v>0.1134020618556701</v>
      </c>
      <c r="P2031" s="32">
        <f>IF(Mecze[[#This Row],[SC]]=0,0,Mecze[[#This Row],[SC]]/Mecze[[#This Row],[CZAS]])</f>
        <v>0</v>
      </c>
      <c r="Q2031" s="32">
        <f>IF(Mecze[[#This Row],[OB]]=0,0,Mecze[[#This Row],[OB]]/Mecze[[#This Row],[CZAS]])</f>
        <v>0.21649484536082475</v>
      </c>
      <c r="R2031" s="32">
        <f>IF(Mecze[[#This Row],[BR]]=0,0,Mecze[[#This Row],[BR]]/Mecze[[#This Row],[CZAS]])</f>
        <v>0</v>
      </c>
      <c r="S2031" s="44">
        <f>IF(Mecze[[#This Row],[Role]]="BR",SUMPRODUCT(Mecze[[#This Row],[/PR:90]:[/BR:90]],Brudnopis!$E$23:$J$23),0)</f>
        <v>0.98969072164948457</v>
      </c>
      <c r="T2031" s="44">
        <f>IF(Mecze[[#This Row],[Role]]&lt;&gt;"BR",SUMPRODUCT(Mecze[[#This Row],[/PR:90]:[/BR:90]],Brudnopis!$E$24:$J$24),0)</f>
        <v>0</v>
      </c>
      <c r="U2031" s="44">
        <f>IF(Mecze[[#This Row],[Role]]&lt;&gt;"BR",SUMPRODUCT(Mecze[[#This Row],[/PR:90]:[/BR:90]],Brudnopis!$E$25:$J$25),0)</f>
        <v>0</v>
      </c>
      <c r="V2031" s="44">
        <f>IF(Mecze[[#This Row],[Role]]&lt;&gt;"BR",SUMPRODUCT(Mecze[[#This Row],[/PR:90]:[/BR:90]],Brudnopis!$E$26:$J$26),0)</f>
        <v>0</v>
      </c>
      <c r="W2031" s="44">
        <f>IF(Mecze[[#This Row],[Role]]&lt;&gt;"BR",SUMPRODUCT(Mecze[[#This Row],[/PR:90]:[/BR:90]],Brudnopis!$E$27:$J$27),0)</f>
        <v>0</v>
      </c>
      <c r="X2031" s="44">
        <f>IF(Mecze[[#This Row],[Role]]&lt;&gt;"BR",SUMPRODUCT(Mecze[[#This Row],[/PR:90]:[/BR:90]],Brudnopis!$E$28:$J$28),0)</f>
        <v>0</v>
      </c>
      <c r="Y2031" s="35">
        <f>IF(Mecze[[#This Row],[Role]]="BR",Mecze[[#This Row],[/OB:90]]+Mecze[[#This Row],[/PC:90]],SUM(Mecze[[#This Row],[/PR:90]:[/BR:90]]))</f>
        <v>0.32989690721649484</v>
      </c>
      <c r="Z2031" s="35">
        <f>IF(Mecze[[#This Row],[KC]]=0,SUM(Mecze[[#This Row],[/BRI]:[/NPI]]),SUM(Mecze[[#This Row],[/BRI]:[/NPI]])*0.6)</f>
        <v>0.98969072164948457</v>
      </c>
      <c r="AA2031" s="10">
        <f>IFERROR(Mecze[[#This Row],[BR]]/Mecze[[#This Row],[ST]],0)</f>
        <v>0</v>
      </c>
      <c r="AB2031">
        <f>ROUND(Mecze[[#This Row],[PD]]*Mecze[[#This Row],[%PC]],0)</f>
        <v>11</v>
      </c>
      <c r="AC2031">
        <f>ROUND(Mecze[[#This Row],[OD]]*Mecze[[#This Row],[%OU]],0)</f>
        <v>0</v>
      </c>
      <c r="AD2031" s="36" t="s">
        <v>40</v>
      </c>
      <c r="AE2031" s="36">
        <v>112</v>
      </c>
      <c r="AF2031" s="71">
        <v>10.16</v>
      </c>
      <c r="AG2031" s="37">
        <v>0</v>
      </c>
      <c r="AH2031" s="37">
        <v>0</v>
      </c>
      <c r="AI2031" s="37">
        <v>97</v>
      </c>
      <c r="AJ2031" s="37">
        <v>11</v>
      </c>
      <c r="AK2031" s="37" t="str">
        <f>VLOOKUP(Mecze[[#This Row],[Match ID]],Meczusie[Mecz]:Meczusie[RodzajMeczu],2,FALSE)</f>
        <v>Liga</v>
      </c>
    </row>
    <row r="2032" spans="1:37" x14ac:dyDescent="0.25">
      <c r="A2032" s="76">
        <v>4</v>
      </c>
      <c r="B2032" s="3" t="s">
        <v>321</v>
      </c>
      <c r="C2032" s="2" t="s">
        <v>157</v>
      </c>
      <c r="D2032" s="1">
        <v>0</v>
      </c>
      <c r="E2032" s="1">
        <v>0</v>
      </c>
      <c r="F2032" s="1">
        <v>0</v>
      </c>
      <c r="G2032" s="1">
        <v>11</v>
      </c>
      <c r="H2032" s="4">
        <v>0.64</v>
      </c>
      <c r="I2032" s="1">
        <v>7</v>
      </c>
      <c r="J2032" s="4">
        <v>0.28999999999999998</v>
      </c>
      <c r="K2032" s="1">
        <v>0</v>
      </c>
      <c r="L2032" s="1">
        <v>7</v>
      </c>
      <c r="M2032" s="32">
        <f>IF(Mecze[[#This Row],[PR]]=0,0,Mecze[[#This Row],[PR]]/Mecze[[#This Row],[CZAS]])</f>
        <v>7.2164948453608241E-2</v>
      </c>
      <c r="N2032" s="32">
        <f>IF(Mecze[[#This Row],[OU]]=0,0,Mecze[[#This Row],[OU]]/Mecze[[#This Row],[CZAS]])</f>
        <v>2.0618556701030927E-2</v>
      </c>
      <c r="O2032" s="32">
        <f>IF(Mecze[[#This Row],[PC]]=0,0,Mecze[[#This Row],[PC]]/Mecze[[#This Row],[CZAS]])</f>
        <v>7.2164948453608241E-2</v>
      </c>
      <c r="P2032" s="32">
        <f>IF(Mecze[[#This Row],[SC]]=0,0,Mecze[[#This Row],[SC]]/Mecze[[#This Row],[CZAS]])</f>
        <v>0</v>
      </c>
      <c r="Q2032" s="32">
        <f>IF(Mecze[[#This Row],[OB]]=0,0,Mecze[[#This Row],[OB]]/Mecze[[#This Row],[CZAS]])</f>
        <v>0</v>
      </c>
      <c r="R2032" s="32">
        <f>IF(Mecze[[#This Row],[BR]]=0,0,Mecze[[#This Row],[BR]]/Mecze[[#This Row],[CZAS]])</f>
        <v>0</v>
      </c>
      <c r="S2032" s="44">
        <f>IF(Mecze[[#This Row],[Role]]="BR",SUMPRODUCT(Mecze[[#This Row],[/PR:90]:[/BR:90]],Brudnopis!$E$23:$J$23),0)</f>
        <v>0</v>
      </c>
      <c r="T2032" s="44">
        <f>IF(Mecze[[#This Row],[Role]]&lt;&gt;"BR",SUMPRODUCT(Mecze[[#This Row],[/PR:90]:[/BR:90]],Brudnopis!$E$24:$J$24),0)</f>
        <v>0.17525773195876287</v>
      </c>
      <c r="U2032" s="44">
        <f>IF(Mecze[[#This Row],[Role]]&lt;&gt;"BR",SUMPRODUCT(Mecze[[#This Row],[/PR:90]:[/BR:90]],Brudnopis!$E$25:$J$25),0)</f>
        <v>0.20103092783505153</v>
      </c>
      <c r="V2032" s="44">
        <f>IF(Mecze[[#This Row],[Role]]&lt;&gt;"BR",SUMPRODUCT(Mecze[[#This Row],[/PR:90]:[/BR:90]],Brudnopis!$E$26:$J$26),0)</f>
        <v>0.16494845360824739</v>
      </c>
      <c r="W2032" s="44">
        <f>IF(Mecze[[#This Row],[Role]]&lt;&gt;"BR",SUMPRODUCT(Mecze[[#This Row],[/PR:90]:[/BR:90]],Brudnopis!$E$27:$J$27),0)</f>
        <v>0.17783505154639173</v>
      </c>
      <c r="X2032" s="44">
        <f>IF(Mecze[[#This Row],[Role]]&lt;&gt;"BR",SUMPRODUCT(Mecze[[#This Row],[/PR:90]:[/BR:90]],Brudnopis!$E$28:$J$28),0)</f>
        <v>7.2164948453608241E-2</v>
      </c>
      <c r="Y2032" s="35">
        <f>IF(Mecze[[#This Row],[Role]]="BR",Mecze[[#This Row],[/OB:90]]+Mecze[[#This Row],[/PC:90]],SUM(Mecze[[#This Row],[/PR:90]:[/BR:90]]))</f>
        <v>0.16494845360824739</v>
      </c>
      <c r="Z2032" s="35">
        <f>IF(Mecze[[#This Row],[KC]]=0,SUM(Mecze[[#This Row],[/BRI]:[/NPI]]),SUM(Mecze[[#This Row],[/BRI]:[/NPI]])*0.6)</f>
        <v>0.79123711340206171</v>
      </c>
      <c r="AA2032" s="10">
        <f>IFERROR(Mecze[[#This Row],[BR]]/Mecze[[#This Row],[ST]],0)</f>
        <v>0</v>
      </c>
      <c r="AB2032">
        <f>ROUND(Mecze[[#This Row],[PD]]*Mecze[[#This Row],[%PC]],0)</f>
        <v>7</v>
      </c>
      <c r="AC2032">
        <f>ROUND(Mecze[[#This Row],[OD]]*Mecze[[#This Row],[%OU]],0)</f>
        <v>2</v>
      </c>
      <c r="AD2032" s="36" t="s">
        <v>47</v>
      </c>
      <c r="AE2032" s="36">
        <v>112</v>
      </c>
      <c r="AF2032" s="71">
        <v>3.06</v>
      </c>
      <c r="AG2032" s="37">
        <v>0</v>
      </c>
      <c r="AH2032" s="37">
        <v>0</v>
      </c>
      <c r="AI2032" s="37">
        <v>97</v>
      </c>
      <c r="AJ2032" s="37">
        <v>11</v>
      </c>
      <c r="AK2032" s="37" t="str">
        <f>VLOOKUP(Mecze[[#This Row],[Match ID]],Meczusie[Mecz]:Meczusie[RodzajMeczu],2,FALSE)</f>
        <v>Liga</v>
      </c>
    </row>
    <row r="2033" spans="1:37" x14ac:dyDescent="0.25">
      <c r="A2033" s="76">
        <v>7</v>
      </c>
      <c r="B2033" s="3" t="s">
        <v>322</v>
      </c>
      <c r="C2033" s="2" t="s">
        <v>157</v>
      </c>
      <c r="D2033" s="1">
        <v>0</v>
      </c>
      <c r="E2033" s="1">
        <v>0</v>
      </c>
      <c r="F2033" s="1">
        <v>0</v>
      </c>
      <c r="G2033" s="1">
        <v>11</v>
      </c>
      <c r="H2033" s="4">
        <v>0.82</v>
      </c>
      <c r="I2033" s="1">
        <v>9</v>
      </c>
      <c r="J2033" s="4">
        <v>0.56000000000000005</v>
      </c>
      <c r="K2033" s="1">
        <v>0</v>
      </c>
      <c r="L2033" s="1">
        <v>3</v>
      </c>
      <c r="M2033" s="32">
        <f>IF(Mecze[[#This Row],[PR]]=0,0,Mecze[[#This Row],[PR]]/Mecze[[#This Row],[CZAS]])</f>
        <v>3.0927835051546393E-2</v>
      </c>
      <c r="N2033" s="32">
        <f>IF(Mecze[[#This Row],[OU]]=0,0,Mecze[[#This Row],[OU]]/Mecze[[#This Row],[CZAS]])</f>
        <v>5.1546391752577317E-2</v>
      </c>
      <c r="O2033" s="32">
        <f>IF(Mecze[[#This Row],[PC]]=0,0,Mecze[[#This Row],[PC]]/Mecze[[#This Row],[CZAS]])</f>
        <v>9.2783505154639179E-2</v>
      </c>
      <c r="P2033" s="32">
        <f>IF(Mecze[[#This Row],[SC]]=0,0,Mecze[[#This Row],[SC]]/Mecze[[#This Row],[CZAS]])</f>
        <v>0</v>
      </c>
      <c r="Q2033" s="32">
        <f>IF(Mecze[[#This Row],[OB]]=0,0,Mecze[[#This Row],[OB]]/Mecze[[#This Row],[CZAS]])</f>
        <v>0</v>
      </c>
      <c r="R2033" s="32">
        <f>IF(Mecze[[#This Row],[BR]]=0,0,Mecze[[#This Row],[BR]]/Mecze[[#This Row],[CZAS]])</f>
        <v>0</v>
      </c>
      <c r="S2033" s="44">
        <f>IF(Mecze[[#This Row],[Role]]="BR",SUMPRODUCT(Mecze[[#This Row],[/PR:90]:[/BR:90]],Brudnopis!$E$23:$J$23),0)</f>
        <v>0</v>
      </c>
      <c r="T2033" s="44">
        <f>IF(Mecze[[#This Row],[Role]]&lt;&gt;"BR",SUMPRODUCT(Mecze[[#This Row],[/PR:90]:[/BR:90]],Brudnopis!$E$24:$J$24),0)</f>
        <v>0.20103092783505155</v>
      </c>
      <c r="U2033" s="44">
        <f>IF(Mecze[[#This Row],[Role]]&lt;&gt;"BR",SUMPRODUCT(Mecze[[#This Row],[/PR:90]:[/BR:90]],Brudnopis!$E$25:$J$25),0)</f>
        <v>0.22164948453608246</v>
      </c>
      <c r="V2033" s="44">
        <f>IF(Mecze[[#This Row],[Role]]&lt;&gt;"BR",SUMPRODUCT(Mecze[[#This Row],[/PR:90]:[/BR:90]],Brudnopis!$E$26:$J$26),0)</f>
        <v>0.17525773195876287</v>
      </c>
      <c r="W2033" s="44">
        <f>IF(Mecze[[#This Row],[Role]]&lt;&gt;"BR",SUMPRODUCT(Mecze[[#This Row],[/PR:90]:[/BR:90]],Brudnopis!$E$27:$J$27),0)</f>
        <v>0.20103092783505155</v>
      </c>
      <c r="X2033" s="44">
        <f>IF(Mecze[[#This Row],[Role]]&lt;&gt;"BR",SUMPRODUCT(Mecze[[#This Row],[/PR:90]:[/BR:90]],Brudnopis!$E$28:$J$28),0)</f>
        <v>9.2783505154639179E-2</v>
      </c>
      <c r="Y2033" s="35">
        <f>IF(Mecze[[#This Row],[Role]]="BR",Mecze[[#This Row],[/OB:90]]+Mecze[[#This Row],[/PC:90]],SUM(Mecze[[#This Row],[/PR:90]:[/BR:90]]))</f>
        <v>0.17525773195876287</v>
      </c>
      <c r="Z2033" s="35">
        <f>IF(Mecze[[#This Row],[KC]]=0,SUM(Mecze[[#This Row],[/BRI]:[/NPI]]),SUM(Mecze[[#This Row],[/BRI]:[/NPI]])*0.6)</f>
        <v>0.89175257731958768</v>
      </c>
      <c r="AA2033" s="10">
        <f>IFERROR(Mecze[[#This Row],[BR]]/Mecze[[#This Row],[ST]],0)</f>
        <v>0</v>
      </c>
      <c r="AB2033">
        <f>ROUND(Mecze[[#This Row],[PD]]*Mecze[[#This Row],[%PC]],0)</f>
        <v>9</v>
      </c>
      <c r="AC2033">
        <f>ROUND(Mecze[[#This Row],[OD]]*Mecze[[#This Row],[%OU]],0)</f>
        <v>5</v>
      </c>
      <c r="AD2033" s="36" t="s">
        <v>47</v>
      </c>
      <c r="AE2033" s="36">
        <v>112</v>
      </c>
      <c r="AF2033" s="71">
        <v>3.34</v>
      </c>
      <c r="AG2033" s="37">
        <v>0</v>
      </c>
      <c r="AH2033" s="37">
        <v>0</v>
      </c>
      <c r="AI2033" s="37">
        <v>97</v>
      </c>
      <c r="AJ2033" s="37">
        <v>11</v>
      </c>
      <c r="AK2033" s="37" t="str">
        <f>VLOOKUP(Mecze[[#This Row],[Match ID]],Meczusie[Mecz]:Meczusie[RodzajMeczu],2,FALSE)</f>
        <v>Liga</v>
      </c>
    </row>
    <row r="2034" spans="1:37" x14ac:dyDescent="0.25">
      <c r="A2034" s="76">
        <v>6</v>
      </c>
      <c r="B2034" s="3" t="s">
        <v>324</v>
      </c>
      <c r="C2034" s="2" t="s">
        <v>157</v>
      </c>
      <c r="D2034" s="1">
        <v>0</v>
      </c>
      <c r="E2034" s="1">
        <v>0</v>
      </c>
      <c r="F2034" s="1">
        <v>0</v>
      </c>
      <c r="G2034" s="1">
        <v>1</v>
      </c>
      <c r="H2034" s="4">
        <v>1</v>
      </c>
      <c r="I2034" s="1">
        <v>0</v>
      </c>
      <c r="J2034" s="4"/>
      <c r="K2034" s="1">
        <v>0</v>
      </c>
      <c r="L2034" s="1">
        <v>0</v>
      </c>
      <c r="M2034" s="32">
        <f>IF(Mecze[[#This Row],[PR]]=0,0,Mecze[[#This Row],[PR]]/Mecze[[#This Row],[CZAS]])</f>
        <v>0</v>
      </c>
      <c r="N2034" s="32">
        <f>IF(Mecze[[#This Row],[OU]]=0,0,Mecze[[#This Row],[OU]]/Mecze[[#This Row],[CZAS]])</f>
        <v>0</v>
      </c>
      <c r="O2034" s="32">
        <f>IF(Mecze[[#This Row],[PC]]=0,0,Mecze[[#This Row],[PC]]/Mecze[[#This Row],[CZAS]])</f>
        <v>1.0309278350515464E-2</v>
      </c>
      <c r="P2034" s="32">
        <f>IF(Mecze[[#This Row],[SC]]=0,0,Mecze[[#This Row],[SC]]/Mecze[[#This Row],[CZAS]])</f>
        <v>0</v>
      </c>
      <c r="Q2034" s="32">
        <f>IF(Mecze[[#This Row],[OB]]=0,0,Mecze[[#This Row],[OB]]/Mecze[[#This Row],[CZAS]])</f>
        <v>0</v>
      </c>
      <c r="R2034" s="32">
        <f>IF(Mecze[[#This Row],[BR]]=0,0,Mecze[[#This Row],[BR]]/Mecze[[#This Row],[CZAS]])</f>
        <v>0</v>
      </c>
      <c r="S2034" s="44">
        <f>IF(Mecze[[#This Row],[Role]]="BR",SUMPRODUCT(Mecze[[#This Row],[/PR:90]:[/BR:90]],Brudnopis!$E$23:$J$23),0)</f>
        <v>0</v>
      </c>
      <c r="T2034" s="44">
        <f>IF(Mecze[[#This Row],[Role]]&lt;&gt;"BR",SUMPRODUCT(Mecze[[#This Row],[/PR:90]:[/BR:90]],Brudnopis!$E$24:$J$24),0)</f>
        <v>1.0309278350515464E-2</v>
      </c>
      <c r="U2034" s="44">
        <f>IF(Mecze[[#This Row],[Role]]&lt;&gt;"BR",SUMPRODUCT(Mecze[[#This Row],[/PR:90]:[/BR:90]],Brudnopis!$E$25:$J$25),0)</f>
        <v>1.5463917525773196E-2</v>
      </c>
      <c r="V2034" s="44">
        <f>IF(Mecze[[#This Row],[Role]]&lt;&gt;"BR",SUMPRODUCT(Mecze[[#This Row],[/PR:90]:[/BR:90]],Brudnopis!$E$26:$J$26),0)</f>
        <v>1.0309278350515464E-2</v>
      </c>
      <c r="W2034" s="44">
        <f>IF(Mecze[[#This Row],[Role]]&lt;&gt;"BR",SUMPRODUCT(Mecze[[#This Row],[/PR:90]:[/BR:90]],Brudnopis!$E$27:$J$27),0)</f>
        <v>1.5463917525773196E-2</v>
      </c>
      <c r="X2034" s="44">
        <f>IF(Mecze[[#This Row],[Role]]&lt;&gt;"BR",SUMPRODUCT(Mecze[[#This Row],[/PR:90]:[/BR:90]],Brudnopis!$E$28:$J$28),0)</f>
        <v>1.0309278350515464E-2</v>
      </c>
      <c r="Y2034" s="35">
        <f>IF(Mecze[[#This Row],[Role]]="BR",Mecze[[#This Row],[/OB:90]]+Mecze[[#This Row],[/PC:90]],SUM(Mecze[[#This Row],[/PR:90]:[/BR:90]]))</f>
        <v>1.0309278350515464E-2</v>
      </c>
      <c r="Z2034" s="35">
        <f>IF(Mecze[[#This Row],[KC]]=0,SUM(Mecze[[#This Row],[/BRI]:[/NPI]]),SUM(Mecze[[#This Row],[/BRI]:[/NPI]])*0.6)</f>
        <v>6.1855670103092779E-2</v>
      </c>
      <c r="AA2034" s="10">
        <f>IFERROR(Mecze[[#This Row],[BR]]/Mecze[[#This Row],[ST]],0)</f>
        <v>0</v>
      </c>
      <c r="AB2034">
        <f>ROUND(Mecze[[#This Row],[PD]]*Mecze[[#This Row],[%PC]],0)</f>
        <v>1</v>
      </c>
      <c r="AC2034">
        <f>ROUND(Mecze[[#This Row],[OD]]*Mecze[[#This Row],[%OU]],0)</f>
        <v>0</v>
      </c>
      <c r="AD2034" s="36" t="s">
        <v>174</v>
      </c>
      <c r="AE2034" s="36">
        <v>112</v>
      </c>
      <c r="AF2034" s="71">
        <v>1.59</v>
      </c>
      <c r="AG2034" s="37">
        <v>0</v>
      </c>
      <c r="AH2034" s="37">
        <v>0</v>
      </c>
      <c r="AI2034" s="37">
        <v>97</v>
      </c>
      <c r="AJ2034" s="37">
        <v>11</v>
      </c>
      <c r="AK2034" s="37" t="str">
        <f>VLOOKUP(Mecze[[#This Row],[Match ID]],Meczusie[Mecz]:Meczusie[RodzajMeczu],2,FALSE)</f>
        <v>Liga</v>
      </c>
    </row>
    <row r="2035" spans="1:37" x14ac:dyDescent="0.25">
      <c r="A2035" s="76">
        <v>2</v>
      </c>
      <c r="B2035" s="3" t="s">
        <v>392</v>
      </c>
      <c r="C2035" s="2" t="s">
        <v>157</v>
      </c>
      <c r="D2035" s="1">
        <v>0</v>
      </c>
      <c r="E2035" s="1">
        <v>0</v>
      </c>
      <c r="F2035" s="1">
        <v>0</v>
      </c>
      <c r="G2035" s="1">
        <v>7</v>
      </c>
      <c r="H2035" s="4">
        <v>0.71</v>
      </c>
      <c r="I2035" s="1">
        <v>8</v>
      </c>
      <c r="J2035" s="4">
        <v>0.5</v>
      </c>
      <c r="K2035" s="1">
        <v>0</v>
      </c>
      <c r="L2035" s="1">
        <v>6</v>
      </c>
      <c r="M2035" s="32">
        <f>IF(Mecze[[#This Row],[PR]]=0,0,Mecze[[#This Row],[PR]]/Mecze[[#This Row],[CZAS]])</f>
        <v>6.1855670103092786E-2</v>
      </c>
      <c r="N2035" s="32">
        <f>IF(Mecze[[#This Row],[OU]]=0,0,Mecze[[#This Row],[OU]]/Mecze[[#This Row],[CZAS]])</f>
        <v>4.1237113402061855E-2</v>
      </c>
      <c r="O2035" s="32">
        <f>IF(Mecze[[#This Row],[PC]]=0,0,Mecze[[#This Row],[PC]]/Mecze[[#This Row],[CZAS]])</f>
        <v>5.1546391752577317E-2</v>
      </c>
      <c r="P2035" s="32">
        <f>IF(Mecze[[#This Row],[SC]]=0,0,Mecze[[#This Row],[SC]]/Mecze[[#This Row],[CZAS]])</f>
        <v>0</v>
      </c>
      <c r="Q2035" s="32">
        <f>IF(Mecze[[#This Row],[OB]]=0,0,Mecze[[#This Row],[OB]]/Mecze[[#This Row],[CZAS]])</f>
        <v>0</v>
      </c>
      <c r="R2035" s="32">
        <f>IF(Mecze[[#This Row],[BR]]=0,0,Mecze[[#This Row],[BR]]/Mecze[[#This Row],[CZAS]])</f>
        <v>0</v>
      </c>
      <c r="S2035" s="44">
        <f>IF(Mecze[[#This Row],[Role]]="BR",SUMPRODUCT(Mecze[[#This Row],[/PR:90]:[/BR:90]],Brudnopis!$E$23:$J$23),0)</f>
        <v>0</v>
      </c>
      <c r="T2035" s="44">
        <f>IF(Mecze[[#This Row],[Role]]&lt;&gt;"BR",SUMPRODUCT(Mecze[[#This Row],[/PR:90]:[/BR:90]],Brudnopis!$E$24:$J$24),0)</f>
        <v>0.17525773195876287</v>
      </c>
      <c r="U2035" s="44">
        <f>IF(Mecze[[#This Row],[Role]]&lt;&gt;"BR",SUMPRODUCT(Mecze[[#This Row],[/PR:90]:[/BR:90]],Brudnopis!$E$25:$J$25),0)</f>
        <v>0.18041237113402062</v>
      </c>
      <c r="V2035" s="44">
        <f>IF(Mecze[[#This Row],[Role]]&lt;&gt;"BR",SUMPRODUCT(Mecze[[#This Row],[/PR:90]:[/BR:90]],Brudnopis!$E$26:$J$26),0)</f>
        <v>0.15463917525773196</v>
      </c>
      <c r="W2035" s="44">
        <f>IF(Mecze[[#This Row],[Role]]&lt;&gt;"BR",SUMPRODUCT(Mecze[[#This Row],[/PR:90]:[/BR:90]],Brudnopis!$E$27:$J$27),0)</f>
        <v>0.15463917525773196</v>
      </c>
      <c r="X2035" s="44">
        <f>IF(Mecze[[#This Row],[Role]]&lt;&gt;"BR",SUMPRODUCT(Mecze[[#This Row],[/PR:90]:[/BR:90]],Brudnopis!$E$28:$J$28),0)</f>
        <v>5.1546391752577317E-2</v>
      </c>
      <c r="Y2035" s="35">
        <f>IF(Mecze[[#This Row],[Role]]="BR",Mecze[[#This Row],[/OB:90]]+Mecze[[#This Row],[/PC:90]],SUM(Mecze[[#This Row],[/PR:90]:[/BR:90]]))</f>
        <v>0.15463917525773196</v>
      </c>
      <c r="Z2035" s="35">
        <f>IF(Mecze[[#This Row],[KC]]=0,SUM(Mecze[[#This Row],[/BRI]:[/NPI]]),SUM(Mecze[[#This Row],[/BRI]:[/NPI]])*0.6)</f>
        <v>0.71649484536082475</v>
      </c>
      <c r="AA2035" s="10">
        <f>IFERROR(Mecze[[#This Row],[BR]]/Mecze[[#This Row],[ST]],0)</f>
        <v>0</v>
      </c>
      <c r="AB2035">
        <f>ROUND(Mecze[[#This Row],[PD]]*Mecze[[#This Row],[%PC]],0)</f>
        <v>5</v>
      </c>
      <c r="AC2035">
        <f>ROUND(Mecze[[#This Row],[OD]]*Mecze[[#This Row],[%OU]],0)</f>
        <v>4</v>
      </c>
      <c r="AD2035" s="36" t="s">
        <v>175</v>
      </c>
      <c r="AE2035" s="36">
        <v>112</v>
      </c>
      <c r="AF2035" s="71">
        <v>3.97</v>
      </c>
      <c r="AG2035" s="37">
        <v>0</v>
      </c>
      <c r="AH2035" s="37">
        <v>0</v>
      </c>
      <c r="AI2035" s="37">
        <v>97</v>
      </c>
      <c r="AJ2035" s="37">
        <v>11</v>
      </c>
      <c r="AK2035" s="37" t="str">
        <f>VLOOKUP(Mecze[[#This Row],[Match ID]],Meczusie[Mecz]:Meczusie[RodzajMeczu],2,FALSE)</f>
        <v>Liga</v>
      </c>
    </row>
    <row r="2036" spans="1:37" x14ac:dyDescent="0.25">
      <c r="A2036" s="76">
        <v>5</v>
      </c>
      <c r="B2036" s="3" t="s">
        <v>325</v>
      </c>
      <c r="C2036" s="2" t="s">
        <v>160</v>
      </c>
      <c r="D2036" s="1">
        <v>0</v>
      </c>
      <c r="E2036" s="1">
        <v>0</v>
      </c>
      <c r="F2036" s="1">
        <v>0</v>
      </c>
      <c r="G2036" s="1">
        <v>10</v>
      </c>
      <c r="H2036" s="4">
        <v>0.7</v>
      </c>
      <c r="I2036" s="1">
        <v>6</v>
      </c>
      <c r="J2036" s="4">
        <v>0.5</v>
      </c>
      <c r="K2036" s="1">
        <v>0</v>
      </c>
      <c r="L2036" s="1">
        <v>2</v>
      </c>
      <c r="M2036" s="32">
        <f>IF(Mecze[[#This Row],[PR]]=0,0,Mecze[[#This Row],[PR]]/Mecze[[#This Row],[CZAS]])</f>
        <v>2.0618556701030927E-2</v>
      </c>
      <c r="N2036" s="32">
        <f>IF(Mecze[[#This Row],[OU]]=0,0,Mecze[[#This Row],[OU]]/Mecze[[#This Row],[CZAS]])</f>
        <v>3.0927835051546393E-2</v>
      </c>
      <c r="O2036" s="32">
        <f>IF(Mecze[[#This Row],[PC]]=0,0,Mecze[[#This Row],[PC]]/Mecze[[#This Row],[CZAS]])</f>
        <v>7.2164948453608241E-2</v>
      </c>
      <c r="P2036" s="32">
        <f>IF(Mecze[[#This Row],[SC]]=0,0,Mecze[[#This Row],[SC]]/Mecze[[#This Row],[CZAS]])</f>
        <v>0</v>
      </c>
      <c r="Q2036" s="32">
        <f>IF(Mecze[[#This Row],[OB]]=0,0,Mecze[[#This Row],[OB]]/Mecze[[#This Row],[CZAS]])</f>
        <v>0</v>
      </c>
      <c r="R2036" s="32">
        <f>IF(Mecze[[#This Row],[BR]]=0,0,Mecze[[#This Row],[BR]]/Mecze[[#This Row],[CZAS]])</f>
        <v>0</v>
      </c>
      <c r="S2036" s="44">
        <f>IF(Mecze[[#This Row],[Role]]="BR",SUMPRODUCT(Mecze[[#This Row],[/PR:90]:[/BR:90]],Brudnopis!$E$23:$J$23),0)</f>
        <v>0</v>
      </c>
      <c r="T2036" s="44">
        <f>IF(Mecze[[#This Row],[Role]]&lt;&gt;"BR",SUMPRODUCT(Mecze[[#This Row],[/PR:90]:[/BR:90]],Brudnopis!$E$24:$J$24),0)</f>
        <v>0.13917525773195877</v>
      </c>
      <c r="U2036" s="44">
        <f>IF(Mecze[[#This Row],[Role]]&lt;&gt;"BR",SUMPRODUCT(Mecze[[#This Row],[/PR:90]:[/BR:90]],Brudnopis!$E$25:$J$25),0)</f>
        <v>0.15979381443298968</v>
      </c>
      <c r="V2036" s="44">
        <f>IF(Mecze[[#This Row],[Role]]&lt;&gt;"BR",SUMPRODUCT(Mecze[[#This Row],[/PR:90]:[/BR:90]],Brudnopis!$E$26:$J$26),0)</f>
        <v>0.12371134020618556</v>
      </c>
      <c r="W2036" s="44">
        <f>IF(Mecze[[#This Row],[Role]]&lt;&gt;"BR",SUMPRODUCT(Mecze[[#This Row],[/PR:90]:[/BR:90]],Brudnopis!$E$27:$J$27),0)</f>
        <v>0.14690721649484534</v>
      </c>
      <c r="X2036" s="44">
        <f>IF(Mecze[[#This Row],[Role]]&lt;&gt;"BR",SUMPRODUCT(Mecze[[#This Row],[/PR:90]:[/BR:90]],Brudnopis!$E$28:$J$28),0)</f>
        <v>7.2164948453608241E-2</v>
      </c>
      <c r="Y2036" s="35">
        <f>IF(Mecze[[#This Row],[Role]]="BR",Mecze[[#This Row],[/OB:90]]+Mecze[[#This Row],[/PC:90]],SUM(Mecze[[#This Row],[/PR:90]:[/BR:90]]))</f>
        <v>0.12371134020618556</v>
      </c>
      <c r="Z2036" s="35">
        <f>IF(Mecze[[#This Row],[KC]]=0,SUM(Mecze[[#This Row],[/BRI]:[/NPI]]),SUM(Mecze[[#This Row],[/BRI]:[/NPI]])*0.6)</f>
        <v>0.64175257731958757</v>
      </c>
      <c r="AA2036" s="10">
        <f>IFERROR(Mecze[[#This Row],[BR]]/Mecze[[#This Row],[ST]],0)</f>
        <v>0</v>
      </c>
      <c r="AB2036">
        <f>ROUND(Mecze[[#This Row],[PD]]*Mecze[[#This Row],[%PC]],0)</f>
        <v>7</v>
      </c>
      <c r="AC2036">
        <f>ROUND(Mecze[[#This Row],[OD]]*Mecze[[#This Row],[%OU]],0)</f>
        <v>3</v>
      </c>
      <c r="AD2036" s="36" t="s">
        <v>41</v>
      </c>
      <c r="AE2036" s="36">
        <v>112</v>
      </c>
      <c r="AF2036" s="71">
        <v>3.22</v>
      </c>
      <c r="AG2036" s="37">
        <v>1</v>
      </c>
      <c r="AH2036" s="37">
        <v>0</v>
      </c>
      <c r="AI2036" s="37">
        <v>97</v>
      </c>
      <c r="AJ2036" s="37">
        <v>11</v>
      </c>
      <c r="AK2036" s="37" t="str">
        <f>VLOOKUP(Mecze[[#This Row],[Match ID]],Meczusie[Mecz]:Meczusie[RodzajMeczu],2,FALSE)</f>
        <v>Liga</v>
      </c>
    </row>
    <row r="2037" spans="1:37" x14ac:dyDescent="0.25">
      <c r="A2037" s="76">
        <v>8</v>
      </c>
      <c r="B2037" s="3" t="s">
        <v>326</v>
      </c>
      <c r="C2037" s="2" t="s">
        <v>160</v>
      </c>
      <c r="D2037" s="1">
        <v>0</v>
      </c>
      <c r="E2037" s="1">
        <v>0</v>
      </c>
      <c r="F2037" s="1">
        <v>0</v>
      </c>
      <c r="G2037" s="1">
        <v>16</v>
      </c>
      <c r="H2037" s="4">
        <v>0.5</v>
      </c>
      <c r="I2037" s="1">
        <v>5</v>
      </c>
      <c r="J2037" s="4">
        <v>0.6</v>
      </c>
      <c r="K2037" s="1">
        <v>0</v>
      </c>
      <c r="L2037" s="1">
        <v>2</v>
      </c>
      <c r="M2037" s="32">
        <f>IF(Mecze[[#This Row],[PR]]=0,0,Mecze[[#This Row],[PR]]/Mecze[[#This Row],[CZAS]])</f>
        <v>2.0618556701030927E-2</v>
      </c>
      <c r="N2037" s="32">
        <f>IF(Mecze[[#This Row],[OU]]=0,0,Mecze[[#This Row],[OU]]/Mecze[[#This Row],[CZAS]])</f>
        <v>3.0927835051546393E-2</v>
      </c>
      <c r="O2037" s="32">
        <f>IF(Mecze[[#This Row],[PC]]=0,0,Mecze[[#This Row],[PC]]/Mecze[[#This Row],[CZAS]])</f>
        <v>8.247422680412371E-2</v>
      </c>
      <c r="P2037" s="32">
        <f>IF(Mecze[[#This Row],[SC]]=0,0,Mecze[[#This Row],[SC]]/Mecze[[#This Row],[CZAS]])</f>
        <v>0</v>
      </c>
      <c r="Q2037" s="32">
        <f>IF(Mecze[[#This Row],[OB]]=0,0,Mecze[[#This Row],[OB]]/Mecze[[#This Row],[CZAS]])</f>
        <v>0</v>
      </c>
      <c r="R2037" s="32">
        <f>IF(Mecze[[#This Row],[BR]]=0,0,Mecze[[#This Row],[BR]]/Mecze[[#This Row],[CZAS]])</f>
        <v>0</v>
      </c>
      <c r="S2037" s="44">
        <f>IF(Mecze[[#This Row],[Role]]="BR",SUMPRODUCT(Mecze[[#This Row],[/PR:90]:[/BR:90]],Brudnopis!$E$23:$J$23),0)</f>
        <v>0</v>
      </c>
      <c r="T2037" s="44">
        <f>IF(Mecze[[#This Row],[Role]]&lt;&gt;"BR",SUMPRODUCT(Mecze[[#This Row],[/PR:90]:[/BR:90]],Brudnopis!$E$24:$J$24),0)</f>
        <v>0.14948453608247422</v>
      </c>
      <c r="U2037" s="44">
        <f>IF(Mecze[[#This Row],[Role]]&lt;&gt;"BR",SUMPRODUCT(Mecze[[#This Row],[/PR:90]:[/BR:90]],Brudnopis!$E$25:$J$25),0)</f>
        <v>0.17525773195876287</v>
      </c>
      <c r="V2037" s="44">
        <f>IF(Mecze[[#This Row],[Role]]&lt;&gt;"BR",SUMPRODUCT(Mecze[[#This Row],[/PR:90]:[/BR:90]],Brudnopis!$E$26:$J$26),0)</f>
        <v>0.13402061855670103</v>
      </c>
      <c r="W2037" s="44">
        <f>IF(Mecze[[#This Row],[Role]]&lt;&gt;"BR",SUMPRODUCT(Mecze[[#This Row],[/PR:90]:[/BR:90]],Brudnopis!$E$27:$J$27),0)</f>
        <v>0.16237113402061856</v>
      </c>
      <c r="X2037" s="44">
        <f>IF(Mecze[[#This Row],[Role]]&lt;&gt;"BR",SUMPRODUCT(Mecze[[#This Row],[/PR:90]:[/BR:90]],Brudnopis!$E$28:$J$28),0)</f>
        <v>8.247422680412371E-2</v>
      </c>
      <c r="Y2037" s="35">
        <f>IF(Mecze[[#This Row],[Role]]="BR",Mecze[[#This Row],[/OB:90]]+Mecze[[#This Row],[/PC:90]],SUM(Mecze[[#This Row],[/PR:90]:[/BR:90]]))</f>
        <v>0.13402061855670103</v>
      </c>
      <c r="Z2037" s="35">
        <f>IF(Mecze[[#This Row],[KC]]=0,SUM(Mecze[[#This Row],[/BRI]:[/NPI]]),SUM(Mecze[[#This Row],[/BRI]:[/NPI]])*0.6)</f>
        <v>0.70360824742268036</v>
      </c>
      <c r="AA2037" s="10">
        <f>IFERROR(Mecze[[#This Row],[BR]]/Mecze[[#This Row],[ST]],0)</f>
        <v>0</v>
      </c>
      <c r="AB2037">
        <f>ROUND(Mecze[[#This Row],[PD]]*Mecze[[#This Row],[%PC]],0)</f>
        <v>8</v>
      </c>
      <c r="AC2037">
        <f>ROUND(Mecze[[#This Row],[OD]]*Mecze[[#This Row],[%OU]],0)</f>
        <v>3</v>
      </c>
      <c r="AD2037" s="36" t="s">
        <v>318</v>
      </c>
      <c r="AE2037" s="36">
        <v>112</v>
      </c>
      <c r="AF2037" s="71">
        <v>4.33</v>
      </c>
      <c r="AG2037" s="37">
        <v>0</v>
      </c>
      <c r="AH2037" s="37">
        <v>0</v>
      </c>
      <c r="AI2037" s="37">
        <v>97</v>
      </c>
      <c r="AJ2037" s="37">
        <v>11</v>
      </c>
      <c r="AK2037" s="37" t="str">
        <f>VLOOKUP(Mecze[[#This Row],[Match ID]],Meczusie[Mecz]:Meczusie[RodzajMeczu],2,FALSE)</f>
        <v>Liga</v>
      </c>
    </row>
    <row r="2038" spans="1:37" x14ac:dyDescent="0.25">
      <c r="A2038" s="76">
        <v>9</v>
      </c>
      <c r="B2038" s="3" t="s">
        <v>327</v>
      </c>
      <c r="C2038" s="2" t="s">
        <v>160</v>
      </c>
      <c r="D2038" s="1">
        <v>0</v>
      </c>
      <c r="E2038" s="1">
        <v>0</v>
      </c>
      <c r="F2038" s="1">
        <v>0</v>
      </c>
      <c r="G2038" s="1">
        <v>9</v>
      </c>
      <c r="H2038" s="4">
        <v>0.67</v>
      </c>
      <c r="I2038" s="1">
        <v>1</v>
      </c>
      <c r="J2038" s="4">
        <v>1</v>
      </c>
      <c r="K2038" s="1">
        <v>0</v>
      </c>
      <c r="L2038" s="1">
        <v>0</v>
      </c>
      <c r="M2038" s="32">
        <f>IF(Mecze[[#This Row],[PR]]=0,0,Mecze[[#This Row],[PR]]/Mecze[[#This Row],[CZAS]])</f>
        <v>0</v>
      </c>
      <c r="N2038" s="32">
        <f>IF(Mecze[[#This Row],[OU]]=0,0,Mecze[[#This Row],[OU]]/Mecze[[#This Row],[CZAS]])</f>
        <v>1.0309278350515464E-2</v>
      </c>
      <c r="O2038" s="32">
        <f>IF(Mecze[[#This Row],[PC]]=0,0,Mecze[[#This Row],[PC]]/Mecze[[#This Row],[CZAS]])</f>
        <v>6.1855670103092786E-2</v>
      </c>
      <c r="P2038" s="32">
        <f>IF(Mecze[[#This Row],[SC]]=0,0,Mecze[[#This Row],[SC]]/Mecze[[#This Row],[CZAS]])</f>
        <v>0</v>
      </c>
      <c r="Q2038" s="32">
        <f>IF(Mecze[[#This Row],[OB]]=0,0,Mecze[[#This Row],[OB]]/Mecze[[#This Row],[CZAS]])</f>
        <v>0</v>
      </c>
      <c r="R2038" s="32">
        <f>IF(Mecze[[#This Row],[BR]]=0,0,Mecze[[#This Row],[BR]]/Mecze[[#This Row],[CZAS]])</f>
        <v>0</v>
      </c>
      <c r="S2038" s="44">
        <f>IF(Mecze[[#This Row],[Role]]="BR",SUMPRODUCT(Mecze[[#This Row],[/PR:90]:[/BR:90]],Brudnopis!$E$23:$J$23),0)</f>
        <v>0</v>
      </c>
      <c r="T2038" s="44">
        <f>IF(Mecze[[#This Row],[Role]]&lt;&gt;"BR",SUMPRODUCT(Mecze[[#This Row],[/PR:90]:[/BR:90]],Brudnopis!$E$24:$J$24),0)</f>
        <v>7.7319587628865982E-2</v>
      </c>
      <c r="U2038" s="44">
        <f>IF(Mecze[[#This Row],[Role]]&lt;&gt;"BR",SUMPRODUCT(Mecze[[#This Row],[/PR:90]:[/BR:90]],Brudnopis!$E$25:$J$25),0)</f>
        <v>0.10309278350515465</v>
      </c>
      <c r="V2038" s="44">
        <f>IF(Mecze[[#This Row],[Role]]&lt;&gt;"BR",SUMPRODUCT(Mecze[[#This Row],[/PR:90]:[/BR:90]],Brudnopis!$E$26:$J$26),0)</f>
        <v>7.2164948453608255E-2</v>
      </c>
      <c r="W2038" s="44">
        <f>IF(Mecze[[#This Row],[Role]]&lt;&gt;"BR",SUMPRODUCT(Mecze[[#This Row],[/PR:90]:[/BR:90]],Brudnopis!$E$27:$J$27),0)</f>
        <v>0.10051546391752578</v>
      </c>
      <c r="X2038" s="44">
        <f>IF(Mecze[[#This Row],[Role]]&lt;&gt;"BR",SUMPRODUCT(Mecze[[#This Row],[/PR:90]:[/BR:90]],Brudnopis!$E$28:$J$28),0)</f>
        <v>6.1855670103092786E-2</v>
      </c>
      <c r="Y2038" s="35">
        <f>IF(Mecze[[#This Row],[Role]]="BR",Mecze[[#This Row],[/OB:90]]+Mecze[[#This Row],[/PC:90]],SUM(Mecze[[#This Row],[/PR:90]:[/BR:90]]))</f>
        <v>7.2164948453608255E-2</v>
      </c>
      <c r="Z2038" s="35">
        <f>IF(Mecze[[#This Row],[KC]]=0,SUM(Mecze[[#This Row],[/BRI]:[/NPI]]),SUM(Mecze[[#This Row],[/BRI]:[/NPI]])*0.6)</f>
        <v>0.4149484536082475</v>
      </c>
      <c r="AA2038" s="10">
        <f>IFERROR(Mecze[[#This Row],[BR]]/Mecze[[#This Row],[ST]],0)</f>
        <v>0</v>
      </c>
      <c r="AB2038">
        <f>ROUND(Mecze[[#This Row],[PD]]*Mecze[[#This Row],[%PC]],0)</f>
        <v>6</v>
      </c>
      <c r="AC2038">
        <f>ROUND(Mecze[[#This Row],[OD]]*Mecze[[#This Row],[%OU]],0)</f>
        <v>1</v>
      </c>
      <c r="AD2038" s="36" t="s">
        <v>44</v>
      </c>
      <c r="AE2038" s="36">
        <v>112</v>
      </c>
      <c r="AF2038" s="71">
        <v>3.91</v>
      </c>
      <c r="AG2038" s="37">
        <v>0</v>
      </c>
      <c r="AH2038" s="37">
        <v>0</v>
      </c>
      <c r="AI2038" s="37">
        <v>97</v>
      </c>
      <c r="AJ2038" s="37">
        <v>11</v>
      </c>
      <c r="AK2038" s="37" t="str">
        <f>VLOOKUP(Mecze[[#This Row],[Match ID]],Meczusie[Mecz]:Meczusie[RodzajMeczu],2,FALSE)</f>
        <v>Liga</v>
      </c>
    </row>
    <row r="2039" spans="1:37" x14ac:dyDescent="0.25">
      <c r="A2039" s="76">
        <v>10</v>
      </c>
      <c r="B2039" s="3" t="s">
        <v>328</v>
      </c>
      <c r="C2039" s="2" t="s">
        <v>165</v>
      </c>
      <c r="D2039" s="1">
        <v>1</v>
      </c>
      <c r="E2039" s="1">
        <v>1</v>
      </c>
      <c r="F2039" s="1">
        <v>1</v>
      </c>
      <c r="G2039" s="1">
        <v>9</v>
      </c>
      <c r="H2039" s="4">
        <v>0.56000000000000005</v>
      </c>
      <c r="I2039" s="1">
        <v>8</v>
      </c>
      <c r="J2039" s="4">
        <v>0.13</v>
      </c>
      <c r="K2039" s="1">
        <v>0</v>
      </c>
      <c r="L2039" s="1">
        <v>1</v>
      </c>
      <c r="M2039" s="32">
        <f>IF(Mecze[[#This Row],[PR]]=0,0,Mecze[[#This Row],[PR]]/Mecze[[#This Row],[CZAS]])</f>
        <v>1.0309278350515464E-2</v>
      </c>
      <c r="N2039" s="32">
        <f>IF(Mecze[[#This Row],[OU]]=0,0,Mecze[[#This Row],[OU]]/Mecze[[#This Row],[CZAS]])</f>
        <v>1.0309278350515464E-2</v>
      </c>
      <c r="O2039" s="32">
        <f>IF(Mecze[[#This Row],[PC]]=0,0,Mecze[[#This Row],[PC]]/Mecze[[#This Row],[CZAS]])</f>
        <v>5.1546391752577317E-2</v>
      </c>
      <c r="P2039" s="32">
        <f>IF(Mecze[[#This Row],[SC]]=0,0,Mecze[[#This Row],[SC]]/Mecze[[#This Row],[CZAS]])</f>
        <v>1.0309278350515464E-2</v>
      </c>
      <c r="Q2039" s="32">
        <f>IF(Mecze[[#This Row],[OB]]=0,0,Mecze[[#This Row],[OB]]/Mecze[[#This Row],[CZAS]])</f>
        <v>0</v>
      </c>
      <c r="R2039" s="32">
        <f>IF(Mecze[[#This Row],[BR]]=0,0,Mecze[[#This Row],[BR]]/Mecze[[#This Row],[CZAS]])</f>
        <v>1.0309278350515464E-2</v>
      </c>
      <c r="S2039" s="44">
        <f>IF(Mecze[[#This Row],[Role]]="BR",SUMPRODUCT(Mecze[[#This Row],[/PR:90]:[/BR:90]],Brudnopis!$E$23:$J$23),0)</f>
        <v>0</v>
      </c>
      <c r="T2039" s="44">
        <f>IF(Mecze[[#This Row],[Role]]&lt;&gt;"BR",SUMPRODUCT(Mecze[[#This Row],[/PR:90]:[/BR:90]],Brudnopis!$E$24:$J$24),0)</f>
        <v>0.10309278350515465</v>
      </c>
      <c r="U2039" s="44">
        <f>IF(Mecze[[#This Row],[Role]]&lt;&gt;"BR",SUMPRODUCT(Mecze[[#This Row],[/PR:90]:[/BR:90]],Brudnopis!$E$25:$J$25),0)</f>
        <v>0.12371134020618557</v>
      </c>
      <c r="V2039" s="44">
        <f>IF(Mecze[[#This Row],[Role]]&lt;&gt;"BR",SUMPRODUCT(Mecze[[#This Row],[/PR:90]:[/BR:90]],Brudnopis!$E$26:$J$26),0)</f>
        <v>0.10309278350515463</v>
      </c>
      <c r="W2039" s="44">
        <f>IF(Mecze[[#This Row],[Role]]&lt;&gt;"BR",SUMPRODUCT(Mecze[[#This Row],[/PR:90]:[/BR:90]],Brudnopis!$E$27:$J$27),0)</f>
        <v>0.12371134020618557</v>
      </c>
      <c r="X2039" s="44">
        <f>IF(Mecze[[#This Row],[Role]]&lt;&gt;"BR",SUMPRODUCT(Mecze[[#This Row],[/PR:90]:[/BR:90]],Brudnopis!$E$28:$J$28),0)</f>
        <v>0.10309278350515463</v>
      </c>
      <c r="Y2039" s="35">
        <f>IF(Mecze[[#This Row],[Role]]="BR",Mecze[[#This Row],[/OB:90]]+Mecze[[#This Row],[/PC:90]],SUM(Mecze[[#This Row],[/PR:90]:[/BR:90]]))</f>
        <v>9.2783505154639179E-2</v>
      </c>
      <c r="Z2039" s="35">
        <f>IF(Mecze[[#This Row],[KC]]=0,SUM(Mecze[[#This Row],[/BRI]:[/NPI]]),SUM(Mecze[[#This Row],[/BRI]:[/NPI]])*0.6)</f>
        <v>0.55670103092783507</v>
      </c>
      <c r="AA2039" s="10">
        <f>IFERROR(Mecze[[#This Row],[BR]]/Mecze[[#This Row],[ST]],0)</f>
        <v>1</v>
      </c>
      <c r="AB2039">
        <f>ROUND(Mecze[[#This Row],[PD]]*Mecze[[#This Row],[%PC]],0)</f>
        <v>5</v>
      </c>
      <c r="AC2039">
        <f>ROUND(Mecze[[#This Row],[OD]]*Mecze[[#This Row],[%OU]],0)</f>
        <v>1</v>
      </c>
      <c r="AD2039" s="36" t="s">
        <v>46</v>
      </c>
      <c r="AE2039" s="36">
        <v>112</v>
      </c>
      <c r="AF2039" s="71">
        <v>6.56</v>
      </c>
      <c r="AG2039" s="37">
        <v>0</v>
      </c>
      <c r="AH2039" s="37">
        <v>0</v>
      </c>
      <c r="AI2039" s="37">
        <v>97</v>
      </c>
      <c r="AJ2039" s="37">
        <v>11</v>
      </c>
      <c r="AK2039" s="37" t="str">
        <f>VLOOKUP(Mecze[[#This Row],[Match ID]],Meczusie[Mecz]:Meczusie[RodzajMeczu],2,FALSE)</f>
        <v>Liga</v>
      </c>
    </row>
    <row r="2040" spans="1:37" x14ac:dyDescent="0.25">
      <c r="A2040" s="76">
        <v>14</v>
      </c>
      <c r="B2040" s="3" t="s">
        <v>330</v>
      </c>
      <c r="C2040" s="2" t="s">
        <v>165</v>
      </c>
      <c r="D2040" s="1">
        <v>0</v>
      </c>
      <c r="E2040" s="1">
        <v>0</v>
      </c>
      <c r="F2040" s="1">
        <v>0</v>
      </c>
      <c r="G2040" s="1">
        <v>6</v>
      </c>
      <c r="H2040" s="4">
        <v>0.5</v>
      </c>
      <c r="I2040" s="1">
        <v>1</v>
      </c>
      <c r="J2040" s="4">
        <v>0</v>
      </c>
      <c r="K2040" s="1">
        <v>0</v>
      </c>
      <c r="L2040" s="1">
        <v>0</v>
      </c>
      <c r="M2040" s="32">
        <f>IF(Mecze[[#This Row],[PR]]=0,0,Mecze[[#This Row],[PR]]/Mecze[[#This Row],[CZAS]])</f>
        <v>0</v>
      </c>
      <c r="N2040" s="32">
        <f>IF(Mecze[[#This Row],[OU]]=0,0,Mecze[[#This Row],[OU]]/Mecze[[#This Row],[CZAS]])</f>
        <v>0</v>
      </c>
      <c r="O2040" s="32">
        <f>IF(Mecze[[#This Row],[PC]]=0,0,Mecze[[#This Row],[PC]]/Mecze[[#This Row],[CZAS]])</f>
        <v>3.0927835051546393E-2</v>
      </c>
      <c r="P2040" s="32">
        <f>IF(Mecze[[#This Row],[SC]]=0,0,Mecze[[#This Row],[SC]]/Mecze[[#This Row],[CZAS]])</f>
        <v>0</v>
      </c>
      <c r="Q2040" s="32">
        <f>IF(Mecze[[#This Row],[OB]]=0,0,Mecze[[#This Row],[OB]]/Mecze[[#This Row],[CZAS]])</f>
        <v>0</v>
      </c>
      <c r="R2040" s="32">
        <f>IF(Mecze[[#This Row],[BR]]=0,0,Mecze[[#This Row],[BR]]/Mecze[[#This Row],[CZAS]])</f>
        <v>0</v>
      </c>
      <c r="S2040" s="44">
        <f>IF(Mecze[[#This Row],[Role]]="BR",SUMPRODUCT(Mecze[[#This Row],[/PR:90]:[/BR:90]],Brudnopis!$E$23:$J$23),0)</f>
        <v>0</v>
      </c>
      <c r="T2040" s="44">
        <f>IF(Mecze[[#This Row],[Role]]&lt;&gt;"BR",SUMPRODUCT(Mecze[[#This Row],[/PR:90]:[/BR:90]],Brudnopis!$E$24:$J$24),0)</f>
        <v>3.0927835051546393E-2</v>
      </c>
      <c r="U2040" s="44">
        <f>IF(Mecze[[#This Row],[Role]]&lt;&gt;"BR",SUMPRODUCT(Mecze[[#This Row],[/PR:90]:[/BR:90]],Brudnopis!$E$25:$J$25),0)</f>
        <v>4.6391752577319589E-2</v>
      </c>
      <c r="V2040" s="44">
        <f>IF(Mecze[[#This Row],[Role]]&lt;&gt;"BR",SUMPRODUCT(Mecze[[#This Row],[/PR:90]:[/BR:90]],Brudnopis!$E$26:$J$26),0)</f>
        <v>3.0927835051546393E-2</v>
      </c>
      <c r="W2040" s="44">
        <f>IF(Mecze[[#This Row],[Role]]&lt;&gt;"BR",SUMPRODUCT(Mecze[[#This Row],[/PR:90]:[/BR:90]],Brudnopis!$E$27:$J$27),0)</f>
        <v>4.6391752577319589E-2</v>
      </c>
      <c r="X2040" s="44">
        <f>IF(Mecze[[#This Row],[Role]]&lt;&gt;"BR",SUMPRODUCT(Mecze[[#This Row],[/PR:90]:[/BR:90]],Brudnopis!$E$28:$J$28),0)</f>
        <v>3.0927835051546393E-2</v>
      </c>
      <c r="Y2040" s="35">
        <f>IF(Mecze[[#This Row],[Role]]="BR",Mecze[[#This Row],[/OB:90]]+Mecze[[#This Row],[/PC:90]],SUM(Mecze[[#This Row],[/PR:90]:[/BR:90]]))</f>
        <v>3.0927835051546393E-2</v>
      </c>
      <c r="Z2040" s="35">
        <f>IF(Mecze[[#This Row],[KC]]=0,SUM(Mecze[[#This Row],[/BRI]:[/NPI]]),SUM(Mecze[[#This Row],[/BRI]:[/NPI]])*0.6)</f>
        <v>0.18556701030927836</v>
      </c>
      <c r="AA2040" s="10">
        <f>IFERROR(Mecze[[#This Row],[BR]]/Mecze[[#This Row],[ST]],0)</f>
        <v>0</v>
      </c>
      <c r="AB2040">
        <f>ROUND(Mecze[[#This Row],[PD]]*Mecze[[#This Row],[%PC]],0)</f>
        <v>3</v>
      </c>
      <c r="AC2040">
        <f>ROUND(Mecze[[#This Row],[OD]]*Mecze[[#This Row],[%OU]],0)</f>
        <v>0</v>
      </c>
      <c r="AD2040" s="36" t="s">
        <v>272</v>
      </c>
      <c r="AE2040" s="36">
        <v>112</v>
      </c>
      <c r="AF2040" s="71">
        <v>4.04</v>
      </c>
      <c r="AG2040" s="37">
        <v>0</v>
      </c>
      <c r="AH2040" s="37">
        <v>0</v>
      </c>
      <c r="AI2040" s="37">
        <v>97</v>
      </c>
      <c r="AJ2040" s="37">
        <v>11</v>
      </c>
      <c r="AK2040" s="37" t="str">
        <f>VLOOKUP(Mecze[[#This Row],[Match ID]],Meczusie[Mecz]:Meczusie[RodzajMeczu],2,FALSE)</f>
        <v>Liga</v>
      </c>
    </row>
    <row r="2041" spans="1:37" x14ac:dyDescent="0.25">
      <c r="A2041" s="76">
        <v>11</v>
      </c>
      <c r="B2041" s="3" t="s">
        <v>329</v>
      </c>
      <c r="C2041" s="2" t="s">
        <v>165</v>
      </c>
      <c r="D2041" s="1">
        <v>0</v>
      </c>
      <c r="E2041" s="1">
        <v>0</v>
      </c>
      <c r="F2041" s="1">
        <v>0</v>
      </c>
      <c r="G2041" s="1">
        <v>6</v>
      </c>
      <c r="H2041" s="4">
        <v>0.67</v>
      </c>
      <c r="I2041" s="1">
        <v>2</v>
      </c>
      <c r="J2041" s="4">
        <v>0</v>
      </c>
      <c r="K2041" s="1">
        <v>0</v>
      </c>
      <c r="L2041" s="1">
        <v>0</v>
      </c>
      <c r="M2041" s="32">
        <f>IF(Mecze[[#This Row],[PR]]=0,0,Mecze[[#This Row],[PR]]/Mecze[[#This Row],[CZAS]])</f>
        <v>0</v>
      </c>
      <c r="N2041" s="32">
        <f>IF(Mecze[[#This Row],[OU]]=0,0,Mecze[[#This Row],[OU]]/Mecze[[#This Row],[CZAS]])</f>
        <v>0</v>
      </c>
      <c r="O2041" s="32">
        <f>IF(Mecze[[#This Row],[PC]]=0,0,Mecze[[#This Row],[PC]]/Mecze[[#This Row],[CZAS]])</f>
        <v>4.1237113402061855E-2</v>
      </c>
      <c r="P2041" s="32">
        <f>IF(Mecze[[#This Row],[SC]]=0,0,Mecze[[#This Row],[SC]]/Mecze[[#This Row],[CZAS]])</f>
        <v>0</v>
      </c>
      <c r="Q2041" s="32">
        <f>IF(Mecze[[#This Row],[OB]]=0,0,Mecze[[#This Row],[OB]]/Mecze[[#This Row],[CZAS]])</f>
        <v>0</v>
      </c>
      <c r="R2041" s="32">
        <f>IF(Mecze[[#This Row],[BR]]=0,0,Mecze[[#This Row],[BR]]/Mecze[[#This Row],[CZAS]])</f>
        <v>0</v>
      </c>
      <c r="S2041" s="44">
        <f>IF(Mecze[[#This Row],[Role]]="BR",SUMPRODUCT(Mecze[[#This Row],[/PR:90]:[/BR:90]],Brudnopis!$E$23:$J$23),0)</f>
        <v>0</v>
      </c>
      <c r="T2041" s="44">
        <f>IF(Mecze[[#This Row],[Role]]&lt;&gt;"BR",SUMPRODUCT(Mecze[[#This Row],[/PR:90]:[/BR:90]],Brudnopis!$E$24:$J$24),0)</f>
        <v>4.1237113402061855E-2</v>
      </c>
      <c r="U2041" s="44">
        <f>IF(Mecze[[#This Row],[Role]]&lt;&gt;"BR",SUMPRODUCT(Mecze[[#This Row],[/PR:90]:[/BR:90]],Brudnopis!$E$25:$J$25),0)</f>
        <v>6.1855670103092786E-2</v>
      </c>
      <c r="V2041" s="44">
        <f>IF(Mecze[[#This Row],[Role]]&lt;&gt;"BR",SUMPRODUCT(Mecze[[#This Row],[/PR:90]:[/BR:90]],Brudnopis!$E$26:$J$26),0)</f>
        <v>4.1237113402061855E-2</v>
      </c>
      <c r="W2041" s="44">
        <f>IF(Mecze[[#This Row],[Role]]&lt;&gt;"BR",SUMPRODUCT(Mecze[[#This Row],[/PR:90]:[/BR:90]],Brudnopis!$E$27:$J$27),0)</f>
        <v>6.1855670103092786E-2</v>
      </c>
      <c r="X2041" s="44">
        <f>IF(Mecze[[#This Row],[Role]]&lt;&gt;"BR",SUMPRODUCT(Mecze[[#This Row],[/PR:90]:[/BR:90]],Brudnopis!$E$28:$J$28),0)</f>
        <v>4.1237113402061855E-2</v>
      </c>
      <c r="Y2041" s="35">
        <f>IF(Mecze[[#This Row],[Role]]="BR",Mecze[[#This Row],[/OB:90]]+Mecze[[#This Row],[/PC:90]],SUM(Mecze[[#This Row],[/PR:90]:[/BR:90]]))</f>
        <v>4.1237113402061855E-2</v>
      </c>
      <c r="Z2041" s="35">
        <f>IF(Mecze[[#This Row],[KC]]=0,SUM(Mecze[[#This Row],[/BRI]:[/NPI]]),SUM(Mecze[[#This Row],[/BRI]:[/NPI]])*0.6)</f>
        <v>0.24742268041237112</v>
      </c>
      <c r="AA2041" s="10">
        <f>IFERROR(Mecze[[#This Row],[BR]]/Mecze[[#This Row],[ST]],0)</f>
        <v>0</v>
      </c>
      <c r="AB2041">
        <f>ROUND(Mecze[[#This Row],[PD]]*Mecze[[#This Row],[%PC]],0)</f>
        <v>4</v>
      </c>
      <c r="AC2041">
        <f>ROUND(Mecze[[#This Row],[OD]]*Mecze[[#This Row],[%OU]],0)</f>
        <v>0</v>
      </c>
      <c r="AD2041" s="36" t="s">
        <v>273</v>
      </c>
      <c r="AE2041" s="36">
        <v>112</v>
      </c>
      <c r="AF2041" s="71">
        <v>4.04</v>
      </c>
      <c r="AG2041" s="37">
        <v>0</v>
      </c>
      <c r="AH2041" s="37">
        <v>0</v>
      </c>
      <c r="AI2041" s="37">
        <v>97</v>
      </c>
      <c r="AJ2041" s="37">
        <v>11</v>
      </c>
      <c r="AK2041" s="37" t="str">
        <f>VLOOKUP(Mecze[[#This Row],[Match ID]],Meczusie[Mecz]:Meczusie[RodzajMeczu],2,FALSE)</f>
        <v>Liga</v>
      </c>
    </row>
    <row r="2042" spans="1:37" x14ac:dyDescent="0.25">
      <c r="A2042" s="76">
        <v>1</v>
      </c>
      <c r="B2042" s="3" t="s">
        <v>344</v>
      </c>
      <c r="C2042" s="2" t="s">
        <v>155</v>
      </c>
      <c r="D2042" s="1">
        <v>0</v>
      </c>
      <c r="E2042" s="1">
        <v>0</v>
      </c>
      <c r="F2042" s="1">
        <v>0</v>
      </c>
      <c r="G2042" s="1">
        <v>0</v>
      </c>
      <c r="H2042" s="72"/>
      <c r="I2042" s="1">
        <v>0</v>
      </c>
      <c r="J2042" s="4"/>
      <c r="K2042" s="1">
        <v>0</v>
      </c>
      <c r="L2042" s="1">
        <v>0</v>
      </c>
      <c r="M2042" s="32">
        <f>IF(Mecze[[#This Row],[PR]]=0,0,Mecze[[#This Row],[PR]]/Mecze[[#This Row],[CZAS]])</f>
        <v>0</v>
      </c>
      <c r="N2042" s="32">
        <f>IF(Mecze[[#This Row],[OU]]=0,0,Mecze[[#This Row],[OU]]/Mecze[[#This Row],[CZAS]])</f>
        <v>0</v>
      </c>
      <c r="O2042" s="32">
        <f>IF(Mecze[[#This Row],[PC]]=0,0,Mecze[[#This Row],[PC]]/Mecze[[#This Row],[CZAS]])</f>
        <v>0</v>
      </c>
      <c r="P2042" s="32">
        <f>IF(Mecze[[#This Row],[SC]]=0,0,Mecze[[#This Row],[SC]]/Mecze[[#This Row],[CZAS]])</f>
        <v>0</v>
      </c>
      <c r="Q2042" s="32">
        <f>IF(Mecze[[#This Row],[OB]]=0,0,Mecze[[#This Row],[OB]]/Mecze[[#This Row],[CZAS]])</f>
        <v>0</v>
      </c>
      <c r="R2042" s="32">
        <f>IF(Mecze[[#This Row],[BR]]=0,0,Mecze[[#This Row],[BR]]/Mecze[[#This Row],[CZAS]])</f>
        <v>0</v>
      </c>
      <c r="S2042" s="44">
        <f>IF(Mecze[[#This Row],[Role]]="BR",SUMPRODUCT(Mecze[[#This Row],[/PR:90]:[/BR:90]],Brudnopis!$E$23:$J$23),0)</f>
        <v>0</v>
      </c>
      <c r="T2042" s="44">
        <f>IF(Mecze[[#This Row],[Role]]&lt;&gt;"BR",SUMPRODUCT(Mecze[[#This Row],[/PR:90]:[/BR:90]],Brudnopis!$E$24:$J$24),0)</f>
        <v>0</v>
      </c>
      <c r="U2042" s="44">
        <f>IF(Mecze[[#This Row],[Role]]&lt;&gt;"BR",SUMPRODUCT(Mecze[[#This Row],[/PR:90]:[/BR:90]],Brudnopis!$E$25:$J$25),0)</f>
        <v>0</v>
      </c>
      <c r="V2042" s="44">
        <f>IF(Mecze[[#This Row],[Role]]&lt;&gt;"BR",SUMPRODUCT(Mecze[[#This Row],[/PR:90]:[/BR:90]],Brudnopis!$E$26:$J$26),0)</f>
        <v>0</v>
      </c>
      <c r="W2042" s="44">
        <f>IF(Mecze[[#This Row],[Role]]&lt;&gt;"BR",SUMPRODUCT(Mecze[[#This Row],[/PR:90]:[/BR:90]],Brudnopis!$E$27:$J$27),0)</f>
        <v>0</v>
      </c>
      <c r="X2042" s="44">
        <f>IF(Mecze[[#This Row],[Role]]&lt;&gt;"BR",SUMPRODUCT(Mecze[[#This Row],[/PR:90]:[/BR:90]],Brudnopis!$E$28:$J$28),0)</f>
        <v>0</v>
      </c>
      <c r="Y2042" s="35">
        <f>IF(Mecze[[#This Row],[Role]]="BR",Mecze[[#This Row],[/OB:90]]+Mecze[[#This Row],[/PC:90]],SUM(Mecze[[#This Row],[/PR:90]:[/BR:90]]))</f>
        <v>0</v>
      </c>
      <c r="Z2042" s="35">
        <f>IF(Mecze[[#This Row],[KC]]=0,SUM(Mecze[[#This Row],[/BRI]:[/NPI]]),SUM(Mecze[[#This Row],[/BRI]:[/NPI]])*0.6)</f>
        <v>0</v>
      </c>
      <c r="AA2042" s="10">
        <f>IFERROR(Mecze[[#This Row],[BR]]/Mecze[[#This Row],[ST]],0)</f>
        <v>0</v>
      </c>
      <c r="AB2042">
        <f>ROUND(Mecze[[#This Row],[PD]]*Mecze[[#This Row],[%PC]],0)</f>
        <v>0</v>
      </c>
      <c r="AC2042">
        <f>ROUND(Mecze[[#This Row],[OD]]*Mecze[[#This Row],[%OU]],0)</f>
        <v>0</v>
      </c>
      <c r="AD2042" s="36" t="s">
        <v>40</v>
      </c>
      <c r="AE2042" s="36">
        <v>113</v>
      </c>
      <c r="AF2042" s="71">
        <v>7.04</v>
      </c>
      <c r="AG2042" s="37">
        <v>0</v>
      </c>
      <c r="AH2042" s="37">
        <v>0</v>
      </c>
      <c r="AI2042" s="37">
        <v>96</v>
      </c>
      <c r="AJ2042" s="37">
        <v>5</v>
      </c>
      <c r="AK2042" s="37" t="str">
        <f>VLOOKUP(Mecze[[#This Row],[Match ID]],Meczusie[Mecz]:Meczusie[RodzajMeczu],2,FALSE)</f>
        <v>Liga</v>
      </c>
    </row>
    <row r="2043" spans="1:37" x14ac:dyDescent="0.25">
      <c r="A2043" s="76">
        <v>2</v>
      </c>
      <c r="B2043" s="3" t="s">
        <v>345</v>
      </c>
      <c r="C2043" s="2" t="s">
        <v>157</v>
      </c>
      <c r="D2043" s="1">
        <v>0</v>
      </c>
      <c r="E2043" s="1">
        <v>0</v>
      </c>
      <c r="F2043" s="1">
        <v>0</v>
      </c>
      <c r="G2043" s="1">
        <v>3</v>
      </c>
      <c r="H2043" s="4">
        <v>1</v>
      </c>
      <c r="I2043" s="1">
        <v>0</v>
      </c>
      <c r="J2043" s="4"/>
      <c r="K2043" s="1">
        <v>0</v>
      </c>
      <c r="L2043" s="1">
        <v>3</v>
      </c>
      <c r="M2043" s="32">
        <f>IF(Mecze[[#This Row],[PR]]=0,0,Mecze[[#This Row],[PR]]/Mecze[[#This Row],[CZAS]])</f>
        <v>3.125E-2</v>
      </c>
      <c r="N2043" s="32">
        <f>IF(Mecze[[#This Row],[OU]]=0,0,Mecze[[#This Row],[OU]]/Mecze[[#This Row],[CZAS]])</f>
        <v>0</v>
      </c>
      <c r="O2043" s="32">
        <f>IF(Mecze[[#This Row],[PC]]=0,0,Mecze[[#This Row],[PC]]/Mecze[[#This Row],[CZAS]])</f>
        <v>3.125E-2</v>
      </c>
      <c r="P2043" s="32">
        <f>IF(Mecze[[#This Row],[SC]]=0,0,Mecze[[#This Row],[SC]]/Mecze[[#This Row],[CZAS]])</f>
        <v>0</v>
      </c>
      <c r="Q2043" s="32">
        <f>IF(Mecze[[#This Row],[OB]]=0,0,Mecze[[#This Row],[OB]]/Mecze[[#This Row],[CZAS]])</f>
        <v>0</v>
      </c>
      <c r="R2043" s="32">
        <f>IF(Mecze[[#This Row],[BR]]=0,0,Mecze[[#This Row],[BR]]/Mecze[[#This Row],[CZAS]])</f>
        <v>0</v>
      </c>
      <c r="S2043" s="44">
        <f>IF(Mecze[[#This Row],[Role]]="BR",SUMPRODUCT(Mecze[[#This Row],[/PR:90]:[/BR:90]],Brudnopis!$E$23:$J$23),0)</f>
        <v>0</v>
      </c>
      <c r="T2043" s="44">
        <f>IF(Mecze[[#This Row],[Role]]&lt;&gt;"BR",SUMPRODUCT(Mecze[[#This Row],[/PR:90]:[/BR:90]],Brudnopis!$E$24:$J$24),0)</f>
        <v>6.25E-2</v>
      </c>
      <c r="U2043" s="44">
        <f>IF(Mecze[[#This Row],[Role]]&lt;&gt;"BR",SUMPRODUCT(Mecze[[#This Row],[/PR:90]:[/BR:90]],Brudnopis!$E$25:$J$25),0)</f>
        <v>7.8125E-2</v>
      </c>
      <c r="V2043" s="44">
        <f>IF(Mecze[[#This Row],[Role]]&lt;&gt;"BR",SUMPRODUCT(Mecze[[#This Row],[/PR:90]:[/BR:90]],Brudnopis!$E$26:$J$26),0)</f>
        <v>6.25E-2</v>
      </c>
      <c r="W2043" s="44">
        <f>IF(Mecze[[#This Row],[Role]]&lt;&gt;"BR",SUMPRODUCT(Mecze[[#This Row],[/PR:90]:[/BR:90]],Brudnopis!$E$27:$J$27),0)</f>
        <v>7.03125E-2</v>
      </c>
      <c r="X2043" s="44">
        <f>IF(Mecze[[#This Row],[Role]]&lt;&gt;"BR",SUMPRODUCT(Mecze[[#This Row],[/PR:90]:[/BR:90]],Brudnopis!$E$28:$J$28),0)</f>
        <v>3.125E-2</v>
      </c>
      <c r="Y2043" s="35">
        <f>IF(Mecze[[#This Row],[Role]]="BR",Mecze[[#This Row],[/OB:90]]+Mecze[[#This Row],[/PC:90]],SUM(Mecze[[#This Row],[/PR:90]:[/BR:90]]))</f>
        <v>6.25E-2</v>
      </c>
      <c r="Z2043" s="35">
        <f>IF(Mecze[[#This Row],[KC]]=0,SUM(Mecze[[#This Row],[/BRI]:[/NPI]]),SUM(Mecze[[#This Row],[/BRI]:[/NPI]])*0.6)</f>
        <v>0.3046875</v>
      </c>
      <c r="AA2043" s="10">
        <f>IFERROR(Mecze[[#This Row],[BR]]/Mecze[[#This Row],[ST]],0)</f>
        <v>0</v>
      </c>
      <c r="AB2043">
        <f>ROUND(Mecze[[#This Row],[PD]]*Mecze[[#This Row],[%PC]],0)</f>
        <v>3</v>
      </c>
      <c r="AC2043">
        <f>ROUND(Mecze[[#This Row],[OD]]*Mecze[[#This Row],[%OU]],0)</f>
        <v>0</v>
      </c>
      <c r="AD2043" s="36" t="s">
        <v>47</v>
      </c>
      <c r="AE2043" s="36">
        <v>113</v>
      </c>
      <c r="AF2043" s="71">
        <v>7.67</v>
      </c>
      <c r="AG2043" s="37">
        <v>0</v>
      </c>
      <c r="AH2043" s="37">
        <v>0</v>
      </c>
      <c r="AI2043" s="37">
        <v>96</v>
      </c>
      <c r="AJ2043" s="37">
        <v>5</v>
      </c>
      <c r="AK2043" s="37" t="str">
        <f>VLOOKUP(Mecze[[#This Row],[Match ID]],Meczusie[Mecz]:Meczusie[RodzajMeczu],2,FALSE)</f>
        <v>Liga</v>
      </c>
    </row>
    <row r="2044" spans="1:37" x14ac:dyDescent="0.25">
      <c r="A2044" s="76">
        <v>4</v>
      </c>
      <c r="B2044" s="3" t="s">
        <v>346</v>
      </c>
      <c r="C2044" s="2" t="s">
        <v>157</v>
      </c>
      <c r="D2044" s="1">
        <v>0</v>
      </c>
      <c r="E2044" s="1">
        <v>2</v>
      </c>
      <c r="F2044" s="1">
        <v>2</v>
      </c>
      <c r="G2044" s="1">
        <v>14</v>
      </c>
      <c r="H2044" s="4">
        <v>1</v>
      </c>
      <c r="I2044" s="1">
        <v>3</v>
      </c>
      <c r="J2044" s="4">
        <v>1</v>
      </c>
      <c r="K2044" s="1">
        <v>0</v>
      </c>
      <c r="L2044" s="1">
        <v>9</v>
      </c>
      <c r="M2044" s="32">
        <f>IF(Mecze[[#This Row],[PR]]=0,0,Mecze[[#This Row],[PR]]/Mecze[[#This Row],[CZAS]])</f>
        <v>9.375E-2</v>
      </c>
      <c r="N2044" s="32">
        <f>IF(Mecze[[#This Row],[OU]]=0,0,Mecze[[#This Row],[OU]]/Mecze[[#This Row],[CZAS]])</f>
        <v>3.125E-2</v>
      </c>
      <c r="O2044" s="32">
        <f>IF(Mecze[[#This Row],[PC]]=0,0,Mecze[[#This Row],[PC]]/Mecze[[#This Row],[CZAS]])</f>
        <v>0.14583333333333334</v>
      </c>
      <c r="P2044" s="32">
        <f>IF(Mecze[[#This Row],[SC]]=0,0,Mecze[[#This Row],[SC]]/Mecze[[#This Row],[CZAS]])</f>
        <v>2.0833333333333332E-2</v>
      </c>
      <c r="Q2044" s="32">
        <f>IF(Mecze[[#This Row],[OB]]=0,0,Mecze[[#This Row],[OB]]/Mecze[[#This Row],[CZAS]])</f>
        <v>0</v>
      </c>
      <c r="R2044" s="32">
        <f>IF(Mecze[[#This Row],[BR]]=0,0,Mecze[[#This Row],[BR]]/Mecze[[#This Row],[CZAS]])</f>
        <v>0</v>
      </c>
      <c r="S2044" s="44">
        <f>IF(Mecze[[#This Row],[Role]]="BR",SUMPRODUCT(Mecze[[#This Row],[/PR:90]:[/BR:90]],Brudnopis!$E$23:$J$23),0)</f>
        <v>0</v>
      </c>
      <c r="T2044" s="44">
        <f>IF(Mecze[[#This Row],[Role]]&lt;&gt;"BR",SUMPRODUCT(Mecze[[#This Row],[/PR:90]:[/BR:90]],Brudnopis!$E$24:$J$24),0)</f>
        <v>0.30729166666666669</v>
      </c>
      <c r="U2044" s="44">
        <f>IF(Mecze[[#This Row],[Role]]&lt;&gt;"BR",SUMPRODUCT(Mecze[[#This Row],[/PR:90]:[/BR:90]],Brudnopis!$E$25:$J$25),0)</f>
        <v>0.36458333333333331</v>
      </c>
      <c r="V2044" s="44">
        <f>IF(Mecze[[#This Row],[Role]]&lt;&gt;"BR",SUMPRODUCT(Mecze[[#This Row],[/PR:90]:[/BR:90]],Brudnopis!$E$26:$J$26),0)</f>
        <v>0.29166666666666669</v>
      </c>
      <c r="W2044" s="44">
        <f>IF(Mecze[[#This Row],[Role]]&lt;&gt;"BR",SUMPRODUCT(Mecze[[#This Row],[/PR:90]:[/BR:90]],Brudnopis!$E$27:$J$27),0)</f>
        <v>0.33333333333333331</v>
      </c>
      <c r="X2044" s="44">
        <f>IF(Mecze[[#This Row],[Role]]&lt;&gt;"BR",SUMPRODUCT(Mecze[[#This Row],[/PR:90]:[/BR:90]],Brudnopis!$E$28:$J$28),0)</f>
        <v>0.1875</v>
      </c>
      <c r="Y2044" s="35">
        <f>IF(Mecze[[#This Row],[Role]]="BR",Mecze[[#This Row],[/OB:90]]+Mecze[[#This Row],[/PC:90]],SUM(Mecze[[#This Row],[/PR:90]:[/BR:90]]))</f>
        <v>0.29166666666666669</v>
      </c>
      <c r="Z2044" s="35">
        <f>IF(Mecze[[#This Row],[KC]]=0,SUM(Mecze[[#This Row],[/BRI]:[/NPI]]),SUM(Mecze[[#This Row],[/BRI]:[/NPI]])*0.6)</f>
        <v>1.484375</v>
      </c>
      <c r="AA2044" s="10">
        <f>IFERROR(Mecze[[#This Row],[BR]]/Mecze[[#This Row],[ST]],0)</f>
        <v>0</v>
      </c>
      <c r="AB2044">
        <f>ROUND(Mecze[[#This Row],[PD]]*Mecze[[#This Row],[%PC]],0)</f>
        <v>14</v>
      </c>
      <c r="AC2044">
        <f>ROUND(Mecze[[#This Row],[OD]]*Mecze[[#This Row],[%OU]],0)</f>
        <v>3</v>
      </c>
      <c r="AD2044" s="36" t="s">
        <v>47</v>
      </c>
      <c r="AE2044" s="36">
        <v>113</v>
      </c>
      <c r="AF2044" s="71">
        <v>12.08</v>
      </c>
      <c r="AG2044" s="37">
        <v>0</v>
      </c>
      <c r="AH2044" s="37">
        <v>0</v>
      </c>
      <c r="AI2044" s="37">
        <v>96</v>
      </c>
      <c r="AJ2044" s="37">
        <v>5</v>
      </c>
      <c r="AK2044" s="37" t="str">
        <f>VLOOKUP(Mecze[[#This Row],[Match ID]],Meczusie[Mecz]:Meczusie[RodzajMeczu],2,FALSE)</f>
        <v>Liga</v>
      </c>
    </row>
    <row r="2045" spans="1:37" x14ac:dyDescent="0.25">
      <c r="A2045" s="76">
        <v>5</v>
      </c>
      <c r="B2045" s="3" t="s">
        <v>347</v>
      </c>
      <c r="C2045" s="2" t="s">
        <v>157</v>
      </c>
      <c r="D2045" s="1">
        <v>0</v>
      </c>
      <c r="E2045" s="1">
        <v>0</v>
      </c>
      <c r="F2045" s="1">
        <v>0</v>
      </c>
      <c r="G2045" s="1">
        <v>0</v>
      </c>
      <c r="H2045" s="72"/>
      <c r="I2045" s="1">
        <v>0</v>
      </c>
      <c r="J2045" s="4"/>
      <c r="K2045" s="1">
        <v>0</v>
      </c>
      <c r="L2045" s="1">
        <v>1</v>
      </c>
      <c r="M2045" s="32">
        <f>IF(Mecze[[#This Row],[PR]]=0,0,Mecze[[#This Row],[PR]]/Mecze[[#This Row],[CZAS]])</f>
        <v>1.0416666666666666E-2</v>
      </c>
      <c r="N2045" s="32">
        <f>IF(Mecze[[#This Row],[OU]]=0,0,Mecze[[#This Row],[OU]]/Mecze[[#This Row],[CZAS]])</f>
        <v>0</v>
      </c>
      <c r="O2045" s="32">
        <f>IF(Mecze[[#This Row],[PC]]=0,0,Mecze[[#This Row],[PC]]/Mecze[[#This Row],[CZAS]])</f>
        <v>0</v>
      </c>
      <c r="P2045" s="32">
        <f>IF(Mecze[[#This Row],[SC]]=0,0,Mecze[[#This Row],[SC]]/Mecze[[#This Row],[CZAS]])</f>
        <v>0</v>
      </c>
      <c r="Q2045" s="32">
        <f>IF(Mecze[[#This Row],[OB]]=0,0,Mecze[[#This Row],[OB]]/Mecze[[#This Row],[CZAS]])</f>
        <v>0</v>
      </c>
      <c r="R2045" s="32">
        <f>IF(Mecze[[#This Row],[BR]]=0,0,Mecze[[#This Row],[BR]]/Mecze[[#This Row],[CZAS]])</f>
        <v>0</v>
      </c>
      <c r="S2045" s="44">
        <f>IF(Mecze[[#This Row],[Role]]="BR",SUMPRODUCT(Mecze[[#This Row],[/PR:90]:[/BR:90]],Brudnopis!$E$23:$J$23),0)</f>
        <v>0</v>
      </c>
      <c r="T2045" s="44">
        <f>IF(Mecze[[#This Row],[Role]]&lt;&gt;"BR",SUMPRODUCT(Mecze[[#This Row],[/PR:90]:[/BR:90]],Brudnopis!$E$24:$J$24),0)</f>
        <v>1.0416666666666666E-2</v>
      </c>
      <c r="U2045" s="44">
        <f>IF(Mecze[[#This Row],[Role]]&lt;&gt;"BR",SUMPRODUCT(Mecze[[#This Row],[/PR:90]:[/BR:90]],Brudnopis!$E$25:$J$25),0)</f>
        <v>1.0416666666666666E-2</v>
      </c>
      <c r="V2045" s="44">
        <f>IF(Mecze[[#This Row],[Role]]&lt;&gt;"BR",SUMPRODUCT(Mecze[[#This Row],[/PR:90]:[/BR:90]],Brudnopis!$E$26:$J$26),0)</f>
        <v>1.0416666666666666E-2</v>
      </c>
      <c r="W2045" s="44">
        <f>IF(Mecze[[#This Row],[Role]]&lt;&gt;"BR",SUMPRODUCT(Mecze[[#This Row],[/PR:90]:[/BR:90]],Brudnopis!$E$27:$J$27),0)</f>
        <v>7.8125E-3</v>
      </c>
      <c r="X2045" s="44">
        <f>IF(Mecze[[#This Row],[Role]]&lt;&gt;"BR",SUMPRODUCT(Mecze[[#This Row],[/PR:90]:[/BR:90]],Brudnopis!$E$28:$J$28),0)</f>
        <v>0</v>
      </c>
      <c r="Y2045" s="35">
        <f>IF(Mecze[[#This Row],[Role]]="BR",Mecze[[#This Row],[/OB:90]]+Mecze[[#This Row],[/PC:90]],SUM(Mecze[[#This Row],[/PR:90]:[/BR:90]]))</f>
        <v>1.0416666666666666E-2</v>
      </c>
      <c r="Z2045" s="35">
        <f>IF(Mecze[[#This Row],[KC]]=0,SUM(Mecze[[#This Row],[/BRI]:[/NPI]]),SUM(Mecze[[#This Row],[/BRI]:[/NPI]])*0.6)</f>
        <v>3.90625E-2</v>
      </c>
      <c r="AA2045" s="10">
        <f>IFERROR(Mecze[[#This Row],[BR]]/Mecze[[#This Row],[ST]],0)</f>
        <v>0</v>
      </c>
      <c r="AB2045">
        <f>ROUND(Mecze[[#This Row],[PD]]*Mecze[[#This Row],[%PC]],0)</f>
        <v>0</v>
      </c>
      <c r="AC2045">
        <f>ROUND(Mecze[[#This Row],[OD]]*Mecze[[#This Row],[%OU]],0)</f>
        <v>0</v>
      </c>
      <c r="AD2045" s="36" t="s">
        <v>175</v>
      </c>
      <c r="AE2045" s="36">
        <v>113</v>
      </c>
      <c r="AF2045" s="71">
        <v>7.25</v>
      </c>
      <c r="AG2045" s="37">
        <v>0</v>
      </c>
      <c r="AH2045" s="37">
        <v>0</v>
      </c>
      <c r="AI2045" s="37">
        <v>96</v>
      </c>
      <c r="AJ2045" s="37">
        <v>5</v>
      </c>
      <c r="AK2045" s="37" t="str">
        <f>VLOOKUP(Mecze[[#This Row],[Match ID]],Meczusie[Mecz]:Meczusie[RodzajMeczu],2,FALSE)</f>
        <v>Liga</v>
      </c>
    </row>
    <row r="2046" spans="1:37" x14ac:dyDescent="0.25">
      <c r="A2046" s="76">
        <v>3</v>
      </c>
      <c r="B2046" s="3" t="s">
        <v>348</v>
      </c>
      <c r="C2046" s="2" t="s">
        <v>157</v>
      </c>
      <c r="D2046" s="1">
        <v>0</v>
      </c>
      <c r="E2046" s="1">
        <v>0</v>
      </c>
      <c r="F2046" s="1">
        <v>0</v>
      </c>
      <c r="G2046" s="1">
        <v>9</v>
      </c>
      <c r="H2046" s="4">
        <v>0.78</v>
      </c>
      <c r="I2046" s="1">
        <v>1</v>
      </c>
      <c r="J2046" s="4">
        <v>0</v>
      </c>
      <c r="K2046" s="1">
        <v>0</v>
      </c>
      <c r="L2046" s="1">
        <v>13</v>
      </c>
      <c r="M2046" s="32">
        <f>IF(Mecze[[#This Row],[PR]]=0,0,Mecze[[#This Row],[PR]]/Mecze[[#This Row],[CZAS]])</f>
        <v>0.13541666666666666</v>
      </c>
      <c r="N2046" s="32">
        <f>IF(Mecze[[#This Row],[OU]]=0,0,Mecze[[#This Row],[OU]]/Mecze[[#This Row],[CZAS]])</f>
        <v>0</v>
      </c>
      <c r="O2046" s="32">
        <f>IF(Mecze[[#This Row],[PC]]=0,0,Mecze[[#This Row],[PC]]/Mecze[[#This Row],[CZAS]])</f>
        <v>7.2916666666666671E-2</v>
      </c>
      <c r="P2046" s="32">
        <f>IF(Mecze[[#This Row],[SC]]=0,0,Mecze[[#This Row],[SC]]/Mecze[[#This Row],[CZAS]])</f>
        <v>0</v>
      </c>
      <c r="Q2046" s="32">
        <f>IF(Mecze[[#This Row],[OB]]=0,0,Mecze[[#This Row],[OB]]/Mecze[[#This Row],[CZAS]])</f>
        <v>0</v>
      </c>
      <c r="R2046" s="32">
        <f>IF(Mecze[[#This Row],[BR]]=0,0,Mecze[[#This Row],[BR]]/Mecze[[#This Row],[CZAS]])</f>
        <v>0</v>
      </c>
      <c r="S2046" s="44">
        <f>IF(Mecze[[#This Row],[Role]]="BR",SUMPRODUCT(Mecze[[#This Row],[/PR:90]:[/BR:90]],Brudnopis!$E$23:$J$23),0)</f>
        <v>0</v>
      </c>
      <c r="T2046" s="44">
        <f>IF(Mecze[[#This Row],[Role]]&lt;&gt;"BR",SUMPRODUCT(Mecze[[#This Row],[/PR:90]:[/BR:90]],Brudnopis!$E$24:$J$24),0)</f>
        <v>0.20833333333333331</v>
      </c>
      <c r="U2046" s="44">
        <f>IF(Mecze[[#This Row],[Role]]&lt;&gt;"BR",SUMPRODUCT(Mecze[[#This Row],[/PR:90]:[/BR:90]],Brudnopis!$E$25:$J$25),0)</f>
        <v>0.24479166666666666</v>
      </c>
      <c r="V2046" s="44">
        <f>IF(Mecze[[#This Row],[Role]]&lt;&gt;"BR",SUMPRODUCT(Mecze[[#This Row],[/PR:90]:[/BR:90]],Brudnopis!$E$26:$J$26),0)</f>
        <v>0.20833333333333331</v>
      </c>
      <c r="W2046" s="44">
        <f>IF(Mecze[[#This Row],[Role]]&lt;&gt;"BR",SUMPRODUCT(Mecze[[#This Row],[/PR:90]:[/BR:90]],Brudnopis!$E$27:$J$27),0)</f>
        <v>0.2109375</v>
      </c>
      <c r="X2046" s="44">
        <f>IF(Mecze[[#This Row],[Role]]&lt;&gt;"BR",SUMPRODUCT(Mecze[[#This Row],[/PR:90]:[/BR:90]],Brudnopis!$E$28:$J$28),0)</f>
        <v>7.2916666666666671E-2</v>
      </c>
      <c r="Y2046" s="35">
        <f>IF(Mecze[[#This Row],[Role]]="BR",Mecze[[#This Row],[/OB:90]]+Mecze[[#This Row],[/PC:90]],SUM(Mecze[[#This Row],[/PR:90]:[/BR:90]]))</f>
        <v>0.20833333333333331</v>
      </c>
      <c r="Z2046" s="35">
        <f>IF(Mecze[[#This Row],[KC]]=0,SUM(Mecze[[#This Row],[/BRI]:[/NPI]]),SUM(Mecze[[#This Row],[/BRI]:[/NPI]])*0.6)</f>
        <v>0.94531249999999989</v>
      </c>
      <c r="AA2046" s="10">
        <f>IFERROR(Mecze[[#This Row],[BR]]/Mecze[[#This Row],[ST]],0)</f>
        <v>0</v>
      </c>
      <c r="AB2046">
        <f>ROUND(Mecze[[#This Row],[PD]]*Mecze[[#This Row],[%PC]],0)</f>
        <v>7</v>
      </c>
      <c r="AC2046">
        <f>ROUND(Mecze[[#This Row],[OD]]*Mecze[[#This Row],[%OU]],0)</f>
        <v>0</v>
      </c>
      <c r="AD2046" s="36" t="s">
        <v>174</v>
      </c>
      <c r="AE2046" s="36">
        <v>113</v>
      </c>
      <c r="AF2046" s="71">
        <v>9.77</v>
      </c>
      <c r="AG2046" s="37">
        <v>0</v>
      </c>
      <c r="AH2046" s="37">
        <v>0</v>
      </c>
      <c r="AI2046" s="37">
        <v>96</v>
      </c>
      <c r="AJ2046" s="37">
        <v>5</v>
      </c>
      <c r="AK2046" s="37" t="str">
        <f>VLOOKUP(Mecze[[#This Row],[Match ID]],Meczusie[Mecz]:Meczusie[RodzajMeczu],2,FALSE)</f>
        <v>Liga</v>
      </c>
    </row>
    <row r="2047" spans="1:37" x14ac:dyDescent="0.25">
      <c r="A2047" s="76">
        <v>6</v>
      </c>
      <c r="B2047" s="3" t="s">
        <v>349</v>
      </c>
      <c r="C2047" s="2" t="s">
        <v>160</v>
      </c>
      <c r="D2047" s="1">
        <v>0</v>
      </c>
      <c r="E2047" s="1">
        <v>1</v>
      </c>
      <c r="F2047" s="1">
        <v>1</v>
      </c>
      <c r="G2047" s="1">
        <v>11</v>
      </c>
      <c r="H2047" s="4">
        <v>0.91</v>
      </c>
      <c r="I2047" s="1">
        <v>2</v>
      </c>
      <c r="J2047" s="4">
        <v>0.5</v>
      </c>
      <c r="K2047" s="1">
        <v>0</v>
      </c>
      <c r="L2047" s="1">
        <v>10</v>
      </c>
      <c r="M2047" s="32">
        <f>IF(Mecze[[#This Row],[PR]]=0,0,Mecze[[#This Row],[PR]]/Mecze[[#This Row],[CZAS]])</f>
        <v>0.10416666666666667</v>
      </c>
      <c r="N2047" s="32">
        <f>IF(Mecze[[#This Row],[OU]]=0,0,Mecze[[#This Row],[OU]]/Mecze[[#This Row],[CZAS]])</f>
        <v>1.0416666666666666E-2</v>
      </c>
      <c r="O2047" s="32">
        <f>IF(Mecze[[#This Row],[PC]]=0,0,Mecze[[#This Row],[PC]]/Mecze[[#This Row],[CZAS]])</f>
        <v>0.10416666666666667</v>
      </c>
      <c r="P2047" s="32">
        <f>IF(Mecze[[#This Row],[SC]]=0,0,Mecze[[#This Row],[SC]]/Mecze[[#This Row],[CZAS]])</f>
        <v>1.0416666666666666E-2</v>
      </c>
      <c r="Q2047" s="32">
        <f>IF(Mecze[[#This Row],[OB]]=0,0,Mecze[[#This Row],[OB]]/Mecze[[#This Row],[CZAS]])</f>
        <v>0</v>
      </c>
      <c r="R2047" s="32">
        <f>IF(Mecze[[#This Row],[BR]]=0,0,Mecze[[#This Row],[BR]]/Mecze[[#This Row],[CZAS]])</f>
        <v>0</v>
      </c>
      <c r="S2047" s="44">
        <f>IF(Mecze[[#This Row],[Role]]="BR",SUMPRODUCT(Mecze[[#This Row],[/PR:90]:[/BR:90]],Brudnopis!$E$23:$J$23),0)</f>
        <v>0</v>
      </c>
      <c r="T2047" s="44">
        <f>IF(Mecze[[#This Row],[Role]]&lt;&gt;"BR",SUMPRODUCT(Mecze[[#This Row],[/PR:90]:[/BR:90]],Brudnopis!$E$24:$J$24),0)</f>
        <v>0.234375</v>
      </c>
      <c r="U2047" s="44">
        <f>IF(Mecze[[#This Row],[Role]]&lt;&gt;"BR",SUMPRODUCT(Mecze[[#This Row],[/PR:90]:[/BR:90]],Brudnopis!$E$25:$J$25),0)</f>
        <v>0.28125000000000006</v>
      </c>
      <c r="V2047" s="44">
        <f>IF(Mecze[[#This Row],[Role]]&lt;&gt;"BR",SUMPRODUCT(Mecze[[#This Row],[/PR:90]:[/BR:90]],Brudnopis!$E$26:$J$26),0)</f>
        <v>0.22916666666666666</v>
      </c>
      <c r="W2047" s="44">
        <f>IF(Mecze[[#This Row],[Role]]&lt;&gt;"BR",SUMPRODUCT(Mecze[[#This Row],[/PR:90]:[/BR:90]],Brudnopis!$E$27:$J$27),0)</f>
        <v>0.25260416666666669</v>
      </c>
      <c r="X2047" s="44">
        <f>IF(Mecze[[#This Row],[Role]]&lt;&gt;"BR",SUMPRODUCT(Mecze[[#This Row],[/PR:90]:[/BR:90]],Brudnopis!$E$28:$J$28),0)</f>
        <v>0.125</v>
      </c>
      <c r="Y2047" s="35">
        <f>IF(Mecze[[#This Row],[Role]]="BR",Mecze[[#This Row],[/OB:90]]+Mecze[[#This Row],[/PC:90]],SUM(Mecze[[#This Row],[/PR:90]:[/BR:90]]))</f>
        <v>0.22916666666666666</v>
      </c>
      <c r="Z2047" s="35">
        <f>IF(Mecze[[#This Row],[KC]]=0,SUM(Mecze[[#This Row],[/BRI]:[/NPI]]),SUM(Mecze[[#This Row],[/BRI]:[/NPI]])*0.6)</f>
        <v>1.1223958333333333</v>
      </c>
      <c r="AA2047" s="10">
        <f>IFERROR(Mecze[[#This Row],[BR]]/Mecze[[#This Row],[ST]],0)</f>
        <v>0</v>
      </c>
      <c r="AB2047">
        <f>ROUND(Mecze[[#This Row],[PD]]*Mecze[[#This Row],[%PC]],0)</f>
        <v>10</v>
      </c>
      <c r="AC2047">
        <f>ROUND(Mecze[[#This Row],[OD]]*Mecze[[#This Row],[%OU]],0)</f>
        <v>1</v>
      </c>
      <c r="AD2047" s="36" t="s">
        <v>41</v>
      </c>
      <c r="AE2047" s="36">
        <v>113</v>
      </c>
      <c r="AF2047" s="71">
        <v>11.49</v>
      </c>
      <c r="AG2047" s="37">
        <v>0</v>
      </c>
      <c r="AH2047" s="37">
        <v>0</v>
      </c>
      <c r="AI2047" s="37">
        <v>96</v>
      </c>
      <c r="AJ2047" s="37">
        <v>5</v>
      </c>
      <c r="AK2047" s="37" t="str">
        <f>VLOOKUP(Mecze[[#This Row],[Match ID]],Meczusie[Mecz]:Meczusie[RodzajMeczu],2,FALSE)</f>
        <v>Liga</v>
      </c>
    </row>
    <row r="2048" spans="1:37" x14ac:dyDescent="0.25">
      <c r="A2048" s="76">
        <v>7</v>
      </c>
      <c r="B2048" s="3" t="s">
        <v>350</v>
      </c>
      <c r="C2048" s="2" t="s">
        <v>160</v>
      </c>
      <c r="D2048" s="1">
        <v>0</v>
      </c>
      <c r="E2048" s="1">
        <v>0</v>
      </c>
      <c r="F2048" s="1">
        <v>0</v>
      </c>
      <c r="G2048" s="1">
        <v>17</v>
      </c>
      <c r="H2048" s="4">
        <v>0.65</v>
      </c>
      <c r="I2048" s="1">
        <v>0</v>
      </c>
      <c r="J2048" s="4"/>
      <c r="K2048" s="1">
        <v>0</v>
      </c>
      <c r="L2048" s="1">
        <v>8</v>
      </c>
      <c r="M2048" s="32">
        <f>IF(Mecze[[#This Row],[PR]]=0,0,Mecze[[#This Row],[PR]]/Mecze[[#This Row],[CZAS]])</f>
        <v>8.3333333333333329E-2</v>
      </c>
      <c r="N2048" s="32">
        <f>IF(Mecze[[#This Row],[OU]]=0,0,Mecze[[#This Row],[OU]]/Mecze[[#This Row],[CZAS]])</f>
        <v>0</v>
      </c>
      <c r="O2048" s="32">
        <f>IF(Mecze[[#This Row],[PC]]=0,0,Mecze[[#This Row],[PC]]/Mecze[[#This Row],[CZAS]])</f>
        <v>0.11458333333333333</v>
      </c>
      <c r="P2048" s="32">
        <f>IF(Mecze[[#This Row],[SC]]=0,0,Mecze[[#This Row],[SC]]/Mecze[[#This Row],[CZAS]])</f>
        <v>0</v>
      </c>
      <c r="Q2048" s="32">
        <f>IF(Mecze[[#This Row],[OB]]=0,0,Mecze[[#This Row],[OB]]/Mecze[[#This Row],[CZAS]])</f>
        <v>0</v>
      </c>
      <c r="R2048" s="32">
        <f>IF(Mecze[[#This Row],[BR]]=0,0,Mecze[[#This Row],[BR]]/Mecze[[#This Row],[CZAS]])</f>
        <v>0</v>
      </c>
      <c r="S2048" s="44">
        <f>IF(Mecze[[#This Row],[Role]]="BR",SUMPRODUCT(Mecze[[#This Row],[/PR:90]:[/BR:90]],Brudnopis!$E$23:$J$23),0)</f>
        <v>0</v>
      </c>
      <c r="T2048" s="44">
        <f>IF(Mecze[[#This Row],[Role]]&lt;&gt;"BR",SUMPRODUCT(Mecze[[#This Row],[/PR:90]:[/BR:90]],Brudnopis!$E$24:$J$24),0)</f>
        <v>0.19791666666666666</v>
      </c>
      <c r="U2048" s="44">
        <f>IF(Mecze[[#This Row],[Role]]&lt;&gt;"BR",SUMPRODUCT(Mecze[[#This Row],[/PR:90]:[/BR:90]],Brudnopis!$E$25:$J$25),0)</f>
        <v>0.25520833333333331</v>
      </c>
      <c r="V2048" s="44">
        <f>IF(Mecze[[#This Row],[Role]]&lt;&gt;"BR",SUMPRODUCT(Mecze[[#This Row],[/PR:90]:[/BR:90]],Brudnopis!$E$26:$J$26),0)</f>
        <v>0.19791666666666666</v>
      </c>
      <c r="W2048" s="44">
        <f>IF(Mecze[[#This Row],[Role]]&lt;&gt;"BR",SUMPRODUCT(Mecze[[#This Row],[/PR:90]:[/BR:90]],Brudnopis!$E$27:$J$27),0)</f>
        <v>0.234375</v>
      </c>
      <c r="X2048" s="44">
        <f>IF(Mecze[[#This Row],[Role]]&lt;&gt;"BR",SUMPRODUCT(Mecze[[#This Row],[/PR:90]:[/BR:90]],Brudnopis!$E$28:$J$28),0)</f>
        <v>0.11458333333333333</v>
      </c>
      <c r="Y2048" s="35">
        <f>IF(Mecze[[#This Row],[Role]]="BR",Mecze[[#This Row],[/OB:90]]+Mecze[[#This Row],[/PC:90]],SUM(Mecze[[#This Row],[/PR:90]:[/BR:90]]))</f>
        <v>0.19791666666666666</v>
      </c>
      <c r="Z2048" s="35">
        <f>IF(Mecze[[#This Row],[KC]]=0,SUM(Mecze[[#This Row],[/BRI]:[/NPI]]),SUM(Mecze[[#This Row],[/BRI]:[/NPI]])*0.6)</f>
        <v>1</v>
      </c>
      <c r="AA2048" s="10">
        <f>IFERROR(Mecze[[#This Row],[BR]]/Mecze[[#This Row],[ST]],0)</f>
        <v>0</v>
      </c>
      <c r="AB2048">
        <f>ROUND(Mecze[[#This Row],[PD]]*Mecze[[#This Row],[%PC]],0)</f>
        <v>11</v>
      </c>
      <c r="AC2048">
        <f>ROUND(Mecze[[#This Row],[OD]]*Mecze[[#This Row],[%OU]],0)</f>
        <v>0</v>
      </c>
      <c r="AD2048" s="36" t="s">
        <v>67</v>
      </c>
      <c r="AE2048" s="36">
        <v>113</v>
      </c>
      <c r="AF2048" s="71">
        <v>9.93</v>
      </c>
      <c r="AG2048" s="37">
        <v>0</v>
      </c>
      <c r="AH2048" s="37">
        <v>0</v>
      </c>
      <c r="AI2048" s="37">
        <v>96</v>
      </c>
      <c r="AJ2048" s="37">
        <v>5</v>
      </c>
      <c r="AK2048" s="37" t="str">
        <f>VLOOKUP(Mecze[[#This Row],[Match ID]],Meczusie[Mecz]:Meczusie[RodzajMeczu],2,FALSE)</f>
        <v>Liga</v>
      </c>
    </row>
    <row r="2049" spans="1:37" x14ac:dyDescent="0.25">
      <c r="A2049" s="76">
        <v>8</v>
      </c>
      <c r="B2049" s="3" t="s">
        <v>351</v>
      </c>
      <c r="C2049" s="2" t="s">
        <v>160</v>
      </c>
      <c r="D2049" s="1">
        <v>1</v>
      </c>
      <c r="E2049" s="1">
        <v>1</v>
      </c>
      <c r="F2049" s="1">
        <v>1</v>
      </c>
      <c r="G2049" s="1">
        <v>18</v>
      </c>
      <c r="H2049" s="4">
        <v>0.72</v>
      </c>
      <c r="I2049" s="1">
        <v>2</v>
      </c>
      <c r="J2049" s="4">
        <v>0</v>
      </c>
      <c r="K2049" s="1">
        <v>0</v>
      </c>
      <c r="L2049" s="1">
        <v>13</v>
      </c>
      <c r="M2049" s="32">
        <f>IF(Mecze[[#This Row],[PR]]=0,0,Mecze[[#This Row],[PR]]/Mecze[[#This Row],[CZAS]])</f>
        <v>0.13541666666666666</v>
      </c>
      <c r="N2049" s="32">
        <f>IF(Mecze[[#This Row],[OU]]=0,0,Mecze[[#This Row],[OU]]/Mecze[[#This Row],[CZAS]])</f>
        <v>0</v>
      </c>
      <c r="O2049" s="32">
        <f>IF(Mecze[[#This Row],[PC]]=0,0,Mecze[[#This Row],[PC]]/Mecze[[#This Row],[CZAS]])</f>
        <v>0.13541666666666666</v>
      </c>
      <c r="P2049" s="32">
        <f>IF(Mecze[[#This Row],[SC]]=0,0,Mecze[[#This Row],[SC]]/Mecze[[#This Row],[CZAS]])</f>
        <v>1.0416666666666666E-2</v>
      </c>
      <c r="Q2049" s="32">
        <f>IF(Mecze[[#This Row],[OB]]=0,0,Mecze[[#This Row],[OB]]/Mecze[[#This Row],[CZAS]])</f>
        <v>0</v>
      </c>
      <c r="R2049" s="32">
        <f>IF(Mecze[[#This Row],[BR]]=0,0,Mecze[[#This Row],[BR]]/Mecze[[#This Row],[CZAS]])</f>
        <v>1.0416666666666666E-2</v>
      </c>
      <c r="S2049" s="44">
        <f>IF(Mecze[[#This Row],[Role]]="BR",SUMPRODUCT(Mecze[[#This Row],[/PR:90]:[/BR:90]],Brudnopis!$E$23:$J$23),0)</f>
        <v>0</v>
      </c>
      <c r="T2049" s="44">
        <f>IF(Mecze[[#This Row],[Role]]&lt;&gt;"BR",SUMPRODUCT(Mecze[[#This Row],[/PR:90]:[/BR:90]],Brudnopis!$E$24:$J$24),0)</f>
        <v>0.296875</v>
      </c>
      <c r="U2049" s="44">
        <f>IF(Mecze[[#This Row],[Role]]&lt;&gt;"BR",SUMPRODUCT(Mecze[[#This Row],[/PR:90]:[/BR:90]],Brudnopis!$E$25:$J$25),0)</f>
        <v>0.36458333333333331</v>
      </c>
      <c r="V2049" s="44">
        <f>IF(Mecze[[#This Row],[Role]]&lt;&gt;"BR",SUMPRODUCT(Mecze[[#This Row],[/PR:90]:[/BR:90]],Brudnopis!$E$26:$J$26),0)</f>
        <v>0.30208333333333331</v>
      </c>
      <c r="W2049" s="44">
        <f>IF(Mecze[[#This Row],[Role]]&lt;&gt;"BR",SUMPRODUCT(Mecze[[#This Row],[/PR:90]:[/BR:90]],Brudnopis!$E$27:$J$27),0)</f>
        <v>0.3359375</v>
      </c>
      <c r="X2049" s="44">
        <f>IF(Mecze[[#This Row],[Role]]&lt;&gt;"BR",SUMPRODUCT(Mecze[[#This Row],[/PR:90]:[/BR:90]],Brudnopis!$E$28:$J$28),0)</f>
        <v>0.1875</v>
      </c>
      <c r="Y2049" s="35">
        <f>IF(Mecze[[#This Row],[Role]]="BR",Mecze[[#This Row],[/OB:90]]+Mecze[[#This Row],[/PC:90]],SUM(Mecze[[#This Row],[/PR:90]:[/BR:90]]))</f>
        <v>0.29166666666666669</v>
      </c>
      <c r="Z2049" s="35">
        <f>IF(Mecze[[#This Row],[KC]]=0,SUM(Mecze[[#This Row],[/BRI]:[/NPI]]),SUM(Mecze[[#This Row],[/BRI]:[/NPI]])*0.6)</f>
        <v>1.4869791666666665</v>
      </c>
      <c r="AA2049" s="10">
        <f>IFERROR(Mecze[[#This Row],[BR]]/Mecze[[#This Row],[ST]],0)</f>
        <v>1</v>
      </c>
      <c r="AB2049">
        <f>ROUND(Mecze[[#This Row],[PD]]*Mecze[[#This Row],[%PC]],0)</f>
        <v>13</v>
      </c>
      <c r="AC2049">
        <f>ROUND(Mecze[[#This Row],[OD]]*Mecze[[#This Row],[%OU]],0)</f>
        <v>0</v>
      </c>
      <c r="AD2049" s="36" t="s">
        <v>67</v>
      </c>
      <c r="AE2049" s="36">
        <v>113</v>
      </c>
      <c r="AF2049" s="71">
        <v>13.32</v>
      </c>
      <c r="AG2049" s="37">
        <v>0</v>
      </c>
      <c r="AH2049" s="37">
        <v>0</v>
      </c>
      <c r="AI2049" s="37">
        <v>96</v>
      </c>
      <c r="AJ2049" s="37">
        <v>5</v>
      </c>
      <c r="AK2049" s="37" t="str">
        <f>VLOOKUP(Mecze[[#This Row],[Match ID]],Meczusie[Mecz]:Meczusie[RodzajMeczu],2,FALSE)</f>
        <v>Liga</v>
      </c>
    </row>
    <row r="2050" spans="1:37" x14ac:dyDescent="0.25">
      <c r="A2050" s="76">
        <v>11</v>
      </c>
      <c r="B2050" s="3" t="s">
        <v>353</v>
      </c>
      <c r="C2050" s="2" t="s">
        <v>165</v>
      </c>
      <c r="D2050" s="1">
        <v>0</v>
      </c>
      <c r="E2050" s="1">
        <v>3</v>
      </c>
      <c r="F2050" s="1">
        <v>2</v>
      </c>
      <c r="G2050" s="1">
        <v>11</v>
      </c>
      <c r="H2050" s="4">
        <v>0.64</v>
      </c>
      <c r="I2050" s="1">
        <v>2</v>
      </c>
      <c r="J2050" s="4">
        <v>1</v>
      </c>
      <c r="K2050" s="1">
        <v>0</v>
      </c>
      <c r="L2050" s="1">
        <v>4</v>
      </c>
      <c r="M2050" s="32">
        <f>IF(Mecze[[#This Row],[PR]]=0,0,Mecze[[#This Row],[PR]]/Mecze[[#This Row],[CZAS]])</f>
        <v>4.1666666666666664E-2</v>
      </c>
      <c r="N2050" s="32">
        <f>IF(Mecze[[#This Row],[OU]]=0,0,Mecze[[#This Row],[OU]]/Mecze[[#This Row],[CZAS]])</f>
        <v>2.0833333333333332E-2</v>
      </c>
      <c r="O2050" s="32">
        <f>IF(Mecze[[#This Row],[PC]]=0,0,Mecze[[#This Row],[PC]]/Mecze[[#This Row],[CZAS]])</f>
        <v>7.2916666666666671E-2</v>
      </c>
      <c r="P2050" s="32">
        <f>IF(Mecze[[#This Row],[SC]]=0,0,Mecze[[#This Row],[SC]]/Mecze[[#This Row],[CZAS]])</f>
        <v>2.0833333333333332E-2</v>
      </c>
      <c r="Q2050" s="32">
        <f>IF(Mecze[[#This Row],[OB]]=0,0,Mecze[[#This Row],[OB]]/Mecze[[#This Row],[CZAS]])</f>
        <v>0</v>
      </c>
      <c r="R2050" s="32">
        <f>IF(Mecze[[#This Row],[BR]]=0,0,Mecze[[#This Row],[BR]]/Mecze[[#This Row],[CZAS]])</f>
        <v>0</v>
      </c>
      <c r="S2050" s="44">
        <f>IF(Mecze[[#This Row],[Role]]="BR",SUMPRODUCT(Mecze[[#This Row],[/PR:90]:[/BR:90]],Brudnopis!$E$23:$J$23),0)</f>
        <v>0</v>
      </c>
      <c r="T2050" s="44">
        <f>IF(Mecze[[#This Row],[Role]]&lt;&gt;"BR",SUMPRODUCT(Mecze[[#This Row],[/PR:90]:[/BR:90]],Brudnopis!$E$24:$J$24),0)</f>
        <v>0.16666666666666666</v>
      </c>
      <c r="U2050" s="44">
        <f>IF(Mecze[[#This Row],[Role]]&lt;&gt;"BR",SUMPRODUCT(Mecze[[#This Row],[/PR:90]:[/BR:90]],Brudnopis!$E$25:$J$25),0)</f>
        <v>0.19270833333333334</v>
      </c>
      <c r="V2050" s="44">
        <f>IF(Mecze[[#This Row],[Role]]&lt;&gt;"BR",SUMPRODUCT(Mecze[[#This Row],[/PR:90]:[/BR:90]],Brudnopis!$E$26:$J$26),0)</f>
        <v>0.15625000000000003</v>
      </c>
      <c r="W2050" s="44">
        <f>IF(Mecze[[#This Row],[Role]]&lt;&gt;"BR",SUMPRODUCT(Mecze[[#This Row],[/PR:90]:[/BR:90]],Brudnopis!$E$27:$J$27),0)</f>
        <v>0.17708333333333334</v>
      </c>
      <c r="X2050" s="44">
        <f>IF(Mecze[[#This Row],[Role]]&lt;&gt;"BR",SUMPRODUCT(Mecze[[#This Row],[/PR:90]:[/BR:90]],Brudnopis!$E$28:$J$28),0)</f>
        <v>0.11458333333333334</v>
      </c>
      <c r="Y2050" s="35">
        <f>IF(Mecze[[#This Row],[Role]]="BR",Mecze[[#This Row],[/OB:90]]+Mecze[[#This Row],[/PC:90]],SUM(Mecze[[#This Row],[/PR:90]:[/BR:90]]))</f>
        <v>0.15625000000000003</v>
      </c>
      <c r="Z2050" s="35">
        <f>IF(Mecze[[#This Row],[KC]]=0,SUM(Mecze[[#This Row],[/BRI]:[/NPI]]),SUM(Mecze[[#This Row],[/BRI]:[/NPI]])*0.6)</f>
        <v>0.80729166666666674</v>
      </c>
      <c r="AA2050" s="10">
        <f>IFERROR(Mecze[[#This Row],[BR]]/Mecze[[#This Row],[ST]],0)</f>
        <v>0</v>
      </c>
      <c r="AB2050">
        <f>ROUND(Mecze[[#This Row],[PD]]*Mecze[[#This Row],[%PC]],0)</f>
        <v>7</v>
      </c>
      <c r="AC2050">
        <f>ROUND(Mecze[[#This Row],[OD]]*Mecze[[#This Row],[%OU]],0)</f>
        <v>2</v>
      </c>
      <c r="AD2050" s="36" t="s">
        <v>44</v>
      </c>
      <c r="AE2050" s="36">
        <v>113</v>
      </c>
      <c r="AF2050" s="71">
        <v>5.7</v>
      </c>
      <c r="AG2050" s="37">
        <v>0</v>
      </c>
      <c r="AH2050" s="37">
        <v>0</v>
      </c>
      <c r="AI2050" s="37">
        <v>96</v>
      </c>
      <c r="AJ2050" s="37">
        <v>5</v>
      </c>
      <c r="AK2050" s="37" t="str">
        <f>VLOOKUP(Mecze[[#This Row],[Match ID]],Meczusie[Mecz]:Meczusie[RodzajMeczu],2,FALSE)</f>
        <v>Liga</v>
      </c>
    </row>
    <row r="2051" spans="1:37" x14ac:dyDescent="0.25">
      <c r="A2051" s="76">
        <v>10</v>
      </c>
      <c r="B2051" s="3" t="s">
        <v>352</v>
      </c>
      <c r="C2051" s="2" t="s">
        <v>165</v>
      </c>
      <c r="D2051" s="1">
        <v>4</v>
      </c>
      <c r="E2051" s="1">
        <v>22</v>
      </c>
      <c r="F2051" s="1">
        <v>18</v>
      </c>
      <c r="G2051" s="1">
        <v>4</v>
      </c>
      <c r="H2051" s="4">
        <v>0.5</v>
      </c>
      <c r="I2051" s="1">
        <v>4</v>
      </c>
      <c r="J2051" s="4">
        <v>0.75</v>
      </c>
      <c r="K2051" s="1">
        <v>0</v>
      </c>
      <c r="L2051" s="1">
        <v>0</v>
      </c>
      <c r="M2051" s="32">
        <f>IF(Mecze[[#This Row],[PR]]=0,0,Mecze[[#This Row],[PR]]/Mecze[[#This Row],[CZAS]])</f>
        <v>0</v>
      </c>
      <c r="N2051" s="32">
        <f>IF(Mecze[[#This Row],[OU]]=0,0,Mecze[[#This Row],[OU]]/Mecze[[#This Row],[CZAS]])</f>
        <v>3.125E-2</v>
      </c>
      <c r="O2051" s="32">
        <f>IF(Mecze[[#This Row],[PC]]=0,0,Mecze[[#This Row],[PC]]/Mecze[[#This Row],[CZAS]])</f>
        <v>2.0833333333333332E-2</v>
      </c>
      <c r="P2051" s="32">
        <f>IF(Mecze[[#This Row],[SC]]=0,0,Mecze[[#This Row],[SC]]/Mecze[[#This Row],[CZAS]])</f>
        <v>0.1875</v>
      </c>
      <c r="Q2051" s="32">
        <f>IF(Mecze[[#This Row],[OB]]=0,0,Mecze[[#This Row],[OB]]/Mecze[[#This Row],[CZAS]])</f>
        <v>0</v>
      </c>
      <c r="R2051" s="32">
        <f>IF(Mecze[[#This Row],[BR]]=0,0,Mecze[[#This Row],[BR]]/Mecze[[#This Row],[CZAS]])</f>
        <v>4.1666666666666664E-2</v>
      </c>
      <c r="S2051" s="44">
        <f>IF(Mecze[[#This Row],[Role]]="BR",SUMPRODUCT(Mecze[[#This Row],[/PR:90]:[/BR:90]],Brudnopis!$E$23:$J$23),0)</f>
        <v>0</v>
      </c>
      <c r="T2051" s="44">
        <f>IF(Mecze[[#This Row],[Role]]&lt;&gt;"BR",SUMPRODUCT(Mecze[[#This Row],[/PR:90]:[/BR:90]],Brudnopis!$E$24:$J$24),0)</f>
        <v>0.31770833333333331</v>
      </c>
      <c r="U2051" s="44">
        <f>IF(Mecze[[#This Row],[Role]]&lt;&gt;"BR",SUMPRODUCT(Mecze[[#This Row],[/PR:90]:[/BR:90]],Brudnopis!$E$25:$J$25),0)</f>
        <v>0.3125</v>
      </c>
      <c r="V2051" s="44">
        <f>IF(Mecze[[#This Row],[Role]]&lt;&gt;"BR",SUMPRODUCT(Mecze[[#This Row],[/PR:90]:[/BR:90]],Brudnopis!$E$26:$J$26),0)</f>
        <v>0.32291666666666663</v>
      </c>
      <c r="W2051" s="44">
        <f>IF(Mecze[[#This Row],[Role]]&lt;&gt;"BR",SUMPRODUCT(Mecze[[#This Row],[/PR:90]:[/BR:90]],Brudnopis!$E$27:$J$27),0)</f>
        <v>0.32552083333333331</v>
      </c>
      <c r="X2051" s="44">
        <f>IF(Mecze[[#This Row],[Role]]&lt;&gt;"BR",SUMPRODUCT(Mecze[[#This Row],[/PR:90]:[/BR:90]],Brudnopis!$E$28:$J$28),0)</f>
        <v>0.52083333333333326</v>
      </c>
      <c r="Y2051" s="35">
        <f>IF(Mecze[[#This Row],[Role]]="BR",Mecze[[#This Row],[/OB:90]]+Mecze[[#This Row],[/PC:90]],SUM(Mecze[[#This Row],[/PR:90]:[/BR:90]]))</f>
        <v>0.28125</v>
      </c>
      <c r="Z2051" s="35">
        <f>IF(Mecze[[#This Row],[KC]]=0,SUM(Mecze[[#This Row],[/BRI]:[/NPI]]),SUM(Mecze[[#This Row],[/BRI]:[/NPI]])*0.6)</f>
        <v>1.7994791666666665</v>
      </c>
      <c r="AA2051" s="10">
        <f>IFERROR(Mecze[[#This Row],[BR]]/Mecze[[#This Row],[ST]],0)</f>
        <v>0.18181818181818182</v>
      </c>
      <c r="AB2051">
        <f>ROUND(Mecze[[#This Row],[PD]]*Mecze[[#This Row],[%PC]],0)</f>
        <v>2</v>
      </c>
      <c r="AC2051">
        <f>ROUND(Mecze[[#This Row],[OD]]*Mecze[[#This Row],[%OU]],0)</f>
        <v>3</v>
      </c>
      <c r="AD2051" s="36" t="s">
        <v>272</v>
      </c>
      <c r="AE2051" s="36">
        <v>113</v>
      </c>
      <c r="AF2051" s="71">
        <v>17.09</v>
      </c>
      <c r="AG2051" s="37">
        <v>0</v>
      </c>
      <c r="AH2051" s="37">
        <v>0</v>
      </c>
      <c r="AI2051" s="37">
        <v>96</v>
      </c>
      <c r="AJ2051" s="37">
        <v>5</v>
      </c>
      <c r="AK2051" s="37" t="str">
        <f>VLOOKUP(Mecze[[#This Row],[Match ID]],Meczusie[Mecz]:Meczusie[RodzajMeczu],2,FALSE)</f>
        <v>Liga</v>
      </c>
    </row>
    <row r="2052" spans="1:37" x14ac:dyDescent="0.25">
      <c r="A2052" s="76">
        <v>9</v>
      </c>
      <c r="B2052" s="3" t="s">
        <v>354</v>
      </c>
      <c r="C2052" s="2" t="s">
        <v>165</v>
      </c>
      <c r="D2052" s="1">
        <v>1</v>
      </c>
      <c r="E2052" s="1">
        <v>7</v>
      </c>
      <c r="F2052" s="1">
        <v>6</v>
      </c>
      <c r="G2052" s="1">
        <v>13</v>
      </c>
      <c r="H2052" s="4">
        <v>0.85</v>
      </c>
      <c r="I2052" s="1">
        <v>2</v>
      </c>
      <c r="J2052" s="4">
        <v>0</v>
      </c>
      <c r="K2052" s="1">
        <v>0</v>
      </c>
      <c r="L2052" s="1">
        <v>3</v>
      </c>
      <c r="M2052" s="32">
        <f>IF(Mecze[[#This Row],[PR]]=0,0,Mecze[[#This Row],[PR]]/Mecze[[#This Row],[CZAS]])</f>
        <v>3.125E-2</v>
      </c>
      <c r="N2052" s="32">
        <f>IF(Mecze[[#This Row],[OU]]=0,0,Mecze[[#This Row],[OU]]/Mecze[[#This Row],[CZAS]])</f>
        <v>0</v>
      </c>
      <c r="O2052" s="32">
        <f>IF(Mecze[[#This Row],[PC]]=0,0,Mecze[[#This Row],[PC]]/Mecze[[#This Row],[CZAS]])</f>
        <v>0.11458333333333333</v>
      </c>
      <c r="P2052" s="32">
        <f>IF(Mecze[[#This Row],[SC]]=0,0,Mecze[[#This Row],[SC]]/Mecze[[#This Row],[CZAS]])</f>
        <v>6.25E-2</v>
      </c>
      <c r="Q2052" s="32">
        <f>IF(Mecze[[#This Row],[OB]]=0,0,Mecze[[#This Row],[OB]]/Mecze[[#This Row],[CZAS]])</f>
        <v>0</v>
      </c>
      <c r="R2052" s="32">
        <f>IF(Mecze[[#This Row],[BR]]=0,0,Mecze[[#This Row],[BR]]/Mecze[[#This Row],[CZAS]])</f>
        <v>1.0416666666666666E-2</v>
      </c>
      <c r="S2052" s="44">
        <f>IF(Mecze[[#This Row],[Role]]="BR",SUMPRODUCT(Mecze[[#This Row],[/PR:90]:[/BR:90]],Brudnopis!$E$23:$J$23),0)</f>
        <v>0</v>
      </c>
      <c r="T2052" s="44">
        <f>IF(Mecze[[#This Row],[Role]]&lt;&gt;"BR",SUMPRODUCT(Mecze[[#This Row],[/PR:90]:[/BR:90]],Brudnopis!$E$24:$J$24),0)</f>
        <v>0.22395833333333331</v>
      </c>
      <c r="U2052" s="44">
        <f>IF(Mecze[[#This Row],[Role]]&lt;&gt;"BR",SUMPRODUCT(Mecze[[#This Row],[/PR:90]:[/BR:90]],Brudnopis!$E$25:$J$25),0)</f>
        <v>0.28125</v>
      </c>
      <c r="V2052" s="44">
        <f>IF(Mecze[[#This Row],[Role]]&lt;&gt;"BR",SUMPRODUCT(Mecze[[#This Row],[/PR:90]:[/BR:90]],Brudnopis!$E$26:$J$26),0)</f>
        <v>0.22916666666666666</v>
      </c>
      <c r="W2052" s="44">
        <f>IF(Mecze[[#This Row],[Role]]&lt;&gt;"BR",SUMPRODUCT(Mecze[[#This Row],[/PR:90]:[/BR:90]],Brudnopis!$E$27:$J$27),0)</f>
        <v>0.27864583333333331</v>
      </c>
      <c r="X2052" s="44">
        <f>IF(Mecze[[#This Row],[Role]]&lt;&gt;"BR",SUMPRODUCT(Mecze[[#This Row],[/PR:90]:[/BR:90]],Brudnopis!$E$28:$J$28),0)</f>
        <v>0.27083333333333331</v>
      </c>
      <c r="Y2052" s="35">
        <f>IF(Mecze[[#This Row],[Role]]="BR",Mecze[[#This Row],[/OB:90]]+Mecze[[#This Row],[/PC:90]],SUM(Mecze[[#This Row],[/PR:90]:[/BR:90]]))</f>
        <v>0.21874999999999997</v>
      </c>
      <c r="Z2052" s="35">
        <f>IF(Mecze[[#This Row],[KC]]=0,SUM(Mecze[[#This Row],[/BRI]:[/NPI]]),SUM(Mecze[[#This Row],[/BRI]:[/NPI]])*0.6)</f>
        <v>1.2838541666666665</v>
      </c>
      <c r="AA2052" s="10">
        <f>IFERROR(Mecze[[#This Row],[BR]]/Mecze[[#This Row],[ST]],0)</f>
        <v>0.14285714285714285</v>
      </c>
      <c r="AB2052">
        <f>ROUND(Mecze[[#This Row],[PD]]*Mecze[[#This Row],[%PC]],0)</f>
        <v>11</v>
      </c>
      <c r="AC2052">
        <f>ROUND(Mecze[[#This Row],[OD]]*Mecze[[#This Row],[%OU]],0)</f>
        <v>0</v>
      </c>
      <c r="AD2052" s="36" t="s">
        <v>273</v>
      </c>
      <c r="AE2052" s="36">
        <v>113</v>
      </c>
      <c r="AF2052" s="71">
        <v>9.8000000000000007</v>
      </c>
      <c r="AG2052" s="37">
        <v>0</v>
      </c>
      <c r="AH2052" s="37">
        <v>0</v>
      </c>
      <c r="AI2052" s="37">
        <v>96</v>
      </c>
      <c r="AJ2052" s="37">
        <v>5</v>
      </c>
      <c r="AK2052" s="37" t="str">
        <f>VLOOKUP(Mecze[[#This Row],[Match ID]],Meczusie[Mecz]:Meczusie[RodzajMeczu],2,FALSE)</f>
        <v>Liga</v>
      </c>
    </row>
    <row r="2053" spans="1:37" x14ac:dyDescent="0.25">
      <c r="A2053" s="76">
        <v>39</v>
      </c>
      <c r="B2053" s="3" t="s">
        <v>450</v>
      </c>
      <c r="C2053" s="2" t="s">
        <v>155</v>
      </c>
      <c r="D2053" s="1">
        <v>0</v>
      </c>
      <c r="E2053" s="1">
        <v>0</v>
      </c>
      <c r="F2053" s="1">
        <v>0</v>
      </c>
      <c r="G2053" s="1">
        <v>3</v>
      </c>
      <c r="H2053" s="4">
        <v>0.33</v>
      </c>
      <c r="I2053" s="1">
        <v>0</v>
      </c>
      <c r="J2053" s="4"/>
      <c r="K2053" s="1">
        <v>2</v>
      </c>
      <c r="L2053" s="1">
        <v>0</v>
      </c>
      <c r="M2053" s="32">
        <f>IF(Mecze[[#This Row],[PR]]=0,0,Mecze[[#This Row],[PR]]/Mecze[[#This Row],[CZAS]])</f>
        <v>0</v>
      </c>
      <c r="N2053" s="32">
        <f>IF(Mecze[[#This Row],[OU]]=0,0,Mecze[[#This Row],[OU]]/Mecze[[#This Row],[CZAS]])</f>
        <v>0</v>
      </c>
      <c r="O2053" s="32">
        <f>IF(Mecze[[#This Row],[PC]]=0,0,Mecze[[#This Row],[PC]]/Mecze[[#This Row],[CZAS]])</f>
        <v>1.0416666666666666E-2</v>
      </c>
      <c r="P2053" s="32">
        <f>IF(Mecze[[#This Row],[SC]]=0,0,Mecze[[#This Row],[SC]]/Mecze[[#This Row],[CZAS]])</f>
        <v>0</v>
      </c>
      <c r="Q2053" s="32">
        <f>IF(Mecze[[#This Row],[OB]]=0,0,Mecze[[#This Row],[OB]]/Mecze[[#This Row],[CZAS]])</f>
        <v>2.0833333333333332E-2</v>
      </c>
      <c r="R2053" s="32">
        <f>IF(Mecze[[#This Row],[BR]]=0,0,Mecze[[#This Row],[BR]]/Mecze[[#This Row],[CZAS]])</f>
        <v>0</v>
      </c>
      <c r="S2053" s="44">
        <f>IF(Mecze[[#This Row],[Role]]="BR",SUMPRODUCT(Mecze[[#This Row],[/PR:90]:[/BR:90]],Brudnopis!$E$23:$J$23),0)</f>
        <v>9.375E-2</v>
      </c>
      <c r="T2053" s="44">
        <f>IF(Mecze[[#This Row],[Role]]&lt;&gt;"BR",SUMPRODUCT(Mecze[[#This Row],[/PR:90]:[/BR:90]],Brudnopis!$E$24:$J$24),0)</f>
        <v>0</v>
      </c>
      <c r="U2053" s="44">
        <f>IF(Mecze[[#This Row],[Role]]&lt;&gt;"BR",SUMPRODUCT(Mecze[[#This Row],[/PR:90]:[/BR:90]],Brudnopis!$E$25:$J$25),0)</f>
        <v>0</v>
      </c>
      <c r="V2053" s="44">
        <f>IF(Mecze[[#This Row],[Role]]&lt;&gt;"BR",SUMPRODUCT(Mecze[[#This Row],[/PR:90]:[/BR:90]],Brudnopis!$E$26:$J$26),0)</f>
        <v>0</v>
      </c>
      <c r="W2053" s="44">
        <f>IF(Mecze[[#This Row],[Role]]&lt;&gt;"BR",SUMPRODUCT(Mecze[[#This Row],[/PR:90]:[/BR:90]],Brudnopis!$E$27:$J$27),0)</f>
        <v>0</v>
      </c>
      <c r="X2053" s="44">
        <f>IF(Mecze[[#This Row],[Role]]&lt;&gt;"BR",SUMPRODUCT(Mecze[[#This Row],[/PR:90]:[/BR:90]],Brudnopis!$E$28:$J$28),0)</f>
        <v>0</v>
      </c>
      <c r="Y2053" s="35">
        <f>IF(Mecze[[#This Row],[Role]]="BR",Mecze[[#This Row],[/OB:90]]+Mecze[[#This Row],[/PC:90]],SUM(Mecze[[#This Row],[/PR:90]:[/BR:90]]))</f>
        <v>3.125E-2</v>
      </c>
      <c r="Z2053" s="35">
        <f>IF(Mecze[[#This Row],[KC]]=0,SUM(Mecze[[#This Row],[/BRI]:[/NPI]]),SUM(Mecze[[#This Row],[/BRI]:[/NPI]])*0.6)</f>
        <v>9.375E-2</v>
      </c>
      <c r="AA2053" s="10">
        <f>IFERROR(Mecze[[#This Row],[BR]]/Mecze[[#This Row],[ST]],0)</f>
        <v>0</v>
      </c>
      <c r="AB2053">
        <f>ROUND(Mecze[[#This Row],[PD]]*Mecze[[#This Row],[%PC]],0)</f>
        <v>1</v>
      </c>
      <c r="AC2053">
        <f>ROUND(Mecze[[#This Row],[OD]]*Mecze[[#This Row],[%OU]],0)</f>
        <v>0</v>
      </c>
      <c r="AD2053" s="36" t="s">
        <v>40</v>
      </c>
      <c r="AE2053" s="36">
        <v>114</v>
      </c>
      <c r="AF2053" s="71">
        <v>7.74</v>
      </c>
      <c r="AG2053" s="37">
        <v>0</v>
      </c>
      <c r="AH2053" s="37">
        <v>0</v>
      </c>
      <c r="AI2053" s="37">
        <v>96</v>
      </c>
      <c r="AJ2053" s="37">
        <v>1</v>
      </c>
      <c r="AK2053" s="37" t="str">
        <f>VLOOKUP(Mecze[[#This Row],[Match ID]],Meczusie[Mecz]:Meczusie[RodzajMeczu],2,FALSE)</f>
        <v>Towarzyski</v>
      </c>
    </row>
    <row r="2054" spans="1:37" x14ac:dyDescent="0.25">
      <c r="A2054" s="76">
        <v>38</v>
      </c>
      <c r="B2054" s="3" t="s">
        <v>359</v>
      </c>
      <c r="C2054" s="2" t="s">
        <v>157</v>
      </c>
      <c r="D2054" s="1">
        <v>0</v>
      </c>
      <c r="E2054" s="1">
        <v>0</v>
      </c>
      <c r="F2054" s="1">
        <v>0</v>
      </c>
      <c r="G2054" s="1">
        <v>9</v>
      </c>
      <c r="H2054" s="4">
        <v>0.67</v>
      </c>
      <c r="I2054" s="1">
        <v>6</v>
      </c>
      <c r="J2054" s="4">
        <v>0.83</v>
      </c>
      <c r="K2054" s="1">
        <v>0</v>
      </c>
      <c r="L2054" s="1">
        <v>8</v>
      </c>
      <c r="M2054" s="32">
        <f>IF(Mecze[[#This Row],[PR]]=0,0,Mecze[[#This Row],[PR]]/Mecze[[#This Row],[CZAS]])</f>
        <v>8.3333333333333329E-2</v>
      </c>
      <c r="N2054" s="32">
        <f>IF(Mecze[[#This Row],[OU]]=0,0,Mecze[[#This Row],[OU]]/Mecze[[#This Row],[CZAS]])</f>
        <v>5.2083333333333336E-2</v>
      </c>
      <c r="O2054" s="32">
        <f>IF(Mecze[[#This Row],[PC]]=0,0,Mecze[[#This Row],[PC]]/Mecze[[#This Row],[CZAS]])</f>
        <v>6.25E-2</v>
      </c>
      <c r="P2054" s="32">
        <f>IF(Mecze[[#This Row],[SC]]=0,0,Mecze[[#This Row],[SC]]/Mecze[[#This Row],[CZAS]])</f>
        <v>0</v>
      </c>
      <c r="Q2054" s="32">
        <f>IF(Mecze[[#This Row],[OB]]=0,0,Mecze[[#This Row],[OB]]/Mecze[[#This Row],[CZAS]])</f>
        <v>0</v>
      </c>
      <c r="R2054" s="32">
        <f>IF(Mecze[[#This Row],[BR]]=0,0,Mecze[[#This Row],[BR]]/Mecze[[#This Row],[CZAS]])</f>
        <v>0</v>
      </c>
      <c r="S2054" s="44">
        <f>IF(Mecze[[#This Row],[Role]]="BR",SUMPRODUCT(Mecze[[#This Row],[/PR:90]:[/BR:90]],Brudnopis!$E$23:$J$23),0)</f>
        <v>0</v>
      </c>
      <c r="T2054" s="44">
        <f>IF(Mecze[[#This Row],[Role]]&lt;&gt;"BR",SUMPRODUCT(Mecze[[#This Row],[/PR:90]:[/BR:90]],Brudnopis!$E$24:$J$24),0)</f>
        <v>0.22395833333333331</v>
      </c>
      <c r="U2054" s="44">
        <f>IF(Mecze[[#This Row],[Role]]&lt;&gt;"BR",SUMPRODUCT(Mecze[[#This Row],[/PR:90]:[/BR:90]],Brudnopis!$E$25:$J$25),0)</f>
        <v>0.22916666666666666</v>
      </c>
      <c r="V2054" s="44">
        <f>IF(Mecze[[#This Row],[Role]]&lt;&gt;"BR",SUMPRODUCT(Mecze[[#This Row],[/PR:90]:[/BR:90]],Brudnopis!$E$26:$J$26),0)</f>
        <v>0.19791666666666666</v>
      </c>
      <c r="W2054" s="44">
        <f>IF(Mecze[[#This Row],[Role]]&lt;&gt;"BR",SUMPRODUCT(Mecze[[#This Row],[/PR:90]:[/BR:90]],Brudnopis!$E$27:$J$27),0)</f>
        <v>0.1953125</v>
      </c>
      <c r="X2054" s="44">
        <f>IF(Mecze[[#This Row],[Role]]&lt;&gt;"BR",SUMPRODUCT(Mecze[[#This Row],[/PR:90]:[/BR:90]],Brudnopis!$E$28:$J$28),0)</f>
        <v>6.25E-2</v>
      </c>
      <c r="Y2054" s="35">
        <f>IF(Mecze[[#This Row],[Role]]="BR",Mecze[[#This Row],[/OB:90]]+Mecze[[#This Row],[/PC:90]],SUM(Mecze[[#This Row],[/PR:90]:[/BR:90]]))</f>
        <v>0.19791666666666666</v>
      </c>
      <c r="Z2054" s="35">
        <f>IF(Mecze[[#This Row],[KC]]=0,SUM(Mecze[[#This Row],[/BRI]:[/NPI]]),SUM(Mecze[[#This Row],[/BRI]:[/NPI]])*0.6)</f>
        <v>0.90885416666666663</v>
      </c>
      <c r="AA2054" s="10">
        <f>IFERROR(Mecze[[#This Row],[BR]]/Mecze[[#This Row],[ST]],0)</f>
        <v>0</v>
      </c>
      <c r="AB2054">
        <f>ROUND(Mecze[[#This Row],[PD]]*Mecze[[#This Row],[%PC]],0)</f>
        <v>6</v>
      </c>
      <c r="AC2054">
        <f>ROUND(Mecze[[#This Row],[OD]]*Mecze[[#This Row],[%OU]],0)</f>
        <v>5</v>
      </c>
      <c r="AD2054" s="36" t="s">
        <v>47</v>
      </c>
      <c r="AE2054" s="36">
        <v>114</v>
      </c>
      <c r="AF2054" s="71">
        <v>11.04</v>
      </c>
      <c r="AG2054" s="37">
        <v>0</v>
      </c>
      <c r="AH2054" s="37">
        <v>0</v>
      </c>
      <c r="AI2054" s="37">
        <v>96</v>
      </c>
      <c r="AJ2054" s="37">
        <v>1</v>
      </c>
      <c r="AK2054" s="37" t="str">
        <f>VLOOKUP(Mecze[[#This Row],[Match ID]],Meczusie[Mecz]:Meczusie[RodzajMeczu],2,FALSE)</f>
        <v>Towarzyski</v>
      </c>
    </row>
    <row r="2055" spans="1:37" x14ac:dyDescent="0.25">
      <c r="A2055" s="76">
        <v>4</v>
      </c>
      <c r="B2055" s="3" t="s">
        <v>360</v>
      </c>
      <c r="C2055" s="2" t="s">
        <v>157</v>
      </c>
      <c r="D2055" s="1">
        <v>0</v>
      </c>
      <c r="E2055" s="1">
        <v>1</v>
      </c>
      <c r="F2055" s="1">
        <v>1</v>
      </c>
      <c r="G2055" s="1">
        <v>14</v>
      </c>
      <c r="H2055" s="4">
        <v>0.71</v>
      </c>
      <c r="I2055" s="1">
        <v>2</v>
      </c>
      <c r="J2055" s="4">
        <v>0.5</v>
      </c>
      <c r="K2055" s="1">
        <v>0</v>
      </c>
      <c r="L2055" s="1">
        <v>13</v>
      </c>
      <c r="M2055" s="32">
        <f>IF(Mecze[[#This Row],[PR]]=0,0,Mecze[[#This Row],[PR]]/Mecze[[#This Row],[CZAS]])</f>
        <v>0.13541666666666666</v>
      </c>
      <c r="N2055" s="32">
        <f>IF(Mecze[[#This Row],[OU]]=0,0,Mecze[[#This Row],[OU]]/Mecze[[#This Row],[CZAS]])</f>
        <v>1.0416666666666666E-2</v>
      </c>
      <c r="O2055" s="32">
        <f>IF(Mecze[[#This Row],[PC]]=0,0,Mecze[[#This Row],[PC]]/Mecze[[#This Row],[CZAS]])</f>
        <v>0.10416666666666667</v>
      </c>
      <c r="P2055" s="32">
        <f>IF(Mecze[[#This Row],[SC]]=0,0,Mecze[[#This Row],[SC]]/Mecze[[#This Row],[CZAS]])</f>
        <v>1.0416666666666666E-2</v>
      </c>
      <c r="Q2055" s="32">
        <f>IF(Mecze[[#This Row],[OB]]=0,0,Mecze[[#This Row],[OB]]/Mecze[[#This Row],[CZAS]])</f>
        <v>0</v>
      </c>
      <c r="R2055" s="32">
        <f>IF(Mecze[[#This Row],[BR]]=0,0,Mecze[[#This Row],[BR]]/Mecze[[#This Row],[CZAS]])</f>
        <v>0</v>
      </c>
      <c r="S2055" s="44">
        <f>IF(Mecze[[#This Row],[Role]]="BR",SUMPRODUCT(Mecze[[#This Row],[/PR:90]:[/BR:90]],Brudnopis!$E$23:$J$23),0)</f>
        <v>0</v>
      </c>
      <c r="T2055" s="44">
        <f>IF(Mecze[[#This Row],[Role]]&lt;&gt;"BR",SUMPRODUCT(Mecze[[#This Row],[/PR:90]:[/BR:90]],Brudnopis!$E$24:$J$24),0)</f>
        <v>0.265625</v>
      </c>
      <c r="U2055" s="44">
        <f>IF(Mecze[[#This Row],[Role]]&lt;&gt;"BR",SUMPRODUCT(Mecze[[#This Row],[/PR:90]:[/BR:90]],Brudnopis!$E$25:$J$25),0)</f>
        <v>0.3125</v>
      </c>
      <c r="V2055" s="44">
        <f>IF(Mecze[[#This Row],[Role]]&lt;&gt;"BR",SUMPRODUCT(Mecze[[#This Row],[/PR:90]:[/BR:90]],Brudnopis!$E$26:$J$26),0)</f>
        <v>0.26041666666666669</v>
      </c>
      <c r="W2055" s="44">
        <f>IF(Mecze[[#This Row],[Role]]&lt;&gt;"BR",SUMPRODUCT(Mecze[[#This Row],[/PR:90]:[/BR:90]],Brudnopis!$E$27:$J$27),0)</f>
        <v>0.27604166666666669</v>
      </c>
      <c r="X2055" s="44">
        <f>IF(Mecze[[#This Row],[Role]]&lt;&gt;"BR",SUMPRODUCT(Mecze[[#This Row],[/PR:90]:[/BR:90]],Brudnopis!$E$28:$J$28),0)</f>
        <v>0.125</v>
      </c>
      <c r="Y2055" s="35">
        <f>IF(Mecze[[#This Row],[Role]]="BR",Mecze[[#This Row],[/OB:90]]+Mecze[[#This Row],[/PC:90]],SUM(Mecze[[#This Row],[/PR:90]:[/BR:90]]))</f>
        <v>0.26041666666666669</v>
      </c>
      <c r="Z2055" s="35">
        <f>IF(Mecze[[#This Row],[KC]]=0,SUM(Mecze[[#This Row],[/BRI]:[/NPI]]),SUM(Mecze[[#This Row],[/BRI]:[/NPI]])*0.6)</f>
        <v>1.2395833333333335</v>
      </c>
      <c r="AA2055" s="10">
        <f>IFERROR(Mecze[[#This Row],[BR]]/Mecze[[#This Row],[ST]],0)</f>
        <v>0</v>
      </c>
      <c r="AB2055">
        <f>ROUND(Mecze[[#This Row],[PD]]*Mecze[[#This Row],[%PC]],0)</f>
        <v>10</v>
      </c>
      <c r="AC2055">
        <f>ROUND(Mecze[[#This Row],[OD]]*Mecze[[#This Row],[%OU]],0)</f>
        <v>1</v>
      </c>
      <c r="AD2055" s="36" t="s">
        <v>168</v>
      </c>
      <c r="AE2055" s="36">
        <v>114</v>
      </c>
      <c r="AF2055" s="71">
        <v>9.77</v>
      </c>
      <c r="AG2055" s="37">
        <v>0</v>
      </c>
      <c r="AH2055" s="37">
        <v>0</v>
      </c>
      <c r="AI2055" s="37">
        <v>96</v>
      </c>
      <c r="AJ2055" s="37">
        <v>1</v>
      </c>
      <c r="AK2055" s="37" t="str">
        <f>VLOOKUP(Mecze[[#This Row],[Match ID]],Meczusie[Mecz]:Meczusie[RodzajMeczu],2,FALSE)</f>
        <v>Towarzyski</v>
      </c>
    </row>
    <row r="2056" spans="1:37" x14ac:dyDescent="0.25">
      <c r="A2056" s="76">
        <v>17</v>
      </c>
      <c r="B2056" s="3" t="s">
        <v>413</v>
      </c>
      <c r="C2056" s="2" t="s">
        <v>157</v>
      </c>
      <c r="D2056" s="1">
        <v>0</v>
      </c>
      <c r="E2056" s="1">
        <v>0</v>
      </c>
      <c r="F2056" s="1">
        <v>0</v>
      </c>
      <c r="G2056" s="1">
        <v>10</v>
      </c>
      <c r="H2056" s="4">
        <v>0.9</v>
      </c>
      <c r="I2056" s="1">
        <v>5</v>
      </c>
      <c r="J2056" s="4">
        <v>0.8</v>
      </c>
      <c r="K2056" s="1">
        <v>0</v>
      </c>
      <c r="L2056" s="1">
        <v>8</v>
      </c>
      <c r="M2056" s="32">
        <f>IF(Mecze[[#This Row],[PR]]=0,0,Mecze[[#This Row],[PR]]/Mecze[[#This Row],[CZAS]])</f>
        <v>8.3333333333333329E-2</v>
      </c>
      <c r="N2056" s="32">
        <f>IF(Mecze[[#This Row],[OU]]=0,0,Mecze[[#This Row],[OU]]/Mecze[[#This Row],[CZAS]])</f>
        <v>4.1666666666666664E-2</v>
      </c>
      <c r="O2056" s="32">
        <f>IF(Mecze[[#This Row],[PC]]=0,0,Mecze[[#This Row],[PC]]/Mecze[[#This Row],[CZAS]])</f>
        <v>9.375E-2</v>
      </c>
      <c r="P2056" s="32">
        <f>IF(Mecze[[#This Row],[SC]]=0,0,Mecze[[#This Row],[SC]]/Mecze[[#This Row],[CZAS]])</f>
        <v>0</v>
      </c>
      <c r="Q2056" s="32">
        <f>IF(Mecze[[#This Row],[OB]]=0,0,Mecze[[#This Row],[OB]]/Mecze[[#This Row],[CZAS]])</f>
        <v>0</v>
      </c>
      <c r="R2056" s="32">
        <f>IF(Mecze[[#This Row],[BR]]=0,0,Mecze[[#This Row],[BR]]/Mecze[[#This Row],[CZAS]])</f>
        <v>0</v>
      </c>
      <c r="S2056" s="44">
        <f>IF(Mecze[[#This Row],[Role]]="BR",SUMPRODUCT(Mecze[[#This Row],[/PR:90]:[/BR:90]],Brudnopis!$E$23:$J$23),0)</f>
        <v>0</v>
      </c>
      <c r="T2056" s="44">
        <f>IF(Mecze[[#This Row],[Role]]&lt;&gt;"BR",SUMPRODUCT(Mecze[[#This Row],[/PR:90]:[/BR:90]],Brudnopis!$E$24:$J$24),0)</f>
        <v>0.23958333333333331</v>
      </c>
      <c r="U2056" s="44">
        <f>IF(Mecze[[#This Row],[Role]]&lt;&gt;"BR",SUMPRODUCT(Mecze[[#This Row],[/PR:90]:[/BR:90]],Brudnopis!$E$25:$J$25),0)</f>
        <v>0.265625</v>
      </c>
      <c r="V2056" s="44">
        <f>IF(Mecze[[#This Row],[Role]]&lt;&gt;"BR",SUMPRODUCT(Mecze[[#This Row],[/PR:90]:[/BR:90]],Brudnopis!$E$26:$J$26),0)</f>
        <v>0.21875</v>
      </c>
      <c r="W2056" s="44">
        <f>IF(Mecze[[#This Row],[Role]]&lt;&gt;"BR",SUMPRODUCT(Mecze[[#This Row],[/PR:90]:[/BR:90]],Brudnopis!$E$27:$J$27),0)</f>
        <v>0.234375</v>
      </c>
      <c r="X2056" s="44">
        <f>IF(Mecze[[#This Row],[Role]]&lt;&gt;"BR",SUMPRODUCT(Mecze[[#This Row],[/PR:90]:[/BR:90]],Brudnopis!$E$28:$J$28),0)</f>
        <v>9.375E-2</v>
      </c>
      <c r="Y2056" s="35">
        <f>IF(Mecze[[#This Row],[Role]]="BR",Mecze[[#This Row],[/OB:90]]+Mecze[[#This Row],[/PC:90]],SUM(Mecze[[#This Row],[/PR:90]:[/BR:90]]))</f>
        <v>0.21875</v>
      </c>
      <c r="Z2056" s="35">
        <f>IF(Mecze[[#This Row],[KC]]=0,SUM(Mecze[[#This Row],[/BRI]:[/NPI]]),SUM(Mecze[[#This Row],[/BRI]:[/NPI]])*0.6)</f>
        <v>1.0520833333333333</v>
      </c>
      <c r="AA2056" s="10">
        <f>IFERROR(Mecze[[#This Row],[BR]]/Mecze[[#This Row],[ST]],0)</f>
        <v>0</v>
      </c>
      <c r="AB2056">
        <f>ROUND(Mecze[[#This Row],[PD]]*Mecze[[#This Row],[%PC]],0)</f>
        <v>9</v>
      </c>
      <c r="AC2056">
        <f>ROUND(Mecze[[#This Row],[OD]]*Mecze[[#This Row],[%OU]],0)</f>
        <v>4</v>
      </c>
      <c r="AD2056" s="36" t="s">
        <v>167</v>
      </c>
      <c r="AE2056" s="36">
        <v>114</v>
      </c>
      <c r="AF2056" s="71">
        <v>11.04</v>
      </c>
      <c r="AG2056" s="37">
        <v>0</v>
      </c>
      <c r="AH2056" s="37">
        <v>0</v>
      </c>
      <c r="AI2056" s="37">
        <v>96</v>
      </c>
      <c r="AJ2056" s="37">
        <v>1</v>
      </c>
      <c r="AK2056" s="37" t="str">
        <f>VLOOKUP(Mecze[[#This Row],[Match ID]],Meczusie[Mecz]:Meczusie[RodzajMeczu],2,FALSE)</f>
        <v>Towarzyski</v>
      </c>
    </row>
    <row r="2057" spans="1:37" x14ac:dyDescent="0.25">
      <c r="A2057" s="76">
        <v>40</v>
      </c>
      <c r="B2057" s="3" t="s">
        <v>453</v>
      </c>
      <c r="C2057" s="2" t="s">
        <v>160</v>
      </c>
      <c r="D2057" s="1">
        <v>0</v>
      </c>
      <c r="E2057" s="1">
        <v>1</v>
      </c>
      <c r="F2057" s="1">
        <v>1</v>
      </c>
      <c r="G2057" s="1">
        <v>19</v>
      </c>
      <c r="H2057" s="4">
        <v>0.57999999999999996</v>
      </c>
      <c r="I2057" s="1">
        <v>4</v>
      </c>
      <c r="J2057" s="4">
        <v>0</v>
      </c>
      <c r="K2057" s="1">
        <v>0</v>
      </c>
      <c r="L2057" s="1">
        <v>13</v>
      </c>
      <c r="M2057" s="32">
        <f>IF(Mecze[[#This Row],[PR]]=0,0,Mecze[[#This Row],[PR]]/Mecze[[#This Row],[CZAS]])</f>
        <v>0.13541666666666666</v>
      </c>
      <c r="N2057" s="32">
        <f>IF(Mecze[[#This Row],[OU]]=0,0,Mecze[[#This Row],[OU]]/Mecze[[#This Row],[CZAS]])</f>
        <v>0</v>
      </c>
      <c r="O2057" s="32">
        <f>IF(Mecze[[#This Row],[PC]]=0,0,Mecze[[#This Row],[PC]]/Mecze[[#This Row],[CZAS]])</f>
        <v>0.11458333333333333</v>
      </c>
      <c r="P2057" s="32">
        <f>IF(Mecze[[#This Row],[SC]]=0,0,Mecze[[#This Row],[SC]]/Mecze[[#This Row],[CZAS]])</f>
        <v>1.0416666666666666E-2</v>
      </c>
      <c r="Q2057" s="32">
        <f>IF(Mecze[[#This Row],[OB]]=0,0,Mecze[[#This Row],[OB]]/Mecze[[#This Row],[CZAS]])</f>
        <v>0</v>
      </c>
      <c r="R2057" s="32">
        <f>IF(Mecze[[#This Row],[BR]]=0,0,Mecze[[#This Row],[BR]]/Mecze[[#This Row],[CZAS]])</f>
        <v>0</v>
      </c>
      <c r="S2057" s="44">
        <f>IF(Mecze[[#This Row],[Role]]="BR",SUMPRODUCT(Mecze[[#This Row],[/PR:90]:[/BR:90]],Brudnopis!$E$23:$J$23),0)</f>
        <v>0</v>
      </c>
      <c r="T2057" s="44">
        <f>IF(Mecze[[#This Row],[Role]]&lt;&gt;"BR",SUMPRODUCT(Mecze[[#This Row],[/PR:90]:[/BR:90]],Brudnopis!$E$24:$J$24),0)</f>
        <v>0.26041666666666669</v>
      </c>
      <c r="U2057" s="44">
        <f>IF(Mecze[[#This Row],[Role]]&lt;&gt;"BR",SUMPRODUCT(Mecze[[#This Row],[/PR:90]:[/BR:90]],Brudnopis!$E$25:$J$25),0)</f>
        <v>0.31770833333333331</v>
      </c>
      <c r="V2057" s="44">
        <f>IF(Mecze[[#This Row],[Role]]&lt;&gt;"BR",SUMPRODUCT(Mecze[[#This Row],[/PR:90]:[/BR:90]],Brudnopis!$E$26:$J$26),0)</f>
        <v>0.26041666666666669</v>
      </c>
      <c r="W2057" s="44">
        <f>IF(Mecze[[#This Row],[Role]]&lt;&gt;"BR",SUMPRODUCT(Mecze[[#This Row],[/PR:90]:[/BR:90]],Brudnopis!$E$27:$J$27),0)</f>
        <v>0.28385416666666669</v>
      </c>
      <c r="X2057" s="44">
        <f>IF(Mecze[[#This Row],[Role]]&lt;&gt;"BR",SUMPRODUCT(Mecze[[#This Row],[/PR:90]:[/BR:90]],Brudnopis!$E$28:$J$28),0)</f>
        <v>0.13541666666666666</v>
      </c>
      <c r="Y2057" s="35">
        <f>IF(Mecze[[#This Row],[Role]]="BR",Mecze[[#This Row],[/OB:90]]+Mecze[[#This Row],[/PC:90]],SUM(Mecze[[#This Row],[/PR:90]:[/BR:90]]))</f>
        <v>0.26041666666666669</v>
      </c>
      <c r="Z2057" s="35">
        <f>IF(Mecze[[#This Row],[KC]]=0,SUM(Mecze[[#This Row],[/BRI]:[/NPI]]),SUM(Mecze[[#This Row],[/BRI]:[/NPI]])*0.6)</f>
        <v>1.2578125000000002</v>
      </c>
      <c r="AA2057" s="10">
        <f>IFERROR(Mecze[[#This Row],[BR]]/Mecze[[#This Row],[ST]],0)</f>
        <v>0</v>
      </c>
      <c r="AB2057">
        <f>ROUND(Mecze[[#This Row],[PD]]*Mecze[[#This Row],[%PC]],0)</f>
        <v>11</v>
      </c>
      <c r="AC2057">
        <f>ROUND(Mecze[[#This Row],[OD]]*Mecze[[#This Row],[%OU]],0)</f>
        <v>0</v>
      </c>
      <c r="AD2057" s="36" t="s">
        <v>41</v>
      </c>
      <c r="AE2057" s="36">
        <v>114</v>
      </c>
      <c r="AF2057" s="71">
        <v>11.21</v>
      </c>
      <c r="AG2057" s="37">
        <v>0</v>
      </c>
      <c r="AH2057" s="37">
        <v>0</v>
      </c>
      <c r="AI2057" s="37">
        <v>96</v>
      </c>
      <c r="AJ2057" s="37">
        <v>1</v>
      </c>
      <c r="AK2057" s="37" t="str">
        <f>VLOOKUP(Mecze[[#This Row],[Match ID]],Meczusie[Mecz]:Meczusie[RodzajMeczu],2,FALSE)</f>
        <v>Towarzyski</v>
      </c>
    </row>
    <row r="2058" spans="1:37" x14ac:dyDescent="0.25">
      <c r="A2058" s="76">
        <v>22</v>
      </c>
      <c r="B2058" s="3" t="s">
        <v>363</v>
      </c>
      <c r="C2058" s="2" t="s">
        <v>160</v>
      </c>
      <c r="D2058" s="1">
        <v>0</v>
      </c>
      <c r="E2058" s="1">
        <v>0</v>
      </c>
      <c r="F2058" s="1">
        <v>0</v>
      </c>
      <c r="G2058" s="1">
        <v>14</v>
      </c>
      <c r="H2058" s="4">
        <v>0.5</v>
      </c>
      <c r="I2058" s="1">
        <v>6</v>
      </c>
      <c r="J2058" s="4">
        <v>0.17</v>
      </c>
      <c r="K2058" s="1">
        <v>0</v>
      </c>
      <c r="L2058" s="1">
        <v>7</v>
      </c>
      <c r="M2058" s="32">
        <f>IF(Mecze[[#This Row],[PR]]=0,0,Mecze[[#This Row],[PR]]/Mecze[[#This Row],[CZAS]])</f>
        <v>7.2916666666666671E-2</v>
      </c>
      <c r="N2058" s="32">
        <f>IF(Mecze[[#This Row],[OU]]=0,0,Mecze[[#This Row],[OU]]/Mecze[[#This Row],[CZAS]])</f>
        <v>1.0416666666666666E-2</v>
      </c>
      <c r="O2058" s="32">
        <f>IF(Mecze[[#This Row],[PC]]=0,0,Mecze[[#This Row],[PC]]/Mecze[[#This Row],[CZAS]])</f>
        <v>7.2916666666666671E-2</v>
      </c>
      <c r="P2058" s="32">
        <f>IF(Mecze[[#This Row],[SC]]=0,0,Mecze[[#This Row],[SC]]/Mecze[[#This Row],[CZAS]])</f>
        <v>0</v>
      </c>
      <c r="Q2058" s="32">
        <f>IF(Mecze[[#This Row],[OB]]=0,0,Mecze[[#This Row],[OB]]/Mecze[[#This Row],[CZAS]])</f>
        <v>0</v>
      </c>
      <c r="R2058" s="32">
        <f>IF(Mecze[[#This Row],[BR]]=0,0,Mecze[[#This Row],[BR]]/Mecze[[#This Row],[CZAS]])</f>
        <v>0</v>
      </c>
      <c r="S2058" s="44">
        <f>IF(Mecze[[#This Row],[Role]]="BR",SUMPRODUCT(Mecze[[#This Row],[/PR:90]:[/BR:90]],Brudnopis!$E$23:$J$23),0)</f>
        <v>0</v>
      </c>
      <c r="T2058" s="44">
        <f>IF(Mecze[[#This Row],[Role]]&lt;&gt;"BR",SUMPRODUCT(Mecze[[#This Row],[/PR:90]:[/BR:90]],Brudnopis!$E$24:$J$24),0)</f>
        <v>0.16145833333333334</v>
      </c>
      <c r="U2058" s="44">
        <f>IF(Mecze[[#This Row],[Role]]&lt;&gt;"BR",SUMPRODUCT(Mecze[[#This Row],[/PR:90]:[/BR:90]],Brudnopis!$E$25:$J$25),0)</f>
        <v>0.19270833333333334</v>
      </c>
      <c r="V2058" s="44">
        <f>IF(Mecze[[#This Row],[Role]]&lt;&gt;"BR",SUMPRODUCT(Mecze[[#This Row],[/PR:90]:[/BR:90]],Brudnopis!$E$26:$J$26),0)</f>
        <v>0.15625</v>
      </c>
      <c r="W2058" s="44">
        <f>IF(Mecze[[#This Row],[Role]]&lt;&gt;"BR",SUMPRODUCT(Mecze[[#This Row],[/PR:90]:[/BR:90]],Brudnopis!$E$27:$J$27),0)</f>
        <v>0.171875</v>
      </c>
      <c r="X2058" s="44">
        <f>IF(Mecze[[#This Row],[Role]]&lt;&gt;"BR",SUMPRODUCT(Mecze[[#This Row],[/PR:90]:[/BR:90]],Brudnopis!$E$28:$J$28),0)</f>
        <v>7.2916666666666671E-2</v>
      </c>
      <c r="Y2058" s="35">
        <f>IF(Mecze[[#This Row],[Role]]="BR",Mecze[[#This Row],[/OB:90]]+Mecze[[#This Row],[/PC:90]],SUM(Mecze[[#This Row],[/PR:90]:[/BR:90]]))</f>
        <v>0.15625</v>
      </c>
      <c r="Z2058" s="35">
        <f>IF(Mecze[[#This Row],[KC]]=0,SUM(Mecze[[#This Row],[/BRI]:[/NPI]]),SUM(Mecze[[#This Row],[/BRI]:[/NPI]])*0.6)</f>
        <v>0.75520833333333337</v>
      </c>
      <c r="AA2058" s="10">
        <f>IFERROR(Mecze[[#This Row],[BR]]/Mecze[[#This Row],[ST]],0)</f>
        <v>0</v>
      </c>
      <c r="AB2058">
        <f>ROUND(Mecze[[#This Row],[PD]]*Mecze[[#This Row],[%PC]],0)</f>
        <v>7</v>
      </c>
      <c r="AC2058">
        <f>ROUND(Mecze[[#This Row],[OD]]*Mecze[[#This Row],[%OU]],0)</f>
        <v>1</v>
      </c>
      <c r="AD2058" s="36" t="s">
        <v>41</v>
      </c>
      <c r="AE2058" s="36">
        <v>114</v>
      </c>
      <c r="AF2058" s="71">
        <v>9.7200000000000006</v>
      </c>
      <c r="AG2058" s="37">
        <v>0</v>
      </c>
      <c r="AH2058" s="37">
        <v>0</v>
      </c>
      <c r="AI2058" s="37">
        <v>96</v>
      </c>
      <c r="AJ2058" s="37">
        <v>1</v>
      </c>
      <c r="AK2058" s="37" t="str">
        <f>VLOOKUP(Mecze[[#This Row],[Match ID]],Meczusie[Mecz]:Meczusie[RodzajMeczu],2,FALSE)</f>
        <v>Towarzyski</v>
      </c>
    </row>
    <row r="2059" spans="1:37" x14ac:dyDescent="0.25">
      <c r="A2059" s="76">
        <v>59</v>
      </c>
      <c r="B2059" s="3" t="s">
        <v>455</v>
      </c>
      <c r="C2059" s="2" t="s">
        <v>160</v>
      </c>
      <c r="D2059" s="1">
        <v>1</v>
      </c>
      <c r="E2059" s="1">
        <v>1</v>
      </c>
      <c r="F2059" s="1">
        <v>1</v>
      </c>
      <c r="G2059" s="1">
        <v>3</v>
      </c>
      <c r="H2059" s="4">
        <v>0.67</v>
      </c>
      <c r="I2059" s="1">
        <v>1</v>
      </c>
      <c r="J2059" s="4">
        <v>1</v>
      </c>
      <c r="K2059" s="1">
        <v>0</v>
      </c>
      <c r="L2059" s="1">
        <v>3</v>
      </c>
      <c r="M2059" s="32">
        <f>IF(Mecze[[#This Row],[PR]]=0,0,Mecze[[#This Row],[PR]]/Mecze[[#This Row],[CZAS]])</f>
        <v>3.125E-2</v>
      </c>
      <c r="N2059" s="32">
        <f>IF(Mecze[[#This Row],[OU]]=0,0,Mecze[[#This Row],[OU]]/Mecze[[#This Row],[CZAS]])</f>
        <v>1.0416666666666666E-2</v>
      </c>
      <c r="O2059" s="32">
        <f>IF(Mecze[[#This Row],[PC]]=0,0,Mecze[[#This Row],[PC]]/Mecze[[#This Row],[CZAS]])</f>
        <v>2.0833333333333332E-2</v>
      </c>
      <c r="P2059" s="32">
        <f>IF(Mecze[[#This Row],[SC]]=0,0,Mecze[[#This Row],[SC]]/Mecze[[#This Row],[CZAS]])</f>
        <v>1.0416666666666666E-2</v>
      </c>
      <c r="Q2059" s="32">
        <f>IF(Mecze[[#This Row],[OB]]=0,0,Mecze[[#This Row],[OB]]/Mecze[[#This Row],[CZAS]])</f>
        <v>0</v>
      </c>
      <c r="R2059" s="32">
        <f>IF(Mecze[[#This Row],[BR]]=0,0,Mecze[[#This Row],[BR]]/Mecze[[#This Row],[CZAS]])</f>
        <v>1.0416666666666666E-2</v>
      </c>
      <c r="S2059" s="44">
        <f>IF(Mecze[[#This Row],[Role]]="BR",SUMPRODUCT(Mecze[[#This Row],[/PR:90]:[/BR:90]],Brudnopis!$E$23:$J$23),0)</f>
        <v>0</v>
      </c>
      <c r="T2059" s="44">
        <f>IF(Mecze[[#This Row],[Role]]&lt;&gt;"BR",SUMPRODUCT(Mecze[[#This Row],[/PR:90]:[/BR:90]],Brudnopis!$E$24:$J$24),0)</f>
        <v>9.375E-2</v>
      </c>
      <c r="U2059" s="44">
        <f>IF(Mecze[[#This Row],[Role]]&lt;&gt;"BR",SUMPRODUCT(Mecze[[#This Row],[/PR:90]:[/BR:90]],Brudnopis!$E$25:$J$25),0)</f>
        <v>9.8958333333333329E-2</v>
      </c>
      <c r="V2059" s="44">
        <f>IF(Mecze[[#This Row],[Role]]&lt;&gt;"BR",SUMPRODUCT(Mecze[[#This Row],[/PR:90]:[/BR:90]],Brudnopis!$E$26:$J$26),0)</f>
        <v>9.375E-2</v>
      </c>
      <c r="W2059" s="44">
        <f>IF(Mecze[[#This Row],[Role]]&lt;&gt;"BR",SUMPRODUCT(Mecze[[#This Row],[/PR:90]:[/BR:90]],Brudnopis!$E$27:$J$27),0)</f>
        <v>9.375E-2</v>
      </c>
      <c r="X2059" s="44">
        <f>IF(Mecze[[#This Row],[Role]]&lt;&gt;"BR",SUMPRODUCT(Mecze[[#This Row],[/PR:90]:[/BR:90]],Brudnopis!$E$28:$J$28),0)</f>
        <v>7.2916666666666657E-2</v>
      </c>
      <c r="Y2059" s="35">
        <f>IF(Mecze[[#This Row],[Role]]="BR",Mecze[[#This Row],[/OB:90]]+Mecze[[#This Row],[/PC:90]],SUM(Mecze[[#This Row],[/PR:90]:[/BR:90]]))</f>
        <v>8.3333333333333343E-2</v>
      </c>
      <c r="Z2059" s="35">
        <f>IF(Mecze[[#This Row],[KC]]=0,SUM(Mecze[[#This Row],[/BRI]:[/NPI]]),SUM(Mecze[[#This Row],[/BRI]:[/NPI]])*0.6)</f>
        <v>0.453125</v>
      </c>
      <c r="AA2059" s="10">
        <f>IFERROR(Mecze[[#This Row],[BR]]/Mecze[[#This Row],[ST]],0)</f>
        <v>1</v>
      </c>
      <c r="AB2059">
        <f>ROUND(Mecze[[#This Row],[PD]]*Mecze[[#This Row],[%PC]],0)</f>
        <v>2</v>
      </c>
      <c r="AC2059">
        <f>ROUND(Mecze[[#This Row],[OD]]*Mecze[[#This Row],[%OU]],0)</f>
        <v>1</v>
      </c>
      <c r="AD2059" s="36" t="s">
        <v>44</v>
      </c>
      <c r="AE2059" s="36">
        <v>114</v>
      </c>
      <c r="AF2059" s="71">
        <v>10.01</v>
      </c>
      <c r="AG2059" s="37">
        <v>0</v>
      </c>
      <c r="AH2059" s="37">
        <v>0</v>
      </c>
      <c r="AI2059" s="37">
        <v>96</v>
      </c>
      <c r="AJ2059" s="37">
        <v>1</v>
      </c>
      <c r="AK2059" s="37" t="str">
        <f>VLOOKUP(Mecze[[#This Row],[Match ID]],Meczusie[Mecz]:Meczusie[RodzajMeczu],2,FALSE)</f>
        <v>Towarzyski</v>
      </c>
    </row>
    <row r="2060" spans="1:37" x14ac:dyDescent="0.25">
      <c r="A2060" s="76">
        <v>25</v>
      </c>
      <c r="B2060" s="3" t="s">
        <v>366</v>
      </c>
      <c r="C2060" s="2" t="s">
        <v>160</v>
      </c>
      <c r="D2060" s="1">
        <v>0</v>
      </c>
      <c r="E2060" s="1">
        <v>3</v>
      </c>
      <c r="F2060" s="1">
        <v>2</v>
      </c>
      <c r="G2060" s="1">
        <v>6</v>
      </c>
      <c r="H2060" s="4">
        <v>0.5</v>
      </c>
      <c r="I2060" s="1">
        <v>2</v>
      </c>
      <c r="J2060" s="4">
        <v>0</v>
      </c>
      <c r="K2060" s="1">
        <v>0</v>
      </c>
      <c r="L2060" s="1">
        <v>2</v>
      </c>
      <c r="M2060" s="32">
        <f>IF(Mecze[[#This Row],[PR]]=0,0,Mecze[[#This Row],[PR]]/Mecze[[#This Row],[CZAS]])</f>
        <v>2.0833333333333332E-2</v>
      </c>
      <c r="N2060" s="32">
        <f>IF(Mecze[[#This Row],[OU]]=0,0,Mecze[[#This Row],[OU]]/Mecze[[#This Row],[CZAS]])</f>
        <v>0</v>
      </c>
      <c r="O2060" s="32">
        <f>IF(Mecze[[#This Row],[PC]]=0,0,Mecze[[#This Row],[PC]]/Mecze[[#This Row],[CZAS]])</f>
        <v>3.125E-2</v>
      </c>
      <c r="P2060" s="32">
        <f>IF(Mecze[[#This Row],[SC]]=0,0,Mecze[[#This Row],[SC]]/Mecze[[#This Row],[CZAS]])</f>
        <v>2.0833333333333332E-2</v>
      </c>
      <c r="Q2060" s="32">
        <f>IF(Mecze[[#This Row],[OB]]=0,0,Mecze[[#This Row],[OB]]/Mecze[[#This Row],[CZAS]])</f>
        <v>0</v>
      </c>
      <c r="R2060" s="32">
        <f>IF(Mecze[[#This Row],[BR]]=0,0,Mecze[[#This Row],[BR]]/Mecze[[#This Row],[CZAS]])</f>
        <v>0</v>
      </c>
      <c r="S2060" s="44">
        <f>IF(Mecze[[#This Row],[Role]]="BR",SUMPRODUCT(Mecze[[#This Row],[/PR:90]:[/BR:90]],Brudnopis!$E$23:$J$23),0)</f>
        <v>0</v>
      </c>
      <c r="T2060" s="44">
        <f>IF(Mecze[[#This Row],[Role]]&lt;&gt;"BR",SUMPRODUCT(Mecze[[#This Row],[/PR:90]:[/BR:90]],Brudnopis!$E$24:$J$24),0)</f>
        <v>7.2916666666666657E-2</v>
      </c>
      <c r="U2060" s="44">
        <f>IF(Mecze[[#This Row],[Role]]&lt;&gt;"BR",SUMPRODUCT(Mecze[[#This Row],[/PR:90]:[/BR:90]],Brudnopis!$E$25:$J$25),0)</f>
        <v>8.8541666666666657E-2</v>
      </c>
      <c r="V2060" s="44">
        <f>IF(Mecze[[#This Row],[Role]]&lt;&gt;"BR",SUMPRODUCT(Mecze[[#This Row],[/PR:90]:[/BR:90]],Brudnopis!$E$26:$J$26),0)</f>
        <v>7.2916666666666657E-2</v>
      </c>
      <c r="W2060" s="44">
        <f>IF(Mecze[[#This Row],[Role]]&lt;&gt;"BR",SUMPRODUCT(Mecze[[#This Row],[/PR:90]:[/BR:90]],Brudnopis!$E$27:$J$27),0)</f>
        <v>8.3333333333333329E-2</v>
      </c>
      <c r="X2060" s="44">
        <f>IF(Mecze[[#This Row],[Role]]&lt;&gt;"BR",SUMPRODUCT(Mecze[[#This Row],[/PR:90]:[/BR:90]],Brudnopis!$E$28:$J$28),0)</f>
        <v>7.2916666666666657E-2</v>
      </c>
      <c r="Y2060" s="35">
        <f>IF(Mecze[[#This Row],[Role]]="BR",Mecze[[#This Row],[/OB:90]]+Mecze[[#This Row],[/PC:90]],SUM(Mecze[[#This Row],[/PR:90]:[/BR:90]]))</f>
        <v>7.2916666666666657E-2</v>
      </c>
      <c r="Z2060" s="35">
        <f>IF(Mecze[[#This Row],[KC]]=0,SUM(Mecze[[#This Row],[/BRI]:[/NPI]]),SUM(Mecze[[#This Row],[/BRI]:[/NPI]])*0.6)</f>
        <v>0.390625</v>
      </c>
      <c r="AA2060" s="10">
        <f>IFERROR(Mecze[[#This Row],[BR]]/Mecze[[#This Row],[ST]],0)</f>
        <v>0</v>
      </c>
      <c r="AB2060">
        <f>ROUND(Mecze[[#This Row],[PD]]*Mecze[[#This Row],[%PC]],0)</f>
        <v>3</v>
      </c>
      <c r="AC2060">
        <f>ROUND(Mecze[[#This Row],[OD]]*Mecze[[#This Row],[%OU]],0)</f>
        <v>0</v>
      </c>
      <c r="AD2060" s="36" t="s">
        <v>44</v>
      </c>
      <c r="AE2060" s="36">
        <v>114</v>
      </c>
      <c r="AF2060" s="71">
        <v>9.1300000000000008</v>
      </c>
      <c r="AG2060" s="37">
        <v>0</v>
      </c>
      <c r="AH2060" s="37">
        <v>0</v>
      </c>
      <c r="AI2060" s="37">
        <v>96</v>
      </c>
      <c r="AJ2060" s="37">
        <v>1</v>
      </c>
      <c r="AK2060" s="37" t="str">
        <f>VLOOKUP(Mecze[[#This Row],[Match ID]],Meczusie[Mecz]:Meczusie[RodzajMeczu],2,FALSE)</f>
        <v>Towarzyski</v>
      </c>
    </row>
    <row r="2061" spans="1:37" x14ac:dyDescent="0.25">
      <c r="A2061" s="76">
        <v>27</v>
      </c>
      <c r="B2061" s="3" t="s">
        <v>364</v>
      </c>
      <c r="C2061" s="2" t="s">
        <v>165</v>
      </c>
      <c r="D2061" s="1">
        <v>0</v>
      </c>
      <c r="E2061" s="1">
        <v>5</v>
      </c>
      <c r="F2061" s="1">
        <v>5</v>
      </c>
      <c r="G2061" s="1">
        <v>15</v>
      </c>
      <c r="H2061" s="4">
        <v>0.67</v>
      </c>
      <c r="I2061" s="1">
        <v>7</v>
      </c>
      <c r="J2061" s="4">
        <v>0.56999999999999995</v>
      </c>
      <c r="K2061" s="1">
        <v>0</v>
      </c>
      <c r="L2061" s="1">
        <v>5</v>
      </c>
      <c r="M2061" s="32">
        <f>IF(Mecze[[#This Row],[PR]]=0,0,Mecze[[#This Row],[PR]]/Mecze[[#This Row],[CZAS]])</f>
        <v>5.2083333333333336E-2</v>
      </c>
      <c r="N2061" s="32">
        <f>IF(Mecze[[#This Row],[OU]]=0,0,Mecze[[#This Row],[OU]]/Mecze[[#This Row],[CZAS]])</f>
        <v>4.1666666666666664E-2</v>
      </c>
      <c r="O2061" s="32">
        <f>IF(Mecze[[#This Row],[PC]]=0,0,Mecze[[#This Row],[PC]]/Mecze[[#This Row],[CZAS]])</f>
        <v>0.10416666666666667</v>
      </c>
      <c r="P2061" s="32">
        <f>IF(Mecze[[#This Row],[SC]]=0,0,Mecze[[#This Row],[SC]]/Mecze[[#This Row],[CZAS]])</f>
        <v>5.2083333333333336E-2</v>
      </c>
      <c r="Q2061" s="32">
        <f>IF(Mecze[[#This Row],[OB]]=0,0,Mecze[[#This Row],[OB]]/Mecze[[#This Row],[CZAS]])</f>
        <v>0</v>
      </c>
      <c r="R2061" s="32">
        <f>IF(Mecze[[#This Row],[BR]]=0,0,Mecze[[#This Row],[BR]]/Mecze[[#This Row],[CZAS]])</f>
        <v>0</v>
      </c>
      <c r="S2061" s="44">
        <f>IF(Mecze[[#This Row],[Role]]="BR",SUMPRODUCT(Mecze[[#This Row],[/PR:90]:[/BR:90]],Brudnopis!$E$23:$J$23),0)</f>
        <v>0</v>
      </c>
      <c r="T2061" s="44">
        <f>IF(Mecze[[#This Row],[Role]]&lt;&gt;"BR",SUMPRODUCT(Mecze[[#This Row],[/PR:90]:[/BR:90]],Brudnopis!$E$24:$J$24),0)</f>
        <v>0.27083333333333331</v>
      </c>
      <c r="U2061" s="44">
        <f>IF(Mecze[[#This Row],[Role]]&lt;&gt;"BR",SUMPRODUCT(Mecze[[#This Row],[/PR:90]:[/BR:90]],Brudnopis!$E$25:$J$25),0)</f>
        <v>0.30208333333333331</v>
      </c>
      <c r="V2061" s="44">
        <f>IF(Mecze[[#This Row],[Role]]&lt;&gt;"BR",SUMPRODUCT(Mecze[[#This Row],[/PR:90]:[/BR:90]],Brudnopis!$E$26:$J$26),0)</f>
        <v>0.25</v>
      </c>
      <c r="W2061" s="44">
        <f>IF(Mecze[[#This Row],[Role]]&lt;&gt;"BR",SUMPRODUCT(Mecze[[#This Row],[/PR:90]:[/BR:90]],Brudnopis!$E$27:$J$27),0)</f>
        <v>0.27864583333333331</v>
      </c>
      <c r="X2061" s="44">
        <f>IF(Mecze[[#This Row],[Role]]&lt;&gt;"BR",SUMPRODUCT(Mecze[[#This Row],[/PR:90]:[/BR:90]],Brudnopis!$E$28:$J$28),0)</f>
        <v>0.20833333333333334</v>
      </c>
      <c r="Y2061" s="35">
        <f>IF(Mecze[[#This Row],[Role]]="BR",Mecze[[#This Row],[/OB:90]]+Mecze[[#This Row],[/PC:90]],SUM(Mecze[[#This Row],[/PR:90]:[/BR:90]]))</f>
        <v>0.25</v>
      </c>
      <c r="Z2061" s="35">
        <f>IF(Mecze[[#This Row],[KC]]=0,SUM(Mecze[[#This Row],[/BRI]:[/NPI]]),SUM(Mecze[[#This Row],[/BRI]:[/NPI]])*0.6)</f>
        <v>1.3098958333333333</v>
      </c>
      <c r="AA2061" s="10">
        <f>IFERROR(Mecze[[#This Row],[BR]]/Mecze[[#This Row],[ST]],0)</f>
        <v>0</v>
      </c>
      <c r="AB2061">
        <f>ROUND(Mecze[[#This Row],[PD]]*Mecze[[#This Row],[%PC]],0)</f>
        <v>10</v>
      </c>
      <c r="AC2061">
        <f>ROUND(Mecze[[#This Row],[OD]]*Mecze[[#This Row],[%OU]],0)</f>
        <v>4</v>
      </c>
      <c r="AD2061" s="36" t="s">
        <v>46</v>
      </c>
      <c r="AE2061" s="36">
        <v>114</v>
      </c>
      <c r="AF2061" s="71">
        <v>5.25</v>
      </c>
      <c r="AG2061" s="37">
        <v>1</v>
      </c>
      <c r="AH2061" s="37">
        <v>0</v>
      </c>
      <c r="AI2061" s="37">
        <v>96</v>
      </c>
      <c r="AJ2061" s="37">
        <v>1</v>
      </c>
      <c r="AK2061" s="37" t="str">
        <f>VLOOKUP(Mecze[[#This Row],[Match ID]],Meczusie[Mecz]:Meczusie[RodzajMeczu],2,FALSE)</f>
        <v>Towarzyski</v>
      </c>
    </row>
    <row r="2062" spans="1:37" x14ac:dyDescent="0.25">
      <c r="A2062" s="76">
        <v>61</v>
      </c>
      <c r="B2062" s="3" t="s">
        <v>454</v>
      </c>
      <c r="C2062" s="2" t="s">
        <v>165</v>
      </c>
      <c r="D2062" s="1">
        <v>0</v>
      </c>
      <c r="E2062" s="1">
        <v>5</v>
      </c>
      <c r="F2062" s="1">
        <v>2</v>
      </c>
      <c r="G2062" s="1">
        <v>7</v>
      </c>
      <c r="H2062" s="4">
        <v>0.43</v>
      </c>
      <c r="I2062" s="1">
        <v>5</v>
      </c>
      <c r="J2062" s="4">
        <v>0</v>
      </c>
      <c r="K2062" s="1">
        <v>0</v>
      </c>
      <c r="L2062" s="1">
        <v>0</v>
      </c>
      <c r="M2062" s="32">
        <f>IF(Mecze[[#This Row],[PR]]=0,0,Mecze[[#This Row],[PR]]/Mecze[[#This Row],[CZAS]])</f>
        <v>0</v>
      </c>
      <c r="N2062" s="32">
        <f>IF(Mecze[[#This Row],[OU]]=0,0,Mecze[[#This Row],[OU]]/Mecze[[#This Row],[CZAS]])</f>
        <v>0</v>
      </c>
      <c r="O2062" s="32">
        <f>IF(Mecze[[#This Row],[PC]]=0,0,Mecze[[#This Row],[PC]]/Mecze[[#This Row],[CZAS]])</f>
        <v>3.125E-2</v>
      </c>
      <c r="P2062" s="32">
        <f>IF(Mecze[[#This Row],[SC]]=0,0,Mecze[[#This Row],[SC]]/Mecze[[#This Row],[CZAS]])</f>
        <v>2.0833333333333332E-2</v>
      </c>
      <c r="Q2062" s="32">
        <f>IF(Mecze[[#This Row],[OB]]=0,0,Mecze[[#This Row],[OB]]/Mecze[[#This Row],[CZAS]])</f>
        <v>0</v>
      </c>
      <c r="R2062" s="32">
        <f>IF(Mecze[[#This Row],[BR]]=0,0,Mecze[[#This Row],[BR]]/Mecze[[#This Row],[CZAS]])</f>
        <v>0</v>
      </c>
      <c r="S2062" s="44">
        <f>IF(Mecze[[#This Row],[Role]]="BR",SUMPRODUCT(Mecze[[#This Row],[/PR:90]:[/BR:90]],Brudnopis!$E$23:$J$23),0)</f>
        <v>0</v>
      </c>
      <c r="T2062" s="44">
        <f>IF(Mecze[[#This Row],[Role]]&lt;&gt;"BR",SUMPRODUCT(Mecze[[#This Row],[/PR:90]:[/BR:90]],Brudnopis!$E$24:$J$24),0)</f>
        <v>5.2083333333333329E-2</v>
      </c>
      <c r="U2062" s="44">
        <f>IF(Mecze[[#This Row],[Role]]&lt;&gt;"BR",SUMPRODUCT(Mecze[[#This Row],[/PR:90]:[/BR:90]],Brudnopis!$E$25:$J$25),0)</f>
        <v>6.7708333333333329E-2</v>
      </c>
      <c r="V2062" s="44">
        <f>IF(Mecze[[#This Row],[Role]]&lt;&gt;"BR",SUMPRODUCT(Mecze[[#This Row],[/PR:90]:[/BR:90]],Brudnopis!$E$26:$J$26),0)</f>
        <v>5.2083333333333329E-2</v>
      </c>
      <c r="W2062" s="44">
        <f>IF(Mecze[[#This Row],[Role]]&lt;&gt;"BR",SUMPRODUCT(Mecze[[#This Row],[/PR:90]:[/BR:90]],Brudnopis!$E$27:$J$27),0)</f>
        <v>6.7708333333333329E-2</v>
      </c>
      <c r="X2062" s="44">
        <f>IF(Mecze[[#This Row],[Role]]&lt;&gt;"BR",SUMPRODUCT(Mecze[[#This Row],[/PR:90]:[/BR:90]],Brudnopis!$E$28:$J$28),0)</f>
        <v>7.2916666666666657E-2</v>
      </c>
      <c r="Y2062" s="35">
        <f>IF(Mecze[[#This Row],[Role]]="BR",Mecze[[#This Row],[/OB:90]]+Mecze[[#This Row],[/PC:90]],SUM(Mecze[[#This Row],[/PR:90]:[/BR:90]]))</f>
        <v>5.2083333333333329E-2</v>
      </c>
      <c r="Z2062" s="35">
        <f>IF(Mecze[[#This Row],[KC]]=0,SUM(Mecze[[#This Row],[/BRI]:[/NPI]]),SUM(Mecze[[#This Row],[/BRI]:[/NPI]])*0.6)</f>
        <v>0.3125</v>
      </c>
      <c r="AA2062" s="10">
        <f>IFERROR(Mecze[[#This Row],[BR]]/Mecze[[#This Row],[ST]],0)</f>
        <v>0</v>
      </c>
      <c r="AB2062">
        <f>ROUND(Mecze[[#This Row],[PD]]*Mecze[[#This Row],[%PC]],0)</f>
        <v>3</v>
      </c>
      <c r="AC2062">
        <f>ROUND(Mecze[[#This Row],[OD]]*Mecze[[#This Row],[%OU]],0)</f>
        <v>0</v>
      </c>
      <c r="AD2062" s="36" t="s">
        <v>46</v>
      </c>
      <c r="AE2062" s="36">
        <v>114</v>
      </c>
      <c r="AF2062" s="71">
        <v>4.37</v>
      </c>
      <c r="AG2062" s="37">
        <v>0</v>
      </c>
      <c r="AH2062" s="37">
        <v>0</v>
      </c>
      <c r="AI2062" s="37">
        <v>96</v>
      </c>
      <c r="AJ2062" s="37">
        <v>1</v>
      </c>
      <c r="AK2062" s="37" t="str">
        <f>VLOOKUP(Mecze[[#This Row],[Match ID]],Meczusie[Mecz]:Meczusie[RodzajMeczu],2,FALSE)</f>
        <v>Towarzyski</v>
      </c>
    </row>
    <row r="2063" spans="1:37" x14ac:dyDescent="0.25">
      <c r="A2063" s="76">
        <v>31</v>
      </c>
      <c r="B2063" s="3" t="s">
        <v>365</v>
      </c>
      <c r="C2063" s="2" t="s">
        <v>165</v>
      </c>
      <c r="D2063" s="1">
        <v>0</v>
      </c>
      <c r="E2063" s="1">
        <v>6</v>
      </c>
      <c r="F2063" s="1">
        <v>6</v>
      </c>
      <c r="G2063" s="1">
        <v>10</v>
      </c>
      <c r="H2063" s="4">
        <v>0.5</v>
      </c>
      <c r="I2063" s="1">
        <v>2</v>
      </c>
      <c r="J2063" s="4">
        <v>0</v>
      </c>
      <c r="K2063" s="1">
        <v>0</v>
      </c>
      <c r="L2063" s="1">
        <v>0</v>
      </c>
      <c r="M2063" s="32">
        <f>IF(Mecze[[#This Row],[PR]]=0,0,Mecze[[#This Row],[PR]]/Mecze[[#This Row],[CZAS]])</f>
        <v>0</v>
      </c>
      <c r="N2063" s="32">
        <f>IF(Mecze[[#This Row],[OU]]=0,0,Mecze[[#This Row],[OU]]/Mecze[[#This Row],[CZAS]])</f>
        <v>0</v>
      </c>
      <c r="O2063" s="32">
        <f>IF(Mecze[[#This Row],[PC]]=0,0,Mecze[[#This Row],[PC]]/Mecze[[#This Row],[CZAS]])</f>
        <v>5.2083333333333336E-2</v>
      </c>
      <c r="P2063" s="32">
        <f>IF(Mecze[[#This Row],[SC]]=0,0,Mecze[[#This Row],[SC]]/Mecze[[#This Row],[CZAS]])</f>
        <v>6.25E-2</v>
      </c>
      <c r="Q2063" s="32">
        <f>IF(Mecze[[#This Row],[OB]]=0,0,Mecze[[#This Row],[OB]]/Mecze[[#This Row],[CZAS]])</f>
        <v>0</v>
      </c>
      <c r="R2063" s="32">
        <f>IF(Mecze[[#This Row],[BR]]=0,0,Mecze[[#This Row],[BR]]/Mecze[[#This Row],[CZAS]])</f>
        <v>0</v>
      </c>
      <c r="S2063" s="44">
        <f>IF(Mecze[[#This Row],[Role]]="BR",SUMPRODUCT(Mecze[[#This Row],[/PR:90]:[/BR:90]],Brudnopis!$E$23:$J$23),0)</f>
        <v>0</v>
      </c>
      <c r="T2063" s="44">
        <f>IF(Mecze[[#This Row],[Role]]&lt;&gt;"BR",SUMPRODUCT(Mecze[[#This Row],[/PR:90]:[/BR:90]],Brudnopis!$E$24:$J$24),0)</f>
        <v>0.11458333333333334</v>
      </c>
      <c r="U2063" s="44">
        <f>IF(Mecze[[#This Row],[Role]]&lt;&gt;"BR",SUMPRODUCT(Mecze[[#This Row],[/PR:90]:[/BR:90]],Brudnopis!$E$25:$J$25),0)</f>
        <v>0.140625</v>
      </c>
      <c r="V2063" s="44">
        <f>IF(Mecze[[#This Row],[Role]]&lt;&gt;"BR",SUMPRODUCT(Mecze[[#This Row],[/PR:90]:[/BR:90]],Brudnopis!$E$26:$J$26),0)</f>
        <v>0.11458333333333334</v>
      </c>
      <c r="W2063" s="44">
        <f>IF(Mecze[[#This Row],[Role]]&lt;&gt;"BR",SUMPRODUCT(Mecze[[#This Row],[/PR:90]:[/BR:90]],Brudnopis!$E$27:$J$27),0)</f>
        <v>0.140625</v>
      </c>
      <c r="X2063" s="44">
        <f>IF(Mecze[[#This Row],[Role]]&lt;&gt;"BR",SUMPRODUCT(Mecze[[#This Row],[/PR:90]:[/BR:90]],Brudnopis!$E$28:$J$28),0)</f>
        <v>0.17708333333333334</v>
      </c>
      <c r="Y2063" s="35">
        <f>IF(Mecze[[#This Row],[Role]]="BR",Mecze[[#This Row],[/OB:90]]+Mecze[[#This Row],[/PC:90]],SUM(Mecze[[#This Row],[/PR:90]:[/BR:90]]))</f>
        <v>0.11458333333333334</v>
      </c>
      <c r="Z2063" s="35">
        <f>IF(Mecze[[#This Row],[KC]]=0,SUM(Mecze[[#This Row],[/BRI]:[/NPI]]),SUM(Mecze[[#This Row],[/BRI]:[/NPI]])*0.6)</f>
        <v>0.68750000000000011</v>
      </c>
      <c r="AA2063" s="10">
        <f>IFERROR(Mecze[[#This Row],[BR]]/Mecze[[#This Row],[ST]],0)</f>
        <v>0</v>
      </c>
      <c r="AB2063">
        <f>ROUND(Mecze[[#This Row],[PD]]*Mecze[[#This Row],[%PC]],0)</f>
        <v>5</v>
      </c>
      <c r="AC2063">
        <f>ROUND(Mecze[[#This Row],[OD]]*Mecze[[#This Row],[%OU]],0)</f>
        <v>0</v>
      </c>
      <c r="AD2063" s="36" t="s">
        <v>46</v>
      </c>
      <c r="AE2063" s="36">
        <v>114</v>
      </c>
      <c r="AF2063" s="71">
        <v>6.58</v>
      </c>
      <c r="AG2063" s="37">
        <v>0</v>
      </c>
      <c r="AH2063" s="37">
        <v>0</v>
      </c>
      <c r="AI2063" s="37">
        <v>96</v>
      </c>
      <c r="AJ2063" s="37">
        <v>1</v>
      </c>
      <c r="AK2063" s="37" t="str">
        <f>VLOOKUP(Mecze[[#This Row],[Match ID]],Meczusie[Mecz]:Meczusie[RodzajMeczu],2,FALSE)</f>
        <v>Towarzyski</v>
      </c>
    </row>
    <row r="2064" spans="1:37" x14ac:dyDescent="0.25">
      <c r="A2064" s="76">
        <v>39</v>
      </c>
      <c r="B2064" s="3" t="s">
        <v>450</v>
      </c>
      <c r="C2064" s="2" t="s">
        <v>155</v>
      </c>
      <c r="D2064" s="1">
        <v>0</v>
      </c>
      <c r="E2064" s="1">
        <v>0</v>
      </c>
      <c r="F2064" s="1">
        <v>0</v>
      </c>
      <c r="G2064" s="1">
        <v>4</v>
      </c>
      <c r="H2064" s="4">
        <v>0.5</v>
      </c>
      <c r="I2064" s="1">
        <v>0</v>
      </c>
      <c r="J2064" s="4"/>
      <c r="K2064" s="1">
        <v>1</v>
      </c>
      <c r="L2064" s="1">
        <v>0</v>
      </c>
      <c r="M2064" s="32">
        <f>IF(Mecze[[#This Row],[PR]]=0,0,Mecze[[#This Row],[PR]]/Mecze[[#This Row],[CZAS]])</f>
        <v>0</v>
      </c>
      <c r="N2064" s="32">
        <f>IF(Mecze[[#This Row],[OU]]=0,0,Mecze[[#This Row],[OU]]/Mecze[[#This Row],[CZAS]])</f>
        <v>0</v>
      </c>
      <c r="O2064" s="32">
        <f>IF(Mecze[[#This Row],[PC]]=0,0,Mecze[[#This Row],[PC]]/Mecze[[#This Row],[CZAS]])</f>
        <v>2.1052631578947368E-2</v>
      </c>
      <c r="P2064" s="32">
        <f>IF(Mecze[[#This Row],[SC]]=0,0,Mecze[[#This Row],[SC]]/Mecze[[#This Row],[CZAS]])</f>
        <v>0</v>
      </c>
      <c r="Q2064" s="32">
        <f>IF(Mecze[[#This Row],[OB]]=0,0,Mecze[[#This Row],[OB]]/Mecze[[#This Row],[CZAS]])</f>
        <v>1.0526315789473684E-2</v>
      </c>
      <c r="R2064" s="32">
        <f>IF(Mecze[[#This Row],[BR]]=0,0,Mecze[[#This Row],[BR]]/Mecze[[#This Row],[CZAS]])</f>
        <v>0</v>
      </c>
      <c r="S2064" s="44">
        <f>IF(Mecze[[#This Row],[Role]]="BR",SUMPRODUCT(Mecze[[#This Row],[/PR:90]:[/BR:90]],Brudnopis!$E$23:$J$23),0)</f>
        <v>9.4736842105263161E-2</v>
      </c>
      <c r="T2064" s="44">
        <f>IF(Mecze[[#This Row],[Role]]&lt;&gt;"BR",SUMPRODUCT(Mecze[[#This Row],[/PR:90]:[/BR:90]],Brudnopis!$E$24:$J$24),0)</f>
        <v>0</v>
      </c>
      <c r="U2064" s="44">
        <f>IF(Mecze[[#This Row],[Role]]&lt;&gt;"BR",SUMPRODUCT(Mecze[[#This Row],[/PR:90]:[/BR:90]],Brudnopis!$E$25:$J$25),0)</f>
        <v>0</v>
      </c>
      <c r="V2064" s="44">
        <f>IF(Mecze[[#This Row],[Role]]&lt;&gt;"BR",SUMPRODUCT(Mecze[[#This Row],[/PR:90]:[/BR:90]],Brudnopis!$E$26:$J$26),0)</f>
        <v>0</v>
      </c>
      <c r="W2064" s="44">
        <f>IF(Mecze[[#This Row],[Role]]&lt;&gt;"BR",SUMPRODUCT(Mecze[[#This Row],[/PR:90]:[/BR:90]],Brudnopis!$E$27:$J$27),0)</f>
        <v>0</v>
      </c>
      <c r="X2064" s="44">
        <f>IF(Mecze[[#This Row],[Role]]&lt;&gt;"BR",SUMPRODUCT(Mecze[[#This Row],[/PR:90]:[/BR:90]],Brudnopis!$E$28:$J$28),0)</f>
        <v>0</v>
      </c>
      <c r="Y2064" s="35">
        <f>IF(Mecze[[#This Row],[Role]]="BR",Mecze[[#This Row],[/OB:90]]+Mecze[[#This Row],[/PC:90]],SUM(Mecze[[#This Row],[/PR:90]:[/BR:90]]))</f>
        <v>3.1578947368421054E-2</v>
      </c>
      <c r="Z2064" s="35">
        <f>IF(Mecze[[#This Row],[KC]]=0,SUM(Mecze[[#This Row],[/BRI]:[/NPI]]),SUM(Mecze[[#This Row],[/BRI]:[/NPI]])*0.6)</f>
        <v>9.4736842105263161E-2</v>
      </c>
      <c r="AA2064" s="10">
        <f>IFERROR(Mecze[[#This Row],[BR]]/Mecze[[#This Row],[ST]],0)</f>
        <v>0</v>
      </c>
      <c r="AB2064">
        <f>ROUND(Mecze[[#This Row],[PD]]*Mecze[[#This Row],[%PC]],0)</f>
        <v>2</v>
      </c>
      <c r="AC2064">
        <f>ROUND(Mecze[[#This Row],[OD]]*Mecze[[#This Row],[%OU]],0)</f>
        <v>0</v>
      </c>
      <c r="AD2064" s="36" t="s">
        <v>40</v>
      </c>
      <c r="AE2064" s="36">
        <v>115</v>
      </c>
      <c r="AF2064" s="71">
        <v>4.2699999999999996</v>
      </c>
      <c r="AG2064" s="37">
        <v>0</v>
      </c>
      <c r="AH2064" s="37">
        <v>0</v>
      </c>
      <c r="AI2064" s="37">
        <v>95</v>
      </c>
      <c r="AJ2064" s="37">
        <v>1</v>
      </c>
      <c r="AK2064" s="37" t="str">
        <f>VLOOKUP(Mecze[[#This Row],[Match ID]],Meczusie[Mecz]:Meczusie[RodzajMeczu],2,FALSE)</f>
        <v>Towarzyski</v>
      </c>
    </row>
    <row r="2065" spans="1:37" x14ac:dyDescent="0.25">
      <c r="A2065" s="76">
        <v>38</v>
      </c>
      <c r="B2065" s="3" t="s">
        <v>359</v>
      </c>
      <c r="C2065" s="2" t="s">
        <v>157</v>
      </c>
      <c r="D2065" s="1">
        <v>0</v>
      </c>
      <c r="E2065" s="1">
        <v>0</v>
      </c>
      <c r="F2065" s="1">
        <v>0</v>
      </c>
      <c r="G2065" s="1">
        <v>3</v>
      </c>
      <c r="H2065" s="4">
        <v>1</v>
      </c>
      <c r="I2065" s="1">
        <v>5</v>
      </c>
      <c r="J2065" s="4">
        <v>0.6</v>
      </c>
      <c r="K2065" s="1">
        <v>0</v>
      </c>
      <c r="L2065" s="1">
        <v>4</v>
      </c>
      <c r="M2065" s="32">
        <f>IF(Mecze[[#This Row],[PR]]=0,0,Mecze[[#This Row],[PR]]/Mecze[[#This Row],[CZAS]])</f>
        <v>4.2105263157894736E-2</v>
      </c>
      <c r="N2065" s="32">
        <f>IF(Mecze[[#This Row],[OU]]=0,0,Mecze[[#This Row],[OU]]/Mecze[[#This Row],[CZAS]])</f>
        <v>3.1578947368421054E-2</v>
      </c>
      <c r="O2065" s="32">
        <f>IF(Mecze[[#This Row],[PC]]=0,0,Mecze[[#This Row],[PC]]/Mecze[[#This Row],[CZAS]])</f>
        <v>3.1578947368421054E-2</v>
      </c>
      <c r="P2065" s="32">
        <f>IF(Mecze[[#This Row],[SC]]=0,0,Mecze[[#This Row],[SC]]/Mecze[[#This Row],[CZAS]])</f>
        <v>0</v>
      </c>
      <c r="Q2065" s="32">
        <f>IF(Mecze[[#This Row],[OB]]=0,0,Mecze[[#This Row],[OB]]/Mecze[[#This Row],[CZAS]])</f>
        <v>0</v>
      </c>
      <c r="R2065" s="32">
        <f>IF(Mecze[[#This Row],[BR]]=0,0,Mecze[[#This Row],[BR]]/Mecze[[#This Row],[CZAS]])</f>
        <v>0</v>
      </c>
      <c r="S2065" s="44">
        <f>IF(Mecze[[#This Row],[Role]]="BR",SUMPRODUCT(Mecze[[#This Row],[/PR:90]:[/BR:90]],Brudnopis!$E$23:$J$23),0)</f>
        <v>0</v>
      </c>
      <c r="T2065" s="44">
        <f>IF(Mecze[[#This Row],[Role]]&lt;&gt;"BR",SUMPRODUCT(Mecze[[#This Row],[/PR:90]:[/BR:90]],Brudnopis!$E$24:$J$24),0)</f>
        <v>0.12105263157894737</v>
      </c>
      <c r="U2065" s="44">
        <f>IF(Mecze[[#This Row],[Role]]&lt;&gt;"BR",SUMPRODUCT(Mecze[[#This Row],[/PR:90]:[/BR:90]],Brudnopis!$E$25:$J$25),0)</f>
        <v>0.12105263157894738</v>
      </c>
      <c r="V2065" s="44">
        <f>IF(Mecze[[#This Row],[Role]]&lt;&gt;"BR",SUMPRODUCT(Mecze[[#This Row],[/PR:90]:[/BR:90]],Brudnopis!$E$26:$J$26),0)</f>
        <v>0.10526315789473685</v>
      </c>
      <c r="W2065" s="44">
        <f>IF(Mecze[[#This Row],[Role]]&lt;&gt;"BR",SUMPRODUCT(Mecze[[#This Row],[/PR:90]:[/BR:90]],Brudnopis!$E$27:$J$27),0)</f>
        <v>0.10263157894736843</v>
      </c>
      <c r="X2065" s="44">
        <f>IF(Mecze[[#This Row],[Role]]&lt;&gt;"BR",SUMPRODUCT(Mecze[[#This Row],[/PR:90]:[/BR:90]],Brudnopis!$E$28:$J$28),0)</f>
        <v>3.1578947368421054E-2</v>
      </c>
      <c r="Y2065" s="35">
        <f>IF(Mecze[[#This Row],[Role]]="BR",Mecze[[#This Row],[/OB:90]]+Mecze[[#This Row],[/PC:90]],SUM(Mecze[[#This Row],[/PR:90]:[/BR:90]]))</f>
        <v>0.10526315789473685</v>
      </c>
      <c r="Z2065" s="35">
        <f>IF(Mecze[[#This Row],[KC]]=0,SUM(Mecze[[#This Row],[/BRI]:[/NPI]]),SUM(Mecze[[#This Row],[/BRI]:[/NPI]])*0.6)</f>
        <v>0.48157894736842111</v>
      </c>
      <c r="AA2065" s="10">
        <f>IFERROR(Mecze[[#This Row],[BR]]/Mecze[[#This Row],[ST]],0)</f>
        <v>0</v>
      </c>
      <c r="AB2065">
        <f>ROUND(Mecze[[#This Row],[PD]]*Mecze[[#This Row],[%PC]],0)</f>
        <v>3</v>
      </c>
      <c r="AC2065">
        <f>ROUND(Mecze[[#This Row],[OD]]*Mecze[[#This Row],[%OU]],0)</f>
        <v>3</v>
      </c>
      <c r="AD2065" s="36" t="s">
        <v>47</v>
      </c>
      <c r="AE2065" s="36">
        <v>115</v>
      </c>
      <c r="AF2065" s="71">
        <v>5.88</v>
      </c>
      <c r="AG2065" s="37">
        <v>0</v>
      </c>
      <c r="AH2065" s="37">
        <v>0</v>
      </c>
      <c r="AI2065" s="37">
        <v>95</v>
      </c>
      <c r="AJ2065" s="37">
        <v>1</v>
      </c>
      <c r="AK2065" s="37" t="str">
        <f>VLOOKUP(Mecze[[#This Row],[Match ID]],Meczusie[Mecz]:Meczusie[RodzajMeczu],2,FALSE)</f>
        <v>Towarzyski</v>
      </c>
    </row>
    <row r="2066" spans="1:37" x14ac:dyDescent="0.25">
      <c r="A2066" s="76">
        <v>17</v>
      </c>
      <c r="B2066" s="3" t="s">
        <v>413</v>
      </c>
      <c r="C2066" s="2" t="s">
        <v>157</v>
      </c>
      <c r="D2066" s="1">
        <v>0</v>
      </c>
      <c r="E2066" s="1">
        <v>0</v>
      </c>
      <c r="F2066" s="1">
        <v>0</v>
      </c>
      <c r="G2066" s="1">
        <v>10</v>
      </c>
      <c r="H2066" s="4">
        <v>0.8</v>
      </c>
      <c r="I2066" s="1">
        <v>3</v>
      </c>
      <c r="J2066" s="4">
        <v>0.33</v>
      </c>
      <c r="K2066" s="1">
        <v>0</v>
      </c>
      <c r="L2066" s="1">
        <v>9</v>
      </c>
      <c r="M2066" s="32">
        <f>IF(Mecze[[#This Row],[PR]]=0,0,Mecze[[#This Row],[PR]]/Mecze[[#This Row],[CZAS]])</f>
        <v>9.4736842105263161E-2</v>
      </c>
      <c r="N2066" s="32">
        <f>IF(Mecze[[#This Row],[OU]]=0,0,Mecze[[#This Row],[OU]]/Mecze[[#This Row],[CZAS]])</f>
        <v>1.0526315789473684E-2</v>
      </c>
      <c r="O2066" s="32">
        <f>IF(Mecze[[#This Row],[PC]]=0,0,Mecze[[#This Row],[PC]]/Mecze[[#This Row],[CZAS]])</f>
        <v>8.4210526315789472E-2</v>
      </c>
      <c r="P2066" s="32">
        <f>IF(Mecze[[#This Row],[SC]]=0,0,Mecze[[#This Row],[SC]]/Mecze[[#This Row],[CZAS]])</f>
        <v>0</v>
      </c>
      <c r="Q2066" s="32">
        <f>IF(Mecze[[#This Row],[OB]]=0,0,Mecze[[#This Row],[OB]]/Mecze[[#This Row],[CZAS]])</f>
        <v>0</v>
      </c>
      <c r="R2066" s="32">
        <f>IF(Mecze[[#This Row],[BR]]=0,0,Mecze[[#This Row],[BR]]/Mecze[[#This Row],[CZAS]])</f>
        <v>0</v>
      </c>
      <c r="S2066" s="44">
        <f>IF(Mecze[[#This Row],[Role]]="BR",SUMPRODUCT(Mecze[[#This Row],[/PR:90]:[/BR:90]],Brudnopis!$E$23:$J$23),0)</f>
        <v>0</v>
      </c>
      <c r="T2066" s="44">
        <f>IF(Mecze[[#This Row],[Role]]&lt;&gt;"BR",SUMPRODUCT(Mecze[[#This Row],[/PR:90]:[/BR:90]],Brudnopis!$E$24:$J$24),0)</f>
        <v>0.19473684210526315</v>
      </c>
      <c r="U2066" s="44">
        <f>IF(Mecze[[#This Row],[Role]]&lt;&gt;"BR",SUMPRODUCT(Mecze[[#This Row],[/PR:90]:[/BR:90]],Brudnopis!$E$25:$J$25),0)</f>
        <v>0.23157894736842105</v>
      </c>
      <c r="V2066" s="44">
        <f>IF(Mecze[[#This Row],[Role]]&lt;&gt;"BR",SUMPRODUCT(Mecze[[#This Row],[/PR:90]:[/BR:90]],Brudnopis!$E$26:$J$26),0)</f>
        <v>0.18947368421052632</v>
      </c>
      <c r="W2066" s="44">
        <f>IF(Mecze[[#This Row],[Role]]&lt;&gt;"BR",SUMPRODUCT(Mecze[[#This Row],[/PR:90]:[/BR:90]],Brudnopis!$E$27:$J$27),0)</f>
        <v>0.20526315789473684</v>
      </c>
      <c r="X2066" s="44">
        <f>IF(Mecze[[#This Row],[Role]]&lt;&gt;"BR",SUMPRODUCT(Mecze[[#This Row],[/PR:90]:[/BR:90]],Brudnopis!$E$28:$J$28),0)</f>
        <v>8.4210526315789472E-2</v>
      </c>
      <c r="Y2066" s="35">
        <f>IF(Mecze[[#This Row],[Role]]="BR",Mecze[[#This Row],[/OB:90]]+Mecze[[#This Row],[/PC:90]],SUM(Mecze[[#This Row],[/PR:90]:[/BR:90]]))</f>
        <v>0.18947368421052632</v>
      </c>
      <c r="Z2066" s="35">
        <f>IF(Mecze[[#This Row],[KC]]=0,SUM(Mecze[[#This Row],[/BRI]:[/NPI]]),SUM(Mecze[[#This Row],[/BRI]:[/NPI]])*0.6)</f>
        <v>0.90526315789473688</v>
      </c>
      <c r="AA2066" s="10">
        <f>IFERROR(Mecze[[#This Row],[BR]]/Mecze[[#This Row],[ST]],0)</f>
        <v>0</v>
      </c>
      <c r="AB2066">
        <f>ROUND(Mecze[[#This Row],[PD]]*Mecze[[#This Row],[%PC]],0)</f>
        <v>8</v>
      </c>
      <c r="AC2066">
        <f>ROUND(Mecze[[#This Row],[OD]]*Mecze[[#This Row],[%OU]],0)</f>
        <v>1</v>
      </c>
      <c r="AD2066" s="36" t="s">
        <v>167</v>
      </c>
      <c r="AE2066" s="36">
        <v>115</v>
      </c>
      <c r="AF2066" s="71">
        <v>5.81</v>
      </c>
      <c r="AG2066" s="37">
        <v>0</v>
      </c>
      <c r="AH2066" s="37">
        <v>0</v>
      </c>
      <c r="AI2066" s="37">
        <v>95</v>
      </c>
      <c r="AJ2066" s="37">
        <v>1</v>
      </c>
      <c r="AK2066" s="37" t="str">
        <f>VLOOKUP(Mecze[[#This Row],[Match ID]],Meczusie[Mecz]:Meczusie[RodzajMeczu],2,FALSE)</f>
        <v>Towarzyski</v>
      </c>
    </row>
    <row r="2067" spans="1:37" x14ac:dyDescent="0.25">
      <c r="A2067" s="76">
        <v>4</v>
      </c>
      <c r="B2067" s="3" t="s">
        <v>360</v>
      </c>
      <c r="C2067" s="2" t="s">
        <v>157</v>
      </c>
      <c r="D2067" s="1">
        <v>0</v>
      </c>
      <c r="E2067" s="1">
        <v>0</v>
      </c>
      <c r="F2067" s="1">
        <v>0</v>
      </c>
      <c r="G2067" s="1">
        <v>14</v>
      </c>
      <c r="H2067" s="4">
        <v>0.5</v>
      </c>
      <c r="I2067" s="1">
        <v>3</v>
      </c>
      <c r="J2067" s="4">
        <v>0.67</v>
      </c>
      <c r="K2067" s="1">
        <v>0</v>
      </c>
      <c r="L2067" s="1">
        <v>9</v>
      </c>
      <c r="M2067" s="32">
        <f>IF(Mecze[[#This Row],[PR]]=0,0,Mecze[[#This Row],[PR]]/Mecze[[#This Row],[CZAS]])</f>
        <v>9.4736842105263161E-2</v>
      </c>
      <c r="N2067" s="32">
        <f>IF(Mecze[[#This Row],[OU]]=0,0,Mecze[[#This Row],[OU]]/Mecze[[#This Row],[CZAS]])</f>
        <v>2.1052631578947368E-2</v>
      </c>
      <c r="O2067" s="32">
        <f>IF(Mecze[[#This Row],[PC]]=0,0,Mecze[[#This Row],[PC]]/Mecze[[#This Row],[CZAS]])</f>
        <v>7.3684210526315783E-2</v>
      </c>
      <c r="P2067" s="32">
        <f>IF(Mecze[[#This Row],[SC]]=0,0,Mecze[[#This Row],[SC]]/Mecze[[#This Row],[CZAS]])</f>
        <v>0</v>
      </c>
      <c r="Q2067" s="32">
        <f>IF(Mecze[[#This Row],[OB]]=0,0,Mecze[[#This Row],[OB]]/Mecze[[#This Row],[CZAS]])</f>
        <v>0</v>
      </c>
      <c r="R2067" s="32">
        <f>IF(Mecze[[#This Row],[BR]]=0,0,Mecze[[#This Row],[BR]]/Mecze[[#This Row],[CZAS]])</f>
        <v>0</v>
      </c>
      <c r="S2067" s="44">
        <f>IF(Mecze[[#This Row],[Role]]="BR",SUMPRODUCT(Mecze[[#This Row],[/PR:90]:[/BR:90]],Brudnopis!$E$23:$J$23),0)</f>
        <v>0</v>
      </c>
      <c r="T2067" s="44">
        <f>IF(Mecze[[#This Row],[Role]]&lt;&gt;"BR",SUMPRODUCT(Mecze[[#This Row],[/PR:90]:[/BR:90]],Brudnopis!$E$24:$J$24),0)</f>
        <v>0.2</v>
      </c>
      <c r="U2067" s="44">
        <f>IF(Mecze[[#This Row],[Role]]&lt;&gt;"BR",SUMPRODUCT(Mecze[[#This Row],[/PR:90]:[/BR:90]],Brudnopis!$E$25:$J$25),0)</f>
        <v>0.22631578947368419</v>
      </c>
      <c r="V2067" s="44">
        <f>IF(Mecze[[#This Row],[Role]]&lt;&gt;"BR",SUMPRODUCT(Mecze[[#This Row],[/PR:90]:[/BR:90]],Brudnopis!$E$26:$J$26),0)</f>
        <v>0.18947368421052629</v>
      </c>
      <c r="W2067" s="44">
        <f>IF(Mecze[[#This Row],[Role]]&lt;&gt;"BR",SUMPRODUCT(Mecze[[#This Row],[/PR:90]:[/BR:90]],Brudnopis!$E$27:$J$27),0)</f>
        <v>0.19736842105263155</v>
      </c>
      <c r="X2067" s="44">
        <f>IF(Mecze[[#This Row],[Role]]&lt;&gt;"BR",SUMPRODUCT(Mecze[[#This Row],[/PR:90]:[/BR:90]],Brudnopis!$E$28:$J$28),0)</f>
        <v>7.3684210526315783E-2</v>
      </c>
      <c r="Y2067" s="35">
        <f>IF(Mecze[[#This Row],[Role]]="BR",Mecze[[#This Row],[/OB:90]]+Mecze[[#This Row],[/PC:90]],SUM(Mecze[[#This Row],[/PR:90]:[/BR:90]]))</f>
        <v>0.18947368421052629</v>
      </c>
      <c r="Z2067" s="35">
        <f>IF(Mecze[[#This Row],[KC]]=0,SUM(Mecze[[#This Row],[/BRI]:[/NPI]]),SUM(Mecze[[#This Row],[/BRI]:[/NPI]])*0.6)</f>
        <v>0.88684210526315777</v>
      </c>
      <c r="AA2067" s="10">
        <f>IFERROR(Mecze[[#This Row],[BR]]/Mecze[[#This Row],[ST]],0)</f>
        <v>0</v>
      </c>
      <c r="AB2067">
        <f>ROUND(Mecze[[#This Row],[PD]]*Mecze[[#This Row],[%PC]],0)</f>
        <v>7</v>
      </c>
      <c r="AC2067">
        <f>ROUND(Mecze[[#This Row],[OD]]*Mecze[[#This Row],[%OU]],0)</f>
        <v>2</v>
      </c>
      <c r="AD2067" s="36" t="s">
        <v>168</v>
      </c>
      <c r="AE2067" s="36">
        <v>115</v>
      </c>
      <c r="AF2067" s="71">
        <v>6.93</v>
      </c>
      <c r="AG2067" s="37">
        <v>0</v>
      </c>
      <c r="AH2067" s="37">
        <v>0</v>
      </c>
      <c r="AI2067" s="37">
        <v>95</v>
      </c>
      <c r="AJ2067" s="37">
        <v>1</v>
      </c>
      <c r="AK2067" s="37" t="str">
        <f>VLOOKUP(Mecze[[#This Row],[Match ID]],Meczusie[Mecz]:Meczusie[RodzajMeczu],2,FALSE)</f>
        <v>Towarzyski</v>
      </c>
    </row>
    <row r="2068" spans="1:37" x14ac:dyDescent="0.25">
      <c r="A2068" s="76">
        <v>40</v>
      </c>
      <c r="B2068" s="3" t="s">
        <v>453</v>
      </c>
      <c r="C2068" s="2" t="s">
        <v>160</v>
      </c>
      <c r="D2068" s="1">
        <v>0</v>
      </c>
      <c r="E2068" s="1">
        <v>0</v>
      </c>
      <c r="F2068" s="1">
        <v>0</v>
      </c>
      <c r="G2068" s="1">
        <v>12</v>
      </c>
      <c r="H2068" s="4">
        <v>0.57999999999999996</v>
      </c>
      <c r="I2068" s="1">
        <v>8</v>
      </c>
      <c r="J2068" s="4">
        <v>0.25</v>
      </c>
      <c r="K2068" s="1">
        <v>0</v>
      </c>
      <c r="L2068" s="1">
        <v>5</v>
      </c>
      <c r="M2068" s="32">
        <f>IF(Mecze[[#This Row],[PR]]=0,0,Mecze[[#This Row],[PR]]/Mecze[[#This Row],[CZAS]])</f>
        <v>5.2631578947368418E-2</v>
      </c>
      <c r="N2068" s="32">
        <f>IF(Mecze[[#This Row],[OU]]=0,0,Mecze[[#This Row],[OU]]/Mecze[[#This Row],[CZAS]])</f>
        <v>2.1052631578947368E-2</v>
      </c>
      <c r="O2068" s="32">
        <f>IF(Mecze[[#This Row],[PC]]=0,0,Mecze[[#This Row],[PC]]/Mecze[[#This Row],[CZAS]])</f>
        <v>7.3684210526315783E-2</v>
      </c>
      <c r="P2068" s="32">
        <f>IF(Mecze[[#This Row],[SC]]=0,0,Mecze[[#This Row],[SC]]/Mecze[[#This Row],[CZAS]])</f>
        <v>0</v>
      </c>
      <c r="Q2068" s="32">
        <f>IF(Mecze[[#This Row],[OB]]=0,0,Mecze[[#This Row],[OB]]/Mecze[[#This Row],[CZAS]])</f>
        <v>0</v>
      </c>
      <c r="R2068" s="32">
        <f>IF(Mecze[[#This Row],[BR]]=0,0,Mecze[[#This Row],[BR]]/Mecze[[#This Row],[CZAS]])</f>
        <v>0</v>
      </c>
      <c r="S2068" s="44">
        <f>IF(Mecze[[#This Row],[Role]]="BR",SUMPRODUCT(Mecze[[#This Row],[/PR:90]:[/BR:90]],Brudnopis!$E$23:$J$23),0)</f>
        <v>0</v>
      </c>
      <c r="T2068" s="44">
        <f>IF(Mecze[[#This Row],[Role]]&lt;&gt;"BR",SUMPRODUCT(Mecze[[#This Row],[/PR:90]:[/BR:90]],Brudnopis!$E$24:$J$24),0)</f>
        <v>0.15789473684210525</v>
      </c>
      <c r="U2068" s="44">
        <f>IF(Mecze[[#This Row],[Role]]&lt;&gt;"BR",SUMPRODUCT(Mecze[[#This Row],[/PR:90]:[/BR:90]],Brudnopis!$E$25:$J$25),0)</f>
        <v>0.18421052631578944</v>
      </c>
      <c r="V2068" s="44">
        <f>IF(Mecze[[#This Row],[Role]]&lt;&gt;"BR",SUMPRODUCT(Mecze[[#This Row],[/PR:90]:[/BR:90]],Brudnopis!$E$26:$J$26),0)</f>
        <v>0.14736842105263157</v>
      </c>
      <c r="W2068" s="44">
        <f>IF(Mecze[[#This Row],[Role]]&lt;&gt;"BR",SUMPRODUCT(Mecze[[#This Row],[/PR:90]:[/BR:90]],Brudnopis!$E$27:$J$27),0)</f>
        <v>0.16578947368421051</v>
      </c>
      <c r="X2068" s="44">
        <f>IF(Mecze[[#This Row],[Role]]&lt;&gt;"BR",SUMPRODUCT(Mecze[[#This Row],[/PR:90]:[/BR:90]],Brudnopis!$E$28:$J$28),0)</f>
        <v>7.3684210526315783E-2</v>
      </c>
      <c r="Y2068" s="35">
        <f>IF(Mecze[[#This Row],[Role]]="BR",Mecze[[#This Row],[/OB:90]]+Mecze[[#This Row],[/PC:90]],SUM(Mecze[[#This Row],[/PR:90]:[/BR:90]]))</f>
        <v>0.14736842105263157</v>
      </c>
      <c r="Z2068" s="35">
        <f>IF(Mecze[[#This Row],[KC]]=0,SUM(Mecze[[#This Row],[/BRI]:[/NPI]]),SUM(Mecze[[#This Row],[/BRI]:[/NPI]])*0.6)</f>
        <v>0.72894736842105257</v>
      </c>
      <c r="AA2068" s="10">
        <f>IFERROR(Mecze[[#This Row],[BR]]/Mecze[[#This Row],[ST]],0)</f>
        <v>0</v>
      </c>
      <c r="AB2068">
        <f>ROUND(Mecze[[#This Row],[PD]]*Mecze[[#This Row],[%PC]],0)</f>
        <v>7</v>
      </c>
      <c r="AC2068">
        <f>ROUND(Mecze[[#This Row],[OD]]*Mecze[[#This Row],[%OU]],0)</f>
        <v>2</v>
      </c>
      <c r="AD2068" s="36" t="s">
        <v>41</v>
      </c>
      <c r="AE2068" s="36">
        <v>115</v>
      </c>
      <c r="AF2068" s="71">
        <v>6.18</v>
      </c>
      <c r="AG2068" s="37">
        <v>0</v>
      </c>
      <c r="AH2068" s="37">
        <v>0</v>
      </c>
      <c r="AI2068" s="37">
        <v>95</v>
      </c>
      <c r="AJ2068" s="37">
        <v>1</v>
      </c>
      <c r="AK2068" s="37" t="str">
        <f>VLOOKUP(Mecze[[#This Row],[Match ID]],Meczusie[Mecz]:Meczusie[RodzajMeczu],2,FALSE)</f>
        <v>Towarzyski</v>
      </c>
    </row>
    <row r="2069" spans="1:37" x14ac:dyDescent="0.25">
      <c r="A2069" s="76">
        <v>22</v>
      </c>
      <c r="B2069" s="3" t="s">
        <v>363</v>
      </c>
      <c r="C2069" s="2" t="s">
        <v>160</v>
      </c>
      <c r="D2069" s="1">
        <v>0</v>
      </c>
      <c r="E2069" s="1">
        <v>0</v>
      </c>
      <c r="F2069" s="1">
        <v>0</v>
      </c>
      <c r="G2069" s="1">
        <v>12</v>
      </c>
      <c r="H2069" s="4">
        <v>0.75</v>
      </c>
      <c r="I2069" s="1">
        <v>4</v>
      </c>
      <c r="J2069" s="4">
        <v>0.75</v>
      </c>
      <c r="K2069" s="1">
        <v>0</v>
      </c>
      <c r="L2069" s="1">
        <v>9</v>
      </c>
      <c r="M2069" s="32">
        <f>IF(Mecze[[#This Row],[PR]]=0,0,Mecze[[#This Row],[PR]]/Mecze[[#This Row],[CZAS]])</f>
        <v>9.4736842105263161E-2</v>
      </c>
      <c r="N2069" s="32">
        <f>IF(Mecze[[#This Row],[OU]]=0,0,Mecze[[#This Row],[OU]]/Mecze[[#This Row],[CZAS]])</f>
        <v>3.1578947368421054E-2</v>
      </c>
      <c r="O2069" s="32">
        <f>IF(Mecze[[#This Row],[PC]]=0,0,Mecze[[#This Row],[PC]]/Mecze[[#This Row],[CZAS]])</f>
        <v>9.4736842105263161E-2</v>
      </c>
      <c r="P2069" s="32">
        <f>IF(Mecze[[#This Row],[SC]]=0,0,Mecze[[#This Row],[SC]]/Mecze[[#This Row],[CZAS]])</f>
        <v>0</v>
      </c>
      <c r="Q2069" s="32">
        <f>IF(Mecze[[#This Row],[OB]]=0,0,Mecze[[#This Row],[OB]]/Mecze[[#This Row],[CZAS]])</f>
        <v>0</v>
      </c>
      <c r="R2069" s="32">
        <f>IF(Mecze[[#This Row],[BR]]=0,0,Mecze[[#This Row],[BR]]/Mecze[[#This Row],[CZAS]])</f>
        <v>0</v>
      </c>
      <c r="S2069" s="44">
        <f>IF(Mecze[[#This Row],[Role]]="BR",SUMPRODUCT(Mecze[[#This Row],[/PR:90]:[/BR:90]],Brudnopis!$E$23:$J$23),0)</f>
        <v>0</v>
      </c>
      <c r="T2069" s="44">
        <f>IF(Mecze[[#This Row],[Role]]&lt;&gt;"BR",SUMPRODUCT(Mecze[[#This Row],[/PR:90]:[/BR:90]],Brudnopis!$E$24:$J$24),0)</f>
        <v>0.23684210526315791</v>
      </c>
      <c r="U2069" s="44">
        <f>IF(Mecze[[#This Row],[Role]]&lt;&gt;"BR",SUMPRODUCT(Mecze[[#This Row],[/PR:90]:[/BR:90]],Brudnopis!$E$25:$J$25),0)</f>
        <v>0.26842105263157895</v>
      </c>
      <c r="V2069" s="44">
        <f>IF(Mecze[[#This Row],[Role]]&lt;&gt;"BR",SUMPRODUCT(Mecze[[#This Row],[/PR:90]:[/BR:90]],Brudnopis!$E$26:$J$26),0)</f>
        <v>0.22105263157894739</v>
      </c>
      <c r="W2069" s="44">
        <f>IF(Mecze[[#This Row],[Role]]&lt;&gt;"BR",SUMPRODUCT(Mecze[[#This Row],[/PR:90]:[/BR:90]],Brudnopis!$E$27:$J$27),0)</f>
        <v>0.23684210526315791</v>
      </c>
      <c r="X2069" s="44">
        <f>IF(Mecze[[#This Row],[Role]]&lt;&gt;"BR",SUMPRODUCT(Mecze[[#This Row],[/PR:90]:[/BR:90]],Brudnopis!$E$28:$J$28),0)</f>
        <v>9.4736842105263161E-2</v>
      </c>
      <c r="Y2069" s="35">
        <f>IF(Mecze[[#This Row],[Role]]="BR",Mecze[[#This Row],[/OB:90]]+Mecze[[#This Row],[/PC:90]],SUM(Mecze[[#This Row],[/PR:90]:[/BR:90]]))</f>
        <v>0.22105263157894739</v>
      </c>
      <c r="Z2069" s="35">
        <f>IF(Mecze[[#This Row],[KC]]=0,SUM(Mecze[[#This Row],[/BRI]:[/NPI]]),SUM(Mecze[[#This Row],[/BRI]:[/NPI]])*0.6)</f>
        <v>1.0578947368421054</v>
      </c>
      <c r="AA2069" s="10">
        <f>IFERROR(Mecze[[#This Row],[BR]]/Mecze[[#This Row],[ST]],0)</f>
        <v>0</v>
      </c>
      <c r="AB2069">
        <f>ROUND(Mecze[[#This Row],[PD]]*Mecze[[#This Row],[%PC]],0)</f>
        <v>9</v>
      </c>
      <c r="AC2069">
        <f>ROUND(Mecze[[#This Row],[OD]]*Mecze[[#This Row],[%OU]],0)</f>
        <v>3</v>
      </c>
      <c r="AD2069" s="36" t="s">
        <v>41</v>
      </c>
      <c r="AE2069" s="36">
        <v>115</v>
      </c>
      <c r="AF2069" s="71">
        <v>7.02</v>
      </c>
      <c r="AG2069" s="37">
        <v>0</v>
      </c>
      <c r="AH2069" s="37">
        <v>0</v>
      </c>
      <c r="AI2069" s="37">
        <v>95</v>
      </c>
      <c r="AJ2069" s="37">
        <v>1</v>
      </c>
      <c r="AK2069" s="37" t="str">
        <f>VLOOKUP(Mecze[[#This Row],[Match ID]],Meczusie[Mecz]:Meczusie[RodzajMeczu],2,FALSE)</f>
        <v>Towarzyski</v>
      </c>
    </row>
    <row r="2070" spans="1:37" x14ac:dyDescent="0.25">
      <c r="A2070" s="76">
        <v>25</v>
      </c>
      <c r="B2070" s="3" t="s">
        <v>366</v>
      </c>
      <c r="C2070" s="2" t="s">
        <v>160</v>
      </c>
      <c r="D2070" s="1">
        <v>0</v>
      </c>
      <c r="E2070" s="1">
        <v>0</v>
      </c>
      <c r="F2070" s="1">
        <v>0</v>
      </c>
      <c r="G2070" s="1">
        <v>4</v>
      </c>
      <c r="H2070" s="4">
        <v>0.75</v>
      </c>
      <c r="I2070" s="1">
        <v>2</v>
      </c>
      <c r="J2070" s="4">
        <v>0</v>
      </c>
      <c r="K2070" s="1">
        <v>0</v>
      </c>
      <c r="L2070" s="1">
        <v>1</v>
      </c>
      <c r="M2070" s="32">
        <f>IF(Mecze[[#This Row],[PR]]=0,0,Mecze[[#This Row],[PR]]/Mecze[[#This Row],[CZAS]])</f>
        <v>1.0526315789473684E-2</v>
      </c>
      <c r="N2070" s="32">
        <f>IF(Mecze[[#This Row],[OU]]=0,0,Mecze[[#This Row],[OU]]/Mecze[[#This Row],[CZAS]])</f>
        <v>0</v>
      </c>
      <c r="O2070" s="32">
        <f>IF(Mecze[[#This Row],[PC]]=0,0,Mecze[[#This Row],[PC]]/Mecze[[#This Row],[CZAS]])</f>
        <v>3.1578947368421054E-2</v>
      </c>
      <c r="P2070" s="32">
        <f>IF(Mecze[[#This Row],[SC]]=0,0,Mecze[[#This Row],[SC]]/Mecze[[#This Row],[CZAS]])</f>
        <v>0</v>
      </c>
      <c r="Q2070" s="32">
        <f>IF(Mecze[[#This Row],[OB]]=0,0,Mecze[[#This Row],[OB]]/Mecze[[#This Row],[CZAS]])</f>
        <v>0</v>
      </c>
      <c r="R2070" s="32">
        <f>IF(Mecze[[#This Row],[BR]]=0,0,Mecze[[#This Row],[BR]]/Mecze[[#This Row],[CZAS]])</f>
        <v>0</v>
      </c>
      <c r="S2070" s="44">
        <f>IF(Mecze[[#This Row],[Role]]="BR",SUMPRODUCT(Mecze[[#This Row],[/PR:90]:[/BR:90]],Brudnopis!$E$23:$J$23),0)</f>
        <v>0</v>
      </c>
      <c r="T2070" s="44">
        <f>IF(Mecze[[#This Row],[Role]]&lt;&gt;"BR",SUMPRODUCT(Mecze[[#This Row],[/PR:90]:[/BR:90]],Brudnopis!$E$24:$J$24),0)</f>
        <v>4.2105263157894736E-2</v>
      </c>
      <c r="U2070" s="44">
        <f>IF(Mecze[[#This Row],[Role]]&lt;&gt;"BR",SUMPRODUCT(Mecze[[#This Row],[/PR:90]:[/BR:90]],Brudnopis!$E$25:$J$25),0)</f>
        <v>5.7894736842105263E-2</v>
      </c>
      <c r="V2070" s="44">
        <f>IF(Mecze[[#This Row],[Role]]&lt;&gt;"BR",SUMPRODUCT(Mecze[[#This Row],[/PR:90]:[/BR:90]],Brudnopis!$E$26:$J$26),0)</f>
        <v>4.2105263157894736E-2</v>
      </c>
      <c r="W2070" s="44">
        <f>IF(Mecze[[#This Row],[Role]]&lt;&gt;"BR",SUMPRODUCT(Mecze[[#This Row],[/PR:90]:[/BR:90]],Brudnopis!$E$27:$J$27),0)</f>
        <v>5.5263157894736847E-2</v>
      </c>
      <c r="X2070" s="44">
        <f>IF(Mecze[[#This Row],[Role]]&lt;&gt;"BR",SUMPRODUCT(Mecze[[#This Row],[/PR:90]:[/BR:90]],Brudnopis!$E$28:$J$28),0)</f>
        <v>3.1578947368421054E-2</v>
      </c>
      <c r="Y2070" s="35">
        <f>IF(Mecze[[#This Row],[Role]]="BR",Mecze[[#This Row],[/OB:90]]+Mecze[[#This Row],[/PC:90]],SUM(Mecze[[#This Row],[/PR:90]:[/BR:90]]))</f>
        <v>4.2105263157894736E-2</v>
      </c>
      <c r="Z2070" s="35">
        <f>IF(Mecze[[#This Row],[KC]]=0,SUM(Mecze[[#This Row],[/BRI]:[/NPI]]),SUM(Mecze[[#This Row],[/BRI]:[/NPI]])*0.6)</f>
        <v>0.22894736842105262</v>
      </c>
      <c r="AA2070" s="10">
        <f>IFERROR(Mecze[[#This Row],[BR]]/Mecze[[#This Row],[ST]],0)</f>
        <v>0</v>
      </c>
      <c r="AB2070">
        <f>ROUND(Mecze[[#This Row],[PD]]*Mecze[[#This Row],[%PC]],0)</f>
        <v>3</v>
      </c>
      <c r="AC2070">
        <f>ROUND(Mecze[[#This Row],[OD]]*Mecze[[#This Row],[%OU]],0)</f>
        <v>0</v>
      </c>
      <c r="AD2070" s="36" t="s">
        <v>44</v>
      </c>
      <c r="AE2070" s="36">
        <v>115</v>
      </c>
      <c r="AF2070" s="71">
        <v>4.13</v>
      </c>
      <c r="AG2070" s="37">
        <v>0</v>
      </c>
      <c r="AH2070" s="37">
        <v>0</v>
      </c>
      <c r="AI2070" s="37">
        <v>95</v>
      </c>
      <c r="AJ2070" s="37">
        <v>1</v>
      </c>
      <c r="AK2070" s="37" t="str">
        <f>VLOOKUP(Mecze[[#This Row],[Match ID]],Meczusie[Mecz]:Meczusie[RodzajMeczu],2,FALSE)</f>
        <v>Towarzyski</v>
      </c>
    </row>
    <row r="2071" spans="1:37" x14ac:dyDescent="0.25">
      <c r="A2071" s="76">
        <v>59</v>
      </c>
      <c r="B2071" s="3" t="s">
        <v>455</v>
      </c>
      <c r="C2071" s="2" t="s">
        <v>160</v>
      </c>
      <c r="D2071" s="1">
        <v>0</v>
      </c>
      <c r="E2071" s="1">
        <v>0</v>
      </c>
      <c r="F2071" s="1">
        <v>0</v>
      </c>
      <c r="G2071" s="1">
        <v>5</v>
      </c>
      <c r="H2071" s="4">
        <v>0.2</v>
      </c>
      <c r="I2071" s="1">
        <v>5</v>
      </c>
      <c r="J2071" s="4">
        <v>0.4</v>
      </c>
      <c r="K2071" s="1">
        <v>0</v>
      </c>
      <c r="L2071" s="1">
        <v>3</v>
      </c>
      <c r="M2071" s="32">
        <f>IF(Mecze[[#This Row],[PR]]=0,0,Mecze[[#This Row],[PR]]/Mecze[[#This Row],[CZAS]])</f>
        <v>3.1578947368421054E-2</v>
      </c>
      <c r="N2071" s="32">
        <f>IF(Mecze[[#This Row],[OU]]=0,0,Mecze[[#This Row],[OU]]/Mecze[[#This Row],[CZAS]])</f>
        <v>2.1052631578947368E-2</v>
      </c>
      <c r="O2071" s="32">
        <f>IF(Mecze[[#This Row],[PC]]=0,0,Mecze[[#This Row],[PC]]/Mecze[[#This Row],[CZAS]])</f>
        <v>1.0526315789473684E-2</v>
      </c>
      <c r="P2071" s="32">
        <f>IF(Mecze[[#This Row],[SC]]=0,0,Mecze[[#This Row],[SC]]/Mecze[[#This Row],[CZAS]])</f>
        <v>0</v>
      </c>
      <c r="Q2071" s="32">
        <f>IF(Mecze[[#This Row],[OB]]=0,0,Mecze[[#This Row],[OB]]/Mecze[[#This Row],[CZAS]])</f>
        <v>0</v>
      </c>
      <c r="R2071" s="32">
        <f>IF(Mecze[[#This Row],[BR]]=0,0,Mecze[[#This Row],[BR]]/Mecze[[#This Row],[CZAS]])</f>
        <v>0</v>
      </c>
      <c r="S2071" s="44">
        <f>IF(Mecze[[#This Row],[Role]]="BR",SUMPRODUCT(Mecze[[#This Row],[/PR:90]:[/BR:90]],Brudnopis!$E$23:$J$23),0)</f>
        <v>0</v>
      </c>
      <c r="T2071" s="44">
        <f>IF(Mecze[[#This Row],[Role]]&lt;&gt;"BR",SUMPRODUCT(Mecze[[#This Row],[/PR:90]:[/BR:90]],Brudnopis!$E$24:$J$24),0)</f>
        <v>7.3684210526315796E-2</v>
      </c>
      <c r="U2071" s="44">
        <f>IF(Mecze[[#This Row],[Role]]&lt;&gt;"BR",SUMPRODUCT(Mecze[[#This Row],[/PR:90]:[/BR:90]],Brudnopis!$E$25:$J$25),0)</f>
        <v>6.8421052631578938E-2</v>
      </c>
      <c r="V2071" s="44">
        <f>IF(Mecze[[#This Row],[Role]]&lt;&gt;"BR",SUMPRODUCT(Mecze[[#This Row],[/PR:90]:[/BR:90]],Brudnopis!$E$26:$J$26),0)</f>
        <v>6.3157894736842107E-2</v>
      </c>
      <c r="W2071" s="44">
        <f>IF(Mecze[[#This Row],[Role]]&lt;&gt;"BR",SUMPRODUCT(Mecze[[#This Row],[/PR:90]:[/BR:90]],Brudnopis!$E$27:$J$27),0)</f>
        <v>5.526315789473684E-2</v>
      </c>
      <c r="X2071" s="44">
        <f>IF(Mecze[[#This Row],[Role]]&lt;&gt;"BR",SUMPRODUCT(Mecze[[#This Row],[/PR:90]:[/BR:90]],Brudnopis!$E$28:$J$28),0)</f>
        <v>1.0526315789473684E-2</v>
      </c>
      <c r="Y2071" s="35">
        <f>IF(Mecze[[#This Row],[Role]]="BR",Mecze[[#This Row],[/OB:90]]+Mecze[[#This Row],[/PC:90]],SUM(Mecze[[#This Row],[/PR:90]:[/BR:90]]))</f>
        <v>6.3157894736842107E-2</v>
      </c>
      <c r="Z2071" s="35">
        <f>IF(Mecze[[#This Row],[KC]]=0,SUM(Mecze[[#This Row],[/BRI]:[/NPI]]),SUM(Mecze[[#This Row],[/BRI]:[/NPI]])*0.6)</f>
        <v>0.27105263157894732</v>
      </c>
      <c r="AA2071" s="10">
        <f>IFERROR(Mecze[[#This Row],[BR]]/Mecze[[#This Row],[ST]],0)</f>
        <v>0</v>
      </c>
      <c r="AB2071">
        <f>ROUND(Mecze[[#This Row],[PD]]*Mecze[[#This Row],[%PC]],0)</f>
        <v>1</v>
      </c>
      <c r="AC2071">
        <f>ROUND(Mecze[[#This Row],[OD]]*Mecze[[#This Row],[%OU]],0)</f>
        <v>2</v>
      </c>
      <c r="AD2071" s="36" t="s">
        <v>44</v>
      </c>
      <c r="AE2071" s="36">
        <v>115</v>
      </c>
      <c r="AF2071" s="71">
        <v>4.55</v>
      </c>
      <c r="AG2071" s="37">
        <v>0</v>
      </c>
      <c r="AH2071" s="37">
        <v>0</v>
      </c>
      <c r="AI2071" s="37">
        <v>95</v>
      </c>
      <c r="AJ2071" s="37">
        <v>1</v>
      </c>
      <c r="AK2071" s="37" t="str">
        <f>VLOOKUP(Mecze[[#This Row],[Match ID]],Meczusie[Mecz]:Meczusie[RodzajMeczu],2,FALSE)</f>
        <v>Towarzyski</v>
      </c>
    </row>
    <row r="2072" spans="1:37" x14ac:dyDescent="0.25">
      <c r="A2072" s="76">
        <v>27</v>
      </c>
      <c r="B2072" s="3" t="s">
        <v>364</v>
      </c>
      <c r="C2072" s="2" t="s">
        <v>165</v>
      </c>
      <c r="D2072" s="1">
        <v>1</v>
      </c>
      <c r="E2072" s="1">
        <v>7</v>
      </c>
      <c r="F2072" s="1">
        <v>7</v>
      </c>
      <c r="G2072" s="1">
        <v>8</v>
      </c>
      <c r="H2072" s="4">
        <v>0.63</v>
      </c>
      <c r="I2072" s="1">
        <v>4</v>
      </c>
      <c r="J2072" s="4">
        <v>0.25</v>
      </c>
      <c r="K2072" s="1">
        <v>0</v>
      </c>
      <c r="L2072" s="1">
        <v>1</v>
      </c>
      <c r="M2072" s="32">
        <f>IF(Mecze[[#This Row],[PR]]=0,0,Mecze[[#This Row],[PR]]/Mecze[[#This Row],[CZAS]])</f>
        <v>1.0526315789473684E-2</v>
      </c>
      <c r="N2072" s="32">
        <f>IF(Mecze[[#This Row],[OU]]=0,0,Mecze[[#This Row],[OU]]/Mecze[[#This Row],[CZAS]])</f>
        <v>1.0526315789473684E-2</v>
      </c>
      <c r="O2072" s="32">
        <f>IF(Mecze[[#This Row],[PC]]=0,0,Mecze[[#This Row],[PC]]/Mecze[[#This Row],[CZAS]])</f>
        <v>5.2631578947368418E-2</v>
      </c>
      <c r="P2072" s="32">
        <f>IF(Mecze[[#This Row],[SC]]=0,0,Mecze[[#This Row],[SC]]/Mecze[[#This Row],[CZAS]])</f>
        <v>7.3684210526315783E-2</v>
      </c>
      <c r="Q2072" s="32">
        <f>IF(Mecze[[#This Row],[OB]]=0,0,Mecze[[#This Row],[OB]]/Mecze[[#This Row],[CZAS]])</f>
        <v>0</v>
      </c>
      <c r="R2072" s="32">
        <f>IF(Mecze[[#This Row],[BR]]=0,0,Mecze[[#This Row],[BR]]/Mecze[[#This Row],[CZAS]])</f>
        <v>1.0526315789473684E-2</v>
      </c>
      <c r="S2072" s="44">
        <f>IF(Mecze[[#This Row],[Role]]="BR",SUMPRODUCT(Mecze[[#This Row],[/PR:90]:[/BR:90]],Brudnopis!$E$23:$J$23),0)</f>
        <v>0</v>
      </c>
      <c r="T2072" s="44">
        <f>IF(Mecze[[#This Row],[Role]]&lt;&gt;"BR",SUMPRODUCT(Mecze[[#This Row],[/PR:90]:[/BR:90]],Brudnopis!$E$24:$J$24),0)</f>
        <v>0.16842105263157892</v>
      </c>
      <c r="U2072" s="44">
        <f>IF(Mecze[[#This Row],[Role]]&lt;&gt;"BR",SUMPRODUCT(Mecze[[#This Row],[/PR:90]:[/BR:90]],Brudnopis!$E$25:$J$25),0)</f>
        <v>0.18947368421052629</v>
      </c>
      <c r="V2072" s="44">
        <f>IF(Mecze[[#This Row],[Role]]&lt;&gt;"BR",SUMPRODUCT(Mecze[[#This Row],[/PR:90]:[/BR:90]],Brudnopis!$E$26:$J$26),0)</f>
        <v>0.16842105263157894</v>
      </c>
      <c r="W2072" s="44">
        <f>IF(Mecze[[#This Row],[Role]]&lt;&gt;"BR",SUMPRODUCT(Mecze[[#This Row],[/PR:90]:[/BR:90]],Brudnopis!$E$27:$J$27),0)</f>
        <v>0.18947368421052629</v>
      </c>
      <c r="X2072" s="44">
        <f>IF(Mecze[[#This Row],[Role]]&lt;&gt;"BR",SUMPRODUCT(Mecze[[#This Row],[/PR:90]:[/BR:90]],Brudnopis!$E$28:$J$28),0)</f>
        <v>0.23157894736842105</v>
      </c>
      <c r="Y2072" s="35">
        <f>IF(Mecze[[#This Row],[Role]]="BR",Mecze[[#This Row],[/OB:90]]+Mecze[[#This Row],[/PC:90]],SUM(Mecze[[#This Row],[/PR:90]:[/BR:90]]))</f>
        <v>0.15789473684210525</v>
      </c>
      <c r="Z2072" s="35">
        <f>IF(Mecze[[#This Row],[KC]]=0,SUM(Mecze[[#This Row],[/BRI]:[/NPI]]),SUM(Mecze[[#This Row],[/BRI]:[/NPI]])*0.6)</f>
        <v>0.94736842105263164</v>
      </c>
      <c r="AA2072" s="10">
        <f>IFERROR(Mecze[[#This Row],[BR]]/Mecze[[#This Row],[ST]],0)</f>
        <v>0.14285714285714285</v>
      </c>
      <c r="AB2072">
        <f>ROUND(Mecze[[#This Row],[PD]]*Mecze[[#This Row],[%PC]],0)</f>
        <v>5</v>
      </c>
      <c r="AC2072">
        <f>ROUND(Mecze[[#This Row],[OD]]*Mecze[[#This Row],[%OU]],0)</f>
        <v>1</v>
      </c>
      <c r="AD2072" s="36" t="s">
        <v>46</v>
      </c>
      <c r="AE2072" s="36">
        <v>115</v>
      </c>
      <c r="AF2072" s="71">
        <v>9.1</v>
      </c>
      <c r="AG2072" s="37">
        <v>0</v>
      </c>
      <c r="AH2072" s="37">
        <v>0</v>
      </c>
      <c r="AI2072" s="37">
        <v>95</v>
      </c>
      <c r="AJ2072" s="37">
        <v>1</v>
      </c>
      <c r="AK2072" s="37" t="str">
        <f>VLOOKUP(Mecze[[#This Row],[Match ID]],Meczusie[Mecz]:Meczusie[RodzajMeczu],2,FALSE)</f>
        <v>Towarzyski</v>
      </c>
    </row>
    <row r="2073" spans="1:37" x14ac:dyDescent="0.25">
      <c r="A2073" s="76">
        <v>31</v>
      </c>
      <c r="B2073" s="3" t="s">
        <v>365</v>
      </c>
      <c r="C2073" s="2" t="s">
        <v>165</v>
      </c>
      <c r="D2073" s="1">
        <v>1</v>
      </c>
      <c r="E2073" s="1">
        <v>4</v>
      </c>
      <c r="F2073" s="1">
        <v>2</v>
      </c>
      <c r="G2073" s="1">
        <v>5</v>
      </c>
      <c r="H2073" s="4">
        <v>0.8</v>
      </c>
      <c r="I2073" s="1">
        <v>5</v>
      </c>
      <c r="J2073" s="4">
        <v>0</v>
      </c>
      <c r="K2073" s="1">
        <v>0</v>
      </c>
      <c r="L2073" s="1">
        <v>0</v>
      </c>
      <c r="M2073" s="32">
        <f>IF(Mecze[[#This Row],[PR]]=0,0,Mecze[[#This Row],[PR]]/Mecze[[#This Row],[CZAS]])</f>
        <v>0</v>
      </c>
      <c r="N2073" s="32">
        <f>IF(Mecze[[#This Row],[OU]]=0,0,Mecze[[#This Row],[OU]]/Mecze[[#This Row],[CZAS]])</f>
        <v>0</v>
      </c>
      <c r="O2073" s="32">
        <f>IF(Mecze[[#This Row],[PC]]=0,0,Mecze[[#This Row],[PC]]/Mecze[[#This Row],[CZAS]])</f>
        <v>4.2105263157894736E-2</v>
      </c>
      <c r="P2073" s="32">
        <f>IF(Mecze[[#This Row],[SC]]=0,0,Mecze[[#This Row],[SC]]/Mecze[[#This Row],[CZAS]])</f>
        <v>2.1052631578947368E-2</v>
      </c>
      <c r="Q2073" s="32">
        <f>IF(Mecze[[#This Row],[OB]]=0,0,Mecze[[#This Row],[OB]]/Mecze[[#This Row],[CZAS]])</f>
        <v>0</v>
      </c>
      <c r="R2073" s="32">
        <f>IF(Mecze[[#This Row],[BR]]=0,0,Mecze[[#This Row],[BR]]/Mecze[[#This Row],[CZAS]])</f>
        <v>1.0526315789473684E-2</v>
      </c>
      <c r="S2073" s="44">
        <f>IF(Mecze[[#This Row],[Role]]="BR",SUMPRODUCT(Mecze[[#This Row],[/PR:90]:[/BR:90]],Brudnopis!$E$23:$J$23),0)</f>
        <v>0</v>
      </c>
      <c r="T2073" s="44">
        <f>IF(Mecze[[#This Row],[Role]]&lt;&gt;"BR",SUMPRODUCT(Mecze[[#This Row],[/PR:90]:[/BR:90]],Brudnopis!$E$24:$J$24),0)</f>
        <v>7.8947368421052627E-2</v>
      </c>
      <c r="U2073" s="44">
        <f>IF(Mecze[[#This Row],[Role]]&lt;&gt;"BR",SUMPRODUCT(Mecze[[#This Row],[/PR:90]:[/BR:90]],Brudnopis!$E$25:$J$25),0)</f>
        <v>0.1</v>
      </c>
      <c r="V2073" s="44">
        <f>IF(Mecze[[#This Row],[Role]]&lt;&gt;"BR",SUMPRODUCT(Mecze[[#This Row],[/PR:90]:[/BR:90]],Brudnopis!$E$26:$J$26),0)</f>
        <v>8.4210526315789472E-2</v>
      </c>
      <c r="W2073" s="44">
        <f>IF(Mecze[[#This Row],[Role]]&lt;&gt;"BR",SUMPRODUCT(Mecze[[#This Row],[/PR:90]:[/BR:90]],Brudnopis!$E$27:$J$27),0)</f>
        <v>0.10526315789473684</v>
      </c>
      <c r="X2073" s="44">
        <f>IF(Mecze[[#This Row],[Role]]&lt;&gt;"BR",SUMPRODUCT(Mecze[[#This Row],[/PR:90]:[/BR:90]],Brudnopis!$E$28:$J$28),0)</f>
        <v>0.11578947368421053</v>
      </c>
      <c r="Y2073" s="35">
        <f>IF(Mecze[[#This Row],[Role]]="BR",Mecze[[#This Row],[/OB:90]]+Mecze[[#This Row],[/PC:90]],SUM(Mecze[[#This Row],[/PR:90]:[/BR:90]]))</f>
        <v>7.3684210526315796E-2</v>
      </c>
      <c r="Z2073" s="35">
        <f>IF(Mecze[[#This Row],[KC]]=0,SUM(Mecze[[#This Row],[/BRI]:[/NPI]]),SUM(Mecze[[#This Row],[/BRI]:[/NPI]])*0.6)</f>
        <v>0.48421052631578942</v>
      </c>
      <c r="AA2073" s="10">
        <f>IFERROR(Mecze[[#This Row],[BR]]/Mecze[[#This Row],[ST]],0)</f>
        <v>0.25</v>
      </c>
      <c r="AB2073">
        <f>ROUND(Mecze[[#This Row],[PD]]*Mecze[[#This Row],[%PC]],0)</f>
        <v>4</v>
      </c>
      <c r="AC2073">
        <f>ROUND(Mecze[[#This Row],[OD]]*Mecze[[#This Row],[%OU]],0)</f>
        <v>0</v>
      </c>
      <c r="AD2073" s="36" t="s">
        <v>46</v>
      </c>
      <c r="AE2073" s="36">
        <v>115</v>
      </c>
      <c r="AF2073" s="71">
        <v>8.92</v>
      </c>
      <c r="AG2073" s="37">
        <v>0</v>
      </c>
      <c r="AH2073" s="37">
        <v>0</v>
      </c>
      <c r="AI2073" s="37">
        <v>95</v>
      </c>
      <c r="AJ2073" s="37">
        <v>1</v>
      </c>
      <c r="AK2073" s="37" t="str">
        <f>VLOOKUP(Mecze[[#This Row],[Match ID]],Meczusie[Mecz]:Meczusie[RodzajMeczu],2,FALSE)</f>
        <v>Towarzyski</v>
      </c>
    </row>
    <row r="2074" spans="1:37" x14ac:dyDescent="0.25">
      <c r="A2074" s="76">
        <v>61</v>
      </c>
      <c r="B2074" s="3" t="s">
        <v>454</v>
      </c>
      <c r="C2074" s="2" t="s">
        <v>165</v>
      </c>
      <c r="D2074" s="1">
        <v>1</v>
      </c>
      <c r="E2074" s="1">
        <v>8</v>
      </c>
      <c r="F2074" s="1">
        <v>6</v>
      </c>
      <c r="G2074" s="1">
        <v>7</v>
      </c>
      <c r="H2074" s="4">
        <v>0.28999999999999998</v>
      </c>
      <c r="I2074" s="1">
        <v>1</v>
      </c>
      <c r="J2074" s="4">
        <v>0</v>
      </c>
      <c r="K2074" s="1">
        <v>0</v>
      </c>
      <c r="L2074" s="1">
        <v>0</v>
      </c>
      <c r="M2074" s="32">
        <f>IF(Mecze[[#This Row],[PR]]=0,0,Mecze[[#This Row],[PR]]/Mecze[[#This Row],[CZAS]])</f>
        <v>0</v>
      </c>
      <c r="N2074" s="32">
        <f>IF(Mecze[[#This Row],[OU]]=0,0,Mecze[[#This Row],[OU]]/Mecze[[#This Row],[CZAS]])</f>
        <v>0</v>
      </c>
      <c r="O2074" s="32">
        <f>IF(Mecze[[#This Row],[PC]]=0,0,Mecze[[#This Row],[PC]]/Mecze[[#This Row],[CZAS]])</f>
        <v>2.1052631578947368E-2</v>
      </c>
      <c r="P2074" s="32">
        <f>IF(Mecze[[#This Row],[SC]]=0,0,Mecze[[#This Row],[SC]]/Mecze[[#This Row],[CZAS]])</f>
        <v>6.3157894736842107E-2</v>
      </c>
      <c r="Q2074" s="32">
        <f>IF(Mecze[[#This Row],[OB]]=0,0,Mecze[[#This Row],[OB]]/Mecze[[#This Row],[CZAS]])</f>
        <v>0</v>
      </c>
      <c r="R2074" s="32">
        <f>IF(Mecze[[#This Row],[BR]]=0,0,Mecze[[#This Row],[BR]]/Mecze[[#This Row],[CZAS]])</f>
        <v>1.0526315789473684E-2</v>
      </c>
      <c r="S2074" s="44">
        <f>IF(Mecze[[#This Row],[Role]]="BR",SUMPRODUCT(Mecze[[#This Row],[/PR:90]:[/BR:90]],Brudnopis!$E$23:$J$23),0)</f>
        <v>0</v>
      </c>
      <c r="T2074" s="44">
        <f>IF(Mecze[[#This Row],[Role]]&lt;&gt;"BR",SUMPRODUCT(Mecze[[#This Row],[/PR:90]:[/BR:90]],Brudnopis!$E$24:$J$24),0)</f>
        <v>0.1</v>
      </c>
      <c r="U2074" s="44">
        <f>IF(Mecze[[#This Row],[Role]]&lt;&gt;"BR",SUMPRODUCT(Mecze[[#This Row],[/PR:90]:[/BR:90]],Brudnopis!$E$25:$J$25),0)</f>
        <v>0.11052631578947369</v>
      </c>
      <c r="V2074" s="44">
        <f>IF(Mecze[[#This Row],[Role]]&lt;&gt;"BR",SUMPRODUCT(Mecze[[#This Row],[/PR:90]:[/BR:90]],Brudnopis!$E$26:$J$26),0)</f>
        <v>0.10526315789473684</v>
      </c>
      <c r="W2074" s="44">
        <f>IF(Mecze[[#This Row],[Role]]&lt;&gt;"BR",SUMPRODUCT(Mecze[[#This Row],[/PR:90]:[/BR:90]],Brudnopis!$E$27:$J$27),0)</f>
        <v>0.11578947368421053</v>
      </c>
      <c r="X2074" s="44">
        <f>IF(Mecze[[#This Row],[Role]]&lt;&gt;"BR",SUMPRODUCT(Mecze[[#This Row],[/PR:90]:[/BR:90]],Brudnopis!$E$28:$J$28),0)</f>
        <v>0.17894736842105263</v>
      </c>
      <c r="Y2074" s="35">
        <f>IF(Mecze[[#This Row],[Role]]="BR",Mecze[[#This Row],[/OB:90]]+Mecze[[#This Row],[/PC:90]],SUM(Mecze[[#This Row],[/PR:90]:[/BR:90]]))</f>
        <v>9.4736842105263161E-2</v>
      </c>
      <c r="Z2074" s="35">
        <f>IF(Mecze[[#This Row],[KC]]=0,SUM(Mecze[[#This Row],[/BRI]:[/NPI]]),SUM(Mecze[[#This Row],[/BRI]:[/NPI]])*0.6)</f>
        <v>0.61052631578947369</v>
      </c>
      <c r="AA2074" s="10">
        <f>IFERROR(Mecze[[#This Row],[BR]]/Mecze[[#This Row],[ST]],0)</f>
        <v>0.125</v>
      </c>
      <c r="AB2074">
        <f>ROUND(Mecze[[#This Row],[PD]]*Mecze[[#This Row],[%PC]],0)</f>
        <v>2</v>
      </c>
      <c r="AC2074">
        <f>ROUND(Mecze[[#This Row],[OD]]*Mecze[[#This Row],[%OU]],0)</f>
        <v>0</v>
      </c>
      <c r="AD2074" s="36" t="s">
        <v>46</v>
      </c>
      <c r="AE2074" s="36">
        <v>115</v>
      </c>
      <c r="AF2074" s="71">
        <v>7.55</v>
      </c>
      <c r="AG2074" s="37">
        <v>0</v>
      </c>
      <c r="AH2074" s="37">
        <v>0</v>
      </c>
      <c r="AI2074" s="37">
        <v>95</v>
      </c>
      <c r="AJ2074" s="37">
        <v>1</v>
      </c>
      <c r="AK2074" s="37" t="str">
        <f>VLOOKUP(Mecze[[#This Row],[Match ID]],Meczusie[Mecz]:Meczusie[RodzajMeczu],2,FALSE)</f>
        <v>Towarzyski</v>
      </c>
    </row>
    <row r="2075" spans="1:37" x14ac:dyDescent="0.25">
      <c r="A2075" s="76">
        <v>39</v>
      </c>
      <c r="B2075" s="3" t="s">
        <v>450</v>
      </c>
      <c r="C2075" s="2" t="s">
        <v>155</v>
      </c>
      <c r="D2075" s="1">
        <v>0</v>
      </c>
      <c r="E2075" s="1">
        <v>0</v>
      </c>
      <c r="F2075" s="1">
        <v>0</v>
      </c>
      <c r="G2075" s="1">
        <v>12</v>
      </c>
      <c r="H2075" s="4">
        <v>0.5</v>
      </c>
      <c r="I2075" s="1">
        <v>0</v>
      </c>
      <c r="J2075" s="4"/>
      <c r="K2075" s="1">
        <v>9</v>
      </c>
      <c r="L2075" s="1">
        <v>0</v>
      </c>
      <c r="M2075" s="32">
        <f>IF(Mecze[[#This Row],[PR]]=0,0,Mecze[[#This Row],[PR]]/Mecze[[#This Row],[CZAS]])</f>
        <v>0</v>
      </c>
      <c r="N2075" s="32">
        <f>IF(Mecze[[#This Row],[OU]]=0,0,Mecze[[#This Row],[OU]]/Mecze[[#This Row],[CZAS]])</f>
        <v>0</v>
      </c>
      <c r="O2075" s="32">
        <f>IF(Mecze[[#This Row],[PC]]=0,0,Mecze[[#This Row],[PC]]/Mecze[[#This Row],[CZAS]])</f>
        <v>6.3157894736842107E-2</v>
      </c>
      <c r="P2075" s="32">
        <f>IF(Mecze[[#This Row],[SC]]=0,0,Mecze[[#This Row],[SC]]/Mecze[[#This Row],[CZAS]])</f>
        <v>0</v>
      </c>
      <c r="Q2075" s="32">
        <f>IF(Mecze[[#This Row],[OB]]=0,0,Mecze[[#This Row],[OB]]/Mecze[[#This Row],[CZAS]])</f>
        <v>9.4736842105263161E-2</v>
      </c>
      <c r="R2075" s="32">
        <f>IF(Mecze[[#This Row],[BR]]=0,0,Mecze[[#This Row],[BR]]/Mecze[[#This Row],[CZAS]])</f>
        <v>0</v>
      </c>
      <c r="S2075" s="44">
        <f>IF(Mecze[[#This Row],[Role]]="BR",SUMPRODUCT(Mecze[[#This Row],[/PR:90]:[/BR:90]],Brudnopis!$E$23:$J$23),0)</f>
        <v>0.47368421052631582</v>
      </c>
      <c r="T2075" s="44">
        <f>IF(Mecze[[#This Row],[Role]]&lt;&gt;"BR",SUMPRODUCT(Mecze[[#This Row],[/PR:90]:[/BR:90]],Brudnopis!$E$24:$J$24),0)</f>
        <v>0</v>
      </c>
      <c r="U2075" s="44">
        <f>IF(Mecze[[#This Row],[Role]]&lt;&gt;"BR",SUMPRODUCT(Mecze[[#This Row],[/PR:90]:[/BR:90]],Brudnopis!$E$25:$J$25),0)</f>
        <v>0</v>
      </c>
      <c r="V2075" s="44">
        <f>IF(Mecze[[#This Row],[Role]]&lt;&gt;"BR",SUMPRODUCT(Mecze[[#This Row],[/PR:90]:[/BR:90]],Brudnopis!$E$26:$J$26),0)</f>
        <v>0</v>
      </c>
      <c r="W2075" s="44">
        <f>IF(Mecze[[#This Row],[Role]]&lt;&gt;"BR",SUMPRODUCT(Mecze[[#This Row],[/PR:90]:[/BR:90]],Brudnopis!$E$27:$J$27),0)</f>
        <v>0</v>
      </c>
      <c r="X2075" s="44">
        <f>IF(Mecze[[#This Row],[Role]]&lt;&gt;"BR",SUMPRODUCT(Mecze[[#This Row],[/PR:90]:[/BR:90]],Brudnopis!$E$28:$J$28),0)</f>
        <v>0</v>
      </c>
      <c r="Y2075" s="35">
        <f>IF(Mecze[[#This Row],[Role]]="BR",Mecze[[#This Row],[/OB:90]]+Mecze[[#This Row],[/PC:90]],SUM(Mecze[[#This Row],[/PR:90]:[/BR:90]]))</f>
        <v>0.15789473684210525</v>
      </c>
      <c r="Z2075" s="35">
        <f>IF(Mecze[[#This Row],[KC]]=0,SUM(Mecze[[#This Row],[/BRI]:[/NPI]]),SUM(Mecze[[#This Row],[/BRI]:[/NPI]])*0.6)</f>
        <v>0.47368421052631582</v>
      </c>
      <c r="AA2075" s="10">
        <f>IFERROR(Mecze[[#This Row],[BR]]/Mecze[[#This Row],[ST]],0)</f>
        <v>0</v>
      </c>
      <c r="AB2075">
        <f>ROUND(Mecze[[#This Row],[PD]]*Mecze[[#This Row],[%PC]],0)</f>
        <v>6</v>
      </c>
      <c r="AC2075">
        <f>ROUND(Mecze[[#This Row],[OD]]*Mecze[[#This Row],[%OU]],0)</f>
        <v>0</v>
      </c>
      <c r="AD2075" s="36" t="s">
        <v>40</v>
      </c>
      <c r="AE2075" s="36">
        <v>116</v>
      </c>
      <c r="AF2075" s="71">
        <v>4.95</v>
      </c>
      <c r="AG2075" s="37">
        <v>0</v>
      </c>
      <c r="AH2075" s="37">
        <v>0</v>
      </c>
      <c r="AI2075" s="37">
        <v>95</v>
      </c>
      <c r="AJ2075" s="37">
        <v>1</v>
      </c>
      <c r="AK2075" s="37" t="str">
        <f>VLOOKUP(Mecze[[#This Row],[Match ID]],Meczusie[Mecz]:Meczusie[RodzajMeczu],2,FALSE)</f>
        <v>Towarzyski</v>
      </c>
    </row>
    <row r="2076" spans="1:37" x14ac:dyDescent="0.25">
      <c r="A2076" s="76">
        <v>38</v>
      </c>
      <c r="B2076" s="3" t="s">
        <v>359</v>
      </c>
      <c r="C2076" s="2" t="s">
        <v>157</v>
      </c>
      <c r="D2076" s="1">
        <v>0</v>
      </c>
      <c r="E2076" s="1">
        <v>0</v>
      </c>
      <c r="F2076" s="1">
        <v>0</v>
      </c>
      <c r="G2076" s="1">
        <v>6</v>
      </c>
      <c r="H2076" s="4">
        <v>0.83</v>
      </c>
      <c r="I2076" s="1">
        <v>3</v>
      </c>
      <c r="J2076" s="4">
        <v>0.33</v>
      </c>
      <c r="K2076" s="1">
        <v>0</v>
      </c>
      <c r="L2076" s="1">
        <v>2</v>
      </c>
      <c r="M2076" s="32">
        <f>IF(Mecze[[#This Row],[PR]]=0,0,Mecze[[#This Row],[PR]]/Mecze[[#This Row],[CZAS]])</f>
        <v>2.1052631578947368E-2</v>
      </c>
      <c r="N2076" s="32">
        <f>IF(Mecze[[#This Row],[OU]]=0,0,Mecze[[#This Row],[OU]]/Mecze[[#This Row],[CZAS]])</f>
        <v>1.0526315789473684E-2</v>
      </c>
      <c r="O2076" s="32">
        <f>IF(Mecze[[#This Row],[PC]]=0,0,Mecze[[#This Row],[PC]]/Mecze[[#This Row],[CZAS]])</f>
        <v>5.2631578947368418E-2</v>
      </c>
      <c r="P2076" s="32">
        <f>IF(Mecze[[#This Row],[SC]]=0,0,Mecze[[#This Row],[SC]]/Mecze[[#This Row],[CZAS]])</f>
        <v>0</v>
      </c>
      <c r="Q2076" s="32">
        <f>IF(Mecze[[#This Row],[OB]]=0,0,Mecze[[#This Row],[OB]]/Mecze[[#This Row],[CZAS]])</f>
        <v>0</v>
      </c>
      <c r="R2076" s="32">
        <f>IF(Mecze[[#This Row],[BR]]=0,0,Mecze[[#This Row],[BR]]/Mecze[[#This Row],[CZAS]])</f>
        <v>0</v>
      </c>
      <c r="S2076" s="44">
        <f>IF(Mecze[[#This Row],[Role]]="BR",SUMPRODUCT(Mecze[[#This Row],[/PR:90]:[/BR:90]],Brudnopis!$E$23:$J$23),0)</f>
        <v>0</v>
      </c>
      <c r="T2076" s="44">
        <f>IF(Mecze[[#This Row],[Role]]&lt;&gt;"BR",SUMPRODUCT(Mecze[[#This Row],[/PR:90]:[/BR:90]],Brudnopis!$E$24:$J$24),0)</f>
        <v>8.9473684210526316E-2</v>
      </c>
      <c r="U2076" s="44">
        <f>IF(Mecze[[#This Row],[Role]]&lt;&gt;"BR",SUMPRODUCT(Mecze[[#This Row],[/PR:90]:[/BR:90]],Brudnopis!$E$25:$J$25),0)</f>
        <v>0.11052631578947368</v>
      </c>
      <c r="V2076" s="44">
        <f>IF(Mecze[[#This Row],[Role]]&lt;&gt;"BR",SUMPRODUCT(Mecze[[#This Row],[/PR:90]:[/BR:90]],Brudnopis!$E$26:$J$26),0)</f>
        <v>8.4210526315789472E-2</v>
      </c>
      <c r="W2076" s="44">
        <f>IF(Mecze[[#This Row],[Role]]&lt;&gt;"BR",SUMPRODUCT(Mecze[[#This Row],[/PR:90]:[/BR:90]],Brudnopis!$E$27:$J$27),0)</f>
        <v>0.10263157894736842</v>
      </c>
      <c r="X2076" s="44">
        <f>IF(Mecze[[#This Row],[Role]]&lt;&gt;"BR",SUMPRODUCT(Mecze[[#This Row],[/PR:90]:[/BR:90]],Brudnopis!$E$28:$J$28),0)</f>
        <v>5.2631578947368418E-2</v>
      </c>
      <c r="Y2076" s="35">
        <f>IF(Mecze[[#This Row],[Role]]="BR",Mecze[[#This Row],[/OB:90]]+Mecze[[#This Row],[/PC:90]],SUM(Mecze[[#This Row],[/PR:90]:[/BR:90]]))</f>
        <v>8.4210526315789472E-2</v>
      </c>
      <c r="Z2076" s="35">
        <f>IF(Mecze[[#This Row],[KC]]=0,SUM(Mecze[[#This Row],[/BRI]:[/NPI]]),SUM(Mecze[[#This Row],[/BRI]:[/NPI]])*0.6)</f>
        <v>0.43947368421052629</v>
      </c>
      <c r="AA2076" s="10">
        <f>IFERROR(Mecze[[#This Row],[BR]]/Mecze[[#This Row],[ST]],0)</f>
        <v>0</v>
      </c>
      <c r="AB2076">
        <f>ROUND(Mecze[[#This Row],[PD]]*Mecze[[#This Row],[%PC]],0)</f>
        <v>5</v>
      </c>
      <c r="AC2076">
        <f>ROUND(Mecze[[#This Row],[OD]]*Mecze[[#This Row],[%OU]],0)</f>
        <v>1</v>
      </c>
      <c r="AD2076" s="36" t="s">
        <v>47</v>
      </c>
      <c r="AE2076" s="36">
        <v>116</v>
      </c>
      <c r="AF2076" s="71">
        <v>1</v>
      </c>
      <c r="AG2076" s="37">
        <v>0</v>
      </c>
      <c r="AH2076" s="37">
        <v>0</v>
      </c>
      <c r="AI2076" s="37">
        <v>95</v>
      </c>
      <c r="AJ2076" s="37">
        <v>1</v>
      </c>
      <c r="AK2076" s="37" t="str">
        <f>VLOOKUP(Mecze[[#This Row],[Match ID]],Meczusie[Mecz]:Meczusie[RodzajMeczu],2,FALSE)</f>
        <v>Towarzyski</v>
      </c>
    </row>
    <row r="2077" spans="1:37" x14ac:dyDescent="0.25">
      <c r="A2077" s="76">
        <v>17</v>
      </c>
      <c r="B2077" s="3" t="s">
        <v>413</v>
      </c>
      <c r="C2077" s="2" t="s">
        <v>157</v>
      </c>
      <c r="D2077" s="1">
        <v>0</v>
      </c>
      <c r="E2077" s="1">
        <v>0</v>
      </c>
      <c r="F2077" s="1">
        <v>0</v>
      </c>
      <c r="G2077" s="1">
        <v>0</v>
      </c>
      <c r="H2077" s="72"/>
      <c r="I2077" s="1">
        <v>4</v>
      </c>
      <c r="J2077" s="4">
        <v>0.5</v>
      </c>
      <c r="K2077" s="1">
        <v>0</v>
      </c>
      <c r="L2077" s="1">
        <v>1</v>
      </c>
      <c r="M2077" s="32">
        <f>IF(Mecze[[#This Row],[PR]]=0,0,Mecze[[#This Row],[PR]]/Mecze[[#This Row],[CZAS]])</f>
        <v>5.2631578947368418E-2</v>
      </c>
      <c r="N2077" s="32">
        <f>IF(Mecze[[#This Row],[OU]]=0,0,Mecze[[#This Row],[OU]]/Mecze[[#This Row],[CZAS]])</f>
        <v>0.10526315789473684</v>
      </c>
      <c r="O2077" s="32">
        <f>IF(Mecze[[#This Row],[PC]]=0,0,Mecze[[#This Row],[PC]]/Mecze[[#This Row],[CZAS]])</f>
        <v>0</v>
      </c>
      <c r="P2077" s="32">
        <f>IF(Mecze[[#This Row],[SC]]=0,0,Mecze[[#This Row],[SC]]/Mecze[[#This Row],[CZAS]])</f>
        <v>0</v>
      </c>
      <c r="Q2077" s="32">
        <f>IF(Mecze[[#This Row],[OB]]=0,0,Mecze[[#This Row],[OB]]/Mecze[[#This Row],[CZAS]])</f>
        <v>0</v>
      </c>
      <c r="R2077" s="32">
        <f>IF(Mecze[[#This Row],[BR]]=0,0,Mecze[[#This Row],[BR]]/Mecze[[#This Row],[CZAS]])</f>
        <v>0</v>
      </c>
      <c r="S2077" s="44">
        <f>IF(Mecze[[#This Row],[Role]]="BR",SUMPRODUCT(Mecze[[#This Row],[/PR:90]:[/BR:90]],Brudnopis!$E$23:$J$23),0)</f>
        <v>0</v>
      </c>
      <c r="T2077" s="44">
        <f>IF(Mecze[[#This Row],[Role]]&lt;&gt;"BR",SUMPRODUCT(Mecze[[#This Row],[/PR:90]:[/BR:90]],Brudnopis!$E$24:$J$24),0)</f>
        <v>0.21052631578947367</v>
      </c>
      <c r="U2077" s="44">
        <f>IF(Mecze[[#This Row],[Role]]&lt;&gt;"BR",SUMPRODUCT(Mecze[[#This Row],[/PR:90]:[/BR:90]],Brudnopis!$E$25:$J$25),0)</f>
        <v>0.15789473684210525</v>
      </c>
      <c r="V2077" s="44">
        <f>IF(Mecze[[#This Row],[Role]]&lt;&gt;"BR",SUMPRODUCT(Mecze[[#This Row],[/PR:90]:[/BR:90]],Brudnopis!$E$26:$J$26),0)</f>
        <v>0.15789473684210525</v>
      </c>
      <c r="W2077" s="44">
        <f>IF(Mecze[[#This Row],[Role]]&lt;&gt;"BR",SUMPRODUCT(Mecze[[#This Row],[/PR:90]:[/BR:90]],Brudnopis!$E$27:$J$27),0)</f>
        <v>0.11842105263157894</v>
      </c>
      <c r="X2077" s="44">
        <f>IF(Mecze[[#This Row],[Role]]&lt;&gt;"BR",SUMPRODUCT(Mecze[[#This Row],[/PR:90]:[/BR:90]],Brudnopis!$E$28:$J$28),0)</f>
        <v>0</v>
      </c>
      <c r="Y2077" s="35">
        <f>IF(Mecze[[#This Row],[Role]]="BR",Mecze[[#This Row],[/OB:90]]+Mecze[[#This Row],[/PC:90]],SUM(Mecze[[#This Row],[/PR:90]:[/BR:90]]))</f>
        <v>0.15789473684210525</v>
      </c>
      <c r="Z2077" s="35">
        <f>IF(Mecze[[#This Row],[KC]]=0,SUM(Mecze[[#This Row],[/BRI]:[/NPI]]),SUM(Mecze[[#This Row],[/BRI]:[/NPI]])*0.6)</f>
        <v>0.38684210526315788</v>
      </c>
      <c r="AA2077" s="10">
        <f>IFERROR(Mecze[[#This Row],[BR]]/Mecze[[#This Row],[ST]],0)</f>
        <v>0</v>
      </c>
      <c r="AB2077">
        <f>ROUND(Mecze[[#This Row],[PD]]*Mecze[[#This Row],[%PC]],0)</f>
        <v>0</v>
      </c>
      <c r="AC2077">
        <f>ROUND(Mecze[[#This Row],[OD]]*Mecze[[#This Row],[%OU]],0)</f>
        <v>2</v>
      </c>
      <c r="AD2077" s="36" t="s">
        <v>167</v>
      </c>
      <c r="AE2077" s="36">
        <v>116</v>
      </c>
      <c r="AF2077" s="71">
        <v>-2.5</v>
      </c>
      <c r="AG2077" s="37">
        <v>0</v>
      </c>
      <c r="AH2077" s="37">
        <v>1</v>
      </c>
      <c r="AI2077" s="37">
        <v>19</v>
      </c>
      <c r="AJ2077" s="37">
        <v>1</v>
      </c>
      <c r="AK2077" s="37" t="str">
        <f>VLOOKUP(Mecze[[#This Row],[Match ID]],Meczusie[Mecz]:Meczusie[RodzajMeczu],2,FALSE)</f>
        <v>Towarzyski</v>
      </c>
    </row>
    <row r="2078" spans="1:37" x14ac:dyDescent="0.25">
      <c r="A2078" s="76">
        <v>4</v>
      </c>
      <c r="B2078" s="3" t="s">
        <v>360</v>
      </c>
      <c r="C2078" s="2" t="s">
        <v>157</v>
      </c>
      <c r="D2078" s="1">
        <v>0</v>
      </c>
      <c r="E2078" s="1">
        <v>0</v>
      </c>
      <c r="F2078" s="1">
        <v>0</v>
      </c>
      <c r="G2078" s="1">
        <v>7</v>
      </c>
      <c r="H2078" s="4">
        <v>0.43</v>
      </c>
      <c r="I2078" s="1">
        <v>4</v>
      </c>
      <c r="J2078" s="4">
        <v>0.25</v>
      </c>
      <c r="K2078" s="1">
        <v>0</v>
      </c>
      <c r="L2078" s="1">
        <v>7</v>
      </c>
      <c r="M2078" s="32">
        <f>IF(Mecze[[#This Row],[PR]]=0,0,Mecze[[#This Row],[PR]]/Mecze[[#This Row],[CZAS]])</f>
        <v>7.3684210526315783E-2</v>
      </c>
      <c r="N2078" s="32">
        <f>IF(Mecze[[#This Row],[OU]]=0,0,Mecze[[#This Row],[OU]]/Mecze[[#This Row],[CZAS]])</f>
        <v>1.0526315789473684E-2</v>
      </c>
      <c r="O2078" s="32">
        <f>IF(Mecze[[#This Row],[PC]]=0,0,Mecze[[#This Row],[PC]]/Mecze[[#This Row],[CZAS]])</f>
        <v>3.1578947368421054E-2</v>
      </c>
      <c r="P2078" s="32">
        <f>IF(Mecze[[#This Row],[SC]]=0,0,Mecze[[#This Row],[SC]]/Mecze[[#This Row],[CZAS]])</f>
        <v>0</v>
      </c>
      <c r="Q2078" s="32">
        <f>IF(Mecze[[#This Row],[OB]]=0,0,Mecze[[#This Row],[OB]]/Mecze[[#This Row],[CZAS]])</f>
        <v>0</v>
      </c>
      <c r="R2078" s="32">
        <f>IF(Mecze[[#This Row],[BR]]=0,0,Mecze[[#This Row],[BR]]/Mecze[[#This Row],[CZAS]])</f>
        <v>0</v>
      </c>
      <c r="S2078" s="44">
        <f>IF(Mecze[[#This Row],[Role]]="BR",SUMPRODUCT(Mecze[[#This Row],[/PR:90]:[/BR:90]],Brudnopis!$E$23:$J$23),0)</f>
        <v>0</v>
      </c>
      <c r="T2078" s="44">
        <f>IF(Mecze[[#This Row],[Role]]&lt;&gt;"BR",SUMPRODUCT(Mecze[[#This Row],[/PR:90]:[/BR:90]],Brudnopis!$E$24:$J$24),0)</f>
        <v>0.12105263157894737</v>
      </c>
      <c r="U2078" s="44">
        <f>IF(Mecze[[#This Row],[Role]]&lt;&gt;"BR",SUMPRODUCT(Mecze[[#This Row],[/PR:90]:[/BR:90]],Brudnopis!$E$25:$J$25),0)</f>
        <v>0.13157894736842105</v>
      </c>
      <c r="V2078" s="44">
        <f>IF(Mecze[[#This Row],[Role]]&lt;&gt;"BR",SUMPRODUCT(Mecze[[#This Row],[/PR:90]:[/BR:90]],Brudnopis!$E$26:$J$26),0)</f>
        <v>0.11578947368421053</v>
      </c>
      <c r="W2078" s="44">
        <f>IF(Mecze[[#This Row],[Role]]&lt;&gt;"BR",SUMPRODUCT(Mecze[[#This Row],[/PR:90]:[/BR:90]],Brudnopis!$E$27:$J$27),0)</f>
        <v>0.11052631578947367</v>
      </c>
      <c r="X2078" s="44">
        <f>IF(Mecze[[#This Row],[Role]]&lt;&gt;"BR",SUMPRODUCT(Mecze[[#This Row],[/PR:90]:[/BR:90]],Brudnopis!$E$28:$J$28),0)</f>
        <v>3.1578947368421054E-2</v>
      </c>
      <c r="Y2078" s="35">
        <f>IF(Mecze[[#This Row],[Role]]="BR",Mecze[[#This Row],[/OB:90]]+Mecze[[#This Row],[/PC:90]],SUM(Mecze[[#This Row],[/PR:90]:[/BR:90]]))</f>
        <v>0.11578947368421053</v>
      </c>
      <c r="Z2078" s="35">
        <f>IF(Mecze[[#This Row],[KC]]=0,SUM(Mecze[[#This Row],[/BRI]:[/NPI]]),SUM(Mecze[[#This Row],[/BRI]:[/NPI]])*0.6)</f>
        <v>0.51052631578947372</v>
      </c>
      <c r="AA2078" s="10">
        <f>IFERROR(Mecze[[#This Row],[BR]]/Mecze[[#This Row],[ST]],0)</f>
        <v>0</v>
      </c>
      <c r="AB2078">
        <f>ROUND(Mecze[[#This Row],[PD]]*Mecze[[#This Row],[%PC]],0)</f>
        <v>3</v>
      </c>
      <c r="AC2078">
        <f>ROUND(Mecze[[#This Row],[OD]]*Mecze[[#This Row],[%OU]],0)</f>
        <v>1</v>
      </c>
      <c r="AD2078" s="36" t="s">
        <v>168</v>
      </c>
      <c r="AE2078" s="36">
        <v>116</v>
      </c>
      <c r="AF2078" s="71">
        <v>2.0499999999999998</v>
      </c>
      <c r="AG2078" s="37">
        <v>0</v>
      </c>
      <c r="AH2078" s="37">
        <v>0</v>
      </c>
      <c r="AI2078" s="37">
        <v>95</v>
      </c>
      <c r="AJ2078" s="37">
        <v>1</v>
      </c>
      <c r="AK2078" s="37" t="str">
        <f>VLOOKUP(Mecze[[#This Row],[Match ID]],Meczusie[Mecz]:Meczusie[RodzajMeczu],2,FALSE)</f>
        <v>Towarzyski</v>
      </c>
    </row>
    <row r="2079" spans="1:37" x14ac:dyDescent="0.25">
      <c r="A2079" s="76">
        <v>40</v>
      </c>
      <c r="B2079" s="3" t="s">
        <v>453</v>
      </c>
      <c r="C2079" s="2" t="s">
        <v>160</v>
      </c>
      <c r="D2079" s="1">
        <v>0</v>
      </c>
      <c r="E2079" s="1">
        <v>0</v>
      </c>
      <c r="F2079" s="1">
        <v>0</v>
      </c>
      <c r="G2079" s="1">
        <v>11</v>
      </c>
      <c r="H2079" s="4">
        <v>0.45</v>
      </c>
      <c r="I2079" s="1">
        <v>6</v>
      </c>
      <c r="J2079" s="4">
        <v>0.17</v>
      </c>
      <c r="K2079" s="1">
        <v>0</v>
      </c>
      <c r="L2079" s="1">
        <v>5</v>
      </c>
      <c r="M2079" s="32">
        <f>IF(Mecze[[#This Row],[PR]]=0,0,Mecze[[#This Row],[PR]]/Mecze[[#This Row],[CZAS]])</f>
        <v>5.2631578947368418E-2</v>
      </c>
      <c r="N2079" s="32">
        <f>IF(Mecze[[#This Row],[OU]]=0,0,Mecze[[#This Row],[OU]]/Mecze[[#This Row],[CZAS]])</f>
        <v>1.0526315789473684E-2</v>
      </c>
      <c r="O2079" s="32">
        <f>IF(Mecze[[#This Row],[PC]]=0,0,Mecze[[#This Row],[PC]]/Mecze[[#This Row],[CZAS]])</f>
        <v>5.2631578947368418E-2</v>
      </c>
      <c r="P2079" s="32">
        <f>IF(Mecze[[#This Row],[SC]]=0,0,Mecze[[#This Row],[SC]]/Mecze[[#This Row],[CZAS]])</f>
        <v>0</v>
      </c>
      <c r="Q2079" s="32">
        <f>IF(Mecze[[#This Row],[OB]]=0,0,Mecze[[#This Row],[OB]]/Mecze[[#This Row],[CZAS]])</f>
        <v>0</v>
      </c>
      <c r="R2079" s="32">
        <f>IF(Mecze[[#This Row],[BR]]=0,0,Mecze[[#This Row],[BR]]/Mecze[[#This Row],[CZAS]])</f>
        <v>0</v>
      </c>
      <c r="S2079" s="44">
        <f>IF(Mecze[[#This Row],[Role]]="BR",SUMPRODUCT(Mecze[[#This Row],[/PR:90]:[/BR:90]],Brudnopis!$E$23:$J$23),0)</f>
        <v>0</v>
      </c>
      <c r="T2079" s="44">
        <f>IF(Mecze[[#This Row],[Role]]&lt;&gt;"BR",SUMPRODUCT(Mecze[[#This Row],[/PR:90]:[/BR:90]],Brudnopis!$E$24:$J$24),0)</f>
        <v>0.12105263157894736</v>
      </c>
      <c r="U2079" s="44">
        <f>IF(Mecze[[#This Row],[Role]]&lt;&gt;"BR",SUMPRODUCT(Mecze[[#This Row],[/PR:90]:[/BR:90]],Brudnopis!$E$25:$J$25),0)</f>
        <v>0.14210526315789473</v>
      </c>
      <c r="V2079" s="44">
        <f>IF(Mecze[[#This Row],[Role]]&lt;&gt;"BR",SUMPRODUCT(Mecze[[#This Row],[/PR:90]:[/BR:90]],Brudnopis!$E$26:$J$26),0)</f>
        <v>0.11578947368421053</v>
      </c>
      <c r="W2079" s="44">
        <f>IF(Mecze[[#This Row],[Role]]&lt;&gt;"BR",SUMPRODUCT(Mecze[[#This Row],[/PR:90]:[/BR:90]],Brudnopis!$E$27:$J$27),0)</f>
        <v>0.12631578947368421</v>
      </c>
      <c r="X2079" s="44">
        <f>IF(Mecze[[#This Row],[Role]]&lt;&gt;"BR",SUMPRODUCT(Mecze[[#This Row],[/PR:90]:[/BR:90]],Brudnopis!$E$28:$J$28),0)</f>
        <v>5.2631578947368418E-2</v>
      </c>
      <c r="Y2079" s="35">
        <f>IF(Mecze[[#This Row],[Role]]="BR",Mecze[[#This Row],[/OB:90]]+Mecze[[#This Row],[/PC:90]],SUM(Mecze[[#This Row],[/PR:90]:[/BR:90]]))</f>
        <v>0.11578947368421053</v>
      </c>
      <c r="Z2079" s="35">
        <f>IF(Mecze[[#This Row],[KC]]=0,SUM(Mecze[[#This Row],[/BRI]:[/NPI]]),SUM(Mecze[[#This Row],[/BRI]:[/NPI]])*0.6)</f>
        <v>0.55789473684210522</v>
      </c>
      <c r="AA2079" s="10">
        <f>IFERROR(Mecze[[#This Row],[BR]]/Mecze[[#This Row],[ST]],0)</f>
        <v>0</v>
      </c>
      <c r="AB2079">
        <f>ROUND(Mecze[[#This Row],[PD]]*Mecze[[#This Row],[%PC]],0)</f>
        <v>5</v>
      </c>
      <c r="AC2079">
        <f>ROUND(Mecze[[#This Row],[OD]]*Mecze[[#This Row],[%OU]],0)</f>
        <v>1</v>
      </c>
      <c r="AD2079" s="36" t="s">
        <v>41</v>
      </c>
      <c r="AE2079" s="36">
        <v>116</v>
      </c>
      <c r="AF2079" s="71">
        <v>3.75</v>
      </c>
      <c r="AG2079" s="37">
        <v>0</v>
      </c>
      <c r="AH2079" s="37">
        <v>0</v>
      </c>
      <c r="AI2079" s="37">
        <v>95</v>
      </c>
      <c r="AJ2079" s="37">
        <v>1</v>
      </c>
      <c r="AK2079" s="37" t="str">
        <f>VLOOKUP(Mecze[[#This Row],[Match ID]],Meczusie[Mecz]:Meczusie[RodzajMeczu],2,FALSE)</f>
        <v>Towarzyski</v>
      </c>
    </row>
    <row r="2080" spans="1:37" x14ac:dyDescent="0.25">
      <c r="A2080" s="76">
        <v>22</v>
      </c>
      <c r="B2080" s="3" t="s">
        <v>363</v>
      </c>
      <c r="C2080" s="2" t="s">
        <v>160</v>
      </c>
      <c r="D2080" s="1">
        <v>0</v>
      </c>
      <c r="E2080" s="1">
        <v>0</v>
      </c>
      <c r="F2080" s="1">
        <v>0</v>
      </c>
      <c r="G2080" s="1">
        <v>11</v>
      </c>
      <c r="H2080" s="4">
        <v>0.36</v>
      </c>
      <c r="I2080" s="1">
        <v>8</v>
      </c>
      <c r="J2080" s="4">
        <v>0.13</v>
      </c>
      <c r="K2080" s="1">
        <v>0</v>
      </c>
      <c r="L2080" s="1">
        <v>6</v>
      </c>
      <c r="M2080" s="32">
        <f>IF(Mecze[[#This Row],[PR]]=0,0,Mecze[[#This Row],[PR]]/Mecze[[#This Row],[CZAS]])</f>
        <v>6.3157894736842107E-2</v>
      </c>
      <c r="N2080" s="32">
        <f>IF(Mecze[[#This Row],[OU]]=0,0,Mecze[[#This Row],[OU]]/Mecze[[#This Row],[CZAS]])</f>
        <v>1.0526315789473684E-2</v>
      </c>
      <c r="O2080" s="32">
        <f>IF(Mecze[[#This Row],[PC]]=0,0,Mecze[[#This Row],[PC]]/Mecze[[#This Row],[CZAS]])</f>
        <v>4.2105263157894736E-2</v>
      </c>
      <c r="P2080" s="32">
        <f>IF(Mecze[[#This Row],[SC]]=0,0,Mecze[[#This Row],[SC]]/Mecze[[#This Row],[CZAS]])</f>
        <v>0</v>
      </c>
      <c r="Q2080" s="32">
        <f>IF(Mecze[[#This Row],[OB]]=0,0,Mecze[[#This Row],[OB]]/Mecze[[#This Row],[CZAS]])</f>
        <v>0</v>
      </c>
      <c r="R2080" s="32">
        <f>IF(Mecze[[#This Row],[BR]]=0,0,Mecze[[#This Row],[BR]]/Mecze[[#This Row],[CZAS]])</f>
        <v>0</v>
      </c>
      <c r="S2080" s="44">
        <f>IF(Mecze[[#This Row],[Role]]="BR",SUMPRODUCT(Mecze[[#This Row],[/PR:90]:[/BR:90]],Brudnopis!$E$23:$J$23),0)</f>
        <v>0</v>
      </c>
      <c r="T2080" s="44">
        <f>IF(Mecze[[#This Row],[Role]]&lt;&gt;"BR",SUMPRODUCT(Mecze[[#This Row],[/PR:90]:[/BR:90]],Brudnopis!$E$24:$J$24),0)</f>
        <v>0.12105263157894736</v>
      </c>
      <c r="U2080" s="44">
        <f>IF(Mecze[[#This Row],[Role]]&lt;&gt;"BR",SUMPRODUCT(Mecze[[#This Row],[/PR:90]:[/BR:90]],Brudnopis!$E$25:$J$25),0)</f>
        <v>0.1368421052631579</v>
      </c>
      <c r="V2080" s="44">
        <f>IF(Mecze[[#This Row],[Role]]&lt;&gt;"BR",SUMPRODUCT(Mecze[[#This Row],[/PR:90]:[/BR:90]],Brudnopis!$E$26:$J$26),0)</f>
        <v>0.11578947368421053</v>
      </c>
      <c r="W2080" s="44">
        <f>IF(Mecze[[#This Row],[Role]]&lt;&gt;"BR",SUMPRODUCT(Mecze[[#This Row],[/PR:90]:[/BR:90]],Brudnopis!$E$27:$J$27),0)</f>
        <v>0.11842105263157895</v>
      </c>
      <c r="X2080" s="44">
        <f>IF(Mecze[[#This Row],[Role]]&lt;&gt;"BR",SUMPRODUCT(Mecze[[#This Row],[/PR:90]:[/BR:90]],Brudnopis!$E$28:$J$28),0)</f>
        <v>4.2105263157894736E-2</v>
      </c>
      <c r="Y2080" s="35">
        <f>IF(Mecze[[#This Row],[Role]]="BR",Mecze[[#This Row],[/OB:90]]+Mecze[[#This Row],[/PC:90]],SUM(Mecze[[#This Row],[/PR:90]:[/BR:90]]))</f>
        <v>0.11578947368421053</v>
      </c>
      <c r="Z2080" s="35">
        <f>IF(Mecze[[#This Row],[KC]]=0,SUM(Mecze[[#This Row],[/BRI]:[/NPI]]),SUM(Mecze[[#This Row],[/BRI]:[/NPI]])*0.6)</f>
        <v>0.53421052631578958</v>
      </c>
      <c r="AA2080" s="10">
        <f>IFERROR(Mecze[[#This Row],[BR]]/Mecze[[#This Row],[ST]],0)</f>
        <v>0</v>
      </c>
      <c r="AB2080">
        <f>ROUND(Mecze[[#This Row],[PD]]*Mecze[[#This Row],[%PC]],0)</f>
        <v>4</v>
      </c>
      <c r="AC2080">
        <f>ROUND(Mecze[[#This Row],[OD]]*Mecze[[#This Row],[%OU]],0)</f>
        <v>1</v>
      </c>
      <c r="AD2080" s="36" t="s">
        <v>41</v>
      </c>
      <c r="AE2080" s="36">
        <v>116</v>
      </c>
      <c r="AF2080" s="71">
        <v>3.96</v>
      </c>
      <c r="AG2080" s="37">
        <v>0</v>
      </c>
      <c r="AH2080" s="37">
        <v>0</v>
      </c>
      <c r="AI2080" s="37">
        <v>95</v>
      </c>
      <c r="AJ2080" s="37">
        <v>1</v>
      </c>
      <c r="AK2080" s="37" t="str">
        <f>VLOOKUP(Mecze[[#This Row],[Match ID]],Meczusie[Mecz]:Meczusie[RodzajMeczu],2,FALSE)</f>
        <v>Towarzyski</v>
      </c>
    </row>
    <row r="2081" spans="1:37" x14ac:dyDescent="0.25">
      <c r="A2081" s="76">
        <v>25</v>
      </c>
      <c r="B2081" s="3" t="s">
        <v>366</v>
      </c>
      <c r="C2081" s="2" t="s">
        <v>160</v>
      </c>
      <c r="D2081" s="1">
        <v>0</v>
      </c>
      <c r="E2081" s="1">
        <v>0</v>
      </c>
      <c r="F2081" s="1">
        <v>0</v>
      </c>
      <c r="G2081" s="1">
        <v>10</v>
      </c>
      <c r="H2081" s="4">
        <v>0.4</v>
      </c>
      <c r="I2081" s="1">
        <v>10</v>
      </c>
      <c r="J2081" s="4">
        <v>0.4</v>
      </c>
      <c r="K2081" s="1">
        <v>0</v>
      </c>
      <c r="L2081" s="1">
        <v>4</v>
      </c>
      <c r="M2081" s="32">
        <f>IF(Mecze[[#This Row],[PR]]=0,0,Mecze[[#This Row],[PR]]/Mecze[[#This Row],[CZAS]])</f>
        <v>4.2105263157894736E-2</v>
      </c>
      <c r="N2081" s="32">
        <f>IF(Mecze[[#This Row],[OU]]=0,0,Mecze[[#This Row],[OU]]/Mecze[[#This Row],[CZAS]])</f>
        <v>4.2105263157894736E-2</v>
      </c>
      <c r="O2081" s="32">
        <f>IF(Mecze[[#This Row],[PC]]=0,0,Mecze[[#This Row],[PC]]/Mecze[[#This Row],[CZAS]])</f>
        <v>4.2105263157894736E-2</v>
      </c>
      <c r="P2081" s="32">
        <f>IF(Mecze[[#This Row],[SC]]=0,0,Mecze[[#This Row],[SC]]/Mecze[[#This Row],[CZAS]])</f>
        <v>0</v>
      </c>
      <c r="Q2081" s="32">
        <f>IF(Mecze[[#This Row],[OB]]=0,0,Mecze[[#This Row],[OB]]/Mecze[[#This Row],[CZAS]])</f>
        <v>0</v>
      </c>
      <c r="R2081" s="32">
        <f>IF(Mecze[[#This Row],[BR]]=0,0,Mecze[[#This Row],[BR]]/Mecze[[#This Row],[CZAS]])</f>
        <v>0</v>
      </c>
      <c r="S2081" s="44">
        <f>IF(Mecze[[#This Row],[Role]]="BR",SUMPRODUCT(Mecze[[#This Row],[/PR:90]:[/BR:90]],Brudnopis!$E$23:$J$23),0)</f>
        <v>0</v>
      </c>
      <c r="T2081" s="44">
        <f>IF(Mecze[[#This Row],[Role]]&lt;&gt;"BR",SUMPRODUCT(Mecze[[#This Row],[/PR:90]:[/BR:90]],Brudnopis!$E$24:$J$24),0)</f>
        <v>0.14736842105263157</v>
      </c>
      <c r="U2081" s="44">
        <f>IF(Mecze[[#This Row],[Role]]&lt;&gt;"BR",SUMPRODUCT(Mecze[[#This Row],[/PR:90]:[/BR:90]],Brudnopis!$E$25:$J$25),0)</f>
        <v>0.14736842105263159</v>
      </c>
      <c r="V2081" s="44">
        <f>IF(Mecze[[#This Row],[Role]]&lt;&gt;"BR",SUMPRODUCT(Mecze[[#This Row],[/PR:90]:[/BR:90]],Brudnopis!$E$26:$J$26),0)</f>
        <v>0.12631578947368421</v>
      </c>
      <c r="W2081" s="44">
        <f>IF(Mecze[[#This Row],[Role]]&lt;&gt;"BR",SUMPRODUCT(Mecze[[#This Row],[/PR:90]:[/BR:90]],Brudnopis!$E$27:$J$27),0)</f>
        <v>0.12631578947368421</v>
      </c>
      <c r="X2081" s="44">
        <f>IF(Mecze[[#This Row],[Role]]&lt;&gt;"BR",SUMPRODUCT(Mecze[[#This Row],[/PR:90]:[/BR:90]],Brudnopis!$E$28:$J$28),0)</f>
        <v>4.2105263157894736E-2</v>
      </c>
      <c r="Y2081" s="35">
        <f>IF(Mecze[[#This Row],[Role]]="BR",Mecze[[#This Row],[/OB:90]]+Mecze[[#This Row],[/PC:90]],SUM(Mecze[[#This Row],[/PR:90]:[/BR:90]]))</f>
        <v>0.12631578947368421</v>
      </c>
      <c r="Z2081" s="35">
        <f>IF(Mecze[[#This Row],[KC]]=0,SUM(Mecze[[#This Row],[/BRI]:[/NPI]]),SUM(Mecze[[#This Row],[/BRI]:[/NPI]])*0.6)</f>
        <v>0.58947368421052637</v>
      </c>
      <c r="AA2081" s="10">
        <f>IFERROR(Mecze[[#This Row],[BR]]/Mecze[[#This Row],[ST]],0)</f>
        <v>0</v>
      </c>
      <c r="AB2081">
        <f>ROUND(Mecze[[#This Row],[PD]]*Mecze[[#This Row],[%PC]],0)</f>
        <v>4</v>
      </c>
      <c r="AC2081">
        <f>ROUND(Mecze[[#This Row],[OD]]*Mecze[[#This Row],[%OU]],0)</f>
        <v>4</v>
      </c>
      <c r="AD2081" s="36" t="s">
        <v>44</v>
      </c>
      <c r="AE2081" s="36">
        <v>116</v>
      </c>
      <c r="AF2081" s="71">
        <v>2.4300000000000002</v>
      </c>
      <c r="AG2081" s="37">
        <v>1</v>
      </c>
      <c r="AH2081" s="37">
        <v>0</v>
      </c>
      <c r="AI2081" s="37">
        <v>95</v>
      </c>
      <c r="AJ2081" s="37">
        <v>1</v>
      </c>
      <c r="AK2081" s="37" t="str">
        <f>VLOOKUP(Mecze[[#This Row],[Match ID]],Meczusie[Mecz]:Meczusie[RodzajMeczu],2,FALSE)</f>
        <v>Towarzyski</v>
      </c>
    </row>
    <row r="2082" spans="1:37" x14ac:dyDescent="0.25">
      <c r="A2082" s="76">
        <v>59</v>
      </c>
      <c r="B2082" s="3" t="s">
        <v>455</v>
      </c>
      <c r="C2082" s="2" t="s">
        <v>160</v>
      </c>
      <c r="D2082" s="1">
        <v>0</v>
      </c>
      <c r="E2082" s="1">
        <v>0</v>
      </c>
      <c r="F2082" s="1">
        <v>0</v>
      </c>
      <c r="G2082" s="1">
        <v>16</v>
      </c>
      <c r="H2082" s="4">
        <v>0.5</v>
      </c>
      <c r="I2082" s="1">
        <v>1</v>
      </c>
      <c r="J2082" s="4">
        <v>0</v>
      </c>
      <c r="K2082" s="1">
        <v>0</v>
      </c>
      <c r="L2082" s="1">
        <v>6</v>
      </c>
      <c r="M2082" s="32">
        <f>IF(Mecze[[#This Row],[PR]]=0,0,Mecze[[#This Row],[PR]]/Mecze[[#This Row],[CZAS]])</f>
        <v>6.3157894736842107E-2</v>
      </c>
      <c r="N2082" s="32">
        <f>IF(Mecze[[#This Row],[OU]]=0,0,Mecze[[#This Row],[OU]]/Mecze[[#This Row],[CZAS]])</f>
        <v>0</v>
      </c>
      <c r="O2082" s="32">
        <f>IF(Mecze[[#This Row],[PC]]=0,0,Mecze[[#This Row],[PC]]/Mecze[[#This Row],[CZAS]])</f>
        <v>8.4210526315789472E-2</v>
      </c>
      <c r="P2082" s="32">
        <f>IF(Mecze[[#This Row],[SC]]=0,0,Mecze[[#This Row],[SC]]/Mecze[[#This Row],[CZAS]])</f>
        <v>0</v>
      </c>
      <c r="Q2082" s="32">
        <f>IF(Mecze[[#This Row],[OB]]=0,0,Mecze[[#This Row],[OB]]/Mecze[[#This Row],[CZAS]])</f>
        <v>0</v>
      </c>
      <c r="R2082" s="32">
        <f>IF(Mecze[[#This Row],[BR]]=0,0,Mecze[[#This Row],[BR]]/Mecze[[#This Row],[CZAS]])</f>
        <v>0</v>
      </c>
      <c r="S2082" s="44">
        <f>IF(Mecze[[#This Row],[Role]]="BR",SUMPRODUCT(Mecze[[#This Row],[/PR:90]:[/BR:90]],Brudnopis!$E$23:$J$23),0)</f>
        <v>0</v>
      </c>
      <c r="T2082" s="44">
        <f>IF(Mecze[[#This Row],[Role]]&lt;&gt;"BR",SUMPRODUCT(Mecze[[#This Row],[/PR:90]:[/BR:90]],Brudnopis!$E$24:$J$24),0)</f>
        <v>0.14736842105263159</v>
      </c>
      <c r="U2082" s="44">
        <f>IF(Mecze[[#This Row],[Role]]&lt;&gt;"BR",SUMPRODUCT(Mecze[[#This Row],[/PR:90]:[/BR:90]],Brudnopis!$E$25:$J$25),0)</f>
        <v>0.18947368421052632</v>
      </c>
      <c r="V2082" s="44">
        <f>IF(Mecze[[#This Row],[Role]]&lt;&gt;"BR",SUMPRODUCT(Mecze[[#This Row],[/PR:90]:[/BR:90]],Brudnopis!$E$26:$J$26),0)</f>
        <v>0.14736842105263159</v>
      </c>
      <c r="W2082" s="44">
        <f>IF(Mecze[[#This Row],[Role]]&lt;&gt;"BR",SUMPRODUCT(Mecze[[#This Row],[/PR:90]:[/BR:90]],Brudnopis!$E$27:$J$27),0)</f>
        <v>0.1736842105263158</v>
      </c>
      <c r="X2082" s="44">
        <f>IF(Mecze[[#This Row],[Role]]&lt;&gt;"BR",SUMPRODUCT(Mecze[[#This Row],[/PR:90]:[/BR:90]],Brudnopis!$E$28:$J$28),0)</f>
        <v>8.4210526315789472E-2</v>
      </c>
      <c r="Y2082" s="35">
        <f>IF(Mecze[[#This Row],[Role]]="BR",Mecze[[#This Row],[/OB:90]]+Mecze[[#This Row],[/PC:90]],SUM(Mecze[[#This Row],[/PR:90]:[/BR:90]]))</f>
        <v>0.14736842105263159</v>
      </c>
      <c r="Z2082" s="35">
        <f>IF(Mecze[[#This Row],[KC]]=0,SUM(Mecze[[#This Row],[/BRI]:[/NPI]]),SUM(Mecze[[#This Row],[/BRI]:[/NPI]])*0.6)</f>
        <v>0.74210526315789482</v>
      </c>
      <c r="AA2082" s="10">
        <f>IFERROR(Mecze[[#This Row],[BR]]/Mecze[[#This Row],[ST]],0)</f>
        <v>0</v>
      </c>
      <c r="AB2082">
        <f>ROUND(Mecze[[#This Row],[PD]]*Mecze[[#This Row],[%PC]],0)</f>
        <v>8</v>
      </c>
      <c r="AC2082">
        <f>ROUND(Mecze[[#This Row],[OD]]*Mecze[[#This Row],[%OU]],0)</f>
        <v>0</v>
      </c>
      <c r="AD2082" s="36" t="s">
        <v>44</v>
      </c>
      <c r="AE2082" s="36">
        <v>116</v>
      </c>
      <c r="AF2082" s="71">
        <v>5.17</v>
      </c>
      <c r="AG2082" s="37">
        <v>0</v>
      </c>
      <c r="AH2082" s="37">
        <v>0</v>
      </c>
      <c r="AI2082" s="37">
        <v>95</v>
      </c>
      <c r="AJ2082" s="37">
        <v>1</v>
      </c>
      <c r="AK2082" s="37" t="str">
        <f>VLOOKUP(Mecze[[#This Row],[Match ID]],Meczusie[Mecz]:Meczusie[RodzajMeczu],2,FALSE)</f>
        <v>Towarzyski</v>
      </c>
    </row>
    <row r="2083" spans="1:37" x14ac:dyDescent="0.25">
      <c r="A2083" s="76">
        <v>27</v>
      </c>
      <c r="B2083" s="3" t="s">
        <v>364</v>
      </c>
      <c r="C2083" s="2" t="s">
        <v>165</v>
      </c>
      <c r="D2083" s="1">
        <v>0</v>
      </c>
      <c r="E2083" s="1">
        <v>0</v>
      </c>
      <c r="F2083" s="1">
        <v>0</v>
      </c>
      <c r="G2083" s="1">
        <v>5</v>
      </c>
      <c r="H2083" s="4">
        <v>0.2</v>
      </c>
      <c r="I2083" s="1">
        <v>7</v>
      </c>
      <c r="J2083" s="4">
        <v>0</v>
      </c>
      <c r="K2083" s="1">
        <v>0</v>
      </c>
      <c r="L2083" s="1">
        <v>6</v>
      </c>
      <c r="M2083" s="32">
        <f>IF(Mecze[[#This Row],[PR]]=0,0,Mecze[[#This Row],[PR]]/Mecze[[#This Row],[CZAS]])</f>
        <v>6.3157894736842107E-2</v>
      </c>
      <c r="N2083" s="32">
        <f>IF(Mecze[[#This Row],[OU]]=0,0,Mecze[[#This Row],[OU]]/Mecze[[#This Row],[CZAS]])</f>
        <v>0</v>
      </c>
      <c r="O2083" s="32">
        <f>IF(Mecze[[#This Row],[PC]]=0,0,Mecze[[#This Row],[PC]]/Mecze[[#This Row],[CZAS]])</f>
        <v>1.0526315789473684E-2</v>
      </c>
      <c r="P2083" s="32">
        <f>IF(Mecze[[#This Row],[SC]]=0,0,Mecze[[#This Row],[SC]]/Mecze[[#This Row],[CZAS]])</f>
        <v>0</v>
      </c>
      <c r="Q2083" s="32">
        <f>IF(Mecze[[#This Row],[OB]]=0,0,Mecze[[#This Row],[OB]]/Mecze[[#This Row],[CZAS]])</f>
        <v>0</v>
      </c>
      <c r="R2083" s="32">
        <f>IF(Mecze[[#This Row],[BR]]=0,0,Mecze[[#This Row],[BR]]/Mecze[[#This Row],[CZAS]])</f>
        <v>0</v>
      </c>
      <c r="S2083" s="44">
        <f>IF(Mecze[[#This Row],[Role]]="BR",SUMPRODUCT(Mecze[[#This Row],[/PR:90]:[/BR:90]],Brudnopis!$E$23:$J$23),0)</f>
        <v>0</v>
      </c>
      <c r="T2083" s="44">
        <f>IF(Mecze[[#This Row],[Role]]&lt;&gt;"BR",SUMPRODUCT(Mecze[[#This Row],[/PR:90]:[/BR:90]],Brudnopis!$E$24:$J$24),0)</f>
        <v>7.3684210526315796E-2</v>
      </c>
      <c r="U2083" s="44">
        <f>IF(Mecze[[#This Row],[Role]]&lt;&gt;"BR",SUMPRODUCT(Mecze[[#This Row],[/PR:90]:[/BR:90]],Brudnopis!$E$25:$J$25),0)</f>
        <v>7.8947368421052627E-2</v>
      </c>
      <c r="V2083" s="44">
        <f>IF(Mecze[[#This Row],[Role]]&lt;&gt;"BR",SUMPRODUCT(Mecze[[#This Row],[/PR:90]:[/BR:90]],Brudnopis!$E$26:$J$26),0)</f>
        <v>7.3684210526315796E-2</v>
      </c>
      <c r="W2083" s="44">
        <f>IF(Mecze[[#This Row],[Role]]&lt;&gt;"BR",SUMPRODUCT(Mecze[[#This Row],[/PR:90]:[/BR:90]],Brudnopis!$E$27:$J$27),0)</f>
        <v>6.3157894736842107E-2</v>
      </c>
      <c r="X2083" s="44">
        <f>IF(Mecze[[#This Row],[Role]]&lt;&gt;"BR",SUMPRODUCT(Mecze[[#This Row],[/PR:90]:[/BR:90]],Brudnopis!$E$28:$J$28),0)</f>
        <v>1.0526315789473684E-2</v>
      </c>
      <c r="Y2083" s="35">
        <f>IF(Mecze[[#This Row],[Role]]="BR",Mecze[[#This Row],[/OB:90]]+Mecze[[#This Row],[/PC:90]],SUM(Mecze[[#This Row],[/PR:90]:[/BR:90]]))</f>
        <v>7.3684210526315796E-2</v>
      </c>
      <c r="Z2083" s="35">
        <f>IF(Mecze[[#This Row],[KC]]=0,SUM(Mecze[[#This Row],[/BRI]:[/NPI]]),SUM(Mecze[[#This Row],[/BRI]:[/NPI]])*0.6)</f>
        <v>0.3</v>
      </c>
      <c r="AA2083" s="10">
        <f>IFERROR(Mecze[[#This Row],[BR]]/Mecze[[#This Row],[ST]],0)</f>
        <v>0</v>
      </c>
      <c r="AB2083">
        <f>ROUND(Mecze[[#This Row],[PD]]*Mecze[[#This Row],[%PC]],0)</f>
        <v>1</v>
      </c>
      <c r="AC2083">
        <f>ROUND(Mecze[[#This Row],[OD]]*Mecze[[#This Row],[%OU]],0)</f>
        <v>0</v>
      </c>
      <c r="AD2083" s="36" t="s">
        <v>46</v>
      </c>
      <c r="AE2083" s="36">
        <v>116</v>
      </c>
      <c r="AF2083" s="71">
        <v>2.71</v>
      </c>
      <c r="AG2083" s="37">
        <v>0</v>
      </c>
      <c r="AH2083" s="37">
        <v>0</v>
      </c>
      <c r="AI2083" s="37">
        <v>95</v>
      </c>
      <c r="AJ2083" s="37">
        <v>1</v>
      </c>
      <c r="AK2083" s="37" t="str">
        <f>VLOOKUP(Mecze[[#This Row],[Match ID]],Meczusie[Mecz]:Meczusie[RodzajMeczu],2,FALSE)</f>
        <v>Towarzyski</v>
      </c>
    </row>
    <row r="2084" spans="1:37" x14ac:dyDescent="0.25">
      <c r="A2084" s="76">
        <v>31</v>
      </c>
      <c r="B2084" s="3" t="s">
        <v>365</v>
      </c>
      <c r="C2084" s="2" t="s">
        <v>165</v>
      </c>
      <c r="D2084" s="1">
        <v>0</v>
      </c>
      <c r="E2084" s="1">
        <v>1</v>
      </c>
      <c r="F2084" s="1">
        <v>0</v>
      </c>
      <c r="G2084" s="1">
        <v>7</v>
      </c>
      <c r="H2084" s="4">
        <v>0.43</v>
      </c>
      <c r="I2084" s="1">
        <v>2</v>
      </c>
      <c r="J2084" s="4">
        <v>0.5</v>
      </c>
      <c r="K2084" s="1">
        <v>0</v>
      </c>
      <c r="L2084" s="1">
        <v>1</v>
      </c>
      <c r="M2084" s="32">
        <f>IF(Mecze[[#This Row],[PR]]=0,0,Mecze[[#This Row],[PR]]/Mecze[[#This Row],[CZAS]])</f>
        <v>1.0526315789473684E-2</v>
      </c>
      <c r="N2084" s="32">
        <f>IF(Mecze[[#This Row],[OU]]=0,0,Mecze[[#This Row],[OU]]/Mecze[[#This Row],[CZAS]])</f>
        <v>1.0526315789473684E-2</v>
      </c>
      <c r="O2084" s="32">
        <f>IF(Mecze[[#This Row],[PC]]=0,0,Mecze[[#This Row],[PC]]/Mecze[[#This Row],[CZAS]])</f>
        <v>3.1578947368421054E-2</v>
      </c>
      <c r="P2084" s="32">
        <f>IF(Mecze[[#This Row],[SC]]=0,0,Mecze[[#This Row],[SC]]/Mecze[[#This Row],[CZAS]])</f>
        <v>0</v>
      </c>
      <c r="Q2084" s="32">
        <f>IF(Mecze[[#This Row],[OB]]=0,0,Mecze[[#This Row],[OB]]/Mecze[[#This Row],[CZAS]])</f>
        <v>0</v>
      </c>
      <c r="R2084" s="32">
        <f>IF(Mecze[[#This Row],[BR]]=0,0,Mecze[[#This Row],[BR]]/Mecze[[#This Row],[CZAS]])</f>
        <v>0</v>
      </c>
      <c r="S2084" s="44">
        <f>IF(Mecze[[#This Row],[Role]]="BR",SUMPRODUCT(Mecze[[#This Row],[/PR:90]:[/BR:90]],Brudnopis!$E$23:$J$23),0)</f>
        <v>0</v>
      </c>
      <c r="T2084" s="44">
        <f>IF(Mecze[[#This Row],[Role]]&lt;&gt;"BR",SUMPRODUCT(Mecze[[#This Row],[/PR:90]:[/BR:90]],Brudnopis!$E$24:$J$24),0)</f>
        <v>5.7894736842105263E-2</v>
      </c>
      <c r="U2084" s="44">
        <f>IF(Mecze[[#This Row],[Role]]&lt;&gt;"BR",SUMPRODUCT(Mecze[[#This Row],[/PR:90]:[/BR:90]],Brudnopis!$E$25:$J$25),0)</f>
        <v>6.8421052631578952E-2</v>
      </c>
      <c r="V2084" s="44">
        <f>IF(Mecze[[#This Row],[Role]]&lt;&gt;"BR",SUMPRODUCT(Mecze[[#This Row],[/PR:90]:[/BR:90]],Brudnopis!$E$26:$J$26),0)</f>
        <v>5.2631578947368418E-2</v>
      </c>
      <c r="W2084" s="44">
        <f>IF(Mecze[[#This Row],[Role]]&lt;&gt;"BR",SUMPRODUCT(Mecze[[#This Row],[/PR:90]:[/BR:90]],Brudnopis!$E$27:$J$27),0)</f>
        <v>6.3157894736842107E-2</v>
      </c>
      <c r="X2084" s="44">
        <f>IF(Mecze[[#This Row],[Role]]&lt;&gt;"BR",SUMPRODUCT(Mecze[[#This Row],[/PR:90]:[/BR:90]],Brudnopis!$E$28:$J$28),0)</f>
        <v>3.1578947368421054E-2</v>
      </c>
      <c r="Y2084" s="35">
        <f>IF(Mecze[[#This Row],[Role]]="BR",Mecze[[#This Row],[/OB:90]]+Mecze[[#This Row],[/PC:90]],SUM(Mecze[[#This Row],[/PR:90]:[/BR:90]]))</f>
        <v>5.2631578947368418E-2</v>
      </c>
      <c r="Z2084" s="35">
        <f>IF(Mecze[[#This Row],[KC]]=0,SUM(Mecze[[#This Row],[/BRI]:[/NPI]]),SUM(Mecze[[#This Row],[/BRI]:[/NPI]])*0.6)</f>
        <v>0.27368421052631581</v>
      </c>
      <c r="AA2084" s="10">
        <f>IFERROR(Mecze[[#This Row],[BR]]/Mecze[[#This Row],[ST]],0)</f>
        <v>0</v>
      </c>
      <c r="AB2084">
        <f>ROUND(Mecze[[#This Row],[PD]]*Mecze[[#This Row],[%PC]],0)</f>
        <v>3</v>
      </c>
      <c r="AC2084">
        <f>ROUND(Mecze[[#This Row],[OD]]*Mecze[[#This Row],[%OU]],0)</f>
        <v>1</v>
      </c>
      <c r="AD2084" s="36" t="s">
        <v>46</v>
      </c>
      <c r="AE2084" s="36">
        <v>116</v>
      </c>
      <c r="AF2084" s="71">
        <v>2.71</v>
      </c>
      <c r="AG2084" s="37">
        <v>0</v>
      </c>
      <c r="AH2084" s="37">
        <v>0</v>
      </c>
      <c r="AI2084" s="37">
        <v>95</v>
      </c>
      <c r="AJ2084" s="37">
        <v>1</v>
      </c>
      <c r="AK2084" s="37" t="str">
        <f>VLOOKUP(Mecze[[#This Row],[Match ID]],Meczusie[Mecz]:Meczusie[RodzajMeczu],2,FALSE)</f>
        <v>Towarzyski</v>
      </c>
    </row>
    <row r="2085" spans="1:37" x14ac:dyDescent="0.25">
      <c r="A2085" s="76">
        <v>61</v>
      </c>
      <c r="B2085" s="3" t="s">
        <v>454</v>
      </c>
      <c r="C2085" s="2" t="s">
        <v>165</v>
      </c>
      <c r="D2085" s="1">
        <v>0</v>
      </c>
      <c r="E2085" s="1">
        <v>5</v>
      </c>
      <c r="F2085" s="1">
        <v>3</v>
      </c>
      <c r="G2085" s="1">
        <v>4</v>
      </c>
      <c r="H2085" s="4">
        <v>0</v>
      </c>
      <c r="I2085" s="1">
        <v>2</v>
      </c>
      <c r="J2085" s="4">
        <v>1</v>
      </c>
      <c r="K2085" s="1">
        <v>0</v>
      </c>
      <c r="L2085" s="1">
        <v>0</v>
      </c>
      <c r="M2085" s="32">
        <f>IF(Mecze[[#This Row],[PR]]=0,0,Mecze[[#This Row],[PR]]/Mecze[[#This Row],[CZAS]])</f>
        <v>0</v>
      </c>
      <c r="N2085" s="32">
        <f>IF(Mecze[[#This Row],[OU]]=0,0,Mecze[[#This Row],[OU]]/Mecze[[#This Row],[CZAS]])</f>
        <v>2.1052631578947368E-2</v>
      </c>
      <c r="O2085" s="32">
        <f>IF(Mecze[[#This Row],[PC]]=0,0,Mecze[[#This Row],[PC]]/Mecze[[#This Row],[CZAS]])</f>
        <v>0</v>
      </c>
      <c r="P2085" s="32">
        <f>IF(Mecze[[#This Row],[SC]]=0,0,Mecze[[#This Row],[SC]]/Mecze[[#This Row],[CZAS]])</f>
        <v>3.1578947368421054E-2</v>
      </c>
      <c r="Q2085" s="32">
        <f>IF(Mecze[[#This Row],[OB]]=0,0,Mecze[[#This Row],[OB]]/Mecze[[#This Row],[CZAS]])</f>
        <v>0</v>
      </c>
      <c r="R2085" s="32">
        <f>IF(Mecze[[#This Row],[BR]]=0,0,Mecze[[#This Row],[BR]]/Mecze[[#This Row],[CZAS]])</f>
        <v>0</v>
      </c>
      <c r="S2085" s="44">
        <f>IF(Mecze[[#This Row],[Role]]="BR",SUMPRODUCT(Mecze[[#This Row],[/PR:90]:[/BR:90]],Brudnopis!$E$23:$J$23),0)</f>
        <v>0</v>
      </c>
      <c r="T2085" s="44">
        <f>IF(Mecze[[#This Row],[Role]]&lt;&gt;"BR",SUMPRODUCT(Mecze[[#This Row],[/PR:90]:[/BR:90]],Brudnopis!$E$24:$J$24),0)</f>
        <v>6.3157894736842107E-2</v>
      </c>
      <c r="U2085" s="44">
        <f>IF(Mecze[[#This Row],[Role]]&lt;&gt;"BR",SUMPRODUCT(Mecze[[#This Row],[/PR:90]:[/BR:90]],Brudnopis!$E$25:$J$25),0)</f>
        <v>5.2631578947368418E-2</v>
      </c>
      <c r="V2085" s="44">
        <f>IF(Mecze[[#This Row],[Role]]&lt;&gt;"BR",SUMPRODUCT(Mecze[[#This Row],[/PR:90]:[/BR:90]],Brudnopis!$E$26:$J$26),0)</f>
        <v>5.2631578947368418E-2</v>
      </c>
      <c r="W2085" s="44">
        <f>IF(Mecze[[#This Row],[Role]]&lt;&gt;"BR",SUMPRODUCT(Mecze[[#This Row],[/PR:90]:[/BR:90]],Brudnopis!$E$27:$J$27),0)</f>
        <v>4.736842105263158E-2</v>
      </c>
      <c r="X2085" s="44">
        <f>IF(Mecze[[#This Row],[Role]]&lt;&gt;"BR",SUMPRODUCT(Mecze[[#This Row],[/PR:90]:[/BR:90]],Brudnopis!$E$28:$J$28),0)</f>
        <v>6.3157894736842107E-2</v>
      </c>
      <c r="Y2085" s="35">
        <f>IF(Mecze[[#This Row],[Role]]="BR",Mecze[[#This Row],[/OB:90]]+Mecze[[#This Row],[/PC:90]],SUM(Mecze[[#This Row],[/PR:90]:[/BR:90]]))</f>
        <v>5.2631578947368418E-2</v>
      </c>
      <c r="Z2085" s="35">
        <f>IF(Mecze[[#This Row],[KC]]=0,SUM(Mecze[[#This Row],[/BRI]:[/NPI]]),SUM(Mecze[[#This Row],[/BRI]:[/NPI]])*0.6)</f>
        <v>0.27894736842105261</v>
      </c>
      <c r="AA2085" s="10">
        <f>IFERROR(Mecze[[#This Row],[BR]]/Mecze[[#This Row],[ST]],0)</f>
        <v>0</v>
      </c>
      <c r="AB2085">
        <f>ROUND(Mecze[[#This Row],[PD]]*Mecze[[#This Row],[%PC]],0)</f>
        <v>0</v>
      </c>
      <c r="AC2085">
        <f>ROUND(Mecze[[#This Row],[OD]]*Mecze[[#This Row],[%OU]],0)</f>
        <v>2</v>
      </c>
      <c r="AD2085" s="36" t="s">
        <v>46</v>
      </c>
      <c r="AE2085" s="36">
        <v>116</v>
      </c>
      <c r="AF2085" s="71">
        <v>3.37</v>
      </c>
      <c r="AG2085" s="37">
        <v>0</v>
      </c>
      <c r="AH2085" s="37">
        <v>0</v>
      </c>
      <c r="AI2085" s="37">
        <v>95</v>
      </c>
      <c r="AJ2085" s="37">
        <v>1</v>
      </c>
      <c r="AK2085" s="37" t="str">
        <f>VLOOKUP(Mecze[[#This Row],[Match ID]],Meczusie[Mecz]:Meczusie[RodzajMeczu],2,FALSE)</f>
        <v>Towarzyski</v>
      </c>
    </row>
    <row r="2086" spans="1:37" x14ac:dyDescent="0.25">
      <c r="A2086" s="76">
        <v>39</v>
      </c>
      <c r="B2086" s="3" t="s">
        <v>450</v>
      </c>
      <c r="C2086" s="2" t="s">
        <v>155</v>
      </c>
      <c r="D2086" s="1">
        <v>0</v>
      </c>
      <c r="E2086" s="1">
        <v>0</v>
      </c>
      <c r="F2086" s="1">
        <v>0</v>
      </c>
      <c r="G2086" s="1">
        <v>13</v>
      </c>
      <c r="H2086" s="4">
        <v>0.31</v>
      </c>
      <c r="I2086" s="1">
        <v>0</v>
      </c>
      <c r="J2086" s="4"/>
      <c r="K2086" s="1">
        <v>11</v>
      </c>
      <c r="L2086" s="1">
        <v>0</v>
      </c>
      <c r="M2086" s="32">
        <f>IF(Mecze[[#This Row],[PR]]=0,0,Mecze[[#This Row],[PR]]/Mecze[[#This Row],[CZAS]])</f>
        <v>0</v>
      </c>
      <c r="N2086" s="32">
        <f>IF(Mecze[[#This Row],[OU]]=0,0,Mecze[[#This Row],[OU]]/Mecze[[#This Row],[CZAS]])</f>
        <v>0</v>
      </c>
      <c r="O2086" s="32">
        <f>IF(Mecze[[#This Row],[PC]]=0,0,Mecze[[#This Row],[PC]]/Mecze[[#This Row],[CZAS]])</f>
        <v>4.1666666666666664E-2</v>
      </c>
      <c r="P2086" s="32">
        <f>IF(Mecze[[#This Row],[SC]]=0,0,Mecze[[#This Row],[SC]]/Mecze[[#This Row],[CZAS]])</f>
        <v>0</v>
      </c>
      <c r="Q2086" s="32">
        <f>IF(Mecze[[#This Row],[OB]]=0,0,Mecze[[#This Row],[OB]]/Mecze[[#This Row],[CZAS]])</f>
        <v>0.11458333333333333</v>
      </c>
      <c r="R2086" s="32">
        <f>IF(Mecze[[#This Row],[BR]]=0,0,Mecze[[#This Row],[BR]]/Mecze[[#This Row],[CZAS]])</f>
        <v>0</v>
      </c>
      <c r="S2086" s="44">
        <f>IF(Mecze[[#This Row],[Role]]="BR",SUMPRODUCT(Mecze[[#This Row],[/PR:90]:[/BR:90]],Brudnopis!$E$23:$J$23),0)</f>
        <v>0.46875</v>
      </c>
      <c r="T2086" s="44">
        <f>IF(Mecze[[#This Row],[Role]]&lt;&gt;"BR",SUMPRODUCT(Mecze[[#This Row],[/PR:90]:[/BR:90]],Brudnopis!$E$24:$J$24),0)</f>
        <v>0</v>
      </c>
      <c r="U2086" s="44">
        <f>IF(Mecze[[#This Row],[Role]]&lt;&gt;"BR",SUMPRODUCT(Mecze[[#This Row],[/PR:90]:[/BR:90]],Brudnopis!$E$25:$J$25),0)</f>
        <v>0</v>
      </c>
      <c r="V2086" s="44">
        <f>IF(Mecze[[#This Row],[Role]]&lt;&gt;"BR",SUMPRODUCT(Mecze[[#This Row],[/PR:90]:[/BR:90]],Brudnopis!$E$26:$J$26),0)</f>
        <v>0</v>
      </c>
      <c r="W2086" s="44">
        <f>IF(Mecze[[#This Row],[Role]]&lt;&gt;"BR",SUMPRODUCT(Mecze[[#This Row],[/PR:90]:[/BR:90]],Brudnopis!$E$27:$J$27),0)</f>
        <v>0</v>
      </c>
      <c r="X2086" s="44">
        <f>IF(Mecze[[#This Row],[Role]]&lt;&gt;"BR",SUMPRODUCT(Mecze[[#This Row],[/PR:90]:[/BR:90]],Brudnopis!$E$28:$J$28),0)</f>
        <v>0</v>
      </c>
      <c r="Y2086" s="35">
        <f>IF(Mecze[[#This Row],[Role]]="BR",Mecze[[#This Row],[/OB:90]]+Mecze[[#This Row],[/PC:90]],SUM(Mecze[[#This Row],[/PR:90]:[/BR:90]]))</f>
        <v>0.15625</v>
      </c>
      <c r="Z2086" s="35">
        <f>IF(Mecze[[#This Row],[KC]]=0,SUM(Mecze[[#This Row],[/BRI]:[/NPI]]),SUM(Mecze[[#This Row],[/BRI]:[/NPI]])*0.6)</f>
        <v>0.46875</v>
      </c>
      <c r="AA2086" s="10">
        <f>IFERROR(Mecze[[#This Row],[BR]]/Mecze[[#This Row],[ST]],0)</f>
        <v>0</v>
      </c>
      <c r="AB2086">
        <f>ROUND(Mecze[[#This Row],[PD]]*Mecze[[#This Row],[%PC]],0)</f>
        <v>4</v>
      </c>
      <c r="AC2086">
        <f>ROUND(Mecze[[#This Row],[OD]]*Mecze[[#This Row],[%OU]],0)</f>
        <v>0</v>
      </c>
      <c r="AD2086" s="36" t="s">
        <v>40</v>
      </c>
      <c r="AE2086" s="36">
        <v>117</v>
      </c>
      <c r="AF2086" s="71">
        <v>5.44</v>
      </c>
      <c r="AG2086" s="37">
        <v>0</v>
      </c>
      <c r="AH2086" s="37">
        <v>0</v>
      </c>
      <c r="AI2086" s="37">
        <v>96</v>
      </c>
      <c r="AJ2086" s="37">
        <v>1</v>
      </c>
      <c r="AK2086" s="37" t="str">
        <f>VLOOKUP(Mecze[[#This Row],[Match ID]],Meczusie[Mecz]:Meczusie[RodzajMeczu],2,FALSE)</f>
        <v>Towarzyski</v>
      </c>
    </row>
    <row r="2087" spans="1:37" x14ac:dyDescent="0.25">
      <c r="A2087" s="76">
        <v>38</v>
      </c>
      <c r="B2087" s="3" t="s">
        <v>359</v>
      </c>
      <c r="C2087" s="2" t="s">
        <v>157</v>
      </c>
      <c r="D2087" s="1">
        <v>0</v>
      </c>
      <c r="E2087" s="1">
        <v>0</v>
      </c>
      <c r="F2087" s="1">
        <v>0</v>
      </c>
      <c r="G2087" s="1">
        <v>8</v>
      </c>
      <c r="H2087" s="4">
        <v>0.5</v>
      </c>
      <c r="I2087" s="1">
        <v>11</v>
      </c>
      <c r="J2087" s="4">
        <v>0.45</v>
      </c>
      <c r="K2087" s="1">
        <v>0</v>
      </c>
      <c r="L2087" s="1">
        <v>1</v>
      </c>
      <c r="M2087" s="32">
        <f>IF(Mecze[[#This Row],[PR]]=0,0,Mecze[[#This Row],[PR]]/Mecze[[#This Row],[CZAS]])</f>
        <v>1.0416666666666666E-2</v>
      </c>
      <c r="N2087" s="32">
        <f>IF(Mecze[[#This Row],[OU]]=0,0,Mecze[[#This Row],[OU]]/Mecze[[#This Row],[CZAS]])</f>
        <v>5.2083333333333336E-2</v>
      </c>
      <c r="O2087" s="32">
        <f>IF(Mecze[[#This Row],[PC]]=0,0,Mecze[[#This Row],[PC]]/Mecze[[#This Row],[CZAS]])</f>
        <v>4.1666666666666664E-2</v>
      </c>
      <c r="P2087" s="32">
        <f>IF(Mecze[[#This Row],[SC]]=0,0,Mecze[[#This Row],[SC]]/Mecze[[#This Row],[CZAS]])</f>
        <v>0</v>
      </c>
      <c r="Q2087" s="32">
        <f>IF(Mecze[[#This Row],[OB]]=0,0,Mecze[[#This Row],[OB]]/Mecze[[#This Row],[CZAS]])</f>
        <v>0</v>
      </c>
      <c r="R2087" s="32">
        <f>IF(Mecze[[#This Row],[BR]]=0,0,Mecze[[#This Row],[BR]]/Mecze[[#This Row],[CZAS]])</f>
        <v>0</v>
      </c>
      <c r="S2087" s="44">
        <f>IF(Mecze[[#This Row],[Role]]="BR",SUMPRODUCT(Mecze[[#This Row],[/PR:90]:[/BR:90]],Brudnopis!$E$23:$J$23),0)</f>
        <v>0</v>
      </c>
      <c r="T2087" s="44">
        <f>IF(Mecze[[#This Row],[Role]]&lt;&gt;"BR",SUMPRODUCT(Mecze[[#This Row],[/PR:90]:[/BR:90]],Brudnopis!$E$24:$J$24),0)</f>
        <v>0.13020833333333334</v>
      </c>
      <c r="U2087" s="44">
        <f>IF(Mecze[[#This Row],[Role]]&lt;&gt;"BR",SUMPRODUCT(Mecze[[#This Row],[/PR:90]:[/BR:90]],Brudnopis!$E$25:$J$25),0)</f>
        <v>0.125</v>
      </c>
      <c r="V2087" s="44">
        <f>IF(Mecze[[#This Row],[Role]]&lt;&gt;"BR",SUMPRODUCT(Mecze[[#This Row],[/PR:90]:[/BR:90]],Brudnopis!$E$26:$J$26),0)</f>
        <v>0.10416666666666666</v>
      </c>
      <c r="W2087" s="44">
        <f>IF(Mecze[[#This Row],[Role]]&lt;&gt;"BR",SUMPRODUCT(Mecze[[#This Row],[/PR:90]:[/BR:90]],Brudnopis!$E$27:$J$27),0)</f>
        <v>0.109375</v>
      </c>
      <c r="X2087" s="44">
        <f>IF(Mecze[[#This Row],[Role]]&lt;&gt;"BR",SUMPRODUCT(Mecze[[#This Row],[/PR:90]:[/BR:90]],Brudnopis!$E$28:$J$28),0)</f>
        <v>4.1666666666666664E-2</v>
      </c>
      <c r="Y2087" s="35">
        <f>IF(Mecze[[#This Row],[Role]]="BR",Mecze[[#This Row],[/OB:90]]+Mecze[[#This Row],[/PC:90]],SUM(Mecze[[#This Row],[/PR:90]:[/BR:90]]))</f>
        <v>0.10416666666666666</v>
      </c>
      <c r="Z2087" s="35">
        <f>IF(Mecze[[#This Row],[KC]]=0,SUM(Mecze[[#This Row],[/BRI]:[/NPI]]),SUM(Mecze[[#This Row],[/BRI]:[/NPI]])*0.6)</f>
        <v>0.51041666666666663</v>
      </c>
      <c r="AA2087" s="10">
        <f>IFERROR(Mecze[[#This Row],[BR]]/Mecze[[#This Row],[ST]],0)</f>
        <v>0</v>
      </c>
      <c r="AB2087">
        <f>ROUND(Mecze[[#This Row],[PD]]*Mecze[[#This Row],[%PC]],0)</f>
        <v>4</v>
      </c>
      <c r="AC2087">
        <f>ROUND(Mecze[[#This Row],[OD]]*Mecze[[#This Row],[%OU]],0)</f>
        <v>5</v>
      </c>
      <c r="AD2087" s="36" t="s">
        <v>47</v>
      </c>
      <c r="AE2087" s="36">
        <v>117</v>
      </c>
      <c r="AF2087" s="71">
        <v>1.8</v>
      </c>
      <c r="AG2087" s="37">
        <v>0</v>
      </c>
      <c r="AH2087" s="37">
        <v>0</v>
      </c>
      <c r="AI2087" s="37">
        <v>96</v>
      </c>
      <c r="AJ2087" s="37">
        <v>1</v>
      </c>
      <c r="AK2087" s="37" t="str">
        <f>VLOOKUP(Mecze[[#This Row],[Match ID]],Meczusie[Mecz]:Meczusie[RodzajMeczu],2,FALSE)</f>
        <v>Towarzyski</v>
      </c>
    </row>
    <row r="2088" spans="1:37" x14ac:dyDescent="0.25">
      <c r="A2088" s="76">
        <v>17</v>
      </c>
      <c r="B2088" s="3" t="s">
        <v>413</v>
      </c>
      <c r="C2088" s="2" t="s">
        <v>157</v>
      </c>
      <c r="D2088" s="1">
        <v>0</v>
      </c>
      <c r="E2088" s="1">
        <v>0</v>
      </c>
      <c r="F2088" s="1">
        <v>0</v>
      </c>
      <c r="G2088" s="1">
        <v>6</v>
      </c>
      <c r="H2088" s="4">
        <v>0.5</v>
      </c>
      <c r="I2088" s="1">
        <v>3</v>
      </c>
      <c r="J2088" s="4">
        <v>0</v>
      </c>
      <c r="K2088" s="1">
        <v>0</v>
      </c>
      <c r="L2088" s="1">
        <v>7</v>
      </c>
      <c r="M2088" s="32">
        <f>IF(Mecze[[#This Row],[PR]]=0,0,Mecze[[#This Row],[PR]]/Mecze[[#This Row],[CZAS]])</f>
        <v>7.2916666666666671E-2</v>
      </c>
      <c r="N2088" s="32">
        <f>IF(Mecze[[#This Row],[OU]]=0,0,Mecze[[#This Row],[OU]]/Mecze[[#This Row],[CZAS]])</f>
        <v>0</v>
      </c>
      <c r="O2088" s="32">
        <f>IF(Mecze[[#This Row],[PC]]=0,0,Mecze[[#This Row],[PC]]/Mecze[[#This Row],[CZAS]])</f>
        <v>3.125E-2</v>
      </c>
      <c r="P2088" s="32">
        <f>IF(Mecze[[#This Row],[SC]]=0,0,Mecze[[#This Row],[SC]]/Mecze[[#This Row],[CZAS]])</f>
        <v>0</v>
      </c>
      <c r="Q2088" s="32">
        <f>IF(Mecze[[#This Row],[OB]]=0,0,Mecze[[#This Row],[OB]]/Mecze[[#This Row],[CZAS]])</f>
        <v>0</v>
      </c>
      <c r="R2088" s="32">
        <f>IF(Mecze[[#This Row],[BR]]=0,0,Mecze[[#This Row],[BR]]/Mecze[[#This Row],[CZAS]])</f>
        <v>0</v>
      </c>
      <c r="S2088" s="44">
        <f>IF(Mecze[[#This Row],[Role]]="BR",SUMPRODUCT(Mecze[[#This Row],[/PR:90]:[/BR:90]],Brudnopis!$E$23:$J$23),0)</f>
        <v>0</v>
      </c>
      <c r="T2088" s="44">
        <f>IF(Mecze[[#This Row],[Role]]&lt;&gt;"BR",SUMPRODUCT(Mecze[[#This Row],[/PR:90]:[/BR:90]],Brudnopis!$E$24:$J$24),0)</f>
        <v>0.10416666666666667</v>
      </c>
      <c r="U2088" s="44">
        <f>IF(Mecze[[#This Row],[Role]]&lt;&gt;"BR",SUMPRODUCT(Mecze[[#This Row],[/PR:90]:[/BR:90]],Brudnopis!$E$25:$J$25),0)</f>
        <v>0.11979166666666667</v>
      </c>
      <c r="V2088" s="44">
        <f>IF(Mecze[[#This Row],[Role]]&lt;&gt;"BR",SUMPRODUCT(Mecze[[#This Row],[/PR:90]:[/BR:90]],Brudnopis!$E$26:$J$26),0)</f>
        <v>0.10416666666666667</v>
      </c>
      <c r="W2088" s="44">
        <f>IF(Mecze[[#This Row],[Role]]&lt;&gt;"BR",SUMPRODUCT(Mecze[[#This Row],[/PR:90]:[/BR:90]],Brudnopis!$E$27:$J$27),0)</f>
        <v>0.1015625</v>
      </c>
      <c r="X2088" s="44">
        <f>IF(Mecze[[#This Row],[Role]]&lt;&gt;"BR",SUMPRODUCT(Mecze[[#This Row],[/PR:90]:[/BR:90]],Brudnopis!$E$28:$J$28),0)</f>
        <v>3.125E-2</v>
      </c>
      <c r="Y2088" s="35">
        <f>IF(Mecze[[#This Row],[Role]]="BR",Mecze[[#This Row],[/OB:90]]+Mecze[[#This Row],[/PC:90]],SUM(Mecze[[#This Row],[/PR:90]:[/BR:90]]))</f>
        <v>0.10416666666666667</v>
      </c>
      <c r="Z2088" s="35">
        <f>IF(Mecze[[#This Row],[KC]]=0,SUM(Mecze[[#This Row],[/BRI]:[/NPI]]),SUM(Mecze[[#This Row],[/BRI]:[/NPI]])*0.6)</f>
        <v>0.4609375</v>
      </c>
      <c r="AA2088" s="10">
        <f>IFERROR(Mecze[[#This Row],[BR]]/Mecze[[#This Row],[ST]],0)</f>
        <v>0</v>
      </c>
      <c r="AB2088">
        <f>ROUND(Mecze[[#This Row],[PD]]*Mecze[[#This Row],[%PC]],0)</f>
        <v>3</v>
      </c>
      <c r="AC2088">
        <f>ROUND(Mecze[[#This Row],[OD]]*Mecze[[#This Row],[%OU]],0)</f>
        <v>0</v>
      </c>
      <c r="AD2088" s="36" t="s">
        <v>167</v>
      </c>
      <c r="AE2088" s="36">
        <v>117</v>
      </c>
      <c r="AF2088" s="71">
        <v>3.06</v>
      </c>
      <c r="AG2088" s="37">
        <v>0</v>
      </c>
      <c r="AH2088" s="37">
        <v>0</v>
      </c>
      <c r="AI2088" s="37">
        <v>96</v>
      </c>
      <c r="AJ2088" s="37">
        <v>1</v>
      </c>
      <c r="AK2088" s="37" t="str">
        <f>VLOOKUP(Mecze[[#This Row],[Match ID]],Meczusie[Mecz]:Meczusie[RodzajMeczu],2,FALSE)</f>
        <v>Towarzyski</v>
      </c>
    </row>
    <row r="2089" spans="1:37" x14ac:dyDescent="0.25">
      <c r="A2089" s="76">
        <v>4</v>
      </c>
      <c r="B2089" s="3" t="s">
        <v>360</v>
      </c>
      <c r="C2089" s="2" t="s">
        <v>157</v>
      </c>
      <c r="D2089" s="1">
        <v>0</v>
      </c>
      <c r="E2089" s="1">
        <v>0</v>
      </c>
      <c r="F2089" s="1">
        <v>0</v>
      </c>
      <c r="G2089" s="1">
        <v>11</v>
      </c>
      <c r="H2089" s="4">
        <v>0.36</v>
      </c>
      <c r="I2089" s="1">
        <v>9</v>
      </c>
      <c r="J2089" s="4">
        <v>0.67</v>
      </c>
      <c r="K2089" s="1">
        <v>0</v>
      </c>
      <c r="L2089" s="1">
        <v>9</v>
      </c>
      <c r="M2089" s="32">
        <f>IF(Mecze[[#This Row],[PR]]=0,0,Mecze[[#This Row],[PR]]/Mecze[[#This Row],[CZAS]])</f>
        <v>9.375E-2</v>
      </c>
      <c r="N2089" s="32">
        <f>IF(Mecze[[#This Row],[OU]]=0,0,Mecze[[#This Row],[OU]]/Mecze[[#This Row],[CZAS]])</f>
        <v>6.25E-2</v>
      </c>
      <c r="O2089" s="32">
        <f>IF(Mecze[[#This Row],[PC]]=0,0,Mecze[[#This Row],[PC]]/Mecze[[#This Row],[CZAS]])</f>
        <v>4.1666666666666664E-2</v>
      </c>
      <c r="P2089" s="32">
        <f>IF(Mecze[[#This Row],[SC]]=0,0,Mecze[[#This Row],[SC]]/Mecze[[#This Row],[CZAS]])</f>
        <v>0</v>
      </c>
      <c r="Q2089" s="32">
        <f>IF(Mecze[[#This Row],[OB]]=0,0,Mecze[[#This Row],[OB]]/Mecze[[#This Row],[CZAS]])</f>
        <v>0</v>
      </c>
      <c r="R2089" s="32">
        <f>IF(Mecze[[#This Row],[BR]]=0,0,Mecze[[#This Row],[BR]]/Mecze[[#This Row],[CZAS]])</f>
        <v>0</v>
      </c>
      <c r="S2089" s="44">
        <f>IF(Mecze[[#This Row],[Role]]="BR",SUMPRODUCT(Mecze[[#This Row],[/PR:90]:[/BR:90]],Brudnopis!$E$23:$J$23),0)</f>
        <v>0</v>
      </c>
      <c r="T2089" s="44">
        <f>IF(Mecze[[#This Row],[Role]]&lt;&gt;"BR",SUMPRODUCT(Mecze[[#This Row],[/PR:90]:[/BR:90]],Brudnopis!$E$24:$J$24),0)</f>
        <v>0.22916666666666666</v>
      </c>
      <c r="U2089" s="44">
        <f>IF(Mecze[[#This Row],[Role]]&lt;&gt;"BR",SUMPRODUCT(Mecze[[#This Row],[/PR:90]:[/BR:90]],Brudnopis!$E$25:$J$25),0)</f>
        <v>0.21875</v>
      </c>
      <c r="V2089" s="44">
        <f>IF(Mecze[[#This Row],[Role]]&lt;&gt;"BR",SUMPRODUCT(Mecze[[#This Row],[/PR:90]:[/BR:90]],Brudnopis!$E$26:$J$26),0)</f>
        <v>0.19791666666666666</v>
      </c>
      <c r="W2089" s="44">
        <f>IF(Mecze[[#This Row],[Role]]&lt;&gt;"BR",SUMPRODUCT(Mecze[[#This Row],[/PR:90]:[/BR:90]],Brudnopis!$E$27:$J$27),0)</f>
        <v>0.1796875</v>
      </c>
      <c r="X2089" s="44">
        <f>IF(Mecze[[#This Row],[Role]]&lt;&gt;"BR",SUMPRODUCT(Mecze[[#This Row],[/PR:90]:[/BR:90]],Brudnopis!$E$28:$J$28),0)</f>
        <v>4.1666666666666664E-2</v>
      </c>
      <c r="Y2089" s="35">
        <f>IF(Mecze[[#This Row],[Role]]="BR",Mecze[[#This Row],[/OB:90]]+Mecze[[#This Row],[/PC:90]],SUM(Mecze[[#This Row],[/PR:90]:[/BR:90]]))</f>
        <v>0.19791666666666666</v>
      </c>
      <c r="Z2089" s="35">
        <f>IF(Mecze[[#This Row],[KC]]=0,SUM(Mecze[[#This Row],[/BRI]:[/NPI]]),SUM(Mecze[[#This Row],[/BRI]:[/NPI]])*0.6)</f>
        <v>0.86718749999999989</v>
      </c>
      <c r="AA2089" s="10">
        <f>IFERROR(Mecze[[#This Row],[BR]]/Mecze[[#This Row],[ST]],0)</f>
        <v>0</v>
      </c>
      <c r="AB2089">
        <f>ROUND(Mecze[[#This Row],[PD]]*Mecze[[#This Row],[%PC]],0)</f>
        <v>4</v>
      </c>
      <c r="AC2089">
        <f>ROUND(Mecze[[#This Row],[OD]]*Mecze[[#This Row],[%OU]],0)</f>
        <v>6</v>
      </c>
      <c r="AD2089" s="36" t="s">
        <v>168</v>
      </c>
      <c r="AE2089" s="36">
        <v>117</v>
      </c>
      <c r="AF2089" s="71">
        <v>4.5999999999999996</v>
      </c>
      <c r="AG2089" s="37">
        <v>0</v>
      </c>
      <c r="AH2089" s="37">
        <v>0</v>
      </c>
      <c r="AI2089" s="37">
        <v>96</v>
      </c>
      <c r="AJ2089" s="37">
        <v>1</v>
      </c>
      <c r="AK2089" s="37" t="str">
        <f>VLOOKUP(Mecze[[#This Row],[Match ID]],Meczusie[Mecz]:Meczusie[RodzajMeczu],2,FALSE)</f>
        <v>Towarzyski</v>
      </c>
    </row>
    <row r="2090" spans="1:37" x14ac:dyDescent="0.25">
      <c r="A2090" s="76">
        <v>40</v>
      </c>
      <c r="B2090" s="3" t="s">
        <v>453</v>
      </c>
      <c r="C2090" s="2" t="s">
        <v>160</v>
      </c>
      <c r="D2090" s="1">
        <v>0</v>
      </c>
      <c r="E2090" s="1">
        <v>0</v>
      </c>
      <c r="F2090" s="1">
        <v>0</v>
      </c>
      <c r="G2090" s="1">
        <v>7</v>
      </c>
      <c r="H2090" s="4">
        <v>0.14000000000000001</v>
      </c>
      <c r="I2090" s="1">
        <v>11</v>
      </c>
      <c r="J2090" s="4">
        <v>0.18</v>
      </c>
      <c r="K2090" s="1">
        <v>0</v>
      </c>
      <c r="L2090" s="1">
        <v>5</v>
      </c>
      <c r="M2090" s="32">
        <f>IF(Mecze[[#This Row],[PR]]=0,0,Mecze[[#This Row],[PR]]/Mecze[[#This Row],[CZAS]])</f>
        <v>5.2083333333333336E-2</v>
      </c>
      <c r="N2090" s="32">
        <f>IF(Mecze[[#This Row],[OU]]=0,0,Mecze[[#This Row],[OU]]/Mecze[[#This Row],[CZAS]])</f>
        <v>2.0833333333333332E-2</v>
      </c>
      <c r="O2090" s="32">
        <f>IF(Mecze[[#This Row],[PC]]=0,0,Mecze[[#This Row],[PC]]/Mecze[[#This Row],[CZAS]])</f>
        <v>1.0416666666666666E-2</v>
      </c>
      <c r="P2090" s="32">
        <f>IF(Mecze[[#This Row],[SC]]=0,0,Mecze[[#This Row],[SC]]/Mecze[[#This Row],[CZAS]])</f>
        <v>0</v>
      </c>
      <c r="Q2090" s="32">
        <f>IF(Mecze[[#This Row],[OB]]=0,0,Mecze[[#This Row],[OB]]/Mecze[[#This Row],[CZAS]])</f>
        <v>0</v>
      </c>
      <c r="R2090" s="32">
        <f>IF(Mecze[[#This Row],[BR]]=0,0,Mecze[[#This Row],[BR]]/Mecze[[#This Row],[CZAS]])</f>
        <v>0</v>
      </c>
      <c r="S2090" s="44">
        <f>IF(Mecze[[#This Row],[Role]]="BR",SUMPRODUCT(Mecze[[#This Row],[/PR:90]:[/BR:90]],Brudnopis!$E$23:$J$23),0)</f>
        <v>0</v>
      </c>
      <c r="T2090" s="44">
        <f>IF(Mecze[[#This Row],[Role]]&lt;&gt;"BR",SUMPRODUCT(Mecze[[#This Row],[/PR:90]:[/BR:90]],Brudnopis!$E$24:$J$24),0)</f>
        <v>9.3750000000000014E-2</v>
      </c>
      <c r="U2090" s="44">
        <f>IF(Mecze[[#This Row],[Role]]&lt;&gt;"BR",SUMPRODUCT(Mecze[[#This Row],[/PR:90]:[/BR:90]],Brudnopis!$E$25:$J$25),0)</f>
        <v>8.8541666666666671E-2</v>
      </c>
      <c r="V2090" s="44">
        <f>IF(Mecze[[#This Row],[Role]]&lt;&gt;"BR",SUMPRODUCT(Mecze[[#This Row],[/PR:90]:[/BR:90]],Brudnopis!$E$26:$J$26),0)</f>
        <v>8.3333333333333343E-2</v>
      </c>
      <c r="W2090" s="44">
        <f>IF(Mecze[[#This Row],[Role]]&lt;&gt;"BR",SUMPRODUCT(Mecze[[#This Row],[/PR:90]:[/BR:90]],Brudnopis!$E$27:$J$27),0)</f>
        <v>7.03125E-2</v>
      </c>
      <c r="X2090" s="44">
        <f>IF(Mecze[[#This Row],[Role]]&lt;&gt;"BR",SUMPRODUCT(Mecze[[#This Row],[/PR:90]:[/BR:90]],Brudnopis!$E$28:$J$28),0)</f>
        <v>1.0416666666666666E-2</v>
      </c>
      <c r="Y2090" s="35">
        <f>IF(Mecze[[#This Row],[Role]]="BR",Mecze[[#This Row],[/OB:90]]+Mecze[[#This Row],[/PC:90]],SUM(Mecze[[#This Row],[/PR:90]:[/BR:90]]))</f>
        <v>8.3333333333333343E-2</v>
      </c>
      <c r="Z2090" s="35">
        <f>IF(Mecze[[#This Row],[KC]]=0,SUM(Mecze[[#This Row],[/BRI]:[/NPI]]),SUM(Mecze[[#This Row],[/BRI]:[/NPI]])*0.6)</f>
        <v>0.34635416666666669</v>
      </c>
      <c r="AA2090" s="10">
        <f>IFERROR(Mecze[[#This Row],[BR]]/Mecze[[#This Row],[ST]],0)</f>
        <v>0</v>
      </c>
      <c r="AB2090">
        <f>ROUND(Mecze[[#This Row],[PD]]*Mecze[[#This Row],[%PC]],0)</f>
        <v>1</v>
      </c>
      <c r="AC2090">
        <f>ROUND(Mecze[[#This Row],[OD]]*Mecze[[#This Row],[%OU]],0)</f>
        <v>2</v>
      </c>
      <c r="AD2090" s="36" t="s">
        <v>41</v>
      </c>
      <c r="AE2090" s="36">
        <v>117</v>
      </c>
      <c r="AF2090" s="71">
        <v>3.75</v>
      </c>
      <c r="AG2090" s="37">
        <v>0</v>
      </c>
      <c r="AH2090" s="37">
        <v>0</v>
      </c>
      <c r="AI2090" s="37">
        <v>96</v>
      </c>
      <c r="AJ2090" s="37">
        <v>1</v>
      </c>
      <c r="AK2090" s="37" t="str">
        <f>VLOOKUP(Mecze[[#This Row],[Match ID]],Meczusie[Mecz]:Meczusie[RodzajMeczu],2,FALSE)</f>
        <v>Towarzyski</v>
      </c>
    </row>
    <row r="2091" spans="1:37" x14ac:dyDescent="0.25">
      <c r="A2091" s="76">
        <v>22</v>
      </c>
      <c r="B2091" s="3" t="s">
        <v>363</v>
      </c>
      <c r="C2091" s="2" t="s">
        <v>160</v>
      </c>
      <c r="D2091" s="1">
        <v>0</v>
      </c>
      <c r="E2091" s="1">
        <v>0</v>
      </c>
      <c r="F2091" s="1">
        <v>0</v>
      </c>
      <c r="G2091" s="1">
        <v>11</v>
      </c>
      <c r="H2091" s="4">
        <v>0.55000000000000004</v>
      </c>
      <c r="I2091" s="1">
        <v>8</v>
      </c>
      <c r="J2091" s="4">
        <v>0.25</v>
      </c>
      <c r="K2091" s="1">
        <v>0</v>
      </c>
      <c r="L2091" s="1">
        <v>8</v>
      </c>
      <c r="M2091" s="32">
        <f>IF(Mecze[[#This Row],[PR]]=0,0,Mecze[[#This Row],[PR]]/Mecze[[#This Row],[CZAS]])</f>
        <v>8.3333333333333329E-2</v>
      </c>
      <c r="N2091" s="32">
        <f>IF(Mecze[[#This Row],[OU]]=0,0,Mecze[[#This Row],[OU]]/Mecze[[#This Row],[CZAS]])</f>
        <v>2.0833333333333332E-2</v>
      </c>
      <c r="O2091" s="32">
        <f>IF(Mecze[[#This Row],[PC]]=0,0,Mecze[[#This Row],[PC]]/Mecze[[#This Row],[CZAS]])</f>
        <v>6.25E-2</v>
      </c>
      <c r="P2091" s="32">
        <f>IF(Mecze[[#This Row],[SC]]=0,0,Mecze[[#This Row],[SC]]/Mecze[[#This Row],[CZAS]])</f>
        <v>0</v>
      </c>
      <c r="Q2091" s="32">
        <f>IF(Mecze[[#This Row],[OB]]=0,0,Mecze[[#This Row],[OB]]/Mecze[[#This Row],[CZAS]])</f>
        <v>0</v>
      </c>
      <c r="R2091" s="32">
        <f>IF(Mecze[[#This Row],[BR]]=0,0,Mecze[[#This Row],[BR]]/Mecze[[#This Row],[CZAS]])</f>
        <v>0</v>
      </c>
      <c r="S2091" s="44">
        <f>IF(Mecze[[#This Row],[Role]]="BR",SUMPRODUCT(Mecze[[#This Row],[/PR:90]:[/BR:90]],Brudnopis!$E$23:$J$23),0)</f>
        <v>0</v>
      </c>
      <c r="T2091" s="44">
        <f>IF(Mecze[[#This Row],[Role]]&lt;&gt;"BR",SUMPRODUCT(Mecze[[#This Row],[/PR:90]:[/BR:90]],Brudnopis!$E$24:$J$24),0)</f>
        <v>0.17708333333333331</v>
      </c>
      <c r="U2091" s="44">
        <f>IF(Mecze[[#This Row],[Role]]&lt;&gt;"BR",SUMPRODUCT(Mecze[[#This Row],[/PR:90]:[/BR:90]],Brudnopis!$E$25:$J$25),0)</f>
        <v>0.19791666666666666</v>
      </c>
      <c r="V2091" s="44">
        <f>IF(Mecze[[#This Row],[Role]]&lt;&gt;"BR",SUMPRODUCT(Mecze[[#This Row],[/PR:90]:[/BR:90]],Brudnopis!$E$26:$J$26),0)</f>
        <v>0.16666666666666666</v>
      </c>
      <c r="W2091" s="44">
        <f>IF(Mecze[[#This Row],[Role]]&lt;&gt;"BR",SUMPRODUCT(Mecze[[#This Row],[/PR:90]:[/BR:90]],Brudnopis!$E$27:$J$27),0)</f>
        <v>0.171875</v>
      </c>
      <c r="X2091" s="44">
        <f>IF(Mecze[[#This Row],[Role]]&lt;&gt;"BR",SUMPRODUCT(Mecze[[#This Row],[/PR:90]:[/BR:90]],Brudnopis!$E$28:$J$28),0)</f>
        <v>6.25E-2</v>
      </c>
      <c r="Y2091" s="35">
        <f>IF(Mecze[[#This Row],[Role]]="BR",Mecze[[#This Row],[/OB:90]]+Mecze[[#This Row],[/PC:90]],SUM(Mecze[[#This Row],[/PR:90]:[/BR:90]]))</f>
        <v>0.16666666666666666</v>
      </c>
      <c r="Z2091" s="35">
        <f>IF(Mecze[[#This Row],[KC]]=0,SUM(Mecze[[#This Row],[/BRI]:[/NPI]]),SUM(Mecze[[#This Row],[/BRI]:[/NPI]])*0.6)</f>
        <v>0.77604166666666663</v>
      </c>
      <c r="AA2091" s="10">
        <f>IFERROR(Mecze[[#This Row],[BR]]/Mecze[[#This Row],[ST]],0)</f>
        <v>0</v>
      </c>
      <c r="AB2091">
        <f>ROUND(Mecze[[#This Row],[PD]]*Mecze[[#This Row],[%PC]],0)</f>
        <v>6</v>
      </c>
      <c r="AC2091">
        <f>ROUND(Mecze[[#This Row],[OD]]*Mecze[[#This Row],[%OU]],0)</f>
        <v>2</v>
      </c>
      <c r="AD2091" s="36" t="s">
        <v>41</v>
      </c>
      <c r="AE2091" s="36">
        <v>117</v>
      </c>
      <c r="AF2091" s="71">
        <v>5.59</v>
      </c>
      <c r="AG2091" s="37">
        <v>0</v>
      </c>
      <c r="AH2091" s="37">
        <v>0</v>
      </c>
      <c r="AI2091" s="37">
        <v>96</v>
      </c>
      <c r="AJ2091" s="37">
        <v>1</v>
      </c>
      <c r="AK2091" s="37" t="str">
        <f>VLOOKUP(Mecze[[#This Row],[Match ID]],Meczusie[Mecz]:Meczusie[RodzajMeczu],2,FALSE)</f>
        <v>Towarzyski</v>
      </c>
    </row>
    <row r="2092" spans="1:37" x14ac:dyDescent="0.25">
      <c r="A2092" s="76">
        <v>25</v>
      </c>
      <c r="B2092" s="3" t="s">
        <v>366</v>
      </c>
      <c r="C2092" s="2" t="s">
        <v>160</v>
      </c>
      <c r="D2092" s="1">
        <v>0</v>
      </c>
      <c r="E2092" s="1">
        <v>0</v>
      </c>
      <c r="F2092" s="1">
        <v>0</v>
      </c>
      <c r="G2092" s="1">
        <v>9</v>
      </c>
      <c r="H2092" s="4">
        <v>0.44</v>
      </c>
      <c r="I2092" s="1">
        <v>6</v>
      </c>
      <c r="J2092" s="4">
        <v>0.33</v>
      </c>
      <c r="K2092" s="1">
        <v>0</v>
      </c>
      <c r="L2092" s="1">
        <v>2</v>
      </c>
      <c r="M2092" s="32">
        <f>IF(Mecze[[#This Row],[PR]]=0,0,Mecze[[#This Row],[PR]]/Mecze[[#This Row],[CZAS]])</f>
        <v>2.0833333333333332E-2</v>
      </c>
      <c r="N2092" s="32">
        <f>IF(Mecze[[#This Row],[OU]]=0,0,Mecze[[#This Row],[OU]]/Mecze[[#This Row],[CZAS]])</f>
        <v>2.0833333333333332E-2</v>
      </c>
      <c r="O2092" s="32">
        <f>IF(Mecze[[#This Row],[PC]]=0,0,Mecze[[#This Row],[PC]]/Mecze[[#This Row],[CZAS]])</f>
        <v>4.1666666666666664E-2</v>
      </c>
      <c r="P2092" s="32">
        <f>IF(Mecze[[#This Row],[SC]]=0,0,Mecze[[#This Row],[SC]]/Mecze[[#This Row],[CZAS]])</f>
        <v>0</v>
      </c>
      <c r="Q2092" s="32">
        <f>IF(Mecze[[#This Row],[OB]]=0,0,Mecze[[#This Row],[OB]]/Mecze[[#This Row],[CZAS]])</f>
        <v>0</v>
      </c>
      <c r="R2092" s="32">
        <f>IF(Mecze[[#This Row],[BR]]=0,0,Mecze[[#This Row],[BR]]/Mecze[[#This Row],[CZAS]])</f>
        <v>0</v>
      </c>
      <c r="S2092" s="44">
        <f>IF(Mecze[[#This Row],[Role]]="BR",SUMPRODUCT(Mecze[[#This Row],[/PR:90]:[/BR:90]],Brudnopis!$E$23:$J$23),0)</f>
        <v>0</v>
      </c>
      <c r="T2092" s="44">
        <f>IF(Mecze[[#This Row],[Role]]&lt;&gt;"BR",SUMPRODUCT(Mecze[[#This Row],[/PR:90]:[/BR:90]],Brudnopis!$E$24:$J$24),0)</f>
        <v>9.375E-2</v>
      </c>
      <c r="U2092" s="44">
        <f>IF(Mecze[[#This Row],[Role]]&lt;&gt;"BR",SUMPRODUCT(Mecze[[#This Row],[/PR:90]:[/BR:90]],Brudnopis!$E$25:$J$25),0)</f>
        <v>0.10416666666666666</v>
      </c>
      <c r="V2092" s="44">
        <f>IF(Mecze[[#This Row],[Role]]&lt;&gt;"BR",SUMPRODUCT(Mecze[[#This Row],[/PR:90]:[/BR:90]],Brudnopis!$E$26:$J$26),0)</f>
        <v>8.3333333333333329E-2</v>
      </c>
      <c r="W2092" s="44">
        <f>IF(Mecze[[#This Row],[Role]]&lt;&gt;"BR",SUMPRODUCT(Mecze[[#This Row],[/PR:90]:[/BR:90]],Brudnopis!$E$27:$J$27),0)</f>
        <v>9.375E-2</v>
      </c>
      <c r="X2092" s="44">
        <f>IF(Mecze[[#This Row],[Role]]&lt;&gt;"BR",SUMPRODUCT(Mecze[[#This Row],[/PR:90]:[/BR:90]],Brudnopis!$E$28:$J$28),0)</f>
        <v>4.1666666666666664E-2</v>
      </c>
      <c r="Y2092" s="35">
        <f>IF(Mecze[[#This Row],[Role]]="BR",Mecze[[#This Row],[/OB:90]]+Mecze[[#This Row],[/PC:90]],SUM(Mecze[[#This Row],[/PR:90]:[/BR:90]]))</f>
        <v>8.3333333333333329E-2</v>
      </c>
      <c r="Z2092" s="35">
        <f>IF(Mecze[[#This Row],[KC]]=0,SUM(Mecze[[#This Row],[/BRI]:[/NPI]]),SUM(Mecze[[#This Row],[/BRI]:[/NPI]])*0.6)</f>
        <v>0.41666666666666669</v>
      </c>
      <c r="AA2092" s="10">
        <f>IFERROR(Mecze[[#This Row],[BR]]/Mecze[[#This Row],[ST]],0)</f>
        <v>0</v>
      </c>
      <c r="AB2092">
        <f>ROUND(Mecze[[#This Row],[PD]]*Mecze[[#This Row],[%PC]],0)</f>
        <v>4</v>
      </c>
      <c r="AC2092">
        <f>ROUND(Mecze[[#This Row],[OD]]*Mecze[[#This Row],[%OU]],0)</f>
        <v>2</v>
      </c>
      <c r="AD2092" s="36" t="s">
        <v>44</v>
      </c>
      <c r="AE2092" s="36">
        <v>117</v>
      </c>
      <c r="AF2092" s="71">
        <v>3.12</v>
      </c>
      <c r="AG2092" s="37">
        <v>0</v>
      </c>
      <c r="AH2092" s="37">
        <v>0</v>
      </c>
      <c r="AI2092" s="37">
        <v>96</v>
      </c>
      <c r="AJ2092" s="37">
        <v>1</v>
      </c>
      <c r="AK2092" s="37" t="str">
        <f>VLOOKUP(Mecze[[#This Row],[Match ID]],Meczusie[Mecz]:Meczusie[RodzajMeczu],2,FALSE)</f>
        <v>Towarzyski</v>
      </c>
    </row>
    <row r="2093" spans="1:37" x14ac:dyDescent="0.25">
      <c r="A2093" s="76">
        <v>59</v>
      </c>
      <c r="B2093" s="3" t="s">
        <v>455</v>
      </c>
      <c r="C2093" s="2" t="s">
        <v>160</v>
      </c>
      <c r="D2093" s="1">
        <v>0</v>
      </c>
      <c r="E2093" s="1">
        <v>0</v>
      </c>
      <c r="F2093" s="1">
        <v>0</v>
      </c>
      <c r="G2093" s="1">
        <v>5</v>
      </c>
      <c r="H2093" s="4">
        <v>0.6</v>
      </c>
      <c r="I2093" s="1">
        <v>1</v>
      </c>
      <c r="J2093" s="4">
        <v>1</v>
      </c>
      <c r="K2093" s="1">
        <v>0</v>
      </c>
      <c r="L2093" s="1">
        <v>3</v>
      </c>
      <c r="M2093" s="32">
        <f>IF(Mecze[[#This Row],[PR]]=0,0,Mecze[[#This Row],[PR]]/Mecze[[#This Row],[CZAS]])</f>
        <v>3.125E-2</v>
      </c>
      <c r="N2093" s="32">
        <f>IF(Mecze[[#This Row],[OU]]=0,0,Mecze[[#This Row],[OU]]/Mecze[[#This Row],[CZAS]])</f>
        <v>1.0416666666666666E-2</v>
      </c>
      <c r="O2093" s="32">
        <f>IF(Mecze[[#This Row],[PC]]=0,0,Mecze[[#This Row],[PC]]/Mecze[[#This Row],[CZAS]])</f>
        <v>3.125E-2</v>
      </c>
      <c r="P2093" s="32">
        <f>IF(Mecze[[#This Row],[SC]]=0,0,Mecze[[#This Row],[SC]]/Mecze[[#This Row],[CZAS]])</f>
        <v>0</v>
      </c>
      <c r="Q2093" s="32">
        <f>IF(Mecze[[#This Row],[OB]]=0,0,Mecze[[#This Row],[OB]]/Mecze[[#This Row],[CZAS]])</f>
        <v>0</v>
      </c>
      <c r="R2093" s="32">
        <f>IF(Mecze[[#This Row],[BR]]=0,0,Mecze[[#This Row],[BR]]/Mecze[[#This Row],[CZAS]])</f>
        <v>0</v>
      </c>
      <c r="S2093" s="44">
        <f>IF(Mecze[[#This Row],[Role]]="BR",SUMPRODUCT(Mecze[[#This Row],[/PR:90]:[/BR:90]],Brudnopis!$E$23:$J$23),0)</f>
        <v>0</v>
      </c>
      <c r="T2093" s="44">
        <f>IF(Mecze[[#This Row],[Role]]&lt;&gt;"BR",SUMPRODUCT(Mecze[[#This Row],[/PR:90]:[/BR:90]],Brudnopis!$E$24:$J$24),0)</f>
        <v>7.8125E-2</v>
      </c>
      <c r="U2093" s="44">
        <f>IF(Mecze[[#This Row],[Role]]&lt;&gt;"BR",SUMPRODUCT(Mecze[[#This Row],[/PR:90]:[/BR:90]],Brudnopis!$E$25:$J$25),0)</f>
        <v>8.8541666666666657E-2</v>
      </c>
      <c r="V2093" s="44">
        <f>IF(Mecze[[#This Row],[Role]]&lt;&gt;"BR",SUMPRODUCT(Mecze[[#This Row],[/PR:90]:[/BR:90]],Brudnopis!$E$26:$J$26),0)</f>
        <v>7.2916666666666657E-2</v>
      </c>
      <c r="W2093" s="44">
        <f>IF(Mecze[[#This Row],[Role]]&lt;&gt;"BR",SUMPRODUCT(Mecze[[#This Row],[/PR:90]:[/BR:90]],Brudnopis!$E$27:$J$27),0)</f>
        <v>7.8125E-2</v>
      </c>
      <c r="X2093" s="44">
        <f>IF(Mecze[[#This Row],[Role]]&lt;&gt;"BR",SUMPRODUCT(Mecze[[#This Row],[/PR:90]:[/BR:90]],Brudnopis!$E$28:$J$28),0)</f>
        <v>3.125E-2</v>
      </c>
      <c r="Y2093" s="35">
        <f>IF(Mecze[[#This Row],[Role]]="BR",Mecze[[#This Row],[/OB:90]]+Mecze[[#This Row],[/PC:90]],SUM(Mecze[[#This Row],[/PR:90]:[/BR:90]]))</f>
        <v>7.2916666666666657E-2</v>
      </c>
      <c r="Z2093" s="35">
        <f>IF(Mecze[[#This Row],[KC]]=0,SUM(Mecze[[#This Row],[/BRI]:[/NPI]]),SUM(Mecze[[#This Row],[/BRI]:[/NPI]])*0.6)</f>
        <v>0.34895833333333331</v>
      </c>
      <c r="AA2093" s="10">
        <f>IFERROR(Mecze[[#This Row],[BR]]/Mecze[[#This Row],[ST]],0)</f>
        <v>0</v>
      </c>
      <c r="AB2093">
        <f>ROUND(Mecze[[#This Row],[PD]]*Mecze[[#This Row],[%PC]],0)</f>
        <v>3</v>
      </c>
      <c r="AC2093">
        <f>ROUND(Mecze[[#This Row],[OD]]*Mecze[[#This Row],[%OU]],0)</f>
        <v>1</v>
      </c>
      <c r="AD2093" s="36" t="s">
        <v>44</v>
      </c>
      <c r="AE2093" s="36">
        <v>117</v>
      </c>
      <c r="AF2093" s="71">
        <v>4.54</v>
      </c>
      <c r="AG2093" s="37">
        <v>0</v>
      </c>
      <c r="AH2093" s="37">
        <v>0</v>
      </c>
      <c r="AI2093" s="37">
        <v>96</v>
      </c>
      <c r="AJ2093" s="37">
        <v>1</v>
      </c>
      <c r="AK2093" s="37" t="str">
        <f>VLOOKUP(Mecze[[#This Row],[Match ID]],Meczusie[Mecz]:Meczusie[RodzajMeczu],2,FALSE)</f>
        <v>Towarzyski</v>
      </c>
    </row>
    <row r="2094" spans="1:37" x14ac:dyDescent="0.25">
      <c r="A2094" s="76">
        <v>27</v>
      </c>
      <c r="B2094" s="3" t="s">
        <v>364</v>
      </c>
      <c r="C2094" s="2" t="s">
        <v>165</v>
      </c>
      <c r="D2094" s="1">
        <v>0</v>
      </c>
      <c r="E2094" s="1">
        <v>1</v>
      </c>
      <c r="F2094" s="1">
        <v>1</v>
      </c>
      <c r="G2094" s="1">
        <v>16</v>
      </c>
      <c r="H2094" s="4">
        <v>0.44</v>
      </c>
      <c r="I2094" s="1">
        <v>5</v>
      </c>
      <c r="J2094" s="4">
        <v>0.2</v>
      </c>
      <c r="K2094" s="1">
        <v>0</v>
      </c>
      <c r="L2094" s="1">
        <v>4</v>
      </c>
      <c r="M2094" s="32">
        <f>IF(Mecze[[#This Row],[PR]]=0,0,Mecze[[#This Row],[PR]]/Mecze[[#This Row],[CZAS]])</f>
        <v>4.1666666666666664E-2</v>
      </c>
      <c r="N2094" s="32">
        <f>IF(Mecze[[#This Row],[OU]]=0,0,Mecze[[#This Row],[OU]]/Mecze[[#This Row],[CZAS]])</f>
        <v>1.0416666666666666E-2</v>
      </c>
      <c r="O2094" s="32">
        <f>IF(Mecze[[#This Row],[PC]]=0,0,Mecze[[#This Row],[PC]]/Mecze[[#This Row],[CZAS]])</f>
        <v>7.2916666666666671E-2</v>
      </c>
      <c r="P2094" s="32">
        <f>IF(Mecze[[#This Row],[SC]]=0,0,Mecze[[#This Row],[SC]]/Mecze[[#This Row],[CZAS]])</f>
        <v>1.0416666666666666E-2</v>
      </c>
      <c r="Q2094" s="32">
        <f>IF(Mecze[[#This Row],[OB]]=0,0,Mecze[[#This Row],[OB]]/Mecze[[#This Row],[CZAS]])</f>
        <v>0</v>
      </c>
      <c r="R2094" s="32">
        <f>IF(Mecze[[#This Row],[BR]]=0,0,Mecze[[#This Row],[BR]]/Mecze[[#This Row],[CZAS]])</f>
        <v>0</v>
      </c>
      <c r="S2094" s="44">
        <f>IF(Mecze[[#This Row],[Role]]="BR",SUMPRODUCT(Mecze[[#This Row],[/PR:90]:[/BR:90]],Brudnopis!$E$23:$J$23),0)</f>
        <v>0</v>
      </c>
      <c r="T2094" s="44">
        <f>IF(Mecze[[#This Row],[Role]]&lt;&gt;"BR",SUMPRODUCT(Mecze[[#This Row],[/PR:90]:[/BR:90]],Brudnopis!$E$24:$J$24),0)</f>
        <v>0.140625</v>
      </c>
      <c r="U2094" s="44">
        <f>IF(Mecze[[#This Row],[Role]]&lt;&gt;"BR",SUMPRODUCT(Mecze[[#This Row],[/PR:90]:[/BR:90]],Brudnopis!$E$25:$J$25),0)</f>
        <v>0.17187499999999997</v>
      </c>
      <c r="V2094" s="44">
        <f>IF(Mecze[[#This Row],[Role]]&lt;&gt;"BR",SUMPRODUCT(Mecze[[#This Row],[/PR:90]:[/BR:90]],Brudnopis!$E$26:$J$26),0)</f>
        <v>0.13541666666666666</v>
      </c>
      <c r="W2094" s="44">
        <f>IF(Mecze[[#This Row],[Role]]&lt;&gt;"BR",SUMPRODUCT(Mecze[[#This Row],[/PR:90]:[/BR:90]],Brudnopis!$E$27:$J$27),0)</f>
        <v>0.15885416666666666</v>
      </c>
      <c r="X2094" s="44">
        <f>IF(Mecze[[#This Row],[Role]]&lt;&gt;"BR",SUMPRODUCT(Mecze[[#This Row],[/PR:90]:[/BR:90]],Brudnopis!$E$28:$J$28),0)</f>
        <v>9.375E-2</v>
      </c>
      <c r="Y2094" s="35">
        <f>IF(Mecze[[#This Row],[Role]]="BR",Mecze[[#This Row],[/OB:90]]+Mecze[[#This Row],[/PC:90]],SUM(Mecze[[#This Row],[/PR:90]:[/BR:90]]))</f>
        <v>0.13541666666666666</v>
      </c>
      <c r="Z2094" s="35">
        <f>IF(Mecze[[#This Row],[KC]]=0,SUM(Mecze[[#This Row],[/BRI]:[/NPI]]),SUM(Mecze[[#This Row],[/BRI]:[/NPI]])*0.6)</f>
        <v>0.70052083333333326</v>
      </c>
      <c r="AA2094" s="10">
        <f>IFERROR(Mecze[[#This Row],[BR]]/Mecze[[#This Row],[ST]],0)</f>
        <v>0</v>
      </c>
      <c r="AB2094">
        <f>ROUND(Mecze[[#This Row],[PD]]*Mecze[[#This Row],[%PC]],0)</f>
        <v>7</v>
      </c>
      <c r="AC2094">
        <f>ROUND(Mecze[[#This Row],[OD]]*Mecze[[#This Row],[%OU]],0)</f>
        <v>1</v>
      </c>
      <c r="AD2094" s="36" t="s">
        <v>46</v>
      </c>
      <c r="AE2094" s="36">
        <v>117</v>
      </c>
      <c r="AF2094" s="71">
        <v>2.93</v>
      </c>
      <c r="AG2094" s="37">
        <v>0</v>
      </c>
      <c r="AH2094" s="37">
        <v>0</v>
      </c>
      <c r="AI2094" s="37">
        <v>96</v>
      </c>
      <c r="AJ2094" s="37">
        <v>1</v>
      </c>
      <c r="AK2094" s="37" t="str">
        <f>VLOOKUP(Mecze[[#This Row],[Match ID]],Meczusie[Mecz]:Meczusie[RodzajMeczu],2,FALSE)</f>
        <v>Towarzyski</v>
      </c>
    </row>
    <row r="2095" spans="1:37" x14ac:dyDescent="0.25">
      <c r="A2095" s="76">
        <v>61</v>
      </c>
      <c r="B2095" s="3" t="s">
        <v>454</v>
      </c>
      <c r="C2095" s="2" t="s">
        <v>165</v>
      </c>
      <c r="D2095" s="1">
        <v>0</v>
      </c>
      <c r="E2095" s="1">
        <v>3</v>
      </c>
      <c r="F2095" s="1">
        <v>3</v>
      </c>
      <c r="G2095" s="1">
        <v>4</v>
      </c>
      <c r="H2095" s="4">
        <v>0.75</v>
      </c>
      <c r="I2095" s="1">
        <v>0</v>
      </c>
      <c r="J2095" s="4"/>
      <c r="K2095" s="1">
        <v>0</v>
      </c>
      <c r="L2095" s="1">
        <v>0</v>
      </c>
      <c r="M2095" s="32">
        <f>IF(Mecze[[#This Row],[PR]]=0,0,Mecze[[#This Row],[PR]]/Mecze[[#This Row],[CZAS]])</f>
        <v>0</v>
      </c>
      <c r="N2095" s="32">
        <f>IF(Mecze[[#This Row],[OU]]=0,0,Mecze[[#This Row],[OU]]/Mecze[[#This Row],[CZAS]])</f>
        <v>0</v>
      </c>
      <c r="O2095" s="32">
        <f>IF(Mecze[[#This Row],[PC]]=0,0,Mecze[[#This Row],[PC]]/Mecze[[#This Row],[CZAS]])</f>
        <v>3.125E-2</v>
      </c>
      <c r="P2095" s="32">
        <f>IF(Mecze[[#This Row],[SC]]=0,0,Mecze[[#This Row],[SC]]/Mecze[[#This Row],[CZAS]])</f>
        <v>3.125E-2</v>
      </c>
      <c r="Q2095" s="32">
        <f>IF(Mecze[[#This Row],[OB]]=0,0,Mecze[[#This Row],[OB]]/Mecze[[#This Row],[CZAS]])</f>
        <v>0</v>
      </c>
      <c r="R2095" s="32">
        <f>IF(Mecze[[#This Row],[BR]]=0,0,Mecze[[#This Row],[BR]]/Mecze[[#This Row],[CZAS]])</f>
        <v>0</v>
      </c>
      <c r="S2095" s="44">
        <f>IF(Mecze[[#This Row],[Role]]="BR",SUMPRODUCT(Mecze[[#This Row],[/PR:90]:[/BR:90]],Brudnopis!$E$23:$J$23),0)</f>
        <v>0</v>
      </c>
      <c r="T2095" s="44">
        <f>IF(Mecze[[#This Row],[Role]]&lt;&gt;"BR",SUMPRODUCT(Mecze[[#This Row],[/PR:90]:[/BR:90]],Brudnopis!$E$24:$J$24),0)</f>
        <v>6.25E-2</v>
      </c>
      <c r="U2095" s="44">
        <f>IF(Mecze[[#This Row],[Role]]&lt;&gt;"BR",SUMPRODUCT(Mecze[[#This Row],[/PR:90]:[/BR:90]],Brudnopis!$E$25:$J$25),0)</f>
        <v>7.8125E-2</v>
      </c>
      <c r="V2095" s="44">
        <f>IF(Mecze[[#This Row],[Role]]&lt;&gt;"BR",SUMPRODUCT(Mecze[[#This Row],[/PR:90]:[/BR:90]],Brudnopis!$E$26:$J$26),0)</f>
        <v>6.25E-2</v>
      </c>
      <c r="W2095" s="44">
        <f>IF(Mecze[[#This Row],[Role]]&lt;&gt;"BR",SUMPRODUCT(Mecze[[#This Row],[/PR:90]:[/BR:90]],Brudnopis!$E$27:$J$27),0)</f>
        <v>7.8125E-2</v>
      </c>
      <c r="X2095" s="44">
        <f>IF(Mecze[[#This Row],[Role]]&lt;&gt;"BR",SUMPRODUCT(Mecze[[#This Row],[/PR:90]:[/BR:90]],Brudnopis!$E$28:$J$28),0)</f>
        <v>9.375E-2</v>
      </c>
      <c r="Y2095" s="35">
        <f>IF(Mecze[[#This Row],[Role]]="BR",Mecze[[#This Row],[/OB:90]]+Mecze[[#This Row],[/PC:90]],SUM(Mecze[[#This Row],[/PR:90]:[/BR:90]]))</f>
        <v>6.25E-2</v>
      </c>
      <c r="Z2095" s="35">
        <f>IF(Mecze[[#This Row],[KC]]=0,SUM(Mecze[[#This Row],[/BRI]:[/NPI]]),SUM(Mecze[[#This Row],[/BRI]:[/NPI]])*0.6)</f>
        <v>0.375</v>
      </c>
      <c r="AA2095" s="10">
        <f>IFERROR(Mecze[[#This Row],[BR]]/Mecze[[#This Row],[ST]],0)</f>
        <v>0</v>
      </c>
      <c r="AB2095">
        <f>ROUND(Mecze[[#This Row],[PD]]*Mecze[[#This Row],[%PC]],0)</f>
        <v>3</v>
      </c>
      <c r="AC2095">
        <f>ROUND(Mecze[[#This Row],[OD]]*Mecze[[#This Row],[%OU]],0)</f>
        <v>0</v>
      </c>
      <c r="AD2095" s="36" t="s">
        <v>46</v>
      </c>
      <c r="AE2095" s="36">
        <v>117</v>
      </c>
      <c r="AF2095" s="71">
        <v>3.37</v>
      </c>
      <c r="AG2095" s="37">
        <v>0</v>
      </c>
      <c r="AH2095" s="37">
        <v>0</v>
      </c>
      <c r="AI2095" s="37">
        <v>96</v>
      </c>
      <c r="AJ2095" s="37">
        <v>1</v>
      </c>
      <c r="AK2095" s="37" t="str">
        <f>VLOOKUP(Mecze[[#This Row],[Match ID]],Meczusie[Mecz]:Meczusie[RodzajMeczu],2,FALSE)</f>
        <v>Towarzyski</v>
      </c>
    </row>
    <row r="2096" spans="1:37" x14ac:dyDescent="0.25">
      <c r="A2096" s="76">
        <v>31</v>
      </c>
      <c r="B2096" s="3" t="s">
        <v>365</v>
      </c>
      <c r="C2096" s="2" t="s">
        <v>165</v>
      </c>
      <c r="D2096" s="1">
        <v>0</v>
      </c>
      <c r="E2096" s="1">
        <v>3</v>
      </c>
      <c r="F2096" s="1">
        <v>2</v>
      </c>
      <c r="G2096" s="1">
        <v>2</v>
      </c>
      <c r="H2096" s="4">
        <v>0.5</v>
      </c>
      <c r="I2096" s="1">
        <v>1</v>
      </c>
      <c r="J2096" s="4">
        <v>1</v>
      </c>
      <c r="K2096" s="1">
        <v>0</v>
      </c>
      <c r="L2096" s="1">
        <v>0</v>
      </c>
      <c r="M2096" s="32">
        <f>IF(Mecze[[#This Row],[PR]]=0,0,Mecze[[#This Row],[PR]]/Mecze[[#This Row],[CZAS]])</f>
        <v>0</v>
      </c>
      <c r="N2096" s="32">
        <f>IF(Mecze[[#This Row],[OU]]=0,0,Mecze[[#This Row],[OU]]/Mecze[[#This Row],[CZAS]])</f>
        <v>1.0416666666666666E-2</v>
      </c>
      <c r="O2096" s="32">
        <f>IF(Mecze[[#This Row],[PC]]=0,0,Mecze[[#This Row],[PC]]/Mecze[[#This Row],[CZAS]])</f>
        <v>1.0416666666666666E-2</v>
      </c>
      <c r="P2096" s="32">
        <f>IF(Mecze[[#This Row],[SC]]=0,0,Mecze[[#This Row],[SC]]/Mecze[[#This Row],[CZAS]])</f>
        <v>2.0833333333333332E-2</v>
      </c>
      <c r="Q2096" s="32">
        <f>IF(Mecze[[#This Row],[OB]]=0,0,Mecze[[#This Row],[OB]]/Mecze[[#This Row],[CZAS]])</f>
        <v>0</v>
      </c>
      <c r="R2096" s="32">
        <f>IF(Mecze[[#This Row],[BR]]=0,0,Mecze[[#This Row],[BR]]/Mecze[[#This Row],[CZAS]])</f>
        <v>0</v>
      </c>
      <c r="S2096" s="44">
        <f>IF(Mecze[[#This Row],[Role]]="BR",SUMPRODUCT(Mecze[[#This Row],[/PR:90]:[/BR:90]],Brudnopis!$E$23:$J$23),0)</f>
        <v>0</v>
      </c>
      <c r="T2096" s="44">
        <f>IF(Mecze[[#This Row],[Role]]&lt;&gt;"BR",SUMPRODUCT(Mecze[[#This Row],[/PR:90]:[/BR:90]],Brudnopis!$E$24:$J$24),0)</f>
        <v>4.6875E-2</v>
      </c>
      <c r="U2096" s="44">
        <f>IF(Mecze[[#This Row],[Role]]&lt;&gt;"BR",SUMPRODUCT(Mecze[[#This Row],[/PR:90]:[/BR:90]],Brudnopis!$E$25:$J$25),0)</f>
        <v>4.6875E-2</v>
      </c>
      <c r="V2096" s="44">
        <f>IF(Mecze[[#This Row],[Role]]&lt;&gt;"BR",SUMPRODUCT(Mecze[[#This Row],[/PR:90]:[/BR:90]],Brudnopis!$E$26:$J$26),0)</f>
        <v>4.1666666666666664E-2</v>
      </c>
      <c r="W2096" s="44">
        <f>IF(Mecze[[#This Row],[Role]]&lt;&gt;"BR",SUMPRODUCT(Mecze[[#This Row],[/PR:90]:[/BR:90]],Brudnopis!$E$27:$J$27),0)</f>
        <v>4.4270833333333329E-2</v>
      </c>
      <c r="X2096" s="44">
        <f>IF(Mecze[[#This Row],[Role]]&lt;&gt;"BR",SUMPRODUCT(Mecze[[#This Row],[/PR:90]:[/BR:90]],Brudnopis!$E$28:$J$28),0)</f>
        <v>5.2083333333333329E-2</v>
      </c>
      <c r="Y2096" s="35">
        <f>IF(Mecze[[#This Row],[Role]]="BR",Mecze[[#This Row],[/OB:90]]+Mecze[[#This Row],[/PC:90]],SUM(Mecze[[#This Row],[/PR:90]:[/BR:90]]))</f>
        <v>4.1666666666666664E-2</v>
      </c>
      <c r="Z2096" s="35">
        <f>IF(Mecze[[#This Row],[KC]]=0,SUM(Mecze[[#This Row],[/BRI]:[/NPI]]),SUM(Mecze[[#This Row],[/BRI]:[/NPI]])*0.6)</f>
        <v>0.23177083333333331</v>
      </c>
      <c r="AA2096" s="10">
        <f>IFERROR(Mecze[[#This Row],[BR]]/Mecze[[#This Row],[ST]],0)</f>
        <v>0</v>
      </c>
      <c r="AB2096">
        <f>ROUND(Mecze[[#This Row],[PD]]*Mecze[[#This Row],[%PC]],0)</f>
        <v>1</v>
      </c>
      <c r="AC2096">
        <f>ROUND(Mecze[[#This Row],[OD]]*Mecze[[#This Row],[%OU]],0)</f>
        <v>1</v>
      </c>
      <c r="AD2096" s="36" t="s">
        <v>46</v>
      </c>
      <c r="AE2096" s="36">
        <v>117</v>
      </c>
      <c r="AF2096" s="71">
        <v>2.04</v>
      </c>
      <c r="AG2096" s="37">
        <v>1</v>
      </c>
      <c r="AH2096" s="37">
        <v>0</v>
      </c>
      <c r="AI2096" s="37">
        <v>96</v>
      </c>
      <c r="AJ2096" s="37">
        <v>1</v>
      </c>
      <c r="AK2096" s="37" t="str">
        <f>VLOOKUP(Mecze[[#This Row],[Match ID]],Meczusie[Mecz]:Meczusie[RodzajMeczu],2,FALSE)</f>
        <v>Towarzyski</v>
      </c>
    </row>
    <row r="2097" spans="1:37" x14ac:dyDescent="0.25">
      <c r="A2097" s="76">
        <v>39</v>
      </c>
      <c r="B2097" s="3" t="s">
        <v>450</v>
      </c>
      <c r="C2097" s="2" t="s">
        <v>155</v>
      </c>
      <c r="D2097" s="1">
        <v>0</v>
      </c>
      <c r="E2097" s="1">
        <v>0</v>
      </c>
      <c r="F2097" s="1">
        <v>0</v>
      </c>
      <c r="G2097" s="1">
        <v>6</v>
      </c>
      <c r="H2097" s="4">
        <v>0.33</v>
      </c>
      <c r="I2097" s="1">
        <v>0</v>
      </c>
      <c r="J2097" s="4"/>
      <c r="K2097" s="1">
        <v>2</v>
      </c>
      <c r="L2097" s="1">
        <v>0</v>
      </c>
      <c r="M2097" s="32">
        <f>IF(Mecze[[#This Row],[PR]]=0,0,Mecze[[#This Row],[PR]]/Mecze[[#This Row],[CZAS]])</f>
        <v>0</v>
      </c>
      <c r="N2097" s="32">
        <f>IF(Mecze[[#This Row],[OU]]=0,0,Mecze[[#This Row],[OU]]/Mecze[[#This Row],[CZAS]])</f>
        <v>0</v>
      </c>
      <c r="O2097" s="32">
        <f>IF(Mecze[[#This Row],[PC]]=0,0,Mecze[[#This Row],[PC]]/Mecze[[#This Row],[CZAS]])</f>
        <v>2.0833333333333332E-2</v>
      </c>
      <c r="P2097" s="32">
        <f>IF(Mecze[[#This Row],[SC]]=0,0,Mecze[[#This Row],[SC]]/Mecze[[#This Row],[CZAS]])</f>
        <v>0</v>
      </c>
      <c r="Q2097" s="32">
        <f>IF(Mecze[[#This Row],[OB]]=0,0,Mecze[[#This Row],[OB]]/Mecze[[#This Row],[CZAS]])</f>
        <v>2.0833333333333332E-2</v>
      </c>
      <c r="R2097" s="32">
        <f>IF(Mecze[[#This Row],[BR]]=0,0,Mecze[[#This Row],[BR]]/Mecze[[#This Row],[CZAS]])</f>
        <v>0</v>
      </c>
      <c r="S2097" s="44">
        <f>IF(Mecze[[#This Row],[Role]]="BR",SUMPRODUCT(Mecze[[#This Row],[/PR:90]:[/BR:90]],Brudnopis!$E$23:$J$23),0)</f>
        <v>0.125</v>
      </c>
      <c r="T2097" s="44">
        <f>IF(Mecze[[#This Row],[Role]]&lt;&gt;"BR",SUMPRODUCT(Mecze[[#This Row],[/PR:90]:[/BR:90]],Brudnopis!$E$24:$J$24),0)</f>
        <v>0</v>
      </c>
      <c r="U2097" s="44">
        <f>IF(Mecze[[#This Row],[Role]]&lt;&gt;"BR",SUMPRODUCT(Mecze[[#This Row],[/PR:90]:[/BR:90]],Brudnopis!$E$25:$J$25),0)</f>
        <v>0</v>
      </c>
      <c r="V2097" s="44">
        <f>IF(Mecze[[#This Row],[Role]]&lt;&gt;"BR",SUMPRODUCT(Mecze[[#This Row],[/PR:90]:[/BR:90]],Brudnopis!$E$26:$J$26),0)</f>
        <v>0</v>
      </c>
      <c r="W2097" s="44">
        <f>IF(Mecze[[#This Row],[Role]]&lt;&gt;"BR",SUMPRODUCT(Mecze[[#This Row],[/PR:90]:[/BR:90]],Brudnopis!$E$27:$J$27),0)</f>
        <v>0</v>
      </c>
      <c r="X2097" s="44">
        <f>IF(Mecze[[#This Row],[Role]]&lt;&gt;"BR",SUMPRODUCT(Mecze[[#This Row],[/PR:90]:[/BR:90]],Brudnopis!$E$28:$J$28),0)</f>
        <v>0</v>
      </c>
      <c r="Y2097" s="35">
        <f>IF(Mecze[[#This Row],[Role]]="BR",Mecze[[#This Row],[/OB:90]]+Mecze[[#This Row],[/PC:90]],SUM(Mecze[[#This Row],[/PR:90]:[/BR:90]]))</f>
        <v>4.1666666666666664E-2</v>
      </c>
      <c r="Z2097" s="35">
        <f>IF(Mecze[[#This Row],[KC]]=0,SUM(Mecze[[#This Row],[/BRI]:[/NPI]]),SUM(Mecze[[#This Row],[/BRI]:[/NPI]])*0.6)</f>
        <v>0.125</v>
      </c>
      <c r="AA2097" s="10">
        <f>IFERROR(Mecze[[#This Row],[BR]]/Mecze[[#This Row],[ST]],0)</f>
        <v>0</v>
      </c>
      <c r="AB2097">
        <f>ROUND(Mecze[[#This Row],[PD]]*Mecze[[#This Row],[%PC]],0)</f>
        <v>2</v>
      </c>
      <c r="AC2097">
        <f>ROUND(Mecze[[#This Row],[OD]]*Mecze[[#This Row],[%OU]],0)</f>
        <v>0</v>
      </c>
      <c r="AD2097" s="36" t="s">
        <v>40</v>
      </c>
      <c r="AE2097" s="36">
        <v>118</v>
      </c>
      <c r="AF2097" s="71">
        <v>4.62</v>
      </c>
      <c r="AG2097" s="37">
        <v>0</v>
      </c>
      <c r="AH2097" s="37">
        <v>0</v>
      </c>
      <c r="AI2097" s="37">
        <v>96</v>
      </c>
      <c r="AJ2097" s="37">
        <v>1</v>
      </c>
      <c r="AK2097" s="37" t="str">
        <f>VLOOKUP(Mecze[[#This Row],[Match ID]],Meczusie[Mecz]:Meczusie[RodzajMeczu],2,FALSE)</f>
        <v>Towarzyski</v>
      </c>
    </row>
    <row r="2098" spans="1:37" x14ac:dyDescent="0.25">
      <c r="A2098" s="76">
        <v>38</v>
      </c>
      <c r="B2098" s="3" t="s">
        <v>359</v>
      </c>
      <c r="C2098" s="2" t="s">
        <v>157</v>
      </c>
      <c r="D2098" s="1">
        <v>0</v>
      </c>
      <c r="E2098" s="1">
        <v>0</v>
      </c>
      <c r="F2098" s="1">
        <v>0</v>
      </c>
      <c r="G2098" s="1">
        <v>4</v>
      </c>
      <c r="H2098" s="4">
        <v>0.75</v>
      </c>
      <c r="I2098" s="1">
        <v>2</v>
      </c>
      <c r="J2098" s="4">
        <v>0.5</v>
      </c>
      <c r="K2098" s="1">
        <v>0</v>
      </c>
      <c r="L2098" s="1">
        <v>4</v>
      </c>
      <c r="M2098" s="32">
        <f>IF(Mecze[[#This Row],[PR]]=0,0,Mecze[[#This Row],[PR]]/Mecze[[#This Row],[CZAS]])</f>
        <v>4.1666666666666664E-2</v>
      </c>
      <c r="N2098" s="32">
        <f>IF(Mecze[[#This Row],[OU]]=0,0,Mecze[[#This Row],[OU]]/Mecze[[#This Row],[CZAS]])</f>
        <v>1.0416666666666666E-2</v>
      </c>
      <c r="O2098" s="32">
        <f>IF(Mecze[[#This Row],[PC]]=0,0,Mecze[[#This Row],[PC]]/Mecze[[#This Row],[CZAS]])</f>
        <v>3.125E-2</v>
      </c>
      <c r="P2098" s="32">
        <f>IF(Mecze[[#This Row],[SC]]=0,0,Mecze[[#This Row],[SC]]/Mecze[[#This Row],[CZAS]])</f>
        <v>0</v>
      </c>
      <c r="Q2098" s="32">
        <f>IF(Mecze[[#This Row],[OB]]=0,0,Mecze[[#This Row],[OB]]/Mecze[[#This Row],[CZAS]])</f>
        <v>0</v>
      </c>
      <c r="R2098" s="32">
        <f>IF(Mecze[[#This Row],[BR]]=0,0,Mecze[[#This Row],[BR]]/Mecze[[#This Row],[CZAS]])</f>
        <v>0</v>
      </c>
      <c r="S2098" s="44">
        <f>IF(Mecze[[#This Row],[Role]]="BR",SUMPRODUCT(Mecze[[#This Row],[/PR:90]:[/BR:90]],Brudnopis!$E$23:$J$23),0)</f>
        <v>0</v>
      </c>
      <c r="T2098" s="44">
        <f>IF(Mecze[[#This Row],[Role]]&lt;&gt;"BR",SUMPRODUCT(Mecze[[#This Row],[/PR:90]:[/BR:90]],Brudnopis!$E$24:$J$24),0)</f>
        <v>8.8541666666666657E-2</v>
      </c>
      <c r="U2098" s="44">
        <f>IF(Mecze[[#This Row],[Role]]&lt;&gt;"BR",SUMPRODUCT(Mecze[[#This Row],[/PR:90]:[/BR:90]],Brudnopis!$E$25:$J$25),0)</f>
        <v>9.8958333333333329E-2</v>
      </c>
      <c r="V2098" s="44">
        <f>IF(Mecze[[#This Row],[Role]]&lt;&gt;"BR",SUMPRODUCT(Mecze[[#This Row],[/PR:90]:[/BR:90]],Brudnopis!$E$26:$J$26),0)</f>
        <v>8.3333333333333329E-2</v>
      </c>
      <c r="W2098" s="44">
        <f>IF(Mecze[[#This Row],[Role]]&lt;&gt;"BR",SUMPRODUCT(Mecze[[#This Row],[/PR:90]:[/BR:90]],Brudnopis!$E$27:$J$27),0)</f>
        <v>8.59375E-2</v>
      </c>
      <c r="X2098" s="44">
        <f>IF(Mecze[[#This Row],[Role]]&lt;&gt;"BR",SUMPRODUCT(Mecze[[#This Row],[/PR:90]:[/BR:90]],Brudnopis!$E$28:$J$28),0)</f>
        <v>3.125E-2</v>
      </c>
      <c r="Y2098" s="35">
        <f>IF(Mecze[[#This Row],[Role]]="BR",Mecze[[#This Row],[/OB:90]]+Mecze[[#This Row],[/PC:90]],SUM(Mecze[[#This Row],[/PR:90]:[/BR:90]]))</f>
        <v>8.3333333333333329E-2</v>
      </c>
      <c r="Z2098" s="35">
        <f>IF(Mecze[[#This Row],[KC]]=0,SUM(Mecze[[#This Row],[/BRI]:[/NPI]]),SUM(Mecze[[#This Row],[/BRI]:[/NPI]])*0.6)</f>
        <v>0.23281249999999998</v>
      </c>
      <c r="AA2098" s="10">
        <f>IFERROR(Mecze[[#This Row],[BR]]/Mecze[[#This Row],[ST]],0)</f>
        <v>0</v>
      </c>
      <c r="AB2098">
        <f>ROUND(Mecze[[#This Row],[PD]]*Mecze[[#This Row],[%PC]],0)</f>
        <v>3</v>
      </c>
      <c r="AC2098">
        <f>ROUND(Mecze[[#This Row],[OD]]*Mecze[[#This Row],[%OU]],0)</f>
        <v>1</v>
      </c>
      <c r="AD2098" s="36" t="s">
        <v>47</v>
      </c>
      <c r="AE2098" s="36">
        <v>118</v>
      </c>
      <c r="AF2098" s="71">
        <v>0.35</v>
      </c>
      <c r="AG2098" s="37">
        <v>0</v>
      </c>
      <c r="AH2098" s="37">
        <v>1</v>
      </c>
      <c r="AI2098" s="37">
        <v>96</v>
      </c>
      <c r="AJ2098" s="37">
        <v>1</v>
      </c>
      <c r="AK2098" s="37" t="str">
        <f>VLOOKUP(Mecze[[#This Row],[Match ID]],Meczusie[Mecz]:Meczusie[RodzajMeczu],2,FALSE)</f>
        <v>Towarzyski</v>
      </c>
    </row>
    <row r="2099" spans="1:37" x14ac:dyDescent="0.25">
      <c r="A2099" s="76">
        <v>4</v>
      </c>
      <c r="B2099" s="3" t="s">
        <v>360</v>
      </c>
      <c r="C2099" s="2" t="s">
        <v>157</v>
      </c>
      <c r="D2099" s="1">
        <v>0</v>
      </c>
      <c r="E2099" s="1">
        <v>0</v>
      </c>
      <c r="F2099" s="1">
        <v>0</v>
      </c>
      <c r="G2099" s="1">
        <v>13</v>
      </c>
      <c r="H2099" s="4">
        <v>0.31</v>
      </c>
      <c r="I2099" s="1">
        <v>5</v>
      </c>
      <c r="J2099" s="4">
        <v>0.4</v>
      </c>
      <c r="K2099" s="1">
        <v>0</v>
      </c>
      <c r="L2099" s="1">
        <v>6</v>
      </c>
      <c r="M2099" s="32">
        <f>IF(Mecze[[#This Row],[PR]]=0,0,Mecze[[#This Row],[PR]]/Mecze[[#This Row],[CZAS]])</f>
        <v>6.25E-2</v>
      </c>
      <c r="N2099" s="32">
        <f>IF(Mecze[[#This Row],[OU]]=0,0,Mecze[[#This Row],[OU]]/Mecze[[#This Row],[CZAS]])</f>
        <v>2.0833333333333332E-2</v>
      </c>
      <c r="O2099" s="32">
        <f>IF(Mecze[[#This Row],[PC]]=0,0,Mecze[[#This Row],[PC]]/Mecze[[#This Row],[CZAS]])</f>
        <v>4.1666666666666664E-2</v>
      </c>
      <c r="P2099" s="32">
        <f>IF(Mecze[[#This Row],[SC]]=0,0,Mecze[[#This Row],[SC]]/Mecze[[#This Row],[CZAS]])</f>
        <v>0</v>
      </c>
      <c r="Q2099" s="32">
        <f>IF(Mecze[[#This Row],[OB]]=0,0,Mecze[[#This Row],[OB]]/Mecze[[#This Row],[CZAS]])</f>
        <v>0</v>
      </c>
      <c r="R2099" s="32">
        <f>IF(Mecze[[#This Row],[BR]]=0,0,Mecze[[#This Row],[BR]]/Mecze[[#This Row],[CZAS]])</f>
        <v>0</v>
      </c>
      <c r="S2099" s="44">
        <f>IF(Mecze[[#This Row],[Role]]="BR",SUMPRODUCT(Mecze[[#This Row],[/PR:90]:[/BR:90]],Brudnopis!$E$23:$J$23),0)</f>
        <v>0</v>
      </c>
      <c r="T2099" s="44">
        <f>IF(Mecze[[#This Row],[Role]]&lt;&gt;"BR",SUMPRODUCT(Mecze[[#This Row],[/PR:90]:[/BR:90]],Brudnopis!$E$24:$J$24),0)</f>
        <v>0.13541666666666666</v>
      </c>
      <c r="U2099" s="44">
        <f>IF(Mecze[[#This Row],[Role]]&lt;&gt;"BR",SUMPRODUCT(Mecze[[#This Row],[/PR:90]:[/BR:90]],Brudnopis!$E$25:$J$25),0)</f>
        <v>0.14583333333333331</v>
      </c>
      <c r="V2099" s="44">
        <f>IF(Mecze[[#This Row],[Role]]&lt;&gt;"BR",SUMPRODUCT(Mecze[[#This Row],[/PR:90]:[/BR:90]],Brudnopis!$E$26:$J$26),0)</f>
        <v>0.125</v>
      </c>
      <c r="W2099" s="44">
        <f>IF(Mecze[[#This Row],[Role]]&lt;&gt;"BR",SUMPRODUCT(Mecze[[#This Row],[/PR:90]:[/BR:90]],Brudnopis!$E$27:$J$27),0)</f>
        <v>0.125</v>
      </c>
      <c r="X2099" s="44">
        <f>IF(Mecze[[#This Row],[Role]]&lt;&gt;"BR",SUMPRODUCT(Mecze[[#This Row],[/PR:90]:[/BR:90]],Brudnopis!$E$28:$J$28),0)</f>
        <v>4.1666666666666664E-2</v>
      </c>
      <c r="Y2099" s="35">
        <f>IF(Mecze[[#This Row],[Role]]="BR",Mecze[[#This Row],[/OB:90]]+Mecze[[#This Row],[/PC:90]],SUM(Mecze[[#This Row],[/PR:90]:[/BR:90]]))</f>
        <v>0.125</v>
      </c>
      <c r="Z2099" s="35">
        <f>IF(Mecze[[#This Row],[KC]]=0,SUM(Mecze[[#This Row],[/BRI]:[/NPI]]),SUM(Mecze[[#This Row],[/BRI]:[/NPI]])*0.6)</f>
        <v>0.57291666666666663</v>
      </c>
      <c r="AA2099" s="10">
        <f>IFERROR(Mecze[[#This Row],[BR]]/Mecze[[#This Row],[ST]],0)</f>
        <v>0</v>
      </c>
      <c r="AB2099">
        <f>ROUND(Mecze[[#This Row],[PD]]*Mecze[[#This Row],[%PC]],0)</f>
        <v>4</v>
      </c>
      <c r="AC2099">
        <f>ROUND(Mecze[[#This Row],[OD]]*Mecze[[#This Row],[%OU]],0)</f>
        <v>2</v>
      </c>
      <c r="AD2099" s="36" t="s">
        <v>168</v>
      </c>
      <c r="AE2099" s="36">
        <v>118</v>
      </c>
      <c r="AF2099" s="71">
        <v>5.18</v>
      </c>
      <c r="AG2099" s="37">
        <v>0</v>
      </c>
      <c r="AH2099" s="37">
        <v>0</v>
      </c>
      <c r="AI2099" s="37">
        <v>96</v>
      </c>
      <c r="AJ2099" s="37">
        <v>1</v>
      </c>
      <c r="AK2099" s="37" t="str">
        <f>VLOOKUP(Mecze[[#This Row],[Match ID]],Meczusie[Mecz]:Meczusie[RodzajMeczu],2,FALSE)</f>
        <v>Towarzyski</v>
      </c>
    </row>
    <row r="2100" spans="1:37" x14ac:dyDescent="0.25">
      <c r="A2100" s="76">
        <v>17</v>
      </c>
      <c r="B2100" s="3" t="s">
        <v>413</v>
      </c>
      <c r="C2100" s="2" t="s">
        <v>157</v>
      </c>
      <c r="D2100" s="1">
        <v>0</v>
      </c>
      <c r="E2100" s="1">
        <v>0</v>
      </c>
      <c r="F2100" s="1">
        <v>0</v>
      </c>
      <c r="G2100" s="1">
        <v>10</v>
      </c>
      <c r="H2100" s="4">
        <v>0.3</v>
      </c>
      <c r="I2100" s="1">
        <v>3</v>
      </c>
      <c r="J2100" s="4">
        <v>0.33</v>
      </c>
      <c r="K2100" s="1">
        <v>0</v>
      </c>
      <c r="L2100" s="1">
        <v>10</v>
      </c>
      <c r="M2100" s="32">
        <f>IF(Mecze[[#This Row],[PR]]=0,0,Mecze[[#This Row],[PR]]/Mecze[[#This Row],[CZAS]])</f>
        <v>0.10416666666666667</v>
      </c>
      <c r="N2100" s="32">
        <f>IF(Mecze[[#This Row],[OU]]=0,0,Mecze[[#This Row],[OU]]/Mecze[[#This Row],[CZAS]])</f>
        <v>1.0416666666666666E-2</v>
      </c>
      <c r="O2100" s="32">
        <f>IF(Mecze[[#This Row],[PC]]=0,0,Mecze[[#This Row],[PC]]/Mecze[[#This Row],[CZAS]])</f>
        <v>3.125E-2</v>
      </c>
      <c r="P2100" s="32">
        <f>IF(Mecze[[#This Row],[SC]]=0,0,Mecze[[#This Row],[SC]]/Mecze[[#This Row],[CZAS]])</f>
        <v>0</v>
      </c>
      <c r="Q2100" s="32">
        <f>IF(Mecze[[#This Row],[OB]]=0,0,Mecze[[#This Row],[OB]]/Mecze[[#This Row],[CZAS]])</f>
        <v>0</v>
      </c>
      <c r="R2100" s="32">
        <f>IF(Mecze[[#This Row],[BR]]=0,0,Mecze[[#This Row],[BR]]/Mecze[[#This Row],[CZAS]])</f>
        <v>0</v>
      </c>
      <c r="S2100" s="44">
        <f>IF(Mecze[[#This Row],[Role]]="BR",SUMPRODUCT(Mecze[[#This Row],[/PR:90]:[/BR:90]],Brudnopis!$E$23:$J$23),0)</f>
        <v>0</v>
      </c>
      <c r="T2100" s="44">
        <f>IF(Mecze[[#This Row],[Role]]&lt;&gt;"BR",SUMPRODUCT(Mecze[[#This Row],[/PR:90]:[/BR:90]],Brudnopis!$E$24:$J$24),0)</f>
        <v>0.15104166666666669</v>
      </c>
      <c r="U2100" s="44">
        <f>IF(Mecze[[#This Row],[Role]]&lt;&gt;"BR",SUMPRODUCT(Mecze[[#This Row],[/PR:90]:[/BR:90]],Brudnopis!$E$25:$J$25),0)</f>
        <v>0.16145833333333334</v>
      </c>
      <c r="V2100" s="44">
        <f>IF(Mecze[[#This Row],[Role]]&lt;&gt;"BR",SUMPRODUCT(Mecze[[#This Row],[/PR:90]:[/BR:90]],Brudnopis!$E$26:$J$26),0)</f>
        <v>0.14583333333333334</v>
      </c>
      <c r="W2100" s="44">
        <f>IF(Mecze[[#This Row],[Role]]&lt;&gt;"BR",SUMPRODUCT(Mecze[[#This Row],[/PR:90]:[/BR:90]],Brudnopis!$E$27:$J$27),0)</f>
        <v>0.1328125</v>
      </c>
      <c r="X2100" s="44">
        <f>IF(Mecze[[#This Row],[Role]]&lt;&gt;"BR",SUMPRODUCT(Mecze[[#This Row],[/PR:90]:[/BR:90]],Brudnopis!$E$28:$J$28),0)</f>
        <v>3.125E-2</v>
      </c>
      <c r="Y2100" s="35">
        <f>IF(Mecze[[#This Row],[Role]]="BR",Mecze[[#This Row],[/OB:90]]+Mecze[[#This Row],[/PC:90]],SUM(Mecze[[#This Row],[/PR:90]:[/BR:90]]))</f>
        <v>0.14583333333333334</v>
      </c>
      <c r="Z2100" s="35">
        <f>IF(Mecze[[#This Row],[KC]]=0,SUM(Mecze[[#This Row],[/BRI]:[/NPI]]),SUM(Mecze[[#This Row],[/BRI]:[/NPI]])*0.6)</f>
        <v>0.62239583333333337</v>
      </c>
      <c r="AA2100" s="10">
        <f>IFERROR(Mecze[[#This Row],[BR]]/Mecze[[#This Row],[ST]],0)</f>
        <v>0</v>
      </c>
      <c r="AB2100">
        <f>ROUND(Mecze[[#This Row],[PD]]*Mecze[[#This Row],[%PC]],0)</f>
        <v>3</v>
      </c>
      <c r="AC2100">
        <f>ROUND(Mecze[[#This Row],[OD]]*Mecze[[#This Row],[%OU]],0)</f>
        <v>1</v>
      </c>
      <c r="AD2100" s="36" t="s">
        <v>167</v>
      </c>
      <c r="AE2100" s="36">
        <v>118</v>
      </c>
      <c r="AF2100" s="71">
        <v>6.02</v>
      </c>
      <c r="AG2100" s="37">
        <v>0</v>
      </c>
      <c r="AH2100" s="37">
        <v>0</v>
      </c>
      <c r="AI2100" s="37">
        <v>96</v>
      </c>
      <c r="AJ2100" s="37">
        <v>1</v>
      </c>
      <c r="AK2100" s="37" t="str">
        <f>VLOOKUP(Mecze[[#This Row],[Match ID]],Meczusie[Mecz]:Meczusie[RodzajMeczu],2,FALSE)</f>
        <v>Towarzyski</v>
      </c>
    </row>
    <row r="2101" spans="1:37" x14ac:dyDescent="0.25">
      <c r="A2101" s="76">
        <v>40</v>
      </c>
      <c r="B2101" s="3" t="s">
        <v>453</v>
      </c>
      <c r="C2101" s="2" t="s">
        <v>160</v>
      </c>
      <c r="D2101" s="1">
        <v>0</v>
      </c>
      <c r="E2101" s="1">
        <v>0</v>
      </c>
      <c r="F2101" s="1">
        <v>0</v>
      </c>
      <c r="G2101" s="1">
        <v>15</v>
      </c>
      <c r="H2101" s="4">
        <v>0.67</v>
      </c>
      <c r="I2101" s="1">
        <v>11</v>
      </c>
      <c r="J2101" s="4">
        <v>0.18</v>
      </c>
      <c r="K2101" s="1">
        <v>0</v>
      </c>
      <c r="L2101" s="1">
        <v>8</v>
      </c>
      <c r="M2101" s="32">
        <f>IF(Mecze[[#This Row],[PR]]=0,0,Mecze[[#This Row],[PR]]/Mecze[[#This Row],[CZAS]])</f>
        <v>8.3333333333333329E-2</v>
      </c>
      <c r="N2101" s="32">
        <f>IF(Mecze[[#This Row],[OU]]=0,0,Mecze[[#This Row],[OU]]/Mecze[[#This Row],[CZAS]])</f>
        <v>2.0833333333333332E-2</v>
      </c>
      <c r="O2101" s="32">
        <f>IF(Mecze[[#This Row],[PC]]=0,0,Mecze[[#This Row],[PC]]/Mecze[[#This Row],[CZAS]])</f>
        <v>0.10416666666666667</v>
      </c>
      <c r="P2101" s="32">
        <f>IF(Mecze[[#This Row],[SC]]=0,0,Mecze[[#This Row],[SC]]/Mecze[[#This Row],[CZAS]])</f>
        <v>0</v>
      </c>
      <c r="Q2101" s="32">
        <f>IF(Mecze[[#This Row],[OB]]=0,0,Mecze[[#This Row],[OB]]/Mecze[[#This Row],[CZAS]])</f>
        <v>0</v>
      </c>
      <c r="R2101" s="32">
        <f>IF(Mecze[[#This Row],[BR]]=0,0,Mecze[[#This Row],[BR]]/Mecze[[#This Row],[CZAS]])</f>
        <v>0</v>
      </c>
      <c r="S2101" s="44">
        <f>IF(Mecze[[#This Row],[Role]]="BR",SUMPRODUCT(Mecze[[#This Row],[/PR:90]:[/BR:90]],Brudnopis!$E$23:$J$23),0)</f>
        <v>0</v>
      </c>
      <c r="T2101" s="44">
        <f>IF(Mecze[[#This Row],[Role]]&lt;&gt;"BR",SUMPRODUCT(Mecze[[#This Row],[/PR:90]:[/BR:90]],Brudnopis!$E$24:$J$24),0)</f>
        <v>0.21875</v>
      </c>
      <c r="U2101" s="44">
        <f>IF(Mecze[[#This Row],[Role]]&lt;&gt;"BR",SUMPRODUCT(Mecze[[#This Row],[/PR:90]:[/BR:90]],Brudnopis!$E$25:$J$25),0)</f>
        <v>0.26041666666666663</v>
      </c>
      <c r="V2101" s="44">
        <f>IF(Mecze[[#This Row],[Role]]&lt;&gt;"BR",SUMPRODUCT(Mecze[[#This Row],[/PR:90]:[/BR:90]],Brudnopis!$E$26:$J$26),0)</f>
        <v>0.20833333333333331</v>
      </c>
      <c r="W2101" s="44">
        <f>IF(Mecze[[#This Row],[Role]]&lt;&gt;"BR",SUMPRODUCT(Mecze[[#This Row],[/PR:90]:[/BR:90]],Brudnopis!$E$27:$J$27),0)</f>
        <v>0.234375</v>
      </c>
      <c r="X2101" s="44">
        <f>IF(Mecze[[#This Row],[Role]]&lt;&gt;"BR",SUMPRODUCT(Mecze[[#This Row],[/PR:90]:[/BR:90]],Brudnopis!$E$28:$J$28),0)</f>
        <v>0.10416666666666667</v>
      </c>
      <c r="Y2101" s="35">
        <f>IF(Mecze[[#This Row],[Role]]="BR",Mecze[[#This Row],[/OB:90]]+Mecze[[#This Row],[/PC:90]],SUM(Mecze[[#This Row],[/PR:90]:[/BR:90]]))</f>
        <v>0.20833333333333331</v>
      </c>
      <c r="Z2101" s="35">
        <f>IF(Mecze[[#This Row],[KC]]=0,SUM(Mecze[[#This Row],[/BRI]:[/NPI]]),SUM(Mecze[[#This Row],[/BRI]:[/NPI]])*0.6)</f>
        <v>1.0260416666666667</v>
      </c>
      <c r="AA2101" s="10">
        <f>IFERROR(Mecze[[#This Row],[BR]]/Mecze[[#This Row],[ST]],0)</f>
        <v>0</v>
      </c>
      <c r="AB2101">
        <f>ROUND(Mecze[[#This Row],[PD]]*Mecze[[#This Row],[%PC]],0)</f>
        <v>10</v>
      </c>
      <c r="AC2101">
        <f>ROUND(Mecze[[#This Row],[OD]]*Mecze[[#This Row],[%OU]],0)</f>
        <v>2</v>
      </c>
      <c r="AD2101" s="36" t="s">
        <v>41</v>
      </c>
      <c r="AE2101" s="36">
        <v>118</v>
      </c>
      <c r="AF2101" s="71">
        <v>6.81</v>
      </c>
      <c r="AG2101" s="37">
        <v>0</v>
      </c>
      <c r="AH2101" s="37">
        <v>0</v>
      </c>
      <c r="AI2101" s="37">
        <v>96</v>
      </c>
      <c r="AJ2101" s="37">
        <v>1</v>
      </c>
      <c r="AK2101" s="37" t="str">
        <f>VLOOKUP(Mecze[[#This Row],[Match ID]],Meczusie[Mecz]:Meczusie[RodzajMeczu],2,FALSE)</f>
        <v>Towarzyski</v>
      </c>
    </row>
    <row r="2102" spans="1:37" x14ac:dyDescent="0.25">
      <c r="A2102" s="76">
        <v>22</v>
      </c>
      <c r="B2102" s="3" t="s">
        <v>363</v>
      </c>
      <c r="C2102" s="2" t="s">
        <v>160</v>
      </c>
      <c r="D2102" s="1">
        <v>0</v>
      </c>
      <c r="E2102" s="1">
        <v>1</v>
      </c>
      <c r="F2102" s="1">
        <v>0</v>
      </c>
      <c r="G2102" s="1">
        <v>16</v>
      </c>
      <c r="H2102" s="4">
        <v>0.56000000000000005</v>
      </c>
      <c r="I2102" s="1">
        <v>7</v>
      </c>
      <c r="J2102" s="4">
        <v>0</v>
      </c>
      <c r="K2102" s="1">
        <v>0</v>
      </c>
      <c r="L2102" s="1">
        <v>7</v>
      </c>
      <c r="M2102" s="32">
        <f>IF(Mecze[[#This Row],[PR]]=0,0,Mecze[[#This Row],[PR]]/Mecze[[#This Row],[CZAS]])</f>
        <v>7.2916666666666671E-2</v>
      </c>
      <c r="N2102" s="32">
        <f>IF(Mecze[[#This Row],[OU]]=0,0,Mecze[[#This Row],[OU]]/Mecze[[#This Row],[CZAS]])</f>
        <v>0</v>
      </c>
      <c r="O2102" s="32">
        <f>IF(Mecze[[#This Row],[PC]]=0,0,Mecze[[#This Row],[PC]]/Mecze[[#This Row],[CZAS]])</f>
        <v>9.375E-2</v>
      </c>
      <c r="P2102" s="32">
        <f>IF(Mecze[[#This Row],[SC]]=0,0,Mecze[[#This Row],[SC]]/Mecze[[#This Row],[CZAS]])</f>
        <v>0</v>
      </c>
      <c r="Q2102" s="32">
        <f>IF(Mecze[[#This Row],[OB]]=0,0,Mecze[[#This Row],[OB]]/Mecze[[#This Row],[CZAS]])</f>
        <v>0</v>
      </c>
      <c r="R2102" s="32">
        <f>IF(Mecze[[#This Row],[BR]]=0,0,Mecze[[#This Row],[BR]]/Mecze[[#This Row],[CZAS]])</f>
        <v>0</v>
      </c>
      <c r="S2102" s="44">
        <f>IF(Mecze[[#This Row],[Role]]="BR",SUMPRODUCT(Mecze[[#This Row],[/PR:90]:[/BR:90]],Brudnopis!$E$23:$J$23),0)</f>
        <v>0</v>
      </c>
      <c r="T2102" s="44">
        <f>IF(Mecze[[#This Row],[Role]]&lt;&gt;"BR",SUMPRODUCT(Mecze[[#This Row],[/PR:90]:[/BR:90]],Brudnopis!$E$24:$J$24),0)</f>
        <v>0.16666666666666669</v>
      </c>
      <c r="U2102" s="44">
        <f>IF(Mecze[[#This Row],[Role]]&lt;&gt;"BR",SUMPRODUCT(Mecze[[#This Row],[/PR:90]:[/BR:90]],Brudnopis!$E$25:$J$25),0)</f>
        <v>0.21354166666666669</v>
      </c>
      <c r="V2102" s="44">
        <f>IF(Mecze[[#This Row],[Role]]&lt;&gt;"BR",SUMPRODUCT(Mecze[[#This Row],[/PR:90]:[/BR:90]],Brudnopis!$E$26:$J$26),0)</f>
        <v>0.16666666666666669</v>
      </c>
      <c r="W2102" s="44">
        <f>IF(Mecze[[#This Row],[Role]]&lt;&gt;"BR",SUMPRODUCT(Mecze[[#This Row],[/PR:90]:[/BR:90]],Brudnopis!$E$27:$J$27),0)</f>
        <v>0.1953125</v>
      </c>
      <c r="X2102" s="44">
        <f>IF(Mecze[[#This Row],[Role]]&lt;&gt;"BR",SUMPRODUCT(Mecze[[#This Row],[/PR:90]:[/BR:90]],Brudnopis!$E$28:$J$28),0)</f>
        <v>9.375E-2</v>
      </c>
      <c r="Y2102" s="35">
        <f>IF(Mecze[[#This Row],[Role]]="BR",Mecze[[#This Row],[/OB:90]]+Mecze[[#This Row],[/PC:90]],SUM(Mecze[[#This Row],[/PR:90]:[/BR:90]]))</f>
        <v>0.16666666666666669</v>
      </c>
      <c r="Z2102" s="35">
        <f>IF(Mecze[[#This Row],[KC]]=0,SUM(Mecze[[#This Row],[/BRI]:[/NPI]]),SUM(Mecze[[#This Row],[/BRI]:[/NPI]])*0.6)</f>
        <v>0.8359375</v>
      </c>
      <c r="AA2102" s="10">
        <f>IFERROR(Mecze[[#This Row],[BR]]/Mecze[[#This Row],[ST]],0)</f>
        <v>0</v>
      </c>
      <c r="AB2102">
        <f>ROUND(Mecze[[#This Row],[PD]]*Mecze[[#This Row],[%PC]],0)</f>
        <v>9</v>
      </c>
      <c r="AC2102">
        <f>ROUND(Mecze[[#This Row],[OD]]*Mecze[[#This Row],[%OU]],0)</f>
        <v>0</v>
      </c>
      <c r="AD2102" s="36" t="s">
        <v>41</v>
      </c>
      <c r="AE2102" s="36">
        <v>118</v>
      </c>
      <c r="AF2102" s="71">
        <v>6.6</v>
      </c>
      <c r="AG2102" s="37">
        <v>0</v>
      </c>
      <c r="AH2102" s="37">
        <v>0</v>
      </c>
      <c r="AI2102" s="37">
        <v>96</v>
      </c>
      <c r="AJ2102" s="37">
        <v>1</v>
      </c>
      <c r="AK2102" s="37" t="str">
        <f>VLOOKUP(Mecze[[#This Row],[Match ID]],Meczusie[Mecz]:Meczusie[RodzajMeczu],2,FALSE)</f>
        <v>Towarzyski</v>
      </c>
    </row>
    <row r="2103" spans="1:37" x14ac:dyDescent="0.25">
      <c r="A2103" s="76">
        <v>59</v>
      </c>
      <c r="B2103" s="3" t="s">
        <v>455</v>
      </c>
      <c r="C2103" s="2" t="s">
        <v>160</v>
      </c>
      <c r="D2103" s="1">
        <v>0</v>
      </c>
      <c r="E2103" s="1">
        <v>0</v>
      </c>
      <c r="F2103" s="1">
        <v>0</v>
      </c>
      <c r="G2103" s="1">
        <v>7</v>
      </c>
      <c r="H2103" s="4">
        <v>0.56999999999999995</v>
      </c>
      <c r="I2103" s="1">
        <v>0</v>
      </c>
      <c r="J2103" s="4"/>
      <c r="K2103" s="1">
        <v>0</v>
      </c>
      <c r="L2103" s="1">
        <v>2</v>
      </c>
      <c r="M2103" s="32">
        <f>IF(Mecze[[#This Row],[PR]]=0,0,Mecze[[#This Row],[PR]]/Mecze[[#This Row],[CZAS]])</f>
        <v>2.0833333333333332E-2</v>
      </c>
      <c r="N2103" s="32">
        <f>IF(Mecze[[#This Row],[OU]]=0,0,Mecze[[#This Row],[OU]]/Mecze[[#This Row],[CZAS]])</f>
        <v>0</v>
      </c>
      <c r="O2103" s="32">
        <f>IF(Mecze[[#This Row],[PC]]=0,0,Mecze[[#This Row],[PC]]/Mecze[[#This Row],[CZAS]])</f>
        <v>4.1666666666666664E-2</v>
      </c>
      <c r="P2103" s="32">
        <f>IF(Mecze[[#This Row],[SC]]=0,0,Mecze[[#This Row],[SC]]/Mecze[[#This Row],[CZAS]])</f>
        <v>0</v>
      </c>
      <c r="Q2103" s="32">
        <f>IF(Mecze[[#This Row],[OB]]=0,0,Mecze[[#This Row],[OB]]/Mecze[[#This Row],[CZAS]])</f>
        <v>0</v>
      </c>
      <c r="R2103" s="32">
        <f>IF(Mecze[[#This Row],[BR]]=0,0,Mecze[[#This Row],[BR]]/Mecze[[#This Row],[CZAS]])</f>
        <v>0</v>
      </c>
      <c r="S2103" s="44">
        <f>IF(Mecze[[#This Row],[Role]]="BR",SUMPRODUCT(Mecze[[#This Row],[/PR:90]:[/BR:90]],Brudnopis!$E$23:$J$23),0)</f>
        <v>0</v>
      </c>
      <c r="T2103" s="44">
        <f>IF(Mecze[[#This Row],[Role]]&lt;&gt;"BR",SUMPRODUCT(Mecze[[#This Row],[/PR:90]:[/BR:90]],Brudnopis!$E$24:$J$24),0)</f>
        <v>6.25E-2</v>
      </c>
      <c r="U2103" s="44">
        <f>IF(Mecze[[#This Row],[Role]]&lt;&gt;"BR",SUMPRODUCT(Mecze[[#This Row],[/PR:90]:[/BR:90]],Brudnopis!$E$25:$J$25),0)</f>
        <v>8.3333333333333329E-2</v>
      </c>
      <c r="V2103" s="44">
        <f>IF(Mecze[[#This Row],[Role]]&lt;&gt;"BR",SUMPRODUCT(Mecze[[#This Row],[/PR:90]:[/BR:90]],Brudnopis!$E$26:$J$26),0)</f>
        <v>6.25E-2</v>
      </c>
      <c r="W2103" s="44">
        <f>IF(Mecze[[#This Row],[Role]]&lt;&gt;"BR",SUMPRODUCT(Mecze[[#This Row],[/PR:90]:[/BR:90]],Brudnopis!$E$27:$J$27),0)</f>
        <v>7.8125E-2</v>
      </c>
      <c r="X2103" s="44">
        <f>IF(Mecze[[#This Row],[Role]]&lt;&gt;"BR",SUMPRODUCT(Mecze[[#This Row],[/PR:90]:[/BR:90]],Brudnopis!$E$28:$J$28),0)</f>
        <v>4.1666666666666664E-2</v>
      </c>
      <c r="Y2103" s="35">
        <f>IF(Mecze[[#This Row],[Role]]="BR",Mecze[[#This Row],[/OB:90]]+Mecze[[#This Row],[/PC:90]],SUM(Mecze[[#This Row],[/PR:90]:[/BR:90]]))</f>
        <v>6.25E-2</v>
      </c>
      <c r="Z2103" s="35">
        <f>IF(Mecze[[#This Row],[KC]]=0,SUM(Mecze[[#This Row],[/BRI]:[/NPI]]),SUM(Mecze[[#This Row],[/BRI]:[/NPI]])*0.6)</f>
        <v>0.328125</v>
      </c>
      <c r="AA2103" s="10">
        <f>IFERROR(Mecze[[#This Row],[BR]]/Mecze[[#This Row],[ST]],0)</f>
        <v>0</v>
      </c>
      <c r="AB2103">
        <f>ROUND(Mecze[[#This Row],[PD]]*Mecze[[#This Row],[%PC]],0)</f>
        <v>4</v>
      </c>
      <c r="AC2103">
        <f>ROUND(Mecze[[#This Row],[OD]]*Mecze[[#This Row],[%OU]],0)</f>
        <v>0</v>
      </c>
      <c r="AD2103" s="36" t="s">
        <v>44</v>
      </c>
      <c r="AE2103" s="36">
        <v>118</v>
      </c>
      <c r="AF2103" s="71">
        <v>5.55</v>
      </c>
      <c r="AG2103" s="37">
        <v>0</v>
      </c>
      <c r="AH2103" s="37">
        <v>0</v>
      </c>
      <c r="AI2103" s="37">
        <v>96</v>
      </c>
      <c r="AJ2103" s="37">
        <v>1</v>
      </c>
      <c r="AK2103" s="37" t="str">
        <f>VLOOKUP(Mecze[[#This Row],[Match ID]],Meczusie[Mecz]:Meczusie[RodzajMeczu],2,FALSE)</f>
        <v>Towarzyski</v>
      </c>
    </row>
    <row r="2104" spans="1:37" x14ac:dyDescent="0.25">
      <c r="A2104" s="76">
        <v>25</v>
      </c>
      <c r="B2104" s="3" t="s">
        <v>366</v>
      </c>
      <c r="C2104" s="2" t="s">
        <v>160</v>
      </c>
      <c r="D2104" s="1">
        <v>1</v>
      </c>
      <c r="E2104" s="1">
        <v>1</v>
      </c>
      <c r="F2104" s="1">
        <v>1</v>
      </c>
      <c r="G2104" s="1">
        <v>5</v>
      </c>
      <c r="H2104" s="4">
        <v>0.8</v>
      </c>
      <c r="I2104" s="1">
        <v>1</v>
      </c>
      <c r="J2104" s="4">
        <v>1</v>
      </c>
      <c r="K2104" s="1">
        <v>0</v>
      </c>
      <c r="L2104" s="1">
        <v>1</v>
      </c>
      <c r="M2104" s="32">
        <f>IF(Mecze[[#This Row],[PR]]=0,0,Mecze[[#This Row],[PR]]/Mecze[[#This Row],[CZAS]])</f>
        <v>1.0416666666666666E-2</v>
      </c>
      <c r="N2104" s="32">
        <f>IF(Mecze[[#This Row],[OU]]=0,0,Mecze[[#This Row],[OU]]/Mecze[[#This Row],[CZAS]])</f>
        <v>1.0416666666666666E-2</v>
      </c>
      <c r="O2104" s="32">
        <f>IF(Mecze[[#This Row],[PC]]=0,0,Mecze[[#This Row],[PC]]/Mecze[[#This Row],[CZAS]])</f>
        <v>4.1666666666666664E-2</v>
      </c>
      <c r="P2104" s="32">
        <f>IF(Mecze[[#This Row],[SC]]=0,0,Mecze[[#This Row],[SC]]/Mecze[[#This Row],[CZAS]])</f>
        <v>1.0416666666666666E-2</v>
      </c>
      <c r="Q2104" s="32">
        <f>IF(Mecze[[#This Row],[OB]]=0,0,Mecze[[#This Row],[OB]]/Mecze[[#This Row],[CZAS]])</f>
        <v>0</v>
      </c>
      <c r="R2104" s="32">
        <f>IF(Mecze[[#This Row],[BR]]=0,0,Mecze[[#This Row],[BR]]/Mecze[[#This Row],[CZAS]])</f>
        <v>1.0416666666666666E-2</v>
      </c>
      <c r="S2104" s="44">
        <f>IF(Mecze[[#This Row],[Role]]="BR",SUMPRODUCT(Mecze[[#This Row],[/PR:90]:[/BR:90]],Brudnopis!$E$23:$J$23),0)</f>
        <v>0</v>
      </c>
      <c r="T2104" s="44">
        <f>IF(Mecze[[#This Row],[Role]]&lt;&gt;"BR",SUMPRODUCT(Mecze[[#This Row],[/PR:90]:[/BR:90]],Brudnopis!$E$24:$J$24),0)</f>
        <v>9.375E-2</v>
      </c>
      <c r="U2104" s="44">
        <f>IF(Mecze[[#This Row],[Role]]&lt;&gt;"BR",SUMPRODUCT(Mecze[[#This Row],[/PR:90]:[/BR:90]],Brudnopis!$E$25:$J$25),0)</f>
        <v>0.109375</v>
      </c>
      <c r="V2104" s="44">
        <f>IF(Mecze[[#This Row],[Role]]&lt;&gt;"BR",SUMPRODUCT(Mecze[[#This Row],[/PR:90]:[/BR:90]],Brudnopis!$E$26:$J$26),0)</f>
        <v>9.375E-2</v>
      </c>
      <c r="W2104" s="44">
        <f>IF(Mecze[[#This Row],[Role]]&lt;&gt;"BR",SUMPRODUCT(Mecze[[#This Row],[/PR:90]:[/BR:90]],Brudnopis!$E$27:$J$27),0)</f>
        <v>0.109375</v>
      </c>
      <c r="X2104" s="44">
        <f>IF(Mecze[[#This Row],[Role]]&lt;&gt;"BR",SUMPRODUCT(Mecze[[#This Row],[/PR:90]:[/BR:90]],Brudnopis!$E$28:$J$28),0)</f>
        <v>9.375E-2</v>
      </c>
      <c r="Y2104" s="35">
        <f>IF(Mecze[[#This Row],[Role]]="BR",Mecze[[#This Row],[/OB:90]]+Mecze[[#This Row],[/PC:90]],SUM(Mecze[[#This Row],[/PR:90]:[/BR:90]]))</f>
        <v>8.3333333333333343E-2</v>
      </c>
      <c r="Z2104" s="35">
        <f>IF(Mecze[[#This Row],[KC]]=0,SUM(Mecze[[#This Row],[/BRI]:[/NPI]]),SUM(Mecze[[#This Row],[/BRI]:[/NPI]])*0.6)</f>
        <v>0.5</v>
      </c>
      <c r="AA2104" s="10">
        <f>IFERROR(Mecze[[#This Row],[BR]]/Mecze[[#This Row],[ST]],0)</f>
        <v>1</v>
      </c>
      <c r="AB2104">
        <f>ROUND(Mecze[[#This Row],[PD]]*Mecze[[#This Row],[%PC]],0)</f>
        <v>4</v>
      </c>
      <c r="AC2104">
        <f>ROUND(Mecze[[#This Row],[OD]]*Mecze[[#This Row],[%OU]],0)</f>
        <v>1</v>
      </c>
      <c r="AD2104" s="36" t="s">
        <v>44</v>
      </c>
      <c r="AE2104" s="36">
        <v>118</v>
      </c>
      <c r="AF2104" s="71">
        <v>8.59</v>
      </c>
      <c r="AG2104" s="37">
        <v>0</v>
      </c>
      <c r="AH2104" s="37">
        <v>0</v>
      </c>
      <c r="AI2104" s="37">
        <v>96</v>
      </c>
      <c r="AJ2104" s="37">
        <v>1</v>
      </c>
      <c r="AK2104" s="37" t="str">
        <f>VLOOKUP(Mecze[[#This Row],[Match ID]],Meczusie[Mecz]:Meczusie[RodzajMeczu],2,FALSE)</f>
        <v>Towarzyski</v>
      </c>
    </row>
    <row r="2105" spans="1:37" x14ac:dyDescent="0.25">
      <c r="A2105" s="76">
        <v>27</v>
      </c>
      <c r="B2105" s="3" t="s">
        <v>364</v>
      </c>
      <c r="C2105" s="2" t="s">
        <v>165</v>
      </c>
      <c r="D2105" s="1">
        <v>0</v>
      </c>
      <c r="E2105" s="1">
        <v>1</v>
      </c>
      <c r="F2105" s="1">
        <v>1</v>
      </c>
      <c r="G2105" s="1">
        <v>13</v>
      </c>
      <c r="H2105" s="4">
        <v>0.46</v>
      </c>
      <c r="I2105" s="1">
        <v>6</v>
      </c>
      <c r="J2105" s="4">
        <v>0.67</v>
      </c>
      <c r="K2105" s="1">
        <v>0</v>
      </c>
      <c r="L2105" s="1">
        <v>8</v>
      </c>
      <c r="M2105" s="32">
        <f>IF(Mecze[[#This Row],[PR]]=0,0,Mecze[[#This Row],[PR]]/Mecze[[#This Row],[CZAS]])</f>
        <v>8.3333333333333329E-2</v>
      </c>
      <c r="N2105" s="32">
        <f>IF(Mecze[[#This Row],[OU]]=0,0,Mecze[[#This Row],[OU]]/Mecze[[#This Row],[CZAS]])</f>
        <v>4.1666666666666664E-2</v>
      </c>
      <c r="O2105" s="32">
        <f>IF(Mecze[[#This Row],[PC]]=0,0,Mecze[[#This Row],[PC]]/Mecze[[#This Row],[CZAS]])</f>
        <v>6.25E-2</v>
      </c>
      <c r="P2105" s="32">
        <f>IF(Mecze[[#This Row],[SC]]=0,0,Mecze[[#This Row],[SC]]/Mecze[[#This Row],[CZAS]])</f>
        <v>1.0416666666666666E-2</v>
      </c>
      <c r="Q2105" s="32">
        <f>IF(Mecze[[#This Row],[OB]]=0,0,Mecze[[#This Row],[OB]]/Mecze[[#This Row],[CZAS]])</f>
        <v>0</v>
      </c>
      <c r="R2105" s="32">
        <f>IF(Mecze[[#This Row],[BR]]=0,0,Mecze[[#This Row],[BR]]/Mecze[[#This Row],[CZAS]])</f>
        <v>0</v>
      </c>
      <c r="S2105" s="44">
        <f>IF(Mecze[[#This Row],[Role]]="BR",SUMPRODUCT(Mecze[[#This Row],[/PR:90]:[/BR:90]],Brudnopis!$E$23:$J$23),0)</f>
        <v>0</v>
      </c>
      <c r="T2105" s="44">
        <f>IF(Mecze[[#This Row],[Role]]&lt;&gt;"BR",SUMPRODUCT(Mecze[[#This Row],[/PR:90]:[/BR:90]],Brudnopis!$E$24:$J$24),0)</f>
        <v>0.21874999999999997</v>
      </c>
      <c r="U2105" s="44">
        <f>IF(Mecze[[#This Row],[Role]]&lt;&gt;"BR",SUMPRODUCT(Mecze[[#This Row],[/PR:90]:[/BR:90]],Brudnopis!$E$25:$J$25),0)</f>
        <v>0.22916666666666666</v>
      </c>
      <c r="V2105" s="44">
        <f>IF(Mecze[[#This Row],[Role]]&lt;&gt;"BR",SUMPRODUCT(Mecze[[#This Row],[/PR:90]:[/BR:90]],Brudnopis!$E$26:$J$26),0)</f>
        <v>0.19791666666666666</v>
      </c>
      <c r="W2105" s="44">
        <f>IF(Mecze[[#This Row],[Role]]&lt;&gt;"BR",SUMPRODUCT(Mecze[[#This Row],[/PR:90]:[/BR:90]],Brudnopis!$E$27:$J$27),0)</f>
        <v>0.19791666666666666</v>
      </c>
      <c r="X2105" s="44">
        <f>IF(Mecze[[#This Row],[Role]]&lt;&gt;"BR",SUMPRODUCT(Mecze[[#This Row],[/PR:90]:[/BR:90]],Brudnopis!$E$28:$J$28),0)</f>
        <v>8.3333333333333329E-2</v>
      </c>
      <c r="Y2105" s="35">
        <f>IF(Mecze[[#This Row],[Role]]="BR",Mecze[[#This Row],[/OB:90]]+Mecze[[#This Row],[/PC:90]],SUM(Mecze[[#This Row],[/PR:90]:[/BR:90]]))</f>
        <v>0.19791666666666666</v>
      </c>
      <c r="Z2105" s="35">
        <f>IF(Mecze[[#This Row],[KC]]=0,SUM(Mecze[[#This Row],[/BRI]:[/NPI]]),SUM(Mecze[[#This Row],[/BRI]:[/NPI]])*0.6)</f>
        <v>0.92708333333333326</v>
      </c>
      <c r="AA2105" s="10">
        <f>IFERROR(Mecze[[#This Row],[BR]]/Mecze[[#This Row],[ST]],0)</f>
        <v>0</v>
      </c>
      <c r="AB2105">
        <f>ROUND(Mecze[[#This Row],[PD]]*Mecze[[#This Row],[%PC]],0)</f>
        <v>6</v>
      </c>
      <c r="AC2105">
        <f>ROUND(Mecze[[#This Row],[OD]]*Mecze[[#This Row],[%OU]],0)</f>
        <v>4</v>
      </c>
      <c r="AD2105" s="36" t="s">
        <v>46</v>
      </c>
      <c r="AE2105" s="36">
        <v>118</v>
      </c>
      <c r="AF2105" s="71">
        <v>4.1500000000000004</v>
      </c>
      <c r="AG2105" s="37">
        <v>0</v>
      </c>
      <c r="AH2105" s="37">
        <v>0</v>
      </c>
      <c r="AI2105" s="37">
        <v>96</v>
      </c>
      <c r="AJ2105" s="37">
        <v>1</v>
      </c>
      <c r="AK2105" s="37" t="str">
        <f>VLOOKUP(Mecze[[#This Row],[Match ID]],Meczusie[Mecz]:Meczusie[RodzajMeczu],2,FALSE)</f>
        <v>Towarzyski</v>
      </c>
    </row>
    <row r="2106" spans="1:37" x14ac:dyDescent="0.25">
      <c r="A2106" s="76">
        <v>61</v>
      </c>
      <c r="B2106" s="3" t="s">
        <v>454</v>
      </c>
      <c r="C2106" s="2" t="s">
        <v>165</v>
      </c>
      <c r="D2106" s="1">
        <v>0</v>
      </c>
      <c r="E2106" s="1">
        <v>5</v>
      </c>
      <c r="F2106" s="1">
        <v>3</v>
      </c>
      <c r="G2106" s="1">
        <v>10</v>
      </c>
      <c r="H2106" s="4">
        <v>0.5</v>
      </c>
      <c r="I2106" s="1">
        <v>4</v>
      </c>
      <c r="J2106" s="4">
        <v>0.25</v>
      </c>
      <c r="K2106" s="1">
        <v>0</v>
      </c>
      <c r="L2106" s="1">
        <v>1</v>
      </c>
      <c r="M2106" s="32">
        <f>IF(Mecze[[#This Row],[PR]]=0,0,Mecze[[#This Row],[PR]]/Mecze[[#This Row],[CZAS]])</f>
        <v>1.0416666666666666E-2</v>
      </c>
      <c r="N2106" s="32">
        <f>IF(Mecze[[#This Row],[OU]]=0,0,Mecze[[#This Row],[OU]]/Mecze[[#This Row],[CZAS]])</f>
        <v>1.0416666666666666E-2</v>
      </c>
      <c r="O2106" s="32">
        <f>IF(Mecze[[#This Row],[PC]]=0,0,Mecze[[#This Row],[PC]]/Mecze[[#This Row],[CZAS]])</f>
        <v>5.2083333333333336E-2</v>
      </c>
      <c r="P2106" s="32">
        <f>IF(Mecze[[#This Row],[SC]]=0,0,Mecze[[#This Row],[SC]]/Mecze[[#This Row],[CZAS]])</f>
        <v>3.125E-2</v>
      </c>
      <c r="Q2106" s="32">
        <f>IF(Mecze[[#This Row],[OB]]=0,0,Mecze[[#This Row],[OB]]/Mecze[[#This Row],[CZAS]])</f>
        <v>0</v>
      </c>
      <c r="R2106" s="32">
        <f>IF(Mecze[[#This Row],[BR]]=0,0,Mecze[[#This Row],[BR]]/Mecze[[#This Row],[CZAS]])</f>
        <v>0</v>
      </c>
      <c r="S2106" s="44">
        <f>IF(Mecze[[#This Row],[Role]]="BR",SUMPRODUCT(Mecze[[#This Row],[/PR:90]:[/BR:90]],Brudnopis!$E$23:$J$23),0)</f>
        <v>0</v>
      </c>
      <c r="T2106" s="44">
        <f>IF(Mecze[[#This Row],[Role]]&lt;&gt;"BR",SUMPRODUCT(Mecze[[#This Row],[/PR:90]:[/BR:90]],Brudnopis!$E$24:$J$24),0)</f>
        <v>0.109375</v>
      </c>
      <c r="U2106" s="44">
        <f>IF(Mecze[[#This Row],[Role]]&lt;&gt;"BR",SUMPRODUCT(Mecze[[#This Row],[/PR:90]:[/BR:90]],Brudnopis!$E$25:$J$25),0)</f>
        <v>0.13020833333333331</v>
      </c>
      <c r="V2106" s="44">
        <f>IF(Mecze[[#This Row],[Role]]&lt;&gt;"BR",SUMPRODUCT(Mecze[[#This Row],[/PR:90]:[/BR:90]],Brudnopis!$E$26:$J$26),0)</f>
        <v>0.10416666666666667</v>
      </c>
      <c r="W2106" s="44">
        <f>IF(Mecze[[#This Row],[Role]]&lt;&gt;"BR",SUMPRODUCT(Mecze[[#This Row],[/PR:90]:[/BR:90]],Brudnopis!$E$27:$J$27),0)</f>
        <v>0.125</v>
      </c>
      <c r="X2106" s="44">
        <f>IF(Mecze[[#This Row],[Role]]&lt;&gt;"BR",SUMPRODUCT(Mecze[[#This Row],[/PR:90]:[/BR:90]],Brudnopis!$E$28:$J$28),0)</f>
        <v>0.11458333333333334</v>
      </c>
      <c r="Y2106" s="35">
        <f>IF(Mecze[[#This Row],[Role]]="BR",Mecze[[#This Row],[/OB:90]]+Mecze[[#This Row],[/PC:90]],SUM(Mecze[[#This Row],[/PR:90]:[/BR:90]]))</f>
        <v>0.10416666666666667</v>
      </c>
      <c r="Z2106" s="35">
        <f>IF(Mecze[[#This Row],[KC]]=0,SUM(Mecze[[#This Row],[/BRI]:[/NPI]]),SUM(Mecze[[#This Row],[/BRI]:[/NPI]])*0.6)</f>
        <v>0.58333333333333337</v>
      </c>
      <c r="AA2106" s="10">
        <f>IFERROR(Mecze[[#This Row],[BR]]/Mecze[[#This Row],[ST]],0)</f>
        <v>0</v>
      </c>
      <c r="AB2106">
        <f>ROUND(Mecze[[#This Row],[PD]]*Mecze[[#This Row],[%PC]],0)</f>
        <v>5</v>
      </c>
      <c r="AC2106">
        <f>ROUND(Mecze[[#This Row],[OD]]*Mecze[[#This Row],[%OU]],0)</f>
        <v>1</v>
      </c>
      <c r="AD2106" s="36" t="s">
        <v>46</v>
      </c>
      <c r="AE2106" s="36">
        <v>118</v>
      </c>
      <c r="AF2106" s="71">
        <v>5.92</v>
      </c>
      <c r="AG2106" s="37">
        <v>0</v>
      </c>
      <c r="AH2106" s="37">
        <v>0</v>
      </c>
      <c r="AI2106" s="37">
        <v>96</v>
      </c>
      <c r="AJ2106" s="37">
        <v>1</v>
      </c>
      <c r="AK2106" s="37" t="str">
        <f>VLOOKUP(Mecze[[#This Row],[Match ID]],Meczusie[Mecz]:Meczusie[RodzajMeczu],2,FALSE)</f>
        <v>Towarzyski</v>
      </c>
    </row>
    <row r="2107" spans="1:37" x14ac:dyDescent="0.25">
      <c r="A2107" s="76">
        <v>31</v>
      </c>
      <c r="B2107" s="3" t="s">
        <v>365</v>
      </c>
      <c r="C2107" s="2" t="s">
        <v>165</v>
      </c>
      <c r="D2107" s="1">
        <v>2</v>
      </c>
      <c r="E2107" s="1">
        <v>4</v>
      </c>
      <c r="F2107" s="1">
        <v>4</v>
      </c>
      <c r="G2107" s="1">
        <v>8</v>
      </c>
      <c r="H2107" s="4">
        <v>0.5</v>
      </c>
      <c r="I2107" s="1">
        <v>7</v>
      </c>
      <c r="J2107" s="4">
        <v>0.43</v>
      </c>
      <c r="K2107" s="1">
        <v>0</v>
      </c>
      <c r="L2107" s="1">
        <v>0</v>
      </c>
      <c r="M2107" s="32">
        <f>IF(Mecze[[#This Row],[PR]]=0,0,Mecze[[#This Row],[PR]]/Mecze[[#This Row],[CZAS]])</f>
        <v>0</v>
      </c>
      <c r="N2107" s="32">
        <f>IF(Mecze[[#This Row],[OU]]=0,0,Mecze[[#This Row],[OU]]/Mecze[[#This Row],[CZAS]])</f>
        <v>3.125E-2</v>
      </c>
      <c r="O2107" s="32">
        <f>IF(Mecze[[#This Row],[PC]]=0,0,Mecze[[#This Row],[PC]]/Mecze[[#This Row],[CZAS]])</f>
        <v>4.1666666666666664E-2</v>
      </c>
      <c r="P2107" s="32">
        <f>IF(Mecze[[#This Row],[SC]]=0,0,Mecze[[#This Row],[SC]]/Mecze[[#This Row],[CZAS]])</f>
        <v>4.1666666666666664E-2</v>
      </c>
      <c r="Q2107" s="32">
        <f>IF(Mecze[[#This Row],[OB]]=0,0,Mecze[[#This Row],[OB]]/Mecze[[#This Row],[CZAS]])</f>
        <v>0</v>
      </c>
      <c r="R2107" s="32">
        <f>IF(Mecze[[#This Row],[BR]]=0,0,Mecze[[#This Row],[BR]]/Mecze[[#This Row],[CZAS]])</f>
        <v>2.0833333333333332E-2</v>
      </c>
      <c r="S2107" s="44">
        <f>IF(Mecze[[#This Row],[Role]]="BR",SUMPRODUCT(Mecze[[#This Row],[/PR:90]:[/BR:90]],Brudnopis!$E$23:$J$23),0)</f>
        <v>0</v>
      </c>
      <c r="T2107" s="44">
        <f>IF(Mecze[[#This Row],[Role]]&lt;&gt;"BR",SUMPRODUCT(Mecze[[#This Row],[/PR:90]:[/BR:90]],Brudnopis!$E$24:$J$24),0)</f>
        <v>0.16145833333333331</v>
      </c>
      <c r="U2107" s="44">
        <f>IF(Mecze[[#This Row],[Role]]&lt;&gt;"BR",SUMPRODUCT(Mecze[[#This Row],[/PR:90]:[/BR:90]],Brudnopis!$E$25:$J$25),0)</f>
        <v>0.16666666666666666</v>
      </c>
      <c r="V2107" s="44">
        <f>IF(Mecze[[#This Row],[Role]]&lt;&gt;"BR",SUMPRODUCT(Mecze[[#This Row],[/PR:90]:[/BR:90]],Brudnopis!$E$26:$J$26),0)</f>
        <v>0.15624999999999997</v>
      </c>
      <c r="W2107" s="44">
        <f>IF(Mecze[[#This Row],[Role]]&lt;&gt;"BR",SUMPRODUCT(Mecze[[#This Row],[/PR:90]:[/BR:90]],Brudnopis!$E$27:$J$27),0)</f>
        <v>0.16927083333333331</v>
      </c>
      <c r="X2107" s="44">
        <f>IF(Mecze[[#This Row],[Role]]&lt;&gt;"BR",SUMPRODUCT(Mecze[[#This Row],[/PR:90]:[/BR:90]],Brudnopis!$E$28:$J$28),0)</f>
        <v>0.1875</v>
      </c>
      <c r="Y2107" s="35">
        <f>IF(Mecze[[#This Row],[Role]]="BR",Mecze[[#This Row],[/OB:90]]+Mecze[[#This Row],[/PC:90]],SUM(Mecze[[#This Row],[/PR:90]:[/BR:90]]))</f>
        <v>0.13541666666666666</v>
      </c>
      <c r="Z2107" s="35">
        <f>IF(Mecze[[#This Row],[KC]]=0,SUM(Mecze[[#This Row],[/BRI]:[/NPI]]),SUM(Mecze[[#This Row],[/BRI]:[/NPI]])*0.6)</f>
        <v>0.84114583333333326</v>
      </c>
      <c r="AA2107" s="10">
        <f>IFERROR(Mecze[[#This Row],[BR]]/Mecze[[#This Row],[ST]],0)</f>
        <v>0.5</v>
      </c>
      <c r="AB2107">
        <f>ROUND(Mecze[[#This Row],[PD]]*Mecze[[#This Row],[%PC]],0)</f>
        <v>4</v>
      </c>
      <c r="AC2107">
        <f>ROUND(Mecze[[#This Row],[OD]]*Mecze[[#This Row],[%OU]],0)</f>
        <v>3</v>
      </c>
      <c r="AD2107" s="36" t="s">
        <v>46</v>
      </c>
      <c r="AE2107" s="36">
        <v>118</v>
      </c>
      <c r="AF2107" s="71">
        <v>9.6300000000000008</v>
      </c>
      <c r="AG2107" s="37">
        <v>1</v>
      </c>
      <c r="AH2107" s="37">
        <v>0</v>
      </c>
      <c r="AI2107" s="37">
        <v>96</v>
      </c>
      <c r="AJ2107" s="37">
        <v>1</v>
      </c>
      <c r="AK2107" s="37" t="str">
        <f>VLOOKUP(Mecze[[#This Row],[Match ID]],Meczusie[Mecz]:Meczusie[RodzajMeczu],2,FALSE)</f>
        <v>Towarzyski</v>
      </c>
    </row>
    <row r="2108" spans="1:37" x14ac:dyDescent="0.25">
      <c r="A2108" s="76">
        <v>39</v>
      </c>
      <c r="B2108" s="3" t="s">
        <v>450</v>
      </c>
      <c r="C2108" s="2" t="s">
        <v>155</v>
      </c>
      <c r="D2108" s="1">
        <v>0</v>
      </c>
      <c r="E2108" s="1">
        <v>0</v>
      </c>
      <c r="F2108" s="1">
        <v>0</v>
      </c>
      <c r="G2108" s="1">
        <v>8</v>
      </c>
      <c r="H2108" s="4">
        <v>0.38</v>
      </c>
      <c r="I2108" s="1">
        <v>0</v>
      </c>
      <c r="J2108" s="4"/>
      <c r="K2108" s="1">
        <v>9</v>
      </c>
      <c r="L2108" s="1">
        <v>0</v>
      </c>
      <c r="M2108" s="32">
        <f>IF(Mecze[[#This Row],[PR]]=0,0,Mecze[[#This Row],[PR]]/Mecze[[#This Row],[CZAS]])</f>
        <v>0</v>
      </c>
      <c r="N2108" s="32">
        <f>IF(Mecze[[#This Row],[OU]]=0,0,Mecze[[#This Row],[OU]]/Mecze[[#This Row],[CZAS]])</f>
        <v>0</v>
      </c>
      <c r="O2108" s="32">
        <f>IF(Mecze[[#This Row],[PC]]=0,0,Mecze[[#This Row],[PC]]/Mecze[[#This Row],[CZAS]])</f>
        <v>3.125E-2</v>
      </c>
      <c r="P2108" s="32">
        <f>IF(Mecze[[#This Row],[SC]]=0,0,Mecze[[#This Row],[SC]]/Mecze[[#This Row],[CZAS]])</f>
        <v>0</v>
      </c>
      <c r="Q2108" s="32">
        <f>IF(Mecze[[#This Row],[OB]]=0,0,Mecze[[#This Row],[OB]]/Mecze[[#This Row],[CZAS]])</f>
        <v>9.375E-2</v>
      </c>
      <c r="R2108" s="32">
        <f>IF(Mecze[[#This Row],[BR]]=0,0,Mecze[[#This Row],[BR]]/Mecze[[#This Row],[CZAS]])</f>
        <v>0</v>
      </c>
      <c r="S2108" s="44">
        <f>IF(Mecze[[#This Row],[Role]]="BR",SUMPRODUCT(Mecze[[#This Row],[/PR:90]:[/BR:90]],Brudnopis!$E$23:$J$23),0)</f>
        <v>0.375</v>
      </c>
      <c r="T2108" s="44">
        <f>IF(Mecze[[#This Row],[Role]]&lt;&gt;"BR",SUMPRODUCT(Mecze[[#This Row],[/PR:90]:[/BR:90]],Brudnopis!$E$24:$J$24),0)</f>
        <v>0</v>
      </c>
      <c r="U2108" s="44">
        <f>IF(Mecze[[#This Row],[Role]]&lt;&gt;"BR",SUMPRODUCT(Mecze[[#This Row],[/PR:90]:[/BR:90]],Brudnopis!$E$25:$J$25),0)</f>
        <v>0</v>
      </c>
      <c r="V2108" s="44">
        <f>IF(Mecze[[#This Row],[Role]]&lt;&gt;"BR",SUMPRODUCT(Mecze[[#This Row],[/PR:90]:[/BR:90]],Brudnopis!$E$26:$J$26),0)</f>
        <v>0</v>
      </c>
      <c r="W2108" s="44">
        <f>IF(Mecze[[#This Row],[Role]]&lt;&gt;"BR",SUMPRODUCT(Mecze[[#This Row],[/PR:90]:[/BR:90]],Brudnopis!$E$27:$J$27),0)</f>
        <v>0</v>
      </c>
      <c r="X2108" s="44">
        <f>IF(Mecze[[#This Row],[Role]]&lt;&gt;"BR",SUMPRODUCT(Mecze[[#This Row],[/PR:90]:[/BR:90]],Brudnopis!$E$28:$J$28),0)</f>
        <v>0</v>
      </c>
      <c r="Y2108" s="35">
        <f>IF(Mecze[[#This Row],[Role]]="BR",Mecze[[#This Row],[/OB:90]]+Mecze[[#This Row],[/PC:90]],SUM(Mecze[[#This Row],[/PR:90]:[/BR:90]]))</f>
        <v>0.125</v>
      </c>
      <c r="Z2108" s="35">
        <f>IF(Mecze[[#This Row],[KC]]=0,SUM(Mecze[[#This Row],[/BRI]:[/NPI]]),SUM(Mecze[[#This Row],[/BRI]:[/NPI]])*0.6)</f>
        <v>0.375</v>
      </c>
      <c r="AA2108" s="10">
        <f>IFERROR(Mecze[[#This Row],[BR]]/Mecze[[#This Row],[ST]],0)</f>
        <v>0</v>
      </c>
      <c r="AB2108">
        <f>ROUND(Mecze[[#This Row],[PD]]*Mecze[[#This Row],[%PC]],0)</f>
        <v>3</v>
      </c>
      <c r="AC2108">
        <f>ROUND(Mecze[[#This Row],[OD]]*Mecze[[#This Row],[%OU]],0)</f>
        <v>0</v>
      </c>
      <c r="AD2108" s="36" t="s">
        <v>40</v>
      </c>
      <c r="AE2108" s="36">
        <v>119</v>
      </c>
      <c r="AF2108" s="71">
        <v>5.96</v>
      </c>
      <c r="AG2108" s="37">
        <v>0</v>
      </c>
      <c r="AH2108" s="37">
        <v>0</v>
      </c>
      <c r="AI2108" s="37">
        <v>96</v>
      </c>
      <c r="AJ2108" s="37">
        <v>1</v>
      </c>
      <c r="AK2108" s="37" t="str">
        <f>VLOOKUP(Mecze[[#This Row],[Match ID]],Meczusie[Mecz]:Meczusie[RodzajMeczu],2,FALSE)</f>
        <v>Towarzyski</v>
      </c>
    </row>
    <row r="2109" spans="1:37" x14ac:dyDescent="0.25">
      <c r="A2109" s="76">
        <v>38</v>
      </c>
      <c r="B2109" s="3" t="s">
        <v>359</v>
      </c>
      <c r="C2109" s="2" t="s">
        <v>157</v>
      </c>
      <c r="D2109" s="1">
        <v>0</v>
      </c>
      <c r="E2109" s="1">
        <v>0</v>
      </c>
      <c r="F2109" s="1">
        <v>0</v>
      </c>
      <c r="G2109" s="1">
        <v>9</v>
      </c>
      <c r="H2109" s="4">
        <v>0.56000000000000005</v>
      </c>
      <c r="I2109" s="1">
        <v>4</v>
      </c>
      <c r="J2109" s="4">
        <v>0.25</v>
      </c>
      <c r="K2109" s="1">
        <v>0</v>
      </c>
      <c r="L2109" s="1">
        <v>6</v>
      </c>
      <c r="M2109" s="32">
        <f>IF(Mecze[[#This Row],[PR]]=0,0,Mecze[[#This Row],[PR]]/Mecze[[#This Row],[CZAS]])</f>
        <v>6.25E-2</v>
      </c>
      <c r="N2109" s="32">
        <f>IF(Mecze[[#This Row],[OU]]=0,0,Mecze[[#This Row],[OU]]/Mecze[[#This Row],[CZAS]])</f>
        <v>1.0416666666666666E-2</v>
      </c>
      <c r="O2109" s="32">
        <f>IF(Mecze[[#This Row],[PC]]=0,0,Mecze[[#This Row],[PC]]/Mecze[[#This Row],[CZAS]])</f>
        <v>5.2083333333333336E-2</v>
      </c>
      <c r="P2109" s="32">
        <f>IF(Mecze[[#This Row],[SC]]=0,0,Mecze[[#This Row],[SC]]/Mecze[[#This Row],[CZAS]])</f>
        <v>0</v>
      </c>
      <c r="Q2109" s="32">
        <f>IF(Mecze[[#This Row],[OB]]=0,0,Mecze[[#This Row],[OB]]/Mecze[[#This Row],[CZAS]])</f>
        <v>0</v>
      </c>
      <c r="R2109" s="32">
        <f>IF(Mecze[[#This Row],[BR]]=0,0,Mecze[[#This Row],[BR]]/Mecze[[#This Row],[CZAS]])</f>
        <v>0</v>
      </c>
      <c r="S2109" s="44">
        <f>IF(Mecze[[#This Row],[Role]]="BR",SUMPRODUCT(Mecze[[#This Row],[/PR:90]:[/BR:90]],Brudnopis!$E$23:$J$23),0)</f>
        <v>0</v>
      </c>
      <c r="T2109" s="44">
        <f>IF(Mecze[[#This Row],[Role]]&lt;&gt;"BR",SUMPRODUCT(Mecze[[#This Row],[/PR:90]:[/BR:90]],Brudnopis!$E$24:$J$24),0)</f>
        <v>0.13020833333333334</v>
      </c>
      <c r="U2109" s="44">
        <f>IF(Mecze[[#This Row],[Role]]&lt;&gt;"BR",SUMPRODUCT(Mecze[[#This Row],[/PR:90]:[/BR:90]],Brudnopis!$E$25:$J$25),0)</f>
        <v>0.15104166666666669</v>
      </c>
      <c r="V2109" s="44">
        <f>IF(Mecze[[#This Row],[Role]]&lt;&gt;"BR",SUMPRODUCT(Mecze[[#This Row],[/PR:90]:[/BR:90]],Brudnopis!$E$26:$J$26),0)</f>
        <v>0.125</v>
      </c>
      <c r="W2109" s="44">
        <f>IF(Mecze[[#This Row],[Role]]&lt;&gt;"BR",SUMPRODUCT(Mecze[[#This Row],[/PR:90]:[/BR:90]],Brudnopis!$E$27:$J$27),0)</f>
        <v>0.1328125</v>
      </c>
      <c r="X2109" s="44">
        <f>IF(Mecze[[#This Row],[Role]]&lt;&gt;"BR",SUMPRODUCT(Mecze[[#This Row],[/PR:90]:[/BR:90]],Brudnopis!$E$28:$J$28),0)</f>
        <v>5.2083333333333336E-2</v>
      </c>
      <c r="Y2109" s="35">
        <f>IF(Mecze[[#This Row],[Role]]="BR",Mecze[[#This Row],[/OB:90]]+Mecze[[#This Row],[/PC:90]],SUM(Mecze[[#This Row],[/PR:90]:[/BR:90]]))</f>
        <v>0.125</v>
      </c>
      <c r="Z2109" s="35">
        <f>IF(Mecze[[#This Row],[KC]]=0,SUM(Mecze[[#This Row],[/BRI]:[/NPI]]),SUM(Mecze[[#This Row],[/BRI]:[/NPI]])*0.6)</f>
        <v>0.59114583333333337</v>
      </c>
      <c r="AA2109" s="10">
        <f>IFERROR(Mecze[[#This Row],[BR]]/Mecze[[#This Row],[ST]],0)</f>
        <v>0</v>
      </c>
      <c r="AB2109">
        <f>ROUND(Mecze[[#This Row],[PD]]*Mecze[[#This Row],[%PC]],0)</f>
        <v>5</v>
      </c>
      <c r="AC2109">
        <f>ROUND(Mecze[[#This Row],[OD]]*Mecze[[#This Row],[%OU]],0)</f>
        <v>1</v>
      </c>
      <c r="AD2109" s="36" t="s">
        <v>47</v>
      </c>
      <c r="AE2109" s="36">
        <v>119</v>
      </c>
      <c r="AF2109" s="71">
        <v>4.07</v>
      </c>
      <c r="AG2109" s="37">
        <v>0</v>
      </c>
      <c r="AH2109" s="37">
        <v>0</v>
      </c>
      <c r="AI2109" s="37">
        <v>96</v>
      </c>
      <c r="AJ2109" s="37">
        <v>1</v>
      </c>
      <c r="AK2109" s="37" t="str">
        <f>VLOOKUP(Mecze[[#This Row],[Match ID]],Meczusie[Mecz]:Meczusie[RodzajMeczu],2,FALSE)</f>
        <v>Towarzyski</v>
      </c>
    </row>
    <row r="2110" spans="1:37" x14ac:dyDescent="0.25">
      <c r="A2110" s="76">
        <v>4</v>
      </c>
      <c r="B2110" s="3" t="s">
        <v>360</v>
      </c>
      <c r="C2110" s="2" t="s">
        <v>157</v>
      </c>
      <c r="D2110" s="1">
        <v>0</v>
      </c>
      <c r="E2110" s="1">
        <v>0</v>
      </c>
      <c r="F2110" s="1">
        <v>0</v>
      </c>
      <c r="G2110" s="1">
        <v>6</v>
      </c>
      <c r="H2110" s="4">
        <v>0.33</v>
      </c>
      <c r="I2110" s="1">
        <v>8</v>
      </c>
      <c r="J2110" s="4">
        <v>0.5</v>
      </c>
      <c r="K2110" s="1">
        <v>0</v>
      </c>
      <c r="L2110" s="1">
        <v>8</v>
      </c>
      <c r="M2110" s="32">
        <f>IF(Mecze[[#This Row],[PR]]=0,0,Mecze[[#This Row],[PR]]/Mecze[[#This Row],[CZAS]])</f>
        <v>8.3333333333333329E-2</v>
      </c>
      <c r="N2110" s="32">
        <f>IF(Mecze[[#This Row],[OU]]=0,0,Mecze[[#This Row],[OU]]/Mecze[[#This Row],[CZAS]])</f>
        <v>4.1666666666666664E-2</v>
      </c>
      <c r="O2110" s="32">
        <f>IF(Mecze[[#This Row],[PC]]=0,0,Mecze[[#This Row],[PC]]/Mecze[[#This Row],[CZAS]])</f>
        <v>2.0833333333333332E-2</v>
      </c>
      <c r="P2110" s="32">
        <f>IF(Mecze[[#This Row],[SC]]=0,0,Mecze[[#This Row],[SC]]/Mecze[[#This Row],[CZAS]])</f>
        <v>0</v>
      </c>
      <c r="Q2110" s="32">
        <f>IF(Mecze[[#This Row],[OB]]=0,0,Mecze[[#This Row],[OB]]/Mecze[[#This Row],[CZAS]])</f>
        <v>0</v>
      </c>
      <c r="R2110" s="32">
        <f>IF(Mecze[[#This Row],[BR]]=0,0,Mecze[[#This Row],[BR]]/Mecze[[#This Row],[CZAS]])</f>
        <v>0</v>
      </c>
      <c r="S2110" s="44">
        <f>IF(Mecze[[#This Row],[Role]]="BR",SUMPRODUCT(Mecze[[#This Row],[/PR:90]:[/BR:90]],Brudnopis!$E$23:$J$23),0)</f>
        <v>0</v>
      </c>
      <c r="T2110" s="44">
        <f>IF(Mecze[[#This Row],[Role]]&lt;&gt;"BR",SUMPRODUCT(Mecze[[#This Row],[/PR:90]:[/BR:90]],Brudnopis!$E$24:$J$24),0)</f>
        <v>0.16666666666666666</v>
      </c>
      <c r="U2110" s="44">
        <f>IF(Mecze[[#This Row],[Role]]&lt;&gt;"BR",SUMPRODUCT(Mecze[[#This Row],[/PR:90]:[/BR:90]],Brudnopis!$E$25:$J$25),0)</f>
        <v>0.15625</v>
      </c>
      <c r="V2110" s="44">
        <f>IF(Mecze[[#This Row],[Role]]&lt;&gt;"BR",SUMPRODUCT(Mecze[[#This Row],[/PR:90]:[/BR:90]],Brudnopis!$E$26:$J$26),0)</f>
        <v>0.14583333333333334</v>
      </c>
      <c r="W2110" s="44">
        <f>IF(Mecze[[#This Row],[Role]]&lt;&gt;"BR",SUMPRODUCT(Mecze[[#This Row],[/PR:90]:[/BR:90]],Brudnopis!$E$27:$J$27),0)</f>
        <v>0.125</v>
      </c>
      <c r="X2110" s="44">
        <f>IF(Mecze[[#This Row],[Role]]&lt;&gt;"BR",SUMPRODUCT(Mecze[[#This Row],[/PR:90]:[/BR:90]],Brudnopis!$E$28:$J$28),0)</f>
        <v>2.0833333333333332E-2</v>
      </c>
      <c r="Y2110" s="35">
        <f>IF(Mecze[[#This Row],[Role]]="BR",Mecze[[#This Row],[/OB:90]]+Mecze[[#This Row],[/PC:90]],SUM(Mecze[[#This Row],[/PR:90]:[/BR:90]]))</f>
        <v>0.14583333333333334</v>
      </c>
      <c r="Z2110" s="35">
        <f>IF(Mecze[[#This Row],[KC]]=0,SUM(Mecze[[#This Row],[/BRI]:[/NPI]]),SUM(Mecze[[#This Row],[/BRI]:[/NPI]])*0.6)</f>
        <v>0.61458333333333337</v>
      </c>
      <c r="AA2110" s="10">
        <f>IFERROR(Mecze[[#This Row],[BR]]/Mecze[[#This Row],[ST]],0)</f>
        <v>0</v>
      </c>
      <c r="AB2110">
        <f>ROUND(Mecze[[#This Row],[PD]]*Mecze[[#This Row],[%PC]],0)</f>
        <v>2</v>
      </c>
      <c r="AC2110">
        <f>ROUND(Mecze[[#This Row],[OD]]*Mecze[[#This Row],[%OU]],0)</f>
        <v>4</v>
      </c>
      <c r="AD2110" s="36" t="s">
        <v>168</v>
      </c>
      <c r="AE2110" s="36">
        <v>119</v>
      </c>
      <c r="AF2110" s="71">
        <v>5.61</v>
      </c>
      <c r="AG2110" s="37">
        <v>0</v>
      </c>
      <c r="AH2110" s="37">
        <v>0</v>
      </c>
      <c r="AI2110" s="37">
        <v>96</v>
      </c>
      <c r="AJ2110" s="37">
        <v>1</v>
      </c>
      <c r="AK2110" s="37" t="str">
        <f>VLOOKUP(Mecze[[#This Row],[Match ID]],Meczusie[Mecz]:Meczusie[RodzajMeczu],2,FALSE)</f>
        <v>Towarzyski</v>
      </c>
    </row>
    <row r="2111" spans="1:37" x14ac:dyDescent="0.25">
      <c r="A2111" s="76">
        <v>17</v>
      </c>
      <c r="B2111" s="3" t="s">
        <v>413</v>
      </c>
      <c r="C2111" s="2" t="s">
        <v>157</v>
      </c>
      <c r="D2111" s="1">
        <v>0</v>
      </c>
      <c r="E2111" s="1">
        <v>0</v>
      </c>
      <c r="F2111" s="1">
        <v>0</v>
      </c>
      <c r="G2111" s="1">
        <v>5</v>
      </c>
      <c r="H2111" s="4">
        <v>1</v>
      </c>
      <c r="I2111" s="1">
        <v>7</v>
      </c>
      <c r="J2111" s="4">
        <v>0.43</v>
      </c>
      <c r="K2111" s="1">
        <v>0</v>
      </c>
      <c r="L2111" s="1">
        <v>6</v>
      </c>
      <c r="M2111" s="32">
        <f>IF(Mecze[[#This Row],[PR]]=0,0,Mecze[[#This Row],[PR]]/Mecze[[#This Row],[CZAS]])</f>
        <v>6.25E-2</v>
      </c>
      <c r="N2111" s="32">
        <f>IF(Mecze[[#This Row],[OU]]=0,0,Mecze[[#This Row],[OU]]/Mecze[[#This Row],[CZAS]])</f>
        <v>3.125E-2</v>
      </c>
      <c r="O2111" s="32">
        <f>IF(Mecze[[#This Row],[PC]]=0,0,Mecze[[#This Row],[PC]]/Mecze[[#This Row],[CZAS]])</f>
        <v>5.2083333333333336E-2</v>
      </c>
      <c r="P2111" s="32">
        <f>IF(Mecze[[#This Row],[SC]]=0,0,Mecze[[#This Row],[SC]]/Mecze[[#This Row],[CZAS]])</f>
        <v>0</v>
      </c>
      <c r="Q2111" s="32">
        <f>IF(Mecze[[#This Row],[OB]]=0,0,Mecze[[#This Row],[OB]]/Mecze[[#This Row],[CZAS]])</f>
        <v>0</v>
      </c>
      <c r="R2111" s="32">
        <f>IF(Mecze[[#This Row],[BR]]=0,0,Mecze[[#This Row],[BR]]/Mecze[[#This Row],[CZAS]])</f>
        <v>0</v>
      </c>
      <c r="S2111" s="44">
        <f>IF(Mecze[[#This Row],[Role]]="BR",SUMPRODUCT(Mecze[[#This Row],[/PR:90]:[/BR:90]],Brudnopis!$E$23:$J$23),0)</f>
        <v>0</v>
      </c>
      <c r="T2111" s="44">
        <f>IF(Mecze[[#This Row],[Role]]&lt;&gt;"BR",SUMPRODUCT(Mecze[[#This Row],[/PR:90]:[/BR:90]],Brudnopis!$E$24:$J$24),0)</f>
        <v>0.16145833333333334</v>
      </c>
      <c r="U2111" s="44">
        <f>IF(Mecze[[#This Row],[Role]]&lt;&gt;"BR",SUMPRODUCT(Mecze[[#This Row],[/PR:90]:[/BR:90]],Brudnopis!$E$25:$J$25),0)</f>
        <v>0.171875</v>
      </c>
      <c r="V2111" s="44">
        <f>IF(Mecze[[#This Row],[Role]]&lt;&gt;"BR",SUMPRODUCT(Mecze[[#This Row],[/PR:90]:[/BR:90]],Brudnopis!$E$26:$J$26),0)</f>
        <v>0.14583333333333334</v>
      </c>
      <c r="W2111" s="44">
        <f>IF(Mecze[[#This Row],[Role]]&lt;&gt;"BR",SUMPRODUCT(Mecze[[#This Row],[/PR:90]:[/BR:90]],Brudnopis!$E$27:$J$27),0)</f>
        <v>0.1484375</v>
      </c>
      <c r="X2111" s="44">
        <f>IF(Mecze[[#This Row],[Role]]&lt;&gt;"BR",SUMPRODUCT(Mecze[[#This Row],[/PR:90]:[/BR:90]],Brudnopis!$E$28:$J$28),0)</f>
        <v>5.2083333333333336E-2</v>
      </c>
      <c r="Y2111" s="35">
        <f>IF(Mecze[[#This Row],[Role]]="BR",Mecze[[#This Row],[/OB:90]]+Mecze[[#This Row],[/PC:90]],SUM(Mecze[[#This Row],[/PR:90]:[/BR:90]]))</f>
        <v>0.14583333333333334</v>
      </c>
      <c r="Z2111" s="35">
        <f>IF(Mecze[[#This Row],[KC]]=0,SUM(Mecze[[#This Row],[/BRI]:[/NPI]]),SUM(Mecze[[#This Row],[/BRI]:[/NPI]])*0.6)</f>
        <v>0.67968750000000011</v>
      </c>
      <c r="AA2111" s="10">
        <f>IFERROR(Mecze[[#This Row],[BR]]/Mecze[[#This Row],[ST]],0)</f>
        <v>0</v>
      </c>
      <c r="AB2111">
        <f>ROUND(Mecze[[#This Row],[PD]]*Mecze[[#This Row],[%PC]],0)</f>
        <v>5</v>
      </c>
      <c r="AC2111">
        <f>ROUND(Mecze[[#This Row],[OD]]*Mecze[[#This Row],[%OU]],0)</f>
        <v>3</v>
      </c>
      <c r="AD2111" s="36" t="s">
        <v>167</v>
      </c>
      <c r="AE2111" s="36">
        <v>119</v>
      </c>
      <c r="AF2111" s="71">
        <v>4.07</v>
      </c>
      <c r="AG2111" s="37">
        <v>0</v>
      </c>
      <c r="AH2111" s="37">
        <v>0</v>
      </c>
      <c r="AI2111" s="37">
        <v>96</v>
      </c>
      <c r="AJ2111" s="37">
        <v>1</v>
      </c>
      <c r="AK2111" s="37" t="str">
        <f>VLOOKUP(Mecze[[#This Row],[Match ID]],Meczusie[Mecz]:Meczusie[RodzajMeczu],2,FALSE)</f>
        <v>Towarzyski</v>
      </c>
    </row>
    <row r="2112" spans="1:37" x14ac:dyDescent="0.25">
      <c r="A2112" s="76">
        <v>40</v>
      </c>
      <c r="B2112" s="3" t="s">
        <v>453</v>
      </c>
      <c r="C2112" s="2" t="s">
        <v>160</v>
      </c>
      <c r="D2112" s="1">
        <v>0</v>
      </c>
      <c r="E2112" s="1">
        <v>0</v>
      </c>
      <c r="F2112" s="1">
        <v>0</v>
      </c>
      <c r="G2112" s="1">
        <v>12</v>
      </c>
      <c r="H2112" s="4">
        <v>0.67</v>
      </c>
      <c r="I2112" s="1">
        <v>10</v>
      </c>
      <c r="J2112" s="4">
        <v>0.3</v>
      </c>
      <c r="K2112" s="1">
        <v>0</v>
      </c>
      <c r="L2112" s="1">
        <v>6</v>
      </c>
      <c r="M2112" s="32">
        <f>IF(Mecze[[#This Row],[PR]]=0,0,Mecze[[#This Row],[PR]]/Mecze[[#This Row],[CZAS]])</f>
        <v>6.25E-2</v>
      </c>
      <c r="N2112" s="32">
        <f>IF(Mecze[[#This Row],[OU]]=0,0,Mecze[[#This Row],[OU]]/Mecze[[#This Row],[CZAS]])</f>
        <v>3.125E-2</v>
      </c>
      <c r="O2112" s="32">
        <f>IF(Mecze[[#This Row],[PC]]=0,0,Mecze[[#This Row],[PC]]/Mecze[[#This Row],[CZAS]])</f>
        <v>8.3333333333333329E-2</v>
      </c>
      <c r="P2112" s="32">
        <f>IF(Mecze[[#This Row],[SC]]=0,0,Mecze[[#This Row],[SC]]/Mecze[[#This Row],[CZAS]])</f>
        <v>0</v>
      </c>
      <c r="Q2112" s="32">
        <f>IF(Mecze[[#This Row],[OB]]=0,0,Mecze[[#This Row],[OB]]/Mecze[[#This Row],[CZAS]])</f>
        <v>0</v>
      </c>
      <c r="R2112" s="32">
        <f>IF(Mecze[[#This Row],[BR]]=0,0,Mecze[[#This Row],[BR]]/Mecze[[#This Row],[CZAS]])</f>
        <v>0</v>
      </c>
      <c r="S2112" s="44">
        <f>IF(Mecze[[#This Row],[Role]]="BR",SUMPRODUCT(Mecze[[#This Row],[/PR:90]:[/BR:90]],Brudnopis!$E$23:$J$23),0)</f>
        <v>0</v>
      </c>
      <c r="T2112" s="44">
        <f>IF(Mecze[[#This Row],[Role]]&lt;&gt;"BR",SUMPRODUCT(Mecze[[#This Row],[/PR:90]:[/BR:90]],Brudnopis!$E$24:$J$24),0)</f>
        <v>0.19270833333333331</v>
      </c>
      <c r="U2112" s="44">
        <f>IF(Mecze[[#This Row],[Role]]&lt;&gt;"BR",SUMPRODUCT(Mecze[[#This Row],[/PR:90]:[/BR:90]],Brudnopis!$E$25:$J$25),0)</f>
        <v>0.21875</v>
      </c>
      <c r="V2112" s="44">
        <f>IF(Mecze[[#This Row],[Role]]&lt;&gt;"BR",SUMPRODUCT(Mecze[[#This Row],[/PR:90]:[/BR:90]],Brudnopis!$E$26:$J$26),0)</f>
        <v>0.17708333333333331</v>
      </c>
      <c r="W2112" s="44">
        <f>IF(Mecze[[#This Row],[Role]]&lt;&gt;"BR",SUMPRODUCT(Mecze[[#This Row],[/PR:90]:[/BR:90]],Brudnopis!$E$27:$J$27),0)</f>
        <v>0.1953125</v>
      </c>
      <c r="X2112" s="44">
        <f>IF(Mecze[[#This Row],[Role]]&lt;&gt;"BR",SUMPRODUCT(Mecze[[#This Row],[/PR:90]:[/BR:90]],Brudnopis!$E$28:$J$28),0)</f>
        <v>8.3333333333333329E-2</v>
      </c>
      <c r="Y2112" s="35">
        <f>IF(Mecze[[#This Row],[Role]]="BR",Mecze[[#This Row],[/OB:90]]+Mecze[[#This Row],[/PC:90]],SUM(Mecze[[#This Row],[/PR:90]:[/BR:90]]))</f>
        <v>0.17708333333333331</v>
      </c>
      <c r="Z2112" s="35">
        <f>IF(Mecze[[#This Row],[KC]]=0,SUM(Mecze[[#This Row],[/BRI]:[/NPI]]),SUM(Mecze[[#This Row],[/BRI]:[/NPI]])*0.6)</f>
        <v>0.8671875</v>
      </c>
      <c r="AA2112" s="10">
        <f>IFERROR(Mecze[[#This Row],[BR]]/Mecze[[#This Row],[ST]],0)</f>
        <v>0</v>
      </c>
      <c r="AB2112">
        <f>ROUND(Mecze[[#This Row],[PD]]*Mecze[[#This Row],[%PC]],0)</f>
        <v>8</v>
      </c>
      <c r="AC2112">
        <f>ROUND(Mecze[[#This Row],[OD]]*Mecze[[#This Row],[%OU]],0)</f>
        <v>3</v>
      </c>
      <c r="AD2112" s="36" t="s">
        <v>41</v>
      </c>
      <c r="AE2112" s="36">
        <v>119</v>
      </c>
      <c r="AF2112" s="71">
        <v>6.39</v>
      </c>
      <c r="AG2112" s="37">
        <v>0</v>
      </c>
      <c r="AH2112" s="37">
        <v>0</v>
      </c>
      <c r="AI2112" s="37">
        <v>96</v>
      </c>
      <c r="AJ2112" s="37">
        <v>1</v>
      </c>
      <c r="AK2112" s="37" t="str">
        <f>VLOOKUP(Mecze[[#This Row],[Match ID]],Meczusie[Mecz]:Meczusie[RodzajMeczu],2,FALSE)</f>
        <v>Towarzyski</v>
      </c>
    </row>
    <row r="2113" spans="1:37" x14ac:dyDescent="0.25">
      <c r="A2113" s="76">
        <v>22</v>
      </c>
      <c r="B2113" s="3" t="s">
        <v>363</v>
      </c>
      <c r="C2113" s="2" t="s">
        <v>160</v>
      </c>
      <c r="D2113" s="1">
        <v>0</v>
      </c>
      <c r="E2113" s="1">
        <v>0</v>
      </c>
      <c r="F2113" s="1">
        <v>0</v>
      </c>
      <c r="G2113" s="1">
        <v>12</v>
      </c>
      <c r="H2113" s="4">
        <v>0.67</v>
      </c>
      <c r="I2113" s="1">
        <v>8</v>
      </c>
      <c r="J2113" s="4">
        <v>0.13</v>
      </c>
      <c r="K2113" s="1">
        <v>0</v>
      </c>
      <c r="L2113" s="1">
        <v>7</v>
      </c>
      <c r="M2113" s="32">
        <f>IF(Mecze[[#This Row],[PR]]=0,0,Mecze[[#This Row],[PR]]/Mecze[[#This Row],[CZAS]])</f>
        <v>7.2916666666666671E-2</v>
      </c>
      <c r="N2113" s="32">
        <f>IF(Mecze[[#This Row],[OU]]=0,0,Mecze[[#This Row],[OU]]/Mecze[[#This Row],[CZAS]])</f>
        <v>1.0416666666666666E-2</v>
      </c>
      <c r="O2113" s="32">
        <f>IF(Mecze[[#This Row],[PC]]=0,0,Mecze[[#This Row],[PC]]/Mecze[[#This Row],[CZAS]])</f>
        <v>8.3333333333333329E-2</v>
      </c>
      <c r="P2113" s="32">
        <f>IF(Mecze[[#This Row],[SC]]=0,0,Mecze[[#This Row],[SC]]/Mecze[[#This Row],[CZAS]])</f>
        <v>0</v>
      </c>
      <c r="Q2113" s="32">
        <f>IF(Mecze[[#This Row],[OB]]=0,0,Mecze[[#This Row],[OB]]/Mecze[[#This Row],[CZAS]])</f>
        <v>0</v>
      </c>
      <c r="R2113" s="32">
        <f>IF(Mecze[[#This Row],[BR]]=0,0,Mecze[[#This Row],[BR]]/Mecze[[#This Row],[CZAS]])</f>
        <v>0</v>
      </c>
      <c r="S2113" s="44">
        <f>IF(Mecze[[#This Row],[Role]]="BR",SUMPRODUCT(Mecze[[#This Row],[/PR:90]:[/BR:90]],Brudnopis!$E$23:$J$23),0)</f>
        <v>0</v>
      </c>
      <c r="T2113" s="44">
        <f>IF(Mecze[[#This Row],[Role]]&lt;&gt;"BR",SUMPRODUCT(Mecze[[#This Row],[/PR:90]:[/BR:90]],Brudnopis!$E$24:$J$24),0)</f>
        <v>0.171875</v>
      </c>
      <c r="U2113" s="44">
        <f>IF(Mecze[[#This Row],[Role]]&lt;&gt;"BR",SUMPRODUCT(Mecze[[#This Row],[/PR:90]:[/BR:90]],Brudnopis!$E$25:$J$25),0)</f>
        <v>0.20833333333333334</v>
      </c>
      <c r="V2113" s="44">
        <f>IF(Mecze[[#This Row],[Role]]&lt;&gt;"BR",SUMPRODUCT(Mecze[[#This Row],[/PR:90]:[/BR:90]],Brudnopis!$E$26:$J$26),0)</f>
        <v>0.16666666666666669</v>
      </c>
      <c r="W2113" s="44">
        <f>IF(Mecze[[#This Row],[Role]]&lt;&gt;"BR",SUMPRODUCT(Mecze[[#This Row],[/PR:90]:[/BR:90]],Brudnopis!$E$27:$J$27),0)</f>
        <v>0.1875</v>
      </c>
      <c r="X2113" s="44">
        <f>IF(Mecze[[#This Row],[Role]]&lt;&gt;"BR",SUMPRODUCT(Mecze[[#This Row],[/PR:90]:[/BR:90]],Brudnopis!$E$28:$J$28),0)</f>
        <v>8.3333333333333329E-2</v>
      </c>
      <c r="Y2113" s="35">
        <f>IF(Mecze[[#This Row],[Role]]="BR",Mecze[[#This Row],[/OB:90]]+Mecze[[#This Row],[/PC:90]],SUM(Mecze[[#This Row],[/PR:90]:[/BR:90]]))</f>
        <v>0.16666666666666669</v>
      </c>
      <c r="Z2113" s="35">
        <f>IF(Mecze[[#This Row],[KC]]=0,SUM(Mecze[[#This Row],[/BRI]:[/NPI]]),SUM(Mecze[[#This Row],[/BRI]:[/NPI]])*0.6)</f>
        <v>0.81770833333333337</v>
      </c>
      <c r="AA2113" s="10">
        <f>IFERROR(Mecze[[#This Row],[BR]]/Mecze[[#This Row],[ST]],0)</f>
        <v>0</v>
      </c>
      <c r="AB2113">
        <f>ROUND(Mecze[[#This Row],[PD]]*Mecze[[#This Row],[%PC]],0)</f>
        <v>8</v>
      </c>
      <c r="AC2113">
        <f>ROUND(Mecze[[#This Row],[OD]]*Mecze[[#This Row],[%OU]],0)</f>
        <v>1</v>
      </c>
      <c r="AD2113" s="36" t="s">
        <v>41</v>
      </c>
      <c r="AE2113" s="36">
        <v>119</v>
      </c>
      <c r="AF2113" s="71">
        <v>6.6</v>
      </c>
      <c r="AG2113" s="37">
        <v>0</v>
      </c>
      <c r="AH2113" s="37">
        <v>0</v>
      </c>
      <c r="AI2113" s="37">
        <v>96</v>
      </c>
      <c r="AJ2113" s="37">
        <v>1</v>
      </c>
      <c r="AK2113" s="37" t="str">
        <f>VLOOKUP(Mecze[[#This Row],[Match ID]],Meczusie[Mecz]:Meczusie[RodzajMeczu],2,FALSE)</f>
        <v>Towarzyski</v>
      </c>
    </row>
    <row r="2114" spans="1:37" x14ac:dyDescent="0.25">
      <c r="A2114" s="76">
        <v>59</v>
      </c>
      <c r="B2114" s="3" t="s">
        <v>455</v>
      </c>
      <c r="C2114" s="2" t="s">
        <v>160</v>
      </c>
      <c r="D2114" s="1">
        <v>0</v>
      </c>
      <c r="E2114" s="1">
        <v>0</v>
      </c>
      <c r="F2114" s="1">
        <v>0</v>
      </c>
      <c r="G2114" s="1">
        <v>7</v>
      </c>
      <c r="H2114" s="4">
        <v>0.56999999999999995</v>
      </c>
      <c r="I2114" s="1">
        <v>1</v>
      </c>
      <c r="J2114" s="4">
        <v>1</v>
      </c>
      <c r="K2114" s="1">
        <v>0</v>
      </c>
      <c r="L2114" s="1">
        <v>3</v>
      </c>
      <c r="M2114" s="32">
        <f>IF(Mecze[[#This Row],[PR]]=0,0,Mecze[[#This Row],[PR]]/Mecze[[#This Row],[CZAS]])</f>
        <v>3.125E-2</v>
      </c>
      <c r="N2114" s="32">
        <f>IF(Mecze[[#This Row],[OU]]=0,0,Mecze[[#This Row],[OU]]/Mecze[[#This Row],[CZAS]])</f>
        <v>1.0416666666666666E-2</v>
      </c>
      <c r="O2114" s="32">
        <f>IF(Mecze[[#This Row],[PC]]=0,0,Mecze[[#This Row],[PC]]/Mecze[[#This Row],[CZAS]])</f>
        <v>4.1666666666666664E-2</v>
      </c>
      <c r="P2114" s="32">
        <f>IF(Mecze[[#This Row],[SC]]=0,0,Mecze[[#This Row],[SC]]/Mecze[[#This Row],[CZAS]])</f>
        <v>0</v>
      </c>
      <c r="Q2114" s="32">
        <f>IF(Mecze[[#This Row],[OB]]=0,0,Mecze[[#This Row],[OB]]/Mecze[[#This Row],[CZAS]])</f>
        <v>0</v>
      </c>
      <c r="R2114" s="32">
        <f>IF(Mecze[[#This Row],[BR]]=0,0,Mecze[[#This Row],[BR]]/Mecze[[#This Row],[CZAS]])</f>
        <v>0</v>
      </c>
      <c r="S2114" s="44">
        <f>IF(Mecze[[#This Row],[Role]]="BR",SUMPRODUCT(Mecze[[#This Row],[/PR:90]:[/BR:90]],Brudnopis!$E$23:$J$23),0)</f>
        <v>0</v>
      </c>
      <c r="T2114" s="44">
        <f>IF(Mecze[[#This Row],[Role]]&lt;&gt;"BR",SUMPRODUCT(Mecze[[#This Row],[/PR:90]:[/BR:90]],Brudnopis!$E$24:$J$24),0)</f>
        <v>8.8541666666666657E-2</v>
      </c>
      <c r="U2114" s="44">
        <f>IF(Mecze[[#This Row],[Role]]&lt;&gt;"BR",SUMPRODUCT(Mecze[[#This Row],[/PR:90]:[/BR:90]],Brudnopis!$E$25:$J$25),0)</f>
        <v>0.10416666666666666</v>
      </c>
      <c r="V2114" s="44">
        <f>IF(Mecze[[#This Row],[Role]]&lt;&gt;"BR",SUMPRODUCT(Mecze[[#This Row],[/PR:90]:[/BR:90]],Brudnopis!$E$26:$J$26),0)</f>
        <v>8.3333333333333329E-2</v>
      </c>
      <c r="W2114" s="44">
        <f>IF(Mecze[[#This Row],[Role]]&lt;&gt;"BR",SUMPRODUCT(Mecze[[#This Row],[/PR:90]:[/BR:90]],Brudnopis!$E$27:$J$27),0)</f>
        <v>9.375E-2</v>
      </c>
      <c r="X2114" s="44">
        <f>IF(Mecze[[#This Row],[Role]]&lt;&gt;"BR",SUMPRODUCT(Mecze[[#This Row],[/PR:90]:[/BR:90]],Brudnopis!$E$28:$J$28),0)</f>
        <v>4.1666666666666664E-2</v>
      </c>
      <c r="Y2114" s="35">
        <f>IF(Mecze[[#This Row],[Role]]="BR",Mecze[[#This Row],[/OB:90]]+Mecze[[#This Row],[/PC:90]],SUM(Mecze[[#This Row],[/PR:90]:[/BR:90]]))</f>
        <v>8.3333333333333329E-2</v>
      </c>
      <c r="Z2114" s="35">
        <f>IF(Mecze[[#This Row],[KC]]=0,SUM(Mecze[[#This Row],[/BRI]:[/NPI]]),SUM(Mecze[[#This Row],[/BRI]:[/NPI]])*0.6)</f>
        <v>0.41145833333333331</v>
      </c>
      <c r="AA2114" s="10">
        <f>IFERROR(Mecze[[#This Row],[BR]]/Mecze[[#This Row],[ST]],0)</f>
        <v>0</v>
      </c>
      <c r="AB2114">
        <f>ROUND(Mecze[[#This Row],[PD]]*Mecze[[#This Row],[%PC]],0)</f>
        <v>4</v>
      </c>
      <c r="AC2114">
        <f>ROUND(Mecze[[#This Row],[OD]]*Mecze[[#This Row],[%OU]],0)</f>
        <v>1</v>
      </c>
      <c r="AD2114" s="36" t="s">
        <v>44</v>
      </c>
      <c r="AE2114" s="36">
        <v>119</v>
      </c>
      <c r="AF2114" s="71">
        <v>5.76</v>
      </c>
      <c r="AG2114" s="37">
        <v>0</v>
      </c>
      <c r="AH2114" s="37">
        <v>0</v>
      </c>
      <c r="AI2114" s="37">
        <v>96</v>
      </c>
      <c r="AJ2114" s="37">
        <v>1</v>
      </c>
      <c r="AK2114" s="37" t="str">
        <f>VLOOKUP(Mecze[[#This Row],[Match ID]],Meczusie[Mecz]:Meczusie[RodzajMeczu],2,FALSE)</f>
        <v>Towarzyski</v>
      </c>
    </row>
    <row r="2115" spans="1:37" x14ac:dyDescent="0.25">
      <c r="A2115" s="76">
        <v>25</v>
      </c>
      <c r="B2115" s="3" t="s">
        <v>366</v>
      </c>
      <c r="C2115" s="2" t="s">
        <v>160</v>
      </c>
      <c r="D2115" s="1">
        <v>0</v>
      </c>
      <c r="E2115" s="1">
        <v>1</v>
      </c>
      <c r="F2115" s="1">
        <v>1</v>
      </c>
      <c r="G2115" s="1">
        <v>4</v>
      </c>
      <c r="H2115" s="4">
        <v>0.25</v>
      </c>
      <c r="I2115" s="1">
        <v>2</v>
      </c>
      <c r="J2115" s="4">
        <v>0.5</v>
      </c>
      <c r="K2115" s="1">
        <v>0</v>
      </c>
      <c r="L2115" s="1">
        <v>3</v>
      </c>
      <c r="M2115" s="32">
        <f>IF(Mecze[[#This Row],[PR]]=0,0,Mecze[[#This Row],[PR]]/Mecze[[#This Row],[CZAS]])</f>
        <v>3.125E-2</v>
      </c>
      <c r="N2115" s="32">
        <f>IF(Mecze[[#This Row],[OU]]=0,0,Mecze[[#This Row],[OU]]/Mecze[[#This Row],[CZAS]])</f>
        <v>1.0416666666666666E-2</v>
      </c>
      <c r="O2115" s="32">
        <f>IF(Mecze[[#This Row],[PC]]=0,0,Mecze[[#This Row],[PC]]/Mecze[[#This Row],[CZAS]])</f>
        <v>1.0416666666666666E-2</v>
      </c>
      <c r="P2115" s="32">
        <f>IF(Mecze[[#This Row],[SC]]=0,0,Mecze[[#This Row],[SC]]/Mecze[[#This Row],[CZAS]])</f>
        <v>1.0416666666666666E-2</v>
      </c>
      <c r="Q2115" s="32">
        <f>IF(Mecze[[#This Row],[OB]]=0,0,Mecze[[#This Row],[OB]]/Mecze[[#This Row],[CZAS]])</f>
        <v>0</v>
      </c>
      <c r="R2115" s="32">
        <f>IF(Mecze[[#This Row],[BR]]=0,0,Mecze[[#This Row],[BR]]/Mecze[[#This Row],[CZAS]])</f>
        <v>0</v>
      </c>
      <c r="S2115" s="44">
        <f>IF(Mecze[[#This Row],[Role]]="BR",SUMPRODUCT(Mecze[[#This Row],[/PR:90]:[/BR:90]],Brudnopis!$E$23:$J$23),0)</f>
        <v>0</v>
      </c>
      <c r="T2115" s="44">
        <f>IF(Mecze[[#This Row],[Role]]&lt;&gt;"BR",SUMPRODUCT(Mecze[[#This Row],[/PR:90]:[/BR:90]],Brudnopis!$E$24:$J$24),0)</f>
        <v>6.7708333333333329E-2</v>
      </c>
      <c r="U2115" s="44">
        <f>IF(Mecze[[#This Row],[Role]]&lt;&gt;"BR",SUMPRODUCT(Mecze[[#This Row],[/PR:90]:[/BR:90]],Brudnopis!$E$25:$J$25),0)</f>
        <v>6.7708333333333329E-2</v>
      </c>
      <c r="V2115" s="44">
        <f>IF(Mecze[[#This Row],[Role]]&lt;&gt;"BR",SUMPRODUCT(Mecze[[#This Row],[/PR:90]:[/BR:90]],Brudnopis!$E$26:$J$26),0)</f>
        <v>6.2499999999999993E-2</v>
      </c>
      <c r="W2115" s="44">
        <f>IF(Mecze[[#This Row],[Role]]&lt;&gt;"BR",SUMPRODUCT(Mecze[[#This Row],[/PR:90]:[/BR:90]],Brudnopis!$E$27:$J$27),0)</f>
        <v>5.7291666666666664E-2</v>
      </c>
      <c r="X2115" s="44">
        <f>IF(Mecze[[#This Row],[Role]]&lt;&gt;"BR",SUMPRODUCT(Mecze[[#This Row],[/PR:90]:[/BR:90]],Brudnopis!$E$28:$J$28),0)</f>
        <v>3.125E-2</v>
      </c>
      <c r="Y2115" s="35">
        <f>IF(Mecze[[#This Row],[Role]]="BR",Mecze[[#This Row],[/OB:90]]+Mecze[[#This Row],[/PC:90]],SUM(Mecze[[#This Row],[/PR:90]:[/BR:90]]))</f>
        <v>6.2499999999999993E-2</v>
      </c>
      <c r="Z2115" s="35">
        <f>IF(Mecze[[#This Row],[KC]]=0,SUM(Mecze[[#This Row],[/BRI]:[/NPI]]),SUM(Mecze[[#This Row],[/BRI]:[/NPI]])*0.6)</f>
        <v>0.28645833333333331</v>
      </c>
      <c r="AA2115" s="10">
        <f>IFERROR(Mecze[[#This Row],[BR]]/Mecze[[#This Row],[ST]],0)</f>
        <v>0</v>
      </c>
      <c r="AB2115">
        <f>ROUND(Mecze[[#This Row],[PD]]*Mecze[[#This Row],[%PC]],0)</f>
        <v>1</v>
      </c>
      <c r="AC2115">
        <f>ROUND(Mecze[[#This Row],[OD]]*Mecze[[#This Row],[%OU]],0)</f>
        <v>1</v>
      </c>
      <c r="AD2115" s="36" t="s">
        <v>44</v>
      </c>
      <c r="AE2115" s="36">
        <v>119</v>
      </c>
      <c r="AF2115" s="71">
        <v>4.78</v>
      </c>
      <c r="AG2115" s="37">
        <v>0</v>
      </c>
      <c r="AH2115" s="37">
        <v>0</v>
      </c>
      <c r="AI2115" s="37">
        <v>96</v>
      </c>
      <c r="AJ2115" s="37">
        <v>1</v>
      </c>
      <c r="AK2115" s="37" t="str">
        <f>VLOOKUP(Mecze[[#This Row],[Match ID]],Meczusie[Mecz]:Meczusie[RodzajMeczu],2,FALSE)</f>
        <v>Towarzyski</v>
      </c>
    </row>
    <row r="2116" spans="1:37" x14ac:dyDescent="0.25">
      <c r="A2116" s="76">
        <v>27</v>
      </c>
      <c r="B2116" s="3" t="s">
        <v>364</v>
      </c>
      <c r="C2116" s="2" t="s">
        <v>165</v>
      </c>
      <c r="D2116" s="1">
        <v>3</v>
      </c>
      <c r="E2116" s="1">
        <v>6</v>
      </c>
      <c r="F2116" s="1">
        <v>6</v>
      </c>
      <c r="G2116" s="1">
        <v>9</v>
      </c>
      <c r="H2116" s="4">
        <v>0.56000000000000005</v>
      </c>
      <c r="I2116" s="1">
        <v>5</v>
      </c>
      <c r="J2116" s="4">
        <v>0.8</v>
      </c>
      <c r="K2116" s="1">
        <v>0</v>
      </c>
      <c r="L2116" s="1">
        <v>0</v>
      </c>
      <c r="M2116" s="32">
        <f>IF(Mecze[[#This Row],[PR]]=0,0,Mecze[[#This Row],[PR]]/Mecze[[#This Row],[CZAS]])</f>
        <v>0</v>
      </c>
      <c r="N2116" s="32">
        <f>IF(Mecze[[#This Row],[OU]]=0,0,Mecze[[#This Row],[OU]]/Mecze[[#This Row],[CZAS]])</f>
        <v>4.1666666666666664E-2</v>
      </c>
      <c r="O2116" s="32">
        <f>IF(Mecze[[#This Row],[PC]]=0,0,Mecze[[#This Row],[PC]]/Mecze[[#This Row],[CZAS]])</f>
        <v>5.2083333333333336E-2</v>
      </c>
      <c r="P2116" s="32">
        <f>IF(Mecze[[#This Row],[SC]]=0,0,Mecze[[#This Row],[SC]]/Mecze[[#This Row],[CZAS]])</f>
        <v>6.25E-2</v>
      </c>
      <c r="Q2116" s="32">
        <f>IF(Mecze[[#This Row],[OB]]=0,0,Mecze[[#This Row],[OB]]/Mecze[[#This Row],[CZAS]])</f>
        <v>0</v>
      </c>
      <c r="R2116" s="32">
        <f>IF(Mecze[[#This Row],[BR]]=0,0,Mecze[[#This Row],[BR]]/Mecze[[#This Row],[CZAS]])</f>
        <v>3.125E-2</v>
      </c>
      <c r="S2116" s="44">
        <f>IF(Mecze[[#This Row],[Role]]="BR",SUMPRODUCT(Mecze[[#This Row],[/PR:90]:[/BR:90]],Brudnopis!$E$23:$J$23),0)</f>
        <v>0</v>
      </c>
      <c r="T2116" s="44">
        <f>IF(Mecze[[#This Row],[Role]]&lt;&gt;"BR",SUMPRODUCT(Mecze[[#This Row],[/PR:90]:[/BR:90]],Brudnopis!$E$24:$J$24),0)</f>
        <v>0.22395833333333334</v>
      </c>
      <c r="U2116" s="44">
        <f>IF(Mecze[[#This Row],[Role]]&lt;&gt;"BR",SUMPRODUCT(Mecze[[#This Row],[/PR:90]:[/BR:90]],Brudnopis!$E$25:$J$25),0)</f>
        <v>0.22916666666666666</v>
      </c>
      <c r="V2116" s="44">
        <f>IF(Mecze[[#This Row],[Role]]&lt;&gt;"BR",SUMPRODUCT(Mecze[[#This Row],[/PR:90]:[/BR:90]],Brudnopis!$E$26:$J$26),0)</f>
        <v>0.21875</v>
      </c>
      <c r="W2116" s="44">
        <f>IF(Mecze[[#This Row],[Role]]&lt;&gt;"BR",SUMPRODUCT(Mecze[[#This Row],[/PR:90]:[/BR:90]],Brudnopis!$E$27:$J$27),0)</f>
        <v>0.234375</v>
      </c>
      <c r="X2116" s="44">
        <f>IF(Mecze[[#This Row],[Role]]&lt;&gt;"BR",SUMPRODUCT(Mecze[[#This Row],[/PR:90]:[/BR:90]],Brudnopis!$E$28:$J$28),0)</f>
        <v>0.27083333333333337</v>
      </c>
      <c r="Y2116" s="35">
        <f>IF(Mecze[[#This Row],[Role]]="BR",Mecze[[#This Row],[/OB:90]]+Mecze[[#This Row],[/PC:90]],SUM(Mecze[[#This Row],[/PR:90]:[/BR:90]]))</f>
        <v>0.1875</v>
      </c>
      <c r="Z2116" s="35">
        <f>IF(Mecze[[#This Row],[KC]]=0,SUM(Mecze[[#This Row],[/BRI]:[/NPI]]),SUM(Mecze[[#This Row],[/BRI]:[/NPI]])*0.6)</f>
        <v>1.1770833333333335</v>
      </c>
      <c r="AA2116" s="10">
        <f>IFERROR(Mecze[[#This Row],[BR]]/Mecze[[#This Row],[ST]],0)</f>
        <v>0.5</v>
      </c>
      <c r="AB2116">
        <f>ROUND(Mecze[[#This Row],[PD]]*Mecze[[#This Row],[%PC]],0)</f>
        <v>5</v>
      </c>
      <c r="AC2116">
        <f>ROUND(Mecze[[#This Row],[OD]]*Mecze[[#This Row],[%OU]],0)</f>
        <v>4</v>
      </c>
      <c r="AD2116" s="36" t="s">
        <v>46</v>
      </c>
      <c r="AE2116" s="36">
        <v>119</v>
      </c>
      <c r="AF2116" s="71">
        <v>13.48</v>
      </c>
      <c r="AG2116" s="37">
        <v>0</v>
      </c>
      <c r="AH2116" s="37">
        <v>0</v>
      </c>
      <c r="AI2116" s="37">
        <v>96</v>
      </c>
      <c r="AJ2116" s="37">
        <v>1</v>
      </c>
      <c r="AK2116" s="37" t="str">
        <f>VLOOKUP(Mecze[[#This Row],[Match ID]],Meczusie[Mecz]:Meczusie[RodzajMeczu],2,FALSE)</f>
        <v>Towarzyski</v>
      </c>
    </row>
    <row r="2117" spans="1:37" x14ac:dyDescent="0.25">
      <c r="A2117" s="76">
        <v>61</v>
      </c>
      <c r="B2117" s="3" t="s">
        <v>454</v>
      </c>
      <c r="C2117" s="2" t="s">
        <v>165</v>
      </c>
      <c r="D2117" s="1">
        <v>0</v>
      </c>
      <c r="E2117" s="1">
        <v>4</v>
      </c>
      <c r="F2117" s="1">
        <v>3</v>
      </c>
      <c r="G2117" s="1">
        <v>8</v>
      </c>
      <c r="H2117" s="4">
        <v>0.5</v>
      </c>
      <c r="I2117" s="1">
        <v>3</v>
      </c>
      <c r="J2117" s="4">
        <v>0.67</v>
      </c>
      <c r="K2117" s="1">
        <v>0</v>
      </c>
      <c r="L2117" s="1">
        <v>0</v>
      </c>
      <c r="M2117" s="32">
        <f>IF(Mecze[[#This Row],[PR]]=0,0,Mecze[[#This Row],[PR]]/Mecze[[#This Row],[CZAS]])</f>
        <v>0</v>
      </c>
      <c r="N2117" s="32">
        <f>IF(Mecze[[#This Row],[OU]]=0,0,Mecze[[#This Row],[OU]]/Mecze[[#This Row],[CZAS]])</f>
        <v>2.0833333333333332E-2</v>
      </c>
      <c r="O2117" s="32">
        <f>IF(Mecze[[#This Row],[PC]]=0,0,Mecze[[#This Row],[PC]]/Mecze[[#This Row],[CZAS]])</f>
        <v>4.1666666666666664E-2</v>
      </c>
      <c r="P2117" s="32">
        <f>IF(Mecze[[#This Row],[SC]]=0,0,Mecze[[#This Row],[SC]]/Mecze[[#This Row],[CZAS]])</f>
        <v>3.125E-2</v>
      </c>
      <c r="Q2117" s="32">
        <f>IF(Mecze[[#This Row],[OB]]=0,0,Mecze[[#This Row],[OB]]/Mecze[[#This Row],[CZAS]])</f>
        <v>0</v>
      </c>
      <c r="R2117" s="32">
        <f>IF(Mecze[[#This Row],[BR]]=0,0,Mecze[[#This Row],[BR]]/Mecze[[#This Row],[CZAS]])</f>
        <v>0</v>
      </c>
      <c r="S2117" s="44">
        <f>IF(Mecze[[#This Row],[Role]]="BR",SUMPRODUCT(Mecze[[#This Row],[/PR:90]:[/BR:90]],Brudnopis!$E$23:$J$23),0)</f>
        <v>0</v>
      </c>
      <c r="T2117" s="44">
        <f>IF(Mecze[[#This Row],[Role]]&lt;&gt;"BR",SUMPRODUCT(Mecze[[#This Row],[/PR:90]:[/BR:90]],Brudnopis!$E$24:$J$24),0)</f>
        <v>0.10416666666666666</v>
      </c>
      <c r="U2117" s="44">
        <f>IF(Mecze[[#This Row],[Role]]&lt;&gt;"BR",SUMPRODUCT(Mecze[[#This Row],[/PR:90]:[/BR:90]],Brudnopis!$E$25:$J$25),0)</f>
        <v>0.11458333333333333</v>
      </c>
      <c r="V2117" s="44">
        <f>IF(Mecze[[#This Row],[Role]]&lt;&gt;"BR",SUMPRODUCT(Mecze[[#This Row],[/PR:90]:[/BR:90]],Brudnopis!$E$26:$J$26),0)</f>
        <v>9.375E-2</v>
      </c>
      <c r="W2117" s="44">
        <f>IF(Mecze[[#This Row],[Role]]&lt;&gt;"BR",SUMPRODUCT(Mecze[[#This Row],[/PR:90]:[/BR:90]],Brudnopis!$E$27:$J$27),0)</f>
        <v>0.109375</v>
      </c>
      <c r="X2117" s="44">
        <f>IF(Mecze[[#This Row],[Role]]&lt;&gt;"BR",SUMPRODUCT(Mecze[[#This Row],[/PR:90]:[/BR:90]],Brudnopis!$E$28:$J$28),0)</f>
        <v>0.10416666666666666</v>
      </c>
      <c r="Y2117" s="35">
        <f>IF(Mecze[[#This Row],[Role]]="BR",Mecze[[#This Row],[/OB:90]]+Mecze[[#This Row],[/PC:90]],SUM(Mecze[[#This Row],[/PR:90]:[/BR:90]]))</f>
        <v>9.375E-2</v>
      </c>
      <c r="Z2117" s="35">
        <f>IF(Mecze[[#This Row],[KC]]=0,SUM(Mecze[[#This Row],[/BRI]:[/NPI]]),SUM(Mecze[[#This Row],[/BRI]:[/NPI]])*0.6)</f>
        <v>0.52604166666666663</v>
      </c>
      <c r="AA2117" s="10">
        <f>IFERROR(Mecze[[#This Row],[BR]]/Mecze[[#This Row],[ST]],0)</f>
        <v>0</v>
      </c>
      <c r="AB2117">
        <f>ROUND(Mecze[[#This Row],[PD]]*Mecze[[#This Row],[%PC]],0)</f>
        <v>4</v>
      </c>
      <c r="AC2117">
        <f>ROUND(Mecze[[#This Row],[OD]]*Mecze[[#This Row],[%OU]],0)</f>
        <v>2</v>
      </c>
      <c r="AD2117" s="36" t="s">
        <v>46</v>
      </c>
      <c r="AE2117" s="36">
        <v>119</v>
      </c>
      <c r="AF2117" s="71">
        <v>5.92</v>
      </c>
      <c r="AG2117" s="37">
        <v>0</v>
      </c>
      <c r="AH2117" s="37">
        <v>0</v>
      </c>
      <c r="AI2117" s="37">
        <v>96</v>
      </c>
      <c r="AJ2117" s="37">
        <v>1</v>
      </c>
      <c r="AK2117" s="37" t="str">
        <f>VLOOKUP(Mecze[[#This Row],[Match ID]],Meczusie[Mecz]:Meczusie[RodzajMeczu],2,FALSE)</f>
        <v>Towarzyski</v>
      </c>
    </row>
    <row r="2118" spans="1:37" x14ac:dyDescent="0.25">
      <c r="A2118" s="76">
        <v>31</v>
      </c>
      <c r="B2118" s="3" t="s">
        <v>365</v>
      </c>
      <c r="C2118" s="2" t="s">
        <v>165</v>
      </c>
      <c r="D2118" s="1">
        <v>0</v>
      </c>
      <c r="E2118" s="1">
        <v>2</v>
      </c>
      <c r="F2118" s="1">
        <v>2</v>
      </c>
      <c r="G2118" s="1">
        <v>6</v>
      </c>
      <c r="H2118" s="4">
        <v>0.5</v>
      </c>
      <c r="I2118" s="1">
        <v>4</v>
      </c>
      <c r="J2118" s="4">
        <v>0.25</v>
      </c>
      <c r="K2118" s="1">
        <v>0</v>
      </c>
      <c r="L2118" s="1">
        <v>0</v>
      </c>
      <c r="M2118" s="32">
        <f>IF(Mecze[[#This Row],[PR]]=0,0,Mecze[[#This Row],[PR]]/Mecze[[#This Row],[CZAS]])</f>
        <v>0</v>
      </c>
      <c r="N2118" s="32">
        <f>IF(Mecze[[#This Row],[OU]]=0,0,Mecze[[#This Row],[OU]]/Mecze[[#This Row],[CZAS]])</f>
        <v>1.0416666666666666E-2</v>
      </c>
      <c r="O2118" s="32">
        <f>IF(Mecze[[#This Row],[PC]]=0,0,Mecze[[#This Row],[PC]]/Mecze[[#This Row],[CZAS]])</f>
        <v>3.125E-2</v>
      </c>
      <c r="P2118" s="32">
        <f>IF(Mecze[[#This Row],[SC]]=0,0,Mecze[[#This Row],[SC]]/Mecze[[#This Row],[CZAS]])</f>
        <v>2.0833333333333332E-2</v>
      </c>
      <c r="Q2118" s="32">
        <f>IF(Mecze[[#This Row],[OB]]=0,0,Mecze[[#This Row],[OB]]/Mecze[[#This Row],[CZAS]])</f>
        <v>0</v>
      </c>
      <c r="R2118" s="32">
        <f>IF(Mecze[[#This Row],[BR]]=0,0,Mecze[[#This Row],[BR]]/Mecze[[#This Row],[CZAS]])</f>
        <v>0</v>
      </c>
      <c r="S2118" s="44">
        <f>IF(Mecze[[#This Row],[Role]]="BR",SUMPRODUCT(Mecze[[#This Row],[/PR:90]:[/BR:90]],Brudnopis!$E$23:$J$23),0)</f>
        <v>0</v>
      </c>
      <c r="T2118" s="44">
        <f>IF(Mecze[[#This Row],[Role]]&lt;&gt;"BR",SUMPRODUCT(Mecze[[#This Row],[/PR:90]:[/BR:90]],Brudnopis!$E$24:$J$24),0)</f>
        <v>6.7708333333333329E-2</v>
      </c>
      <c r="U2118" s="44">
        <f>IF(Mecze[[#This Row],[Role]]&lt;&gt;"BR",SUMPRODUCT(Mecze[[#This Row],[/PR:90]:[/BR:90]],Brudnopis!$E$25:$J$25),0)</f>
        <v>7.8125E-2</v>
      </c>
      <c r="V2118" s="44">
        <f>IF(Mecze[[#This Row],[Role]]&lt;&gt;"BR",SUMPRODUCT(Mecze[[#This Row],[/PR:90]:[/BR:90]],Brudnopis!$E$26:$J$26),0)</f>
        <v>6.25E-2</v>
      </c>
      <c r="W2118" s="44">
        <f>IF(Mecze[[#This Row],[Role]]&lt;&gt;"BR",SUMPRODUCT(Mecze[[#This Row],[/PR:90]:[/BR:90]],Brudnopis!$E$27:$J$27),0)</f>
        <v>7.5520833333333329E-2</v>
      </c>
      <c r="X2118" s="44">
        <f>IF(Mecze[[#This Row],[Role]]&lt;&gt;"BR",SUMPRODUCT(Mecze[[#This Row],[/PR:90]:[/BR:90]],Brudnopis!$E$28:$J$28),0)</f>
        <v>7.2916666666666657E-2</v>
      </c>
      <c r="Y2118" s="35">
        <f>IF(Mecze[[#This Row],[Role]]="BR",Mecze[[#This Row],[/OB:90]]+Mecze[[#This Row],[/PC:90]],SUM(Mecze[[#This Row],[/PR:90]:[/BR:90]]))</f>
        <v>6.25E-2</v>
      </c>
      <c r="Z2118" s="35">
        <f>IF(Mecze[[#This Row],[KC]]=0,SUM(Mecze[[#This Row],[/BRI]:[/NPI]]),SUM(Mecze[[#This Row],[/BRI]:[/NPI]])*0.6)</f>
        <v>0.35677083333333326</v>
      </c>
      <c r="AA2118" s="10">
        <f>IFERROR(Mecze[[#This Row],[BR]]/Mecze[[#This Row],[ST]],0)</f>
        <v>0</v>
      </c>
      <c r="AB2118">
        <f>ROUND(Mecze[[#This Row],[PD]]*Mecze[[#This Row],[%PC]],0)</f>
        <v>3</v>
      </c>
      <c r="AC2118">
        <f>ROUND(Mecze[[#This Row],[OD]]*Mecze[[#This Row],[%OU]],0)</f>
        <v>1</v>
      </c>
      <c r="AD2118" s="36" t="s">
        <v>46</v>
      </c>
      <c r="AE2118" s="36">
        <v>119</v>
      </c>
      <c r="AF2118" s="71">
        <v>5.7</v>
      </c>
      <c r="AG2118" s="37">
        <v>0</v>
      </c>
      <c r="AH2118" s="37">
        <v>0</v>
      </c>
      <c r="AI2118" s="37">
        <v>96</v>
      </c>
      <c r="AJ2118" s="37">
        <v>1</v>
      </c>
      <c r="AK2118" s="37" t="str">
        <f>VLOOKUP(Mecze[[#This Row],[Match ID]],Meczusie[Mecz]:Meczusie[RodzajMeczu],2,FALSE)</f>
        <v>Towarzyski</v>
      </c>
    </row>
    <row r="2119" spans="1:37" x14ac:dyDescent="0.25">
      <c r="A2119" s="76">
        <v>1</v>
      </c>
      <c r="B2119" s="3" t="s">
        <v>304</v>
      </c>
      <c r="C2119" s="2" t="s">
        <v>155</v>
      </c>
      <c r="D2119" s="1">
        <v>0</v>
      </c>
      <c r="E2119" s="1">
        <v>0</v>
      </c>
      <c r="F2119" s="1">
        <v>0</v>
      </c>
      <c r="G2119" s="1">
        <v>1</v>
      </c>
      <c r="H2119" s="4">
        <v>1</v>
      </c>
      <c r="I2119" s="1">
        <v>0</v>
      </c>
      <c r="J2119" s="4"/>
      <c r="K2119" s="1">
        <v>1</v>
      </c>
      <c r="L2119" s="1">
        <v>0</v>
      </c>
      <c r="M2119" s="32">
        <f>IF(Mecze[[#This Row],[PR]]=0,0,Mecze[[#This Row],[PR]]/Mecze[[#This Row],[CZAS]])</f>
        <v>0</v>
      </c>
      <c r="N2119" s="32">
        <f>IF(Mecze[[#This Row],[OU]]=0,0,Mecze[[#This Row],[OU]]/Mecze[[#This Row],[CZAS]])</f>
        <v>0</v>
      </c>
      <c r="O2119" s="32">
        <f>IF(Mecze[[#This Row],[PC]]=0,0,Mecze[[#This Row],[PC]]/Mecze[[#This Row],[CZAS]])</f>
        <v>1.020408163265306E-2</v>
      </c>
      <c r="P2119" s="32">
        <f>IF(Mecze[[#This Row],[SC]]=0,0,Mecze[[#This Row],[SC]]/Mecze[[#This Row],[CZAS]])</f>
        <v>0</v>
      </c>
      <c r="Q2119" s="32">
        <f>IF(Mecze[[#This Row],[OB]]=0,0,Mecze[[#This Row],[OB]]/Mecze[[#This Row],[CZAS]])</f>
        <v>1.020408163265306E-2</v>
      </c>
      <c r="R2119" s="32">
        <f>IF(Mecze[[#This Row],[BR]]=0,0,Mecze[[#This Row],[BR]]/Mecze[[#This Row],[CZAS]])</f>
        <v>0</v>
      </c>
      <c r="S2119" s="44">
        <f>IF(Mecze[[#This Row],[Role]]="BR",SUMPRODUCT(Mecze[[#This Row],[/PR:90]:[/BR:90]],Brudnopis!$E$23:$J$23),0)</f>
        <v>6.1224489795918366E-2</v>
      </c>
      <c r="T2119" s="44">
        <f>IF(Mecze[[#This Row],[Role]]&lt;&gt;"BR",SUMPRODUCT(Mecze[[#This Row],[/PR:90]:[/BR:90]],Brudnopis!$E$24:$J$24),0)</f>
        <v>0</v>
      </c>
      <c r="U2119" s="44">
        <f>IF(Mecze[[#This Row],[Role]]&lt;&gt;"BR",SUMPRODUCT(Mecze[[#This Row],[/PR:90]:[/BR:90]],Brudnopis!$E$25:$J$25),0)</f>
        <v>0</v>
      </c>
      <c r="V2119" s="44">
        <f>IF(Mecze[[#This Row],[Role]]&lt;&gt;"BR",SUMPRODUCT(Mecze[[#This Row],[/PR:90]:[/BR:90]],Brudnopis!$E$26:$J$26),0)</f>
        <v>0</v>
      </c>
      <c r="W2119" s="44">
        <f>IF(Mecze[[#This Row],[Role]]&lt;&gt;"BR",SUMPRODUCT(Mecze[[#This Row],[/PR:90]:[/BR:90]],Brudnopis!$E$27:$J$27),0)</f>
        <v>0</v>
      </c>
      <c r="X2119" s="44">
        <f>IF(Mecze[[#This Row],[Role]]&lt;&gt;"BR",SUMPRODUCT(Mecze[[#This Row],[/PR:90]:[/BR:90]],Brudnopis!$E$28:$J$28),0)</f>
        <v>0</v>
      </c>
      <c r="Y2119" s="35">
        <f>IF(Mecze[[#This Row],[Role]]="BR",Mecze[[#This Row],[/OB:90]]+Mecze[[#This Row],[/PC:90]],SUM(Mecze[[#This Row],[/PR:90]:[/BR:90]]))</f>
        <v>2.0408163265306121E-2</v>
      </c>
      <c r="Z2119" s="35">
        <f>IF(Mecze[[#This Row],[KC]]=0,SUM(Mecze[[#This Row],[/BRI]:[/NPI]]),SUM(Mecze[[#This Row],[/BRI]:[/NPI]])*0.6)</f>
        <v>6.1224489795918366E-2</v>
      </c>
      <c r="AA2119" s="10">
        <f>IFERROR(Mecze[[#This Row],[BR]]/Mecze[[#This Row],[ST]],0)</f>
        <v>0</v>
      </c>
      <c r="AB2119">
        <f>ROUND(Mecze[[#This Row],[PD]]*Mecze[[#This Row],[%PC]],0)</f>
        <v>1</v>
      </c>
      <c r="AC2119">
        <f>ROUND(Mecze[[#This Row],[OD]]*Mecze[[#This Row],[%OU]],0)</f>
        <v>0</v>
      </c>
      <c r="AD2119" s="36" t="s">
        <v>40</v>
      </c>
      <c r="AE2119" s="36">
        <v>120</v>
      </c>
      <c r="AF2119" s="71">
        <v>7.39</v>
      </c>
      <c r="AG2119" s="37">
        <v>0</v>
      </c>
      <c r="AH2119" s="37">
        <v>0</v>
      </c>
      <c r="AI2119" s="37">
        <v>98</v>
      </c>
      <c r="AJ2119" s="37">
        <v>8</v>
      </c>
      <c r="AK2119" s="37" t="str">
        <f>VLOOKUP(Mecze[[#This Row],[Match ID]],Meczusie[Mecz]:Meczusie[RodzajMeczu],2,FALSE)</f>
        <v>Liga</v>
      </c>
    </row>
    <row r="2120" spans="1:37" x14ac:dyDescent="0.25">
      <c r="A2120" s="76">
        <v>6</v>
      </c>
      <c r="B2120" s="3" t="s">
        <v>308</v>
      </c>
      <c r="C2120" s="2" t="s">
        <v>157</v>
      </c>
      <c r="D2120" s="1">
        <v>0</v>
      </c>
      <c r="E2120" s="1">
        <v>1</v>
      </c>
      <c r="F2120" s="1">
        <v>0</v>
      </c>
      <c r="G2120" s="1">
        <v>2</v>
      </c>
      <c r="H2120" s="4">
        <v>1</v>
      </c>
      <c r="I2120" s="1">
        <v>0</v>
      </c>
      <c r="J2120" s="4"/>
      <c r="K2120" s="1">
        <v>0</v>
      </c>
      <c r="L2120" s="1">
        <v>8</v>
      </c>
      <c r="M2120" s="32">
        <f>IF(Mecze[[#This Row],[PR]]=0,0,Mecze[[#This Row],[PR]]/Mecze[[#This Row],[CZAS]])</f>
        <v>0.11267605633802817</v>
      </c>
      <c r="N2120" s="32">
        <f>IF(Mecze[[#This Row],[OU]]=0,0,Mecze[[#This Row],[OU]]/Mecze[[#This Row],[CZAS]])</f>
        <v>0</v>
      </c>
      <c r="O2120" s="32">
        <f>IF(Mecze[[#This Row],[PC]]=0,0,Mecze[[#This Row],[PC]]/Mecze[[#This Row],[CZAS]])</f>
        <v>2.8169014084507043E-2</v>
      </c>
      <c r="P2120" s="32">
        <f>IF(Mecze[[#This Row],[SC]]=0,0,Mecze[[#This Row],[SC]]/Mecze[[#This Row],[CZAS]])</f>
        <v>0</v>
      </c>
      <c r="Q2120" s="32">
        <f>IF(Mecze[[#This Row],[OB]]=0,0,Mecze[[#This Row],[OB]]/Mecze[[#This Row],[CZAS]])</f>
        <v>0</v>
      </c>
      <c r="R2120" s="32">
        <f>IF(Mecze[[#This Row],[BR]]=0,0,Mecze[[#This Row],[BR]]/Mecze[[#This Row],[CZAS]])</f>
        <v>0</v>
      </c>
      <c r="S2120" s="44">
        <f>IF(Mecze[[#This Row],[Role]]="BR",SUMPRODUCT(Mecze[[#This Row],[/PR:90]:[/BR:90]],Brudnopis!$E$23:$J$23),0)</f>
        <v>0</v>
      </c>
      <c r="T2120" s="44">
        <f>IF(Mecze[[#This Row],[Role]]&lt;&gt;"BR",SUMPRODUCT(Mecze[[#This Row],[/PR:90]:[/BR:90]],Brudnopis!$E$24:$J$24),0)</f>
        <v>0.14084507042253522</v>
      </c>
      <c r="U2120" s="44">
        <f>IF(Mecze[[#This Row],[Role]]&lt;&gt;"BR",SUMPRODUCT(Mecze[[#This Row],[/PR:90]:[/BR:90]],Brudnopis!$E$25:$J$25),0)</f>
        <v>0.15492957746478875</v>
      </c>
      <c r="V2120" s="44">
        <f>IF(Mecze[[#This Row],[Role]]&lt;&gt;"BR",SUMPRODUCT(Mecze[[#This Row],[/PR:90]:[/BR:90]],Brudnopis!$E$26:$J$26),0)</f>
        <v>0.14084507042253522</v>
      </c>
      <c r="W2120" s="44">
        <f>IF(Mecze[[#This Row],[Role]]&lt;&gt;"BR",SUMPRODUCT(Mecze[[#This Row],[/PR:90]:[/BR:90]],Brudnopis!$E$27:$J$27),0)</f>
        <v>0.12676056338028169</v>
      </c>
      <c r="X2120" s="44">
        <f>IF(Mecze[[#This Row],[Role]]&lt;&gt;"BR",SUMPRODUCT(Mecze[[#This Row],[/PR:90]:[/BR:90]],Brudnopis!$E$28:$J$28),0)</f>
        <v>2.8169014084507043E-2</v>
      </c>
      <c r="Y2120" s="35">
        <f>IF(Mecze[[#This Row],[Role]]="BR",Mecze[[#This Row],[/OB:90]]+Mecze[[#This Row],[/PC:90]],SUM(Mecze[[#This Row],[/PR:90]:[/BR:90]]))</f>
        <v>0.14084507042253522</v>
      </c>
      <c r="Z2120" s="35">
        <f>IF(Mecze[[#This Row],[KC]]=0,SUM(Mecze[[#This Row],[/BRI]:[/NPI]]),SUM(Mecze[[#This Row],[/BRI]:[/NPI]])*0.6)</f>
        <v>0.59154929577464799</v>
      </c>
      <c r="AA2120" s="10">
        <f>IFERROR(Mecze[[#This Row],[BR]]/Mecze[[#This Row],[ST]],0)</f>
        <v>0</v>
      </c>
      <c r="AB2120">
        <f>ROUND(Mecze[[#This Row],[PD]]*Mecze[[#This Row],[%PC]],0)</f>
        <v>2</v>
      </c>
      <c r="AC2120">
        <f>ROUND(Mecze[[#This Row],[OD]]*Mecze[[#This Row],[%OU]],0)</f>
        <v>0</v>
      </c>
      <c r="AD2120" s="36" t="s">
        <v>47</v>
      </c>
      <c r="AE2120" s="36">
        <v>120</v>
      </c>
      <c r="AF2120" s="71">
        <v>8.7200000000000006</v>
      </c>
      <c r="AG2120" s="37">
        <v>0</v>
      </c>
      <c r="AH2120" s="37">
        <v>0</v>
      </c>
      <c r="AI2120" s="37">
        <v>71</v>
      </c>
      <c r="AJ2120" s="37">
        <v>8</v>
      </c>
      <c r="AK2120" s="37" t="str">
        <f>VLOOKUP(Mecze[[#This Row],[Match ID]],Meczusie[Mecz]:Meczusie[RodzajMeczu],2,FALSE)</f>
        <v>Liga</v>
      </c>
    </row>
    <row r="2121" spans="1:37" x14ac:dyDescent="0.25">
      <c r="A2121" s="76">
        <v>23</v>
      </c>
      <c r="B2121" s="3" t="s">
        <v>306</v>
      </c>
      <c r="C2121" s="2" t="s">
        <v>157</v>
      </c>
      <c r="D2121" s="1">
        <v>0</v>
      </c>
      <c r="E2121" s="1">
        <v>0</v>
      </c>
      <c r="F2121" s="1">
        <v>0</v>
      </c>
      <c r="G2121" s="1">
        <v>3</v>
      </c>
      <c r="H2121" s="4">
        <v>1</v>
      </c>
      <c r="I2121" s="1">
        <v>0</v>
      </c>
      <c r="J2121" s="4"/>
      <c r="K2121" s="1">
        <v>0</v>
      </c>
      <c r="L2121" s="1">
        <v>3</v>
      </c>
      <c r="M2121" s="32">
        <f>IF(Mecze[[#This Row],[PR]]=0,0,Mecze[[#This Row],[PR]]/Mecze[[#This Row],[CZAS]])</f>
        <v>3.0612244897959183E-2</v>
      </c>
      <c r="N2121" s="32">
        <f>IF(Mecze[[#This Row],[OU]]=0,0,Mecze[[#This Row],[OU]]/Mecze[[#This Row],[CZAS]])</f>
        <v>0</v>
      </c>
      <c r="O2121" s="32">
        <f>IF(Mecze[[#This Row],[PC]]=0,0,Mecze[[#This Row],[PC]]/Mecze[[#This Row],[CZAS]])</f>
        <v>3.0612244897959183E-2</v>
      </c>
      <c r="P2121" s="32">
        <f>IF(Mecze[[#This Row],[SC]]=0,0,Mecze[[#This Row],[SC]]/Mecze[[#This Row],[CZAS]])</f>
        <v>0</v>
      </c>
      <c r="Q2121" s="32">
        <f>IF(Mecze[[#This Row],[OB]]=0,0,Mecze[[#This Row],[OB]]/Mecze[[#This Row],[CZAS]])</f>
        <v>0</v>
      </c>
      <c r="R2121" s="32">
        <f>IF(Mecze[[#This Row],[BR]]=0,0,Mecze[[#This Row],[BR]]/Mecze[[#This Row],[CZAS]])</f>
        <v>0</v>
      </c>
      <c r="S2121" s="44">
        <f>IF(Mecze[[#This Row],[Role]]="BR",SUMPRODUCT(Mecze[[#This Row],[/PR:90]:[/BR:90]],Brudnopis!$E$23:$J$23),0)</f>
        <v>0</v>
      </c>
      <c r="T2121" s="44">
        <f>IF(Mecze[[#This Row],[Role]]&lt;&gt;"BR",SUMPRODUCT(Mecze[[#This Row],[/PR:90]:[/BR:90]],Brudnopis!$E$24:$J$24),0)</f>
        <v>6.1224489795918366E-2</v>
      </c>
      <c r="U2121" s="44">
        <f>IF(Mecze[[#This Row],[Role]]&lt;&gt;"BR",SUMPRODUCT(Mecze[[#This Row],[/PR:90]:[/BR:90]],Brudnopis!$E$25:$J$25),0)</f>
        <v>7.6530612244897961E-2</v>
      </c>
      <c r="V2121" s="44">
        <f>IF(Mecze[[#This Row],[Role]]&lt;&gt;"BR",SUMPRODUCT(Mecze[[#This Row],[/PR:90]:[/BR:90]],Brudnopis!$E$26:$J$26),0)</f>
        <v>6.1224489795918366E-2</v>
      </c>
      <c r="W2121" s="44">
        <f>IF(Mecze[[#This Row],[Role]]&lt;&gt;"BR",SUMPRODUCT(Mecze[[#This Row],[/PR:90]:[/BR:90]],Brudnopis!$E$27:$J$27),0)</f>
        <v>6.8877551020408156E-2</v>
      </c>
      <c r="X2121" s="44">
        <f>IF(Mecze[[#This Row],[Role]]&lt;&gt;"BR",SUMPRODUCT(Mecze[[#This Row],[/PR:90]:[/BR:90]],Brudnopis!$E$28:$J$28),0)</f>
        <v>3.0612244897959183E-2</v>
      </c>
      <c r="Y2121" s="35">
        <f>IF(Mecze[[#This Row],[Role]]="BR",Mecze[[#This Row],[/OB:90]]+Mecze[[#This Row],[/PC:90]],SUM(Mecze[[#This Row],[/PR:90]:[/BR:90]]))</f>
        <v>6.1224489795918366E-2</v>
      </c>
      <c r="Z2121" s="35">
        <f>IF(Mecze[[#This Row],[KC]]=0,SUM(Mecze[[#This Row],[/BRI]:[/NPI]]),SUM(Mecze[[#This Row],[/BRI]:[/NPI]])*0.6)</f>
        <v>0.29846938775510201</v>
      </c>
      <c r="AA2121" s="10">
        <f>IFERROR(Mecze[[#This Row],[BR]]/Mecze[[#This Row],[ST]],0)</f>
        <v>0</v>
      </c>
      <c r="AB2121">
        <f>ROUND(Mecze[[#This Row],[PD]]*Mecze[[#This Row],[%PC]],0)</f>
        <v>3</v>
      </c>
      <c r="AC2121">
        <f>ROUND(Mecze[[#This Row],[OD]]*Mecze[[#This Row],[%OU]],0)</f>
        <v>0</v>
      </c>
      <c r="AD2121" s="36" t="s">
        <v>167</v>
      </c>
      <c r="AE2121" s="36">
        <v>120</v>
      </c>
      <c r="AF2121" s="71">
        <v>7.67</v>
      </c>
      <c r="AG2121" s="37">
        <v>0</v>
      </c>
      <c r="AH2121" s="37">
        <v>0</v>
      </c>
      <c r="AI2121" s="37">
        <v>98</v>
      </c>
      <c r="AJ2121" s="37">
        <v>8</v>
      </c>
      <c r="AK2121" s="37" t="str">
        <f>VLOOKUP(Mecze[[#This Row],[Match ID]],Meczusie[Mecz]:Meczusie[RodzajMeczu],2,FALSE)</f>
        <v>Liga</v>
      </c>
    </row>
    <row r="2122" spans="1:37" x14ac:dyDescent="0.25">
      <c r="A2122" s="76">
        <v>73</v>
      </c>
      <c r="B2122" s="3" t="s">
        <v>431</v>
      </c>
      <c r="C2122" s="2" t="s">
        <v>157</v>
      </c>
      <c r="D2122" s="1">
        <v>0</v>
      </c>
      <c r="E2122" s="1">
        <v>0</v>
      </c>
      <c r="F2122" s="1">
        <v>0</v>
      </c>
      <c r="G2122" s="1">
        <v>7</v>
      </c>
      <c r="H2122" s="4">
        <v>0.71</v>
      </c>
      <c r="I2122" s="1">
        <v>1</v>
      </c>
      <c r="J2122" s="4">
        <v>0</v>
      </c>
      <c r="K2122" s="1">
        <v>0</v>
      </c>
      <c r="L2122" s="1">
        <v>5</v>
      </c>
      <c r="M2122" s="32">
        <f>IF(Mecze[[#This Row],[PR]]=0,0,Mecze[[#This Row],[PR]]/Mecze[[#This Row],[CZAS]])</f>
        <v>5.1020408163265307E-2</v>
      </c>
      <c r="N2122" s="32">
        <f>IF(Mecze[[#This Row],[OU]]=0,0,Mecze[[#This Row],[OU]]/Mecze[[#This Row],[CZAS]])</f>
        <v>0</v>
      </c>
      <c r="O2122" s="32">
        <f>IF(Mecze[[#This Row],[PC]]=0,0,Mecze[[#This Row],[PC]]/Mecze[[#This Row],[CZAS]])</f>
        <v>5.1020408163265307E-2</v>
      </c>
      <c r="P2122" s="32">
        <f>IF(Mecze[[#This Row],[SC]]=0,0,Mecze[[#This Row],[SC]]/Mecze[[#This Row],[CZAS]])</f>
        <v>0</v>
      </c>
      <c r="Q2122" s="32">
        <f>IF(Mecze[[#This Row],[OB]]=0,0,Mecze[[#This Row],[OB]]/Mecze[[#This Row],[CZAS]])</f>
        <v>0</v>
      </c>
      <c r="R2122" s="32">
        <f>IF(Mecze[[#This Row],[BR]]=0,0,Mecze[[#This Row],[BR]]/Mecze[[#This Row],[CZAS]])</f>
        <v>0</v>
      </c>
      <c r="S2122" s="44">
        <f>IF(Mecze[[#This Row],[Role]]="BR",SUMPRODUCT(Mecze[[#This Row],[/PR:90]:[/BR:90]],Brudnopis!$E$23:$J$23),0)</f>
        <v>0</v>
      </c>
      <c r="T2122" s="44">
        <f>IF(Mecze[[#This Row],[Role]]&lt;&gt;"BR",SUMPRODUCT(Mecze[[#This Row],[/PR:90]:[/BR:90]],Brudnopis!$E$24:$J$24),0)</f>
        <v>0.10204081632653061</v>
      </c>
      <c r="U2122" s="44">
        <f>IF(Mecze[[#This Row],[Role]]&lt;&gt;"BR",SUMPRODUCT(Mecze[[#This Row],[/PR:90]:[/BR:90]],Brudnopis!$E$25:$J$25),0)</f>
        <v>0.12755102040816327</v>
      </c>
      <c r="V2122" s="44">
        <f>IF(Mecze[[#This Row],[Role]]&lt;&gt;"BR",SUMPRODUCT(Mecze[[#This Row],[/PR:90]:[/BR:90]],Brudnopis!$E$26:$J$26),0)</f>
        <v>0.10204081632653061</v>
      </c>
      <c r="W2122" s="44">
        <f>IF(Mecze[[#This Row],[Role]]&lt;&gt;"BR",SUMPRODUCT(Mecze[[#This Row],[/PR:90]:[/BR:90]],Brudnopis!$E$27:$J$27),0)</f>
        <v>0.11479591836734694</v>
      </c>
      <c r="X2122" s="44">
        <f>IF(Mecze[[#This Row],[Role]]&lt;&gt;"BR",SUMPRODUCT(Mecze[[#This Row],[/PR:90]:[/BR:90]],Brudnopis!$E$28:$J$28),0)</f>
        <v>5.1020408163265307E-2</v>
      </c>
      <c r="Y2122" s="35">
        <f>IF(Mecze[[#This Row],[Role]]="BR",Mecze[[#This Row],[/OB:90]]+Mecze[[#This Row],[/PC:90]],SUM(Mecze[[#This Row],[/PR:90]:[/BR:90]]))</f>
        <v>0.10204081632653061</v>
      </c>
      <c r="Z2122" s="35">
        <f>IF(Mecze[[#This Row],[KC]]=0,SUM(Mecze[[#This Row],[/BRI]:[/NPI]]),SUM(Mecze[[#This Row],[/BRI]:[/NPI]])*0.6)</f>
        <v>0.4974489795918367</v>
      </c>
      <c r="AA2122" s="10">
        <f>IFERROR(Mecze[[#This Row],[BR]]/Mecze[[#This Row],[ST]],0)</f>
        <v>0</v>
      </c>
      <c r="AB2122">
        <f>ROUND(Mecze[[#This Row],[PD]]*Mecze[[#This Row],[%PC]],0)</f>
        <v>5</v>
      </c>
      <c r="AC2122">
        <f>ROUND(Mecze[[#This Row],[OD]]*Mecze[[#This Row],[%OU]],0)</f>
        <v>0</v>
      </c>
      <c r="AD2122" s="36" t="s">
        <v>168</v>
      </c>
      <c r="AE2122" s="36">
        <v>120</v>
      </c>
      <c r="AF2122" s="71">
        <v>8.09</v>
      </c>
      <c r="AG2122" s="37">
        <v>0</v>
      </c>
      <c r="AH2122" s="37">
        <v>0</v>
      </c>
      <c r="AI2122" s="37">
        <v>98</v>
      </c>
      <c r="AJ2122" s="37">
        <v>8</v>
      </c>
      <c r="AK2122" s="37" t="str">
        <f>VLOOKUP(Mecze[[#This Row],[Match ID]],Meczusie[Mecz]:Meczusie[RodzajMeczu],2,FALSE)</f>
        <v>Liga</v>
      </c>
    </row>
    <row r="2123" spans="1:37" x14ac:dyDescent="0.25">
      <c r="A2123" s="76">
        <v>71</v>
      </c>
      <c r="B2123" s="3" t="s">
        <v>429</v>
      </c>
      <c r="C2123" s="2" t="s">
        <v>160</v>
      </c>
      <c r="D2123" s="1">
        <v>0</v>
      </c>
      <c r="E2123" s="1">
        <v>1</v>
      </c>
      <c r="F2123" s="1">
        <v>0</v>
      </c>
      <c r="G2123" s="1">
        <v>13</v>
      </c>
      <c r="H2123" s="4">
        <v>0.69</v>
      </c>
      <c r="I2123" s="1">
        <v>3</v>
      </c>
      <c r="J2123" s="4">
        <v>0.33</v>
      </c>
      <c r="K2123" s="1">
        <v>0</v>
      </c>
      <c r="L2123" s="1">
        <v>12</v>
      </c>
      <c r="M2123" s="32">
        <f>IF(Mecze[[#This Row],[PR]]=0,0,Mecze[[#This Row],[PR]]/Mecze[[#This Row],[CZAS]])</f>
        <v>0.12244897959183673</v>
      </c>
      <c r="N2123" s="32">
        <f>IF(Mecze[[#This Row],[OU]]=0,0,Mecze[[#This Row],[OU]]/Mecze[[#This Row],[CZAS]])</f>
        <v>1.020408163265306E-2</v>
      </c>
      <c r="O2123" s="32">
        <f>IF(Mecze[[#This Row],[PC]]=0,0,Mecze[[#This Row],[PC]]/Mecze[[#This Row],[CZAS]])</f>
        <v>9.1836734693877556E-2</v>
      </c>
      <c r="P2123" s="32">
        <f>IF(Mecze[[#This Row],[SC]]=0,0,Mecze[[#This Row],[SC]]/Mecze[[#This Row],[CZAS]])</f>
        <v>0</v>
      </c>
      <c r="Q2123" s="32">
        <f>IF(Mecze[[#This Row],[OB]]=0,0,Mecze[[#This Row],[OB]]/Mecze[[#This Row],[CZAS]])</f>
        <v>0</v>
      </c>
      <c r="R2123" s="32">
        <f>IF(Mecze[[#This Row],[BR]]=0,0,Mecze[[#This Row],[BR]]/Mecze[[#This Row],[CZAS]])</f>
        <v>0</v>
      </c>
      <c r="S2123" s="44">
        <f>IF(Mecze[[#This Row],[Role]]="BR",SUMPRODUCT(Mecze[[#This Row],[/PR:90]:[/BR:90]],Brudnopis!$E$23:$J$23),0)</f>
        <v>0</v>
      </c>
      <c r="T2123" s="44">
        <f>IF(Mecze[[#This Row],[Role]]&lt;&gt;"BR",SUMPRODUCT(Mecze[[#This Row],[/PR:90]:[/BR:90]],Brudnopis!$E$24:$J$24),0)</f>
        <v>0.22959183673469385</v>
      </c>
      <c r="U2123" s="44">
        <f>IF(Mecze[[#This Row],[Role]]&lt;&gt;"BR",SUMPRODUCT(Mecze[[#This Row],[/PR:90]:[/BR:90]],Brudnopis!$E$25:$J$25),0)</f>
        <v>0.27040816326530615</v>
      </c>
      <c r="V2123" s="44">
        <f>IF(Mecze[[#This Row],[Role]]&lt;&gt;"BR",SUMPRODUCT(Mecze[[#This Row],[/PR:90]:[/BR:90]],Brudnopis!$E$26:$J$26),0)</f>
        <v>0.22448979591836737</v>
      </c>
      <c r="W2123" s="44">
        <f>IF(Mecze[[#This Row],[Role]]&lt;&gt;"BR",SUMPRODUCT(Mecze[[#This Row],[/PR:90]:[/BR:90]],Brudnopis!$E$27:$J$27),0)</f>
        <v>0.23724489795918369</v>
      </c>
      <c r="X2123" s="44">
        <f>IF(Mecze[[#This Row],[Role]]&lt;&gt;"BR",SUMPRODUCT(Mecze[[#This Row],[/PR:90]:[/BR:90]],Brudnopis!$E$28:$J$28),0)</f>
        <v>9.1836734693877556E-2</v>
      </c>
      <c r="Y2123" s="35">
        <f>IF(Mecze[[#This Row],[Role]]="BR",Mecze[[#This Row],[/OB:90]]+Mecze[[#This Row],[/PC:90]],SUM(Mecze[[#This Row],[/PR:90]:[/BR:90]]))</f>
        <v>0.22448979591836737</v>
      </c>
      <c r="Z2123" s="35">
        <f>IF(Mecze[[#This Row],[KC]]=0,SUM(Mecze[[#This Row],[/BRI]:[/NPI]]),SUM(Mecze[[#This Row],[/BRI]:[/NPI]])*0.6)</f>
        <v>1.0535714285714286</v>
      </c>
      <c r="AA2123" s="10">
        <f>IFERROR(Mecze[[#This Row],[BR]]/Mecze[[#This Row],[ST]],0)</f>
        <v>0</v>
      </c>
      <c r="AB2123">
        <f>ROUND(Mecze[[#This Row],[PD]]*Mecze[[#This Row],[%PC]],0)</f>
        <v>9</v>
      </c>
      <c r="AC2123">
        <f>ROUND(Mecze[[#This Row],[OD]]*Mecze[[#This Row],[%OU]],0)</f>
        <v>1</v>
      </c>
      <c r="AD2123" s="36" t="s">
        <v>41</v>
      </c>
      <c r="AE2123" s="36">
        <v>120</v>
      </c>
      <c r="AF2123" s="71">
        <v>10.77</v>
      </c>
      <c r="AG2123" s="37">
        <v>0</v>
      </c>
      <c r="AH2123" s="37">
        <v>0</v>
      </c>
      <c r="AI2123" s="37">
        <v>98</v>
      </c>
      <c r="AJ2123" s="37">
        <v>8</v>
      </c>
      <c r="AK2123" s="37" t="str">
        <f>VLOOKUP(Mecze[[#This Row],[Match ID]],Meczusie[Mecz]:Meczusie[RodzajMeczu],2,FALSE)</f>
        <v>Liga</v>
      </c>
    </row>
    <row r="2124" spans="1:37" x14ac:dyDescent="0.25">
      <c r="A2124" s="76">
        <v>16</v>
      </c>
      <c r="B2124" s="3" t="s">
        <v>309</v>
      </c>
      <c r="C2124" s="2" t="s">
        <v>160</v>
      </c>
      <c r="D2124" s="1">
        <v>0</v>
      </c>
      <c r="E2124" s="1">
        <v>0</v>
      </c>
      <c r="F2124" s="1">
        <v>0</v>
      </c>
      <c r="G2124" s="1">
        <v>4</v>
      </c>
      <c r="H2124" s="4">
        <v>1</v>
      </c>
      <c r="I2124" s="1">
        <v>0</v>
      </c>
      <c r="J2124" s="4"/>
      <c r="K2124" s="1">
        <v>0</v>
      </c>
      <c r="L2124" s="1">
        <v>0</v>
      </c>
      <c r="M2124" s="32">
        <f>IF(Mecze[[#This Row],[PR]]=0,0,Mecze[[#This Row],[PR]]/Mecze[[#This Row],[CZAS]])</f>
        <v>0</v>
      </c>
      <c r="N2124" s="32">
        <f>IF(Mecze[[#This Row],[OU]]=0,0,Mecze[[#This Row],[OU]]/Mecze[[#This Row],[CZAS]])</f>
        <v>0</v>
      </c>
      <c r="O2124" s="32">
        <f>IF(Mecze[[#This Row],[PC]]=0,0,Mecze[[#This Row],[PC]]/Mecze[[#This Row],[CZAS]])</f>
        <v>4.0816326530612242E-2</v>
      </c>
      <c r="P2124" s="32">
        <f>IF(Mecze[[#This Row],[SC]]=0,0,Mecze[[#This Row],[SC]]/Mecze[[#This Row],[CZAS]])</f>
        <v>0</v>
      </c>
      <c r="Q2124" s="32">
        <f>IF(Mecze[[#This Row],[OB]]=0,0,Mecze[[#This Row],[OB]]/Mecze[[#This Row],[CZAS]])</f>
        <v>0</v>
      </c>
      <c r="R2124" s="32">
        <f>IF(Mecze[[#This Row],[BR]]=0,0,Mecze[[#This Row],[BR]]/Mecze[[#This Row],[CZAS]])</f>
        <v>0</v>
      </c>
      <c r="S2124" s="44">
        <f>IF(Mecze[[#This Row],[Role]]="BR",SUMPRODUCT(Mecze[[#This Row],[/PR:90]:[/BR:90]],Brudnopis!$E$23:$J$23),0)</f>
        <v>0</v>
      </c>
      <c r="T2124" s="44">
        <f>IF(Mecze[[#This Row],[Role]]&lt;&gt;"BR",SUMPRODUCT(Mecze[[#This Row],[/PR:90]:[/BR:90]],Brudnopis!$E$24:$J$24),0)</f>
        <v>4.0816326530612242E-2</v>
      </c>
      <c r="U2124" s="44">
        <f>IF(Mecze[[#This Row],[Role]]&lt;&gt;"BR",SUMPRODUCT(Mecze[[#This Row],[/PR:90]:[/BR:90]],Brudnopis!$E$25:$J$25),0)</f>
        <v>6.1224489795918366E-2</v>
      </c>
      <c r="V2124" s="44">
        <f>IF(Mecze[[#This Row],[Role]]&lt;&gt;"BR",SUMPRODUCT(Mecze[[#This Row],[/PR:90]:[/BR:90]],Brudnopis!$E$26:$J$26),0)</f>
        <v>4.0816326530612242E-2</v>
      </c>
      <c r="W2124" s="44">
        <f>IF(Mecze[[#This Row],[Role]]&lt;&gt;"BR",SUMPRODUCT(Mecze[[#This Row],[/PR:90]:[/BR:90]],Brudnopis!$E$27:$J$27),0)</f>
        <v>6.1224489795918366E-2</v>
      </c>
      <c r="X2124" s="44">
        <f>IF(Mecze[[#This Row],[Role]]&lt;&gt;"BR",SUMPRODUCT(Mecze[[#This Row],[/PR:90]:[/BR:90]],Brudnopis!$E$28:$J$28),0)</f>
        <v>4.0816326530612242E-2</v>
      </c>
      <c r="Y2124" s="35">
        <f>IF(Mecze[[#This Row],[Role]]="BR",Mecze[[#This Row],[/OB:90]]+Mecze[[#This Row],[/PC:90]],SUM(Mecze[[#This Row],[/PR:90]:[/BR:90]]))</f>
        <v>4.0816326530612242E-2</v>
      </c>
      <c r="Z2124" s="35">
        <f>IF(Mecze[[#This Row],[KC]]=0,SUM(Mecze[[#This Row],[/BRI]:[/NPI]]),SUM(Mecze[[#This Row],[/BRI]:[/NPI]])*0.6)</f>
        <v>0.24489795918367346</v>
      </c>
      <c r="AA2124" s="10">
        <f>IFERROR(Mecze[[#This Row],[BR]]/Mecze[[#This Row],[ST]],0)</f>
        <v>0</v>
      </c>
      <c r="AB2124">
        <f>ROUND(Mecze[[#This Row],[PD]]*Mecze[[#This Row],[%PC]],0)</f>
        <v>4</v>
      </c>
      <c r="AC2124">
        <f>ROUND(Mecze[[#This Row],[OD]]*Mecze[[#This Row],[%OU]],0)</f>
        <v>0</v>
      </c>
      <c r="AD2124" s="36" t="s">
        <v>172</v>
      </c>
      <c r="AE2124" s="36">
        <v>120</v>
      </c>
      <c r="AF2124" s="71">
        <v>7.04</v>
      </c>
      <c r="AG2124" s="37">
        <v>0</v>
      </c>
      <c r="AH2124" s="37">
        <v>0</v>
      </c>
      <c r="AI2124" s="37">
        <v>98</v>
      </c>
      <c r="AJ2124" s="37">
        <v>8</v>
      </c>
      <c r="AK2124" s="37" t="str">
        <f>VLOOKUP(Mecze[[#This Row],[Match ID]],Meczusie[Mecz]:Meczusie[RodzajMeczu],2,FALSE)</f>
        <v>Liga</v>
      </c>
    </row>
    <row r="2125" spans="1:37" x14ac:dyDescent="0.25">
      <c r="A2125" s="76">
        <v>7</v>
      </c>
      <c r="B2125" s="3" t="s">
        <v>311</v>
      </c>
      <c r="C2125" s="2" t="s">
        <v>160</v>
      </c>
      <c r="D2125" s="1">
        <v>0</v>
      </c>
      <c r="E2125" s="1">
        <v>0</v>
      </c>
      <c r="F2125" s="1">
        <v>0</v>
      </c>
      <c r="G2125" s="1">
        <v>0</v>
      </c>
      <c r="H2125" s="72"/>
      <c r="I2125" s="1">
        <v>0</v>
      </c>
      <c r="J2125" s="4"/>
      <c r="K2125" s="1">
        <v>0</v>
      </c>
      <c r="L2125" s="1">
        <v>1</v>
      </c>
      <c r="M2125" s="32">
        <f>IF(Mecze[[#This Row],[PR]]=0,0,Mecze[[#This Row],[PR]]/Mecze[[#This Row],[CZAS]])</f>
        <v>1.020408163265306E-2</v>
      </c>
      <c r="N2125" s="32">
        <f>IF(Mecze[[#This Row],[OU]]=0,0,Mecze[[#This Row],[OU]]/Mecze[[#This Row],[CZAS]])</f>
        <v>0</v>
      </c>
      <c r="O2125" s="32">
        <f>IF(Mecze[[#This Row],[PC]]=0,0,Mecze[[#This Row],[PC]]/Mecze[[#This Row],[CZAS]])</f>
        <v>0</v>
      </c>
      <c r="P2125" s="32">
        <f>IF(Mecze[[#This Row],[SC]]=0,0,Mecze[[#This Row],[SC]]/Mecze[[#This Row],[CZAS]])</f>
        <v>0</v>
      </c>
      <c r="Q2125" s="32">
        <f>IF(Mecze[[#This Row],[OB]]=0,0,Mecze[[#This Row],[OB]]/Mecze[[#This Row],[CZAS]])</f>
        <v>0</v>
      </c>
      <c r="R2125" s="32">
        <f>IF(Mecze[[#This Row],[BR]]=0,0,Mecze[[#This Row],[BR]]/Mecze[[#This Row],[CZAS]])</f>
        <v>0</v>
      </c>
      <c r="S2125" s="44">
        <f>IF(Mecze[[#This Row],[Role]]="BR",SUMPRODUCT(Mecze[[#This Row],[/PR:90]:[/BR:90]],Brudnopis!$E$23:$J$23),0)</f>
        <v>0</v>
      </c>
      <c r="T2125" s="44">
        <f>IF(Mecze[[#This Row],[Role]]&lt;&gt;"BR",SUMPRODUCT(Mecze[[#This Row],[/PR:90]:[/BR:90]],Brudnopis!$E$24:$J$24),0)</f>
        <v>1.020408163265306E-2</v>
      </c>
      <c r="U2125" s="44">
        <f>IF(Mecze[[#This Row],[Role]]&lt;&gt;"BR",SUMPRODUCT(Mecze[[#This Row],[/PR:90]:[/BR:90]],Brudnopis!$E$25:$J$25),0)</f>
        <v>1.020408163265306E-2</v>
      </c>
      <c r="V2125" s="44">
        <f>IF(Mecze[[#This Row],[Role]]&lt;&gt;"BR",SUMPRODUCT(Mecze[[#This Row],[/PR:90]:[/BR:90]],Brudnopis!$E$26:$J$26),0)</f>
        <v>1.020408163265306E-2</v>
      </c>
      <c r="W2125" s="44">
        <f>IF(Mecze[[#This Row],[Role]]&lt;&gt;"BR",SUMPRODUCT(Mecze[[#This Row],[/PR:90]:[/BR:90]],Brudnopis!$E$27:$J$27),0)</f>
        <v>7.6530612244897957E-3</v>
      </c>
      <c r="X2125" s="44">
        <f>IF(Mecze[[#This Row],[Role]]&lt;&gt;"BR",SUMPRODUCT(Mecze[[#This Row],[/PR:90]:[/BR:90]],Brudnopis!$E$28:$J$28),0)</f>
        <v>0</v>
      </c>
      <c r="Y2125" s="35">
        <f>IF(Mecze[[#This Row],[Role]]="BR",Mecze[[#This Row],[/OB:90]]+Mecze[[#This Row],[/PC:90]],SUM(Mecze[[#This Row],[/PR:90]:[/BR:90]]))</f>
        <v>1.020408163265306E-2</v>
      </c>
      <c r="Z2125" s="35">
        <f>IF(Mecze[[#This Row],[KC]]=0,SUM(Mecze[[#This Row],[/BRI]:[/NPI]]),SUM(Mecze[[#This Row],[/BRI]:[/NPI]])*0.6)</f>
        <v>3.826530612244898E-2</v>
      </c>
      <c r="AA2125" s="10">
        <f>IFERROR(Mecze[[#This Row],[BR]]/Mecze[[#This Row],[ST]],0)</f>
        <v>0</v>
      </c>
      <c r="AB2125">
        <f>ROUND(Mecze[[#This Row],[PD]]*Mecze[[#This Row],[%PC]],0)</f>
        <v>0</v>
      </c>
      <c r="AC2125">
        <f>ROUND(Mecze[[#This Row],[OD]]*Mecze[[#This Row],[%OU]],0)</f>
        <v>0</v>
      </c>
      <c r="AD2125" s="36" t="s">
        <v>173</v>
      </c>
      <c r="AE2125" s="36">
        <v>120</v>
      </c>
      <c r="AF2125" s="71">
        <v>7.25</v>
      </c>
      <c r="AG2125" s="37">
        <v>0</v>
      </c>
      <c r="AH2125" s="37">
        <v>0</v>
      </c>
      <c r="AI2125" s="37">
        <v>98</v>
      </c>
      <c r="AJ2125" s="37">
        <v>8</v>
      </c>
      <c r="AK2125" s="37" t="str">
        <f>VLOOKUP(Mecze[[#This Row],[Match ID]],Meczusie[Mecz]:Meczusie[RodzajMeczu],2,FALSE)</f>
        <v>Liga</v>
      </c>
    </row>
    <row r="2126" spans="1:37" x14ac:dyDescent="0.25">
      <c r="A2126" s="76">
        <v>14</v>
      </c>
      <c r="B2126" s="3" t="s">
        <v>312</v>
      </c>
      <c r="C2126" s="2" t="s">
        <v>160</v>
      </c>
      <c r="D2126" s="1">
        <v>1</v>
      </c>
      <c r="E2126" s="1">
        <v>4</v>
      </c>
      <c r="F2126" s="1">
        <v>3</v>
      </c>
      <c r="G2126" s="1">
        <v>15</v>
      </c>
      <c r="H2126" s="4">
        <v>1</v>
      </c>
      <c r="I2126" s="1">
        <v>6</v>
      </c>
      <c r="J2126" s="4">
        <v>0.83</v>
      </c>
      <c r="K2126" s="1">
        <v>0</v>
      </c>
      <c r="L2126" s="1">
        <v>6</v>
      </c>
      <c r="M2126" s="32">
        <f>IF(Mecze[[#This Row],[PR]]=0,0,Mecze[[#This Row],[PR]]/Mecze[[#This Row],[CZAS]])</f>
        <v>8.4507042253521125E-2</v>
      </c>
      <c r="N2126" s="32">
        <f>IF(Mecze[[#This Row],[OU]]=0,0,Mecze[[#This Row],[OU]]/Mecze[[#This Row],[CZAS]])</f>
        <v>7.0422535211267609E-2</v>
      </c>
      <c r="O2126" s="32">
        <f>IF(Mecze[[#This Row],[PC]]=0,0,Mecze[[#This Row],[PC]]/Mecze[[#This Row],[CZAS]])</f>
        <v>0.21126760563380281</v>
      </c>
      <c r="P2126" s="32">
        <f>IF(Mecze[[#This Row],[SC]]=0,0,Mecze[[#This Row],[SC]]/Mecze[[#This Row],[CZAS]])</f>
        <v>4.2253521126760563E-2</v>
      </c>
      <c r="Q2126" s="32">
        <f>IF(Mecze[[#This Row],[OB]]=0,0,Mecze[[#This Row],[OB]]/Mecze[[#This Row],[CZAS]])</f>
        <v>0</v>
      </c>
      <c r="R2126" s="32">
        <f>IF(Mecze[[#This Row],[BR]]=0,0,Mecze[[#This Row],[BR]]/Mecze[[#This Row],[CZAS]])</f>
        <v>1.4084507042253521E-2</v>
      </c>
      <c r="S2126" s="44">
        <f>IF(Mecze[[#This Row],[Role]]="BR",SUMPRODUCT(Mecze[[#This Row],[/PR:90]:[/BR:90]],Brudnopis!$E$23:$J$23),0)</f>
        <v>0</v>
      </c>
      <c r="T2126" s="44">
        <f>IF(Mecze[[#This Row],[Role]]&lt;&gt;"BR",SUMPRODUCT(Mecze[[#This Row],[/PR:90]:[/BR:90]],Brudnopis!$E$24:$J$24),0)</f>
        <v>0.46478873239436624</v>
      </c>
      <c r="U2126" s="44">
        <f>IF(Mecze[[#This Row],[Role]]&lt;&gt;"BR",SUMPRODUCT(Mecze[[#This Row],[/PR:90]:[/BR:90]],Brudnopis!$E$25:$J$25),0)</f>
        <v>0.53521126760563376</v>
      </c>
      <c r="V2126" s="44">
        <f>IF(Mecze[[#This Row],[Role]]&lt;&gt;"BR",SUMPRODUCT(Mecze[[#This Row],[/PR:90]:[/BR:90]],Brudnopis!$E$26:$J$26),0)</f>
        <v>0.43661971830985918</v>
      </c>
      <c r="W2126" s="44">
        <f>IF(Mecze[[#This Row],[Role]]&lt;&gt;"BR",SUMPRODUCT(Mecze[[#This Row],[/PR:90]:[/BR:90]],Brudnopis!$E$27:$J$27),0)</f>
        <v>0.50352112676056338</v>
      </c>
      <c r="X2126" s="44">
        <f>IF(Mecze[[#This Row],[Role]]&lt;&gt;"BR",SUMPRODUCT(Mecze[[#This Row],[/PR:90]:[/BR:90]],Brudnopis!$E$28:$J$28),0)</f>
        <v>0.3380281690140845</v>
      </c>
      <c r="Y2126" s="35">
        <f>IF(Mecze[[#This Row],[Role]]="BR",Mecze[[#This Row],[/OB:90]]+Mecze[[#This Row],[/PC:90]],SUM(Mecze[[#This Row],[/PR:90]:[/BR:90]]))</f>
        <v>0.42253521126760563</v>
      </c>
      <c r="Z2126" s="35">
        <f>IF(Mecze[[#This Row],[KC]]=0,SUM(Mecze[[#This Row],[/BRI]:[/NPI]]),SUM(Mecze[[#This Row],[/BRI]:[/NPI]])*0.6)</f>
        <v>2.278169014084507</v>
      </c>
      <c r="AA2126" s="10">
        <f>IFERROR(Mecze[[#This Row],[BR]]/Mecze[[#This Row],[ST]],0)</f>
        <v>0.25</v>
      </c>
      <c r="AB2126">
        <f>ROUND(Mecze[[#This Row],[PD]]*Mecze[[#This Row],[%PC]],0)</f>
        <v>15</v>
      </c>
      <c r="AC2126">
        <f>ROUND(Mecze[[#This Row],[OD]]*Mecze[[#This Row],[%OU]],0)</f>
        <v>5</v>
      </c>
      <c r="AD2126" s="36" t="s">
        <v>67</v>
      </c>
      <c r="AE2126" s="36">
        <v>120</v>
      </c>
      <c r="AF2126" s="71">
        <v>14.43</v>
      </c>
      <c r="AG2126" s="37">
        <v>0</v>
      </c>
      <c r="AH2126" s="37">
        <v>0</v>
      </c>
      <c r="AI2126" s="37">
        <v>71</v>
      </c>
      <c r="AJ2126" s="37">
        <v>8</v>
      </c>
      <c r="AK2126" s="37" t="str">
        <f>VLOOKUP(Mecze[[#This Row],[Match ID]],Meczusie[Mecz]:Meczusie[RodzajMeczu],2,FALSE)</f>
        <v>Liga</v>
      </c>
    </row>
    <row r="2127" spans="1:37" x14ac:dyDescent="0.25">
      <c r="A2127" s="76">
        <v>13</v>
      </c>
      <c r="B2127" s="3" t="s">
        <v>313</v>
      </c>
      <c r="C2127" s="2" t="s">
        <v>165</v>
      </c>
      <c r="D2127" s="1">
        <v>0</v>
      </c>
      <c r="E2127" s="1">
        <v>1</v>
      </c>
      <c r="F2127" s="1">
        <v>0</v>
      </c>
      <c r="G2127" s="1">
        <v>3</v>
      </c>
      <c r="H2127" s="4">
        <v>0.67</v>
      </c>
      <c r="I2127" s="1">
        <v>0</v>
      </c>
      <c r="J2127" s="4"/>
      <c r="K2127" s="1">
        <v>0</v>
      </c>
      <c r="L2127" s="1">
        <v>1</v>
      </c>
      <c r="M2127" s="32">
        <f>IF(Mecze[[#This Row],[PR]]=0,0,Mecze[[#This Row],[PR]]/Mecze[[#This Row],[CZAS]])</f>
        <v>1.3333333333333334E-2</v>
      </c>
      <c r="N2127" s="32">
        <f>IF(Mecze[[#This Row],[OU]]=0,0,Mecze[[#This Row],[OU]]/Mecze[[#This Row],[CZAS]])</f>
        <v>0</v>
      </c>
      <c r="O2127" s="32">
        <f>IF(Mecze[[#This Row],[PC]]=0,0,Mecze[[#This Row],[PC]]/Mecze[[#This Row],[CZAS]])</f>
        <v>2.6666666666666668E-2</v>
      </c>
      <c r="P2127" s="32">
        <f>IF(Mecze[[#This Row],[SC]]=0,0,Mecze[[#This Row],[SC]]/Mecze[[#This Row],[CZAS]])</f>
        <v>0</v>
      </c>
      <c r="Q2127" s="32">
        <f>IF(Mecze[[#This Row],[OB]]=0,0,Mecze[[#This Row],[OB]]/Mecze[[#This Row],[CZAS]])</f>
        <v>0</v>
      </c>
      <c r="R2127" s="32">
        <f>IF(Mecze[[#This Row],[BR]]=0,0,Mecze[[#This Row],[BR]]/Mecze[[#This Row],[CZAS]])</f>
        <v>0</v>
      </c>
      <c r="S2127" s="44">
        <f>IF(Mecze[[#This Row],[Role]]="BR",SUMPRODUCT(Mecze[[#This Row],[/PR:90]:[/BR:90]],Brudnopis!$E$23:$J$23),0)</f>
        <v>0</v>
      </c>
      <c r="T2127" s="44">
        <f>IF(Mecze[[#This Row],[Role]]&lt;&gt;"BR",SUMPRODUCT(Mecze[[#This Row],[/PR:90]:[/BR:90]],Brudnopis!$E$24:$J$24),0)</f>
        <v>0.04</v>
      </c>
      <c r="U2127" s="44">
        <f>IF(Mecze[[#This Row],[Role]]&lt;&gt;"BR",SUMPRODUCT(Mecze[[#This Row],[/PR:90]:[/BR:90]],Brudnopis!$E$25:$J$25),0)</f>
        <v>5.3333333333333337E-2</v>
      </c>
      <c r="V2127" s="44">
        <f>IF(Mecze[[#This Row],[Role]]&lt;&gt;"BR",SUMPRODUCT(Mecze[[#This Row],[/PR:90]:[/BR:90]],Brudnopis!$E$26:$J$26),0)</f>
        <v>0.04</v>
      </c>
      <c r="W2127" s="44">
        <f>IF(Mecze[[#This Row],[Role]]&lt;&gt;"BR",SUMPRODUCT(Mecze[[#This Row],[/PR:90]:[/BR:90]],Brudnopis!$E$27:$J$27),0)</f>
        <v>0.05</v>
      </c>
      <c r="X2127" s="44">
        <f>IF(Mecze[[#This Row],[Role]]&lt;&gt;"BR",SUMPRODUCT(Mecze[[#This Row],[/PR:90]:[/BR:90]],Brudnopis!$E$28:$J$28),0)</f>
        <v>2.6666666666666668E-2</v>
      </c>
      <c r="Y2127" s="35">
        <f>IF(Mecze[[#This Row],[Role]]="BR",Mecze[[#This Row],[/OB:90]]+Mecze[[#This Row],[/PC:90]],SUM(Mecze[[#This Row],[/PR:90]:[/BR:90]]))</f>
        <v>0.04</v>
      </c>
      <c r="Z2127" s="35">
        <f>IF(Mecze[[#This Row],[KC]]=0,SUM(Mecze[[#This Row],[/BRI]:[/NPI]]),SUM(Mecze[[#This Row],[/BRI]:[/NPI]])*0.6)</f>
        <v>0.21000000000000002</v>
      </c>
      <c r="AA2127" s="10">
        <f>IFERROR(Mecze[[#This Row],[BR]]/Mecze[[#This Row],[ST]],0)</f>
        <v>0</v>
      </c>
      <c r="AB2127">
        <f>ROUND(Mecze[[#This Row],[PD]]*Mecze[[#This Row],[%PC]],0)</f>
        <v>2</v>
      </c>
      <c r="AC2127">
        <f>ROUND(Mecze[[#This Row],[OD]]*Mecze[[#This Row],[%OU]],0)</f>
        <v>0</v>
      </c>
      <c r="AD2127" s="36" t="s">
        <v>272</v>
      </c>
      <c r="AE2127" s="36">
        <v>120</v>
      </c>
      <c r="AF2127" s="71">
        <v>3.93</v>
      </c>
      <c r="AG2127" s="37">
        <v>0</v>
      </c>
      <c r="AH2127" s="37">
        <v>0</v>
      </c>
      <c r="AI2127" s="37">
        <v>75</v>
      </c>
      <c r="AJ2127" s="37">
        <v>8</v>
      </c>
      <c r="AK2127" s="37" t="str">
        <f>VLOOKUP(Mecze[[#This Row],[Match ID]],Meczusie[Mecz]:Meczusie[RodzajMeczu],2,FALSE)</f>
        <v>Liga</v>
      </c>
    </row>
    <row r="2128" spans="1:37" x14ac:dyDescent="0.25">
      <c r="A2128" s="76">
        <v>74</v>
      </c>
      <c r="B2128" s="3" t="s">
        <v>442</v>
      </c>
      <c r="C2128" s="2" t="s">
        <v>165</v>
      </c>
      <c r="D2128" s="1">
        <v>0</v>
      </c>
      <c r="E2128" s="1">
        <v>3</v>
      </c>
      <c r="F2128" s="1">
        <v>2</v>
      </c>
      <c r="G2128" s="1">
        <v>4</v>
      </c>
      <c r="H2128" s="4">
        <v>0.75</v>
      </c>
      <c r="I2128" s="1">
        <v>1</v>
      </c>
      <c r="J2128" s="4">
        <v>1</v>
      </c>
      <c r="K2128" s="1">
        <v>0</v>
      </c>
      <c r="L2128" s="1">
        <v>1</v>
      </c>
      <c r="M2128" s="32">
        <f>IF(Mecze[[#This Row],[PR]]=0,0,Mecze[[#This Row],[PR]]/Mecze[[#This Row],[CZAS]])</f>
        <v>1.020408163265306E-2</v>
      </c>
      <c r="N2128" s="32">
        <f>IF(Mecze[[#This Row],[OU]]=0,0,Mecze[[#This Row],[OU]]/Mecze[[#This Row],[CZAS]])</f>
        <v>1.020408163265306E-2</v>
      </c>
      <c r="O2128" s="32">
        <f>IF(Mecze[[#This Row],[PC]]=0,0,Mecze[[#This Row],[PC]]/Mecze[[#This Row],[CZAS]])</f>
        <v>3.0612244897959183E-2</v>
      </c>
      <c r="P2128" s="32">
        <f>IF(Mecze[[#This Row],[SC]]=0,0,Mecze[[#This Row],[SC]]/Mecze[[#This Row],[CZAS]])</f>
        <v>2.0408163265306121E-2</v>
      </c>
      <c r="Q2128" s="32">
        <f>IF(Mecze[[#This Row],[OB]]=0,0,Mecze[[#This Row],[OB]]/Mecze[[#This Row],[CZAS]])</f>
        <v>0</v>
      </c>
      <c r="R2128" s="32">
        <f>IF(Mecze[[#This Row],[BR]]=0,0,Mecze[[#This Row],[BR]]/Mecze[[#This Row],[CZAS]])</f>
        <v>0</v>
      </c>
      <c r="S2128" s="44">
        <f>IF(Mecze[[#This Row],[Role]]="BR",SUMPRODUCT(Mecze[[#This Row],[/PR:90]:[/BR:90]],Brudnopis!$E$23:$J$23),0)</f>
        <v>0</v>
      </c>
      <c r="T2128" s="44">
        <f>IF(Mecze[[#This Row],[Role]]&lt;&gt;"BR",SUMPRODUCT(Mecze[[#This Row],[/PR:90]:[/BR:90]],Brudnopis!$E$24:$J$24),0)</f>
        <v>7.6530612244897961E-2</v>
      </c>
      <c r="U2128" s="44">
        <f>IF(Mecze[[#This Row],[Role]]&lt;&gt;"BR",SUMPRODUCT(Mecze[[#This Row],[/PR:90]:[/BR:90]],Brudnopis!$E$25:$J$25),0)</f>
        <v>8.6734693877551006E-2</v>
      </c>
      <c r="V2128" s="44">
        <f>IF(Mecze[[#This Row],[Role]]&lt;&gt;"BR",SUMPRODUCT(Mecze[[#This Row],[/PR:90]:[/BR:90]],Brudnopis!$E$26:$J$26),0)</f>
        <v>7.1428571428571425E-2</v>
      </c>
      <c r="W2128" s="44">
        <f>IF(Mecze[[#This Row],[Role]]&lt;&gt;"BR",SUMPRODUCT(Mecze[[#This Row],[/PR:90]:[/BR:90]],Brudnopis!$E$27:$J$27),0)</f>
        <v>8.1632653061224483E-2</v>
      </c>
      <c r="X2128" s="44">
        <f>IF(Mecze[[#This Row],[Role]]&lt;&gt;"BR",SUMPRODUCT(Mecze[[#This Row],[/PR:90]:[/BR:90]],Brudnopis!$E$28:$J$28),0)</f>
        <v>7.1428571428571425E-2</v>
      </c>
      <c r="Y2128" s="35">
        <f>IF(Mecze[[#This Row],[Role]]="BR",Mecze[[#This Row],[/OB:90]]+Mecze[[#This Row],[/PC:90]],SUM(Mecze[[#This Row],[/PR:90]:[/BR:90]]))</f>
        <v>7.1428571428571425E-2</v>
      </c>
      <c r="Z2128" s="35">
        <f>IF(Mecze[[#This Row],[KC]]=0,SUM(Mecze[[#This Row],[/BRI]:[/NPI]]),SUM(Mecze[[#This Row],[/BRI]:[/NPI]])*0.6)</f>
        <v>0.38775510204081631</v>
      </c>
      <c r="AA2128" s="10">
        <f>IFERROR(Mecze[[#This Row],[BR]]/Mecze[[#This Row],[ST]],0)</f>
        <v>0</v>
      </c>
      <c r="AB2128">
        <f>ROUND(Mecze[[#This Row],[PD]]*Mecze[[#This Row],[%PC]],0)</f>
        <v>3</v>
      </c>
      <c r="AC2128">
        <f>ROUND(Mecze[[#This Row],[OD]]*Mecze[[#This Row],[%OU]],0)</f>
        <v>1</v>
      </c>
      <c r="AD2128" s="36" t="s">
        <v>273</v>
      </c>
      <c r="AE2128" s="36">
        <v>120</v>
      </c>
      <c r="AF2128" s="71">
        <v>4.37</v>
      </c>
      <c r="AG2128" s="37">
        <v>0</v>
      </c>
      <c r="AH2128" s="37">
        <v>0</v>
      </c>
      <c r="AI2128" s="37">
        <v>98</v>
      </c>
      <c r="AJ2128" s="37">
        <v>8</v>
      </c>
      <c r="AK2128" s="37" t="str">
        <f>VLOOKUP(Mecze[[#This Row],[Match ID]],Meczusie[Mecz]:Meczusie[RodzajMeczu],2,FALSE)</f>
        <v>Liga</v>
      </c>
    </row>
    <row r="2129" spans="1:37" x14ac:dyDescent="0.25">
      <c r="A2129" s="76">
        <v>8</v>
      </c>
      <c r="B2129" s="3" t="s">
        <v>314</v>
      </c>
      <c r="C2129" s="2" t="s">
        <v>165</v>
      </c>
      <c r="D2129" s="1">
        <v>9</v>
      </c>
      <c r="E2129" s="1">
        <v>26</v>
      </c>
      <c r="F2129" s="1">
        <v>22</v>
      </c>
      <c r="G2129" s="1">
        <v>9</v>
      </c>
      <c r="H2129" s="4">
        <v>0.78</v>
      </c>
      <c r="I2129" s="1">
        <v>1</v>
      </c>
      <c r="J2129" s="4">
        <v>1</v>
      </c>
      <c r="K2129" s="1">
        <v>0</v>
      </c>
      <c r="L2129" s="1">
        <v>4</v>
      </c>
      <c r="M2129" s="32">
        <f>IF(Mecze[[#This Row],[PR]]=0,0,Mecze[[#This Row],[PR]]/Mecze[[#This Row],[CZAS]])</f>
        <v>4.0816326530612242E-2</v>
      </c>
      <c r="N2129" s="32">
        <f>IF(Mecze[[#This Row],[OU]]=0,0,Mecze[[#This Row],[OU]]/Mecze[[#This Row],[CZAS]])</f>
        <v>1.020408163265306E-2</v>
      </c>
      <c r="O2129" s="32">
        <f>IF(Mecze[[#This Row],[PC]]=0,0,Mecze[[#This Row],[PC]]/Mecze[[#This Row],[CZAS]])</f>
        <v>7.1428571428571425E-2</v>
      </c>
      <c r="P2129" s="32">
        <f>IF(Mecze[[#This Row],[SC]]=0,0,Mecze[[#This Row],[SC]]/Mecze[[#This Row],[CZAS]])</f>
        <v>0.22448979591836735</v>
      </c>
      <c r="Q2129" s="32">
        <f>IF(Mecze[[#This Row],[OB]]=0,0,Mecze[[#This Row],[OB]]/Mecze[[#This Row],[CZAS]])</f>
        <v>0</v>
      </c>
      <c r="R2129" s="32">
        <f>IF(Mecze[[#This Row],[BR]]=0,0,Mecze[[#This Row],[BR]]/Mecze[[#This Row],[CZAS]])</f>
        <v>9.1836734693877556E-2</v>
      </c>
      <c r="S2129" s="44">
        <f>IF(Mecze[[#This Row],[Role]]="BR",SUMPRODUCT(Mecze[[#This Row],[/PR:90]:[/BR:90]],Brudnopis!$E$23:$J$23),0)</f>
        <v>0</v>
      </c>
      <c r="T2129" s="44">
        <f>IF(Mecze[[#This Row],[Role]]&lt;&gt;"BR",SUMPRODUCT(Mecze[[#This Row],[/PR:90]:[/BR:90]],Brudnopis!$E$24:$J$24),0)</f>
        <v>0.48979591836734693</v>
      </c>
      <c r="U2129" s="44">
        <f>IF(Mecze[[#This Row],[Role]]&lt;&gt;"BR",SUMPRODUCT(Mecze[[#This Row],[/PR:90]:[/BR:90]],Brudnopis!$E$25:$J$25),0)</f>
        <v>0.52040816326530615</v>
      </c>
      <c r="V2129" s="44">
        <f>IF(Mecze[[#This Row],[Role]]&lt;&gt;"BR",SUMPRODUCT(Mecze[[#This Row],[/PR:90]:[/BR:90]],Brudnopis!$E$26:$J$26),0)</f>
        <v>0.53061224489795922</v>
      </c>
      <c r="W2129" s="44">
        <f>IF(Mecze[[#This Row],[Role]]&lt;&gt;"BR",SUMPRODUCT(Mecze[[#This Row],[/PR:90]:[/BR:90]],Brudnopis!$E$27:$J$27),0)</f>
        <v>0.5535714285714286</v>
      </c>
      <c r="X2129" s="44">
        <f>IF(Mecze[[#This Row],[Role]]&lt;&gt;"BR",SUMPRODUCT(Mecze[[#This Row],[/PR:90]:[/BR:90]],Brudnopis!$E$28:$J$28),0)</f>
        <v>0.79591836734693877</v>
      </c>
      <c r="Y2129" s="35">
        <f>IF(Mecze[[#This Row],[Role]]="BR",Mecze[[#This Row],[/OB:90]]+Mecze[[#This Row],[/PC:90]],SUM(Mecze[[#This Row],[/PR:90]:[/BR:90]]))</f>
        <v>0.43877551020408162</v>
      </c>
      <c r="Z2129" s="35">
        <f>IF(Mecze[[#This Row],[KC]]=0,SUM(Mecze[[#This Row],[/BRI]:[/NPI]]),SUM(Mecze[[#This Row],[/BRI]:[/NPI]])*0.6)</f>
        <v>2.8903061224489797</v>
      </c>
      <c r="AA2129" s="10">
        <f>IFERROR(Mecze[[#This Row],[BR]]/Mecze[[#This Row],[ST]],0)</f>
        <v>0.34615384615384615</v>
      </c>
      <c r="AB2129">
        <f>ROUND(Mecze[[#This Row],[PD]]*Mecze[[#This Row],[%PC]],0)</f>
        <v>7</v>
      </c>
      <c r="AC2129">
        <f>ROUND(Mecze[[#This Row],[OD]]*Mecze[[#This Row],[%OU]],0)</f>
        <v>1</v>
      </c>
      <c r="AD2129" s="36" t="s">
        <v>46</v>
      </c>
      <c r="AE2129" s="36">
        <v>120</v>
      </c>
      <c r="AF2129" s="71">
        <v>30.8</v>
      </c>
      <c r="AG2129" s="37">
        <v>0</v>
      </c>
      <c r="AH2129" s="37">
        <v>0</v>
      </c>
      <c r="AI2129" s="37">
        <v>98</v>
      </c>
      <c r="AJ2129" s="37">
        <v>8</v>
      </c>
      <c r="AK2129" s="37" t="str">
        <f>VLOOKUP(Mecze[[#This Row],[Match ID]],Meczusie[Mecz]:Meczusie[RodzajMeczu],2,FALSE)</f>
        <v>Liga</v>
      </c>
    </row>
    <row r="2130" spans="1:37" x14ac:dyDescent="0.25">
      <c r="A2130" s="76">
        <v>15</v>
      </c>
      <c r="B2130" s="3" t="s">
        <v>310</v>
      </c>
      <c r="C2130" s="2" t="s">
        <v>160</v>
      </c>
      <c r="D2130" s="1">
        <v>0</v>
      </c>
      <c r="E2130" s="1">
        <v>0</v>
      </c>
      <c r="F2130" s="1">
        <v>0</v>
      </c>
      <c r="G2130" s="1">
        <v>6</v>
      </c>
      <c r="H2130" s="4">
        <v>0.83</v>
      </c>
      <c r="I2130" s="1">
        <v>1</v>
      </c>
      <c r="J2130" s="4">
        <v>1</v>
      </c>
      <c r="K2130" s="1">
        <v>0</v>
      </c>
      <c r="L2130" s="1">
        <v>2</v>
      </c>
      <c r="M2130" s="32">
        <f>IF(Mecze[[#This Row],[PR]]=0,0,Mecze[[#This Row],[PR]]/Mecze[[#This Row],[CZAS]])</f>
        <v>7.407407407407407E-2</v>
      </c>
      <c r="N2130" s="32">
        <f>IF(Mecze[[#This Row],[OU]]=0,0,Mecze[[#This Row],[OU]]/Mecze[[#This Row],[CZAS]])</f>
        <v>3.7037037037037035E-2</v>
      </c>
      <c r="O2130" s="32">
        <f>IF(Mecze[[#This Row],[PC]]=0,0,Mecze[[#This Row],[PC]]/Mecze[[#This Row],[CZAS]])</f>
        <v>0.18518518518518517</v>
      </c>
      <c r="P2130" s="32">
        <f>IF(Mecze[[#This Row],[SC]]=0,0,Mecze[[#This Row],[SC]]/Mecze[[#This Row],[CZAS]])</f>
        <v>0</v>
      </c>
      <c r="Q2130" s="32">
        <f>IF(Mecze[[#This Row],[OB]]=0,0,Mecze[[#This Row],[OB]]/Mecze[[#This Row],[CZAS]])</f>
        <v>0</v>
      </c>
      <c r="R2130" s="32">
        <f>IF(Mecze[[#This Row],[BR]]=0,0,Mecze[[#This Row],[BR]]/Mecze[[#This Row],[CZAS]])</f>
        <v>0</v>
      </c>
      <c r="S2130" s="44">
        <f>IF(Mecze[[#This Row],[Role]]="BR",SUMPRODUCT(Mecze[[#This Row],[/PR:90]:[/BR:90]],Brudnopis!$E$23:$J$23),0)</f>
        <v>0</v>
      </c>
      <c r="T2130" s="44">
        <f>IF(Mecze[[#This Row],[Role]]&lt;&gt;"BR",SUMPRODUCT(Mecze[[#This Row],[/PR:90]:[/BR:90]],Brudnopis!$E$24:$J$24),0)</f>
        <v>0.31481481481481477</v>
      </c>
      <c r="U2130" s="44">
        <f>IF(Mecze[[#This Row],[Role]]&lt;&gt;"BR",SUMPRODUCT(Mecze[[#This Row],[/PR:90]:[/BR:90]],Brudnopis!$E$25:$J$25),0)</f>
        <v>0.3888888888888889</v>
      </c>
      <c r="V2130" s="44">
        <f>IF(Mecze[[#This Row],[Role]]&lt;&gt;"BR",SUMPRODUCT(Mecze[[#This Row],[/PR:90]:[/BR:90]],Brudnopis!$E$26:$J$26),0)</f>
        <v>0.29629629629629628</v>
      </c>
      <c r="W2130" s="44">
        <f>IF(Mecze[[#This Row],[Role]]&lt;&gt;"BR",SUMPRODUCT(Mecze[[#This Row],[/PR:90]:[/BR:90]],Brudnopis!$E$27:$J$27),0)</f>
        <v>0.3611111111111111</v>
      </c>
      <c r="X2130" s="44">
        <f>IF(Mecze[[#This Row],[Role]]&lt;&gt;"BR",SUMPRODUCT(Mecze[[#This Row],[/PR:90]:[/BR:90]],Brudnopis!$E$28:$J$28),0)</f>
        <v>0.18518518518518517</v>
      </c>
      <c r="Y2130" s="35">
        <f>IF(Mecze[[#This Row],[Role]]="BR",Mecze[[#This Row],[/OB:90]]+Mecze[[#This Row],[/PC:90]],SUM(Mecze[[#This Row],[/PR:90]:[/BR:90]]))</f>
        <v>0.29629629629629628</v>
      </c>
      <c r="Z2130" s="35">
        <f>IF(Mecze[[#This Row],[KC]]=0,SUM(Mecze[[#This Row],[/BRI]:[/NPI]]),SUM(Mecze[[#This Row],[/BRI]:[/NPI]])*0.6)</f>
        <v>1.5462962962962963</v>
      </c>
      <c r="AA2130" s="10">
        <f>IFERROR(Mecze[[#This Row],[BR]]/Mecze[[#This Row],[ST]],0)</f>
        <v>0</v>
      </c>
      <c r="AB2130">
        <f>ROUND(Mecze[[#This Row],[PD]]*Mecze[[#This Row],[%PC]],0)</f>
        <v>5</v>
      </c>
      <c r="AC2130">
        <f>ROUND(Mecze[[#This Row],[OD]]*Mecze[[#This Row],[%OU]],0)</f>
        <v>1</v>
      </c>
      <c r="AD2130" s="36" t="s">
        <v>67</v>
      </c>
      <c r="AE2130" s="36">
        <v>120</v>
      </c>
      <c r="AF2130" s="71">
        <v>7.38</v>
      </c>
      <c r="AG2130" s="37">
        <v>0</v>
      </c>
      <c r="AH2130" s="37">
        <v>0</v>
      </c>
      <c r="AI2130" s="37">
        <v>27</v>
      </c>
      <c r="AJ2130" s="37">
        <v>8</v>
      </c>
      <c r="AK2130" s="37" t="str">
        <f>VLOOKUP(Mecze[[#This Row],[Match ID]],Meczusie[Mecz]:Meczusie[RodzajMeczu],2,FALSE)</f>
        <v>Liga</v>
      </c>
    </row>
    <row r="2131" spans="1:37" x14ac:dyDescent="0.25">
      <c r="A2131" s="76">
        <v>20</v>
      </c>
      <c r="B2131" s="3" t="s">
        <v>484</v>
      </c>
      <c r="C2131" s="2" t="s">
        <v>157</v>
      </c>
      <c r="D2131" s="1">
        <v>0</v>
      </c>
      <c r="E2131" s="1">
        <v>0</v>
      </c>
      <c r="F2131" s="1">
        <v>0</v>
      </c>
      <c r="G2131" s="1">
        <v>2</v>
      </c>
      <c r="H2131" s="4">
        <v>0.5</v>
      </c>
      <c r="I2131" s="1">
        <v>0</v>
      </c>
      <c r="J2131" s="4"/>
      <c r="K2131" s="1">
        <v>0</v>
      </c>
      <c r="L2131" s="1">
        <v>3</v>
      </c>
      <c r="M2131" s="32">
        <f>IF(Mecze[[#This Row],[PR]]=0,0,Mecze[[#This Row],[PR]]/Mecze[[#This Row],[CZAS]])</f>
        <v>0.1111111111111111</v>
      </c>
      <c r="N2131" s="32">
        <f>IF(Mecze[[#This Row],[OU]]=0,0,Mecze[[#This Row],[OU]]/Mecze[[#This Row],[CZAS]])</f>
        <v>0</v>
      </c>
      <c r="O2131" s="32">
        <f>IF(Mecze[[#This Row],[PC]]=0,0,Mecze[[#This Row],[PC]]/Mecze[[#This Row],[CZAS]])</f>
        <v>3.7037037037037035E-2</v>
      </c>
      <c r="P2131" s="32">
        <f>IF(Mecze[[#This Row],[SC]]=0,0,Mecze[[#This Row],[SC]]/Mecze[[#This Row],[CZAS]])</f>
        <v>0</v>
      </c>
      <c r="Q2131" s="32">
        <f>IF(Mecze[[#This Row],[OB]]=0,0,Mecze[[#This Row],[OB]]/Mecze[[#This Row],[CZAS]])</f>
        <v>0</v>
      </c>
      <c r="R2131" s="32">
        <f>IF(Mecze[[#This Row],[BR]]=0,0,Mecze[[#This Row],[BR]]/Mecze[[#This Row],[CZAS]])</f>
        <v>0</v>
      </c>
      <c r="S2131" s="44">
        <f>IF(Mecze[[#This Row],[Role]]="BR",SUMPRODUCT(Mecze[[#This Row],[/PR:90]:[/BR:90]],Brudnopis!$E$23:$J$23),0)</f>
        <v>0</v>
      </c>
      <c r="T2131" s="44">
        <f>IF(Mecze[[#This Row],[Role]]&lt;&gt;"BR",SUMPRODUCT(Mecze[[#This Row],[/PR:90]:[/BR:90]],Brudnopis!$E$24:$J$24),0)</f>
        <v>0.14814814814814814</v>
      </c>
      <c r="U2131" s="44">
        <f>IF(Mecze[[#This Row],[Role]]&lt;&gt;"BR",SUMPRODUCT(Mecze[[#This Row],[/PR:90]:[/BR:90]],Brudnopis!$E$25:$J$25),0)</f>
        <v>0.16666666666666666</v>
      </c>
      <c r="V2131" s="44">
        <f>IF(Mecze[[#This Row],[Role]]&lt;&gt;"BR",SUMPRODUCT(Mecze[[#This Row],[/PR:90]:[/BR:90]],Brudnopis!$E$26:$J$26),0)</f>
        <v>0.14814814814814814</v>
      </c>
      <c r="W2131" s="44">
        <f>IF(Mecze[[#This Row],[Role]]&lt;&gt;"BR",SUMPRODUCT(Mecze[[#This Row],[/PR:90]:[/BR:90]],Brudnopis!$E$27:$J$27),0)</f>
        <v>0.1388888888888889</v>
      </c>
      <c r="X2131" s="44">
        <f>IF(Mecze[[#This Row],[Role]]&lt;&gt;"BR",SUMPRODUCT(Mecze[[#This Row],[/PR:90]:[/BR:90]],Brudnopis!$E$28:$J$28),0)</f>
        <v>3.7037037037037035E-2</v>
      </c>
      <c r="Y2131" s="35">
        <f>IF(Mecze[[#This Row],[Role]]="BR",Mecze[[#This Row],[/OB:90]]+Mecze[[#This Row],[/PC:90]],SUM(Mecze[[#This Row],[/PR:90]:[/BR:90]]))</f>
        <v>0.14814814814814814</v>
      </c>
      <c r="Z2131" s="35">
        <f>IF(Mecze[[#This Row],[KC]]=0,SUM(Mecze[[#This Row],[/BRI]:[/NPI]]),SUM(Mecze[[#This Row],[/BRI]:[/NPI]])*0.6)</f>
        <v>0.63888888888888884</v>
      </c>
      <c r="AA2131" s="10">
        <f>IFERROR(Mecze[[#This Row],[BR]]/Mecze[[#This Row],[ST]],0)</f>
        <v>0</v>
      </c>
      <c r="AB2131">
        <f>ROUND(Mecze[[#This Row],[PD]]*Mecze[[#This Row],[%PC]],0)</f>
        <v>1</v>
      </c>
      <c r="AC2131">
        <f>ROUND(Mecze[[#This Row],[OD]]*Mecze[[#This Row],[%OU]],0)</f>
        <v>0</v>
      </c>
      <c r="AD2131" s="36" t="s">
        <v>47</v>
      </c>
      <c r="AE2131" s="36">
        <v>120</v>
      </c>
      <c r="AF2131" s="71">
        <v>5.47</v>
      </c>
      <c r="AG2131" s="37">
        <v>0</v>
      </c>
      <c r="AH2131" s="37">
        <v>0</v>
      </c>
      <c r="AI2131" s="37">
        <v>27</v>
      </c>
      <c r="AJ2131" s="37">
        <v>8</v>
      </c>
      <c r="AK2131" s="37" t="str">
        <f>VLOOKUP(Mecze[[#This Row],[Match ID]],Meczusie[Mecz]:Meczusie[RodzajMeczu],2,FALSE)</f>
        <v>Liga</v>
      </c>
    </row>
    <row r="2132" spans="1:37" x14ac:dyDescent="0.25">
      <c r="A2132" s="76">
        <v>68</v>
      </c>
      <c r="B2132" s="3" t="s">
        <v>416</v>
      </c>
      <c r="C2132" s="2" t="s">
        <v>165</v>
      </c>
      <c r="D2132" s="1">
        <v>1</v>
      </c>
      <c r="E2132" s="1">
        <v>1</v>
      </c>
      <c r="F2132" s="1">
        <v>1</v>
      </c>
      <c r="G2132" s="1">
        <v>2</v>
      </c>
      <c r="H2132" s="4">
        <v>1</v>
      </c>
      <c r="I2132" s="1">
        <v>0</v>
      </c>
      <c r="J2132" s="4"/>
      <c r="K2132" s="1">
        <v>0</v>
      </c>
      <c r="L2132" s="1">
        <v>0</v>
      </c>
      <c r="M2132" s="32">
        <f>IF(Mecze[[#This Row],[PR]]=0,0,Mecze[[#This Row],[PR]]/Mecze[[#This Row],[CZAS]])</f>
        <v>0</v>
      </c>
      <c r="N2132" s="32">
        <f>IF(Mecze[[#This Row],[OU]]=0,0,Mecze[[#This Row],[OU]]/Mecze[[#This Row],[CZAS]])</f>
        <v>0</v>
      </c>
      <c r="O2132" s="32">
        <f>IF(Mecze[[#This Row],[PC]]=0,0,Mecze[[#This Row],[PC]]/Mecze[[#This Row],[CZAS]])</f>
        <v>8.6956521739130432E-2</v>
      </c>
      <c r="P2132" s="32">
        <f>IF(Mecze[[#This Row],[SC]]=0,0,Mecze[[#This Row],[SC]]/Mecze[[#This Row],[CZAS]])</f>
        <v>4.3478260869565216E-2</v>
      </c>
      <c r="Q2132" s="32">
        <f>IF(Mecze[[#This Row],[OB]]=0,0,Mecze[[#This Row],[OB]]/Mecze[[#This Row],[CZAS]])</f>
        <v>0</v>
      </c>
      <c r="R2132" s="32">
        <f>IF(Mecze[[#This Row],[BR]]=0,0,Mecze[[#This Row],[BR]]/Mecze[[#This Row],[CZAS]])</f>
        <v>4.3478260869565216E-2</v>
      </c>
      <c r="S2132" s="44">
        <f>IF(Mecze[[#This Row],[Role]]="BR",SUMPRODUCT(Mecze[[#This Row],[/PR:90]:[/BR:90]],Brudnopis!$E$23:$J$23),0)</f>
        <v>0</v>
      </c>
      <c r="T2132" s="44">
        <f>IF(Mecze[[#This Row],[Role]]&lt;&gt;"BR",SUMPRODUCT(Mecze[[#This Row],[/PR:90]:[/BR:90]],Brudnopis!$E$24:$J$24),0)</f>
        <v>0.19565217391304346</v>
      </c>
      <c r="U2132" s="44">
        <f>IF(Mecze[[#This Row],[Role]]&lt;&gt;"BR",SUMPRODUCT(Mecze[[#This Row],[/PR:90]:[/BR:90]],Brudnopis!$E$25:$J$25),0)</f>
        <v>0.2391304347826087</v>
      </c>
      <c r="V2132" s="44">
        <f>IF(Mecze[[#This Row],[Role]]&lt;&gt;"BR",SUMPRODUCT(Mecze[[#This Row],[/PR:90]:[/BR:90]],Brudnopis!$E$26:$J$26),0)</f>
        <v>0.21739130434782608</v>
      </c>
      <c r="W2132" s="44">
        <f>IF(Mecze[[#This Row],[Role]]&lt;&gt;"BR",SUMPRODUCT(Mecze[[#This Row],[/PR:90]:[/BR:90]],Brudnopis!$E$27:$J$27),0)</f>
        <v>0.2608695652173913</v>
      </c>
      <c r="X2132" s="44">
        <f>IF(Mecze[[#This Row],[Role]]&lt;&gt;"BR",SUMPRODUCT(Mecze[[#This Row],[/PR:90]:[/BR:90]],Brudnopis!$E$28:$J$28),0)</f>
        <v>0.30434782608695654</v>
      </c>
      <c r="Y2132" s="35">
        <f>IF(Mecze[[#This Row],[Role]]="BR",Mecze[[#This Row],[/OB:90]]+Mecze[[#This Row],[/PC:90]],SUM(Mecze[[#This Row],[/PR:90]:[/BR:90]]))</f>
        <v>0.17391304347826086</v>
      </c>
      <c r="Z2132" s="35">
        <f>IF(Mecze[[#This Row],[KC]]=0,SUM(Mecze[[#This Row],[/BRI]:[/NPI]]),SUM(Mecze[[#This Row],[/BRI]:[/NPI]])*0.6)</f>
        <v>1.2173913043478262</v>
      </c>
      <c r="AA2132" s="10">
        <f>IFERROR(Mecze[[#This Row],[BR]]/Mecze[[#This Row],[ST]],0)</f>
        <v>1</v>
      </c>
      <c r="AB2132">
        <f>ROUND(Mecze[[#This Row],[PD]]*Mecze[[#This Row],[%PC]],0)</f>
        <v>2</v>
      </c>
      <c r="AC2132">
        <f>ROUND(Mecze[[#This Row],[OD]]*Mecze[[#This Row],[%OU]],0)</f>
        <v>0</v>
      </c>
      <c r="AD2132" s="36" t="s">
        <v>272</v>
      </c>
      <c r="AE2132" s="36">
        <v>120</v>
      </c>
      <c r="AF2132" s="71">
        <v>4.24</v>
      </c>
      <c r="AG2132" s="37">
        <v>0</v>
      </c>
      <c r="AH2132" s="37">
        <v>0</v>
      </c>
      <c r="AI2132" s="37">
        <v>23</v>
      </c>
      <c r="AJ2132" s="37">
        <v>8</v>
      </c>
      <c r="AK2132" s="37" t="str">
        <f>VLOOKUP(Mecze[[#This Row],[Match ID]],Meczusie[Mecz]:Meczusie[RodzajMeczu],2,FALSE)</f>
        <v>Liga</v>
      </c>
    </row>
    <row r="2133" spans="1:37" x14ac:dyDescent="0.25">
      <c r="A2133" s="76">
        <v>3</v>
      </c>
      <c r="B2133" s="3" t="s">
        <v>222</v>
      </c>
      <c r="C2133" s="2" t="s">
        <v>155</v>
      </c>
      <c r="D2133" s="1">
        <v>0</v>
      </c>
      <c r="E2133" s="1">
        <v>0</v>
      </c>
      <c r="F2133" s="1">
        <v>0</v>
      </c>
      <c r="G2133" s="1">
        <v>20</v>
      </c>
      <c r="H2133" s="4">
        <v>0.5</v>
      </c>
      <c r="I2133" s="1">
        <v>0</v>
      </c>
      <c r="J2133" s="4"/>
      <c r="K2133" s="1">
        <v>13</v>
      </c>
      <c r="L2133" s="1">
        <v>0</v>
      </c>
      <c r="M2133" s="32">
        <f>IF(Mecze[[#This Row],[PR]]=0,0,Mecze[[#This Row],[PR]]/Mecze[[#This Row],[CZAS]])</f>
        <v>0</v>
      </c>
      <c r="N2133" s="32">
        <f>IF(Mecze[[#This Row],[OU]]=0,0,Mecze[[#This Row],[OU]]/Mecze[[#This Row],[CZAS]])</f>
        <v>0</v>
      </c>
      <c r="O2133" s="32">
        <f>IF(Mecze[[#This Row],[PC]]=0,0,Mecze[[#This Row],[PC]]/Mecze[[#This Row],[CZAS]])</f>
        <v>0.10204081632653061</v>
      </c>
      <c r="P2133" s="32">
        <f>IF(Mecze[[#This Row],[SC]]=0,0,Mecze[[#This Row],[SC]]/Mecze[[#This Row],[CZAS]])</f>
        <v>0</v>
      </c>
      <c r="Q2133" s="32">
        <f>IF(Mecze[[#This Row],[OB]]=0,0,Mecze[[#This Row],[OB]]/Mecze[[#This Row],[CZAS]])</f>
        <v>0.1326530612244898</v>
      </c>
      <c r="R2133" s="32">
        <f>IF(Mecze[[#This Row],[BR]]=0,0,Mecze[[#This Row],[BR]]/Mecze[[#This Row],[CZAS]])</f>
        <v>0</v>
      </c>
      <c r="S2133" s="44">
        <f>IF(Mecze[[#This Row],[Role]]="BR",SUMPRODUCT(Mecze[[#This Row],[/PR:90]:[/BR:90]],Brudnopis!$E$23:$J$23),0)</f>
        <v>0.70408163265306123</v>
      </c>
      <c r="T2133" s="44">
        <f>IF(Mecze[[#This Row],[Role]]&lt;&gt;"BR",SUMPRODUCT(Mecze[[#This Row],[/PR:90]:[/BR:90]],Brudnopis!$E$24:$J$24),0)</f>
        <v>0</v>
      </c>
      <c r="U2133" s="44">
        <f>IF(Mecze[[#This Row],[Role]]&lt;&gt;"BR",SUMPRODUCT(Mecze[[#This Row],[/PR:90]:[/BR:90]],Brudnopis!$E$25:$J$25),0)</f>
        <v>0</v>
      </c>
      <c r="V2133" s="44">
        <f>IF(Mecze[[#This Row],[Role]]&lt;&gt;"BR",SUMPRODUCT(Mecze[[#This Row],[/PR:90]:[/BR:90]],Brudnopis!$E$26:$J$26),0)</f>
        <v>0</v>
      </c>
      <c r="W2133" s="44">
        <f>IF(Mecze[[#This Row],[Role]]&lt;&gt;"BR",SUMPRODUCT(Mecze[[#This Row],[/PR:90]:[/BR:90]],Brudnopis!$E$27:$J$27),0)</f>
        <v>0</v>
      </c>
      <c r="X2133" s="44">
        <f>IF(Mecze[[#This Row],[Role]]&lt;&gt;"BR",SUMPRODUCT(Mecze[[#This Row],[/PR:90]:[/BR:90]],Brudnopis!$E$28:$J$28),0)</f>
        <v>0</v>
      </c>
      <c r="Y2133" s="35">
        <f>IF(Mecze[[#This Row],[Role]]="BR",Mecze[[#This Row],[/OB:90]]+Mecze[[#This Row],[/PC:90]],SUM(Mecze[[#This Row],[/PR:90]:[/BR:90]]))</f>
        <v>0.23469387755102042</v>
      </c>
      <c r="Z2133" s="35">
        <f>IF(Mecze[[#This Row],[KC]]=0,SUM(Mecze[[#This Row],[/BRI]:[/NPI]]),SUM(Mecze[[#This Row],[/BRI]:[/NPI]])*0.6)</f>
        <v>0.70408163265306123</v>
      </c>
      <c r="AA2133" s="10">
        <f>IFERROR(Mecze[[#This Row],[BR]]/Mecze[[#This Row],[ST]],0)</f>
        <v>0</v>
      </c>
      <c r="AB2133">
        <f>ROUND(Mecze[[#This Row],[PD]]*Mecze[[#This Row],[%PC]],0)</f>
        <v>10</v>
      </c>
      <c r="AC2133">
        <f>ROUND(Mecze[[#This Row],[OD]]*Mecze[[#This Row],[%OU]],0)</f>
        <v>0</v>
      </c>
      <c r="AD2133" s="36" t="s">
        <v>40</v>
      </c>
      <c r="AE2133" s="36">
        <v>120</v>
      </c>
      <c r="AF2133" s="71">
        <v>4.0199999999999996</v>
      </c>
      <c r="AG2133" s="37">
        <v>0</v>
      </c>
      <c r="AH2133" s="37">
        <v>0</v>
      </c>
      <c r="AI2133" s="37">
        <v>98</v>
      </c>
      <c r="AJ2133" s="37">
        <v>2</v>
      </c>
      <c r="AK2133" s="37" t="str">
        <f>VLOOKUP(Mecze[[#This Row],[Match ID]],Meczusie[Mecz]:Meczusie[RodzajMeczu],2,FALSE)</f>
        <v>Liga</v>
      </c>
    </row>
    <row r="2134" spans="1:37" x14ac:dyDescent="0.25">
      <c r="A2134" s="76">
        <v>69</v>
      </c>
      <c r="B2134" s="3" t="s">
        <v>485</v>
      </c>
      <c r="C2134" s="2" t="s">
        <v>157</v>
      </c>
      <c r="D2134" s="1">
        <v>0</v>
      </c>
      <c r="E2134" s="1">
        <v>0</v>
      </c>
      <c r="F2134" s="1">
        <v>0</v>
      </c>
      <c r="G2134" s="1">
        <v>5</v>
      </c>
      <c r="H2134" s="4">
        <v>0.2</v>
      </c>
      <c r="I2134" s="1">
        <v>5</v>
      </c>
      <c r="J2134" s="4">
        <v>0.2</v>
      </c>
      <c r="K2134" s="1">
        <v>0</v>
      </c>
      <c r="L2134" s="1">
        <v>1</v>
      </c>
      <c r="M2134" s="32">
        <f>IF(Mecze[[#This Row],[PR]]=0,0,Mecze[[#This Row],[PR]]/Mecze[[#This Row],[CZAS]])</f>
        <v>1.020408163265306E-2</v>
      </c>
      <c r="N2134" s="32">
        <f>IF(Mecze[[#This Row],[OU]]=0,0,Mecze[[#This Row],[OU]]/Mecze[[#This Row],[CZAS]])</f>
        <v>1.020408163265306E-2</v>
      </c>
      <c r="O2134" s="32">
        <f>IF(Mecze[[#This Row],[PC]]=0,0,Mecze[[#This Row],[PC]]/Mecze[[#This Row],[CZAS]])</f>
        <v>1.020408163265306E-2</v>
      </c>
      <c r="P2134" s="32">
        <f>IF(Mecze[[#This Row],[SC]]=0,0,Mecze[[#This Row],[SC]]/Mecze[[#This Row],[CZAS]])</f>
        <v>0</v>
      </c>
      <c r="Q2134" s="32">
        <f>IF(Mecze[[#This Row],[OB]]=0,0,Mecze[[#This Row],[OB]]/Mecze[[#This Row],[CZAS]])</f>
        <v>0</v>
      </c>
      <c r="R2134" s="32">
        <f>IF(Mecze[[#This Row],[BR]]=0,0,Mecze[[#This Row],[BR]]/Mecze[[#This Row],[CZAS]])</f>
        <v>0</v>
      </c>
      <c r="S2134" s="44">
        <f>IF(Mecze[[#This Row],[Role]]="BR",SUMPRODUCT(Mecze[[#This Row],[/PR:90]:[/BR:90]],Brudnopis!$E$23:$J$23),0)</f>
        <v>0</v>
      </c>
      <c r="T2134" s="44">
        <f>IF(Mecze[[#This Row],[Role]]&lt;&gt;"BR",SUMPRODUCT(Mecze[[#This Row],[/PR:90]:[/BR:90]],Brudnopis!$E$24:$J$24),0)</f>
        <v>3.5714285714285712E-2</v>
      </c>
      <c r="U2134" s="44">
        <f>IF(Mecze[[#This Row],[Role]]&lt;&gt;"BR",SUMPRODUCT(Mecze[[#This Row],[/PR:90]:[/BR:90]],Brudnopis!$E$25:$J$25),0)</f>
        <v>3.5714285714285712E-2</v>
      </c>
      <c r="V2134" s="44">
        <f>IF(Mecze[[#This Row],[Role]]&lt;&gt;"BR",SUMPRODUCT(Mecze[[#This Row],[/PR:90]:[/BR:90]],Brudnopis!$E$26:$J$26),0)</f>
        <v>3.0612244897959183E-2</v>
      </c>
      <c r="W2134" s="44">
        <f>IF(Mecze[[#This Row],[Role]]&lt;&gt;"BR",SUMPRODUCT(Mecze[[#This Row],[/PR:90]:[/BR:90]],Brudnopis!$E$27:$J$27),0)</f>
        <v>3.0612244897959183E-2</v>
      </c>
      <c r="X2134" s="44">
        <f>IF(Mecze[[#This Row],[Role]]&lt;&gt;"BR",SUMPRODUCT(Mecze[[#This Row],[/PR:90]:[/BR:90]],Brudnopis!$E$28:$J$28),0)</f>
        <v>1.020408163265306E-2</v>
      </c>
      <c r="Y2134" s="35">
        <f>IF(Mecze[[#This Row],[Role]]="BR",Mecze[[#This Row],[/OB:90]]+Mecze[[#This Row],[/PC:90]],SUM(Mecze[[#This Row],[/PR:90]:[/BR:90]]))</f>
        <v>3.0612244897959183E-2</v>
      </c>
      <c r="Z2134" s="35">
        <f>IF(Mecze[[#This Row],[KC]]=0,SUM(Mecze[[#This Row],[/BRI]:[/NPI]]),SUM(Mecze[[#This Row],[/BRI]:[/NPI]])*0.6)</f>
        <v>0.14285714285714288</v>
      </c>
      <c r="AA2134" s="10">
        <f>IFERROR(Mecze[[#This Row],[BR]]/Mecze[[#This Row],[ST]],0)</f>
        <v>0</v>
      </c>
      <c r="AB2134">
        <f>ROUND(Mecze[[#This Row],[PD]]*Mecze[[#This Row],[%PC]],0)</f>
        <v>1</v>
      </c>
      <c r="AC2134">
        <f>ROUND(Mecze[[#This Row],[OD]]*Mecze[[#This Row],[%OU]],0)</f>
        <v>1</v>
      </c>
      <c r="AD2134" s="36" t="s">
        <v>174</v>
      </c>
      <c r="AE2134" s="36">
        <v>120</v>
      </c>
      <c r="AF2134" s="71">
        <v>-1.54</v>
      </c>
      <c r="AG2134" s="37">
        <v>0</v>
      </c>
      <c r="AH2134" s="37">
        <v>0</v>
      </c>
      <c r="AI2134" s="37">
        <v>98</v>
      </c>
      <c r="AJ2134" s="37">
        <v>2</v>
      </c>
      <c r="AK2134" s="37" t="str">
        <f>VLOOKUP(Mecze[[#This Row],[Match ID]],Meczusie[Mecz]:Meczusie[RodzajMeczu],2,FALSE)</f>
        <v>Liga</v>
      </c>
    </row>
    <row r="2135" spans="1:37" x14ac:dyDescent="0.25">
      <c r="A2135" s="76">
        <v>48</v>
      </c>
      <c r="B2135" s="3" t="s">
        <v>486</v>
      </c>
      <c r="C2135" s="2" t="s">
        <v>157</v>
      </c>
      <c r="D2135" s="1">
        <v>0</v>
      </c>
      <c r="E2135" s="1">
        <v>0</v>
      </c>
      <c r="F2135" s="1">
        <v>0</v>
      </c>
      <c r="G2135" s="1">
        <v>7</v>
      </c>
      <c r="H2135" s="4">
        <v>0.14000000000000001</v>
      </c>
      <c r="I2135" s="1">
        <v>2</v>
      </c>
      <c r="J2135" s="4">
        <v>0</v>
      </c>
      <c r="K2135" s="1">
        <v>0</v>
      </c>
      <c r="L2135" s="1">
        <v>3</v>
      </c>
      <c r="M2135" s="32">
        <f>IF(Mecze[[#This Row],[PR]]=0,0,Mecze[[#This Row],[PR]]/Mecze[[#This Row],[CZAS]])</f>
        <v>3.0612244897959183E-2</v>
      </c>
      <c r="N2135" s="32">
        <f>IF(Mecze[[#This Row],[OU]]=0,0,Mecze[[#This Row],[OU]]/Mecze[[#This Row],[CZAS]])</f>
        <v>0</v>
      </c>
      <c r="O2135" s="32">
        <f>IF(Mecze[[#This Row],[PC]]=0,0,Mecze[[#This Row],[PC]]/Mecze[[#This Row],[CZAS]])</f>
        <v>1.020408163265306E-2</v>
      </c>
      <c r="P2135" s="32">
        <f>IF(Mecze[[#This Row],[SC]]=0,0,Mecze[[#This Row],[SC]]/Mecze[[#This Row],[CZAS]])</f>
        <v>0</v>
      </c>
      <c r="Q2135" s="32">
        <f>IF(Mecze[[#This Row],[OB]]=0,0,Mecze[[#This Row],[OB]]/Mecze[[#This Row],[CZAS]])</f>
        <v>0</v>
      </c>
      <c r="R2135" s="32">
        <f>IF(Mecze[[#This Row],[BR]]=0,0,Mecze[[#This Row],[BR]]/Mecze[[#This Row],[CZAS]])</f>
        <v>0</v>
      </c>
      <c r="S2135" s="44">
        <f>IF(Mecze[[#This Row],[Role]]="BR",SUMPRODUCT(Mecze[[#This Row],[/PR:90]:[/BR:90]],Brudnopis!$E$23:$J$23),0)</f>
        <v>0</v>
      </c>
      <c r="T2135" s="44">
        <f>IF(Mecze[[#This Row],[Role]]&lt;&gt;"BR",SUMPRODUCT(Mecze[[#This Row],[/PR:90]:[/BR:90]],Brudnopis!$E$24:$J$24),0)</f>
        <v>4.0816326530612242E-2</v>
      </c>
      <c r="U2135" s="44">
        <f>IF(Mecze[[#This Row],[Role]]&lt;&gt;"BR",SUMPRODUCT(Mecze[[#This Row],[/PR:90]:[/BR:90]],Brudnopis!$E$25:$J$25),0)</f>
        <v>4.5918367346938771E-2</v>
      </c>
      <c r="V2135" s="44">
        <f>IF(Mecze[[#This Row],[Role]]&lt;&gt;"BR",SUMPRODUCT(Mecze[[#This Row],[/PR:90]:[/BR:90]],Brudnopis!$E$26:$J$26),0)</f>
        <v>4.0816326530612242E-2</v>
      </c>
      <c r="W2135" s="44">
        <f>IF(Mecze[[#This Row],[Role]]&lt;&gt;"BR",SUMPRODUCT(Mecze[[#This Row],[/PR:90]:[/BR:90]],Brudnopis!$E$27:$J$27),0)</f>
        <v>3.826530612244898E-2</v>
      </c>
      <c r="X2135" s="44">
        <f>IF(Mecze[[#This Row],[Role]]&lt;&gt;"BR",SUMPRODUCT(Mecze[[#This Row],[/PR:90]:[/BR:90]],Brudnopis!$E$28:$J$28),0)</f>
        <v>1.020408163265306E-2</v>
      </c>
      <c r="Y2135" s="35">
        <f>IF(Mecze[[#This Row],[Role]]="BR",Mecze[[#This Row],[/OB:90]]+Mecze[[#This Row],[/PC:90]],SUM(Mecze[[#This Row],[/PR:90]:[/BR:90]]))</f>
        <v>4.0816326530612242E-2</v>
      </c>
      <c r="Z2135" s="35">
        <f>IF(Mecze[[#This Row],[KC]]=0,SUM(Mecze[[#This Row],[/BRI]:[/NPI]]),SUM(Mecze[[#This Row],[/BRI]:[/NPI]])*0.6)</f>
        <v>0.17602040816326531</v>
      </c>
      <c r="AA2135" s="10">
        <f>IFERROR(Mecze[[#This Row],[BR]]/Mecze[[#This Row],[ST]],0)</f>
        <v>0</v>
      </c>
      <c r="AB2135">
        <f>ROUND(Mecze[[#This Row],[PD]]*Mecze[[#This Row],[%PC]],0)</f>
        <v>1</v>
      </c>
      <c r="AC2135">
        <f>ROUND(Mecze[[#This Row],[OD]]*Mecze[[#This Row],[%OU]],0)</f>
        <v>0</v>
      </c>
      <c r="AD2135" s="36" t="s">
        <v>47</v>
      </c>
      <c r="AE2135" s="36">
        <v>120</v>
      </c>
      <c r="AF2135" s="71">
        <v>-1.1200000000000001</v>
      </c>
      <c r="AG2135" s="37">
        <v>0</v>
      </c>
      <c r="AH2135" s="37">
        <v>0</v>
      </c>
      <c r="AI2135" s="37">
        <v>98</v>
      </c>
      <c r="AJ2135" s="37">
        <v>2</v>
      </c>
      <c r="AK2135" s="37" t="str">
        <f>VLOOKUP(Mecze[[#This Row],[Match ID]],Meczusie[Mecz]:Meczusie[RodzajMeczu],2,FALSE)</f>
        <v>Liga</v>
      </c>
    </row>
    <row r="2136" spans="1:37" x14ac:dyDescent="0.25">
      <c r="A2136" s="76">
        <v>10</v>
      </c>
      <c r="B2136" s="3" t="s">
        <v>230</v>
      </c>
      <c r="C2136" s="2" t="s">
        <v>157</v>
      </c>
      <c r="D2136" s="1">
        <v>0</v>
      </c>
      <c r="E2136" s="1">
        <v>0</v>
      </c>
      <c r="F2136" s="1">
        <v>0</v>
      </c>
      <c r="G2136" s="1">
        <v>1</v>
      </c>
      <c r="H2136" s="4">
        <v>1</v>
      </c>
      <c r="I2136" s="1">
        <v>3</v>
      </c>
      <c r="J2136" s="4">
        <v>0</v>
      </c>
      <c r="K2136" s="1">
        <v>0</v>
      </c>
      <c r="L2136" s="1">
        <v>2</v>
      </c>
      <c r="M2136" s="32">
        <f>IF(Mecze[[#This Row],[PR]]=0,0,Mecze[[#This Row],[PR]]/Mecze[[#This Row],[CZAS]])</f>
        <v>2.0408163265306121E-2</v>
      </c>
      <c r="N2136" s="32">
        <f>IF(Mecze[[#This Row],[OU]]=0,0,Mecze[[#This Row],[OU]]/Mecze[[#This Row],[CZAS]])</f>
        <v>0</v>
      </c>
      <c r="O2136" s="32">
        <f>IF(Mecze[[#This Row],[PC]]=0,0,Mecze[[#This Row],[PC]]/Mecze[[#This Row],[CZAS]])</f>
        <v>1.020408163265306E-2</v>
      </c>
      <c r="P2136" s="32">
        <f>IF(Mecze[[#This Row],[SC]]=0,0,Mecze[[#This Row],[SC]]/Mecze[[#This Row],[CZAS]])</f>
        <v>0</v>
      </c>
      <c r="Q2136" s="32">
        <f>IF(Mecze[[#This Row],[OB]]=0,0,Mecze[[#This Row],[OB]]/Mecze[[#This Row],[CZAS]])</f>
        <v>0</v>
      </c>
      <c r="R2136" s="32">
        <f>IF(Mecze[[#This Row],[BR]]=0,0,Mecze[[#This Row],[BR]]/Mecze[[#This Row],[CZAS]])</f>
        <v>0</v>
      </c>
      <c r="S2136" s="44">
        <f>IF(Mecze[[#This Row],[Role]]="BR",SUMPRODUCT(Mecze[[#This Row],[/PR:90]:[/BR:90]],Brudnopis!$E$23:$J$23),0)</f>
        <v>0</v>
      </c>
      <c r="T2136" s="44">
        <f>IF(Mecze[[#This Row],[Role]]&lt;&gt;"BR",SUMPRODUCT(Mecze[[#This Row],[/PR:90]:[/BR:90]],Brudnopis!$E$24:$J$24),0)</f>
        <v>3.0612244897959183E-2</v>
      </c>
      <c r="U2136" s="44">
        <f>IF(Mecze[[#This Row],[Role]]&lt;&gt;"BR",SUMPRODUCT(Mecze[[#This Row],[/PR:90]:[/BR:90]],Brudnopis!$E$25:$J$25),0)</f>
        <v>3.5714285714285712E-2</v>
      </c>
      <c r="V2136" s="44">
        <f>IF(Mecze[[#This Row],[Role]]&lt;&gt;"BR",SUMPRODUCT(Mecze[[#This Row],[/PR:90]:[/BR:90]],Brudnopis!$E$26:$J$26),0)</f>
        <v>3.0612244897959183E-2</v>
      </c>
      <c r="W2136" s="44">
        <f>IF(Mecze[[#This Row],[Role]]&lt;&gt;"BR",SUMPRODUCT(Mecze[[#This Row],[/PR:90]:[/BR:90]],Brudnopis!$E$27:$J$27),0)</f>
        <v>3.0612244897959183E-2</v>
      </c>
      <c r="X2136" s="44">
        <f>IF(Mecze[[#This Row],[Role]]&lt;&gt;"BR",SUMPRODUCT(Mecze[[#This Row],[/PR:90]:[/BR:90]],Brudnopis!$E$28:$J$28),0)</f>
        <v>1.020408163265306E-2</v>
      </c>
      <c r="Y2136" s="35">
        <f>IF(Mecze[[#This Row],[Role]]="BR",Mecze[[#This Row],[/OB:90]]+Mecze[[#This Row],[/PC:90]],SUM(Mecze[[#This Row],[/PR:90]:[/BR:90]]))</f>
        <v>3.0612244897959183E-2</v>
      </c>
      <c r="Z2136" s="35">
        <f>IF(Mecze[[#This Row],[KC]]=0,SUM(Mecze[[#This Row],[/BRI]:[/NPI]]),SUM(Mecze[[#This Row],[/BRI]:[/NPI]])*0.6)</f>
        <v>0.13775510204081634</v>
      </c>
      <c r="AA2136" s="10">
        <f>IFERROR(Mecze[[#This Row],[BR]]/Mecze[[#This Row],[ST]],0)</f>
        <v>0</v>
      </c>
      <c r="AB2136">
        <f>ROUND(Mecze[[#This Row],[PD]]*Mecze[[#This Row],[%PC]],0)</f>
        <v>1</v>
      </c>
      <c r="AC2136">
        <f>ROUND(Mecze[[#This Row],[OD]]*Mecze[[#This Row],[%OU]],0)</f>
        <v>0</v>
      </c>
      <c r="AD2136" s="36" t="s">
        <v>175</v>
      </c>
      <c r="AE2136" s="36">
        <v>120</v>
      </c>
      <c r="AF2136" s="71">
        <v>-1.33</v>
      </c>
      <c r="AG2136" s="37">
        <v>0</v>
      </c>
      <c r="AH2136" s="37">
        <v>0</v>
      </c>
      <c r="AI2136" s="37">
        <v>98</v>
      </c>
      <c r="AJ2136" s="37">
        <v>2</v>
      </c>
      <c r="AK2136" s="37" t="str">
        <f>VLOOKUP(Mecze[[#This Row],[Match ID]],Meczusie[Mecz]:Meczusie[RodzajMeczu],2,FALSE)</f>
        <v>Liga</v>
      </c>
    </row>
    <row r="2137" spans="1:37" x14ac:dyDescent="0.25">
      <c r="A2137" s="76">
        <v>33</v>
      </c>
      <c r="B2137" s="3" t="s">
        <v>487</v>
      </c>
      <c r="C2137" s="2" t="s">
        <v>157</v>
      </c>
      <c r="D2137" s="1">
        <v>0</v>
      </c>
      <c r="E2137" s="1">
        <v>0</v>
      </c>
      <c r="F2137" s="1">
        <v>0</v>
      </c>
      <c r="G2137" s="1">
        <v>11</v>
      </c>
      <c r="H2137" s="4">
        <v>0.18</v>
      </c>
      <c r="I2137" s="1">
        <v>4</v>
      </c>
      <c r="J2137" s="4">
        <v>0</v>
      </c>
      <c r="K2137" s="1">
        <v>0</v>
      </c>
      <c r="L2137" s="1">
        <v>4</v>
      </c>
      <c r="M2137" s="32">
        <f>IF(Mecze[[#This Row],[PR]]=0,0,Mecze[[#This Row],[PR]]/Mecze[[#This Row],[CZAS]])</f>
        <v>4.0816326530612242E-2</v>
      </c>
      <c r="N2137" s="32">
        <f>IF(Mecze[[#This Row],[OU]]=0,0,Mecze[[#This Row],[OU]]/Mecze[[#This Row],[CZAS]])</f>
        <v>0</v>
      </c>
      <c r="O2137" s="32">
        <f>IF(Mecze[[#This Row],[PC]]=0,0,Mecze[[#This Row],[PC]]/Mecze[[#This Row],[CZAS]])</f>
        <v>2.0408163265306121E-2</v>
      </c>
      <c r="P2137" s="32">
        <f>IF(Mecze[[#This Row],[SC]]=0,0,Mecze[[#This Row],[SC]]/Mecze[[#This Row],[CZAS]])</f>
        <v>0</v>
      </c>
      <c r="Q2137" s="32">
        <f>IF(Mecze[[#This Row],[OB]]=0,0,Mecze[[#This Row],[OB]]/Mecze[[#This Row],[CZAS]])</f>
        <v>0</v>
      </c>
      <c r="R2137" s="32">
        <f>IF(Mecze[[#This Row],[BR]]=0,0,Mecze[[#This Row],[BR]]/Mecze[[#This Row],[CZAS]])</f>
        <v>0</v>
      </c>
      <c r="S2137" s="44">
        <f>IF(Mecze[[#This Row],[Role]]="BR",SUMPRODUCT(Mecze[[#This Row],[/PR:90]:[/BR:90]],Brudnopis!$E$23:$J$23),0)</f>
        <v>0</v>
      </c>
      <c r="T2137" s="44">
        <f>IF(Mecze[[#This Row],[Role]]&lt;&gt;"BR",SUMPRODUCT(Mecze[[#This Row],[/PR:90]:[/BR:90]],Brudnopis!$E$24:$J$24),0)</f>
        <v>6.1224489795918366E-2</v>
      </c>
      <c r="U2137" s="44">
        <f>IF(Mecze[[#This Row],[Role]]&lt;&gt;"BR",SUMPRODUCT(Mecze[[#This Row],[/PR:90]:[/BR:90]],Brudnopis!$E$25:$J$25),0)</f>
        <v>7.1428571428571425E-2</v>
      </c>
      <c r="V2137" s="44">
        <f>IF(Mecze[[#This Row],[Role]]&lt;&gt;"BR",SUMPRODUCT(Mecze[[#This Row],[/PR:90]:[/BR:90]],Brudnopis!$E$26:$J$26),0)</f>
        <v>6.1224489795918366E-2</v>
      </c>
      <c r="W2137" s="44">
        <f>IF(Mecze[[#This Row],[Role]]&lt;&gt;"BR",SUMPRODUCT(Mecze[[#This Row],[/PR:90]:[/BR:90]],Brudnopis!$E$27:$J$27),0)</f>
        <v>6.1224489795918366E-2</v>
      </c>
      <c r="X2137" s="44">
        <f>IF(Mecze[[#This Row],[Role]]&lt;&gt;"BR",SUMPRODUCT(Mecze[[#This Row],[/PR:90]:[/BR:90]],Brudnopis!$E$28:$J$28),0)</f>
        <v>2.0408163265306121E-2</v>
      </c>
      <c r="Y2137" s="35">
        <f>IF(Mecze[[#This Row],[Role]]="BR",Mecze[[#This Row],[/OB:90]]+Mecze[[#This Row],[/PC:90]],SUM(Mecze[[#This Row],[/PR:90]:[/BR:90]]))</f>
        <v>6.1224489795918366E-2</v>
      </c>
      <c r="Z2137" s="35">
        <f>IF(Mecze[[#This Row],[KC]]=0,SUM(Mecze[[#This Row],[/BRI]:[/NPI]]),SUM(Mecze[[#This Row],[/BRI]:[/NPI]])*0.6)</f>
        <v>0.27551020408163268</v>
      </c>
      <c r="AA2137" s="10">
        <f>IFERROR(Mecze[[#This Row],[BR]]/Mecze[[#This Row],[ST]],0)</f>
        <v>0</v>
      </c>
      <c r="AB2137">
        <f>ROUND(Mecze[[#This Row],[PD]]*Mecze[[#This Row],[%PC]],0)</f>
        <v>2</v>
      </c>
      <c r="AC2137">
        <f>ROUND(Mecze[[#This Row],[OD]]*Mecze[[#This Row],[%OU]],0)</f>
        <v>0</v>
      </c>
      <c r="AD2137" s="36" t="s">
        <v>47</v>
      </c>
      <c r="AE2137" s="36">
        <v>120</v>
      </c>
      <c r="AF2137" s="71">
        <v>-0.91</v>
      </c>
      <c r="AG2137" s="37">
        <v>0</v>
      </c>
      <c r="AH2137" s="37">
        <v>0</v>
      </c>
      <c r="AI2137" s="37">
        <v>98</v>
      </c>
      <c r="AJ2137" s="37">
        <v>2</v>
      </c>
      <c r="AK2137" s="37" t="str">
        <f>VLOOKUP(Mecze[[#This Row],[Match ID]],Meczusie[Mecz]:Meczusie[RodzajMeczu],2,FALSE)</f>
        <v>Liga</v>
      </c>
    </row>
    <row r="2138" spans="1:37" x14ac:dyDescent="0.25">
      <c r="A2138" s="76">
        <v>72</v>
      </c>
      <c r="B2138" s="3" t="s">
        <v>488</v>
      </c>
      <c r="C2138" s="2" t="s">
        <v>160</v>
      </c>
      <c r="D2138" s="1">
        <v>0</v>
      </c>
      <c r="E2138" s="1">
        <v>0</v>
      </c>
      <c r="F2138" s="1">
        <v>0</v>
      </c>
      <c r="G2138" s="1">
        <v>0</v>
      </c>
      <c r="H2138" s="72"/>
      <c r="I2138" s="1">
        <v>0</v>
      </c>
      <c r="J2138" s="4"/>
      <c r="K2138" s="1">
        <v>0</v>
      </c>
      <c r="L2138" s="1">
        <v>0</v>
      </c>
      <c r="M2138" s="32">
        <f>IF(Mecze[[#This Row],[PR]]=0,0,Mecze[[#This Row],[PR]]/Mecze[[#This Row],[CZAS]])</f>
        <v>0</v>
      </c>
      <c r="N2138" s="32">
        <f>IF(Mecze[[#This Row],[OU]]=0,0,Mecze[[#This Row],[OU]]/Mecze[[#This Row],[CZAS]])</f>
        <v>0</v>
      </c>
      <c r="O2138" s="32">
        <f>IF(Mecze[[#This Row],[PC]]=0,0,Mecze[[#This Row],[PC]]/Mecze[[#This Row],[CZAS]])</f>
        <v>0</v>
      </c>
      <c r="P2138" s="32">
        <f>IF(Mecze[[#This Row],[SC]]=0,0,Mecze[[#This Row],[SC]]/Mecze[[#This Row],[CZAS]])</f>
        <v>0</v>
      </c>
      <c r="Q2138" s="32">
        <f>IF(Mecze[[#This Row],[OB]]=0,0,Mecze[[#This Row],[OB]]/Mecze[[#This Row],[CZAS]])</f>
        <v>0</v>
      </c>
      <c r="R2138" s="32">
        <f>IF(Mecze[[#This Row],[BR]]=0,0,Mecze[[#This Row],[BR]]/Mecze[[#This Row],[CZAS]])</f>
        <v>0</v>
      </c>
      <c r="S2138" s="44">
        <f>IF(Mecze[[#This Row],[Role]]="BR",SUMPRODUCT(Mecze[[#This Row],[/PR:90]:[/BR:90]],Brudnopis!$E$23:$J$23),0)</f>
        <v>0</v>
      </c>
      <c r="T2138" s="44">
        <f>IF(Mecze[[#This Row],[Role]]&lt;&gt;"BR",SUMPRODUCT(Mecze[[#This Row],[/PR:90]:[/BR:90]],Brudnopis!$E$24:$J$24),0)</f>
        <v>0</v>
      </c>
      <c r="U2138" s="44">
        <f>IF(Mecze[[#This Row],[Role]]&lt;&gt;"BR",SUMPRODUCT(Mecze[[#This Row],[/PR:90]:[/BR:90]],Brudnopis!$E$25:$J$25),0)</f>
        <v>0</v>
      </c>
      <c r="V2138" s="44">
        <f>IF(Mecze[[#This Row],[Role]]&lt;&gt;"BR",SUMPRODUCT(Mecze[[#This Row],[/PR:90]:[/BR:90]],Brudnopis!$E$26:$J$26),0)</f>
        <v>0</v>
      </c>
      <c r="W2138" s="44">
        <f>IF(Mecze[[#This Row],[Role]]&lt;&gt;"BR",SUMPRODUCT(Mecze[[#This Row],[/PR:90]:[/BR:90]],Brudnopis!$E$27:$J$27),0)</f>
        <v>0</v>
      </c>
      <c r="X2138" s="44">
        <f>IF(Mecze[[#This Row],[Role]]&lt;&gt;"BR",SUMPRODUCT(Mecze[[#This Row],[/PR:90]:[/BR:90]],Brudnopis!$E$28:$J$28),0)</f>
        <v>0</v>
      </c>
      <c r="Y2138" s="35">
        <f>IF(Mecze[[#This Row],[Role]]="BR",Mecze[[#This Row],[/OB:90]]+Mecze[[#This Row],[/PC:90]],SUM(Mecze[[#This Row],[/PR:90]:[/BR:90]]))</f>
        <v>0</v>
      </c>
      <c r="Z2138" s="35">
        <f>IF(Mecze[[#This Row],[KC]]=0,SUM(Mecze[[#This Row],[/BRI]:[/NPI]]),SUM(Mecze[[#This Row],[/BRI]:[/NPI]])*0.6)</f>
        <v>0</v>
      </c>
      <c r="AA2138" s="10">
        <f>IFERROR(Mecze[[#This Row],[BR]]/Mecze[[#This Row],[ST]],0)</f>
        <v>0</v>
      </c>
      <c r="AB2138">
        <f>ROUND(Mecze[[#This Row],[PD]]*Mecze[[#This Row],[%PC]],0)</f>
        <v>0</v>
      </c>
      <c r="AC2138">
        <f>ROUND(Mecze[[#This Row],[OD]]*Mecze[[#This Row],[%OU]],0)</f>
        <v>0</v>
      </c>
      <c r="AD2138" s="36" t="s">
        <v>319</v>
      </c>
      <c r="AE2138" s="36">
        <v>120</v>
      </c>
      <c r="AF2138" s="71">
        <v>2.7</v>
      </c>
      <c r="AG2138" s="37">
        <v>0</v>
      </c>
      <c r="AH2138" s="37">
        <v>0</v>
      </c>
      <c r="AI2138" s="37">
        <v>98</v>
      </c>
      <c r="AJ2138" s="37">
        <v>2</v>
      </c>
      <c r="AK2138" s="37" t="str">
        <f>VLOOKUP(Mecze[[#This Row],[Match ID]],Meczusie[Mecz]:Meczusie[RodzajMeczu],2,FALSE)</f>
        <v>Liga</v>
      </c>
    </row>
    <row r="2139" spans="1:37" x14ac:dyDescent="0.25">
      <c r="A2139" s="76">
        <v>71</v>
      </c>
      <c r="B2139" s="3" t="s">
        <v>489</v>
      </c>
      <c r="C2139" s="2" t="s">
        <v>160</v>
      </c>
      <c r="D2139" s="1">
        <v>0</v>
      </c>
      <c r="E2139" s="1">
        <v>0</v>
      </c>
      <c r="F2139" s="1">
        <v>0</v>
      </c>
      <c r="G2139" s="1">
        <v>11</v>
      </c>
      <c r="H2139" s="4">
        <v>0.36</v>
      </c>
      <c r="I2139" s="1">
        <v>10</v>
      </c>
      <c r="J2139" s="4">
        <v>0.1</v>
      </c>
      <c r="K2139" s="1">
        <v>0</v>
      </c>
      <c r="L2139" s="1">
        <v>1</v>
      </c>
      <c r="M2139" s="32">
        <f>IF(Mecze[[#This Row],[PR]]=0,0,Mecze[[#This Row],[PR]]/Mecze[[#This Row],[CZAS]])</f>
        <v>1.020408163265306E-2</v>
      </c>
      <c r="N2139" s="32">
        <f>IF(Mecze[[#This Row],[OU]]=0,0,Mecze[[#This Row],[OU]]/Mecze[[#This Row],[CZAS]])</f>
        <v>1.020408163265306E-2</v>
      </c>
      <c r="O2139" s="32">
        <f>IF(Mecze[[#This Row],[PC]]=0,0,Mecze[[#This Row],[PC]]/Mecze[[#This Row],[CZAS]])</f>
        <v>4.0816326530612242E-2</v>
      </c>
      <c r="P2139" s="32">
        <f>IF(Mecze[[#This Row],[SC]]=0,0,Mecze[[#This Row],[SC]]/Mecze[[#This Row],[CZAS]])</f>
        <v>0</v>
      </c>
      <c r="Q2139" s="32">
        <f>IF(Mecze[[#This Row],[OB]]=0,0,Mecze[[#This Row],[OB]]/Mecze[[#This Row],[CZAS]])</f>
        <v>0</v>
      </c>
      <c r="R2139" s="32">
        <f>IF(Mecze[[#This Row],[BR]]=0,0,Mecze[[#This Row],[BR]]/Mecze[[#This Row],[CZAS]])</f>
        <v>0</v>
      </c>
      <c r="S2139" s="44">
        <f>IF(Mecze[[#This Row],[Role]]="BR",SUMPRODUCT(Mecze[[#This Row],[/PR:90]:[/BR:90]],Brudnopis!$E$23:$J$23),0)</f>
        <v>0</v>
      </c>
      <c r="T2139" s="44">
        <f>IF(Mecze[[#This Row],[Role]]&lt;&gt;"BR",SUMPRODUCT(Mecze[[#This Row],[/PR:90]:[/BR:90]],Brudnopis!$E$24:$J$24),0)</f>
        <v>6.6326530612244888E-2</v>
      </c>
      <c r="U2139" s="44">
        <f>IF(Mecze[[#This Row],[Role]]&lt;&gt;"BR",SUMPRODUCT(Mecze[[#This Row],[/PR:90]:[/BR:90]],Brudnopis!$E$25:$J$25),0)</f>
        <v>8.1632653061224483E-2</v>
      </c>
      <c r="V2139" s="44">
        <f>IF(Mecze[[#This Row],[Role]]&lt;&gt;"BR",SUMPRODUCT(Mecze[[#This Row],[/PR:90]:[/BR:90]],Brudnopis!$E$26:$J$26),0)</f>
        <v>6.1224489795918366E-2</v>
      </c>
      <c r="W2139" s="44">
        <f>IF(Mecze[[#This Row],[Role]]&lt;&gt;"BR",SUMPRODUCT(Mecze[[#This Row],[/PR:90]:[/BR:90]],Brudnopis!$E$27:$J$27),0)</f>
        <v>7.6530612244897961E-2</v>
      </c>
      <c r="X2139" s="44">
        <f>IF(Mecze[[#This Row],[Role]]&lt;&gt;"BR",SUMPRODUCT(Mecze[[#This Row],[/PR:90]:[/BR:90]],Brudnopis!$E$28:$J$28),0)</f>
        <v>4.0816326530612242E-2</v>
      </c>
      <c r="Y2139" s="35">
        <f>IF(Mecze[[#This Row],[Role]]="BR",Mecze[[#This Row],[/OB:90]]+Mecze[[#This Row],[/PC:90]],SUM(Mecze[[#This Row],[/PR:90]:[/BR:90]]))</f>
        <v>6.1224489795918366E-2</v>
      </c>
      <c r="Z2139" s="35">
        <f>IF(Mecze[[#This Row],[KC]]=0,SUM(Mecze[[#This Row],[/BRI]:[/NPI]]),SUM(Mecze[[#This Row],[/BRI]:[/NPI]])*0.6)</f>
        <v>0.32653061224489793</v>
      </c>
      <c r="AA2139" s="10">
        <f>IFERROR(Mecze[[#This Row],[BR]]/Mecze[[#This Row],[ST]],0)</f>
        <v>0</v>
      </c>
      <c r="AB2139">
        <f>ROUND(Mecze[[#This Row],[PD]]*Mecze[[#This Row],[%PC]],0)</f>
        <v>4</v>
      </c>
      <c r="AC2139">
        <f>ROUND(Mecze[[#This Row],[OD]]*Mecze[[#This Row],[%OU]],0)</f>
        <v>1</v>
      </c>
      <c r="AD2139" s="36" t="s">
        <v>67</v>
      </c>
      <c r="AE2139" s="36">
        <v>120</v>
      </c>
      <c r="AF2139" s="71">
        <v>1.8</v>
      </c>
      <c r="AG2139" s="37">
        <v>1</v>
      </c>
      <c r="AH2139" s="37">
        <v>0</v>
      </c>
      <c r="AI2139" s="37">
        <v>98</v>
      </c>
      <c r="AJ2139" s="37">
        <v>2</v>
      </c>
      <c r="AK2139" s="37" t="str">
        <f>VLOOKUP(Mecze[[#This Row],[Match ID]],Meczusie[Mecz]:Meczusie[RodzajMeczu],2,FALSE)</f>
        <v>Liga</v>
      </c>
    </row>
    <row r="2140" spans="1:37" x14ac:dyDescent="0.25">
      <c r="A2140" s="76">
        <v>66</v>
      </c>
      <c r="B2140" s="3" t="s">
        <v>490</v>
      </c>
      <c r="C2140" s="2" t="s">
        <v>160</v>
      </c>
      <c r="D2140" s="1">
        <v>0</v>
      </c>
      <c r="E2140" s="1">
        <v>0</v>
      </c>
      <c r="F2140" s="1">
        <v>0</v>
      </c>
      <c r="G2140" s="1">
        <v>3</v>
      </c>
      <c r="H2140" s="4">
        <v>0.33</v>
      </c>
      <c r="I2140" s="1">
        <v>1</v>
      </c>
      <c r="J2140" s="4">
        <v>1</v>
      </c>
      <c r="K2140" s="1">
        <v>0</v>
      </c>
      <c r="L2140" s="1">
        <v>0</v>
      </c>
      <c r="M2140" s="32">
        <f>IF(Mecze[[#This Row],[PR]]=0,0,Mecze[[#This Row],[PR]]/Mecze[[#This Row],[CZAS]])</f>
        <v>0</v>
      </c>
      <c r="N2140" s="32">
        <f>IF(Mecze[[#This Row],[OU]]=0,0,Mecze[[#This Row],[OU]]/Mecze[[#This Row],[CZAS]])</f>
        <v>1.020408163265306E-2</v>
      </c>
      <c r="O2140" s="32">
        <f>IF(Mecze[[#This Row],[PC]]=0,0,Mecze[[#This Row],[PC]]/Mecze[[#This Row],[CZAS]])</f>
        <v>1.020408163265306E-2</v>
      </c>
      <c r="P2140" s="32">
        <f>IF(Mecze[[#This Row],[SC]]=0,0,Mecze[[#This Row],[SC]]/Mecze[[#This Row],[CZAS]])</f>
        <v>0</v>
      </c>
      <c r="Q2140" s="32">
        <f>IF(Mecze[[#This Row],[OB]]=0,0,Mecze[[#This Row],[OB]]/Mecze[[#This Row],[CZAS]])</f>
        <v>0</v>
      </c>
      <c r="R2140" s="32">
        <f>IF(Mecze[[#This Row],[BR]]=0,0,Mecze[[#This Row],[BR]]/Mecze[[#This Row],[CZAS]])</f>
        <v>0</v>
      </c>
      <c r="S2140" s="44">
        <f>IF(Mecze[[#This Row],[Role]]="BR",SUMPRODUCT(Mecze[[#This Row],[/PR:90]:[/BR:90]],Brudnopis!$E$23:$J$23),0)</f>
        <v>0</v>
      </c>
      <c r="T2140" s="44">
        <f>IF(Mecze[[#This Row],[Role]]&lt;&gt;"BR",SUMPRODUCT(Mecze[[#This Row],[/PR:90]:[/BR:90]],Brudnopis!$E$24:$J$24),0)</f>
        <v>2.5510204081632654E-2</v>
      </c>
      <c r="U2140" s="44">
        <f>IF(Mecze[[#This Row],[Role]]&lt;&gt;"BR",SUMPRODUCT(Mecze[[#This Row],[/PR:90]:[/BR:90]],Brudnopis!$E$25:$J$25),0)</f>
        <v>2.5510204081632654E-2</v>
      </c>
      <c r="V2140" s="44">
        <f>IF(Mecze[[#This Row],[Role]]&lt;&gt;"BR",SUMPRODUCT(Mecze[[#This Row],[/PR:90]:[/BR:90]],Brudnopis!$E$26:$J$26),0)</f>
        <v>2.0408163265306121E-2</v>
      </c>
      <c r="W2140" s="44">
        <f>IF(Mecze[[#This Row],[Role]]&lt;&gt;"BR",SUMPRODUCT(Mecze[[#This Row],[/PR:90]:[/BR:90]],Brudnopis!$E$27:$J$27),0)</f>
        <v>2.2959183673469385E-2</v>
      </c>
      <c r="X2140" s="44">
        <f>IF(Mecze[[#This Row],[Role]]&lt;&gt;"BR",SUMPRODUCT(Mecze[[#This Row],[/PR:90]:[/BR:90]],Brudnopis!$E$28:$J$28),0)</f>
        <v>1.020408163265306E-2</v>
      </c>
      <c r="Y2140" s="35">
        <f>IF(Mecze[[#This Row],[Role]]="BR",Mecze[[#This Row],[/OB:90]]+Mecze[[#This Row],[/PC:90]],SUM(Mecze[[#This Row],[/PR:90]:[/BR:90]]))</f>
        <v>2.0408163265306121E-2</v>
      </c>
      <c r="Z2140" s="35">
        <f>IF(Mecze[[#This Row],[KC]]=0,SUM(Mecze[[#This Row],[/BRI]:[/NPI]]),SUM(Mecze[[#This Row],[/BRI]:[/NPI]])*0.6)</f>
        <v>0.10459183673469387</v>
      </c>
      <c r="AA2140" s="10">
        <f>IFERROR(Mecze[[#This Row],[BR]]/Mecze[[#This Row],[ST]],0)</f>
        <v>0</v>
      </c>
      <c r="AB2140">
        <f>ROUND(Mecze[[#This Row],[PD]]*Mecze[[#This Row],[%PC]],0)</f>
        <v>1</v>
      </c>
      <c r="AC2140">
        <f>ROUND(Mecze[[#This Row],[OD]]*Mecze[[#This Row],[%OU]],0)</f>
        <v>1</v>
      </c>
      <c r="AD2140" s="36" t="s">
        <v>318</v>
      </c>
      <c r="AE2140" s="36">
        <v>120</v>
      </c>
      <c r="AF2140" s="71">
        <v>2.7</v>
      </c>
      <c r="AG2140" s="37">
        <v>0</v>
      </c>
      <c r="AH2140" s="37">
        <v>0</v>
      </c>
      <c r="AI2140" s="37">
        <v>98</v>
      </c>
      <c r="AJ2140" s="37">
        <v>2</v>
      </c>
      <c r="AK2140" s="37" t="str">
        <f>VLOOKUP(Mecze[[#This Row],[Match ID]],Meczusie[Mecz]:Meczusie[RodzajMeczu],2,FALSE)</f>
        <v>Liga</v>
      </c>
    </row>
    <row r="2141" spans="1:37" x14ac:dyDescent="0.25">
      <c r="A2141" s="76">
        <v>68</v>
      </c>
      <c r="B2141" s="3" t="s">
        <v>491</v>
      </c>
      <c r="C2141" s="2" t="s">
        <v>160</v>
      </c>
      <c r="D2141" s="1">
        <v>0</v>
      </c>
      <c r="E2141" s="1">
        <v>0</v>
      </c>
      <c r="F2141" s="1">
        <v>0</v>
      </c>
      <c r="G2141" s="1">
        <v>8</v>
      </c>
      <c r="H2141" s="4">
        <v>0.38</v>
      </c>
      <c r="I2141" s="1">
        <v>5</v>
      </c>
      <c r="J2141" s="4">
        <v>0.6</v>
      </c>
      <c r="K2141" s="1">
        <v>0</v>
      </c>
      <c r="L2141" s="1">
        <v>0</v>
      </c>
      <c r="M2141" s="32">
        <f>IF(Mecze[[#This Row],[PR]]=0,0,Mecze[[#This Row],[PR]]/Mecze[[#This Row],[CZAS]])</f>
        <v>0</v>
      </c>
      <c r="N2141" s="32">
        <f>IF(Mecze[[#This Row],[OU]]=0,0,Mecze[[#This Row],[OU]]/Mecze[[#This Row],[CZAS]])</f>
        <v>3.0612244897959183E-2</v>
      </c>
      <c r="O2141" s="32">
        <f>IF(Mecze[[#This Row],[PC]]=0,0,Mecze[[#This Row],[PC]]/Mecze[[#This Row],[CZAS]])</f>
        <v>3.0612244897959183E-2</v>
      </c>
      <c r="P2141" s="32">
        <f>IF(Mecze[[#This Row],[SC]]=0,0,Mecze[[#This Row],[SC]]/Mecze[[#This Row],[CZAS]])</f>
        <v>0</v>
      </c>
      <c r="Q2141" s="32">
        <f>IF(Mecze[[#This Row],[OB]]=0,0,Mecze[[#This Row],[OB]]/Mecze[[#This Row],[CZAS]])</f>
        <v>0</v>
      </c>
      <c r="R2141" s="32">
        <f>IF(Mecze[[#This Row],[BR]]=0,0,Mecze[[#This Row],[BR]]/Mecze[[#This Row],[CZAS]])</f>
        <v>0</v>
      </c>
      <c r="S2141" s="44">
        <f>IF(Mecze[[#This Row],[Role]]="BR",SUMPRODUCT(Mecze[[#This Row],[/PR:90]:[/BR:90]],Brudnopis!$E$23:$J$23),0)</f>
        <v>0</v>
      </c>
      <c r="T2141" s="44">
        <f>IF(Mecze[[#This Row],[Role]]&lt;&gt;"BR",SUMPRODUCT(Mecze[[#This Row],[/PR:90]:[/BR:90]],Brudnopis!$E$24:$J$24),0)</f>
        <v>7.6530612244897961E-2</v>
      </c>
      <c r="U2141" s="44">
        <f>IF(Mecze[[#This Row],[Role]]&lt;&gt;"BR",SUMPRODUCT(Mecze[[#This Row],[/PR:90]:[/BR:90]],Brudnopis!$E$25:$J$25),0)</f>
        <v>7.6530612244897961E-2</v>
      </c>
      <c r="V2141" s="44">
        <f>IF(Mecze[[#This Row],[Role]]&lt;&gt;"BR",SUMPRODUCT(Mecze[[#This Row],[/PR:90]:[/BR:90]],Brudnopis!$E$26:$J$26),0)</f>
        <v>6.1224489795918366E-2</v>
      </c>
      <c r="W2141" s="44">
        <f>IF(Mecze[[#This Row],[Role]]&lt;&gt;"BR",SUMPRODUCT(Mecze[[#This Row],[/PR:90]:[/BR:90]],Brudnopis!$E$27:$J$27),0)</f>
        <v>6.8877551020408156E-2</v>
      </c>
      <c r="X2141" s="44">
        <f>IF(Mecze[[#This Row],[Role]]&lt;&gt;"BR",SUMPRODUCT(Mecze[[#This Row],[/PR:90]:[/BR:90]],Brudnopis!$E$28:$J$28),0)</f>
        <v>3.0612244897959183E-2</v>
      </c>
      <c r="Y2141" s="35">
        <f>IF(Mecze[[#This Row],[Role]]="BR",Mecze[[#This Row],[/OB:90]]+Mecze[[#This Row],[/PC:90]],SUM(Mecze[[#This Row],[/PR:90]:[/BR:90]]))</f>
        <v>6.1224489795918366E-2</v>
      </c>
      <c r="Z2141" s="35">
        <f>IF(Mecze[[#This Row],[KC]]=0,SUM(Mecze[[#This Row],[/BRI]:[/NPI]]),SUM(Mecze[[#This Row],[/BRI]:[/NPI]])*0.6)</f>
        <v>0.31377551020408162</v>
      </c>
      <c r="AA2141" s="10">
        <f>IFERROR(Mecze[[#This Row],[BR]]/Mecze[[#This Row],[ST]],0)</f>
        <v>0</v>
      </c>
      <c r="AB2141">
        <f>ROUND(Mecze[[#This Row],[PD]]*Mecze[[#This Row],[%PC]],0)</f>
        <v>3</v>
      </c>
      <c r="AC2141">
        <f>ROUND(Mecze[[#This Row],[OD]]*Mecze[[#This Row],[%OU]],0)</f>
        <v>3</v>
      </c>
      <c r="AD2141" s="36" t="s">
        <v>67</v>
      </c>
      <c r="AE2141" s="36">
        <v>120</v>
      </c>
      <c r="AF2141" s="71">
        <v>2.7</v>
      </c>
      <c r="AG2141" s="37">
        <v>0</v>
      </c>
      <c r="AH2141" s="37">
        <v>0</v>
      </c>
      <c r="AI2141" s="37">
        <v>98</v>
      </c>
      <c r="AJ2141" s="37">
        <v>2</v>
      </c>
      <c r="AK2141" s="37" t="str">
        <f>VLOOKUP(Mecze[[#This Row],[Match ID]],Meczusie[Mecz]:Meczusie[RodzajMeczu],2,FALSE)</f>
        <v>Liga</v>
      </c>
    </row>
    <row r="2142" spans="1:37" x14ac:dyDescent="0.25">
      <c r="A2142" s="76">
        <v>46</v>
      </c>
      <c r="B2142" s="3" t="s">
        <v>492</v>
      </c>
      <c r="C2142" s="2" t="s">
        <v>165</v>
      </c>
      <c r="D2142" s="1">
        <v>0</v>
      </c>
      <c r="E2142" s="1">
        <v>1</v>
      </c>
      <c r="F2142" s="1">
        <v>1</v>
      </c>
      <c r="G2142" s="1">
        <v>6</v>
      </c>
      <c r="H2142" s="4">
        <v>0.67</v>
      </c>
      <c r="I2142" s="1">
        <v>2</v>
      </c>
      <c r="J2142" s="4">
        <v>0</v>
      </c>
      <c r="K2142" s="1">
        <v>0</v>
      </c>
      <c r="L2142" s="1">
        <v>0</v>
      </c>
      <c r="M2142" s="32">
        <f>IF(Mecze[[#This Row],[PR]]=0,0,Mecze[[#This Row],[PR]]/Mecze[[#This Row],[CZAS]])</f>
        <v>0</v>
      </c>
      <c r="N2142" s="32">
        <f>IF(Mecze[[#This Row],[OU]]=0,0,Mecze[[#This Row],[OU]]/Mecze[[#This Row],[CZAS]])</f>
        <v>0</v>
      </c>
      <c r="O2142" s="32">
        <f>IF(Mecze[[#This Row],[PC]]=0,0,Mecze[[#This Row],[PC]]/Mecze[[#This Row],[CZAS]])</f>
        <v>4.0816326530612242E-2</v>
      </c>
      <c r="P2142" s="32">
        <f>IF(Mecze[[#This Row],[SC]]=0,0,Mecze[[#This Row],[SC]]/Mecze[[#This Row],[CZAS]])</f>
        <v>1.020408163265306E-2</v>
      </c>
      <c r="Q2142" s="32">
        <f>IF(Mecze[[#This Row],[OB]]=0,0,Mecze[[#This Row],[OB]]/Mecze[[#This Row],[CZAS]])</f>
        <v>0</v>
      </c>
      <c r="R2142" s="32">
        <f>IF(Mecze[[#This Row],[BR]]=0,0,Mecze[[#This Row],[BR]]/Mecze[[#This Row],[CZAS]])</f>
        <v>0</v>
      </c>
      <c r="S2142" s="44">
        <f>IF(Mecze[[#This Row],[Role]]="BR",SUMPRODUCT(Mecze[[#This Row],[/PR:90]:[/BR:90]],Brudnopis!$E$23:$J$23),0)</f>
        <v>0</v>
      </c>
      <c r="T2142" s="44">
        <f>IF(Mecze[[#This Row],[Role]]&lt;&gt;"BR",SUMPRODUCT(Mecze[[#This Row],[/PR:90]:[/BR:90]],Brudnopis!$E$24:$J$24),0)</f>
        <v>5.10204081632653E-2</v>
      </c>
      <c r="U2142" s="44">
        <f>IF(Mecze[[#This Row],[Role]]&lt;&gt;"BR",SUMPRODUCT(Mecze[[#This Row],[/PR:90]:[/BR:90]],Brudnopis!$E$25:$J$25),0)</f>
        <v>7.1428571428571425E-2</v>
      </c>
      <c r="V2142" s="44">
        <f>IF(Mecze[[#This Row],[Role]]&lt;&gt;"BR",SUMPRODUCT(Mecze[[#This Row],[/PR:90]:[/BR:90]],Brudnopis!$E$26:$J$26),0)</f>
        <v>5.10204081632653E-2</v>
      </c>
      <c r="W2142" s="44">
        <f>IF(Mecze[[#This Row],[Role]]&lt;&gt;"BR",SUMPRODUCT(Mecze[[#This Row],[/PR:90]:[/BR:90]],Brudnopis!$E$27:$J$27),0)</f>
        <v>7.1428571428571425E-2</v>
      </c>
      <c r="X2142" s="44">
        <f>IF(Mecze[[#This Row],[Role]]&lt;&gt;"BR",SUMPRODUCT(Mecze[[#This Row],[/PR:90]:[/BR:90]],Brudnopis!$E$28:$J$28),0)</f>
        <v>6.1224489795918366E-2</v>
      </c>
      <c r="Y2142" s="35">
        <f>IF(Mecze[[#This Row],[Role]]="BR",Mecze[[#This Row],[/OB:90]]+Mecze[[#This Row],[/PC:90]],SUM(Mecze[[#This Row],[/PR:90]:[/BR:90]]))</f>
        <v>5.10204081632653E-2</v>
      </c>
      <c r="Z2142" s="35">
        <f>IF(Mecze[[#This Row],[KC]]=0,SUM(Mecze[[#This Row],[/BRI]:[/NPI]]),SUM(Mecze[[#This Row],[/BRI]:[/NPI]])*0.6)</f>
        <v>0.30612244897959184</v>
      </c>
      <c r="AA2142" s="10">
        <f>IFERROR(Mecze[[#This Row],[BR]]/Mecze[[#This Row],[ST]],0)</f>
        <v>0</v>
      </c>
      <c r="AB2142">
        <f>ROUND(Mecze[[#This Row],[PD]]*Mecze[[#This Row],[%PC]],0)</f>
        <v>4</v>
      </c>
      <c r="AC2142">
        <f>ROUND(Mecze[[#This Row],[OD]]*Mecze[[#This Row],[%OU]],0)</f>
        <v>0</v>
      </c>
      <c r="AD2142" s="36" t="s">
        <v>273</v>
      </c>
      <c r="AE2142" s="36">
        <v>120</v>
      </c>
      <c r="AF2142" s="71">
        <v>4.26</v>
      </c>
      <c r="AG2142" s="37">
        <v>0</v>
      </c>
      <c r="AH2142" s="37">
        <v>0</v>
      </c>
      <c r="AI2142" s="37">
        <v>98</v>
      </c>
      <c r="AJ2142" s="37">
        <v>2</v>
      </c>
      <c r="AK2142" s="37" t="str">
        <f>VLOOKUP(Mecze[[#This Row],[Match ID]],Meczusie[Mecz]:Meczusie[RodzajMeczu],2,FALSE)</f>
        <v>Liga</v>
      </c>
    </row>
    <row r="2143" spans="1:37" x14ac:dyDescent="0.25">
      <c r="A2143" s="76">
        <v>75</v>
      </c>
      <c r="B2143" s="3" t="s">
        <v>493</v>
      </c>
      <c r="C2143" s="2" t="s">
        <v>165</v>
      </c>
      <c r="D2143" s="1">
        <v>0</v>
      </c>
      <c r="E2143" s="1">
        <v>0</v>
      </c>
      <c r="F2143" s="1">
        <v>0</v>
      </c>
      <c r="G2143" s="1">
        <v>1</v>
      </c>
      <c r="H2143" s="4">
        <v>0</v>
      </c>
      <c r="I2143" s="1">
        <v>3</v>
      </c>
      <c r="J2143" s="4">
        <v>0.33</v>
      </c>
      <c r="K2143" s="1">
        <v>0</v>
      </c>
      <c r="L2143" s="1">
        <v>1</v>
      </c>
      <c r="M2143" s="32">
        <f>IF(Mecze[[#This Row],[PR]]=0,0,Mecze[[#This Row],[PR]]/Mecze[[#This Row],[CZAS]])</f>
        <v>1.020408163265306E-2</v>
      </c>
      <c r="N2143" s="32">
        <f>IF(Mecze[[#This Row],[OU]]=0,0,Mecze[[#This Row],[OU]]/Mecze[[#This Row],[CZAS]])</f>
        <v>1.020408163265306E-2</v>
      </c>
      <c r="O2143" s="32">
        <f>IF(Mecze[[#This Row],[PC]]=0,0,Mecze[[#This Row],[PC]]/Mecze[[#This Row],[CZAS]])</f>
        <v>0</v>
      </c>
      <c r="P2143" s="32">
        <f>IF(Mecze[[#This Row],[SC]]=0,0,Mecze[[#This Row],[SC]]/Mecze[[#This Row],[CZAS]])</f>
        <v>0</v>
      </c>
      <c r="Q2143" s="32">
        <f>IF(Mecze[[#This Row],[OB]]=0,0,Mecze[[#This Row],[OB]]/Mecze[[#This Row],[CZAS]])</f>
        <v>0</v>
      </c>
      <c r="R2143" s="32">
        <f>IF(Mecze[[#This Row],[BR]]=0,0,Mecze[[#This Row],[BR]]/Mecze[[#This Row],[CZAS]])</f>
        <v>0</v>
      </c>
      <c r="S2143" s="44">
        <f>IF(Mecze[[#This Row],[Role]]="BR",SUMPRODUCT(Mecze[[#This Row],[/PR:90]:[/BR:90]],Brudnopis!$E$23:$J$23),0)</f>
        <v>0</v>
      </c>
      <c r="T2143" s="44">
        <f>IF(Mecze[[#This Row],[Role]]&lt;&gt;"BR",SUMPRODUCT(Mecze[[#This Row],[/PR:90]:[/BR:90]],Brudnopis!$E$24:$J$24),0)</f>
        <v>2.5510204081632654E-2</v>
      </c>
      <c r="U2143" s="44">
        <f>IF(Mecze[[#This Row],[Role]]&lt;&gt;"BR",SUMPRODUCT(Mecze[[#This Row],[/PR:90]:[/BR:90]],Brudnopis!$E$25:$J$25),0)</f>
        <v>2.0408163265306121E-2</v>
      </c>
      <c r="V2143" s="44">
        <f>IF(Mecze[[#This Row],[Role]]&lt;&gt;"BR",SUMPRODUCT(Mecze[[#This Row],[/PR:90]:[/BR:90]],Brudnopis!$E$26:$J$26),0)</f>
        <v>2.0408163265306121E-2</v>
      </c>
      <c r="W2143" s="44">
        <f>IF(Mecze[[#This Row],[Role]]&lt;&gt;"BR",SUMPRODUCT(Mecze[[#This Row],[/PR:90]:[/BR:90]],Brudnopis!$E$27:$J$27),0)</f>
        <v>1.5306122448979591E-2</v>
      </c>
      <c r="X2143" s="44">
        <f>IF(Mecze[[#This Row],[Role]]&lt;&gt;"BR",SUMPRODUCT(Mecze[[#This Row],[/PR:90]:[/BR:90]],Brudnopis!$E$28:$J$28),0)</f>
        <v>0</v>
      </c>
      <c r="Y2143" s="35">
        <f>IF(Mecze[[#This Row],[Role]]="BR",Mecze[[#This Row],[/OB:90]]+Mecze[[#This Row],[/PC:90]],SUM(Mecze[[#This Row],[/PR:90]:[/BR:90]]))</f>
        <v>2.0408163265306121E-2</v>
      </c>
      <c r="Z2143" s="35">
        <f>IF(Mecze[[#This Row],[KC]]=0,SUM(Mecze[[#This Row],[/BRI]:[/NPI]]),SUM(Mecze[[#This Row],[/BRI]:[/NPI]])*0.6)</f>
        <v>8.1632653061224483E-2</v>
      </c>
      <c r="AA2143" s="10">
        <f>IFERROR(Mecze[[#This Row],[BR]]/Mecze[[#This Row],[ST]],0)</f>
        <v>0</v>
      </c>
      <c r="AB2143">
        <f>ROUND(Mecze[[#This Row],[PD]]*Mecze[[#This Row],[%PC]],0)</f>
        <v>0</v>
      </c>
      <c r="AC2143">
        <f>ROUND(Mecze[[#This Row],[OD]]*Mecze[[#This Row],[%OU]],0)</f>
        <v>1</v>
      </c>
      <c r="AD2143" s="36" t="s">
        <v>272</v>
      </c>
      <c r="AE2143" s="36">
        <v>120</v>
      </c>
      <c r="AF2143" s="71">
        <v>2.71</v>
      </c>
      <c r="AG2143" s="37">
        <v>0</v>
      </c>
      <c r="AH2143" s="37">
        <v>0</v>
      </c>
      <c r="AI2143" s="37">
        <v>98</v>
      </c>
      <c r="AJ2143" s="37">
        <v>2</v>
      </c>
      <c r="AK2143" s="37" t="str">
        <f>VLOOKUP(Mecze[[#This Row],[Match ID]],Meczusie[Mecz]:Meczusie[RodzajMeczu],2,FALSE)</f>
        <v>Liga</v>
      </c>
    </row>
    <row r="2144" spans="1:37" x14ac:dyDescent="0.25">
      <c r="A2144" s="76">
        <v>1</v>
      </c>
      <c r="B2144" s="3" t="s">
        <v>288</v>
      </c>
      <c r="C2144" s="2" t="s">
        <v>155</v>
      </c>
      <c r="D2144" s="1">
        <v>0</v>
      </c>
      <c r="E2144" s="1">
        <v>0</v>
      </c>
      <c r="F2144" s="1">
        <v>0</v>
      </c>
      <c r="G2144" s="1">
        <v>24</v>
      </c>
      <c r="H2144" s="4">
        <v>0.38</v>
      </c>
      <c r="I2144" s="1">
        <v>0</v>
      </c>
      <c r="J2144" s="4"/>
      <c r="K2144" s="1">
        <v>24</v>
      </c>
      <c r="L2144" s="1">
        <v>0</v>
      </c>
      <c r="M2144" s="32">
        <f>IF(Mecze[[#This Row],[PR]]=0,0,Mecze[[#This Row],[PR]]/Mecze[[#This Row],[CZAS]])</f>
        <v>0</v>
      </c>
      <c r="N2144" s="32">
        <f>IF(Mecze[[#This Row],[OU]]=0,0,Mecze[[#This Row],[OU]]/Mecze[[#This Row],[CZAS]])</f>
        <v>0</v>
      </c>
      <c r="O2144" s="32">
        <f>IF(Mecze[[#This Row],[PC]]=0,0,Mecze[[#This Row],[PC]]/Mecze[[#This Row],[CZAS]])</f>
        <v>9.375E-2</v>
      </c>
      <c r="P2144" s="32">
        <f>IF(Mecze[[#This Row],[SC]]=0,0,Mecze[[#This Row],[SC]]/Mecze[[#This Row],[CZAS]])</f>
        <v>0</v>
      </c>
      <c r="Q2144" s="32">
        <f>IF(Mecze[[#This Row],[OB]]=0,0,Mecze[[#This Row],[OB]]/Mecze[[#This Row],[CZAS]])</f>
        <v>0.25</v>
      </c>
      <c r="R2144" s="32">
        <f>IF(Mecze[[#This Row],[BR]]=0,0,Mecze[[#This Row],[BR]]/Mecze[[#This Row],[CZAS]])</f>
        <v>0</v>
      </c>
      <c r="S2144" s="44">
        <f>IF(Mecze[[#This Row],[Role]]="BR",SUMPRODUCT(Mecze[[#This Row],[/PR:90]:[/BR:90]],Brudnopis!$E$23:$J$23),0)</f>
        <v>1.03125</v>
      </c>
      <c r="T2144" s="44">
        <f>IF(Mecze[[#This Row],[Role]]&lt;&gt;"BR",SUMPRODUCT(Mecze[[#This Row],[/PR:90]:[/BR:90]],Brudnopis!$E$24:$J$24),0)</f>
        <v>0</v>
      </c>
      <c r="U2144" s="44">
        <f>IF(Mecze[[#This Row],[Role]]&lt;&gt;"BR",SUMPRODUCT(Mecze[[#This Row],[/PR:90]:[/BR:90]],Brudnopis!$E$25:$J$25),0)</f>
        <v>0</v>
      </c>
      <c r="V2144" s="44">
        <f>IF(Mecze[[#This Row],[Role]]&lt;&gt;"BR",SUMPRODUCT(Mecze[[#This Row],[/PR:90]:[/BR:90]],Brudnopis!$E$26:$J$26),0)</f>
        <v>0</v>
      </c>
      <c r="W2144" s="44">
        <f>IF(Mecze[[#This Row],[Role]]&lt;&gt;"BR",SUMPRODUCT(Mecze[[#This Row],[/PR:90]:[/BR:90]],Brudnopis!$E$27:$J$27),0)</f>
        <v>0</v>
      </c>
      <c r="X2144" s="44">
        <f>IF(Mecze[[#This Row],[Role]]&lt;&gt;"BR",SUMPRODUCT(Mecze[[#This Row],[/PR:90]:[/BR:90]],Brudnopis!$E$28:$J$28),0)</f>
        <v>0</v>
      </c>
      <c r="Y2144" s="35">
        <f>IF(Mecze[[#This Row],[Role]]="BR",Mecze[[#This Row],[/OB:90]]+Mecze[[#This Row],[/PC:90]],SUM(Mecze[[#This Row],[/PR:90]:[/BR:90]]))</f>
        <v>0.34375</v>
      </c>
      <c r="Z2144" s="35">
        <f>IF(Mecze[[#This Row],[KC]]=0,SUM(Mecze[[#This Row],[/BRI]:[/NPI]]),SUM(Mecze[[#This Row],[/BRI]:[/NPI]])*0.6)</f>
        <v>1.03125</v>
      </c>
      <c r="AA2144" s="10">
        <f>IFERROR(Mecze[[#This Row],[BR]]/Mecze[[#This Row],[ST]],0)</f>
        <v>0</v>
      </c>
      <c r="AB2144">
        <f>ROUND(Mecze[[#This Row],[PD]]*Mecze[[#This Row],[%PC]],0)</f>
        <v>9</v>
      </c>
      <c r="AC2144">
        <f>ROUND(Mecze[[#This Row],[OD]]*Mecze[[#This Row],[%OU]],0)</f>
        <v>0</v>
      </c>
      <c r="AD2144" s="36" t="s">
        <v>40</v>
      </c>
      <c r="AE2144" s="36">
        <v>121</v>
      </c>
      <c r="AF2144" s="71">
        <v>8.98</v>
      </c>
      <c r="AG2144" s="37">
        <v>0</v>
      </c>
      <c r="AH2144" s="37">
        <v>0</v>
      </c>
      <c r="AI2144" s="37">
        <v>96</v>
      </c>
      <c r="AJ2144" s="37">
        <v>9</v>
      </c>
      <c r="AK2144" s="37" t="str">
        <f>VLOOKUP(Mecze[[#This Row],[Match ID]],Meczusie[Mecz]:Meczusie[RodzajMeczu],2,FALSE)</f>
        <v>Liga</v>
      </c>
    </row>
    <row r="2145" spans="1:37" x14ac:dyDescent="0.25">
      <c r="A2145" s="76">
        <v>4</v>
      </c>
      <c r="B2145" s="3" t="s">
        <v>289</v>
      </c>
      <c r="C2145" s="2" t="s">
        <v>157</v>
      </c>
      <c r="D2145" s="1">
        <v>0</v>
      </c>
      <c r="E2145" s="1">
        <v>0</v>
      </c>
      <c r="F2145" s="1">
        <v>0</v>
      </c>
      <c r="G2145" s="1">
        <v>7</v>
      </c>
      <c r="H2145" s="4">
        <v>0.71</v>
      </c>
      <c r="I2145" s="1">
        <v>10</v>
      </c>
      <c r="J2145" s="4">
        <v>0.3</v>
      </c>
      <c r="K2145" s="1">
        <v>0</v>
      </c>
      <c r="L2145" s="1">
        <v>9</v>
      </c>
      <c r="M2145" s="32">
        <f>IF(Mecze[[#This Row],[PR]]=0,0,Mecze[[#This Row],[PR]]/Mecze[[#This Row],[CZAS]])</f>
        <v>9.375E-2</v>
      </c>
      <c r="N2145" s="32">
        <f>IF(Mecze[[#This Row],[OU]]=0,0,Mecze[[#This Row],[OU]]/Mecze[[#This Row],[CZAS]])</f>
        <v>3.125E-2</v>
      </c>
      <c r="O2145" s="32">
        <f>IF(Mecze[[#This Row],[PC]]=0,0,Mecze[[#This Row],[PC]]/Mecze[[#This Row],[CZAS]])</f>
        <v>5.2083333333333336E-2</v>
      </c>
      <c r="P2145" s="32">
        <f>IF(Mecze[[#This Row],[SC]]=0,0,Mecze[[#This Row],[SC]]/Mecze[[#This Row],[CZAS]])</f>
        <v>0</v>
      </c>
      <c r="Q2145" s="32">
        <f>IF(Mecze[[#This Row],[OB]]=0,0,Mecze[[#This Row],[OB]]/Mecze[[#This Row],[CZAS]])</f>
        <v>0</v>
      </c>
      <c r="R2145" s="32">
        <f>IF(Mecze[[#This Row],[BR]]=0,0,Mecze[[#This Row],[BR]]/Mecze[[#This Row],[CZAS]])</f>
        <v>0</v>
      </c>
      <c r="S2145" s="44">
        <f>IF(Mecze[[#This Row],[Role]]="BR",SUMPRODUCT(Mecze[[#This Row],[/PR:90]:[/BR:90]],Brudnopis!$E$23:$J$23),0)</f>
        <v>0</v>
      </c>
      <c r="T2145" s="44">
        <f>IF(Mecze[[#This Row],[Role]]&lt;&gt;"BR",SUMPRODUCT(Mecze[[#This Row],[/PR:90]:[/BR:90]],Brudnopis!$E$24:$J$24),0)</f>
        <v>0.19270833333333334</v>
      </c>
      <c r="U2145" s="44">
        <f>IF(Mecze[[#This Row],[Role]]&lt;&gt;"BR",SUMPRODUCT(Mecze[[#This Row],[/PR:90]:[/BR:90]],Brudnopis!$E$25:$J$25),0)</f>
        <v>0.203125</v>
      </c>
      <c r="V2145" s="44">
        <f>IF(Mecze[[#This Row],[Role]]&lt;&gt;"BR",SUMPRODUCT(Mecze[[#This Row],[/PR:90]:[/BR:90]],Brudnopis!$E$26:$J$26),0)</f>
        <v>0.17708333333333334</v>
      </c>
      <c r="W2145" s="44">
        <f>IF(Mecze[[#This Row],[Role]]&lt;&gt;"BR",SUMPRODUCT(Mecze[[#This Row],[/PR:90]:[/BR:90]],Brudnopis!$E$27:$J$27),0)</f>
        <v>0.171875</v>
      </c>
      <c r="X2145" s="44">
        <f>IF(Mecze[[#This Row],[Role]]&lt;&gt;"BR",SUMPRODUCT(Mecze[[#This Row],[/PR:90]:[/BR:90]],Brudnopis!$E$28:$J$28),0)</f>
        <v>5.2083333333333336E-2</v>
      </c>
      <c r="Y2145" s="35">
        <f>IF(Mecze[[#This Row],[Role]]="BR",Mecze[[#This Row],[/OB:90]]+Mecze[[#This Row],[/PC:90]],SUM(Mecze[[#This Row],[/PR:90]:[/BR:90]]))</f>
        <v>0.17708333333333334</v>
      </c>
      <c r="Z2145" s="35">
        <f>IF(Mecze[[#This Row],[KC]]=0,SUM(Mecze[[#This Row],[/BRI]:[/NPI]]),SUM(Mecze[[#This Row],[/BRI]:[/NPI]])*0.6)</f>
        <v>0.79687500000000011</v>
      </c>
      <c r="AA2145" s="10">
        <f>IFERROR(Mecze[[#This Row],[BR]]/Mecze[[#This Row],[ST]],0)</f>
        <v>0</v>
      </c>
      <c r="AB2145">
        <f>ROUND(Mecze[[#This Row],[PD]]*Mecze[[#This Row],[%PC]],0)</f>
        <v>5</v>
      </c>
      <c r="AC2145">
        <f>ROUND(Mecze[[#This Row],[OD]]*Mecze[[#This Row],[%OU]],0)</f>
        <v>3</v>
      </c>
      <c r="AD2145" s="36" t="s">
        <v>168</v>
      </c>
      <c r="AE2145" s="36">
        <v>121</v>
      </c>
      <c r="AF2145" s="71">
        <v>2.4700000000000002</v>
      </c>
      <c r="AG2145" s="37">
        <v>0</v>
      </c>
      <c r="AH2145" s="37">
        <v>0</v>
      </c>
      <c r="AI2145" s="37">
        <v>96</v>
      </c>
      <c r="AJ2145" s="37">
        <v>9</v>
      </c>
      <c r="AK2145" s="37" t="str">
        <f>VLOOKUP(Mecze[[#This Row],[Match ID]],Meczusie[Mecz]:Meczusie[RodzajMeczu],2,FALSE)</f>
        <v>Liga</v>
      </c>
    </row>
    <row r="2146" spans="1:37" x14ac:dyDescent="0.25">
      <c r="A2146" s="76">
        <v>2</v>
      </c>
      <c r="B2146" s="3" t="s">
        <v>290</v>
      </c>
      <c r="C2146" s="2" t="s">
        <v>157</v>
      </c>
      <c r="D2146" s="1">
        <v>0</v>
      </c>
      <c r="E2146" s="1">
        <v>0</v>
      </c>
      <c r="F2146" s="1">
        <v>0</v>
      </c>
      <c r="G2146" s="1">
        <v>6</v>
      </c>
      <c r="H2146" s="4">
        <v>0.33</v>
      </c>
      <c r="I2146" s="1">
        <v>15</v>
      </c>
      <c r="J2146" s="4">
        <v>0.13</v>
      </c>
      <c r="K2146" s="1">
        <v>0</v>
      </c>
      <c r="L2146" s="1">
        <v>2</v>
      </c>
      <c r="M2146" s="32">
        <f>IF(Mecze[[#This Row],[PR]]=0,0,Mecze[[#This Row],[PR]]/Mecze[[#This Row],[CZAS]])</f>
        <v>2.0833333333333332E-2</v>
      </c>
      <c r="N2146" s="32">
        <f>IF(Mecze[[#This Row],[OU]]=0,0,Mecze[[#This Row],[OU]]/Mecze[[#This Row],[CZAS]])</f>
        <v>2.0833333333333332E-2</v>
      </c>
      <c r="O2146" s="32">
        <f>IF(Mecze[[#This Row],[PC]]=0,0,Mecze[[#This Row],[PC]]/Mecze[[#This Row],[CZAS]])</f>
        <v>2.0833333333333332E-2</v>
      </c>
      <c r="P2146" s="32">
        <f>IF(Mecze[[#This Row],[SC]]=0,0,Mecze[[#This Row],[SC]]/Mecze[[#This Row],[CZAS]])</f>
        <v>0</v>
      </c>
      <c r="Q2146" s="32">
        <f>IF(Mecze[[#This Row],[OB]]=0,0,Mecze[[#This Row],[OB]]/Mecze[[#This Row],[CZAS]])</f>
        <v>0</v>
      </c>
      <c r="R2146" s="32">
        <f>IF(Mecze[[#This Row],[BR]]=0,0,Mecze[[#This Row],[BR]]/Mecze[[#This Row],[CZAS]])</f>
        <v>0</v>
      </c>
      <c r="S2146" s="44">
        <f>IF(Mecze[[#This Row],[Role]]="BR",SUMPRODUCT(Mecze[[#This Row],[/PR:90]:[/BR:90]],Brudnopis!$E$23:$J$23),0)</f>
        <v>0</v>
      </c>
      <c r="T2146" s="44">
        <f>IF(Mecze[[#This Row],[Role]]&lt;&gt;"BR",SUMPRODUCT(Mecze[[#This Row],[/PR:90]:[/BR:90]],Brudnopis!$E$24:$J$24),0)</f>
        <v>7.2916666666666657E-2</v>
      </c>
      <c r="U2146" s="44">
        <f>IF(Mecze[[#This Row],[Role]]&lt;&gt;"BR",SUMPRODUCT(Mecze[[#This Row],[/PR:90]:[/BR:90]],Brudnopis!$E$25:$J$25),0)</f>
        <v>7.2916666666666657E-2</v>
      </c>
      <c r="V2146" s="44">
        <f>IF(Mecze[[#This Row],[Role]]&lt;&gt;"BR",SUMPRODUCT(Mecze[[#This Row],[/PR:90]:[/BR:90]],Brudnopis!$E$26:$J$26),0)</f>
        <v>6.25E-2</v>
      </c>
      <c r="W2146" s="44">
        <f>IF(Mecze[[#This Row],[Role]]&lt;&gt;"BR",SUMPRODUCT(Mecze[[#This Row],[/PR:90]:[/BR:90]],Brudnopis!$E$27:$J$27),0)</f>
        <v>6.25E-2</v>
      </c>
      <c r="X2146" s="44">
        <f>IF(Mecze[[#This Row],[Role]]&lt;&gt;"BR",SUMPRODUCT(Mecze[[#This Row],[/PR:90]:[/BR:90]],Brudnopis!$E$28:$J$28),0)</f>
        <v>2.0833333333333332E-2</v>
      </c>
      <c r="Y2146" s="35">
        <f>IF(Mecze[[#This Row],[Role]]="BR",Mecze[[#This Row],[/OB:90]]+Mecze[[#This Row],[/PC:90]],SUM(Mecze[[#This Row],[/PR:90]:[/BR:90]]))</f>
        <v>6.25E-2</v>
      </c>
      <c r="Z2146" s="35">
        <f>IF(Mecze[[#This Row],[KC]]=0,SUM(Mecze[[#This Row],[/BRI]:[/NPI]]),SUM(Mecze[[#This Row],[/BRI]:[/NPI]])*0.6)</f>
        <v>0.29166666666666663</v>
      </c>
      <c r="AA2146" s="10">
        <f>IFERROR(Mecze[[#This Row],[BR]]/Mecze[[#This Row],[ST]],0)</f>
        <v>0</v>
      </c>
      <c r="AB2146">
        <f>ROUND(Mecze[[#This Row],[PD]]*Mecze[[#This Row],[%PC]],0)</f>
        <v>2</v>
      </c>
      <c r="AC2146">
        <f>ROUND(Mecze[[#This Row],[OD]]*Mecze[[#This Row],[%OU]],0)</f>
        <v>2</v>
      </c>
      <c r="AD2146" s="36" t="s">
        <v>47</v>
      </c>
      <c r="AE2146" s="36">
        <v>121</v>
      </c>
      <c r="AF2146" s="71">
        <v>1</v>
      </c>
      <c r="AG2146" s="37">
        <v>0</v>
      </c>
      <c r="AH2146" s="37">
        <v>0</v>
      </c>
      <c r="AI2146" s="37">
        <v>96</v>
      </c>
      <c r="AJ2146" s="37">
        <v>9</v>
      </c>
      <c r="AK2146" s="37" t="str">
        <f>VLOOKUP(Mecze[[#This Row],[Match ID]],Meczusie[Mecz]:Meczusie[RodzajMeczu],2,FALSE)</f>
        <v>Liga</v>
      </c>
    </row>
    <row r="2147" spans="1:37" x14ac:dyDescent="0.25">
      <c r="A2147" s="76">
        <v>16</v>
      </c>
      <c r="B2147" s="3" t="s">
        <v>405</v>
      </c>
      <c r="C2147" s="2" t="s">
        <v>157</v>
      </c>
      <c r="D2147" s="1">
        <v>0</v>
      </c>
      <c r="E2147" s="1">
        <v>0</v>
      </c>
      <c r="F2147" s="1">
        <v>0</v>
      </c>
      <c r="G2147" s="1">
        <v>7</v>
      </c>
      <c r="H2147" s="4">
        <v>0.56999999999999995</v>
      </c>
      <c r="I2147" s="1">
        <v>7</v>
      </c>
      <c r="J2147" s="4">
        <v>0.28999999999999998</v>
      </c>
      <c r="K2147" s="1">
        <v>0</v>
      </c>
      <c r="L2147" s="1">
        <v>2</v>
      </c>
      <c r="M2147" s="32">
        <f>IF(Mecze[[#This Row],[PR]]=0,0,Mecze[[#This Row],[PR]]/Mecze[[#This Row],[CZAS]])</f>
        <v>2.0833333333333332E-2</v>
      </c>
      <c r="N2147" s="32">
        <f>IF(Mecze[[#This Row],[OU]]=0,0,Mecze[[#This Row],[OU]]/Mecze[[#This Row],[CZAS]])</f>
        <v>2.0833333333333332E-2</v>
      </c>
      <c r="O2147" s="32">
        <f>IF(Mecze[[#This Row],[PC]]=0,0,Mecze[[#This Row],[PC]]/Mecze[[#This Row],[CZAS]])</f>
        <v>4.1666666666666664E-2</v>
      </c>
      <c r="P2147" s="32">
        <f>IF(Mecze[[#This Row],[SC]]=0,0,Mecze[[#This Row],[SC]]/Mecze[[#This Row],[CZAS]])</f>
        <v>0</v>
      </c>
      <c r="Q2147" s="32">
        <f>IF(Mecze[[#This Row],[OB]]=0,0,Mecze[[#This Row],[OB]]/Mecze[[#This Row],[CZAS]])</f>
        <v>0</v>
      </c>
      <c r="R2147" s="32">
        <f>IF(Mecze[[#This Row],[BR]]=0,0,Mecze[[#This Row],[BR]]/Mecze[[#This Row],[CZAS]])</f>
        <v>0</v>
      </c>
      <c r="S2147" s="44">
        <f>IF(Mecze[[#This Row],[Role]]="BR",SUMPRODUCT(Mecze[[#This Row],[/PR:90]:[/BR:90]],Brudnopis!$E$23:$J$23),0)</f>
        <v>0</v>
      </c>
      <c r="T2147" s="44">
        <f>IF(Mecze[[#This Row],[Role]]&lt;&gt;"BR",SUMPRODUCT(Mecze[[#This Row],[/PR:90]:[/BR:90]],Brudnopis!$E$24:$J$24),0)</f>
        <v>9.375E-2</v>
      </c>
      <c r="U2147" s="44">
        <f>IF(Mecze[[#This Row],[Role]]&lt;&gt;"BR",SUMPRODUCT(Mecze[[#This Row],[/PR:90]:[/BR:90]],Brudnopis!$E$25:$J$25),0)</f>
        <v>0.10416666666666666</v>
      </c>
      <c r="V2147" s="44">
        <f>IF(Mecze[[#This Row],[Role]]&lt;&gt;"BR",SUMPRODUCT(Mecze[[#This Row],[/PR:90]:[/BR:90]],Brudnopis!$E$26:$J$26),0)</f>
        <v>8.3333333333333329E-2</v>
      </c>
      <c r="W2147" s="44">
        <f>IF(Mecze[[#This Row],[Role]]&lt;&gt;"BR",SUMPRODUCT(Mecze[[#This Row],[/PR:90]:[/BR:90]],Brudnopis!$E$27:$J$27),0)</f>
        <v>9.375E-2</v>
      </c>
      <c r="X2147" s="44">
        <f>IF(Mecze[[#This Row],[Role]]&lt;&gt;"BR",SUMPRODUCT(Mecze[[#This Row],[/PR:90]:[/BR:90]],Brudnopis!$E$28:$J$28),0)</f>
        <v>4.1666666666666664E-2</v>
      </c>
      <c r="Y2147" s="35">
        <f>IF(Mecze[[#This Row],[Role]]="BR",Mecze[[#This Row],[/OB:90]]+Mecze[[#This Row],[/PC:90]],SUM(Mecze[[#This Row],[/PR:90]:[/BR:90]]))</f>
        <v>8.3333333333333329E-2</v>
      </c>
      <c r="Z2147" s="35">
        <f>IF(Mecze[[#This Row],[KC]]=0,SUM(Mecze[[#This Row],[/BRI]:[/NPI]]),SUM(Mecze[[#This Row],[/BRI]:[/NPI]])*0.6)</f>
        <v>0.41666666666666669</v>
      </c>
      <c r="AA2147" s="10">
        <f>IFERROR(Mecze[[#This Row],[BR]]/Mecze[[#This Row],[ST]],0)</f>
        <v>0</v>
      </c>
      <c r="AB2147">
        <f>ROUND(Mecze[[#This Row],[PD]]*Mecze[[#This Row],[%PC]],0)</f>
        <v>4</v>
      </c>
      <c r="AC2147">
        <f>ROUND(Mecze[[#This Row],[OD]]*Mecze[[#This Row],[%OU]],0)</f>
        <v>2</v>
      </c>
      <c r="AD2147" s="36" t="s">
        <v>167</v>
      </c>
      <c r="AE2147" s="36">
        <v>121</v>
      </c>
      <c r="AF2147" s="71">
        <v>1</v>
      </c>
      <c r="AG2147" s="37">
        <v>0</v>
      </c>
      <c r="AH2147" s="37">
        <v>0</v>
      </c>
      <c r="AI2147" s="37">
        <v>96</v>
      </c>
      <c r="AJ2147" s="37">
        <v>9</v>
      </c>
      <c r="AK2147" s="37" t="str">
        <f>VLOOKUP(Mecze[[#This Row],[Match ID]],Meczusie[Mecz]:Meczusie[RodzajMeczu],2,FALSE)</f>
        <v>Liga</v>
      </c>
    </row>
    <row r="2148" spans="1:37" x14ac:dyDescent="0.25">
      <c r="A2148" s="76">
        <v>3</v>
      </c>
      <c r="B2148" s="3" t="s">
        <v>292</v>
      </c>
      <c r="C2148" s="2" t="s">
        <v>160</v>
      </c>
      <c r="D2148" s="1">
        <v>0</v>
      </c>
      <c r="E2148" s="1">
        <v>0</v>
      </c>
      <c r="F2148" s="1">
        <v>0</v>
      </c>
      <c r="G2148" s="1">
        <v>2</v>
      </c>
      <c r="H2148" s="4">
        <v>1</v>
      </c>
      <c r="I2148" s="1">
        <v>2</v>
      </c>
      <c r="J2148" s="4">
        <v>0.5</v>
      </c>
      <c r="K2148" s="1">
        <v>0</v>
      </c>
      <c r="L2148" s="1">
        <v>0</v>
      </c>
      <c r="M2148" s="32">
        <f>IF(Mecze[[#This Row],[PR]]=0,0,Mecze[[#This Row],[PR]]/Mecze[[#This Row],[CZAS]])</f>
        <v>0</v>
      </c>
      <c r="N2148" s="32">
        <f>IF(Mecze[[#This Row],[OU]]=0,0,Mecze[[#This Row],[OU]]/Mecze[[#This Row],[CZAS]])</f>
        <v>1.0416666666666666E-2</v>
      </c>
      <c r="O2148" s="32">
        <f>IF(Mecze[[#This Row],[PC]]=0,0,Mecze[[#This Row],[PC]]/Mecze[[#This Row],[CZAS]])</f>
        <v>2.0833333333333332E-2</v>
      </c>
      <c r="P2148" s="32">
        <f>IF(Mecze[[#This Row],[SC]]=0,0,Mecze[[#This Row],[SC]]/Mecze[[#This Row],[CZAS]])</f>
        <v>0</v>
      </c>
      <c r="Q2148" s="32">
        <f>IF(Mecze[[#This Row],[OB]]=0,0,Mecze[[#This Row],[OB]]/Mecze[[#This Row],[CZAS]])</f>
        <v>0</v>
      </c>
      <c r="R2148" s="32">
        <f>IF(Mecze[[#This Row],[BR]]=0,0,Mecze[[#This Row],[BR]]/Mecze[[#This Row],[CZAS]])</f>
        <v>0</v>
      </c>
      <c r="S2148" s="44">
        <f>IF(Mecze[[#This Row],[Role]]="BR",SUMPRODUCT(Mecze[[#This Row],[/PR:90]:[/BR:90]],Brudnopis!$E$23:$J$23),0)</f>
        <v>0</v>
      </c>
      <c r="T2148" s="44">
        <f>IF(Mecze[[#This Row],[Role]]&lt;&gt;"BR",SUMPRODUCT(Mecze[[#This Row],[/PR:90]:[/BR:90]],Brudnopis!$E$24:$J$24),0)</f>
        <v>3.6458333333333329E-2</v>
      </c>
      <c r="U2148" s="44">
        <f>IF(Mecze[[#This Row],[Role]]&lt;&gt;"BR",SUMPRODUCT(Mecze[[#This Row],[/PR:90]:[/BR:90]],Brudnopis!$E$25:$J$25),0)</f>
        <v>4.1666666666666664E-2</v>
      </c>
      <c r="V2148" s="44">
        <f>IF(Mecze[[#This Row],[Role]]&lt;&gt;"BR",SUMPRODUCT(Mecze[[#This Row],[/PR:90]:[/BR:90]],Brudnopis!$E$26:$J$26),0)</f>
        <v>3.125E-2</v>
      </c>
      <c r="W2148" s="44">
        <f>IF(Mecze[[#This Row],[Role]]&lt;&gt;"BR",SUMPRODUCT(Mecze[[#This Row],[/PR:90]:[/BR:90]],Brudnopis!$E$27:$J$27),0)</f>
        <v>3.90625E-2</v>
      </c>
      <c r="X2148" s="44">
        <f>IF(Mecze[[#This Row],[Role]]&lt;&gt;"BR",SUMPRODUCT(Mecze[[#This Row],[/PR:90]:[/BR:90]],Brudnopis!$E$28:$J$28),0)</f>
        <v>2.0833333333333332E-2</v>
      </c>
      <c r="Y2148" s="35">
        <f>IF(Mecze[[#This Row],[Role]]="BR",Mecze[[#This Row],[/OB:90]]+Mecze[[#This Row],[/PC:90]],SUM(Mecze[[#This Row],[/PR:90]:[/BR:90]]))</f>
        <v>3.125E-2</v>
      </c>
      <c r="Z2148" s="35">
        <f>IF(Mecze[[#This Row],[KC]]=0,SUM(Mecze[[#This Row],[/BRI]:[/NPI]]),SUM(Mecze[[#This Row],[/BRI]:[/NPI]])*0.6)</f>
        <v>0.16927083333333334</v>
      </c>
      <c r="AA2148" s="10">
        <f>IFERROR(Mecze[[#This Row],[BR]]/Mecze[[#This Row],[ST]],0)</f>
        <v>0</v>
      </c>
      <c r="AB2148">
        <f>ROUND(Mecze[[#This Row],[PD]]*Mecze[[#This Row],[%PC]],0)</f>
        <v>2</v>
      </c>
      <c r="AC2148">
        <f>ROUND(Mecze[[#This Row],[OD]]*Mecze[[#This Row],[%OU]],0)</f>
        <v>1</v>
      </c>
      <c r="AD2148" s="36" t="s">
        <v>173</v>
      </c>
      <c r="AE2148" s="36">
        <v>121</v>
      </c>
      <c r="AF2148" s="71">
        <v>2.7</v>
      </c>
      <c r="AG2148" s="37">
        <v>0</v>
      </c>
      <c r="AH2148" s="37">
        <v>0</v>
      </c>
      <c r="AI2148" s="37">
        <v>96</v>
      </c>
      <c r="AJ2148" s="37">
        <v>9</v>
      </c>
      <c r="AK2148" s="37" t="str">
        <f>VLOOKUP(Mecze[[#This Row],[Match ID]],Meczusie[Mecz]:Meczusie[RodzajMeczu],2,FALSE)</f>
        <v>Liga</v>
      </c>
    </row>
    <row r="2149" spans="1:37" x14ac:dyDescent="0.25">
      <c r="A2149" s="76">
        <v>14</v>
      </c>
      <c r="B2149" s="3" t="s">
        <v>293</v>
      </c>
      <c r="C2149" s="2" t="s">
        <v>160</v>
      </c>
      <c r="D2149" s="1">
        <v>0</v>
      </c>
      <c r="E2149" s="1">
        <v>0</v>
      </c>
      <c r="F2149" s="1">
        <v>0</v>
      </c>
      <c r="G2149" s="1">
        <v>3</v>
      </c>
      <c r="H2149" s="4">
        <v>0.67</v>
      </c>
      <c r="I2149" s="1">
        <v>1</v>
      </c>
      <c r="J2149" s="4">
        <v>0</v>
      </c>
      <c r="K2149" s="1">
        <v>0</v>
      </c>
      <c r="L2149" s="1">
        <v>0</v>
      </c>
      <c r="M2149" s="32">
        <f>IF(Mecze[[#This Row],[PR]]=0,0,Mecze[[#This Row],[PR]]/Mecze[[#This Row],[CZAS]])</f>
        <v>0</v>
      </c>
      <c r="N2149" s="32">
        <f>IF(Mecze[[#This Row],[OU]]=0,0,Mecze[[#This Row],[OU]]/Mecze[[#This Row],[CZAS]])</f>
        <v>0</v>
      </c>
      <c r="O2149" s="32">
        <f>IF(Mecze[[#This Row],[PC]]=0,0,Mecze[[#This Row],[PC]]/Mecze[[#This Row],[CZAS]])</f>
        <v>2.0833333333333332E-2</v>
      </c>
      <c r="P2149" s="32">
        <f>IF(Mecze[[#This Row],[SC]]=0,0,Mecze[[#This Row],[SC]]/Mecze[[#This Row],[CZAS]])</f>
        <v>0</v>
      </c>
      <c r="Q2149" s="32">
        <f>IF(Mecze[[#This Row],[OB]]=0,0,Mecze[[#This Row],[OB]]/Mecze[[#This Row],[CZAS]])</f>
        <v>0</v>
      </c>
      <c r="R2149" s="32">
        <f>IF(Mecze[[#This Row],[BR]]=0,0,Mecze[[#This Row],[BR]]/Mecze[[#This Row],[CZAS]])</f>
        <v>0</v>
      </c>
      <c r="S2149" s="44">
        <f>IF(Mecze[[#This Row],[Role]]="BR",SUMPRODUCT(Mecze[[#This Row],[/PR:90]:[/BR:90]],Brudnopis!$E$23:$J$23),0)</f>
        <v>0</v>
      </c>
      <c r="T2149" s="44">
        <f>IF(Mecze[[#This Row],[Role]]&lt;&gt;"BR",SUMPRODUCT(Mecze[[#This Row],[/PR:90]:[/BR:90]],Brudnopis!$E$24:$J$24),0)</f>
        <v>2.0833333333333332E-2</v>
      </c>
      <c r="U2149" s="44">
        <f>IF(Mecze[[#This Row],[Role]]&lt;&gt;"BR",SUMPRODUCT(Mecze[[#This Row],[/PR:90]:[/BR:90]],Brudnopis!$E$25:$J$25),0)</f>
        <v>3.125E-2</v>
      </c>
      <c r="V2149" s="44">
        <f>IF(Mecze[[#This Row],[Role]]&lt;&gt;"BR",SUMPRODUCT(Mecze[[#This Row],[/PR:90]:[/BR:90]],Brudnopis!$E$26:$J$26),0)</f>
        <v>2.0833333333333332E-2</v>
      </c>
      <c r="W2149" s="44">
        <f>IF(Mecze[[#This Row],[Role]]&lt;&gt;"BR",SUMPRODUCT(Mecze[[#This Row],[/PR:90]:[/BR:90]],Brudnopis!$E$27:$J$27),0)</f>
        <v>3.125E-2</v>
      </c>
      <c r="X2149" s="44">
        <f>IF(Mecze[[#This Row],[Role]]&lt;&gt;"BR",SUMPRODUCT(Mecze[[#This Row],[/PR:90]:[/BR:90]],Brudnopis!$E$28:$J$28),0)</f>
        <v>2.0833333333333332E-2</v>
      </c>
      <c r="Y2149" s="35">
        <f>IF(Mecze[[#This Row],[Role]]="BR",Mecze[[#This Row],[/OB:90]]+Mecze[[#This Row],[/PC:90]],SUM(Mecze[[#This Row],[/PR:90]:[/BR:90]]))</f>
        <v>2.0833333333333332E-2</v>
      </c>
      <c r="Z2149" s="35">
        <f>IF(Mecze[[#This Row],[KC]]=0,SUM(Mecze[[#This Row],[/BRI]:[/NPI]]),SUM(Mecze[[#This Row],[/BRI]:[/NPI]])*0.6)</f>
        <v>0.12499999999999999</v>
      </c>
      <c r="AA2149" s="10">
        <f>IFERROR(Mecze[[#This Row],[BR]]/Mecze[[#This Row],[ST]],0)</f>
        <v>0</v>
      </c>
      <c r="AB2149">
        <f>ROUND(Mecze[[#This Row],[PD]]*Mecze[[#This Row],[%PC]],0)</f>
        <v>2</v>
      </c>
      <c r="AC2149">
        <f>ROUND(Mecze[[#This Row],[OD]]*Mecze[[#This Row],[%OU]],0)</f>
        <v>0</v>
      </c>
      <c r="AD2149" s="36" t="s">
        <v>172</v>
      </c>
      <c r="AE2149" s="36">
        <v>121</v>
      </c>
      <c r="AF2149" s="71">
        <v>2.7</v>
      </c>
      <c r="AG2149" s="37">
        <v>0</v>
      </c>
      <c r="AH2149" s="37">
        <v>0</v>
      </c>
      <c r="AI2149" s="37">
        <v>96</v>
      </c>
      <c r="AJ2149" s="37">
        <v>9</v>
      </c>
      <c r="AK2149" s="37" t="str">
        <f>VLOOKUP(Mecze[[#This Row],[Match ID]],Meczusie[Mecz]:Meczusie[RodzajMeczu],2,FALSE)</f>
        <v>Liga</v>
      </c>
    </row>
    <row r="2150" spans="1:37" x14ac:dyDescent="0.25">
      <c r="A2150" s="76">
        <v>8</v>
      </c>
      <c r="B2150" s="3" t="s">
        <v>294</v>
      </c>
      <c r="C2150" s="2" t="s">
        <v>160</v>
      </c>
      <c r="D2150" s="1">
        <v>0</v>
      </c>
      <c r="E2150" s="1">
        <v>0</v>
      </c>
      <c r="F2150" s="1">
        <v>0</v>
      </c>
      <c r="G2150" s="1">
        <v>19</v>
      </c>
      <c r="H2150" s="4">
        <v>0.68</v>
      </c>
      <c r="I2150" s="1">
        <v>12</v>
      </c>
      <c r="J2150" s="4">
        <v>0.33</v>
      </c>
      <c r="K2150" s="1">
        <v>0</v>
      </c>
      <c r="L2150" s="1">
        <v>7</v>
      </c>
      <c r="M2150" s="32">
        <f>IF(Mecze[[#This Row],[PR]]=0,0,Mecze[[#This Row],[PR]]/Mecze[[#This Row],[CZAS]])</f>
        <v>7.2916666666666671E-2</v>
      </c>
      <c r="N2150" s="32">
        <f>IF(Mecze[[#This Row],[OU]]=0,0,Mecze[[#This Row],[OU]]/Mecze[[#This Row],[CZAS]])</f>
        <v>4.1666666666666664E-2</v>
      </c>
      <c r="O2150" s="32">
        <f>IF(Mecze[[#This Row],[PC]]=0,0,Mecze[[#This Row],[PC]]/Mecze[[#This Row],[CZAS]])</f>
        <v>0.13541666666666666</v>
      </c>
      <c r="P2150" s="32">
        <f>IF(Mecze[[#This Row],[SC]]=0,0,Mecze[[#This Row],[SC]]/Mecze[[#This Row],[CZAS]])</f>
        <v>0</v>
      </c>
      <c r="Q2150" s="32">
        <f>IF(Mecze[[#This Row],[OB]]=0,0,Mecze[[#This Row],[OB]]/Mecze[[#This Row],[CZAS]])</f>
        <v>0</v>
      </c>
      <c r="R2150" s="32">
        <f>IF(Mecze[[#This Row],[BR]]=0,0,Mecze[[#This Row],[BR]]/Mecze[[#This Row],[CZAS]])</f>
        <v>0</v>
      </c>
      <c r="S2150" s="44">
        <f>IF(Mecze[[#This Row],[Role]]="BR",SUMPRODUCT(Mecze[[#This Row],[/PR:90]:[/BR:90]],Brudnopis!$E$23:$J$23),0)</f>
        <v>0</v>
      </c>
      <c r="T2150" s="44">
        <f>IF(Mecze[[#This Row],[Role]]&lt;&gt;"BR",SUMPRODUCT(Mecze[[#This Row],[/PR:90]:[/BR:90]],Brudnopis!$E$24:$J$24),0)</f>
        <v>0.27083333333333337</v>
      </c>
      <c r="U2150" s="44">
        <f>IF(Mecze[[#This Row],[Role]]&lt;&gt;"BR",SUMPRODUCT(Mecze[[#This Row],[/PR:90]:[/BR:90]],Brudnopis!$E$25:$J$25),0)</f>
        <v>0.31770833333333337</v>
      </c>
      <c r="V2150" s="44">
        <f>IF(Mecze[[#This Row],[Role]]&lt;&gt;"BR",SUMPRODUCT(Mecze[[#This Row],[/PR:90]:[/BR:90]],Brudnopis!$E$26:$J$26),0)</f>
        <v>0.25</v>
      </c>
      <c r="W2150" s="44">
        <f>IF(Mecze[[#This Row],[Role]]&lt;&gt;"BR",SUMPRODUCT(Mecze[[#This Row],[/PR:90]:[/BR:90]],Brudnopis!$E$27:$J$27),0)</f>
        <v>0.2890625</v>
      </c>
      <c r="X2150" s="44">
        <f>IF(Mecze[[#This Row],[Role]]&lt;&gt;"BR",SUMPRODUCT(Mecze[[#This Row],[/PR:90]:[/BR:90]],Brudnopis!$E$28:$J$28),0)</f>
        <v>0.13541666666666666</v>
      </c>
      <c r="Y2150" s="35">
        <f>IF(Mecze[[#This Row],[Role]]="BR",Mecze[[#This Row],[/OB:90]]+Mecze[[#This Row],[/PC:90]],SUM(Mecze[[#This Row],[/PR:90]:[/BR:90]]))</f>
        <v>0.25</v>
      </c>
      <c r="Z2150" s="35">
        <f>IF(Mecze[[#This Row],[KC]]=0,SUM(Mecze[[#This Row],[/BRI]:[/NPI]]),SUM(Mecze[[#This Row],[/BRI]:[/NPI]])*0.6)</f>
        <v>1.2630208333333335</v>
      </c>
      <c r="AA2150" s="10">
        <f>IFERROR(Mecze[[#This Row],[BR]]/Mecze[[#This Row],[ST]],0)</f>
        <v>0</v>
      </c>
      <c r="AB2150">
        <f>ROUND(Mecze[[#This Row],[PD]]*Mecze[[#This Row],[%PC]],0)</f>
        <v>13</v>
      </c>
      <c r="AC2150">
        <f>ROUND(Mecze[[#This Row],[OD]]*Mecze[[#This Row],[%OU]],0)</f>
        <v>4</v>
      </c>
      <c r="AD2150" s="36" t="s">
        <v>67</v>
      </c>
      <c r="AE2150" s="36">
        <v>121</v>
      </c>
      <c r="AF2150" s="71">
        <v>5.38</v>
      </c>
      <c r="AG2150" s="37">
        <v>0</v>
      </c>
      <c r="AH2150" s="37">
        <v>0</v>
      </c>
      <c r="AI2150" s="37">
        <v>96</v>
      </c>
      <c r="AJ2150" s="37">
        <v>9</v>
      </c>
      <c r="AK2150" s="37" t="str">
        <f>VLOOKUP(Mecze[[#This Row],[Match ID]],Meczusie[Mecz]:Meczusie[RodzajMeczu],2,FALSE)</f>
        <v>Liga</v>
      </c>
    </row>
    <row r="2151" spans="1:37" x14ac:dyDescent="0.25">
      <c r="A2151" s="76">
        <v>11</v>
      </c>
      <c r="B2151" s="3" t="s">
        <v>410</v>
      </c>
      <c r="C2151" s="2" t="s">
        <v>160</v>
      </c>
      <c r="D2151" s="1">
        <v>0</v>
      </c>
      <c r="E2151" s="1">
        <v>1</v>
      </c>
      <c r="F2151" s="1">
        <v>0</v>
      </c>
      <c r="G2151" s="1">
        <v>10</v>
      </c>
      <c r="H2151" s="4">
        <v>0.5</v>
      </c>
      <c r="I2151" s="1">
        <v>1</v>
      </c>
      <c r="J2151" s="4">
        <v>0</v>
      </c>
      <c r="K2151" s="1">
        <v>0</v>
      </c>
      <c r="L2151" s="1">
        <v>1</v>
      </c>
      <c r="M2151" s="32">
        <f>IF(Mecze[[#This Row],[PR]]=0,0,Mecze[[#This Row],[PR]]/Mecze[[#This Row],[CZAS]])</f>
        <v>1.0416666666666666E-2</v>
      </c>
      <c r="N2151" s="32">
        <f>IF(Mecze[[#This Row],[OU]]=0,0,Mecze[[#This Row],[OU]]/Mecze[[#This Row],[CZAS]])</f>
        <v>0</v>
      </c>
      <c r="O2151" s="32">
        <f>IF(Mecze[[#This Row],[PC]]=0,0,Mecze[[#This Row],[PC]]/Mecze[[#This Row],[CZAS]])</f>
        <v>5.2083333333333336E-2</v>
      </c>
      <c r="P2151" s="32">
        <f>IF(Mecze[[#This Row],[SC]]=0,0,Mecze[[#This Row],[SC]]/Mecze[[#This Row],[CZAS]])</f>
        <v>0</v>
      </c>
      <c r="Q2151" s="32">
        <f>IF(Mecze[[#This Row],[OB]]=0,0,Mecze[[#This Row],[OB]]/Mecze[[#This Row],[CZAS]])</f>
        <v>0</v>
      </c>
      <c r="R2151" s="32">
        <f>IF(Mecze[[#This Row],[BR]]=0,0,Mecze[[#This Row],[BR]]/Mecze[[#This Row],[CZAS]])</f>
        <v>0</v>
      </c>
      <c r="S2151" s="44">
        <f>IF(Mecze[[#This Row],[Role]]="BR",SUMPRODUCT(Mecze[[#This Row],[/PR:90]:[/BR:90]],Brudnopis!$E$23:$J$23),0)</f>
        <v>0</v>
      </c>
      <c r="T2151" s="44">
        <f>IF(Mecze[[#This Row],[Role]]&lt;&gt;"BR",SUMPRODUCT(Mecze[[#This Row],[/PR:90]:[/BR:90]],Brudnopis!$E$24:$J$24),0)</f>
        <v>6.25E-2</v>
      </c>
      <c r="U2151" s="44">
        <f>IF(Mecze[[#This Row],[Role]]&lt;&gt;"BR",SUMPRODUCT(Mecze[[#This Row],[/PR:90]:[/BR:90]],Brudnopis!$E$25:$J$25),0)</f>
        <v>8.8541666666666671E-2</v>
      </c>
      <c r="V2151" s="44">
        <f>IF(Mecze[[#This Row],[Role]]&lt;&gt;"BR",SUMPRODUCT(Mecze[[#This Row],[/PR:90]:[/BR:90]],Brudnopis!$E$26:$J$26),0)</f>
        <v>6.25E-2</v>
      </c>
      <c r="W2151" s="44">
        <f>IF(Mecze[[#This Row],[Role]]&lt;&gt;"BR",SUMPRODUCT(Mecze[[#This Row],[/PR:90]:[/BR:90]],Brudnopis!$E$27:$J$27),0)</f>
        <v>8.59375E-2</v>
      </c>
      <c r="X2151" s="44">
        <f>IF(Mecze[[#This Row],[Role]]&lt;&gt;"BR",SUMPRODUCT(Mecze[[#This Row],[/PR:90]:[/BR:90]],Brudnopis!$E$28:$J$28),0)</f>
        <v>5.2083333333333336E-2</v>
      </c>
      <c r="Y2151" s="35">
        <f>IF(Mecze[[#This Row],[Role]]="BR",Mecze[[#This Row],[/OB:90]]+Mecze[[#This Row],[/PC:90]],SUM(Mecze[[#This Row],[/PR:90]:[/BR:90]]))</f>
        <v>6.25E-2</v>
      </c>
      <c r="Z2151" s="35">
        <f>IF(Mecze[[#This Row],[KC]]=0,SUM(Mecze[[#This Row],[/BRI]:[/NPI]]),SUM(Mecze[[#This Row],[/BRI]:[/NPI]])*0.6)</f>
        <v>0.3515625</v>
      </c>
      <c r="AA2151" s="10">
        <f>IFERROR(Mecze[[#This Row],[BR]]/Mecze[[#This Row],[ST]],0)</f>
        <v>0</v>
      </c>
      <c r="AB2151">
        <f>ROUND(Mecze[[#This Row],[PD]]*Mecze[[#This Row],[%PC]],0)</f>
        <v>5</v>
      </c>
      <c r="AC2151">
        <f>ROUND(Mecze[[#This Row],[OD]]*Mecze[[#This Row],[%OU]],0)</f>
        <v>0</v>
      </c>
      <c r="AD2151" s="36" t="s">
        <v>299</v>
      </c>
      <c r="AE2151" s="36">
        <v>121</v>
      </c>
      <c r="AF2151" s="71">
        <v>4.12</v>
      </c>
      <c r="AG2151" s="37">
        <v>0</v>
      </c>
      <c r="AH2151" s="37">
        <v>0</v>
      </c>
      <c r="AI2151" s="37">
        <v>96</v>
      </c>
      <c r="AJ2151" s="37">
        <v>9</v>
      </c>
      <c r="AK2151" s="37" t="str">
        <f>VLOOKUP(Mecze[[#This Row],[Match ID]],Meczusie[Mecz]:Meczusie[RodzajMeczu],2,FALSE)</f>
        <v>Liga</v>
      </c>
    </row>
    <row r="2152" spans="1:37" x14ac:dyDescent="0.25">
      <c r="A2152" s="76">
        <v>13</v>
      </c>
      <c r="B2152" s="3" t="s">
        <v>295</v>
      </c>
      <c r="C2152" s="2" t="s">
        <v>160</v>
      </c>
      <c r="D2152" s="1">
        <v>0</v>
      </c>
      <c r="E2152" s="1">
        <v>0</v>
      </c>
      <c r="F2152" s="1">
        <v>0</v>
      </c>
      <c r="G2152" s="1">
        <v>7</v>
      </c>
      <c r="H2152" s="4">
        <v>1</v>
      </c>
      <c r="I2152" s="1">
        <v>1</v>
      </c>
      <c r="J2152" s="4">
        <v>0</v>
      </c>
      <c r="K2152" s="1">
        <v>0</v>
      </c>
      <c r="L2152" s="1">
        <v>3</v>
      </c>
      <c r="M2152" s="32">
        <f>IF(Mecze[[#This Row],[PR]]=0,0,Mecze[[#This Row],[PR]]/Mecze[[#This Row],[CZAS]])</f>
        <v>3.125E-2</v>
      </c>
      <c r="N2152" s="32">
        <f>IF(Mecze[[#This Row],[OU]]=0,0,Mecze[[#This Row],[OU]]/Mecze[[#This Row],[CZAS]])</f>
        <v>0</v>
      </c>
      <c r="O2152" s="32">
        <f>IF(Mecze[[#This Row],[PC]]=0,0,Mecze[[#This Row],[PC]]/Mecze[[#This Row],[CZAS]])</f>
        <v>7.2916666666666671E-2</v>
      </c>
      <c r="P2152" s="32">
        <f>IF(Mecze[[#This Row],[SC]]=0,0,Mecze[[#This Row],[SC]]/Mecze[[#This Row],[CZAS]])</f>
        <v>0</v>
      </c>
      <c r="Q2152" s="32">
        <f>IF(Mecze[[#This Row],[OB]]=0,0,Mecze[[#This Row],[OB]]/Mecze[[#This Row],[CZAS]])</f>
        <v>0</v>
      </c>
      <c r="R2152" s="32">
        <f>IF(Mecze[[#This Row],[BR]]=0,0,Mecze[[#This Row],[BR]]/Mecze[[#This Row],[CZAS]])</f>
        <v>0</v>
      </c>
      <c r="S2152" s="44">
        <f>IF(Mecze[[#This Row],[Role]]="BR",SUMPRODUCT(Mecze[[#This Row],[/PR:90]:[/BR:90]],Brudnopis!$E$23:$J$23),0)</f>
        <v>0</v>
      </c>
      <c r="T2152" s="44">
        <f>IF(Mecze[[#This Row],[Role]]&lt;&gt;"BR",SUMPRODUCT(Mecze[[#This Row],[/PR:90]:[/BR:90]],Brudnopis!$E$24:$J$24),0)</f>
        <v>0.10416666666666667</v>
      </c>
      <c r="U2152" s="44">
        <f>IF(Mecze[[#This Row],[Role]]&lt;&gt;"BR",SUMPRODUCT(Mecze[[#This Row],[/PR:90]:[/BR:90]],Brudnopis!$E$25:$J$25),0)</f>
        <v>0.140625</v>
      </c>
      <c r="V2152" s="44">
        <f>IF(Mecze[[#This Row],[Role]]&lt;&gt;"BR",SUMPRODUCT(Mecze[[#This Row],[/PR:90]:[/BR:90]],Brudnopis!$E$26:$J$26),0)</f>
        <v>0.10416666666666667</v>
      </c>
      <c r="W2152" s="44">
        <f>IF(Mecze[[#This Row],[Role]]&lt;&gt;"BR",SUMPRODUCT(Mecze[[#This Row],[/PR:90]:[/BR:90]],Brudnopis!$E$27:$J$27),0)</f>
        <v>0.1328125</v>
      </c>
      <c r="X2152" s="44">
        <f>IF(Mecze[[#This Row],[Role]]&lt;&gt;"BR",SUMPRODUCT(Mecze[[#This Row],[/PR:90]:[/BR:90]],Brudnopis!$E$28:$J$28),0)</f>
        <v>7.2916666666666671E-2</v>
      </c>
      <c r="Y2152" s="35">
        <f>IF(Mecze[[#This Row],[Role]]="BR",Mecze[[#This Row],[/OB:90]]+Mecze[[#This Row],[/PC:90]],SUM(Mecze[[#This Row],[/PR:90]:[/BR:90]]))</f>
        <v>0.10416666666666667</v>
      </c>
      <c r="Z2152" s="35">
        <f>IF(Mecze[[#This Row],[KC]]=0,SUM(Mecze[[#This Row],[/BRI]:[/NPI]]),SUM(Mecze[[#This Row],[/BRI]:[/NPI]])*0.6)</f>
        <v>0.5546875</v>
      </c>
      <c r="AA2152" s="10">
        <f>IFERROR(Mecze[[#This Row],[BR]]/Mecze[[#This Row],[ST]],0)</f>
        <v>0</v>
      </c>
      <c r="AB2152">
        <f>ROUND(Mecze[[#This Row],[PD]]*Mecze[[#This Row],[%PC]],0)</f>
        <v>7</v>
      </c>
      <c r="AC2152">
        <f>ROUND(Mecze[[#This Row],[OD]]*Mecze[[#This Row],[%OU]],0)</f>
        <v>0</v>
      </c>
      <c r="AD2152" s="36" t="s">
        <v>171</v>
      </c>
      <c r="AE2152" s="36">
        <v>121</v>
      </c>
      <c r="AF2152" s="71">
        <v>6.66</v>
      </c>
      <c r="AG2152" s="37">
        <v>0</v>
      </c>
      <c r="AH2152" s="37">
        <v>0</v>
      </c>
      <c r="AI2152" s="37">
        <v>96</v>
      </c>
      <c r="AJ2152" s="37">
        <v>9</v>
      </c>
      <c r="AK2152" s="37" t="str">
        <f>VLOOKUP(Mecze[[#This Row],[Match ID]],Meczusie[Mecz]:Meczusie[RodzajMeczu],2,FALSE)</f>
        <v>Liga</v>
      </c>
    </row>
    <row r="2153" spans="1:37" x14ac:dyDescent="0.25">
      <c r="A2153" s="76">
        <v>9</v>
      </c>
      <c r="B2153" s="3" t="s">
        <v>296</v>
      </c>
      <c r="C2153" s="2" t="s">
        <v>165</v>
      </c>
      <c r="D2153" s="1">
        <v>1</v>
      </c>
      <c r="E2153" s="1">
        <v>3</v>
      </c>
      <c r="F2153" s="1">
        <v>2</v>
      </c>
      <c r="G2153" s="1">
        <v>7</v>
      </c>
      <c r="H2153" s="4">
        <v>0.28999999999999998</v>
      </c>
      <c r="I2153" s="1">
        <v>5</v>
      </c>
      <c r="J2153" s="4">
        <v>0.2</v>
      </c>
      <c r="K2153" s="1">
        <v>0</v>
      </c>
      <c r="L2153" s="1">
        <v>1</v>
      </c>
      <c r="M2153" s="32">
        <f>IF(Mecze[[#This Row],[PR]]=0,0,Mecze[[#This Row],[PR]]/Mecze[[#This Row],[CZAS]])</f>
        <v>1.0416666666666666E-2</v>
      </c>
      <c r="N2153" s="32">
        <f>IF(Mecze[[#This Row],[OU]]=0,0,Mecze[[#This Row],[OU]]/Mecze[[#This Row],[CZAS]])</f>
        <v>1.0416666666666666E-2</v>
      </c>
      <c r="O2153" s="32">
        <f>IF(Mecze[[#This Row],[PC]]=0,0,Mecze[[#This Row],[PC]]/Mecze[[#This Row],[CZAS]])</f>
        <v>2.0833333333333332E-2</v>
      </c>
      <c r="P2153" s="32">
        <f>IF(Mecze[[#This Row],[SC]]=0,0,Mecze[[#This Row],[SC]]/Mecze[[#This Row],[CZAS]])</f>
        <v>2.0833333333333332E-2</v>
      </c>
      <c r="Q2153" s="32">
        <f>IF(Mecze[[#This Row],[OB]]=0,0,Mecze[[#This Row],[OB]]/Mecze[[#This Row],[CZAS]])</f>
        <v>0</v>
      </c>
      <c r="R2153" s="32">
        <f>IF(Mecze[[#This Row],[BR]]=0,0,Mecze[[#This Row],[BR]]/Mecze[[#This Row],[CZAS]])</f>
        <v>1.0416666666666666E-2</v>
      </c>
      <c r="S2153" s="44">
        <f>IF(Mecze[[#This Row],[Role]]="BR",SUMPRODUCT(Mecze[[#This Row],[/PR:90]:[/BR:90]],Brudnopis!$E$23:$J$23),0)</f>
        <v>0</v>
      </c>
      <c r="T2153" s="44">
        <f>IF(Mecze[[#This Row],[Role]]&lt;&gt;"BR",SUMPRODUCT(Mecze[[#This Row],[/PR:90]:[/BR:90]],Brudnopis!$E$24:$J$24),0)</f>
        <v>8.3333333333333329E-2</v>
      </c>
      <c r="U2153" s="44">
        <f>IF(Mecze[[#This Row],[Role]]&lt;&gt;"BR",SUMPRODUCT(Mecze[[#This Row],[/PR:90]:[/BR:90]],Brudnopis!$E$25:$J$25),0)</f>
        <v>8.8541666666666657E-2</v>
      </c>
      <c r="V2153" s="44">
        <f>IF(Mecze[[#This Row],[Role]]&lt;&gt;"BR",SUMPRODUCT(Mecze[[#This Row],[/PR:90]:[/BR:90]],Brudnopis!$E$26:$J$26),0)</f>
        <v>8.3333333333333329E-2</v>
      </c>
      <c r="W2153" s="44">
        <f>IF(Mecze[[#This Row],[Role]]&lt;&gt;"BR",SUMPRODUCT(Mecze[[#This Row],[/PR:90]:[/BR:90]],Brudnopis!$E$27:$J$27),0)</f>
        <v>8.8541666666666657E-2</v>
      </c>
      <c r="X2153" s="44">
        <f>IF(Mecze[[#This Row],[Role]]&lt;&gt;"BR",SUMPRODUCT(Mecze[[#This Row],[/PR:90]:[/BR:90]],Brudnopis!$E$28:$J$28),0)</f>
        <v>9.375E-2</v>
      </c>
      <c r="Y2153" s="35">
        <f>IF(Mecze[[#This Row],[Role]]="BR",Mecze[[#This Row],[/OB:90]]+Mecze[[#This Row],[/PC:90]],SUM(Mecze[[#This Row],[/PR:90]:[/BR:90]]))</f>
        <v>7.2916666666666671E-2</v>
      </c>
      <c r="Z2153" s="35">
        <f>IF(Mecze[[#This Row],[KC]]=0,SUM(Mecze[[#This Row],[/BRI]:[/NPI]]),SUM(Mecze[[#This Row],[/BRI]:[/NPI]])*0.6)</f>
        <v>0.4375</v>
      </c>
      <c r="AA2153" s="10">
        <f>IFERROR(Mecze[[#This Row],[BR]]/Mecze[[#This Row],[ST]],0)</f>
        <v>0.33333333333333331</v>
      </c>
      <c r="AB2153">
        <f>ROUND(Mecze[[#This Row],[PD]]*Mecze[[#This Row],[%PC]],0)</f>
        <v>2</v>
      </c>
      <c r="AC2153">
        <f>ROUND(Mecze[[#This Row],[OD]]*Mecze[[#This Row],[%OU]],0)</f>
        <v>1</v>
      </c>
      <c r="AD2153" s="36" t="s">
        <v>272</v>
      </c>
      <c r="AE2153" s="36">
        <v>121</v>
      </c>
      <c r="AF2153" s="71">
        <v>5.45</v>
      </c>
      <c r="AG2153" s="37">
        <v>0</v>
      </c>
      <c r="AH2153" s="37">
        <v>0</v>
      </c>
      <c r="AI2153" s="37">
        <v>96</v>
      </c>
      <c r="AJ2153" s="37">
        <v>9</v>
      </c>
      <c r="AK2153" s="37" t="str">
        <f>VLOOKUP(Mecze[[#This Row],[Match ID]],Meczusie[Mecz]:Meczusie[RodzajMeczu],2,FALSE)</f>
        <v>Liga</v>
      </c>
    </row>
    <row r="2154" spans="1:37" x14ac:dyDescent="0.25">
      <c r="A2154" s="76">
        <v>6</v>
      </c>
      <c r="B2154" s="3" t="s">
        <v>297</v>
      </c>
      <c r="C2154" s="2" t="s">
        <v>165</v>
      </c>
      <c r="D2154" s="1">
        <v>0</v>
      </c>
      <c r="E2154" s="1">
        <v>0</v>
      </c>
      <c r="F2154" s="1">
        <v>0</v>
      </c>
      <c r="G2154" s="1">
        <v>11</v>
      </c>
      <c r="H2154" s="4">
        <v>0.55000000000000004</v>
      </c>
      <c r="I2154" s="1">
        <v>5</v>
      </c>
      <c r="J2154" s="4">
        <v>0.4</v>
      </c>
      <c r="K2154" s="1">
        <v>0</v>
      </c>
      <c r="L2154" s="1">
        <v>1</v>
      </c>
      <c r="M2154" s="32">
        <f>IF(Mecze[[#This Row],[PR]]=0,0,Mecze[[#This Row],[PR]]/Mecze[[#This Row],[CZAS]])</f>
        <v>1.0416666666666666E-2</v>
      </c>
      <c r="N2154" s="32">
        <f>IF(Mecze[[#This Row],[OU]]=0,0,Mecze[[#This Row],[OU]]/Mecze[[#This Row],[CZAS]])</f>
        <v>2.0833333333333332E-2</v>
      </c>
      <c r="O2154" s="32">
        <f>IF(Mecze[[#This Row],[PC]]=0,0,Mecze[[#This Row],[PC]]/Mecze[[#This Row],[CZAS]])</f>
        <v>6.25E-2</v>
      </c>
      <c r="P2154" s="32">
        <f>IF(Mecze[[#This Row],[SC]]=0,0,Mecze[[#This Row],[SC]]/Mecze[[#This Row],[CZAS]])</f>
        <v>0</v>
      </c>
      <c r="Q2154" s="32">
        <f>IF(Mecze[[#This Row],[OB]]=0,0,Mecze[[#This Row],[OB]]/Mecze[[#This Row],[CZAS]])</f>
        <v>0</v>
      </c>
      <c r="R2154" s="32">
        <f>IF(Mecze[[#This Row],[BR]]=0,0,Mecze[[#This Row],[BR]]/Mecze[[#This Row],[CZAS]])</f>
        <v>0</v>
      </c>
      <c r="S2154" s="44">
        <f>IF(Mecze[[#This Row],[Role]]="BR",SUMPRODUCT(Mecze[[#This Row],[/PR:90]:[/BR:90]],Brudnopis!$E$23:$J$23),0)</f>
        <v>0</v>
      </c>
      <c r="T2154" s="44">
        <f>IF(Mecze[[#This Row],[Role]]&lt;&gt;"BR",SUMPRODUCT(Mecze[[#This Row],[/PR:90]:[/BR:90]],Brudnopis!$E$24:$J$24),0)</f>
        <v>0.10416666666666666</v>
      </c>
      <c r="U2154" s="44">
        <f>IF(Mecze[[#This Row],[Role]]&lt;&gt;"BR",SUMPRODUCT(Mecze[[#This Row],[/PR:90]:[/BR:90]],Brudnopis!$E$25:$J$25),0)</f>
        <v>0.125</v>
      </c>
      <c r="V2154" s="44">
        <f>IF(Mecze[[#This Row],[Role]]&lt;&gt;"BR",SUMPRODUCT(Mecze[[#This Row],[/PR:90]:[/BR:90]],Brudnopis!$E$26:$J$26),0)</f>
        <v>9.375E-2</v>
      </c>
      <c r="W2154" s="44">
        <f>IF(Mecze[[#This Row],[Role]]&lt;&gt;"BR",SUMPRODUCT(Mecze[[#This Row],[/PR:90]:[/BR:90]],Brudnopis!$E$27:$J$27),0)</f>
        <v>0.1171875</v>
      </c>
      <c r="X2154" s="44">
        <f>IF(Mecze[[#This Row],[Role]]&lt;&gt;"BR",SUMPRODUCT(Mecze[[#This Row],[/PR:90]:[/BR:90]],Brudnopis!$E$28:$J$28),0)</f>
        <v>6.25E-2</v>
      </c>
      <c r="Y2154" s="35">
        <f>IF(Mecze[[#This Row],[Role]]="BR",Mecze[[#This Row],[/OB:90]]+Mecze[[#This Row],[/PC:90]],SUM(Mecze[[#This Row],[/PR:90]:[/BR:90]]))</f>
        <v>9.375E-2</v>
      </c>
      <c r="Z2154" s="35">
        <f>IF(Mecze[[#This Row],[KC]]=0,SUM(Mecze[[#This Row],[/BRI]:[/NPI]]),SUM(Mecze[[#This Row],[/BRI]:[/NPI]])*0.6)</f>
        <v>0.50260416666666663</v>
      </c>
      <c r="AA2154" s="10">
        <f>IFERROR(Mecze[[#This Row],[BR]]/Mecze[[#This Row],[ST]],0)</f>
        <v>0</v>
      </c>
      <c r="AB2154">
        <f>ROUND(Mecze[[#This Row],[PD]]*Mecze[[#This Row],[%PC]],0)</f>
        <v>6</v>
      </c>
      <c r="AC2154">
        <f>ROUND(Mecze[[#This Row],[OD]]*Mecze[[#This Row],[%OU]],0)</f>
        <v>2</v>
      </c>
      <c r="AD2154" s="36" t="s">
        <v>46</v>
      </c>
      <c r="AE2154" s="36">
        <v>121</v>
      </c>
      <c r="AF2154" s="71">
        <v>4.04</v>
      </c>
      <c r="AG2154" s="37">
        <v>0</v>
      </c>
      <c r="AH2154" s="37">
        <v>0</v>
      </c>
      <c r="AI2154" s="37">
        <v>96</v>
      </c>
      <c r="AJ2154" s="37">
        <v>9</v>
      </c>
      <c r="AK2154" s="37" t="str">
        <f>VLOOKUP(Mecze[[#This Row],[Match ID]],Meczusie[Mecz]:Meczusie[RodzajMeczu],2,FALSE)</f>
        <v>Liga</v>
      </c>
    </row>
    <row r="2155" spans="1:37" x14ac:dyDescent="0.25">
      <c r="A2155" s="76">
        <v>1</v>
      </c>
      <c r="B2155" s="3" t="s">
        <v>261</v>
      </c>
      <c r="C2155" s="2" t="s">
        <v>155</v>
      </c>
      <c r="D2155" s="1">
        <v>0</v>
      </c>
      <c r="E2155" s="1">
        <v>0</v>
      </c>
      <c r="F2155" s="1">
        <v>0</v>
      </c>
      <c r="G2155" s="1">
        <v>3</v>
      </c>
      <c r="H2155" s="4">
        <v>0</v>
      </c>
      <c r="I2155" s="1">
        <v>0</v>
      </c>
      <c r="J2155" s="4"/>
      <c r="K2155" s="1">
        <v>1</v>
      </c>
      <c r="L2155" s="1">
        <v>0</v>
      </c>
      <c r="M2155" s="32">
        <f>IF(Mecze[[#This Row],[PR]]=0,0,Mecze[[#This Row],[PR]]/Mecze[[#This Row],[CZAS]])</f>
        <v>0</v>
      </c>
      <c r="N2155" s="32">
        <f>IF(Mecze[[#This Row],[OU]]=0,0,Mecze[[#This Row],[OU]]/Mecze[[#This Row],[CZAS]])</f>
        <v>0</v>
      </c>
      <c r="O2155" s="32">
        <f>IF(Mecze[[#This Row],[PC]]=0,0,Mecze[[#This Row],[PC]]/Mecze[[#This Row],[CZAS]])</f>
        <v>0</v>
      </c>
      <c r="P2155" s="32">
        <f>IF(Mecze[[#This Row],[SC]]=0,0,Mecze[[#This Row],[SC]]/Mecze[[#This Row],[CZAS]])</f>
        <v>0</v>
      </c>
      <c r="Q2155" s="32">
        <f>IF(Mecze[[#This Row],[OB]]=0,0,Mecze[[#This Row],[OB]]/Mecze[[#This Row],[CZAS]])</f>
        <v>1.0416666666666666E-2</v>
      </c>
      <c r="R2155" s="32">
        <f>IF(Mecze[[#This Row],[BR]]=0,0,Mecze[[#This Row],[BR]]/Mecze[[#This Row],[CZAS]])</f>
        <v>0</v>
      </c>
      <c r="S2155" s="44">
        <f>IF(Mecze[[#This Row],[Role]]="BR",SUMPRODUCT(Mecze[[#This Row],[/PR:90]:[/BR:90]],Brudnopis!$E$23:$J$23),0)</f>
        <v>3.125E-2</v>
      </c>
      <c r="T2155" s="44">
        <f>IF(Mecze[[#This Row],[Role]]&lt;&gt;"BR",SUMPRODUCT(Mecze[[#This Row],[/PR:90]:[/BR:90]],Brudnopis!$E$24:$J$24),0)</f>
        <v>0</v>
      </c>
      <c r="U2155" s="44">
        <f>IF(Mecze[[#This Row],[Role]]&lt;&gt;"BR",SUMPRODUCT(Mecze[[#This Row],[/PR:90]:[/BR:90]],Brudnopis!$E$25:$J$25),0)</f>
        <v>0</v>
      </c>
      <c r="V2155" s="44">
        <f>IF(Mecze[[#This Row],[Role]]&lt;&gt;"BR",SUMPRODUCT(Mecze[[#This Row],[/PR:90]:[/BR:90]],Brudnopis!$E$26:$J$26),0)</f>
        <v>0</v>
      </c>
      <c r="W2155" s="44">
        <f>IF(Mecze[[#This Row],[Role]]&lt;&gt;"BR",SUMPRODUCT(Mecze[[#This Row],[/PR:90]:[/BR:90]],Brudnopis!$E$27:$J$27),0)</f>
        <v>0</v>
      </c>
      <c r="X2155" s="44">
        <f>IF(Mecze[[#This Row],[Role]]&lt;&gt;"BR",SUMPRODUCT(Mecze[[#This Row],[/PR:90]:[/BR:90]],Brudnopis!$E$28:$J$28),0)</f>
        <v>0</v>
      </c>
      <c r="Y2155" s="35">
        <f>IF(Mecze[[#This Row],[Role]]="BR",Mecze[[#This Row],[/OB:90]]+Mecze[[#This Row],[/PC:90]],SUM(Mecze[[#This Row],[/PR:90]:[/BR:90]]))</f>
        <v>1.0416666666666666E-2</v>
      </c>
      <c r="Z2155" s="35">
        <f>IF(Mecze[[#This Row],[KC]]=0,SUM(Mecze[[#This Row],[/BRI]:[/NPI]]),SUM(Mecze[[#This Row],[/BRI]:[/NPI]])*0.6)</f>
        <v>3.125E-2</v>
      </c>
      <c r="AA2155" s="10">
        <f>IFERROR(Mecze[[#This Row],[BR]]/Mecze[[#This Row],[ST]],0)</f>
        <v>0</v>
      </c>
      <c r="AB2155">
        <f>ROUND(Mecze[[#This Row],[PD]]*Mecze[[#This Row],[%PC]],0)</f>
        <v>0</v>
      </c>
      <c r="AC2155">
        <f>ROUND(Mecze[[#This Row],[OD]]*Mecze[[#This Row],[%OU]],0)</f>
        <v>0</v>
      </c>
      <c r="AD2155" s="36" t="s">
        <v>40</v>
      </c>
      <c r="AE2155" s="36">
        <v>121</v>
      </c>
      <c r="AF2155" s="71">
        <v>4.2699999999999996</v>
      </c>
      <c r="AG2155" s="37">
        <v>0</v>
      </c>
      <c r="AH2155" s="37">
        <v>0</v>
      </c>
      <c r="AI2155" s="37">
        <v>96</v>
      </c>
      <c r="AJ2155" s="37">
        <v>3</v>
      </c>
      <c r="AK2155" s="37" t="str">
        <f>VLOOKUP(Mecze[[#This Row],[Match ID]],Meczusie[Mecz]:Meczusie[RodzajMeczu],2,FALSE)</f>
        <v>Liga</v>
      </c>
    </row>
    <row r="2156" spans="1:37" x14ac:dyDescent="0.25">
      <c r="A2156" s="76">
        <v>13</v>
      </c>
      <c r="B2156" s="3" t="s">
        <v>262</v>
      </c>
      <c r="C2156" s="2" t="s">
        <v>157</v>
      </c>
      <c r="D2156" s="1">
        <v>0</v>
      </c>
      <c r="E2156" s="1">
        <v>0</v>
      </c>
      <c r="F2156" s="1">
        <v>0</v>
      </c>
      <c r="G2156" s="1">
        <v>8</v>
      </c>
      <c r="H2156" s="4">
        <v>0.5</v>
      </c>
      <c r="I2156" s="1">
        <v>5</v>
      </c>
      <c r="J2156" s="4">
        <v>0.8</v>
      </c>
      <c r="K2156" s="1">
        <v>0</v>
      </c>
      <c r="L2156" s="1">
        <v>6</v>
      </c>
      <c r="M2156" s="32">
        <f>IF(Mecze[[#This Row],[PR]]=0,0,Mecze[[#This Row],[PR]]/Mecze[[#This Row],[CZAS]])</f>
        <v>6.25E-2</v>
      </c>
      <c r="N2156" s="32">
        <f>IF(Mecze[[#This Row],[OU]]=0,0,Mecze[[#This Row],[OU]]/Mecze[[#This Row],[CZAS]])</f>
        <v>4.1666666666666664E-2</v>
      </c>
      <c r="O2156" s="32">
        <f>IF(Mecze[[#This Row],[PC]]=0,0,Mecze[[#This Row],[PC]]/Mecze[[#This Row],[CZAS]])</f>
        <v>4.1666666666666664E-2</v>
      </c>
      <c r="P2156" s="32">
        <f>IF(Mecze[[#This Row],[SC]]=0,0,Mecze[[#This Row],[SC]]/Mecze[[#This Row],[CZAS]])</f>
        <v>0</v>
      </c>
      <c r="Q2156" s="32">
        <f>IF(Mecze[[#This Row],[OB]]=0,0,Mecze[[#This Row],[OB]]/Mecze[[#This Row],[CZAS]])</f>
        <v>0</v>
      </c>
      <c r="R2156" s="32">
        <f>IF(Mecze[[#This Row],[BR]]=0,0,Mecze[[#This Row],[BR]]/Mecze[[#This Row],[CZAS]])</f>
        <v>0</v>
      </c>
      <c r="S2156" s="44">
        <f>IF(Mecze[[#This Row],[Role]]="BR",SUMPRODUCT(Mecze[[#This Row],[/PR:90]:[/BR:90]],Brudnopis!$E$23:$J$23),0)</f>
        <v>0</v>
      </c>
      <c r="T2156" s="44">
        <f>IF(Mecze[[#This Row],[Role]]&lt;&gt;"BR",SUMPRODUCT(Mecze[[#This Row],[/PR:90]:[/BR:90]],Brudnopis!$E$24:$J$24),0)</f>
        <v>0.16666666666666666</v>
      </c>
      <c r="U2156" s="44">
        <f>IF(Mecze[[#This Row],[Role]]&lt;&gt;"BR",SUMPRODUCT(Mecze[[#This Row],[/PR:90]:[/BR:90]],Brudnopis!$E$25:$J$25),0)</f>
        <v>0.16666666666666666</v>
      </c>
      <c r="V2156" s="44">
        <f>IF(Mecze[[#This Row],[Role]]&lt;&gt;"BR",SUMPRODUCT(Mecze[[#This Row],[/PR:90]:[/BR:90]],Brudnopis!$E$26:$J$26),0)</f>
        <v>0.14583333333333331</v>
      </c>
      <c r="W2156" s="44">
        <f>IF(Mecze[[#This Row],[Role]]&lt;&gt;"BR",SUMPRODUCT(Mecze[[#This Row],[/PR:90]:[/BR:90]],Brudnopis!$E$27:$J$27),0)</f>
        <v>0.140625</v>
      </c>
      <c r="X2156" s="44">
        <f>IF(Mecze[[#This Row],[Role]]&lt;&gt;"BR",SUMPRODUCT(Mecze[[#This Row],[/PR:90]:[/BR:90]],Brudnopis!$E$28:$J$28),0)</f>
        <v>4.1666666666666664E-2</v>
      </c>
      <c r="Y2156" s="35">
        <f>IF(Mecze[[#This Row],[Role]]="BR",Mecze[[#This Row],[/OB:90]]+Mecze[[#This Row],[/PC:90]],SUM(Mecze[[#This Row],[/PR:90]:[/BR:90]]))</f>
        <v>0.14583333333333331</v>
      </c>
      <c r="Z2156" s="35">
        <f>IF(Mecze[[#This Row],[KC]]=0,SUM(Mecze[[#This Row],[/BRI]:[/NPI]]),SUM(Mecze[[#This Row],[/BRI]:[/NPI]])*0.6)</f>
        <v>0.66145833333333326</v>
      </c>
      <c r="AA2156" s="10">
        <f>IFERROR(Mecze[[#This Row],[BR]]/Mecze[[#This Row],[ST]],0)</f>
        <v>0</v>
      </c>
      <c r="AB2156">
        <f>ROUND(Mecze[[#This Row],[PD]]*Mecze[[#This Row],[%PC]],0)</f>
        <v>4</v>
      </c>
      <c r="AC2156">
        <f>ROUND(Mecze[[#This Row],[OD]]*Mecze[[#This Row],[%OU]],0)</f>
        <v>4</v>
      </c>
      <c r="AD2156" s="36" t="s">
        <v>175</v>
      </c>
      <c r="AE2156" s="36">
        <v>121</v>
      </c>
      <c r="AF2156" s="71">
        <v>7.5</v>
      </c>
      <c r="AG2156" s="37">
        <v>0</v>
      </c>
      <c r="AH2156" s="37">
        <v>0</v>
      </c>
      <c r="AI2156" s="37">
        <v>96</v>
      </c>
      <c r="AJ2156" s="37">
        <v>3</v>
      </c>
      <c r="AK2156" s="37" t="str">
        <f>VLOOKUP(Mecze[[#This Row],[Match ID]],Meczusie[Mecz]:Meczusie[RodzajMeczu],2,FALSE)</f>
        <v>Liga</v>
      </c>
    </row>
    <row r="2157" spans="1:37" x14ac:dyDescent="0.25">
      <c r="A2157" s="76">
        <v>4</v>
      </c>
      <c r="B2157" s="3" t="s">
        <v>264</v>
      </c>
      <c r="C2157" s="2" t="s">
        <v>157</v>
      </c>
      <c r="D2157" s="1">
        <v>0</v>
      </c>
      <c r="E2157" s="1">
        <v>0</v>
      </c>
      <c r="F2157" s="1">
        <v>0</v>
      </c>
      <c r="G2157" s="1">
        <v>9</v>
      </c>
      <c r="H2157" s="4">
        <v>0.78</v>
      </c>
      <c r="I2157" s="1">
        <v>4</v>
      </c>
      <c r="J2157" s="4">
        <v>0.5</v>
      </c>
      <c r="K2157" s="1">
        <v>0</v>
      </c>
      <c r="L2157" s="1">
        <v>6</v>
      </c>
      <c r="M2157" s="32">
        <f>IF(Mecze[[#This Row],[PR]]=0,0,Mecze[[#This Row],[PR]]/Mecze[[#This Row],[CZAS]])</f>
        <v>6.25E-2</v>
      </c>
      <c r="N2157" s="32">
        <f>IF(Mecze[[#This Row],[OU]]=0,0,Mecze[[#This Row],[OU]]/Mecze[[#This Row],[CZAS]])</f>
        <v>2.0833333333333332E-2</v>
      </c>
      <c r="O2157" s="32">
        <f>IF(Mecze[[#This Row],[PC]]=0,0,Mecze[[#This Row],[PC]]/Mecze[[#This Row],[CZAS]])</f>
        <v>7.2916666666666671E-2</v>
      </c>
      <c r="P2157" s="32">
        <f>IF(Mecze[[#This Row],[SC]]=0,0,Mecze[[#This Row],[SC]]/Mecze[[#This Row],[CZAS]])</f>
        <v>0</v>
      </c>
      <c r="Q2157" s="32">
        <f>IF(Mecze[[#This Row],[OB]]=0,0,Mecze[[#This Row],[OB]]/Mecze[[#This Row],[CZAS]])</f>
        <v>0</v>
      </c>
      <c r="R2157" s="32">
        <f>IF(Mecze[[#This Row],[BR]]=0,0,Mecze[[#This Row],[BR]]/Mecze[[#This Row],[CZAS]])</f>
        <v>0</v>
      </c>
      <c r="S2157" s="44">
        <f>IF(Mecze[[#This Row],[Role]]="BR",SUMPRODUCT(Mecze[[#This Row],[/PR:90]:[/BR:90]],Brudnopis!$E$23:$J$23),0)</f>
        <v>0</v>
      </c>
      <c r="T2157" s="44">
        <f>IF(Mecze[[#This Row],[Role]]&lt;&gt;"BR",SUMPRODUCT(Mecze[[#This Row],[/PR:90]:[/BR:90]],Brudnopis!$E$24:$J$24),0)</f>
        <v>0.16666666666666669</v>
      </c>
      <c r="U2157" s="44">
        <f>IF(Mecze[[#This Row],[Role]]&lt;&gt;"BR",SUMPRODUCT(Mecze[[#This Row],[/PR:90]:[/BR:90]],Brudnopis!$E$25:$J$25),0)</f>
        <v>0.19270833333333331</v>
      </c>
      <c r="V2157" s="44">
        <f>IF(Mecze[[#This Row],[Role]]&lt;&gt;"BR",SUMPRODUCT(Mecze[[#This Row],[/PR:90]:[/BR:90]],Brudnopis!$E$26:$J$26),0)</f>
        <v>0.15625</v>
      </c>
      <c r="W2157" s="44">
        <f>IF(Mecze[[#This Row],[Role]]&lt;&gt;"BR",SUMPRODUCT(Mecze[[#This Row],[/PR:90]:[/BR:90]],Brudnopis!$E$27:$J$27),0)</f>
        <v>0.171875</v>
      </c>
      <c r="X2157" s="44">
        <f>IF(Mecze[[#This Row],[Role]]&lt;&gt;"BR",SUMPRODUCT(Mecze[[#This Row],[/PR:90]:[/BR:90]],Brudnopis!$E$28:$J$28),0)</f>
        <v>7.2916666666666671E-2</v>
      </c>
      <c r="Y2157" s="35">
        <f>IF(Mecze[[#This Row],[Role]]="BR",Mecze[[#This Row],[/OB:90]]+Mecze[[#This Row],[/PC:90]],SUM(Mecze[[#This Row],[/PR:90]:[/BR:90]]))</f>
        <v>0.15625</v>
      </c>
      <c r="Z2157" s="35">
        <f>IF(Mecze[[#This Row],[KC]]=0,SUM(Mecze[[#This Row],[/BRI]:[/NPI]]),SUM(Mecze[[#This Row],[/BRI]:[/NPI]])*0.6)</f>
        <v>0.76041666666666663</v>
      </c>
      <c r="AA2157" s="10">
        <f>IFERROR(Mecze[[#This Row],[BR]]/Mecze[[#This Row],[ST]],0)</f>
        <v>0</v>
      </c>
      <c r="AB2157">
        <f>ROUND(Mecze[[#This Row],[PD]]*Mecze[[#This Row],[%PC]],0)</f>
        <v>7</v>
      </c>
      <c r="AC2157">
        <f>ROUND(Mecze[[#This Row],[OD]]*Mecze[[#This Row],[%OU]],0)</f>
        <v>2</v>
      </c>
      <c r="AD2157" s="36" t="s">
        <v>174</v>
      </c>
      <c r="AE2157" s="36">
        <v>121</v>
      </c>
      <c r="AF2157" s="71">
        <v>6.3</v>
      </c>
      <c r="AG2157" s="37">
        <v>0</v>
      </c>
      <c r="AH2157" s="37">
        <v>0</v>
      </c>
      <c r="AI2157" s="37">
        <v>96</v>
      </c>
      <c r="AJ2157" s="37">
        <v>3</v>
      </c>
      <c r="AK2157" s="37" t="str">
        <f>VLOOKUP(Mecze[[#This Row],[Match ID]],Meczusie[Mecz]:Meczusie[RodzajMeczu],2,FALSE)</f>
        <v>Liga</v>
      </c>
    </row>
    <row r="2158" spans="1:37" x14ac:dyDescent="0.25">
      <c r="A2158" s="76">
        <v>6</v>
      </c>
      <c r="B2158" s="3" t="s">
        <v>263</v>
      </c>
      <c r="C2158" s="2" t="s">
        <v>157</v>
      </c>
      <c r="D2158" s="1">
        <v>0</v>
      </c>
      <c r="E2158" s="1">
        <v>0</v>
      </c>
      <c r="F2158" s="1">
        <v>0</v>
      </c>
      <c r="G2158" s="1">
        <v>9</v>
      </c>
      <c r="H2158" s="4">
        <v>0.67</v>
      </c>
      <c r="I2158" s="1">
        <v>3</v>
      </c>
      <c r="J2158" s="4">
        <v>1</v>
      </c>
      <c r="K2158" s="1">
        <v>0</v>
      </c>
      <c r="L2158" s="1">
        <v>7</v>
      </c>
      <c r="M2158" s="32">
        <f>IF(Mecze[[#This Row],[PR]]=0,0,Mecze[[#This Row],[PR]]/Mecze[[#This Row],[CZAS]])</f>
        <v>7.2916666666666671E-2</v>
      </c>
      <c r="N2158" s="32">
        <f>IF(Mecze[[#This Row],[OU]]=0,0,Mecze[[#This Row],[OU]]/Mecze[[#This Row],[CZAS]])</f>
        <v>3.125E-2</v>
      </c>
      <c r="O2158" s="32">
        <f>IF(Mecze[[#This Row],[PC]]=0,0,Mecze[[#This Row],[PC]]/Mecze[[#This Row],[CZAS]])</f>
        <v>6.25E-2</v>
      </c>
      <c r="P2158" s="32">
        <f>IF(Mecze[[#This Row],[SC]]=0,0,Mecze[[#This Row],[SC]]/Mecze[[#This Row],[CZAS]])</f>
        <v>0</v>
      </c>
      <c r="Q2158" s="32">
        <f>IF(Mecze[[#This Row],[OB]]=0,0,Mecze[[#This Row],[OB]]/Mecze[[#This Row],[CZAS]])</f>
        <v>0</v>
      </c>
      <c r="R2158" s="32">
        <f>IF(Mecze[[#This Row],[BR]]=0,0,Mecze[[#This Row],[BR]]/Mecze[[#This Row],[CZAS]])</f>
        <v>0</v>
      </c>
      <c r="S2158" s="44">
        <f>IF(Mecze[[#This Row],[Role]]="BR",SUMPRODUCT(Mecze[[#This Row],[/PR:90]:[/BR:90]],Brudnopis!$E$23:$J$23),0)</f>
        <v>0</v>
      </c>
      <c r="T2158" s="44">
        <f>IF(Mecze[[#This Row],[Role]]&lt;&gt;"BR",SUMPRODUCT(Mecze[[#This Row],[/PR:90]:[/BR:90]],Brudnopis!$E$24:$J$24),0)</f>
        <v>0.18229166666666669</v>
      </c>
      <c r="U2158" s="44">
        <f>IF(Mecze[[#This Row],[Role]]&lt;&gt;"BR",SUMPRODUCT(Mecze[[#This Row],[/PR:90]:[/BR:90]],Brudnopis!$E$25:$J$25),0)</f>
        <v>0.19791666666666669</v>
      </c>
      <c r="V2158" s="44">
        <f>IF(Mecze[[#This Row],[Role]]&lt;&gt;"BR",SUMPRODUCT(Mecze[[#This Row],[/PR:90]:[/BR:90]],Brudnopis!$E$26:$J$26),0)</f>
        <v>0.16666666666666669</v>
      </c>
      <c r="W2158" s="44">
        <f>IF(Mecze[[#This Row],[Role]]&lt;&gt;"BR",SUMPRODUCT(Mecze[[#This Row],[/PR:90]:[/BR:90]],Brudnopis!$E$27:$J$27),0)</f>
        <v>0.171875</v>
      </c>
      <c r="X2158" s="44">
        <f>IF(Mecze[[#This Row],[Role]]&lt;&gt;"BR",SUMPRODUCT(Mecze[[#This Row],[/PR:90]:[/BR:90]],Brudnopis!$E$28:$J$28),0)</f>
        <v>6.25E-2</v>
      </c>
      <c r="Y2158" s="35">
        <f>IF(Mecze[[#This Row],[Role]]="BR",Mecze[[#This Row],[/OB:90]]+Mecze[[#This Row],[/PC:90]],SUM(Mecze[[#This Row],[/PR:90]:[/BR:90]]))</f>
        <v>0.16666666666666669</v>
      </c>
      <c r="Z2158" s="35">
        <f>IF(Mecze[[#This Row],[KC]]=0,SUM(Mecze[[#This Row],[/BRI]:[/NPI]]),SUM(Mecze[[#This Row],[/BRI]:[/NPI]])*0.6)</f>
        <v>0.78125</v>
      </c>
      <c r="AA2158" s="10">
        <f>IFERROR(Mecze[[#This Row],[BR]]/Mecze[[#This Row],[ST]],0)</f>
        <v>0</v>
      </c>
      <c r="AB2158">
        <f>ROUND(Mecze[[#This Row],[PD]]*Mecze[[#This Row],[%PC]],0)</f>
        <v>6</v>
      </c>
      <c r="AC2158">
        <f>ROUND(Mecze[[#This Row],[OD]]*Mecze[[#This Row],[%OU]],0)</f>
        <v>3</v>
      </c>
      <c r="AD2158" s="36" t="s">
        <v>47</v>
      </c>
      <c r="AE2158" s="36">
        <v>121</v>
      </c>
      <c r="AF2158" s="71">
        <v>8.5399999999999991</v>
      </c>
      <c r="AG2158" s="37">
        <v>0</v>
      </c>
      <c r="AH2158" s="37">
        <v>0</v>
      </c>
      <c r="AI2158" s="37">
        <v>96</v>
      </c>
      <c r="AJ2158" s="37">
        <v>3</v>
      </c>
      <c r="AK2158" s="37" t="str">
        <f>VLOOKUP(Mecze[[#This Row],[Match ID]],Meczusie[Mecz]:Meczusie[RodzajMeczu],2,FALSE)</f>
        <v>Liga</v>
      </c>
    </row>
    <row r="2159" spans="1:37" x14ac:dyDescent="0.25">
      <c r="A2159" s="76">
        <v>2</v>
      </c>
      <c r="B2159" s="3" t="s">
        <v>265</v>
      </c>
      <c r="C2159" s="2" t="s">
        <v>157</v>
      </c>
      <c r="D2159" s="1">
        <v>0</v>
      </c>
      <c r="E2159" s="1">
        <v>0</v>
      </c>
      <c r="F2159" s="1">
        <v>0</v>
      </c>
      <c r="G2159" s="1">
        <v>13</v>
      </c>
      <c r="H2159" s="4">
        <v>0.77</v>
      </c>
      <c r="I2159" s="1">
        <v>5</v>
      </c>
      <c r="J2159" s="4">
        <v>0.8</v>
      </c>
      <c r="K2159" s="1">
        <v>0</v>
      </c>
      <c r="L2159" s="1">
        <v>6</v>
      </c>
      <c r="M2159" s="32">
        <f>IF(Mecze[[#This Row],[PR]]=0,0,Mecze[[#This Row],[PR]]/Mecze[[#This Row],[CZAS]])</f>
        <v>6.25E-2</v>
      </c>
      <c r="N2159" s="32">
        <f>IF(Mecze[[#This Row],[OU]]=0,0,Mecze[[#This Row],[OU]]/Mecze[[#This Row],[CZAS]])</f>
        <v>4.1666666666666664E-2</v>
      </c>
      <c r="O2159" s="32">
        <f>IF(Mecze[[#This Row],[PC]]=0,0,Mecze[[#This Row],[PC]]/Mecze[[#This Row],[CZAS]])</f>
        <v>0.10416666666666667</v>
      </c>
      <c r="P2159" s="32">
        <f>IF(Mecze[[#This Row],[SC]]=0,0,Mecze[[#This Row],[SC]]/Mecze[[#This Row],[CZAS]])</f>
        <v>0</v>
      </c>
      <c r="Q2159" s="32">
        <f>IF(Mecze[[#This Row],[OB]]=0,0,Mecze[[#This Row],[OB]]/Mecze[[#This Row],[CZAS]])</f>
        <v>0</v>
      </c>
      <c r="R2159" s="32">
        <f>IF(Mecze[[#This Row],[BR]]=0,0,Mecze[[#This Row],[BR]]/Mecze[[#This Row],[CZAS]])</f>
        <v>0</v>
      </c>
      <c r="S2159" s="44">
        <f>IF(Mecze[[#This Row],[Role]]="BR",SUMPRODUCT(Mecze[[#This Row],[/PR:90]:[/BR:90]],Brudnopis!$E$23:$J$23),0)</f>
        <v>0</v>
      </c>
      <c r="T2159" s="44">
        <f>IF(Mecze[[#This Row],[Role]]&lt;&gt;"BR",SUMPRODUCT(Mecze[[#This Row],[/PR:90]:[/BR:90]],Brudnopis!$E$24:$J$24),0)</f>
        <v>0.22916666666666669</v>
      </c>
      <c r="U2159" s="44">
        <f>IF(Mecze[[#This Row],[Role]]&lt;&gt;"BR",SUMPRODUCT(Mecze[[#This Row],[/PR:90]:[/BR:90]],Brudnopis!$E$25:$J$25),0)</f>
        <v>0.26041666666666663</v>
      </c>
      <c r="V2159" s="44">
        <f>IF(Mecze[[#This Row],[Role]]&lt;&gt;"BR",SUMPRODUCT(Mecze[[#This Row],[/PR:90]:[/BR:90]],Brudnopis!$E$26:$J$26),0)</f>
        <v>0.20833333333333331</v>
      </c>
      <c r="W2159" s="44">
        <f>IF(Mecze[[#This Row],[Role]]&lt;&gt;"BR",SUMPRODUCT(Mecze[[#This Row],[/PR:90]:[/BR:90]],Brudnopis!$E$27:$J$27),0)</f>
        <v>0.234375</v>
      </c>
      <c r="X2159" s="44">
        <f>IF(Mecze[[#This Row],[Role]]&lt;&gt;"BR",SUMPRODUCT(Mecze[[#This Row],[/PR:90]:[/BR:90]],Brudnopis!$E$28:$J$28),0)</f>
        <v>0.10416666666666667</v>
      </c>
      <c r="Y2159" s="35">
        <f>IF(Mecze[[#This Row],[Role]]="BR",Mecze[[#This Row],[/OB:90]]+Mecze[[#This Row],[/PC:90]],SUM(Mecze[[#This Row],[/PR:90]:[/BR:90]]))</f>
        <v>0.20833333333333331</v>
      </c>
      <c r="Z2159" s="35">
        <f>IF(Mecze[[#This Row],[KC]]=0,SUM(Mecze[[#This Row],[/BRI]:[/NPI]]),SUM(Mecze[[#This Row],[/BRI]:[/NPI]])*0.6)</f>
        <v>1.0364583333333333</v>
      </c>
      <c r="AA2159" s="10">
        <f>IFERROR(Mecze[[#This Row],[BR]]/Mecze[[#This Row],[ST]],0)</f>
        <v>0</v>
      </c>
      <c r="AB2159">
        <f>ROUND(Mecze[[#This Row],[PD]]*Mecze[[#This Row],[%PC]],0)</f>
        <v>10</v>
      </c>
      <c r="AC2159">
        <f>ROUND(Mecze[[#This Row],[OD]]*Mecze[[#This Row],[%OU]],0)</f>
        <v>4</v>
      </c>
      <c r="AD2159" s="36" t="s">
        <v>47</v>
      </c>
      <c r="AE2159" s="36">
        <v>121</v>
      </c>
      <c r="AF2159" s="71">
        <v>7.5</v>
      </c>
      <c r="AG2159" s="37">
        <v>0</v>
      </c>
      <c r="AH2159" s="37">
        <v>0</v>
      </c>
      <c r="AI2159" s="37">
        <v>96</v>
      </c>
      <c r="AJ2159" s="37">
        <v>3</v>
      </c>
      <c r="AK2159" s="37" t="str">
        <f>VLOOKUP(Mecze[[#This Row],[Match ID]],Meczusie[Mecz]:Meczusie[RodzajMeczu],2,FALSE)</f>
        <v>Liga</v>
      </c>
    </row>
    <row r="2160" spans="1:37" x14ac:dyDescent="0.25">
      <c r="A2160" s="76">
        <v>5</v>
      </c>
      <c r="B2160" s="3" t="s">
        <v>267</v>
      </c>
      <c r="C2160" s="2" t="s">
        <v>160</v>
      </c>
      <c r="D2160" s="1">
        <v>0</v>
      </c>
      <c r="E2160" s="1">
        <v>0</v>
      </c>
      <c r="F2160" s="1">
        <v>0</v>
      </c>
      <c r="G2160" s="1">
        <v>10</v>
      </c>
      <c r="H2160" s="4">
        <v>0.8</v>
      </c>
      <c r="I2160" s="1">
        <v>3</v>
      </c>
      <c r="J2160" s="4">
        <v>0.67</v>
      </c>
      <c r="K2160" s="1">
        <v>0</v>
      </c>
      <c r="L2160" s="1">
        <v>7</v>
      </c>
      <c r="M2160" s="32">
        <f>IF(Mecze[[#This Row],[PR]]=0,0,Mecze[[#This Row],[PR]]/Mecze[[#This Row],[CZAS]])</f>
        <v>7.2916666666666671E-2</v>
      </c>
      <c r="N2160" s="32">
        <f>IF(Mecze[[#This Row],[OU]]=0,0,Mecze[[#This Row],[OU]]/Mecze[[#This Row],[CZAS]])</f>
        <v>2.0833333333333332E-2</v>
      </c>
      <c r="O2160" s="32">
        <f>IF(Mecze[[#This Row],[PC]]=0,0,Mecze[[#This Row],[PC]]/Mecze[[#This Row],[CZAS]])</f>
        <v>8.3333333333333329E-2</v>
      </c>
      <c r="P2160" s="32">
        <f>IF(Mecze[[#This Row],[SC]]=0,0,Mecze[[#This Row],[SC]]/Mecze[[#This Row],[CZAS]])</f>
        <v>0</v>
      </c>
      <c r="Q2160" s="32">
        <f>IF(Mecze[[#This Row],[OB]]=0,0,Mecze[[#This Row],[OB]]/Mecze[[#This Row],[CZAS]])</f>
        <v>0</v>
      </c>
      <c r="R2160" s="32">
        <f>IF(Mecze[[#This Row],[BR]]=0,0,Mecze[[#This Row],[BR]]/Mecze[[#This Row],[CZAS]])</f>
        <v>0</v>
      </c>
      <c r="S2160" s="44">
        <f>IF(Mecze[[#This Row],[Role]]="BR",SUMPRODUCT(Mecze[[#This Row],[/PR:90]:[/BR:90]],Brudnopis!$E$23:$J$23),0)</f>
        <v>0</v>
      </c>
      <c r="T2160" s="44">
        <f>IF(Mecze[[#This Row],[Role]]&lt;&gt;"BR",SUMPRODUCT(Mecze[[#This Row],[/PR:90]:[/BR:90]],Brudnopis!$E$24:$J$24),0)</f>
        <v>0.1875</v>
      </c>
      <c r="U2160" s="44">
        <f>IF(Mecze[[#This Row],[Role]]&lt;&gt;"BR",SUMPRODUCT(Mecze[[#This Row],[/PR:90]:[/BR:90]],Brudnopis!$E$25:$J$25),0)</f>
        <v>0.21875</v>
      </c>
      <c r="V2160" s="44">
        <f>IF(Mecze[[#This Row],[Role]]&lt;&gt;"BR",SUMPRODUCT(Mecze[[#This Row],[/PR:90]:[/BR:90]],Brudnopis!$E$26:$J$26),0)</f>
        <v>0.17708333333333331</v>
      </c>
      <c r="W2160" s="44">
        <f>IF(Mecze[[#This Row],[Role]]&lt;&gt;"BR",SUMPRODUCT(Mecze[[#This Row],[/PR:90]:[/BR:90]],Brudnopis!$E$27:$J$27),0)</f>
        <v>0.1953125</v>
      </c>
      <c r="X2160" s="44">
        <f>IF(Mecze[[#This Row],[Role]]&lt;&gt;"BR",SUMPRODUCT(Mecze[[#This Row],[/PR:90]:[/BR:90]],Brudnopis!$E$28:$J$28),0)</f>
        <v>8.3333333333333329E-2</v>
      </c>
      <c r="Y2160" s="35">
        <f>IF(Mecze[[#This Row],[Role]]="BR",Mecze[[#This Row],[/OB:90]]+Mecze[[#This Row],[/PC:90]],SUM(Mecze[[#This Row],[/PR:90]:[/BR:90]]))</f>
        <v>0.17708333333333331</v>
      </c>
      <c r="Z2160" s="35">
        <f>IF(Mecze[[#This Row],[KC]]=0,SUM(Mecze[[#This Row],[/BRI]:[/NPI]]),SUM(Mecze[[#This Row],[/BRI]:[/NPI]])*0.6)</f>
        <v>0.86197916666666663</v>
      </c>
      <c r="AA2160" s="10">
        <f>IFERROR(Mecze[[#This Row],[BR]]/Mecze[[#This Row],[ST]],0)</f>
        <v>0</v>
      </c>
      <c r="AB2160">
        <f>ROUND(Mecze[[#This Row],[PD]]*Mecze[[#This Row],[%PC]],0)</f>
        <v>8</v>
      </c>
      <c r="AC2160">
        <f>ROUND(Mecze[[#This Row],[OD]]*Mecze[[#This Row],[%OU]],0)</f>
        <v>2</v>
      </c>
      <c r="AD2160" s="36" t="s">
        <v>67</v>
      </c>
      <c r="AE2160" s="36">
        <v>121</v>
      </c>
      <c r="AF2160" s="71">
        <v>7.51</v>
      </c>
      <c r="AG2160" s="37">
        <v>0</v>
      </c>
      <c r="AH2160" s="37">
        <v>0</v>
      </c>
      <c r="AI2160" s="37">
        <v>96</v>
      </c>
      <c r="AJ2160" s="37">
        <v>3</v>
      </c>
      <c r="AK2160" s="37" t="str">
        <f>VLOOKUP(Mecze[[#This Row],[Match ID]],Meczusie[Mecz]:Meczusie[RodzajMeczu],2,FALSE)</f>
        <v>Liga</v>
      </c>
    </row>
    <row r="2161" spans="1:37" x14ac:dyDescent="0.25">
      <c r="A2161" s="76">
        <v>9</v>
      </c>
      <c r="B2161" s="3" t="s">
        <v>266</v>
      </c>
      <c r="C2161" s="2" t="s">
        <v>160</v>
      </c>
      <c r="D2161" s="1">
        <v>0</v>
      </c>
      <c r="E2161" s="1">
        <v>3</v>
      </c>
      <c r="F2161" s="1">
        <v>3</v>
      </c>
      <c r="G2161" s="1">
        <v>13</v>
      </c>
      <c r="H2161" s="4">
        <v>0.85</v>
      </c>
      <c r="I2161" s="1">
        <v>5</v>
      </c>
      <c r="J2161" s="4">
        <v>0.4</v>
      </c>
      <c r="K2161" s="1">
        <v>0</v>
      </c>
      <c r="L2161" s="1">
        <v>11</v>
      </c>
      <c r="M2161" s="32">
        <f>IF(Mecze[[#This Row],[PR]]=0,0,Mecze[[#This Row],[PR]]/Mecze[[#This Row],[CZAS]])</f>
        <v>0.11458333333333333</v>
      </c>
      <c r="N2161" s="32">
        <f>IF(Mecze[[#This Row],[OU]]=0,0,Mecze[[#This Row],[OU]]/Mecze[[#This Row],[CZAS]])</f>
        <v>2.0833333333333332E-2</v>
      </c>
      <c r="O2161" s="32">
        <f>IF(Mecze[[#This Row],[PC]]=0,0,Mecze[[#This Row],[PC]]/Mecze[[#This Row],[CZAS]])</f>
        <v>0.11458333333333333</v>
      </c>
      <c r="P2161" s="32">
        <f>IF(Mecze[[#This Row],[SC]]=0,0,Mecze[[#This Row],[SC]]/Mecze[[#This Row],[CZAS]])</f>
        <v>3.125E-2</v>
      </c>
      <c r="Q2161" s="32">
        <f>IF(Mecze[[#This Row],[OB]]=0,0,Mecze[[#This Row],[OB]]/Mecze[[#This Row],[CZAS]])</f>
        <v>0</v>
      </c>
      <c r="R2161" s="32">
        <f>IF(Mecze[[#This Row],[BR]]=0,0,Mecze[[#This Row],[BR]]/Mecze[[#This Row],[CZAS]])</f>
        <v>0</v>
      </c>
      <c r="S2161" s="44">
        <f>IF(Mecze[[#This Row],[Role]]="BR",SUMPRODUCT(Mecze[[#This Row],[/PR:90]:[/BR:90]],Brudnopis!$E$23:$J$23),0)</f>
        <v>0</v>
      </c>
      <c r="T2161" s="44">
        <f>IF(Mecze[[#This Row],[Role]]&lt;&gt;"BR",SUMPRODUCT(Mecze[[#This Row],[/PR:90]:[/BR:90]],Brudnopis!$E$24:$J$24),0)</f>
        <v>0.29166666666666663</v>
      </c>
      <c r="U2161" s="44">
        <f>IF(Mecze[[#This Row],[Role]]&lt;&gt;"BR",SUMPRODUCT(Mecze[[#This Row],[/PR:90]:[/BR:90]],Brudnopis!$E$25:$J$25),0)</f>
        <v>0.33854166666666663</v>
      </c>
      <c r="V2161" s="44">
        <f>IF(Mecze[[#This Row],[Role]]&lt;&gt;"BR",SUMPRODUCT(Mecze[[#This Row],[/PR:90]:[/BR:90]],Brudnopis!$E$26:$J$26),0)</f>
        <v>0.28125</v>
      </c>
      <c r="W2161" s="44">
        <f>IF(Mecze[[#This Row],[Role]]&lt;&gt;"BR",SUMPRODUCT(Mecze[[#This Row],[/PR:90]:[/BR:90]],Brudnopis!$E$27:$J$27),0)</f>
        <v>0.3046875</v>
      </c>
      <c r="X2161" s="44">
        <f>IF(Mecze[[#This Row],[Role]]&lt;&gt;"BR",SUMPRODUCT(Mecze[[#This Row],[/PR:90]:[/BR:90]],Brudnopis!$E$28:$J$28),0)</f>
        <v>0.17708333333333331</v>
      </c>
      <c r="Y2161" s="35">
        <f>IF(Mecze[[#This Row],[Role]]="BR",Mecze[[#This Row],[/OB:90]]+Mecze[[#This Row],[/PC:90]],SUM(Mecze[[#This Row],[/PR:90]:[/BR:90]]))</f>
        <v>0.28125</v>
      </c>
      <c r="Z2161" s="35">
        <f>IF(Mecze[[#This Row],[KC]]=0,SUM(Mecze[[#This Row],[/BRI]:[/NPI]]),SUM(Mecze[[#This Row],[/BRI]:[/NPI]])*0.6)</f>
        <v>1.3932291666666665</v>
      </c>
      <c r="AA2161" s="10">
        <f>IFERROR(Mecze[[#This Row],[BR]]/Mecze[[#This Row],[ST]],0)</f>
        <v>0</v>
      </c>
      <c r="AB2161">
        <f>ROUND(Mecze[[#This Row],[PD]]*Mecze[[#This Row],[%PC]],0)</f>
        <v>11</v>
      </c>
      <c r="AC2161">
        <f>ROUND(Mecze[[#This Row],[OD]]*Mecze[[#This Row],[%OU]],0)</f>
        <v>2</v>
      </c>
      <c r="AD2161" s="36" t="s">
        <v>67</v>
      </c>
      <c r="AE2161" s="36">
        <v>121</v>
      </c>
      <c r="AF2161" s="71">
        <v>7.93</v>
      </c>
      <c r="AG2161" s="37">
        <v>1</v>
      </c>
      <c r="AH2161" s="37">
        <v>0</v>
      </c>
      <c r="AI2161" s="37">
        <v>96</v>
      </c>
      <c r="AJ2161" s="37">
        <v>3</v>
      </c>
      <c r="AK2161" s="37" t="str">
        <f>VLOOKUP(Mecze[[#This Row],[Match ID]],Meczusie[Mecz]:Meczusie[RodzajMeczu],2,FALSE)</f>
        <v>Liga</v>
      </c>
    </row>
    <row r="2162" spans="1:37" x14ac:dyDescent="0.25">
      <c r="A2162" s="76">
        <v>3</v>
      </c>
      <c r="B2162" s="3" t="s">
        <v>268</v>
      </c>
      <c r="C2162" s="2" t="s">
        <v>160</v>
      </c>
      <c r="D2162" s="1">
        <v>1</v>
      </c>
      <c r="E2162" s="1">
        <v>9</v>
      </c>
      <c r="F2162" s="1">
        <v>9</v>
      </c>
      <c r="G2162" s="1">
        <v>4</v>
      </c>
      <c r="H2162" s="4">
        <v>0.75</v>
      </c>
      <c r="I2162" s="1">
        <v>3</v>
      </c>
      <c r="J2162" s="4">
        <v>0.33</v>
      </c>
      <c r="K2162" s="1">
        <v>0</v>
      </c>
      <c r="L2162" s="1">
        <v>3</v>
      </c>
      <c r="M2162" s="32">
        <f>IF(Mecze[[#This Row],[PR]]=0,0,Mecze[[#This Row],[PR]]/Mecze[[#This Row],[CZAS]])</f>
        <v>3.125E-2</v>
      </c>
      <c r="N2162" s="32">
        <f>IF(Mecze[[#This Row],[OU]]=0,0,Mecze[[#This Row],[OU]]/Mecze[[#This Row],[CZAS]])</f>
        <v>1.0416666666666666E-2</v>
      </c>
      <c r="O2162" s="32">
        <f>IF(Mecze[[#This Row],[PC]]=0,0,Mecze[[#This Row],[PC]]/Mecze[[#This Row],[CZAS]])</f>
        <v>3.125E-2</v>
      </c>
      <c r="P2162" s="32">
        <f>IF(Mecze[[#This Row],[SC]]=0,0,Mecze[[#This Row],[SC]]/Mecze[[#This Row],[CZAS]])</f>
        <v>9.375E-2</v>
      </c>
      <c r="Q2162" s="32">
        <f>IF(Mecze[[#This Row],[OB]]=0,0,Mecze[[#This Row],[OB]]/Mecze[[#This Row],[CZAS]])</f>
        <v>0</v>
      </c>
      <c r="R2162" s="32">
        <f>IF(Mecze[[#This Row],[BR]]=0,0,Mecze[[#This Row],[BR]]/Mecze[[#This Row],[CZAS]])</f>
        <v>1.0416666666666666E-2</v>
      </c>
      <c r="S2162" s="44">
        <f>IF(Mecze[[#This Row],[Role]]="BR",SUMPRODUCT(Mecze[[#This Row],[/PR:90]:[/BR:90]],Brudnopis!$E$23:$J$23),0)</f>
        <v>0</v>
      </c>
      <c r="T2162" s="44">
        <f>IF(Mecze[[#This Row],[Role]]&lt;&gt;"BR",SUMPRODUCT(Mecze[[#This Row],[/PR:90]:[/BR:90]],Brudnopis!$E$24:$J$24),0)</f>
        <v>0.1875</v>
      </c>
      <c r="U2162" s="44">
        <f>IF(Mecze[[#This Row],[Role]]&lt;&gt;"BR",SUMPRODUCT(Mecze[[#This Row],[/PR:90]:[/BR:90]],Brudnopis!$E$25:$J$25),0)</f>
        <v>0.19791666666666666</v>
      </c>
      <c r="V2162" s="44">
        <f>IF(Mecze[[#This Row],[Role]]&lt;&gt;"BR",SUMPRODUCT(Mecze[[#This Row],[/PR:90]:[/BR:90]],Brudnopis!$E$26:$J$26),0)</f>
        <v>0.1875</v>
      </c>
      <c r="W2162" s="44">
        <f>IF(Mecze[[#This Row],[Role]]&lt;&gt;"BR",SUMPRODUCT(Mecze[[#This Row],[/PR:90]:[/BR:90]],Brudnopis!$E$27:$J$27),0)</f>
        <v>0.19270833333333334</v>
      </c>
      <c r="X2162" s="44">
        <f>IF(Mecze[[#This Row],[Role]]&lt;&gt;"BR",SUMPRODUCT(Mecze[[#This Row],[/PR:90]:[/BR:90]],Brudnopis!$E$28:$J$28),0)</f>
        <v>0.25</v>
      </c>
      <c r="Y2162" s="35">
        <f>IF(Mecze[[#This Row],[Role]]="BR",Mecze[[#This Row],[/OB:90]]+Mecze[[#This Row],[/PC:90]],SUM(Mecze[[#This Row],[/PR:90]:[/BR:90]]))</f>
        <v>0.17708333333333331</v>
      </c>
      <c r="Z2162" s="35">
        <f>IF(Mecze[[#This Row],[KC]]=0,SUM(Mecze[[#This Row],[/BRI]:[/NPI]]),SUM(Mecze[[#This Row],[/BRI]:[/NPI]])*0.6)</f>
        <v>1.015625</v>
      </c>
      <c r="AA2162" s="10">
        <f>IFERROR(Mecze[[#This Row],[BR]]/Mecze[[#This Row],[ST]],0)</f>
        <v>0.1111111111111111</v>
      </c>
      <c r="AB2162">
        <f>ROUND(Mecze[[#This Row],[PD]]*Mecze[[#This Row],[%PC]],0)</f>
        <v>3</v>
      </c>
      <c r="AC2162">
        <f>ROUND(Mecze[[#This Row],[OD]]*Mecze[[#This Row],[%OU]],0)</f>
        <v>1</v>
      </c>
      <c r="AD2162" s="36" t="s">
        <v>44</v>
      </c>
      <c r="AE2162" s="36">
        <v>121</v>
      </c>
      <c r="AF2162" s="71">
        <v>8.73</v>
      </c>
      <c r="AG2162" s="37">
        <v>0</v>
      </c>
      <c r="AH2162" s="37">
        <v>0</v>
      </c>
      <c r="AI2162" s="37">
        <v>96</v>
      </c>
      <c r="AJ2162" s="37">
        <v>3</v>
      </c>
      <c r="AK2162" s="37" t="str">
        <f>VLOOKUP(Mecze[[#This Row],[Match ID]],Meczusie[Mecz]:Meczusie[RodzajMeczu],2,FALSE)</f>
        <v>Liga</v>
      </c>
    </row>
    <row r="2163" spans="1:37" x14ac:dyDescent="0.25">
      <c r="A2163" s="76">
        <v>8</v>
      </c>
      <c r="B2163" s="3" t="s">
        <v>269</v>
      </c>
      <c r="C2163" s="2" t="s">
        <v>165</v>
      </c>
      <c r="D2163" s="1">
        <v>2</v>
      </c>
      <c r="E2163" s="1">
        <v>10</v>
      </c>
      <c r="F2163" s="1">
        <v>8</v>
      </c>
      <c r="G2163" s="1">
        <v>6</v>
      </c>
      <c r="H2163" s="4">
        <v>1</v>
      </c>
      <c r="I2163" s="1">
        <v>4</v>
      </c>
      <c r="J2163" s="4">
        <v>0.5</v>
      </c>
      <c r="K2163" s="1">
        <v>0</v>
      </c>
      <c r="L2163" s="1">
        <v>0</v>
      </c>
      <c r="M2163" s="32">
        <f>IF(Mecze[[#This Row],[PR]]=0,0,Mecze[[#This Row],[PR]]/Mecze[[#This Row],[CZAS]])</f>
        <v>0</v>
      </c>
      <c r="N2163" s="32">
        <f>IF(Mecze[[#This Row],[OU]]=0,0,Mecze[[#This Row],[OU]]/Mecze[[#This Row],[CZAS]])</f>
        <v>2.0833333333333332E-2</v>
      </c>
      <c r="O2163" s="32">
        <f>IF(Mecze[[#This Row],[PC]]=0,0,Mecze[[#This Row],[PC]]/Mecze[[#This Row],[CZAS]])</f>
        <v>6.25E-2</v>
      </c>
      <c r="P2163" s="32">
        <f>IF(Mecze[[#This Row],[SC]]=0,0,Mecze[[#This Row],[SC]]/Mecze[[#This Row],[CZAS]])</f>
        <v>8.3333333333333329E-2</v>
      </c>
      <c r="Q2163" s="32">
        <f>IF(Mecze[[#This Row],[OB]]=0,0,Mecze[[#This Row],[OB]]/Mecze[[#This Row],[CZAS]])</f>
        <v>0</v>
      </c>
      <c r="R2163" s="32">
        <f>IF(Mecze[[#This Row],[BR]]=0,0,Mecze[[#This Row],[BR]]/Mecze[[#This Row],[CZAS]])</f>
        <v>2.0833333333333332E-2</v>
      </c>
      <c r="S2163" s="44">
        <f>IF(Mecze[[#This Row],[Role]]="BR",SUMPRODUCT(Mecze[[#This Row],[/PR:90]:[/BR:90]],Brudnopis!$E$23:$J$23),0)</f>
        <v>0</v>
      </c>
      <c r="T2163" s="44">
        <f>IF(Mecze[[#This Row],[Role]]&lt;&gt;"BR",SUMPRODUCT(Mecze[[#This Row],[/PR:90]:[/BR:90]],Brudnopis!$E$24:$J$24),0)</f>
        <v>0.20833333333333331</v>
      </c>
      <c r="U2163" s="44">
        <f>IF(Mecze[[#This Row],[Role]]&lt;&gt;"BR",SUMPRODUCT(Mecze[[#This Row],[/PR:90]:[/BR:90]],Brudnopis!$E$25:$J$25),0)</f>
        <v>0.22916666666666666</v>
      </c>
      <c r="V2163" s="44">
        <f>IF(Mecze[[#This Row],[Role]]&lt;&gt;"BR",SUMPRODUCT(Mecze[[#This Row],[/PR:90]:[/BR:90]],Brudnopis!$E$26:$J$26),0)</f>
        <v>0.20833333333333331</v>
      </c>
      <c r="W2163" s="44">
        <f>IF(Mecze[[#This Row],[Role]]&lt;&gt;"BR",SUMPRODUCT(Mecze[[#This Row],[/PR:90]:[/BR:90]],Brudnopis!$E$27:$J$27),0)</f>
        <v>0.23437499999999997</v>
      </c>
      <c r="X2163" s="44">
        <f>IF(Mecze[[#This Row],[Role]]&lt;&gt;"BR",SUMPRODUCT(Mecze[[#This Row],[/PR:90]:[/BR:90]],Brudnopis!$E$28:$J$28),0)</f>
        <v>0.29166666666666663</v>
      </c>
      <c r="Y2163" s="35">
        <f>IF(Mecze[[#This Row],[Role]]="BR",Mecze[[#This Row],[/OB:90]]+Mecze[[#This Row],[/PC:90]],SUM(Mecze[[#This Row],[/PR:90]:[/BR:90]]))</f>
        <v>0.1875</v>
      </c>
      <c r="Z2163" s="35">
        <f>IF(Mecze[[#This Row],[KC]]=0,SUM(Mecze[[#This Row],[/BRI]:[/NPI]]),SUM(Mecze[[#This Row],[/BRI]:[/NPI]])*0.6)</f>
        <v>1.171875</v>
      </c>
      <c r="AA2163" s="10">
        <f>IFERROR(Mecze[[#This Row],[BR]]/Mecze[[#This Row],[ST]],0)</f>
        <v>0.2</v>
      </c>
      <c r="AB2163">
        <f>ROUND(Mecze[[#This Row],[PD]]*Mecze[[#This Row],[%PC]],0)</f>
        <v>6</v>
      </c>
      <c r="AC2163">
        <f>ROUND(Mecze[[#This Row],[OD]]*Mecze[[#This Row],[%OU]],0)</f>
        <v>2</v>
      </c>
      <c r="AD2163" s="36" t="s">
        <v>272</v>
      </c>
      <c r="AE2163" s="36">
        <v>121</v>
      </c>
      <c r="AF2163" s="71">
        <v>13.43</v>
      </c>
      <c r="AG2163" s="37">
        <v>0</v>
      </c>
      <c r="AH2163" s="37">
        <v>0</v>
      </c>
      <c r="AI2163" s="37">
        <v>96</v>
      </c>
      <c r="AJ2163" s="37">
        <v>3</v>
      </c>
      <c r="AK2163" s="37" t="str">
        <f>VLOOKUP(Mecze[[#This Row],[Match ID]],Meczusie[Mecz]:Meczusie[RodzajMeczu],2,FALSE)</f>
        <v>Liga</v>
      </c>
    </row>
    <row r="2164" spans="1:37" x14ac:dyDescent="0.25">
      <c r="A2164" s="76">
        <v>11</v>
      </c>
      <c r="B2164" s="3" t="s">
        <v>270</v>
      </c>
      <c r="C2164" s="2" t="s">
        <v>165</v>
      </c>
      <c r="D2164" s="1">
        <v>1</v>
      </c>
      <c r="E2164" s="1">
        <v>8</v>
      </c>
      <c r="F2164" s="1">
        <v>6</v>
      </c>
      <c r="G2164" s="1">
        <v>9</v>
      </c>
      <c r="H2164" s="4">
        <v>0.44</v>
      </c>
      <c r="I2164" s="1">
        <v>2</v>
      </c>
      <c r="J2164" s="4">
        <v>1</v>
      </c>
      <c r="K2164" s="1">
        <v>0</v>
      </c>
      <c r="L2164" s="1">
        <v>0</v>
      </c>
      <c r="M2164" s="32">
        <f>IF(Mecze[[#This Row],[PR]]=0,0,Mecze[[#This Row],[PR]]/Mecze[[#This Row],[CZAS]])</f>
        <v>0</v>
      </c>
      <c r="N2164" s="32">
        <f>IF(Mecze[[#This Row],[OU]]=0,0,Mecze[[#This Row],[OU]]/Mecze[[#This Row],[CZAS]])</f>
        <v>2.0833333333333332E-2</v>
      </c>
      <c r="O2164" s="32">
        <f>IF(Mecze[[#This Row],[PC]]=0,0,Mecze[[#This Row],[PC]]/Mecze[[#This Row],[CZAS]])</f>
        <v>4.1666666666666664E-2</v>
      </c>
      <c r="P2164" s="32">
        <f>IF(Mecze[[#This Row],[SC]]=0,0,Mecze[[#This Row],[SC]]/Mecze[[#This Row],[CZAS]])</f>
        <v>6.25E-2</v>
      </c>
      <c r="Q2164" s="32">
        <f>IF(Mecze[[#This Row],[OB]]=0,0,Mecze[[#This Row],[OB]]/Mecze[[#This Row],[CZAS]])</f>
        <v>0</v>
      </c>
      <c r="R2164" s="32">
        <f>IF(Mecze[[#This Row],[BR]]=0,0,Mecze[[#This Row],[BR]]/Mecze[[#This Row],[CZAS]])</f>
        <v>1.0416666666666666E-2</v>
      </c>
      <c r="S2164" s="44">
        <f>IF(Mecze[[#This Row],[Role]]="BR",SUMPRODUCT(Mecze[[#This Row],[/PR:90]:[/BR:90]],Brudnopis!$E$23:$J$23),0)</f>
        <v>0</v>
      </c>
      <c r="T2164" s="44">
        <f>IF(Mecze[[#This Row],[Role]]&lt;&gt;"BR",SUMPRODUCT(Mecze[[#This Row],[/PR:90]:[/BR:90]],Brudnopis!$E$24:$J$24),0)</f>
        <v>0.15104166666666666</v>
      </c>
      <c r="U2164" s="44">
        <f>IF(Mecze[[#This Row],[Role]]&lt;&gt;"BR",SUMPRODUCT(Mecze[[#This Row],[/PR:90]:[/BR:90]],Brudnopis!$E$25:$J$25),0)</f>
        <v>0.16145833333333331</v>
      </c>
      <c r="V2164" s="44">
        <f>IF(Mecze[[#This Row],[Role]]&lt;&gt;"BR",SUMPRODUCT(Mecze[[#This Row],[/PR:90]:[/BR:90]],Brudnopis!$E$26:$J$26),0)</f>
        <v>0.14583333333333334</v>
      </c>
      <c r="W2164" s="44">
        <f>IF(Mecze[[#This Row],[Role]]&lt;&gt;"BR",SUMPRODUCT(Mecze[[#This Row],[/PR:90]:[/BR:90]],Brudnopis!$E$27:$J$27),0)</f>
        <v>0.16145833333333334</v>
      </c>
      <c r="X2164" s="44">
        <f>IF(Mecze[[#This Row],[Role]]&lt;&gt;"BR",SUMPRODUCT(Mecze[[#This Row],[/PR:90]:[/BR:90]],Brudnopis!$E$28:$J$28),0)</f>
        <v>0.19791666666666666</v>
      </c>
      <c r="Y2164" s="35">
        <f>IF(Mecze[[#This Row],[Role]]="BR",Mecze[[#This Row],[/OB:90]]+Mecze[[#This Row],[/PC:90]],SUM(Mecze[[#This Row],[/PR:90]:[/BR:90]]))</f>
        <v>0.13541666666666666</v>
      </c>
      <c r="Z2164" s="35">
        <f>IF(Mecze[[#This Row],[KC]]=0,SUM(Mecze[[#This Row],[/BRI]:[/NPI]]),SUM(Mecze[[#This Row],[/BRI]:[/NPI]])*0.6)</f>
        <v>0.81770833333333337</v>
      </c>
      <c r="AA2164" s="10">
        <f>IFERROR(Mecze[[#This Row],[BR]]/Mecze[[#This Row],[ST]],0)</f>
        <v>0.125</v>
      </c>
      <c r="AB2164">
        <f>ROUND(Mecze[[#This Row],[PD]]*Mecze[[#This Row],[%PC]],0)</f>
        <v>4</v>
      </c>
      <c r="AC2164">
        <f>ROUND(Mecze[[#This Row],[OD]]*Mecze[[#This Row],[%OU]],0)</f>
        <v>2</v>
      </c>
      <c r="AD2164" s="36" t="s">
        <v>273</v>
      </c>
      <c r="AE2164" s="36">
        <v>121</v>
      </c>
      <c r="AF2164" s="71">
        <v>7.55</v>
      </c>
      <c r="AG2164" s="37">
        <v>0</v>
      </c>
      <c r="AH2164" s="37">
        <v>0</v>
      </c>
      <c r="AI2164" s="37">
        <v>96</v>
      </c>
      <c r="AJ2164" s="37">
        <v>3</v>
      </c>
      <c r="AK2164" s="37" t="str">
        <f>VLOOKUP(Mecze[[#This Row],[Match ID]],Meczusie[Mecz]:Meczusie[RodzajMeczu],2,FALSE)</f>
        <v>Liga</v>
      </c>
    </row>
    <row r="2165" spans="1:37" x14ac:dyDescent="0.25">
      <c r="A2165" s="76">
        <v>10</v>
      </c>
      <c r="B2165" s="3" t="s">
        <v>271</v>
      </c>
      <c r="C2165" s="2" t="s">
        <v>165</v>
      </c>
      <c r="D2165" s="1">
        <v>1</v>
      </c>
      <c r="E2165" s="1">
        <v>5</v>
      </c>
      <c r="F2165" s="1">
        <v>5</v>
      </c>
      <c r="G2165" s="1">
        <v>4</v>
      </c>
      <c r="H2165" s="4">
        <v>0.75</v>
      </c>
      <c r="I2165" s="1">
        <v>2</v>
      </c>
      <c r="J2165" s="4">
        <v>0</v>
      </c>
      <c r="K2165" s="1">
        <v>0</v>
      </c>
      <c r="L2165" s="1">
        <v>0</v>
      </c>
      <c r="M2165" s="32">
        <f>IF(Mecze[[#This Row],[PR]]=0,0,Mecze[[#This Row],[PR]]/Mecze[[#This Row],[CZAS]])</f>
        <v>0</v>
      </c>
      <c r="N2165" s="32">
        <f>IF(Mecze[[#This Row],[OU]]=0,0,Mecze[[#This Row],[OU]]/Mecze[[#This Row],[CZAS]])</f>
        <v>0</v>
      </c>
      <c r="O2165" s="32">
        <f>IF(Mecze[[#This Row],[PC]]=0,0,Mecze[[#This Row],[PC]]/Mecze[[#This Row],[CZAS]])</f>
        <v>3.125E-2</v>
      </c>
      <c r="P2165" s="32">
        <f>IF(Mecze[[#This Row],[SC]]=0,0,Mecze[[#This Row],[SC]]/Mecze[[#This Row],[CZAS]])</f>
        <v>5.2083333333333336E-2</v>
      </c>
      <c r="Q2165" s="32">
        <f>IF(Mecze[[#This Row],[OB]]=0,0,Mecze[[#This Row],[OB]]/Mecze[[#This Row],[CZAS]])</f>
        <v>0</v>
      </c>
      <c r="R2165" s="32">
        <f>IF(Mecze[[#This Row],[BR]]=0,0,Mecze[[#This Row],[BR]]/Mecze[[#This Row],[CZAS]])</f>
        <v>1.0416666666666666E-2</v>
      </c>
      <c r="S2165" s="44">
        <f>IF(Mecze[[#This Row],[Role]]="BR",SUMPRODUCT(Mecze[[#This Row],[/PR:90]:[/BR:90]],Brudnopis!$E$23:$J$23),0)</f>
        <v>0</v>
      </c>
      <c r="T2165" s="44">
        <f>IF(Mecze[[#This Row],[Role]]&lt;&gt;"BR",SUMPRODUCT(Mecze[[#This Row],[/PR:90]:[/BR:90]],Brudnopis!$E$24:$J$24),0)</f>
        <v>9.8958333333333343E-2</v>
      </c>
      <c r="U2165" s="44">
        <f>IF(Mecze[[#This Row],[Role]]&lt;&gt;"BR",SUMPRODUCT(Mecze[[#This Row],[/PR:90]:[/BR:90]],Brudnopis!$E$25:$J$25),0)</f>
        <v>0.11458333333333334</v>
      </c>
      <c r="V2165" s="44">
        <f>IF(Mecze[[#This Row],[Role]]&lt;&gt;"BR",SUMPRODUCT(Mecze[[#This Row],[/PR:90]:[/BR:90]],Brudnopis!$E$26:$J$26),0)</f>
        <v>0.10416666666666667</v>
      </c>
      <c r="W2165" s="44">
        <f>IF(Mecze[[#This Row],[Role]]&lt;&gt;"BR",SUMPRODUCT(Mecze[[#This Row],[/PR:90]:[/BR:90]],Brudnopis!$E$27:$J$27),0)</f>
        <v>0.11979166666666667</v>
      </c>
      <c r="X2165" s="44">
        <f>IF(Mecze[[#This Row],[Role]]&lt;&gt;"BR",SUMPRODUCT(Mecze[[#This Row],[/PR:90]:[/BR:90]],Brudnopis!$E$28:$J$28),0)</f>
        <v>0.16666666666666669</v>
      </c>
      <c r="Y2165" s="35">
        <f>IF(Mecze[[#This Row],[Role]]="BR",Mecze[[#This Row],[/OB:90]]+Mecze[[#This Row],[/PC:90]],SUM(Mecze[[#This Row],[/PR:90]:[/BR:90]]))</f>
        <v>9.3750000000000014E-2</v>
      </c>
      <c r="Z2165" s="35">
        <f>IF(Mecze[[#This Row],[KC]]=0,SUM(Mecze[[#This Row],[/BRI]:[/NPI]]),SUM(Mecze[[#This Row],[/BRI]:[/NPI]])*0.6)</f>
        <v>0.60416666666666674</v>
      </c>
      <c r="AA2165" s="10">
        <f>IFERROR(Mecze[[#This Row],[BR]]/Mecze[[#This Row],[ST]],0)</f>
        <v>0.2</v>
      </c>
      <c r="AB2165">
        <f>ROUND(Mecze[[#This Row],[PD]]*Mecze[[#This Row],[%PC]],0)</f>
        <v>3</v>
      </c>
      <c r="AC2165">
        <f>ROUND(Mecze[[#This Row],[OD]]*Mecze[[#This Row],[%OU]],0)</f>
        <v>0</v>
      </c>
      <c r="AD2165" s="36" t="s">
        <v>46</v>
      </c>
      <c r="AE2165" s="36">
        <v>121</v>
      </c>
      <c r="AF2165" s="71">
        <v>7.33</v>
      </c>
      <c r="AG2165" s="37">
        <v>0</v>
      </c>
      <c r="AH2165" s="37">
        <v>0</v>
      </c>
      <c r="AI2165" s="37">
        <v>96</v>
      </c>
      <c r="AJ2165" s="37">
        <v>3</v>
      </c>
      <c r="AK2165" s="37" t="str">
        <f>VLOOKUP(Mecze[[#This Row],[Match ID]],Meczusie[Mecz]:Meczusie[RodzajMeczu],2,FALSE)</f>
        <v>Liga</v>
      </c>
    </row>
    <row r="2166" spans="1:37" x14ac:dyDescent="0.25">
      <c r="A2166" s="76">
        <v>1</v>
      </c>
      <c r="B2166" s="3" t="s">
        <v>236</v>
      </c>
      <c r="C2166" s="2" t="s">
        <v>155</v>
      </c>
      <c r="D2166" s="1">
        <v>0</v>
      </c>
      <c r="E2166" s="1">
        <v>0</v>
      </c>
      <c r="F2166" s="1">
        <v>0</v>
      </c>
      <c r="G2166" s="1">
        <v>12</v>
      </c>
      <c r="H2166" s="4">
        <v>0.33</v>
      </c>
      <c r="I2166" s="1">
        <v>0</v>
      </c>
      <c r="J2166" s="4"/>
      <c r="K2166" s="1">
        <v>12</v>
      </c>
      <c r="L2166" s="1">
        <v>0</v>
      </c>
      <c r="M2166" s="32">
        <f>IF(Mecze[[#This Row],[PR]]=0,0,Mecze[[#This Row],[PR]]/Mecze[[#This Row],[CZAS]])</f>
        <v>0</v>
      </c>
      <c r="N2166" s="32">
        <f>IF(Mecze[[#This Row],[OU]]=0,0,Mecze[[#This Row],[OU]]/Mecze[[#This Row],[CZAS]])</f>
        <v>0</v>
      </c>
      <c r="O2166" s="32">
        <f>IF(Mecze[[#This Row],[PC]]=0,0,Mecze[[#This Row],[PC]]/Mecze[[#This Row],[CZAS]])</f>
        <v>4.1666666666666664E-2</v>
      </c>
      <c r="P2166" s="32">
        <f>IF(Mecze[[#This Row],[SC]]=0,0,Mecze[[#This Row],[SC]]/Mecze[[#This Row],[CZAS]])</f>
        <v>0</v>
      </c>
      <c r="Q2166" s="32">
        <f>IF(Mecze[[#This Row],[OB]]=0,0,Mecze[[#This Row],[OB]]/Mecze[[#This Row],[CZAS]])</f>
        <v>0.125</v>
      </c>
      <c r="R2166" s="32">
        <f>IF(Mecze[[#This Row],[BR]]=0,0,Mecze[[#This Row],[BR]]/Mecze[[#This Row],[CZAS]])</f>
        <v>0</v>
      </c>
      <c r="S2166" s="44">
        <f>IF(Mecze[[#This Row],[Role]]="BR",SUMPRODUCT(Mecze[[#This Row],[/PR:90]:[/BR:90]],Brudnopis!$E$23:$J$23),0)</f>
        <v>0.5</v>
      </c>
      <c r="T2166" s="44">
        <f>IF(Mecze[[#This Row],[Role]]&lt;&gt;"BR",SUMPRODUCT(Mecze[[#This Row],[/PR:90]:[/BR:90]],Brudnopis!$E$24:$J$24),0)</f>
        <v>0</v>
      </c>
      <c r="U2166" s="44">
        <f>IF(Mecze[[#This Row],[Role]]&lt;&gt;"BR",SUMPRODUCT(Mecze[[#This Row],[/PR:90]:[/BR:90]],Brudnopis!$E$25:$J$25),0)</f>
        <v>0</v>
      </c>
      <c r="V2166" s="44">
        <f>IF(Mecze[[#This Row],[Role]]&lt;&gt;"BR",SUMPRODUCT(Mecze[[#This Row],[/PR:90]:[/BR:90]],Brudnopis!$E$26:$J$26),0)</f>
        <v>0</v>
      </c>
      <c r="W2166" s="44">
        <f>IF(Mecze[[#This Row],[Role]]&lt;&gt;"BR",SUMPRODUCT(Mecze[[#This Row],[/PR:90]:[/BR:90]],Brudnopis!$E$27:$J$27),0)</f>
        <v>0</v>
      </c>
      <c r="X2166" s="44">
        <f>IF(Mecze[[#This Row],[Role]]&lt;&gt;"BR",SUMPRODUCT(Mecze[[#This Row],[/PR:90]:[/BR:90]],Brudnopis!$E$28:$J$28),0)</f>
        <v>0</v>
      </c>
      <c r="Y2166" s="35">
        <f>IF(Mecze[[#This Row],[Role]]="BR",Mecze[[#This Row],[/OB:90]]+Mecze[[#This Row],[/PC:90]],SUM(Mecze[[#This Row],[/PR:90]:[/BR:90]]))</f>
        <v>0.16666666666666666</v>
      </c>
      <c r="Z2166" s="35">
        <f>IF(Mecze[[#This Row],[KC]]=0,SUM(Mecze[[#This Row],[/BRI]:[/NPI]]),SUM(Mecze[[#This Row],[/BRI]:[/NPI]])*0.6)</f>
        <v>0.5</v>
      </c>
      <c r="AA2166" s="10">
        <f>IFERROR(Mecze[[#This Row],[BR]]/Mecze[[#This Row],[ST]],0)</f>
        <v>0</v>
      </c>
      <c r="AB2166">
        <f>ROUND(Mecze[[#This Row],[PD]]*Mecze[[#This Row],[%PC]],0)</f>
        <v>4</v>
      </c>
      <c r="AC2166">
        <f>ROUND(Mecze[[#This Row],[OD]]*Mecze[[#This Row],[%OU]],0)</f>
        <v>0</v>
      </c>
      <c r="AD2166" s="36" t="s">
        <v>40</v>
      </c>
      <c r="AE2166" s="36">
        <v>122</v>
      </c>
      <c r="AF2166" s="71">
        <v>4.78</v>
      </c>
      <c r="AG2166" s="37">
        <v>0</v>
      </c>
      <c r="AH2166" s="37">
        <v>0</v>
      </c>
      <c r="AI2166" s="37">
        <v>96</v>
      </c>
      <c r="AJ2166" s="37">
        <v>10</v>
      </c>
      <c r="AK2166" s="37" t="str">
        <f>VLOOKUP(Mecze[[#This Row],[Match ID]],Meczusie[Mecz]:Meczusie[RodzajMeczu],2,FALSE)</f>
        <v>Liga</v>
      </c>
    </row>
    <row r="2167" spans="1:37" x14ac:dyDescent="0.25">
      <c r="A2167" s="76">
        <v>7</v>
      </c>
      <c r="B2167" s="3" t="s">
        <v>241</v>
      </c>
      <c r="C2167" s="2" t="s">
        <v>157</v>
      </c>
      <c r="D2167" s="1">
        <v>0</v>
      </c>
      <c r="E2167" s="1">
        <v>0</v>
      </c>
      <c r="F2167" s="1">
        <v>0</v>
      </c>
      <c r="G2167" s="1">
        <v>5</v>
      </c>
      <c r="H2167" s="4">
        <v>0.4</v>
      </c>
      <c r="I2167" s="1">
        <v>6</v>
      </c>
      <c r="J2167" s="4">
        <v>0.67</v>
      </c>
      <c r="K2167" s="1">
        <v>0</v>
      </c>
      <c r="L2167" s="1">
        <v>5</v>
      </c>
      <c r="M2167" s="32">
        <f>IF(Mecze[[#This Row],[PR]]=0,0,Mecze[[#This Row],[PR]]/Mecze[[#This Row],[CZAS]])</f>
        <v>5.2083333333333336E-2</v>
      </c>
      <c r="N2167" s="32">
        <f>IF(Mecze[[#This Row],[OU]]=0,0,Mecze[[#This Row],[OU]]/Mecze[[#This Row],[CZAS]])</f>
        <v>4.1666666666666664E-2</v>
      </c>
      <c r="O2167" s="32">
        <f>IF(Mecze[[#This Row],[PC]]=0,0,Mecze[[#This Row],[PC]]/Mecze[[#This Row],[CZAS]])</f>
        <v>2.0833333333333332E-2</v>
      </c>
      <c r="P2167" s="32">
        <f>IF(Mecze[[#This Row],[SC]]=0,0,Mecze[[#This Row],[SC]]/Mecze[[#This Row],[CZAS]])</f>
        <v>0</v>
      </c>
      <c r="Q2167" s="32">
        <f>IF(Mecze[[#This Row],[OB]]=0,0,Mecze[[#This Row],[OB]]/Mecze[[#This Row],[CZAS]])</f>
        <v>0</v>
      </c>
      <c r="R2167" s="32">
        <f>IF(Mecze[[#This Row],[BR]]=0,0,Mecze[[#This Row],[BR]]/Mecze[[#This Row],[CZAS]])</f>
        <v>0</v>
      </c>
      <c r="S2167" s="44">
        <f>IF(Mecze[[#This Row],[Role]]="BR",SUMPRODUCT(Mecze[[#This Row],[/PR:90]:[/BR:90]],Brudnopis!$E$23:$J$23),0)</f>
        <v>0</v>
      </c>
      <c r="T2167" s="44">
        <f>IF(Mecze[[#This Row],[Role]]&lt;&gt;"BR",SUMPRODUCT(Mecze[[#This Row],[/PR:90]:[/BR:90]],Brudnopis!$E$24:$J$24),0)</f>
        <v>0.13541666666666669</v>
      </c>
      <c r="U2167" s="44">
        <f>IF(Mecze[[#This Row],[Role]]&lt;&gt;"BR",SUMPRODUCT(Mecze[[#This Row],[/PR:90]:[/BR:90]],Brudnopis!$E$25:$J$25),0)</f>
        <v>0.125</v>
      </c>
      <c r="V2167" s="44">
        <f>IF(Mecze[[#This Row],[Role]]&lt;&gt;"BR",SUMPRODUCT(Mecze[[#This Row],[/PR:90]:[/BR:90]],Brudnopis!$E$26:$J$26),0)</f>
        <v>0.11458333333333333</v>
      </c>
      <c r="W2167" s="44">
        <f>IF(Mecze[[#This Row],[Role]]&lt;&gt;"BR",SUMPRODUCT(Mecze[[#This Row],[/PR:90]:[/BR:90]],Brudnopis!$E$27:$J$27),0)</f>
        <v>0.1015625</v>
      </c>
      <c r="X2167" s="44">
        <f>IF(Mecze[[#This Row],[Role]]&lt;&gt;"BR",SUMPRODUCT(Mecze[[#This Row],[/PR:90]:[/BR:90]],Brudnopis!$E$28:$J$28),0)</f>
        <v>2.0833333333333332E-2</v>
      </c>
      <c r="Y2167" s="35">
        <f>IF(Mecze[[#This Row],[Role]]="BR",Mecze[[#This Row],[/OB:90]]+Mecze[[#This Row],[/PC:90]],SUM(Mecze[[#This Row],[/PR:90]:[/BR:90]]))</f>
        <v>0.11458333333333333</v>
      </c>
      <c r="Z2167" s="35">
        <f>IF(Mecze[[#This Row],[KC]]=0,SUM(Mecze[[#This Row],[/BRI]:[/NPI]]),SUM(Mecze[[#This Row],[/BRI]:[/NPI]])*0.6)</f>
        <v>0.49739583333333331</v>
      </c>
      <c r="AA2167" s="10">
        <f>IFERROR(Mecze[[#This Row],[BR]]/Mecze[[#This Row],[ST]],0)</f>
        <v>0</v>
      </c>
      <c r="AB2167">
        <f>ROUND(Mecze[[#This Row],[PD]]*Mecze[[#This Row],[%PC]],0)</f>
        <v>2</v>
      </c>
      <c r="AC2167">
        <f>ROUND(Mecze[[#This Row],[OD]]*Mecze[[#This Row],[%OU]],0)</f>
        <v>4</v>
      </c>
      <c r="AD2167" s="36" t="s">
        <v>47</v>
      </c>
      <c r="AE2167" s="36">
        <v>122</v>
      </c>
      <c r="AF2167" s="71">
        <v>2.75</v>
      </c>
      <c r="AG2167" s="37">
        <v>0</v>
      </c>
      <c r="AH2167" s="37">
        <v>0</v>
      </c>
      <c r="AI2167" s="37">
        <v>96</v>
      </c>
      <c r="AJ2167" s="37">
        <v>10</v>
      </c>
      <c r="AK2167" s="37" t="str">
        <f>VLOOKUP(Mecze[[#This Row],[Match ID]],Meczusie[Mecz]:Meczusie[RodzajMeczu],2,FALSE)</f>
        <v>Liga</v>
      </c>
    </row>
    <row r="2168" spans="1:37" x14ac:dyDescent="0.25">
      <c r="A2168" s="76">
        <v>4</v>
      </c>
      <c r="B2168" s="3" t="s">
        <v>238</v>
      </c>
      <c r="C2168" s="2" t="s">
        <v>157</v>
      </c>
      <c r="D2168" s="1">
        <v>0</v>
      </c>
      <c r="E2168" s="1">
        <v>0</v>
      </c>
      <c r="F2168" s="1">
        <v>0</v>
      </c>
      <c r="G2168" s="1">
        <v>5</v>
      </c>
      <c r="H2168" s="4">
        <v>0.6</v>
      </c>
      <c r="I2168" s="1">
        <v>3</v>
      </c>
      <c r="J2168" s="4">
        <v>0.67</v>
      </c>
      <c r="K2168" s="1">
        <v>0</v>
      </c>
      <c r="L2168" s="1">
        <v>0</v>
      </c>
      <c r="M2168" s="32">
        <f>IF(Mecze[[#This Row],[PR]]=0,0,Mecze[[#This Row],[PR]]/Mecze[[#This Row],[CZAS]])</f>
        <v>0</v>
      </c>
      <c r="N2168" s="32">
        <f>IF(Mecze[[#This Row],[OU]]=0,0,Mecze[[#This Row],[OU]]/Mecze[[#This Row],[CZAS]])</f>
        <v>2.0833333333333332E-2</v>
      </c>
      <c r="O2168" s="32">
        <f>IF(Mecze[[#This Row],[PC]]=0,0,Mecze[[#This Row],[PC]]/Mecze[[#This Row],[CZAS]])</f>
        <v>3.125E-2</v>
      </c>
      <c r="P2168" s="32">
        <f>IF(Mecze[[#This Row],[SC]]=0,0,Mecze[[#This Row],[SC]]/Mecze[[#This Row],[CZAS]])</f>
        <v>0</v>
      </c>
      <c r="Q2168" s="32">
        <f>IF(Mecze[[#This Row],[OB]]=0,0,Mecze[[#This Row],[OB]]/Mecze[[#This Row],[CZAS]])</f>
        <v>0</v>
      </c>
      <c r="R2168" s="32">
        <f>IF(Mecze[[#This Row],[BR]]=0,0,Mecze[[#This Row],[BR]]/Mecze[[#This Row],[CZAS]])</f>
        <v>0</v>
      </c>
      <c r="S2168" s="44">
        <f>IF(Mecze[[#This Row],[Role]]="BR",SUMPRODUCT(Mecze[[#This Row],[/PR:90]:[/BR:90]],Brudnopis!$E$23:$J$23),0)</f>
        <v>0</v>
      </c>
      <c r="T2168" s="44">
        <f>IF(Mecze[[#This Row],[Role]]&lt;&gt;"BR",SUMPRODUCT(Mecze[[#This Row],[/PR:90]:[/BR:90]],Brudnopis!$E$24:$J$24),0)</f>
        <v>6.25E-2</v>
      </c>
      <c r="U2168" s="44">
        <f>IF(Mecze[[#This Row],[Role]]&lt;&gt;"BR",SUMPRODUCT(Mecze[[#This Row],[/PR:90]:[/BR:90]],Brudnopis!$E$25:$J$25),0)</f>
        <v>6.7708333333333329E-2</v>
      </c>
      <c r="V2168" s="44">
        <f>IF(Mecze[[#This Row],[Role]]&lt;&gt;"BR",SUMPRODUCT(Mecze[[#This Row],[/PR:90]:[/BR:90]],Brudnopis!$E$26:$J$26),0)</f>
        <v>5.2083333333333329E-2</v>
      </c>
      <c r="W2168" s="44">
        <f>IF(Mecze[[#This Row],[Role]]&lt;&gt;"BR",SUMPRODUCT(Mecze[[#This Row],[/PR:90]:[/BR:90]],Brudnopis!$E$27:$J$27),0)</f>
        <v>6.25E-2</v>
      </c>
      <c r="X2168" s="44">
        <f>IF(Mecze[[#This Row],[Role]]&lt;&gt;"BR",SUMPRODUCT(Mecze[[#This Row],[/PR:90]:[/BR:90]],Brudnopis!$E$28:$J$28),0)</f>
        <v>3.125E-2</v>
      </c>
      <c r="Y2168" s="35">
        <f>IF(Mecze[[#This Row],[Role]]="BR",Mecze[[#This Row],[/OB:90]]+Mecze[[#This Row],[/PC:90]],SUM(Mecze[[#This Row],[/PR:90]:[/BR:90]]))</f>
        <v>5.2083333333333329E-2</v>
      </c>
      <c r="Z2168" s="35">
        <f>IF(Mecze[[#This Row],[KC]]=0,SUM(Mecze[[#This Row],[/BRI]:[/NPI]]),SUM(Mecze[[#This Row],[/BRI]:[/NPI]])*0.6)</f>
        <v>0.27604166666666663</v>
      </c>
      <c r="AA2168" s="10">
        <f>IFERROR(Mecze[[#This Row],[BR]]/Mecze[[#This Row],[ST]],0)</f>
        <v>0</v>
      </c>
      <c r="AB2168">
        <f>ROUND(Mecze[[#This Row],[PD]]*Mecze[[#This Row],[%PC]],0)</f>
        <v>3</v>
      </c>
      <c r="AC2168">
        <f>ROUND(Mecze[[#This Row],[OD]]*Mecze[[#This Row],[%OU]],0)</f>
        <v>2</v>
      </c>
      <c r="AD2168" s="36" t="s">
        <v>47</v>
      </c>
      <c r="AE2168" s="36">
        <v>122</v>
      </c>
      <c r="AF2168" s="71">
        <v>1.7</v>
      </c>
      <c r="AG2168" s="37">
        <v>0</v>
      </c>
      <c r="AH2168" s="37">
        <v>0</v>
      </c>
      <c r="AI2168" s="37">
        <v>96</v>
      </c>
      <c r="AJ2168" s="37">
        <v>10</v>
      </c>
      <c r="AK2168" s="37" t="str">
        <f>VLOOKUP(Mecze[[#This Row],[Match ID]],Meczusie[Mecz]:Meczusie[RodzajMeczu],2,FALSE)</f>
        <v>Liga</v>
      </c>
    </row>
    <row r="2169" spans="1:37" x14ac:dyDescent="0.25">
      <c r="A2169" s="76">
        <v>2</v>
      </c>
      <c r="B2169" s="3" t="s">
        <v>240</v>
      </c>
      <c r="C2169" s="2" t="s">
        <v>157</v>
      </c>
      <c r="D2169" s="1">
        <v>0</v>
      </c>
      <c r="E2169" s="1">
        <v>0</v>
      </c>
      <c r="F2169" s="1">
        <v>0</v>
      </c>
      <c r="G2169" s="1">
        <v>19</v>
      </c>
      <c r="H2169" s="4">
        <v>0.68</v>
      </c>
      <c r="I2169" s="1">
        <v>23</v>
      </c>
      <c r="J2169" s="4">
        <v>0.48</v>
      </c>
      <c r="K2169" s="1">
        <v>0</v>
      </c>
      <c r="L2169" s="1">
        <v>23</v>
      </c>
      <c r="M2169" s="32">
        <f>IF(Mecze[[#This Row],[PR]]=0,0,Mecze[[#This Row],[PR]]/Mecze[[#This Row],[CZAS]])</f>
        <v>0.23958333333333334</v>
      </c>
      <c r="N2169" s="32">
        <f>IF(Mecze[[#This Row],[OU]]=0,0,Mecze[[#This Row],[OU]]/Mecze[[#This Row],[CZAS]])</f>
        <v>0.11458333333333333</v>
      </c>
      <c r="O2169" s="32">
        <f>IF(Mecze[[#This Row],[PC]]=0,0,Mecze[[#This Row],[PC]]/Mecze[[#This Row],[CZAS]])</f>
        <v>0.13541666666666666</v>
      </c>
      <c r="P2169" s="32">
        <f>IF(Mecze[[#This Row],[SC]]=0,0,Mecze[[#This Row],[SC]]/Mecze[[#This Row],[CZAS]])</f>
        <v>0</v>
      </c>
      <c r="Q2169" s="32">
        <f>IF(Mecze[[#This Row],[OB]]=0,0,Mecze[[#This Row],[OB]]/Mecze[[#This Row],[CZAS]])</f>
        <v>0</v>
      </c>
      <c r="R2169" s="32">
        <f>IF(Mecze[[#This Row],[BR]]=0,0,Mecze[[#This Row],[BR]]/Mecze[[#This Row],[CZAS]])</f>
        <v>0</v>
      </c>
      <c r="S2169" s="44">
        <f>IF(Mecze[[#This Row],[Role]]="BR",SUMPRODUCT(Mecze[[#This Row],[/PR:90]:[/BR:90]],Brudnopis!$E$23:$J$23),0)</f>
        <v>0</v>
      </c>
      <c r="T2169" s="44">
        <f>IF(Mecze[[#This Row],[Role]]&lt;&gt;"BR",SUMPRODUCT(Mecze[[#This Row],[/PR:90]:[/BR:90]],Brudnopis!$E$24:$J$24),0)</f>
        <v>0.546875</v>
      </c>
      <c r="U2169" s="44">
        <f>IF(Mecze[[#This Row],[Role]]&lt;&gt;"BR",SUMPRODUCT(Mecze[[#This Row],[/PR:90]:[/BR:90]],Brudnopis!$E$25:$J$25),0)</f>
        <v>0.55729166666666674</v>
      </c>
      <c r="V2169" s="44">
        <f>IF(Mecze[[#This Row],[Role]]&lt;&gt;"BR",SUMPRODUCT(Mecze[[#This Row],[/PR:90]:[/BR:90]],Brudnopis!$E$26:$J$26),0)</f>
        <v>0.48958333333333337</v>
      </c>
      <c r="W2169" s="44">
        <f>IF(Mecze[[#This Row],[Role]]&lt;&gt;"BR",SUMPRODUCT(Mecze[[#This Row],[/PR:90]:[/BR:90]],Brudnopis!$E$27:$J$27),0)</f>
        <v>0.46875</v>
      </c>
      <c r="X2169" s="44">
        <f>IF(Mecze[[#This Row],[Role]]&lt;&gt;"BR",SUMPRODUCT(Mecze[[#This Row],[/PR:90]:[/BR:90]],Brudnopis!$E$28:$J$28),0)</f>
        <v>0.13541666666666666</v>
      </c>
      <c r="Y2169" s="35">
        <f>IF(Mecze[[#This Row],[Role]]="BR",Mecze[[#This Row],[/OB:90]]+Mecze[[#This Row],[/PC:90]],SUM(Mecze[[#This Row],[/PR:90]:[/BR:90]]))</f>
        <v>0.48958333333333337</v>
      </c>
      <c r="Z2169" s="35">
        <f>IF(Mecze[[#This Row],[KC]]=0,SUM(Mecze[[#This Row],[/BRI]:[/NPI]]),SUM(Mecze[[#This Row],[/BRI]:[/NPI]])*0.6)</f>
        <v>2.1979166666666665</v>
      </c>
      <c r="AA2169" s="10">
        <f>IFERROR(Mecze[[#This Row],[BR]]/Mecze[[#This Row],[ST]],0)</f>
        <v>0</v>
      </c>
      <c r="AB2169">
        <f>ROUND(Mecze[[#This Row],[PD]]*Mecze[[#This Row],[%PC]],0)</f>
        <v>13</v>
      </c>
      <c r="AC2169">
        <f>ROUND(Mecze[[#This Row],[OD]]*Mecze[[#This Row],[%OU]],0)</f>
        <v>11</v>
      </c>
      <c r="AD2169" s="36" t="s">
        <v>174</v>
      </c>
      <c r="AE2169" s="36">
        <v>122</v>
      </c>
      <c r="AF2169" s="71">
        <v>5.41</v>
      </c>
      <c r="AG2169" s="37">
        <v>0</v>
      </c>
      <c r="AH2169" s="37">
        <v>0</v>
      </c>
      <c r="AI2169" s="37">
        <v>96</v>
      </c>
      <c r="AJ2169" s="37">
        <v>10</v>
      </c>
      <c r="AK2169" s="37" t="str">
        <f>VLOOKUP(Mecze[[#This Row],[Match ID]],Meczusie[Mecz]:Meczusie[RodzajMeczu],2,FALSE)</f>
        <v>Liga</v>
      </c>
    </row>
    <row r="2170" spans="1:37" x14ac:dyDescent="0.25">
      <c r="A2170" s="76">
        <v>12</v>
      </c>
      <c r="B2170" s="3" t="s">
        <v>239</v>
      </c>
      <c r="C2170" s="2" t="s">
        <v>157</v>
      </c>
      <c r="D2170" s="1">
        <v>0</v>
      </c>
      <c r="E2170" s="1">
        <v>0</v>
      </c>
      <c r="F2170" s="1">
        <v>0</v>
      </c>
      <c r="G2170" s="1">
        <v>1</v>
      </c>
      <c r="H2170" s="4">
        <v>0</v>
      </c>
      <c r="I2170" s="1">
        <v>0</v>
      </c>
      <c r="J2170" s="4"/>
      <c r="K2170" s="1">
        <v>0</v>
      </c>
      <c r="L2170" s="1">
        <v>1</v>
      </c>
      <c r="M2170" s="32">
        <f>IF(Mecze[[#This Row],[PR]]=0,0,Mecze[[#This Row],[PR]]/Mecze[[#This Row],[CZAS]])</f>
        <v>1.0416666666666666E-2</v>
      </c>
      <c r="N2170" s="32">
        <f>IF(Mecze[[#This Row],[OU]]=0,0,Mecze[[#This Row],[OU]]/Mecze[[#This Row],[CZAS]])</f>
        <v>0</v>
      </c>
      <c r="O2170" s="32">
        <f>IF(Mecze[[#This Row],[PC]]=0,0,Mecze[[#This Row],[PC]]/Mecze[[#This Row],[CZAS]])</f>
        <v>0</v>
      </c>
      <c r="P2170" s="32">
        <f>IF(Mecze[[#This Row],[SC]]=0,0,Mecze[[#This Row],[SC]]/Mecze[[#This Row],[CZAS]])</f>
        <v>0</v>
      </c>
      <c r="Q2170" s="32">
        <f>IF(Mecze[[#This Row],[OB]]=0,0,Mecze[[#This Row],[OB]]/Mecze[[#This Row],[CZAS]])</f>
        <v>0</v>
      </c>
      <c r="R2170" s="32">
        <f>IF(Mecze[[#This Row],[BR]]=0,0,Mecze[[#This Row],[BR]]/Mecze[[#This Row],[CZAS]])</f>
        <v>0</v>
      </c>
      <c r="S2170" s="44">
        <f>IF(Mecze[[#This Row],[Role]]="BR",SUMPRODUCT(Mecze[[#This Row],[/PR:90]:[/BR:90]],Brudnopis!$E$23:$J$23),0)</f>
        <v>0</v>
      </c>
      <c r="T2170" s="44">
        <f>IF(Mecze[[#This Row],[Role]]&lt;&gt;"BR",SUMPRODUCT(Mecze[[#This Row],[/PR:90]:[/BR:90]],Brudnopis!$E$24:$J$24),0)</f>
        <v>1.0416666666666666E-2</v>
      </c>
      <c r="U2170" s="44">
        <f>IF(Mecze[[#This Row],[Role]]&lt;&gt;"BR",SUMPRODUCT(Mecze[[#This Row],[/PR:90]:[/BR:90]],Brudnopis!$E$25:$J$25),0)</f>
        <v>1.0416666666666666E-2</v>
      </c>
      <c r="V2170" s="44">
        <f>IF(Mecze[[#This Row],[Role]]&lt;&gt;"BR",SUMPRODUCT(Mecze[[#This Row],[/PR:90]:[/BR:90]],Brudnopis!$E$26:$J$26),0)</f>
        <v>1.0416666666666666E-2</v>
      </c>
      <c r="W2170" s="44">
        <f>IF(Mecze[[#This Row],[Role]]&lt;&gt;"BR",SUMPRODUCT(Mecze[[#This Row],[/PR:90]:[/BR:90]],Brudnopis!$E$27:$J$27),0)</f>
        <v>7.8125E-3</v>
      </c>
      <c r="X2170" s="44">
        <f>IF(Mecze[[#This Row],[Role]]&lt;&gt;"BR",SUMPRODUCT(Mecze[[#This Row],[/PR:90]:[/BR:90]],Brudnopis!$E$28:$J$28),0)</f>
        <v>0</v>
      </c>
      <c r="Y2170" s="35">
        <f>IF(Mecze[[#This Row],[Role]]="BR",Mecze[[#This Row],[/OB:90]]+Mecze[[#This Row],[/PC:90]],SUM(Mecze[[#This Row],[/PR:90]:[/BR:90]]))</f>
        <v>1.0416666666666666E-2</v>
      </c>
      <c r="Z2170" s="35">
        <f>IF(Mecze[[#This Row],[KC]]=0,SUM(Mecze[[#This Row],[/BRI]:[/NPI]]),SUM(Mecze[[#This Row],[/BRI]:[/NPI]])*0.6)</f>
        <v>3.90625E-2</v>
      </c>
      <c r="AA2170" s="10">
        <f>IFERROR(Mecze[[#This Row],[BR]]/Mecze[[#This Row],[ST]],0)</f>
        <v>0</v>
      </c>
      <c r="AB2170">
        <f>ROUND(Mecze[[#This Row],[PD]]*Mecze[[#This Row],[%PC]],0)</f>
        <v>0</v>
      </c>
      <c r="AC2170">
        <f>ROUND(Mecze[[#This Row],[OD]]*Mecze[[#This Row],[%OU]],0)</f>
        <v>0</v>
      </c>
      <c r="AD2170" s="36" t="s">
        <v>175</v>
      </c>
      <c r="AE2170" s="36">
        <v>122</v>
      </c>
      <c r="AF2170" s="71">
        <v>0.79</v>
      </c>
      <c r="AG2170" s="37">
        <v>0</v>
      </c>
      <c r="AH2170" s="37">
        <v>0</v>
      </c>
      <c r="AI2170" s="37">
        <v>96</v>
      </c>
      <c r="AJ2170" s="37">
        <v>10</v>
      </c>
      <c r="AK2170" s="37" t="str">
        <f>VLOOKUP(Mecze[[#This Row],[Match ID]],Meczusie[Mecz]:Meczusie[RodzajMeczu],2,FALSE)</f>
        <v>Liga</v>
      </c>
    </row>
    <row r="2171" spans="1:37" x14ac:dyDescent="0.25">
      <c r="A2171" s="76">
        <v>5</v>
      </c>
      <c r="B2171" s="3" t="s">
        <v>242</v>
      </c>
      <c r="C2171" s="2" t="s">
        <v>160</v>
      </c>
      <c r="D2171" s="1">
        <v>0</v>
      </c>
      <c r="E2171" s="1">
        <v>0</v>
      </c>
      <c r="F2171" s="1">
        <v>0</v>
      </c>
      <c r="G2171" s="1">
        <v>9</v>
      </c>
      <c r="H2171" s="4">
        <v>0.78</v>
      </c>
      <c r="I2171" s="1">
        <v>0</v>
      </c>
      <c r="J2171" s="4"/>
      <c r="K2171" s="1">
        <v>0</v>
      </c>
      <c r="L2171" s="1">
        <v>5</v>
      </c>
      <c r="M2171" s="32">
        <f>IF(Mecze[[#This Row],[PR]]=0,0,Mecze[[#This Row],[PR]]/Mecze[[#This Row],[CZAS]])</f>
        <v>5.2083333333333336E-2</v>
      </c>
      <c r="N2171" s="32">
        <f>IF(Mecze[[#This Row],[OU]]=0,0,Mecze[[#This Row],[OU]]/Mecze[[#This Row],[CZAS]])</f>
        <v>0</v>
      </c>
      <c r="O2171" s="32">
        <f>IF(Mecze[[#This Row],[PC]]=0,0,Mecze[[#This Row],[PC]]/Mecze[[#This Row],[CZAS]])</f>
        <v>7.2916666666666671E-2</v>
      </c>
      <c r="P2171" s="32">
        <f>IF(Mecze[[#This Row],[SC]]=0,0,Mecze[[#This Row],[SC]]/Mecze[[#This Row],[CZAS]])</f>
        <v>0</v>
      </c>
      <c r="Q2171" s="32">
        <f>IF(Mecze[[#This Row],[OB]]=0,0,Mecze[[#This Row],[OB]]/Mecze[[#This Row],[CZAS]])</f>
        <v>0</v>
      </c>
      <c r="R2171" s="32">
        <f>IF(Mecze[[#This Row],[BR]]=0,0,Mecze[[#This Row],[BR]]/Mecze[[#This Row],[CZAS]])</f>
        <v>0</v>
      </c>
      <c r="S2171" s="44">
        <f>IF(Mecze[[#This Row],[Role]]="BR",SUMPRODUCT(Mecze[[#This Row],[/PR:90]:[/BR:90]],Brudnopis!$E$23:$J$23),0)</f>
        <v>0</v>
      </c>
      <c r="T2171" s="44">
        <f>IF(Mecze[[#This Row],[Role]]&lt;&gt;"BR",SUMPRODUCT(Mecze[[#This Row],[/PR:90]:[/BR:90]],Brudnopis!$E$24:$J$24),0)</f>
        <v>0.125</v>
      </c>
      <c r="U2171" s="44">
        <f>IF(Mecze[[#This Row],[Role]]&lt;&gt;"BR",SUMPRODUCT(Mecze[[#This Row],[/PR:90]:[/BR:90]],Brudnopis!$E$25:$J$25),0)</f>
        <v>0.16145833333333334</v>
      </c>
      <c r="V2171" s="44">
        <f>IF(Mecze[[#This Row],[Role]]&lt;&gt;"BR",SUMPRODUCT(Mecze[[#This Row],[/PR:90]:[/BR:90]],Brudnopis!$E$26:$J$26),0)</f>
        <v>0.125</v>
      </c>
      <c r="W2171" s="44">
        <f>IF(Mecze[[#This Row],[Role]]&lt;&gt;"BR",SUMPRODUCT(Mecze[[#This Row],[/PR:90]:[/BR:90]],Brudnopis!$E$27:$J$27),0)</f>
        <v>0.1484375</v>
      </c>
      <c r="X2171" s="44">
        <f>IF(Mecze[[#This Row],[Role]]&lt;&gt;"BR",SUMPRODUCT(Mecze[[#This Row],[/PR:90]:[/BR:90]],Brudnopis!$E$28:$J$28),0)</f>
        <v>7.2916666666666671E-2</v>
      </c>
      <c r="Y2171" s="35">
        <f>IF(Mecze[[#This Row],[Role]]="BR",Mecze[[#This Row],[/OB:90]]+Mecze[[#This Row],[/PC:90]],SUM(Mecze[[#This Row],[/PR:90]:[/BR:90]]))</f>
        <v>0.125</v>
      </c>
      <c r="Z2171" s="35">
        <f>IF(Mecze[[#This Row],[KC]]=0,SUM(Mecze[[#This Row],[/BRI]:[/NPI]]),SUM(Mecze[[#This Row],[/BRI]:[/NPI]])*0.6)</f>
        <v>0.6328125</v>
      </c>
      <c r="AA2171" s="10">
        <f>IFERROR(Mecze[[#This Row],[BR]]/Mecze[[#This Row],[ST]],0)</f>
        <v>0</v>
      </c>
      <c r="AB2171">
        <f>ROUND(Mecze[[#This Row],[PD]]*Mecze[[#This Row],[%PC]],0)</f>
        <v>7</v>
      </c>
      <c r="AC2171">
        <f>ROUND(Mecze[[#This Row],[OD]]*Mecze[[#This Row],[%OU]],0)</f>
        <v>0</v>
      </c>
      <c r="AD2171" s="36" t="s">
        <v>41</v>
      </c>
      <c r="AE2171" s="36">
        <v>122</v>
      </c>
      <c r="AF2171" s="71">
        <v>4.96</v>
      </c>
      <c r="AG2171" s="37">
        <v>0</v>
      </c>
      <c r="AH2171" s="37">
        <v>0</v>
      </c>
      <c r="AI2171" s="37">
        <v>96</v>
      </c>
      <c r="AJ2171" s="37">
        <v>10</v>
      </c>
      <c r="AK2171" s="37" t="str">
        <f>VLOOKUP(Mecze[[#This Row],[Match ID]],Meczusie[Mecz]:Meczusie[RodzajMeczu],2,FALSE)</f>
        <v>Liga</v>
      </c>
    </row>
    <row r="2172" spans="1:37" x14ac:dyDescent="0.25">
      <c r="A2172" s="76">
        <v>13</v>
      </c>
      <c r="B2172" s="3" t="s">
        <v>403</v>
      </c>
      <c r="C2172" s="2" t="s">
        <v>160</v>
      </c>
      <c r="D2172" s="1">
        <v>0</v>
      </c>
      <c r="E2172" s="1">
        <v>0</v>
      </c>
      <c r="F2172" s="1">
        <v>0</v>
      </c>
      <c r="G2172" s="1">
        <v>11</v>
      </c>
      <c r="H2172" s="4">
        <v>0.55000000000000004</v>
      </c>
      <c r="I2172" s="1">
        <v>2</v>
      </c>
      <c r="J2172" s="4">
        <v>0</v>
      </c>
      <c r="K2172" s="1">
        <v>0</v>
      </c>
      <c r="L2172" s="1">
        <v>2</v>
      </c>
      <c r="M2172" s="32">
        <f>IF(Mecze[[#This Row],[PR]]=0,0,Mecze[[#This Row],[PR]]/Mecze[[#This Row],[CZAS]])</f>
        <v>2.0833333333333332E-2</v>
      </c>
      <c r="N2172" s="32">
        <f>IF(Mecze[[#This Row],[OU]]=0,0,Mecze[[#This Row],[OU]]/Mecze[[#This Row],[CZAS]])</f>
        <v>0</v>
      </c>
      <c r="O2172" s="32">
        <f>IF(Mecze[[#This Row],[PC]]=0,0,Mecze[[#This Row],[PC]]/Mecze[[#This Row],[CZAS]])</f>
        <v>6.25E-2</v>
      </c>
      <c r="P2172" s="32">
        <f>IF(Mecze[[#This Row],[SC]]=0,0,Mecze[[#This Row],[SC]]/Mecze[[#This Row],[CZAS]])</f>
        <v>0</v>
      </c>
      <c r="Q2172" s="32">
        <f>IF(Mecze[[#This Row],[OB]]=0,0,Mecze[[#This Row],[OB]]/Mecze[[#This Row],[CZAS]])</f>
        <v>0</v>
      </c>
      <c r="R2172" s="32">
        <f>IF(Mecze[[#This Row],[BR]]=0,0,Mecze[[#This Row],[BR]]/Mecze[[#This Row],[CZAS]])</f>
        <v>0</v>
      </c>
      <c r="S2172" s="44">
        <f>IF(Mecze[[#This Row],[Role]]="BR",SUMPRODUCT(Mecze[[#This Row],[/PR:90]:[/BR:90]],Brudnopis!$E$23:$J$23),0)</f>
        <v>0</v>
      </c>
      <c r="T2172" s="44">
        <f>IF(Mecze[[#This Row],[Role]]&lt;&gt;"BR",SUMPRODUCT(Mecze[[#This Row],[/PR:90]:[/BR:90]],Brudnopis!$E$24:$J$24),0)</f>
        <v>8.3333333333333329E-2</v>
      </c>
      <c r="U2172" s="44">
        <f>IF(Mecze[[#This Row],[Role]]&lt;&gt;"BR",SUMPRODUCT(Mecze[[#This Row],[/PR:90]:[/BR:90]],Brudnopis!$E$25:$J$25),0)</f>
        <v>0.11458333333333333</v>
      </c>
      <c r="V2172" s="44">
        <f>IF(Mecze[[#This Row],[Role]]&lt;&gt;"BR",SUMPRODUCT(Mecze[[#This Row],[/PR:90]:[/BR:90]],Brudnopis!$E$26:$J$26),0)</f>
        <v>8.3333333333333329E-2</v>
      </c>
      <c r="W2172" s="44">
        <f>IF(Mecze[[#This Row],[Role]]&lt;&gt;"BR",SUMPRODUCT(Mecze[[#This Row],[/PR:90]:[/BR:90]],Brudnopis!$E$27:$J$27),0)</f>
        <v>0.109375</v>
      </c>
      <c r="X2172" s="44">
        <f>IF(Mecze[[#This Row],[Role]]&lt;&gt;"BR",SUMPRODUCT(Mecze[[#This Row],[/PR:90]:[/BR:90]],Brudnopis!$E$28:$J$28),0)</f>
        <v>6.25E-2</v>
      </c>
      <c r="Y2172" s="35">
        <f>IF(Mecze[[#This Row],[Role]]="BR",Mecze[[#This Row],[/OB:90]]+Mecze[[#This Row],[/PC:90]],SUM(Mecze[[#This Row],[/PR:90]:[/BR:90]]))</f>
        <v>8.3333333333333329E-2</v>
      </c>
      <c r="Z2172" s="35">
        <f>IF(Mecze[[#This Row],[KC]]=0,SUM(Mecze[[#This Row],[/BRI]:[/NPI]]),SUM(Mecze[[#This Row],[/BRI]:[/NPI]])*0.6)</f>
        <v>0.453125</v>
      </c>
      <c r="AA2172" s="10">
        <f>IFERROR(Mecze[[#This Row],[BR]]/Mecze[[#This Row],[ST]],0)</f>
        <v>0</v>
      </c>
      <c r="AB2172">
        <f>ROUND(Mecze[[#This Row],[PD]]*Mecze[[#This Row],[%PC]],0)</f>
        <v>6</v>
      </c>
      <c r="AC2172">
        <f>ROUND(Mecze[[#This Row],[OD]]*Mecze[[#This Row],[%OU]],0)</f>
        <v>0</v>
      </c>
      <c r="AD2172" s="36" t="s">
        <v>41</v>
      </c>
      <c r="AE2172" s="36">
        <v>122</v>
      </c>
      <c r="AF2172" s="71">
        <v>4.33</v>
      </c>
      <c r="AG2172" s="37">
        <v>0</v>
      </c>
      <c r="AH2172" s="37">
        <v>0</v>
      </c>
      <c r="AI2172" s="37">
        <v>96</v>
      </c>
      <c r="AJ2172" s="37">
        <v>10</v>
      </c>
      <c r="AK2172" s="37" t="str">
        <f>VLOOKUP(Mecze[[#This Row],[Match ID]],Meczusie[Mecz]:Meczusie[RodzajMeczu],2,FALSE)</f>
        <v>Liga</v>
      </c>
    </row>
    <row r="2173" spans="1:37" x14ac:dyDescent="0.25">
      <c r="A2173" s="76">
        <v>11</v>
      </c>
      <c r="B2173" s="3" t="s">
        <v>243</v>
      </c>
      <c r="C2173" s="2" t="s">
        <v>160</v>
      </c>
      <c r="D2173" s="1">
        <v>0</v>
      </c>
      <c r="E2173" s="1">
        <v>1</v>
      </c>
      <c r="F2173" s="1">
        <v>1</v>
      </c>
      <c r="G2173" s="1">
        <v>17</v>
      </c>
      <c r="H2173" s="4">
        <v>0.59</v>
      </c>
      <c r="I2173" s="1">
        <v>5</v>
      </c>
      <c r="J2173" s="4">
        <v>0</v>
      </c>
      <c r="K2173" s="1">
        <v>0</v>
      </c>
      <c r="L2173" s="1">
        <v>3</v>
      </c>
      <c r="M2173" s="32">
        <f>IF(Mecze[[#This Row],[PR]]=0,0,Mecze[[#This Row],[PR]]/Mecze[[#This Row],[CZAS]])</f>
        <v>3.125E-2</v>
      </c>
      <c r="N2173" s="32">
        <f>IF(Mecze[[#This Row],[OU]]=0,0,Mecze[[#This Row],[OU]]/Mecze[[#This Row],[CZAS]])</f>
        <v>0</v>
      </c>
      <c r="O2173" s="32">
        <f>IF(Mecze[[#This Row],[PC]]=0,0,Mecze[[#This Row],[PC]]/Mecze[[#This Row],[CZAS]])</f>
        <v>0.10416666666666667</v>
      </c>
      <c r="P2173" s="32">
        <f>IF(Mecze[[#This Row],[SC]]=0,0,Mecze[[#This Row],[SC]]/Mecze[[#This Row],[CZAS]])</f>
        <v>1.0416666666666666E-2</v>
      </c>
      <c r="Q2173" s="32">
        <f>IF(Mecze[[#This Row],[OB]]=0,0,Mecze[[#This Row],[OB]]/Mecze[[#This Row],[CZAS]])</f>
        <v>0</v>
      </c>
      <c r="R2173" s="32">
        <f>IF(Mecze[[#This Row],[BR]]=0,0,Mecze[[#This Row],[BR]]/Mecze[[#This Row],[CZAS]])</f>
        <v>0</v>
      </c>
      <c r="S2173" s="44">
        <f>IF(Mecze[[#This Row],[Role]]="BR",SUMPRODUCT(Mecze[[#This Row],[/PR:90]:[/BR:90]],Brudnopis!$E$23:$J$23),0)</f>
        <v>0</v>
      </c>
      <c r="T2173" s="44">
        <f>IF(Mecze[[#This Row],[Role]]&lt;&gt;"BR",SUMPRODUCT(Mecze[[#This Row],[/PR:90]:[/BR:90]],Brudnopis!$E$24:$J$24),0)</f>
        <v>0.14583333333333334</v>
      </c>
      <c r="U2173" s="44">
        <f>IF(Mecze[[#This Row],[Role]]&lt;&gt;"BR",SUMPRODUCT(Mecze[[#This Row],[/PR:90]:[/BR:90]],Brudnopis!$E$25:$J$25),0)</f>
        <v>0.19791666666666666</v>
      </c>
      <c r="V2173" s="44">
        <f>IF(Mecze[[#This Row],[Role]]&lt;&gt;"BR",SUMPRODUCT(Mecze[[#This Row],[/PR:90]:[/BR:90]],Brudnopis!$E$26:$J$26),0)</f>
        <v>0.14583333333333334</v>
      </c>
      <c r="W2173" s="44">
        <f>IF(Mecze[[#This Row],[Role]]&lt;&gt;"BR",SUMPRODUCT(Mecze[[#This Row],[/PR:90]:[/BR:90]],Brudnopis!$E$27:$J$27),0)</f>
        <v>0.19010416666666666</v>
      </c>
      <c r="X2173" s="44">
        <f>IF(Mecze[[#This Row],[Role]]&lt;&gt;"BR",SUMPRODUCT(Mecze[[#This Row],[/PR:90]:[/BR:90]],Brudnopis!$E$28:$J$28),0)</f>
        <v>0.125</v>
      </c>
      <c r="Y2173" s="35">
        <f>IF(Mecze[[#This Row],[Role]]="BR",Mecze[[#This Row],[/OB:90]]+Mecze[[#This Row],[/PC:90]],SUM(Mecze[[#This Row],[/PR:90]:[/BR:90]]))</f>
        <v>0.14583333333333334</v>
      </c>
      <c r="Z2173" s="35">
        <f>IF(Mecze[[#This Row],[KC]]=0,SUM(Mecze[[#This Row],[/BRI]:[/NPI]]),SUM(Mecze[[#This Row],[/BRI]:[/NPI]])*0.6)</f>
        <v>0.8046875</v>
      </c>
      <c r="AA2173" s="10">
        <f>IFERROR(Mecze[[#This Row],[BR]]/Mecze[[#This Row],[ST]],0)</f>
        <v>0</v>
      </c>
      <c r="AB2173">
        <f>ROUND(Mecze[[#This Row],[PD]]*Mecze[[#This Row],[%PC]],0)</f>
        <v>10</v>
      </c>
      <c r="AC2173">
        <f>ROUND(Mecze[[#This Row],[OD]]*Mecze[[#This Row],[%OU]],0)</f>
        <v>0</v>
      </c>
      <c r="AD2173" s="36" t="s">
        <v>67</v>
      </c>
      <c r="AE2173" s="36">
        <v>122</v>
      </c>
      <c r="AF2173" s="71">
        <v>4.7699999999999996</v>
      </c>
      <c r="AG2173" s="37">
        <v>0</v>
      </c>
      <c r="AH2173" s="37">
        <v>0</v>
      </c>
      <c r="AI2173" s="37">
        <v>96</v>
      </c>
      <c r="AJ2173" s="37">
        <v>10</v>
      </c>
      <c r="AK2173" s="37" t="str">
        <f>VLOOKUP(Mecze[[#This Row],[Match ID]],Meczusie[Mecz]:Meczusie[RodzajMeczu],2,FALSE)</f>
        <v>Liga</v>
      </c>
    </row>
    <row r="2174" spans="1:37" x14ac:dyDescent="0.25">
      <c r="A2174" s="76">
        <v>14</v>
      </c>
      <c r="B2174" s="3" t="s">
        <v>244</v>
      </c>
      <c r="C2174" s="2" t="s">
        <v>165</v>
      </c>
      <c r="D2174" s="1">
        <v>0</v>
      </c>
      <c r="E2174" s="1">
        <v>3</v>
      </c>
      <c r="F2174" s="1">
        <v>3</v>
      </c>
      <c r="G2174" s="1">
        <v>9</v>
      </c>
      <c r="H2174" s="4">
        <v>0.44</v>
      </c>
      <c r="I2174" s="1">
        <v>3</v>
      </c>
      <c r="J2174" s="4">
        <v>0.33</v>
      </c>
      <c r="K2174" s="1">
        <v>0</v>
      </c>
      <c r="L2174" s="1">
        <v>0</v>
      </c>
      <c r="M2174" s="32">
        <f>IF(Mecze[[#This Row],[PR]]=0,0,Mecze[[#This Row],[PR]]/Mecze[[#This Row],[CZAS]])</f>
        <v>0</v>
      </c>
      <c r="N2174" s="32">
        <f>IF(Mecze[[#This Row],[OU]]=0,0,Mecze[[#This Row],[OU]]/Mecze[[#This Row],[CZAS]])</f>
        <v>1.0416666666666666E-2</v>
      </c>
      <c r="O2174" s="32">
        <f>IF(Mecze[[#This Row],[PC]]=0,0,Mecze[[#This Row],[PC]]/Mecze[[#This Row],[CZAS]])</f>
        <v>4.1666666666666664E-2</v>
      </c>
      <c r="P2174" s="32">
        <f>IF(Mecze[[#This Row],[SC]]=0,0,Mecze[[#This Row],[SC]]/Mecze[[#This Row],[CZAS]])</f>
        <v>3.125E-2</v>
      </c>
      <c r="Q2174" s="32">
        <f>IF(Mecze[[#This Row],[OB]]=0,0,Mecze[[#This Row],[OB]]/Mecze[[#This Row],[CZAS]])</f>
        <v>0</v>
      </c>
      <c r="R2174" s="32">
        <f>IF(Mecze[[#This Row],[BR]]=0,0,Mecze[[#This Row],[BR]]/Mecze[[#This Row],[CZAS]])</f>
        <v>0</v>
      </c>
      <c r="S2174" s="44">
        <f>IF(Mecze[[#This Row],[Role]]="BR",SUMPRODUCT(Mecze[[#This Row],[/PR:90]:[/BR:90]],Brudnopis!$E$23:$J$23),0)</f>
        <v>0</v>
      </c>
      <c r="T2174" s="44">
        <f>IF(Mecze[[#This Row],[Role]]&lt;&gt;"BR",SUMPRODUCT(Mecze[[#This Row],[/PR:90]:[/BR:90]],Brudnopis!$E$24:$J$24),0)</f>
        <v>8.8541666666666657E-2</v>
      </c>
      <c r="U2174" s="44">
        <f>IF(Mecze[[#This Row],[Role]]&lt;&gt;"BR",SUMPRODUCT(Mecze[[#This Row],[/PR:90]:[/BR:90]],Brudnopis!$E$25:$J$25),0)</f>
        <v>0.10416666666666667</v>
      </c>
      <c r="V2174" s="44">
        <f>IF(Mecze[[#This Row],[Role]]&lt;&gt;"BR",SUMPRODUCT(Mecze[[#This Row],[/PR:90]:[/BR:90]],Brudnopis!$E$26:$J$26),0)</f>
        <v>8.3333333333333329E-2</v>
      </c>
      <c r="W2174" s="44">
        <f>IF(Mecze[[#This Row],[Role]]&lt;&gt;"BR",SUMPRODUCT(Mecze[[#This Row],[/PR:90]:[/BR:90]],Brudnopis!$E$27:$J$27),0)</f>
        <v>0.1015625</v>
      </c>
      <c r="X2174" s="44">
        <f>IF(Mecze[[#This Row],[Role]]&lt;&gt;"BR",SUMPRODUCT(Mecze[[#This Row],[/PR:90]:[/BR:90]],Brudnopis!$E$28:$J$28),0)</f>
        <v>0.10416666666666666</v>
      </c>
      <c r="Y2174" s="35">
        <f>IF(Mecze[[#This Row],[Role]]="BR",Mecze[[#This Row],[/OB:90]]+Mecze[[#This Row],[/PC:90]],SUM(Mecze[[#This Row],[/PR:90]:[/BR:90]]))</f>
        <v>8.3333333333333329E-2</v>
      </c>
      <c r="Z2174" s="35">
        <f>IF(Mecze[[#This Row],[KC]]=0,SUM(Mecze[[#This Row],[/BRI]:[/NPI]]),SUM(Mecze[[#This Row],[/BRI]:[/NPI]])*0.6)</f>
        <v>0.48177083333333326</v>
      </c>
      <c r="AA2174" s="10">
        <f>IFERROR(Mecze[[#This Row],[BR]]/Mecze[[#This Row],[ST]],0)</f>
        <v>0</v>
      </c>
      <c r="AB2174">
        <f>ROUND(Mecze[[#This Row],[PD]]*Mecze[[#This Row],[%PC]],0)</f>
        <v>4</v>
      </c>
      <c r="AC2174">
        <f>ROUND(Mecze[[#This Row],[OD]]*Mecze[[#This Row],[%OU]],0)</f>
        <v>1</v>
      </c>
      <c r="AD2174" s="36" t="s">
        <v>46</v>
      </c>
      <c r="AE2174" s="36">
        <v>122</v>
      </c>
      <c r="AF2174" s="71">
        <v>3.37</v>
      </c>
      <c r="AG2174" s="37">
        <v>0</v>
      </c>
      <c r="AH2174" s="37">
        <v>0</v>
      </c>
      <c r="AI2174" s="37">
        <v>96</v>
      </c>
      <c r="AJ2174" s="37">
        <v>10</v>
      </c>
      <c r="AK2174" s="37" t="str">
        <f>VLOOKUP(Mecze[[#This Row],[Match ID]],Meczusie[Mecz]:Meczusie[RodzajMeczu],2,FALSE)</f>
        <v>Liga</v>
      </c>
    </row>
    <row r="2175" spans="1:37" x14ac:dyDescent="0.25">
      <c r="A2175" s="76">
        <v>9</v>
      </c>
      <c r="B2175" s="3" t="s">
        <v>451</v>
      </c>
      <c r="C2175" s="2" t="s">
        <v>165</v>
      </c>
      <c r="D2175" s="1">
        <v>0</v>
      </c>
      <c r="E2175" s="1">
        <v>3</v>
      </c>
      <c r="F2175" s="1">
        <v>2</v>
      </c>
      <c r="G2175" s="1">
        <v>3</v>
      </c>
      <c r="H2175" s="4">
        <v>0.67</v>
      </c>
      <c r="I2175" s="1">
        <v>0</v>
      </c>
      <c r="J2175" s="4"/>
      <c r="K2175" s="1">
        <v>0</v>
      </c>
      <c r="L2175" s="1">
        <v>0</v>
      </c>
      <c r="M2175" s="32">
        <f>IF(Mecze[[#This Row],[PR]]=0,0,Mecze[[#This Row],[PR]]/Mecze[[#This Row],[CZAS]])</f>
        <v>0</v>
      </c>
      <c r="N2175" s="32">
        <f>IF(Mecze[[#This Row],[OU]]=0,0,Mecze[[#This Row],[OU]]/Mecze[[#This Row],[CZAS]])</f>
        <v>0</v>
      </c>
      <c r="O2175" s="32">
        <f>IF(Mecze[[#This Row],[PC]]=0,0,Mecze[[#This Row],[PC]]/Mecze[[#This Row],[CZAS]])</f>
        <v>2.0833333333333332E-2</v>
      </c>
      <c r="P2175" s="32">
        <f>IF(Mecze[[#This Row],[SC]]=0,0,Mecze[[#This Row],[SC]]/Mecze[[#This Row],[CZAS]])</f>
        <v>2.0833333333333332E-2</v>
      </c>
      <c r="Q2175" s="32">
        <f>IF(Mecze[[#This Row],[OB]]=0,0,Mecze[[#This Row],[OB]]/Mecze[[#This Row],[CZAS]])</f>
        <v>0</v>
      </c>
      <c r="R2175" s="32">
        <f>IF(Mecze[[#This Row],[BR]]=0,0,Mecze[[#This Row],[BR]]/Mecze[[#This Row],[CZAS]])</f>
        <v>0</v>
      </c>
      <c r="S2175" s="44">
        <f>IF(Mecze[[#This Row],[Role]]="BR",SUMPRODUCT(Mecze[[#This Row],[/PR:90]:[/BR:90]],Brudnopis!$E$23:$J$23),0)</f>
        <v>0</v>
      </c>
      <c r="T2175" s="44">
        <f>IF(Mecze[[#This Row],[Role]]&lt;&gt;"BR",SUMPRODUCT(Mecze[[#This Row],[/PR:90]:[/BR:90]],Brudnopis!$E$24:$J$24),0)</f>
        <v>4.1666666666666664E-2</v>
      </c>
      <c r="U2175" s="44">
        <f>IF(Mecze[[#This Row],[Role]]&lt;&gt;"BR",SUMPRODUCT(Mecze[[#This Row],[/PR:90]:[/BR:90]],Brudnopis!$E$25:$J$25),0)</f>
        <v>5.2083333333333329E-2</v>
      </c>
      <c r="V2175" s="44">
        <f>IF(Mecze[[#This Row],[Role]]&lt;&gt;"BR",SUMPRODUCT(Mecze[[#This Row],[/PR:90]:[/BR:90]],Brudnopis!$E$26:$J$26),0)</f>
        <v>4.1666666666666664E-2</v>
      </c>
      <c r="W2175" s="44">
        <f>IF(Mecze[[#This Row],[Role]]&lt;&gt;"BR",SUMPRODUCT(Mecze[[#This Row],[/PR:90]:[/BR:90]],Brudnopis!$E$27:$J$27),0)</f>
        <v>5.2083333333333329E-2</v>
      </c>
      <c r="X2175" s="44">
        <f>IF(Mecze[[#This Row],[Role]]&lt;&gt;"BR",SUMPRODUCT(Mecze[[#This Row],[/PR:90]:[/BR:90]],Brudnopis!$E$28:$J$28),0)</f>
        <v>6.25E-2</v>
      </c>
      <c r="Y2175" s="35">
        <f>IF(Mecze[[#This Row],[Role]]="BR",Mecze[[#This Row],[/OB:90]]+Mecze[[#This Row],[/PC:90]],SUM(Mecze[[#This Row],[/PR:90]:[/BR:90]]))</f>
        <v>4.1666666666666664E-2</v>
      </c>
      <c r="Z2175" s="35">
        <f>IF(Mecze[[#This Row],[KC]]=0,SUM(Mecze[[#This Row],[/BRI]:[/NPI]]),SUM(Mecze[[#This Row],[/BRI]:[/NPI]])*0.6)</f>
        <v>0.25</v>
      </c>
      <c r="AA2175" s="10">
        <f>IFERROR(Mecze[[#This Row],[BR]]/Mecze[[#This Row],[ST]],0)</f>
        <v>0</v>
      </c>
      <c r="AB2175">
        <f>ROUND(Mecze[[#This Row],[PD]]*Mecze[[#This Row],[%PC]],0)</f>
        <v>2</v>
      </c>
      <c r="AC2175">
        <f>ROUND(Mecze[[#This Row],[OD]]*Mecze[[#This Row],[%OU]],0)</f>
        <v>0</v>
      </c>
      <c r="AD2175" s="36" t="s">
        <v>46</v>
      </c>
      <c r="AE2175" s="36">
        <v>122</v>
      </c>
      <c r="AF2175" s="71">
        <v>3.15</v>
      </c>
      <c r="AG2175" s="37">
        <v>0</v>
      </c>
      <c r="AH2175" s="37">
        <v>0</v>
      </c>
      <c r="AI2175" s="37">
        <v>96</v>
      </c>
      <c r="AJ2175" s="37">
        <v>10</v>
      </c>
      <c r="AK2175" s="37" t="str">
        <f>VLOOKUP(Mecze[[#This Row],[Match ID]],Meczusie[Mecz]:Meczusie[RodzajMeczu],2,FALSE)</f>
        <v>Liga</v>
      </c>
    </row>
    <row r="2176" spans="1:37" x14ac:dyDescent="0.25">
      <c r="A2176" s="76">
        <v>10</v>
      </c>
      <c r="B2176" s="3" t="s">
        <v>246</v>
      </c>
      <c r="C2176" s="2" t="s">
        <v>165</v>
      </c>
      <c r="D2176" s="1">
        <v>1</v>
      </c>
      <c r="E2176" s="1">
        <v>2</v>
      </c>
      <c r="F2176" s="1">
        <v>2</v>
      </c>
      <c r="G2176" s="1">
        <v>8</v>
      </c>
      <c r="H2176" s="4">
        <v>0.88</v>
      </c>
      <c r="I2176" s="1">
        <v>2</v>
      </c>
      <c r="J2176" s="4">
        <v>1</v>
      </c>
      <c r="K2176" s="1">
        <v>0</v>
      </c>
      <c r="L2176" s="1">
        <v>0</v>
      </c>
      <c r="M2176" s="32">
        <f>IF(Mecze[[#This Row],[PR]]=0,0,Mecze[[#This Row],[PR]]/Mecze[[#This Row],[CZAS]])</f>
        <v>0</v>
      </c>
      <c r="N2176" s="32">
        <f>IF(Mecze[[#This Row],[OU]]=0,0,Mecze[[#This Row],[OU]]/Mecze[[#This Row],[CZAS]])</f>
        <v>2.0833333333333332E-2</v>
      </c>
      <c r="O2176" s="32">
        <f>IF(Mecze[[#This Row],[PC]]=0,0,Mecze[[#This Row],[PC]]/Mecze[[#This Row],[CZAS]])</f>
        <v>7.2916666666666671E-2</v>
      </c>
      <c r="P2176" s="32">
        <f>IF(Mecze[[#This Row],[SC]]=0,0,Mecze[[#This Row],[SC]]/Mecze[[#This Row],[CZAS]])</f>
        <v>2.0833333333333332E-2</v>
      </c>
      <c r="Q2176" s="32">
        <f>IF(Mecze[[#This Row],[OB]]=0,0,Mecze[[#This Row],[OB]]/Mecze[[#This Row],[CZAS]])</f>
        <v>0</v>
      </c>
      <c r="R2176" s="32">
        <f>IF(Mecze[[#This Row],[BR]]=0,0,Mecze[[#This Row],[BR]]/Mecze[[#This Row],[CZAS]])</f>
        <v>1.0416666666666666E-2</v>
      </c>
      <c r="S2176" s="44">
        <f>IF(Mecze[[#This Row],[Role]]="BR",SUMPRODUCT(Mecze[[#This Row],[/PR:90]:[/BR:90]],Brudnopis!$E$23:$J$23),0)</f>
        <v>0</v>
      </c>
      <c r="T2176" s="44">
        <f>IF(Mecze[[#This Row],[Role]]&lt;&gt;"BR",SUMPRODUCT(Mecze[[#This Row],[/PR:90]:[/BR:90]],Brudnopis!$E$24:$J$24),0)</f>
        <v>0.140625</v>
      </c>
      <c r="U2176" s="44">
        <f>IF(Mecze[[#This Row],[Role]]&lt;&gt;"BR",SUMPRODUCT(Mecze[[#This Row],[/PR:90]:[/BR:90]],Brudnopis!$E$25:$J$25),0)</f>
        <v>0.16666666666666669</v>
      </c>
      <c r="V2176" s="44">
        <f>IF(Mecze[[#This Row],[Role]]&lt;&gt;"BR",SUMPRODUCT(Mecze[[#This Row],[/PR:90]:[/BR:90]],Brudnopis!$E$26:$J$26),0)</f>
        <v>0.13541666666666666</v>
      </c>
      <c r="W2176" s="44">
        <f>IF(Mecze[[#This Row],[Role]]&lt;&gt;"BR",SUMPRODUCT(Mecze[[#This Row],[/PR:90]:[/BR:90]],Brudnopis!$E$27:$J$27),0)</f>
        <v>0.16666666666666669</v>
      </c>
      <c r="X2176" s="44">
        <f>IF(Mecze[[#This Row],[Role]]&lt;&gt;"BR",SUMPRODUCT(Mecze[[#This Row],[/PR:90]:[/BR:90]],Brudnopis!$E$28:$J$28),0)</f>
        <v>0.14583333333333334</v>
      </c>
      <c r="Y2176" s="35">
        <f>IF(Mecze[[#This Row],[Role]]="BR",Mecze[[#This Row],[/OB:90]]+Mecze[[#This Row],[/PC:90]],SUM(Mecze[[#This Row],[/PR:90]:[/BR:90]]))</f>
        <v>0.125</v>
      </c>
      <c r="Z2176" s="35">
        <f>IF(Mecze[[#This Row],[KC]]=0,SUM(Mecze[[#This Row],[/BRI]:[/NPI]]),SUM(Mecze[[#This Row],[/BRI]:[/NPI]])*0.6)</f>
        <v>0.75520833333333337</v>
      </c>
      <c r="AA2176" s="10">
        <f>IFERROR(Mecze[[#This Row],[BR]]/Mecze[[#This Row],[ST]],0)</f>
        <v>0.5</v>
      </c>
      <c r="AB2176">
        <f>ROUND(Mecze[[#This Row],[PD]]*Mecze[[#This Row],[%PC]],0)</f>
        <v>7</v>
      </c>
      <c r="AC2176">
        <f>ROUND(Mecze[[#This Row],[OD]]*Mecze[[#This Row],[%OU]],0)</f>
        <v>2</v>
      </c>
      <c r="AD2176" s="36" t="s">
        <v>46</v>
      </c>
      <c r="AE2176" s="36">
        <v>122</v>
      </c>
      <c r="AF2176" s="71">
        <v>7.7</v>
      </c>
      <c r="AG2176" s="37">
        <v>0</v>
      </c>
      <c r="AH2176" s="37">
        <v>0</v>
      </c>
      <c r="AI2176" s="37">
        <v>96</v>
      </c>
      <c r="AJ2176" s="37">
        <v>10</v>
      </c>
      <c r="AK2176" s="37" t="str">
        <f>VLOOKUP(Mecze[[#This Row],[Match ID]],Meczusie[Mecz]:Meczusie[RodzajMeczu],2,FALSE)</f>
        <v>Liga</v>
      </c>
    </row>
    <row r="2177" spans="1:37" x14ac:dyDescent="0.25">
      <c r="A2177" s="76">
        <v>208</v>
      </c>
      <c r="B2177" s="3" t="s">
        <v>436</v>
      </c>
      <c r="C2177" s="2" t="s">
        <v>155</v>
      </c>
      <c r="D2177" s="1">
        <v>0</v>
      </c>
      <c r="E2177" s="1">
        <v>0</v>
      </c>
      <c r="F2177" s="1">
        <v>0</v>
      </c>
      <c r="G2177" s="1">
        <v>8</v>
      </c>
      <c r="H2177" s="4">
        <v>0.25</v>
      </c>
      <c r="I2177" s="1">
        <v>0</v>
      </c>
      <c r="J2177" s="4"/>
      <c r="K2177" s="1">
        <v>8</v>
      </c>
      <c r="L2177" s="1">
        <v>0</v>
      </c>
      <c r="M2177" s="32">
        <f>IF(Mecze[[#This Row],[PR]]=0,0,Mecze[[#This Row],[PR]]/Mecze[[#This Row],[CZAS]])</f>
        <v>0</v>
      </c>
      <c r="N2177" s="32">
        <f>IF(Mecze[[#This Row],[OU]]=0,0,Mecze[[#This Row],[OU]]/Mecze[[#This Row],[CZAS]])</f>
        <v>0</v>
      </c>
      <c r="O2177" s="32">
        <f>IF(Mecze[[#This Row],[PC]]=0,0,Mecze[[#This Row],[PC]]/Mecze[[#This Row],[CZAS]])</f>
        <v>2.0833333333333332E-2</v>
      </c>
      <c r="P2177" s="32">
        <f>IF(Mecze[[#This Row],[SC]]=0,0,Mecze[[#This Row],[SC]]/Mecze[[#This Row],[CZAS]])</f>
        <v>0</v>
      </c>
      <c r="Q2177" s="32">
        <f>IF(Mecze[[#This Row],[OB]]=0,0,Mecze[[#This Row],[OB]]/Mecze[[#This Row],[CZAS]])</f>
        <v>8.3333333333333329E-2</v>
      </c>
      <c r="R2177" s="32">
        <f>IF(Mecze[[#This Row],[BR]]=0,0,Mecze[[#This Row],[BR]]/Mecze[[#This Row],[CZAS]])</f>
        <v>0</v>
      </c>
      <c r="S2177" s="44">
        <f>IF(Mecze[[#This Row],[Role]]="BR",SUMPRODUCT(Mecze[[#This Row],[/PR:90]:[/BR:90]],Brudnopis!$E$23:$J$23),0)</f>
        <v>0.3125</v>
      </c>
      <c r="T2177" s="44">
        <f>IF(Mecze[[#This Row],[Role]]&lt;&gt;"BR",SUMPRODUCT(Mecze[[#This Row],[/PR:90]:[/BR:90]],Brudnopis!$E$24:$J$24),0)</f>
        <v>0</v>
      </c>
      <c r="U2177" s="44">
        <f>IF(Mecze[[#This Row],[Role]]&lt;&gt;"BR",SUMPRODUCT(Mecze[[#This Row],[/PR:90]:[/BR:90]],Brudnopis!$E$25:$J$25),0)</f>
        <v>0</v>
      </c>
      <c r="V2177" s="44">
        <f>IF(Mecze[[#This Row],[Role]]&lt;&gt;"BR",SUMPRODUCT(Mecze[[#This Row],[/PR:90]:[/BR:90]],Brudnopis!$E$26:$J$26),0)</f>
        <v>0</v>
      </c>
      <c r="W2177" s="44">
        <f>IF(Mecze[[#This Row],[Role]]&lt;&gt;"BR",SUMPRODUCT(Mecze[[#This Row],[/PR:90]:[/BR:90]],Brudnopis!$E$27:$J$27),0)</f>
        <v>0</v>
      </c>
      <c r="X2177" s="44">
        <f>IF(Mecze[[#This Row],[Role]]&lt;&gt;"BR",SUMPRODUCT(Mecze[[#This Row],[/PR:90]:[/BR:90]],Brudnopis!$E$28:$J$28),0)</f>
        <v>0</v>
      </c>
      <c r="Y2177" s="35">
        <f>IF(Mecze[[#This Row],[Role]]="BR",Mecze[[#This Row],[/OB:90]]+Mecze[[#This Row],[/PC:90]],SUM(Mecze[[#This Row],[/PR:90]:[/BR:90]]))</f>
        <v>0.10416666666666666</v>
      </c>
      <c r="Z2177" s="35">
        <f>IF(Mecze[[#This Row],[KC]]=0,SUM(Mecze[[#This Row],[/BRI]:[/NPI]]),SUM(Mecze[[#This Row],[/BRI]:[/NPI]])*0.6)</f>
        <v>0.3125</v>
      </c>
      <c r="AA2177" s="10">
        <f>IFERROR(Mecze[[#This Row],[BR]]/Mecze[[#This Row],[ST]],0)</f>
        <v>0</v>
      </c>
      <c r="AB2177">
        <f>ROUND(Mecze[[#This Row],[PD]]*Mecze[[#This Row],[%PC]],0)</f>
        <v>2</v>
      </c>
      <c r="AC2177">
        <f>ROUND(Mecze[[#This Row],[OD]]*Mecze[[#This Row],[%OU]],0)</f>
        <v>0</v>
      </c>
      <c r="AD2177" s="36" t="s">
        <v>40</v>
      </c>
      <c r="AE2177" s="36">
        <v>122</v>
      </c>
      <c r="AF2177" s="71">
        <v>6.72</v>
      </c>
      <c r="AG2177" s="37">
        <v>0</v>
      </c>
      <c r="AH2177" s="37">
        <v>0</v>
      </c>
      <c r="AI2177" s="37">
        <v>96</v>
      </c>
      <c r="AJ2177" s="37">
        <v>7</v>
      </c>
      <c r="AK2177" s="37" t="str">
        <f>VLOOKUP(Mecze[[#This Row],[Match ID]],Meczusie[Mecz]:Meczusie[RodzajMeczu],2,FALSE)</f>
        <v>Liga</v>
      </c>
    </row>
    <row r="2178" spans="1:37" x14ac:dyDescent="0.25">
      <c r="A2178" s="76">
        <v>204</v>
      </c>
      <c r="B2178" s="3" t="s">
        <v>334</v>
      </c>
      <c r="C2178" s="2" t="s">
        <v>157</v>
      </c>
      <c r="D2178" s="1">
        <v>0</v>
      </c>
      <c r="E2178" s="1">
        <v>0</v>
      </c>
      <c r="F2178" s="1">
        <v>0</v>
      </c>
      <c r="G2178" s="1">
        <v>9</v>
      </c>
      <c r="H2178" s="4">
        <v>0.67</v>
      </c>
      <c r="I2178" s="1">
        <v>7</v>
      </c>
      <c r="J2178" s="4">
        <v>0.28999999999999998</v>
      </c>
      <c r="K2178" s="1">
        <v>0</v>
      </c>
      <c r="L2178" s="1">
        <v>7</v>
      </c>
      <c r="M2178" s="32">
        <f>IF(Mecze[[#This Row],[PR]]=0,0,Mecze[[#This Row],[PR]]/Mecze[[#This Row],[CZAS]])</f>
        <v>7.2916666666666671E-2</v>
      </c>
      <c r="N2178" s="32">
        <f>IF(Mecze[[#This Row],[OU]]=0,0,Mecze[[#This Row],[OU]]/Mecze[[#This Row],[CZAS]])</f>
        <v>2.0833333333333332E-2</v>
      </c>
      <c r="O2178" s="32">
        <f>IF(Mecze[[#This Row],[PC]]=0,0,Mecze[[#This Row],[PC]]/Mecze[[#This Row],[CZAS]])</f>
        <v>6.25E-2</v>
      </c>
      <c r="P2178" s="32">
        <f>IF(Mecze[[#This Row],[SC]]=0,0,Mecze[[#This Row],[SC]]/Mecze[[#This Row],[CZAS]])</f>
        <v>0</v>
      </c>
      <c r="Q2178" s="32">
        <f>IF(Mecze[[#This Row],[OB]]=0,0,Mecze[[#This Row],[OB]]/Mecze[[#This Row],[CZAS]])</f>
        <v>0</v>
      </c>
      <c r="R2178" s="32">
        <f>IF(Mecze[[#This Row],[BR]]=0,0,Mecze[[#This Row],[BR]]/Mecze[[#This Row],[CZAS]])</f>
        <v>0</v>
      </c>
      <c r="S2178" s="44">
        <f>IF(Mecze[[#This Row],[Role]]="BR",SUMPRODUCT(Mecze[[#This Row],[/PR:90]:[/BR:90]],Brudnopis!$E$23:$J$23),0)</f>
        <v>0</v>
      </c>
      <c r="T2178" s="44">
        <f>IF(Mecze[[#This Row],[Role]]&lt;&gt;"BR",SUMPRODUCT(Mecze[[#This Row],[/PR:90]:[/BR:90]],Brudnopis!$E$24:$J$24),0)</f>
        <v>0.16666666666666669</v>
      </c>
      <c r="U2178" s="44">
        <f>IF(Mecze[[#This Row],[Role]]&lt;&gt;"BR",SUMPRODUCT(Mecze[[#This Row],[/PR:90]:[/BR:90]],Brudnopis!$E$25:$J$25),0)</f>
        <v>0.1875</v>
      </c>
      <c r="V2178" s="44">
        <f>IF(Mecze[[#This Row],[Role]]&lt;&gt;"BR",SUMPRODUCT(Mecze[[#This Row],[/PR:90]:[/BR:90]],Brudnopis!$E$26:$J$26),0)</f>
        <v>0.15625</v>
      </c>
      <c r="W2178" s="44">
        <f>IF(Mecze[[#This Row],[Role]]&lt;&gt;"BR",SUMPRODUCT(Mecze[[#This Row],[/PR:90]:[/BR:90]],Brudnopis!$E$27:$J$27),0)</f>
        <v>0.1640625</v>
      </c>
      <c r="X2178" s="44">
        <f>IF(Mecze[[#This Row],[Role]]&lt;&gt;"BR",SUMPRODUCT(Mecze[[#This Row],[/PR:90]:[/BR:90]],Brudnopis!$E$28:$J$28),0)</f>
        <v>6.25E-2</v>
      </c>
      <c r="Y2178" s="35">
        <f>IF(Mecze[[#This Row],[Role]]="BR",Mecze[[#This Row],[/OB:90]]+Mecze[[#This Row],[/PC:90]],SUM(Mecze[[#This Row],[/PR:90]:[/BR:90]]))</f>
        <v>0.15625</v>
      </c>
      <c r="Z2178" s="35">
        <f>IF(Mecze[[#This Row],[KC]]=0,SUM(Mecze[[#This Row],[/BRI]:[/NPI]]),SUM(Mecze[[#This Row],[/BRI]:[/NPI]])*0.6)</f>
        <v>0.73697916666666674</v>
      </c>
      <c r="AA2178" s="10">
        <f>IFERROR(Mecze[[#This Row],[BR]]/Mecze[[#This Row],[ST]],0)</f>
        <v>0</v>
      </c>
      <c r="AB2178">
        <f>ROUND(Mecze[[#This Row],[PD]]*Mecze[[#This Row],[%PC]],0)</f>
        <v>6</v>
      </c>
      <c r="AC2178">
        <f>ROUND(Mecze[[#This Row],[OD]]*Mecze[[#This Row],[%OU]],0)</f>
        <v>2</v>
      </c>
      <c r="AD2178" s="36" t="s">
        <v>47</v>
      </c>
      <c r="AE2178" s="36">
        <v>122</v>
      </c>
      <c r="AF2178" s="71">
        <v>5.39</v>
      </c>
      <c r="AG2178" s="37">
        <v>0</v>
      </c>
      <c r="AH2178" s="37">
        <v>0</v>
      </c>
      <c r="AI2178" s="37">
        <v>96</v>
      </c>
      <c r="AJ2178" s="37">
        <v>7</v>
      </c>
      <c r="AK2178" s="37" t="str">
        <f>VLOOKUP(Mecze[[#This Row],[Match ID]],Meczusie[Mecz]:Meczusie[RodzajMeczu],2,FALSE)</f>
        <v>Liga</v>
      </c>
    </row>
    <row r="2179" spans="1:37" x14ac:dyDescent="0.25">
      <c r="A2179" s="76">
        <v>156</v>
      </c>
      <c r="B2179" s="3" t="s">
        <v>443</v>
      </c>
      <c r="C2179" s="2" t="s">
        <v>157</v>
      </c>
      <c r="D2179" s="1">
        <v>0</v>
      </c>
      <c r="E2179" s="1">
        <v>0</v>
      </c>
      <c r="F2179" s="1">
        <v>0</v>
      </c>
      <c r="G2179" s="1">
        <v>4</v>
      </c>
      <c r="H2179" s="4">
        <v>1</v>
      </c>
      <c r="I2179" s="1">
        <v>2</v>
      </c>
      <c r="J2179" s="4">
        <v>0.5</v>
      </c>
      <c r="K2179" s="1">
        <v>0</v>
      </c>
      <c r="L2179" s="1">
        <v>5</v>
      </c>
      <c r="M2179" s="32">
        <f>IF(Mecze[[#This Row],[PR]]=0,0,Mecze[[#This Row],[PR]]/Mecze[[#This Row],[CZAS]])</f>
        <v>5.2083333333333336E-2</v>
      </c>
      <c r="N2179" s="32">
        <f>IF(Mecze[[#This Row],[OU]]=0,0,Mecze[[#This Row],[OU]]/Mecze[[#This Row],[CZAS]])</f>
        <v>1.0416666666666666E-2</v>
      </c>
      <c r="O2179" s="32">
        <f>IF(Mecze[[#This Row],[PC]]=0,0,Mecze[[#This Row],[PC]]/Mecze[[#This Row],[CZAS]])</f>
        <v>4.1666666666666664E-2</v>
      </c>
      <c r="P2179" s="32">
        <f>IF(Mecze[[#This Row],[SC]]=0,0,Mecze[[#This Row],[SC]]/Mecze[[#This Row],[CZAS]])</f>
        <v>0</v>
      </c>
      <c r="Q2179" s="32">
        <f>IF(Mecze[[#This Row],[OB]]=0,0,Mecze[[#This Row],[OB]]/Mecze[[#This Row],[CZAS]])</f>
        <v>0</v>
      </c>
      <c r="R2179" s="32">
        <f>IF(Mecze[[#This Row],[BR]]=0,0,Mecze[[#This Row],[BR]]/Mecze[[#This Row],[CZAS]])</f>
        <v>0</v>
      </c>
      <c r="S2179" s="44">
        <f>IF(Mecze[[#This Row],[Role]]="BR",SUMPRODUCT(Mecze[[#This Row],[/PR:90]:[/BR:90]],Brudnopis!$E$23:$J$23),0)</f>
        <v>0</v>
      </c>
      <c r="T2179" s="44">
        <f>IF(Mecze[[#This Row],[Role]]&lt;&gt;"BR",SUMPRODUCT(Mecze[[#This Row],[/PR:90]:[/BR:90]],Brudnopis!$E$24:$J$24),0)</f>
        <v>0.109375</v>
      </c>
      <c r="U2179" s="44">
        <f>IF(Mecze[[#This Row],[Role]]&lt;&gt;"BR",SUMPRODUCT(Mecze[[#This Row],[/PR:90]:[/BR:90]],Brudnopis!$E$25:$J$25),0)</f>
        <v>0.125</v>
      </c>
      <c r="V2179" s="44">
        <f>IF(Mecze[[#This Row],[Role]]&lt;&gt;"BR",SUMPRODUCT(Mecze[[#This Row],[/PR:90]:[/BR:90]],Brudnopis!$E$26:$J$26),0)</f>
        <v>0.10416666666666666</v>
      </c>
      <c r="W2179" s="44">
        <f>IF(Mecze[[#This Row],[Role]]&lt;&gt;"BR",SUMPRODUCT(Mecze[[#This Row],[/PR:90]:[/BR:90]],Brudnopis!$E$27:$J$27),0)</f>
        <v>0.109375</v>
      </c>
      <c r="X2179" s="44">
        <f>IF(Mecze[[#This Row],[Role]]&lt;&gt;"BR",SUMPRODUCT(Mecze[[#This Row],[/PR:90]:[/BR:90]],Brudnopis!$E$28:$J$28),0)</f>
        <v>4.1666666666666664E-2</v>
      </c>
      <c r="Y2179" s="35">
        <f>IF(Mecze[[#This Row],[Role]]="BR",Mecze[[#This Row],[/OB:90]]+Mecze[[#This Row],[/PC:90]],SUM(Mecze[[#This Row],[/PR:90]:[/BR:90]]))</f>
        <v>0.10416666666666666</v>
      </c>
      <c r="Z2179" s="35">
        <f>IF(Mecze[[#This Row],[KC]]=0,SUM(Mecze[[#This Row],[/BRI]:[/NPI]]),SUM(Mecze[[#This Row],[/BRI]:[/NPI]])*0.6)</f>
        <v>0.48958333333333331</v>
      </c>
      <c r="AA2179" s="10">
        <f>IFERROR(Mecze[[#This Row],[BR]]/Mecze[[#This Row],[ST]],0)</f>
        <v>0</v>
      </c>
      <c r="AB2179">
        <f>ROUND(Mecze[[#This Row],[PD]]*Mecze[[#This Row],[%PC]],0)</f>
        <v>4</v>
      </c>
      <c r="AC2179">
        <f>ROUND(Mecze[[#This Row],[OD]]*Mecze[[#This Row],[%OU]],0)</f>
        <v>1</v>
      </c>
      <c r="AD2179" s="36" t="s">
        <v>168</v>
      </c>
      <c r="AE2179" s="36">
        <v>122</v>
      </c>
      <c r="AF2179" s="71">
        <v>4.97</v>
      </c>
      <c r="AG2179" s="37">
        <v>0</v>
      </c>
      <c r="AH2179" s="37">
        <v>0</v>
      </c>
      <c r="AI2179" s="37">
        <v>96</v>
      </c>
      <c r="AJ2179" s="37">
        <v>7</v>
      </c>
      <c r="AK2179" s="37" t="str">
        <f>VLOOKUP(Mecze[[#This Row],[Match ID]],Meczusie[Mecz]:Meczusie[RodzajMeczu],2,FALSE)</f>
        <v>Liga</v>
      </c>
    </row>
    <row r="2180" spans="1:37" x14ac:dyDescent="0.25">
      <c r="A2180" s="76">
        <v>150</v>
      </c>
      <c r="B2180" s="3" t="s">
        <v>335</v>
      </c>
      <c r="C2180" s="2" t="s">
        <v>157</v>
      </c>
      <c r="D2180" s="1">
        <v>0</v>
      </c>
      <c r="E2180" s="1">
        <v>0</v>
      </c>
      <c r="F2180" s="1">
        <v>0</v>
      </c>
      <c r="G2180" s="1">
        <v>4</v>
      </c>
      <c r="H2180" s="4">
        <v>0.75</v>
      </c>
      <c r="I2180" s="1">
        <v>2</v>
      </c>
      <c r="J2180" s="4">
        <v>0.5</v>
      </c>
      <c r="K2180" s="1">
        <v>0</v>
      </c>
      <c r="L2180" s="1">
        <v>3</v>
      </c>
      <c r="M2180" s="32">
        <f>IF(Mecze[[#This Row],[PR]]=0,0,Mecze[[#This Row],[PR]]/Mecze[[#This Row],[CZAS]])</f>
        <v>3.125E-2</v>
      </c>
      <c r="N2180" s="32">
        <f>IF(Mecze[[#This Row],[OU]]=0,0,Mecze[[#This Row],[OU]]/Mecze[[#This Row],[CZAS]])</f>
        <v>1.0416666666666666E-2</v>
      </c>
      <c r="O2180" s="32">
        <f>IF(Mecze[[#This Row],[PC]]=0,0,Mecze[[#This Row],[PC]]/Mecze[[#This Row],[CZAS]])</f>
        <v>3.125E-2</v>
      </c>
      <c r="P2180" s="32">
        <f>IF(Mecze[[#This Row],[SC]]=0,0,Mecze[[#This Row],[SC]]/Mecze[[#This Row],[CZAS]])</f>
        <v>0</v>
      </c>
      <c r="Q2180" s="32">
        <f>IF(Mecze[[#This Row],[OB]]=0,0,Mecze[[#This Row],[OB]]/Mecze[[#This Row],[CZAS]])</f>
        <v>0</v>
      </c>
      <c r="R2180" s="32">
        <f>IF(Mecze[[#This Row],[BR]]=0,0,Mecze[[#This Row],[BR]]/Mecze[[#This Row],[CZAS]])</f>
        <v>0</v>
      </c>
      <c r="S2180" s="44">
        <f>IF(Mecze[[#This Row],[Role]]="BR",SUMPRODUCT(Mecze[[#This Row],[/PR:90]:[/BR:90]],Brudnopis!$E$23:$J$23),0)</f>
        <v>0</v>
      </c>
      <c r="T2180" s="44">
        <f>IF(Mecze[[#This Row],[Role]]&lt;&gt;"BR",SUMPRODUCT(Mecze[[#This Row],[/PR:90]:[/BR:90]],Brudnopis!$E$24:$J$24),0)</f>
        <v>7.8125E-2</v>
      </c>
      <c r="U2180" s="44">
        <f>IF(Mecze[[#This Row],[Role]]&lt;&gt;"BR",SUMPRODUCT(Mecze[[#This Row],[/PR:90]:[/BR:90]],Brudnopis!$E$25:$J$25),0)</f>
        <v>8.8541666666666657E-2</v>
      </c>
      <c r="V2180" s="44">
        <f>IF(Mecze[[#This Row],[Role]]&lt;&gt;"BR",SUMPRODUCT(Mecze[[#This Row],[/PR:90]:[/BR:90]],Brudnopis!$E$26:$J$26),0)</f>
        <v>7.2916666666666657E-2</v>
      </c>
      <c r="W2180" s="44">
        <f>IF(Mecze[[#This Row],[Role]]&lt;&gt;"BR",SUMPRODUCT(Mecze[[#This Row],[/PR:90]:[/BR:90]],Brudnopis!$E$27:$J$27),0)</f>
        <v>7.8125E-2</v>
      </c>
      <c r="X2180" s="44">
        <f>IF(Mecze[[#This Row],[Role]]&lt;&gt;"BR",SUMPRODUCT(Mecze[[#This Row],[/PR:90]:[/BR:90]],Brudnopis!$E$28:$J$28),0)</f>
        <v>3.125E-2</v>
      </c>
      <c r="Y2180" s="35">
        <f>IF(Mecze[[#This Row],[Role]]="BR",Mecze[[#This Row],[/OB:90]]+Mecze[[#This Row],[/PC:90]],SUM(Mecze[[#This Row],[/PR:90]:[/BR:90]]))</f>
        <v>7.2916666666666657E-2</v>
      </c>
      <c r="Z2180" s="35">
        <f>IF(Mecze[[#This Row],[KC]]=0,SUM(Mecze[[#This Row],[/BRI]:[/NPI]]),SUM(Mecze[[#This Row],[/BRI]:[/NPI]])*0.6)</f>
        <v>0.34895833333333331</v>
      </c>
      <c r="AA2180" s="10">
        <f>IFERROR(Mecze[[#This Row],[BR]]/Mecze[[#This Row],[ST]],0)</f>
        <v>0</v>
      </c>
      <c r="AB2180">
        <f>ROUND(Mecze[[#This Row],[PD]]*Mecze[[#This Row],[%PC]],0)</f>
        <v>3</v>
      </c>
      <c r="AC2180">
        <f>ROUND(Mecze[[#This Row],[OD]]*Mecze[[#This Row],[%OU]],0)</f>
        <v>1</v>
      </c>
      <c r="AD2180" s="36" t="s">
        <v>167</v>
      </c>
      <c r="AE2180" s="36">
        <v>122</v>
      </c>
      <c r="AF2180" s="71">
        <v>4.55</v>
      </c>
      <c r="AG2180" s="37">
        <v>0</v>
      </c>
      <c r="AH2180" s="37">
        <v>0</v>
      </c>
      <c r="AI2180" s="37">
        <v>96</v>
      </c>
      <c r="AJ2180" s="37">
        <v>7</v>
      </c>
      <c r="AK2180" s="37" t="str">
        <f>VLOOKUP(Mecze[[#This Row],[Match ID]],Meczusie[Mecz]:Meczusie[RodzajMeczu],2,FALSE)</f>
        <v>Liga</v>
      </c>
    </row>
    <row r="2181" spans="1:37" x14ac:dyDescent="0.25">
      <c r="A2181" s="76">
        <v>151</v>
      </c>
      <c r="B2181" s="3" t="s">
        <v>337</v>
      </c>
      <c r="C2181" s="2" t="s">
        <v>160</v>
      </c>
      <c r="D2181" s="1">
        <v>0</v>
      </c>
      <c r="E2181" s="1">
        <v>0</v>
      </c>
      <c r="F2181" s="1">
        <v>0</v>
      </c>
      <c r="G2181" s="1">
        <v>9</v>
      </c>
      <c r="H2181" s="4">
        <v>0.89</v>
      </c>
      <c r="I2181" s="1">
        <v>2</v>
      </c>
      <c r="J2181" s="4">
        <v>0.5</v>
      </c>
      <c r="K2181" s="1">
        <v>0</v>
      </c>
      <c r="L2181" s="1">
        <v>7</v>
      </c>
      <c r="M2181" s="32">
        <f>IF(Mecze[[#This Row],[PR]]=0,0,Mecze[[#This Row],[PR]]/Mecze[[#This Row],[CZAS]])</f>
        <v>7.2916666666666671E-2</v>
      </c>
      <c r="N2181" s="32">
        <f>IF(Mecze[[#This Row],[OU]]=0,0,Mecze[[#This Row],[OU]]/Mecze[[#This Row],[CZAS]])</f>
        <v>1.0416666666666666E-2</v>
      </c>
      <c r="O2181" s="32">
        <f>IF(Mecze[[#This Row],[PC]]=0,0,Mecze[[#This Row],[PC]]/Mecze[[#This Row],[CZAS]])</f>
        <v>8.3333333333333329E-2</v>
      </c>
      <c r="P2181" s="32">
        <f>IF(Mecze[[#This Row],[SC]]=0,0,Mecze[[#This Row],[SC]]/Mecze[[#This Row],[CZAS]])</f>
        <v>0</v>
      </c>
      <c r="Q2181" s="32">
        <f>IF(Mecze[[#This Row],[OB]]=0,0,Mecze[[#This Row],[OB]]/Mecze[[#This Row],[CZAS]])</f>
        <v>0</v>
      </c>
      <c r="R2181" s="32">
        <f>IF(Mecze[[#This Row],[BR]]=0,0,Mecze[[#This Row],[BR]]/Mecze[[#This Row],[CZAS]])</f>
        <v>0</v>
      </c>
      <c r="S2181" s="44">
        <f>IF(Mecze[[#This Row],[Role]]="BR",SUMPRODUCT(Mecze[[#This Row],[/PR:90]:[/BR:90]],Brudnopis!$E$23:$J$23),0)</f>
        <v>0</v>
      </c>
      <c r="T2181" s="44">
        <f>IF(Mecze[[#This Row],[Role]]&lt;&gt;"BR",SUMPRODUCT(Mecze[[#This Row],[/PR:90]:[/BR:90]],Brudnopis!$E$24:$J$24),0)</f>
        <v>0.171875</v>
      </c>
      <c r="U2181" s="44">
        <f>IF(Mecze[[#This Row],[Role]]&lt;&gt;"BR",SUMPRODUCT(Mecze[[#This Row],[/PR:90]:[/BR:90]],Brudnopis!$E$25:$J$25),0)</f>
        <v>0.20833333333333334</v>
      </c>
      <c r="V2181" s="44">
        <f>IF(Mecze[[#This Row],[Role]]&lt;&gt;"BR",SUMPRODUCT(Mecze[[#This Row],[/PR:90]:[/BR:90]],Brudnopis!$E$26:$J$26),0)</f>
        <v>0.16666666666666669</v>
      </c>
      <c r="W2181" s="44">
        <f>IF(Mecze[[#This Row],[Role]]&lt;&gt;"BR",SUMPRODUCT(Mecze[[#This Row],[/PR:90]:[/BR:90]],Brudnopis!$E$27:$J$27),0)</f>
        <v>0.1875</v>
      </c>
      <c r="X2181" s="44">
        <f>IF(Mecze[[#This Row],[Role]]&lt;&gt;"BR",SUMPRODUCT(Mecze[[#This Row],[/PR:90]:[/BR:90]],Brudnopis!$E$28:$J$28),0)</f>
        <v>8.3333333333333329E-2</v>
      </c>
      <c r="Y2181" s="35">
        <f>IF(Mecze[[#This Row],[Role]]="BR",Mecze[[#This Row],[/OB:90]]+Mecze[[#This Row],[/PC:90]],SUM(Mecze[[#This Row],[/PR:90]:[/BR:90]]))</f>
        <v>0.16666666666666669</v>
      </c>
      <c r="Z2181" s="35">
        <f>IF(Mecze[[#This Row],[KC]]=0,SUM(Mecze[[#This Row],[/BRI]:[/NPI]]),SUM(Mecze[[#This Row],[/BRI]:[/NPI]])*0.6)</f>
        <v>0.81770833333333337</v>
      </c>
      <c r="AA2181" s="10">
        <f>IFERROR(Mecze[[#This Row],[BR]]/Mecze[[#This Row],[ST]],0)</f>
        <v>0</v>
      </c>
      <c r="AB2181">
        <f>ROUND(Mecze[[#This Row],[PD]]*Mecze[[#This Row],[%PC]],0)</f>
        <v>8</v>
      </c>
      <c r="AC2181">
        <f>ROUND(Mecze[[#This Row],[OD]]*Mecze[[#This Row],[%OU]],0)</f>
        <v>1</v>
      </c>
      <c r="AD2181" s="36" t="s">
        <v>41</v>
      </c>
      <c r="AE2181" s="36">
        <v>122</v>
      </c>
      <c r="AF2181" s="71">
        <v>7.51</v>
      </c>
      <c r="AG2181" s="37">
        <v>0</v>
      </c>
      <c r="AH2181" s="37">
        <v>0</v>
      </c>
      <c r="AI2181" s="37">
        <v>96</v>
      </c>
      <c r="AJ2181" s="37">
        <v>7</v>
      </c>
      <c r="AK2181" s="37" t="str">
        <f>VLOOKUP(Mecze[[#This Row],[Match ID]],Meczusie[Mecz]:Meczusie[RodzajMeczu],2,FALSE)</f>
        <v>Liga</v>
      </c>
    </row>
    <row r="2182" spans="1:37" x14ac:dyDescent="0.25">
      <c r="A2182" s="76">
        <v>109</v>
      </c>
      <c r="B2182" s="3" t="s">
        <v>404</v>
      </c>
      <c r="C2182" s="2" t="s">
        <v>160</v>
      </c>
      <c r="D2182" s="1">
        <v>0</v>
      </c>
      <c r="E2182" s="1">
        <v>0</v>
      </c>
      <c r="F2182" s="1">
        <v>0</v>
      </c>
      <c r="G2182" s="1">
        <v>17</v>
      </c>
      <c r="H2182" s="4">
        <v>0.65</v>
      </c>
      <c r="I2182" s="1">
        <v>5</v>
      </c>
      <c r="J2182" s="4">
        <v>0.6</v>
      </c>
      <c r="K2182" s="1">
        <v>0</v>
      </c>
      <c r="L2182" s="1">
        <v>8</v>
      </c>
      <c r="M2182" s="32">
        <f>IF(Mecze[[#This Row],[PR]]=0,0,Mecze[[#This Row],[PR]]/Mecze[[#This Row],[CZAS]])</f>
        <v>8.3333333333333329E-2</v>
      </c>
      <c r="N2182" s="32">
        <f>IF(Mecze[[#This Row],[OU]]=0,0,Mecze[[#This Row],[OU]]/Mecze[[#This Row],[CZAS]])</f>
        <v>3.125E-2</v>
      </c>
      <c r="O2182" s="32">
        <f>IF(Mecze[[#This Row],[PC]]=0,0,Mecze[[#This Row],[PC]]/Mecze[[#This Row],[CZAS]])</f>
        <v>0.11458333333333333</v>
      </c>
      <c r="P2182" s="32">
        <f>IF(Mecze[[#This Row],[SC]]=0,0,Mecze[[#This Row],[SC]]/Mecze[[#This Row],[CZAS]])</f>
        <v>0</v>
      </c>
      <c r="Q2182" s="32">
        <f>IF(Mecze[[#This Row],[OB]]=0,0,Mecze[[#This Row],[OB]]/Mecze[[#This Row],[CZAS]])</f>
        <v>0</v>
      </c>
      <c r="R2182" s="32">
        <f>IF(Mecze[[#This Row],[BR]]=0,0,Mecze[[#This Row],[BR]]/Mecze[[#This Row],[CZAS]])</f>
        <v>0</v>
      </c>
      <c r="S2182" s="44">
        <f>IF(Mecze[[#This Row],[Role]]="BR",SUMPRODUCT(Mecze[[#This Row],[/PR:90]:[/BR:90]],Brudnopis!$E$23:$J$23),0)</f>
        <v>0</v>
      </c>
      <c r="T2182" s="44">
        <f>IF(Mecze[[#This Row],[Role]]&lt;&gt;"BR",SUMPRODUCT(Mecze[[#This Row],[/PR:90]:[/BR:90]],Brudnopis!$E$24:$J$24),0)</f>
        <v>0.24479166666666663</v>
      </c>
      <c r="U2182" s="44">
        <f>IF(Mecze[[#This Row],[Role]]&lt;&gt;"BR",SUMPRODUCT(Mecze[[#This Row],[/PR:90]:[/BR:90]],Brudnopis!$E$25:$J$25),0)</f>
        <v>0.28645833333333331</v>
      </c>
      <c r="V2182" s="44">
        <f>IF(Mecze[[#This Row],[Role]]&lt;&gt;"BR",SUMPRODUCT(Mecze[[#This Row],[/PR:90]:[/BR:90]],Brudnopis!$E$26:$J$26),0)</f>
        <v>0.22916666666666666</v>
      </c>
      <c r="W2182" s="44">
        <f>IF(Mecze[[#This Row],[Role]]&lt;&gt;"BR",SUMPRODUCT(Mecze[[#This Row],[/PR:90]:[/BR:90]],Brudnopis!$E$27:$J$27),0)</f>
        <v>0.2578125</v>
      </c>
      <c r="X2182" s="44">
        <f>IF(Mecze[[#This Row],[Role]]&lt;&gt;"BR",SUMPRODUCT(Mecze[[#This Row],[/PR:90]:[/BR:90]],Brudnopis!$E$28:$J$28),0)</f>
        <v>0.11458333333333333</v>
      </c>
      <c r="Y2182" s="35">
        <f>IF(Mecze[[#This Row],[Role]]="BR",Mecze[[#This Row],[/OB:90]]+Mecze[[#This Row],[/PC:90]],SUM(Mecze[[#This Row],[/PR:90]:[/BR:90]]))</f>
        <v>0.22916666666666666</v>
      </c>
      <c r="Z2182" s="35">
        <f>IF(Mecze[[#This Row],[KC]]=0,SUM(Mecze[[#This Row],[/BRI]:[/NPI]]),SUM(Mecze[[#This Row],[/BRI]:[/NPI]])*0.6)</f>
        <v>1.1328124999999998</v>
      </c>
      <c r="AA2182" s="10">
        <f>IFERROR(Mecze[[#This Row],[BR]]/Mecze[[#This Row],[ST]],0)</f>
        <v>0</v>
      </c>
      <c r="AB2182">
        <f>ROUND(Mecze[[#This Row],[PD]]*Mecze[[#This Row],[%PC]],0)</f>
        <v>11</v>
      </c>
      <c r="AC2182">
        <f>ROUND(Mecze[[#This Row],[OD]]*Mecze[[#This Row],[%OU]],0)</f>
        <v>3</v>
      </c>
      <c r="AD2182" s="36" t="s">
        <v>41</v>
      </c>
      <c r="AE2182" s="36">
        <v>122</v>
      </c>
      <c r="AF2182" s="71">
        <v>6.81</v>
      </c>
      <c r="AG2182" s="37">
        <v>0</v>
      </c>
      <c r="AH2182" s="37">
        <v>0</v>
      </c>
      <c r="AI2182" s="37">
        <v>96</v>
      </c>
      <c r="AJ2182" s="37">
        <v>7</v>
      </c>
      <c r="AK2182" s="37" t="str">
        <f>VLOOKUP(Mecze[[#This Row],[Match ID]],Meczusie[Mecz]:Meczusie[RodzajMeczu],2,FALSE)</f>
        <v>Liga</v>
      </c>
    </row>
    <row r="2183" spans="1:37" x14ac:dyDescent="0.25">
      <c r="A2183" s="76">
        <v>200</v>
      </c>
      <c r="B2183" s="3" t="s">
        <v>339</v>
      </c>
      <c r="C2183" s="2" t="s">
        <v>160</v>
      </c>
      <c r="D2183" s="1">
        <v>0</v>
      </c>
      <c r="E2183" s="1">
        <v>1</v>
      </c>
      <c r="F2183" s="1">
        <v>1</v>
      </c>
      <c r="G2183" s="1">
        <v>19</v>
      </c>
      <c r="H2183" s="4">
        <v>0.53</v>
      </c>
      <c r="I2183" s="1">
        <v>10</v>
      </c>
      <c r="J2183" s="4">
        <v>0.7</v>
      </c>
      <c r="K2183" s="1">
        <v>0</v>
      </c>
      <c r="L2183" s="1">
        <v>6</v>
      </c>
      <c r="M2183" s="32">
        <f>IF(Mecze[[#This Row],[PR]]=0,0,Mecze[[#This Row],[PR]]/Mecze[[#This Row],[CZAS]])</f>
        <v>6.25E-2</v>
      </c>
      <c r="N2183" s="32">
        <f>IF(Mecze[[#This Row],[OU]]=0,0,Mecze[[#This Row],[OU]]/Mecze[[#This Row],[CZAS]])</f>
        <v>7.2916666666666671E-2</v>
      </c>
      <c r="O2183" s="32">
        <f>IF(Mecze[[#This Row],[PC]]=0,0,Mecze[[#This Row],[PC]]/Mecze[[#This Row],[CZAS]])</f>
        <v>0.10416666666666667</v>
      </c>
      <c r="P2183" s="32">
        <f>IF(Mecze[[#This Row],[SC]]=0,0,Mecze[[#This Row],[SC]]/Mecze[[#This Row],[CZAS]])</f>
        <v>1.0416666666666666E-2</v>
      </c>
      <c r="Q2183" s="32">
        <f>IF(Mecze[[#This Row],[OB]]=0,0,Mecze[[#This Row],[OB]]/Mecze[[#This Row],[CZAS]])</f>
        <v>0</v>
      </c>
      <c r="R2183" s="32">
        <f>IF(Mecze[[#This Row],[BR]]=0,0,Mecze[[#This Row],[BR]]/Mecze[[#This Row],[CZAS]])</f>
        <v>0</v>
      </c>
      <c r="S2183" s="44">
        <f>IF(Mecze[[#This Row],[Role]]="BR",SUMPRODUCT(Mecze[[#This Row],[/PR:90]:[/BR:90]],Brudnopis!$E$23:$J$23),0)</f>
        <v>0</v>
      </c>
      <c r="T2183" s="44">
        <f>IF(Mecze[[#This Row],[Role]]&lt;&gt;"BR",SUMPRODUCT(Mecze[[#This Row],[/PR:90]:[/BR:90]],Brudnopis!$E$24:$J$24),0)</f>
        <v>0.28645833333333337</v>
      </c>
      <c r="U2183" s="44">
        <f>IF(Mecze[[#This Row],[Role]]&lt;&gt;"BR",SUMPRODUCT(Mecze[[#This Row],[/PR:90]:[/BR:90]],Brudnopis!$E$25:$J$25),0)</f>
        <v>0.30208333333333337</v>
      </c>
      <c r="V2183" s="44">
        <f>IF(Mecze[[#This Row],[Role]]&lt;&gt;"BR",SUMPRODUCT(Mecze[[#This Row],[/PR:90]:[/BR:90]],Brudnopis!$E$26:$J$26),0)</f>
        <v>0.25000000000000006</v>
      </c>
      <c r="W2183" s="44">
        <f>IF(Mecze[[#This Row],[Role]]&lt;&gt;"BR",SUMPRODUCT(Mecze[[#This Row],[/PR:90]:[/BR:90]],Brudnopis!$E$27:$J$27),0)</f>
        <v>0.26822916666666669</v>
      </c>
      <c r="X2183" s="44">
        <f>IF(Mecze[[#This Row],[Role]]&lt;&gt;"BR",SUMPRODUCT(Mecze[[#This Row],[/PR:90]:[/BR:90]],Brudnopis!$E$28:$J$28),0)</f>
        <v>0.125</v>
      </c>
      <c r="Y2183" s="35">
        <f>IF(Mecze[[#This Row],[Role]]="BR",Mecze[[#This Row],[/OB:90]]+Mecze[[#This Row],[/PC:90]],SUM(Mecze[[#This Row],[/PR:90]:[/BR:90]]))</f>
        <v>0.25000000000000006</v>
      </c>
      <c r="Z2183" s="35">
        <f>IF(Mecze[[#This Row],[KC]]=0,SUM(Mecze[[#This Row],[/BRI]:[/NPI]]),SUM(Mecze[[#This Row],[/BRI]:[/NPI]])*0.6)</f>
        <v>1.2317708333333335</v>
      </c>
      <c r="AA2183" s="10">
        <f>IFERROR(Mecze[[#This Row],[BR]]/Mecze[[#This Row],[ST]],0)</f>
        <v>0</v>
      </c>
      <c r="AB2183">
        <f>ROUND(Mecze[[#This Row],[PD]]*Mecze[[#This Row],[%PC]],0)</f>
        <v>10</v>
      </c>
      <c r="AC2183">
        <f>ROUND(Mecze[[#This Row],[OD]]*Mecze[[#This Row],[%OU]],0)</f>
        <v>7</v>
      </c>
      <c r="AD2183" s="36" t="s">
        <v>67</v>
      </c>
      <c r="AE2183" s="36">
        <v>122</v>
      </c>
      <c r="AF2183" s="71">
        <v>5.51</v>
      </c>
      <c r="AG2183" s="37">
        <v>1</v>
      </c>
      <c r="AH2183" s="37">
        <v>0</v>
      </c>
      <c r="AI2183" s="37">
        <v>96</v>
      </c>
      <c r="AJ2183" s="37">
        <v>7</v>
      </c>
      <c r="AK2183" s="37" t="str">
        <f>VLOOKUP(Mecze[[#This Row],[Match ID]],Meczusie[Mecz]:Meczusie[RodzajMeczu],2,FALSE)</f>
        <v>Liga</v>
      </c>
    </row>
    <row r="2184" spans="1:37" x14ac:dyDescent="0.25">
      <c r="A2184" s="76">
        <v>202</v>
      </c>
      <c r="B2184" s="3" t="s">
        <v>340</v>
      </c>
      <c r="C2184" s="2" t="s">
        <v>160</v>
      </c>
      <c r="D2184" s="1">
        <v>0</v>
      </c>
      <c r="E2184" s="1">
        <v>2</v>
      </c>
      <c r="F2184" s="1">
        <v>1</v>
      </c>
      <c r="G2184" s="1">
        <v>7</v>
      </c>
      <c r="H2184" s="4">
        <v>0.28999999999999998</v>
      </c>
      <c r="I2184" s="1">
        <v>6</v>
      </c>
      <c r="J2184" s="4">
        <v>0.33</v>
      </c>
      <c r="K2184" s="1">
        <v>0</v>
      </c>
      <c r="L2184" s="1">
        <v>3</v>
      </c>
      <c r="M2184" s="32">
        <f>IF(Mecze[[#This Row],[PR]]=0,0,Mecze[[#This Row],[PR]]/Mecze[[#This Row],[CZAS]])</f>
        <v>3.125E-2</v>
      </c>
      <c r="N2184" s="32">
        <f>IF(Mecze[[#This Row],[OU]]=0,0,Mecze[[#This Row],[OU]]/Mecze[[#This Row],[CZAS]])</f>
        <v>2.0833333333333332E-2</v>
      </c>
      <c r="O2184" s="32">
        <f>IF(Mecze[[#This Row],[PC]]=0,0,Mecze[[#This Row],[PC]]/Mecze[[#This Row],[CZAS]])</f>
        <v>2.0833333333333332E-2</v>
      </c>
      <c r="P2184" s="32">
        <f>IF(Mecze[[#This Row],[SC]]=0,0,Mecze[[#This Row],[SC]]/Mecze[[#This Row],[CZAS]])</f>
        <v>1.0416666666666666E-2</v>
      </c>
      <c r="Q2184" s="32">
        <f>IF(Mecze[[#This Row],[OB]]=0,0,Mecze[[#This Row],[OB]]/Mecze[[#This Row],[CZAS]])</f>
        <v>0</v>
      </c>
      <c r="R2184" s="32">
        <f>IF(Mecze[[#This Row],[BR]]=0,0,Mecze[[#This Row],[BR]]/Mecze[[#This Row],[CZAS]])</f>
        <v>0</v>
      </c>
      <c r="S2184" s="44">
        <f>IF(Mecze[[#This Row],[Role]]="BR",SUMPRODUCT(Mecze[[#This Row],[/PR:90]:[/BR:90]],Brudnopis!$E$23:$J$23),0)</f>
        <v>0</v>
      </c>
      <c r="T2184" s="44">
        <f>IF(Mecze[[#This Row],[Role]]&lt;&gt;"BR",SUMPRODUCT(Mecze[[#This Row],[/PR:90]:[/BR:90]],Brudnopis!$E$24:$J$24),0)</f>
        <v>9.375E-2</v>
      </c>
      <c r="U2184" s="44">
        <f>IF(Mecze[[#This Row],[Role]]&lt;&gt;"BR",SUMPRODUCT(Mecze[[#This Row],[/PR:90]:[/BR:90]],Brudnopis!$E$25:$J$25),0)</f>
        <v>9.375E-2</v>
      </c>
      <c r="V2184" s="44">
        <f>IF(Mecze[[#This Row],[Role]]&lt;&gt;"BR",SUMPRODUCT(Mecze[[#This Row],[/PR:90]:[/BR:90]],Brudnopis!$E$26:$J$26),0)</f>
        <v>8.3333333333333329E-2</v>
      </c>
      <c r="W2184" s="44">
        <f>IF(Mecze[[#This Row],[Role]]&lt;&gt;"BR",SUMPRODUCT(Mecze[[#This Row],[/PR:90]:[/BR:90]],Brudnopis!$E$27:$J$27),0)</f>
        <v>8.0729166666666671E-2</v>
      </c>
      <c r="X2184" s="44">
        <f>IF(Mecze[[#This Row],[Role]]&lt;&gt;"BR",SUMPRODUCT(Mecze[[#This Row],[/PR:90]:[/BR:90]],Brudnopis!$E$28:$J$28),0)</f>
        <v>4.1666666666666664E-2</v>
      </c>
      <c r="Y2184" s="35">
        <f>IF(Mecze[[#This Row],[Role]]="BR",Mecze[[#This Row],[/OB:90]]+Mecze[[#This Row],[/PC:90]],SUM(Mecze[[#This Row],[/PR:90]:[/BR:90]]))</f>
        <v>8.3333333333333329E-2</v>
      </c>
      <c r="Z2184" s="35">
        <f>IF(Mecze[[#This Row],[KC]]=0,SUM(Mecze[[#This Row],[/BRI]:[/NPI]]),SUM(Mecze[[#This Row],[/BRI]:[/NPI]])*0.6)</f>
        <v>0.39322916666666669</v>
      </c>
      <c r="AA2184" s="10">
        <f>IFERROR(Mecze[[#This Row],[BR]]/Mecze[[#This Row],[ST]],0)</f>
        <v>0</v>
      </c>
      <c r="AB2184">
        <f>ROUND(Mecze[[#This Row],[PD]]*Mecze[[#This Row],[%PC]],0)</f>
        <v>2</v>
      </c>
      <c r="AC2184">
        <f>ROUND(Mecze[[#This Row],[OD]]*Mecze[[#This Row],[%OU]],0)</f>
        <v>2</v>
      </c>
      <c r="AD2184" s="36" t="s">
        <v>44</v>
      </c>
      <c r="AE2184" s="36">
        <v>122</v>
      </c>
      <c r="AF2184" s="71">
        <v>4.78</v>
      </c>
      <c r="AG2184" s="37">
        <v>0</v>
      </c>
      <c r="AH2184" s="37">
        <v>0</v>
      </c>
      <c r="AI2184" s="37">
        <v>96</v>
      </c>
      <c r="AJ2184" s="37">
        <v>7</v>
      </c>
      <c r="AK2184" s="37" t="str">
        <f>VLOOKUP(Mecze[[#This Row],[Match ID]],Meczusie[Mecz]:Meczusie[RodzajMeczu],2,FALSE)</f>
        <v>Liga</v>
      </c>
    </row>
    <row r="2185" spans="1:37" x14ac:dyDescent="0.25">
      <c r="A2185" s="76">
        <v>101</v>
      </c>
      <c r="B2185" s="3" t="s">
        <v>444</v>
      </c>
      <c r="C2185" s="2" t="s">
        <v>160</v>
      </c>
      <c r="D2185" s="1">
        <v>0</v>
      </c>
      <c r="E2185" s="1">
        <v>0</v>
      </c>
      <c r="F2185" s="1">
        <v>0</v>
      </c>
      <c r="G2185" s="1">
        <v>13</v>
      </c>
      <c r="H2185" s="4">
        <v>0.69</v>
      </c>
      <c r="I2185" s="1">
        <v>1</v>
      </c>
      <c r="J2185" s="4">
        <v>1</v>
      </c>
      <c r="K2185" s="1">
        <v>0</v>
      </c>
      <c r="L2185" s="1">
        <v>0</v>
      </c>
      <c r="M2185" s="32">
        <f>IF(Mecze[[#This Row],[PR]]=0,0,Mecze[[#This Row],[PR]]/Mecze[[#This Row],[CZAS]])</f>
        <v>0</v>
      </c>
      <c r="N2185" s="32">
        <f>IF(Mecze[[#This Row],[OU]]=0,0,Mecze[[#This Row],[OU]]/Mecze[[#This Row],[CZAS]])</f>
        <v>1.0416666666666666E-2</v>
      </c>
      <c r="O2185" s="32">
        <f>IF(Mecze[[#This Row],[PC]]=0,0,Mecze[[#This Row],[PC]]/Mecze[[#This Row],[CZAS]])</f>
        <v>9.375E-2</v>
      </c>
      <c r="P2185" s="32">
        <f>IF(Mecze[[#This Row],[SC]]=0,0,Mecze[[#This Row],[SC]]/Mecze[[#This Row],[CZAS]])</f>
        <v>0</v>
      </c>
      <c r="Q2185" s="32">
        <f>IF(Mecze[[#This Row],[OB]]=0,0,Mecze[[#This Row],[OB]]/Mecze[[#This Row],[CZAS]])</f>
        <v>0</v>
      </c>
      <c r="R2185" s="32">
        <f>IF(Mecze[[#This Row],[BR]]=0,0,Mecze[[#This Row],[BR]]/Mecze[[#This Row],[CZAS]])</f>
        <v>0</v>
      </c>
      <c r="S2185" s="44">
        <f>IF(Mecze[[#This Row],[Role]]="BR",SUMPRODUCT(Mecze[[#This Row],[/PR:90]:[/BR:90]],Brudnopis!$E$23:$J$23),0)</f>
        <v>0</v>
      </c>
      <c r="T2185" s="44">
        <f>IF(Mecze[[#This Row],[Role]]&lt;&gt;"BR",SUMPRODUCT(Mecze[[#This Row],[/PR:90]:[/BR:90]],Brudnopis!$E$24:$J$24),0)</f>
        <v>0.109375</v>
      </c>
      <c r="U2185" s="44">
        <f>IF(Mecze[[#This Row],[Role]]&lt;&gt;"BR",SUMPRODUCT(Mecze[[#This Row],[/PR:90]:[/BR:90]],Brudnopis!$E$25:$J$25),0)</f>
        <v>0.15104166666666666</v>
      </c>
      <c r="V2185" s="44">
        <f>IF(Mecze[[#This Row],[Role]]&lt;&gt;"BR",SUMPRODUCT(Mecze[[#This Row],[/PR:90]:[/BR:90]],Brudnopis!$E$26:$J$26),0)</f>
        <v>0.10416666666666667</v>
      </c>
      <c r="W2185" s="44">
        <f>IF(Mecze[[#This Row],[Role]]&lt;&gt;"BR",SUMPRODUCT(Mecze[[#This Row],[/PR:90]:[/BR:90]],Brudnopis!$E$27:$J$27),0)</f>
        <v>0.1484375</v>
      </c>
      <c r="X2185" s="44">
        <f>IF(Mecze[[#This Row],[Role]]&lt;&gt;"BR",SUMPRODUCT(Mecze[[#This Row],[/PR:90]:[/BR:90]],Brudnopis!$E$28:$J$28),0)</f>
        <v>9.375E-2</v>
      </c>
      <c r="Y2185" s="35">
        <f>IF(Mecze[[#This Row],[Role]]="BR",Mecze[[#This Row],[/OB:90]]+Mecze[[#This Row],[/PC:90]],SUM(Mecze[[#This Row],[/PR:90]:[/BR:90]]))</f>
        <v>0.10416666666666667</v>
      </c>
      <c r="Z2185" s="35">
        <f>IF(Mecze[[#This Row],[KC]]=0,SUM(Mecze[[#This Row],[/BRI]:[/NPI]]),SUM(Mecze[[#This Row],[/BRI]:[/NPI]])*0.6)</f>
        <v>0.60677083333333326</v>
      </c>
      <c r="AA2185" s="10">
        <f>IFERROR(Mecze[[#This Row],[BR]]/Mecze[[#This Row],[ST]],0)</f>
        <v>0</v>
      </c>
      <c r="AB2185">
        <f>ROUND(Mecze[[#This Row],[PD]]*Mecze[[#This Row],[%PC]],0)</f>
        <v>9</v>
      </c>
      <c r="AC2185">
        <f>ROUND(Mecze[[#This Row],[OD]]*Mecze[[#This Row],[%OU]],0)</f>
        <v>1</v>
      </c>
      <c r="AD2185" s="36" t="s">
        <v>299</v>
      </c>
      <c r="AE2185" s="36">
        <v>122</v>
      </c>
      <c r="AF2185" s="71">
        <v>5.13</v>
      </c>
      <c r="AG2185" s="37">
        <v>0</v>
      </c>
      <c r="AH2185" s="37">
        <v>0</v>
      </c>
      <c r="AI2185" s="37">
        <v>96</v>
      </c>
      <c r="AJ2185" s="37">
        <v>7</v>
      </c>
      <c r="AK2185" s="37" t="str">
        <f>VLOOKUP(Mecze[[#This Row],[Match ID]],Meczusie[Mecz]:Meczusie[RodzajMeczu],2,FALSE)</f>
        <v>Liga</v>
      </c>
    </row>
    <row r="2186" spans="1:37" x14ac:dyDescent="0.25">
      <c r="A2186" s="76">
        <v>203</v>
      </c>
      <c r="B2186" s="3" t="s">
        <v>342</v>
      </c>
      <c r="C2186" s="2" t="s">
        <v>165</v>
      </c>
      <c r="D2186" s="1">
        <v>4</v>
      </c>
      <c r="E2186" s="1">
        <v>15</v>
      </c>
      <c r="F2186" s="1">
        <v>15</v>
      </c>
      <c r="G2186" s="1">
        <v>9</v>
      </c>
      <c r="H2186" s="4">
        <v>0.89</v>
      </c>
      <c r="I2186" s="1">
        <v>4</v>
      </c>
      <c r="J2186" s="4">
        <v>0.75</v>
      </c>
      <c r="K2186" s="1">
        <v>0</v>
      </c>
      <c r="L2186" s="1">
        <v>1</v>
      </c>
      <c r="M2186" s="32">
        <f>IF(Mecze[[#This Row],[PR]]=0,0,Mecze[[#This Row],[PR]]/Mecze[[#This Row],[CZAS]])</f>
        <v>1.0416666666666666E-2</v>
      </c>
      <c r="N2186" s="32">
        <f>IF(Mecze[[#This Row],[OU]]=0,0,Mecze[[#This Row],[OU]]/Mecze[[#This Row],[CZAS]])</f>
        <v>3.125E-2</v>
      </c>
      <c r="O2186" s="32">
        <f>IF(Mecze[[#This Row],[PC]]=0,0,Mecze[[#This Row],[PC]]/Mecze[[#This Row],[CZAS]])</f>
        <v>8.3333333333333329E-2</v>
      </c>
      <c r="P2186" s="32">
        <f>IF(Mecze[[#This Row],[SC]]=0,0,Mecze[[#This Row],[SC]]/Mecze[[#This Row],[CZAS]])</f>
        <v>0.15625</v>
      </c>
      <c r="Q2186" s="32">
        <f>IF(Mecze[[#This Row],[OB]]=0,0,Mecze[[#This Row],[OB]]/Mecze[[#This Row],[CZAS]])</f>
        <v>0</v>
      </c>
      <c r="R2186" s="32">
        <f>IF(Mecze[[#This Row],[BR]]=0,0,Mecze[[#This Row],[BR]]/Mecze[[#This Row],[CZAS]])</f>
        <v>4.1666666666666664E-2</v>
      </c>
      <c r="S2186" s="44">
        <f>IF(Mecze[[#This Row],[Role]]="BR",SUMPRODUCT(Mecze[[#This Row],[/PR:90]:[/BR:90]],Brudnopis!$E$23:$J$23),0)</f>
        <v>0</v>
      </c>
      <c r="T2186" s="44">
        <f>IF(Mecze[[#This Row],[Role]]&lt;&gt;"BR",SUMPRODUCT(Mecze[[#This Row],[/PR:90]:[/BR:90]],Brudnopis!$E$24:$J$24),0)</f>
        <v>0.359375</v>
      </c>
      <c r="U2186" s="44">
        <f>IF(Mecze[[#This Row],[Role]]&lt;&gt;"BR",SUMPRODUCT(Mecze[[#This Row],[/PR:90]:[/BR:90]],Brudnopis!$E$25:$J$25),0)</f>
        <v>0.38541666666666663</v>
      </c>
      <c r="V2186" s="44">
        <f>IF(Mecze[[#This Row],[Role]]&lt;&gt;"BR",SUMPRODUCT(Mecze[[#This Row],[/PR:90]:[/BR:90]],Brudnopis!$E$26:$J$26),0)</f>
        <v>0.36458333333333331</v>
      </c>
      <c r="W2186" s="44">
        <f>IF(Mecze[[#This Row],[Role]]&lt;&gt;"BR",SUMPRODUCT(Mecze[[#This Row],[/PR:90]:[/BR:90]],Brudnopis!$E$27:$J$27),0)</f>
        <v>0.39583333333333331</v>
      </c>
      <c r="X2186" s="44">
        <f>IF(Mecze[[#This Row],[Role]]&lt;&gt;"BR",SUMPRODUCT(Mecze[[#This Row],[/PR:90]:[/BR:90]],Brudnopis!$E$28:$J$28),0)</f>
        <v>0.52083333333333326</v>
      </c>
      <c r="Y2186" s="35">
        <f>IF(Mecze[[#This Row],[Role]]="BR",Mecze[[#This Row],[/OB:90]]+Mecze[[#This Row],[/PC:90]],SUM(Mecze[[#This Row],[/PR:90]:[/BR:90]]))</f>
        <v>0.32291666666666669</v>
      </c>
      <c r="Z2186" s="35">
        <f>IF(Mecze[[#This Row],[KC]]=0,SUM(Mecze[[#This Row],[/BRI]:[/NPI]]),SUM(Mecze[[#This Row],[/BRI]:[/NPI]])*0.6)</f>
        <v>2.0260416666666665</v>
      </c>
      <c r="AA2186" s="10">
        <f>IFERROR(Mecze[[#This Row],[BR]]/Mecze[[#This Row],[ST]],0)</f>
        <v>0.26666666666666666</v>
      </c>
      <c r="AB2186">
        <f>ROUND(Mecze[[#This Row],[PD]]*Mecze[[#This Row],[%PC]],0)</f>
        <v>8</v>
      </c>
      <c r="AC2186">
        <f>ROUND(Mecze[[#This Row],[OD]]*Mecze[[#This Row],[%OU]],0)</f>
        <v>3</v>
      </c>
      <c r="AD2186" s="36" t="s">
        <v>46</v>
      </c>
      <c r="AE2186" s="36">
        <v>122</v>
      </c>
      <c r="AF2186" s="71">
        <v>18.68</v>
      </c>
      <c r="AG2186" s="37">
        <v>0</v>
      </c>
      <c r="AH2186" s="37">
        <v>0</v>
      </c>
      <c r="AI2186" s="37">
        <v>96</v>
      </c>
      <c r="AJ2186" s="37">
        <v>7</v>
      </c>
      <c r="AK2186" s="37" t="str">
        <f>VLOOKUP(Mecze[[#This Row],[Match ID]],Meczusie[Mecz]:Meczusie[RodzajMeczu],2,FALSE)</f>
        <v>Liga</v>
      </c>
    </row>
    <row r="2187" spans="1:37" x14ac:dyDescent="0.25">
      <c r="A2187" s="76">
        <v>104</v>
      </c>
      <c r="B2187" s="3" t="s">
        <v>343</v>
      </c>
      <c r="C2187" s="2" t="s">
        <v>165</v>
      </c>
      <c r="D2187" s="1">
        <v>0</v>
      </c>
      <c r="E2187" s="1">
        <v>0</v>
      </c>
      <c r="F2187" s="1">
        <v>0</v>
      </c>
      <c r="G2187" s="1">
        <v>19</v>
      </c>
      <c r="H2187" s="4">
        <v>0.74</v>
      </c>
      <c r="I2187" s="1">
        <v>6</v>
      </c>
      <c r="J2187" s="4">
        <v>0.33</v>
      </c>
      <c r="K2187" s="1">
        <v>0</v>
      </c>
      <c r="L2187" s="1">
        <v>1</v>
      </c>
      <c r="M2187" s="32">
        <f>IF(Mecze[[#This Row],[PR]]=0,0,Mecze[[#This Row],[PR]]/Mecze[[#This Row],[CZAS]])</f>
        <v>1.0416666666666666E-2</v>
      </c>
      <c r="N2187" s="32">
        <f>IF(Mecze[[#This Row],[OU]]=0,0,Mecze[[#This Row],[OU]]/Mecze[[#This Row],[CZAS]])</f>
        <v>2.0833333333333332E-2</v>
      </c>
      <c r="O2187" s="32">
        <f>IF(Mecze[[#This Row],[PC]]=0,0,Mecze[[#This Row],[PC]]/Mecze[[#This Row],[CZAS]])</f>
        <v>0.14583333333333334</v>
      </c>
      <c r="P2187" s="32">
        <f>IF(Mecze[[#This Row],[SC]]=0,0,Mecze[[#This Row],[SC]]/Mecze[[#This Row],[CZAS]])</f>
        <v>0</v>
      </c>
      <c r="Q2187" s="32">
        <f>IF(Mecze[[#This Row],[OB]]=0,0,Mecze[[#This Row],[OB]]/Mecze[[#This Row],[CZAS]])</f>
        <v>0</v>
      </c>
      <c r="R2187" s="32">
        <f>IF(Mecze[[#This Row],[BR]]=0,0,Mecze[[#This Row],[BR]]/Mecze[[#This Row],[CZAS]])</f>
        <v>0</v>
      </c>
      <c r="S2187" s="44">
        <f>IF(Mecze[[#This Row],[Role]]="BR",SUMPRODUCT(Mecze[[#This Row],[/PR:90]:[/BR:90]],Brudnopis!$E$23:$J$23),0)</f>
        <v>0</v>
      </c>
      <c r="T2187" s="44">
        <f>IF(Mecze[[#This Row],[Role]]&lt;&gt;"BR",SUMPRODUCT(Mecze[[#This Row],[/PR:90]:[/BR:90]],Brudnopis!$E$24:$J$24),0)</f>
        <v>0.1875</v>
      </c>
      <c r="U2187" s="44">
        <f>IF(Mecze[[#This Row],[Role]]&lt;&gt;"BR",SUMPRODUCT(Mecze[[#This Row],[/PR:90]:[/BR:90]],Brudnopis!$E$25:$J$25),0)</f>
        <v>0.25</v>
      </c>
      <c r="V2187" s="44">
        <f>IF(Mecze[[#This Row],[Role]]&lt;&gt;"BR",SUMPRODUCT(Mecze[[#This Row],[/PR:90]:[/BR:90]],Brudnopis!$E$26:$J$26),0)</f>
        <v>0.17708333333333334</v>
      </c>
      <c r="W2187" s="44">
        <f>IF(Mecze[[#This Row],[Role]]&lt;&gt;"BR",SUMPRODUCT(Mecze[[#This Row],[/PR:90]:[/BR:90]],Brudnopis!$E$27:$J$27),0)</f>
        <v>0.2421875</v>
      </c>
      <c r="X2187" s="44">
        <f>IF(Mecze[[#This Row],[Role]]&lt;&gt;"BR",SUMPRODUCT(Mecze[[#This Row],[/PR:90]:[/BR:90]],Brudnopis!$E$28:$J$28),0)</f>
        <v>0.14583333333333334</v>
      </c>
      <c r="Y2187" s="35">
        <f>IF(Mecze[[#This Row],[Role]]="BR",Mecze[[#This Row],[/OB:90]]+Mecze[[#This Row],[/PC:90]],SUM(Mecze[[#This Row],[/PR:90]:[/BR:90]]))</f>
        <v>0.17708333333333334</v>
      </c>
      <c r="Z2187" s="35">
        <f>IF(Mecze[[#This Row],[KC]]=0,SUM(Mecze[[#This Row],[/BRI]:[/NPI]]),SUM(Mecze[[#This Row],[/BRI]:[/NPI]])*0.6)</f>
        <v>1.0026041666666667</v>
      </c>
      <c r="AA2187" s="10">
        <f>IFERROR(Mecze[[#This Row],[BR]]/Mecze[[#This Row],[ST]],0)</f>
        <v>0</v>
      </c>
      <c r="AB2187">
        <f>ROUND(Mecze[[#This Row],[PD]]*Mecze[[#This Row],[%PC]],0)</f>
        <v>14</v>
      </c>
      <c r="AC2187">
        <f>ROUND(Mecze[[#This Row],[OD]]*Mecze[[#This Row],[%OU]],0)</f>
        <v>2</v>
      </c>
      <c r="AD2187" s="36" t="s">
        <v>355</v>
      </c>
      <c r="AE2187" s="36">
        <v>122</v>
      </c>
      <c r="AF2187" s="71">
        <v>5.26</v>
      </c>
      <c r="AG2187" s="37">
        <v>0</v>
      </c>
      <c r="AH2187" s="37">
        <v>0</v>
      </c>
      <c r="AI2187" s="37">
        <v>96</v>
      </c>
      <c r="AJ2187" s="37">
        <v>7</v>
      </c>
      <c r="AK2187" s="37" t="str">
        <f>VLOOKUP(Mecze[[#This Row],[Match ID]],Meczusie[Mecz]:Meczusie[RodzajMeczu],2,FALSE)</f>
        <v>Liga</v>
      </c>
    </row>
    <row r="2188" spans="1:37" x14ac:dyDescent="0.25">
      <c r="A2188" s="76">
        <v>1</v>
      </c>
      <c r="B2188" s="3" t="s">
        <v>320</v>
      </c>
      <c r="C2188" s="2" t="s">
        <v>155</v>
      </c>
      <c r="D2188" s="1">
        <v>0</v>
      </c>
      <c r="E2188" s="1">
        <v>0</v>
      </c>
      <c r="F2188" s="1">
        <v>0</v>
      </c>
      <c r="G2188" s="1">
        <v>10</v>
      </c>
      <c r="H2188" s="4">
        <v>0.5</v>
      </c>
      <c r="I2188" s="1">
        <v>0</v>
      </c>
      <c r="J2188" s="4"/>
      <c r="K2188" s="1">
        <v>14</v>
      </c>
      <c r="L2188" s="1">
        <v>0</v>
      </c>
      <c r="M2188" s="32">
        <f>IF(Mecze[[#This Row],[PR]]=0,0,Mecze[[#This Row],[PR]]/Mecze[[#This Row],[CZAS]])</f>
        <v>0</v>
      </c>
      <c r="N2188" s="32">
        <f>IF(Mecze[[#This Row],[OU]]=0,0,Mecze[[#This Row],[OU]]/Mecze[[#This Row],[CZAS]])</f>
        <v>0</v>
      </c>
      <c r="O2188" s="32">
        <f>IF(Mecze[[#This Row],[PC]]=0,0,Mecze[[#This Row],[PC]]/Mecze[[#This Row],[CZAS]])</f>
        <v>5.1546391752577317E-2</v>
      </c>
      <c r="P2188" s="32">
        <f>IF(Mecze[[#This Row],[SC]]=0,0,Mecze[[#This Row],[SC]]/Mecze[[#This Row],[CZAS]])</f>
        <v>0</v>
      </c>
      <c r="Q2188" s="32">
        <f>IF(Mecze[[#This Row],[OB]]=0,0,Mecze[[#This Row],[OB]]/Mecze[[#This Row],[CZAS]])</f>
        <v>0.14432989690721648</v>
      </c>
      <c r="R2188" s="32">
        <f>IF(Mecze[[#This Row],[BR]]=0,0,Mecze[[#This Row],[BR]]/Mecze[[#This Row],[CZAS]])</f>
        <v>0</v>
      </c>
      <c r="S2188" s="44">
        <f>IF(Mecze[[#This Row],[Role]]="BR",SUMPRODUCT(Mecze[[#This Row],[/PR:90]:[/BR:90]],Brudnopis!$E$23:$J$23),0)</f>
        <v>0.58762886597938135</v>
      </c>
      <c r="T2188" s="44">
        <f>IF(Mecze[[#This Row],[Role]]&lt;&gt;"BR",SUMPRODUCT(Mecze[[#This Row],[/PR:90]:[/BR:90]],Brudnopis!$E$24:$J$24),0)</f>
        <v>0</v>
      </c>
      <c r="U2188" s="44">
        <f>IF(Mecze[[#This Row],[Role]]&lt;&gt;"BR",SUMPRODUCT(Mecze[[#This Row],[/PR:90]:[/BR:90]],Brudnopis!$E$25:$J$25),0)</f>
        <v>0</v>
      </c>
      <c r="V2188" s="44">
        <f>IF(Mecze[[#This Row],[Role]]&lt;&gt;"BR",SUMPRODUCT(Mecze[[#This Row],[/PR:90]:[/BR:90]],Brudnopis!$E$26:$J$26),0)</f>
        <v>0</v>
      </c>
      <c r="W2188" s="44">
        <f>IF(Mecze[[#This Row],[Role]]&lt;&gt;"BR",SUMPRODUCT(Mecze[[#This Row],[/PR:90]:[/BR:90]],Brudnopis!$E$27:$J$27),0)</f>
        <v>0</v>
      </c>
      <c r="X2188" s="44">
        <f>IF(Mecze[[#This Row],[Role]]&lt;&gt;"BR",SUMPRODUCT(Mecze[[#This Row],[/PR:90]:[/BR:90]],Brudnopis!$E$28:$J$28),0)</f>
        <v>0</v>
      </c>
      <c r="Y2188" s="35">
        <f>IF(Mecze[[#This Row],[Role]]="BR",Mecze[[#This Row],[/OB:90]]+Mecze[[#This Row],[/PC:90]],SUM(Mecze[[#This Row],[/PR:90]:[/BR:90]]))</f>
        <v>0.19587628865979378</v>
      </c>
      <c r="Z2188" s="35">
        <f>IF(Mecze[[#This Row],[KC]]=0,SUM(Mecze[[#This Row],[/BRI]:[/NPI]]),SUM(Mecze[[#This Row],[/BRI]:[/NPI]])*0.6)</f>
        <v>0.58762886597938135</v>
      </c>
      <c r="AA2188" s="10">
        <f>IFERROR(Mecze[[#This Row],[BR]]/Mecze[[#This Row],[ST]],0)</f>
        <v>0</v>
      </c>
      <c r="AB2188">
        <f>ROUND(Mecze[[#This Row],[PD]]*Mecze[[#This Row],[%PC]],0)</f>
        <v>5</v>
      </c>
      <c r="AC2188">
        <f>ROUND(Mecze[[#This Row],[OD]]*Mecze[[#This Row],[%OU]],0)</f>
        <v>0</v>
      </c>
      <c r="AD2188" s="36" t="s">
        <v>40</v>
      </c>
      <c r="AE2188" s="36">
        <v>123</v>
      </c>
      <c r="AF2188" s="71">
        <v>8.93</v>
      </c>
      <c r="AG2188" s="37">
        <v>0</v>
      </c>
      <c r="AH2188" s="37">
        <v>0</v>
      </c>
      <c r="AI2188" s="37">
        <v>97</v>
      </c>
      <c r="AJ2188" s="37">
        <v>11</v>
      </c>
      <c r="AK2188" s="37" t="str">
        <f>VLOOKUP(Mecze[[#This Row],[Match ID]],Meczusie[Mecz]:Meczusie[RodzajMeczu],2,FALSE)</f>
        <v>Liga</v>
      </c>
    </row>
    <row r="2189" spans="1:37" x14ac:dyDescent="0.25">
      <c r="A2189" s="76">
        <v>4</v>
      </c>
      <c r="B2189" s="3" t="s">
        <v>321</v>
      </c>
      <c r="C2189" s="2" t="s">
        <v>157</v>
      </c>
      <c r="D2189" s="1">
        <v>0</v>
      </c>
      <c r="E2189" s="1">
        <v>0</v>
      </c>
      <c r="F2189" s="1">
        <v>0</v>
      </c>
      <c r="G2189" s="1">
        <v>18</v>
      </c>
      <c r="H2189" s="4">
        <v>0.83</v>
      </c>
      <c r="I2189" s="1">
        <v>6</v>
      </c>
      <c r="J2189" s="4">
        <v>0.67</v>
      </c>
      <c r="K2189" s="1">
        <v>0</v>
      </c>
      <c r="L2189" s="1">
        <v>8</v>
      </c>
      <c r="M2189" s="32">
        <f>IF(Mecze[[#This Row],[PR]]=0,0,Mecze[[#This Row],[PR]]/Mecze[[#This Row],[CZAS]])</f>
        <v>8.247422680412371E-2</v>
      </c>
      <c r="N2189" s="32">
        <f>IF(Mecze[[#This Row],[OU]]=0,0,Mecze[[#This Row],[OU]]/Mecze[[#This Row],[CZAS]])</f>
        <v>4.1237113402061855E-2</v>
      </c>
      <c r="O2189" s="32">
        <f>IF(Mecze[[#This Row],[PC]]=0,0,Mecze[[#This Row],[PC]]/Mecze[[#This Row],[CZAS]])</f>
        <v>0.15463917525773196</v>
      </c>
      <c r="P2189" s="32">
        <f>IF(Mecze[[#This Row],[SC]]=0,0,Mecze[[#This Row],[SC]]/Mecze[[#This Row],[CZAS]])</f>
        <v>0</v>
      </c>
      <c r="Q2189" s="32">
        <f>IF(Mecze[[#This Row],[OB]]=0,0,Mecze[[#This Row],[OB]]/Mecze[[#This Row],[CZAS]])</f>
        <v>0</v>
      </c>
      <c r="R2189" s="32">
        <f>IF(Mecze[[#This Row],[BR]]=0,0,Mecze[[#This Row],[BR]]/Mecze[[#This Row],[CZAS]])</f>
        <v>0</v>
      </c>
      <c r="S2189" s="44">
        <f>IF(Mecze[[#This Row],[Role]]="BR",SUMPRODUCT(Mecze[[#This Row],[/PR:90]:[/BR:90]],Brudnopis!$E$23:$J$23),0)</f>
        <v>0</v>
      </c>
      <c r="T2189" s="44">
        <f>IF(Mecze[[#This Row],[Role]]&lt;&gt;"BR",SUMPRODUCT(Mecze[[#This Row],[/PR:90]:[/BR:90]],Brudnopis!$E$24:$J$24),0)</f>
        <v>0.29896907216494845</v>
      </c>
      <c r="U2189" s="44">
        <f>IF(Mecze[[#This Row],[Role]]&lt;&gt;"BR",SUMPRODUCT(Mecze[[#This Row],[/PR:90]:[/BR:90]],Brudnopis!$E$25:$J$25),0)</f>
        <v>0.35567010309278352</v>
      </c>
      <c r="V2189" s="44">
        <f>IF(Mecze[[#This Row],[Role]]&lt;&gt;"BR",SUMPRODUCT(Mecze[[#This Row],[/PR:90]:[/BR:90]],Brudnopis!$E$26:$J$26),0)</f>
        <v>0.27835051546391754</v>
      </c>
      <c r="W2189" s="44">
        <f>IF(Mecze[[#This Row],[Role]]&lt;&gt;"BR",SUMPRODUCT(Mecze[[#This Row],[/PR:90]:[/BR:90]],Brudnopis!$E$27:$J$27),0)</f>
        <v>0.32474226804123713</v>
      </c>
      <c r="X2189" s="44">
        <f>IF(Mecze[[#This Row],[Role]]&lt;&gt;"BR",SUMPRODUCT(Mecze[[#This Row],[/PR:90]:[/BR:90]],Brudnopis!$E$28:$J$28),0)</f>
        <v>0.15463917525773196</v>
      </c>
      <c r="Y2189" s="35">
        <f>IF(Mecze[[#This Row],[Role]]="BR",Mecze[[#This Row],[/OB:90]]+Mecze[[#This Row],[/PC:90]],SUM(Mecze[[#This Row],[/PR:90]:[/BR:90]]))</f>
        <v>0.27835051546391754</v>
      </c>
      <c r="Z2189" s="35">
        <f>IF(Mecze[[#This Row],[KC]]=0,SUM(Mecze[[#This Row],[/BRI]:[/NPI]]),SUM(Mecze[[#This Row],[/BRI]:[/NPI]])*0.6)</f>
        <v>1.4123711340206184</v>
      </c>
      <c r="AA2189" s="10">
        <f>IFERROR(Mecze[[#This Row],[BR]]/Mecze[[#This Row],[ST]],0)</f>
        <v>0</v>
      </c>
      <c r="AB2189">
        <f>ROUND(Mecze[[#This Row],[PD]]*Mecze[[#This Row],[%PC]],0)</f>
        <v>15</v>
      </c>
      <c r="AC2189">
        <f>ROUND(Mecze[[#This Row],[OD]]*Mecze[[#This Row],[%OU]],0)</f>
        <v>4</v>
      </c>
      <c r="AD2189" s="36" t="s">
        <v>47</v>
      </c>
      <c r="AE2189" s="36">
        <v>123</v>
      </c>
      <c r="AF2189" s="71">
        <v>5.61</v>
      </c>
      <c r="AG2189" s="37">
        <v>0</v>
      </c>
      <c r="AH2189" s="37">
        <v>0</v>
      </c>
      <c r="AI2189" s="37">
        <v>97</v>
      </c>
      <c r="AJ2189" s="37">
        <v>11</v>
      </c>
      <c r="AK2189" s="37" t="str">
        <f>VLOOKUP(Mecze[[#This Row],[Match ID]],Meczusie[Mecz]:Meczusie[RodzajMeczu],2,FALSE)</f>
        <v>Liga</v>
      </c>
    </row>
    <row r="2190" spans="1:37" x14ac:dyDescent="0.25">
      <c r="A2190" s="76">
        <v>7</v>
      </c>
      <c r="B2190" s="3" t="s">
        <v>322</v>
      </c>
      <c r="C2190" s="2" t="s">
        <v>157</v>
      </c>
      <c r="D2190" s="1">
        <v>0</v>
      </c>
      <c r="E2190" s="1">
        <v>0</v>
      </c>
      <c r="F2190" s="1">
        <v>0</v>
      </c>
      <c r="G2190" s="1">
        <v>12</v>
      </c>
      <c r="H2190" s="4">
        <v>0.67</v>
      </c>
      <c r="I2190" s="1">
        <v>6</v>
      </c>
      <c r="J2190" s="4">
        <v>0.83</v>
      </c>
      <c r="K2190" s="1">
        <v>0</v>
      </c>
      <c r="L2190" s="1">
        <v>7</v>
      </c>
      <c r="M2190" s="32">
        <f>IF(Mecze[[#This Row],[PR]]=0,0,Mecze[[#This Row],[PR]]/Mecze[[#This Row],[CZAS]])</f>
        <v>7.2164948453608241E-2</v>
      </c>
      <c r="N2190" s="32">
        <f>IF(Mecze[[#This Row],[OU]]=0,0,Mecze[[#This Row],[OU]]/Mecze[[#This Row],[CZAS]])</f>
        <v>5.1546391752577317E-2</v>
      </c>
      <c r="O2190" s="32">
        <f>IF(Mecze[[#This Row],[PC]]=0,0,Mecze[[#This Row],[PC]]/Mecze[[#This Row],[CZAS]])</f>
        <v>8.247422680412371E-2</v>
      </c>
      <c r="P2190" s="32">
        <f>IF(Mecze[[#This Row],[SC]]=0,0,Mecze[[#This Row],[SC]]/Mecze[[#This Row],[CZAS]])</f>
        <v>0</v>
      </c>
      <c r="Q2190" s="32">
        <f>IF(Mecze[[#This Row],[OB]]=0,0,Mecze[[#This Row],[OB]]/Mecze[[#This Row],[CZAS]])</f>
        <v>0</v>
      </c>
      <c r="R2190" s="32">
        <f>IF(Mecze[[#This Row],[BR]]=0,0,Mecze[[#This Row],[BR]]/Mecze[[#This Row],[CZAS]])</f>
        <v>0</v>
      </c>
      <c r="S2190" s="44">
        <f>IF(Mecze[[#This Row],[Role]]="BR",SUMPRODUCT(Mecze[[#This Row],[/PR:90]:[/BR:90]],Brudnopis!$E$23:$J$23),0)</f>
        <v>0</v>
      </c>
      <c r="T2190" s="44">
        <f>IF(Mecze[[#This Row],[Role]]&lt;&gt;"BR",SUMPRODUCT(Mecze[[#This Row],[/PR:90]:[/BR:90]],Brudnopis!$E$24:$J$24),0)</f>
        <v>0.23195876288659795</v>
      </c>
      <c r="U2190" s="44">
        <f>IF(Mecze[[#This Row],[Role]]&lt;&gt;"BR",SUMPRODUCT(Mecze[[#This Row],[/PR:90]:[/BR:90]],Brudnopis!$E$25:$J$25),0)</f>
        <v>0.24742268041237114</v>
      </c>
      <c r="V2190" s="44">
        <f>IF(Mecze[[#This Row],[Role]]&lt;&gt;"BR",SUMPRODUCT(Mecze[[#This Row],[/PR:90]:[/BR:90]],Brudnopis!$E$26:$J$26),0)</f>
        <v>0.20618556701030927</v>
      </c>
      <c r="W2190" s="44">
        <f>IF(Mecze[[#This Row],[Role]]&lt;&gt;"BR",SUMPRODUCT(Mecze[[#This Row],[/PR:90]:[/BR:90]],Brudnopis!$E$27:$J$27),0)</f>
        <v>0.21649484536082475</v>
      </c>
      <c r="X2190" s="44">
        <f>IF(Mecze[[#This Row],[Role]]&lt;&gt;"BR",SUMPRODUCT(Mecze[[#This Row],[/PR:90]:[/BR:90]],Brudnopis!$E$28:$J$28),0)</f>
        <v>8.247422680412371E-2</v>
      </c>
      <c r="Y2190" s="35">
        <f>IF(Mecze[[#This Row],[Role]]="BR",Mecze[[#This Row],[/OB:90]]+Mecze[[#This Row],[/PC:90]],SUM(Mecze[[#This Row],[/PR:90]:[/BR:90]]))</f>
        <v>0.20618556701030927</v>
      </c>
      <c r="Z2190" s="35">
        <f>IF(Mecze[[#This Row],[KC]]=0,SUM(Mecze[[#This Row],[/BRI]:[/NPI]]),SUM(Mecze[[#This Row],[/BRI]:[/NPI]])*0.6)</f>
        <v>0.98453608247422686</v>
      </c>
      <c r="AA2190" s="10">
        <f>IFERROR(Mecze[[#This Row],[BR]]/Mecze[[#This Row],[ST]],0)</f>
        <v>0</v>
      </c>
      <c r="AB2190">
        <f>ROUND(Mecze[[#This Row],[PD]]*Mecze[[#This Row],[%PC]],0)</f>
        <v>8</v>
      </c>
      <c r="AC2190">
        <f>ROUND(Mecze[[#This Row],[OD]]*Mecze[[#This Row],[%OU]],0)</f>
        <v>5</v>
      </c>
      <c r="AD2190" s="36" t="s">
        <v>47</v>
      </c>
      <c r="AE2190" s="36">
        <v>123</v>
      </c>
      <c r="AF2190" s="71">
        <v>6.6</v>
      </c>
      <c r="AG2190" s="37">
        <v>0</v>
      </c>
      <c r="AH2190" s="37">
        <v>0</v>
      </c>
      <c r="AI2190" s="37">
        <v>97</v>
      </c>
      <c r="AJ2190" s="37">
        <v>11</v>
      </c>
      <c r="AK2190" s="37" t="str">
        <f>VLOOKUP(Mecze[[#This Row],[Match ID]],Meczusie[Mecz]:Meczusie[RodzajMeczu],2,FALSE)</f>
        <v>Liga</v>
      </c>
    </row>
    <row r="2191" spans="1:37" x14ac:dyDescent="0.25">
      <c r="A2191" s="76">
        <v>6</v>
      </c>
      <c r="B2191" s="3" t="s">
        <v>324</v>
      </c>
      <c r="C2191" s="2" t="s">
        <v>157</v>
      </c>
      <c r="D2191" s="1">
        <v>0</v>
      </c>
      <c r="E2191" s="1">
        <v>0</v>
      </c>
      <c r="F2191" s="1">
        <v>0</v>
      </c>
      <c r="G2191" s="1">
        <v>2</v>
      </c>
      <c r="H2191" s="4">
        <v>0.5</v>
      </c>
      <c r="I2191" s="1">
        <v>1</v>
      </c>
      <c r="J2191" s="4">
        <v>1</v>
      </c>
      <c r="K2191" s="1">
        <v>0</v>
      </c>
      <c r="L2191" s="1">
        <v>1</v>
      </c>
      <c r="M2191" s="32">
        <f>IF(Mecze[[#This Row],[PR]]=0,0,Mecze[[#This Row],[PR]]/Mecze[[#This Row],[CZAS]])</f>
        <v>1.0309278350515464E-2</v>
      </c>
      <c r="N2191" s="32">
        <f>IF(Mecze[[#This Row],[OU]]=0,0,Mecze[[#This Row],[OU]]/Mecze[[#This Row],[CZAS]])</f>
        <v>1.0309278350515464E-2</v>
      </c>
      <c r="O2191" s="32">
        <f>IF(Mecze[[#This Row],[PC]]=0,0,Mecze[[#This Row],[PC]]/Mecze[[#This Row],[CZAS]])</f>
        <v>1.0309278350515464E-2</v>
      </c>
      <c r="P2191" s="32">
        <f>IF(Mecze[[#This Row],[SC]]=0,0,Mecze[[#This Row],[SC]]/Mecze[[#This Row],[CZAS]])</f>
        <v>0</v>
      </c>
      <c r="Q2191" s="32">
        <f>IF(Mecze[[#This Row],[OB]]=0,0,Mecze[[#This Row],[OB]]/Mecze[[#This Row],[CZAS]])</f>
        <v>0</v>
      </c>
      <c r="R2191" s="32">
        <f>IF(Mecze[[#This Row],[BR]]=0,0,Mecze[[#This Row],[BR]]/Mecze[[#This Row],[CZAS]])</f>
        <v>0</v>
      </c>
      <c r="S2191" s="44">
        <f>IF(Mecze[[#This Row],[Role]]="BR",SUMPRODUCT(Mecze[[#This Row],[/PR:90]:[/BR:90]],Brudnopis!$E$23:$J$23),0)</f>
        <v>0</v>
      </c>
      <c r="T2191" s="44">
        <f>IF(Mecze[[#This Row],[Role]]&lt;&gt;"BR",SUMPRODUCT(Mecze[[#This Row],[/PR:90]:[/BR:90]],Brudnopis!$E$24:$J$24),0)</f>
        <v>3.608247422680412E-2</v>
      </c>
      <c r="U2191" s="44">
        <f>IF(Mecze[[#This Row],[Role]]&lt;&gt;"BR",SUMPRODUCT(Mecze[[#This Row],[/PR:90]:[/BR:90]],Brudnopis!$E$25:$J$25),0)</f>
        <v>3.608247422680412E-2</v>
      </c>
      <c r="V2191" s="44">
        <f>IF(Mecze[[#This Row],[Role]]&lt;&gt;"BR",SUMPRODUCT(Mecze[[#This Row],[/PR:90]:[/BR:90]],Brudnopis!$E$26:$J$26),0)</f>
        <v>3.0927835051546393E-2</v>
      </c>
      <c r="W2191" s="44">
        <f>IF(Mecze[[#This Row],[Role]]&lt;&gt;"BR",SUMPRODUCT(Mecze[[#This Row],[/PR:90]:[/BR:90]],Brudnopis!$E$27:$J$27),0)</f>
        <v>3.0927835051546393E-2</v>
      </c>
      <c r="X2191" s="44">
        <f>IF(Mecze[[#This Row],[Role]]&lt;&gt;"BR",SUMPRODUCT(Mecze[[#This Row],[/PR:90]:[/BR:90]],Brudnopis!$E$28:$J$28),0)</f>
        <v>1.0309278350515464E-2</v>
      </c>
      <c r="Y2191" s="35">
        <f>IF(Mecze[[#This Row],[Role]]="BR",Mecze[[#This Row],[/OB:90]]+Mecze[[#This Row],[/PC:90]],SUM(Mecze[[#This Row],[/PR:90]:[/BR:90]]))</f>
        <v>3.0927835051546393E-2</v>
      </c>
      <c r="Z2191" s="35">
        <f>IF(Mecze[[#This Row],[KC]]=0,SUM(Mecze[[#This Row],[/BRI]:[/NPI]]),SUM(Mecze[[#This Row],[/BRI]:[/NPI]])*0.6)</f>
        <v>0.14432989690721648</v>
      </c>
      <c r="AA2191" s="10">
        <f>IFERROR(Mecze[[#This Row],[BR]]/Mecze[[#This Row],[ST]],0)</f>
        <v>0</v>
      </c>
      <c r="AB2191">
        <f>ROUND(Mecze[[#This Row],[PD]]*Mecze[[#This Row],[%PC]],0)</f>
        <v>1</v>
      </c>
      <c r="AC2191">
        <f>ROUND(Mecze[[#This Row],[OD]]*Mecze[[#This Row],[%OU]],0)</f>
        <v>1</v>
      </c>
      <c r="AD2191" s="36" t="s">
        <v>174</v>
      </c>
      <c r="AE2191" s="36">
        <v>123</v>
      </c>
      <c r="AF2191" s="71">
        <v>3.02</v>
      </c>
      <c r="AG2191" s="37">
        <v>0</v>
      </c>
      <c r="AH2191" s="37">
        <v>0</v>
      </c>
      <c r="AI2191" s="37">
        <v>97</v>
      </c>
      <c r="AJ2191" s="37">
        <v>11</v>
      </c>
      <c r="AK2191" s="37" t="str">
        <f>VLOOKUP(Mecze[[#This Row],[Match ID]],Meczusie[Mecz]:Meczusie[RodzajMeczu],2,FALSE)</f>
        <v>Liga</v>
      </c>
    </row>
    <row r="2192" spans="1:37" x14ac:dyDescent="0.25">
      <c r="A2192" s="76">
        <v>2</v>
      </c>
      <c r="B2192" s="3" t="s">
        <v>392</v>
      </c>
      <c r="C2192" s="2" t="s">
        <v>157</v>
      </c>
      <c r="D2192" s="1">
        <v>0</v>
      </c>
      <c r="E2192" s="1">
        <v>0</v>
      </c>
      <c r="F2192" s="1">
        <v>0</v>
      </c>
      <c r="G2192" s="1">
        <v>3</v>
      </c>
      <c r="H2192" s="4">
        <v>1</v>
      </c>
      <c r="I2192" s="1">
        <v>3</v>
      </c>
      <c r="J2192" s="4">
        <v>0.67</v>
      </c>
      <c r="K2192" s="1">
        <v>0</v>
      </c>
      <c r="L2192" s="1">
        <v>3</v>
      </c>
      <c r="M2192" s="32">
        <f>IF(Mecze[[#This Row],[PR]]=0,0,Mecze[[#This Row],[PR]]/Mecze[[#This Row],[CZAS]])</f>
        <v>3.0927835051546393E-2</v>
      </c>
      <c r="N2192" s="32">
        <f>IF(Mecze[[#This Row],[OU]]=0,0,Mecze[[#This Row],[OU]]/Mecze[[#This Row],[CZAS]])</f>
        <v>2.0618556701030927E-2</v>
      </c>
      <c r="O2192" s="32">
        <f>IF(Mecze[[#This Row],[PC]]=0,0,Mecze[[#This Row],[PC]]/Mecze[[#This Row],[CZAS]])</f>
        <v>3.0927835051546393E-2</v>
      </c>
      <c r="P2192" s="32">
        <f>IF(Mecze[[#This Row],[SC]]=0,0,Mecze[[#This Row],[SC]]/Mecze[[#This Row],[CZAS]])</f>
        <v>0</v>
      </c>
      <c r="Q2192" s="32">
        <f>IF(Mecze[[#This Row],[OB]]=0,0,Mecze[[#This Row],[OB]]/Mecze[[#This Row],[CZAS]])</f>
        <v>0</v>
      </c>
      <c r="R2192" s="32">
        <f>IF(Mecze[[#This Row],[BR]]=0,0,Mecze[[#This Row],[BR]]/Mecze[[#This Row],[CZAS]])</f>
        <v>0</v>
      </c>
      <c r="S2192" s="44">
        <f>IF(Mecze[[#This Row],[Role]]="BR",SUMPRODUCT(Mecze[[#This Row],[/PR:90]:[/BR:90]],Brudnopis!$E$23:$J$23),0)</f>
        <v>0</v>
      </c>
      <c r="T2192" s="44">
        <f>IF(Mecze[[#This Row],[Role]]&lt;&gt;"BR",SUMPRODUCT(Mecze[[#This Row],[/PR:90]:[/BR:90]],Brudnopis!$E$24:$J$24),0)</f>
        <v>9.2783505154639179E-2</v>
      </c>
      <c r="U2192" s="44">
        <f>IF(Mecze[[#This Row],[Role]]&lt;&gt;"BR",SUMPRODUCT(Mecze[[#This Row],[/PR:90]:[/BR:90]],Brudnopis!$E$25:$J$25),0)</f>
        <v>9.7938144329896906E-2</v>
      </c>
      <c r="V2192" s="44">
        <f>IF(Mecze[[#This Row],[Role]]&lt;&gt;"BR",SUMPRODUCT(Mecze[[#This Row],[/PR:90]:[/BR:90]],Brudnopis!$E$26:$J$26),0)</f>
        <v>8.247422680412371E-2</v>
      </c>
      <c r="W2192" s="44">
        <f>IF(Mecze[[#This Row],[Role]]&lt;&gt;"BR",SUMPRODUCT(Mecze[[#This Row],[/PR:90]:[/BR:90]],Brudnopis!$E$27:$J$27),0)</f>
        <v>8.505154639175258E-2</v>
      </c>
      <c r="X2192" s="44">
        <f>IF(Mecze[[#This Row],[Role]]&lt;&gt;"BR",SUMPRODUCT(Mecze[[#This Row],[/PR:90]:[/BR:90]],Brudnopis!$E$28:$J$28),0)</f>
        <v>3.0927835051546393E-2</v>
      </c>
      <c r="Y2192" s="35">
        <f>IF(Mecze[[#This Row],[Role]]="BR",Mecze[[#This Row],[/OB:90]]+Mecze[[#This Row],[/PC:90]],SUM(Mecze[[#This Row],[/PR:90]:[/BR:90]]))</f>
        <v>8.247422680412371E-2</v>
      </c>
      <c r="Z2192" s="35">
        <f>IF(Mecze[[#This Row],[KC]]=0,SUM(Mecze[[#This Row],[/BRI]:[/NPI]]),SUM(Mecze[[#This Row],[/BRI]:[/NPI]])*0.6)</f>
        <v>0.38917525773195871</v>
      </c>
      <c r="AA2192" s="10">
        <f>IFERROR(Mecze[[#This Row],[BR]]/Mecze[[#This Row],[ST]],0)</f>
        <v>0</v>
      </c>
      <c r="AB2192">
        <f>ROUND(Mecze[[#This Row],[PD]]*Mecze[[#This Row],[%PC]],0)</f>
        <v>3</v>
      </c>
      <c r="AC2192">
        <f>ROUND(Mecze[[#This Row],[OD]]*Mecze[[#This Row],[%OU]],0)</f>
        <v>2</v>
      </c>
      <c r="AD2192" s="36" t="s">
        <v>175</v>
      </c>
      <c r="AE2192" s="36">
        <v>123</v>
      </c>
      <c r="AF2192" s="71">
        <v>4.5599999999999996</v>
      </c>
      <c r="AG2192" s="37">
        <v>0</v>
      </c>
      <c r="AH2192" s="37">
        <v>0</v>
      </c>
      <c r="AI2192" s="37">
        <v>97</v>
      </c>
      <c r="AJ2192" s="37">
        <v>11</v>
      </c>
      <c r="AK2192" s="37" t="str">
        <f>VLOOKUP(Mecze[[#This Row],[Match ID]],Meczusie[Mecz]:Meczusie[RodzajMeczu],2,FALSE)</f>
        <v>Liga</v>
      </c>
    </row>
    <row r="2193" spans="1:37" x14ac:dyDescent="0.25">
      <c r="A2193" s="76">
        <v>5</v>
      </c>
      <c r="B2193" s="3" t="s">
        <v>325</v>
      </c>
      <c r="C2193" s="2" t="s">
        <v>160</v>
      </c>
      <c r="D2193" s="1">
        <v>0</v>
      </c>
      <c r="E2193" s="1">
        <v>0</v>
      </c>
      <c r="F2193" s="1">
        <v>0</v>
      </c>
      <c r="G2193" s="1">
        <v>14</v>
      </c>
      <c r="H2193" s="4">
        <v>0.56999999999999995</v>
      </c>
      <c r="I2193" s="1">
        <v>5</v>
      </c>
      <c r="J2193" s="4">
        <v>0.6</v>
      </c>
      <c r="K2193" s="1">
        <v>0</v>
      </c>
      <c r="L2193" s="1">
        <v>3</v>
      </c>
      <c r="M2193" s="32">
        <f>IF(Mecze[[#This Row],[PR]]=0,0,Mecze[[#This Row],[PR]]/Mecze[[#This Row],[CZAS]])</f>
        <v>3.0927835051546393E-2</v>
      </c>
      <c r="N2193" s="32">
        <f>IF(Mecze[[#This Row],[OU]]=0,0,Mecze[[#This Row],[OU]]/Mecze[[#This Row],[CZAS]])</f>
        <v>3.0927835051546393E-2</v>
      </c>
      <c r="O2193" s="32">
        <f>IF(Mecze[[#This Row],[PC]]=0,0,Mecze[[#This Row],[PC]]/Mecze[[#This Row],[CZAS]])</f>
        <v>8.247422680412371E-2</v>
      </c>
      <c r="P2193" s="32">
        <f>IF(Mecze[[#This Row],[SC]]=0,0,Mecze[[#This Row],[SC]]/Mecze[[#This Row],[CZAS]])</f>
        <v>0</v>
      </c>
      <c r="Q2193" s="32">
        <f>IF(Mecze[[#This Row],[OB]]=0,0,Mecze[[#This Row],[OB]]/Mecze[[#This Row],[CZAS]])</f>
        <v>0</v>
      </c>
      <c r="R2193" s="32">
        <f>IF(Mecze[[#This Row],[BR]]=0,0,Mecze[[#This Row],[BR]]/Mecze[[#This Row],[CZAS]])</f>
        <v>0</v>
      </c>
      <c r="S2193" s="44">
        <f>IF(Mecze[[#This Row],[Role]]="BR",SUMPRODUCT(Mecze[[#This Row],[/PR:90]:[/BR:90]],Brudnopis!$E$23:$J$23),0)</f>
        <v>0</v>
      </c>
      <c r="T2193" s="44">
        <f>IF(Mecze[[#This Row],[Role]]&lt;&gt;"BR",SUMPRODUCT(Mecze[[#This Row],[/PR:90]:[/BR:90]],Brudnopis!$E$24:$J$24),0)</f>
        <v>0.15979381443298968</v>
      </c>
      <c r="U2193" s="44">
        <f>IF(Mecze[[#This Row],[Role]]&lt;&gt;"BR",SUMPRODUCT(Mecze[[#This Row],[/PR:90]:[/BR:90]],Brudnopis!$E$25:$J$25),0)</f>
        <v>0.18556701030927836</v>
      </c>
      <c r="V2193" s="44">
        <f>IF(Mecze[[#This Row],[Role]]&lt;&gt;"BR",SUMPRODUCT(Mecze[[#This Row],[/PR:90]:[/BR:90]],Brudnopis!$E$26:$J$26),0)</f>
        <v>0.14432989690721648</v>
      </c>
      <c r="W2193" s="44">
        <f>IF(Mecze[[#This Row],[Role]]&lt;&gt;"BR",SUMPRODUCT(Mecze[[#This Row],[/PR:90]:[/BR:90]],Brudnopis!$E$27:$J$27),0)</f>
        <v>0.17010309278350516</v>
      </c>
      <c r="X2193" s="44">
        <f>IF(Mecze[[#This Row],[Role]]&lt;&gt;"BR",SUMPRODUCT(Mecze[[#This Row],[/PR:90]:[/BR:90]],Brudnopis!$E$28:$J$28),0)</f>
        <v>8.247422680412371E-2</v>
      </c>
      <c r="Y2193" s="35">
        <f>IF(Mecze[[#This Row],[Role]]="BR",Mecze[[#This Row],[/OB:90]]+Mecze[[#This Row],[/PC:90]],SUM(Mecze[[#This Row],[/PR:90]:[/BR:90]]))</f>
        <v>0.14432989690721648</v>
      </c>
      <c r="Z2193" s="35">
        <f>IF(Mecze[[#This Row],[KC]]=0,SUM(Mecze[[#This Row],[/BRI]:[/NPI]]),SUM(Mecze[[#This Row],[/BRI]:[/NPI]])*0.6)</f>
        <v>0.74226804123711343</v>
      </c>
      <c r="AA2193" s="10">
        <f>IFERROR(Mecze[[#This Row],[BR]]/Mecze[[#This Row],[ST]],0)</f>
        <v>0</v>
      </c>
      <c r="AB2193">
        <f>ROUND(Mecze[[#This Row],[PD]]*Mecze[[#This Row],[%PC]],0)</f>
        <v>8</v>
      </c>
      <c r="AC2193">
        <f>ROUND(Mecze[[#This Row],[OD]]*Mecze[[#This Row],[%OU]],0)</f>
        <v>3</v>
      </c>
      <c r="AD2193" s="36" t="s">
        <v>41</v>
      </c>
      <c r="AE2193" s="36">
        <v>123</v>
      </c>
      <c r="AF2193" s="71">
        <v>5.76</v>
      </c>
      <c r="AG2193" s="37">
        <v>0</v>
      </c>
      <c r="AH2193" s="37">
        <v>0</v>
      </c>
      <c r="AI2193" s="37">
        <v>97</v>
      </c>
      <c r="AJ2193" s="37">
        <v>11</v>
      </c>
      <c r="AK2193" s="37" t="str">
        <f>VLOOKUP(Mecze[[#This Row],[Match ID]],Meczusie[Mecz]:Meczusie[RodzajMeczu],2,FALSE)</f>
        <v>Liga</v>
      </c>
    </row>
    <row r="2194" spans="1:37" x14ac:dyDescent="0.25">
      <c r="A2194" s="76">
        <v>8</v>
      </c>
      <c r="B2194" s="3" t="s">
        <v>326</v>
      </c>
      <c r="C2194" s="2" t="s">
        <v>160</v>
      </c>
      <c r="D2194" s="1">
        <v>0</v>
      </c>
      <c r="E2194" s="1">
        <v>0</v>
      </c>
      <c r="F2194" s="1">
        <v>0</v>
      </c>
      <c r="G2194" s="1">
        <v>12</v>
      </c>
      <c r="H2194" s="4">
        <v>0.67</v>
      </c>
      <c r="I2194" s="1">
        <v>3</v>
      </c>
      <c r="J2194" s="4">
        <v>0.67</v>
      </c>
      <c r="K2194" s="1">
        <v>0</v>
      </c>
      <c r="L2194" s="1">
        <v>3</v>
      </c>
      <c r="M2194" s="32">
        <f>IF(Mecze[[#This Row],[PR]]=0,0,Mecze[[#This Row],[PR]]/Mecze[[#This Row],[CZAS]])</f>
        <v>3.0927835051546393E-2</v>
      </c>
      <c r="N2194" s="32">
        <f>IF(Mecze[[#This Row],[OU]]=0,0,Mecze[[#This Row],[OU]]/Mecze[[#This Row],[CZAS]])</f>
        <v>2.0618556701030927E-2</v>
      </c>
      <c r="O2194" s="32">
        <f>IF(Mecze[[#This Row],[PC]]=0,0,Mecze[[#This Row],[PC]]/Mecze[[#This Row],[CZAS]])</f>
        <v>8.247422680412371E-2</v>
      </c>
      <c r="P2194" s="32">
        <f>IF(Mecze[[#This Row],[SC]]=0,0,Mecze[[#This Row],[SC]]/Mecze[[#This Row],[CZAS]])</f>
        <v>0</v>
      </c>
      <c r="Q2194" s="32">
        <f>IF(Mecze[[#This Row],[OB]]=0,0,Mecze[[#This Row],[OB]]/Mecze[[#This Row],[CZAS]])</f>
        <v>0</v>
      </c>
      <c r="R2194" s="32">
        <f>IF(Mecze[[#This Row],[BR]]=0,0,Mecze[[#This Row],[BR]]/Mecze[[#This Row],[CZAS]])</f>
        <v>0</v>
      </c>
      <c r="S2194" s="44">
        <f>IF(Mecze[[#This Row],[Role]]="BR",SUMPRODUCT(Mecze[[#This Row],[/PR:90]:[/BR:90]],Brudnopis!$E$23:$J$23),0)</f>
        <v>0</v>
      </c>
      <c r="T2194" s="44">
        <f>IF(Mecze[[#This Row],[Role]]&lt;&gt;"BR",SUMPRODUCT(Mecze[[#This Row],[/PR:90]:[/BR:90]],Brudnopis!$E$24:$J$24),0)</f>
        <v>0.14432989690721648</v>
      </c>
      <c r="U2194" s="44">
        <f>IF(Mecze[[#This Row],[Role]]&lt;&gt;"BR",SUMPRODUCT(Mecze[[#This Row],[/PR:90]:[/BR:90]],Brudnopis!$E$25:$J$25),0)</f>
        <v>0.17525773195876287</v>
      </c>
      <c r="V2194" s="44">
        <f>IF(Mecze[[#This Row],[Role]]&lt;&gt;"BR",SUMPRODUCT(Mecze[[#This Row],[/PR:90]:[/BR:90]],Brudnopis!$E$26:$J$26),0)</f>
        <v>0.13402061855670103</v>
      </c>
      <c r="W2194" s="44">
        <f>IF(Mecze[[#This Row],[Role]]&lt;&gt;"BR",SUMPRODUCT(Mecze[[#This Row],[/PR:90]:[/BR:90]],Brudnopis!$E$27:$J$27),0)</f>
        <v>0.16237113402061856</v>
      </c>
      <c r="X2194" s="44">
        <f>IF(Mecze[[#This Row],[Role]]&lt;&gt;"BR",SUMPRODUCT(Mecze[[#This Row],[/PR:90]:[/BR:90]],Brudnopis!$E$28:$J$28),0)</f>
        <v>8.247422680412371E-2</v>
      </c>
      <c r="Y2194" s="35">
        <f>IF(Mecze[[#This Row],[Role]]="BR",Mecze[[#This Row],[/OB:90]]+Mecze[[#This Row],[/PC:90]],SUM(Mecze[[#This Row],[/PR:90]:[/BR:90]]))</f>
        <v>0.13402061855670103</v>
      </c>
      <c r="Z2194" s="35">
        <f>IF(Mecze[[#This Row],[KC]]=0,SUM(Mecze[[#This Row],[/BRI]:[/NPI]]),SUM(Mecze[[#This Row],[/BRI]:[/NPI]])*0.6)</f>
        <v>0.69845360824742264</v>
      </c>
      <c r="AA2194" s="10">
        <f>IFERROR(Mecze[[#This Row],[BR]]/Mecze[[#This Row],[ST]],0)</f>
        <v>0</v>
      </c>
      <c r="AB2194">
        <f>ROUND(Mecze[[#This Row],[PD]]*Mecze[[#This Row],[%PC]],0)</f>
        <v>8</v>
      </c>
      <c r="AC2194">
        <f>ROUND(Mecze[[#This Row],[OD]]*Mecze[[#This Row],[%OU]],0)</f>
        <v>2</v>
      </c>
      <c r="AD2194" s="36" t="s">
        <v>318</v>
      </c>
      <c r="AE2194" s="36">
        <v>123</v>
      </c>
      <c r="AF2194" s="71">
        <v>5.76</v>
      </c>
      <c r="AG2194" s="37">
        <v>0</v>
      </c>
      <c r="AH2194" s="37">
        <v>0</v>
      </c>
      <c r="AI2194" s="37">
        <v>97</v>
      </c>
      <c r="AJ2194" s="37">
        <v>11</v>
      </c>
      <c r="AK2194" s="37" t="str">
        <f>VLOOKUP(Mecze[[#This Row],[Match ID]],Meczusie[Mecz]:Meczusie[RodzajMeczu],2,FALSE)</f>
        <v>Liga</v>
      </c>
    </row>
    <row r="2195" spans="1:37" x14ac:dyDescent="0.25">
      <c r="A2195" s="76">
        <v>9</v>
      </c>
      <c r="B2195" s="3" t="s">
        <v>327</v>
      </c>
      <c r="C2195" s="2" t="s">
        <v>160</v>
      </c>
      <c r="D2195" s="1">
        <v>2</v>
      </c>
      <c r="E2195" s="1">
        <v>4</v>
      </c>
      <c r="F2195" s="1">
        <v>4</v>
      </c>
      <c r="G2195" s="1">
        <v>12</v>
      </c>
      <c r="H2195" s="4">
        <v>0.83</v>
      </c>
      <c r="I2195" s="1">
        <v>3</v>
      </c>
      <c r="J2195" s="4">
        <v>0</v>
      </c>
      <c r="K2195" s="1">
        <v>0</v>
      </c>
      <c r="L2195" s="1">
        <v>4</v>
      </c>
      <c r="M2195" s="32">
        <f>IF(Mecze[[#This Row],[PR]]=0,0,Mecze[[#This Row],[PR]]/Mecze[[#This Row],[CZAS]])</f>
        <v>4.1237113402061855E-2</v>
      </c>
      <c r="N2195" s="32">
        <f>IF(Mecze[[#This Row],[OU]]=0,0,Mecze[[#This Row],[OU]]/Mecze[[#This Row],[CZAS]])</f>
        <v>0</v>
      </c>
      <c r="O2195" s="32">
        <f>IF(Mecze[[#This Row],[PC]]=0,0,Mecze[[#This Row],[PC]]/Mecze[[#This Row],[CZAS]])</f>
        <v>0.10309278350515463</v>
      </c>
      <c r="P2195" s="32">
        <f>IF(Mecze[[#This Row],[SC]]=0,0,Mecze[[#This Row],[SC]]/Mecze[[#This Row],[CZAS]])</f>
        <v>4.1237113402061855E-2</v>
      </c>
      <c r="Q2195" s="32">
        <f>IF(Mecze[[#This Row],[OB]]=0,0,Mecze[[#This Row],[OB]]/Mecze[[#This Row],[CZAS]])</f>
        <v>0</v>
      </c>
      <c r="R2195" s="32">
        <f>IF(Mecze[[#This Row],[BR]]=0,0,Mecze[[#This Row],[BR]]/Mecze[[#This Row],[CZAS]])</f>
        <v>2.0618556701030927E-2</v>
      </c>
      <c r="S2195" s="44">
        <f>IF(Mecze[[#This Row],[Role]]="BR",SUMPRODUCT(Mecze[[#This Row],[/PR:90]:[/BR:90]],Brudnopis!$E$23:$J$23),0)</f>
        <v>0</v>
      </c>
      <c r="T2195" s="44">
        <f>IF(Mecze[[#This Row],[Role]]&lt;&gt;"BR",SUMPRODUCT(Mecze[[#This Row],[/PR:90]:[/BR:90]],Brudnopis!$E$24:$J$24),0)</f>
        <v>0.21649484536082472</v>
      </c>
      <c r="U2195" s="44">
        <f>IF(Mecze[[#This Row],[Role]]&lt;&gt;"BR",SUMPRODUCT(Mecze[[#This Row],[/PR:90]:[/BR:90]],Brudnopis!$E$25:$J$25),0)</f>
        <v>0.26804123711340205</v>
      </c>
      <c r="V2195" s="44">
        <f>IF(Mecze[[#This Row],[Role]]&lt;&gt;"BR",SUMPRODUCT(Mecze[[#This Row],[/PR:90]:[/BR:90]],Brudnopis!$E$26:$J$26),0)</f>
        <v>0.22680412371134018</v>
      </c>
      <c r="W2195" s="44">
        <f>IF(Mecze[[#This Row],[Role]]&lt;&gt;"BR",SUMPRODUCT(Mecze[[#This Row],[/PR:90]:[/BR:90]],Brudnopis!$E$27:$J$27),0)</f>
        <v>0.26804123711340205</v>
      </c>
      <c r="X2195" s="44">
        <f>IF(Mecze[[#This Row],[Role]]&lt;&gt;"BR",SUMPRODUCT(Mecze[[#This Row],[/PR:90]:[/BR:90]],Brudnopis!$E$28:$J$28),0)</f>
        <v>0.24742268041237114</v>
      </c>
      <c r="Y2195" s="35">
        <f>IF(Mecze[[#This Row],[Role]]="BR",Mecze[[#This Row],[/OB:90]]+Mecze[[#This Row],[/PC:90]],SUM(Mecze[[#This Row],[/PR:90]:[/BR:90]]))</f>
        <v>0.20618556701030927</v>
      </c>
      <c r="Z2195" s="35">
        <f>IF(Mecze[[#This Row],[KC]]=0,SUM(Mecze[[#This Row],[/BRI]:[/NPI]]),SUM(Mecze[[#This Row],[/BRI]:[/NPI]])*0.6)</f>
        <v>1.2268041237113401</v>
      </c>
      <c r="AA2195" s="10">
        <f>IFERROR(Mecze[[#This Row],[BR]]/Mecze[[#This Row],[ST]],0)</f>
        <v>0.5</v>
      </c>
      <c r="AB2195">
        <f>ROUND(Mecze[[#This Row],[PD]]*Mecze[[#This Row],[%PC]],0)</f>
        <v>10</v>
      </c>
      <c r="AC2195">
        <f>ROUND(Mecze[[#This Row],[OD]]*Mecze[[#This Row],[%OU]],0)</f>
        <v>0</v>
      </c>
      <c r="AD2195" s="36" t="s">
        <v>44</v>
      </c>
      <c r="AE2195" s="36">
        <v>123</v>
      </c>
      <c r="AF2195" s="71">
        <v>12.02</v>
      </c>
      <c r="AG2195" s="37">
        <v>0</v>
      </c>
      <c r="AH2195" s="37">
        <v>0</v>
      </c>
      <c r="AI2195" s="37">
        <v>97</v>
      </c>
      <c r="AJ2195" s="37">
        <v>11</v>
      </c>
      <c r="AK2195" s="37" t="str">
        <f>VLOOKUP(Mecze[[#This Row],[Match ID]],Meczusie[Mecz]:Meczusie[RodzajMeczu],2,FALSE)</f>
        <v>Liga</v>
      </c>
    </row>
    <row r="2196" spans="1:37" x14ac:dyDescent="0.25">
      <c r="A2196" s="76">
        <v>10</v>
      </c>
      <c r="B2196" s="3" t="s">
        <v>328</v>
      </c>
      <c r="C2196" s="2" t="s">
        <v>165</v>
      </c>
      <c r="D2196" s="1">
        <v>2</v>
      </c>
      <c r="E2196" s="1">
        <v>12</v>
      </c>
      <c r="F2196" s="1">
        <v>12</v>
      </c>
      <c r="G2196" s="1">
        <v>6</v>
      </c>
      <c r="H2196" s="4">
        <v>0.5</v>
      </c>
      <c r="I2196" s="1">
        <v>5</v>
      </c>
      <c r="J2196" s="4">
        <v>0.6</v>
      </c>
      <c r="K2196" s="1">
        <v>0</v>
      </c>
      <c r="L2196" s="1">
        <v>1</v>
      </c>
      <c r="M2196" s="32">
        <f>IF(Mecze[[#This Row],[PR]]=0,0,Mecze[[#This Row],[PR]]/Mecze[[#This Row],[CZAS]])</f>
        <v>1.0309278350515464E-2</v>
      </c>
      <c r="N2196" s="32">
        <f>IF(Mecze[[#This Row],[OU]]=0,0,Mecze[[#This Row],[OU]]/Mecze[[#This Row],[CZAS]])</f>
        <v>3.0927835051546393E-2</v>
      </c>
      <c r="O2196" s="32">
        <f>IF(Mecze[[#This Row],[PC]]=0,0,Mecze[[#This Row],[PC]]/Mecze[[#This Row],[CZAS]])</f>
        <v>3.0927835051546393E-2</v>
      </c>
      <c r="P2196" s="32">
        <f>IF(Mecze[[#This Row],[SC]]=0,0,Mecze[[#This Row],[SC]]/Mecze[[#This Row],[CZAS]])</f>
        <v>0.12371134020618557</v>
      </c>
      <c r="Q2196" s="32">
        <f>IF(Mecze[[#This Row],[OB]]=0,0,Mecze[[#This Row],[OB]]/Mecze[[#This Row],[CZAS]])</f>
        <v>0</v>
      </c>
      <c r="R2196" s="32">
        <f>IF(Mecze[[#This Row],[BR]]=0,0,Mecze[[#This Row],[BR]]/Mecze[[#This Row],[CZAS]])</f>
        <v>2.0618556701030927E-2</v>
      </c>
      <c r="S2196" s="44">
        <f>IF(Mecze[[#This Row],[Role]]="BR",SUMPRODUCT(Mecze[[#This Row],[/PR:90]:[/BR:90]],Brudnopis!$E$23:$J$23),0)</f>
        <v>0</v>
      </c>
      <c r="T2196" s="44">
        <f>IF(Mecze[[#This Row],[Role]]&lt;&gt;"BR",SUMPRODUCT(Mecze[[#This Row],[/PR:90]:[/BR:90]],Brudnopis!$E$24:$J$24),0)</f>
        <v>0.2422680412371134</v>
      </c>
      <c r="U2196" s="44">
        <f>IF(Mecze[[#This Row],[Role]]&lt;&gt;"BR",SUMPRODUCT(Mecze[[#This Row],[/PR:90]:[/BR:90]],Brudnopis!$E$25:$J$25),0)</f>
        <v>0.2422680412371134</v>
      </c>
      <c r="V2196" s="44">
        <f>IF(Mecze[[#This Row],[Role]]&lt;&gt;"BR",SUMPRODUCT(Mecze[[#This Row],[/PR:90]:[/BR:90]],Brudnopis!$E$26:$J$26),0)</f>
        <v>0.23711340206185566</v>
      </c>
      <c r="W2196" s="44">
        <f>IF(Mecze[[#This Row],[Role]]&lt;&gt;"BR",SUMPRODUCT(Mecze[[#This Row],[/PR:90]:[/BR:90]],Brudnopis!$E$27:$J$27),0)</f>
        <v>0.2422680412371134</v>
      </c>
      <c r="X2196" s="44">
        <f>IF(Mecze[[#This Row],[Role]]&lt;&gt;"BR",SUMPRODUCT(Mecze[[#This Row],[/PR:90]:[/BR:90]],Brudnopis!$E$28:$J$28),0)</f>
        <v>0.34020618556701032</v>
      </c>
      <c r="Y2196" s="35">
        <f>IF(Mecze[[#This Row],[Role]]="BR",Mecze[[#This Row],[/OB:90]]+Mecze[[#This Row],[/PC:90]],SUM(Mecze[[#This Row],[/PR:90]:[/BR:90]]))</f>
        <v>0.21649484536082475</v>
      </c>
      <c r="Z2196" s="35">
        <f>IF(Mecze[[#This Row],[KC]]=0,SUM(Mecze[[#This Row],[/BRI]:[/NPI]]),SUM(Mecze[[#This Row],[/BRI]:[/NPI]])*0.6)</f>
        <v>1.3041237113402062</v>
      </c>
      <c r="AA2196" s="10">
        <f>IFERROR(Mecze[[#This Row],[BR]]/Mecze[[#This Row],[ST]],0)</f>
        <v>0.16666666666666666</v>
      </c>
      <c r="AB2196">
        <f>ROUND(Mecze[[#This Row],[PD]]*Mecze[[#This Row],[%PC]],0)</f>
        <v>3</v>
      </c>
      <c r="AC2196">
        <f>ROUND(Mecze[[#This Row],[OD]]*Mecze[[#This Row],[%OU]],0)</f>
        <v>3</v>
      </c>
      <c r="AD2196" s="36" t="s">
        <v>46</v>
      </c>
      <c r="AE2196" s="36">
        <v>123</v>
      </c>
      <c r="AF2196" s="71">
        <v>11.39</v>
      </c>
      <c r="AG2196" s="37">
        <v>1</v>
      </c>
      <c r="AH2196" s="37">
        <v>0</v>
      </c>
      <c r="AI2196" s="37">
        <v>97</v>
      </c>
      <c r="AJ2196" s="37">
        <v>11</v>
      </c>
      <c r="AK2196" s="37" t="str">
        <f>VLOOKUP(Mecze[[#This Row],[Match ID]],Meczusie[Mecz]:Meczusie[RodzajMeczu],2,FALSE)</f>
        <v>Liga</v>
      </c>
    </row>
    <row r="2197" spans="1:37" x14ac:dyDescent="0.25">
      <c r="A2197" s="76">
        <v>11</v>
      </c>
      <c r="B2197" s="3" t="s">
        <v>329</v>
      </c>
      <c r="C2197" s="2" t="s">
        <v>165</v>
      </c>
      <c r="D2197" s="1">
        <v>0</v>
      </c>
      <c r="E2197" s="1">
        <v>1</v>
      </c>
      <c r="F2197" s="1">
        <v>1</v>
      </c>
      <c r="G2197" s="1">
        <v>6</v>
      </c>
      <c r="H2197" s="4">
        <v>1</v>
      </c>
      <c r="I2197" s="1">
        <v>0</v>
      </c>
      <c r="J2197" s="4"/>
      <c r="K2197" s="1">
        <v>0</v>
      </c>
      <c r="L2197" s="1">
        <v>0</v>
      </c>
      <c r="M2197" s="32">
        <f>IF(Mecze[[#This Row],[PR]]=0,0,Mecze[[#This Row],[PR]]/Mecze[[#This Row],[CZAS]])</f>
        <v>0</v>
      </c>
      <c r="N2197" s="32">
        <f>IF(Mecze[[#This Row],[OU]]=0,0,Mecze[[#This Row],[OU]]/Mecze[[#This Row],[CZAS]])</f>
        <v>0</v>
      </c>
      <c r="O2197" s="32">
        <f>IF(Mecze[[#This Row],[PC]]=0,0,Mecze[[#This Row],[PC]]/Mecze[[#This Row],[CZAS]])</f>
        <v>6.1855670103092786E-2</v>
      </c>
      <c r="P2197" s="32">
        <f>IF(Mecze[[#This Row],[SC]]=0,0,Mecze[[#This Row],[SC]]/Mecze[[#This Row],[CZAS]])</f>
        <v>1.0309278350515464E-2</v>
      </c>
      <c r="Q2197" s="32">
        <f>IF(Mecze[[#This Row],[OB]]=0,0,Mecze[[#This Row],[OB]]/Mecze[[#This Row],[CZAS]])</f>
        <v>0</v>
      </c>
      <c r="R2197" s="32">
        <f>IF(Mecze[[#This Row],[BR]]=0,0,Mecze[[#This Row],[BR]]/Mecze[[#This Row],[CZAS]])</f>
        <v>0</v>
      </c>
      <c r="S2197" s="44">
        <f>IF(Mecze[[#This Row],[Role]]="BR",SUMPRODUCT(Mecze[[#This Row],[/PR:90]:[/BR:90]],Brudnopis!$E$23:$J$23),0)</f>
        <v>0</v>
      </c>
      <c r="T2197" s="44">
        <f>IF(Mecze[[#This Row],[Role]]&lt;&gt;"BR",SUMPRODUCT(Mecze[[#This Row],[/PR:90]:[/BR:90]],Brudnopis!$E$24:$J$24),0)</f>
        <v>7.2164948453608255E-2</v>
      </c>
      <c r="U2197" s="44">
        <f>IF(Mecze[[#This Row],[Role]]&lt;&gt;"BR",SUMPRODUCT(Mecze[[#This Row],[/PR:90]:[/BR:90]],Brudnopis!$E$25:$J$25),0)</f>
        <v>0.10309278350515465</v>
      </c>
      <c r="V2197" s="44">
        <f>IF(Mecze[[#This Row],[Role]]&lt;&gt;"BR",SUMPRODUCT(Mecze[[#This Row],[/PR:90]:[/BR:90]],Brudnopis!$E$26:$J$26),0)</f>
        <v>7.2164948453608255E-2</v>
      </c>
      <c r="W2197" s="44">
        <f>IF(Mecze[[#This Row],[Role]]&lt;&gt;"BR",SUMPRODUCT(Mecze[[#This Row],[/PR:90]:[/BR:90]],Brudnopis!$E$27:$J$27),0)</f>
        <v>0.10309278350515465</v>
      </c>
      <c r="X2197" s="44">
        <f>IF(Mecze[[#This Row],[Role]]&lt;&gt;"BR",SUMPRODUCT(Mecze[[#This Row],[/PR:90]:[/BR:90]],Brudnopis!$E$28:$J$28),0)</f>
        <v>8.247422680412371E-2</v>
      </c>
      <c r="Y2197" s="35">
        <f>IF(Mecze[[#This Row],[Role]]="BR",Mecze[[#This Row],[/OB:90]]+Mecze[[#This Row],[/PC:90]],SUM(Mecze[[#This Row],[/PR:90]:[/BR:90]]))</f>
        <v>7.2164948453608255E-2</v>
      </c>
      <c r="Z2197" s="35">
        <f>IF(Mecze[[#This Row],[KC]]=0,SUM(Mecze[[#This Row],[/BRI]:[/NPI]]),SUM(Mecze[[#This Row],[/BRI]:[/NPI]])*0.6)</f>
        <v>0.4329896907216495</v>
      </c>
      <c r="AA2197" s="10">
        <f>IFERROR(Mecze[[#This Row],[BR]]/Mecze[[#This Row],[ST]],0)</f>
        <v>0</v>
      </c>
      <c r="AB2197">
        <f>ROUND(Mecze[[#This Row],[PD]]*Mecze[[#This Row],[%PC]],0)</f>
        <v>6</v>
      </c>
      <c r="AC2197">
        <f>ROUND(Mecze[[#This Row],[OD]]*Mecze[[#This Row],[%OU]],0)</f>
        <v>0</v>
      </c>
      <c r="AD2197" s="36" t="s">
        <v>273</v>
      </c>
      <c r="AE2197" s="36">
        <v>123</v>
      </c>
      <c r="AF2197" s="71">
        <v>7.29</v>
      </c>
      <c r="AG2197" s="37">
        <v>0</v>
      </c>
      <c r="AH2197" s="37">
        <v>0</v>
      </c>
      <c r="AI2197" s="37">
        <v>97</v>
      </c>
      <c r="AJ2197" s="37">
        <v>11</v>
      </c>
      <c r="AK2197" s="37" t="str">
        <f>VLOOKUP(Mecze[[#This Row],[Match ID]],Meczusie[Mecz]:Meczusie[RodzajMeczu],2,FALSE)</f>
        <v>Liga</v>
      </c>
    </row>
    <row r="2198" spans="1:37" x14ac:dyDescent="0.25">
      <c r="A2198" s="76">
        <v>14</v>
      </c>
      <c r="B2198" s="3" t="s">
        <v>330</v>
      </c>
      <c r="C2198" s="2" t="s">
        <v>165</v>
      </c>
      <c r="D2198" s="1">
        <v>1</v>
      </c>
      <c r="E2198" s="1">
        <v>2</v>
      </c>
      <c r="F2198" s="1">
        <v>2</v>
      </c>
      <c r="G2198" s="1">
        <v>5</v>
      </c>
      <c r="H2198" s="4">
        <v>0.6</v>
      </c>
      <c r="I2198" s="1">
        <v>3</v>
      </c>
      <c r="J2198" s="4">
        <v>0.67</v>
      </c>
      <c r="K2198" s="1">
        <v>0</v>
      </c>
      <c r="L2198" s="1">
        <v>0</v>
      </c>
      <c r="M2198" s="32">
        <f>IF(Mecze[[#This Row],[PR]]=0,0,Mecze[[#This Row],[PR]]/Mecze[[#This Row],[CZAS]])</f>
        <v>0</v>
      </c>
      <c r="N2198" s="32">
        <f>IF(Mecze[[#This Row],[OU]]=0,0,Mecze[[#This Row],[OU]]/Mecze[[#This Row],[CZAS]])</f>
        <v>2.0618556701030927E-2</v>
      </c>
      <c r="O2198" s="32">
        <f>IF(Mecze[[#This Row],[PC]]=0,0,Mecze[[#This Row],[PC]]/Mecze[[#This Row],[CZAS]])</f>
        <v>3.0927835051546393E-2</v>
      </c>
      <c r="P2198" s="32">
        <f>IF(Mecze[[#This Row],[SC]]=0,0,Mecze[[#This Row],[SC]]/Mecze[[#This Row],[CZAS]])</f>
        <v>2.0618556701030927E-2</v>
      </c>
      <c r="Q2198" s="32">
        <f>IF(Mecze[[#This Row],[OB]]=0,0,Mecze[[#This Row],[OB]]/Mecze[[#This Row],[CZAS]])</f>
        <v>0</v>
      </c>
      <c r="R2198" s="32">
        <f>IF(Mecze[[#This Row],[BR]]=0,0,Mecze[[#This Row],[BR]]/Mecze[[#This Row],[CZAS]])</f>
        <v>1.0309278350515464E-2</v>
      </c>
      <c r="S2198" s="44">
        <f>IF(Mecze[[#This Row],[Role]]="BR",SUMPRODUCT(Mecze[[#This Row],[/PR:90]:[/BR:90]],Brudnopis!$E$23:$J$23),0)</f>
        <v>0</v>
      </c>
      <c r="T2198" s="44">
        <f>IF(Mecze[[#This Row],[Role]]&lt;&gt;"BR",SUMPRODUCT(Mecze[[#This Row],[/PR:90]:[/BR:90]],Brudnopis!$E$24:$J$24),0)</f>
        <v>9.7938144329896906E-2</v>
      </c>
      <c r="U2198" s="44">
        <f>IF(Mecze[[#This Row],[Role]]&lt;&gt;"BR",SUMPRODUCT(Mecze[[#This Row],[/PR:90]:[/BR:90]],Brudnopis!$E$25:$J$25),0)</f>
        <v>0.10309278350515463</v>
      </c>
      <c r="V2198" s="44">
        <f>IF(Mecze[[#This Row],[Role]]&lt;&gt;"BR",SUMPRODUCT(Mecze[[#This Row],[/PR:90]:[/BR:90]],Brudnopis!$E$26:$J$26),0)</f>
        <v>9.2783505154639165E-2</v>
      </c>
      <c r="W2198" s="44">
        <f>IF(Mecze[[#This Row],[Role]]&lt;&gt;"BR",SUMPRODUCT(Mecze[[#This Row],[/PR:90]:[/BR:90]],Brudnopis!$E$27:$J$27),0)</f>
        <v>0.10309278350515463</v>
      </c>
      <c r="X2198" s="44">
        <f>IF(Mecze[[#This Row],[Role]]&lt;&gt;"BR",SUMPRODUCT(Mecze[[#This Row],[/PR:90]:[/BR:90]],Brudnopis!$E$28:$J$28),0)</f>
        <v>0.10309278350515463</v>
      </c>
      <c r="Y2198" s="35">
        <f>IF(Mecze[[#This Row],[Role]]="BR",Mecze[[#This Row],[/OB:90]]+Mecze[[#This Row],[/PC:90]],SUM(Mecze[[#This Row],[/PR:90]:[/BR:90]]))</f>
        <v>8.247422680412371E-2</v>
      </c>
      <c r="Z2198" s="35">
        <f>IF(Mecze[[#This Row],[KC]]=0,SUM(Mecze[[#This Row],[/BRI]:[/NPI]]),SUM(Mecze[[#This Row],[/BRI]:[/NPI]])*0.6)</f>
        <v>0.5</v>
      </c>
      <c r="AA2198" s="10">
        <f>IFERROR(Mecze[[#This Row],[BR]]/Mecze[[#This Row],[ST]],0)</f>
        <v>0.5</v>
      </c>
      <c r="AB2198">
        <f>ROUND(Mecze[[#This Row],[PD]]*Mecze[[#This Row],[%PC]],0)</f>
        <v>3</v>
      </c>
      <c r="AC2198">
        <f>ROUND(Mecze[[#This Row],[OD]]*Mecze[[#This Row],[%OU]],0)</f>
        <v>2</v>
      </c>
      <c r="AD2198" s="36" t="s">
        <v>272</v>
      </c>
      <c r="AE2198" s="36">
        <v>123</v>
      </c>
      <c r="AF2198" s="71">
        <v>8</v>
      </c>
      <c r="AG2198" s="37">
        <v>0</v>
      </c>
      <c r="AH2198" s="37">
        <v>0</v>
      </c>
      <c r="AI2198" s="37">
        <v>97</v>
      </c>
      <c r="AJ2198" s="37">
        <v>11</v>
      </c>
      <c r="AK2198" s="37" t="str">
        <f>VLOOKUP(Mecze[[#This Row],[Match ID]],Meczusie[Mecz]:Meczusie[RodzajMeczu],2,FALSE)</f>
        <v>Liga</v>
      </c>
    </row>
    <row r="2199" spans="1:37" x14ac:dyDescent="0.25">
      <c r="A2199" s="76">
        <v>102</v>
      </c>
      <c r="B2199" s="3" t="s">
        <v>417</v>
      </c>
      <c r="C2199" s="2" t="s">
        <v>155</v>
      </c>
      <c r="D2199" s="1">
        <v>0</v>
      </c>
      <c r="E2199" s="1">
        <v>0</v>
      </c>
      <c r="F2199" s="1">
        <v>0</v>
      </c>
      <c r="G2199" s="1">
        <v>13</v>
      </c>
      <c r="H2199" s="4">
        <v>0.46</v>
      </c>
      <c r="I2199" s="1">
        <v>0</v>
      </c>
      <c r="J2199" s="4"/>
      <c r="K2199" s="1">
        <v>14</v>
      </c>
      <c r="L2199" s="1">
        <v>0</v>
      </c>
      <c r="M2199" s="32">
        <f>IF(Mecze[[#This Row],[PR]]=0,0,Mecze[[#This Row],[PR]]/Mecze[[#This Row],[CZAS]])</f>
        <v>0</v>
      </c>
      <c r="N2199" s="32">
        <f>IF(Mecze[[#This Row],[OU]]=0,0,Mecze[[#This Row],[OU]]/Mecze[[#This Row],[CZAS]])</f>
        <v>0</v>
      </c>
      <c r="O2199" s="32">
        <f>IF(Mecze[[#This Row],[PC]]=0,0,Mecze[[#This Row],[PC]]/Mecze[[#This Row],[CZAS]])</f>
        <v>6.1855670103092786E-2</v>
      </c>
      <c r="P2199" s="32">
        <f>IF(Mecze[[#This Row],[SC]]=0,0,Mecze[[#This Row],[SC]]/Mecze[[#This Row],[CZAS]])</f>
        <v>0</v>
      </c>
      <c r="Q2199" s="32">
        <f>IF(Mecze[[#This Row],[OB]]=0,0,Mecze[[#This Row],[OB]]/Mecze[[#This Row],[CZAS]])</f>
        <v>0.14432989690721648</v>
      </c>
      <c r="R2199" s="32">
        <f>IF(Mecze[[#This Row],[BR]]=0,0,Mecze[[#This Row],[BR]]/Mecze[[#This Row],[CZAS]])</f>
        <v>0</v>
      </c>
      <c r="S2199" s="44">
        <f>IF(Mecze[[#This Row],[Role]]="BR",SUMPRODUCT(Mecze[[#This Row],[/PR:90]:[/BR:90]],Brudnopis!$E$23:$J$23),0)</f>
        <v>0.61855670103092786</v>
      </c>
      <c r="T2199" s="44">
        <f>IF(Mecze[[#This Row],[Role]]&lt;&gt;"BR",SUMPRODUCT(Mecze[[#This Row],[/PR:90]:[/BR:90]],Brudnopis!$E$24:$J$24),0)</f>
        <v>0</v>
      </c>
      <c r="U2199" s="44">
        <f>IF(Mecze[[#This Row],[Role]]&lt;&gt;"BR",SUMPRODUCT(Mecze[[#This Row],[/PR:90]:[/BR:90]],Brudnopis!$E$25:$J$25),0)</f>
        <v>0</v>
      </c>
      <c r="V2199" s="44">
        <f>IF(Mecze[[#This Row],[Role]]&lt;&gt;"BR",SUMPRODUCT(Mecze[[#This Row],[/PR:90]:[/BR:90]],Brudnopis!$E$26:$J$26),0)</f>
        <v>0</v>
      </c>
      <c r="W2199" s="44">
        <f>IF(Mecze[[#This Row],[Role]]&lt;&gt;"BR",SUMPRODUCT(Mecze[[#This Row],[/PR:90]:[/BR:90]],Brudnopis!$E$27:$J$27),0)</f>
        <v>0</v>
      </c>
      <c r="X2199" s="44">
        <f>IF(Mecze[[#This Row],[Role]]&lt;&gt;"BR",SUMPRODUCT(Mecze[[#This Row],[/PR:90]:[/BR:90]],Brudnopis!$E$28:$J$28),0)</f>
        <v>0</v>
      </c>
      <c r="Y2199" s="35">
        <f>IF(Mecze[[#This Row],[Role]]="BR",Mecze[[#This Row],[/OB:90]]+Mecze[[#This Row],[/PC:90]],SUM(Mecze[[#This Row],[/PR:90]:[/BR:90]]))</f>
        <v>0.20618556701030927</v>
      </c>
      <c r="Z2199" s="35">
        <f>IF(Mecze[[#This Row],[KC]]=0,SUM(Mecze[[#This Row],[/BRI]:[/NPI]]),SUM(Mecze[[#This Row],[/BRI]:[/NPI]])*0.6)</f>
        <v>0.61855670103092786</v>
      </c>
      <c r="AA2199" s="10">
        <f>IFERROR(Mecze[[#This Row],[BR]]/Mecze[[#This Row],[ST]],0)</f>
        <v>0</v>
      </c>
      <c r="AB2199">
        <f>ROUND(Mecze[[#This Row],[PD]]*Mecze[[#This Row],[%PC]],0)</f>
        <v>6</v>
      </c>
      <c r="AC2199">
        <f>ROUND(Mecze[[#This Row],[OD]]*Mecze[[#This Row],[%OU]],0)</f>
        <v>0</v>
      </c>
      <c r="AD2199" s="36" t="s">
        <v>40</v>
      </c>
      <c r="AE2199" s="36">
        <v>123</v>
      </c>
      <c r="AF2199" s="71">
        <v>5.48</v>
      </c>
      <c r="AG2199" s="37">
        <v>0</v>
      </c>
      <c r="AH2199" s="37">
        <v>0</v>
      </c>
      <c r="AI2199" s="37">
        <v>97</v>
      </c>
      <c r="AJ2199" s="37">
        <v>6</v>
      </c>
      <c r="AK2199" s="37" t="str">
        <f>VLOOKUP(Mecze[[#This Row],[Match ID]],Meczusie[Mecz]:Meczusie[RodzajMeczu],2,FALSE)</f>
        <v>Liga</v>
      </c>
    </row>
    <row r="2200" spans="1:37" x14ac:dyDescent="0.25">
      <c r="A2200" s="76">
        <v>101</v>
      </c>
      <c r="B2200" s="3" t="s">
        <v>248</v>
      </c>
      <c r="C2200" s="2" t="s">
        <v>157</v>
      </c>
      <c r="D2200" s="1">
        <v>0</v>
      </c>
      <c r="E2200" s="1">
        <v>0</v>
      </c>
      <c r="F2200" s="1">
        <v>0</v>
      </c>
      <c r="G2200" s="1">
        <v>8</v>
      </c>
      <c r="H2200" s="4">
        <v>0.75</v>
      </c>
      <c r="I2200" s="1">
        <v>10</v>
      </c>
      <c r="J2200" s="4">
        <v>0.3</v>
      </c>
      <c r="K2200" s="1">
        <v>0</v>
      </c>
      <c r="L2200" s="1">
        <v>2</v>
      </c>
      <c r="M2200" s="32">
        <f>IF(Mecze[[#This Row],[PR]]=0,0,Mecze[[#This Row],[PR]]/Mecze[[#This Row],[CZAS]])</f>
        <v>2.0618556701030927E-2</v>
      </c>
      <c r="N2200" s="32">
        <f>IF(Mecze[[#This Row],[OU]]=0,0,Mecze[[#This Row],[OU]]/Mecze[[#This Row],[CZAS]])</f>
        <v>3.0927835051546393E-2</v>
      </c>
      <c r="O2200" s="32">
        <f>IF(Mecze[[#This Row],[PC]]=0,0,Mecze[[#This Row],[PC]]/Mecze[[#This Row],[CZAS]])</f>
        <v>6.1855670103092786E-2</v>
      </c>
      <c r="P2200" s="32">
        <f>IF(Mecze[[#This Row],[SC]]=0,0,Mecze[[#This Row],[SC]]/Mecze[[#This Row],[CZAS]])</f>
        <v>0</v>
      </c>
      <c r="Q2200" s="32">
        <f>IF(Mecze[[#This Row],[OB]]=0,0,Mecze[[#This Row],[OB]]/Mecze[[#This Row],[CZAS]])</f>
        <v>0</v>
      </c>
      <c r="R2200" s="32">
        <f>IF(Mecze[[#This Row],[BR]]=0,0,Mecze[[#This Row],[BR]]/Mecze[[#This Row],[CZAS]])</f>
        <v>0</v>
      </c>
      <c r="S2200" s="44">
        <f>IF(Mecze[[#This Row],[Role]]="BR",SUMPRODUCT(Mecze[[#This Row],[/PR:90]:[/BR:90]],Brudnopis!$E$23:$J$23),0)</f>
        <v>0</v>
      </c>
      <c r="T2200" s="44">
        <f>IF(Mecze[[#This Row],[Role]]&lt;&gt;"BR",SUMPRODUCT(Mecze[[#This Row],[/PR:90]:[/BR:90]],Brudnopis!$E$24:$J$24),0)</f>
        <v>0.12886597938144329</v>
      </c>
      <c r="U2200" s="44">
        <f>IF(Mecze[[#This Row],[Role]]&lt;&gt;"BR",SUMPRODUCT(Mecze[[#This Row],[/PR:90]:[/BR:90]],Brudnopis!$E$25:$J$25),0)</f>
        <v>0.14432989690721648</v>
      </c>
      <c r="V2200" s="44">
        <f>IF(Mecze[[#This Row],[Role]]&lt;&gt;"BR",SUMPRODUCT(Mecze[[#This Row],[/PR:90]:[/BR:90]],Brudnopis!$E$26:$J$26),0)</f>
        <v>0.1134020618556701</v>
      </c>
      <c r="W2200" s="44">
        <f>IF(Mecze[[#This Row],[Role]]&lt;&gt;"BR",SUMPRODUCT(Mecze[[#This Row],[/PR:90]:[/BR:90]],Brudnopis!$E$27:$J$27),0)</f>
        <v>0.13144329896907217</v>
      </c>
      <c r="X2200" s="44">
        <f>IF(Mecze[[#This Row],[Role]]&lt;&gt;"BR",SUMPRODUCT(Mecze[[#This Row],[/PR:90]:[/BR:90]],Brudnopis!$E$28:$J$28),0)</f>
        <v>6.1855670103092786E-2</v>
      </c>
      <c r="Y2200" s="35">
        <f>IF(Mecze[[#This Row],[Role]]="BR",Mecze[[#This Row],[/OB:90]]+Mecze[[#This Row],[/PC:90]],SUM(Mecze[[#This Row],[/PR:90]:[/BR:90]]))</f>
        <v>0.1134020618556701</v>
      </c>
      <c r="Z2200" s="35">
        <f>IF(Mecze[[#This Row],[KC]]=0,SUM(Mecze[[#This Row],[/BRI]:[/NPI]]),SUM(Mecze[[#This Row],[/BRI]:[/NPI]])*0.6)</f>
        <v>0.57989690721649478</v>
      </c>
      <c r="AA2200" s="10">
        <f>IFERROR(Mecze[[#This Row],[BR]]/Mecze[[#This Row],[ST]],0)</f>
        <v>0</v>
      </c>
      <c r="AB2200">
        <f>ROUND(Mecze[[#This Row],[PD]]*Mecze[[#This Row],[%PC]],0)</f>
        <v>6</v>
      </c>
      <c r="AC2200">
        <f>ROUND(Mecze[[#This Row],[OD]]*Mecze[[#This Row],[%OU]],0)</f>
        <v>3</v>
      </c>
      <c r="AD2200" s="36" t="s">
        <v>47</v>
      </c>
      <c r="AE2200" s="36">
        <v>123</v>
      </c>
      <c r="AF2200" s="71">
        <v>1</v>
      </c>
      <c r="AG2200" s="37">
        <v>0</v>
      </c>
      <c r="AH2200" s="37">
        <v>0</v>
      </c>
      <c r="AI2200" s="37">
        <v>97</v>
      </c>
      <c r="AJ2200" s="37">
        <v>6</v>
      </c>
      <c r="AK2200" s="37" t="str">
        <f>VLOOKUP(Mecze[[#This Row],[Match ID]],Meczusie[Mecz]:Meczusie[RodzajMeczu],2,FALSE)</f>
        <v>Liga</v>
      </c>
    </row>
    <row r="2201" spans="1:37" x14ac:dyDescent="0.25">
      <c r="A2201" s="76">
        <v>2</v>
      </c>
      <c r="B2201" s="3" t="s">
        <v>249</v>
      </c>
      <c r="C2201" s="2" t="s">
        <v>157</v>
      </c>
      <c r="D2201" s="1">
        <v>0</v>
      </c>
      <c r="E2201" s="1">
        <v>0</v>
      </c>
      <c r="F2201" s="1">
        <v>0</v>
      </c>
      <c r="G2201" s="1">
        <v>7</v>
      </c>
      <c r="H2201" s="4">
        <v>0.43</v>
      </c>
      <c r="I2201" s="1">
        <v>5</v>
      </c>
      <c r="J2201" s="4">
        <v>0</v>
      </c>
      <c r="K2201" s="1">
        <v>0</v>
      </c>
      <c r="L2201" s="1">
        <v>10</v>
      </c>
      <c r="M2201" s="32">
        <f>IF(Mecze[[#This Row],[PR]]=0,0,Mecze[[#This Row],[PR]]/Mecze[[#This Row],[CZAS]])</f>
        <v>0.14925373134328357</v>
      </c>
      <c r="N2201" s="32">
        <f>IF(Mecze[[#This Row],[OU]]=0,0,Mecze[[#This Row],[OU]]/Mecze[[#This Row],[CZAS]])</f>
        <v>0</v>
      </c>
      <c r="O2201" s="32">
        <f>IF(Mecze[[#This Row],[PC]]=0,0,Mecze[[#This Row],[PC]]/Mecze[[#This Row],[CZAS]])</f>
        <v>4.4776119402985072E-2</v>
      </c>
      <c r="P2201" s="32">
        <f>IF(Mecze[[#This Row],[SC]]=0,0,Mecze[[#This Row],[SC]]/Mecze[[#This Row],[CZAS]])</f>
        <v>0</v>
      </c>
      <c r="Q2201" s="32">
        <f>IF(Mecze[[#This Row],[OB]]=0,0,Mecze[[#This Row],[OB]]/Mecze[[#This Row],[CZAS]])</f>
        <v>0</v>
      </c>
      <c r="R2201" s="32">
        <f>IF(Mecze[[#This Row],[BR]]=0,0,Mecze[[#This Row],[BR]]/Mecze[[#This Row],[CZAS]])</f>
        <v>0</v>
      </c>
      <c r="S2201" s="44">
        <f>IF(Mecze[[#This Row],[Role]]="BR",SUMPRODUCT(Mecze[[#This Row],[/PR:90]:[/BR:90]],Brudnopis!$E$23:$J$23),0)</f>
        <v>0</v>
      </c>
      <c r="T2201" s="44">
        <f>IF(Mecze[[#This Row],[Role]]&lt;&gt;"BR",SUMPRODUCT(Mecze[[#This Row],[/PR:90]:[/BR:90]],Brudnopis!$E$24:$J$24),0)</f>
        <v>0.19402985074626863</v>
      </c>
      <c r="U2201" s="44">
        <f>IF(Mecze[[#This Row],[Role]]&lt;&gt;"BR",SUMPRODUCT(Mecze[[#This Row],[/PR:90]:[/BR:90]],Brudnopis!$E$25:$J$25),0)</f>
        <v>0.21641791044776118</v>
      </c>
      <c r="V2201" s="44">
        <f>IF(Mecze[[#This Row],[Role]]&lt;&gt;"BR",SUMPRODUCT(Mecze[[#This Row],[/PR:90]:[/BR:90]],Brudnopis!$E$26:$J$26),0)</f>
        <v>0.19402985074626863</v>
      </c>
      <c r="W2201" s="44">
        <f>IF(Mecze[[#This Row],[Role]]&lt;&gt;"BR",SUMPRODUCT(Mecze[[#This Row],[/PR:90]:[/BR:90]],Brudnopis!$E$27:$J$27),0)</f>
        <v>0.17910447761194029</v>
      </c>
      <c r="X2201" s="44">
        <f>IF(Mecze[[#This Row],[Role]]&lt;&gt;"BR",SUMPRODUCT(Mecze[[#This Row],[/PR:90]:[/BR:90]],Brudnopis!$E$28:$J$28),0)</f>
        <v>4.4776119402985072E-2</v>
      </c>
      <c r="Y2201" s="35">
        <f>IF(Mecze[[#This Row],[Role]]="BR",Mecze[[#This Row],[/OB:90]]+Mecze[[#This Row],[/PC:90]],SUM(Mecze[[#This Row],[/PR:90]:[/BR:90]]))</f>
        <v>0.19402985074626863</v>
      </c>
      <c r="Z2201" s="35">
        <f>IF(Mecze[[#This Row],[KC]]=0,SUM(Mecze[[#This Row],[/BRI]:[/NPI]]),SUM(Mecze[[#This Row],[/BRI]:[/NPI]])*0.6)</f>
        <v>0.82835820895522383</v>
      </c>
      <c r="AA2201" s="10">
        <f>IFERROR(Mecze[[#This Row],[BR]]/Mecze[[#This Row],[ST]],0)</f>
        <v>0</v>
      </c>
      <c r="AB2201">
        <f>ROUND(Mecze[[#This Row],[PD]]*Mecze[[#This Row],[%PC]],0)</f>
        <v>3</v>
      </c>
      <c r="AC2201">
        <f>ROUND(Mecze[[#This Row],[OD]]*Mecze[[#This Row],[%OU]],0)</f>
        <v>0</v>
      </c>
      <c r="AD2201" s="36" t="s">
        <v>167</v>
      </c>
      <c r="AE2201" s="36">
        <v>123</v>
      </c>
      <c r="AF2201" s="71">
        <v>2.68</v>
      </c>
      <c r="AG2201" s="37">
        <v>0</v>
      </c>
      <c r="AH2201" s="37">
        <v>0</v>
      </c>
      <c r="AI2201" s="37">
        <v>67</v>
      </c>
      <c r="AJ2201" s="37">
        <v>6</v>
      </c>
      <c r="AK2201" s="37" t="str">
        <f>VLOOKUP(Mecze[[#This Row],[Match ID]],Meczusie[Mecz]:Meczusie[RodzajMeczu],2,FALSE)</f>
        <v>Liga</v>
      </c>
    </row>
    <row r="2202" spans="1:37" x14ac:dyDescent="0.25">
      <c r="A2202" s="76">
        <v>7</v>
      </c>
      <c r="B2202" s="3" t="s">
        <v>251</v>
      </c>
      <c r="C2202" s="2" t="s">
        <v>157</v>
      </c>
      <c r="D2202" s="1">
        <v>0</v>
      </c>
      <c r="E2202" s="1">
        <v>0</v>
      </c>
      <c r="F2202" s="1">
        <v>0</v>
      </c>
      <c r="G2202" s="1">
        <v>5</v>
      </c>
      <c r="H2202" s="4">
        <v>1</v>
      </c>
      <c r="I2202" s="1">
        <v>6</v>
      </c>
      <c r="J2202" s="4">
        <v>1</v>
      </c>
      <c r="K2202" s="1">
        <v>0</v>
      </c>
      <c r="L2202" s="1">
        <v>5</v>
      </c>
      <c r="M2202" s="32">
        <f>IF(Mecze[[#This Row],[PR]]=0,0,Mecze[[#This Row],[PR]]/Mecze[[#This Row],[CZAS]])</f>
        <v>5.1546391752577317E-2</v>
      </c>
      <c r="N2202" s="32">
        <f>IF(Mecze[[#This Row],[OU]]=0,0,Mecze[[#This Row],[OU]]/Mecze[[#This Row],[CZAS]])</f>
        <v>6.1855670103092786E-2</v>
      </c>
      <c r="O2202" s="32">
        <f>IF(Mecze[[#This Row],[PC]]=0,0,Mecze[[#This Row],[PC]]/Mecze[[#This Row],[CZAS]])</f>
        <v>5.1546391752577317E-2</v>
      </c>
      <c r="P2202" s="32">
        <f>IF(Mecze[[#This Row],[SC]]=0,0,Mecze[[#This Row],[SC]]/Mecze[[#This Row],[CZAS]])</f>
        <v>0</v>
      </c>
      <c r="Q2202" s="32">
        <f>IF(Mecze[[#This Row],[OB]]=0,0,Mecze[[#This Row],[OB]]/Mecze[[#This Row],[CZAS]])</f>
        <v>0</v>
      </c>
      <c r="R2202" s="32">
        <f>IF(Mecze[[#This Row],[BR]]=0,0,Mecze[[#This Row],[BR]]/Mecze[[#This Row],[CZAS]])</f>
        <v>0</v>
      </c>
      <c r="S2202" s="44">
        <f>IF(Mecze[[#This Row],[Role]]="BR",SUMPRODUCT(Mecze[[#This Row],[/PR:90]:[/BR:90]],Brudnopis!$E$23:$J$23),0)</f>
        <v>0</v>
      </c>
      <c r="T2202" s="44">
        <f>IF(Mecze[[#This Row],[Role]]&lt;&gt;"BR",SUMPRODUCT(Mecze[[#This Row],[/PR:90]:[/BR:90]],Brudnopis!$E$24:$J$24),0)</f>
        <v>0.19587628865979378</v>
      </c>
      <c r="U2202" s="44">
        <f>IF(Mecze[[#This Row],[Role]]&lt;&gt;"BR",SUMPRODUCT(Mecze[[#This Row],[/PR:90]:[/BR:90]],Brudnopis!$E$25:$J$25),0)</f>
        <v>0.19072164948453607</v>
      </c>
      <c r="V2202" s="44">
        <f>IF(Mecze[[#This Row],[Role]]&lt;&gt;"BR",SUMPRODUCT(Mecze[[#This Row],[/PR:90]:[/BR:90]],Brudnopis!$E$26:$J$26),0)</f>
        <v>0.16494845360824742</v>
      </c>
      <c r="W2202" s="44">
        <f>IF(Mecze[[#This Row],[Role]]&lt;&gt;"BR",SUMPRODUCT(Mecze[[#This Row],[/PR:90]:[/BR:90]],Brudnopis!$E$27:$J$27),0)</f>
        <v>0.16237113402061856</v>
      </c>
      <c r="X2202" s="44">
        <f>IF(Mecze[[#This Row],[Role]]&lt;&gt;"BR",SUMPRODUCT(Mecze[[#This Row],[/PR:90]:[/BR:90]],Brudnopis!$E$28:$J$28),0)</f>
        <v>5.1546391752577317E-2</v>
      </c>
      <c r="Y2202" s="35">
        <f>IF(Mecze[[#This Row],[Role]]="BR",Mecze[[#This Row],[/OB:90]]+Mecze[[#This Row],[/PC:90]],SUM(Mecze[[#This Row],[/PR:90]:[/BR:90]]))</f>
        <v>0.16494845360824742</v>
      </c>
      <c r="Z2202" s="35">
        <f>IF(Mecze[[#This Row],[KC]]=0,SUM(Mecze[[#This Row],[/BRI]:[/NPI]]),SUM(Mecze[[#This Row],[/BRI]:[/NPI]])*0.6)</f>
        <v>0.76546391752577314</v>
      </c>
      <c r="AA2202" s="10">
        <f>IFERROR(Mecze[[#This Row],[BR]]/Mecze[[#This Row],[ST]],0)</f>
        <v>0</v>
      </c>
      <c r="AB2202">
        <f>ROUND(Mecze[[#This Row],[PD]]*Mecze[[#This Row],[%PC]],0)</f>
        <v>5</v>
      </c>
      <c r="AC2202">
        <f>ROUND(Mecze[[#This Row],[OD]]*Mecze[[#This Row],[%OU]],0)</f>
        <v>6</v>
      </c>
      <c r="AD2202" s="36" t="s">
        <v>168</v>
      </c>
      <c r="AE2202" s="36">
        <v>123</v>
      </c>
      <c r="AF2202" s="71">
        <v>4.78</v>
      </c>
      <c r="AG2202" s="37">
        <v>0</v>
      </c>
      <c r="AH2202" s="37">
        <v>0</v>
      </c>
      <c r="AI2202" s="37">
        <v>97</v>
      </c>
      <c r="AJ2202" s="37">
        <v>6</v>
      </c>
      <c r="AK2202" s="37" t="str">
        <f>VLOOKUP(Mecze[[#This Row],[Match ID]],Meczusie[Mecz]:Meczusie[RodzajMeczu],2,FALSE)</f>
        <v>Liga</v>
      </c>
    </row>
    <row r="2203" spans="1:37" x14ac:dyDescent="0.25">
      <c r="A2203" s="76">
        <v>8</v>
      </c>
      <c r="B2203" s="3" t="s">
        <v>254</v>
      </c>
      <c r="C2203" s="2" t="s">
        <v>160</v>
      </c>
      <c r="D2203" s="1">
        <v>1</v>
      </c>
      <c r="E2203" s="1">
        <v>2</v>
      </c>
      <c r="F2203" s="1">
        <v>2</v>
      </c>
      <c r="G2203" s="1">
        <v>15</v>
      </c>
      <c r="H2203" s="4">
        <v>0.87</v>
      </c>
      <c r="I2203" s="1">
        <v>9</v>
      </c>
      <c r="J2203" s="4">
        <v>0.44</v>
      </c>
      <c r="K2203" s="1">
        <v>0</v>
      </c>
      <c r="L2203" s="1">
        <v>6</v>
      </c>
      <c r="M2203" s="32">
        <f>IF(Mecze[[#This Row],[PR]]=0,0,Mecze[[#This Row],[PR]]/Mecze[[#This Row],[CZAS]])</f>
        <v>6.1855670103092786E-2</v>
      </c>
      <c r="N2203" s="32">
        <f>IF(Mecze[[#This Row],[OU]]=0,0,Mecze[[#This Row],[OU]]/Mecze[[#This Row],[CZAS]])</f>
        <v>4.1237113402061855E-2</v>
      </c>
      <c r="O2203" s="32">
        <f>IF(Mecze[[#This Row],[PC]]=0,0,Mecze[[#This Row],[PC]]/Mecze[[#This Row],[CZAS]])</f>
        <v>0.13402061855670103</v>
      </c>
      <c r="P2203" s="32">
        <f>IF(Mecze[[#This Row],[SC]]=0,0,Mecze[[#This Row],[SC]]/Mecze[[#This Row],[CZAS]])</f>
        <v>2.0618556701030927E-2</v>
      </c>
      <c r="Q2203" s="32">
        <f>IF(Mecze[[#This Row],[OB]]=0,0,Mecze[[#This Row],[OB]]/Mecze[[#This Row],[CZAS]])</f>
        <v>0</v>
      </c>
      <c r="R2203" s="32">
        <f>IF(Mecze[[#This Row],[BR]]=0,0,Mecze[[#This Row],[BR]]/Mecze[[#This Row],[CZAS]])</f>
        <v>1.0309278350515464E-2</v>
      </c>
      <c r="S2203" s="44">
        <f>IF(Mecze[[#This Row],[Role]]="BR",SUMPRODUCT(Mecze[[#This Row],[/PR:90]:[/BR:90]],Brudnopis!$E$23:$J$23),0)</f>
        <v>0</v>
      </c>
      <c r="T2203" s="44">
        <f>IF(Mecze[[#This Row],[Role]]&lt;&gt;"BR",SUMPRODUCT(Mecze[[#This Row],[/PR:90]:[/BR:90]],Brudnopis!$E$24:$J$24),0)</f>
        <v>0.29381443298969068</v>
      </c>
      <c r="U2203" s="44">
        <f>IF(Mecze[[#This Row],[Role]]&lt;&gt;"BR",SUMPRODUCT(Mecze[[#This Row],[/PR:90]:[/BR:90]],Brudnopis!$E$25:$J$25),0)</f>
        <v>0.34020618556701032</v>
      </c>
      <c r="V2203" s="44">
        <f>IF(Mecze[[#This Row],[Role]]&lt;&gt;"BR",SUMPRODUCT(Mecze[[#This Row],[/PR:90]:[/BR:90]],Brudnopis!$E$26:$J$26),0)</f>
        <v>0.27835051546391748</v>
      </c>
      <c r="W2203" s="44">
        <f>IF(Mecze[[#This Row],[Role]]&lt;&gt;"BR",SUMPRODUCT(Mecze[[#This Row],[/PR:90]:[/BR:90]],Brudnopis!$E$27:$J$27),0)</f>
        <v>0.31958762886597936</v>
      </c>
      <c r="X2203" s="44">
        <f>IF(Mecze[[#This Row],[Role]]&lt;&gt;"BR",SUMPRODUCT(Mecze[[#This Row],[/PR:90]:[/BR:90]],Brudnopis!$E$28:$J$28),0)</f>
        <v>0.20618556701030927</v>
      </c>
      <c r="Y2203" s="35">
        <f>IF(Mecze[[#This Row],[Role]]="BR",Mecze[[#This Row],[/OB:90]]+Mecze[[#This Row],[/PC:90]],SUM(Mecze[[#This Row],[/PR:90]:[/BR:90]]))</f>
        <v>0.26804123711340205</v>
      </c>
      <c r="Z2203" s="35">
        <f>IF(Mecze[[#This Row],[KC]]=0,SUM(Mecze[[#This Row],[/BRI]:[/NPI]]),SUM(Mecze[[#This Row],[/BRI]:[/NPI]])*0.6)</f>
        <v>1.438144329896907</v>
      </c>
      <c r="AA2203" s="10">
        <f>IFERROR(Mecze[[#This Row],[BR]]/Mecze[[#This Row],[ST]],0)</f>
        <v>0.5</v>
      </c>
      <c r="AB2203">
        <f>ROUND(Mecze[[#This Row],[PD]]*Mecze[[#This Row],[%PC]],0)</f>
        <v>13</v>
      </c>
      <c r="AC2203">
        <f>ROUND(Mecze[[#This Row],[OD]]*Mecze[[#This Row],[%OU]],0)</f>
        <v>4</v>
      </c>
      <c r="AD2203" s="36" t="s">
        <v>41</v>
      </c>
      <c r="AE2203" s="36">
        <v>123</v>
      </c>
      <c r="AF2203" s="71">
        <v>8.65</v>
      </c>
      <c r="AG2203" s="37">
        <v>0</v>
      </c>
      <c r="AH2203" s="37">
        <v>0</v>
      </c>
      <c r="AI2203" s="37">
        <v>97</v>
      </c>
      <c r="AJ2203" s="37">
        <v>6</v>
      </c>
      <c r="AK2203" s="37" t="str">
        <f>VLOOKUP(Mecze[[#This Row],[Match ID]],Meczusie[Mecz]:Meczusie[RodzajMeczu],2,FALSE)</f>
        <v>Liga</v>
      </c>
    </row>
    <row r="2204" spans="1:37" x14ac:dyDescent="0.25">
      <c r="A2204" s="76">
        <v>10</v>
      </c>
      <c r="B2204" s="3" t="s">
        <v>252</v>
      </c>
      <c r="C2204" s="2" t="s">
        <v>160</v>
      </c>
      <c r="D2204" s="1">
        <v>0</v>
      </c>
      <c r="E2204" s="1">
        <v>2</v>
      </c>
      <c r="F2204" s="1">
        <v>2</v>
      </c>
      <c r="G2204" s="1">
        <v>9</v>
      </c>
      <c r="H2204" s="4">
        <v>0.44</v>
      </c>
      <c r="I2204" s="1">
        <v>4</v>
      </c>
      <c r="J2204" s="4">
        <v>0.5</v>
      </c>
      <c r="K2204" s="1">
        <v>0</v>
      </c>
      <c r="L2204" s="1">
        <v>3</v>
      </c>
      <c r="M2204" s="32">
        <f>IF(Mecze[[#This Row],[PR]]=0,0,Mecze[[#This Row],[PR]]/Mecze[[#This Row],[CZAS]])</f>
        <v>3.0927835051546393E-2</v>
      </c>
      <c r="N2204" s="32">
        <f>IF(Mecze[[#This Row],[OU]]=0,0,Mecze[[#This Row],[OU]]/Mecze[[#This Row],[CZAS]])</f>
        <v>2.0618556701030927E-2</v>
      </c>
      <c r="O2204" s="32">
        <f>IF(Mecze[[#This Row],[PC]]=0,0,Mecze[[#This Row],[PC]]/Mecze[[#This Row],[CZAS]])</f>
        <v>4.1237113402061855E-2</v>
      </c>
      <c r="P2204" s="32">
        <f>IF(Mecze[[#This Row],[SC]]=0,0,Mecze[[#This Row],[SC]]/Mecze[[#This Row],[CZAS]])</f>
        <v>2.0618556701030927E-2</v>
      </c>
      <c r="Q2204" s="32">
        <f>IF(Mecze[[#This Row],[OB]]=0,0,Mecze[[#This Row],[OB]]/Mecze[[#This Row],[CZAS]])</f>
        <v>0</v>
      </c>
      <c r="R2204" s="32">
        <f>IF(Mecze[[#This Row],[BR]]=0,0,Mecze[[#This Row],[BR]]/Mecze[[#This Row],[CZAS]])</f>
        <v>0</v>
      </c>
      <c r="S2204" s="44">
        <f>IF(Mecze[[#This Row],[Role]]="BR",SUMPRODUCT(Mecze[[#This Row],[/PR:90]:[/BR:90]],Brudnopis!$E$23:$J$23),0)</f>
        <v>0</v>
      </c>
      <c r="T2204" s="44">
        <f>IF(Mecze[[#This Row],[Role]]&lt;&gt;"BR",SUMPRODUCT(Mecze[[#This Row],[/PR:90]:[/BR:90]],Brudnopis!$E$24:$J$24),0)</f>
        <v>0.12371134020618556</v>
      </c>
      <c r="U2204" s="44">
        <f>IF(Mecze[[#This Row],[Role]]&lt;&gt;"BR",SUMPRODUCT(Mecze[[#This Row],[/PR:90]:[/BR:90]],Brudnopis!$E$25:$J$25),0)</f>
        <v>0.13402061855670103</v>
      </c>
      <c r="V2204" s="44">
        <f>IF(Mecze[[#This Row],[Role]]&lt;&gt;"BR",SUMPRODUCT(Mecze[[#This Row],[/PR:90]:[/BR:90]],Brudnopis!$E$26:$J$26),0)</f>
        <v>0.1134020618556701</v>
      </c>
      <c r="W2204" s="44">
        <f>IF(Mecze[[#This Row],[Role]]&lt;&gt;"BR",SUMPRODUCT(Mecze[[#This Row],[/PR:90]:[/BR:90]],Brudnopis!$E$27:$J$27),0)</f>
        <v>0.1211340206185567</v>
      </c>
      <c r="X2204" s="44">
        <f>IF(Mecze[[#This Row],[Role]]&lt;&gt;"BR",SUMPRODUCT(Mecze[[#This Row],[/PR:90]:[/BR:90]],Brudnopis!$E$28:$J$28),0)</f>
        <v>8.247422680412371E-2</v>
      </c>
      <c r="Y2204" s="35">
        <f>IF(Mecze[[#This Row],[Role]]="BR",Mecze[[#This Row],[/OB:90]]+Mecze[[#This Row],[/PC:90]],SUM(Mecze[[#This Row],[/PR:90]:[/BR:90]]))</f>
        <v>0.1134020618556701</v>
      </c>
      <c r="Z2204" s="35">
        <f>IF(Mecze[[#This Row],[KC]]=0,SUM(Mecze[[#This Row],[/BRI]:[/NPI]]),SUM(Mecze[[#This Row],[/BRI]:[/NPI]])*0.6)</f>
        <v>0.57474226804123707</v>
      </c>
      <c r="AA2204" s="10">
        <f>IFERROR(Mecze[[#This Row],[BR]]/Mecze[[#This Row],[ST]],0)</f>
        <v>0</v>
      </c>
      <c r="AB2204">
        <f>ROUND(Mecze[[#This Row],[PD]]*Mecze[[#This Row],[%PC]],0)</f>
        <v>4</v>
      </c>
      <c r="AC2204">
        <f>ROUND(Mecze[[#This Row],[OD]]*Mecze[[#This Row],[%OU]],0)</f>
        <v>2</v>
      </c>
      <c r="AD2204" s="36" t="s">
        <v>318</v>
      </c>
      <c r="AE2204" s="36">
        <v>123</v>
      </c>
      <c r="AF2204" s="71">
        <v>3.79</v>
      </c>
      <c r="AG2204" s="37">
        <v>0</v>
      </c>
      <c r="AH2204" s="37">
        <v>0</v>
      </c>
      <c r="AI2204" s="37">
        <v>97</v>
      </c>
      <c r="AJ2204" s="37">
        <v>6</v>
      </c>
      <c r="AK2204" s="37" t="str">
        <f>VLOOKUP(Mecze[[#This Row],[Match ID]],Meczusie[Mecz]:Meczusie[RodzajMeczu],2,FALSE)</f>
        <v>Liga</v>
      </c>
    </row>
    <row r="2205" spans="1:37" x14ac:dyDescent="0.25">
      <c r="A2205" s="76">
        <v>11</v>
      </c>
      <c r="B2205" s="3" t="s">
        <v>250</v>
      </c>
      <c r="C2205" s="2" t="s">
        <v>160</v>
      </c>
      <c r="D2205" s="1">
        <v>0</v>
      </c>
      <c r="E2205" s="1">
        <v>0</v>
      </c>
      <c r="F2205" s="1">
        <v>0</v>
      </c>
      <c r="G2205" s="1">
        <v>6</v>
      </c>
      <c r="H2205" s="4">
        <v>0.5</v>
      </c>
      <c r="I2205" s="1">
        <v>4</v>
      </c>
      <c r="J2205" s="4">
        <v>0.5</v>
      </c>
      <c r="K2205" s="1">
        <v>0</v>
      </c>
      <c r="L2205" s="1">
        <v>0</v>
      </c>
      <c r="M2205" s="32">
        <f>IF(Mecze[[#This Row],[PR]]=0,0,Mecze[[#This Row],[PR]]/Mecze[[#This Row],[CZAS]])</f>
        <v>0</v>
      </c>
      <c r="N2205" s="32">
        <f>IF(Mecze[[#This Row],[OU]]=0,0,Mecze[[#This Row],[OU]]/Mecze[[#This Row],[CZAS]])</f>
        <v>2.6666666666666668E-2</v>
      </c>
      <c r="O2205" s="32">
        <f>IF(Mecze[[#This Row],[PC]]=0,0,Mecze[[#This Row],[PC]]/Mecze[[#This Row],[CZAS]])</f>
        <v>0.04</v>
      </c>
      <c r="P2205" s="32">
        <f>IF(Mecze[[#This Row],[SC]]=0,0,Mecze[[#This Row],[SC]]/Mecze[[#This Row],[CZAS]])</f>
        <v>0</v>
      </c>
      <c r="Q2205" s="32">
        <f>IF(Mecze[[#This Row],[OB]]=0,0,Mecze[[#This Row],[OB]]/Mecze[[#This Row],[CZAS]])</f>
        <v>0</v>
      </c>
      <c r="R2205" s="32">
        <f>IF(Mecze[[#This Row],[BR]]=0,0,Mecze[[#This Row],[BR]]/Mecze[[#This Row],[CZAS]])</f>
        <v>0</v>
      </c>
      <c r="S2205" s="44">
        <f>IF(Mecze[[#This Row],[Role]]="BR",SUMPRODUCT(Mecze[[#This Row],[/PR:90]:[/BR:90]],Brudnopis!$E$23:$J$23),0)</f>
        <v>0</v>
      </c>
      <c r="T2205" s="44">
        <f>IF(Mecze[[#This Row],[Role]]&lt;&gt;"BR",SUMPRODUCT(Mecze[[#This Row],[/PR:90]:[/BR:90]],Brudnopis!$E$24:$J$24),0)</f>
        <v>0.08</v>
      </c>
      <c r="U2205" s="44">
        <f>IF(Mecze[[#This Row],[Role]]&lt;&gt;"BR",SUMPRODUCT(Mecze[[#This Row],[/PR:90]:[/BR:90]],Brudnopis!$E$25:$J$25),0)</f>
        <v>8.666666666666667E-2</v>
      </c>
      <c r="V2205" s="44">
        <f>IF(Mecze[[#This Row],[Role]]&lt;&gt;"BR",SUMPRODUCT(Mecze[[#This Row],[/PR:90]:[/BR:90]],Brudnopis!$E$26:$J$26),0)</f>
        <v>6.6666666666666666E-2</v>
      </c>
      <c r="W2205" s="44">
        <f>IF(Mecze[[#This Row],[Role]]&lt;&gt;"BR",SUMPRODUCT(Mecze[[#This Row],[/PR:90]:[/BR:90]],Brudnopis!$E$27:$J$27),0)</f>
        <v>0.08</v>
      </c>
      <c r="X2205" s="44">
        <f>IF(Mecze[[#This Row],[Role]]&lt;&gt;"BR",SUMPRODUCT(Mecze[[#This Row],[/PR:90]:[/BR:90]],Brudnopis!$E$28:$J$28),0)</f>
        <v>0.04</v>
      </c>
      <c r="Y2205" s="35">
        <f>IF(Mecze[[#This Row],[Role]]="BR",Mecze[[#This Row],[/OB:90]]+Mecze[[#This Row],[/PC:90]],SUM(Mecze[[#This Row],[/PR:90]:[/BR:90]]))</f>
        <v>6.6666666666666666E-2</v>
      </c>
      <c r="Z2205" s="35">
        <f>IF(Mecze[[#This Row],[KC]]=0,SUM(Mecze[[#This Row],[/BRI]:[/NPI]]),SUM(Mecze[[#This Row],[/BRI]:[/NPI]])*0.6)</f>
        <v>0.35333333333333333</v>
      </c>
      <c r="AA2205" s="10">
        <f>IFERROR(Mecze[[#This Row],[BR]]/Mecze[[#This Row],[ST]],0)</f>
        <v>0</v>
      </c>
      <c r="AB2205">
        <f>ROUND(Mecze[[#This Row],[PD]]*Mecze[[#This Row],[%PC]],0)</f>
        <v>3</v>
      </c>
      <c r="AC2205">
        <f>ROUND(Mecze[[#This Row],[OD]]*Mecze[[#This Row],[%OU]],0)</f>
        <v>2</v>
      </c>
      <c r="AD2205" s="36" t="s">
        <v>319</v>
      </c>
      <c r="AE2205" s="36">
        <v>123</v>
      </c>
      <c r="AF2205" s="71">
        <v>3.91</v>
      </c>
      <c r="AG2205" s="37">
        <v>0</v>
      </c>
      <c r="AH2205" s="37">
        <v>0</v>
      </c>
      <c r="AI2205" s="37">
        <v>75</v>
      </c>
      <c r="AJ2205" s="37">
        <v>6</v>
      </c>
      <c r="AK2205" s="37" t="str">
        <f>VLOOKUP(Mecze[[#This Row],[Match ID]],Meczusie[Mecz]:Meczusie[RodzajMeczu],2,FALSE)</f>
        <v>Liga</v>
      </c>
    </row>
    <row r="2206" spans="1:37" x14ac:dyDescent="0.25">
      <c r="A2206" s="76">
        <v>106</v>
      </c>
      <c r="B2206" s="3" t="s">
        <v>424</v>
      </c>
      <c r="C2206" s="2" t="s">
        <v>160</v>
      </c>
      <c r="D2206" s="1">
        <v>1</v>
      </c>
      <c r="E2206" s="1">
        <v>3</v>
      </c>
      <c r="F2206" s="1">
        <v>3</v>
      </c>
      <c r="G2206" s="1">
        <v>3</v>
      </c>
      <c r="H2206" s="4">
        <v>0.67</v>
      </c>
      <c r="I2206" s="1">
        <v>4</v>
      </c>
      <c r="J2206" s="4">
        <v>0</v>
      </c>
      <c r="K2206" s="1">
        <v>0</v>
      </c>
      <c r="L2206" s="1">
        <v>0</v>
      </c>
      <c r="M2206" s="32">
        <f>IF(Mecze[[#This Row],[PR]]=0,0,Mecze[[#This Row],[PR]]/Mecze[[#This Row],[CZAS]])</f>
        <v>0</v>
      </c>
      <c r="N2206" s="32">
        <f>IF(Mecze[[#This Row],[OU]]=0,0,Mecze[[#This Row],[OU]]/Mecze[[#This Row],[CZAS]])</f>
        <v>0</v>
      </c>
      <c r="O2206" s="32">
        <f>IF(Mecze[[#This Row],[PC]]=0,0,Mecze[[#This Row],[PC]]/Mecze[[#This Row],[CZAS]])</f>
        <v>2.0618556701030927E-2</v>
      </c>
      <c r="P2206" s="32">
        <f>IF(Mecze[[#This Row],[SC]]=0,0,Mecze[[#This Row],[SC]]/Mecze[[#This Row],[CZAS]])</f>
        <v>3.0927835051546393E-2</v>
      </c>
      <c r="Q2206" s="32">
        <f>IF(Mecze[[#This Row],[OB]]=0,0,Mecze[[#This Row],[OB]]/Mecze[[#This Row],[CZAS]])</f>
        <v>0</v>
      </c>
      <c r="R2206" s="32">
        <f>IF(Mecze[[#This Row],[BR]]=0,0,Mecze[[#This Row],[BR]]/Mecze[[#This Row],[CZAS]])</f>
        <v>1.0309278350515464E-2</v>
      </c>
      <c r="S2206" s="44">
        <f>IF(Mecze[[#This Row],[Role]]="BR",SUMPRODUCT(Mecze[[#This Row],[/PR:90]:[/BR:90]],Brudnopis!$E$23:$J$23),0)</f>
        <v>0</v>
      </c>
      <c r="T2206" s="44">
        <f>IF(Mecze[[#This Row],[Role]]&lt;&gt;"BR",SUMPRODUCT(Mecze[[#This Row],[/PR:90]:[/BR:90]],Brudnopis!$E$24:$J$24),0)</f>
        <v>6.7010309278350513E-2</v>
      </c>
      <c r="U2206" s="44">
        <f>IF(Mecze[[#This Row],[Role]]&lt;&gt;"BR",SUMPRODUCT(Mecze[[#This Row],[/PR:90]:[/BR:90]],Brudnopis!$E$25:$J$25),0)</f>
        <v>7.7319587628865982E-2</v>
      </c>
      <c r="V2206" s="44">
        <f>IF(Mecze[[#This Row],[Role]]&lt;&gt;"BR",SUMPRODUCT(Mecze[[#This Row],[/PR:90]:[/BR:90]],Brudnopis!$E$26:$J$26),0)</f>
        <v>7.2164948453608241E-2</v>
      </c>
      <c r="W2206" s="44">
        <f>IF(Mecze[[#This Row],[Role]]&lt;&gt;"BR",SUMPRODUCT(Mecze[[#This Row],[/PR:90]:[/BR:90]],Brudnopis!$E$27:$J$27),0)</f>
        <v>8.247422680412371E-2</v>
      </c>
      <c r="X2206" s="44">
        <f>IF(Mecze[[#This Row],[Role]]&lt;&gt;"BR",SUMPRODUCT(Mecze[[#This Row],[/PR:90]:[/BR:90]],Brudnopis!$E$28:$J$28),0)</f>
        <v>0.1134020618556701</v>
      </c>
      <c r="Y2206" s="35">
        <f>IF(Mecze[[#This Row],[Role]]="BR",Mecze[[#This Row],[/OB:90]]+Mecze[[#This Row],[/PC:90]],SUM(Mecze[[#This Row],[/PR:90]:[/BR:90]]))</f>
        <v>6.1855670103092779E-2</v>
      </c>
      <c r="Z2206" s="35">
        <f>IF(Mecze[[#This Row],[KC]]=0,SUM(Mecze[[#This Row],[/BRI]:[/NPI]]),SUM(Mecze[[#This Row],[/BRI]:[/NPI]])*0.6)</f>
        <v>0.41237113402061853</v>
      </c>
      <c r="AA2206" s="10">
        <f>IFERROR(Mecze[[#This Row],[BR]]/Mecze[[#This Row],[ST]],0)</f>
        <v>0.33333333333333331</v>
      </c>
      <c r="AB2206">
        <f>ROUND(Mecze[[#This Row],[PD]]*Mecze[[#This Row],[%PC]],0)</f>
        <v>2</v>
      </c>
      <c r="AC2206">
        <f>ROUND(Mecze[[#This Row],[OD]]*Mecze[[#This Row],[%OU]],0)</f>
        <v>0</v>
      </c>
      <c r="AD2206" s="36" t="s">
        <v>44</v>
      </c>
      <c r="AE2206" s="36">
        <v>123</v>
      </c>
      <c r="AF2206" s="71">
        <v>5.5</v>
      </c>
      <c r="AG2206" s="37">
        <v>0</v>
      </c>
      <c r="AH2206" s="37">
        <v>0</v>
      </c>
      <c r="AI2206" s="37">
        <v>97</v>
      </c>
      <c r="AJ2206" s="37">
        <v>6</v>
      </c>
      <c r="AK2206" s="37" t="str">
        <f>VLOOKUP(Mecze[[#This Row],[Match ID]],Meczusie[Mecz]:Meczusie[RodzajMeczu],2,FALSE)</f>
        <v>Liga</v>
      </c>
    </row>
    <row r="2207" spans="1:37" x14ac:dyDescent="0.25">
      <c r="A2207" s="76">
        <v>6</v>
      </c>
      <c r="B2207" s="3" t="s">
        <v>255</v>
      </c>
      <c r="C2207" s="2" t="s">
        <v>165</v>
      </c>
      <c r="D2207" s="1">
        <v>0</v>
      </c>
      <c r="E2207" s="1">
        <v>2</v>
      </c>
      <c r="F2207" s="1">
        <v>2</v>
      </c>
      <c r="G2207" s="1">
        <v>1</v>
      </c>
      <c r="H2207" s="4">
        <v>1</v>
      </c>
      <c r="I2207" s="1">
        <v>4</v>
      </c>
      <c r="J2207" s="4">
        <v>1</v>
      </c>
      <c r="K2207" s="1">
        <v>0</v>
      </c>
      <c r="L2207" s="1">
        <v>0</v>
      </c>
      <c r="M2207" s="32">
        <f>IF(Mecze[[#This Row],[PR]]=0,0,Mecze[[#This Row],[PR]]/Mecze[[#This Row],[CZAS]])</f>
        <v>0</v>
      </c>
      <c r="N2207" s="32">
        <f>IF(Mecze[[#This Row],[OU]]=0,0,Mecze[[#This Row],[OU]]/Mecze[[#This Row],[CZAS]])</f>
        <v>4.1237113402061855E-2</v>
      </c>
      <c r="O2207" s="32">
        <f>IF(Mecze[[#This Row],[PC]]=0,0,Mecze[[#This Row],[PC]]/Mecze[[#This Row],[CZAS]])</f>
        <v>1.0309278350515464E-2</v>
      </c>
      <c r="P2207" s="32">
        <f>IF(Mecze[[#This Row],[SC]]=0,0,Mecze[[#This Row],[SC]]/Mecze[[#This Row],[CZAS]])</f>
        <v>2.0618556701030927E-2</v>
      </c>
      <c r="Q2207" s="32">
        <f>IF(Mecze[[#This Row],[OB]]=0,0,Mecze[[#This Row],[OB]]/Mecze[[#This Row],[CZAS]])</f>
        <v>0</v>
      </c>
      <c r="R2207" s="32">
        <f>IF(Mecze[[#This Row],[BR]]=0,0,Mecze[[#This Row],[BR]]/Mecze[[#This Row],[CZAS]])</f>
        <v>0</v>
      </c>
      <c r="S2207" s="44">
        <f>IF(Mecze[[#This Row],[Role]]="BR",SUMPRODUCT(Mecze[[#This Row],[/PR:90]:[/BR:90]],Brudnopis!$E$23:$J$23),0)</f>
        <v>0</v>
      </c>
      <c r="T2207" s="44">
        <f>IF(Mecze[[#This Row],[Role]]&lt;&gt;"BR",SUMPRODUCT(Mecze[[#This Row],[/PR:90]:[/BR:90]],Brudnopis!$E$24:$J$24),0)</f>
        <v>9.2783505154639179E-2</v>
      </c>
      <c r="U2207" s="44">
        <f>IF(Mecze[[#This Row],[Role]]&lt;&gt;"BR",SUMPRODUCT(Mecze[[#This Row],[/PR:90]:[/BR:90]],Brudnopis!$E$25:$J$25),0)</f>
        <v>7.7319587628865982E-2</v>
      </c>
      <c r="V2207" s="44">
        <f>IF(Mecze[[#This Row],[Role]]&lt;&gt;"BR",SUMPRODUCT(Mecze[[#This Row],[/PR:90]:[/BR:90]],Brudnopis!$E$26:$J$26),0)</f>
        <v>7.2164948453608241E-2</v>
      </c>
      <c r="W2207" s="44">
        <f>IF(Mecze[[#This Row],[Role]]&lt;&gt;"BR",SUMPRODUCT(Mecze[[#This Row],[/PR:90]:[/BR:90]],Brudnopis!$E$27:$J$27),0)</f>
        <v>6.7010309278350513E-2</v>
      </c>
      <c r="X2207" s="44">
        <f>IF(Mecze[[#This Row],[Role]]&lt;&gt;"BR",SUMPRODUCT(Mecze[[#This Row],[/PR:90]:[/BR:90]],Brudnopis!$E$28:$J$28),0)</f>
        <v>5.1546391752577317E-2</v>
      </c>
      <c r="Y2207" s="35">
        <f>IF(Mecze[[#This Row],[Role]]="BR",Mecze[[#This Row],[/OB:90]]+Mecze[[#This Row],[/PC:90]],SUM(Mecze[[#This Row],[/PR:90]:[/BR:90]]))</f>
        <v>7.2164948453608241E-2</v>
      </c>
      <c r="Z2207" s="35">
        <f>IF(Mecze[[#This Row],[KC]]=0,SUM(Mecze[[#This Row],[/BRI]:[/NPI]]),SUM(Mecze[[#This Row],[/BRI]:[/NPI]])*0.6)</f>
        <v>0.36082474226804123</v>
      </c>
      <c r="AA2207" s="10">
        <f>IFERROR(Mecze[[#This Row],[BR]]/Mecze[[#This Row],[ST]],0)</f>
        <v>0</v>
      </c>
      <c r="AB2207">
        <f>ROUND(Mecze[[#This Row],[PD]]*Mecze[[#This Row],[%PC]],0)</f>
        <v>1</v>
      </c>
      <c r="AC2207">
        <f>ROUND(Mecze[[#This Row],[OD]]*Mecze[[#This Row],[%OU]],0)</f>
        <v>4</v>
      </c>
      <c r="AD2207" s="36" t="s">
        <v>232</v>
      </c>
      <c r="AE2207" s="36">
        <v>123</v>
      </c>
      <c r="AF2207" s="71">
        <v>3.15</v>
      </c>
      <c r="AG2207" s="37">
        <v>0</v>
      </c>
      <c r="AH2207" s="37">
        <v>0</v>
      </c>
      <c r="AI2207" s="37">
        <v>97</v>
      </c>
      <c r="AJ2207" s="37">
        <v>6</v>
      </c>
      <c r="AK2207" s="37" t="str">
        <f>VLOOKUP(Mecze[[#This Row],[Match ID]],Meczusie[Mecz]:Meczusie[RodzajMeczu],2,FALSE)</f>
        <v>Liga</v>
      </c>
    </row>
    <row r="2208" spans="1:37" x14ac:dyDescent="0.25">
      <c r="A2208" s="76">
        <v>5</v>
      </c>
      <c r="B2208" s="3" t="s">
        <v>256</v>
      </c>
      <c r="C2208" s="2" t="s">
        <v>165</v>
      </c>
      <c r="D2208" s="1">
        <v>0</v>
      </c>
      <c r="E2208" s="1">
        <v>6</v>
      </c>
      <c r="F2208" s="1">
        <v>6</v>
      </c>
      <c r="G2208" s="1">
        <v>9</v>
      </c>
      <c r="H2208" s="4">
        <v>0.89</v>
      </c>
      <c r="I2208" s="1">
        <v>3</v>
      </c>
      <c r="J2208" s="4">
        <v>0.67</v>
      </c>
      <c r="K2208" s="1">
        <v>0</v>
      </c>
      <c r="L2208" s="1">
        <v>1</v>
      </c>
      <c r="M2208" s="32">
        <f>IF(Mecze[[#This Row],[PR]]=0,0,Mecze[[#This Row],[PR]]/Mecze[[#This Row],[CZAS]])</f>
        <v>1.0309278350515464E-2</v>
      </c>
      <c r="N2208" s="32">
        <f>IF(Mecze[[#This Row],[OU]]=0,0,Mecze[[#This Row],[OU]]/Mecze[[#This Row],[CZAS]])</f>
        <v>2.0618556701030927E-2</v>
      </c>
      <c r="O2208" s="32">
        <f>IF(Mecze[[#This Row],[PC]]=0,0,Mecze[[#This Row],[PC]]/Mecze[[#This Row],[CZAS]])</f>
        <v>8.247422680412371E-2</v>
      </c>
      <c r="P2208" s="32">
        <f>IF(Mecze[[#This Row],[SC]]=0,0,Mecze[[#This Row],[SC]]/Mecze[[#This Row],[CZAS]])</f>
        <v>6.1855670103092786E-2</v>
      </c>
      <c r="Q2208" s="32">
        <f>IF(Mecze[[#This Row],[OB]]=0,0,Mecze[[#This Row],[OB]]/Mecze[[#This Row],[CZAS]])</f>
        <v>0</v>
      </c>
      <c r="R2208" s="32">
        <f>IF(Mecze[[#This Row],[BR]]=0,0,Mecze[[#This Row],[BR]]/Mecze[[#This Row],[CZAS]])</f>
        <v>0</v>
      </c>
      <c r="S2208" s="44">
        <f>IF(Mecze[[#This Row],[Role]]="BR",SUMPRODUCT(Mecze[[#This Row],[/PR:90]:[/BR:90]],Brudnopis!$E$23:$J$23),0)</f>
        <v>0</v>
      </c>
      <c r="T2208" s="44">
        <f>IF(Mecze[[#This Row],[Role]]&lt;&gt;"BR",SUMPRODUCT(Mecze[[#This Row],[/PR:90]:[/BR:90]],Brudnopis!$E$24:$J$24),0)</f>
        <v>0.18556701030927836</v>
      </c>
      <c r="U2208" s="44">
        <f>IF(Mecze[[#This Row],[Role]]&lt;&gt;"BR",SUMPRODUCT(Mecze[[#This Row],[/PR:90]:[/BR:90]],Brudnopis!$E$25:$J$25),0)</f>
        <v>0.21649484536082475</v>
      </c>
      <c r="V2208" s="44">
        <f>IF(Mecze[[#This Row],[Role]]&lt;&gt;"BR",SUMPRODUCT(Mecze[[#This Row],[/PR:90]:[/BR:90]],Brudnopis!$E$26:$J$26),0)</f>
        <v>0.17525773195876287</v>
      </c>
      <c r="W2208" s="44">
        <f>IF(Mecze[[#This Row],[Role]]&lt;&gt;"BR",SUMPRODUCT(Mecze[[#This Row],[/PR:90]:[/BR:90]],Brudnopis!$E$27:$J$27),0)</f>
        <v>0.20876288659793815</v>
      </c>
      <c r="X2208" s="44">
        <f>IF(Mecze[[#This Row],[Role]]&lt;&gt;"BR",SUMPRODUCT(Mecze[[#This Row],[/PR:90]:[/BR:90]],Brudnopis!$E$28:$J$28),0)</f>
        <v>0.20618556701030927</v>
      </c>
      <c r="Y2208" s="35">
        <f>IF(Mecze[[#This Row],[Role]]="BR",Mecze[[#This Row],[/OB:90]]+Mecze[[#This Row],[/PC:90]],SUM(Mecze[[#This Row],[/PR:90]:[/BR:90]]))</f>
        <v>0.17525773195876287</v>
      </c>
      <c r="Z2208" s="35">
        <f>IF(Mecze[[#This Row],[KC]]=0,SUM(Mecze[[#This Row],[/BRI]:[/NPI]]),SUM(Mecze[[#This Row],[/BRI]:[/NPI]])*0.6)</f>
        <v>0.99226804123711343</v>
      </c>
      <c r="AA2208" s="10">
        <f>IFERROR(Mecze[[#This Row],[BR]]/Mecze[[#This Row],[ST]],0)</f>
        <v>0</v>
      </c>
      <c r="AB2208">
        <f>ROUND(Mecze[[#This Row],[PD]]*Mecze[[#This Row],[%PC]],0)</f>
        <v>8</v>
      </c>
      <c r="AC2208">
        <f>ROUND(Mecze[[#This Row],[OD]]*Mecze[[#This Row],[%OU]],0)</f>
        <v>2</v>
      </c>
      <c r="AD2208" s="36" t="s">
        <v>46</v>
      </c>
      <c r="AE2208" s="36">
        <v>123</v>
      </c>
      <c r="AF2208" s="71">
        <v>6.28</v>
      </c>
      <c r="AG2208" s="37">
        <v>0</v>
      </c>
      <c r="AH2208" s="37">
        <v>0</v>
      </c>
      <c r="AI2208" s="37">
        <v>97</v>
      </c>
      <c r="AJ2208" s="37">
        <v>6</v>
      </c>
      <c r="AK2208" s="37" t="str">
        <f>VLOOKUP(Mecze[[#This Row],[Match ID]],Meczusie[Mecz]:Meczusie[RodzajMeczu],2,FALSE)</f>
        <v>Liga</v>
      </c>
    </row>
    <row r="2209" spans="1:37" x14ac:dyDescent="0.25">
      <c r="A2209" s="76">
        <v>100</v>
      </c>
      <c r="B2209" s="3" t="s">
        <v>257</v>
      </c>
      <c r="C2209" s="2" t="s">
        <v>165</v>
      </c>
      <c r="D2209" s="1">
        <v>0</v>
      </c>
      <c r="E2209" s="1">
        <v>0</v>
      </c>
      <c r="F2209" s="1">
        <v>0</v>
      </c>
      <c r="G2209" s="1">
        <v>7</v>
      </c>
      <c r="H2209" s="4">
        <v>0.71</v>
      </c>
      <c r="I2209" s="1">
        <v>2</v>
      </c>
      <c r="J2209" s="4">
        <v>0</v>
      </c>
      <c r="K2209" s="1">
        <v>0</v>
      </c>
      <c r="L2209" s="1">
        <v>1</v>
      </c>
      <c r="M2209" s="32">
        <f>IF(Mecze[[#This Row],[PR]]=0,0,Mecze[[#This Row],[PR]]/Mecze[[#This Row],[CZAS]])</f>
        <v>1.0309278350515464E-2</v>
      </c>
      <c r="N2209" s="32">
        <f>IF(Mecze[[#This Row],[OU]]=0,0,Mecze[[#This Row],[OU]]/Mecze[[#This Row],[CZAS]])</f>
        <v>0</v>
      </c>
      <c r="O2209" s="32">
        <f>IF(Mecze[[#This Row],[PC]]=0,0,Mecze[[#This Row],[PC]]/Mecze[[#This Row],[CZAS]])</f>
        <v>5.1546391752577317E-2</v>
      </c>
      <c r="P2209" s="32">
        <f>IF(Mecze[[#This Row],[SC]]=0,0,Mecze[[#This Row],[SC]]/Mecze[[#This Row],[CZAS]])</f>
        <v>0</v>
      </c>
      <c r="Q2209" s="32">
        <f>IF(Mecze[[#This Row],[OB]]=0,0,Mecze[[#This Row],[OB]]/Mecze[[#This Row],[CZAS]])</f>
        <v>0</v>
      </c>
      <c r="R2209" s="32">
        <f>IF(Mecze[[#This Row],[BR]]=0,0,Mecze[[#This Row],[BR]]/Mecze[[#This Row],[CZAS]])</f>
        <v>0</v>
      </c>
      <c r="S2209" s="44">
        <f>IF(Mecze[[#This Row],[Role]]="BR",SUMPRODUCT(Mecze[[#This Row],[/PR:90]:[/BR:90]],Brudnopis!$E$23:$J$23),0)</f>
        <v>0</v>
      </c>
      <c r="T2209" s="44">
        <f>IF(Mecze[[#This Row],[Role]]&lt;&gt;"BR",SUMPRODUCT(Mecze[[#This Row],[/PR:90]:[/BR:90]],Brudnopis!$E$24:$J$24),0)</f>
        <v>6.1855670103092779E-2</v>
      </c>
      <c r="U2209" s="44">
        <f>IF(Mecze[[#This Row],[Role]]&lt;&gt;"BR",SUMPRODUCT(Mecze[[#This Row],[/PR:90]:[/BR:90]],Brudnopis!$E$25:$J$25),0)</f>
        <v>8.7628865979381451E-2</v>
      </c>
      <c r="V2209" s="44">
        <f>IF(Mecze[[#This Row],[Role]]&lt;&gt;"BR",SUMPRODUCT(Mecze[[#This Row],[/PR:90]:[/BR:90]],Brudnopis!$E$26:$J$26),0)</f>
        <v>6.1855670103092779E-2</v>
      </c>
      <c r="W2209" s="44">
        <f>IF(Mecze[[#This Row],[Role]]&lt;&gt;"BR",SUMPRODUCT(Mecze[[#This Row],[/PR:90]:[/BR:90]],Brudnopis!$E$27:$J$27),0)</f>
        <v>8.505154639175258E-2</v>
      </c>
      <c r="X2209" s="44">
        <f>IF(Mecze[[#This Row],[Role]]&lt;&gt;"BR",SUMPRODUCT(Mecze[[#This Row],[/PR:90]:[/BR:90]],Brudnopis!$E$28:$J$28),0)</f>
        <v>5.1546391752577317E-2</v>
      </c>
      <c r="Y2209" s="35">
        <f>IF(Mecze[[#This Row],[Role]]="BR",Mecze[[#This Row],[/OB:90]]+Mecze[[#This Row],[/PC:90]],SUM(Mecze[[#This Row],[/PR:90]:[/BR:90]]))</f>
        <v>6.1855670103092779E-2</v>
      </c>
      <c r="Z2209" s="35">
        <f>IF(Mecze[[#This Row],[KC]]=0,SUM(Mecze[[#This Row],[/BRI]:[/NPI]]),SUM(Mecze[[#This Row],[/BRI]:[/NPI]])*0.6)</f>
        <v>0.34793814432989689</v>
      </c>
      <c r="AA2209" s="10">
        <f>IFERROR(Mecze[[#This Row],[BR]]/Mecze[[#This Row],[ST]],0)</f>
        <v>0</v>
      </c>
      <c r="AB2209">
        <f>ROUND(Mecze[[#This Row],[PD]]*Mecze[[#This Row],[%PC]],0)</f>
        <v>5</v>
      </c>
      <c r="AC2209">
        <f>ROUND(Mecze[[#This Row],[OD]]*Mecze[[#This Row],[%OU]],0)</f>
        <v>0</v>
      </c>
      <c r="AD2209" s="36" t="s">
        <v>46</v>
      </c>
      <c r="AE2209" s="36">
        <v>123</v>
      </c>
      <c r="AF2209" s="71">
        <v>4.04</v>
      </c>
      <c r="AG2209" s="37">
        <v>0</v>
      </c>
      <c r="AH2209" s="37">
        <v>0</v>
      </c>
      <c r="AI2209" s="37">
        <v>97</v>
      </c>
      <c r="AJ2209" s="37">
        <v>6</v>
      </c>
      <c r="AK2209" s="37" t="str">
        <f>VLOOKUP(Mecze[[#This Row],[Match ID]],Meczusie[Mecz]:Meczusie[RodzajMeczu],2,FALSE)</f>
        <v>Liga</v>
      </c>
    </row>
    <row r="2210" spans="1:37" x14ac:dyDescent="0.25">
      <c r="A2210" s="76">
        <v>105</v>
      </c>
      <c r="B2210" s="3" t="s">
        <v>423</v>
      </c>
      <c r="C2210" s="2" t="s">
        <v>157</v>
      </c>
      <c r="D2210" s="1">
        <v>0</v>
      </c>
      <c r="E2210" s="1">
        <v>0</v>
      </c>
      <c r="F2210" s="1">
        <v>0</v>
      </c>
      <c r="G2210" s="1">
        <v>4</v>
      </c>
      <c r="H2210" s="4">
        <v>0.75</v>
      </c>
      <c r="I2210" s="1">
        <v>3</v>
      </c>
      <c r="J2210" s="4">
        <v>0.33</v>
      </c>
      <c r="K2210" s="1">
        <v>0</v>
      </c>
      <c r="L2210" s="1">
        <v>2</v>
      </c>
      <c r="M2210" s="32">
        <f>IF(Mecze[[#This Row],[PR]]=0,0,Mecze[[#This Row],[PR]]/Mecze[[#This Row],[CZAS]])</f>
        <v>6.6666666666666666E-2</v>
      </c>
      <c r="N2210" s="32">
        <f>IF(Mecze[[#This Row],[OU]]=0,0,Mecze[[#This Row],[OU]]/Mecze[[#This Row],[CZAS]])</f>
        <v>3.3333333333333333E-2</v>
      </c>
      <c r="O2210" s="32">
        <f>IF(Mecze[[#This Row],[PC]]=0,0,Mecze[[#This Row],[PC]]/Mecze[[#This Row],[CZAS]])</f>
        <v>0.1</v>
      </c>
      <c r="P2210" s="32">
        <f>IF(Mecze[[#This Row],[SC]]=0,0,Mecze[[#This Row],[SC]]/Mecze[[#This Row],[CZAS]])</f>
        <v>0</v>
      </c>
      <c r="Q2210" s="32">
        <f>IF(Mecze[[#This Row],[OB]]=0,0,Mecze[[#This Row],[OB]]/Mecze[[#This Row],[CZAS]])</f>
        <v>0</v>
      </c>
      <c r="R2210" s="32">
        <f>IF(Mecze[[#This Row],[BR]]=0,0,Mecze[[#This Row],[BR]]/Mecze[[#This Row],[CZAS]])</f>
        <v>0</v>
      </c>
      <c r="S2210" s="44">
        <f>IF(Mecze[[#This Row],[Role]]="BR",SUMPRODUCT(Mecze[[#This Row],[/PR:90]:[/BR:90]],Brudnopis!$E$23:$J$23),0)</f>
        <v>0</v>
      </c>
      <c r="T2210" s="44">
        <f>IF(Mecze[[#This Row],[Role]]&lt;&gt;"BR",SUMPRODUCT(Mecze[[#This Row],[/PR:90]:[/BR:90]],Brudnopis!$E$24:$J$24),0)</f>
        <v>0.21666666666666667</v>
      </c>
      <c r="U2210" s="44">
        <f>IF(Mecze[[#This Row],[Role]]&lt;&gt;"BR",SUMPRODUCT(Mecze[[#This Row],[/PR:90]:[/BR:90]],Brudnopis!$E$25:$J$25),0)</f>
        <v>0.25</v>
      </c>
      <c r="V2210" s="44">
        <f>IF(Mecze[[#This Row],[Role]]&lt;&gt;"BR",SUMPRODUCT(Mecze[[#This Row],[/PR:90]:[/BR:90]],Brudnopis!$E$26:$J$26),0)</f>
        <v>0.2</v>
      </c>
      <c r="W2210" s="44">
        <f>IF(Mecze[[#This Row],[Role]]&lt;&gt;"BR",SUMPRODUCT(Mecze[[#This Row],[/PR:90]:[/BR:90]],Brudnopis!$E$27:$J$27),0)</f>
        <v>0.22500000000000003</v>
      </c>
      <c r="X2210" s="44">
        <f>IF(Mecze[[#This Row],[Role]]&lt;&gt;"BR",SUMPRODUCT(Mecze[[#This Row],[/PR:90]:[/BR:90]],Brudnopis!$E$28:$J$28),0)</f>
        <v>0.1</v>
      </c>
      <c r="Y2210" s="35">
        <f>IF(Mecze[[#This Row],[Role]]="BR",Mecze[[#This Row],[/OB:90]]+Mecze[[#This Row],[/PC:90]],SUM(Mecze[[#This Row],[/PR:90]:[/BR:90]]))</f>
        <v>0.2</v>
      </c>
      <c r="Z2210" s="35">
        <f>IF(Mecze[[#This Row],[KC]]=0,SUM(Mecze[[#This Row],[/BRI]:[/NPI]]),SUM(Mecze[[#This Row],[/BRI]:[/NPI]])*0.6)</f>
        <v>0.99166666666666681</v>
      </c>
      <c r="AA2210" s="10">
        <f>IFERROR(Mecze[[#This Row],[BR]]/Mecze[[#This Row],[ST]],0)</f>
        <v>0</v>
      </c>
      <c r="AB2210">
        <f>ROUND(Mecze[[#This Row],[PD]]*Mecze[[#This Row],[%PC]],0)</f>
        <v>3</v>
      </c>
      <c r="AC2210">
        <f>ROUND(Mecze[[#This Row],[OD]]*Mecze[[#This Row],[%OU]],0)</f>
        <v>1</v>
      </c>
      <c r="AD2210" s="36" t="s">
        <v>167</v>
      </c>
      <c r="AE2210" s="36">
        <v>123</v>
      </c>
      <c r="AF2210" s="71">
        <v>-1.2</v>
      </c>
      <c r="AG2210" s="37">
        <v>0</v>
      </c>
      <c r="AH2210" s="37">
        <v>0</v>
      </c>
      <c r="AI2210" s="37">
        <v>30</v>
      </c>
      <c r="AJ2210" s="37">
        <v>6</v>
      </c>
      <c r="AK2210" s="37" t="str">
        <f>VLOOKUP(Mecze[[#This Row],[Match ID]],Meczusie[Mecz]:Meczusie[RodzajMeczu],2,FALSE)</f>
        <v>Liga</v>
      </c>
    </row>
    <row r="2211" spans="1:37" x14ac:dyDescent="0.25">
      <c r="A2211" s="76">
        <v>9</v>
      </c>
      <c r="B2211" s="3" t="s">
        <v>258</v>
      </c>
      <c r="C2211" s="2" t="s">
        <v>160</v>
      </c>
      <c r="D2211" s="1">
        <v>0</v>
      </c>
      <c r="E2211" s="1">
        <v>1</v>
      </c>
      <c r="F2211" s="1">
        <v>1</v>
      </c>
      <c r="G2211" s="1">
        <v>3</v>
      </c>
      <c r="H2211" s="4">
        <v>0</v>
      </c>
      <c r="I2211" s="1">
        <v>0</v>
      </c>
      <c r="J2211" s="4"/>
      <c r="K2211" s="1">
        <v>0</v>
      </c>
      <c r="L2211" s="1">
        <v>0</v>
      </c>
      <c r="M2211" s="32">
        <f>IF(Mecze[[#This Row],[PR]]=0,0,Mecze[[#This Row],[PR]]/Mecze[[#This Row],[CZAS]])</f>
        <v>0</v>
      </c>
      <c r="N2211" s="32">
        <f>IF(Mecze[[#This Row],[OU]]=0,0,Mecze[[#This Row],[OU]]/Mecze[[#This Row],[CZAS]])</f>
        <v>0</v>
      </c>
      <c r="O2211" s="32">
        <f>IF(Mecze[[#This Row],[PC]]=0,0,Mecze[[#This Row],[PC]]/Mecze[[#This Row],[CZAS]])</f>
        <v>0</v>
      </c>
      <c r="P2211" s="32">
        <f>IF(Mecze[[#This Row],[SC]]=0,0,Mecze[[#This Row],[SC]]/Mecze[[#This Row],[CZAS]])</f>
        <v>4.5454545454545456E-2</v>
      </c>
      <c r="Q2211" s="32">
        <f>IF(Mecze[[#This Row],[OB]]=0,0,Mecze[[#This Row],[OB]]/Mecze[[#This Row],[CZAS]])</f>
        <v>0</v>
      </c>
      <c r="R2211" s="32">
        <f>IF(Mecze[[#This Row],[BR]]=0,0,Mecze[[#This Row],[BR]]/Mecze[[#This Row],[CZAS]])</f>
        <v>0</v>
      </c>
      <c r="S2211" s="44">
        <f>IF(Mecze[[#This Row],[Role]]="BR",SUMPRODUCT(Mecze[[#This Row],[/PR:90]:[/BR:90]],Brudnopis!$E$23:$J$23),0)</f>
        <v>0</v>
      </c>
      <c r="T2211" s="44">
        <f>IF(Mecze[[#This Row],[Role]]&lt;&gt;"BR",SUMPRODUCT(Mecze[[#This Row],[/PR:90]:[/BR:90]],Brudnopis!$E$24:$J$24),0)</f>
        <v>4.5454545454545456E-2</v>
      </c>
      <c r="U2211" s="44">
        <f>IF(Mecze[[#This Row],[Role]]&lt;&gt;"BR",SUMPRODUCT(Mecze[[#This Row],[/PR:90]:[/BR:90]],Brudnopis!$E$25:$J$25),0)</f>
        <v>4.5454545454545456E-2</v>
      </c>
      <c r="V2211" s="44">
        <f>IF(Mecze[[#This Row],[Role]]&lt;&gt;"BR",SUMPRODUCT(Mecze[[#This Row],[/PR:90]:[/BR:90]],Brudnopis!$E$26:$J$26),0)</f>
        <v>4.5454545454545456E-2</v>
      </c>
      <c r="W2211" s="44">
        <f>IF(Mecze[[#This Row],[Role]]&lt;&gt;"BR",SUMPRODUCT(Mecze[[#This Row],[/PR:90]:[/BR:90]],Brudnopis!$E$27:$J$27),0)</f>
        <v>4.5454545454545456E-2</v>
      </c>
      <c r="X2211" s="44">
        <f>IF(Mecze[[#This Row],[Role]]&lt;&gt;"BR",SUMPRODUCT(Mecze[[#This Row],[/PR:90]:[/BR:90]],Brudnopis!$E$28:$J$28),0)</f>
        <v>9.0909090909090912E-2</v>
      </c>
      <c r="Y2211" s="35">
        <f>IF(Mecze[[#This Row],[Role]]="BR",Mecze[[#This Row],[/OB:90]]+Mecze[[#This Row],[/PC:90]],SUM(Mecze[[#This Row],[/PR:90]:[/BR:90]]))</f>
        <v>4.5454545454545456E-2</v>
      </c>
      <c r="Z2211" s="35">
        <f>IF(Mecze[[#This Row],[KC]]=0,SUM(Mecze[[#This Row],[/BRI]:[/NPI]]),SUM(Mecze[[#This Row],[/BRI]:[/NPI]])*0.6)</f>
        <v>0.27272727272727271</v>
      </c>
      <c r="AA2211" s="10">
        <f>IFERROR(Mecze[[#This Row],[BR]]/Mecze[[#This Row],[ST]],0)</f>
        <v>0</v>
      </c>
      <c r="AB2211">
        <f>ROUND(Mecze[[#This Row],[PD]]*Mecze[[#This Row],[%PC]],0)</f>
        <v>0</v>
      </c>
      <c r="AC2211">
        <f>ROUND(Mecze[[#This Row],[OD]]*Mecze[[#This Row],[%OU]],0)</f>
        <v>0</v>
      </c>
      <c r="AD2211" s="36" t="s">
        <v>319</v>
      </c>
      <c r="AE2211" s="36">
        <v>123</v>
      </c>
      <c r="AF2211" s="71">
        <v>0.73</v>
      </c>
      <c r="AG2211" s="37">
        <v>0</v>
      </c>
      <c r="AH2211" s="37">
        <v>0</v>
      </c>
      <c r="AI2211" s="37">
        <v>22</v>
      </c>
      <c r="AJ2211" s="37">
        <v>6</v>
      </c>
      <c r="AK2211" s="37" t="str">
        <f>VLOOKUP(Mecze[[#This Row],[Match ID]],Meczusie[Mecz]:Meczusie[RodzajMeczu],2,FALSE)</f>
        <v>Liga</v>
      </c>
    </row>
    <row r="2212" spans="1:37" x14ac:dyDescent="0.25">
      <c r="A2212" s="76">
        <v>1</v>
      </c>
      <c r="B2212" s="3" t="s">
        <v>274</v>
      </c>
      <c r="C2212" s="2" t="s">
        <v>155</v>
      </c>
      <c r="D2212" s="1">
        <v>0</v>
      </c>
      <c r="E2212" s="1">
        <v>0</v>
      </c>
      <c r="F2212" s="1">
        <v>0</v>
      </c>
      <c r="G2212" s="1">
        <v>2</v>
      </c>
      <c r="H2212" s="4">
        <v>1</v>
      </c>
      <c r="I2212" s="1">
        <v>0</v>
      </c>
      <c r="J2212" s="4"/>
      <c r="K2212" s="1">
        <v>2</v>
      </c>
      <c r="L2212" s="1">
        <v>0</v>
      </c>
      <c r="M2212" s="32">
        <f>IF(Mecze[[#This Row],[PR]]=0,0,Mecze[[#This Row],[PR]]/Mecze[[#This Row],[CZAS]])</f>
        <v>0</v>
      </c>
      <c r="N2212" s="32">
        <f>IF(Mecze[[#This Row],[OU]]=0,0,Mecze[[#This Row],[OU]]/Mecze[[#This Row],[CZAS]])</f>
        <v>0</v>
      </c>
      <c r="O2212" s="32">
        <f>IF(Mecze[[#This Row],[PC]]=0,0,Mecze[[#This Row],[PC]]/Mecze[[#This Row],[CZAS]])</f>
        <v>2.0833333333333332E-2</v>
      </c>
      <c r="P2212" s="32">
        <f>IF(Mecze[[#This Row],[SC]]=0,0,Mecze[[#This Row],[SC]]/Mecze[[#This Row],[CZAS]])</f>
        <v>0</v>
      </c>
      <c r="Q2212" s="32">
        <f>IF(Mecze[[#This Row],[OB]]=0,0,Mecze[[#This Row],[OB]]/Mecze[[#This Row],[CZAS]])</f>
        <v>2.0833333333333332E-2</v>
      </c>
      <c r="R2212" s="32">
        <f>IF(Mecze[[#This Row],[BR]]=0,0,Mecze[[#This Row],[BR]]/Mecze[[#This Row],[CZAS]])</f>
        <v>0</v>
      </c>
      <c r="S2212" s="44">
        <f>IF(Mecze[[#This Row],[Role]]="BR",SUMPRODUCT(Mecze[[#This Row],[/PR:90]:[/BR:90]],Brudnopis!$E$23:$J$23),0)</f>
        <v>0.125</v>
      </c>
      <c r="T2212" s="44">
        <f>IF(Mecze[[#This Row],[Role]]&lt;&gt;"BR",SUMPRODUCT(Mecze[[#This Row],[/PR:90]:[/BR:90]],Brudnopis!$E$24:$J$24),0)</f>
        <v>0</v>
      </c>
      <c r="U2212" s="44">
        <f>IF(Mecze[[#This Row],[Role]]&lt;&gt;"BR",SUMPRODUCT(Mecze[[#This Row],[/PR:90]:[/BR:90]],Brudnopis!$E$25:$J$25),0)</f>
        <v>0</v>
      </c>
      <c r="V2212" s="44">
        <f>IF(Mecze[[#This Row],[Role]]&lt;&gt;"BR",SUMPRODUCT(Mecze[[#This Row],[/PR:90]:[/BR:90]],Brudnopis!$E$26:$J$26),0)</f>
        <v>0</v>
      </c>
      <c r="W2212" s="44">
        <f>IF(Mecze[[#This Row],[Role]]&lt;&gt;"BR",SUMPRODUCT(Mecze[[#This Row],[/PR:90]:[/BR:90]],Brudnopis!$E$27:$J$27),0)</f>
        <v>0</v>
      </c>
      <c r="X2212" s="44">
        <f>IF(Mecze[[#This Row],[Role]]&lt;&gt;"BR",SUMPRODUCT(Mecze[[#This Row],[/PR:90]:[/BR:90]],Brudnopis!$E$28:$J$28),0)</f>
        <v>0</v>
      </c>
      <c r="Y2212" s="35">
        <f>IF(Mecze[[#This Row],[Role]]="BR",Mecze[[#This Row],[/OB:90]]+Mecze[[#This Row],[/PC:90]],SUM(Mecze[[#This Row],[/PR:90]:[/BR:90]]))</f>
        <v>4.1666666666666664E-2</v>
      </c>
      <c r="Z2212" s="35">
        <f>IF(Mecze[[#This Row],[KC]]=0,SUM(Mecze[[#This Row],[/BRI]:[/NPI]]),SUM(Mecze[[#This Row],[/BRI]:[/NPI]])*0.6)</f>
        <v>0.125</v>
      </c>
      <c r="AA2212" s="10">
        <f>IFERROR(Mecze[[#This Row],[BR]]/Mecze[[#This Row],[ST]],0)</f>
        <v>0</v>
      </c>
      <c r="AB2212">
        <f>ROUND(Mecze[[#This Row],[PD]]*Mecze[[#This Row],[%PC]],0)</f>
        <v>2</v>
      </c>
      <c r="AC2212">
        <f>ROUND(Mecze[[#This Row],[OD]]*Mecze[[#This Row],[%OU]],0)</f>
        <v>0</v>
      </c>
      <c r="AD2212" s="36" t="s">
        <v>40</v>
      </c>
      <c r="AE2212" s="36">
        <v>124</v>
      </c>
      <c r="AF2212" s="71">
        <v>7.74</v>
      </c>
      <c r="AG2212" s="37">
        <v>0</v>
      </c>
      <c r="AH2212" s="37">
        <v>0</v>
      </c>
      <c r="AI2212" s="37">
        <v>96</v>
      </c>
      <c r="AJ2212" s="37">
        <v>4</v>
      </c>
      <c r="AK2212" s="37" t="str">
        <f>VLOOKUP(Mecze[[#This Row],[Match ID]],Meczusie[Mecz]:Meczusie[RodzajMeczu],2,FALSE)</f>
        <v>Liga</v>
      </c>
    </row>
    <row r="2213" spans="1:37" x14ac:dyDescent="0.25">
      <c r="A2213" s="76">
        <v>9</v>
      </c>
      <c r="B2213" s="3" t="s">
        <v>275</v>
      </c>
      <c r="C2213" s="2" t="s">
        <v>157</v>
      </c>
      <c r="D2213" s="1">
        <v>0</v>
      </c>
      <c r="E2213" s="1">
        <v>0</v>
      </c>
      <c r="F2213" s="1">
        <v>0</v>
      </c>
      <c r="G2213" s="1">
        <v>6</v>
      </c>
      <c r="H2213" s="4">
        <v>0.5</v>
      </c>
      <c r="I2213" s="1">
        <v>1</v>
      </c>
      <c r="J2213" s="4">
        <v>1</v>
      </c>
      <c r="K2213" s="1">
        <v>0</v>
      </c>
      <c r="L2213" s="1">
        <v>6</v>
      </c>
      <c r="M2213" s="32">
        <f>IF(Mecze[[#This Row],[PR]]=0,0,Mecze[[#This Row],[PR]]/Mecze[[#This Row],[CZAS]])</f>
        <v>6.25E-2</v>
      </c>
      <c r="N2213" s="32">
        <f>IF(Mecze[[#This Row],[OU]]=0,0,Mecze[[#This Row],[OU]]/Mecze[[#This Row],[CZAS]])</f>
        <v>1.0416666666666666E-2</v>
      </c>
      <c r="O2213" s="32">
        <f>IF(Mecze[[#This Row],[PC]]=0,0,Mecze[[#This Row],[PC]]/Mecze[[#This Row],[CZAS]])</f>
        <v>3.125E-2</v>
      </c>
      <c r="P2213" s="32">
        <f>IF(Mecze[[#This Row],[SC]]=0,0,Mecze[[#This Row],[SC]]/Mecze[[#This Row],[CZAS]])</f>
        <v>0</v>
      </c>
      <c r="Q2213" s="32">
        <f>IF(Mecze[[#This Row],[OB]]=0,0,Mecze[[#This Row],[OB]]/Mecze[[#This Row],[CZAS]])</f>
        <v>0</v>
      </c>
      <c r="R2213" s="32">
        <f>IF(Mecze[[#This Row],[BR]]=0,0,Mecze[[#This Row],[BR]]/Mecze[[#This Row],[CZAS]])</f>
        <v>0</v>
      </c>
      <c r="S2213" s="44">
        <f>IF(Mecze[[#This Row],[Role]]="BR",SUMPRODUCT(Mecze[[#This Row],[/PR:90]:[/BR:90]],Brudnopis!$E$23:$J$23),0)</f>
        <v>0</v>
      </c>
      <c r="T2213" s="44">
        <f>IF(Mecze[[#This Row],[Role]]&lt;&gt;"BR",SUMPRODUCT(Mecze[[#This Row],[/PR:90]:[/BR:90]],Brudnopis!$E$24:$J$24),0)</f>
        <v>0.109375</v>
      </c>
      <c r="U2213" s="44">
        <f>IF(Mecze[[#This Row],[Role]]&lt;&gt;"BR",SUMPRODUCT(Mecze[[#This Row],[/PR:90]:[/BR:90]],Brudnopis!$E$25:$J$25),0)</f>
        <v>0.11979166666666667</v>
      </c>
      <c r="V2213" s="44">
        <f>IF(Mecze[[#This Row],[Role]]&lt;&gt;"BR",SUMPRODUCT(Mecze[[#This Row],[/PR:90]:[/BR:90]],Brudnopis!$E$26:$J$26),0)</f>
        <v>0.10416666666666667</v>
      </c>
      <c r="W2213" s="44">
        <f>IF(Mecze[[#This Row],[Role]]&lt;&gt;"BR",SUMPRODUCT(Mecze[[#This Row],[/PR:90]:[/BR:90]],Brudnopis!$E$27:$J$27),0)</f>
        <v>0.1015625</v>
      </c>
      <c r="X2213" s="44">
        <f>IF(Mecze[[#This Row],[Role]]&lt;&gt;"BR",SUMPRODUCT(Mecze[[#This Row],[/PR:90]:[/BR:90]],Brudnopis!$E$28:$J$28),0)</f>
        <v>3.125E-2</v>
      </c>
      <c r="Y2213" s="35">
        <f>IF(Mecze[[#This Row],[Role]]="BR",Mecze[[#This Row],[/OB:90]]+Mecze[[#This Row],[/PC:90]],SUM(Mecze[[#This Row],[/PR:90]:[/BR:90]]))</f>
        <v>0.10416666666666667</v>
      </c>
      <c r="Z2213" s="35">
        <f>IF(Mecze[[#This Row],[KC]]=0,SUM(Mecze[[#This Row],[/BRI]:[/NPI]]),SUM(Mecze[[#This Row],[/BRI]:[/NPI]])*0.6)</f>
        <v>0.46614583333333337</v>
      </c>
      <c r="AA2213" s="10">
        <f>IFERROR(Mecze[[#This Row],[BR]]/Mecze[[#This Row],[ST]],0)</f>
        <v>0</v>
      </c>
      <c r="AB2213">
        <f>ROUND(Mecze[[#This Row],[PD]]*Mecze[[#This Row],[%PC]],0)</f>
        <v>3</v>
      </c>
      <c r="AC2213">
        <f>ROUND(Mecze[[#This Row],[OD]]*Mecze[[#This Row],[%OU]],0)</f>
        <v>1</v>
      </c>
      <c r="AD2213" s="36" t="s">
        <v>47</v>
      </c>
      <c r="AE2213" s="36">
        <v>124</v>
      </c>
      <c r="AF2213" s="71">
        <v>8.3000000000000007</v>
      </c>
      <c r="AG2213" s="37">
        <v>0</v>
      </c>
      <c r="AH2213" s="37">
        <v>0</v>
      </c>
      <c r="AI2213" s="37">
        <v>96</v>
      </c>
      <c r="AJ2213" s="37">
        <v>4</v>
      </c>
      <c r="AK2213" s="37" t="str">
        <f>VLOOKUP(Mecze[[#This Row],[Match ID]],Meczusie[Mecz]:Meczusie[RodzajMeczu],2,FALSE)</f>
        <v>Liga</v>
      </c>
    </row>
    <row r="2214" spans="1:37" x14ac:dyDescent="0.25">
      <c r="A2214" s="76">
        <v>4</v>
      </c>
      <c r="B2214" s="3" t="s">
        <v>276</v>
      </c>
      <c r="C2214" s="2" t="s">
        <v>157</v>
      </c>
      <c r="D2214" s="1">
        <v>0</v>
      </c>
      <c r="E2214" s="1">
        <v>0</v>
      </c>
      <c r="F2214" s="1">
        <v>0</v>
      </c>
      <c r="G2214" s="1">
        <v>4</v>
      </c>
      <c r="H2214" s="4">
        <v>0.75</v>
      </c>
      <c r="I2214" s="1">
        <v>0</v>
      </c>
      <c r="J2214" s="4"/>
      <c r="K2214" s="1">
        <v>0</v>
      </c>
      <c r="L2214" s="1">
        <v>5</v>
      </c>
      <c r="M2214" s="32">
        <f>IF(Mecze[[#This Row],[PR]]=0,0,Mecze[[#This Row],[PR]]/Mecze[[#This Row],[CZAS]])</f>
        <v>5.2083333333333336E-2</v>
      </c>
      <c r="N2214" s="32">
        <f>IF(Mecze[[#This Row],[OU]]=0,0,Mecze[[#This Row],[OU]]/Mecze[[#This Row],[CZAS]])</f>
        <v>0</v>
      </c>
      <c r="O2214" s="32">
        <f>IF(Mecze[[#This Row],[PC]]=0,0,Mecze[[#This Row],[PC]]/Mecze[[#This Row],[CZAS]])</f>
        <v>3.125E-2</v>
      </c>
      <c r="P2214" s="32">
        <f>IF(Mecze[[#This Row],[SC]]=0,0,Mecze[[#This Row],[SC]]/Mecze[[#This Row],[CZAS]])</f>
        <v>0</v>
      </c>
      <c r="Q2214" s="32">
        <f>IF(Mecze[[#This Row],[OB]]=0,0,Mecze[[#This Row],[OB]]/Mecze[[#This Row],[CZAS]])</f>
        <v>0</v>
      </c>
      <c r="R2214" s="32">
        <f>IF(Mecze[[#This Row],[BR]]=0,0,Mecze[[#This Row],[BR]]/Mecze[[#This Row],[CZAS]])</f>
        <v>0</v>
      </c>
      <c r="S2214" s="44">
        <f>IF(Mecze[[#This Row],[Role]]="BR",SUMPRODUCT(Mecze[[#This Row],[/PR:90]:[/BR:90]],Brudnopis!$E$23:$J$23),0)</f>
        <v>0</v>
      </c>
      <c r="T2214" s="44">
        <f>IF(Mecze[[#This Row],[Role]]&lt;&gt;"BR",SUMPRODUCT(Mecze[[#This Row],[/PR:90]:[/BR:90]],Brudnopis!$E$24:$J$24),0)</f>
        <v>8.3333333333333343E-2</v>
      </c>
      <c r="U2214" s="44">
        <f>IF(Mecze[[#This Row],[Role]]&lt;&gt;"BR",SUMPRODUCT(Mecze[[#This Row],[/PR:90]:[/BR:90]],Brudnopis!$E$25:$J$25),0)</f>
        <v>9.8958333333333343E-2</v>
      </c>
      <c r="V2214" s="44">
        <f>IF(Mecze[[#This Row],[Role]]&lt;&gt;"BR",SUMPRODUCT(Mecze[[#This Row],[/PR:90]:[/BR:90]],Brudnopis!$E$26:$J$26),0)</f>
        <v>8.3333333333333343E-2</v>
      </c>
      <c r="W2214" s="44">
        <f>IF(Mecze[[#This Row],[Role]]&lt;&gt;"BR",SUMPRODUCT(Mecze[[#This Row],[/PR:90]:[/BR:90]],Brudnopis!$E$27:$J$27),0)</f>
        <v>8.59375E-2</v>
      </c>
      <c r="X2214" s="44">
        <f>IF(Mecze[[#This Row],[Role]]&lt;&gt;"BR",SUMPRODUCT(Mecze[[#This Row],[/PR:90]:[/BR:90]],Brudnopis!$E$28:$J$28),0)</f>
        <v>3.125E-2</v>
      </c>
      <c r="Y2214" s="35">
        <f>IF(Mecze[[#This Row],[Role]]="BR",Mecze[[#This Row],[/OB:90]]+Mecze[[#This Row],[/PC:90]],SUM(Mecze[[#This Row],[/PR:90]:[/BR:90]]))</f>
        <v>8.3333333333333343E-2</v>
      </c>
      <c r="Z2214" s="35">
        <f>IF(Mecze[[#This Row],[KC]]=0,SUM(Mecze[[#This Row],[/BRI]:[/NPI]]),SUM(Mecze[[#This Row],[/BRI]:[/NPI]])*0.6)</f>
        <v>0.3828125</v>
      </c>
      <c r="AA2214" s="10">
        <f>IFERROR(Mecze[[#This Row],[BR]]/Mecze[[#This Row],[ST]],0)</f>
        <v>0</v>
      </c>
      <c r="AB2214">
        <f>ROUND(Mecze[[#This Row],[PD]]*Mecze[[#This Row],[%PC]],0)</f>
        <v>3</v>
      </c>
      <c r="AC2214">
        <f>ROUND(Mecze[[#This Row],[OD]]*Mecze[[#This Row],[%OU]],0)</f>
        <v>0</v>
      </c>
      <c r="AD2214" s="36" t="s">
        <v>168</v>
      </c>
      <c r="AE2214" s="36">
        <v>124</v>
      </c>
      <c r="AF2214" s="71">
        <v>8.09</v>
      </c>
      <c r="AG2214" s="37">
        <v>0</v>
      </c>
      <c r="AH2214" s="37">
        <v>0</v>
      </c>
      <c r="AI2214" s="37">
        <v>96</v>
      </c>
      <c r="AJ2214" s="37">
        <v>4</v>
      </c>
      <c r="AK2214" s="37" t="str">
        <f>VLOOKUP(Mecze[[#This Row],[Match ID]],Meczusie[Mecz]:Meczusie[RodzajMeczu],2,FALSE)</f>
        <v>Liga</v>
      </c>
    </row>
    <row r="2215" spans="1:37" x14ac:dyDescent="0.25">
      <c r="A2215" s="76">
        <v>5</v>
      </c>
      <c r="B2215" s="3" t="s">
        <v>277</v>
      </c>
      <c r="C2215" s="2" t="s">
        <v>157</v>
      </c>
      <c r="D2215" s="1">
        <v>0</v>
      </c>
      <c r="E2215" s="1">
        <v>0</v>
      </c>
      <c r="F2215" s="1">
        <v>0</v>
      </c>
      <c r="G2215" s="1">
        <v>1</v>
      </c>
      <c r="H2215" s="4">
        <v>1</v>
      </c>
      <c r="I2215" s="1">
        <v>0</v>
      </c>
      <c r="J2215" s="4"/>
      <c r="K2215" s="1">
        <v>0</v>
      </c>
      <c r="L2215" s="1">
        <v>1</v>
      </c>
      <c r="M2215" s="32">
        <f>IF(Mecze[[#This Row],[PR]]=0,0,Mecze[[#This Row],[PR]]/Mecze[[#This Row],[CZAS]])</f>
        <v>1.282051282051282E-2</v>
      </c>
      <c r="N2215" s="32">
        <f>IF(Mecze[[#This Row],[OU]]=0,0,Mecze[[#This Row],[OU]]/Mecze[[#This Row],[CZAS]])</f>
        <v>0</v>
      </c>
      <c r="O2215" s="32">
        <f>IF(Mecze[[#This Row],[PC]]=0,0,Mecze[[#This Row],[PC]]/Mecze[[#This Row],[CZAS]])</f>
        <v>1.282051282051282E-2</v>
      </c>
      <c r="P2215" s="32">
        <f>IF(Mecze[[#This Row],[SC]]=0,0,Mecze[[#This Row],[SC]]/Mecze[[#This Row],[CZAS]])</f>
        <v>0</v>
      </c>
      <c r="Q2215" s="32">
        <f>IF(Mecze[[#This Row],[OB]]=0,0,Mecze[[#This Row],[OB]]/Mecze[[#This Row],[CZAS]])</f>
        <v>0</v>
      </c>
      <c r="R2215" s="32">
        <f>IF(Mecze[[#This Row],[BR]]=0,0,Mecze[[#This Row],[BR]]/Mecze[[#This Row],[CZAS]])</f>
        <v>0</v>
      </c>
      <c r="S2215" s="44">
        <f>IF(Mecze[[#This Row],[Role]]="BR",SUMPRODUCT(Mecze[[#This Row],[/PR:90]:[/BR:90]],Brudnopis!$E$23:$J$23),0)</f>
        <v>0</v>
      </c>
      <c r="T2215" s="44">
        <f>IF(Mecze[[#This Row],[Role]]&lt;&gt;"BR",SUMPRODUCT(Mecze[[#This Row],[/PR:90]:[/BR:90]],Brudnopis!$E$24:$J$24),0)</f>
        <v>2.564102564102564E-2</v>
      </c>
      <c r="U2215" s="44">
        <f>IF(Mecze[[#This Row],[Role]]&lt;&gt;"BR",SUMPRODUCT(Mecze[[#This Row],[/PR:90]:[/BR:90]],Brudnopis!$E$25:$J$25),0)</f>
        <v>3.2051282051282048E-2</v>
      </c>
      <c r="V2215" s="44">
        <f>IF(Mecze[[#This Row],[Role]]&lt;&gt;"BR",SUMPRODUCT(Mecze[[#This Row],[/PR:90]:[/BR:90]],Brudnopis!$E$26:$J$26),0)</f>
        <v>2.564102564102564E-2</v>
      </c>
      <c r="W2215" s="44">
        <f>IF(Mecze[[#This Row],[Role]]&lt;&gt;"BR",SUMPRODUCT(Mecze[[#This Row],[/PR:90]:[/BR:90]],Brudnopis!$E$27:$J$27),0)</f>
        <v>2.8846153846153848E-2</v>
      </c>
      <c r="X2215" s="44">
        <f>IF(Mecze[[#This Row],[Role]]&lt;&gt;"BR",SUMPRODUCT(Mecze[[#This Row],[/PR:90]:[/BR:90]],Brudnopis!$E$28:$J$28),0)</f>
        <v>1.282051282051282E-2</v>
      </c>
      <c r="Y2215" s="35">
        <f>IF(Mecze[[#This Row],[Role]]="BR",Mecze[[#This Row],[/OB:90]]+Mecze[[#This Row],[/PC:90]],SUM(Mecze[[#This Row],[/PR:90]:[/BR:90]]))</f>
        <v>2.564102564102564E-2</v>
      </c>
      <c r="Z2215" s="35">
        <f>IF(Mecze[[#This Row],[KC]]=0,SUM(Mecze[[#This Row],[/BRI]:[/NPI]]),SUM(Mecze[[#This Row],[/BRI]:[/NPI]])*0.6)</f>
        <v>0.12499999999999999</v>
      </c>
      <c r="AA2215" s="10">
        <f>IFERROR(Mecze[[#This Row],[BR]]/Mecze[[#This Row],[ST]],0)</f>
        <v>0</v>
      </c>
      <c r="AB2215">
        <f>ROUND(Mecze[[#This Row],[PD]]*Mecze[[#This Row],[%PC]],0)</f>
        <v>1</v>
      </c>
      <c r="AC2215">
        <f>ROUND(Mecze[[#This Row],[OD]]*Mecze[[#This Row],[%OU]],0)</f>
        <v>0</v>
      </c>
      <c r="AD2215" s="36" t="s">
        <v>167</v>
      </c>
      <c r="AE2215" s="36">
        <v>124</v>
      </c>
      <c r="AF2215" s="71">
        <v>7.25</v>
      </c>
      <c r="AG2215" s="37">
        <v>0</v>
      </c>
      <c r="AH2215" s="37">
        <v>0</v>
      </c>
      <c r="AI2215" s="37">
        <v>78</v>
      </c>
      <c r="AJ2215" s="37">
        <v>4</v>
      </c>
      <c r="AK2215" s="37" t="str">
        <f>VLOOKUP(Mecze[[#This Row],[Match ID]],Meczusie[Mecz]:Meczusie[RodzajMeczu],2,FALSE)</f>
        <v>Liga</v>
      </c>
    </row>
    <row r="2216" spans="1:37" x14ac:dyDescent="0.25">
      <c r="A2216" s="76">
        <v>12</v>
      </c>
      <c r="B2216" s="3" t="s">
        <v>278</v>
      </c>
      <c r="C2216" s="2" t="s">
        <v>160</v>
      </c>
      <c r="D2216" s="1">
        <v>0</v>
      </c>
      <c r="E2216" s="1">
        <v>0</v>
      </c>
      <c r="F2216" s="1">
        <v>0</v>
      </c>
      <c r="G2216" s="1">
        <v>16</v>
      </c>
      <c r="H2216" s="4">
        <v>1</v>
      </c>
      <c r="I2216" s="1">
        <v>5</v>
      </c>
      <c r="J2216" s="4">
        <v>0.6</v>
      </c>
      <c r="K2216" s="1">
        <v>0</v>
      </c>
      <c r="L2216" s="1">
        <v>9</v>
      </c>
      <c r="M2216" s="32">
        <f>IF(Mecze[[#This Row],[PR]]=0,0,Mecze[[#This Row],[PR]]/Mecze[[#This Row],[CZAS]])</f>
        <v>9.375E-2</v>
      </c>
      <c r="N2216" s="32">
        <f>IF(Mecze[[#This Row],[OU]]=0,0,Mecze[[#This Row],[OU]]/Mecze[[#This Row],[CZAS]])</f>
        <v>3.125E-2</v>
      </c>
      <c r="O2216" s="32">
        <f>IF(Mecze[[#This Row],[PC]]=0,0,Mecze[[#This Row],[PC]]/Mecze[[#This Row],[CZAS]])</f>
        <v>0.16666666666666666</v>
      </c>
      <c r="P2216" s="32">
        <f>IF(Mecze[[#This Row],[SC]]=0,0,Mecze[[#This Row],[SC]]/Mecze[[#This Row],[CZAS]])</f>
        <v>0</v>
      </c>
      <c r="Q2216" s="32">
        <f>IF(Mecze[[#This Row],[OB]]=0,0,Mecze[[#This Row],[OB]]/Mecze[[#This Row],[CZAS]])</f>
        <v>0</v>
      </c>
      <c r="R2216" s="32">
        <f>IF(Mecze[[#This Row],[BR]]=0,0,Mecze[[#This Row],[BR]]/Mecze[[#This Row],[CZAS]])</f>
        <v>0</v>
      </c>
      <c r="S2216" s="44">
        <f>IF(Mecze[[#This Row],[Role]]="BR",SUMPRODUCT(Mecze[[#This Row],[/PR:90]:[/BR:90]],Brudnopis!$E$23:$J$23),0)</f>
        <v>0</v>
      </c>
      <c r="T2216" s="44">
        <f>IF(Mecze[[#This Row],[Role]]&lt;&gt;"BR",SUMPRODUCT(Mecze[[#This Row],[/PR:90]:[/BR:90]],Brudnopis!$E$24:$J$24),0)</f>
        <v>0.30729166666666663</v>
      </c>
      <c r="U2216" s="44">
        <f>IF(Mecze[[#This Row],[Role]]&lt;&gt;"BR",SUMPRODUCT(Mecze[[#This Row],[/PR:90]:[/BR:90]],Brudnopis!$E$25:$J$25),0)</f>
        <v>0.375</v>
      </c>
      <c r="V2216" s="44">
        <f>IF(Mecze[[#This Row],[Role]]&lt;&gt;"BR",SUMPRODUCT(Mecze[[#This Row],[/PR:90]:[/BR:90]],Brudnopis!$E$26:$J$26),0)</f>
        <v>0.29166666666666663</v>
      </c>
      <c r="W2216" s="44">
        <f>IF(Mecze[[#This Row],[Role]]&lt;&gt;"BR",SUMPRODUCT(Mecze[[#This Row],[/PR:90]:[/BR:90]],Brudnopis!$E$27:$J$27),0)</f>
        <v>0.34375</v>
      </c>
      <c r="X2216" s="44">
        <f>IF(Mecze[[#This Row],[Role]]&lt;&gt;"BR",SUMPRODUCT(Mecze[[#This Row],[/PR:90]:[/BR:90]],Brudnopis!$E$28:$J$28),0)</f>
        <v>0.16666666666666666</v>
      </c>
      <c r="Y2216" s="35">
        <f>IF(Mecze[[#This Row],[Role]]="BR",Mecze[[#This Row],[/OB:90]]+Mecze[[#This Row],[/PC:90]],SUM(Mecze[[#This Row],[/PR:90]:[/BR:90]]))</f>
        <v>0.29166666666666663</v>
      </c>
      <c r="Z2216" s="35">
        <f>IF(Mecze[[#This Row],[KC]]=0,SUM(Mecze[[#This Row],[/BRI]:[/NPI]]),SUM(Mecze[[#This Row],[/BRI]:[/NPI]])*0.6)</f>
        <v>1.484375</v>
      </c>
      <c r="AA2216" s="10">
        <f>IFERROR(Mecze[[#This Row],[BR]]/Mecze[[#This Row],[ST]],0)</f>
        <v>0</v>
      </c>
      <c r="AB2216">
        <f>ROUND(Mecze[[#This Row],[PD]]*Mecze[[#This Row],[%PC]],0)</f>
        <v>16</v>
      </c>
      <c r="AC2216">
        <f>ROUND(Mecze[[#This Row],[OD]]*Mecze[[#This Row],[%OU]],0)</f>
        <v>3</v>
      </c>
      <c r="AD2216" s="36" t="s">
        <v>41</v>
      </c>
      <c r="AE2216" s="36">
        <v>124</v>
      </c>
      <c r="AF2216" s="71">
        <v>12.26</v>
      </c>
      <c r="AG2216" s="37">
        <v>0</v>
      </c>
      <c r="AH2216" s="37">
        <v>0</v>
      </c>
      <c r="AI2216" s="37">
        <v>96</v>
      </c>
      <c r="AJ2216" s="37">
        <v>4</v>
      </c>
      <c r="AK2216" s="37" t="str">
        <f>VLOOKUP(Mecze[[#This Row],[Match ID]],Meczusie[Mecz]:Meczusie[RodzajMeczu],2,FALSE)</f>
        <v>Liga</v>
      </c>
    </row>
    <row r="2217" spans="1:37" x14ac:dyDescent="0.25">
      <c r="A2217" s="76">
        <v>7</v>
      </c>
      <c r="B2217" s="3" t="s">
        <v>279</v>
      </c>
      <c r="C2217" s="2" t="s">
        <v>160</v>
      </c>
      <c r="D2217" s="1">
        <v>0</v>
      </c>
      <c r="E2217" s="1">
        <v>0</v>
      </c>
      <c r="F2217" s="1">
        <v>0</v>
      </c>
      <c r="G2217" s="1">
        <v>12</v>
      </c>
      <c r="H2217" s="4">
        <v>0.92</v>
      </c>
      <c r="I2217" s="1">
        <v>0</v>
      </c>
      <c r="J2217" s="4"/>
      <c r="K2217" s="1">
        <v>0</v>
      </c>
      <c r="L2217" s="1">
        <v>11</v>
      </c>
      <c r="M2217" s="32">
        <f>IF(Mecze[[#This Row],[PR]]=0,0,Mecze[[#This Row],[PR]]/Mecze[[#This Row],[CZAS]])</f>
        <v>0.11458333333333333</v>
      </c>
      <c r="N2217" s="32">
        <f>IF(Mecze[[#This Row],[OU]]=0,0,Mecze[[#This Row],[OU]]/Mecze[[#This Row],[CZAS]])</f>
        <v>0</v>
      </c>
      <c r="O2217" s="32">
        <f>IF(Mecze[[#This Row],[PC]]=0,0,Mecze[[#This Row],[PC]]/Mecze[[#This Row],[CZAS]])</f>
        <v>0.11458333333333333</v>
      </c>
      <c r="P2217" s="32">
        <f>IF(Mecze[[#This Row],[SC]]=0,0,Mecze[[#This Row],[SC]]/Mecze[[#This Row],[CZAS]])</f>
        <v>0</v>
      </c>
      <c r="Q2217" s="32">
        <f>IF(Mecze[[#This Row],[OB]]=0,0,Mecze[[#This Row],[OB]]/Mecze[[#This Row],[CZAS]])</f>
        <v>0</v>
      </c>
      <c r="R2217" s="32">
        <f>IF(Mecze[[#This Row],[BR]]=0,0,Mecze[[#This Row],[BR]]/Mecze[[#This Row],[CZAS]])</f>
        <v>0</v>
      </c>
      <c r="S2217" s="44">
        <f>IF(Mecze[[#This Row],[Role]]="BR",SUMPRODUCT(Mecze[[#This Row],[/PR:90]:[/BR:90]],Brudnopis!$E$23:$J$23),0)</f>
        <v>0</v>
      </c>
      <c r="T2217" s="44">
        <f>IF(Mecze[[#This Row],[Role]]&lt;&gt;"BR",SUMPRODUCT(Mecze[[#This Row],[/PR:90]:[/BR:90]],Brudnopis!$E$24:$J$24),0)</f>
        <v>0.22916666666666666</v>
      </c>
      <c r="U2217" s="44">
        <f>IF(Mecze[[#This Row],[Role]]&lt;&gt;"BR",SUMPRODUCT(Mecze[[#This Row],[/PR:90]:[/BR:90]],Brudnopis!$E$25:$J$25),0)</f>
        <v>0.28645833333333331</v>
      </c>
      <c r="V2217" s="44">
        <f>IF(Mecze[[#This Row],[Role]]&lt;&gt;"BR",SUMPRODUCT(Mecze[[#This Row],[/PR:90]:[/BR:90]],Brudnopis!$E$26:$J$26),0)</f>
        <v>0.22916666666666666</v>
      </c>
      <c r="W2217" s="44">
        <f>IF(Mecze[[#This Row],[Role]]&lt;&gt;"BR",SUMPRODUCT(Mecze[[#This Row],[/PR:90]:[/BR:90]],Brudnopis!$E$27:$J$27),0)</f>
        <v>0.2578125</v>
      </c>
      <c r="X2217" s="44">
        <f>IF(Mecze[[#This Row],[Role]]&lt;&gt;"BR",SUMPRODUCT(Mecze[[#This Row],[/PR:90]:[/BR:90]],Brudnopis!$E$28:$J$28),0)</f>
        <v>0.11458333333333333</v>
      </c>
      <c r="Y2217" s="35">
        <f>IF(Mecze[[#This Row],[Role]]="BR",Mecze[[#This Row],[/OB:90]]+Mecze[[#This Row],[/PC:90]],SUM(Mecze[[#This Row],[/PR:90]:[/BR:90]]))</f>
        <v>0.22916666666666666</v>
      </c>
      <c r="Z2217" s="35">
        <f>IF(Mecze[[#This Row],[KC]]=0,SUM(Mecze[[#This Row],[/BRI]:[/NPI]]),SUM(Mecze[[#This Row],[/BRI]:[/NPI]])*0.6)</f>
        <v>1.1171874999999998</v>
      </c>
      <c r="AA2217" s="10">
        <f>IFERROR(Mecze[[#This Row],[BR]]/Mecze[[#This Row],[ST]],0)</f>
        <v>0</v>
      </c>
      <c r="AB2217">
        <f>ROUND(Mecze[[#This Row],[PD]]*Mecze[[#This Row],[%PC]],0)</f>
        <v>11</v>
      </c>
      <c r="AC2217">
        <f>ROUND(Mecze[[#This Row],[OD]]*Mecze[[#This Row],[%OU]],0)</f>
        <v>0</v>
      </c>
      <c r="AD2217" s="36" t="s">
        <v>41</v>
      </c>
      <c r="AE2217" s="36">
        <v>124</v>
      </c>
      <c r="AF2217" s="71">
        <v>11.47</v>
      </c>
      <c r="AG2217" s="37">
        <v>0</v>
      </c>
      <c r="AH2217" s="37">
        <v>0</v>
      </c>
      <c r="AI2217" s="37">
        <v>96</v>
      </c>
      <c r="AJ2217" s="37">
        <v>4</v>
      </c>
      <c r="AK2217" s="37" t="str">
        <f>VLOOKUP(Mecze[[#This Row],[Match ID]],Meczusie[Mecz]:Meczusie[RodzajMeczu],2,FALSE)</f>
        <v>Liga</v>
      </c>
    </row>
    <row r="2218" spans="1:37" x14ac:dyDescent="0.25">
      <c r="A2218" s="76">
        <v>6</v>
      </c>
      <c r="B2218" s="3" t="s">
        <v>280</v>
      </c>
      <c r="C2218" s="2" t="s">
        <v>160</v>
      </c>
      <c r="D2218" s="1">
        <v>0</v>
      </c>
      <c r="E2218" s="1">
        <v>0</v>
      </c>
      <c r="F2218" s="1">
        <v>0</v>
      </c>
      <c r="G2218" s="1">
        <v>8</v>
      </c>
      <c r="H2218" s="4">
        <v>1</v>
      </c>
      <c r="I2218" s="1">
        <v>5</v>
      </c>
      <c r="J2218" s="4">
        <v>0.8</v>
      </c>
      <c r="K2218" s="1">
        <v>0</v>
      </c>
      <c r="L2218" s="1">
        <v>7</v>
      </c>
      <c r="M2218" s="32">
        <f>IF(Mecze[[#This Row],[PR]]=0,0,Mecze[[#This Row],[PR]]/Mecze[[#This Row],[CZAS]])</f>
        <v>7.2916666666666671E-2</v>
      </c>
      <c r="N2218" s="32">
        <f>IF(Mecze[[#This Row],[OU]]=0,0,Mecze[[#This Row],[OU]]/Mecze[[#This Row],[CZAS]])</f>
        <v>4.1666666666666664E-2</v>
      </c>
      <c r="O2218" s="32">
        <f>IF(Mecze[[#This Row],[PC]]=0,0,Mecze[[#This Row],[PC]]/Mecze[[#This Row],[CZAS]])</f>
        <v>8.3333333333333329E-2</v>
      </c>
      <c r="P2218" s="32">
        <f>IF(Mecze[[#This Row],[SC]]=0,0,Mecze[[#This Row],[SC]]/Mecze[[#This Row],[CZAS]])</f>
        <v>0</v>
      </c>
      <c r="Q2218" s="32">
        <f>IF(Mecze[[#This Row],[OB]]=0,0,Mecze[[#This Row],[OB]]/Mecze[[#This Row],[CZAS]])</f>
        <v>0</v>
      </c>
      <c r="R2218" s="32">
        <f>IF(Mecze[[#This Row],[BR]]=0,0,Mecze[[#This Row],[BR]]/Mecze[[#This Row],[CZAS]])</f>
        <v>0</v>
      </c>
      <c r="S2218" s="44">
        <f>IF(Mecze[[#This Row],[Role]]="BR",SUMPRODUCT(Mecze[[#This Row],[/PR:90]:[/BR:90]],Brudnopis!$E$23:$J$23),0)</f>
        <v>0</v>
      </c>
      <c r="T2218" s="44">
        <f>IF(Mecze[[#This Row],[Role]]&lt;&gt;"BR",SUMPRODUCT(Mecze[[#This Row],[/PR:90]:[/BR:90]],Brudnopis!$E$24:$J$24),0)</f>
        <v>0.21875</v>
      </c>
      <c r="U2218" s="44">
        <f>IF(Mecze[[#This Row],[Role]]&lt;&gt;"BR",SUMPRODUCT(Mecze[[#This Row],[/PR:90]:[/BR:90]],Brudnopis!$E$25:$J$25),0)</f>
        <v>0.23958333333333334</v>
      </c>
      <c r="V2218" s="44">
        <f>IF(Mecze[[#This Row],[Role]]&lt;&gt;"BR",SUMPRODUCT(Mecze[[#This Row],[/PR:90]:[/BR:90]],Brudnopis!$E$26:$J$26),0)</f>
        <v>0.19791666666666669</v>
      </c>
      <c r="W2218" s="44">
        <f>IF(Mecze[[#This Row],[Role]]&lt;&gt;"BR",SUMPRODUCT(Mecze[[#This Row],[/PR:90]:[/BR:90]],Brudnopis!$E$27:$J$27),0)</f>
        <v>0.2109375</v>
      </c>
      <c r="X2218" s="44">
        <f>IF(Mecze[[#This Row],[Role]]&lt;&gt;"BR",SUMPRODUCT(Mecze[[#This Row],[/PR:90]:[/BR:90]],Brudnopis!$E$28:$J$28),0)</f>
        <v>8.3333333333333329E-2</v>
      </c>
      <c r="Y2218" s="35">
        <f>IF(Mecze[[#This Row],[Role]]="BR",Mecze[[#This Row],[/OB:90]]+Mecze[[#This Row],[/PC:90]],SUM(Mecze[[#This Row],[/PR:90]:[/BR:90]]))</f>
        <v>0.19791666666666669</v>
      </c>
      <c r="Z2218" s="35">
        <f>IF(Mecze[[#This Row],[KC]]=0,SUM(Mecze[[#This Row],[/BRI]:[/NPI]]),SUM(Mecze[[#This Row],[/BRI]:[/NPI]])*0.6)</f>
        <v>0.95052083333333337</v>
      </c>
      <c r="AA2218" s="10">
        <f>IFERROR(Mecze[[#This Row],[BR]]/Mecze[[#This Row],[ST]],0)</f>
        <v>0</v>
      </c>
      <c r="AB2218">
        <f>ROUND(Mecze[[#This Row],[PD]]*Mecze[[#This Row],[%PC]],0)</f>
        <v>8</v>
      </c>
      <c r="AC2218">
        <f>ROUND(Mecze[[#This Row],[OD]]*Mecze[[#This Row],[%OU]],0)</f>
        <v>4</v>
      </c>
      <c r="AD2218" s="36" t="s">
        <v>67</v>
      </c>
      <c r="AE2218" s="36">
        <v>124</v>
      </c>
      <c r="AF2218" s="71">
        <v>11.84</v>
      </c>
      <c r="AG2218" s="37">
        <v>0</v>
      </c>
      <c r="AH2218" s="37">
        <v>0</v>
      </c>
      <c r="AI2218" s="37">
        <v>96</v>
      </c>
      <c r="AJ2218" s="37">
        <v>4</v>
      </c>
      <c r="AK2218" s="37" t="str">
        <f>VLOOKUP(Mecze[[#This Row],[Match ID]],Meczusie[Mecz]:Meczusie[RodzajMeczu],2,FALSE)</f>
        <v>Liga</v>
      </c>
    </row>
    <row r="2219" spans="1:37" x14ac:dyDescent="0.25">
      <c r="A2219" s="76">
        <v>15</v>
      </c>
      <c r="B2219" s="3" t="s">
        <v>286</v>
      </c>
      <c r="C2219" s="2" t="s">
        <v>160</v>
      </c>
      <c r="D2219" s="1">
        <v>0</v>
      </c>
      <c r="E2219" s="1">
        <v>1</v>
      </c>
      <c r="F2219" s="1">
        <v>1</v>
      </c>
      <c r="G2219" s="1">
        <v>17</v>
      </c>
      <c r="H2219" s="4">
        <v>0.76</v>
      </c>
      <c r="I2219" s="1">
        <v>2</v>
      </c>
      <c r="J2219" s="4">
        <v>0.5</v>
      </c>
      <c r="K2219" s="1">
        <v>0</v>
      </c>
      <c r="L2219" s="1">
        <v>1</v>
      </c>
      <c r="M2219" s="32">
        <f>IF(Mecze[[#This Row],[PR]]=0,0,Mecze[[#This Row],[PR]]/Mecze[[#This Row],[CZAS]])</f>
        <v>1.0416666666666666E-2</v>
      </c>
      <c r="N2219" s="32">
        <f>IF(Mecze[[#This Row],[OU]]=0,0,Mecze[[#This Row],[OU]]/Mecze[[#This Row],[CZAS]])</f>
        <v>1.0416666666666666E-2</v>
      </c>
      <c r="O2219" s="32">
        <f>IF(Mecze[[#This Row],[PC]]=0,0,Mecze[[#This Row],[PC]]/Mecze[[#This Row],[CZAS]])</f>
        <v>0.13541666666666666</v>
      </c>
      <c r="P2219" s="32">
        <f>IF(Mecze[[#This Row],[SC]]=0,0,Mecze[[#This Row],[SC]]/Mecze[[#This Row],[CZAS]])</f>
        <v>1.0416666666666666E-2</v>
      </c>
      <c r="Q2219" s="32">
        <f>IF(Mecze[[#This Row],[OB]]=0,0,Mecze[[#This Row],[OB]]/Mecze[[#This Row],[CZAS]])</f>
        <v>0</v>
      </c>
      <c r="R2219" s="32">
        <f>IF(Mecze[[#This Row],[BR]]=0,0,Mecze[[#This Row],[BR]]/Mecze[[#This Row],[CZAS]])</f>
        <v>0</v>
      </c>
      <c r="S2219" s="44">
        <f>IF(Mecze[[#This Row],[Role]]="BR",SUMPRODUCT(Mecze[[#This Row],[/PR:90]:[/BR:90]],Brudnopis!$E$23:$J$23),0)</f>
        <v>0</v>
      </c>
      <c r="T2219" s="44">
        <f>IF(Mecze[[#This Row],[Role]]&lt;&gt;"BR",SUMPRODUCT(Mecze[[#This Row],[/PR:90]:[/BR:90]],Brudnopis!$E$24:$J$24),0)</f>
        <v>0.17187499999999997</v>
      </c>
      <c r="U2219" s="44">
        <f>IF(Mecze[[#This Row],[Role]]&lt;&gt;"BR",SUMPRODUCT(Mecze[[#This Row],[/PR:90]:[/BR:90]],Brudnopis!$E$25:$J$25),0)</f>
        <v>0.234375</v>
      </c>
      <c r="V2219" s="44">
        <f>IF(Mecze[[#This Row],[Role]]&lt;&gt;"BR",SUMPRODUCT(Mecze[[#This Row],[/PR:90]:[/BR:90]],Brudnopis!$E$26:$J$26),0)</f>
        <v>0.16666666666666666</v>
      </c>
      <c r="W2219" s="44">
        <f>IF(Mecze[[#This Row],[Role]]&lt;&gt;"BR",SUMPRODUCT(Mecze[[#This Row],[/PR:90]:[/BR:90]],Brudnopis!$E$27:$J$27),0)</f>
        <v>0.22916666666666666</v>
      </c>
      <c r="X2219" s="44">
        <f>IF(Mecze[[#This Row],[Role]]&lt;&gt;"BR",SUMPRODUCT(Mecze[[#This Row],[/PR:90]:[/BR:90]],Brudnopis!$E$28:$J$28),0)</f>
        <v>0.15625</v>
      </c>
      <c r="Y2219" s="35">
        <f>IF(Mecze[[#This Row],[Role]]="BR",Mecze[[#This Row],[/OB:90]]+Mecze[[#This Row],[/PC:90]],SUM(Mecze[[#This Row],[/PR:90]:[/BR:90]]))</f>
        <v>0.16666666666666666</v>
      </c>
      <c r="Z2219" s="35">
        <f>IF(Mecze[[#This Row],[KC]]=0,SUM(Mecze[[#This Row],[/BRI]:[/NPI]]),SUM(Mecze[[#This Row],[/BRI]:[/NPI]])*0.6)</f>
        <v>0.95833333333333326</v>
      </c>
      <c r="AA2219" s="10">
        <f>IFERROR(Mecze[[#This Row],[BR]]/Mecze[[#This Row],[ST]],0)</f>
        <v>0</v>
      </c>
      <c r="AB2219">
        <f>ROUND(Mecze[[#This Row],[PD]]*Mecze[[#This Row],[%PC]],0)</f>
        <v>13</v>
      </c>
      <c r="AC2219">
        <f>ROUND(Mecze[[#This Row],[OD]]*Mecze[[#This Row],[%OU]],0)</f>
        <v>1</v>
      </c>
      <c r="AD2219" s="36" t="s">
        <v>171</v>
      </c>
      <c r="AE2219" s="36">
        <v>124</v>
      </c>
      <c r="AF2219" s="71">
        <v>8.69</v>
      </c>
      <c r="AG2219" s="37">
        <v>0</v>
      </c>
      <c r="AH2219" s="37">
        <v>0</v>
      </c>
      <c r="AI2219" s="37">
        <v>96</v>
      </c>
      <c r="AJ2219" s="37">
        <v>4</v>
      </c>
      <c r="AK2219" s="37" t="str">
        <f>VLOOKUP(Mecze[[#This Row],[Match ID]],Meczusie[Mecz]:Meczusie[RodzajMeczu],2,FALSE)</f>
        <v>Liga</v>
      </c>
    </row>
    <row r="2220" spans="1:37" x14ac:dyDescent="0.25">
      <c r="A2220" s="76">
        <v>11</v>
      </c>
      <c r="B2220" s="3" t="s">
        <v>282</v>
      </c>
      <c r="C2220" s="2" t="s">
        <v>165</v>
      </c>
      <c r="D2220" s="1">
        <v>2</v>
      </c>
      <c r="E2220" s="1">
        <v>8</v>
      </c>
      <c r="F2220" s="1">
        <v>6</v>
      </c>
      <c r="G2220" s="1">
        <v>6</v>
      </c>
      <c r="H2220" s="4">
        <v>0.83</v>
      </c>
      <c r="I2220" s="1">
        <v>1</v>
      </c>
      <c r="J2220" s="4">
        <v>1</v>
      </c>
      <c r="K2220" s="1">
        <v>0</v>
      </c>
      <c r="L2220" s="1">
        <v>4</v>
      </c>
      <c r="M2220" s="32">
        <f>IF(Mecze[[#This Row],[PR]]=0,0,Mecze[[#This Row],[PR]]/Mecze[[#This Row],[CZAS]])</f>
        <v>5.128205128205128E-2</v>
      </c>
      <c r="N2220" s="32">
        <f>IF(Mecze[[#This Row],[OU]]=0,0,Mecze[[#This Row],[OU]]/Mecze[[#This Row],[CZAS]])</f>
        <v>1.282051282051282E-2</v>
      </c>
      <c r="O2220" s="32">
        <f>IF(Mecze[[#This Row],[PC]]=0,0,Mecze[[#This Row],[PC]]/Mecze[[#This Row],[CZAS]])</f>
        <v>6.4102564102564097E-2</v>
      </c>
      <c r="P2220" s="32">
        <f>IF(Mecze[[#This Row],[SC]]=0,0,Mecze[[#This Row],[SC]]/Mecze[[#This Row],[CZAS]])</f>
        <v>7.6923076923076927E-2</v>
      </c>
      <c r="Q2220" s="32">
        <f>IF(Mecze[[#This Row],[OB]]=0,0,Mecze[[#This Row],[OB]]/Mecze[[#This Row],[CZAS]])</f>
        <v>0</v>
      </c>
      <c r="R2220" s="32">
        <f>IF(Mecze[[#This Row],[BR]]=0,0,Mecze[[#This Row],[BR]]/Mecze[[#This Row],[CZAS]])</f>
        <v>2.564102564102564E-2</v>
      </c>
      <c r="S2220" s="44">
        <f>IF(Mecze[[#This Row],[Role]]="BR",SUMPRODUCT(Mecze[[#This Row],[/PR:90]:[/BR:90]],Brudnopis!$E$23:$J$23),0)</f>
        <v>0</v>
      </c>
      <c r="T2220" s="44">
        <f>IF(Mecze[[#This Row],[Role]]&lt;&gt;"BR",SUMPRODUCT(Mecze[[#This Row],[/PR:90]:[/BR:90]],Brudnopis!$E$24:$J$24),0)</f>
        <v>0.25</v>
      </c>
      <c r="U2220" s="44">
        <f>IF(Mecze[[#This Row],[Role]]&lt;&gt;"BR",SUMPRODUCT(Mecze[[#This Row],[/PR:90]:[/BR:90]],Brudnopis!$E$25:$J$25),0)</f>
        <v>0.27564102564102566</v>
      </c>
      <c r="V2220" s="44">
        <f>IF(Mecze[[#This Row],[Role]]&lt;&gt;"BR",SUMPRODUCT(Mecze[[#This Row],[/PR:90]:[/BR:90]],Brudnopis!$E$26:$J$26),0)</f>
        <v>0.25641025641025639</v>
      </c>
      <c r="W2220" s="44">
        <f>IF(Mecze[[#This Row],[Role]]&lt;&gt;"BR",SUMPRODUCT(Mecze[[#This Row],[/PR:90]:[/BR:90]],Brudnopis!$E$27:$J$27),0)</f>
        <v>0.27243589743589741</v>
      </c>
      <c r="X2220" s="44">
        <f>IF(Mecze[[#This Row],[Role]]&lt;&gt;"BR",SUMPRODUCT(Mecze[[#This Row],[/PR:90]:[/BR:90]],Brudnopis!$E$28:$J$28),0)</f>
        <v>0.29487179487179488</v>
      </c>
      <c r="Y2220" s="35">
        <f>IF(Mecze[[#This Row],[Role]]="BR",Mecze[[#This Row],[/OB:90]]+Mecze[[#This Row],[/PC:90]],SUM(Mecze[[#This Row],[/PR:90]:[/BR:90]]))</f>
        <v>0.23076923076923075</v>
      </c>
      <c r="Z2220" s="35">
        <f>IF(Mecze[[#This Row],[KC]]=0,SUM(Mecze[[#This Row],[/BRI]:[/NPI]]),SUM(Mecze[[#This Row],[/BRI]:[/NPI]])*0.6)</f>
        <v>1.3493589743589745</v>
      </c>
      <c r="AA2220" s="10">
        <f>IFERROR(Mecze[[#This Row],[BR]]/Mecze[[#This Row],[ST]],0)</f>
        <v>0.25</v>
      </c>
      <c r="AB2220">
        <f>ROUND(Mecze[[#This Row],[PD]]*Mecze[[#This Row],[%PC]],0)</f>
        <v>5</v>
      </c>
      <c r="AC2220">
        <f>ROUND(Mecze[[#This Row],[OD]]*Mecze[[#This Row],[%OU]],0)</f>
        <v>1</v>
      </c>
      <c r="AD2220" s="36" t="s">
        <v>46</v>
      </c>
      <c r="AE2220" s="36">
        <v>124</v>
      </c>
      <c r="AF2220" s="71">
        <v>12.1</v>
      </c>
      <c r="AG2220" s="37">
        <v>0</v>
      </c>
      <c r="AH2220" s="37">
        <v>0</v>
      </c>
      <c r="AI2220" s="37">
        <v>78</v>
      </c>
      <c r="AJ2220" s="37">
        <v>4</v>
      </c>
      <c r="AK2220" s="37" t="str">
        <f>VLOOKUP(Mecze[[#This Row],[Match ID]],Meczusie[Mecz]:Meczusie[RodzajMeczu],2,FALSE)</f>
        <v>Liga</v>
      </c>
    </row>
    <row r="2221" spans="1:37" x14ac:dyDescent="0.25">
      <c r="A2221" s="76">
        <v>8</v>
      </c>
      <c r="B2221" s="3" t="s">
        <v>283</v>
      </c>
      <c r="C2221" s="2" t="s">
        <v>165</v>
      </c>
      <c r="D2221" s="1">
        <v>2</v>
      </c>
      <c r="E2221" s="1">
        <v>9</v>
      </c>
      <c r="F2221" s="1">
        <v>6</v>
      </c>
      <c r="G2221" s="1">
        <v>7</v>
      </c>
      <c r="H2221" s="4">
        <v>0.28999999999999998</v>
      </c>
      <c r="I2221" s="1">
        <v>0</v>
      </c>
      <c r="J2221" s="4"/>
      <c r="K2221" s="1">
        <v>0</v>
      </c>
      <c r="L2221" s="1">
        <v>1</v>
      </c>
      <c r="M2221" s="32">
        <f>IF(Mecze[[#This Row],[PR]]=0,0,Mecze[[#This Row],[PR]]/Mecze[[#This Row],[CZAS]])</f>
        <v>1.0416666666666666E-2</v>
      </c>
      <c r="N2221" s="32">
        <f>IF(Mecze[[#This Row],[OU]]=0,0,Mecze[[#This Row],[OU]]/Mecze[[#This Row],[CZAS]])</f>
        <v>0</v>
      </c>
      <c r="O2221" s="32">
        <f>IF(Mecze[[#This Row],[PC]]=0,0,Mecze[[#This Row],[PC]]/Mecze[[#This Row],[CZAS]])</f>
        <v>2.0833333333333332E-2</v>
      </c>
      <c r="P2221" s="32">
        <f>IF(Mecze[[#This Row],[SC]]=0,0,Mecze[[#This Row],[SC]]/Mecze[[#This Row],[CZAS]])</f>
        <v>6.25E-2</v>
      </c>
      <c r="Q2221" s="32">
        <f>IF(Mecze[[#This Row],[OB]]=0,0,Mecze[[#This Row],[OB]]/Mecze[[#This Row],[CZAS]])</f>
        <v>0</v>
      </c>
      <c r="R2221" s="32">
        <f>IF(Mecze[[#This Row],[BR]]=0,0,Mecze[[#This Row],[BR]]/Mecze[[#This Row],[CZAS]])</f>
        <v>2.0833333333333332E-2</v>
      </c>
      <c r="S2221" s="44">
        <f>IF(Mecze[[#This Row],[Role]]="BR",SUMPRODUCT(Mecze[[#This Row],[/PR:90]:[/BR:90]],Brudnopis!$E$23:$J$23),0)</f>
        <v>0</v>
      </c>
      <c r="T2221" s="44">
        <f>IF(Mecze[[#This Row],[Role]]&lt;&gt;"BR",SUMPRODUCT(Mecze[[#This Row],[/PR:90]:[/BR:90]],Brudnopis!$E$24:$J$24),0)</f>
        <v>0.125</v>
      </c>
      <c r="U2221" s="44">
        <f>IF(Mecze[[#This Row],[Role]]&lt;&gt;"BR",SUMPRODUCT(Mecze[[#This Row],[/PR:90]:[/BR:90]],Brudnopis!$E$25:$J$25),0)</f>
        <v>0.13541666666666666</v>
      </c>
      <c r="V2221" s="44">
        <f>IF(Mecze[[#This Row],[Role]]&lt;&gt;"BR",SUMPRODUCT(Mecze[[#This Row],[/PR:90]:[/BR:90]],Brudnopis!$E$26:$J$26),0)</f>
        <v>0.13541666666666666</v>
      </c>
      <c r="W2221" s="44">
        <f>IF(Mecze[[#This Row],[Role]]&lt;&gt;"BR",SUMPRODUCT(Mecze[[#This Row],[/PR:90]:[/BR:90]],Brudnopis!$E$27:$J$27),0)</f>
        <v>0.14322916666666666</v>
      </c>
      <c r="X2221" s="44">
        <f>IF(Mecze[[#This Row],[Role]]&lt;&gt;"BR",SUMPRODUCT(Mecze[[#This Row],[/PR:90]:[/BR:90]],Brudnopis!$E$28:$J$28),0)</f>
        <v>0.20833333333333334</v>
      </c>
      <c r="Y2221" s="35">
        <f>IF(Mecze[[#This Row],[Role]]="BR",Mecze[[#This Row],[/OB:90]]+Mecze[[#This Row],[/PC:90]],SUM(Mecze[[#This Row],[/PR:90]:[/BR:90]]))</f>
        <v>0.11458333333333333</v>
      </c>
      <c r="Z2221" s="35">
        <f>IF(Mecze[[#This Row],[KC]]=0,SUM(Mecze[[#This Row],[/BRI]:[/NPI]]),SUM(Mecze[[#This Row],[/BRI]:[/NPI]])*0.6)</f>
        <v>0.74739583333333326</v>
      </c>
      <c r="AA2221" s="10">
        <f>IFERROR(Mecze[[#This Row],[BR]]/Mecze[[#This Row],[ST]],0)</f>
        <v>0.22222222222222221</v>
      </c>
      <c r="AB2221">
        <f>ROUND(Mecze[[#This Row],[PD]]*Mecze[[#This Row],[%PC]],0)</f>
        <v>2</v>
      </c>
      <c r="AC2221">
        <f>ROUND(Mecze[[#This Row],[OD]]*Mecze[[#This Row],[%OU]],0)</f>
        <v>0</v>
      </c>
      <c r="AD2221" s="36" t="s">
        <v>273</v>
      </c>
      <c r="AE2221" s="36">
        <v>124</v>
      </c>
      <c r="AF2221" s="71">
        <v>9.85</v>
      </c>
      <c r="AG2221" s="37">
        <v>0</v>
      </c>
      <c r="AH2221" s="37">
        <v>0</v>
      </c>
      <c r="AI2221" s="37">
        <v>96</v>
      </c>
      <c r="AJ2221" s="37">
        <v>4</v>
      </c>
      <c r="AK2221" s="37" t="str">
        <f>VLOOKUP(Mecze[[#This Row],[Match ID]],Meczusie[Mecz]:Meczusie[RodzajMeczu],2,FALSE)</f>
        <v>Liga</v>
      </c>
    </row>
    <row r="2222" spans="1:37" x14ac:dyDescent="0.25">
      <c r="A2222" s="76">
        <v>10</v>
      </c>
      <c r="B2222" s="3" t="s">
        <v>284</v>
      </c>
      <c r="C2222" s="2" t="s">
        <v>165</v>
      </c>
      <c r="D2222" s="1">
        <v>5</v>
      </c>
      <c r="E2222" s="1">
        <v>22</v>
      </c>
      <c r="F2222" s="1">
        <v>20</v>
      </c>
      <c r="G2222" s="1">
        <v>6</v>
      </c>
      <c r="H2222" s="4">
        <v>1</v>
      </c>
      <c r="I2222" s="1">
        <v>2</v>
      </c>
      <c r="J2222" s="4">
        <v>0.5</v>
      </c>
      <c r="K2222" s="1">
        <v>0</v>
      </c>
      <c r="L2222" s="1">
        <v>0</v>
      </c>
      <c r="M2222" s="32">
        <f>IF(Mecze[[#This Row],[PR]]=0,0,Mecze[[#This Row],[PR]]/Mecze[[#This Row],[CZAS]])</f>
        <v>0</v>
      </c>
      <c r="N2222" s="32">
        <f>IF(Mecze[[#This Row],[OU]]=0,0,Mecze[[#This Row],[OU]]/Mecze[[#This Row],[CZAS]])</f>
        <v>1.0416666666666666E-2</v>
      </c>
      <c r="O2222" s="32">
        <f>IF(Mecze[[#This Row],[PC]]=0,0,Mecze[[#This Row],[PC]]/Mecze[[#This Row],[CZAS]])</f>
        <v>6.25E-2</v>
      </c>
      <c r="P2222" s="32">
        <f>IF(Mecze[[#This Row],[SC]]=0,0,Mecze[[#This Row],[SC]]/Mecze[[#This Row],[CZAS]])</f>
        <v>0.20833333333333334</v>
      </c>
      <c r="Q2222" s="32">
        <f>IF(Mecze[[#This Row],[OB]]=0,0,Mecze[[#This Row],[OB]]/Mecze[[#This Row],[CZAS]])</f>
        <v>0</v>
      </c>
      <c r="R2222" s="32">
        <f>IF(Mecze[[#This Row],[BR]]=0,0,Mecze[[#This Row],[BR]]/Mecze[[#This Row],[CZAS]])</f>
        <v>5.2083333333333336E-2</v>
      </c>
      <c r="S2222" s="44">
        <f>IF(Mecze[[#This Row],[Role]]="BR",SUMPRODUCT(Mecze[[#This Row],[/PR:90]:[/BR:90]],Brudnopis!$E$23:$J$23),0)</f>
        <v>0</v>
      </c>
      <c r="T2222" s="44">
        <f>IF(Mecze[[#This Row],[Role]]&lt;&gt;"BR",SUMPRODUCT(Mecze[[#This Row],[/PR:90]:[/BR:90]],Brudnopis!$E$24:$J$24),0)</f>
        <v>0.36458333333333337</v>
      </c>
      <c r="U2222" s="44">
        <f>IF(Mecze[[#This Row],[Role]]&lt;&gt;"BR",SUMPRODUCT(Mecze[[#This Row],[/PR:90]:[/BR:90]],Brudnopis!$E$25:$J$25),0)</f>
        <v>0.390625</v>
      </c>
      <c r="V2222" s="44">
        <f>IF(Mecze[[#This Row],[Role]]&lt;&gt;"BR",SUMPRODUCT(Mecze[[#This Row],[/PR:90]:[/BR:90]],Brudnopis!$E$26:$J$26),0)</f>
        <v>0.38541666666666669</v>
      </c>
      <c r="W2222" s="44">
        <f>IF(Mecze[[#This Row],[Role]]&lt;&gt;"BR",SUMPRODUCT(Mecze[[#This Row],[/PR:90]:[/BR:90]],Brudnopis!$E$27:$J$27),0)</f>
        <v>0.41406250000000006</v>
      </c>
      <c r="X2222" s="44">
        <f>IF(Mecze[[#This Row],[Role]]&lt;&gt;"BR",SUMPRODUCT(Mecze[[#This Row],[/PR:90]:[/BR:90]],Brudnopis!$E$28:$J$28),0)</f>
        <v>0.63541666666666674</v>
      </c>
      <c r="Y2222" s="35">
        <f>IF(Mecze[[#This Row],[Role]]="BR",Mecze[[#This Row],[/OB:90]]+Mecze[[#This Row],[/PC:90]],SUM(Mecze[[#This Row],[/PR:90]:[/BR:90]]))</f>
        <v>0.33333333333333331</v>
      </c>
      <c r="Z2222" s="35">
        <f>IF(Mecze[[#This Row],[KC]]=0,SUM(Mecze[[#This Row],[/BRI]:[/NPI]]),SUM(Mecze[[#This Row],[/BRI]:[/NPI]])*0.6)</f>
        <v>2.190104166666667</v>
      </c>
      <c r="AA2222" s="10">
        <f>IFERROR(Mecze[[#This Row],[BR]]/Mecze[[#This Row],[ST]],0)</f>
        <v>0.22727272727272727</v>
      </c>
      <c r="AB2222">
        <f>ROUND(Mecze[[#This Row],[PD]]*Mecze[[#This Row],[%PC]],0)</f>
        <v>6</v>
      </c>
      <c r="AC2222">
        <f>ROUND(Mecze[[#This Row],[OD]]*Mecze[[#This Row],[%OU]],0)</f>
        <v>1</v>
      </c>
      <c r="AD2222" s="36" t="s">
        <v>46</v>
      </c>
      <c r="AE2222" s="36">
        <v>124</v>
      </c>
      <c r="AF2222" s="71">
        <v>22.97</v>
      </c>
      <c r="AG2222" s="37">
        <v>0</v>
      </c>
      <c r="AH2222" s="37">
        <v>0</v>
      </c>
      <c r="AI2222" s="37">
        <v>96</v>
      </c>
      <c r="AJ2222" s="37">
        <v>4</v>
      </c>
      <c r="AK2222" s="37" t="str">
        <f>VLOOKUP(Mecze[[#This Row],[Match ID]],Meczusie[Mecz]:Meczusie[RodzajMeczu],2,FALSE)</f>
        <v>Liga</v>
      </c>
    </row>
    <row r="2223" spans="1:37" x14ac:dyDescent="0.25">
      <c r="A2223" s="76">
        <v>2</v>
      </c>
      <c r="B2223" s="3" t="s">
        <v>285</v>
      </c>
      <c r="C2223" s="2" t="s">
        <v>157</v>
      </c>
      <c r="D2223" s="1">
        <v>0</v>
      </c>
      <c r="E2223" s="1">
        <v>0</v>
      </c>
      <c r="F2223" s="1">
        <v>0</v>
      </c>
      <c r="G2223" s="1">
        <v>0</v>
      </c>
      <c r="H2223" s="72"/>
      <c r="I2223" s="1">
        <v>0</v>
      </c>
      <c r="J2223" s="4"/>
      <c r="K2223" s="1">
        <v>0</v>
      </c>
      <c r="L2223" s="1">
        <v>0</v>
      </c>
      <c r="M2223" s="32">
        <f>IF(Mecze[[#This Row],[PR]]=0,0,Mecze[[#This Row],[PR]]/Mecze[[#This Row],[CZAS]])</f>
        <v>0</v>
      </c>
      <c r="N2223" s="32">
        <f>IF(Mecze[[#This Row],[OU]]=0,0,Mecze[[#This Row],[OU]]/Mecze[[#This Row],[CZAS]])</f>
        <v>0</v>
      </c>
      <c r="O2223" s="32">
        <f>IF(Mecze[[#This Row],[PC]]=0,0,Mecze[[#This Row],[PC]]/Mecze[[#This Row],[CZAS]])</f>
        <v>0</v>
      </c>
      <c r="P2223" s="32">
        <f>IF(Mecze[[#This Row],[SC]]=0,0,Mecze[[#This Row],[SC]]/Mecze[[#This Row],[CZAS]])</f>
        <v>0</v>
      </c>
      <c r="Q2223" s="32">
        <f>IF(Mecze[[#This Row],[OB]]=0,0,Mecze[[#This Row],[OB]]/Mecze[[#This Row],[CZAS]])</f>
        <v>0</v>
      </c>
      <c r="R2223" s="32">
        <f>IF(Mecze[[#This Row],[BR]]=0,0,Mecze[[#This Row],[BR]]/Mecze[[#This Row],[CZAS]])</f>
        <v>0</v>
      </c>
      <c r="S2223" s="44">
        <f>IF(Mecze[[#This Row],[Role]]="BR",SUMPRODUCT(Mecze[[#This Row],[/PR:90]:[/BR:90]],Brudnopis!$E$23:$J$23),0)</f>
        <v>0</v>
      </c>
      <c r="T2223" s="44">
        <f>IF(Mecze[[#This Row],[Role]]&lt;&gt;"BR",SUMPRODUCT(Mecze[[#This Row],[/PR:90]:[/BR:90]],Brudnopis!$E$24:$J$24),0)</f>
        <v>0</v>
      </c>
      <c r="U2223" s="44">
        <f>IF(Mecze[[#This Row],[Role]]&lt;&gt;"BR",SUMPRODUCT(Mecze[[#This Row],[/PR:90]:[/BR:90]],Brudnopis!$E$25:$J$25),0)</f>
        <v>0</v>
      </c>
      <c r="V2223" s="44">
        <f>IF(Mecze[[#This Row],[Role]]&lt;&gt;"BR",SUMPRODUCT(Mecze[[#This Row],[/PR:90]:[/BR:90]],Brudnopis!$E$26:$J$26),0)</f>
        <v>0</v>
      </c>
      <c r="W2223" s="44">
        <f>IF(Mecze[[#This Row],[Role]]&lt;&gt;"BR",SUMPRODUCT(Mecze[[#This Row],[/PR:90]:[/BR:90]],Brudnopis!$E$27:$J$27),0)</f>
        <v>0</v>
      </c>
      <c r="X2223" s="44">
        <f>IF(Mecze[[#This Row],[Role]]&lt;&gt;"BR",SUMPRODUCT(Mecze[[#This Row],[/PR:90]:[/BR:90]],Brudnopis!$E$28:$J$28),0)</f>
        <v>0</v>
      </c>
      <c r="Y2223" s="35">
        <f>IF(Mecze[[#This Row],[Role]]="BR",Mecze[[#This Row],[/OB:90]]+Mecze[[#This Row],[/PC:90]],SUM(Mecze[[#This Row],[/PR:90]:[/BR:90]]))</f>
        <v>0</v>
      </c>
      <c r="Z2223" s="35">
        <f>IF(Mecze[[#This Row],[KC]]=0,SUM(Mecze[[#This Row],[/BRI]:[/NPI]]),SUM(Mecze[[#This Row],[/BRI]:[/NPI]])*0.6)</f>
        <v>0</v>
      </c>
      <c r="AA2223" s="10">
        <f>IFERROR(Mecze[[#This Row],[BR]]/Mecze[[#This Row],[ST]],0)</f>
        <v>0</v>
      </c>
      <c r="AB2223">
        <f>ROUND(Mecze[[#This Row],[PD]]*Mecze[[#This Row],[%PC]],0)</f>
        <v>0</v>
      </c>
      <c r="AC2223">
        <f>ROUND(Mecze[[#This Row],[OD]]*Mecze[[#This Row],[%OU]],0)</f>
        <v>0</v>
      </c>
      <c r="AD2223" s="36" t="s">
        <v>167</v>
      </c>
      <c r="AE2223" s="36">
        <v>124</v>
      </c>
      <c r="AF2223" s="71">
        <v>4.84</v>
      </c>
      <c r="AG2223" s="37">
        <v>0</v>
      </c>
      <c r="AH2223" s="37">
        <v>0</v>
      </c>
      <c r="AI2223" s="37">
        <v>18</v>
      </c>
      <c r="AJ2223" s="37">
        <v>4</v>
      </c>
      <c r="AK2223" s="37" t="str">
        <f>VLOOKUP(Mecze[[#This Row],[Match ID]],Meczusie[Mecz]:Meczusie[RodzajMeczu],2,FALSE)</f>
        <v>Liga</v>
      </c>
    </row>
    <row r="2224" spans="1:37" x14ac:dyDescent="0.25">
      <c r="A2224" s="76">
        <v>14</v>
      </c>
      <c r="B2224" s="3" t="s">
        <v>281</v>
      </c>
      <c r="C2224" s="2" t="s">
        <v>165</v>
      </c>
      <c r="D2224" s="1">
        <v>0</v>
      </c>
      <c r="E2224" s="1">
        <v>1</v>
      </c>
      <c r="F2224" s="1">
        <v>1</v>
      </c>
      <c r="G2224" s="1">
        <v>0</v>
      </c>
      <c r="H2224" s="72"/>
      <c r="I2224" s="1">
        <v>0</v>
      </c>
      <c r="J2224" s="4"/>
      <c r="K2224" s="1">
        <v>0</v>
      </c>
      <c r="L2224" s="1">
        <v>1</v>
      </c>
      <c r="M2224" s="32">
        <f>IF(Mecze[[#This Row],[PR]]=0,0,Mecze[[#This Row],[PR]]/Mecze[[#This Row],[CZAS]])</f>
        <v>5.5555555555555552E-2</v>
      </c>
      <c r="N2224" s="32">
        <f>IF(Mecze[[#This Row],[OU]]=0,0,Mecze[[#This Row],[OU]]/Mecze[[#This Row],[CZAS]])</f>
        <v>0</v>
      </c>
      <c r="O2224" s="32">
        <f>IF(Mecze[[#This Row],[PC]]=0,0,Mecze[[#This Row],[PC]]/Mecze[[#This Row],[CZAS]])</f>
        <v>0</v>
      </c>
      <c r="P2224" s="32">
        <f>IF(Mecze[[#This Row],[SC]]=0,0,Mecze[[#This Row],[SC]]/Mecze[[#This Row],[CZAS]])</f>
        <v>5.5555555555555552E-2</v>
      </c>
      <c r="Q2224" s="32">
        <f>IF(Mecze[[#This Row],[OB]]=0,0,Mecze[[#This Row],[OB]]/Mecze[[#This Row],[CZAS]])</f>
        <v>0</v>
      </c>
      <c r="R2224" s="32">
        <f>IF(Mecze[[#This Row],[BR]]=0,0,Mecze[[#This Row],[BR]]/Mecze[[#This Row],[CZAS]])</f>
        <v>0</v>
      </c>
      <c r="S2224" s="44">
        <f>IF(Mecze[[#This Row],[Role]]="BR",SUMPRODUCT(Mecze[[#This Row],[/PR:90]:[/BR:90]],Brudnopis!$E$23:$J$23),0)</f>
        <v>0</v>
      </c>
      <c r="T2224" s="44">
        <f>IF(Mecze[[#This Row],[Role]]&lt;&gt;"BR",SUMPRODUCT(Mecze[[#This Row],[/PR:90]:[/BR:90]],Brudnopis!$E$24:$J$24),0)</f>
        <v>0.1111111111111111</v>
      </c>
      <c r="U2224" s="44">
        <f>IF(Mecze[[#This Row],[Role]]&lt;&gt;"BR",SUMPRODUCT(Mecze[[#This Row],[/PR:90]:[/BR:90]],Brudnopis!$E$25:$J$25),0)</f>
        <v>0.1111111111111111</v>
      </c>
      <c r="V2224" s="44">
        <f>IF(Mecze[[#This Row],[Role]]&lt;&gt;"BR",SUMPRODUCT(Mecze[[#This Row],[/PR:90]:[/BR:90]],Brudnopis!$E$26:$J$26),0)</f>
        <v>0.1111111111111111</v>
      </c>
      <c r="W2224" s="44">
        <f>IF(Mecze[[#This Row],[Role]]&lt;&gt;"BR",SUMPRODUCT(Mecze[[#This Row],[/PR:90]:[/BR:90]],Brudnopis!$E$27:$J$27),0)</f>
        <v>9.722222222222221E-2</v>
      </c>
      <c r="X2224" s="44">
        <f>IF(Mecze[[#This Row],[Role]]&lt;&gt;"BR",SUMPRODUCT(Mecze[[#This Row],[/PR:90]:[/BR:90]],Brudnopis!$E$28:$J$28),0)</f>
        <v>0.1111111111111111</v>
      </c>
      <c r="Y2224" s="35">
        <f>IF(Mecze[[#This Row],[Role]]="BR",Mecze[[#This Row],[/OB:90]]+Mecze[[#This Row],[/PC:90]],SUM(Mecze[[#This Row],[/PR:90]:[/BR:90]]))</f>
        <v>0.1111111111111111</v>
      </c>
      <c r="Z2224" s="35">
        <f>IF(Mecze[[#This Row],[KC]]=0,SUM(Mecze[[#This Row],[/BRI]:[/NPI]]),SUM(Mecze[[#This Row],[/BRI]:[/NPI]])*0.6)</f>
        <v>0.54166666666666663</v>
      </c>
      <c r="AA2224" s="10">
        <f>IFERROR(Mecze[[#This Row],[BR]]/Mecze[[#This Row],[ST]],0)</f>
        <v>0</v>
      </c>
      <c r="AB2224">
        <f>ROUND(Mecze[[#This Row],[PD]]*Mecze[[#This Row],[%PC]],0)</f>
        <v>0</v>
      </c>
      <c r="AC2224">
        <f>ROUND(Mecze[[#This Row],[OD]]*Mecze[[#This Row],[%OU]],0)</f>
        <v>0</v>
      </c>
      <c r="AD2224" s="36" t="s">
        <v>46</v>
      </c>
      <c r="AE2224" s="36">
        <v>124</v>
      </c>
      <c r="AF2224" s="71">
        <v>1.94</v>
      </c>
      <c r="AG2224" s="37">
        <v>0</v>
      </c>
      <c r="AH2224" s="37">
        <v>0</v>
      </c>
      <c r="AI2224" s="37">
        <v>18</v>
      </c>
      <c r="AJ2224" s="37">
        <v>4</v>
      </c>
      <c r="AK2224" s="37" t="str">
        <f>VLOOKUP(Mecze[[#This Row],[Match ID]],Meczusie[Mecz]:Meczusie[RodzajMeczu],2,FALSE)</f>
        <v>Liga</v>
      </c>
    </row>
    <row r="2225" spans="1:37" x14ac:dyDescent="0.25">
      <c r="A2225" s="76">
        <v>1</v>
      </c>
      <c r="B2225" s="3" t="s">
        <v>169</v>
      </c>
      <c r="C2225" s="2" t="s">
        <v>155</v>
      </c>
      <c r="D2225" s="1">
        <v>0</v>
      </c>
      <c r="E2225" s="1">
        <v>0</v>
      </c>
      <c r="F2225" s="1">
        <v>0</v>
      </c>
      <c r="G2225" s="1">
        <v>12</v>
      </c>
      <c r="H2225" s="4">
        <v>0.57999999999999996</v>
      </c>
      <c r="I2225" s="1">
        <v>0</v>
      </c>
      <c r="J2225" s="4"/>
      <c r="K2225" s="1">
        <v>8</v>
      </c>
      <c r="L2225" s="1">
        <v>0</v>
      </c>
      <c r="M2225" s="32">
        <f>IF(Mecze[[#This Row],[PR]]=0,0,Mecze[[#This Row],[PR]]/Mecze[[#This Row],[CZAS]])</f>
        <v>0</v>
      </c>
      <c r="N2225" s="32">
        <f>IF(Mecze[[#This Row],[OU]]=0,0,Mecze[[#This Row],[OU]]/Mecze[[#This Row],[CZAS]])</f>
        <v>0</v>
      </c>
      <c r="O2225" s="32">
        <f>IF(Mecze[[#This Row],[PC]]=0,0,Mecze[[#This Row],[PC]]/Mecze[[#This Row],[CZAS]])</f>
        <v>7.2916666666666671E-2</v>
      </c>
      <c r="P2225" s="32">
        <f>IF(Mecze[[#This Row],[SC]]=0,0,Mecze[[#This Row],[SC]]/Mecze[[#This Row],[CZAS]])</f>
        <v>0</v>
      </c>
      <c r="Q2225" s="32">
        <f>IF(Mecze[[#This Row],[OB]]=0,0,Mecze[[#This Row],[OB]]/Mecze[[#This Row],[CZAS]])</f>
        <v>8.3333333333333329E-2</v>
      </c>
      <c r="R2225" s="32">
        <f>IF(Mecze[[#This Row],[BR]]=0,0,Mecze[[#This Row],[BR]]/Mecze[[#This Row],[CZAS]])</f>
        <v>0</v>
      </c>
      <c r="S2225" s="44">
        <f>IF(Mecze[[#This Row],[Role]]="BR",SUMPRODUCT(Mecze[[#This Row],[/PR:90]:[/BR:90]],Brudnopis!$E$23:$J$23),0)</f>
        <v>0.46875</v>
      </c>
      <c r="T2225" s="44">
        <f>IF(Mecze[[#This Row],[Role]]&lt;&gt;"BR",SUMPRODUCT(Mecze[[#This Row],[/PR:90]:[/BR:90]],Brudnopis!$E$24:$J$24),0)</f>
        <v>0</v>
      </c>
      <c r="U2225" s="44">
        <f>IF(Mecze[[#This Row],[Role]]&lt;&gt;"BR",SUMPRODUCT(Mecze[[#This Row],[/PR:90]:[/BR:90]],Brudnopis!$E$25:$J$25),0)</f>
        <v>0</v>
      </c>
      <c r="V2225" s="44">
        <f>IF(Mecze[[#This Row],[Role]]&lt;&gt;"BR",SUMPRODUCT(Mecze[[#This Row],[/PR:90]:[/BR:90]],Brudnopis!$E$26:$J$26),0)</f>
        <v>0</v>
      </c>
      <c r="W2225" s="44">
        <f>IF(Mecze[[#This Row],[Role]]&lt;&gt;"BR",SUMPRODUCT(Mecze[[#This Row],[/PR:90]:[/BR:90]],Brudnopis!$E$27:$J$27),0)</f>
        <v>0</v>
      </c>
      <c r="X2225" s="44">
        <f>IF(Mecze[[#This Row],[Role]]&lt;&gt;"BR",SUMPRODUCT(Mecze[[#This Row],[/PR:90]:[/BR:90]],Brudnopis!$E$28:$J$28),0)</f>
        <v>0</v>
      </c>
      <c r="Y2225" s="35">
        <f>IF(Mecze[[#This Row],[Role]]="BR",Mecze[[#This Row],[/OB:90]]+Mecze[[#This Row],[/PC:90]],SUM(Mecze[[#This Row],[/PR:90]:[/BR:90]]))</f>
        <v>0.15625</v>
      </c>
      <c r="Z2225" s="35">
        <f>IF(Mecze[[#This Row],[KC]]=0,SUM(Mecze[[#This Row],[/BRI]:[/NPI]]),SUM(Mecze[[#This Row],[/BRI]:[/NPI]])*0.6)</f>
        <v>0.46875</v>
      </c>
      <c r="AA2225" s="10">
        <f>IFERROR(Mecze[[#This Row],[BR]]/Mecze[[#This Row],[ST]],0)</f>
        <v>0</v>
      </c>
      <c r="AB2225">
        <f>ROUND(Mecze[[#This Row],[PD]]*Mecze[[#This Row],[%PC]],0)</f>
        <v>7</v>
      </c>
      <c r="AC2225">
        <f>ROUND(Mecze[[#This Row],[OD]]*Mecze[[#This Row],[%OU]],0)</f>
        <v>0</v>
      </c>
      <c r="AD2225" s="36" t="s">
        <v>40</v>
      </c>
      <c r="AE2225" s="36">
        <v>125</v>
      </c>
      <c r="AF2225" s="71">
        <v>5.61</v>
      </c>
      <c r="AG2225" s="37">
        <v>0</v>
      </c>
      <c r="AH2225" s="37">
        <v>0</v>
      </c>
      <c r="AI2225" s="37">
        <v>96</v>
      </c>
      <c r="AJ2225" s="37">
        <v>1</v>
      </c>
      <c r="AK2225" s="37" t="str">
        <f>VLOOKUP(Mecze[[#This Row],[Match ID]],Meczusie[Mecz]:Meczusie[RodzajMeczu],2,FALSE)</f>
        <v>Liga</v>
      </c>
    </row>
    <row r="2226" spans="1:37" x14ac:dyDescent="0.25">
      <c r="A2226" s="76">
        <v>5</v>
      </c>
      <c r="B2226" s="3" t="s">
        <v>161</v>
      </c>
      <c r="C2226" s="2" t="s">
        <v>157</v>
      </c>
      <c r="D2226" s="1">
        <v>0</v>
      </c>
      <c r="E2226" s="1">
        <v>0</v>
      </c>
      <c r="F2226" s="1">
        <v>0</v>
      </c>
      <c r="G2226" s="1">
        <v>12</v>
      </c>
      <c r="H2226" s="4">
        <v>0.83</v>
      </c>
      <c r="I2226" s="1">
        <v>7</v>
      </c>
      <c r="J2226" s="4">
        <v>0.71</v>
      </c>
      <c r="K2226" s="1">
        <v>0</v>
      </c>
      <c r="L2226" s="1">
        <v>10</v>
      </c>
      <c r="M2226" s="32">
        <f>IF(Mecze[[#This Row],[PR]]=0,0,Mecze[[#This Row],[PR]]/Mecze[[#This Row],[CZAS]])</f>
        <v>0.10416666666666667</v>
      </c>
      <c r="N2226" s="32">
        <f>IF(Mecze[[#This Row],[OU]]=0,0,Mecze[[#This Row],[OU]]/Mecze[[#This Row],[CZAS]])</f>
        <v>5.2083333333333336E-2</v>
      </c>
      <c r="O2226" s="32">
        <f>IF(Mecze[[#This Row],[PC]]=0,0,Mecze[[#This Row],[PC]]/Mecze[[#This Row],[CZAS]])</f>
        <v>0.10416666666666667</v>
      </c>
      <c r="P2226" s="32">
        <f>IF(Mecze[[#This Row],[SC]]=0,0,Mecze[[#This Row],[SC]]/Mecze[[#This Row],[CZAS]])</f>
        <v>0</v>
      </c>
      <c r="Q2226" s="32">
        <f>IF(Mecze[[#This Row],[OB]]=0,0,Mecze[[#This Row],[OB]]/Mecze[[#This Row],[CZAS]])</f>
        <v>0</v>
      </c>
      <c r="R2226" s="32">
        <f>IF(Mecze[[#This Row],[BR]]=0,0,Mecze[[#This Row],[BR]]/Mecze[[#This Row],[CZAS]])</f>
        <v>0</v>
      </c>
      <c r="S2226" s="44">
        <f>IF(Mecze[[#This Row],[Role]]="BR",SUMPRODUCT(Mecze[[#This Row],[/PR:90]:[/BR:90]],Brudnopis!$E$23:$J$23),0)</f>
        <v>0</v>
      </c>
      <c r="T2226" s="44">
        <f>IF(Mecze[[#This Row],[Role]]&lt;&gt;"BR",SUMPRODUCT(Mecze[[#This Row],[/PR:90]:[/BR:90]],Brudnopis!$E$24:$J$24),0)</f>
        <v>0.28645833333333337</v>
      </c>
      <c r="U2226" s="44">
        <f>IF(Mecze[[#This Row],[Role]]&lt;&gt;"BR",SUMPRODUCT(Mecze[[#This Row],[/PR:90]:[/BR:90]],Brudnopis!$E$25:$J$25),0)</f>
        <v>0.3125</v>
      </c>
      <c r="V2226" s="44">
        <f>IF(Mecze[[#This Row],[Role]]&lt;&gt;"BR",SUMPRODUCT(Mecze[[#This Row],[/PR:90]:[/BR:90]],Brudnopis!$E$26:$J$26),0)</f>
        <v>0.26041666666666669</v>
      </c>
      <c r="W2226" s="44">
        <f>IF(Mecze[[#This Row],[Role]]&lt;&gt;"BR",SUMPRODUCT(Mecze[[#This Row],[/PR:90]:[/BR:90]],Brudnopis!$E$27:$J$27),0)</f>
        <v>0.2734375</v>
      </c>
      <c r="X2226" s="44">
        <f>IF(Mecze[[#This Row],[Role]]&lt;&gt;"BR",SUMPRODUCT(Mecze[[#This Row],[/PR:90]:[/BR:90]],Brudnopis!$E$28:$J$28),0)</f>
        <v>0.10416666666666667</v>
      </c>
      <c r="Y2226" s="35">
        <f>IF(Mecze[[#This Row],[Role]]="BR",Mecze[[#This Row],[/OB:90]]+Mecze[[#This Row],[/PC:90]],SUM(Mecze[[#This Row],[/PR:90]:[/BR:90]]))</f>
        <v>0.26041666666666669</v>
      </c>
      <c r="Z2226" s="35">
        <f>IF(Mecze[[#This Row],[KC]]=0,SUM(Mecze[[#This Row],[/BRI]:[/NPI]]),SUM(Mecze[[#This Row],[/BRI]:[/NPI]])*0.6)</f>
        <v>1.2369791666666667</v>
      </c>
      <c r="AA2226" s="10">
        <f>IFERROR(Mecze[[#This Row],[BR]]/Mecze[[#This Row],[ST]],0)</f>
        <v>0</v>
      </c>
      <c r="AB2226">
        <f>ROUND(Mecze[[#This Row],[PD]]*Mecze[[#This Row],[%PC]],0)</f>
        <v>10</v>
      </c>
      <c r="AC2226">
        <f>ROUND(Mecze[[#This Row],[OD]]*Mecze[[#This Row],[%OU]],0)</f>
        <v>5</v>
      </c>
      <c r="AD2226" s="36" t="s">
        <v>47</v>
      </c>
      <c r="AE2226" s="36">
        <v>125</v>
      </c>
      <c r="AF2226" s="71">
        <v>4.8099999999999996</v>
      </c>
      <c r="AG2226" s="37">
        <v>0</v>
      </c>
      <c r="AH2226" s="37">
        <v>0</v>
      </c>
      <c r="AI2226" s="37">
        <v>96</v>
      </c>
      <c r="AJ2226" s="37">
        <v>1</v>
      </c>
      <c r="AK2226" s="37" t="str">
        <f>VLOOKUP(Mecze[[#This Row],[Match ID]],Meczusie[Mecz]:Meczusie[RodzajMeczu],2,FALSE)</f>
        <v>Liga</v>
      </c>
    </row>
    <row r="2227" spans="1:37" x14ac:dyDescent="0.25">
      <c r="A2227" s="76">
        <v>3</v>
      </c>
      <c r="B2227" s="3" t="s">
        <v>158</v>
      </c>
      <c r="C2227" s="2" t="s">
        <v>157</v>
      </c>
      <c r="D2227" s="1">
        <v>0</v>
      </c>
      <c r="E2227" s="1">
        <v>0</v>
      </c>
      <c r="F2227" s="1">
        <v>0</v>
      </c>
      <c r="G2227" s="1">
        <v>6</v>
      </c>
      <c r="H2227" s="4">
        <v>0.67</v>
      </c>
      <c r="I2227" s="1">
        <v>4</v>
      </c>
      <c r="J2227" s="4">
        <v>0.5</v>
      </c>
      <c r="K2227" s="1">
        <v>0</v>
      </c>
      <c r="L2227" s="1">
        <v>6</v>
      </c>
      <c r="M2227" s="32">
        <f>IF(Mecze[[#This Row],[PR]]=0,0,Mecze[[#This Row],[PR]]/Mecze[[#This Row],[CZAS]])</f>
        <v>6.25E-2</v>
      </c>
      <c r="N2227" s="32">
        <f>IF(Mecze[[#This Row],[OU]]=0,0,Mecze[[#This Row],[OU]]/Mecze[[#This Row],[CZAS]])</f>
        <v>2.0833333333333332E-2</v>
      </c>
      <c r="O2227" s="32">
        <f>IF(Mecze[[#This Row],[PC]]=0,0,Mecze[[#This Row],[PC]]/Mecze[[#This Row],[CZAS]])</f>
        <v>4.1666666666666664E-2</v>
      </c>
      <c r="P2227" s="32">
        <f>IF(Mecze[[#This Row],[SC]]=0,0,Mecze[[#This Row],[SC]]/Mecze[[#This Row],[CZAS]])</f>
        <v>0</v>
      </c>
      <c r="Q2227" s="32">
        <f>IF(Mecze[[#This Row],[OB]]=0,0,Mecze[[#This Row],[OB]]/Mecze[[#This Row],[CZAS]])</f>
        <v>0</v>
      </c>
      <c r="R2227" s="32">
        <f>IF(Mecze[[#This Row],[BR]]=0,0,Mecze[[#This Row],[BR]]/Mecze[[#This Row],[CZAS]])</f>
        <v>0</v>
      </c>
      <c r="S2227" s="44">
        <f>IF(Mecze[[#This Row],[Role]]="BR",SUMPRODUCT(Mecze[[#This Row],[/PR:90]:[/BR:90]],Brudnopis!$E$23:$J$23),0)</f>
        <v>0</v>
      </c>
      <c r="T2227" s="44">
        <f>IF(Mecze[[#This Row],[Role]]&lt;&gt;"BR",SUMPRODUCT(Mecze[[#This Row],[/PR:90]:[/BR:90]],Brudnopis!$E$24:$J$24),0)</f>
        <v>0.13541666666666666</v>
      </c>
      <c r="U2227" s="44">
        <f>IF(Mecze[[#This Row],[Role]]&lt;&gt;"BR",SUMPRODUCT(Mecze[[#This Row],[/PR:90]:[/BR:90]],Brudnopis!$E$25:$J$25),0)</f>
        <v>0.14583333333333331</v>
      </c>
      <c r="V2227" s="44">
        <f>IF(Mecze[[#This Row],[Role]]&lt;&gt;"BR",SUMPRODUCT(Mecze[[#This Row],[/PR:90]:[/BR:90]],Brudnopis!$E$26:$J$26),0)</f>
        <v>0.125</v>
      </c>
      <c r="W2227" s="44">
        <f>IF(Mecze[[#This Row],[Role]]&lt;&gt;"BR",SUMPRODUCT(Mecze[[#This Row],[/PR:90]:[/BR:90]],Brudnopis!$E$27:$J$27),0)</f>
        <v>0.125</v>
      </c>
      <c r="X2227" s="44">
        <f>IF(Mecze[[#This Row],[Role]]&lt;&gt;"BR",SUMPRODUCT(Mecze[[#This Row],[/PR:90]:[/BR:90]],Brudnopis!$E$28:$J$28),0)</f>
        <v>4.1666666666666664E-2</v>
      </c>
      <c r="Y2227" s="35">
        <f>IF(Mecze[[#This Row],[Role]]="BR",Mecze[[#This Row],[/OB:90]]+Mecze[[#This Row],[/PC:90]],SUM(Mecze[[#This Row],[/PR:90]:[/BR:90]]))</f>
        <v>0.125</v>
      </c>
      <c r="Z2227" s="35">
        <f>IF(Mecze[[#This Row],[KC]]=0,SUM(Mecze[[#This Row],[/BRI]:[/NPI]]),SUM(Mecze[[#This Row],[/BRI]:[/NPI]])*0.6)</f>
        <v>0.57291666666666663</v>
      </c>
      <c r="AA2227" s="10">
        <f>IFERROR(Mecze[[#This Row],[BR]]/Mecze[[#This Row],[ST]],0)</f>
        <v>0</v>
      </c>
      <c r="AB2227">
        <f>ROUND(Mecze[[#This Row],[PD]]*Mecze[[#This Row],[%PC]],0)</f>
        <v>4</v>
      </c>
      <c r="AC2227">
        <f>ROUND(Mecze[[#This Row],[OD]]*Mecze[[#This Row],[%OU]],0)</f>
        <v>2</v>
      </c>
      <c r="AD2227" s="36" t="s">
        <v>168</v>
      </c>
      <c r="AE2227" s="36">
        <v>125</v>
      </c>
      <c r="AF2227" s="71">
        <v>3.97</v>
      </c>
      <c r="AG2227" s="37">
        <v>0</v>
      </c>
      <c r="AH2227" s="37">
        <v>0</v>
      </c>
      <c r="AI2227" s="37">
        <v>96</v>
      </c>
      <c r="AJ2227" s="37">
        <v>1</v>
      </c>
      <c r="AK2227" s="37" t="str">
        <f>VLOOKUP(Mecze[[#This Row],[Match ID]],Meczusie[Mecz]:Meczusie[RodzajMeczu],2,FALSE)</f>
        <v>Liga</v>
      </c>
    </row>
    <row r="2228" spans="1:37" x14ac:dyDescent="0.25">
      <c r="A2228" s="76">
        <v>18</v>
      </c>
      <c r="B2228" s="3" t="s">
        <v>211</v>
      </c>
      <c r="C2228" s="2" t="s">
        <v>157</v>
      </c>
      <c r="D2228" s="1">
        <v>0</v>
      </c>
      <c r="E2228" s="1">
        <v>0</v>
      </c>
      <c r="F2228" s="1">
        <v>0</v>
      </c>
      <c r="G2228" s="1">
        <v>5</v>
      </c>
      <c r="H2228" s="4">
        <v>0.6</v>
      </c>
      <c r="I2228" s="1">
        <v>6</v>
      </c>
      <c r="J2228" s="4">
        <v>0.17</v>
      </c>
      <c r="K2228" s="1">
        <v>0</v>
      </c>
      <c r="L2228" s="1">
        <v>3</v>
      </c>
      <c r="M2228" s="32">
        <f>IF(Mecze[[#This Row],[PR]]=0,0,Mecze[[#This Row],[PR]]/Mecze[[#This Row],[CZAS]])</f>
        <v>3.125E-2</v>
      </c>
      <c r="N2228" s="32">
        <f>IF(Mecze[[#This Row],[OU]]=0,0,Mecze[[#This Row],[OU]]/Mecze[[#This Row],[CZAS]])</f>
        <v>1.0416666666666666E-2</v>
      </c>
      <c r="O2228" s="32">
        <f>IF(Mecze[[#This Row],[PC]]=0,0,Mecze[[#This Row],[PC]]/Mecze[[#This Row],[CZAS]])</f>
        <v>3.125E-2</v>
      </c>
      <c r="P2228" s="32">
        <f>IF(Mecze[[#This Row],[SC]]=0,0,Mecze[[#This Row],[SC]]/Mecze[[#This Row],[CZAS]])</f>
        <v>0</v>
      </c>
      <c r="Q2228" s="32">
        <f>IF(Mecze[[#This Row],[OB]]=0,0,Mecze[[#This Row],[OB]]/Mecze[[#This Row],[CZAS]])</f>
        <v>0</v>
      </c>
      <c r="R2228" s="32">
        <f>IF(Mecze[[#This Row],[BR]]=0,0,Mecze[[#This Row],[BR]]/Mecze[[#This Row],[CZAS]])</f>
        <v>0</v>
      </c>
      <c r="S2228" s="44">
        <f>IF(Mecze[[#This Row],[Role]]="BR",SUMPRODUCT(Mecze[[#This Row],[/PR:90]:[/BR:90]],Brudnopis!$E$23:$J$23),0)</f>
        <v>0</v>
      </c>
      <c r="T2228" s="44">
        <f>IF(Mecze[[#This Row],[Role]]&lt;&gt;"BR",SUMPRODUCT(Mecze[[#This Row],[/PR:90]:[/BR:90]],Brudnopis!$E$24:$J$24),0)</f>
        <v>7.8125E-2</v>
      </c>
      <c r="U2228" s="44">
        <f>IF(Mecze[[#This Row],[Role]]&lt;&gt;"BR",SUMPRODUCT(Mecze[[#This Row],[/PR:90]:[/BR:90]],Brudnopis!$E$25:$J$25),0)</f>
        <v>8.8541666666666657E-2</v>
      </c>
      <c r="V2228" s="44">
        <f>IF(Mecze[[#This Row],[Role]]&lt;&gt;"BR",SUMPRODUCT(Mecze[[#This Row],[/PR:90]:[/BR:90]],Brudnopis!$E$26:$J$26),0)</f>
        <v>7.2916666666666657E-2</v>
      </c>
      <c r="W2228" s="44">
        <f>IF(Mecze[[#This Row],[Role]]&lt;&gt;"BR",SUMPRODUCT(Mecze[[#This Row],[/PR:90]:[/BR:90]],Brudnopis!$E$27:$J$27),0)</f>
        <v>7.8125E-2</v>
      </c>
      <c r="X2228" s="44">
        <f>IF(Mecze[[#This Row],[Role]]&lt;&gt;"BR",SUMPRODUCT(Mecze[[#This Row],[/PR:90]:[/BR:90]],Brudnopis!$E$28:$J$28),0)</f>
        <v>3.125E-2</v>
      </c>
      <c r="Y2228" s="35">
        <f>IF(Mecze[[#This Row],[Role]]="BR",Mecze[[#This Row],[/OB:90]]+Mecze[[#This Row],[/PC:90]],SUM(Mecze[[#This Row],[/PR:90]:[/BR:90]]))</f>
        <v>7.2916666666666657E-2</v>
      </c>
      <c r="Z2228" s="35">
        <f>IF(Mecze[[#This Row],[KC]]=0,SUM(Mecze[[#This Row],[/BRI]:[/NPI]]),SUM(Mecze[[#This Row],[/BRI]:[/NPI]])*0.6)</f>
        <v>0.34895833333333331</v>
      </c>
      <c r="AA2228" s="10">
        <f>IFERROR(Mecze[[#This Row],[BR]]/Mecze[[#This Row],[ST]],0)</f>
        <v>0</v>
      </c>
      <c r="AB2228">
        <f>ROUND(Mecze[[#This Row],[PD]]*Mecze[[#This Row],[%PC]],0)</f>
        <v>3</v>
      </c>
      <c r="AC2228">
        <f>ROUND(Mecze[[#This Row],[OD]]*Mecze[[#This Row],[%OU]],0)</f>
        <v>1</v>
      </c>
      <c r="AD2228" s="36" t="s">
        <v>167</v>
      </c>
      <c r="AE2228" s="36">
        <v>125</v>
      </c>
      <c r="AF2228" s="71">
        <v>2.2200000000000002</v>
      </c>
      <c r="AG2228" s="37">
        <v>0</v>
      </c>
      <c r="AH2228" s="37">
        <v>0</v>
      </c>
      <c r="AI2228" s="37">
        <v>96</v>
      </c>
      <c r="AJ2228" s="37">
        <v>1</v>
      </c>
      <c r="AK2228" s="37" t="str">
        <f>VLOOKUP(Mecze[[#This Row],[Match ID]],Meczusie[Mecz]:Meczusie[RodzajMeczu],2,FALSE)</f>
        <v>Liga</v>
      </c>
    </row>
    <row r="2229" spans="1:37" x14ac:dyDescent="0.25">
      <c r="A2229" s="76">
        <v>6</v>
      </c>
      <c r="B2229" s="3" t="s">
        <v>159</v>
      </c>
      <c r="C2229" s="2" t="s">
        <v>160</v>
      </c>
      <c r="D2229" s="1">
        <v>0</v>
      </c>
      <c r="E2229" s="1">
        <v>0</v>
      </c>
      <c r="F2229" s="1">
        <v>0</v>
      </c>
      <c r="G2229" s="1">
        <v>14</v>
      </c>
      <c r="H2229" s="4">
        <v>0.71</v>
      </c>
      <c r="I2229" s="1">
        <v>8</v>
      </c>
      <c r="J2229" s="4">
        <v>0.5</v>
      </c>
      <c r="K2229" s="1">
        <v>0</v>
      </c>
      <c r="L2229" s="1">
        <v>5</v>
      </c>
      <c r="M2229" s="32">
        <f>IF(Mecze[[#This Row],[PR]]=0,0,Mecze[[#This Row],[PR]]/Mecze[[#This Row],[CZAS]])</f>
        <v>5.2083333333333336E-2</v>
      </c>
      <c r="N2229" s="32">
        <f>IF(Mecze[[#This Row],[OU]]=0,0,Mecze[[#This Row],[OU]]/Mecze[[#This Row],[CZAS]])</f>
        <v>4.1666666666666664E-2</v>
      </c>
      <c r="O2229" s="32">
        <f>IF(Mecze[[#This Row],[PC]]=0,0,Mecze[[#This Row],[PC]]/Mecze[[#This Row],[CZAS]])</f>
        <v>0.10416666666666667</v>
      </c>
      <c r="P2229" s="32">
        <f>IF(Mecze[[#This Row],[SC]]=0,0,Mecze[[#This Row],[SC]]/Mecze[[#This Row],[CZAS]])</f>
        <v>0</v>
      </c>
      <c r="Q2229" s="32">
        <f>IF(Mecze[[#This Row],[OB]]=0,0,Mecze[[#This Row],[OB]]/Mecze[[#This Row],[CZAS]])</f>
        <v>0</v>
      </c>
      <c r="R2229" s="32">
        <f>IF(Mecze[[#This Row],[BR]]=0,0,Mecze[[#This Row],[BR]]/Mecze[[#This Row],[CZAS]])</f>
        <v>0</v>
      </c>
      <c r="S2229" s="44">
        <f>IF(Mecze[[#This Row],[Role]]="BR",SUMPRODUCT(Mecze[[#This Row],[/PR:90]:[/BR:90]],Brudnopis!$E$23:$J$23),0)</f>
        <v>0</v>
      </c>
      <c r="T2229" s="44">
        <f>IF(Mecze[[#This Row],[Role]]&lt;&gt;"BR",SUMPRODUCT(Mecze[[#This Row],[/PR:90]:[/BR:90]],Brudnopis!$E$24:$J$24),0)</f>
        <v>0.21875</v>
      </c>
      <c r="U2229" s="44">
        <f>IF(Mecze[[#This Row],[Role]]&lt;&gt;"BR",SUMPRODUCT(Mecze[[#This Row],[/PR:90]:[/BR:90]],Brudnopis!$E$25:$J$25),0)</f>
        <v>0.25</v>
      </c>
      <c r="V2229" s="44">
        <f>IF(Mecze[[#This Row],[Role]]&lt;&gt;"BR",SUMPRODUCT(Mecze[[#This Row],[/PR:90]:[/BR:90]],Brudnopis!$E$26:$J$26),0)</f>
        <v>0.19791666666666669</v>
      </c>
      <c r="W2229" s="44">
        <f>IF(Mecze[[#This Row],[Role]]&lt;&gt;"BR",SUMPRODUCT(Mecze[[#This Row],[/PR:90]:[/BR:90]],Brudnopis!$E$27:$J$27),0)</f>
        <v>0.2265625</v>
      </c>
      <c r="X2229" s="44">
        <f>IF(Mecze[[#This Row],[Role]]&lt;&gt;"BR",SUMPRODUCT(Mecze[[#This Row],[/PR:90]:[/BR:90]],Brudnopis!$E$28:$J$28),0)</f>
        <v>0.10416666666666667</v>
      </c>
      <c r="Y2229" s="35">
        <f>IF(Mecze[[#This Row],[Role]]="BR",Mecze[[#This Row],[/OB:90]]+Mecze[[#This Row],[/PC:90]],SUM(Mecze[[#This Row],[/PR:90]:[/BR:90]]))</f>
        <v>0.19791666666666669</v>
      </c>
      <c r="Z2229" s="35">
        <f>IF(Mecze[[#This Row],[KC]]=0,SUM(Mecze[[#This Row],[/BRI]:[/NPI]]),SUM(Mecze[[#This Row],[/BRI]:[/NPI]])*0.6)</f>
        <v>0.99739583333333337</v>
      </c>
      <c r="AA2229" s="10">
        <f>IFERROR(Mecze[[#This Row],[BR]]/Mecze[[#This Row],[ST]],0)</f>
        <v>0</v>
      </c>
      <c r="AB2229">
        <f>ROUND(Mecze[[#This Row],[PD]]*Mecze[[#This Row],[%PC]],0)</f>
        <v>10</v>
      </c>
      <c r="AC2229">
        <f>ROUND(Mecze[[#This Row],[OD]]*Mecze[[#This Row],[%OU]],0)</f>
        <v>4</v>
      </c>
      <c r="AD2229" s="36" t="s">
        <v>41</v>
      </c>
      <c r="AE2229" s="36">
        <v>125</v>
      </c>
      <c r="AF2229" s="71">
        <v>4.96</v>
      </c>
      <c r="AG2229" s="37">
        <v>0</v>
      </c>
      <c r="AH2229" s="37">
        <v>0</v>
      </c>
      <c r="AI2229" s="37">
        <v>96</v>
      </c>
      <c r="AJ2229" s="37">
        <v>1</v>
      </c>
      <c r="AK2229" s="37" t="str">
        <f>VLOOKUP(Mecze[[#This Row],[Match ID]],Meczusie[Mecz]:Meczusie[RodzajMeczu],2,FALSE)</f>
        <v>Liga</v>
      </c>
    </row>
    <row r="2230" spans="1:37" x14ac:dyDescent="0.25">
      <c r="A2230" s="76">
        <v>15</v>
      </c>
      <c r="B2230" s="3" t="s">
        <v>170</v>
      </c>
      <c r="C2230" s="2" t="s">
        <v>160</v>
      </c>
      <c r="D2230" s="1">
        <v>0</v>
      </c>
      <c r="E2230" s="1">
        <v>0</v>
      </c>
      <c r="F2230" s="1">
        <v>0</v>
      </c>
      <c r="G2230" s="1">
        <v>13</v>
      </c>
      <c r="H2230" s="4">
        <v>0.62</v>
      </c>
      <c r="I2230" s="1">
        <v>9</v>
      </c>
      <c r="J2230" s="4">
        <v>0.44</v>
      </c>
      <c r="K2230" s="1">
        <v>0</v>
      </c>
      <c r="L2230" s="1">
        <v>8</v>
      </c>
      <c r="M2230" s="32">
        <f>IF(Mecze[[#This Row],[PR]]=0,0,Mecze[[#This Row],[PR]]/Mecze[[#This Row],[CZAS]])</f>
        <v>8.3333333333333329E-2</v>
      </c>
      <c r="N2230" s="32">
        <f>IF(Mecze[[#This Row],[OU]]=0,0,Mecze[[#This Row],[OU]]/Mecze[[#This Row],[CZAS]])</f>
        <v>4.1666666666666664E-2</v>
      </c>
      <c r="O2230" s="32">
        <f>IF(Mecze[[#This Row],[PC]]=0,0,Mecze[[#This Row],[PC]]/Mecze[[#This Row],[CZAS]])</f>
        <v>8.3333333333333329E-2</v>
      </c>
      <c r="P2230" s="32">
        <f>IF(Mecze[[#This Row],[SC]]=0,0,Mecze[[#This Row],[SC]]/Mecze[[#This Row],[CZAS]])</f>
        <v>0</v>
      </c>
      <c r="Q2230" s="32">
        <f>IF(Mecze[[#This Row],[OB]]=0,0,Mecze[[#This Row],[OB]]/Mecze[[#This Row],[CZAS]])</f>
        <v>0</v>
      </c>
      <c r="R2230" s="32">
        <f>IF(Mecze[[#This Row],[BR]]=0,0,Mecze[[#This Row],[BR]]/Mecze[[#This Row],[CZAS]])</f>
        <v>0</v>
      </c>
      <c r="S2230" s="44">
        <f>IF(Mecze[[#This Row],[Role]]="BR",SUMPRODUCT(Mecze[[#This Row],[/PR:90]:[/BR:90]],Brudnopis!$E$23:$J$23),0)</f>
        <v>0</v>
      </c>
      <c r="T2230" s="44">
        <f>IF(Mecze[[#This Row],[Role]]&lt;&gt;"BR",SUMPRODUCT(Mecze[[#This Row],[/PR:90]:[/BR:90]],Brudnopis!$E$24:$J$24),0)</f>
        <v>0.22916666666666663</v>
      </c>
      <c r="U2230" s="44">
        <f>IF(Mecze[[#This Row],[Role]]&lt;&gt;"BR",SUMPRODUCT(Mecze[[#This Row],[/PR:90]:[/BR:90]],Brudnopis!$E$25:$J$25),0)</f>
        <v>0.25</v>
      </c>
      <c r="V2230" s="44">
        <f>IF(Mecze[[#This Row],[Role]]&lt;&gt;"BR",SUMPRODUCT(Mecze[[#This Row],[/PR:90]:[/BR:90]],Brudnopis!$E$26:$J$26),0)</f>
        <v>0.20833333333333331</v>
      </c>
      <c r="W2230" s="44">
        <f>IF(Mecze[[#This Row],[Role]]&lt;&gt;"BR",SUMPRODUCT(Mecze[[#This Row],[/PR:90]:[/BR:90]],Brudnopis!$E$27:$J$27),0)</f>
        <v>0.21875</v>
      </c>
      <c r="X2230" s="44">
        <f>IF(Mecze[[#This Row],[Role]]&lt;&gt;"BR",SUMPRODUCT(Mecze[[#This Row],[/PR:90]:[/BR:90]],Brudnopis!$E$28:$J$28),0)</f>
        <v>8.3333333333333329E-2</v>
      </c>
      <c r="Y2230" s="35">
        <f>IF(Mecze[[#This Row],[Role]]="BR",Mecze[[#This Row],[/OB:90]]+Mecze[[#This Row],[/PC:90]],SUM(Mecze[[#This Row],[/PR:90]:[/BR:90]]))</f>
        <v>0.20833333333333331</v>
      </c>
      <c r="Z2230" s="35">
        <f>IF(Mecze[[#This Row],[KC]]=0,SUM(Mecze[[#This Row],[/BRI]:[/NPI]]),SUM(Mecze[[#This Row],[/BRI]:[/NPI]])*0.6)</f>
        <v>0.98958333333333337</v>
      </c>
      <c r="AA2230" s="10">
        <f>IFERROR(Mecze[[#This Row],[BR]]/Mecze[[#This Row],[ST]],0)</f>
        <v>0</v>
      </c>
      <c r="AB2230">
        <f>ROUND(Mecze[[#This Row],[PD]]*Mecze[[#This Row],[%PC]],0)</f>
        <v>8</v>
      </c>
      <c r="AC2230">
        <f>ROUND(Mecze[[#This Row],[OD]]*Mecze[[#This Row],[%OU]],0)</f>
        <v>4</v>
      </c>
      <c r="AD2230" s="36" t="s">
        <v>41</v>
      </c>
      <c r="AE2230" s="36">
        <v>125</v>
      </c>
      <c r="AF2230" s="71">
        <v>5.59</v>
      </c>
      <c r="AG2230" s="37">
        <v>0</v>
      </c>
      <c r="AH2230" s="37">
        <v>0</v>
      </c>
      <c r="AI2230" s="37">
        <v>96</v>
      </c>
      <c r="AJ2230" s="37">
        <v>1</v>
      </c>
      <c r="AK2230" s="37" t="str">
        <f>VLOOKUP(Mecze[[#This Row],[Match ID]],Meczusie[Mecz]:Meczusie[RodzajMeczu],2,FALSE)</f>
        <v>Liga</v>
      </c>
    </row>
    <row r="2231" spans="1:37" x14ac:dyDescent="0.25">
      <c r="A2231" s="76">
        <v>13</v>
      </c>
      <c r="B2231" s="3" t="s">
        <v>162</v>
      </c>
      <c r="C2231" s="2" t="s">
        <v>160</v>
      </c>
      <c r="D2231" s="1">
        <v>0</v>
      </c>
      <c r="E2231" s="1">
        <v>1</v>
      </c>
      <c r="F2231" s="1">
        <v>1</v>
      </c>
      <c r="G2231" s="1">
        <v>5</v>
      </c>
      <c r="H2231" s="4">
        <v>0.6</v>
      </c>
      <c r="I2231" s="1">
        <v>2</v>
      </c>
      <c r="J2231" s="4">
        <v>0</v>
      </c>
      <c r="K2231" s="1">
        <v>0</v>
      </c>
      <c r="L2231" s="1">
        <v>2</v>
      </c>
      <c r="M2231" s="32">
        <f>IF(Mecze[[#This Row],[PR]]=0,0,Mecze[[#This Row],[PR]]/Mecze[[#This Row],[CZAS]])</f>
        <v>2.0833333333333332E-2</v>
      </c>
      <c r="N2231" s="32">
        <f>IF(Mecze[[#This Row],[OU]]=0,0,Mecze[[#This Row],[OU]]/Mecze[[#This Row],[CZAS]])</f>
        <v>0</v>
      </c>
      <c r="O2231" s="32">
        <f>IF(Mecze[[#This Row],[PC]]=0,0,Mecze[[#This Row],[PC]]/Mecze[[#This Row],[CZAS]])</f>
        <v>3.125E-2</v>
      </c>
      <c r="P2231" s="32">
        <f>IF(Mecze[[#This Row],[SC]]=0,0,Mecze[[#This Row],[SC]]/Mecze[[#This Row],[CZAS]])</f>
        <v>1.0416666666666666E-2</v>
      </c>
      <c r="Q2231" s="32">
        <f>IF(Mecze[[#This Row],[OB]]=0,0,Mecze[[#This Row],[OB]]/Mecze[[#This Row],[CZAS]])</f>
        <v>0</v>
      </c>
      <c r="R2231" s="32">
        <f>IF(Mecze[[#This Row],[BR]]=0,0,Mecze[[#This Row],[BR]]/Mecze[[#This Row],[CZAS]])</f>
        <v>0</v>
      </c>
      <c r="S2231" s="44">
        <f>IF(Mecze[[#This Row],[Role]]="BR",SUMPRODUCT(Mecze[[#This Row],[/PR:90]:[/BR:90]],Brudnopis!$E$23:$J$23),0)</f>
        <v>0</v>
      </c>
      <c r="T2231" s="44">
        <f>IF(Mecze[[#This Row],[Role]]&lt;&gt;"BR",SUMPRODUCT(Mecze[[#This Row],[/PR:90]:[/BR:90]],Brudnopis!$E$24:$J$24),0)</f>
        <v>6.2499999999999993E-2</v>
      </c>
      <c r="U2231" s="44">
        <f>IF(Mecze[[#This Row],[Role]]&lt;&gt;"BR",SUMPRODUCT(Mecze[[#This Row],[/PR:90]:[/BR:90]],Brudnopis!$E$25:$J$25),0)</f>
        <v>7.8125E-2</v>
      </c>
      <c r="V2231" s="44">
        <f>IF(Mecze[[#This Row],[Role]]&lt;&gt;"BR",SUMPRODUCT(Mecze[[#This Row],[/PR:90]:[/BR:90]],Brudnopis!$E$26:$J$26),0)</f>
        <v>6.2499999999999993E-2</v>
      </c>
      <c r="W2231" s="44">
        <f>IF(Mecze[[#This Row],[Role]]&lt;&gt;"BR",SUMPRODUCT(Mecze[[#This Row],[/PR:90]:[/BR:90]],Brudnopis!$E$27:$J$27),0)</f>
        <v>7.2916666666666671E-2</v>
      </c>
      <c r="X2231" s="44">
        <f>IF(Mecze[[#This Row],[Role]]&lt;&gt;"BR",SUMPRODUCT(Mecze[[#This Row],[/PR:90]:[/BR:90]],Brudnopis!$E$28:$J$28),0)</f>
        <v>5.2083333333333329E-2</v>
      </c>
      <c r="Y2231" s="35">
        <f>IF(Mecze[[#This Row],[Role]]="BR",Mecze[[#This Row],[/OB:90]]+Mecze[[#This Row],[/PC:90]],SUM(Mecze[[#This Row],[/PR:90]:[/BR:90]]))</f>
        <v>6.2499999999999993E-2</v>
      </c>
      <c r="Z2231" s="35">
        <f>IF(Mecze[[#This Row],[KC]]=0,SUM(Mecze[[#This Row],[/BRI]:[/NPI]]),SUM(Mecze[[#This Row],[/BRI]:[/NPI]])*0.6)</f>
        <v>0.328125</v>
      </c>
      <c r="AA2231" s="10">
        <f>IFERROR(Mecze[[#This Row],[BR]]/Mecze[[#This Row],[ST]],0)</f>
        <v>0</v>
      </c>
      <c r="AB2231">
        <f>ROUND(Mecze[[#This Row],[PD]]*Mecze[[#This Row],[%PC]],0)</f>
        <v>3</v>
      </c>
      <c r="AC2231">
        <f>ROUND(Mecze[[#This Row],[OD]]*Mecze[[#This Row],[%OU]],0)</f>
        <v>0</v>
      </c>
      <c r="AD2231" s="36" t="s">
        <v>319</v>
      </c>
      <c r="AE2231" s="36">
        <v>125</v>
      </c>
      <c r="AF2231" s="71">
        <v>4.5599999999999996</v>
      </c>
      <c r="AG2231" s="37">
        <v>0</v>
      </c>
      <c r="AH2231" s="37">
        <v>0</v>
      </c>
      <c r="AI2231" s="37">
        <v>96</v>
      </c>
      <c r="AJ2231" s="37">
        <v>1</v>
      </c>
      <c r="AK2231" s="37" t="str">
        <f>VLOOKUP(Mecze[[#This Row],[Match ID]],Meczusie[Mecz]:Meczusie[RodzajMeczu],2,FALSE)</f>
        <v>Liga</v>
      </c>
    </row>
    <row r="2232" spans="1:37" x14ac:dyDescent="0.25">
      <c r="A2232" s="76">
        <v>8</v>
      </c>
      <c r="B2232" s="3" t="s">
        <v>154</v>
      </c>
      <c r="C2232" s="2" t="s">
        <v>160</v>
      </c>
      <c r="D2232" s="1">
        <v>0</v>
      </c>
      <c r="E2232" s="1">
        <v>0</v>
      </c>
      <c r="F2232" s="1">
        <v>0</v>
      </c>
      <c r="G2232" s="1">
        <v>6</v>
      </c>
      <c r="H2232" s="4">
        <v>0.83</v>
      </c>
      <c r="I2232" s="1">
        <v>2</v>
      </c>
      <c r="J2232" s="4">
        <v>0</v>
      </c>
      <c r="K2232" s="1">
        <v>0</v>
      </c>
      <c r="L2232" s="1">
        <v>2</v>
      </c>
      <c r="M2232" s="32">
        <f>IF(Mecze[[#This Row],[PR]]=0,0,Mecze[[#This Row],[PR]]/Mecze[[#This Row],[CZAS]])</f>
        <v>2.0833333333333332E-2</v>
      </c>
      <c r="N2232" s="32">
        <f>IF(Mecze[[#This Row],[OU]]=0,0,Mecze[[#This Row],[OU]]/Mecze[[#This Row],[CZAS]])</f>
        <v>0</v>
      </c>
      <c r="O2232" s="32">
        <f>IF(Mecze[[#This Row],[PC]]=0,0,Mecze[[#This Row],[PC]]/Mecze[[#This Row],[CZAS]])</f>
        <v>5.2083333333333336E-2</v>
      </c>
      <c r="P2232" s="32">
        <f>IF(Mecze[[#This Row],[SC]]=0,0,Mecze[[#This Row],[SC]]/Mecze[[#This Row],[CZAS]])</f>
        <v>0</v>
      </c>
      <c r="Q2232" s="32">
        <f>IF(Mecze[[#This Row],[OB]]=0,0,Mecze[[#This Row],[OB]]/Mecze[[#This Row],[CZAS]])</f>
        <v>0</v>
      </c>
      <c r="R2232" s="32">
        <f>IF(Mecze[[#This Row],[BR]]=0,0,Mecze[[#This Row],[BR]]/Mecze[[#This Row],[CZAS]])</f>
        <v>0</v>
      </c>
      <c r="S2232" s="44">
        <f>IF(Mecze[[#This Row],[Role]]="BR",SUMPRODUCT(Mecze[[#This Row],[/PR:90]:[/BR:90]],Brudnopis!$E$23:$J$23),0)</f>
        <v>0</v>
      </c>
      <c r="T2232" s="44">
        <f>IF(Mecze[[#This Row],[Role]]&lt;&gt;"BR",SUMPRODUCT(Mecze[[#This Row],[/PR:90]:[/BR:90]],Brudnopis!$E$24:$J$24),0)</f>
        <v>7.2916666666666671E-2</v>
      </c>
      <c r="U2232" s="44">
        <f>IF(Mecze[[#This Row],[Role]]&lt;&gt;"BR",SUMPRODUCT(Mecze[[#This Row],[/PR:90]:[/BR:90]],Brudnopis!$E$25:$J$25),0)</f>
        <v>9.8958333333333329E-2</v>
      </c>
      <c r="V2232" s="44">
        <f>IF(Mecze[[#This Row],[Role]]&lt;&gt;"BR",SUMPRODUCT(Mecze[[#This Row],[/PR:90]:[/BR:90]],Brudnopis!$E$26:$J$26),0)</f>
        <v>7.2916666666666671E-2</v>
      </c>
      <c r="W2232" s="44">
        <f>IF(Mecze[[#This Row],[Role]]&lt;&gt;"BR",SUMPRODUCT(Mecze[[#This Row],[/PR:90]:[/BR:90]],Brudnopis!$E$27:$J$27),0)</f>
        <v>9.375E-2</v>
      </c>
      <c r="X2232" s="44">
        <f>IF(Mecze[[#This Row],[Role]]&lt;&gt;"BR",SUMPRODUCT(Mecze[[#This Row],[/PR:90]:[/BR:90]],Brudnopis!$E$28:$J$28),0)</f>
        <v>5.2083333333333336E-2</v>
      </c>
      <c r="Y2232" s="35">
        <f>IF(Mecze[[#This Row],[Role]]="BR",Mecze[[#This Row],[/OB:90]]+Mecze[[#This Row],[/PC:90]],SUM(Mecze[[#This Row],[/PR:90]:[/BR:90]]))</f>
        <v>7.2916666666666671E-2</v>
      </c>
      <c r="Z2232" s="35">
        <f>IF(Mecze[[#This Row],[KC]]=0,SUM(Mecze[[#This Row],[/BRI]:[/NPI]]),SUM(Mecze[[#This Row],[/BRI]:[/NPI]])*0.6)</f>
        <v>0.390625</v>
      </c>
      <c r="AA2232" s="10">
        <f>IFERROR(Mecze[[#This Row],[BR]]/Mecze[[#This Row],[ST]],0)</f>
        <v>0</v>
      </c>
      <c r="AB2232">
        <f>ROUND(Mecze[[#This Row],[PD]]*Mecze[[#This Row],[%PC]],0)</f>
        <v>5</v>
      </c>
      <c r="AC2232">
        <f>ROUND(Mecze[[#This Row],[OD]]*Mecze[[#This Row],[%OU]],0)</f>
        <v>0</v>
      </c>
      <c r="AD2232" s="36" t="s">
        <v>318</v>
      </c>
      <c r="AE2232" s="36">
        <v>125</v>
      </c>
      <c r="AF2232" s="71">
        <v>5.24</v>
      </c>
      <c r="AG2232" s="37">
        <v>0</v>
      </c>
      <c r="AH2232" s="37">
        <v>0</v>
      </c>
      <c r="AI2232" s="37">
        <v>96</v>
      </c>
      <c r="AJ2232" s="37">
        <v>1</v>
      </c>
      <c r="AK2232" s="37" t="str">
        <f>VLOOKUP(Mecze[[#This Row],[Match ID]],Meczusie[Mecz]:Meczusie[RodzajMeczu],2,FALSE)</f>
        <v>Liga</v>
      </c>
    </row>
    <row r="2233" spans="1:37" x14ac:dyDescent="0.25">
      <c r="A2233" s="76">
        <v>14</v>
      </c>
      <c r="B2233" s="3" t="s">
        <v>164</v>
      </c>
      <c r="C2233" s="2" t="s">
        <v>165</v>
      </c>
      <c r="D2233" s="1">
        <v>0</v>
      </c>
      <c r="E2233" s="1">
        <v>2</v>
      </c>
      <c r="F2233" s="1">
        <v>2</v>
      </c>
      <c r="G2233" s="1">
        <v>11</v>
      </c>
      <c r="H2233" s="4">
        <v>0.45</v>
      </c>
      <c r="I2233" s="1">
        <v>5</v>
      </c>
      <c r="J2233" s="4">
        <v>0.4</v>
      </c>
      <c r="K2233" s="1">
        <v>0</v>
      </c>
      <c r="L2233" s="1">
        <v>2</v>
      </c>
      <c r="M2233" s="32">
        <f>IF(Mecze[[#This Row],[PR]]=0,0,Mecze[[#This Row],[PR]]/Mecze[[#This Row],[CZAS]])</f>
        <v>2.0833333333333332E-2</v>
      </c>
      <c r="N2233" s="32">
        <f>IF(Mecze[[#This Row],[OU]]=0,0,Mecze[[#This Row],[OU]]/Mecze[[#This Row],[CZAS]])</f>
        <v>2.0833333333333332E-2</v>
      </c>
      <c r="O2233" s="32">
        <f>IF(Mecze[[#This Row],[PC]]=0,0,Mecze[[#This Row],[PC]]/Mecze[[#This Row],[CZAS]])</f>
        <v>5.2083333333333336E-2</v>
      </c>
      <c r="P2233" s="32">
        <f>IF(Mecze[[#This Row],[SC]]=0,0,Mecze[[#This Row],[SC]]/Mecze[[#This Row],[CZAS]])</f>
        <v>2.0833333333333332E-2</v>
      </c>
      <c r="Q2233" s="32">
        <f>IF(Mecze[[#This Row],[OB]]=0,0,Mecze[[#This Row],[OB]]/Mecze[[#This Row],[CZAS]])</f>
        <v>0</v>
      </c>
      <c r="R2233" s="32">
        <f>IF(Mecze[[#This Row],[BR]]=0,0,Mecze[[#This Row],[BR]]/Mecze[[#This Row],[CZAS]])</f>
        <v>0</v>
      </c>
      <c r="S2233" s="44">
        <f>IF(Mecze[[#This Row],[Role]]="BR",SUMPRODUCT(Mecze[[#This Row],[/PR:90]:[/BR:90]],Brudnopis!$E$23:$J$23),0)</f>
        <v>0</v>
      </c>
      <c r="T2233" s="44">
        <f>IF(Mecze[[#This Row],[Role]]&lt;&gt;"BR",SUMPRODUCT(Mecze[[#This Row],[/PR:90]:[/BR:90]],Brudnopis!$E$24:$J$24),0)</f>
        <v>0.12499999999999999</v>
      </c>
      <c r="U2233" s="44">
        <f>IF(Mecze[[#This Row],[Role]]&lt;&gt;"BR",SUMPRODUCT(Mecze[[#This Row],[/PR:90]:[/BR:90]],Brudnopis!$E$25:$J$25),0)</f>
        <v>0.140625</v>
      </c>
      <c r="V2233" s="44">
        <f>IF(Mecze[[#This Row],[Role]]&lt;&gt;"BR",SUMPRODUCT(Mecze[[#This Row],[/PR:90]:[/BR:90]],Brudnopis!$E$26:$J$26),0)</f>
        <v>0.11458333333333333</v>
      </c>
      <c r="W2233" s="44">
        <f>IF(Mecze[[#This Row],[Role]]&lt;&gt;"BR",SUMPRODUCT(Mecze[[#This Row],[/PR:90]:[/BR:90]],Brudnopis!$E$27:$J$27),0)</f>
        <v>0.13020833333333334</v>
      </c>
      <c r="X2233" s="44">
        <f>IF(Mecze[[#This Row],[Role]]&lt;&gt;"BR",SUMPRODUCT(Mecze[[#This Row],[/PR:90]:[/BR:90]],Brudnopis!$E$28:$J$28),0)</f>
        <v>9.375E-2</v>
      </c>
      <c r="Y2233" s="35">
        <f>IF(Mecze[[#This Row],[Role]]="BR",Mecze[[#This Row],[/OB:90]]+Mecze[[#This Row],[/PC:90]],SUM(Mecze[[#This Row],[/PR:90]:[/BR:90]]))</f>
        <v>0.11458333333333333</v>
      </c>
      <c r="Z2233" s="35">
        <f>IF(Mecze[[#This Row],[KC]]=0,SUM(Mecze[[#This Row],[/BRI]:[/NPI]]),SUM(Mecze[[#This Row],[/BRI]:[/NPI]])*0.6)</f>
        <v>0.60416666666666663</v>
      </c>
      <c r="AA2233" s="10">
        <f>IFERROR(Mecze[[#This Row],[BR]]/Mecze[[#This Row],[ST]],0)</f>
        <v>0</v>
      </c>
      <c r="AB2233">
        <f>ROUND(Mecze[[#This Row],[PD]]*Mecze[[#This Row],[%PC]],0)</f>
        <v>5</v>
      </c>
      <c r="AC2233">
        <f>ROUND(Mecze[[#This Row],[OD]]*Mecze[[#This Row],[%OU]],0)</f>
        <v>2</v>
      </c>
      <c r="AD2233" s="36" t="s">
        <v>46</v>
      </c>
      <c r="AE2233" s="36">
        <v>125</v>
      </c>
      <c r="AF2233" s="71">
        <v>2.04</v>
      </c>
      <c r="AG2233" s="37">
        <v>1</v>
      </c>
      <c r="AH2233" s="37">
        <v>0</v>
      </c>
      <c r="AI2233" s="37">
        <v>96</v>
      </c>
      <c r="AJ2233" s="37">
        <v>1</v>
      </c>
      <c r="AK2233" s="37" t="str">
        <f>VLOOKUP(Mecze[[#This Row],[Match ID]],Meczusie[Mecz]:Meczusie[RodzajMeczu],2,FALSE)</f>
        <v>Liga</v>
      </c>
    </row>
    <row r="2234" spans="1:37" x14ac:dyDescent="0.25">
      <c r="A2234" s="76">
        <v>9</v>
      </c>
      <c r="B2234" s="3" t="s">
        <v>411</v>
      </c>
      <c r="C2234" s="2" t="s">
        <v>165</v>
      </c>
      <c r="D2234" s="1">
        <v>0</v>
      </c>
      <c r="E2234" s="1">
        <v>5</v>
      </c>
      <c r="F2234" s="1">
        <v>4</v>
      </c>
      <c r="G2234" s="1">
        <v>10</v>
      </c>
      <c r="H2234" s="4">
        <v>0.4</v>
      </c>
      <c r="I2234" s="1">
        <v>4</v>
      </c>
      <c r="J2234" s="4">
        <v>0</v>
      </c>
      <c r="K2234" s="1">
        <v>0</v>
      </c>
      <c r="L2234" s="1">
        <v>0</v>
      </c>
      <c r="M2234" s="32">
        <f>IF(Mecze[[#This Row],[PR]]=0,0,Mecze[[#This Row],[PR]]/Mecze[[#This Row],[CZAS]])</f>
        <v>0</v>
      </c>
      <c r="N2234" s="32">
        <f>IF(Mecze[[#This Row],[OU]]=0,0,Mecze[[#This Row],[OU]]/Mecze[[#This Row],[CZAS]])</f>
        <v>0</v>
      </c>
      <c r="O2234" s="32">
        <f>IF(Mecze[[#This Row],[PC]]=0,0,Mecze[[#This Row],[PC]]/Mecze[[#This Row],[CZAS]])</f>
        <v>4.1666666666666664E-2</v>
      </c>
      <c r="P2234" s="32">
        <f>IF(Mecze[[#This Row],[SC]]=0,0,Mecze[[#This Row],[SC]]/Mecze[[#This Row],[CZAS]])</f>
        <v>4.1666666666666664E-2</v>
      </c>
      <c r="Q2234" s="32">
        <f>IF(Mecze[[#This Row],[OB]]=0,0,Mecze[[#This Row],[OB]]/Mecze[[#This Row],[CZAS]])</f>
        <v>0</v>
      </c>
      <c r="R2234" s="32">
        <f>IF(Mecze[[#This Row],[BR]]=0,0,Mecze[[#This Row],[BR]]/Mecze[[#This Row],[CZAS]])</f>
        <v>0</v>
      </c>
      <c r="S2234" s="44">
        <f>IF(Mecze[[#This Row],[Role]]="BR",SUMPRODUCT(Mecze[[#This Row],[/PR:90]:[/BR:90]],Brudnopis!$E$23:$J$23),0)</f>
        <v>0</v>
      </c>
      <c r="T2234" s="44">
        <f>IF(Mecze[[#This Row],[Role]]&lt;&gt;"BR",SUMPRODUCT(Mecze[[#This Row],[/PR:90]:[/BR:90]],Brudnopis!$E$24:$J$24),0)</f>
        <v>8.3333333333333329E-2</v>
      </c>
      <c r="U2234" s="44">
        <f>IF(Mecze[[#This Row],[Role]]&lt;&gt;"BR",SUMPRODUCT(Mecze[[#This Row],[/PR:90]:[/BR:90]],Brudnopis!$E$25:$J$25),0)</f>
        <v>0.10416666666666666</v>
      </c>
      <c r="V2234" s="44">
        <f>IF(Mecze[[#This Row],[Role]]&lt;&gt;"BR",SUMPRODUCT(Mecze[[#This Row],[/PR:90]:[/BR:90]],Brudnopis!$E$26:$J$26),0)</f>
        <v>8.3333333333333329E-2</v>
      </c>
      <c r="W2234" s="44">
        <f>IF(Mecze[[#This Row],[Role]]&lt;&gt;"BR",SUMPRODUCT(Mecze[[#This Row],[/PR:90]:[/BR:90]],Brudnopis!$E$27:$J$27),0)</f>
        <v>0.10416666666666666</v>
      </c>
      <c r="X2234" s="44">
        <f>IF(Mecze[[#This Row],[Role]]&lt;&gt;"BR",SUMPRODUCT(Mecze[[#This Row],[/PR:90]:[/BR:90]],Brudnopis!$E$28:$J$28),0)</f>
        <v>0.125</v>
      </c>
      <c r="Y2234" s="35">
        <f>IF(Mecze[[#This Row],[Role]]="BR",Mecze[[#This Row],[/OB:90]]+Mecze[[#This Row],[/PC:90]],SUM(Mecze[[#This Row],[/PR:90]:[/BR:90]]))</f>
        <v>8.3333333333333329E-2</v>
      </c>
      <c r="Z2234" s="35">
        <f>IF(Mecze[[#This Row],[KC]]=0,SUM(Mecze[[#This Row],[/BRI]:[/NPI]]),SUM(Mecze[[#This Row],[/BRI]:[/NPI]])*0.6)</f>
        <v>0.5</v>
      </c>
      <c r="AA2234" s="10">
        <f>IFERROR(Mecze[[#This Row],[BR]]/Mecze[[#This Row],[ST]],0)</f>
        <v>0</v>
      </c>
      <c r="AB2234">
        <f>ROUND(Mecze[[#This Row],[PD]]*Mecze[[#This Row],[%PC]],0)</f>
        <v>4</v>
      </c>
      <c r="AC2234">
        <f>ROUND(Mecze[[#This Row],[OD]]*Mecze[[#This Row],[%OU]],0)</f>
        <v>0</v>
      </c>
      <c r="AD2234" s="36" t="s">
        <v>46</v>
      </c>
      <c r="AE2234" s="36">
        <v>125</v>
      </c>
      <c r="AF2234" s="71">
        <v>3.59</v>
      </c>
      <c r="AG2234" s="37">
        <v>0</v>
      </c>
      <c r="AH2234" s="37">
        <v>0</v>
      </c>
      <c r="AI2234" s="37">
        <v>96</v>
      </c>
      <c r="AJ2234" s="37">
        <v>1</v>
      </c>
      <c r="AK2234" s="37" t="str">
        <f>VLOOKUP(Mecze[[#This Row],[Match ID]],Meczusie[Mecz]:Meczusie[RodzajMeczu],2,FALSE)</f>
        <v>Liga</v>
      </c>
    </row>
    <row r="2235" spans="1:37" x14ac:dyDescent="0.25">
      <c r="A2235" s="76">
        <v>11</v>
      </c>
      <c r="B2235" s="3" t="s">
        <v>163</v>
      </c>
      <c r="C2235" s="2" t="s">
        <v>165</v>
      </c>
      <c r="D2235" s="1">
        <v>0</v>
      </c>
      <c r="E2235" s="1">
        <v>5</v>
      </c>
      <c r="F2235" s="1">
        <v>3</v>
      </c>
      <c r="G2235" s="1">
        <v>6</v>
      </c>
      <c r="H2235" s="4">
        <v>0.67</v>
      </c>
      <c r="I2235" s="1">
        <v>3</v>
      </c>
      <c r="J2235" s="4">
        <v>1</v>
      </c>
      <c r="K2235" s="1">
        <v>0</v>
      </c>
      <c r="L2235" s="1">
        <v>2</v>
      </c>
      <c r="M2235" s="32">
        <f>IF(Mecze[[#This Row],[PR]]=0,0,Mecze[[#This Row],[PR]]/Mecze[[#This Row],[CZAS]])</f>
        <v>2.0833333333333332E-2</v>
      </c>
      <c r="N2235" s="32">
        <f>IF(Mecze[[#This Row],[OU]]=0,0,Mecze[[#This Row],[OU]]/Mecze[[#This Row],[CZAS]])</f>
        <v>3.125E-2</v>
      </c>
      <c r="O2235" s="32">
        <f>IF(Mecze[[#This Row],[PC]]=0,0,Mecze[[#This Row],[PC]]/Mecze[[#This Row],[CZAS]])</f>
        <v>4.1666666666666664E-2</v>
      </c>
      <c r="P2235" s="32">
        <f>IF(Mecze[[#This Row],[SC]]=0,0,Mecze[[#This Row],[SC]]/Mecze[[#This Row],[CZAS]])</f>
        <v>3.125E-2</v>
      </c>
      <c r="Q2235" s="32">
        <f>IF(Mecze[[#This Row],[OB]]=0,0,Mecze[[#This Row],[OB]]/Mecze[[#This Row],[CZAS]])</f>
        <v>0</v>
      </c>
      <c r="R2235" s="32">
        <f>IF(Mecze[[#This Row],[BR]]=0,0,Mecze[[#This Row],[BR]]/Mecze[[#This Row],[CZAS]])</f>
        <v>0</v>
      </c>
      <c r="S2235" s="44">
        <f>IF(Mecze[[#This Row],[Role]]="BR",SUMPRODUCT(Mecze[[#This Row],[/PR:90]:[/BR:90]],Brudnopis!$E$23:$J$23),0)</f>
        <v>0</v>
      </c>
      <c r="T2235" s="44">
        <f>IF(Mecze[[#This Row],[Role]]&lt;&gt;"BR",SUMPRODUCT(Mecze[[#This Row],[/PR:90]:[/BR:90]],Brudnopis!$E$24:$J$24),0)</f>
        <v>0.140625</v>
      </c>
      <c r="U2235" s="44">
        <f>IF(Mecze[[#This Row],[Role]]&lt;&gt;"BR",SUMPRODUCT(Mecze[[#This Row],[/PR:90]:[/BR:90]],Brudnopis!$E$25:$J$25),0)</f>
        <v>0.14583333333333331</v>
      </c>
      <c r="V2235" s="44">
        <f>IF(Mecze[[#This Row],[Role]]&lt;&gt;"BR",SUMPRODUCT(Mecze[[#This Row],[/PR:90]:[/BR:90]],Brudnopis!$E$26:$J$26),0)</f>
        <v>0.125</v>
      </c>
      <c r="W2235" s="44">
        <f>IF(Mecze[[#This Row],[Role]]&lt;&gt;"BR",SUMPRODUCT(Mecze[[#This Row],[/PR:90]:[/BR:90]],Brudnopis!$E$27:$J$27),0)</f>
        <v>0.1328125</v>
      </c>
      <c r="X2235" s="44">
        <f>IF(Mecze[[#This Row],[Role]]&lt;&gt;"BR",SUMPRODUCT(Mecze[[#This Row],[/PR:90]:[/BR:90]],Brudnopis!$E$28:$J$28),0)</f>
        <v>0.10416666666666666</v>
      </c>
      <c r="Y2235" s="35">
        <f>IF(Mecze[[#This Row],[Role]]="BR",Mecze[[#This Row],[/OB:90]]+Mecze[[#This Row],[/PC:90]],SUM(Mecze[[#This Row],[/PR:90]:[/BR:90]]))</f>
        <v>0.125</v>
      </c>
      <c r="Z2235" s="35">
        <f>IF(Mecze[[#This Row],[KC]]=0,SUM(Mecze[[#This Row],[/BRI]:[/NPI]]),SUM(Mecze[[#This Row],[/BRI]:[/NPI]])*0.6)</f>
        <v>0.64843749999999989</v>
      </c>
      <c r="AA2235" s="10">
        <f>IFERROR(Mecze[[#This Row],[BR]]/Mecze[[#This Row],[ST]],0)</f>
        <v>0</v>
      </c>
      <c r="AB2235">
        <f>ROUND(Mecze[[#This Row],[PD]]*Mecze[[#This Row],[%PC]],0)</f>
        <v>4</v>
      </c>
      <c r="AC2235">
        <f>ROUND(Mecze[[#This Row],[OD]]*Mecze[[#This Row],[%OU]],0)</f>
        <v>3</v>
      </c>
      <c r="AD2235" s="36" t="s">
        <v>46</v>
      </c>
      <c r="AE2235" s="36">
        <v>125</v>
      </c>
      <c r="AF2235" s="71">
        <v>4.7</v>
      </c>
      <c r="AG2235" s="37">
        <v>0</v>
      </c>
      <c r="AH2235" s="37">
        <v>0</v>
      </c>
      <c r="AI2235" s="37">
        <v>96</v>
      </c>
      <c r="AJ2235" s="37">
        <v>1</v>
      </c>
      <c r="AK2235" s="37" t="str">
        <f>VLOOKUP(Mecze[[#This Row],[Match ID]],Meczusie[Mecz]:Meczusie[RodzajMeczu],2,FALSE)</f>
        <v>Liga</v>
      </c>
    </row>
    <row r="2236" spans="1:37" x14ac:dyDescent="0.25">
      <c r="A2236" s="76">
        <v>1</v>
      </c>
      <c r="B2236" s="3" t="s">
        <v>344</v>
      </c>
      <c r="C2236" s="2" t="s">
        <v>155</v>
      </c>
      <c r="D2236" s="1">
        <v>0</v>
      </c>
      <c r="E2236" s="1">
        <v>0</v>
      </c>
      <c r="F2236" s="1">
        <v>0</v>
      </c>
      <c r="G2236" s="1">
        <v>9</v>
      </c>
      <c r="H2236" s="4">
        <v>0.67</v>
      </c>
      <c r="I2236" s="1">
        <v>0</v>
      </c>
      <c r="J2236" s="4"/>
      <c r="K2236" s="1">
        <v>8</v>
      </c>
      <c r="L2236" s="1">
        <v>0</v>
      </c>
      <c r="M2236" s="32">
        <f>IF(Mecze[[#This Row],[PR]]=0,0,Mecze[[#This Row],[PR]]/Mecze[[#This Row],[CZAS]])</f>
        <v>0</v>
      </c>
      <c r="N2236" s="32">
        <f>IF(Mecze[[#This Row],[OU]]=0,0,Mecze[[#This Row],[OU]]/Mecze[[#This Row],[CZAS]])</f>
        <v>0</v>
      </c>
      <c r="O2236" s="32">
        <f>IF(Mecze[[#This Row],[PC]]=0,0,Mecze[[#This Row],[PC]]/Mecze[[#This Row],[CZAS]])</f>
        <v>6.25E-2</v>
      </c>
      <c r="P2236" s="32">
        <f>IF(Mecze[[#This Row],[SC]]=0,0,Mecze[[#This Row],[SC]]/Mecze[[#This Row],[CZAS]])</f>
        <v>0</v>
      </c>
      <c r="Q2236" s="32">
        <f>IF(Mecze[[#This Row],[OB]]=0,0,Mecze[[#This Row],[OB]]/Mecze[[#This Row],[CZAS]])</f>
        <v>8.3333333333333329E-2</v>
      </c>
      <c r="R2236" s="32">
        <f>IF(Mecze[[#This Row],[BR]]=0,0,Mecze[[#This Row],[BR]]/Mecze[[#This Row],[CZAS]])</f>
        <v>0</v>
      </c>
      <c r="S2236" s="44">
        <f>IF(Mecze[[#This Row],[Role]]="BR",SUMPRODUCT(Mecze[[#This Row],[/PR:90]:[/BR:90]],Brudnopis!$E$23:$J$23),0)</f>
        <v>0.4375</v>
      </c>
      <c r="T2236" s="44">
        <f>IF(Mecze[[#This Row],[Role]]&lt;&gt;"BR",SUMPRODUCT(Mecze[[#This Row],[/PR:90]:[/BR:90]],Brudnopis!$E$24:$J$24),0)</f>
        <v>0</v>
      </c>
      <c r="U2236" s="44">
        <f>IF(Mecze[[#This Row],[Role]]&lt;&gt;"BR",SUMPRODUCT(Mecze[[#This Row],[/PR:90]:[/BR:90]],Brudnopis!$E$25:$J$25),0)</f>
        <v>0</v>
      </c>
      <c r="V2236" s="44">
        <f>IF(Mecze[[#This Row],[Role]]&lt;&gt;"BR",SUMPRODUCT(Mecze[[#This Row],[/PR:90]:[/BR:90]],Brudnopis!$E$26:$J$26),0)</f>
        <v>0</v>
      </c>
      <c r="W2236" s="44">
        <f>IF(Mecze[[#This Row],[Role]]&lt;&gt;"BR",SUMPRODUCT(Mecze[[#This Row],[/PR:90]:[/BR:90]],Brudnopis!$E$27:$J$27),0)</f>
        <v>0</v>
      </c>
      <c r="X2236" s="44">
        <f>IF(Mecze[[#This Row],[Role]]&lt;&gt;"BR",SUMPRODUCT(Mecze[[#This Row],[/PR:90]:[/BR:90]],Brudnopis!$E$28:$J$28),0)</f>
        <v>0</v>
      </c>
      <c r="Y2236" s="35">
        <f>IF(Mecze[[#This Row],[Role]]="BR",Mecze[[#This Row],[/OB:90]]+Mecze[[#This Row],[/PC:90]],SUM(Mecze[[#This Row],[/PR:90]:[/BR:90]]))</f>
        <v>0.14583333333333331</v>
      </c>
      <c r="Z2236" s="35">
        <f>IF(Mecze[[#This Row],[KC]]=0,SUM(Mecze[[#This Row],[/BRI]:[/NPI]]),SUM(Mecze[[#This Row],[/BRI]:[/NPI]])*0.6)</f>
        <v>0.4375</v>
      </c>
      <c r="AA2236" s="10">
        <f>IFERROR(Mecze[[#This Row],[BR]]/Mecze[[#This Row],[ST]],0)</f>
        <v>0</v>
      </c>
      <c r="AB2236">
        <f>ROUND(Mecze[[#This Row],[PD]]*Mecze[[#This Row],[%PC]],0)</f>
        <v>6</v>
      </c>
      <c r="AC2236">
        <f>ROUND(Mecze[[#This Row],[OD]]*Mecze[[#This Row],[%OU]],0)</f>
        <v>0</v>
      </c>
      <c r="AD2236" s="36" t="s">
        <v>40</v>
      </c>
      <c r="AE2236" s="36">
        <v>125</v>
      </c>
      <c r="AF2236" s="71">
        <v>11.06</v>
      </c>
      <c r="AG2236" s="37">
        <v>0</v>
      </c>
      <c r="AH2236" s="37">
        <v>0</v>
      </c>
      <c r="AI2236" s="37">
        <v>96</v>
      </c>
      <c r="AJ2236" s="37">
        <v>5</v>
      </c>
      <c r="AK2236" s="37" t="str">
        <f>VLOOKUP(Mecze[[#This Row],[Match ID]],Meczusie[Mecz]:Meczusie[RodzajMeczu],2,FALSE)</f>
        <v>Liga</v>
      </c>
    </row>
    <row r="2237" spans="1:37" x14ac:dyDescent="0.25">
      <c r="A2237" s="76">
        <v>2</v>
      </c>
      <c r="B2237" s="3" t="s">
        <v>345</v>
      </c>
      <c r="C2237" s="2" t="s">
        <v>157</v>
      </c>
      <c r="D2237" s="1">
        <v>0</v>
      </c>
      <c r="E2237" s="1">
        <v>0</v>
      </c>
      <c r="F2237" s="1">
        <v>0</v>
      </c>
      <c r="G2237" s="1">
        <v>12</v>
      </c>
      <c r="H2237" s="4">
        <v>0.75</v>
      </c>
      <c r="I2237" s="1">
        <v>4</v>
      </c>
      <c r="J2237" s="4">
        <v>1</v>
      </c>
      <c r="K2237" s="1">
        <v>0</v>
      </c>
      <c r="L2237" s="1">
        <v>11</v>
      </c>
      <c r="M2237" s="32">
        <f>IF(Mecze[[#This Row],[PR]]=0,0,Mecze[[#This Row],[PR]]/Mecze[[#This Row],[CZAS]])</f>
        <v>0.11458333333333333</v>
      </c>
      <c r="N2237" s="32">
        <f>IF(Mecze[[#This Row],[OU]]=0,0,Mecze[[#This Row],[OU]]/Mecze[[#This Row],[CZAS]])</f>
        <v>4.1666666666666664E-2</v>
      </c>
      <c r="O2237" s="32">
        <f>IF(Mecze[[#This Row],[PC]]=0,0,Mecze[[#This Row],[PC]]/Mecze[[#This Row],[CZAS]])</f>
        <v>9.375E-2</v>
      </c>
      <c r="P2237" s="32">
        <f>IF(Mecze[[#This Row],[SC]]=0,0,Mecze[[#This Row],[SC]]/Mecze[[#This Row],[CZAS]])</f>
        <v>0</v>
      </c>
      <c r="Q2237" s="32">
        <f>IF(Mecze[[#This Row],[OB]]=0,0,Mecze[[#This Row],[OB]]/Mecze[[#This Row],[CZAS]])</f>
        <v>0</v>
      </c>
      <c r="R2237" s="32">
        <f>IF(Mecze[[#This Row],[BR]]=0,0,Mecze[[#This Row],[BR]]/Mecze[[#This Row],[CZAS]])</f>
        <v>0</v>
      </c>
      <c r="S2237" s="44">
        <f>IF(Mecze[[#This Row],[Role]]="BR",SUMPRODUCT(Mecze[[#This Row],[/PR:90]:[/BR:90]],Brudnopis!$E$23:$J$23),0)</f>
        <v>0</v>
      </c>
      <c r="T2237" s="44">
        <f>IF(Mecze[[#This Row],[Role]]&lt;&gt;"BR",SUMPRODUCT(Mecze[[#This Row],[/PR:90]:[/BR:90]],Brudnopis!$E$24:$J$24),0)</f>
        <v>0.27083333333333331</v>
      </c>
      <c r="U2237" s="44">
        <f>IF(Mecze[[#This Row],[Role]]&lt;&gt;"BR",SUMPRODUCT(Mecze[[#This Row],[/PR:90]:[/BR:90]],Brudnopis!$E$25:$J$25),0)</f>
        <v>0.296875</v>
      </c>
      <c r="V2237" s="44">
        <f>IF(Mecze[[#This Row],[Role]]&lt;&gt;"BR",SUMPRODUCT(Mecze[[#This Row],[/PR:90]:[/BR:90]],Brudnopis!$E$26:$J$26),0)</f>
        <v>0.25</v>
      </c>
      <c r="W2237" s="44">
        <f>IF(Mecze[[#This Row],[Role]]&lt;&gt;"BR",SUMPRODUCT(Mecze[[#This Row],[/PR:90]:[/BR:90]],Brudnopis!$E$27:$J$27),0)</f>
        <v>0.2578125</v>
      </c>
      <c r="X2237" s="44">
        <f>IF(Mecze[[#This Row],[Role]]&lt;&gt;"BR",SUMPRODUCT(Mecze[[#This Row],[/PR:90]:[/BR:90]],Brudnopis!$E$28:$J$28),0)</f>
        <v>9.375E-2</v>
      </c>
      <c r="Y2237" s="35">
        <f>IF(Mecze[[#This Row],[Role]]="BR",Mecze[[#This Row],[/OB:90]]+Mecze[[#This Row],[/PC:90]],SUM(Mecze[[#This Row],[/PR:90]:[/BR:90]]))</f>
        <v>0.25</v>
      </c>
      <c r="Z2237" s="35">
        <f>IF(Mecze[[#This Row],[KC]]=0,SUM(Mecze[[#This Row],[/BRI]:[/NPI]]),SUM(Mecze[[#This Row],[/BRI]:[/NPI]])*0.6)</f>
        <v>1.1692708333333333</v>
      </c>
      <c r="AA2237" s="10">
        <f>IFERROR(Mecze[[#This Row],[BR]]/Mecze[[#This Row],[ST]],0)</f>
        <v>0</v>
      </c>
      <c r="AB2237">
        <f>ROUND(Mecze[[#This Row],[PD]]*Mecze[[#This Row],[%PC]],0)</f>
        <v>9</v>
      </c>
      <c r="AC2237">
        <f>ROUND(Mecze[[#This Row],[OD]]*Mecze[[#This Row],[%OU]],0)</f>
        <v>4</v>
      </c>
      <c r="AD2237" s="36" t="s">
        <v>47</v>
      </c>
      <c r="AE2237" s="36">
        <v>125</v>
      </c>
      <c r="AF2237" s="71">
        <v>12.5</v>
      </c>
      <c r="AG2237" s="37">
        <v>0</v>
      </c>
      <c r="AH2237" s="37">
        <v>0</v>
      </c>
      <c r="AI2237" s="37">
        <v>96</v>
      </c>
      <c r="AJ2237" s="37">
        <v>5</v>
      </c>
      <c r="AK2237" s="37" t="str">
        <f>VLOOKUP(Mecze[[#This Row],[Match ID]],Meczusie[Mecz]:Meczusie[RodzajMeczu],2,FALSE)</f>
        <v>Liga</v>
      </c>
    </row>
    <row r="2238" spans="1:37" x14ac:dyDescent="0.25">
      <c r="A2238" s="76">
        <v>4</v>
      </c>
      <c r="B2238" s="3" t="s">
        <v>346</v>
      </c>
      <c r="C2238" s="2" t="s">
        <v>157</v>
      </c>
      <c r="D2238" s="1">
        <v>0</v>
      </c>
      <c r="E2238" s="1">
        <v>1</v>
      </c>
      <c r="F2238" s="1">
        <v>1</v>
      </c>
      <c r="G2238" s="1">
        <v>17</v>
      </c>
      <c r="H2238" s="4">
        <v>0.65</v>
      </c>
      <c r="I2238" s="1">
        <v>5</v>
      </c>
      <c r="J2238" s="4">
        <v>0.8</v>
      </c>
      <c r="K2238" s="1">
        <v>0</v>
      </c>
      <c r="L2238" s="1">
        <v>11</v>
      </c>
      <c r="M2238" s="32">
        <f>IF(Mecze[[#This Row],[PR]]=0,0,Mecze[[#This Row],[PR]]/Mecze[[#This Row],[CZAS]])</f>
        <v>0.11458333333333333</v>
      </c>
      <c r="N2238" s="32">
        <f>IF(Mecze[[#This Row],[OU]]=0,0,Mecze[[#This Row],[OU]]/Mecze[[#This Row],[CZAS]])</f>
        <v>4.1666666666666664E-2</v>
      </c>
      <c r="O2238" s="32">
        <f>IF(Mecze[[#This Row],[PC]]=0,0,Mecze[[#This Row],[PC]]/Mecze[[#This Row],[CZAS]])</f>
        <v>0.11458333333333333</v>
      </c>
      <c r="P2238" s="32">
        <f>IF(Mecze[[#This Row],[SC]]=0,0,Mecze[[#This Row],[SC]]/Mecze[[#This Row],[CZAS]])</f>
        <v>1.0416666666666666E-2</v>
      </c>
      <c r="Q2238" s="32">
        <f>IF(Mecze[[#This Row],[OB]]=0,0,Mecze[[#This Row],[OB]]/Mecze[[#This Row],[CZAS]])</f>
        <v>0</v>
      </c>
      <c r="R2238" s="32">
        <f>IF(Mecze[[#This Row],[BR]]=0,0,Mecze[[#This Row],[BR]]/Mecze[[#This Row],[CZAS]])</f>
        <v>0</v>
      </c>
      <c r="S2238" s="44">
        <f>IF(Mecze[[#This Row],[Role]]="BR",SUMPRODUCT(Mecze[[#This Row],[/PR:90]:[/BR:90]],Brudnopis!$E$23:$J$23),0)</f>
        <v>0</v>
      </c>
      <c r="T2238" s="44">
        <f>IF(Mecze[[#This Row],[Role]]&lt;&gt;"BR",SUMPRODUCT(Mecze[[#This Row],[/PR:90]:[/BR:90]],Brudnopis!$E$24:$J$24),0)</f>
        <v>0.30208333333333331</v>
      </c>
      <c r="U2238" s="44">
        <f>IF(Mecze[[#This Row],[Role]]&lt;&gt;"BR",SUMPRODUCT(Mecze[[#This Row],[/PR:90]:[/BR:90]],Brudnopis!$E$25:$J$25),0)</f>
        <v>0.33854166666666669</v>
      </c>
      <c r="V2238" s="44">
        <f>IF(Mecze[[#This Row],[Role]]&lt;&gt;"BR",SUMPRODUCT(Mecze[[#This Row],[/PR:90]:[/BR:90]],Brudnopis!$E$26:$J$26),0)</f>
        <v>0.28125</v>
      </c>
      <c r="W2238" s="44">
        <f>IF(Mecze[[#This Row],[Role]]&lt;&gt;"BR",SUMPRODUCT(Mecze[[#This Row],[/PR:90]:[/BR:90]],Brudnopis!$E$27:$J$27),0)</f>
        <v>0.29947916666666669</v>
      </c>
      <c r="X2238" s="44">
        <f>IF(Mecze[[#This Row],[Role]]&lt;&gt;"BR",SUMPRODUCT(Mecze[[#This Row],[/PR:90]:[/BR:90]],Brudnopis!$E$28:$J$28),0)</f>
        <v>0.13541666666666666</v>
      </c>
      <c r="Y2238" s="35">
        <f>IF(Mecze[[#This Row],[Role]]="BR",Mecze[[#This Row],[/OB:90]]+Mecze[[#This Row],[/PC:90]],SUM(Mecze[[#This Row],[/PR:90]:[/BR:90]]))</f>
        <v>0.28125</v>
      </c>
      <c r="Z2238" s="35">
        <f>IF(Mecze[[#This Row],[KC]]=0,SUM(Mecze[[#This Row],[/BRI]:[/NPI]]),SUM(Mecze[[#This Row],[/BRI]:[/NPI]])*0.6)</f>
        <v>1.3567708333333335</v>
      </c>
      <c r="AA2238" s="10">
        <f>IFERROR(Mecze[[#This Row],[BR]]/Mecze[[#This Row],[ST]],0)</f>
        <v>0</v>
      </c>
      <c r="AB2238">
        <f>ROUND(Mecze[[#This Row],[PD]]*Mecze[[#This Row],[%PC]],0)</f>
        <v>11</v>
      </c>
      <c r="AC2238">
        <f>ROUND(Mecze[[#This Row],[OD]]*Mecze[[#This Row],[%OU]],0)</f>
        <v>4</v>
      </c>
      <c r="AD2238" s="36" t="s">
        <v>47</v>
      </c>
      <c r="AE2238" s="36">
        <v>125</v>
      </c>
      <c r="AF2238" s="71">
        <v>11.67</v>
      </c>
      <c r="AG2238" s="37">
        <v>0</v>
      </c>
      <c r="AH2238" s="37">
        <v>0</v>
      </c>
      <c r="AI2238" s="37">
        <v>96</v>
      </c>
      <c r="AJ2238" s="37">
        <v>5</v>
      </c>
      <c r="AK2238" s="37" t="str">
        <f>VLOOKUP(Mecze[[#This Row],[Match ID]],Meczusie[Mecz]:Meczusie[RodzajMeczu],2,FALSE)</f>
        <v>Liga</v>
      </c>
    </row>
    <row r="2239" spans="1:37" x14ac:dyDescent="0.25">
      <c r="A2239" s="76">
        <v>5</v>
      </c>
      <c r="B2239" s="3" t="s">
        <v>347</v>
      </c>
      <c r="C2239" s="2" t="s">
        <v>157</v>
      </c>
      <c r="D2239" s="1">
        <v>0</v>
      </c>
      <c r="E2239" s="1">
        <v>0</v>
      </c>
      <c r="F2239" s="1">
        <v>0</v>
      </c>
      <c r="G2239" s="1">
        <v>8</v>
      </c>
      <c r="H2239" s="4">
        <v>0.63</v>
      </c>
      <c r="I2239" s="1">
        <v>3</v>
      </c>
      <c r="J2239" s="4">
        <v>0.33</v>
      </c>
      <c r="K2239" s="1">
        <v>0</v>
      </c>
      <c r="L2239" s="1">
        <v>3</v>
      </c>
      <c r="M2239" s="32">
        <f>IF(Mecze[[#This Row],[PR]]=0,0,Mecze[[#This Row],[PR]]/Mecze[[#This Row],[CZAS]])</f>
        <v>3.125E-2</v>
      </c>
      <c r="N2239" s="32">
        <f>IF(Mecze[[#This Row],[OU]]=0,0,Mecze[[#This Row],[OU]]/Mecze[[#This Row],[CZAS]])</f>
        <v>1.0416666666666666E-2</v>
      </c>
      <c r="O2239" s="32">
        <f>IF(Mecze[[#This Row],[PC]]=0,0,Mecze[[#This Row],[PC]]/Mecze[[#This Row],[CZAS]])</f>
        <v>5.2083333333333336E-2</v>
      </c>
      <c r="P2239" s="32">
        <f>IF(Mecze[[#This Row],[SC]]=0,0,Mecze[[#This Row],[SC]]/Mecze[[#This Row],[CZAS]])</f>
        <v>0</v>
      </c>
      <c r="Q2239" s="32">
        <f>IF(Mecze[[#This Row],[OB]]=0,0,Mecze[[#This Row],[OB]]/Mecze[[#This Row],[CZAS]])</f>
        <v>0</v>
      </c>
      <c r="R2239" s="32">
        <f>IF(Mecze[[#This Row],[BR]]=0,0,Mecze[[#This Row],[BR]]/Mecze[[#This Row],[CZAS]])</f>
        <v>0</v>
      </c>
      <c r="S2239" s="44">
        <f>IF(Mecze[[#This Row],[Role]]="BR",SUMPRODUCT(Mecze[[#This Row],[/PR:90]:[/BR:90]],Brudnopis!$E$23:$J$23),0)</f>
        <v>0</v>
      </c>
      <c r="T2239" s="44">
        <f>IF(Mecze[[#This Row],[Role]]&lt;&gt;"BR",SUMPRODUCT(Mecze[[#This Row],[/PR:90]:[/BR:90]],Brudnopis!$E$24:$J$24),0)</f>
        <v>9.8958333333333343E-2</v>
      </c>
      <c r="U2239" s="44">
        <f>IF(Mecze[[#This Row],[Role]]&lt;&gt;"BR",SUMPRODUCT(Mecze[[#This Row],[/PR:90]:[/BR:90]],Brudnopis!$E$25:$J$25),0)</f>
        <v>0.11979166666666666</v>
      </c>
      <c r="V2239" s="44">
        <f>IF(Mecze[[#This Row],[Role]]&lt;&gt;"BR",SUMPRODUCT(Mecze[[#This Row],[/PR:90]:[/BR:90]],Brudnopis!$E$26:$J$26),0)</f>
        <v>9.375E-2</v>
      </c>
      <c r="W2239" s="44">
        <f>IF(Mecze[[#This Row],[Role]]&lt;&gt;"BR",SUMPRODUCT(Mecze[[#This Row],[/PR:90]:[/BR:90]],Brudnopis!$E$27:$J$27),0)</f>
        <v>0.109375</v>
      </c>
      <c r="X2239" s="44">
        <f>IF(Mecze[[#This Row],[Role]]&lt;&gt;"BR",SUMPRODUCT(Mecze[[#This Row],[/PR:90]:[/BR:90]],Brudnopis!$E$28:$J$28),0)</f>
        <v>5.2083333333333336E-2</v>
      </c>
      <c r="Y2239" s="35">
        <f>IF(Mecze[[#This Row],[Role]]="BR",Mecze[[#This Row],[/OB:90]]+Mecze[[#This Row],[/PC:90]],SUM(Mecze[[#This Row],[/PR:90]:[/BR:90]]))</f>
        <v>9.375E-2</v>
      </c>
      <c r="Z2239" s="35">
        <f>IF(Mecze[[#This Row],[KC]]=0,SUM(Mecze[[#This Row],[/BRI]:[/NPI]]),SUM(Mecze[[#This Row],[/BRI]:[/NPI]])*0.6)</f>
        <v>0.47395833333333331</v>
      </c>
      <c r="AA2239" s="10">
        <f>IFERROR(Mecze[[#This Row],[BR]]/Mecze[[#This Row],[ST]],0)</f>
        <v>0</v>
      </c>
      <c r="AB2239">
        <f>ROUND(Mecze[[#This Row],[PD]]*Mecze[[#This Row],[%PC]],0)</f>
        <v>5</v>
      </c>
      <c r="AC2239">
        <f>ROUND(Mecze[[#This Row],[OD]]*Mecze[[#This Row],[%OU]],0)</f>
        <v>1</v>
      </c>
      <c r="AD2239" s="36" t="s">
        <v>175</v>
      </c>
      <c r="AE2239" s="36">
        <v>125</v>
      </c>
      <c r="AF2239" s="71">
        <v>7.67</v>
      </c>
      <c r="AG2239" s="37">
        <v>0</v>
      </c>
      <c r="AH2239" s="37">
        <v>0</v>
      </c>
      <c r="AI2239" s="37">
        <v>96</v>
      </c>
      <c r="AJ2239" s="37">
        <v>5</v>
      </c>
      <c r="AK2239" s="37" t="str">
        <f>VLOOKUP(Mecze[[#This Row],[Match ID]],Meczusie[Mecz]:Meczusie[RodzajMeczu],2,FALSE)</f>
        <v>Liga</v>
      </c>
    </row>
    <row r="2240" spans="1:37" x14ac:dyDescent="0.25">
      <c r="A2240" s="76">
        <v>3</v>
      </c>
      <c r="B2240" s="3" t="s">
        <v>348</v>
      </c>
      <c r="C2240" s="2" t="s">
        <v>157</v>
      </c>
      <c r="D2240" s="1">
        <v>0</v>
      </c>
      <c r="E2240" s="1">
        <v>0</v>
      </c>
      <c r="F2240" s="1">
        <v>0</v>
      </c>
      <c r="G2240" s="1">
        <v>8</v>
      </c>
      <c r="H2240" s="4">
        <v>0.25</v>
      </c>
      <c r="I2240" s="1">
        <v>6</v>
      </c>
      <c r="J2240" s="4">
        <v>0.83</v>
      </c>
      <c r="K2240" s="1">
        <v>0</v>
      </c>
      <c r="L2240" s="1">
        <v>3</v>
      </c>
      <c r="M2240" s="32">
        <f>IF(Mecze[[#This Row],[PR]]=0,0,Mecze[[#This Row],[PR]]/Mecze[[#This Row],[CZAS]])</f>
        <v>3.125E-2</v>
      </c>
      <c r="N2240" s="32">
        <f>IF(Mecze[[#This Row],[OU]]=0,0,Mecze[[#This Row],[OU]]/Mecze[[#This Row],[CZAS]])</f>
        <v>5.2083333333333336E-2</v>
      </c>
      <c r="O2240" s="32">
        <f>IF(Mecze[[#This Row],[PC]]=0,0,Mecze[[#This Row],[PC]]/Mecze[[#This Row],[CZAS]])</f>
        <v>2.0833333333333332E-2</v>
      </c>
      <c r="P2240" s="32">
        <f>IF(Mecze[[#This Row],[SC]]=0,0,Mecze[[#This Row],[SC]]/Mecze[[#This Row],[CZAS]])</f>
        <v>0</v>
      </c>
      <c r="Q2240" s="32">
        <f>IF(Mecze[[#This Row],[OB]]=0,0,Mecze[[#This Row],[OB]]/Mecze[[#This Row],[CZAS]])</f>
        <v>0</v>
      </c>
      <c r="R2240" s="32">
        <f>IF(Mecze[[#This Row],[BR]]=0,0,Mecze[[#This Row],[BR]]/Mecze[[#This Row],[CZAS]])</f>
        <v>0</v>
      </c>
      <c r="S2240" s="44">
        <f>IF(Mecze[[#This Row],[Role]]="BR",SUMPRODUCT(Mecze[[#This Row],[/PR:90]:[/BR:90]],Brudnopis!$E$23:$J$23),0)</f>
        <v>0</v>
      </c>
      <c r="T2240" s="44">
        <f>IF(Mecze[[#This Row],[Role]]&lt;&gt;"BR",SUMPRODUCT(Mecze[[#This Row],[/PR:90]:[/BR:90]],Brudnopis!$E$24:$J$24),0)</f>
        <v>0.13020833333333334</v>
      </c>
      <c r="U2240" s="44">
        <f>IF(Mecze[[#This Row],[Role]]&lt;&gt;"BR",SUMPRODUCT(Mecze[[#This Row],[/PR:90]:[/BR:90]],Brudnopis!$E$25:$J$25),0)</f>
        <v>0.11458333333333334</v>
      </c>
      <c r="V2240" s="44">
        <f>IF(Mecze[[#This Row],[Role]]&lt;&gt;"BR",SUMPRODUCT(Mecze[[#This Row],[/PR:90]:[/BR:90]],Brudnopis!$E$26:$J$26),0)</f>
        <v>0.10416666666666667</v>
      </c>
      <c r="W2240" s="44">
        <f>IF(Mecze[[#This Row],[Role]]&lt;&gt;"BR",SUMPRODUCT(Mecze[[#This Row],[/PR:90]:[/BR:90]],Brudnopis!$E$27:$J$27),0)</f>
        <v>9.375E-2</v>
      </c>
      <c r="X2240" s="44">
        <f>IF(Mecze[[#This Row],[Role]]&lt;&gt;"BR",SUMPRODUCT(Mecze[[#This Row],[/PR:90]:[/BR:90]],Brudnopis!$E$28:$J$28),0)</f>
        <v>2.0833333333333332E-2</v>
      </c>
      <c r="Y2240" s="35">
        <f>IF(Mecze[[#This Row],[Role]]="BR",Mecze[[#This Row],[/OB:90]]+Mecze[[#This Row],[/PC:90]],SUM(Mecze[[#This Row],[/PR:90]:[/BR:90]]))</f>
        <v>0.10416666666666667</v>
      </c>
      <c r="Z2240" s="35">
        <f>IF(Mecze[[#This Row],[KC]]=0,SUM(Mecze[[#This Row],[/BRI]:[/NPI]]),SUM(Mecze[[#This Row],[/BRI]:[/NPI]])*0.6)</f>
        <v>0.46354166666666669</v>
      </c>
      <c r="AA2240" s="10">
        <f>IFERROR(Mecze[[#This Row],[BR]]/Mecze[[#This Row],[ST]],0)</f>
        <v>0</v>
      </c>
      <c r="AB2240">
        <f>ROUND(Mecze[[#This Row],[PD]]*Mecze[[#This Row],[%PC]],0)</f>
        <v>2</v>
      </c>
      <c r="AC2240">
        <f>ROUND(Mecze[[#This Row],[OD]]*Mecze[[#This Row],[%OU]],0)</f>
        <v>5</v>
      </c>
      <c r="AD2240" s="36" t="s">
        <v>174</v>
      </c>
      <c r="AE2240" s="36">
        <v>125</v>
      </c>
      <c r="AF2240" s="71">
        <v>9.99</v>
      </c>
      <c r="AG2240" s="37">
        <v>0</v>
      </c>
      <c r="AH2240" s="37">
        <v>0</v>
      </c>
      <c r="AI2240" s="37">
        <v>96</v>
      </c>
      <c r="AJ2240" s="37">
        <v>5</v>
      </c>
      <c r="AK2240" s="37" t="str">
        <f>VLOOKUP(Mecze[[#This Row],[Match ID]],Meczusie[Mecz]:Meczusie[RodzajMeczu],2,FALSE)</f>
        <v>Liga</v>
      </c>
    </row>
    <row r="2241" spans="1:37" x14ac:dyDescent="0.25">
      <c r="A2241" s="76">
        <v>6</v>
      </c>
      <c r="B2241" s="3" t="s">
        <v>349</v>
      </c>
      <c r="C2241" s="2" t="s">
        <v>160</v>
      </c>
      <c r="D2241" s="1">
        <v>0</v>
      </c>
      <c r="E2241" s="1">
        <v>0</v>
      </c>
      <c r="F2241" s="1">
        <v>0</v>
      </c>
      <c r="G2241" s="1">
        <v>19</v>
      </c>
      <c r="H2241" s="4">
        <v>0.74</v>
      </c>
      <c r="I2241" s="1">
        <v>4</v>
      </c>
      <c r="J2241" s="4">
        <v>0.5</v>
      </c>
      <c r="K2241" s="1">
        <v>0</v>
      </c>
      <c r="L2241" s="1">
        <v>4</v>
      </c>
      <c r="M2241" s="32">
        <f>IF(Mecze[[#This Row],[PR]]=0,0,Mecze[[#This Row],[PR]]/Mecze[[#This Row],[CZAS]])</f>
        <v>4.1666666666666664E-2</v>
      </c>
      <c r="N2241" s="32">
        <f>IF(Mecze[[#This Row],[OU]]=0,0,Mecze[[#This Row],[OU]]/Mecze[[#This Row],[CZAS]])</f>
        <v>2.0833333333333332E-2</v>
      </c>
      <c r="O2241" s="32">
        <f>IF(Mecze[[#This Row],[PC]]=0,0,Mecze[[#This Row],[PC]]/Mecze[[#This Row],[CZAS]])</f>
        <v>0.14583333333333334</v>
      </c>
      <c r="P2241" s="32">
        <f>IF(Mecze[[#This Row],[SC]]=0,0,Mecze[[#This Row],[SC]]/Mecze[[#This Row],[CZAS]])</f>
        <v>0</v>
      </c>
      <c r="Q2241" s="32">
        <f>IF(Mecze[[#This Row],[OB]]=0,0,Mecze[[#This Row],[OB]]/Mecze[[#This Row],[CZAS]])</f>
        <v>0</v>
      </c>
      <c r="R2241" s="32">
        <f>IF(Mecze[[#This Row],[BR]]=0,0,Mecze[[#This Row],[BR]]/Mecze[[#This Row],[CZAS]])</f>
        <v>0</v>
      </c>
      <c r="S2241" s="44">
        <f>IF(Mecze[[#This Row],[Role]]="BR",SUMPRODUCT(Mecze[[#This Row],[/PR:90]:[/BR:90]],Brudnopis!$E$23:$J$23),0)</f>
        <v>0</v>
      </c>
      <c r="T2241" s="44">
        <f>IF(Mecze[[#This Row],[Role]]&lt;&gt;"BR",SUMPRODUCT(Mecze[[#This Row],[/PR:90]:[/BR:90]],Brudnopis!$E$24:$J$24),0)</f>
        <v>0.21875</v>
      </c>
      <c r="U2241" s="44">
        <f>IF(Mecze[[#This Row],[Role]]&lt;&gt;"BR",SUMPRODUCT(Mecze[[#This Row],[/PR:90]:[/BR:90]],Brudnopis!$E$25:$J$25),0)</f>
        <v>0.28125</v>
      </c>
      <c r="V2241" s="44">
        <f>IF(Mecze[[#This Row],[Role]]&lt;&gt;"BR",SUMPRODUCT(Mecze[[#This Row],[/PR:90]:[/BR:90]],Brudnopis!$E$26:$J$26),0)</f>
        <v>0.20833333333333334</v>
      </c>
      <c r="W2241" s="44">
        <f>IF(Mecze[[#This Row],[Role]]&lt;&gt;"BR",SUMPRODUCT(Mecze[[#This Row],[/PR:90]:[/BR:90]],Brudnopis!$E$27:$J$27),0)</f>
        <v>0.265625</v>
      </c>
      <c r="X2241" s="44">
        <f>IF(Mecze[[#This Row],[Role]]&lt;&gt;"BR",SUMPRODUCT(Mecze[[#This Row],[/PR:90]:[/BR:90]],Brudnopis!$E$28:$J$28),0)</f>
        <v>0.14583333333333334</v>
      </c>
      <c r="Y2241" s="35">
        <f>IF(Mecze[[#This Row],[Role]]="BR",Mecze[[#This Row],[/OB:90]]+Mecze[[#This Row],[/PC:90]],SUM(Mecze[[#This Row],[/PR:90]:[/BR:90]]))</f>
        <v>0.20833333333333334</v>
      </c>
      <c r="Z2241" s="35">
        <f>IF(Mecze[[#This Row],[KC]]=0,SUM(Mecze[[#This Row],[/BRI]:[/NPI]]),SUM(Mecze[[#This Row],[/BRI]:[/NPI]])*0.6)</f>
        <v>1.1197916666666667</v>
      </c>
      <c r="AA2241" s="10">
        <f>IFERROR(Mecze[[#This Row],[BR]]/Mecze[[#This Row],[ST]],0)</f>
        <v>0</v>
      </c>
      <c r="AB2241">
        <f>ROUND(Mecze[[#This Row],[PD]]*Mecze[[#This Row],[%PC]],0)</f>
        <v>14</v>
      </c>
      <c r="AC2241">
        <f>ROUND(Mecze[[#This Row],[OD]]*Mecze[[#This Row],[%OU]],0)</f>
        <v>2</v>
      </c>
      <c r="AD2241" s="36" t="s">
        <v>41</v>
      </c>
      <c r="AE2241" s="36">
        <v>125</v>
      </c>
      <c r="AF2241" s="71">
        <v>9.09</v>
      </c>
      <c r="AG2241" s="37">
        <v>0</v>
      </c>
      <c r="AH2241" s="37">
        <v>0</v>
      </c>
      <c r="AI2241" s="37">
        <v>96</v>
      </c>
      <c r="AJ2241" s="37">
        <v>5</v>
      </c>
      <c r="AK2241" s="37" t="str">
        <f>VLOOKUP(Mecze[[#This Row],[Match ID]],Meczusie[Mecz]:Meczusie[RodzajMeczu],2,FALSE)</f>
        <v>Liga</v>
      </c>
    </row>
    <row r="2242" spans="1:37" x14ac:dyDescent="0.25">
      <c r="A2242" s="76">
        <v>7</v>
      </c>
      <c r="B2242" s="3" t="s">
        <v>350</v>
      </c>
      <c r="C2242" s="2" t="s">
        <v>160</v>
      </c>
      <c r="D2242" s="1">
        <v>0</v>
      </c>
      <c r="E2242" s="1">
        <v>3</v>
      </c>
      <c r="F2242" s="1">
        <v>2</v>
      </c>
      <c r="G2242" s="1">
        <v>6</v>
      </c>
      <c r="H2242" s="4">
        <v>0.67</v>
      </c>
      <c r="I2242" s="1">
        <v>4</v>
      </c>
      <c r="J2242" s="4">
        <v>0.75</v>
      </c>
      <c r="K2242" s="1">
        <v>0</v>
      </c>
      <c r="L2242" s="1">
        <v>1</v>
      </c>
      <c r="M2242" s="32">
        <f>IF(Mecze[[#This Row],[PR]]=0,0,Mecze[[#This Row],[PR]]/Mecze[[#This Row],[CZAS]])</f>
        <v>1.0416666666666666E-2</v>
      </c>
      <c r="N2242" s="32">
        <f>IF(Mecze[[#This Row],[OU]]=0,0,Mecze[[#This Row],[OU]]/Mecze[[#This Row],[CZAS]])</f>
        <v>3.125E-2</v>
      </c>
      <c r="O2242" s="32">
        <f>IF(Mecze[[#This Row],[PC]]=0,0,Mecze[[#This Row],[PC]]/Mecze[[#This Row],[CZAS]])</f>
        <v>4.1666666666666664E-2</v>
      </c>
      <c r="P2242" s="32">
        <f>IF(Mecze[[#This Row],[SC]]=0,0,Mecze[[#This Row],[SC]]/Mecze[[#This Row],[CZAS]])</f>
        <v>2.0833333333333332E-2</v>
      </c>
      <c r="Q2242" s="32">
        <f>IF(Mecze[[#This Row],[OB]]=0,0,Mecze[[#This Row],[OB]]/Mecze[[#This Row],[CZAS]])</f>
        <v>0</v>
      </c>
      <c r="R2242" s="32">
        <f>IF(Mecze[[#This Row],[BR]]=0,0,Mecze[[#This Row],[BR]]/Mecze[[#This Row],[CZAS]])</f>
        <v>0</v>
      </c>
      <c r="S2242" s="44">
        <f>IF(Mecze[[#This Row],[Role]]="BR",SUMPRODUCT(Mecze[[#This Row],[/PR:90]:[/BR:90]],Brudnopis!$E$23:$J$23),0)</f>
        <v>0</v>
      </c>
      <c r="T2242" s="44">
        <f>IF(Mecze[[#This Row],[Role]]&lt;&gt;"BR",SUMPRODUCT(Mecze[[#This Row],[/PR:90]:[/BR:90]],Brudnopis!$E$24:$J$24),0)</f>
        <v>0.11979166666666666</v>
      </c>
      <c r="U2242" s="44">
        <f>IF(Mecze[[#This Row],[Role]]&lt;&gt;"BR",SUMPRODUCT(Mecze[[#This Row],[/PR:90]:[/BR:90]],Brudnopis!$E$25:$J$25),0)</f>
        <v>0.12499999999999999</v>
      </c>
      <c r="V2242" s="44">
        <f>IF(Mecze[[#This Row],[Role]]&lt;&gt;"BR",SUMPRODUCT(Mecze[[#This Row],[/PR:90]:[/BR:90]],Brudnopis!$E$26:$J$26),0)</f>
        <v>0.10416666666666666</v>
      </c>
      <c r="W2242" s="44">
        <f>IF(Mecze[[#This Row],[Role]]&lt;&gt;"BR",SUMPRODUCT(Mecze[[#This Row],[/PR:90]:[/BR:90]],Brudnopis!$E$27:$J$27),0)</f>
        <v>0.11458333333333333</v>
      </c>
      <c r="X2242" s="44">
        <f>IF(Mecze[[#This Row],[Role]]&lt;&gt;"BR",SUMPRODUCT(Mecze[[#This Row],[/PR:90]:[/BR:90]],Brudnopis!$E$28:$J$28),0)</f>
        <v>8.3333333333333329E-2</v>
      </c>
      <c r="Y2242" s="35">
        <f>IF(Mecze[[#This Row],[Role]]="BR",Mecze[[#This Row],[/OB:90]]+Mecze[[#This Row],[/PC:90]],SUM(Mecze[[#This Row],[/PR:90]:[/BR:90]]))</f>
        <v>0.10416666666666666</v>
      </c>
      <c r="Z2242" s="35">
        <f>IF(Mecze[[#This Row],[KC]]=0,SUM(Mecze[[#This Row],[/BRI]:[/NPI]]),SUM(Mecze[[#This Row],[/BRI]:[/NPI]])*0.6)</f>
        <v>0.54687499999999989</v>
      </c>
      <c r="AA2242" s="10">
        <f>IFERROR(Mecze[[#This Row],[BR]]/Mecze[[#This Row],[ST]],0)</f>
        <v>0</v>
      </c>
      <c r="AB2242">
        <f>ROUND(Mecze[[#This Row],[PD]]*Mecze[[#This Row],[%PC]],0)</f>
        <v>4</v>
      </c>
      <c r="AC2242">
        <f>ROUND(Mecze[[#This Row],[OD]]*Mecze[[#This Row],[%OU]],0)</f>
        <v>3</v>
      </c>
      <c r="AD2242" s="36" t="s">
        <v>67</v>
      </c>
      <c r="AE2242" s="36">
        <v>125</v>
      </c>
      <c r="AF2242" s="71">
        <v>8.92</v>
      </c>
      <c r="AG2242" s="37">
        <v>0</v>
      </c>
      <c r="AH2242" s="37">
        <v>0</v>
      </c>
      <c r="AI2242" s="37">
        <v>96</v>
      </c>
      <c r="AJ2242" s="37">
        <v>5</v>
      </c>
      <c r="AK2242" s="37" t="str">
        <f>VLOOKUP(Mecze[[#This Row],[Match ID]],Meczusie[Mecz]:Meczusie[RodzajMeczu],2,FALSE)</f>
        <v>Liga</v>
      </c>
    </row>
    <row r="2243" spans="1:37" x14ac:dyDescent="0.25">
      <c r="A2243" s="76">
        <v>8</v>
      </c>
      <c r="B2243" s="3" t="s">
        <v>351</v>
      </c>
      <c r="C2243" s="2" t="s">
        <v>160</v>
      </c>
      <c r="D2243" s="1">
        <v>0</v>
      </c>
      <c r="E2243" s="1">
        <v>2</v>
      </c>
      <c r="F2243" s="1">
        <v>1</v>
      </c>
      <c r="G2243" s="1">
        <v>12</v>
      </c>
      <c r="H2243" s="4">
        <v>0.75</v>
      </c>
      <c r="I2243" s="1">
        <v>4</v>
      </c>
      <c r="J2243" s="4">
        <v>0.5</v>
      </c>
      <c r="K2243" s="1">
        <v>0</v>
      </c>
      <c r="L2243" s="1">
        <v>4</v>
      </c>
      <c r="M2243" s="32">
        <f>IF(Mecze[[#This Row],[PR]]=0,0,Mecze[[#This Row],[PR]]/Mecze[[#This Row],[CZAS]])</f>
        <v>4.1666666666666664E-2</v>
      </c>
      <c r="N2243" s="32">
        <f>IF(Mecze[[#This Row],[OU]]=0,0,Mecze[[#This Row],[OU]]/Mecze[[#This Row],[CZAS]])</f>
        <v>2.0833333333333332E-2</v>
      </c>
      <c r="O2243" s="32">
        <f>IF(Mecze[[#This Row],[PC]]=0,0,Mecze[[#This Row],[PC]]/Mecze[[#This Row],[CZAS]])</f>
        <v>9.375E-2</v>
      </c>
      <c r="P2243" s="32">
        <f>IF(Mecze[[#This Row],[SC]]=0,0,Mecze[[#This Row],[SC]]/Mecze[[#This Row],[CZAS]])</f>
        <v>1.0416666666666666E-2</v>
      </c>
      <c r="Q2243" s="32">
        <f>IF(Mecze[[#This Row],[OB]]=0,0,Mecze[[#This Row],[OB]]/Mecze[[#This Row],[CZAS]])</f>
        <v>0</v>
      </c>
      <c r="R2243" s="32">
        <f>IF(Mecze[[#This Row],[BR]]=0,0,Mecze[[#This Row],[BR]]/Mecze[[#This Row],[CZAS]])</f>
        <v>0</v>
      </c>
      <c r="S2243" s="44">
        <f>IF(Mecze[[#This Row],[Role]]="BR",SUMPRODUCT(Mecze[[#This Row],[/PR:90]:[/BR:90]],Brudnopis!$E$23:$J$23),0)</f>
        <v>0</v>
      </c>
      <c r="T2243" s="44">
        <f>IF(Mecze[[#This Row],[Role]]&lt;&gt;"BR",SUMPRODUCT(Mecze[[#This Row],[/PR:90]:[/BR:90]],Brudnopis!$E$24:$J$24),0)</f>
        <v>0.17708333333333331</v>
      </c>
      <c r="U2243" s="44">
        <f>IF(Mecze[[#This Row],[Role]]&lt;&gt;"BR",SUMPRODUCT(Mecze[[#This Row],[/PR:90]:[/BR:90]],Brudnopis!$E$25:$J$25),0)</f>
        <v>0.21354166666666666</v>
      </c>
      <c r="V2243" s="44">
        <f>IF(Mecze[[#This Row],[Role]]&lt;&gt;"BR",SUMPRODUCT(Mecze[[#This Row],[/PR:90]:[/BR:90]],Brudnopis!$E$26:$J$26),0)</f>
        <v>0.16666666666666666</v>
      </c>
      <c r="W2243" s="44">
        <f>IF(Mecze[[#This Row],[Role]]&lt;&gt;"BR",SUMPRODUCT(Mecze[[#This Row],[/PR:90]:[/BR:90]],Brudnopis!$E$27:$J$27),0)</f>
        <v>0.19791666666666666</v>
      </c>
      <c r="X2243" s="44">
        <f>IF(Mecze[[#This Row],[Role]]&lt;&gt;"BR",SUMPRODUCT(Mecze[[#This Row],[/PR:90]:[/BR:90]],Brudnopis!$E$28:$J$28),0)</f>
        <v>0.11458333333333333</v>
      </c>
      <c r="Y2243" s="35">
        <f>IF(Mecze[[#This Row],[Role]]="BR",Mecze[[#This Row],[/OB:90]]+Mecze[[#This Row],[/PC:90]],SUM(Mecze[[#This Row],[/PR:90]:[/BR:90]]))</f>
        <v>0.16666666666666666</v>
      </c>
      <c r="Z2243" s="35">
        <f>IF(Mecze[[#This Row],[KC]]=0,SUM(Mecze[[#This Row],[/BRI]:[/NPI]]),SUM(Mecze[[#This Row],[/BRI]:[/NPI]])*0.6)</f>
        <v>0.86979166666666663</v>
      </c>
      <c r="AA2243" s="10">
        <f>IFERROR(Mecze[[#This Row],[BR]]/Mecze[[#This Row],[ST]],0)</f>
        <v>0</v>
      </c>
      <c r="AB2243">
        <f>ROUND(Mecze[[#This Row],[PD]]*Mecze[[#This Row],[%PC]],0)</f>
        <v>9</v>
      </c>
      <c r="AC2243">
        <f>ROUND(Mecze[[#This Row],[OD]]*Mecze[[#This Row],[%OU]],0)</f>
        <v>2</v>
      </c>
      <c r="AD2243" s="36" t="s">
        <v>67</v>
      </c>
      <c r="AE2243" s="36">
        <v>125</v>
      </c>
      <c r="AF2243" s="71">
        <v>9.32</v>
      </c>
      <c r="AG2243" s="37">
        <v>0</v>
      </c>
      <c r="AH2243" s="37">
        <v>0</v>
      </c>
      <c r="AI2243" s="37">
        <v>96</v>
      </c>
      <c r="AJ2243" s="37">
        <v>5</v>
      </c>
      <c r="AK2243" s="37" t="str">
        <f>VLOOKUP(Mecze[[#This Row],[Match ID]],Meczusie[Mecz]:Meczusie[RodzajMeczu],2,FALSE)</f>
        <v>Liga</v>
      </c>
    </row>
    <row r="2244" spans="1:37" x14ac:dyDescent="0.25">
      <c r="A2244" s="76">
        <v>11</v>
      </c>
      <c r="B2244" s="3" t="s">
        <v>353</v>
      </c>
      <c r="C2244" s="2" t="s">
        <v>165</v>
      </c>
      <c r="D2244" s="1">
        <v>0</v>
      </c>
      <c r="E2244" s="1">
        <v>2</v>
      </c>
      <c r="F2244" s="1">
        <v>2</v>
      </c>
      <c r="G2244" s="1">
        <v>11</v>
      </c>
      <c r="H2244" s="4">
        <v>0.64</v>
      </c>
      <c r="I2244" s="1">
        <v>6</v>
      </c>
      <c r="J2244" s="4">
        <v>0.83</v>
      </c>
      <c r="K2244" s="1">
        <v>0</v>
      </c>
      <c r="L2244" s="1">
        <v>0</v>
      </c>
      <c r="M2244" s="32">
        <f>IF(Mecze[[#This Row],[PR]]=0,0,Mecze[[#This Row],[PR]]/Mecze[[#This Row],[CZAS]])</f>
        <v>0</v>
      </c>
      <c r="N2244" s="32">
        <f>IF(Mecze[[#This Row],[OU]]=0,0,Mecze[[#This Row],[OU]]/Mecze[[#This Row],[CZAS]])</f>
        <v>5.2083333333333336E-2</v>
      </c>
      <c r="O2244" s="32">
        <f>IF(Mecze[[#This Row],[PC]]=0,0,Mecze[[#This Row],[PC]]/Mecze[[#This Row],[CZAS]])</f>
        <v>7.2916666666666671E-2</v>
      </c>
      <c r="P2244" s="32">
        <f>IF(Mecze[[#This Row],[SC]]=0,0,Mecze[[#This Row],[SC]]/Mecze[[#This Row],[CZAS]])</f>
        <v>2.0833333333333332E-2</v>
      </c>
      <c r="Q2244" s="32">
        <f>IF(Mecze[[#This Row],[OB]]=0,0,Mecze[[#This Row],[OB]]/Mecze[[#This Row],[CZAS]])</f>
        <v>0</v>
      </c>
      <c r="R2244" s="32">
        <f>IF(Mecze[[#This Row],[BR]]=0,0,Mecze[[#This Row],[BR]]/Mecze[[#This Row],[CZAS]])</f>
        <v>0</v>
      </c>
      <c r="S2244" s="44">
        <f>IF(Mecze[[#This Row],[Role]]="BR",SUMPRODUCT(Mecze[[#This Row],[/PR:90]:[/BR:90]],Brudnopis!$E$23:$J$23),0)</f>
        <v>0</v>
      </c>
      <c r="T2244" s="44">
        <f>IF(Mecze[[#This Row],[Role]]&lt;&gt;"BR",SUMPRODUCT(Mecze[[#This Row],[/PR:90]:[/BR:90]],Brudnopis!$E$24:$J$24),0)</f>
        <v>0.17187500000000003</v>
      </c>
      <c r="U2244" s="44">
        <f>IF(Mecze[[#This Row],[Role]]&lt;&gt;"BR",SUMPRODUCT(Mecze[[#This Row],[/PR:90]:[/BR:90]],Brudnopis!$E$25:$J$25),0)</f>
        <v>0.18229166666666669</v>
      </c>
      <c r="V2244" s="44">
        <f>IF(Mecze[[#This Row],[Role]]&lt;&gt;"BR",SUMPRODUCT(Mecze[[#This Row],[/PR:90]:[/BR:90]],Brudnopis!$E$26:$J$26),0)</f>
        <v>0.14583333333333334</v>
      </c>
      <c r="W2244" s="44">
        <f>IF(Mecze[[#This Row],[Role]]&lt;&gt;"BR",SUMPRODUCT(Mecze[[#This Row],[/PR:90]:[/BR:90]],Brudnopis!$E$27:$J$27),0)</f>
        <v>0.16927083333333334</v>
      </c>
      <c r="X2244" s="44">
        <f>IF(Mecze[[#This Row],[Role]]&lt;&gt;"BR",SUMPRODUCT(Mecze[[#This Row],[/PR:90]:[/BR:90]],Brudnopis!$E$28:$J$28),0)</f>
        <v>0.11458333333333334</v>
      </c>
      <c r="Y2244" s="35">
        <f>IF(Mecze[[#This Row],[Role]]="BR",Mecze[[#This Row],[/OB:90]]+Mecze[[#This Row],[/PC:90]],SUM(Mecze[[#This Row],[/PR:90]:[/BR:90]]))</f>
        <v>0.14583333333333334</v>
      </c>
      <c r="Z2244" s="35">
        <f>IF(Mecze[[#This Row],[KC]]=0,SUM(Mecze[[#This Row],[/BRI]:[/NPI]]),SUM(Mecze[[#This Row],[/BRI]:[/NPI]])*0.6)</f>
        <v>0.78385416666666685</v>
      </c>
      <c r="AA2244" s="10">
        <f>IFERROR(Mecze[[#This Row],[BR]]/Mecze[[#This Row],[ST]],0)</f>
        <v>0</v>
      </c>
      <c r="AB2244">
        <f>ROUND(Mecze[[#This Row],[PD]]*Mecze[[#This Row],[%PC]],0)</f>
        <v>7</v>
      </c>
      <c r="AC2244">
        <f>ROUND(Mecze[[#This Row],[OD]]*Mecze[[#This Row],[%OU]],0)</f>
        <v>5</v>
      </c>
      <c r="AD2244" s="36" t="s">
        <v>46</v>
      </c>
      <c r="AE2244" s="36">
        <v>125</v>
      </c>
      <c r="AF2244" s="71">
        <v>5.7</v>
      </c>
      <c r="AG2244" s="37">
        <v>0</v>
      </c>
      <c r="AH2244" s="37">
        <v>0</v>
      </c>
      <c r="AI2244" s="37">
        <v>96</v>
      </c>
      <c r="AJ2244" s="37">
        <v>5</v>
      </c>
      <c r="AK2244" s="37" t="str">
        <f>VLOOKUP(Mecze[[#This Row],[Match ID]],Meczusie[Mecz]:Meczusie[RodzajMeczu],2,FALSE)</f>
        <v>Liga</v>
      </c>
    </row>
    <row r="2245" spans="1:37" x14ac:dyDescent="0.25">
      <c r="A2245" s="76">
        <v>10</v>
      </c>
      <c r="B2245" s="3" t="s">
        <v>352</v>
      </c>
      <c r="C2245" s="2" t="s">
        <v>165</v>
      </c>
      <c r="D2245" s="1">
        <v>1</v>
      </c>
      <c r="E2245" s="1">
        <v>3</v>
      </c>
      <c r="F2245" s="1">
        <v>2</v>
      </c>
      <c r="G2245" s="1">
        <v>5</v>
      </c>
      <c r="H2245" s="4">
        <v>0.2</v>
      </c>
      <c r="I2245" s="1">
        <v>2</v>
      </c>
      <c r="J2245" s="4">
        <v>0.5</v>
      </c>
      <c r="K2245" s="1">
        <v>0</v>
      </c>
      <c r="L2245" s="1">
        <v>0</v>
      </c>
      <c r="M2245" s="32">
        <f>IF(Mecze[[#This Row],[PR]]=0,0,Mecze[[#This Row],[PR]]/Mecze[[#This Row],[CZAS]])</f>
        <v>0</v>
      </c>
      <c r="N2245" s="32">
        <f>IF(Mecze[[#This Row],[OU]]=0,0,Mecze[[#This Row],[OU]]/Mecze[[#This Row],[CZAS]])</f>
        <v>1.0416666666666666E-2</v>
      </c>
      <c r="O2245" s="32">
        <f>IF(Mecze[[#This Row],[PC]]=0,0,Mecze[[#This Row],[PC]]/Mecze[[#This Row],[CZAS]])</f>
        <v>1.0416666666666666E-2</v>
      </c>
      <c r="P2245" s="32">
        <f>IF(Mecze[[#This Row],[SC]]=0,0,Mecze[[#This Row],[SC]]/Mecze[[#This Row],[CZAS]])</f>
        <v>2.0833333333333332E-2</v>
      </c>
      <c r="Q2245" s="32">
        <f>IF(Mecze[[#This Row],[OB]]=0,0,Mecze[[#This Row],[OB]]/Mecze[[#This Row],[CZAS]])</f>
        <v>0</v>
      </c>
      <c r="R2245" s="32">
        <f>IF(Mecze[[#This Row],[BR]]=0,0,Mecze[[#This Row],[BR]]/Mecze[[#This Row],[CZAS]])</f>
        <v>1.0416666666666666E-2</v>
      </c>
      <c r="S2245" s="44">
        <f>IF(Mecze[[#This Row],[Role]]="BR",SUMPRODUCT(Mecze[[#This Row],[/PR:90]:[/BR:90]],Brudnopis!$E$23:$J$23),0)</f>
        <v>0</v>
      </c>
      <c r="T2245" s="44">
        <f>IF(Mecze[[#This Row],[Role]]&lt;&gt;"BR",SUMPRODUCT(Mecze[[#This Row],[/PR:90]:[/BR:90]],Brudnopis!$E$24:$J$24),0)</f>
        <v>6.25E-2</v>
      </c>
      <c r="U2245" s="44">
        <f>IF(Mecze[[#This Row],[Role]]&lt;&gt;"BR",SUMPRODUCT(Mecze[[#This Row],[/PR:90]:[/BR:90]],Brudnopis!$E$25:$J$25),0)</f>
        <v>6.25E-2</v>
      </c>
      <c r="V2245" s="44">
        <f>IF(Mecze[[#This Row],[Role]]&lt;&gt;"BR",SUMPRODUCT(Mecze[[#This Row],[/PR:90]:[/BR:90]],Brudnopis!$E$26:$J$26),0)</f>
        <v>6.25E-2</v>
      </c>
      <c r="W2245" s="44">
        <f>IF(Mecze[[#This Row],[Role]]&lt;&gt;"BR",SUMPRODUCT(Mecze[[#This Row],[/PR:90]:[/BR:90]],Brudnopis!$E$27:$J$27),0)</f>
        <v>6.5104166666666657E-2</v>
      </c>
      <c r="X2245" s="44">
        <f>IF(Mecze[[#This Row],[Role]]&lt;&gt;"BR",SUMPRODUCT(Mecze[[#This Row],[/PR:90]:[/BR:90]],Brudnopis!$E$28:$J$28),0)</f>
        <v>8.3333333333333329E-2</v>
      </c>
      <c r="Y2245" s="35">
        <f>IF(Mecze[[#This Row],[Role]]="BR",Mecze[[#This Row],[/OB:90]]+Mecze[[#This Row],[/PC:90]],SUM(Mecze[[#This Row],[/PR:90]:[/BR:90]]))</f>
        <v>5.2083333333333329E-2</v>
      </c>
      <c r="Z2245" s="35">
        <f>IF(Mecze[[#This Row],[KC]]=0,SUM(Mecze[[#This Row],[/BRI]:[/NPI]]),SUM(Mecze[[#This Row],[/BRI]:[/NPI]])*0.6)</f>
        <v>0.33593749999999994</v>
      </c>
      <c r="AA2245" s="10">
        <f>IFERROR(Mecze[[#This Row],[BR]]/Mecze[[#This Row],[ST]],0)</f>
        <v>0.33333333333333331</v>
      </c>
      <c r="AB2245">
        <f>ROUND(Mecze[[#This Row],[PD]]*Mecze[[#This Row],[%PC]],0)</f>
        <v>1</v>
      </c>
      <c r="AC2245">
        <f>ROUND(Mecze[[#This Row],[OD]]*Mecze[[#This Row],[%OU]],0)</f>
        <v>1</v>
      </c>
      <c r="AD2245" s="36" t="s">
        <v>272</v>
      </c>
      <c r="AE2245" s="36">
        <v>125</v>
      </c>
      <c r="AF2245" s="71">
        <v>6.67</v>
      </c>
      <c r="AG2245" s="37">
        <v>0</v>
      </c>
      <c r="AH2245" s="37">
        <v>0</v>
      </c>
      <c r="AI2245" s="37">
        <v>96</v>
      </c>
      <c r="AJ2245" s="37">
        <v>5</v>
      </c>
      <c r="AK2245" s="37" t="str">
        <f>VLOOKUP(Mecze[[#This Row],[Match ID]],Meczusie[Mecz]:Meczusie[RodzajMeczu],2,FALSE)</f>
        <v>Liga</v>
      </c>
    </row>
    <row r="2246" spans="1:37" x14ac:dyDescent="0.25">
      <c r="A2246" s="76">
        <v>9</v>
      </c>
      <c r="B2246" s="3" t="s">
        <v>354</v>
      </c>
      <c r="C2246" s="2" t="s">
        <v>165</v>
      </c>
      <c r="D2246" s="1">
        <v>1</v>
      </c>
      <c r="E2246" s="1">
        <v>3</v>
      </c>
      <c r="F2246" s="1">
        <v>3</v>
      </c>
      <c r="G2246" s="1">
        <v>8</v>
      </c>
      <c r="H2246" s="4">
        <v>0.88</v>
      </c>
      <c r="I2246" s="1">
        <v>2</v>
      </c>
      <c r="J2246" s="4">
        <v>0.5</v>
      </c>
      <c r="K2246" s="1">
        <v>0</v>
      </c>
      <c r="L2246" s="1">
        <v>0</v>
      </c>
      <c r="M2246" s="32">
        <f>IF(Mecze[[#This Row],[PR]]=0,0,Mecze[[#This Row],[PR]]/Mecze[[#This Row],[CZAS]])</f>
        <v>0</v>
      </c>
      <c r="N2246" s="32">
        <f>IF(Mecze[[#This Row],[OU]]=0,0,Mecze[[#This Row],[OU]]/Mecze[[#This Row],[CZAS]])</f>
        <v>1.0416666666666666E-2</v>
      </c>
      <c r="O2246" s="32">
        <f>IF(Mecze[[#This Row],[PC]]=0,0,Mecze[[#This Row],[PC]]/Mecze[[#This Row],[CZAS]])</f>
        <v>7.2916666666666671E-2</v>
      </c>
      <c r="P2246" s="32">
        <f>IF(Mecze[[#This Row],[SC]]=0,0,Mecze[[#This Row],[SC]]/Mecze[[#This Row],[CZAS]])</f>
        <v>3.125E-2</v>
      </c>
      <c r="Q2246" s="32">
        <f>IF(Mecze[[#This Row],[OB]]=0,0,Mecze[[#This Row],[OB]]/Mecze[[#This Row],[CZAS]])</f>
        <v>0</v>
      </c>
      <c r="R2246" s="32">
        <f>IF(Mecze[[#This Row],[BR]]=0,0,Mecze[[#This Row],[BR]]/Mecze[[#This Row],[CZAS]])</f>
        <v>1.0416666666666666E-2</v>
      </c>
      <c r="S2246" s="44">
        <f>IF(Mecze[[#This Row],[Role]]="BR",SUMPRODUCT(Mecze[[#This Row],[/PR:90]:[/BR:90]],Brudnopis!$E$23:$J$23),0)</f>
        <v>0</v>
      </c>
      <c r="T2246" s="44">
        <f>IF(Mecze[[#This Row],[Role]]&lt;&gt;"BR",SUMPRODUCT(Mecze[[#This Row],[/PR:90]:[/BR:90]],Brudnopis!$E$24:$J$24),0)</f>
        <v>0.13541666666666669</v>
      </c>
      <c r="U2246" s="44">
        <f>IF(Mecze[[#This Row],[Role]]&lt;&gt;"BR",SUMPRODUCT(Mecze[[#This Row],[/PR:90]:[/BR:90]],Brudnopis!$E$25:$J$25),0)</f>
        <v>0.16666666666666669</v>
      </c>
      <c r="V2246" s="44">
        <f>IF(Mecze[[#This Row],[Role]]&lt;&gt;"BR",SUMPRODUCT(Mecze[[#This Row],[/PR:90]:[/BR:90]],Brudnopis!$E$26:$J$26),0)</f>
        <v>0.13541666666666669</v>
      </c>
      <c r="W2246" s="44">
        <f>IF(Mecze[[#This Row],[Role]]&lt;&gt;"BR",SUMPRODUCT(Mecze[[#This Row],[/PR:90]:[/BR:90]],Brudnopis!$E$27:$J$27),0)</f>
        <v>0.16927083333333334</v>
      </c>
      <c r="X2246" s="44">
        <f>IF(Mecze[[#This Row],[Role]]&lt;&gt;"BR",SUMPRODUCT(Mecze[[#This Row],[/PR:90]:[/BR:90]],Brudnopis!$E$28:$J$28),0)</f>
        <v>0.16666666666666669</v>
      </c>
      <c r="Y2246" s="35">
        <f>IF(Mecze[[#This Row],[Role]]="BR",Mecze[[#This Row],[/OB:90]]+Mecze[[#This Row],[/PC:90]],SUM(Mecze[[#This Row],[/PR:90]:[/BR:90]]))</f>
        <v>0.125</v>
      </c>
      <c r="Z2246" s="35">
        <f>IF(Mecze[[#This Row],[KC]]=0,SUM(Mecze[[#This Row],[/BRI]:[/NPI]]),SUM(Mecze[[#This Row],[/BRI]:[/NPI]])*0.6)</f>
        <v>0.7734375</v>
      </c>
      <c r="AA2246" s="10">
        <f>IFERROR(Mecze[[#This Row],[BR]]/Mecze[[#This Row],[ST]],0)</f>
        <v>0.33333333333333331</v>
      </c>
      <c r="AB2246">
        <f>ROUND(Mecze[[#This Row],[PD]]*Mecze[[#This Row],[%PC]],0)</f>
        <v>7</v>
      </c>
      <c r="AC2246">
        <f>ROUND(Mecze[[#This Row],[OD]]*Mecze[[#This Row],[%OU]],0)</f>
        <v>1</v>
      </c>
      <c r="AD2246" s="36" t="s">
        <v>273</v>
      </c>
      <c r="AE2246" s="36">
        <v>125</v>
      </c>
      <c r="AF2246" s="71">
        <v>9.14</v>
      </c>
      <c r="AG2246" s="37">
        <v>0</v>
      </c>
      <c r="AH2246" s="37">
        <v>0</v>
      </c>
      <c r="AI2246" s="37">
        <v>96</v>
      </c>
      <c r="AJ2246" s="37">
        <v>5</v>
      </c>
      <c r="AK2246" s="37" t="str">
        <f>VLOOKUP(Mecze[[#This Row],[Match ID]],Meczusie[Mecz]:Meczusie[RodzajMeczu],2,FALSE)</f>
        <v>Liga</v>
      </c>
    </row>
    <row r="2247" spans="1:37" x14ac:dyDescent="0.25">
      <c r="A2247" s="76">
        <v>39</v>
      </c>
      <c r="B2247" s="3" t="s">
        <v>450</v>
      </c>
      <c r="C2247" s="2" t="s">
        <v>155</v>
      </c>
      <c r="D2247" s="1">
        <v>0</v>
      </c>
      <c r="E2247" s="1">
        <v>0</v>
      </c>
      <c r="F2247" s="1">
        <v>0</v>
      </c>
      <c r="G2247" s="1">
        <v>4</v>
      </c>
      <c r="H2247" s="4">
        <v>0.5</v>
      </c>
      <c r="I2247" s="1">
        <v>0</v>
      </c>
      <c r="J2247" s="4"/>
      <c r="K2247" s="1">
        <v>5</v>
      </c>
      <c r="L2247" s="1">
        <v>0</v>
      </c>
      <c r="M2247" s="32">
        <f>IF(Mecze[[#This Row],[PR]]=0,0,Mecze[[#This Row],[PR]]/Mecze[[#This Row],[CZAS]])</f>
        <v>0</v>
      </c>
      <c r="N2247" s="32">
        <f>IF(Mecze[[#This Row],[OU]]=0,0,Mecze[[#This Row],[OU]]/Mecze[[#This Row],[CZAS]])</f>
        <v>0</v>
      </c>
      <c r="O2247" s="32">
        <f>IF(Mecze[[#This Row],[PC]]=0,0,Mecze[[#This Row],[PC]]/Mecze[[#This Row],[CZAS]])</f>
        <v>2.0833333333333332E-2</v>
      </c>
      <c r="P2247" s="32">
        <f>IF(Mecze[[#This Row],[SC]]=0,0,Mecze[[#This Row],[SC]]/Mecze[[#This Row],[CZAS]])</f>
        <v>0</v>
      </c>
      <c r="Q2247" s="32">
        <f>IF(Mecze[[#This Row],[OB]]=0,0,Mecze[[#This Row],[OB]]/Mecze[[#This Row],[CZAS]])</f>
        <v>5.2083333333333336E-2</v>
      </c>
      <c r="R2247" s="32">
        <f>IF(Mecze[[#This Row],[BR]]=0,0,Mecze[[#This Row],[BR]]/Mecze[[#This Row],[CZAS]])</f>
        <v>0</v>
      </c>
      <c r="S2247" s="44">
        <f>IF(Mecze[[#This Row],[Role]]="BR",SUMPRODUCT(Mecze[[#This Row],[/PR:90]:[/BR:90]],Brudnopis!$E$23:$J$23),0)</f>
        <v>0.21875</v>
      </c>
      <c r="T2247" s="44">
        <f>IF(Mecze[[#This Row],[Role]]&lt;&gt;"BR",SUMPRODUCT(Mecze[[#This Row],[/PR:90]:[/BR:90]],Brudnopis!$E$24:$J$24),0)</f>
        <v>0</v>
      </c>
      <c r="U2247" s="44">
        <f>IF(Mecze[[#This Row],[Role]]&lt;&gt;"BR",SUMPRODUCT(Mecze[[#This Row],[/PR:90]:[/BR:90]],Brudnopis!$E$25:$J$25),0)</f>
        <v>0</v>
      </c>
      <c r="V2247" s="44">
        <f>IF(Mecze[[#This Row],[Role]]&lt;&gt;"BR",SUMPRODUCT(Mecze[[#This Row],[/PR:90]:[/BR:90]],Brudnopis!$E$26:$J$26),0)</f>
        <v>0</v>
      </c>
      <c r="W2247" s="44">
        <f>IF(Mecze[[#This Row],[Role]]&lt;&gt;"BR",SUMPRODUCT(Mecze[[#This Row],[/PR:90]:[/BR:90]],Brudnopis!$E$27:$J$27),0)</f>
        <v>0</v>
      </c>
      <c r="X2247" s="44">
        <f>IF(Mecze[[#This Row],[Role]]&lt;&gt;"BR",SUMPRODUCT(Mecze[[#This Row],[/PR:90]:[/BR:90]],Brudnopis!$E$28:$J$28),0)</f>
        <v>0</v>
      </c>
      <c r="Y2247" s="35">
        <f>IF(Mecze[[#This Row],[Role]]="BR",Mecze[[#This Row],[/OB:90]]+Mecze[[#This Row],[/PC:90]],SUM(Mecze[[#This Row],[/PR:90]:[/BR:90]]))</f>
        <v>7.2916666666666671E-2</v>
      </c>
      <c r="Z2247" s="35">
        <f>IF(Mecze[[#This Row],[KC]]=0,SUM(Mecze[[#This Row],[/BRI]:[/NPI]]),SUM(Mecze[[#This Row],[/BRI]:[/NPI]])*0.6)</f>
        <v>0.21875</v>
      </c>
      <c r="AA2247" s="10">
        <f>IFERROR(Mecze[[#This Row],[BR]]/Mecze[[#This Row],[ST]],0)</f>
        <v>0</v>
      </c>
      <c r="AB2247">
        <f>ROUND(Mecze[[#This Row],[PD]]*Mecze[[#This Row],[%PC]],0)</f>
        <v>2</v>
      </c>
      <c r="AC2247">
        <f>ROUND(Mecze[[#This Row],[OD]]*Mecze[[#This Row],[%OU]],0)</f>
        <v>0</v>
      </c>
      <c r="AD2247" s="36" t="s">
        <v>40</v>
      </c>
      <c r="AE2247" s="36">
        <v>126</v>
      </c>
      <c r="AF2247" s="71">
        <v>8.7899999999999991</v>
      </c>
      <c r="AG2247" s="37">
        <v>0</v>
      </c>
      <c r="AH2247" s="37">
        <v>0</v>
      </c>
      <c r="AI2247" s="37">
        <v>96</v>
      </c>
      <c r="AJ2247" s="37">
        <v>1</v>
      </c>
      <c r="AK2247" s="37" t="str">
        <f>VLOOKUP(Mecze[[#This Row],[Match ID]],Meczusie[Mecz]:Meczusie[RodzajMeczu],2,FALSE)</f>
        <v>Towarzyski</v>
      </c>
    </row>
    <row r="2248" spans="1:37" x14ac:dyDescent="0.25">
      <c r="A2248" s="76">
        <v>38</v>
      </c>
      <c r="B2248" s="3" t="s">
        <v>359</v>
      </c>
      <c r="C2248" s="2" t="s">
        <v>157</v>
      </c>
      <c r="D2248" s="1">
        <v>0</v>
      </c>
      <c r="E2248" s="1">
        <v>0</v>
      </c>
      <c r="F2248" s="1">
        <v>0</v>
      </c>
      <c r="G2248" s="1">
        <v>10</v>
      </c>
      <c r="H2248" s="4">
        <v>0.7</v>
      </c>
      <c r="I2248" s="1">
        <v>5</v>
      </c>
      <c r="J2248" s="4">
        <v>0.6</v>
      </c>
      <c r="K2248" s="1">
        <v>0</v>
      </c>
      <c r="L2248" s="1">
        <v>14</v>
      </c>
      <c r="M2248" s="32">
        <f>IF(Mecze[[#This Row],[PR]]=0,0,Mecze[[#This Row],[PR]]/Mecze[[#This Row],[CZAS]])</f>
        <v>0.14583333333333334</v>
      </c>
      <c r="N2248" s="32">
        <f>IF(Mecze[[#This Row],[OU]]=0,0,Mecze[[#This Row],[OU]]/Mecze[[#This Row],[CZAS]])</f>
        <v>3.125E-2</v>
      </c>
      <c r="O2248" s="32">
        <f>IF(Mecze[[#This Row],[PC]]=0,0,Mecze[[#This Row],[PC]]/Mecze[[#This Row],[CZAS]])</f>
        <v>7.2916666666666671E-2</v>
      </c>
      <c r="P2248" s="32">
        <f>IF(Mecze[[#This Row],[SC]]=0,0,Mecze[[#This Row],[SC]]/Mecze[[#This Row],[CZAS]])</f>
        <v>0</v>
      </c>
      <c r="Q2248" s="32">
        <f>IF(Mecze[[#This Row],[OB]]=0,0,Mecze[[#This Row],[OB]]/Mecze[[#This Row],[CZAS]])</f>
        <v>0</v>
      </c>
      <c r="R2248" s="32">
        <f>IF(Mecze[[#This Row],[BR]]=0,0,Mecze[[#This Row],[BR]]/Mecze[[#This Row],[CZAS]])</f>
        <v>0</v>
      </c>
      <c r="S2248" s="44">
        <f>IF(Mecze[[#This Row],[Role]]="BR",SUMPRODUCT(Mecze[[#This Row],[/PR:90]:[/BR:90]],Brudnopis!$E$23:$J$23),0)</f>
        <v>0</v>
      </c>
      <c r="T2248" s="44">
        <f>IF(Mecze[[#This Row],[Role]]&lt;&gt;"BR",SUMPRODUCT(Mecze[[#This Row],[/PR:90]:[/BR:90]],Brudnopis!$E$24:$J$24),0)</f>
        <v>0.265625</v>
      </c>
      <c r="U2248" s="44">
        <f>IF(Mecze[[#This Row],[Role]]&lt;&gt;"BR",SUMPRODUCT(Mecze[[#This Row],[/PR:90]:[/BR:90]],Brudnopis!$E$25:$J$25),0)</f>
        <v>0.28645833333333337</v>
      </c>
      <c r="V2248" s="44">
        <f>IF(Mecze[[#This Row],[Role]]&lt;&gt;"BR",SUMPRODUCT(Mecze[[#This Row],[/PR:90]:[/BR:90]],Brudnopis!$E$26:$J$26),0)</f>
        <v>0.25</v>
      </c>
      <c r="W2248" s="44">
        <f>IF(Mecze[[#This Row],[Role]]&lt;&gt;"BR",SUMPRODUCT(Mecze[[#This Row],[/PR:90]:[/BR:90]],Brudnopis!$E$27:$J$27),0)</f>
        <v>0.2421875</v>
      </c>
      <c r="X2248" s="44">
        <f>IF(Mecze[[#This Row],[Role]]&lt;&gt;"BR",SUMPRODUCT(Mecze[[#This Row],[/PR:90]:[/BR:90]],Brudnopis!$E$28:$J$28),0)</f>
        <v>7.2916666666666671E-2</v>
      </c>
      <c r="Y2248" s="35">
        <f>IF(Mecze[[#This Row],[Role]]="BR",Mecze[[#This Row],[/OB:90]]+Mecze[[#This Row],[/PC:90]],SUM(Mecze[[#This Row],[/PR:90]:[/BR:90]]))</f>
        <v>0.25</v>
      </c>
      <c r="Z2248" s="35">
        <f>IF(Mecze[[#This Row],[KC]]=0,SUM(Mecze[[#This Row],[/BRI]:[/NPI]]),SUM(Mecze[[#This Row],[/BRI]:[/NPI]])*0.6)</f>
        <v>1.1171875000000002</v>
      </c>
      <c r="AA2248" s="10">
        <f>IFERROR(Mecze[[#This Row],[BR]]/Mecze[[#This Row],[ST]],0)</f>
        <v>0</v>
      </c>
      <c r="AB2248">
        <f>ROUND(Mecze[[#This Row],[PD]]*Mecze[[#This Row],[%PC]],0)</f>
        <v>7</v>
      </c>
      <c r="AC2248">
        <f>ROUND(Mecze[[#This Row],[OD]]*Mecze[[#This Row],[%OU]],0)</f>
        <v>3</v>
      </c>
      <c r="AD2248" s="36" t="s">
        <v>47</v>
      </c>
      <c r="AE2248" s="36">
        <v>126</v>
      </c>
      <c r="AF2248" s="71">
        <v>11.1</v>
      </c>
      <c r="AG2248" s="37">
        <v>0</v>
      </c>
      <c r="AH2248" s="37">
        <v>0</v>
      </c>
      <c r="AI2248" s="37">
        <v>96</v>
      </c>
      <c r="AJ2248" s="37">
        <v>1</v>
      </c>
      <c r="AK2248" s="37" t="str">
        <f>VLOOKUP(Mecze[[#This Row],[Match ID]],Meczusie[Mecz]:Meczusie[RodzajMeczu],2,FALSE)</f>
        <v>Towarzyski</v>
      </c>
    </row>
    <row r="2249" spans="1:37" x14ac:dyDescent="0.25">
      <c r="A2249" s="76">
        <v>17</v>
      </c>
      <c r="B2249" s="3" t="s">
        <v>413</v>
      </c>
      <c r="C2249" s="2" t="s">
        <v>157</v>
      </c>
      <c r="D2249" s="1">
        <v>0</v>
      </c>
      <c r="E2249" s="1">
        <v>0</v>
      </c>
      <c r="F2249" s="1">
        <v>0</v>
      </c>
      <c r="G2249" s="1">
        <v>7</v>
      </c>
      <c r="H2249" s="4">
        <v>0.56999999999999995</v>
      </c>
      <c r="I2249" s="1">
        <v>3</v>
      </c>
      <c r="J2249" s="4">
        <v>0.33</v>
      </c>
      <c r="K2249" s="1">
        <v>0</v>
      </c>
      <c r="L2249" s="1">
        <v>9</v>
      </c>
      <c r="M2249" s="32">
        <f>IF(Mecze[[#This Row],[PR]]=0,0,Mecze[[#This Row],[PR]]/Mecze[[#This Row],[CZAS]])</f>
        <v>9.375E-2</v>
      </c>
      <c r="N2249" s="32">
        <f>IF(Mecze[[#This Row],[OU]]=0,0,Mecze[[#This Row],[OU]]/Mecze[[#This Row],[CZAS]])</f>
        <v>1.0416666666666666E-2</v>
      </c>
      <c r="O2249" s="32">
        <f>IF(Mecze[[#This Row],[PC]]=0,0,Mecze[[#This Row],[PC]]/Mecze[[#This Row],[CZAS]])</f>
        <v>4.1666666666666664E-2</v>
      </c>
      <c r="P2249" s="32">
        <f>IF(Mecze[[#This Row],[SC]]=0,0,Mecze[[#This Row],[SC]]/Mecze[[#This Row],[CZAS]])</f>
        <v>0</v>
      </c>
      <c r="Q2249" s="32">
        <f>IF(Mecze[[#This Row],[OB]]=0,0,Mecze[[#This Row],[OB]]/Mecze[[#This Row],[CZAS]])</f>
        <v>0</v>
      </c>
      <c r="R2249" s="32">
        <f>IF(Mecze[[#This Row],[BR]]=0,0,Mecze[[#This Row],[BR]]/Mecze[[#This Row],[CZAS]])</f>
        <v>0</v>
      </c>
      <c r="S2249" s="44">
        <f>IF(Mecze[[#This Row],[Role]]="BR",SUMPRODUCT(Mecze[[#This Row],[/PR:90]:[/BR:90]],Brudnopis!$E$23:$J$23),0)</f>
        <v>0</v>
      </c>
      <c r="T2249" s="44">
        <f>IF(Mecze[[#This Row],[Role]]&lt;&gt;"BR",SUMPRODUCT(Mecze[[#This Row],[/PR:90]:[/BR:90]],Brudnopis!$E$24:$J$24),0)</f>
        <v>0.15104166666666666</v>
      </c>
      <c r="U2249" s="44">
        <f>IF(Mecze[[#This Row],[Role]]&lt;&gt;"BR",SUMPRODUCT(Mecze[[#This Row],[/PR:90]:[/BR:90]],Brudnopis!$E$25:$J$25),0)</f>
        <v>0.16666666666666669</v>
      </c>
      <c r="V2249" s="44">
        <f>IF(Mecze[[#This Row],[Role]]&lt;&gt;"BR",SUMPRODUCT(Mecze[[#This Row],[/PR:90]:[/BR:90]],Brudnopis!$E$26:$J$26),0)</f>
        <v>0.14583333333333334</v>
      </c>
      <c r="W2249" s="44">
        <f>IF(Mecze[[#This Row],[Role]]&lt;&gt;"BR",SUMPRODUCT(Mecze[[#This Row],[/PR:90]:[/BR:90]],Brudnopis!$E$27:$J$27),0)</f>
        <v>0.140625</v>
      </c>
      <c r="X2249" s="44">
        <f>IF(Mecze[[#This Row],[Role]]&lt;&gt;"BR",SUMPRODUCT(Mecze[[#This Row],[/PR:90]:[/BR:90]],Brudnopis!$E$28:$J$28),0)</f>
        <v>4.1666666666666664E-2</v>
      </c>
      <c r="Y2249" s="35">
        <f>IF(Mecze[[#This Row],[Role]]="BR",Mecze[[#This Row],[/OB:90]]+Mecze[[#This Row],[/PC:90]],SUM(Mecze[[#This Row],[/PR:90]:[/BR:90]]))</f>
        <v>0.14583333333333334</v>
      </c>
      <c r="Z2249" s="35">
        <f>IF(Mecze[[#This Row],[KC]]=0,SUM(Mecze[[#This Row],[/BRI]:[/NPI]]),SUM(Mecze[[#This Row],[/BRI]:[/NPI]])*0.6)</f>
        <v>0.64583333333333337</v>
      </c>
      <c r="AA2249" s="10">
        <f>IFERROR(Mecze[[#This Row],[BR]]/Mecze[[#This Row],[ST]],0)</f>
        <v>0</v>
      </c>
      <c r="AB2249">
        <f>ROUND(Mecze[[#This Row],[PD]]*Mecze[[#This Row],[%PC]],0)</f>
        <v>4</v>
      </c>
      <c r="AC2249">
        <f>ROUND(Mecze[[#This Row],[OD]]*Mecze[[#This Row],[%OU]],0)</f>
        <v>1</v>
      </c>
      <c r="AD2249" s="36" t="s">
        <v>167</v>
      </c>
      <c r="AE2249" s="36">
        <v>126</v>
      </c>
      <c r="AF2249" s="71">
        <v>8.93</v>
      </c>
      <c r="AG2249" s="37">
        <v>0</v>
      </c>
      <c r="AH2249" s="37">
        <v>0</v>
      </c>
      <c r="AI2249" s="37">
        <v>96</v>
      </c>
      <c r="AJ2249" s="37">
        <v>1</v>
      </c>
      <c r="AK2249" s="37" t="str">
        <f>VLOOKUP(Mecze[[#This Row],[Match ID]],Meczusie[Mecz]:Meczusie[RodzajMeczu],2,FALSE)</f>
        <v>Towarzyski</v>
      </c>
    </row>
    <row r="2250" spans="1:37" x14ac:dyDescent="0.25">
      <c r="A2250" s="76">
        <v>4</v>
      </c>
      <c r="B2250" s="3" t="s">
        <v>360</v>
      </c>
      <c r="C2250" s="2" t="s">
        <v>157</v>
      </c>
      <c r="D2250" s="1">
        <v>0</v>
      </c>
      <c r="E2250" s="1">
        <v>1</v>
      </c>
      <c r="F2250" s="1">
        <v>1</v>
      </c>
      <c r="G2250" s="1">
        <v>13</v>
      </c>
      <c r="H2250" s="4">
        <v>0.46</v>
      </c>
      <c r="I2250" s="1">
        <v>3</v>
      </c>
      <c r="J2250" s="4">
        <v>0</v>
      </c>
      <c r="K2250" s="1">
        <v>0</v>
      </c>
      <c r="L2250" s="1">
        <v>16</v>
      </c>
      <c r="M2250" s="32">
        <f>IF(Mecze[[#This Row],[PR]]=0,0,Mecze[[#This Row],[PR]]/Mecze[[#This Row],[CZAS]])</f>
        <v>0.16666666666666666</v>
      </c>
      <c r="N2250" s="32">
        <f>IF(Mecze[[#This Row],[OU]]=0,0,Mecze[[#This Row],[OU]]/Mecze[[#This Row],[CZAS]])</f>
        <v>0</v>
      </c>
      <c r="O2250" s="32">
        <f>IF(Mecze[[#This Row],[PC]]=0,0,Mecze[[#This Row],[PC]]/Mecze[[#This Row],[CZAS]])</f>
        <v>6.25E-2</v>
      </c>
      <c r="P2250" s="32">
        <f>IF(Mecze[[#This Row],[SC]]=0,0,Mecze[[#This Row],[SC]]/Mecze[[#This Row],[CZAS]])</f>
        <v>1.0416666666666666E-2</v>
      </c>
      <c r="Q2250" s="32">
        <f>IF(Mecze[[#This Row],[OB]]=0,0,Mecze[[#This Row],[OB]]/Mecze[[#This Row],[CZAS]])</f>
        <v>0</v>
      </c>
      <c r="R2250" s="32">
        <f>IF(Mecze[[#This Row],[BR]]=0,0,Mecze[[#This Row],[BR]]/Mecze[[#This Row],[CZAS]])</f>
        <v>0</v>
      </c>
      <c r="S2250" s="44">
        <f>IF(Mecze[[#This Row],[Role]]="BR",SUMPRODUCT(Mecze[[#This Row],[/PR:90]:[/BR:90]],Brudnopis!$E$23:$J$23),0)</f>
        <v>0</v>
      </c>
      <c r="T2250" s="44">
        <f>IF(Mecze[[#This Row],[Role]]&lt;&gt;"BR",SUMPRODUCT(Mecze[[#This Row],[/PR:90]:[/BR:90]],Brudnopis!$E$24:$J$24),0)</f>
        <v>0.23958333333333331</v>
      </c>
      <c r="U2250" s="44">
        <f>IF(Mecze[[#This Row],[Role]]&lt;&gt;"BR",SUMPRODUCT(Mecze[[#This Row],[/PR:90]:[/BR:90]],Brudnopis!$E$25:$J$25),0)</f>
        <v>0.27083333333333331</v>
      </c>
      <c r="V2250" s="44">
        <f>IF(Mecze[[#This Row],[Role]]&lt;&gt;"BR",SUMPRODUCT(Mecze[[#This Row],[/PR:90]:[/BR:90]],Brudnopis!$E$26:$J$26),0)</f>
        <v>0.23958333333333331</v>
      </c>
      <c r="W2250" s="44">
        <f>IF(Mecze[[#This Row],[Role]]&lt;&gt;"BR",SUMPRODUCT(Mecze[[#This Row],[/PR:90]:[/BR:90]],Brudnopis!$E$27:$J$27),0)</f>
        <v>0.22916666666666666</v>
      </c>
      <c r="X2250" s="44">
        <f>IF(Mecze[[#This Row],[Role]]&lt;&gt;"BR",SUMPRODUCT(Mecze[[#This Row],[/PR:90]:[/BR:90]],Brudnopis!$E$28:$J$28),0)</f>
        <v>8.3333333333333329E-2</v>
      </c>
      <c r="Y2250" s="35">
        <f>IF(Mecze[[#This Row],[Role]]="BR",Mecze[[#This Row],[/OB:90]]+Mecze[[#This Row],[/PC:90]],SUM(Mecze[[#This Row],[/PR:90]:[/BR:90]]))</f>
        <v>0.23958333333333331</v>
      </c>
      <c r="Z2250" s="35">
        <f>IF(Mecze[[#This Row],[KC]]=0,SUM(Mecze[[#This Row],[/BRI]:[/NPI]]),SUM(Mecze[[#This Row],[/BRI]:[/NPI]])*0.6)</f>
        <v>1.0625</v>
      </c>
      <c r="AA2250" s="10">
        <f>IFERROR(Mecze[[#This Row],[BR]]/Mecze[[#This Row],[ST]],0)</f>
        <v>0</v>
      </c>
      <c r="AB2250">
        <f>ROUND(Mecze[[#This Row],[PD]]*Mecze[[#This Row],[%PC]],0)</f>
        <v>6</v>
      </c>
      <c r="AC2250">
        <f>ROUND(Mecze[[#This Row],[OD]]*Mecze[[#This Row],[%OU]],0)</f>
        <v>0</v>
      </c>
      <c r="AD2250" s="36" t="s">
        <v>168</v>
      </c>
      <c r="AE2250" s="36">
        <v>126</v>
      </c>
      <c r="AF2250" s="71">
        <v>10.4</v>
      </c>
      <c r="AG2250" s="37">
        <v>0</v>
      </c>
      <c r="AH2250" s="37">
        <v>0</v>
      </c>
      <c r="AI2250" s="37">
        <v>96</v>
      </c>
      <c r="AJ2250" s="37">
        <v>1</v>
      </c>
      <c r="AK2250" s="37" t="str">
        <f>VLOOKUP(Mecze[[#This Row],[Match ID]],Meczusie[Mecz]:Meczusie[RodzajMeczu],2,FALSE)</f>
        <v>Towarzyski</v>
      </c>
    </row>
    <row r="2251" spans="1:37" x14ac:dyDescent="0.25">
      <c r="A2251" s="76">
        <v>40</v>
      </c>
      <c r="B2251" s="3" t="s">
        <v>453</v>
      </c>
      <c r="C2251" s="2" t="s">
        <v>160</v>
      </c>
      <c r="D2251" s="1">
        <v>0</v>
      </c>
      <c r="E2251" s="1">
        <v>0</v>
      </c>
      <c r="F2251" s="1">
        <v>0</v>
      </c>
      <c r="G2251" s="1">
        <v>15</v>
      </c>
      <c r="H2251" s="4">
        <v>0.33</v>
      </c>
      <c r="I2251" s="1">
        <v>2</v>
      </c>
      <c r="J2251" s="4">
        <v>0</v>
      </c>
      <c r="K2251" s="1">
        <v>0</v>
      </c>
      <c r="L2251" s="1">
        <v>9</v>
      </c>
      <c r="M2251" s="32">
        <f>IF(Mecze[[#This Row],[PR]]=0,0,Mecze[[#This Row],[PR]]/Mecze[[#This Row],[CZAS]])</f>
        <v>9.375E-2</v>
      </c>
      <c r="N2251" s="32">
        <f>IF(Mecze[[#This Row],[OU]]=0,0,Mecze[[#This Row],[OU]]/Mecze[[#This Row],[CZAS]])</f>
        <v>0</v>
      </c>
      <c r="O2251" s="32">
        <f>IF(Mecze[[#This Row],[PC]]=0,0,Mecze[[#This Row],[PC]]/Mecze[[#This Row],[CZAS]])</f>
        <v>5.2083333333333336E-2</v>
      </c>
      <c r="P2251" s="32">
        <f>IF(Mecze[[#This Row],[SC]]=0,0,Mecze[[#This Row],[SC]]/Mecze[[#This Row],[CZAS]])</f>
        <v>0</v>
      </c>
      <c r="Q2251" s="32">
        <f>IF(Mecze[[#This Row],[OB]]=0,0,Mecze[[#This Row],[OB]]/Mecze[[#This Row],[CZAS]])</f>
        <v>0</v>
      </c>
      <c r="R2251" s="32">
        <f>IF(Mecze[[#This Row],[BR]]=0,0,Mecze[[#This Row],[BR]]/Mecze[[#This Row],[CZAS]])</f>
        <v>0</v>
      </c>
      <c r="S2251" s="44">
        <f>IF(Mecze[[#This Row],[Role]]="BR",SUMPRODUCT(Mecze[[#This Row],[/PR:90]:[/BR:90]],Brudnopis!$E$23:$J$23),0)</f>
        <v>0</v>
      </c>
      <c r="T2251" s="44">
        <f>IF(Mecze[[#This Row],[Role]]&lt;&gt;"BR",SUMPRODUCT(Mecze[[#This Row],[/PR:90]:[/BR:90]],Brudnopis!$E$24:$J$24),0)</f>
        <v>0.14583333333333334</v>
      </c>
      <c r="U2251" s="44">
        <f>IF(Mecze[[#This Row],[Role]]&lt;&gt;"BR",SUMPRODUCT(Mecze[[#This Row],[/PR:90]:[/BR:90]],Brudnopis!$E$25:$J$25),0)</f>
        <v>0.171875</v>
      </c>
      <c r="V2251" s="44">
        <f>IF(Mecze[[#This Row],[Role]]&lt;&gt;"BR",SUMPRODUCT(Mecze[[#This Row],[/PR:90]:[/BR:90]],Brudnopis!$E$26:$J$26),0)</f>
        <v>0.14583333333333334</v>
      </c>
      <c r="W2251" s="44">
        <f>IF(Mecze[[#This Row],[Role]]&lt;&gt;"BR",SUMPRODUCT(Mecze[[#This Row],[/PR:90]:[/BR:90]],Brudnopis!$E$27:$J$27),0)</f>
        <v>0.1484375</v>
      </c>
      <c r="X2251" s="44">
        <f>IF(Mecze[[#This Row],[Role]]&lt;&gt;"BR",SUMPRODUCT(Mecze[[#This Row],[/PR:90]:[/BR:90]],Brudnopis!$E$28:$J$28),0)</f>
        <v>5.2083333333333336E-2</v>
      </c>
      <c r="Y2251" s="35">
        <f>IF(Mecze[[#This Row],[Role]]="BR",Mecze[[#This Row],[/OB:90]]+Mecze[[#This Row],[/PC:90]],SUM(Mecze[[#This Row],[/PR:90]:[/BR:90]]))</f>
        <v>0.14583333333333334</v>
      </c>
      <c r="Z2251" s="35">
        <f>IF(Mecze[[#This Row],[KC]]=0,SUM(Mecze[[#This Row],[/BRI]:[/NPI]]),SUM(Mecze[[#This Row],[/BRI]:[/NPI]])*0.6)</f>
        <v>0.66406250000000011</v>
      </c>
      <c r="AA2251" s="10">
        <f>IFERROR(Mecze[[#This Row],[BR]]/Mecze[[#This Row],[ST]],0)</f>
        <v>0</v>
      </c>
      <c r="AB2251">
        <f>ROUND(Mecze[[#This Row],[PD]]*Mecze[[#This Row],[%PC]],0)</f>
        <v>5</v>
      </c>
      <c r="AC2251">
        <f>ROUND(Mecze[[#This Row],[OD]]*Mecze[[#This Row],[%OU]],0)</f>
        <v>0</v>
      </c>
      <c r="AD2251" s="36" t="s">
        <v>41</v>
      </c>
      <c r="AE2251" s="36">
        <v>126</v>
      </c>
      <c r="AF2251" s="71">
        <v>8.93</v>
      </c>
      <c r="AG2251" s="37">
        <v>0</v>
      </c>
      <c r="AH2251" s="37">
        <v>0</v>
      </c>
      <c r="AI2251" s="37">
        <v>96</v>
      </c>
      <c r="AJ2251" s="37">
        <v>1</v>
      </c>
      <c r="AK2251" s="37" t="str">
        <f>VLOOKUP(Mecze[[#This Row],[Match ID]],Meczusie[Mecz]:Meczusie[RodzajMeczu],2,FALSE)</f>
        <v>Towarzyski</v>
      </c>
    </row>
    <row r="2252" spans="1:37" x14ac:dyDescent="0.25">
      <c r="A2252" s="76">
        <v>22</v>
      </c>
      <c r="B2252" s="3" t="s">
        <v>363</v>
      </c>
      <c r="C2252" s="2" t="s">
        <v>160</v>
      </c>
      <c r="D2252" s="1">
        <v>0</v>
      </c>
      <c r="E2252" s="1">
        <v>0</v>
      </c>
      <c r="F2252" s="1">
        <v>0</v>
      </c>
      <c r="G2252" s="1">
        <v>15</v>
      </c>
      <c r="H2252" s="4">
        <v>0.4</v>
      </c>
      <c r="I2252" s="1">
        <v>6</v>
      </c>
      <c r="J2252" s="4">
        <v>0.83</v>
      </c>
      <c r="K2252" s="1">
        <v>0</v>
      </c>
      <c r="L2252" s="1">
        <v>12</v>
      </c>
      <c r="M2252" s="32">
        <f>IF(Mecze[[#This Row],[PR]]=0,0,Mecze[[#This Row],[PR]]/Mecze[[#This Row],[CZAS]])</f>
        <v>0.125</v>
      </c>
      <c r="N2252" s="32">
        <f>IF(Mecze[[#This Row],[OU]]=0,0,Mecze[[#This Row],[OU]]/Mecze[[#This Row],[CZAS]])</f>
        <v>5.2083333333333336E-2</v>
      </c>
      <c r="O2252" s="32">
        <f>IF(Mecze[[#This Row],[PC]]=0,0,Mecze[[#This Row],[PC]]/Mecze[[#This Row],[CZAS]])</f>
        <v>6.25E-2</v>
      </c>
      <c r="P2252" s="32">
        <f>IF(Mecze[[#This Row],[SC]]=0,0,Mecze[[#This Row],[SC]]/Mecze[[#This Row],[CZAS]])</f>
        <v>0</v>
      </c>
      <c r="Q2252" s="32">
        <f>IF(Mecze[[#This Row],[OB]]=0,0,Mecze[[#This Row],[OB]]/Mecze[[#This Row],[CZAS]])</f>
        <v>0</v>
      </c>
      <c r="R2252" s="32">
        <f>IF(Mecze[[#This Row],[BR]]=0,0,Mecze[[#This Row],[BR]]/Mecze[[#This Row],[CZAS]])</f>
        <v>0</v>
      </c>
      <c r="S2252" s="44">
        <f>IF(Mecze[[#This Row],[Role]]="BR",SUMPRODUCT(Mecze[[#This Row],[/PR:90]:[/BR:90]],Brudnopis!$E$23:$J$23),0)</f>
        <v>0</v>
      </c>
      <c r="T2252" s="44">
        <f>IF(Mecze[[#This Row],[Role]]&lt;&gt;"BR",SUMPRODUCT(Mecze[[#This Row],[/PR:90]:[/BR:90]],Brudnopis!$E$24:$J$24),0)</f>
        <v>0.265625</v>
      </c>
      <c r="U2252" s="44">
        <f>IF(Mecze[[#This Row],[Role]]&lt;&gt;"BR",SUMPRODUCT(Mecze[[#This Row],[/PR:90]:[/BR:90]],Brudnopis!$E$25:$J$25),0)</f>
        <v>0.27083333333333337</v>
      </c>
      <c r="V2252" s="44">
        <f>IF(Mecze[[#This Row],[Role]]&lt;&gt;"BR",SUMPRODUCT(Mecze[[#This Row],[/PR:90]:[/BR:90]],Brudnopis!$E$26:$J$26),0)</f>
        <v>0.23958333333333334</v>
      </c>
      <c r="W2252" s="44">
        <f>IF(Mecze[[#This Row],[Role]]&lt;&gt;"BR",SUMPRODUCT(Mecze[[#This Row],[/PR:90]:[/BR:90]],Brudnopis!$E$27:$J$27),0)</f>
        <v>0.2265625</v>
      </c>
      <c r="X2252" s="44">
        <f>IF(Mecze[[#This Row],[Role]]&lt;&gt;"BR",SUMPRODUCT(Mecze[[#This Row],[/PR:90]:[/BR:90]],Brudnopis!$E$28:$J$28),0)</f>
        <v>6.25E-2</v>
      </c>
      <c r="Y2252" s="35">
        <f>IF(Mecze[[#This Row],[Role]]="BR",Mecze[[#This Row],[/OB:90]]+Mecze[[#This Row],[/PC:90]],SUM(Mecze[[#This Row],[/PR:90]:[/BR:90]]))</f>
        <v>0.23958333333333334</v>
      </c>
      <c r="Z2252" s="35">
        <f>IF(Mecze[[#This Row],[KC]]=0,SUM(Mecze[[#This Row],[/BRI]:[/NPI]]),SUM(Mecze[[#This Row],[/BRI]:[/NPI]])*0.6)</f>
        <v>1.0651041666666667</v>
      </c>
      <c r="AA2252" s="10">
        <f>IFERROR(Mecze[[#This Row],[BR]]/Mecze[[#This Row],[ST]],0)</f>
        <v>0</v>
      </c>
      <c r="AB2252">
        <f>ROUND(Mecze[[#This Row],[PD]]*Mecze[[#This Row],[%PC]],0)</f>
        <v>6</v>
      </c>
      <c r="AC2252">
        <f>ROUND(Mecze[[#This Row],[OD]]*Mecze[[#This Row],[%OU]],0)</f>
        <v>5</v>
      </c>
      <c r="AD2252" s="36" t="s">
        <v>41</v>
      </c>
      <c r="AE2252" s="36">
        <v>126</v>
      </c>
      <c r="AF2252" s="71">
        <v>9.56</v>
      </c>
      <c r="AG2252" s="37">
        <v>0</v>
      </c>
      <c r="AH2252" s="37">
        <v>0</v>
      </c>
      <c r="AI2252" s="37">
        <v>96</v>
      </c>
      <c r="AJ2252" s="37">
        <v>1</v>
      </c>
      <c r="AK2252" s="37" t="str">
        <f>VLOOKUP(Mecze[[#This Row],[Match ID]],Meczusie[Mecz]:Meczusie[RodzajMeczu],2,FALSE)</f>
        <v>Towarzyski</v>
      </c>
    </row>
    <row r="2253" spans="1:37" x14ac:dyDescent="0.25">
      <c r="A2253" s="76">
        <v>25</v>
      </c>
      <c r="B2253" s="3" t="s">
        <v>366</v>
      </c>
      <c r="C2253" s="2" t="s">
        <v>160</v>
      </c>
      <c r="D2253" s="1">
        <v>0</v>
      </c>
      <c r="E2253" s="1">
        <v>0</v>
      </c>
      <c r="F2253" s="1">
        <v>0</v>
      </c>
      <c r="G2253" s="1">
        <v>6</v>
      </c>
      <c r="H2253" s="4">
        <v>0.5</v>
      </c>
      <c r="I2253" s="1">
        <v>1</v>
      </c>
      <c r="J2253" s="4">
        <v>0</v>
      </c>
      <c r="K2253" s="1">
        <v>0</v>
      </c>
      <c r="L2253" s="1">
        <v>5</v>
      </c>
      <c r="M2253" s="32">
        <f>IF(Mecze[[#This Row],[PR]]=0,0,Mecze[[#This Row],[PR]]/Mecze[[#This Row],[CZAS]])</f>
        <v>5.2083333333333336E-2</v>
      </c>
      <c r="N2253" s="32">
        <f>IF(Mecze[[#This Row],[OU]]=0,0,Mecze[[#This Row],[OU]]/Mecze[[#This Row],[CZAS]])</f>
        <v>0</v>
      </c>
      <c r="O2253" s="32">
        <f>IF(Mecze[[#This Row],[PC]]=0,0,Mecze[[#This Row],[PC]]/Mecze[[#This Row],[CZAS]])</f>
        <v>3.125E-2</v>
      </c>
      <c r="P2253" s="32">
        <f>IF(Mecze[[#This Row],[SC]]=0,0,Mecze[[#This Row],[SC]]/Mecze[[#This Row],[CZAS]])</f>
        <v>0</v>
      </c>
      <c r="Q2253" s="32">
        <f>IF(Mecze[[#This Row],[OB]]=0,0,Mecze[[#This Row],[OB]]/Mecze[[#This Row],[CZAS]])</f>
        <v>0</v>
      </c>
      <c r="R2253" s="32">
        <f>IF(Mecze[[#This Row],[BR]]=0,0,Mecze[[#This Row],[BR]]/Mecze[[#This Row],[CZAS]])</f>
        <v>0</v>
      </c>
      <c r="S2253" s="44">
        <f>IF(Mecze[[#This Row],[Role]]="BR",SUMPRODUCT(Mecze[[#This Row],[/PR:90]:[/BR:90]],Brudnopis!$E$23:$J$23),0)</f>
        <v>0</v>
      </c>
      <c r="T2253" s="44">
        <f>IF(Mecze[[#This Row],[Role]]&lt;&gt;"BR",SUMPRODUCT(Mecze[[#This Row],[/PR:90]:[/BR:90]],Brudnopis!$E$24:$J$24),0)</f>
        <v>8.3333333333333343E-2</v>
      </c>
      <c r="U2253" s="44">
        <f>IF(Mecze[[#This Row],[Role]]&lt;&gt;"BR",SUMPRODUCT(Mecze[[#This Row],[/PR:90]:[/BR:90]],Brudnopis!$E$25:$J$25),0)</f>
        <v>9.8958333333333343E-2</v>
      </c>
      <c r="V2253" s="44">
        <f>IF(Mecze[[#This Row],[Role]]&lt;&gt;"BR",SUMPRODUCT(Mecze[[#This Row],[/PR:90]:[/BR:90]],Brudnopis!$E$26:$J$26),0)</f>
        <v>8.3333333333333343E-2</v>
      </c>
      <c r="W2253" s="44">
        <f>IF(Mecze[[#This Row],[Role]]&lt;&gt;"BR",SUMPRODUCT(Mecze[[#This Row],[/PR:90]:[/BR:90]],Brudnopis!$E$27:$J$27),0)</f>
        <v>8.59375E-2</v>
      </c>
      <c r="X2253" s="44">
        <f>IF(Mecze[[#This Row],[Role]]&lt;&gt;"BR",SUMPRODUCT(Mecze[[#This Row],[/PR:90]:[/BR:90]],Brudnopis!$E$28:$J$28),0)</f>
        <v>3.125E-2</v>
      </c>
      <c r="Y2253" s="35">
        <f>IF(Mecze[[#This Row],[Role]]="BR",Mecze[[#This Row],[/OB:90]]+Mecze[[#This Row],[/PC:90]],SUM(Mecze[[#This Row],[/PR:90]:[/BR:90]]))</f>
        <v>8.3333333333333343E-2</v>
      </c>
      <c r="Z2253" s="35">
        <f>IF(Mecze[[#This Row],[KC]]=0,SUM(Mecze[[#This Row],[/BRI]:[/NPI]]),SUM(Mecze[[#This Row],[/BRI]:[/NPI]])*0.6)</f>
        <v>0.3828125</v>
      </c>
      <c r="AA2253" s="10">
        <f>IFERROR(Mecze[[#This Row],[BR]]/Mecze[[#This Row],[ST]],0)</f>
        <v>0</v>
      </c>
      <c r="AB2253">
        <f>ROUND(Mecze[[#This Row],[PD]]*Mecze[[#This Row],[%PC]],0)</f>
        <v>3</v>
      </c>
      <c r="AC2253">
        <f>ROUND(Mecze[[#This Row],[OD]]*Mecze[[#This Row],[%OU]],0)</f>
        <v>0</v>
      </c>
      <c r="AD2253" s="36" t="s">
        <v>44</v>
      </c>
      <c r="AE2253" s="36">
        <v>126</v>
      </c>
      <c r="AF2253" s="71">
        <v>9.3000000000000007</v>
      </c>
      <c r="AG2253" s="37">
        <v>0</v>
      </c>
      <c r="AH2253" s="37">
        <v>0</v>
      </c>
      <c r="AI2253" s="37">
        <v>96</v>
      </c>
      <c r="AJ2253" s="37">
        <v>1</v>
      </c>
      <c r="AK2253" s="37" t="str">
        <f>VLOOKUP(Mecze[[#This Row],[Match ID]],Meczusie[Mecz]:Meczusie[RodzajMeczu],2,FALSE)</f>
        <v>Towarzyski</v>
      </c>
    </row>
    <row r="2254" spans="1:37" x14ac:dyDescent="0.25">
      <c r="A2254" s="76">
        <v>27</v>
      </c>
      <c r="B2254" s="3" t="s">
        <v>364</v>
      </c>
      <c r="C2254" s="2" t="s">
        <v>160</v>
      </c>
      <c r="D2254" s="1">
        <v>0</v>
      </c>
      <c r="E2254" s="1">
        <v>2</v>
      </c>
      <c r="F2254" s="1">
        <v>2</v>
      </c>
      <c r="G2254" s="1">
        <v>6</v>
      </c>
      <c r="H2254" s="4">
        <v>0.67</v>
      </c>
      <c r="I2254" s="1">
        <v>0</v>
      </c>
      <c r="J2254" s="4"/>
      <c r="K2254" s="1">
        <v>0</v>
      </c>
      <c r="L2254" s="1">
        <v>1</v>
      </c>
      <c r="M2254" s="32">
        <f>IF(Mecze[[#This Row],[PR]]=0,0,Mecze[[#This Row],[PR]]/Mecze[[#This Row],[CZAS]])</f>
        <v>1.0416666666666666E-2</v>
      </c>
      <c r="N2254" s="32">
        <f>IF(Mecze[[#This Row],[OU]]=0,0,Mecze[[#This Row],[OU]]/Mecze[[#This Row],[CZAS]])</f>
        <v>0</v>
      </c>
      <c r="O2254" s="32">
        <f>IF(Mecze[[#This Row],[PC]]=0,0,Mecze[[#This Row],[PC]]/Mecze[[#This Row],[CZAS]])</f>
        <v>4.1666666666666664E-2</v>
      </c>
      <c r="P2254" s="32">
        <f>IF(Mecze[[#This Row],[SC]]=0,0,Mecze[[#This Row],[SC]]/Mecze[[#This Row],[CZAS]])</f>
        <v>2.0833333333333332E-2</v>
      </c>
      <c r="Q2254" s="32">
        <f>IF(Mecze[[#This Row],[OB]]=0,0,Mecze[[#This Row],[OB]]/Mecze[[#This Row],[CZAS]])</f>
        <v>0</v>
      </c>
      <c r="R2254" s="32">
        <f>IF(Mecze[[#This Row],[BR]]=0,0,Mecze[[#This Row],[BR]]/Mecze[[#This Row],[CZAS]])</f>
        <v>0</v>
      </c>
      <c r="S2254" s="44">
        <f>IF(Mecze[[#This Row],[Role]]="BR",SUMPRODUCT(Mecze[[#This Row],[/PR:90]:[/BR:90]],Brudnopis!$E$23:$J$23),0)</f>
        <v>0</v>
      </c>
      <c r="T2254" s="44">
        <f>IF(Mecze[[#This Row],[Role]]&lt;&gt;"BR",SUMPRODUCT(Mecze[[#This Row],[/PR:90]:[/BR:90]],Brudnopis!$E$24:$J$24),0)</f>
        <v>7.2916666666666657E-2</v>
      </c>
      <c r="U2254" s="44">
        <f>IF(Mecze[[#This Row],[Role]]&lt;&gt;"BR",SUMPRODUCT(Mecze[[#This Row],[/PR:90]:[/BR:90]],Brudnopis!$E$25:$J$25),0)</f>
        <v>9.375E-2</v>
      </c>
      <c r="V2254" s="44">
        <f>IF(Mecze[[#This Row],[Role]]&lt;&gt;"BR",SUMPRODUCT(Mecze[[#This Row],[/PR:90]:[/BR:90]],Brudnopis!$E$26:$J$26),0)</f>
        <v>7.2916666666666657E-2</v>
      </c>
      <c r="W2254" s="44">
        <f>IF(Mecze[[#This Row],[Role]]&lt;&gt;"BR",SUMPRODUCT(Mecze[[#This Row],[/PR:90]:[/BR:90]],Brudnopis!$E$27:$J$27),0)</f>
        <v>9.1145833333333329E-2</v>
      </c>
      <c r="X2254" s="44">
        <f>IF(Mecze[[#This Row],[Role]]&lt;&gt;"BR",SUMPRODUCT(Mecze[[#This Row],[/PR:90]:[/BR:90]],Brudnopis!$E$28:$J$28),0)</f>
        <v>8.3333333333333329E-2</v>
      </c>
      <c r="Y2254" s="35">
        <f>IF(Mecze[[#This Row],[Role]]="BR",Mecze[[#This Row],[/OB:90]]+Mecze[[#This Row],[/PC:90]],SUM(Mecze[[#This Row],[/PR:90]:[/BR:90]]))</f>
        <v>7.2916666666666657E-2</v>
      </c>
      <c r="Z2254" s="35">
        <f>IF(Mecze[[#This Row],[KC]]=0,SUM(Mecze[[#This Row],[/BRI]:[/NPI]]),SUM(Mecze[[#This Row],[/BRI]:[/NPI]])*0.6)</f>
        <v>0.41406249999999994</v>
      </c>
      <c r="AA2254" s="10">
        <f>IFERROR(Mecze[[#This Row],[BR]]/Mecze[[#This Row],[ST]],0)</f>
        <v>0</v>
      </c>
      <c r="AB2254">
        <f>ROUND(Mecze[[#This Row],[PD]]*Mecze[[#This Row],[%PC]],0)</f>
        <v>4</v>
      </c>
      <c r="AC2254">
        <f>ROUND(Mecze[[#This Row],[OD]]*Mecze[[#This Row],[%OU]],0)</f>
        <v>0</v>
      </c>
      <c r="AD2254" s="36" t="s">
        <v>44</v>
      </c>
      <c r="AE2254" s="36">
        <v>126</v>
      </c>
      <c r="AF2254" s="71">
        <v>8.92</v>
      </c>
      <c r="AG2254" s="37">
        <v>0</v>
      </c>
      <c r="AH2254" s="37">
        <v>0</v>
      </c>
      <c r="AI2254" s="37">
        <v>96</v>
      </c>
      <c r="AJ2254" s="37">
        <v>1</v>
      </c>
      <c r="AK2254" s="37" t="str">
        <f>VLOOKUP(Mecze[[#This Row],[Match ID]],Meczusie[Mecz]:Meczusie[RodzajMeczu],2,FALSE)</f>
        <v>Towarzyski</v>
      </c>
    </row>
    <row r="2255" spans="1:37" x14ac:dyDescent="0.25">
      <c r="A2255" s="76">
        <v>31</v>
      </c>
      <c r="B2255" s="3" t="s">
        <v>365</v>
      </c>
      <c r="C2255" s="2" t="s">
        <v>165</v>
      </c>
      <c r="D2255" s="1">
        <v>1</v>
      </c>
      <c r="E2255" s="1">
        <v>9</v>
      </c>
      <c r="F2255" s="1">
        <v>9</v>
      </c>
      <c r="G2255" s="1">
        <v>7</v>
      </c>
      <c r="H2255" s="4">
        <v>0.56999999999999995</v>
      </c>
      <c r="I2255" s="1">
        <v>11</v>
      </c>
      <c r="J2255" s="4">
        <v>0.09</v>
      </c>
      <c r="K2255" s="1">
        <v>0</v>
      </c>
      <c r="L2255" s="1">
        <v>1</v>
      </c>
      <c r="M2255" s="32">
        <f>IF(Mecze[[#This Row],[PR]]=0,0,Mecze[[#This Row],[PR]]/Mecze[[#This Row],[CZAS]])</f>
        <v>1.0416666666666666E-2</v>
      </c>
      <c r="N2255" s="32">
        <f>IF(Mecze[[#This Row],[OU]]=0,0,Mecze[[#This Row],[OU]]/Mecze[[#This Row],[CZAS]])</f>
        <v>1.0416666666666666E-2</v>
      </c>
      <c r="O2255" s="32">
        <f>IF(Mecze[[#This Row],[PC]]=0,0,Mecze[[#This Row],[PC]]/Mecze[[#This Row],[CZAS]])</f>
        <v>4.1666666666666664E-2</v>
      </c>
      <c r="P2255" s="32">
        <f>IF(Mecze[[#This Row],[SC]]=0,0,Mecze[[#This Row],[SC]]/Mecze[[#This Row],[CZAS]])</f>
        <v>9.375E-2</v>
      </c>
      <c r="Q2255" s="32">
        <f>IF(Mecze[[#This Row],[OB]]=0,0,Mecze[[#This Row],[OB]]/Mecze[[#This Row],[CZAS]])</f>
        <v>0</v>
      </c>
      <c r="R2255" s="32">
        <f>IF(Mecze[[#This Row],[BR]]=0,0,Mecze[[#This Row],[BR]]/Mecze[[#This Row],[CZAS]])</f>
        <v>1.0416666666666666E-2</v>
      </c>
      <c r="S2255" s="44">
        <f>IF(Mecze[[#This Row],[Role]]="BR",SUMPRODUCT(Mecze[[#This Row],[/PR:90]:[/BR:90]],Brudnopis!$E$23:$J$23),0)</f>
        <v>0</v>
      </c>
      <c r="T2255" s="44">
        <f>IF(Mecze[[#This Row],[Role]]&lt;&gt;"BR",SUMPRODUCT(Mecze[[#This Row],[/PR:90]:[/BR:90]],Brudnopis!$E$24:$J$24),0)</f>
        <v>0.17708333333333331</v>
      </c>
      <c r="U2255" s="44">
        <f>IF(Mecze[[#This Row],[Role]]&lt;&gt;"BR",SUMPRODUCT(Mecze[[#This Row],[/PR:90]:[/BR:90]],Brudnopis!$E$25:$J$25),0)</f>
        <v>0.19270833333333331</v>
      </c>
      <c r="V2255" s="44">
        <f>IF(Mecze[[#This Row],[Role]]&lt;&gt;"BR",SUMPRODUCT(Mecze[[#This Row],[/PR:90]:[/BR:90]],Brudnopis!$E$26:$J$26),0)</f>
        <v>0.17708333333333334</v>
      </c>
      <c r="W2255" s="44">
        <f>IF(Mecze[[#This Row],[Role]]&lt;&gt;"BR",SUMPRODUCT(Mecze[[#This Row],[/PR:90]:[/BR:90]],Brudnopis!$E$27:$J$27),0)</f>
        <v>0.19270833333333334</v>
      </c>
      <c r="X2255" s="44">
        <f>IF(Mecze[[#This Row],[Role]]&lt;&gt;"BR",SUMPRODUCT(Mecze[[#This Row],[/PR:90]:[/BR:90]],Brudnopis!$E$28:$J$28),0)</f>
        <v>0.26041666666666663</v>
      </c>
      <c r="Y2255" s="35">
        <f>IF(Mecze[[#This Row],[Role]]="BR",Mecze[[#This Row],[/OB:90]]+Mecze[[#This Row],[/PC:90]],SUM(Mecze[[#This Row],[/PR:90]:[/BR:90]]))</f>
        <v>0.16666666666666666</v>
      </c>
      <c r="Z2255" s="35">
        <f>IF(Mecze[[#This Row],[KC]]=0,SUM(Mecze[[#This Row],[/BRI]:[/NPI]]),SUM(Mecze[[#This Row],[/BRI]:[/NPI]])*0.6)</f>
        <v>1</v>
      </c>
      <c r="AA2255" s="10">
        <f>IFERROR(Mecze[[#This Row],[BR]]/Mecze[[#This Row],[ST]],0)</f>
        <v>0.1111111111111111</v>
      </c>
      <c r="AB2255">
        <f>ROUND(Mecze[[#This Row],[PD]]*Mecze[[#This Row],[%PC]],0)</f>
        <v>4</v>
      </c>
      <c r="AC2255">
        <f>ROUND(Mecze[[#This Row],[OD]]*Mecze[[#This Row],[%OU]],0)</f>
        <v>1</v>
      </c>
      <c r="AD2255" s="36" t="s">
        <v>46</v>
      </c>
      <c r="AE2255" s="36">
        <v>126</v>
      </c>
      <c r="AF2255" s="71">
        <v>9.5399999999999991</v>
      </c>
      <c r="AG2255" s="37">
        <v>0</v>
      </c>
      <c r="AH2255" s="37">
        <v>0</v>
      </c>
      <c r="AI2255" s="37">
        <v>96</v>
      </c>
      <c r="AJ2255" s="37">
        <v>1</v>
      </c>
      <c r="AK2255" s="37" t="str">
        <f>VLOOKUP(Mecze[[#This Row],[Match ID]],Meczusie[Mecz]:Meczusie[RodzajMeczu],2,FALSE)</f>
        <v>Towarzyski</v>
      </c>
    </row>
    <row r="2256" spans="1:37" x14ac:dyDescent="0.25">
      <c r="A2256" s="76">
        <v>61</v>
      </c>
      <c r="B2256" s="3" t="s">
        <v>454</v>
      </c>
      <c r="C2256" s="2" t="s">
        <v>165</v>
      </c>
      <c r="D2256" s="1">
        <v>0</v>
      </c>
      <c r="E2256" s="1">
        <v>2</v>
      </c>
      <c r="F2256" s="1">
        <v>2</v>
      </c>
      <c r="G2256" s="1">
        <v>10</v>
      </c>
      <c r="H2256" s="4">
        <v>0.8</v>
      </c>
      <c r="I2256" s="1">
        <v>2</v>
      </c>
      <c r="J2256" s="4">
        <v>1</v>
      </c>
      <c r="K2256" s="1">
        <v>0</v>
      </c>
      <c r="L2256" s="1">
        <v>0</v>
      </c>
      <c r="M2256" s="32">
        <f>IF(Mecze[[#This Row],[PR]]=0,0,Mecze[[#This Row],[PR]]/Mecze[[#This Row],[CZAS]])</f>
        <v>0</v>
      </c>
      <c r="N2256" s="32">
        <f>IF(Mecze[[#This Row],[OU]]=0,0,Mecze[[#This Row],[OU]]/Mecze[[#This Row],[CZAS]])</f>
        <v>2.0833333333333332E-2</v>
      </c>
      <c r="O2256" s="32">
        <f>IF(Mecze[[#This Row],[PC]]=0,0,Mecze[[#This Row],[PC]]/Mecze[[#This Row],[CZAS]])</f>
        <v>8.3333333333333329E-2</v>
      </c>
      <c r="P2256" s="32">
        <f>IF(Mecze[[#This Row],[SC]]=0,0,Mecze[[#This Row],[SC]]/Mecze[[#This Row],[CZAS]])</f>
        <v>2.0833333333333332E-2</v>
      </c>
      <c r="Q2256" s="32">
        <f>IF(Mecze[[#This Row],[OB]]=0,0,Mecze[[#This Row],[OB]]/Mecze[[#This Row],[CZAS]])</f>
        <v>0</v>
      </c>
      <c r="R2256" s="32">
        <f>IF(Mecze[[#This Row],[BR]]=0,0,Mecze[[#This Row],[BR]]/Mecze[[#This Row],[CZAS]])</f>
        <v>0</v>
      </c>
      <c r="S2256" s="44">
        <f>IF(Mecze[[#This Row],[Role]]="BR",SUMPRODUCT(Mecze[[#This Row],[/PR:90]:[/BR:90]],Brudnopis!$E$23:$J$23),0)</f>
        <v>0</v>
      </c>
      <c r="T2256" s="44">
        <f>IF(Mecze[[#This Row],[Role]]&lt;&gt;"BR",SUMPRODUCT(Mecze[[#This Row],[/PR:90]:[/BR:90]],Brudnopis!$E$24:$J$24),0)</f>
        <v>0.13541666666666666</v>
      </c>
      <c r="U2256" s="44">
        <f>IF(Mecze[[#This Row],[Role]]&lt;&gt;"BR",SUMPRODUCT(Mecze[[#This Row],[/PR:90]:[/BR:90]],Brudnopis!$E$25:$J$25),0)</f>
        <v>0.16666666666666669</v>
      </c>
      <c r="V2256" s="44">
        <f>IF(Mecze[[#This Row],[Role]]&lt;&gt;"BR",SUMPRODUCT(Mecze[[#This Row],[/PR:90]:[/BR:90]],Brudnopis!$E$26:$J$26),0)</f>
        <v>0.12499999999999999</v>
      </c>
      <c r="W2256" s="44">
        <f>IF(Mecze[[#This Row],[Role]]&lt;&gt;"BR",SUMPRODUCT(Mecze[[#This Row],[/PR:90]:[/BR:90]],Brudnopis!$E$27:$J$27),0)</f>
        <v>0.16145833333333334</v>
      </c>
      <c r="X2256" s="44">
        <f>IF(Mecze[[#This Row],[Role]]&lt;&gt;"BR",SUMPRODUCT(Mecze[[#This Row],[/PR:90]:[/BR:90]],Brudnopis!$E$28:$J$28),0)</f>
        <v>0.125</v>
      </c>
      <c r="Y2256" s="35">
        <f>IF(Mecze[[#This Row],[Role]]="BR",Mecze[[#This Row],[/OB:90]]+Mecze[[#This Row],[/PC:90]],SUM(Mecze[[#This Row],[/PR:90]:[/BR:90]]))</f>
        <v>0.12499999999999999</v>
      </c>
      <c r="Z2256" s="35">
        <f>IF(Mecze[[#This Row],[KC]]=0,SUM(Mecze[[#This Row],[/BRI]:[/NPI]]),SUM(Mecze[[#This Row],[/BRI]:[/NPI]])*0.6)</f>
        <v>0.71354166666666674</v>
      </c>
      <c r="AA2256" s="10">
        <f>IFERROR(Mecze[[#This Row],[BR]]/Mecze[[#This Row],[ST]],0)</f>
        <v>0</v>
      </c>
      <c r="AB2256">
        <f>ROUND(Mecze[[#This Row],[PD]]*Mecze[[#This Row],[%PC]],0)</f>
        <v>8</v>
      </c>
      <c r="AC2256">
        <f>ROUND(Mecze[[#This Row],[OD]]*Mecze[[#This Row],[%OU]],0)</f>
        <v>2</v>
      </c>
      <c r="AD2256" s="36" t="s">
        <v>46</v>
      </c>
      <c r="AE2256" s="36">
        <v>126</v>
      </c>
      <c r="AF2256" s="71">
        <v>6.62</v>
      </c>
      <c r="AG2256" s="37">
        <v>0</v>
      </c>
      <c r="AH2256" s="37">
        <v>0</v>
      </c>
      <c r="AI2256" s="37">
        <v>96</v>
      </c>
      <c r="AJ2256" s="37">
        <v>1</v>
      </c>
      <c r="AK2256" s="37" t="str">
        <f>VLOOKUP(Mecze[[#This Row],[Match ID]],Meczusie[Mecz]:Meczusie[RodzajMeczu],2,FALSE)</f>
        <v>Towarzyski</v>
      </c>
    </row>
    <row r="2257" spans="1:37" x14ac:dyDescent="0.25">
      <c r="A2257" s="76">
        <v>46</v>
      </c>
      <c r="B2257" s="3" t="s">
        <v>395</v>
      </c>
      <c r="C2257" s="2" t="s">
        <v>165</v>
      </c>
      <c r="D2257" s="1">
        <v>0</v>
      </c>
      <c r="E2257" s="1">
        <v>5</v>
      </c>
      <c r="F2257" s="1">
        <v>4</v>
      </c>
      <c r="G2257" s="1">
        <v>8</v>
      </c>
      <c r="H2257" s="4">
        <v>0.5</v>
      </c>
      <c r="I2257" s="1">
        <v>6</v>
      </c>
      <c r="J2257" s="4">
        <v>0.17</v>
      </c>
      <c r="K2257" s="1">
        <v>0</v>
      </c>
      <c r="L2257" s="1">
        <v>2</v>
      </c>
      <c r="M2257" s="32">
        <f>IF(Mecze[[#This Row],[PR]]=0,0,Mecze[[#This Row],[PR]]/Mecze[[#This Row],[CZAS]])</f>
        <v>2.0833333333333332E-2</v>
      </c>
      <c r="N2257" s="32">
        <f>IF(Mecze[[#This Row],[OU]]=0,0,Mecze[[#This Row],[OU]]/Mecze[[#This Row],[CZAS]])</f>
        <v>1.0416666666666666E-2</v>
      </c>
      <c r="O2257" s="32">
        <f>IF(Mecze[[#This Row],[PC]]=0,0,Mecze[[#This Row],[PC]]/Mecze[[#This Row],[CZAS]])</f>
        <v>4.1666666666666664E-2</v>
      </c>
      <c r="P2257" s="32">
        <f>IF(Mecze[[#This Row],[SC]]=0,0,Mecze[[#This Row],[SC]]/Mecze[[#This Row],[CZAS]])</f>
        <v>4.1666666666666664E-2</v>
      </c>
      <c r="Q2257" s="32">
        <f>IF(Mecze[[#This Row],[OB]]=0,0,Mecze[[#This Row],[OB]]/Mecze[[#This Row],[CZAS]])</f>
        <v>0</v>
      </c>
      <c r="R2257" s="32">
        <f>IF(Mecze[[#This Row],[BR]]=0,0,Mecze[[#This Row],[BR]]/Mecze[[#This Row],[CZAS]])</f>
        <v>0</v>
      </c>
      <c r="S2257" s="44">
        <f>IF(Mecze[[#This Row],[Role]]="BR",SUMPRODUCT(Mecze[[#This Row],[/PR:90]:[/BR:90]],Brudnopis!$E$23:$J$23),0)</f>
        <v>0</v>
      </c>
      <c r="T2257" s="44">
        <f>IF(Mecze[[#This Row],[Role]]&lt;&gt;"BR",SUMPRODUCT(Mecze[[#This Row],[/PR:90]:[/BR:90]],Brudnopis!$E$24:$J$24),0)</f>
        <v>0.11979166666666666</v>
      </c>
      <c r="U2257" s="44">
        <f>IF(Mecze[[#This Row],[Role]]&lt;&gt;"BR",SUMPRODUCT(Mecze[[#This Row],[/PR:90]:[/BR:90]],Brudnopis!$E$25:$J$25),0)</f>
        <v>0.13541666666666666</v>
      </c>
      <c r="V2257" s="44">
        <f>IF(Mecze[[#This Row],[Role]]&lt;&gt;"BR",SUMPRODUCT(Mecze[[#This Row],[/PR:90]:[/BR:90]],Brudnopis!$E$26:$J$26),0)</f>
        <v>0.11458333333333331</v>
      </c>
      <c r="W2257" s="44">
        <f>IF(Mecze[[#This Row],[Role]]&lt;&gt;"BR",SUMPRODUCT(Mecze[[#This Row],[/PR:90]:[/BR:90]],Brudnopis!$E$27:$J$27),0)</f>
        <v>0.12760416666666666</v>
      </c>
      <c r="X2257" s="44">
        <f>IF(Mecze[[#This Row],[Role]]&lt;&gt;"BR",SUMPRODUCT(Mecze[[#This Row],[/PR:90]:[/BR:90]],Brudnopis!$E$28:$J$28),0)</f>
        <v>0.125</v>
      </c>
      <c r="Y2257" s="35">
        <f>IF(Mecze[[#This Row],[Role]]="BR",Mecze[[#This Row],[/OB:90]]+Mecze[[#This Row],[/PC:90]],SUM(Mecze[[#This Row],[/PR:90]:[/BR:90]]))</f>
        <v>0.11458333333333331</v>
      </c>
      <c r="Z2257" s="35">
        <f>IF(Mecze[[#This Row],[KC]]=0,SUM(Mecze[[#This Row],[/BRI]:[/NPI]]),SUM(Mecze[[#This Row],[/BRI]:[/NPI]])*0.6)</f>
        <v>0.62239583333333326</v>
      </c>
      <c r="AA2257" s="10">
        <f>IFERROR(Mecze[[#This Row],[BR]]/Mecze[[#This Row],[ST]],0)</f>
        <v>0</v>
      </c>
      <c r="AB2257">
        <f>ROUND(Mecze[[#This Row],[PD]]*Mecze[[#This Row],[%PC]],0)</f>
        <v>4</v>
      </c>
      <c r="AC2257">
        <f>ROUND(Mecze[[#This Row],[OD]]*Mecze[[#This Row],[%OU]],0)</f>
        <v>1</v>
      </c>
      <c r="AD2257" s="36" t="s">
        <v>46</v>
      </c>
      <c r="AE2257" s="36">
        <v>126</v>
      </c>
      <c r="AF2257" s="71">
        <v>6.14</v>
      </c>
      <c r="AG2257" s="37">
        <v>0</v>
      </c>
      <c r="AH2257" s="37">
        <v>0</v>
      </c>
      <c r="AI2257" s="37">
        <v>96</v>
      </c>
      <c r="AJ2257" s="37">
        <v>1</v>
      </c>
      <c r="AK2257" s="37" t="str">
        <f>VLOOKUP(Mecze[[#This Row],[Match ID]],Meczusie[Mecz]:Meczusie[RodzajMeczu],2,FALSE)</f>
        <v>Towarzyski</v>
      </c>
    </row>
    <row r="2258" spans="1:37" x14ac:dyDescent="0.25">
      <c r="A2258" s="76">
        <v>39</v>
      </c>
      <c r="B2258" s="3" t="s">
        <v>450</v>
      </c>
      <c r="C2258" s="2" t="s">
        <v>155</v>
      </c>
      <c r="D2258" s="1">
        <v>0</v>
      </c>
      <c r="E2258" s="1">
        <v>0</v>
      </c>
      <c r="F2258" s="1">
        <v>0</v>
      </c>
      <c r="G2258" s="1">
        <v>5</v>
      </c>
      <c r="H2258" s="4">
        <v>0.4</v>
      </c>
      <c r="I2258" s="1">
        <v>0</v>
      </c>
      <c r="J2258" s="4"/>
      <c r="K2258" s="1">
        <v>2</v>
      </c>
      <c r="L2258" s="1">
        <v>0</v>
      </c>
      <c r="M2258" s="32">
        <f>IF(Mecze[[#This Row],[PR]]=0,0,Mecze[[#This Row],[PR]]/Mecze[[#This Row],[CZAS]])</f>
        <v>0</v>
      </c>
      <c r="N2258" s="32">
        <f>IF(Mecze[[#This Row],[OU]]=0,0,Mecze[[#This Row],[OU]]/Mecze[[#This Row],[CZAS]])</f>
        <v>0</v>
      </c>
      <c r="O2258" s="32">
        <f>IF(Mecze[[#This Row],[PC]]=0,0,Mecze[[#This Row],[PC]]/Mecze[[#This Row],[CZAS]])</f>
        <v>2.1052631578947368E-2</v>
      </c>
      <c r="P2258" s="32">
        <f>IF(Mecze[[#This Row],[SC]]=0,0,Mecze[[#This Row],[SC]]/Mecze[[#This Row],[CZAS]])</f>
        <v>0</v>
      </c>
      <c r="Q2258" s="32">
        <f>IF(Mecze[[#This Row],[OB]]=0,0,Mecze[[#This Row],[OB]]/Mecze[[#This Row],[CZAS]])</f>
        <v>2.1052631578947368E-2</v>
      </c>
      <c r="R2258" s="32">
        <f>IF(Mecze[[#This Row],[BR]]=0,0,Mecze[[#This Row],[BR]]/Mecze[[#This Row],[CZAS]])</f>
        <v>0</v>
      </c>
      <c r="S2258" s="44">
        <f>IF(Mecze[[#This Row],[Role]]="BR",SUMPRODUCT(Mecze[[#This Row],[/PR:90]:[/BR:90]],Brudnopis!$E$23:$J$23),0)</f>
        <v>0.12631578947368421</v>
      </c>
      <c r="T2258" s="44">
        <f>IF(Mecze[[#This Row],[Role]]&lt;&gt;"BR",SUMPRODUCT(Mecze[[#This Row],[/PR:90]:[/BR:90]],Brudnopis!$E$24:$J$24),0)</f>
        <v>0</v>
      </c>
      <c r="U2258" s="44">
        <f>IF(Mecze[[#This Row],[Role]]&lt;&gt;"BR",SUMPRODUCT(Mecze[[#This Row],[/PR:90]:[/BR:90]],Brudnopis!$E$25:$J$25),0)</f>
        <v>0</v>
      </c>
      <c r="V2258" s="44">
        <f>IF(Mecze[[#This Row],[Role]]&lt;&gt;"BR",SUMPRODUCT(Mecze[[#This Row],[/PR:90]:[/BR:90]],Brudnopis!$E$26:$J$26),0)</f>
        <v>0</v>
      </c>
      <c r="W2258" s="44">
        <f>IF(Mecze[[#This Row],[Role]]&lt;&gt;"BR",SUMPRODUCT(Mecze[[#This Row],[/PR:90]:[/BR:90]],Brudnopis!$E$27:$J$27),0)</f>
        <v>0</v>
      </c>
      <c r="X2258" s="44">
        <f>IF(Mecze[[#This Row],[Role]]&lt;&gt;"BR",SUMPRODUCT(Mecze[[#This Row],[/PR:90]:[/BR:90]],Brudnopis!$E$28:$J$28),0)</f>
        <v>0</v>
      </c>
      <c r="Y2258" s="35">
        <f>IF(Mecze[[#This Row],[Role]]="BR",Mecze[[#This Row],[/OB:90]]+Mecze[[#This Row],[/PC:90]],SUM(Mecze[[#This Row],[/PR:90]:[/BR:90]]))</f>
        <v>4.2105263157894736E-2</v>
      </c>
      <c r="Z2258" s="35">
        <f>IF(Mecze[[#This Row],[KC]]=0,SUM(Mecze[[#This Row],[/BRI]:[/NPI]]),SUM(Mecze[[#This Row],[/BRI]:[/NPI]])*0.6)</f>
        <v>0.12631578947368421</v>
      </c>
      <c r="AA2258" s="10">
        <f>IFERROR(Mecze[[#This Row],[BR]]/Mecze[[#This Row],[ST]],0)</f>
        <v>0</v>
      </c>
      <c r="AB2258">
        <f>ROUND(Mecze[[#This Row],[PD]]*Mecze[[#This Row],[%PC]],0)</f>
        <v>2</v>
      </c>
      <c r="AC2258">
        <f>ROUND(Mecze[[#This Row],[OD]]*Mecze[[#This Row],[%OU]],0)</f>
        <v>0</v>
      </c>
      <c r="AD2258" s="36" t="s">
        <v>40</v>
      </c>
      <c r="AE2258" s="36">
        <v>127</v>
      </c>
      <c r="AF2258" s="71">
        <v>6.52</v>
      </c>
      <c r="AG2258" s="37">
        <v>0</v>
      </c>
      <c r="AH2258" s="37">
        <v>0</v>
      </c>
      <c r="AI2258" s="37">
        <v>95</v>
      </c>
      <c r="AJ2258" s="37">
        <v>1</v>
      </c>
      <c r="AK2258" s="37" t="str">
        <f>VLOOKUP(Mecze[[#This Row],[Match ID]],Meczusie[Mecz]:Meczusie[RodzajMeczu],2,FALSE)</f>
        <v>Towarzyski</v>
      </c>
    </row>
    <row r="2259" spans="1:37" x14ac:dyDescent="0.25">
      <c r="A2259" s="76">
        <v>38</v>
      </c>
      <c r="B2259" s="3" t="s">
        <v>359</v>
      </c>
      <c r="C2259" s="2" t="s">
        <v>157</v>
      </c>
      <c r="D2259" s="1">
        <v>0</v>
      </c>
      <c r="E2259" s="1">
        <v>0</v>
      </c>
      <c r="F2259" s="1">
        <v>0</v>
      </c>
      <c r="G2259" s="1">
        <v>11</v>
      </c>
      <c r="H2259" s="4">
        <v>0.73</v>
      </c>
      <c r="I2259" s="1">
        <v>3</v>
      </c>
      <c r="J2259" s="4">
        <v>1</v>
      </c>
      <c r="K2259" s="1">
        <v>0</v>
      </c>
      <c r="L2259" s="1">
        <v>13</v>
      </c>
      <c r="M2259" s="32">
        <f>IF(Mecze[[#This Row],[PR]]=0,0,Mecze[[#This Row],[PR]]/Mecze[[#This Row],[CZAS]])</f>
        <v>0.1368421052631579</v>
      </c>
      <c r="N2259" s="32">
        <f>IF(Mecze[[#This Row],[OU]]=0,0,Mecze[[#This Row],[OU]]/Mecze[[#This Row],[CZAS]])</f>
        <v>3.1578947368421054E-2</v>
      </c>
      <c r="O2259" s="32">
        <f>IF(Mecze[[#This Row],[PC]]=0,0,Mecze[[#This Row],[PC]]/Mecze[[#This Row],[CZAS]])</f>
        <v>8.4210526315789472E-2</v>
      </c>
      <c r="P2259" s="32">
        <f>IF(Mecze[[#This Row],[SC]]=0,0,Mecze[[#This Row],[SC]]/Mecze[[#This Row],[CZAS]])</f>
        <v>0</v>
      </c>
      <c r="Q2259" s="32">
        <f>IF(Mecze[[#This Row],[OB]]=0,0,Mecze[[#This Row],[OB]]/Mecze[[#This Row],[CZAS]])</f>
        <v>0</v>
      </c>
      <c r="R2259" s="32">
        <f>IF(Mecze[[#This Row],[BR]]=0,0,Mecze[[#This Row],[BR]]/Mecze[[#This Row],[CZAS]])</f>
        <v>0</v>
      </c>
      <c r="S2259" s="44">
        <f>IF(Mecze[[#This Row],[Role]]="BR",SUMPRODUCT(Mecze[[#This Row],[/PR:90]:[/BR:90]],Brudnopis!$E$23:$J$23),0)</f>
        <v>0</v>
      </c>
      <c r="T2259" s="44">
        <f>IF(Mecze[[#This Row],[Role]]&lt;&gt;"BR",SUMPRODUCT(Mecze[[#This Row],[/PR:90]:[/BR:90]],Brudnopis!$E$24:$J$24),0)</f>
        <v>0.26842105263157895</v>
      </c>
      <c r="U2259" s="44">
        <f>IF(Mecze[[#This Row],[Role]]&lt;&gt;"BR",SUMPRODUCT(Mecze[[#This Row],[/PR:90]:[/BR:90]],Brudnopis!$E$25:$J$25),0)</f>
        <v>0.29473684210526319</v>
      </c>
      <c r="V2259" s="44">
        <f>IF(Mecze[[#This Row],[Role]]&lt;&gt;"BR",SUMPRODUCT(Mecze[[#This Row],[/PR:90]:[/BR:90]],Brudnopis!$E$26:$J$26),0)</f>
        <v>0.25263157894736843</v>
      </c>
      <c r="W2259" s="44">
        <f>IF(Mecze[[#This Row],[Role]]&lt;&gt;"BR",SUMPRODUCT(Mecze[[#This Row],[/PR:90]:[/BR:90]],Brudnopis!$E$27:$J$27),0)</f>
        <v>0.25263157894736843</v>
      </c>
      <c r="X2259" s="44">
        <f>IF(Mecze[[#This Row],[Role]]&lt;&gt;"BR",SUMPRODUCT(Mecze[[#This Row],[/PR:90]:[/BR:90]],Brudnopis!$E$28:$J$28),0)</f>
        <v>8.4210526315789472E-2</v>
      </c>
      <c r="Y2259" s="35">
        <f>IF(Mecze[[#This Row],[Role]]="BR",Mecze[[#This Row],[/OB:90]]+Mecze[[#This Row],[/PC:90]],SUM(Mecze[[#This Row],[/PR:90]:[/BR:90]]))</f>
        <v>0.25263157894736843</v>
      </c>
      <c r="Z2259" s="35">
        <f>IF(Mecze[[#This Row],[KC]]=0,SUM(Mecze[[#This Row],[/BRI]:[/NPI]]),SUM(Mecze[[#This Row],[/BRI]:[/NPI]])*0.6)</f>
        <v>1.1526315789473685</v>
      </c>
      <c r="AA2259" s="10">
        <f>IFERROR(Mecze[[#This Row],[BR]]/Mecze[[#This Row],[ST]],0)</f>
        <v>0</v>
      </c>
      <c r="AB2259">
        <f>ROUND(Mecze[[#This Row],[PD]]*Mecze[[#This Row],[%PC]],0)</f>
        <v>8</v>
      </c>
      <c r="AC2259">
        <f>ROUND(Mecze[[#This Row],[OD]]*Mecze[[#This Row],[%OU]],0)</f>
        <v>3</v>
      </c>
      <c r="AD2259" s="36" t="s">
        <v>47</v>
      </c>
      <c r="AE2259" s="36">
        <v>127</v>
      </c>
      <c r="AF2259" s="71">
        <v>10.59</v>
      </c>
      <c r="AG2259" s="37">
        <v>1</v>
      </c>
      <c r="AH2259" s="37">
        <v>0</v>
      </c>
      <c r="AI2259" s="37">
        <v>95</v>
      </c>
      <c r="AJ2259" s="37">
        <v>1</v>
      </c>
      <c r="AK2259" s="37" t="str">
        <f>VLOOKUP(Mecze[[#This Row],[Match ID]],Meczusie[Mecz]:Meczusie[RodzajMeczu],2,FALSE)</f>
        <v>Towarzyski</v>
      </c>
    </row>
    <row r="2260" spans="1:37" x14ac:dyDescent="0.25">
      <c r="A2260" s="76">
        <v>17</v>
      </c>
      <c r="B2260" s="3" t="s">
        <v>413</v>
      </c>
      <c r="C2260" s="2" t="s">
        <v>157</v>
      </c>
      <c r="D2260" s="1">
        <v>0</v>
      </c>
      <c r="E2260" s="1">
        <v>0</v>
      </c>
      <c r="F2260" s="1">
        <v>0</v>
      </c>
      <c r="G2260" s="1">
        <v>4</v>
      </c>
      <c r="H2260" s="4">
        <v>0.75</v>
      </c>
      <c r="I2260" s="1">
        <v>1</v>
      </c>
      <c r="J2260" s="4">
        <v>1</v>
      </c>
      <c r="K2260" s="1">
        <v>0</v>
      </c>
      <c r="L2260" s="1">
        <v>7</v>
      </c>
      <c r="M2260" s="32">
        <f>IF(Mecze[[#This Row],[PR]]=0,0,Mecze[[#This Row],[PR]]/Mecze[[#This Row],[CZAS]])</f>
        <v>7.3684210526315783E-2</v>
      </c>
      <c r="N2260" s="32">
        <f>IF(Mecze[[#This Row],[OU]]=0,0,Mecze[[#This Row],[OU]]/Mecze[[#This Row],[CZAS]])</f>
        <v>1.0526315789473684E-2</v>
      </c>
      <c r="O2260" s="32">
        <f>IF(Mecze[[#This Row],[PC]]=0,0,Mecze[[#This Row],[PC]]/Mecze[[#This Row],[CZAS]])</f>
        <v>3.1578947368421054E-2</v>
      </c>
      <c r="P2260" s="32">
        <f>IF(Mecze[[#This Row],[SC]]=0,0,Mecze[[#This Row],[SC]]/Mecze[[#This Row],[CZAS]])</f>
        <v>0</v>
      </c>
      <c r="Q2260" s="32">
        <f>IF(Mecze[[#This Row],[OB]]=0,0,Mecze[[#This Row],[OB]]/Mecze[[#This Row],[CZAS]])</f>
        <v>0</v>
      </c>
      <c r="R2260" s="32">
        <f>IF(Mecze[[#This Row],[BR]]=0,0,Mecze[[#This Row],[BR]]/Mecze[[#This Row],[CZAS]])</f>
        <v>0</v>
      </c>
      <c r="S2260" s="44">
        <f>IF(Mecze[[#This Row],[Role]]="BR",SUMPRODUCT(Mecze[[#This Row],[/PR:90]:[/BR:90]],Brudnopis!$E$23:$J$23),0)</f>
        <v>0</v>
      </c>
      <c r="T2260" s="44">
        <f>IF(Mecze[[#This Row],[Role]]&lt;&gt;"BR",SUMPRODUCT(Mecze[[#This Row],[/PR:90]:[/BR:90]],Brudnopis!$E$24:$J$24),0)</f>
        <v>0.12105263157894737</v>
      </c>
      <c r="U2260" s="44">
        <f>IF(Mecze[[#This Row],[Role]]&lt;&gt;"BR",SUMPRODUCT(Mecze[[#This Row],[/PR:90]:[/BR:90]],Brudnopis!$E$25:$J$25),0)</f>
        <v>0.13157894736842105</v>
      </c>
      <c r="V2260" s="44">
        <f>IF(Mecze[[#This Row],[Role]]&lt;&gt;"BR",SUMPRODUCT(Mecze[[#This Row],[/PR:90]:[/BR:90]],Brudnopis!$E$26:$J$26),0)</f>
        <v>0.11578947368421053</v>
      </c>
      <c r="W2260" s="44">
        <f>IF(Mecze[[#This Row],[Role]]&lt;&gt;"BR",SUMPRODUCT(Mecze[[#This Row],[/PR:90]:[/BR:90]],Brudnopis!$E$27:$J$27),0)</f>
        <v>0.11052631578947367</v>
      </c>
      <c r="X2260" s="44">
        <f>IF(Mecze[[#This Row],[Role]]&lt;&gt;"BR",SUMPRODUCT(Mecze[[#This Row],[/PR:90]:[/BR:90]],Brudnopis!$E$28:$J$28),0)</f>
        <v>3.1578947368421054E-2</v>
      </c>
      <c r="Y2260" s="35">
        <f>IF(Mecze[[#This Row],[Role]]="BR",Mecze[[#This Row],[/OB:90]]+Mecze[[#This Row],[/PC:90]],SUM(Mecze[[#This Row],[/PR:90]:[/BR:90]]))</f>
        <v>0.11578947368421053</v>
      </c>
      <c r="Z2260" s="35">
        <f>IF(Mecze[[#This Row],[KC]]=0,SUM(Mecze[[#This Row],[/BRI]:[/NPI]]),SUM(Mecze[[#This Row],[/BRI]:[/NPI]])*0.6)</f>
        <v>0.51052631578947372</v>
      </c>
      <c r="AA2260" s="10">
        <f>IFERROR(Mecze[[#This Row],[BR]]/Mecze[[#This Row],[ST]],0)</f>
        <v>0</v>
      </c>
      <c r="AB2260">
        <f>ROUND(Mecze[[#This Row],[PD]]*Mecze[[#This Row],[%PC]],0)</f>
        <v>3</v>
      </c>
      <c r="AC2260">
        <f>ROUND(Mecze[[#This Row],[OD]]*Mecze[[#This Row],[%OU]],0)</f>
        <v>1</v>
      </c>
      <c r="AD2260" s="36" t="s">
        <v>167</v>
      </c>
      <c r="AE2260" s="36">
        <v>127</v>
      </c>
      <c r="AF2260" s="71">
        <v>7.29</v>
      </c>
      <c r="AG2260" s="37">
        <v>0</v>
      </c>
      <c r="AH2260" s="37">
        <v>0</v>
      </c>
      <c r="AI2260" s="37">
        <v>95</v>
      </c>
      <c r="AJ2260" s="37">
        <v>1</v>
      </c>
      <c r="AK2260" s="37" t="str">
        <f>VLOOKUP(Mecze[[#This Row],[Match ID]],Meczusie[Mecz]:Meczusie[RodzajMeczu],2,FALSE)</f>
        <v>Towarzyski</v>
      </c>
    </row>
    <row r="2261" spans="1:37" x14ac:dyDescent="0.25">
      <c r="A2261" s="76">
        <v>4</v>
      </c>
      <c r="B2261" s="3" t="s">
        <v>360</v>
      </c>
      <c r="C2261" s="2" t="s">
        <v>157</v>
      </c>
      <c r="D2261" s="1">
        <v>0</v>
      </c>
      <c r="E2261" s="1">
        <v>0</v>
      </c>
      <c r="F2261" s="1">
        <v>0</v>
      </c>
      <c r="G2261" s="1">
        <v>11</v>
      </c>
      <c r="H2261" s="4">
        <v>0.55000000000000004</v>
      </c>
      <c r="I2261" s="1">
        <v>6</v>
      </c>
      <c r="J2261" s="4">
        <v>0.5</v>
      </c>
      <c r="K2261" s="1">
        <v>0</v>
      </c>
      <c r="L2261" s="1">
        <v>8</v>
      </c>
      <c r="M2261" s="32">
        <f>IF(Mecze[[#This Row],[PR]]=0,0,Mecze[[#This Row],[PR]]/Mecze[[#This Row],[CZAS]])</f>
        <v>8.4210526315789472E-2</v>
      </c>
      <c r="N2261" s="32">
        <f>IF(Mecze[[#This Row],[OU]]=0,0,Mecze[[#This Row],[OU]]/Mecze[[#This Row],[CZAS]])</f>
        <v>3.1578947368421054E-2</v>
      </c>
      <c r="O2261" s="32">
        <f>IF(Mecze[[#This Row],[PC]]=0,0,Mecze[[#This Row],[PC]]/Mecze[[#This Row],[CZAS]])</f>
        <v>6.3157894736842107E-2</v>
      </c>
      <c r="P2261" s="32">
        <f>IF(Mecze[[#This Row],[SC]]=0,0,Mecze[[#This Row],[SC]]/Mecze[[#This Row],[CZAS]])</f>
        <v>0</v>
      </c>
      <c r="Q2261" s="32">
        <f>IF(Mecze[[#This Row],[OB]]=0,0,Mecze[[#This Row],[OB]]/Mecze[[#This Row],[CZAS]])</f>
        <v>0</v>
      </c>
      <c r="R2261" s="32">
        <f>IF(Mecze[[#This Row],[BR]]=0,0,Mecze[[#This Row],[BR]]/Mecze[[#This Row],[CZAS]])</f>
        <v>0</v>
      </c>
      <c r="S2261" s="44">
        <f>IF(Mecze[[#This Row],[Role]]="BR",SUMPRODUCT(Mecze[[#This Row],[/PR:90]:[/BR:90]],Brudnopis!$E$23:$J$23),0)</f>
        <v>0</v>
      </c>
      <c r="T2261" s="44">
        <f>IF(Mecze[[#This Row],[Role]]&lt;&gt;"BR",SUMPRODUCT(Mecze[[#This Row],[/PR:90]:[/BR:90]],Brudnopis!$E$24:$J$24),0)</f>
        <v>0.19473684210526315</v>
      </c>
      <c r="U2261" s="44">
        <f>IF(Mecze[[#This Row],[Role]]&lt;&gt;"BR",SUMPRODUCT(Mecze[[#This Row],[/PR:90]:[/BR:90]],Brudnopis!$E$25:$J$25),0)</f>
        <v>0.21052631578947367</v>
      </c>
      <c r="V2261" s="44">
        <f>IF(Mecze[[#This Row],[Role]]&lt;&gt;"BR",SUMPRODUCT(Mecze[[#This Row],[/PR:90]:[/BR:90]],Brudnopis!$E$26:$J$26),0)</f>
        <v>0.17894736842105263</v>
      </c>
      <c r="W2261" s="44">
        <f>IF(Mecze[[#This Row],[Role]]&lt;&gt;"BR",SUMPRODUCT(Mecze[[#This Row],[/PR:90]:[/BR:90]],Brudnopis!$E$27:$J$27),0)</f>
        <v>0.18157894736842106</v>
      </c>
      <c r="X2261" s="44">
        <f>IF(Mecze[[#This Row],[Role]]&lt;&gt;"BR",SUMPRODUCT(Mecze[[#This Row],[/PR:90]:[/BR:90]],Brudnopis!$E$28:$J$28),0)</f>
        <v>6.3157894736842107E-2</v>
      </c>
      <c r="Y2261" s="35">
        <f>IF(Mecze[[#This Row],[Role]]="BR",Mecze[[#This Row],[/OB:90]]+Mecze[[#This Row],[/PC:90]],SUM(Mecze[[#This Row],[/PR:90]:[/BR:90]]))</f>
        <v>0.17894736842105263</v>
      </c>
      <c r="Z2261" s="35">
        <f>IF(Mecze[[#This Row],[KC]]=0,SUM(Mecze[[#This Row],[/BRI]:[/NPI]]),SUM(Mecze[[#This Row],[/BRI]:[/NPI]])*0.6)</f>
        <v>0.82894736842105265</v>
      </c>
      <c r="AA2261" s="10">
        <f>IFERROR(Mecze[[#This Row],[BR]]/Mecze[[#This Row],[ST]],0)</f>
        <v>0</v>
      </c>
      <c r="AB2261">
        <f>ROUND(Mecze[[#This Row],[PD]]*Mecze[[#This Row],[%PC]],0)</f>
        <v>6</v>
      </c>
      <c r="AC2261">
        <f>ROUND(Mecze[[#This Row],[OD]]*Mecze[[#This Row],[%OU]],0)</f>
        <v>3</v>
      </c>
      <c r="AD2261" s="36" t="s">
        <v>168</v>
      </c>
      <c r="AE2261" s="36">
        <v>127</v>
      </c>
      <c r="AF2261" s="71">
        <v>8.6199999999999992</v>
      </c>
      <c r="AG2261" s="37">
        <v>0</v>
      </c>
      <c r="AH2261" s="37">
        <v>0</v>
      </c>
      <c r="AI2261" s="37">
        <v>95</v>
      </c>
      <c r="AJ2261" s="37">
        <v>1</v>
      </c>
      <c r="AK2261" s="37" t="str">
        <f>VLOOKUP(Mecze[[#This Row],[Match ID]],Meczusie[Mecz]:Meczusie[RodzajMeczu],2,FALSE)</f>
        <v>Towarzyski</v>
      </c>
    </row>
    <row r="2262" spans="1:37" x14ac:dyDescent="0.25">
      <c r="A2262" s="76">
        <v>40</v>
      </c>
      <c r="B2262" s="3" t="s">
        <v>453</v>
      </c>
      <c r="C2262" s="2" t="s">
        <v>160</v>
      </c>
      <c r="D2262" s="1">
        <v>0</v>
      </c>
      <c r="E2262" s="1">
        <v>1</v>
      </c>
      <c r="F2262" s="1">
        <v>1</v>
      </c>
      <c r="G2262" s="1">
        <v>19</v>
      </c>
      <c r="H2262" s="4">
        <v>0.42</v>
      </c>
      <c r="I2262" s="1">
        <v>5</v>
      </c>
      <c r="J2262" s="4">
        <v>0.4</v>
      </c>
      <c r="K2262" s="1">
        <v>0</v>
      </c>
      <c r="L2262" s="1">
        <v>12</v>
      </c>
      <c r="M2262" s="32">
        <f>IF(Mecze[[#This Row],[PR]]=0,0,Mecze[[#This Row],[PR]]/Mecze[[#This Row],[CZAS]])</f>
        <v>0.12631578947368421</v>
      </c>
      <c r="N2262" s="32">
        <f>IF(Mecze[[#This Row],[OU]]=0,0,Mecze[[#This Row],[OU]]/Mecze[[#This Row],[CZAS]])</f>
        <v>2.1052631578947368E-2</v>
      </c>
      <c r="O2262" s="32">
        <f>IF(Mecze[[#This Row],[PC]]=0,0,Mecze[[#This Row],[PC]]/Mecze[[#This Row],[CZAS]])</f>
        <v>8.4210526315789472E-2</v>
      </c>
      <c r="P2262" s="32">
        <f>IF(Mecze[[#This Row],[SC]]=0,0,Mecze[[#This Row],[SC]]/Mecze[[#This Row],[CZAS]])</f>
        <v>1.0526315789473684E-2</v>
      </c>
      <c r="Q2262" s="32">
        <f>IF(Mecze[[#This Row],[OB]]=0,0,Mecze[[#This Row],[OB]]/Mecze[[#This Row],[CZAS]])</f>
        <v>0</v>
      </c>
      <c r="R2262" s="32">
        <f>IF(Mecze[[#This Row],[BR]]=0,0,Mecze[[#This Row],[BR]]/Mecze[[#This Row],[CZAS]])</f>
        <v>0</v>
      </c>
      <c r="S2262" s="44">
        <f>IF(Mecze[[#This Row],[Role]]="BR",SUMPRODUCT(Mecze[[#This Row],[/PR:90]:[/BR:90]],Brudnopis!$E$23:$J$23),0)</f>
        <v>0</v>
      </c>
      <c r="T2262" s="44">
        <f>IF(Mecze[[#This Row],[Role]]&lt;&gt;"BR",SUMPRODUCT(Mecze[[#This Row],[/PR:90]:[/BR:90]],Brudnopis!$E$24:$J$24),0)</f>
        <v>0.25263157894736837</v>
      </c>
      <c r="U2262" s="44">
        <f>IF(Mecze[[#This Row],[Role]]&lt;&gt;"BR",SUMPRODUCT(Mecze[[#This Row],[/PR:90]:[/BR:90]],Brudnopis!$E$25:$J$25),0)</f>
        <v>0.28421052631578947</v>
      </c>
      <c r="V2262" s="44">
        <f>IF(Mecze[[#This Row],[Role]]&lt;&gt;"BR",SUMPRODUCT(Mecze[[#This Row],[/PR:90]:[/BR:90]],Brudnopis!$E$26:$J$26),0)</f>
        <v>0.24210526315789474</v>
      </c>
      <c r="W2262" s="44">
        <f>IF(Mecze[[#This Row],[Role]]&lt;&gt;"BR",SUMPRODUCT(Mecze[[#This Row],[/PR:90]:[/BR:90]],Brudnopis!$E$27:$J$27),0)</f>
        <v>0.2473684210526316</v>
      </c>
      <c r="X2262" s="44">
        <f>IF(Mecze[[#This Row],[Role]]&lt;&gt;"BR",SUMPRODUCT(Mecze[[#This Row],[/PR:90]:[/BR:90]],Brudnopis!$E$28:$J$28),0)</f>
        <v>0.10526315789473684</v>
      </c>
      <c r="Y2262" s="35">
        <f>IF(Mecze[[#This Row],[Role]]="BR",Mecze[[#This Row],[/OB:90]]+Mecze[[#This Row],[/PC:90]],SUM(Mecze[[#This Row],[/PR:90]:[/BR:90]]))</f>
        <v>0.24210526315789474</v>
      </c>
      <c r="Z2262" s="35">
        <f>IF(Mecze[[#This Row],[KC]]=0,SUM(Mecze[[#This Row],[/BRI]:[/NPI]]),SUM(Mecze[[#This Row],[/BRI]:[/NPI]])*0.6)</f>
        <v>1.1315789473684208</v>
      </c>
      <c r="AA2262" s="10">
        <f>IFERROR(Mecze[[#This Row],[BR]]/Mecze[[#This Row],[ST]],0)</f>
        <v>0</v>
      </c>
      <c r="AB2262">
        <f>ROUND(Mecze[[#This Row],[PD]]*Mecze[[#This Row],[%PC]],0)</f>
        <v>8</v>
      </c>
      <c r="AC2262">
        <f>ROUND(Mecze[[#This Row],[OD]]*Mecze[[#This Row],[%OU]],0)</f>
        <v>2</v>
      </c>
      <c r="AD2262" s="36" t="s">
        <v>41</v>
      </c>
      <c r="AE2262" s="36">
        <v>127</v>
      </c>
      <c r="AF2262" s="71">
        <v>8.57</v>
      </c>
      <c r="AG2262" s="37">
        <v>0</v>
      </c>
      <c r="AH2262" s="37">
        <v>0</v>
      </c>
      <c r="AI2262" s="37">
        <v>95</v>
      </c>
      <c r="AJ2262" s="37">
        <v>1</v>
      </c>
      <c r="AK2262" s="37" t="str">
        <f>VLOOKUP(Mecze[[#This Row],[Match ID]],Meczusie[Mecz]:Meczusie[RodzajMeczu],2,FALSE)</f>
        <v>Towarzyski</v>
      </c>
    </row>
    <row r="2263" spans="1:37" x14ac:dyDescent="0.25">
      <c r="A2263" s="76">
        <v>22</v>
      </c>
      <c r="B2263" s="3" t="s">
        <v>363</v>
      </c>
      <c r="C2263" s="2" t="s">
        <v>160</v>
      </c>
      <c r="D2263" s="1">
        <v>0</v>
      </c>
      <c r="E2263" s="1">
        <v>0</v>
      </c>
      <c r="F2263" s="1">
        <v>0</v>
      </c>
      <c r="G2263" s="1">
        <v>8</v>
      </c>
      <c r="H2263" s="4">
        <v>0.38</v>
      </c>
      <c r="I2263" s="1">
        <v>8</v>
      </c>
      <c r="J2263" s="4">
        <v>0.38</v>
      </c>
      <c r="K2263" s="1">
        <v>0</v>
      </c>
      <c r="L2263" s="1">
        <v>10</v>
      </c>
      <c r="M2263" s="32">
        <f>IF(Mecze[[#This Row],[PR]]=0,0,Mecze[[#This Row],[PR]]/Mecze[[#This Row],[CZAS]])</f>
        <v>0.10526315789473684</v>
      </c>
      <c r="N2263" s="32">
        <f>IF(Mecze[[#This Row],[OU]]=0,0,Mecze[[#This Row],[OU]]/Mecze[[#This Row],[CZAS]])</f>
        <v>3.1578947368421054E-2</v>
      </c>
      <c r="O2263" s="32">
        <f>IF(Mecze[[#This Row],[PC]]=0,0,Mecze[[#This Row],[PC]]/Mecze[[#This Row],[CZAS]])</f>
        <v>3.1578947368421054E-2</v>
      </c>
      <c r="P2263" s="32">
        <f>IF(Mecze[[#This Row],[SC]]=0,0,Mecze[[#This Row],[SC]]/Mecze[[#This Row],[CZAS]])</f>
        <v>0</v>
      </c>
      <c r="Q2263" s="32">
        <f>IF(Mecze[[#This Row],[OB]]=0,0,Mecze[[#This Row],[OB]]/Mecze[[#This Row],[CZAS]])</f>
        <v>0</v>
      </c>
      <c r="R2263" s="32">
        <f>IF(Mecze[[#This Row],[BR]]=0,0,Mecze[[#This Row],[BR]]/Mecze[[#This Row],[CZAS]])</f>
        <v>0</v>
      </c>
      <c r="S2263" s="44">
        <f>IF(Mecze[[#This Row],[Role]]="BR",SUMPRODUCT(Mecze[[#This Row],[/PR:90]:[/BR:90]],Brudnopis!$E$23:$J$23),0)</f>
        <v>0</v>
      </c>
      <c r="T2263" s="44">
        <f>IF(Mecze[[#This Row],[Role]]&lt;&gt;"BR",SUMPRODUCT(Mecze[[#This Row],[/PR:90]:[/BR:90]],Brudnopis!$E$24:$J$24),0)</f>
        <v>0.18421052631578949</v>
      </c>
      <c r="U2263" s="44">
        <f>IF(Mecze[[#This Row],[Role]]&lt;&gt;"BR",SUMPRODUCT(Mecze[[#This Row],[/PR:90]:[/BR:90]],Brudnopis!$E$25:$J$25),0)</f>
        <v>0.18421052631578946</v>
      </c>
      <c r="V2263" s="44">
        <f>IF(Mecze[[#This Row],[Role]]&lt;&gt;"BR",SUMPRODUCT(Mecze[[#This Row],[/PR:90]:[/BR:90]],Brudnopis!$E$26:$J$26),0)</f>
        <v>0.16842105263157892</v>
      </c>
      <c r="W2263" s="44">
        <f>IF(Mecze[[#This Row],[Role]]&lt;&gt;"BR",SUMPRODUCT(Mecze[[#This Row],[/PR:90]:[/BR:90]],Brudnopis!$E$27:$J$27),0)</f>
        <v>0.15</v>
      </c>
      <c r="X2263" s="44">
        <f>IF(Mecze[[#This Row],[Role]]&lt;&gt;"BR",SUMPRODUCT(Mecze[[#This Row],[/PR:90]:[/BR:90]],Brudnopis!$E$28:$J$28),0)</f>
        <v>3.1578947368421054E-2</v>
      </c>
      <c r="Y2263" s="35">
        <f>IF(Mecze[[#This Row],[Role]]="BR",Mecze[[#This Row],[/OB:90]]+Mecze[[#This Row],[/PC:90]],SUM(Mecze[[#This Row],[/PR:90]:[/BR:90]]))</f>
        <v>0.16842105263157892</v>
      </c>
      <c r="Z2263" s="35">
        <f>IF(Mecze[[#This Row],[KC]]=0,SUM(Mecze[[#This Row],[/BRI]:[/NPI]]),SUM(Mecze[[#This Row],[/BRI]:[/NPI]])*0.6)</f>
        <v>0.71842105263157896</v>
      </c>
      <c r="AA2263" s="10">
        <f>IFERROR(Mecze[[#This Row],[BR]]/Mecze[[#This Row],[ST]],0)</f>
        <v>0</v>
      </c>
      <c r="AB2263">
        <f>ROUND(Mecze[[#This Row],[PD]]*Mecze[[#This Row],[%PC]],0)</f>
        <v>3</v>
      </c>
      <c r="AC2263">
        <f>ROUND(Mecze[[#This Row],[OD]]*Mecze[[#This Row],[%OU]],0)</f>
        <v>3</v>
      </c>
      <c r="AD2263" s="36" t="s">
        <v>41</v>
      </c>
      <c r="AE2263" s="36">
        <v>127</v>
      </c>
      <c r="AF2263" s="71">
        <v>6.81</v>
      </c>
      <c r="AG2263" s="37">
        <v>1</v>
      </c>
      <c r="AH2263" s="37">
        <v>0</v>
      </c>
      <c r="AI2263" s="37">
        <v>95</v>
      </c>
      <c r="AJ2263" s="37">
        <v>1</v>
      </c>
      <c r="AK2263" s="37" t="str">
        <f>VLOOKUP(Mecze[[#This Row],[Match ID]],Meczusie[Mecz]:Meczusie[RodzajMeczu],2,FALSE)</f>
        <v>Towarzyski</v>
      </c>
    </row>
    <row r="2264" spans="1:37" x14ac:dyDescent="0.25">
      <c r="A2264" s="76">
        <v>25</v>
      </c>
      <c r="B2264" s="3" t="s">
        <v>366</v>
      </c>
      <c r="C2264" s="2" t="s">
        <v>160</v>
      </c>
      <c r="D2264" s="1">
        <v>0</v>
      </c>
      <c r="E2264" s="1">
        <v>1</v>
      </c>
      <c r="F2264" s="1">
        <v>1</v>
      </c>
      <c r="G2264" s="1">
        <v>6</v>
      </c>
      <c r="H2264" s="4">
        <v>0.33</v>
      </c>
      <c r="I2264" s="1">
        <v>1</v>
      </c>
      <c r="J2264" s="4">
        <v>0</v>
      </c>
      <c r="K2264" s="1">
        <v>0</v>
      </c>
      <c r="L2264" s="1">
        <v>6</v>
      </c>
      <c r="M2264" s="32">
        <f>IF(Mecze[[#This Row],[PR]]=0,0,Mecze[[#This Row],[PR]]/Mecze[[#This Row],[CZAS]])</f>
        <v>6.3157894736842107E-2</v>
      </c>
      <c r="N2264" s="32">
        <f>IF(Mecze[[#This Row],[OU]]=0,0,Mecze[[#This Row],[OU]]/Mecze[[#This Row],[CZAS]])</f>
        <v>0</v>
      </c>
      <c r="O2264" s="32">
        <f>IF(Mecze[[#This Row],[PC]]=0,0,Mecze[[#This Row],[PC]]/Mecze[[#This Row],[CZAS]])</f>
        <v>2.1052631578947368E-2</v>
      </c>
      <c r="P2264" s="32">
        <f>IF(Mecze[[#This Row],[SC]]=0,0,Mecze[[#This Row],[SC]]/Mecze[[#This Row],[CZAS]])</f>
        <v>1.0526315789473684E-2</v>
      </c>
      <c r="Q2264" s="32">
        <f>IF(Mecze[[#This Row],[OB]]=0,0,Mecze[[#This Row],[OB]]/Mecze[[#This Row],[CZAS]])</f>
        <v>0</v>
      </c>
      <c r="R2264" s="32">
        <f>IF(Mecze[[#This Row],[BR]]=0,0,Mecze[[#This Row],[BR]]/Mecze[[#This Row],[CZAS]])</f>
        <v>0</v>
      </c>
      <c r="S2264" s="44">
        <f>IF(Mecze[[#This Row],[Role]]="BR",SUMPRODUCT(Mecze[[#This Row],[/PR:90]:[/BR:90]],Brudnopis!$E$23:$J$23),0)</f>
        <v>0</v>
      </c>
      <c r="T2264" s="44">
        <f>IF(Mecze[[#This Row],[Role]]&lt;&gt;"BR",SUMPRODUCT(Mecze[[#This Row],[/PR:90]:[/BR:90]],Brudnopis!$E$24:$J$24),0)</f>
        <v>9.4736842105263161E-2</v>
      </c>
      <c r="U2264" s="44">
        <f>IF(Mecze[[#This Row],[Role]]&lt;&gt;"BR",SUMPRODUCT(Mecze[[#This Row],[/PR:90]:[/BR:90]],Brudnopis!$E$25:$J$25),0)</f>
        <v>0.10526315789473685</v>
      </c>
      <c r="V2264" s="44">
        <f>IF(Mecze[[#This Row],[Role]]&lt;&gt;"BR",SUMPRODUCT(Mecze[[#This Row],[/PR:90]:[/BR:90]],Brudnopis!$E$26:$J$26),0)</f>
        <v>9.4736842105263161E-2</v>
      </c>
      <c r="W2264" s="44">
        <f>IF(Mecze[[#This Row],[Role]]&lt;&gt;"BR",SUMPRODUCT(Mecze[[#This Row],[/PR:90]:[/BR:90]],Brudnopis!$E$27:$J$27),0)</f>
        <v>8.9473684210526316E-2</v>
      </c>
      <c r="X2264" s="44">
        <f>IF(Mecze[[#This Row],[Role]]&lt;&gt;"BR",SUMPRODUCT(Mecze[[#This Row],[/PR:90]:[/BR:90]],Brudnopis!$E$28:$J$28),0)</f>
        <v>4.2105263157894736E-2</v>
      </c>
      <c r="Y2264" s="35">
        <f>IF(Mecze[[#This Row],[Role]]="BR",Mecze[[#This Row],[/OB:90]]+Mecze[[#This Row],[/PC:90]],SUM(Mecze[[#This Row],[/PR:90]:[/BR:90]]))</f>
        <v>9.4736842105263161E-2</v>
      </c>
      <c r="Z2264" s="35">
        <f>IF(Mecze[[#This Row],[KC]]=0,SUM(Mecze[[#This Row],[/BRI]:[/NPI]]),SUM(Mecze[[#This Row],[/BRI]:[/NPI]])*0.6)</f>
        <v>0.42631578947368426</v>
      </c>
      <c r="AA2264" s="10">
        <f>IFERROR(Mecze[[#This Row],[BR]]/Mecze[[#This Row],[ST]],0)</f>
        <v>0</v>
      </c>
      <c r="AB2264">
        <f>ROUND(Mecze[[#This Row],[PD]]*Mecze[[#This Row],[%PC]],0)</f>
        <v>2</v>
      </c>
      <c r="AC2264">
        <f>ROUND(Mecze[[#This Row],[OD]]*Mecze[[#This Row],[%OU]],0)</f>
        <v>0</v>
      </c>
      <c r="AD2264" s="36" t="s">
        <v>44</v>
      </c>
      <c r="AE2264" s="36">
        <v>127</v>
      </c>
      <c r="AF2264" s="71">
        <v>7.31</v>
      </c>
      <c r="AG2264" s="37">
        <v>0</v>
      </c>
      <c r="AH2264" s="37">
        <v>0</v>
      </c>
      <c r="AI2264" s="37">
        <v>95</v>
      </c>
      <c r="AJ2264" s="37">
        <v>1</v>
      </c>
      <c r="AK2264" s="37" t="str">
        <f>VLOOKUP(Mecze[[#This Row],[Match ID]],Meczusie[Mecz]:Meczusie[RodzajMeczu],2,FALSE)</f>
        <v>Towarzyski</v>
      </c>
    </row>
    <row r="2265" spans="1:37" x14ac:dyDescent="0.25">
      <c r="A2265" s="76">
        <v>27</v>
      </c>
      <c r="B2265" s="3" t="s">
        <v>364</v>
      </c>
      <c r="C2265" s="2" t="s">
        <v>160</v>
      </c>
      <c r="D2265" s="1">
        <v>0</v>
      </c>
      <c r="E2265" s="1">
        <v>2</v>
      </c>
      <c r="F2265" s="1">
        <v>2</v>
      </c>
      <c r="G2265" s="1">
        <v>8</v>
      </c>
      <c r="H2265" s="4">
        <v>0.88</v>
      </c>
      <c r="I2265" s="1">
        <v>0</v>
      </c>
      <c r="J2265" s="4"/>
      <c r="K2265" s="1">
        <v>0</v>
      </c>
      <c r="L2265" s="1">
        <v>4</v>
      </c>
      <c r="M2265" s="32">
        <f>IF(Mecze[[#This Row],[PR]]=0,0,Mecze[[#This Row],[PR]]/Mecze[[#This Row],[CZAS]])</f>
        <v>4.2105263157894736E-2</v>
      </c>
      <c r="N2265" s="32">
        <f>IF(Mecze[[#This Row],[OU]]=0,0,Mecze[[#This Row],[OU]]/Mecze[[#This Row],[CZAS]])</f>
        <v>0</v>
      </c>
      <c r="O2265" s="32">
        <f>IF(Mecze[[#This Row],[PC]]=0,0,Mecze[[#This Row],[PC]]/Mecze[[#This Row],[CZAS]])</f>
        <v>7.3684210526315783E-2</v>
      </c>
      <c r="P2265" s="32">
        <f>IF(Mecze[[#This Row],[SC]]=0,0,Mecze[[#This Row],[SC]]/Mecze[[#This Row],[CZAS]])</f>
        <v>2.1052631578947368E-2</v>
      </c>
      <c r="Q2265" s="32">
        <f>IF(Mecze[[#This Row],[OB]]=0,0,Mecze[[#This Row],[OB]]/Mecze[[#This Row],[CZAS]])</f>
        <v>0</v>
      </c>
      <c r="R2265" s="32">
        <f>IF(Mecze[[#This Row],[BR]]=0,0,Mecze[[#This Row],[BR]]/Mecze[[#This Row],[CZAS]])</f>
        <v>0</v>
      </c>
      <c r="S2265" s="44">
        <f>IF(Mecze[[#This Row],[Role]]="BR",SUMPRODUCT(Mecze[[#This Row],[/PR:90]:[/BR:90]],Brudnopis!$E$23:$J$23),0)</f>
        <v>0</v>
      </c>
      <c r="T2265" s="44">
        <f>IF(Mecze[[#This Row],[Role]]&lt;&gt;"BR",SUMPRODUCT(Mecze[[#This Row],[/PR:90]:[/BR:90]],Brudnopis!$E$24:$J$24),0)</f>
        <v>0.1368421052631579</v>
      </c>
      <c r="U2265" s="44">
        <f>IF(Mecze[[#This Row],[Role]]&lt;&gt;"BR",SUMPRODUCT(Mecze[[#This Row],[/PR:90]:[/BR:90]],Brudnopis!$E$25:$J$25),0)</f>
        <v>0.17368421052631577</v>
      </c>
      <c r="V2265" s="44">
        <f>IF(Mecze[[#This Row],[Role]]&lt;&gt;"BR",SUMPRODUCT(Mecze[[#This Row],[/PR:90]:[/BR:90]],Brudnopis!$E$26:$J$26),0)</f>
        <v>0.1368421052631579</v>
      </c>
      <c r="W2265" s="44">
        <f>IF(Mecze[[#This Row],[Role]]&lt;&gt;"BR",SUMPRODUCT(Mecze[[#This Row],[/PR:90]:[/BR:90]],Brudnopis!$E$27:$J$27),0)</f>
        <v>0.16315789473684211</v>
      </c>
      <c r="X2265" s="44">
        <f>IF(Mecze[[#This Row],[Role]]&lt;&gt;"BR",SUMPRODUCT(Mecze[[#This Row],[/PR:90]:[/BR:90]],Brudnopis!$E$28:$J$28),0)</f>
        <v>0.11578947368421053</v>
      </c>
      <c r="Y2265" s="35">
        <f>IF(Mecze[[#This Row],[Role]]="BR",Mecze[[#This Row],[/OB:90]]+Mecze[[#This Row],[/PC:90]],SUM(Mecze[[#This Row],[/PR:90]:[/BR:90]]))</f>
        <v>0.1368421052631579</v>
      </c>
      <c r="Z2265" s="35">
        <f>IF(Mecze[[#This Row],[KC]]=0,SUM(Mecze[[#This Row],[/BRI]:[/NPI]]),SUM(Mecze[[#This Row],[/BRI]:[/NPI]])*0.6)</f>
        <v>0.72631578947368414</v>
      </c>
      <c r="AA2265" s="10">
        <f>IFERROR(Mecze[[#This Row],[BR]]/Mecze[[#This Row],[ST]],0)</f>
        <v>0</v>
      </c>
      <c r="AB2265">
        <f>ROUND(Mecze[[#This Row],[PD]]*Mecze[[#This Row],[%PC]],0)</f>
        <v>7</v>
      </c>
      <c r="AC2265">
        <f>ROUND(Mecze[[#This Row],[OD]]*Mecze[[#This Row],[%OU]],0)</f>
        <v>0</v>
      </c>
      <c r="AD2265" s="36" t="s">
        <v>44</v>
      </c>
      <c r="AE2265" s="36">
        <v>127</v>
      </c>
      <c r="AF2265" s="71">
        <v>9.24</v>
      </c>
      <c r="AG2265" s="37">
        <v>0</v>
      </c>
      <c r="AH2265" s="37">
        <v>0</v>
      </c>
      <c r="AI2265" s="37">
        <v>95</v>
      </c>
      <c r="AJ2265" s="37">
        <v>1</v>
      </c>
      <c r="AK2265" s="37" t="str">
        <f>VLOOKUP(Mecze[[#This Row],[Match ID]],Meczusie[Mecz]:Meczusie[RodzajMeczu],2,FALSE)</f>
        <v>Towarzyski</v>
      </c>
    </row>
    <row r="2266" spans="1:37" x14ac:dyDescent="0.25">
      <c r="A2266" s="76">
        <v>31</v>
      </c>
      <c r="B2266" s="3" t="s">
        <v>365</v>
      </c>
      <c r="C2266" s="2" t="s">
        <v>165</v>
      </c>
      <c r="D2266" s="1">
        <v>0</v>
      </c>
      <c r="E2266" s="1">
        <v>7</v>
      </c>
      <c r="F2266" s="1">
        <v>7</v>
      </c>
      <c r="G2266" s="1">
        <v>5</v>
      </c>
      <c r="H2266" s="4">
        <v>0.2</v>
      </c>
      <c r="I2266" s="1">
        <v>8</v>
      </c>
      <c r="J2266" s="4">
        <v>0.13</v>
      </c>
      <c r="K2266" s="1">
        <v>0</v>
      </c>
      <c r="L2266" s="1">
        <v>1</v>
      </c>
      <c r="M2266" s="32">
        <f>IF(Mecze[[#This Row],[PR]]=0,0,Mecze[[#This Row],[PR]]/Mecze[[#This Row],[CZAS]])</f>
        <v>1.0526315789473684E-2</v>
      </c>
      <c r="N2266" s="32">
        <f>IF(Mecze[[#This Row],[OU]]=0,0,Mecze[[#This Row],[OU]]/Mecze[[#This Row],[CZAS]])</f>
        <v>1.0526315789473684E-2</v>
      </c>
      <c r="O2266" s="32">
        <f>IF(Mecze[[#This Row],[PC]]=0,0,Mecze[[#This Row],[PC]]/Mecze[[#This Row],[CZAS]])</f>
        <v>1.0526315789473684E-2</v>
      </c>
      <c r="P2266" s="32">
        <f>IF(Mecze[[#This Row],[SC]]=0,0,Mecze[[#This Row],[SC]]/Mecze[[#This Row],[CZAS]])</f>
        <v>7.3684210526315783E-2</v>
      </c>
      <c r="Q2266" s="32">
        <f>IF(Mecze[[#This Row],[OB]]=0,0,Mecze[[#This Row],[OB]]/Mecze[[#This Row],[CZAS]])</f>
        <v>0</v>
      </c>
      <c r="R2266" s="32">
        <f>IF(Mecze[[#This Row],[BR]]=0,0,Mecze[[#This Row],[BR]]/Mecze[[#This Row],[CZAS]])</f>
        <v>0</v>
      </c>
      <c r="S2266" s="44">
        <f>IF(Mecze[[#This Row],[Role]]="BR",SUMPRODUCT(Mecze[[#This Row],[/PR:90]:[/BR:90]],Brudnopis!$E$23:$J$23),0)</f>
        <v>0</v>
      </c>
      <c r="T2266" s="44">
        <f>IF(Mecze[[#This Row],[Role]]&lt;&gt;"BR",SUMPRODUCT(Mecze[[#This Row],[/PR:90]:[/BR:90]],Brudnopis!$E$24:$J$24),0)</f>
        <v>0.11052631578947367</v>
      </c>
      <c r="U2266" s="44">
        <f>IF(Mecze[[#This Row],[Role]]&lt;&gt;"BR",SUMPRODUCT(Mecze[[#This Row],[/PR:90]:[/BR:90]],Brudnopis!$E$25:$J$25),0)</f>
        <v>0.11052631578947368</v>
      </c>
      <c r="V2266" s="44">
        <f>IF(Mecze[[#This Row],[Role]]&lt;&gt;"BR",SUMPRODUCT(Mecze[[#This Row],[/PR:90]:[/BR:90]],Brudnopis!$E$26:$J$26),0)</f>
        <v>0.10526315789473684</v>
      </c>
      <c r="W2266" s="44">
        <f>IF(Mecze[[#This Row],[Role]]&lt;&gt;"BR",SUMPRODUCT(Mecze[[#This Row],[/PR:90]:[/BR:90]],Brudnopis!$E$27:$J$27),0)</f>
        <v>0.10526315789473684</v>
      </c>
      <c r="X2266" s="44">
        <f>IF(Mecze[[#This Row],[Role]]&lt;&gt;"BR",SUMPRODUCT(Mecze[[#This Row],[/PR:90]:[/BR:90]],Brudnopis!$E$28:$J$28),0)</f>
        <v>0.15789473684210525</v>
      </c>
      <c r="Y2266" s="35">
        <f>IF(Mecze[[#This Row],[Role]]="BR",Mecze[[#This Row],[/OB:90]]+Mecze[[#This Row],[/PC:90]],SUM(Mecze[[#This Row],[/PR:90]:[/BR:90]]))</f>
        <v>0.10526315789473684</v>
      </c>
      <c r="Z2266" s="35">
        <f>IF(Mecze[[#This Row],[KC]]=0,SUM(Mecze[[#This Row],[/BRI]:[/NPI]]),SUM(Mecze[[#This Row],[/BRI]:[/NPI]])*0.6)</f>
        <v>0.58947368421052626</v>
      </c>
      <c r="AA2266" s="10">
        <f>IFERROR(Mecze[[#This Row],[BR]]/Mecze[[#This Row],[ST]],0)</f>
        <v>0</v>
      </c>
      <c r="AB2266">
        <f>ROUND(Mecze[[#This Row],[PD]]*Mecze[[#This Row],[%PC]],0)</f>
        <v>1</v>
      </c>
      <c r="AC2266">
        <f>ROUND(Mecze[[#This Row],[OD]]*Mecze[[#This Row],[%OU]],0)</f>
        <v>1</v>
      </c>
      <c r="AD2266" s="36" t="s">
        <v>46</v>
      </c>
      <c r="AE2266" s="36">
        <v>127</v>
      </c>
      <c r="AF2266" s="71">
        <v>4.25</v>
      </c>
      <c r="AG2266" s="37">
        <v>0</v>
      </c>
      <c r="AH2266" s="37">
        <v>0</v>
      </c>
      <c r="AI2266" s="37">
        <v>95</v>
      </c>
      <c r="AJ2266" s="37">
        <v>1</v>
      </c>
      <c r="AK2266" s="37" t="str">
        <f>VLOOKUP(Mecze[[#This Row],[Match ID]],Meczusie[Mecz]:Meczusie[RodzajMeczu],2,FALSE)</f>
        <v>Towarzyski</v>
      </c>
    </row>
    <row r="2267" spans="1:37" x14ac:dyDescent="0.25">
      <c r="A2267" s="76">
        <v>61</v>
      </c>
      <c r="B2267" s="3" t="s">
        <v>454</v>
      </c>
      <c r="C2267" s="2" t="s">
        <v>165</v>
      </c>
      <c r="D2267" s="1">
        <v>0</v>
      </c>
      <c r="E2267" s="1">
        <v>3</v>
      </c>
      <c r="F2267" s="1">
        <v>3</v>
      </c>
      <c r="G2267" s="1">
        <v>7</v>
      </c>
      <c r="H2267" s="4">
        <v>0.71</v>
      </c>
      <c r="I2267" s="1">
        <v>3</v>
      </c>
      <c r="J2267" s="4">
        <v>0.33</v>
      </c>
      <c r="K2267" s="1">
        <v>0</v>
      </c>
      <c r="L2267" s="1">
        <v>1</v>
      </c>
      <c r="M2267" s="32">
        <f>IF(Mecze[[#This Row],[PR]]=0,0,Mecze[[#This Row],[PR]]/Mecze[[#This Row],[CZAS]])</f>
        <v>1.0526315789473684E-2</v>
      </c>
      <c r="N2267" s="32">
        <f>IF(Mecze[[#This Row],[OU]]=0,0,Mecze[[#This Row],[OU]]/Mecze[[#This Row],[CZAS]])</f>
        <v>1.0526315789473684E-2</v>
      </c>
      <c r="O2267" s="32">
        <f>IF(Mecze[[#This Row],[PC]]=0,0,Mecze[[#This Row],[PC]]/Mecze[[#This Row],[CZAS]])</f>
        <v>5.2631578947368418E-2</v>
      </c>
      <c r="P2267" s="32">
        <f>IF(Mecze[[#This Row],[SC]]=0,0,Mecze[[#This Row],[SC]]/Mecze[[#This Row],[CZAS]])</f>
        <v>3.1578947368421054E-2</v>
      </c>
      <c r="Q2267" s="32">
        <f>IF(Mecze[[#This Row],[OB]]=0,0,Mecze[[#This Row],[OB]]/Mecze[[#This Row],[CZAS]])</f>
        <v>0</v>
      </c>
      <c r="R2267" s="32">
        <f>IF(Mecze[[#This Row],[BR]]=0,0,Mecze[[#This Row],[BR]]/Mecze[[#This Row],[CZAS]])</f>
        <v>0</v>
      </c>
      <c r="S2267" s="44">
        <f>IF(Mecze[[#This Row],[Role]]="BR",SUMPRODUCT(Mecze[[#This Row],[/PR:90]:[/BR:90]],Brudnopis!$E$23:$J$23),0)</f>
        <v>0</v>
      </c>
      <c r="T2267" s="44">
        <f>IF(Mecze[[#This Row],[Role]]&lt;&gt;"BR",SUMPRODUCT(Mecze[[#This Row],[/PR:90]:[/BR:90]],Brudnopis!$E$24:$J$24),0)</f>
        <v>0.11052631578947368</v>
      </c>
      <c r="U2267" s="44">
        <f>IF(Mecze[[#This Row],[Role]]&lt;&gt;"BR",SUMPRODUCT(Mecze[[#This Row],[/PR:90]:[/BR:90]],Brudnopis!$E$25:$J$25),0)</f>
        <v>0.13157894736842105</v>
      </c>
      <c r="V2267" s="44">
        <f>IF(Mecze[[#This Row],[Role]]&lt;&gt;"BR",SUMPRODUCT(Mecze[[#This Row],[/PR:90]:[/BR:90]],Brudnopis!$E$26:$J$26),0)</f>
        <v>0.10526315789473684</v>
      </c>
      <c r="W2267" s="44">
        <f>IF(Mecze[[#This Row],[Role]]&lt;&gt;"BR",SUMPRODUCT(Mecze[[#This Row],[/PR:90]:[/BR:90]],Brudnopis!$E$27:$J$27),0)</f>
        <v>0.12631578947368421</v>
      </c>
      <c r="X2267" s="44">
        <f>IF(Mecze[[#This Row],[Role]]&lt;&gt;"BR",SUMPRODUCT(Mecze[[#This Row],[/PR:90]:[/BR:90]],Brudnopis!$E$28:$J$28),0)</f>
        <v>0.11578947368421053</v>
      </c>
      <c r="Y2267" s="35">
        <f>IF(Mecze[[#This Row],[Role]]="BR",Mecze[[#This Row],[/OB:90]]+Mecze[[#This Row],[/PC:90]],SUM(Mecze[[#This Row],[/PR:90]:[/BR:90]]))</f>
        <v>0.10526315789473684</v>
      </c>
      <c r="Z2267" s="35">
        <f>IF(Mecze[[#This Row],[KC]]=0,SUM(Mecze[[#This Row],[/BRI]:[/NPI]]),SUM(Mecze[[#This Row],[/BRI]:[/NPI]])*0.6)</f>
        <v>0.58947368421052626</v>
      </c>
      <c r="AA2267" s="10">
        <f>IFERROR(Mecze[[#This Row],[BR]]/Mecze[[#This Row],[ST]],0)</f>
        <v>0</v>
      </c>
      <c r="AB2267">
        <f>ROUND(Mecze[[#This Row],[PD]]*Mecze[[#This Row],[%PC]],0)</f>
        <v>5</v>
      </c>
      <c r="AC2267">
        <f>ROUND(Mecze[[#This Row],[OD]]*Mecze[[#This Row],[%OU]],0)</f>
        <v>1</v>
      </c>
      <c r="AD2267" s="36" t="s">
        <v>46</v>
      </c>
      <c r="AE2267" s="36">
        <v>127</v>
      </c>
      <c r="AF2267" s="71">
        <v>4.7</v>
      </c>
      <c r="AG2267" s="37">
        <v>0</v>
      </c>
      <c r="AH2267" s="37">
        <v>0</v>
      </c>
      <c r="AI2267" s="37">
        <v>95</v>
      </c>
      <c r="AJ2267" s="37">
        <v>1</v>
      </c>
      <c r="AK2267" s="37" t="str">
        <f>VLOOKUP(Mecze[[#This Row],[Match ID]],Meczusie[Mecz]:Meczusie[RodzajMeczu],2,FALSE)</f>
        <v>Towarzyski</v>
      </c>
    </row>
    <row r="2268" spans="1:37" x14ac:dyDescent="0.25">
      <c r="A2268" s="76">
        <v>46</v>
      </c>
      <c r="B2268" s="3" t="s">
        <v>395</v>
      </c>
      <c r="C2268" s="2" t="s">
        <v>165</v>
      </c>
      <c r="D2268" s="1">
        <v>0</v>
      </c>
      <c r="E2268" s="1">
        <v>3</v>
      </c>
      <c r="F2268" s="1">
        <v>3</v>
      </c>
      <c r="G2268" s="1">
        <v>5</v>
      </c>
      <c r="H2268" s="4">
        <v>0.6</v>
      </c>
      <c r="I2268" s="1">
        <v>3</v>
      </c>
      <c r="J2268" s="4">
        <v>0.67</v>
      </c>
      <c r="K2268" s="1">
        <v>0</v>
      </c>
      <c r="L2268" s="1">
        <v>0</v>
      </c>
      <c r="M2268" s="32">
        <f>IF(Mecze[[#This Row],[PR]]=0,0,Mecze[[#This Row],[PR]]/Mecze[[#This Row],[CZAS]])</f>
        <v>0</v>
      </c>
      <c r="N2268" s="32">
        <f>IF(Mecze[[#This Row],[OU]]=0,0,Mecze[[#This Row],[OU]]/Mecze[[#This Row],[CZAS]])</f>
        <v>2.1052631578947368E-2</v>
      </c>
      <c r="O2268" s="32">
        <f>IF(Mecze[[#This Row],[PC]]=0,0,Mecze[[#This Row],[PC]]/Mecze[[#This Row],[CZAS]])</f>
        <v>3.1578947368421054E-2</v>
      </c>
      <c r="P2268" s="32">
        <f>IF(Mecze[[#This Row],[SC]]=0,0,Mecze[[#This Row],[SC]]/Mecze[[#This Row],[CZAS]])</f>
        <v>3.1578947368421054E-2</v>
      </c>
      <c r="Q2268" s="32">
        <f>IF(Mecze[[#This Row],[OB]]=0,0,Mecze[[#This Row],[OB]]/Mecze[[#This Row],[CZAS]])</f>
        <v>0</v>
      </c>
      <c r="R2268" s="32">
        <f>IF(Mecze[[#This Row],[BR]]=0,0,Mecze[[#This Row],[BR]]/Mecze[[#This Row],[CZAS]])</f>
        <v>0</v>
      </c>
      <c r="S2268" s="44">
        <f>IF(Mecze[[#This Row],[Role]]="BR",SUMPRODUCT(Mecze[[#This Row],[/PR:90]:[/BR:90]],Brudnopis!$E$23:$J$23),0)</f>
        <v>0</v>
      </c>
      <c r="T2268" s="44">
        <f>IF(Mecze[[#This Row],[Role]]&lt;&gt;"BR",SUMPRODUCT(Mecze[[#This Row],[/PR:90]:[/BR:90]],Brudnopis!$E$24:$J$24),0)</f>
        <v>9.4736842105263161E-2</v>
      </c>
      <c r="U2268" s="44">
        <f>IF(Mecze[[#This Row],[Role]]&lt;&gt;"BR",SUMPRODUCT(Mecze[[#This Row],[/PR:90]:[/BR:90]],Brudnopis!$E$25:$J$25),0)</f>
        <v>0.1</v>
      </c>
      <c r="V2268" s="44">
        <f>IF(Mecze[[#This Row],[Role]]&lt;&gt;"BR",SUMPRODUCT(Mecze[[#This Row],[/PR:90]:[/BR:90]],Brudnopis!$E$26:$J$26),0)</f>
        <v>8.4210526315789472E-2</v>
      </c>
      <c r="W2268" s="44">
        <f>IF(Mecze[[#This Row],[Role]]&lt;&gt;"BR",SUMPRODUCT(Mecze[[#This Row],[/PR:90]:[/BR:90]],Brudnopis!$E$27:$J$27),0)</f>
        <v>9.4736842105263161E-2</v>
      </c>
      <c r="X2268" s="44">
        <f>IF(Mecze[[#This Row],[Role]]&lt;&gt;"BR",SUMPRODUCT(Mecze[[#This Row],[/PR:90]:[/BR:90]],Brudnopis!$E$28:$J$28),0)</f>
        <v>9.4736842105263161E-2</v>
      </c>
      <c r="Y2268" s="35">
        <f>IF(Mecze[[#This Row],[Role]]="BR",Mecze[[#This Row],[/OB:90]]+Mecze[[#This Row],[/PC:90]],SUM(Mecze[[#This Row],[/PR:90]:[/BR:90]]))</f>
        <v>8.4210526315789472E-2</v>
      </c>
      <c r="Z2268" s="35">
        <f>IF(Mecze[[#This Row],[KC]]=0,SUM(Mecze[[#This Row],[/BRI]:[/NPI]]),SUM(Mecze[[#This Row],[/BRI]:[/NPI]])*0.6)</f>
        <v>0.46842105263157896</v>
      </c>
      <c r="AA2268" s="10">
        <f>IFERROR(Mecze[[#This Row],[BR]]/Mecze[[#This Row],[ST]],0)</f>
        <v>0</v>
      </c>
      <c r="AB2268">
        <f>ROUND(Mecze[[#This Row],[PD]]*Mecze[[#This Row],[%PC]],0)</f>
        <v>3</v>
      </c>
      <c r="AC2268">
        <f>ROUND(Mecze[[#This Row],[OD]]*Mecze[[#This Row],[%OU]],0)</f>
        <v>2</v>
      </c>
      <c r="AD2268" s="36" t="s">
        <v>46</v>
      </c>
      <c r="AE2268" s="36">
        <v>127</v>
      </c>
      <c r="AF2268" s="71">
        <v>4.7</v>
      </c>
      <c r="AG2268" s="37">
        <v>0</v>
      </c>
      <c r="AH2268" s="37">
        <v>0</v>
      </c>
      <c r="AI2268" s="37">
        <v>95</v>
      </c>
      <c r="AJ2268" s="37">
        <v>1</v>
      </c>
      <c r="AK2268" s="37" t="str">
        <f>VLOOKUP(Mecze[[#This Row],[Match ID]],Meczusie[Mecz]:Meczusie[RodzajMeczu],2,FALSE)</f>
        <v>Towarzyski</v>
      </c>
    </row>
    <row r="2269" spans="1:37" x14ac:dyDescent="0.25">
      <c r="A2269" s="76">
        <v>1</v>
      </c>
      <c r="B2269" s="3" t="s">
        <v>304</v>
      </c>
      <c r="C2269" s="2" t="s">
        <v>155</v>
      </c>
      <c r="D2269" s="1">
        <v>0</v>
      </c>
      <c r="E2269" s="1">
        <v>0</v>
      </c>
      <c r="F2269" s="1">
        <v>0</v>
      </c>
      <c r="G2269" s="1">
        <v>6</v>
      </c>
      <c r="H2269" s="4">
        <v>0.67</v>
      </c>
      <c r="I2269" s="1">
        <v>0</v>
      </c>
      <c r="J2269" s="4"/>
      <c r="K2269" s="1">
        <v>6</v>
      </c>
      <c r="L2269" s="1">
        <v>0</v>
      </c>
      <c r="M2269" s="32">
        <f>IF(Mecze[[#This Row],[PR]]=0,0,Mecze[[#This Row],[PR]]/Mecze[[#This Row],[CZAS]])</f>
        <v>0</v>
      </c>
      <c r="N2269" s="32">
        <f>IF(Mecze[[#This Row],[OU]]=0,0,Mecze[[#This Row],[OU]]/Mecze[[#This Row],[CZAS]])</f>
        <v>0</v>
      </c>
      <c r="O2269" s="32">
        <f>IF(Mecze[[#This Row],[PC]]=0,0,Mecze[[#This Row],[PC]]/Mecze[[#This Row],[CZAS]])</f>
        <v>4.1666666666666664E-2</v>
      </c>
      <c r="P2269" s="32">
        <f>IF(Mecze[[#This Row],[SC]]=0,0,Mecze[[#This Row],[SC]]/Mecze[[#This Row],[CZAS]])</f>
        <v>0</v>
      </c>
      <c r="Q2269" s="32">
        <f>IF(Mecze[[#This Row],[OB]]=0,0,Mecze[[#This Row],[OB]]/Mecze[[#This Row],[CZAS]])</f>
        <v>6.25E-2</v>
      </c>
      <c r="R2269" s="32">
        <f>IF(Mecze[[#This Row],[BR]]=0,0,Mecze[[#This Row],[BR]]/Mecze[[#This Row],[CZAS]])</f>
        <v>0</v>
      </c>
      <c r="S2269" s="44">
        <f>IF(Mecze[[#This Row],[Role]]="BR",SUMPRODUCT(Mecze[[#This Row],[/PR:90]:[/BR:90]],Brudnopis!$E$23:$J$23),0)</f>
        <v>0.3125</v>
      </c>
      <c r="T2269" s="44">
        <f>IF(Mecze[[#This Row],[Role]]&lt;&gt;"BR",SUMPRODUCT(Mecze[[#This Row],[/PR:90]:[/BR:90]],Brudnopis!$E$24:$J$24),0)</f>
        <v>0</v>
      </c>
      <c r="U2269" s="44">
        <f>IF(Mecze[[#This Row],[Role]]&lt;&gt;"BR",SUMPRODUCT(Mecze[[#This Row],[/PR:90]:[/BR:90]],Brudnopis!$E$25:$J$25),0)</f>
        <v>0</v>
      </c>
      <c r="V2269" s="44">
        <f>IF(Mecze[[#This Row],[Role]]&lt;&gt;"BR",SUMPRODUCT(Mecze[[#This Row],[/PR:90]:[/BR:90]],Brudnopis!$E$26:$J$26),0)</f>
        <v>0</v>
      </c>
      <c r="W2269" s="44">
        <f>IF(Mecze[[#This Row],[Role]]&lt;&gt;"BR",SUMPRODUCT(Mecze[[#This Row],[/PR:90]:[/BR:90]],Brudnopis!$E$27:$J$27),0)</f>
        <v>0</v>
      </c>
      <c r="X2269" s="44">
        <f>IF(Mecze[[#This Row],[Role]]&lt;&gt;"BR",SUMPRODUCT(Mecze[[#This Row],[/PR:90]:[/BR:90]],Brudnopis!$E$28:$J$28),0)</f>
        <v>0</v>
      </c>
      <c r="Y2269" s="35">
        <f>IF(Mecze[[#This Row],[Role]]="BR",Mecze[[#This Row],[/OB:90]]+Mecze[[#This Row],[/PC:90]],SUM(Mecze[[#This Row],[/PR:90]:[/BR:90]]))</f>
        <v>0.10416666666666666</v>
      </c>
      <c r="Z2269" s="35">
        <f>IF(Mecze[[#This Row],[KC]]=0,SUM(Mecze[[#This Row],[/BRI]:[/NPI]]),SUM(Mecze[[#This Row],[/BRI]:[/NPI]])*0.6)</f>
        <v>0.3125</v>
      </c>
      <c r="AA2269" s="10">
        <f>IFERROR(Mecze[[#This Row],[BR]]/Mecze[[#This Row],[ST]],0)</f>
        <v>0</v>
      </c>
      <c r="AB2269">
        <f>ROUND(Mecze[[#This Row],[PD]]*Mecze[[#This Row],[%PC]],0)</f>
        <v>4</v>
      </c>
      <c r="AC2269">
        <f>ROUND(Mecze[[#This Row],[OD]]*Mecze[[#This Row],[%OU]],0)</f>
        <v>0</v>
      </c>
      <c r="AD2269" s="36" t="s">
        <v>40</v>
      </c>
      <c r="AE2269" s="36">
        <v>128</v>
      </c>
      <c r="AF2269" s="71">
        <v>7.24</v>
      </c>
      <c r="AG2269" s="37">
        <v>0</v>
      </c>
      <c r="AH2269" s="37">
        <v>0</v>
      </c>
      <c r="AI2269" s="37">
        <v>96</v>
      </c>
      <c r="AJ2269" s="37">
        <v>8</v>
      </c>
      <c r="AK2269" s="37" t="str">
        <f>VLOOKUP(Mecze[[#This Row],[Match ID]],Meczusie[Mecz]:Meczusie[RodzajMeczu],2,FALSE)</f>
        <v>Liga</v>
      </c>
    </row>
    <row r="2270" spans="1:37" x14ac:dyDescent="0.25">
      <c r="A2270" s="76">
        <v>5</v>
      </c>
      <c r="B2270" s="3" t="s">
        <v>305</v>
      </c>
      <c r="C2270" s="2" t="s">
        <v>157</v>
      </c>
      <c r="D2270" s="1">
        <v>0</v>
      </c>
      <c r="E2270" s="1">
        <v>0</v>
      </c>
      <c r="F2270" s="1">
        <v>0</v>
      </c>
      <c r="G2270" s="1">
        <v>11</v>
      </c>
      <c r="H2270" s="4">
        <v>0.82</v>
      </c>
      <c r="I2270" s="1">
        <v>5</v>
      </c>
      <c r="J2270" s="4">
        <v>0.8</v>
      </c>
      <c r="K2270" s="1">
        <v>0</v>
      </c>
      <c r="L2270" s="1">
        <v>7</v>
      </c>
      <c r="M2270" s="32">
        <f>IF(Mecze[[#This Row],[PR]]=0,0,Mecze[[#This Row],[PR]]/Mecze[[#This Row],[CZAS]])</f>
        <v>7.2916666666666671E-2</v>
      </c>
      <c r="N2270" s="32">
        <f>IF(Mecze[[#This Row],[OU]]=0,0,Mecze[[#This Row],[OU]]/Mecze[[#This Row],[CZAS]])</f>
        <v>4.1666666666666664E-2</v>
      </c>
      <c r="O2270" s="32">
        <f>IF(Mecze[[#This Row],[PC]]=0,0,Mecze[[#This Row],[PC]]/Mecze[[#This Row],[CZAS]])</f>
        <v>9.375E-2</v>
      </c>
      <c r="P2270" s="32">
        <f>IF(Mecze[[#This Row],[SC]]=0,0,Mecze[[#This Row],[SC]]/Mecze[[#This Row],[CZAS]])</f>
        <v>0</v>
      </c>
      <c r="Q2270" s="32">
        <f>IF(Mecze[[#This Row],[OB]]=0,0,Mecze[[#This Row],[OB]]/Mecze[[#This Row],[CZAS]])</f>
        <v>0</v>
      </c>
      <c r="R2270" s="32">
        <f>IF(Mecze[[#This Row],[BR]]=0,0,Mecze[[#This Row],[BR]]/Mecze[[#This Row],[CZAS]])</f>
        <v>0</v>
      </c>
      <c r="S2270" s="44">
        <f>IF(Mecze[[#This Row],[Role]]="BR",SUMPRODUCT(Mecze[[#This Row],[/PR:90]:[/BR:90]],Brudnopis!$E$23:$J$23),0)</f>
        <v>0</v>
      </c>
      <c r="T2270" s="44">
        <f>IF(Mecze[[#This Row],[Role]]&lt;&gt;"BR",SUMPRODUCT(Mecze[[#This Row],[/PR:90]:[/BR:90]],Brudnopis!$E$24:$J$24),0)</f>
        <v>0.22916666666666669</v>
      </c>
      <c r="U2270" s="44">
        <f>IF(Mecze[[#This Row],[Role]]&lt;&gt;"BR",SUMPRODUCT(Mecze[[#This Row],[/PR:90]:[/BR:90]],Brudnopis!$E$25:$J$25),0)</f>
        <v>0.25520833333333337</v>
      </c>
      <c r="V2270" s="44">
        <f>IF(Mecze[[#This Row],[Role]]&lt;&gt;"BR",SUMPRODUCT(Mecze[[#This Row],[/PR:90]:[/BR:90]],Brudnopis!$E$26:$J$26),0)</f>
        <v>0.20833333333333334</v>
      </c>
      <c r="W2270" s="44">
        <f>IF(Mecze[[#This Row],[Role]]&lt;&gt;"BR",SUMPRODUCT(Mecze[[#This Row],[/PR:90]:[/BR:90]],Brudnopis!$E$27:$J$27),0)</f>
        <v>0.2265625</v>
      </c>
      <c r="X2270" s="44">
        <f>IF(Mecze[[#This Row],[Role]]&lt;&gt;"BR",SUMPRODUCT(Mecze[[#This Row],[/PR:90]:[/BR:90]],Brudnopis!$E$28:$J$28),0)</f>
        <v>9.375E-2</v>
      </c>
      <c r="Y2270" s="35">
        <f>IF(Mecze[[#This Row],[Role]]="BR",Mecze[[#This Row],[/OB:90]]+Mecze[[#This Row],[/PC:90]],SUM(Mecze[[#This Row],[/PR:90]:[/BR:90]]))</f>
        <v>0.20833333333333334</v>
      </c>
      <c r="Z2270" s="35">
        <f>IF(Mecze[[#This Row],[KC]]=0,SUM(Mecze[[#This Row],[/BRI]:[/NPI]]),SUM(Mecze[[#This Row],[/BRI]:[/NPI]])*0.6)</f>
        <v>1.0130208333333335</v>
      </c>
      <c r="AA2270" s="10">
        <f>IFERROR(Mecze[[#This Row],[BR]]/Mecze[[#This Row],[ST]],0)</f>
        <v>0</v>
      </c>
      <c r="AB2270">
        <f>ROUND(Mecze[[#This Row],[PD]]*Mecze[[#This Row],[%PC]],0)</f>
        <v>9</v>
      </c>
      <c r="AC2270">
        <f>ROUND(Mecze[[#This Row],[OD]]*Mecze[[#This Row],[%OU]],0)</f>
        <v>4</v>
      </c>
      <c r="AD2270" s="36" t="s">
        <v>47</v>
      </c>
      <c r="AE2270" s="36">
        <v>128</v>
      </c>
      <c r="AF2270" s="71">
        <v>6.6</v>
      </c>
      <c r="AG2270" s="37">
        <v>1</v>
      </c>
      <c r="AH2270" s="37">
        <v>0</v>
      </c>
      <c r="AI2270" s="37">
        <v>96</v>
      </c>
      <c r="AJ2270" s="37">
        <v>8</v>
      </c>
      <c r="AK2270" s="37" t="str">
        <f>VLOOKUP(Mecze[[#This Row],[Match ID]],Meczusie[Mecz]:Meczusie[RodzajMeczu],2,FALSE)</f>
        <v>Liga</v>
      </c>
    </row>
    <row r="2271" spans="1:37" x14ac:dyDescent="0.25">
      <c r="A2271" s="76">
        <v>23</v>
      </c>
      <c r="B2271" s="3" t="s">
        <v>306</v>
      </c>
      <c r="C2271" s="2" t="s">
        <v>157</v>
      </c>
      <c r="D2271" s="1">
        <v>0</v>
      </c>
      <c r="E2271" s="1">
        <v>0</v>
      </c>
      <c r="F2271" s="1">
        <v>0</v>
      </c>
      <c r="G2271" s="1">
        <v>8</v>
      </c>
      <c r="H2271" s="4">
        <v>0.63</v>
      </c>
      <c r="I2271" s="1">
        <v>5</v>
      </c>
      <c r="J2271" s="4">
        <v>0.4</v>
      </c>
      <c r="K2271" s="1">
        <v>0</v>
      </c>
      <c r="L2271" s="1">
        <v>6</v>
      </c>
      <c r="M2271" s="32">
        <f>IF(Mecze[[#This Row],[PR]]=0,0,Mecze[[#This Row],[PR]]/Mecze[[#This Row],[CZAS]])</f>
        <v>6.25E-2</v>
      </c>
      <c r="N2271" s="32">
        <f>IF(Mecze[[#This Row],[OU]]=0,0,Mecze[[#This Row],[OU]]/Mecze[[#This Row],[CZAS]])</f>
        <v>2.0833333333333332E-2</v>
      </c>
      <c r="O2271" s="32">
        <f>IF(Mecze[[#This Row],[PC]]=0,0,Mecze[[#This Row],[PC]]/Mecze[[#This Row],[CZAS]])</f>
        <v>5.2083333333333336E-2</v>
      </c>
      <c r="P2271" s="32">
        <f>IF(Mecze[[#This Row],[SC]]=0,0,Mecze[[#This Row],[SC]]/Mecze[[#This Row],[CZAS]])</f>
        <v>0</v>
      </c>
      <c r="Q2271" s="32">
        <f>IF(Mecze[[#This Row],[OB]]=0,0,Mecze[[#This Row],[OB]]/Mecze[[#This Row],[CZAS]])</f>
        <v>0</v>
      </c>
      <c r="R2271" s="32">
        <f>IF(Mecze[[#This Row],[BR]]=0,0,Mecze[[#This Row],[BR]]/Mecze[[#This Row],[CZAS]])</f>
        <v>0</v>
      </c>
      <c r="S2271" s="44">
        <f>IF(Mecze[[#This Row],[Role]]="BR",SUMPRODUCT(Mecze[[#This Row],[/PR:90]:[/BR:90]],Brudnopis!$E$23:$J$23),0)</f>
        <v>0</v>
      </c>
      <c r="T2271" s="44">
        <f>IF(Mecze[[#This Row],[Role]]&lt;&gt;"BR",SUMPRODUCT(Mecze[[#This Row],[/PR:90]:[/BR:90]],Brudnopis!$E$24:$J$24),0)</f>
        <v>0.14583333333333334</v>
      </c>
      <c r="U2271" s="44">
        <f>IF(Mecze[[#This Row],[Role]]&lt;&gt;"BR",SUMPRODUCT(Mecze[[#This Row],[/PR:90]:[/BR:90]],Brudnopis!$E$25:$J$25),0)</f>
        <v>0.16145833333333331</v>
      </c>
      <c r="V2271" s="44">
        <f>IF(Mecze[[#This Row],[Role]]&lt;&gt;"BR",SUMPRODUCT(Mecze[[#This Row],[/PR:90]:[/BR:90]],Brudnopis!$E$26:$J$26),0)</f>
        <v>0.13541666666666666</v>
      </c>
      <c r="W2271" s="44">
        <f>IF(Mecze[[#This Row],[Role]]&lt;&gt;"BR",SUMPRODUCT(Mecze[[#This Row],[/PR:90]:[/BR:90]],Brudnopis!$E$27:$J$27),0)</f>
        <v>0.140625</v>
      </c>
      <c r="X2271" s="44">
        <f>IF(Mecze[[#This Row],[Role]]&lt;&gt;"BR",SUMPRODUCT(Mecze[[#This Row],[/PR:90]:[/BR:90]],Brudnopis!$E$28:$J$28),0)</f>
        <v>5.2083333333333336E-2</v>
      </c>
      <c r="Y2271" s="35">
        <f>IF(Mecze[[#This Row],[Role]]="BR",Mecze[[#This Row],[/OB:90]]+Mecze[[#This Row],[/PC:90]],SUM(Mecze[[#This Row],[/PR:90]:[/BR:90]]))</f>
        <v>0.13541666666666666</v>
      </c>
      <c r="Z2271" s="35">
        <f>IF(Mecze[[#This Row],[KC]]=0,SUM(Mecze[[#This Row],[/BRI]:[/NPI]]),SUM(Mecze[[#This Row],[/BRI]:[/NPI]])*0.6)</f>
        <v>0.63541666666666663</v>
      </c>
      <c r="AA2271" s="10">
        <f>IFERROR(Mecze[[#This Row],[BR]]/Mecze[[#This Row],[ST]],0)</f>
        <v>0</v>
      </c>
      <c r="AB2271">
        <f>ROUND(Mecze[[#This Row],[PD]]*Mecze[[#This Row],[%PC]],0)</f>
        <v>5</v>
      </c>
      <c r="AC2271">
        <f>ROUND(Mecze[[#This Row],[OD]]*Mecze[[#This Row],[%OU]],0)</f>
        <v>2</v>
      </c>
      <c r="AD2271" s="36" t="s">
        <v>167</v>
      </c>
      <c r="AE2271" s="36">
        <v>128</v>
      </c>
      <c r="AF2271" s="71">
        <v>5.18</v>
      </c>
      <c r="AG2271" s="37">
        <v>0</v>
      </c>
      <c r="AH2271" s="37">
        <v>0</v>
      </c>
      <c r="AI2271" s="37">
        <v>96</v>
      </c>
      <c r="AJ2271" s="37">
        <v>8</v>
      </c>
      <c r="AK2271" s="37" t="str">
        <f>VLOOKUP(Mecze[[#This Row],[Match ID]],Meczusie[Mecz]:Meczusie[RodzajMeczu],2,FALSE)</f>
        <v>Liga</v>
      </c>
    </row>
    <row r="2272" spans="1:37" x14ac:dyDescent="0.25">
      <c r="A2272" s="76">
        <v>73</v>
      </c>
      <c r="B2272" s="3" t="s">
        <v>431</v>
      </c>
      <c r="C2272" s="2" t="s">
        <v>157</v>
      </c>
      <c r="D2272" s="1">
        <v>0</v>
      </c>
      <c r="E2272" s="1">
        <v>0</v>
      </c>
      <c r="F2272" s="1">
        <v>0</v>
      </c>
      <c r="G2272" s="1">
        <v>6</v>
      </c>
      <c r="H2272" s="4">
        <v>0.83</v>
      </c>
      <c r="I2272" s="1">
        <v>6</v>
      </c>
      <c r="J2272" s="4">
        <v>0.5</v>
      </c>
      <c r="K2272" s="1">
        <v>0</v>
      </c>
      <c r="L2272" s="1">
        <v>4</v>
      </c>
      <c r="M2272" s="32">
        <f>IF(Mecze[[#This Row],[PR]]=0,0,Mecze[[#This Row],[PR]]/Mecze[[#This Row],[CZAS]])</f>
        <v>4.1666666666666664E-2</v>
      </c>
      <c r="N2272" s="32">
        <f>IF(Mecze[[#This Row],[OU]]=0,0,Mecze[[#This Row],[OU]]/Mecze[[#This Row],[CZAS]])</f>
        <v>3.125E-2</v>
      </c>
      <c r="O2272" s="32">
        <f>IF(Mecze[[#This Row],[PC]]=0,0,Mecze[[#This Row],[PC]]/Mecze[[#This Row],[CZAS]])</f>
        <v>5.2083333333333336E-2</v>
      </c>
      <c r="P2272" s="32">
        <f>IF(Mecze[[#This Row],[SC]]=0,0,Mecze[[#This Row],[SC]]/Mecze[[#This Row],[CZAS]])</f>
        <v>0</v>
      </c>
      <c r="Q2272" s="32">
        <f>IF(Mecze[[#This Row],[OB]]=0,0,Mecze[[#This Row],[OB]]/Mecze[[#This Row],[CZAS]])</f>
        <v>0</v>
      </c>
      <c r="R2272" s="32">
        <f>IF(Mecze[[#This Row],[BR]]=0,0,Mecze[[#This Row],[BR]]/Mecze[[#This Row],[CZAS]])</f>
        <v>0</v>
      </c>
      <c r="S2272" s="44">
        <f>IF(Mecze[[#This Row],[Role]]="BR",SUMPRODUCT(Mecze[[#This Row],[/PR:90]:[/BR:90]],Brudnopis!$E$23:$J$23),0)</f>
        <v>0</v>
      </c>
      <c r="T2272" s="44">
        <f>IF(Mecze[[#This Row],[Role]]&lt;&gt;"BR",SUMPRODUCT(Mecze[[#This Row],[/PR:90]:[/BR:90]],Brudnopis!$E$24:$J$24),0)</f>
        <v>0.140625</v>
      </c>
      <c r="U2272" s="44">
        <f>IF(Mecze[[#This Row],[Role]]&lt;&gt;"BR",SUMPRODUCT(Mecze[[#This Row],[/PR:90]:[/BR:90]],Brudnopis!$E$25:$J$25),0)</f>
        <v>0.15104166666666666</v>
      </c>
      <c r="V2272" s="44">
        <f>IF(Mecze[[#This Row],[Role]]&lt;&gt;"BR",SUMPRODUCT(Mecze[[#This Row],[/PR:90]:[/BR:90]],Brudnopis!$E$26:$J$26),0)</f>
        <v>0.125</v>
      </c>
      <c r="W2272" s="44">
        <f>IF(Mecze[[#This Row],[Role]]&lt;&gt;"BR",SUMPRODUCT(Mecze[[#This Row],[/PR:90]:[/BR:90]],Brudnopis!$E$27:$J$27),0)</f>
        <v>0.1328125</v>
      </c>
      <c r="X2272" s="44">
        <f>IF(Mecze[[#This Row],[Role]]&lt;&gt;"BR",SUMPRODUCT(Mecze[[#This Row],[/PR:90]:[/BR:90]],Brudnopis!$E$28:$J$28),0)</f>
        <v>5.2083333333333336E-2</v>
      </c>
      <c r="Y2272" s="35">
        <f>IF(Mecze[[#This Row],[Role]]="BR",Mecze[[#This Row],[/OB:90]]+Mecze[[#This Row],[/PC:90]],SUM(Mecze[[#This Row],[/PR:90]:[/BR:90]]))</f>
        <v>0.125</v>
      </c>
      <c r="Z2272" s="35">
        <f>IF(Mecze[[#This Row],[KC]]=0,SUM(Mecze[[#This Row],[/BRI]:[/NPI]]),SUM(Mecze[[#This Row],[/BRI]:[/NPI]])*0.6)</f>
        <v>0.6015625</v>
      </c>
      <c r="AA2272" s="10">
        <f>IFERROR(Mecze[[#This Row],[BR]]/Mecze[[#This Row],[ST]],0)</f>
        <v>0</v>
      </c>
      <c r="AB2272">
        <f>ROUND(Mecze[[#This Row],[PD]]*Mecze[[#This Row],[%PC]],0)</f>
        <v>5</v>
      </c>
      <c r="AC2272">
        <f>ROUND(Mecze[[#This Row],[OD]]*Mecze[[#This Row],[%OU]],0)</f>
        <v>3</v>
      </c>
      <c r="AD2272" s="36" t="s">
        <v>168</v>
      </c>
      <c r="AE2272" s="36">
        <v>128</v>
      </c>
      <c r="AF2272" s="71">
        <v>5.88</v>
      </c>
      <c r="AG2272" s="37">
        <v>0</v>
      </c>
      <c r="AH2272" s="37">
        <v>0</v>
      </c>
      <c r="AI2272" s="37">
        <v>96</v>
      </c>
      <c r="AJ2272" s="37">
        <v>8</v>
      </c>
      <c r="AK2272" s="37" t="str">
        <f>VLOOKUP(Mecze[[#This Row],[Match ID]],Meczusie[Mecz]:Meczusie[RodzajMeczu],2,FALSE)</f>
        <v>Liga</v>
      </c>
    </row>
    <row r="2273" spans="1:37" x14ac:dyDescent="0.25">
      <c r="A2273" s="76">
        <v>6</v>
      </c>
      <c r="B2273" s="3" t="s">
        <v>308</v>
      </c>
      <c r="C2273" s="2" t="s">
        <v>160</v>
      </c>
      <c r="D2273" s="1">
        <v>0</v>
      </c>
      <c r="E2273" s="1">
        <v>0</v>
      </c>
      <c r="F2273" s="1">
        <v>0</v>
      </c>
      <c r="G2273" s="1">
        <v>8</v>
      </c>
      <c r="H2273" s="4">
        <v>0.5</v>
      </c>
      <c r="I2273" s="1">
        <v>4</v>
      </c>
      <c r="J2273" s="4">
        <v>1</v>
      </c>
      <c r="K2273" s="1">
        <v>0</v>
      </c>
      <c r="L2273" s="1">
        <v>2</v>
      </c>
      <c r="M2273" s="32">
        <f>IF(Mecze[[#This Row],[PR]]=0,0,Mecze[[#This Row],[PR]]/Mecze[[#This Row],[CZAS]])</f>
        <v>2.6666666666666668E-2</v>
      </c>
      <c r="N2273" s="32">
        <f>IF(Mecze[[#This Row],[OU]]=0,0,Mecze[[#This Row],[OU]]/Mecze[[#This Row],[CZAS]])</f>
        <v>5.3333333333333337E-2</v>
      </c>
      <c r="O2273" s="32">
        <f>IF(Mecze[[#This Row],[PC]]=0,0,Mecze[[#This Row],[PC]]/Mecze[[#This Row],[CZAS]])</f>
        <v>5.3333333333333337E-2</v>
      </c>
      <c r="P2273" s="32">
        <f>IF(Mecze[[#This Row],[SC]]=0,0,Mecze[[#This Row],[SC]]/Mecze[[#This Row],[CZAS]])</f>
        <v>0</v>
      </c>
      <c r="Q2273" s="32">
        <f>IF(Mecze[[#This Row],[OB]]=0,0,Mecze[[#This Row],[OB]]/Mecze[[#This Row],[CZAS]])</f>
        <v>0</v>
      </c>
      <c r="R2273" s="32">
        <f>IF(Mecze[[#This Row],[BR]]=0,0,Mecze[[#This Row],[BR]]/Mecze[[#This Row],[CZAS]])</f>
        <v>0</v>
      </c>
      <c r="S2273" s="44">
        <f>IF(Mecze[[#This Row],[Role]]="BR",SUMPRODUCT(Mecze[[#This Row],[/PR:90]:[/BR:90]],Brudnopis!$E$23:$J$23),0)</f>
        <v>0</v>
      </c>
      <c r="T2273" s="44">
        <f>IF(Mecze[[#This Row],[Role]]&lt;&gt;"BR",SUMPRODUCT(Mecze[[#This Row],[/PR:90]:[/BR:90]],Brudnopis!$E$24:$J$24),0)</f>
        <v>0.16</v>
      </c>
      <c r="U2273" s="44">
        <f>IF(Mecze[[#This Row],[Role]]&lt;&gt;"BR",SUMPRODUCT(Mecze[[#This Row],[/PR:90]:[/BR:90]],Brudnopis!$E$25:$J$25),0)</f>
        <v>0.16</v>
      </c>
      <c r="V2273" s="44">
        <f>IF(Mecze[[#This Row],[Role]]&lt;&gt;"BR",SUMPRODUCT(Mecze[[#This Row],[/PR:90]:[/BR:90]],Brudnopis!$E$26:$J$26),0)</f>
        <v>0.13333333333333333</v>
      </c>
      <c r="W2273" s="44">
        <f>IF(Mecze[[#This Row],[Role]]&lt;&gt;"BR",SUMPRODUCT(Mecze[[#This Row],[/PR:90]:[/BR:90]],Brudnopis!$E$27:$J$27),0)</f>
        <v>0.14000000000000001</v>
      </c>
      <c r="X2273" s="44">
        <f>IF(Mecze[[#This Row],[Role]]&lt;&gt;"BR",SUMPRODUCT(Mecze[[#This Row],[/PR:90]:[/BR:90]],Brudnopis!$E$28:$J$28),0)</f>
        <v>5.3333333333333337E-2</v>
      </c>
      <c r="Y2273" s="35">
        <f>IF(Mecze[[#This Row],[Role]]="BR",Mecze[[#This Row],[/OB:90]]+Mecze[[#This Row],[/PC:90]],SUM(Mecze[[#This Row],[/PR:90]:[/BR:90]]))</f>
        <v>0.13333333333333333</v>
      </c>
      <c r="Z2273" s="35">
        <f>IF(Mecze[[#This Row],[KC]]=0,SUM(Mecze[[#This Row],[/BRI]:[/NPI]]),SUM(Mecze[[#This Row],[/BRI]:[/NPI]])*0.6)</f>
        <v>0.64666666666666672</v>
      </c>
      <c r="AA2273" s="10">
        <f>IFERROR(Mecze[[#This Row],[BR]]/Mecze[[#This Row],[ST]],0)</f>
        <v>0</v>
      </c>
      <c r="AB2273">
        <f>ROUND(Mecze[[#This Row],[PD]]*Mecze[[#This Row],[%PC]],0)</f>
        <v>4</v>
      </c>
      <c r="AC2273">
        <f>ROUND(Mecze[[#This Row],[OD]]*Mecze[[#This Row],[%OU]],0)</f>
        <v>4</v>
      </c>
      <c r="AD2273" s="36" t="s">
        <v>41</v>
      </c>
      <c r="AE2273" s="36">
        <v>128</v>
      </c>
      <c r="AF2273" s="71">
        <v>5.55</v>
      </c>
      <c r="AG2273" s="37">
        <v>0</v>
      </c>
      <c r="AH2273" s="37">
        <v>0</v>
      </c>
      <c r="AI2273" s="37">
        <v>75</v>
      </c>
      <c r="AJ2273" s="37">
        <v>8</v>
      </c>
      <c r="AK2273" s="37" t="str">
        <f>VLOOKUP(Mecze[[#This Row],[Match ID]],Meczusie[Mecz]:Meczusie[RodzajMeczu],2,FALSE)</f>
        <v>Liga</v>
      </c>
    </row>
    <row r="2274" spans="1:37" x14ac:dyDescent="0.25">
      <c r="A2274" s="76">
        <v>16</v>
      </c>
      <c r="B2274" s="3" t="s">
        <v>309</v>
      </c>
      <c r="C2274" s="2" t="s">
        <v>160</v>
      </c>
      <c r="D2274" s="1">
        <v>0</v>
      </c>
      <c r="E2274" s="1">
        <v>0</v>
      </c>
      <c r="F2274" s="1">
        <v>0</v>
      </c>
      <c r="G2274" s="1">
        <v>11</v>
      </c>
      <c r="H2274" s="4">
        <v>0.73</v>
      </c>
      <c r="I2274" s="1">
        <v>2</v>
      </c>
      <c r="J2274" s="4">
        <v>1</v>
      </c>
      <c r="K2274" s="1">
        <v>0</v>
      </c>
      <c r="L2274" s="1">
        <v>5</v>
      </c>
      <c r="M2274" s="32">
        <f>IF(Mecze[[#This Row],[PR]]=0,0,Mecze[[#This Row],[PR]]/Mecze[[#This Row],[CZAS]])</f>
        <v>5.2083333333333336E-2</v>
      </c>
      <c r="N2274" s="32">
        <f>IF(Mecze[[#This Row],[OU]]=0,0,Mecze[[#This Row],[OU]]/Mecze[[#This Row],[CZAS]])</f>
        <v>2.0833333333333332E-2</v>
      </c>
      <c r="O2274" s="32">
        <f>IF(Mecze[[#This Row],[PC]]=0,0,Mecze[[#This Row],[PC]]/Mecze[[#This Row],[CZAS]])</f>
        <v>8.3333333333333329E-2</v>
      </c>
      <c r="P2274" s="32">
        <f>IF(Mecze[[#This Row],[SC]]=0,0,Mecze[[#This Row],[SC]]/Mecze[[#This Row],[CZAS]])</f>
        <v>0</v>
      </c>
      <c r="Q2274" s="32">
        <f>IF(Mecze[[#This Row],[OB]]=0,0,Mecze[[#This Row],[OB]]/Mecze[[#This Row],[CZAS]])</f>
        <v>0</v>
      </c>
      <c r="R2274" s="32">
        <f>IF(Mecze[[#This Row],[BR]]=0,0,Mecze[[#This Row],[BR]]/Mecze[[#This Row],[CZAS]])</f>
        <v>0</v>
      </c>
      <c r="S2274" s="44">
        <f>IF(Mecze[[#This Row],[Role]]="BR",SUMPRODUCT(Mecze[[#This Row],[/PR:90]:[/BR:90]],Brudnopis!$E$23:$J$23),0)</f>
        <v>0</v>
      </c>
      <c r="T2274" s="44">
        <f>IF(Mecze[[#This Row],[Role]]&lt;&gt;"BR",SUMPRODUCT(Mecze[[#This Row],[/PR:90]:[/BR:90]],Brudnopis!$E$24:$J$24),0)</f>
        <v>0.16666666666666669</v>
      </c>
      <c r="U2274" s="44">
        <f>IF(Mecze[[#This Row],[Role]]&lt;&gt;"BR",SUMPRODUCT(Mecze[[#This Row],[/PR:90]:[/BR:90]],Brudnopis!$E$25:$J$25),0)</f>
        <v>0.19791666666666669</v>
      </c>
      <c r="V2274" s="44">
        <f>IF(Mecze[[#This Row],[Role]]&lt;&gt;"BR",SUMPRODUCT(Mecze[[#This Row],[/PR:90]:[/BR:90]],Brudnopis!$E$26:$J$26),0)</f>
        <v>0.15625</v>
      </c>
      <c r="W2274" s="44">
        <f>IF(Mecze[[#This Row],[Role]]&lt;&gt;"BR",SUMPRODUCT(Mecze[[#This Row],[/PR:90]:[/BR:90]],Brudnopis!$E$27:$J$27),0)</f>
        <v>0.1796875</v>
      </c>
      <c r="X2274" s="44">
        <f>IF(Mecze[[#This Row],[Role]]&lt;&gt;"BR",SUMPRODUCT(Mecze[[#This Row],[/PR:90]:[/BR:90]],Brudnopis!$E$28:$J$28),0)</f>
        <v>8.3333333333333329E-2</v>
      </c>
      <c r="Y2274" s="35">
        <f>IF(Mecze[[#This Row],[Role]]="BR",Mecze[[#This Row],[/OB:90]]+Mecze[[#This Row],[/PC:90]],SUM(Mecze[[#This Row],[/PR:90]:[/BR:90]]))</f>
        <v>0.15625</v>
      </c>
      <c r="Z2274" s="35">
        <f>IF(Mecze[[#This Row],[KC]]=0,SUM(Mecze[[#This Row],[/BRI]:[/NPI]]),SUM(Mecze[[#This Row],[/BRI]:[/NPI]])*0.6)</f>
        <v>0.78385416666666674</v>
      </c>
      <c r="AA2274" s="10">
        <f>IFERROR(Mecze[[#This Row],[BR]]/Mecze[[#This Row],[ST]],0)</f>
        <v>0</v>
      </c>
      <c r="AB2274">
        <f>ROUND(Mecze[[#This Row],[PD]]*Mecze[[#This Row],[%PC]],0)</f>
        <v>8</v>
      </c>
      <c r="AC2274">
        <f>ROUND(Mecze[[#This Row],[OD]]*Mecze[[#This Row],[%OU]],0)</f>
        <v>2</v>
      </c>
      <c r="AD2274" s="36" t="s">
        <v>172</v>
      </c>
      <c r="AE2274" s="36">
        <v>128</v>
      </c>
      <c r="AF2274" s="71">
        <v>6.18</v>
      </c>
      <c r="AG2274" s="37">
        <v>0</v>
      </c>
      <c r="AH2274" s="37">
        <v>0</v>
      </c>
      <c r="AI2274" s="37">
        <v>96</v>
      </c>
      <c r="AJ2274" s="37">
        <v>8</v>
      </c>
      <c r="AK2274" s="37" t="str">
        <f>VLOOKUP(Mecze[[#This Row],[Match ID]],Meczusie[Mecz]:Meczusie[RodzajMeczu],2,FALSE)</f>
        <v>Liga</v>
      </c>
    </row>
    <row r="2275" spans="1:37" x14ac:dyDescent="0.25">
      <c r="A2275" s="76">
        <v>7</v>
      </c>
      <c r="B2275" s="3" t="s">
        <v>311</v>
      </c>
      <c r="C2275" s="2" t="s">
        <v>160</v>
      </c>
      <c r="D2275" s="1">
        <v>0</v>
      </c>
      <c r="E2275" s="1">
        <v>1</v>
      </c>
      <c r="F2275" s="1">
        <v>1</v>
      </c>
      <c r="G2275" s="1">
        <v>4</v>
      </c>
      <c r="H2275" s="4">
        <v>0.75</v>
      </c>
      <c r="I2275" s="1">
        <v>2</v>
      </c>
      <c r="J2275" s="4">
        <v>1</v>
      </c>
      <c r="K2275" s="1">
        <v>0</v>
      </c>
      <c r="L2275" s="1">
        <v>0</v>
      </c>
      <c r="M2275" s="32">
        <f>IF(Mecze[[#This Row],[PR]]=0,0,Mecze[[#This Row],[PR]]/Mecze[[#This Row],[CZAS]])</f>
        <v>0</v>
      </c>
      <c r="N2275" s="32">
        <f>IF(Mecze[[#This Row],[OU]]=0,0,Mecze[[#This Row],[OU]]/Mecze[[#This Row],[CZAS]])</f>
        <v>2.0833333333333332E-2</v>
      </c>
      <c r="O2275" s="32">
        <f>IF(Mecze[[#This Row],[PC]]=0,0,Mecze[[#This Row],[PC]]/Mecze[[#This Row],[CZAS]])</f>
        <v>3.125E-2</v>
      </c>
      <c r="P2275" s="32">
        <f>IF(Mecze[[#This Row],[SC]]=0,0,Mecze[[#This Row],[SC]]/Mecze[[#This Row],[CZAS]])</f>
        <v>1.0416666666666666E-2</v>
      </c>
      <c r="Q2275" s="32">
        <f>IF(Mecze[[#This Row],[OB]]=0,0,Mecze[[#This Row],[OB]]/Mecze[[#This Row],[CZAS]])</f>
        <v>0</v>
      </c>
      <c r="R2275" s="32">
        <f>IF(Mecze[[#This Row],[BR]]=0,0,Mecze[[#This Row],[BR]]/Mecze[[#This Row],[CZAS]])</f>
        <v>0</v>
      </c>
      <c r="S2275" s="44">
        <f>IF(Mecze[[#This Row],[Role]]="BR",SUMPRODUCT(Mecze[[#This Row],[/PR:90]:[/BR:90]],Brudnopis!$E$23:$J$23),0)</f>
        <v>0</v>
      </c>
      <c r="T2275" s="44">
        <f>IF(Mecze[[#This Row],[Role]]&lt;&gt;"BR",SUMPRODUCT(Mecze[[#This Row],[/PR:90]:[/BR:90]],Brudnopis!$E$24:$J$24),0)</f>
        <v>7.2916666666666671E-2</v>
      </c>
      <c r="U2275" s="44">
        <f>IF(Mecze[[#This Row],[Role]]&lt;&gt;"BR",SUMPRODUCT(Mecze[[#This Row],[/PR:90]:[/BR:90]],Brudnopis!$E$25:$J$25),0)</f>
        <v>7.8125E-2</v>
      </c>
      <c r="V2275" s="44">
        <f>IF(Mecze[[#This Row],[Role]]&lt;&gt;"BR",SUMPRODUCT(Mecze[[#This Row],[/PR:90]:[/BR:90]],Brudnopis!$E$26:$J$26),0)</f>
        <v>6.2499999999999993E-2</v>
      </c>
      <c r="W2275" s="44">
        <f>IF(Mecze[[#This Row],[Role]]&lt;&gt;"BR",SUMPRODUCT(Mecze[[#This Row],[/PR:90]:[/BR:90]],Brudnopis!$E$27:$J$27),0)</f>
        <v>7.2916666666666671E-2</v>
      </c>
      <c r="X2275" s="44">
        <f>IF(Mecze[[#This Row],[Role]]&lt;&gt;"BR",SUMPRODUCT(Mecze[[#This Row],[/PR:90]:[/BR:90]],Brudnopis!$E$28:$J$28),0)</f>
        <v>5.2083333333333329E-2</v>
      </c>
      <c r="Y2275" s="35">
        <f>IF(Mecze[[#This Row],[Role]]="BR",Mecze[[#This Row],[/OB:90]]+Mecze[[#This Row],[/PC:90]],SUM(Mecze[[#This Row],[/PR:90]:[/BR:90]]))</f>
        <v>6.2499999999999993E-2</v>
      </c>
      <c r="Z2275" s="35">
        <f>IF(Mecze[[#This Row],[KC]]=0,SUM(Mecze[[#This Row],[/BRI]:[/NPI]]),SUM(Mecze[[#This Row],[/BRI]:[/NPI]])*0.6)</f>
        <v>0.33854166666666669</v>
      </c>
      <c r="AA2275" s="10">
        <f>IFERROR(Mecze[[#This Row],[BR]]/Mecze[[#This Row],[ST]],0)</f>
        <v>0</v>
      </c>
      <c r="AB2275">
        <f>ROUND(Mecze[[#This Row],[PD]]*Mecze[[#This Row],[%PC]],0)</f>
        <v>3</v>
      </c>
      <c r="AC2275">
        <f>ROUND(Mecze[[#This Row],[OD]]*Mecze[[#This Row],[%OU]],0)</f>
        <v>2</v>
      </c>
      <c r="AD2275" s="36" t="s">
        <v>173</v>
      </c>
      <c r="AE2275" s="36">
        <v>128</v>
      </c>
      <c r="AF2275" s="71">
        <v>4.1500000000000004</v>
      </c>
      <c r="AG2275" s="37">
        <v>0</v>
      </c>
      <c r="AH2275" s="37">
        <v>0</v>
      </c>
      <c r="AI2275" s="37">
        <v>96</v>
      </c>
      <c r="AJ2275" s="37">
        <v>8</v>
      </c>
      <c r="AK2275" s="37" t="str">
        <f>VLOOKUP(Mecze[[#This Row],[Match ID]],Meczusie[Mecz]:Meczusie[RodzajMeczu],2,FALSE)</f>
        <v>Liga</v>
      </c>
    </row>
    <row r="2276" spans="1:37" x14ac:dyDescent="0.25">
      <c r="A2276" s="76">
        <v>14</v>
      </c>
      <c r="B2276" s="3" t="s">
        <v>312</v>
      </c>
      <c r="C2276" s="2" t="s">
        <v>160</v>
      </c>
      <c r="D2276" s="1">
        <v>0</v>
      </c>
      <c r="E2276" s="1">
        <v>2</v>
      </c>
      <c r="F2276" s="1">
        <v>1</v>
      </c>
      <c r="G2276" s="1">
        <v>15</v>
      </c>
      <c r="H2276" s="4">
        <v>0.6</v>
      </c>
      <c r="I2276" s="1">
        <v>14</v>
      </c>
      <c r="J2276" s="4">
        <v>0.64</v>
      </c>
      <c r="K2276" s="1">
        <v>0</v>
      </c>
      <c r="L2276" s="1">
        <v>4</v>
      </c>
      <c r="M2276" s="32">
        <f>IF(Mecze[[#This Row],[PR]]=0,0,Mecze[[#This Row],[PR]]/Mecze[[#This Row],[CZAS]])</f>
        <v>5.3333333333333337E-2</v>
      </c>
      <c r="N2276" s="32">
        <f>IF(Mecze[[#This Row],[OU]]=0,0,Mecze[[#This Row],[OU]]/Mecze[[#This Row],[CZAS]])</f>
        <v>0.12</v>
      </c>
      <c r="O2276" s="32">
        <f>IF(Mecze[[#This Row],[PC]]=0,0,Mecze[[#This Row],[PC]]/Mecze[[#This Row],[CZAS]])</f>
        <v>0.12</v>
      </c>
      <c r="P2276" s="32">
        <f>IF(Mecze[[#This Row],[SC]]=0,0,Mecze[[#This Row],[SC]]/Mecze[[#This Row],[CZAS]])</f>
        <v>1.3333333333333334E-2</v>
      </c>
      <c r="Q2276" s="32">
        <f>IF(Mecze[[#This Row],[OB]]=0,0,Mecze[[#This Row],[OB]]/Mecze[[#This Row],[CZAS]])</f>
        <v>0</v>
      </c>
      <c r="R2276" s="32">
        <f>IF(Mecze[[#This Row],[BR]]=0,0,Mecze[[#This Row],[BR]]/Mecze[[#This Row],[CZAS]])</f>
        <v>0</v>
      </c>
      <c r="S2276" s="44">
        <f>IF(Mecze[[#This Row],[Role]]="BR",SUMPRODUCT(Mecze[[#This Row],[/PR:90]:[/BR:90]],Brudnopis!$E$23:$J$23),0)</f>
        <v>0</v>
      </c>
      <c r="T2276" s="44">
        <f>IF(Mecze[[#This Row],[Role]]&lt;&gt;"BR",SUMPRODUCT(Mecze[[#This Row],[/PR:90]:[/BR:90]],Brudnopis!$E$24:$J$24),0)</f>
        <v>0.36666666666666664</v>
      </c>
      <c r="U2276" s="44">
        <f>IF(Mecze[[#This Row],[Role]]&lt;&gt;"BR",SUMPRODUCT(Mecze[[#This Row],[/PR:90]:[/BR:90]],Brudnopis!$E$25:$J$25),0)</f>
        <v>0.36666666666666664</v>
      </c>
      <c r="V2276" s="44">
        <f>IF(Mecze[[#This Row],[Role]]&lt;&gt;"BR",SUMPRODUCT(Mecze[[#This Row],[/PR:90]:[/BR:90]],Brudnopis!$E$26:$J$26),0)</f>
        <v>0.30666666666666664</v>
      </c>
      <c r="W2276" s="44">
        <f>IF(Mecze[[#This Row],[Role]]&lt;&gt;"BR",SUMPRODUCT(Mecze[[#This Row],[/PR:90]:[/BR:90]],Brudnopis!$E$27:$J$27),0)</f>
        <v>0.32333333333333331</v>
      </c>
      <c r="X2276" s="44">
        <f>IF(Mecze[[#This Row],[Role]]&lt;&gt;"BR",SUMPRODUCT(Mecze[[#This Row],[/PR:90]:[/BR:90]],Brudnopis!$E$28:$J$28),0)</f>
        <v>0.14666666666666667</v>
      </c>
      <c r="Y2276" s="35">
        <f>IF(Mecze[[#This Row],[Role]]="BR",Mecze[[#This Row],[/OB:90]]+Mecze[[#This Row],[/PC:90]],SUM(Mecze[[#This Row],[/PR:90]:[/BR:90]]))</f>
        <v>0.30666666666666664</v>
      </c>
      <c r="Z2276" s="35">
        <f>IF(Mecze[[#This Row],[KC]]=0,SUM(Mecze[[#This Row],[/BRI]:[/NPI]]),SUM(Mecze[[#This Row],[/BRI]:[/NPI]])*0.6)</f>
        <v>1.51</v>
      </c>
      <c r="AA2276" s="10">
        <f>IFERROR(Mecze[[#This Row],[BR]]/Mecze[[#This Row],[ST]],0)</f>
        <v>0</v>
      </c>
      <c r="AB2276">
        <f>ROUND(Mecze[[#This Row],[PD]]*Mecze[[#This Row],[%PC]],0)</f>
        <v>9</v>
      </c>
      <c r="AC2276">
        <f>ROUND(Mecze[[#This Row],[OD]]*Mecze[[#This Row],[%OU]],0)</f>
        <v>9</v>
      </c>
      <c r="AD2276" s="36" t="s">
        <v>67</v>
      </c>
      <c r="AE2276" s="36">
        <v>128</v>
      </c>
      <c r="AF2276" s="71">
        <v>6.2</v>
      </c>
      <c r="AG2276" s="37">
        <v>0</v>
      </c>
      <c r="AH2276" s="37">
        <v>0</v>
      </c>
      <c r="AI2276" s="37">
        <v>75</v>
      </c>
      <c r="AJ2276" s="37">
        <v>8</v>
      </c>
      <c r="AK2276" s="37" t="str">
        <f>VLOOKUP(Mecze[[#This Row],[Match ID]],Meczusie[Mecz]:Meczusie[RodzajMeczu],2,FALSE)</f>
        <v>Liga</v>
      </c>
    </row>
    <row r="2277" spans="1:37" x14ac:dyDescent="0.25">
      <c r="A2277" s="76">
        <v>13</v>
      </c>
      <c r="B2277" s="3" t="s">
        <v>313</v>
      </c>
      <c r="C2277" s="2" t="s">
        <v>165</v>
      </c>
      <c r="D2277" s="1">
        <v>1</v>
      </c>
      <c r="E2277" s="1">
        <v>3</v>
      </c>
      <c r="F2277" s="1">
        <v>3</v>
      </c>
      <c r="G2277" s="1">
        <v>8</v>
      </c>
      <c r="H2277" s="4">
        <v>0.5</v>
      </c>
      <c r="I2277" s="1">
        <v>5</v>
      </c>
      <c r="J2277" s="4">
        <v>0.8</v>
      </c>
      <c r="K2277" s="1">
        <v>0</v>
      </c>
      <c r="L2277" s="1">
        <v>3</v>
      </c>
      <c r="M2277" s="32">
        <f>IF(Mecze[[#This Row],[PR]]=0,0,Mecze[[#This Row],[PR]]/Mecze[[#This Row],[CZAS]])</f>
        <v>3.6585365853658534E-2</v>
      </c>
      <c r="N2277" s="32">
        <f>IF(Mecze[[#This Row],[OU]]=0,0,Mecze[[#This Row],[OU]]/Mecze[[#This Row],[CZAS]])</f>
        <v>4.878048780487805E-2</v>
      </c>
      <c r="O2277" s="32">
        <f>IF(Mecze[[#This Row],[PC]]=0,0,Mecze[[#This Row],[PC]]/Mecze[[#This Row],[CZAS]])</f>
        <v>4.878048780487805E-2</v>
      </c>
      <c r="P2277" s="32">
        <f>IF(Mecze[[#This Row],[SC]]=0,0,Mecze[[#This Row],[SC]]/Mecze[[#This Row],[CZAS]])</f>
        <v>3.6585365853658534E-2</v>
      </c>
      <c r="Q2277" s="32">
        <f>IF(Mecze[[#This Row],[OB]]=0,0,Mecze[[#This Row],[OB]]/Mecze[[#This Row],[CZAS]])</f>
        <v>0</v>
      </c>
      <c r="R2277" s="32">
        <f>IF(Mecze[[#This Row],[BR]]=0,0,Mecze[[#This Row],[BR]]/Mecze[[#This Row],[CZAS]])</f>
        <v>1.2195121951219513E-2</v>
      </c>
      <c r="S2277" s="44">
        <f>IF(Mecze[[#This Row],[Role]]="BR",SUMPRODUCT(Mecze[[#This Row],[/PR:90]:[/BR:90]],Brudnopis!$E$23:$J$23),0)</f>
        <v>0</v>
      </c>
      <c r="T2277" s="44">
        <f>IF(Mecze[[#This Row],[Role]]&lt;&gt;"BR",SUMPRODUCT(Mecze[[#This Row],[/PR:90]:[/BR:90]],Brudnopis!$E$24:$J$24),0)</f>
        <v>0.21341463414634149</v>
      </c>
      <c r="U2277" s="44">
        <f>IF(Mecze[[#This Row],[Role]]&lt;&gt;"BR",SUMPRODUCT(Mecze[[#This Row],[/PR:90]:[/BR:90]],Brudnopis!$E$25:$J$25),0)</f>
        <v>0.21341463414634149</v>
      </c>
      <c r="V2277" s="44">
        <f>IF(Mecze[[#This Row],[Role]]&lt;&gt;"BR",SUMPRODUCT(Mecze[[#This Row],[/PR:90]:[/BR:90]],Brudnopis!$E$26:$J$26),0)</f>
        <v>0.1951219512195122</v>
      </c>
      <c r="W2277" s="44">
        <f>IF(Mecze[[#This Row],[Role]]&lt;&gt;"BR",SUMPRODUCT(Mecze[[#This Row],[/PR:90]:[/BR:90]],Brudnopis!$E$27:$J$27),0)</f>
        <v>0.19817073170731708</v>
      </c>
      <c r="X2277" s="44">
        <f>IF(Mecze[[#This Row],[Role]]&lt;&gt;"BR",SUMPRODUCT(Mecze[[#This Row],[/PR:90]:[/BR:90]],Brudnopis!$E$28:$J$28),0)</f>
        <v>0.15853658536585366</v>
      </c>
      <c r="Y2277" s="35">
        <f>IF(Mecze[[#This Row],[Role]]="BR",Mecze[[#This Row],[/OB:90]]+Mecze[[#This Row],[/PC:90]],SUM(Mecze[[#This Row],[/PR:90]:[/BR:90]]))</f>
        <v>0.18292682926829271</v>
      </c>
      <c r="Z2277" s="35">
        <f>IF(Mecze[[#This Row],[KC]]=0,SUM(Mecze[[#This Row],[/BRI]:[/NPI]]),SUM(Mecze[[#This Row],[/BRI]:[/NPI]])*0.6)</f>
        <v>0.97865853658536606</v>
      </c>
      <c r="AA2277" s="10">
        <f>IFERROR(Mecze[[#This Row],[BR]]/Mecze[[#This Row],[ST]],0)</f>
        <v>0.33333333333333331</v>
      </c>
      <c r="AB2277">
        <f>ROUND(Mecze[[#This Row],[PD]]*Mecze[[#This Row],[%PC]],0)</f>
        <v>4</v>
      </c>
      <c r="AC2277">
        <f>ROUND(Mecze[[#This Row],[OD]]*Mecze[[#This Row],[%OU]],0)</f>
        <v>4</v>
      </c>
      <c r="AD2277" s="36" t="s">
        <v>272</v>
      </c>
      <c r="AE2277" s="36">
        <v>128</v>
      </c>
      <c r="AF2277" s="71">
        <v>8.2200000000000006</v>
      </c>
      <c r="AG2277" s="37">
        <v>0</v>
      </c>
      <c r="AH2277" s="37">
        <v>0</v>
      </c>
      <c r="AI2277" s="37">
        <v>82</v>
      </c>
      <c r="AJ2277" s="37">
        <v>8</v>
      </c>
      <c r="AK2277" s="37" t="str">
        <f>VLOOKUP(Mecze[[#This Row],[Match ID]],Meczusie[Mecz]:Meczusie[RodzajMeczu],2,FALSE)</f>
        <v>Liga</v>
      </c>
    </row>
    <row r="2278" spans="1:37" x14ac:dyDescent="0.25">
      <c r="A2278" s="76">
        <v>74</v>
      </c>
      <c r="B2278" s="3" t="s">
        <v>442</v>
      </c>
      <c r="C2278" s="2" t="s">
        <v>165</v>
      </c>
      <c r="D2278" s="1">
        <v>1</v>
      </c>
      <c r="E2278" s="1">
        <v>6</v>
      </c>
      <c r="F2278" s="1">
        <v>5</v>
      </c>
      <c r="G2278" s="1">
        <v>8</v>
      </c>
      <c r="H2278" s="4">
        <v>0.75</v>
      </c>
      <c r="I2278" s="1">
        <v>5</v>
      </c>
      <c r="J2278" s="4">
        <v>0.6</v>
      </c>
      <c r="K2278" s="1">
        <v>0</v>
      </c>
      <c r="L2278" s="1">
        <v>2</v>
      </c>
      <c r="M2278" s="32">
        <f>IF(Mecze[[#This Row],[PR]]=0,0,Mecze[[#This Row],[PR]]/Mecze[[#This Row],[CZAS]])</f>
        <v>2.0833333333333332E-2</v>
      </c>
      <c r="N2278" s="32">
        <f>IF(Mecze[[#This Row],[OU]]=0,0,Mecze[[#This Row],[OU]]/Mecze[[#This Row],[CZAS]])</f>
        <v>3.125E-2</v>
      </c>
      <c r="O2278" s="32">
        <f>IF(Mecze[[#This Row],[PC]]=0,0,Mecze[[#This Row],[PC]]/Mecze[[#This Row],[CZAS]])</f>
        <v>6.25E-2</v>
      </c>
      <c r="P2278" s="32">
        <f>IF(Mecze[[#This Row],[SC]]=0,0,Mecze[[#This Row],[SC]]/Mecze[[#This Row],[CZAS]])</f>
        <v>5.2083333333333336E-2</v>
      </c>
      <c r="Q2278" s="32">
        <f>IF(Mecze[[#This Row],[OB]]=0,0,Mecze[[#This Row],[OB]]/Mecze[[#This Row],[CZAS]])</f>
        <v>0</v>
      </c>
      <c r="R2278" s="32">
        <f>IF(Mecze[[#This Row],[BR]]=0,0,Mecze[[#This Row],[BR]]/Mecze[[#This Row],[CZAS]])</f>
        <v>1.0416666666666666E-2</v>
      </c>
      <c r="S2278" s="44">
        <f>IF(Mecze[[#This Row],[Role]]="BR",SUMPRODUCT(Mecze[[#This Row],[/PR:90]:[/BR:90]],Brudnopis!$E$23:$J$23),0)</f>
        <v>0</v>
      </c>
      <c r="T2278" s="44">
        <f>IF(Mecze[[#This Row],[Role]]&lt;&gt;"BR",SUMPRODUCT(Mecze[[#This Row],[/PR:90]:[/BR:90]],Brudnopis!$E$24:$J$24),0)</f>
        <v>0.19791666666666666</v>
      </c>
      <c r="U2278" s="44">
        <f>IF(Mecze[[#This Row],[Role]]&lt;&gt;"BR",SUMPRODUCT(Mecze[[#This Row],[/PR:90]:[/BR:90]],Brudnopis!$E$25:$J$25),0)</f>
        <v>0.21354166666666666</v>
      </c>
      <c r="V2278" s="44">
        <f>IF(Mecze[[#This Row],[Role]]&lt;&gt;"BR",SUMPRODUCT(Mecze[[#This Row],[/PR:90]:[/BR:90]],Brudnopis!$E$26:$J$26),0)</f>
        <v>0.1875</v>
      </c>
      <c r="W2278" s="44">
        <f>IF(Mecze[[#This Row],[Role]]&lt;&gt;"BR",SUMPRODUCT(Mecze[[#This Row],[/PR:90]:[/BR:90]],Brudnopis!$E$27:$J$27),0)</f>
        <v>0.20572916666666669</v>
      </c>
      <c r="X2278" s="44">
        <f>IF(Mecze[[#This Row],[Role]]&lt;&gt;"BR",SUMPRODUCT(Mecze[[#This Row],[/PR:90]:[/BR:90]],Brudnopis!$E$28:$J$28),0)</f>
        <v>0.19791666666666669</v>
      </c>
      <c r="Y2278" s="35">
        <f>IF(Mecze[[#This Row],[Role]]="BR",Mecze[[#This Row],[/OB:90]]+Mecze[[#This Row],[/PC:90]],SUM(Mecze[[#This Row],[/PR:90]:[/BR:90]]))</f>
        <v>0.17708333333333331</v>
      </c>
      <c r="Z2278" s="35">
        <f>IF(Mecze[[#This Row],[KC]]=0,SUM(Mecze[[#This Row],[/BRI]:[/NPI]]),SUM(Mecze[[#This Row],[/BRI]:[/NPI]])*0.6)</f>
        <v>1.0026041666666667</v>
      </c>
      <c r="AA2278" s="10">
        <f>IFERROR(Mecze[[#This Row],[BR]]/Mecze[[#This Row],[ST]],0)</f>
        <v>0.16666666666666666</v>
      </c>
      <c r="AB2278">
        <f>ROUND(Mecze[[#This Row],[PD]]*Mecze[[#This Row],[%PC]],0)</f>
        <v>6</v>
      </c>
      <c r="AC2278">
        <f>ROUND(Mecze[[#This Row],[OD]]*Mecze[[#This Row],[%OU]],0)</f>
        <v>3</v>
      </c>
      <c r="AD2278" s="36" t="s">
        <v>273</v>
      </c>
      <c r="AE2278" s="36">
        <v>128</v>
      </c>
      <c r="AF2278" s="71">
        <v>8.66</v>
      </c>
      <c r="AG2278" s="37">
        <v>0</v>
      </c>
      <c r="AH2278" s="37">
        <v>0</v>
      </c>
      <c r="AI2278" s="37">
        <v>96</v>
      </c>
      <c r="AJ2278" s="37">
        <v>8</v>
      </c>
      <c r="AK2278" s="37" t="str">
        <f>VLOOKUP(Mecze[[#This Row],[Match ID]],Meczusie[Mecz]:Meczusie[RodzajMeczu],2,FALSE)</f>
        <v>Liga</v>
      </c>
    </row>
    <row r="2279" spans="1:37" x14ac:dyDescent="0.25">
      <c r="A2279" s="76">
        <v>8</v>
      </c>
      <c r="B2279" s="3" t="s">
        <v>314</v>
      </c>
      <c r="C2279" s="2" t="s">
        <v>165</v>
      </c>
      <c r="D2279" s="1">
        <v>0</v>
      </c>
      <c r="E2279" s="1">
        <v>8</v>
      </c>
      <c r="F2279" s="1">
        <v>6</v>
      </c>
      <c r="G2279" s="1">
        <v>12</v>
      </c>
      <c r="H2279" s="4">
        <v>0.57999999999999996</v>
      </c>
      <c r="I2279" s="1">
        <v>2</v>
      </c>
      <c r="J2279" s="4">
        <v>0.5</v>
      </c>
      <c r="K2279" s="1">
        <v>0</v>
      </c>
      <c r="L2279" s="1">
        <v>0</v>
      </c>
      <c r="M2279" s="32">
        <f>IF(Mecze[[#This Row],[PR]]=0,0,Mecze[[#This Row],[PR]]/Mecze[[#This Row],[CZAS]])</f>
        <v>0</v>
      </c>
      <c r="N2279" s="32">
        <f>IF(Mecze[[#This Row],[OU]]=0,0,Mecze[[#This Row],[OU]]/Mecze[[#This Row],[CZAS]])</f>
        <v>1.0416666666666666E-2</v>
      </c>
      <c r="O2279" s="32">
        <f>IF(Mecze[[#This Row],[PC]]=0,0,Mecze[[#This Row],[PC]]/Mecze[[#This Row],[CZAS]])</f>
        <v>7.2916666666666671E-2</v>
      </c>
      <c r="P2279" s="32">
        <f>IF(Mecze[[#This Row],[SC]]=0,0,Mecze[[#This Row],[SC]]/Mecze[[#This Row],[CZAS]])</f>
        <v>6.25E-2</v>
      </c>
      <c r="Q2279" s="32">
        <f>IF(Mecze[[#This Row],[OB]]=0,0,Mecze[[#This Row],[OB]]/Mecze[[#This Row],[CZAS]])</f>
        <v>0</v>
      </c>
      <c r="R2279" s="32">
        <f>IF(Mecze[[#This Row],[BR]]=0,0,Mecze[[#This Row],[BR]]/Mecze[[#This Row],[CZAS]])</f>
        <v>0</v>
      </c>
      <c r="S2279" s="44">
        <f>IF(Mecze[[#This Row],[Role]]="BR",SUMPRODUCT(Mecze[[#This Row],[/PR:90]:[/BR:90]],Brudnopis!$E$23:$J$23),0)</f>
        <v>0</v>
      </c>
      <c r="T2279" s="44">
        <f>IF(Mecze[[#This Row],[Role]]&lt;&gt;"BR",SUMPRODUCT(Mecze[[#This Row],[/PR:90]:[/BR:90]],Brudnopis!$E$24:$J$24),0)</f>
        <v>0.15104166666666669</v>
      </c>
      <c r="U2279" s="44">
        <f>IF(Mecze[[#This Row],[Role]]&lt;&gt;"BR",SUMPRODUCT(Mecze[[#This Row],[/PR:90]:[/BR:90]],Brudnopis!$E$25:$J$25),0)</f>
        <v>0.18229166666666669</v>
      </c>
      <c r="V2279" s="44">
        <f>IF(Mecze[[#This Row],[Role]]&lt;&gt;"BR",SUMPRODUCT(Mecze[[#This Row],[/PR:90]:[/BR:90]],Brudnopis!$E$26:$J$26),0)</f>
        <v>0.14583333333333334</v>
      </c>
      <c r="W2279" s="44">
        <f>IF(Mecze[[#This Row],[Role]]&lt;&gt;"BR",SUMPRODUCT(Mecze[[#This Row],[/PR:90]:[/BR:90]],Brudnopis!$E$27:$J$27),0)</f>
        <v>0.1796875</v>
      </c>
      <c r="X2279" s="44">
        <f>IF(Mecze[[#This Row],[Role]]&lt;&gt;"BR",SUMPRODUCT(Mecze[[#This Row],[/PR:90]:[/BR:90]],Brudnopis!$E$28:$J$28),0)</f>
        <v>0.19791666666666669</v>
      </c>
      <c r="Y2279" s="35">
        <f>IF(Mecze[[#This Row],[Role]]="BR",Mecze[[#This Row],[/OB:90]]+Mecze[[#This Row],[/PC:90]],SUM(Mecze[[#This Row],[/PR:90]:[/BR:90]]))</f>
        <v>0.14583333333333334</v>
      </c>
      <c r="Z2279" s="35">
        <f>IF(Mecze[[#This Row],[KC]]=0,SUM(Mecze[[#This Row],[/BRI]:[/NPI]]),SUM(Mecze[[#This Row],[/BRI]:[/NPI]])*0.6)</f>
        <v>0.85677083333333348</v>
      </c>
      <c r="AA2279" s="10">
        <f>IFERROR(Mecze[[#This Row],[BR]]/Mecze[[#This Row],[ST]],0)</f>
        <v>0</v>
      </c>
      <c r="AB2279">
        <f>ROUND(Mecze[[#This Row],[PD]]*Mecze[[#This Row],[%PC]],0)</f>
        <v>7</v>
      </c>
      <c r="AC2279">
        <f>ROUND(Mecze[[#This Row],[OD]]*Mecze[[#This Row],[%OU]],0)</f>
        <v>1</v>
      </c>
      <c r="AD2279" s="36" t="s">
        <v>46</v>
      </c>
      <c r="AE2279" s="36">
        <v>128</v>
      </c>
      <c r="AF2279" s="71">
        <v>6.58</v>
      </c>
      <c r="AG2279" s="37">
        <v>0</v>
      </c>
      <c r="AH2279" s="37">
        <v>0</v>
      </c>
      <c r="AI2279" s="37">
        <v>96</v>
      </c>
      <c r="AJ2279" s="37">
        <v>8</v>
      </c>
      <c r="AK2279" s="37" t="str">
        <f>VLOOKUP(Mecze[[#This Row],[Match ID]],Meczusie[Mecz]:Meczusie[RodzajMeczu],2,FALSE)</f>
        <v>Liga</v>
      </c>
    </row>
    <row r="2280" spans="1:37" x14ac:dyDescent="0.25">
      <c r="A2280" s="76">
        <v>15</v>
      </c>
      <c r="B2280" s="3" t="s">
        <v>310</v>
      </c>
      <c r="C2280" s="2" t="s">
        <v>160</v>
      </c>
      <c r="D2280" s="1">
        <v>0</v>
      </c>
      <c r="E2280" s="1">
        <v>0</v>
      </c>
      <c r="F2280" s="1">
        <v>0</v>
      </c>
      <c r="G2280" s="1">
        <v>2</v>
      </c>
      <c r="H2280" s="4">
        <v>0.5</v>
      </c>
      <c r="I2280" s="1">
        <v>2</v>
      </c>
      <c r="J2280" s="4">
        <v>1</v>
      </c>
      <c r="K2280" s="1">
        <v>0</v>
      </c>
      <c r="L2280" s="1">
        <v>0</v>
      </c>
      <c r="M2280" s="32">
        <f>IF(Mecze[[#This Row],[PR]]=0,0,Mecze[[#This Row],[PR]]/Mecze[[#This Row],[CZAS]])</f>
        <v>0</v>
      </c>
      <c r="N2280" s="32">
        <f>IF(Mecze[[#This Row],[OU]]=0,0,Mecze[[#This Row],[OU]]/Mecze[[#This Row],[CZAS]])</f>
        <v>9.5238095238095233E-2</v>
      </c>
      <c r="O2280" s="32">
        <f>IF(Mecze[[#This Row],[PC]]=0,0,Mecze[[#This Row],[PC]]/Mecze[[#This Row],[CZAS]])</f>
        <v>4.7619047619047616E-2</v>
      </c>
      <c r="P2280" s="32">
        <f>IF(Mecze[[#This Row],[SC]]=0,0,Mecze[[#This Row],[SC]]/Mecze[[#This Row],[CZAS]])</f>
        <v>0</v>
      </c>
      <c r="Q2280" s="32">
        <f>IF(Mecze[[#This Row],[OB]]=0,0,Mecze[[#This Row],[OB]]/Mecze[[#This Row],[CZAS]])</f>
        <v>0</v>
      </c>
      <c r="R2280" s="32">
        <f>IF(Mecze[[#This Row],[BR]]=0,0,Mecze[[#This Row],[BR]]/Mecze[[#This Row],[CZAS]])</f>
        <v>0</v>
      </c>
      <c r="S2280" s="44">
        <f>IF(Mecze[[#This Row],[Role]]="BR",SUMPRODUCT(Mecze[[#This Row],[/PR:90]:[/BR:90]],Brudnopis!$E$23:$J$23),0)</f>
        <v>0</v>
      </c>
      <c r="T2280" s="44">
        <f>IF(Mecze[[#This Row],[Role]]&lt;&gt;"BR",SUMPRODUCT(Mecze[[#This Row],[/PR:90]:[/BR:90]],Brudnopis!$E$24:$J$24),0)</f>
        <v>0.19047619047619047</v>
      </c>
      <c r="U2280" s="44">
        <f>IF(Mecze[[#This Row],[Role]]&lt;&gt;"BR",SUMPRODUCT(Mecze[[#This Row],[/PR:90]:[/BR:90]],Brudnopis!$E$25:$J$25),0)</f>
        <v>0.16666666666666666</v>
      </c>
      <c r="V2280" s="44">
        <f>IF(Mecze[[#This Row],[Role]]&lt;&gt;"BR",SUMPRODUCT(Mecze[[#This Row],[/PR:90]:[/BR:90]],Brudnopis!$E$26:$J$26),0)</f>
        <v>0.14285714285714285</v>
      </c>
      <c r="W2280" s="44">
        <f>IF(Mecze[[#This Row],[Role]]&lt;&gt;"BR",SUMPRODUCT(Mecze[[#This Row],[/PR:90]:[/BR:90]],Brudnopis!$E$27:$J$27),0)</f>
        <v>0.14285714285714285</v>
      </c>
      <c r="X2280" s="44">
        <f>IF(Mecze[[#This Row],[Role]]&lt;&gt;"BR",SUMPRODUCT(Mecze[[#This Row],[/PR:90]:[/BR:90]],Brudnopis!$E$28:$J$28),0)</f>
        <v>4.7619047619047616E-2</v>
      </c>
      <c r="Y2280" s="35">
        <f>IF(Mecze[[#This Row],[Role]]="BR",Mecze[[#This Row],[/OB:90]]+Mecze[[#This Row],[/PC:90]],SUM(Mecze[[#This Row],[/PR:90]:[/BR:90]]))</f>
        <v>0.14285714285714285</v>
      </c>
      <c r="Z2280" s="35">
        <f>IF(Mecze[[#This Row],[KC]]=0,SUM(Mecze[[#This Row],[/BRI]:[/NPI]]),SUM(Mecze[[#This Row],[/BRI]:[/NPI]])*0.6)</f>
        <v>0.69047619047619047</v>
      </c>
      <c r="AA2280" s="10">
        <f>IFERROR(Mecze[[#This Row],[BR]]/Mecze[[#This Row],[ST]],0)</f>
        <v>0</v>
      </c>
      <c r="AB2280">
        <f>ROUND(Mecze[[#This Row],[PD]]*Mecze[[#This Row],[%PC]],0)</f>
        <v>1</v>
      </c>
      <c r="AC2280">
        <f>ROUND(Mecze[[#This Row],[OD]]*Mecze[[#This Row],[%OU]],0)</f>
        <v>2</v>
      </c>
      <c r="AD2280" s="36" t="s">
        <v>67</v>
      </c>
      <c r="AE2280" s="36">
        <v>128</v>
      </c>
      <c r="AF2280" s="71">
        <v>1.72</v>
      </c>
      <c r="AG2280" s="37">
        <v>0</v>
      </c>
      <c r="AH2280" s="37">
        <v>0</v>
      </c>
      <c r="AI2280" s="37">
        <v>21</v>
      </c>
      <c r="AJ2280" s="37">
        <v>8</v>
      </c>
      <c r="AK2280" s="37" t="str">
        <f>VLOOKUP(Mecze[[#This Row],[Match ID]],Meczusie[Mecz]:Meczusie[RodzajMeczu],2,FALSE)</f>
        <v>Liga</v>
      </c>
    </row>
    <row r="2281" spans="1:37" x14ac:dyDescent="0.25">
      <c r="A2281" s="76">
        <v>71</v>
      </c>
      <c r="B2281" s="3" t="s">
        <v>429</v>
      </c>
      <c r="C2281" s="2" t="s">
        <v>160</v>
      </c>
      <c r="D2281" s="1">
        <v>0</v>
      </c>
      <c r="E2281" s="1">
        <v>0</v>
      </c>
      <c r="F2281" s="1">
        <v>0</v>
      </c>
      <c r="G2281" s="1">
        <v>1</v>
      </c>
      <c r="H2281" s="4">
        <v>0</v>
      </c>
      <c r="I2281" s="1">
        <v>1</v>
      </c>
      <c r="J2281" s="4">
        <v>0</v>
      </c>
      <c r="K2281" s="1">
        <v>0</v>
      </c>
      <c r="L2281" s="1">
        <v>0</v>
      </c>
      <c r="M2281" s="32">
        <f>IF(Mecze[[#This Row],[PR]]=0,0,Mecze[[#This Row],[PR]]/Mecze[[#This Row],[CZAS]])</f>
        <v>0</v>
      </c>
      <c r="N2281" s="32">
        <f>IF(Mecze[[#This Row],[OU]]=0,0,Mecze[[#This Row],[OU]]/Mecze[[#This Row],[CZAS]])</f>
        <v>0</v>
      </c>
      <c r="O2281" s="32">
        <f>IF(Mecze[[#This Row],[PC]]=0,0,Mecze[[#This Row],[PC]]/Mecze[[#This Row],[CZAS]])</f>
        <v>0</v>
      </c>
      <c r="P2281" s="32">
        <f>IF(Mecze[[#This Row],[SC]]=0,0,Mecze[[#This Row],[SC]]/Mecze[[#This Row],[CZAS]])</f>
        <v>0</v>
      </c>
      <c r="Q2281" s="32">
        <f>IF(Mecze[[#This Row],[OB]]=0,0,Mecze[[#This Row],[OB]]/Mecze[[#This Row],[CZAS]])</f>
        <v>0</v>
      </c>
      <c r="R2281" s="32">
        <f>IF(Mecze[[#This Row],[BR]]=0,0,Mecze[[#This Row],[BR]]/Mecze[[#This Row],[CZAS]])</f>
        <v>0</v>
      </c>
      <c r="S2281" s="44">
        <f>IF(Mecze[[#This Row],[Role]]="BR",SUMPRODUCT(Mecze[[#This Row],[/PR:90]:[/BR:90]],Brudnopis!$E$23:$J$23),0)</f>
        <v>0</v>
      </c>
      <c r="T2281" s="44">
        <f>IF(Mecze[[#This Row],[Role]]&lt;&gt;"BR",SUMPRODUCT(Mecze[[#This Row],[/PR:90]:[/BR:90]],Brudnopis!$E$24:$J$24),0)</f>
        <v>0</v>
      </c>
      <c r="U2281" s="44">
        <f>IF(Mecze[[#This Row],[Role]]&lt;&gt;"BR",SUMPRODUCT(Mecze[[#This Row],[/PR:90]:[/BR:90]],Brudnopis!$E$25:$J$25),0)</f>
        <v>0</v>
      </c>
      <c r="V2281" s="44">
        <f>IF(Mecze[[#This Row],[Role]]&lt;&gt;"BR",SUMPRODUCT(Mecze[[#This Row],[/PR:90]:[/BR:90]],Brudnopis!$E$26:$J$26),0)</f>
        <v>0</v>
      </c>
      <c r="W2281" s="44">
        <f>IF(Mecze[[#This Row],[Role]]&lt;&gt;"BR",SUMPRODUCT(Mecze[[#This Row],[/PR:90]:[/BR:90]],Brudnopis!$E$27:$J$27),0)</f>
        <v>0</v>
      </c>
      <c r="X2281" s="44">
        <f>IF(Mecze[[#This Row],[Role]]&lt;&gt;"BR",SUMPRODUCT(Mecze[[#This Row],[/PR:90]:[/BR:90]],Brudnopis!$E$28:$J$28),0)</f>
        <v>0</v>
      </c>
      <c r="Y2281" s="35">
        <f>IF(Mecze[[#This Row],[Role]]="BR",Mecze[[#This Row],[/OB:90]]+Mecze[[#This Row],[/PC:90]],SUM(Mecze[[#This Row],[/PR:90]:[/BR:90]]))</f>
        <v>0</v>
      </c>
      <c r="Z2281" s="35">
        <f>IF(Mecze[[#This Row],[KC]]=0,SUM(Mecze[[#This Row],[/BRI]:[/NPI]]),SUM(Mecze[[#This Row],[/BRI]:[/NPI]])*0.6)</f>
        <v>0</v>
      </c>
      <c r="AA2281" s="10">
        <f>IFERROR(Mecze[[#This Row],[BR]]/Mecze[[#This Row],[ST]],0)</f>
        <v>0</v>
      </c>
      <c r="AB2281">
        <f>ROUND(Mecze[[#This Row],[PD]]*Mecze[[#This Row],[%PC]],0)</f>
        <v>0</v>
      </c>
      <c r="AC2281">
        <f>ROUND(Mecze[[#This Row],[OD]]*Mecze[[#This Row],[%OU]],0)</f>
        <v>0</v>
      </c>
      <c r="AD2281" s="36" t="s">
        <v>41</v>
      </c>
      <c r="AE2281" s="36">
        <v>128</v>
      </c>
      <c r="AF2281" s="71">
        <v>1.72</v>
      </c>
      <c r="AG2281" s="37">
        <v>0</v>
      </c>
      <c r="AH2281" s="37">
        <v>0</v>
      </c>
      <c r="AI2281" s="37">
        <v>21</v>
      </c>
      <c r="AJ2281" s="37">
        <v>8</v>
      </c>
      <c r="AK2281" s="37" t="str">
        <f>VLOOKUP(Mecze[[#This Row],[Match ID]],Meczusie[Mecz]:Meczusie[RodzajMeczu],2,FALSE)</f>
        <v>Liga</v>
      </c>
    </row>
    <row r="2282" spans="1:37" x14ac:dyDescent="0.25">
      <c r="A2282" s="76">
        <v>68</v>
      </c>
      <c r="B2282" s="3" t="s">
        <v>416</v>
      </c>
      <c r="C2282" s="2" t="s">
        <v>165</v>
      </c>
      <c r="D2282" s="1">
        <v>1</v>
      </c>
      <c r="E2282" s="1">
        <v>1</v>
      </c>
      <c r="F2282" s="1">
        <v>1</v>
      </c>
      <c r="G2282" s="1">
        <v>1</v>
      </c>
      <c r="H2282" s="4">
        <v>0</v>
      </c>
      <c r="I2282" s="1">
        <v>0</v>
      </c>
      <c r="J2282" s="4"/>
      <c r="K2282" s="1">
        <v>0</v>
      </c>
      <c r="L2282" s="1">
        <v>0</v>
      </c>
      <c r="M2282" s="32">
        <f>IF(Mecze[[#This Row],[PR]]=0,0,Mecze[[#This Row],[PR]]/Mecze[[#This Row],[CZAS]])</f>
        <v>0</v>
      </c>
      <c r="N2282" s="32">
        <f>IF(Mecze[[#This Row],[OU]]=0,0,Mecze[[#This Row],[OU]]/Mecze[[#This Row],[CZAS]])</f>
        <v>0</v>
      </c>
      <c r="O2282" s="32">
        <f>IF(Mecze[[#This Row],[PC]]=0,0,Mecze[[#This Row],[PC]]/Mecze[[#This Row],[CZAS]])</f>
        <v>0</v>
      </c>
      <c r="P2282" s="32">
        <f>IF(Mecze[[#This Row],[SC]]=0,0,Mecze[[#This Row],[SC]]/Mecze[[#This Row],[CZAS]])</f>
        <v>7.1428571428571425E-2</v>
      </c>
      <c r="Q2282" s="32">
        <f>IF(Mecze[[#This Row],[OB]]=0,0,Mecze[[#This Row],[OB]]/Mecze[[#This Row],[CZAS]])</f>
        <v>0</v>
      </c>
      <c r="R2282" s="32">
        <f>IF(Mecze[[#This Row],[BR]]=0,0,Mecze[[#This Row],[BR]]/Mecze[[#This Row],[CZAS]])</f>
        <v>7.1428571428571425E-2</v>
      </c>
      <c r="S2282" s="44">
        <f>IF(Mecze[[#This Row],[Role]]="BR",SUMPRODUCT(Mecze[[#This Row],[/PR:90]:[/BR:90]],Brudnopis!$E$23:$J$23),0)</f>
        <v>0</v>
      </c>
      <c r="T2282" s="44">
        <f>IF(Mecze[[#This Row],[Role]]&lt;&gt;"BR",SUMPRODUCT(Mecze[[#This Row],[/PR:90]:[/BR:90]],Brudnopis!$E$24:$J$24),0)</f>
        <v>0.17857142857142855</v>
      </c>
      <c r="U2282" s="44">
        <f>IF(Mecze[[#This Row],[Role]]&lt;&gt;"BR",SUMPRODUCT(Mecze[[#This Row],[/PR:90]:[/BR:90]],Brudnopis!$E$25:$J$25),0)</f>
        <v>0.17857142857142855</v>
      </c>
      <c r="V2282" s="44">
        <f>IF(Mecze[[#This Row],[Role]]&lt;&gt;"BR",SUMPRODUCT(Mecze[[#This Row],[/PR:90]:[/BR:90]],Brudnopis!$E$26:$J$26),0)</f>
        <v>0.21428571428571427</v>
      </c>
      <c r="W2282" s="44">
        <f>IF(Mecze[[#This Row],[Role]]&lt;&gt;"BR",SUMPRODUCT(Mecze[[#This Row],[/PR:90]:[/BR:90]],Brudnopis!$E$27:$J$27),0)</f>
        <v>0.21428571428571427</v>
      </c>
      <c r="X2282" s="44">
        <f>IF(Mecze[[#This Row],[Role]]&lt;&gt;"BR",SUMPRODUCT(Mecze[[#This Row],[/PR:90]:[/BR:90]],Brudnopis!$E$28:$J$28),0)</f>
        <v>0.3571428571428571</v>
      </c>
      <c r="Y2282" s="35">
        <f>IF(Mecze[[#This Row],[Role]]="BR",Mecze[[#This Row],[/OB:90]]+Mecze[[#This Row],[/PC:90]],SUM(Mecze[[#This Row],[/PR:90]:[/BR:90]]))</f>
        <v>0.14285714285714285</v>
      </c>
      <c r="Z2282" s="35">
        <f>IF(Mecze[[#This Row],[KC]]=0,SUM(Mecze[[#This Row],[/BRI]:[/NPI]]),SUM(Mecze[[#This Row],[/BRI]:[/NPI]])*0.6)</f>
        <v>1.1428571428571428</v>
      </c>
      <c r="AA2282" s="10">
        <f>IFERROR(Mecze[[#This Row],[BR]]/Mecze[[#This Row],[ST]],0)</f>
        <v>1</v>
      </c>
      <c r="AB2282">
        <f>ROUND(Mecze[[#This Row],[PD]]*Mecze[[#This Row],[%PC]],0)</f>
        <v>0</v>
      </c>
      <c r="AC2282">
        <f>ROUND(Mecze[[#This Row],[OD]]*Mecze[[#This Row],[%OU]],0)</f>
        <v>0</v>
      </c>
      <c r="AD2282" s="36" t="s">
        <v>272</v>
      </c>
      <c r="AE2282" s="36">
        <v>128</v>
      </c>
      <c r="AF2282" s="71">
        <v>4.24</v>
      </c>
      <c r="AG2282" s="37">
        <v>0</v>
      </c>
      <c r="AH2282" s="37">
        <v>0</v>
      </c>
      <c r="AI2282" s="37">
        <v>14</v>
      </c>
      <c r="AJ2282" s="37">
        <v>8</v>
      </c>
      <c r="AK2282" s="37" t="str">
        <f>VLOOKUP(Mecze[[#This Row],[Match ID]],Meczusie[Mecz]:Meczusie[RodzajMeczu],2,FALSE)</f>
        <v>Liga</v>
      </c>
    </row>
    <row r="2283" spans="1:37" x14ac:dyDescent="0.25">
      <c r="A2283" s="76">
        <v>1</v>
      </c>
      <c r="B2283" s="3" t="s">
        <v>236</v>
      </c>
      <c r="C2283" s="2" t="s">
        <v>155</v>
      </c>
      <c r="D2283" s="1">
        <v>0</v>
      </c>
      <c r="E2283" s="1">
        <v>0</v>
      </c>
      <c r="F2283" s="1">
        <v>0</v>
      </c>
      <c r="G2283" s="1">
        <v>17</v>
      </c>
      <c r="H2283" s="4">
        <v>0.53</v>
      </c>
      <c r="I2283" s="1">
        <v>0</v>
      </c>
      <c r="J2283" s="4"/>
      <c r="K2283" s="1">
        <v>13</v>
      </c>
      <c r="L2283" s="1">
        <v>0</v>
      </c>
      <c r="M2283" s="32">
        <f>IF(Mecze[[#This Row],[PR]]=0,0,Mecze[[#This Row],[PR]]/Mecze[[#This Row],[CZAS]])</f>
        <v>0</v>
      </c>
      <c r="N2283" s="32">
        <f>IF(Mecze[[#This Row],[OU]]=0,0,Mecze[[#This Row],[OU]]/Mecze[[#This Row],[CZAS]])</f>
        <v>0</v>
      </c>
      <c r="O2283" s="32">
        <f>IF(Mecze[[#This Row],[PC]]=0,0,Mecze[[#This Row],[PC]]/Mecze[[#This Row],[CZAS]])</f>
        <v>9.375E-2</v>
      </c>
      <c r="P2283" s="32">
        <f>IF(Mecze[[#This Row],[SC]]=0,0,Mecze[[#This Row],[SC]]/Mecze[[#This Row],[CZAS]])</f>
        <v>0</v>
      </c>
      <c r="Q2283" s="32">
        <f>IF(Mecze[[#This Row],[OB]]=0,0,Mecze[[#This Row],[OB]]/Mecze[[#This Row],[CZAS]])</f>
        <v>0.13541666666666666</v>
      </c>
      <c r="R2283" s="32">
        <f>IF(Mecze[[#This Row],[BR]]=0,0,Mecze[[#This Row],[BR]]/Mecze[[#This Row],[CZAS]])</f>
        <v>0</v>
      </c>
      <c r="S2283" s="44">
        <f>IF(Mecze[[#This Row],[Role]]="BR",SUMPRODUCT(Mecze[[#This Row],[/PR:90]:[/BR:90]],Brudnopis!$E$23:$J$23),0)</f>
        <v>0.6875</v>
      </c>
      <c r="T2283" s="44">
        <f>IF(Mecze[[#This Row],[Role]]&lt;&gt;"BR",SUMPRODUCT(Mecze[[#This Row],[/PR:90]:[/BR:90]],Brudnopis!$E$24:$J$24),0)</f>
        <v>0</v>
      </c>
      <c r="U2283" s="44">
        <f>IF(Mecze[[#This Row],[Role]]&lt;&gt;"BR",SUMPRODUCT(Mecze[[#This Row],[/PR:90]:[/BR:90]],Brudnopis!$E$25:$J$25),0)</f>
        <v>0</v>
      </c>
      <c r="V2283" s="44">
        <f>IF(Mecze[[#This Row],[Role]]&lt;&gt;"BR",SUMPRODUCT(Mecze[[#This Row],[/PR:90]:[/BR:90]],Brudnopis!$E$26:$J$26),0)</f>
        <v>0</v>
      </c>
      <c r="W2283" s="44">
        <f>IF(Mecze[[#This Row],[Role]]&lt;&gt;"BR",SUMPRODUCT(Mecze[[#This Row],[/PR:90]:[/BR:90]],Brudnopis!$E$27:$J$27),0)</f>
        <v>0</v>
      </c>
      <c r="X2283" s="44">
        <f>IF(Mecze[[#This Row],[Role]]&lt;&gt;"BR",SUMPRODUCT(Mecze[[#This Row],[/PR:90]:[/BR:90]],Brudnopis!$E$28:$J$28),0)</f>
        <v>0</v>
      </c>
      <c r="Y2283" s="35">
        <f>IF(Mecze[[#This Row],[Role]]="BR",Mecze[[#This Row],[/OB:90]]+Mecze[[#This Row],[/PC:90]],SUM(Mecze[[#This Row],[/PR:90]:[/BR:90]]))</f>
        <v>0.22916666666666666</v>
      </c>
      <c r="Z2283" s="35">
        <f>IF(Mecze[[#This Row],[KC]]=0,SUM(Mecze[[#This Row],[/BRI]:[/NPI]]),SUM(Mecze[[#This Row],[/BRI]:[/NPI]])*0.6)</f>
        <v>0.6875</v>
      </c>
      <c r="AA2283" s="10">
        <f>IFERROR(Mecze[[#This Row],[BR]]/Mecze[[#This Row],[ST]],0)</f>
        <v>0</v>
      </c>
      <c r="AB2283">
        <f>ROUND(Mecze[[#This Row],[PD]]*Mecze[[#This Row],[%PC]],0)</f>
        <v>9</v>
      </c>
      <c r="AC2283">
        <f>ROUND(Mecze[[#This Row],[OD]]*Mecze[[#This Row],[%OU]],0)</f>
        <v>0</v>
      </c>
      <c r="AD2283" s="36" t="s">
        <v>40</v>
      </c>
      <c r="AE2283" s="36">
        <v>128</v>
      </c>
      <c r="AF2283" s="71">
        <v>7.36</v>
      </c>
      <c r="AG2283" s="37">
        <v>0</v>
      </c>
      <c r="AH2283" s="37">
        <v>0</v>
      </c>
      <c r="AI2283" s="37">
        <v>96</v>
      </c>
      <c r="AJ2283" s="37">
        <v>10</v>
      </c>
      <c r="AK2283" s="37" t="str">
        <f>VLOOKUP(Mecze[[#This Row],[Match ID]],Meczusie[Mecz]:Meczusie[RodzajMeczu],2,FALSE)</f>
        <v>Liga</v>
      </c>
    </row>
    <row r="2284" spans="1:37" x14ac:dyDescent="0.25">
      <c r="A2284" s="76">
        <v>7</v>
      </c>
      <c r="B2284" s="3" t="s">
        <v>241</v>
      </c>
      <c r="C2284" s="2" t="s">
        <v>157</v>
      </c>
      <c r="D2284" s="1">
        <v>0</v>
      </c>
      <c r="E2284" s="1">
        <v>0</v>
      </c>
      <c r="F2284" s="1">
        <v>0</v>
      </c>
      <c r="G2284" s="1">
        <v>2</v>
      </c>
      <c r="H2284" s="4">
        <v>0</v>
      </c>
      <c r="I2284" s="1">
        <v>5</v>
      </c>
      <c r="J2284" s="4">
        <v>0.4</v>
      </c>
      <c r="K2284" s="1">
        <v>0</v>
      </c>
      <c r="L2284" s="1">
        <v>3</v>
      </c>
      <c r="M2284" s="32">
        <f>IF(Mecze[[#This Row],[PR]]=0,0,Mecze[[#This Row],[PR]]/Mecze[[#This Row],[CZAS]])</f>
        <v>3.125E-2</v>
      </c>
      <c r="N2284" s="32">
        <f>IF(Mecze[[#This Row],[OU]]=0,0,Mecze[[#This Row],[OU]]/Mecze[[#This Row],[CZAS]])</f>
        <v>2.0833333333333332E-2</v>
      </c>
      <c r="O2284" s="32">
        <f>IF(Mecze[[#This Row],[PC]]=0,0,Mecze[[#This Row],[PC]]/Mecze[[#This Row],[CZAS]])</f>
        <v>0</v>
      </c>
      <c r="P2284" s="32">
        <f>IF(Mecze[[#This Row],[SC]]=0,0,Mecze[[#This Row],[SC]]/Mecze[[#This Row],[CZAS]])</f>
        <v>0</v>
      </c>
      <c r="Q2284" s="32">
        <f>IF(Mecze[[#This Row],[OB]]=0,0,Mecze[[#This Row],[OB]]/Mecze[[#This Row],[CZAS]])</f>
        <v>0</v>
      </c>
      <c r="R2284" s="32">
        <f>IF(Mecze[[#This Row],[BR]]=0,0,Mecze[[#This Row],[BR]]/Mecze[[#This Row],[CZAS]])</f>
        <v>0</v>
      </c>
      <c r="S2284" s="44">
        <f>IF(Mecze[[#This Row],[Role]]="BR",SUMPRODUCT(Mecze[[#This Row],[/PR:90]:[/BR:90]],Brudnopis!$E$23:$J$23),0)</f>
        <v>0</v>
      </c>
      <c r="T2284" s="44">
        <f>IF(Mecze[[#This Row],[Role]]&lt;&gt;"BR",SUMPRODUCT(Mecze[[#This Row],[/PR:90]:[/BR:90]],Brudnopis!$E$24:$J$24),0)</f>
        <v>6.25E-2</v>
      </c>
      <c r="U2284" s="44">
        <f>IF(Mecze[[#This Row],[Role]]&lt;&gt;"BR",SUMPRODUCT(Mecze[[#This Row],[/PR:90]:[/BR:90]],Brudnopis!$E$25:$J$25),0)</f>
        <v>5.2083333333333329E-2</v>
      </c>
      <c r="V2284" s="44">
        <f>IF(Mecze[[#This Row],[Role]]&lt;&gt;"BR",SUMPRODUCT(Mecze[[#This Row],[/PR:90]:[/BR:90]],Brudnopis!$E$26:$J$26),0)</f>
        <v>5.2083333333333329E-2</v>
      </c>
      <c r="W2284" s="44">
        <f>IF(Mecze[[#This Row],[Role]]&lt;&gt;"BR",SUMPRODUCT(Mecze[[#This Row],[/PR:90]:[/BR:90]],Brudnopis!$E$27:$J$27),0)</f>
        <v>3.90625E-2</v>
      </c>
      <c r="X2284" s="44">
        <f>IF(Mecze[[#This Row],[Role]]&lt;&gt;"BR",SUMPRODUCT(Mecze[[#This Row],[/PR:90]:[/BR:90]],Brudnopis!$E$28:$J$28),0)</f>
        <v>0</v>
      </c>
      <c r="Y2284" s="35">
        <f>IF(Mecze[[#This Row],[Role]]="BR",Mecze[[#This Row],[/OB:90]]+Mecze[[#This Row],[/PC:90]],SUM(Mecze[[#This Row],[/PR:90]:[/BR:90]]))</f>
        <v>5.2083333333333329E-2</v>
      </c>
      <c r="Z2284" s="35">
        <f>IF(Mecze[[#This Row],[KC]]=0,SUM(Mecze[[#This Row],[/BRI]:[/NPI]]),SUM(Mecze[[#This Row],[/BRI]:[/NPI]])*0.6)</f>
        <v>0.20572916666666666</v>
      </c>
      <c r="AA2284" s="10">
        <f>IFERROR(Mecze[[#This Row],[BR]]/Mecze[[#This Row],[ST]],0)</f>
        <v>0</v>
      </c>
      <c r="AB2284">
        <f>ROUND(Mecze[[#This Row],[PD]]*Mecze[[#This Row],[%PC]],0)</f>
        <v>0</v>
      </c>
      <c r="AC2284">
        <f>ROUND(Mecze[[#This Row],[OD]]*Mecze[[#This Row],[%OU]],0)</f>
        <v>2</v>
      </c>
      <c r="AD2284" s="36" t="s">
        <v>47</v>
      </c>
      <c r="AE2284" s="36">
        <v>128</v>
      </c>
      <c r="AF2284" s="71">
        <v>2.2200000000000002</v>
      </c>
      <c r="AG2284" s="37">
        <v>0</v>
      </c>
      <c r="AH2284" s="37">
        <v>0</v>
      </c>
      <c r="AI2284" s="37">
        <v>96</v>
      </c>
      <c r="AJ2284" s="37">
        <v>10</v>
      </c>
      <c r="AK2284" s="37" t="str">
        <f>VLOOKUP(Mecze[[#This Row],[Match ID]],Meczusie[Mecz]:Meczusie[RodzajMeczu],2,FALSE)</f>
        <v>Liga</v>
      </c>
    </row>
    <row r="2285" spans="1:37" x14ac:dyDescent="0.25">
      <c r="A2285" s="76">
        <v>4</v>
      </c>
      <c r="B2285" s="3" t="s">
        <v>238</v>
      </c>
      <c r="C2285" s="2" t="s">
        <v>157</v>
      </c>
      <c r="D2285" s="1">
        <v>0</v>
      </c>
      <c r="E2285" s="1">
        <v>0</v>
      </c>
      <c r="F2285" s="1">
        <v>0</v>
      </c>
      <c r="G2285" s="1">
        <v>6</v>
      </c>
      <c r="H2285" s="4">
        <v>0.67</v>
      </c>
      <c r="I2285" s="1">
        <v>6</v>
      </c>
      <c r="J2285" s="4">
        <v>0.17</v>
      </c>
      <c r="K2285" s="1">
        <v>0</v>
      </c>
      <c r="L2285" s="1">
        <v>6</v>
      </c>
      <c r="M2285" s="32">
        <f>IF(Mecze[[#This Row],[PR]]=0,0,Mecze[[#This Row],[PR]]/Mecze[[#This Row],[CZAS]])</f>
        <v>6.25E-2</v>
      </c>
      <c r="N2285" s="32">
        <f>IF(Mecze[[#This Row],[OU]]=0,0,Mecze[[#This Row],[OU]]/Mecze[[#This Row],[CZAS]])</f>
        <v>1.0416666666666666E-2</v>
      </c>
      <c r="O2285" s="32">
        <f>IF(Mecze[[#This Row],[PC]]=0,0,Mecze[[#This Row],[PC]]/Mecze[[#This Row],[CZAS]])</f>
        <v>4.1666666666666664E-2</v>
      </c>
      <c r="P2285" s="32">
        <f>IF(Mecze[[#This Row],[SC]]=0,0,Mecze[[#This Row],[SC]]/Mecze[[#This Row],[CZAS]])</f>
        <v>0</v>
      </c>
      <c r="Q2285" s="32">
        <f>IF(Mecze[[#This Row],[OB]]=0,0,Mecze[[#This Row],[OB]]/Mecze[[#This Row],[CZAS]])</f>
        <v>0</v>
      </c>
      <c r="R2285" s="32">
        <f>IF(Mecze[[#This Row],[BR]]=0,0,Mecze[[#This Row],[BR]]/Mecze[[#This Row],[CZAS]])</f>
        <v>0</v>
      </c>
      <c r="S2285" s="44">
        <f>IF(Mecze[[#This Row],[Role]]="BR",SUMPRODUCT(Mecze[[#This Row],[/PR:90]:[/BR:90]],Brudnopis!$E$23:$J$23),0)</f>
        <v>0</v>
      </c>
      <c r="T2285" s="44">
        <f>IF(Mecze[[#This Row],[Role]]&lt;&gt;"BR",SUMPRODUCT(Mecze[[#This Row],[/PR:90]:[/BR:90]],Brudnopis!$E$24:$J$24),0)</f>
        <v>0.11979166666666666</v>
      </c>
      <c r="U2285" s="44">
        <f>IF(Mecze[[#This Row],[Role]]&lt;&gt;"BR",SUMPRODUCT(Mecze[[#This Row],[/PR:90]:[/BR:90]],Brudnopis!$E$25:$J$25),0)</f>
        <v>0.13541666666666669</v>
      </c>
      <c r="V2285" s="44">
        <f>IF(Mecze[[#This Row],[Role]]&lt;&gt;"BR",SUMPRODUCT(Mecze[[#This Row],[/PR:90]:[/BR:90]],Brudnopis!$E$26:$J$26),0)</f>
        <v>0.11458333333333334</v>
      </c>
      <c r="W2285" s="44">
        <f>IF(Mecze[[#This Row],[Role]]&lt;&gt;"BR",SUMPRODUCT(Mecze[[#This Row],[/PR:90]:[/BR:90]],Brudnopis!$E$27:$J$27),0)</f>
        <v>0.1171875</v>
      </c>
      <c r="X2285" s="44">
        <f>IF(Mecze[[#This Row],[Role]]&lt;&gt;"BR",SUMPRODUCT(Mecze[[#This Row],[/PR:90]:[/BR:90]],Brudnopis!$E$28:$J$28),0)</f>
        <v>4.1666666666666664E-2</v>
      </c>
      <c r="Y2285" s="35">
        <f>IF(Mecze[[#This Row],[Role]]="BR",Mecze[[#This Row],[/OB:90]]+Mecze[[#This Row],[/PC:90]],SUM(Mecze[[#This Row],[/PR:90]:[/BR:90]]))</f>
        <v>0.11458333333333334</v>
      </c>
      <c r="Z2285" s="35">
        <f>IF(Mecze[[#This Row],[KC]]=0,SUM(Mecze[[#This Row],[/BRI]:[/NPI]]),SUM(Mecze[[#This Row],[/BRI]:[/NPI]])*0.6)</f>
        <v>0.52864583333333337</v>
      </c>
      <c r="AA2285" s="10">
        <f>IFERROR(Mecze[[#This Row],[BR]]/Mecze[[#This Row],[ST]],0)</f>
        <v>0</v>
      </c>
      <c r="AB2285">
        <f>ROUND(Mecze[[#This Row],[PD]]*Mecze[[#This Row],[%PC]],0)</f>
        <v>4</v>
      </c>
      <c r="AC2285">
        <f>ROUND(Mecze[[#This Row],[OD]]*Mecze[[#This Row],[%OU]],0)</f>
        <v>1</v>
      </c>
      <c r="AD2285" s="36" t="s">
        <v>47</v>
      </c>
      <c r="AE2285" s="36">
        <v>128</v>
      </c>
      <c r="AF2285" s="71">
        <v>2.85</v>
      </c>
      <c r="AG2285" s="37">
        <v>0</v>
      </c>
      <c r="AH2285" s="37">
        <v>0</v>
      </c>
      <c r="AI2285" s="37">
        <v>96</v>
      </c>
      <c r="AJ2285" s="37">
        <v>10</v>
      </c>
      <c r="AK2285" s="37" t="str">
        <f>VLOOKUP(Mecze[[#This Row],[Match ID]],Meczusie[Mecz]:Meczusie[RodzajMeczu],2,FALSE)</f>
        <v>Liga</v>
      </c>
    </row>
    <row r="2286" spans="1:37" x14ac:dyDescent="0.25">
      <c r="A2286" s="76">
        <v>2</v>
      </c>
      <c r="B2286" s="3" t="s">
        <v>240</v>
      </c>
      <c r="C2286" s="2" t="s">
        <v>157</v>
      </c>
      <c r="D2286" s="1">
        <v>0</v>
      </c>
      <c r="E2286" s="1">
        <v>0</v>
      </c>
      <c r="F2286" s="1">
        <v>0</v>
      </c>
      <c r="G2286" s="1">
        <v>3</v>
      </c>
      <c r="H2286" s="4">
        <v>0.67</v>
      </c>
      <c r="I2286" s="1">
        <v>7</v>
      </c>
      <c r="J2286" s="4">
        <v>0.56999999999999995</v>
      </c>
      <c r="K2286" s="1">
        <v>0</v>
      </c>
      <c r="L2286" s="1">
        <v>6</v>
      </c>
      <c r="M2286" s="32">
        <f>IF(Mecze[[#This Row],[PR]]=0,0,Mecze[[#This Row],[PR]]/Mecze[[#This Row],[CZAS]])</f>
        <v>6.25E-2</v>
      </c>
      <c r="N2286" s="32">
        <f>IF(Mecze[[#This Row],[OU]]=0,0,Mecze[[#This Row],[OU]]/Mecze[[#This Row],[CZAS]])</f>
        <v>4.1666666666666664E-2</v>
      </c>
      <c r="O2286" s="32">
        <f>IF(Mecze[[#This Row],[PC]]=0,0,Mecze[[#This Row],[PC]]/Mecze[[#This Row],[CZAS]])</f>
        <v>2.0833333333333332E-2</v>
      </c>
      <c r="P2286" s="32">
        <f>IF(Mecze[[#This Row],[SC]]=0,0,Mecze[[#This Row],[SC]]/Mecze[[#This Row],[CZAS]])</f>
        <v>0</v>
      </c>
      <c r="Q2286" s="32">
        <f>IF(Mecze[[#This Row],[OB]]=0,0,Mecze[[#This Row],[OB]]/Mecze[[#This Row],[CZAS]])</f>
        <v>0</v>
      </c>
      <c r="R2286" s="32">
        <f>IF(Mecze[[#This Row],[BR]]=0,0,Mecze[[#This Row],[BR]]/Mecze[[#This Row],[CZAS]])</f>
        <v>0</v>
      </c>
      <c r="S2286" s="44">
        <f>IF(Mecze[[#This Row],[Role]]="BR",SUMPRODUCT(Mecze[[#This Row],[/PR:90]:[/BR:90]],Brudnopis!$E$23:$J$23),0)</f>
        <v>0</v>
      </c>
      <c r="T2286" s="44">
        <f>IF(Mecze[[#This Row],[Role]]&lt;&gt;"BR",SUMPRODUCT(Mecze[[#This Row],[/PR:90]:[/BR:90]],Brudnopis!$E$24:$J$24),0)</f>
        <v>0.14583333333333334</v>
      </c>
      <c r="U2286" s="44">
        <f>IF(Mecze[[#This Row],[Role]]&lt;&gt;"BR",SUMPRODUCT(Mecze[[#This Row],[/PR:90]:[/BR:90]],Brudnopis!$E$25:$J$25),0)</f>
        <v>0.13541666666666666</v>
      </c>
      <c r="V2286" s="44">
        <f>IF(Mecze[[#This Row],[Role]]&lt;&gt;"BR",SUMPRODUCT(Mecze[[#This Row],[/PR:90]:[/BR:90]],Brudnopis!$E$26:$J$26),0)</f>
        <v>0.12499999999999999</v>
      </c>
      <c r="W2286" s="44">
        <f>IF(Mecze[[#This Row],[Role]]&lt;&gt;"BR",SUMPRODUCT(Mecze[[#This Row],[/PR:90]:[/BR:90]],Brudnopis!$E$27:$J$27),0)</f>
        <v>0.109375</v>
      </c>
      <c r="X2286" s="44">
        <f>IF(Mecze[[#This Row],[Role]]&lt;&gt;"BR",SUMPRODUCT(Mecze[[#This Row],[/PR:90]:[/BR:90]],Brudnopis!$E$28:$J$28),0)</f>
        <v>2.0833333333333332E-2</v>
      </c>
      <c r="Y2286" s="35">
        <f>IF(Mecze[[#This Row],[Role]]="BR",Mecze[[#This Row],[/OB:90]]+Mecze[[#This Row],[/PC:90]],SUM(Mecze[[#This Row],[/PR:90]:[/BR:90]]))</f>
        <v>0.12499999999999999</v>
      </c>
      <c r="Z2286" s="35">
        <f>IF(Mecze[[#This Row],[KC]]=0,SUM(Mecze[[#This Row],[/BRI]:[/NPI]]),SUM(Mecze[[#This Row],[/BRI]:[/NPI]])*0.6)</f>
        <v>0.53645833333333337</v>
      </c>
      <c r="AA2286" s="10">
        <f>IFERROR(Mecze[[#This Row],[BR]]/Mecze[[#This Row],[ST]],0)</f>
        <v>0</v>
      </c>
      <c r="AB2286">
        <f>ROUND(Mecze[[#This Row],[PD]]*Mecze[[#This Row],[%PC]],0)</f>
        <v>2</v>
      </c>
      <c r="AC2286">
        <f>ROUND(Mecze[[#This Row],[OD]]*Mecze[[#This Row],[%OU]],0)</f>
        <v>4</v>
      </c>
      <c r="AD2286" s="36" t="s">
        <v>174</v>
      </c>
      <c r="AE2286" s="36">
        <v>128</v>
      </c>
      <c r="AF2286" s="71">
        <v>3.97</v>
      </c>
      <c r="AG2286" s="37">
        <v>0</v>
      </c>
      <c r="AH2286" s="37">
        <v>0</v>
      </c>
      <c r="AI2286" s="37">
        <v>96</v>
      </c>
      <c r="AJ2286" s="37">
        <v>10</v>
      </c>
      <c r="AK2286" s="37" t="str">
        <f>VLOOKUP(Mecze[[#This Row],[Match ID]],Meczusie[Mecz]:Meczusie[RodzajMeczu],2,FALSE)</f>
        <v>Liga</v>
      </c>
    </row>
    <row r="2287" spans="1:37" x14ac:dyDescent="0.25">
      <c r="A2287" s="76">
        <v>12</v>
      </c>
      <c r="B2287" s="3" t="s">
        <v>239</v>
      </c>
      <c r="C2287" s="2" t="s">
        <v>157</v>
      </c>
      <c r="D2287" s="1">
        <v>0</v>
      </c>
      <c r="E2287" s="1">
        <v>0</v>
      </c>
      <c r="F2287" s="1">
        <v>0</v>
      </c>
      <c r="G2287" s="1">
        <v>9</v>
      </c>
      <c r="H2287" s="4">
        <v>0.56000000000000005</v>
      </c>
      <c r="I2287" s="1">
        <v>4</v>
      </c>
      <c r="J2287" s="4">
        <v>0</v>
      </c>
      <c r="K2287" s="1">
        <v>0</v>
      </c>
      <c r="L2287" s="1">
        <v>4</v>
      </c>
      <c r="M2287" s="32">
        <f>IF(Mecze[[#This Row],[PR]]=0,0,Mecze[[#This Row],[PR]]/Mecze[[#This Row],[CZAS]])</f>
        <v>4.1666666666666664E-2</v>
      </c>
      <c r="N2287" s="32">
        <f>IF(Mecze[[#This Row],[OU]]=0,0,Mecze[[#This Row],[OU]]/Mecze[[#This Row],[CZAS]])</f>
        <v>0</v>
      </c>
      <c r="O2287" s="32">
        <f>IF(Mecze[[#This Row],[PC]]=0,0,Mecze[[#This Row],[PC]]/Mecze[[#This Row],[CZAS]])</f>
        <v>5.2083333333333336E-2</v>
      </c>
      <c r="P2287" s="32">
        <f>IF(Mecze[[#This Row],[SC]]=0,0,Mecze[[#This Row],[SC]]/Mecze[[#This Row],[CZAS]])</f>
        <v>0</v>
      </c>
      <c r="Q2287" s="32">
        <f>IF(Mecze[[#This Row],[OB]]=0,0,Mecze[[#This Row],[OB]]/Mecze[[#This Row],[CZAS]])</f>
        <v>0</v>
      </c>
      <c r="R2287" s="32">
        <f>IF(Mecze[[#This Row],[BR]]=0,0,Mecze[[#This Row],[BR]]/Mecze[[#This Row],[CZAS]])</f>
        <v>0</v>
      </c>
      <c r="S2287" s="44">
        <f>IF(Mecze[[#This Row],[Role]]="BR",SUMPRODUCT(Mecze[[#This Row],[/PR:90]:[/BR:90]],Brudnopis!$E$23:$J$23),0)</f>
        <v>0</v>
      </c>
      <c r="T2287" s="44">
        <f>IF(Mecze[[#This Row],[Role]]&lt;&gt;"BR",SUMPRODUCT(Mecze[[#This Row],[/PR:90]:[/BR:90]],Brudnopis!$E$24:$J$24),0)</f>
        <v>9.375E-2</v>
      </c>
      <c r="U2287" s="44">
        <f>IF(Mecze[[#This Row],[Role]]&lt;&gt;"BR",SUMPRODUCT(Mecze[[#This Row],[/PR:90]:[/BR:90]],Brudnopis!$E$25:$J$25),0)</f>
        <v>0.11979166666666666</v>
      </c>
      <c r="V2287" s="44">
        <f>IF(Mecze[[#This Row],[Role]]&lt;&gt;"BR",SUMPRODUCT(Mecze[[#This Row],[/PR:90]:[/BR:90]],Brudnopis!$E$26:$J$26),0)</f>
        <v>9.375E-2</v>
      </c>
      <c r="W2287" s="44">
        <f>IF(Mecze[[#This Row],[Role]]&lt;&gt;"BR",SUMPRODUCT(Mecze[[#This Row],[/PR:90]:[/BR:90]],Brudnopis!$E$27:$J$27),0)</f>
        <v>0.109375</v>
      </c>
      <c r="X2287" s="44">
        <f>IF(Mecze[[#This Row],[Role]]&lt;&gt;"BR",SUMPRODUCT(Mecze[[#This Row],[/PR:90]:[/BR:90]],Brudnopis!$E$28:$J$28),0)</f>
        <v>5.2083333333333336E-2</v>
      </c>
      <c r="Y2287" s="35">
        <f>IF(Mecze[[#This Row],[Role]]="BR",Mecze[[#This Row],[/OB:90]]+Mecze[[#This Row],[/PC:90]],SUM(Mecze[[#This Row],[/PR:90]:[/BR:90]]))</f>
        <v>9.375E-2</v>
      </c>
      <c r="Z2287" s="35">
        <f>IF(Mecze[[#This Row],[KC]]=0,SUM(Mecze[[#This Row],[/BRI]:[/NPI]]),SUM(Mecze[[#This Row],[/BRI]:[/NPI]])*0.6)</f>
        <v>0.46874999999999994</v>
      </c>
      <c r="AA2287" s="10">
        <f>IFERROR(Mecze[[#This Row],[BR]]/Mecze[[#This Row],[ST]],0)</f>
        <v>0</v>
      </c>
      <c r="AB2287">
        <f>ROUND(Mecze[[#This Row],[PD]]*Mecze[[#This Row],[%PC]],0)</f>
        <v>5</v>
      </c>
      <c r="AC2287">
        <f>ROUND(Mecze[[#This Row],[OD]]*Mecze[[#This Row],[%OU]],0)</f>
        <v>0</v>
      </c>
      <c r="AD2287" s="36" t="s">
        <v>175</v>
      </c>
      <c r="AE2287" s="36">
        <v>128</v>
      </c>
      <c r="AF2287" s="71">
        <v>2.4300000000000002</v>
      </c>
      <c r="AG2287" s="37">
        <v>0</v>
      </c>
      <c r="AH2287" s="37">
        <v>0</v>
      </c>
      <c r="AI2287" s="37">
        <v>96</v>
      </c>
      <c r="AJ2287" s="37">
        <v>10</v>
      </c>
      <c r="AK2287" s="37" t="str">
        <f>VLOOKUP(Mecze[[#This Row],[Match ID]],Meczusie[Mecz]:Meczusie[RodzajMeczu],2,FALSE)</f>
        <v>Liga</v>
      </c>
    </row>
    <row r="2288" spans="1:37" x14ac:dyDescent="0.25">
      <c r="A2288" s="76">
        <v>13</v>
      </c>
      <c r="B2288" s="3" t="s">
        <v>403</v>
      </c>
      <c r="C2288" s="2" t="s">
        <v>160</v>
      </c>
      <c r="D2288" s="1">
        <v>0</v>
      </c>
      <c r="E2288" s="1">
        <v>0</v>
      </c>
      <c r="F2288" s="1">
        <v>0</v>
      </c>
      <c r="G2288" s="1">
        <v>11</v>
      </c>
      <c r="H2288" s="4">
        <v>0.64</v>
      </c>
      <c r="I2288" s="1">
        <v>4</v>
      </c>
      <c r="J2288" s="4">
        <v>0.25</v>
      </c>
      <c r="K2288" s="1">
        <v>0</v>
      </c>
      <c r="L2288" s="1">
        <v>2</v>
      </c>
      <c r="M2288" s="32">
        <f>IF(Mecze[[#This Row],[PR]]=0,0,Mecze[[#This Row],[PR]]/Mecze[[#This Row],[CZAS]])</f>
        <v>2.0833333333333332E-2</v>
      </c>
      <c r="N2288" s="32">
        <f>IF(Mecze[[#This Row],[OU]]=0,0,Mecze[[#This Row],[OU]]/Mecze[[#This Row],[CZAS]])</f>
        <v>1.0416666666666666E-2</v>
      </c>
      <c r="O2288" s="32">
        <f>IF(Mecze[[#This Row],[PC]]=0,0,Mecze[[#This Row],[PC]]/Mecze[[#This Row],[CZAS]])</f>
        <v>7.2916666666666671E-2</v>
      </c>
      <c r="P2288" s="32">
        <f>IF(Mecze[[#This Row],[SC]]=0,0,Mecze[[#This Row],[SC]]/Mecze[[#This Row],[CZAS]])</f>
        <v>0</v>
      </c>
      <c r="Q2288" s="32">
        <f>IF(Mecze[[#This Row],[OB]]=0,0,Mecze[[#This Row],[OB]]/Mecze[[#This Row],[CZAS]])</f>
        <v>0</v>
      </c>
      <c r="R2288" s="32">
        <f>IF(Mecze[[#This Row],[BR]]=0,0,Mecze[[#This Row],[BR]]/Mecze[[#This Row],[CZAS]])</f>
        <v>0</v>
      </c>
      <c r="S2288" s="44">
        <f>IF(Mecze[[#This Row],[Role]]="BR",SUMPRODUCT(Mecze[[#This Row],[/PR:90]:[/BR:90]],Brudnopis!$E$23:$J$23),0)</f>
        <v>0</v>
      </c>
      <c r="T2288" s="44">
        <f>IF(Mecze[[#This Row],[Role]]&lt;&gt;"BR",SUMPRODUCT(Mecze[[#This Row],[/PR:90]:[/BR:90]],Brudnopis!$E$24:$J$24),0)</f>
        <v>0.109375</v>
      </c>
      <c r="U2288" s="44">
        <f>IF(Mecze[[#This Row],[Role]]&lt;&gt;"BR",SUMPRODUCT(Mecze[[#This Row],[/PR:90]:[/BR:90]],Brudnopis!$E$25:$J$25),0)</f>
        <v>0.140625</v>
      </c>
      <c r="V2288" s="44">
        <f>IF(Mecze[[#This Row],[Role]]&lt;&gt;"BR",SUMPRODUCT(Mecze[[#This Row],[/PR:90]:[/BR:90]],Brudnopis!$E$26:$J$26),0)</f>
        <v>0.10416666666666667</v>
      </c>
      <c r="W2288" s="44">
        <f>IF(Mecze[[#This Row],[Role]]&lt;&gt;"BR",SUMPRODUCT(Mecze[[#This Row],[/PR:90]:[/BR:90]],Brudnopis!$E$27:$J$27),0)</f>
        <v>0.1328125</v>
      </c>
      <c r="X2288" s="44">
        <f>IF(Mecze[[#This Row],[Role]]&lt;&gt;"BR",SUMPRODUCT(Mecze[[#This Row],[/PR:90]:[/BR:90]],Brudnopis!$E$28:$J$28),0)</f>
        <v>7.2916666666666671E-2</v>
      </c>
      <c r="Y2288" s="35">
        <f>IF(Mecze[[#This Row],[Role]]="BR",Mecze[[#This Row],[/OB:90]]+Mecze[[#This Row],[/PC:90]],SUM(Mecze[[#This Row],[/PR:90]:[/BR:90]]))</f>
        <v>0.10416666666666667</v>
      </c>
      <c r="Z2288" s="35">
        <f>IF(Mecze[[#This Row],[KC]]=0,SUM(Mecze[[#This Row],[/BRI]:[/NPI]]),SUM(Mecze[[#This Row],[/BRI]:[/NPI]])*0.6)</f>
        <v>0.55989583333333337</v>
      </c>
      <c r="AA2288" s="10">
        <f>IFERROR(Mecze[[#This Row],[BR]]/Mecze[[#This Row],[ST]],0)</f>
        <v>0</v>
      </c>
      <c r="AB2288">
        <f>ROUND(Mecze[[#This Row],[PD]]*Mecze[[#This Row],[%PC]],0)</f>
        <v>7</v>
      </c>
      <c r="AC2288">
        <f>ROUND(Mecze[[#This Row],[OD]]*Mecze[[#This Row],[%OU]],0)</f>
        <v>1</v>
      </c>
      <c r="AD2288" s="36" t="s">
        <v>41</v>
      </c>
      <c r="AE2288" s="36">
        <v>128</v>
      </c>
      <c r="AF2288" s="71">
        <v>4.33</v>
      </c>
      <c r="AG2288" s="37">
        <v>0</v>
      </c>
      <c r="AH2288" s="37">
        <v>0</v>
      </c>
      <c r="AI2288" s="37">
        <v>96</v>
      </c>
      <c r="AJ2288" s="37">
        <v>10</v>
      </c>
      <c r="AK2288" s="37" t="str">
        <f>VLOOKUP(Mecze[[#This Row],[Match ID]],Meczusie[Mecz]:Meczusie[RodzajMeczu],2,FALSE)</f>
        <v>Liga</v>
      </c>
    </row>
    <row r="2289" spans="1:37" x14ac:dyDescent="0.25">
      <c r="A2289" s="76">
        <v>5</v>
      </c>
      <c r="B2289" s="3" t="s">
        <v>242</v>
      </c>
      <c r="C2289" s="2" t="s">
        <v>160</v>
      </c>
      <c r="D2289" s="1">
        <v>0</v>
      </c>
      <c r="E2289" s="1">
        <v>0</v>
      </c>
      <c r="F2289" s="1">
        <v>0</v>
      </c>
      <c r="G2289" s="1">
        <v>12</v>
      </c>
      <c r="H2289" s="4">
        <v>0.67</v>
      </c>
      <c r="I2289" s="1">
        <v>8</v>
      </c>
      <c r="J2289" s="4">
        <v>0.75</v>
      </c>
      <c r="K2289" s="1">
        <v>0</v>
      </c>
      <c r="L2289" s="1">
        <v>7</v>
      </c>
      <c r="M2289" s="32">
        <f>IF(Mecze[[#This Row],[PR]]=0,0,Mecze[[#This Row],[PR]]/Mecze[[#This Row],[CZAS]])</f>
        <v>7.2916666666666671E-2</v>
      </c>
      <c r="N2289" s="32">
        <f>IF(Mecze[[#This Row],[OU]]=0,0,Mecze[[#This Row],[OU]]/Mecze[[#This Row],[CZAS]])</f>
        <v>6.25E-2</v>
      </c>
      <c r="O2289" s="32">
        <f>IF(Mecze[[#This Row],[PC]]=0,0,Mecze[[#This Row],[PC]]/Mecze[[#This Row],[CZAS]])</f>
        <v>8.3333333333333329E-2</v>
      </c>
      <c r="P2289" s="32">
        <f>IF(Mecze[[#This Row],[SC]]=0,0,Mecze[[#This Row],[SC]]/Mecze[[#This Row],[CZAS]])</f>
        <v>0</v>
      </c>
      <c r="Q2289" s="32">
        <f>IF(Mecze[[#This Row],[OB]]=0,0,Mecze[[#This Row],[OB]]/Mecze[[#This Row],[CZAS]])</f>
        <v>0</v>
      </c>
      <c r="R2289" s="32">
        <f>IF(Mecze[[#This Row],[BR]]=0,0,Mecze[[#This Row],[BR]]/Mecze[[#This Row],[CZAS]])</f>
        <v>0</v>
      </c>
      <c r="S2289" s="44">
        <f>IF(Mecze[[#This Row],[Role]]="BR",SUMPRODUCT(Mecze[[#This Row],[/PR:90]:[/BR:90]],Brudnopis!$E$23:$J$23),0)</f>
        <v>0</v>
      </c>
      <c r="T2289" s="44">
        <f>IF(Mecze[[#This Row],[Role]]&lt;&gt;"BR",SUMPRODUCT(Mecze[[#This Row],[/PR:90]:[/BR:90]],Brudnopis!$E$24:$J$24),0)</f>
        <v>0.25</v>
      </c>
      <c r="U2289" s="44">
        <f>IF(Mecze[[#This Row],[Role]]&lt;&gt;"BR",SUMPRODUCT(Mecze[[#This Row],[/PR:90]:[/BR:90]],Brudnopis!$E$25:$J$25),0)</f>
        <v>0.26041666666666669</v>
      </c>
      <c r="V2289" s="44">
        <f>IF(Mecze[[#This Row],[Role]]&lt;&gt;"BR",SUMPRODUCT(Mecze[[#This Row],[/PR:90]:[/BR:90]],Brudnopis!$E$26:$J$26),0)</f>
        <v>0.21875</v>
      </c>
      <c r="W2289" s="44">
        <f>IF(Mecze[[#This Row],[Role]]&lt;&gt;"BR",SUMPRODUCT(Mecze[[#This Row],[/PR:90]:[/BR:90]],Brudnopis!$E$27:$J$27),0)</f>
        <v>0.2265625</v>
      </c>
      <c r="X2289" s="44">
        <f>IF(Mecze[[#This Row],[Role]]&lt;&gt;"BR",SUMPRODUCT(Mecze[[#This Row],[/PR:90]:[/BR:90]],Brudnopis!$E$28:$J$28),0)</f>
        <v>8.3333333333333329E-2</v>
      </c>
      <c r="Y2289" s="35">
        <f>IF(Mecze[[#This Row],[Role]]="BR",Mecze[[#This Row],[/OB:90]]+Mecze[[#This Row],[/PC:90]],SUM(Mecze[[#This Row],[/PR:90]:[/BR:90]]))</f>
        <v>0.21875</v>
      </c>
      <c r="Z2289" s="35">
        <f>IF(Mecze[[#This Row],[KC]]=0,SUM(Mecze[[#This Row],[/BRI]:[/NPI]]),SUM(Mecze[[#This Row],[/BRI]:[/NPI]])*0.6)</f>
        <v>1.0390625</v>
      </c>
      <c r="AA2289" s="10">
        <f>IFERROR(Mecze[[#This Row],[BR]]/Mecze[[#This Row],[ST]],0)</f>
        <v>0</v>
      </c>
      <c r="AB2289">
        <f>ROUND(Mecze[[#This Row],[PD]]*Mecze[[#This Row],[%PC]],0)</f>
        <v>8</v>
      </c>
      <c r="AC2289">
        <f>ROUND(Mecze[[#This Row],[OD]]*Mecze[[#This Row],[%OU]],0)</f>
        <v>6</v>
      </c>
      <c r="AD2289" s="36" t="s">
        <v>41</v>
      </c>
      <c r="AE2289" s="36">
        <v>128</v>
      </c>
      <c r="AF2289" s="71">
        <v>5.38</v>
      </c>
      <c r="AG2289" s="37">
        <v>0</v>
      </c>
      <c r="AH2289" s="37">
        <v>0</v>
      </c>
      <c r="AI2289" s="37">
        <v>96</v>
      </c>
      <c r="AJ2289" s="37">
        <v>10</v>
      </c>
      <c r="AK2289" s="37" t="str">
        <f>VLOOKUP(Mecze[[#This Row],[Match ID]],Meczusie[Mecz]:Meczusie[RodzajMeczu],2,FALSE)</f>
        <v>Liga</v>
      </c>
    </row>
    <row r="2290" spans="1:37" x14ac:dyDescent="0.25">
      <c r="A2290" s="76">
        <v>11</v>
      </c>
      <c r="B2290" s="3" t="s">
        <v>243</v>
      </c>
      <c r="C2290" s="2" t="s">
        <v>160</v>
      </c>
      <c r="D2290" s="1">
        <v>1</v>
      </c>
      <c r="E2290" s="1">
        <v>2</v>
      </c>
      <c r="F2290" s="1">
        <v>2</v>
      </c>
      <c r="G2290" s="1">
        <v>12</v>
      </c>
      <c r="H2290" s="4">
        <v>0.83</v>
      </c>
      <c r="I2290" s="1">
        <v>7</v>
      </c>
      <c r="J2290" s="4">
        <v>0.56999999999999995</v>
      </c>
      <c r="K2290" s="1">
        <v>0</v>
      </c>
      <c r="L2290" s="1">
        <v>6</v>
      </c>
      <c r="M2290" s="32">
        <f>IF(Mecze[[#This Row],[PR]]=0,0,Mecze[[#This Row],[PR]]/Mecze[[#This Row],[CZAS]])</f>
        <v>6.25E-2</v>
      </c>
      <c r="N2290" s="32">
        <f>IF(Mecze[[#This Row],[OU]]=0,0,Mecze[[#This Row],[OU]]/Mecze[[#This Row],[CZAS]])</f>
        <v>4.1666666666666664E-2</v>
      </c>
      <c r="O2290" s="32">
        <f>IF(Mecze[[#This Row],[PC]]=0,0,Mecze[[#This Row],[PC]]/Mecze[[#This Row],[CZAS]])</f>
        <v>0.10416666666666667</v>
      </c>
      <c r="P2290" s="32">
        <f>IF(Mecze[[#This Row],[SC]]=0,0,Mecze[[#This Row],[SC]]/Mecze[[#This Row],[CZAS]])</f>
        <v>2.0833333333333332E-2</v>
      </c>
      <c r="Q2290" s="32">
        <f>IF(Mecze[[#This Row],[OB]]=0,0,Mecze[[#This Row],[OB]]/Mecze[[#This Row],[CZAS]])</f>
        <v>0</v>
      </c>
      <c r="R2290" s="32">
        <f>IF(Mecze[[#This Row],[BR]]=0,0,Mecze[[#This Row],[BR]]/Mecze[[#This Row],[CZAS]])</f>
        <v>1.0416666666666666E-2</v>
      </c>
      <c r="S2290" s="44">
        <f>IF(Mecze[[#This Row],[Role]]="BR",SUMPRODUCT(Mecze[[#This Row],[/PR:90]:[/BR:90]],Brudnopis!$E$23:$J$23),0)</f>
        <v>0</v>
      </c>
      <c r="T2290" s="44">
        <f>IF(Mecze[[#This Row],[Role]]&lt;&gt;"BR",SUMPRODUCT(Mecze[[#This Row],[/PR:90]:[/BR:90]],Brudnopis!$E$24:$J$24),0)</f>
        <v>0.265625</v>
      </c>
      <c r="U2290" s="44">
        <f>IF(Mecze[[#This Row],[Role]]&lt;&gt;"BR",SUMPRODUCT(Mecze[[#This Row],[/PR:90]:[/BR:90]],Brudnopis!$E$25:$J$25),0)</f>
        <v>0.29687499999999994</v>
      </c>
      <c r="V2290" s="44">
        <f>IF(Mecze[[#This Row],[Role]]&lt;&gt;"BR",SUMPRODUCT(Mecze[[#This Row],[/PR:90]:[/BR:90]],Brudnopis!$E$26:$J$26),0)</f>
        <v>0.25</v>
      </c>
      <c r="W2290" s="44">
        <f>IF(Mecze[[#This Row],[Role]]&lt;&gt;"BR",SUMPRODUCT(Mecze[[#This Row],[/PR:90]:[/BR:90]],Brudnopis!$E$27:$J$27),0)</f>
        <v>0.27604166666666663</v>
      </c>
      <c r="X2290" s="44">
        <f>IF(Mecze[[#This Row],[Role]]&lt;&gt;"BR",SUMPRODUCT(Mecze[[#This Row],[/PR:90]:[/BR:90]],Brudnopis!$E$28:$J$28),0)</f>
        <v>0.17708333333333334</v>
      </c>
      <c r="Y2290" s="35">
        <f>IF(Mecze[[#This Row],[Role]]="BR",Mecze[[#This Row],[/OB:90]]+Mecze[[#This Row],[/PC:90]],SUM(Mecze[[#This Row],[/PR:90]:[/BR:90]]))</f>
        <v>0.23958333333333331</v>
      </c>
      <c r="Z2290" s="35">
        <f>IF(Mecze[[#This Row],[KC]]=0,SUM(Mecze[[#This Row],[/BRI]:[/NPI]]),SUM(Mecze[[#This Row],[/BRI]:[/NPI]])*0.6)</f>
        <v>1.2656249999999998</v>
      </c>
      <c r="AA2290" s="10">
        <f>IFERROR(Mecze[[#This Row],[BR]]/Mecze[[#This Row],[ST]],0)</f>
        <v>0.5</v>
      </c>
      <c r="AB2290">
        <f>ROUND(Mecze[[#This Row],[PD]]*Mecze[[#This Row],[%PC]],0)</f>
        <v>10</v>
      </c>
      <c r="AC2290">
        <f>ROUND(Mecze[[#This Row],[OD]]*Mecze[[#This Row],[%OU]],0)</f>
        <v>4</v>
      </c>
      <c r="AD2290" s="36" t="s">
        <v>67</v>
      </c>
      <c r="AE2290" s="36">
        <v>128</v>
      </c>
      <c r="AF2290" s="71">
        <v>8.65</v>
      </c>
      <c r="AG2290" s="37">
        <v>0</v>
      </c>
      <c r="AH2290" s="37">
        <v>0</v>
      </c>
      <c r="AI2290" s="37">
        <v>96</v>
      </c>
      <c r="AJ2290" s="37">
        <v>10</v>
      </c>
      <c r="AK2290" s="37" t="str">
        <f>VLOOKUP(Mecze[[#This Row],[Match ID]],Meczusie[Mecz]:Meczusie[RodzajMeczu],2,FALSE)</f>
        <v>Liga</v>
      </c>
    </row>
    <row r="2291" spans="1:37" x14ac:dyDescent="0.25">
      <c r="A2291" s="76">
        <v>14</v>
      </c>
      <c r="B2291" s="3" t="s">
        <v>244</v>
      </c>
      <c r="C2291" s="2" t="s">
        <v>165</v>
      </c>
      <c r="D2291" s="1">
        <v>0</v>
      </c>
      <c r="E2291" s="1">
        <v>1</v>
      </c>
      <c r="F2291" s="1">
        <v>1</v>
      </c>
      <c r="G2291" s="1">
        <v>2</v>
      </c>
      <c r="H2291" s="4">
        <v>1</v>
      </c>
      <c r="I2291" s="1">
        <v>3</v>
      </c>
      <c r="J2291" s="4">
        <v>0.33</v>
      </c>
      <c r="K2291" s="1">
        <v>0</v>
      </c>
      <c r="L2291" s="1">
        <v>1</v>
      </c>
      <c r="M2291" s="32">
        <f>IF(Mecze[[#This Row],[PR]]=0,0,Mecze[[#This Row],[PR]]/Mecze[[#This Row],[CZAS]])</f>
        <v>1.0416666666666666E-2</v>
      </c>
      <c r="N2291" s="32">
        <f>IF(Mecze[[#This Row],[OU]]=0,0,Mecze[[#This Row],[OU]]/Mecze[[#This Row],[CZAS]])</f>
        <v>1.0416666666666666E-2</v>
      </c>
      <c r="O2291" s="32">
        <f>IF(Mecze[[#This Row],[PC]]=0,0,Mecze[[#This Row],[PC]]/Mecze[[#This Row],[CZAS]])</f>
        <v>2.0833333333333332E-2</v>
      </c>
      <c r="P2291" s="32">
        <f>IF(Mecze[[#This Row],[SC]]=0,0,Mecze[[#This Row],[SC]]/Mecze[[#This Row],[CZAS]])</f>
        <v>1.0416666666666666E-2</v>
      </c>
      <c r="Q2291" s="32">
        <f>IF(Mecze[[#This Row],[OB]]=0,0,Mecze[[#This Row],[OB]]/Mecze[[#This Row],[CZAS]])</f>
        <v>0</v>
      </c>
      <c r="R2291" s="32">
        <f>IF(Mecze[[#This Row],[BR]]=0,0,Mecze[[#This Row],[BR]]/Mecze[[#This Row],[CZAS]])</f>
        <v>0</v>
      </c>
      <c r="S2291" s="44">
        <f>IF(Mecze[[#This Row],[Role]]="BR",SUMPRODUCT(Mecze[[#This Row],[/PR:90]:[/BR:90]],Brudnopis!$E$23:$J$23),0)</f>
        <v>0</v>
      </c>
      <c r="T2291" s="44">
        <f>IF(Mecze[[#This Row],[Role]]&lt;&gt;"BR",SUMPRODUCT(Mecze[[#This Row],[/PR:90]:[/BR:90]],Brudnopis!$E$24:$J$24),0)</f>
        <v>5.7291666666666664E-2</v>
      </c>
      <c r="U2291" s="44">
        <f>IF(Mecze[[#This Row],[Role]]&lt;&gt;"BR",SUMPRODUCT(Mecze[[#This Row],[/PR:90]:[/BR:90]],Brudnopis!$E$25:$J$25),0)</f>
        <v>6.2499999999999993E-2</v>
      </c>
      <c r="V2291" s="44">
        <f>IF(Mecze[[#This Row],[Role]]&lt;&gt;"BR",SUMPRODUCT(Mecze[[#This Row],[/PR:90]:[/BR:90]],Brudnopis!$E$26:$J$26),0)</f>
        <v>5.2083333333333329E-2</v>
      </c>
      <c r="W2291" s="44">
        <f>IF(Mecze[[#This Row],[Role]]&lt;&gt;"BR",SUMPRODUCT(Mecze[[#This Row],[/PR:90]:[/BR:90]],Brudnopis!$E$27:$J$27),0)</f>
        <v>5.7291666666666664E-2</v>
      </c>
      <c r="X2291" s="44">
        <f>IF(Mecze[[#This Row],[Role]]&lt;&gt;"BR",SUMPRODUCT(Mecze[[#This Row],[/PR:90]:[/BR:90]],Brudnopis!$E$28:$J$28),0)</f>
        <v>4.1666666666666664E-2</v>
      </c>
      <c r="Y2291" s="35">
        <f>IF(Mecze[[#This Row],[Role]]="BR",Mecze[[#This Row],[/OB:90]]+Mecze[[#This Row],[/PC:90]],SUM(Mecze[[#This Row],[/PR:90]:[/BR:90]]))</f>
        <v>5.2083333333333329E-2</v>
      </c>
      <c r="Z2291" s="35">
        <f>IF(Mecze[[#This Row],[KC]]=0,SUM(Mecze[[#This Row],[/BRI]:[/NPI]]),SUM(Mecze[[#This Row],[/BRI]:[/NPI]])*0.6)</f>
        <v>0.27083333333333331</v>
      </c>
      <c r="AA2291" s="10">
        <f>IFERROR(Mecze[[#This Row],[BR]]/Mecze[[#This Row],[ST]],0)</f>
        <v>0</v>
      </c>
      <c r="AB2291">
        <f>ROUND(Mecze[[#This Row],[PD]]*Mecze[[#This Row],[%PC]],0)</f>
        <v>2</v>
      </c>
      <c r="AC2291">
        <f>ROUND(Mecze[[#This Row],[OD]]*Mecze[[#This Row],[%OU]],0)</f>
        <v>1</v>
      </c>
      <c r="AD2291" s="36" t="s">
        <v>46</v>
      </c>
      <c r="AE2291" s="36">
        <v>128</v>
      </c>
      <c r="AF2291" s="71">
        <v>2.93</v>
      </c>
      <c r="AG2291" s="37">
        <v>0</v>
      </c>
      <c r="AH2291" s="37">
        <v>0</v>
      </c>
      <c r="AI2291" s="37">
        <v>96</v>
      </c>
      <c r="AJ2291" s="37">
        <v>10</v>
      </c>
      <c r="AK2291" s="37" t="str">
        <f>VLOOKUP(Mecze[[#This Row],[Match ID]],Meczusie[Mecz]:Meczusie[RodzajMeczu],2,FALSE)</f>
        <v>Liga</v>
      </c>
    </row>
    <row r="2292" spans="1:37" x14ac:dyDescent="0.25">
      <c r="A2292" s="76">
        <v>9</v>
      </c>
      <c r="B2292" s="3" t="s">
        <v>451</v>
      </c>
      <c r="C2292" s="2" t="s">
        <v>165</v>
      </c>
      <c r="D2292" s="1">
        <v>0</v>
      </c>
      <c r="E2292" s="1">
        <v>1</v>
      </c>
      <c r="F2292" s="1">
        <v>1</v>
      </c>
      <c r="G2292" s="1">
        <v>9</v>
      </c>
      <c r="H2292" s="4">
        <v>0.56000000000000005</v>
      </c>
      <c r="I2292" s="1">
        <v>3</v>
      </c>
      <c r="J2292" s="4">
        <v>0.33</v>
      </c>
      <c r="K2292" s="1">
        <v>0</v>
      </c>
      <c r="L2292" s="1">
        <v>1</v>
      </c>
      <c r="M2292" s="32">
        <f>IF(Mecze[[#This Row],[PR]]=0,0,Mecze[[#This Row],[PR]]/Mecze[[#This Row],[CZAS]])</f>
        <v>1.0416666666666666E-2</v>
      </c>
      <c r="N2292" s="32">
        <f>IF(Mecze[[#This Row],[OU]]=0,0,Mecze[[#This Row],[OU]]/Mecze[[#This Row],[CZAS]])</f>
        <v>1.0416666666666666E-2</v>
      </c>
      <c r="O2292" s="32">
        <f>IF(Mecze[[#This Row],[PC]]=0,0,Mecze[[#This Row],[PC]]/Mecze[[#This Row],[CZAS]])</f>
        <v>5.2083333333333336E-2</v>
      </c>
      <c r="P2292" s="32">
        <f>IF(Mecze[[#This Row],[SC]]=0,0,Mecze[[#This Row],[SC]]/Mecze[[#This Row],[CZAS]])</f>
        <v>1.0416666666666666E-2</v>
      </c>
      <c r="Q2292" s="32">
        <f>IF(Mecze[[#This Row],[OB]]=0,0,Mecze[[#This Row],[OB]]/Mecze[[#This Row],[CZAS]])</f>
        <v>0</v>
      </c>
      <c r="R2292" s="32">
        <f>IF(Mecze[[#This Row],[BR]]=0,0,Mecze[[#This Row],[BR]]/Mecze[[#This Row],[CZAS]])</f>
        <v>0</v>
      </c>
      <c r="S2292" s="44">
        <f>IF(Mecze[[#This Row],[Role]]="BR",SUMPRODUCT(Mecze[[#This Row],[/PR:90]:[/BR:90]],Brudnopis!$E$23:$J$23),0)</f>
        <v>0</v>
      </c>
      <c r="T2292" s="44">
        <f>IF(Mecze[[#This Row],[Role]]&lt;&gt;"BR",SUMPRODUCT(Mecze[[#This Row],[/PR:90]:[/BR:90]],Brudnopis!$E$24:$J$24),0)</f>
        <v>8.8541666666666671E-2</v>
      </c>
      <c r="U2292" s="44">
        <f>IF(Mecze[[#This Row],[Role]]&lt;&gt;"BR",SUMPRODUCT(Mecze[[#This Row],[/PR:90]:[/BR:90]],Brudnopis!$E$25:$J$25),0)</f>
        <v>0.109375</v>
      </c>
      <c r="V2292" s="44">
        <f>IF(Mecze[[#This Row],[Role]]&lt;&gt;"BR",SUMPRODUCT(Mecze[[#This Row],[/PR:90]:[/BR:90]],Brudnopis!$E$26:$J$26),0)</f>
        <v>8.3333333333333343E-2</v>
      </c>
      <c r="W2292" s="44">
        <f>IF(Mecze[[#This Row],[Role]]&lt;&gt;"BR",SUMPRODUCT(Mecze[[#This Row],[/PR:90]:[/BR:90]],Brudnopis!$E$27:$J$27),0)</f>
        <v>0.10416666666666667</v>
      </c>
      <c r="X2292" s="44">
        <f>IF(Mecze[[#This Row],[Role]]&lt;&gt;"BR",SUMPRODUCT(Mecze[[#This Row],[/PR:90]:[/BR:90]],Brudnopis!$E$28:$J$28),0)</f>
        <v>7.2916666666666671E-2</v>
      </c>
      <c r="Y2292" s="35">
        <f>IF(Mecze[[#This Row],[Role]]="BR",Mecze[[#This Row],[/OB:90]]+Mecze[[#This Row],[/PC:90]],SUM(Mecze[[#This Row],[/PR:90]:[/BR:90]]))</f>
        <v>8.3333333333333343E-2</v>
      </c>
      <c r="Z2292" s="35">
        <f>IF(Mecze[[#This Row],[KC]]=0,SUM(Mecze[[#This Row],[/BRI]:[/NPI]]),SUM(Mecze[[#This Row],[/BRI]:[/NPI]])*0.6)</f>
        <v>0.45833333333333337</v>
      </c>
      <c r="AA2292" s="10">
        <f>IFERROR(Mecze[[#This Row],[BR]]/Mecze[[#This Row],[ST]],0)</f>
        <v>0</v>
      </c>
      <c r="AB2292">
        <f>ROUND(Mecze[[#This Row],[PD]]*Mecze[[#This Row],[%PC]],0)</f>
        <v>5</v>
      </c>
      <c r="AC2292">
        <f>ROUND(Mecze[[#This Row],[OD]]*Mecze[[#This Row],[%OU]],0)</f>
        <v>1</v>
      </c>
      <c r="AD2292" s="36" t="s">
        <v>46</v>
      </c>
      <c r="AE2292" s="36">
        <v>128</v>
      </c>
      <c r="AF2292" s="71">
        <v>4.26</v>
      </c>
      <c r="AG2292" s="37">
        <v>0</v>
      </c>
      <c r="AH2292" s="37">
        <v>0</v>
      </c>
      <c r="AI2292" s="37">
        <v>96</v>
      </c>
      <c r="AJ2292" s="37">
        <v>10</v>
      </c>
      <c r="AK2292" s="37" t="str">
        <f>VLOOKUP(Mecze[[#This Row],[Match ID]],Meczusie[Mecz]:Meczusie[RodzajMeczu],2,FALSE)</f>
        <v>Liga</v>
      </c>
    </row>
    <row r="2293" spans="1:37" x14ac:dyDescent="0.25">
      <c r="A2293" s="76">
        <v>10</v>
      </c>
      <c r="B2293" s="3" t="s">
        <v>246</v>
      </c>
      <c r="C2293" s="2" t="s">
        <v>165</v>
      </c>
      <c r="D2293" s="1">
        <v>0</v>
      </c>
      <c r="E2293" s="1">
        <v>3</v>
      </c>
      <c r="F2293" s="1">
        <v>2</v>
      </c>
      <c r="G2293" s="1">
        <v>6</v>
      </c>
      <c r="H2293" s="4">
        <v>0.67</v>
      </c>
      <c r="I2293" s="1">
        <v>5</v>
      </c>
      <c r="J2293" s="4">
        <v>0.2</v>
      </c>
      <c r="K2293" s="1">
        <v>0</v>
      </c>
      <c r="L2293" s="1">
        <v>0</v>
      </c>
      <c r="M2293" s="32">
        <f>IF(Mecze[[#This Row],[PR]]=0,0,Mecze[[#This Row],[PR]]/Mecze[[#This Row],[CZAS]])</f>
        <v>0</v>
      </c>
      <c r="N2293" s="32">
        <f>IF(Mecze[[#This Row],[OU]]=0,0,Mecze[[#This Row],[OU]]/Mecze[[#This Row],[CZAS]])</f>
        <v>1.0416666666666666E-2</v>
      </c>
      <c r="O2293" s="32">
        <f>IF(Mecze[[#This Row],[PC]]=0,0,Mecze[[#This Row],[PC]]/Mecze[[#This Row],[CZAS]])</f>
        <v>4.1666666666666664E-2</v>
      </c>
      <c r="P2293" s="32">
        <f>IF(Mecze[[#This Row],[SC]]=0,0,Mecze[[#This Row],[SC]]/Mecze[[#This Row],[CZAS]])</f>
        <v>2.0833333333333332E-2</v>
      </c>
      <c r="Q2293" s="32">
        <f>IF(Mecze[[#This Row],[OB]]=0,0,Mecze[[#This Row],[OB]]/Mecze[[#This Row],[CZAS]])</f>
        <v>0</v>
      </c>
      <c r="R2293" s="32">
        <f>IF(Mecze[[#This Row],[BR]]=0,0,Mecze[[#This Row],[BR]]/Mecze[[#This Row],[CZAS]])</f>
        <v>0</v>
      </c>
      <c r="S2293" s="44">
        <f>IF(Mecze[[#This Row],[Role]]="BR",SUMPRODUCT(Mecze[[#This Row],[/PR:90]:[/BR:90]],Brudnopis!$E$23:$J$23),0)</f>
        <v>0</v>
      </c>
      <c r="T2293" s="44">
        <f>IF(Mecze[[#This Row],[Role]]&lt;&gt;"BR",SUMPRODUCT(Mecze[[#This Row],[/PR:90]:[/BR:90]],Brudnopis!$E$24:$J$24),0)</f>
        <v>7.8125E-2</v>
      </c>
      <c r="U2293" s="44">
        <f>IF(Mecze[[#This Row],[Role]]&lt;&gt;"BR",SUMPRODUCT(Mecze[[#This Row],[/PR:90]:[/BR:90]],Brudnopis!$E$25:$J$25),0)</f>
        <v>9.375E-2</v>
      </c>
      <c r="V2293" s="44">
        <f>IF(Mecze[[#This Row],[Role]]&lt;&gt;"BR",SUMPRODUCT(Mecze[[#This Row],[/PR:90]:[/BR:90]],Brudnopis!$E$26:$J$26),0)</f>
        <v>7.2916666666666657E-2</v>
      </c>
      <c r="W2293" s="44">
        <f>IF(Mecze[[#This Row],[Role]]&lt;&gt;"BR",SUMPRODUCT(Mecze[[#This Row],[/PR:90]:[/BR:90]],Brudnopis!$E$27:$J$27),0)</f>
        <v>9.1145833333333329E-2</v>
      </c>
      <c r="X2293" s="44">
        <f>IF(Mecze[[#This Row],[Role]]&lt;&gt;"BR",SUMPRODUCT(Mecze[[#This Row],[/PR:90]:[/BR:90]],Brudnopis!$E$28:$J$28),0)</f>
        <v>8.3333333333333329E-2</v>
      </c>
      <c r="Y2293" s="35">
        <f>IF(Mecze[[#This Row],[Role]]="BR",Mecze[[#This Row],[/OB:90]]+Mecze[[#This Row],[/PC:90]],SUM(Mecze[[#This Row],[/PR:90]:[/BR:90]]))</f>
        <v>7.2916666666666657E-2</v>
      </c>
      <c r="Z2293" s="35">
        <f>IF(Mecze[[#This Row],[KC]]=0,SUM(Mecze[[#This Row],[/BRI]:[/NPI]]),SUM(Mecze[[#This Row],[/BRI]:[/NPI]])*0.6)</f>
        <v>0.41927083333333331</v>
      </c>
      <c r="AA2293" s="10">
        <f>IFERROR(Mecze[[#This Row],[BR]]/Mecze[[#This Row],[ST]],0)</f>
        <v>0</v>
      </c>
      <c r="AB2293">
        <f>ROUND(Mecze[[#This Row],[PD]]*Mecze[[#This Row],[%PC]],0)</f>
        <v>4</v>
      </c>
      <c r="AC2293">
        <f>ROUND(Mecze[[#This Row],[OD]]*Mecze[[#This Row],[%OU]],0)</f>
        <v>1</v>
      </c>
      <c r="AD2293" s="36" t="s">
        <v>46</v>
      </c>
      <c r="AE2293" s="36">
        <v>128</v>
      </c>
      <c r="AF2293" s="71">
        <v>4.4800000000000004</v>
      </c>
      <c r="AG2293" s="37">
        <v>0</v>
      </c>
      <c r="AH2293" s="37">
        <v>0</v>
      </c>
      <c r="AI2293" s="37">
        <v>96</v>
      </c>
      <c r="AJ2293" s="37">
        <v>10</v>
      </c>
      <c r="AK2293" s="37" t="str">
        <f>VLOOKUP(Mecze[[#This Row],[Match ID]],Meczusie[Mecz]:Meczusie[RodzajMeczu],2,FALSE)</f>
        <v>Liga</v>
      </c>
    </row>
    <row r="2294" spans="1:37" x14ac:dyDescent="0.25">
      <c r="A2294" s="76">
        <v>3</v>
      </c>
      <c r="B2294" s="3" t="s">
        <v>222</v>
      </c>
      <c r="C2294" s="2" t="s">
        <v>155</v>
      </c>
      <c r="D2294" s="1">
        <v>0</v>
      </c>
      <c r="E2294" s="1">
        <v>0</v>
      </c>
      <c r="F2294" s="1">
        <v>0</v>
      </c>
      <c r="G2294" s="1">
        <v>18</v>
      </c>
      <c r="H2294" s="4">
        <v>0.61</v>
      </c>
      <c r="I2294" s="1">
        <v>0</v>
      </c>
      <c r="J2294" s="4"/>
      <c r="K2294" s="1">
        <v>9</v>
      </c>
      <c r="L2294" s="1">
        <v>0</v>
      </c>
      <c r="M2294" s="32">
        <f>IF(Mecze[[#This Row],[PR]]=0,0,Mecze[[#This Row],[PR]]/Mecze[[#This Row],[CZAS]])</f>
        <v>0</v>
      </c>
      <c r="N2294" s="32">
        <f>IF(Mecze[[#This Row],[OU]]=0,0,Mecze[[#This Row],[OU]]/Mecze[[#This Row],[CZAS]])</f>
        <v>0</v>
      </c>
      <c r="O2294" s="32">
        <f>IF(Mecze[[#This Row],[PC]]=0,0,Mecze[[#This Row],[PC]]/Mecze[[#This Row],[CZAS]])</f>
        <v>0.11458333333333333</v>
      </c>
      <c r="P2294" s="32">
        <f>IF(Mecze[[#This Row],[SC]]=0,0,Mecze[[#This Row],[SC]]/Mecze[[#This Row],[CZAS]])</f>
        <v>0</v>
      </c>
      <c r="Q2294" s="32">
        <f>IF(Mecze[[#This Row],[OB]]=0,0,Mecze[[#This Row],[OB]]/Mecze[[#This Row],[CZAS]])</f>
        <v>9.375E-2</v>
      </c>
      <c r="R2294" s="32">
        <f>IF(Mecze[[#This Row],[BR]]=0,0,Mecze[[#This Row],[BR]]/Mecze[[#This Row],[CZAS]])</f>
        <v>0</v>
      </c>
      <c r="S2294" s="44">
        <f>IF(Mecze[[#This Row],[Role]]="BR",SUMPRODUCT(Mecze[[#This Row],[/PR:90]:[/BR:90]],Brudnopis!$E$23:$J$23),0)</f>
        <v>0.625</v>
      </c>
      <c r="T2294" s="44">
        <f>IF(Mecze[[#This Row],[Role]]&lt;&gt;"BR",SUMPRODUCT(Mecze[[#This Row],[/PR:90]:[/BR:90]],Brudnopis!$E$24:$J$24),0)</f>
        <v>0</v>
      </c>
      <c r="U2294" s="44">
        <f>IF(Mecze[[#This Row],[Role]]&lt;&gt;"BR",SUMPRODUCT(Mecze[[#This Row],[/PR:90]:[/BR:90]],Brudnopis!$E$25:$J$25),0)</f>
        <v>0</v>
      </c>
      <c r="V2294" s="44">
        <f>IF(Mecze[[#This Row],[Role]]&lt;&gt;"BR",SUMPRODUCT(Mecze[[#This Row],[/PR:90]:[/BR:90]],Brudnopis!$E$26:$J$26),0)</f>
        <v>0</v>
      </c>
      <c r="W2294" s="44">
        <f>IF(Mecze[[#This Row],[Role]]&lt;&gt;"BR",SUMPRODUCT(Mecze[[#This Row],[/PR:90]:[/BR:90]],Brudnopis!$E$27:$J$27),0)</f>
        <v>0</v>
      </c>
      <c r="X2294" s="44">
        <f>IF(Mecze[[#This Row],[Role]]&lt;&gt;"BR",SUMPRODUCT(Mecze[[#This Row],[/PR:90]:[/BR:90]],Brudnopis!$E$28:$J$28),0)</f>
        <v>0</v>
      </c>
      <c r="Y2294" s="35">
        <f>IF(Mecze[[#This Row],[Role]]="BR",Mecze[[#This Row],[/OB:90]]+Mecze[[#This Row],[/PC:90]],SUM(Mecze[[#This Row],[/PR:90]:[/BR:90]]))</f>
        <v>0.20833333333333331</v>
      </c>
      <c r="Z2294" s="35">
        <f>IF(Mecze[[#This Row],[KC]]=0,SUM(Mecze[[#This Row],[/BRI]:[/NPI]]),SUM(Mecze[[#This Row],[/BRI]:[/NPI]])*0.6)</f>
        <v>0.625</v>
      </c>
      <c r="AA2294" s="10">
        <f>IFERROR(Mecze[[#This Row],[BR]]/Mecze[[#This Row],[ST]],0)</f>
        <v>0</v>
      </c>
      <c r="AB2294">
        <f>ROUND(Mecze[[#This Row],[PD]]*Mecze[[#This Row],[%PC]],0)</f>
        <v>11</v>
      </c>
      <c r="AC2294">
        <f>ROUND(Mecze[[#This Row],[OD]]*Mecze[[#This Row],[%OU]],0)</f>
        <v>0</v>
      </c>
      <c r="AD2294" s="36" t="s">
        <v>40</v>
      </c>
      <c r="AE2294" s="36">
        <v>129</v>
      </c>
      <c r="AF2294" s="71">
        <v>2.62</v>
      </c>
      <c r="AG2294" s="37">
        <v>0</v>
      </c>
      <c r="AH2294" s="37">
        <v>0</v>
      </c>
      <c r="AI2294" s="37">
        <v>96</v>
      </c>
      <c r="AJ2294" s="37">
        <v>2</v>
      </c>
      <c r="AK2294" s="37" t="str">
        <f>VLOOKUP(Mecze[[#This Row],[Match ID]],Meczusie[Mecz]:Meczusie[RodzajMeczu],2,FALSE)</f>
        <v>Liga</v>
      </c>
    </row>
    <row r="2295" spans="1:37" x14ac:dyDescent="0.25">
      <c r="A2295" s="76">
        <v>66</v>
      </c>
      <c r="B2295" s="3" t="s">
        <v>490</v>
      </c>
      <c r="C2295" s="2" t="s">
        <v>157</v>
      </c>
      <c r="D2295" s="1">
        <v>0</v>
      </c>
      <c r="E2295" s="1">
        <v>0</v>
      </c>
      <c r="F2295" s="1">
        <v>0</v>
      </c>
      <c r="G2295" s="1">
        <v>4</v>
      </c>
      <c r="H2295" s="4">
        <v>0.5</v>
      </c>
      <c r="I2295" s="1">
        <v>3</v>
      </c>
      <c r="J2295" s="4">
        <v>0.33</v>
      </c>
      <c r="K2295" s="1">
        <v>0</v>
      </c>
      <c r="L2295" s="1">
        <v>2</v>
      </c>
      <c r="M2295" s="32">
        <f>IF(Mecze[[#This Row],[PR]]=0,0,Mecze[[#This Row],[PR]]/Mecze[[#This Row],[CZAS]])</f>
        <v>2.0833333333333332E-2</v>
      </c>
      <c r="N2295" s="32">
        <f>IF(Mecze[[#This Row],[OU]]=0,0,Mecze[[#This Row],[OU]]/Mecze[[#This Row],[CZAS]])</f>
        <v>1.0416666666666666E-2</v>
      </c>
      <c r="O2295" s="32">
        <f>IF(Mecze[[#This Row],[PC]]=0,0,Mecze[[#This Row],[PC]]/Mecze[[#This Row],[CZAS]])</f>
        <v>2.0833333333333332E-2</v>
      </c>
      <c r="P2295" s="32">
        <f>IF(Mecze[[#This Row],[SC]]=0,0,Mecze[[#This Row],[SC]]/Mecze[[#This Row],[CZAS]])</f>
        <v>0</v>
      </c>
      <c r="Q2295" s="32">
        <f>IF(Mecze[[#This Row],[OB]]=0,0,Mecze[[#This Row],[OB]]/Mecze[[#This Row],[CZAS]])</f>
        <v>0</v>
      </c>
      <c r="R2295" s="32">
        <f>IF(Mecze[[#This Row],[BR]]=0,0,Mecze[[#This Row],[BR]]/Mecze[[#This Row],[CZAS]])</f>
        <v>0</v>
      </c>
      <c r="S2295" s="44">
        <f>IF(Mecze[[#This Row],[Role]]="BR",SUMPRODUCT(Mecze[[#This Row],[/PR:90]:[/BR:90]],Brudnopis!$E$23:$J$23),0)</f>
        <v>0</v>
      </c>
      <c r="T2295" s="44">
        <f>IF(Mecze[[#This Row],[Role]]&lt;&gt;"BR",SUMPRODUCT(Mecze[[#This Row],[/PR:90]:[/BR:90]],Brudnopis!$E$24:$J$24),0)</f>
        <v>5.7291666666666657E-2</v>
      </c>
      <c r="U2295" s="44">
        <f>IF(Mecze[[#This Row],[Role]]&lt;&gt;"BR",SUMPRODUCT(Mecze[[#This Row],[/PR:90]:[/BR:90]],Brudnopis!$E$25:$J$25),0)</f>
        <v>6.25E-2</v>
      </c>
      <c r="V2295" s="44">
        <f>IF(Mecze[[#This Row],[Role]]&lt;&gt;"BR",SUMPRODUCT(Mecze[[#This Row],[/PR:90]:[/BR:90]],Brudnopis!$E$26:$J$26),0)</f>
        <v>5.2083333333333329E-2</v>
      </c>
      <c r="W2295" s="44">
        <f>IF(Mecze[[#This Row],[Role]]&lt;&gt;"BR",SUMPRODUCT(Mecze[[#This Row],[/PR:90]:[/BR:90]],Brudnopis!$E$27:$J$27),0)</f>
        <v>5.46875E-2</v>
      </c>
      <c r="X2295" s="44">
        <f>IF(Mecze[[#This Row],[Role]]&lt;&gt;"BR",SUMPRODUCT(Mecze[[#This Row],[/PR:90]:[/BR:90]],Brudnopis!$E$28:$J$28),0)</f>
        <v>2.0833333333333332E-2</v>
      </c>
      <c r="Y2295" s="35">
        <f>IF(Mecze[[#This Row],[Role]]="BR",Mecze[[#This Row],[/OB:90]]+Mecze[[#This Row],[/PC:90]],SUM(Mecze[[#This Row],[/PR:90]:[/BR:90]]))</f>
        <v>5.2083333333333329E-2</v>
      </c>
      <c r="Z2295" s="35">
        <f>IF(Mecze[[#This Row],[KC]]=0,SUM(Mecze[[#This Row],[/BRI]:[/NPI]]),SUM(Mecze[[#This Row],[/BRI]:[/NPI]])*0.6)</f>
        <v>0.24739583333333334</v>
      </c>
      <c r="AA2295" s="10">
        <f>IFERROR(Mecze[[#This Row],[BR]]/Mecze[[#This Row],[ST]],0)</f>
        <v>0</v>
      </c>
      <c r="AB2295">
        <f>ROUND(Mecze[[#This Row],[PD]]*Mecze[[#This Row],[%PC]],0)</f>
        <v>2</v>
      </c>
      <c r="AC2295">
        <f>ROUND(Mecze[[#This Row],[OD]]*Mecze[[#This Row],[%OU]],0)</f>
        <v>1</v>
      </c>
      <c r="AD2295" s="36" t="s">
        <v>174</v>
      </c>
      <c r="AE2295" s="36">
        <v>129</v>
      </c>
      <c r="AF2295" s="71">
        <v>-1.33</v>
      </c>
      <c r="AG2295" s="37">
        <v>0</v>
      </c>
      <c r="AH2295" s="37">
        <v>0</v>
      </c>
      <c r="AI2295" s="37">
        <v>96</v>
      </c>
      <c r="AJ2295" s="37">
        <v>2</v>
      </c>
      <c r="AK2295" s="37" t="str">
        <f>VLOOKUP(Mecze[[#This Row],[Match ID]],Meczusie[Mecz]:Meczusie[RodzajMeczu],2,FALSE)</f>
        <v>Liga</v>
      </c>
    </row>
    <row r="2296" spans="1:37" x14ac:dyDescent="0.25">
      <c r="A2296" s="76">
        <v>69</v>
      </c>
      <c r="B2296" s="3" t="s">
        <v>485</v>
      </c>
      <c r="C2296" s="2" t="s">
        <v>157</v>
      </c>
      <c r="D2296" s="1">
        <v>0</v>
      </c>
      <c r="E2296" s="1">
        <v>0</v>
      </c>
      <c r="F2296" s="1">
        <v>0</v>
      </c>
      <c r="G2296" s="1">
        <v>4</v>
      </c>
      <c r="H2296" s="4">
        <v>0.75</v>
      </c>
      <c r="I2296" s="1">
        <v>2</v>
      </c>
      <c r="J2296" s="4">
        <v>0</v>
      </c>
      <c r="K2296" s="1">
        <v>0</v>
      </c>
      <c r="L2296" s="1">
        <v>3</v>
      </c>
      <c r="M2296" s="32">
        <f>IF(Mecze[[#This Row],[PR]]=0,0,Mecze[[#This Row],[PR]]/Mecze[[#This Row],[CZAS]])</f>
        <v>3.125E-2</v>
      </c>
      <c r="N2296" s="32">
        <f>IF(Mecze[[#This Row],[OU]]=0,0,Mecze[[#This Row],[OU]]/Mecze[[#This Row],[CZAS]])</f>
        <v>0</v>
      </c>
      <c r="O2296" s="32">
        <f>IF(Mecze[[#This Row],[PC]]=0,0,Mecze[[#This Row],[PC]]/Mecze[[#This Row],[CZAS]])</f>
        <v>3.125E-2</v>
      </c>
      <c r="P2296" s="32">
        <f>IF(Mecze[[#This Row],[SC]]=0,0,Mecze[[#This Row],[SC]]/Mecze[[#This Row],[CZAS]])</f>
        <v>0</v>
      </c>
      <c r="Q2296" s="32">
        <f>IF(Mecze[[#This Row],[OB]]=0,0,Mecze[[#This Row],[OB]]/Mecze[[#This Row],[CZAS]])</f>
        <v>0</v>
      </c>
      <c r="R2296" s="32">
        <f>IF(Mecze[[#This Row],[BR]]=0,0,Mecze[[#This Row],[BR]]/Mecze[[#This Row],[CZAS]])</f>
        <v>0</v>
      </c>
      <c r="S2296" s="44">
        <f>IF(Mecze[[#This Row],[Role]]="BR",SUMPRODUCT(Mecze[[#This Row],[/PR:90]:[/BR:90]],Brudnopis!$E$23:$J$23),0)</f>
        <v>0</v>
      </c>
      <c r="T2296" s="44">
        <f>IF(Mecze[[#This Row],[Role]]&lt;&gt;"BR",SUMPRODUCT(Mecze[[#This Row],[/PR:90]:[/BR:90]],Brudnopis!$E$24:$J$24),0)</f>
        <v>6.25E-2</v>
      </c>
      <c r="U2296" s="44">
        <f>IF(Mecze[[#This Row],[Role]]&lt;&gt;"BR",SUMPRODUCT(Mecze[[#This Row],[/PR:90]:[/BR:90]],Brudnopis!$E$25:$J$25),0)</f>
        <v>7.8125E-2</v>
      </c>
      <c r="V2296" s="44">
        <f>IF(Mecze[[#This Row],[Role]]&lt;&gt;"BR",SUMPRODUCT(Mecze[[#This Row],[/PR:90]:[/BR:90]],Brudnopis!$E$26:$J$26),0)</f>
        <v>6.25E-2</v>
      </c>
      <c r="W2296" s="44">
        <f>IF(Mecze[[#This Row],[Role]]&lt;&gt;"BR",SUMPRODUCT(Mecze[[#This Row],[/PR:90]:[/BR:90]],Brudnopis!$E$27:$J$27),0)</f>
        <v>7.03125E-2</v>
      </c>
      <c r="X2296" s="44">
        <f>IF(Mecze[[#This Row],[Role]]&lt;&gt;"BR",SUMPRODUCT(Mecze[[#This Row],[/PR:90]:[/BR:90]],Brudnopis!$E$28:$J$28),0)</f>
        <v>3.125E-2</v>
      </c>
      <c r="Y2296" s="35">
        <f>IF(Mecze[[#This Row],[Role]]="BR",Mecze[[#This Row],[/OB:90]]+Mecze[[#This Row],[/PC:90]],SUM(Mecze[[#This Row],[/PR:90]:[/BR:90]]))</f>
        <v>6.25E-2</v>
      </c>
      <c r="Z2296" s="35">
        <f>IF(Mecze[[#This Row],[KC]]=0,SUM(Mecze[[#This Row],[/BRI]:[/NPI]]),SUM(Mecze[[#This Row],[/BRI]:[/NPI]])*0.6)</f>
        <v>0.3046875</v>
      </c>
      <c r="AA2296" s="10">
        <f>IFERROR(Mecze[[#This Row],[BR]]/Mecze[[#This Row],[ST]],0)</f>
        <v>0</v>
      </c>
      <c r="AB2296">
        <f>ROUND(Mecze[[#This Row],[PD]]*Mecze[[#This Row],[%PC]],0)</f>
        <v>3</v>
      </c>
      <c r="AC2296">
        <f>ROUND(Mecze[[#This Row],[OD]]*Mecze[[#This Row],[%OU]],0)</f>
        <v>0</v>
      </c>
      <c r="AD2296" s="36" t="s">
        <v>47</v>
      </c>
      <c r="AE2296" s="36">
        <v>129</v>
      </c>
      <c r="AF2296" s="71">
        <v>-1.1200000000000001</v>
      </c>
      <c r="AG2296" s="37">
        <v>0</v>
      </c>
      <c r="AH2296" s="37">
        <v>0</v>
      </c>
      <c r="AI2296" s="37">
        <v>96</v>
      </c>
      <c r="AJ2296" s="37">
        <v>2</v>
      </c>
      <c r="AK2296" s="37" t="str">
        <f>VLOOKUP(Mecze[[#This Row],[Match ID]],Meczusie[Mecz]:Meczusie[RodzajMeczu],2,FALSE)</f>
        <v>Liga</v>
      </c>
    </row>
    <row r="2297" spans="1:37" x14ac:dyDescent="0.25">
      <c r="A2297" s="76">
        <v>33</v>
      </c>
      <c r="B2297" s="3" t="s">
        <v>487</v>
      </c>
      <c r="C2297" s="2" t="s">
        <v>157</v>
      </c>
      <c r="D2297" s="1">
        <v>0</v>
      </c>
      <c r="E2297" s="1">
        <v>0</v>
      </c>
      <c r="F2297" s="1">
        <v>0</v>
      </c>
      <c r="G2297" s="1">
        <v>0</v>
      </c>
      <c r="H2297" s="72"/>
      <c r="I2297" s="1">
        <v>0</v>
      </c>
      <c r="J2297" s="4"/>
      <c r="K2297" s="1">
        <v>0</v>
      </c>
      <c r="L2297" s="1">
        <v>0</v>
      </c>
      <c r="M2297" s="32">
        <f>IF(Mecze[[#This Row],[PR]]=0,0,Mecze[[#This Row],[PR]]/Mecze[[#This Row],[CZAS]])</f>
        <v>0</v>
      </c>
      <c r="N2297" s="32">
        <f>IF(Mecze[[#This Row],[OU]]=0,0,Mecze[[#This Row],[OU]]/Mecze[[#This Row],[CZAS]])</f>
        <v>0</v>
      </c>
      <c r="O2297" s="32">
        <f>IF(Mecze[[#This Row],[PC]]=0,0,Mecze[[#This Row],[PC]]/Mecze[[#This Row],[CZAS]])</f>
        <v>0</v>
      </c>
      <c r="P2297" s="32">
        <f>IF(Mecze[[#This Row],[SC]]=0,0,Mecze[[#This Row],[SC]]/Mecze[[#This Row],[CZAS]])</f>
        <v>0</v>
      </c>
      <c r="Q2297" s="32">
        <f>IF(Mecze[[#This Row],[OB]]=0,0,Mecze[[#This Row],[OB]]/Mecze[[#This Row],[CZAS]])</f>
        <v>0</v>
      </c>
      <c r="R2297" s="32">
        <f>IF(Mecze[[#This Row],[BR]]=0,0,Mecze[[#This Row],[BR]]/Mecze[[#This Row],[CZAS]])</f>
        <v>0</v>
      </c>
      <c r="S2297" s="44">
        <f>IF(Mecze[[#This Row],[Role]]="BR",SUMPRODUCT(Mecze[[#This Row],[/PR:90]:[/BR:90]],Brudnopis!$E$23:$J$23),0)</f>
        <v>0</v>
      </c>
      <c r="T2297" s="44">
        <f>IF(Mecze[[#This Row],[Role]]&lt;&gt;"BR",SUMPRODUCT(Mecze[[#This Row],[/PR:90]:[/BR:90]],Brudnopis!$E$24:$J$24),0)</f>
        <v>0</v>
      </c>
      <c r="U2297" s="44">
        <f>IF(Mecze[[#This Row],[Role]]&lt;&gt;"BR",SUMPRODUCT(Mecze[[#This Row],[/PR:90]:[/BR:90]],Brudnopis!$E$25:$J$25),0)</f>
        <v>0</v>
      </c>
      <c r="V2297" s="44">
        <f>IF(Mecze[[#This Row],[Role]]&lt;&gt;"BR",SUMPRODUCT(Mecze[[#This Row],[/PR:90]:[/BR:90]],Brudnopis!$E$26:$J$26),0)</f>
        <v>0</v>
      </c>
      <c r="W2297" s="44">
        <f>IF(Mecze[[#This Row],[Role]]&lt;&gt;"BR",SUMPRODUCT(Mecze[[#This Row],[/PR:90]:[/BR:90]],Brudnopis!$E$27:$J$27),0)</f>
        <v>0</v>
      </c>
      <c r="X2297" s="44">
        <f>IF(Mecze[[#This Row],[Role]]&lt;&gt;"BR",SUMPRODUCT(Mecze[[#This Row],[/PR:90]:[/BR:90]],Brudnopis!$E$28:$J$28),0)</f>
        <v>0</v>
      </c>
      <c r="Y2297" s="35">
        <f>IF(Mecze[[#This Row],[Role]]="BR",Mecze[[#This Row],[/OB:90]]+Mecze[[#This Row],[/PC:90]],SUM(Mecze[[#This Row],[/PR:90]:[/BR:90]]))</f>
        <v>0</v>
      </c>
      <c r="Z2297" s="35">
        <f>IF(Mecze[[#This Row],[KC]]=0,SUM(Mecze[[#This Row],[/BRI]:[/NPI]]),SUM(Mecze[[#This Row],[/BRI]:[/NPI]])*0.6)</f>
        <v>0</v>
      </c>
      <c r="AA2297" s="10">
        <f>IFERROR(Mecze[[#This Row],[BR]]/Mecze[[#This Row],[ST]],0)</f>
        <v>0</v>
      </c>
      <c r="AB2297">
        <f>ROUND(Mecze[[#This Row],[PD]]*Mecze[[#This Row],[%PC]],0)</f>
        <v>0</v>
      </c>
      <c r="AC2297">
        <f>ROUND(Mecze[[#This Row],[OD]]*Mecze[[#This Row],[%OU]],0)</f>
        <v>0</v>
      </c>
      <c r="AD2297" s="36" t="s">
        <v>175</v>
      </c>
      <c r="AE2297" s="36">
        <v>129</v>
      </c>
      <c r="AF2297" s="71">
        <v>-1.75</v>
      </c>
      <c r="AG2297" s="37">
        <v>0</v>
      </c>
      <c r="AH2297" s="37">
        <v>0</v>
      </c>
      <c r="AI2297" s="37">
        <v>96</v>
      </c>
      <c r="AJ2297" s="37">
        <v>2</v>
      </c>
      <c r="AK2297" s="37" t="str">
        <f>VLOOKUP(Mecze[[#This Row],[Match ID]],Meczusie[Mecz]:Meczusie[RodzajMeczu],2,FALSE)</f>
        <v>Liga</v>
      </c>
    </row>
    <row r="2298" spans="1:37" x14ac:dyDescent="0.25">
      <c r="A2298" s="76">
        <v>48</v>
      </c>
      <c r="B2298" s="3" t="s">
        <v>486</v>
      </c>
      <c r="C2298" s="2" t="s">
        <v>157</v>
      </c>
      <c r="D2298" s="1">
        <v>0</v>
      </c>
      <c r="E2298" s="1">
        <v>0</v>
      </c>
      <c r="F2298" s="1">
        <v>0</v>
      </c>
      <c r="G2298" s="1">
        <v>5</v>
      </c>
      <c r="H2298" s="4">
        <v>0.2</v>
      </c>
      <c r="I2298" s="1">
        <v>1</v>
      </c>
      <c r="J2298" s="4">
        <v>1</v>
      </c>
      <c r="K2298" s="1">
        <v>0</v>
      </c>
      <c r="L2298" s="1">
        <v>0</v>
      </c>
      <c r="M2298" s="32">
        <f>IF(Mecze[[#This Row],[PR]]=0,0,Mecze[[#This Row],[PR]]/Mecze[[#This Row],[CZAS]])</f>
        <v>0</v>
      </c>
      <c r="N2298" s="32">
        <f>IF(Mecze[[#This Row],[OU]]=0,0,Mecze[[#This Row],[OU]]/Mecze[[#This Row],[CZAS]])</f>
        <v>1.0416666666666666E-2</v>
      </c>
      <c r="O2298" s="32">
        <f>IF(Mecze[[#This Row],[PC]]=0,0,Mecze[[#This Row],[PC]]/Mecze[[#This Row],[CZAS]])</f>
        <v>1.0416666666666666E-2</v>
      </c>
      <c r="P2298" s="32">
        <f>IF(Mecze[[#This Row],[SC]]=0,0,Mecze[[#This Row],[SC]]/Mecze[[#This Row],[CZAS]])</f>
        <v>0</v>
      </c>
      <c r="Q2298" s="32">
        <f>IF(Mecze[[#This Row],[OB]]=0,0,Mecze[[#This Row],[OB]]/Mecze[[#This Row],[CZAS]])</f>
        <v>0</v>
      </c>
      <c r="R2298" s="32">
        <f>IF(Mecze[[#This Row],[BR]]=0,0,Mecze[[#This Row],[BR]]/Mecze[[#This Row],[CZAS]])</f>
        <v>0</v>
      </c>
      <c r="S2298" s="44">
        <f>IF(Mecze[[#This Row],[Role]]="BR",SUMPRODUCT(Mecze[[#This Row],[/PR:90]:[/BR:90]],Brudnopis!$E$23:$J$23),0)</f>
        <v>0</v>
      </c>
      <c r="T2298" s="44">
        <f>IF(Mecze[[#This Row],[Role]]&lt;&gt;"BR",SUMPRODUCT(Mecze[[#This Row],[/PR:90]:[/BR:90]],Brudnopis!$E$24:$J$24),0)</f>
        <v>2.6041666666666664E-2</v>
      </c>
      <c r="U2298" s="44">
        <f>IF(Mecze[[#This Row],[Role]]&lt;&gt;"BR",SUMPRODUCT(Mecze[[#This Row],[/PR:90]:[/BR:90]],Brudnopis!$E$25:$J$25),0)</f>
        <v>2.6041666666666664E-2</v>
      </c>
      <c r="V2298" s="44">
        <f>IF(Mecze[[#This Row],[Role]]&lt;&gt;"BR",SUMPRODUCT(Mecze[[#This Row],[/PR:90]:[/BR:90]],Brudnopis!$E$26:$J$26),0)</f>
        <v>2.0833333333333332E-2</v>
      </c>
      <c r="W2298" s="44">
        <f>IF(Mecze[[#This Row],[Role]]&lt;&gt;"BR",SUMPRODUCT(Mecze[[#This Row],[/PR:90]:[/BR:90]],Brudnopis!$E$27:$J$27),0)</f>
        <v>2.34375E-2</v>
      </c>
      <c r="X2298" s="44">
        <f>IF(Mecze[[#This Row],[Role]]&lt;&gt;"BR",SUMPRODUCT(Mecze[[#This Row],[/PR:90]:[/BR:90]],Brudnopis!$E$28:$J$28),0)</f>
        <v>1.0416666666666666E-2</v>
      </c>
      <c r="Y2298" s="35">
        <f>IF(Mecze[[#This Row],[Role]]="BR",Mecze[[#This Row],[/OB:90]]+Mecze[[#This Row],[/PC:90]],SUM(Mecze[[#This Row],[/PR:90]:[/BR:90]]))</f>
        <v>2.0833333333333332E-2</v>
      </c>
      <c r="Z2298" s="35">
        <f>IF(Mecze[[#This Row],[KC]]=0,SUM(Mecze[[#This Row],[/BRI]:[/NPI]]),SUM(Mecze[[#This Row],[/BRI]:[/NPI]])*0.6)</f>
        <v>0.10677083333333333</v>
      </c>
      <c r="AA2298" s="10">
        <f>IFERROR(Mecze[[#This Row],[BR]]/Mecze[[#This Row],[ST]],0)</f>
        <v>0</v>
      </c>
      <c r="AB2298">
        <f>ROUND(Mecze[[#This Row],[PD]]*Mecze[[#This Row],[%PC]],0)</f>
        <v>1</v>
      </c>
      <c r="AC2298">
        <f>ROUND(Mecze[[#This Row],[OD]]*Mecze[[#This Row],[%OU]],0)</f>
        <v>1</v>
      </c>
      <c r="AD2298" s="36" t="s">
        <v>47</v>
      </c>
      <c r="AE2298" s="36">
        <v>129</v>
      </c>
      <c r="AF2298" s="71">
        <v>-2.86</v>
      </c>
      <c r="AG2298" s="37">
        <v>1</v>
      </c>
      <c r="AH2298" s="37">
        <v>0</v>
      </c>
      <c r="AI2298" s="37">
        <v>96</v>
      </c>
      <c r="AJ2298" s="37">
        <v>2</v>
      </c>
      <c r="AK2298" s="37" t="str">
        <f>VLOOKUP(Mecze[[#This Row],[Match ID]],Meczusie[Mecz]:Meczusie[RodzajMeczu],2,FALSE)</f>
        <v>Liga</v>
      </c>
    </row>
    <row r="2299" spans="1:37" x14ac:dyDescent="0.25">
      <c r="A2299" s="76">
        <v>75</v>
      </c>
      <c r="B2299" s="3" t="s">
        <v>493</v>
      </c>
      <c r="C2299" s="2" t="s">
        <v>160</v>
      </c>
      <c r="D2299" s="1">
        <v>0</v>
      </c>
      <c r="E2299" s="1">
        <v>0</v>
      </c>
      <c r="F2299" s="1">
        <v>0</v>
      </c>
      <c r="G2299" s="1">
        <v>1</v>
      </c>
      <c r="H2299" s="4">
        <v>0</v>
      </c>
      <c r="I2299" s="1">
        <v>2</v>
      </c>
      <c r="J2299" s="4">
        <v>0.5</v>
      </c>
      <c r="K2299" s="1">
        <v>0</v>
      </c>
      <c r="L2299" s="1">
        <v>2</v>
      </c>
      <c r="M2299" s="32">
        <f>IF(Mecze[[#This Row],[PR]]=0,0,Mecze[[#This Row],[PR]]/Mecze[[#This Row],[CZAS]])</f>
        <v>2.0833333333333332E-2</v>
      </c>
      <c r="N2299" s="32">
        <f>IF(Mecze[[#This Row],[OU]]=0,0,Mecze[[#This Row],[OU]]/Mecze[[#This Row],[CZAS]])</f>
        <v>1.0416666666666666E-2</v>
      </c>
      <c r="O2299" s="32">
        <f>IF(Mecze[[#This Row],[PC]]=0,0,Mecze[[#This Row],[PC]]/Mecze[[#This Row],[CZAS]])</f>
        <v>0</v>
      </c>
      <c r="P2299" s="32">
        <f>IF(Mecze[[#This Row],[SC]]=0,0,Mecze[[#This Row],[SC]]/Mecze[[#This Row],[CZAS]])</f>
        <v>0</v>
      </c>
      <c r="Q2299" s="32">
        <f>IF(Mecze[[#This Row],[OB]]=0,0,Mecze[[#This Row],[OB]]/Mecze[[#This Row],[CZAS]])</f>
        <v>0</v>
      </c>
      <c r="R2299" s="32">
        <f>IF(Mecze[[#This Row],[BR]]=0,0,Mecze[[#This Row],[BR]]/Mecze[[#This Row],[CZAS]])</f>
        <v>0</v>
      </c>
      <c r="S2299" s="44">
        <f>IF(Mecze[[#This Row],[Role]]="BR",SUMPRODUCT(Mecze[[#This Row],[/PR:90]:[/BR:90]],Brudnopis!$E$23:$J$23),0)</f>
        <v>0</v>
      </c>
      <c r="T2299" s="44">
        <f>IF(Mecze[[#This Row],[Role]]&lt;&gt;"BR",SUMPRODUCT(Mecze[[#This Row],[/PR:90]:[/BR:90]],Brudnopis!$E$24:$J$24),0)</f>
        <v>3.6458333333333329E-2</v>
      </c>
      <c r="U2299" s="44">
        <f>IF(Mecze[[#This Row],[Role]]&lt;&gt;"BR",SUMPRODUCT(Mecze[[#This Row],[/PR:90]:[/BR:90]],Brudnopis!$E$25:$J$25),0)</f>
        <v>3.125E-2</v>
      </c>
      <c r="V2299" s="44">
        <f>IF(Mecze[[#This Row],[Role]]&lt;&gt;"BR",SUMPRODUCT(Mecze[[#This Row],[/PR:90]:[/BR:90]],Brudnopis!$E$26:$J$26),0)</f>
        <v>3.125E-2</v>
      </c>
      <c r="W2299" s="44">
        <f>IF(Mecze[[#This Row],[Role]]&lt;&gt;"BR",SUMPRODUCT(Mecze[[#This Row],[/PR:90]:[/BR:90]],Brudnopis!$E$27:$J$27),0)</f>
        <v>2.34375E-2</v>
      </c>
      <c r="X2299" s="44">
        <f>IF(Mecze[[#This Row],[Role]]&lt;&gt;"BR",SUMPRODUCT(Mecze[[#This Row],[/PR:90]:[/BR:90]],Brudnopis!$E$28:$J$28),0)</f>
        <v>0</v>
      </c>
      <c r="Y2299" s="35">
        <f>IF(Mecze[[#This Row],[Role]]="BR",Mecze[[#This Row],[/OB:90]]+Mecze[[#This Row],[/PC:90]],SUM(Mecze[[#This Row],[/PR:90]:[/BR:90]]))</f>
        <v>3.125E-2</v>
      </c>
      <c r="Z2299" s="35">
        <f>IF(Mecze[[#This Row],[KC]]=0,SUM(Mecze[[#This Row],[/BRI]:[/NPI]]),SUM(Mecze[[#This Row],[/BRI]:[/NPI]])*0.6)</f>
        <v>0.12239583333333333</v>
      </c>
      <c r="AA2299" s="10">
        <f>IFERROR(Mecze[[#This Row],[BR]]/Mecze[[#This Row],[ST]],0)</f>
        <v>0</v>
      </c>
      <c r="AB2299">
        <f>ROUND(Mecze[[#This Row],[PD]]*Mecze[[#This Row],[%PC]],0)</f>
        <v>0</v>
      </c>
      <c r="AC2299">
        <f>ROUND(Mecze[[#This Row],[OD]]*Mecze[[#This Row],[%OU]],0)</f>
        <v>1</v>
      </c>
      <c r="AD2299" s="36" t="s">
        <v>319</v>
      </c>
      <c r="AE2299" s="36">
        <v>129</v>
      </c>
      <c r="AF2299" s="71">
        <v>3.12</v>
      </c>
      <c r="AG2299" s="37">
        <v>0</v>
      </c>
      <c r="AH2299" s="37">
        <v>0</v>
      </c>
      <c r="AI2299" s="37">
        <v>96</v>
      </c>
      <c r="AJ2299" s="37">
        <v>2</v>
      </c>
      <c r="AK2299" s="37" t="str">
        <f>VLOOKUP(Mecze[[#This Row],[Match ID]],Meczusie[Mecz]:Meczusie[RodzajMeczu],2,FALSE)</f>
        <v>Liga</v>
      </c>
    </row>
    <row r="2300" spans="1:37" x14ac:dyDescent="0.25">
      <c r="A2300" s="76">
        <v>72</v>
      </c>
      <c r="B2300" s="3" t="s">
        <v>488</v>
      </c>
      <c r="C2300" s="2" t="s">
        <v>160</v>
      </c>
      <c r="D2300" s="1">
        <v>0</v>
      </c>
      <c r="E2300" s="1">
        <v>0</v>
      </c>
      <c r="F2300" s="1">
        <v>0</v>
      </c>
      <c r="G2300" s="1">
        <v>10</v>
      </c>
      <c r="H2300" s="4">
        <v>0.5</v>
      </c>
      <c r="I2300" s="1">
        <v>2</v>
      </c>
      <c r="J2300" s="4">
        <v>0</v>
      </c>
      <c r="K2300" s="1">
        <v>0</v>
      </c>
      <c r="L2300" s="1">
        <v>1</v>
      </c>
      <c r="M2300" s="32">
        <f>IF(Mecze[[#This Row],[PR]]=0,0,Mecze[[#This Row],[PR]]/Mecze[[#This Row],[CZAS]])</f>
        <v>1.0416666666666666E-2</v>
      </c>
      <c r="N2300" s="32">
        <f>IF(Mecze[[#This Row],[OU]]=0,0,Mecze[[#This Row],[OU]]/Mecze[[#This Row],[CZAS]])</f>
        <v>0</v>
      </c>
      <c r="O2300" s="32">
        <f>IF(Mecze[[#This Row],[PC]]=0,0,Mecze[[#This Row],[PC]]/Mecze[[#This Row],[CZAS]])</f>
        <v>5.2083333333333336E-2</v>
      </c>
      <c r="P2300" s="32">
        <f>IF(Mecze[[#This Row],[SC]]=0,0,Mecze[[#This Row],[SC]]/Mecze[[#This Row],[CZAS]])</f>
        <v>0</v>
      </c>
      <c r="Q2300" s="32">
        <f>IF(Mecze[[#This Row],[OB]]=0,0,Mecze[[#This Row],[OB]]/Mecze[[#This Row],[CZAS]])</f>
        <v>0</v>
      </c>
      <c r="R2300" s="32">
        <f>IF(Mecze[[#This Row],[BR]]=0,0,Mecze[[#This Row],[BR]]/Mecze[[#This Row],[CZAS]])</f>
        <v>0</v>
      </c>
      <c r="S2300" s="44">
        <f>IF(Mecze[[#This Row],[Role]]="BR",SUMPRODUCT(Mecze[[#This Row],[/PR:90]:[/BR:90]],Brudnopis!$E$23:$J$23),0)</f>
        <v>0</v>
      </c>
      <c r="T2300" s="44">
        <f>IF(Mecze[[#This Row],[Role]]&lt;&gt;"BR",SUMPRODUCT(Mecze[[#This Row],[/PR:90]:[/BR:90]],Brudnopis!$E$24:$J$24),0)</f>
        <v>6.25E-2</v>
      </c>
      <c r="U2300" s="44">
        <f>IF(Mecze[[#This Row],[Role]]&lt;&gt;"BR",SUMPRODUCT(Mecze[[#This Row],[/PR:90]:[/BR:90]],Brudnopis!$E$25:$J$25),0)</f>
        <v>8.8541666666666671E-2</v>
      </c>
      <c r="V2300" s="44">
        <f>IF(Mecze[[#This Row],[Role]]&lt;&gt;"BR",SUMPRODUCT(Mecze[[#This Row],[/PR:90]:[/BR:90]],Brudnopis!$E$26:$J$26),0)</f>
        <v>6.25E-2</v>
      </c>
      <c r="W2300" s="44">
        <f>IF(Mecze[[#This Row],[Role]]&lt;&gt;"BR",SUMPRODUCT(Mecze[[#This Row],[/PR:90]:[/BR:90]],Brudnopis!$E$27:$J$27),0)</f>
        <v>8.59375E-2</v>
      </c>
      <c r="X2300" s="44">
        <f>IF(Mecze[[#This Row],[Role]]&lt;&gt;"BR",SUMPRODUCT(Mecze[[#This Row],[/PR:90]:[/BR:90]],Brudnopis!$E$28:$J$28),0)</f>
        <v>5.2083333333333336E-2</v>
      </c>
      <c r="Y2300" s="35">
        <f>IF(Mecze[[#This Row],[Role]]="BR",Mecze[[#This Row],[/OB:90]]+Mecze[[#This Row],[/PC:90]],SUM(Mecze[[#This Row],[/PR:90]:[/BR:90]]))</f>
        <v>6.25E-2</v>
      </c>
      <c r="Z2300" s="35">
        <f>IF(Mecze[[#This Row],[KC]]=0,SUM(Mecze[[#This Row],[/BRI]:[/NPI]]),SUM(Mecze[[#This Row],[/BRI]:[/NPI]])*0.6)</f>
        <v>0.3515625</v>
      </c>
      <c r="AA2300" s="10">
        <f>IFERROR(Mecze[[#This Row],[BR]]/Mecze[[#This Row],[ST]],0)</f>
        <v>0</v>
      </c>
      <c r="AB2300">
        <f>ROUND(Mecze[[#This Row],[PD]]*Mecze[[#This Row],[%PC]],0)</f>
        <v>5</v>
      </c>
      <c r="AC2300">
        <f>ROUND(Mecze[[#This Row],[OD]]*Mecze[[#This Row],[%OU]],0)</f>
        <v>0</v>
      </c>
      <c r="AD2300" s="36" t="s">
        <v>67</v>
      </c>
      <c r="AE2300" s="36">
        <v>129</v>
      </c>
      <c r="AF2300" s="71">
        <v>4.12</v>
      </c>
      <c r="AG2300" s="37">
        <v>0</v>
      </c>
      <c r="AH2300" s="37">
        <v>0</v>
      </c>
      <c r="AI2300" s="37">
        <v>96</v>
      </c>
      <c r="AJ2300" s="37">
        <v>2</v>
      </c>
      <c r="AK2300" s="37" t="str">
        <f>VLOOKUP(Mecze[[#This Row],[Match ID]],Meczusie[Mecz]:Meczusie[RodzajMeczu],2,FALSE)</f>
        <v>Liga</v>
      </c>
    </row>
    <row r="2301" spans="1:37" x14ac:dyDescent="0.25">
      <c r="A2301" s="76">
        <v>68</v>
      </c>
      <c r="B2301" s="3" t="s">
        <v>491</v>
      </c>
      <c r="C2301" s="2" t="s">
        <v>160</v>
      </c>
      <c r="D2301" s="1">
        <v>0</v>
      </c>
      <c r="E2301" s="1">
        <v>0</v>
      </c>
      <c r="F2301" s="1">
        <v>0</v>
      </c>
      <c r="G2301" s="1">
        <v>0</v>
      </c>
      <c r="H2301" s="72"/>
      <c r="I2301" s="1">
        <v>3</v>
      </c>
      <c r="J2301" s="4">
        <v>0</v>
      </c>
      <c r="K2301" s="1">
        <v>0</v>
      </c>
      <c r="L2301" s="1">
        <v>0</v>
      </c>
      <c r="M2301" s="32">
        <f>IF(Mecze[[#This Row],[PR]]=0,0,Mecze[[#This Row],[PR]]/Mecze[[#This Row],[CZAS]])</f>
        <v>0</v>
      </c>
      <c r="N2301" s="32">
        <f>IF(Mecze[[#This Row],[OU]]=0,0,Mecze[[#This Row],[OU]]/Mecze[[#This Row],[CZAS]])</f>
        <v>0</v>
      </c>
      <c r="O2301" s="32">
        <f>IF(Mecze[[#This Row],[PC]]=0,0,Mecze[[#This Row],[PC]]/Mecze[[#This Row],[CZAS]])</f>
        <v>0</v>
      </c>
      <c r="P2301" s="32">
        <f>IF(Mecze[[#This Row],[SC]]=0,0,Mecze[[#This Row],[SC]]/Mecze[[#This Row],[CZAS]])</f>
        <v>0</v>
      </c>
      <c r="Q2301" s="32">
        <f>IF(Mecze[[#This Row],[OB]]=0,0,Mecze[[#This Row],[OB]]/Mecze[[#This Row],[CZAS]])</f>
        <v>0</v>
      </c>
      <c r="R2301" s="32">
        <f>IF(Mecze[[#This Row],[BR]]=0,0,Mecze[[#This Row],[BR]]/Mecze[[#This Row],[CZAS]])</f>
        <v>0</v>
      </c>
      <c r="S2301" s="44">
        <f>IF(Mecze[[#This Row],[Role]]="BR",SUMPRODUCT(Mecze[[#This Row],[/PR:90]:[/BR:90]],Brudnopis!$E$23:$J$23),0)</f>
        <v>0</v>
      </c>
      <c r="T2301" s="44">
        <f>IF(Mecze[[#This Row],[Role]]&lt;&gt;"BR",SUMPRODUCT(Mecze[[#This Row],[/PR:90]:[/BR:90]],Brudnopis!$E$24:$J$24),0)</f>
        <v>0</v>
      </c>
      <c r="U2301" s="44">
        <f>IF(Mecze[[#This Row],[Role]]&lt;&gt;"BR",SUMPRODUCT(Mecze[[#This Row],[/PR:90]:[/BR:90]],Brudnopis!$E$25:$J$25),0)</f>
        <v>0</v>
      </c>
      <c r="V2301" s="44">
        <f>IF(Mecze[[#This Row],[Role]]&lt;&gt;"BR",SUMPRODUCT(Mecze[[#This Row],[/PR:90]:[/BR:90]],Brudnopis!$E$26:$J$26),0)</f>
        <v>0</v>
      </c>
      <c r="W2301" s="44">
        <f>IF(Mecze[[#This Row],[Role]]&lt;&gt;"BR",SUMPRODUCT(Mecze[[#This Row],[/PR:90]:[/BR:90]],Brudnopis!$E$27:$J$27),0)</f>
        <v>0</v>
      </c>
      <c r="X2301" s="44">
        <f>IF(Mecze[[#This Row],[Role]]&lt;&gt;"BR",SUMPRODUCT(Mecze[[#This Row],[/PR:90]:[/BR:90]],Brudnopis!$E$28:$J$28),0)</f>
        <v>0</v>
      </c>
      <c r="Y2301" s="35">
        <f>IF(Mecze[[#This Row],[Role]]="BR",Mecze[[#This Row],[/OB:90]]+Mecze[[#This Row],[/PC:90]],SUM(Mecze[[#This Row],[/PR:90]:[/BR:90]]))</f>
        <v>0</v>
      </c>
      <c r="Z2301" s="35">
        <f>IF(Mecze[[#This Row],[KC]]=0,SUM(Mecze[[#This Row],[/BRI]:[/NPI]]),SUM(Mecze[[#This Row],[/BRI]:[/NPI]])*0.6)</f>
        <v>0</v>
      </c>
      <c r="AA2301" s="10">
        <f>IFERROR(Mecze[[#This Row],[BR]]/Mecze[[#This Row],[ST]],0)</f>
        <v>0</v>
      </c>
      <c r="AB2301">
        <f>ROUND(Mecze[[#This Row],[PD]]*Mecze[[#This Row],[%PC]],0)</f>
        <v>0</v>
      </c>
      <c r="AC2301">
        <f>ROUND(Mecze[[#This Row],[OD]]*Mecze[[#This Row],[%OU]],0)</f>
        <v>0</v>
      </c>
      <c r="AD2301" s="36" t="s">
        <v>318</v>
      </c>
      <c r="AE2301" s="36">
        <v>129</v>
      </c>
      <c r="AF2301" s="71">
        <v>2.7</v>
      </c>
      <c r="AG2301" s="37">
        <v>0</v>
      </c>
      <c r="AH2301" s="37">
        <v>0</v>
      </c>
      <c r="AI2301" s="37">
        <v>96</v>
      </c>
      <c r="AJ2301" s="37">
        <v>2</v>
      </c>
      <c r="AK2301" s="37" t="str">
        <f>VLOOKUP(Mecze[[#This Row],[Match ID]],Meczusie[Mecz]:Meczusie[RodzajMeczu],2,FALSE)</f>
        <v>Liga</v>
      </c>
    </row>
    <row r="2302" spans="1:37" x14ac:dyDescent="0.25">
      <c r="A2302" s="76">
        <v>71</v>
      </c>
      <c r="B2302" s="3" t="s">
        <v>489</v>
      </c>
      <c r="C2302" s="2" t="s">
        <v>160</v>
      </c>
      <c r="D2302" s="1">
        <v>0</v>
      </c>
      <c r="E2302" s="1">
        <v>0</v>
      </c>
      <c r="F2302" s="1">
        <v>0</v>
      </c>
      <c r="G2302" s="1">
        <v>5</v>
      </c>
      <c r="H2302" s="4">
        <v>1</v>
      </c>
      <c r="I2302" s="1">
        <v>4</v>
      </c>
      <c r="J2302" s="4">
        <v>0</v>
      </c>
      <c r="K2302" s="1">
        <v>0</v>
      </c>
      <c r="L2302" s="1">
        <v>1</v>
      </c>
      <c r="M2302" s="32">
        <f>IF(Mecze[[#This Row],[PR]]=0,0,Mecze[[#This Row],[PR]]/Mecze[[#This Row],[CZAS]])</f>
        <v>1.0416666666666666E-2</v>
      </c>
      <c r="N2302" s="32">
        <f>IF(Mecze[[#This Row],[OU]]=0,0,Mecze[[#This Row],[OU]]/Mecze[[#This Row],[CZAS]])</f>
        <v>0</v>
      </c>
      <c r="O2302" s="32">
        <f>IF(Mecze[[#This Row],[PC]]=0,0,Mecze[[#This Row],[PC]]/Mecze[[#This Row],[CZAS]])</f>
        <v>5.2083333333333336E-2</v>
      </c>
      <c r="P2302" s="32">
        <f>IF(Mecze[[#This Row],[SC]]=0,0,Mecze[[#This Row],[SC]]/Mecze[[#This Row],[CZAS]])</f>
        <v>0</v>
      </c>
      <c r="Q2302" s="32">
        <f>IF(Mecze[[#This Row],[OB]]=0,0,Mecze[[#This Row],[OB]]/Mecze[[#This Row],[CZAS]])</f>
        <v>0</v>
      </c>
      <c r="R2302" s="32">
        <f>IF(Mecze[[#This Row],[BR]]=0,0,Mecze[[#This Row],[BR]]/Mecze[[#This Row],[CZAS]])</f>
        <v>0</v>
      </c>
      <c r="S2302" s="44">
        <f>IF(Mecze[[#This Row],[Role]]="BR",SUMPRODUCT(Mecze[[#This Row],[/PR:90]:[/BR:90]],Brudnopis!$E$23:$J$23),0)</f>
        <v>0</v>
      </c>
      <c r="T2302" s="44">
        <f>IF(Mecze[[#This Row],[Role]]&lt;&gt;"BR",SUMPRODUCT(Mecze[[#This Row],[/PR:90]:[/BR:90]],Brudnopis!$E$24:$J$24),0)</f>
        <v>6.25E-2</v>
      </c>
      <c r="U2302" s="44">
        <f>IF(Mecze[[#This Row],[Role]]&lt;&gt;"BR",SUMPRODUCT(Mecze[[#This Row],[/PR:90]:[/BR:90]],Brudnopis!$E$25:$J$25),0)</f>
        <v>8.8541666666666671E-2</v>
      </c>
      <c r="V2302" s="44">
        <f>IF(Mecze[[#This Row],[Role]]&lt;&gt;"BR",SUMPRODUCT(Mecze[[#This Row],[/PR:90]:[/BR:90]],Brudnopis!$E$26:$J$26),0)</f>
        <v>6.25E-2</v>
      </c>
      <c r="W2302" s="44">
        <f>IF(Mecze[[#This Row],[Role]]&lt;&gt;"BR",SUMPRODUCT(Mecze[[#This Row],[/PR:90]:[/BR:90]],Brudnopis!$E$27:$J$27),0)</f>
        <v>8.59375E-2</v>
      </c>
      <c r="X2302" s="44">
        <f>IF(Mecze[[#This Row],[Role]]&lt;&gt;"BR",SUMPRODUCT(Mecze[[#This Row],[/PR:90]:[/BR:90]],Brudnopis!$E$28:$J$28),0)</f>
        <v>5.2083333333333336E-2</v>
      </c>
      <c r="Y2302" s="35">
        <f>IF(Mecze[[#This Row],[Role]]="BR",Mecze[[#This Row],[/OB:90]]+Mecze[[#This Row],[/PC:90]],SUM(Mecze[[#This Row],[/PR:90]:[/BR:90]]))</f>
        <v>6.25E-2</v>
      </c>
      <c r="Z2302" s="35">
        <f>IF(Mecze[[#This Row],[KC]]=0,SUM(Mecze[[#This Row],[/BRI]:[/NPI]]),SUM(Mecze[[#This Row],[/BRI]:[/NPI]])*0.6)</f>
        <v>0.3515625</v>
      </c>
      <c r="AA2302" s="10">
        <f>IFERROR(Mecze[[#This Row],[BR]]/Mecze[[#This Row],[ST]],0)</f>
        <v>0</v>
      </c>
      <c r="AB2302">
        <f>ROUND(Mecze[[#This Row],[PD]]*Mecze[[#This Row],[%PC]],0)</f>
        <v>5</v>
      </c>
      <c r="AC2302">
        <f>ROUND(Mecze[[#This Row],[OD]]*Mecze[[#This Row],[%OU]],0)</f>
        <v>0</v>
      </c>
      <c r="AD2302" s="36" t="s">
        <v>67</v>
      </c>
      <c r="AE2302" s="36">
        <v>129</v>
      </c>
      <c r="AF2302" s="71">
        <v>6.24</v>
      </c>
      <c r="AG2302" s="37">
        <v>0</v>
      </c>
      <c r="AH2302" s="37">
        <v>0</v>
      </c>
      <c r="AI2302" s="37">
        <v>96</v>
      </c>
      <c r="AJ2302" s="37">
        <v>2</v>
      </c>
      <c r="AK2302" s="37" t="str">
        <f>VLOOKUP(Mecze[[#This Row],[Match ID]],Meczusie[Mecz]:Meczusie[RodzajMeczu],2,FALSE)</f>
        <v>Liga</v>
      </c>
    </row>
    <row r="2303" spans="1:37" x14ac:dyDescent="0.25">
      <c r="A2303" s="76">
        <v>67</v>
      </c>
      <c r="B2303" s="3" t="s">
        <v>494</v>
      </c>
      <c r="C2303" s="2" t="s">
        <v>165</v>
      </c>
      <c r="D2303" s="1">
        <v>0</v>
      </c>
      <c r="E2303" s="1">
        <v>3</v>
      </c>
      <c r="F2303" s="1">
        <v>3</v>
      </c>
      <c r="G2303" s="1">
        <v>0</v>
      </c>
      <c r="H2303" s="72"/>
      <c r="I2303" s="1">
        <v>1</v>
      </c>
      <c r="J2303" s="4">
        <v>0</v>
      </c>
      <c r="K2303" s="1">
        <v>0</v>
      </c>
      <c r="L2303" s="1">
        <v>0</v>
      </c>
      <c r="M2303" s="32">
        <f>IF(Mecze[[#This Row],[PR]]=0,0,Mecze[[#This Row],[PR]]/Mecze[[#This Row],[CZAS]])</f>
        <v>0</v>
      </c>
      <c r="N2303" s="32">
        <f>IF(Mecze[[#This Row],[OU]]=0,0,Mecze[[#This Row],[OU]]/Mecze[[#This Row],[CZAS]])</f>
        <v>0</v>
      </c>
      <c r="O2303" s="32">
        <f>IF(Mecze[[#This Row],[PC]]=0,0,Mecze[[#This Row],[PC]]/Mecze[[#This Row],[CZAS]])</f>
        <v>0</v>
      </c>
      <c r="P2303" s="32">
        <f>IF(Mecze[[#This Row],[SC]]=0,0,Mecze[[#This Row],[SC]]/Mecze[[#This Row],[CZAS]])</f>
        <v>3.125E-2</v>
      </c>
      <c r="Q2303" s="32">
        <f>IF(Mecze[[#This Row],[OB]]=0,0,Mecze[[#This Row],[OB]]/Mecze[[#This Row],[CZAS]])</f>
        <v>0</v>
      </c>
      <c r="R2303" s="32">
        <f>IF(Mecze[[#This Row],[BR]]=0,0,Mecze[[#This Row],[BR]]/Mecze[[#This Row],[CZAS]])</f>
        <v>0</v>
      </c>
      <c r="S2303" s="44">
        <f>IF(Mecze[[#This Row],[Role]]="BR",SUMPRODUCT(Mecze[[#This Row],[/PR:90]:[/BR:90]],Brudnopis!$E$23:$J$23),0)</f>
        <v>0</v>
      </c>
      <c r="T2303" s="44">
        <f>IF(Mecze[[#This Row],[Role]]&lt;&gt;"BR",SUMPRODUCT(Mecze[[#This Row],[/PR:90]:[/BR:90]],Brudnopis!$E$24:$J$24),0)</f>
        <v>3.125E-2</v>
      </c>
      <c r="U2303" s="44">
        <f>IF(Mecze[[#This Row],[Role]]&lt;&gt;"BR",SUMPRODUCT(Mecze[[#This Row],[/PR:90]:[/BR:90]],Brudnopis!$E$25:$J$25),0)</f>
        <v>3.125E-2</v>
      </c>
      <c r="V2303" s="44">
        <f>IF(Mecze[[#This Row],[Role]]&lt;&gt;"BR",SUMPRODUCT(Mecze[[#This Row],[/PR:90]:[/BR:90]],Brudnopis!$E$26:$J$26),0)</f>
        <v>3.125E-2</v>
      </c>
      <c r="W2303" s="44">
        <f>IF(Mecze[[#This Row],[Role]]&lt;&gt;"BR",SUMPRODUCT(Mecze[[#This Row],[/PR:90]:[/BR:90]],Brudnopis!$E$27:$J$27),0)</f>
        <v>3.125E-2</v>
      </c>
      <c r="X2303" s="44">
        <f>IF(Mecze[[#This Row],[Role]]&lt;&gt;"BR",SUMPRODUCT(Mecze[[#This Row],[/PR:90]:[/BR:90]],Brudnopis!$E$28:$J$28),0)</f>
        <v>6.25E-2</v>
      </c>
      <c r="Y2303" s="35">
        <f>IF(Mecze[[#This Row],[Role]]="BR",Mecze[[#This Row],[/OB:90]]+Mecze[[#This Row],[/PC:90]],SUM(Mecze[[#This Row],[/PR:90]:[/BR:90]]))</f>
        <v>3.125E-2</v>
      </c>
      <c r="Z2303" s="35">
        <f>IF(Mecze[[#This Row],[KC]]=0,SUM(Mecze[[#This Row],[/BRI]:[/NPI]]),SUM(Mecze[[#This Row],[/BRI]:[/NPI]])*0.6)</f>
        <v>0.1875</v>
      </c>
      <c r="AA2303" s="10">
        <f>IFERROR(Mecze[[#This Row],[BR]]/Mecze[[#This Row],[ST]],0)</f>
        <v>0</v>
      </c>
      <c r="AB2303">
        <f>ROUND(Mecze[[#This Row],[PD]]*Mecze[[#This Row],[%PC]],0)</f>
        <v>0</v>
      </c>
      <c r="AC2303">
        <f>ROUND(Mecze[[#This Row],[OD]]*Mecze[[#This Row],[%OU]],0)</f>
        <v>0</v>
      </c>
      <c r="AD2303" s="36" t="s">
        <v>273</v>
      </c>
      <c r="AE2303" s="36">
        <v>129</v>
      </c>
      <c r="AF2303" s="71">
        <v>3.37</v>
      </c>
      <c r="AG2303" s="37">
        <v>0</v>
      </c>
      <c r="AH2303" s="37">
        <v>0</v>
      </c>
      <c r="AI2303" s="37">
        <v>96</v>
      </c>
      <c r="AJ2303" s="37">
        <v>2</v>
      </c>
      <c r="AK2303" s="37" t="str">
        <f>VLOOKUP(Mecze[[#This Row],[Match ID]],Meczusie[Mecz]:Meczusie[RodzajMeczu],2,FALSE)</f>
        <v>Liga</v>
      </c>
    </row>
    <row r="2304" spans="1:37" x14ac:dyDescent="0.25">
      <c r="A2304" s="76">
        <v>46</v>
      </c>
      <c r="B2304" s="3" t="s">
        <v>492</v>
      </c>
      <c r="C2304" s="2" t="s">
        <v>165</v>
      </c>
      <c r="D2304" s="1">
        <v>0</v>
      </c>
      <c r="E2304" s="1">
        <v>0</v>
      </c>
      <c r="F2304" s="1">
        <v>0</v>
      </c>
      <c r="G2304" s="1">
        <v>9</v>
      </c>
      <c r="H2304" s="4">
        <v>0.67</v>
      </c>
      <c r="I2304" s="1">
        <v>1</v>
      </c>
      <c r="J2304" s="4">
        <v>0</v>
      </c>
      <c r="K2304" s="1">
        <v>0</v>
      </c>
      <c r="L2304" s="1">
        <v>1</v>
      </c>
      <c r="M2304" s="32">
        <f>IF(Mecze[[#This Row],[PR]]=0,0,Mecze[[#This Row],[PR]]/Mecze[[#This Row],[CZAS]])</f>
        <v>1.0416666666666666E-2</v>
      </c>
      <c r="N2304" s="32">
        <f>IF(Mecze[[#This Row],[OU]]=0,0,Mecze[[#This Row],[OU]]/Mecze[[#This Row],[CZAS]])</f>
        <v>0</v>
      </c>
      <c r="O2304" s="32">
        <f>IF(Mecze[[#This Row],[PC]]=0,0,Mecze[[#This Row],[PC]]/Mecze[[#This Row],[CZAS]])</f>
        <v>6.25E-2</v>
      </c>
      <c r="P2304" s="32">
        <f>IF(Mecze[[#This Row],[SC]]=0,0,Mecze[[#This Row],[SC]]/Mecze[[#This Row],[CZAS]])</f>
        <v>0</v>
      </c>
      <c r="Q2304" s="32">
        <f>IF(Mecze[[#This Row],[OB]]=0,0,Mecze[[#This Row],[OB]]/Mecze[[#This Row],[CZAS]])</f>
        <v>0</v>
      </c>
      <c r="R2304" s="32">
        <f>IF(Mecze[[#This Row],[BR]]=0,0,Mecze[[#This Row],[BR]]/Mecze[[#This Row],[CZAS]])</f>
        <v>0</v>
      </c>
      <c r="S2304" s="44">
        <f>IF(Mecze[[#This Row],[Role]]="BR",SUMPRODUCT(Mecze[[#This Row],[/PR:90]:[/BR:90]],Brudnopis!$E$23:$J$23),0)</f>
        <v>0</v>
      </c>
      <c r="T2304" s="44">
        <f>IF(Mecze[[#This Row],[Role]]&lt;&gt;"BR",SUMPRODUCT(Mecze[[#This Row],[/PR:90]:[/BR:90]],Brudnopis!$E$24:$J$24),0)</f>
        <v>7.2916666666666671E-2</v>
      </c>
      <c r="U2304" s="44">
        <f>IF(Mecze[[#This Row],[Role]]&lt;&gt;"BR",SUMPRODUCT(Mecze[[#This Row],[/PR:90]:[/BR:90]],Brudnopis!$E$25:$J$25),0)</f>
        <v>0.10416666666666667</v>
      </c>
      <c r="V2304" s="44">
        <f>IF(Mecze[[#This Row],[Role]]&lt;&gt;"BR",SUMPRODUCT(Mecze[[#This Row],[/PR:90]:[/BR:90]],Brudnopis!$E$26:$J$26),0)</f>
        <v>7.2916666666666671E-2</v>
      </c>
      <c r="W2304" s="44">
        <f>IF(Mecze[[#This Row],[Role]]&lt;&gt;"BR",SUMPRODUCT(Mecze[[#This Row],[/PR:90]:[/BR:90]],Brudnopis!$E$27:$J$27),0)</f>
        <v>0.1015625</v>
      </c>
      <c r="X2304" s="44">
        <f>IF(Mecze[[#This Row],[Role]]&lt;&gt;"BR",SUMPRODUCT(Mecze[[#This Row],[/PR:90]:[/BR:90]],Brudnopis!$E$28:$J$28),0)</f>
        <v>6.25E-2</v>
      </c>
      <c r="Y2304" s="35">
        <f>IF(Mecze[[#This Row],[Role]]="BR",Mecze[[#This Row],[/OB:90]]+Mecze[[#This Row],[/PC:90]],SUM(Mecze[[#This Row],[/PR:90]:[/BR:90]]))</f>
        <v>7.2916666666666671E-2</v>
      </c>
      <c r="Z2304" s="35">
        <f>IF(Mecze[[#This Row],[KC]]=0,SUM(Mecze[[#This Row],[/BRI]:[/NPI]]),SUM(Mecze[[#This Row],[/BRI]:[/NPI]])*0.6)</f>
        <v>0.4140625</v>
      </c>
      <c r="AA2304" s="10">
        <f>IFERROR(Mecze[[#This Row],[BR]]/Mecze[[#This Row],[ST]],0)</f>
        <v>0</v>
      </c>
      <c r="AB2304">
        <f>ROUND(Mecze[[#This Row],[PD]]*Mecze[[#This Row],[%PC]],0)</f>
        <v>6</v>
      </c>
      <c r="AC2304">
        <f>ROUND(Mecze[[#This Row],[OD]]*Mecze[[#This Row],[%OU]],0)</f>
        <v>0</v>
      </c>
      <c r="AD2304" s="36" t="s">
        <v>272</v>
      </c>
      <c r="AE2304" s="36">
        <v>129</v>
      </c>
      <c r="AF2304" s="71">
        <v>4.04</v>
      </c>
      <c r="AG2304" s="37">
        <v>0</v>
      </c>
      <c r="AH2304" s="37">
        <v>0</v>
      </c>
      <c r="AI2304" s="37">
        <v>96</v>
      </c>
      <c r="AJ2304" s="37">
        <v>2</v>
      </c>
      <c r="AK2304" s="37" t="str">
        <f>VLOOKUP(Mecze[[#This Row],[Match ID]],Meczusie[Mecz]:Meczusie[RodzajMeczu],2,FALSE)</f>
        <v>Liga</v>
      </c>
    </row>
    <row r="2305" spans="1:37" x14ac:dyDescent="0.25">
      <c r="A2305" s="76">
        <v>1</v>
      </c>
      <c r="B2305" s="3" t="s">
        <v>288</v>
      </c>
      <c r="C2305" s="2" t="s">
        <v>155</v>
      </c>
      <c r="D2305" s="1">
        <v>0</v>
      </c>
      <c r="E2305" s="1">
        <v>0</v>
      </c>
      <c r="F2305" s="1">
        <v>0</v>
      </c>
      <c r="G2305" s="1">
        <v>4</v>
      </c>
      <c r="H2305" s="4">
        <v>0.5</v>
      </c>
      <c r="I2305" s="1">
        <v>0</v>
      </c>
      <c r="J2305" s="4"/>
      <c r="K2305" s="1">
        <v>3</v>
      </c>
      <c r="L2305" s="1">
        <v>0</v>
      </c>
      <c r="M2305" s="32">
        <f>IF(Mecze[[#This Row],[PR]]=0,0,Mecze[[#This Row],[PR]]/Mecze[[#This Row],[CZAS]])</f>
        <v>0</v>
      </c>
      <c r="N2305" s="32">
        <f>IF(Mecze[[#This Row],[OU]]=0,0,Mecze[[#This Row],[OU]]/Mecze[[#This Row],[CZAS]])</f>
        <v>0</v>
      </c>
      <c r="O2305" s="32">
        <f>IF(Mecze[[#This Row],[PC]]=0,0,Mecze[[#This Row],[PC]]/Mecze[[#This Row],[CZAS]])</f>
        <v>2.0833333333333332E-2</v>
      </c>
      <c r="P2305" s="32">
        <f>IF(Mecze[[#This Row],[SC]]=0,0,Mecze[[#This Row],[SC]]/Mecze[[#This Row],[CZAS]])</f>
        <v>0</v>
      </c>
      <c r="Q2305" s="32">
        <f>IF(Mecze[[#This Row],[OB]]=0,0,Mecze[[#This Row],[OB]]/Mecze[[#This Row],[CZAS]])</f>
        <v>3.125E-2</v>
      </c>
      <c r="R2305" s="32">
        <f>IF(Mecze[[#This Row],[BR]]=0,0,Mecze[[#This Row],[BR]]/Mecze[[#This Row],[CZAS]])</f>
        <v>0</v>
      </c>
      <c r="S2305" s="44">
        <f>IF(Mecze[[#This Row],[Role]]="BR",SUMPRODUCT(Mecze[[#This Row],[/PR:90]:[/BR:90]],Brudnopis!$E$23:$J$23),0)</f>
        <v>0.15625</v>
      </c>
      <c r="T2305" s="44">
        <f>IF(Mecze[[#This Row],[Role]]&lt;&gt;"BR",SUMPRODUCT(Mecze[[#This Row],[/PR:90]:[/BR:90]],Brudnopis!$E$24:$J$24),0)</f>
        <v>0</v>
      </c>
      <c r="U2305" s="44">
        <f>IF(Mecze[[#This Row],[Role]]&lt;&gt;"BR",SUMPRODUCT(Mecze[[#This Row],[/PR:90]:[/BR:90]],Brudnopis!$E$25:$J$25),0)</f>
        <v>0</v>
      </c>
      <c r="V2305" s="44">
        <f>IF(Mecze[[#This Row],[Role]]&lt;&gt;"BR",SUMPRODUCT(Mecze[[#This Row],[/PR:90]:[/BR:90]],Brudnopis!$E$26:$J$26),0)</f>
        <v>0</v>
      </c>
      <c r="W2305" s="44">
        <f>IF(Mecze[[#This Row],[Role]]&lt;&gt;"BR",SUMPRODUCT(Mecze[[#This Row],[/PR:90]:[/BR:90]],Brudnopis!$E$27:$J$27),0)</f>
        <v>0</v>
      </c>
      <c r="X2305" s="44">
        <f>IF(Mecze[[#This Row],[Role]]&lt;&gt;"BR",SUMPRODUCT(Mecze[[#This Row],[/PR:90]:[/BR:90]],Brudnopis!$E$28:$J$28),0)</f>
        <v>0</v>
      </c>
      <c r="Y2305" s="35">
        <f>IF(Mecze[[#This Row],[Role]]="BR",Mecze[[#This Row],[/OB:90]]+Mecze[[#This Row],[/PC:90]],SUM(Mecze[[#This Row],[/PR:90]:[/BR:90]]))</f>
        <v>5.2083333333333329E-2</v>
      </c>
      <c r="Z2305" s="35">
        <f>IF(Mecze[[#This Row],[KC]]=0,SUM(Mecze[[#This Row],[/BRI]:[/NPI]]),SUM(Mecze[[#This Row],[/BRI]:[/NPI]])*0.6)</f>
        <v>0.15625</v>
      </c>
      <c r="AA2305" s="10">
        <f>IFERROR(Mecze[[#This Row],[BR]]/Mecze[[#This Row],[ST]],0)</f>
        <v>0</v>
      </c>
      <c r="AB2305">
        <f>ROUND(Mecze[[#This Row],[PD]]*Mecze[[#This Row],[%PC]],0)</f>
        <v>2</v>
      </c>
      <c r="AC2305">
        <f>ROUND(Mecze[[#This Row],[OD]]*Mecze[[#This Row],[%OU]],0)</f>
        <v>0</v>
      </c>
      <c r="AD2305" s="36" t="s">
        <v>40</v>
      </c>
      <c r="AE2305" s="36">
        <v>129</v>
      </c>
      <c r="AF2305" s="71">
        <v>8.09</v>
      </c>
      <c r="AG2305" s="37">
        <v>0</v>
      </c>
      <c r="AH2305" s="37">
        <v>0</v>
      </c>
      <c r="AI2305" s="37">
        <v>96</v>
      </c>
      <c r="AJ2305" s="37">
        <v>9</v>
      </c>
      <c r="AK2305" s="37" t="str">
        <f>VLOOKUP(Mecze[[#This Row],[Match ID]],Meczusie[Mecz]:Meczusie[RodzajMeczu],2,FALSE)</f>
        <v>Liga</v>
      </c>
    </row>
    <row r="2306" spans="1:37" x14ac:dyDescent="0.25">
      <c r="A2306" s="76">
        <v>4</v>
      </c>
      <c r="B2306" s="3" t="s">
        <v>289</v>
      </c>
      <c r="C2306" s="2" t="s">
        <v>157</v>
      </c>
      <c r="D2306" s="1">
        <v>0</v>
      </c>
      <c r="E2306" s="1">
        <v>0</v>
      </c>
      <c r="F2306" s="1">
        <v>0</v>
      </c>
      <c r="G2306" s="1">
        <v>9</v>
      </c>
      <c r="H2306" s="4">
        <v>0.78</v>
      </c>
      <c r="I2306" s="1">
        <v>1</v>
      </c>
      <c r="J2306" s="4">
        <v>1</v>
      </c>
      <c r="K2306" s="1">
        <v>0</v>
      </c>
      <c r="L2306" s="1">
        <v>6</v>
      </c>
      <c r="M2306" s="32">
        <f>IF(Mecze[[#This Row],[PR]]=0,0,Mecze[[#This Row],[PR]]/Mecze[[#This Row],[CZAS]])</f>
        <v>6.25E-2</v>
      </c>
      <c r="N2306" s="32">
        <f>IF(Mecze[[#This Row],[OU]]=0,0,Mecze[[#This Row],[OU]]/Mecze[[#This Row],[CZAS]])</f>
        <v>1.0416666666666666E-2</v>
      </c>
      <c r="O2306" s="32">
        <f>IF(Mecze[[#This Row],[PC]]=0,0,Mecze[[#This Row],[PC]]/Mecze[[#This Row],[CZAS]])</f>
        <v>7.2916666666666671E-2</v>
      </c>
      <c r="P2306" s="32">
        <f>IF(Mecze[[#This Row],[SC]]=0,0,Mecze[[#This Row],[SC]]/Mecze[[#This Row],[CZAS]])</f>
        <v>0</v>
      </c>
      <c r="Q2306" s="32">
        <f>IF(Mecze[[#This Row],[OB]]=0,0,Mecze[[#This Row],[OB]]/Mecze[[#This Row],[CZAS]])</f>
        <v>0</v>
      </c>
      <c r="R2306" s="32">
        <f>IF(Mecze[[#This Row],[BR]]=0,0,Mecze[[#This Row],[BR]]/Mecze[[#This Row],[CZAS]])</f>
        <v>0</v>
      </c>
      <c r="S2306" s="44">
        <f>IF(Mecze[[#This Row],[Role]]="BR",SUMPRODUCT(Mecze[[#This Row],[/PR:90]:[/BR:90]],Brudnopis!$E$23:$J$23),0)</f>
        <v>0</v>
      </c>
      <c r="T2306" s="44">
        <f>IF(Mecze[[#This Row],[Role]]&lt;&gt;"BR",SUMPRODUCT(Mecze[[#This Row],[/PR:90]:[/BR:90]],Brudnopis!$E$24:$J$24),0)</f>
        <v>0.15104166666666669</v>
      </c>
      <c r="U2306" s="44">
        <f>IF(Mecze[[#This Row],[Role]]&lt;&gt;"BR",SUMPRODUCT(Mecze[[#This Row],[/PR:90]:[/BR:90]],Brudnopis!$E$25:$J$25),0)</f>
        <v>0.18229166666666669</v>
      </c>
      <c r="V2306" s="44">
        <f>IF(Mecze[[#This Row],[Role]]&lt;&gt;"BR",SUMPRODUCT(Mecze[[#This Row],[/PR:90]:[/BR:90]],Brudnopis!$E$26:$J$26),0)</f>
        <v>0.14583333333333334</v>
      </c>
      <c r="W2306" s="44">
        <f>IF(Mecze[[#This Row],[Role]]&lt;&gt;"BR",SUMPRODUCT(Mecze[[#This Row],[/PR:90]:[/BR:90]],Brudnopis!$E$27:$J$27),0)</f>
        <v>0.1640625</v>
      </c>
      <c r="X2306" s="44">
        <f>IF(Mecze[[#This Row],[Role]]&lt;&gt;"BR",SUMPRODUCT(Mecze[[#This Row],[/PR:90]:[/BR:90]],Brudnopis!$E$28:$J$28),0)</f>
        <v>7.2916666666666671E-2</v>
      </c>
      <c r="Y2306" s="35">
        <f>IF(Mecze[[#This Row],[Role]]="BR",Mecze[[#This Row],[/OB:90]]+Mecze[[#This Row],[/PC:90]],SUM(Mecze[[#This Row],[/PR:90]:[/BR:90]]))</f>
        <v>0.14583333333333334</v>
      </c>
      <c r="Z2306" s="35">
        <f>IF(Mecze[[#This Row],[KC]]=0,SUM(Mecze[[#This Row],[/BRI]:[/NPI]]),SUM(Mecze[[#This Row],[/BRI]:[/NPI]])*0.6)</f>
        <v>0.71614583333333337</v>
      </c>
      <c r="AA2306" s="10">
        <f>IFERROR(Mecze[[#This Row],[BR]]/Mecze[[#This Row],[ST]],0)</f>
        <v>0</v>
      </c>
      <c r="AB2306">
        <f>ROUND(Mecze[[#This Row],[PD]]*Mecze[[#This Row],[%PC]],0)</f>
        <v>7</v>
      </c>
      <c r="AC2306">
        <f>ROUND(Mecze[[#This Row],[OD]]*Mecze[[#This Row],[%OU]],0)</f>
        <v>1</v>
      </c>
      <c r="AD2306" s="36" t="s">
        <v>168</v>
      </c>
      <c r="AE2306" s="36">
        <v>129</v>
      </c>
      <c r="AF2306" s="71">
        <v>8.3000000000000007</v>
      </c>
      <c r="AG2306" s="37">
        <v>0</v>
      </c>
      <c r="AH2306" s="37">
        <v>0</v>
      </c>
      <c r="AI2306" s="37">
        <v>96</v>
      </c>
      <c r="AJ2306" s="37">
        <v>9</v>
      </c>
      <c r="AK2306" s="37" t="str">
        <f>VLOOKUP(Mecze[[#This Row],[Match ID]],Meczusie[Mecz]:Meczusie[RodzajMeczu],2,FALSE)</f>
        <v>Liga</v>
      </c>
    </row>
    <row r="2307" spans="1:37" x14ac:dyDescent="0.25">
      <c r="A2307" s="76">
        <v>2</v>
      </c>
      <c r="B2307" s="3" t="s">
        <v>290</v>
      </c>
      <c r="C2307" s="2" t="s">
        <v>157</v>
      </c>
      <c r="D2307" s="1">
        <v>1</v>
      </c>
      <c r="E2307" s="1">
        <v>1</v>
      </c>
      <c r="F2307" s="1">
        <v>1</v>
      </c>
      <c r="G2307" s="1">
        <v>10</v>
      </c>
      <c r="H2307" s="4">
        <v>0.7</v>
      </c>
      <c r="I2307" s="1">
        <v>3</v>
      </c>
      <c r="J2307" s="4">
        <v>0.33</v>
      </c>
      <c r="K2307" s="1">
        <v>0</v>
      </c>
      <c r="L2307" s="1">
        <v>1</v>
      </c>
      <c r="M2307" s="32">
        <f>IF(Mecze[[#This Row],[PR]]=0,0,Mecze[[#This Row],[PR]]/Mecze[[#This Row],[CZAS]])</f>
        <v>1.0416666666666666E-2</v>
      </c>
      <c r="N2307" s="32">
        <f>IF(Mecze[[#This Row],[OU]]=0,0,Mecze[[#This Row],[OU]]/Mecze[[#This Row],[CZAS]])</f>
        <v>1.0416666666666666E-2</v>
      </c>
      <c r="O2307" s="32">
        <f>IF(Mecze[[#This Row],[PC]]=0,0,Mecze[[#This Row],[PC]]/Mecze[[#This Row],[CZAS]])</f>
        <v>7.2916666666666671E-2</v>
      </c>
      <c r="P2307" s="32">
        <f>IF(Mecze[[#This Row],[SC]]=0,0,Mecze[[#This Row],[SC]]/Mecze[[#This Row],[CZAS]])</f>
        <v>1.0416666666666666E-2</v>
      </c>
      <c r="Q2307" s="32">
        <f>IF(Mecze[[#This Row],[OB]]=0,0,Mecze[[#This Row],[OB]]/Mecze[[#This Row],[CZAS]])</f>
        <v>0</v>
      </c>
      <c r="R2307" s="32">
        <f>IF(Mecze[[#This Row],[BR]]=0,0,Mecze[[#This Row],[BR]]/Mecze[[#This Row],[CZAS]])</f>
        <v>1.0416666666666666E-2</v>
      </c>
      <c r="S2307" s="44">
        <f>IF(Mecze[[#This Row],[Role]]="BR",SUMPRODUCT(Mecze[[#This Row],[/PR:90]:[/BR:90]],Brudnopis!$E$23:$J$23),0)</f>
        <v>0</v>
      </c>
      <c r="T2307" s="44">
        <f>IF(Mecze[[#This Row],[Role]]&lt;&gt;"BR",SUMPRODUCT(Mecze[[#This Row],[/PR:90]:[/BR:90]],Brudnopis!$E$24:$J$24),0)</f>
        <v>0.125</v>
      </c>
      <c r="U2307" s="44">
        <f>IF(Mecze[[#This Row],[Role]]&lt;&gt;"BR",SUMPRODUCT(Mecze[[#This Row],[/PR:90]:[/BR:90]],Brudnopis!$E$25:$J$25),0)</f>
        <v>0.15625</v>
      </c>
      <c r="V2307" s="44">
        <f>IF(Mecze[[#This Row],[Role]]&lt;&gt;"BR",SUMPRODUCT(Mecze[[#This Row],[/PR:90]:[/BR:90]],Brudnopis!$E$26:$J$26),0)</f>
        <v>0.125</v>
      </c>
      <c r="W2307" s="44">
        <f>IF(Mecze[[#This Row],[Role]]&lt;&gt;"BR",SUMPRODUCT(Mecze[[#This Row],[/PR:90]:[/BR:90]],Brudnopis!$E$27:$J$27),0)</f>
        <v>0.15625</v>
      </c>
      <c r="X2307" s="44">
        <f>IF(Mecze[[#This Row],[Role]]&lt;&gt;"BR",SUMPRODUCT(Mecze[[#This Row],[/PR:90]:[/BR:90]],Brudnopis!$E$28:$J$28),0)</f>
        <v>0.125</v>
      </c>
      <c r="Y2307" s="35">
        <f>IF(Mecze[[#This Row],[Role]]="BR",Mecze[[#This Row],[/OB:90]]+Mecze[[#This Row],[/PC:90]],SUM(Mecze[[#This Row],[/PR:90]:[/BR:90]]))</f>
        <v>0.11458333333333334</v>
      </c>
      <c r="Z2307" s="35">
        <f>IF(Mecze[[#This Row],[KC]]=0,SUM(Mecze[[#This Row],[/BRI]:[/NPI]]),SUM(Mecze[[#This Row],[/BRI]:[/NPI]])*0.6)</f>
        <v>0.6875</v>
      </c>
      <c r="AA2307" s="10">
        <f>IFERROR(Mecze[[#This Row],[BR]]/Mecze[[#This Row],[ST]],0)</f>
        <v>1</v>
      </c>
      <c r="AB2307">
        <f>ROUND(Mecze[[#This Row],[PD]]*Mecze[[#This Row],[%PC]],0)</f>
        <v>7</v>
      </c>
      <c r="AC2307">
        <f>ROUND(Mecze[[#This Row],[OD]]*Mecze[[#This Row],[%OU]],0)</f>
        <v>1</v>
      </c>
      <c r="AD2307" s="36" t="s">
        <v>47</v>
      </c>
      <c r="AE2307" s="36">
        <v>129</v>
      </c>
      <c r="AF2307" s="71">
        <v>7.25</v>
      </c>
      <c r="AG2307" s="37">
        <v>0</v>
      </c>
      <c r="AH2307" s="37">
        <v>0</v>
      </c>
      <c r="AI2307" s="37">
        <v>96</v>
      </c>
      <c r="AJ2307" s="37">
        <v>9</v>
      </c>
      <c r="AK2307" s="37" t="str">
        <f>VLOOKUP(Mecze[[#This Row],[Match ID]],Meczusie[Mecz]:Meczusie[RodzajMeczu],2,FALSE)</f>
        <v>Liga</v>
      </c>
    </row>
    <row r="2308" spans="1:37" x14ac:dyDescent="0.25">
      <c r="A2308" s="76">
        <v>16</v>
      </c>
      <c r="B2308" s="3" t="s">
        <v>405</v>
      </c>
      <c r="C2308" s="2" t="s">
        <v>157</v>
      </c>
      <c r="D2308" s="1">
        <v>0</v>
      </c>
      <c r="E2308" s="1">
        <v>0</v>
      </c>
      <c r="F2308" s="1">
        <v>0</v>
      </c>
      <c r="G2308" s="1">
        <v>3</v>
      </c>
      <c r="H2308" s="4">
        <v>0.67</v>
      </c>
      <c r="I2308" s="1">
        <v>1</v>
      </c>
      <c r="J2308" s="4">
        <v>1</v>
      </c>
      <c r="K2308" s="1">
        <v>0</v>
      </c>
      <c r="L2308" s="1">
        <v>2</v>
      </c>
      <c r="M2308" s="32">
        <f>IF(Mecze[[#This Row],[PR]]=0,0,Mecze[[#This Row],[PR]]/Mecze[[#This Row],[CZAS]])</f>
        <v>2.0833333333333332E-2</v>
      </c>
      <c r="N2308" s="32">
        <f>IF(Mecze[[#This Row],[OU]]=0,0,Mecze[[#This Row],[OU]]/Mecze[[#This Row],[CZAS]])</f>
        <v>1.0416666666666666E-2</v>
      </c>
      <c r="O2308" s="32">
        <f>IF(Mecze[[#This Row],[PC]]=0,0,Mecze[[#This Row],[PC]]/Mecze[[#This Row],[CZAS]])</f>
        <v>2.0833333333333332E-2</v>
      </c>
      <c r="P2308" s="32">
        <f>IF(Mecze[[#This Row],[SC]]=0,0,Mecze[[#This Row],[SC]]/Mecze[[#This Row],[CZAS]])</f>
        <v>0</v>
      </c>
      <c r="Q2308" s="32">
        <f>IF(Mecze[[#This Row],[OB]]=0,0,Mecze[[#This Row],[OB]]/Mecze[[#This Row],[CZAS]])</f>
        <v>0</v>
      </c>
      <c r="R2308" s="32">
        <f>IF(Mecze[[#This Row],[BR]]=0,0,Mecze[[#This Row],[BR]]/Mecze[[#This Row],[CZAS]])</f>
        <v>0</v>
      </c>
      <c r="S2308" s="44">
        <f>IF(Mecze[[#This Row],[Role]]="BR",SUMPRODUCT(Mecze[[#This Row],[/PR:90]:[/BR:90]],Brudnopis!$E$23:$J$23),0)</f>
        <v>0</v>
      </c>
      <c r="T2308" s="44">
        <f>IF(Mecze[[#This Row],[Role]]&lt;&gt;"BR",SUMPRODUCT(Mecze[[#This Row],[/PR:90]:[/BR:90]],Brudnopis!$E$24:$J$24),0)</f>
        <v>5.7291666666666657E-2</v>
      </c>
      <c r="U2308" s="44">
        <f>IF(Mecze[[#This Row],[Role]]&lt;&gt;"BR",SUMPRODUCT(Mecze[[#This Row],[/PR:90]:[/BR:90]],Brudnopis!$E$25:$J$25),0)</f>
        <v>6.25E-2</v>
      </c>
      <c r="V2308" s="44">
        <f>IF(Mecze[[#This Row],[Role]]&lt;&gt;"BR",SUMPRODUCT(Mecze[[#This Row],[/PR:90]:[/BR:90]],Brudnopis!$E$26:$J$26),0)</f>
        <v>5.2083333333333329E-2</v>
      </c>
      <c r="W2308" s="44">
        <f>IF(Mecze[[#This Row],[Role]]&lt;&gt;"BR",SUMPRODUCT(Mecze[[#This Row],[/PR:90]:[/BR:90]],Brudnopis!$E$27:$J$27),0)</f>
        <v>5.46875E-2</v>
      </c>
      <c r="X2308" s="44">
        <f>IF(Mecze[[#This Row],[Role]]&lt;&gt;"BR",SUMPRODUCT(Mecze[[#This Row],[/PR:90]:[/BR:90]],Brudnopis!$E$28:$J$28),0)</f>
        <v>2.0833333333333332E-2</v>
      </c>
      <c r="Y2308" s="35">
        <f>IF(Mecze[[#This Row],[Role]]="BR",Mecze[[#This Row],[/OB:90]]+Mecze[[#This Row],[/PC:90]],SUM(Mecze[[#This Row],[/PR:90]:[/BR:90]]))</f>
        <v>5.2083333333333329E-2</v>
      </c>
      <c r="Z2308" s="35">
        <f>IF(Mecze[[#This Row],[KC]]=0,SUM(Mecze[[#This Row],[/BRI]:[/NPI]]),SUM(Mecze[[#This Row],[/BRI]:[/NPI]])*0.6)</f>
        <v>0.24739583333333334</v>
      </c>
      <c r="AA2308" s="10">
        <f>IFERROR(Mecze[[#This Row],[BR]]/Mecze[[#This Row],[ST]],0)</f>
        <v>0</v>
      </c>
      <c r="AB2308">
        <f>ROUND(Mecze[[#This Row],[PD]]*Mecze[[#This Row],[%PC]],0)</f>
        <v>2</v>
      </c>
      <c r="AC2308">
        <f>ROUND(Mecze[[#This Row],[OD]]*Mecze[[#This Row],[%OU]],0)</f>
        <v>1</v>
      </c>
      <c r="AD2308" s="36" t="s">
        <v>167</v>
      </c>
      <c r="AE2308" s="36">
        <v>129</v>
      </c>
      <c r="AF2308" s="71">
        <v>7.46</v>
      </c>
      <c r="AG2308" s="37">
        <v>0</v>
      </c>
      <c r="AH2308" s="37">
        <v>0</v>
      </c>
      <c r="AI2308" s="37">
        <v>96</v>
      </c>
      <c r="AJ2308" s="37">
        <v>9</v>
      </c>
      <c r="AK2308" s="37" t="str">
        <f>VLOOKUP(Mecze[[#This Row],[Match ID]],Meczusie[Mecz]:Meczusie[RodzajMeczu],2,FALSE)</f>
        <v>Liga</v>
      </c>
    </row>
    <row r="2309" spans="1:37" x14ac:dyDescent="0.25">
      <c r="A2309" s="76">
        <v>3</v>
      </c>
      <c r="B2309" s="3" t="s">
        <v>292</v>
      </c>
      <c r="C2309" s="2" t="s">
        <v>160</v>
      </c>
      <c r="D2309" s="1">
        <v>0</v>
      </c>
      <c r="E2309" s="1">
        <v>0</v>
      </c>
      <c r="F2309" s="1">
        <v>0</v>
      </c>
      <c r="G2309" s="1">
        <v>7</v>
      </c>
      <c r="H2309" s="4">
        <v>1</v>
      </c>
      <c r="I2309" s="1">
        <v>1</v>
      </c>
      <c r="J2309" s="4">
        <v>1</v>
      </c>
      <c r="K2309" s="1">
        <v>0</v>
      </c>
      <c r="L2309" s="1">
        <v>2</v>
      </c>
      <c r="M2309" s="32">
        <f>IF(Mecze[[#This Row],[PR]]=0,0,Mecze[[#This Row],[PR]]/Mecze[[#This Row],[CZAS]])</f>
        <v>2.0833333333333332E-2</v>
      </c>
      <c r="N2309" s="32">
        <f>IF(Mecze[[#This Row],[OU]]=0,0,Mecze[[#This Row],[OU]]/Mecze[[#This Row],[CZAS]])</f>
        <v>1.0416666666666666E-2</v>
      </c>
      <c r="O2309" s="32">
        <f>IF(Mecze[[#This Row],[PC]]=0,0,Mecze[[#This Row],[PC]]/Mecze[[#This Row],[CZAS]])</f>
        <v>7.2916666666666671E-2</v>
      </c>
      <c r="P2309" s="32">
        <f>IF(Mecze[[#This Row],[SC]]=0,0,Mecze[[#This Row],[SC]]/Mecze[[#This Row],[CZAS]])</f>
        <v>0</v>
      </c>
      <c r="Q2309" s="32">
        <f>IF(Mecze[[#This Row],[OB]]=0,0,Mecze[[#This Row],[OB]]/Mecze[[#This Row],[CZAS]])</f>
        <v>0</v>
      </c>
      <c r="R2309" s="32">
        <f>IF(Mecze[[#This Row],[BR]]=0,0,Mecze[[#This Row],[BR]]/Mecze[[#This Row],[CZAS]])</f>
        <v>0</v>
      </c>
      <c r="S2309" s="44">
        <f>IF(Mecze[[#This Row],[Role]]="BR",SUMPRODUCT(Mecze[[#This Row],[/PR:90]:[/BR:90]],Brudnopis!$E$23:$J$23),0)</f>
        <v>0</v>
      </c>
      <c r="T2309" s="44">
        <f>IF(Mecze[[#This Row],[Role]]&lt;&gt;"BR",SUMPRODUCT(Mecze[[#This Row],[/PR:90]:[/BR:90]],Brudnopis!$E$24:$J$24),0)</f>
        <v>0.109375</v>
      </c>
      <c r="U2309" s="44">
        <f>IF(Mecze[[#This Row],[Role]]&lt;&gt;"BR",SUMPRODUCT(Mecze[[#This Row],[/PR:90]:[/BR:90]],Brudnopis!$E$25:$J$25),0)</f>
        <v>0.140625</v>
      </c>
      <c r="V2309" s="44">
        <f>IF(Mecze[[#This Row],[Role]]&lt;&gt;"BR",SUMPRODUCT(Mecze[[#This Row],[/PR:90]:[/BR:90]],Brudnopis!$E$26:$J$26),0)</f>
        <v>0.10416666666666667</v>
      </c>
      <c r="W2309" s="44">
        <f>IF(Mecze[[#This Row],[Role]]&lt;&gt;"BR",SUMPRODUCT(Mecze[[#This Row],[/PR:90]:[/BR:90]],Brudnopis!$E$27:$J$27),0)</f>
        <v>0.1328125</v>
      </c>
      <c r="X2309" s="44">
        <f>IF(Mecze[[#This Row],[Role]]&lt;&gt;"BR",SUMPRODUCT(Mecze[[#This Row],[/PR:90]:[/BR:90]],Brudnopis!$E$28:$J$28),0)</f>
        <v>7.2916666666666671E-2</v>
      </c>
      <c r="Y2309" s="35">
        <f>IF(Mecze[[#This Row],[Role]]="BR",Mecze[[#This Row],[/OB:90]]+Mecze[[#This Row],[/PC:90]],SUM(Mecze[[#This Row],[/PR:90]:[/BR:90]]))</f>
        <v>0.10416666666666667</v>
      </c>
      <c r="Z2309" s="35">
        <f>IF(Mecze[[#This Row],[KC]]=0,SUM(Mecze[[#This Row],[/BRI]:[/NPI]]),SUM(Mecze[[#This Row],[/BRI]:[/NPI]])*0.6)</f>
        <v>0.55989583333333337</v>
      </c>
      <c r="AA2309" s="10">
        <f>IFERROR(Mecze[[#This Row],[BR]]/Mecze[[#This Row],[ST]],0)</f>
        <v>0</v>
      </c>
      <c r="AB2309">
        <f>ROUND(Mecze[[#This Row],[PD]]*Mecze[[#This Row],[%PC]],0)</f>
        <v>7</v>
      </c>
      <c r="AC2309">
        <f>ROUND(Mecze[[#This Row],[OD]]*Mecze[[#This Row],[%OU]],0)</f>
        <v>1</v>
      </c>
      <c r="AD2309" s="36" t="s">
        <v>173</v>
      </c>
      <c r="AE2309" s="36">
        <v>129</v>
      </c>
      <c r="AF2309" s="71">
        <v>10.79</v>
      </c>
      <c r="AG2309" s="37">
        <v>0</v>
      </c>
      <c r="AH2309" s="37">
        <v>0</v>
      </c>
      <c r="AI2309" s="37">
        <v>96</v>
      </c>
      <c r="AJ2309" s="37">
        <v>9</v>
      </c>
      <c r="AK2309" s="37" t="str">
        <f>VLOOKUP(Mecze[[#This Row],[Match ID]],Meczusie[Mecz]:Meczusie[RodzajMeczu],2,FALSE)</f>
        <v>Liga</v>
      </c>
    </row>
    <row r="2310" spans="1:37" x14ac:dyDescent="0.25">
      <c r="A2310" s="76">
        <v>14</v>
      </c>
      <c r="B2310" s="3" t="s">
        <v>293</v>
      </c>
      <c r="C2310" s="2" t="s">
        <v>160</v>
      </c>
      <c r="D2310" s="1">
        <v>0</v>
      </c>
      <c r="E2310" s="1">
        <v>0</v>
      </c>
      <c r="F2310" s="1">
        <v>0</v>
      </c>
      <c r="G2310" s="1">
        <v>4</v>
      </c>
      <c r="H2310" s="4">
        <v>1</v>
      </c>
      <c r="I2310" s="1">
        <v>2</v>
      </c>
      <c r="J2310" s="4">
        <v>1</v>
      </c>
      <c r="K2310" s="1">
        <v>0</v>
      </c>
      <c r="L2310" s="1">
        <v>3</v>
      </c>
      <c r="M2310" s="32">
        <f>IF(Mecze[[#This Row],[PR]]=0,0,Mecze[[#This Row],[PR]]/Mecze[[#This Row],[CZAS]])</f>
        <v>3.125E-2</v>
      </c>
      <c r="N2310" s="32">
        <f>IF(Mecze[[#This Row],[OU]]=0,0,Mecze[[#This Row],[OU]]/Mecze[[#This Row],[CZAS]])</f>
        <v>2.0833333333333332E-2</v>
      </c>
      <c r="O2310" s="32">
        <f>IF(Mecze[[#This Row],[PC]]=0,0,Mecze[[#This Row],[PC]]/Mecze[[#This Row],[CZAS]])</f>
        <v>4.1666666666666664E-2</v>
      </c>
      <c r="P2310" s="32">
        <f>IF(Mecze[[#This Row],[SC]]=0,0,Mecze[[#This Row],[SC]]/Mecze[[#This Row],[CZAS]])</f>
        <v>0</v>
      </c>
      <c r="Q2310" s="32">
        <f>IF(Mecze[[#This Row],[OB]]=0,0,Mecze[[#This Row],[OB]]/Mecze[[#This Row],[CZAS]])</f>
        <v>0</v>
      </c>
      <c r="R2310" s="32">
        <f>IF(Mecze[[#This Row],[BR]]=0,0,Mecze[[#This Row],[BR]]/Mecze[[#This Row],[CZAS]])</f>
        <v>0</v>
      </c>
      <c r="S2310" s="44">
        <f>IF(Mecze[[#This Row],[Role]]="BR",SUMPRODUCT(Mecze[[#This Row],[/PR:90]:[/BR:90]],Brudnopis!$E$23:$J$23),0)</f>
        <v>0</v>
      </c>
      <c r="T2310" s="44">
        <f>IF(Mecze[[#This Row],[Role]]&lt;&gt;"BR",SUMPRODUCT(Mecze[[#This Row],[/PR:90]:[/BR:90]],Brudnopis!$E$24:$J$24),0)</f>
        <v>0.10416666666666666</v>
      </c>
      <c r="U2310" s="44">
        <f>IF(Mecze[[#This Row],[Role]]&lt;&gt;"BR",SUMPRODUCT(Mecze[[#This Row],[/PR:90]:[/BR:90]],Brudnopis!$E$25:$J$25),0)</f>
        <v>0.11458333333333333</v>
      </c>
      <c r="V2310" s="44">
        <f>IF(Mecze[[#This Row],[Role]]&lt;&gt;"BR",SUMPRODUCT(Mecze[[#This Row],[/PR:90]:[/BR:90]],Brudnopis!$E$26:$J$26),0)</f>
        <v>9.375E-2</v>
      </c>
      <c r="W2310" s="44">
        <f>IF(Mecze[[#This Row],[Role]]&lt;&gt;"BR",SUMPRODUCT(Mecze[[#This Row],[/PR:90]:[/BR:90]],Brudnopis!$E$27:$J$27),0)</f>
        <v>0.1015625</v>
      </c>
      <c r="X2310" s="44">
        <f>IF(Mecze[[#This Row],[Role]]&lt;&gt;"BR",SUMPRODUCT(Mecze[[#This Row],[/PR:90]:[/BR:90]],Brudnopis!$E$28:$J$28),0)</f>
        <v>4.1666666666666664E-2</v>
      </c>
      <c r="Y2310" s="35">
        <f>IF(Mecze[[#This Row],[Role]]="BR",Mecze[[#This Row],[/OB:90]]+Mecze[[#This Row],[/PC:90]],SUM(Mecze[[#This Row],[/PR:90]:[/BR:90]]))</f>
        <v>9.375E-2</v>
      </c>
      <c r="Z2310" s="35">
        <f>IF(Mecze[[#This Row],[KC]]=0,SUM(Mecze[[#This Row],[/BRI]:[/NPI]]),SUM(Mecze[[#This Row],[/BRI]:[/NPI]])*0.6)</f>
        <v>0.45572916666666669</v>
      </c>
      <c r="AA2310" s="10">
        <f>IFERROR(Mecze[[#This Row],[BR]]/Mecze[[#This Row],[ST]],0)</f>
        <v>0</v>
      </c>
      <c r="AB2310">
        <f>ROUND(Mecze[[#This Row],[PD]]*Mecze[[#This Row],[%PC]],0)</f>
        <v>4</v>
      </c>
      <c r="AC2310">
        <f>ROUND(Mecze[[#This Row],[OD]]*Mecze[[#This Row],[%OU]],0)</f>
        <v>2</v>
      </c>
      <c r="AD2310" s="36" t="s">
        <v>172</v>
      </c>
      <c r="AE2310" s="36">
        <v>129</v>
      </c>
      <c r="AF2310" s="71">
        <v>7.67</v>
      </c>
      <c r="AG2310" s="37">
        <v>0</v>
      </c>
      <c r="AH2310" s="37">
        <v>0</v>
      </c>
      <c r="AI2310" s="37">
        <v>96</v>
      </c>
      <c r="AJ2310" s="37">
        <v>9</v>
      </c>
      <c r="AK2310" s="37" t="str">
        <f>VLOOKUP(Mecze[[#This Row],[Match ID]],Meczusie[Mecz]:Meczusie[RodzajMeczu],2,FALSE)</f>
        <v>Liga</v>
      </c>
    </row>
    <row r="2311" spans="1:37" x14ac:dyDescent="0.25">
      <c r="A2311" s="76">
        <v>8</v>
      </c>
      <c r="B2311" s="3" t="s">
        <v>294</v>
      </c>
      <c r="C2311" s="2" t="s">
        <v>160</v>
      </c>
      <c r="D2311" s="1">
        <v>1</v>
      </c>
      <c r="E2311" s="1">
        <v>7</v>
      </c>
      <c r="F2311" s="1">
        <v>3</v>
      </c>
      <c r="G2311" s="1">
        <v>8</v>
      </c>
      <c r="H2311" s="4">
        <v>0.88</v>
      </c>
      <c r="I2311" s="1">
        <v>9</v>
      </c>
      <c r="J2311" s="4">
        <v>0.56000000000000005</v>
      </c>
      <c r="K2311" s="1">
        <v>0</v>
      </c>
      <c r="L2311" s="1">
        <v>5</v>
      </c>
      <c r="M2311" s="32">
        <f>IF(Mecze[[#This Row],[PR]]=0,0,Mecze[[#This Row],[PR]]/Mecze[[#This Row],[CZAS]])</f>
        <v>5.2083333333333336E-2</v>
      </c>
      <c r="N2311" s="32">
        <f>IF(Mecze[[#This Row],[OU]]=0,0,Mecze[[#This Row],[OU]]/Mecze[[#This Row],[CZAS]])</f>
        <v>5.2083333333333336E-2</v>
      </c>
      <c r="O2311" s="32">
        <f>IF(Mecze[[#This Row],[PC]]=0,0,Mecze[[#This Row],[PC]]/Mecze[[#This Row],[CZAS]])</f>
        <v>7.2916666666666671E-2</v>
      </c>
      <c r="P2311" s="32">
        <f>IF(Mecze[[#This Row],[SC]]=0,0,Mecze[[#This Row],[SC]]/Mecze[[#This Row],[CZAS]])</f>
        <v>3.125E-2</v>
      </c>
      <c r="Q2311" s="32">
        <f>IF(Mecze[[#This Row],[OB]]=0,0,Mecze[[#This Row],[OB]]/Mecze[[#This Row],[CZAS]])</f>
        <v>0</v>
      </c>
      <c r="R2311" s="32">
        <f>IF(Mecze[[#This Row],[BR]]=0,0,Mecze[[#This Row],[BR]]/Mecze[[#This Row],[CZAS]])</f>
        <v>1.0416666666666666E-2</v>
      </c>
      <c r="S2311" s="44">
        <f>IF(Mecze[[#This Row],[Role]]="BR",SUMPRODUCT(Mecze[[#This Row],[/PR:90]:[/BR:90]],Brudnopis!$E$23:$J$23),0)</f>
        <v>0</v>
      </c>
      <c r="T2311" s="44">
        <f>IF(Mecze[[#This Row],[Role]]&lt;&gt;"BR",SUMPRODUCT(Mecze[[#This Row],[/PR:90]:[/BR:90]],Brudnopis!$E$24:$J$24),0)</f>
        <v>0.25</v>
      </c>
      <c r="U2311" s="44">
        <f>IF(Mecze[[#This Row],[Role]]&lt;&gt;"BR",SUMPRODUCT(Mecze[[#This Row],[/PR:90]:[/BR:90]],Brudnopis!$E$25:$J$25),0)</f>
        <v>0.26041666666666669</v>
      </c>
      <c r="V2311" s="44">
        <f>IF(Mecze[[#This Row],[Role]]&lt;&gt;"BR",SUMPRODUCT(Mecze[[#This Row],[/PR:90]:[/BR:90]],Brudnopis!$E$26:$J$26),0)</f>
        <v>0.22916666666666669</v>
      </c>
      <c r="W2311" s="44">
        <f>IF(Mecze[[#This Row],[Role]]&lt;&gt;"BR",SUMPRODUCT(Mecze[[#This Row],[/PR:90]:[/BR:90]],Brudnopis!$E$27:$J$27),0)</f>
        <v>0.23958333333333334</v>
      </c>
      <c r="X2311" s="44">
        <f>IF(Mecze[[#This Row],[Role]]&lt;&gt;"BR",SUMPRODUCT(Mecze[[#This Row],[/PR:90]:[/BR:90]],Brudnopis!$E$28:$J$28),0)</f>
        <v>0.16666666666666669</v>
      </c>
      <c r="Y2311" s="35">
        <f>IF(Mecze[[#This Row],[Role]]="BR",Mecze[[#This Row],[/OB:90]]+Mecze[[#This Row],[/PC:90]],SUM(Mecze[[#This Row],[/PR:90]:[/BR:90]]))</f>
        <v>0.21875</v>
      </c>
      <c r="Z2311" s="35">
        <f>IF(Mecze[[#This Row],[KC]]=0,SUM(Mecze[[#This Row],[/BRI]:[/NPI]]),SUM(Mecze[[#This Row],[/BRI]:[/NPI]])*0.6)</f>
        <v>1.1458333333333335</v>
      </c>
      <c r="AA2311" s="10">
        <f>IFERROR(Mecze[[#This Row],[BR]]/Mecze[[#This Row],[ST]],0)</f>
        <v>0.14285714285714285</v>
      </c>
      <c r="AB2311">
        <f>ROUND(Mecze[[#This Row],[PD]]*Mecze[[#This Row],[%PC]],0)</f>
        <v>7</v>
      </c>
      <c r="AC2311">
        <f>ROUND(Mecze[[#This Row],[OD]]*Mecze[[#This Row],[%OU]],0)</f>
        <v>5</v>
      </c>
      <c r="AD2311" s="36" t="s">
        <v>67</v>
      </c>
      <c r="AE2311" s="36">
        <v>129</v>
      </c>
      <c r="AF2311" s="71">
        <v>13.01</v>
      </c>
      <c r="AG2311" s="37">
        <v>0</v>
      </c>
      <c r="AH2311" s="37">
        <v>0</v>
      </c>
      <c r="AI2311" s="37">
        <v>96</v>
      </c>
      <c r="AJ2311" s="37">
        <v>9</v>
      </c>
      <c r="AK2311" s="37" t="str">
        <f>VLOOKUP(Mecze[[#This Row],[Match ID]],Meczusie[Mecz]:Meczusie[RodzajMeczu],2,FALSE)</f>
        <v>Liga</v>
      </c>
    </row>
    <row r="2312" spans="1:37" x14ac:dyDescent="0.25">
      <c r="A2312" s="76">
        <v>11</v>
      </c>
      <c r="B2312" s="3" t="s">
        <v>410</v>
      </c>
      <c r="C2312" s="2" t="s">
        <v>160</v>
      </c>
      <c r="D2312" s="1">
        <v>2</v>
      </c>
      <c r="E2312" s="1">
        <v>6</v>
      </c>
      <c r="F2312" s="1">
        <v>3</v>
      </c>
      <c r="G2312" s="1">
        <v>5</v>
      </c>
      <c r="H2312" s="4">
        <v>1</v>
      </c>
      <c r="I2312" s="1">
        <v>2</v>
      </c>
      <c r="J2312" s="4">
        <v>1</v>
      </c>
      <c r="K2312" s="1">
        <v>0</v>
      </c>
      <c r="L2312" s="1">
        <v>1</v>
      </c>
      <c r="M2312" s="32">
        <f>IF(Mecze[[#This Row],[PR]]=0,0,Mecze[[#This Row],[PR]]/Mecze[[#This Row],[CZAS]])</f>
        <v>1.0416666666666666E-2</v>
      </c>
      <c r="N2312" s="32">
        <f>IF(Mecze[[#This Row],[OU]]=0,0,Mecze[[#This Row],[OU]]/Mecze[[#This Row],[CZAS]])</f>
        <v>2.0833333333333332E-2</v>
      </c>
      <c r="O2312" s="32">
        <f>IF(Mecze[[#This Row],[PC]]=0,0,Mecze[[#This Row],[PC]]/Mecze[[#This Row],[CZAS]])</f>
        <v>5.2083333333333336E-2</v>
      </c>
      <c r="P2312" s="32">
        <f>IF(Mecze[[#This Row],[SC]]=0,0,Mecze[[#This Row],[SC]]/Mecze[[#This Row],[CZAS]])</f>
        <v>3.125E-2</v>
      </c>
      <c r="Q2312" s="32">
        <f>IF(Mecze[[#This Row],[OB]]=0,0,Mecze[[#This Row],[OB]]/Mecze[[#This Row],[CZAS]])</f>
        <v>0</v>
      </c>
      <c r="R2312" s="32">
        <f>IF(Mecze[[#This Row],[BR]]=0,0,Mecze[[#This Row],[BR]]/Mecze[[#This Row],[CZAS]])</f>
        <v>2.0833333333333332E-2</v>
      </c>
      <c r="S2312" s="44">
        <f>IF(Mecze[[#This Row],[Role]]="BR",SUMPRODUCT(Mecze[[#This Row],[/PR:90]:[/BR:90]],Brudnopis!$E$23:$J$23),0)</f>
        <v>0</v>
      </c>
      <c r="T2312" s="44">
        <f>IF(Mecze[[#This Row],[Role]]&lt;&gt;"BR",SUMPRODUCT(Mecze[[#This Row],[/PR:90]:[/BR:90]],Brudnopis!$E$24:$J$24),0)</f>
        <v>0.15625</v>
      </c>
      <c r="U2312" s="44">
        <f>IF(Mecze[[#This Row],[Role]]&lt;&gt;"BR",SUMPRODUCT(Mecze[[#This Row],[/PR:90]:[/BR:90]],Brudnopis!$E$25:$J$25),0)</f>
        <v>0.171875</v>
      </c>
      <c r="V2312" s="44">
        <f>IF(Mecze[[#This Row],[Role]]&lt;&gt;"BR",SUMPRODUCT(Mecze[[#This Row],[/PR:90]:[/BR:90]],Brudnopis!$E$26:$J$26),0)</f>
        <v>0.15625</v>
      </c>
      <c r="W2312" s="44">
        <f>IF(Mecze[[#This Row],[Role]]&lt;&gt;"BR",SUMPRODUCT(Mecze[[#This Row],[/PR:90]:[/BR:90]],Brudnopis!$E$27:$J$27),0)</f>
        <v>0.17447916666666666</v>
      </c>
      <c r="X2312" s="44">
        <f>IF(Mecze[[#This Row],[Role]]&lt;&gt;"BR",SUMPRODUCT(Mecze[[#This Row],[/PR:90]:[/BR:90]],Brudnopis!$E$28:$J$28),0)</f>
        <v>0.17708333333333334</v>
      </c>
      <c r="Y2312" s="35">
        <f>IF(Mecze[[#This Row],[Role]]="BR",Mecze[[#This Row],[/OB:90]]+Mecze[[#This Row],[/PC:90]],SUM(Mecze[[#This Row],[/PR:90]:[/BR:90]]))</f>
        <v>0.13541666666666669</v>
      </c>
      <c r="Z2312" s="35">
        <f>IF(Mecze[[#This Row],[KC]]=0,SUM(Mecze[[#This Row],[/BRI]:[/NPI]]),SUM(Mecze[[#This Row],[/BRI]:[/NPI]])*0.6)</f>
        <v>0.8359375</v>
      </c>
      <c r="AA2312" s="10">
        <f>IFERROR(Mecze[[#This Row],[BR]]/Mecze[[#This Row],[ST]],0)</f>
        <v>0.33333333333333331</v>
      </c>
      <c r="AB2312">
        <f>ROUND(Mecze[[#This Row],[PD]]*Mecze[[#This Row],[%PC]],0)</f>
        <v>5</v>
      </c>
      <c r="AC2312">
        <f>ROUND(Mecze[[#This Row],[OD]]*Mecze[[#This Row],[%OU]],0)</f>
        <v>2</v>
      </c>
      <c r="AD2312" s="36" t="s">
        <v>299</v>
      </c>
      <c r="AE2312" s="36">
        <v>129</v>
      </c>
      <c r="AF2312" s="71">
        <v>15.49</v>
      </c>
      <c r="AG2312" s="37">
        <v>0</v>
      </c>
      <c r="AH2312" s="37">
        <v>0</v>
      </c>
      <c r="AI2312" s="37">
        <v>96</v>
      </c>
      <c r="AJ2312" s="37">
        <v>9</v>
      </c>
      <c r="AK2312" s="37" t="str">
        <f>VLOOKUP(Mecze[[#This Row],[Match ID]],Meczusie[Mecz]:Meczusie[RodzajMeczu],2,FALSE)</f>
        <v>Liga</v>
      </c>
    </row>
    <row r="2313" spans="1:37" x14ac:dyDescent="0.25">
      <c r="A2313" s="76">
        <v>13</v>
      </c>
      <c r="B2313" s="3" t="s">
        <v>295</v>
      </c>
      <c r="C2313" s="2" t="s">
        <v>160</v>
      </c>
      <c r="D2313" s="1">
        <v>1</v>
      </c>
      <c r="E2313" s="1">
        <v>2</v>
      </c>
      <c r="F2313" s="1">
        <v>2</v>
      </c>
      <c r="G2313" s="1">
        <v>4</v>
      </c>
      <c r="H2313" s="4">
        <v>1</v>
      </c>
      <c r="I2313" s="1">
        <v>1</v>
      </c>
      <c r="J2313" s="4">
        <v>1</v>
      </c>
      <c r="K2313" s="1">
        <v>0</v>
      </c>
      <c r="L2313" s="1">
        <v>1</v>
      </c>
      <c r="M2313" s="32">
        <f>IF(Mecze[[#This Row],[PR]]=0,0,Mecze[[#This Row],[PR]]/Mecze[[#This Row],[CZAS]])</f>
        <v>1.0416666666666666E-2</v>
      </c>
      <c r="N2313" s="32">
        <f>IF(Mecze[[#This Row],[OU]]=0,0,Mecze[[#This Row],[OU]]/Mecze[[#This Row],[CZAS]])</f>
        <v>1.0416666666666666E-2</v>
      </c>
      <c r="O2313" s="32">
        <f>IF(Mecze[[#This Row],[PC]]=0,0,Mecze[[#This Row],[PC]]/Mecze[[#This Row],[CZAS]])</f>
        <v>4.1666666666666664E-2</v>
      </c>
      <c r="P2313" s="32">
        <f>IF(Mecze[[#This Row],[SC]]=0,0,Mecze[[#This Row],[SC]]/Mecze[[#This Row],[CZAS]])</f>
        <v>2.0833333333333332E-2</v>
      </c>
      <c r="Q2313" s="32">
        <f>IF(Mecze[[#This Row],[OB]]=0,0,Mecze[[#This Row],[OB]]/Mecze[[#This Row],[CZAS]])</f>
        <v>0</v>
      </c>
      <c r="R2313" s="32">
        <f>IF(Mecze[[#This Row],[BR]]=0,0,Mecze[[#This Row],[BR]]/Mecze[[#This Row],[CZAS]])</f>
        <v>1.0416666666666666E-2</v>
      </c>
      <c r="S2313" s="44">
        <f>IF(Mecze[[#This Row],[Role]]="BR",SUMPRODUCT(Mecze[[#This Row],[/PR:90]:[/BR:90]],Brudnopis!$E$23:$J$23),0)</f>
        <v>0</v>
      </c>
      <c r="T2313" s="44">
        <f>IF(Mecze[[#This Row],[Role]]&lt;&gt;"BR",SUMPRODUCT(Mecze[[#This Row],[/PR:90]:[/BR:90]],Brudnopis!$E$24:$J$24),0)</f>
        <v>0.10416666666666666</v>
      </c>
      <c r="U2313" s="44">
        <f>IF(Mecze[[#This Row],[Role]]&lt;&gt;"BR",SUMPRODUCT(Mecze[[#This Row],[/PR:90]:[/BR:90]],Brudnopis!$E$25:$J$25),0)</f>
        <v>0.11979166666666666</v>
      </c>
      <c r="V2313" s="44">
        <f>IF(Mecze[[#This Row],[Role]]&lt;&gt;"BR",SUMPRODUCT(Mecze[[#This Row],[/PR:90]:[/BR:90]],Brudnopis!$E$26:$J$26),0)</f>
        <v>0.10416666666666666</v>
      </c>
      <c r="W2313" s="44">
        <f>IF(Mecze[[#This Row],[Role]]&lt;&gt;"BR",SUMPRODUCT(Mecze[[#This Row],[/PR:90]:[/BR:90]],Brudnopis!$E$27:$J$27),0)</f>
        <v>0.11979166666666666</v>
      </c>
      <c r="X2313" s="44">
        <f>IF(Mecze[[#This Row],[Role]]&lt;&gt;"BR",SUMPRODUCT(Mecze[[#This Row],[/PR:90]:[/BR:90]],Brudnopis!$E$28:$J$28),0)</f>
        <v>0.11458333333333333</v>
      </c>
      <c r="Y2313" s="35">
        <f>IF(Mecze[[#This Row],[Role]]="BR",Mecze[[#This Row],[/OB:90]]+Mecze[[#This Row],[/PC:90]],SUM(Mecze[[#This Row],[/PR:90]:[/BR:90]]))</f>
        <v>9.375E-2</v>
      </c>
      <c r="Z2313" s="35">
        <f>IF(Mecze[[#This Row],[KC]]=0,SUM(Mecze[[#This Row],[/BRI]:[/NPI]]),SUM(Mecze[[#This Row],[/BRI]:[/NPI]])*0.6)</f>
        <v>0.5625</v>
      </c>
      <c r="AA2313" s="10">
        <f>IFERROR(Mecze[[#This Row],[BR]]/Mecze[[#This Row],[ST]],0)</f>
        <v>0.5</v>
      </c>
      <c r="AB2313">
        <f>ROUND(Mecze[[#This Row],[PD]]*Mecze[[#This Row],[%PC]],0)</f>
        <v>4</v>
      </c>
      <c r="AC2313">
        <f>ROUND(Mecze[[#This Row],[OD]]*Mecze[[#This Row],[%OU]],0)</f>
        <v>1</v>
      </c>
      <c r="AD2313" s="36" t="s">
        <v>171</v>
      </c>
      <c r="AE2313" s="36">
        <v>129</v>
      </c>
      <c r="AF2313" s="71">
        <v>9.82</v>
      </c>
      <c r="AG2313" s="37">
        <v>0</v>
      </c>
      <c r="AH2313" s="37">
        <v>0</v>
      </c>
      <c r="AI2313" s="37">
        <v>96</v>
      </c>
      <c r="AJ2313" s="37">
        <v>9</v>
      </c>
      <c r="AK2313" s="37" t="str">
        <f>VLOOKUP(Mecze[[#This Row],[Match ID]],Meczusie[Mecz]:Meczusie[RodzajMeczu],2,FALSE)</f>
        <v>Liga</v>
      </c>
    </row>
    <row r="2314" spans="1:37" x14ac:dyDescent="0.25">
      <c r="A2314" s="76">
        <v>9</v>
      </c>
      <c r="B2314" s="3" t="s">
        <v>296</v>
      </c>
      <c r="C2314" s="2" t="s">
        <v>165</v>
      </c>
      <c r="D2314" s="1">
        <v>6</v>
      </c>
      <c r="E2314" s="1">
        <v>12</v>
      </c>
      <c r="F2314" s="1">
        <v>8</v>
      </c>
      <c r="G2314" s="1">
        <v>0</v>
      </c>
      <c r="H2314" s="72"/>
      <c r="I2314" s="1">
        <v>0</v>
      </c>
      <c r="J2314" s="4"/>
      <c r="K2314" s="1">
        <v>0</v>
      </c>
      <c r="L2314" s="1">
        <v>0</v>
      </c>
      <c r="M2314" s="32">
        <f>IF(Mecze[[#This Row],[PR]]=0,0,Mecze[[#This Row],[PR]]/Mecze[[#This Row],[CZAS]])</f>
        <v>0</v>
      </c>
      <c r="N2314" s="32">
        <f>IF(Mecze[[#This Row],[OU]]=0,0,Mecze[[#This Row],[OU]]/Mecze[[#This Row],[CZAS]])</f>
        <v>0</v>
      </c>
      <c r="O2314" s="32">
        <f>IF(Mecze[[#This Row],[PC]]=0,0,Mecze[[#This Row],[PC]]/Mecze[[#This Row],[CZAS]])</f>
        <v>0</v>
      </c>
      <c r="P2314" s="32">
        <f>IF(Mecze[[#This Row],[SC]]=0,0,Mecze[[#This Row],[SC]]/Mecze[[#This Row],[CZAS]])</f>
        <v>8.3333333333333329E-2</v>
      </c>
      <c r="Q2314" s="32">
        <f>IF(Mecze[[#This Row],[OB]]=0,0,Mecze[[#This Row],[OB]]/Mecze[[#This Row],[CZAS]])</f>
        <v>0</v>
      </c>
      <c r="R2314" s="32">
        <f>IF(Mecze[[#This Row],[BR]]=0,0,Mecze[[#This Row],[BR]]/Mecze[[#This Row],[CZAS]])</f>
        <v>6.25E-2</v>
      </c>
      <c r="S2314" s="44">
        <f>IF(Mecze[[#This Row],[Role]]="BR",SUMPRODUCT(Mecze[[#This Row],[/PR:90]:[/BR:90]],Brudnopis!$E$23:$J$23),0)</f>
        <v>0</v>
      </c>
      <c r="T2314" s="44">
        <f>IF(Mecze[[#This Row],[Role]]&lt;&gt;"BR",SUMPRODUCT(Mecze[[#This Row],[/PR:90]:[/BR:90]],Brudnopis!$E$24:$J$24),0)</f>
        <v>0.17708333333333331</v>
      </c>
      <c r="U2314" s="44">
        <f>IF(Mecze[[#This Row],[Role]]&lt;&gt;"BR",SUMPRODUCT(Mecze[[#This Row],[/PR:90]:[/BR:90]],Brudnopis!$E$25:$J$25),0)</f>
        <v>0.17708333333333331</v>
      </c>
      <c r="V2314" s="44">
        <f>IF(Mecze[[#This Row],[Role]]&lt;&gt;"BR",SUMPRODUCT(Mecze[[#This Row],[/PR:90]:[/BR:90]],Brudnopis!$E$26:$J$26),0)</f>
        <v>0.20833333333333331</v>
      </c>
      <c r="W2314" s="44">
        <f>IF(Mecze[[#This Row],[Role]]&lt;&gt;"BR",SUMPRODUCT(Mecze[[#This Row],[/PR:90]:[/BR:90]],Brudnopis!$E$27:$J$27),0)</f>
        <v>0.20833333333333331</v>
      </c>
      <c r="X2314" s="44">
        <f>IF(Mecze[[#This Row],[Role]]&lt;&gt;"BR",SUMPRODUCT(Mecze[[#This Row],[/PR:90]:[/BR:90]],Brudnopis!$E$28:$J$28),0)</f>
        <v>0.35416666666666663</v>
      </c>
      <c r="Y2314" s="35">
        <f>IF(Mecze[[#This Row],[Role]]="BR",Mecze[[#This Row],[/OB:90]]+Mecze[[#This Row],[/PC:90]],SUM(Mecze[[#This Row],[/PR:90]:[/BR:90]]))</f>
        <v>0.14583333333333331</v>
      </c>
      <c r="Z2314" s="35">
        <f>IF(Mecze[[#This Row],[KC]]=0,SUM(Mecze[[#This Row],[/BRI]:[/NPI]]),SUM(Mecze[[#This Row],[/BRI]:[/NPI]])*0.6)</f>
        <v>1.125</v>
      </c>
      <c r="AA2314" s="10">
        <f>IFERROR(Mecze[[#This Row],[BR]]/Mecze[[#This Row],[ST]],0)</f>
        <v>0.5</v>
      </c>
      <c r="AB2314">
        <f>ROUND(Mecze[[#This Row],[PD]]*Mecze[[#This Row],[%PC]],0)</f>
        <v>0</v>
      </c>
      <c r="AC2314">
        <f>ROUND(Mecze[[#This Row],[OD]]*Mecze[[#This Row],[%OU]],0)</f>
        <v>0</v>
      </c>
      <c r="AD2314" s="36" t="s">
        <v>272</v>
      </c>
      <c r="AE2314" s="36">
        <v>129</v>
      </c>
      <c r="AF2314" s="71">
        <v>19.489999999999998</v>
      </c>
      <c r="AG2314" s="37">
        <v>0</v>
      </c>
      <c r="AH2314" s="37">
        <v>0</v>
      </c>
      <c r="AI2314" s="37">
        <v>96</v>
      </c>
      <c r="AJ2314" s="37">
        <v>9</v>
      </c>
      <c r="AK2314" s="37" t="str">
        <f>VLOOKUP(Mecze[[#This Row],[Match ID]],Meczusie[Mecz]:Meczusie[RodzajMeczu],2,FALSE)</f>
        <v>Liga</v>
      </c>
    </row>
    <row r="2315" spans="1:37" x14ac:dyDescent="0.25">
      <c r="A2315" s="76">
        <v>6</v>
      </c>
      <c r="B2315" s="3" t="s">
        <v>297</v>
      </c>
      <c r="C2315" s="2" t="s">
        <v>165</v>
      </c>
      <c r="D2315" s="1">
        <v>3</v>
      </c>
      <c r="E2315" s="1">
        <v>6</v>
      </c>
      <c r="F2315" s="1">
        <v>5</v>
      </c>
      <c r="G2315" s="1">
        <v>11</v>
      </c>
      <c r="H2315" s="4">
        <v>0.91</v>
      </c>
      <c r="I2315" s="1">
        <v>0</v>
      </c>
      <c r="J2315" s="4"/>
      <c r="K2315" s="1">
        <v>0</v>
      </c>
      <c r="L2315" s="1">
        <v>2</v>
      </c>
      <c r="M2315" s="32">
        <f>IF(Mecze[[#This Row],[PR]]=0,0,Mecze[[#This Row],[PR]]/Mecze[[#This Row],[CZAS]])</f>
        <v>2.0833333333333332E-2</v>
      </c>
      <c r="N2315" s="32">
        <f>IF(Mecze[[#This Row],[OU]]=0,0,Mecze[[#This Row],[OU]]/Mecze[[#This Row],[CZAS]])</f>
        <v>0</v>
      </c>
      <c r="O2315" s="32">
        <f>IF(Mecze[[#This Row],[PC]]=0,0,Mecze[[#This Row],[PC]]/Mecze[[#This Row],[CZAS]])</f>
        <v>0.10416666666666667</v>
      </c>
      <c r="P2315" s="32">
        <f>IF(Mecze[[#This Row],[SC]]=0,0,Mecze[[#This Row],[SC]]/Mecze[[#This Row],[CZAS]])</f>
        <v>5.2083333333333336E-2</v>
      </c>
      <c r="Q2315" s="32">
        <f>IF(Mecze[[#This Row],[OB]]=0,0,Mecze[[#This Row],[OB]]/Mecze[[#This Row],[CZAS]])</f>
        <v>0</v>
      </c>
      <c r="R2315" s="32">
        <f>IF(Mecze[[#This Row],[BR]]=0,0,Mecze[[#This Row],[BR]]/Mecze[[#This Row],[CZAS]])</f>
        <v>3.125E-2</v>
      </c>
      <c r="S2315" s="44">
        <f>IF(Mecze[[#This Row],[Role]]="BR",SUMPRODUCT(Mecze[[#This Row],[/PR:90]:[/BR:90]],Brudnopis!$E$23:$J$23),0)</f>
        <v>0</v>
      </c>
      <c r="T2315" s="44">
        <f>IF(Mecze[[#This Row],[Role]]&lt;&gt;"BR",SUMPRODUCT(Mecze[[#This Row],[/PR:90]:[/BR:90]],Brudnopis!$E$24:$J$24),0)</f>
        <v>0.22395833333333334</v>
      </c>
      <c r="U2315" s="44">
        <f>IF(Mecze[[#This Row],[Role]]&lt;&gt;"BR",SUMPRODUCT(Mecze[[#This Row],[/PR:90]:[/BR:90]],Brudnopis!$E$25:$J$25),0)</f>
        <v>0.27604166666666669</v>
      </c>
      <c r="V2315" s="44">
        <f>IF(Mecze[[#This Row],[Role]]&lt;&gt;"BR",SUMPRODUCT(Mecze[[#This Row],[/PR:90]:[/BR:90]],Brudnopis!$E$26:$J$26),0)</f>
        <v>0.23958333333333334</v>
      </c>
      <c r="W2315" s="44">
        <f>IF(Mecze[[#This Row],[Role]]&lt;&gt;"BR",SUMPRODUCT(Mecze[[#This Row],[/PR:90]:[/BR:90]],Brudnopis!$E$27:$J$27),0)</f>
        <v>0.28645833333333337</v>
      </c>
      <c r="X2315" s="44">
        <f>IF(Mecze[[#This Row],[Role]]&lt;&gt;"BR",SUMPRODUCT(Mecze[[#This Row],[/PR:90]:[/BR:90]],Brudnopis!$E$28:$J$28),0)</f>
        <v>0.30208333333333337</v>
      </c>
      <c r="Y2315" s="35">
        <f>IF(Mecze[[#This Row],[Role]]="BR",Mecze[[#This Row],[/OB:90]]+Mecze[[#This Row],[/PC:90]],SUM(Mecze[[#This Row],[/PR:90]:[/BR:90]]))</f>
        <v>0.20833333333333334</v>
      </c>
      <c r="Z2315" s="35">
        <f>IF(Mecze[[#This Row],[KC]]=0,SUM(Mecze[[#This Row],[/BRI]:[/NPI]]),SUM(Mecze[[#This Row],[/BRI]:[/NPI]])*0.6)</f>
        <v>1.328125</v>
      </c>
      <c r="AA2315" s="10">
        <f>IFERROR(Mecze[[#This Row],[BR]]/Mecze[[#This Row],[ST]],0)</f>
        <v>0.5</v>
      </c>
      <c r="AB2315">
        <f>ROUND(Mecze[[#This Row],[PD]]*Mecze[[#This Row],[%PC]],0)</f>
        <v>10</v>
      </c>
      <c r="AC2315">
        <f>ROUND(Mecze[[#This Row],[OD]]*Mecze[[#This Row],[%OU]],0)</f>
        <v>0</v>
      </c>
      <c r="AD2315" s="36" t="s">
        <v>46</v>
      </c>
      <c r="AE2315" s="36">
        <v>129</v>
      </c>
      <c r="AF2315" s="71">
        <v>14.18</v>
      </c>
      <c r="AG2315" s="37">
        <v>0</v>
      </c>
      <c r="AH2315" s="37">
        <v>0</v>
      </c>
      <c r="AI2315" s="37">
        <v>96</v>
      </c>
      <c r="AJ2315" s="37">
        <v>9</v>
      </c>
      <c r="AK2315" s="37" t="str">
        <f>VLOOKUP(Mecze[[#This Row],[Match ID]],Meczusie[Mecz]:Meczusie[RodzajMeczu],2,FALSE)</f>
        <v>Liga</v>
      </c>
    </row>
    <row r="2316" spans="1:37" x14ac:dyDescent="0.25">
      <c r="A2316" s="76">
        <v>1</v>
      </c>
      <c r="B2316" s="3" t="s">
        <v>261</v>
      </c>
      <c r="C2316" s="2" t="s">
        <v>155</v>
      </c>
      <c r="D2316" s="1">
        <v>0</v>
      </c>
      <c r="E2316" s="1">
        <v>0</v>
      </c>
      <c r="F2316" s="1">
        <v>0</v>
      </c>
      <c r="G2316" s="1">
        <v>8</v>
      </c>
      <c r="H2316" s="4">
        <v>0.63</v>
      </c>
      <c r="I2316" s="1">
        <v>0</v>
      </c>
      <c r="J2316" s="4"/>
      <c r="K2316" s="1">
        <v>6</v>
      </c>
      <c r="L2316" s="1">
        <v>0</v>
      </c>
      <c r="M2316" s="32">
        <f>IF(Mecze[[#This Row],[PR]]=0,0,Mecze[[#This Row],[PR]]/Mecze[[#This Row],[CZAS]])</f>
        <v>0</v>
      </c>
      <c r="N2316" s="32">
        <f>IF(Mecze[[#This Row],[OU]]=0,0,Mecze[[#This Row],[OU]]/Mecze[[#This Row],[CZAS]])</f>
        <v>0</v>
      </c>
      <c r="O2316" s="32">
        <f>IF(Mecze[[#This Row],[PC]]=0,0,Mecze[[#This Row],[PC]]/Mecze[[#This Row],[CZAS]])</f>
        <v>5.2083333333333336E-2</v>
      </c>
      <c r="P2316" s="32">
        <f>IF(Mecze[[#This Row],[SC]]=0,0,Mecze[[#This Row],[SC]]/Mecze[[#This Row],[CZAS]])</f>
        <v>0</v>
      </c>
      <c r="Q2316" s="32">
        <f>IF(Mecze[[#This Row],[OB]]=0,0,Mecze[[#This Row],[OB]]/Mecze[[#This Row],[CZAS]])</f>
        <v>6.25E-2</v>
      </c>
      <c r="R2316" s="32">
        <f>IF(Mecze[[#This Row],[BR]]=0,0,Mecze[[#This Row],[BR]]/Mecze[[#This Row],[CZAS]])</f>
        <v>0</v>
      </c>
      <c r="S2316" s="44">
        <f>IF(Mecze[[#This Row],[Role]]="BR",SUMPRODUCT(Mecze[[#This Row],[/PR:90]:[/BR:90]],Brudnopis!$E$23:$J$23),0)</f>
        <v>0.34375</v>
      </c>
      <c r="T2316" s="44">
        <f>IF(Mecze[[#This Row],[Role]]&lt;&gt;"BR",SUMPRODUCT(Mecze[[#This Row],[/PR:90]:[/BR:90]],Brudnopis!$E$24:$J$24),0)</f>
        <v>0</v>
      </c>
      <c r="U2316" s="44">
        <f>IF(Mecze[[#This Row],[Role]]&lt;&gt;"BR",SUMPRODUCT(Mecze[[#This Row],[/PR:90]:[/BR:90]],Brudnopis!$E$25:$J$25),0)</f>
        <v>0</v>
      </c>
      <c r="V2316" s="44">
        <f>IF(Mecze[[#This Row],[Role]]&lt;&gt;"BR",SUMPRODUCT(Mecze[[#This Row],[/PR:90]:[/BR:90]],Brudnopis!$E$26:$J$26),0)</f>
        <v>0</v>
      </c>
      <c r="W2316" s="44">
        <f>IF(Mecze[[#This Row],[Role]]&lt;&gt;"BR",SUMPRODUCT(Mecze[[#This Row],[/PR:90]:[/BR:90]],Brudnopis!$E$27:$J$27),0)</f>
        <v>0</v>
      </c>
      <c r="X2316" s="44">
        <f>IF(Mecze[[#This Row],[Role]]&lt;&gt;"BR",SUMPRODUCT(Mecze[[#This Row],[/PR:90]:[/BR:90]],Brudnopis!$E$28:$J$28),0)</f>
        <v>0</v>
      </c>
      <c r="Y2316" s="35">
        <f>IF(Mecze[[#This Row],[Role]]="BR",Mecze[[#This Row],[/OB:90]]+Mecze[[#This Row],[/PC:90]],SUM(Mecze[[#This Row],[/PR:90]:[/BR:90]]))</f>
        <v>0.11458333333333334</v>
      </c>
      <c r="Z2316" s="35">
        <f>IF(Mecze[[#This Row],[KC]]=0,SUM(Mecze[[#This Row],[/BRI]:[/NPI]]),SUM(Mecze[[#This Row],[/BRI]:[/NPI]])*0.6)</f>
        <v>0.34375</v>
      </c>
      <c r="AA2316" s="10">
        <f>IFERROR(Mecze[[#This Row],[BR]]/Mecze[[#This Row],[ST]],0)</f>
        <v>0</v>
      </c>
      <c r="AB2316">
        <f>ROUND(Mecze[[#This Row],[PD]]*Mecze[[#This Row],[%PC]],0)</f>
        <v>5</v>
      </c>
      <c r="AC2316">
        <f>ROUND(Mecze[[#This Row],[OD]]*Mecze[[#This Row],[%OU]],0)</f>
        <v>0</v>
      </c>
      <c r="AD2316" s="36" t="s">
        <v>40</v>
      </c>
      <c r="AE2316" s="36">
        <v>130</v>
      </c>
      <c r="AF2316" s="71">
        <v>4.91</v>
      </c>
      <c r="AG2316" s="37">
        <v>0</v>
      </c>
      <c r="AH2316" s="37">
        <v>0</v>
      </c>
      <c r="AI2316" s="37">
        <v>96</v>
      </c>
      <c r="AJ2316" s="37">
        <v>3</v>
      </c>
      <c r="AK2316" s="37" t="str">
        <f>VLOOKUP(Mecze[[#This Row],[Match ID]],Meczusie[Mecz]:Meczusie[RodzajMeczu],2,FALSE)</f>
        <v>Liga</v>
      </c>
    </row>
    <row r="2317" spans="1:37" x14ac:dyDescent="0.25">
      <c r="A2317" s="76">
        <v>13</v>
      </c>
      <c r="B2317" s="3" t="s">
        <v>262</v>
      </c>
      <c r="C2317" s="2" t="s">
        <v>157</v>
      </c>
      <c r="D2317" s="1">
        <v>0</v>
      </c>
      <c r="E2317" s="1">
        <v>0</v>
      </c>
      <c r="F2317" s="1">
        <v>0</v>
      </c>
      <c r="G2317" s="1">
        <v>3</v>
      </c>
      <c r="H2317" s="4">
        <v>1</v>
      </c>
      <c r="I2317" s="1">
        <v>0</v>
      </c>
      <c r="J2317" s="4"/>
      <c r="K2317" s="1">
        <v>0</v>
      </c>
      <c r="L2317" s="1">
        <v>0</v>
      </c>
      <c r="M2317" s="32">
        <f>IF(Mecze[[#This Row],[PR]]=0,0,Mecze[[#This Row],[PR]]/Mecze[[#This Row],[CZAS]])</f>
        <v>0</v>
      </c>
      <c r="N2317" s="32">
        <f>IF(Mecze[[#This Row],[OU]]=0,0,Mecze[[#This Row],[OU]]/Mecze[[#This Row],[CZAS]])</f>
        <v>0</v>
      </c>
      <c r="O2317" s="32">
        <f>IF(Mecze[[#This Row],[PC]]=0,0,Mecze[[#This Row],[PC]]/Mecze[[#This Row],[CZAS]])</f>
        <v>3.125E-2</v>
      </c>
      <c r="P2317" s="32">
        <f>IF(Mecze[[#This Row],[SC]]=0,0,Mecze[[#This Row],[SC]]/Mecze[[#This Row],[CZAS]])</f>
        <v>0</v>
      </c>
      <c r="Q2317" s="32">
        <f>IF(Mecze[[#This Row],[OB]]=0,0,Mecze[[#This Row],[OB]]/Mecze[[#This Row],[CZAS]])</f>
        <v>0</v>
      </c>
      <c r="R2317" s="32">
        <f>IF(Mecze[[#This Row],[BR]]=0,0,Mecze[[#This Row],[BR]]/Mecze[[#This Row],[CZAS]])</f>
        <v>0</v>
      </c>
      <c r="S2317" s="44">
        <f>IF(Mecze[[#This Row],[Role]]="BR",SUMPRODUCT(Mecze[[#This Row],[/PR:90]:[/BR:90]],Brudnopis!$E$23:$J$23),0)</f>
        <v>0</v>
      </c>
      <c r="T2317" s="44">
        <f>IF(Mecze[[#This Row],[Role]]&lt;&gt;"BR",SUMPRODUCT(Mecze[[#This Row],[/PR:90]:[/BR:90]],Brudnopis!$E$24:$J$24),0)</f>
        <v>3.125E-2</v>
      </c>
      <c r="U2317" s="44">
        <f>IF(Mecze[[#This Row],[Role]]&lt;&gt;"BR",SUMPRODUCT(Mecze[[#This Row],[/PR:90]:[/BR:90]],Brudnopis!$E$25:$J$25),0)</f>
        <v>4.6875E-2</v>
      </c>
      <c r="V2317" s="44">
        <f>IF(Mecze[[#This Row],[Role]]&lt;&gt;"BR",SUMPRODUCT(Mecze[[#This Row],[/PR:90]:[/BR:90]],Brudnopis!$E$26:$J$26),0)</f>
        <v>3.125E-2</v>
      </c>
      <c r="W2317" s="44">
        <f>IF(Mecze[[#This Row],[Role]]&lt;&gt;"BR",SUMPRODUCT(Mecze[[#This Row],[/PR:90]:[/BR:90]],Brudnopis!$E$27:$J$27),0)</f>
        <v>4.6875E-2</v>
      </c>
      <c r="X2317" s="44">
        <f>IF(Mecze[[#This Row],[Role]]&lt;&gt;"BR",SUMPRODUCT(Mecze[[#This Row],[/PR:90]:[/BR:90]],Brudnopis!$E$28:$J$28),0)</f>
        <v>3.125E-2</v>
      </c>
      <c r="Y2317" s="35">
        <f>IF(Mecze[[#This Row],[Role]]="BR",Mecze[[#This Row],[/OB:90]]+Mecze[[#This Row],[/PC:90]],SUM(Mecze[[#This Row],[/PR:90]:[/BR:90]]))</f>
        <v>3.125E-2</v>
      </c>
      <c r="Z2317" s="35">
        <f>IF(Mecze[[#This Row],[KC]]=0,SUM(Mecze[[#This Row],[/BRI]:[/NPI]]),SUM(Mecze[[#This Row],[/BRI]:[/NPI]])*0.6)</f>
        <v>0.1875</v>
      </c>
      <c r="AA2317" s="10">
        <f>IFERROR(Mecze[[#This Row],[BR]]/Mecze[[#This Row],[ST]],0)</f>
        <v>0</v>
      </c>
      <c r="AB2317">
        <f>ROUND(Mecze[[#This Row],[PD]]*Mecze[[#This Row],[%PC]],0)</f>
        <v>3</v>
      </c>
      <c r="AC2317">
        <f>ROUND(Mecze[[#This Row],[OD]]*Mecze[[#This Row],[%OU]],0)</f>
        <v>0</v>
      </c>
      <c r="AD2317" s="36" t="s">
        <v>175</v>
      </c>
      <c r="AE2317" s="36">
        <v>130</v>
      </c>
      <c r="AF2317" s="71">
        <v>1.59</v>
      </c>
      <c r="AG2317" s="37">
        <v>0</v>
      </c>
      <c r="AH2317" s="37">
        <v>0</v>
      </c>
      <c r="AI2317" s="37">
        <v>96</v>
      </c>
      <c r="AJ2317" s="37">
        <v>3</v>
      </c>
      <c r="AK2317" s="37" t="str">
        <f>VLOOKUP(Mecze[[#This Row],[Match ID]],Meczusie[Mecz]:Meczusie[RodzajMeczu],2,FALSE)</f>
        <v>Liga</v>
      </c>
    </row>
    <row r="2318" spans="1:37" x14ac:dyDescent="0.25">
      <c r="A2318" s="76">
        <v>6</v>
      </c>
      <c r="B2318" s="3" t="s">
        <v>263</v>
      </c>
      <c r="C2318" s="2" t="s">
        <v>157</v>
      </c>
      <c r="D2318" s="1">
        <v>0</v>
      </c>
      <c r="E2318" s="1">
        <v>0</v>
      </c>
      <c r="F2318" s="1">
        <v>0</v>
      </c>
      <c r="G2318" s="1">
        <v>11</v>
      </c>
      <c r="H2318" s="4">
        <v>0.91</v>
      </c>
      <c r="I2318" s="1">
        <v>3</v>
      </c>
      <c r="J2318" s="4">
        <v>1</v>
      </c>
      <c r="K2318" s="1">
        <v>0</v>
      </c>
      <c r="L2318" s="1">
        <v>4</v>
      </c>
      <c r="M2318" s="32">
        <f>IF(Mecze[[#This Row],[PR]]=0,0,Mecze[[#This Row],[PR]]/Mecze[[#This Row],[CZAS]])</f>
        <v>4.1666666666666664E-2</v>
      </c>
      <c r="N2318" s="32">
        <f>IF(Mecze[[#This Row],[OU]]=0,0,Mecze[[#This Row],[OU]]/Mecze[[#This Row],[CZAS]])</f>
        <v>3.125E-2</v>
      </c>
      <c r="O2318" s="32">
        <f>IF(Mecze[[#This Row],[PC]]=0,0,Mecze[[#This Row],[PC]]/Mecze[[#This Row],[CZAS]])</f>
        <v>0.10416666666666667</v>
      </c>
      <c r="P2318" s="32">
        <f>IF(Mecze[[#This Row],[SC]]=0,0,Mecze[[#This Row],[SC]]/Mecze[[#This Row],[CZAS]])</f>
        <v>0</v>
      </c>
      <c r="Q2318" s="32">
        <f>IF(Mecze[[#This Row],[OB]]=0,0,Mecze[[#This Row],[OB]]/Mecze[[#This Row],[CZAS]])</f>
        <v>0</v>
      </c>
      <c r="R2318" s="32">
        <f>IF(Mecze[[#This Row],[BR]]=0,0,Mecze[[#This Row],[BR]]/Mecze[[#This Row],[CZAS]])</f>
        <v>0</v>
      </c>
      <c r="S2318" s="44">
        <f>IF(Mecze[[#This Row],[Role]]="BR",SUMPRODUCT(Mecze[[#This Row],[/PR:90]:[/BR:90]],Brudnopis!$E$23:$J$23),0)</f>
        <v>0</v>
      </c>
      <c r="T2318" s="44">
        <f>IF(Mecze[[#This Row],[Role]]&lt;&gt;"BR",SUMPRODUCT(Mecze[[#This Row],[/PR:90]:[/BR:90]],Brudnopis!$E$24:$J$24),0)</f>
        <v>0.19270833333333331</v>
      </c>
      <c r="U2318" s="44">
        <f>IF(Mecze[[#This Row],[Role]]&lt;&gt;"BR",SUMPRODUCT(Mecze[[#This Row],[/PR:90]:[/BR:90]],Brudnopis!$E$25:$J$25),0)</f>
        <v>0.22916666666666666</v>
      </c>
      <c r="V2318" s="44">
        <f>IF(Mecze[[#This Row],[Role]]&lt;&gt;"BR",SUMPRODUCT(Mecze[[#This Row],[/PR:90]:[/BR:90]],Brudnopis!$E$26:$J$26),0)</f>
        <v>0.17708333333333331</v>
      </c>
      <c r="W2318" s="44">
        <f>IF(Mecze[[#This Row],[Role]]&lt;&gt;"BR",SUMPRODUCT(Mecze[[#This Row],[/PR:90]:[/BR:90]],Brudnopis!$E$27:$J$27),0)</f>
        <v>0.2109375</v>
      </c>
      <c r="X2318" s="44">
        <f>IF(Mecze[[#This Row],[Role]]&lt;&gt;"BR",SUMPRODUCT(Mecze[[#This Row],[/PR:90]:[/BR:90]],Brudnopis!$E$28:$J$28),0)</f>
        <v>0.10416666666666667</v>
      </c>
      <c r="Y2318" s="35">
        <f>IF(Mecze[[#This Row],[Role]]="BR",Mecze[[#This Row],[/OB:90]]+Mecze[[#This Row],[/PC:90]],SUM(Mecze[[#This Row],[/PR:90]:[/BR:90]]))</f>
        <v>0.17708333333333331</v>
      </c>
      <c r="Z2318" s="35">
        <f>IF(Mecze[[#This Row],[KC]]=0,SUM(Mecze[[#This Row],[/BRI]:[/NPI]]),SUM(Mecze[[#This Row],[/BRI]:[/NPI]])*0.6)</f>
        <v>0.91406249999999989</v>
      </c>
      <c r="AA2318" s="10">
        <f>IFERROR(Mecze[[#This Row],[BR]]/Mecze[[#This Row],[ST]],0)</f>
        <v>0</v>
      </c>
      <c r="AB2318">
        <f>ROUND(Mecze[[#This Row],[PD]]*Mecze[[#This Row],[%PC]],0)</f>
        <v>10</v>
      </c>
      <c r="AC2318">
        <f>ROUND(Mecze[[#This Row],[OD]]*Mecze[[#This Row],[%OU]],0)</f>
        <v>3</v>
      </c>
      <c r="AD2318" s="36" t="s">
        <v>47</v>
      </c>
      <c r="AE2318" s="36">
        <v>130</v>
      </c>
      <c r="AF2318" s="71">
        <v>5.58</v>
      </c>
      <c r="AG2318" s="37">
        <v>0</v>
      </c>
      <c r="AH2318" s="37">
        <v>0</v>
      </c>
      <c r="AI2318" s="37">
        <v>96</v>
      </c>
      <c r="AJ2318" s="37">
        <v>3</v>
      </c>
      <c r="AK2318" s="37" t="str">
        <f>VLOOKUP(Mecze[[#This Row],[Match ID]],Meczusie[Mecz]:Meczusie[RodzajMeczu],2,FALSE)</f>
        <v>Liga</v>
      </c>
    </row>
    <row r="2319" spans="1:37" x14ac:dyDescent="0.25">
      <c r="A2319" s="76">
        <v>4</v>
      </c>
      <c r="B2319" s="3" t="s">
        <v>264</v>
      </c>
      <c r="C2319" s="2" t="s">
        <v>157</v>
      </c>
      <c r="D2319" s="1">
        <v>0</v>
      </c>
      <c r="E2319" s="1">
        <v>0</v>
      </c>
      <c r="F2319" s="1">
        <v>0</v>
      </c>
      <c r="G2319" s="1">
        <v>19</v>
      </c>
      <c r="H2319" s="4">
        <v>0.79</v>
      </c>
      <c r="I2319" s="1">
        <v>25</v>
      </c>
      <c r="J2319" s="4">
        <v>0.52</v>
      </c>
      <c r="K2319" s="1">
        <v>0</v>
      </c>
      <c r="L2319" s="1">
        <v>24</v>
      </c>
      <c r="M2319" s="32">
        <f>IF(Mecze[[#This Row],[PR]]=0,0,Mecze[[#This Row],[PR]]/Mecze[[#This Row],[CZAS]])</f>
        <v>0.25</v>
      </c>
      <c r="N2319" s="32">
        <f>IF(Mecze[[#This Row],[OU]]=0,0,Mecze[[#This Row],[OU]]/Mecze[[#This Row],[CZAS]])</f>
        <v>0.13541666666666666</v>
      </c>
      <c r="O2319" s="32">
        <f>IF(Mecze[[#This Row],[PC]]=0,0,Mecze[[#This Row],[PC]]/Mecze[[#This Row],[CZAS]])</f>
        <v>0.15625</v>
      </c>
      <c r="P2319" s="32">
        <f>IF(Mecze[[#This Row],[SC]]=0,0,Mecze[[#This Row],[SC]]/Mecze[[#This Row],[CZAS]])</f>
        <v>0</v>
      </c>
      <c r="Q2319" s="32">
        <f>IF(Mecze[[#This Row],[OB]]=0,0,Mecze[[#This Row],[OB]]/Mecze[[#This Row],[CZAS]])</f>
        <v>0</v>
      </c>
      <c r="R2319" s="32">
        <f>IF(Mecze[[#This Row],[BR]]=0,0,Mecze[[#This Row],[BR]]/Mecze[[#This Row],[CZAS]])</f>
        <v>0</v>
      </c>
      <c r="S2319" s="44">
        <f>IF(Mecze[[#This Row],[Role]]="BR",SUMPRODUCT(Mecze[[#This Row],[/PR:90]:[/BR:90]],Brudnopis!$E$23:$J$23),0)</f>
        <v>0</v>
      </c>
      <c r="T2319" s="44">
        <f>IF(Mecze[[#This Row],[Role]]&lt;&gt;"BR",SUMPRODUCT(Mecze[[#This Row],[/PR:90]:[/BR:90]],Brudnopis!$E$24:$J$24),0)</f>
        <v>0.609375</v>
      </c>
      <c r="U2319" s="44">
        <f>IF(Mecze[[#This Row],[Role]]&lt;&gt;"BR",SUMPRODUCT(Mecze[[#This Row],[/PR:90]:[/BR:90]],Brudnopis!$E$25:$J$25),0)</f>
        <v>0.61979166666666663</v>
      </c>
      <c r="V2319" s="44">
        <f>IF(Mecze[[#This Row],[Role]]&lt;&gt;"BR",SUMPRODUCT(Mecze[[#This Row],[/PR:90]:[/BR:90]],Brudnopis!$E$26:$J$26),0)</f>
        <v>0.54166666666666663</v>
      </c>
      <c r="W2319" s="44">
        <f>IF(Mecze[[#This Row],[Role]]&lt;&gt;"BR",SUMPRODUCT(Mecze[[#This Row],[/PR:90]:[/BR:90]],Brudnopis!$E$27:$J$27),0)</f>
        <v>0.5234375</v>
      </c>
      <c r="X2319" s="44">
        <f>IF(Mecze[[#This Row],[Role]]&lt;&gt;"BR",SUMPRODUCT(Mecze[[#This Row],[/PR:90]:[/BR:90]],Brudnopis!$E$28:$J$28),0)</f>
        <v>0.15625</v>
      </c>
      <c r="Y2319" s="35">
        <f>IF(Mecze[[#This Row],[Role]]="BR",Mecze[[#This Row],[/OB:90]]+Mecze[[#This Row],[/PC:90]],SUM(Mecze[[#This Row],[/PR:90]:[/BR:90]]))</f>
        <v>0.54166666666666663</v>
      </c>
      <c r="Z2319" s="35">
        <f>IF(Mecze[[#This Row],[KC]]=0,SUM(Mecze[[#This Row],[/BRI]:[/NPI]]),SUM(Mecze[[#This Row],[/BRI]:[/NPI]])*0.6)</f>
        <v>2.450520833333333</v>
      </c>
      <c r="AA2319" s="10">
        <f>IFERROR(Mecze[[#This Row],[BR]]/Mecze[[#This Row],[ST]],0)</f>
        <v>0</v>
      </c>
      <c r="AB2319">
        <f>ROUND(Mecze[[#This Row],[PD]]*Mecze[[#This Row],[%PC]],0)</f>
        <v>15</v>
      </c>
      <c r="AC2319">
        <f>ROUND(Mecze[[#This Row],[OD]]*Mecze[[#This Row],[%OU]],0)</f>
        <v>13</v>
      </c>
      <c r="AD2319" s="36" t="s">
        <v>174</v>
      </c>
      <c r="AE2319" s="36">
        <v>130</v>
      </c>
      <c r="AF2319" s="71">
        <v>7.75</v>
      </c>
      <c r="AG2319" s="37">
        <v>0</v>
      </c>
      <c r="AH2319" s="37">
        <v>0</v>
      </c>
      <c r="AI2319" s="37">
        <v>96</v>
      </c>
      <c r="AJ2319" s="37">
        <v>3</v>
      </c>
      <c r="AK2319" s="37" t="str">
        <f>VLOOKUP(Mecze[[#This Row],[Match ID]],Meczusie[Mecz]:Meczusie[RodzajMeczu],2,FALSE)</f>
        <v>Liga</v>
      </c>
    </row>
    <row r="2320" spans="1:37" x14ac:dyDescent="0.25">
      <c r="A2320" s="76">
        <v>2</v>
      </c>
      <c r="B2320" s="3" t="s">
        <v>265</v>
      </c>
      <c r="C2320" s="2" t="s">
        <v>157</v>
      </c>
      <c r="D2320" s="1">
        <v>0</v>
      </c>
      <c r="E2320" s="1">
        <v>0</v>
      </c>
      <c r="F2320" s="1">
        <v>0</v>
      </c>
      <c r="G2320" s="1">
        <v>9</v>
      </c>
      <c r="H2320" s="4">
        <v>1</v>
      </c>
      <c r="I2320" s="1">
        <v>7</v>
      </c>
      <c r="J2320" s="4">
        <v>0.43</v>
      </c>
      <c r="K2320" s="1">
        <v>0</v>
      </c>
      <c r="L2320" s="1">
        <v>4</v>
      </c>
      <c r="M2320" s="32">
        <f>IF(Mecze[[#This Row],[PR]]=0,0,Mecze[[#This Row],[PR]]/Mecze[[#This Row],[CZAS]])</f>
        <v>4.1666666666666664E-2</v>
      </c>
      <c r="N2320" s="32">
        <f>IF(Mecze[[#This Row],[OU]]=0,0,Mecze[[#This Row],[OU]]/Mecze[[#This Row],[CZAS]])</f>
        <v>3.125E-2</v>
      </c>
      <c r="O2320" s="32">
        <f>IF(Mecze[[#This Row],[PC]]=0,0,Mecze[[#This Row],[PC]]/Mecze[[#This Row],[CZAS]])</f>
        <v>9.375E-2</v>
      </c>
      <c r="P2320" s="32">
        <f>IF(Mecze[[#This Row],[SC]]=0,0,Mecze[[#This Row],[SC]]/Mecze[[#This Row],[CZAS]])</f>
        <v>0</v>
      </c>
      <c r="Q2320" s="32">
        <f>IF(Mecze[[#This Row],[OB]]=0,0,Mecze[[#This Row],[OB]]/Mecze[[#This Row],[CZAS]])</f>
        <v>0</v>
      </c>
      <c r="R2320" s="32">
        <f>IF(Mecze[[#This Row],[BR]]=0,0,Mecze[[#This Row],[BR]]/Mecze[[#This Row],[CZAS]])</f>
        <v>0</v>
      </c>
      <c r="S2320" s="44">
        <f>IF(Mecze[[#This Row],[Role]]="BR",SUMPRODUCT(Mecze[[#This Row],[/PR:90]:[/BR:90]],Brudnopis!$E$23:$J$23),0)</f>
        <v>0</v>
      </c>
      <c r="T2320" s="44">
        <f>IF(Mecze[[#This Row],[Role]]&lt;&gt;"BR",SUMPRODUCT(Mecze[[#This Row],[/PR:90]:[/BR:90]],Brudnopis!$E$24:$J$24),0)</f>
        <v>0.18229166666666666</v>
      </c>
      <c r="U2320" s="44">
        <f>IF(Mecze[[#This Row],[Role]]&lt;&gt;"BR",SUMPRODUCT(Mecze[[#This Row],[/PR:90]:[/BR:90]],Brudnopis!$E$25:$J$25),0)</f>
        <v>0.21354166666666666</v>
      </c>
      <c r="V2320" s="44">
        <f>IF(Mecze[[#This Row],[Role]]&lt;&gt;"BR",SUMPRODUCT(Mecze[[#This Row],[/PR:90]:[/BR:90]],Brudnopis!$E$26:$J$26),0)</f>
        <v>0.16666666666666666</v>
      </c>
      <c r="W2320" s="44">
        <f>IF(Mecze[[#This Row],[Role]]&lt;&gt;"BR",SUMPRODUCT(Mecze[[#This Row],[/PR:90]:[/BR:90]],Brudnopis!$E$27:$J$27),0)</f>
        <v>0.1953125</v>
      </c>
      <c r="X2320" s="44">
        <f>IF(Mecze[[#This Row],[Role]]&lt;&gt;"BR",SUMPRODUCT(Mecze[[#This Row],[/PR:90]:[/BR:90]],Brudnopis!$E$28:$J$28),0)</f>
        <v>9.375E-2</v>
      </c>
      <c r="Y2320" s="35">
        <f>IF(Mecze[[#This Row],[Role]]="BR",Mecze[[#This Row],[/OB:90]]+Mecze[[#This Row],[/PC:90]],SUM(Mecze[[#This Row],[/PR:90]:[/BR:90]]))</f>
        <v>0.16666666666666666</v>
      </c>
      <c r="Z2320" s="35">
        <f>IF(Mecze[[#This Row],[KC]]=0,SUM(Mecze[[#This Row],[/BRI]:[/NPI]]),SUM(Mecze[[#This Row],[/BRI]:[/NPI]])*0.6)</f>
        <v>0.8515625</v>
      </c>
      <c r="AA2320" s="10">
        <f>IFERROR(Mecze[[#This Row],[BR]]/Mecze[[#This Row],[ST]],0)</f>
        <v>0</v>
      </c>
      <c r="AB2320">
        <f>ROUND(Mecze[[#This Row],[PD]]*Mecze[[#This Row],[%PC]],0)</f>
        <v>9</v>
      </c>
      <c r="AC2320">
        <f>ROUND(Mecze[[#This Row],[OD]]*Mecze[[#This Row],[%OU]],0)</f>
        <v>3</v>
      </c>
      <c r="AD2320" s="36" t="s">
        <v>47</v>
      </c>
      <c r="AE2320" s="36">
        <v>130</v>
      </c>
      <c r="AF2320" s="71">
        <v>2.4300000000000002</v>
      </c>
      <c r="AG2320" s="37">
        <v>0</v>
      </c>
      <c r="AH2320" s="37">
        <v>0</v>
      </c>
      <c r="AI2320" s="37">
        <v>96</v>
      </c>
      <c r="AJ2320" s="37">
        <v>3</v>
      </c>
      <c r="AK2320" s="37" t="str">
        <f>VLOOKUP(Mecze[[#This Row],[Match ID]],Meczusie[Mecz]:Meczusie[RodzajMeczu],2,FALSE)</f>
        <v>Liga</v>
      </c>
    </row>
    <row r="2321" spans="1:37" x14ac:dyDescent="0.25">
      <c r="A2321" s="76">
        <v>5</v>
      </c>
      <c r="B2321" s="3" t="s">
        <v>267</v>
      </c>
      <c r="C2321" s="2" t="s">
        <v>160</v>
      </c>
      <c r="D2321" s="1">
        <v>0</v>
      </c>
      <c r="E2321" s="1">
        <v>1</v>
      </c>
      <c r="F2321" s="1">
        <v>1</v>
      </c>
      <c r="G2321" s="1">
        <v>20</v>
      </c>
      <c r="H2321" s="4">
        <v>0.7</v>
      </c>
      <c r="I2321" s="1">
        <v>2</v>
      </c>
      <c r="J2321" s="4">
        <v>1</v>
      </c>
      <c r="K2321" s="1">
        <v>0</v>
      </c>
      <c r="L2321" s="1">
        <v>3</v>
      </c>
      <c r="M2321" s="32">
        <f>IF(Mecze[[#This Row],[PR]]=0,0,Mecze[[#This Row],[PR]]/Mecze[[#This Row],[CZAS]])</f>
        <v>3.125E-2</v>
      </c>
      <c r="N2321" s="32">
        <f>IF(Mecze[[#This Row],[OU]]=0,0,Mecze[[#This Row],[OU]]/Mecze[[#This Row],[CZAS]])</f>
        <v>2.0833333333333332E-2</v>
      </c>
      <c r="O2321" s="32">
        <f>IF(Mecze[[#This Row],[PC]]=0,0,Mecze[[#This Row],[PC]]/Mecze[[#This Row],[CZAS]])</f>
        <v>0.14583333333333334</v>
      </c>
      <c r="P2321" s="32">
        <f>IF(Mecze[[#This Row],[SC]]=0,0,Mecze[[#This Row],[SC]]/Mecze[[#This Row],[CZAS]])</f>
        <v>1.0416666666666666E-2</v>
      </c>
      <c r="Q2321" s="32">
        <f>IF(Mecze[[#This Row],[OB]]=0,0,Mecze[[#This Row],[OB]]/Mecze[[#This Row],[CZAS]])</f>
        <v>0</v>
      </c>
      <c r="R2321" s="32">
        <f>IF(Mecze[[#This Row],[BR]]=0,0,Mecze[[#This Row],[BR]]/Mecze[[#This Row],[CZAS]])</f>
        <v>0</v>
      </c>
      <c r="S2321" s="44">
        <f>IF(Mecze[[#This Row],[Role]]="BR",SUMPRODUCT(Mecze[[#This Row],[/PR:90]:[/BR:90]],Brudnopis!$E$23:$J$23),0)</f>
        <v>0</v>
      </c>
      <c r="T2321" s="44">
        <f>IF(Mecze[[#This Row],[Role]]&lt;&gt;"BR",SUMPRODUCT(Mecze[[#This Row],[/PR:90]:[/BR:90]],Brudnopis!$E$24:$J$24),0)</f>
        <v>0.21875</v>
      </c>
      <c r="U2321" s="44">
        <f>IF(Mecze[[#This Row],[Role]]&lt;&gt;"BR",SUMPRODUCT(Mecze[[#This Row],[/PR:90]:[/BR:90]],Brudnopis!$E$25:$J$25),0)</f>
        <v>0.28125</v>
      </c>
      <c r="V2321" s="44">
        <f>IF(Mecze[[#This Row],[Role]]&lt;&gt;"BR",SUMPRODUCT(Mecze[[#This Row],[/PR:90]:[/BR:90]],Brudnopis!$E$26:$J$26),0)</f>
        <v>0.20833333333333334</v>
      </c>
      <c r="W2321" s="44">
        <f>IF(Mecze[[#This Row],[Role]]&lt;&gt;"BR",SUMPRODUCT(Mecze[[#This Row],[/PR:90]:[/BR:90]],Brudnopis!$E$27:$J$27),0)</f>
        <v>0.26822916666666669</v>
      </c>
      <c r="X2321" s="44">
        <f>IF(Mecze[[#This Row],[Role]]&lt;&gt;"BR",SUMPRODUCT(Mecze[[#This Row],[/PR:90]:[/BR:90]],Brudnopis!$E$28:$J$28),0)</f>
        <v>0.16666666666666669</v>
      </c>
      <c r="Y2321" s="35">
        <f>IF(Mecze[[#This Row],[Role]]="BR",Mecze[[#This Row],[/OB:90]]+Mecze[[#This Row],[/PC:90]],SUM(Mecze[[#This Row],[/PR:90]:[/BR:90]]))</f>
        <v>0.20833333333333334</v>
      </c>
      <c r="Z2321" s="35">
        <f>IF(Mecze[[#This Row],[KC]]=0,SUM(Mecze[[#This Row],[/BRI]:[/NPI]]),SUM(Mecze[[#This Row],[/BRI]:[/NPI]])*0.6)</f>
        <v>1.1432291666666667</v>
      </c>
      <c r="AA2321" s="10">
        <f>IFERROR(Mecze[[#This Row],[BR]]/Mecze[[#This Row],[ST]],0)</f>
        <v>0</v>
      </c>
      <c r="AB2321">
        <f>ROUND(Mecze[[#This Row],[PD]]*Mecze[[#This Row],[%PC]],0)</f>
        <v>14</v>
      </c>
      <c r="AC2321">
        <f>ROUND(Mecze[[#This Row],[OD]]*Mecze[[#This Row],[%OU]],0)</f>
        <v>2</v>
      </c>
      <c r="AD2321" s="36" t="s">
        <v>67</v>
      </c>
      <c r="AE2321" s="36">
        <v>130</v>
      </c>
      <c r="AF2321" s="71">
        <v>4.7699999999999996</v>
      </c>
      <c r="AG2321" s="37">
        <v>0</v>
      </c>
      <c r="AH2321" s="37">
        <v>0</v>
      </c>
      <c r="AI2321" s="37">
        <v>96</v>
      </c>
      <c r="AJ2321" s="37">
        <v>3</v>
      </c>
      <c r="AK2321" s="37" t="str">
        <f>VLOOKUP(Mecze[[#This Row],[Match ID]],Meczusie[Mecz]:Meczusie[RodzajMeczu],2,FALSE)</f>
        <v>Liga</v>
      </c>
    </row>
    <row r="2322" spans="1:37" x14ac:dyDescent="0.25">
      <c r="A2322" s="76">
        <v>9</v>
      </c>
      <c r="B2322" s="3" t="s">
        <v>266</v>
      </c>
      <c r="C2322" s="2" t="s">
        <v>160</v>
      </c>
      <c r="D2322" s="1">
        <v>0</v>
      </c>
      <c r="E2322" s="1">
        <v>1</v>
      </c>
      <c r="F2322" s="1">
        <v>1</v>
      </c>
      <c r="G2322" s="1">
        <v>18</v>
      </c>
      <c r="H2322" s="4">
        <v>0.67</v>
      </c>
      <c r="I2322" s="1">
        <v>3</v>
      </c>
      <c r="J2322" s="4">
        <v>1</v>
      </c>
      <c r="K2322" s="1">
        <v>0</v>
      </c>
      <c r="L2322" s="1">
        <v>1</v>
      </c>
      <c r="M2322" s="32">
        <f>IF(Mecze[[#This Row],[PR]]=0,0,Mecze[[#This Row],[PR]]/Mecze[[#This Row],[CZAS]])</f>
        <v>1.0416666666666666E-2</v>
      </c>
      <c r="N2322" s="32">
        <f>IF(Mecze[[#This Row],[OU]]=0,0,Mecze[[#This Row],[OU]]/Mecze[[#This Row],[CZAS]])</f>
        <v>3.125E-2</v>
      </c>
      <c r="O2322" s="32">
        <f>IF(Mecze[[#This Row],[PC]]=0,0,Mecze[[#This Row],[PC]]/Mecze[[#This Row],[CZAS]])</f>
        <v>0.125</v>
      </c>
      <c r="P2322" s="32">
        <f>IF(Mecze[[#This Row],[SC]]=0,0,Mecze[[#This Row],[SC]]/Mecze[[#This Row],[CZAS]])</f>
        <v>1.0416666666666666E-2</v>
      </c>
      <c r="Q2322" s="32">
        <f>IF(Mecze[[#This Row],[OB]]=0,0,Mecze[[#This Row],[OB]]/Mecze[[#This Row],[CZAS]])</f>
        <v>0</v>
      </c>
      <c r="R2322" s="32">
        <f>IF(Mecze[[#This Row],[BR]]=0,0,Mecze[[#This Row],[BR]]/Mecze[[#This Row],[CZAS]])</f>
        <v>0</v>
      </c>
      <c r="S2322" s="44">
        <f>IF(Mecze[[#This Row],[Role]]="BR",SUMPRODUCT(Mecze[[#This Row],[/PR:90]:[/BR:90]],Brudnopis!$E$23:$J$23),0)</f>
        <v>0</v>
      </c>
      <c r="T2322" s="44">
        <f>IF(Mecze[[#This Row],[Role]]&lt;&gt;"BR",SUMPRODUCT(Mecze[[#This Row],[/PR:90]:[/BR:90]],Brudnopis!$E$24:$J$24),0)</f>
        <v>0.19270833333333331</v>
      </c>
      <c r="U2322" s="44">
        <f>IF(Mecze[[#This Row],[Role]]&lt;&gt;"BR",SUMPRODUCT(Mecze[[#This Row],[/PR:90]:[/BR:90]],Brudnopis!$E$25:$J$25),0)</f>
        <v>0.23958333333333331</v>
      </c>
      <c r="V2322" s="44">
        <f>IF(Mecze[[#This Row],[Role]]&lt;&gt;"BR",SUMPRODUCT(Mecze[[#This Row],[/PR:90]:[/BR:90]],Brudnopis!$E$26:$J$26),0)</f>
        <v>0.17708333333333331</v>
      </c>
      <c r="W2322" s="44">
        <f>IF(Mecze[[#This Row],[Role]]&lt;&gt;"BR",SUMPRODUCT(Mecze[[#This Row],[/PR:90]:[/BR:90]],Brudnopis!$E$27:$J$27),0)</f>
        <v>0.22916666666666666</v>
      </c>
      <c r="X2322" s="44">
        <f>IF(Mecze[[#This Row],[Role]]&lt;&gt;"BR",SUMPRODUCT(Mecze[[#This Row],[/PR:90]:[/BR:90]],Brudnopis!$E$28:$J$28),0)</f>
        <v>0.14583333333333334</v>
      </c>
      <c r="Y2322" s="35">
        <f>IF(Mecze[[#This Row],[Role]]="BR",Mecze[[#This Row],[/OB:90]]+Mecze[[#This Row],[/PC:90]],SUM(Mecze[[#This Row],[/PR:90]:[/BR:90]]))</f>
        <v>0.17708333333333331</v>
      </c>
      <c r="Z2322" s="35">
        <f>IF(Mecze[[#This Row],[KC]]=0,SUM(Mecze[[#This Row],[/BRI]:[/NPI]]),SUM(Mecze[[#This Row],[/BRI]:[/NPI]])*0.6)</f>
        <v>0.984375</v>
      </c>
      <c r="AA2322" s="10">
        <f>IFERROR(Mecze[[#This Row],[BR]]/Mecze[[#This Row],[ST]],0)</f>
        <v>0</v>
      </c>
      <c r="AB2322">
        <f>ROUND(Mecze[[#This Row],[PD]]*Mecze[[#This Row],[%PC]],0)</f>
        <v>12</v>
      </c>
      <c r="AC2322">
        <f>ROUND(Mecze[[#This Row],[OD]]*Mecze[[#This Row],[%OU]],0)</f>
        <v>3</v>
      </c>
      <c r="AD2322" s="36" t="s">
        <v>67</v>
      </c>
      <c r="AE2322" s="36">
        <v>130</v>
      </c>
      <c r="AF2322" s="71">
        <v>4.3499999999999996</v>
      </c>
      <c r="AG2322" s="37">
        <v>0</v>
      </c>
      <c r="AH2322" s="37">
        <v>0</v>
      </c>
      <c r="AI2322" s="37">
        <v>96</v>
      </c>
      <c r="AJ2322" s="37">
        <v>3</v>
      </c>
      <c r="AK2322" s="37" t="str">
        <f>VLOOKUP(Mecze[[#This Row],[Match ID]],Meczusie[Mecz]:Meczusie[RodzajMeczu],2,FALSE)</f>
        <v>Liga</v>
      </c>
    </row>
    <row r="2323" spans="1:37" x14ac:dyDescent="0.25">
      <c r="A2323" s="76">
        <v>3</v>
      </c>
      <c r="B2323" s="3" t="s">
        <v>268</v>
      </c>
      <c r="C2323" s="2" t="s">
        <v>160</v>
      </c>
      <c r="D2323" s="1">
        <v>0</v>
      </c>
      <c r="E2323" s="1">
        <v>3</v>
      </c>
      <c r="F2323" s="1">
        <v>3</v>
      </c>
      <c r="G2323" s="1">
        <v>18</v>
      </c>
      <c r="H2323" s="4">
        <v>0.67</v>
      </c>
      <c r="I2323" s="1">
        <v>1</v>
      </c>
      <c r="J2323" s="4">
        <v>0</v>
      </c>
      <c r="K2323" s="1">
        <v>0</v>
      </c>
      <c r="L2323" s="1">
        <v>1</v>
      </c>
      <c r="M2323" s="32">
        <f>IF(Mecze[[#This Row],[PR]]=0,0,Mecze[[#This Row],[PR]]/Mecze[[#This Row],[CZAS]])</f>
        <v>1.0416666666666666E-2</v>
      </c>
      <c r="N2323" s="32">
        <f>IF(Mecze[[#This Row],[OU]]=0,0,Mecze[[#This Row],[OU]]/Mecze[[#This Row],[CZAS]])</f>
        <v>0</v>
      </c>
      <c r="O2323" s="32">
        <f>IF(Mecze[[#This Row],[PC]]=0,0,Mecze[[#This Row],[PC]]/Mecze[[#This Row],[CZAS]])</f>
        <v>0.125</v>
      </c>
      <c r="P2323" s="32">
        <f>IF(Mecze[[#This Row],[SC]]=0,0,Mecze[[#This Row],[SC]]/Mecze[[#This Row],[CZAS]])</f>
        <v>3.125E-2</v>
      </c>
      <c r="Q2323" s="32">
        <f>IF(Mecze[[#This Row],[OB]]=0,0,Mecze[[#This Row],[OB]]/Mecze[[#This Row],[CZAS]])</f>
        <v>0</v>
      </c>
      <c r="R2323" s="32">
        <f>IF(Mecze[[#This Row],[BR]]=0,0,Mecze[[#This Row],[BR]]/Mecze[[#This Row],[CZAS]])</f>
        <v>0</v>
      </c>
      <c r="S2323" s="44">
        <f>IF(Mecze[[#This Row],[Role]]="BR",SUMPRODUCT(Mecze[[#This Row],[/PR:90]:[/BR:90]],Brudnopis!$E$23:$J$23),0)</f>
        <v>0</v>
      </c>
      <c r="T2323" s="44">
        <f>IF(Mecze[[#This Row],[Role]]&lt;&gt;"BR",SUMPRODUCT(Mecze[[#This Row],[/PR:90]:[/BR:90]],Brudnopis!$E$24:$J$24),0)</f>
        <v>0.16666666666666666</v>
      </c>
      <c r="U2323" s="44">
        <f>IF(Mecze[[#This Row],[Role]]&lt;&gt;"BR",SUMPRODUCT(Mecze[[#This Row],[/PR:90]:[/BR:90]],Brudnopis!$E$25:$J$25),0)</f>
        <v>0.22916666666666666</v>
      </c>
      <c r="V2323" s="44">
        <f>IF(Mecze[[#This Row],[Role]]&lt;&gt;"BR",SUMPRODUCT(Mecze[[#This Row],[/PR:90]:[/BR:90]],Brudnopis!$E$26:$J$26),0)</f>
        <v>0.16666666666666666</v>
      </c>
      <c r="W2323" s="44">
        <f>IF(Mecze[[#This Row],[Role]]&lt;&gt;"BR",SUMPRODUCT(Mecze[[#This Row],[/PR:90]:[/BR:90]],Brudnopis!$E$27:$J$27),0)</f>
        <v>0.2265625</v>
      </c>
      <c r="X2323" s="44">
        <f>IF(Mecze[[#This Row],[Role]]&lt;&gt;"BR",SUMPRODUCT(Mecze[[#This Row],[/PR:90]:[/BR:90]],Brudnopis!$E$28:$J$28),0)</f>
        <v>0.1875</v>
      </c>
      <c r="Y2323" s="35">
        <f>IF(Mecze[[#This Row],[Role]]="BR",Mecze[[#This Row],[/OB:90]]+Mecze[[#This Row],[/PC:90]],SUM(Mecze[[#This Row],[/PR:90]:[/BR:90]]))</f>
        <v>0.16666666666666666</v>
      </c>
      <c r="Z2323" s="35">
        <f>IF(Mecze[[#This Row],[KC]]=0,SUM(Mecze[[#This Row],[/BRI]:[/NPI]]),SUM(Mecze[[#This Row],[/BRI]:[/NPI]])*0.6)</f>
        <v>0.9765625</v>
      </c>
      <c r="AA2323" s="10">
        <f>IFERROR(Mecze[[#This Row],[BR]]/Mecze[[#This Row],[ST]],0)</f>
        <v>0</v>
      </c>
      <c r="AB2323">
        <f>ROUND(Mecze[[#This Row],[PD]]*Mecze[[#This Row],[%PC]],0)</f>
        <v>12</v>
      </c>
      <c r="AC2323">
        <f>ROUND(Mecze[[#This Row],[OD]]*Mecze[[#This Row],[%OU]],0)</f>
        <v>0</v>
      </c>
      <c r="AD2323" s="36" t="s">
        <v>44</v>
      </c>
      <c r="AE2323" s="36">
        <v>130</v>
      </c>
      <c r="AF2323" s="71">
        <v>4.8099999999999996</v>
      </c>
      <c r="AG2323" s="37">
        <v>0</v>
      </c>
      <c r="AH2323" s="37">
        <v>0</v>
      </c>
      <c r="AI2323" s="37">
        <v>96</v>
      </c>
      <c r="AJ2323" s="37">
        <v>3</v>
      </c>
      <c r="AK2323" s="37" t="str">
        <f>VLOOKUP(Mecze[[#This Row],[Match ID]],Meczusie[Mecz]:Meczusie[RodzajMeczu],2,FALSE)</f>
        <v>Liga</v>
      </c>
    </row>
    <row r="2324" spans="1:37" x14ac:dyDescent="0.25">
      <c r="A2324" s="76">
        <v>8</v>
      </c>
      <c r="B2324" s="3" t="s">
        <v>269</v>
      </c>
      <c r="C2324" s="2" t="s">
        <v>165</v>
      </c>
      <c r="D2324" s="1">
        <v>0</v>
      </c>
      <c r="E2324" s="1">
        <v>3</v>
      </c>
      <c r="F2324" s="1">
        <v>3</v>
      </c>
      <c r="G2324" s="1">
        <v>5</v>
      </c>
      <c r="H2324" s="4">
        <v>0.8</v>
      </c>
      <c r="I2324" s="1">
        <v>0</v>
      </c>
      <c r="J2324" s="4"/>
      <c r="K2324" s="1">
        <v>0</v>
      </c>
      <c r="L2324" s="1">
        <v>1</v>
      </c>
      <c r="M2324" s="32">
        <f>IF(Mecze[[#This Row],[PR]]=0,0,Mecze[[#This Row],[PR]]/Mecze[[#This Row],[CZAS]])</f>
        <v>1.0416666666666666E-2</v>
      </c>
      <c r="N2324" s="32">
        <f>IF(Mecze[[#This Row],[OU]]=0,0,Mecze[[#This Row],[OU]]/Mecze[[#This Row],[CZAS]])</f>
        <v>0</v>
      </c>
      <c r="O2324" s="32">
        <f>IF(Mecze[[#This Row],[PC]]=0,0,Mecze[[#This Row],[PC]]/Mecze[[#This Row],[CZAS]])</f>
        <v>4.1666666666666664E-2</v>
      </c>
      <c r="P2324" s="32">
        <f>IF(Mecze[[#This Row],[SC]]=0,0,Mecze[[#This Row],[SC]]/Mecze[[#This Row],[CZAS]])</f>
        <v>3.125E-2</v>
      </c>
      <c r="Q2324" s="32">
        <f>IF(Mecze[[#This Row],[OB]]=0,0,Mecze[[#This Row],[OB]]/Mecze[[#This Row],[CZAS]])</f>
        <v>0</v>
      </c>
      <c r="R2324" s="32">
        <f>IF(Mecze[[#This Row],[BR]]=0,0,Mecze[[#This Row],[BR]]/Mecze[[#This Row],[CZAS]])</f>
        <v>0</v>
      </c>
      <c r="S2324" s="44">
        <f>IF(Mecze[[#This Row],[Role]]="BR",SUMPRODUCT(Mecze[[#This Row],[/PR:90]:[/BR:90]],Brudnopis!$E$23:$J$23),0)</f>
        <v>0</v>
      </c>
      <c r="T2324" s="44">
        <f>IF(Mecze[[#This Row],[Role]]&lt;&gt;"BR",SUMPRODUCT(Mecze[[#This Row],[/PR:90]:[/BR:90]],Brudnopis!$E$24:$J$24),0)</f>
        <v>8.3333333333333329E-2</v>
      </c>
      <c r="U2324" s="44">
        <f>IF(Mecze[[#This Row],[Role]]&lt;&gt;"BR",SUMPRODUCT(Mecze[[#This Row],[/PR:90]:[/BR:90]],Brudnopis!$E$25:$J$25),0)</f>
        <v>0.10416666666666667</v>
      </c>
      <c r="V2324" s="44">
        <f>IF(Mecze[[#This Row],[Role]]&lt;&gt;"BR",SUMPRODUCT(Mecze[[#This Row],[/PR:90]:[/BR:90]],Brudnopis!$E$26:$J$26),0)</f>
        <v>8.3333333333333329E-2</v>
      </c>
      <c r="W2324" s="44">
        <f>IF(Mecze[[#This Row],[Role]]&lt;&gt;"BR",SUMPRODUCT(Mecze[[#This Row],[/PR:90]:[/BR:90]],Brudnopis!$E$27:$J$27),0)</f>
        <v>0.1015625</v>
      </c>
      <c r="X2324" s="44">
        <f>IF(Mecze[[#This Row],[Role]]&lt;&gt;"BR",SUMPRODUCT(Mecze[[#This Row],[/PR:90]:[/BR:90]],Brudnopis!$E$28:$J$28),0)</f>
        <v>0.10416666666666666</v>
      </c>
      <c r="Y2324" s="35">
        <f>IF(Mecze[[#This Row],[Role]]="BR",Mecze[[#This Row],[/OB:90]]+Mecze[[#This Row],[/PC:90]],SUM(Mecze[[#This Row],[/PR:90]:[/BR:90]]))</f>
        <v>8.3333333333333329E-2</v>
      </c>
      <c r="Z2324" s="35">
        <f>IF(Mecze[[#This Row],[KC]]=0,SUM(Mecze[[#This Row],[/BRI]:[/NPI]]),SUM(Mecze[[#This Row],[/BRI]:[/NPI]])*0.6)</f>
        <v>0.4765625</v>
      </c>
      <c r="AA2324" s="10">
        <f>IFERROR(Mecze[[#This Row],[BR]]/Mecze[[#This Row],[ST]],0)</f>
        <v>0</v>
      </c>
      <c r="AB2324">
        <f>ROUND(Mecze[[#This Row],[PD]]*Mecze[[#This Row],[%PC]],0)</f>
        <v>4</v>
      </c>
      <c r="AC2324">
        <f>ROUND(Mecze[[#This Row],[OD]]*Mecze[[#This Row],[%OU]],0)</f>
        <v>0</v>
      </c>
      <c r="AD2324" s="36" t="s">
        <v>272</v>
      </c>
      <c r="AE2324" s="36">
        <v>130</v>
      </c>
      <c r="AF2324" s="71">
        <v>5.62</v>
      </c>
      <c r="AG2324" s="37">
        <v>0</v>
      </c>
      <c r="AH2324" s="37">
        <v>0</v>
      </c>
      <c r="AI2324" s="37">
        <v>96</v>
      </c>
      <c r="AJ2324" s="37">
        <v>3</v>
      </c>
      <c r="AK2324" s="37" t="str">
        <f>VLOOKUP(Mecze[[#This Row],[Match ID]],Meczusie[Mecz]:Meczusie[RodzajMeczu],2,FALSE)</f>
        <v>Liga</v>
      </c>
    </row>
    <row r="2325" spans="1:37" x14ac:dyDescent="0.25">
      <c r="A2325" s="76">
        <v>11</v>
      </c>
      <c r="B2325" s="3" t="s">
        <v>270</v>
      </c>
      <c r="C2325" s="2" t="s">
        <v>165</v>
      </c>
      <c r="D2325" s="1">
        <v>0</v>
      </c>
      <c r="E2325" s="1">
        <v>4</v>
      </c>
      <c r="F2325" s="1">
        <v>3</v>
      </c>
      <c r="G2325" s="1">
        <v>13</v>
      </c>
      <c r="H2325" s="4">
        <v>0.69</v>
      </c>
      <c r="I2325" s="1">
        <v>1</v>
      </c>
      <c r="J2325" s="4">
        <v>1</v>
      </c>
      <c r="K2325" s="1">
        <v>0</v>
      </c>
      <c r="L2325" s="1">
        <v>0</v>
      </c>
      <c r="M2325" s="32">
        <f>IF(Mecze[[#This Row],[PR]]=0,0,Mecze[[#This Row],[PR]]/Mecze[[#This Row],[CZAS]])</f>
        <v>0</v>
      </c>
      <c r="N2325" s="32">
        <f>IF(Mecze[[#This Row],[OU]]=0,0,Mecze[[#This Row],[OU]]/Mecze[[#This Row],[CZAS]])</f>
        <v>1.0416666666666666E-2</v>
      </c>
      <c r="O2325" s="32">
        <f>IF(Mecze[[#This Row],[PC]]=0,0,Mecze[[#This Row],[PC]]/Mecze[[#This Row],[CZAS]])</f>
        <v>9.375E-2</v>
      </c>
      <c r="P2325" s="32">
        <f>IF(Mecze[[#This Row],[SC]]=0,0,Mecze[[#This Row],[SC]]/Mecze[[#This Row],[CZAS]])</f>
        <v>3.125E-2</v>
      </c>
      <c r="Q2325" s="32">
        <f>IF(Mecze[[#This Row],[OB]]=0,0,Mecze[[#This Row],[OB]]/Mecze[[#This Row],[CZAS]])</f>
        <v>0</v>
      </c>
      <c r="R2325" s="32">
        <f>IF(Mecze[[#This Row],[BR]]=0,0,Mecze[[#This Row],[BR]]/Mecze[[#This Row],[CZAS]])</f>
        <v>0</v>
      </c>
      <c r="S2325" s="44">
        <f>IF(Mecze[[#This Row],[Role]]="BR",SUMPRODUCT(Mecze[[#This Row],[/PR:90]:[/BR:90]],Brudnopis!$E$23:$J$23),0)</f>
        <v>0</v>
      </c>
      <c r="T2325" s="44">
        <f>IF(Mecze[[#This Row],[Role]]&lt;&gt;"BR",SUMPRODUCT(Mecze[[#This Row],[/PR:90]:[/BR:90]],Brudnopis!$E$24:$J$24),0)</f>
        <v>0.140625</v>
      </c>
      <c r="U2325" s="44">
        <f>IF(Mecze[[#This Row],[Role]]&lt;&gt;"BR",SUMPRODUCT(Mecze[[#This Row],[/PR:90]:[/BR:90]],Brudnopis!$E$25:$J$25),0)</f>
        <v>0.18229166666666666</v>
      </c>
      <c r="V2325" s="44">
        <f>IF(Mecze[[#This Row],[Role]]&lt;&gt;"BR",SUMPRODUCT(Mecze[[#This Row],[/PR:90]:[/BR:90]],Brudnopis!$E$26:$J$26),0)</f>
        <v>0.13541666666666669</v>
      </c>
      <c r="W2325" s="44">
        <f>IF(Mecze[[#This Row],[Role]]&lt;&gt;"BR",SUMPRODUCT(Mecze[[#This Row],[/PR:90]:[/BR:90]],Brudnopis!$E$27:$J$27),0)</f>
        <v>0.1796875</v>
      </c>
      <c r="X2325" s="44">
        <f>IF(Mecze[[#This Row],[Role]]&lt;&gt;"BR",SUMPRODUCT(Mecze[[#This Row],[/PR:90]:[/BR:90]],Brudnopis!$E$28:$J$28),0)</f>
        <v>0.15625</v>
      </c>
      <c r="Y2325" s="35">
        <f>IF(Mecze[[#This Row],[Role]]="BR",Mecze[[#This Row],[/OB:90]]+Mecze[[#This Row],[/PC:90]],SUM(Mecze[[#This Row],[/PR:90]:[/BR:90]]))</f>
        <v>0.13541666666666669</v>
      </c>
      <c r="Z2325" s="35">
        <f>IF(Mecze[[#This Row],[KC]]=0,SUM(Mecze[[#This Row],[/BRI]:[/NPI]]),SUM(Mecze[[#This Row],[/BRI]:[/NPI]])*0.6)</f>
        <v>0.79427083333333326</v>
      </c>
      <c r="AA2325" s="10">
        <f>IFERROR(Mecze[[#This Row],[BR]]/Mecze[[#This Row],[ST]],0)</f>
        <v>0</v>
      </c>
      <c r="AB2325">
        <f>ROUND(Mecze[[#This Row],[PD]]*Mecze[[#This Row],[%PC]],0)</f>
        <v>9</v>
      </c>
      <c r="AC2325">
        <f>ROUND(Mecze[[#This Row],[OD]]*Mecze[[#This Row],[%OU]],0)</f>
        <v>1</v>
      </c>
      <c r="AD2325" s="36" t="s">
        <v>273</v>
      </c>
      <c r="AE2325" s="36">
        <v>130</v>
      </c>
      <c r="AF2325" s="71">
        <v>4.7</v>
      </c>
      <c r="AG2325" s="37">
        <v>0</v>
      </c>
      <c r="AH2325" s="37">
        <v>0</v>
      </c>
      <c r="AI2325" s="37">
        <v>96</v>
      </c>
      <c r="AJ2325" s="37">
        <v>3</v>
      </c>
      <c r="AK2325" s="37" t="str">
        <f>VLOOKUP(Mecze[[#This Row],[Match ID]],Meczusie[Mecz]:Meczusie[RodzajMeczu],2,FALSE)</f>
        <v>Liga</v>
      </c>
    </row>
    <row r="2326" spans="1:37" x14ac:dyDescent="0.25">
      <c r="A2326" s="76">
        <v>10</v>
      </c>
      <c r="B2326" s="3" t="s">
        <v>271</v>
      </c>
      <c r="C2326" s="2" t="s">
        <v>165</v>
      </c>
      <c r="D2326" s="1">
        <v>1</v>
      </c>
      <c r="E2326" s="1">
        <v>6</v>
      </c>
      <c r="F2326" s="1">
        <v>6</v>
      </c>
      <c r="G2326" s="1">
        <v>13</v>
      </c>
      <c r="H2326" s="4">
        <v>0.92</v>
      </c>
      <c r="I2326" s="1">
        <v>0</v>
      </c>
      <c r="J2326" s="4"/>
      <c r="K2326" s="1">
        <v>0</v>
      </c>
      <c r="L2326" s="1">
        <v>0</v>
      </c>
      <c r="M2326" s="32">
        <f>IF(Mecze[[#This Row],[PR]]=0,0,Mecze[[#This Row],[PR]]/Mecze[[#This Row],[CZAS]])</f>
        <v>0</v>
      </c>
      <c r="N2326" s="32">
        <f>IF(Mecze[[#This Row],[OU]]=0,0,Mecze[[#This Row],[OU]]/Mecze[[#This Row],[CZAS]])</f>
        <v>0</v>
      </c>
      <c r="O2326" s="32">
        <f>IF(Mecze[[#This Row],[PC]]=0,0,Mecze[[#This Row],[PC]]/Mecze[[#This Row],[CZAS]])</f>
        <v>0.125</v>
      </c>
      <c r="P2326" s="32">
        <f>IF(Mecze[[#This Row],[SC]]=0,0,Mecze[[#This Row],[SC]]/Mecze[[#This Row],[CZAS]])</f>
        <v>6.25E-2</v>
      </c>
      <c r="Q2326" s="32">
        <f>IF(Mecze[[#This Row],[OB]]=0,0,Mecze[[#This Row],[OB]]/Mecze[[#This Row],[CZAS]])</f>
        <v>0</v>
      </c>
      <c r="R2326" s="32">
        <f>IF(Mecze[[#This Row],[BR]]=0,0,Mecze[[#This Row],[BR]]/Mecze[[#This Row],[CZAS]])</f>
        <v>1.0416666666666666E-2</v>
      </c>
      <c r="S2326" s="44">
        <f>IF(Mecze[[#This Row],[Role]]="BR",SUMPRODUCT(Mecze[[#This Row],[/PR:90]:[/BR:90]],Brudnopis!$E$23:$J$23),0)</f>
        <v>0</v>
      </c>
      <c r="T2326" s="44">
        <f>IF(Mecze[[#This Row],[Role]]&lt;&gt;"BR",SUMPRODUCT(Mecze[[#This Row],[/PR:90]:[/BR:90]],Brudnopis!$E$24:$J$24),0)</f>
        <v>0.203125</v>
      </c>
      <c r="U2326" s="44">
        <f>IF(Mecze[[#This Row],[Role]]&lt;&gt;"BR",SUMPRODUCT(Mecze[[#This Row],[/PR:90]:[/BR:90]],Brudnopis!$E$25:$J$25),0)</f>
        <v>0.265625</v>
      </c>
      <c r="V2326" s="44">
        <f>IF(Mecze[[#This Row],[Role]]&lt;&gt;"BR",SUMPRODUCT(Mecze[[#This Row],[/PR:90]:[/BR:90]],Brudnopis!$E$26:$J$26),0)</f>
        <v>0.20833333333333334</v>
      </c>
      <c r="W2326" s="44">
        <f>IF(Mecze[[#This Row],[Role]]&lt;&gt;"BR",SUMPRODUCT(Mecze[[#This Row],[/PR:90]:[/BR:90]],Brudnopis!$E$27:$J$27),0)</f>
        <v>0.27083333333333331</v>
      </c>
      <c r="X2326" s="44">
        <f>IF(Mecze[[#This Row],[Role]]&lt;&gt;"BR",SUMPRODUCT(Mecze[[#This Row],[/PR:90]:[/BR:90]],Brudnopis!$E$28:$J$28),0)</f>
        <v>0.28125</v>
      </c>
      <c r="Y2326" s="35">
        <f>IF(Mecze[[#This Row],[Role]]="BR",Mecze[[#This Row],[/OB:90]]+Mecze[[#This Row],[/PC:90]],SUM(Mecze[[#This Row],[/PR:90]:[/BR:90]]))</f>
        <v>0.19791666666666666</v>
      </c>
      <c r="Z2326" s="35">
        <f>IF(Mecze[[#This Row],[KC]]=0,SUM(Mecze[[#This Row],[/BRI]:[/NPI]]),SUM(Mecze[[#This Row],[/BRI]:[/NPI]])*0.6)</f>
        <v>1.2291666666666667</v>
      </c>
      <c r="AA2326" s="10">
        <f>IFERROR(Mecze[[#This Row],[BR]]/Mecze[[#This Row],[ST]],0)</f>
        <v>0.16666666666666666</v>
      </c>
      <c r="AB2326">
        <f>ROUND(Mecze[[#This Row],[PD]]*Mecze[[#This Row],[%PC]],0)</f>
        <v>12</v>
      </c>
      <c r="AC2326">
        <f>ROUND(Mecze[[#This Row],[OD]]*Mecze[[#This Row],[%OU]],0)</f>
        <v>0</v>
      </c>
      <c r="AD2326" s="36" t="s">
        <v>46</v>
      </c>
      <c r="AE2326" s="36">
        <v>130</v>
      </c>
      <c r="AF2326" s="71">
        <v>8.58</v>
      </c>
      <c r="AG2326" s="37">
        <v>0</v>
      </c>
      <c r="AH2326" s="37">
        <v>0</v>
      </c>
      <c r="AI2326" s="37">
        <v>96</v>
      </c>
      <c r="AJ2326" s="37">
        <v>3</v>
      </c>
      <c r="AK2326" s="37" t="str">
        <f>VLOOKUP(Mecze[[#This Row],[Match ID]],Meczusie[Mecz]:Meczusie[RodzajMeczu],2,FALSE)</f>
        <v>Liga</v>
      </c>
    </row>
    <row r="2327" spans="1:37" x14ac:dyDescent="0.25">
      <c r="A2327" s="76">
        <v>208</v>
      </c>
      <c r="B2327" s="3" t="s">
        <v>436</v>
      </c>
      <c r="C2327" s="2" t="s">
        <v>155</v>
      </c>
      <c r="D2327" s="1">
        <v>0</v>
      </c>
      <c r="E2327" s="1">
        <v>0</v>
      </c>
      <c r="F2327" s="1">
        <v>0</v>
      </c>
      <c r="G2327" s="1">
        <v>12</v>
      </c>
      <c r="H2327" s="4">
        <v>0.67</v>
      </c>
      <c r="I2327" s="1">
        <v>0</v>
      </c>
      <c r="J2327" s="4"/>
      <c r="K2327" s="1">
        <v>14</v>
      </c>
      <c r="L2327" s="1">
        <v>0</v>
      </c>
      <c r="M2327" s="32">
        <f>IF(Mecze[[#This Row],[PR]]=0,0,Mecze[[#This Row],[PR]]/Mecze[[#This Row],[CZAS]])</f>
        <v>0</v>
      </c>
      <c r="N2327" s="32">
        <f>IF(Mecze[[#This Row],[OU]]=0,0,Mecze[[#This Row],[OU]]/Mecze[[#This Row],[CZAS]])</f>
        <v>0</v>
      </c>
      <c r="O2327" s="32">
        <f>IF(Mecze[[#This Row],[PC]]=0,0,Mecze[[#This Row],[PC]]/Mecze[[#This Row],[CZAS]])</f>
        <v>8.3333333333333329E-2</v>
      </c>
      <c r="P2327" s="32">
        <f>IF(Mecze[[#This Row],[SC]]=0,0,Mecze[[#This Row],[SC]]/Mecze[[#This Row],[CZAS]])</f>
        <v>0</v>
      </c>
      <c r="Q2327" s="32">
        <f>IF(Mecze[[#This Row],[OB]]=0,0,Mecze[[#This Row],[OB]]/Mecze[[#This Row],[CZAS]])</f>
        <v>0.14583333333333334</v>
      </c>
      <c r="R2327" s="32">
        <f>IF(Mecze[[#This Row],[BR]]=0,0,Mecze[[#This Row],[BR]]/Mecze[[#This Row],[CZAS]])</f>
        <v>0</v>
      </c>
      <c r="S2327" s="44">
        <f>IF(Mecze[[#This Row],[Role]]="BR",SUMPRODUCT(Mecze[[#This Row],[/PR:90]:[/BR:90]],Brudnopis!$E$23:$J$23),0)</f>
        <v>0.6875</v>
      </c>
      <c r="T2327" s="44">
        <f>IF(Mecze[[#This Row],[Role]]&lt;&gt;"BR",SUMPRODUCT(Mecze[[#This Row],[/PR:90]:[/BR:90]],Brudnopis!$E$24:$J$24),0)</f>
        <v>0</v>
      </c>
      <c r="U2327" s="44">
        <f>IF(Mecze[[#This Row],[Role]]&lt;&gt;"BR",SUMPRODUCT(Mecze[[#This Row],[/PR:90]:[/BR:90]],Brudnopis!$E$25:$J$25),0)</f>
        <v>0</v>
      </c>
      <c r="V2327" s="44">
        <f>IF(Mecze[[#This Row],[Role]]&lt;&gt;"BR",SUMPRODUCT(Mecze[[#This Row],[/PR:90]:[/BR:90]],Brudnopis!$E$26:$J$26),0)</f>
        <v>0</v>
      </c>
      <c r="W2327" s="44">
        <f>IF(Mecze[[#This Row],[Role]]&lt;&gt;"BR",SUMPRODUCT(Mecze[[#This Row],[/PR:90]:[/BR:90]],Brudnopis!$E$27:$J$27),0)</f>
        <v>0</v>
      </c>
      <c r="X2327" s="44">
        <f>IF(Mecze[[#This Row],[Role]]&lt;&gt;"BR",SUMPRODUCT(Mecze[[#This Row],[/PR:90]:[/BR:90]],Brudnopis!$E$28:$J$28),0)</f>
        <v>0</v>
      </c>
      <c r="Y2327" s="35">
        <f>IF(Mecze[[#This Row],[Role]]="BR",Mecze[[#This Row],[/OB:90]]+Mecze[[#This Row],[/PC:90]],SUM(Mecze[[#This Row],[/PR:90]:[/BR:90]]))</f>
        <v>0.22916666666666669</v>
      </c>
      <c r="Z2327" s="35">
        <f>IF(Mecze[[#This Row],[KC]]=0,SUM(Mecze[[#This Row],[/BRI]:[/NPI]]),SUM(Mecze[[#This Row],[/BRI]:[/NPI]])*0.6)</f>
        <v>0.6875</v>
      </c>
      <c r="AA2327" s="10">
        <f>IFERROR(Mecze[[#This Row],[BR]]/Mecze[[#This Row],[ST]],0)</f>
        <v>0</v>
      </c>
      <c r="AB2327">
        <f>ROUND(Mecze[[#This Row],[PD]]*Mecze[[#This Row],[%PC]],0)</f>
        <v>8</v>
      </c>
      <c r="AC2327">
        <f>ROUND(Mecze[[#This Row],[OD]]*Mecze[[#This Row],[%OU]],0)</f>
        <v>0</v>
      </c>
      <c r="AD2327" s="36" t="s">
        <v>40</v>
      </c>
      <c r="AE2327" s="36">
        <v>130</v>
      </c>
      <c r="AF2327" s="71">
        <v>10.039999999999999</v>
      </c>
      <c r="AG2327" s="37">
        <v>0</v>
      </c>
      <c r="AH2327" s="37">
        <v>0</v>
      </c>
      <c r="AI2327" s="37">
        <v>96</v>
      </c>
      <c r="AJ2327" s="37">
        <v>7</v>
      </c>
      <c r="AK2327" s="37" t="str">
        <f>VLOOKUP(Mecze[[#This Row],[Match ID]],Meczusie[Mecz]:Meczusie[RodzajMeczu],2,FALSE)</f>
        <v>Liga</v>
      </c>
    </row>
    <row r="2328" spans="1:37" x14ac:dyDescent="0.25">
      <c r="A2328" s="76">
        <v>204</v>
      </c>
      <c r="B2328" s="3" t="s">
        <v>334</v>
      </c>
      <c r="C2328" s="2" t="s">
        <v>157</v>
      </c>
      <c r="D2328" s="1">
        <v>0</v>
      </c>
      <c r="E2328" s="1">
        <v>0</v>
      </c>
      <c r="F2328" s="1">
        <v>0</v>
      </c>
      <c r="G2328" s="1">
        <v>16</v>
      </c>
      <c r="H2328" s="4">
        <v>0.56000000000000005</v>
      </c>
      <c r="I2328" s="1">
        <v>8</v>
      </c>
      <c r="J2328" s="4">
        <v>0.38</v>
      </c>
      <c r="K2328" s="1">
        <v>0</v>
      </c>
      <c r="L2328" s="1">
        <v>10</v>
      </c>
      <c r="M2328" s="32">
        <f>IF(Mecze[[#This Row],[PR]]=0,0,Mecze[[#This Row],[PR]]/Mecze[[#This Row],[CZAS]])</f>
        <v>0.10416666666666667</v>
      </c>
      <c r="N2328" s="32">
        <f>IF(Mecze[[#This Row],[OU]]=0,0,Mecze[[#This Row],[OU]]/Mecze[[#This Row],[CZAS]])</f>
        <v>3.125E-2</v>
      </c>
      <c r="O2328" s="32">
        <f>IF(Mecze[[#This Row],[PC]]=0,0,Mecze[[#This Row],[PC]]/Mecze[[#This Row],[CZAS]])</f>
        <v>9.375E-2</v>
      </c>
      <c r="P2328" s="32">
        <f>IF(Mecze[[#This Row],[SC]]=0,0,Mecze[[#This Row],[SC]]/Mecze[[#This Row],[CZAS]])</f>
        <v>0</v>
      </c>
      <c r="Q2328" s="32">
        <f>IF(Mecze[[#This Row],[OB]]=0,0,Mecze[[#This Row],[OB]]/Mecze[[#This Row],[CZAS]])</f>
        <v>0</v>
      </c>
      <c r="R2328" s="32">
        <f>IF(Mecze[[#This Row],[BR]]=0,0,Mecze[[#This Row],[BR]]/Mecze[[#This Row],[CZAS]])</f>
        <v>0</v>
      </c>
      <c r="S2328" s="44">
        <f>IF(Mecze[[#This Row],[Role]]="BR",SUMPRODUCT(Mecze[[#This Row],[/PR:90]:[/BR:90]],Brudnopis!$E$23:$J$23),0)</f>
        <v>0</v>
      </c>
      <c r="T2328" s="44">
        <f>IF(Mecze[[#This Row],[Role]]&lt;&gt;"BR",SUMPRODUCT(Mecze[[#This Row],[/PR:90]:[/BR:90]],Brudnopis!$E$24:$J$24),0)</f>
        <v>0.24479166666666669</v>
      </c>
      <c r="U2328" s="44">
        <f>IF(Mecze[[#This Row],[Role]]&lt;&gt;"BR",SUMPRODUCT(Mecze[[#This Row],[/PR:90]:[/BR:90]],Brudnopis!$E$25:$J$25),0)</f>
        <v>0.27604166666666669</v>
      </c>
      <c r="V2328" s="44">
        <f>IF(Mecze[[#This Row],[Role]]&lt;&gt;"BR",SUMPRODUCT(Mecze[[#This Row],[/PR:90]:[/BR:90]],Brudnopis!$E$26:$J$26),0)</f>
        <v>0.22916666666666669</v>
      </c>
      <c r="W2328" s="44">
        <f>IF(Mecze[[#This Row],[Role]]&lt;&gt;"BR",SUMPRODUCT(Mecze[[#This Row],[/PR:90]:[/BR:90]],Brudnopis!$E$27:$J$27),0)</f>
        <v>0.2421875</v>
      </c>
      <c r="X2328" s="44">
        <f>IF(Mecze[[#This Row],[Role]]&lt;&gt;"BR",SUMPRODUCT(Mecze[[#This Row],[/PR:90]:[/BR:90]],Brudnopis!$E$28:$J$28),0)</f>
        <v>9.375E-2</v>
      </c>
      <c r="Y2328" s="35">
        <f>IF(Mecze[[#This Row],[Role]]="BR",Mecze[[#This Row],[/OB:90]]+Mecze[[#This Row],[/PC:90]],SUM(Mecze[[#This Row],[/PR:90]:[/BR:90]]))</f>
        <v>0.22916666666666669</v>
      </c>
      <c r="Z2328" s="35">
        <f>IF(Mecze[[#This Row],[KC]]=0,SUM(Mecze[[#This Row],[/BRI]:[/NPI]]),SUM(Mecze[[#This Row],[/BRI]:[/NPI]])*0.6)</f>
        <v>1.0859375</v>
      </c>
      <c r="AA2328" s="10">
        <f>IFERROR(Mecze[[#This Row],[BR]]/Mecze[[#This Row],[ST]],0)</f>
        <v>0</v>
      </c>
      <c r="AB2328">
        <f>ROUND(Mecze[[#This Row],[PD]]*Mecze[[#This Row],[%PC]],0)</f>
        <v>9</v>
      </c>
      <c r="AC2328">
        <f>ROUND(Mecze[[#This Row],[OD]]*Mecze[[#This Row],[%OU]],0)</f>
        <v>3</v>
      </c>
      <c r="AD2328" s="36" t="s">
        <v>47</v>
      </c>
      <c r="AE2328" s="36">
        <v>130</v>
      </c>
      <c r="AF2328" s="71">
        <v>6.02</v>
      </c>
      <c r="AG2328" s="37">
        <v>0</v>
      </c>
      <c r="AH2328" s="37">
        <v>0</v>
      </c>
      <c r="AI2328" s="37">
        <v>96</v>
      </c>
      <c r="AJ2328" s="37">
        <v>7</v>
      </c>
      <c r="AK2328" s="37" t="str">
        <f>VLOOKUP(Mecze[[#This Row],[Match ID]],Meczusie[Mecz]:Meczusie[RodzajMeczu],2,FALSE)</f>
        <v>Liga</v>
      </c>
    </row>
    <row r="2329" spans="1:37" x14ac:dyDescent="0.25">
      <c r="A2329" s="76">
        <v>156</v>
      </c>
      <c r="B2329" s="3" t="s">
        <v>443</v>
      </c>
      <c r="C2329" s="2" t="s">
        <v>157</v>
      </c>
      <c r="D2329" s="1">
        <v>0</v>
      </c>
      <c r="E2329" s="1">
        <v>0</v>
      </c>
      <c r="F2329" s="1">
        <v>0</v>
      </c>
      <c r="G2329" s="1">
        <v>2</v>
      </c>
      <c r="H2329" s="4">
        <v>0</v>
      </c>
      <c r="I2329" s="1">
        <v>2</v>
      </c>
      <c r="J2329" s="4">
        <v>0.5</v>
      </c>
      <c r="K2329" s="1">
        <v>0</v>
      </c>
      <c r="L2329" s="1">
        <v>3</v>
      </c>
      <c r="M2329" s="32">
        <f>IF(Mecze[[#This Row],[PR]]=0,0,Mecze[[#This Row],[PR]]/Mecze[[#This Row],[CZAS]])</f>
        <v>3.125E-2</v>
      </c>
      <c r="N2329" s="32">
        <f>IF(Mecze[[#This Row],[OU]]=0,0,Mecze[[#This Row],[OU]]/Mecze[[#This Row],[CZAS]])</f>
        <v>1.0416666666666666E-2</v>
      </c>
      <c r="O2329" s="32">
        <f>IF(Mecze[[#This Row],[PC]]=0,0,Mecze[[#This Row],[PC]]/Mecze[[#This Row],[CZAS]])</f>
        <v>0</v>
      </c>
      <c r="P2329" s="32">
        <f>IF(Mecze[[#This Row],[SC]]=0,0,Mecze[[#This Row],[SC]]/Mecze[[#This Row],[CZAS]])</f>
        <v>0</v>
      </c>
      <c r="Q2329" s="32">
        <f>IF(Mecze[[#This Row],[OB]]=0,0,Mecze[[#This Row],[OB]]/Mecze[[#This Row],[CZAS]])</f>
        <v>0</v>
      </c>
      <c r="R2329" s="32">
        <f>IF(Mecze[[#This Row],[BR]]=0,0,Mecze[[#This Row],[BR]]/Mecze[[#This Row],[CZAS]])</f>
        <v>0</v>
      </c>
      <c r="S2329" s="44">
        <f>IF(Mecze[[#This Row],[Role]]="BR",SUMPRODUCT(Mecze[[#This Row],[/PR:90]:[/BR:90]],Brudnopis!$E$23:$J$23),0)</f>
        <v>0</v>
      </c>
      <c r="T2329" s="44">
        <f>IF(Mecze[[#This Row],[Role]]&lt;&gt;"BR",SUMPRODUCT(Mecze[[#This Row],[/PR:90]:[/BR:90]],Brudnopis!$E$24:$J$24),0)</f>
        <v>4.6875E-2</v>
      </c>
      <c r="U2329" s="44">
        <f>IF(Mecze[[#This Row],[Role]]&lt;&gt;"BR",SUMPRODUCT(Mecze[[#This Row],[/PR:90]:[/BR:90]],Brudnopis!$E$25:$J$25),0)</f>
        <v>4.1666666666666664E-2</v>
      </c>
      <c r="V2329" s="44">
        <f>IF(Mecze[[#This Row],[Role]]&lt;&gt;"BR",SUMPRODUCT(Mecze[[#This Row],[/PR:90]:[/BR:90]],Brudnopis!$E$26:$J$26),0)</f>
        <v>4.1666666666666664E-2</v>
      </c>
      <c r="W2329" s="44">
        <f>IF(Mecze[[#This Row],[Role]]&lt;&gt;"BR",SUMPRODUCT(Mecze[[#This Row],[/PR:90]:[/BR:90]],Brudnopis!$E$27:$J$27),0)</f>
        <v>3.125E-2</v>
      </c>
      <c r="X2329" s="44">
        <f>IF(Mecze[[#This Row],[Role]]&lt;&gt;"BR",SUMPRODUCT(Mecze[[#This Row],[/PR:90]:[/BR:90]],Brudnopis!$E$28:$J$28),0)</f>
        <v>0</v>
      </c>
      <c r="Y2329" s="35">
        <f>IF(Mecze[[#This Row],[Role]]="BR",Mecze[[#This Row],[/OB:90]]+Mecze[[#This Row],[/PC:90]],SUM(Mecze[[#This Row],[/PR:90]:[/BR:90]]))</f>
        <v>4.1666666666666664E-2</v>
      </c>
      <c r="Z2329" s="35">
        <f>IF(Mecze[[#This Row],[KC]]=0,SUM(Mecze[[#This Row],[/BRI]:[/NPI]]),SUM(Mecze[[#This Row],[/BRI]:[/NPI]])*0.6)</f>
        <v>0.16145833333333331</v>
      </c>
      <c r="AA2329" s="10">
        <f>IFERROR(Mecze[[#This Row],[BR]]/Mecze[[#This Row],[ST]],0)</f>
        <v>0</v>
      </c>
      <c r="AB2329">
        <f>ROUND(Mecze[[#This Row],[PD]]*Mecze[[#This Row],[%PC]],0)</f>
        <v>0</v>
      </c>
      <c r="AC2329">
        <f>ROUND(Mecze[[#This Row],[OD]]*Mecze[[#This Row],[%OU]],0)</f>
        <v>1</v>
      </c>
      <c r="AD2329" s="36" t="s">
        <v>168</v>
      </c>
      <c r="AE2329" s="36">
        <v>130</v>
      </c>
      <c r="AF2329" s="71">
        <v>4.55</v>
      </c>
      <c r="AG2329" s="37">
        <v>0</v>
      </c>
      <c r="AH2329" s="37">
        <v>0</v>
      </c>
      <c r="AI2329" s="37">
        <v>96</v>
      </c>
      <c r="AJ2329" s="37">
        <v>7</v>
      </c>
      <c r="AK2329" s="37" t="str">
        <f>VLOOKUP(Mecze[[#This Row],[Match ID]],Meczusie[Mecz]:Meczusie[RodzajMeczu],2,FALSE)</f>
        <v>Liga</v>
      </c>
    </row>
    <row r="2330" spans="1:37" x14ac:dyDescent="0.25">
      <c r="A2330" s="76">
        <v>150</v>
      </c>
      <c r="B2330" s="3" t="s">
        <v>335</v>
      </c>
      <c r="C2330" s="2" t="s">
        <v>157</v>
      </c>
      <c r="D2330" s="1">
        <v>0</v>
      </c>
      <c r="E2330" s="1">
        <v>0</v>
      </c>
      <c r="F2330" s="1">
        <v>0</v>
      </c>
      <c r="G2330" s="1">
        <v>6</v>
      </c>
      <c r="H2330" s="4">
        <v>0.83</v>
      </c>
      <c r="I2330" s="1">
        <v>3</v>
      </c>
      <c r="J2330" s="4">
        <v>0.33</v>
      </c>
      <c r="K2330" s="1">
        <v>0</v>
      </c>
      <c r="L2330" s="1">
        <v>6</v>
      </c>
      <c r="M2330" s="32">
        <f>IF(Mecze[[#This Row],[PR]]=0,0,Mecze[[#This Row],[PR]]/Mecze[[#This Row],[CZAS]])</f>
        <v>6.25E-2</v>
      </c>
      <c r="N2330" s="32">
        <f>IF(Mecze[[#This Row],[OU]]=0,0,Mecze[[#This Row],[OU]]/Mecze[[#This Row],[CZAS]])</f>
        <v>1.0416666666666666E-2</v>
      </c>
      <c r="O2330" s="32">
        <f>IF(Mecze[[#This Row],[PC]]=0,0,Mecze[[#This Row],[PC]]/Mecze[[#This Row],[CZAS]])</f>
        <v>5.2083333333333336E-2</v>
      </c>
      <c r="P2330" s="32">
        <f>IF(Mecze[[#This Row],[SC]]=0,0,Mecze[[#This Row],[SC]]/Mecze[[#This Row],[CZAS]])</f>
        <v>0</v>
      </c>
      <c r="Q2330" s="32">
        <f>IF(Mecze[[#This Row],[OB]]=0,0,Mecze[[#This Row],[OB]]/Mecze[[#This Row],[CZAS]])</f>
        <v>0</v>
      </c>
      <c r="R2330" s="32">
        <f>IF(Mecze[[#This Row],[BR]]=0,0,Mecze[[#This Row],[BR]]/Mecze[[#This Row],[CZAS]])</f>
        <v>0</v>
      </c>
      <c r="S2330" s="44">
        <f>IF(Mecze[[#This Row],[Role]]="BR",SUMPRODUCT(Mecze[[#This Row],[/PR:90]:[/BR:90]],Brudnopis!$E$23:$J$23),0)</f>
        <v>0</v>
      </c>
      <c r="T2330" s="44">
        <f>IF(Mecze[[#This Row],[Role]]&lt;&gt;"BR",SUMPRODUCT(Mecze[[#This Row],[/PR:90]:[/BR:90]],Brudnopis!$E$24:$J$24),0)</f>
        <v>0.13020833333333334</v>
      </c>
      <c r="U2330" s="44">
        <f>IF(Mecze[[#This Row],[Role]]&lt;&gt;"BR",SUMPRODUCT(Mecze[[#This Row],[/PR:90]:[/BR:90]],Brudnopis!$E$25:$J$25),0)</f>
        <v>0.15104166666666669</v>
      </c>
      <c r="V2330" s="44">
        <f>IF(Mecze[[#This Row],[Role]]&lt;&gt;"BR",SUMPRODUCT(Mecze[[#This Row],[/PR:90]:[/BR:90]],Brudnopis!$E$26:$J$26),0)</f>
        <v>0.125</v>
      </c>
      <c r="W2330" s="44">
        <f>IF(Mecze[[#This Row],[Role]]&lt;&gt;"BR",SUMPRODUCT(Mecze[[#This Row],[/PR:90]:[/BR:90]],Brudnopis!$E$27:$J$27),0)</f>
        <v>0.1328125</v>
      </c>
      <c r="X2330" s="44">
        <f>IF(Mecze[[#This Row],[Role]]&lt;&gt;"BR",SUMPRODUCT(Mecze[[#This Row],[/PR:90]:[/BR:90]],Brudnopis!$E$28:$J$28),0)</f>
        <v>5.2083333333333336E-2</v>
      </c>
      <c r="Y2330" s="35">
        <f>IF(Mecze[[#This Row],[Role]]="BR",Mecze[[#This Row],[/OB:90]]+Mecze[[#This Row],[/PC:90]],SUM(Mecze[[#This Row],[/PR:90]:[/BR:90]]))</f>
        <v>0.125</v>
      </c>
      <c r="Z2330" s="35">
        <f>IF(Mecze[[#This Row],[KC]]=0,SUM(Mecze[[#This Row],[/BRI]:[/NPI]]),SUM(Mecze[[#This Row],[/BRI]:[/NPI]])*0.6)</f>
        <v>0.59114583333333337</v>
      </c>
      <c r="AA2330" s="10">
        <f>IFERROR(Mecze[[#This Row],[BR]]/Mecze[[#This Row],[ST]],0)</f>
        <v>0</v>
      </c>
      <c r="AB2330">
        <f>ROUND(Mecze[[#This Row],[PD]]*Mecze[[#This Row],[%PC]],0)</f>
        <v>5</v>
      </c>
      <c r="AC2330">
        <f>ROUND(Mecze[[#This Row],[OD]]*Mecze[[#This Row],[%OU]],0)</f>
        <v>1</v>
      </c>
      <c r="AD2330" s="36" t="s">
        <v>167</v>
      </c>
      <c r="AE2330" s="36">
        <v>130</v>
      </c>
      <c r="AF2330" s="71">
        <v>5.18</v>
      </c>
      <c r="AG2330" s="37">
        <v>0</v>
      </c>
      <c r="AH2330" s="37">
        <v>0</v>
      </c>
      <c r="AI2330" s="37">
        <v>96</v>
      </c>
      <c r="AJ2330" s="37">
        <v>7</v>
      </c>
      <c r="AK2330" s="37" t="str">
        <f>VLOOKUP(Mecze[[#This Row],[Match ID]],Meczusie[Mecz]:Meczusie[RodzajMeczu],2,FALSE)</f>
        <v>Liga</v>
      </c>
    </row>
    <row r="2331" spans="1:37" x14ac:dyDescent="0.25">
      <c r="A2331" s="76">
        <v>151</v>
      </c>
      <c r="B2331" s="3" t="s">
        <v>337</v>
      </c>
      <c r="C2331" s="2" t="s">
        <v>160</v>
      </c>
      <c r="D2331" s="1">
        <v>0</v>
      </c>
      <c r="E2331" s="1">
        <v>0</v>
      </c>
      <c r="F2331" s="1">
        <v>0</v>
      </c>
      <c r="G2331" s="1">
        <v>11</v>
      </c>
      <c r="H2331" s="4">
        <v>0.55000000000000004</v>
      </c>
      <c r="I2331" s="1">
        <v>16</v>
      </c>
      <c r="J2331" s="4">
        <v>0.25</v>
      </c>
      <c r="K2331" s="1">
        <v>0</v>
      </c>
      <c r="L2331" s="1">
        <v>3</v>
      </c>
      <c r="M2331" s="32">
        <f>IF(Mecze[[#This Row],[PR]]=0,0,Mecze[[#This Row],[PR]]/Mecze[[#This Row],[CZAS]])</f>
        <v>3.125E-2</v>
      </c>
      <c r="N2331" s="32">
        <f>IF(Mecze[[#This Row],[OU]]=0,0,Mecze[[#This Row],[OU]]/Mecze[[#This Row],[CZAS]])</f>
        <v>4.1666666666666664E-2</v>
      </c>
      <c r="O2331" s="32">
        <f>IF(Mecze[[#This Row],[PC]]=0,0,Mecze[[#This Row],[PC]]/Mecze[[#This Row],[CZAS]])</f>
        <v>6.25E-2</v>
      </c>
      <c r="P2331" s="32">
        <f>IF(Mecze[[#This Row],[SC]]=0,0,Mecze[[#This Row],[SC]]/Mecze[[#This Row],[CZAS]])</f>
        <v>0</v>
      </c>
      <c r="Q2331" s="32">
        <f>IF(Mecze[[#This Row],[OB]]=0,0,Mecze[[#This Row],[OB]]/Mecze[[#This Row],[CZAS]])</f>
        <v>0</v>
      </c>
      <c r="R2331" s="32">
        <f>IF(Mecze[[#This Row],[BR]]=0,0,Mecze[[#This Row],[BR]]/Mecze[[#This Row],[CZAS]])</f>
        <v>0</v>
      </c>
      <c r="S2331" s="44">
        <f>IF(Mecze[[#This Row],[Role]]="BR",SUMPRODUCT(Mecze[[#This Row],[/PR:90]:[/BR:90]],Brudnopis!$E$23:$J$23),0)</f>
        <v>0</v>
      </c>
      <c r="T2331" s="44">
        <f>IF(Mecze[[#This Row],[Role]]&lt;&gt;"BR",SUMPRODUCT(Mecze[[#This Row],[/PR:90]:[/BR:90]],Brudnopis!$E$24:$J$24),0)</f>
        <v>0.15625</v>
      </c>
      <c r="U2331" s="44">
        <f>IF(Mecze[[#This Row],[Role]]&lt;&gt;"BR",SUMPRODUCT(Mecze[[#This Row],[/PR:90]:[/BR:90]],Brudnopis!$E$25:$J$25),0)</f>
        <v>0.16666666666666666</v>
      </c>
      <c r="V2331" s="44">
        <f>IF(Mecze[[#This Row],[Role]]&lt;&gt;"BR",SUMPRODUCT(Mecze[[#This Row],[/PR:90]:[/BR:90]],Brudnopis!$E$26:$J$26),0)</f>
        <v>0.13541666666666666</v>
      </c>
      <c r="W2331" s="44">
        <f>IF(Mecze[[#This Row],[Role]]&lt;&gt;"BR",SUMPRODUCT(Mecze[[#This Row],[/PR:90]:[/BR:90]],Brudnopis!$E$27:$J$27),0)</f>
        <v>0.1484375</v>
      </c>
      <c r="X2331" s="44">
        <f>IF(Mecze[[#This Row],[Role]]&lt;&gt;"BR",SUMPRODUCT(Mecze[[#This Row],[/PR:90]:[/BR:90]],Brudnopis!$E$28:$J$28),0)</f>
        <v>6.25E-2</v>
      </c>
      <c r="Y2331" s="35">
        <f>IF(Mecze[[#This Row],[Role]]="BR",Mecze[[#This Row],[/OB:90]]+Mecze[[#This Row],[/PC:90]],SUM(Mecze[[#This Row],[/PR:90]:[/BR:90]]))</f>
        <v>0.13541666666666666</v>
      </c>
      <c r="Z2331" s="35">
        <f>IF(Mecze[[#This Row],[KC]]=0,SUM(Mecze[[#This Row],[/BRI]:[/NPI]]),SUM(Mecze[[#This Row],[/BRI]:[/NPI]])*0.6)</f>
        <v>0.66927083333333326</v>
      </c>
      <c r="AA2331" s="10">
        <f>IFERROR(Mecze[[#This Row],[BR]]/Mecze[[#This Row],[ST]],0)</f>
        <v>0</v>
      </c>
      <c r="AB2331">
        <f>ROUND(Mecze[[#This Row],[PD]]*Mecze[[#This Row],[%PC]],0)</f>
        <v>6</v>
      </c>
      <c r="AC2331">
        <f>ROUND(Mecze[[#This Row],[OD]]*Mecze[[#This Row],[%OU]],0)</f>
        <v>4</v>
      </c>
      <c r="AD2331" s="36" t="s">
        <v>41</v>
      </c>
      <c r="AE2331" s="36">
        <v>130</v>
      </c>
      <c r="AF2331" s="71">
        <v>5.76</v>
      </c>
      <c r="AG2331" s="37">
        <v>0</v>
      </c>
      <c r="AH2331" s="37">
        <v>0</v>
      </c>
      <c r="AI2331" s="37">
        <v>96</v>
      </c>
      <c r="AJ2331" s="37">
        <v>7</v>
      </c>
      <c r="AK2331" s="37" t="str">
        <f>VLOOKUP(Mecze[[#This Row],[Match ID]],Meczusie[Mecz]:Meczusie[RodzajMeczu],2,FALSE)</f>
        <v>Liga</v>
      </c>
    </row>
    <row r="2332" spans="1:37" x14ac:dyDescent="0.25">
      <c r="A2332" s="76">
        <v>109</v>
      </c>
      <c r="B2332" s="3" t="s">
        <v>404</v>
      </c>
      <c r="C2332" s="2" t="s">
        <v>160</v>
      </c>
      <c r="D2332" s="1">
        <v>0</v>
      </c>
      <c r="E2332" s="1">
        <v>0</v>
      </c>
      <c r="F2332" s="1">
        <v>0</v>
      </c>
      <c r="G2332" s="1">
        <v>14</v>
      </c>
      <c r="H2332" s="4">
        <v>0.56999999999999995</v>
      </c>
      <c r="I2332" s="1">
        <v>9</v>
      </c>
      <c r="J2332" s="4">
        <v>0.56000000000000005</v>
      </c>
      <c r="K2332" s="1">
        <v>0</v>
      </c>
      <c r="L2332" s="1">
        <v>3</v>
      </c>
      <c r="M2332" s="32">
        <f>IF(Mecze[[#This Row],[PR]]=0,0,Mecze[[#This Row],[PR]]/Mecze[[#This Row],[CZAS]])</f>
        <v>3.125E-2</v>
      </c>
      <c r="N2332" s="32">
        <f>IF(Mecze[[#This Row],[OU]]=0,0,Mecze[[#This Row],[OU]]/Mecze[[#This Row],[CZAS]])</f>
        <v>5.2083333333333336E-2</v>
      </c>
      <c r="O2332" s="32">
        <f>IF(Mecze[[#This Row],[PC]]=0,0,Mecze[[#This Row],[PC]]/Mecze[[#This Row],[CZAS]])</f>
        <v>8.3333333333333329E-2</v>
      </c>
      <c r="P2332" s="32">
        <f>IF(Mecze[[#This Row],[SC]]=0,0,Mecze[[#This Row],[SC]]/Mecze[[#This Row],[CZAS]])</f>
        <v>0</v>
      </c>
      <c r="Q2332" s="32">
        <f>IF(Mecze[[#This Row],[OB]]=0,0,Mecze[[#This Row],[OB]]/Mecze[[#This Row],[CZAS]])</f>
        <v>0</v>
      </c>
      <c r="R2332" s="32">
        <f>IF(Mecze[[#This Row],[BR]]=0,0,Mecze[[#This Row],[BR]]/Mecze[[#This Row],[CZAS]])</f>
        <v>0</v>
      </c>
      <c r="S2332" s="44">
        <f>IF(Mecze[[#This Row],[Role]]="BR",SUMPRODUCT(Mecze[[#This Row],[/PR:90]:[/BR:90]],Brudnopis!$E$23:$J$23),0)</f>
        <v>0</v>
      </c>
      <c r="T2332" s="44">
        <f>IF(Mecze[[#This Row],[Role]]&lt;&gt;"BR",SUMPRODUCT(Mecze[[#This Row],[/PR:90]:[/BR:90]],Brudnopis!$E$24:$J$24),0)</f>
        <v>0.19270833333333331</v>
      </c>
      <c r="U2332" s="44">
        <f>IF(Mecze[[#This Row],[Role]]&lt;&gt;"BR",SUMPRODUCT(Mecze[[#This Row],[/PR:90]:[/BR:90]],Brudnopis!$E$25:$J$25),0)</f>
        <v>0.20833333333333334</v>
      </c>
      <c r="V2332" s="44">
        <f>IF(Mecze[[#This Row],[Role]]&lt;&gt;"BR",SUMPRODUCT(Mecze[[#This Row],[/PR:90]:[/BR:90]],Brudnopis!$E$26:$J$26),0)</f>
        <v>0.16666666666666669</v>
      </c>
      <c r="W2332" s="44">
        <f>IF(Mecze[[#This Row],[Role]]&lt;&gt;"BR",SUMPRODUCT(Mecze[[#This Row],[/PR:90]:[/BR:90]],Brudnopis!$E$27:$J$27),0)</f>
        <v>0.1875</v>
      </c>
      <c r="X2332" s="44">
        <f>IF(Mecze[[#This Row],[Role]]&lt;&gt;"BR",SUMPRODUCT(Mecze[[#This Row],[/PR:90]:[/BR:90]],Brudnopis!$E$28:$J$28),0)</f>
        <v>8.3333333333333329E-2</v>
      </c>
      <c r="Y2332" s="35">
        <f>IF(Mecze[[#This Row],[Role]]="BR",Mecze[[#This Row],[/OB:90]]+Mecze[[#This Row],[/PC:90]],SUM(Mecze[[#This Row],[/PR:90]:[/BR:90]]))</f>
        <v>0.16666666666666669</v>
      </c>
      <c r="Z2332" s="35">
        <f>IF(Mecze[[#This Row],[KC]]=0,SUM(Mecze[[#This Row],[/BRI]:[/NPI]]),SUM(Mecze[[#This Row],[/BRI]:[/NPI]])*0.6)</f>
        <v>0.83854166666666663</v>
      </c>
      <c r="AA2332" s="10">
        <f>IFERROR(Mecze[[#This Row],[BR]]/Mecze[[#This Row],[ST]],0)</f>
        <v>0</v>
      </c>
      <c r="AB2332">
        <f>ROUND(Mecze[[#This Row],[PD]]*Mecze[[#This Row],[%PC]],0)</f>
        <v>8</v>
      </c>
      <c r="AC2332">
        <f>ROUND(Mecze[[#This Row],[OD]]*Mecze[[#This Row],[%OU]],0)</f>
        <v>5</v>
      </c>
      <c r="AD2332" s="36" t="s">
        <v>41</v>
      </c>
      <c r="AE2332" s="36">
        <v>130</v>
      </c>
      <c r="AF2332" s="71">
        <v>5.76</v>
      </c>
      <c r="AG2332" s="37">
        <v>0</v>
      </c>
      <c r="AH2332" s="37">
        <v>0</v>
      </c>
      <c r="AI2332" s="37">
        <v>96</v>
      </c>
      <c r="AJ2332" s="37">
        <v>7</v>
      </c>
      <c r="AK2332" s="37" t="str">
        <f>VLOOKUP(Mecze[[#This Row],[Match ID]],Meczusie[Mecz]:Meczusie[RodzajMeczu],2,FALSE)</f>
        <v>Liga</v>
      </c>
    </row>
    <row r="2333" spans="1:37" x14ac:dyDescent="0.25">
      <c r="A2333" s="76">
        <v>200</v>
      </c>
      <c r="B2333" s="3" t="s">
        <v>339</v>
      </c>
      <c r="C2333" s="2" t="s">
        <v>160</v>
      </c>
      <c r="D2333" s="1">
        <v>0</v>
      </c>
      <c r="E2333" s="1">
        <v>1</v>
      </c>
      <c r="F2333" s="1">
        <v>1</v>
      </c>
      <c r="G2333" s="1">
        <v>18</v>
      </c>
      <c r="H2333" s="4">
        <v>0.78</v>
      </c>
      <c r="I2333" s="1">
        <v>13</v>
      </c>
      <c r="J2333" s="4">
        <v>0.69</v>
      </c>
      <c r="K2333" s="1">
        <v>0</v>
      </c>
      <c r="L2333" s="1">
        <v>6</v>
      </c>
      <c r="M2333" s="32">
        <f>IF(Mecze[[#This Row],[PR]]=0,0,Mecze[[#This Row],[PR]]/Mecze[[#This Row],[CZAS]])</f>
        <v>6.25E-2</v>
      </c>
      <c r="N2333" s="32">
        <f>IF(Mecze[[#This Row],[OU]]=0,0,Mecze[[#This Row],[OU]]/Mecze[[#This Row],[CZAS]])</f>
        <v>9.375E-2</v>
      </c>
      <c r="O2333" s="32">
        <f>IF(Mecze[[#This Row],[PC]]=0,0,Mecze[[#This Row],[PC]]/Mecze[[#This Row],[CZAS]])</f>
        <v>0.14583333333333334</v>
      </c>
      <c r="P2333" s="32">
        <f>IF(Mecze[[#This Row],[SC]]=0,0,Mecze[[#This Row],[SC]]/Mecze[[#This Row],[CZAS]])</f>
        <v>1.0416666666666666E-2</v>
      </c>
      <c r="Q2333" s="32">
        <f>IF(Mecze[[#This Row],[OB]]=0,0,Mecze[[#This Row],[OB]]/Mecze[[#This Row],[CZAS]])</f>
        <v>0</v>
      </c>
      <c r="R2333" s="32">
        <f>IF(Mecze[[#This Row],[BR]]=0,0,Mecze[[#This Row],[BR]]/Mecze[[#This Row],[CZAS]])</f>
        <v>0</v>
      </c>
      <c r="S2333" s="44">
        <f>IF(Mecze[[#This Row],[Role]]="BR",SUMPRODUCT(Mecze[[#This Row],[/PR:90]:[/BR:90]],Brudnopis!$E$23:$J$23),0)</f>
        <v>0</v>
      </c>
      <c r="T2333" s="44">
        <f>IF(Mecze[[#This Row],[Role]]&lt;&gt;"BR",SUMPRODUCT(Mecze[[#This Row],[/PR:90]:[/BR:90]],Brudnopis!$E$24:$J$24),0)</f>
        <v>0.35937500000000006</v>
      </c>
      <c r="U2333" s="44">
        <f>IF(Mecze[[#This Row],[Role]]&lt;&gt;"BR",SUMPRODUCT(Mecze[[#This Row],[/PR:90]:[/BR:90]],Brudnopis!$E$25:$J$25),0)</f>
        <v>0.38541666666666669</v>
      </c>
      <c r="V2333" s="44">
        <f>IF(Mecze[[#This Row],[Role]]&lt;&gt;"BR",SUMPRODUCT(Mecze[[#This Row],[/PR:90]:[/BR:90]],Brudnopis!$E$26:$J$26),0)</f>
        <v>0.31250000000000006</v>
      </c>
      <c r="W2333" s="44">
        <f>IF(Mecze[[#This Row],[Role]]&lt;&gt;"BR",SUMPRODUCT(Mecze[[#This Row],[/PR:90]:[/BR:90]],Brudnopis!$E$27:$J$27),0)</f>
        <v>0.34635416666666669</v>
      </c>
      <c r="X2333" s="44">
        <f>IF(Mecze[[#This Row],[Role]]&lt;&gt;"BR",SUMPRODUCT(Mecze[[#This Row],[/PR:90]:[/BR:90]],Brudnopis!$E$28:$J$28),0)</f>
        <v>0.16666666666666669</v>
      </c>
      <c r="Y2333" s="35">
        <f>IF(Mecze[[#This Row],[Role]]="BR",Mecze[[#This Row],[/OB:90]]+Mecze[[#This Row],[/PC:90]],SUM(Mecze[[#This Row],[/PR:90]:[/BR:90]]))</f>
        <v>0.31250000000000006</v>
      </c>
      <c r="Z2333" s="35">
        <f>IF(Mecze[[#This Row],[KC]]=0,SUM(Mecze[[#This Row],[/BRI]:[/NPI]]),SUM(Mecze[[#This Row],[/BRI]:[/NPI]])*0.6)</f>
        <v>1.5703125000000002</v>
      </c>
      <c r="AA2333" s="10">
        <f>IFERROR(Mecze[[#This Row],[BR]]/Mecze[[#This Row],[ST]],0)</f>
        <v>0</v>
      </c>
      <c r="AB2333">
        <f>ROUND(Mecze[[#This Row],[PD]]*Mecze[[#This Row],[%PC]],0)</f>
        <v>14</v>
      </c>
      <c r="AC2333">
        <f>ROUND(Mecze[[#This Row],[OD]]*Mecze[[#This Row],[%OU]],0)</f>
        <v>9</v>
      </c>
      <c r="AD2333" s="36" t="s">
        <v>67</v>
      </c>
      <c r="AE2333" s="36">
        <v>130</v>
      </c>
      <c r="AF2333" s="71">
        <v>5.51</v>
      </c>
      <c r="AG2333" s="37">
        <v>1</v>
      </c>
      <c r="AH2333" s="37">
        <v>0</v>
      </c>
      <c r="AI2333" s="37">
        <v>96</v>
      </c>
      <c r="AJ2333" s="37">
        <v>7</v>
      </c>
      <c r="AK2333" s="37" t="str">
        <f>VLOOKUP(Mecze[[#This Row],[Match ID]],Meczusie[Mecz]:Meczusie[RodzajMeczu],2,FALSE)</f>
        <v>Liga</v>
      </c>
    </row>
    <row r="2334" spans="1:37" x14ac:dyDescent="0.25">
      <c r="A2334" s="76">
        <v>202</v>
      </c>
      <c r="B2334" s="3" t="s">
        <v>340</v>
      </c>
      <c r="C2334" s="2" t="s">
        <v>160</v>
      </c>
      <c r="D2334" s="1">
        <v>0</v>
      </c>
      <c r="E2334" s="1">
        <v>1</v>
      </c>
      <c r="F2334" s="1">
        <v>1</v>
      </c>
      <c r="G2334" s="1">
        <v>1</v>
      </c>
      <c r="H2334" s="4">
        <v>0</v>
      </c>
      <c r="I2334" s="1">
        <v>4</v>
      </c>
      <c r="J2334" s="4">
        <v>0.5</v>
      </c>
      <c r="K2334" s="1">
        <v>0</v>
      </c>
      <c r="L2334" s="1">
        <v>0</v>
      </c>
      <c r="M2334" s="32">
        <f>IF(Mecze[[#This Row],[PR]]=0,0,Mecze[[#This Row],[PR]]/Mecze[[#This Row],[CZAS]])</f>
        <v>0</v>
      </c>
      <c r="N2334" s="32">
        <f>IF(Mecze[[#This Row],[OU]]=0,0,Mecze[[#This Row],[OU]]/Mecze[[#This Row],[CZAS]])</f>
        <v>2.0833333333333332E-2</v>
      </c>
      <c r="O2334" s="32">
        <f>IF(Mecze[[#This Row],[PC]]=0,0,Mecze[[#This Row],[PC]]/Mecze[[#This Row],[CZAS]])</f>
        <v>0</v>
      </c>
      <c r="P2334" s="32">
        <f>IF(Mecze[[#This Row],[SC]]=0,0,Mecze[[#This Row],[SC]]/Mecze[[#This Row],[CZAS]])</f>
        <v>1.0416666666666666E-2</v>
      </c>
      <c r="Q2334" s="32">
        <f>IF(Mecze[[#This Row],[OB]]=0,0,Mecze[[#This Row],[OB]]/Mecze[[#This Row],[CZAS]])</f>
        <v>0</v>
      </c>
      <c r="R2334" s="32">
        <f>IF(Mecze[[#This Row],[BR]]=0,0,Mecze[[#This Row],[BR]]/Mecze[[#This Row],[CZAS]])</f>
        <v>0</v>
      </c>
      <c r="S2334" s="44">
        <f>IF(Mecze[[#This Row],[Role]]="BR",SUMPRODUCT(Mecze[[#This Row],[/PR:90]:[/BR:90]],Brudnopis!$E$23:$J$23),0)</f>
        <v>0</v>
      </c>
      <c r="T2334" s="44">
        <f>IF(Mecze[[#This Row],[Role]]&lt;&gt;"BR",SUMPRODUCT(Mecze[[#This Row],[/PR:90]:[/BR:90]],Brudnopis!$E$24:$J$24),0)</f>
        <v>4.1666666666666664E-2</v>
      </c>
      <c r="U2334" s="44">
        <f>IF(Mecze[[#This Row],[Role]]&lt;&gt;"BR",SUMPRODUCT(Mecze[[#This Row],[/PR:90]:[/BR:90]],Brudnopis!$E$25:$J$25),0)</f>
        <v>3.125E-2</v>
      </c>
      <c r="V2334" s="44">
        <f>IF(Mecze[[#This Row],[Role]]&lt;&gt;"BR",SUMPRODUCT(Mecze[[#This Row],[/PR:90]:[/BR:90]],Brudnopis!$E$26:$J$26),0)</f>
        <v>3.125E-2</v>
      </c>
      <c r="W2334" s="44">
        <f>IF(Mecze[[#This Row],[Role]]&lt;&gt;"BR",SUMPRODUCT(Mecze[[#This Row],[/PR:90]:[/BR:90]],Brudnopis!$E$27:$J$27),0)</f>
        <v>2.6041666666666664E-2</v>
      </c>
      <c r="X2334" s="44">
        <f>IF(Mecze[[#This Row],[Role]]&lt;&gt;"BR",SUMPRODUCT(Mecze[[#This Row],[/PR:90]:[/BR:90]],Brudnopis!$E$28:$J$28),0)</f>
        <v>2.0833333333333332E-2</v>
      </c>
      <c r="Y2334" s="35">
        <f>IF(Mecze[[#This Row],[Role]]="BR",Mecze[[#This Row],[/OB:90]]+Mecze[[#This Row],[/PC:90]],SUM(Mecze[[#This Row],[/PR:90]:[/BR:90]]))</f>
        <v>3.125E-2</v>
      </c>
      <c r="Z2334" s="35">
        <f>IF(Mecze[[#This Row],[KC]]=0,SUM(Mecze[[#This Row],[/BRI]:[/NPI]]),SUM(Mecze[[#This Row],[/BRI]:[/NPI]])*0.6)</f>
        <v>0.15104166666666666</v>
      </c>
      <c r="AA2334" s="10">
        <f>IFERROR(Mecze[[#This Row],[BR]]/Mecze[[#This Row],[ST]],0)</f>
        <v>0</v>
      </c>
      <c r="AB2334">
        <f>ROUND(Mecze[[#This Row],[PD]]*Mecze[[#This Row],[%PC]],0)</f>
        <v>0</v>
      </c>
      <c r="AC2334">
        <f>ROUND(Mecze[[#This Row],[OD]]*Mecze[[#This Row],[%OU]],0)</f>
        <v>2</v>
      </c>
      <c r="AD2334" s="36" t="s">
        <v>44</v>
      </c>
      <c r="AE2334" s="36">
        <v>130</v>
      </c>
      <c r="AF2334" s="71">
        <v>4.1500000000000004</v>
      </c>
      <c r="AG2334" s="37">
        <v>0</v>
      </c>
      <c r="AH2334" s="37">
        <v>0</v>
      </c>
      <c r="AI2334" s="37">
        <v>96</v>
      </c>
      <c r="AJ2334" s="37">
        <v>7</v>
      </c>
      <c r="AK2334" s="37" t="str">
        <f>VLOOKUP(Mecze[[#This Row],[Match ID]],Meczusie[Mecz]:Meczusie[RodzajMeczu],2,FALSE)</f>
        <v>Liga</v>
      </c>
    </row>
    <row r="2335" spans="1:37" x14ac:dyDescent="0.25">
      <c r="A2335" s="76">
        <v>101</v>
      </c>
      <c r="B2335" s="3" t="s">
        <v>444</v>
      </c>
      <c r="C2335" s="2" t="s">
        <v>160</v>
      </c>
      <c r="D2335" s="1">
        <v>0</v>
      </c>
      <c r="E2335" s="1">
        <v>0</v>
      </c>
      <c r="F2335" s="1">
        <v>0</v>
      </c>
      <c r="G2335" s="1">
        <v>11</v>
      </c>
      <c r="H2335" s="4">
        <v>0.82</v>
      </c>
      <c r="I2335" s="1">
        <v>0</v>
      </c>
      <c r="J2335" s="4"/>
      <c r="K2335" s="1">
        <v>0</v>
      </c>
      <c r="L2335" s="1">
        <v>0</v>
      </c>
      <c r="M2335" s="32">
        <f>IF(Mecze[[#This Row],[PR]]=0,0,Mecze[[#This Row],[PR]]/Mecze[[#This Row],[CZAS]])</f>
        <v>0</v>
      </c>
      <c r="N2335" s="32">
        <f>IF(Mecze[[#This Row],[OU]]=0,0,Mecze[[#This Row],[OU]]/Mecze[[#This Row],[CZAS]])</f>
        <v>0</v>
      </c>
      <c r="O2335" s="32">
        <f>IF(Mecze[[#This Row],[PC]]=0,0,Mecze[[#This Row],[PC]]/Mecze[[#This Row],[CZAS]])</f>
        <v>9.375E-2</v>
      </c>
      <c r="P2335" s="32">
        <f>IF(Mecze[[#This Row],[SC]]=0,0,Mecze[[#This Row],[SC]]/Mecze[[#This Row],[CZAS]])</f>
        <v>0</v>
      </c>
      <c r="Q2335" s="32">
        <f>IF(Mecze[[#This Row],[OB]]=0,0,Mecze[[#This Row],[OB]]/Mecze[[#This Row],[CZAS]])</f>
        <v>0</v>
      </c>
      <c r="R2335" s="32">
        <f>IF(Mecze[[#This Row],[BR]]=0,0,Mecze[[#This Row],[BR]]/Mecze[[#This Row],[CZAS]])</f>
        <v>0</v>
      </c>
      <c r="S2335" s="44">
        <f>IF(Mecze[[#This Row],[Role]]="BR",SUMPRODUCT(Mecze[[#This Row],[/PR:90]:[/BR:90]],Brudnopis!$E$23:$J$23),0)</f>
        <v>0</v>
      </c>
      <c r="T2335" s="44">
        <f>IF(Mecze[[#This Row],[Role]]&lt;&gt;"BR",SUMPRODUCT(Mecze[[#This Row],[/PR:90]:[/BR:90]],Brudnopis!$E$24:$J$24),0)</f>
        <v>9.375E-2</v>
      </c>
      <c r="U2335" s="44">
        <f>IF(Mecze[[#This Row],[Role]]&lt;&gt;"BR",SUMPRODUCT(Mecze[[#This Row],[/PR:90]:[/BR:90]],Brudnopis!$E$25:$J$25),0)</f>
        <v>0.140625</v>
      </c>
      <c r="V2335" s="44">
        <f>IF(Mecze[[#This Row],[Role]]&lt;&gt;"BR",SUMPRODUCT(Mecze[[#This Row],[/PR:90]:[/BR:90]],Brudnopis!$E$26:$J$26),0)</f>
        <v>9.375E-2</v>
      </c>
      <c r="W2335" s="44">
        <f>IF(Mecze[[#This Row],[Role]]&lt;&gt;"BR",SUMPRODUCT(Mecze[[#This Row],[/PR:90]:[/BR:90]],Brudnopis!$E$27:$J$27),0)</f>
        <v>0.140625</v>
      </c>
      <c r="X2335" s="44">
        <f>IF(Mecze[[#This Row],[Role]]&lt;&gt;"BR",SUMPRODUCT(Mecze[[#This Row],[/PR:90]:[/BR:90]],Brudnopis!$E$28:$J$28),0)</f>
        <v>9.375E-2</v>
      </c>
      <c r="Y2335" s="35">
        <f>IF(Mecze[[#This Row],[Role]]="BR",Mecze[[#This Row],[/OB:90]]+Mecze[[#This Row],[/PC:90]],SUM(Mecze[[#This Row],[/PR:90]:[/BR:90]]))</f>
        <v>9.375E-2</v>
      </c>
      <c r="Z2335" s="35">
        <f>IF(Mecze[[#This Row],[KC]]=0,SUM(Mecze[[#This Row],[/BRI]:[/NPI]]),SUM(Mecze[[#This Row],[/BRI]:[/NPI]])*0.6)</f>
        <v>0.5625</v>
      </c>
      <c r="AA2335" s="10">
        <f>IFERROR(Mecze[[#This Row],[BR]]/Mecze[[#This Row],[ST]],0)</f>
        <v>0</v>
      </c>
      <c r="AB2335">
        <f>ROUND(Mecze[[#This Row],[PD]]*Mecze[[#This Row],[%PC]],0)</f>
        <v>9</v>
      </c>
      <c r="AC2335">
        <f>ROUND(Mecze[[#This Row],[OD]]*Mecze[[#This Row],[%OU]],0)</f>
        <v>0</v>
      </c>
      <c r="AD2335" s="36" t="s">
        <v>299</v>
      </c>
      <c r="AE2335" s="36">
        <v>130</v>
      </c>
      <c r="AF2335" s="71">
        <v>6.04</v>
      </c>
      <c r="AG2335" s="37">
        <v>0</v>
      </c>
      <c r="AH2335" s="37">
        <v>0</v>
      </c>
      <c r="AI2335" s="37">
        <v>96</v>
      </c>
      <c r="AJ2335" s="37">
        <v>7</v>
      </c>
      <c r="AK2335" s="37" t="str">
        <f>VLOOKUP(Mecze[[#This Row],[Match ID]],Meczusie[Mecz]:Meczusie[RodzajMeczu],2,FALSE)</f>
        <v>Liga</v>
      </c>
    </row>
    <row r="2336" spans="1:37" x14ac:dyDescent="0.25">
      <c r="A2336" s="76">
        <v>203</v>
      </c>
      <c r="B2336" s="3" t="s">
        <v>342</v>
      </c>
      <c r="C2336" s="2" t="s">
        <v>165</v>
      </c>
      <c r="D2336" s="1">
        <v>2</v>
      </c>
      <c r="E2336" s="1">
        <v>6</v>
      </c>
      <c r="F2336" s="1">
        <v>6</v>
      </c>
      <c r="G2336" s="1">
        <v>4</v>
      </c>
      <c r="H2336" s="4">
        <v>0.5</v>
      </c>
      <c r="I2336" s="1">
        <v>1</v>
      </c>
      <c r="J2336" s="4">
        <v>0</v>
      </c>
      <c r="K2336" s="1">
        <v>0</v>
      </c>
      <c r="L2336" s="1">
        <v>1</v>
      </c>
      <c r="M2336" s="32">
        <f>IF(Mecze[[#This Row],[PR]]=0,0,Mecze[[#This Row],[PR]]/Mecze[[#This Row],[CZAS]])</f>
        <v>1.0416666666666666E-2</v>
      </c>
      <c r="N2336" s="32">
        <f>IF(Mecze[[#This Row],[OU]]=0,0,Mecze[[#This Row],[OU]]/Mecze[[#This Row],[CZAS]])</f>
        <v>0</v>
      </c>
      <c r="O2336" s="32">
        <f>IF(Mecze[[#This Row],[PC]]=0,0,Mecze[[#This Row],[PC]]/Mecze[[#This Row],[CZAS]])</f>
        <v>2.0833333333333332E-2</v>
      </c>
      <c r="P2336" s="32">
        <f>IF(Mecze[[#This Row],[SC]]=0,0,Mecze[[#This Row],[SC]]/Mecze[[#This Row],[CZAS]])</f>
        <v>6.25E-2</v>
      </c>
      <c r="Q2336" s="32">
        <f>IF(Mecze[[#This Row],[OB]]=0,0,Mecze[[#This Row],[OB]]/Mecze[[#This Row],[CZAS]])</f>
        <v>0</v>
      </c>
      <c r="R2336" s="32">
        <f>IF(Mecze[[#This Row],[BR]]=0,0,Mecze[[#This Row],[BR]]/Mecze[[#This Row],[CZAS]])</f>
        <v>2.0833333333333332E-2</v>
      </c>
      <c r="S2336" s="44">
        <f>IF(Mecze[[#This Row],[Role]]="BR",SUMPRODUCT(Mecze[[#This Row],[/PR:90]:[/BR:90]],Brudnopis!$E$23:$J$23),0)</f>
        <v>0</v>
      </c>
      <c r="T2336" s="44">
        <f>IF(Mecze[[#This Row],[Role]]&lt;&gt;"BR",SUMPRODUCT(Mecze[[#This Row],[/PR:90]:[/BR:90]],Brudnopis!$E$24:$J$24),0)</f>
        <v>0.125</v>
      </c>
      <c r="U2336" s="44">
        <f>IF(Mecze[[#This Row],[Role]]&lt;&gt;"BR",SUMPRODUCT(Mecze[[#This Row],[/PR:90]:[/BR:90]],Brudnopis!$E$25:$J$25),0)</f>
        <v>0.13541666666666666</v>
      </c>
      <c r="V2336" s="44">
        <f>IF(Mecze[[#This Row],[Role]]&lt;&gt;"BR",SUMPRODUCT(Mecze[[#This Row],[/PR:90]:[/BR:90]],Brudnopis!$E$26:$J$26),0)</f>
        <v>0.13541666666666666</v>
      </c>
      <c r="W2336" s="44">
        <f>IF(Mecze[[#This Row],[Role]]&lt;&gt;"BR",SUMPRODUCT(Mecze[[#This Row],[/PR:90]:[/BR:90]],Brudnopis!$E$27:$J$27),0)</f>
        <v>0.14322916666666666</v>
      </c>
      <c r="X2336" s="44">
        <f>IF(Mecze[[#This Row],[Role]]&lt;&gt;"BR",SUMPRODUCT(Mecze[[#This Row],[/PR:90]:[/BR:90]],Brudnopis!$E$28:$J$28),0)</f>
        <v>0.20833333333333334</v>
      </c>
      <c r="Y2336" s="35">
        <f>IF(Mecze[[#This Row],[Role]]="BR",Mecze[[#This Row],[/OB:90]]+Mecze[[#This Row],[/PC:90]],SUM(Mecze[[#This Row],[/PR:90]:[/BR:90]]))</f>
        <v>0.11458333333333333</v>
      </c>
      <c r="Z2336" s="35">
        <f>IF(Mecze[[#This Row],[KC]]=0,SUM(Mecze[[#This Row],[/BRI]:[/NPI]]),SUM(Mecze[[#This Row],[/BRI]:[/NPI]])*0.6)</f>
        <v>0.74739583333333326</v>
      </c>
      <c r="AA2336" s="10">
        <f>IFERROR(Mecze[[#This Row],[BR]]/Mecze[[#This Row],[ST]],0)</f>
        <v>0.33333333333333331</v>
      </c>
      <c r="AB2336">
        <f>ROUND(Mecze[[#This Row],[PD]]*Mecze[[#This Row],[%PC]],0)</f>
        <v>2</v>
      </c>
      <c r="AC2336">
        <f>ROUND(Mecze[[#This Row],[OD]]*Mecze[[#This Row],[%OU]],0)</f>
        <v>0</v>
      </c>
      <c r="AD2336" s="36" t="s">
        <v>46</v>
      </c>
      <c r="AE2336" s="36">
        <v>130</v>
      </c>
      <c r="AF2336" s="71">
        <v>9.85</v>
      </c>
      <c r="AG2336" s="37">
        <v>0</v>
      </c>
      <c r="AH2336" s="37">
        <v>0</v>
      </c>
      <c r="AI2336" s="37">
        <v>96</v>
      </c>
      <c r="AJ2336" s="37">
        <v>7</v>
      </c>
      <c r="AK2336" s="37" t="str">
        <f>VLOOKUP(Mecze[[#This Row],[Match ID]],Meczusie[Mecz]:Meczusie[RodzajMeczu],2,FALSE)</f>
        <v>Liga</v>
      </c>
    </row>
    <row r="2337" spans="1:37" x14ac:dyDescent="0.25">
      <c r="A2337" s="76">
        <v>104</v>
      </c>
      <c r="B2337" s="3" t="s">
        <v>343</v>
      </c>
      <c r="C2337" s="2" t="s">
        <v>165</v>
      </c>
      <c r="D2337" s="1">
        <v>0</v>
      </c>
      <c r="E2337" s="1">
        <v>1</v>
      </c>
      <c r="F2337" s="1">
        <v>0</v>
      </c>
      <c r="G2337" s="1">
        <v>9</v>
      </c>
      <c r="H2337" s="4">
        <v>0.56000000000000005</v>
      </c>
      <c r="I2337" s="1">
        <v>5</v>
      </c>
      <c r="J2337" s="4">
        <v>0.2</v>
      </c>
      <c r="K2337" s="1">
        <v>0</v>
      </c>
      <c r="L2337" s="1">
        <v>0</v>
      </c>
      <c r="M2337" s="32">
        <f>IF(Mecze[[#This Row],[PR]]=0,0,Mecze[[#This Row],[PR]]/Mecze[[#This Row],[CZAS]])</f>
        <v>0</v>
      </c>
      <c r="N2337" s="32">
        <f>IF(Mecze[[#This Row],[OU]]=0,0,Mecze[[#This Row],[OU]]/Mecze[[#This Row],[CZAS]])</f>
        <v>1.0416666666666666E-2</v>
      </c>
      <c r="O2337" s="32">
        <f>IF(Mecze[[#This Row],[PC]]=0,0,Mecze[[#This Row],[PC]]/Mecze[[#This Row],[CZAS]])</f>
        <v>5.2083333333333336E-2</v>
      </c>
      <c r="P2337" s="32">
        <f>IF(Mecze[[#This Row],[SC]]=0,0,Mecze[[#This Row],[SC]]/Mecze[[#This Row],[CZAS]])</f>
        <v>0</v>
      </c>
      <c r="Q2337" s="32">
        <f>IF(Mecze[[#This Row],[OB]]=0,0,Mecze[[#This Row],[OB]]/Mecze[[#This Row],[CZAS]])</f>
        <v>0</v>
      </c>
      <c r="R2337" s="32">
        <f>IF(Mecze[[#This Row],[BR]]=0,0,Mecze[[#This Row],[BR]]/Mecze[[#This Row],[CZAS]])</f>
        <v>0</v>
      </c>
      <c r="S2337" s="44">
        <f>IF(Mecze[[#This Row],[Role]]="BR",SUMPRODUCT(Mecze[[#This Row],[/PR:90]:[/BR:90]],Brudnopis!$E$23:$J$23),0)</f>
        <v>0</v>
      </c>
      <c r="T2337" s="44">
        <f>IF(Mecze[[#This Row],[Role]]&lt;&gt;"BR",SUMPRODUCT(Mecze[[#This Row],[/PR:90]:[/BR:90]],Brudnopis!$E$24:$J$24),0)</f>
        <v>6.7708333333333343E-2</v>
      </c>
      <c r="U2337" s="44">
        <f>IF(Mecze[[#This Row],[Role]]&lt;&gt;"BR",SUMPRODUCT(Mecze[[#This Row],[/PR:90]:[/BR:90]],Brudnopis!$E$25:$J$25),0)</f>
        <v>8.8541666666666671E-2</v>
      </c>
      <c r="V2337" s="44">
        <f>IF(Mecze[[#This Row],[Role]]&lt;&gt;"BR",SUMPRODUCT(Mecze[[#This Row],[/PR:90]:[/BR:90]],Brudnopis!$E$26:$J$26),0)</f>
        <v>6.25E-2</v>
      </c>
      <c r="W2337" s="44">
        <f>IF(Mecze[[#This Row],[Role]]&lt;&gt;"BR",SUMPRODUCT(Mecze[[#This Row],[/PR:90]:[/BR:90]],Brudnopis!$E$27:$J$27),0)</f>
        <v>8.59375E-2</v>
      </c>
      <c r="X2337" s="44">
        <f>IF(Mecze[[#This Row],[Role]]&lt;&gt;"BR",SUMPRODUCT(Mecze[[#This Row],[/PR:90]:[/BR:90]],Brudnopis!$E$28:$J$28),0)</f>
        <v>5.2083333333333336E-2</v>
      </c>
      <c r="Y2337" s="35">
        <f>IF(Mecze[[#This Row],[Role]]="BR",Mecze[[#This Row],[/OB:90]]+Mecze[[#This Row],[/PC:90]],SUM(Mecze[[#This Row],[/PR:90]:[/BR:90]]))</f>
        <v>6.25E-2</v>
      </c>
      <c r="Z2337" s="35">
        <f>IF(Mecze[[#This Row],[KC]]=0,SUM(Mecze[[#This Row],[/BRI]:[/NPI]]),SUM(Mecze[[#This Row],[/BRI]:[/NPI]])*0.6)</f>
        <v>0.35677083333333331</v>
      </c>
      <c r="AA2337" s="10">
        <f>IFERROR(Mecze[[#This Row],[BR]]/Mecze[[#This Row],[ST]],0)</f>
        <v>0</v>
      </c>
      <c r="AB2337">
        <f>ROUND(Mecze[[#This Row],[PD]]*Mecze[[#This Row],[%PC]],0)</f>
        <v>5</v>
      </c>
      <c r="AC2337">
        <f>ROUND(Mecze[[#This Row],[OD]]*Mecze[[#This Row],[%OU]],0)</f>
        <v>1</v>
      </c>
      <c r="AD2337" s="36" t="s">
        <v>355</v>
      </c>
      <c r="AE2337" s="36">
        <v>130</v>
      </c>
      <c r="AF2337" s="71">
        <v>5.26</v>
      </c>
      <c r="AG2337" s="37">
        <v>0</v>
      </c>
      <c r="AH2337" s="37">
        <v>0</v>
      </c>
      <c r="AI2337" s="37">
        <v>96</v>
      </c>
      <c r="AJ2337" s="37">
        <v>7</v>
      </c>
      <c r="AK2337" s="37" t="str">
        <f>VLOOKUP(Mecze[[#This Row],[Match ID]],Meczusie[Mecz]:Meczusie[RodzajMeczu],2,FALSE)</f>
        <v>Liga</v>
      </c>
    </row>
    <row r="2338" spans="1:37" x14ac:dyDescent="0.25">
      <c r="A2338" s="76">
        <v>1</v>
      </c>
      <c r="B2338" s="3" t="s">
        <v>320</v>
      </c>
      <c r="C2338" s="2" t="s">
        <v>155</v>
      </c>
      <c r="D2338" s="1">
        <v>0</v>
      </c>
      <c r="E2338" s="1">
        <v>0</v>
      </c>
      <c r="F2338" s="1">
        <v>0</v>
      </c>
      <c r="G2338" s="1">
        <v>7</v>
      </c>
      <c r="H2338" s="4">
        <v>0.71</v>
      </c>
      <c r="I2338" s="1">
        <v>0</v>
      </c>
      <c r="J2338" s="4"/>
      <c r="K2338" s="1">
        <v>8</v>
      </c>
      <c r="L2338" s="1">
        <v>0</v>
      </c>
      <c r="M2338" s="32">
        <f>IF(Mecze[[#This Row],[PR]]=0,0,Mecze[[#This Row],[PR]]/Mecze[[#This Row],[CZAS]])</f>
        <v>0</v>
      </c>
      <c r="N2338" s="32">
        <f>IF(Mecze[[#This Row],[OU]]=0,0,Mecze[[#This Row],[OU]]/Mecze[[#This Row],[CZAS]])</f>
        <v>0</v>
      </c>
      <c r="O2338" s="32">
        <f>IF(Mecze[[#This Row],[PC]]=0,0,Mecze[[#This Row],[PC]]/Mecze[[#This Row],[CZAS]])</f>
        <v>5.1546391752577317E-2</v>
      </c>
      <c r="P2338" s="32">
        <f>IF(Mecze[[#This Row],[SC]]=0,0,Mecze[[#This Row],[SC]]/Mecze[[#This Row],[CZAS]])</f>
        <v>0</v>
      </c>
      <c r="Q2338" s="32">
        <f>IF(Mecze[[#This Row],[OB]]=0,0,Mecze[[#This Row],[OB]]/Mecze[[#This Row],[CZAS]])</f>
        <v>8.247422680412371E-2</v>
      </c>
      <c r="R2338" s="32">
        <f>IF(Mecze[[#This Row],[BR]]=0,0,Mecze[[#This Row],[BR]]/Mecze[[#This Row],[CZAS]])</f>
        <v>0</v>
      </c>
      <c r="S2338" s="44">
        <f>IF(Mecze[[#This Row],[Role]]="BR",SUMPRODUCT(Mecze[[#This Row],[/PR:90]:[/BR:90]],Brudnopis!$E$23:$J$23),0)</f>
        <v>0.40206185567010311</v>
      </c>
      <c r="T2338" s="44">
        <f>IF(Mecze[[#This Row],[Role]]&lt;&gt;"BR",SUMPRODUCT(Mecze[[#This Row],[/PR:90]:[/BR:90]],Brudnopis!$E$24:$J$24),0)</f>
        <v>0</v>
      </c>
      <c r="U2338" s="44">
        <f>IF(Mecze[[#This Row],[Role]]&lt;&gt;"BR",SUMPRODUCT(Mecze[[#This Row],[/PR:90]:[/BR:90]],Brudnopis!$E$25:$J$25),0)</f>
        <v>0</v>
      </c>
      <c r="V2338" s="44">
        <f>IF(Mecze[[#This Row],[Role]]&lt;&gt;"BR",SUMPRODUCT(Mecze[[#This Row],[/PR:90]:[/BR:90]],Brudnopis!$E$26:$J$26),0)</f>
        <v>0</v>
      </c>
      <c r="W2338" s="44">
        <f>IF(Mecze[[#This Row],[Role]]&lt;&gt;"BR",SUMPRODUCT(Mecze[[#This Row],[/PR:90]:[/BR:90]],Brudnopis!$E$27:$J$27),0)</f>
        <v>0</v>
      </c>
      <c r="X2338" s="44">
        <f>IF(Mecze[[#This Row],[Role]]&lt;&gt;"BR",SUMPRODUCT(Mecze[[#This Row],[/PR:90]:[/BR:90]],Brudnopis!$E$28:$J$28),0)</f>
        <v>0</v>
      </c>
      <c r="Y2338" s="35">
        <f>IF(Mecze[[#This Row],[Role]]="BR",Mecze[[#This Row],[/OB:90]]+Mecze[[#This Row],[/PC:90]],SUM(Mecze[[#This Row],[/PR:90]:[/BR:90]]))</f>
        <v>0.13402061855670103</v>
      </c>
      <c r="Z2338" s="35">
        <f>IF(Mecze[[#This Row],[KC]]=0,SUM(Mecze[[#This Row],[/BRI]:[/NPI]]),SUM(Mecze[[#This Row],[/BRI]:[/NPI]])*0.6)</f>
        <v>0.40206185567010311</v>
      </c>
      <c r="AA2338" s="10">
        <f>IFERROR(Mecze[[#This Row],[BR]]/Mecze[[#This Row],[ST]],0)</f>
        <v>0</v>
      </c>
      <c r="AB2338">
        <f>ROUND(Mecze[[#This Row],[PD]]*Mecze[[#This Row],[%PC]],0)</f>
        <v>5</v>
      </c>
      <c r="AC2338">
        <f>ROUND(Mecze[[#This Row],[OD]]*Mecze[[#This Row],[%OU]],0)</f>
        <v>0</v>
      </c>
      <c r="AD2338" s="36" t="s">
        <v>40</v>
      </c>
      <c r="AE2338" s="36">
        <v>131</v>
      </c>
      <c r="AF2338" s="71">
        <v>11.06</v>
      </c>
      <c r="AG2338" s="37">
        <v>0</v>
      </c>
      <c r="AH2338" s="37">
        <v>0</v>
      </c>
      <c r="AI2338" s="37">
        <v>97</v>
      </c>
      <c r="AJ2338" s="37">
        <v>11</v>
      </c>
      <c r="AK2338" s="37" t="str">
        <f>VLOOKUP(Mecze[[#This Row],[Match ID]],Meczusie[Mecz]:Meczusie[RodzajMeczu],2,FALSE)</f>
        <v>Liga</v>
      </c>
    </row>
    <row r="2339" spans="1:37" x14ac:dyDescent="0.25">
      <c r="A2339" s="76">
        <v>4</v>
      </c>
      <c r="B2339" s="3" t="s">
        <v>321</v>
      </c>
      <c r="C2339" s="2" t="s">
        <v>157</v>
      </c>
      <c r="D2339" s="1">
        <v>0</v>
      </c>
      <c r="E2339" s="1">
        <v>0</v>
      </c>
      <c r="F2339" s="1">
        <v>0</v>
      </c>
      <c r="G2339" s="1">
        <v>17</v>
      </c>
      <c r="H2339" s="4">
        <v>0.71</v>
      </c>
      <c r="I2339" s="1">
        <v>8</v>
      </c>
      <c r="J2339" s="4">
        <v>0.63</v>
      </c>
      <c r="K2339" s="1">
        <v>0</v>
      </c>
      <c r="L2339" s="1">
        <v>10</v>
      </c>
      <c r="M2339" s="32">
        <f>IF(Mecze[[#This Row],[PR]]=0,0,Mecze[[#This Row],[PR]]/Mecze[[#This Row],[CZAS]])</f>
        <v>0.10309278350515463</v>
      </c>
      <c r="N2339" s="32">
        <f>IF(Mecze[[#This Row],[OU]]=0,0,Mecze[[#This Row],[OU]]/Mecze[[#This Row],[CZAS]])</f>
        <v>5.1546391752577317E-2</v>
      </c>
      <c r="O2339" s="32">
        <f>IF(Mecze[[#This Row],[PC]]=0,0,Mecze[[#This Row],[PC]]/Mecze[[#This Row],[CZAS]])</f>
        <v>0.12371134020618557</v>
      </c>
      <c r="P2339" s="32">
        <f>IF(Mecze[[#This Row],[SC]]=0,0,Mecze[[#This Row],[SC]]/Mecze[[#This Row],[CZAS]])</f>
        <v>0</v>
      </c>
      <c r="Q2339" s="32">
        <f>IF(Mecze[[#This Row],[OB]]=0,0,Mecze[[#This Row],[OB]]/Mecze[[#This Row],[CZAS]])</f>
        <v>0</v>
      </c>
      <c r="R2339" s="32">
        <f>IF(Mecze[[#This Row],[BR]]=0,0,Mecze[[#This Row],[BR]]/Mecze[[#This Row],[CZAS]])</f>
        <v>0</v>
      </c>
      <c r="S2339" s="44">
        <f>IF(Mecze[[#This Row],[Role]]="BR",SUMPRODUCT(Mecze[[#This Row],[/PR:90]:[/BR:90]],Brudnopis!$E$23:$J$23),0)</f>
        <v>0</v>
      </c>
      <c r="T2339" s="44">
        <f>IF(Mecze[[#This Row],[Role]]&lt;&gt;"BR",SUMPRODUCT(Mecze[[#This Row],[/PR:90]:[/BR:90]],Brudnopis!$E$24:$J$24),0)</f>
        <v>0.30412371134020622</v>
      </c>
      <c r="U2339" s="44">
        <f>IF(Mecze[[#This Row],[Role]]&lt;&gt;"BR",SUMPRODUCT(Mecze[[#This Row],[/PR:90]:[/BR:90]],Brudnopis!$E$25:$J$25),0)</f>
        <v>0.34020618556701032</v>
      </c>
      <c r="V2339" s="44">
        <f>IF(Mecze[[#This Row],[Role]]&lt;&gt;"BR",SUMPRODUCT(Mecze[[#This Row],[/PR:90]:[/BR:90]],Brudnopis!$E$26:$J$26),0)</f>
        <v>0.27835051546391754</v>
      </c>
      <c r="W2339" s="44">
        <f>IF(Mecze[[#This Row],[Role]]&lt;&gt;"BR",SUMPRODUCT(Mecze[[#This Row],[/PR:90]:[/BR:90]],Brudnopis!$E$27:$J$27),0)</f>
        <v>0.30154639175257736</v>
      </c>
      <c r="X2339" s="44">
        <f>IF(Mecze[[#This Row],[Role]]&lt;&gt;"BR",SUMPRODUCT(Mecze[[#This Row],[/PR:90]:[/BR:90]],Brudnopis!$E$28:$J$28),0)</f>
        <v>0.12371134020618557</v>
      </c>
      <c r="Y2339" s="35">
        <f>IF(Mecze[[#This Row],[Role]]="BR",Mecze[[#This Row],[/OB:90]]+Mecze[[#This Row],[/PC:90]],SUM(Mecze[[#This Row],[/PR:90]:[/BR:90]]))</f>
        <v>0.27835051546391754</v>
      </c>
      <c r="Z2339" s="35">
        <f>IF(Mecze[[#This Row],[KC]]=0,SUM(Mecze[[#This Row],[/BRI]:[/NPI]]),SUM(Mecze[[#This Row],[/BRI]:[/NPI]])*0.6)</f>
        <v>1.347938144329897</v>
      </c>
      <c r="AA2339" s="10">
        <f>IFERROR(Mecze[[#This Row],[BR]]/Mecze[[#This Row],[ST]],0)</f>
        <v>0</v>
      </c>
      <c r="AB2339">
        <f>ROUND(Mecze[[#This Row],[PD]]*Mecze[[#This Row],[%PC]],0)</f>
        <v>12</v>
      </c>
      <c r="AC2339">
        <f>ROUND(Mecze[[#This Row],[OD]]*Mecze[[#This Row],[%OU]],0)</f>
        <v>5</v>
      </c>
      <c r="AD2339" s="36" t="s">
        <v>47</v>
      </c>
      <c r="AE2339" s="36">
        <v>131</v>
      </c>
      <c r="AF2339" s="71">
        <v>10.26</v>
      </c>
      <c r="AG2339" s="37">
        <v>0</v>
      </c>
      <c r="AH2339" s="37">
        <v>0</v>
      </c>
      <c r="AI2339" s="37">
        <v>97</v>
      </c>
      <c r="AJ2339" s="37">
        <v>11</v>
      </c>
      <c r="AK2339" s="37" t="str">
        <f>VLOOKUP(Mecze[[#This Row],[Match ID]],Meczusie[Mecz]:Meczusie[RodzajMeczu],2,FALSE)</f>
        <v>Liga</v>
      </c>
    </row>
    <row r="2340" spans="1:37" x14ac:dyDescent="0.25">
      <c r="A2340" s="76">
        <v>7</v>
      </c>
      <c r="B2340" s="3" t="s">
        <v>322</v>
      </c>
      <c r="C2340" s="2" t="s">
        <v>157</v>
      </c>
      <c r="D2340" s="1">
        <v>0</v>
      </c>
      <c r="E2340" s="1">
        <v>0</v>
      </c>
      <c r="F2340" s="1">
        <v>0</v>
      </c>
      <c r="G2340" s="1">
        <v>19</v>
      </c>
      <c r="H2340" s="4">
        <v>0.79</v>
      </c>
      <c r="I2340" s="1">
        <v>9</v>
      </c>
      <c r="J2340" s="4">
        <v>0.56000000000000005</v>
      </c>
      <c r="K2340" s="1">
        <v>0</v>
      </c>
      <c r="L2340" s="1">
        <v>15</v>
      </c>
      <c r="M2340" s="32">
        <f>IF(Mecze[[#This Row],[PR]]=0,0,Mecze[[#This Row],[PR]]/Mecze[[#This Row],[CZAS]])</f>
        <v>0.15463917525773196</v>
      </c>
      <c r="N2340" s="32">
        <f>IF(Mecze[[#This Row],[OU]]=0,0,Mecze[[#This Row],[OU]]/Mecze[[#This Row],[CZAS]])</f>
        <v>5.1546391752577317E-2</v>
      </c>
      <c r="O2340" s="32">
        <f>IF(Mecze[[#This Row],[PC]]=0,0,Mecze[[#This Row],[PC]]/Mecze[[#This Row],[CZAS]])</f>
        <v>0.15463917525773196</v>
      </c>
      <c r="P2340" s="32">
        <f>IF(Mecze[[#This Row],[SC]]=0,0,Mecze[[#This Row],[SC]]/Mecze[[#This Row],[CZAS]])</f>
        <v>0</v>
      </c>
      <c r="Q2340" s="32">
        <f>IF(Mecze[[#This Row],[OB]]=0,0,Mecze[[#This Row],[OB]]/Mecze[[#This Row],[CZAS]])</f>
        <v>0</v>
      </c>
      <c r="R2340" s="32">
        <f>IF(Mecze[[#This Row],[BR]]=0,0,Mecze[[#This Row],[BR]]/Mecze[[#This Row],[CZAS]])</f>
        <v>0</v>
      </c>
      <c r="S2340" s="44">
        <f>IF(Mecze[[#This Row],[Role]]="BR",SUMPRODUCT(Mecze[[#This Row],[/PR:90]:[/BR:90]],Brudnopis!$E$23:$J$23),0)</f>
        <v>0</v>
      </c>
      <c r="T2340" s="44">
        <f>IF(Mecze[[#This Row],[Role]]&lt;&gt;"BR",SUMPRODUCT(Mecze[[#This Row],[/PR:90]:[/BR:90]],Brudnopis!$E$24:$J$24),0)</f>
        <v>0.38659793814432991</v>
      </c>
      <c r="U2340" s="44">
        <f>IF(Mecze[[#This Row],[Role]]&lt;&gt;"BR",SUMPRODUCT(Mecze[[#This Row],[/PR:90]:[/BR:90]],Brudnopis!$E$25:$J$25),0)</f>
        <v>0.43814432989690721</v>
      </c>
      <c r="V2340" s="44">
        <f>IF(Mecze[[#This Row],[Role]]&lt;&gt;"BR",SUMPRODUCT(Mecze[[#This Row],[/PR:90]:[/BR:90]],Brudnopis!$E$26:$J$26),0)</f>
        <v>0.36082474226804123</v>
      </c>
      <c r="W2340" s="44">
        <f>IF(Mecze[[#This Row],[Role]]&lt;&gt;"BR",SUMPRODUCT(Mecze[[#This Row],[/PR:90]:[/BR:90]],Brudnopis!$E$27:$J$27),0)</f>
        <v>0.38659793814432991</v>
      </c>
      <c r="X2340" s="44">
        <f>IF(Mecze[[#This Row],[Role]]&lt;&gt;"BR",SUMPRODUCT(Mecze[[#This Row],[/PR:90]:[/BR:90]],Brudnopis!$E$28:$J$28),0)</f>
        <v>0.15463917525773196</v>
      </c>
      <c r="Y2340" s="35">
        <f>IF(Mecze[[#This Row],[Role]]="BR",Mecze[[#This Row],[/OB:90]]+Mecze[[#This Row],[/PC:90]],SUM(Mecze[[#This Row],[/PR:90]:[/BR:90]]))</f>
        <v>0.36082474226804123</v>
      </c>
      <c r="Z2340" s="35">
        <f>IF(Mecze[[#This Row],[KC]]=0,SUM(Mecze[[#This Row],[/BRI]:[/NPI]]),SUM(Mecze[[#This Row],[/BRI]:[/NPI]])*0.6)</f>
        <v>1.7268041237113403</v>
      </c>
      <c r="AA2340" s="10">
        <f>IFERROR(Mecze[[#This Row],[BR]]/Mecze[[#This Row],[ST]],0)</f>
        <v>0</v>
      </c>
      <c r="AB2340">
        <f>ROUND(Mecze[[#This Row],[PD]]*Mecze[[#This Row],[%PC]],0)</f>
        <v>15</v>
      </c>
      <c r="AC2340">
        <f>ROUND(Mecze[[#This Row],[OD]]*Mecze[[#This Row],[%OU]],0)</f>
        <v>5</v>
      </c>
      <c r="AD2340" s="36" t="s">
        <v>47</v>
      </c>
      <c r="AE2340" s="36">
        <v>131</v>
      </c>
      <c r="AF2340" s="71">
        <v>11.31</v>
      </c>
      <c r="AG2340" s="37">
        <v>0</v>
      </c>
      <c r="AH2340" s="37">
        <v>0</v>
      </c>
      <c r="AI2340" s="37">
        <v>97</v>
      </c>
      <c r="AJ2340" s="37">
        <v>11</v>
      </c>
      <c r="AK2340" s="37" t="str">
        <f>VLOOKUP(Mecze[[#This Row],[Match ID]],Meczusie[Mecz]:Meczusie[RodzajMeczu],2,FALSE)</f>
        <v>Liga</v>
      </c>
    </row>
    <row r="2341" spans="1:37" x14ac:dyDescent="0.25">
      <c r="A2341" s="76">
        <v>2</v>
      </c>
      <c r="B2341" s="3" t="s">
        <v>392</v>
      </c>
      <c r="C2341" s="2" t="s">
        <v>157</v>
      </c>
      <c r="D2341" s="1">
        <v>0</v>
      </c>
      <c r="E2341" s="1">
        <v>0</v>
      </c>
      <c r="F2341" s="1">
        <v>0</v>
      </c>
      <c r="G2341" s="1">
        <v>2</v>
      </c>
      <c r="H2341" s="4">
        <v>1</v>
      </c>
      <c r="I2341" s="1">
        <v>1</v>
      </c>
      <c r="J2341" s="4">
        <v>1</v>
      </c>
      <c r="K2341" s="1">
        <v>0</v>
      </c>
      <c r="L2341" s="1">
        <v>1</v>
      </c>
      <c r="M2341" s="32">
        <f>IF(Mecze[[#This Row],[PR]]=0,0,Mecze[[#This Row],[PR]]/Mecze[[#This Row],[CZAS]])</f>
        <v>1.0309278350515464E-2</v>
      </c>
      <c r="N2341" s="32">
        <f>IF(Mecze[[#This Row],[OU]]=0,0,Mecze[[#This Row],[OU]]/Mecze[[#This Row],[CZAS]])</f>
        <v>1.0309278350515464E-2</v>
      </c>
      <c r="O2341" s="32">
        <f>IF(Mecze[[#This Row],[PC]]=0,0,Mecze[[#This Row],[PC]]/Mecze[[#This Row],[CZAS]])</f>
        <v>2.0618556701030927E-2</v>
      </c>
      <c r="P2341" s="32">
        <f>IF(Mecze[[#This Row],[SC]]=0,0,Mecze[[#This Row],[SC]]/Mecze[[#This Row],[CZAS]])</f>
        <v>0</v>
      </c>
      <c r="Q2341" s="32">
        <f>IF(Mecze[[#This Row],[OB]]=0,0,Mecze[[#This Row],[OB]]/Mecze[[#This Row],[CZAS]])</f>
        <v>0</v>
      </c>
      <c r="R2341" s="32">
        <f>IF(Mecze[[#This Row],[BR]]=0,0,Mecze[[#This Row],[BR]]/Mecze[[#This Row],[CZAS]])</f>
        <v>0</v>
      </c>
      <c r="S2341" s="44">
        <f>IF(Mecze[[#This Row],[Role]]="BR",SUMPRODUCT(Mecze[[#This Row],[/PR:90]:[/BR:90]],Brudnopis!$E$23:$J$23),0)</f>
        <v>0</v>
      </c>
      <c r="T2341" s="44">
        <f>IF(Mecze[[#This Row],[Role]]&lt;&gt;"BR",SUMPRODUCT(Mecze[[#This Row],[/PR:90]:[/BR:90]],Brudnopis!$E$24:$J$24),0)</f>
        <v>4.6391752577319589E-2</v>
      </c>
      <c r="U2341" s="44">
        <f>IF(Mecze[[#This Row],[Role]]&lt;&gt;"BR",SUMPRODUCT(Mecze[[#This Row],[/PR:90]:[/BR:90]],Brudnopis!$E$25:$J$25),0)</f>
        <v>5.1546391752577317E-2</v>
      </c>
      <c r="V2341" s="44">
        <f>IF(Mecze[[#This Row],[Role]]&lt;&gt;"BR",SUMPRODUCT(Mecze[[#This Row],[/PR:90]:[/BR:90]],Brudnopis!$E$26:$J$26),0)</f>
        <v>4.1237113402061855E-2</v>
      </c>
      <c r="W2341" s="44">
        <f>IF(Mecze[[#This Row],[Role]]&lt;&gt;"BR",SUMPRODUCT(Mecze[[#This Row],[/PR:90]:[/BR:90]],Brudnopis!$E$27:$J$27),0)</f>
        <v>4.6391752577319589E-2</v>
      </c>
      <c r="X2341" s="44">
        <f>IF(Mecze[[#This Row],[Role]]&lt;&gt;"BR",SUMPRODUCT(Mecze[[#This Row],[/PR:90]:[/BR:90]],Brudnopis!$E$28:$J$28),0)</f>
        <v>2.0618556701030927E-2</v>
      </c>
      <c r="Y2341" s="35">
        <f>IF(Mecze[[#This Row],[Role]]="BR",Mecze[[#This Row],[/OB:90]]+Mecze[[#This Row],[/PC:90]],SUM(Mecze[[#This Row],[/PR:90]:[/BR:90]]))</f>
        <v>4.1237113402061855E-2</v>
      </c>
      <c r="Z2341" s="35">
        <f>IF(Mecze[[#This Row],[KC]]=0,SUM(Mecze[[#This Row],[/BRI]:[/NPI]]),SUM(Mecze[[#This Row],[/BRI]:[/NPI]])*0.6)</f>
        <v>0.2061855670103093</v>
      </c>
      <c r="AA2341" s="10">
        <f>IFERROR(Mecze[[#This Row],[BR]]/Mecze[[#This Row],[ST]],0)</f>
        <v>0</v>
      </c>
      <c r="AB2341">
        <f>ROUND(Mecze[[#This Row],[PD]]*Mecze[[#This Row],[%PC]],0)</f>
        <v>2</v>
      </c>
      <c r="AC2341">
        <f>ROUND(Mecze[[#This Row],[OD]]*Mecze[[#This Row],[%OU]],0)</f>
        <v>1</v>
      </c>
      <c r="AD2341" s="36" t="s">
        <v>175</v>
      </c>
      <c r="AE2341" s="36">
        <v>131</v>
      </c>
      <c r="AF2341" s="71">
        <v>7.25</v>
      </c>
      <c r="AG2341" s="37">
        <v>0</v>
      </c>
      <c r="AH2341" s="37">
        <v>0</v>
      </c>
      <c r="AI2341" s="37">
        <v>97</v>
      </c>
      <c r="AJ2341" s="37">
        <v>11</v>
      </c>
      <c r="AK2341" s="37" t="str">
        <f>VLOOKUP(Mecze[[#This Row],[Match ID]],Meczusie[Mecz]:Meczusie[RodzajMeczu],2,FALSE)</f>
        <v>Liga</v>
      </c>
    </row>
    <row r="2342" spans="1:37" x14ac:dyDescent="0.25">
      <c r="A2342" s="76">
        <v>6</v>
      </c>
      <c r="B2342" s="3" t="s">
        <v>324</v>
      </c>
      <c r="C2342" s="2" t="s">
        <v>157</v>
      </c>
      <c r="D2342" s="1">
        <v>0</v>
      </c>
      <c r="E2342" s="1">
        <v>0</v>
      </c>
      <c r="F2342" s="1">
        <v>0</v>
      </c>
      <c r="G2342" s="1">
        <v>2</v>
      </c>
      <c r="H2342" s="4">
        <v>1</v>
      </c>
      <c r="I2342" s="1">
        <v>0</v>
      </c>
      <c r="J2342" s="4"/>
      <c r="K2342" s="1">
        <v>0</v>
      </c>
      <c r="L2342" s="1">
        <v>4</v>
      </c>
      <c r="M2342" s="32">
        <f>IF(Mecze[[#This Row],[PR]]=0,0,Mecze[[#This Row],[PR]]/Mecze[[#This Row],[CZAS]])</f>
        <v>4.1666666666666664E-2</v>
      </c>
      <c r="N2342" s="32">
        <f>IF(Mecze[[#This Row],[OU]]=0,0,Mecze[[#This Row],[OU]]/Mecze[[#This Row],[CZAS]])</f>
        <v>0</v>
      </c>
      <c r="O2342" s="32">
        <f>IF(Mecze[[#This Row],[PC]]=0,0,Mecze[[#This Row],[PC]]/Mecze[[#This Row],[CZAS]])</f>
        <v>2.0833333333333332E-2</v>
      </c>
      <c r="P2342" s="32">
        <f>IF(Mecze[[#This Row],[SC]]=0,0,Mecze[[#This Row],[SC]]/Mecze[[#This Row],[CZAS]])</f>
        <v>0</v>
      </c>
      <c r="Q2342" s="32">
        <f>IF(Mecze[[#This Row],[OB]]=0,0,Mecze[[#This Row],[OB]]/Mecze[[#This Row],[CZAS]])</f>
        <v>0</v>
      </c>
      <c r="R2342" s="32">
        <f>IF(Mecze[[#This Row],[BR]]=0,0,Mecze[[#This Row],[BR]]/Mecze[[#This Row],[CZAS]])</f>
        <v>0</v>
      </c>
      <c r="S2342" s="44">
        <f>IF(Mecze[[#This Row],[Role]]="BR",SUMPRODUCT(Mecze[[#This Row],[/PR:90]:[/BR:90]],Brudnopis!$E$23:$J$23),0)</f>
        <v>0</v>
      </c>
      <c r="T2342" s="44">
        <f>IF(Mecze[[#This Row],[Role]]&lt;&gt;"BR",SUMPRODUCT(Mecze[[#This Row],[/PR:90]:[/BR:90]],Brudnopis!$E$24:$J$24),0)</f>
        <v>6.25E-2</v>
      </c>
      <c r="U2342" s="44">
        <f>IF(Mecze[[#This Row],[Role]]&lt;&gt;"BR",SUMPRODUCT(Mecze[[#This Row],[/PR:90]:[/BR:90]],Brudnopis!$E$25:$J$25),0)</f>
        <v>7.2916666666666657E-2</v>
      </c>
      <c r="V2342" s="44">
        <f>IF(Mecze[[#This Row],[Role]]&lt;&gt;"BR",SUMPRODUCT(Mecze[[#This Row],[/PR:90]:[/BR:90]],Brudnopis!$E$26:$J$26),0)</f>
        <v>6.25E-2</v>
      </c>
      <c r="W2342" s="44">
        <f>IF(Mecze[[#This Row],[Role]]&lt;&gt;"BR",SUMPRODUCT(Mecze[[#This Row],[/PR:90]:[/BR:90]],Brudnopis!$E$27:$J$27),0)</f>
        <v>6.25E-2</v>
      </c>
      <c r="X2342" s="44">
        <f>IF(Mecze[[#This Row],[Role]]&lt;&gt;"BR",SUMPRODUCT(Mecze[[#This Row],[/PR:90]:[/BR:90]],Brudnopis!$E$28:$J$28),0)</f>
        <v>2.0833333333333332E-2</v>
      </c>
      <c r="Y2342" s="35">
        <f>IF(Mecze[[#This Row],[Role]]="BR",Mecze[[#This Row],[/OB:90]]+Mecze[[#This Row],[/PC:90]],SUM(Mecze[[#This Row],[/PR:90]:[/BR:90]]))</f>
        <v>6.25E-2</v>
      </c>
      <c r="Z2342" s="35">
        <f>IF(Mecze[[#This Row],[KC]]=0,SUM(Mecze[[#This Row],[/BRI]:[/NPI]]),SUM(Mecze[[#This Row],[/BRI]:[/NPI]])*0.6)</f>
        <v>0.28124999999999994</v>
      </c>
      <c r="AA2342" s="10">
        <f>IFERROR(Mecze[[#This Row],[BR]]/Mecze[[#This Row],[ST]],0)</f>
        <v>0</v>
      </c>
      <c r="AB2342">
        <f>ROUND(Mecze[[#This Row],[PD]]*Mecze[[#This Row],[%PC]],0)</f>
        <v>2</v>
      </c>
      <c r="AC2342">
        <f>ROUND(Mecze[[#This Row],[OD]]*Mecze[[#This Row],[%OU]],0)</f>
        <v>0</v>
      </c>
      <c r="AD2342" s="36" t="s">
        <v>174</v>
      </c>
      <c r="AE2342" s="36">
        <v>131</v>
      </c>
      <c r="AF2342" s="71">
        <v>7.88</v>
      </c>
      <c r="AG2342" s="37">
        <v>0</v>
      </c>
      <c r="AH2342" s="37">
        <v>0</v>
      </c>
      <c r="AI2342" s="37">
        <v>96</v>
      </c>
      <c r="AJ2342" s="37">
        <v>11</v>
      </c>
      <c r="AK2342" s="37" t="str">
        <f>VLOOKUP(Mecze[[#This Row],[Match ID]],Meczusie[Mecz]:Meczusie[RodzajMeczu],2,FALSE)</f>
        <v>Liga</v>
      </c>
    </row>
    <row r="2343" spans="1:37" x14ac:dyDescent="0.25">
      <c r="A2343" s="76">
        <v>5</v>
      </c>
      <c r="B2343" s="3" t="s">
        <v>325</v>
      </c>
      <c r="C2343" s="2" t="s">
        <v>160</v>
      </c>
      <c r="D2343" s="1">
        <v>0</v>
      </c>
      <c r="E2343" s="1">
        <v>0</v>
      </c>
      <c r="F2343" s="1">
        <v>0</v>
      </c>
      <c r="G2343" s="1">
        <v>18</v>
      </c>
      <c r="H2343" s="4">
        <v>0.61</v>
      </c>
      <c r="I2343" s="1">
        <v>5</v>
      </c>
      <c r="J2343" s="4">
        <v>0.8</v>
      </c>
      <c r="K2343" s="1">
        <v>0</v>
      </c>
      <c r="L2343" s="1">
        <v>7</v>
      </c>
      <c r="M2343" s="32">
        <f>IF(Mecze[[#This Row],[PR]]=0,0,Mecze[[#This Row],[PR]]/Mecze[[#This Row],[CZAS]])</f>
        <v>7.2164948453608241E-2</v>
      </c>
      <c r="N2343" s="32">
        <f>IF(Mecze[[#This Row],[OU]]=0,0,Mecze[[#This Row],[OU]]/Mecze[[#This Row],[CZAS]])</f>
        <v>4.1237113402061855E-2</v>
      </c>
      <c r="O2343" s="32">
        <f>IF(Mecze[[#This Row],[PC]]=0,0,Mecze[[#This Row],[PC]]/Mecze[[#This Row],[CZAS]])</f>
        <v>0.1134020618556701</v>
      </c>
      <c r="P2343" s="32">
        <f>IF(Mecze[[#This Row],[SC]]=0,0,Mecze[[#This Row],[SC]]/Mecze[[#This Row],[CZAS]])</f>
        <v>0</v>
      </c>
      <c r="Q2343" s="32">
        <f>IF(Mecze[[#This Row],[OB]]=0,0,Mecze[[#This Row],[OB]]/Mecze[[#This Row],[CZAS]])</f>
        <v>0</v>
      </c>
      <c r="R2343" s="32">
        <f>IF(Mecze[[#This Row],[BR]]=0,0,Mecze[[#This Row],[BR]]/Mecze[[#This Row],[CZAS]])</f>
        <v>0</v>
      </c>
      <c r="S2343" s="44">
        <f>IF(Mecze[[#This Row],[Role]]="BR",SUMPRODUCT(Mecze[[#This Row],[/PR:90]:[/BR:90]],Brudnopis!$E$23:$J$23),0)</f>
        <v>0</v>
      </c>
      <c r="T2343" s="44">
        <f>IF(Mecze[[#This Row],[Role]]&lt;&gt;"BR",SUMPRODUCT(Mecze[[#This Row],[/PR:90]:[/BR:90]],Brudnopis!$E$24:$J$24),0)</f>
        <v>0.24742268041237114</v>
      </c>
      <c r="U2343" s="44">
        <f>IF(Mecze[[#This Row],[Role]]&lt;&gt;"BR",SUMPRODUCT(Mecze[[#This Row],[/PR:90]:[/BR:90]],Brudnopis!$E$25:$J$25),0)</f>
        <v>0.28350515463917525</v>
      </c>
      <c r="V2343" s="44">
        <f>IF(Mecze[[#This Row],[Role]]&lt;&gt;"BR",SUMPRODUCT(Mecze[[#This Row],[/PR:90]:[/BR:90]],Brudnopis!$E$26:$J$26),0)</f>
        <v>0.22680412371134018</v>
      </c>
      <c r="W2343" s="44">
        <f>IF(Mecze[[#This Row],[Role]]&lt;&gt;"BR",SUMPRODUCT(Mecze[[#This Row],[/PR:90]:[/BR:90]],Brudnopis!$E$27:$J$27),0)</f>
        <v>0.25515463917525771</v>
      </c>
      <c r="X2343" s="44">
        <f>IF(Mecze[[#This Row],[Role]]&lt;&gt;"BR",SUMPRODUCT(Mecze[[#This Row],[/PR:90]:[/BR:90]],Brudnopis!$E$28:$J$28),0)</f>
        <v>0.1134020618556701</v>
      </c>
      <c r="Y2343" s="35">
        <f>IF(Mecze[[#This Row],[Role]]="BR",Mecze[[#This Row],[/OB:90]]+Mecze[[#This Row],[/PC:90]],SUM(Mecze[[#This Row],[/PR:90]:[/BR:90]]))</f>
        <v>0.22680412371134018</v>
      </c>
      <c r="Z2343" s="35">
        <f>IF(Mecze[[#This Row],[KC]]=0,SUM(Mecze[[#This Row],[/BRI]:[/NPI]]),SUM(Mecze[[#This Row],[/BRI]:[/NPI]])*0.6)</f>
        <v>1.1262886597938144</v>
      </c>
      <c r="AA2343" s="10">
        <f>IFERROR(Mecze[[#This Row],[BR]]/Mecze[[#This Row],[ST]],0)</f>
        <v>0</v>
      </c>
      <c r="AB2343">
        <f>ROUND(Mecze[[#This Row],[PD]]*Mecze[[#This Row],[%PC]],0)</f>
        <v>11</v>
      </c>
      <c r="AC2343">
        <f>ROUND(Mecze[[#This Row],[OD]]*Mecze[[#This Row],[%OU]],0)</f>
        <v>4</v>
      </c>
      <c r="AD2343" s="36" t="s">
        <v>41</v>
      </c>
      <c r="AE2343" s="36">
        <v>131</v>
      </c>
      <c r="AF2343" s="71">
        <v>9.7200000000000006</v>
      </c>
      <c r="AG2343" s="37">
        <v>0</v>
      </c>
      <c r="AH2343" s="37">
        <v>0</v>
      </c>
      <c r="AI2343" s="37">
        <v>97</v>
      </c>
      <c r="AJ2343" s="37">
        <v>11</v>
      </c>
      <c r="AK2343" s="37" t="str">
        <f>VLOOKUP(Mecze[[#This Row],[Match ID]],Meczusie[Mecz]:Meczusie[RodzajMeczu],2,FALSE)</f>
        <v>Liga</v>
      </c>
    </row>
    <row r="2344" spans="1:37" x14ac:dyDescent="0.25">
      <c r="A2344" s="76">
        <v>8</v>
      </c>
      <c r="B2344" s="3" t="s">
        <v>326</v>
      </c>
      <c r="C2344" s="2" t="s">
        <v>160</v>
      </c>
      <c r="D2344" s="1">
        <v>1</v>
      </c>
      <c r="E2344" s="1">
        <v>2</v>
      </c>
      <c r="F2344" s="1">
        <v>2</v>
      </c>
      <c r="G2344" s="1">
        <v>7</v>
      </c>
      <c r="H2344" s="4">
        <v>0.56999999999999995</v>
      </c>
      <c r="I2344" s="1">
        <v>3</v>
      </c>
      <c r="J2344" s="4">
        <v>0.33</v>
      </c>
      <c r="K2344" s="1">
        <v>0</v>
      </c>
      <c r="L2344" s="1">
        <v>1</v>
      </c>
      <c r="M2344" s="32">
        <f>IF(Mecze[[#This Row],[PR]]=0,0,Mecze[[#This Row],[PR]]/Mecze[[#This Row],[CZAS]])</f>
        <v>1.0309278350515464E-2</v>
      </c>
      <c r="N2344" s="32">
        <f>IF(Mecze[[#This Row],[OU]]=0,0,Mecze[[#This Row],[OU]]/Mecze[[#This Row],[CZAS]])</f>
        <v>1.0309278350515464E-2</v>
      </c>
      <c r="O2344" s="32">
        <f>IF(Mecze[[#This Row],[PC]]=0,0,Mecze[[#This Row],[PC]]/Mecze[[#This Row],[CZAS]])</f>
        <v>4.1237113402061855E-2</v>
      </c>
      <c r="P2344" s="32">
        <f>IF(Mecze[[#This Row],[SC]]=0,0,Mecze[[#This Row],[SC]]/Mecze[[#This Row],[CZAS]])</f>
        <v>2.0618556701030927E-2</v>
      </c>
      <c r="Q2344" s="32">
        <f>IF(Mecze[[#This Row],[OB]]=0,0,Mecze[[#This Row],[OB]]/Mecze[[#This Row],[CZAS]])</f>
        <v>0</v>
      </c>
      <c r="R2344" s="32">
        <f>IF(Mecze[[#This Row],[BR]]=0,0,Mecze[[#This Row],[BR]]/Mecze[[#This Row],[CZAS]])</f>
        <v>1.0309278350515464E-2</v>
      </c>
      <c r="S2344" s="44">
        <f>IF(Mecze[[#This Row],[Role]]="BR",SUMPRODUCT(Mecze[[#This Row],[/PR:90]:[/BR:90]],Brudnopis!$E$23:$J$23),0)</f>
        <v>0</v>
      </c>
      <c r="T2344" s="44">
        <f>IF(Mecze[[#This Row],[Role]]&lt;&gt;"BR",SUMPRODUCT(Mecze[[#This Row],[/PR:90]:[/BR:90]],Brudnopis!$E$24:$J$24),0)</f>
        <v>0.10309278350515463</v>
      </c>
      <c r="U2344" s="44">
        <f>IF(Mecze[[#This Row],[Role]]&lt;&gt;"BR",SUMPRODUCT(Mecze[[#This Row],[/PR:90]:[/BR:90]],Brudnopis!$E$25:$J$25),0)</f>
        <v>0.11855670103092783</v>
      </c>
      <c r="V2344" s="44">
        <f>IF(Mecze[[#This Row],[Role]]&lt;&gt;"BR",SUMPRODUCT(Mecze[[#This Row],[/PR:90]:[/BR:90]],Brudnopis!$E$26:$J$26),0)</f>
        <v>0.10309278350515463</v>
      </c>
      <c r="W2344" s="44">
        <f>IF(Mecze[[#This Row],[Role]]&lt;&gt;"BR",SUMPRODUCT(Mecze[[#This Row],[/PR:90]:[/BR:90]],Brudnopis!$E$27:$J$27),0)</f>
        <v>0.11855670103092783</v>
      </c>
      <c r="X2344" s="44">
        <f>IF(Mecze[[#This Row],[Role]]&lt;&gt;"BR",SUMPRODUCT(Mecze[[#This Row],[/PR:90]:[/BR:90]],Brudnopis!$E$28:$J$28),0)</f>
        <v>0.1134020618556701</v>
      </c>
      <c r="Y2344" s="35">
        <f>IF(Mecze[[#This Row],[Role]]="BR",Mecze[[#This Row],[/OB:90]]+Mecze[[#This Row],[/PC:90]],SUM(Mecze[[#This Row],[/PR:90]:[/BR:90]]))</f>
        <v>9.2783505154639179E-2</v>
      </c>
      <c r="Z2344" s="35">
        <f>IF(Mecze[[#This Row],[KC]]=0,SUM(Mecze[[#This Row],[/BRI]:[/NPI]]),SUM(Mecze[[#This Row],[/BRI]:[/NPI]])*0.6)</f>
        <v>0.55670103092783507</v>
      </c>
      <c r="AA2344" s="10">
        <f>IFERROR(Mecze[[#This Row],[BR]]/Mecze[[#This Row],[ST]],0)</f>
        <v>0.5</v>
      </c>
      <c r="AB2344">
        <f>ROUND(Mecze[[#This Row],[PD]]*Mecze[[#This Row],[%PC]],0)</f>
        <v>4</v>
      </c>
      <c r="AC2344">
        <f>ROUND(Mecze[[#This Row],[OD]]*Mecze[[#This Row],[%OU]],0)</f>
        <v>1</v>
      </c>
      <c r="AD2344" s="36" t="s">
        <v>318</v>
      </c>
      <c r="AE2344" s="36">
        <v>131</v>
      </c>
      <c r="AF2344" s="71">
        <v>11.03</v>
      </c>
      <c r="AG2344" s="37">
        <v>0</v>
      </c>
      <c r="AH2344" s="37">
        <v>0</v>
      </c>
      <c r="AI2344" s="37">
        <v>97</v>
      </c>
      <c r="AJ2344" s="37">
        <v>11</v>
      </c>
      <c r="AK2344" s="37" t="str">
        <f>VLOOKUP(Mecze[[#This Row],[Match ID]],Meczusie[Mecz]:Meczusie[RodzajMeczu],2,FALSE)</f>
        <v>Liga</v>
      </c>
    </row>
    <row r="2345" spans="1:37" x14ac:dyDescent="0.25">
      <c r="A2345" s="76">
        <v>9</v>
      </c>
      <c r="B2345" s="3" t="s">
        <v>327</v>
      </c>
      <c r="C2345" s="2" t="s">
        <v>160</v>
      </c>
      <c r="D2345" s="1">
        <v>1</v>
      </c>
      <c r="E2345" s="1">
        <v>3</v>
      </c>
      <c r="F2345" s="1">
        <v>3</v>
      </c>
      <c r="G2345" s="1">
        <v>14</v>
      </c>
      <c r="H2345" s="4">
        <v>0.93</v>
      </c>
      <c r="I2345" s="1">
        <v>5</v>
      </c>
      <c r="J2345" s="4">
        <v>0.6</v>
      </c>
      <c r="K2345" s="1">
        <v>0</v>
      </c>
      <c r="L2345" s="1">
        <v>1</v>
      </c>
      <c r="M2345" s="32">
        <f>IF(Mecze[[#This Row],[PR]]=0,0,Mecze[[#This Row],[PR]]/Mecze[[#This Row],[CZAS]])</f>
        <v>1.0309278350515464E-2</v>
      </c>
      <c r="N2345" s="32">
        <f>IF(Mecze[[#This Row],[OU]]=0,0,Mecze[[#This Row],[OU]]/Mecze[[#This Row],[CZAS]])</f>
        <v>3.0927835051546393E-2</v>
      </c>
      <c r="O2345" s="32">
        <f>IF(Mecze[[#This Row],[PC]]=0,0,Mecze[[#This Row],[PC]]/Mecze[[#This Row],[CZAS]])</f>
        <v>0.13402061855670103</v>
      </c>
      <c r="P2345" s="32">
        <f>IF(Mecze[[#This Row],[SC]]=0,0,Mecze[[#This Row],[SC]]/Mecze[[#This Row],[CZAS]])</f>
        <v>3.0927835051546393E-2</v>
      </c>
      <c r="Q2345" s="32">
        <f>IF(Mecze[[#This Row],[OB]]=0,0,Mecze[[#This Row],[OB]]/Mecze[[#This Row],[CZAS]])</f>
        <v>0</v>
      </c>
      <c r="R2345" s="32">
        <f>IF(Mecze[[#This Row],[BR]]=0,0,Mecze[[#This Row],[BR]]/Mecze[[#This Row],[CZAS]])</f>
        <v>1.0309278350515464E-2</v>
      </c>
      <c r="S2345" s="44">
        <f>IF(Mecze[[#This Row],[Role]]="BR",SUMPRODUCT(Mecze[[#This Row],[/PR:90]:[/BR:90]],Brudnopis!$E$23:$J$23),0)</f>
        <v>0</v>
      </c>
      <c r="T2345" s="44">
        <f>IF(Mecze[[#This Row],[Role]]&lt;&gt;"BR",SUMPRODUCT(Mecze[[#This Row],[/PR:90]:[/BR:90]],Brudnopis!$E$24:$J$24),0)</f>
        <v>0.23711340206185566</v>
      </c>
      <c r="U2345" s="44">
        <f>IF(Mecze[[#This Row],[Role]]&lt;&gt;"BR",SUMPRODUCT(Mecze[[#This Row],[/PR:90]:[/BR:90]],Brudnopis!$E$25:$J$25),0)</f>
        <v>0.28865979381443302</v>
      </c>
      <c r="V2345" s="44">
        <f>IF(Mecze[[#This Row],[Role]]&lt;&gt;"BR",SUMPRODUCT(Mecze[[#This Row],[/PR:90]:[/BR:90]],Brudnopis!$E$26:$J$26),0)</f>
        <v>0.22680412371134021</v>
      </c>
      <c r="W2345" s="44">
        <f>IF(Mecze[[#This Row],[Role]]&lt;&gt;"BR",SUMPRODUCT(Mecze[[#This Row],[/PR:90]:[/BR:90]],Brudnopis!$E$27:$J$27),0)</f>
        <v>0.28350515463917525</v>
      </c>
      <c r="X2345" s="44">
        <f>IF(Mecze[[#This Row],[Role]]&lt;&gt;"BR",SUMPRODUCT(Mecze[[#This Row],[/PR:90]:[/BR:90]],Brudnopis!$E$28:$J$28),0)</f>
        <v>0.22680412371134021</v>
      </c>
      <c r="Y2345" s="35">
        <f>IF(Mecze[[#This Row],[Role]]="BR",Mecze[[#This Row],[/OB:90]]+Mecze[[#This Row],[/PC:90]],SUM(Mecze[[#This Row],[/PR:90]:[/BR:90]]))</f>
        <v>0.21649484536082472</v>
      </c>
      <c r="Z2345" s="35">
        <f>IF(Mecze[[#This Row],[KC]]=0,SUM(Mecze[[#This Row],[/BRI]:[/NPI]]),SUM(Mecze[[#This Row],[/BRI]:[/NPI]])*0.6)</f>
        <v>1.2628865979381443</v>
      </c>
      <c r="AA2345" s="10">
        <f>IFERROR(Mecze[[#This Row],[BR]]/Mecze[[#This Row],[ST]],0)</f>
        <v>0.33333333333333331</v>
      </c>
      <c r="AB2345">
        <f>ROUND(Mecze[[#This Row],[PD]]*Mecze[[#This Row],[%PC]],0)</f>
        <v>13</v>
      </c>
      <c r="AC2345">
        <f>ROUND(Mecze[[#This Row],[OD]]*Mecze[[#This Row],[%OU]],0)</f>
        <v>3</v>
      </c>
      <c r="AD2345" s="36" t="s">
        <v>44</v>
      </c>
      <c r="AE2345" s="36">
        <v>131</v>
      </c>
      <c r="AF2345" s="71">
        <v>11.06</v>
      </c>
      <c r="AG2345" s="37">
        <v>1</v>
      </c>
      <c r="AH2345" s="37">
        <v>0</v>
      </c>
      <c r="AI2345" s="37">
        <v>97</v>
      </c>
      <c r="AJ2345" s="37">
        <v>11</v>
      </c>
      <c r="AK2345" s="37" t="str">
        <f>VLOOKUP(Mecze[[#This Row],[Match ID]],Meczusie[Mecz]:Meczusie[RodzajMeczu],2,FALSE)</f>
        <v>Liga</v>
      </c>
    </row>
    <row r="2346" spans="1:37" x14ac:dyDescent="0.25">
      <c r="A2346" s="76">
        <v>10</v>
      </c>
      <c r="B2346" s="3" t="s">
        <v>328</v>
      </c>
      <c r="C2346" s="2" t="s">
        <v>165</v>
      </c>
      <c r="D2346" s="1">
        <v>1</v>
      </c>
      <c r="E2346" s="1">
        <v>7</v>
      </c>
      <c r="F2346" s="1">
        <v>7</v>
      </c>
      <c r="G2346" s="1">
        <v>11</v>
      </c>
      <c r="H2346" s="4">
        <v>0.91</v>
      </c>
      <c r="I2346" s="1">
        <v>7</v>
      </c>
      <c r="J2346" s="4">
        <v>0.43</v>
      </c>
      <c r="K2346" s="1">
        <v>0</v>
      </c>
      <c r="L2346" s="1">
        <v>3</v>
      </c>
      <c r="M2346" s="32">
        <f>IF(Mecze[[#This Row],[PR]]=0,0,Mecze[[#This Row],[PR]]/Mecze[[#This Row],[CZAS]])</f>
        <v>3.0927835051546393E-2</v>
      </c>
      <c r="N2346" s="32">
        <f>IF(Mecze[[#This Row],[OU]]=0,0,Mecze[[#This Row],[OU]]/Mecze[[#This Row],[CZAS]])</f>
        <v>3.0927835051546393E-2</v>
      </c>
      <c r="O2346" s="32">
        <f>IF(Mecze[[#This Row],[PC]]=0,0,Mecze[[#This Row],[PC]]/Mecze[[#This Row],[CZAS]])</f>
        <v>0.10309278350515463</v>
      </c>
      <c r="P2346" s="32">
        <f>IF(Mecze[[#This Row],[SC]]=0,0,Mecze[[#This Row],[SC]]/Mecze[[#This Row],[CZAS]])</f>
        <v>7.2164948453608241E-2</v>
      </c>
      <c r="Q2346" s="32">
        <f>IF(Mecze[[#This Row],[OB]]=0,0,Mecze[[#This Row],[OB]]/Mecze[[#This Row],[CZAS]])</f>
        <v>0</v>
      </c>
      <c r="R2346" s="32">
        <f>IF(Mecze[[#This Row],[BR]]=0,0,Mecze[[#This Row],[BR]]/Mecze[[#This Row],[CZAS]])</f>
        <v>1.0309278350515464E-2</v>
      </c>
      <c r="S2346" s="44">
        <f>IF(Mecze[[#This Row],[Role]]="BR",SUMPRODUCT(Mecze[[#This Row],[/PR:90]:[/BR:90]],Brudnopis!$E$23:$J$23),0)</f>
        <v>0</v>
      </c>
      <c r="T2346" s="44">
        <f>IF(Mecze[[#This Row],[Role]]&lt;&gt;"BR",SUMPRODUCT(Mecze[[#This Row],[/PR:90]:[/BR:90]],Brudnopis!$E$24:$J$24),0)</f>
        <v>0.26804123711340205</v>
      </c>
      <c r="U2346" s="44">
        <f>IF(Mecze[[#This Row],[Role]]&lt;&gt;"BR",SUMPRODUCT(Mecze[[#This Row],[/PR:90]:[/BR:90]],Brudnopis!$E$25:$J$25),0)</f>
        <v>0.30412371134020616</v>
      </c>
      <c r="V2346" s="44">
        <f>IF(Mecze[[#This Row],[Role]]&lt;&gt;"BR",SUMPRODUCT(Mecze[[#This Row],[/PR:90]:[/BR:90]],Brudnopis!$E$26:$J$26),0)</f>
        <v>0.25773195876288657</v>
      </c>
      <c r="W2346" s="44">
        <f>IF(Mecze[[#This Row],[Role]]&lt;&gt;"BR",SUMPRODUCT(Mecze[[#This Row],[/PR:90]:[/BR:90]],Brudnopis!$E$27:$J$27),0)</f>
        <v>0.29381443298969073</v>
      </c>
      <c r="X2346" s="44">
        <f>IF(Mecze[[#This Row],[Role]]&lt;&gt;"BR",SUMPRODUCT(Mecze[[#This Row],[/PR:90]:[/BR:90]],Brudnopis!$E$28:$J$28),0)</f>
        <v>0.27835051546391754</v>
      </c>
      <c r="Y2346" s="35">
        <f>IF(Mecze[[#This Row],[Role]]="BR",Mecze[[#This Row],[/OB:90]]+Mecze[[#This Row],[/PC:90]],SUM(Mecze[[#This Row],[/PR:90]:[/BR:90]]))</f>
        <v>0.24742268041237112</v>
      </c>
      <c r="Z2346" s="35">
        <f>IF(Mecze[[#This Row],[KC]]=0,SUM(Mecze[[#This Row],[/BRI]:[/NPI]]),SUM(Mecze[[#This Row],[/BRI]:[/NPI]])*0.6)</f>
        <v>1.402061855670103</v>
      </c>
      <c r="AA2346" s="10">
        <f>IFERROR(Mecze[[#This Row],[BR]]/Mecze[[#This Row],[ST]],0)</f>
        <v>0.14285714285714285</v>
      </c>
      <c r="AB2346">
        <f>ROUND(Mecze[[#This Row],[PD]]*Mecze[[#This Row],[%PC]],0)</f>
        <v>10</v>
      </c>
      <c r="AC2346">
        <f>ROUND(Mecze[[#This Row],[OD]]*Mecze[[#This Row],[%OU]],0)</f>
        <v>3</v>
      </c>
      <c r="AD2346" s="36" t="s">
        <v>46</v>
      </c>
      <c r="AE2346" s="36">
        <v>131</v>
      </c>
      <c r="AF2346" s="71">
        <v>10.02</v>
      </c>
      <c r="AG2346" s="37">
        <v>0</v>
      </c>
      <c r="AH2346" s="37">
        <v>0</v>
      </c>
      <c r="AI2346" s="37">
        <v>97</v>
      </c>
      <c r="AJ2346" s="37">
        <v>11</v>
      </c>
      <c r="AK2346" s="37" t="str">
        <f>VLOOKUP(Mecze[[#This Row],[Match ID]],Meczusie[Mecz]:Meczusie[RodzajMeczu],2,FALSE)</f>
        <v>Liga</v>
      </c>
    </row>
    <row r="2347" spans="1:37" x14ac:dyDescent="0.25">
      <c r="A2347" s="76">
        <v>11</v>
      </c>
      <c r="B2347" s="3" t="s">
        <v>329</v>
      </c>
      <c r="C2347" s="2" t="s">
        <v>165</v>
      </c>
      <c r="D2347" s="1">
        <v>0</v>
      </c>
      <c r="E2347" s="1">
        <v>2</v>
      </c>
      <c r="F2347" s="1">
        <v>2</v>
      </c>
      <c r="G2347" s="1">
        <v>11</v>
      </c>
      <c r="H2347" s="4">
        <v>0.64</v>
      </c>
      <c r="I2347" s="1">
        <v>3</v>
      </c>
      <c r="J2347" s="4">
        <v>0.67</v>
      </c>
      <c r="K2347" s="1">
        <v>0</v>
      </c>
      <c r="L2347" s="1">
        <v>0</v>
      </c>
      <c r="M2347" s="32">
        <f>IF(Mecze[[#This Row],[PR]]=0,0,Mecze[[#This Row],[PR]]/Mecze[[#This Row],[CZAS]])</f>
        <v>0</v>
      </c>
      <c r="N2347" s="32">
        <f>IF(Mecze[[#This Row],[OU]]=0,0,Mecze[[#This Row],[OU]]/Mecze[[#This Row],[CZAS]])</f>
        <v>2.0618556701030927E-2</v>
      </c>
      <c r="O2347" s="32">
        <f>IF(Mecze[[#This Row],[PC]]=0,0,Mecze[[#This Row],[PC]]/Mecze[[#This Row],[CZAS]])</f>
        <v>7.2164948453608241E-2</v>
      </c>
      <c r="P2347" s="32">
        <f>IF(Mecze[[#This Row],[SC]]=0,0,Mecze[[#This Row],[SC]]/Mecze[[#This Row],[CZAS]])</f>
        <v>2.0618556701030927E-2</v>
      </c>
      <c r="Q2347" s="32">
        <f>IF(Mecze[[#This Row],[OB]]=0,0,Mecze[[#This Row],[OB]]/Mecze[[#This Row],[CZAS]])</f>
        <v>0</v>
      </c>
      <c r="R2347" s="32">
        <f>IF(Mecze[[#This Row],[BR]]=0,0,Mecze[[#This Row],[BR]]/Mecze[[#This Row],[CZAS]])</f>
        <v>0</v>
      </c>
      <c r="S2347" s="44">
        <f>IF(Mecze[[#This Row],[Role]]="BR",SUMPRODUCT(Mecze[[#This Row],[/PR:90]:[/BR:90]],Brudnopis!$E$23:$J$23),0)</f>
        <v>0</v>
      </c>
      <c r="T2347" s="44">
        <f>IF(Mecze[[#This Row],[Role]]&lt;&gt;"BR",SUMPRODUCT(Mecze[[#This Row],[/PR:90]:[/BR:90]],Brudnopis!$E$24:$J$24),0)</f>
        <v>0.12371134020618556</v>
      </c>
      <c r="U2347" s="44">
        <f>IF(Mecze[[#This Row],[Role]]&lt;&gt;"BR",SUMPRODUCT(Mecze[[#This Row],[/PR:90]:[/BR:90]],Brudnopis!$E$25:$J$25),0)</f>
        <v>0.14948453608247422</v>
      </c>
      <c r="V2347" s="44">
        <f>IF(Mecze[[#This Row],[Role]]&lt;&gt;"BR",SUMPRODUCT(Mecze[[#This Row],[/PR:90]:[/BR:90]],Brudnopis!$E$26:$J$26),0)</f>
        <v>0.11340206185567009</v>
      </c>
      <c r="W2347" s="44">
        <f>IF(Mecze[[#This Row],[Role]]&lt;&gt;"BR",SUMPRODUCT(Mecze[[#This Row],[/PR:90]:[/BR:90]],Brudnopis!$E$27:$J$27),0)</f>
        <v>0.14432989690721648</v>
      </c>
      <c r="X2347" s="44">
        <f>IF(Mecze[[#This Row],[Role]]&lt;&gt;"BR",SUMPRODUCT(Mecze[[#This Row],[/PR:90]:[/BR:90]],Brudnopis!$E$28:$J$28),0)</f>
        <v>0.11340206185567009</v>
      </c>
      <c r="Y2347" s="35">
        <f>IF(Mecze[[#This Row],[Role]]="BR",Mecze[[#This Row],[/OB:90]]+Mecze[[#This Row],[/PC:90]],SUM(Mecze[[#This Row],[/PR:90]:[/BR:90]]))</f>
        <v>0.11340206185567009</v>
      </c>
      <c r="Z2347" s="35">
        <f>IF(Mecze[[#This Row],[KC]]=0,SUM(Mecze[[#This Row],[/BRI]:[/NPI]]),SUM(Mecze[[#This Row],[/BRI]:[/NPI]])*0.6)</f>
        <v>0.64432989690721643</v>
      </c>
      <c r="AA2347" s="10">
        <f>IFERROR(Mecze[[#This Row],[BR]]/Mecze[[#This Row],[ST]],0)</f>
        <v>0</v>
      </c>
      <c r="AB2347">
        <f>ROUND(Mecze[[#This Row],[PD]]*Mecze[[#This Row],[%PC]],0)</f>
        <v>7</v>
      </c>
      <c r="AC2347">
        <f>ROUND(Mecze[[#This Row],[OD]]*Mecze[[#This Row],[%OU]],0)</f>
        <v>2</v>
      </c>
      <c r="AD2347" s="36" t="s">
        <v>273</v>
      </c>
      <c r="AE2347" s="36">
        <v>131</v>
      </c>
      <c r="AF2347" s="71">
        <v>5.7</v>
      </c>
      <c r="AG2347" s="37">
        <v>0</v>
      </c>
      <c r="AH2347" s="37">
        <v>0</v>
      </c>
      <c r="AI2347" s="37">
        <v>97</v>
      </c>
      <c r="AJ2347" s="37">
        <v>11</v>
      </c>
      <c r="AK2347" s="37" t="str">
        <f>VLOOKUP(Mecze[[#This Row],[Match ID]],Meczusie[Mecz]:Meczusie[RodzajMeczu],2,FALSE)</f>
        <v>Liga</v>
      </c>
    </row>
    <row r="2348" spans="1:37" x14ac:dyDescent="0.25">
      <c r="A2348" s="76">
        <v>14</v>
      </c>
      <c r="B2348" s="3" t="s">
        <v>330</v>
      </c>
      <c r="C2348" s="2" t="s">
        <v>165</v>
      </c>
      <c r="D2348" s="1">
        <v>0</v>
      </c>
      <c r="E2348" s="1">
        <v>2</v>
      </c>
      <c r="F2348" s="1">
        <v>1</v>
      </c>
      <c r="G2348" s="1">
        <v>5</v>
      </c>
      <c r="H2348" s="4">
        <v>0.8</v>
      </c>
      <c r="I2348" s="1">
        <v>2</v>
      </c>
      <c r="J2348" s="4">
        <v>0</v>
      </c>
      <c r="K2348" s="1">
        <v>0</v>
      </c>
      <c r="L2348" s="1">
        <v>0</v>
      </c>
      <c r="M2348" s="32">
        <f>IF(Mecze[[#This Row],[PR]]=0,0,Mecze[[#This Row],[PR]]/Mecze[[#This Row],[CZAS]])</f>
        <v>0</v>
      </c>
      <c r="N2348" s="32">
        <f>IF(Mecze[[#This Row],[OU]]=0,0,Mecze[[#This Row],[OU]]/Mecze[[#This Row],[CZAS]])</f>
        <v>0</v>
      </c>
      <c r="O2348" s="32">
        <f>IF(Mecze[[#This Row],[PC]]=0,0,Mecze[[#This Row],[PC]]/Mecze[[#This Row],[CZAS]])</f>
        <v>4.1237113402061855E-2</v>
      </c>
      <c r="P2348" s="32">
        <f>IF(Mecze[[#This Row],[SC]]=0,0,Mecze[[#This Row],[SC]]/Mecze[[#This Row],[CZAS]])</f>
        <v>1.0309278350515464E-2</v>
      </c>
      <c r="Q2348" s="32">
        <f>IF(Mecze[[#This Row],[OB]]=0,0,Mecze[[#This Row],[OB]]/Mecze[[#This Row],[CZAS]])</f>
        <v>0</v>
      </c>
      <c r="R2348" s="32">
        <f>IF(Mecze[[#This Row],[BR]]=0,0,Mecze[[#This Row],[BR]]/Mecze[[#This Row],[CZAS]])</f>
        <v>0</v>
      </c>
      <c r="S2348" s="44">
        <f>IF(Mecze[[#This Row],[Role]]="BR",SUMPRODUCT(Mecze[[#This Row],[/PR:90]:[/BR:90]],Brudnopis!$E$23:$J$23),0)</f>
        <v>0</v>
      </c>
      <c r="T2348" s="44">
        <f>IF(Mecze[[#This Row],[Role]]&lt;&gt;"BR",SUMPRODUCT(Mecze[[#This Row],[/PR:90]:[/BR:90]],Brudnopis!$E$24:$J$24),0)</f>
        <v>5.1546391752577317E-2</v>
      </c>
      <c r="U2348" s="44">
        <f>IF(Mecze[[#This Row],[Role]]&lt;&gt;"BR",SUMPRODUCT(Mecze[[#This Row],[/PR:90]:[/BR:90]],Brudnopis!$E$25:$J$25),0)</f>
        <v>7.2164948453608255E-2</v>
      </c>
      <c r="V2348" s="44">
        <f>IF(Mecze[[#This Row],[Role]]&lt;&gt;"BR",SUMPRODUCT(Mecze[[#This Row],[/PR:90]:[/BR:90]],Brudnopis!$E$26:$J$26),0)</f>
        <v>5.1546391752577317E-2</v>
      </c>
      <c r="W2348" s="44">
        <f>IF(Mecze[[#This Row],[Role]]&lt;&gt;"BR",SUMPRODUCT(Mecze[[#This Row],[/PR:90]:[/BR:90]],Brudnopis!$E$27:$J$27),0)</f>
        <v>7.2164948453608255E-2</v>
      </c>
      <c r="X2348" s="44">
        <f>IF(Mecze[[#This Row],[Role]]&lt;&gt;"BR",SUMPRODUCT(Mecze[[#This Row],[/PR:90]:[/BR:90]],Brudnopis!$E$28:$J$28),0)</f>
        <v>6.1855670103092786E-2</v>
      </c>
      <c r="Y2348" s="35">
        <f>IF(Mecze[[#This Row],[Role]]="BR",Mecze[[#This Row],[/OB:90]]+Mecze[[#This Row],[/PC:90]],SUM(Mecze[[#This Row],[/PR:90]:[/BR:90]]))</f>
        <v>5.1546391752577317E-2</v>
      </c>
      <c r="Z2348" s="35">
        <f>IF(Mecze[[#This Row],[KC]]=0,SUM(Mecze[[#This Row],[/BRI]:[/NPI]]),SUM(Mecze[[#This Row],[/BRI]:[/NPI]])*0.6)</f>
        <v>0.30927835051546393</v>
      </c>
      <c r="AA2348" s="10">
        <f>IFERROR(Mecze[[#This Row],[BR]]/Mecze[[#This Row],[ST]],0)</f>
        <v>0</v>
      </c>
      <c r="AB2348">
        <f>ROUND(Mecze[[#This Row],[PD]]*Mecze[[#This Row],[%PC]],0)</f>
        <v>4</v>
      </c>
      <c r="AC2348">
        <f>ROUND(Mecze[[#This Row],[OD]]*Mecze[[#This Row],[%OU]],0)</f>
        <v>0</v>
      </c>
      <c r="AD2348" s="36" t="s">
        <v>272</v>
      </c>
      <c r="AE2348" s="36">
        <v>131</v>
      </c>
      <c r="AF2348" s="71">
        <v>6.4</v>
      </c>
      <c r="AG2348" s="37">
        <v>0</v>
      </c>
      <c r="AH2348" s="37">
        <v>0</v>
      </c>
      <c r="AI2348" s="37">
        <v>97</v>
      </c>
      <c r="AJ2348" s="37">
        <v>11</v>
      </c>
      <c r="AK2348" s="37" t="str">
        <f>VLOOKUP(Mecze[[#This Row],[Match ID]],Meczusie[Mecz]:Meczusie[RodzajMeczu],2,FALSE)</f>
        <v>Liga</v>
      </c>
    </row>
    <row r="2349" spans="1:37" x14ac:dyDescent="0.25">
      <c r="A2349" s="76">
        <v>13</v>
      </c>
      <c r="B2349" s="3" t="s">
        <v>453</v>
      </c>
      <c r="C2349" s="2" t="s">
        <v>157</v>
      </c>
      <c r="D2349" s="1">
        <v>0</v>
      </c>
      <c r="E2349" s="1">
        <v>0</v>
      </c>
      <c r="F2349" s="1">
        <v>0</v>
      </c>
      <c r="G2349" s="1">
        <v>0</v>
      </c>
      <c r="H2349" s="72"/>
      <c r="I2349" s="1">
        <v>0</v>
      </c>
      <c r="J2349" s="4"/>
      <c r="K2349" s="1">
        <v>0</v>
      </c>
      <c r="L2349" s="1">
        <v>0</v>
      </c>
      <c r="M2349" s="32">
        <f>IF(Mecze[[#This Row],[PR]]=0,0,Mecze[[#This Row],[PR]]/Mecze[[#This Row],[CZAS]])</f>
        <v>0</v>
      </c>
      <c r="N2349" s="32">
        <f>IF(Mecze[[#This Row],[OU]]=0,0,Mecze[[#This Row],[OU]]/Mecze[[#This Row],[CZAS]])</f>
        <v>0</v>
      </c>
      <c r="O2349" s="32">
        <f>IF(Mecze[[#This Row],[PC]]=0,0,Mecze[[#This Row],[PC]]/Mecze[[#This Row],[CZAS]])</f>
        <v>0</v>
      </c>
      <c r="P2349" s="32">
        <f>IF(Mecze[[#This Row],[SC]]=0,0,Mecze[[#This Row],[SC]]/Mecze[[#This Row],[CZAS]])</f>
        <v>0</v>
      </c>
      <c r="Q2349" s="32">
        <f>IF(Mecze[[#This Row],[OB]]=0,0,Mecze[[#This Row],[OB]]/Mecze[[#This Row],[CZAS]])</f>
        <v>0</v>
      </c>
      <c r="R2349" s="32">
        <f>IF(Mecze[[#This Row],[BR]]=0,0,Mecze[[#This Row],[BR]]/Mecze[[#This Row],[CZAS]])</f>
        <v>0</v>
      </c>
      <c r="S2349" s="44">
        <f>IF(Mecze[[#This Row],[Role]]="BR",SUMPRODUCT(Mecze[[#This Row],[/PR:90]:[/BR:90]],Brudnopis!$E$23:$J$23),0)</f>
        <v>0</v>
      </c>
      <c r="T2349" s="44">
        <f>IF(Mecze[[#This Row],[Role]]&lt;&gt;"BR",SUMPRODUCT(Mecze[[#This Row],[/PR:90]:[/BR:90]],Brudnopis!$E$24:$J$24),0)</f>
        <v>0</v>
      </c>
      <c r="U2349" s="44">
        <f>IF(Mecze[[#This Row],[Role]]&lt;&gt;"BR",SUMPRODUCT(Mecze[[#This Row],[/PR:90]:[/BR:90]],Brudnopis!$E$25:$J$25),0)</f>
        <v>0</v>
      </c>
      <c r="V2349" s="44">
        <f>IF(Mecze[[#This Row],[Role]]&lt;&gt;"BR",SUMPRODUCT(Mecze[[#This Row],[/PR:90]:[/BR:90]],Brudnopis!$E$26:$J$26),0)</f>
        <v>0</v>
      </c>
      <c r="W2349" s="44">
        <f>IF(Mecze[[#This Row],[Role]]&lt;&gt;"BR",SUMPRODUCT(Mecze[[#This Row],[/PR:90]:[/BR:90]],Brudnopis!$E$27:$J$27),0)</f>
        <v>0</v>
      </c>
      <c r="X2349" s="44">
        <f>IF(Mecze[[#This Row],[Role]]&lt;&gt;"BR",SUMPRODUCT(Mecze[[#This Row],[/PR:90]:[/BR:90]],Brudnopis!$E$28:$J$28),0)</f>
        <v>0</v>
      </c>
      <c r="Y2349" s="35">
        <f>IF(Mecze[[#This Row],[Role]]="BR",Mecze[[#This Row],[/OB:90]]+Mecze[[#This Row],[/PC:90]],SUM(Mecze[[#This Row],[/PR:90]:[/BR:90]]))</f>
        <v>0</v>
      </c>
      <c r="Z2349" s="35">
        <f>IF(Mecze[[#This Row],[KC]]=0,SUM(Mecze[[#This Row],[/BRI]:[/NPI]]),SUM(Mecze[[#This Row],[/BRI]:[/NPI]])*0.6)</f>
        <v>0</v>
      </c>
      <c r="AA2349" s="10">
        <f>IFERROR(Mecze[[#This Row],[BR]]/Mecze[[#This Row],[ST]],0)</f>
        <v>0</v>
      </c>
      <c r="AB2349">
        <f>ROUND(Mecze[[#This Row],[PD]]*Mecze[[#This Row],[%PC]],0)</f>
        <v>0</v>
      </c>
      <c r="AC2349">
        <f>ROUND(Mecze[[#This Row],[OD]]*Mecze[[#This Row],[%OU]],0)</f>
        <v>0</v>
      </c>
      <c r="AD2349" s="36" t="s">
        <v>174</v>
      </c>
      <c r="AE2349" s="36">
        <v>131</v>
      </c>
      <c r="AF2349" s="71">
        <v>4.84</v>
      </c>
      <c r="AG2349" s="37">
        <v>0</v>
      </c>
      <c r="AH2349" s="37">
        <v>0</v>
      </c>
      <c r="AI2349" s="37">
        <v>1</v>
      </c>
      <c r="AJ2349" s="37">
        <v>11</v>
      </c>
      <c r="AK2349" s="37" t="str">
        <f>VLOOKUP(Mecze[[#This Row],[Match ID]],Meczusie[Mecz]:Meczusie[RodzajMeczu],2,FALSE)</f>
        <v>Liga</v>
      </c>
    </row>
    <row r="2350" spans="1:37" x14ac:dyDescent="0.25">
      <c r="A2350" s="76">
        <v>1</v>
      </c>
      <c r="B2350" s="3" t="s">
        <v>169</v>
      </c>
      <c r="C2350" s="2" t="s">
        <v>155</v>
      </c>
      <c r="D2350" s="1">
        <v>0</v>
      </c>
      <c r="E2350" s="1">
        <v>0</v>
      </c>
      <c r="F2350" s="1">
        <v>0</v>
      </c>
      <c r="G2350" s="1">
        <v>11</v>
      </c>
      <c r="H2350" s="4">
        <v>0.45</v>
      </c>
      <c r="I2350" s="1">
        <v>0</v>
      </c>
      <c r="J2350" s="4"/>
      <c r="K2350" s="1">
        <v>12</v>
      </c>
      <c r="L2350" s="1">
        <v>0</v>
      </c>
      <c r="M2350" s="32">
        <f>IF(Mecze[[#This Row],[PR]]=0,0,Mecze[[#This Row],[PR]]/Mecze[[#This Row],[CZAS]])</f>
        <v>0</v>
      </c>
      <c r="N2350" s="32">
        <f>IF(Mecze[[#This Row],[OU]]=0,0,Mecze[[#This Row],[OU]]/Mecze[[#This Row],[CZAS]])</f>
        <v>0</v>
      </c>
      <c r="O2350" s="32">
        <f>IF(Mecze[[#This Row],[PC]]=0,0,Mecze[[#This Row],[PC]]/Mecze[[#This Row],[CZAS]])</f>
        <v>5.1546391752577317E-2</v>
      </c>
      <c r="P2350" s="32">
        <f>IF(Mecze[[#This Row],[SC]]=0,0,Mecze[[#This Row],[SC]]/Mecze[[#This Row],[CZAS]])</f>
        <v>0</v>
      </c>
      <c r="Q2350" s="32">
        <f>IF(Mecze[[#This Row],[OB]]=0,0,Mecze[[#This Row],[OB]]/Mecze[[#This Row],[CZAS]])</f>
        <v>0.12371134020618557</v>
      </c>
      <c r="R2350" s="32">
        <f>IF(Mecze[[#This Row],[BR]]=0,0,Mecze[[#This Row],[BR]]/Mecze[[#This Row],[CZAS]])</f>
        <v>0</v>
      </c>
      <c r="S2350" s="44">
        <f>IF(Mecze[[#This Row],[Role]]="BR",SUMPRODUCT(Mecze[[#This Row],[/PR:90]:[/BR:90]],Brudnopis!$E$23:$J$23),0)</f>
        <v>0.52577319587628868</v>
      </c>
      <c r="T2350" s="44">
        <f>IF(Mecze[[#This Row],[Role]]&lt;&gt;"BR",SUMPRODUCT(Mecze[[#This Row],[/PR:90]:[/BR:90]],Brudnopis!$E$24:$J$24),0)</f>
        <v>0</v>
      </c>
      <c r="U2350" s="44">
        <f>IF(Mecze[[#This Row],[Role]]&lt;&gt;"BR",SUMPRODUCT(Mecze[[#This Row],[/PR:90]:[/BR:90]],Brudnopis!$E$25:$J$25),0)</f>
        <v>0</v>
      </c>
      <c r="V2350" s="44">
        <f>IF(Mecze[[#This Row],[Role]]&lt;&gt;"BR",SUMPRODUCT(Mecze[[#This Row],[/PR:90]:[/BR:90]],Brudnopis!$E$26:$J$26),0)</f>
        <v>0</v>
      </c>
      <c r="W2350" s="44">
        <f>IF(Mecze[[#This Row],[Role]]&lt;&gt;"BR",SUMPRODUCT(Mecze[[#This Row],[/PR:90]:[/BR:90]],Brudnopis!$E$27:$J$27),0)</f>
        <v>0</v>
      </c>
      <c r="X2350" s="44">
        <f>IF(Mecze[[#This Row],[Role]]&lt;&gt;"BR",SUMPRODUCT(Mecze[[#This Row],[/PR:90]:[/BR:90]],Brudnopis!$E$28:$J$28),0)</f>
        <v>0</v>
      </c>
      <c r="Y2350" s="35">
        <f>IF(Mecze[[#This Row],[Role]]="BR",Mecze[[#This Row],[/OB:90]]+Mecze[[#This Row],[/PC:90]],SUM(Mecze[[#This Row],[/PR:90]:[/BR:90]]))</f>
        <v>0.17525773195876287</v>
      </c>
      <c r="Z2350" s="35">
        <f>IF(Mecze[[#This Row],[KC]]=0,SUM(Mecze[[#This Row],[/BRI]:[/NPI]]),SUM(Mecze[[#This Row],[/BRI]:[/NPI]])*0.6)</f>
        <v>0.52577319587628868</v>
      </c>
      <c r="AA2350" s="10">
        <f>IFERROR(Mecze[[#This Row],[BR]]/Mecze[[#This Row],[ST]],0)</f>
        <v>0</v>
      </c>
      <c r="AB2350">
        <f>ROUND(Mecze[[#This Row],[PD]]*Mecze[[#This Row],[%PC]],0)</f>
        <v>5</v>
      </c>
      <c r="AC2350">
        <f>ROUND(Mecze[[#This Row],[OD]]*Mecze[[#This Row],[%OU]],0)</f>
        <v>0</v>
      </c>
      <c r="AD2350" s="36" t="s">
        <v>40</v>
      </c>
      <c r="AE2350" s="36">
        <v>131</v>
      </c>
      <c r="AF2350" s="71">
        <v>5.79</v>
      </c>
      <c r="AG2350" s="37">
        <v>0</v>
      </c>
      <c r="AH2350" s="37">
        <v>0</v>
      </c>
      <c r="AI2350" s="37">
        <v>97</v>
      </c>
      <c r="AJ2350" s="37">
        <v>1</v>
      </c>
      <c r="AK2350" s="37" t="str">
        <f>VLOOKUP(Mecze[[#This Row],[Match ID]],Meczusie[Mecz]:Meczusie[RodzajMeczu],2,FALSE)</f>
        <v>Liga</v>
      </c>
    </row>
    <row r="2351" spans="1:37" x14ac:dyDescent="0.25">
      <c r="A2351" s="76">
        <v>5</v>
      </c>
      <c r="B2351" s="3" t="s">
        <v>161</v>
      </c>
      <c r="C2351" s="2" t="s">
        <v>157</v>
      </c>
      <c r="D2351" s="1">
        <v>0</v>
      </c>
      <c r="E2351" s="1">
        <v>0</v>
      </c>
      <c r="F2351" s="1">
        <v>0</v>
      </c>
      <c r="G2351" s="1">
        <v>15</v>
      </c>
      <c r="H2351" s="4">
        <v>0.53</v>
      </c>
      <c r="I2351" s="1">
        <v>13</v>
      </c>
      <c r="J2351" s="4">
        <v>0.85</v>
      </c>
      <c r="K2351" s="1">
        <v>0</v>
      </c>
      <c r="L2351" s="1">
        <v>4</v>
      </c>
      <c r="M2351" s="32">
        <f>IF(Mecze[[#This Row],[PR]]=0,0,Mecze[[#This Row],[PR]]/Mecze[[#This Row],[CZAS]])</f>
        <v>4.1237113402061855E-2</v>
      </c>
      <c r="N2351" s="32">
        <f>IF(Mecze[[#This Row],[OU]]=0,0,Mecze[[#This Row],[OU]]/Mecze[[#This Row],[CZAS]])</f>
        <v>0.1134020618556701</v>
      </c>
      <c r="O2351" s="32">
        <f>IF(Mecze[[#This Row],[PC]]=0,0,Mecze[[#This Row],[PC]]/Mecze[[#This Row],[CZAS]])</f>
        <v>8.247422680412371E-2</v>
      </c>
      <c r="P2351" s="32">
        <f>IF(Mecze[[#This Row],[SC]]=0,0,Mecze[[#This Row],[SC]]/Mecze[[#This Row],[CZAS]])</f>
        <v>0</v>
      </c>
      <c r="Q2351" s="32">
        <f>IF(Mecze[[#This Row],[OB]]=0,0,Mecze[[#This Row],[OB]]/Mecze[[#This Row],[CZAS]])</f>
        <v>0</v>
      </c>
      <c r="R2351" s="32">
        <f>IF(Mecze[[#This Row],[BR]]=0,0,Mecze[[#This Row],[BR]]/Mecze[[#This Row],[CZAS]])</f>
        <v>0</v>
      </c>
      <c r="S2351" s="44">
        <f>IF(Mecze[[#This Row],[Role]]="BR",SUMPRODUCT(Mecze[[#This Row],[/PR:90]:[/BR:90]],Brudnopis!$E$23:$J$23),0)</f>
        <v>0</v>
      </c>
      <c r="T2351" s="44">
        <f>IF(Mecze[[#This Row],[Role]]&lt;&gt;"BR",SUMPRODUCT(Mecze[[#This Row],[/PR:90]:[/BR:90]],Brudnopis!$E$24:$J$24),0)</f>
        <v>0.29381443298969073</v>
      </c>
      <c r="U2351" s="44">
        <f>IF(Mecze[[#This Row],[Role]]&lt;&gt;"BR",SUMPRODUCT(Mecze[[#This Row],[/PR:90]:[/BR:90]],Brudnopis!$E$25:$J$25),0)</f>
        <v>0.27835051546391754</v>
      </c>
      <c r="V2351" s="44">
        <f>IF(Mecze[[#This Row],[Role]]&lt;&gt;"BR",SUMPRODUCT(Mecze[[#This Row],[/PR:90]:[/BR:90]],Brudnopis!$E$26:$J$26),0)</f>
        <v>0.23711340206185566</v>
      </c>
      <c r="W2351" s="44">
        <f>IF(Mecze[[#This Row],[Role]]&lt;&gt;"BR",SUMPRODUCT(Mecze[[#This Row],[/PR:90]:[/BR:90]],Brudnopis!$E$27:$J$27),0)</f>
        <v>0.23969072164948454</v>
      </c>
      <c r="X2351" s="44">
        <f>IF(Mecze[[#This Row],[Role]]&lt;&gt;"BR",SUMPRODUCT(Mecze[[#This Row],[/PR:90]:[/BR:90]],Brudnopis!$E$28:$J$28),0)</f>
        <v>8.247422680412371E-2</v>
      </c>
      <c r="Y2351" s="35">
        <f>IF(Mecze[[#This Row],[Role]]="BR",Mecze[[#This Row],[/OB:90]]+Mecze[[#This Row],[/PC:90]],SUM(Mecze[[#This Row],[/PR:90]:[/BR:90]]))</f>
        <v>0.23711340206185566</v>
      </c>
      <c r="Z2351" s="35">
        <f>IF(Mecze[[#This Row],[KC]]=0,SUM(Mecze[[#This Row],[/BRI]:[/NPI]]),SUM(Mecze[[#This Row],[/BRI]:[/NPI]])*0.6)</f>
        <v>1.1314432989690721</v>
      </c>
      <c r="AA2351" s="10">
        <f>IFERROR(Mecze[[#This Row],[BR]]/Mecze[[#This Row],[ST]],0)</f>
        <v>0</v>
      </c>
      <c r="AB2351">
        <f>ROUND(Mecze[[#This Row],[PD]]*Mecze[[#This Row],[%PC]],0)</f>
        <v>8</v>
      </c>
      <c r="AC2351">
        <f>ROUND(Mecze[[#This Row],[OD]]*Mecze[[#This Row],[%OU]],0)</f>
        <v>11</v>
      </c>
      <c r="AD2351" s="36" t="s">
        <v>47</v>
      </c>
      <c r="AE2351" s="36">
        <v>131</v>
      </c>
      <c r="AF2351" s="71">
        <v>4.75</v>
      </c>
      <c r="AG2351" s="37">
        <v>0</v>
      </c>
      <c r="AH2351" s="37">
        <v>0</v>
      </c>
      <c r="AI2351" s="37">
        <v>97</v>
      </c>
      <c r="AJ2351" s="37">
        <v>1</v>
      </c>
      <c r="AK2351" s="37" t="str">
        <f>VLOOKUP(Mecze[[#This Row],[Match ID]],Meczusie[Mecz]:Meczusie[RodzajMeczu],2,FALSE)</f>
        <v>Liga</v>
      </c>
    </row>
    <row r="2352" spans="1:37" x14ac:dyDescent="0.25">
      <c r="A2352" s="76">
        <v>3</v>
      </c>
      <c r="B2352" s="3" t="s">
        <v>158</v>
      </c>
      <c r="C2352" s="2" t="s">
        <v>157</v>
      </c>
      <c r="D2352" s="1">
        <v>0</v>
      </c>
      <c r="E2352" s="1">
        <v>0</v>
      </c>
      <c r="F2352" s="1">
        <v>0</v>
      </c>
      <c r="G2352" s="1">
        <v>6</v>
      </c>
      <c r="H2352" s="4">
        <v>0.33</v>
      </c>
      <c r="I2352" s="1">
        <v>6</v>
      </c>
      <c r="J2352" s="4">
        <v>0.67</v>
      </c>
      <c r="K2352" s="1">
        <v>0</v>
      </c>
      <c r="L2352" s="1">
        <v>2</v>
      </c>
      <c r="M2352" s="32">
        <f>IF(Mecze[[#This Row],[PR]]=0,0,Mecze[[#This Row],[PR]]/Mecze[[#This Row],[CZAS]])</f>
        <v>2.0618556701030927E-2</v>
      </c>
      <c r="N2352" s="32">
        <f>IF(Mecze[[#This Row],[OU]]=0,0,Mecze[[#This Row],[OU]]/Mecze[[#This Row],[CZAS]])</f>
        <v>4.1237113402061855E-2</v>
      </c>
      <c r="O2352" s="32">
        <f>IF(Mecze[[#This Row],[PC]]=0,0,Mecze[[#This Row],[PC]]/Mecze[[#This Row],[CZAS]])</f>
        <v>2.0618556701030927E-2</v>
      </c>
      <c r="P2352" s="32">
        <f>IF(Mecze[[#This Row],[SC]]=0,0,Mecze[[#This Row],[SC]]/Mecze[[#This Row],[CZAS]])</f>
        <v>0</v>
      </c>
      <c r="Q2352" s="32">
        <f>IF(Mecze[[#This Row],[OB]]=0,0,Mecze[[#This Row],[OB]]/Mecze[[#This Row],[CZAS]])</f>
        <v>0</v>
      </c>
      <c r="R2352" s="32">
        <f>IF(Mecze[[#This Row],[BR]]=0,0,Mecze[[#This Row],[BR]]/Mecze[[#This Row],[CZAS]])</f>
        <v>0</v>
      </c>
      <c r="S2352" s="44">
        <f>IF(Mecze[[#This Row],[Role]]="BR",SUMPRODUCT(Mecze[[#This Row],[/PR:90]:[/BR:90]],Brudnopis!$E$23:$J$23),0)</f>
        <v>0</v>
      </c>
      <c r="T2352" s="44">
        <f>IF(Mecze[[#This Row],[Role]]&lt;&gt;"BR",SUMPRODUCT(Mecze[[#This Row],[/PR:90]:[/BR:90]],Brudnopis!$E$24:$J$24),0)</f>
        <v>0.10309278350515463</v>
      </c>
      <c r="U2352" s="44">
        <f>IF(Mecze[[#This Row],[Role]]&lt;&gt;"BR",SUMPRODUCT(Mecze[[#This Row],[/PR:90]:[/BR:90]],Brudnopis!$E$25:$J$25),0)</f>
        <v>9.2783505154639179E-2</v>
      </c>
      <c r="V2352" s="44">
        <f>IF(Mecze[[#This Row],[Role]]&lt;&gt;"BR",SUMPRODUCT(Mecze[[#This Row],[/PR:90]:[/BR:90]],Brudnopis!$E$26:$J$26),0)</f>
        <v>8.247422680412371E-2</v>
      </c>
      <c r="W2352" s="44">
        <f>IF(Mecze[[#This Row],[Role]]&lt;&gt;"BR",SUMPRODUCT(Mecze[[#This Row],[/PR:90]:[/BR:90]],Brudnopis!$E$27:$J$27),0)</f>
        <v>7.7319587628865982E-2</v>
      </c>
      <c r="X2352" s="44">
        <f>IF(Mecze[[#This Row],[Role]]&lt;&gt;"BR",SUMPRODUCT(Mecze[[#This Row],[/PR:90]:[/BR:90]],Brudnopis!$E$28:$J$28),0)</f>
        <v>2.0618556701030927E-2</v>
      </c>
      <c r="Y2352" s="35">
        <f>IF(Mecze[[#This Row],[Role]]="BR",Mecze[[#This Row],[/OB:90]]+Mecze[[#This Row],[/PC:90]],SUM(Mecze[[#This Row],[/PR:90]:[/BR:90]]))</f>
        <v>8.247422680412371E-2</v>
      </c>
      <c r="Z2352" s="35">
        <f>IF(Mecze[[#This Row],[KC]]=0,SUM(Mecze[[#This Row],[/BRI]:[/NPI]]),SUM(Mecze[[#This Row],[/BRI]:[/NPI]])*0.6)</f>
        <v>0.37628865979381443</v>
      </c>
      <c r="AA2352" s="10">
        <f>IFERROR(Mecze[[#This Row],[BR]]/Mecze[[#This Row],[ST]],0)</f>
        <v>0</v>
      </c>
      <c r="AB2352">
        <f>ROUND(Mecze[[#This Row],[PD]]*Mecze[[#This Row],[%PC]],0)</f>
        <v>2</v>
      </c>
      <c r="AC2352">
        <f>ROUND(Mecze[[#This Row],[OD]]*Mecze[[#This Row],[%OU]],0)</f>
        <v>4</v>
      </c>
      <c r="AD2352" s="36" t="s">
        <v>168</v>
      </c>
      <c r="AE2352" s="36">
        <v>131</v>
      </c>
      <c r="AF2352" s="71">
        <v>3.13</v>
      </c>
      <c r="AG2352" s="37">
        <v>0</v>
      </c>
      <c r="AH2352" s="37">
        <v>0</v>
      </c>
      <c r="AI2352" s="37">
        <v>97</v>
      </c>
      <c r="AJ2352" s="37">
        <v>1</v>
      </c>
      <c r="AK2352" s="37" t="str">
        <f>VLOOKUP(Mecze[[#This Row],[Match ID]],Meczusie[Mecz]:Meczusie[RodzajMeczu],2,FALSE)</f>
        <v>Liga</v>
      </c>
    </row>
    <row r="2353" spans="1:37" x14ac:dyDescent="0.25">
      <c r="A2353" s="76">
        <v>18</v>
      </c>
      <c r="B2353" s="3" t="s">
        <v>211</v>
      </c>
      <c r="C2353" s="2" t="s">
        <v>157</v>
      </c>
      <c r="D2353" s="1">
        <v>0</v>
      </c>
      <c r="E2353" s="1">
        <v>0</v>
      </c>
      <c r="F2353" s="1">
        <v>0</v>
      </c>
      <c r="G2353" s="1">
        <v>0</v>
      </c>
      <c r="H2353" s="72"/>
      <c r="I2353" s="1">
        <v>2</v>
      </c>
      <c r="J2353" s="4">
        <v>0.5</v>
      </c>
      <c r="K2353" s="1">
        <v>0</v>
      </c>
      <c r="L2353" s="1">
        <v>0</v>
      </c>
      <c r="M2353" s="32">
        <f>IF(Mecze[[#This Row],[PR]]=0,0,Mecze[[#This Row],[PR]]/Mecze[[#This Row],[CZAS]])</f>
        <v>0</v>
      </c>
      <c r="N2353" s="32">
        <f>IF(Mecze[[#This Row],[OU]]=0,0,Mecze[[#This Row],[OU]]/Mecze[[#This Row],[CZAS]])</f>
        <v>7.6923076923076927E-2</v>
      </c>
      <c r="O2353" s="32">
        <f>IF(Mecze[[#This Row],[PC]]=0,0,Mecze[[#This Row],[PC]]/Mecze[[#This Row],[CZAS]])</f>
        <v>0</v>
      </c>
      <c r="P2353" s="32">
        <f>IF(Mecze[[#This Row],[SC]]=0,0,Mecze[[#This Row],[SC]]/Mecze[[#This Row],[CZAS]])</f>
        <v>0</v>
      </c>
      <c r="Q2353" s="32">
        <f>IF(Mecze[[#This Row],[OB]]=0,0,Mecze[[#This Row],[OB]]/Mecze[[#This Row],[CZAS]])</f>
        <v>0</v>
      </c>
      <c r="R2353" s="32">
        <f>IF(Mecze[[#This Row],[BR]]=0,0,Mecze[[#This Row],[BR]]/Mecze[[#This Row],[CZAS]])</f>
        <v>0</v>
      </c>
      <c r="S2353" s="44">
        <f>IF(Mecze[[#This Row],[Role]]="BR",SUMPRODUCT(Mecze[[#This Row],[/PR:90]:[/BR:90]],Brudnopis!$E$23:$J$23),0)</f>
        <v>0</v>
      </c>
      <c r="T2353" s="44">
        <f>IF(Mecze[[#This Row],[Role]]&lt;&gt;"BR",SUMPRODUCT(Mecze[[#This Row],[/PR:90]:[/BR:90]],Brudnopis!$E$24:$J$24),0)</f>
        <v>0.11538461538461539</v>
      </c>
      <c r="U2353" s="44">
        <f>IF(Mecze[[#This Row],[Role]]&lt;&gt;"BR",SUMPRODUCT(Mecze[[#This Row],[/PR:90]:[/BR:90]],Brudnopis!$E$25:$J$25),0)</f>
        <v>7.6923076923076927E-2</v>
      </c>
      <c r="V2353" s="44">
        <f>IF(Mecze[[#This Row],[Role]]&lt;&gt;"BR",SUMPRODUCT(Mecze[[#This Row],[/PR:90]:[/BR:90]],Brudnopis!$E$26:$J$26),0)</f>
        <v>7.6923076923076927E-2</v>
      </c>
      <c r="W2353" s="44">
        <f>IF(Mecze[[#This Row],[Role]]&lt;&gt;"BR",SUMPRODUCT(Mecze[[#This Row],[/PR:90]:[/BR:90]],Brudnopis!$E$27:$J$27),0)</f>
        <v>5.7692307692307696E-2</v>
      </c>
      <c r="X2353" s="44">
        <f>IF(Mecze[[#This Row],[Role]]&lt;&gt;"BR",SUMPRODUCT(Mecze[[#This Row],[/PR:90]:[/BR:90]],Brudnopis!$E$28:$J$28),0)</f>
        <v>0</v>
      </c>
      <c r="Y2353" s="35">
        <f>IF(Mecze[[#This Row],[Role]]="BR",Mecze[[#This Row],[/OB:90]]+Mecze[[#This Row],[/PC:90]],SUM(Mecze[[#This Row],[/PR:90]:[/BR:90]]))</f>
        <v>7.6923076923076927E-2</v>
      </c>
      <c r="Z2353" s="35">
        <f>IF(Mecze[[#This Row],[KC]]=0,SUM(Mecze[[#This Row],[/BRI]:[/NPI]]),SUM(Mecze[[#This Row],[/BRI]:[/NPI]])*0.6)</f>
        <v>0.19615384615384618</v>
      </c>
      <c r="AA2353" s="10">
        <f>IFERROR(Mecze[[#This Row],[BR]]/Mecze[[#This Row],[ST]],0)</f>
        <v>0</v>
      </c>
      <c r="AB2353">
        <f>ROUND(Mecze[[#This Row],[PD]]*Mecze[[#This Row],[%PC]],0)</f>
        <v>0</v>
      </c>
      <c r="AC2353">
        <f>ROUND(Mecze[[#This Row],[OD]]*Mecze[[#This Row],[%OU]],0)</f>
        <v>1</v>
      </c>
      <c r="AD2353" s="36" t="s">
        <v>167</v>
      </c>
      <c r="AE2353" s="36">
        <v>131</v>
      </c>
      <c r="AF2353" s="71">
        <v>-2.82</v>
      </c>
      <c r="AG2353" s="37">
        <v>0</v>
      </c>
      <c r="AH2353" s="37">
        <v>1</v>
      </c>
      <c r="AI2353" s="37">
        <v>13</v>
      </c>
      <c r="AJ2353" s="37">
        <v>1</v>
      </c>
      <c r="AK2353" s="37" t="str">
        <f>VLOOKUP(Mecze[[#This Row],[Match ID]],Meczusie[Mecz]:Meczusie[RodzajMeczu],2,FALSE)</f>
        <v>Liga</v>
      </c>
    </row>
    <row r="2354" spans="1:37" x14ac:dyDescent="0.25">
      <c r="A2354" s="76">
        <v>6</v>
      </c>
      <c r="B2354" s="3" t="s">
        <v>159</v>
      </c>
      <c r="C2354" s="2" t="s">
        <v>160</v>
      </c>
      <c r="D2354" s="1">
        <v>0</v>
      </c>
      <c r="E2354" s="1">
        <v>0</v>
      </c>
      <c r="F2354" s="1">
        <v>0</v>
      </c>
      <c r="G2354" s="1">
        <v>8</v>
      </c>
      <c r="H2354" s="4">
        <v>0.5</v>
      </c>
      <c r="I2354" s="1">
        <v>8</v>
      </c>
      <c r="J2354" s="4">
        <v>0.25</v>
      </c>
      <c r="K2354" s="1">
        <v>0</v>
      </c>
      <c r="L2354" s="1">
        <v>7</v>
      </c>
      <c r="M2354" s="32">
        <f>IF(Mecze[[#This Row],[PR]]=0,0,Mecze[[#This Row],[PR]]/Mecze[[#This Row],[CZAS]])</f>
        <v>7.2164948453608241E-2</v>
      </c>
      <c r="N2354" s="32">
        <f>IF(Mecze[[#This Row],[OU]]=0,0,Mecze[[#This Row],[OU]]/Mecze[[#This Row],[CZAS]])</f>
        <v>2.0618556701030927E-2</v>
      </c>
      <c r="O2354" s="32">
        <f>IF(Mecze[[#This Row],[PC]]=0,0,Mecze[[#This Row],[PC]]/Mecze[[#This Row],[CZAS]])</f>
        <v>4.1237113402061855E-2</v>
      </c>
      <c r="P2354" s="32">
        <f>IF(Mecze[[#This Row],[SC]]=0,0,Mecze[[#This Row],[SC]]/Mecze[[#This Row],[CZAS]])</f>
        <v>0</v>
      </c>
      <c r="Q2354" s="32">
        <f>IF(Mecze[[#This Row],[OB]]=0,0,Mecze[[#This Row],[OB]]/Mecze[[#This Row],[CZAS]])</f>
        <v>0</v>
      </c>
      <c r="R2354" s="32">
        <f>IF(Mecze[[#This Row],[BR]]=0,0,Mecze[[#This Row],[BR]]/Mecze[[#This Row],[CZAS]])</f>
        <v>0</v>
      </c>
      <c r="S2354" s="44">
        <f>IF(Mecze[[#This Row],[Role]]="BR",SUMPRODUCT(Mecze[[#This Row],[/PR:90]:[/BR:90]],Brudnopis!$E$23:$J$23),0)</f>
        <v>0</v>
      </c>
      <c r="T2354" s="44">
        <f>IF(Mecze[[#This Row],[Role]]&lt;&gt;"BR",SUMPRODUCT(Mecze[[#This Row],[/PR:90]:[/BR:90]],Brudnopis!$E$24:$J$24),0)</f>
        <v>0.14432989690721648</v>
      </c>
      <c r="U2354" s="44">
        <f>IF(Mecze[[#This Row],[Role]]&lt;&gt;"BR",SUMPRODUCT(Mecze[[#This Row],[/PR:90]:[/BR:90]],Brudnopis!$E$25:$J$25),0)</f>
        <v>0.15463917525773196</v>
      </c>
      <c r="V2354" s="44">
        <f>IF(Mecze[[#This Row],[Role]]&lt;&gt;"BR",SUMPRODUCT(Mecze[[#This Row],[/PR:90]:[/BR:90]],Brudnopis!$E$26:$J$26),0)</f>
        <v>0.13402061855670103</v>
      </c>
      <c r="W2354" s="44">
        <f>IF(Mecze[[#This Row],[Role]]&lt;&gt;"BR",SUMPRODUCT(Mecze[[#This Row],[/PR:90]:[/BR:90]],Brudnopis!$E$27:$J$27),0)</f>
        <v>0.13144329896907217</v>
      </c>
      <c r="X2354" s="44">
        <f>IF(Mecze[[#This Row],[Role]]&lt;&gt;"BR",SUMPRODUCT(Mecze[[#This Row],[/PR:90]:[/BR:90]],Brudnopis!$E$28:$J$28),0)</f>
        <v>4.1237113402061855E-2</v>
      </c>
      <c r="Y2354" s="35">
        <f>IF(Mecze[[#This Row],[Role]]="BR",Mecze[[#This Row],[/OB:90]]+Mecze[[#This Row],[/PC:90]],SUM(Mecze[[#This Row],[/PR:90]:[/BR:90]]))</f>
        <v>0.13402061855670103</v>
      </c>
      <c r="Z2354" s="35">
        <f>IF(Mecze[[#This Row],[KC]]=0,SUM(Mecze[[#This Row],[/BRI]:[/NPI]]),SUM(Mecze[[#This Row],[/BRI]:[/NPI]])*0.6)</f>
        <v>0.60567010309278346</v>
      </c>
      <c r="AA2354" s="10">
        <f>IFERROR(Mecze[[#This Row],[BR]]/Mecze[[#This Row],[ST]],0)</f>
        <v>0</v>
      </c>
      <c r="AB2354">
        <f>ROUND(Mecze[[#This Row],[PD]]*Mecze[[#This Row],[%PC]],0)</f>
        <v>4</v>
      </c>
      <c r="AC2354">
        <f>ROUND(Mecze[[#This Row],[OD]]*Mecze[[#This Row],[%OU]],0)</f>
        <v>2</v>
      </c>
      <c r="AD2354" s="36" t="s">
        <v>41</v>
      </c>
      <c r="AE2354" s="36">
        <v>131</v>
      </c>
      <c r="AF2354" s="71">
        <v>5.38</v>
      </c>
      <c r="AG2354" s="37">
        <v>0</v>
      </c>
      <c r="AH2354" s="37">
        <v>0</v>
      </c>
      <c r="AI2354" s="37">
        <v>97</v>
      </c>
      <c r="AJ2354" s="37">
        <v>1</v>
      </c>
      <c r="AK2354" s="37" t="str">
        <f>VLOOKUP(Mecze[[#This Row],[Match ID]],Meczusie[Mecz]:Meczusie[RodzajMeczu],2,FALSE)</f>
        <v>Liga</v>
      </c>
    </row>
    <row r="2355" spans="1:37" x14ac:dyDescent="0.25">
      <c r="A2355" s="76">
        <v>8</v>
      </c>
      <c r="B2355" s="3" t="s">
        <v>154</v>
      </c>
      <c r="C2355" s="2" t="s">
        <v>160</v>
      </c>
      <c r="D2355" s="1">
        <v>0</v>
      </c>
      <c r="E2355" s="1">
        <v>0</v>
      </c>
      <c r="F2355" s="1">
        <v>0</v>
      </c>
      <c r="G2355" s="1">
        <v>7</v>
      </c>
      <c r="H2355" s="4">
        <v>0.43</v>
      </c>
      <c r="I2355" s="1">
        <v>5</v>
      </c>
      <c r="J2355" s="4">
        <v>0.2</v>
      </c>
      <c r="K2355" s="1">
        <v>0</v>
      </c>
      <c r="L2355" s="1">
        <v>7</v>
      </c>
      <c r="M2355" s="32">
        <f>IF(Mecze[[#This Row],[PR]]=0,0,Mecze[[#This Row],[PR]]/Mecze[[#This Row],[CZAS]])</f>
        <v>7.2164948453608241E-2</v>
      </c>
      <c r="N2355" s="32">
        <f>IF(Mecze[[#This Row],[OU]]=0,0,Mecze[[#This Row],[OU]]/Mecze[[#This Row],[CZAS]])</f>
        <v>1.0309278350515464E-2</v>
      </c>
      <c r="O2355" s="32">
        <f>IF(Mecze[[#This Row],[PC]]=0,0,Mecze[[#This Row],[PC]]/Mecze[[#This Row],[CZAS]])</f>
        <v>3.0927835051546393E-2</v>
      </c>
      <c r="P2355" s="32">
        <f>IF(Mecze[[#This Row],[SC]]=0,0,Mecze[[#This Row],[SC]]/Mecze[[#This Row],[CZAS]])</f>
        <v>0</v>
      </c>
      <c r="Q2355" s="32">
        <f>IF(Mecze[[#This Row],[OB]]=0,0,Mecze[[#This Row],[OB]]/Mecze[[#This Row],[CZAS]])</f>
        <v>0</v>
      </c>
      <c r="R2355" s="32">
        <f>IF(Mecze[[#This Row],[BR]]=0,0,Mecze[[#This Row],[BR]]/Mecze[[#This Row],[CZAS]])</f>
        <v>0</v>
      </c>
      <c r="S2355" s="44">
        <f>IF(Mecze[[#This Row],[Role]]="BR",SUMPRODUCT(Mecze[[#This Row],[/PR:90]:[/BR:90]],Brudnopis!$E$23:$J$23),0)</f>
        <v>0</v>
      </c>
      <c r="T2355" s="44">
        <f>IF(Mecze[[#This Row],[Role]]&lt;&gt;"BR",SUMPRODUCT(Mecze[[#This Row],[/PR:90]:[/BR:90]],Brudnopis!$E$24:$J$24),0)</f>
        <v>0.11855670103092783</v>
      </c>
      <c r="U2355" s="44">
        <f>IF(Mecze[[#This Row],[Role]]&lt;&gt;"BR",SUMPRODUCT(Mecze[[#This Row],[/PR:90]:[/BR:90]],Brudnopis!$E$25:$J$25),0)</f>
        <v>0.12886597938144329</v>
      </c>
      <c r="V2355" s="44">
        <f>IF(Mecze[[#This Row],[Role]]&lt;&gt;"BR",SUMPRODUCT(Mecze[[#This Row],[/PR:90]:[/BR:90]],Brudnopis!$E$26:$J$26),0)</f>
        <v>0.1134020618556701</v>
      </c>
      <c r="W2355" s="44">
        <f>IF(Mecze[[#This Row],[Role]]&lt;&gt;"BR",SUMPRODUCT(Mecze[[#This Row],[/PR:90]:[/BR:90]],Brudnopis!$E$27:$J$27),0)</f>
        <v>0.10824742268041238</v>
      </c>
      <c r="X2355" s="44">
        <f>IF(Mecze[[#This Row],[Role]]&lt;&gt;"BR",SUMPRODUCT(Mecze[[#This Row],[/PR:90]:[/BR:90]],Brudnopis!$E$28:$J$28),0)</f>
        <v>3.0927835051546393E-2</v>
      </c>
      <c r="Y2355" s="35">
        <f>IF(Mecze[[#This Row],[Role]]="BR",Mecze[[#This Row],[/OB:90]]+Mecze[[#This Row],[/PC:90]],SUM(Mecze[[#This Row],[/PR:90]:[/BR:90]]))</f>
        <v>0.1134020618556701</v>
      </c>
      <c r="Z2355" s="35">
        <f>IF(Mecze[[#This Row],[KC]]=0,SUM(Mecze[[#This Row],[/BRI]:[/NPI]]),SUM(Mecze[[#This Row],[/BRI]:[/NPI]])*0.6)</f>
        <v>0.5</v>
      </c>
      <c r="AA2355" s="10">
        <f>IFERROR(Mecze[[#This Row],[BR]]/Mecze[[#This Row],[ST]],0)</f>
        <v>0</v>
      </c>
      <c r="AB2355">
        <f>ROUND(Mecze[[#This Row],[PD]]*Mecze[[#This Row],[%PC]],0)</f>
        <v>3</v>
      </c>
      <c r="AC2355">
        <f>ROUND(Mecze[[#This Row],[OD]]*Mecze[[#This Row],[%OU]],0)</f>
        <v>1</v>
      </c>
      <c r="AD2355" s="36" t="s">
        <v>41</v>
      </c>
      <c r="AE2355" s="36">
        <v>131</v>
      </c>
      <c r="AF2355" s="71">
        <v>4.17</v>
      </c>
      <c r="AG2355" s="37">
        <v>0</v>
      </c>
      <c r="AH2355" s="37">
        <v>0</v>
      </c>
      <c r="AI2355" s="37">
        <v>97</v>
      </c>
      <c r="AJ2355" s="37">
        <v>1</v>
      </c>
      <c r="AK2355" s="37" t="str">
        <f>VLOOKUP(Mecze[[#This Row],[Match ID]],Meczusie[Mecz]:Meczusie[RodzajMeczu],2,FALSE)</f>
        <v>Liga</v>
      </c>
    </row>
    <row r="2356" spans="1:37" x14ac:dyDescent="0.25">
      <c r="A2356" s="76">
        <v>15</v>
      </c>
      <c r="B2356" s="3" t="s">
        <v>170</v>
      </c>
      <c r="C2356" s="2" t="s">
        <v>160</v>
      </c>
      <c r="D2356" s="1">
        <v>0</v>
      </c>
      <c r="E2356" s="1">
        <v>0</v>
      </c>
      <c r="F2356" s="1">
        <v>0</v>
      </c>
      <c r="G2356" s="1">
        <v>12</v>
      </c>
      <c r="H2356" s="4">
        <v>0.5</v>
      </c>
      <c r="I2356" s="1">
        <v>8</v>
      </c>
      <c r="J2356" s="4">
        <v>0.5</v>
      </c>
      <c r="K2356" s="1">
        <v>0</v>
      </c>
      <c r="L2356" s="1">
        <v>3</v>
      </c>
      <c r="M2356" s="32">
        <f>IF(Mecze[[#This Row],[PR]]=0,0,Mecze[[#This Row],[PR]]/Mecze[[#This Row],[CZAS]])</f>
        <v>3.0927835051546393E-2</v>
      </c>
      <c r="N2356" s="32">
        <f>IF(Mecze[[#This Row],[OU]]=0,0,Mecze[[#This Row],[OU]]/Mecze[[#This Row],[CZAS]])</f>
        <v>4.1237113402061855E-2</v>
      </c>
      <c r="O2356" s="32">
        <f>IF(Mecze[[#This Row],[PC]]=0,0,Mecze[[#This Row],[PC]]/Mecze[[#This Row],[CZAS]])</f>
        <v>6.1855670103092786E-2</v>
      </c>
      <c r="P2356" s="32">
        <f>IF(Mecze[[#This Row],[SC]]=0,0,Mecze[[#This Row],[SC]]/Mecze[[#This Row],[CZAS]])</f>
        <v>0</v>
      </c>
      <c r="Q2356" s="32">
        <f>IF(Mecze[[#This Row],[OB]]=0,0,Mecze[[#This Row],[OB]]/Mecze[[#This Row],[CZAS]])</f>
        <v>0</v>
      </c>
      <c r="R2356" s="32">
        <f>IF(Mecze[[#This Row],[BR]]=0,0,Mecze[[#This Row],[BR]]/Mecze[[#This Row],[CZAS]])</f>
        <v>0</v>
      </c>
      <c r="S2356" s="44">
        <f>IF(Mecze[[#This Row],[Role]]="BR",SUMPRODUCT(Mecze[[#This Row],[/PR:90]:[/BR:90]],Brudnopis!$E$23:$J$23),0)</f>
        <v>0</v>
      </c>
      <c r="T2356" s="44">
        <f>IF(Mecze[[#This Row],[Role]]&lt;&gt;"BR",SUMPRODUCT(Mecze[[#This Row],[/PR:90]:[/BR:90]],Brudnopis!$E$24:$J$24),0)</f>
        <v>0.15463917525773196</v>
      </c>
      <c r="U2356" s="44">
        <f>IF(Mecze[[#This Row],[Role]]&lt;&gt;"BR",SUMPRODUCT(Mecze[[#This Row],[/PR:90]:[/BR:90]],Brudnopis!$E$25:$J$25),0)</f>
        <v>0.16494845360824742</v>
      </c>
      <c r="V2356" s="44">
        <f>IF(Mecze[[#This Row],[Role]]&lt;&gt;"BR",SUMPRODUCT(Mecze[[#This Row],[/PR:90]:[/BR:90]],Brudnopis!$E$26:$J$26),0)</f>
        <v>0.13402061855670103</v>
      </c>
      <c r="W2356" s="44">
        <f>IF(Mecze[[#This Row],[Role]]&lt;&gt;"BR",SUMPRODUCT(Mecze[[#This Row],[/PR:90]:[/BR:90]],Brudnopis!$E$27:$J$27),0)</f>
        <v>0.14690721649484537</v>
      </c>
      <c r="X2356" s="44">
        <f>IF(Mecze[[#This Row],[Role]]&lt;&gt;"BR",SUMPRODUCT(Mecze[[#This Row],[/PR:90]:[/BR:90]],Brudnopis!$E$28:$J$28),0)</f>
        <v>6.1855670103092786E-2</v>
      </c>
      <c r="Y2356" s="35">
        <f>IF(Mecze[[#This Row],[Role]]="BR",Mecze[[#This Row],[/OB:90]]+Mecze[[#This Row],[/PC:90]],SUM(Mecze[[#This Row],[/PR:90]:[/BR:90]]))</f>
        <v>0.13402061855670103</v>
      </c>
      <c r="Z2356" s="35">
        <f>IF(Mecze[[#This Row],[KC]]=0,SUM(Mecze[[#This Row],[/BRI]:[/NPI]]),SUM(Mecze[[#This Row],[/BRI]:[/NPI]])*0.6)</f>
        <v>0.66237113402061853</v>
      </c>
      <c r="AA2356" s="10">
        <f>IFERROR(Mecze[[#This Row],[BR]]/Mecze[[#This Row],[ST]],0)</f>
        <v>0</v>
      </c>
      <c r="AB2356">
        <f>ROUND(Mecze[[#This Row],[PD]]*Mecze[[#This Row],[%PC]],0)</f>
        <v>6</v>
      </c>
      <c r="AC2356">
        <f>ROUND(Mecze[[#This Row],[OD]]*Mecze[[#This Row],[%OU]],0)</f>
        <v>4</v>
      </c>
      <c r="AD2356" s="36" t="s">
        <v>67</v>
      </c>
      <c r="AE2356" s="36">
        <v>131</v>
      </c>
      <c r="AF2356" s="71">
        <v>3.43</v>
      </c>
      <c r="AG2356" s="37">
        <v>1</v>
      </c>
      <c r="AH2356" s="37">
        <v>0</v>
      </c>
      <c r="AI2356" s="37">
        <v>97</v>
      </c>
      <c r="AJ2356" s="37">
        <v>1</v>
      </c>
      <c r="AK2356" s="37" t="str">
        <f>VLOOKUP(Mecze[[#This Row],[Match ID]],Meczusie[Mecz]:Meczusie[RodzajMeczu],2,FALSE)</f>
        <v>Liga</v>
      </c>
    </row>
    <row r="2357" spans="1:37" x14ac:dyDescent="0.25">
      <c r="A2357" s="76">
        <v>13</v>
      </c>
      <c r="B2357" s="3" t="s">
        <v>162</v>
      </c>
      <c r="C2357" s="2" t="s">
        <v>160</v>
      </c>
      <c r="D2357" s="1">
        <v>0</v>
      </c>
      <c r="E2357" s="1">
        <v>2</v>
      </c>
      <c r="F2357" s="1">
        <v>1</v>
      </c>
      <c r="G2357" s="1">
        <v>5</v>
      </c>
      <c r="H2357" s="4">
        <v>0.8</v>
      </c>
      <c r="I2357" s="1">
        <v>4</v>
      </c>
      <c r="J2357" s="4">
        <v>0.25</v>
      </c>
      <c r="K2357" s="1">
        <v>0</v>
      </c>
      <c r="L2357" s="1">
        <v>0</v>
      </c>
      <c r="M2357" s="32">
        <f>IF(Mecze[[#This Row],[PR]]=0,0,Mecze[[#This Row],[PR]]/Mecze[[#This Row],[CZAS]])</f>
        <v>0</v>
      </c>
      <c r="N2357" s="32">
        <f>IF(Mecze[[#This Row],[OU]]=0,0,Mecze[[#This Row],[OU]]/Mecze[[#This Row],[CZAS]])</f>
        <v>1.0309278350515464E-2</v>
      </c>
      <c r="O2357" s="32">
        <f>IF(Mecze[[#This Row],[PC]]=0,0,Mecze[[#This Row],[PC]]/Mecze[[#This Row],[CZAS]])</f>
        <v>4.1237113402061855E-2</v>
      </c>
      <c r="P2357" s="32">
        <f>IF(Mecze[[#This Row],[SC]]=0,0,Mecze[[#This Row],[SC]]/Mecze[[#This Row],[CZAS]])</f>
        <v>1.0309278350515464E-2</v>
      </c>
      <c r="Q2357" s="32">
        <f>IF(Mecze[[#This Row],[OB]]=0,0,Mecze[[#This Row],[OB]]/Mecze[[#This Row],[CZAS]])</f>
        <v>0</v>
      </c>
      <c r="R2357" s="32">
        <f>IF(Mecze[[#This Row],[BR]]=0,0,Mecze[[#This Row],[BR]]/Mecze[[#This Row],[CZAS]])</f>
        <v>0</v>
      </c>
      <c r="S2357" s="44">
        <f>IF(Mecze[[#This Row],[Role]]="BR",SUMPRODUCT(Mecze[[#This Row],[/PR:90]:[/BR:90]],Brudnopis!$E$23:$J$23),0)</f>
        <v>0</v>
      </c>
      <c r="T2357" s="44">
        <f>IF(Mecze[[#This Row],[Role]]&lt;&gt;"BR",SUMPRODUCT(Mecze[[#This Row],[/PR:90]:[/BR:90]],Brudnopis!$E$24:$J$24),0)</f>
        <v>6.7010309278350513E-2</v>
      </c>
      <c r="U2357" s="44">
        <f>IF(Mecze[[#This Row],[Role]]&lt;&gt;"BR",SUMPRODUCT(Mecze[[#This Row],[/PR:90]:[/BR:90]],Brudnopis!$E$25:$J$25),0)</f>
        <v>8.2474226804123724E-2</v>
      </c>
      <c r="V2357" s="44">
        <f>IF(Mecze[[#This Row],[Role]]&lt;&gt;"BR",SUMPRODUCT(Mecze[[#This Row],[/PR:90]:[/BR:90]],Brudnopis!$E$26:$J$26),0)</f>
        <v>6.1855670103092779E-2</v>
      </c>
      <c r="W2357" s="44">
        <f>IF(Mecze[[#This Row],[Role]]&lt;&gt;"BR",SUMPRODUCT(Mecze[[#This Row],[/PR:90]:[/BR:90]],Brudnopis!$E$27:$J$27),0)</f>
        <v>7.9896907216494853E-2</v>
      </c>
      <c r="X2357" s="44">
        <f>IF(Mecze[[#This Row],[Role]]&lt;&gt;"BR",SUMPRODUCT(Mecze[[#This Row],[/PR:90]:[/BR:90]],Brudnopis!$E$28:$J$28),0)</f>
        <v>6.1855670103092786E-2</v>
      </c>
      <c r="Y2357" s="35">
        <f>IF(Mecze[[#This Row],[Role]]="BR",Mecze[[#This Row],[/OB:90]]+Mecze[[#This Row],[/PC:90]],SUM(Mecze[[#This Row],[/PR:90]:[/BR:90]]))</f>
        <v>6.1855670103092779E-2</v>
      </c>
      <c r="Z2357" s="35">
        <f>IF(Mecze[[#This Row],[KC]]=0,SUM(Mecze[[#This Row],[/BRI]:[/NPI]]),SUM(Mecze[[#This Row],[/BRI]:[/NPI]])*0.6)</f>
        <v>0.35309278350515466</v>
      </c>
      <c r="AA2357" s="10">
        <f>IFERROR(Mecze[[#This Row],[BR]]/Mecze[[#This Row],[ST]],0)</f>
        <v>0</v>
      </c>
      <c r="AB2357">
        <f>ROUND(Mecze[[#This Row],[PD]]*Mecze[[#This Row],[%PC]],0)</f>
        <v>4</v>
      </c>
      <c r="AC2357">
        <f>ROUND(Mecze[[#This Row],[OD]]*Mecze[[#This Row],[%OU]],0)</f>
        <v>1</v>
      </c>
      <c r="AD2357" s="36" t="s">
        <v>44</v>
      </c>
      <c r="AE2357" s="36">
        <v>131</v>
      </c>
      <c r="AF2357" s="71">
        <v>5.05</v>
      </c>
      <c r="AG2357" s="37">
        <v>0</v>
      </c>
      <c r="AH2357" s="37">
        <v>0</v>
      </c>
      <c r="AI2357" s="37">
        <v>97</v>
      </c>
      <c r="AJ2357" s="37">
        <v>1</v>
      </c>
      <c r="AK2357" s="37" t="str">
        <f>VLOOKUP(Mecze[[#This Row],[Match ID]],Meczusie[Mecz]:Meczusie[RodzajMeczu],2,FALSE)</f>
        <v>Liga</v>
      </c>
    </row>
    <row r="2358" spans="1:37" x14ac:dyDescent="0.25">
      <c r="A2358" s="76">
        <v>14</v>
      </c>
      <c r="B2358" s="3" t="s">
        <v>164</v>
      </c>
      <c r="C2358" s="2" t="s">
        <v>160</v>
      </c>
      <c r="D2358" s="1">
        <v>0</v>
      </c>
      <c r="E2358" s="1">
        <v>3</v>
      </c>
      <c r="F2358" s="1">
        <v>3</v>
      </c>
      <c r="G2358" s="1">
        <v>10</v>
      </c>
      <c r="H2358" s="4">
        <v>0.4</v>
      </c>
      <c r="I2358" s="1">
        <v>8</v>
      </c>
      <c r="J2358" s="4">
        <v>0.5</v>
      </c>
      <c r="K2358" s="1">
        <v>0</v>
      </c>
      <c r="L2358" s="1">
        <v>3</v>
      </c>
      <c r="M2358" s="32">
        <f>IF(Mecze[[#This Row],[PR]]=0,0,Mecze[[#This Row],[PR]]/Mecze[[#This Row],[CZAS]])</f>
        <v>3.0927835051546393E-2</v>
      </c>
      <c r="N2358" s="32">
        <f>IF(Mecze[[#This Row],[OU]]=0,0,Mecze[[#This Row],[OU]]/Mecze[[#This Row],[CZAS]])</f>
        <v>4.1237113402061855E-2</v>
      </c>
      <c r="O2358" s="32">
        <f>IF(Mecze[[#This Row],[PC]]=0,0,Mecze[[#This Row],[PC]]/Mecze[[#This Row],[CZAS]])</f>
        <v>4.1237113402061855E-2</v>
      </c>
      <c r="P2358" s="32">
        <f>IF(Mecze[[#This Row],[SC]]=0,0,Mecze[[#This Row],[SC]]/Mecze[[#This Row],[CZAS]])</f>
        <v>3.0927835051546393E-2</v>
      </c>
      <c r="Q2358" s="32">
        <f>IF(Mecze[[#This Row],[OB]]=0,0,Mecze[[#This Row],[OB]]/Mecze[[#This Row],[CZAS]])</f>
        <v>0</v>
      </c>
      <c r="R2358" s="32">
        <f>IF(Mecze[[#This Row],[BR]]=0,0,Mecze[[#This Row],[BR]]/Mecze[[#This Row],[CZAS]])</f>
        <v>0</v>
      </c>
      <c r="S2358" s="44">
        <f>IF(Mecze[[#This Row],[Role]]="BR",SUMPRODUCT(Mecze[[#This Row],[/PR:90]:[/BR:90]],Brudnopis!$E$23:$J$23),0)</f>
        <v>0</v>
      </c>
      <c r="T2358" s="44">
        <f>IF(Mecze[[#This Row],[Role]]&lt;&gt;"BR",SUMPRODUCT(Mecze[[#This Row],[/PR:90]:[/BR:90]],Brudnopis!$E$24:$J$24),0)</f>
        <v>0.16494845360824742</v>
      </c>
      <c r="U2358" s="44">
        <f>IF(Mecze[[#This Row],[Role]]&lt;&gt;"BR",SUMPRODUCT(Mecze[[#This Row],[/PR:90]:[/BR:90]],Brudnopis!$E$25:$J$25),0)</f>
        <v>0.16494845360824742</v>
      </c>
      <c r="V2358" s="44">
        <f>IF(Mecze[[#This Row],[Role]]&lt;&gt;"BR",SUMPRODUCT(Mecze[[#This Row],[/PR:90]:[/BR:90]],Brudnopis!$E$26:$J$26),0)</f>
        <v>0.14432989690721648</v>
      </c>
      <c r="W2358" s="44">
        <f>IF(Mecze[[#This Row],[Role]]&lt;&gt;"BR",SUMPRODUCT(Mecze[[#This Row],[/PR:90]:[/BR:90]],Brudnopis!$E$27:$J$27),0)</f>
        <v>0.14690721649484537</v>
      </c>
      <c r="X2358" s="44">
        <f>IF(Mecze[[#This Row],[Role]]&lt;&gt;"BR",SUMPRODUCT(Mecze[[#This Row],[/PR:90]:[/BR:90]],Brudnopis!$E$28:$J$28),0)</f>
        <v>0.10309278350515463</v>
      </c>
      <c r="Y2358" s="35">
        <f>IF(Mecze[[#This Row],[Role]]="BR",Mecze[[#This Row],[/OB:90]]+Mecze[[#This Row],[/PC:90]],SUM(Mecze[[#This Row],[/PR:90]:[/BR:90]]))</f>
        <v>0.14432989690721648</v>
      </c>
      <c r="Z2358" s="35">
        <f>IF(Mecze[[#This Row],[KC]]=0,SUM(Mecze[[#This Row],[/BRI]:[/NPI]]),SUM(Mecze[[#This Row],[/BRI]:[/NPI]])*0.6)</f>
        <v>0.72422680412371132</v>
      </c>
      <c r="AA2358" s="10">
        <f>IFERROR(Mecze[[#This Row],[BR]]/Mecze[[#This Row],[ST]],0)</f>
        <v>0</v>
      </c>
      <c r="AB2358">
        <f>ROUND(Mecze[[#This Row],[PD]]*Mecze[[#This Row],[%PC]],0)</f>
        <v>4</v>
      </c>
      <c r="AC2358">
        <f>ROUND(Mecze[[#This Row],[OD]]*Mecze[[#This Row],[%OU]],0)</f>
        <v>4</v>
      </c>
      <c r="AD2358" s="36" t="s">
        <v>44</v>
      </c>
      <c r="AE2358" s="36">
        <v>131</v>
      </c>
      <c r="AF2358" s="71">
        <v>4.0199999999999996</v>
      </c>
      <c r="AG2358" s="37">
        <v>0</v>
      </c>
      <c r="AH2358" s="37">
        <v>0</v>
      </c>
      <c r="AI2358" s="37">
        <v>97</v>
      </c>
      <c r="AJ2358" s="37">
        <v>1</v>
      </c>
      <c r="AK2358" s="37" t="str">
        <f>VLOOKUP(Mecze[[#This Row],[Match ID]],Meczusie[Mecz]:Meczusie[RodzajMeczu],2,FALSE)</f>
        <v>Liga</v>
      </c>
    </row>
    <row r="2359" spans="1:37" x14ac:dyDescent="0.25">
      <c r="A2359" s="76">
        <v>9</v>
      </c>
      <c r="B2359" s="3" t="s">
        <v>411</v>
      </c>
      <c r="C2359" s="2" t="s">
        <v>165</v>
      </c>
      <c r="D2359" s="1">
        <v>0</v>
      </c>
      <c r="E2359" s="1">
        <v>0</v>
      </c>
      <c r="F2359" s="1">
        <v>0</v>
      </c>
      <c r="G2359" s="1">
        <v>3</v>
      </c>
      <c r="H2359" s="4">
        <v>0.33</v>
      </c>
      <c r="I2359" s="1">
        <v>4</v>
      </c>
      <c r="J2359" s="4">
        <v>0.5</v>
      </c>
      <c r="K2359" s="1">
        <v>0</v>
      </c>
      <c r="L2359" s="1">
        <v>2</v>
      </c>
      <c r="M2359" s="32">
        <f>IF(Mecze[[#This Row],[PR]]=0,0,Mecze[[#This Row],[PR]]/Mecze[[#This Row],[CZAS]])</f>
        <v>2.0618556701030927E-2</v>
      </c>
      <c r="N2359" s="32">
        <f>IF(Mecze[[#This Row],[OU]]=0,0,Mecze[[#This Row],[OU]]/Mecze[[#This Row],[CZAS]])</f>
        <v>2.0618556701030927E-2</v>
      </c>
      <c r="O2359" s="32">
        <f>IF(Mecze[[#This Row],[PC]]=0,0,Mecze[[#This Row],[PC]]/Mecze[[#This Row],[CZAS]])</f>
        <v>1.0309278350515464E-2</v>
      </c>
      <c r="P2359" s="32">
        <f>IF(Mecze[[#This Row],[SC]]=0,0,Mecze[[#This Row],[SC]]/Mecze[[#This Row],[CZAS]])</f>
        <v>0</v>
      </c>
      <c r="Q2359" s="32">
        <f>IF(Mecze[[#This Row],[OB]]=0,0,Mecze[[#This Row],[OB]]/Mecze[[#This Row],[CZAS]])</f>
        <v>0</v>
      </c>
      <c r="R2359" s="32">
        <f>IF(Mecze[[#This Row],[BR]]=0,0,Mecze[[#This Row],[BR]]/Mecze[[#This Row],[CZAS]])</f>
        <v>0</v>
      </c>
      <c r="S2359" s="44">
        <f>IF(Mecze[[#This Row],[Role]]="BR",SUMPRODUCT(Mecze[[#This Row],[/PR:90]:[/BR:90]],Brudnopis!$E$23:$J$23),0)</f>
        <v>0</v>
      </c>
      <c r="T2359" s="44">
        <f>IF(Mecze[[#This Row],[Role]]&lt;&gt;"BR",SUMPRODUCT(Mecze[[#This Row],[/PR:90]:[/BR:90]],Brudnopis!$E$24:$J$24),0)</f>
        <v>6.1855670103092779E-2</v>
      </c>
      <c r="U2359" s="44">
        <f>IF(Mecze[[#This Row],[Role]]&lt;&gt;"BR",SUMPRODUCT(Mecze[[#This Row],[/PR:90]:[/BR:90]],Brudnopis!$E$25:$J$25),0)</f>
        <v>5.6701030927835051E-2</v>
      </c>
      <c r="V2359" s="44">
        <f>IF(Mecze[[#This Row],[Role]]&lt;&gt;"BR",SUMPRODUCT(Mecze[[#This Row],[/PR:90]:[/BR:90]],Brudnopis!$E$26:$J$26),0)</f>
        <v>5.1546391752577317E-2</v>
      </c>
      <c r="W2359" s="44">
        <f>IF(Mecze[[#This Row],[Role]]&lt;&gt;"BR",SUMPRODUCT(Mecze[[#This Row],[/PR:90]:[/BR:90]],Brudnopis!$E$27:$J$27),0)</f>
        <v>4.6391752577319589E-2</v>
      </c>
      <c r="X2359" s="44">
        <f>IF(Mecze[[#This Row],[Role]]&lt;&gt;"BR",SUMPRODUCT(Mecze[[#This Row],[/PR:90]:[/BR:90]],Brudnopis!$E$28:$J$28),0)</f>
        <v>1.0309278350515464E-2</v>
      </c>
      <c r="Y2359" s="35">
        <f>IF(Mecze[[#This Row],[Role]]="BR",Mecze[[#This Row],[/OB:90]]+Mecze[[#This Row],[/PC:90]],SUM(Mecze[[#This Row],[/PR:90]:[/BR:90]]))</f>
        <v>5.1546391752577317E-2</v>
      </c>
      <c r="Z2359" s="35">
        <f>IF(Mecze[[#This Row],[KC]]=0,SUM(Mecze[[#This Row],[/BRI]:[/NPI]]),SUM(Mecze[[#This Row],[/BRI]:[/NPI]])*0.6)</f>
        <v>0.22680412371134021</v>
      </c>
      <c r="AA2359" s="10">
        <f>IFERROR(Mecze[[#This Row],[BR]]/Mecze[[#This Row],[ST]],0)</f>
        <v>0</v>
      </c>
      <c r="AB2359">
        <f>ROUND(Mecze[[#This Row],[PD]]*Mecze[[#This Row],[%PC]],0)</f>
        <v>1</v>
      </c>
      <c r="AC2359">
        <f>ROUND(Mecze[[#This Row],[OD]]*Mecze[[#This Row],[%OU]],0)</f>
        <v>2</v>
      </c>
      <c r="AD2359" s="36" t="s">
        <v>46</v>
      </c>
      <c r="AE2359" s="36">
        <v>131</v>
      </c>
      <c r="AF2359" s="71">
        <v>2.71</v>
      </c>
      <c r="AG2359" s="37">
        <v>0</v>
      </c>
      <c r="AH2359" s="37">
        <v>0</v>
      </c>
      <c r="AI2359" s="37">
        <v>97</v>
      </c>
      <c r="AJ2359" s="37">
        <v>1</v>
      </c>
      <c r="AK2359" s="37" t="str">
        <f>VLOOKUP(Mecze[[#This Row],[Match ID]],Meczusie[Mecz]:Meczusie[RodzajMeczu],2,FALSE)</f>
        <v>Liga</v>
      </c>
    </row>
    <row r="2360" spans="1:37" x14ac:dyDescent="0.25">
      <c r="A2360" s="76">
        <v>19</v>
      </c>
      <c r="B2360" s="3" t="s">
        <v>166</v>
      </c>
      <c r="C2360" s="2" t="s">
        <v>165</v>
      </c>
      <c r="D2360" s="1">
        <v>0</v>
      </c>
      <c r="E2360" s="1">
        <v>4</v>
      </c>
      <c r="F2360" s="1">
        <v>4</v>
      </c>
      <c r="G2360" s="1">
        <v>5</v>
      </c>
      <c r="H2360" s="4">
        <v>0.6</v>
      </c>
      <c r="I2360" s="1">
        <v>6</v>
      </c>
      <c r="J2360" s="4">
        <v>0.17</v>
      </c>
      <c r="K2360" s="1">
        <v>0</v>
      </c>
      <c r="L2360" s="1">
        <v>0</v>
      </c>
      <c r="M2360" s="32">
        <f>IF(Mecze[[#This Row],[PR]]=0,0,Mecze[[#This Row],[PR]]/Mecze[[#This Row],[CZAS]])</f>
        <v>0</v>
      </c>
      <c r="N2360" s="32">
        <f>IF(Mecze[[#This Row],[OU]]=0,0,Mecze[[#This Row],[OU]]/Mecze[[#This Row],[CZAS]])</f>
        <v>1.0309278350515464E-2</v>
      </c>
      <c r="O2360" s="32">
        <f>IF(Mecze[[#This Row],[PC]]=0,0,Mecze[[#This Row],[PC]]/Mecze[[#This Row],[CZAS]])</f>
        <v>3.0927835051546393E-2</v>
      </c>
      <c r="P2360" s="32">
        <f>IF(Mecze[[#This Row],[SC]]=0,0,Mecze[[#This Row],[SC]]/Mecze[[#This Row],[CZAS]])</f>
        <v>4.1237113402061855E-2</v>
      </c>
      <c r="Q2360" s="32">
        <f>IF(Mecze[[#This Row],[OB]]=0,0,Mecze[[#This Row],[OB]]/Mecze[[#This Row],[CZAS]])</f>
        <v>0</v>
      </c>
      <c r="R2360" s="32">
        <f>IF(Mecze[[#This Row],[BR]]=0,0,Mecze[[#This Row],[BR]]/Mecze[[#This Row],[CZAS]])</f>
        <v>0</v>
      </c>
      <c r="S2360" s="44">
        <f>IF(Mecze[[#This Row],[Role]]="BR",SUMPRODUCT(Mecze[[#This Row],[/PR:90]:[/BR:90]],Brudnopis!$E$23:$J$23),0)</f>
        <v>0</v>
      </c>
      <c r="T2360" s="44">
        <f>IF(Mecze[[#This Row],[Role]]&lt;&gt;"BR",SUMPRODUCT(Mecze[[#This Row],[/PR:90]:[/BR:90]],Brudnopis!$E$24:$J$24),0)</f>
        <v>8.7628865979381437E-2</v>
      </c>
      <c r="U2360" s="44">
        <f>IF(Mecze[[#This Row],[Role]]&lt;&gt;"BR",SUMPRODUCT(Mecze[[#This Row],[/PR:90]:[/BR:90]],Brudnopis!$E$25:$J$25),0)</f>
        <v>9.7938144329896906E-2</v>
      </c>
      <c r="V2360" s="44">
        <f>IF(Mecze[[#This Row],[Role]]&lt;&gt;"BR",SUMPRODUCT(Mecze[[#This Row],[/PR:90]:[/BR:90]],Brudnopis!$E$26:$J$26),0)</f>
        <v>8.247422680412371E-2</v>
      </c>
      <c r="W2360" s="44">
        <f>IF(Mecze[[#This Row],[Role]]&lt;&gt;"BR",SUMPRODUCT(Mecze[[#This Row],[/PR:90]:[/BR:90]],Brudnopis!$E$27:$J$27),0)</f>
        <v>9.5360824742268036E-2</v>
      </c>
      <c r="X2360" s="44">
        <f>IF(Mecze[[#This Row],[Role]]&lt;&gt;"BR",SUMPRODUCT(Mecze[[#This Row],[/PR:90]:[/BR:90]],Brudnopis!$E$28:$J$28),0)</f>
        <v>0.1134020618556701</v>
      </c>
      <c r="Y2360" s="35">
        <f>IF(Mecze[[#This Row],[Role]]="BR",Mecze[[#This Row],[/OB:90]]+Mecze[[#This Row],[/PC:90]],SUM(Mecze[[#This Row],[/PR:90]:[/BR:90]]))</f>
        <v>8.247422680412371E-2</v>
      </c>
      <c r="Z2360" s="35">
        <f>IF(Mecze[[#This Row],[KC]]=0,SUM(Mecze[[#This Row],[/BRI]:[/NPI]]),SUM(Mecze[[#This Row],[/BRI]:[/NPI]])*0.6)</f>
        <v>0.47680412371134018</v>
      </c>
      <c r="AA2360" s="10">
        <f>IFERROR(Mecze[[#This Row],[BR]]/Mecze[[#This Row],[ST]],0)</f>
        <v>0</v>
      </c>
      <c r="AB2360">
        <f>ROUND(Mecze[[#This Row],[PD]]*Mecze[[#This Row],[%PC]],0)</f>
        <v>3</v>
      </c>
      <c r="AC2360">
        <f>ROUND(Mecze[[#This Row],[OD]]*Mecze[[#This Row],[%OU]],0)</f>
        <v>1</v>
      </c>
      <c r="AD2360" s="36" t="s">
        <v>46</v>
      </c>
      <c r="AE2360" s="36">
        <v>131</v>
      </c>
      <c r="AF2360" s="71">
        <v>3.81</v>
      </c>
      <c r="AG2360" s="37">
        <v>1</v>
      </c>
      <c r="AH2360" s="37">
        <v>0</v>
      </c>
      <c r="AI2360" s="37">
        <v>97</v>
      </c>
      <c r="AJ2360" s="37">
        <v>1</v>
      </c>
      <c r="AK2360" s="37" t="str">
        <f>VLOOKUP(Mecze[[#This Row],[Match ID]],Meczusie[Mecz]:Meczusie[RodzajMeczu],2,FALSE)</f>
        <v>Liga</v>
      </c>
    </row>
    <row r="2361" spans="1:37" x14ac:dyDescent="0.25">
      <c r="A2361" s="76">
        <v>102</v>
      </c>
      <c r="B2361" s="3" t="s">
        <v>417</v>
      </c>
      <c r="C2361" s="2" t="s">
        <v>155</v>
      </c>
      <c r="D2361" s="1">
        <v>0</v>
      </c>
      <c r="E2361" s="1">
        <v>0</v>
      </c>
      <c r="F2361" s="1">
        <v>0</v>
      </c>
      <c r="G2361" s="1">
        <v>0</v>
      </c>
      <c r="H2361" s="72"/>
      <c r="I2361" s="1">
        <v>0</v>
      </c>
      <c r="J2361" s="4"/>
      <c r="K2361" s="1">
        <v>1</v>
      </c>
      <c r="L2361" s="1">
        <v>0</v>
      </c>
      <c r="M2361" s="32">
        <f>IF(Mecze[[#This Row],[PR]]=0,0,Mecze[[#This Row],[PR]]/Mecze[[#This Row],[CZAS]])</f>
        <v>0</v>
      </c>
      <c r="N2361" s="32">
        <f>IF(Mecze[[#This Row],[OU]]=0,0,Mecze[[#This Row],[OU]]/Mecze[[#This Row],[CZAS]])</f>
        <v>0</v>
      </c>
      <c r="O2361" s="32">
        <f>IF(Mecze[[#This Row],[PC]]=0,0,Mecze[[#This Row],[PC]]/Mecze[[#This Row],[CZAS]])</f>
        <v>0</v>
      </c>
      <c r="P2361" s="32">
        <f>IF(Mecze[[#This Row],[SC]]=0,0,Mecze[[#This Row],[SC]]/Mecze[[#This Row],[CZAS]])</f>
        <v>0</v>
      </c>
      <c r="Q2361" s="32">
        <f>IF(Mecze[[#This Row],[OB]]=0,0,Mecze[[#This Row],[OB]]/Mecze[[#This Row],[CZAS]])</f>
        <v>1.020408163265306E-2</v>
      </c>
      <c r="R2361" s="32">
        <f>IF(Mecze[[#This Row],[BR]]=0,0,Mecze[[#This Row],[BR]]/Mecze[[#This Row],[CZAS]])</f>
        <v>0</v>
      </c>
      <c r="S2361" s="44">
        <f>IF(Mecze[[#This Row],[Role]]="BR",SUMPRODUCT(Mecze[[#This Row],[/PR:90]:[/BR:90]],Brudnopis!$E$23:$J$23),0)</f>
        <v>3.0612244897959183E-2</v>
      </c>
      <c r="T2361" s="44">
        <f>IF(Mecze[[#This Row],[Role]]&lt;&gt;"BR",SUMPRODUCT(Mecze[[#This Row],[/PR:90]:[/BR:90]],Brudnopis!$E$24:$J$24),0)</f>
        <v>0</v>
      </c>
      <c r="U2361" s="44">
        <f>IF(Mecze[[#This Row],[Role]]&lt;&gt;"BR",SUMPRODUCT(Mecze[[#This Row],[/PR:90]:[/BR:90]],Brudnopis!$E$25:$J$25),0)</f>
        <v>0</v>
      </c>
      <c r="V2361" s="44">
        <f>IF(Mecze[[#This Row],[Role]]&lt;&gt;"BR",SUMPRODUCT(Mecze[[#This Row],[/PR:90]:[/BR:90]],Brudnopis!$E$26:$J$26),0)</f>
        <v>0</v>
      </c>
      <c r="W2361" s="44">
        <f>IF(Mecze[[#This Row],[Role]]&lt;&gt;"BR",SUMPRODUCT(Mecze[[#This Row],[/PR:90]:[/BR:90]],Brudnopis!$E$27:$J$27),0)</f>
        <v>0</v>
      </c>
      <c r="X2361" s="44">
        <f>IF(Mecze[[#This Row],[Role]]&lt;&gt;"BR",SUMPRODUCT(Mecze[[#This Row],[/PR:90]:[/BR:90]],Brudnopis!$E$28:$J$28),0)</f>
        <v>0</v>
      </c>
      <c r="Y2361" s="35">
        <f>IF(Mecze[[#This Row],[Role]]="BR",Mecze[[#This Row],[/OB:90]]+Mecze[[#This Row],[/PC:90]],SUM(Mecze[[#This Row],[/PR:90]:[/BR:90]]))</f>
        <v>1.020408163265306E-2</v>
      </c>
      <c r="Z2361" s="35">
        <f>IF(Mecze[[#This Row],[KC]]=0,SUM(Mecze[[#This Row],[/BRI]:[/NPI]]),SUM(Mecze[[#This Row],[/BRI]:[/NPI]])*0.6)</f>
        <v>3.0612244897959183E-2</v>
      </c>
      <c r="AA2361" s="10">
        <f>IFERROR(Mecze[[#This Row],[BR]]/Mecze[[#This Row],[ST]],0)</f>
        <v>0</v>
      </c>
      <c r="AB2361">
        <f>ROUND(Mecze[[#This Row],[PD]]*Mecze[[#This Row],[%PC]],0)</f>
        <v>0</v>
      </c>
      <c r="AC2361">
        <f>ROUND(Mecze[[#This Row],[OD]]*Mecze[[#This Row],[%OU]],0)</f>
        <v>0</v>
      </c>
      <c r="AD2361" s="36" t="s">
        <v>40</v>
      </c>
      <c r="AE2361" s="36">
        <v>132</v>
      </c>
      <c r="AF2361" s="71">
        <v>7.39</v>
      </c>
      <c r="AG2361" s="37">
        <v>0</v>
      </c>
      <c r="AH2361" s="37">
        <v>0</v>
      </c>
      <c r="AI2361" s="37">
        <v>98</v>
      </c>
      <c r="AJ2361" s="37">
        <v>6</v>
      </c>
      <c r="AK2361" s="37" t="str">
        <f>VLOOKUP(Mecze[[#This Row],[Match ID]],Meczusie[Mecz]:Meczusie[RodzajMeczu],2,FALSE)</f>
        <v>Liga</v>
      </c>
    </row>
    <row r="2362" spans="1:37" x14ac:dyDescent="0.25">
      <c r="A2362" s="76">
        <v>101</v>
      </c>
      <c r="B2362" s="3" t="s">
        <v>248</v>
      </c>
      <c r="C2362" s="2" t="s">
        <v>157</v>
      </c>
      <c r="D2362" s="1">
        <v>0</v>
      </c>
      <c r="E2362" s="1">
        <v>0</v>
      </c>
      <c r="F2362" s="1">
        <v>0</v>
      </c>
      <c r="G2362" s="1">
        <v>9</v>
      </c>
      <c r="H2362" s="4">
        <v>0.89</v>
      </c>
      <c r="I2362" s="1">
        <v>5</v>
      </c>
      <c r="J2362" s="4">
        <v>0.6</v>
      </c>
      <c r="K2362" s="1">
        <v>0</v>
      </c>
      <c r="L2362" s="1">
        <v>14</v>
      </c>
      <c r="M2362" s="32">
        <f>IF(Mecze[[#This Row],[PR]]=0,0,Mecze[[#This Row],[PR]]/Mecze[[#This Row],[CZAS]])</f>
        <v>0.14285714285714285</v>
      </c>
      <c r="N2362" s="32">
        <f>IF(Mecze[[#This Row],[OU]]=0,0,Mecze[[#This Row],[OU]]/Mecze[[#This Row],[CZAS]])</f>
        <v>3.0612244897959183E-2</v>
      </c>
      <c r="O2362" s="32">
        <f>IF(Mecze[[#This Row],[PC]]=0,0,Mecze[[#This Row],[PC]]/Mecze[[#This Row],[CZAS]])</f>
        <v>8.1632653061224483E-2</v>
      </c>
      <c r="P2362" s="32">
        <f>IF(Mecze[[#This Row],[SC]]=0,0,Mecze[[#This Row],[SC]]/Mecze[[#This Row],[CZAS]])</f>
        <v>0</v>
      </c>
      <c r="Q2362" s="32">
        <f>IF(Mecze[[#This Row],[OB]]=0,0,Mecze[[#This Row],[OB]]/Mecze[[#This Row],[CZAS]])</f>
        <v>0</v>
      </c>
      <c r="R2362" s="32">
        <f>IF(Mecze[[#This Row],[BR]]=0,0,Mecze[[#This Row],[BR]]/Mecze[[#This Row],[CZAS]])</f>
        <v>0</v>
      </c>
      <c r="S2362" s="44">
        <f>IF(Mecze[[#This Row],[Role]]="BR",SUMPRODUCT(Mecze[[#This Row],[/PR:90]:[/BR:90]],Brudnopis!$E$23:$J$23),0)</f>
        <v>0</v>
      </c>
      <c r="T2362" s="44">
        <f>IF(Mecze[[#This Row],[Role]]&lt;&gt;"BR",SUMPRODUCT(Mecze[[#This Row],[/PR:90]:[/BR:90]],Brudnopis!$E$24:$J$24),0)</f>
        <v>0.27040816326530609</v>
      </c>
      <c r="U2362" s="44">
        <f>IF(Mecze[[#This Row],[Role]]&lt;&gt;"BR",SUMPRODUCT(Mecze[[#This Row],[/PR:90]:[/BR:90]],Brudnopis!$E$25:$J$25),0)</f>
        <v>0.29591836734693877</v>
      </c>
      <c r="V2362" s="44">
        <f>IF(Mecze[[#This Row],[Role]]&lt;&gt;"BR",SUMPRODUCT(Mecze[[#This Row],[/PR:90]:[/BR:90]],Brudnopis!$E$26:$J$26),0)</f>
        <v>0.25510204081632654</v>
      </c>
      <c r="W2362" s="44">
        <f>IF(Mecze[[#This Row],[Role]]&lt;&gt;"BR",SUMPRODUCT(Mecze[[#This Row],[/PR:90]:[/BR:90]],Brudnopis!$E$27:$J$27),0)</f>
        <v>0.25255102040816324</v>
      </c>
      <c r="X2362" s="44">
        <f>IF(Mecze[[#This Row],[Role]]&lt;&gt;"BR",SUMPRODUCT(Mecze[[#This Row],[/PR:90]:[/BR:90]],Brudnopis!$E$28:$J$28),0)</f>
        <v>8.1632653061224483E-2</v>
      </c>
      <c r="Y2362" s="35">
        <f>IF(Mecze[[#This Row],[Role]]="BR",Mecze[[#This Row],[/OB:90]]+Mecze[[#This Row],[/PC:90]],SUM(Mecze[[#This Row],[/PR:90]:[/BR:90]]))</f>
        <v>0.25510204081632654</v>
      </c>
      <c r="Z2362" s="35">
        <f>IF(Mecze[[#This Row],[KC]]=0,SUM(Mecze[[#This Row],[/BRI]:[/NPI]]),SUM(Mecze[[#This Row],[/BRI]:[/NPI]])*0.6)</f>
        <v>1.1556122448979593</v>
      </c>
      <c r="AA2362" s="10">
        <f>IFERROR(Mecze[[#This Row],[BR]]/Mecze[[#This Row],[ST]],0)</f>
        <v>0</v>
      </c>
      <c r="AB2362">
        <f>ROUND(Mecze[[#This Row],[PD]]*Mecze[[#This Row],[%PC]],0)</f>
        <v>8</v>
      </c>
      <c r="AC2362">
        <f>ROUND(Mecze[[#This Row],[OD]]*Mecze[[#This Row],[%OU]],0)</f>
        <v>3</v>
      </c>
      <c r="AD2362" s="36" t="s">
        <v>47</v>
      </c>
      <c r="AE2362" s="36">
        <v>132</v>
      </c>
      <c r="AF2362" s="71">
        <v>11.1</v>
      </c>
      <c r="AG2362" s="37">
        <v>0</v>
      </c>
      <c r="AH2362" s="37">
        <v>0</v>
      </c>
      <c r="AI2362" s="37">
        <v>98</v>
      </c>
      <c r="AJ2362" s="37">
        <v>6</v>
      </c>
      <c r="AK2362" s="37" t="str">
        <f>VLOOKUP(Mecze[[#This Row],[Match ID]],Meczusie[Mecz]:Meczusie[RodzajMeczu],2,FALSE)</f>
        <v>Liga</v>
      </c>
    </row>
    <row r="2363" spans="1:37" x14ac:dyDescent="0.25">
      <c r="A2363" s="76">
        <v>7</v>
      </c>
      <c r="B2363" s="3" t="s">
        <v>251</v>
      </c>
      <c r="C2363" s="2" t="s">
        <v>157</v>
      </c>
      <c r="D2363" s="1">
        <v>0</v>
      </c>
      <c r="E2363" s="1">
        <v>0</v>
      </c>
      <c r="F2363" s="1">
        <v>0</v>
      </c>
      <c r="G2363" s="1">
        <v>7</v>
      </c>
      <c r="H2363" s="4">
        <v>0.86</v>
      </c>
      <c r="I2363" s="1">
        <v>1</v>
      </c>
      <c r="J2363" s="4">
        <v>1</v>
      </c>
      <c r="K2363" s="1">
        <v>0</v>
      </c>
      <c r="L2363" s="1">
        <v>7</v>
      </c>
      <c r="M2363" s="32">
        <f>IF(Mecze[[#This Row],[PR]]=0,0,Mecze[[#This Row],[PR]]/Mecze[[#This Row],[CZAS]])</f>
        <v>7.1428571428571425E-2</v>
      </c>
      <c r="N2363" s="32">
        <f>IF(Mecze[[#This Row],[OU]]=0,0,Mecze[[#This Row],[OU]]/Mecze[[#This Row],[CZAS]])</f>
        <v>1.020408163265306E-2</v>
      </c>
      <c r="O2363" s="32">
        <f>IF(Mecze[[#This Row],[PC]]=0,0,Mecze[[#This Row],[PC]]/Mecze[[#This Row],[CZAS]])</f>
        <v>6.1224489795918366E-2</v>
      </c>
      <c r="P2363" s="32">
        <f>IF(Mecze[[#This Row],[SC]]=0,0,Mecze[[#This Row],[SC]]/Mecze[[#This Row],[CZAS]])</f>
        <v>0</v>
      </c>
      <c r="Q2363" s="32">
        <f>IF(Mecze[[#This Row],[OB]]=0,0,Mecze[[#This Row],[OB]]/Mecze[[#This Row],[CZAS]])</f>
        <v>0</v>
      </c>
      <c r="R2363" s="32">
        <f>IF(Mecze[[#This Row],[BR]]=0,0,Mecze[[#This Row],[BR]]/Mecze[[#This Row],[CZAS]])</f>
        <v>0</v>
      </c>
      <c r="S2363" s="44">
        <f>IF(Mecze[[#This Row],[Role]]="BR",SUMPRODUCT(Mecze[[#This Row],[/PR:90]:[/BR:90]],Brudnopis!$E$23:$J$23),0)</f>
        <v>0</v>
      </c>
      <c r="T2363" s="44">
        <f>IF(Mecze[[#This Row],[Role]]&lt;&gt;"BR",SUMPRODUCT(Mecze[[#This Row],[/PR:90]:[/BR:90]],Brudnopis!$E$24:$J$24),0)</f>
        <v>0.14795918367346939</v>
      </c>
      <c r="U2363" s="44">
        <f>IF(Mecze[[#This Row],[Role]]&lt;&gt;"BR",SUMPRODUCT(Mecze[[#This Row],[/PR:90]:[/BR:90]],Brudnopis!$E$25:$J$25),0)</f>
        <v>0.17346938775510201</v>
      </c>
      <c r="V2363" s="44">
        <f>IF(Mecze[[#This Row],[Role]]&lt;&gt;"BR",SUMPRODUCT(Mecze[[#This Row],[/PR:90]:[/BR:90]],Brudnopis!$E$26:$J$26),0)</f>
        <v>0.14285714285714285</v>
      </c>
      <c r="W2363" s="44">
        <f>IF(Mecze[[#This Row],[Role]]&lt;&gt;"BR",SUMPRODUCT(Mecze[[#This Row],[/PR:90]:[/BR:90]],Brudnopis!$E$27:$J$27),0)</f>
        <v>0.15306122448979592</v>
      </c>
      <c r="X2363" s="44">
        <f>IF(Mecze[[#This Row],[Role]]&lt;&gt;"BR",SUMPRODUCT(Mecze[[#This Row],[/PR:90]:[/BR:90]],Brudnopis!$E$28:$J$28),0)</f>
        <v>6.1224489795918366E-2</v>
      </c>
      <c r="Y2363" s="35">
        <f>IF(Mecze[[#This Row],[Role]]="BR",Mecze[[#This Row],[/OB:90]]+Mecze[[#This Row],[/PC:90]],SUM(Mecze[[#This Row],[/PR:90]:[/BR:90]]))</f>
        <v>0.14285714285714285</v>
      </c>
      <c r="Z2363" s="35">
        <f>IF(Mecze[[#This Row],[KC]]=0,SUM(Mecze[[#This Row],[/BRI]:[/NPI]]),SUM(Mecze[[#This Row],[/BRI]:[/NPI]])*0.6)</f>
        <v>0.67857142857142849</v>
      </c>
      <c r="AA2363" s="10">
        <f>IFERROR(Mecze[[#This Row],[BR]]/Mecze[[#This Row],[ST]],0)</f>
        <v>0</v>
      </c>
      <c r="AB2363">
        <f>ROUND(Mecze[[#This Row],[PD]]*Mecze[[#This Row],[%PC]],0)</f>
        <v>6</v>
      </c>
      <c r="AC2363">
        <f>ROUND(Mecze[[#This Row],[OD]]*Mecze[[#This Row],[%OU]],0)</f>
        <v>1</v>
      </c>
      <c r="AD2363" s="36" t="s">
        <v>168</v>
      </c>
      <c r="AE2363" s="36">
        <v>132</v>
      </c>
      <c r="AF2363" s="71">
        <v>8.51</v>
      </c>
      <c r="AG2363" s="37">
        <v>0</v>
      </c>
      <c r="AH2363" s="37">
        <v>0</v>
      </c>
      <c r="AI2363" s="37">
        <v>98</v>
      </c>
      <c r="AJ2363" s="37">
        <v>6</v>
      </c>
      <c r="AK2363" s="37" t="str">
        <f>VLOOKUP(Mecze[[#This Row],[Match ID]],Meczusie[Mecz]:Meczusie[RodzajMeczu],2,FALSE)</f>
        <v>Liga</v>
      </c>
    </row>
    <row r="2364" spans="1:37" x14ac:dyDescent="0.25">
      <c r="A2364" s="76">
        <v>2</v>
      </c>
      <c r="B2364" s="3" t="s">
        <v>249</v>
      </c>
      <c r="C2364" s="2" t="s">
        <v>157</v>
      </c>
      <c r="D2364" s="1">
        <v>0</v>
      </c>
      <c r="E2364" s="1">
        <v>0</v>
      </c>
      <c r="F2364" s="1">
        <v>0</v>
      </c>
      <c r="G2364" s="1">
        <v>3</v>
      </c>
      <c r="H2364" s="4">
        <v>0.67</v>
      </c>
      <c r="I2364" s="1">
        <v>0</v>
      </c>
      <c r="J2364" s="4"/>
      <c r="K2364" s="1">
        <v>0</v>
      </c>
      <c r="L2364" s="1">
        <v>1</v>
      </c>
      <c r="M2364" s="32">
        <f>IF(Mecze[[#This Row],[PR]]=0,0,Mecze[[#This Row],[PR]]/Mecze[[#This Row],[CZAS]])</f>
        <v>1.4925373134328358E-2</v>
      </c>
      <c r="N2364" s="32">
        <f>IF(Mecze[[#This Row],[OU]]=0,0,Mecze[[#This Row],[OU]]/Mecze[[#This Row],[CZAS]])</f>
        <v>0</v>
      </c>
      <c r="O2364" s="32">
        <f>IF(Mecze[[#This Row],[PC]]=0,0,Mecze[[#This Row],[PC]]/Mecze[[#This Row],[CZAS]])</f>
        <v>2.9850746268656716E-2</v>
      </c>
      <c r="P2364" s="32">
        <f>IF(Mecze[[#This Row],[SC]]=0,0,Mecze[[#This Row],[SC]]/Mecze[[#This Row],[CZAS]])</f>
        <v>0</v>
      </c>
      <c r="Q2364" s="32">
        <f>IF(Mecze[[#This Row],[OB]]=0,0,Mecze[[#This Row],[OB]]/Mecze[[#This Row],[CZAS]])</f>
        <v>0</v>
      </c>
      <c r="R2364" s="32">
        <f>IF(Mecze[[#This Row],[BR]]=0,0,Mecze[[#This Row],[BR]]/Mecze[[#This Row],[CZAS]])</f>
        <v>0</v>
      </c>
      <c r="S2364" s="44">
        <f>IF(Mecze[[#This Row],[Role]]="BR",SUMPRODUCT(Mecze[[#This Row],[/PR:90]:[/BR:90]],Brudnopis!$E$23:$J$23),0)</f>
        <v>0</v>
      </c>
      <c r="T2364" s="44">
        <f>IF(Mecze[[#This Row],[Role]]&lt;&gt;"BR",SUMPRODUCT(Mecze[[#This Row],[/PR:90]:[/BR:90]],Brudnopis!$E$24:$J$24),0)</f>
        <v>4.4776119402985072E-2</v>
      </c>
      <c r="U2364" s="44">
        <f>IF(Mecze[[#This Row],[Role]]&lt;&gt;"BR",SUMPRODUCT(Mecze[[#This Row],[/PR:90]:[/BR:90]],Brudnopis!$E$25:$J$25),0)</f>
        <v>5.9701492537313432E-2</v>
      </c>
      <c r="V2364" s="44">
        <f>IF(Mecze[[#This Row],[Role]]&lt;&gt;"BR",SUMPRODUCT(Mecze[[#This Row],[/PR:90]:[/BR:90]],Brudnopis!$E$26:$J$26),0)</f>
        <v>4.4776119402985072E-2</v>
      </c>
      <c r="W2364" s="44">
        <f>IF(Mecze[[#This Row],[Role]]&lt;&gt;"BR",SUMPRODUCT(Mecze[[#This Row],[/PR:90]:[/BR:90]],Brudnopis!$E$27:$J$27),0)</f>
        <v>5.5970149253731338E-2</v>
      </c>
      <c r="X2364" s="44">
        <f>IF(Mecze[[#This Row],[Role]]&lt;&gt;"BR",SUMPRODUCT(Mecze[[#This Row],[/PR:90]:[/BR:90]],Brudnopis!$E$28:$J$28),0)</f>
        <v>2.9850746268656716E-2</v>
      </c>
      <c r="Y2364" s="35">
        <f>IF(Mecze[[#This Row],[Role]]="BR",Mecze[[#This Row],[/OB:90]]+Mecze[[#This Row],[/PC:90]],SUM(Mecze[[#This Row],[/PR:90]:[/BR:90]]))</f>
        <v>4.4776119402985072E-2</v>
      </c>
      <c r="Z2364" s="35">
        <f>IF(Mecze[[#This Row],[KC]]=0,SUM(Mecze[[#This Row],[/BRI]:[/NPI]]),SUM(Mecze[[#This Row],[/BRI]:[/NPI]])*0.6)</f>
        <v>0.23507462686567163</v>
      </c>
      <c r="AA2364" s="10">
        <f>IFERROR(Mecze[[#This Row],[BR]]/Mecze[[#This Row],[ST]],0)</f>
        <v>0</v>
      </c>
      <c r="AB2364">
        <f>ROUND(Mecze[[#This Row],[PD]]*Mecze[[#This Row],[%PC]],0)</f>
        <v>2</v>
      </c>
      <c r="AC2364">
        <f>ROUND(Mecze[[#This Row],[OD]]*Mecze[[#This Row],[%OU]],0)</f>
        <v>0</v>
      </c>
      <c r="AD2364" s="36" t="s">
        <v>167</v>
      </c>
      <c r="AE2364" s="36">
        <v>132</v>
      </c>
      <c r="AF2364" s="71">
        <v>7.25</v>
      </c>
      <c r="AG2364" s="37">
        <v>0</v>
      </c>
      <c r="AH2364" s="37">
        <v>0</v>
      </c>
      <c r="AI2364" s="37">
        <v>67</v>
      </c>
      <c r="AJ2364" s="37">
        <v>6</v>
      </c>
      <c r="AK2364" s="37" t="str">
        <f>VLOOKUP(Mecze[[#This Row],[Match ID]],Meczusie[Mecz]:Meczusie[RodzajMeczu],2,FALSE)</f>
        <v>Liga</v>
      </c>
    </row>
    <row r="2365" spans="1:37" x14ac:dyDescent="0.25">
      <c r="A2365" s="76">
        <v>8</v>
      </c>
      <c r="B2365" s="3" t="s">
        <v>254</v>
      </c>
      <c r="C2365" s="2" t="s">
        <v>160</v>
      </c>
      <c r="D2365" s="1">
        <v>0</v>
      </c>
      <c r="E2365" s="1">
        <v>0</v>
      </c>
      <c r="F2365" s="1">
        <v>0</v>
      </c>
      <c r="G2365" s="1">
        <v>19</v>
      </c>
      <c r="H2365" s="4">
        <v>0.84</v>
      </c>
      <c r="I2365" s="1">
        <v>4</v>
      </c>
      <c r="J2365" s="4">
        <v>0.75</v>
      </c>
      <c r="K2365" s="1">
        <v>0</v>
      </c>
      <c r="L2365" s="1">
        <v>9</v>
      </c>
      <c r="M2365" s="32">
        <f>IF(Mecze[[#This Row],[PR]]=0,0,Mecze[[#This Row],[PR]]/Mecze[[#This Row],[CZAS]])</f>
        <v>9.1836734693877556E-2</v>
      </c>
      <c r="N2365" s="32">
        <f>IF(Mecze[[#This Row],[OU]]=0,0,Mecze[[#This Row],[OU]]/Mecze[[#This Row],[CZAS]])</f>
        <v>3.0612244897959183E-2</v>
      </c>
      <c r="O2365" s="32">
        <f>IF(Mecze[[#This Row],[PC]]=0,0,Mecze[[#This Row],[PC]]/Mecze[[#This Row],[CZAS]])</f>
        <v>0.16326530612244897</v>
      </c>
      <c r="P2365" s="32">
        <f>IF(Mecze[[#This Row],[SC]]=0,0,Mecze[[#This Row],[SC]]/Mecze[[#This Row],[CZAS]])</f>
        <v>0</v>
      </c>
      <c r="Q2365" s="32">
        <f>IF(Mecze[[#This Row],[OB]]=0,0,Mecze[[#This Row],[OB]]/Mecze[[#This Row],[CZAS]])</f>
        <v>0</v>
      </c>
      <c r="R2365" s="32">
        <f>IF(Mecze[[#This Row],[BR]]=0,0,Mecze[[#This Row],[BR]]/Mecze[[#This Row],[CZAS]])</f>
        <v>0</v>
      </c>
      <c r="S2365" s="44">
        <f>IF(Mecze[[#This Row],[Role]]="BR",SUMPRODUCT(Mecze[[#This Row],[/PR:90]:[/BR:90]],Brudnopis!$E$23:$J$23),0)</f>
        <v>0</v>
      </c>
      <c r="T2365" s="44">
        <f>IF(Mecze[[#This Row],[Role]]&lt;&gt;"BR",SUMPRODUCT(Mecze[[#This Row],[/PR:90]:[/BR:90]],Brudnopis!$E$24:$J$24),0)</f>
        <v>0.30102040816326525</v>
      </c>
      <c r="U2365" s="44">
        <f>IF(Mecze[[#This Row],[Role]]&lt;&gt;"BR",SUMPRODUCT(Mecze[[#This Row],[/PR:90]:[/BR:90]],Brudnopis!$E$25:$J$25),0)</f>
        <v>0.36734693877551017</v>
      </c>
      <c r="V2365" s="44">
        <f>IF(Mecze[[#This Row],[Role]]&lt;&gt;"BR",SUMPRODUCT(Mecze[[#This Row],[/PR:90]:[/BR:90]],Brudnopis!$E$26:$J$26),0)</f>
        <v>0.2857142857142857</v>
      </c>
      <c r="W2365" s="44">
        <f>IF(Mecze[[#This Row],[Role]]&lt;&gt;"BR",SUMPRODUCT(Mecze[[#This Row],[/PR:90]:[/BR:90]],Brudnopis!$E$27:$J$27),0)</f>
        <v>0.33673469387755101</v>
      </c>
      <c r="X2365" s="44">
        <f>IF(Mecze[[#This Row],[Role]]&lt;&gt;"BR",SUMPRODUCT(Mecze[[#This Row],[/PR:90]:[/BR:90]],Brudnopis!$E$28:$J$28),0)</f>
        <v>0.16326530612244897</v>
      </c>
      <c r="Y2365" s="35">
        <f>IF(Mecze[[#This Row],[Role]]="BR",Mecze[[#This Row],[/OB:90]]+Mecze[[#This Row],[/PC:90]],SUM(Mecze[[#This Row],[/PR:90]:[/BR:90]]))</f>
        <v>0.2857142857142857</v>
      </c>
      <c r="Z2365" s="35">
        <f>IF(Mecze[[#This Row],[KC]]=0,SUM(Mecze[[#This Row],[/BRI]:[/NPI]]),SUM(Mecze[[#This Row],[/BRI]:[/NPI]])*0.6)</f>
        <v>1.454081632653061</v>
      </c>
      <c r="AA2365" s="10">
        <f>IFERROR(Mecze[[#This Row],[BR]]/Mecze[[#This Row],[ST]],0)</f>
        <v>0</v>
      </c>
      <c r="AB2365">
        <f>ROUND(Mecze[[#This Row],[PD]]*Mecze[[#This Row],[%PC]],0)</f>
        <v>16</v>
      </c>
      <c r="AC2365">
        <f>ROUND(Mecze[[#This Row],[OD]]*Mecze[[#This Row],[%OU]],0)</f>
        <v>3</v>
      </c>
      <c r="AD2365" s="36" t="s">
        <v>41</v>
      </c>
      <c r="AE2365" s="36">
        <v>132</v>
      </c>
      <c r="AF2365" s="71">
        <v>11.05</v>
      </c>
      <c r="AG2365" s="37">
        <v>0</v>
      </c>
      <c r="AH2365" s="37">
        <v>0</v>
      </c>
      <c r="AI2365" s="37">
        <v>98</v>
      </c>
      <c r="AJ2365" s="37">
        <v>6</v>
      </c>
      <c r="AK2365" s="37" t="str">
        <f>VLOOKUP(Mecze[[#This Row],[Match ID]],Meczusie[Mecz]:Meczusie[RodzajMeczu],2,FALSE)</f>
        <v>Liga</v>
      </c>
    </row>
    <row r="2366" spans="1:37" x14ac:dyDescent="0.25">
      <c r="A2366" s="76">
        <v>10</v>
      </c>
      <c r="B2366" s="3" t="s">
        <v>252</v>
      </c>
      <c r="C2366" s="2" t="s">
        <v>160</v>
      </c>
      <c r="D2366" s="1">
        <v>0</v>
      </c>
      <c r="E2366" s="1">
        <v>1</v>
      </c>
      <c r="F2366" s="1">
        <v>1</v>
      </c>
      <c r="G2366" s="1">
        <v>5</v>
      </c>
      <c r="H2366" s="4">
        <v>1</v>
      </c>
      <c r="I2366" s="1">
        <v>0</v>
      </c>
      <c r="J2366" s="4"/>
      <c r="K2366" s="1">
        <v>0</v>
      </c>
      <c r="L2366" s="1">
        <v>3</v>
      </c>
      <c r="M2366" s="32">
        <f>IF(Mecze[[#This Row],[PR]]=0,0,Mecze[[#This Row],[PR]]/Mecze[[#This Row],[CZAS]])</f>
        <v>3.0612244897959183E-2</v>
      </c>
      <c r="N2366" s="32">
        <f>IF(Mecze[[#This Row],[OU]]=0,0,Mecze[[#This Row],[OU]]/Mecze[[#This Row],[CZAS]])</f>
        <v>0</v>
      </c>
      <c r="O2366" s="32">
        <f>IF(Mecze[[#This Row],[PC]]=0,0,Mecze[[#This Row],[PC]]/Mecze[[#This Row],[CZAS]])</f>
        <v>5.1020408163265307E-2</v>
      </c>
      <c r="P2366" s="32">
        <f>IF(Mecze[[#This Row],[SC]]=0,0,Mecze[[#This Row],[SC]]/Mecze[[#This Row],[CZAS]])</f>
        <v>1.020408163265306E-2</v>
      </c>
      <c r="Q2366" s="32">
        <f>IF(Mecze[[#This Row],[OB]]=0,0,Mecze[[#This Row],[OB]]/Mecze[[#This Row],[CZAS]])</f>
        <v>0</v>
      </c>
      <c r="R2366" s="32">
        <f>IF(Mecze[[#This Row],[BR]]=0,0,Mecze[[#This Row],[BR]]/Mecze[[#This Row],[CZAS]])</f>
        <v>0</v>
      </c>
      <c r="S2366" s="44">
        <f>IF(Mecze[[#This Row],[Role]]="BR",SUMPRODUCT(Mecze[[#This Row],[/PR:90]:[/BR:90]],Brudnopis!$E$23:$J$23),0)</f>
        <v>0</v>
      </c>
      <c r="T2366" s="44">
        <f>IF(Mecze[[#This Row],[Role]]&lt;&gt;"BR",SUMPRODUCT(Mecze[[#This Row],[/PR:90]:[/BR:90]],Brudnopis!$E$24:$J$24),0)</f>
        <v>9.1836734693877556E-2</v>
      </c>
      <c r="U2366" s="44">
        <f>IF(Mecze[[#This Row],[Role]]&lt;&gt;"BR",SUMPRODUCT(Mecze[[#This Row],[/PR:90]:[/BR:90]],Brudnopis!$E$25:$J$25),0)</f>
        <v>0.11734693877551021</v>
      </c>
      <c r="V2366" s="44">
        <f>IF(Mecze[[#This Row],[Role]]&lt;&gt;"BR",SUMPRODUCT(Mecze[[#This Row],[/PR:90]:[/BR:90]],Brudnopis!$E$26:$J$26),0)</f>
        <v>9.1836734693877556E-2</v>
      </c>
      <c r="W2366" s="44">
        <f>IF(Mecze[[#This Row],[Role]]&lt;&gt;"BR",SUMPRODUCT(Mecze[[#This Row],[/PR:90]:[/BR:90]],Brudnopis!$E$27:$J$27),0)</f>
        <v>0.10969387755102041</v>
      </c>
      <c r="X2366" s="44">
        <f>IF(Mecze[[#This Row],[Role]]&lt;&gt;"BR",SUMPRODUCT(Mecze[[#This Row],[/PR:90]:[/BR:90]],Brudnopis!$E$28:$J$28),0)</f>
        <v>7.1428571428571425E-2</v>
      </c>
      <c r="Y2366" s="35">
        <f>IF(Mecze[[#This Row],[Role]]="BR",Mecze[[#This Row],[/OB:90]]+Mecze[[#This Row],[/PC:90]],SUM(Mecze[[#This Row],[/PR:90]:[/BR:90]]))</f>
        <v>9.1836734693877556E-2</v>
      </c>
      <c r="Z2366" s="35">
        <f>IF(Mecze[[#This Row],[KC]]=0,SUM(Mecze[[#This Row],[/BRI]:[/NPI]]),SUM(Mecze[[#This Row],[/BRI]:[/NPI]])*0.6)</f>
        <v>0.4821428571428571</v>
      </c>
      <c r="AA2366" s="10">
        <f>IFERROR(Mecze[[#This Row],[BR]]/Mecze[[#This Row],[ST]],0)</f>
        <v>0</v>
      </c>
      <c r="AB2366">
        <f>ROUND(Mecze[[#This Row],[PD]]*Mecze[[#This Row],[%PC]],0)</f>
        <v>5</v>
      </c>
      <c r="AC2366">
        <f>ROUND(Mecze[[#This Row],[OD]]*Mecze[[#This Row],[%OU]],0)</f>
        <v>0</v>
      </c>
      <c r="AD2366" s="36" t="s">
        <v>318</v>
      </c>
      <c r="AE2366" s="36">
        <v>132</v>
      </c>
      <c r="AF2366" s="71">
        <v>11.23</v>
      </c>
      <c r="AG2366" s="37">
        <v>0</v>
      </c>
      <c r="AH2366" s="37">
        <v>0</v>
      </c>
      <c r="AI2366" s="37">
        <v>98</v>
      </c>
      <c r="AJ2366" s="37">
        <v>6</v>
      </c>
      <c r="AK2366" s="37" t="str">
        <f>VLOOKUP(Mecze[[#This Row],[Match ID]],Meczusie[Mecz]:Meczusie[RodzajMeczu],2,FALSE)</f>
        <v>Liga</v>
      </c>
    </row>
    <row r="2367" spans="1:37" x14ac:dyDescent="0.25">
      <c r="A2367" s="76">
        <v>11</v>
      </c>
      <c r="B2367" s="3" t="s">
        <v>250</v>
      </c>
      <c r="C2367" s="2" t="s">
        <v>160</v>
      </c>
      <c r="D2367" s="1">
        <v>0</v>
      </c>
      <c r="E2367" s="1">
        <v>0</v>
      </c>
      <c r="F2367" s="1">
        <v>0</v>
      </c>
      <c r="G2367" s="1">
        <v>13</v>
      </c>
      <c r="H2367" s="4">
        <v>0.92</v>
      </c>
      <c r="I2367" s="1">
        <v>1</v>
      </c>
      <c r="J2367" s="4">
        <v>1</v>
      </c>
      <c r="K2367" s="1">
        <v>0</v>
      </c>
      <c r="L2367" s="1">
        <v>7</v>
      </c>
      <c r="M2367" s="32">
        <f>IF(Mecze[[#This Row],[PR]]=0,0,Mecze[[#This Row],[PR]]/Mecze[[#This Row],[CZAS]])</f>
        <v>9.2105263157894732E-2</v>
      </c>
      <c r="N2367" s="32">
        <f>IF(Mecze[[#This Row],[OU]]=0,0,Mecze[[#This Row],[OU]]/Mecze[[#This Row],[CZAS]])</f>
        <v>1.3157894736842105E-2</v>
      </c>
      <c r="O2367" s="32">
        <f>IF(Mecze[[#This Row],[PC]]=0,0,Mecze[[#This Row],[PC]]/Mecze[[#This Row],[CZAS]])</f>
        <v>0.15789473684210525</v>
      </c>
      <c r="P2367" s="32">
        <f>IF(Mecze[[#This Row],[SC]]=0,0,Mecze[[#This Row],[SC]]/Mecze[[#This Row],[CZAS]])</f>
        <v>0</v>
      </c>
      <c r="Q2367" s="32">
        <f>IF(Mecze[[#This Row],[OB]]=0,0,Mecze[[#This Row],[OB]]/Mecze[[#This Row],[CZAS]])</f>
        <v>0</v>
      </c>
      <c r="R2367" s="32">
        <f>IF(Mecze[[#This Row],[BR]]=0,0,Mecze[[#This Row],[BR]]/Mecze[[#This Row],[CZAS]])</f>
        <v>0</v>
      </c>
      <c r="S2367" s="44">
        <f>IF(Mecze[[#This Row],[Role]]="BR",SUMPRODUCT(Mecze[[#This Row],[/PR:90]:[/BR:90]],Brudnopis!$E$23:$J$23),0)</f>
        <v>0</v>
      </c>
      <c r="T2367" s="44">
        <f>IF(Mecze[[#This Row],[Role]]&lt;&gt;"BR",SUMPRODUCT(Mecze[[#This Row],[/PR:90]:[/BR:90]],Brudnopis!$E$24:$J$24),0)</f>
        <v>0.26973684210526316</v>
      </c>
      <c r="U2367" s="44">
        <f>IF(Mecze[[#This Row],[Role]]&lt;&gt;"BR",SUMPRODUCT(Mecze[[#This Row],[/PR:90]:[/BR:90]],Brudnopis!$E$25:$J$25),0)</f>
        <v>0.34210526315789469</v>
      </c>
      <c r="V2367" s="44">
        <f>IF(Mecze[[#This Row],[Role]]&lt;&gt;"BR",SUMPRODUCT(Mecze[[#This Row],[/PR:90]:[/BR:90]],Brudnopis!$E$26:$J$26),0)</f>
        <v>0.26315789473684209</v>
      </c>
      <c r="W2367" s="44">
        <f>IF(Mecze[[#This Row],[Role]]&lt;&gt;"BR",SUMPRODUCT(Mecze[[#This Row],[/PR:90]:[/BR:90]],Brudnopis!$E$27:$J$27),0)</f>
        <v>0.31578947368421051</v>
      </c>
      <c r="X2367" s="44">
        <f>IF(Mecze[[#This Row],[Role]]&lt;&gt;"BR",SUMPRODUCT(Mecze[[#This Row],[/PR:90]:[/BR:90]],Brudnopis!$E$28:$J$28),0)</f>
        <v>0.15789473684210525</v>
      </c>
      <c r="Y2367" s="35">
        <f>IF(Mecze[[#This Row],[Role]]="BR",Mecze[[#This Row],[/OB:90]]+Mecze[[#This Row],[/PC:90]],SUM(Mecze[[#This Row],[/PR:90]:[/BR:90]]))</f>
        <v>0.26315789473684209</v>
      </c>
      <c r="Z2367" s="35">
        <f>IF(Mecze[[#This Row],[KC]]=0,SUM(Mecze[[#This Row],[/BRI]:[/NPI]]),SUM(Mecze[[#This Row],[/BRI]:[/NPI]])*0.6)</f>
        <v>1.3486842105263159</v>
      </c>
      <c r="AA2367" s="10">
        <f>IFERROR(Mecze[[#This Row],[BR]]/Mecze[[#This Row],[ST]],0)</f>
        <v>0</v>
      </c>
      <c r="AB2367">
        <f>ROUND(Mecze[[#This Row],[PD]]*Mecze[[#This Row],[%PC]],0)</f>
        <v>12</v>
      </c>
      <c r="AC2367">
        <f>ROUND(Mecze[[#This Row],[OD]]*Mecze[[#This Row],[%OU]],0)</f>
        <v>1</v>
      </c>
      <c r="AD2367" s="36" t="s">
        <v>319</v>
      </c>
      <c r="AE2367" s="36">
        <v>132</v>
      </c>
      <c r="AF2367" s="71">
        <v>10.63</v>
      </c>
      <c r="AG2367" s="37">
        <v>0</v>
      </c>
      <c r="AH2367" s="37">
        <v>0</v>
      </c>
      <c r="AI2367" s="37">
        <v>76</v>
      </c>
      <c r="AJ2367" s="37">
        <v>6</v>
      </c>
      <c r="AK2367" s="37" t="str">
        <f>VLOOKUP(Mecze[[#This Row],[Match ID]],Meczusie[Mecz]:Meczusie[RodzajMeczu],2,FALSE)</f>
        <v>Liga</v>
      </c>
    </row>
    <row r="2368" spans="1:37" x14ac:dyDescent="0.25">
      <c r="A2368" s="76">
        <v>106</v>
      </c>
      <c r="B2368" s="3" t="s">
        <v>424</v>
      </c>
      <c r="C2368" s="2" t="s">
        <v>160</v>
      </c>
      <c r="D2368" s="1">
        <v>0</v>
      </c>
      <c r="E2368" s="1">
        <v>1</v>
      </c>
      <c r="F2368" s="1">
        <v>1</v>
      </c>
      <c r="G2368" s="1">
        <v>10</v>
      </c>
      <c r="H2368" s="4">
        <v>0.8</v>
      </c>
      <c r="I2368" s="1">
        <v>0</v>
      </c>
      <c r="J2368" s="4"/>
      <c r="K2368" s="1">
        <v>0</v>
      </c>
      <c r="L2368" s="1">
        <v>12</v>
      </c>
      <c r="M2368" s="32">
        <f>IF(Mecze[[#This Row],[PR]]=0,0,Mecze[[#This Row],[PR]]/Mecze[[#This Row],[CZAS]])</f>
        <v>0.12244897959183673</v>
      </c>
      <c r="N2368" s="32">
        <f>IF(Mecze[[#This Row],[OU]]=0,0,Mecze[[#This Row],[OU]]/Mecze[[#This Row],[CZAS]])</f>
        <v>0</v>
      </c>
      <c r="O2368" s="32">
        <f>IF(Mecze[[#This Row],[PC]]=0,0,Mecze[[#This Row],[PC]]/Mecze[[#This Row],[CZAS]])</f>
        <v>8.1632653061224483E-2</v>
      </c>
      <c r="P2368" s="32">
        <f>IF(Mecze[[#This Row],[SC]]=0,0,Mecze[[#This Row],[SC]]/Mecze[[#This Row],[CZAS]])</f>
        <v>1.020408163265306E-2</v>
      </c>
      <c r="Q2368" s="32">
        <f>IF(Mecze[[#This Row],[OB]]=0,0,Mecze[[#This Row],[OB]]/Mecze[[#This Row],[CZAS]])</f>
        <v>0</v>
      </c>
      <c r="R2368" s="32">
        <f>IF(Mecze[[#This Row],[BR]]=0,0,Mecze[[#This Row],[BR]]/Mecze[[#This Row],[CZAS]])</f>
        <v>0</v>
      </c>
      <c r="S2368" s="44">
        <f>IF(Mecze[[#This Row],[Role]]="BR",SUMPRODUCT(Mecze[[#This Row],[/PR:90]:[/BR:90]],Brudnopis!$E$23:$J$23),0)</f>
        <v>0</v>
      </c>
      <c r="T2368" s="44">
        <f>IF(Mecze[[#This Row],[Role]]&lt;&gt;"BR",SUMPRODUCT(Mecze[[#This Row],[/PR:90]:[/BR:90]],Brudnopis!$E$24:$J$24),0)</f>
        <v>0.2142857142857143</v>
      </c>
      <c r="U2368" s="44">
        <f>IF(Mecze[[#This Row],[Role]]&lt;&gt;"BR",SUMPRODUCT(Mecze[[#This Row],[/PR:90]:[/BR:90]],Brudnopis!$E$25:$J$25),0)</f>
        <v>0.25510204081632654</v>
      </c>
      <c r="V2368" s="44">
        <f>IF(Mecze[[#This Row],[Role]]&lt;&gt;"BR",SUMPRODUCT(Mecze[[#This Row],[/PR:90]:[/BR:90]],Brudnopis!$E$26:$J$26),0)</f>
        <v>0.2142857142857143</v>
      </c>
      <c r="W2368" s="44">
        <f>IF(Mecze[[#This Row],[Role]]&lt;&gt;"BR",SUMPRODUCT(Mecze[[#This Row],[/PR:90]:[/BR:90]],Brudnopis!$E$27:$J$27),0)</f>
        <v>0.22448979591836735</v>
      </c>
      <c r="X2368" s="44">
        <f>IF(Mecze[[#This Row],[Role]]&lt;&gt;"BR",SUMPRODUCT(Mecze[[#This Row],[/PR:90]:[/BR:90]],Brudnopis!$E$28:$J$28),0)</f>
        <v>0.1020408163265306</v>
      </c>
      <c r="Y2368" s="35">
        <f>IF(Mecze[[#This Row],[Role]]="BR",Mecze[[#This Row],[/OB:90]]+Mecze[[#This Row],[/PC:90]],SUM(Mecze[[#This Row],[/PR:90]:[/BR:90]]))</f>
        <v>0.2142857142857143</v>
      </c>
      <c r="Z2368" s="35">
        <f>IF(Mecze[[#This Row],[KC]]=0,SUM(Mecze[[#This Row],[/BRI]:[/NPI]]),SUM(Mecze[[#This Row],[/BRI]:[/NPI]])*0.6)</f>
        <v>1.010204081632653</v>
      </c>
      <c r="AA2368" s="10">
        <f>IFERROR(Mecze[[#This Row],[BR]]/Mecze[[#This Row],[ST]],0)</f>
        <v>0</v>
      </c>
      <c r="AB2368">
        <f>ROUND(Mecze[[#This Row],[PD]]*Mecze[[#This Row],[%PC]],0)</f>
        <v>8</v>
      </c>
      <c r="AC2368">
        <f>ROUND(Mecze[[#This Row],[OD]]*Mecze[[#This Row],[%OU]],0)</f>
        <v>0</v>
      </c>
      <c r="AD2368" s="36" t="s">
        <v>44</v>
      </c>
      <c r="AE2368" s="36">
        <v>132</v>
      </c>
      <c r="AF2368" s="71">
        <v>11.91</v>
      </c>
      <c r="AG2368" s="37">
        <v>0</v>
      </c>
      <c r="AH2368" s="37">
        <v>0</v>
      </c>
      <c r="AI2368" s="37">
        <v>98</v>
      </c>
      <c r="AJ2368" s="37">
        <v>6</v>
      </c>
      <c r="AK2368" s="37" t="str">
        <f>VLOOKUP(Mecze[[#This Row],[Match ID]],Meczusie[Mecz]:Meczusie[RodzajMeczu],2,FALSE)</f>
        <v>Liga</v>
      </c>
    </row>
    <row r="2369" spans="1:37" x14ac:dyDescent="0.25">
      <c r="A2369" s="76">
        <v>6</v>
      </c>
      <c r="B2369" s="3" t="s">
        <v>255</v>
      </c>
      <c r="C2369" s="2" t="s">
        <v>165</v>
      </c>
      <c r="D2369" s="1">
        <v>0</v>
      </c>
      <c r="E2369" s="1">
        <v>0</v>
      </c>
      <c r="F2369" s="1">
        <v>0</v>
      </c>
      <c r="G2369" s="1">
        <v>4</v>
      </c>
      <c r="H2369" s="4">
        <v>0.75</v>
      </c>
      <c r="I2369" s="1">
        <v>0</v>
      </c>
      <c r="J2369" s="4"/>
      <c r="K2369" s="1">
        <v>0</v>
      </c>
      <c r="L2369" s="1">
        <v>0</v>
      </c>
      <c r="M2369" s="32">
        <f>IF(Mecze[[#This Row],[PR]]=0,0,Mecze[[#This Row],[PR]]/Mecze[[#This Row],[CZAS]])</f>
        <v>0</v>
      </c>
      <c r="N2369" s="32">
        <f>IF(Mecze[[#This Row],[OU]]=0,0,Mecze[[#This Row],[OU]]/Mecze[[#This Row],[CZAS]])</f>
        <v>0</v>
      </c>
      <c r="O2369" s="32">
        <f>IF(Mecze[[#This Row],[PC]]=0,0,Mecze[[#This Row],[PC]]/Mecze[[#This Row],[CZAS]])</f>
        <v>3.0612244897959183E-2</v>
      </c>
      <c r="P2369" s="32">
        <f>IF(Mecze[[#This Row],[SC]]=0,0,Mecze[[#This Row],[SC]]/Mecze[[#This Row],[CZAS]])</f>
        <v>0</v>
      </c>
      <c r="Q2369" s="32">
        <f>IF(Mecze[[#This Row],[OB]]=0,0,Mecze[[#This Row],[OB]]/Mecze[[#This Row],[CZAS]])</f>
        <v>0</v>
      </c>
      <c r="R2369" s="32">
        <f>IF(Mecze[[#This Row],[BR]]=0,0,Mecze[[#This Row],[BR]]/Mecze[[#This Row],[CZAS]])</f>
        <v>0</v>
      </c>
      <c r="S2369" s="44">
        <f>IF(Mecze[[#This Row],[Role]]="BR",SUMPRODUCT(Mecze[[#This Row],[/PR:90]:[/BR:90]],Brudnopis!$E$23:$J$23),0)</f>
        <v>0</v>
      </c>
      <c r="T2369" s="44">
        <f>IF(Mecze[[#This Row],[Role]]&lt;&gt;"BR",SUMPRODUCT(Mecze[[#This Row],[/PR:90]:[/BR:90]],Brudnopis!$E$24:$J$24),0)</f>
        <v>3.0612244897959183E-2</v>
      </c>
      <c r="U2369" s="44">
        <f>IF(Mecze[[#This Row],[Role]]&lt;&gt;"BR",SUMPRODUCT(Mecze[[#This Row],[/PR:90]:[/BR:90]],Brudnopis!$E$25:$J$25),0)</f>
        <v>4.5918367346938771E-2</v>
      </c>
      <c r="V2369" s="44">
        <f>IF(Mecze[[#This Row],[Role]]&lt;&gt;"BR",SUMPRODUCT(Mecze[[#This Row],[/PR:90]:[/BR:90]],Brudnopis!$E$26:$J$26),0)</f>
        <v>3.0612244897959183E-2</v>
      </c>
      <c r="W2369" s="44">
        <f>IF(Mecze[[#This Row],[Role]]&lt;&gt;"BR",SUMPRODUCT(Mecze[[#This Row],[/PR:90]:[/BR:90]],Brudnopis!$E$27:$J$27),0)</f>
        <v>4.5918367346938771E-2</v>
      </c>
      <c r="X2369" s="44">
        <f>IF(Mecze[[#This Row],[Role]]&lt;&gt;"BR",SUMPRODUCT(Mecze[[#This Row],[/PR:90]:[/BR:90]],Brudnopis!$E$28:$J$28),0)</f>
        <v>3.0612244897959183E-2</v>
      </c>
      <c r="Y2369" s="35">
        <f>IF(Mecze[[#This Row],[Role]]="BR",Mecze[[#This Row],[/OB:90]]+Mecze[[#This Row],[/PC:90]],SUM(Mecze[[#This Row],[/PR:90]:[/BR:90]]))</f>
        <v>3.0612244897959183E-2</v>
      </c>
      <c r="Z2369" s="35">
        <f>IF(Mecze[[#This Row],[KC]]=0,SUM(Mecze[[#This Row],[/BRI]:[/NPI]]),SUM(Mecze[[#This Row],[/BRI]:[/NPI]])*0.6)</f>
        <v>0.18367346938775511</v>
      </c>
      <c r="AA2369" s="10">
        <f>IFERROR(Mecze[[#This Row],[BR]]/Mecze[[#This Row],[ST]],0)</f>
        <v>0</v>
      </c>
      <c r="AB2369">
        <f>ROUND(Mecze[[#This Row],[PD]]*Mecze[[#This Row],[%PC]],0)</f>
        <v>3</v>
      </c>
      <c r="AC2369">
        <f>ROUND(Mecze[[#This Row],[OD]]*Mecze[[#This Row],[%OU]],0)</f>
        <v>0</v>
      </c>
      <c r="AD2369" s="36" t="s">
        <v>232</v>
      </c>
      <c r="AE2369" s="36">
        <v>132</v>
      </c>
      <c r="AF2369" s="71">
        <v>3.93</v>
      </c>
      <c r="AG2369" s="37">
        <v>0</v>
      </c>
      <c r="AH2369" s="37">
        <v>0</v>
      </c>
      <c r="AI2369" s="37">
        <v>98</v>
      </c>
      <c r="AJ2369" s="37">
        <v>6</v>
      </c>
      <c r="AK2369" s="37" t="str">
        <f>VLOOKUP(Mecze[[#This Row],[Match ID]],Meczusie[Mecz]:Meczusie[RodzajMeczu],2,FALSE)</f>
        <v>Liga</v>
      </c>
    </row>
    <row r="2370" spans="1:37" x14ac:dyDescent="0.25">
      <c r="A2370" s="76">
        <v>5</v>
      </c>
      <c r="B2370" s="3" t="s">
        <v>256</v>
      </c>
      <c r="C2370" s="2" t="s">
        <v>165</v>
      </c>
      <c r="D2370" s="1">
        <v>5</v>
      </c>
      <c r="E2370" s="1">
        <v>21</v>
      </c>
      <c r="F2370" s="1">
        <v>20</v>
      </c>
      <c r="G2370" s="1">
        <v>5</v>
      </c>
      <c r="H2370" s="4">
        <v>1</v>
      </c>
      <c r="I2370" s="1">
        <v>1</v>
      </c>
      <c r="J2370" s="4">
        <v>1</v>
      </c>
      <c r="K2370" s="1">
        <v>0</v>
      </c>
      <c r="L2370" s="1">
        <v>0</v>
      </c>
      <c r="M2370" s="32">
        <f>IF(Mecze[[#This Row],[PR]]=0,0,Mecze[[#This Row],[PR]]/Mecze[[#This Row],[CZAS]])</f>
        <v>0</v>
      </c>
      <c r="N2370" s="32">
        <f>IF(Mecze[[#This Row],[OU]]=0,0,Mecze[[#This Row],[OU]]/Mecze[[#This Row],[CZAS]])</f>
        <v>1.020408163265306E-2</v>
      </c>
      <c r="O2370" s="32">
        <f>IF(Mecze[[#This Row],[PC]]=0,0,Mecze[[#This Row],[PC]]/Mecze[[#This Row],[CZAS]])</f>
        <v>5.1020408163265307E-2</v>
      </c>
      <c r="P2370" s="32">
        <f>IF(Mecze[[#This Row],[SC]]=0,0,Mecze[[#This Row],[SC]]/Mecze[[#This Row],[CZAS]])</f>
        <v>0.20408163265306123</v>
      </c>
      <c r="Q2370" s="32">
        <f>IF(Mecze[[#This Row],[OB]]=0,0,Mecze[[#This Row],[OB]]/Mecze[[#This Row],[CZAS]])</f>
        <v>0</v>
      </c>
      <c r="R2370" s="32">
        <f>IF(Mecze[[#This Row],[BR]]=0,0,Mecze[[#This Row],[BR]]/Mecze[[#This Row],[CZAS]])</f>
        <v>5.1020408163265307E-2</v>
      </c>
      <c r="S2370" s="44">
        <f>IF(Mecze[[#This Row],[Role]]="BR",SUMPRODUCT(Mecze[[#This Row],[/PR:90]:[/BR:90]],Brudnopis!$E$23:$J$23),0)</f>
        <v>0</v>
      </c>
      <c r="T2370" s="44">
        <f>IF(Mecze[[#This Row],[Role]]&lt;&gt;"BR",SUMPRODUCT(Mecze[[#This Row],[/PR:90]:[/BR:90]],Brudnopis!$E$24:$J$24),0)</f>
        <v>0.34693877551020413</v>
      </c>
      <c r="U2370" s="44">
        <f>IF(Mecze[[#This Row],[Role]]&lt;&gt;"BR",SUMPRODUCT(Mecze[[#This Row],[/PR:90]:[/BR:90]],Brudnopis!$E$25:$J$25),0)</f>
        <v>0.36734693877551017</v>
      </c>
      <c r="V2370" s="44">
        <f>IF(Mecze[[#This Row],[Role]]&lt;&gt;"BR",SUMPRODUCT(Mecze[[#This Row],[/PR:90]:[/BR:90]],Brudnopis!$E$26:$J$26),0)</f>
        <v>0.36734693877551022</v>
      </c>
      <c r="W2370" s="44">
        <f>IF(Mecze[[#This Row],[Role]]&lt;&gt;"BR",SUMPRODUCT(Mecze[[#This Row],[/PR:90]:[/BR:90]],Brudnopis!$E$27:$J$27),0)</f>
        <v>0.39030612244897961</v>
      </c>
      <c r="X2370" s="44">
        <f>IF(Mecze[[#This Row],[Role]]&lt;&gt;"BR",SUMPRODUCT(Mecze[[#This Row],[/PR:90]:[/BR:90]],Brudnopis!$E$28:$J$28),0)</f>
        <v>0.61224489795918369</v>
      </c>
      <c r="Y2370" s="35">
        <f>IF(Mecze[[#This Row],[Role]]="BR",Mecze[[#This Row],[/OB:90]]+Mecze[[#This Row],[/PC:90]],SUM(Mecze[[#This Row],[/PR:90]:[/BR:90]]))</f>
        <v>0.31632653061224492</v>
      </c>
      <c r="Z2370" s="35">
        <f>IF(Mecze[[#This Row],[KC]]=0,SUM(Mecze[[#This Row],[/BRI]:[/NPI]]),SUM(Mecze[[#This Row],[/BRI]:[/NPI]])*0.6)</f>
        <v>2.0841836734693882</v>
      </c>
      <c r="AA2370" s="10">
        <f>IFERROR(Mecze[[#This Row],[BR]]/Mecze[[#This Row],[ST]],0)</f>
        <v>0.23809523809523808</v>
      </c>
      <c r="AB2370">
        <f>ROUND(Mecze[[#This Row],[PD]]*Mecze[[#This Row],[%PC]],0)</f>
        <v>5</v>
      </c>
      <c r="AC2370">
        <f>ROUND(Mecze[[#This Row],[OD]]*Mecze[[#This Row],[%OU]],0)</f>
        <v>1</v>
      </c>
      <c r="AD2370" s="36" t="s">
        <v>46</v>
      </c>
      <c r="AE2370" s="36">
        <v>132</v>
      </c>
      <c r="AF2370" s="71">
        <v>22.97</v>
      </c>
      <c r="AG2370" s="37">
        <v>0</v>
      </c>
      <c r="AH2370" s="37">
        <v>0</v>
      </c>
      <c r="AI2370" s="37">
        <v>98</v>
      </c>
      <c r="AJ2370" s="37">
        <v>6</v>
      </c>
      <c r="AK2370" s="37" t="str">
        <f>VLOOKUP(Mecze[[#This Row],[Match ID]],Meczusie[Mecz]:Meczusie[RodzajMeczu],2,FALSE)</f>
        <v>Liga</v>
      </c>
    </row>
    <row r="2371" spans="1:37" x14ac:dyDescent="0.25">
      <c r="A2371" s="76">
        <v>100</v>
      </c>
      <c r="B2371" s="3" t="s">
        <v>257</v>
      </c>
      <c r="C2371" s="2" t="s">
        <v>165</v>
      </c>
      <c r="D2371" s="1">
        <v>5</v>
      </c>
      <c r="E2371" s="1">
        <v>16</v>
      </c>
      <c r="F2371" s="1">
        <v>14</v>
      </c>
      <c r="G2371" s="1">
        <v>8</v>
      </c>
      <c r="H2371" s="4">
        <v>0.75</v>
      </c>
      <c r="I2371" s="1">
        <v>0</v>
      </c>
      <c r="J2371" s="4"/>
      <c r="K2371" s="1">
        <v>0</v>
      </c>
      <c r="L2371" s="1">
        <v>3</v>
      </c>
      <c r="M2371" s="32">
        <f>IF(Mecze[[#This Row],[PR]]=0,0,Mecze[[#This Row],[PR]]/Mecze[[#This Row],[CZAS]])</f>
        <v>3.0612244897959183E-2</v>
      </c>
      <c r="N2371" s="32">
        <f>IF(Mecze[[#This Row],[OU]]=0,0,Mecze[[#This Row],[OU]]/Mecze[[#This Row],[CZAS]])</f>
        <v>0</v>
      </c>
      <c r="O2371" s="32">
        <f>IF(Mecze[[#This Row],[PC]]=0,0,Mecze[[#This Row],[PC]]/Mecze[[#This Row],[CZAS]])</f>
        <v>6.1224489795918366E-2</v>
      </c>
      <c r="P2371" s="32">
        <f>IF(Mecze[[#This Row],[SC]]=0,0,Mecze[[#This Row],[SC]]/Mecze[[#This Row],[CZAS]])</f>
        <v>0.14285714285714285</v>
      </c>
      <c r="Q2371" s="32">
        <f>IF(Mecze[[#This Row],[OB]]=0,0,Mecze[[#This Row],[OB]]/Mecze[[#This Row],[CZAS]])</f>
        <v>0</v>
      </c>
      <c r="R2371" s="32">
        <f>IF(Mecze[[#This Row],[BR]]=0,0,Mecze[[#This Row],[BR]]/Mecze[[#This Row],[CZAS]])</f>
        <v>5.1020408163265307E-2</v>
      </c>
      <c r="S2371" s="44">
        <f>IF(Mecze[[#This Row],[Role]]="BR",SUMPRODUCT(Mecze[[#This Row],[/PR:90]:[/BR:90]],Brudnopis!$E$23:$J$23),0)</f>
        <v>0</v>
      </c>
      <c r="T2371" s="44">
        <f>IF(Mecze[[#This Row],[Role]]&lt;&gt;"BR",SUMPRODUCT(Mecze[[#This Row],[/PR:90]:[/BR:90]],Brudnopis!$E$24:$J$24),0)</f>
        <v>0.31122448979591832</v>
      </c>
      <c r="U2371" s="44">
        <f>IF(Mecze[[#This Row],[Role]]&lt;&gt;"BR",SUMPRODUCT(Mecze[[#This Row],[/PR:90]:[/BR:90]],Brudnopis!$E$25:$J$25),0)</f>
        <v>0.34183673469387754</v>
      </c>
      <c r="V2371" s="44">
        <f>IF(Mecze[[#This Row],[Role]]&lt;&gt;"BR",SUMPRODUCT(Mecze[[#This Row],[/PR:90]:[/BR:90]],Brudnopis!$E$26:$J$26),0)</f>
        <v>0.33673469387755101</v>
      </c>
      <c r="W2371" s="44">
        <f>IF(Mecze[[#This Row],[Role]]&lt;&gt;"BR",SUMPRODUCT(Mecze[[#This Row],[/PR:90]:[/BR:90]],Brudnopis!$E$27:$J$27),0)</f>
        <v>0.35969387755102039</v>
      </c>
      <c r="X2371" s="44">
        <f>IF(Mecze[[#This Row],[Role]]&lt;&gt;"BR",SUMPRODUCT(Mecze[[#This Row],[/PR:90]:[/BR:90]],Brudnopis!$E$28:$J$28),0)</f>
        <v>0.5</v>
      </c>
      <c r="Y2371" s="35">
        <f>IF(Mecze[[#This Row],[Role]]="BR",Mecze[[#This Row],[/OB:90]]+Mecze[[#This Row],[/PC:90]],SUM(Mecze[[#This Row],[/PR:90]:[/BR:90]]))</f>
        <v>0.2857142857142857</v>
      </c>
      <c r="Z2371" s="35">
        <f>IF(Mecze[[#This Row],[KC]]=0,SUM(Mecze[[#This Row],[/BRI]:[/NPI]]),SUM(Mecze[[#This Row],[/BRI]:[/NPI]])*0.6)</f>
        <v>1.8494897959183672</v>
      </c>
      <c r="AA2371" s="10">
        <f>IFERROR(Mecze[[#This Row],[BR]]/Mecze[[#This Row],[ST]],0)</f>
        <v>0.3125</v>
      </c>
      <c r="AB2371">
        <f>ROUND(Mecze[[#This Row],[PD]]*Mecze[[#This Row],[%PC]],0)</f>
        <v>6</v>
      </c>
      <c r="AC2371">
        <f>ROUND(Mecze[[#This Row],[OD]]*Mecze[[#This Row],[%OU]],0)</f>
        <v>0</v>
      </c>
      <c r="AD2371" s="36" t="s">
        <v>46</v>
      </c>
      <c r="AE2371" s="36">
        <v>132</v>
      </c>
      <c r="AF2371" s="71">
        <v>19.84</v>
      </c>
      <c r="AG2371" s="37">
        <v>0</v>
      </c>
      <c r="AH2371" s="37">
        <v>0</v>
      </c>
      <c r="AI2371" s="37">
        <v>98</v>
      </c>
      <c r="AJ2371" s="37">
        <v>6</v>
      </c>
      <c r="AK2371" s="37" t="str">
        <f>VLOOKUP(Mecze[[#This Row],[Match ID]],Meczusie[Mecz]:Meczusie[RodzajMeczu],2,FALSE)</f>
        <v>Liga</v>
      </c>
    </row>
    <row r="2372" spans="1:37" x14ac:dyDescent="0.25">
      <c r="A2372" s="76">
        <v>9</v>
      </c>
      <c r="B2372" s="3" t="s">
        <v>258</v>
      </c>
      <c r="C2372" s="2" t="s">
        <v>160</v>
      </c>
      <c r="D2372" s="1">
        <v>0</v>
      </c>
      <c r="E2372" s="1">
        <v>0</v>
      </c>
      <c r="F2372" s="1">
        <v>0</v>
      </c>
      <c r="G2372" s="1">
        <v>1</v>
      </c>
      <c r="H2372" s="4">
        <v>1</v>
      </c>
      <c r="I2372" s="1">
        <v>0</v>
      </c>
      <c r="J2372" s="4"/>
      <c r="K2372" s="1">
        <v>0</v>
      </c>
      <c r="L2372" s="1">
        <v>1</v>
      </c>
      <c r="M2372" s="32">
        <f>IF(Mecze[[#This Row],[PR]]=0,0,Mecze[[#This Row],[PR]]/Mecze[[#This Row],[CZAS]])</f>
        <v>4.5454545454545456E-2</v>
      </c>
      <c r="N2372" s="32">
        <f>IF(Mecze[[#This Row],[OU]]=0,0,Mecze[[#This Row],[OU]]/Mecze[[#This Row],[CZAS]])</f>
        <v>0</v>
      </c>
      <c r="O2372" s="32">
        <f>IF(Mecze[[#This Row],[PC]]=0,0,Mecze[[#This Row],[PC]]/Mecze[[#This Row],[CZAS]])</f>
        <v>4.5454545454545456E-2</v>
      </c>
      <c r="P2372" s="32">
        <f>IF(Mecze[[#This Row],[SC]]=0,0,Mecze[[#This Row],[SC]]/Mecze[[#This Row],[CZAS]])</f>
        <v>0</v>
      </c>
      <c r="Q2372" s="32">
        <f>IF(Mecze[[#This Row],[OB]]=0,0,Mecze[[#This Row],[OB]]/Mecze[[#This Row],[CZAS]])</f>
        <v>0</v>
      </c>
      <c r="R2372" s="32">
        <f>IF(Mecze[[#This Row],[BR]]=0,0,Mecze[[#This Row],[BR]]/Mecze[[#This Row],[CZAS]])</f>
        <v>0</v>
      </c>
      <c r="S2372" s="44">
        <f>IF(Mecze[[#This Row],[Role]]="BR",SUMPRODUCT(Mecze[[#This Row],[/PR:90]:[/BR:90]],Brudnopis!$E$23:$J$23),0)</f>
        <v>0</v>
      </c>
      <c r="T2372" s="44">
        <f>IF(Mecze[[#This Row],[Role]]&lt;&gt;"BR",SUMPRODUCT(Mecze[[#This Row],[/PR:90]:[/BR:90]],Brudnopis!$E$24:$J$24),0)</f>
        <v>9.0909090909090912E-2</v>
      </c>
      <c r="U2372" s="44">
        <f>IF(Mecze[[#This Row],[Role]]&lt;&gt;"BR",SUMPRODUCT(Mecze[[#This Row],[/PR:90]:[/BR:90]],Brudnopis!$E$25:$J$25),0)</f>
        <v>0.11363636363636363</v>
      </c>
      <c r="V2372" s="44">
        <f>IF(Mecze[[#This Row],[Role]]&lt;&gt;"BR",SUMPRODUCT(Mecze[[#This Row],[/PR:90]:[/BR:90]],Brudnopis!$E$26:$J$26),0)</f>
        <v>9.0909090909090912E-2</v>
      </c>
      <c r="W2372" s="44">
        <f>IF(Mecze[[#This Row],[Role]]&lt;&gt;"BR",SUMPRODUCT(Mecze[[#This Row],[/PR:90]:[/BR:90]],Brudnopis!$E$27:$J$27),0)</f>
        <v>0.10227272727272727</v>
      </c>
      <c r="X2372" s="44">
        <f>IF(Mecze[[#This Row],[Role]]&lt;&gt;"BR",SUMPRODUCT(Mecze[[#This Row],[/PR:90]:[/BR:90]],Brudnopis!$E$28:$J$28),0)</f>
        <v>4.5454545454545456E-2</v>
      </c>
      <c r="Y2372" s="35">
        <f>IF(Mecze[[#This Row],[Role]]="BR",Mecze[[#This Row],[/OB:90]]+Mecze[[#This Row],[/PC:90]],SUM(Mecze[[#This Row],[/PR:90]:[/BR:90]]))</f>
        <v>9.0909090909090912E-2</v>
      </c>
      <c r="Z2372" s="35">
        <f>IF(Mecze[[#This Row],[KC]]=0,SUM(Mecze[[#This Row],[/BRI]:[/NPI]]),SUM(Mecze[[#This Row],[/BRI]:[/NPI]])*0.6)</f>
        <v>0.44318181818181818</v>
      </c>
      <c r="AA2372" s="10">
        <f>IFERROR(Mecze[[#This Row],[BR]]/Mecze[[#This Row],[ST]],0)</f>
        <v>0</v>
      </c>
      <c r="AB2372">
        <f>ROUND(Mecze[[#This Row],[PD]]*Mecze[[#This Row],[%PC]],0)</f>
        <v>1</v>
      </c>
      <c r="AC2372">
        <f>ROUND(Mecze[[#This Row],[OD]]*Mecze[[#This Row],[%OU]],0)</f>
        <v>0</v>
      </c>
      <c r="AD2372" s="36" t="s">
        <v>319</v>
      </c>
      <c r="AE2372" s="36">
        <v>132</v>
      </c>
      <c r="AF2372" s="71">
        <v>5.05</v>
      </c>
      <c r="AG2372" s="37">
        <v>0</v>
      </c>
      <c r="AH2372" s="37">
        <v>0</v>
      </c>
      <c r="AI2372" s="37">
        <v>22</v>
      </c>
      <c r="AJ2372" s="37">
        <v>6</v>
      </c>
      <c r="AK2372" s="37" t="str">
        <f>VLOOKUP(Mecze[[#This Row],[Match ID]],Meczusie[Mecz]:Meczusie[RodzajMeczu],2,FALSE)</f>
        <v>Liga</v>
      </c>
    </row>
    <row r="2373" spans="1:37" x14ac:dyDescent="0.25">
      <c r="A2373" s="76">
        <v>105</v>
      </c>
      <c r="B2373" s="3" t="s">
        <v>423</v>
      </c>
      <c r="C2373" s="2" t="s">
        <v>157</v>
      </c>
      <c r="D2373" s="1">
        <v>0</v>
      </c>
      <c r="E2373" s="1">
        <v>0</v>
      </c>
      <c r="F2373" s="1">
        <v>0</v>
      </c>
      <c r="G2373" s="1">
        <v>0</v>
      </c>
      <c r="H2373" s="72"/>
      <c r="I2373" s="1">
        <v>0</v>
      </c>
      <c r="J2373" s="4"/>
      <c r="K2373" s="1">
        <v>0</v>
      </c>
      <c r="L2373" s="1">
        <v>0</v>
      </c>
      <c r="M2373" s="32">
        <f>IF(Mecze[[#This Row],[PR]]=0,0,Mecze[[#This Row],[PR]]/Mecze[[#This Row],[CZAS]])</f>
        <v>0</v>
      </c>
      <c r="N2373" s="32">
        <f>IF(Mecze[[#This Row],[OU]]=0,0,Mecze[[#This Row],[OU]]/Mecze[[#This Row],[CZAS]])</f>
        <v>0</v>
      </c>
      <c r="O2373" s="32">
        <f>IF(Mecze[[#This Row],[PC]]=0,0,Mecze[[#This Row],[PC]]/Mecze[[#This Row],[CZAS]])</f>
        <v>0</v>
      </c>
      <c r="P2373" s="32">
        <f>IF(Mecze[[#This Row],[SC]]=0,0,Mecze[[#This Row],[SC]]/Mecze[[#This Row],[CZAS]])</f>
        <v>0</v>
      </c>
      <c r="Q2373" s="32">
        <f>IF(Mecze[[#This Row],[OB]]=0,0,Mecze[[#This Row],[OB]]/Mecze[[#This Row],[CZAS]])</f>
        <v>0</v>
      </c>
      <c r="R2373" s="32">
        <f>IF(Mecze[[#This Row],[BR]]=0,0,Mecze[[#This Row],[BR]]/Mecze[[#This Row],[CZAS]])</f>
        <v>0</v>
      </c>
      <c r="S2373" s="44">
        <f>IF(Mecze[[#This Row],[Role]]="BR",SUMPRODUCT(Mecze[[#This Row],[/PR:90]:[/BR:90]],Brudnopis!$E$23:$J$23),0)</f>
        <v>0</v>
      </c>
      <c r="T2373" s="44">
        <f>IF(Mecze[[#This Row],[Role]]&lt;&gt;"BR",SUMPRODUCT(Mecze[[#This Row],[/PR:90]:[/BR:90]],Brudnopis!$E$24:$J$24),0)</f>
        <v>0</v>
      </c>
      <c r="U2373" s="44">
        <f>IF(Mecze[[#This Row],[Role]]&lt;&gt;"BR",SUMPRODUCT(Mecze[[#This Row],[/PR:90]:[/BR:90]],Brudnopis!$E$25:$J$25),0)</f>
        <v>0</v>
      </c>
      <c r="V2373" s="44">
        <f>IF(Mecze[[#This Row],[Role]]&lt;&gt;"BR",SUMPRODUCT(Mecze[[#This Row],[/PR:90]:[/BR:90]],Brudnopis!$E$26:$J$26),0)</f>
        <v>0</v>
      </c>
      <c r="W2373" s="44">
        <f>IF(Mecze[[#This Row],[Role]]&lt;&gt;"BR",SUMPRODUCT(Mecze[[#This Row],[/PR:90]:[/BR:90]],Brudnopis!$E$27:$J$27),0)</f>
        <v>0</v>
      </c>
      <c r="X2373" s="44">
        <f>IF(Mecze[[#This Row],[Role]]&lt;&gt;"BR",SUMPRODUCT(Mecze[[#This Row],[/PR:90]:[/BR:90]],Brudnopis!$E$28:$J$28),0)</f>
        <v>0</v>
      </c>
      <c r="Y2373" s="35">
        <f>IF(Mecze[[#This Row],[Role]]="BR",Mecze[[#This Row],[/OB:90]]+Mecze[[#This Row],[/PC:90]],SUM(Mecze[[#This Row],[/PR:90]:[/BR:90]]))</f>
        <v>0</v>
      </c>
      <c r="Z2373" s="35">
        <f>IF(Mecze[[#This Row],[KC]]=0,SUM(Mecze[[#This Row],[/BRI]:[/NPI]]),SUM(Mecze[[#This Row],[/BRI]:[/NPI]])*0.6)</f>
        <v>0</v>
      </c>
      <c r="AA2373" s="10">
        <f>IFERROR(Mecze[[#This Row],[BR]]/Mecze[[#This Row],[ST]],0)</f>
        <v>0</v>
      </c>
      <c r="AB2373">
        <f>ROUND(Mecze[[#This Row],[PD]]*Mecze[[#This Row],[%PC]],0)</f>
        <v>0</v>
      </c>
      <c r="AC2373">
        <f>ROUND(Mecze[[#This Row],[OD]]*Mecze[[#This Row],[%OU]],0)</f>
        <v>0</v>
      </c>
      <c r="AD2373" s="36" t="s">
        <v>167</v>
      </c>
      <c r="AE2373" s="36">
        <v>132</v>
      </c>
      <c r="AF2373" s="71">
        <v>4.84</v>
      </c>
      <c r="AG2373" s="37">
        <v>0</v>
      </c>
      <c r="AH2373" s="37">
        <v>0</v>
      </c>
      <c r="AI2373" s="37">
        <v>31</v>
      </c>
      <c r="AJ2373" s="37">
        <v>6</v>
      </c>
      <c r="AK2373" s="37" t="str">
        <f>VLOOKUP(Mecze[[#This Row],[Match ID]],Meczusie[Mecz]:Meczusie[RodzajMeczu],2,FALSE)</f>
        <v>Liga</v>
      </c>
    </row>
    <row r="2374" spans="1:37" x14ac:dyDescent="0.25">
      <c r="A2374" s="76">
        <v>1</v>
      </c>
      <c r="B2374" s="3" t="s">
        <v>274</v>
      </c>
      <c r="C2374" s="2" t="s">
        <v>155</v>
      </c>
      <c r="D2374" s="1">
        <v>0</v>
      </c>
      <c r="E2374" s="1">
        <v>0</v>
      </c>
      <c r="F2374" s="1">
        <v>0</v>
      </c>
      <c r="G2374" s="1">
        <v>4</v>
      </c>
      <c r="H2374" s="4">
        <v>0.5</v>
      </c>
      <c r="I2374" s="1">
        <v>0</v>
      </c>
      <c r="J2374" s="4"/>
      <c r="K2374" s="1">
        <v>6</v>
      </c>
      <c r="L2374" s="1">
        <v>0</v>
      </c>
      <c r="M2374" s="32">
        <f>IF(Mecze[[#This Row],[PR]]=0,0,Mecze[[#This Row],[PR]]/Mecze[[#This Row],[CZAS]])</f>
        <v>0</v>
      </c>
      <c r="N2374" s="32">
        <f>IF(Mecze[[#This Row],[OU]]=0,0,Mecze[[#This Row],[OU]]/Mecze[[#This Row],[CZAS]])</f>
        <v>0</v>
      </c>
      <c r="O2374" s="32">
        <f>IF(Mecze[[#This Row],[PC]]=0,0,Mecze[[#This Row],[PC]]/Mecze[[#This Row],[CZAS]])</f>
        <v>2.0833333333333332E-2</v>
      </c>
      <c r="P2374" s="32">
        <f>IF(Mecze[[#This Row],[SC]]=0,0,Mecze[[#This Row],[SC]]/Mecze[[#This Row],[CZAS]])</f>
        <v>0</v>
      </c>
      <c r="Q2374" s="32">
        <f>IF(Mecze[[#This Row],[OB]]=0,0,Mecze[[#This Row],[OB]]/Mecze[[#This Row],[CZAS]])</f>
        <v>6.25E-2</v>
      </c>
      <c r="R2374" s="32">
        <f>IF(Mecze[[#This Row],[BR]]=0,0,Mecze[[#This Row],[BR]]/Mecze[[#This Row],[CZAS]])</f>
        <v>0</v>
      </c>
      <c r="S2374" s="44">
        <f>IF(Mecze[[#This Row],[Role]]="BR",SUMPRODUCT(Mecze[[#This Row],[/PR:90]:[/BR:90]],Brudnopis!$E$23:$J$23),0)</f>
        <v>0.25</v>
      </c>
      <c r="T2374" s="44">
        <f>IF(Mecze[[#This Row],[Role]]&lt;&gt;"BR",SUMPRODUCT(Mecze[[#This Row],[/PR:90]:[/BR:90]],Brudnopis!$E$24:$J$24),0)</f>
        <v>0</v>
      </c>
      <c r="U2374" s="44">
        <f>IF(Mecze[[#This Row],[Role]]&lt;&gt;"BR",SUMPRODUCT(Mecze[[#This Row],[/PR:90]:[/BR:90]],Brudnopis!$E$25:$J$25),0)</f>
        <v>0</v>
      </c>
      <c r="V2374" s="44">
        <f>IF(Mecze[[#This Row],[Role]]&lt;&gt;"BR",SUMPRODUCT(Mecze[[#This Row],[/PR:90]:[/BR:90]],Brudnopis!$E$26:$J$26),0)</f>
        <v>0</v>
      </c>
      <c r="W2374" s="44">
        <f>IF(Mecze[[#This Row],[Role]]&lt;&gt;"BR",SUMPRODUCT(Mecze[[#This Row],[/PR:90]:[/BR:90]],Brudnopis!$E$27:$J$27),0)</f>
        <v>0</v>
      </c>
      <c r="X2374" s="44">
        <f>IF(Mecze[[#This Row],[Role]]&lt;&gt;"BR",SUMPRODUCT(Mecze[[#This Row],[/PR:90]:[/BR:90]],Brudnopis!$E$28:$J$28),0)</f>
        <v>0</v>
      </c>
      <c r="Y2374" s="35">
        <f>IF(Mecze[[#This Row],[Role]]="BR",Mecze[[#This Row],[/OB:90]]+Mecze[[#This Row],[/PC:90]],SUM(Mecze[[#This Row],[/PR:90]:[/BR:90]]))</f>
        <v>8.3333333333333329E-2</v>
      </c>
      <c r="Z2374" s="35">
        <f>IF(Mecze[[#This Row],[KC]]=0,SUM(Mecze[[#This Row],[/BRI]:[/NPI]]),SUM(Mecze[[#This Row],[/BRI]:[/NPI]])*0.6)</f>
        <v>0.25</v>
      </c>
      <c r="AA2374" s="10">
        <f>IFERROR(Mecze[[#This Row],[BR]]/Mecze[[#This Row],[ST]],0)</f>
        <v>0</v>
      </c>
      <c r="AB2374">
        <f>ROUND(Mecze[[#This Row],[PD]]*Mecze[[#This Row],[%PC]],0)</f>
        <v>2</v>
      </c>
      <c r="AC2374">
        <f>ROUND(Mecze[[#This Row],[OD]]*Mecze[[#This Row],[%OU]],0)</f>
        <v>0</v>
      </c>
      <c r="AD2374" s="36" t="s">
        <v>40</v>
      </c>
      <c r="AE2374" s="36">
        <v>133</v>
      </c>
      <c r="AF2374" s="71">
        <v>6.02</v>
      </c>
      <c r="AG2374" s="37">
        <v>0</v>
      </c>
      <c r="AH2374" s="37">
        <v>0</v>
      </c>
      <c r="AI2374" s="37">
        <v>96</v>
      </c>
      <c r="AJ2374" s="37">
        <v>4</v>
      </c>
      <c r="AK2374" s="37" t="str">
        <f>VLOOKUP(Mecze[[#This Row],[Match ID]],Meczusie[Mecz]:Meczusie[RodzajMeczu],2,FALSE)</f>
        <v>Liga</v>
      </c>
    </row>
    <row r="2375" spans="1:37" x14ac:dyDescent="0.25">
      <c r="A2375" s="76">
        <v>9</v>
      </c>
      <c r="B2375" s="3" t="s">
        <v>275</v>
      </c>
      <c r="C2375" s="2" t="s">
        <v>157</v>
      </c>
      <c r="D2375" s="1">
        <v>0</v>
      </c>
      <c r="E2375" s="1">
        <v>0</v>
      </c>
      <c r="F2375" s="1">
        <v>0</v>
      </c>
      <c r="G2375" s="1">
        <v>9</v>
      </c>
      <c r="H2375" s="4">
        <v>0.56000000000000005</v>
      </c>
      <c r="I2375" s="1">
        <v>6</v>
      </c>
      <c r="J2375" s="4">
        <v>0.5</v>
      </c>
      <c r="K2375" s="1">
        <v>0</v>
      </c>
      <c r="L2375" s="1">
        <v>7</v>
      </c>
      <c r="M2375" s="32">
        <f>IF(Mecze[[#This Row],[PR]]=0,0,Mecze[[#This Row],[PR]]/Mecze[[#This Row],[CZAS]])</f>
        <v>7.2916666666666671E-2</v>
      </c>
      <c r="N2375" s="32">
        <f>IF(Mecze[[#This Row],[OU]]=0,0,Mecze[[#This Row],[OU]]/Mecze[[#This Row],[CZAS]])</f>
        <v>3.125E-2</v>
      </c>
      <c r="O2375" s="32">
        <f>IF(Mecze[[#This Row],[PC]]=0,0,Mecze[[#This Row],[PC]]/Mecze[[#This Row],[CZAS]])</f>
        <v>5.2083333333333336E-2</v>
      </c>
      <c r="P2375" s="32">
        <f>IF(Mecze[[#This Row],[SC]]=0,0,Mecze[[#This Row],[SC]]/Mecze[[#This Row],[CZAS]])</f>
        <v>0</v>
      </c>
      <c r="Q2375" s="32">
        <f>IF(Mecze[[#This Row],[OB]]=0,0,Mecze[[#This Row],[OB]]/Mecze[[#This Row],[CZAS]])</f>
        <v>0</v>
      </c>
      <c r="R2375" s="32">
        <f>IF(Mecze[[#This Row],[BR]]=0,0,Mecze[[#This Row],[BR]]/Mecze[[#This Row],[CZAS]])</f>
        <v>0</v>
      </c>
      <c r="S2375" s="44">
        <f>IF(Mecze[[#This Row],[Role]]="BR",SUMPRODUCT(Mecze[[#This Row],[/PR:90]:[/BR:90]],Brudnopis!$E$23:$J$23),0)</f>
        <v>0</v>
      </c>
      <c r="T2375" s="44">
        <f>IF(Mecze[[#This Row],[Role]]&lt;&gt;"BR",SUMPRODUCT(Mecze[[#This Row],[/PR:90]:[/BR:90]],Brudnopis!$E$24:$J$24),0)</f>
        <v>0.171875</v>
      </c>
      <c r="U2375" s="44">
        <f>IF(Mecze[[#This Row],[Role]]&lt;&gt;"BR",SUMPRODUCT(Mecze[[#This Row],[/PR:90]:[/BR:90]],Brudnopis!$E$25:$J$25),0)</f>
        <v>0.18229166666666669</v>
      </c>
      <c r="V2375" s="44">
        <f>IF(Mecze[[#This Row],[Role]]&lt;&gt;"BR",SUMPRODUCT(Mecze[[#This Row],[/PR:90]:[/BR:90]],Brudnopis!$E$26:$J$26),0)</f>
        <v>0.15625</v>
      </c>
      <c r="W2375" s="44">
        <f>IF(Mecze[[#This Row],[Role]]&lt;&gt;"BR",SUMPRODUCT(Mecze[[#This Row],[/PR:90]:[/BR:90]],Brudnopis!$E$27:$J$27),0)</f>
        <v>0.15625</v>
      </c>
      <c r="X2375" s="44">
        <f>IF(Mecze[[#This Row],[Role]]&lt;&gt;"BR",SUMPRODUCT(Mecze[[#This Row],[/PR:90]:[/BR:90]],Brudnopis!$E$28:$J$28),0)</f>
        <v>5.2083333333333336E-2</v>
      </c>
      <c r="Y2375" s="35">
        <f>IF(Mecze[[#This Row],[Role]]="BR",Mecze[[#This Row],[/OB:90]]+Mecze[[#This Row],[/PC:90]],SUM(Mecze[[#This Row],[/PR:90]:[/BR:90]]))</f>
        <v>0.15625</v>
      </c>
      <c r="Z2375" s="35">
        <f>IF(Mecze[[#This Row],[KC]]=0,SUM(Mecze[[#This Row],[/BRI]:[/NPI]]),SUM(Mecze[[#This Row],[/BRI]:[/NPI]])*0.6)</f>
        <v>0.71875000000000011</v>
      </c>
      <c r="AA2375" s="10">
        <f>IFERROR(Mecze[[#This Row],[BR]]/Mecze[[#This Row],[ST]],0)</f>
        <v>0</v>
      </c>
      <c r="AB2375">
        <f>ROUND(Mecze[[#This Row],[PD]]*Mecze[[#This Row],[%PC]],0)</f>
        <v>5</v>
      </c>
      <c r="AC2375">
        <f>ROUND(Mecze[[#This Row],[OD]]*Mecze[[#This Row],[%OU]],0)</f>
        <v>3</v>
      </c>
      <c r="AD2375" s="36" t="s">
        <v>47</v>
      </c>
      <c r="AE2375" s="36">
        <v>133</v>
      </c>
      <c r="AF2375" s="71">
        <v>6.51</v>
      </c>
      <c r="AG2375" s="37">
        <v>0</v>
      </c>
      <c r="AH2375" s="37">
        <v>0</v>
      </c>
      <c r="AI2375" s="37">
        <v>96</v>
      </c>
      <c r="AJ2375" s="37">
        <v>4</v>
      </c>
      <c r="AK2375" s="37" t="str">
        <f>VLOOKUP(Mecze[[#This Row],[Match ID]],Meczusie[Mecz]:Meczusie[RodzajMeczu],2,FALSE)</f>
        <v>Liga</v>
      </c>
    </row>
    <row r="2376" spans="1:37" x14ac:dyDescent="0.25">
      <c r="A2376" s="76">
        <v>4</v>
      </c>
      <c r="B2376" s="3" t="s">
        <v>276</v>
      </c>
      <c r="C2376" s="2" t="s">
        <v>157</v>
      </c>
      <c r="D2376" s="1">
        <v>0</v>
      </c>
      <c r="E2376" s="1">
        <v>0</v>
      </c>
      <c r="F2376" s="1">
        <v>0</v>
      </c>
      <c r="G2376" s="1">
        <v>7</v>
      </c>
      <c r="H2376" s="4">
        <v>0.86</v>
      </c>
      <c r="I2376" s="1">
        <v>5</v>
      </c>
      <c r="J2376" s="4">
        <v>0.2</v>
      </c>
      <c r="K2376" s="1">
        <v>0</v>
      </c>
      <c r="L2376" s="1">
        <v>6</v>
      </c>
      <c r="M2376" s="32">
        <f>IF(Mecze[[#This Row],[PR]]=0,0,Mecze[[#This Row],[PR]]/Mecze[[#This Row],[CZAS]])</f>
        <v>6.25E-2</v>
      </c>
      <c r="N2376" s="32">
        <f>IF(Mecze[[#This Row],[OU]]=0,0,Mecze[[#This Row],[OU]]/Mecze[[#This Row],[CZAS]])</f>
        <v>1.0416666666666666E-2</v>
      </c>
      <c r="O2376" s="32">
        <f>IF(Mecze[[#This Row],[PC]]=0,0,Mecze[[#This Row],[PC]]/Mecze[[#This Row],[CZAS]])</f>
        <v>6.25E-2</v>
      </c>
      <c r="P2376" s="32">
        <f>IF(Mecze[[#This Row],[SC]]=0,0,Mecze[[#This Row],[SC]]/Mecze[[#This Row],[CZAS]])</f>
        <v>0</v>
      </c>
      <c r="Q2376" s="32">
        <f>IF(Mecze[[#This Row],[OB]]=0,0,Mecze[[#This Row],[OB]]/Mecze[[#This Row],[CZAS]])</f>
        <v>0</v>
      </c>
      <c r="R2376" s="32">
        <f>IF(Mecze[[#This Row],[BR]]=0,0,Mecze[[#This Row],[BR]]/Mecze[[#This Row],[CZAS]])</f>
        <v>0</v>
      </c>
      <c r="S2376" s="44">
        <f>IF(Mecze[[#This Row],[Role]]="BR",SUMPRODUCT(Mecze[[#This Row],[/PR:90]:[/BR:90]],Brudnopis!$E$23:$J$23),0)</f>
        <v>0</v>
      </c>
      <c r="T2376" s="44">
        <f>IF(Mecze[[#This Row],[Role]]&lt;&gt;"BR",SUMPRODUCT(Mecze[[#This Row],[/PR:90]:[/BR:90]],Brudnopis!$E$24:$J$24),0)</f>
        <v>0.140625</v>
      </c>
      <c r="U2376" s="44">
        <f>IF(Mecze[[#This Row],[Role]]&lt;&gt;"BR",SUMPRODUCT(Mecze[[#This Row],[/PR:90]:[/BR:90]],Brudnopis!$E$25:$J$25),0)</f>
        <v>0.16666666666666669</v>
      </c>
      <c r="V2376" s="44">
        <f>IF(Mecze[[#This Row],[Role]]&lt;&gt;"BR",SUMPRODUCT(Mecze[[#This Row],[/PR:90]:[/BR:90]],Brudnopis!$E$26:$J$26),0)</f>
        <v>0.13541666666666669</v>
      </c>
      <c r="W2376" s="44">
        <f>IF(Mecze[[#This Row],[Role]]&lt;&gt;"BR",SUMPRODUCT(Mecze[[#This Row],[/PR:90]:[/BR:90]],Brudnopis!$E$27:$J$27),0)</f>
        <v>0.1484375</v>
      </c>
      <c r="X2376" s="44">
        <f>IF(Mecze[[#This Row],[Role]]&lt;&gt;"BR",SUMPRODUCT(Mecze[[#This Row],[/PR:90]:[/BR:90]],Brudnopis!$E$28:$J$28),0)</f>
        <v>6.25E-2</v>
      </c>
      <c r="Y2376" s="35">
        <f>IF(Mecze[[#This Row],[Role]]="BR",Mecze[[#This Row],[/OB:90]]+Mecze[[#This Row],[/PC:90]],SUM(Mecze[[#This Row],[/PR:90]:[/BR:90]]))</f>
        <v>0.13541666666666669</v>
      </c>
      <c r="Z2376" s="35">
        <f>IF(Mecze[[#This Row],[KC]]=0,SUM(Mecze[[#This Row],[/BRI]:[/NPI]]),SUM(Mecze[[#This Row],[/BRI]:[/NPI]])*0.6)</f>
        <v>0.65364583333333337</v>
      </c>
      <c r="AA2376" s="10">
        <f>IFERROR(Mecze[[#This Row],[BR]]/Mecze[[#This Row],[ST]],0)</f>
        <v>0</v>
      </c>
      <c r="AB2376">
        <f>ROUND(Mecze[[#This Row],[PD]]*Mecze[[#This Row],[%PC]],0)</f>
        <v>6</v>
      </c>
      <c r="AC2376">
        <f>ROUND(Mecze[[#This Row],[OD]]*Mecze[[#This Row],[%OU]],0)</f>
        <v>1</v>
      </c>
      <c r="AD2376" s="36" t="s">
        <v>168</v>
      </c>
      <c r="AE2376" s="36">
        <v>133</v>
      </c>
      <c r="AF2376" s="71">
        <v>5.18</v>
      </c>
      <c r="AG2376" s="37">
        <v>0</v>
      </c>
      <c r="AH2376" s="37">
        <v>0</v>
      </c>
      <c r="AI2376" s="37">
        <v>96</v>
      </c>
      <c r="AJ2376" s="37">
        <v>4</v>
      </c>
      <c r="AK2376" s="37" t="str">
        <f>VLOOKUP(Mecze[[#This Row],[Match ID]],Meczusie[Mecz]:Meczusie[RodzajMeczu],2,FALSE)</f>
        <v>Liga</v>
      </c>
    </row>
    <row r="2377" spans="1:37" x14ac:dyDescent="0.25">
      <c r="A2377" s="76">
        <v>5</v>
      </c>
      <c r="B2377" s="3" t="s">
        <v>277</v>
      </c>
      <c r="C2377" s="2" t="s">
        <v>157</v>
      </c>
      <c r="D2377" s="1">
        <v>0</v>
      </c>
      <c r="E2377" s="1">
        <v>0</v>
      </c>
      <c r="F2377" s="1">
        <v>0</v>
      </c>
      <c r="G2377" s="1">
        <v>9</v>
      </c>
      <c r="H2377" s="4">
        <v>1</v>
      </c>
      <c r="I2377" s="1">
        <v>7</v>
      </c>
      <c r="J2377" s="4">
        <v>0.56999999999999995</v>
      </c>
      <c r="K2377" s="1">
        <v>0</v>
      </c>
      <c r="L2377" s="1">
        <v>6</v>
      </c>
      <c r="M2377" s="32">
        <f>IF(Mecze[[#This Row],[PR]]=0,0,Mecze[[#This Row],[PR]]/Mecze[[#This Row],[CZAS]])</f>
        <v>8.9552238805970144E-2</v>
      </c>
      <c r="N2377" s="32">
        <f>IF(Mecze[[#This Row],[OU]]=0,0,Mecze[[#This Row],[OU]]/Mecze[[#This Row],[CZAS]])</f>
        <v>5.9701492537313432E-2</v>
      </c>
      <c r="O2377" s="32">
        <f>IF(Mecze[[#This Row],[PC]]=0,0,Mecze[[#This Row],[PC]]/Mecze[[#This Row],[CZAS]])</f>
        <v>0.13432835820895522</v>
      </c>
      <c r="P2377" s="32">
        <f>IF(Mecze[[#This Row],[SC]]=0,0,Mecze[[#This Row],[SC]]/Mecze[[#This Row],[CZAS]])</f>
        <v>0</v>
      </c>
      <c r="Q2377" s="32">
        <f>IF(Mecze[[#This Row],[OB]]=0,0,Mecze[[#This Row],[OB]]/Mecze[[#This Row],[CZAS]])</f>
        <v>0</v>
      </c>
      <c r="R2377" s="32">
        <f>IF(Mecze[[#This Row],[BR]]=0,0,Mecze[[#This Row],[BR]]/Mecze[[#This Row],[CZAS]])</f>
        <v>0</v>
      </c>
      <c r="S2377" s="44">
        <f>IF(Mecze[[#This Row],[Role]]="BR",SUMPRODUCT(Mecze[[#This Row],[/PR:90]:[/BR:90]],Brudnopis!$E$23:$J$23),0)</f>
        <v>0</v>
      </c>
      <c r="T2377" s="44">
        <f>IF(Mecze[[#This Row],[Role]]&lt;&gt;"BR",SUMPRODUCT(Mecze[[#This Row],[/PR:90]:[/BR:90]],Brudnopis!$E$24:$J$24),0)</f>
        <v>0.31343283582089554</v>
      </c>
      <c r="U2377" s="44">
        <f>IF(Mecze[[#This Row],[Role]]&lt;&gt;"BR",SUMPRODUCT(Mecze[[#This Row],[/PR:90]:[/BR:90]],Brudnopis!$E$25:$J$25),0)</f>
        <v>0.35074626865671643</v>
      </c>
      <c r="V2377" s="44">
        <f>IF(Mecze[[#This Row],[Role]]&lt;&gt;"BR",SUMPRODUCT(Mecze[[#This Row],[/PR:90]:[/BR:90]],Brudnopis!$E$26:$J$26),0)</f>
        <v>0.28358208955223879</v>
      </c>
      <c r="W2377" s="44">
        <f>IF(Mecze[[#This Row],[Role]]&lt;&gt;"BR",SUMPRODUCT(Mecze[[#This Row],[/PR:90]:[/BR:90]],Brudnopis!$E$27:$J$27),0)</f>
        <v>0.31343283582089554</v>
      </c>
      <c r="X2377" s="44">
        <f>IF(Mecze[[#This Row],[Role]]&lt;&gt;"BR",SUMPRODUCT(Mecze[[#This Row],[/PR:90]:[/BR:90]],Brudnopis!$E$28:$J$28),0)</f>
        <v>0.13432835820895522</v>
      </c>
      <c r="Y2377" s="35">
        <f>IF(Mecze[[#This Row],[Role]]="BR",Mecze[[#This Row],[/OB:90]]+Mecze[[#This Row],[/PC:90]],SUM(Mecze[[#This Row],[/PR:90]:[/BR:90]]))</f>
        <v>0.28358208955223879</v>
      </c>
      <c r="Z2377" s="35">
        <f>IF(Mecze[[#This Row],[KC]]=0,SUM(Mecze[[#This Row],[/BRI]:[/NPI]]),SUM(Mecze[[#This Row],[/BRI]:[/NPI]])*0.6)</f>
        <v>1.3955223880597014</v>
      </c>
      <c r="AA2377" s="10">
        <f>IFERROR(Mecze[[#This Row],[BR]]/Mecze[[#This Row],[ST]],0)</f>
        <v>0</v>
      </c>
      <c r="AB2377">
        <f>ROUND(Mecze[[#This Row],[PD]]*Mecze[[#This Row],[%PC]],0)</f>
        <v>9</v>
      </c>
      <c r="AC2377">
        <f>ROUND(Mecze[[#This Row],[OD]]*Mecze[[#This Row],[%OU]],0)</f>
        <v>4</v>
      </c>
      <c r="AD2377" s="36" t="s">
        <v>167</v>
      </c>
      <c r="AE2377" s="36">
        <v>133</v>
      </c>
      <c r="AF2377" s="71">
        <v>6.3</v>
      </c>
      <c r="AG2377" s="37">
        <v>0</v>
      </c>
      <c r="AH2377" s="37">
        <v>0</v>
      </c>
      <c r="AI2377" s="37">
        <v>67</v>
      </c>
      <c r="AJ2377" s="37">
        <v>4</v>
      </c>
      <c r="AK2377" s="37" t="str">
        <f>VLOOKUP(Mecze[[#This Row],[Match ID]],Meczusie[Mecz]:Meczusie[RodzajMeczu],2,FALSE)</f>
        <v>Liga</v>
      </c>
    </row>
    <row r="2378" spans="1:37" x14ac:dyDescent="0.25">
      <c r="A2378" s="76">
        <v>12</v>
      </c>
      <c r="B2378" s="3" t="s">
        <v>278</v>
      </c>
      <c r="C2378" s="2" t="s">
        <v>160</v>
      </c>
      <c r="D2378" s="1">
        <v>0</v>
      </c>
      <c r="E2378" s="1">
        <v>0</v>
      </c>
      <c r="F2378" s="1">
        <v>0</v>
      </c>
      <c r="G2378" s="1">
        <v>13</v>
      </c>
      <c r="H2378" s="4">
        <v>0.92</v>
      </c>
      <c r="I2378" s="1">
        <v>6</v>
      </c>
      <c r="J2378" s="4">
        <v>0.33</v>
      </c>
      <c r="K2378" s="1">
        <v>0</v>
      </c>
      <c r="L2378" s="1">
        <v>5</v>
      </c>
      <c r="M2378" s="32">
        <f>IF(Mecze[[#This Row],[PR]]=0,0,Mecze[[#This Row],[PR]]/Mecze[[#This Row],[CZAS]])</f>
        <v>5.2083333333333336E-2</v>
      </c>
      <c r="N2378" s="32">
        <f>IF(Mecze[[#This Row],[OU]]=0,0,Mecze[[#This Row],[OU]]/Mecze[[#This Row],[CZAS]])</f>
        <v>2.0833333333333332E-2</v>
      </c>
      <c r="O2378" s="32">
        <f>IF(Mecze[[#This Row],[PC]]=0,0,Mecze[[#This Row],[PC]]/Mecze[[#This Row],[CZAS]])</f>
        <v>0.125</v>
      </c>
      <c r="P2378" s="32">
        <f>IF(Mecze[[#This Row],[SC]]=0,0,Mecze[[#This Row],[SC]]/Mecze[[#This Row],[CZAS]])</f>
        <v>0</v>
      </c>
      <c r="Q2378" s="32">
        <f>IF(Mecze[[#This Row],[OB]]=0,0,Mecze[[#This Row],[OB]]/Mecze[[#This Row],[CZAS]])</f>
        <v>0</v>
      </c>
      <c r="R2378" s="32">
        <f>IF(Mecze[[#This Row],[BR]]=0,0,Mecze[[#This Row],[BR]]/Mecze[[#This Row],[CZAS]])</f>
        <v>0</v>
      </c>
      <c r="S2378" s="44">
        <f>IF(Mecze[[#This Row],[Role]]="BR",SUMPRODUCT(Mecze[[#This Row],[/PR:90]:[/BR:90]],Brudnopis!$E$23:$J$23),0)</f>
        <v>0</v>
      </c>
      <c r="T2378" s="44">
        <f>IF(Mecze[[#This Row],[Role]]&lt;&gt;"BR",SUMPRODUCT(Mecze[[#This Row],[/PR:90]:[/BR:90]],Brudnopis!$E$24:$J$24),0)</f>
        <v>0.20833333333333334</v>
      </c>
      <c r="U2378" s="44">
        <f>IF(Mecze[[#This Row],[Role]]&lt;&gt;"BR",SUMPRODUCT(Mecze[[#This Row],[/PR:90]:[/BR:90]],Brudnopis!$E$25:$J$25),0)</f>
        <v>0.26041666666666669</v>
      </c>
      <c r="V2378" s="44">
        <f>IF(Mecze[[#This Row],[Role]]&lt;&gt;"BR",SUMPRODUCT(Mecze[[#This Row],[/PR:90]:[/BR:90]],Brudnopis!$E$26:$J$26),0)</f>
        <v>0.19791666666666669</v>
      </c>
      <c r="W2378" s="44">
        <f>IF(Mecze[[#This Row],[Role]]&lt;&gt;"BR",SUMPRODUCT(Mecze[[#This Row],[/PR:90]:[/BR:90]],Brudnopis!$E$27:$J$27),0)</f>
        <v>0.2421875</v>
      </c>
      <c r="X2378" s="44">
        <f>IF(Mecze[[#This Row],[Role]]&lt;&gt;"BR",SUMPRODUCT(Mecze[[#This Row],[/PR:90]:[/BR:90]],Brudnopis!$E$28:$J$28),0)</f>
        <v>0.125</v>
      </c>
      <c r="Y2378" s="35">
        <f>IF(Mecze[[#This Row],[Role]]="BR",Mecze[[#This Row],[/OB:90]]+Mecze[[#This Row],[/PC:90]],SUM(Mecze[[#This Row],[/PR:90]:[/BR:90]]))</f>
        <v>0.19791666666666669</v>
      </c>
      <c r="Z2378" s="35">
        <f>IF(Mecze[[#This Row],[KC]]=0,SUM(Mecze[[#This Row],[/BRI]:[/NPI]]),SUM(Mecze[[#This Row],[/BRI]:[/NPI]])*0.6)</f>
        <v>1.0338541666666667</v>
      </c>
      <c r="AA2378" s="10">
        <f>IFERROR(Mecze[[#This Row],[BR]]/Mecze[[#This Row],[ST]],0)</f>
        <v>0</v>
      </c>
      <c r="AB2378">
        <f>ROUND(Mecze[[#This Row],[PD]]*Mecze[[#This Row],[%PC]],0)</f>
        <v>12</v>
      </c>
      <c r="AC2378">
        <f>ROUND(Mecze[[#This Row],[OD]]*Mecze[[#This Row],[%OU]],0)</f>
        <v>2</v>
      </c>
      <c r="AD2378" s="36" t="s">
        <v>41</v>
      </c>
      <c r="AE2378" s="36">
        <v>133</v>
      </c>
      <c r="AF2378" s="71">
        <v>7.09</v>
      </c>
      <c r="AG2378" s="37">
        <v>0</v>
      </c>
      <c r="AH2378" s="37">
        <v>0</v>
      </c>
      <c r="AI2378" s="37">
        <v>96</v>
      </c>
      <c r="AJ2378" s="37">
        <v>4</v>
      </c>
      <c r="AK2378" s="37" t="str">
        <f>VLOOKUP(Mecze[[#This Row],[Match ID]],Meczusie[Mecz]:Meczusie[RodzajMeczu],2,FALSE)</f>
        <v>Liga</v>
      </c>
    </row>
    <row r="2379" spans="1:37" x14ac:dyDescent="0.25">
      <c r="A2379" s="76">
        <v>7</v>
      </c>
      <c r="B2379" s="3" t="s">
        <v>279</v>
      </c>
      <c r="C2379" s="2" t="s">
        <v>160</v>
      </c>
      <c r="D2379" s="1">
        <v>0</v>
      </c>
      <c r="E2379" s="1">
        <v>0</v>
      </c>
      <c r="F2379" s="1">
        <v>0</v>
      </c>
      <c r="G2379" s="1">
        <v>12</v>
      </c>
      <c r="H2379" s="4">
        <v>0.92</v>
      </c>
      <c r="I2379" s="1">
        <v>7</v>
      </c>
      <c r="J2379" s="4">
        <v>0.43</v>
      </c>
      <c r="K2379" s="1">
        <v>0</v>
      </c>
      <c r="L2379" s="1">
        <v>8</v>
      </c>
      <c r="M2379" s="32">
        <f>IF(Mecze[[#This Row],[PR]]=0,0,Mecze[[#This Row],[PR]]/Mecze[[#This Row],[CZAS]])</f>
        <v>8.3333333333333329E-2</v>
      </c>
      <c r="N2379" s="32">
        <f>IF(Mecze[[#This Row],[OU]]=0,0,Mecze[[#This Row],[OU]]/Mecze[[#This Row],[CZAS]])</f>
        <v>3.125E-2</v>
      </c>
      <c r="O2379" s="32">
        <f>IF(Mecze[[#This Row],[PC]]=0,0,Mecze[[#This Row],[PC]]/Mecze[[#This Row],[CZAS]])</f>
        <v>0.11458333333333333</v>
      </c>
      <c r="P2379" s="32">
        <f>IF(Mecze[[#This Row],[SC]]=0,0,Mecze[[#This Row],[SC]]/Mecze[[#This Row],[CZAS]])</f>
        <v>0</v>
      </c>
      <c r="Q2379" s="32">
        <f>IF(Mecze[[#This Row],[OB]]=0,0,Mecze[[#This Row],[OB]]/Mecze[[#This Row],[CZAS]])</f>
        <v>0</v>
      </c>
      <c r="R2379" s="32">
        <f>IF(Mecze[[#This Row],[BR]]=0,0,Mecze[[#This Row],[BR]]/Mecze[[#This Row],[CZAS]])</f>
        <v>0</v>
      </c>
      <c r="S2379" s="44">
        <f>IF(Mecze[[#This Row],[Role]]="BR",SUMPRODUCT(Mecze[[#This Row],[/PR:90]:[/BR:90]],Brudnopis!$E$23:$J$23),0)</f>
        <v>0</v>
      </c>
      <c r="T2379" s="44">
        <f>IF(Mecze[[#This Row],[Role]]&lt;&gt;"BR",SUMPRODUCT(Mecze[[#This Row],[/PR:90]:[/BR:90]],Brudnopis!$E$24:$J$24),0)</f>
        <v>0.24479166666666663</v>
      </c>
      <c r="U2379" s="44">
        <f>IF(Mecze[[#This Row],[Role]]&lt;&gt;"BR",SUMPRODUCT(Mecze[[#This Row],[/PR:90]:[/BR:90]],Brudnopis!$E$25:$J$25),0)</f>
        <v>0.28645833333333331</v>
      </c>
      <c r="V2379" s="44">
        <f>IF(Mecze[[#This Row],[Role]]&lt;&gt;"BR",SUMPRODUCT(Mecze[[#This Row],[/PR:90]:[/BR:90]],Brudnopis!$E$26:$J$26),0)</f>
        <v>0.22916666666666666</v>
      </c>
      <c r="W2379" s="44">
        <f>IF(Mecze[[#This Row],[Role]]&lt;&gt;"BR",SUMPRODUCT(Mecze[[#This Row],[/PR:90]:[/BR:90]],Brudnopis!$E$27:$J$27),0)</f>
        <v>0.2578125</v>
      </c>
      <c r="X2379" s="44">
        <f>IF(Mecze[[#This Row],[Role]]&lt;&gt;"BR",SUMPRODUCT(Mecze[[#This Row],[/PR:90]:[/BR:90]],Brudnopis!$E$28:$J$28),0)</f>
        <v>0.11458333333333333</v>
      </c>
      <c r="Y2379" s="35">
        <f>IF(Mecze[[#This Row],[Role]]="BR",Mecze[[#This Row],[/OB:90]]+Mecze[[#This Row],[/PC:90]],SUM(Mecze[[#This Row],[/PR:90]:[/BR:90]]))</f>
        <v>0.22916666666666666</v>
      </c>
      <c r="Z2379" s="35">
        <f>IF(Mecze[[#This Row],[KC]]=0,SUM(Mecze[[#This Row],[/BRI]:[/NPI]]),SUM(Mecze[[#This Row],[/BRI]:[/NPI]])*0.6)</f>
        <v>1.1328124999999998</v>
      </c>
      <c r="AA2379" s="10">
        <f>IFERROR(Mecze[[#This Row],[BR]]/Mecze[[#This Row],[ST]],0)</f>
        <v>0</v>
      </c>
      <c r="AB2379">
        <f>ROUND(Mecze[[#This Row],[PD]]*Mecze[[#This Row],[%PC]],0)</f>
        <v>11</v>
      </c>
      <c r="AC2379">
        <f>ROUND(Mecze[[#This Row],[OD]]*Mecze[[#This Row],[%OU]],0)</f>
        <v>3</v>
      </c>
      <c r="AD2379" s="36" t="s">
        <v>41</v>
      </c>
      <c r="AE2379" s="36">
        <v>133</v>
      </c>
      <c r="AF2379" s="71">
        <v>7.72</v>
      </c>
      <c r="AG2379" s="37">
        <v>0</v>
      </c>
      <c r="AH2379" s="37">
        <v>0</v>
      </c>
      <c r="AI2379" s="37">
        <v>96</v>
      </c>
      <c r="AJ2379" s="37">
        <v>4</v>
      </c>
      <c r="AK2379" s="37" t="str">
        <f>VLOOKUP(Mecze[[#This Row],[Match ID]],Meczusie[Mecz]:Meczusie[RodzajMeczu],2,FALSE)</f>
        <v>Liga</v>
      </c>
    </row>
    <row r="2380" spans="1:37" x14ac:dyDescent="0.25">
      <c r="A2380" s="76">
        <v>6</v>
      </c>
      <c r="B2380" s="3" t="s">
        <v>280</v>
      </c>
      <c r="C2380" s="2" t="s">
        <v>160</v>
      </c>
      <c r="D2380" s="1">
        <v>0</v>
      </c>
      <c r="E2380" s="1">
        <v>2</v>
      </c>
      <c r="F2380" s="1">
        <v>1</v>
      </c>
      <c r="G2380" s="1">
        <v>22</v>
      </c>
      <c r="H2380" s="4">
        <v>0.68</v>
      </c>
      <c r="I2380" s="1">
        <v>8</v>
      </c>
      <c r="J2380" s="4">
        <v>0.63</v>
      </c>
      <c r="K2380" s="1">
        <v>0</v>
      </c>
      <c r="L2380" s="1">
        <v>6</v>
      </c>
      <c r="M2380" s="32">
        <f>IF(Mecze[[#This Row],[PR]]=0,0,Mecze[[#This Row],[PR]]/Mecze[[#This Row],[CZAS]])</f>
        <v>6.25E-2</v>
      </c>
      <c r="N2380" s="32">
        <f>IF(Mecze[[#This Row],[OU]]=0,0,Mecze[[#This Row],[OU]]/Mecze[[#This Row],[CZAS]])</f>
        <v>5.2083333333333336E-2</v>
      </c>
      <c r="O2380" s="32">
        <f>IF(Mecze[[#This Row],[PC]]=0,0,Mecze[[#This Row],[PC]]/Mecze[[#This Row],[CZAS]])</f>
        <v>0.15625</v>
      </c>
      <c r="P2380" s="32">
        <f>IF(Mecze[[#This Row],[SC]]=0,0,Mecze[[#This Row],[SC]]/Mecze[[#This Row],[CZAS]])</f>
        <v>1.0416666666666666E-2</v>
      </c>
      <c r="Q2380" s="32">
        <f>IF(Mecze[[#This Row],[OB]]=0,0,Mecze[[#This Row],[OB]]/Mecze[[#This Row],[CZAS]])</f>
        <v>0</v>
      </c>
      <c r="R2380" s="32">
        <f>IF(Mecze[[#This Row],[BR]]=0,0,Mecze[[#This Row],[BR]]/Mecze[[#This Row],[CZAS]])</f>
        <v>0</v>
      </c>
      <c r="S2380" s="44">
        <f>IF(Mecze[[#This Row],[Role]]="BR",SUMPRODUCT(Mecze[[#This Row],[/PR:90]:[/BR:90]],Brudnopis!$E$23:$J$23),0)</f>
        <v>0</v>
      </c>
      <c r="T2380" s="44">
        <f>IF(Mecze[[#This Row],[Role]]&lt;&gt;"BR",SUMPRODUCT(Mecze[[#This Row],[/PR:90]:[/BR:90]],Brudnopis!$E$24:$J$24),0)</f>
        <v>0.30729166666666669</v>
      </c>
      <c r="U2380" s="44">
        <f>IF(Mecze[[#This Row],[Role]]&lt;&gt;"BR",SUMPRODUCT(Mecze[[#This Row],[/PR:90]:[/BR:90]],Brudnopis!$E$25:$J$25),0)</f>
        <v>0.35937500000000006</v>
      </c>
      <c r="V2380" s="44">
        <f>IF(Mecze[[#This Row],[Role]]&lt;&gt;"BR",SUMPRODUCT(Mecze[[#This Row],[/PR:90]:[/BR:90]],Brudnopis!$E$26:$J$26),0)</f>
        <v>0.28125000000000006</v>
      </c>
      <c r="W2380" s="44">
        <f>IF(Mecze[[#This Row],[Role]]&lt;&gt;"BR",SUMPRODUCT(Mecze[[#This Row],[/PR:90]:[/BR:90]],Brudnopis!$E$27:$J$27),0)</f>
        <v>0.33072916666666669</v>
      </c>
      <c r="X2380" s="44">
        <f>IF(Mecze[[#This Row],[Role]]&lt;&gt;"BR",SUMPRODUCT(Mecze[[#This Row],[/PR:90]:[/BR:90]],Brudnopis!$E$28:$J$28),0)</f>
        <v>0.17708333333333334</v>
      </c>
      <c r="Y2380" s="35">
        <f>IF(Mecze[[#This Row],[Role]]="BR",Mecze[[#This Row],[/OB:90]]+Mecze[[#This Row],[/PC:90]],SUM(Mecze[[#This Row],[/PR:90]:[/BR:90]]))</f>
        <v>0.28125000000000006</v>
      </c>
      <c r="Z2380" s="35">
        <f>IF(Mecze[[#This Row],[KC]]=0,SUM(Mecze[[#This Row],[/BRI]:[/NPI]]),SUM(Mecze[[#This Row],[/BRI]:[/NPI]])*0.6)</f>
        <v>1.4557291666666667</v>
      </c>
      <c r="AA2380" s="10">
        <f>IFERROR(Mecze[[#This Row],[BR]]/Mecze[[#This Row],[ST]],0)</f>
        <v>0</v>
      </c>
      <c r="AB2380">
        <f>ROUND(Mecze[[#This Row],[PD]]*Mecze[[#This Row],[%PC]],0)</f>
        <v>15</v>
      </c>
      <c r="AC2380">
        <f>ROUND(Mecze[[#This Row],[OD]]*Mecze[[#This Row],[%OU]],0)</f>
        <v>5</v>
      </c>
      <c r="AD2380" s="36" t="s">
        <v>67</v>
      </c>
      <c r="AE2380" s="36">
        <v>133</v>
      </c>
      <c r="AF2380" s="71">
        <v>6.62</v>
      </c>
      <c r="AG2380" s="37">
        <v>0</v>
      </c>
      <c r="AH2380" s="37">
        <v>0</v>
      </c>
      <c r="AI2380" s="37">
        <v>96</v>
      </c>
      <c r="AJ2380" s="37">
        <v>4</v>
      </c>
      <c r="AK2380" s="37" t="str">
        <f>VLOOKUP(Mecze[[#This Row],[Match ID]],Meczusie[Mecz]:Meczusie[RodzajMeczu],2,FALSE)</f>
        <v>Liga</v>
      </c>
    </row>
    <row r="2381" spans="1:37" x14ac:dyDescent="0.25">
      <c r="A2381" s="76">
        <v>13</v>
      </c>
      <c r="B2381" s="3" t="s">
        <v>287</v>
      </c>
      <c r="C2381" s="2" t="s">
        <v>160</v>
      </c>
      <c r="D2381" s="1">
        <v>1</v>
      </c>
      <c r="E2381" s="1">
        <v>2</v>
      </c>
      <c r="F2381" s="1">
        <v>2</v>
      </c>
      <c r="G2381" s="1">
        <v>19</v>
      </c>
      <c r="H2381" s="4">
        <v>0.57999999999999996</v>
      </c>
      <c r="I2381" s="1">
        <v>1</v>
      </c>
      <c r="J2381" s="4">
        <v>0</v>
      </c>
      <c r="K2381" s="1">
        <v>0</v>
      </c>
      <c r="L2381" s="1">
        <v>4</v>
      </c>
      <c r="M2381" s="32">
        <f>IF(Mecze[[#This Row],[PR]]=0,0,Mecze[[#This Row],[PR]]/Mecze[[#This Row],[CZAS]])</f>
        <v>4.1666666666666664E-2</v>
      </c>
      <c r="N2381" s="32">
        <f>IF(Mecze[[#This Row],[OU]]=0,0,Mecze[[#This Row],[OU]]/Mecze[[#This Row],[CZAS]])</f>
        <v>0</v>
      </c>
      <c r="O2381" s="32">
        <f>IF(Mecze[[#This Row],[PC]]=0,0,Mecze[[#This Row],[PC]]/Mecze[[#This Row],[CZAS]])</f>
        <v>0.11458333333333333</v>
      </c>
      <c r="P2381" s="32">
        <f>IF(Mecze[[#This Row],[SC]]=0,0,Mecze[[#This Row],[SC]]/Mecze[[#This Row],[CZAS]])</f>
        <v>2.0833333333333332E-2</v>
      </c>
      <c r="Q2381" s="32">
        <f>IF(Mecze[[#This Row],[OB]]=0,0,Mecze[[#This Row],[OB]]/Mecze[[#This Row],[CZAS]])</f>
        <v>0</v>
      </c>
      <c r="R2381" s="32">
        <f>IF(Mecze[[#This Row],[BR]]=0,0,Mecze[[#This Row],[BR]]/Mecze[[#This Row],[CZAS]])</f>
        <v>1.0416666666666666E-2</v>
      </c>
      <c r="S2381" s="44">
        <f>IF(Mecze[[#This Row],[Role]]="BR",SUMPRODUCT(Mecze[[#This Row],[/PR:90]:[/BR:90]],Brudnopis!$E$23:$J$23),0)</f>
        <v>0</v>
      </c>
      <c r="T2381" s="44">
        <f>IF(Mecze[[#This Row],[Role]]&lt;&gt;"BR",SUMPRODUCT(Mecze[[#This Row],[/PR:90]:[/BR:90]],Brudnopis!$E$24:$J$24),0)</f>
        <v>0.19270833333333334</v>
      </c>
      <c r="U2381" s="44">
        <f>IF(Mecze[[#This Row],[Role]]&lt;&gt;"BR",SUMPRODUCT(Mecze[[#This Row],[/PR:90]:[/BR:90]],Brudnopis!$E$25:$J$25),0)</f>
        <v>0.25</v>
      </c>
      <c r="V2381" s="44">
        <f>IF(Mecze[[#This Row],[Role]]&lt;&gt;"BR",SUMPRODUCT(Mecze[[#This Row],[/PR:90]:[/BR:90]],Brudnopis!$E$26:$J$26),0)</f>
        <v>0.19791666666666669</v>
      </c>
      <c r="W2381" s="44">
        <f>IF(Mecze[[#This Row],[Role]]&lt;&gt;"BR",SUMPRODUCT(Mecze[[#This Row],[/PR:90]:[/BR:90]],Brudnopis!$E$27:$J$27),0)</f>
        <v>0.24479166666666669</v>
      </c>
      <c r="X2381" s="44">
        <f>IF(Mecze[[#This Row],[Role]]&lt;&gt;"BR",SUMPRODUCT(Mecze[[#This Row],[/PR:90]:[/BR:90]],Brudnopis!$E$28:$J$28),0)</f>
        <v>0.1875</v>
      </c>
      <c r="Y2381" s="35">
        <f>IF(Mecze[[#This Row],[Role]]="BR",Mecze[[#This Row],[/OB:90]]+Mecze[[#This Row],[/PC:90]],SUM(Mecze[[#This Row],[/PR:90]:[/BR:90]]))</f>
        <v>0.1875</v>
      </c>
      <c r="Z2381" s="35">
        <f>IF(Mecze[[#This Row],[KC]]=0,SUM(Mecze[[#This Row],[/BRI]:[/NPI]]),SUM(Mecze[[#This Row],[/BRI]:[/NPI]])*0.6)</f>
        <v>1.0729166666666667</v>
      </c>
      <c r="AA2381" s="10">
        <f>IFERROR(Mecze[[#This Row],[BR]]/Mecze[[#This Row],[ST]],0)</f>
        <v>0.5</v>
      </c>
      <c r="AB2381">
        <f>ROUND(Mecze[[#This Row],[PD]]*Mecze[[#This Row],[%PC]],0)</f>
        <v>11</v>
      </c>
      <c r="AC2381">
        <f>ROUND(Mecze[[#This Row],[OD]]*Mecze[[#This Row],[%OU]],0)</f>
        <v>0</v>
      </c>
      <c r="AD2381" s="36" t="s">
        <v>171</v>
      </c>
      <c r="AE2381" s="36">
        <v>133</v>
      </c>
      <c r="AF2381" s="71">
        <v>8.5399999999999991</v>
      </c>
      <c r="AG2381" s="37">
        <v>0</v>
      </c>
      <c r="AH2381" s="37">
        <v>0</v>
      </c>
      <c r="AI2381" s="37">
        <v>96</v>
      </c>
      <c r="AJ2381" s="37">
        <v>4</v>
      </c>
      <c r="AK2381" s="37" t="str">
        <f>VLOOKUP(Mecze[[#This Row],[Match ID]],Meczusie[Mecz]:Meczusie[RodzajMeczu],2,FALSE)</f>
        <v>Liga</v>
      </c>
    </row>
    <row r="2382" spans="1:37" x14ac:dyDescent="0.25">
      <c r="A2382" s="76">
        <v>11</v>
      </c>
      <c r="B2382" s="3" t="s">
        <v>282</v>
      </c>
      <c r="C2382" s="2" t="s">
        <v>165</v>
      </c>
      <c r="D2382" s="1">
        <v>0</v>
      </c>
      <c r="E2382" s="1">
        <v>1</v>
      </c>
      <c r="F2382" s="1">
        <v>1</v>
      </c>
      <c r="G2382" s="1">
        <v>5</v>
      </c>
      <c r="H2382" s="4">
        <v>0.8</v>
      </c>
      <c r="I2382" s="1">
        <v>0</v>
      </c>
      <c r="J2382" s="4"/>
      <c r="K2382" s="1">
        <v>0</v>
      </c>
      <c r="L2382" s="1">
        <v>0</v>
      </c>
      <c r="M2382" s="32">
        <f>IF(Mecze[[#This Row],[PR]]=0,0,Mecze[[#This Row],[PR]]/Mecze[[#This Row],[CZAS]])</f>
        <v>0</v>
      </c>
      <c r="N2382" s="32">
        <f>IF(Mecze[[#This Row],[OU]]=0,0,Mecze[[#This Row],[OU]]/Mecze[[#This Row],[CZAS]])</f>
        <v>0</v>
      </c>
      <c r="O2382" s="32">
        <f>IF(Mecze[[#This Row],[PC]]=0,0,Mecze[[#This Row],[PC]]/Mecze[[#This Row],[CZAS]])</f>
        <v>5.9701492537313432E-2</v>
      </c>
      <c r="P2382" s="32">
        <f>IF(Mecze[[#This Row],[SC]]=0,0,Mecze[[#This Row],[SC]]/Mecze[[#This Row],[CZAS]])</f>
        <v>1.4925373134328358E-2</v>
      </c>
      <c r="Q2382" s="32">
        <f>IF(Mecze[[#This Row],[OB]]=0,0,Mecze[[#This Row],[OB]]/Mecze[[#This Row],[CZAS]])</f>
        <v>0</v>
      </c>
      <c r="R2382" s="32">
        <f>IF(Mecze[[#This Row],[BR]]=0,0,Mecze[[#This Row],[BR]]/Mecze[[#This Row],[CZAS]])</f>
        <v>0</v>
      </c>
      <c r="S2382" s="44">
        <f>IF(Mecze[[#This Row],[Role]]="BR",SUMPRODUCT(Mecze[[#This Row],[/PR:90]:[/BR:90]],Brudnopis!$E$23:$J$23),0)</f>
        <v>0</v>
      </c>
      <c r="T2382" s="44">
        <f>IF(Mecze[[#This Row],[Role]]&lt;&gt;"BR",SUMPRODUCT(Mecze[[#This Row],[/PR:90]:[/BR:90]],Brudnopis!$E$24:$J$24),0)</f>
        <v>7.4626865671641784E-2</v>
      </c>
      <c r="U2382" s="44">
        <f>IF(Mecze[[#This Row],[Role]]&lt;&gt;"BR",SUMPRODUCT(Mecze[[#This Row],[/PR:90]:[/BR:90]],Brudnopis!$E$25:$J$25),0)</f>
        <v>0.1044776119402985</v>
      </c>
      <c r="V2382" s="44">
        <f>IF(Mecze[[#This Row],[Role]]&lt;&gt;"BR",SUMPRODUCT(Mecze[[#This Row],[/PR:90]:[/BR:90]],Brudnopis!$E$26:$J$26),0)</f>
        <v>7.4626865671641784E-2</v>
      </c>
      <c r="W2382" s="44">
        <f>IF(Mecze[[#This Row],[Role]]&lt;&gt;"BR",SUMPRODUCT(Mecze[[#This Row],[/PR:90]:[/BR:90]],Brudnopis!$E$27:$J$27),0)</f>
        <v>0.1044776119402985</v>
      </c>
      <c r="X2382" s="44">
        <f>IF(Mecze[[#This Row],[Role]]&lt;&gt;"BR",SUMPRODUCT(Mecze[[#This Row],[/PR:90]:[/BR:90]],Brudnopis!$E$28:$J$28),0)</f>
        <v>8.9552238805970144E-2</v>
      </c>
      <c r="Y2382" s="35">
        <f>IF(Mecze[[#This Row],[Role]]="BR",Mecze[[#This Row],[/OB:90]]+Mecze[[#This Row],[/PC:90]],SUM(Mecze[[#This Row],[/PR:90]:[/BR:90]]))</f>
        <v>7.4626865671641784E-2</v>
      </c>
      <c r="Z2382" s="35">
        <f>IF(Mecze[[#This Row],[KC]]=0,SUM(Mecze[[#This Row],[/BRI]:[/NPI]]),SUM(Mecze[[#This Row],[/BRI]:[/NPI]])*0.6)</f>
        <v>0.44776119402985065</v>
      </c>
      <c r="AA2382" s="10">
        <f>IFERROR(Mecze[[#This Row],[BR]]/Mecze[[#This Row],[ST]],0)</f>
        <v>0</v>
      </c>
      <c r="AB2382">
        <f>ROUND(Mecze[[#This Row],[PD]]*Mecze[[#This Row],[%PC]],0)</f>
        <v>4</v>
      </c>
      <c r="AC2382">
        <f>ROUND(Mecze[[#This Row],[OD]]*Mecze[[#This Row],[%OU]],0)</f>
        <v>0</v>
      </c>
      <c r="AD2382" s="36" t="s">
        <v>46</v>
      </c>
      <c r="AE2382" s="36">
        <v>133</v>
      </c>
      <c r="AF2382" s="71">
        <v>6.4</v>
      </c>
      <c r="AG2382" s="37">
        <v>0</v>
      </c>
      <c r="AH2382" s="37">
        <v>0</v>
      </c>
      <c r="AI2382" s="37">
        <v>67</v>
      </c>
      <c r="AJ2382" s="37">
        <v>4</v>
      </c>
      <c r="AK2382" s="37" t="str">
        <f>VLOOKUP(Mecze[[#This Row],[Match ID]],Meczusie[Mecz]:Meczusie[RodzajMeczu],2,FALSE)</f>
        <v>Liga</v>
      </c>
    </row>
    <row r="2383" spans="1:37" x14ac:dyDescent="0.25">
      <c r="A2383" s="76">
        <v>8</v>
      </c>
      <c r="B2383" s="3" t="s">
        <v>283</v>
      </c>
      <c r="C2383" s="2" t="s">
        <v>165</v>
      </c>
      <c r="D2383" s="1">
        <v>0</v>
      </c>
      <c r="E2383" s="1">
        <v>3</v>
      </c>
      <c r="F2383" s="1">
        <v>2</v>
      </c>
      <c r="G2383" s="1">
        <v>16</v>
      </c>
      <c r="H2383" s="4">
        <v>0.69</v>
      </c>
      <c r="I2383" s="1">
        <v>0</v>
      </c>
      <c r="J2383" s="4"/>
      <c r="K2383" s="1">
        <v>0</v>
      </c>
      <c r="L2383" s="1">
        <v>0</v>
      </c>
      <c r="M2383" s="32">
        <f>IF(Mecze[[#This Row],[PR]]=0,0,Mecze[[#This Row],[PR]]/Mecze[[#This Row],[CZAS]])</f>
        <v>0</v>
      </c>
      <c r="N2383" s="32">
        <f>IF(Mecze[[#This Row],[OU]]=0,0,Mecze[[#This Row],[OU]]/Mecze[[#This Row],[CZAS]])</f>
        <v>0</v>
      </c>
      <c r="O2383" s="32">
        <f>IF(Mecze[[#This Row],[PC]]=0,0,Mecze[[#This Row],[PC]]/Mecze[[#This Row],[CZAS]])</f>
        <v>0.11458333333333333</v>
      </c>
      <c r="P2383" s="32">
        <f>IF(Mecze[[#This Row],[SC]]=0,0,Mecze[[#This Row],[SC]]/Mecze[[#This Row],[CZAS]])</f>
        <v>2.0833333333333332E-2</v>
      </c>
      <c r="Q2383" s="32">
        <f>IF(Mecze[[#This Row],[OB]]=0,0,Mecze[[#This Row],[OB]]/Mecze[[#This Row],[CZAS]])</f>
        <v>0</v>
      </c>
      <c r="R2383" s="32">
        <f>IF(Mecze[[#This Row],[BR]]=0,0,Mecze[[#This Row],[BR]]/Mecze[[#This Row],[CZAS]])</f>
        <v>0</v>
      </c>
      <c r="S2383" s="44">
        <f>IF(Mecze[[#This Row],[Role]]="BR",SUMPRODUCT(Mecze[[#This Row],[/PR:90]:[/BR:90]],Brudnopis!$E$23:$J$23),0)</f>
        <v>0</v>
      </c>
      <c r="T2383" s="44">
        <f>IF(Mecze[[#This Row],[Role]]&lt;&gt;"BR",SUMPRODUCT(Mecze[[#This Row],[/PR:90]:[/BR:90]],Brudnopis!$E$24:$J$24),0)</f>
        <v>0.13541666666666666</v>
      </c>
      <c r="U2383" s="44">
        <f>IF(Mecze[[#This Row],[Role]]&lt;&gt;"BR",SUMPRODUCT(Mecze[[#This Row],[/PR:90]:[/BR:90]],Brudnopis!$E$25:$J$25),0)</f>
        <v>0.19270833333333334</v>
      </c>
      <c r="V2383" s="44">
        <f>IF(Mecze[[#This Row],[Role]]&lt;&gt;"BR",SUMPRODUCT(Mecze[[#This Row],[/PR:90]:[/BR:90]],Brudnopis!$E$26:$J$26),0)</f>
        <v>0.13541666666666666</v>
      </c>
      <c r="W2383" s="44">
        <f>IF(Mecze[[#This Row],[Role]]&lt;&gt;"BR",SUMPRODUCT(Mecze[[#This Row],[/PR:90]:[/BR:90]],Brudnopis!$E$27:$J$27),0)</f>
        <v>0.19270833333333334</v>
      </c>
      <c r="X2383" s="44">
        <f>IF(Mecze[[#This Row],[Role]]&lt;&gt;"BR",SUMPRODUCT(Mecze[[#This Row],[/PR:90]:[/BR:90]],Brudnopis!$E$28:$J$28),0)</f>
        <v>0.15625</v>
      </c>
      <c r="Y2383" s="35">
        <f>IF(Mecze[[#This Row],[Role]]="BR",Mecze[[#This Row],[/OB:90]]+Mecze[[#This Row],[/PC:90]],SUM(Mecze[[#This Row],[/PR:90]:[/BR:90]]))</f>
        <v>0.13541666666666666</v>
      </c>
      <c r="Z2383" s="35">
        <f>IF(Mecze[[#This Row],[KC]]=0,SUM(Mecze[[#This Row],[/BRI]:[/NPI]]),SUM(Mecze[[#This Row],[/BRI]:[/NPI]])*0.6)</f>
        <v>0.8125</v>
      </c>
      <c r="AA2383" s="10">
        <f>IFERROR(Mecze[[#This Row],[BR]]/Mecze[[#This Row],[ST]],0)</f>
        <v>0</v>
      </c>
      <c r="AB2383">
        <f>ROUND(Mecze[[#This Row],[PD]]*Mecze[[#This Row],[%PC]],0)</f>
        <v>11</v>
      </c>
      <c r="AC2383">
        <f>ROUND(Mecze[[#This Row],[OD]]*Mecze[[#This Row],[%OU]],0)</f>
        <v>0</v>
      </c>
      <c r="AD2383" s="36" t="s">
        <v>273</v>
      </c>
      <c r="AE2383" s="36">
        <v>133</v>
      </c>
      <c r="AF2383" s="71">
        <v>5.7</v>
      </c>
      <c r="AG2383" s="37">
        <v>0</v>
      </c>
      <c r="AH2383" s="37">
        <v>0</v>
      </c>
      <c r="AI2383" s="37">
        <v>96</v>
      </c>
      <c r="AJ2383" s="37">
        <v>4</v>
      </c>
      <c r="AK2383" s="37" t="str">
        <f>VLOOKUP(Mecze[[#This Row],[Match ID]],Meczusie[Mecz]:Meczusie[RodzajMeczu],2,FALSE)</f>
        <v>Liga</v>
      </c>
    </row>
    <row r="2384" spans="1:37" x14ac:dyDescent="0.25">
      <c r="A2384" s="76">
        <v>10</v>
      </c>
      <c r="B2384" s="3" t="s">
        <v>284</v>
      </c>
      <c r="C2384" s="2" t="s">
        <v>165</v>
      </c>
      <c r="D2384" s="1">
        <v>1</v>
      </c>
      <c r="E2384" s="1">
        <v>9</v>
      </c>
      <c r="F2384" s="1">
        <v>9</v>
      </c>
      <c r="G2384" s="1">
        <v>3</v>
      </c>
      <c r="H2384" s="4">
        <v>1</v>
      </c>
      <c r="I2384" s="1">
        <v>2</v>
      </c>
      <c r="J2384" s="4">
        <v>0</v>
      </c>
      <c r="K2384" s="1">
        <v>0</v>
      </c>
      <c r="L2384" s="1">
        <v>0</v>
      </c>
      <c r="M2384" s="32">
        <f>IF(Mecze[[#This Row],[PR]]=0,0,Mecze[[#This Row],[PR]]/Mecze[[#This Row],[CZAS]])</f>
        <v>0</v>
      </c>
      <c r="N2384" s="32">
        <f>IF(Mecze[[#This Row],[OU]]=0,0,Mecze[[#This Row],[OU]]/Mecze[[#This Row],[CZAS]])</f>
        <v>0</v>
      </c>
      <c r="O2384" s="32">
        <f>IF(Mecze[[#This Row],[PC]]=0,0,Mecze[[#This Row],[PC]]/Mecze[[#This Row],[CZAS]])</f>
        <v>3.125E-2</v>
      </c>
      <c r="P2384" s="32">
        <f>IF(Mecze[[#This Row],[SC]]=0,0,Mecze[[#This Row],[SC]]/Mecze[[#This Row],[CZAS]])</f>
        <v>9.375E-2</v>
      </c>
      <c r="Q2384" s="32">
        <f>IF(Mecze[[#This Row],[OB]]=0,0,Mecze[[#This Row],[OB]]/Mecze[[#This Row],[CZAS]])</f>
        <v>0</v>
      </c>
      <c r="R2384" s="32">
        <f>IF(Mecze[[#This Row],[BR]]=0,0,Mecze[[#This Row],[BR]]/Mecze[[#This Row],[CZAS]])</f>
        <v>1.0416666666666666E-2</v>
      </c>
      <c r="S2384" s="44">
        <f>IF(Mecze[[#This Row],[Role]]="BR",SUMPRODUCT(Mecze[[#This Row],[/PR:90]:[/BR:90]],Brudnopis!$E$23:$J$23),0)</f>
        <v>0</v>
      </c>
      <c r="T2384" s="44">
        <f>IF(Mecze[[#This Row],[Role]]&lt;&gt;"BR",SUMPRODUCT(Mecze[[#This Row],[/PR:90]:[/BR:90]],Brudnopis!$E$24:$J$24),0)</f>
        <v>0.140625</v>
      </c>
      <c r="U2384" s="44">
        <f>IF(Mecze[[#This Row],[Role]]&lt;&gt;"BR",SUMPRODUCT(Mecze[[#This Row],[/PR:90]:[/BR:90]],Brudnopis!$E$25:$J$25),0)</f>
        <v>0.15625</v>
      </c>
      <c r="V2384" s="44">
        <f>IF(Mecze[[#This Row],[Role]]&lt;&gt;"BR",SUMPRODUCT(Mecze[[#This Row],[/PR:90]:[/BR:90]],Brudnopis!$E$26:$J$26),0)</f>
        <v>0.14583333333333334</v>
      </c>
      <c r="W2384" s="44">
        <f>IF(Mecze[[#This Row],[Role]]&lt;&gt;"BR",SUMPRODUCT(Mecze[[#This Row],[/PR:90]:[/BR:90]],Brudnopis!$E$27:$J$27),0)</f>
        <v>0.16145833333333334</v>
      </c>
      <c r="X2384" s="44">
        <f>IF(Mecze[[#This Row],[Role]]&lt;&gt;"BR",SUMPRODUCT(Mecze[[#This Row],[/PR:90]:[/BR:90]],Brudnopis!$E$28:$J$28),0)</f>
        <v>0.25</v>
      </c>
      <c r="Y2384" s="35">
        <f>IF(Mecze[[#This Row],[Role]]="BR",Mecze[[#This Row],[/OB:90]]+Mecze[[#This Row],[/PC:90]],SUM(Mecze[[#This Row],[/PR:90]:[/BR:90]]))</f>
        <v>0.13541666666666666</v>
      </c>
      <c r="Z2384" s="35">
        <f>IF(Mecze[[#This Row],[KC]]=0,SUM(Mecze[[#This Row],[/BRI]:[/NPI]]),SUM(Mecze[[#This Row],[/BRI]:[/NPI]])*0.6)</f>
        <v>0.85416666666666674</v>
      </c>
      <c r="AA2384" s="10">
        <f>IFERROR(Mecze[[#This Row],[BR]]/Mecze[[#This Row],[ST]],0)</f>
        <v>0.1111111111111111</v>
      </c>
      <c r="AB2384">
        <f>ROUND(Mecze[[#This Row],[PD]]*Mecze[[#This Row],[%PC]],0)</f>
        <v>3</v>
      </c>
      <c r="AC2384">
        <f>ROUND(Mecze[[#This Row],[OD]]*Mecze[[#This Row],[%OU]],0)</f>
        <v>0</v>
      </c>
      <c r="AD2384" s="36" t="s">
        <v>46</v>
      </c>
      <c r="AE2384" s="36">
        <v>133</v>
      </c>
      <c r="AF2384" s="71">
        <v>8.2100000000000009</v>
      </c>
      <c r="AG2384" s="37">
        <v>0</v>
      </c>
      <c r="AH2384" s="37">
        <v>0</v>
      </c>
      <c r="AI2384" s="37">
        <v>96</v>
      </c>
      <c r="AJ2384" s="37">
        <v>4</v>
      </c>
      <c r="AK2384" s="37" t="str">
        <f>VLOOKUP(Mecze[[#This Row],[Match ID]],Meczusie[Mecz]:Meczusie[RodzajMeczu],2,FALSE)</f>
        <v>Liga</v>
      </c>
    </row>
    <row r="2385" spans="1:37" x14ac:dyDescent="0.25">
      <c r="A2385" s="76">
        <v>3</v>
      </c>
      <c r="B2385" s="3" t="s">
        <v>495</v>
      </c>
      <c r="C2385" s="2" t="s">
        <v>157</v>
      </c>
      <c r="D2385" s="1">
        <v>0</v>
      </c>
      <c r="E2385" s="1">
        <v>0</v>
      </c>
      <c r="F2385" s="1">
        <v>0</v>
      </c>
      <c r="G2385" s="1">
        <v>3</v>
      </c>
      <c r="H2385" s="4">
        <v>0.67</v>
      </c>
      <c r="I2385" s="1">
        <v>0</v>
      </c>
      <c r="J2385" s="4"/>
      <c r="K2385" s="1">
        <v>0</v>
      </c>
      <c r="L2385" s="1">
        <v>2</v>
      </c>
      <c r="M2385" s="32">
        <f>IF(Mecze[[#This Row],[PR]]=0,0,Mecze[[#This Row],[PR]]/Mecze[[#This Row],[CZAS]])</f>
        <v>6.8965517241379309E-2</v>
      </c>
      <c r="N2385" s="32">
        <f>IF(Mecze[[#This Row],[OU]]=0,0,Mecze[[#This Row],[OU]]/Mecze[[#This Row],[CZAS]])</f>
        <v>0</v>
      </c>
      <c r="O2385" s="32">
        <f>IF(Mecze[[#This Row],[PC]]=0,0,Mecze[[#This Row],[PC]]/Mecze[[#This Row],[CZAS]])</f>
        <v>6.8965517241379309E-2</v>
      </c>
      <c r="P2385" s="32">
        <f>IF(Mecze[[#This Row],[SC]]=0,0,Mecze[[#This Row],[SC]]/Mecze[[#This Row],[CZAS]])</f>
        <v>0</v>
      </c>
      <c r="Q2385" s="32">
        <f>IF(Mecze[[#This Row],[OB]]=0,0,Mecze[[#This Row],[OB]]/Mecze[[#This Row],[CZAS]])</f>
        <v>0</v>
      </c>
      <c r="R2385" s="32">
        <f>IF(Mecze[[#This Row],[BR]]=0,0,Mecze[[#This Row],[BR]]/Mecze[[#This Row],[CZAS]])</f>
        <v>0</v>
      </c>
      <c r="S2385" s="44">
        <f>IF(Mecze[[#This Row],[Role]]="BR",SUMPRODUCT(Mecze[[#This Row],[/PR:90]:[/BR:90]],Brudnopis!$E$23:$J$23),0)</f>
        <v>0</v>
      </c>
      <c r="T2385" s="44">
        <f>IF(Mecze[[#This Row],[Role]]&lt;&gt;"BR",SUMPRODUCT(Mecze[[#This Row],[/PR:90]:[/BR:90]],Brudnopis!$E$24:$J$24),0)</f>
        <v>0.13793103448275862</v>
      </c>
      <c r="U2385" s="44">
        <f>IF(Mecze[[#This Row],[Role]]&lt;&gt;"BR",SUMPRODUCT(Mecze[[#This Row],[/PR:90]:[/BR:90]],Brudnopis!$E$25:$J$25),0)</f>
        <v>0.17241379310344829</v>
      </c>
      <c r="V2385" s="44">
        <f>IF(Mecze[[#This Row],[Role]]&lt;&gt;"BR",SUMPRODUCT(Mecze[[#This Row],[/PR:90]:[/BR:90]],Brudnopis!$E$26:$J$26),0)</f>
        <v>0.13793103448275862</v>
      </c>
      <c r="W2385" s="44">
        <f>IF(Mecze[[#This Row],[Role]]&lt;&gt;"BR",SUMPRODUCT(Mecze[[#This Row],[/PR:90]:[/BR:90]],Brudnopis!$E$27:$J$27),0)</f>
        <v>0.15517241379310345</v>
      </c>
      <c r="X2385" s="44">
        <f>IF(Mecze[[#This Row],[Role]]&lt;&gt;"BR",SUMPRODUCT(Mecze[[#This Row],[/PR:90]:[/BR:90]],Brudnopis!$E$28:$J$28),0)</f>
        <v>6.8965517241379309E-2</v>
      </c>
      <c r="Y2385" s="35">
        <f>IF(Mecze[[#This Row],[Role]]="BR",Mecze[[#This Row],[/OB:90]]+Mecze[[#This Row],[/PC:90]],SUM(Mecze[[#This Row],[/PR:90]:[/BR:90]]))</f>
        <v>0.13793103448275862</v>
      </c>
      <c r="Z2385" s="35">
        <f>IF(Mecze[[#This Row],[KC]]=0,SUM(Mecze[[#This Row],[/BRI]:[/NPI]]),SUM(Mecze[[#This Row],[/BRI]:[/NPI]])*0.6)</f>
        <v>0.67241379310344829</v>
      </c>
      <c r="AA2385" s="10">
        <f>IFERROR(Mecze[[#This Row],[BR]]/Mecze[[#This Row],[ST]],0)</f>
        <v>0</v>
      </c>
      <c r="AB2385">
        <f>ROUND(Mecze[[#This Row],[PD]]*Mecze[[#This Row],[%PC]],0)</f>
        <v>2</v>
      </c>
      <c r="AC2385">
        <f>ROUND(Mecze[[#This Row],[OD]]*Mecze[[#This Row],[%OU]],0)</f>
        <v>0</v>
      </c>
      <c r="AD2385" s="36" t="s">
        <v>167</v>
      </c>
      <c r="AE2385" s="36">
        <v>133</v>
      </c>
      <c r="AF2385" s="71">
        <v>2.14</v>
      </c>
      <c r="AG2385" s="37">
        <v>0</v>
      </c>
      <c r="AH2385" s="37">
        <v>0</v>
      </c>
      <c r="AI2385" s="37">
        <v>29</v>
      </c>
      <c r="AJ2385" s="37">
        <v>4</v>
      </c>
      <c r="AK2385" s="37" t="str">
        <f>VLOOKUP(Mecze[[#This Row],[Match ID]],Meczusie[Mecz]:Meczusie[RodzajMeczu],2,FALSE)</f>
        <v>Liga</v>
      </c>
    </row>
    <row r="2386" spans="1:37" x14ac:dyDescent="0.25">
      <c r="A2386" s="76">
        <v>14</v>
      </c>
      <c r="B2386" s="3" t="s">
        <v>281</v>
      </c>
      <c r="C2386" s="2" t="s">
        <v>165</v>
      </c>
      <c r="D2386" s="1">
        <v>0</v>
      </c>
      <c r="E2386" s="1">
        <v>2</v>
      </c>
      <c r="F2386" s="1">
        <v>2</v>
      </c>
      <c r="G2386" s="1">
        <v>1</v>
      </c>
      <c r="H2386" s="4">
        <v>1</v>
      </c>
      <c r="I2386" s="1">
        <v>2</v>
      </c>
      <c r="J2386" s="4">
        <v>0</v>
      </c>
      <c r="K2386" s="1">
        <v>0</v>
      </c>
      <c r="L2386" s="1">
        <v>0</v>
      </c>
      <c r="M2386" s="32">
        <f>IF(Mecze[[#This Row],[PR]]=0,0,Mecze[[#This Row],[PR]]/Mecze[[#This Row],[CZAS]])</f>
        <v>0</v>
      </c>
      <c r="N2386" s="32">
        <f>IF(Mecze[[#This Row],[OU]]=0,0,Mecze[[#This Row],[OU]]/Mecze[[#This Row],[CZAS]])</f>
        <v>0</v>
      </c>
      <c r="O2386" s="32">
        <f>IF(Mecze[[#This Row],[PC]]=0,0,Mecze[[#This Row],[PC]]/Mecze[[#This Row],[CZAS]])</f>
        <v>3.4482758620689655E-2</v>
      </c>
      <c r="P2386" s="32">
        <f>IF(Mecze[[#This Row],[SC]]=0,0,Mecze[[#This Row],[SC]]/Mecze[[#This Row],[CZAS]])</f>
        <v>6.8965517241379309E-2</v>
      </c>
      <c r="Q2386" s="32">
        <f>IF(Mecze[[#This Row],[OB]]=0,0,Mecze[[#This Row],[OB]]/Mecze[[#This Row],[CZAS]])</f>
        <v>0</v>
      </c>
      <c r="R2386" s="32">
        <f>IF(Mecze[[#This Row],[BR]]=0,0,Mecze[[#This Row],[BR]]/Mecze[[#This Row],[CZAS]])</f>
        <v>0</v>
      </c>
      <c r="S2386" s="44">
        <f>IF(Mecze[[#This Row],[Role]]="BR",SUMPRODUCT(Mecze[[#This Row],[/PR:90]:[/BR:90]],Brudnopis!$E$23:$J$23),0)</f>
        <v>0</v>
      </c>
      <c r="T2386" s="44">
        <f>IF(Mecze[[#This Row],[Role]]&lt;&gt;"BR",SUMPRODUCT(Mecze[[#This Row],[/PR:90]:[/BR:90]],Brudnopis!$E$24:$J$24),0)</f>
        <v>0.10344827586206896</v>
      </c>
      <c r="U2386" s="44">
        <f>IF(Mecze[[#This Row],[Role]]&lt;&gt;"BR",SUMPRODUCT(Mecze[[#This Row],[/PR:90]:[/BR:90]],Brudnopis!$E$25:$J$25),0)</f>
        <v>0.12068965517241378</v>
      </c>
      <c r="V2386" s="44">
        <f>IF(Mecze[[#This Row],[Role]]&lt;&gt;"BR",SUMPRODUCT(Mecze[[#This Row],[/PR:90]:[/BR:90]],Brudnopis!$E$26:$J$26),0)</f>
        <v>0.10344827586206896</v>
      </c>
      <c r="W2386" s="44">
        <f>IF(Mecze[[#This Row],[Role]]&lt;&gt;"BR",SUMPRODUCT(Mecze[[#This Row],[/PR:90]:[/BR:90]],Brudnopis!$E$27:$J$27),0)</f>
        <v>0.12068965517241378</v>
      </c>
      <c r="X2386" s="44">
        <f>IF(Mecze[[#This Row],[Role]]&lt;&gt;"BR",SUMPRODUCT(Mecze[[#This Row],[/PR:90]:[/BR:90]],Brudnopis!$E$28:$J$28),0)</f>
        <v>0.17241379310344829</v>
      </c>
      <c r="Y2386" s="35">
        <f>IF(Mecze[[#This Row],[Role]]="BR",Mecze[[#This Row],[/OB:90]]+Mecze[[#This Row],[/PC:90]],SUM(Mecze[[#This Row],[/PR:90]:[/BR:90]]))</f>
        <v>0.10344827586206896</v>
      </c>
      <c r="Z2386" s="35">
        <f>IF(Mecze[[#This Row],[KC]]=0,SUM(Mecze[[#This Row],[/BRI]:[/NPI]]),SUM(Mecze[[#This Row],[/BRI]:[/NPI]])*0.6)</f>
        <v>0.62068965517241381</v>
      </c>
      <c r="AA2386" s="10">
        <f>IFERROR(Mecze[[#This Row],[BR]]/Mecze[[#This Row],[ST]],0)</f>
        <v>0</v>
      </c>
      <c r="AB2386">
        <f>ROUND(Mecze[[#This Row],[PD]]*Mecze[[#This Row],[%PC]],0)</f>
        <v>1</v>
      </c>
      <c r="AC2386">
        <f>ROUND(Mecze[[#This Row],[OD]]*Mecze[[#This Row],[%OU]],0)</f>
        <v>0</v>
      </c>
      <c r="AD2386" s="36" t="s">
        <v>46</v>
      </c>
      <c r="AE2386" s="36">
        <v>133</v>
      </c>
      <c r="AF2386" s="71">
        <v>2.16</v>
      </c>
      <c r="AG2386" s="37">
        <v>0</v>
      </c>
      <c r="AH2386" s="37">
        <v>0</v>
      </c>
      <c r="AI2386" s="37">
        <v>29</v>
      </c>
      <c r="AJ2386" s="37">
        <v>4</v>
      </c>
      <c r="AK2386" s="37" t="str">
        <f>VLOOKUP(Mecze[[#This Row],[Match ID]],Meczusie[Mecz]:Meczusie[RodzajMeczu],2,FALSE)</f>
        <v>Liga</v>
      </c>
    </row>
    <row r="2387" spans="1:37" x14ac:dyDescent="0.25">
      <c r="A2387" s="76">
        <v>1</v>
      </c>
      <c r="B2387" s="3" t="s">
        <v>344</v>
      </c>
      <c r="C2387" s="2" t="s">
        <v>155</v>
      </c>
      <c r="D2387" s="1">
        <v>0</v>
      </c>
      <c r="E2387" s="1">
        <v>0</v>
      </c>
      <c r="F2387" s="1">
        <v>0</v>
      </c>
      <c r="G2387" s="1">
        <v>15</v>
      </c>
      <c r="H2387" s="4">
        <v>0.47</v>
      </c>
      <c r="I2387" s="1">
        <v>0</v>
      </c>
      <c r="J2387" s="4"/>
      <c r="K2387" s="1">
        <v>14</v>
      </c>
      <c r="L2387" s="1">
        <v>0</v>
      </c>
      <c r="M2387" s="32">
        <f>IF(Mecze[[#This Row],[PR]]=0,0,Mecze[[#This Row],[PR]]/Mecze[[#This Row],[CZAS]])</f>
        <v>0</v>
      </c>
      <c r="N2387" s="32">
        <f>IF(Mecze[[#This Row],[OU]]=0,0,Mecze[[#This Row],[OU]]/Mecze[[#This Row],[CZAS]])</f>
        <v>0</v>
      </c>
      <c r="O2387" s="32">
        <f>IF(Mecze[[#This Row],[PC]]=0,0,Mecze[[#This Row],[PC]]/Mecze[[#This Row],[CZAS]])</f>
        <v>7.2916666666666671E-2</v>
      </c>
      <c r="P2387" s="32">
        <f>IF(Mecze[[#This Row],[SC]]=0,0,Mecze[[#This Row],[SC]]/Mecze[[#This Row],[CZAS]])</f>
        <v>0</v>
      </c>
      <c r="Q2387" s="32">
        <f>IF(Mecze[[#This Row],[OB]]=0,0,Mecze[[#This Row],[OB]]/Mecze[[#This Row],[CZAS]])</f>
        <v>0.14583333333333334</v>
      </c>
      <c r="R2387" s="32">
        <f>IF(Mecze[[#This Row],[BR]]=0,0,Mecze[[#This Row],[BR]]/Mecze[[#This Row],[CZAS]])</f>
        <v>0</v>
      </c>
      <c r="S2387" s="44">
        <f>IF(Mecze[[#This Row],[Role]]="BR",SUMPRODUCT(Mecze[[#This Row],[/PR:90]:[/BR:90]],Brudnopis!$E$23:$J$23),0)</f>
        <v>0.65625</v>
      </c>
      <c r="T2387" s="44">
        <f>IF(Mecze[[#This Row],[Role]]&lt;&gt;"BR",SUMPRODUCT(Mecze[[#This Row],[/PR:90]:[/BR:90]],Brudnopis!$E$24:$J$24),0)</f>
        <v>0</v>
      </c>
      <c r="U2387" s="44">
        <f>IF(Mecze[[#This Row],[Role]]&lt;&gt;"BR",SUMPRODUCT(Mecze[[#This Row],[/PR:90]:[/BR:90]],Brudnopis!$E$25:$J$25),0)</f>
        <v>0</v>
      </c>
      <c r="V2387" s="44">
        <f>IF(Mecze[[#This Row],[Role]]&lt;&gt;"BR",SUMPRODUCT(Mecze[[#This Row],[/PR:90]:[/BR:90]],Brudnopis!$E$26:$J$26),0)</f>
        <v>0</v>
      </c>
      <c r="W2387" s="44">
        <f>IF(Mecze[[#This Row],[Role]]&lt;&gt;"BR",SUMPRODUCT(Mecze[[#This Row],[/PR:90]:[/BR:90]],Brudnopis!$E$27:$J$27),0)</f>
        <v>0</v>
      </c>
      <c r="X2387" s="44">
        <f>IF(Mecze[[#This Row],[Role]]&lt;&gt;"BR",SUMPRODUCT(Mecze[[#This Row],[/PR:90]:[/BR:90]],Brudnopis!$E$28:$J$28),0)</f>
        <v>0</v>
      </c>
      <c r="Y2387" s="35">
        <f>IF(Mecze[[#This Row],[Role]]="BR",Mecze[[#This Row],[/OB:90]]+Mecze[[#This Row],[/PC:90]],SUM(Mecze[[#This Row],[/PR:90]:[/BR:90]]))</f>
        <v>0.21875</v>
      </c>
      <c r="Z2387" s="35">
        <f>IF(Mecze[[#This Row],[KC]]=0,SUM(Mecze[[#This Row],[/BRI]:[/NPI]]),SUM(Mecze[[#This Row],[/BRI]:[/NPI]])*0.6)</f>
        <v>0.65625</v>
      </c>
      <c r="AA2387" s="10">
        <f>IFERROR(Mecze[[#This Row],[BR]]/Mecze[[#This Row],[ST]],0)</f>
        <v>0</v>
      </c>
      <c r="AB2387">
        <f>ROUND(Mecze[[#This Row],[PD]]*Mecze[[#This Row],[%PC]],0)</f>
        <v>7</v>
      </c>
      <c r="AC2387">
        <f>ROUND(Mecze[[#This Row],[OD]]*Mecze[[#This Row],[%OU]],0)</f>
        <v>0</v>
      </c>
      <c r="AD2387" s="36" t="s">
        <v>40</v>
      </c>
      <c r="AE2387" s="36">
        <v>133</v>
      </c>
      <c r="AF2387" s="71">
        <v>6.49</v>
      </c>
      <c r="AG2387" s="37">
        <v>0</v>
      </c>
      <c r="AH2387" s="37">
        <v>0</v>
      </c>
      <c r="AI2387" s="37">
        <v>96</v>
      </c>
      <c r="AJ2387" s="37">
        <v>5</v>
      </c>
      <c r="AK2387" s="37" t="str">
        <f>VLOOKUP(Mecze[[#This Row],[Match ID]],Meczusie[Mecz]:Meczusie[RodzajMeczu],2,FALSE)</f>
        <v>Liga</v>
      </c>
    </row>
    <row r="2388" spans="1:37" x14ac:dyDescent="0.25">
      <c r="A2388" s="76">
        <v>2</v>
      </c>
      <c r="B2388" s="3" t="s">
        <v>345</v>
      </c>
      <c r="C2388" s="2" t="s">
        <v>157</v>
      </c>
      <c r="D2388" s="1">
        <v>0</v>
      </c>
      <c r="E2388" s="1">
        <v>0</v>
      </c>
      <c r="F2388" s="1">
        <v>0</v>
      </c>
      <c r="G2388" s="1">
        <v>8</v>
      </c>
      <c r="H2388" s="4">
        <v>0.63</v>
      </c>
      <c r="I2388" s="1">
        <v>5</v>
      </c>
      <c r="J2388" s="4">
        <v>0.4</v>
      </c>
      <c r="K2388" s="1">
        <v>0</v>
      </c>
      <c r="L2388" s="1">
        <v>3</v>
      </c>
      <c r="M2388" s="32">
        <f>IF(Mecze[[#This Row],[PR]]=0,0,Mecze[[#This Row],[PR]]/Mecze[[#This Row],[CZAS]])</f>
        <v>3.125E-2</v>
      </c>
      <c r="N2388" s="32">
        <f>IF(Mecze[[#This Row],[OU]]=0,0,Mecze[[#This Row],[OU]]/Mecze[[#This Row],[CZAS]])</f>
        <v>2.0833333333333332E-2</v>
      </c>
      <c r="O2388" s="32">
        <f>IF(Mecze[[#This Row],[PC]]=0,0,Mecze[[#This Row],[PC]]/Mecze[[#This Row],[CZAS]])</f>
        <v>5.2083333333333336E-2</v>
      </c>
      <c r="P2388" s="32">
        <f>IF(Mecze[[#This Row],[SC]]=0,0,Mecze[[#This Row],[SC]]/Mecze[[#This Row],[CZAS]])</f>
        <v>0</v>
      </c>
      <c r="Q2388" s="32">
        <f>IF(Mecze[[#This Row],[OB]]=0,0,Mecze[[#This Row],[OB]]/Mecze[[#This Row],[CZAS]])</f>
        <v>0</v>
      </c>
      <c r="R2388" s="32">
        <f>IF(Mecze[[#This Row],[BR]]=0,0,Mecze[[#This Row],[BR]]/Mecze[[#This Row],[CZAS]])</f>
        <v>0</v>
      </c>
      <c r="S2388" s="44">
        <f>IF(Mecze[[#This Row],[Role]]="BR",SUMPRODUCT(Mecze[[#This Row],[/PR:90]:[/BR:90]],Brudnopis!$E$23:$J$23),0)</f>
        <v>0</v>
      </c>
      <c r="T2388" s="44">
        <f>IF(Mecze[[#This Row],[Role]]&lt;&gt;"BR",SUMPRODUCT(Mecze[[#This Row],[/PR:90]:[/BR:90]],Brudnopis!$E$24:$J$24),0)</f>
        <v>0.11458333333333334</v>
      </c>
      <c r="U2388" s="44">
        <f>IF(Mecze[[#This Row],[Role]]&lt;&gt;"BR",SUMPRODUCT(Mecze[[#This Row],[/PR:90]:[/BR:90]],Brudnopis!$E$25:$J$25),0)</f>
        <v>0.13020833333333331</v>
      </c>
      <c r="V2388" s="44">
        <f>IF(Mecze[[#This Row],[Role]]&lt;&gt;"BR",SUMPRODUCT(Mecze[[#This Row],[/PR:90]:[/BR:90]],Brudnopis!$E$26:$J$26),0)</f>
        <v>0.10416666666666666</v>
      </c>
      <c r="W2388" s="44">
        <f>IF(Mecze[[#This Row],[Role]]&lt;&gt;"BR",SUMPRODUCT(Mecze[[#This Row],[/PR:90]:[/BR:90]],Brudnopis!$E$27:$J$27),0)</f>
        <v>0.1171875</v>
      </c>
      <c r="X2388" s="44">
        <f>IF(Mecze[[#This Row],[Role]]&lt;&gt;"BR",SUMPRODUCT(Mecze[[#This Row],[/PR:90]:[/BR:90]],Brudnopis!$E$28:$J$28),0)</f>
        <v>5.2083333333333336E-2</v>
      </c>
      <c r="Y2388" s="35">
        <f>IF(Mecze[[#This Row],[Role]]="BR",Mecze[[#This Row],[/OB:90]]+Mecze[[#This Row],[/PC:90]],SUM(Mecze[[#This Row],[/PR:90]:[/BR:90]]))</f>
        <v>0.10416666666666666</v>
      </c>
      <c r="Z2388" s="35">
        <f>IF(Mecze[[#This Row],[KC]]=0,SUM(Mecze[[#This Row],[/BRI]:[/NPI]]),SUM(Mecze[[#This Row],[/BRI]:[/NPI]])*0.6)</f>
        <v>0.51822916666666663</v>
      </c>
      <c r="AA2388" s="10">
        <f>IFERROR(Mecze[[#This Row],[BR]]/Mecze[[#This Row],[ST]],0)</f>
        <v>0</v>
      </c>
      <c r="AB2388">
        <f>ROUND(Mecze[[#This Row],[PD]]*Mecze[[#This Row],[%PC]],0)</f>
        <v>5</v>
      </c>
      <c r="AC2388">
        <f>ROUND(Mecze[[#This Row],[OD]]*Mecze[[#This Row],[%OU]],0)</f>
        <v>2</v>
      </c>
      <c r="AD2388" s="36" t="s">
        <v>47</v>
      </c>
      <c r="AE2388" s="36">
        <v>133</v>
      </c>
      <c r="AF2388" s="71">
        <v>2.2200000000000002</v>
      </c>
      <c r="AG2388" s="37">
        <v>0</v>
      </c>
      <c r="AH2388" s="37">
        <v>0</v>
      </c>
      <c r="AI2388" s="37">
        <v>96</v>
      </c>
      <c r="AJ2388" s="37">
        <v>5</v>
      </c>
      <c r="AK2388" s="37" t="str">
        <f>VLOOKUP(Mecze[[#This Row],[Match ID]],Meczusie[Mecz]:Meczusie[RodzajMeczu],2,FALSE)</f>
        <v>Liga</v>
      </c>
    </row>
    <row r="2389" spans="1:37" x14ac:dyDescent="0.25">
      <c r="A2389" s="76">
        <v>4</v>
      </c>
      <c r="B2389" s="3" t="s">
        <v>346</v>
      </c>
      <c r="C2389" s="2" t="s">
        <v>157</v>
      </c>
      <c r="D2389" s="1">
        <v>0</v>
      </c>
      <c r="E2389" s="1">
        <v>0</v>
      </c>
      <c r="F2389" s="1">
        <v>0</v>
      </c>
      <c r="G2389" s="1">
        <v>10</v>
      </c>
      <c r="H2389" s="4">
        <v>0.9</v>
      </c>
      <c r="I2389" s="1">
        <v>7</v>
      </c>
      <c r="J2389" s="4">
        <v>0.43</v>
      </c>
      <c r="K2389" s="1">
        <v>0</v>
      </c>
      <c r="L2389" s="1">
        <v>9</v>
      </c>
      <c r="M2389" s="32">
        <f>IF(Mecze[[#This Row],[PR]]=0,0,Mecze[[#This Row],[PR]]/Mecze[[#This Row],[CZAS]])</f>
        <v>9.375E-2</v>
      </c>
      <c r="N2389" s="32">
        <f>IF(Mecze[[#This Row],[OU]]=0,0,Mecze[[#This Row],[OU]]/Mecze[[#This Row],[CZAS]])</f>
        <v>3.125E-2</v>
      </c>
      <c r="O2389" s="32">
        <f>IF(Mecze[[#This Row],[PC]]=0,0,Mecze[[#This Row],[PC]]/Mecze[[#This Row],[CZAS]])</f>
        <v>9.375E-2</v>
      </c>
      <c r="P2389" s="32">
        <f>IF(Mecze[[#This Row],[SC]]=0,0,Mecze[[#This Row],[SC]]/Mecze[[#This Row],[CZAS]])</f>
        <v>0</v>
      </c>
      <c r="Q2389" s="32">
        <f>IF(Mecze[[#This Row],[OB]]=0,0,Mecze[[#This Row],[OB]]/Mecze[[#This Row],[CZAS]])</f>
        <v>0</v>
      </c>
      <c r="R2389" s="32">
        <f>IF(Mecze[[#This Row],[BR]]=0,0,Mecze[[#This Row],[BR]]/Mecze[[#This Row],[CZAS]])</f>
        <v>0</v>
      </c>
      <c r="S2389" s="44">
        <f>IF(Mecze[[#This Row],[Role]]="BR",SUMPRODUCT(Mecze[[#This Row],[/PR:90]:[/BR:90]],Brudnopis!$E$23:$J$23),0)</f>
        <v>0</v>
      </c>
      <c r="T2389" s="44">
        <f>IF(Mecze[[#This Row],[Role]]&lt;&gt;"BR",SUMPRODUCT(Mecze[[#This Row],[/PR:90]:[/BR:90]],Brudnopis!$E$24:$J$24),0)</f>
        <v>0.234375</v>
      </c>
      <c r="U2389" s="44">
        <f>IF(Mecze[[#This Row],[Role]]&lt;&gt;"BR",SUMPRODUCT(Mecze[[#This Row],[/PR:90]:[/BR:90]],Brudnopis!$E$25:$J$25),0)</f>
        <v>0.265625</v>
      </c>
      <c r="V2389" s="44">
        <f>IF(Mecze[[#This Row],[Role]]&lt;&gt;"BR",SUMPRODUCT(Mecze[[#This Row],[/PR:90]:[/BR:90]],Brudnopis!$E$26:$J$26),0)</f>
        <v>0.21875</v>
      </c>
      <c r="W2389" s="44">
        <f>IF(Mecze[[#This Row],[Role]]&lt;&gt;"BR",SUMPRODUCT(Mecze[[#This Row],[/PR:90]:[/BR:90]],Brudnopis!$E$27:$J$27),0)</f>
        <v>0.234375</v>
      </c>
      <c r="X2389" s="44">
        <f>IF(Mecze[[#This Row],[Role]]&lt;&gt;"BR",SUMPRODUCT(Mecze[[#This Row],[/PR:90]:[/BR:90]],Brudnopis!$E$28:$J$28),0)</f>
        <v>9.375E-2</v>
      </c>
      <c r="Y2389" s="35">
        <f>IF(Mecze[[#This Row],[Role]]="BR",Mecze[[#This Row],[/OB:90]]+Mecze[[#This Row],[/PC:90]],SUM(Mecze[[#This Row],[/PR:90]:[/BR:90]]))</f>
        <v>0.21875</v>
      </c>
      <c r="Z2389" s="35">
        <f>IF(Mecze[[#This Row],[KC]]=0,SUM(Mecze[[#This Row],[/BRI]:[/NPI]]),SUM(Mecze[[#This Row],[/BRI]:[/NPI]])*0.6)</f>
        <v>1.046875</v>
      </c>
      <c r="AA2389" s="10">
        <f>IFERROR(Mecze[[#This Row],[BR]]/Mecze[[#This Row],[ST]],0)</f>
        <v>0</v>
      </c>
      <c r="AB2389">
        <f>ROUND(Mecze[[#This Row],[PD]]*Mecze[[#This Row],[%PC]],0)</f>
        <v>9</v>
      </c>
      <c r="AC2389">
        <f>ROUND(Mecze[[#This Row],[OD]]*Mecze[[#This Row],[%OU]],0)</f>
        <v>3</v>
      </c>
      <c r="AD2389" s="36" t="s">
        <v>47</v>
      </c>
      <c r="AE2389" s="36">
        <v>133</v>
      </c>
      <c r="AF2389" s="71">
        <v>3.48</v>
      </c>
      <c r="AG2389" s="37">
        <v>0</v>
      </c>
      <c r="AH2389" s="37">
        <v>0</v>
      </c>
      <c r="AI2389" s="37">
        <v>96</v>
      </c>
      <c r="AJ2389" s="37">
        <v>5</v>
      </c>
      <c r="AK2389" s="37" t="str">
        <f>VLOOKUP(Mecze[[#This Row],[Match ID]],Meczusie[Mecz]:Meczusie[RodzajMeczu],2,FALSE)</f>
        <v>Liga</v>
      </c>
    </row>
    <row r="2390" spans="1:37" x14ac:dyDescent="0.25">
      <c r="A2390" s="76">
        <v>5</v>
      </c>
      <c r="B2390" s="3" t="s">
        <v>347</v>
      </c>
      <c r="C2390" s="2" t="s">
        <v>157</v>
      </c>
      <c r="D2390" s="1">
        <v>0</v>
      </c>
      <c r="E2390" s="1">
        <v>0</v>
      </c>
      <c r="F2390" s="1">
        <v>0</v>
      </c>
      <c r="G2390" s="1">
        <v>12</v>
      </c>
      <c r="H2390" s="4">
        <v>0.57999999999999996</v>
      </c>
      <c r="I2390" s="1">
        <v>6</v>
      </c>
      <c r="J2390" s="4">
        <v>0.67</v>
      </c>
      <c r="K2390" s="1">
        <v>0</v>
      </c>
      <c r="L2390" s="1">
        <v>4</v>
      </c>
      <c r="M2390" s="32">
        <f>IF(Mecze[[#This Row],[PR]]=0,0,Mecze[[#This Row],[PR]]/Mecze[[#This Row],[CZAS]])</f>
        <v>4.1666666666666664E-2</v>
      </c>
      <c r="N2390" s="32">
        <f>IF(Mecze[[#This Row],[OU]]=0,0,Mecze[[#This Row],[OU]]/Mecze[[#This Row],[CZAS]])</f>
        <v>4.1666666666666664E-2</v>
      </c>
      <c r="O2390" s="32">
        <f>IF(Mecze[[#This Row],[PC]]=0,0,Mecze[[#This Row],[PC]]/Mecze[[#This Row],[CZAS]])</f>
        <v>7.2916666666666671E-2</v>
      </c>
      <c r="P2390" s="32">
        <f>IF(Mecze[[#This Row],[SC]]=0,0,Mecze[[#This Row],[SC]]/Mecze[[#This Row],[CZAS]])</f>
        <v>0</v>
      </c>
      <c r="Q2390" s="32">
        <f>IF(Mecze[[#This Row],[OB]]=0,0,Mecze[[#This Row],[OB]]/Mecze[[#This Row],[CZAS]])</f>
        <v>0</v>
      </c>
      <c r="R2390" s="32">
        <f>IF(Mecze[[#This Row],[BR]]=0,0,Mecze[[#This Row],[BR]]/Mecze[[#This Row],[CZAS]])</f>
        <v>0</v>
      </c>
      <c r="S2390" s="44">
        <f>IF(Mecze[[#This Row],[Role]]="BR",SUMPRODUCT(Mecze[[#This Row],[/PR:90]:[/BR:90]],Brudnopis!$E$23:$J$23),0)</f>
        <v>0</v>
      </c>
      <c r="T2390" s="44">
        <f>IF(Mecze[[#This Row],[Role]]&lt;&gt;"BR",SUMPRODUCT(Mecze[[#This Row],[/PR:90]:[/BR:90]],Brudnopis!$E$24:$J$24),0)</f>
        <v>0.17708333333333331</v>
      </c>
      <c r="U2390" s="44">
        <f>IF(Mecze[[#This Row],[Role]]&lt;&gt;"BR",SUMPRODUCT(Mecze[[#This Row],[/PR:90]:[/BR:90]],Brudnopis!$E$25:$J$25),0)</f>
        <v>0.19270833333333331</v>
      </c>
      <c r="V2390" s="44">
        <f>IF(Mecze[[#This Row],[Role]]&lt;&gt;"BR",SUMPRODUCT(Mecze[[#This Row],[/PR:90]:[/BR:90]],Brudnopis!$E$26:$J$26),0)</f>
        <v>0.15625</v>
      </c>
      <c r="W2390" s="44">
        <f>IF(Mecze[[#This Row],[Role]]&lt;&gt;"BR",SUMPRODUCT(Mecze[[#This Row],[/PR:90]:[/BR:90]],Brudnopis!$E$27:$J$27),0)</f>
        <v>0.171875</v>
      </c>
      <c r="X2390" s="44">
        <f>IF(Mecze[[#This Row],[Role]]&lt;&gt;"BR",SUMPRODUCT(Mecze[[#This Row],[/PR:90]:[/BR:90]],Brudnopis!$E$28:$J$28),0)</f>
        <v>7.2916666666666671E-2</v>
      </c>
      <c r="Y2390" s="35">
        <f>IF(Mecze[[#This Row],[Role]]="BR",Mecze[[#This Row],[/OB:90]]+Mecze[[#This Row],[/PC:90]],SUM(Mecze[[#This Row],[/PR:90]:[/BR:90]]))</f>
        <v>0.15625</v>
      </c>
      <c r="Z2390" s="35">
        <f>IF(Mecze[[#This Row],[KC]]=0,SUM(Mecze[[#This Row],[/BRI]:[/NPI]]),SUM(Mecze[[#This Row],[/BRI]:[/NPI]])*0.6)</f>
        <v>0.77083333333333326</v>
      </c>
      <c r="AA2390" s="10">
        <f>IFERROR(Mecze[[#This Row],[BR]]/Mecze[[#This Row],[ST]],0)</f>
        <v>0</v>
      </c>
      <c r="AB2390">
        <f>ROUND(Mecze[[#This Row],[PD]]*Mecze[[#This Row],[%PC]],0)</f>
        <v>7</v>
      </c>
      <c r="AC2390">
        <f>ROUND(Mecze[[#This Row],[OD]]*Mecze[[#This Row],[%OU]],0)</f>
        <v>4</v>
      </c>
      <c r="AD2390" s="36" t="s">
        <v>175</v>
      </c>
      <c r="AE2390" s="36">
        <v>133</v>
      </c>
      <c r="AF2390" s="71">
        <v>3.55</v>
      </c>
      <c r="AG2390" s="37">
        <v>0</v>
      </c>
      <c r="AH2390" s="37">
        <v>0</v>
      </c>
      <c r="AI2390" s="37">
        <v>96</v>
      </c>
      <c r="AJ2390" s="37">
        <v>5</v>
      </c>
      <c r="AK2390" s="37" t="str">
        <f>VLOOKUP(Mecze[[#This Row],[Match ID]],Meczusie[Mecz]:Meczusie[RodzajMeczu],2,FALSE)</f>
        <v>Liga</v>
      </c>
    </row>
    <row r="2391" spans="1:37" x14ac:dyDescent="0.25">
      <c r="A2391" s="76">
        <v>3</v>
      </c>
      <c r="B2391" s="3" t="s">
        <v>348</v>
      </c>
      <c r="C2391" s="2" t="s">
        <v>157</v>
      </c>
      <c r="D2391" s="1">
        <v>0</v>
      </c>
      <c r="E2391" s="1">
        <v>0</v>
      </c>
      <c r="F2391" s="1">
        <v>0</v>
      </c>
      <c r="G2391" s="1">
        <v>5</v>
      </c>
      <c r="H2391" s="4">
        <v>0.6</v>
      </c>
      <c r="I2391" s="1">
        <v>1</v>
      </c>
      <c r="J2391" s="4">
        <v>1</v>
      </c>
      <c r="K2391" s="1">
        <v>0</v>
      </c>
      <c r="L2391" s="1">
        <v>1</v>
      </c>
      <c r="M2391" s="32">
        <f>IF(Mecze[[#This Row],[PR]]=0,0,Mecze[[#This Row],[PR]]/Mecze[[#This Row],[CZAS]])</f>
        <v>1.0416666666666666E-2</v>
      </c>
      <c r="N2391" s="32">
        <f>IF(Mecze[[#This Row],[OU]]=0,0,Mecze[[#This Row],[OU]]/Mecze[[#This Row],[CZAS]])</f>
        <v>1.0416666666666666E-2</v>
      </c>
      <c r="O2391" s="32">
        <f>IF(Mecze[[#This Row],[PC]]=0,0,Mecze[[#This Row],[PC]]/Mecze[[#This Row],[CZAS]])</f>
        <v>3.125E-2</v>
      </c>
      <c r="P2391" s="32">
        <f>IF(Mecze[[#This Row],[SC]]=0,0,Mecze[[#This Row],[SC]]/Mecze[[#This Row],[CZAS]])</f>
        <v>0</v>
      </c>
      <c r="Q2391" s="32">
        <f>IF(Mecze[[#This Row],[OB]]=0,0,Mecze[[#This Row],[OB]]/Mecze[[#This Row],[CZAS]])</f>
        <v>0</v>
      </c>
      <c r="R2391" s="32">
        <f>IF(Mecze[[#This Row],[BR]]=0,0,Mecze[[#This Row],[BR]]/Mecze[[#This Row],[CZAS]])</f>
        <v>0</v>
      </c>
      <c r="S2391" s="44">
        <f>IF(Mecze[[#This Row],[Role]]="BR",SUMPRODUCT(Mecze[[#This Row],[/PR:90]:[/BR:90]],Brudnopis!$E$23:$J$23),0)</f>
        <v>0</v>
      </c>
      <c r="T2391" s="44">
        <f>IF(Mecze[[#This Row],[Role]]&lt;&gt;"BR",SUMPRODUCT(Mecze[[#This Row],[/PR:90]:[/BR:90]],Brudnopis!$E$24:$J$24),0)</f>
        <v>5.7291666666666664E-2</v>
      </c>
      <c r="U2391" s="44">
        <f>IF(Mecze[[#This Row],[Role]]&lt;&gt;"BR",SUMPRODUCT(Mecze[[#This Row],[/PR:90]:[/BR:90]],Brudnopis!$E$25:$J$25),0)</f>
        <v>6.7708333333333329E-2</v>
      </c>
      <c r="V2391" s="44">
        <f>IF(Mecze[[#This Row],[Role]]&lt;&gt;"BR",SUMPRODUCT(Mecze[[#This Row],[/PR:90]:[/BR:90]],Brudnopis!$E$26:$J$26),0)</f>
        <v>5.2083333333333329E-2</v>
      </c>
      <c r="W2391" s="44">
        <f>IF(Mecze[[#This Row],[Role]]&lt;&gt;"BR",SUMPRODUCT(Mecze[[#This Row],[/PR:90]:[/BR:90]],Brudnopis!$E$27:$J$27),0)</f>
        <v>6.25E-2</v>
      </c>
      <c r="X2391" s="44">
        <f>IF(Mecze[[#This Row],[Role]]&lt;&gt;"BR",SUMPRODUCT(Mecze[[#This Row],[/PR:90]:[/BR:90]],Brudnopis!$E$28:$J$28),0)</f>
        <v>3.125E-2</v>
      </c>
      <c r="Y2391" s="35">
        <f>IF(Mecze[[#This Row],[Role]]="BR",Mecze[[#This Row],[/OB:90]]+Mecze[[#This Row],[/PC:90]],SUM(Mecze[[#This Row],[/PR:90]:[/BR:90]]))</f>
        <v>5.2083333333333329E-2</v>
      </c>
      <c r="Z2391" s="35">
        <f>IF(Mecze[[#This Row],[KC]]=0,SUM(Mecze[[#This Row],[/BRI]:[/NPI]]),SUM(Mecze[[#This Row],[/BRI]:[/NPI]])*0.6)</f>
        <v>0.27083333333333331</v>
      </c>
      <c r="AA2391" s="10">
        <f>IFERROR(Mecze[[#This Row],[BR]]/Mecze[[#This Row],[ST]],0)</f>
        <v>0</v>
      </c>
      <c r="AB2391">
        <f>ROUND(Mecze[[#This Row],[PD]]*Mecze[[#This Row],[%PC]],0)</f>
        <v>3</v>
      </c>
      <c r="AC2391">
        <f>ROUND(Mecze[[#This Row],[OD]]*Mecze[[#This Row],[%OU]],0)</f>
        <v>1</v>
      </c>
      <c r="AD2391" s="36" t="s">
        <v>174</v>
      </c>
      <c r="AE2391" s="36">
        <v>133</v>
      </c>
      <c r="AF2391" s="71">
        <v>1.8</v>
      </c>
      <c r="AG2391" s="37">
        <v>0</v>
      </c>
      <c r="AH2391" s="37">
        <v>0</v>
      </c>
      <c r="AI2391" s="37">
        <v>96</v>
      </c>
      <c r="AJ2391" s="37">
        <v>5</v>
      </c>
      <c r="AK2391" s="37" t="str">
        <f>VLOOKUP(Mecze[[#This Row],[Match ID]],Meczusie[Mecz]:Meczusie[RodzajMeczu],2,FALSE)</f>
        <v>Liga</v>
      </c>
    </row>
    <row r="2392" spans="1:37" x14ac:dyDescent="0.25">
      <c r="A2392" s="76">
        <v>6</v>
      </c>
      <c r="B2392" s="3" t="s">
        <v>349</v>
      </c>
      <c r="C2392" s="2" t="s">
        <v>160</v>
      </c>
      <c r="D2392" s="1">
        <v>0</v>
      </c>
      <c r="E2392" s="1">
        <v>0</v>
      </c>
      <c r="F2392" s="1">
        <v>0</v>
      </c>
      <c r="G2392" s="1">
        <v>15</v>
      </c>
      <c r="H2392" s="4">
        <v>0.87</v>
      </c>
      <c r="I2392" s="1">
        <v>10</v>
      </c>
      <c r="J2392" s="4">
        <v>0.2</v>
      </c>
      <c r="K2392" s="1">
        <v>0</v>
      </c>
      <c r="L2392" s="1">
        <v>7</v>
      </c>
      <c r="M2392" s="32">
        <f>IF(Mecze[[#This Row],[PR]]=0,0,Mecze[[#This Row],[PR]]/Mecze[[#This Row],[CZAS]])</f>
        <v>7.2916666666666671E-2</v>
      </c>
      <c r="N2392" s="32">
        <f>IF(Mecze[[#This Row],[OU]]=0,0,Mecze[[#This Row],[OU]]/Mecze[[#This Row],[CZAS]])</f>
        <v>2.0833333333333332E-2</v>
      </c>
      <c r="O2392" s="32">
        <f>IF(Mecze[[#This Row],[PC]]=0,0,Mecze[[#This Row],[PC]]/Mecze[[#This Row],[CZAS]])</f>
        <v>0.13541666666666666</v>
      </c>
      <c r="P2392" s="32">
        <f>IF(Mecze[[#This Row],[SC]]=0,0,Mecze[[#This Row],[SC]]/Mecze[[#This Row],[CZAS]])</f>
        <v>0</v>
      </c>
      <c r="Q2392" s="32">
        <f>IF(Mecze[[#This Row],[OB]]=0,0,Mecze[[#This Row],[OB]]/Mecze[[#This Row],[CZAS]])</f>
        <v>0</v>
      </c>
      <c r="R2392" s="32">
        <f>IF(Mecze[[#This Row],[BR]]=0,0,Mecze[[#This Row],[BR]]/Mecze[[#This Row],[CZAS]])</f>
        <v>0</v>
      </c>
      <c r="S2392" s="44">
        <f>IF(Mecze[[#This Row],[Role]]="BR",SUMPRODUCT(Mecze[[#This Row],[/PR:90]:[/BR:90]],Brudnopis!$E$23:$J$23),0)</f>
        <v>0</v>
      </c>
      <c r="T2392" s="44">
        <f>IF(Mecze[[#This Row],[Role]]&lt;&gt;"BR",SUMPRODUCT(Mecze[[#This Row],[/PR:90]:[/BR:90]],Brudnopis!$E$24:$J$24),0)</f>
        <v>0.23958333333333331</v>
      </c>
      <c r="U2392" s="44">
        <f>IF(Mecze[[#This Row],[Role]]&lt;&gt;"BR",SUMPRODUCT(Mecze[[#This Row],[/PR:90]:[/BR:90]],Brudnopis!$E$25:$J$25),0)</f>
        <v>0.296875</v>
      </c>
      <c r="V2392" s="44">
        <f>IF(Mecze[[#This Row],[Role]]&lt;&gt;"BR",SUMPRODUCT(Mecze[[#This Row],[/PR:90]:[/BR:90]],Brudnopis!$E$26:$J$26),0)</f>
        <v>0.22916666666666666</v>
      </c>
      <c r="W2392" s="44">
        <f>IF(Mecze[[#This Row],[Role]]&lt;&gt;"BR",SUMPRODUCT(Mecze[[#This Row],[/PR:90]:[/BR:90]],Brudnopis!$E$27:$J$27),0)</f>
        <v>0.2734375</v>
      </c>
      <c r="X2392" s="44">
        <f>IF(Mecze[[#This Row],[Role]]&lt;&gt;"BR",SUMPRODUCT(Mecze[[#This Row],[/PR:90]:[/BR:90]],Brudnopis!$E$28:$J$28),0)</f>
        <v>0.13541666666666666</v>
      </c>
      <c r="Y2392" s="35">
        <f>IF(Mecze[[#This Row],[Role]]="BR",Mecze[[#This Row],[/OB:90]]+Mecze[[#This Row],[/PC:90]],SUM(Mecze[[#This Row],[/PR:90]:[/BR:90]]))</f>
        <v>0.22916666666666666</v>
      </c>
      <c r="Z2392" s="35">
        <f>IF(Mecze[[#This Row],[KC]]=0,SUM(Mecze[[#This Row],[/BRI]:[/NPI]]),SUM(Mecze[[#This Row],[/BRI]:[/NPI]])*0.6)</f>
        <v>1.1744791666666667</v>
      </c>
      <c r="AA2392" s="10">
        <f>IFERROR(Mecze[[#This Row],[BR]]/Mecze[[#This Row],[ST]],0)</f>
        <v>0</v>
      </c>
      <c r="AB2392">
        <f>ROUND(Mecze[[#This Row],[PD]]*Mecze[[#This Row],[%PC]],0)</f>
        <v>13</v>
      </c>
      <c r="AC2392">
        <f>ROUND(Mecze[[#This Row],[OD]]*Mecze[[#This Row],[%OU]],0)</f>
        <v>2</v>
      </c>
      <c r="AD2392" s="36" t="s">
        <v>41</v>
      </c>
      <c r="AE2392" s="36">
        <v>133</v>
      </c>
      <c r="AF2392" s="71">
        <v>6.29</v>
      </c>
      <c r="AG2392" s="37">
        <v>0</v>
      </c>
      <c r="AH2392" s="37">
        <v>0</v>
      </c>
      <c r="AI2392" s="37">
        <v>96</v>
      </c>
      <c r="AJ2392" s="37">
        <v>5</v>
      </c>
      <c r="AK2392" s="37" t="str">
        <f>VLOOKUP(Mecze[[#This Row],[Match ID]],Meczusie[Mecz]:Meczusie[RodzajMeczu],2,FALSE)</f>
        <v>Liga</v>
      </c>
    </row>
    <row r="2393" spans="1:37" x14ac:dyDescent="0.25">
      <c r="A2393" s="76">
        <v>7</v>
      </c>
      <c r="B2393" s="3" t="s">
        <v>350</v>
      </c>
      <c r="C2393" s="2" t="s">
        <v>160</v>
      </c>
      <c r="D2393" s="1">
        <v>1</v>
      </c>
      <c r="E2393" s="1">
        <v>3</v>
      </c>
      <c r="F2393" s="1">
        <v>3</v>
      </c>
      <c r="G2393" s="1">
        <v>17</v>
      </c>
      <c r="H2393" s="4">
        <v>0.59</v>
      </c>
      <c r="I2393" s="1">
        <v>9</v>
      </c>
      <c r="J2393" s="4">
        <v>0.22</v>
      </c>
      <c r="K2393" s="1">
        <v>0</v>
      </c>
      <c r="L2393" s="1">
        <v>2</v>
      </c>
      <c r="M2393" s="32">
        <f>IF(Mecze[[#This Row],[PR]]=0,0,Mecze[[#This Row],[PR]]/Mecze[[#This Row],[CZAS]])</f>
        <v>2.0833333333333332E-2</v>
      </c>
      <c r="N2393" s="32">
        <f>IF(Mecze[[#This Row],[OU]]=0,0,Mecze[[#This Row],[OU]]/Mecze[[#This Row],[CZAS]])</f>
        <v>2.0833333333333332E-2</v>
      </c>
      <c r="O2393" s="32">
        <f>IF(Mecze[[#This Row],[PC]]=0,0,Mecze[[#This Row],[PC]]/Mecze[[#This Row],[CZAS]])</f>
        <v>0.10416666666666667</v>
      </c>
      <c r="P2393" s="32">
        <f>IF(Mecze[[#This Row],[SC]]=0,0,Mecze[[#This Row],[SC]]/Mecze[[#This Row],[CZAS]])</f>
        <v>3.125E-2</v>
      </c>
      <c r="Q2393" s="32">
        <f>IF(Mecze[[#This Row],[OB]]=0,0,Mecze[[#This Row],[OB]]/Mecze[[#This Row],[CZAS]])</f>
        <v>0</v>
      </c>
      <c r="R2393" s="32">
        <f>IF(Mecze[[#This Row],[BR]]=0,0,Mecze[[#This Row],[BR]]/Mecze[[#This Row],[CZAS]])</f>
        <v>1.0416666666666666E-2</v>
      </c>
      <c r="S2393" s="44">
        <f>IF(Mecze[[#This Row],[Role]]="BR",SUMPRODUCT(Mecze[[#This Row],[/PR:90]:[/BR:90]],Brudnopis!$E$23:$J$23),0)</f>
        <v>0</v>
      </c>
      <c r="T2393" s="44">
        <f>IF(Mecze[[#This Row],[Role]]&lt;&gt;"BR",SUMPRODUCT(Mecze[[#This Row],[/PR:90]:[/BR:90]],Brudnopis!$E$24:$J$24),0)</f>
        <v>0.203125</v>
      </c>
      <c r="U2393" s="44">
        <f>IF(Mecze[[#This Row],[Role]]&lt;&gt;"BR",SUMPRODUCT(Mecze[[#This Row],[/PR:90]:[/BR:90]],Brudnopis!$E$25:$J$25),0)</f>
        <v>0.24479166666666666</v>
      </c>
      <c r="V2393" s="44">
        <f>IF(Mecze[[#This Row],[Role]]&lt;&gt;"BR",SUMPRODUCT(Mecze[[#This Row],[/PR:90]:[/BR:90]],Brudnopis!$E$26:$J$26),0)</f>
        <v>0.19791666666666669</v>
      </c>
      <c r="W2393" s="44">
        <f>IF(Mecze[[#This Row],[Role]]&lt;&gt;"BR",SUMPRODUCT(Mecze[[#This Row],[/PR:90]:[/BR:90]],Brudnopis!$E$27:$J$27),0)</f>
        <v>0.23958333333333334</v>
      </c>
      <c r="X2393" s="44">
        <f>IF(Mecze[[#This Row],[Role]]&lt;&gt;"BR",SUMPRODUCT(Mecze[[#This Row],[/PR:90]:[/BR:90]],Brudnopis!$E$28:$J$28),0)</f>
        <v>0.19791666666666669</v>
      </c>
      <c r="Y2393" s="35">
        <f>IF(Mecze[[#This Row],[Role]]="BR",Mecze[[#This Row],[/OB:90]]+Mecze[[#This Row],[/PC:90]],SUM(Mecze[[#This Row],[/PR:90]:[/BR:90]]))</f>
        <v>0.1875</v>
      </c>
      <c r="Z2393" s="35">
        <f>IF(Mecze[[#This Row],[KC]]=0,SUM(Mecze[[#This Row],[/BRI]:[/NPI]]),SUM(Mecze[[#This Row],[/BRI]:[/NPI]])*0.6)</f>
        <v>1.0833333333333333</v>
      </c>
      <c r="AA2393" s="10">
        <f>IFERROR(Mecze[[#This Row],[BR]]/Mecze[[#This Row],[ST]],0)</f>
        <v>0.33333333333333331</v>
      </c>
      <c r="AB2393">
        <f>ROUND(Mecze[[#This Row],[PD]]*Mecze[[#This Row],[%PC]],0)</f>
        <v>10</v>
      </c>
      <c r="AC2393">
        <f>ROUND(Mecze[[#This Row],[OD]]*Mecze[[#This Row],[%OU]],0)</f>
        <v>2</v>
      </c>
      <c r="AD2393" s="36" t="s">
        <v>67</v>
      </c>
      <c r="AE2393" s="36">
        <v>133</v>
      </c>
      <c r="AF2393" s="71">
        <v>7.13</v>
      </c>
      <c r="AG2393" s="37">
        <v>0</v>
      </c>
      <c r="AH2393" s="37">
        <v>0</v>
      </c>
      <c r="AI2393" s="37">
        <v>96</v>
      </c>
      <c r="AJ2393" s="37">
        <v>5</v>
      </c>
      <c r="AK2393" s="37" t="str">
        <f>VLOOKUP(Mecze[[#This Row],[Match ID]],Meczusie[Mecz]:Meczusie[RodzajMeczu],2,FALSE)</f>
        <v>Liga</v>
      </c>
    </row>
    <row r="2394" spans="1:37" x14ac:dyDescent="0.25">
      <c r="A2394" s="76">
        <v>8</v>
      </c>
      <c r="B2394" s="3" t="s">
        <v>351</v>
      </c>
      <c r="C2394" s="2" t="s">
        <v>160</v>
      </c>
      <c r="D2394" s="1">
        <v>0</v>
      </c>
      <c r="E2394" s="1">
        <v>0</v>
      </c>
      <c r="F2394" s="1">
        <v>0</v>
      </c>
      <c r="G2394" s="1">
        <v>12</v>
      </c>
      <c r="H2394" s="4">
        <v>0.5</v>
      </c>
      <c r="I2394" s="1">
        <v>8</v>
      </c>
      <c r="J2394" s="4">
        <v>0.25</v>
      </c>
      <c r="K2394" s="1">
        <v>0</v>
      </c>
      <c r="L2394" s="1">
        <v>3</v>
      </c>
      <c r="M2394" s="32">
        <f>IF(Mecze[[#This Row],[PR]]=0,0,Mecze[[#This Row],[PR]]/Mecze[[#This Row],[CZAS]])</f>
        <v>3.125E-2</v>
      </c>
      <c r="N2394" s="32">
        <f>IF(Mecze[[#This Row],[OU]]=0,0,Mecze[[#This Row],[OU]]/Mecze[[#This Row],[CZAS]])</f>
        <v>2.0833333333333332E-2</v>
      </c>
      <c r="O2394" s="32">
        <f>IF(Mecze[[#This Row],[PC]]=0,0,Mecze[[#This Row],[PC]]/Mecze[[#This Row],[CZAS]])</f>
        <v>6.25E-2</v>
      </c>
      <c r="P2394" s="32">
        <f>IF(Mecze[[#This Row],[SC]]=0,0,Mecze[[#This Row],[SC]]/Mecze[[#This Row],[CZAS]])</f>
        <v>0</v>
      </c>
      <c r="Q2394" s="32">
        <f>IF(Mecze[[#This Row],[OB]]=0,0,Mecze[[#This Row],[OB]]/Mecze[[#This Row],[CZAS]])</f>
        <v>0</v>
      </c>
      <c r="R2394" s="32">
        <f>IF(Mecze[[#This Row],[BR]]=0,0,Mecze[[#This Row],[BR]]/Mecze[[#This Row],[CZAS]])</f>
        <v>0</v>
      </c>
      <c r="S2394" s="44">
        <f>IF(Mecze[[#This Row],[Role]]="BR",SUMPRODUCT(Mecze[[#This Row],[/PR:90]:[/BR:90]],Brudnopis!$E$23:$J$23),0)</f>
        <v>0</v>
      </c>
      <c r="T2394" s="44">
        <f>IF(Mecze[[#This Row],[Role]]&lt;&gt;"BR",SUMPRODUCT(Mecze[[#This Row],[/PR:90]:[/BR:90]],Brudnopis!$E$24:$J$24),0)</f>
        <v>0.125</v>
      </c>
      <c r="U2394" s="44">
        <f>IF(Mecze[[#This Row],[Role]]&lt;&gt;"BR",SUMPRODUCT(Mecze[[#This Row],[/PR:90]:[/BR:90]],Brudnopis!$E$25:$J$25),0)</f>
        <v>0.14583333333333331</v>
      </c>
      <c r="V2394" s="44">
        <f>IF(Mecze[[#This Row],[Role]]&lt;&gt;"BR",SUMPRODUCT(Mecze[[#This Row],[/PR:90]:[/BR:90]],Brudnopis!$E$26:$J$26),0)</f>
        <v>0.11458333333333333</v>
      </c>
      <c r="W2394" s="44">
        <f>IF(Mecze[[#This Row],[Role]]&lt;&gt;"BR",SUMPRODUCT(Mecze[[#This Row],[/PR:90]:[/BR:90]],Brudnopis!$E$27:$J$27),0)</f>
        <v>0.1328125</v>
      </c>
      <c r="X2394" s="44">
        <f>IF(Mecze[[#This Row],[Role]]&lt;&gt;"BR",SUMPRODUCT(Mecze[[#This Row],[/PR:90]:[/BR:90]],Brudnopis!$E$28:$J$28),0)</f>
        <v>6.25E-2</v>
      </c>
      <c r="Y2394" s="35">
        <f>IF(Mecze[[#This Row],[Role]]="BR",Mecze[[#This Row],[/OB:90]]+Mecze[[#This Row],[/PC:90]],SUM(Mecze[[#This Row],[/PR:90]:[/BR:90]]))</f>
        <v>0.11458333333333333</v>
      </c>
      <c r="Z2394" s="35">
        <f>IF(Mecze[[#This Row],[KC]]=0,SUM(Mecze[[#This Row],[/BRI]:[/NPI]]),SUM(Mecze[[#This Row],[/BRI]:[/NPI]])*0.6)</f>
        <v>0.58072916666666663</v>
      </c>
      <c r="AA2394" s="10">
        <f>IFERROR(Mecze[[#This Row],[BR]]/Mecze[[#This Row],[ST]],0)</f>
        <v>0</v>
      </c>
      <c r="AB2394">
        <f>ROUND(Mecze[[#This Row],[PD]]*Mecze[[#This Row],[%PC]],0)</f>
        <v>6</v>
      </c>
      <c r="AC2394">
        <f>ROUND(Mecze[[#This Row],[OD]]*Mecze[[#This Row],[%OU]],0)</f>
        <v>2</v>
      </c>
      <c r="AD2394" s="36" t="s">
        <v>67</v>
      </c>
      <c r="AE2394" s="36">
        <v>133</v>
      </c>
      <c r="AF2394" s="71">
        <v>4.54</v>
      </c>
      <c r="AG2394" s="37">
        <v>0</v>
      </c>
      <c r="AH2394" s="37">
        <v>0</v>
      </c>
      <c r="AI2394" s="37">
        <v>96</v>
      </c>
      <c r="AJ2394" s="37">
        <v>5</v>
      </c>
      <c r="AK2394" s="37" t="str">
        <f>VLOOKUP(Mecze[[#This Row],[Match ID]],Meczusie[Mecz]:Meczusie[RodzajMeczu],2,FALSE)</f>
        <v>Liga</v>
      </c>
    </row>
    <row r="2395" spans="1:37" x14ac:dyDescent="0.25">
      <c r="A2395" s="76">
        <v>11</v>
      </c>
      <c r="B2395" s="3" t="s">
        <v>353</v>
      </c>
      <c r="C2395" s="2" t="s">
        <v>165</v>
      </c>
      <c r="D2395" s="1">
        <v>0</v>
      </c>
      <c r="E2395" s="1">
        <v>1</v>
      </c>
      <c r="F2395" s="1">
        <v>1</v>
      </c>
      <c r="G2395" s="1">
        <v>12</v>
      </c>
      <c r="H2395" s="4">
        <v>0.67</v>
      </c>
      <c r="I2395" s="1">
        <v>6</v>
      </c>
      <c r="J2395" s="4">
        <v>0.5</v>
      </c>
      <c r="K2395" s="1">
        <v>0</v>
      </c>
      <c r="L2395" s="1">
        <v>0</v>
      </c>
      <c r="M2395" s="32">
        <f>IF(Mecze[[#This Row],[PR]]=0,0,Mecze[[#This Row],[PR]]/Mecze[[#This Row],[CZAS]])</f>
        <v>0</v>
      </c>
      <c r="N2395" s="32">
        <f>IF(Mecze[[#This Row],[OU]]=0,0,Mecze[[#This Row],[OU]]/Mecze[[#This Row],[CZAS]])</f>
        <v>3.125E-2</v>
      </c>
      <c r="O2395" s="32">
        <f>IF(Mecze[[#This Row],[PC]]=0,0,Mecze[[#This Row],[PC]]/Mecze[[#This Row],[CZAS]])</f>
        <v>8.3333333333333329E-2</v>
      </c>
      <c r="P2395" s="32">
        <f>IF(Mecze[[#This Row],[SC]]=0,0,Mecze[[#This Row],[SC]]/Mecze[[#This Row],[CZAS]])</f>
        <v>1.0416666666666666E-2</v>
      </c>
      <c r="Q2395" s="32">
        <f>IF(Mecze[[#This Row],[OB]]=0,0,Mecze[[#This Row],[OB]]/Mecze[[#This Row],[CZAS]])</f>
        <v>0</v>
      </c>
      <c r="R2395" s="32">
        <f>IF(Mecze[[#This Row],[BR]]=0,0,Mecze[[#This Row],[BR]]/Mecze[[#This Row],[CZAS]])</f>
        <v>0</v>
      </c>
      <c r="S2395" s="44">
        <f>IF(Mecze[[#This Row],[Role]]="BR",SUMPRODUCT(Mecze[[#This Row],[/PR:90]:[/BR:90]],Brudnopis!$E$23:$J$23),0)</f>
        <v>0</v>
      </c>
      <c r="T2395" s="44">
        <f>IF(Mecze[[#This Row],[Role]]&lt;&gt;"BR",SUMPRODUCT(Mecze[[#This Row],[/PR:90]:[/BR:90]],Brudnopis!$E$24:$J$24),0)</f>
        <v>0.14062499999999997</v>
      </c>
      <c r="U2395" s="44">
        <f>IF(Mecze[[#This Row],[Role]]&lt;&gt;"BR",SUMPRODUCT(Mecze[[#This Row],[/PR:90]:[/BR:90]],Brudnopis!$E$25:$J$25),0)</f>
        <v>0.16666666666666666</v>
      </c>
      <c r="V2395" s="44">
        <f>IF(Mecze[[#This Row],[Role]]&lt;&gt;"BR",SUMPRODUCT(Mecze[[#This Row],[/PR:90]:[/BR:90]],Brudnopis!$E$26:$J$26),0)</f>
        <v>0.125</v>
      </c>
      <c r="W2395" s="44">
        <f>IF(Mecze[[#This Row],[Role]]&lt;&gt;"BR",SUMPRODUCT(Mecze[[#This Row],[/PR:90]:[/BR:90]],Brudnopis!$E$27:$J$27),0)</f>
        <v>0.15885416666666666</v>
      </c>
      <c r="X2395" s="44">
        <f>IF(Mecze[[#This Row],[Role]]&lt;&gt;"BR",SUMPRODUCT(Mecze[[#This Row],[/PR:90]:[/BR:90]],Brudnopis!$E$28:$J$28),0)</f>
        <v>0.10416666666666666</v>
      </c>
      <c r="Y2395" s="35">
        <f>IF(Mecze[[#This Row],[Role]]="BR",Mecze[[#This Row],[/OB:90]]+Mecze[[#This Row],[/PC:90]],SUM(Mecze[[#This Row],[/PR:90]:[/BR:90]]))</f>
        <v>0.125</v>
      </c>
      <c r="Z2395" s="35">
        <f>IF(Mecze[[#This Row],[KC]]=0,SUM(Mecze[[#This Row],[/BRI]:[/NPI]]),SUM(Mecze[[#This Row],[/BRI]:[/NPI]])*0.6)</f>
        <v>0.69531249999999989</v>
      </c>
      <c r="AA2395" s="10">
        <f>IFERROR(Mecze[[#This Row],[BR]]/Mecze[[#This Row],[ST]],0)</f>
        <v>0</v>
      </c>
      <c r="AB2395">
        <f>ROUND(Mecze[[#This Row],[PD]]*Mecze[[#This Row],[%PC]],0)</f>
        <v>8</v>
      </c>
      <c r="AC2395">
        <f>ROUND(Mecze[[#This Row],[OD]]*Mecze[[#This Row],[%OU]],0)</f>
        <v>3</v>
      </c>
      <c r="AD2395" s="36" t="s">
        <v>46</v>
      </c>
      <c r="AE2395" s="36">
        <v>133</v>
      </c>
      <c r="AF2395" s="71">
        <v>4.26</v>
      </c>
      <c r="AG2395" s="37">
        <v>0</v>
      </c>
      <c r="AH2395" s="37">
        <v>0</v>
      </c>
      <c r="AI2395" s="37">
        <v>96</v>
      </c>
      <c r="AJ2395" s="37">
        <v>5</v>
      </c>
      <c r="AK2395" s="37" t="str">
        <f>VLOOKUP(Mecze[[#This Row],[Match ID]],Meczusie[Mecz]:Meczusie[RodzajMeczu],2,FALSE)</f>
        <v>Liga</v>
      </c>
    </row>
    <row r="2396" spans="1:37" x14ac:dyDescent="0.25">
      <c r="A2396" s="76">
        <v>10</v>
      </c>
      <c r="B2396" s="3" t="s">
        <v>352</v>
      </c>
      <c r="C2396" s="2" t="s">
        <v>165</v>
      </c>
      <c r="D2396" s="1">
        <v>0</v>
      </c>
      <c r="E2396" s="1">
        <v>2</v>
      </c>
      <c r="F2396" s="1">
        <v>1</v>
      </c>
      <c r="G2396" s="1">
        <v>3</v>
      </c>
      <c r="H2396" s="4">
        <v>0.33</v>
      </c>
      <c r="I2396" s="1">
        <v>1</v>
      </c>
      <c r="J2396" s="4">
        <v>0</v>
      </c>
      <c r="K2396" s="1">
        <v>0</v>
      </c>
      <c r="L2396" s="1">
        <v>1</v>
      </c>
      <c r="M2396" s="32">
        <f>IF(Mecze[[#This Row],[PR]]=0,0,Mecze[[#This Row],[PR]]/Mecze[[#This Row],[CZAS]])</f>
        <v>1.0416666666666666E-2</v>
      </c>
      <c r="N2396" s="32">
        <f>IF(Mecze[[#This Row],[OU]]=0,0,Mecze[[#This Row],[OU]]/Mecze[[#This Row],[CZAS]])</f>
        <v>0</v>
      </c>
      <c r="O2396" s="32">
        <f>IF(Mecze[[#This Row],[PC]]=0,0,Mecze[[#This Row],[PC]]/Mecze[[#This Row],[CZAS]])</f>
        <v>1.0416666666666666E-2</v>
      </c>
      <c r="P2396" s="32">
        <f>IF(Mecze[[#This Row],[SC]]=0,0,Mecze[[#This Row],[SC]]/Mecze[[#This Row],[CZAS]])</f>
        <v>1.0416666666666666E-2</v>
      </c>
      <c r="Q2396" s="32">
        <f>IF(Mecze[[#This Row],[OB]]=0,0,Mecze[[#This Row],[OB]]/Mecze[[#This Row],[CZAS]])</f>
        <v>0</v>
      </c>
      <c r="R2396" s="32">
        <f>IF(Mecze[[#This Row],[BR]]=0,0,Mecze[[#This Row],[BR]]/Mecze[[#This Row],[CZAS]])</f>
        <v>0</v>
      </c>
      <c r="S2396" s="44">
        <f>IF(Mecze[[#This Row],[Role]]="BR",SUMPRODUCT(Mecze[[#This Row],[/PR:90]:[/BR:90]],Brudnopis!$E$23:$J$23),0)</f>
        <v>0</v>
      </c>
      <c r="T2396" s="44">
        <f>IF(Mecze[[#This Row],[Role]]&lt;&gt;"BR",SUMPRODUCT(Mecze[[#This Row],[/PR:90]:[/BR:90]],Brudnopis!$E$24:$J$24),0)</f>
        <v>3.125E-2</v>
      </c>
      <c r="U2396" s="44">
        <f>IF(Mecze[[#This Row],[Role]]&lt;&gt;"BR",SUMPRODUCT(Mecze[[#This Row],[/PR:90]:[/BR:90]],Brudnopis!$E$25:$J$25),0)</f>
        <v>3.6458333333333329E-2</v>
      </c>
      <c r="V2396" s="44">
        <f>IF(Mecze[[#This Row],[Role]]&lt;&gt;"BR",SUMPRODUCT(Mecze[[#This Row],[/PR:90]:[/BR:90]],Brudnopis!$E$26:$J$26),0)</f>
        <v>3.125E-2</v>
      </c>
      <c r="W2396" s="44">
        <f>IF(Mecze[[#This Row],[Role]]&lt;&gt;"BR",SUMPRODUCT(Mecze[[#This Row],[/PR:90]:[/BR:90]],Brudnopis!$E$27:$J$27),0)</f>
        <v>3.3854166666666664E-2</v>
      </c>
      <c r="X2396" s="44">
        <f>IF(Mecze[[#This Row],[Role]]&lt;&gt;"BR",SUMPRODUCT(Mecze[[#This Row],[/PR:90]:[/BR:90]],Brudnopis!$E$28:$J$28),0)</f>
        <v>3.125E-2</v>
      </c>
      <c r="Y2396" s="35">
        <f>IF(Mecze[[#This Row],[Role]]="BR",Mecze[[#This Row],[/OB:90]]+Mecze[[#This Row],[/PC:90]],SUM(Mecze[[#This Row],[/PR:90]:[/BR:90]]))</f>
        <v>3.125E-2</v>
      </c>
      <c r="Z2396" s="35">
        <f>IF(Mecze[[#This Row],[KC]]=0,SUM(Mecze[[#This Row],[/BRI]:[/NPI]]),SUM(Mecze[[#This Row],[/BRI]:[/NPI]])*0.6)</f>
        <v>0.1640625</v>
      </c>
      <c r="AA2396" s="10">
        <f>IFERROR(Mecze[[#This Row],[BR]]/Mecze[[#This Row],[ST]],0)</f>
        <v>0</v>
      </c>
      <c r="AB2396">
        <f>ROUND(Mecze[[#This Row],[PD]]*Mecze[[#This Row],[%PC]],0)</f>
        <v>1</v>
      </c>
      <c r="AC2396">
        <f>ROUND(Mecze[[#This Row],[OD]]*Mecze[[#This Row],[%OU]],0)</f>
        <v>0</v>
      </c>
      <c r="AD2396" s="36" t="s">
        <v>272</v>
      </c>
      <c r="AE2396" s="36">
        <v>133</v>
      </c>
      <c r="AF2396" s="71">
        <v>2.93</v>
      </c>
      <c r="AG2396" s="37">
        <v>0</v>
      </c>
      <c r="AH2396" s="37">
        <v>0</v>
      </c>
      <c r="AI2396" s="37">
        <v>96</v>
      </c>
      <c r="AJ2396" s="37">
        <v>5</v>
      </c>
      <c r="AK2396" s="37" t="str">
        <f>VLOOKUP(Mecze[[#This Row],[Match ID]],Meczusie[Mecz]:Meczusie[RodzajMeczu],2,FALSE)</f>
        <v>Liga</v>
      </c>
    </row>
    <row r="2397" spans="1:37" x14ac:dyDescent="0.25">
      <c r="A2397" s="76">
        <v>9</v>
      </c>
      <c r="B2397" s="3" t="s">
        <v>354</v>
      </c>
      <c r="C2397" s="2" t="s">
        <v>165</v>
      </c>
      <c r="D2397" s="1">
        <v>0</v>
      </c>
      <c r="E2397" s="1">
        <v>3</v>
      </c>
      <c r="F2397" s="1">
        <v>2</v>
      </c>
      <c r="G2397" s="1">
        <v>8</v>
      </c>
      <c r="H2397" s="4">
        <v>0.5</v>
      </c>
      <c r="I2397" s="1">
        <v>2</v>
      </c>
      <c r="J2397" s="4">
        <v>0.5</v>
      </c>
      <c r="K2397" s="1">
        <v>0</v>
      </c>
      <c r="L2397" s="1">
        <v>1</v>
      </c>
      <c r="M2397" s="32">
        <f>IF(Mecze[[#This Row],[PR]]=0,0,Mecze[[#This Row],[PR]]/Mecze[[#This Row],[CZAS]])</f>
        <v>1.0416666666666666E-2</v>
      </c>
      <c r="N2397" s="32">
        <f>IF(Mecze[[#This Row],[OU]]=0,0,Mecze[[#This Row],[OU]]/Mecze[[#This Row],[CZAS]])</f>
        <v>1.0416666666666666E-2</v>
      </c>
      <c r="O2397" s="32">
        <f>IF(Mecze[[#This Row],[PC]]=0,0,Mecze[[#This Row],[PC]]/Mecze[[#This Row],[CZAS]])</f>
        <v>4.1666666666666664E-2</v>
      </c>
      <c r="P2397" s="32">
        <f>IF(Mecze[[#This Row],[SC]]=0,0,Mecze[[#This Row],[SC]]/Mecze[[#This Row],[CZAS]])</f>
        <v>2.0833333333333332E-2</v>
      </c>
      <c r="Q2397" s="32">
        <f>IF(Mecze[[#This Row],[OB]]=0,0,Mecze[[#This Row],[OB]]/Mecze[[#This Row],[CZAS]])</f>
        <v>0</v>
      </c>
      <c r="R2397" s="32">
        <f>IF(Mecze[[#This Row],[BR]]=0,0,Mecze[[#This Row],[BR]]/Mecze[[#This Row],[CZAS]])</f>
        <v>0</v>
      </c>
      <c r="S2397" s="44">
        <f>IF(Mecze[[#This Row],[Role]]="BR",SUMPRODUCT(Mecze[[#This Row],[/PR:90]:[/BR:90]],Brudnopis!$E$23:$J$23),0)</f>
        <v>0</v>
      </c>
      <c r="T2397" s="44">
        <f>IF(Mecze[[#This Row],[Role]]&lt;&gt;"BR",SUMPRODUCT(Mecze[[#This Row],[/PR:90]:[/BR:90]],Brudnopis!$E$24:$J$24),0)</f>
        <v>8.8541666666666657E-2</v>
      </c>
      <c r="U2397" s="44">
        <f>IF(Mecze[[#This Row],[Role]]&lt;&gt;"BR",SUMPRODUCT(Mecze[[#This Row],[/PR:90]:[/BR:90]],Brudnopis!$E$25:$J$25),0)</f>
        <v>0.10416666666666666</v>
      </c>
      <c r="V2397" s="44">
        <f>IF(Mecze[[#This Row],[Role]]&lt;&gt;"BR",SUMPRODUCT(Mecze[[#This Row],[/PR:90]:[/BR:90]],Brudnopis!$E$26:$J$26),0)</f>
        <v>8.3333333333333329E-2</v>
      </c>
      <c r="W2397" s="44">
        <f>IF(Mecze[[#This Row],[Role]]&lt;&gt;"BR",SUMPRODUCT(Mecze[[#This Row],[/PR:90]:[/BR:90]],Brudnopis!$E$27:$J$27),0)</f>
        <v>9.8958333333333329E-2</v>
      </c>
      <c r="X2397" s="44">
        <f>IF(Mecze[[#This Row],[Role]]&lt;&gt;"BR",SUMPRODUCT(Mecze[[#This Row],[/PR:90]:[/BR:90]],Brudnopis!$E$28:$J$28),0)</f>
        <v>8.3333333333333329E-2</v>
      </c>
      <c r="Y2397" s="35">
        <f>IF(Mecze[[#This Row],[Role]]="BR",Mecze[[#This Row],[/OB:90]]+Mecze[[#This Row],[/PC:90]],SUM(Mecze[[#This Row],[/PR:90]:[/BR:90]]))</f>
        <v>8.3333333333333329E-2</v>
      </c>
      <c r="Z2397" s="35">
        <f>IF(Mecze[[#This Row],[KC]]=0,SUM(Mecze[[#This Row],[/BRI]:[/NPI]]),SUM(Mecze[[#This Row],[/BRI]:[/NPI]])*0.6)</f>
        <v>0.45833333333333326</v>
      </c>
      <c r="AA2397" s="10">
        <f>IFERROR(Mecze[[#This Row],[BR]]/Mecze[[#This Row],[ST]],0)</f>
        <v>0</v>
      </c>
      <c r="AB2397">
        <f>ROUND(Mecze[[#This Row],[PD]]*Mecze[[#This Row],[%PC]],0)</f>
        <v>4</v>
      </c>
      <c r="AC2397">
        <f>ROUND(Mecze[[#This Row],[OD]]*Mecze[[#This Row],[%OU]],0)</f>
        <v>1</v>
      </c>
      <c r="AD2397" s="36" t="s">
        <v>273</v>
      </c>
      <c r="AE2397" s="36">
        <v>133</v>
      </c>
      <c r="AF2397" s="71">
        <v>4.4800000000000004</v>
      </c>
      <c r="AG2397" s="37">
        <v>0</v>
      </c>
      <c r="AH2397" s="37">
        <v>0</v>
      </c>
      <c r="AI2397" s="37">
        <v>96</v>
      </c>
      <c r="AJ2397" s="37">
        <v>5</v>
      </c>
      <c r="AK2397" s="37" t="str">
        <f>VLOOKUP(Mecze[[#This Row],[Match ID]],Meczusie[Mecz]:Meczusie[RodzajMeczu],2,FALSE)</f>
        <v>Liga</v>
      </c>
    </row>
    <row r="2398" spans="1:37" x14ac:dyDescent="0.25">
      <c r="A2398" s="76">
        <v>39</v>
      </c>
      <c r="B2398" s="3" t="s">
        <v>450</v>
      </c>
      <c r="C2398" s="2" t="s">
        <v>155</v>
      </c>
      <c r="D2398" s="1">
        <v>0</v>
      </c>
      <c r="E2398" s="1">
        <v>0</v>
      </c>
      <c r="F2398" s="1">
        <v>0</v>
      </c>
      <c r="G2398" s="1">
        <v>3</v>
      </c>
      <c r="H2398" s="4">
        <v>0</v>
      </c>
      <c r="I2398" s="1">
        <v>0</v>
      </c>
      <c r="J2398" s="4"/>
      <c r="K2398" s="1">
        <v>2</v>
      </c>
      <c r="L2398" s="1">
        <v>0</v>
      </c>
      <c r="M2398" s="32">
        <f>IF(Mecze[[#This Row],[PR]]=0,0,Mecze[[#This Row],[PR]]/Mecze[[#This Row],[CZAS]])</f>
        <v>0</v>
      </c>
      <c r="N2398" s="32">
        <f>IF(Mecze[[#This Row],[OU]]=0,0,Mecze[[#This Row],[OU]]/Mecze[[#This Row],[CZAS]])</f>
        <v>0</v>
      </c>
      <c r="O2398" s="32">
        <f>IF(Mecze[[#This Row],[PC]]=0,0,Mecze[[#This Row],[PC]]/Mecze[[#This Row],[CZAS]])</f>
        <v>0</v>
      </c>
      <c r="P2398" s="32">
        <f>IF(Mecze[[#This Row],[SC]]=0,0,Mecze[[#This Row],[SC]]/Mecze[[#This Row],[CZAS]])</f>
        <v>0</v>
      </c>
      <c r="Q2398" s="32">
        <f>IF(Mecze[[#This Row],[OB]]=0,0,Mecze[[#This Row],[OB]]/Mecze[[#This Row],[CZAS]])</f>
        <v>2.1052631578947368E-2</v>
      </c>
      <c r="R2398" s="32">
        <f>IF(Mecze[[#This Row],[BR]]=0,0,Mecze[[#This Row],[BR]]/Mecze[[#This Row],[CZAS]])</f>
        <v>0</v>
      </c>
      <c r="S2398" s="44">
        <f>IF(Mecze[[#This Row],[Role]]="BR",SUMPRODUCT(Mecze[[#This Row],[/PR:90]:[/BR:90]],Brudnopis!$E$23:$J$23),0)</f>
        <v>6.3157894736842107E-2</v>
      </c>
      <c r="T2398" s="44">
        <f>IF(Mecze[[#This Row],[Role]]&lt;&gt;"BR",SUMPRODUCT(Mecze[[#This Row],[/PR:90]:[/BR:90]],Brudnopis!$E$24:$J$24),0)</f>
        <v>0</v>
      </c>
      <c r="U2398" s="44">
        <f>IF(Mecze[[#This Row],[Role]]&lt;&gt;"BR",SUMPRODUCT(Mecze[[#This Row],[/PR:90]:[/BR:90]],Brudnopis!$E$25:$J$25),0)</f>
        <v>0</v>
      </c>
      <c r="V2398" s="44">
        <f>IF(Mecze[[#This Row],[Role]]&lt;&gt;"BR",SUMPRODUCT(Mecze[[#This Row],[/PR:90]:[/BR:90]],Brudnopis!$E$26:$J$26),0)</f>
        <v>0</v>
      </c>
      <c r="W2398" s="44">
        <f>IF(Mecze[[#This Row],[Role]]&lt;&gt;"BR",SUMPRODUCT(Mecze[[#This Row],[/PR:90]:[/BR:90]],Brudnopis!$E$27:$J$27),0)</f>
        <v>0</v>
      </c>
      <c r="X2398" s="44">
        <f>IF(Mecze[[#This Row],[Role]]&lt;&gt;"BR",SUMPRODUCT(Mecze[[#This Row],[/PR:90]:[/BR:90]],Brudnopis!$E$28:$J$28),0)</f>
        <v>0</v>
      </c>
      <c r="Y2398" s="35">
        <f>IF(Mecze[[#This Row],[Role]]="BR",Mecze[[#This Row],[/OB:90]]+Mecze[[#This Row],[/PC:90]],SUM(Mecze[[#This Row],[/PR:90]:[/BR:90]]))</f>
        <v>2.1052631578947368E-2</v>
      </c>
      <c r="Z2398" s="35">
        <f>IF(Mecze[[#This Row],[KC]]=0,SUM(Mecze[[#This Row],[/BRI]:[/NPI]]),SUM(Mecze[[#This Row],[/BRI]:[/NPI]])*0.6)</f>
        <v>6.3157894736842107E-2</v>
      </c>
      <c r="AA2398" s="10">
        <f>IFERROR(Mecze[[#This Row],[BR]]/Mecze[[#This Row],[ST]],0)</f>
        <v>0</v>
      </c>
      <c r="AB2398">
        <f>ROUND(Mecze[[#This Row],[PD]]*Mecze[[#This Row],[%PC]],0)</f>
        <v>0</v>
      </c>
      <c r="AC2398">
        <f>ROUND(Mecze[[#This Row],[OD]]*Mecze[[#This Row],[%OU]],0)</f>
        <v>0</v>
      </c>
      <c r="AD2398" s="36" t="s">
        <v>40</v>
      </c>
      <c r="AE2398" s="36">
        <v>134</v>
      </c>
      <c r="AF2398" s="71">
        <v>7.74</v>
      </c>
      <c r="AG2398" s="37">
        <v>0</v>
      </c>
      <c r="AH2398" s="37">
        <v>0</v>
      </c>
      <c r="AI2398" s="37">
        <v>95</v>
      </c>
      <c r="AJ2398" s="37">
        <v>1</v>
      </c>
      <c r="AK2398" s="37" t="str">
        <f>VLOOKUP(Mecze[[#This Row],[Match ID]],Meczusie[Mecz]:Meczusie[RodzajMeczu],2,FALSE)</f>
        <v>Towarzyski</v>
      </c>
    </row>
    <row r="2399" spans="1:37" x14ac:dyDescent="0.25">
      <c r="A2399" s="76">
        <v>38</v>
      </c>
      <c r="B2399" s="3" t="s">
        <v>359</v>
      </c>
      <c r="C2399" s="2" t="s">
        <v>157</v>
      </c>
      <c r="D2399" s="1">
        <v>0</v>
      </c>
      <c r="E2399" s="1">
        <v>0</v>
      </c>
      <c r="F2399" s="1">
        <v>0</v>
      </c>
      <c r="G2399" s="1">
        <v>9</v>
      </c>
      <c r="H2399" s="4">
        <v>0.78</v>
      </c>
      <c r="I2399" s="1">
        <v>6</v>
      </c>
      <c r="J2399" s="4">
        <v>0.5</v>
      </c>
      <c r="K2399" s="1">
        <v>0</v>
      </c>
      <c r="L2399" s="1">
        <v>7</v>
      </c>
      <c r="M2399" s="32">
        <f>IF(Mecze[[#This Row],[PR]]=0,0,Mecze[[#This Row],[PR]]/Mecze[[#This Row],[CZAS]])</f>
        <v>7.3684210526315783E-2</v>
      </c>
      <c r="N2399" s="32">
        <f>IF(Mecze[[#This Row],[OU]]=0,0,Mecze[[#This Row],[OU]]/Mecze[[#This Row],[CZAS]])</f>
        <v>3.1578947368421054E-2</v>
      </c>
      <c r="O2399" s="32">
        <f>IF(Mecze[[#This Row],[PC]]=0,0,Mecze[[#This Row],[PC]]/Mecze[[#This Row],[CZAS]])</f>
        <v>7.3684210526315783E-2</v>
      </c>
      <c r="P2399" s="32">
        <f>IF(Mecze[[#This Row],[SC]]=0,0,Mecze[[#This Row],[SC]]/Mecze[[#This Row],[CZAS]])</f>
        <v>0</v>
      </c>
      <c r="Q2399" s="32">
        <f>IF(Mecze[[#This Row],[OB]]=0,0,Mecze[[#This Row],[OB]]/Mecze[[#This Row],[CZAS]])</f>
        <v>0</v>
      </c>
      <c r="R2399" s="32">
        <f>IF(Mecze[[#This Row],[BR]]=0,0,Mecze[[#This Row],[BR]]/Mecze[[#This Row],[CZAS]])</f>
        <v>0</v>
      </c>
      <c r="S2399" s="44">
        <f>IF(Mecze[[#This Row],[Role]]="BR",SUMPRODUCT(Mecze[[#This Row],[/PR:90]:[/BR:90]],Brudnopis!$E$23:$J$23),0)</f>
        <v>0</v>
      </c>
      <c r="T2399" s="44">
        <f>IF(Mecze[[#This Row],[Role]]&lt;&gt;"BR",SUMPRODUCT(Mecze[[#This Row],[/PR:90]:[/BR:90]],Brudnopis!$E$24:$J$24),0)</f>
        <v>0.19473684210526315</v>
      </c>
      <c r="U2399" s="44">
        <f>IF(Mecze[[#This Row],[Role]]&lt;&gt;"BR",SUMPRODUCT(Mecze[[#This Row],[/PR:90]:[/BR:90]],Brudnopis!$E$25:$J$25),0)</f>
        <v>0.2157894736842105</v>
      </c>
      <c r="V2399" s="44">
        <f>IF(Mecze[[#This Row],[Role]]&lt;&gt;"BR",SUMPRODUCT(Mecze[[#This Row],[/PR:90]:[/BR:90]],Brudnopis!$E$26:$J$26),0)</f>
        <v>0.17894736842105263</v>
      </c>
      <c r="W2399" s="44">
        <f>IF(Mecze[[#This Row],[Role]]&lt;&gt;"BR",SUMPRODUCT(Mecze[[#This Row],[/PR:90]:[/BR:90]],Brudnopis!$E$27:$J$27),0)</f>
        <v>0.18947368421052629</v>
      </c>
      <c r="X2399" s="44">
        <f>IF(Mecze[[#This Row],[Role]]&lt;&gt;"BR",SUMPRODUCT(Mecze[[#This Row],[/PR:90]:[/BR:90]],Brudnopis!$E$28:$J$28),0)</f>
        <v>7.3684210526315783E-2</v>
      </c>
      <c r="Y2399" s="35">
        <f>IF(Mecze[[#This Row],[Role]]="BR",Mecze[[#This Row],[/OB:90]]+Mecze[[#This Row],[/PC:90]],SUM(Mecze[[#This Row],[/PR:90]:[/BR:90]]))</f>
        <v>0.17894736842105263</v>
      </c>
      <c r="Z2399" s="35">
        <f>IF(Mecze[[#This Row],[KC]]=0,SUM(Mecze[[#This Row],[/BRI]:[/NPI]]),SUM(Mecze[[#This Row],[/BRI]:[/NPI]])*0.6)</f>
        <v>0.85263157894736841</v>
      </c>
      <c r="AA2399" s="10">
        <f>IFERROR(Mecze[[#This Row],[BR]]/Mecze[[#This Row],[ST]],0)</f>
        <v>0</v>
      </c>
      <c r="AB2399">
        <f>ROUND(Mecze[[#This Row],[PD]]*Mecze[[#This Row],[%PC]],0)</f>
        <v>7</v>
      </c>
      <c r="AC2399">
        <f>ROUND(Mecze[[#This Row],[OD]]*Mecze[[#This Row],[%OU]],0)</f>
        <v>3</v>
      </c>
      <c r="AD2399" s="36" t="s">
        <v>47</v>
      </c>
      <c r="AE2399" s="36">
        <v>134</v>
      </c>
      <c r="AF2399" s="71">
        <v>9.6300000000000008</v>
      </c>
      <c r="AG2399" s="37">
        <v>0</v>
      </c>
      <c r="AH2399" s="37">
        <v>0</v>
      </c>
      <c r="AI2399" s="37">
        <v>95</v>
      </c>
      <c r="AJ2399" s="37">
        <v>1</v>
      </c>
      <c r="AK2399" s="37" t="str">
        <f>VLOOKUP(Mecze[[#This Row],[Match ID]],Meczusie[Mecz]:Meczusie[RodzajMeczu],2,FALSE)</f>
        <v>Towarzyski</v>
      </c>
    </row>
    <row r="2400" spans="1:37" x14ac:dyDescent="0.25">
      <c r="A2400" s="76">
        <v>4</v>
      </c>
      <c r="B2400" s="3" t="s">
        <v>360</v>
      </c>
      <c r="C2400" s="2" t="s">
        <v>157</v>
      </c>
      <c r="D2400" s="1">
        <v>0</v>
      </c>
      <c r="E2400" s="1">
        <v>1</v>
      </c>
      <c r="F2400" s="1">
        <v>0</v>
      </c>
      <c r="G2400" s="1">
        <v>14</v>
      </c>
      <c r="H2400" s="4">
        <v>0.56999999999999995</v>
      </c>
      <c r="I2400" s="1">
        <v>8</v>
      </c>
      <c r="J2400" s="4">
        <v>0.25</v>
      </c>
      <c r="K2400" s="1">
        <v>0</v>
      </c>
      <c r="L2400" s="1">
        <v>10</v>
      </c>
      <c r="M2400" s="32">
        <f>IF(Mecze[[#This Row],[PR]]=0,0,Mecze[[#This Row],[PR]]/Mecze[[#This Row],[CZAS]])</f>
        <v>0.10526315789473684</v>
      </c>
      <c r="N2400" s="32">
        <f>IF(Mecze[[#This Row],[OU]]=0,0,Mecze[[#This Row],[OU]]/Mecze[[#This Row],[CZAS]])</f>
        <v>2.1052631578947368E-2</v>
      </c>
      <c r="O2400" s="32">
        <f>IF(Mecze[[#This Row],[PC]]=0,0,Mecze[[#This Row],[PC]]/Mecze[[#This Row],[CZAS]])</f>
        <v>8.4210526315789472E-2</v>
      </c>
      <c r="P2400" s="32">
        <f>IF(Mecze[[#This Row],[SC]]=0,0,Mecze[[#This Row],[SC]]/Mecze[[#This Row],[CZAS]])</f>
        <v>0</v>
      </c>
      <c r="Q2400" s="32">
        <f>IF(Mecze[[#This Row],[OB]]=0,0,Mecze[[#This Row],[OB]]/Mecze[[#This Row],[CZAS]])</f>
        <v>0</v>
      </c>
      <c r="R2400" s="32">
        <f>IF(Mecze[[#This Row],[BR]]=0,0,Mecze[[#This Row],[BR]]/Mecze[[#This Row],[CZAS]])</f>
        <v>0</v>
      </c>
      <c r="S2400" s="44">
        <f>IF(Mecze[[#This Row],[Role]]="BR",SUMPRODUCT(Mecze[[#This Row],[/PR:90]:[/BR:90]],Brudnopis!$E$23:$J$23),0)</f>
        <v>0</v>
      </c>
      <c r="T2400" s="44">
        <f>IF(Mecze[[#This Row],[Role]]&lt;&gt;"BR",SUMPRODUCT(Mecze[[#This Row],[/PR:90]:[/BR:90]],Brudnopis!$E$24:$J$24),0)</f>
        <v>0.22105263157894733</v>
      </c>
      <c r="U2400" s="44">
        <f>IF(Mecze[[#This Row],[Role]]&lt;&gt;"BR",SUMPRODUCT(Mecze[[#This Row],[/PR:90]:[/BR:90]],Brudnopis!$E$25:$J$25),0)</f>
        <v>0.25263157894736843</v>
      </c>
      <c r="V2400" s="44">
        <f>IF(Mecze[[#This Row],[Role]]&lt;&gt;"BR",SUMPRODUCT(Mecze[[#This Row],[/PR:90]:[/BR:90]],Brudnopis!$E$26:$J$26),0)</f>
        <v>0.21052631578947367</v>
      </c>
      <c r="W2400" s="44">
        <f>IF(Mecze[[#This Row],[Role]]&lt;&gt;"BR",SUMPRODUCT(Mecze[[#This Row],[/PR:90]:[/BR:90]],Brudnopis!$E$27:$J$27),0)</f>
        <v>0.22105263157894736</v>
      </c>
      <c r="X2400" s="44">
        <f>IF(Mecze[[#This Row],[Role]]&lt;&gt;"BR",SUMPRODUCT(Mecze[[#This Row],[/PR:90]:[/BR:90]],Brudnopis!$E$28:$J$28),0)</f>
        <v>8.4210526315789472E-2</v>
      </c>
      <c r="Y2400" s="35">
        <f>IF(Mecze[[#This Row],[Role]]="BR",Mecze[[#This Row],[/OB:90]]+Mecze[[#This Row],[/PC:90]],SUM(Mecze[[#This Row],[/PR:90]:[/BR:90]]))</f>
        <v>0.21052631578947367</v>
      </c>
      <c r="Z2400" s="35">
        <f>IF(Mecze[[#This Row],[KC]]=0,SUM(Mecze[[#This Row],[/BRI]:[/NPI]]),SUM(Mecze[[#This Row],[/BRI]:[/NPI]])*0.6)</f>
        <v>0.98947368421052628</v>
      </c>
      <c r="AA2400" s="10">
        <f>IFERROR(Mecze[[#This Row],[BR]]/Mecze[[#This Row],[ST]],0)</f>
        <v>0</v>
      </c>
      <c r="AB2400">
        <f>ROUND(Mecze[[#This Row],[PD]]*Mecze[[#This Row],[%PC]],0)</f>
        <v>8</v>
      </c>
      <c r="AC2400">
        <f>ROUND(Mecze[[#This Row],[OD]]*Mecze[[#This Row],[%OU]],0)</f>
        <v>2</v>
      </c>
      <c r="AD2400" s="36" t="s">
        <v>168</v>
      </c>
      <c r="AE2400" s="36">
        <v>134</v>
      </c>
      <c r="AF2400" s="71">
        <v>9.14</v>
      </c>
      <c r="AG2400" s="37">
        <v>0</v>
      </c>
      <c r="AH2400" s="37">
        <v>0</v>
      </c>
      <c r="AI2400" s="37">
        <v>95</v>
      </c>
      <c r="AJ2400" s="37">
        <v>1</v>
      </c>
      <c r="AK2400" s="37" t="str">
        <f>VLOOKUP(Mecze[[#This Row],[Match ID]],Meczusie[Mecz]:Meczusie[RodzajMeczu],2,FALSE)</f>
        <v>Towarzyski</v>
      </c>
    </row>
    <row r="2401" spans="1:37" x14ac:dyDescent="0.25">
      <c r="A2401" s="76">
        <v>17</v>
      </c>
      <c r="B2401" s="3" t="s">
        <v>413</v>
      </c>
      <c r="C2401" s="2" t="s">
        <v>157</v>
      </c>
      <c r="D2401" s="1">
        <v>0</v>
      </c>
      <c r="E2401" s="1">
        <v>0</v>
      </c>
      <c r="F2401" s="1">
        <v>0</v>
      </c>
      <c r="G2401" s="1">
        <v>10</v>
      </c>
      <c r="H2401" s="4">
        <v>0.6</v>
      </c>
      <c r="I2401" s="1">
        <v>4</v>
      </c>
      <c r="J2401" s="4">
        <v>0.5</v>
      </c>
      <c r="K2401" s="1">
        <v>0</v>
      </c>
      <c r="L2401" s="1">
        <v>11</v>
      </c>
      <c r="M2401" s="32">
        <f>IF(Mecze[[#This Row],[PR]]=0,0,Mecze[[#This Row],[PR]]/Mecze[[#This Row],[CZAS]])</f>
        <v>0.11578947368421053</v>
      </c>
      <c r="N2401" s="32">
        <f>IF(Mecze[[#This Row],[OU]]=0,0,Mecze[[#This Row],[OU]]/Mecze[[#This Row],[CZAS]])</f>
        <v>2.1052631578947368E-2</v>
      </c>
      <c r="O2401" s="32">
        <f>IF(Mecze[[#This Row],[PC]]=0,0,Mecze[[#This Row],[PC]]/Mecze[[#This Row],[CZAS]])</f>
        <v>6.3157894736842107E-2</v>
      </c>
      <c r="P2401" s="32">
        <f>IF(Mecze[[#This Row],[SC]]=0,0,Mecze[[#This Row],[SC]]/Mecze[[#This Row],[CZAS]])</f>
        <v>0</v>
      </c>
      <c r="Q2401" s="32">
        <f>IF(Mecze[[#This Row],[OB]]=0,0,Mecze[[#This Row],[OB]]/Mecze[[#This Row],[CZAS]])</f>
        <v>0</v>
      </c>
      <c r="R2401" s="32">
        <f>IF(Mecze[[#This Row],[BR]]=0,0,Mecze[[#This Row],[BR]]/Mecze[[#This Row],[CZAS]])</f>
        <v>0</v>
      </c>
      <c r="S2401" s="44">
        <f>IF(Mecze[[#This Row],[Role]]="BR",SUMPRODUCT(Mecze[[#This Row],[/PR:90]:[/BR:90]],Brudnopis!$E$23:$J$23),0)</f>
        <v>0</v>
      </c>
      <c r="T2401" s="44">
        <f>IF(Mecze[[#This Row],[Role]]&lt;&gt;"BR",SUMPRODUCT(Mecze[[#This Row],[/PR:90]:[/BR:90]],Brudnopis!$E$24:$J$24),0)</f>
        <v>0.2105263157894737</v>
      </c>
      <c r="U2401" s="44">
        <f>IF(Mecze[[#This Row],[Role]]&lt;&gt;"BR",SUMPRODUCT(Mecze[[#This Row],[/PR:90]:[/BR:90]],Brudnopis!$E$25:$J$25),0)</f>
        <v>0.23157894736842105</v>
      </c>
      <c r="V2401" s="44">
        <f>IF(Mecze[[#This Row],[Role]]&lt;&gt;"BR",SUMPRODUCT(Mecze[[#This Row],[/PR:90]:[/BR:90]],Brudnopis!$E$26:$J$26),0)</f>
        <v>0.2</v>
      </c>
      <c r="W2401" s="44">
        <f>IF(Mecze[[#This Row],[Role]]&lt;&gt;"BR",SUMPRODUCT(Mecze[[#This Row],[/PR:90]:[/BR:90]],Brudnopis!$E$27:$J$27),0)</f>
        <v>0.19736842105263158</v>
      </c>
      <c r="X2401" s="44">
        <f>IF(Mecze[[#This Row],[Role]]&lt;&gt;"BR",SUMPRODUCT(Mecze[[#This Row],[/PR:90]:[/BR:90]],Brudnopis!$E$28:$J$28),0)</f>
        <v>6.3157894736842107E-2</v>
      </c>
      <c r="Y2401" s="35">
        <f>IF(Mecze[[#This Row],[Role]]="BR",Mecze[[#This Row],[/OB:90]]+Mecze[[#This Row],[/PC:90]],SUM(Mecze[[#This Row],[/PR:90]:[/BR:90]]))</f>
        <v>0.2</v>
      </c>
      <c r="Z2401" s="35">
        <f>IF(Mecze[[#This Row],[KC]]=0,SUM(Mecze[[#This Row],[/BRI]:[/NPI]]),SUM(Mecze[[#This Row],[/BRI]:[/NPI]])*0.6)</f>
        <v>0.90263157894736845</v>
      </c>
      <c r="AA2401" s="10">
        <f>IFERROR(Mecze[[#This Row],[BR]]/Mecze[[#This Row],[ST]],0)</f>
        <v>0</v>
      </c>
      <c r="AB2401">
        <f>ROUND(Mecze[[#This Row],[PD]]*Mecze[[#This Row],[%PC]],0)</f>
        <v>6</v>
      </c>
      <c r="AC2401">
        <f>ROUND(Mecze[[#This Row],[OD]]*Mecze[[#This Row],[%OU]],0)</f>
        <v>2</v>
      </c>
      <c r="AD2401" s="36" t="s">
        <v>167</v>
      </c>
      <c r="AE2401" s="36">
        <v>134</v>
      </c>
      <c r="AF2401" s="71">
        <v>10.47</v>
      </c>
      <c r="AG2401" s="37">
        <v>0</v>
      </c>
      <c r="AH2401" s="37">
        <v>0</v>
      </c>
      <c r="AI2401" s="37">
        <v>95</v>
      </c>
      <c r="AJ2401" s="37">
        <v>1</v>
      </c>
      <c r="AK2401" s="37" t="str">
        <f>VLOOKUP(Mecze[[#This Row],[Match ID]],Meczusie[Mecz]:Meczusie[RodzajMeczu],2,FALSE)</f>
        <v>Towarzyski</v>
      </c>
    </row>
    <row r="2402" spans="1:37" x14ac:dyDescent="0.25">
      <c r="A2402" s="76">
        <v>40</v>
      </c>
      <c r="B2402" s="3" t="s">
        <v>453</v>
      </c>
      <c r="C2402" s="2" t="s">
        <v>160</v>
      </c>
      <c r="D2402" s="1">
        <v>0</v>
      </c>
      <c r="E2402" s="1">
        <v>0</v>
      </c>
      <c r="F2402" s="1">
        <v>0</v>
      </c>
      <c r="G2402" s="1">
        <v>16</v>
      </c>
      <c r="H2402" s="4">
        <v>0.69</v>
      </c>
      <c r="I2402" s="1">
        <v>7</v>
      </c>
      <c r="J2402" s="4">
        <v>0.28999999999999998</v>
      </c>
      <c r="K2402" s="1">
        <v>0</v>
      </c>
      <c r="L2402" s="1">
        <v>8</v>
      </c>
      <c r="M2402" s="32">
        <f>IF(Mecze[[#This Row],[PR]]=0,0,Mecze[[#This Row],[PR]]/Mecze[[#This Row],[CZAS]])</f>
        <v>8.4210526315789472E-2</v>
      </c>
      <c r="N2402" s="32">
        <f>IF(Mecze[[#This Row],[OU]]=0,0,Mecze[[#This Row],[OU]]/Mecze[[#This Row],[CZAS]])</f>
        <v>2.1052631578947368E-2</v>
      </c>
      <c r="O2402" s="32">
        <f>IF(Mecze[[#This Row],[PC]]=0,0,Mecze[[#This Row],[PC]]/Mecze[[#This Row],[CZAS]])</f>
        <v>0.11578947368421053</v>
      </c>
      <c r="P2402" s="32">
        <f>IF(Mecze[[#This Row],[SC]]=0,0,Mecze[[#This Row],[SC]]/Mecze[[#This Row],[CZAS]])</f>
        <v>0</v>
      </c>
      <c r="Q2402" s="32">
        <f>IF(Mecze[[#This Row],[OB]]=0,0,Mecze[[#This Row],[OB]]/Mecze[[#This Row],[CZAS]])</f>
        <v>0</v>
      </c>
      <c r="R2402" s="32">
        <f>IF(Mecze[[#This Row],[BR]]=0,0,Mecze[[#This Row],[BR]]/Mecze[[#This Row],[CZAS]])</f>
        <v>0</v>
      </c>
      <c r="S2402" s="44">
        <f>IF(Mecze[[#This Row],[Role]]="BR",SUMPRODUCT(Mecze[[#This Row],[/PR:90]:[/BR:90]],Brudnopis!$E$23:$J$23),0)</f>
        <v>0</v>
      </c>
      <c r="T2402" s="44">
        <f>IF(Mecze[[#This Row],[Role]]&lt;&gt;"BR",SUMPRODUCT(Mecze[[#This Row],[/PR:90]:[/BR:90]],Brudnopis!$E$24:$J$24),0)</f>
        <v>0.23157894736842105</v>
      </c>
      <c r="U2402" s="44">
        <f>IF(Mecze[[#This Row],[Role]]&lt;&gt;"BR",SUMPRODUCT(Mecze[[#This Row],[/PR:90]:[/BR:90]],Brudnopis!$E$25:$J$25),0)</f>
        <v>0.27894736842105261</v>
      </c>
      <c r="V2402" s="44">
        <f>IF(Mecze[[#This Row],[Role]]&lt;&gt;"BR",SUMPRODUCT(Mecze[[#This Row],[/PR:90]:[/BR:90]],Brudnopis!$E$26:$J$26),0)</f>
        <v>0.22105263157894736</v>
      </c>
      <c r="W2402" s="44">
        <f>IF(Mecze[[#This Row],[Role]]&lt;&gt;"BR",SUMPRODUCT(Mecze[[#This Row],[/PR:90]:[/BR:90]],Brudnopis!$E$27:$J$27),0)</f>
        <v>0.25263157894736843</v>
      </c>
      <c r="X2402" s="44">
        <f>IF(Mecze[[#This Row],[Role]]&lt;&gt;"BR",SUMPRODUCT(Mecze[[#This Row],[/PR:90]:[/BR:90]],Brudnopis!$E$28:$J$28),0)</f>
        <v>0.11578947368421053</v>
      </c>
      <c r="Y2402" s="35">
        <f>IF(Mecze[[#This Row],[Role]]="BR",Mecze[[#This Row],[/OB:90]]+Mecze[[#This Row],[/PC:90]],SUM(Mecze[[#This Row],[/PR:90]:[/BR:90]]))</f>
        <v>0.22105263157894736</v>
      </c>
      <c r="Z2402" s="35">
        <f>IF(Mecze[[#This Row],[KC]]=0,SUM(Mecze[[#This Row],[/BRI]:[/NPI]]),SUM(Mecze[[#This Row],[/BRI]:[/NPI]])*0.6)</f>
        <v>1.1000000000000001</v>
      </c>
      <c r="AA2402" s="10">
        <f>IFERROR(Mecze[[#This Row],[BR]]/Mecze[[#This Row],[ST]],0)</f>
        <v>0</v>
      </c>
      <c r="AB2402">
        <f>ROUND(Mecze[[#This Row],[PD]]*Mecze[[#This Row],[%PC]],0)</f>
        <v>11</v>
      </c>
      <c r="AC2402">
        <f>ROUND(Mecze[[#This Row],[OD]]*Mecze[[#This Row],[%OU]],0)</f>
        <v>2</v>
      </c>
      <c r="AD2402" s="36" t="s">
        <v>41</v>
      </c>
      <c r="AE2402" s="36">
        <v>134</v>
      </c>
      <c r="AF2402" s="71">
        <v>9.93</v>
      </c>
      <c r="AG2402" s="37">
        <v>0</v>
      </c>
      <c r="AH2402" s="37">
        <v>0</v>
      </c>
      <c r="AI2402" s="37">
        <v>95</v>
      </c>
      <c r="AJ2402" s="37">
        <v>1</v>
      </c>
      <c r="AK2402" s="37" t="str">
        <f>VLOOKUP(Mecze[[#This Row],[Match ID]],Meczusie[Mecz]:Meczusie[RodzajMeczu],2,FALSE)</f>
        <v>Towarzyski</v>
      </c>
    </row>
    <row r="2403" spans="1:37" x14ac:dyDescent="0.25">
      <c r="A2403" s="76">
        <v>22</v>
      </c>
      <c r="B2403" s="3" t="s">
        <v>363</v>
      </c>
      <c r="C2403" s="2" t="s">
        <v>160</v>
      </c>
      <c r="D2403" s="1">
        <v>0</v>
      </c>
      <c r="E2403" s="1">
        <v>0</v>
      </c>
      <c r="F2403" s="1">
        <v>0</v>
      </c>
      <c r="G2403" s="1">
        <v>17</v>
      </c>
      <c r="H2403" s="4">
        <v>0.65</v>
      </c>
      <c r="I2403" s="1">
        <v>5</v>
      </c>
      <c r="J2403" s="4">
        <v>0.6</v>
      </c>
      <c r="K2403" s="1">
        <v>0</v>
      </c>
      <c r="L2403" s="1">
        <v>10</v>
      </c>
      <c r="M2403" s="32">
        <f>IF(Mecze[[#This Row],[PR]]=0,0,Mecze[[#This Row],[PR]]/Mecze[[#This Row],[CZAS]])</f>
        <v>0.10526315789473684</v>
      </c>
      <c r="N2403" s="32">
        <f>IF(Mecze[[#This Row],[OU]]=0,0,Mecze[[#This Row],[OU]]/Mecze[[#This Row],[CZAS]])</f>
        <v>3.1578947368421054E-2</v>
      </c>
      <c r="O2403" s="32">
        <f>IF(Mecze[[#This Row],[PC]]=0,0,Mecze[[#This Row],[PC]]/Mecze[[#This Row],[CZAS]])</f>
        <v>0.11578947368421053</v>
      </c>
      <c r="P2403" s="32">
        <f>IF(Mecze[[#This Row],[SC]]=0,0,Mecze[[#This Row],[SC]]/Mecze[[#This Row],[CZAS]])</f>
        <v>0</v>
      </c>
      <c r="Q2403" s="32">
        <f>IF(Mecze[[#This Row],[OB]]=0,0,Mecze[[#This Row],[OB]]/Mecze[[#This Row],[CZAS]])</f>
        <v>0</v>
      </c>
      <c r="R2403" s="32">
        <f>IF(Mecze[[#This Row],[BR]]=0,0,Mecze[[#This Row],[BR]]/Mecze[[#This Row],[CZAS]])</f>
        <v>0</v>
      </c>
      <c r="S2403" s="44">
        <f>IF(Mecze[[#This Row],[Role]]="BR",SUMPRODUCT(Mecze[[#This Row],[/PR:90]:[/BR:90]],Brudnopis!$E$23:$J$23),0)</f>
        <v>0</v>
      </c>
      <c r="T2403" s="44">
        <f>IF(Mecze[[#This Row],[Role]]&lt;&gt;"BR",SUMPRODUCT(Mecze[[#This Row],[/PR:90]:[/BR:90]],Brudnopis!$E$24:$J$24),0)</f>
        <v>0.26842105263157895</v>
      </c>
      <c r="U2403" s="44">
        <f>IF(Mecze[[#This Row],[Role]]&lt;&gt;"BR",SUMPRODUCT(Mecze[[#This Row],[/PR:90]:[/BR:90]],Brudnopis!$E$25:$J$25),0)</f>
        <v>0.31052631578947365</v>
      </c>
      <c r="V2403" s="44">
        <f>IF(Mecze[[#This Row],[Role]]&lt;&gt;"BR",SUMPRODUCT(Mecze[[#This Row],[/PR:90]:[/BR:90]],Brudnopis!$E$26:$J$26),0)</f>
        <v>0.25263157894736843</v>
      </c>
      <c r="W2403" s="44">
        <f>IF(Mecze[[#This Row],[Role]]&lt;&gt;"BR",SUMPRODUCT(Mecze[[#This Row],[/PR:90]:[/BR:90]],Brudnopis!$E$27:$J$27),0)</f>
        <v>0.27631578947368418</v>
      </c>
      <c r="X2403" s="44">
        <f>IF(Mecze[[#This Row],[Role]]&lt;&gt;"BR",SUMPRODUCT(Mecze[[#This Row],[/PR:90]:[/BR:90]],Brudnopis!$E$28:$J$28),0)</f>
        <v>0.11578947368421053</v>
      </c>
      <c r="Y2403" s="35">
        <f>IF(Mecze[[#This Row],[Role]]="BR",Mecze[[#This Row],[/OB:90]]+Mecze[[#This Row],[/PC:90]],SUM(Mecze[[#This Row],[/PR:90]:[/BR:90]]))</f>
        <v>0.25263157894736843</v>
      </c>
      <c r="Z2403" s="35">
        <f>IF(Mecze[[#This Row],[KC]]=0,SUM(Mecze[[#This Row],[/BRI]:[/NPI]]),SUM(Mecze[[#This Row],[/BRI]:[/NPI]])*0.6)</f>
        <v>1.2236842105263157</v>
      </c>
      <c r="AA2403" s="10">
        <f>IFERROR(Mecze[[#This Row],[BR]]/Mecze[[#This Row],[ST]],0)</f>
        <v>0</v>
      </c>
      <c r="AB2403">
        <f>ROUND(Mecze[[#This Row],[PD]]*Mecze[[#This Row],[%PC]],0)</f>
        <v>11</v>
      </c>
      <c r="AC2403">
        <f>ROUND(Mecze[[#This Row],[OD]]*Mecze[[#This Row],[%OU]],0)</f>
        <v>3</v>
      </c>
      <c r="AD2403" s="36" t="s">
        <v>41</v>
      </c>
      <c r="AE2403" s="36">
        <v>134</v>
      </c>
      <c r="AF2403" s="71">
        <v>10.35</v>
      </c>
      <c r="AG2403" s="37">
        <v>0</v>
      </c>
      <c r="AH2403" s="37">
        <v>0</v>
      </c>
      <c r="AI2403" s="37">
        <v>95</v>
      </c>
      <c r="AJ2403" s="37">
        <v>1</v>
      </c>
      <c r="AK2403" s="37" t="str">
        <f>VLOOKUP(Mecze[[#This Row],[Match ID]],Meczusie[Mecz]:Meczusie[RodzajMeczu],2,FALSE)</f>
        <v>Towarzyski</v>
      </c>
    </row>
    <row r="2404" spans="1:37" x14ac:dyDescent="0.25">
      <c r="A2404" s="76">
        <v>25</v>
      </c>
      <c r="B2404" s="3" t="s">
        <v>366</v>
      </c>
      <c r="C2404" s="2" t="s">
        <v>160</v>
      </c>
      <c r="D2404" s="1">
        <v>0</v>
      </c>
      <c r="E2404" s="1">
        <v>1</v>
      </c>
      <c r="F2404" s="1">
        <v>1</v>
      </c>
      <c r="G2404" s="1">
        <v>3</v>
      </c>
      <c r="H2404" s="4">
        <v>1</v>
      </c>
      <c r="I2404" s="1">
        <v>1</v>
      </c>
      <c r="J2404" s="4">
        <v>0</v>
      </c>
      <c r="K2404" s="1">
        <v>0</v>
      </c>
      <c r="L2404" s="1">
        <v>2</v>
      </c>
      <c r="M2404" s="32">
        <f>IF(Mecze[[#This Row],[PR]]=0,0,Mecze[[#This Row],[PR]]/Mecze[[#This Row],[CZAS]])</f>
        <v>2.1052631578947368E-2</v>
      </c>
      <c r="N2404" s="32">
        <f>IF(Mecze[[#This Row],[OU]]=0,0,Mecze[[#This Row],[OU]]/Mecze[[#This Row],[CZAS]])</f>
        <v>0</v>
      </c>
      <c r="O2404" s="32">
        <f>IF(Mecze[[#This Row],[PC]]=0,0,Mecze[[#This Row],[PC]]/Mecze[[#This Row],[CZAS]])</f>
        <v>3.1578947368421054E-2</v>
      </c>
      <c r="P2404" s="32">
        <f>IF(Mecze[[#This Row],[SC]]=0,0,Mecze[[#This Row],[SC]]/Mecze[[#This Row],[CZAS]])</f>
        <v>1.0526315789473684E-2</v>
      </c>
      <c r="Q2404" s="32">
        <f>IF(Mecze[[#This Row],[OB]]=0,0,Mecze[[#This Row],[OB]]/Mecze[[#This Row],[CZAS]])</f>
        <v>0</v>
      </c>
      <c r="R2404" s="32">
        <f>IF(Mecze[[#This Row],[BR]]=0,0,Mecze[[#This Row],[BR]]/Mecze[[#This Row],[CZAS]])</f>
        <v>0</v>
      </c>
      <c r="S2404" s="44">
        <f>IF(Mecze[[#This Row],[Role]]="BR",SUMPRODUCT(Mecze[[#This Row],[/PR:90]:[/BR:90]],Brudnopis!$E$23:$J$23),0)</f>
        <v>0</v>
      </c>
      <c r="T2404" s="44">
        <f>IF(Mecze[[#This Row],[Role]]&lt;&gt;"BR",SUMPRODUCT(Mecze[[#This Row],[/PR:90]:[/BR:90]],Brudnopis!$E$24:$J$24),0)</f>
        <v>6.3157894736842107E-2</v>
      </c>
      <c r="U2404" s="44">
        <f>IF(Mecze[[#This Row],[Role]]&lt;&gt;"BR",SUMPRODUCT(Mecze[[#This Row],[/PR:90]:[/BR:90]],Brudnopis!$E$25:$J$25),0)</f>
        <v>7.8947368421052641E-2</v>
      </c>
      <c r="V2404" s="44">
        <f>IF(Mecze[[#This Row],[Role]]&lt;&gt;"BR",SUMPRODUCT(Mecze[[#This Row],[/PR:90]:[/BR:90]],Brudnopis!$E$26:$J$26),0)</f>
        <v>6.3157894736842107E-2</v>
      </c>
      <c r="W2404" s="44">
        <f>IF(Mecze[[#This Row],[Role]]&lt;&gt;"BR",SUMPRODUCT(Mecze[[#This Row],[/PR:90]:[/BR:90]],Brudnopis!$E$27:$J$27),0)</f>
        <v>7.3684210526315796E-2</v>
      </c>
      <c r="X2404" s="44">
        <f>IF(Mecze[[#This Row],[Role]]&lt;&gt;"BR",SUMPRODUCT(Mecze[[#This Row],[/PR:90]:[/BR:90]],Brudnopis!$E$28:$J$28),0)</f>
        <v>5.2631578947368418E-2</v>
      </c>
      <c r="Y2404" s="35">
        <f>IF(Mecze[[#This Row],[Role]]="BR",Mecze[[#This Row],[/OB:90]]+Mecze[[#This Row],[/PC:90]],SUM(Mecze[[#This Row],[/PR:90]:[/BR:90]]))</f>
        <v>6.3157894736842107E-2</v>
      </c>
      <c r="Z2404" s="35">
        <f>IF(Mecze[[#This Row],[KC]]=0,SUM(Mecze[[#This Row],[/BRI]:[/NPI]]),SUM(Mecze[[#This Row],[/BRI]:[/NPI]])*0.6)</f>
        <v>0.33157894736842103</v>
      </c>
      <c r="AA2404" s="10">
        <f>IFERROR(Mecze[[#This Row],[BR]]/Mecze[[#This Row],[ST]],0)</f>
        <v>0</v>
      </c>
      <c r="AB2404">
        <f>ROUND(Mecze[[#This Row],[PD]]*Mecze[[#This Row],[%PC]],0)</f>
        <v>3</v>
      </c>
      <c r="AC2404">
        <f>ROUND(Mecze[[#This Row],[OD]]*Mecze[[#This Row],[%OU]],0)</f>
        <v>0</v>
      </c>
      <c r="AD2404" s="36" t="s">
        <v>44</v>
      </c>
      <c r="AE2404" s="36">
        <v>134</v>
      </c>
      <c r="AF2404" s="71">
        <v>7.69</v>
      </c>
      <c r="AG2404" s="37">
        <v>0</v>
      </c>
      <c r="AH2404" s="37">
        <v>0</v>
      </c>
      <c r="AI2404" s="37">
        <v>95</v>
      </c>
      <c r="AJ2404" s="37">
        <v>1</v>
      </c>
      <c r="AK2404" s="37" t="str">
        <f>VLOOKUP(Mecze[[#This Row],[Match ID]],Meczusie[Mecz]:Meczusie[RodzajMeczu],2,FALSE)</f>
        <v>Towarzyski</v>
      </c>
    </row>
    <row r="2405" spans="1:37" x14ac:dyDescent="0.25">
      <c r="A2405" s="76">
        <v>27</v>
      </c>
      <c r="B2405" s="3" t="s">
        <v>364</v>
      </c>
      <c r="C2405" s="2" t="s">
        <v>160</v>
      </c>
      <c r="D2405" s="1">
        <v>0</v>
      </c>
      <c r="E2405" s="1">
        <v>2</v>
      </c>
      <c r="F2405" s="1">
        <v>1</v>
      </c>
      <c r="G2405" s="1">
        <v>12</v>
      </c>
      <c r="H2405" s="4">
        <v>0.57999999999999996</v>
      </c>
      <c r="I2405" s="1">
        <v>3</v>
      </c>
      <c r="J2405" s="4">
        <v>0.67</v>
      </c>
      <c r="K2405" s="1">
        <v>0</v>
      </c>
      <c r="L2405" s="1">
        <v>3</v>
      </c>
      <c r="M2405" s="32">
        <f>IF(Mecze[[#This Row],[PR]]=0,0,Mecze[[#This Row],[PR]]/Mecze[[#This Row],[CZAS]])</f>
        <v>3.1578947368421054E-2</v>
      </c>
      <c r="N2405" s="32">
        <f>IF(Mecze[[#This Row],[OU]]=0,0,Mecze[[#This Row],[OU]]/Mecze[[#This Row],[CZAS]])</f>
        <v>2.1052631578947368E-2</v>
      </c>
      <c r="O2405" s="32">
        <f>IF(Mecze[[#This Row],[PC]]=0,0,Mecze[[#This Row],[PC]]/Mecze[[#This Row],[CZAS]])</f>
        <v>7.3684210526315783E-2</v>
      </c>
      <c r="P2405" s="32">
        <f>IF(Mecze[[#This Row],[SC]]=0,0,Mecze[[#This Row],[SC]]/Mecze[[#This Row],[CZAS]])</f>
        <v>1.0526315789473684E-2</v>
      </c>
      <c r="Q2405" s="32">
        <f>IF(Mecze[[#This Row],[OB]]=0,0,Mecze[[#This Row],[OB]]/Mecze[[#This Row],[CZAS]])</f>
        <v>0</v>
      </c>
      <c r="R2405" s="32">
        <f>IF(Mecze[[#This Row],[BR]]=0,0,Mecze[[#This Row],[BR]]/Mecze[[#This Row],[CZAS]])</f>
        <v>0</v>
      </c>
      <c r="S2405" s="44">
        <f>IF(Mecze[[#This Row],[Role]]="BR",SUMPRODUCT(Mecze[[#This Row],[/PR:90]:[/BR:90]],Brudnopis!$E$23:$J$23),0)</f>
        <v>0</v>
      </c>
      <c r="T2405" s="44">
        <f>IF(Mecze[[#This Row],[Role]]&lt;&gt;"BR",SUMPRODUCT(Mecze[[#This Row],[/PR:90]:[/BR:90]],Brudnopis!$E$24:$J$24),0)</f>
        <v>0.14736842105263157</v>
      </c>
      <c r="U2405" s="44">
        <f>IF(Mecze[[#This Row],[Role]]&lt;&gt;"BR",SUMPRODUCT(Mecze[[#This Row],[/PR:90]:[/BR:90]],Brudnopis!$E$25:$J$25),0)</f>
        <v>0.17368421052631577</v>
      </c>
      <c r="V2405" s="44">
        <f>IF(Mecze[[#This Row],[Role]]&lt;&gt;"BR",SUMPRODUCT(Mecze[[#This Row],[/PR:90]:[/BR:90]],Brudnopis!$E$26:$J$26),0)</f>
        <v>0.1368421052631579</v>
      </c>
      <c r="W2405" s="44">
        <f>IF(Mecze[[#This Row],[Role]]&lt;&gt;"BR",SUMPRODUCT(Mecze[[#This Row],[/PR:90]:[/BR:90]],Brudnopis!$E$27:$J$27),0)</f>
        <v>0.16052631578947366</v>
      </c>
      <c r="X2405" s="44">
        <f>IF(Mecze[[#This Row],[Role]]&lt;&gt;"BR",SUMPRODUCT(Mecze[[#This Row],[/PR:90]:[/BR:90]],Brudnopis!$E$28:$J$28),0)</f>
        <v>9.4736842105263147E-2</v>
      </c>
      <c r="Y2405" s="35">
        <f>IF(Mecze[[#This Row],[Role]]="BR",Mecze[[#This Row],[/OB:90]]+Mecze[[#This Row],[/PC:90]],SUM(Mecze[[#This Row],[/PR:90]:[/BR:90]]))</f>
        <v>0.1368421052631579</v>
      </c>
      <c r="Z2405" s="35">
        <f>IF(Mecze[[#This Row],[KC]]=0,SUM(Mecze[[#This Row],[/BRI]:[/NPI]]),SUM(Mecze[[#This Row],[/BRI]:[/NPI]])*0.6)</f>
        <v>0.71315789473684199</v>
      </c>
      <c r="AA2405" s="10">
        <f>IFERROR(Mecze[[#This Row],[BR]]/Mecze[[#This Row],[ST]],0)</f>
        <v>0</v>
      </c>
      <c r="AB2405">
        <f>ROUND(Mecze[[#This Row],[PD]]*Mecze[[#This Row],[%PC]],0)</f>
        <v>7</v>
      </c>
      <c r="AC2405">
        <f>ROUND(Mecze[[#This Row],[OD]]*Mecze[[#This Row],[%OU]],0)</f>
        <v>2</v>
      </c>
      <c r="AD2405" s="36" t="s">
        <v>44</v>
      </c>
      <c r="AE2405" s="36">
        <v>134</v>
      </c>
      <c r="AF2405" s="71">
        <v>8</v>
      </c>
      <c r="AG2405" s="37">
        <v>1</v>
      </c>
      <c r="AH2405" s="37">
        <v>0</v>
      </c>
      <c r="AI2405" s="37">
        <v>95</v>
      </c>
      <c r="AJ2405" s="37">
        <v>1</v>
      </c>
      <c r="AK2405" s="37" t="str">
        <f>VLOOKUP(Mecze[[#This Row],[Match ID]],Meczusie[Mecz]:Meczusie[RodzajMeczu],2,FALSE)</f>
        <v>Towarzyski</v>
      </c>
    </row>
    <row r="2406" spans="1:37" x14ac:dyDescent="0.25">
      <c r="A2406" s="76">
        <v>31</v>
      </c>
      <c r="B2406" s="3" t="s">
        <v>365</v>
      </c>
      <c r="C2406" s="2" t="s">
        <v>165</v>
      </c>
      <c r="D2406" s="1">
        <v>1</v>
      </c>
      <c r="E2406" s="1">
        <v>2</v>
      </c>
      <c r="F2406" s="1">
        <v>2</v>
      </c>
      <c r="G2406" s="1">
        <v>11</v>
      </c>
      <c r="H2406" s="4">
        <v>0.45</v>
      </c>
      <c r="I2406" s="1">
        <v>7</v>
      </c>
      <c r="J2406" s="4">
        <v>0.43</v>
      </c>
      <c r="K2406" s="1">
        <v>0</v>
      </c>
      <c r="L2406" s="1">
        <v>0</v>
      </c>
      <c r="M2406" s="32">
        <f>IF(Mecze[[#This Row],[PR]]=0,0,Mecze[[#This Row],[PR]]/Mecze[[#This Row],[CZAS]])</f>
        <v>0</v>
      </c>
      <c r="N2406" s="32">
        <f>IF(Mecze[[#This Row],[OU]]=0,0,Mecze[[#This Row],[OU]]/Mecze[[#This Row],[CZAS]])</f>
        <v>3.1578947368421054E-2</v>
      </c>
      <c r="O2406" s="32">
        <f>IF(Mecze[[#This Row],[PC]]=0,0,Mecze[[#This Row],[PC]]/Mecze[[#This Row],[CZAS]])</f>
        <v>5.2631578947368418E-2</v>
      </c>
      <c r="P2406" s="32">
        <f>IF(Mecze[[#This Row],[SC]]=0,0,Mecze[[#This Row],[SC]]/Mecze[[#This Row],[CZAS]])</f>
        <v>2.1052631578947368E-2</v>
      </c>
      <c r="Q2406" s="32">
        <f>IF(Mecze[[#This Row],[OB]]=0,0,Mecze[[#This Row],[OB]]/Mecze[[#This Row],[CZAS]])</f>
        <v>0</v>
      </c>
      <c r="R2406" s="32">
        <f>IF(Mecze[[#This Row],[BR]]=0,0,Mecze[[#This Row],[BR]]/Mecze[[#This Row],[CZAS]])</f>
        <v>1.0526315789473684E-2</v>
      </c>
      <c r="S2406" s="44">
        <f>IF(Mecze[[#This Row],[Role]]="BR",SUMPRODUCT(Mecze[[#This Row],[/PR:90]:[/BR:90]],Brudnopis!$E$23:$J$23),0)</f>
        <v>0</v>
      </c>
      <c r="T2406" s="44">
        <f>IF(Mecze[[#This Row],[Role]]&lt;&gt;"BR",SUMPRODUCT(Mecze[[#This Row],[/PR:90]:[/BR:90]],Brudnopis!$E$24:$J$24),0)</f>
        <v>0.1368421052631579</v>
      </c>
      <c r="U2406" s="44">
        <f>IF(Mecze[[#This Row],[Role]]&lt;&gt;"BR",SUMPRODUCT(Mecze[[#This Row],[/PR:90]:[/BR:90]],Brudnopis!$E$25:$J$25),0)</f>
        <v>0.14736842105263157</v>
      </c>
      <c r="V2406" s="44">
        <f>IF(Mecze[[#This Row],[Role]]&lt;&gt;"BR",SUMPRODUCT(Mecze[[#This Row],[/PR:90]:[/BR:90]],Brudnopis!$E$26:$J$26),0)</f>
        <v>0.12631578947368421</v>
      </c>
      <c r="W2406" s="44">
        <f>IF(Mecze[[#This Row],[Role]]&lt;&gt;"BR",SUMPRODUCT(Mecze[[#This Row],[/PR:90]:[/BR:90]],Brudnopis!$E$27:$J$27),0)</f>
        <v>0.14473684210526316</v>
      </c>
      <c r="X2406" s="44">
        <f>IF(Mecze[[#This Row],[Role]]&lt;&gt;"BR",SUMPRODUCT(Mecze[[#This Row],[/PR:90]:[/BR:90]],Brudnopis!$E$28:$J$28),0)</f>
        <v>0.12631578947368421</v>
      </c>
      <c r="Y2406" s="35">
        <f>IF(Mecze[[#This Row],[Role]]="BR",Mecze[[#This Row],[/OB:90]]+Mecze[[#This Row],[/PC:90]],SUM(Mecze[[#This Row],[/PR:90]:[/BR:90]]))</f>
        <v>0.11578947368421053</v>
      </c>
      <c r="Z2406" s="35">
        <f>IF(Mecze[[#This Row],[KC]]=0,SUM(Mecze[[#This Row],[/BRI]:[/NPI]]),SUM(Mecze[[#This Row],[/BRI]:[/NPI]])*0.6)</f>
        <v>0.68157894736842106</v>
      </c>
      <c r="AA2406" s="10">
        <f>IFERROR(Mecze[[#This Row],[BR]]/Mecze[[#This Row],[ST]],0)</f>
        <v>0.5</v>
      </c>
      <c r="AB2406">
        <f>ROUND(Mecze[[#This Row],[PD]]*Mecze[[#This Row],[%PC]],0)</f>
        <v>5</v>
      </c>
      <c r="AC2406">
        <f>ROUND(Mecze[[#This Row],[OD]]*Mecze[[#This Row],[%OU]],0)</f>
        <v>3</v>
      </c>
      <c r="AD2406" s="36" t="s">
        <v>46</v>
      </c>
      <c r="AE2406" s="36">
        <v>134</v>
      </c>
      <c r="AF2406" s="71">
        <v>6.67</v>
      </c>
      <c r="AG2406" s="37">
        <v>0</v>
      </c>
      <c r="AH2406" s="37">
        <v>0</v>
      </c>
      <c r="AI2406" s="37">
        <v>95</v>
      </c>
      <c r="AJ2406" s="37">
        <v>1</v>
      </c>
      <c r="AK2406" s="37" t="str">
        <f>VLOOKUP(Mecze[[#This Row],[Match ID]],Meczusie[Mecz]:Meczusie[RodzajMeczu],2,FALSE)</f>
        <v>Towarzyski</v>
      </c>
    </row>
    <row r="2407" spans="1:37" x14ac:dyDescent="0.25">
      <c r="A2407" s="76">
        <v>61</v>
      </c>
      <c r="B2407" s="3" t="s">
        <v>454</v>
      </c>
      <c r="C2407" s="2" t="s">
        <v>165</v>
      </c>
      <c r="D2407" s="1">
        <v>1</v>
      </c>
      <c r="E2407" s="1">
        <v>5</v>
      </c>
      <c r="F2407" s="1">
        <v>5</v>
      </c>
      <c r="G2407" s="1">
        <v>8</v>
      </c>
      <c r="H2407" s="4">
        <v>0.75</v>
      </c>
      <c r="I2407" s="1">
        <v>5</v>
      </c>
      <c r="J2407" s="4">
        <v>0</v>
      </c>
      <c r="K2407" s="1">
        <v>0</v>
      </c>
      <c r="L2407" s="1">
        <v>0</v>
      </c>
      <c r="M2407" s="32">
        <f>IF(Mecze[[#This Row],[PR]]=0,0,Mecze[[#This Row],[PR]]/Mecze[[#This Row],[CZAS]])</f>
        <v>0</v>
      </c>
      <c r="N2407" s="32">
        <f>IF(Mecze[[#This Row],[OU]]=0,0,Mecze[[#This Row],[OU]]/Mecze[[#This Row],[CZAS]])</f>
        <v>0</v>
      </c>
      <c r="O2407" s="32">
        <f>IF(Mecze[[#This Row],[PC]]=0,0,Mecze[[#This Row],[PC]]/Mecze[[#This Row],[CZAS]])</f>
        <v>6.3157894736842107E-2</v>
      </c>
      <c r="P2407" s="32">
        <f>IF(Mecze[[#This Row],[SC]]=0,0,Mecze[[#This Row],[SC]]/Mecze[[#This Row],[CZAS]])</f>
        <v>5.2631578947368418E-2</v>
      </c>
      <c r="Q2407" s="32">
        <f>IF(Mecze[[#This Row],[OB]]=0,0,Mecze[[#This Row],[OB]]/Mecze[[#This Row],[CZAS]])</f>
        <v>0</v>
      </c>
      <c r="R2407" s="32">
        <f>IF(Mecze[[#This Row],[BR]]=0,0,Mecze[[#This Row],[BR]]/Mecze[[#This Row],[CZAS]])</f>
        <v>1.0526315789473684E-2</v>
      </c>
      <c r="S2407" s="44">
        <f>IF(Mecze[[#This Row],[Role]]="BR",SUMPRODUCT(Mecze[[#This Row],[/PR:90]:[/BR:90]],Brudnopis!$E$23:$J$23),0)</f>
        <v>0</v>
      </c>
      <c r="T2407" s="44">
        <f>IF(Mecze[[#This Row],[Role]]&lt;&gt;"BR",SUMPRODUCT(Mecze[[#This Row],[/PR:90]:[/BR:90]],Brudnopis!$E$24:$J$24),0)</f>
        <v>0.13157894736842105</v>
      </c>
      <c r="U2407" s="44">
        <f>IF(Mecze[[#This Row],[Role]]&lt;&gt;"BR",SUMPRODUCT(Mecze[[#This Row],[/PR:90]:[/BR:90]],Brudnopis!$E$25:$J$25),0)</f>
        <v>0.16315789473684211</v>
      </c>
      <c r="V2407" s="44">
        <f>IF(Mecze[[#This Row],[Role]]&lt;&gt;"BR",SUMPRODUCT(Mecze[[#This Row],[/PR:90]:[/BR:90]],Brudnopis!$E$26:$J$26),0)</f>
        <v>0.1368421052631579</v>
      </c>
      <c r="W2407" s="44">
        <f>IF(Mecze[[#This Row],[Role]]&lt;&gt;"BR",SUMPRODUCT(Mecze[[#This Row],[/PR:90]:[/BR:90]],Brudnopis!$E$27:$J$27),0)</f>
        <v>0.16842105263157897</v>
      </c>
      <c r="X2407" s="44">
        <f>IF(Mecze[[#This Row],[Role]]&lt;&gt;"BR",SUMPRODUCT(Mecze[[#This Row],[/PR:90]:[/BR:90]],Brudnopis!$E$28:$J$28),0)</f>
        <v>0.2</v>
      </c>
      <c r="Y2407" s="35">
        <f>IF(Mecze[[#This Row],[Role]]="BR",Mecze[[#This Row],[/OB:90]]+Mecze[[#This Row],[/PC:90]],SUM(Mecze[[#This Row],[/PR:90]:[/BR:90]]))</f>
        <v>0.12631578947368421</v>
      </c>
      <c r="Z2407" s="35">
        <f>IF(Mecze[[#This Row],[KC]]=0,SUM(Mecze[[#This Row],[/BRI]:[/NPI]]),SUM(Mecze[[#This Row],[/BRI]:[/NPI]])*0.6)</f>
        <v>0.8</v>
      </c>
      <c r="AA2407" s="10">
        <f>IFERROR(Mecze[[#This Row],[BR]]/Mecze[[#This Row],[ST]],0)</f>
        <v>0.2</v>
      </c>
      <c r="AB2407">
        <f>ROUND(Mecze[[#This Row],[PD]]*Mecze[[#This Row],[%PC]],0)</f>
        <v>6</v>
      </c>
      <c r="AC2407">
        <f>ROUND(Mecze[[#This Row],[OD]]*Mecze[[#This Row],[%OU]],0)</f>
        <v>0</v>
      </c>
      <c r="AD2407" s="36" t="s">
        <v>46</v>
      </c>
      <c r="AE2407" s="36">
        <v>134</v>
      </c>
      <c r="AF2407" s="71">
        <v>8.66</v>
      </c>
      <c r="AG2407" s="37">
        <v>0</v>
      </c>
      <c r="AH2407" s="37">
        <v>0</v>
      </c>
      <c r="AI2407" s="37">
        <v>95</v>
      </c>
      <c r="AJ2407" s="37">
        <v>1</v>
      </c>
      <c r="AK2407" s="37" t="str">
        <f>VLOOKUP(Mecze[[#This Row],[Match ID]],Meczusie[Mecz]:Meczusie[RodzajMeczu],2,FALSE)</f>
        <v>Towarzyski</v>
      </c>
    </row>
    <row r="2408" spans="1:37" x14ac:dyDescent="0.25">
      <c r="A2408" s="76">
        <v>46</v>
      </c>
      <c r="B2408" s="3" t="s">
        <v>395</v>
      </c>
      <c r="C2408" s="2" t="s">
        <v>165</v>
      </c>
      <c r="D2408" s="1">
        <v>0</v>
      </c>
      <c r="E2408" s="1">
        <v>3</v>
      </c>
      <c r="F2408" s="1">
        <v>2</v>
      </c>
      <c r="G2408" s="1">
        <v>5</v>
      </c>
      <c r="H2408" s="4">
        <v>0.6</v>
      </c>
      <c r="I2408" s="1">
        <v>4</v>
      </c>
      <c r="J2408" s="4">
        <v>0</v>
      </c>
      <c r="K2408" s="1">
        <v>0</v>
      </c>
      <c r="L2408" s="1">
        <v>0</v>
      </c>
      <c r="M2408" s="32">
        <f>IF(Mecze[[#This Row],[PR]]=0,0,Mecze[[#This Row],[PR]]/Mecze[[#This Row],[CZAS]])</f>
        <v>0</v>
      </c>
      <c r="N2408" s="32">
        <f>IF(Mecze[[#This Row],[OU]]=0,0,Mecze[[#This Row],[OU]]/Mecze[[#This Row],[CZAS]])</f>
        <v>0</v>
      </c>
      <c r="O2408" s="32">
        <f>IF(Mecze[[#This Row],[PC]]=0,0,Mecze[[#This Row],[PC]]/Mecze[[#This Row],[CZAS]])</f>
        <v>3.1578947368421054E-2</v>
      </c>
      <c r="P2408" s="32">
        <f>IF(Mecze[[#This Row],[SC]]=0,0,Mecze[[#This Row],[SC]]/Mecze[[#This Row],[CZAS]])</f>
        <v>2.1052631578947368E-2</v>
      </c>
      <c r="Q2408" s="32">
        <f>IF(Mecze[[#This Row],[OB]]=0,0,Mecze[[#This Row],[OB]]/Mecze[[#This Row],[CZAS]])</f>
        <v>0</v>
      </c>
      <c r="R2408" s="32">
        <f>IF(Mecze[[#This Row],[BR]]=0,0,Mecze[[#This Row],[BR]]/Mecze[[#This Row],[CZAS]])</f>
        <v>0</v>
      </c>
      <c r="S2408" s="44">
        <f>IF(Mecze[[#This Row],[Role]]="BR",SUMPRODUCT(Mecze[[#This Row],[/PR:90]:[/BR:90]],Brudnopis!$E$23:$J$23),0)</f>
        <v>0</v>
      </c>
      <c r="T2408" s="44">
        <f>IF(Mecze[[#This Row],[Role]]&lt;&gt;"BR",SUMPRODUCT(Mecze[[#This Row],[/PR:90]:[/BR:90]],Brudnopis!$E$24:$J$24),0)</f>
        <v>5.2631578947368418E-2</v>
      </c>
      <c r="U2408" s="44">
        <f>IF(Mecze[[#This Row],[Role]]&lt;&gt;"BR",SUMPRODUCT(Mecze[[#This Row],[/PR:90]:[/BR:90]],Brudnopis!$E$25:$J$25),0)</f>
        <v>6.8421052631578952E-2</v>
      </c>
      <c r="V2408" s="44">
        <f>IF(Mecze[[#This Row],[Role]]&lt;&gt;"BR",SUMPRODUCT(Mecze[[#This Row],[/PR:90]:[/BR:90]],Brudnopis!$E$26:$J$26),0)</f>
        <v>5.2631578947368418E-2</v>
      </c>
      <c r="W2408" s="44">
        <f>IF(Mecze[[#This Row],[Role]]&lt;&gt;"BR",SUMPRODUCT(Mecze[[#This Row],[/PR:90]:[/BR:90]],Brudnopis!$E$27:$J$27),0)</f>
        <v>6.8421052631578952E-2</v>
      </c>
      <c r="X2408" s="44">
        <f>IF(Mecze[[#This Row],[Role]]&lt;&gt;"BR",SUMPRODUCT(Mecze[[#This Row],[/PR:90]:[/BR:90]],Brudnopis!$E$28:$J$28),0)</f>
        <v>7.3684210526315796E-2</v>
      </c>
      <c r="Y2408" s="35">
        <f>IF(Mecze[[#This Row],[Role]]="BR",Mecze[[#This Row],[/OB:90]]+Mecze[[#This Row],[/PC:90]],SUM(Mecze[[#This Row],[/PR:90]:[/BR:90]]))</f>
        <v>5.2631578947368418E-2</v>
      </c>
      <c r="Z2408" s="35">
        <f>IF(Mecze[[#This Row],[KC]]=0,SUM(Mecze[[#This Row],[/BRI]:[/NPI]]),SUM(Mecze[[#This Row],[/BRI]:[/NPI]])*0.6)</f>
        <v>0.31578947368421051</v>
      </c>
      <c r="AA2408" s="10">
        <f>IFERROR(Mecze[[#This Row],[BR]]/Mecze[[#This Row],[ST]],0)</f>
        <v>0</v>
      </c>
      <c r="AB2408">
        <f>ROUND(Mecze[[#This Row],[PD]]*Mecze[[#This Row],[%PC]],0)</f>
        <v>3</v>
      </c>
      <c r="AC2408">
        <f>ROUND(Mecze[[#This Row],[OD]]*Mecze[[#This Row],[%OU]],0)</f>
        <v>0</v>
      </c>
      <c r="AD2408" s="36" t="s">
        <v>46</v>
      </c>
      <c r="AE2408" s="36">
        <v>134</v>
      </c>
      <c r="AF2408" s="71">
        <v>5.7</v>
      </c>
      <c r="AG2408" s="37">
        <v>0</v>
      </c>
      <c r="AH2408" s="37">
        <v>0</v>
      </c>
      <c r="AI2408" s="37">
        <v>95</v>
      </c>
      <c r="AJ2408" s="37">
        <v>1</v>
      </c>
      <c r="AK2408" s="37" t="str">
        <f>VLOOKUP(Mecze[[#This Row],[Match ID]],Meczusie[Mecz]:Meczusie[RodzajMeczu],2,FALSE)</f>
        <v>Towarzyski</v>
      </c>
    </row>
    <row r="2409" spans="1:37" x14ac:dyDescent="0.25">
      <c r="A2409" s="76">
        <v>39</v>
      </c>
      <c r="B2409" s="3" t="s">
        <v>450</v>
      </c>
      <c r="C2409" s="2" t="s">
        <v>155</v>
      </c>
      <c r="D2409" s="1">
        <v>0</v>
      </c>
      <c r="E2409" s="1">
        <v>0</v>
      </c>
      <c r="F2409" s="1">
        <v>0</v>
      </c>
      <c r="G2409" s="1">
        <v>6</v>
      </c>
      <c r="H2409" s="4">
        <v>0.17</v>
      </c>
      <c r="I2409" s="1">
        <v>0</v>
      </c>
      <c r="J2409" s="4"/>
      <c r="K2409" s="1">
        <v>8</v>
      </c>
      <c r="L2409" s="1">
        <v>0</v>
      </c>
      <c r="M2409" s="32">
        <f>IF(Mecze[[#This Row],[PR]]=0,0,Mecze[[#This Row],[PR]]/Mecze[[#This Row],[CZAS]])</f>
        <v>0</v>
      </c>
      <c r="N2409" s="32">
        <f>IF(Mecze[[#This Row],[OU]]=0,0,Mecze[[#This Row],[OU]]/Mecze[[#This Row],[CZAS]])</f>
        <v>0</v>
      </c>
      <c r="O2409" s="32">
        <f>IF(Mecze[[#This Row],[PC]]=0,0,Mecze[[#This Row],[PC]]/Mecze[[#This Row],[CZAS]])</f>
        <v>1.0416666666666666E-2</v>
      </c>
      <c r="P2409" s="32">
        <f>IF(Mecze[[#This Row],[SC]]=0,0,Mecze[[#This Row],[SC]]/Mecze[[#This Row],[CZAS]])</f>
        <v>0</v>
      </c>
      <c r="Q2409" s="32">
        <f>IF(Mecze[[#This Row],[OB]]=0,0,Mecze[[#This Row],[OB]]/Mecze[[#This Row],[CZAS]])</f>
        <v>8.3333333333333329E-2</v>
      </c>
      <c r="R2409" s="32">
        <f>IF(Mecze[[#This Row],[BR]]=0,0,Mecze[[#This Row],[BR]]/Mecze[[#This Row],[CZAS]])</f>
        <v>0</v>
      </c>
      <c r="S2409" s="44">
        <f>IF(Mecze[[#This Row],[Role]]="BR",SUMPRODUCT(Mecze[[#This Row],[/PR:90]:[/BR:90]],Brudnopis!$E$23:$J$23),0)</f>
        <v>0.28125</v>
      </c>
      <c r="T2409" s="44">
        <f>IF(Mecze[[#This Row],[Role]]&lt;&gt;"BR",SUMPRODUCT(Mecze[[#This Row],[/PR:90]:[/BR:90]],Brudnopis!$E$24:$J$24),0)</f>
        <v>0</v>
      </c>
      <c r="U2409" s="44">
        <f>IF(Mecze[[#This Row],[Role]]&lt;&gt;"BR",SUMPRODUCT(Mecze[[#This Row],[/PR:90]:[/BR:90]],Brudnopis!$E$25:$J$25),0)</f>
        <v>0</v>
      </c>
      <c r="V2409" s="44">
        <f>IF(Mecze[[#This Row],[Role]]&lt;&gt;"BR",SUMPRODUCT(Mecze[[#This Row],[/PR:90]:[/BR:90]],Brudnopis!$E$26:$J$26),0)</f>
        <v>0</v>
      </c>
      <c r="W2409" s="44">
        <f>IF(Mecze[[#This Row],[Role]]&lt;&gt;"BR",SUMPRODUCT(Mecze[[#This Row],[/PR:90]:[/BR:90]],Brudnopis!$E$27:$J$27),0)</f>
        <v>0</v>
      </c>
      <c r="X2409" s="44">
        <f>IF(Mecze[[#This Row],[Role]]&lt;&gt;"BR",SUMPRODUCT(Mecze[[#This Row],[/PR:90]:[/BR:90]],Brudnopis!$E$28:$J$28),0)</f>
        <v>0</v>
      </c>
      <c r="Y2409" s="35">
        <f>IF(Mecze[[#This Row],[Role]]="BR",Mecze[[#This Row],[/OB:90]]+Mecze[[#This Row],[/PC:90]],SUM(Mecze[[#This Row],[/PR:90]:[/BR:90]]))</f>
        <v>9.375E-2</v>
      </c>
      <c r="Z2409" s="35">
        <f>IF(Mecze[[#This Row],[KC]]=0,SUM(Mecze[[#This Row],[/BRI]:[/NPI]]),SUM(Mecze[[#This Row],[/BRI]:[/NPI]])*0.6)</f>
        <v>0.28125</v>
      </c>
      <c r="AA2409" s="10">
        <f>IFERROR(Mecze[[#This Row],[BR]]/Mecze[[#This Row],[ST]],0)</f>
        <v>0</v>
      </c>
      <c r="AB2409">
        <f>ROUND(Mecze[[#This Row],[PD]]*Mecze[[#This Row],[%PC]],0)</f>
        <v>1</v>
      </c>
      <c r="AC2409">
        <f>ROUND(Mecze[[#This Row],[OD]]*Mecze[[#This Row],[%OU]],0)</f>
        <v>0</v>
      </c>
      <c r="AD2409" s="36" t="s">
        <v>40</v>
      </c>
      <c r="AE2409" s="36">
        <v>135</v>
      </c>
      <c r="AF2409" s="71">
        <v>6.72</v>
      </c>
      <c r="AG2409" s="37">
        <v>0</v>
      </c>
      <c r="AH2409" s="37">
        <v>0</v>
      </c>
      <c r="AI2409" s="37">
        <v>96</v>
      </c>
      <c r="AJ2409" s="37">
        <v>1</v>
      </c>
      <c r="AK2409" s="37" t="str">
        <f>VLOOKUP(Mecze[[#This Row],[Match ID]],Meczusie[Mecz]:Meczusie[RodzajMeczu],2,FALSE)</f>
        <v>Towarzyski</v>
      </c>
    </row>
    <row r="2410" spans="1:37" x14ac:dyDescent="0.25">
      <c r="A2410" s="76">
        <v>38</v>
      </c>
      <c r="B2410" s="3" t="s">
        <v>359</v>
      </c>
      <c r="C2410" s="2" t="s">
        <v>157</v>
      </c>
      <c r="D2410" s="1">
        <v>0</v>
      </c>
      <c r="E2410" s="1">
        <v>0</v>
      </c>
      <c r="F2410" s="1">
        <v>0</v>
      </c>
      <c r="G2410" s="1">
        <v>9</v>
      </c>
      <c r="H2410" s="4">
        <v>0.67</v>
      </c>
      <c r="I2410" s="1">
        <v>7</v>
      </c>
      <c r="J2410" s="4">
        <v>0.28999999999999998</v>
      </c>
      <c r="K2410" s="1">
        <v>0</v>
      </c>
      <c r="L2410" s="1">
        <v>6</v>
      </c>
      <c r="M2410" s="32">
        <f>IF(Mecze[[#This Row],[PR]]=0,0,Mecze[[#This Row],[PR]]/Mecze[[#This Row],[CZAS]])</f>
        <v>6.25E-2</v>
      </c>
      <c r="N2410" s="32">
        <f>IF(Mecze[[#This Row],[OU]]=0,0,Mecze[[#This Row],[OU]]/Mecze[[#This Row],[CZAS]])</f>
        <v>2.0833333333333332E-2</v>
      </c>
      <c r="O2410" s="32">
        <f>IF(Mecze[[#This Row],[PC]]=0,0,Mecze[[#This Row],[PC]]/Mecze[[#This Row],[CZAS]])</f>
        <v>6.25E-2</v>
      </c>
      <c r="P2410" s="32">
        <f>IF(Mecze[[#This Row],[SC]]=0,0,Mecze[[#This Row],[SC]]/Mecze[[#This Row],[CZAS]])</f>
        <v>0</v>
      </c>
      <c r="Q2410" s="32">
        <f>IF(Mecze[[#This Row],[OB]]=0,0,Mecze[[#This Row],[OB]]/Mecze[[#This Row],[CZAS]])</f>
        <v>0</v>
      </c>
      <c r="R2410" s="32">
        <f>IF(Mecze[[#This Row],[BR]]=0,0,Mecze[[#This Row],[BR]]/Mecze[[#This Row],[CZAS]])</f>
        <v>0</v>
      </c>
      <c r="S2410" s="44">
        <f>IF(Mecze[[#This Row],[Role]]="BR",SUMPRODUCT(Mecze[[#This Row],[/PR:90]:[/BR:90]],Brudnopis!$E$23:$J$23),0)</f>
        <v>0</v>
      </c>
      <c r="T2410" s="44">
        <f>IF(Mecze[[#This Row],[Role]]&lt;&gt;"BR",SUMPRODUCT(Mecze[[#This Row],[/PR:90]:[/BR:90]],Brudnopis!$E$24:$J$24),0)</f>
        <v>0.15625</v>
      </c>
      <c r="U2410" s="44">
        <f>IF(Mecze[[#This Row],[Role]]&lt;&gt;"BR",SUMPRODUCT(Mecze[[#This Row],[/PR:90]:[/BR:90]],Brudnopis!$E$25:$J$25),0)</f>
        <v>0.17708333333333331</v>
      </c>
      <c r="V2410" s="44">
        <f>IF(Mecze[[#This Row],[Role]]&lt;&gt;"BR",SUMPRODUCT(Mecze[[#This Row],[/PR:90]:[/BR:90]],Brudnopis!$E$26:$J$26),0)</f>
        <v>0.14583333333333331</v>
      </c>
      <c r="W2410" s="44">
        <f>IF(Mecze[[#This Row],[Role]]&lt;&gt;"BR",SUMPRODUCT(Mecze[[#This Row],[/PR:90]:[/BR:90]],Brudnopis!$E$27:$J$27),0)</f>
        <v>0.15625</v>
      </c>
      <c r="X2410" s="44">
        <f>IF(Mecze[[#This Row],[Role]]&lt;&gt;"BR",SUMPRODUCT(Mecze[[#This Row],[/PR:90]:[/BR:90]],Brudnopis!$E$28:$J$28),0)</f>
        <v>6.25E-2</v>
      </c>
      <c r="Y2410" s="35">
        <f>IF(Mecze[[#This Row],[Role]]="BR",Mecze[[#This Row],[/OB:90]]+Mecze[[#This Row],[/PC:90]],SUM(Mecze[[#This Row],[/PR:90]:[/BR:90]]))</f>
        <v>0.14583333333333331</v>
      </c>
      <c r="Z2410" s="35">
        <f>IF(Mecze[[#This Row],[KC]]=0,SUM(Mecze[[#This Row],[/BRI]:[/NPI]]),SUM(Mecze[[#This Row],[/BRI]:[/NPI]])*0.6)</f>
        <v>0.69791666666666663</v>
      </c>
      <c r="AA2410" s="10">
        <f>IFERROR(Mecze[[#This Row],[BR]]/Mecze[[#This Row],[ST]],0)</f>
        <v>0</v>
      </c>
      <c r="AB2410">
        <f>ROUND(Mecze[[#This Row],[PD]]*Mecze[[#This Row],[%PC]],0)</f>
        <v>6</v>
      </c>
      <c r="AC2410">
        <f>ROUND(Mecze[[#This Row],[OD]]*Mecze[[#This Row],[%OU]],0)</f>
        <v>2</v>
      </c>
      <c r="AD2410" s="36" t="s">
        <v>47</v>
      </c>
      <c r="AE2410" s="36">
        <v>135</v>
      </c>
      <c r="AF2410" s="71">
        <v>5.18</v>
      </c>
      <c r="AG2410" s="37">
        <v>0</v>
      </c>
      <c r="AH2410" s="37">
        <v>0</v>
      </c>
      <c r="AI2410" s="37">
        <v>96</v>
      </c>
      <c r="AJ2410" s="37">
        <v>1</v>
      </c>
      <c r="AK2410" s="37" t="str">
        <f>VLOOKUP(Mecze[[#This Row],[Match ID]],Meczusie[Mecz]:Meczusie[RodzajMeczu],2,FALSE)</f>
        <v>Towarzyski</v>
      </c>
    </row>
    <row r="2411" spans="1:37" x14ac:dyDescent="0.25">
      <c r="A2411" s="76">
        <v>17</v>
      </c>
      <c r="B2411" s="3" t="s">
        <v>413</v>
      </c>
      <c r="C2411" s="2" t="s">
        <v>157</v>
      </c>
      <c r="D2411" s="1">
        <v>0</v>
      </c>
      <c r="E2411" s="1">
        <v>0</v>
      </c>
      <c r="F2411" s="1">
        <v>0</v>
      </c>
      <c r="G2411" s="1">
        <v>8</v>
      </c>
      <c r="H2411" s="4">
        <v>0.5</v>
      </c>
      <c r="I2411" s="1">
        <v>6</v>
      </c>
      <c r="J2411" s="4">
        <v>0.33</v>
      </c>
      <c r="K2411" s="1">
        <v>0</v>
      </c>
      <c r="L2411" s="1">
        <v>6</v>
      </c>
      <c r="M2411" s="32">
        <f>IF(Mecze[[#This Row],[PR]]=0,0,Mecze[[#This Row],[PR]]/Mecze[[#This Row],[CZAS]])</f>
        <v>6.25E-2</v>
      </c>
      <c r="N2411" s="32">
        <f>IF(Mecze[[#This Row],[OU]]=0,0,Mecze[[#This Row],[OU]]/Mecze[[#This Row],[CZAS]])</f>
        <v>2.0833333333333332E-2</v>
      </c>
      <c r="O2411" s="32">
        <f>IF(Mecze[[#This Row],[PC]]=0,0,Mecze[[#This Row],[PC]]/Mecze[[#This Row],[CZAS]])</f>
        <v>4.1666666666666664E-2</v>
      </c>
      <c r="P2411" s="32">
        <f>IF(Mecze[[#This Row],[SC]]=0,0,Mecze[[#This Row],[SC]]/Mecze[[#This Row],[CZAS]])</f>
        <v>0</v>
      </c>
      <c r="Q2411" s="32">
        <f>IF(Mecze[[#This Row],[OB]]=0,0,Mecze[[#This Row],[OB]]/Mecze[[#This Row],[CZAS]])</f>
        <v>0</v>
      </c>
      <c r="R2411" s="32">
        <f>IF(Mecze[[#This Row],[BR]]=0,0,Mecze[[#This Row],[BR]]/Mecze[[#This Row],[CZAS]])</f>
        <v>0</v>
      </c>
      <c r="S2411" s="44">
        <f>IF(Mecze[[#This Row],[Role]]="BR",SUMPRODUCT(Mecze[[#This Row],[/PR:90]:[/BR:90]],Brudnopis!$E$23:$J$23),0)</f>
        <v>0</v>
      </c>
      <c r="T2411" s="44">
        <f>IF(Mecze[[#This Row],[Role]]&lt;&gt;"BR",SUMPRODUCT(Mecze[[#This Row],[/PR:90]:[/BR:90]],Brudnopis!$E$24:$J$24),0)</f>
        <v>0.13541666666666666</v>
      </c>
      <c r="U2411" s="44">
        <f>IF(Mecze[[#This Row],[Role]]&lt;&gt;"BR",SUMPRODUCT(Mecze[[#This Row],[/PR:90]:[/BR:90]],Brudnopis!$E$25:$J$25),0)</f>
        <v>0.14583333333333331</v>
      </c>
      <c r="V2411" s="44">
        <f>IF(Mecze[[#This Row],[Role]]&lt;&gt;"BR",SUMPRODUCT(Mecze[[#This Row],[/PR:90]:[/BR:90]],Brudnopis!$E$26:$J$26),0)</f>
        <v>0.125</v>
      </c>
      <c r="W2411" s="44">
        <f>IF(Mecze[[#This Row],[Role]]&lt;&gt;"BR",SUMPRODUCT(Mecze[[#This Row],[/PR:90]:[/BR:90]],Brudnopis!$E$27:$J$27),0)</f>
        <v>0.125</v>
      </c>
      <c r="X2411" s="44">
        <f>IF(Mecze[[#This Row],[Role]]&lt;&gt;"BR",SUMPRODUCT(Mecze[[#This Row],[/PR:90]:[/BR:90]],Brudnopis!$E$28:$J$28),0)</f>
        <v>4.1666666666666664E-2</v>
      </c>
      <c r="Y2411" s="35">
        <f>IF(Mecze[[#This Row],[Role]]="BR",Mecze[[#This Row],[/OB:90]]+Mecze[[#This Row],[/PC:90]],SUM(Mecze[[#This Row],[/PR:90]:[/BR:90]]))</f>
        <v>0.125</v>
      </c>
      <c r="Z2411" s="35">
        <f>IF(Mecze[[#This Row],[KC]]=0,SUM(Mecze[[#This Row],[/BRI]:[/NPI]]),SUM(Mecze[[#This Row],[/BRI]:[/NPI]])*0.6)</f>
        <v>0.57291666666666663</v>
      </c>
      <c r="AA2411" s="10">
        <f>IFERROR(Mecze[[#This Row],[BR]]/Mecze[[#This Row],[ST]],0)</f>
        <v>0</v>
      </c>
      <c r="AB2411">
        <f>ROUND(Mecze[[#This Row],[PD]]*Mecze[[#This Row],[%PC]],0)</f>
        <v>4</v>
      </c>
      <c r="AC2411">
        <f>ROUND(Mecze[[#This Row],[OD]]*Mecze[[#This Row],[%OU]],0)</f>
        <v>2</v>
      </c>
      <c r="AD2411" s="36" t="s">
        <v>167</v>
      </c>
      <c r="AE2411" s="36">
        <v>135</v>
      </c>
      <c r="AF2411" s="71">
        <v>4.07</v>
      </c>
      <c r="AG2411" s="37">
        <v>1</v>
      </c>
      <c r="AH2411" s="37">
        <v>0</v>
      </c>
      <c r="AI2411" s="37">
        <v>96</v>
      </c>
      <c r="AJ2411" s="37">
        <v>1</v>
      </c>
      <c r="AK2411" s="37" t="str">
        <f>VLOOKUP(Mecze[[#This Row],[Match ID]],Meczusie[Mecz]:Meczusie[RodzajMeczu],2,FALSE)</f>
        <v>Towarzyski</v>
      </c>
    </row>
    <row r="2412" spans="1:37" x14ac:dyDescent="0.25">
      <c r="A2412" s="76">
        <v>50</v>
      </c>
      <c r="B2412" s="3" t="s">
        <v>496</v>
      </c>
      <c r="C2412" s="2" t="s">
        <v>157</v>
      </c>
      <c r="D2412" s="1">
        <v>0</v>
      </c>
      <c r="E2412" s="1">
        <v>0</v>
      </c>
      <c r="F2412" s="1">
        <v>0</v>
      </c>
      <c r="G2412" s="1">
        <v>9</v>
      </c>
      <c r="H2412" s="4">
        <v>0.33</v>
      </c>
      <c r="I2412" s="1">
        <v>7</v>
      </c>
      <c r="J2412" s="4">
        <v>0.43</v>
      </c>
      <c r="K2412" s="1">
        <v>0</v>
      </c>
      <c r="L2412" s="1">
        <v>6</v>
      </c>
      <c r="M2412" s="32">
        <f>IF(Mecze[[#This Row],[PR]]=0,0,Mecze[[#This Row],[PR]]/Mecze[[#This Row],[CZAS]])</f>
        <v>6.25E-2</v>
      </c>
      <c r="N2412" s="32">
        <f>IF(Mecze[[#This Row],[OU]]=0,0,Mecze[[#This Row],[OU]]/Mecze[[#This Row],[CZAS]])</f>
        <v>3.125E-2</v>
      </c>
      <c r="O2412" s="32">
        <f>IF(Mecze[[#This Row],[PC]]=0,0,Mecze[[#This Row],[PC]]/Mecze[[#This Row],[CZAS]])</f>
        <v>3.125E-2</v>
      </c>
      <c r="P2412" s="32">
        <f>IF(Mecze[[#This Row],[SC]]=0,0,Mecze[[#This Row],[SC]]/Mecze[[#This Row],[CZAS]])</f>
        <v>0</v>
      </c>
      <c r="Q2412" s="32">
        <f>IF(Mecze[[#This Row],[OB]]=0,0,Mecze[[#This Row],[OB]]/Mecze[[#This Row],[CZAS]])</f>
        <v>0</v>
      </c>
      <c r="R2412" s="32">
        <f>IF(Mecze[[#This Row],[BR]]=0,0,Mecze[[#This Row],[BR]]/Mecze[[#This Row],[CZAS]])</f>
        <v>0</v>
      </c>
      <c r="S2412" s="44">
        <f>IF(Mecze[[#This Row],[Role]]="BR",SUMPRODUCT(Mecze[[#This Row],[/PR:90]:[/BR:90]],Brudnopis!$E$23:$J$23),0)</f>
        <v>0</v>
      </c>
      <c r="T2412" s="44">
        <f>IF(Mecze[[#This Row],[Role]]&lt;&gt;"BR",SUMPRODUCT(Mecze[[#This Row],[/PR:90]:[/BR:90]],Brudnopis!$E$24:$J$24),0)</f>
        <v>0.140625</v>
      </c>
      <c r="U2412" s="44">
        <f>IF(Mecze[[#This Row],[Role]]&lt;&gt;"BR",SUMPRODUCT(Mecze[[#This Row],[/PR:90]:[/BR:90]],Brudnopis!$E$25:$J$25),0)</f>
        <v>0.140625</v>
      </c>
      <c r="V2412" s="44">
        <f>IF(Mecze[[#This Row],[Role]]&lt;&gt;"BR",SUMPRODUCT(Mecze[[#This Row],[/PR:90]:[/BR:90]],Brudnopis!$E$26:$J$26),0)</f>
        <v>0.125</v>
      </c>
      <c r="W2412" s="44">
        <f>IF(Mecze[[#This Row],[Role]]&lt;&gt;"BR",SUMPRODUCT(Mecze[[#This Row],[/PR:90]:[/BR:90]],Brudnopis!$E$27:$J$27),0)</f>
        <v>0.1171875</v>
      </c>
      <c r="X2412" s="44">
        <f>IF(Mecze[[#This Row],[Role]]&lt;&gt;"BR",SUMPRODUCT(Mecze[[#This Row],[/PR:90]:[/BR:90]],Brudnopis!$E$28:$J$28),0)</f>
        <v>3.125E-2</v>
      </c>
      <c r="Y2412" s="35">
        <f>IF(Mecze[[#This Row],[Role]]="BR",Mecze[[#This Row],[/OB:90]]+Mecze[[#This Row],[/PC:90]],SUM(Mecze[[#This Row],[/PR:90]:[/BR:90]]))</f>
        <v>0.125</v>
      </c>
      <c r="Z2412" s="35">
        <f>IF(Mecze[[#This Row],[KC]]=0,SUM(Mecze[[#This Row],[/BRI]:[/NPI]]),SUM(Mecze[[#This Row],[/BRI]:[/NPI]])*0.6)</f>
        <v>0.5546875</v>
      </c>
      <c r="AA2412" s="10">
        <f>IFERROR(Mecze[[#This Row],[BR]]/Mecze[[#This Row],[ST]],0)</f>
        <v>0</v>
      </c>
      <c r="AB2412">
        <f>ROUND(Mecze[[#This Row],[PD]]*Mecze[[#This Row],[%PC]],0)</f>
        <v>3</v>
      </c>
      <c r="AC2412">
        <f>ROUND(Mecze[[#This Row],[OD]]*Mecze[[#This Row],[%OU]],0)</f>
        <v>3</v>
      </c>
      <c r="AD2412" s="36" t="s">
        <v>168</v>
      </c>
      <c r="AE2412" s="36">
        <v>135</v>
      </c>
      <c r="AF2412" s="71">
        <v>5.18</v>
      </c>
      <c r="AG2412" s="37">
        <v>0</v>
      </c>
      <c r="AH2412" s="37">
        <v>0</v>
      </c>
      <c r="AI2412" s="37">
        <v>96</v>
      </c>
      <c r="AJ2412" s="37">
        <v>1</v>
      </c>
      <c r="AK2412" s="37" t="str">
        <f>VLOOKUP(Mecze[[#This Row],[Match ID]],Meczusie[Mecz]:Meczusie[RodzajMeczu],2,FALSE)</f>
        <v>Towarzyski</v>
      </c>
    </row>
    <row r="2413" spans="1:37" x14ac:dyDescent="0.25">
      <c r="A2413" s="76">
        <v>52</v>
      </c>
      <c r="B2413" s="3" t="s">
        <v>408</v>
      </c>
      <c r="C2413" s="2" t="s">
        <v>160</v>
      </c>
      <c r="D2413" s="1">
        <v>0</v>
      </c>
      <c r="E2413" s="1">
        <v>0</v>
      </c>
      <c r="F2413" s="1">
        <v>0</v>
      </c>
      <c r="G2413" s="1">
        <v>16</v>
      </c>
      <c r="H2413" s="4">
        <v>0.25</v>
      </c>
      <c r="I2413" s="1">
        <v>4</v>
      </c>
      <c r="J2413" s="4">
        <v>0.5</v>
      </c>
      <c r="K2413" s="1">
        <v>0</v>
      </c>
      <c r="L2413" s="1">
        <v>11</v>
      </c>
      <c r="M2413" s="32">
        <f>IF(Mecze[[#This Row],[PR]]=0,0,Mecze[[#This Row],[PR]]/Mecze[[#This Row],[CZAS]])</f>
        <v>0.11458333333333333</v>
      </c>
      <c r="N2413" s="32">
        <f>IF(Mecze[[#This Row],[OU]]=0,0,Mecze[[#This Row],[OU]]/Mecze[[#This Row],[CZAS]])</f>
        <v>2.0833333333333332E-2</v>
      </c>
      <c r="O2413" s="32">
        <f>IF(Mecze[[#This Row],[PC]]=0,0,Mecze[[#This Row],[PC]]/Mecze[[#This Row],[CZAS]])</f>
        <v>4.1666666666666664E-2</v>
      </c>
      <c r="P2413" s="32">
        <f>IF(Mecze[[#This Row],[SC]]=0,0,Mecze[[#This Row],[SC]]/Mecze[[#This Row],[CZAS]])</f>
        <v>0</v>
      </c>
      <c r="Q2413" s="32">
        <f>IF(Mecze[[#This Row],[OB]]=0,0,Mecze[[#This Row],[OB]]/Mecze[[#This Row],[CZAS]])</f>
        <v>0</v>
      </c>
      <c r="R2413" s="32">
        <f>IF(Mecze[[#This Row],[BR]]=0,0,Mecze[[#This Row],[BR]]/Mecze[[#This Row],[CZAS]])</f>
        <v>0</v>
      </c>
      <c r="S2413" s="44">
        <f>IF(Mecze[[#This Row],[Role]]="BR",SUMPRODUCT(Mecze[[#This Row],[/PR:90]:[/BR:90]],Brudnopis!$E$23:$J$23),0)</f>
        <v>0</v>
      </c>
      <c r="T2413" s="44">
        <f>IF(Mecze[[#This Row],[Role]]&lt;&gt;"BR",SUMPRODUCT(Mecze[[#This Row],[/PR:90]:[/BR:90]],Brudnopis!$E$24:$J$24),0)</f>
        <v>0.18749999999999997</v>
      </c>
      <c r="U2413" s="44">
        <f>IF(Mecze[[#This Row],[Role]]&lt;&gt;"BR",SUMPRODUCT(Mecze[[#This Row],[/PR:90]:[/BR:90]],Brudnopis!$E$25:$J$25),0)</f>
        <v>0.19791666666666666</v>
      </c>
      <c r="V2413" s="44">
        <f>IF(Mecze[[#This Row],[Role]]&lt;&gt;"BR",SUMPRODUCT(Mecze[[#This Row],[/PR:90]:[/BR:90]],Brudnopis!$E$26:$J$26),0)</f>
        <v>0.17708333333333331</v>
      </c>
      <c r="W2413" s="44">
        <f>IF(Mecze[[#This Row],[Role]]&lt;&gt;"BR",SUMPRODUCT(Mecze[[#This Row],[/PR:90]:[/BR:90]],Brudnopis!$E$27:$J$27),0)</f>
        <v>0.1640625</v>
      </c>
      <c r="X2413" s="44">
        <f>IF(Mecze[[#This Row],[Role]]&lt;&gt;"BR",SUMPRODUCT(Mecze[[#This Row],[/PR:90]:[/BR:90]],Brudnopis!$E$28:$J$28),0)</f>
        <v>4.1666666666666664E-2</v>
      </c>
      <c r="Y2413" s="35">
        <f>IF(Mecze[[#This Row],[Role]]="BR",Mecze[[#This Row],[/OB:90]]+Mecze[[#This Row],[/PC:90]],SUM(Mecze[[#This Row],[/PR:90]:[/BR:90]]))</f>
        <v>0.17708333333333331</v>
      </c>
      <c r="Z2413" s="35">
        <f>IF(Mecze[[#This Row],[KC]]=0,SUM(Mecze[[#This Row],[/BRI]:[/NPI]]),SUM(Mecze[[#This Row],[/BRI]:[/NPI]])*0.6)</f>
        <v>0.76822916666666663</v>
      </c>
      <c r="AA2413" s="10">
        <f>IFERROR(Mecze[[#This Row],[BR]]/Mecze[[#This Row],[ST]],0)</f>
        <v>0</v>
      </c>
      <c r="AB2413">
        <f>ROUND(Mecze[[#This Row],[PD]]*Mecze[[#This Row],[%PC]],0)</f>
        <v>4</v>
      </c>
      <c r="AC2413">
        <f>ROUND(Mecze[[#This Row],[OD]]*Mecze[[#This Row],[%OU]],0)</f>
        <v>2</v>
      </c>
      <c r="AD2413" s="36" t="s">
        <v>41</v>
      </c>
      <c r="AE2413" s="36">
        <v>135</v>
      </c>
      <c r="AF2413" s="71">
        <v>6.23</v>
      </c>
      <c r="AG2413" s="37">
        <v>0</v>
      </c>
      <c r="AH2413" s="37">
        <v>0</v>
      </c>
      <c r="AI2413" s="37">
        <v>96</v>
      </c>
      <c r="AJ2413" s="37">
        <v>1</v>
      </c>
      <c r="AK2413" s="37" t="str">
        <f>VLOOKUP(Mecze[[#This Row],[Match ID]],Meczusie[Mecz]:Meczusie[RodzajMeczu],2,FALSE)</f>
        <v>Towarzyski</v>
      </c>
    </row>
    <row r="2414" spans="1:37" x14ac:dyDescent="0.25">
      <c r="A2414" s="76">
        <v>40</v>
      </c>
      <c r="B2414" s="3" t="s">
        <v>453</v>
      </c>
      <c r="C2414" s="2" t="s">
        <v>160</v>
      </c>
      <c r="D2414" s="1">
        <v>0</v>
      </c>
      <c r="E2414" s="1">
        <v>0</v>
      </c>
      <c r="F2414" s="1">
        <v>0</v>
      </c>
      <c r="G2414" s="1">
        <v>17</v>
      </c>
      <c r="H2414" s="4">
        <v>0.28999999999999998</v>
      </c>
      <c r="I2414" s="1">
        <v>13</v>
      </c>
      <c r="J2414" s="4">
        <v>0.31</v>
      </c>
      <c r="K2414" s="1">
        <v>0</v>
      </c>
      <c r="L2414" s="1">
        <v>5</v>
      </c>
      <c r="M2414" s="32">
        <f>IF(Mecze[[#This Row],[PR]]=0,0,Mecze[[#This Row],[PR]]/Mecze[[#This Row],[CZAS]])</f>
        <v>5.2083333333333336E-2</v>
      </c>
      <c r="N2414" s="32">
        <f>IF(Mecze[[#This Row],[OU]]=0,0,Mecze[[#This Row],[OU]]/Mecze[[#This Row],[CZAS]])</f>
        <v>4.1666666666666664E-2</v>
      </c>
      <c r="O2414" s="32">
        <f>IF(Mecze[[#This Row],[PC]]=0,0,Mecze[[#This Row],[PC]]/Mecze[[#This Row],[CZAS]])</f>
        <v>5.2083333333333336E-2</v>
      </c>
      <c r="P2414" s="32">
        <f>IF(Mecze[[#This Row],[SC]]=0,0,Mecze[[#This Row],[SC]]/Mecze[[#This Row],[CZAS]])</f>
        <v>0</v>
      </c>
      <c r="Q2414" s="32">
        <f>IF(Mecze[[#This Row],[OB]]=0,0,Mecze[[#This Row],[OB]]/Mecze[[#This Row],[CZAS]])</f>
        <v>0</v>
      </c>
      <c r="R2414" s="32">
        <f>IF(Mecze[[#This Row],[BR]]=0,0,Mecze[[#This Row],[BR]]/Mecze[[#This Row],[CZAS]])</f>
        <v>0</v>
      </c>
      <c r="S2414" s="44">
        <f>IF(Mecze[[#This Row],[Role]]="BR",SUMPRODUCT(Mecze[[#This Row],[/PR:90]:[/BR:90]],Brudnopis!$E$23:$J$23),0)</f>
        <v>0</v>
      </c>
      <c r="T2414" s="44">
        <f>IF(Mecze[[#This Row],[Role]]&lt;&gt;"BR",SUMPRODUCT(Mecze[[#This Row],[/PR:90]:[/BR:90]],Brudnopis!$E$24:$J$24),0)</f>
        <v>0.16666666666666669</v>
      </c>
      <c r="U2414" s="44">
        <f>IF(Mecze[[#This Row],[Role]]&lt;&gt;"BR",SUMPRODUCT(Mecze[[#This Row],[/PR:90]:[/BR:90]],Brudnopis!$E$25:$J$25),0)</f>
        <v>0.171875</v>
      </c>
      <c r="V2414" s="44">
        <f>IF(Mecze[[#This Row],[Role]]&lt;&gt;"BR",SUMPRODUCT(Mecze[[#This Row],[/PR:90]:[/BR:90]],Brudnopis!$E$26:$J$26),0)</f>
        <v>0.14583333333333334</v>
      </c>
      <c r="W2414" s="44">
        <f>IF(Mecze[[#This Row],[Role]]&lt;&gt;"BR",SUMPRODUCT(Mecze[[#This Row],[/PR:90]:[/BR:90]],Brudnopis!$E$27:$J$27),0)</f>
        <v>0.1484375</v>
      </c>
      <c r="X2414" s="44">
        <f>IF(Mecze[[#This Row],[Role]]&lt;&gt;"BR",SUMPRODUCT(Mecze[[#This Row],[/PR:90]:[/BR:90]],Brudnopis!$E$28:$J$28),0)</f>
        <v>5.2083333333333336E-2</v>
      </c>
      <c r="Y2414" s="35">
        <f>IF(Mecze[[#This Row],[Role]]="BR",Mecze[[#This Row],[/OB:90]]+Mecze[[#This Row],[/PC:90]],SUM(Mecze[[#This Row],[/PR:90]:[/BR:90]]))</f>
        <v>0.14583333333333334</v>
      </c>
      <c r="Z2414" s="35">
        <f>IF(Mecze[[#This Row],[KC]]=0,SUM(Mecze[[#This Row],[/BRI]:[/NPI]]),SUM(Mecze[[#This Row],[/BRI]:[/NPI]])*0.6)</f>
        <v>0.68489583333333337</v>
      </c>
      <c r="AA2414" s="10">
        <f>IFERROR(Mecze[[#This Row],[BR]]/Mecze[[#This Row],[ST]],0)</f>
        <v>0</v>
      </c>
      <c r="AB2414">
        <f>ROUND(Mecze[[#This Row],[PD]]*Mecze[[#This Row],[%PC]],0)</f>
        <v>5</v>
      </c>
      <c r="AC2414">
        <f>ROUND(Mecze[[#This Row],[OD]]*Mecze[[#This Row],[%OU]],0)</f>
        <v>4</v>
      </c>
      <c r="AD2414" s="36" t="s">
        <v>41</v>
      </c>
      <c r="AE2414" s="36">
        <v>135</v>
      </c>
      <c r="AF2414" s="71">
        <v>4.97</v>
      </c>
      <c r="AG2414" s="37">
        <v>0</v>
      </c>
      <c r="AH2414" s="37">
        <v>0</v>
      </c>
      <c r="AI2414" s="37">
        <v>96</v>
      </c>
      <c r="AJ2414" s="37">
        <v>1</v>
      </c>
      <c r="AK2414" s="37" t="str">
        <f>VLOOKUP(Mecze[[#This Row],[Match ID]],Meczusie[Mecz]:Meczusie[RodzajMeczu],2,FALSE)</f>
        <v>Towarzyski</v>
      </c>
    </row>
    <row r="2415" spans="1:37" x14ac:dyDescent="0.25">
      <c r="A2415" s="76">
        <v>45</v>
      </c>
      <c r="B2415" s="3" t="s">
        <v>394</v>
      </c>
      <c r="C2415" s="2" t="s">
        <v>160</v>
      </c>
      <c r="D2415" s="1">
        <v>0</v>
      </c>
      <c r="E2415" s="1">
        <v>1</v>
      </c>
      <c r="F2415" s="1">
        <v>1</v>
      </c>
      <c r="G2415" s="1">
        <v>5</v>
      </c>
      <c r="H2415" s="4">
        <v>0.8</v>
      </c>
      <c r="I2415" s="1">
        <v>4</v>
      </c>
      <c r="J2415" s="4">
        <v>0.25</v>
      </c>
      <c r="K2415" s="1">
        <v>0</v>
      </c>
      <c r="L2415" s="1">
        <v>2</v>
      </c>
      <c r="M2415" s="32">
        <f>IF(Mecze[[#This Row],[PR]]=0,0,Mecze[[#This Row],[PR]]/Mecze[[#This Row],[CZAS]])</f>
        <v>2.0833333333333332E-2</v>
      </c>
      <c r="N2415" s="32">
        <f>IF(Mecze[[#This Row],[OU]]=0,0,Mecze[[#This Row],[OU]]/Mecze[[#This Row],[CZAS]])</f>
        <v>1.0416666666666666E-2</v>
      </c>
      <c r="O2415" s="32">
        <f>IF(Mecze[[#This Row],[PC]]=0,0,Mecze[[#This Row],[PC]]/Mecze[[#This Row],[CZAS]])</f>
        <v>4.1666666666666664E-2</v>
      </c>
      <c r="P2415" s="32">
        <f>IF(Mecze[[#This Row],[SC]]=0,0,Mecze[[#This Row],[SC]]/Mecze[[#This Row],[CZAS]])</f>
        <v>1.0416666666666666E-2</v>
      </c>
      <c r="Q2415" s="32">
        <f>IF(Mecze[[#This Row],[OB]]=0,0,Mecze[[#This Row],[OB]]/Mecze[[#This Row],[CZAS]])</f>
        <v>0</v>
      </c>
      <c r="R2415" s="32">
        <f>IF(Mecze[[#This Row],[BR]]=0,0,Mecze[[#This Row],[BR]]/Mecze[[#This Row],[CZAS]])</f>
        <v>0</v>
      </c>
      <c r="S2415" s="44">
        <f>IF(Mecze[[#This Row],[Role]]="BR",SUMPRODUCT(Mecze[[#This Row],[/PR:90]:[/BR:90]],Brudnopis!$E$23:$J$23),0)</f>
        <v>0</v>
      </c>
      <c r="T2415" s="44">
        <f>IF(Mecze[[#This Row],[Role]]&lt;&gt;"BR",SUMPRODUCT(Mecze[[#This Row],[/PR:90]:[/BR:90]],Brudnopis!$E$24:$J$24),0)</f>
        <v>8.8541666666666671E-2</v>
      </c>
      <c r="U2415" s="44">
        <f>IF(Mecze[[#This Row],[Role]]&lt;&gt;"BR",SUMPRODUCT(Mecze[[#This Row],[/PR:90]:[/BR:90]],Brudnopis!$E$25:$J$25),0)</f>
        <v>0.10416666666666667</v>
      </c>
      <c r="V2415" s="44">
        <f>IF(Mecze[[#This Row],[Role]]&lt;&gt;"BR",SUMPRODUCT(Mecze[[#This Row],[/PR:90]:[/BR:90]],Brudnopis!$E$26:$J$26),0)</f>
        <v>8.3333333333333329E-2</v>
      </c>
      <c r="W2415" s="44">
        <f>IF(Mecze[[#This Row],[Role]]&lt;&gt;"BR",SUMPRODUCT(Mecze[[#This Row],[/PR:90]:[/BR:90]],Brudnopis!$E$27:$J$27),0)</f>
        <v>9.6354166666666671E-2</v>
      </c>
      <c r="X2415" s="44">
        <f>IF(Mecze[[#This Row],[Role]]&lt;&gt;"BR",SUMPRODUCT(Mecze[[#This Row],[/PR:90]:[/BR:90]],Brudnopis!$E$28:$J$28),0)</f>
        <v>6.25E-2</v>
      </c>
      <c r="Y2415" s="35">
        <f>IF(Mecze[[#This Row],[Role]]="BR",Mecze[[#This Row],[/OB:90]]+Mecze[[#This Row],[/PC:90]],SUM(Mecze[[#This Row],[/PR:90]:[/BR:90]]))</f>
        <v>8.3333333333333329E-2</v>
      </c>
      <c r="Z2415" s="35">
        <f>IF(Mecze[[#This Row],[KC]]=0,SUM(Mecze[[#This Row],[/BRI]:[/NPI]]),SUM(Mecze[[#This Row],[/BRI]:[/NPI]])*0.6)</f>
        <v>0.43489583333333337</v>
      </c>
      <c r="AA2415" s="10">
        <f>IFERROR(Mecze[[#This Row],[BR]]/Mecze[[#This Row],[ST]],0)</f>
        <v>0</v>
      </c>
      <c r="AB2415">
        <f>ROUND(Mecze[[#This Row],[PD]]*Mecze[[#This Row],[%PC]],0)</f>
        <v>4</v>
      </c>
      <c r="AC2415">
        <f>ROUND(Mecze[[#This Row],[OD]]*Mecze[[#This Row],[%OU]],0)</f>
        <v>1</v>
      </c>
      <c r="AD2415" s="36" t="s">
        <v>44</v>
      </c>
      <c r="AE2415" s="36">
        <v>135</v>
      </c>
      <c r="AF2415" s="71">
        <v>6.69</v>
      </c>
      <c r="AG2415" s="37">
        <v>0</v>
      </c>
      <c r="AH2415" s="37">
        <v>0</v>
      </c>
      <c r="AI2415" s="37">
        <v>96</v>
      </c>
      <c r="AJ2415" s="37">
        <v>1</v>
      </c>
      <c r="AK2415" s="37" t="str">
        <f>VLOOKUP(Mecze[[#This Row],[Match ID]],Meczusie[Mecz]:Meczusie[RodzajMeczu],2,FALSE)</f>
        <v>Towarzyski</v>
      </c>
    </row>
    <row r="2416" spans="1:37" x14ac:dyDescent="0.25">
      <c r="A2416" s="76">
        <v>25</v>
      </c>
      <c r="B2416" s="3" t="s">
        <v>366</v>
      </c>
      <c r="C2416" s="2" t="s">
        <v>160</v>
      </c>
      <c r="D2416" s="1">
        <v>0</v>
      </c>
      <c r="E2416" s="1">
        <v>1</v>
      </c>
      <c r="F2416" s="1">
        <v>1</v>
      </c>
      <c r="G2416" s="1">
        <v>6</v>
      </c>
      <c r="H2416" s="4">
        <v>0</v>
      </c>
      <c r="I2416" s="1">
        <v>4</v>
      </c>
      <c r="J2416" s="4">
        <v>0.5</v>
      </c>
      <c r="K2416" s="1">
        <v>0</v>
      </c>
      <c r="L2416" s="1">
        <v>4</v>
      </c>
      <c r="M2416" s="32">
        <f>IF(Mecze[[#This Row],[PR]]=0,0,Mecze[[#This Row],[PR]]/Mecze[[#This Row],[CZAS]])</f>
        <v>4.1666666666666664E-2</v>
      </c>
      <c r="N2416" s="32">
        <f>IF(Mecze[[#This Row],[OU]]=0,0,Mecze[[#This Row],[OU]]/Mecze[[#This Row],[CZAS]])</f>
        <v>2.0833333333333332E-2</v>
      </c>
      <c r="O2416" s="32">
        <f>IF(Mecze[[#This Row],[PC]]=0,0,Mecze[[#This Row],[PC]]/Mecze[[#This Row],[CZAS]])</f>
        <v>0</v>
      </c>
      <c r="P2416" s="32">
        <f>IF(Mecze[[#This Row],[SC]]=0,0,Mecze[[#This Row],[SC]]/Mecze[[#This Row],[CZAS]])</f>
        <v>1.0416666666666666E-2</v>
      </c>
      <c r="Q2416" s="32">
        <f>IF(Mecze[[#This Row],[OB]]=0,0,Mecze[[#This Row],[OB]]/Mecze[[#This Row],[CZAS]])</f>
        <v>0</v>
      </c>
      <c r="R2416" s="32">
        <f>IF(Mecze[[#This Row],[BR]]=0,0,Mecze[[#This Row],[BR]]/Mecze[[#This Row],[CZAS]])</f>
        <v>0</v>
      </c>
      <c r="S2416" s="44">
        <f>IF(Mecze[[#This Row],[Role]]="BR",SUMPRODUCT(Mecze[[#This Row],[/PR:90]:[/BR:90]],Brudnopis!$E$23:$J$23),0)</f>
        <v>0</v>
      </c>
      <c r="T2416" s="44">
        <f>IF(Mecze[[#This Row],[Role]]&lt;&gt;"BR",SUMPRODUCT(Mecze[[#This Row],[/PR:90]:[/BR:90]],Brudnopis!$E$24:$J$24),0)</f>
        <v>8.3333333333333329E-2</v>
      </c>
      <c r="U2416" s="44">
        <f>IF(Mecze[[#This Row],[Role]]&lt;&gt;"BR",SUMPRODUCT(Mecze[[#This Row],[/PR:90]:[/BR:90]],Brudnopis!$E$25:$J$25),0)</f>
        <v>7.2916666666666671E-2</v>
      </c>
      <c r="V2416" s="44">
        <f>IF(Mecze[[#This Row],[Role]]&lt;&gt;"BR",SUMPRODUCT(Mecze[[#This Row],[/PR:90]:[/BR:90]],Brudnopis!$E$26:$J$26),0)</f>
        <v>7.2916666666666671E-2</v>
      </c>
      <c r="W2416" s="44">
        <f>IF(Mecze[[#This Row],[Role]]&lt;&gt;"BR",SUMPRODUCT(Mecze[[#This Row],[/PR:90]:[/BR:90]],Brudnopis!$E$27:$J$27),0)</f>
        <v>5.7291666666666664E-2</v>
      </c>
      <c r="X2416" s="44">
        <f>IF(Mecze[[#This Row],[Role]]&lt;&gt;"BR",SUMPRODUCT(Mecze[[#This Row],[/PR:90]:[/BR:90]],Brudnopis!$E$28:$J$28),0)</f>
        <v>2.0833333333333332E-2</v>
      </c>
      <c r="Y2416" s="35">
        <f>IF(Mecze[[#This Row],[Role]]="BR",Mecze[[#This Row],[/OB:90]]+Mecze[[#This Row],[/PC:90]],SUM(Mecze[[#This Row],[/PR:90]:[/BR:90]]))</f>
        <v>7.2916666666666671E-2</v>
      </c>
      <c r="Z2416" s="35">
        <f>IF(Mecze[[#This Row],[KC]]=0,SUM(Mecze[[#This Row],[/BRI]:[/NPI]]),SUM(Mecze[[#This Row],[/BRI]:[/NPI]])*0.6)</f>
        <v>0.30729166666666669</v>
      </c>
      <c r="AA2416" s="10">
        <f>IFERROR(Mecze[[#This Row],[BR]]/Mecze[[#This Row],[ST]],0)</f>
        <v>0</v>
      </c>
      <c r="AB2416">
        <f>ROUND(Mecze[[#This Row],[PD]]*Mecze[[#This Row],[%PC]],0)</f>
        <v>0</v>
      </c>
      <c r="AC2416">
        <f>ROUND(Mecze[[#This Row],[OD]]*Mecze[[#This Row],[%OU]],0)</f>
        <v>2</v>
      </c>
      <c r="AD2416" s="36" t="s">
        <v>44</v>
      </c>
      <c r="AE2416" s="36">
        <v>135</v>
      </c>
      <c r="AF2416" s="71">
        <v>3.88</v>
      </c>
      <c r="AG2416" s="37">
        <v>1</v>
      </c>
      <c r="AH2416" s="37">
        <v>0</v>
      </c>
      <c r="AI2416" s="37">
        <v>96</v>
      </c>
      <c r="AJ2416" s="37">
        <v>1</v>
      </c>
      <c r="AK2416" s="37" t="str">
        <f>VLOOKUP(Mecze[[#This Row],[Match ID]],Meczusie[Mecz]:Meczusie[RodzajMeczu],2,FALSE)</f>
        <v>Towarzyski</v>
      </c>
    </row>
    <row r="2417" spans="1:37" x14ac:dyDescent="0.25">
      <c r="A2417" s="76">
        <v>31</v>
      </c>
      <c r="B2417" s="3" t="s">
        <v>365</v>
      </c>
      <c r="C2417" s="2" t="s">
        <v>165</v>
      </c>
      <c r="D2417" s="1">
        <v>2</v>
      </c>
      <c r="E2417" s="1">
        <v>3</v>
      </c>
      <c r="F2417" s="1">
        <v>2</v>
      </c>
      <c r="G2417" s="1">
        <v>10</v>
      </c>
      <c r="H2417" s="4">
        <v>0.5</v>
      </c>
      <c r="I2417" s="1">
        <v>6</v>
      </c>
      <c r="J2417" s="4">
        <v>0.33</v>
      </c>
      <c r="K2417" s="1">
        <v>0</v>
      </c>
      <c r="L2417" s="1">
        <v>1</v>
      </c>
      <c r="M2417" s="32">
        <f>IF(Mecze[[#This Row],[PR]]=0,0,Mecze[[#This Row],[PR]]/Mecze[[#This Row],[CZAS]])</f>
        <v>1.0416666666666666E-2</v>
      </c>
      <c r="N2417" s="32">
        <f>IF(Mecze[[#This Row],[OU]]=0,0,Mecze[[#This Row],[OU]]/Mecze[[#This Row],[CZAS]])</f>
        <v>2.0833333333333332E-2</v>
      </c>
      <c r="O2417" s="32">
        <f>IF(Mecze[[#This Row],[PC]]=0,0,Mecze[[#This Row],[PC]]/Mecze[[#This Row],[CZAS]])</f>
        <v>5.2083333333333336E-2</v>
      </c>
      <c r="P2417" s="32">
        <f>IF(Mecze[[#This Row],[SC]]=0,0,Mecze[[#This Row],[SC]]/Mecze[[#This Row],[CZAS]])</f>
        <v>2.0833333333333332E-2</v>
      </c>
      <c r="Q2417" s="32">
        <f>IF(Mecze[[#This Row],[OB]]=0,0,Mecze[[#This Row],[OB]]/Mecze[[#This Row],[CZAS]])</f>
        <v>0</v>
      </c>
      <c r="R2417" s="32">
        <f>IF(Mecze[[#This Row],[BR]]=0,0,Mecze[[#This Row],[BR]]/Mecze[[#This Row],[CZAS]])</f>
        <v>2.0833333333333332E-2</v>
      </c>
      <c r="S2417" s="44">
        <f>IF(Mecze[[#This Row],[Role]]="BR",SUMPRODUCT(Mecze[[#This Row],[/PR:90]:[/BR:90]],Brudnopis!$E$23:$J$23),0)</f>
        <v>0</v>
      </c>
      <c r="T2417" s="44">
        <f>IF(Mecze[[#This Row],[Role]]&lt;&gt;"BR",SUMPRODUCT(Mecze[[#This Row],[/PR:90]:[/BR:90]],Brudnopis!$E$24:$J$24),0)</f>
        <v>0.14583333333333331</v>
      </c>
      <c r="U2417" s="44">
        <f>IF(Mecze[[#This Row],[Role]]&lt;&gt;"BR",SUMPRODUCT(Mecze[[#This Row],[/PR:90]:[/BR:90]],Brudnopis!$E$25:$J$25),0)</f>
        <v>0.16145833333333334</v>
      </c>
      <c r="V2417" s="44">
        <f>IF(Mecze[[#This Row],[Role]]&lt;&gt;"BR",SUMPRODUCT(Mecze[[#This Row],[/PR:90]:[/BR:90]],Brudnopis!$E$26:$J$26),0)</f>
        <v>0.14583333333333334</v>
      </c>
      <c r="W2417" s="44">
        <f>IF(Mecze[[#This Row],[Role]]&lt;&gt;"BR",SUMPRODUCT(Mecze[[#This Row],[/PR:90]:[/BR:90]],Brudnopis!$E$27:$J$27),0)</f>
        <v>0.1640625</v>
      </c>
      <c r="X2417" s="44">
        <f>IF(Mecze[[#This Row],[Role]]&lt;&gt;"BR",SUMPRODUCT(Mecze[[#This Row],[/PR:90]:[/BR:90]],Brudnopis!$E$28:$J$28),0)</f>
        <v>0.15625</v>
      </c>
      <c r="Y2417" s="35">
        <f>IF(Mecze[[#This Row],[Role]]="BR",Mecze[[#This Row],[/OB:90]]+Mecze[[#This Row],[/PC:90]],SUM(Mecze[[#This Row],[/PR:90]:[/BR:90]]))</f>
        <v>0.125</v>
      </c>
      <c r="Z2417" s="35">
        <f>IF(Mecze[[#This Row],[KC]]=0,SUM(Mecze[[#This Row],[/BRI]:[/NPI]]),SUM(Mecze[[#This Row],[/BRI]:[/NPI]])*0.6)</f>
        <v>0.7734375</v>
      </c>
      <c r="AA2417" s="10">
        <f>IFERROR(Mecze[[#This Row],[BR]]/Mecze[[#This Row],[ST]],0)</f>
        <v>0.66666666666666663</v>
      </c>
      <c r="AB2417">
        <f>ROUND(Mecze[[#This Row],[PD]]*Mecze[[#This Row],[%PC]],0)</f>
        <v>5</v>
      </c>
      <c r="AC2417">
        <f>ROUND(Mecze[[#This Row],[OD]]*Mecze[[#This Row],[%OU]],0)</f>
        <v>2</v>
      </c>
      <c r="AD2417" s="36" t="s">
        <v>46</v>
      </c>
      <c r="AE2417" s="36">
        <v>135</v>
      </c>
      <c r="AF2417" s="71">
        <v>10.3</v>
      </c>
      <c r="AG2417" s="37">
        <v>0</v>
      </c>
      <c r="AH2417" s="37">
        <v>0</v>
      </c>
      <c r="AI2417" s="37">
        <v>96</v>
      </c>
      <c r="AJ2417" s="37">
        <v>1</v>
      </c>
      <c r="AK2417" s="37" t="str">
        <f>VLOOKUP(Mecze[[#This Row],[Match ID]],Meczusie[Mecz]:Meczusie[RodzajMeczu],2,FALSE)</f>
        <v>Towarzyski</v>
      </c>
    </row>
    <row r="2418" spans="1:37" x14ac:dyDescent="0.25">
      <c r="A2418" s="76">
        <v>46</v>
      </c>
      <c r="B2418" s="3" t="s">
        <v>395</v>
      </c>
      <c r="C2418" s="2" t="s">
        <v>165</v>
      </c>
      <c r="D2418" s="1">
        <v>0</v>
      </c>
      <c r="E2418" s="1">
        <v>1</v>
      </c>
      <c r="F2418" s="1">
        <v>1</v>
      </c>
      <c r="G2418" s="1">
        <v>1</v>
      </c>
      <c r="H2418" s="4">
        <v>0</v>
      </c>
      <c r="I2418" s="1">
        <v>6</v>
      </c>
      <c r="J2418" s="4">
        <v>0.17</v>
      </c>
      <c r="K2418" s="1">
        <v>0</v>
      </c>
      <c r="L2418" s="1">
        <v>0</v>
      </c>
      <c r="M2418" s="32">
        <f>IF(Mecze[[#This Row],[PR]]=0,0,Mecze[[#This Row],[PR]]/Mecze[[#This Row],[CZAS]])</f>
        <v>0</v>
      </c>
      <c r="N2418" s="32">
        <f>IF(Mecze[[#This Row],[OU]]=0,0,Mecze[[#This Row],[OU]]/Mecze[[#This Row],[CZAS]])</f>
        <v>1.0416666666666666E-2</v>
      </c>
      <c r="O2418" s="32">
        <f>IF(Mecze[[#This Row],[PC]]=0,0,Mecze[[#This Row],[PC]]/Mecze[[#This Row],[CZAS]])</f>
        <v>0</v>
      </c>
      <c r="P2418" s="32">
        <f>IF(Mecze[[#This Row],[SC]]=0,0,Mecze[[#This Row],[SC]]/Mecze[[#This Row],[CZAS]])</f>
        <v>1.0416666666666666E-2</v>
      </c>
      <c r="Q2418" s="32">
        <f>IF(Mecze[[#This Row],[OB]]=0,0,Mecze[[#This Row],[OB]]/Mecze[[#This Row],[CZAS]])</f>
        <v>0</v>
      </c>
      <c r="R2418" s="32">
        <f>IF(Mecze[[#This Row],[BR]]=0,0,Mecze[[#This Row],[BR]]/Mecze[[#This Row],[CZAS]])</f>
        <v>0</v>
      </c>
      <c r="S2418" s="44">
        <f>IF(Mecze[[#This Row],[Role]]="BR",SUMPRODUCT(Mecze[[#This Row],[/PR:90]:[/BR:90]],Brudnopis!$E$23:$J$23),0)</f>
        <v>0</v>
      </c>
      <c r="T2418" s="44">
        <f>IF(Mecze[[#This Row],[Role]]&lt;&gt;"BR",SUMPRODUCT(Mecze[[#This Row],[/PR:90]:[/BR:90]],Brudnopis!$E$24:$J$24),0)</f>
        <v>2.6041666666666664E-2</v>
      </c>
      <c r="U2418" s="44">
        <f>IF(Mecze[[#This Row],[Role]]&lt;&gt;"BR",SUMPRODUCT(Mecze[[#This Row],[/PR:90]:[/BR:90]],Brudnopis!$E$25:$J$25),0)</f>
        <v>2.0833333333333332E-2</v>
      </c>
      <c r="V2418" s="44">
        <f>IF(Mecze[[#This Row],[Role]]&lt;&gt;"BR",SUMPRODUCT(Mecze[[#This Row],[/PR:90]:[/BR:90]],Brudnopis!$E$26:$J$26),0)</f>
        <v>2.0833333333333332E-2</v>
      </c>
      <c r="W2418" s="44">
        <f>IF(Mecze[[#This Row],[Role]]&lt;&gt;"BR",SUMPRODUCT(Mecze[[#This Row],[/PR:90]:[/BR:90]],Brudnopis!$E$27:$J$27),0)</f>
        <v>1.8229166666666664E-2</v>
      </c>
      <c r="X2418" s="44">
        <f>IF(Mecze[[#This Row],[Role]]&lt;&gt;"BR",SUMPRODUCT(Mecze[[#This Row],[/PR:90]:[/BR:90]],Brudnopis!$E$28:$J$28),0)</f>
        <v>2.0833333333333332E-2</v>
      </c>
      <c r="Y2418" s="35">
        <f>IF(Mecze[[#This Row],[Role]]="BR",Mecze[[#This Row],[/OB:90]]+Mecze[[#This Row],[/PC:90]],SUM(Mecze[[#This Row],[/PR:90]:[/BR:90]]))</f>
        <v>2.0833333333333332E-2</v>
      </c>
      <c r="Z2418" s="35">
        <f>IF(Mecze[[#This Row],[KC]]=0,SUM(Mecze[[#This Row],[/BRI]:[/NPI]]),SUM(Mecze[[#This Row],[/BRI]:[/NPI]])*0.6)</f>
        <v>0.10677083333333333</v>
      </c>
      <c r="AA2418" s="10">
        <f>IFERROR(Mecze[[#This Row],[BR]]/Mecze[[#This Row],[ST]],0)</f>
        <v>0</v>
      </c>
      <c r="AB2418">
        <f>ROUND(Mecze[[#This Row],[PD]]*Mecze[[#This Row],[%PC]],0)</f>
        <v>0</v>
      </c>
      <c r="AC2418">
        <f>ROUND(Mecze[[#This Row],[OD]]*Mecze[[#This Row],[%OU]],0)</f>
        <v>1</v>
      </c>
      <c r="AD2418" s="36" t="s">
        <v>46</v>
      </c>
      <c r="AE2418" s="36">
        <v>135</v>
      </c>
      <c r="AF2418" s="71">
        <v>4.1500000000000004</v>
      </c>
      <c r="AG2418" s="37">
        <v>0</v>
      </c>
      <c r="AH2418" s="37">
        <v>0</v>
      </c>
      <c r="AI2418" s="37">
        <v>96</v>
      </c>
      <c r="AJ2418" s="37">
        <v>1</v>
      </c>
      <c r="AK2418" s="37" t="str">
        <f>VLOOKUP(Mecze[[#This Row],[Match ID]],Meczusie[Mecz]:Meczusie[RodzajMeczu],2,FALSE)</f>
        <v>Towarzyski</v>
      </c>
    </row>
    <row r="2419" spans="1:37" x14ac:dyDescent="0.25">
      <c r="A2419" s="76">
        <v>61</v>
      </c>
      <c r="B2419" s="3" t="s">
        <v>454</v>
      </c>
      <c r="C2419" s="2" t="s">
        <v>165</v>
      </c>
      <c r="D2419" s="1">
        <v>1</v>
      </c>
      <c r="E2419" s="1">
        <v>1</v>
      </c>
      <c r="F2419" s="1">
        <v>1</v>
      </c>
      <c r="G2419" s="1">
        <v>5</v>
      </c>
      <c r="H2419" s="4">
        <v>0.6</v>
      </c>
      <c r="I2419" s="1">
        <v>4</v>
      </c>
      <c r="J2419" s="4">
        <v>0.25</v>
      </c>
      <c r="K2419" s="1">
        <v>0</v>
      </c>
      <c r="L2419" s="1">
        <v>1</v>
      </c>
      <c r="M2419" s="32">
        <f>IF(Mecze[[#This Row],[PR]]=0,0,Mecze[[#This Row],[PR]]/Mecze[[#This Row],[CZAS]])</f>
        <v>1.0416666666666666E-2</v>
      </c>
      <c r="N2419" s="32">
        <f>IF(Mecze[[#This Row],[OU]]=0,0,Mecze[[#This Row],[OU]]/Mecze[[#This Row],[CZAS]])</f>
        <v>1.0416666666666666E-2</v>
      </c>
      <c r="O2419" s="32">
        <f>IF(Mecze[[#This Row],[PC]]=0,0,Mecze[[#This Row],[PC]]/Mecze[[#This Row],[CZAS]])</f>
        <v>3.125E-2</v>
      </c>
      <c r="P2419" s="32">
        <f>IF(Mecze[[#This Row],[SC]]=0,0,Mecze[[#This Row],[SC]]/Mecze[[#This Row],[CZAS]])</f>
        <v>1.0416666666666666E-2</v>
      </c>
      <c r="Q2419" s="32">
        <f>IF(Mecze[[#This Row],[OB]]=0,0,Mecze[[#This Row],[OB]]/Mecze[[#This Row],[CZAS]])</f>
        <v>0</v>
      </c>
      <c r="R2419" s="32">
        <f>IF(Mecze[[#This Row],[BR]]=0,0,Mecze[[#This Row],[BR]]/Mecze[[#This Row],[CZAS]])</f>
        <v>1.0416666666666666E-2</v>
      </c>
      <c r="S2419" s="44">
        <f>IF(Mecze[[#This Row],[Role]]="BR",SUMPRODUCT(Mecze[[#This Row],[/PR:90]:[/BR:90]],Brudnopis!$E$23:$J$23),0)</f>
        <v>0</v>
      </c>
      <c r="T2419" s="44">
        <f>IF(Mecze[[#This Row],[Role]]&lt;&gt;"BR",SUMPRODUCT(Mecze[[#This Row],[/PR:90]:[/BR:90]],Brudnopis!$E$24:$J$24),0)</f>
        <v>8.3333333333333329E-2</v>
      </c>
      <c r="U2419" s="44">
        <f>IF(Mecze[[#This Row],[Role]]&lt;&gt;"BR",SUMPRODUCT(Mecze[[#This Row],[/PR:90]:[/BR:90]],Brudnopis!$E$25:$J$25),0)</f>
        <v>9.375E-2</v>
      </c>
      <c r="V2419" s="44">
        <f>IF(Mecze[[#This Row],[Role]]&lt;&gt;"BR",SUMPRODUCT(Mecze[[#This Row],[/PR:90]:[/BR:90]],Brudnopis!$E$26:$J$26),0)</f>
        <v>8.3333333333333329E-2</v>
      </c>
      <c r="W2419" s="44">
        <f>IF(Mecze[[#This Row],[Role]]&lt;&gt;"BR",SUMPRODUCT(Mecze[[#This Row],[/PR:90]:[/BR:90]],Brudnopis!$E$27:$J$27),0)</f>
        <v>9.375E-2</v>
      </c>
      <c r="X2419" s="44">
        <f>IF(Mecze[[#This Row],[Role]]&lt;&gt;"BR",SUMPRODUCT(Mecze[[#This Row],[/PR:90]:[/BR:90]],Brudnopis!$E$28:$J$28),0)</f>
        <v>8.3333333333333329E-2</v>
      </c>
      <c r="Y2419" s="35">
        <f>IF(Mecze[[#This Row],[Role]]="BR",Mecze[[#This Row],[/OB:90]]+Mecze[[#This Row],[/PC:90]],SUM(Mecze[[#This Row],[/PR:90]:[/BR:90]]))</f>
        <v>7.2916666666666657E-2</v>
      </c>
      <c r="Z2419" s="35">
        <f>IF(Mecze[[#This Row],[KC]]=0,SUM(Mecze[[#This Row],[/BRI]:[/NPI]]),SUM(Mecze[[#This Row],[/BRI]:[/NPI]])*0.6)</f>
        <v>0.43749999999999994</v>
      </c>
      <c r="AA2419" s="10">
        <f>IFERROR(Mecze[[#This Row],[BR]]/Mecze[[#This Row],[ST]],0)</f>
        <v>1</v>
      </c>
      <c r="AB2419">
        <f>ROUND(Mecze[[#This Row],[PD]]*Mecze[[#This Row],[%PC]],0)</f>
        <v>3</v>
      </c>
      <c r="AC2419">
        <f>ROUND(Mecze[[#This Row],[OD]]*Mecze[[#This Row],[%OU]],0)</f>
        <v>1</v>
      </c>
      <c r="AD2419" s="36" t="s">
        <v>46</v>
      </c>
      <c r="AE2419" s="36">
        <v>135</v>
      </c>
      <c r="AF2419" s="71">
        <v>6.67</v>
      </c>
      <c r="AG2419" s="37">
        <v>1</v>
      </c>
      <c r="AH2419" s="37">
        <v>0</v>
      </c>
      <c r="AI2419" s="37">
        <v>96</v>
      </c>
      <c r="AJ2419" s="37">
        <v>1</v>
      </c>
      <c r="AK2419" s="37" t="str">
        <f>VLOOKUP(Mecze[[#This Row],[Match ID]],Meczusie[Mecz]:Meczusie[RodzajMeczu],2,FALSE)</f>
        <v>Towarzyski</v>
      </c>
    </row>
    <row r="2420" spans="1:37" x14ac:dyDescent="0.25">
      <c r="A2420" s="76">
        <v>1</v>
      </c>
      <c r="B2420" s="3" t="s">
        <v>236</v>
      </c>
      <c r="C2420" s="2" t="s">
        <v>155</v>
      </c>
      <c r="D2420" s="1">
        <v>0</v>
      </c>
      <c r="E2420" s="1">
        <v>0</v>
      </c>
      <c r="F2420" s="1">
        <v>0</v>
      </c>
      <c r="G2420" s="1">
        <v>14</v>
      </c>
      <c r="H2420" s="4">
        <v>0.5</v>
      </c>
      <c r="I2420" s="1">
        <v>0</v>
      </c>
      <c r="J2420" s="4"/>
      <c r="K2420" s="1">
        <v>20</v>
      </c>
      <c r="L2420" s="1">
        <v>0</v>
      </c>
      <c r="M2420" s="32">
        <f>IF(Mecze[[#This Row],[PR]]=0,0,Mecze[[#This Row],[PR]]/Mecze[[#This Row],[CZAS]])</f>
        <v>0</v>
      </c>
      <c r="N2420" s="32">
        <f>IF(Mecze[[#This Row],[OU]]=0,0,Mecze[[#This Row],[OU]]/Mecze[[#This Row],[CZAS]])</f>
        <v>0</v>
      </c>
      <c r="O2420" s="32">
        <f>IF(Mecze[[#This Row],[PC]]=0,0,Mecze[[#This Row],[PC]]/Mecze[[#This Row],[CZAS]])</f>
        <v>7.1428571428571425E-2</v>
      </c>
      <c r="P2420" s="32">
        <f>IF(Mecze[[#This Row],[SC]]=0,0,Mecze[[#This Row],[SC]]/Mecze[[#This Row],[CZAS]])</f>
        <v>0</v>
      </c>
      <c r="Q2420" s="32">
        <f>IF(Mecze[[#This Row],[OB]]=0,0,Mecze[[#This Row],[OB]]/Mecze[[#This Row],[CZAS]])</f>
        <v>0.20408163265306123</v>
      </c>
      <c r="R2420" s="32">
        <f>IF(Mecze[[#This Row],[BR]]=0,0,Mecze[[#This Row],[BR]]/Mecze[[#This Row],[CZAS]])</f>
        <v>0</v>
      </c>
      <c r="S2420" s="44">
        <f>IF(Mecze[[#This Row],[Role]]="BR",SUMPRODUCT(Mecze[[#This Row],[/PR:90]:[/BR:90]],Brudnopis!$E$23:$J$23),0)</f>
        <v>0.82653061224489799</v>
      </c>
      <c r="T2420" s="44">
        <f>IF(Mecze[[#This Row],[Role]]&lt;&gt;"BR",SUMPRODUCT(Mecze[[#This Row],[/PR:90]:[/BR:90]],Brudnopis!$E$24:$J$24),0)</f>
        <v>0</v>
      </c>
      <c r="U2420" s="44">
        <f>IF(Mecze[[#This Row],[Role]]&lt;&gt;"BR",SUMPRODUCT(Mecze[[#This Row],[/PR:90]:[/BR:90]],Brudnopis!$E$25:$J$25),0)</f>
        <v>0</v>
      </c>
      <c r="V2420" s="44">
        <f>IF(Mecze[[#This Row],[Role]]&lt;&gt;"BR",SUMPRODUCT(Mecze[[#This Row],[/PR:90]:[/BR:90]],Brudnopis!$E$26:$J$26),0)</f>
        <v>0</v>
      </c>
      <c r="W2420" s="44">
        <f>IF(Mecze[[#This Row],[Role]]&lt;&gt;"BR",SUMPRODUCT(Mecze[[#This Row],[/PR:90]:[/BR:90]],Brudnopis!$E$27:$J$27),0)</f>
        <v>0</v>
      </c>
      <c r="X2420" s="44">
        <f>IF(Mecze[[#This Row],[Role]]&lt;&gt;"BR",SUMPRODUCT(Mecze[[#This Row],[/PR:90]:[/BR:90]],Brudnopis!$E$28:$J$28),0)</f>
        <v>0</v>
      </c>
      <c r="Y2420" s="35">
        <f>IF(Mecze[[#This Row],[Role]]="BR",Mecze[[#This Row],[/OB:90]]+Mecze[[#This Row],[/PC:90]],SUM(Mecze[[#This Row],[/PR:90]:[/BR:90]]))</f>
        <v>0.27551020408163263</v>
      </c>
      <c r="Z2420" s="35">
        <f>IF(Mecze[[#This Row],[KC]]=0,SUM(Mecze[[#This Row],[/BRI]:[/NPI]]),SUM(Mecze[[#This Row],[/BRI]:[/NPI]])*0.6)</f>
        <v>0.82653061224489799</v>
      </c>
      <c r="AA2420" s="10">
        <f>IFERROR(Mecze[[#This Row],[BR]]/Mecze[[#This Row],[ST]],0)</f>
        <v>0</v>
      </c>
      <c r="AB2420">
        <f>ROUND(Mecze[[#This Row],[PD]]*Mecze[[#This Row],[%PC]],0)</f>
        <v>7</v>
      </c>
      <c r="AC2420">
        <f>ROUND(Mecze[[#This Row],[OD]]*Mecze[[#This Row],[%OU]],0)</f>
        <v>0</v>
      </c>
      <c r="AD2420" s="36" t="s">
        <v>40</v>
      </c>
      <c r="AE2420" s="36">
        <v>136</v>
      </c>
      <c r="AF2420" s="71">
        <v>8.8000000000000007</v>
      </c>
      <c r="AG2420" s="37">
        <v>0</v>
      </c>
      <c r="AH2420" s="37">
        <v>0</v>
      </c>
      <c r="AI2420" s="37">
        <v>98</v>
      </c>
      <c r="AJ2420" s="37">
        <v>10</v>
      </c>
      <c r="AK2420" s="37" t="str">
        <f>VLOOKUP(Mecze[[#This Row],[Match ID]],Meczusie[Mecz]:Meczusie[RodzajMeczu],2,FALSE)</f>
        <v>Liga</v>
      </c>
    </row>
    <row r="2421" spans="1:37" x14ac:dyDescent="0.25">
      <c r="A2421" s="76">
        <v>7</v>
      </c>
      <c r="B2421" s="3" t="s">
        <v>241</v>
      </c>
      <c r="C2421" s="2" t="s">
        <v>157</v>
      </c>
      <c r="D2421" s="1">
        <v>0</v>
      </c>
      <c r="E2421" s="1">
        <v>0</v>
      </c>
      <c r="F2421" s="1">
        <v>0</v>
      </c>
      <c r="G2421" s="1">
        <v>1</v>
      </c>
      <c r="H2421" s="4">
        <v>0</v>
      </c>
      <c r="I2421" s="1">
        <v>4</v>
      </c>
      <c r="J2421" s="4">
        <v>0</v>
      </c>
      <c r="K2421" s="1">
        <v>0</v>
      </c>
      <c r="L2421" s="1">
        <v>5</v>
      </c>
      <c r="M2421" s="32">
        <f>IF(Mecze[[#This Row],[PR]]=0,0,Mecze[[#This Row],[PR]]/Mecze[[#This Row],[CZAS]])</f>
        <v>5.1020408163265307E-2</v>
      </c>
      <c r="N2421" s="32">
        <f>IF(Mecze[[#This Row],[OU]]=0,0,Mecze[[#This Row],[OU]]/Mecze[[#This Row],[CZAS]])</f>
        <v>0</v>
      </c>
      <c r="O2421" s="32">
        <f>IF(Mecze[[#This Row],[PC]]=0,0,Mecze[[#This Row],[PC]]/Mecze[[#This Row],[CZAS]])</f>
        <v>0</v>
      </c>
      <c r="P2421" s="32">
        <f>IF(Mecze[[#This Row],[SC]]=0,0,Mecze[[#This Row],[SC]]/Mecze[[#This Row],[CZAS]])</f>
        <v>0</v>
      </c>
      <c r="Q2421" s="32">
        <f>IF(Mecze[[#This Row],[OB]]=0,0,Mecze[[#This Row],[OB]]/Mecze[[#This Row],[CZAS]])</f>
        <v>0</v>
      </c>
      <c r="R2421" s="32">
        <f>IF(Mecze[[#This Row],[BR]]=0,0,Mecze[[#This Row],[BR]]/Mecze[[#This Row],[CZAS]])</f>
        <v>0</v>
      </c>
      <c r="S2421" s="44">
        <f>IF(Mecze[[#This Row],[Role]]="BR",SUMPRODUCT(Mecze[[#This Row],[/PR:90]:[/BR:90]],Brudnopis!$E$23:$J$23),0)</f>
        <v>0</v>
      </c>
      <c r="T2421" s="44">
        <f>IF(Mecze[[#This Row],[Role]]&lt;&gt;"BR",SUMPRODUCT(Mecze[[#This Row],[/PR:90]:[/BR:90]],Brudnopis!$E$24:$J$24),0)</f>
        <v>5.1020408163265307E-2</v>
      </c>
      <c r="U2421" s="44">
        <f>IF(Mecze[[#This Row],[Role]]&lt;&gt;"BR",SUMPRODUCT(Mecze[[#This Row],[/PR:90]:[/BR:90]],Brudnopis!$E$25:$J$25),0)</f>
        <v>5.1020408163265307E-2</v>
      </c>
      <c r="V2421" s="44">
        <f>IF(Mecze[[#This Row],[Role]]&lt;&gt;"BR",SUMPRODUCT(Mecze[[#This Row],[/PR:90]:[/BR:90]],Brudnopis!$E$26:$J$26),0)</f>
        <v>5.1020408163265307E-2</v>
      </c>
      <c r="W2421" s="44">
        <f>IF(Mecze[[#This Row],[Role]]&lt;&gt;"BR",SUMPRODUCT(Mecze[[#This Row],[/PR:90]:[/BR:90]],Brudnopis!$E$27:$J$27),0)</f>
        <v>3.826530612244898E-2</v>
      </c>
      <c r="X2421" s="44">
        <f>IF(Mecze[[#This Row],[Role]]&lt;&gt;"BR",SUMPRODUCT(Mecze[[#This Row],[/PR:90]:[/BR:90]],Brudnopis!$E$28:$J$28),0)</f>
        <v>0</v>
      </c>
      <c r="Y2421" s="35">
        <f>IF(Mecze[[#This Row],[Role]]="BR",Mecze[[#This Row],[/OB:90]]+Mecze[[#This Row],[/PC:90]],SUM(Mecze[[#This Row],[/PR:90]:[/BR:90]]))</f>
        <v>5.1020408163265307E-2</v>
      </c>
      <c r="Z2421" s="35">
        <f>IF(Mecze[[#This Row],[KC]]=0,SUM(Mecze[[#This Row],[/BRI]:[/NPI]]),SUM(Mecze[[#This Row],[/BRI]:[/NPI]])*0.6)</f>
        <v>0.19132653061224492</v>
      </c>
      <c r="AA2421" s="10">
        <f>IFERROR(Mecze[[#This Row],[BR]]/Mecze[[#This Row],[ST]],0)</f>
        <v>0</v>
      </c>
      <c r="AB2421">
        <f>ROUND(Mecze[[#This Row],[PD]]*Mecze[[#This Row],[%PC]],0)</f>
        <v>0</v>
      </c>
      <c r="AC2421">
        <f>ROUND(Mecze[[#This Row],[OD]]*Mecze[[#This Row],[%OU]],0)</f>
        <v>0</v>
      </c>
      <c r="AD2421" s="36" t="s">
        <v>47</v>
      </c>
      <c r="AE2421" s="36">
        <v>136</v>
      </c>
      <c r="AF2421" s="71">
        <v>1.63</v>
      </c>
      <c r="AG2421" s="37">
        <v>0</v>
      </c>
      <c r="AH2421" s="37">
        <v>0</v>
      </c>
      <c r="AI2421" s="37">
        <v>98</v>
      </c>
      <c r="AJ2421" s="37">
        <v>10</v>
      </c>
      <c r="AK2421" s="37" t="str">
        <f>VLOOKUP(Mecze[[#This Row],[Match ID]],Meczusie[Mecz]:Meczusie[RodzajMeczu],2,FALSE)</f>
        <v>Liga</v>
      </c>
    </row>
    <row r="2422" spans="1:37" x14ac:dyDescent="0.25">
      <c r="A2422" s="76">
        <v>4</v>
      </c>
      <c r="B2422" s="3" t="s">
        <v>238</v>
      </c>
      <c r="C2422" s="2" t="s">
        <v>157</v>
      </c>
      <c r="D2422" s="1">
        <v>0</v>
      </c>
      <c r="E2422" s="1">
        <v>0</v>
      </c>
      <c r="F2422" s="1">
        <v>0</v>
      </c>
      <c r="G2422" s="1">
        <v>10</v>
      </c>
      <c r="H2422" s="4">
        <v>0.4</v>
      </c>
      <c r="I2422" s="1">
        <v>10</v>
      </c>
      <c r="J2422" s="4">
        <v>0.4</v>
      </c>
      <c r="K2422" s="1">
        <v>0</v>
      </c>
      <c r="L2422" s="1">
        <v>6</v>
      </c>
      <c r="M2422" s="32">
        <f>IF(Mecze[[#This Row],[PR]]=0,0,Mecze[[#This Row],[PR]]/Mecze[[#This Row],[CZAS]])</f>
        <v>6.1224489795918366E-2</v>
      </c>
      <c r="N2422" s="32">
        <f>IF(Mecze[[#This Row],[OU]]=0,0,Mecze[[#This Row],[OU]]/Mecze[[#This Row],[CZAS]])</f>
        <v>4.0816326530612242E-2</v>
      </c>
      <c r="O2422" s="32">
        <f>IF(Mecze[[#This Row],[PC]]=0,0,Mecze[[#This Row],[PC]]/Mecze[[#This Row],[CZAS]])</f>
        <v>4.0816326530612242E-2</v>
      </c>
      <c r="P2422" s="32">
        <f>IF(Mecze[[#This Row],[SC]]=0,0,Mecze[[#This Row],[SC]]/Mecze[[#This Row],[CZAS]])</f>
        <v>0</v>
      </c>
      <c r="Q2422" s="32">
        <f>IF(Mecze[[#This Row],[OB]]=0,0,Mecze[[#This Row],[OB]]/Mecze[[#This Row],[CZAS]])</f>
        <v>0</v>
      </c>
      <c r="R2422" s="32">
        <f>IF(Mecze[[#This Row],[BR]]=0,0,Mecze[[#This Row],[BR]]/Mecze[[#This Row],[CZAS]])</f>
        <v>0</v>
      </c>
      <c r="S2422" s="44">
        <f>IF(Mecze[[#This Row],[Role]]="BR",SUMPRODUCT(Mecze[[#This Row],[/PR:90]:[/BR:90]],Brudnopis!$E$23:$J$23),0)</f>
        <v>0</v>
      </c>
      <c r="T2422" s="44">
        <f>IF(Mecze[[#This Row],[Role]]&lt;&gt;"BR",SUMPRODUCT(Mecze[[#This Row],[/PR:90]:[/BR:90]],Brudnopis!$E$24:$J$24),0)</f>
        <v>0.16326530612244897</v>
      </c>
      <c r="U2422" s="44">
        <f>IF(Mecze[[#This Row],[Role]]&lt;&gt;"BR",SUMPRODUCT(Mecze[[#This Row],[/PR:90]:[/BR:90]],Brudnopis!$E$25:$J$25),0)</f>
        <v>0.16326530612244899</v>
      </c>
      <c r="V2422" s="44">
        <f>IF(Mecze[[#This Row],[Role]]&lt;&gt;"BR",SUMPRODUCT(Mecze[[#This Row],[/PR:90]:[/BR:90]],Brudnopis!$E$26:$J$26),0)</f>
        <v>0.14285714285714285</v>
      </c>
      <c r="W2422" s="44">
        <f>IF(Mecze[[#This Row],[Role]]&lt;&gt;"BR",SUMPRODUCT(Mecze[[#This Row],[/PR:90]:[/BR:90]],Brudnopis!$E$27:$J$27),0)</f>
        <v>0.13775510204081631</v>
      </c>
      <c r="X2422" s="44">
        <f>IF(Mecze[[#This Row],[Role]]&lt;&gt;"BR",SUMPRODUCT(Mecze[[#This Row],[/PR:90]:[/BR:90]],Brudnopis!$E$28:$J$28),0)</f>
        <v>4.0816326530612242E-2</v>
      </c>
      <c r="Y2422" s="35">
        <f>IF(Mecze[[#This Row],[Role]]="BR",Mecze[[#This Row],[/OB:90]]+Mecze[[#This Row],[/PC:90]],SUM(Mecze[[#This Row],[/PR:90]:[/BR:90]]))</f>
        <v>0.14285714285714285</v>
      </c>
      <c r="Z2422" s="35">
        <f>IF(Mecze[[#This Row],[KC]]=0,SUM(Mecze[[#This Row],[/BRI]:[/NPI]]),SUM(Mecze[[#This Row],[/BRI]:[/NPI]])*0.6)</f>
        <v>0.6479591836734695</v>
      </c>
      <c r="AA2422" s="10">
        <f>IFERROR(Mecze[[#This Row],[BR]]/Mecze[[#This Row],[ST]],0)</f>
        <v>0</v>
      </c>
      <c r="AB2422">
        <f>ROUND(Mecze[[#This Row],[PD]]*Mecze[[#This Row],[%PC]],0)</f>
        <v>4</v>
      </c>
      <c r="AC2422">
        <f>ROUND(Mecze[[#This Row],[OD]]*Mecze[[#This Row],[%OU]],0)</f>
        <v>4</v>
      </c>
      <c r="AD2422" s="36" t="s">
        <v>47</v>
      </c>
      <c r="AE2422" s="36">
        <v>136</v>
      </c>
      <c r="AF2422" s="71">
        <v>1.84</v>
      </c>
      <c r="AG2422" s="37">
        <v>0</v>
      </c>
      <c r="AH2422" s="37">
        <v>0</v>
      </c>
      <c r="AI2422" s="37">
        <v>98</v>
      </c>
      <c r="AJ2422" s="37">
        <v>10</v>
      </c>
      <c r="AK2422" s="37" t="str">
        <f>VLOOKUP(Mecze[[#This Row],[Match ID]],Meczusie[Mecz]:Meczusie[RodzajMeczu],2,FALSE)</f>
        <v>Liga</v>
      </c>
    </row>
    <row r="2423" spans="1:37" x14ac:dyDescent="0.25">
      <c r="A2423" s="76">
        <v>12</v>
      </c>
      <c r="B2423" s="3" t="s">
        <v>239</v>
      </c>
      <c r="C2423" s="2" t="s">
        <v>157</v>
      </c>
      <c r="D2423" s="1">
        <v>0</v>
      </c>
      <c r="E2423" s="1">
        <v>0</v>
      </c>
      <c r="F2423" s="1">
        <v>0</v>
      </c>
      <c r="G2423" s="1">
        <v>4</v>
      </c>
      <c r="H2423" s="4">
        <v>1</v>
      </c>
      <c r="I2423" s="1">
        <v>3</v>
      </c>
      <c r="J2423" s="4">
        <v>0.67</v>
      </c>
      <c r="K2423" s="1">
        <v>0</v>
      </c>
      <c r="L2423" s="1">
        <v>2</v>
      </c>
      <c r="M2423" s="32">
        <f>IF(Mecze[[#This Row],[PR]]=0,0,Mecze[[#This Row],[PR]]/Mecze[[#This Row],[CZAS]])</f>
        <v>2.7027027027027029E-2</v>
      </c>
      <c r="N2423" s="32">
        <f>IF(Mecze[[#This Row],[OU]]=0,0,Mecze[[#This Row],[OU]]/Mecze[[#This Row],[CZAS]])</f>
        <v>2.7027027027027029E-2</v>
      </c>
      <c r="O2423" s="32">
        <f>IF(Mecze[[#This Row],[PC]]=0,0,Mecze[[#This Row],[PC]]/Mecze[[#This Row],[CZAS]])</f>
        <v>5.4054054054054057E-2</v>
      </c>
      <c r="P2423" s="32">
        <f>IF(Mecze[[#This Row],[SC]]=0,0,Mecze[[#This Row],[SC]]/Mecze[[#This Row],[CZAS]])</f>
        <v>0</v>
      </c>
      <c r="Q2423" s="32">
        <f>IF(Mecze[[#This Row],[OB]]=0,0,Mecze[[#This Row],[OB]]/Mecze[[#This Row],[CZAS]])</f>
        <v>0</v>
      </c>
      <c r="R2423" s="32">
        <f>IF(Mecze[[#This Row],[BR]]=0,0,Mecze[[#This Row],[BR]]/Mecze[[#This Row],[CZAS]])</f>
        <v>0</v>
      </c>
      <c r="S2423" s="44">
        <f>IF(Mecze[[#This Row],[Role]]="BR",SUMPRODUCT(Mecze[[#This Row],[/PR:90]:[/BR:90]],Brudnopis!$E$23:$J$23),0)</f>
        <v>0</v>
      </c>
      <c r="T2423" s="44">
        <f>IF(Mecze[[#This Row],[Role]]&lt;&gt;"BR",SUMPRODUCT(Mecze[[#This Row],[/PR:90]:[/BR:90]],Brudnopis!$E$24:$J$24),0)</f>
        <v>0.12162162162162163</v>
      </c>
      <c r="U2423" s="44">
        <f>IF(Mecze[[#This Row],[Role]]&lt;&gt;"BR",SUMPRODUCT(Mecze[[#This Row],[/PR:90]:[/BR:90]],Brudnopis!$E$25:$J$25),0)</f>
        <v>0.13513513513513514</v>
      </c>
      <c r="V2423" s="44">
        <f>IF(Mecze[[#This Row],[Role]]&lt;&gt;"BR",SUMPRODUCT(Mecze[[#This Row],[/PR:90]:[/BR:90]],Brudnopis!$E$26:$J$26),0)</f>
        <v>0.10810810810810811</v>
      </c>
      <c r="W2423" s="44">
        <f>IF(Mecze[[#This Row],[Role]]&lt;&gt;"BR",SUMPRODUCT(Mecze[[#This Row],[/PR:90]:[/BR:90]],Brudnopis!$E$27:$J$27),0)</f>
        <v>0.12162162162162163</v>
      </c>
      <c r="X2423" s="44">
        <f>IF(Mecze[[#This Row],[Role]]&lt;&gt;"BR",SUMPRODUCT(Mecze[[#This Row],[/PR:90]:[/BR:90]],Brudnopis!$E$28:$J$28),0)</f>
        <v>5.4054054054054057E-2</v>
      </c>
      <c r="Y2423" s="35">
        <f>IF(Mecze[[#This Row],[Role]]="BR",Mecze[[#This Row],[/OB:90]]+Mecze[[#This Row],[/PC:90]],SUM(Mecze[[#This Row],[/PR:90]:[/BR:90]]))</f>
        <v>0.10810810810810811</v>
      </c>
      <c r="Z2423" s="35">
        <f>IF(Mecze[[#This Row],[KC]]=0,SUM(Mecze[[#This Row],[/BRI]:[/NPI]]),SUM(Mecze[[#This Row],[/BRI]:[/NPI]])*0.6)</f>
        <v>0.32432432432432434</v>
      </c>
      <c r="AA2423" s="10">
        <f>IFERROR(Mecze[[#This Row],[BR]]/Mecze[[#This Row],[ST]],0)</f>
        <v>0</v>
      </c>
      <c r="AB2423">
        <f>ROUND(Mecze[[#This Row],[PD]]*Mecze[[#This Row],[%PC]],0)</f>
        <v>4</v>
      </c>
      <c r="AC2423">
        <f>ROUND(Mecze[[#This Row],[OD]]*Mecze[[#This Row],[%OU]],0)</f>
        <v>2</v>
      </c>
      <c r="AD2423" s="36" t="s">
        <v>175</v>
      </c>
      <c r="AE2423" s="36">
        <v>136</v>
      </c>
      <c r="AF2423" s="71">
        <v>-0.09</v>
      </c>
      <c r="AG2423" s="37">
        <v>0</v>
      </c>
      <c r="AH2423" s="37">
        <v>1</v>
      </c>
      <c r="AI2423" s="37">
        <v>74</v>
      </c>
      <c r="AJ2423" s="37">
        <v>10</v>
      </c>
      <c r="AK2423" s="37" t="str">
        <f>VLOOKUP(Mecze[[#This Row],[Match ID]],Meczusie[Mecz]:Meczusie[RodzajMeczu],2,FALSE)</f>
        <v>Liga</v>
      </c>
    </row>
    <row r="2424" spans="1:37" x14ac:dyDescent="0.25">
      <c r="A2424" s="76">
        <v>2</v>
      </c>
      <c r="B2424" s="3" t="s">
        <v>240</v>
      </c>
      <c r="C2424" s="2" t="s">
        <v>157</v>
      </c>
      <c r="D2424" s="1">
        <v>0</v>
      </c>
      <c r="E2424" s="1">
        <v>0</v>
      </c>
      <c r="F2424" s="1">
        <v>0</v>
      </c>
      <c r="G2424" s="1">
        <v>5</v>
      </c>
      <c r="H2424" s="4">
        <v>0.6</v>
      </c>
      <c r="I2424" s="1">
        <v>6</v>
      </c>
      <c r="J2424" s="4">
        <v>0.67</v>
      </c>
      <c r="K2424" s="1">
        <v>0</v>
      </c>
      <c r="L2424" s="1">
        <v>2</v>
      </c>
      <c r="M2424" s="32">
        <f>IF(Mecze[[#This Row],[PR]]=0,0,Mecze[[#This Row],[PR]]/Mecze[[#This Row],[CZAS]])</f>
        <v>2.0408163265306121E-2</v>
      </c>
      <c r="N2424" s="32">
        <f>IF(Mecze[[#This Row],[OU]]=0,0,Mecze[[#This Row],[OU]]/Mecze[[#This Row],[CZAS]])</f>
        <v>4.0816326530612242E-2</v>
      </c>
      <c r="O2424" s="32">
        <f>IF(Mecze[[#This Row],[PC]]=0,0,Mecze[[#This Row],[PC]]/Mecze[[#This Row],[CZAS]])</f>
        <v>3.0612244897959183E-2</v>
      </c>
      <c r="P2424" s="32">
        <f>IF(Mecze[[#This Row],[SC]]=0,0,Mecze[[#This Row],[SC]]/Mecze[[#This Row],[CZAS]])</f>
        <v>0</v>
      </c>
      <c r="Q2424" s="32">
        <f>IF(Mecze[[#This Row],[OB]]=0,0,Mecze[[#This Row],[OB]]/Mecze[[#This Row],[CZAS]])</f>
        <v>0</v>
      </c>
      <c r="R2424" s="32">
        <f>IF(Mecze[[#This Row],[BR]]=0,0,Mecze[[#This Row],[BR]]/Mecze[[#This Row],[CZAS]])</f>
        <v>0</v>
      </c>
      <c r="S2424" s="44">
        <f>IF(Mecze[[#This Row],[Role]]="BR",SUMPRODUCT(Mecze[[#This Row],[/PR:90]:[/BR:90]],Brudnopis!$E$23:$J$23),0)</f>
        <v>0</v>
      </c>
      <c r="T2424" s="44">
        <f>IF(Mecze[[#This Row],[Role]]&lt;&gt;"BR",SUMPRODUCT(Mecze[[#This Row],[/PR:90]:[/BR:90]],Brudnopis!$E$24:$J$24),0)</f>
        <v>0.11224489795918366</v>
      </c>
      <c r="U2424" s="44">
        <f>IF(Mecze[[#This Row],[Role]]&lt;&gt;"BR",SUMPRODUCT(Mecze[[#This Row],[/PR:90]:[/BR:90]],Brudnopis!$E$25:$J$25),0)</f>
        <v>0.10714285714285714</v>
      </c>
      <c r="V2424" s="44">
        <f>IF(Mecze[[#This Row],[Role]]&lt;&gt;"BR",SUMPRODUCT(Mecze[[#This Row],[/PR:90]:[/BR:90]],Brudnopis!$E$26:$J$26),0)</f>
        <v>9.1836734693877542E-2</v>
      </c>
      <c r="W2424" s="44">
        <f>IF(Mecze[[#This Row],[Role]]&lt;&gt;"BR",SUMPRODUCT(Mecze[[#This Row],[/PR:90]:[/BR:90]],Brudnopis!$E$27:$J$27),0)</f>
        <v>9.1836734693877542E-2</v>
      </c>
      <c r="X2424" s="44">
        <f>IF(Mecze[[#This Row],[Role]]&lt;&gt;"BR",SUMPRODUCT(Mecze[[#This Row],[/PR:90]:[/BR:90]],Brudnopis!$E$28:$J$28),0)</f>
        <v>3.0612244897959183E-2</v>
      </c>
      <c r="Y2424" s="35">
        <f>IF(Mecze[[#This Row],[Role]]="BR",Mecze[[#This Row],[/OB:90]]+Mecze[[#This Row],[/PC:90]],SUM(Mecze[[#This Row],[/PR:90]:[/BR:90]]))</f>
        <v>9.1836734693877542E-2</v>
      </c>
      <c r="Z2424" s="35">
        <f>IF(Mecze[[#This Row],[KC]]=0,SUM(Mecze[[#This Row],[/BRI]:[/NPI]]),SUM(Mecze[[#This Row],[/BRI]:[/NPI]])*0.6)</f>
        <v>0.43367346938775503</v>
      </c>
      <c r="AA2424" s="10">
        <f>IFERROR(Mecze[[#This Row],[BR]]/Mecze[[#This Row],[ST]],0)</f>
        <v>0</v>
      </c>
      <c r="AB2424">
        <f>ROUND(Mecze[[#This Row],[PD]]*Mecze[[#This Row],[%PC]],0)</f>
        <v>3</v>
      </c>
      <c r="AC2424">
        <f>ROUND(Mecze[[#This Row],[OD]]*Mecze[[#This Row],[%OU]],0)</f>
        <v>4</v>
      </c>
      <c r="AD2424" s="36" t="s">
        <v>273</v>
      </c>
      <c r="AE2424" s="36">
        <v>136</v>
      </c>
      <c r="AF2424" s="71">
        <v>2.12</v>
      </c>
      <c r="AG2424" s="37">
        <v>0</v>
      </c>
      <c r="AH2424" s="37">
        <v>0</v>
      </c>
      <c r="AI2424" s="37">
        <v>98</v>
      </c>
      <c r="AJ2424" s="37">
        <v>10</v>
      </c>
      <c r="AK2424" s="37" t="str">
        <f>VLOOKUP(Mecze[[#This Row],[Match ID]],Meczusie[Mecz]:Meczusie[RodzajMeczu],2,FALSE)</f>
        <v>Liga</v>
      </c>
    </row>
    <row r="2425" spans="1:37" x14ac:dyDescent="0.25">
      <c r="A2425" s="76">
        <v>5</v>
      </c>
      <c r="B2425" s="3" t="s">
        <v>242</v>
      </c>
      <c r="C2425" s="2" t="s">
        <v>160</v>
      </c>
      <c r="D2425" s="1">
        <v>0</v>
      </c>
      <c r="E2425" s="1">
        <v>0</v>
      </c>
      <c r="F2425" s="1">
        <v>0</v>
      </c>
      <c r="G2425" s="1">
        <v>17</v>
      </c>
      <c r="H2425" s="4">
        <v>0.88</v>
      </c>
      <c r="I2425" s="1">
        <v>4</v>
      </c>
      <c r="J2425" s="4">
        <v>0.75</v>
      </c>
      <c r="K2425" s="1">
        <v>0</v>
      </c>
      <c r="L2425" s="1">
        <v>7</v>
      </c>
      <c r="M2425" s="32">
        <f>IF(Mecze[[#This Row],[PR]]=0,0,Mecze[[#This Row],[PR]]/Mecze[[#This Row],[CZAS]])</f>
        <v>7.1428571428571425E-2</v>
      </c>
      <c r="N2425" s="32">
        <f>IF(Mecze[[#This Row],[OU]]=0,0,Mecze[[#This Row],[OU]]/Mecze[[#This Row],[CZAS]])</f>
        <v>3.0612244897959183E-2</v>
      </c>
      <c r="O2425" s="32">
        <f>IF(Mecze[[#This Row],[PC]]=0,0,Mecze[[#This Row],[PC]]/Mecze[[#This Row],[CZAS]])</f>
        <v>0.15306122448979592</v>
      </c>
      <c r="P2425" s="32">
        <f>IF(Mecze[[#This Row],[SC]]=0,0,Mecze[[#This Row],[SC]]/Mecze[[#This Row],[CZAS]])</f>
        <v>0</v>
      </c>
      <c r="Q2425" s="32">
        <f>IF(Mecze[[#This Row],[OB]]=0,0,Mecze[[#This Row],[OB]]/Mecze[[#This Row],[CZAS]])</f>
        <v>0</v>
      </c>
      <c r="R2425" s="32">
        <f>IF(Mecze[[#This Row],[BR]]=0,0,Mecze[[#This Row],[BR]]/Mecze[[#This Row],[CZAS]])</f>
        <v>0</v>
      </c>
      <c r="S2425" s="44">
        <f>IF(Mecze[[#This Row],[Role]]="BR",SUMPRODUCT(Mecze[[#This Row],[/PR:90]:[/BR:90]],Brudnopis!$E$23:$J$23),0)</f>
        <v>0</v>
      </c>
      <c r="T2425" s="44">
        <f>IF(Mecze[[#This Row],[Role]]&lt;&gt;"BR",SUMPRODUCT(Mecze[[#This Row],[/PR:90]:[/BR:90]],Brudnopis!$E$24:$J$24),0)</f>
        <v>0.27040816326530615</v>
      </c>
      <c r="U2425" s="44">
        <f>IF(Mecze[[#This Row],[Role]]&lt;&gt;"BR",SUMPRODUCT(Mecze[[#This Row],[/PR:90]:[/BR:90]],Brudnopis!$E$25:$J$25),0)</f>
        <v>0.33163265306122447</v>
      </c>
      <c r="V2425" s="44">
        <f>IF(Mecze[[#This Row],[Role]]&lt;&gt;"BR",SUMPRODUCT(Mecze[[#This Row],[/PR:90]:[/BR:90]],Brudnopis!$E$26:$J$26),0)</f>
        <v>0.25510204081632654</v>
      </c>
      <c r="W2425" s="44">
        <f>IF(Mecze[[#This Row],[Role]]&lt;&gt;"BR",SUMPRODUCT(Mecze[[#This Row],[/PR:90]:[/BR:90]],Brudnopis!$E$27:$J$27),0)</f>
        <v>0.30612244897959184</v>
      </c>
      <c r="X2425" s="44">
        <f>IF(Mecze[[#This Row],[Role]]&lt;&gt;"BR",SUMPRODUCT(Mecze[[#This Row],[/PR:90]:[/BR:90]],Brudnopis!$E$28:$J$28),0)</f>
        <v>0.15306122448979592</v>
      </c>
      <c r="Y2425" s="35">
        <f>IF(Mecze[[#This Row],[Role]]="BR",Mecze[[#This Row],[/OB:90]]+Mecze[[#This Row],[/PC:90]],SUM(Mecze[[#This Row],[/PR:90]:[/BR:90]]))</f>
        <v>0.25510204081632654</v>
      </c>
      <c r="Z2425" s="35">
        <f>IF(Mecze[[#This Row],[KC]]=0,SUM(Mecze[[#This Row],[/BRI]:[/NPI]]),SUM(Mecze[[#This Row],[/BRI]:[/NPI]])*0.6)</f>
        <v>1.3163265306122451</v>
      </c>
      <c r="AA2425" s="10">
        <f>IFERROR(Mecze[[#This Row],[BR]]/Mecze[[#This Row],[ST]],0)</f>
        <v>0</v>
      </c>
      <c r="AB2425">
        <f>ROUND(Mecze[[#This Row],[PD]]*Mecze[[#This Row],[%PC]],0)</f>
        <v>15</v>
      </c>
      <c r="AC2425">
        <f>ROUND(Mecze[[#This Row],[OD]]*Mecze[[#This Row],[%OU]],0)</f>
        <v>3</v>
      </c>
      <c r="AD2425" s="36" t="s">
        <v>41</v>
      </c>
      <c r="AE2425" s="36">
        <v>136</v>
      </c>
      <c r="AF2425" s="71">
        <v>6.29</v>
      </c>
      <c r="AG2425" s="37">
        <v>0</v>
      </c>
      <c r="AH2425" s="37">
        <v>0</v>
      </c>
      <c r="AI2425" s="37">
        <v>98</v>
      </c>
      <c r="AJ2425" s="37">
        <v>10</v>
      </c>
      <c r="AK2425" s="37" t="str">
        <f>VLOOKUP(Mecze[[#This Row],[Match ID]],Meczusie[Mecz]:Meczusie[RodzajMeczu],2,FALSE)</f>
        <v>Liga</v>
      </c>
    </row>
    <row r="2426" spans="1:37" x14ac:dyDescent="0.25">
      <c r="A2426" s="76">
        <v>13</v>
      </c>
      <c r="B2426" s="3" t="s">
        <v>403</v>
      </c>
      <c r="C2426" s="2" t="s">
        <v>160</v>
      </c>
      <c r="D2426" s="1">
        <v>0</v>
      </c>
      <c r="E2426" s="1">
        <v>0</v>
      </c>
      <c r="F2426" s="1">
        <v>0</v>
      </c>
      <c r="G2426" s="1">
        <v>9</v>
      </c>
      <c r="H2426" s="4">
        <v>0.44</v>
      </c>
      <c r="I2426" s="1">
        <v>7</v>
      </c>
      <c r="J2426" s="4">
        <v>0.14000000000000001</v>
      </c>
      <c r="K2426" s="1">
        <v>0</v>
      </c>
      <c r="L2426" s="1">
        <v>7</v>
      </c>
      <c r="M2426" s="32">
        <f>IF(Mecze[[#This Row],[PR]]=0,0,Mecze[[#This Row],[PR]]/Mecze[[#This Row],[CZAS]])</f>
        <v>7.1428571428571425E-2</v>
      </c>
      <c r="N2426" s="32">
        <f>IF(Mecze[[#This Row],[OU]]=0,0,Mecze[[#This Row],[OU]]/Mecze[[#This Row],[CZAS]])</f>
        <v>1.020408163265306E-2</v>
      </c>
      <c r="O2426" s="32">
        <f>IF(Mecze[[#This Row],[PC]]=0,0,Mecze[[#This Row],[PC]]/Mecze[[#This Row],[CZAS]])</f>
        <v>4.0816326530612242E-2</v>
      </c>
      <c r="P2426" s="32">
        <f>IF(Mecze[[#This Row],[SC]]=0,0,Mecze[[#This Row],[SC]]/Mecze[[#This Row],[CZAS]])</f>
        <v>0</v>
      </c>
      <c r="Q2426" s="32">
        <f>IF(Mecze[[#This Row],[OB]]=0,0,Mecze[[#This Row],[OB]]/Mecze[[#This Row],[CZAS]])</f>
        <v>0</v>
      </c>
      <c r="R2426" s="32">
        <f>IF(Mecze[[#This Row],[BR]]=0,0,Mecze[[#This Row],[BR]]/Mecze[[#This Row],[CZAS]])</f>
        <v>0</v>
      </c>
      <c r="S2426" s="44">
        <f>IF(Mecze[[#This Row],[Role]]="BR",SUMPRODUCT(Mecze[[#This Row],[/PR:90]:[/BR:90]],Brudnopis!$E$23:$J$23),0)</f>
        <v>0</v>
      </c>
      <c r="T2426" s="44">
        <f>IF(Mecze[[#This Row],[Role]]&lt;&gt;"BR",SUMPRODUCT(Mecze[[#This Row],[/PR:90]:[/BR:90]],Brudnopis!$E$24:$J$24),0)</f>
        <v>0.12755102040816327</v>
      </c>
      <c r="U2426" s="44">
        <f>IF(Mecze[[#This Row],[Role]]&lt;&gt;"BR",SUMPRODUCT(Mecze[[#This Row],[/PR:90]:[/BR:90]],Brudnopis!$E$25:$J$25),0)</f>
        <v>0.14285714285714285</v>
      </c>
      <c r="V2426" s="44">
        <f>IF(Mecze[[#This Row],[Role]]&lt;&gt;"BR",SUMPRODUCT(Mecze[[#This Row],[/PR:90]:[/BR:90]],Brudnopis!$E$26:$J$26),0)</f>
        <v>0.12244897959183673</v>
      </c>
      <c r="W2426" s="44">
        <f>IF(Mecze[[#This Row],[Role]]&lt;&gt;"BR",SUMPRODUCT(Mecze[[#This Row],[/PR:90]:[/BR:90]],Brudnopis!$E$27:$J$27),0)</f>
        <v>0.12244897959183673</v>
      </c>
      <c r="X2426" s="44">
        <f>IF(Mecze[[#This Row],[Role]]&lt;&gt;"BR",SUMPRODUCT(Mecze[[#This Row],[/PR:90]:[/BR:90]],Brudnopis!$E$28:$J$28),0)</f>
        <v>4.0816326530612242E-2</v>
      </c>
      <c r="Y2426" s="35">
        <f>IF(Mecze[[#This Row],[Role]]="BR",Mecze[[#This Row],[/OB:90]]+Mecze[[#This Row],[/PC:90]],SUM(Mecze[[#This Row],[/PR:90]:[/BR:90]]))</f>
        <v>0.12244897959183673</v>
      </c>
      <c r="Z2426" s="35">
        <f>IF(Mecze[[#This Row],[KC]]=0,SUM(Mecze[[#This Row],[/BRI]:[/NPI]]),SUM(Mecze[[#This Row],[/BRI]:[/NPI]])*0.6)</f>
        <v>0.55612244897959195</v>
      </c>
      <c r="AA2426" s="10">
        <f>IFERROR(Mecze[[#This Row],[BR]]/Mecze[[#This Row],[ST]],0)</f>
        <v>0</v>
      </c>
      <c r="AB2426">
        <f>ROUND(Mecze[[#This Row],[PD]]*Mecze[[#This Row],[%PC]],0)</f>
        <v>4</v>
      </c>
      <c r="AC2426">
        <f>ROUND(Mecze[[#This Row],[OD]]*Mecze[[#This Row],[%OU]],0)</f>
        <v>1</v>
      </c>
      <c r="AD2426" s="36" t="s">
        <v>41</v>
      </c>
      <c r="AE2426" s="36">
        <v>136</v>
      </c>
      <c r="AF2426" s="71">
        <v>4.17</v>
      </c>
      <c r="AG2426" s="37">
        <v>0</v>
      </c>
      <c r="AH2426" s="37">
        <v>0</v>
      </c>
      <c r="AI2426" s="37">
        <v>98</v>
      </c>
      <c r="AJ2426" s="37">
        <v>10</v>
      </c>
      <c r="AK2426" s="37" t="str">
        <f>VLOOKUP(Mecze[[#This Row],[Match ID]],Meczusie[Mecz]:Meczusie[RodzajMeczu],2,FALSE)</f>
        <v>Liga</v>
      </c>
    </row>
    <row r="2427" spans="1:37" x14ac:dyDescent="0.25">
      <c r="A2427" s="76">
        <v>11</v>
      </c>
      <c r="B2427" s="3" t="s">
        <v>243</v>
      </c>
      <c r="C2427" s="2" t="s">
        <v>160</v>
      </c>
      <c r="D2427" s="1">
        <v>0</v>
      </c>
      <c r="E2427" s="1">
        <v>1</v>
      </c>
      <c r="F2427" s="1">
        <v>0</v>
      </c>
      <c r="G2427" s="1">
        <v>12</v>
      </c>
      <c r="H2427" s="4">
        <v>0.25</v>
      </c>
      <c r="I2427" s="1">
        <v>3</v>
      </c>
      <c r="J2427" s="4">
        <v>0.67</v>
      </c>
      <c r="K2427" s="1">
        <v>0</v>
      </c>
      <c r="L2427" s="1">
        <v>2</v>
      </c>
      <c r="M2427" s="32">
        <f>IF(Mecze[[#This Row],[PR]]=0,0,Mecze[[#This Row],[PR]]/Mecze[[#This Row],[CZAS]])</f>
        <v>2.0408163265306121E-2</v>
      </c>
      <c r="N2427" s="32">
        <f>IF(Mecze[[#This Row],[OU]]=0,0,Mecze[[#This Row],[OU]]/Mecze[[#This Row],[CZAS]])</f>
        <v>2.0408163265306121E-2</v>
      </c>
      <c r="O2427" s="32">
        <f>IF(Mecze[[#This Row],[PC]]=0,0,Mecze[[#This Row],[PC]]/Mecze[[#This Row],[CZAS]])</f>
        <v>3.0612244897959183E-2</v>
      </c>
      <c r="P2427" s="32">
        <f>IF(Mecze[[#This Row],[SC]]=0,0,Mecze[[#This Row],[SC]]/Mecze[[#This Row],[CZAS]])</f>
        <v>0</v>
      </c>
      <c r="Q2427" s="32">
        <f>IF(Mecze[[#This Row],[OB]]=0,0,Mecze[[#This Row],[OB]]/Mecze[[#This Row],[CZAS]])</f>
        <v>0</v>
      </c>
      <c r="R2427" s="32">
        <f>IF(Mecze[[#This Row],[BR]]=0,0,Mecze[[#This Row],[BR]]/Mecze[[#This Row],[CZAS]])</f>
        <v>0</v>
      </c>
      <c r="S2427" s="44">
        <f>IF(Mecze[[#This Row],[Role]]="BR",SUMPRODUCT(Mecze[[#This Row],[/PR:90]:[/BR:90]],Brudnopis!$E$23:$J$23),0)</f>
        <v>0</v>
      </c>
      <c r="T2427" s="44">
        <f>IF(Mecze[[#This Row],[Role]]&lt;&gt;"BR",SUMPRODUCT(Mecze[[#This Row],[/PR:90]:[/BR:90]],Brudnopis!$E$24:$J$24),0)</f>
        <v>8.1632653061224497E-2</v>
      </c>
      <c r="U2427" s="44">
        <f>IF(Mecze[[#This Row],[Role]]&lt;&gt;"BR",SUMPRODUCT(Mecze[[#This Row],[/PR:90]:[/BR:90]],Brudnopis!$E$25:$J$25),0)</f>
        <v>8.6734693877551006E-2</v>
      </c>
      <c r="V2427" s="44">
        <f>IF(Mecze[[#This Row],[Role]]&lt;&gt;"BR",SUMPRODUCT(Mecze[[#This Row],[/PR:90]:[/BR:90]],Brudnopis!$E$26:$J$26),0)</f>
        <v>7.1428571428571425E-2</v>
      </c>
      <c r="W2427" s="44">
        <f>IF(Mecze[[#This Row],[Role]]&lt;&gt;"BR",SUMPRODUCT(Mecze[[#This Row],[/PR:90]:[/BR:90]],Brudnopis!$E$27:$J$27),0)</f>
        <v>7.6530612244897961E-2</v>
      </c>
      <c r="X2427" s="44">
        <f>IF(Mecze[[#This Row],[Role]]&lt;&gt;"BR",SUMPRODUCT(Mecze[[#This Row],[/PR:90]:[/BR:90]],Brudnopis!$E$28:$J$28),0)</f>
        <v>3.0612244897959183E-2</v>
      </c>
      <c r="Y2427" s="35">
        <f>IF(Mecze[[#This Row],[Role]]="BR",Mecze[[#This Row],[/OB:90]]+Mecze[[#This Row],[/PC:90]],SUM(Mecze[[#This Row],[/PR:90]:[/BR:90]]))</f>
        <v>7.1428571428571425E-2</v>
      </c>
      <c r="Z2427" s="35">
        <f>IF(Mecze[[#This Row],[KC]]=0,SUM(Mecze[[#This Row],[/BRI]:[/NPI]]),SUM(Mecze[[#This Row],[/BRI]:[/NPI]])*0.6)</f>
        <v>0.34693877551020408</v>
      </c>
      <c r="AA2427" s="10">
        <f>IFERROR(Mecze[[#This Row],[BR]]/Mecze[[#This Row],[ST]],0)</f>
        <v>0</v>
      </c>
      <c r="AB2427">
        <f>ROUND(Mecze[[#This Row],[PD]]*Mecze[[#This Row],[%PC]],0)</f>
        <v>3</v>
      </c>
      <c r="AC2427">
        <f>ROUND(Mecze[[#This Row],[OD]]*Mecze[[#This Row],[%OU]],0)</f>
        <v>2</v>
      </c>
      <c r="AD2427" s="36" t="s">
        <v>67</v>
      </c>
      <c r="AE2427" s="36">
        <v>136</v>
      </c>
      <c r="AF2427" s="71">
        <v>3.12</v>
      </c>
      <c r="AG2427" s="37">
        <v>0</v>
      </c>
      <c r="AH2427" s="37">
        <v>0</v>
      </c>
      <c r="AI2427" s="37">
        <v>98</v>
      </c>
      <c r="AJ2427" s="37">
        <v>10</v>
      </c>
      <c r="AK2427" s="37" t="str">
        <f>VLOOKUP(Mecze[[#This Row],[Match ID]],Meczusie[Mecz]:Meczusie[RodzajMeczu],2,FALSE)</f>
        <v>Liga</v>
      </c>
    </row>
    <row r="2428" spans="1:37" x14ac:dyDescent="0.25">
      <c r="A2428" s="76">
        <v>14</v>
      </c>
      <c r="B2428" s="3" t="s">
        <v>244</v>
      </c>
      <c r="C2428" s="2" t="s">
        <v>165</v>
      </c>
      <c r="D2428" s="1">
        <v>0</v>
      </c>
      <c r="E2428" s="1">
        <v>2</v>
      </c>
      <c r="F2428" s="1">
        <v>2</v>
      </c>
      <c r="G2428" s="1">
        <v>5</v>
      </c>
      <c r="H2428" s="4">
        <v>0.4</v>
      </c>
      <c r="I2428" s="1">
        <v>3</v>
      </c>
      <c r="J2428" s="4">
        <v>0.33</v>
      </c>
      <c r="K2428" s="1">
        <v>0</v>
      </c>
      <c r="L2428" s="1">
        <v>1</v>
      </c>
      <c r="M2428" s="32">
        <f>IF(Mecze[[#This Row],[PR]]=0,0,Mecze[[#This Row],[PR]]/Mecze[[#This Row],[CZAS]])</f>
        <v>1.020408163265306E-2</v>
      </c>
      <c r="N2428" s="32">
        <f>IF(Mecze[[#This Row],[OU]]=0,0,Mecze[[#This Row],[OU]]/Mecze[[#This Row],[CZAS]])</f>
        <v>1.020408163265306E-2</v>
      </c>
      <c r="O2428" s="32">
        <f>IF(Mecze[[#This Row],[PC]]=0,0,Mecze[[#This Row],[PC]]/Mecze[[#This Row],[CZAS]])</f>
        <v>2.0408163265306121E-2</v>
      </c>
      <c r="P2428" s="32">
        <f>IF(Mecze[[#This Row],[SC]]=0,0,Mecze[[#This Row],[SC]]/Mecze[[#This Row],[CZAS]])</f>
        <v>2.0408163265306121E-2</v>
      </c>
      <c r="Q2428" s="32">
        <f>IF(Mecze[[#This Row],[OB]]=0,0,Mecze[[#This Row],[OB]]/Mecze[[#This Row],[CZAS]])</f>
        <v>0</v>
      </c>
      <c r="R2428" s="32">
        <f>IF(Mecze[[#This Row],[BR]]=0,0,Mecze[[#This Row],[BR]]/Mecze[[#This Row],[CZAS]])</f>
        <v>0</v>
      </c>
      <c r="S2428" s="44">
        <f>IF(Mecze[[#This Row],[Role]]="BR",SUMPRODUCT(Mecze[[#This Row],[/PR:90]:[/BR:90]],Brudnopis!$E$23:$J$23),0)</f>
        <v>0</v>
      </c>
      <c r="T2428" s="44">
        <f>IF(Mecze[[#This Row],[Role]]&lt;&gt;"BR",SUMPRODUCT(Mecze[[#This Row],[/PR:90]:[/BR:90]],Brudnopis!$E$24:$J$24),0)</f>
        <v>6.6326530612244888E-2</v>
      </c>
      <c r="U2428" s="44">
        <f>IF(Mecze[[#This Row],[Role]]&lt;&gt;"BR",SUMPRODUCT(Mecze[[#This Row],[/PR:90]:[/BR:90]],Brudnopis!$E$25:$J$25),0)</f>
        <v>7.1428571428571425E-2</v>
      </c>
      <c r="V2428" s="44">
        <f>IF(Mecze[[#This Row],[Role]]&lt;&gt;"BR",SUMPRODUCT(Mecze[[#This Row],[/PR:90]:[/BR:90]],Brudnopis!$E$26:$J$26),0)</f>
        <v>6.1224489795918366E-2</v>
      </c>
      <c r="W2428" s="44">
        <f>IF(Mecze[[#This Row],[Role]]&lt;&gt;"BR",SUMPRODUCT(Mecze[[#This Row],[/PR:90]:[/BR:90]],Brudnopis!$E$27:$J$27),0)</f>
        <v>6.6326530612244888E-2</v>
      </c>
      <c r="X2428" s="44">
        <f>IF(Mecze[[#This Row],[Role]]&lt;&gt;"BR",SUMPRODUCT(Mecze[[#This Row],[/PR:90]:[/BR:90]],Brudnopis!$E$28:$J$28),0)</f>
        <v>6.1224489795918366E-2</v>
      </c>
      <c r="Y2428" s="35">
        <f>IF(Mecze[[#This Row],[Role]]="BR",Mecze[[#This Row],[/OB:90]]+Mecze[[#This Row],[/PC:90]],SUM(Mecze[[#This Row],[/PR:90]:[/BR:90]]))</f>
        <v>6.1224489795918366E-2</v>
      </c>
      <c r="Z2428" s="35">
        <f>IF(Mecze[[#This Row],[KC]]=0,SUM(Mecze[[#This Row],[/BRI]:[/NPI]]),SUM(Mecze[[#This Row],[/BRI]:[/NPI]])*0.6)</f>
        <v>0.32653061224489793</v>
      </c>
      <c r="AA2428" s="10">
        <f>IFERROR(Mecze[[#This Row],[BR]]/Mecze[[#This Row],[ST]],0)</f>
        <v>0</v>
      </c>
      <c r="AB2428">
        <f>ROUND(Mecze[[#This Row],[PD]]*Mecze[[#This Row],[%PC]],0)</f>
        <v>2</v>
      </c>
      <c r="AC2428">
        <f>ROUND(Mecze[[#This Row],[OD]]*Mecze[[#This Row],[%OU]],0)</f>
        <v>1</v>
      </c>
      <c r="AD2428" s="36" t="s">
        <v>46</v>
      </c>
      <c r="AE2428" s="36">
        <v>136</v>
      </c>
      <c r="AF2428" s="71">
        <v>3.15</v>
      </c>
      <c r="AG2428" s="37">
        <v>0</v>
      </c>
      <c r="AH2428" s="37">
        <v>0</v>
      </c>
      <c r="AI2428" s="37">
        <v>98</v>
      </c>
      <c r="AJ2428" s="37">
        <v>10</v>
      </c>
      <c r="AK2428" s="37" t="str">
        <f>VLOOKUP(Mecze[[#This Row],[Match ID]],Meczusie[Mecz]:Meczusie[RodzajMeczu],2,FALSE)</f>
        <v>Liga</v>
      </c>
    </row>
    <row r="2429" spans="1:37" x14ac:dyDescent="0.25">
      <c r="A2429" s="76">
        <v>9</v>
      </c>
      <c r="B2429" s="3" t="s">
        <v>451</v>
      </c>
      <c r="C2429" s="2" t="s">
        <v>165</v>
      </c>
      <c r="D2429" s="1">
        <v>0</v>
      </c>
      <c r="E2429" s="1">
        <v>1</v>
      </c>
      <c r="F2429" s="1">
        <v>1</v>
      </c>
      <c r="G2429" s="1">
        <v>5</v>
      </c>
      <c r="H2429" s="4">
        <v>0.8</v>
      </c>
      <c r="I2429" s="1">
        <v>2</v>
      </c>
      <c r="J2429" s="4">
        <v>0</v>
      </c>
      <c r="K2429" s="1">
        <v>0</v>
      </c>
      <c r="L2429" s="1">
        <v>3</v>
      </c>
      <c r="M2429" s="32">
        <f>IF(Mecze[[#This Row],[PR]]=0,0,Mecze[[#This Row],[PR]]/Mecze[[#This Row],[CZAS]])</f>
        <v>3.0612244897959183E-2</v>
      </c>
      <c r="N2429" s="32">
        <f>IF(Mecze[[#This Row],[OU]]=0,0,Mecze[[#This Row],[OU]]/Mecze[[#This Row],[CZAS]])</f>
        <v>0</v>
      </c>
      <c r="O2429" s="32">
        <f>IF(Mecze[[#This Row],[PC]]=0,0,Mecze[[#This Row],[PC]]/Mecze[[#This Row],[CZAS]])</f>
        <v>4.0816326530612242E-2</v>
      </c>
      <c r="P2429" s="32">
        <f>IF(Mecze[[#This Row],[SC]]=0,0,Mecze[[#This Row],[SC]]/Mecze[[#This Row],[CZAS]])</f>
        <v>1.020408163265306E-2</v>
      </c>
      <c r="Q2429" s="32">
        <f>IF(Mecze[[#This Row],[OB]]=0,0,Mecze[[#This Row],[OB]]/Mecze[[#This Row],[CZAS]])</f>
        <v>0</v>
      </c>
      <c r="R2429" s="32">
        <f>IF(Mecze[[#This Row],[BR]]=0,0,Mecze[[#This Row],[BR]]/Mecze[[#This Row],[CZAS]])</f>
        <v>0</v>
      </c>
      <c r="S2429" s="44">
        <f>IF(Mecze[[#This Row],[Role]]="BR",SUMPRODUCT(Mecze[[#This Row],[/PR:90]:[/BR:90]],Brudnopis!$E$23:$J$23),0)</f>
        <v>0</v>
      </c>
      <c r="T2429" s="44">
        <f>IF(Mecze[[#This Row],[Role]]&lt;&gt;"BR",SUMPRODUCT(Mecze[[#This Row],[/PR:90]:[/BR:90]],Brudnopis!$E$24:$J$24),0)</f>
        <v>8.1632653061224483E-2</v>
      </c>
      <c r="U2429" s="44">
        <f>IF(Mecze[[#This Row],[Role]]&lt;&gt;"BR",SUMPRODUCT(Mecze[[#This Row],[/PR:90]:[/BR:90]],Brudnopis!$E$25:$J$25),0)</f>
        <v>0.1020408163265306</v>
      </c>
      <c r="V2429" s="44">
        <f>IF(Mecze[[#This Row],[Role]]&lt;&gt;"BR",SUMPRODUCT(Mecze[[#This Row],[/PR:90]:[/BR:90]],Brudnopis!$E$26:$J$26),0)</f>
        <v>8.1632653061224483E-2</v>
      </c>
      <c r="W2429" s="44">
        <f>IF(Mecze[[#This Row],[Role]]&lt;&gt;"BR",SUMPRODUCT(Mecze[[#This Row],[/PR:90]:[/BR:90]],Brudnopis!$E$27:$J$27),0)</f>
        <v>9.438775510204081E-2</v>
      </c>
      <c r="X2429" s="44">
        <f>IF(Mecze[[#This Row],[Role]]&lt;&gt;"BR",SUMPRODUCT(Mecze[[#This Row],[/PR:90]:[/BR:90]],Brudnopis!$E$28:$J$28),0)</f>
        <v>6.1224489795918366E-2</v>
      </c>
      <c r="Y2429" s="35">
        <f>IF(Mecze[[#This Row],[Role]]="BR",Mecze[[#This Row],[/OB:90]]+Mecze[[#This Row],[/PC:90]],SUM(Mecze[[#This Row],[/PR:90]:[/BR:90]]))</f>
        <v>8.1632653061224483E-2</v>
      </c>
      <c r="Z2429" s="35">
        <f>IF(Mecze[[#This Row],[KC]]=0,SUM(Mecze[[#This Row],[/BRI]:[/NPI]]),SUM(Mecze[[#This Row],[/BRI]:[/NPI]])*0.6)</f>
        <v>0.42091836734693872</v>
      </c>
      <c r="AA2429" s="10">
        <f>IFERROR(Mecze[[#This Row],[BR]]/Mecze[[#This Row],[ST]],0)</f>
        <v>0</v>
      </c>
      <c r="AB2429">
        <f>ROUND(Mecze[[#This Row],[PD]]*Mecze[[#This Row],[%PC]],0)</f>
        <v>4</v>
      </c>
      <c r="AC2429">
        <f>ROUND(Mecze[[#This Row],[OD]]*Mecze[[#This Row],[%OU]],0)</f>
        <v>0</v>
      </c>
      <c r="AD2429" s="36" t="s">
        <v>46</v>
      </c>
      <c r="AE2429" s="36">
        <v>136</v>
      </c>
      <c r="AF2429" s="71">
        <v>5.18</v>
      </c>
      <c r="AG2429" s="37">
        <v>0</v>
      </c>
      <c r="AH2429" s="37">
        <v>0</v>
      </c>
      <c r="AI2429" s="37">
        <v>98</v>
      </c>
      <c r="AJ2429" s="37">
        <v>10</v>
      </c>
      <c r="AK2429" s="37" t="str">
        <f>VLOOKUP(Mecze[[#This Row],[Match ID]],Meczusie[Mecz]:Meczusie[RodzajMeczu],2,FALSE)</f>
        <v>Liga</v>
      </c>
    </row>
    <row r="2430" spans="1:37" x14ac:dyDescent="0.25">
      <c r="A2430" s="76">
        <v>10</v>
      </c>
      <c r="B2430" s="3" t="s">
        <v>246</v>
      </c>
      <c r="C2430" s="2" t="s">
        <v>165</v>
      </c>
      <c r="D2430" s="1">
        <v>0</v>
      </c>
      <c r="E2430" s="1">
        <v>6</v>
      </c>
      <c r="F2430" s="1">
        <v>5</v>
      </c>
      <c r="G2430" s="1">
        <v>8</v>
      </c>
      <c r="H2430" s="4">
        <v>0.75</v>
      </c>
      <c r="I2430" s="1">
        <v>6</v>
      </c>
      <c r="J2430" s="4">
        <v>0.17</v>
      </c>
      <c r="K2430" s="1">
        <v>0</v>
      </c>
      <c r="L2430" s="1">
        <v>0</v>
      </c>
      <c r="M2430" s="32">
        <f>IF(Mecze[[#This Row],[PR]]=0,0,Mecze[[#This Row],[PR]]/Mecze[[#This Row],[CZAS]])</f>
        <v>0</v>
      </c>
      <c r="N2430" s="32">
        <f>IF(Mecze[[#This Row],[OU]]=0,0,Mecze[[#This Row],[OU]]/Mecze[[#This Row],[CZAS]])</f>
        <v>1.020408163265306E-2</v>
      </c>
      <c r="O2430" s="32">
        <f>IF(Mecze[[#This Row],[PC]]=0,0,Mecze[[#This Row],[PC]]/Mecze[[#This Row],[CZAS]])</f>
        <v>6.1224489795918366E-2</v>
      </c>
      <c r="P2430" s="32">
        <f>IF(Mecze[[#This Row],[SC]]=0,0,Mecze[[#This Row],[SC]]/Mecze[[#This Row],[CZAS]])</f>
        <v>5.1020408163265307E-2</v>
      </c>
      <c r="Q2430" s="32">
        <f>IF(Mecze[[#This Row],[OB]]=0,0,Mecze[[#This Row],[OB]]/Mecze[[#This Row],[CZAS]])</f>
        <v>0</v>
      </c>
      <c r="R2430" s="32">
        <f>IF(Mecze[[#This Row],[BR]]=0,0,Mecze[[#This Row],[BR]]/Mecze[[#This Row],[CZAS]])</f>
        <v>0</v>
      </c>
      <c r="S2430" s="44">
        <f>IF(Mecze[[#This Row],[Role]]="BR",SUMPRODUCT(Mecze[[#This Row],[/PR:90]:[/BR:90]],Brudnopis!$E$23:$J$23),0)</f>
        <v>0</v>
      </c>
      <c r="T2430" s="44">
        <f>IF(Mecze[[#This Row],[Role]]&lt;&gt;"BR",SUMPRODUCT(Mecze[[#This Row],[/PR:90]:[/BR:90]],Brudnopis!$E$24:$J$24),0)</f>
        <v>0.12755102040816327</v>
      </c>
      <c r="U2430" s="44">
        <f>IF(Mecze[[#This Row],[Role]]&lt;&gt;"BR",SUMPRODUCT(Mecze[[#This Row],[/PR:90]:[/BR:90]],Brudnopis!$E$25:$J$25),0)</f>
        <v>0.15306122448979592</v>
      </c>
      <c r="V2430" s="44">
        <f>IF(Mecze[[#This Row],[Role]]&lt;&gt;"BR",SUMPRODUCT(Mecze[[#This Row],[/PR:90]:[/BR:90]],Brudnopis!$E$26:$J$26),0)</f>
        <v>0.12244897959183673</v>
      </c>
      <c r="W2430" s="44">
        <f>IF(Mecze[[#This Row],[Role]]&lt;&gt;"BR",SUMPRODUCT(Mecze[[#This Row],[/PR:90]:[/BR:90]],Brudnopis!$E$27:$J$27),0)</f>
        <v>0.15051020408163263</v>
      </c>
      <c r="X2430" s="44">
        <f>IF(Mecze[[#This Row],[Role]]&lt;&gt;"BR",SUMPRODUCT(Mecze[[#This Row],[/PR:90]:[/BR:90]],Brudnopis!$E$28:$J$28),0)</f>
        <v>0.16326530612244899</v>
      </c>
      <c r="Y2430" s="35">
        <f>IF(Mecze[[#This Row],[Role]]="BR",Mecze[[#This Row],[/OB:90]]+Mecze[[#This Row],[/PC:90]],SUM(Mecze[[#This Row],[/PR:90]:[/BR:90]]))</f>
        <v>0.12244897959183673</v>
      </c>
      <c r="Z2430" s="35">
        <f>IF(Mecze[[#This Row],[KC]]=0,SUM(Mecze[[#This Row],[/BRI]:[/NPI]]),SUM(Mecze[[#This Row],[/BRI]:[/NPI]])*0.6)</f>
        <v>0.71683673469387754</v>
      </c>
      <c r="AA2430" s="10">
        <f>IFERROR(Mecze[[#This Row],[BR]]/Mecze[[#This Row],[ST]],0)</f>
        <v>0</v>
      </c>
      <c r="AB2430">
        <f>ROUND(Mecze[[#This Row],[PD]]*Mecze[[#This Row],[%PC]],0)</f>
        <v>6</v>
      </c>
      <c r="AC2430">
        <f>ROUND(Mecze[[#This Row],[OD]]*Mecze[[#This Row],[%OU]],0)</f>
        <v>1</v>
      </c>
      <c r="AD2430" s="36" t="s">
        <v>46</v>
      </c>
      <c r="AE2430" s="36">
        <v>136</v>
      </c>
      <c r="AF2430" s="71">
        <v>5.14</v>
      </c>
      <c r="AG2430" s="37">
        <v>0</v>
      </c>
      <c r="AH2430" s="37">
        <v>0</v>
      </c>
      <c r="AI2430" s="37">
        <v>98</v>
      </c>
      <c r="AJ2430" s="37">
        <v>10</v>
      </c>
      <c r="AK2430" s="37" t="str">
        <f>VLOOKUP(Mecze[[#This Row],[Match ID]],Meczusie[Mecz]:Meczusie[RodzajMeczu],2,FALSE)</f>
        <v>Liga</v>
      </c>
    </row>
    <row r="2431" spans="1:37" x14ac:dyDescent="0.25">
      <c r="A2431" s="76">
        <v>1</v>
      </c>
      <c r="B2431" s="3" t="s">
        <v>261</v>
      </c>
      <c r="C2431" s="2" t="s">
        <v>155</v>
      </c>
      <c r="D2431" s="1">
        <v>0</v>
      </c>
      <c r="E2431" s="1">
        <v>0</v>
      </c>
      <c r="F2431" s="1">
        <v>0</v>
      </c>
      <c r="G2431" s="1">
        <v>10</v>
      </c>
      <c r="H2431" s="4">
        <v>0.1</v>
      </c>
      <c r="I2431" s="1">
        <v>0</v>
      </c>
      <c r="J2431" s="4"/>
      <c r="K2431" s="1">
        <v>8</v>
      </c>
      <c r="L2431" s="1">
        <v>0</v>
      </c>
      <c r="M2431" s="32">
        <f>IF(Mecze[[#This Row],[PR]]=0,0,Mecze[[#This Row],[PR]]/Mecze[[#This Row],[CZAS]])</f>
        <v>0</v>
      </c>
      <c r="N2431" s="32">
        <f>IF(Mecze[[#This Row],[OU]]=0,0,Mecze[[#This Row],[OU]]/Mecze[[#This Row],[CZAS]])</f>
        <v>0</v>
      </c>
      <c r="O2431" s="32">
        <f>IF(Mecze[[#This Row],[PC]]=0,0,Mecze[[#This Row],[PC]]/Mecze[[#This Row],[CZAS]])</f>
        <v>1.020408163265306E-2</v>
      </c>
      <c r="P2431" s="32">
        <f>IF(Mecze[[#This Row],[SC]]=0,0,Mecze[[#This Row],[SC]]/Mecze[[#This Row],[CZAS]])</f>
        <v>0</v>
      </c>
      <c r="Q2431" s="32">
        <f>IF(Mecze[[#This Row],[OB]]=0,0,Mecze[[#This Row],[OB]]/Mecze[[#This Row],[CZAS]])</f>
        <v>8.1632653061224483E-2</v>
      </c>
      <c r="R2431" s="32">
        <f>IF(Mecze[[#This Row],[BR]]=0,0,Mecze[[#This Row],[BR]]/Mecze[[#This Row],[CZAS]])</f>
        <v>0</v>
      </c>
      <c r="S2431" s="44">
        <f>IF(Mecze[[#This Row],[Role]]="BR",SUMPRODUCT(Mecze[[#This Row],[/PR:90]:[/BR:90]],Brudnopis!$E$23:$J$23),0)</f>
        <v>0.27551020408163263</v>
      </c>
      <c r="T2431" s="44">
        <f>IF(Mecze[[#This Row],[Role]]&lt;&gt;"BR",SUMPRODUCT(Mecze[[#This Row],[/PR:90]:[/BR:90]],Brudnopis!$E$24:$J$24),0)</f>
        <v>0</v>
      </c>
      <c r="U2431" s="44">
        <f>IF(Mecze[[#This Row],[Role]]&lt;&gt;"BR",SUMPRODUCT(Mecze[[#This Row],[/PR:90]:[/BR:90]],Brudnopis!$E$25:$J$25),0)</f>
        <v>0</v>
      </c>
      <c r="V2431" s="44">
        <f>IF(Mecze[[#This Row],[Role]]&lt;&gt;"BR",SUMPRODUCT(Mecze[[#This Row],[/PR:90]:[/BR:90]],Brudnopis!$E$26:$J$26),0)</f>
        <v>0</v>
      </c>
      <c r="W2431" s="44">
        <f>IF(Mecze[[#This Row],[Role]]&lt;&gt;"BR",SUMPRODUCT(Mecze[[#This Row],[/PR:90]:[/BR:90]],Brudnopis!$E$27:$J$27),0)</f>
        <v>0</v>
      </c>
      <c r="X2431" s="44">
        <f>IF(Mecze[[#This Row],[Role]]&lt;&gt;"BR",SUMPRODUCT(Mecze[[#This Row],[/PR:90]:[/BR:90]],Brudnopis!$E$28:$J$28),0)</f>
        <v>0</v>
      </c>
      <c r="Y2431" s="35">
        <f>IF(Mecze[[#This Row],[Role]]="BR",Mecze[[#This Row],[/OB:90]]+Mecze[[#This Row],[/PC:90]],SUM(Mecze[[#This Row],[/PR:90]:[/BR:90]]))</f>
        <v>9.1836734693877542E-2</v>
      </c>
      <c r="Z2431" s="35">
        <f>IF(Mecze[[#This Row],[KC]]=0,SUM(Mecze[[#This Row],[/BRI]:[/NPI]]),SUM(Mecze[[#This Row],[/BRI]:[/NPI]])*0.6)</f>
        <v>0.27551020408163263</v>
      </c>
      <c r="AA2431" s="10">
        <f>IFERROR(Mecze[[#This Row],[BR]]/Mecze[[#This Row],[ST]],0)</f>
        <v>0</v>
      </c>
      <c r="AB2431">
        <f>ROUND(Mecze[[#This Row],[PD]]*Mecze[[#This Row],[%PC]],0)</f>
        <v>1</v>
      </c>
      <c r="AC2431">
        <f>ROUND(Mecze[[#This Row],[OD]]*Mecze[[#This Row],[%OU]],0)</f>
        <v>0</v>
      </c>
      <c r="AD2431" s="36" t="s">
        <v>40</v>
      </c>
      <c r="AE2431" s="36">
        <v>136</v>
      </c>
      <c r="AF2431" s="71">
        <v>9.84</v>
      </c>
      <c r="AG2431" s="37">
        <v>0</v>
      </c>
      <c r="AH2431" s="37">
        <v>0</v>
      </c>
      <c r="AI2431" s="37">
        <v>98</v>
      </c>
      <c r="AJ2431" s="37">
        <v>3</v>
      </c>
      <c r="AK2431" s="37" t="str">
        <f>VLOOKUP(Mecze[[#This Row],[Match ID]],Meczusie[Mecz]:Meczusie[RodzajMeczu],2,FALSE)</f>
        <v>Liga</v>
      </c>
    </row>
    <row r="2432" spans="1:37" x14ac:dyDescent="0.25">
      <c r="A2432" s="76">
        <v>13</v>
      </c>
      <c r="B2432" s="3" t="s">
        <v>262</v>
      </c>
      <c r="C2432" s="2" t="s">
        <v>157</v>
      </c>
      <c r="D2432" s="1">
        <v>0</v>
      </c>
      <c r="E2432" s="1">
        <v>0</v>
      </c>
      <c r="F2432" s="1">
        <v>0</v>
      </c>
      <c r="G2432" s="1">
        <v>4</v>
      </c>
      <c r="H2432" s="4">
        <v>0.5</v>
      </c>
      <c r="I2432" s="1">
        <v>2</v>
      </c>
      <c r="J2432" s="4">
        <v>0.5</v>
      </c>
      <c r="K2432" s="1">
        <v>0</v>
      </c>
      <c r="L2432" s="1">
        <v>0</v>
      </c>
      <c r="M2432" s="32">
        <f>IF(Mecze[[#This Row],[PR]]=0,0,Mecze[[#This Row],[PR]]/Mecze[[#This Row],[CZAS]])</f>
        <v>0</v>
      </c>
      <c r="N2432" s="32">
        <f>IF(Mecze[[#This Row],[OU]]=0,0,Mecze[[#This Row],[OU]]/Mecze[[#This Row],[CZAS]])</f>
        <v>1.020408163265306E-2</v>
      </c>
      <c r="O2432" s="32">
        <f>IF(Mecze[[#This Row],[PC]]=0,0,Mecze[[#This Row],[PC]]/Mecze[[#This Row],[CZAS]])</f>
        <v>2.0408163265306121E-2</v>
      </c>
      <c r="P2432" s="32">
        <f>IF(Mecze[[#This Row],[SC]]=0,0,Mecze[[#This Row],[SC]]/Mecze[[#This Row],[CZAS]])</f>
        <v>0</v>
      </c>
      <c r="Q2432" s="32">
        <f>IF(Mecze[[#This Row],[OB]]=0,0,Mecze[[#This Row],[OB]]/Mecze[[#This Row],[CZAS]])</f>
        <v>0</v>
      </c>
      <c r="R2432" s="32">
        <f>IF(Mecze[[#This Row],[BR]]=0,0,Mecze[[#This Row],[BR]]/Mecze[[#This Row],[CZAS]])</f>
        <v>0</v>
      </c>
      <c r="S2432" s="44">
        <f>IF(Mecze[[#This Row],[Role]]="BR",SUMPRODUCT(Mecze[[#This Row],[/PR:90]:[/BR:90]],Brudnopis!$E$23:$J$23),0)</f>
        <v>0</v>
      </c>
      <c r="T2432" s="44">
        <f>IF(Mecze[[#This Row],[Role]]&lt;&gt;"BR",SUMPRODUCT(Mecze[[#This Row],[/PR:90]:[/BR:90]],Brudnopis!$E$24:$J$24),0)</f>
        <v>3.5714285714285712E-2</v>
      </c>
      <c r="U2432" s="44">
        <f>IF(Mecze[[#This Row],[Role]]&lt;&gt;"BR",SUMPRODUCT(Mecze[[#This Row],[/PR:90]:[/BR:90]],Brudnopis!$E$25:$J$25),0)</f>
        <v>4.0816326530612242E-2</v>
      </c>
      <c r="V2432" s="44">
        <f>IF(Mecze[[#This Row],[Role]]&lt;&gt;"BR",SUMPRODUCT(Mecze[[#This Row],[/PR:90]:[/BR:90]],Brudnopis!$E$26:$J$26),0)</f>
        <v>3.0612244897959183E-2</v>
      </c>
      <c r="W2432" s="44">
        <f>IF(Mecze[[#This Row],[Role]]&lt;&gt;"BR",SUMPRODUCT(Mecze[[#This Row],[/PR:90]:[/BR:90]],Brudnopis!$E$27:$J$27),0)</f>
        <v>3.826530612244898E-2</v>
      </c>
      <c r="X2432" s="44">
        <f>IF(Mecze[[#This Row],[Role]]&lt;&gt;"BR",SUMPRODUCT(Mecze[[#This Row],[/PR:90]:[/BR:90]],Brudnopis!$E$28:$J$28),0)</f>
        <v>2.0408163265306121E-2</v>
      </c>
      <c r="Y2432" s="35">
        <f>IF(Mecze[[#This Row],[Role]]="BR",Mecze[[#This Row],[/OB:90]]+Mecze[[#This Row],[/PC:90]],SUM(Mecze[[#This Row],[/PR:90]:[/BR:90]]))</f>
        <v>3.0612244897959183E-2</v>
      </c>
      <c r="Z2432" s="35">
        <f>IF(Mecze[[#This Row],[KC]]=0,SUM(Mecze[[#This Row],[/BRI]:[/NPI]]),SUM(Mecze[[#This Row],[/BRI]:[/NPI]])*0.6)</f>
        <v>0.16581632653061226</v>
      </c>
      <c r="AA2432" s="10">
        <f>IFERROR(Mecze[[#This Row],[BR]]/Mecze[[#This Row],[ST]],0)</f>
        <v>0</v>
      </c>
      <c r="AB2432">
        <f>ROUND(Mecze[[#This Row],[PD]]*Mecze[[#This Row],[%PC]],0)</f>
        <v>2</v>
      </c>
      <c r="AC2432">
        <f>ROUND(Mecze[[#This Row],[OD]]*Mecze[[#This Row],[%OU]],0)</f>
        <v>1</v>
      </c>
      <c r="AD2432" s="36" t="s">
        <v>175</v>
      </c>
      <c r="AE2432" s="36">
        <v>136</v>
      </c>
      <c r="AF2432" s="71">
        <v>7.04</v>
      </c>
      <c r="AG2432" s="37">
        <v>0</v>
      </c>
      <c r="AH2432" s="37">
        <v>0</v>
      </c>
      <c r="AI2432" s="37">
        <v>98</v>
      </c>
      <c r="AJ2432" s="37">
        <v>3</v>
      </c>
      <c r="AK2432" s="37" t="str">
        <f>VLOOKUP(Mecze[[#This Row],[Match ID]],Meczusie[Mecz]:Meczusie[RodzajMeczu],2,FALSE)</f>
        <v>Liga</v>
      </c>
    </row>
    <row r="2433" spans="1:37" x14ac:dyDescent="0.25">
      <c r="A2433" s="76">
        <v>4</v>
      </c>
      <c r="B2433" s="3" t="s">
        <v>264</v>
      </c>
      <c r="C2433" s="2" t="s">
        <v>157</v>
      </c>
      <c r="D2433" s="1">
        <v>0</v>
      </c>
      <c r="E2433" s="1">
        <v>0</v>
      </c>
      <c r="F2433" s="1">
        <v>0</v>
      </c>
      <c r="G2433" s="1">
        <v>5</v>
      </c>
      <c r="H2433" s="4">
        <v>0.4</v>
      </c>
      <c r="I2433" s="1">
        <v>3</v>
      </c>
      <c r="J2433" s="4">
        <v>0.67</v>
      </c>
      <c r="K2433" s="1">
        <v>0</v>
      </c>
      <c r="L2433" s="1">
        <v>4</v>
      </c>
      <c r="M2433" s="32">
        <f>IF(Mecze[[#This Row],[PR]]=0,0,Mecze[[#This Row],[PR]]/Mecze[[#This Row],[CZAS]])</f>
        <v>4.0816326530612242E-2</v>
      </c>
      <c r="N2433" s="32">
        <f>IF(Mecze[[#This Row],[OU]]=0,0,Mecze[[#This Row],[OU]]/Mecze[[#This Row],[CZAS]])</f>
        <v>2.0408163265306121E-2</v>
      </c>
      <c r="O2433" s="32">
        <f>IF(Mecze[[#This Row],[PC]]=0,0,Mecze[[#This Row],[PC]]/Mecze[[#This Row],[CZAS]])</f>
        <v>2.0408163265306121E-2</v>
      </c>
      <c r="P2433" s="32">
        <f>IF(Mecze[[#This Row],[SC]]=0,0,Mecze[[#This Row],[SC]]/Mecze[[#This Row],[CZAS]])</f>
        <v>0</v>
      </c>
      <c r="Q2433" s="32">
        <f>IF(Mecze[[#This Row],[OB]]=0,0,Mecze[[#This Row],[OB]]/Mecze[[#This Row],[CZAS]])</f>
        <v>0</v>
      </c>
      <c r="R2433" s="32">
        <f>IF(Mecze[[#This Row],[BR]]=0,0,Mecze[[#This Row],[BR]]/Mecze[[#This Row],[CZAS]])</f>
        <v>0</v>
      </c>
      <c r="S2433" s="44">
        <f>IF(Mecze[[#This Row],[Role]]="BR",SUMPRODUCT(Mecze[[#This Row],[/PR:90]:[/BR:90]],Brudnopis!$E$23:$J$23),0)</f>
        <v>0</v>
      </c>
      <c r="T2433" s="44">
        <f>IF(Mecze[[#This Row],[Role]]&lt;&gt;"BR",SUMPRODUCT(Mecze[[#This Row],[/PR:90]:[/BR:90]],Brudnopis!$E$24:$J$24),0)</f>
        <v>9.1836734693877542E-2</v>
      </c>
      <c r="U2433" s="44">
        <f>IF(Mecze[[#This Row],[Role]]&lt;&gt;"BR",SUMPRODUCT(Mecze[[#This Row],[/PR:90]:[/BR:90]],Brudnopis!$E$25:$J$25),0)</f>
        <v>9.1836734693877542E-2</v>
      </c>
      <c r="V2433" s="44">
        <f>IF(Mecze[[#This Row],[Role]]&lt;&gt;"BR",SUMPRODUCT(Mecze[[#This Row],[/PR:90]:[/BR:90]],Brudnopis!$E$26:$J$26),0)</f>
        <v>8.1632653061224483E-2</v>
      </c>
      <c r="W2433" s="44">
        <f>IF(Mecze[[#This Row],[Role]]&lt;&gt;"BR",SUMPRODUCT(Mecze[[#This Row],[/PR:90]:[/BR:90]],Brudnopis!$E$27:$J$27),0)</f>
        <v>7.6530612244897961E-2</v>
      </c>
      <c r="X2433" s="44">
        <f>IF(Mecze[[#This Row],[Role]]&lt;&gt;"BR",SUMPRODUCT(Mecze[[#This Row],[/PR:90]:[/BR:90]],Brudnopis!$E$28:$J$28),0)</f>
        <v>2.0408163265306121E-2</v>
      </c>
      <c r="Y2433" s="35">
        <f>IF(Mecze[[#This Row],[Role]]="BR",Mecze[[#This Row],[/OB:90]]+Mecze[[#This Row],[/PC:90]],SUM(Mecze[[#This Row],[/PR:90]:[/BR:90]]))</f>
        <v>8.1632653061224483E-2</v>
      </c>
      <c r="Z2433" s="35">
        <f>IF(Mecze[[#This Row],[KC]]=0,SUM(Mecze[[#This Row],[/BRI]:[/NPI]]),SUM(Mecze[[#This Row],[/BRI]:[/NPI]])*0.6)</f>
        <v>0.36224489795918369</v>
      </c>
      <c r="AA2433" s="10">
        <f>IFERROR(Mecze[[#This Row],[BR]]/Mecze[[#This Row],[ST]],0)</f>
        <v>0</v>
      </c>
      <c r="AB2433">
        <f>ROUND(Mecze[[#This Row],[PD]]*Mecze[[#This Row],[%PC]],0)</f>
        <v>2</v>
      </c>
      <c r="AC2433">
        <f>ROUND(Mecze[[#This Row],[OD]]*Mecze[[#This Row],[%OU]],0)</f>
        <v>2</v>
      </c>
      <c r="AD2433" s="36" t="s">
        <v>174</v>
      </c>
      <c r="AE2433" s="36">
        <v>136</v>
      </c>
      <c r="AF2433" s="71">
        <v>9</v>
      </c>
      <c r="AG2433" s="37">
        <v>0</v>
      </c>
      <c r="AH2433" s="37">
        <v>0</v>
      </c>
      <c r="AI2433" s="37">
        <v>98</v>
      </c>
      <c r="AJ2433" s="37">
        <v>3</v>
      </c>
      <c r="AK2433" s="37" t="str">
        <f>VLOOKUP(Mecze[[#This Row],[Match ID]],Meczusie[Mecz]:Meczusie[RodzajMeczu],2,FALSE)</f>
        <v>Liga</v>
      </c>
    </row>
    <row r="2434" spans="1:37" x14ac:dyDescent="0.25">
      <c r="A2434" s="76">
        <v>6</v>
      </c>
      <c r="B2434" s="3" t="s">
        <v>263</v>
      </c>
      <c r="C2434" s="2" t="s">
        <v>157</v>
      </c>
      <c r="D2434" s="1">
        <v>0</v>
      </c>
      <c r="E2434" s="1">
        <v>0</v>
      </c>
      <c r="F2434" s="1">
        <v>0</v>
      </c>
      <c r="G2434" s="1">
        <v>20</v>
      </c>
      <c r="H2434" s="4">
        <v>0.8</v>
      </c>
      <c r="I2434" s="1">
        <v>15</v>
      </c>
      <c r="J2434" s="4">
        <v>0.6</v>
      </c>
      <c r="K2434" s="1">
        <v>0</v>
      </c>
      <c r="L2434" s="1">
        <v>14</v>
      </c>
      <c r="M2434" s="32">
        <f>IF(Mecze[[#This Row],[PR]]=0,0,Mecze[[#This Row],[PR]]/Mecze[[#This Row],[CZAS]])</f>
        <v>0.14285714285714285</v>
      </c>
      <c r="N2434" s="32">
        <f>IF(Mecze[[#This Row],[OU]]=0,0,Mecze[[#This Row],[OU]]/Mecze[[#This Row],[CZAS]])</f>
        <v>9.1836734693877556E-2</v>
      </c>
      <c r="O2434" s="32">
        <f>IF(Mecze[[#This Row],[PC]]=0,0,Mecze[[#This Row],[PC]]/Mecze[[#This Row],[CZAS]])</f>
        <v>0.16326530612244897</v>
      </c>
      <c r="P2434" s="32">
        <f>IF(Mecze[[#This Row],[SC]]=0,0,Mecze[[#This Row],[SC]]/Mecze[[#This Row],[CZAS]])</f>
        <v>0</v>
      </c>
      <c r="Q2434" s="32">
        <f>IF(Mecze[[#This Row],[OB]]=0,0,Mecze[[#This Row],[OB]]/Mecze[[#This Row],[CZAS]])</f>
        <v>0</v>
      </c>
      <c r="R2434" s="32">
        <f>IF(Mecze[[#This Row],[BR]]=0,0,Mecze[[#This Row],[BR]]/Mecze[[#This Row],[CZAS]])</f>
        <v>0</v>
      </c>
      <c r="S2434" s="44">
        <f>IF(Mecze[[#This Row],[Role]]="BR",SUMPRODUCT(Mecze[[#This Row],[/PR:90]:[/BR:90]],Brudnopis!$E$23:$J$23),0)</f>
        <v>0</v>
      </c>
      <c r="T2434" s="44">
        <f>IF(Mecze[[#This Row],[Role]]&lt;&gt;"BR",SUMPRODUCT(Mecze[[#This Row],[/PR:90]:[/BR:90]],Brudnopis!$E$24:$J$24),0)</f>
        <v>0.44387755102040816</v>
      </c>
      <c r="U2434" s="44">
        <f>IF(Mecze[[#This Row],[Role]]&lt;&gt;"BR",SUMPRODUCT(Mecze[[#This Row],[/PR:90]:[/BR:90]],Brudnopis!$E$25:$J$25),0)</f>
        <v>0.47959183673469385</v>
      </c>
      <c r="V2434" s="44">
        <f>IF(Mecze[[#This Row],[Role]]&lt;&gt;"BR",SUMPRODUCT(Mecze[[#This Row],[/PR:90]:[/BR:90]],Brudnopis!$E$26:$J$26),0)</f>
        <v>0.39795918367346939</v>
      </c>
      <c r="W2434" s="44">
        <f>IF(Mecze[[#This Row],[Role]]&lt;&gt;"BR",SUMPRODUCT(Mecze[[#This Row],[/PR:90]:[/BR:90]],Brudnopis!$E$27:$J$27),0)</f>
        <v>0.42091836734693877</v>
      </c>
      <c r="X2434" s="44">
        <f>IF(Mecze[[#This Row],[Role]]&lt;&gt;"BR",SUMPRODUCT(Mecze[[#This Row],[/PR:90]:[/BR:90]],Brudnopis!$E$28:$J$28),0)</f>
        <v>0.16326530612244897</v>
      </c>
      <c r="Y2434" s="35">
        <f>IF(Mecze[[#This Row],[Role]]="BR",Mecze[[#This Row],[/OB:90]]+Mecze[[#This Row],[/PC:90]],SUM(Mecze[[#This Row],[/PR:90]:[/BR:90]]))</f>
        <v>0.39795918367346939</v>
      </c>
      <c r="Z2434" s="35">
        <f>IF(Mecze[[#This Row],[KC]]=0,SUM(Mecze[[#This Row],[/BRI]:[/NPI]]),SUM(Mecze[[#This Row],[/BRI]:[/NPI]])*0.6)</f>
        <v>1.9056122448979591</v>
      </c>
      <c r="AA2434" s="10">
        <f>IFERROR(Mecze[[#This Row],[BR]]/Mecze[[#This Row],[ST]],0)</f>
        <v>0</v>
      </c>
      <c r="AB2434">
        <f>ROUND(Mecze[[#This Row],[PD]]*Mecze[[#This Row],[%PC]],0)</f>
        <v>16</v>
      </c>
      <c r="AC2434">
        <f>ROUND(Mecze[[#This Row],[OD]]*Mecze[[#This Row],[%OU]],0)</f>
        <v>9</v>
      </c>
      <c r="AD2434" s="36" t="s">
        <v>47</v>
      </c>
      <c r="AE2434" s="36">
        <v>136</v>
      </c>
      <c r="AF2434" s="71">
        <v>9.99</v>
      </c>
      <c r="AG2434" s="37">
        <v>1</v>
      </c>
      <c r="AH2434" s="37">
        <v>0</v>
      </c>
      <c r="AI2434" s="37">
        <v>98</v>
      </c>
      <c r="AJ2434" s="37">
        <v>3</v>
      </c>
      <c r="AK2434" s="37" t="str">
        <f>VLOOKUP(Mecze[[#This Row],[Match ID]],Meczusie[Mecz]:Meczusie[RodzajMeczu],2,FALSE)</f>
        <v>Liga</v>
      </c>
    </row>
    <row r="2435" spans="1:37" x14ac:dyDescent="0.25">
      <c r="A2435" s="76">
        <v>2</v>
      </c>
      <c r="B2435" s="3" t="s">
        <v>265</v>
      </c>
      <c r="C2435" s="2" t="s">
        <v>157</v>
      </c>
      <c r="D2435" s="1">
        <v>0</v>
      </c>
      <c r="E2435" s="1">
        <v>1</v>
      </c>
      <c r="F2435" s="1">
        <v>1</v>
      </c>
      <c r="G2435" s="1">
        <v>7</v>
      </c>
      <c r="H2435" s="4">
        <v>0.86</v>
      </c>
      <c r="I2435" s="1">
        <v>7</v>
      </c>
      <c r="J2435" s="4">
        <v>0.71</v>
      </c>
      <c r="K2435" s="1">
        <v>0</v>
      </c>
      <c r="L2435" s="1">
        <v>6</v>
      </c>
      <c r="M2435" s="32">
        <f>IF(Mecze[[#This Row],[PR]]=0,0,Mecze[[#This Row],[PR]]/Mecze[[#This Row],[CZAS]])</f>
        <v>6.1224489795918366E-2</v>
      </c>
      <c r="N2435" s="32">
        <f>IF(Mecze[[#This Row],[OU]]=0,0,Mecze[[#This Row],[OU]]/Mecze[[#This Row],[CZAS]])</f>
        <v>5.1020408163265307E-2</v>
      </c>
      <c r="O2435" s="32">
        <f>IF(Mecze[[#This Row],[PC]]=0,0,Mecze[[#This Row],[PC]]/Mecze[[#This Row],[CZAS]])</f>
        <v>6.1224489795918366E-2</v>
      </c>
      <c r="P2435" s="32">
        <f>IF(Mecze[[#This Row],[SC]]=0,0,Mecze[[#This Row],[SC]]/Mecze[[#This Row],[CZAS]])</f>
        <v>1.020408163265306E-2</v>
      </c>
      <c r="Q2435" s="32">
        <f>IF(Mecze[[#This Row],[OB]]=0,0,Mecze[[#This Row],[OB]]/Mecze[[#This Row],[CZAS]])</f>
        <v>0</v>
      </c>
      <c r="R2435" s="32">
        <f>IF(Mecze[[#This Row],[BR]]=0,0,Mecze[[#This Row],[BR]]/Mecze[[#This Row],[CZAS]])</f>
        <v>0</v>
      </c>
      <c r="S2435" s="44">
        <f>IF(Mecze[[#This Row],[Role]]="BR",SUMPRODUCT(Mecze[[#This Row],[/PR:90]:[/BR:90]],Brudnopis!$E$23:$J$23),0)</f>
        <v>0</v>
      </c>
      <c r="T2435" s="44">
        <f>IF(Mecze[[#This Row],[Role]]&lt;&gt;"BR",SUMPRODUCT(Mecze[[#This Row],[/PR:90]:[/BR:90]],Brudnopis!$E$24:$J$24),0)</f>
        <v>0.20918367346938777</v>
      </c>
      <c r="U2435" s="44">
        <f>IF(Mecze[[#This Row],[Role]]&lt;&gt;"BR",SUMPRODUCT(Mecze[[#This Row],[/PR:90]:[/BR:90]],Brudnopis!$E$25:$J$25),0)</f>
        <v>0.2142857142857143</v>
      </c>
      <c r="V2435" s="44">
        <f>IF(Mecze[[#This Row],[Role]]&lt;&gt;"BR",SUMPRODUCT(Mecze[[#This Row],[/PR:90]:[/BR:90]],Brudnopis!$E$26:$J$26),0)</f>
        <v>0.18367346938775511</v>
      </c>
      <c r="W2435" s="44">
        <f>IF(Mecze[[#This Row],[Role]]&lt;&gt;"BR",SUMPRODUCT(Mecze[[#This Row],[/PR:90]:[/BR:90]],Brudnopis!$E$27:$J$27),0)</f>
        <v>0.18622448979591838</v>
      </c>
      <c r="X2435" s="44">
        <f>IF(Mecze[[#This Row],[Role]]&lt;&gt;"BR",SUMPRODUCT(Mecze[[#This Row],[/PR:90]:[/BR:90]],Brudnopis!$E$28:$J$28),0)</f>
        <v>8.1632653061224483E-2</v>
      </c>
      <c r="Y2435" s="35">
        <f>IF(Mecze[[#This Row],[Role]]="BR",Mecze[[#This Row],[/OB:90]]+Mecze[[#This Row],[/PC:90]],SUM(Mecze[[#This Row],[/PR:90]:[/BR:90]]))</f>
        <v>0.18367346938775511</v>
      </c>
      <c r="Z2435" s="35">
        <f>IF(Mecze[[#This Row],[KC]]=0,SUM(Mecze[[#This Row],[/BRI]:[/NPI]]),SUM(Mecze[[#This Row],[/BRI]:[/NPI]])*0.6)</f>
        <v>0.87500000000000011</v>
      </c>
      <c r="AA2435" s="10">
        <f>IFERROR(Mecze[[#This Row],[BR]]/Mecze[[#This Row],[ST]],0)</f>
        <v>0</v>
      </c>
      <c r="AB2435">
        <f>ROUND(Mecze[[#This Row],[PD]]*Mecze[[#This Row],[%PC]],0)</f>
        <v>6</v>
      </c>
      <c r="AC2435">
        <f>ROUND(Mecze[[#This Row],[OD]]*Mecze[[#This Row],[%OU]],0)</f>
        <v>5</v>
      </c>
      <c r="AD2435" s="36" t="s">
        <v>47</v>
      </c>
      <c r="AE2435" s="36">
        <v>136</v>
      </c>
      <c r="AF2435" s="71">
        <v>8.31</v>
      </c>
      <c r="AG2435" s="37">
        <v>1</v>
      </c>
      <c r="AH2435" s="37">
        <v>0</v>
      </c>
      <c r="AI2435" s="37">
        <v>98</v>
      </c>
      <c r="AJ2435" s="37">
        <v>3</v>
      </c>
      <c r="AK2435" s="37" t="str">
        <f>VLOOKUP(Mecze[[#This Row],[Match ID]],Meczusie[Mecz]:Meczusie[RodzajMeczu],2,FALSE)</f>
        <v>Liga</v>
      </c>
    </row>
    <row r="2436" spans="1:37" x14ac:dyDescent="0.25">
      <c r="A2436" s="76">
        <v>5</v>
      </c>
      <c r="B2436" s="3" t="s">
        <v>267</v>
      </c>
      <c r="C2436" s="2" t="s">
        <v>160</v>
      </c>
      <c r="D2436" s="1">
        <v>0</v>
      </c>
      <c r="E2436" s="1">
        <v>0</v>
      </c>
      <c r="F2436" s="1">
        <v>0</v>
      </c>
      <c r="G2436" s="1">
        <v>15</v>
      </c>
      <c r="H2436" s="4">
        <v>0.67</v>
      </c>
      <c r="I2436" s="1">
        <v>5</v>
      </c>
      <c r="J2436" s="4">
        <v>1</v>
      </c>
      <c r="K2436" s="1">
        <v>0</v>
      </c>
      <c r="L2436" s="1">
        <v>6</v>
      </c>
      <c r="M2436" s="32">
        <f>IF(Mecze[[#This Row],[PR]]=0,0,Mecze[[#This Row],[PR]]/Mecze[[#This Row],[CZAS]])</f>
        <v>6.1224489795918366E-2</v>
      </c>
      <c r="N2436" s="32">
        <f>IF(Mecze[[#This Row],[OU]]=0,0,Mecze[[#This Row],[OU]]/Mecze[[#This Row],[CZAS]])</f>
        <v>5.1020408163265307E-2</v>
      </c>
      <c r="O2436" s="32">
        <f>IF(Mecze[[#This Row],[PC]]=0,0,Mecze[[#This Row],[PC]]/Mecze[[#This Row],[CZAS]])</f>
        <v>0.10204081632653061</v>
      </c>
      <c r="P2436" s="32">
        <f>IF(Mecze[[#This Row],[SC]]=0,0,Mecze[[#This Row],[SC]]/Mecze[[#This Row],[CZAS]])</f>
        <v>0</v>
      </c>
      <c r="Q2436" s="32">
        <f>IF(Mecze[[#This Row],[OB]]=0,0,Mecze[[#This Row],[OB]]/Mecze[[#This Row],[CZAS]])</f>
        <v>0</v>
      </c>
      <c r="R2436" s="32">
        <f>IF(Mecze[[#This Row],[BR]]=0,0,Mecze[[#This Row],[BR]]/Mecze[[#This Row],[CZAS]])</f>
        <v>0</v>
      </c>
      <c r="S2436" s="44">
        <f>IF(Mecze[[#This Row],[Role]]="BR",SUMPRODUCT(Mecze[[#This Row],[/PR:90]:[/BR:90]],Brudnopis!$E$23:$J$23),0)</f>
        <v>0</v>
      </c>
      <c r="T2436" s="44">
        <f>IF(Mecze[[#This Row],[Role]]&lt;&gt;"BR",SUMPRODUCT(Mecze[[#This Row],[/PR:90]:[/BR:90]],Brudnopis!$E$24:$J$24),0)</f>
        <v>0.23979591836734693</v>
      </c>
      <c r="U2436" s="44">
        <f>IF(Mecze[[#This Row],[Role]]&lt;&gt;"BR",SUMPRODUCT(Mecze[[#This Row],[/PR:90]:[/BR:90]],Brudnopis!$E$25:$J$25),0)</f>
        <v>0.26530612244897961</v>
      </c>
      <c r="V2436" s="44">
        <f>IF(Mecze[[#This Row],[Role]]&lt;&gt;"BR",SUMPRODUCT(Mecze[[#This Row],[/PR:90]:[/BR:90]],Brudnopis!$E$26:$J$26),0)</f>
        <v>0.2142857142857143</v>
      </c>
      <c r="W2436" s="44">
        <f>IF(Mecze[[#This Row],[Role]]&lt;&gt;"BR",SUMPRODUCT(Mecze[[#This Row],[/PR:90]:[/BR:90]],Brudnopis!$E$27:$J$27),0)</f>
        <v>0.23724489795918369</v>
      </c>
      <c r="X2436" s="44">
        <f>IF(Mecze[[#This Row],[Role]]&lt;&gt;"BR",SUMPRODUCT(Mecze[[#This Row],[/PR:90]:[/BR:90]],Brudnopis!$E$28:$J$28),0)</f>
        <v>0.10204081632653061</v>
      </c>
      <c r="Y2436" s="35">
        <f>IF(Mecze[[#This Row],[Role]]="BR",Mecze[[#This Row],[/OB:90]]+Mecze[[#This Row],[/PC:90]],SUM(Mecze[[#This Row],[/PR:90]:[/BR:90]]))</f>
        <v>0.2142857142857143</v>
      </c>
      <c r="Z2436" s="35">
        <f>IF(Mecze[[#This Row],[KC]]=0,SUM(Mecze[[#This Row],[/BRI]:[/NPI]]),SUM(Mecze[[#This Row],[/BRI]:[/NPI]])*0.6)</f>
        <v>1.0586734693877551</v>
      </c>
      <c r="AA2436" s="10">
        <f>IFERROR(Mecze[[#This Row],[BR]]/Mecze[[#This Row],[ST]],0)</f>
        <v>0</v>
      </c>
      <c r="AB2436">
        <f>ROUND(Mecze[[#This Row],[PD]]*Mecze[[#This Row],[%PC]],0)</f>
        <v>10</v>
      </c>
      <c r="AC2436">
        <f>ROUND(Mecze[[#This Row],[OD]]*Mecze[[#This Row],[%OU]],0)</f>
        <v>5</v>
      </c>
      <c r="AD2436" s="36" t="s">
        <v>67</v>
      </c>
      <c r="AE2436" s="36">
        <v>136</v>
      </c>
      <c r="AF2436" s="71">
        <v>9.51</v>
      </c>
      <c r="AG2436" s="37">
        <v>0</v>
      </c>
      <c r="AH2436" s="37">
        <v>0</v>
      </c>
      <c r="AI2436" s="37">
        <v>98</v>
      </c>
      <c r="AJ2436" s="37">
        <v>3</v>
      </c>
      <c r="AK2436" s="37" t="str">
        <f>VLOOKUP(Mecze[[#This Row],[Match ID]],Meczusie[Mecz]:Meczusie[RodzajMeczu],2,FALSE)</f>
        <v>Liga</v>
      </c>
    </row>
    <row r="2437" spans="1:37" x14ac:dyDescent="0.25">
      <c r="A2437" s="76">
        <v>9</v>
      </c>
      <c r="B2437" s="3" t="s">
        <v>266</v>
      </c>
      <c r="C2437" s="2" t="s">
        <v>160</v>
      </c>
      <c r="D2437" s="1">
        <v>0</v>
      </c>
      <c r="E2437" s="1">
        <v>0</v>
      </c>
      <c r="F2437" s="1">
        <v>0</v>
      </c>
      <c r="G2437" s="1">
        <v>17</v>
      </c>
      <c r="H2437" s="4">
        <v>0.82</v>
      </c>
      <c r="I2437" s="1">
        <v>3</v>
      </c>
      <c r="J2437" s="4">
        <v>0.33</v>
      </c>
      <c r="K2437" s="1">
        <v>0</v>
      </c>
      <c r="L2437" s="1">
        <v>3</v>
      </c>
      <c r="M2437" s="32">
        <f>IF(Mecze[[#This Row],[PR]]=0,0,Mecze[[#This Row],[PR]]/Mecze[[#This Row],[CZAS]])</f>
        <v>3.0612244897959183E-2</v>
      </c>
      <c r="N2437" s="32">
        <f>IF(Mecze[[#This Row],[OU]]=0,0,Mecze[[#This Row],[OU]]/Mecze[[#This Row],[CZAS]])</f>
        <v>1.020408163265306E-2</v>
      </c>
      <c r="O2437" s="32">
        <f>IF(Mecze[[#This Row],[PC]]=0,0,Mecze[[#This Row],[PC]]/Mecze[[#This Row],[CZAS]])</f>
        <v>0.14285714285714285</v>
      </c>
      <c r="P2437" s="32">
        <f>IF(Mecze[[#This Row],[SC]]=0,0,Mecze[[#This Row],[SC]]/Mecze[[#This Row],[CZAS]])</f>
        <v>0</v>
      </c>
      <c r="Q2437" s="32">
        <f>IF(Mecze[[#This Row],[OB]]=0,0,Mecze[[#This Row],[OB]]/Mecze[[#This Row],[CZAS]])</f>
        <v>0</v>
      </c>
      <c r="R2437" s="32">
        <f>IF(Mecze[[#This Row],[BR]]=0,0,Mecze[[#This Row],[BR]]/Mecze[[#This Row],[CZAS]])</f>
        <v>0</v>
      </c>
      <c r="S2437" s="44">
        <f>IF(Mecze[[#This Row],[Role]]="BR",SUMPRODUCT(Mecze[[#This Row],[/PR:90]:[/BR:90]],Brudnopis!$E$23:$J$23),0)</f>
        <v>0</v>
      </c>
      <c r="T2437" s="44">
        <f>IF(Mecze[[#This Row],[Role]]&lt;&gt;"BR",SUMPRODUCT(Mecze[[#This Row],[/PR:90]:[/BR:90]],Brudnopis!$E$24:$J$24),0)</f>
        <v>0.18877551020408162</v>
      </c>
      <c r="U2437" s="44">
        <f>IF(Mecze[[#This Row],[Role]]&lt;&gt;"BR",SUMPRODUCT(Mecze[[#This Row],[/PR:90]:[/BR:90]],Brudnopis!$E$25:$J$25),0)</f>
        <v>0.25510204081632654</v>
      </c>
      <c r="V2437" s="44">
        <f>IF(Mecze[[#This Row],[Role]]&lt;&gt;"BR",SUMPRODUCT(Mecze[[#This Row],[/PR:90]:[/BR:90]],Brudnopis!$E$26:$J$26),0)</f>
        <v>0.18367346938775508</v>
      </c>
      <c r="W2437" s="44">
        <f>IF(Mecze[[#This Row],[Role]]&lt;&gt;"BR",SUMPRODUCT(Mecze[[#This Row],[/PR:90]:[/BR:90]],Brudnopis!$E$27:$J$27),0)</f>
        <v>0.24489795918367346</v>
      </c>
      <c r="X2437" s="44">
        <f>IF(Mecze[[#This Row],[Role]]&lt;&gt;"BR",SUMPRODUCT(Mecze[[#This Row],[/PR:90]:[/BR:90]],Brudnopis!$E$28:$J$28),0)</f>
        <v>0.14285714285714285</v>
      </c>
      <c r="Y2437" s="35">
        <f>IF(Mecze[[#This Row],[Role]]="BR",Mecze[[#This Row],[/OB:90]]+Mecze[[#This Row],[/PC:90]],SUM(Mecze[[#This Row],[/PR:90]:[/BR:90]]))</f>
        <v>0.18367346938775508</v>
      </c>
      <c r="Z2437" s="35">
        <f>IF(Mecze[[#This Row],[KC]]=0,SUM(Mecze[[#This Row],[/BRI]:[/NPI]]),SUM(Mecze[[#This Row],[/BRI]:[/NPI]])*0.6)</f>
        <v>1.0153061224489794</v>
      </c>
      <c r="AA2437" s="10">
        <f>IFERROR(Mecze[[#This Row],[BR]]/Mecze[[#This Row],[ST]],0)</f>
        <v>0</v>
      </c>
      <c r="AB2437">
        <f>ROUND(Mecze[[#This Row],[PD]]*Mecze[[#This Row],[%PC]],0)</f>
        <v>14</v>
      </c>
      <c r="AC2437">
        <f>ROUND(Mecze[[#This Row],[OD]]*Mecze[[#This Row],[%OU]],0)</f>
        <v>1</v>
      </c>
      <c r="AD2437" s="36" t="s">
        <v>67</v>
      </c>
      <c r="AE2437" s="36">
        <v>136</v>
      </c>
      <c r="AF2437" s="71">
        <v>9.7899999999999991</v>
      </c>
      <c r="AG2437" s="37">
        <v>0</v>
      </c>
      <c r="AH2437" s="37">
        <v>0</v>
      </c>
      <c r="AI2437" s="37">
        <v>98</v>
      </c>
      <c r="AJ2437" s="37">
        <v>3</v>
      </c>
      <c r="AK2437" s="37" t="str">
        <f>VLOOKUP(Mecze[[#This Row],[Match ID]],Meczusie[Mecz]:Meczusie[RodzajMeczu],2,FALSE)</f>
        <v>Liga</v>
      </c>
    </row>
    <row r="2438" spans="1:37" x14ac:dyDescent="0.25">
      <c r="A2438" s="76">
        <v>3</v>
      </c>
      <c r="B2438" s="3" t="s">
        <v>268</v>
      </c>
      <c r="C2438" s="2" t="s">
        <v>160</v>
      </c>
      <c r="D2438" s="1">
        <v>1</v>
      </c>
      <c r="E2438" s="1">
        <v>2</v>
      </c>
      <c r="F2438" s="1">
        <v>2</v>
      </c>
      <c r="G2438" s="1">
        <v>10</v>
      </c>
      <c r="H2438" s="4">
        <v>0.8</v>
      </c>
      <c r="I2438" s="1">
        <v>8</v>
      </c>
      <c r="J2438" s="4">
        <v>0.5</v>
      </c>
      <c r="K2438" s="1">
        <v>0</v>
      </c>
      <c r="L2438" s="1">
        <v>2</v>
      </c>
      <c r="M2438" s="32">
        <f>IF(Mecze[[#This Row],[PR]]=0,0,Mecze[[#This Row],[PR]]/Mecze[[#This Row],[CZAS]])</f>
        <v>2.0408163265306121E-2</v>
      </c>
      <c r="N2438" s="32">
        <f>IF(Mecze[[#This Row],[OU]]=0,0,Mecze[[#This Row],[OU]]/Mecze[[#This Row],[CZAS]])</f>
        <v>4.0816326530612242E-2</v>
      </c>
      <c r="O2438" s="32">
        <f>IF(Mecze[[#This Row],[PC]]=0,0,Mecze[[#This Row],[PC]]/Mecze[[#This Row],[CZAS]])</f>
        <v>8.1632653061224483E-2</v>
      </c>
      <c r="P2438" s="32">
        <f>IF(Mecze[[#This Row],[SC]]=0,0,Mecze[[#This Row],[SC]]/Mecze[[#This Row],[CZAS]])</f>
        <v>2.0408163265306121E-2</v>
      </c>
      <c r="Q2438" s="32">
        <f>IF(Mecze[[#This Row],[OB]]=0,0,Mecze[[#This Row],[OB]]/Mecze[[#This Row],[CZAS]])</f>
        <v>0</v>
      </c>
      <c r="R2438" s="32">
        <f>IF(Mecze[[#This Row],[BR]]=0,0,Mecze[[#This Row],[BR]]/Mecze[[#This Row],[CZAS]])</f>
        <v>1.020408163265306E-2</v>
      </c>
      <c r="S2438" s="44">
        <f>IF(Mecze[[#This Row],[Role]]="BR",SUMPRODUCT(Mecze[[#This Row],[/PR:90]:[/BR:90]],Brudnopis!$E$23:$J$23),0)</f>
        <v>0</v>
      </c>
      <c r="T2438" s="44">
        <f>IF(Mecze[[#This Row],[Role]]&lt;&gt;"BR",SUMPRODUCT(Mecze[[#This Row],[/PR:90]:[/BR:90]],Brudnopis!$E$24:$J$24),0)</f>
        <v>0.19897959183673466</v>
      </c>
      <c r="U2438" s="44">
        <f>IF(Mecze[[#This Row],[Role]]&lt;&gt;"BR",SUMPRODUCT(Mecze[[#This Row],[/PR:90]:[/BR:90]],Brudnopis!$E$25:$J$25),0)</f>
        <v>0.21938775510204078</v>
      </c>
      <c r="V2438" s="44">
        <f>IF(Mecze[[#This Row],[Role]]&lt;&gt;"BR",SUMPRODUCT(Mecze[[#This Row],[/PR:90]:[/BR:90]],Brudnopis!$E$26:$J$26),0)</f>
        <v>0.18367346938775508</v>
      </c>
      <c r="W2438" s="44">
        <f>IF(Mecze[[#This Row],[Role]]&lt;&gt;"BR",SUMPRODUCT(Mecze[[#This Row],[/PR:90]:[/BR:90]],Brudnopis!$E$27:$J$27),0)</f>
        <v>0.20918367346938774</v>
      </c>
      <c r="X2438" s="44">
        <f>IF(Mecze[[#This Row],[Role]]&lt;&gt;"BR",SUMPRODUCT(Mecze[[#This Row],[/PR:90]:[/BR:90]],Brudnopis!$E$28:$J$28),0)</f>
        <v>0.15306122448979592</v>
      </c>
      <c r="Y2438" s="35">
        <f>IF(Mecze[[#This Row],[Role]]="BR",Mecze[[#This Row],[/OB:90]]+Mecze[[#This Row],[/PC:90]],SUM(Mecze[[#This Row],[/PR:90]:[/BR:90]]))</f>
        <v>0.17346938775510204</v>
      </c>
      <c r="Z2438" s="35">
        <f>IF(Mecze[[#This Row],[KC]]=0,SUM(Mecze[[#This Row],[/BRI]:[/NPI]]),SUM(Mecze[[#This Row],[/BRI]:[/NPI]])*0.6)</f>
        <v>0.96428571428571419</v>
      </c>
      <c r="AA2438" s="10">
        <f>IFERROR(Mecze[[#This Row],[BR]]/Mecze[[#This Row],[ST]],0)</f>
        <v>0.5</v>
      </c>
      <c r="AB2438">
        <f>ROUND(Mecze[[#This Row],[PD]]*Mecze[[#This Row],[%PC]],0)</f>
        <v>8</v>
      </c>
      <c r="AC2438">
        <f>ROUND(Mecze[[#This Row],[OD]]*Mecze[[#This Row],[%OU]],0)</f>
        <v>4</v>
      </c>
      <c r="AD2438" s="36" t="s">
        <v>44</v>
      </c>
      <c r="AE2438" s="36">
        <v>136</v>
      </c>
      <c r="AF2438" s="71">
        <v>12.15</v>
      </c>
      <c r="AG2438" s="37">
        <v>0</v>
      </c>
      <c r="AH2438" s="37">
        <v>0</v>
      </c>
      <c r="AI2438" s="37">
        <v>98</v>
      </c>
      <c r="AJ2438" s="37">
        <v>3</v>
      </c>
      <c r="AK2438" s="37" t="str">
        <f>VLOOKUP(Mecze[[#This Row],[Match ID]],Meczusie[Mecz]:Meczusie[RodzajMeczu],2,FALSE)</f>
        <v>Liga</v>
      </c>
    </row>
    <row r="2439" spans="1:37" x14ac:dyDescent="0.25">
      <c r="A2439" s="76">
        <v>8</v>
      </c>
      <c r="B2439" s="3" t="s">
        <v>269</v>
      </c>
      <c r="C2439" s="2" t="s">
        <v>165</v>
      </c>
      <c r="D2439" s="1">
        <v>0</v>
      </c>
      <c r="E2439" s="1">
        <v>3</v>
      </c>
      <c r="F2439" s="1">
        <v>3</v>
      </c>
      <c r="G2439" s="1">
        <v>7</v>
      </c>
      <c r="H2439" s="4">
        <v>1</v>
      </c>
      <c r="I2439" s="1">
        <v>1</v>
      </c>
      <c r="J2439" s="4">
        <v>1</v>
      </c>
      <c r="K2439" s="1">
        <v>0</v>
      </c>
      <c r="L2439" s="1">
        <v>1</v>
      </c>
      <c r="M2439" s="32">
        <f>IF(Mecze[[#This Row],[PR]]=0,0,Mecze[[#This Row],[PR]]/Mecze[[#This Row],[CZAS]])</f>
        <v>1.020408163265306E-2</v>
      </c>
      <c r="N2439" s="32">
        <f>IF(Mecze[[#This Row],[OU]]=0,0,Mecze[[#This Row],[OU]]/Mecze[[#This Row],[CZAS]])</f>
        <v>1.020408163265306E-2</v>
      </c>
      <c r="O2439" s="32">
        <f>IF(Mecze[[#This Row],[PC]]=0,0,Mecze[[#This Row],[PC]]/Mecze[[#This Row],[CZAS]])</f>
        <v>7.1428571428571425E-2</v>
      </c>
      <c r="P2439" s="32">
        <f>IF(Mecze[[#This Row],[SC]]=0,0,Mecze[[#This Row],[SC]]/Mecze[[#This Row],[CZAS]])</f>
        <v>3.0612244897959183E-2</v>
      </c>
      <c r="Q2439" s="32">
        <f>IF(Mecze[[#This Row],[OB]]=0,0,Mecze[[#This Row],[OB]]/Mecze[[#This Row],[CZAS]])</f>
        <v>0</v>
      </c>
      <c r="R2439" s="32">
        <f>IF(Mecze[[#This Row],[BR]]=0,0,Mecze[[#This Row],[BR]]/Mecze[[#This Row],[CZAS]])</f>
        <v>0</v>
      </c>
      <c r="S2439" s="44">
        <f>IF(Mecze[[#This Row],[Role]]="BR",SUMPRODUCT(Mecze[[#This Row],[/PR:90]:[/BR:90]],Brudnopis!$E$23:$J$23),0)</f>
        <v>0</v>
      </c>
      <c r="T2439" s="44">
        <f>IF(Mecze[[#This Row],[Role]]&lt;&gt;"BR",SUMPRODUCT(Mecze[[#This Row],[/PR:90]:[/BR:90]],Brudnopis!$E$24:$J$24),0)</f>
        <v>0.12755102040816327</v>
      </c>
      <c r="U2439" s="44">
        <f>IF(Mecze[[#This Row],[Role]]&lt;&gt;"BR",SUMPRODUCT(Mecze[[#This Row],[/PR:90]:[/BR:90]],Brudnopis!$E$25:$J$25),0)</f>
        <v>0.15816326530612246</v>
      </c>
      <c r="V2439" s="44">
        <f>IF(Mecze[[#This Row],[Role]]&lt;&gt;"BR",SUMPRODUCT(Mecze[[#This Row],[/PR:90]:[/BR:90]],Brudnopis!$E$26:$J$26),0)</f>
        <v>0.12244897959183673</v>
      </c>
      <c r="W2439" s="44">
        <f>IF(Mecze[[#This Row],[Role]]&lt;&gt;"BR",SUMPRODUCT(Mecze[[#This Row],[/PR:90]:[/BR:90]],Brudnopis!$E$27:$J$27),0)</f>
        <v>0.15306122448979592</v>
      </c>
      <c r="X2439" s="44">
        <f>IF(Mecze[[#This Row],[Role]]&lt;&gt;"BR",SUMPRODUCT(Mecze[[#This Row],[/PR:90]:[/BR:90]],Brudnopis!$E$28:$J$28),0)</f>
        <v>0.13265306122448978</v>
      </c>
      <c r="Y2439" s="35">
        <f>IF(Mecze[[#This Row],[Role]]="BR",Mecze[[#This Row],[/OB:90]]+Mecze[[#This Row],[/PC:90]],SUM(Mecze[[#This Row],[/PR:90]:[/BR:90]]))</f>
        <v>0.12244897959183673</v>
      </c>
      <c r="Z2439" s="35">
        <f>IF(Mecze[[#This Row],[KC]]=0,SUM(Mecze[[#This Row],[/BRI]:[/NPI]]),SUM(Mecze[[#This Row],[/BRI]:[/NPI]])*0.6)</f>
        <v>0.69387755102040827</v>
      </c>
      <c r="AA2439" s="10">
        <f>IFERROR(Mecze[[#This Row],[BR]]/Mecze[[#This Row],[ST]],0)</f>
        <v>0</v>
      </c>
      <c r="AB2439">
        <f>ROUND(Mecze[[#This Row],[PD]]*Mecze[[#This Row],[%PC]],0)</f>
        <v>7</v>
      </c>
      <c r="AC2439">
        <f>ROUND(Mecze[[#This Row],[OD]]*Mecze[[#This Row],[%OU]],0)</f>
        <v>1</v>
      </c>
      <c r="AD2439" s="36" t="s">
        <v>272</v>
      </c>
      <c r="AE2439" s="36">
        <v>136</v>
      </c>
      <c r="AF2439" s="71">
        <v>7.73</v>
      </c>
      <c r="AG2439" s="37">
        <v>0</v>
      </c>
      <c r="AH2439" s="37">
        <v>0</v>
      </c>
      <c r="AI2439" s="37">
        <v>98</v>
      </c>
      <c r="AJ2439" s="37">
        <v>3</v>
      </c>
      <c r="AK2439" s="37" t="str">
        <f>VLOOKUP(Mecze[[#This Row],[Match ID]],Meczusie[Mecz]:Meczusie[RodzajMeczu],2,FALSE)</f>
        <v>Liga</v>
      </c>
    </row>
    <row r="2440" spans="1:37" x14ac:dyDescent="0.25">
      <c r="A2440" s="76">
        <v>11</v>
      </c>
      <c r="B2440" s="3" t="s">
        <v>270</v>
      </c>
      <c r="C2440" s="2" t="s">
        <v>165</v>
      </c>
      <c r="D2440" s="1">
        <v>2</v>
      </c>
      <c r="E2440" s="1">
        <v>6</v>
      </c>
      <c r="F2440" s="1">
        <v>5</v>
      </c>
      <c r="G2440" s="1">
        <v>13</v>
      </c>
      <c r="H2440" s="4">
        <v>0.77</v>
      </c>
      <c r="I2440" s="1">
        <v>2</v>
      </c>
      <c r="J2440" s="4">
        <v>1</v>
      </c>
      <c r="K2440" s="1">
        <v>0</v>
      </c>
      <c r="L2440" s="1">
        <v>1</v>
      </c>
      <c r="M2440" s="32">
        <f>IF(Mecze[[#This Row],[PR]]=0,0,Mecze[[#This Row],[PR]]/Mecze[[#This Row],[CZAS]])</f>
        <v>1.020408163265306E-2</v>
      </c>
      <c r="N2440" s="32">
        <f>IF(Mecze[[#This Row],[OU]]=0,0,Mecze[[#This Row],[OU]]/Mecze[[#This Row],[CZAS]])</f>
        <v>2.0408163265306121E-2</v>
      </c>
      <c r="O2440" s="32">
        <f>IF(Mecze[[#This Row],[PC]]=0,0,Mecze[[#This Row],[PC]]/Mecze[[#This Row],[CZAS]])</f>
        <v>0.10204081632653061</v>
      </c>
      <c r="P2440" s="32">
        <f>IF(Mecze[[#This Row],[SC]]=0,0,Mecze[[#This Row],[SC]]/Mecze[[#This Row],[CZAS]])</f>
        <v>5.1020408163265307E-2</v>
      </c>
      <c r="Q2440" s="32">
        <f>IF(Mecze[[#This Row],[OB]]=0,0,Mecze[[#This Row],[OB]]/Mecze[[#This Row],[CZAS]])</f>
        <v>0</v>
      </c>
      <c r="R2440" s="32">
        <f>IF(Mecze[[#This Row],[BR]]=0,0,Mecze[[#This Row],[BR]]/Mecze[[#This Row],[CZAS]])</f>
        <v>2.0408163265306121E-2</v>
      </c>
      <c r="S2440" s="44">
        <f>IF(Mecze[[#This Row],[Role]]="BR",SUMPRODUCT(Mecze[[#This Row],[/PR:90]:[/BR:90]],Brudnopis!$E$23:$J$23),0)</f>
        <v>0</v>
      </c>
      <c r="T2440" s="44">
        <f>IF(Mecze[[#This Row],[Role]]&lt;&gt;"BR",SUMPRODUCT(Mecze[[#This Row],[/PR:90]:[/BR:90]],Brudnopis!$E$24:$J$24),0)</f>
        <v>0.22448979591836735</v>
      </c>
      <c r="U2440" s="44">
        <f>IF(Mecze[[#This Row],[Role]]&lt;&gt;"BR",SUMPRODUCT(Mecze[[#This Row],[/PR:90]:[/BR:90]],Brudnopis!$E$25:$J$25),0)</f>
        <v>0.26530612244897961</v>
      </c>
      <c r="V2440" s="44">
        <f>IF(Mecze[[#This Row],[Role]]&lt;&gt;"BR",SUMPRODUCT(Mecze[[#This Row],[/PR:90]:[/BR:90]],Brudnopis!$E$26:$J$26),0)</f>
        <v>0.22448979591836735</v>
      </c>
      <c r="W2440" s="44">
        <f>IF(Mecze[[#This Row],[Role]]&lt;&gt;"BR",SUMPRODUCT(Mecze[[#This Row],[/PR:90]:[/BR:90]],Brudnopis!$E$27:$J$27),0)</f>
        <v>0.26785714285714285</v>
      </c>
      <c r="X2440" s="44">
        <f>IF(Mecze[[#This Row],[Role]]&lt;&gt;"BR",SUMPRODUCT(Mecze[[#This Row],[/PR:90]:[/BR:90]],Brudnopis!$E$28:$J$28),0)</f>
        <v>0.26530612244897961</v>
      </c>
      <c r="Y2440" s="35">
        <f>IF(Mecze[[#This Row],[Role]]="BR",Mecze[[#This Row],[/OB:90]]+Mecze[[#This Row],[/PC:90]],SUM(Mecze[[#This Row],[/PR:90]:[/BR:90]]))</f>
        <v>0.20408163265306123</v>
      </c>
      <c r="Z2440" s="35">
        <f>IF(Mecze[[#This Row],[KC]]=0,SUM(Mecze[[#This Row],[/BRI]:[/NPI]]),SUM(Mecze[[#This Row],[/BRI]:[/NPI]])*0.6)</f>
        <v>1.2474489795918369</v>
      </c>
      <c r="AA2440" s="10">
        <f>IFERROR(Mecze[[#This Row],[BR]]/Mecze[[#This Row],[ST]],0)</f>
        <v>0.33333333333333331</v>
      </c>
      <c r="AB2440">
        <f>ROUND(Mecze[[#This Row],[PD]]*Mecze[[#This Row],[%PC]],0)</f>
        <v>10</v>
      </c>
      <c r="AC2440">
        <f>ROUND(Mecze[[#This Row],[OD]]*Mecze[[#This Row],[%OU]],0)</f>
        <v>2</v>
      </c>
      <c r="AD2440" s="36" t="s">
        <v>273</v>
      </c>
      <c r="AE2440" s="36">
        <v>136</v>
      </c>
      <c r="AF2440" s="71">
        <v>10.96</v>
      </c>
      <c r="AG2440" s="37">
        <v>0</v>
      </c>
      <c r="AH2440" s="37">
        <v>0</v>
      </c>
      <c r="AI2440" s="37">
        <v>98</v>
      </c>
      <c r="AJ2440" s="37">
        <v>3</v>
      </c>
      <c r="AK2440" s="37" t="str">
        <f>VLOOKUP(Mecze[[#This Row],[Match ID]],Meczusie[Mecz]:Meczusie[RodzajMeczu],2,FALSE)</f>
        <v>Liga</v>
      </c>
    </row>
    <row r="2441" spans="1:37" x14ac:dyDescent="0.25">
      <c r="A2441" s="76">
        <v>10</v>
      </c>
      <c r="B2441" s="3" t="s">
        <v>271</v>
      </c>
      <c r="C2441" s="2" t="s">
        <v>165</v>
      </c>
      <c r="D2441" s="1">
        <v>1</v>
      </c>
      <c r="E2441" s="1">
        <v>13</v>
      </c>
      <c r="F2441" s="1">
        <v>13</v>
      </c>
      <c r="G2441" s="1">
        <v>11</v>
      </c>
      <c r="H2441" s="4">
        <v>0.73</v>
      </c>
      <c r="I2441" s="1">
        <v>1</v>
      </c>
      <c r="J2441" s="4">
        <v>0</v>
      </c>
      <c r="K2441" s="1">
        <v>0</v>
      </c>
      <c r="L2441" s="1">
        <v>1</v>
      </c>
      <c r="M2441" s="32">
        <f>IF(Mecze[[#This Row],[PR]]=0,0,Mecze[[#This Row],[PR]]/Mecze[[#This Row],[CZAS]])</f>
        <v>1.020408163265306E-2</v>
      </c>
      <c r="N2441" s="32">
        <f>IF(Mecze[[#This Row],[OU]]=0,0,Mecze[[#This Row],[OU]]/Mecze[[#This Row],[CZAS]])</f>
        <v>0</v>
      </c>
      <c r="O2441" s="32">
        <f>IF(Mecze[[#This Row],[PC]]=0,0,Mecze[[#This Row],[PC]]/Mecze[[#This Row],[CZAS]])</f>
        <v>8.1632653061224483E-2</v>
      </c>
      <c r="P2441" s="32">
        <f>IF(Mecze[[#This Row],[SC]]=0,0,Mecze[[#This Row],[SC]]/Mecze[[#This Row],[CZAS]])</f>
        <v>0.1326530612244898</v>
      </c>
      <c r="Q2441" s="32">
        <f>IF(Mecze[[#This Row],[OB]]=0,0,Mecze[[#This Row],[OB]]/Mecze[[#This Row],[CZAS]])</f>
        <v>0</v>
      </c>
      <c r="R2441" s="32">
        <f>IF(Mecze[[#This Row],[BR]]=0,0,Mecze[[#This Row],[BR]]/Mecze[[#This Row],[CZAS]])</f>
        <v>1.020408163265306E-2</v>
      </c>
      <c r="S2441" s="44">
        <f>IF(Mecze[[#This Row],[Role]]="BR",SUMPRODUCT(Mecze[[#This Row],[/PR:90]:[/BR:90]],Brudnopis!$E$23:$J$23),0)</f>
        <v>0</v>
      </c>
      <c r="T2441" s="44">
        <f>IF(Mecze[[#This Row],[Role]]&lt;&gt;"BR",SUMPRODUCT(Mecze[[#This Row],[/PR:90]:[/BR:90]],Brudnopis!$E$24:$J$24),0)</f>
        <v>0.23979591836734693</v>
      </c>
      <c r="U2441" s="44">
        <f>IF(Mecze[[#This Row],[Role]]&lt;&gt;"BR",SUMPRODUCT(Mecze[[#This Row],[/PR:90]:[/BR:90]],Brudnopis!$E$25:$J$25),0)</f>
        <v>0.28061224489795922</v>
      </c>
      <c r="V2441" s="44">
        <f>IF(Mecze[[#This Row],[Role]]&lt;&gt;"BR",SUMPRODUCT(Mecze[[#This Row],[/PR:90]:[/BR:90]],Brudnopis!$E$26:$J$26),0)</f>
        <v>0.24489795918367346</v>
      </c>
      <c r="W2441" s="44">
        <f>IF(Mecze[[#This Row],[Role]]&lt;&gt;"BR",SUMPRODUCT(Mecze[[#This Row],[/PR:90]:[/BR:90]],Brudnopis!$E$27:$J$27),0)</f>
        <v>0.28316326530612246</v>
      </c>
      <c r="X2441" s="44">
        <f>IF(Mecze[[#This Row],[Role]]&lt;&gt;"BR",SUMPRODUCT(Mecze[[#This Row],[/PR:90]:[/BR:90]],Brudnopis!$E$28:$J$28),0)</f>
        <v>0.37755102040816324</v>
      </c>
      <c r="Y2441" s="35">
        <f>IF(Mecze[[#This Row],[Role]]="BR",Mecze[[#This Row],[/OB:90]]+Mecze[[#This Row],[/PC:90]],SUM(Mecze[[#This Row],[/PR:90]:[/BR:90]]))</f>
        <v>0.23469387755102042</v>
      </c>
      <c r="Z2441" s="35">
        <f>IF(Mecze[[#This Row],[KC]]=0,SUM(Mecze[[#This Row],[/BRI]:[/NPI]]),SUM(Mecze[[#This Row],[/BRI]:[/NPI]])*0.6)</f>
        <v>1.4260204081632653</v>
      </c>
      <c r="AA2441" s="10">
        <f>IFERROR(Mecze[[#This Row],[BR]]/Mecze[[#This Row],[ST]],0)</f>
        <v>7.6923076923076927E-2</v>
      </c>
      <c r="AB2441">
        <f>ROUND(Mecze[[#This Row],[PD]]*Mecze[[#This Row],[%PC]],0)</f>
        <v>8</v>
      </c>
      <c r="AC2441">
        <f>ROUND(Mecze[[#This Row],[OD]]*Mecze[[#This Row],[%OU]],0)</f>
        <v>0</v>
      </c>
      <c r="AD2441" s="36" t="s">
        <v>46</v>
      </c>
      <c r="AE2441" s="36">
        <v>136</v>
      </c>
      <c r="AF2441" s="71">
        <v>10.42</v>
      </c>
      <c r="AG2441" s="37">
        <v>0</v>
      </c>
      <c r="AH2441" s="37">
        <v>0</v>
      </c>
      <c r="AI2441" s="37">
        <v>98</v>
      </c>
      <c r="AJ2441" s="37">
        <v>3</v>
      </c>
      <c r="AK2441" s="37" t="str">
        <f>VLOOKUP(Mecze[[#This Row],[Match ID]],Meczusie[Mecz]:Meczusie[RodzajMeczu],2,FALSE)</f>
        <v>Liga</v>
      </c>
    </row>
    <row r="2442" spans="1:37" x14ac:dyDescent="0.25">
      <c r="A2442" s="76">
        <v>1</v>
      </c>
      <c r="B2442" s="3" t="s">
        <v>288</v>
      </c>
      <c r="C2442" s="2" t="s">
        <v>155</v>
      </c>
      <c r="D2442" s="1">
        <v>0</v>
      </c>
      <c r="E2442" s="1">
        <v>0</v>
      </c>
      <c r="F2442" s="1">
        <v>0</v>
      </c>
      <c r="G2442" s="1">
        <v>14</v>
      </c>
      <c r="H2442" s="4">
        <v>0.36</v>
      </c>
      <c r="I2442" s="1">
        <v>0</v>
      </c>
      <c r="J2442" s="4"/>
      <c r="K2442" s="1">
        <v>17</v>
      </c>
      <c r="L2442" s="1">
        <v>0</v>
      </c>
      <c r="M2442" s="32">
        <f>IF(Mecze[[#This Row],[PR]]=0,0,Mecze[[#This Row],[PR]]/Mecze[[#This Row],[CZAS]])</f>
        <v>0</v>
      </c>
      <c r="N2442" s="32">
        <f>IF(Mecze[[#This Row],[OU]]=0,0,Mecze[[#This Row],[OU]]/Mecze[[#This Row],[CZAS]])</f>
        <v>0</v>
      </c>
      <c r="O2442" s="32">
        <f>IF(Mecze[[#This Row],[PC]]=0,0,Mecze[[#This Row],[PC]]/Mecze[[#This Row],[CZAS]])</f>
        <v>5.2083333333333336E-2</v>
      </c>
      <c r="P2442" s="32">
        <f>IF(Mecze[[#This Row],[SC]]=0,0,Mecze[[#This Row],[SC]]/Mecze[[#This Row],[CZAS]])</f>
        <v>0</v>
      </c>
      <c r="Q2442" s="32">
        <f>IF(Mecze[[#This Row],[OB]]=0,0,Mecze[[#This Row],[OB]]/Mecze[[#This Row],[CZAS]])</f>
        <v>0.17708333333333334</v>
      </c>
      <c r="R2442" s="32">
        <f>IF(Mecze[[#This Row],[BR]]=0,0,Mecze[[#This Row],[BR]]/Mecze[[#This Row],[CZAS]])</f>
        <v>0</v>
      </c>
      <c r="S2442" s="44">
        <f>IF(Mecze[[#This Row],[Role]]="BR",SUMPRODUCT(Mecze[[#This Row],[/PR:90]:[/BR:90]],Brudnopis!$E$23:$J$23),0)</f>
        <v>0.6875</v>
      </c>
      <c r="T2442" s="44">
        <f>IF(Mecze[[#This Row],[Role]]&lt;&gt;"BR",SUMPRODUCT(Mecze[[#This Row],[/PR:90]:[/BR:90]],Brudnopis!$E$24:$J$24),0)</f>
        <v>0</v>
      </c>
      <c r="U2442" s="44">
        <f>IF(Mecze[[#This Row],[Role]]&lt;&gt;"BR",SUMPRODUCT(Mecze[[#This Row],[/PR:90]:[/BR:90]],Brudnopis!$E$25:$J$25),0)</f>
        <v>0</v>
      </c>
      <c r="V2442" s="44">
        <f>IF(Mecze[[#This Row],[Role]]&lt;&gt;"BR",SUMPRODUCT(Mecze[[#This Row],[/PR:90]:[/BR:90]],Brudnopis!$E$26:$J$26),0)</f>
        <v>0</v>
      </c>
      <c r="W2442" s="44">
        <f>IF(Mecze[[#This Row],[Role]]&lt;&gt;"BR",SUMPRODUCT(Mecze[[#This Row],[/PR:90]:[/BR:90]],Brudnopis!$E$27:$J$27),0)</f>
        <v>0</v>
      </c>
      <c r="X2442" s="44">
        <f>IF(Mecze[[#This Row],[Role]]&lt;&gt;"BR",SUMPRODUCT(Mecze[[#This Row],[/PR:90]:[/BR:90]],Brudnopis!$E$28:$J$28),0)</f>
        <v>0</v>
      </c>
      <c r="Y2442" s="35">
        <f>IF(Mecze[[#This Row],[Role]]="BR",Mecze[[#This Row],[/OB:90]]+Mecze[[#This Row],[/PC:90]],SUM(Mecze[[#This Row],[/PR:90]:[/BR:90]]))</f>
        <v>0.22916666666666669</v>
      </c>
      <c r="Z2442" s="35">
        <f>IF(Mecze[[#This Row],[KC]]=0,SUM(Mecze[[#This Row],[/BRI]:[/NPI]]),SUM(Mecze[[#This Row],[/BRI]:[/NPI]])*0.6)</f>
        <v>0.6875</v>
      </c>
      <c r="AA2442" s="10">
        <f>IFERROR(Mecze[[#This Row],[BR]]/Mecze[[#This Row],[ST]],0)</f>
        <v>0</v>
      </c>
      <c r="AB2442">
        <f>ROUND(Mecze[[#This Row],[PD]]*Mecze[[#This Row],[%PC]],0)</f>
        <v>5</v>
      </c>
      <c r="AC2442">
        <f>ROUND(Mecze[[#This Row],[OD]]*Mecze[[#This Row],[%OU]],0)</f>
        <v>0</v>
      </c>
      <c r="AD2442" s="36" t="s">
        <v>40</v>
      </c>
      <c r="AE2442" s="36">
        <v>137</v>
      </c>
      <c r="AF2442" s="71">
        <v>8.65</v>
      </c>
      <c r="AG2442" s="37">
        <v>0</v>
      </c>
      <c r="AH2442" s="37">
        <v>0</v>
      </c>
      <c r="AI2442" s="37">
        <v>96</v>
      </c>
      <c r="AJ2442" s="37">
        <v>9</v>
      </c>
      <c r="AK2442" s="37" t="str">
        <f>VLOOKUP(Mecze[[#This Row],[Match ID]],Meczusie[Mecz]:Meczusie[RodzajMeczu],2,FALSE)</f>
        <v>Liga</v>
      </c>
    </row>
    <row r="2443" spans="1:37" x14ac:dyDescent="0.25">
      <c r="A2443" s="76">
        <v>4</v>
      </c>
      <c r="B2443" s="3" t="s">
        <v>289</v>
      </c>
      <c r="C2443" s="2" t="s">
        <v>157</v>
      </c>
      <c r="D2443" s="1">
        <v>0</v>
      </c>
      <c r="E2443" s="1">
        <v>0</v>
      </c>
      <c r="F2443" s="1">
        <v>0</v>
      </c>
      <c r="G2443" s="1">
        <v>9</v>
      </c>
      <c r="H2443" s="4">
        <v>0.44</v>
      </c>
      <c r="I2443" s="1">
        <v>7</v>
      </c>
      <c r="J2443" s="4">
        <v>0.56999999999999995</v>
      </c>
      <c r="K2443" s="1">
        <v>0</v>
      </c>
      <c r="L2443" s="1">
        <v>6</v>
      </c>
      <c r="M2443" s="32">
        <f>IF(Mecze[[#This Row],[PR]]=0,0,Mecze[[#This Row],[PR]]/Mecze[[#This Row],[CZAS]])</f>
        <v>6.25E-2</v>
      </c>
      <c r="N2443" s="32">
        <f>IF(Mecze[[#This Row],[OU]]=0,0,Mecze[[#This Row],[OU]]/Mecze[[#This Row],[CZAS]])</f>
        <v>4.1666666666666664E-2</v>
      </c>
      <c r="O2443" s="32">
        <f>IF(Mecze[[#This Row],[PC]]=0,0,Mecze[[#This Row],[PC]]/Mecze[[#This Row],[CZAS]])</f>
        <v>4.1666666666666664E-2</v>
      </c>
      <c r="P2443" s="32">
        <f>IF(Mecze[[#This Row],[SC]]=0,0,Mecze[[#This Row],[SC]]/Mecze[[#This Row],[CZAS]])</f>
        <v>0</v>
      </c>
      <c r="Q2443" s="32">
        <f>IF(Mecze[[#This Row],[OB]]=0,0,Mecze[[#This Row],[OB]]/Mecze[[#This Row],[CZAS]])</f>
        <v>0</v>
      </c>
      <c r="R2443" s="32">
        <f>IF(Mecze[[#This Row],[BR]]=0,0,Mecze[[#This Row],[BR]]/Mecze[[#This Row],[CZAS]])</f>
        <v>0</v>
      </c>
      <c r="S2443" s="44">
        <f>IF(Mecze[[#This Row],[Role]]="BR",SUMPRODUCT(Mecze[[#This Row],[/PR:90]:[/BR:90]],Brudnopis!$E$23:$J$23),0)</f>
        <v>0</v>
      </c>
      <c r="T2443" s="44">
        <f>IF(Mecze[[#This Row],[Role]]&lt;&gt;"BR",SUMPRODUCT(Mecze[[#This Row],[/PR:90]:[/BR:90]],Brudnopis!$E$24:$J$24),0)</f>
        <v>0.16666666666666666</v>
      </c>
      <c r="U2443" s="44">
        <f>IF(Mecze[[#This Row],[Role]]&lt;&gt;"BR",SUMPRODUCT(Mecze[[#This Row],[/PR:90]:[/BR:90]],Brudnopis!$E$25:$J$25),0)</f>
        <v>0.16666666666666666</v>
      </c>
      <c r="V2443" s="44">
        <f>IF(Mecze[[#This Row],[Role]]&lt;&gt;"BR",SUMPRODUCT(Mecze[[#This Row],[/PR:90]:[/BR:90]],Brudnopis!$E$26:$J$26),0)</f>
        <v>0.14583333333333331</v>
      </c>
      <c r="W2443" s="44">
        <f>IF(Mecze[[#This Row],[Role]]&lt;&gt;"BR",SUMPRODUCT(Mecze[[#This Row],[/PR:90]:[/BR:90]],Brudnopis!$E$27:$J$27),0)</f>
        <v>0.140625</v>
      </c>
      <c r="X2443" s="44">
        <f>IF(Mecze[[#This Row],[Role]]&lt;&gt;"BR",SUMPRODUCT(Mecze[[#This Row],[/PR:90]:[/BR:90]],Brudnopis!$E$28:$J$28),0)</f>
        <v>4.1666666666666664E-2</v>
      </c>
      <c r="Y2443" s="35">
        <f>IF(Mecze[[#This Row],[Role]]="BR",Mecze[[#This Row],[/OB:90]]+Mecze[[#This Row],[/PC:90]],SUM(Mecze[[#This Row],[/PR:90]:[/BR:90]]))</f>
        <v>0.14583333333333331</v>
      </c>
      <c r="Z2443" s="35">
        <f>IF(Mecze[[#This Row],[KC]]=0,SUM(Mecze[[#This Row],[/BRI]:[/NPI]]),SUM(Mecze[[#This Row],[/BRI]:[/NPI]])*0.6)</f>
        <v>0.66145833333333326</v>
      </c>
      <c r="AA2443" s="10">
        <f>IFERROR(Mecze[[#This Row],[BR]]/Mecze[[#This Row],[ST]],0)</f>
        <v>0</v>
      </c>
      <c r="AB2443">
        <f>ROUND(Mecze[[#This Row],[PD]]*Mecze[[#This Row],[%PC]],0)</f>
        <v>4</v>
      </c>
      <c r="AC2443">
        <f>ROUND(Mecze[[#This Row],[OD]]*Mecze[[#This Row],[%OU]],0)</f>
        <v>4</v>
      </c>
      <c r="AD2443" s="36" t="s">
        <v>168</v>
      </c>
      <c r="AE2443" s="36">
        <v>137</v>
      </c>
      <c r="AF2443" s="71">
        <v>5.08</v>
      </c>
      <c r="AG2443" s="37">
        <v>0</v>
      </c>
      <c r="AH2443" s="37">
        <v>0</v>
      </c>
      <c r="AI2443" s="37">
        <v>96</v>
      </c>
      <c r="AJ2443" s="37">
        <v>9</v>
      </c>
      <c r="AK2443" s="37" t="str">
        <f>VLOOKUP(Mecze[[#This Row],[Match ID]],Meczusie[Mecz]:Meczusie[RodzajMeczu],2,FALSE)</f>
        <v>Liga</v>
      </c>
    </row>
    <row r="2444" spans="1:37" x14ac:dyDescent="0.25">
      <c r="A2444" s="76">
        <v>2</v>
      </c>
      <c r="B2444" s="3" t="s">
        <v>290</v>
      </c>
      <c r="C2444" s="2" t="s">
        <v>157</v>
      </c>
      <c r="D2444" s="1">
        <v>0</v>
      </c>
      <c r="E2444" s="1">
        <v>0</v>
      </c>
      <c r="F2444" s="1">
        <v>0</v>
      </c>
      <c r="G2444" s="1">
        <v>9</v>
      </c>
      <c r="H2444" s="4">
        <v>0.67</v>
      </c>
      <c r="I2444" s="1">
        <v>6</v>
      </c>
      <c r="J2444" s="4">
        <v>0.5</v>
      </c>
      <c r="K2444" s="1">
        <v>0</v>
      </c>
      <c r="L2444" s="1">
        <v>2</v>
      </c>
      <c r="M2444" s="32">
        <f>IF(Mecze[[#This Row],[PR]]=0,0,Mecze[[#This Row],[PR]]/Mecze[[#This Row],[CZAS]])</f>
        <v>2.0833333333333332E-2</v>
      </c>
      <c r="N2444" s="32">
        <f>IF(Mecze[[#This Row],[OU]]=0,0,Mecze[[#This Row],[OU]]/Mecze[[#This Row],[CZAS]])</f>
        <v>3.125E-2</v>
      </c>
      <c r="O2444" s="32">
        <f>IF(Mecze[[#This Row],[PC]]=0,0,Mecze[[#This Row],[PC]]/Mecze[[#This Row],[CZAS]])</f>
        <v>6.25E-2</v>
      </c>
      <c r="P2444" s="32">
        <f>IF(Mecze[[#This Row],[SC]]=0,0,Mecze[[#This Row],[SC]]/Mecze[[#This Row],[CZAS]])</f>
        <v>0</v>
      </c>
      <c r="Q2444" s="32">
        <f>IF(Mecze[[#This Row],[OB]]=0,0,Mecze[[#This Row],[OB]]/Mecze[[#This Row],[CZAS]])</f>
        <v>0</v>
      </c>
      <c r="R2444" s="32">
        <f>IF(Mecze[[#This Row],[BR]]=0,0,Mecze[[#This Row],[BR]]/Mecze[[#This Row],[CZAS]])</f>
        <v>0</v>
      </c>
      <c r="S2444" s="44">
        <f>IF(Mecze[[#This Row],[Role]]="BR",SUMPRODUCT(Mecze[[#This Row],[/PR:90]:[/BR:90]],Brudnopis!$E$23:$J$23),0)</f>
        <v>0</v>
      </c>
      <c r="T2444" s="44">
        <f>IF(Mecze[[#This Row],[Role]]&lt;&gt;"BR",SUMPRODUCT(Mecze[[#This Row],[/PR:90]:[/BR:90]],Brudnopis!$E$24:$J$24),0)</f>
        <v>0.13020833333333331</v>
      </c>
      <c r="U2444" s="44">
        <f>IF(Mecze[[#This Row],[Role]]&lt;&gt;"BR",SUMPRODUCT(Mecze[[#This Row],[/PR:90]:[/BR:90]],Brudnopis!$E$25:$J$25),0)</f>
        <v>0.14583333333333331</v>
      </c>
      <c r="V2444" s="44">
        <f>IF(Mecze[[#This Row],[Role]]&lt;&gt;"BR",SUMPRODUCT(Mecze[[#This Row],[/PR:90]:[/BR:90]],Brudnopis!$E$26:$J$26),0)</f>
        <v>0.11458333333333333</v>
      </c>
      <c r="W2444" s="44">
        <f>IF(Mecze[[#This Row],[Role]]&lt;&gt;"BR",SUMPRODUCT(Mecze[[#This Row],[/PR:90]:[/BR:90]],Brudnopis!$E$27:$J$27),0)</f>
        <v>0.1328125</v>
      </c>
      <c r="X2444" s="44">
        <f>IF(Mecze[[#This Row],[Role]]&lt;&gt;"BR",SUMPRODUCT(Mecze[[#This Row],[/PR:90]:[/BR:90]],Brudnopis!$E$28:$J$28),0)</f>
        <v>6.25E-2</v>
      </c>
      <c r="Y2444" s="35">
        <f>IF(Mecze[[#This Row],[Role]]="BR",Mecze[[#This Row],[/OB:90]]+Mecze[[#This Row],[/PC:90]],SUM(Mecze[[#This Row],[/PR:90]:[/BR:90]]))</f>
        <v>0.11458333333333333</v>
      </c>
      <c r="Z2444" s="35">
        <f>IF(Mecze[[#This Row],[KC]]=0,SUM(Mecze[[#This Row],[/BRI]:[/NPI]]),SUM(Mecze[[#This Row],[/BRI]:[/NPI]])*0.6)</f>
        <v>0.5859375</v>
      </c>
      <c r="AA2444" s="10">
        <f>IFERROR(Mecze[[#This Row],[BR]]/Mecze[[#This Row],[ST]],0)</f>
        <v>0</v>
      </c>
      <c r="AB2444">
        <f>ROUND(Mecze[[#This Row],[PD]]*Mecze[[#This Row],[%PC]],0)</f>
        <v>6</v>
      </c>
      <c r="AC2444">
        <f>ROUND(Mecze[[#This Row],[OD]]*Mecze[[#This Row],[%OU]],0)</f>
        <v>3</v>
      </c>
      <c r="AD2444" s="36" t="s">
        <v>47</v>
      </c>
      <c r="AE2444" s="36">
        <v>137</v>
      </c>
      <c r="AF2444" s="71">
        <v>4.24</v>
      </c>
      <c r="AG2444" s="37">
        <v>0</v>
      </c>
      <c r="AH2444" s="37">
        <v>0</v>
      </c>
      <c r="AI2444" s="37">
        <v>96</v>
      </c>
      <c r="AJ2444" s="37">
        <v>9</v>
      </c>
      <c r="AK2444" s="37" t="str">
        <f>VLOOKUP(Mecze[[#This Row],[Match ID]],Meczusie[Mecz]:Meczusie[RodzajMeczu],2,FALSE)</f>
        <v>Liga</v>
      </c>
    </row>
    <row r="2445" spans="1:37" x14ac:dyDescent="0.25">
      <c r="A2445" s="76">
        <v>16</v>
      </c>
      <c r="B2445" s="3" t="s">
        <v>405</v>
      </c>
      <c r="C2445" s="2" t="s">
        <v>157</v>
      </c>
      <c r="D2445" s="1">
        <v>0</v>
      </c>
      <c r="E2445" s="1">
        <v>0</v>
      </c>
      <c r="F2445" s="1">
        <v>0</v>
      </c>
      <c r="G2445" s="1">
        <v>4</v>
      </c>
      <c r="H2445" s="4">
        <v>0.5</v>
      </c>
      <c r="I2445" s="1">
        <v>9</v>
      </c>
      <c r="J2445" s="4">
        <v>0.44</v>
      </c>
      <c r="K2445" s="1">
        <v>0</v>
      </c>
      <c r="L2445" s="1">
        <v>3</v>
      </c>
      <c r="M2445" s="32">
        <f>IF(Mecze[[#This Row],[PR]]=0,0,Mecze[[#This Row],[PR]]/Mecze[[#This Row],[CZAS]])</f>
        <v>3.125E-2</v>
      </c>
      <c r="N2445" s="32">
        <f>IF(Mecze[[#This Row],[OU]]=0,0,Mecze[[#This Row],[OU]]/Mecze[[#This Row],[CZAS]])</f>
        <v>4.1666666666666664E-2</v>
      </c>
      <c r="O2445" s="32">
        <f>IF(Mecze[[#This Row],[PC]]=0,0,Mecze[[#This Row],[PC]]/Mecze[[#This Row],[CZAS]])</f>
        <v>2.0833333333333332E-2</v>
      </c>
      <c r="P2445" s="32">
        <f>IF(Mecze[[#This Row],[SC]]=0,0,Mecze[[#This Row],[SC]]/Mecze[[#This Row],[CZAS]])</f>
        <v>0</v>
      </c>
      <c r="Q2445" s="32">
        <f>IF(Mecze[[#This Row],[OB]]=0,0,Mecze[[#This Row],[OB]]/Mecze[[#This Row],[CZAS]])</f>
        <v>0</v>
      </c>
      <c r="R2445" s="32">
        <f>IF(Mecze[[#This Row],[BR]]=0,0,Mecze[[#This Row],[BR]]/Mecze[[#This Row],[CZAS]])</f>
        <v>0</v>
      </c>
      <c r="S2445" s="44">
        <f>IF(Mecze[[#This Row],[Role]]="BR",SUMPRODUCT(Mecze[[#This Row],[/PR:90]:[/BR:90]],Brudnopis!$E$23:$J$23),0)</f>
        <v>0</v>
      </c>
      <c r="T2445" s="44">
        <f>IF(Mecze[[#This Row],[Role]]&lt;&gt;"BR",SUMPRODUCT(Mecze[[#This Row],[/PR:90]:[/BR:90]],Brudnopis!$E$24:$J$24),0)</f>
        <v>0.11458333333333333</v>
      </c>
      <c r="U2445" s="44">
        <f>IF(Mecze[[#This Row],[Role]]&lt;&gt;"BR",SUMPRODUCT(Mecze[[#This Row],[/PR:90]:[/BR:90]],Brudnopis!$E$25:$J$25),0)</f>
        <v>0.10416666666666666</v>
      </c>
      <c r="V2445" s="44">
        <f>IF(Mecze[[#This Row],[Role]]&lt;&gt;"BR",SUMPRODUCT(Mecze[[#This Row],[/PR:90]:[/BR:90]],Brudnopis!$E$26:$J$26),0)</f>
        <v>9.3749999999999986E-2</v>
      </c>
      <c r="W2445" s="44">
        <f>IF(Mecze[[#This Row],[Role]]&lt;&gt;"BR",SUMPRODUCT(Mecze[[#This Row],[/PR:90]:[/BR:90]],Brudnopis!$E$27:$J$27),0)</f>
        <v>8.59375E-2</v>
      </c>
      <c r="X2445" s="44">
        <f>IF(Mecze[[#This Row],[Role]]&lt;&gt;"BR",SUMPRODUCT(Mecze[[#This Row],[/PR:90]:[/BR:90]],Brudnopis!$E$28:$J$28),0)</f>
        <v>2.0833333333333332E-2</v>
      </c>
      <c r="Y2445" s="35">
        <f>IF(Mecze[[#This Row],[Role]]="BR",Mecze[[#This Row],[/OB:90]]+Mecze[[#This Row],[/PC:90]],SUM(Mecze[[#This Row],[/PR:90]:[/BR:90]]))</f>
        <v>9.3749999999999986E-2</v>
      </c>
      <c r="Z2445" s="35">
        <f>IF(Mecze[[#This Row],[KC]]=0,SUM(Mecze[[#This Row],[/BRI]:[/NPI]]),SUM(Mecze[[#This Row],[/BRI]:[/NPI]])*0.6)</f>
        <v>0.41927083333333331</v>
      </c>
      <c r="AA2445" s="10">
        <f>IFERROR(Mecze[[#This Row],[BR]]/Mecze[[#This Row],[ST]],0)</f>
        <v>0</v>
      </c>
      <c r="AB2445">
        <f>ROUND(Mecze[[#This Row],[PD]]*Mecze[[#This Row],[%PC]],0)</f>
        <v>2</v>
      </c>
      <c r="AC2445">
        <f>ROUND(Mecze[[#This Row],[OD]]*Mecze[[#This Row],[%OU]],0)</f>
        <v>4</v>
      </c>
      <c r="AD2445" s="36" t="s">
        <v>167</v>
      </c>
      <c r="AE2445" s="36">
        <v>137</v>
      </c>
      <c r="AF2445" s="71">
        <v>2.2200000000000002</v>
      </c>
      <c r="AG2445" s="37">
        <v>1</v>
      </c>
      <c r="AH2445" s="37">
        <v>0</v>
      </c>
      <c r="AI2445" s="37">
        <v>96</v>
      </c>
      <c r="AJ2445" s="37">
        <v>9</v>
      </c>
      <c r="AK2445" s="37" t="str">
        <f>VLOOKUP(Mecze[[#This Row],[Match ID]],Meczusie[Mecz]:Meczusie[RodzajMeczu],2,FALSE)</f>
        <v>Liga</v>
      </c>
    </row>
    <row r="2446" spans="1:37" x14ac:dyDescent="0.25">
      <c r="A2446" s="76">
        <v>14</v>
      </c>
      <c r="B2446" s="3" t="s">
        <v>293</v>
      </c>
      <c r="C2446" s="2" t="s">
        <v>160</v>
      </c>
      <c r="D2446" s="1">
        <v>0</v>
      </c>
      <c r="E2446" s="1">
        <v>0</v>
      </c>
      <c r="F2446" s="1">
        <v>0</v>
      </c>
      <c r="G2446" s="1">
        <v>4</v>
      </c>
      <c r="H2446" s="4">
        <v>0.75</v>
      </c>
      <c r="I2446" s="1">
        <v>6</v>
      </c>
      <c r="J2446" s="4">
        <v>0.5</v>
      </c>
      <c r="K2446" s="1">
        <v>0</v>
      </c>
      <c r="L2446" s="1">
        <v>1</v>
      </c>
      <c r="M2446" s="32">
        <f>IF(Mecze[[#This Row],[PR]]=0,0,Mecze[[#This Row],[PR]]/Mecze[[#This Row],[CZAS]])</f>
        <v>1.0416666666666666E-2</v>
      </c>
      <c r="N2446" s="32">
        <f>IF(Mecze[[#This Row],[OU]]=0,0,Mecze[[#This Row],[OU]]/Mecze[[#This Row],[CZAS]])</f>
        <v>3.125E-2</v>
      </c>
      <c r="O2446" s="32">
        <f>IF(Mecze[[#This Row],[PC]]=0,0,Mecze[[#This Row],[PC]]/Mecze[[#This Row],[CZAS]])</f>
        <v>3.125E-2</v>
      </c>
      <c r="P2446" s="32">
        <f>IF(Mecze[[#This Row],[SC]]=0,0,Mecze[[#This Row],[SC]]/Mecze[[#This Row],[CZAS]])</f>
        <v>0</v>
      </c>
      <c r="Q2446" s="32">
        <f>IF(Mecze[[#This Row],[OB]]=0,0,Mecze[[#This Row],[OB]]/Mecze[[#This Row],[CZAS]])</f>
        <v>0</v>
      </c>
      <c r="R2446" s="32">
        <f>IF(Mecze[[#This Row],[BR]]=0,0,Mecze[[#This Row],[BR]]/Mecze[[#This Row],[CZAS]])</f>
        <v>0</v>
      </c>
      <c r="S2446" s="44">
        <f>IF(Mecze[[#This Row],[Role]]="BR",SUMPRODUCT(Mecze[[#This Row],[/PR:90]:[/BR:90]],Brudnopis!$E$23:$J$23),0)</f>
        <v>0</v>
      </c>
      <c r="T2446" s="44">
        <f>IF(Mecze[[#This Row],[Role]]&lt;&gt;"BR",SUMPRODUCT(Mecze[[#This Row],[/PR:90]:[/BR:90]],Brudnopis!$E$24:$J$24),0)</f>
        <v>8.8541666666666657E-2</v>
      </c>
      <c r="U2446" s="44">
        <f>IF(Mecze[[#This Row],[Role]]&lt;&gt;"BR",SUMPRODUCT(Mecze[[#This Row],[/PR:90]:[/BR:90]],Brudnopis!$E$25:$J$25),0)</f>
        <v>8.8541666666666657E-2</v>
      </c>
      <c r="V2446" s="44">
        <f>IF(Mecze[[#This Row],[Role]]&lt;&gt;"BR",SUMPRODUCT(Mecze[[#This Row],[/PR:90]:[/BR:90]],Brudnopis!$E$26:$J$26),0)</f>
        <v>7.2916666666666657E-2</v>
      </c>
      <c r="W2446" s="44">
        <f>IF(Mecze[[#This Row],[Role]]&lt;&gt;"BR",SUMPRODUCT(Mecze[[#This Row],[/PR:90]:[/BR:90]],Brudnopis!$E$27:$J$27),0)</f>
        <v>7.8125E-2</v>
      </c>
      <c r="X2446" s="44">
        <f>IF(Mecze[[#This Row],[Role]]&lt;&gt;"BR",SUMPRODUCT(Mecze[[#This Row],[/PR:90]:[/BR:90]],Brudnopis!$E$28:$J$28),0)</f>
        <v>3.125E-2</v>
      </c>
      <c r="Y2446" s="35">
        <f>IF(Mecze[[#This Row],[Role]]="BR",Mecze[[#This Row],[/OB:90]]+Mecze[[#This Row],[/PC:90]],SUM(Mecze[[#This Row],[/PR:90]:[/BR:90]]))</f>
        <v>7.2916666666666657E-2</v>
      </c>
      <c r="Z2446" s="35">
        <f>IF(Mecze[[#This Row],[KC]]=0,SUM(Mecze[[#This Row],[/BRI]:[/NPI]]),SUM(Mecze[[#This Row],[/BRI]:[/NPI]])*0.6)</f>
        <v>0.359375</v>
      </c>
      <c r="AA2446" s="10">
        <f>IFERROR(Mecze[[#This Row],[BR]]/Mecze[[#This Row],[ST]],0)</f>
        <v>0</v>
      </c>
      <c r="AB2446">
        <f>ROUND(Mecze[[#This Row],[PD]]*Mecze[[#This Row],[%PC]],0)</f>
        <v>3</v>
      </c>
      <c r="AC2446">
        <f>ROUND(Mecze[[#This Row],[OD]]*Mecze[[#This Row],[%OU]],0)</f>
        <v>3</v>
      </c>
      <c r="AD2446" s="36" t="s">
        <v>172</v>
      </c>
      <c r="AE2446" s="36">
        <v>137</v>
      </c>
      <c r="AF2446" s="71">
        <v>2.91</v>
      </c>
      <c r="AG2446" s="37">
        <v>0</v>
      </c>
      <c r="AH2446" s="37">
        <v>0</v>
      </c>
      <c r="AI2446" s="37">
        <v>96</v>
      </c>
      <c r="AJ2446" s="37">
        <v>9</v>
      </c>
      <c r="AK2446" s="37" t="str">
        <f>VLOOKUP(Mecze[[#This Row],[Match ID]],Meczusie[Mecz]:Meczusie[RodzajMeczu],2,FALSE)</f>
        <v>Liga</v>
      </c>
    </row>
    <row r="2447" spans="1:37" x14ac:dyDescent="0.25">
      <c r="A2447" s="76">
        <v>3</v>
      </c>
      <c r="B2447" s="3" t="s">
        <v>292</v>
      </c>
      <c r="C2447" s="2" t="s">
        <v>160</v>
      </c>
      <c r="D2447" s="1">
        <v>0</v>
      </c>
      <c r="E2447" s="1">
        <v>0</v>
      </c>
      <c r="F2447" s="1">
        <v>0</v>
      </c>
      <c r="G2447" s="1">
        <v>4</v>
      </c>
      <c r="H2447" s="4">
        <v>0.5</v>
      </c>
      <c r="I2447" s="1">
        <v>1</v>
      </c>
      <c r="J2447" s="4">
        <v>1</v>
      </c>
      <c r="K2447" s="1">
        <v>0</v>
      </c>
      <c r="L2447" s="1">
        <v>2</v>
      </c>
      <c r="M2447" s="32">
        <f>IF(Mecze[[#This Row],[PR]]=0,0,Mecze[[#This Row],[PR]]/Mecze[[#This Row],[CZAS]])</f>
        <v>2.0833333333333332E-2</v>
      </c>
      <c r="N2447" s="32">
        <f>IF(Mecze[[#This Row],[OU]]=0,0,Mecze[[#This Row],[OU]]/Mecze[[#This Row],[CZAS]])</f>
        <v>1.0416666666666666E-2</v>
      </c>
      <c r="O2447" s="32">
        <f>IF(Mecze[[#This Row],[PC]]=0,0,Mecze[[#This Row],[PC]]/Mecze[[#This Row],[CZAS]])</f>
        <v>2.0833333333333332E-2</v>
      </c>
      <c r="P2447" s="32">
        <f>IF(Mecze[[#This Row],[SC]]=0,0,Mecze[[#This Row],[SC]]/Mecze[[#This Row],[CZAS]])</f>
        <v>0</v>
      </c>
      <c r="Q2447" s="32">
        <f>IF(Mecze[[#This Row],[OB]]=0,0,Mecze[[#This Row],[OB]]/Mecze[[#This Row],[CZAS]])</f>
        <v>0</v>
      </c>
      <c r="R2447" s="32">
        <f>IF(Mecze[[#This Row],[BR]]=0,0,Mecze[[#This Row],[BR]]/Mecze[[#This Row],[CZAS]])</f>
        <v>0</v>
      </c>
      <c r="S2447" s="44">
        <f>IF(Mecze[[#This Row],[Role]]="BR",SUMPRODUCT(Mecze[[#This Row],[/PR:90]:[/BR:90]],Brudnopis!$E$23:$J$23),0)</f>
        <v>0</v>
      </c>
      <c r="T2447" s="44">
        <f>IF(Mecze[[#This Row],[Role]]&lt;&gt;"BR",SUMPRODUCT(Mecze[[#This Row],[/PR:90]:[/BR:90]],Brudnopis!$E$24:$J$24),0)</f>
        <v>5.7291666666666657E-2</v>
      </c>
      <c r="U2447" s="44">
        <f>IF(Mecze[[#This Row],[Role]]&lt;&gt;"BR",SUMPRODUCT(Mecze[[#This Row],[/PR:90]:[/BR:90]],Brudnopis!$E$25:$J$25),0)</f>
        <v>6.25E-2</v>
      </c>
      <c r="V2447" s="44">
        <f>IF(Mecze[[#This Row],[Role]]&lt;&gt;"BR",SUMPRODUCT(Mecze[[#This Row],[/PR:90]:[/BR:90]],Brudnopis!$E$26:$J$26),0)</f>
        <v>5.2083333333333329E-2</v>
      </c>
      <c r="W2447" s="44">
        <f>IF(Mecze[[#This Row],[Role]]&lt;&gt;"BR",SUMPRODUCT(Mecze[[#This Row],[/PR:90]:[/BR:90]],Brudnopis!$E$27:$J$27),0)</f>
        <v>5.46875E-2</v>
      </c>
      <c r="X2447" s="44">
        <f>IF(Mecze[[#This Row],[Role]]&lt;&gt;"BR",SUMPRODUCT(Mecze[[#This Row],[/PR:90]:[/BR:90]],Brudnopis!$E$28:$J$28),0)</f>
        <v>2.0833333333333332E-2</v>
      </c>
      <c r="Y2447" s="35">
        <f>IF(Mecze[[#This Row],[Role]]="BR",Mecze[[#This Row],[/OB:90]]+Mecze[[#This Row],[/PC:90]],SUM(Mecze[[#This Row],[/PR:90]:[/BR:90]]))</f>
        <v>5.2083333333333329E-2</v>
      </c>
      <c r="Z2447" s="35">
        <f>IF(Mecze[[#This Row],[KC]]=0,SUM(Mecze[[#This Row],[/BRI]:[/NPI]]),SUM(Mecze[[#This Row],[/BRI]:[/NPI]])*0.6)</f>
        <v>0.24739583333333334</v>
      </c>
      <c r="AA2447" s="10">
        <f>IFERROR(Mecze[[#This Row],[BR]]/Mecze[[#This Row],[ST]],0)</f>
        <v>0</v>
      </c>
      <c r="AB2447">
        <f>ROUND(Mecze[[#This Row],[PD]]*Mecze[[#This Row],[%PC]],0)</f>
        <v>2</v>
      </c>
      <c r="AC2447">
        <f>ROUND(Mecze[[#This Row],[OD]]*Mecze[[#This Row],[%OU]],0)</f>
        <v>1</v>
      </c>
      <c r="AD2447" s="36" t="s">
        <v>173</v>
      </c>
      <c r="AE2447" s="36">
        <v>137</v>
      </c>
      <c r="AF2447" s="71">
        <v>3.12</v>
      </c>
      <c r="AG2447" s="37">
        <v>0</v>
      </c>
      <c r="AH2447" s="37">
        <v>0</v>
      </c>
      <c r="AI2447" s="37">
        <v>96</v>
      </c>
      <c r="AJ2447" s="37">
        <v>9</v>
      </c>
      <c r="AK2447" s="37" t="str">
        <f>VLOOKUP(Mecze[[#This Row],[Match ID]],Meczusie[Mecz]:Meczusie[RodzajMeczu],2,FALSE)</f>
        <v>Liga</v>
      </c>
    </row>
    <row r="2448" spans="1:37" x14ac:dyDescent="0.25">
      <c r="A2448" s="76">
        <v>8</v>
      </c>
      <c r="B2448" s="3" t="s">
        <v>294</v>
      </c>
      <c r="C2448" s="2" t="s">
        <v>160</v>
      </c>
      <c r="D2448" s="1">
        <v>0</v>
      </c>
      <c r="E2448" s="1">
        <v>1</v>
      </c>
      <c r="F2448" s="1">
        <v>1</v>
      </c>
      <c r="G2448" s="1">
        <v>18</v>
      </c>
      <c r="H2448" s="4">
        <v>0.67</v>
      </c>
      <c r="I2448" s="1">
        <v>16</v>
      </c>
      <c r="J2448" s="4">
        <v>0.56000000000000005</v>
      </c>
      <c r="K2448" s="1">
        <v>0</v>
      </c>
      <c r="L2448" s="1">
        <v>7</v>
      </c>
      <c r="M2448" s="32">
        <f>IF(Mecze[[#This Row],[PR]]=0,0,Mecze[[#This Row],[PR]]/Mecze[[#This Row],[CZAS]])</f>
        <v>7.2916666666666671E-2</v>
      </c>
      <c r="N2448" s="32">
        <f>IF(Mecze[[#This Row],[OU]]=0,0,Mecze[[#This Row],[OU]]/Mecze[[#This Row],[CZAS]])</f>
        <v>9.375E-2</v>
      </c>
      <c r="O2448" s="32">
        <f>IF(Mecze[[#This Row],[PC]]=0,0,Mecze[[#This Row],[PC]]/Mecze[[#This Row],[CZAS]])</f>
        <v>0.125</v>
      </c>
      <c r="P2448" s="32">
        <f>IF(Mecze[[#This Row],[SC]]=0,0,Mecze[[#This Row],[SC]]/Mecze[[#This Row],[CZAS]])</f>
        <v>1.0416666666666666E-2</v>
      </c>
      <c r="Q2448" s="32">
        <f>IF(Mecze[[#This Row],[OB]]=0,0,Mecze[[#This Row],[OB]]/Mecze[[#This Row],[CZAS]])</f>
        <v>0</v>
      </c>
      <c r="R2448" s="32">
        <f>IF(Mecze[[#This Row],[BR]]=0,0,Mecze[[#This Row],[BR]]/Mecze[[#This Row],[CZAS]])</f>
        <v>0</v>
      </c>
      <c r="S2448" s="44">
        <f>IF(Mecze[[#This Row],[Role]]="BR",SUMPRODUCT(Mecze[[#This Row],[/PR:90]:[/BR:90]],Brudnopis!$E$23:$J$23),0)</f>
        <v>0</v>
      </c>
      <c r="T2448" s="44">
        <f>IF(Mecze[[#This Row],[Role]]&lt;&gt;"BR",SUMPRODUCT(Mecze[[#This Row],[/PR:90]:[/BR:90]],Brudnopis!$E$24:$J$24),0)</f>
        <v>0.34895833333333337</v>
      </c>
      <c r="U2448" s="44">
        <f>IF(Mecze[[#This Row],[Role]]&lt;&gt;"BR",SUMPRODUCT(Mecze[[#This Row],[/PR:90]:[/BR:90]],Brudnopis!$E$25:$J$25),0)</f>
        <v>0.36458333333333337</v>
      </c>
      <c r="V2448" s="44">
        <f>IF(Mecze[[#This Row],[Role]]&lt;&gt;"BR",SUMPRODUCT(Mecze[[#This Row],[/PR:90]:[/BR:90]],Brudnopis!$E$26:$J$26),0)</f>
        <v>0.30208333333333337</v>
      </c>
      <c r="W2448" s="44">
        <f>IF(Mecze[[#This Row],[Role]]&lt;&gt;"BR",SUMPRODUCT(Mecze[[#This Row],[/PR:90]:[/BR:90]],Brudnopis!$E$27:$J$27),0)</f>
        <v>0.32291666666666669</v>
      </c>
      <c r="X2448" s="44">
        <f>IF(Mecze[[#This Row],[Role]]&lt;&gt;"BR",SUMPRODUCT(Mecze[[#This Row],[/PR:90]:[/BR:90]],Brudnopis!$E$28:$J$28),0)</f>
        <v>0.14583333333333334</v>
      </c>
      <c r="Y2448" s="35">
        <f>IF(Mecze[[#This Row],[Role]]="BR",Mecze[[#This Row],[/OB:90]]+Mecze[[#This Row],[/PC:90]],SUM(Mecze[[#This Row],[/PR:90]:[/BR:90]]))</f>
        <v>0.30208333333333337</v>
      </c>
      <c r="Z2448" s="35">
        <f>IF(Mecze[[#This Row],[KC]]=0,SUM(Mecze[[#This Row],[/BRI]:[/NPI]]),SUM(Mecze[[#This Row],[/BRI]:[/NPI]])*0.6)</f>
        <v>1.484375</v>
      </c>
      <c r="AA2448" s="10">
        <f>IFERROR(Mecze[[#This Row],[BR]]/Mecze[[#This Row],[ST]],0)</f>
        <v>0</v>
      </c>
      <c r="AB2448">
        <f>ROUND(Mecze[[#This Row],[PD]]*Mecze[[#This Row],[%PC]],0)</f>
        <v>12</v>
      </c>
      <c r="AC2448">
        <f>ROUND(Mecze[[#This Row],[OD]]*Mecze[[#This Row],[%OU]],0)</f>
        <v>9</v>
      </c>
      <c r="AD2448" s="36" t="s">
        <v>67</v>
      </c>
      <c r="AE2448" s="36">
        <v>137</v>
      </c>
      <c r="AF2448" s="71">
        <v>5.61</v>
      </c>
      <c r="AG2448" s="37">
        <v>0</v>
      </c>
      <c r="AH2448" s="37">
        <v>0</v>
      </c>
      <c r="AI2448" s="37">
        <v>96</v>
      </c>
      <c r="AJ2448" s="37">
        <v>9</v>
      </c>
      <c r="AK2448" s="37" t="str">
        <f>VLOOKUP(Mecze[[#This Row],[Match ID]],Meczusie[Mecz]:Meczusie[RodzajMeczu],2,FALSE)</f>
        <v>Liga</v>
      </c>
    </row>
    <row r="2449" spans="1:37" x14ac:dyDescent="0.25">
      <c r="A2449" s="76">
        <v>11</v>
      </c>
      <c r="B2449" s="3" t="s">
        <v>410</v>
      </c>
      <c r="C2449" s="2" t="s">
        <v>160</v>
      </c>
      <c r="D2449" s="1">
        <v>0</v>
      </c>
      <c r="E2449" s="1">
        <v>2</v>
      </c>
      <c r="F2449" s="1">
        <v>0</v>
      </c>
      <c r="G2449" s="1">
        <v>6</v>
      </c>
      <c r="H2449" s="4">
        <v>0.83</v>
      </c>
      <c r="I2449" s="1">
        <v>4</v>
      </c>
      <c r="J2449" s="4">
        <v>0.25</v>
      </c>
      <c r="K2449" s="1">
        <v>0</v>
      </c>
      <c r="L2449" s="1">
        <v>1</v>
      </c>
      <c r="M2449" s="32">
        <f>IF(Mecze[[#This Row],[PR]]=0,0,Mecze[[#This Row],[PR]]/Mecze[[#This Row],[CZAS]])</f>
        <v>1.0416666666666666E-2</v>
      </c>
      <c r="N2449" s="32">
        <f>IF(Mecze[[#This Row],[OU]]=0,0,Mecze[[#This Row],[OU]]/Mecze[[#This Row],[CZAS]])</f>
        <v>1.0416666666666666E-2</v>
      </c>
      <c r="O2449" s="32">
        <f>IF(Mecze[[#This Row],[PC]]=0,0,Mecze[[#This Row],[PC]]/Mecze[[#This Row],[CZAS]])</f>
        <v>5.2083333333333336E-2</v>
      </c>
      <c r="P2449" s="32">
        <f>IF(Mecze[[#This Row],[SC]]=0,0,Mecze[[#This Row],[SC]]/Mecze[[#This Row],[CZAS]])</f>
        <v>0</v>
      </c>
      <c r="Q2449" s="32">
        <f>IF(Mecze[[#This Row],[OB]]=0,0,Mecze[[#This Row],[OB]]/Mecze[[#This Row],[CZAS]])</f>
        <v>0</v>
      </c>
      <c r="R2449" s="32">
        <f>IF(Mecze[[#This Row],[BR]]=0,0,Mecze[[#This Row],[BR]]/Mecze[[#This Row],[CZAS]])</f>
        <v>0</v>
      </c>
      <c r="S2449" s="44">
        <f>IF(Mecze[[#This Row],[Role]]="BR",SUMPRODUCT(Mecze[[#This Row],[/PR:90]:[/BR:90]],Brudnopis!$E$23:$J$23),0)</f>
        <v>0</v>
      </c>
      <c r="T2449" s="44">
        <f>IF(Mecze[[#This Row],[Role]]&lt;&gt;"BR",SUMPRODUCT(Mecze[[#This Row],[/PR:90]:[/BR:90]],Brudnopis!$E$24:$J$24),0)</f>
        <v>7.8125E-2</v>
      </c>
      <c r="U2449" s="44">
        <f>IF(Mecze[[#This Row],[Role]]&lt;&gt;"BR",SUMPRODUCT(Mecze[[#This Row],[/PR:90]:[/BR:90]],Brudnopis!$E$25:$J$25),0)</f>
        <v>9.8958333333333329E-2</v>
      </c>
      <c r="V2449" s="44">
        <f>IF(Mecze[[#This Row],[Role]]&lt;&gt;"BR",SUMPRODUCT(Mecze[[#This Row],[/PR:90]:[/BR:90]],Brudnopis!$E$26:$J$26),0)</f>
        <v>7.2916666666666671E-2</v>
      </c>
      <c r="W2449" s="44">
        <f>IF(Mecze[[#This Row],[Role]]&lt;&gt;"BR",SUMPRODUCT(Mecze[[#This Row],[/PR:90]:[/BR:90]],Brudnopis!$E$27:$J$27),0)</f>
        <v>9.375E-2</v>
      </c>
      <c r="X2449" s="44">
        <f>IF(Mecze[[#This Row],[Role]]&lt;&gt;"BR",SUMPRODUCT(Mecze[[#This Row],[/PR:90]:[/BR:90]],Brudnopis!$E$28:$J$28),0)</f>
        <v>5.2083333333333336E-2</v>
      </c>
      <c r="Y2449" s="35">
        <f>IF(Mecze[[#This Row],[Role]]="BR",Mecze[[#This Row],[/OB:90]]+Mecze[[#This Row],[/PC:90]],SUM(Mecze[[#This Row],[/PR:90]:[/BR:90]]))</f>
        <v>7.2916666666666671E-2</v>
      </c>
      <c r="Z2449" s="35">
        <f>IF(Mecze[[#This Row],[KC]]=0,SUM(Mecze[[#This Row],[/BRI]:[/NPI]]),SUM(Mecze[[#This Row],[/BRI]:[/NPI]])*0.6)</f>
        <v>0.39583333333333331</v>
      </c>
      <c r="AA2449" s="10">
        <f>IFERROR(Mecze[[#This Row],[BR]]/Mecze[[#This Row],[ST]],0)</f>
        <v>0</v>
      </c>
      <c r="AB2449">
        <f>ROUND(Mecze[[#This Row],[PD]]*Mecze[[#This Row],[%PC]],0)</f>
        <v>5</v>
      </c>
      <c r="AC2449">
        <f>ROUND(Mecze[[#This Row],[OD]]*Mecze[[#This Row],[%OU]],0)</f>
        <v>1</v>
      </c>
      <c r="AD2449" s="36" t="s">
        <v>299</v>
      </c>
      <c r="AE2449" s="36">
        <v>137</v>
      </c>
      <c r="AF2449" s="71">
        <v>5.03</v>
      </c>
      <c r="AG2449" s="37">
        <v>0</v>
      </c>
      <c r="AH2449" s="37">
        <v>0</v>
      </c>
      <c r="AI2449" s="37">
        <v>96</v>
      </c>
      <c r="AJ2449" s="37">
        <v>9</v>
      </c>
      <c r="AK2449" s="37" t="str">
        <f>VLOOKUP(Mecze[[#This Row],[Match ID]],Meczusie[Mecz]:Meczusie[RodzajMeczu],2,FALSE)</f>
        <v>Liga</v>
      </c>
    </row>
    <row r="2450" spans="1:37" x14ac:dyDescent="0.25">
      <c r="A2450" s="76">
        <v>13</v>
      </c>
      <c r="B2450" s="3" t="s">
        <v>295</v>
      </c>
      <c r="C2450" s="2" t="s">
        <v>160</v>
      </c>
      <c r="D2450" s="1">
        <v>0</v>
      </c>
      <c r="E2450" s="1">
        <v>0</v>
      </c>
      <c r="F2450" s="1">
        <v>0</v>
      </c>
      <c r="G2450" s="1">
        <v>6</v>
      </c>
      <c r="H2450" s="4">
        <v>0.33</v>
      </c>
      <c r="I2450" s="1">
        <v>1</v>
      </c>
      <c r="J2450" s="4">
        <v>1</v>
      </c>
      <c r="K2450" s="1">
        <v>0</v>
      </c>
      <c r="L2450" s="1">
        <v>2</v>
      </c>
      <c r="M2450" s="32">
        <f>IF(Mecze[[#This Row],[PR]]=0,0,Mecze[[#This Row],[PR]]/Mecze[[#This Row],[CZAS]])</f>
        <v>2.0833333333333332E-2</v>
      </c>
      <c r="N2450" s="32">
        <f>IF(Mecze[[#This Row],[OU]]=0,0,Mecze[[#This Row],[OU]]/Mecze[[#This Row],[CZAS]])</f>
        <v>1.0416666666666666E-2</v>
      </c>
      <c r="O2450" s="32">
        <f>IF(Mecze[[#This Row],[PC]]=0,0,Mecze[[#This Row],[PC]]/Mecze[[#This Row],[CZAS]])</f>
        <v>2.0833333333333332E-2</v>
      </c>
      <c r="P2450" s="32">
        <f>IF(Mecze[[#This Row],[SC]]=0,0,Mecze[[#This Row],[SC]]/Mecze[[#This Row],[CZAS]])</f>
        <v>0</v>
      </c>
      <c r="Q2450" s="32">
        <f>IF(Mecze[[#This Row],[OB]]=0,0,Mecze[[#This Row],[OB]]/Mecze[[#This Row],[CZAS]])</f>
        <v>0</v>
      </c>
      <c r="R2450" s="32">
        <f>IF(Mecze[[#This Row],[BR]]=0,0,Mecze[[#This Row],[BR]]/Mecze[[#This Row],[CZAS]])</f>
        <v>0</v>
      </c>
      <c r="S2450" s="44">
        <f>IF(Mecze[[#This Row],[Role]]="BR",SUMPRODUCT(Mecze[[#This Row],[/PR:90]:[/BR:90]],Brudnopis!$E$23:$J$23),0)</f>
        <v>0</v>
      </c>
      <c r="T2450" s="44">
        <f>IF(Mecze[[#This Row],[Role]]&lt;&gt;"BR",SUMPRODUCT(Mecze[[#This Row],[/PR:90]:[/BR:90]],Brudnopis!$E$24:$J$24),0)</f>
        <v>5.7291666666666657E-2</v>
      </c>
      <c r="U2450" s="44">
        <f>IF(Mecze[[#This Row],[Role]]&lt;&gt;"BR",SUMPRODUCT(Mecze[[#This Row],[/PR:90]:[/BR:90]],Brudnopis!$E$25:$J$25),0)</f>
        <v>6.25E-2</v>
      </c>
      <c r="V2450" s="44">
        <f>IF(Mecze[[#This Row],[Role]]&lt;&gt;"BR",SUMPRODUCT(Mecze[[#This Row],[/PR:90]:[/BR:90]],Brudnopis!$E$26:$J$26),0)</f>
        <v>5.2083333333333329E-2</v>
      </c>
      <c r="W2450" s="44">
        <f>IF(Mecze[[#This Row],[Role]]&lt;&gt;"BR",SUMPRODUCT(Mecze[[#This Row],[/PR:90]:[/BR:90]],Brudnopis!$E$27:$J$27),0)</f>
        <v>5.46875E-2</v>
      </c>
      <c r="X2450" s="44">
        <f>IF(Mecze[[#This Row],[Role]]&lt;&gt;"BR",SUMPRODUCT(Mecze[[#This Row],[/PR:90]:[/BR:90]],Brudnopis!$E$28:$J$28),0)</f>
        <v>2.0833333333333332E-2</v>
      </c>
      <c r="Y2450" s="35">
        <f>IF(Mecze[[#This Row],[Role]]="BR",Mecze[[#This Row],[/OB:90]]+Mecze[[#This Row],[/PC:90]],SUM(Mecze[[#This Row],[/PR:90]:[/BR:90]]))</f>
        <v>5.2083333333333329E-2</v>
      </c>
      <c r="Z2450" s="35">
        <f>IF(Mecze[[#This Row],[KC]]=0,SUM(Mecze[[#This Row],[/BRI]:[/NPI]]),SUM(Mecze[[#This Row],[/BRI]:[/NPI]])*0.6)</f>
        <v>0.24739583333333334</v>
      </c>
      <c r="AA2450" s="10">
        <f>IFERROR(Mecze[[#This Row],[BR]]/Mecze[[#This Row],[ST]],0)</f>
        <v>0</v>
      </c>
      <c r="AB2450">
        <f>ROUND(Mecze[[#This Row],[PD]]*Mecze[[#This Row],[%PC]],0)</f>
        <v>2</v>
      </c>
      <c r="AC2450">
        <f>ROUND(Mecze[[#This Row],[OD]]*Mecze[[#This Row],[%OU]],0)</f>
        <v>1</v>
      </c>
      <c r="AD2450" s="36" t="s">
        <v>171</v>
      </c>
      <c r="AE2450" s="36">
        <v>137</v>
      </c>
      <c r="AF2450" s="71">
        <v>3.12</v>
      </c>
      <c r="AG2450" s="37">
        <v>0</v>
      </c>
      <c r="AH2450" s="37">
        <v>0</v>
      </c>
      <c r="AI2450" s="37">
        <v>96</v>
      </c>
      <c r="AJ2450" s="37">
        <v>9</v>
      </c>
      <c r="AK2450" s="37" t="str">
        <f>VLOOKUP(Mecze[[#This Row],[Match ID]],Meczusie[Mecz]:Meczusie[RodzajMeczu],2,FALSE)</f>
        <v>Liga</v>
      </c>
    </row>
    <row r="2451" spans="1:37" x14ac:dyDescent="0.25">
      <c r="A2451" s="76">
        <v>9</v>
      </c>
      <c r="B2451" s="3" t="s">
        <v>296</v>
      </c>
      <c r="C2451" s="2" t="s">
        <v>165</v>
      </c>
      <c r="D2451" s="1">
        <v>0</v>
      </c>
      <c r="E2451" s="1">
        <v>4</v>
      </c>
      <c r="F2451" s="1">
        <v>2</v>
      </c>
      <c r="G2451" s="1">
        <v>7</v>
      </c>
      <c r="H2451" s="4">
        <v>0.56999999999999995</v>
      </c>
      <c r="I2451" s="1">
        <v>7</v>
      </c>
      <c r="J2451" s="4">
        <v>0.56999999999999995</v>
      </c>
      <c r="K2451" s="1">
        <v>0</v>
      </c>
      <c r="L2451" s="1">
        <v>0</v>
      </c>
      <c r="M2451" s="32">
        <f>IF(Mecze[[#This Row],[PR]]=0,0,Mecze[[#This Row],[PR]]/Mecze[[#This Row],[CZAS]])</f>
        <v>0</v>
      </c>
      <c r="N2451" s="32">
        <f>IF(Mecze[[#This Row],[OU]]=0,0,Mecze[[#This Row],[OU]]/Mecze[[#This Row],[CZAS]])</f>
        <v>4.1666666666666664E-2</v>
      </c>
      <c r="O2451" s="32">
        <f>IF(Mecze[[#This Row],[PC]]=0,0,Mecze[[#This Row],[PC]]/Mecze[[#This Row],[CZAS]])</f>
        <v>4.1666666666666664E-2</v>
      </c>
      <c r="P2451" s="32">
        <f>IF(Mecze[[#This Row],[SC]]=0,0,Mecze[[#This Row],[SC]]/Mecze[[#This Row],[CZAS]])</f>
        <v>2.0833333333333332E-2</v>
      </c>
      <c r="Q2451" s="32">
        <f>IF(Mecze[[#This Row],[OB]]=0,0,Mecze[[#This Row],[OB]]/Mecze[[#This Row],[CZAS]])</f>
        <v>0</v>
      </c>
      <c r="R2451" s="32">
        <f>IF(Mecze[[#This Row],[BR]]=0,0,Mecze[[#This Row],[BR]]/Mecze[[#This Row],[CZAS]])</f>
        <v>0</v>
      </c>
      <c r="S2451" s="44">
        <f>IF(Mecze[[#This Row],[Role]]="BR",SUMPRODUCT(Mecze[[#This Row],[/PR:90]:[/BR:90]],Brudnopis!$E$23:$J$23),0)</f>
        <v>0</v>
      </c>
      <c r="T2451" s="44">
        <f>IF(Mecze[[#This Row],[Role]]&lt;&gt;"BR",SUMPRODUCT(Mecze[[#This Row],[/PR:90]:[/BR:90]],Brudnopis!$E$24:$J$24),0)</f>
        <v>0.12499999999999999</v>
      </c>
      <c r="U2451" s="44">
        <f>IF(Mecze[[#This Row],[Role]]&lt;&gt;"BR",SUMPRODUCT(Mecze[[#This Row],[/PR:90]:[/BR:90]],Brudnopis!$E$25:$J$25),0)</f>
        <v>0.12499999999999999</v>
      </c>
      <c r="V2451" s="44">
        <f>IF(Mecze[[#This Row],[Role]]&lt;&gt;"BR",SUMPRODUCT(Mecze[[#This Row],[/PR:90]:[/BR:90]],Brudnopis!$E$26:$J$26),0)</f>
        <v>0.10416666666666666</v>
      </c>
      <c r="W2451" s="44">
        <f>IF(Mecze[[#This Row],[Role]]&lt;&gt;"BR",SUMPRODUCT(Mecze[[#This Row],[/PR:90]:[/BR:90]],Brudnopis!$E$27:$J$27),0)</f>
        <v>0.11458333333333333</v>
      </c>
      <c r="X2451" s="44">
        <f>IF(Mecze[[#This Row],[Role]]&lt;&gt;"BR",SUMPRODUCT(Mecze[[#This Row],[/PR:90]:[/BR:90]],Brudnopis!$E$28:$J$28),0)</f>
        <v>8.3333333333333329E-2</v>
      </c>
      <c r="Y2451" s="35">
        <f>IF(Mecze[[#This Row],[Role]]="BR",Mecze[[#This Row],[/OB:90]]+Mecze[[#This Row],[/PC:90]],SUM(Mecze[[#This Row],[/PR:90]:[/BR:90]]))</f>
        <v>0.10416666666666666</v>
      </c>
      <c r="Z2451" s="35">
        <f>IF(Mecze[[#This Row],[KC]]=0,SUM(Mecze[[#This Row],[/BRI]:[/NPI]]),SUM(Mecze[[#This Row],[/BRI]:[/NPI]])*0.6)</f>
        <v>0.55208333333333326</v>
      </c>
      <c r="AA2451" s="10">
        <f>IFERROR(Mecze[[#This Row],[BR]]/Mecze[[#This Row],[ST]],0)</f>
        <v>0</v>
      </c>
      <c r="AB2451">
        <f>ROUND(Mecze[[#This Row],[PD]]*Mecze[[#This Row],[%PC]],0)</f>
        <v>4</v>
      </c>
      <c r="AC2451">
        <f>ROUND(Mecze[[#This Row],[OD]]*Mecze[[#This Row],[%OU]],0)</f>
        <v>4</v>
      </c>
      <c r="AD2451" s="36" t="s">
        <v>272</v>
      </c>
      <c r="AE2451" s="36">
        <v>137</v>
      </c>
      <c r="AF2451" s="71">
        <v>4.4800000000000004</v>
      </c>
      <c r="AG2451" s="37">
        <v>0</v>
      </c>
      <c r="AH2451" s="37">
        <v>0</v>
      </c>
      <c r="AI2451" s="37">
        <v>96</v>
      </c>
      <c r="AJ2451" s="37">
        <v>9</v>
      </c>
      <c r="AK2451" s="37" t="str">
        <f>VLOOKUP(Mecze[[#This Row],[Match ID]],Meczusie[Mecz]:Meczusie[RodzajMeczu],2,FALSE)</f>
        <v>Liga</v>
      </c>
    </row>
    <row r="2452" spans="1:37" x14ac:dyDescent="0.25">
      <c r="A2452" s="76">
        <v>6</v>
      </c>
      <c r="B2452" s="3" t="s">
        <v>297</v>
      </c>
      <c r="C2452" s="2" t="s">
        <v>165</v>
      </c>
      <c r="D2452" s="1">
        <v>0</v>
      </c>
      <c r="E2452" s="1">
        <v>3</v>
      </c>
      <c r="F2452" s="1">
        <v>3</v>
      </c>
      <c r="G2452" s="1">
        <v>15</v>
      </c>
      <c r="H2452" s="4">
        <v>0.53</v>
      </c>
      <c r="I2452" s="1">
        <v>3</v>
      </c>
      <c r="J2452" s="4">
        <v>0.33</v>
      </c>
      <c r="K2452" s="1">
        <v>0</v>
      </c>
      <c r="L2452" s="1">
        <v>0</v>
      </c>
      <c r="M2452" s="32">
        <f>IF(Mecze[[#This Row],[PR]]=0,0,Mecze[[#This Row],[PR]]/Mecze[[#This Row],[CZAS]])</f>
        <v>0</v>
      </c>
      <c r="N2452" s="32">
        <f>IF(Mecze[[#This Row],[OU]]=0,0,Mecze[[#This Row],[OU]]/Mecze[[#This Row],[CZAS]])</f>
        <v>1.0416666666666666E-2</v>
      </c>
      <c r="O2452" s="32">
        <f>IF(Mecze[[#This Row],[PC]]=0,0,Mecze[[#This Row],[PC]]/Mecze[[#This Row],[CZAS]])</f>
        <v>8.3333333333333329E-2</v>
      </c>
      <c r="P2452" s="32">
        <f>IF(Mecze[[#This Row],[SC]]=0,0,Mecze[[#This Row],[SC]]/Mecze[[#This Row],[CZAS]])</f>
        <v>3.125E-2</v>
      </c>
      <c r="Q2452" s="32">
        <f>IF(Mecze[[#This Row],[OB]]=0,0,Mecze[[#This Row],[OB]]/Mecze[[#This Row],[CZAS]])</f>
        <v>0</v>
      </c>
      <c r="R2452" s="32">
        <f>IF(Mecze[[#This Row],[BR]]=0,0,Mecze[[#This Row],[BR]]/Mecze[[#This Row],[CZAS]])</f>
        <v>0</v>
      </c>
      <c r="S2452" s="44">
        <f>IF(Mecze[[#This Row],[Role]]="BR",SUMPRODUCT(Mecze[[#This Row],[/PR:90]:[/BR:90]],Brudnopis!$E$23:$J$23),0)</f>
        <v>0</v>
      </c>
      <c r="T2452" s="44">
        <f>IF(Mecze[[#This Row],[Role]]&lt;&gt;"BR",SUMPRODUCT(Mecze[[#This Row],[/PR:90]:[/BR:90]],Brudnopis!$E$24:$J$24),0)</f>
        <v>0.13020833333333331</v>
      </c>
      <c r="U2452" s="44">
        <f>IF(Mecze[[#This Row],[Role]]&lt;&gt;"BR",SUMPRODUCT(Mecze[[#This Row],[/PR:90]:[/BR:90]],Brudnopis!$E$25:$J$25),0)</f>
        <v>0.16666666666666666</v>
      </c>
      <c r="V2452" s="44">
        <f>IF(Mecze[[#This Row],[Role]]&lt;&gt;"BR",SUMPRODUCT(Mecze[[#This Row],[/PR:90]:[/BR:90]],Brudnopis!$E$26:$J$26),0)</f>
        <v>0.125</v>
      </c>
      <c r="W2452" s="44">
        <f>IF(Mecze[[#This Row],[Role]]&lt;&gt;"BR",SUMPRODUCT(Mecze[[#This Row],[/PR:90]:[/BR:90]],Brudnopis!$E$27:$J$27),0)</f>
        <v>0.1640625</v>
      </c>
      <c r="X2452" s="44">
        <f>IF(Mecze[[#This Row],[Role]]&lt;&gt;"BR",SUMPRODUCT(Mecze[[#This Row],[/PR:90]:[/BR:90]],Brudnopis!$E$28:$J$28),0)</f>
        <v>0.14583333333333331</v>
      </c>
      <c r="Y2452" s="35">
        <f>IF(Mecze[[#This Row],[Role]]="BR",Mecze[[#This Row],[/OB:90]]+Mecze[[#This Row],[/PC:90]],SUM(Mecze[[#This Row],[/PR:90]:[/BR:90]]))</f>
        <v>0.125</v>
      </c>
      <c r="Z2452" s="35">
        <f>IF(Mecze[[#This Row],[KC]]=0,SUM(Mecze[[#This Row],[/BRI]:[/NPI]]),SUM(Mecze[[#This Row],[/BRI]:[/NPI]])*0.6)</f>
        <v>0.73177083333333326</v>
      </c>
      <c r="AA2452" s="10">
        <f>IFERROR(Mecze[[#This Row],[BR]]/Mecze[[#This Row],[ST]],0)</f>
        <v>0</v>
      </c>
      <c r="AB2452">
        <f>ROUND(Mecze[[#This Row],[PD]]*Mecze[[#This Row],[%PC]],0)</f>
        <v>8</v>
      </c>
      <c r="AC2452">
        <f>ROUND(Mecze[[#This Row],[OD]]*Mecze[[#This Row],[%OU]],0)</f>
        <v>1</v>
      </c>
      <c r="AD2452" s="36" t="s">
        <v>46</v>
      </c>
      <c r="AE2452" s="36">
        <v>137</v>
      </c>
      <c r="AF2452" s="71">
        <v>4.7</v>
      </c>
      <c r="AG2452" s="37">
        <v>0</v>
      </c>
      <c r="AH2452" s="37">
        <v>0</v>
      </c>
      <c r="AI2452" s="37">
        <v>96</v>
      </c>
      <c r="AJ2452" s="37">
        <v>9</v>
      </c>
      <c r="AK2452" s="37" t="str">
        <f>VLOOKUP(Mecze[[#This Row],[Match ID]],Meczusie[Mecz]:Meczusie[RodzajMeczu],2,FALSE)</f>
        <v>Liga</v>
      </c>
    </row>
    <row r="2453" spans="1:37" x14ac:dyDescent="0.25">
      <c r="A2453" s="76">
        <v>1</v>
      </c>
      <c r="B2453" s="3" t="s">
        <v>304</v>
      </c>
      <c r="C2453" s="2" t="s">
        <v>155</v>
      </c>
      <c r="D2453" s="1">
        <v>0</v>
      </c>
      <c r="E2453" s="1">
        <v>0</v>
      </c>
      <c r="F2453" s="1">
        <v>0</v>
      </c>
      <c r="G2453" s="1">
        <v>7</v>
      </c>
      <c r="H2453" s="4">
        <v>0.86</v>
      </c>
      <c r="I2453" s="1">
        <v>0</v>
      </c>
      <c r="J2453" s="4"/>
      <c r="K2453" s="1">
        <v>6</v>
      </c>
      <c r="L2453" s="1">
        <v>0</v>
      </c>
      <c r="M2453" s="32">
        <f>IF(Mecze[[#This Row],[PR]]=0,0,Mecze[[#This Row],[PR]]/Mecze[[#This Row],[CZAS]])</f>
        <v>0</v>
      </c>
      <c r="N2453" s="32">
        <f>IF(Mecze[[#This Row],[OU]]=0,0,Mecze[[#This Row],[OU]]/Mecze[[#This Row],[CZAS]])</f>
        <v>0</v>
      </c>
      <c r="O2453" s="32">
        <f>IF(Mecze[[#This Row],[PC]]=0,0,Mecze[[#This Row],[PC]]/Mecze[[#This Row],[CZAS]])</f>
        <v>6.25E-2</v>
      </c>
      <c r="P2453" s="32">
        <f>IF(Mecze[[#This Row],[SC]]=0,0,Mecze[[#This Row],[SC]]/Mecze[[#This Row],[CZAS]])</f>
        <v>0</v>
      </c>
      <c r="Q2453" s="32">
        <f>IF(Mecze[[#This Row],[OB]]=0,0,Mecze[[#This Row],[OB]]/Mecze[[#This Row],[CZAS]])</f>
        <v>6.25E-2</v>
      </c>
      <c r="R2453" s="32">
        <f>IF(Mecze[[#This Row],[BR]]=0,0,Mecze[[#This Row],[BR]]/Mecze[[#This Row],[CZAS]])</f>
        <v>0</v>
      </c>
      <c r="S2453" s="44">
        <f>IF(Mecze[[#This Row],[Role]]="BR",SUMPRODUCT(Mecze[[#This Row],[/PR:90]:[/BR:90]],Brudnopis!$E$23:$J$23),0)</f>
        <v>0.375</v>
      </c>
      <c r="T2453" s="44">
        <f>IF(Mecze[[#This Row],[Role]]&lt;&gt;"BR",SUMPRODUCT(Mecze[[#This Row],[/PR:90]:[/BR:90]],Brudnopis!$E$24:$J$24),0)</f>
        <v>0</v>
      </c>
      <c r="U2453" s="44">
        <f>IF(Mecze[[#This Row],[Role]]&lt;&gt;"BR",SUMPRODUCT(Mecze[[#This Row],[/PR:90]:[/BR:90]],Brudnopis!$E$25:$J$25),0)</f>
        <v>0</v>
      </c>
      <c r="V2453" s="44">
        <f>IF(Mecze[[#This Row],[Role]]&lt;&gt;"BR",SUMPRODUCT(Mecze[[#This Row],[/PR:90]:[/BR:90]],Brudnopis!$E$26:$J$26),0)</f>
        <v>0</v>
      </c>
      <c r="W2453" s="44">
        <f>IF(Mecze[[#This Row],[Role]]&lt;&gt;"BR",SUMPRODUCT(Mecze[[#This Row],[/PR:90]:[/BR:90]],Brudnopis!$E$27:$J$27),0)</f>
        <v>0</v>
      </c>
      <c r="X2453" s="44">
        <f>IF(Mecze[[#This Row],[Role]]&lt;&gt;"BR",SUMPRODUCT(Mecze[[#This Row],[/PR:90]:[/BR:90]],Brudnopis!$E$28:$J$28),0)</f>
        <v>0</v>
      </c>
      <c r="Y2453" s="35">
        <f>IF(Mecze[[#This Row],[Role]]="BR",Mecze[[#This Row],[/OB:90]]+Mecze[[#This Row],[/PC:90]],SUM(Mecze[[#This Row],[/PR:90]:[/BR:90]]))</f>
        <v>0.125</v>
      </c>
      <c r="Z2453" s="35">
        <f>IF(Mecze[[#This Row],[KC]]=0,SUM(Mecze[[#This Row],[/BRI]:[/NPI]]),SUM(Mecze[[#This Row],[/BRI]:[/NPI]])*0.6)</f>
        <v>0.375</v>
      </c>
      <c r="AA2453" s="10">
        <f>IFERROR(Mecze[[#This Row],[BR]]/Mecze[[#This Row],[ST]],0)</f>
        <v>0</v>
      </c>
      <c r="AB2453">
        <f>ROUND(Mecze[[#This Row],[PD]]*Mecze[[#This Row],[%PC]],0)</f>
        <v>6</v>
      </c>
      <c r="AC2453">
        <f>ROUND(Mecze[[#This Row],[OD]]*Mecze[[#This Row],[%OU]],0)</f>
        <v>0</v>
      </c>
      <c r="AD2453" s="36" t="s">
        <v>40</v>
      </c>
      <c r="AE2453" s="36">
        <v>137</v>
      </c>
      <c r="AF2453" s="71">
        <v>11.25</v>
      </c>
      <c r="AG2453" s="37">
        <v>0</v>
      </c>
      <c r="AH2453" s="37">
        <v>0</v>
      </c>
      <c r="AI2453" s="37">
        <v>96</v>
      </c>
      <c r="AJ2453" s="37">
        <v>8</v>
      </c>
      <c r="AK2453" s="37" t="str">
        <f>VLOOKUP(Mecze[[#This Row],[Match ID]],Meczusie[Mecz]:Meczusie[RodzajMeczu],2,FALSE)</f>
        <v>Liga</v>
      </c>
    </row>
    <row r="2454" spans="1:37" x14ac:dyDescent="0.25">
      <c r="A2454" s="76">
        <v>5</v>
      </c>
      <c r="B2454" s="3" t="s">
        <v>305</v>
      </c>
      <c r="C2454" s="2" t="s">
        <v>157</v>
      </c>
      <c r="D2454" s="1">
        <v>0</v>
      </c>
      <c r="E2454" s="1">
        <v>0</v>
      </c>
      <c r="F2454" s="1">
        <v>0</v>
      </c>
      <c r="G2454" s="1">
        <v>3</v>
      </c>
      <c r="H2454" s="4">
        <v>0.67</v>
      </c>
      <c r="I2454" s="1">
        <v>1</v>
      </c>
      <c r="J2454" s="4">
        <v>0</v>
      </c>
      <c r="K2454" s="1">
        <v>0</v>
      </c>
      <c r="L2454" s="1">
        <v>3</v>
      </c>
      <c r="M2454" s="32">
        <f>IF(Mecze[[#This Row],[PR]]=0,0,Mecze[[#This Row],[PR]]/Mecze[[#This Row],[CZAS]])</f>
        <v>3.125E-2</v>
      </c>
      <c r="N2454" s="32">
        <f>IF(Mecze[[#This Row],[OU]]=0,0,Mecze[[#This Row],[OU]]/Mecze[[#This Row],[CZAS]])</f>
        <v>0</v>
      </c>
      <c r="O2454" s="32">
        <f>IF(Mecze[[#This Row],[PC]]=0,0,Mecze[[#This Row],[PC]]/Mecze[[#This Row],[CZAS]])</f>
        <v>2.0833333333333332E-2</v>
      </c>
      <c r="P2454" s="32">
        <f>IF(Mecze[[#This Row],[SC]]=0,0,Mecze[[#This Row],[SC]]/Mecze[[#This Row],[CZAS]])</f>
        <v>0</v>
      </c>
      <c r="Q2454" s="32">
        <f>IF(Mecze[[#This Row],[OB]]=0,0,Mecze[[#This Row],[OB]]/Mecze[[#This Row],[CZAS]])</f>
        <v>0</v>
      </c>
      <c r="R2454" s="32">
        <f>IF(Mecze[[#This Row],[BR]]=0,0,Mecze[[#This Row],[BR]]/Mecze[[#This Row],[CZAS]])</f>
        <v>0</v>
      </c>
      <c r="S2454" s="44">
        <f>IF(Mecze[[#This Row],[Role]]="BR",SUMPRODUCT(Mecze[[#This Row],[/PR:90]:[/BR:90]],Brudnopis!$E$23:$J$23),0)</f>
        <v>0</v>
      </c>
      <c r="T2454" s="44">
        <f>IF(Mecze[[#This Row],[Role]]&lt;&gt;"BR",SUMPRODUCT(Mecze[[#This Row],[/PR:90]:[/BR:90]],Brudnopis!$E$24:$J$24),0)</f>
        <v>5.2083333333333329E-2</v>
      </c>
      <c r="U2454" s="44">
        <f>IF(Mecze[[#This Row],[Role]]&lt;&gt;"BR",SUMPRODUCT(Mecze[[#This Row],[/PR:90]:[/BR:90]],Brudnopis!$E$25:$J$25),0)</f>
        <v>6.25E-2</v>
      </c>
      <c r="V2454" s="44">
        <f>IF(Mecze[[#This Row],[Role]]&lt;&gt;"BR",SUMPRODUCT(Mecze[[#This Row],[/PR:90]:[/BR:90]],Brudnopis!$E$26:$J$26),0)</f>
        <v>5.2083333333333329E-2</v>
      </c>
      <c r="W2454" s="44">
        <f>IF(Mecze[[#This Row],[Role]]&lt;&gt;"BR",SUMPRODUCT(Mecze[[#This Row],[/PR:90]:[/BR:90]],Brudnopis!$E$27:$J$27),0)</f>
        <v>5.46875E-2</v>
      </c>
      <c r="X2454" s="44">
        <f>IF(Mecze[[#This Row],[Role]]&lt;&gt;"BR",SUMPRODUCT(Mecze[[#This Row],[/PR:90]:[/BR:90]],Brudnopis!$E$28:$J$28),0)</f>
        <v>2.0833333333333332E-2</v>
      </c>
      <c r="Y2454" s="35">
        <f>IF(Mecze[[#This Row],[Role]]="BR",Mecze[[#This Row],[/OB:90]]+Mecze[[#This Row],[/PC:90]],SUM(Mecze[[#This Row],[/PR:90]:[/BR:90]]))</f>
        <v>5.2083333333333329E-2</v>
      </c>
      <c r="Z2454" s="35">
        <f>IF(Mecze[[#This Row],[KC]]=0,SUM(Mecze[[#This Row],[/BRI]:[/NPI]]),SUM(Mecze[[#This Row],[/BRI]:[/NPI]])*0.6)</f>
        <v>0.2421875</v>
      </c>
      <c r="AA2454" s="10">
        <f>IFERROR(Mecze[[#This Row],[BR]]/Mecze[[#This Row],[ST]],0)</f>
        <v>0</v>
      </c>
      <c r="AB2454">
        <f>ROUND(Mecze[[#This Row],[PD]]*Mecze[[#This Row],[%PC]],0)</f>
        <v>2</v>
      </c>
      <c r="AC2454">
        <f>ROUND(Mecze[[#This Row],[OD]]*Mecze[[#This Row],[%OU]],0)</f>
        <v>0</v>
      </c>
      <c r="AD2454" s="36" t="s">
        <v>47</v>
      </c>
      <c r="AE2454" s="36">
        <v>137</v>
      </c>
      <c r="AF2454" s="71">
        <v>7.67</v>
      </c>
      <c r="AG2454" s="37">
        <v>0</v>
      </c>
      <c r="AH2454" s="37">
        <v>0</v>
      </c>
      <c r="AI2454" s="37">
        <v>96</v>
      </c>
      <c r="AJ2454" s="37">
        <v>8</v>
      </c>
      <c r="AK2454" s="37" t="str">
        <f>VLOOKUP(Mecze[[#This Row],[Match ID]],Meczusie[Mecz]:Meczusie[RodzajMeczu],2,FALSE)</f>
        <v>Liga</v>
      </c>
    </row>
    <row r="2455" spans="1:37" x14ac:dyDescent="0.25">
      <c r="A2455" s="76">
        <v>23</v>
      </c>
      <c r="B2455" s="3" t="s">
        <v>306</v>
      </c>
      <c r="C2455" s="2" t="s">
        <v>157</v>
      </c>
      <c r="D2455" s="1">
        <v>0</v>
      </c>
      <c r="E2455" s="1">
        <v>0</v>
      </c>
      <c r="F2455" s="1">
        <v>0</v>
      </c>
      <c r="G2455" s="1">
        <v>8</v>
      </c>
      <c r="H2455" s="4">
        <v>0.75</v>
      </c>
      <c r="I2455" s="1">
        <v>5</v>
      </c>
      <c r="J2455" s="4">
        <v>0.2</v>
      </c>
      <c r="K2455" s="1">
        <v>0</v>
      </c>
      <c r="L2455" s="1">
        <v>5</v>
      </c>
      <c r="M2455" s="32">
        <f>IF(Mecze[[#This Row],[PR]]=0,0,Mecze[[#This Row],[PR]]/Mecze[[#This Row],[CZAS]])</f>
        <v>5.2083333333333336E-2</v>
      </c>
      <c r="N2455" s="32">
        <f>IF(Mecze[[#This Row],[OU]]=0,0,Mecze[[#This Row],[OU]]/Mecze[[#This Row],[CZAS]])</f>
        <v>1.0416666666666666E-2</v>
      </c>
      <c r="O2455" s="32">
        <f>IF(Mecze[[#This Row],[PC]]=0,0,Mecze[[#This Row],[PC]]/Mecze[[#This Row],[CZAS]])</f>
        <v>6.25E-2</v>
      </c>
      <c r="P2455" s="32">
        <f>IF(Mecze[[#This Row],[SC]]=0,0,Mecze[[#This Row],[SC]]/Mecze[[#This Row],[CZAS]])</f>
        <v>0</v>
      </c>
      <c r="Q2455" s="32">
        <f>IF(Mecze[[#This Row],[OB]]=0,0,Mecze[[#This Row],[OB]]/Mecze[[#This Row],[CZAS]])</f>
        <v>0</v>
      </c>
      <c r="R2455" s="32">
        <f>IF(Mecze[[#This Row],[BR]]=0,0,Mecze[[#This Row],[BR]]/Mecze[[#This Row],[CZAS]])</f>
        <v>0</v>
      </c>
      <c r="S2455" s="44">
        <f>IF(Mecze[[#This Row],[Role]]="BR",SUMPRODUCT(Mecze[[#This Row],[/PR:90]:[/BR:90]],Brudnopis!$E$23:$J$23),0)</f>
        <v>0</v>
      </c>
      <c r="T2455" s="44">
        <f>IF(Mecze[[#This Row],[Role]]&lt;&gt;"BR",SUMPRODUCT(Mecze[[#This Row],[/PR:90]:[/BR:90]],Brudnopis!$E$24:$J$24),0)</f>
        <v>0.13020833333333334</v>
      </c>
      <c r="U2455" s="44">
        <f>IF(Mecze[[#This Row],[Role]]&lt;&gt;"BR",SUMPRODUCT(Mecze[[#This Row],[/PR:90]:[/BR:90]],Brudnopis!$E$25:$J$25),0)</f>
        <v>0.15625</v>
      </c>
      <c r="V2455" s="44">
        <f>IF(Mecze[[#This Row],[Role]]&lt;&gt;"BR",SUMPRODUCT(Mecze[[#This Row],[/PR:90]:[/BR:90]],Brudnopis!$E$26:$J$26),0)</f>
        <v>0.125</v>
      </c>
      <c r="W2455" s="44">
        <f>IF(Mecze[[#This Row],[Role]]&lt;&gt;"BR",SUMPRODUCT(Mecze[[#This Row],[/PR:90]:[/BR:90]],Brudnopis!$E$27:$J$27),0)</f>
        <v>0.140625</v>
      </c>
      <c r="X2455" s="44">
        <f>IF(Mecze[[#This Row],[Role]]&lt;&gt;"BR",SUMPRODUCT(Mecze[[#This Row],[/PR:90]:[/BR:90]],Brudnopis!$E$28:$J$28),0)</f>
        <v>6.25E-2</v>
      </c>
      <c r="Y2455" s="35">
        <f>IF(Mecze[[#This Row],[Role]]="BR",Mecze[[#This Row],[/OB:90]]+Mecze[[#This Row],[/PC:90]],SUM(Mecze[[#This Row],[/PR:90]:[/BR:90]]))</f>
        <v>0.125</v>
      </c>
      <c r="Z2455" s="35">
        <f>IF(Mecze[[#This Row],[KC]]=0,SUM(Mecze[[#This Row],[/BRI]:[/NPI]]),SUM(Mecze[[#This Row],[/BRI]:[/NPI]])*0.6)</f>
        <v>0.61458333333333337</v>
      </c>
      <c r="AA2455" s="10">
        <f>IFERROR(Mecze[[#This Row],[BR]]/Mecze[[#This Row],[ST]],0)</f>
        <v>0</v>
      </c>
      <c r="AB2455">
        <f>ROUND(Mecze[[#This Row],[PD]]*Mecze[[#This Row],[%PC]],0)</f>
        <v>6</v>
      </c>
      <c r="AC2455">
        <f>ROUND(Mecze[[#This Row],[OD]]*Mecze[[#This Row],[%OU]],0)</f>
        <v>1</v>
      </c>
      <c r="AD2455" s="36" t="s">
        <v>167</v>
      </c>
      <c r="AE2455" s="36">
        <v>137</v>
      </c>
      <c r="AF2455" s="71">
        <v>8.09</v>
      </c>
      <c r="AG2455" s="37">
        <v>0</v>
      </c>
      <c r="AH2455" s="37">
        <v>0</v>
      </c>
      <c r="AI2455" s="37">
        <v>96</v>
      </c>
      <c r="AJ2455" s="37">
        <v>8</v>
      </c>
      <c r="AK2455" s="37" t="str">
        <f>VLOOKUP(Mecze[[#This Row],[Match ID]],Meczusie[Mecz]:Meczusie[RodzajMeczu],2,FALSE)</f>
        <v>Liga</v>
      </c>
    </row>
    <row r="2456" spans="1:37" x14ac:dyDescent="0.25">
      <c r="A2456" s="76">
        <v>73</v>
      </c>
      <c r="B2456" s="3" t="s">
        <v>431</v>
      </c>
      <c r="C2456" s="2" t="s">
        <v>157</v>
      </c>
      <c r="D2456" s="1">
        <v>0</v>
      </c>
      <c r="E2456" s="1">
        <v>0</v>
      </c>
      <c r="F2456" s="1">
        <v>0</v>
      </c>
      <c r="G2456" s="1">
        <v>5</v>
      </c>
      <c r="H2456" s="4">
        <v>0.8</v>
      </c>
      <c r="I2456" s="1">
        <v>2</v>
      </c>
      <c r="J2456" s="4">
        <v>0</v>
      </c>
      <c r="K2456" s="1">
        <v>0</v>
      </c>
      <c r="L2456" s="1">
        <v>12</v>
      </c>
      <c r="M2456" s="32">
        <f>IF(Mecze[[#This Row],[PR]]=0,0,Mecze[[#This Row],[PR]]/Mecze[[#This Row],[CZAS]])</f>
        <v>0.125</v>
      </c>
      <c r="N2456" s="32">
        <f>IF(Mecze[[#This Row],[OU]]=0,0,Mecze[[#This Row],[OU]]/Mecze[[#This Row],[CZAS]])</f>
        <v>0</v>
      </c>
      <c r="O2456" s="32">
        <f>IF(Mecze[[#This Row],[PC]]=0,0,Mecze[[#This Row],[PC]]/Mecze[[#This Row],[CZAS]])</f>
        <v>4.1666666666666664E-2</v>
      </c>
      <c r="P2456" s="32">
        <f>IF(Mecze[[#This Row],[SC]]=0,0,Mecze[[#This Row],[SC]]/Mecze[[#This Row],[CZAS]])</f>
        <v>0</v>
      </c>
      <c r="Q2456" s="32">
        <f>IF(Mecze[[#This Row],[OB]]=0,0,Mecze[[#This Row],[OB]]/Mecze[[#This Row],[CZAS]])</f>
        <v>0</v>
      </c>
      <c r="R2456" s="32">
        <f>IF(Mecze[[#This Row],[BR]]=0,0,Mecze[[#This Row],[BR]]/Mecze[[#This Row],[CZAS]])</f>
        <v>0</v>
      </c>
      <c r="S2456" s="44">
        <f>IF(Mecze[[#This Row],[Role]]="BR",SUMPRODUCT(Mecze[[#This Row],[/PR:90]:[/BR:90]],Brudnopis!$E$23:$J$23),0)</f>
        <v>0</v>
      </c>
      <c r="T2456" s="44">
        <f>IF(Mecze[[#This Row],[Role]]&lt;&gt;"BR",SUMPRODUCT(Mecze[[#This Row],[/PR:90]:[/BR:90]],Brudnopis!$E$24:$J$24),0)</f>
        <v>0.16666666666666666</v>
      </c>
      <c r="U2456" s="44">
        <f>IF(Mecze[[#This Row],[Role]]&lt;&gt;"BR",SUMPRODUCT(Mecze[[#This Row],[/PR:90]:[/BR:90]],Brudnopis!$E$25:$J$25),0)</f>
        <v>0.1875</v>
      </c>
      <c r="V2456" s="44">
        <f>IF(Mecze[[#This Row],[Role]]&lt;&gt;"BR",SUMPRODUCT(Mecze[[#This Row],[/PR:90]:[/BR:90]],Brudnopis!$E$26:$J$26),0)</f>
        <v>0.16666666666666666</v>
      </c>
      <c r="W2456" s="44">
        <f>IF(Mecze[[#This Row],[Role]]&lt;&gt;"BR",SUMPRODUCT(Mecze[[#This Row],[/PR:90]:[/BR:90]],Brudnopis!$E$27:$J$27),0)</f>
        <v>0.15625</v>
      </c>
      <c r="X2456" s="44">
        <f>IF(Mecze[[#This Row],[Role]]&lt;&gt;"BR",SUMPRODUCT(Mecze[[#This Row],[/PR:90]:[/BR:90]],Brudnopis!$E$28:$J$28),0)</f>
        <v>4.1666666666666664E-2</v>
      </c>
      <c r="Y2456" s="35">
        <f>IF(Mecze[[#This Row],[Role]]="BR",Mecze[[#This Row],[/OB:90]]+Mecze[[#This Row],[/PC:90]],SUM(Mecze[[#This Row],[/PR:90]:[/BR:90]]))</f>
        <v>0.16666666666666666</v>
      </c>
      <c r="Z2456" s="35">
        <f>IF(Mecze[[#This Row],[KC]]=0,SUM(Mecze[[#This Row],[/BRI]:[/NPI]]),SUM(Mecze[[#This Row],[/BRI]:[/NPI]])*0.6)</f>
        <v>0.71874999999999989</v>
      </c>
      <c r="AA2456" s="10">
        <f>IFERROR(Mecze[[#This Row],[BR]]/Mecze[[#This Row],[ST]],0)</f>
        <v>0</v>
      </c>
      <c r="AB2456">
        <f>ROUND(Mecze[[#This Row],[PD]]*Mecze[[#This Row],[%PC]],0)</f>
        <v>4</v>
      </c>
      <c r="AC2456">
        <f>ROUND(Mecze[[#This Row],[OD]]*Mecze[[#This Row],[%OU]],0)</f>
        <v>0</v>
      </c>
      <c r="AD2456" s="36" t="s">
        <v>168</v>
      </c>
      <c r="AE2456" s="36">
        <v>137</v>
      </c>
      <c r="AF2456" s="71">
        <v>9.56</v>
      </c>
      <c r="AG2456" s="37">
        <v>0</v>
      </c>
      <c r="AH2456" s="37">
        <v>0</v>
      </c>
      <c r="AI2456" s="37">
        <v>96</v>
      </c>
      <c r="AJ2456" s="37">
        <v>8</v>
      </c>
      <c r="AK2456" s="37" t="str">
        <f>VLOOKUP(Mecze[[#This Row],[Match ID]],Meczusie[Mecz]:Meczusie[RodzajMeczu],2,FALSE)</f>
        <v>Liga</v>
      </c>
    </row>
    <row r="2457" spans="1:37" x14ac:dyDescent="0.25">
      <c r="A2457" s="76">
        <v>6</v>
      </c>
      <c r="B2457" s="3" t="s">
        <v>308</v>
      </c>
      <c r="C2457" s="2" t="s">
        <v>160</v>
      </c>
      <c r="D2457" s="1">
        <v>0</v>
      </c>
      <c r="E2457" s="1">
        <v>0</v>
      </c>
      <c r="F2457" s="1">
        <v>0</v>
      </c>
      <c r="G2457" s="1">
        <v>9</v>
      </c>
      <c r="H2457" s="4">
        <v>0.89</v>
      </c>
      <c r="I2457" s="1">
        <v>3</v>
      </c>
      <c r="J2457" s="4">
        <v>0.67</v>
      </c>
      <c r="K2457" s="1">
        <v>0</v>
      </c>
      <c r="L2457" s="1">
        <v>2</v>
      </c>
      <c r="M2457" s="32">
        <f>IF(Mecze[[#This Row],[PR]]=0,0,Mecze[[#This Row],[PR]]/Mecze[[#This Row],[CZAS]])</f>
        <v>2.5316455696202531E-2</v>
      </c>
      <c r="N2457" s="32">
        <f>IF(Mecze[[#This Row],[OU]]=0,0,Mecze[[#This Row],[OU]]/Mecze[[#This Row],[CZAS]])</f>
        <v>2.5316455696202531E-2</v>
      </c>
      <c r="O2457" s="32">
        <f>IF(Mecze[[#This Row],[PC]]=0,0,Mecze[[#This Row],[PC]]/Mecze[[#This Row],[CZAS]])</f>
        <v>0.10126582278481013</v>
      </c>
      <c r="P2457" s="32">
        <f>IF(Mecze[[#This Row],[SC]]=0,0,Mecze[[#This Row],[SC]]/Mecze[[#This Row],[CZAS]])</f>
        <v>0</v>
      </c>
      <c r="Q2457" s="32">
        <f>IF(Mecze[[#This Row],[OB]]=0,0,Mecze[[#This Row],[OB]]/Mecze[[#This Row],[CZAS]])</f>
        <v>0</v>
      </c>
      <c r="R2457" s="32">
        <f>IF(Mecze[[#This Row],[BR]]=0,0,Mecze[[#This Row],[BR]]/Mecze[[#This Row],[CZAS]])</f>
        <v>0</v>
      </c>
      <c r="S2457" s="44">
        <f>IF(Mecze[[#This Row],[Role]]="BR",SUMPRODUCT(Mecze[[#This Row],[/PR:90]:[/BR:90]],Brudnopis!$E$23:$J$23),0)</f>
        <v>0</v>
      </c>
      <c r="T2457" s="44">
        <f>IF(Mecze[[#This Row],[Role]]&lt;&gt;"BR",SUMPRODUCT(Mecze[[#This Row],[/PR:90]:[/BR:90]],Brudnopis!$E$24:$J$24),0)</f>
        <v>0.16455696202531644</v>
      </c>
      <c r="U2457" s="44">
        <f>IF(Mecze[[#This Row],[Role]]&lt;&gt;"BR",SUMPRODUCT(Mecze[[#This Row],[/PR:90]:[/BR:90]],Brudnopis!$E$25:$J$25),0)</f>
        <v>0.20253164556962025</v>
      </c>
      <c r="V2457" s="44">
        <f>IF(Mecze[[#This Row],[Role]]&lt;&gt;"BR",SUMPRODUCT(Mecze[[#This Row],[/PR:90]:[/BR:90]],Brudnopis!$E$26:$J$26),0)</f>
        <v>0.15189873417721519</v>
      </c>
      <c r="W2457" s="44">
        <f>IF(Mecze[[#This Row],[Role]]&lt;&gt;"BR",SUMPRODUCT(Mecze[[#This Row],[/PR:90]:[/BR:90]],Brudnopis!$E$27:$J$27),0)</f>
        <v>0.189873417721519</v>
      </c>
      <c r="X2457" s="44">
        <f>IF(Mecze[[#This Row],[Role]]&lt;&gt;"BR",SUMPRODUCT(Mecze[[#This Row],[/PR:90]:[/BR:90]],Brudnopis!$E$28:$J$28),0)</f>
        <v>0.10126582278481013</v>
      </c>
      <c r="Y2457" s="35">
        <f>IF(Mecze[[#This Row],[Role]]="BR",Mecze[[#This Row],[/OB:90]]+Mecze[[#This Row],[/PC:90]],SUM(Mecze[[#This Row],[/PR:90]:[/BR:90]]))</f>
        <v>0.15189873417721519</v>
      </c>
      <c r="Z2457" s="35">
        <f>IF(Mecze[[#This Row],[KC]]=0,SUM(Mecze[[#This Row],[/BRI]:[/NPI]]),SUM(Mecze[[#This Row],[/BRI]:[/NPI]])*0.6)</f>
        <v>0.810126582278481</v>
      </c>
      <c r="AA2457" s="10">
        <f>IFERROR(Mecze[[#This Row],[BR]]/Mecze[[#This Row],[ST]],0)</f>
        <v>0</v>
      </c>
      <c r="AB2457">
        <f>ROUND(Mecze[[#This Row],[PD]]*Mecze[[#This Row],[%PC]],0)</f>
        <v>8</v>
      </c>
      <c r="AC2457">
        <f>ROUND(Mecze[[#This Row],[OD]]*Mecze[[#This Row],[%OU]],0)</f>
        <v>2</v>
      </c>
      <c r="AD2457" s="36" t="s">
        <v>41</v>
      </c>
      <c r="AE2457" s="36">
        <v>137</v>
      </c>
      <c r="AF2457" s="71">
        <v>9.58</v>
      </c>
      <c r="AG2457" s="37">
        <v>0</v>
      </c>
      <c r="AH2457" s="37">
        <v>0</v>
      </c>
      <c r="AI2457" s="37">
        <v>79</v>
      </c>
      <c r="AJ2457" s="37">
        <v>8</v>
      </c>
      <c r="AK2457" s="37" t="str">
        <f>VLOOKUP(Mecze[[#This Row],[Match ID]],Meczusie[Mecz]:Meczusie[RodzajMeczu],2,FALSE)</f>
        <v>Liga</v>
      </c>
    </row>
    <row r="2458" spans="1:37" x14ac:dyDescent="0.25">
      <c r="A2458" s="76">
        <v>16</v>
      </c>
      <c r="B2458" s="3" t="s">
        <v>309</v>
      </c>
      <c r="C2458" s="2" t="s">
        <v>160</v>
      </c>
      <c r="D2458" s="1">
        <v>0</v>
      </c>
      <c r="E2458" s="1">
        <v>0</v>
      </c>
      <c r="F2458" s="1">
        <v>0</v>
      </c>
      <c r="G2458" s="1">
        <v>9</v>
      </c>
      <c r="H2458" s="4">
        <v>0.56000000000000005</v>
      </c>
      <c r="I2458" s="1">
        <v>5</v>
      </c>
      <c r="J2458" s="4">
        <v>0.6</v>
      </c>
      <c r="K2458" s="1">
        <v>0</v>
      </c>
      <c r="L2458" s="1">
        <v>5</v>
      </c>
      <c r="M2458" s="32">
        <f>IF(Mecze[[#This Row],[PR]]=0,0,Mecze[[#This Row],[PR]]/Mecze[[#This Row],[CZAS]])</f>
        <v>5.2083333333333336E-2</v>
      </c>
      <c r="N2458" s="32">
        <f>IF(Mecze[[#This Row],[OU]]=0,0,Mecze[[#This Row],[OU]]/Mecze[[#This Row],[CZAS]])</f>
        <v>3.125E-2</v>
      </c>
      <c r="O2458" s="32">
        <f>IF(Mecze[[#This Row],[PC]]=0,0,Mecze[[#This Row],[PC]]/Mecze[[#This Row],[CZAS]])</f>
        <v>5.2083333333333336E-2</v>
      </c>
      <c r="P2458" s="32">
        <f>IF(Mecze[[#This Row],[SC]]=0,0,Mecze[[#This Row],[SC]]/Mecze[[#This Row],[CZAS]])</f>
        <v>0</v>
      </c>
      <c r="Q2458" s="32">
        <f>IF(Mecze[[#This Row],[OB]]=0,0,Mecze[[#This Row],[OB]]/Mecze[[#This Row],[CZAS]])</f>
        <v>0</v>
      </c>
      <c r="R2458" s="32">
        <f>IF(Mecze[[#This Row],[BR]]=0,0,Mecze[[#This Row],[BR]]/Mecze[[#This Row],[CZAS]])</f>
        <v>0</v>
      </c>
      <c r="S2458" s="44">
        <f>IF(Mecze[[#This Row],[Role]]="BR",SUMPRODUCT(Mecze[[#This Row],[/PR:90]:[/BR:90]],Brudnopis!$E$23:$J$23),0)</f>
        <v>0</v>
      </c>
      <c r="T2458" s="44">
        <f>IF(Mecze[[#This Row],[Role]]&lt;&gt;"BR",SUMPRODUCT(Mecze[[#This Row],[/PR:90]:[/BR:90]],Brudnopis!$E$24:$J$24),0)</f>
        <v>0.15104166666666669</v>
      </c>
      <c r="U2458" s="44">
        <f>IF(Mecze[[#This Row],[Role]]&lt;&gt;"BR",SUMPRODUCT(Mecze[[#This Row],[/PR:90]:[/BR:90]],Brudnopis!$E$25:$J$25),0)</f>
        <v>0.16145833333333334</v>
      </c>
      <c r="V2458" s="44">
        <f>IF(Mecze[[#This Row],[Role]]&lt;&gt;"BR",SUMPRODUCT(Mecze[[#This Row],[/PR:90]:[/BR:90]],Brudnopis!$E$26:$J$26),0)</f>
        <v>0.13541666666666669</v>
      </c>
      <c r="W2458" s="44">
        <f>IF(Mecze[[#This Row],[Role]]&lt;&gt;"BR",SUMPRODUCT(Mecze[[#This Row],[/PR:90]:[/BR:90]],Brudnopis!$E$27:$J$27),0)</f>
        <v>0.140625</v>
      </c>
      <c r="X2458" s="44">
        <f>IF(Mecze[[#This Row],[Role]]&lt;&gt;"BR",SUMPRODUCT(Mecze[[#This Row],[/PR:90]:[/BR:90]],Brudnopis!$E$28:$J$28),0)</f>
        <v>5.2083333333333336E-2</v>
      </c>
      <c r="Y2458" s="35">
        <f>IF(Mecze[[#This Row],[Role]]="BR",Mecze[[#This Row],[/OB:90]]+Mecze[[#This Row],[/PC:90]],SUM(Mecze[[#This Row],[/PR:90]:[/BR:90]]))</f>
        <v>0.13541666666666669</v>
      </c>
      <c r="Z2458" s="35">
        <f>IF(Mecze[[#This Row],[KC]]=0,SUM(Mecze[[#This Row],[/BRI]:[/NPI]]),SUM(Mecze[[#This Row],[/BRI]:[/NPI]])*0.6)</f>
        <v>0.64062500000000011</v>
      </c>
      <c r="AA2458" s="10">
        <f>IFERROR(Mecze[[#This Row],[BR]]/Mecze[[#This Row],[ST]],0)</f>
        <v>0</v>
      </c>
      <c r="AB2458">
        <f>ROUND(Mecze[[#This Row],[PD]]*Mecze[[#This Row],[%PC]],0)</f>
        <v>5</v>
      </c>
      <c r="AC2458">
        <f>ROUND(Mecze[[#This Row],[OD]]*Mecze[[#This Row],[%OU]],0)</f>
        <v>3</v>
      </c>
      <c r="AD2458" s="36" t="s">
        <v>172</v>
      </c>
      <c r="AE2458" s="36">
        <v>137</v>
      </c>
      <c r="AF2458" s="71">
        <v>9.3000000000000007</v>
      </c>
      <c r="AG2458" s="37">
        <v>0</v>
      </c>
      <c r="AH2458" s="37">
        <v>0</v>
      </c>
      <c r="AI2458" s="37">
        <v>96</v>
      </c>
      <c r="AJ2458" s="37">
        <v>8</v>
      </c>
      <c r="AK2458" s="37" t="str">
        <f>VLOOKUP(Mecze[[#This Row],[Match ID]],Meczusie[Mecz]:Meczusie[RodzajMeczu],2,FALSE)</f>
        <v>Liga</v>
      </c>
    </row>
    <row r="2459" spans="1:37" x14ac:dyDescent="0.25">
      <c r="A2459" s="76">
        <v>7</v>
      </c>
      <c r="B2459" s="3" t="s">
        <v>311</v>
      </c>
      <c r="C2459" s="2" t="s">
        <v>160</v>
      </c>
      <c r="D2459" s="1">
        <v>0</v>
      </c>
      <c r="E2459" s="1">
        <v>0</v>
      </c>
      <c r="F2459" s="1">
        <v>0</v>
      </c>
      <c r="G2459" s="1">
        <v>9</v>
      </c>
      <c r="H2459" s="4">
        <v>0.67</v>
      </c>
      <c r="I2459" s="1">
        <v>7</v>
      </c>
      <c r="J2459" s="4">
        <v>0.43</v>
      </c>
      <c r="K2459" s="1">
        <v>0</v>
      </c>
      <c r="L2459" s="1">
        <v>5</v>
      </c>
      <c r="M2459" s="32">
        <f>IF(Mecze[[#This Row],[PR]]=0,0,Mecze[[#This Row],[PR]]/Mecze[[#This Row],[CZAS]])</f>
        <v>5.2083333333333336E-2</v>
      </c>
      <c r="N2459" s="32">
        <f>IF(Mecze[[#This Row],[OU]]=0,0,Mecze[[#This Row],[OU]]/Mecze[[#This Row],[CZAS]])</f>
        <v>3.125E-2</v>
      </c>
      <c r="O2459" s="32">
        <f>IF(Mecze[[#This Row],[PC]]=0,0,Mecze[[#This Row],[PC]]/Mecze[[#This Row],[CZAS]])</f>
        <v>6.25E-2</v>
      </c>
      <c r="P2459" s="32">
        <f>IF(Mecze[[#This Row],[SC]]=0,0,Mecze[[#This Row],[SC]]/Mecze[[#This Row],[CZAS]])</f>
        <v>0</v>
      </c>
      <c r="Q2459" s="32">
        <f>IF(Mecze[[#This Row],[OB]]=0,0,Mecze[[#This Row],[OB]]/Mecze[[#This Row],[CZAS]])</f>
        <v>0</v>
      </c>
      <c r="R2459" s="32">
        <f>IF(Mecze[[#This Row],[BR]]=0,0,Mecze[[#This Row],[BR]]/Mecze[[#This Row],[CZAS]])</f>
        <v>0</v>
      </c>
      <c r="S2459" s="44">
        <f>IF(Mecze[[#This Row],[Role]]="BR",SUMPRODUCT(Mecze[[#This Row],[/PR:90]:[/BR:90]],Brudnopis!$E$23:$J$23),0)</f>
        <v>0</v>
      </c>
      <c r="T2459" s="44">
        <f>IF(Mecze[[#This Row],[Role]]&lt;&gt;"BR",SUMPRODUCT(Mecze[[#This Row],[/PR:90]:[/BR:90]],Brudnopis!$E$24:$J$24),0)</f>
        <v>0.16145833333333334</v>
      </c>
      <c r="U2459" s="44">
        <f>IF(Mecze[[#This Row],[Role]]&lt;&gt;"BR",SUMPRODUCT(Mecze[[#This Row],[/PR:90]:[/BR:90]],Brudnopis!$E$25:$J$25),0)</f>
        <v>0.17708333333333334</v>
      </c>
      <c r="V2459" s="44">
        <f>IF(Mecze[[#This Row],[Role]]&lt;&gt;"BR",SUMPRODUCT(Mecze[[#This Row],[/PR:90]:[/BR:90]],Brudnopis!$E$26:$J$26),0)</f>
        <v>0.14583333333333334</v>
      </c>
      <c r="W2459" s="44">
        <f>IF(Mecze[[#This Row],[Role]]&lt;&gt;"BR",SUMPRODUCT(Mecze[[#This Row],[/PR:90]:[/BR:90]],Brudnopis!$E$27:$J$27),0)</f>
        <v>0.15625</v>
      </c>
      <c r="X2459" s="44">
        <f>IF(Mecze[[#This Row],[Role]]&lt;&gt;"BR",SUMPRODUCT(Mecze[[#This Row],[/PR:90]:[/BR:90]],Brudnopis!$E$28:$J$28),0)</f>
        <v>6.25E-2</v>
      </c>
      <c r="Y2459" s="35">
        <f>IF(Mecze[[#This Row],[Role]]="BR",Mecze[[#This Row],[/OB:90]]+Mecze[[#This Row],[/PC:90]],SUM(Mecze[[#This Row],[/PR:90]:[/BR:90]]))</f>
        <v>0.14583333333333334</v>
      </c>
      <c r="Z2459" s="35">
        <f>IF(Mecze[[#This Row],[KC]]=0,SUM(Mecze[[#This Row],[/BRI]:[/NPI]]),SUM(Mecze[[#This Row],[/BRI]:[/NPI]])*0.6)</f>
        <v>0.703125</v>
      </c>
      <c r="AA2459" s="10">
        <f>IFERROR(Mecze[[#This Row],[BR]]/Mecze[[#This Row],[ST]],0)</f>
        <v>0</v>
      </c>
      <c r="AB2459">
        <f>ROUND(Mecze[[#This Row],[PD]]*Mecze[[#This Row],[%PC]],0)</f>
        <v>6</v>
      </c>
      <c r="AC2459">
        <f>ROUND(Mecze[[#This Row],[OD]]*Mecze[[#This Row],[%OU]],0)</f>
        <v>3</v>
      </c>
      <c r="AD2459" s="36" t="s">
        <v>173</v>
      </c>
      <c r="AE2459" s="36">
        <v>137</v>
      </c>
      <c r="AF2459" s="71">
        <v>9.3000000000000007</v>
      </c>
      <c r="AG2459" s="37">
        <v>0</v>
      </c>
      <c r="AH2459" s="37">
        <v>0</v>
      </c>
      <c r="AI2459" s="37">
        <v>96</v>
      </c>
      <c r="AJ2459" s="37">
        <v>8</v>
      </c>
      <c r="AK2459" s="37" t="str">
        <f>VLOOKUP(Mecze[[#This Row],[Match ID]],Meczusie[Mecz]:Meczusie[RodzajMeczu],2,FALSE)</f>
        <v>Liga</v>
      </c>
    </row>
    <row r="2460" spans="1:37" x14ac:dyDescent="0.25">
      <c r="A2460" s="76">
        <v>14</v>
      </c>
      <c r="B2460" s="3" t="s">
        <v>312</v>
      </c>
      <c r="C2460" s="2" t="s">
        <v>160</v>
      </c>
      <c r="D2460" s="1">
        <v>0</v>
      </c>
      <c r="E2460" s="1">
        <v>3</v>
      </c>
      <c r="F2460" s="1">
        <v>3</v>
      </c>
      <c r="G2460" s="1">
        <v>11</v>
      </c>
      <c r="H2460" s="4">
        <v>0.64</v>
      </c>
      <c r="I2460" s="1">
        <v>4</v>
      </c>
      <c r="J2460" s="4">
        <v>0.5</v>
      </c>
      <c r="K2460" s="1">
        <v>0</v>
      </c>
      <c r="L2460" s="1">
        <v>2</v>
      </c>
      <c r="M2460" s="32">
        <f>IF(Mecze[[#This Row],[PR]]=0,0,Mecze[[#This Row],[PR]]/Mecze[[#This Row],[CZAS]])</f>
        <v>2.5316455696202531E-2</v>
      </c>
      <c r="N2460" s="32">
        <f>IF(Mecze[[#This Row],[OU]]=0,0,Mecze[[#This Row],[OU]]/Mecze[[#This Row],[CZAS]])</f>
        <v>2.5316455696202531E-2</v>
      </c>
      <c r="O2460" s="32">
        <f>IF(Mecze[[#This Row],[PC]]=0,0,Mecze[[#This Row],[PC]]/Mecze[[#This Row],[CZAS]])</f>
        <v>8.8607594936708861E-2</v>
      </c>
      <c r="P2460" s="32">
        <f>IF(Mecze[[#This Row],[SC]]=0,0,Mecze[[#This Row],[SC]]/Mecze[[#This Row],[CZAS]])</f>
        <v>3.7974683544303799E-2</v>
      </c>
      <c r="Q2460" s="32">
        <f>IF(Mecze[[#This Row],[OB]]=0,0,Mecze[[#This Row],[OB]]/Mecze[[#This Row],[CZAS]])</f>
        <v>0</v>
      </c>
      <c r="R2460" s="32">
        <f>IF(Mecze[[#This Row],[BR]]=0,0,Mecze[[#This Row],[BR]]/Mecze[[#This Row],[CZAS]])</f>
        <v>0</v>
      </c>
      <c r="S2460" s="44">
        <f>IF(Mecze[[#This Row],[Role]]="BR",SUMPRODUCT(Mecze[[#This Row],[/PR:90]:[/BR:90]],Brudnopis!$E$23:$J$23),0)</f>
        <v>0</v>
      </c>
      <c r="T2460" s="44">
        <f>IF(Mecze[[#This Row],[Role]]&lt;&gt;"BR",SUMPRODUCT(Mecze[[#This Row],[/PR:90]:[/BR:90]],Brudnopis!$E$24:$J$24),0)</f>
        <v>0.189873417721519</v>
      </c>
      <c r="U2460" s="44">
        <f>IF(Mecze[[#This Row],[Role]]&lt;&gt;"BR",SUMPRODUCT(Mecze[[#This Row],[/PR:90]:[/BR:90]],Brudnopis!$E$25:$J$25),0)</f>
        <v>0.22151898734177214</v>
      </c>
      <c r="V2460" s="44">
        <f>IF(Mecze[[#This Row],[Role]]&lt;&gt;"BR",SUMPRODUCT(Mecze[[#This Row],[/PR:90]:[/BR:90]],Brudnopis!$E$26:$J$26),0)</f>
        <v>0.17721518987341772</v>
      </c>
      <c r="W2460" s="44">
        <f>IF(Mecze[[#This Row],[Role]]&lt;&gt;"BR",SUMPRODUCT(Mecze[[#This Row],[/PR:90]:[/BR:90]],Brudnopis!$E$27:$J$27),0)</f>
        <v>0.20886075949367089</v>
      </c>
      <c r="X2460" s="44">
        <f>IF(Mecze[[#This Row],[Role]]&lt;&gt;"BR",SUMPRODUCT(Mecze[[#This Row],[/PR:90]:[/BR:90]],Brudnopis!$E$28:$J$28),0)</f>
        <v>0.16455696202531644</v>
      </c>
      <c r="Y2460" s="35">
        <f>IF(Mecze[[#This Row],[Role]]="BR",Mecze[[#This Row],[/OB:90]]+Mecze[[#This Row],[/PC:90]],SUM(Mecze[[#This Row],[/PR:90]:[/BR:90]]))</f>
        <v>0.17721518987341772</v>
      </c>
      <c r="Z2460" s="35">
        <f>IF(Mecze[[#This Row],[KC]]=0,SUM(Mecze[[#This Row],[/BRI]:[/NPI]]),SUM(Mecze[[#This Row],[/BRI]:[/NPI]])*0.6)</f>
        <v>0.96202531645569622</v>
      </c>
      <c r="AA2460" s="10">
        <f>IFERROR(Mecze[[#This Row],[BR]]/Mecze[[#This Row],[ST]],0)</f>
        <v>0</v>
      </c>
      <c r="AB2460">
        <f>ROUND(Mecze[[#This Row],[PD]]*Mecze[[#This Row],[%PC]],0)</f>
        <v>7</v>
      </c>
      <c r="AC2460">
        <f>ROUND(Mecze[[#This Row],[OD]]*Mecze[[#This Row],[%OU]],0)</f>
        <v>2</v>
      </c>
      <c r="AD2460" s="36" t="s">
        <v>67</v>
      </c>
      <c r="AE2460" s="36">
        <v>137</v>
      </c>
      <c r="AF2460" s="71">
        <v>9.36</v>
      </c>
      <c r="AG2460" s="37">
        <v>0</v>
      </c>
      <c r="AH2460" s="37">
        <v>0</v>
      </c>
      <c r="AI2460" s="37">
        <v>79</v>
      </c>
      <c r="AJ2460" s="37">
        <v>8</v>
      </c>
      <c r="AK2460" s="37" t="str">
        <f>VLOOKUP(Mecze[[#This Row],[Match ID]],Meczusie[Mecz]:Meczusie[RodzajMeczu],2,FALSE)</f>
        <v>Liga</v>
      </c>
    </row>
    <row r="2461" spans="1:37" x14ac:dyDescent="0.25">
      <c r="A2461" s="76">
        <v>13</v>
      </c>
      <c r="B2461" s="3" t="s">
        <v>313</v>
      </c>
      <c r="C2461" s="2" t="s">
        <v>165</v>
      </c>
      <c r="D2461" s="1">
        <v>0</v>
      </c>
      <c r="E2461" s="1">
        <v>1</v>
      </c>
      <c r="F2461" s="1">
        <v>1</v>
      </c>
      <c r="G2461" s="1">
        <v>11</v>
      </c>
      <c r="H2461" s="4">
        <v>0.82</v>
      </c>
      <c r="I2461" s="1">
        <v>5</v>
      </c>
      <c r="J2461" s="4">
        <v>1</v>
      </c>
      <c r="K2461" s="1">
        <v>0</v>
      </c>
      <c r="L2461" s="1">
        <v>3</v>
      </c>
      <c r="M2461" s="32">
        <f>IF(Mecze[[#This Row],[PR]]=0,0,Mecze[[#This Row],[PR]]/Mecze[[#This Row],[CZAS]])</f>
        <v>3.7974683544303799E-2</v>
      </c>
      <c r="N2461" s="32">
        <f>IF(Mecze[[#This Row],[OU]]=0,0,Mecze[[#This Row],[OU]]/Mecze[[#This Row],[CZAS]])</f>
        <v>6.3291139240506333E-2</v>
      </c>
      <c r="O2461" s="32">
        <f>IF(Mecze[[#This Row],[PC]]=0,0,Mecze[[#This Row],[PC]]/Mecze[[#This Row],[CZAS]])</f>
        <v>0.11392405063291139</v>
      </c>
      <c r="P2461" s="32">
        <f>IF(Mecze[[#This Row],[SC]]=0,0,Mecze[[#This Row],[SC]]/Mecze[[#This Row],[CZAS]])</f>
        <v>1.2658227848101266E-2</v>
      </c>
      <c r="Q2461" s="32">
        <f>IF(Mecze[[#This Row],[OB]]=0,0,Mecze[[#This Row],[OB]]/Mecze[[#This Row],[CZAS]])</f>
        <v>0</v>
      </c>
      <c r="R2461" s="32">
        <f>IF(Mecze[[#This Row],[BR]]=0,0,Mecze[[#This Row],[BR]]/Mecze[[#This Row],[CZAS]])</f>
        <v>0</v>
      </c>
      <c r="S2461" s="44">
        <f>IF(Mecze[[#This Row],[Role]]="BR",SUMPRODUCT(Mecze[[#This Row],[/PR:90]:[/BR:90]],Brudnopis!$E$23:$J$23),0)</f>
        <v>0</v>
      </c>
      <c r="T2461" s="44">
        <f>IF(Mecze[[#This Row],[Role]]&lt;&gt;"BR",SUMPRODUCT(Mecze[[#This Row],[/PR:90]:[/BR:90]],Brudnopis!$E$24:$J$24),0)</f>
        <v>0.25949367088607594</v>
      </c>
      <c r="U2461" s="44">
        <f>IF(Mecze[[#This Row],[Role]]&lt;&gt;"BR",SUMPRODUCT(Mecze[[#This Row],[/PR:90]:[/BR:90]],Brudnopis!$E$25:$J$25),0)</f>
        <v>0.2848101265822785</v>
      </c>
      <c r="V2461" s="44">
        <f>IF(Mecze[[#This Row],[Role]]&lt;&gt;"BR",SUMPRODUCT(Mecze[[#This Row],[/PR:90]:[/BR:90]],Brudnopis!$E$26:$J$26),0)</f>
        <v>0.22784810126582281</v>
      </c>
      <c r="W2461" s="44">
        <f>IF(Mecze[[#This Row],[Role]]&lt;&gt;"BR",SUMPRODUCT(Mecze[[#This Row],[/PR:90]:[/BR:90]],Brudnopis!$E$27:$J$27),0)</f>
        <v>0.25949367088607594</v>
      </c>
      <c r="X2461" s="44">
        <f>IF(Mecze[[#This Row],[Role]]&lt;&gt;"BR",SUMPRODUCT(Mecze[[#This Row],[/PR:90]:[/BR:90]],Brudnopis!$E$28:$J$28),0)</f>
        <v>0.13924050632911392</v>
      </c>
      <c r="Y2461" s="35">
        <f>IF(Mecze[[#This Row],[Role]]="BR",Mecze[[#This Row],[/OB:90]]+Mecze[[#This Row],[/PC:90]],SUM(Mecze[[#This Row],[/PR:90]:[/BR:90]]))</f>
        <v>0.22784810126582281</v>
      </c>
      <c r="Z2461" s="35">
        <f>IF(Mecze[[#This Row],[KC]]=0,SUM(Mecze[[#This Row],[/BRI]:[/NPI]]),SUM(Mecze[[#This Row],[/BRI]:[/NPI]])*0.6)</f>
        <v>1.1708860759493671</v>
      </c>
      <c r="AA2461" s="10">
        <f>IFERROR(Mecze[[#This Row],[BR]]/Mecze[[#This Row],[ST]],0)</f>
        <v>0</v>
      </c>
      <c r="AB2461">
        <f>ROUND(Mecze[[#This Row],[PD]]*Mecze[[#This Row],[%PC]],0)</f>
        <v>9</v>
      </c>
      <c r="AC2461">
        <f>ROUND(Mecze[[#This Row],[OD]]*Mecze[[#This Row],[%OU]],0)</f>
        <v>5</v>
      </c>
      <c r="AD2461" s="36" t="s">
        <v>272</v>
      </c>
      <c r="AE2461" s="36">
        <v>137</v>
      </c>
      <c r="AF2461" s="71">
        <v>6.4</v>
      </c>
      <c r="AG2461" s="37">
        <v>0</v>
      </c>
      <c r="AH2461" s="37">
        <v>0</v>
      </c>
      <c r="AI2461" s="37">
        <v>79</v>
      </c>
      <c r="AJ2461" s="37">
        <v>8</v>
      </c>
      <c r="AK2461" s="37" t="str">
        <f>VLOOKUP(Mecze[[#This Row],[Match ID]],Meczusie[Mecz]:Meczusie[RodzajMeczu],2,FALSE)</f>
        <v>Liga</v>
      </c>
    </row>
    <row r="2462" spans="1:37" x14ac:dyDescent="0.25">
      <c r="A2462" s="76">
        <v>74</v>
      </c>
      <c r="B2462" s="3" t="s">
        <v>442</v>
      </c>
      <c r="C2462" s="2" t="s">
        <v>165</v>
      </c>
      <c r="D2462" s="1">
        <v>0</v>
      </c>
      <c r="E2462" s="1">
        <v>5</v>
      </c>
      <c r="F2462" s="1">
        <v>5</v>
      </c>
      <c r="G2462" s="1">
        <v>5</v>
      </c>
      <c r="H2462" s="4">
        <v>0.4</v>
      </c>
      <c r="I2462" s="1">
        <v>1</v>
      </c>
      <c r="J2462" s="4">
        <v>1</v>
      </c>
      <c r="K2462" s="1">
        <v>0</v>
      </c>
      <c r="L2462" s="1">
        <v>4</v>
      </c>
      <c r="M2462" s="32">
        <f>IF(Mecze[[#This Row],[PR]]=0,0,Mecze[[#This Row],[PR]]/Mecze[[#This Row],[CZAS]])</f>
        <v>4.1666666666666664E-2</v>
      </c>
      <c r="N2462" s="32">
        <f>IF(Mecze[[#This Row],[OU]]=0,0,Mecze[[#This Row],[OU]]/Mecze[[#This Row],[CZAS]])</f>
        <v>1.0416666666666666E-2</v>
      </c>
      <c r="O2462" s="32">
        <f>IF(Mecze[[#This Row],[PC]]=0,0,Mecze[[#This Row],[PC]]/Mecze[[#This Row],[CZAS]])</f>
        <v>2.0833333333333332E-2</v>
      </c>
      <c r="P2462" s="32">
        <f>IF(Mecze[[#This Row],[SC]]=0,0,Mecze[[#This Row],[SC]]/Mecze[[#This Row],[CZAS]])</f>
        <v>5.2083333333333336E-2</v>
      </c>
      <c r="Q2462" s="32">
        <f>IF(Mecze[[#This Row],[OB]]=0,0,Mecze[[#This Row],[OB]]/Mecze[[#This Row],[CZAS]])</f>
        <v>0</v>
      </c>
      <c r="R2462" s="32">
        <f>IF(Mecze[[#This Row],[BR]]=0,0,Mecze[[#This Row],[BR]]/Mecze[[#This Row],[CZAS]])</f>
        <v>0</v>
      </c>
      <c r="S2462" s="44">
        <f>IF(Mecze[[#This Row],[Role]]="BR",SUMPRODUCT(Mecze[[#This Row],[/PR:90]:[/BR:90]],Brudnopis!$E$23:$J$23),0)</f>
        <v>0</v>
      </c>
      <c r="T2462" s="44">
        <f>IF(Mecze[[#This Row],[Role]]&lt;&gt;"BR",SUMPRODUCT(Mecze[[#This Row],[/PR:90]:[/BR:90]],Brudnopis!$E$24:$J$24),0)</f>
        <v>0.13020833333333334</v>
      </c>
      <c r="U2462" s="44">
        <f>IF(Mecze[[#This Row],[Role]]&lt;&gt;"BR",SUMPRODUCT(Mecze[[#This Row],[/PR:90]:[/BR:90]],Brudnopis!$E$25:$J$25),0)</f>
        <v>0.13541666666666666</v>
      </c>
      <c r="V2462" s="44">
        <f>IF(Mecze[[#This Row],[Role]]&lt;&gt;"BR",SUMPRODUCT(Mecze[[#This Row],[/PR:90]:[/BR:90]],Brudnopis!$E$26:$J$26),0)</f>
        <v>0.125</v>
      </c>
      <c r="W2462" s="44">
        <f>IF(Mecze[[#This Row],[Role]]&lt;&gt;"BR",SUMPRODUCT(Mecze[[#This Row],[/PR:90]:[/BR:90]],Brudnopis!$E$27:$J$27),0)</f>
        <v>0.12239583333333334</v>
      </c>
      <c r="X2462" s="44">
        <f>IF(Mecze[[#This Row],[Role]]&lt;&gt;"BR",SUMPRODUCT(Mecze[[#This Row],[/PR:90]:[/BR:90]],Brudnopis!$E$28:$J$28),0)</f>
        <v>0.125</v>
      </c>
      <c r="Y2462" s="35">
        <f>IF(Mecze[[#This Row],[Role]]="BR",Mecze[[#This Row],[/OB:90]]+Mecze[[#This Row],[/PC:90]],SUM(Mecze[[#This Row],[/PR:90]:[/BR:90]]))</f>
        <v>0.125</v>
      </c>
      <c r="Z2462" s="35">
        <f>IF(Mecze[[#This Row],[KC]]=0,SUM(Mecze[[#This Row],[/BRI]:[/NPI]]),SUM(Mecze[[#This Row],[/BRI]:[/NPI]])*0.6)</f>
        <v>0.63802083333333337</v>
      </c>
      <c r="AA2462" s="10">
        <f>IFERROR(Mecze[[#This Row],[BR]]/Mecze[[#This Row],[ST]],0)</f>
        <v>0</v>
      </c>
      <c r="AB2462">
        <f>ROUND(Mecze[[#This Row],[PD]]*Mecze[[#This Row],[%PC]],0)</f>
        <v>2</v>
      </c>
      <c r="AC2462">
        <f>ROUND(Mecze[[#This Row],[OD]]*Mecze[[#This Row],[%OU]],0)</f>
        <v>1</v>
      </c>
      <c r="AD2462" s="36" t="s">
        <v>273</v>
      </c>
      <c r="AE2462" s="36">
        <v>137</v>
      </c>
      <c r="AF2462" s="71">
        <v>5.03</v>
      </c>
      <c r="AG2462" s="37">
        <v>0</v>
      </c>
      <c r="AH2462" s="37">
        <v>0</v>
      </c>
      <c r="AI2462" s="37">
        <v>96</v>
      </c>
      <c r="AJ2462" s="37">
        <v>8</v>
      </c>
      <c r="AK2462" s="37" t="str">
        <f>VLOOKUP(Mecze[[#This Row],[Match ID]],Meczusie[Mecz]:Meczusie[RodzajMeczu],2,FALSE)</f>
        <v>Liga</v>
      </c>
    </row>
    <row r="2463" spans="1:37" x14ac:dyDescent="0.25">
      <c r="A2463" s="76">
        <v>8</v>
      </c>
      <c r="B2463" s="3" t="s">
        <v>314</v>
      </c>
      <c r="C2463" s="2" t="s">
        <v>165</v>
      </c>
      <c r="D2463" s="1">
        <v>1</v>
      </c>
      <c r="E2463" s="1">
        <v>11</v>
      </c>
      <c r="F2463" s="1">
        <v>10</v>
      </c>
      <c r="G2463" s="1">
        <v>5</v>
      </c>
      <c r="H2463" s="4">
        <v>0.6</v>
      </c>
      <c r="I2463" s="1">
        <v>2</v>
      </c>
      <c r="J2463" s="4">
        <v>0.5</v>
      </c>
      <c r="K2463" s="1">
        <v>0</v>
      </c>
      <c r="L2463" s="1">
        <v>0</v>
      </c>
      <c r="M2463" s="32">
        <f>IF(Mecze[[#This Row],[PR]]=0,0,Mecze[[#This Row],[PR]]/Mecze[[#This Row],[CZAS]])</f>
        <v>0</v>
      </c>
      <c r="N2463" s="32">
        <f>IF(Mecze[[#This Row],[OU]]=0,0,Mecze[[#This Row],[OU]]/Mecze[[#This Row],[CZAS]])</f>
        <v>1.0416666666666666E-2</v>
      </c>
      <c r="O2463" s="32">
        <f>IF(Mecze[[#This Row],[PC]]=0,0,Mecze[[#This Row],[PC]]/Mecze[[#This Row],[CZAS]])</f>
        <v>3.125E-2</v>
      </c>
      <c r="P2463" s="32">
        <f>IF(Mecze[[#This Row],[SC]]=0,0,Mecze[[#This Row],[SC]]/Mecze[[#This Row],[CZAS]])</f>
        <v>0.10416666666666667</v>
      </c>
      <c r="Q2463" s="32">
        <f>IF(Mecze[[#This Row],[OB]]=0,0,Mecze[[#This Row],[OB]]/Mecze[[#This Row],[CZAS]])</f>
        <v>0</v>
      </c>
      <c r="R2463" s="32">
        <f>IF(Mecze[[#This Row],[BR]]=0,0,Mecze[[#This Row],[BR]]/Mecze[[#This Row],[CZAS]])</f>
        <v>1.0416666666666666E-2</v>
      </c>
      <c r="S2463" s="44">
        <f>IF(Mecze[[#This Row],[Role]]="BR",SUMPRODUCT(Mecze[[#This Row],[/PR:90]:[/BR:90]],Brudnopis!$E$23:$J$23),0)</f>
        <v>0</v>
      </c>
      <c r="T2463" s="44">
        <f>IF(Mecze[[#This Row],[Role]]&lt;&gt;"BR",SUMPRODUCT(Mecze[[#This Row],[/PR:90]:[/BR:90]],Brudnopis!$E$24:$J$24),0)</f>
        <v>0.16666666666666669</v>
      </c>
      <c r="U2463" s="44">
        <f>IF(Mecze[[#This Row],[Role]]&lt;&gt;"BR",SUMPRODUCT(Mecze[[#This Row],[/PR:90]:[/BR:90]],Brudnopis!$E$25:$J$25),0)</f>
        <v>0.17708333333333334</v>
      </c>
      <c r="V2463" s="44">
        <f>IF(Mecze[[#This Row],[Role]]&lt;&gt;"BR",SUMPRODUCT(Mecze[[#This Row],[/PR:90]:[/BR:90]],Brudnopis!$E$26:$J$26),0)</f>
        <v>0.16666666666666669</v>
      </c>
      <c r="W2463" s="44">
        <f>IF(Mecze[[#This Row],[Role]]&lt;&gt;"BR",SUMPRODUCT(Mecze[[#This Row],[/PR:90]:[/BR:90]],Brudnopis!$E$27:$J$27),0)</f>
        <v>0.17968750000000003</v>
      </c>
      <c r="X2463" s="44">
        <f>IF(Mecze[[#This Row],[Role]]&lt;&gt;"BR",SUMPRODUCT(Mecze[[#This Row],[/PR:90]:[/BR:90]],Brudnopis!$E$28:$J$28),0)</f>
        <v>0.27083333333333337</v>
      </c>
      <c r="Y2463" s="35">
        <f>IF(Mecze[[#This Row],[Role]]="BR",Mecze[[#This Row],[/OB:90]]+Mecze[[#This Row],[/PC:90]],SUM(Mecze[[#This Row],[/PR:90]:[/BR:90]]))</f>
        <v>0.15625</v>
      </c>
      <c r="Z2463" s="35">
        <f>IF(Mecze[[#This Row],[KC]]=0,SUM(Mecze[[#This Row],[/BRI]:[/NPI]]),SUM(Mecze[[#This Row],[/BRI]:[/NPI]])*0.6)</f>
        <v>0.96093750000000011</v>
      </c>
      <c r="AA2463" s="10">
        <f>IFERROR(Mecze[[#This Row],[BR]]/Mecze[[#This Row],[ST]],0)</f>
        <v>9.0909090909090912E-2</v>
      </c>
      <c r="AB2463">
        <f>ROUND(Mecze[[#This Row],[PD]]*Mecze[[#This Row],[%PC]],0)</f>
        <v>3</v>
      </c>
      <c r="AC2463">
        <f>ROUND(Mecze[[#This Row],[OD]]*Mecze[[#This Row],[%OU]],0)</f>
        <v>1</v>
      </c>
      <c r="AD2463" s="36" t="s">
        <v>46</v>
      </c>
      <c r="AE2463" s="36">
        <v>137</v>
      </c>
      <c r="AF2463" s="71">
        <v>8.65</v>
      </c>
      <c r="AG2463" s="37">
        <v>1</v>
      </c>
      <c r="AH2463" s="37">
        <v>0</v>
      </c>
      <c r="AI2463" s="37">
        <v>96</v>
      </c>
      <c r="AJ2463" s="37">
        <v>8</v>
      </c>
      <c r="AK2463" s="37" t="str">
        <f>VLOOKUP(Mecze[[#This Row],[Match ID]],Meczusie[Mecz]:Meczusie[RodzajMeczu],2,FALSE)</f>
        <v>Liga</v>
      </c>
    </row>
    <row r="2464" spans="1:37" x14ac:dyDescent="0.25">
      <c r="A2464" s="76">
        <v>15</v>
      </c>
      <c r="B2464" s="3" t="s">
        <v>310</v>
      </c>
      <c r="C2464" s="2" t="s">
        <v>160</v>
      </c>
      <c r="D2464" s="1">
        <v>0</v>
      </c>
      <c r="E2464" s="1">
        <v>1</v>
      </c>
      <c r="F2464" s="1">
        <v>1</v>
      </c>
      <c r="G2464" s="1">
        <v>5</v>
      </c>
      <c r="H2464" s="4">
        <v>1</v>
      </c>
      <c r="I2464" s="1">
        <v>2</v>
      </c>
      <c r="J2464" s="4">
        <v>1</v>
      </c>
      <c r="K2464" s="1">
        <v>0</v>
      </c>
      <c r="L2464" s="1">
        <v>1</v>
      </c>
      <c r="M2464" s="32">
        <f>IF(Mecze[[#This Row],[PR]]=0,0,Mecze[[#This Row],[PR]]/Mecze[[#This Row],[CZAS]])</f>
        <v>5.8823529411764705E-2</v>
      </c>
      <c r="N2464" s="32">
        <f>IF(Mecze[[#This Row],[OU]]=0,0,Mecze[[#This Row],[OU]]/Mecze[[#This Row],[CZAS]])</f>
        <v>0.11764705882352941</v>
      </c>
      <c r="O2464" s="32">
        <f>IF(Mecze[[#This Row],[PC]]=0,0,Mecze[[#This Row],[PC]]/Mecze[[#This Row],[CZAS]])</f>
        <v>0.29411764705882354</v>
      </c>
      <c r="P2464" s="32">
        <f>IF(Mecze[[#This Row],[SC]]=0,0,Mecze[[#This Row],[SC]]/Mecze[[#This Row],[CZAS]])</f>
        <v>5.8823529411764705E-2</v>
      </c>
      <c r="Q2464" s="32">
        <f>IF(Mecze[[#This Row],[OB]]=0,0,Mecze[[#This Row],[OB]]/Mecze[[#This Row],[CZAS]])</f>
        <v>0</v>
      </c>
      <c r="R2464" s="32">
        <f>IF(Mecze[[#This Row],[BR]]=0,0,Mecze[[#This Row],[BR]]/Mecze[[#This Row],[CZAS]])</f>
        <v>0</v>
      </c>
      <c r="S2464" s="44">
        <f>IF(Mecze[[#This Row],[Role]]="BR",SUMPRODUCT(Mecze[[#This Row],[/PR:90]:[/BR:90]],Brudnopis!$E$23:$J$23),0)</f>
        <v>0</v>
      </c>
      <c r="T2464" s="44">
        <f>IF(Mecze[[#This Row],[Role]]&lt;&gt;"BR",SUMPRODUCT(Mecze[[#This Row],[/PR:90]:[/BR:90]],Brudnopis!$E$24:$J$24),0)</f>
        <v>0.58823529411764708</v>
      </c>
      <c r="U2464" s="44">
        <f>IF(Mecze[[#This Row],[Role]]&lt;&gt;"BR",SUMPRODUCT(Mecze[[#This Row],[/PR:90]:[/BR:90]],Brudnopis!$E$25:$J$25),0)</f>
        <v>0.67647058823529416</v>
      </c>
      <c r="V2464" s="44">
        <f>IF(Mecze[[#This Row],[Role]]&lt;&gt;"BR",SUMPRODUCT(Mecze[[#This Row],[/PR:90]:[/BR:90]],Brudnopis!$E$26:$J$26),0)</f>
        <v>0.52941176470588236</v>
      </c>
      <c r="W2464" s="44">
        <f>IF(Mecze[[#This Row],[Role]]&lt;&gt;"BR",SUMPRODUCT(Mecze[[#This Row],[/PR:90]:[/BR:90]],Brudnopis!$E$27:$J$27),0)</f>
        <v>0.63235294117647056</v>
      </c>
      <c r="X2464" s="44">
        <f>IF(Mecze[[#This Row],[Role]]&lt;&gt;"BR",SUMPRODUCT(Mecze[[#This Row],[/PR:90]:[/BR:90]],Brudnopis!$E$28:$J$28),0)</f>
        <v>0.41176470588235292</v>
      </c>
      <c r="Y2464" s="35">
        <f>IF(Mecze[[#This Row],[Role]]="BR",Mecze[[#This Row],[/OB:90]]+Mecze[[#This Row],[/PC:90]],SUM(Mecze[[#This Row],[/PR:90]:[/BR:90]]))</f>
        <v>0.52941176470588236</v>
      </c>
      <c r="Z2464" s="35">
        <f>IF(Mecze[[#This Row],[KC]]=0,SUM(Mecze[[#This Row],[/BRI]:[/NPI]]),SUM(Mecze[[#This Row],[/BRI]:[/NPI]])*0.6)</f>
        <v>2.8382352941176467</v>
      </c>
      <c r="AA2464" s="10">
        <f>IFERROR(Mecze[[#This Row],[BR]]/Mecze[[#This Row],[ST]],0)</f>
        <v>0</v>
      </c>
      <c r="AB2464">
        <f>ROUND(Mecze[[#This Row],[PD]]*Mecze[[#This Row],[%PC]],0)</f>
        <v>5</v>
      </c>
      <c r="AC2464">
        <f>ROUND(Mecze[[#This Row],[OD]]*Mecze[[#This Row],[%OU]],0)</f>
        <v>2</v>
      </c>
      <c r="AD2464" s="36" t="s">
        <v>67</v>
      </c>
      <c r="AE2464" s="36">
        <v>137</v>
      </c>
      <c r="AF2464" s="71">
        <v>8.61</v>
      </c>
      <c r="AG2464" s="37">
        <v>0</v>
      </c>
      <c r="AH2464" s="37">
        <v>0</v>
      </c>
      <c r="AI2464" s="37">
        <v>17</v>
      </c>
      <c r="AJ2464" s="37">
        <v>8</v>
      </c>
      <c r="AK2464" s="37" t="str">
        <f>VLOOKUP(Mecze[[#This Row],[Match ID]],Meczusie[Mecz]:Meczusie[RodzajMeczu],2,FALSE)</f>
        <v>Liga</v>
      </c>
    </row>
    <row r="2465" spans="1:37" x14ac:dyDescent="0.25">
      <c r="A2465" s="76">
        <v>71</v>
      </c>
      <c r="B2465" s="3" t="s">
        <v>429</v>
      </c>
      <c r="C2465" s="2" t="s">
        <v>160</v>
      </c>
      <c r="D2465" s="1">
        <v>0</v>
      </c>
      <c r="E2465" s="1">
        <v>0</v>
      </c>
      <c r="F2465" s="1">
        <v>0</v>
      </c>
      <c r="G2465" s="1">
        <v>3</v>
      </c>
      <c r="H2465" s="4">
        <v>1</v>
      </c>
      <c r="I2465" s="1">
        <v>0</v>
      </c>
      <c r="J2465" s="4"/>
      <c r="K2465" s="1">
        <v>0</v>
      </c>
      <c r="L2465" s="1">
        <v>1</v>
      </c>
      <c r="M2465" s="32">
        <f>IF(Mecze[[#This Row],[PR]]=0,0,Mecze[[#This Row],[PR]]/Mecze[[#This Row],[CZAS]])</f>
        <v>5.8823529411764705E-2</v>
      </c>
      <c r="N2465" s="32">
        <f>IF(Mecze[[#This Row],[OU]]=0,0,Mecze[[#This Row],[OU]]/Mecze[[#This Row],[CZAS]])</f>
        <v>0</v>
      </c>
      <c r="O2465" s="32">
        <f>IF(Mecze[[#This Row],[PC]]=0,0,Mecze[[#This Row],[PC]]/Mecze[[#This Row],[CZAS]])</f>
        <v>0.17647058823529413</v>
      </c>
      <c r="P2465" s="32">
        <f>IF(Mecze[[#This Row],[SC]]=0,0,Mecze[[#This Row],[SC]]/Mecze[[#This Row],[CZAS]])</f>
        <v>0</v>
      </c>
      <c r="Q2465" s="32">
        <f>IF(Mecze[[#This Row],[OB]]=0,0,Mecze[[#This Row],[OB]]/Mecze[[#This Row],[CZAS]])</f>
        <v>0</v>
      </c>
      <c r="R2465" s="32">
        <f>IF(Mecze[[#This Row],[BR]]=0,0,Mecze[[#This Row],[BR]]/Mecze[[#This Row],[CZAS]])</f>
        <v>0</v>
      </c>
      <c r="S2465" s="44">
        <f>IF(Mecze[[#This Row],[Role]]="BR",SUMPRODUCT(Mecze[[#This Row],[/PR:90]:[/BR:90]],Brudnopis!$E$23:$J$23),0)</f>
        <v>0</v>
      </c>
      <c r="T2465" s="44">
        <f>IF(Mecze[[#This Row],[Role]]&lt;&gt;"BR",SUMPRODUCT(Mecze[[#This Row],[/PR:90]:[/BR:90]],Brudnopis!$E$24:$J$24),0)</f>
        <v>0.23529411764705882</v>
      </c>
      <c r="U2465" s="44">
        <f>IF(Mecze[[#This Row],[Role]]&lt;&gt;"BR",SUMPRODUCT(Mecze[[#This Row],[/PR:90]:[/BR:90]],Brudnopis!$E$25:$J$25),0)</f>
        <v>0.3235294117647059</v>
      </c>
      <c r="V2465" s="44">
        <f>IF(Mecze[[#This Row],[Role]]&lt;&gt;"BR",SUMPRODUCT(Mecze[[#This Row],[/PR:90]:[/BR:90]],Brudnopis!$E$26:$J$26),0)</f>
        <v>0.23529411764705882</v>
      </c>
      <c r="W2465" s="44">
        <f>IF(Mecze[[#This Row],[Role]]&lt;&gt;"BR",SUMPRODUCT(Mecze[[#This Row],[/PR:90]:[/BR:90]],Brudnopis!$E$27:$J$27),0)</f>
        <v>0.30882352941176472</v>
      </c>
      <c r="X2465" s="44">
        <f>IF(Mecze[[#This Row],[Role]]&lt;&gt;"BR",SUMPRODUCT(Mecze[[#This Row],[/PR:90]:[/BR:90]],Brudnopis!$E$28:$J$28),0)</f>
        <v>0.17647058823529413</v>
      </c>
      <c r="Y2465" s="35">
        <f>IF(Mecze[[#This Row],[Role]]="BR",Mecze[[#This Row],[/OB:90]]+Mecze[[#This Row],[/PC:90]],SUM(Mecze[[#This Row],[/PR:90]:[/BR:90]]))</f>
        <v>0.23529411764705882</v>
      </c>
      <c r="Z2465" s="35">
        <f>IF(Mecze[[#This Row],[KC]]=0,SUM(Mecze[[#This Row],[/BRI]:[/NPI]]),SUM(Mecze[[#This Row],[/BRI]:[/NPI]])*0.6)</f>
        <v>1.2794117647058825</v>
      </c>
      <c r="AA2465" s="10">
        <f>IFERROR(Mecze[[#This Row],[BR]]/Mecze[[#This Row],[ST]],0)</f>
        <v>0</v>
      </c>
      <c r="AB2465">
        <f>ROUND(Mecze[[#This Row],[PD]]*Mecze[[#This Row],[%PC]],0)</f>
        <v>3</v>
      </c>
      <c r="AC2465">
        <f>ROUND(Mecze[[#This Row],[OD]]*Mecze[[#This Row],[%OU]],0)</f>
        <v>0</v>
      </c>
      <c r="AD2465" s="36" t="s">
        <v>41</v>
      </c>
      <c r="AE2465" s="36">
        <v>137</v>
      </c>
      <c r="AF2465" s="71">
        <v>5.05</v>
      </c>
      <c r="AG2465" s="37">
        <v>0</v>
      </c>
      <c r="AH2465" s="37">
        <v>0</v>
      </c>
      <c r="AI2465" s="37">
        <v>17</v>
      </c>
      <c r="AJ2465" s="37">
        <v>8</v>
      </c>
      <c r="AK2465" s="37" t="str">
        <f>VLOOKUP(Mecze[[#This Row],[Match ID]],Meczusie[Mecz]:Meczusie[RodzajMeczu],2,FALSE)</f>
        <v>Liga</v>
      </c>
    </row>
    <row r="2466" spans="1:37" x14ac:dyDescent="0.25">
      <c r="A2466" s="76">
        <v>68</v>
      </c>
      <c r="B2466" s="3" t="s">
        <v>416</v>
      </c>
      <c r="C2466" s="2" t="s">
        <v>165</v>
      </c>
      <c r="D2466" s="1">
        <v>0</v>
      </c>
      <c r="E2466" s="1">
        <v>0</v>
      </c>
      <c r="F2466" s="1">
        <v>0</v>
      </c>
      <c r="G2466" s="1">
        <v>3</v>
      </c>
      <c r="H2466" s="4">
        <v>1</v>
      </c>
      <c r="I2466" s="1">
        <v>1</v>
      </c>
      <c r="J2466" s="4">
        <v>0</v>
      </c>
      <c r="K2466" s="1">
        <v>0</v>
      </c>
      <c r="L2466" s="1">
        <v>0</v>
      </c>
      <c r="M2466" s="32">
        <f>IF(Mecze[[#This Row],[PR]]=0,0,Mecze[[#This Row],[PR]]/Mecze[[#This Row],[CZAS]])</f>
        <v>0</v>
      </c>
      <c r="N2466" s="32">
        <f>IF(Mecze[[#This Row],[OU]]=0,0,Mecze[[#This Row],[OU]]/Mecze[[#This Row],[CZAS]])</f>
        <v>0</v>
      </c>
      <c r="O2466" s="32">
        <f>IF(Mecze[[#This Row],[PC]]=0,0,Mecze[[#This Row],[PC]]/Mecze[[#This Row],[CZAS]])</f>
        <v>0.17647058823529413</v>
      </c>
      <c r="P2466" s="32">
        <f>IF(Mecze[[#This Row],[SC]]=0,0,Mecze[[#This Row],[SC]]/Mecze[[#This Row],[CZAS]])</f>
        <v>0</v>
      </c>
      <c r="Q2466" s="32">
        <f>IF(Mecze[[#This Row],[OB]]=0,0,Mecze[[#This Row],[OB]]/Mecze[[#This Row],[CZAS]])</f>
        <v>0</v>
      </c>
      <c r="R2466" s="32">
        <f>IF(Mecze[[#This Row],[BR]]=0,0,Mecze[[#This Row],[BR]]/Mecze[[#This Row],[CZAS]])</f>
        <v>0</v>
      </c>
      <c r="S2466" s="44">
        <f>IF(Mecze[[#This Row],[Role]]="BR",SUMPRODUCT(Mecze[[#This Row],[/PR:90]:[/BR:90]],Brudnopis!$E$23:$J$23),0)</f>
        <v>0</v>
      </c>
      <c r="T2466" s="44">
        <f>IF(Mecze[[#This Row],[Role]]&lt;&gt;"BR",SUMPRODUCT(Mecze[[#This Row],[/PR:90]:[/BR:90]],Brudnopis!$E$24:$J$24),0)</f>
        <v>0.17647058823529413</v>
      </c>
      <c r="U2466" s="44">
        <f>IF(Mecze[[#This Row],[Role]]&lt;&gt;"BR",SUMPRODUCT(Mecze[[#This Row],[/PR:90]:[/BR:90]],Brudnopis!$E$25:$J$25),0)</f>
        <v>0.26470588235294118</v>
      </c>
      <c r="V2466" s="44">
        <f>IF(Mecze[[#This Row],[Role]]&lt;&gt;"BR",SUMPRODUCT(Mecze[[#This Row],[/PR:90]:[/BR:90]],Brudnopis!$E$26:$J$26),0)</f>
        <v>0.17647058823529413</v>
      </c>
      <c r="W2466" s="44">
        <f>IF(Mecze[[#This Row],[Role]]&lt;&gt;"BR",SUMPRODUCT(Mecze[[#This Row],[/PR:90]:[/BR:90]],Brudnopis!$E$27:$J$27),0)</f>
        <v>0.26470588235294118</v>
      </c>
      <c r="X2466" s="44">
        <f>IF(Mecze[[#This Row],[Role]]&lt;&gt;"BR",SUMPRODUCT(Mecze[[#This Row],[/PR:90]:[/BR:90]],Brudnopis!$E$28:$J$28),0)</f>
        <v>0.17647058823529413</v>
      </c>
      <c r="Y2466" s="35">
        <f>IF(Mecze[[#This Row],[Role]]="BR",Mecze[[#This Row],[/OB:90]]+Mecze[[#This Row],[/PC:90]],SUM(Mecze[[#This Row],[/PR:90]:[/BR:90]]))</f>
        <v>0.17647058823529413</v>
      </c>
      <c r="Z2466" s="35">
        <f>IF(Mecze[[#This Row],[KC]]=0,SUM(Mecze[[#This Row],[/BRI]:[/NPI]]),SUM(Mecze[[#This Row],[/BRI]:[/NPI]])*0.6)</f>
        <v>1.0588235294117647</v>
      </c>
      <c r="AA2466" s="10">
        <f>IFERROR(Mecze[[#This Row],[BR]]/Mecze[[#This Row],[ST]],0)</f>
        <v>0</v>
      </c>
      <c r="AB2466">
        <f>ROUND(Mecze[[#This Row],[PD]]*Mecze[[#This Row],[%PC]],0)</f>
        <v>3</v>
      </c>
      <c r="AC2466">
        <f>ROUND(Mecze[[#This Row],[OD]]*Mecze[[#This Row],[%OU]],0)</f>
        <v>0</v>
      </c>
      <c r="AD2466" s="36" t="s">
        <v>272</v>
      </c>
      <c r="AE2466" s="36">
        <v>137</v>
      </c>
      <c r="AF2466" s="71">
        <v>1.72</v>
      </c>
      <c r="AG2466" s="37">
        <v>0</v>
      </c>
      <c r="AH2466" s="37">
        <v>0</v>
      </c>
      <c r="AI2466" s="37">
        <v>17</v>
      </c>
      <c r="AJ2466" s="37">
        <v>8</v>
      </c>
      <c r="AK2466" s="37" t="str">
        <f>VLOOKUP(Mecze[[#This Row],[Match ID]],Meczusie[Mecz]:Meczusie[RodzajMeczu],2,FALSE)</f>
        <v>Liga</v>
      </c>
    </row>
    <row r="2467" spans="1:37" x14ac:dyDescent="0.25">
      <c r="A2467" s="76">
        <v>208</v>
      </c>
      <c r="B2467" s="3" t="s">
        <v>436</v>
      </c>
      <c r="C2467" s="2" t="s">
        <v>155</v>
      </c>
      <c r="D2467" s="1">
        <v>0</v>
      </c>
      <c r="E2467" s="1">
        <v>0</v>
      </c>
      <c r="F2467" s="1">
        <v>0</v>
      </c>
      <c r="G2467" s="1">
        <v>2</v>
      </c>
      <c r="H2467" s="4">
        <v>1</v>
      </c>
      <c r="I2467" s="1">
        <v>0</v>
      </c>
      <c r="J2467" s="4"/>
      <c r="K2467" s="1">
        <v>0</v>
      </c>
      <c r="L2467" s="1">
        <v>0</v>
      </c>
      <c r="M2467" s="32">
        <f>IF(Mecze[[#This Row],[PR]]=0,0,Mecze[[#This Row],[PR]]/Mecze[[#This Row],[CZAS]])</f>
        <v>0</v>
      </c>
      <c r="N2467" s="32">
        <f>IF(Mecze[[#This Row],[OU]]=0,0,Mecze[[#This Row],[OU]]/Mecze[[#This Row],[CZAS]])</f>
        <v>0</v>
      </c>
      <c r="O2467" s="32">
        <f>IF(Mecze[[#This Row],[PC]]=0,0,Mecze[[#This Row],[PC]]/Mecze[[#This Row],[CZAS]])</f>
        <v>2.0833333333333332E-2</v>
      </c>
      <c r="P2467" s="32">
        <f>IF(Mecze[[#This Row],[SC]]=0,0,Mecze[[#This Row],[SC]]/Mecze[[#This Row],[CZAS]])</f>
        <v>0</v>
      </c>
      <c r="Q2467" s="32">
        <f>IF(Mecze[[#This Row],[OB]]=0,0,Mecze[[#This Row],[OB]]/Mecze[[#This Row],[CZAS]])</f>
        <v>0</v>
      </c>
      <c r="R2467" s="32">
        <f>IF(Mecze[[#This Row],[BR]]=0,0,Mecze[[#This Row],[BR]]/Mecze[[#This Row],[CZAS]])</f>
        <v>0</v>
      </c>
      <c r="S2467" s="44">
        <f>IF(Mecze[[#This Row],[Role]]="BR",SUMPRODUCT(Mecze[[#This Row],[/PR:90]:[/BR:90]],Brudnopis!$E$23:$J$23),0)</f>
        <v>6.25E-2</v>
      </c>
      <c r="T2467" s="44">
        <f>IF(Mecze[[#This Row],[Role]]&lt;&gt;"BR",SUMPRODUCT(Mecze[[#This Row],[/PR:90]:[/BR:90]],Brudnopis!$E$24:$J$24),0)</f>
        <v>0</v>
      </c>
      <c r="U2467" s="44">
        <f>IF(Mecze[[#This Row],[Role]]&lt;&gt;"BR",SUMPRODUCT(Mecze[[#This Row],[/PR:90]:[/BR:90]],Brudnopis!$E$25:$J$25),0)</f>
        <v>0</v>
      </c>
      <c r="V2467" s="44">
        <f>IF(Mecze[[#This Row],[Role]]&lt;&gt;"BR",SUMPRODUCT(Mecze[[#This Row],[/PR:90]:[/BR:90]],Brudnopis!$E$26:$J$26),0)</f>
        <v>0</v>
      </c>
      <c r="W2467" s="44">
        <f>IF(Mecze[[#This Row],[Role]]&lt;&gt;"BR",SUMPRODUCT(Mecze[[#This Row],[/PR:90]:[/BR:90]],Brudnopis!$E$27:$J$27),0)</f>
        <v>0</v>
      </c>
      <c r="X2467" s="44">
        <f>IF(Mecze[[#This Row],[Role]]&lt;&gt;"BR",SUMPRODUCT(Mecze[[#This Row],[/PR:90]:[/BR:90]],Brudnopis!$E$28:$J$28),0)</f>
        <v>0</v>
      </c>
      <c r="Y2467" s="35">
        <f>IF(Mecze[[#This Row],[Role]]="BR",Mecze[[#This Row],[/OB:90]]+Mecze[[#This Row],[/PC:90]],SUM(Mecze[[#This Row],[/PR:90]:[/BR:90]]))</f>
        <v>2.0833333333333332E-2</v>
      </c>
      <c r="Z2467" s="35">
        <f>IF(Mecze[[#This Row],[KC]]=0,SUM(Mecze[[#This Row],[/BRI]:[/NPI]]),SUM(Mecze[[#This Row],[/BRI]:[/NPI]])*0.6)</f>
        <v>6.25E-2</v>
      </c>
      <c r="AA2467" s="10">
        <f>IFERROR(Mecze[[#This Row],[BR]]/Mecze[[#This Row],[ST]],0)</f>
        <v>0</v>
      </c>
      <c r="AB2467">
        <f>ROUND(Mecze[[#This Row],[PD]]*Mecze[[#This Row],[%PC]],0)</f>
        <v>2</v>
      </c>
      <c r="AC2467">
        <f>ROUND(Mecze[[#This Row],[OD]]*Mecze[[#This Row],[%OU]],0)</f>
        <v>0</v>
      </c>
      <c r="AD2467" s="36" t="s">
        <v>40</v>
      </c>
      <c r="AE2467" s="36">
        <v>138</v>
      </c>
      <c r="AF2467" s="71">
        <v>7.04</v>
      </c>
      <c r="AG2467" s="37">
        <v>0</v>
      </c>
      <c r="AH2467" s="37">
        <v>0</v>
      </c>
      <c r="AI2467" s="37">
        <v>96</v>
      </c>
      <c r="AJ2467" s="37">
        <v>7</v>
      </c>
      <c r="AK2467" s="37" t="str">
        <f>VLOOKUP(Mecze[[#This Row],[Match ID]],Meczusie[Mecz]:Meczusie[RodzajMeczu],2,FALSE)</f>
        <v>Liga</v>
      </c>
    </row>
    <row r="2468" spans="1:37" x14ac:dyDescent="0.25">
      <c r="A2468" s="76">
        <v>204</v>
      </c>
      <c r="B2468" s="3" t="s">
        <v>334</v>
      </c>
      <c r="C2468" s="2" t="s">
        <v>157</v>
      </c>
      <c r="D2468" s="1">
        <v>0</v>
      </c>
      <c r="E2468" s="1">
        <v>2</v>
      </c>
      <c r="F2468" s="1">
        <v>2</v>
      </c>
      <c r="G2468" s="1">
        <v>10</v>
      </c>
      <c r="H2468" s="4">
        <v>1</v>
      </c>
      <c r="I2468" s="1">
        <v>1</v>
      </c>
      <c r="J2468" s="4">
        <v>0</v>
      </c>
      <c r="K2468" s="1">
        <v>0</v>
      </c>
      <c r="L2468" s="1">
        <v>6</v>
      </c>
      <c r="M2468" s="32">
        <f>IF(Mecze[[#This Row],[PR]]=0,0,Mecze[[#This Row],[PR]]/Mecze[[#This Row],[CZAS]])</f>
        <v>6.25E-2</v>
      </c>
      <c r="N2468" s="32">
        <f>IF(Mecze[[#This Row],[OU]]=0,0,Mecze[[#This Row],[OU]]/Mecze[[#This Row],[CZAS]])</f>
        <v>0</v>
      </c>
      <c r="O2468" s="32">
        <f>IF(Mecze[[#This Row],[PC]]=0,0,Mecze[[#This Row],[PC]]/Mecze[[#This Row],[CZAS]])</f>
        <v>0.10416666666666667</v>
      </c>
      <c r="P2468" s="32">
        <f>IF(Mecze[[#This Row],[SC]]=0,0,Mecze[[#This Row],[SC]]/Mecze[[#This Row],[CZAS]])</f>
        <v>2.0833333333333332E-2</v>
      </c>
      <c r="Q2468" s="32">
        <f>IF(Mecze[[#This Row],[OB]]=0,0,Mecze[[#This Row],[OB]]/Mecze[[#This Row],[CZAS]])</f>
        <v>0</v>
      </c>
      <c r="R2468" s="32">
        <f>IF(Mecze[[#This Row],[BR]]=0,0,Mecze[[#This Row],[BR]]/Mecze[[#This Row],[CZAS]])</f>
        <v>0</v>
      </c>
      <c r="S2468" s="44">
        <f>IF(Mecze[[#This Row],[Role]]="BR",SUMPRODUCT(Mecze[[#This Row],[/PR:90]:[/BR:90]],Brudnopis!$E$23:$J$23),0)</f>
        <v>0</v>
      </c>
      <c r="T2468" s="44">
        <f>IF(Mecze[[#This Row],[Role]]&lt;&gt;"BR",SUMPRODUCT(Mecze[[#This Row],[/PR:90]:[/BR:90]],Brudnopis!$E$24:$J$24),0)</f>
        <v>0.18750000000000003</v>
      </c>
      <c r="U2468" s="44">
        <f>IF(Mecze[[#This Row],[Role]]&lt;&gt;"BR",SUMPRODUCT(Mecze[[#This Row],[/PR:90]:[/BR:90]],Brudnopis!$E$25:$J$25),0)</f>
        <v>0.23958333333333334</v>
      </c>
      <c r="V2468" s="44">
        <f>IF(Mecze[[#This Row],[Role]]&lt;&gt;"BR",SUMPRODUCT(Mecze[[#This Row],[/PR:90]:[/BR:90]],Brudnopis!$E$26:$J$26),0)</f>
        <v>0.18750000000000003</v>
      </c>
      <c r="W2468" s="44">
        <f>IF(Mecze[[#This Row],[Role]]&lt;&gt;"BR",SUMPRODUCT(Mecze[[#This Row],[/PR:90]:[/BR:90]],Brudnopis!$E$27:$J$27),0)</f>
        <v>0.22395833333333334</v>
      </c>
      <c r="X2468" s="44">
        <f>IF(Mecze[[#This Row],[Role]]&lt;&gt;"BR",SUMPRODUCT(Mecze[[#This Row],[/PR:90]:[/BR:90]],Brudnopis!$E$28:$J$28),0)</f>
        <v>0.14583333333333334</v>
      </c>
      <c r="Y2468" s="35">
        <f>IF(Mecze[[#This Row],[Role]]="BR",Mecze[[#This Row],[/OB:90]]+Mecze[[#This Row],[/PC:90]],SUM(Mecze[[#This Row],[/PR:90]:[/BR:90]]))</f>
        <v>0.18750000000000003</v>
      </c>
      <c r="Z2468" s="35">
        <f>IF(Mecze[[#This Row],[KC]]=0,SUM(Mecze[[#This Row],[/BRI]:[/NPI]]),SUM(Mecze[[#This Row],[/BRI]:[/NPI]])*0.6)</f>
        <v>0.98437500000000011</v>
      </c>
      <c r="AA2468" s="10">
        <f>IFERROR(Mecze[[#This Row],[BR]]/Mecze[[#This Row],[ST]],0)</f>
        <v>0</v>
      </c>
      <c r="AB2468">
        <f>ROUND(Mecze[[#This Row],[PD]]*Mecze[[#This Row],[%PC]],0)</f>
        <v>10</v>
      </c>
      <c r="AC2468">
        <f>ROUND(Mecze[[#This Row],[OD]]*Mecze[[#This Row],[%OU]],0)</f>
        <v>0</v>
      </c>
      <c r="AD2468" s="36" t="s">
        <v>47</v>
      </c>
      <c r="AE2468" s="36">
        <v>138</v>
      </c>
      <c r="AF2468" s="71">
        <v>8.3000000000000007</v>
      </c>
      <c r="AG2468" s="37">
        <v>0</v>
      </c>
      <c r="AH2468" s="37">
        <v>0</v>
      </c>
      <c r="AI2468" s="37">
        <v>96</v>
      </c>
      <c r="AJ2468" s="37">
        <v>7</v>
      </c>
      <c r="AK2468" s="37" t="str">
        <f>VLOOKUP(Mecze[[#This Row],[Match ID]],Meczusie[Mecz]:Meczusie[RodzajMeczu],2,FALSE)</f>
        <v>Liga</v>
      </c>
    </row>
    <row r="2469" spans="1:37" x14ac:dyDescent="0.25">
      <c r="A2469" s="76">
        <v>156</v>
      </c>
      <c r="B2469" s="3" t="s">
        <v>443</v>
      </c>
      <c r="C2469" s="2" t="s">
        <v>157</v>
      </c>
      <c r="D2469" s="1">
        <v>0</v>
      </c>
      <c r="E2469" s="1">
        <v>0</v>
      </c>
      <c r="F2469" s="1">
        <v>0</v>
      </c>
      <c r="G2469" s="1">
        <v>5</v>
      </c>
      <c r="H2469" s="4">
        <v>0.6</v>
      </c>
      <c r="I2469" s="1">
        <v>1</v>
      </c>
      <c r="J2469" s="4">
        <v>0</v>
      </c>
      <c r="K2469" s="1">
        <v>0</v>
      </c>
      <c r="L2469" s="1">
        <v>4</v>
      </c>
      <c r="M2469" s="32">
        <f>IF(Mecze[[#This Row],[PR]]=0,0,Mecze[[#This Row],[PR]]/Mecze[[#This Row],[CZAS]])</f>
        <v>4.1666666666666664E-2</v>
      </c>
      <c r="N2469" s="32">
        <f>IF(Mecze[[#This Row],[OU]]=0,0,Mecze[[#This Row],[OU]]/Mecze[[#This Row],[CZAS]])</f>
        <v>0</v>
      </c>
      <c r="O2469" s="32">
        <f>IF(Mecze[[#This Row],[PC]]=0,0,Mecze[[#This Row],[PC]]/Mecze[[#This Row],[CZAS]])</f>
        <v>3.125E-2</v>
      </c>
      <c r="P2469" s="32">
        <f>IF(Mecze[[#This Row],[SC]]=0,0,Mecze[[#This Row],[SC]]/Mecze[[#This Row],[CZAS]])</f>
        <v>0</v>
      </c>
      <c r="Q2469" s="32">
        <f>IF(Mecze[[#This Row],[OB]]=0,0,Mecze[[#This Row],[OB]]/Mecze[[#This Row],[CZAS]])</f>
        <v>0</v>
      </c>
      <c r="R2469" s="32">
        <f>IF(Mecze[[#This Row],[BR]]=0,0,Mecze[[#This Row],[BR]]/Mecze[[#This Row],[CZAS]])</f>
        <v>0</v>
      </c>
      <c r="S2469" s="44">
        <f>IF(Mecze[[#This Row],[Role]]="BR",SUMPRODUCT(Mecze[[#This Row],[/PR:90]:[/BR:90]],Brudnopis!$E$23:$J$23),0)</f>
        <v>0</v>
      </c>
      <c r="T2469" s="44">
        <f>IF(Mecze[[#This Row],[Role]]&lt;&gt;"BR",SUMPRODUCT(Mecze[[#This Row],[/PR:90]:[/BR:90]],Brudnopis!$E$24:$J$24),0)</f>
        <v>7.2916666666666657E-2</v>
      </c>
      <c r="U2469" s="44">
        <f>IF(Mecze[[#This Row],[Role]]&lt;&gt;"BR",SUMPRODUCT(Mecze[[#This Row],[/PR:90]:[/BR:90]],Brudnopis!$E$25:$J$25),0)</f>
        <v>8.8541666666666657E-2</v>
      </c>
      <c r="V2469" s="44">
        <f>IF(Mecze[[#This Row],[Role]]&lt;&gt;"BR",SUMPRODUCT(Mecze[[#This Row],[/PR:90]:[/BR:90]],Brudnopis!$E$26:$J$26),0)</f>
        <v>7.2916666666666657E-2</v>
      </c>
      <c r="W2469" s="44">
        <f>IF(Mecze[[#This Row],[Role]]&lt;&gt;"BR",SUMPRODUCT(Mecze[[#This Row],[/PR:90]:[/BR:90]],Brudnopis!$E$27:$J$27),0)</f>
        <v>7.8125E-2</v>
      </c>
      <c r="X2469" s="44">
        <f>IF(Mecze[[#This Row],[Role]]&lt;&gt;"BR",SUMPRODUCT(Mecze[[#This Row],[/PR:90]:[/BR:90]],Brudnopis!$E$28:$J$28),0)</f>
        <v>3.125E-2</v>
      </c>
      <c r="Y2469" s="35">
        <f>IF(Mecze[[#This Row],[Role]]="BR",Mecze[[#This Row],[/OB:90]]+Mecze[[#This Row],[/PC:90]],SUM(Mecze[[#This Row],[/PR:90]:[/BR:90]]))</f>
        <v>7.2916666666666657E-2</v>
      </c>
      <c r="Z2469" s="35">
        <f>IF(Mecze[[#This Row],[KC]]=0,SUM(Mecze[[#This Row],[/BRI]:[/NPI]]),SUM(Mecze[[#This Row],[/BRI]:[/NPI]])*0.6)</f>
        <v>0.34375</v>
      </c>
      <c r="AA2469" s="10">
        <f>IFERROR(Mecze[[#This Row],[BR]]/Mecze[[#This Row],[ST]],0)</f>
        <v>0</v>
      </c>
      <c r="AB2469">
        <f>ROUND(Mecze[[#This Row],[PD]]*Mecze[[#This Row],[%PC]],0)</f>
        <v>3</v>
      </c>
      <c r="AC2469">
        <f>ROUND(Mecze[[#This Row],[OD]]*Mecze[[#This Row],[%OU]],0)</f>
        <v>0</v>
      </c>
      <c r="AD2469" s="36" t="s">
        <v>168</v>
      </c>
      <c r="AE2469" s="36">
        <v>138</v>
      </c>
      <c r="AF2469" s="71">
        <v>7.88</v>
      </c>
      <c r="AG2469" s="37">
        <v>0</v>
      </c>
      <c r="AH2469" s="37">
        <v>0</v>
      </c>
      <c r="AI2469" s="37">
        <v>96</v>
      </c>
      <c r="AJ2469" s="37">
        <v>7</v>
      </c>
      <c r="AK2469" s="37" t="str">
        <f>VLOOKUP(Mecze[[#This Row],[Match ID]],Meczusie[Mecz]:Meczusie[RodzajMeczu],2,FALSE)</f>
        <v>Liga</v>
      </c>
    </row>
    <row r="2470" spans="1:37" x14ac:dyDescent="0.25">
      <c r="A2470" s="76">
        <v>150</v>
      </c>
      <c r="B2470" s="3" t="s">
        <v>335</v>
      </c>
      <c r="C2470" s="2" t="s">
        <v>157</v>
      </c>
      <c r="D2470" s="1">
        <v>0</v>
      </c>
      <c r="E2470" s="1">
        <v>0</v>
      </c>
      <c r="F2470" s="1">
        <v>0</v>
      </c>
      <c r="G2470" s="1">
        <v>4</v>
      </c>
      <c r="H2470" s="4">
        <v>1</v>
      </c>
      <c r="I2470" s="1">
        <v>1</v>
      </c>
      <c r="J2470" s="4">
        <v>0</v>
      </c>
      <c r="K2470" s="1">
        <v>0</v>
      </c>
      <c r="L2470" s="1">
        <v>7</v>
      </c>
      <c r="M2470" s="32">
        <f>IF(Mecze[[#This Row],[PR]]=0,0,Mecze[[#This Row],[PR]]/Mecze[[#This Row],[CZAS]])</f>
        <v>7.2916666666666671E-2</v>
      </c>
      <c r="N2470" s="32">
        <f>IF(Mecze[[#This Row],[OU]]=0,0,Mecze[[#This Row],[OU]]/Mecze[[#This Row],[CZAS]])</f>
        <v>0</v>
      </c>
      <c r="O2470" s="32">
        <f>IF(Mecze[[#This Row],[PC]]=0,0,Mecze[[#This Row],[PC]]/Mecze[[#This Row],[CZAS]])</f>
        <v>4.1666666666666664E-2</v>
      </c>
      <c r="P2470" s="32">
        <f>IF(Mecze[[#This Row],[SC]]=0,0,Mecze[[#This Row],[SC]]/Mecze[[#This Row],[CZAS]])</f>
        <v>0</v>
      </c>
      <c r="Q2470" s="32">
        <f>IF(Mecze[[#This Row],[OB]]=0,0,Mecze[[#This Row],[OB]]/Mecze[[#This Row],[CZAS]])</f>
        <v>0</v>
      </c>
      <c r="R2470" s="32">
        <f>IF(Mecze[[#This Row],[BR]]=0,0,Mecze[[#This Row],[BR]]/Mecze[[#This Row],[CZAS]])</f>
        <v>0</v>
      </c>
      <c r="S2470" s="44">
        <f>IF(Mecze[[#This Row],[Role]]="BR",SUMPRODUCT(Mecze[[#This Row],[/PR:90]:[/BR:90]],Brudnopis!$E$23:$J$23),0)</f>
        <v>0</v>
      </c>
      <c r="T2470" s="44">
        <f>IF(Mecze[[#This Row],[Role]]&lt;&gt;"BR",SUMPRODUCT(Mecze[[#This Row],[/PR:90]:[/BR:90]],Brudnopis!$E$24:$J$24),0)</f>
        <v>0.11458333333333334</v>
      </c>
      <c r="U2470" s="44">
        <f>IF(Mecze[[#This Row],[Role]]&lt;&gt;"BR",SUMPRODUCT(Mecze[[#This Row],[/PR:90]:[/BR:90]],Brudnopis!$E$25:$J$25),0)</f>
        <v>0.13541666666666669</v>
      </c>
      <c r="V2470" s="44">
        <f>IF(Mecze[[#This Row],[Role]]&lt;&gt;"BR",SUMPRODUCT(Mecze[[#This Row],[/PR:90]:[/BR:90]],Brudnopis!$E$26:$J$26),0)</f>
        <v>0.11458333333333334</v>
      </c>
      <c r="W2470" s="44">
        <f>IF(Mecze[[#This Row],[Role]]&lt;&gt;"BR",SUMPRODUCT(Mecze[[#This Row],[/PR:90]:[/BR:90]],Brudnopis!$E$27:$J$27),0)</f>
        <v>0.1171875</v>
      </c>
      <c r="X2470" s="44">
        <f>IF(Mecze[[#This Row],[Role]]&lt;&gt;"BR",SUMPRODUCT(Mecze[[#This Row],[/PR:90]:[/BR:90]],Brudnopis!$E$28:$J$28),0)</f>
        <v>4.1666666666666664E-2</v>
      </c>
      <c r="Y2470" s="35">
        <f>IF(Mecze[[#This Row],[Role]]="BR",Mecze[[#This Row],[/OB:90]]+Mecze[[#This Row],[/PC:90]],SUM(Mecze[[#This Row],[/PR:90]:[/BR:90]]))</f>
        <v>0.11458333333333334</v>
      </c>
      <c r="Z2470" s="35">
        <f>IF(Mecze[[#This Row],[KC]]=0,SUM(Mecze[[#This Row],[/BRI]:[/NPI]]),SUM(Mecze[[#This Row],[/BRI]:[/NPI]])*0.6)</f>
        <v>0.5234375</v>
      </c>
      <c r="AA2470" s="10">
        <f>IFERROR(Mecze[[#This Row],[BR]]/Mecze[[#This Row],[ST]],0)</f>
        <v>0</v>
      </c>
      <c r="AB2470">
        <f>ROUND(Mecze[[#This Row],[PD]]*Mecze[[#This Row],[%PC]],0)</f>
        <v>4</v>
      </c>
      <c r="AC2470">
        <f>ROUND(Mecze[[#This Row],[OD]]*Mecze[[#This Row],[%OU]],0)</f>
        <v>0</v>
      </c>
      <c r="AD2470" s="36" t="s">
        <v>167</v>
      </c>
      <c r="AE2470" s="36">
        <v>138</v>
      </c>
      <c r="AF2470" s="71">
        <v>8.51</v>
      </c>
      <c r="AG2470" s="37">
        <v>0</v>
      </c>
      <c r="AH2470" s="37">
        <v>0</v>
      </c>
      <c r="AI2470" s="37">
        <v>96</v>
      </c>
      <c r="AJ2470" s="37">
        <v>7</v>
      </c>
      <c r="AK2470" s="37" t="str">
        <f>VLOOKUP(Mecze[[#This Row],[Match ID]],Meczusie[Mecz]:Meczusie[RodzajMeczu],2,FALSE)</f>
        <v>Liga</v>
      </c>
    </row>
    <row r="2471" spans="1:37" x14ac:dyDescent="0.25">
      <c r="A2471" s="76">
        <v>151</v>
      </c>
      <c r="B2471" s="3" t="s">
        <v>337</v>
      </c>
      <c r="C2471" s="2" t="s">
        <v>160</v>
      </c>
      <c r="D2471" s="1">
        <v>0</v>
      </c>
      <c r="E2471" s="1">
        <v>0</v>
      </c>
      <c r="F2471" s="1">
        <v>0</v>
      </c>
      <c r="G2471" s="1">
        <v>16</v>
      </c>
      <c r="H2471" s="4">
        <v>0.56000000000000005</v>
      </c>
      <c r="I2471" s="1">
        <v>4</v>
      </c>
      <c r="J2471" s="4">
        <v>0.75</v>
      </c>
      <c r="K2471" s="1">
        <v>0</v>
      </c>
      <c r="L2471" s="1">
        <v>6</v>
      </c>
      <c r="M2471" s="32">
        <f>IF(Mecze[[#This Row],[PR]]=0,0,Mecze[[#This Row],[PR]]/Mecze[[#This Row],[CZAS]])</f>
        <v>6.25E-2</v>
      </c>
      <c r="N2471" s="32">
        <f>IF(Mecze[[#This Row],[OU]]=0,0,Mecze[[#This Row],[OU]]/Mecze[[#This Row],[CZAS]])</f>
        <v>3.125E-2</v>
      </c>
      <c r="O2471" s="32">
        <f>IF(Mecze[[#This Row],[PC]]=0,0,Mecze[[#This Row],[PC]]/Mecze[[#This Row],[CZAS]])</f>
        <v>9.375E-2</v>
      </c>
      <c r="P2471" s="32">
        <f>IF(Mecze[[#This Row],[SC]]=0,0,Mecze[[#This Row],[SC]]/Mecze[[#This Row],[CZAS]])</f>
        <v>0</v>
      </c>
      <c r="Q2471" s="32">
        <f>IF(Mecze[[#This Row],[OB]]=0,0,Mecze[[#This Row],[OB]]/Mecze[[#This Row],[CZAS]])</f>
        <v>0</v>
      </c>
      <c r="R2471" s="32">
        <f>IF(Mecze[[#This Row],[BR]]=0,0,Mecze[[#This Row],[BR]]/Mecze[[#This Row],[CZAS]])</f>
        <v>0</v>
      </c>
      <c r="S2471" s="44">
        <f>IF(Mecze[[#This Row],[Role]]="BR",SUMPRODUCT(Mecze[[#This Row],[/PR:90]:[/BR:90]],Brudnopis!$E$23:$J$23),0)</f>
        <v>0</v>
      </c>
      <c r="T2471" s="44">
        <f>IF(Mecze[[#This Row],[Role]]&lt;&gt;"BR",SUMPRODUCT(Mecze[[#This Row],[/PR:90]:[/BR:90]],Brudnopis!$E$24:$J$24),0)</f>
        <v>0.203125</v>
      </c>
      <c r="U2471" s="44">
        <f>IF(Mecze[[#This Row],[Role]]&lt;&gt;"BR",SUMPRODUCT(Mecze[[#This Row],[/PR:90]:[/BR:90]],Brudnopis!$E$25:$J$25),0)</f>
        <v>0.234375</v>
      </c>
      <c r="V2471" s="44">
        <f>IF(Mecze[[#This Row],[Role]]&lt;&gt;"BR",SUMPRODUCT(Mecze[[#This Row],[/PR:90]:[/BR:90]],Brudnopis!$E$26:$J$26),0)</f>
        <v>0.1875</v>
      </c>
      <c r="W2471" s="44">
        <f>IF(Mecze[[#This Row],[Role]]&lt;&gt;"BR",SUMPRODUCT(Mecze[[#This Row],[/PR:90]:[/BR:90]],Brudnopis!$E$27:$J$27),0)</f>
        <v>0.2109375</v>
      </c>
      <c r="X2471" s="44">
        <f>IF(Mecze[[#This Row],[Role]]&lt;&gt;"BR",SUMPRODUCT(Mecze[[#This Row],[/PR:90]:[/BR:90]],Brudnopis!$E$28:$J$28),0)</f>
        <v>9.375E-2</v>
      </c>
      <c r="Y2471" s="35">
        <f>IF(Mecze[[#This Row],[Role]]="BR",Mecze[[#This Row],[/OB:90]]+Mecze[[#This Row],[/PC:90]],SUM(Mecze[[#This Row],[/PR:90]:[/BR:90]]))</f>
        <v>0.1875</v>
      </c>
      <c r="Z2471" s="35">
        <f>IF(Mecze[[#This Row],[KC]]=0,SUM(Mecze[[#This Row],[/BRI]:[/NPI]]),SUM(Mecze[[#This Row],[/BRI]:[/NPI]])*0.6)</f>
        <v>0.9296875</v>
      </c>
      <c r="AA2471" s="10">
        <f>IFERROR(Mecze[[#This Row],[BR]]/Mecze[[#This Row],[ST]],0)</f>
        <v>0</v>
      </c>
      <c r="AB2471">
        <f>ROUND(Mecze[[#This Row],[PD]]*Mecze[[#This Row],[%PC]],0)</f>
        <v>9</v>
      </c>
      <c r="AC2471">
        <f>ROUND(Mecze[[#This Row],[OD]]*Mecze[[#This Row],[%OU]],0)</f>
        <v>3</v>
      </c>
      <c r="AD2471" s="36" t="s">
        <v>41</v>
      </c>
      <c r="AE2471" s="36">
        <v>138</v>
      </c>
      <c r="AF2471" s="71">
        <v>8.4</v>
      </c>
      <c r="AG2471" s="37">
        <v>1</v>
      </c>
      <c r="AH2471" s="37">
        <v>0</v>
      </c>
      <c r="AI2471" s="37">
        <v>96</v>
      </c>
      <c r="AJ2471" s="37">
        <v>7</v>
      </c>
      <c r="AK2471" s="37" t="str">
        <f>VLOOKUP(Mecze[[#This Row],[Match ID]],Meczusie[Mecz]:Meczusie[RodzajMeczu],2,FALSE)</f>
        <v>Liga</v>
      </c>
    </row>
    <row r="2472" spans="1:37" x14ac:dyDescent="0.25">
      <c r="A2472" s="76">
        <v>109</v>
      </c>
      <c r="B2472" s="3" t="s">
        <v>404</v>
      </c>
      <c r="C2472" s="2" t="s">
        <v>160</v>
      </c>
      <c r="D2472" s="1">
        <v>0</v>
      </c>
      <c r="E2472" s="1">
        <v>0</v>
      </c>
      <c r="F2472" s="1">
        <v>0</v>
      </c>
      <c r="G2472" s="1">
        <v>14</v>
      </c>
      <c r="H2472" s="4">
        <v>0.64</v>
      </c>
      <c r="I2472" s="1">
        <v>3</v>
      </c>
      <c r="J2472" s="4">
        <v>0.67</v>
      </c>
      <c r="K2472" s="1">
        <v>0</v>
      </c>
      <c r="L2472" s="1">
        <v>9</v>
      </c>
      <c r="M2472" s="32">
        <f>IF(Mecze[[#This Row],[PR]]=0,0,Mecze[[#This Row],[PR]]/Mecze[[#This Row],[CZAS]])</f>
        <v>9.375E-2</v>
      </c>
      <c r="N2472" s="32">
        <f>IF(Mecze[[#This Row],[OU]]=0,0,Mecze[[#This Row],[OU]]/Mecze[[#This Row],[CZAS]])</f>
        <v>2.0833333333333332E-2</v>
      </c>
      <c r="O2472" s="32">
        <f>IF(Mecze[[#This Row],[PC]]=0,0,Mecze[[#This Row],[PC]]/Mecze[[#This Row],[CZAS]])</f>
        <v>9.375E-2</v>
      </c>
      <c r="P2472" s="32">
        <f>IF(Mecze[[#This Row],[SC]]=0,0,Mecze[[#This Row],[SC]]/Mecze[[#This Row],[CZAS]])</f>
        <v>0</v>
      </c>
      <c r="Q2472" s="32">
        <f>IF(Mecze[[#This Row],[OB]]=0,0,Mecze[[#This Row],[OB]]/Mecze[[#This Row],[CZAS]])</f>
        <v>0</v>
      </c>
      <c r="R2472" s="32">
        <f>IF(Mecze[[#This Row],[BR]]=0,0,Mecze[[#This Row],[BR]]/Mecze[[#This Row],[CZAS]])</f>
        <v>0</v>
      </c>
      <c r="S2472" s="44">
        <f>IF(Mecze[[#This Row],[Role]]="BR",SUMPRODUCT(Mecze[[#This Row],[/PR:90]:[/BR:90]],Brudnopis!$E$23:$J$23),0)</f>
        <v>0</v>
      </c>
      <c r="T2472" s="44">
        <f>IF(Mecze[[#This Row],[Role]]&lt;&gt;"BR",SUMPRODUCT(Mecze[[#This Row],[/PR:90]:[/BR:90]],Brudnopis!$E$24:$J$24),0)</f>
        <v>0.21875</v>
      </c>
      <c r="U2472" s="44">
        <f>IF(Mecze[[#This Row],[Role]]&lt;&gt;"BR",SUMPRODUCT(Mecze[[#This Row],[/PR:90]:[/BR:90]],Brudnopis!$E$25:$J$25),0)</f>
        <v>0.25520833333333331</v>
      </c>
      <c r="V2472" s="44">
        <f>IF(Mecze[[#This Row],[Role]]&lt;&gt;"BR",SUMPRODUCT(Mecze[[#This Row],[/PR:90]:[/BR:90]],Brudnopis!$E$26:$J$26),0)</f>
        <v>0.20833333333333331</v>
      </c>
      <c r="W2472" s="44">
        <f>IF(Mecze[[#This Row],[Role]]&lt;&gt;"BR",SUMPRODUCT(Mecze[[#This Row],[/PR:90]:[/BR:90]],Brudnopis!$E$27:$J$27),0)</f>
        <v>0.2265625</v>
      </c>
      <c r="X2472" s="44">
        <f>IF(Mecze[[#This Row],[Role]]&lt;&gt;"BR",SUMPRODUCT(Mecze[[#This Row],[/PR:90]:[/BR:90]],Brudnopis!$E$28:$J$28),0)</f>
        <v>9.375E-2</v>
      </c>
      <c r="Y2472" s="35">
        <f>IF(Mecze[[#This Row],[Role]]="BR",Mecze[[#This Row],[/OB:90]]+Mecze[[#This Row],[/PC:90]],SUM(Mecze[[#This Row],[/PR:90]:[/BR:90]]))</f>
        <v>0.20833333333333331</v>
      </c>
      <c r="Z2472" s="35">
        <f>IF(Mecze[[#This Row],[KC]]=0,SUM(Mecze[[#This Row],[/BRI]:[/NPI]]),SUM(Mecze[[#This Row],[/BRI]:[/NPI]])*0.6)</f>
        <v>1.0026041666666665</v>
      </c>
      <c r="AA2472" s="10">
        <f>IFERROR(Mecze[[#This Row],[BR]]/Mecze[[#This Row],[ST]],0)</f>
        <v>0</v>
      </c>
      <c r="AB2472">
        <f>ROUND(Mecze[[#This Row],[PD]]*Mecze[[#This Row],[%PC]],0)</f>
        <v>9</v>
      </c>
      <c r="AC2472">
        <f>ROUND(Mecze[[#This Row],[OD]]*Mecze[[#This Row],[%OU]],0)</f>
        <v>2</v>
      </c>
      <c r="AD2472" s="36" t="s">
        <v>41</v>
      </c>
      <c r="AE2472" s="36">
        <v>138</v>
      </c>
      <c r="AF2472" s="71">
        <v>10.14</v>
      </c>
      <c r="AG2472" s="37">
        <v>0</v>
      </c>
      <c r="AH2472" s="37">
        <v>0</v>
      </c>
      <c r="AI2472" s="37">
        <v>96</v>
      </c>
      <c r="AJ2472" s="37">
        <v>7</v>
      </c>
      <c r="AK2472" s="37" t="str">
        <f>VLOOKUP(Mecze[[#This Row],[Match ID]],Meczusie[Mecz]:Meczusie[RodzajMeczu],2,FALSE)</f>
        <v>Liga</v>
      </c>
    </row>
    <row r="2473" spans="1:37" x14ac:dyDescent="0.25">
      <c r="A2473" s="76">
        <v>153</v>
      </c>
      <c r="B2473" s="3" t="s">
        <v>432</v>
      </c>
      <c r="C2473" s="2" t="s">
        <v>160</v>
      </c>
      <c r="D2473" s="1">
        <v>0</v>
      </c>
      <c r="E2473" s="1">
        <v>0</v>
      </c>
      <c r="F2473" s="1">
        <v>0</v>
      </c>
      <c r="G2473" s="1">
        <v>13</v>
      </c>
      <c r="H2473" s="4">
        <v>0.46</v>
      </c>
      <c r="I2473" s="1">
        <v>10</v>
      </c>
      <c r="J2473" s="4">
        <v>0.5</v>
      </c>
      <c r="K2473" s="1">
        <v>0</v>
      </c>
      <c r="L2473" s="1">
        <v>9</v>
      </c>
      <c r="M2473" s="32">
        <f>IF(Mecze[[#This Row],[PR]]=0,0,Mecze[[#This Row],[PR]]/Mecze[[#This Row],[CZAS]])</f>
        <v>9.375E-2</v>
      </c>
      <c r="N2473" s="32">
        <f>IF(Mecze[[#This Row],[OU]]=0,0,Mecze[[#This Row],[OU]]/Mecze[[#This Row],[CZAS]])</f>
        <v>5.2083333333333336E-2</v>
      </c>
      <c r="O2473" s="32">
        <f>IF(Mecze[[#This Row],[PC]]=0,0,Mecze[[#This Row],[PC]]/Mecze[[#This Row],[CZAS]])</f>
        <v>6.25E-2</v>
      </c>
      <c r="P2473" s="32">
        <f>IF(Mecze[[#This Row],[SC]]=0,0,Mecze[[#This Row],[SC]]/Mecze[[#This Row],[CZAS]])</f>
        <v>0</v>
      </c>
      <c r="Q2473" s="32">
        <f>IF(Mecze[[#This Row],[OB]]=0,0,Mecze[[#This Row],[OB]]/Mecze[[#This Row],[CZAS]])</f>
        <v>0</v>
      </c>
      <c r="R2473" s="32">
        <f>IF(Mecze[[#This Row],[BR]]=0,0,Mecze[[#This Row],[BR]]/Mecze[[#This Row],[CZAS]])</f>
        <v>0</v>
      </c>
      <c r="S2473" s="44">
        <f>IF(Mecze[[#This Row],[Role]]="BR",SUMPRODUCT(Mecze[[#This Row],[/PR:90]:[/BR:90]],Brudnopis!$E$23:$J$23),0)</f>
        <v>0</v>
      </c>
      <c r="T2473" s="44">
        <f>IF(Mecze[[#This Row],[Role]]&lt;&gt;"BR",SUMPRODUCT(Mecze[[#This Row],[/PR:90]:[/BR:90]],Brudnopis!$E$24:$J$24),0)</f>
        <v>0.234375</v>
      </c>
      <c r="U2473" s="44">
        <f>IF(Mecze[[#This Row],[Role]]&lt;&gt;"BR",SUMPRODUCT(Mecze[[#This Row],[/PR:90]:[/BR:90]],Brudnopis!$E$25:$J$25),0)</f>
        <v>0.23958333333333334</v>
      </c>
      <c r="V2473" s="44">
        <f>IF(Mecze[[#This Row],[Role]]&lt;&gt;"BR",SUMPRODUCT(Mecze[[#This Row],[/PR:90]:[/BR:90]],Brudnopis!$E$26:$J$26),0)</f>
        <v>0.20833333333333334</v>
      </c>
      <c r="W2473" s="44">
        <f>IF(Mecze[[#This Row],[Role]]&lt;&gt;"BR",SUMPRODUCT(Mecze[[#This Row],[/PR:90]:[/BR:90]],Brudnopis!$E$27:$J$27),0)</f>
        <v>0.203125</v>
      </c>
      <c r="X2473" s="44">
        <f>IF(Mecze[[#This Row],[Role]]&lt;&gt;"BR",SUMPRODUCT(Mecze[[#This Row],[/PR:90]:[/BR:90]],Brudnopis!$E$28:$J$28),0)</f>
        <v>6.25E-2</v>
      </c>
      <c r="Y2473" s="35">
        <f>IF(Mecze[[#This Row],[Role]]="BR",Mecze[[#This Row],[/OB:90]]+Mecze[[#This Row],[/PC:90]],SUM(Mecze[[#This Row],[/PR:90]:[/BR:90]]))</f>
        <v>0.20833333333333334</v>
      </c>
      <c r="Z2473" s="35">
        <f>IF(Mecze[[#This Row],[KC]]=0,SUM(Mecze[[#This Row],[/BRI]:[/NPI]]),SUM(Mecze[[#This Row],[/BRI]:[/NPI]])*0.6)</f>
        <v>0.94791666666666674</v>
      </c>
      <c r="AA2473" s="10">
        <f>IFERROR(Mecze[[#This Row],[BR]]/Mecze[[#This Row],[ST]],0)</f>
        <v>0</v>
      </c>
      <c r="AB2473">
        <f>ROUND(Mecze[[#This Row],[PD]]*Mecze[[#This Row],[%PC]],0)</f>
        <v>6</v>
      </c>
      <c r="AC2473">
        <f>ROUND(Mecze[[#This Row],[OD]]*Mecze[[#This Row],[%OU]],0)</f>
        <v>5</v>
      </c>
      <c r="AD2473" s="36" t="s">
        <v>67</v>
      </c>
      <c r="AE2473" s="36">
        <v>138</v>
      </c>
      <c r="AF2473" s="71">
        <v>7.82</v>
      </c>
      <c r="AG2473" s="37">
        <v>1</v>
      </c>
      <c r="AH2473" s="37">
        <v>0</v>
      </c>
      <c r="AI2473" s="37">
        <v>96</v>
      </c>
      <c r="AJ2473" s="37">
        <v>7</v>
      </c>
      <c r="AK2473" s="37" t="str">
        <f>VLOOKUP(Mecze[[#This Row],[Match ID]],Meczusie[Mecz]:Meczusie[RodzajMeczu],2,FALSE)</f>
        <v>Liga</v>
      </c>
    </row>
    <row r="2474" spans="1:37" x14ac:dyDescent="0.25">
      <c r="A2474" s="76">
        <v>202</v>
      </c>
      <c r="B2474" s="3" t="s">
        <v>340</v>
      </c>
      <c r="C2474" s="2" t="s">
        <v>160</v>
      </c>
      <c r="D2474" s="1">
        <v>0</v>
      </c>
      <c r="E2474" s="1">
        <v>0</v>
      </c>
      <c r="F2474" s="1">
        <v>0</v>
      </c>
      <c r="G2474" s="1">
        <v>3</v>
      </c>
      <c r="H2474" s="4">
        <v>1</v>
      </c>
      <c r="I2474" s="1">
        <v>1</v>
      </c>
      <c r="J2474" s="4">
        <v>0</v>
      </c>
      <c r="K2474" s="1">
        <v>0</v>
      </c>
      <c r="L2474" s="1">
        <v>1</v>
      </c>
      <c r="M2474" s="32">
        <f>IF(Mecze[[#This Row],[PR]]=0,0,Mecze[[#This Row],[PR]]/Mecze[[#This Row],[CZAS]])</f>
        <v>1.0416666666666666E-2</v>
      </c>
      <c r="N2474" s="32">
        <f>IF(Mecze[[#This Row],[OU]]=0,0,Mecze[[#This Row],[OU]]/Mecze[[#This Row],[CZAS]])</f>
        <v>0</v>
      </c>
      <c r="O2474" s="32">
        <f>IF(Mecze[[#This Row],[PC]]=0,0,Mecze[[#This Row],[PC]]/Mecze[[#This Row],[CZAS]])</f>
        <v>3.125E-2</v>
      </c>
      <c r="P2474" s="32">
        <f>IF(Mecze[[#This Row],[SC]]=0,0,Mecze[[#This Row],[SC]]/Mecze[[#This Row],[CZAS]])</f>
        <v>0</v>
      </c>
      <c r="Q2474" s="32">
        <f>IF(Mecze[[#This Row],[OB]]=0,0,Mecze[[#This Row],[OB]]/Mecze[[#This Row],[CZAS]])</f>
        <v>0</v>
      </c>
      <c r="R2474" s="32">
        <f>IF(Mecze[[#This Row],[BR]]=0,0,Mecze[[#This Row],[BR]]/Mecze[[#This Row],[CZAS]])</f>
        <v>0</v>
      </c>
      <c r="S2474" s="44">
        <f>IF(Mecze[[#This Row],[Role]]="BR",SUMPRODUCT(Mecze[[#This Row],[/PR:90]:[/BR:90]],Brudnopis!$E$23:$J$23),0)</f>
        <v>0</v>
      </c>
      <c r="T2474" s="44">
        <f>IF(Mecze[[#This Row],[Role]]&lt;&gt;"BR",SUMPRODUCT(Mecze[[#This Row],[/PR:90]:[/BR:90]],Brudnopis!$E$24:$J$24),0)</f>
        <v>4.1666666666666664E-2</v>
      </c>
      <c r="U2474" s="44">
        <f>IF(Mecze[[#This Row],[Role]]&lt;&gt;"BR",SUMPRODUCT(Mecze[[#This Row],[/PR:90]:[/BR:90]],Brudnopis!$E$25:$J$25),0)</f>
        <v>5.7291666666666664E-2</v>
      </c>
      <c r="V2474" s="44">
        <f>IF(Mecze[[#This Row],[Role]]&lt;&gt;"BR",SUMPRODUCT(Mecze[[#This Row],[/PR:90]:[/BR:90]],Brudnopis!$E$26:$J$26),0)</f>
        <v>4.1666666666666664E-2</v>
      </c>
      <c r="W2474" s="44">
        <f>IF(Mecze[[#This Row],[Role]]&lt;&gt;"BR",SUMPRODUCT(Mecze[[#This Row],[/PR:90]:[/BR:90]],Brudnopis!$E$27:$J$27),0)</f>
        <v>5.46875E-2</v>
      </c>
      <c r="X2474" s="44">
        <f>IF(Mecze[[#This Row],[Role]]&lt;&gt;"BR",SUMPRODUCT(Mecze[[#This Row],[/PR:90]:[/BR:90]],Brudnopis!$E$28:$J$28),0)</f>
        <v>3.125E-2</v>
      </c>
      <c r="Y2474" s="35">
        <f>IF(Mecze[[#This Row],[Role]]="BR",Mecze[[#This Row],[/OB:90]]+Mecze[[#This Row],[/PC:90]],SUM(Mecze[[#This Row],[/PR:90]:[/BR:90]]))</f>
        <v>4.1666666666666664E-2</v>
      </c>
      <c r="Z2474" s="35">
        <f>IF(Mecze[[#This Row],[KC]]=0,SUM(Mecze[[#This Row],[/BRI]:[/NPI]]),SUM(Mecze[[#This Row],[/BRI]:[/NPI]])*0.6)</f>
        <v>0.2265625</v>
      </c>
      <c r="AA2474" s="10">
        <f>IFERROR(Mecze[[#This Row],[BR]]/Mecze[[#This Row],[ST]],0)</f>
        <v>0</v>
      </c>
      <c r="AB2474">
        <f>ROUND(Mecze[[#This Row],[PD]]*Mecze[[#This Row],[%PC]],0)</f>
        <v>3</v>
      </c>
      <c r="AC2474">
        <f>ROUND(Mecze[[#This Row],[OD]]*Mecze[[#This Row],[%OU]],0)</f>
        <v>0</v>
      </c>
      <c r="AD2474" s="36" t="s">
        <v>44</v>
      </c>
      <c r="AE2474" s="36">
        <v>138</v>
      </c>
      <c r="AF2474" s="71">
        <v>7.25</v>
      </c>
      <c r="AG2474" s="37">
        <v>0</v>
      </c>
      <c r="AH2474" s="37">
        <v>0</v>
      </c>
      <c r="AI2474" s="37">
        <v>96</v>
      </c>
      <c r="AJ2474" s="37">
        <v>7</v>
      </c>
      <c r="AK2474" s="37" t="str">
        <f>VLOOKUP(Mecze[[#This Row],[Match ID]],Meczusie[Mecz]:Meczusie[RodzajMeczu],2,FALSE)</f>
        <v>Liga</v>
      </c>
    </row>
    <row r="2475" spans="1:37" x14ac:dyDescent="0.25">
      <c r="A2475" s="76">
        <v>101</v>
      </c>
      <c r="B2475" s="3" t="s">
        <v>444</v>
      </c>
      <c r="C2475" s="2" t="s">
        <v>160</v>
      </c>
      <c r="D2475" s="1">
        <v>0</v>
      </c>
      <c r="E2475" s="1">
        <v>0</v>
      </c>
      <c r="F2475" s="1">
        <v>0</v>
      </c>
      <c r="G2475" s="1">
        <v>15</v>
      </c>
      <c r="H2475" s="4">
        <v>1</v>
      </c>
      <c r="I2475" s="1">
        <v>0</v>
      </c>
      <c r="J2475" s="4"/>
      <c r="K2475" s="1">
        <v>0</v>
      </c>
      <c r="L2475" s="1">
        <v>0</v>
      </c>
      <c r="M2475" s="32">
        <f>IF(Mecze[[#This Row],[PR]]=0,0,Mecze[[#This Row],[PR]]/Mecze[[#This Row],[CZAS]])</f>
        <v>0</v>
      </c>
      <c r="N2475" s="32">
        <f>IF(Mecze[[#This Row],[OU]]=0,0,Mecze[[#This Row],[OU]]/Mecze[[#This Row],[CZAS]])</f>
        <v>0</v>
      </c>
      <c r="O2475" s="32">
        <f>IF(Mecze[[#This Row],[PC]]=0,0,Mecze[[#This Row],[PC]]/Mecze[[#This Row],[CZAS]])</f>
        <v>0.15625</v>
      </c>
      <c r="P2475" s="32">
        <f>IF(Mecze[[#This Row],[SC]]=0,0,Mecze[[#This Row],[SC]]/Mecze[[#This Row],[CZAS]])</f>
        <v>0</v>
      </c>
      <c r="Q2475" s="32">
        <f>IF(Mecze[[#This Row],[OB]]=0,0,Mecze[[#This Row],[OB]]/Mecze[[#This Row],[CZAS]])</f>
        <v>0</v>
      </c>
      <c r="R2475" s="32">
        <f>IF(Mecze[[#This Row],[BR]]=0,0,Mecze[[#This Row],[BR]]/Mecze[[#This Row],[CZAS]])</f>
        <v>0</v>
      </c>
      <c r="S2475" s="44">
        <f>IF(Mecze[[#This Row],[Role]]="BR",SUMPRODUCT(Mecze[[#This Row],[/PR:90]:[/BR:90]],Brudnopis!$E$23:$J$23),0)</f>
        <v>0</v>
      </c>
      <c r="T2475" s="44">
        <f>IF(Mecze[[#This Row],[Role]]&lt;&gt;"BR",SUMPRODUCT(Mecze[[#This Row],[/PR:90]:[/BR:90]],Brudnopis!$E$24:$J$24),0)</f>
        <v>0.15625</v>
      </c>
      <c r="U2475" s="44">
        <f>IF(Mecze[[#This Row],[Role]]&lt;&gt;"BR",SUMPRODUCT(Mecze[[#This Row],[/PR:90]:[/BR:90]],Brudnopis!$E$25:$J$25),0)</f>
        <v>0.234375</v>
      </c>
      <c r="V2475" s="44">
        <f>IF(Mecze[[#This Row],[Role]]&lt;&gt;"BR",SUMPRODUCT(Mecze[[#This Row],[/PR:90]:[/BR:90]],Brudnopis!$E$26:$J$26),0)</f>
        <v>0.15625</v>
      </c>
      <c r="W2475" s="44">
        <f>IF(Mecze[[#This Row],[Role]]&lt;&gt;"BR",SUMPRODUCT(Mecze[[#This Row],[/PR:90]:[/BR:90]],Brudnopis!$E$27:$J$27),0)</f>
        <v>0.234375</v>
      </c>
      <c r="X2475" s="44">
        <f>IF(Mecze[[#This Row],[Role]]&lt;&gt;"BR",SUMPRODUCT(Mecze[[#This Row],[/PR:90]:[/BR:90]],Brudnopis!$E$28:$J$28),0)</f>
        <v>0.15625</v>
      </c>
      <c r="Y2475" s="35">
        <f>IF(Mecze[[#This Row],[Role]]="BR",Mecze[[#This Row],[/OB:90]]+Mecze[[#This Row],[/PC:90]],SUM(Mecze[[#This Row],[/PR:90]:[/BR:90]]))</f>
        <v>0.15625</v>
      </c>
      <c r="Z2475" s="35">
        <f>IF(Mecze[[#This Row],[KC]]=0,SUM(Mecze[[#This Row],[/BRI]:[/NPI]]),SUM(Mecze[[#This Row],[/BRI]:[/NPI]])*0.6)</f>
        <v>0.9375</v>
      </c>
      <c r="AA2475" s="10">
        <f>IFERROR(Mecze[[#This Row],[BR]]/Mecze[[#This Row],[ST]],0)</f>
        <v>0</v>
      </c>
      <c r="AB2475">
        <f>ROUND(Mecze[[#This Row],[PD]]*Mecze[[#This Row],[%PC]],0)</f>
        <v>15</v>
      </c>
      <c r="AC2475">
        <f>ROUND(Mecze[[#This Row],[OD]]*Mecze[[#This Row],[%OU]],0)</f>
        <v>0</v>
      </c>
      <c r="AD2475" s="36" t="s">
        <v>299</v>
      </c>
      <c r="AE2475" s="36">
        <v>138</v>
      </c>
      <c r="AF2475" s="71">
        <v>10.37</v>
      </c>
      <c r="AG2475" s="37">
        <v>0</v>
      </c>
      <c r="AH2475" s="37">
        <v>0</v>
      </c>
      <c r="AI2475" s="37">
        <v>96</v>
      </c>
      <c r="AJ2475" s="37">
        <v>7</v>
      </c>
      <c r="AK2475" s="37" t="str">
        <f>VLOOKUP(Mecze[[#This Row],[Match ID]],Meczusie[Mecz]:Meczusie[RodzajMeczu],2,FALSE)</f>
        <v>Liga</v>
      </c>
    </row>
    <row r="2476" spans="1:37" x14ac:dyDescent="0.25">
      <c r="A2476" s="76">
        <v>203</v>
      </c>
      <c r="B2476" s="3" t="s">
        <v>342</v>
      </c>
      <c r="C2476" s="2" t="s">
        <v>165</v>
      </c>
      <c r="D2476" s="1">
        <v>10</v>
      </c>
      <c r="E2476" s="1">
        <v>22</v>
      </c>
      <c r="F2476" s="1">
        <v>20</v>
      </c>
      <c r="G2476" s="1">
        <v>5</v>
      </c>
      <c r="H2476" s="4">
        <v>1</v>
      </c>
      <c r="I2476" s="1">
        <v>1</v>
      </c>
      <c r="J2476" s="4">
        <v>1</v>
      </c>
      <c r="K2476" s="1">
        <v>0</v>
      </c>
      <c r="L2476" s="1">
        <v>4</v>
      </c>
      <c r="M2476" s="32">
        <f>IF(Mecze[[#This Row],[PR]]=0,0,Mecze[[#This Row],[PR]]/Mecze[[#This Row],[CZAS]])</f>
        <v>4.1666666666666664E-2</v>
      </c>
      <c r="N2476" s="32">
        <f>IF(Mecze[[#This Row],[OU]]=0,0,Mecze[[#This Row],[OU]]/Mecze[[#This Row],[CZAS]])</f>
        <v>1.0416666666666666E-2</v>
      </c>
      <c r="O2476" s="32">
        <f>IF(Mecze[[#This Row],[PC]]=0,0,Mecze[[#This Row],[PC]]/Mecze[[#This Row],[CZAS]])</f>
        <v>5.2083333333333336E-2</v>
      </c>
      <c r="P2476" s="32">
        <f>IF(Mecze[[#This Row],[SC]]=0,0,Mecze[[#This Row],[SC]]/Mecze[[#This Row],[CZAS]])</f>
        <v>0.20833333333333334</v>
      </c>
      <c r="Q2476" s="32">
        <f>IF(Mecze[[#This Row],[OB]]=0,0,Mecze[[#This Row],[OB]]/Mecze[[#This Row],[CZAS]])</f>
        <v>0</v>
      </c>
      <c r="R2476" s="32">
        <f>IF(Mecze[[#This Row],[BR]]=0,0,Mecze[[#This Row],[BR]]/Mecze[[#This Row],[CZAS]])</f>
        <v>0.10416666666666667</v>
      </c>
      <c r="S2476" s="44">
        <f>IF(Mecze[[#This Row],[Role]]="BR",SUMPRODUCT(Mecze[[#This Row],[/PR:90]:[/BR:90]],Brudnopis!$E$23:$J$23),0)</f>
        <v>0</v>
      </c>
      <c r="T2476" s="44">
        <f>IF(Mecze[[#This Row],[Role]]&lt;&gt;"BR",SUMPRODUCT(Mecze[[#This Row],[/PR:90]:[/BR:90]],Brudnopis!$E$24:$J$24),0)</f>
        <v>0.47395833333333337</v>
      </c>
      <c r="U2476" s="44">
        <f>IF(Mecze[[#This Row],[Role]]&lt;&gt;"BR",SUMPRODUCT(Mecze[[#This Row],[/PR:90]:[/BR:90]],Brudnopis!$E$25:$J$25),0)</f>
        <v>0.49479166666666663</v>
      </c>
      <c r="V2476" s="44">
        <f>IF(Mecze[[#This Row],[Role]]&lt;&gt;"BR",SUMPRODUCT(Mecze[[#This Row],[/PR:90]:[/BR:90]],Brudnopis!$E$26:$J$26),0)</f>
        <v>0.52083333333333337</v>
      </c>
      <c r="W2476" s="44">
        <f>IF(Mecze[[#This Row],[Role]]&lt;&gt;"BR",SUMPRODUCT(Mecze[[#This Row],[/PR:90]:[/BR:90]],Brudnopis!$E$27:$J$27),0)</f>
        <v>0.53385416666666674</v>
      </c>
      <c r="X2476" s="44">
        <f>IF(Mecze[[#This Row],[Role]]&lt;&gt;"BR",SUMPRODUCT(Mecze[[#This Row],[/PR:90]:[/BR:90]],Brudnopis!$E$28:$J$28),0)</f>
        <v>0.78125</v>
      </c>
      <c r="Y2476" s="35">
        <f>IF(Mecze[[#This Row],[Role]]="BR",Mecze[[#This Row],[/OB:90]]+Mecze[[#This Row],[/PC:90]],SUM(Mecze[[#This Row],[/PR:90]:[/BR:90]]))</f>
        <v>0.41666666666666669</v>
      </c>
      <c r="Z2476" s="35">
        <f>IF(Mecze[[#This Row],[KC]]=0,SUM(Mecze[[#This Row],[/BRI]:[/NPI]]),SUM(Mecze[[#This Row],[/BRI]:[/NPI]])*0.6)</f>
        <v>2.8046875</v>
      </c>
      <c r="AA2476" s="10">
        <f>IFERROR(Mecze[[#This Row],[BR]]/Mecze[[#This Row],[ST]],0)</f>
        <v>0.45454545454545453</v>
      </c>
      <c r="AB2476">
        <f>ROUND(Mecze[[#This Row],[PD]]*Mecze[[#This Row],[%PC]],0)</f>
        <v>5</v>
      </c>
      <c r="AC2476">
        <f>ROUND(Mecze[[#This Row],[OD]]*Mecze[[#This Row],[%OU]],0)</f>
        <v>1</v>
      </c>
      <c r="AD2476" s="36" t="s">
        <v>46</v>
      </c>
      <c r="AE2476" s="36">
        <v>138</v>
      </c>
      <c r="AF2476" s="71">
        <v>34.47</v>
      </c>
      <c r="AG2476" s="37">
        <v>0</v>
      </c>
      <c r="AH2476" s="37">
        <v>0</v>
      </c>
      <c r="AI2476" s="37">
        <v>96</v>
      </c>
      <c r="AJ2476" s="37">
        <v>7</v>
      </c>
      <c r="AK2476" s="37" t="str">
        <f>VLOOKUP(Mecze[[#This Row],[Match ID]],Meczusie[Mecz]:Meczusie[RodzajMeczu],2,FALSE)</f>
        <v>Liga</v>
      </c>
    </row>
    <row r="2477" spans="1:37" x14ac:dyDescent="0.25">
      <c r="A2477" s="76">
        <v>104</v>
      </c>
      <c r="B2477" s="3" t="s">
        <v>343</v>
      </c>
      <c r="C2477" s="2" t="s">
        <v>165</v>
      </c>
      <c r="D2477" s="1">
        <v>2</v>
      </c>
      <c r="E2477" s="1">
        <v>3</v>
      </c>
      <c r="F2477" s="1">
        <v>3</v>
      </c>
      <c r="G2477" s="1">
        <v>23</v>
      </c>
      <c r="H2477" s="4">
        <v>0.78</v>
      </c>
      <c r="I2477" s="1">
        <v>1</v>
      </c>
      <c r="J2477" s="4">
        <v>1</v>
      </c>
      <c r="K2477" s="1">
        <v>0</v>
      </c>
      <c r="L2477" s="1">
        <v>1</v>
      </c>
      <c r="M2477" s="32">
        <f>IF(Mecze[[#This Row],[PR]]=0,0,Mecze[[#This Row],[PR]]/Mecze[[#This Row],[CZAS]])</f>
        <v>1.0416666666666666E-2</v>
      </c>
      <c r="N2477" s="32">
        <f>IF(Mecze[[#This Row],[OU]]=0,0,Mecze[[#This Row],[OU]]/Mecze[[#This Row],[CZAS]])</f>
        <v>1.0416666666666666E-2</v>
      </c>
      <c r="O2477" s="32">
        <f>IF(Mecze[[#This Row],[PC]]=0,0,Mecze[[#This Row],[PC]]/Mecze[[#This Row],[CZAS]])</f>
        <v>0.1875</v>
      </c>
      <c r="P2477" s="32">
        <f>IF(Mecze[[#This Row],[SC]]=0,0,Mecze[[#This Row],[SC]]/Mecze[[#This Row],[CZAS]])</f>
        <v>3.125E-2</v>
      </c>
      <c r="Q2477" s="32">
        <f>IF(Mecze[[#This Row],[OB]]=0,0,Mecze[[#This Row],[OB]]/Mecze[[#This Row],[CZAS]])</f>
        <v>0</v>
      </c>
      <c r="R2477" s="32">
        <f>IF(Mecze[[#This Row],[BR]]=0,0,Mecze[[#This Row],[BR]]/Mecze[[#This Row],[CZAS]])</f>
        <v>2.0833333333333332E-2</v>
      </c>
      <c r="S2477" s="44">
        <f>IF(Mecze[[#This Row],[Role]]="BR",SUMPRODUCT(Mecze[[#This Row],[/PR:90]:[/BR:90]],Brudnopis!$E$23:$J$23),0)</f>
        <v>0</v>
      </c>
      <c r="T2477" s="44">
        <f>IF(Mecze[[#This Row],[Role]]&lt;&gt;"BR",SUMPRODUCT(Mecze[[#This Row],[/PR:90]:[/BR:90]],Brudnopis!$E$24:$J$24),0)</f>
        <v>0.27604166666666663</v>
      </c>
      <c r="U2477" s="44">
        <f>IF(Mecze[[#This Row],[Role]]&lt;&gt;"BR",SUMPRODUCT(Mecze[[#This Row],[/PR:90]:[/BR:90]],Brudnopis!$E$25:$J$25),0)</f>
        <v>0.36458333333333331</v>
      </c>
      <c r="V2477" s="44">
        <f>IF(Mecze[[#This Row],[Role]]&lt;&gt;"BR",SUMPRODUCT(Mecze[[#This Row],[/PR:90]:[/BR:90]],Brudnopis!$E$26:$J$26),0)</f>
        <v>0.28125</v>
      </c>
      <c r="W2477" s="44">
        <f>IF(Mecze[[#This Row],[Role]]&lt;&gt;"BR",SUMPRODUCT(Mecze[[#This Row],[/PR:90]:[/BR:90]],Brudnopis!$E$27:$J$27),0)</f>
        <v>0.36979166666666669</v>
      </c>
      <c r="X2477" s="44">
        <f>IF(Mecze[[#This Row],[Role]]&lt;&gt;"BR",SUMPRODUCT(Mecze[[#This Row],[/PR:90]:[/BR:90]],Brudnopis!$E$28:$J$28),0)</f>
        <v>0.3125</v>
      </c>
      <c r="Y2477" s="35">
        <f>IF(Mecze[[#This Row],[Role]]="BR",Mecze[[#This Row],[/OB:90]]+Mecze[[#This Row],[/PC:90]],SUM(Mecze[[#This Row],[/PR:90]:[/BR:90]]))</f>
        <v>0.26041666666666669</v>
      </c>
      <c r="Z2477" s="35">
        <f>IF(Mecze[[#This Row],[KC]]=0,SUM(Mecze[[#This Row],[/BRI]:[/NPI]]),SUM(Mecze[[#This Row],[/BRI]:[/NPI]])*0.6)</f>
        <v>1.6041666666666667</v>
      </c>
      <c r="AA2477" s="10">
        <f>IFERROR(Mecze[[#This Row],[BR]]/Mecze[[#This Row],[ST]],0)</f>
        <v>0.66666666666666663</v>
      </c>
      <c r="AB2477">
        <f>ROUND(Mecze[[#This Row],[PD]]*Mecze[[#This Row],[%PC]],0)</f>
        <v>18</v>
      </c>
      <c r="AC2477">
        <f>ROUND(Mecze[[#This Row],[OD]]*Mecze[[#This Row],[%OU]],0)</f>
        <v>1</v>
      </c>
      <c r="AD2477" s="36" t="s">
        <v>355</v>
      </c>
      <c r="AE2477" s="36">
        <v>138</v>
      </c>
      <c r="AF2477" s="71">
        <v>10.52</v>
      </c>
      <c r="AG2477" s="37">
        <v>0</v>
      </c>
      <c r="AH2477" s="37">
        <v>0</v>
      </c>
      <c r="AI2477" s="37">
        <v>96</v>
      </c>
      <c r="AJ2477" s="37">
        <v>7</v>
      </c>
      <c r="AK2477" s="37" t="str">
        <f>VLOOKUP(Mecze[[#This Row],[Match ID]],Meczusie[Mecz]:Meczusie[RodzajMeczu],2,FALSE)</f>
        <v>Liga</v>
      </c>
    </row>
    <row r="2478" spans="1:37" x14ac:dyDescent="0.25">
      <c r="A2478" s="76">
        <v>3</v>
      </c>
      <c r="B2478" s="3" t="s">
        <v>222</v>
      </c>
      <c r="C2478" s="2" t="s">
        <v>155</v>
      </c>
      <c r="D2478" s="1">
        <v>0</v>
      </c>
      <c r="E2478" s="1">
        <v>0</v>
      </c>
      <c r="F2478" s="1">
        <v>0</v>
      </c>
      <c r="G2478" s="1">
        <v>12</v>
      </c>
      <c r="H2478" s="4">
        <v>0.67</v>
      </c>
      <c r="I2478" s="1">
        <v>0</v>
      </c>
      <c r="J2478" s="4"/>
      <c r="K2478" s="1">
        <v>12</v>
      </c>
      <c r="L2478" s="1">
        <v>0</v>
      </c>
      <c r="M2478" s="32">
        <f>IF(Mecze[[#This Row],[PR]]=0,0,Mecze[[#This Row],[PR]]/Mecze[[#This Row],[CZAS]])</f>
        <v>0</v>
      </c>
      <c r="N2478" s="32">
        <f>IF(Mecze[[#This Row],[OU]]=0,0,Mecze[[#This Row],[OU]]/Mecze[[#This Row],[CZAS]])</f>
        <v>0</v>
      </c>
      <c r="O2478" s="32">
        <f>IF(Mecze[[#This Row],[PC]]=0,0,Mecze[[#This Row],[PC]]/Mecze[[#This Row],[CZAS]])</f>
        <v>8.3333333333333329E-2</v>
      </c>
      <c r="P2478" s="32">
        <f>IF(Mecze[[#This Row],[SC]]=0,0,Mecze[[#This Row],[SC]]/Mecze[[#This Row],[CZAS]])</f>
        <v>0</v>
      </c>
      <c r="Q2478" s="32">
        <f>IF(Mecze[[#This Row],[OB]]=0,0,Mecze[[#This Row],[OB]]/Mecze[[#This Row],[CZAS]])</f>
        <v>0.125</v>
      </c>
      <c r="R2478" s="32">
        <f>IF(Mecze[[#This Row],[BR]]=0,0,Mecze[[#This Row],[BR]]/Mecze[[#This Row],[CZAS]])</f>
        <v>0</v>
      </c>
      <c r="S2478" s="44">
        <f>IF(Mecze[[#This Row],[Role]]="BR",SUMPRODUCT(Mecze[[#This Row],[/PR:90]:[/BR:90]],Brudnopis!$E$23:$J$23),0)</f>
        <v>0.625</v>
      </c>
      <c r="T2478" s="44">
        <f>IF(Mecze[[#This Row],[Role]]&lt;&gt;"BR",SUMPRODUCT(Mecze[[#This Row],[/PR:90]:[/BR:90]],Brudnopis!$E$24:$J$24),0)</f>
        <v>0</v>
      </c>
      <c r="U2478" s="44">
        <f>IF(Mecze[[#This Row],[Role]]&lt;&gt;"BR",SUMPRODUCT(Mecze[[#This Row],[/PR:90]:[/BR:90]],Brudnopis!$E$25:$J$25),0)</f>
        <v>0</v>
      </c>
      <c r="V2478" s="44">
        <f>IF(Mecze[[#This Row],[Role]]&lt;&gt;"BR",SUMPRODUCT(Mecze[[#This Row],[/PR:90]:[/BR:90]],Brudnopis!$E$26:$J$26),0)</f>
        <v>0</v>
      </c>
      <c r="W2478" s="44">
        <f>IF(Mecze[[#This Row],[Role]]&lt;&gt;"BR",SUMPRODUCT(Mecze[[#This Row],[/PR:90]:[/BR:90]],Brudnopis!$E$27:$J$27),0)</f>
        <v>0</v>
      </c>
      <c r="X2478" s="44">
        <f>IF(Mecze[[#This Row],[Role]]&lt;&gt;"BR",SUMPRODUCT(Mecze[[#This Row],[/PR:90]:[/BR:90]],Brudnopis!$E$28:$J$28),0)</f>
        <v>0</v>
      </c>
      <c r="Y2478" s="35">
        <f>IF(Mecze[[#This Row],[Role]]="BR",Mecze[[#This Row],[/OB:90]]+Mecze[[#This Row],[/PC:90]],SUM(Mecze[[#This Row],[/PR:90]:[/BR:90]]))</f>
        <v>0.20833333333333331</v>
      </c>
      <c r="Z2478" s="35">
        <f>IF(Mecze[[#This Row],[KC]]=0,SUM(Mecze[[#This Row],[/BRI]:[/NPI]]),SUM(Mecze[[#This Row],[/BRI]:[/NPI]])*0.6)</f>
        <v>0.625</v>
      </c>
      <c r="AA2478" s="10">
        <f>IFERROR(Mecze[[#This Row],[BR]]/Mecze[[#This Row],[ST]],0)</f>
        <v>0</v>
      </c>
      <c r="AB2478">
        <f>ROUND(Mecze[[#This Row],[PD]]*Mecze[[#This Row],[%PC]],0)</f>
        <v>8</v>
      </c>
      <c r="AC2478">
        <f>ROUND(Mecze[[#This Row],[OD]]*Mecze[[#This Row],[%OU]],0)</f>
        <v>0</v>
      </c>
      <c r="AD2478" s="36" t="s">
        <v>40</v>
      </c>
      <c r="AE2478" s="36">
        <v>138</v>
      </c>
      <c r="AF2478" s="71">
        <v>3.67</v>
      </c>
      <c r="AG2478" s="37">
        <v>0</v>
      </c>
      <c r="AH2478" s="37">
        <v>0</v>
      </c>
      <c r="AI2478" s="37">
        <v>96</v>
      </c>
      <c r="AJ2478" s="37">
        <v>2</v>
      </c>
      <c r="AK2478" s="37" t="str">
        <f>VLOOKUP(Mecze[[#This Row],[Match ID]],Meczusie[Mecz]:Meczusie[RodzajMeczu],2,FALSE)</f>
        <v>Liga</v>
      </c>
    </row>
    <row r="2479" spans="1:37" x14ac:dyDescent="0.25">
      <c r="A2479" s="76">
        <v>42</v>
      </c>
      <c r="B2479" s="3" t="s">
        <v>497</v>
      </c>
      <c r="C2479" s="2" t="s">
        <v>157</v>
      </c>
      <c r="D2479" s="1">
        <v>0</v>
      </c>
      <c r="E2479" s="1">
        <v>0</v>
      </c>
      <c r="F2479" s="1">
        <v>0</v>
      </c>
      <c r="G2479" s="1">
        <v>9</v>
      </c>
      <c r="H2479" s="4">
        <v>0.11</v>
      </c>
      <c r="I2479" s="1">
        <v>12</v>
      </c>
      <c r="J2479" s="4">
        <v>0.25</v>
      </c>
      <c r="K2479" s="1">
        <v>0</v>
      </c>
      <c r="L2479" s="1">
        <v>17</v>
      </c>
      <c r="M2479" s="32">
        <f>IF(Mecze[[#This Row],[PR]]=0,0,Mecze[[#This Row],[PR]]/Mecze[[#This Row],[CZAS]])</f>
        <v>0.17708333333333334</v>
      </c>
      <c r="N2479" s="32">
        <f>IF(Mecze[[#This Row],[OU]]=0,0,Mecze[[#This Row],[OU]]/Mecze[[#This Row],[CZAS]])</f>
        <v>3.125E-2</v>
      </c>
      <c r="O2479" s="32">
        <f>IF(Mecze[[#This Row],[PC]]=0,0,Mecze[[#This Row],[PC]]/Mecze[[#This Row],[CZAS]])</f>
        <v>1.0416666666666666E-2</v>
      </c>
      <c r="P2479" s="32">
        <f>IF(Mecze[[#This Row],[SC]]=0,0,Mecze[[#This Row],[SC]]/Mecze[[#This Row],[CZAS]])</f>
        <v>0</v>
      </c>
      <c r="Q2479" s="32">
        <f>IF(Mecze[[#This Row],[OB]]=0,0,Mecze[[#This Row],[OB]]/Mecze[[#This Row],[CZAS]])</f>
        <v>0</v>
      </c>
      <c r="R2479" s="32">
        <f>IF(Mecze[[#This Row],[BR]]=0,0,Mecze[[#This Row],[BR]]/Mecze[[#This Row],[CZAS]])</f>
        <v>0</v>
      </c>
      <c r="S2479" s="44">
        <f>IF(Mecze[[#This Row],[Role]]="BR",SUMPRODUCT(Mecze[[#This Row],[/PR:90]:[/BR:90]],Brudnopis!$E$23:$J$23),0)</f>
        <v>0</v>
      </c>
      <c r="T2479" s="44">
        <f>IF(Mecze[[#This Row],[Role]]&lt;&gt;"BR",SUMPRODUCT(Mecze[[#This Row],[/PR:90]:[/BR:90]],Brudnopis!$E$24:$J$24),0)</f>
        <v>0.234375</v>
      </c>
      <c r="U2479" s="44">
        <f>IF(Mecze[[#This Row],[Role]]&lt;&gt;"BR",SUMPRODUCT(Mecze[[#This Row],[/PR:90]:[/BR:90]],Brudnopis!$E$25:$J$25),0)</f>
        <v>0.22395833333333334</v>
      </c>
      <c r="V2479" s="44">
        <f>IF(Mecze[[#This Row],[Role]]&lt;&gt;"BR",SUMPRODUCT(Mecze[[#This Row],[/PR:90]:[/BR:90]],Brudnopis!$E$26:$J$26),0)</f>
        <v>0.21875</v>
      </c>
      <c r="W2479" s="44">
        <f>IF(Mecze[[#This Row],[Role]]&lt;&gt;"BR",SUMPRODUCT(Mecze[[#This Row],[/PR:90]:[/BR:90]],Brudnopis!$E$27:$J$27),0)</f>
        <v>0.171875</v>
      </c>
      <c r="X2479" s="44">
        <f>IF(Mecze[[#This Row],[Role]]&lt;&gt;"BR",SUMPRODUCT(Mecze[[#This Row],[/PR:90]:[/BR:90]],Brudnopis!$E$28:$J$28),0)</f>
        <v>1.0416666666666666E-2</v>
      </c>
      <c r="Y2479" s="35">
        <f>IF(Mecze[[#This Row],[Role]]="BR",Mecze[[#This Row],[/OB:90]]+Mecze[[#This Row],[/PC:90]],SUM(Mecze[[#This Row],[/PR:90]:[/BR:90]]))</f>
        <v>0.21875</v>
      </c>
      <c r="Z2479" s="35">
        <f>IF(Mecze[[#This Row],[KC]]=0,SUM(Mecze[[#This Row],[/BRI]:[/NPI]]),SUM(Mecze[[#This Row],[/BRI]:[/NPI]])*0.6)</f>
        <v>0.859375</v>
      </c>
      <c r="AA2479" s="10">
        <f>IFERROR(Mecze[[#This Row],[BR]]/Mecze[[#This Row],[ST]],0)</f>
        <v>0</v>
      </c>
      <c r="AB2479">
        <f>ROUND(Mecze[[#This Row],[PD]]*Mecze[[#This Row],[%PC]],0)</f>
        <v>1</v>
      </c>
      <c r="AC2479">
        <f>ROUND(Mecze[[#This Row],[OD]]*Mecze[[#This Row],[%OU]],0)</f>
        <v>3</v>
      </c>
      <c r="AD2479" s="36" t="s">
        <v>174</v>
      </c>
      <c r="AE2479" s="36">
        <v>138</v>
      </c>
      <c r="AF2479" s="71">
        <v>1.82</v>
      </c>
      <c r="AG2479" s="37">
        <v>0</v>
      </c>
      <c r="AH2479" s="37">
        <v>0</v>
      </c>
      <c r="AI2479" s="37">
        <v>96</v>
      </c>
      <c r="AJ2479" s="37">
        <v>2</v>
      </c>
      <c r="AK2479" s="37" t="str">
        <f>VLOOKUP(Mecze[[#This Row],[Match ID]],Meczusie[Mecz]:Meczusie[RodzajMeczu],2,FALSE)</f>
        <v>Liga</v>
      </c>
    </row>
    <row r="2480" spans="1:37" x14ac:dyDescent="0.25">
      <c r="A2480" s="76">
        <v>40</v>
      </c>
      <c r="B2480" s="3" t="s">
        <v>498</v>
      </c>
      <c r="C2480" s="2" t="s">
        <v>157</v>
      </c>
      <c r="D2480" s="1">
        <v>0</v>
      </c>
      <c r="E2480" s="1">
        <v>0</v>
      </c>
      <c r="F2480" s="1">
        <v>0</v>
      </c>
      <c r="G2480" s="1">
        <v>11</v>
      </c>
      <c r="H2480" s="4">
        <v>0.27</v>
      </c>
      <c r="I2480" s="1">
        <v>1</v>
      </c>
      <c r="J2480" s="4">
        <v>1</v>
      </c>
      <c r="K2480" s="1">
        <v>0</v>
      </c>
      <c r="L2480" s="1">
        <v>1</v>
      </c>
      <c r="M2480" s="32">
        <f>IF(Mecze[[#This Row],[PR]]=0,0,Mecze[[#This Row],[PR]]/Mecze[[#This Row],[CZAS]])</f>
        <v>1.0416666666666666E-2</v>
      </c>
      <c r="N2480" s="32">
        <f>IF(Mecze[[#This Row],[OU]]=0,0,Mecze[[#This Row],[OU]]/Mecze[[#This Row],[CZAS]])</f>
        <v>1.0416666666666666E-2</v>
      </c>
      <c r="O2480" s="32">
        <f>IF(Mecze[[#This Row],[PC]]=0,0,Mecze[[#This Row],[PC]]/Mecze[[#This Row],[CZAS]])</f>
        <v>3.125E-2</v>
      </c>
      <c r="P2480" s="32">
        <f>IF(Mecze[[#This Row],[SC]]=0,0,Mecze[[#This Row],[SC]]/Mecze[[#This Row],[CZAS]])</f>
        <v>0</v>
      </c>
      <c r="Q2480" s="32">
        <f>IF(Mecze[[#This Row],[OB]]=0,0,Mecze[[#This Row],[OB]]/Mecze[[#This Row],[CZAS]])</f>
        <v>0</v>
      </c>
      <c r="R2480" s="32">
        <f>IF(Mecze[[#This Row],[BR]]=0,0,Mecze[[#This Row],[BR]]/Mecze[[#This Row],[CZAS]])</f>
        <v>0</v>
      </c>
      <c r="S2480" s="44">
        <f>IF(Mecze[[#This Row],[Role]]="BR",SUMPRODUCT(Mecze[[#This Row],[/PR:90]:[/BR:90]],Brudnopis!$E$23:$J$23),0)</f>
        <v>0</v>
      </c>
      <c r="T2480" s="44">
        <f>IF(Mecze[[#This Row],[Role]]&lt;&gt;"BR",SUMPRODUCT(Mecze[[#This Row],[/PR:90]:[/BR:90]],Brudnopis!$E$24:$J$24),0)</f>
        <v>5.7291666666666664E-2</v>
      </c>
      <c r="U2480" s="44">
        <f>IF(Mecze[[#This Row],[Role]]&lt;&gt;"BR",SUMPRODUCT(Mecze[[#This Row],[/PR:90]:[/BR:90]],Brudnopis!$E$25:$J$25),0)</f>
        <v>6.7708333333333329E-2</v>
      </c>
      <c r="V2480" s="44">
        <f>IF(Mecze[[#This Row],[Role]]&lt;&gt;"BR",SUMPRODUCT(Mecze[[#This Row],[/PR:90]:[/BR:90]],Brudnopis!$E$26:$J$26),0)</f>
        <v>5.2083333333333329E-2</v>
      </c>
      <c r="W2480" s="44">
        <f>IF(Mecze[[#This Row],[Role]]&lt;&gt;"BR",SUMPRODUCT(Mecze[[#This Row],[/PR:90]:[/BR:90]],Brudnopis!$E$27:$J$27),0)</f>
        <v>6.25E-2</v>
      </c>
      <c r="X2480" s="44">
        <f>IF(Mecze[[#This Row],[Role]]&lt;&gt;"BR",SUMPRODUCT(Mecze[[#This Row],[/PR:90]:[/BR:90]],Brudnopis!$E$28:$J$28),0)</f>
        <v>3.125E-2</v>
      </c>
      <c r="Y2480" s="35">
        <f>IF(Mecze[[#This Row],[Role]]="BR",Mecze[[#This Row],[/OB:90]]+Mecze[[#This Row],[/PC:90]],SUM(Mecze[[#This Row],[/PR:90]:[/BR:90]]))</f>
        <v>5.2083333333333329E-2</v>
      </c>
      <c r="Z2480" s="35">
        <f>IF(Mecze[[#This Row],[KC]]=0,SUM(Mecze[[#This Row],[/BRI]:[/NPI]]),SUM(Mecze[[#This Row],[/BRI]:[/NPI]])*0.6)</f>
        <v>0.27083333333333331</v>
      </c>
      <c r="AA2480" s="10">
        <f>IFERROR(Mecze[[#This Row],[BR]]/Mecze[[#This Row],[ST]],0)</f>
        <v>0</v>
      </c>
      <c r="AB2480">
        <f>ROUND(Mecze[[#This Row],[PD]]*Mecze[[#This Row],[%PC]],0)</f>
        <v>3</v>
      </c>
      <c r="AC2480">
        <f>ROUND(Mecze[[#This Row],[OD]]*Mecze[[#This Row],[%OU]],0)</f>
        <v>1</v>
      </c>
      <c r="AD2480" s="36" t="s">
        <v>47</v>
      </c>
      <c r="AE2480" s="36">
        <v>138</v>
      </c>
      <c r="AF2480" s="71">
        <v>-1.54</v>
      </c>
      <c r="AG2480" s="37">
        <v>0</v>
      </c>
      <c r="AH2480" s="37">
        <v>0</v>
      </c>
      <c r="AI2480" s="37">
        <v>96</v>
      </c>
      <c r="AJ2480" s="37">
        <v>2</v>
      </c>
      <c r="AK2480" s="37" t="str">
        <f>VLOOKUP(Mecze[[#This Row],[Match ID]],Meczusie[Mecz]:Meczusie[RodzajMeczu],2,FALSE)</f>
        <v>Liga</v>
      </c>
    </row>
    <row r="2481" spans="1:37" x14ac:dyDescent="0.25">
      <c r="A2481" s="76">
        <v>37</v>
      </c>
      <c r="B2481" s="3" t="s">
        <v>499</v>
      </c>
      <c r="C2481" s="2" t="s">
        <v>157</v>
      </c>
      <c r="D2481" s="1">
        <v>0</v>
      </c>
      <c r="E2481" s="1">
        <v>0</v>
      </c>
      <c r="F2481" s="1">
        <v>0</v>
      </c>
      <c r="G2481" s="1">
        <v>3</v>
      </c>
      <c r="H2481" s="4">
        <v>0.33</v>
      </c>
      <c r="I2481" s="1">
        <v>1</v>
      </c>
      <c r="J2481" s="4">
        <v>0</v>
      </c>
      <c r="K2481" s="1">
        <v>0</v>
      </c>
      <c r="L2481" s="1">
        <v>1</v>
      </c>
      <c r="M2481" s="32">
        <f>IF(Mecze[[#This Row],[PR]]=0,0,Mecze[[#This Row],[PR]]/Mecze[[#This Row],[CZAS]])</f>
        <v>1.0416666666666666E-2</v>
      </c>
      <c r="N2481" s="32">
        <f>IF(Mecze[[#This Row],[OU]]=0,0,Mecze[[#This Row],[OU]]/Mecze[[#This Row],[CZAS]])</f>
        <v>0</v>
      </c>
      <c r="O2481" s="32">
        <f>IF(Mecze[[#This Row],[PC]]=0,0,Mecze[[#This Row],[PC]]/Mecze[[#This Row],[CZAS]])</f>
        <v>1.0416666666666666E-2</v>
      </c>
      <c r="P2481" s="32">
        <f>IF(Mecze[[#This Row],[SC]]=0,0,Mecze[[#This Row],[SC]]/Mecze[[#This Row],[CZAS]])</f>
        <v>0</v>
      </c>
      <c r="Q2481" s="32">
        <f>IF(Mecze[[#This Row],[OB]]=0,0,Mecze[[#This Row],[OB]]/Mecze[[#This Row],[CZAS]])</f>
        <v>0</v>
      </c>
      <c r="R2481" s="32">
        <f>IF(Mecze[[#This Row],[BR]]=0,0,Mecze[[#This Row],[BR]]/Mecze[[#This Row],[CZAS]])</f>
        <v>0</v>
      </c>
      <c r="S2481" s="44">
        <f>IF(Mecze[[#This Row],[Role]]="BR",SUMPRODUCT(Mecze[[#This Row],[/PR:90]:[/BR:90]],Brudnopis!$E$23:$J$23),0)</f>
        <v>0</v>
      </c>
      <c r="T2481" s="44">
        <f>IF(Mecze[[#This Row],[Role]]&lt;&gt;"BR",SUMPRODUCT(Mecze[[#This Row],[/PR:90]:[/BR:90]],Brudnopis!$E$24:$J$24),0)</f>
        <v>2.0833333333333332E-2</v>
      </c>
      <c r="U2481" s="44">
        <f>IF(Mecze[[#This Row],[Role]]&lt;&gt;"BR",SUMPRODUCT(Mecze[[#This Row],[/PR:90]:[/BR:90]],Brudnopis!$E$25:$J$25),0)</f>
        <v>2.6041666666666664E-2</v>
      </c>
      <c r="V2481" s="44">
        <f>IF(Mecze[[#This Row],[Role]]&lt;&gt;"BR",SUMPRODUCT(Mecze[[#This Row],[/PR:90]:[/BR:90]],Brudnopis!$E$26:$J$26),0)</f>
        <v>2.0833333333333332E-2</v>
      </c>
      <c r="W2481" s="44">
        <f>IF(Mecze[[#This Row],[Role]]&lt;&gt;"BR",SUMPRODUCT(Mecze[[#This Row],[/PR:90]:[/BR:90]],Brudnopis!$E$27:$J$27),0)</f>
        <v>2.34375E-2</v>
      </c>
      <c r="X2481" s="44">
        <f>IF(Mecze[[#This Row],[Role]]&lt;&gt;"BR",SUMPRODUCT(Mecze[[#This Row],[/PR:90]:[/BR:90]],Brudnopis!$E$28:$J$28),0)</f>
        <v>1.0416666666666666E-2</v>
      </c>
      <c r="Y2481" s="35">
        <f>IF(Mecze[[#This Row],[Role]]="BR",Mecze[[#This Row],[/OB:90]]+Mecze[[#This Row],[/PC:90]],SUM(Mecze[[#This Row],[/PR:90]:[/BR:90]]))</f>
        <v>2.0833333333333332E-2</v>
      </c>
      <c r="Z2481" s="35">
        <f>IF(Mecze[[#This Row],[KC]]=0,SUM(Mecze[[#This Row],[/BRI]:[/NPI]]),SUM(Mecze[[#This Row],[/BRI]:[/NPI]])*0.6)</f>
        <v>0.1015625</v>
      </c>
      <c r="AA2481" s="10">
        <f>IFERROR(Mecze[[#This Row],[BR]]/Mecze[[#This Row],[ST]],0)</f>
        <v>0</v>
      </c>
      <c r="AB2481">
        <f>ROUND(Mecze[[#This Row],[PD]]*Mecze[[#This Row],[%PC]],0)</f>
        <v>1</v>
      </c>
      <c r="AC2481">
        <f>ROUND(Mecze[[#This Row],[OD]]*Mecze[[#This Row],[%OU]],0)</f>
        <v>0</v>
      </c>
      <c r="AD2481" s="36" t="s">
        <v>175</v>
      </c>
      <c r="AE2481" s="36">
        <v>138</v>
      </c>
      <c r="AF2481" s="71">
        <v>-1.54</v>
      </c>
      <c r="AG2481" s="37">
        <v>0</v>
      </c>
      <c r="AH2481" s="37">
        <v>0</v>
      </c>
      <c r="AI2481" s="37">
        <v>96</v>
      </c>
      <c r="AJ2481" s="37">
        <v>2</v>
      </c>
      <c r="AK2481" s="37" t="str">
        <f>VLOOKUP(Mecze[[#This Row],[Match ID]],Meczusie[Mecz]:Meczusie[RodzajMeczu],2,FALSE)</f>
        <v>Liga</v>
      </c>
    </row>
    <row r="2482" spans="1:37" x14ac:dyDescent="0.25">
      <c r="A2482" s="76">
        <v>34</v>
      </c>
      <c r="B2482" s="3" t="s">
        <v>500</v>
      </c>
      <c r="C2482" s="2" t="s">
        <v>157</v>
      </c>
      <c r="D2482" s="1">
        <v>0</v>
      </c>
      <c r="E2482" s="1">
        <v>0</v>
      </c>
      <c r="F2482" s="1">
        <v>0</v>
      </c>
      <c r="G2482" s="1">
        <v>7</v>
      </c>
      <c r="H2482" s="4">
        <v>0</v>
      </c>
      <c r="I2482" s="1">
        <v>11</v>
      </c>
      <c r="J2482" s="4">
        <v>0.18</v>
      </c>
      <c r="K2482" s="1">
        <v>0</v>
      </c>
      <c r="L2482" s="1">
        <v>5</v>
      </c>
      <c r="M2482" s="32">
        <f>IF(Mecze[[#This Row],[PR]]=0,0,Mecze[[#This Row],[PR]]/Mecze[[#This Row],[CZAS]])</f>
        <v>5.2083333333333336E-2</v>
      </c>
      <c r="N2482" s="32">
        <f>IF(Mecze[[#This Row],[OU]]=0,0,Mecze[[#This Row],[OU]]/Mecze[[#This Row],[CZAS]])</f>
        <v>2.0833333333333332E-2</v>
      </c>
      <c r="O2482" s="32">
        <f>IF(Mecze[[#This Row],[PC]]=0,0,Mecze[[#This Row],[PC]]/Mecze[[#This Row],[CZAS]])</f>
        <v>0</v>
      </c>
      <c r="P2482" s="32">
        <f>IF(Mecze[[#This Row],[SC]]=0,0,Mecze[[#This Row],[SC]]/Mecze[[#This Row],[CZAS]])</f>
        <v>0</v>
      </c>
      <c r="Q2482" s="32">
        <f>IF(Mecze[[#This Row],[OB]]=0,0,Mecze[[#This Row],[OB]]/Mecze[[#This Row],[CZAS]])</f>
        <v>0</v>
      </c>
      <c r="R2482" s="32">
        <f>IF(Mecze[[#This Row],[BR]]=0,0,Mecze[[#This Row],[BR]]/Mecze[[#This Row],[CZAS]])</f>
        <v>0</v>
      </c>
      <c r="S2482" s="44">
        <f>IF(Mecze[[#This Row],[Role]]="BR",SUMPRODUCT(Mecze[[#This Row],[/PR:90]:[/BR:90]],Brudnopis!$E$23:$J$23),0)</f>
        <v>0</v>
      </c>
      <c r="T2482" s="44">
        <f>IF(Mecze[[#This Row],[Role]]&lt;&gt;"BR",SUMPRODUCT(Mecze[[#This Row],[/PR:90]:[/BR:90]],Brudnopis!$E$24:$J$24),0)</f>
        <v>8.3333333333333343E-2</v>
      </c>
      <c r="U2482" s="44">
        <f>IF(Mecze[[#This Row],[Role]]&lt;&gt;"BR",SUMPRODUCT(Mecze[[#This Row],[/PR:90]:[/BR:90]],Brudnopis!$E$25:$J$25),0)</f>
        <v>7.2916666666666671E-2</v>
      </c>
      <c r="V2482" s="44">
        <f>IF(Mecze[[#This Row],[Role]]&lt;&gt;"BR",SUMPRODUCT(Mecze[[#This Row],[/PR:90]:[/BR:90]],Brudnopis!$E$26:$J$26),0)</f>
        <v>7.2916666666666671E-2</v>
      </c>
      <c r="W2482" s="44">
        <f>IF(Mecze[[#This Row],[Role]]&lt;&gt;"BR",SUMPRODUCT(Mecze[[#This Row],[/PR:90]:[/BR:90]],Brudnopis!$E$27:$J$27),0)</f>
        <v>5.46875E-2</v>
      </c>
      <c r="X2482" s="44">
        <f>IF(Mecze[[#This Row],[Role]]&lt;&gt;"BR",SUMPRODUCT(Mecze[[#This Row],[/PR:90]:[/BR:90]],Brudnopis!$E$28:$J$28),0)</f>
        <v>0</v>
      </c>
      <c r="Y2482" s="35">
        <f>IF(Mecze[[#This Row],[Role]]="BR",Mecze[[#This Row],[/OB:90]]+Mecze[[#This Row],[/PC:90]],SUM(Mecze[[#This Row],[/PR:90]:[/BR:90]]))</f>
        <v>7.2916666666666671E-2</v>
      </c>
      <c r="Z2482" s="35">
        <f>IF(Mecze[[#This Row],[KC]]=0,SUM(Mecze[[#This Row],[/BRI]:[/NPI]]),SUM(Mecze[[#This Row],[/BRI]:[/NPI]])*0.6)</f>
        <v>0.28385416666666669</v>
      </c>
      <c r="AA2482" s="10">
        <f>IFERROR(Mecze[[#This Row],[BR]]/Mecze[[#This Row],[ST]],0)</f>
        <v>0</v>
      </c>
      <c r="AB2482">
        <f>ROUND(Mecze[[#This Row],[PD]]*Mecze[[#This Row],[%PC]],0)</f>
        <v>0</v>
      </c>
      <c r="AC2482">
        <f>ROUND(Mecze[[#This Row],[OD]]*Mecze[[#This Row],[%OU]],0)</f>
        <v>2</v>
      </c>
      <c r="AD2482" s="36" t="s">
        <v>47</v>
      </c>
      <c r="AE2482" s="36">
        <v>138</v>
      </c>
      <c r="AF2482" s="71">
        <v>-0.7</v>
      </c>
      <c r="AG2482" s="37">
        <v>0</v>
      </c>
      <c r="AH2482" s="37">
        <v>0</v>
      </c>
      <c r="AI2482" s="37">
        <v>96</v>
      </c>
      <c r="AJ2482" s="37">
        <v>2</v>
      </c>
      <c r="AK2482" s="37" t="str">
        <f>VLOOKUP(Mecze[[#This Row],[Match ID]],Meczusie[Mecz]:Meczusie[RodzajMeczu],2,FALSE)</f>
        <v>Liga</v>
      </c>
    </row>
    <row r="2483" spans="1:37" x14ac:dyDescent="0.25">
      <c r="A2483" s="76">
        <v>31</v>
      </c>
      <c r="B2483" s="3" t="s">
        <v>501</v>
      </c>
      <c r="C2483" s="2" t="s">
        <v>160</v>
      </c>
      <c r="D2483" s="1">
        <v>0</v>
      </c>
      <c r="E2483" s="1">
        <v>0</v>
      </c>
      <c r="F2483" s="1">
        <v>0</v>
      </c>
      <c r="G2483" s="1">
        <v>5</v>
      </c>
      <c r="H2483" s="4">
        <v>0.2</v>
      </c>
      <c r="I2483" s="1">
        <v>0</v>
      </c>
      <c r="J2483" s="4"/>
      <c r="K2483" s="1">
        <v>0</v>
      </c>
      <c r="L2483" s="1">
        <v>1</v>
      </c>
      <c r="M2483" s="32">
        <f>IF(Mecze[[#This Row],[PR]]=0,0,Mecze[[#This Row],[PR]]/Mecze[[#This Row],[CZAS]])</f>
        <v>1.0416666666666666E-2</v>
      </c>
      <c r="N2483" s="32">
        <f>IF(Mecze[[#This Row],[OU]]=0,0,Mecze[[#This Row],[OU]]/Mecze[[#This Row],[CZAS]])</f>
        <v>0</v>
      </c>
      <c r="O2483" s="32">
        <f>IF(Mecze[[#This Row],[PC]]=0,0,Mecze[[#This Row],[PC]]/Mecze[[#This Row],[CZAS]])</f>
        <v>1.0416666666666666E-2</v>
      </c>
      <c r="P2483" s="32">
        <f>IF(Mecze[[#This Row],[SC]]=0,0,Mecze[[#This Row],[SC]]/Mecze[[#This Row],[CZAS]])</f>
        <v>0</v>
      </c>
      <c r="Q2483" s="32">
        <f>IF(Mecze[[#This Row],[OB]]=0,0,Mecze[[#This Row],[OB]]/Mecze[[#This Row],[CZAS]])</f>
        <v>0</v>
      </c>
      <c r="R2483" s="32">
        <f>IF(Mecze[[#This Row],[BR]]=0,0,Mecze[[#This Row],[BR]]/Mecze[[#This Row],[CZAS]])</f>
        <v>0</v>
      </c>
      <c r="S2483" s="44">
        <f>IF(Mecze[[#This Row],[Role]]="BR",SUMPRODUCT(Mecze[[#This Row],[/PR:90]:[/BR:90]],Brudnopis!$E$23:$J$23),0)</f>
        <v>0</v>
      </c>
      <c r="T2483" s="44">
        <f>IF(Mecze[[#This Row],[Role]]&lt;&gt;"BR",SUMPRODUCT(Mecze[[#This Row],[/PR:90]:[/BR:90]],Brudnopis!$E$24:$J$24),0)</f>
        <v>2.0833333333333332E-2</v>
      </c>
      <c r="U2483" s="44">
        <f>IF(Mecze[[#This Row],[Role]]&lt;&gt;"BR",SUMPRODUCT(Mecze[[#This Row],[/PR:90]:[/BR:90]],Brudnopis!$E$25:$J$25),0)</f>
        <v>2.6041666666666664E-2</v>
      </c>
      <c r="V2483" s="44">
        <f>IF(Mecze[[#This Row],[Role]]&lt;&gt;"BR",SUMPRODUCT(Mecze[[#This Row],[/PR:90]:[/BR:90]],Brudnopis!$E$26:$J$26),0)</f>
        <v>2.0833333333333332E-2</v>
      </c>
      <c r="W2483" s="44">
        <f>IF(Mecze[[#This Row],[Role]]&lt;&gt;"BR",SUMPRODUCT(Mecze[[#This Row],[/PR:90]:[/BR:90]],Brudnopis!$E$27:$J$27),0)</f>
        <v>2.34375E-2</v>
      </c>
      <c r="X2483" s="44">
        <f>IF(Mecze[[#This Row],[Role]]&lt;&gt;"BR",SUMPRODUCT(Mecze[[#This Row],[/PR:90]:[/BR:90]],Brudnopis!$E$28:$J$28),0)</f>
        <v>1.0416666666666666E-2</v>
      </c>
      <c r="Y2483" s="35">
        <f>IF(Mecze[[#This Row],[Role]]="BR",Mecze[[#This Row],[/OB:90]]+Mecze[[#This Row],[/PC:90]],SUM(Mecze[[#This Row],[/PR:90]:[/BR:90]]))</f>
        <v>2.0833333333333332E-2</v>
      </c>
      <c r="Z2483" s="35">
        <f>IF(Mecze[[#This Row],[KC]]=0,SUM(Mecze[[#This Row],[/BRI]:[/NPI]]),SUM(Mecze[[#This Row],[/BRI]:[/NPI]])*0.6)</f>
        <v>0.1015625</v>
      </c>
      <c r="AA2483" s="10">
        <f>IFERROR(Mecze[[#This Row],[BR]]/Mecze[[#This Row],[ST]],0)</f>
        <v>0</v>
      </c>
      <c r="AB2483">
        <f>ROUND(Mecze[[#This Row],[PD]]*Mecze[[#This Row],[%PC]],0)</f>
        <v>1</v>
      </c>
      <c r="AC2483">
        <f>ROUND(Mecze[[#This Row],[OD]]*Mecze[[#This Row],[%OU]],0)</f>
        <v>0</v>
      </c>
      <c r="AD2483" s="36" t="s">
        <v>319</v>
      </c>
      <c r="AE2483" s="36">
        <v>138</v>
      </c>
      <c r="AF2483" s="71">
        <v>2.91</v>
      </c>
      <c r="AG2483" s="37">
        <v>0</v>
      </c>
      <c r="AH2483" s="37">
        <v>0</v>
      </c>
      <c r="AI2483" s="37">
        <v>96</v>
      </c>
      <c r="AJ2483" s="37">
        <v>2</v>
      </c>
      <c r="AK2483" s="37" t="str">
        <f>VLOOKUP(Mecze[[#This Row],[Match ID]],Meczusie[Mecz]:Meczusie[RodzajMeczu],2,FALSE)</f>
        <v>Liga</v>
      </c>
    </row>
    <row r="2484" spans="1:37" x14ac:dyDescent="0.25">
      <c r="A2484" s="76">
        <v>48</v>
      </c>
      <c r="B2484" s="3" t="s">
        <v>486</v>
      </c>
      <c r="C2484" s="2" t="s">
        <v>160</v>
      </c>
      <c r="D2484" s="1">
        <v>0</v>
      </c>
      <c r="E2484" s="1">
        <v>0</v>
      </c>
      <c r="F2484" s="1">
        <v>0</v>
      </c>
      <c r="G2484" s="1">
        <v>7</v>
      </c>
      <c r="H2484" s="4">
        <v>0.28999999999999998</v>
      </c>
      <c r="I2484" s="1">
        <v>5</v>
      </c>
      <c r="J2484" s="4">
        <v>0.2</v>
      </c>
      <c r="K2484" s="1">
        <v>0</v>
      </c>
      <c r="L2484" s="1">
        <v>0</v>
      </c>
      <c r="M2484" s="32">
        <f>IF(Mecze[[#This Row],[PR]]=0,0,Mecze[[#This Row],[PR]]/Mecze[[#This Row],[CZAS]])</f>
        <v>0</v>
      </c>
      <c r="N2484" s="32">
        <f>IF(Mecze[[#This Row],[OU]]=0,0,Mecze[[#This Row],[OU]]/Mecze[[#This Row],[CZAS]])</f>
        <v>1.0416666666666666E-2</v>
      </c>
      <c r="O2484" s="32">
        <f>IF(Mecze[[#This Row],[PC]]=0,0,Mecze[[#This Row],[PC]]/Mecze[[#This Row],[CZAS]])</f>
        <v>2.0833333333333332E-2</v>
      </c>
      <c r="P2484" s="32">
        <f>IF(Mecze[[#This Row],[SC]]=0,0,Mecze[[#This Row],[SC]]/Mecze[[#This Row],[CZAS]])</f>
        <v>0</v>
      </c>
      <c r="Q2484" s="32">
        <f>IF(Mecze[[#This Row],[OB]]=0,0,Mecze[[#This Row],[OB]]/Mecze[[#This Row],[CZAS]])</f>
        <v>0</v>
      </c>
      <c r="R2484" s="32">
        <f>IF(Mecze[[#This Row],[BR]]=0,0,Mecze[[#This Row],[BR]]/Mecze[[#This Row],[CZAS]])</f>
        <v>0</v>
      </c>
      <c r="S2484" s="44">
        <f>IF(Mecze[[#This Row],[Role]]="BR",SUMPRODUCT(Mecze[[#This Row],[/PR:90]:[/BR:90]],Brudnopis!$E$23:$J$23),0)</f>
        <v>0</v>
      </c>
      <c r="T2484" s="44">
        <f>IF(Mecze[[#This Row],[Role]]&lt;&gt;"BR",SUMPRODUCT(Mecze[[#This Row],[/PR:90]:[/BR:90]],Brudnopis!$E$24:$J$24),0)</f>
        <v>3.6458333333333329E-2</v>
      </c>
      <c r="U2484" s="44">
        <f>IF(Mecze[[#This Row],[Role]]&lt;&gt;"BR",SUMPRODUCT(Mecze[[#This Row],[/PR:90]:[/BR:90]],Brudnopis!$E$25:$J$25),0)</f>
        <v>4.1666666666666664E-2</v>
      </c>
      <c r="V2484" s="44">
        <f>IF(Mecze[[#This Row],[Role]]&lt;&gt;"BR",SUMPRODUCT(Mecze[[#This Row],[/PR:90]:[/BR:90]],Brudnopis!$E$26:$J$26),0)</f>
        <v>3.125E-2</v>
      </c>
      <c r="W2484" s="44">
        <f>IF(Mecze[[#This Row],[Role]]&lt;&gt;"BR",SUMPRODUCT(Mecze[[#This Row],[/PR:90]:[/BR:90]],Brudnopis!$E$27:$J$27),0)</f>
        <v>3.90625E-2</v>
      </c>
      <c r="X2484" s="44">
        <f>IF(Mecze[[#This Row],[Role]]&lt;&gt;"BR",SUMPRODUCT(Mecze[[#This Row],[/PR:90]:[/BR:90]],Brudnopis!$E$28:$J$28),0)</f>
        <v>2.0833333333333332E-2</v>
      </c>
      <c r="Y2484" s="35">
        <f>IF(Mecze[[#This Row],[Role]]="BR",Mecze[[#This Row],[/OB:90]]+Mecze[[#This Row],[/PC:90]],SUM(Mecze[[#This Row],[/PR:90]:[/BR:90]]))</f>
        <v>3.125E-2</v>
      </c>
      <c r="Z2484" s="35">
        <f>IF(Mecze[[#This Row],[KC]]=0,SUM(Mecze[[#This Row],[/BRI]:[/NPI]]),SUM(Mecze[[#This Row],[/BRI]:[/NPI]])*0.6)</f>
        <v>0.16927083333333334</v>
      </c>
      <c r="AA2484" s="10">
        <f>IFERROR(Mecze[[#This Row],[BR]]/Mecze[[#This Row],[ST]],0)</f>
        <v>0</v>
      </c>
      <c r="AB2484">
        <f>ROUND(Mecze[[#This Row],[PD]]*Mecze[[#This Row],[%PC]],0)</f>
        <v>2</v>
      </c>
      <c r="AC2484">
        <f>ROUND(Mecze[[#This Row],[OD]]*Mecze[[#This Row],[%OU]],0)</f>
        <v>1</v>
      </c>
      <c r="AD2484" s="36" t="s">
        <v>67</v>
      </c>
      <c r="AE2484" s="36">
        <v>138</v>
      </c>
      <c r="AF2484" s="71">
        <v>2.7</v>
      </c>
      <c r="AG2484" s="37">
        <v>0</v>
      </c>
      <c r="AH2484" s="37">
        <v>0</v>
      </c>
      <c r="AI2484" s="37">
        <v>96</v>
      </c>
      <c r="AJ2484" s="37">
        <v>2</v>
      </c>
      <c r="AK2484" s="37" t="str">
        <f>VLOOKUP(Mecze[[#This Row],[Match ID]],Meczusie[Mecz]:Meczusie[RodzajMeczu],2,FALSE)</f>
        <v>Liga</v>
      </c>
    </row>
    <row r="2485" spans="1:37" x14ac:dyDescent="0.25">
      <c r="A2485" s="76">
        <v>47</v>
      </c>
      <c r="B2485" s="3" t="s">
        <v>502</v>
      </c>
      <c r="C2485" s="2" t="s">
        <v>160</v>
      </c>
      <c r="D2485" s="1">
        <v>0</v>
      </c>
      <c r="E2485" s="1">
        <v>0</v>
      </c>
      <c r="F2485" s="1">
        <v>0</v>
      </c>
      <c r="G2485" s="1">
        <v>2</v>
      </c>
      <c r="H2485" s="4">
        <v>0</v>
      </c>
      <c r="I2485" s="1">
        <v>0</v>
      </c>
      <c r="J2485" s="4"/>
      <c r="K2485" s="1">
        <v>0</v>
      </c>
      <c r="L2485" s="1">
        <v>0</v>
      </c>
      <c r="M2485" s="32">
        <f>IF(Mecze[[#This Row],[PR]]=0,0,Mecze[[#This Row],[PR]]/Mecze[[#This Row],[CZAS]])</f>
        <v>0</v>
      </c>
      <c r="N2485" s="32">
        <f>IF(Mecze[[#This Row],[OU]]=0,0,Mecze[[#This Row],[OU]]/Mecze[[#This Row],[CZAS]])</f>
        <v>0</v>
      </c>
      <c r="O2485" s="32">
        <f>IF(Mecze[[#This Row],[PC]]=0,0,Mecze[[#This Row],[PC]]/Mecze[[#This Row],[CZAS]])</f>
        <v>0</v>
      </c>
      <c r="P2485" s="32">
        <f>IF(Mecze[[#This Row],[SC]]=0,0,Mecze[[#This Row],[SC]]/Mecze[[#This Row],[CZAS]])</f>
        <v>0</v>
      </c>
      <c r="Q2485" s="32">
        <f>IF(Mecze[[#This Row],[OB]]=0,0,Mecze[[#This Row],[OB]]/Mecze[[#This Row],[CZAS]])</f>
        <v>0</v>
      </c>
      <c r="R2485" s="32">
        <f>IF(Mecze[[#This Row],[BR]]=0,0,Mecze[[#This Row],[BR]]/Mecze[[#This Row],[CZAS]])</f>
        <v>0</v>
      </c>
      <c r="S2485" s="44">
        <f>IF(Mecze[[#This Row],[Role]]="BR",SUMPRODUCT(Mecze[[#This Row],[/PR:90]:[/BR:90]],Brudnopis!$E$23:$J$23),0)</f>
        <v>0</v>
      </c>
      <c r="T2485" s="44">
        <f>IF(Mecze[[#This Row],[Role]]&lt;&gt;"BR",SUMPRODUCT(Mecze[[#This Row],[/PR:90]:[/BR:90]],Brudnopis!$E$24:$J$24),0)</f>
        <v>0</v>
      </c>
      <c r="U2485" s="44">
        <f>IF(Mecze[[#This Row],[Role]]&lt;&gt;"BR",SUMPRODUCT(Mecze[[#This Row],[/PR:90]:[/BR:90]],Brudnopis!$E$25:$J$25),0)</f>
        <v>0</v>
      </c>
      <c r="V2485" s="44">
        <f>IF(Mecze[[#This Row],[Role]]&lt;&gt;"BR",SUMPRODUCT(Mecze[[#This Row],[/PR:90]:[/BR:90]],Brudnopis!$E$26:$J$26),0)</f>
        <v>0</v>
      </c>
      <c r="W2485" s="44">
        <f>IF(Mecze[[#This Row],[Role]]&lt;&gt;"BR",SUMPRODUCT(Mecze[[#This Row],[/PR:90]:[/BR:90]],Brudnopis!$E$27:$J$27),0)</f>
        <v>0</v>
      </c>
      <c r="X2485" s="44">
        <f>IF(Mecze[[#This Row],[Role]]&lt;&gt;"BR",SUMPRODUCT(Mecze[[#This Row],[/PR:90]:[/BR:90]],Brudnopis!$E$28:$J$28),0)</f>
        <v>0</v>
      </c>
      <c r="Y2485" s="35">
        <f>IF(Mecze[[#This Row],[Role]]="BR",Mecze[[#This Row],[/OB:90]]+Mecze[[#This Row],[/PC:90]],SUM(Mecze[[#This Row],[/PR:90]:[/BR:90]]))</f>
        <v>0</v>
      </c>
      <c r="Z2485" s="35">
        <f>IF(Mecze[[#This Row],[KC]]=0,SUM(Mecze[[#This Row],[/BRI]:[/NPI]]),SUM(Mecze[[#This Row],[/BRI]:[/NPI]])*0.6)</f>
        <v>0</v>
      </c>
      <c r="AA2485" s="10">
        <f>IFERROR(Mecze[[#This Row],[BR]]/Mecze[[#This Row],[ST]],0)</f>
        <v>0</v>
      </c>
      <c r="AB2485">
        <f>ROUND(Mecze[[#This Row],[PD]]*Mecze[[#This Row],[%PC]],0)</f>
        <v>0</v>
      </c>
      <c r="AC2485">
        <f>ROUND(Mecze[[#This Row],[OD]]*Mecze[[#This Row],[%OU]],0)</f>
        <v>0</v>
      </c>
      <c r="AD2485" s="36" t="s">
        <v>318</v>
      </c>
      <c r="AE2485" s="36">
        <v>138</v>
      </c>
      <c r="AF2485" s="71">
        <v>2.7</v>
      </c>
      <c r="AG2485" s="37">
        <v>0</v>
      </c>
      <c r="AH2485" s="37">
        <v>0</v>
      </c>
      <c r="AI2485" s="37">
        <v>96</v>
      </c>
      <c r="AJ2485" s="37">
        <v>2</v>
      </c>
      <c r="AK2485" s="37" t="str">
        <f>VLOOKUP(Mecze[[#This Row],[Match ID]],Meczusie[Mecz]:Meczusie[RodzajMeczu],2,FALSE)</f>
        <v>Liga</v>
      </c>
    </row>
    <row r="2486" spans="1:37" x14ac:dyDescent="0.25">
      <c r="A2486" s="76">
        <v>43</v>
      </c>
      <c r="B2486" s="3" t="s">
        <v>503</v>
      </c>
      <c r="C2486" s="2" t="s">
        <v>160</v>
      </c>
      <c r="D2486" s="1">
        <v>0</v>
      </c>
      <c r="E2486" s="1">
        <v>0</v>
      </c>
      <c r="F2486" s="1">
        <v>0</v>
      </c>
      <c r="G2486" s="1">
        <v>5</v>
      </c>
      <c r="H2486" s="4">
        <v>0.8</v>
      </c>
      <c r="I2486" s="1">
        <v>4</v>
      </c>
      <c r="J2486" s="4">
        <v>0</v>
      </c>
      <c r="K2486" s="1">
        <v>0</v>
      </c>
      <c r="L2486" s="1">
        <v>0</v>
      </c>
      <c r="M2486" s="32">
        <f>IF(Mecze[[#This Row],[PR]]=0,0,Mecze[[#This Row],[PR]]/Mecze[[#This Row],[CZAS]])</f>
        <v>0</v>
      </c>
      <c r="N2486" s="32">
        <f>IF(Mecze[[#This Row],[OU]]=0,0,Mecze[[#This Row],[OU]]/Mecze[[#This Row],[CZAS]])</f>
        <v>0</v>
      </c>
      <c r="O2486" s="32">
        <f>IF(Mecze[[#This Row],[PC]]=0,0,Mecze[[#This Row],[PC]]/Mecze[[#This Row],[CZAS]])</f>
        <v>4.1666666666666664E-2</v>
      </c>
      <c r="P2486" s="32">
        <f>IF(Mecze[[#This Row],[SC]]=0,0,Mecze[[#This Row],[SC]]/Mecze[[#This Row],[CZAS]])</f>
        <v>0</v>
      </c>
      <c r="Q2486" s="32">
        <f>IF(Mecze[[#This Row],[OB]]=0,0,Mecze[[#This Row],[OB]]/Mecze[[#This Row],[CZAS]])</f>
        <v>0</v>
      </c>
      <c r="R2486" s="32">
        <f>IF(Mecze[[#This Row],[BR]]=0,0,Mecze[[#This Row],[BR]]/Mecze[[#This Row],[CZAS]])</f>
        <v>0</v>
      </c>
      <c r="S2486" s="44">
        <f>IF(Mecze[[#This Row],[Role]]="BR",SUMPRODUCT(Mecze[[#This Row],[/PR:90]:[/BR:90]],Brudnopis!$E$23:$J$23),0)</f>
        <v>0</v>
      </c>
      <c r="T2486" s="44">
        <f>IF(Mecze[[#This Row],[Role]]&lt;&gt;"BR",SUMPRODUCT(Mecze[[#This Row],[/PR:90]:[/BR:90]],Brudnopis!$E$24:$J$24),0)</f>
        <v>4.1666666666666664E-2</v>
      </c>
      <c r="U2486" s="44">
        <f>IF(Mecze[[#This Row],[Role]]&lt;&gt;"BR",SUMPRODUCT(Mecze[[#This Row],[/PR:90]:[/BR:90]],Brudnopis!$E$25:$J$25),0)</f>
        <v>6.25E-2</v>
      </c>
      <c r="V2486" s="44">
        <f>IF(Mecze[[#This Row],[Role]]&lt;&gt;"BR",SUMPRODUCT(Mecze[[#This Row],[/PR:90]:[/BR:90]],Brudnopis!$E$26:$J$26),0)</f>
        <v>4.1666666666666664E-2</v>
      </c>
      <c r="W2486" s="44">
        <f>IF(Mecze[[#This Row],[Role]]&lt;&gt;"BR",SUMPRODUCT(Mecze[[#This Row],[/PR:90]:[/BR:90]],Brudnopis!$E$27:$J$27),0)</f>
        <v>6.25E-2</v>
      </c>
      <c r="X2486" s="44">
        <f>IF(Mecze[[#This Row],[Role]]&lt;&gt;"BR",SUMPRODUCT(Mecze[[#This Row],[/PR:90]:[/BR:90]],Brudnopis!$E$28:$J$28),0)</f>
        <v>4.1666666666666664E-2</v>
      </c>
      <c r="Y2486" s="35">
        <f>IF(Mecze[[#This Row],[Role]]="BR",Mecze[[#This Row],[/OB:90]]+Mecze[[#This Row],[/PC:90]],SUM(Mecze[[#This Row],[/PR:90]:[/BR:90]]))</f>
        <v>4.1666666666666664E-2</v>
      </c>
      <c r="Z2486" s="35">
        <f>IF(Mecze[[#This Row],[KC]]=0,SUM(Mecze[[#This Row],[/BRI]:[/NPI]]),SUM(Mecze[[#This Row],[/BRI]:[/NPI]])*0.6)</f>
        <v>0.24999999999999997</v>
      </c>
      <c r="AA2486" s="10">
        <f>IFERROR(Mecze[[#This Row],[BR]]/Mecze[[#This Row],[ST]],0)</f>
        <v>0</v>
      </c>
      <c r="AB2486">
        <f>ROUND(Mecze[[#This Row],[PD]]*Mecze[[#This Row],[%PC]],0)</f>
        <v>4</v>
      </c>
      <c r="AC2486">
        <f>ROUND(Mecze[[#This Row],[OD]]*Mecze[[#This Row],[%OU]],0)</f>
        <v>0</v>
      </c>
      <c r="AD2486" s="36" t="s">
        <v>67</v>
      </c>
      <c r="AE2486" s="36">
        <v>138</v>
      </c>
      <c r="AF2486" s="71">
        <v>4.82</v>
      </c>
      <c r="AG2486" s="37">
        <v>0</v>
      </c>
      <c r="AH2486" s="37">
        <v>0</v>
      </c>
      <c r="AI2486" s="37">
        <v>96</v>
      </c>
      <c r="AJ2486" s="37">
        <v>2</v>
      </c>
      <c r="AK2486" s="37" t="str">
        <f>VLOOKUP(Mecze[[#This Row],[Match ID]],Meczusie[Mecz]:Meczusie[RodzajMeczu],2,FALSE)</f>
        <v>Liga</v>
      </c>
    </row>
    <row r="2487" spans="1:37" x14ac:dyDescent="0.25">
      <c r="A2487" s="76">
        <v>72</v>
      </c>
      <c r="B2487" s="3" t="s">
        <v>488</v>
      </c>
      <c r="C2487" s="2" t="s">
        <v>165</v>
      </c>
      <c r="D2487" s="1">
        <v>0</v>
      </c>
      <c r="E2487" s="1">
        <v>0</v>
      </c>
      <c r="F2487" s="1">
        <v>0</v>
      </c>
      <c r="G2487" s="1">
        <v>1</v>
      </c>
      <c r="H2487" s="4">
        <v>0</v>
      </c>
      <c r="I2487" s="1">
        <v>3</v>
      </c>
      <c r="J2487" s="4">
        <v>0</v>
      </c>
      <c r="K2487" s="1">
        <v>0</v>
      </c>
      <c r="L2487" s="1">
        <v>0</v>
      </c>
      <c r="M2487" s="32">
        <f>IF(Mecze[[#This Row],[PR]]=0,0,Mecze[[#This Row],[PR]]/Mecze[[#This Row],[CZAS]])</f>
        <v>0</v>
      </c>
      <c r="N2487" s="32">
        <f>IF(Mecze[[#This Row],[OU]]=0,0,Mecze[[#This Row],[OU]]/Mecze[[#This Row],[CZAS]])</f>
        <v>0</v>
      </c>
      <c r="O2487" s="32">
        <f>IF(Mecze[[#This Row],[PC]]=0,0,Mecze[[#This Row],[PC]]/Mecze[[#This Row],[CZAS]])</f>
        <v>0</v>
      </c>
      <c r="P2487" s="32">
        <f>IF(Mecze[[#This Row],[SC]]=0,0,Mecze[[#This Row],[SC]]/Mecze[[#This Row],[CZAS]])</f>
        <v>0</v>
      </c>
      <c r="Q2487" s="32">
        <f>IF(Mecze[[#This Row],[OB]]=0,0,Mecze[[#This Row],[OB]]/Mecze[[#This Row],[CZAS]])</f>
        <v>0</v>
      </c>
      <c r="R2487" s="32">
        <f>IF(Mecze[[#This Row],[BR]]=0,0,Mecze[[#This Row],[BR]]/Mecze[[#This Row],[CZAS]])</f>
        <v>0</v>
      </c>
      <c r="S2487" s="44">
        <f>IF(Mecze[[#This Row],[Role]]="BR",SUMPRODUCT(Mecze[[#This Row],[/PR:90]:[/BR:90]],Brudnopis!$E$23:$J$23),0)</f>
        <v>0</v>
      </c>
      <c r="T2487" s="44">
        <f>IF(Mecze[[#This Row],[Role]]&lt;&gt;"BR",SUMPRODUCT(Mecze[[#This Row],[/PR:90]:[/BR:90]],Brudnopis!$E$24:$J$24),0)</f>
        <v>0</v>
      </c>
      <c r="U2487" s="44">
        <f>IF(Mecze[[#This Row],[Role]]&lt;&gt;"BR",SUMPRODUCT(Mecze[[#This Row],[/PR:90]:[/BR:90]],Brudnopis!$E$25:$J$25),0)</f>
        <v>0</v>
      </c>
      <c r="V2487" s="44">
        <f>IF(Mecze[[#This Row],[Role]]&lt;&gt;"BR",SUMPRODUCT(Mecze[[#This Row],[/PR:90]:[/BR:90]],Brudnopis!$E$26:$J$26),0)</f>
        <v>0</v>
      </c>
      <c r="W2487" s="44">
        <f>IF(Mecze[[#This Row],[Role]]&lt;&gt;"BR",SUMPRODUCT(Mecze[[#This Row],[/PR:90]:[/BR:90]],Brudnopis!$E$27:$J$27),0)</f>
        <v>0</v>
      </c>
      <c r="X2487" s="44">
        <f>IF(Mecze[[#This Row],[Role]]&lt;&gt;"BR",SUMPRODUCT(Mecze[[#This Row],[/PR:90]:[/BR:90]],Brudnopis!$E$28:$J$28),0)</f>
        <v>0</v>
      </c>
      <c r="Y2487" s="35">
        <f>IF(Mecze[[#This Row],[Role]]="BR",Mecze[[#This Row],[/OB:90]]+Mecze[[#This Row],[/PC:90]],SUM(Mecze[[#This Row],[/PR:90]:[/BR:90]]))</f>
        <v>0</v>
      </c>
      <c r="Z2487" s="35">
        <f>IF(Mecze[[#This Row],[KC]]=0,SUM(Mecze[[#This Row],[/BRI]:[/NPI]]),SUM(Mecze[[#This Row],[/BRI]:[/NPI]])*0.6)</f>
        <v>0</v>
      </c>
      <c r="AA2487" s="10">
        <f>IFERROR(Mecze[[#This Row],[BR]]/Mecze[[#This Row],[ST]],0)</f>
        <v>0</v>
      </c>
      <c r="AB2487">
        <f>ROUND(Mecze[[#This Row],[PD]]*Mecze[[#This Row],[%PC]],0)</f>
        <v>0</v>
      </c>
      <c r="AC2487">
        <f>ROUND(Mecze[[#This Row],[OD]]*Mecze[[#This Row],[%OU]],0)</f>
        <v>0</v>
      </c>
      <c r="AD2487" s="36" t="s">
        <v>273</v>
      </c>
      <c r="AE2487" s="36">
        <v>138</v>
      </c>
      <c r="AF2487" s="71">
        <v>2.71</v>
      </c>
      <c r="AG2487" s="37">
        <v>0</v>
      </c>
      <c r="AH2487" s="37">
        <v>0</v>
      </c>
      <c r="AI2487" s="37">
        <v>96</v>
      </c>
      <c r="AJ2487" s="37">
        <v>2</v>
      </c>
      <c r="AK2487" s="37" t="str">
        <f>VLOOKUP(Mecze[[#This Row],[Match ID]],Meczusie[Mecz]:Meczusie[RodzajMeczu],2,FALSE)</f>
        <v>Liga</v>
      </c>
    </row>
    <row r="2488" spans="1:37" x14ac:dyDescent="0.25">
      <c r="A2488" s="76">
        <v>71</v>
      </c>
      <c r="B2488" s="3" t="s">
        <v>489</v>
      </c>
      <c r="C2488" s="2" t="s">
        <v>165</v>
      </c>
      <c r="D2488" s="1">
        <v>0</v>
      </c>
      <c r="E2488" s="1">
        <v>0</v>
      </c>
      <c r="F2488" s="1">
        <v>0</v>
      </c>
      <c r="G2488" s="1">
        <v>7</v>
      </c>
      <c r="H2488" s="4">
        <v>0.28999999999999998</v>
      </c>
      <c r="I2488" s="1">
        <v>2</v>
      </c>
      <c r="J2488" s="4">
        <v>0</v>
      </c>
      <c r="K2488" s="1">
        <v>0</v>
      </c>
      <c r="L2488" s="1">
        <v>0</v>
      </c>
      <c r="M2488" s="32">
        <f>IF(Mecze[[#This Row],[PR]]=0,0,Mecze[[#This Row],[PR]]/Mecze[[#This Row],[CZAS]])</f>
        <v>0</v>
      </c>
      <c r="N2488" s="32">
        <f>IF(Mecze[[#This Row],[OU]]=0,0,Mecze[[#This Row],[OU]]/Mecze[[#This Row],[CZAS]])</f>
        <v>0</v>
      </c>
      <c r="O2488" s="32">
        <f>IF(Mecze[[#This Row],[PC]]=0,0,Mecze[[#This Row],[PC]]/Mecze[[#This Row],[CZAS]])</f>
        <v>2.0833333333333332E-2</v>
      </c>
      <c r="P2488" s="32">
        <f>IF(Mecze[[#This Row],[SC]]=0,0,Mecze[[#This Row],[SC]]/Mecze[[#This Row],[CZAS]])</f>
        <v>0</v>
      </c>
      <c r="Q2488" s="32">
        <f>IF(Mecze[[#This Row],[OB]]=0,0,Mecze[[#This Row],[OB]]/Mecze[[#This Row],[CZAS]])</f>
        <v>0</v>
      </c>
      <c r="R2488" s="32">
        <f>IF(Mecze[[#This Row],[BR]]=0,0,Mecze[[#This Row],[BR]]/Mecze[[#This Row],[CZAS]])</f>
        <v>0</v>
      </c>
      <c r="S2488" s="44">
        <f>IF(Mecze[[#This Row],[Role]]="BR",SUMPRODUCT(Mecze[[#This Row],[/PR:90]:[/BR:90]],Brudnopis!$E$23:$J$23),0)</f>
        <v>0</v>
      </c>
      <c r="T2488" s="44">
        <f>IF(Mecze[[#This Row],[Role]]&lt;&gt;"BR",SUMPRODUCT(Mecze[[#This Row],[/PR:90]:[/BR:90]],Brudnopis!$E$24:$J$24),0)</f>
        <v>2.0833333333333332E-2</v>
      </c>
      <c r="U2488" s="44">
        <f>IF(Mecze[[#This Row],[Role]]&lt;&gt;"BR",SUMPRODUCT(Mecze[[#This Row],[/PR:90]:[/BR:90]],Brudnopis!$E$25:$J$25),0)</f>
        <v>3.125E-2</v>
      </c>
      <c r="V2488" s="44">
        <f>IF(Mecze[[#This Row],[Role]]&lt;&gt;"BR",SUMPRODUCT(Mecze[[#This Row],[/PR:90]:[/BR:90]],Brudnopis!$E$26:$J$26),0)</f>
        <v>2.0833333333333332E-2</v>
      </c>
      <c r="W2488" s="44">
        <f>IF(Mecze[[#This Row],[Role]]&lt;&gt;"BR",SUMPRODUCT(Mecze[[#This Row],[/PR:90]:[/BR:90]],Brudnopis!$E$27:$J$27),0)</f>
        <v>3.125E-2</v>
      </c>
      <c r="X2488" s="44">
        <f>IF(Mecze[[#This Row],[Role]]&lt;&gt;"BR",SUMPRODUCT(Mecze[[#This Row],[/PR:90]:[/BR:90]],Brudnopis!$E$28:$J$28),0)</f>
        <v>2.0833333333333332E-2</v>
      </c>
      <c r="Y2488" s="35">
        <f>IF(Mecze[[#This Row],[Role]]="BR",Mecze[[#This Row],[/OB:90]]+Mecze[[#This Row],[/PC:90]],SUM(Mecze[[#This Row],[/PR:90]:[/BR:90]]))</f>
        <v>2.0833333333333332E-2</v>
      </c>
      <c r="Z2488" s="35">
        <f>IF(Mecze[[#This Row],[KC]]=0,SUM(Mecze[[#This Row],[/BRI]:[/NPI]]),SUM(Mecze[[#This Row],[/BRI]:[/NPI]])*0.6)</f>
        <v>0.12499999999999999</v>
      </c>
      <c r="AA2488" s="10">
        <f>IFERROR(Mecze[[#This Row],[BR]]/Mecze[[#This Row],[ST]],0)</f>
        <v>0</v>
      </c>
      <c r="AB2488">
        <f>ROUND(Mecze[[#This Row],[PD]]*Mecze[[#This Row],[%PC]],0)</f>
        <v>2</v>
      </c>
      <c r="AC2488">
        <f>ROUND(Mecze[[#This Row],[OD]]*Mecze[[#This Row],[%OU]],0)</f>
        <v>0</v>
      </c>
      <c r="AD2488" s="36" t="s">
        <v>272</v>
      </c>
      <c r="AE2488" s="36">
        <v>138</v>
      </c>
      <c r="AF2488" s="71">
        <v>2.71</v>
      </c>
      <c r="AG2488" s="37">
        <v>0</v>
      </c>
      <c r="AH2488" s="37">
        <v>0</v>
      </c>
      <c r="AI2488" s="37">
        <v>96</v>
      </c>
      <c r="AJ2488" s="37">
        <v>2</v>
      </c>
      <c r="AK2488" s="37" t="str">
        <f>VLOOKUP(Mecze[[#This Row],[Match ID]],Meczusie[Mecz]:Meczusie[RodzajMeczu],2,FALSE)</f>
        <v>Liga</v>
      </c>
    </row>
    <row r="2489" spans="1:37" x14ac:dyDescent="0.25">
      <c r="A2489" s="76">
        <v>1</v>
      </c>
      <c r="B2489" s="3" t="s">
        <v>169</v>
      </c>
      <c r="C2489" s="2" t="s">
        <v>155</v>
      </c>
      <c r="D2489" s="1">
        <v>0</v>
      </c>
      <c r="E2489" s="1">
        <v>0</v>
      </c>
      <c r="F2489" s="1">
        <v>0</v>
      </c>
      <c r="G2489" s="1">
        <v>15</v>
      </c>
      <c r="H2489" s="4">
        <v>0.67</v>
      </c>
      <c r="I2489" s="1">
        <v>0</v>
      </c>
      <c r="J2489" s="4"/>
      <c r="K2489" s="1">
        <v>11</v>
      </c>
      <c r="L2489" s="1">
        <v>0</v>
      </c>
      <c r="M2489" s="32">
        <f>IF(Mecze[[#This Row],[PR]]=0,0,Mecze[[#This Row],[PR]]/Mecze[[#This Row],[CZAS]])</f>
        <v>0</v>
      </c>
      <c r="N2489" s="32">
        <f>IF(Mecze[[#This Row],[OU]]=0,0,Mecze[[#This Row],[OU]]/Mecze[[#This Row],[CZAS]])</f>
        <v>0</v>
      </c>
      <c r="O2489" s="32">
        <f>IF(Mecze[[#This Row],[PC]]=0,0,Mecze[[#This Row],[PC]]/Mecze[[#This Row],[CZAS]])</f>
        <v>0.10309278350515463</v>
      </c>
      <c r="P2489" s="32">
        <f>IF(Mecze[[#This Row],[SC]]=0,0,Mecze[[#This Row],[SC]]/Mecze[[#This Row],[CZAS]])</f>
        <v>0</v>
      </c>
      <c r="Q2489" s="32">
        <f>IF(Mecze[[#This Row],[OB]]=0,0,Mecze[[#This Row],[OB]]/Mecze[[#This Row],[CZAS]])</f>
        <v>0.1134020618556701</v>
      </c>
      <c r="R2489" s="32">
        <f>IF(Mecze[[#This Row],[BR]]=0,0,Mecze[[#This Row],[BR]]/Mecze[[#This Row],[CZAS]])</f>
        <v>0</v>
      </c>
      <c r="S2489" s="44">
        <f>IF(Mecze[[#This Row],[Role]]="BR",SUMPRODUCT(Mecze[[#This Row],[/PR:90]:[/BR:90]],Brudnopis!$E$23:$J$23),0)</f>
        <v>0.64948453608247425</v>
      </c>
      <c r="T2489" s="44">
        <f>IF(Mecze[[#This Row],[Role]]&lt;&gt;"BR",SUMPRODUCT(Mecze[[#This Row],[/PR:90]:[/BR:90]],Brudnopis!$E$24:$J$24),0)</f>
        <v>0</v>
      </c>
      <c r="U2489" s="44">
        <f>IF(Mecze[[#This Row],[Role]]&lt;&gt;"BR",SUMPRODUCT(Mecze[[#This Row],[/PR:90]:[/BR:90]],Brudnopis!$E$25:$J$25),0)</f>
        <v>0</v>
      </c>
      <c r="V2489" s="44">
        <f>IF(Mecze[[#This Row],[Role]]&lt;&gt;"BR",SUMPRODUCT(Mecze[[#This Row],[/PR:90]:[/BR:90]],Brudnopis!$E$26:$J$26),0)</f>
        <v>0</v>
      </c>
      <c r="W2489" s="44">
        <f>IF(Mecze[[#This Row],[Role]]&lt;&gt;"BR",SUMPRODUCT(Mecze[[#This Row],[/PR:90]:[/BR:90]],Brudnopis!$E$27:$J$27),0)</f>
        <v>0</v>
      </c>
      <c r="X2489" s="44">
        <f>IF(Mecze[[#This Row],[Role]]&lt;&gt;"BR",SUMPRODUCT(Mecze[[#This Row],[/PR:90]:[/BR:90]],Brudnopis!$E$28:$J$28),0)</f>
        <v>0</v>
      </c>
      <c r="Y2489" s="35">
        <f>IF(Mecze[[#This Row],[Role]]="BR",Mecze[[#This Row],[/OB:90]]+Mecze[[#This Row],[/PC:90]],SUM(Mecze[[#This Row],[/PR:90]:[/BR:90]]))</f>
        <v>0.21649484536082475</v>
      </c>
      <c r="Z2489" s="35">
        <f>IF(Mecze[[#This Row],[KC]]=0,SUM(Mecze[[#This Row],[/BRI]:[/NPI]]),SUM(Mecze[[#This Row],[/BRI]:[/NPI]])*0.6)</f>
        <v>0.64948453608247425</v>
      </c>
      <c r="AA2489" s="10">
        <f>IFERROR(Mecze[[#This Row],[BR]]/Mecze[[#This Row],[ST]],0)</f>
        <v>0</v>
      </c>
      <c r="AB2489">
        <f>ROUND(Mecze[[#This Row],[PD]]*Mecze[[#This Row],[%PC]],0)</f>
        <v>10</v>
      </c>
      <c r="AC2489">
        <f>ROUND(Mecze[[#This Row],[OD]]*Mecze[[#This Row],[%OU]],0)</f>
        <v>0</v>
      </c>
      <c r="AD2489" s="36" t="s">
        <v>40</v>
      </c>
      <c r="AE2489" s="36">
        <v>139</v>
      </c>
      <c r="AF2489" s="71">
        <v>6.66</v>
      </c>
      <c r="AG2489" s="37">
        <v>0</v>
      </c>
      <c r="AH2489" s="37">
        <v>0</v>
      </c>
      <c r="AI2489" s="37">
        <v>97</v>
      </c>
      <c r="AJ2489" s="37">
        <v>1</v>
      </c>
      <c r="AK2489" s="37" t="str">
        <f>VLOOKUP(Mecze[[#This Row],[Match ID]],Meczusie[Mecz]:Meczusie[RodzajMeczu],2,FALSE)</f>
        <v>Liga</v>
      </c>
    </row>
    <row r="2490" spans="1:37" x14ac:dyDescent="0.25">
      <c r="A2490" s="76">
        <v>5</v>
      </c>
      <c r="B2490" s="3" t="s">
        <v>161</v>
      </c>
      <c r="C2490" s="2" t="s">
        <v>157</v>
      </c>
      <c r="D2490" s="1">
        <v>0</v>
      </c>
      <c r="E2490" s="1">
        <v>0</v>
      </c>
      <c r="F2490" s="1">
        <v>0</v>
      </c>
      <c r="G2490" s="1">
        <v>16</v>
      </c>
      <c r="H2490" s="4">
        <v>0.69</v>
      </c>
      <c r="I2490" s="1">
        <v>14</v>
      </c>
      <c r="J2490" s="4">
        <v>0.43</v>
      </c>
      <c r="K2490" s="1">
        <v>0</v>
      </c>
      <c r="L2490" s="1">
        <v>7</v>
      </c>
      <c r="M2490" s="32">
        <f>IF(Mecze[[#This Row],[PR]]=0,0,Mecze[[#This Row],[PR]]/Mecze[[#This Row],[CZAS]])</f>
        <v>7.2164948453608241E-2</v>
      </c>
      <c r="N2490" s="32">
        <f>IF(Mecze[[#This Row],[OU]]=0,0,Mecze[[#This Row],[OU]]/Mecze[[#This Row],[CZAS]])</f>
        <v>6.1855670103092786E-2</v>
      </c>
      <c r="O2490" s="32">
        <f>IF(Mecze[[#This Row],[PC]]=0,0,Mecze[[#This Row],[PC]]/Mecze[[#This Row],[CZAS]])</f>
        <v>0.1134020618556701</v>
      </c>
      <c r="P2490" s="32">
        <f>IF(Mecze[[#This Row],[SC]]=0,0,Mecze[[#This Row],[SC]]/Mecze[[#This Row],[CZAS]])</f>
        <v>0</v>
      </c>
      <c r="Q2490" s="32">
        <f>IF(Mecze[[#This Row],[OB]]=0,0,Mecze[[#This Row],[OB]]/Mecze[[#This Row],[CZAS]])</f>
        <v>0</v>
      </c>
      <c r="R2490" s="32">
        <f>IF(Mecze[[#This Row],[BR]]=0,0,Mecze[[#This Row],[BR]]/Mecze[[#This Row],[CZAS]])</f>
        <v>0</v>
      </c>
      <c r="S2490" s="44">
        <f>IF(Mecze[[#This Row],[Role]]="BR",SUMPRODUCT(Mecze[[#This Row],[/PR:90]:[/BR:90]],Brudnopis!$E$23:$J$23),0)</f>
        <v>0</v>
      </c>
      <c r="T2490" s="44">
        <f>IF(Mecze[[#This Row],[Role]]&lt;&gt;"BR",SUMPRODUCT(Mecze[[#This Row],[/PR:90]:[/BR:90]],Brudnopis!$E$24:$J$24),0)</f>
        <v>0.27835051546391754</v>
      </c>
      <c r="U2490" s="44">
        <f>IF(Mecze[[#This Row],[Role]]&lt;&gt;"BR",SUMPRODUCT(Mecze[[#This Row],[/PR:90]:[/BR:90]],Brudnopis!$E$25:$J$25),0)</f>
        <v>0.30412371134020622</v>
      </c>
      <c r="V2490" s="44">
        <f>IF(Mecze[[#This Row],[Role]]&lt;&gt;"BR",SUMPRODUCT(Mecze[[#This Row],[/PR:90]:[/BR:90]],Brudnopis!$E$26:$J$26),0)</f>
        <v>0.24742268041237114</v>
      </c>
      <c r="W2490" s="44">
        <f>IF(Mecze[[#This Row],[Role]]&lt;&gt;"BR",SUMPRODUCT(Mecze[[#This Row],[/PR:90]:[/BR:90]],Brudnopis!$E$27:$J$27),0)</f>
        <v>0.27061855670103097</v>
      </c>
      <c r="X2490" s="44">
        <f>IF(Mecze[[#This Row],[Role]]&lt;&gt;"BR",SUMPRODUCT(Mecze[[#This Row],[/PR:90]:[/BR:90]],Brudnopis!$E$28:$J$28),0)</f>
        <v>0.1134020618556701</v>
      </c>
      <c r="Y2490" s="35">
        <f>IF(Mecze[[#This Row],[Role]]="BR",Mecze[[#This Row],[/OB:90]]+Mecze[[#This Row],[/PC:90]],SUM(Mecze[[#This Row],[/PR:90]:[/BR:90]]))</f>
        <v>0.24742268041237114</v>
      </c>
      <c r="Z2490" s="35">
        <f>IF(Mecze[[#This Row],[KC]]=0,SUM(Mecze[[#This Row],[/BRI]:[/NPI]]),SUM(Mecze[[#This Row],[/BRI]:[/NPI]])*0.6)</f>
        <v>1.213917525773196</v>
      </c>
      <c r="AA2490" s="10">
        <f>IFERROR(Mecze[[#This Row],[BR]]/Mecze[[#This Row],[ST]],0)</f>
        <v>0</v>
      </c>
      <c r="AB2490">
        <f>ROUND(Mecze[[#This Row],[PD]]*Mecze[[#This Row],[%PC]],0)</f>
        <v>11</v>
      </c>
      <c r="AC2490">
        <f>ROUND(Mecze[[#This Row],[OD]]*Mecze[[#This Row],[%OU]],0)</f>
        <v>6</v>
      </c>
      <c r="AD2490" s="36" t="s">
        <v>47</v>
      </c>
      <c r="AE2490" s="36">
        <v>139</v>
      </c>
      <c r="AF2490" s="71">
        <v>3.06</v>
      </c>
      <c r="AG2490" s="37">
        <v>0</v>
      </c>
      <c r="AH2490" s="37">
        <v>0</v>
      </c>
      <c r="AI2490" s="37">
        <v>97</v>
      </c>
      <c r="AJ2490" s="37">
        <v>1</v>
      </c>
      <c r="AK2490" s="37" t="str">
        <f>VLOOKUP(Mecze[[#This Row],[Match ID]],Meczusie[Mecz]:Meczusie[RodzajMeczu],2,FALSE)</f>
        <v>Liga</v>
      </c>
    </row>
    <row r="2491" spans="1:37" x14ac:dyDescent="0.25">
      <c r="A2491" s="76">
        <v>3</v>
      </c>
      <c r="B2491" s="3" t="s">
        <v>158</v>
      </c>
      <c r="C2491" s="2" t="s">
        <v>157</v>
      </c>
      <c r="D2491" s="1">
        <v>0</v>
      </c>
      <c r="E2491" s="1">
        <v>0</v>
      </c>
      <c r="F2491" s="1">
        <v>0</v>
      </c>
      <c r="G2491" s="1">
        <v>3</v>
      </c>
      <c r="H2491" s="4">
        <v>0.33</v>
      </c>
      <c r="I2491" s="1">
        <v>4</v>
      </c>
      <c r="J2491" s="4">
        <v>0.75</v>
      </c>
      <c r="K2491" s="1">
        <v>0</v>
      </c>
      <c r="L2491" s="1">
        <v>2</v>
      </c>
      <c r="M2491" s="32">
        <f>IF(Mecze[[#This Row],[PR]]=0,0,Mecze[[#This Row],[PR]]/Mecze[[#This Row],[CZAS]])</f>
        <v>2.0618556701030927E-2</v>
      </c>
      <c r="N2491" s="32">
        <f>IF(Mecze[[#This Row],[OU]]=0,0,Mecze[[#This Row],[OU]]/Mecze[[#This Row],[CZAS]])</f>
        <v>3.0927835051546393E-2</v>
      </c>
      <c r="O2491" s="32">
        <f>IF(Mecze[[#This Row],[PC]]=0,0,Mecze[[#This Row],[PC]]/Mecze[[#This Row],[CZAS]])</f>
        <v>1.0309278350515464E-2</v>
      </c>
      <c r="P2491" s="32">
        <f>IF(Mecze[[#This Row],[SC]]=0,0,Mecze[[#This Row],[SC]]/Mecze[[#This Row],[CZAS]])</f>
        <v>0</v>
      </c>
      <c r="Q2491" s="32">
        <f>IF(Mecze[[#This Row],[OB]]=0,0,Mecze[[#This Row],[OB]]/Mecze[[#This Row],[CZAS]])</f>
        <v>0</v>
      </c>
      <c r="R2491" s="32">
        <f>IF(Mecze[[#This Row],[BR]]=0,0,Mecze[[#This Row],[BR]]/Mecze[[#This Row],[CZAS]])</f>
        <v>0</v>
      </c>
      <c r="S2491" s="44">
        <f>IF(Mecze[[#This Row],[Role]]="BR",SUMPRODUCT(Mecze[[#This Row],[/PR:90]:[/BR:90]],Brudnopis!$E$23:$J$23),0)</f>
        <v>0</v>
      </c>
      <c r="T2491" s="44">
        <f>IF(Mecze[[#This Row],[Role]]&lt;&gt;"BR",SUMPRODUCT(Mecze[[#This Row],[/PR:90]:[/BR:90]],Brudnopis!$E$24:$J$24),0)</f>
        <v>7.7319587628865982E-2</v>
      </c>
      <c r="U2491" s="44">
        <f>IF(Mecze[[#This Row],[Role]]&lt;&gt;"BR",SUMPRODUCT(Mecze[[#This Row],[/PR:90]:[/BR:90]],Brudnopis!$E$25:$J$25),0)</f>
        <v>6.7010309278350513E-2</v>
      </c>
      <c r="V2491" s="44">
        <f>IF(Mecze[[#This Row],[Role]]&lt;&gt;"BR",SUMPRODUCT(Mecze[[#This Row],[/PR:90]:[/BR:90]],Brudnopis!$E$26:$J$26),0)</f>
        <v>6.1855670103092779E-2</v>
      </c>
      <c r="W2491" s="44">
        <f>IF(Mecze[[#This Row],[Role]]&lt;&gt;"BR",SUMPRODUCT(Mecze[[#This Row],[/PR:90]:[/BR:90]],Brudnopis!$E$27:$J$27),0)</f>
        <v>5.4123711340206188E-2</v>
      </c>
      <c r="X2491" s="44">
        <f>IF(Mecze[[#This Row],[Role]]&lt;&gt;"BR",SUMPRODUCT(Mecze[[#This Row],[/PR:90]:[/BR:90]],Brudnopis!$E$28:$J$28),0)</f>
        <v>1.0309278350515464E-2</v>
      </c>
      <c r="Y2491" s="35">
        <f>IF(Mecze[[#This Row],[Role]]="BR",Mecze[[#This Row],[/OB:90]]+Mecze[[#This Row],[/PC:90]],SUM(Mecze[[#This Row],[/PR:90]:[/BR:90]]))</f>
        <v>6.1855670103092779E-2</v>
      </c>
      <c r="Z2491" s="35">
        <f>IF(Mecze[[#This Row],[KC]]=0,SUM(Mecze[[#This Row],[/BRI]:[/NPI]]),SUM(Mecze[[#This Row],[/BRI]:[/NPI]])*0.6)</f>
        <v>0.27061855670103091</v>
      </c>
      <c r="AA2491" s="10">
        <f>IFERROR(Mecze[[#This Row],[BR]]/Mecze[[#This Row],[ST]],0)</f>
        <v>0</v>
      </c>
      <c r="AB2491">
        <f>ROUND(Mecze[[#This Row],[PD]]*Mecze[[#This Row],[%PC]],0)</f>
        <v>1</v>
      </c>
      <c r="AC2491">
        <f>ROUND(Mecze[[#This Row],[OD]]*Mecze[[#This Row],[%OU]],0)</f>
        <v>3</v>
      </c>
      <c r="AD2491" s="36" t="s">
        <v>168</v>
      </c>
      <c r="AE2491" s="36">
        <v>139</v>
      </c>
      <c r="AF2491" s="71">
        <v>3.13</v>
      </c>
      <c r="AG2491" s="37">
        <v>0</v>
      </c>
      <c r="AH2491" s="37">
        <v>0</v>
      </c>
      <c r="AI2491" s="37">
        <v>97</v>
      </c>
      <c r="AJ2491" s="37">
        <v>1</v>
      </c>
      <c r="AK2491" s="37" t="str">
        <f>VLOOKUP(Mecze[[#This Row],[Match ID]],Meczusie[Mecz]:Meczusie[RodzajMeczu],2,FALSE)</f>
        <v>Liga</v>
      </c>
    </row>
    <row r="2492" spans="1:37" x14ac:dyDescent="0.25">
      <c r="A2492" s="76">
        <v>17</v>
      </c>
      <c r="B2492" s="3" t="s">
        <v>413</v>
      </c>
      <c r="C2492" s="2" t="s">
        <v>157</v>
      </c>
      <c r="D2492" s="1">
        <v>0</v>
      </c>
      <c r="E2492" s="1">
        <v>0</v>
      </c>
      <c r="F2492" s="1">
        <v>0</v>
      </c>
      <c r="G2492" s="1">
        <v>8</v>
      </c>
      <c r="H2492" s="4">
        <v>0.63</v>
      </c>
      <c r="I2492" s="1">
        <v>6</v>
      </c>
      <c r="J2492" s="4">
        <v>0.33</v>
      </c>
      <c r="K2492" s="1">
        <v>0</v>
      </c>
      <c r="L2492" s="1">
        <v>9</v>
      </c>
      <c r="M2492" s="32">
        <f>IF(Mecze[[#This Row],[PR]]=0,0,Mecze[[#This Row],[PR]]/Mecze[[#This Row],[CZAS]])</f>
        <v>9.2783505154639179E-2</v>
      </c>
      <c r="N2492" s="32">
        <f>IF(Mecze[[#This Row],[OU]]=0,0,Mecze[[#This Row],[OU]]/Mecze[[#This Row],[CZAS]])</f>
        <v>2.0618556701030927E-2</v>
      </c>
      <c r="O2492" s="32">
        <f>IF(Mecze[[#This Row],[PC]]=0,0,Mecze[[#This Row],[PC]]/Mecze[[#This Row],[CZAS]])</f>
        <v>5.1546391752577317E-2</v>
      </c>
      <c r="P2492" s="32">
        <f>IF(Mecze[[#This Row],[SC]]=0,0,Mecze[[#This Row],[SC]]/Mecze[[#This Row],[CZAS]])</f>
        <v>0</v>
      </c>
      <c r="Q2492" s="32">
        <f>IF(Mecze[[#This Row],[OB]]=0,0,Mecze[[#This Row],[OB]]/Mecze[[#This Row],[CZAS]])</f>
        <v>0</v>
      </c>
      <c r="R2492" s="32">
        <f>IF(Mecze[[#This Row],[BR]]=0,0,Mecze[[#This Row],[BR]]/Mecze[[#This Row],[CZAS]])</f>
        <v>0</v>
      </c>
      <c r="S2492" s="44">
        <f>IF(Mecze[[#This Row],[Role]]="BR",SUMPRODUCT(Mecze[[#This Row],[/PR:90]:[/BR:90]],Brudnopis!$E$23:$J$23),0)</f>
        <v>0</v>
      </c>
      <c r="T2492" s="44">
        <f>IF(Mecze[[#This Row],[Role]]&lt;&gt;"BR",SUMPRODUCT(Mecze[[#This Row],[/PR:90]:[/BR:90]],Brudnopis!$E$24:$J$24),0)</f>
        <v>0.17525773195876287</v>
      </c>
      <c r="U2492" s="44">
        <f>IF(Mecze[[#This Row],[Role]]&lt;&gt;"BR",SUMPRODUCT(Mecze[[#This Row],[/PR:90]:[/BR:90]],Brudnopis!$E$25:$J$25),0)</f>
        <v>0.19072164948453607</v>
      </c>
      <c r="V2492" s="44">
        <f>IF(Mecze[[#This Row],[Role]]&lt;&gt;"BR",SUMPRODUCT(Mecze[[#This Row],[/PR:90]:[/BR:90]],Brudnopis!$E$26:$J$26),0)</f>
        <v>0.16494845360824742</v>
      </c>
      <c r="W2492" s="44">
        <f>IF(Mecze[[#This Row],[Role]]&lt;&gt;"BR",SUMPRODUCT(Mecze[[#This Row],[/PR:90]:[/BR:90]],Brudnopis!$E$27:$J$27),0)</f>
        <v>0.16237113402061856</v>
      </c>
      <c r="X2492" s="44">
        <f>IF(Mecze[[#This Row],[Role]]&lt;&gt;"BR",SUMPRODUCT(Mecze[[#This Row],[/PR:90]:[/BR:90]],Brudnopis!$E$28:$J$28),0)</f>
        <v>5.1546391752577317E-2</v>
      </c>
      <c r="Y2492" s="35">
        <f>IF(Mecze[[#This Row],[Role]]="BR",Mecze[[#This Row],[/OB:90]]+Mecze[[#This Row],[/PC:90]],SUM(Mecze[[#This Row],[/PR:90]:[/BR:90]]))</f>
        <v>0.16494845360824742</v>
      </c>
      <c r="Z2492" s="35">
        <f>IF(Mecze[[#This Row],[KC]]=0,SUM(Mecze[[#This Row],[/BRI]:[/NPI]]),SUM(Mecze[[#This Row],[/BRI]:[/NPI]])*0.6)</f>
        <v>0.74484536082474229</v>
      </c>
      <c r="AA2492" s="10">
        <f>IFERROR(Mecze[[#This Row],[BR]]/Mecze[[#This Row],[ST]],0)</f>
        <v>0</v>
      </c>
      <c r="AB2492">
        <f>ROUND(Mecze[[#This Row],[PD]]*Mecze[[#This Row],[%PC]],0)</f>
        <v>5</v>
      </c>
      <c r="AC2492">
        <f>ROUND(Mecze[[#This Row],[OD]]*Mecze[[#This Row],[%OU]],0)</f>
        <v>2</v>
      </c>
      <c r="AD2492" s="36" t="s">
        <v>167</v>
      </c>
      <c r="AE2492" s="36">
        <v>139</v>
      </c>
      <c r="AF2492" s="71">
        <v>3.48</v>
      </c>
      <c r="AG2492" s="37">
        <v>0</v>
      </c>
      <c r="AH2492" s="37">
        <v>0</v>
      </c>
      <c r="AI2492" s="37">
        <v>97</v>
      </c>
      <c r="AJ2492" s="37">
        <v>1</v>
      </c>
      <c r="AK2492" s="37" t="str">
        <f>VLOOKUP(Mecze[[#This Row],[Match ID]],Meczusie[Mecz]:Meczusie[RodzajMeczu],2,FALSE)</f>
        <v>Liga</v>
      </c>
    </row>
    <row r="2493" spans="1:37" x14ac:dyDescent="0.25">
      <c r="A2493" s="76">
        <v>6</v>
      </c>
      <c r="B2493" s="3" t="s">
        <v>159</v>
      </c>
      <c r="C2493" s="2" t="s">
        <v>160</v>
      </c>
      <c r="D2493" s="1">
        <v>0</v>
      </c>
      <c r="E2493" s="1">
        <v>0</v>
      </c>
      <c r="F2493" s="1">
        <v>0</v>
      </c>
      <c r="G2493" s="1">
        <v>9</v>
      </c>
      <c r="H2493" s="4">
        <v>0.44</v>
      </c>
      <c r="I2493" s="1">
        <v>5</v>
      </c>
      <c r="J2493" s="4">
        <v>0.4</v>
      </c>
      <c r="K2493" s="1">
        <v>0</v>
      </c>
      <c r="L2493" s="1">
        <v>0</v>
      </c>
      <c r="M2493" s="32">
        <f>IF(Mecze[[#This Row],[PR]]=0,0,Mecze[[#This Row],[PR]]/Mecze[[#This Row],[CZAS]])</f>
        <v>0</v>
      </c>
      <c r="N2493" s="32">
        <f>IF(Mecze[[#This Row],[OU]]=0,0,Mecze[[#This Row],[OU]]/Mecze[[#This Row],[CZAS]])</f>
        <v>2.0618556701030927E-2</v>
      </c>
      <c r="O2493" s="32">
        <f>IF(Mecze[[#This Row],[PC]]=0,0,Mecze[[#This Row],[PC]]/Mecze[[#This Row],[CZAS]])</f>
        <v>4.1237113402061855E-2</v>
      </c>
      <c r="P2493" s="32">
        <f>IF(Mecze[[#This Row],[SC]]=0,0,Mecze[[#This Row],[SC]]/Mecze[[#This Row],[CZAS]])</f>
        <v>0</v>
      </c>
      <c r="Q2493" s="32">
        <f>IF(Mecze[[#This Row],[OB]]=0,0,Mecze[[#This Row],[OB]]/Mecze[[#This Row],[CZAS]])</f>
        <v>0</v>
      </c>
      <c r="R2493" s="32">
        <f>IF(Mecze[[#This Row],[BR]]=0,0,Mecze[[#This Row],[BR]]/Mecze[[#This Row],[CZAS]])</f>
        <v>0</v>
      </c>
      <c r="S2493" s="44">
        <f>IF(Mecze[[#This Row],[Role]]="BR",SUMPRODUCT(Mecze[[#This Row],[/PR:90]:[/BR:90]],Brudnopis!$E$23:$J$23),0)</f>
        <v>0</v>
      </c>
      <c r="T2493" s="44">
        <f>IF(Mecze[[#This Row],[Role]]&lt;&gt;"BR",SUMPRODUCT(Mecze[[#This Row],[/PR:90]:[/BR:90]],Brudnopis!$E$24:$J$24),0)</f>
        <v>7.2164948453608241E-2</v>
      </c>
      <c r="U2493" s="44">
        <f>IF(Mecze[[#This Row],[Role]]&lt;&gt;"BR",SUMPRODUCT(Mecze[[#This Row],[/PR:90]:[/BR:90]],Brudnopis!$E$25:$J$25),0)</f>
        <v>8.247422680412371E-2</v>
      </c>
      <c r="V2493" s="44">
        <f>IF(Mecze[[#This Row],[Role]]&lt;&gt;"BR",SUMPRODUCT(Mecze[[#This Row],[/PR:90]:[/BR:90]],Brudnopis!$E$26:$J$26),0)</f>
        <v>6.1855670103092786E-2</v>
      </c>
      <c r="W2493" s="44">
        <f>IF(Mecze[[#This Row],[Role]]&lt;&gt;"BR",SUMPRODUCT(Mecze[[#This Row],[/PR:90]:[/BR:90]],Brudnopis!$E$27:$J$27),0)</f>
        <v>7.7319587628865982E-2</v>
      </c>
      <c r="X2493" s="44">
        <f>IF(Mecze[[#This Row],[Role]]&lt;&gt;"BR",SUMPRODUCT(Mecze[[#This Row],[/PR:90]:[/BR:90]],Brudnopis!$E$28:$J$28),0)</f>
        <v>4.1237113402061855E-2</v>
      </c>
      <c r="Y2493" s="35">
        <f>IF(Mecze[[#This Row],[Role]]="BR",Mecze[[#This Row],[/OB:90]]+Mecze[[#This Row],[/PC:90]],SUM(Mecze[[#This Row],[/PR:90]:[/BR:90]]))</f>
        <v>6.1855670103092786E-2</v>
      </c>
      <c r="Z2493" s="35">
        <f>IF(Mecze[[#This Row],[KC]]=0,SUM(Mecze[[#This Row],[/BRI]:[/NPI]]),SUM(Mecze[[#This Row],[/BRI]:[/NPI]])*0.6)</f>
        <v>0.33505154639175261</v>
      </c>
      <c r="AA2493" s="10">
        <f>IFERROR(Mecze[[#This Row],[BR]]/Mecze[[#This Row],[ST]],0)</f>
        <v>0</v>
      </c>
      <c r="AB2493">
        <f>ROUND(Mecze[[#This Row],[PD]]*Mecze[[#This Row],[%PC]],0)</f>
        <v>4</v>
      </c>
      <c r="AC2493">
        <f>ROUND(Mecze[[#This Row],[OD]]*Mecze[[#This Row],[%OU]],0)</f>
        <v>2</v>
      </c>
      <c r="AD2493" s="36" t="s">
        <v>41</v>
      </c>
      <c r="AE2493" s="36">
        <v>139</v>
      </c>
      <c r="AF2493" s="71">
        <v>2.7</v>
      </c>
      <c r="AG2493" s="37">
        <v>0</v>
      </c>
      <c r="AH2493" s="37">
        <v>0</v>
      </c>
      <c r="AI2493" s="37">
        <v>97</v>
      </c>
      <c r="AJ2493" s="37">
        <v>1</v>
      </c>
      <c r="AK2493" s="37" t="str">
        <f>VLOOKUP(Mecze[[#This Row],[Match ID]],Meczusie[Mecz]:Meczusie[RodzajMeczu],2,FALSE)</f>
        <v>Liga</v>
      </c>
    </row>
    <row r="2494" spans="1:37" x14ac:dyDescent="0.25">
      <c r="A2494" s="76">
        <v>13</v>
      </c>
      <c r="B2494" s="3" t="s">
        <v>162</v>
      </c>
      <c r="C2494" s="2" t="s">
        <v>160</v>
      </c>
      <c r="D2494" s="1">
        <v>0</v>
      </c>
      <c r="E2494" s="1">
        <v>1</v>
      </c>
      <c r="F2494" s="1">
        <v>1</v>
      </c>
      <c r="G2494" s="1">
        <v>12</v>
      </c>
      <c r="H2494" s="4">
        <v>0.83</v>
      </c>
      <c r="I2494" s="1">
        <v>19</v>
      </c>
      <c r="J2494" s="4">
        <v>0.21</v>
      </c>
      <c r="K2494" s="1">
        <v>0</v>
      </c>
      <c r="L2494" s="1">
        <v>4</v>
      </c>
      <c r="M2494" s="32">
        <f>IF(Mecze[[#This Row],[PR]]=0,0,Mecze[[#This Row],[PR]]/Mecze[[#This Row],[CZAS]])</f>
        <v>4.1237113402061855E-2</v>
      </c>
      <c r="N2494" s="32">
        <f>IF(Mecze[[#This Row],[OU]]=0,0,Mecze[[#This Row],[OU]]/Mecze[[#This Row],[CZAS]])</f>
        <v>4.1237113402061855E-2</v>
      </c>
      <c r="O2494" s="32">
        <f>IF(Mecze[[#This Row],[PC]]=0,0,Mecze[[#This Row],[PC]]/Mecze[[#This Row],[CZAS]])</f>
        <v>0.10309278350515463</v>
      </c>
      <c r="P2494" s="32">
        <f>IF(Mecze[[#This Row],[SC]]=0,0,Mecze[[#This Row],[SC]]/Mecze[[#This Row],[CZAS]])</f>
        <v>1.0309278350515464E-2</v>
      </c>
      <c r="Q2494" s="32">
        <f>IF(Mecze[[#This Row],[OB]]=0,0,Mecze[[#This Row],[OB]]/Mecze[[#This Row],[CZAS]])</f>
        <v>0</v>
      </c>
      <c r="R2494" s="32">
        <f>IF(Mecze[[#This Row],[BR]]=0,0,Mecze[[#This Row],[BR]]/Mecze[[#This Row],[CZAS]])</f>
        <v>0</v>
      </c>
      <c r="S2494" s="44">
        <f>IF(Mecze[[#This Row],[Role]]="BR",SUMPRODUCT(Mecze[[#This Row],[/PR:90]:[/BR:90]],Brudnopis!$E$23:$J$23),0)</f>
        <v>0</v>
      </c>
      <c r="T2494" s="44">
        <f>IF(Mecze[[#This Row],[Role]]&lt;&gt;"BR",SUMPRODUCT(Mecze[[#This Row],[/PR:90]:[/BR:90]],Brudnopis!$E$24:$J$24),0)</f>
        <v>0.21649484536082472</v>
      </c>
      <c r="U2494" s="44">
        <f>IF(Mecze[[#This Row],[Role]]&lt;&gt;"BR",SUMPRODUCT(Mecze[[#This Row],[/PR:90]:[/BR:90]],Brudnopis!$E$25:$J$25),0)</f>
        <v>0.24742268041237112</v>
      </c>
      <c r="V2494" s="44">
        <f>IF(Mecze[[#This Row],[Role]]&lt;&gt;"BR",SUMPRODUCT(Mecze[[#This Row],[/PR:90]:[/BR:90]],Brudnopis!$E$26:$J$26),0)</f>
        <v>0.19587628865979381</v>
      </c>
      <c r="W2494" s="44">
        <f>IF(Mecze[[#This Row],[Role]]&lt;&gt;"BR",SUMPRODUCT(Mecze[[#This Row],[/PR:90]:[/BR:90]],Brudnopis!$E$27:$J$27),0)</f>
        <v>0.22680412371134021</v>
      </c>
      <c r="X2494" s="44">
        <f>IF(Mecze[[#This Row],[Role]]&lt;&gt;"BR",SUMPRODUCT(Mecze[[#This Row],[/PR:90]:[/BR:90]],Brudnopis!$E$28:$J$28),0)</f>
        <v>0.12371134020618556</v>
      </c>
      <c r="Y2494" s="35">
        <f>IF(Mecze[[#This Row],[Role]]="BR",Mecze[[#This Row],[/OB:90]]+Mecze[[#This Row],[/PC:90]],SUM(Mecze[[#This Row],[/PR:90]:[/BR:90]]))</f>
        <v>0.19587628865979381</v>
      </c>
      <c r="Z2494" s="35">
        <f>IF(Mecze[[#This Row],[KC]]=0,SUM(Mecze[[#This Row],[/BRI]:[/NPI]]),SUM(Mecze[[#This Row],[/BRI]:[/NPI]])*0.6)</f>
        <v>1.0103092783505154</v>
      </c>
      <c r="AA2494" s="10">
        <f>IFERROR(Mecze[[#This Row],[BR]]/Mecze[[#This Row],[ST]],0)</f>
        <v>0</v>
      </c>
      <c r="AB2494">
        <f>ROUND(Mecze[[#This Row],[PD]]*Mecze[[#This Row],[%PC]],0)</f>
        <v>10</v>
      </c>
      <c r="AC2494">
        <f>ROUND(Mecze[[#This Row],[OD]]*Mecze[[#This Row],[%OU]],0)</f>
        <v>4</v>
      </c>
      <c r="AD2494" s="36" t="s">
        <v>41</v>
      </c>
      <c r="AE2494" s="36">
        <v>139</v>
      </c>
      <c r="AF2494" s="71">
        <v>5.89</v>
      </c>
      <c r="AG2494" s="37">
        <v>0</v>
      </c>
      <c r="AH2494" s="37">
        <v>0</v>
      </c>
      <c r="AI2494" s="37">
        <v>97</v>
      </c>
      <c r="AJ2494" s="37">
        <v>1</v>
      </c>
      <c r="AK2494" s="37" t="str">
        <f>VLOOKUP(Mecze[[#This Row],[Match ID]],Meczusie[Mecz]:Meczusie[RodzajMeczu],2,FALSE)</f>
        <v>Liga</v>
      </c>
    </row>
    <row r="2495" spans="1:37" x14ac:dyDescent="0.25">
      <c r="A2495" s="76">
        <v>15</v>
      </c>
      <c r="B2495" s="3" t="s">
        <v>170</v>
      </c>
      <c r="C2495" s="2" t="s">
        <v>160</v>
      </c>
      <c r="D2495" s="1">
        <v>0</v>
      </c>
      <c r="E2495" s="1">
        <v>0</v>
      </c>
      <c r="F2495" s="1">
        <v>0</v>
      </c>
      <c r="G2495" s="1">
        <v>10</v>
      </c>
      <c r="H2495" s="4">
        <v>0.6</v>
      </c>
      <c r="I2495" s="1">
        <v>7</v>
      </c>
      <c r="J2495" s="4">
        <v>0.14000000000000001</v>
      </c>
      <c r="K2495" s="1">
        <v>0</v>
      </c>
      <c r="L2495" s="1">
        <v>4</v>
      </c>
      <c r="M2495" s="32">
        <f>IF(Mecze[[#This Row],[PR]]=0,0,Mecze[[#This Row],[PR]]/Mecze[[#This Row],[CZAS]])</f>
        <v>4.1237113402061855E-2</v>
      </c>
      <c r="N2495" s="32">
        <f>IF(Mecze[[#This Row],[OU]]=0,0,Mecze[[#This Row],[OU]]/Mecze[[#This Row],[CZAS]])</f>
        <v>1.0309278350515464E-2</v>
      </c>
      <c r="O2495" s="32">
        <f>IF(Mecze[[#This Row],[PC]]=0,0,Mecze[[#This Row],[PC]]/Mecze[[#This Row],[CZAS]])</f>
        <v>6.1855670103092786E-2</v>
      </c>
      <c r="P2495" s="32">
        <f>IF(Mecze[[#This Row],[SC]]=0,0,Mecze[[#This Row],[SC]]/Mecze[[#This Row],[CZAS]])</f>
        <v>0</v>
      </c>
      <c r="Q2495" s="32">
        <f>IF(Mecze[[#This Row],[OB]]=0,0,Mecze[[#This Row],[OB]]/Mecze[[#This Row],[CZAS]])</f>
        <v>0</v>
      </c>
      <c r="R2495" s="32">
        <f>IF(Mecze[[#This Row],[BR]]=0,0,Mecze[[#This Row],[BR]]/Mecze[[#This Row],[CZAS]])</f>
        <v>0</v>
      </c>
      <c r="S2495" s="44">
        <f>IF(Mecze[[#This Row],[Role]]="BR",SUMPRODUCT(Mecze[[#This Row],[/PR:90]:[/BR:90]],Brudnopis!$E$23:$J$23),0)</f>
        <v>0</v>
      </c>
      <c r="T2495" s="44">
        <f>IF(Mecze[[#This Row],[Role]]&lt;&gt;"BR",SUMPRODUCT(Mecze[[#This Row],[/PR:90]:[/BR:90]],Brudnopis!$E$24:$J$24),0)</f>
        <v>0.11855670103092783</v>
      </c>
      <c r="U2495" s="44">
        <f>IF(Mecze[[#This Row],[Role]]&lt;&gt;"BR",SUMPRODUCT(Mecze[[#This Row],[/PR:90]:[/BR:90]],Brudnopis!$E$25:$J$25),0)</f>
        <v>0.14432989690721648</v>
      </c>
      <c r="V2495" s="44">
        <f>IF(Mecze[[#This Row],[Role]]&lt;&gt;"BR",SUMPRODUCT(Mecze[[#This Row],[/PR:90]:[/BR:90]],Brudnopis!$E$26:$J$26),0)</f>
        <v>0.1134020618556701</v>
      </c>
      <c r="W2495" s="44">
        <f>IF(Mecze[[#This Row],[Role]]&lt;&gt;"BR",SUMPRODUCT(Mecze[[#This Row],[/PR:90]:[/BR:90]],Brudnopis!$E$27:$J$27),0)</f>
        <v>0.13144329896907217</v>
      </c>
      <c r="X2495" s="44">
        <f>IF(Mecze[[#This Row],[Role]]&lt;&gt;"BR",SUMPRODUCT(Mecze[[#This Row],[/PR:90]:[/BR:90]],Brudnopis!$E$28:$J$28),0)</f>
        <v>6.1855670103092786E-2</v>
      </c>
      <c r="Y2495" s="35">
        <f>IF(Mecze[[#This Row],[Role]]="BR",Mecze[[#This Row],[/OB:90]]+Mecze[[#This Row],[/PC:90]],SUM(Mecze[[#This Row],[/PR:90]:[/BR:90]]))</f>
        <v>0.1134020618556701</v>
      </c>
      <c r="Z2495" s="35">
        <f>IF(Mecze[[#This Row],[KC]]=0,SUM(Mecze[[#This Row],[/BRI]:[/NPI]]),SUM(Mecze[[#This Row],[/BRI]:[/NPI]])*0.6)</f>
        <v>0.56958762886597936</v>
      </c>
      <c r="AA2495" s="10">
        <f>IFERROR(Mecze[[#This Row],[BR]]/Mecze[[#This Row],[ST]],0)</f>
        <v>0</v>
      </c>
      <c r="AB2495">
        <f>ROUND(Mecze[[#This Row],[PD]]*Mecze[[#This Row],[%PC]],0)</f>
        <v>6</v>
      </c>
      <c r="AC2495">
        <f>ROUND(Mecze[[#This Row],[OD]]*Mecze[[#This Row],[%OU]],0)</f>
        <v>1</v>
      </c>
      <c r="AD2495" s="36" t="s">
        <v>67</v>
      </c>
      <c r="AE2495" s="36">
        <v>139</v>
      </c>
      <c r="AF2495" s="71">
        <v>4.75</v>
      </c>
      <c r="AG2495" s="37">
        <v>0</v>
      </c>
      <c r="AH2495" s="37">
        <v>0</v>
      </c>
      <c r="AI2495" s="37">
        <v>97</v>
      </c>
      <c r="AJ2495" s="37">
        <v>1</v>
      </c>
      <c r="AK2495" s="37" t="str">
        <f>VLOOKUP(Mecze[[#This Row],[Match ID]],Meczusie[Mecz]:Meczusie[RodzajMeczu],2,FALSE)</f>
        <v>Liga</v>
      </c>
    </row>
    <row r="2496" spans="1:37" x14ac:dyDescent="0.25">
      <c r="A2496" s="76">
        <v>8</v>
      </c>
      <c r="B2496" s="3" t="s">
        <v>154</v>
      </c>
      <c r="C2496" s="2" t="s">
        <v>160</v>
      </c>
      <c r="D2496" s="1">
        <v>0</v>
      </c>
      <c r="E2496" s="1">
        <v>0</v>
      </c>
      <c r="F2496" s="1">
        <v>0</v>
      </c>
      <c r="G2496" s="1">
        <v>3</v>
      </c>
      <c r="H2496" s="4">
        <v>0</v>
      </c>
      <c r="I2496" s="1">
        <v>3</v>
      </c>
      <c r="J2496" s="4">
        <v>0.67</v>
      </c>
      <c r="K2496" s="1">
        <v>0</v>
      </c>
      <c r="L2496" s="1">
        <v>2</v>
      </c>
      <c r="M2496" s="32">
        <f>IF(Mecze[[#This Row],[PR]]=0,0,Mecze[[#This Row],[PR]]/Mecze[[#This Row],[CZAS]])</f>
        <v>2.0618556701030927E-2</v>
      </c>
      <c r="N2496" s="32">
        <f>IF(Mecze[[#This Row],[OU]]=0,0,Mecze[[#This Row],[OU]]/Mecze[[#This Row],[CZAS]])</f>
        <v>2.0618556701030927E-2</v>
      </c>
      <c r="O2496" s="32">
        <f>IF(Mecze[[#This Row],[PC]]=0,0,Mecze[[#This Row],[PC]]/Mecze[[#This Row],[CZAS]])</f>
        <v>0</v>
      </c>
      <c r="P2496" s="32">
        <f>IF(Mecze[[#This Row],[SC]]=0,0,Mecze[[#This Row],[SC]]/Mecze[[#This Row],[CZAS]])</f>
        <v>0</v>
      </c>
      <c r="Q2496" s="32">
        <f>IF(Mecze[[#This Row],[OB]]=0,0,Mecze[[#This Row],[OB]]/Mecze[[#This Row],[CZAS]])</f>
        <v>0</v>
      </c>
      <c r="R2496" s="32">
        <f>IF(Mecze[[#This Row],[BR]]=0,0,Mecze[[#This Row],[BR]]/Mecze[[#This Row],[CZAS]])</f>
        <v>0</v>
      </c>
      <c r="S2496" s="44">
        <f>IF(Mecze[[#This Row],[Role]]="BR",SUMPRODUCT(Mecze[[#This Row],[/PR:90]:[/BR:90]],Brudnopis!$E$23:$J$23),0)</f>
        <v>0</v>
      </c>
      <c r="T2496" s="44">
        <f>IF(Mecze[[#This Row],[Role]]&lt;&gt;"BR",SUMPRODUCT(Mecze[[#This Row],[/PR:90]:[/BR:90]],Brudnopis!$E$24:$J$24),0)</f>
        <v>5.1546391752577317E-2</v>
      </c>
      <c r="U2496" s="44">
        <f>IF(Mecze[[#This Row],[Role]]&lt;&gt;"BR",SUMPRODUCT(Mecze[[#This Row],[/PR:90]:[/BR:90]],Brudnopis!$E$25:$J$25),0)</f>
        <v>4.1237113402061855E-2</v>
      </c>
      <c r="V2496" s="44">
        <f>IF(Mecze[[#This Row],[Role]]&lt;&gt;"BR",SUMPRODUCT(Mecze[[#This Row],[/PR:90]:[/BR:90]],Brudnopis!$E$26:$J$26),0)</f>
        <v>4.1237113402061855E-2</v>
      </c>
      <c r="W2496" s="44">
        <f>IF(Mecze[[#This Row],[Role]]&lt;&gt;"BR",SUMPRODUCT(Mecze[[#This Row],[/PR:90]:[/BR:90]],Brudnopis!$E$27:$J$27),0)</f>
        <v>3.0927835051546393E-2</v>
      </c>
      <c r="X2496" s="44">
        <f>IF(Mecze[[#This Row],[Role]]&lt;&gt;"BR",SUMPRODUCT(Mecze[[#This Row],[/PR:90]:[/BR:90]],Brudnopis!$E$28:$J$28),0)</f>
        <v>0</v>
      </c>
      <c r="Y2496" s="35">
        <f>IF(Mecze[[#This Row],[Role]]="BR",Mecze[[#This Row],[/OB:90]]+Mecze[[#This Row],[/PC:90]],SUM(Mecze[[#This Row],[/PR:90]:[/BR:90]]))</f>
        <v>4.1237113402061855E-2</v>
      </c>
      <c r="Z2496" s="35">
        <f>IF(Mecze[[#This Row],[KC]]=0,SUM(Mecze[[#This Row],[/BRI]:[/NPI]]),SUM(Mecze[[#This Row],[/BRI]:[/NPI]])*0.6)</f>
        <v>0.16494845360824742</v>
      </c>
      <c r="AA2496" s="10">
        <f>IFERROR(Mecze[[#This Row],[BR]]/Mecze[[#This Row],[ST]],0)</f>
        <v>0</v>
      </c>
      <c r="AB2496">
        <f>ROUND(Mecze[[#This Row],[PD]]*Mecze[[#This Row],[%PC]],0)</f>
        <v>0</v>
      </c>
      <c r="AC2496">
        <f>ROUND(Mecze[[#This Row],[OD]]*Mecze[[#This Row],[%OU]],0)</f>
        <v>2</v>
      </c>
      <c r="AD2496" s="36" t="s">
        <v>44</v>
      </c>
      <c r="AE2496" s="36">
        <v>139</v>
      </c>
      <c r="AF2496" s="71">
        <v>3.12</v>
      </c>
      <c r="AG2496" s="37">
        <v>0</v>
      </c>
      <c r="AH2496" s="37">
        <v>0</v>
      </c>
      <c r="AI2496" s="37">
        <v>97</v>
      </c>
      <c r="AJ2496" s="37">
        <v>1</v>
      </c>
      <c r="AK2496" s="37" t="str">
        <f>VLOOKUP(Mecze[[#This Row],[Match ID]],Meczusie[Mecz]:Meczusie[RodzajMeczu],2,FALSE)</f>
        <v>Liga</v>
      </c>
    </row>
    <row r="2497" spans="1:37" x14ac:dyDescent="0.25">
      <c r="A2497" s="76">
        <v>11</v>
      </c>
      <c r="B2497" s="3" t="s">
        <v>163</v>
      </c>
      <c r="C2497" s="2" t="s">
        <v>160</v>
      </c>
      <c r="D2497" s="1">
        <v>0</v>
      </c>
      <c r="E2497" s="1">
        <v>0</v>
      </c>
      <c r="F2497" s="1">
        <v>0</v>
      </c>
      <c r="G2497" s="1">
        <v>3</v>
      </c>
      <c r="H2497" s="4">
        <v>0.67</v>
      </c>
      <c r="I2497" s="1">
        <v>4</v>
      </c>
      <c r="J2497" s="4">
        <v>0.5</v>
      </c>
      <c r="K2497" s="1">
        <v>0</v>
      </c>
      <c r="L2497" s="1">
        <v>1</v>
      </c>
      <c r="M2497" s="32">
        <f>IF(Mecze[[#This Row],[PR]]=0,0,Mecze[[#This Row],[PR]]/Mecze[[#This Row],[CZAS]])</f>
        <v>1.0309278350515464E-2</v>
      </c>
      <c r="N2497" s="32">
        <f>IF(Mecze[[#This Row],[OU]]=0,0,Mecze[[#This Row],[OU]]/Mecze[[#This Row],[CZAS]])</f>
        <v>2.0618556701030927E-2</v>
      </c>
      <c r="O2497" s="32">
        <f>IF(Mecze[[#This Row],[PC]]=0,0,Mecze[[#This Row],[PC]]/Mecze[[#This Row],[CZAS]])</f>
        <v>2.0618556701030927E-2</v>
      </c>
      <c r="P2497" s="32">
        <f>IF(Mecze[[#This Row],[SC]]=0,0,Mecze[[#This Row],[SC]]/Mecze[[#This Row],[CZAS]])</f>
        <v>0</v>
      </c>
      <c r="Q2497" s="32">
        <f>IF(Mecze[[#This Row],[OB]]=0,0,Mecze[[#This Row],[OB]]/Mecze[[#This Row],[CZAS]])</f>
        <v>0</v>
      </c>
      <c r="R2497" s="32">
        <f>IF(Mecze[[#This Row],[BR]]=0,0,Mecze[[#This Row],[BR]]/Mecze[[#This Row],[CZAS]])</f>
        <v>0</v>
      </c>
      <c r="S2497" s="44">
        <f>IF(Mecze[[#This Row],[Role]]="BR",SUMPRODUCT(Mecze[[#This Row],[/PR:90]:[/BR:90]],Brudnopis!$E$23:$J$23),0)</f>
        <v>0</v>
      </c>
      <c r="T2497" s="44">
        <f>IF(Mecze[[#This Row],[Role]]&lt;&gt;"BR",SUMPRODUCT(Mecze[[#This Row],[/PR:90]:[/BR:90]],Brudnopis!$E$24:$J$24),0)</f>
        <v>6.1855670103092786E-2</v>
      </c>
      <c r="U2497" s="44">
        <f>IF(Mecze[[#This Row],[Role]]&lt;&gt;"BR",SUMPRODUCT(Mecze[[#This Row],[/PR:90]:[/BR:90]],Brudnopis!$E$25:$J$25),0)</f>
        <v>6.1855670103092786E-2</v>
      </c>
      <c r="V2497" s="44">
        <f>IF(Mecze[[#This Row],[Role]]&lt;&gt;"BR",SUMPRODUCT(Mecze[[#This Row],[/PR:90]:[/BR:90]],Brudnopis!$E$26:$J$26),0)</f>
        <v>5.1546391752577317E-2</v>
      </c>
      <c r="W2497" s="44">
        <f>IF(Mecze[[#This Row],[Role]]&lt;&gt;"BR",SUMPRODUCT(Mecze[[#This Row],[/PR:90]:[/BR:90]],Brudnopis!$E$27:$J$27),0)</f>
        <v>5.4123711340206188E-2</v>
      </c>
      <c r="X2497" s="44">
        <f>IF(Mecze[[#This Row],[Role]]&lt;&gt;"BR",SUMPRODUCT(Mecze[[#This Row],[/PR:90]:[/BR:90]],Brudnopis!$E$28:$J$28),0)</f>
        <v>2.0618556701030927E-2</v>
      </c>
      <c r="Y2497" s="35">
        <f>IF(Mecze[[#This Row],[Role]]="BR",Mecze[[#This Row],[/OB:90]]+Mecze[[#This Row],[/PC:90]],SUM(Mecze[[#This Row],[/PR:90]:[/BR:90]]))</f>
        <v>5.1546391752577317E-2</v>
      </c>
      <c r="Z2497" s="35">
        <f>IF(Mecze[[#This Row],[KC]]=0,SUM(Mecze[[#This Row],[/BRI]:[/NPI]]),SUM(Mecze[[#This Row],[/BRI]:[/NPI]])*0.6)</f>
        <v>0.25</v>
      </c>
      <c r="AA2497" s="10">
        <f>IFERROR(Mecze[[#This Row],[BR]]/Mecze[[#This Row],[ST]],0)</f>
        <v>0</v>
      </c>
      <c r="AB2497">
        <f>ROUND(Mecze[[#This Row],[PD]]*Mecze[[#This Row],[%PC]],0)</f>
        <v>2</v>
      </c>
      <c r="AC2497">
        <f>ROUND(Mecze[[#This Row],[OD]]*Mecze[[#This Row],[%OU]],0)</f>
        <v>2</v>
      </c>
      <c r="AD2497" s="36" t="s">
        <v>44</v>
      </c>
      <c r="AE2497" s="36">
        <v>139</v>
      </c>
      <c r="AF2497" s="71">
        <v>2.91</v>
      </c>
      <c r="AG2497" s="37">
        <v>0</v>
      </c>
      <c r="AH2497" s="37">
        <v>0</v>
      </c>
      <c r="AI2497" s="37">
        <v>97</v>
      </c>
      <c r="AJ2497" s="37">
        <v>1</v>
      </c>
      <c r="AK2497" s="37" t="str">
        <f>VLOOKUP(Mecze[[#This Row],[Match ID]],Meczusie[Mecz]:Meczusie[RodzajMeczu],2,FALSE)</f>
        <v>Liga</v>
      </c>
    </row>
    <row r="2498" spans="1:37" x14ac:dyDescent="0.25">
      <c r="A2498" s="76">
        <v>9</v>
      </c>
      <c r="B2498" s="3" t="s">
        <v>411</v>
      </c>
      <c r="C2498" s="2" t="s">
        <v>165</v>
      </c>
      <c r="D2498" s="1">
        <v>0</v>
      </c>
      <c r="E2498" s="1">
        <v>3</v>
      </c>
      <c r="F2498" s="1">
        <v>2</v>
      </c>
      <c r="G2498" s="1">
        <v>10</v>
      </c>
      <c r="H2498" s="4">
        <v>0.4</v>
      </c>
      <c r="I2498" s="1">
        <v>4</v>
      </c>
      <c r="J2498" s="4">
        <v>0.25</v>
      </c>
      <c r="K2498" s="1">
        <v>0</v>
      </c>
      <c r="L2498" s="1">
        <v>1</v>
      </c>
      <c r="M2498" s="32">
        <f>IF(Mecze[[#This Row],[PR]]=0,0,Mecze[[#This Row],[PR]]/Mecze[[#This Row],[CZAS]])</f>
        <v>1.0309278350515464E-2</v>
      </c>
      <c r="N2498" s="32">
        <f>IF(Mecze[[#This Row],[OU]]=0,0,Mecze[[#This Row],[OU]]/Mecze[[#This Row],[CZAS]])</f>
        <v>1.0309278350515464E-2</v>
      </c>
      <c r="O2498" s="32">
        <f>IF(Mecze[[#This Row],[PC]]=0,0,Mecze[[#This Row],[PC]]/Mecze[[#This Row],[CZAS]])</f>
        <v>4.1237113402061855E-2</v>
      </c>
      <c r="P2498" s="32">
        <f>IF(Mecze[[#This Row],[SC]]=0,0,Mecze[[#This Row],[SC]]/Mecze[[#This Row],[CZAS]])</f>
        <v>2.0618556701030927E-2</v>
      </c>
      <c r="Q2498" s="32">
        <f>IF(Mecze[[#This Row],[OB]]=0,0,Mecze[[#This Row],[OB]]/Mecze[[#This Row],[CZAS]])</f>
        <v>0</v>
      </c>
      <c r="R2498" s="32">
        <f>IF(Mecze[[#This Row],[BR]]=0,0,Mecze[[#This Row],[BR]]/Mecze[[#This Row],[CZAS]])</f>
        <v>0</v>
      </c>
      <c r="S2498" s="44">
        <f>IF(Mecze[[#This Row],[Role]]="BR",SUMPRODUCT(Mecze[[#This Row],[/PR:90]:[/BR:90]],Brudnopis!$E$23:$J$23),0)</f>
        <v>0</v>
      </c>
      <c r="T2498" s="44">
        <f>IF(Mecze[[#This Row],[Role]]&lt;&gt;"BR",SUMPRODUCT(Mecze[[#This Row],[/PR:90]:[/BR:90]],Brudnopis!$E$24:$J$24),0)</f>
        <v>8.7628865979381437E-2</v>
      </c>
      <c r="U2498" s="44">
        <f>IF(Mecze[[#This Row],[Role]]&lt;&gt;"BR",SUMPRODUCT(Mecze[[#This Row],[/PR:90]:[/BR:90]],Brudnopis!$E$25:$J$25),0)</f>
        <v>0.10309278350515463</v>
      </c>
      <c r="V2498" s="44">
        <f>IF(Mecze[[#This Row],[Role]]&lt;&gt;"BR",SUMPRODUCT(Mecze[[#This Row],[/PR:90]:[/BR:90]],Brudnopis!$E$26:$J$26),0)</f>
        <v>8.247422680412371E-2</v>
      </c>
      <c r="W2498" s="44">
        <f>IF(Mecze[[#This Row],[Role]]&lt;&gt;"BR",SUMPRODUCT(Mecze[[#This Row],[/PR:90]:[/BR:90]],Brudnopis!$E$27:$J$27),0)</f>
        <v>9.7938144329896906E-2</v>
      </c>
      <c r="X2498" s="44">
        <f>IF(Mecze[[#This Row],[Role]]&lt;&gt;"BR",SUMPRODUCT(Mecze[[#This Row],[/PR:90]:[/BR:90]],Brudnopis!$E$28:$J$28),0)</f>
        <v>8.247422680412371E-2</v>
      </c>
      <c r="Y2498" s="35">
        <f>IF(Mecze[[#This Row],[Role]]="BR",Mecze[[#This Row],[/OB:90]]+Mecze[[#This Row],[/PC:90]],SUM(Mecze[[#This Row],[/PR:90]:[/BR:90]]))</f>
        <v>8.247422680412371E-2</v>
      </c>
      <c r="Z2498" s="35">
        <f>IF(Mecze[[#This Row],[KC]]=0,SUM(Mecze[[#This Row],[/BRI]:[/NPI]]),SUM(Mecze[[#This Row],[/BRI]:[/NPI]])*0.6)</f>
        <v>0.45360824742268036</v>
      </c>
      <c r="AA2498" s="10">
        <f>IFERROR(Mecze[[#This Row],[BR]]/Mecze[[#This Row],[ST]],0)</f>
        <v>0</v>
      </c>
      <c r="AB2498">
        <f>ROUND(Mecze[[#This Row],[PD]]*Mecze[[#This Row],[%PC]],0)</f>
        <v>4</v>
      </c>
      <c r="AC2498">
        <f>ROUND(Mecze[[#This Row],[OD]]*Mecze[[#This Row],[%OU]],0)</f>
        <v>1</v>
      </c>
      <c r="AD2498" s="36" t="s">
        <v>46</v>
      </c>
      <c r="AE2498" s="36">
        <v>139</v>
      </c>
      <c r="AF2498" s="71">
        <v>3.15</v>
      </c>
      <c r="AG2498" s="37">
        <v>0</v>
      </c>
      <c r="AH2498" s="37">
        <v>0</v>
      </c>
      <c r="AI2498" s="37">
        <v>97</v>
      </c>
      <c r="AJ2498" s="37">
        <v>1</v>
      </c>
      <c r="AK2498" s="37" t="str">
        <f>VLOOKUP(Mecze[[#This Row],[Match ID]],Meczusie[Mecz]:Meczusie[RodzajMeczu],2,FALSE)</f>
        <v>Liga</v>
      </c>
    </row>
    <row r="2499" spans="1:37" x14ac:dyDescent="0.25">
      <c r="A2499" s="76">
        <v>14</v>
      </c>
      <c r="B2499" s="3" t="s">
        <v>164</v>
      </c>
      <c r="C2499" s="2" t="s">
        <v>165</v>
      </c>
      <c r="D2499" s="1">
        <v>1</v>
      </c>
      <c r="E2499" s="1">
        <v>6</v>
      </c>
      <c r="F2499" s="1">
        <v>5</v>
      </c>
      <c r="G2499" s="1">
        <v>4</v>
      </c>
      <c r="H2499" s="4">
        <v>0</v>
      </c>
      <c r="I2499" s="1">
        <v>2</v>
      </c>
      <c r="J2499" s="4">
        <v>0.5</v>
      </c>
      <c r="K2499" s="1">
        <v>0</v>
      </c>
      <c r="L2499" s="1">
        <v>0</v>
      </c>
      <c r="M2499" s="32">
        <f>IF(Mecze[[#This Row],[PR]]=0,0,Mecze[[#This Row],[PR]]/Mecze[[#This Row],[CZAS]])</f>
        <v>0</v>
      </c>
      <c r="N2499" s="32">
        <f>IF(Mecze[[#This Row],[OU]]=0,0,Mecze[[#This Row],[OU]]/Mecze[[#This Row],[CZAS]])</f>
        <v>1.0309278350515464E-2</v>
      </c>
      <c r="O2499" s="32">
        <f>IF(Mecze[[#This Row],[PC]]=0,0,Mecze[[#This Row],[PC]]/Mecze[[#This Row],[CZAS]])</f>
        <v>0</v>
      </c>
      <c r="P2499" s="32">
        <f>IF(Mecze[[#This Row],[SC]]=0,0,Mecze[[#This Row],[SC]]/Mecze[[#This Row],[CZAS]])</f>
        <v>5.1546391752577317E-2</v>
      </c>
      <c r="Q2499" s="32">
        <f>IF(Mecze[[#This Row],[OB]]=0,0,Mecze[[#This Row],[OB]]/Mecze[[#This Row],[CZAS]])</f>
        <v>0</v>
      </c>
      <c r="R2499" s="32">
        <f>IF(Mecze[[#This Row],[BR]]=0,0,Mecze[[#This Row],[BR]]/Mecze[[#This Row],[CZAS]])</f>
        <v>1.0309278350515464E-2</v>
      </c>
      <c r="S2499" s="44">
        <f>IF(Mecze[[#This Row],[Role]]="BR",SUMPRODUCT(Mecze[[#This Row],[/PR:90]:[/BR:90]],Brudnopis!$E$23:$J$23),0)</f>
        <v>0</v>
      </c>
      <c r="T2499" s="44">
        <f>IF(Mecze[[#This Row],[Role]]&lt;&gt;"BR",SUMPRODUCT(Mecze[[#This Row],[/PR:90]:[/BR:90]],Brudnopis!$E$24:$J$24),0)</f>
        <v>8.247422680412371E-2</v>
      </c>
      <c r="U2499" s="44">
        <f>IF(Mecze[[#This Row],[Role]]&lt;&gt;"BR",SUMPRODUCT(Mecze[[#This Row],[/PR:90]:[/BR:90]],Brudnopis!$E$25:$J$25),0)</f>
        <v>7.7319587628865982E-2</v>
      </c>
      <c r="V2499" s="44">
        <f>IF(Mecze[[#This Row],[Role]]&lt;&gt;"BR",SUMPRODUCT(Mecze[[#This Row],[/PR:90]:[/BR:90]],Brudnopis!$E$26:$J$26),0)</f>
        <v>8.247422680412371E-2</v>
      </c>
      <c r="W2499" s="44">
        <f>IF(Mecze[[#This Row],[Role]]&lt;&gt;"BR",SUMPRODUCT(Mecze[[#This Row],[/PR:90]:[/BR:90]],Brudnopis!$E$27:$J$27),0)</f>
        <v>7.9896907216494839E-2</v>
      </c>
      <c r="X2499" s="44">
        <f>IF(Mecze[[#This Row],[Role]]&lt;&gt;"BR",SUMPRODUCT(Mecze[[#This Row],[/PR:90]:[/BR:90]],Brudnopis!$E$28:$J$28),0)</f>
        <v>0.13402061855670103</v>
      </c>
      <c r="Y2499" s="35">
        <f>IF(Mecze[[#This Row],[Role]]="BR",Mecze[[#This Row],[/OB:90]]+Mecze[[#This Row],[/PC:90]],SUM(Mecze[[#This Row],[/PR:90]:[/BR:90]]))</f>
        <v>7.2164948453608241E-2</v>
      </c>
      <c r="Z2499" s="35">
        <f>IF(Mecze[[#This Row],[KC]]=0,SUM(Mecze[[#This Row],[/BRI]:[/NPI]]),SUM(Mecze[[#This Row],[/BRI]:[/NPI]])*0.6)</f>
        <v>0.45618556701030921</v>
      </c>
      <c r="AA2499" s="10">
        <f>IFERROR(Mecze[[#This Row],[BR]]/Mecze[[#This Row],[ST]],0)</f>
        <v>0.16666666666666666</v>
      </c>
      <c r="AB2499">
        <f>ROUND(Mecze[[#This Row],[PD]]*Mecze[[#This Row],[%PC]],0)</f>
        <v>0</v>
      </c>
      <c r="AC2499">
        <f>ROUND(Mecze[[#This Row],[OD]]*Mecze[[#This Row],[%OU]],0)</f>
        <v>1</v>
      </c>
      <c r="AD2499" s="36" t="s">
        <v>46</v>
      </c>
      <c r="AE2499" s="36">
        <v>139</v>
      </c>
      <c r="AF2499" s="71">
        <v>6.11</v>
      </c>
      <c r="AG2499" s="37">
        <v>0</v>
      </c>
      <c r="AH2499" s="37">
        <v>0</v>
      </c>
      <c r="AI2499" s="37">
        <v>97</v>
      </c>
      <c r="AJ2499" s="37">
        <v>1</v>
      </c>
      <c r="AK2499" s="37" t="str">
        <f>VLOOKUP(Mecze[[#This Row],[Match ID]],Meczusie[Mecz]:Meczusie[RodzajMeczu],2,FALSE)</f>
        <v>Liga</v>
      </c>
    </row>
    <row r="2500" spans="1:37" x14ac:dyDescent="0.25">
      <c r="A2500" s="76">
        <v>1</v>
      </c>
      <c r="B2500" s="3" t="s">
        <v>274</v>
      </c>
      <c r="C2500" s="2" t="s">
        <v>155</v>
      </c>
      <c r="D2500" s="1">
        <v>0</v>
      </c>
      <c r="E2500" s="1">
        <v>0</v>
      </c>
      <c r="F2500" s="1">
        <v>0</v>
      </c>
      <c r="G2500" s="1">
        <v>7</v>
      </c>
      <c r="H2500" s="4">
        <v>0.71</v>
      </c>
      <c r="I2500" s="1">
        <v>0</v>
      </c>
      <c r="J2500" s="4"/>
      <c r="K2500" s="1">
        <v>7</v>
      </c>
      <c r="L2500" s="1">
        <v>0</v>
      </c>
      <c r="M2500" s="32">
        <f>IF(Mecze[[#This Row],[PR]]=0,0,Mecze[[#This Row],[PR]]/Mecze[[#This Row],[CZAS]])</f>
        <v>0</v>
      </c>
      <c r="N2500" s="32">
        <f>IF(Mecze[[#This Row],[OU]]=0,0,Mecze[[#This Row],[OU]]/Mecze[[#This Row],[CZAS]])</f>
        <v>0</v>
      </c>
      <c r="O2500" s="32">
        <f>IF(Mecze[[#This Row],[PC]]=0,0,Mecze[[#This Row],[PC]]/Mecze[[#This Row],[CZAS]])</f>
        <v>5.1546391752577317E-2</v>
      </c>
      <c r="P2500" s="32">
        <f>IF(Mecze[[#This Row],[SC]]=0,0,Mecze[[#This Row],[SC]]/Mecze[[#This Row],[CZAS]])</f>
        <v>0</v>
      </c>
      <c r="Q2500" s="32">
        <f>IF(Mecze[[#This Row],[OB]]=0,0,Mecze[[#This Row],[OB]]/Mecze[[#This Row],[CZAS]])</f>
        <v>7.2164948453608241E-2</v>
      </c>
      <c r="R2500" s="32">
        <f>IF(Mecze[[#This Row],[BR]]=0,0,Mecze[[#This Row],[BR]]/Mecze[[#This Row],[CZAS]])</f>
        <v>0</v>
      </c>
      <c r="S2500" s="44">
        <f>IF(Mecze[[#This Row],[Role]]="BR",SUMPRODUCT(Mecze[[#This Row],[/PR:90]:[/BR:90]],Brudnopis!$E$23:$J$23),0)</f>
        <v>0.37113402061855671</v>
      </c>
      <c r="T2500" s="44">
        <f>IF(Mecze[[#This Row],[Role]]&lt;&gt;"BR",SUMPRODUCT(Mecze[[#This Row],[/PR:90]:[/BR:90]],Brudnopis!$E$24:$J$24),0)</f>
        <v>0</v>
      </c>
      <c r="U2500" s="44">
        <f>IF(Mecze[[#This Row],[Role]]&lt;&gt;"BR",SUMPRODUCT(Mecze[[#This Row],[/PR:90]:[/BR:90]],Brudnopis!$E$25:$J$25),0)</f>
        <v>0</v>
      </c>
      <c r="V2500" s="44">
        <f>IF(Mecze[[#This Row],[Role]]&lt;&gt;"BR",SUMPRODUCT(Mecze[[#This Row],[/PR:90]:[/BR:90]],Brudnopis!$E$26:$J$26),0)</f>
        <v>0</v>
      </c>
      <c r="W2500" s="44">
        <f>IF(Mecze[[#This Row],[Role]]&lt;&gt;"BR",SUMPRODUCT(Mecze[[#This Row],[/PR:90]:[/BR:90]],Brudnopis!$E$27:$J$27),0)</f>
        <v>0</v>
      </c>
      <c r="X2500" s="44">
        <f>IF(Mecze[[#This Row],[Role]]&lt;&gt;"BR",SUMPRODUCT(Mecze[[#This Row],[/PR:90]:[/BR:90]],Brudnopis!$E$28:$J$28),0)</f>
        <v>0</v>
      </c>
      <c r="Y2500" s="35">
        <f>IF(Mecze[[#This Row],[Role]]="BR",Mecze[[#This Row],[/OB:90]]+Mecze[[#This Row],[/PC:90]],SUM(Mecze[[#This Row],[/PR:90]:[/BR:90]]))</f>
        <v>0.12371134020618556</v>
      </c>
      <c r="Z2500" s="35">
        <f>IF(Mecze[[#This Row],[KC]]=0,SUM(Mecze[[#This Row],[/BRI]:[/NPI]]),SUM(Mecze[[#This Row],[/BRI]:[/NPI]])*0.6)</f>
        <v>0.37113402061855671</v>
      </c>
      <c r="AA2500" s="10">
        <f>IFERROR(Mecze[[#This Row],[BR]]/Mecze[[#This Row],[ST]],0)</f>
        <v>0</v>
      </c>
      <c r="AB2500">
        <f>ROUND(Mecze[[#This Row],[PD]]*Mecze[[#This Row],[%PC]],0)</f>
        <v>5</v>
      </c>
      <c r="AC2500">
        <f>ROUND(Mecze[[#This Row],[OD]]*Mecze[[#This Row],[%OU]],0)</f>
        <v>0</v>
      </c>
      <c r="AD2500" s="36" t="s">
        <v>40</v>
      </c>
      <c r="AE2500" s="36">
        <v>139</v>
      </c>
      <c r="AF2500" s="71">
        <v>7.59</v>
      </c>
      <c r="AG2500" s="37">
        <v>0</v>
      </c>
      <c r="AH2500" s="37">
        <v>0</v>
      </c>
      <c r="AI2500" s="37">
        <v>97</v>
      </c>
      <c r="AJ2500" s="37">
        <v>4</v>
      </c>
      <c r="AK2500" s="37" t="str">
        <f>VLOOKUP(Mecze[[#This Row],[Match ID]],Meczusie[Mecz]:Meczusie[RodzajMeczu],2,FALSE)</f>
        <v>Liga</v>
      </c>
    </row>
    <row r="2501" spans="1:37" x14ac:dyDescent="0.25">
      <c r="A2501" s="76">
        <v>9</v>
      </c>
      <c r="B2501" s="3" t="s">
        <v>275</v>
      </c>
      <c r="C2501" s="2" t="s">
        <v>157</v>
      </c>
      <c r="D2501" s="1">
        <v>0</v>
      </c>
      <c r="E2501" s="1">
        <v>0</v>
      </c>
      <c r="F2501" s="1">
        <v>0</v>
      </c>
      <c r="G2501" s="1">
        <v>12</v>
      </c>
      <c r="H2501" s="4">
        <v>0.75</v>
      </c>
      <c r="I2501" s="1">
        <v>2</v>
      </c>
      <c r="J2501" s="4">
        <v>1</v>
      </c>
      <c r="K2501" s="1">
        <v>0</v>
      </c>
      <c r="L2501" s="1">
        <v>10</v>
      </c>
      <c r="M2501" s="32">
        <f>IF(Mecze[[#This Row],[PR]]=0,0,Mecze[[#This Row],[PR]]/Mecze[[#This Row],[CZAS]])</f>
        <v>0.10309278350515463</v>
      </c>
      <c r="N2501" s="32">
        <f>IF(Mecze[[#This Row],[OU]]=0,0,Mecze[[#This Row],[OU]]/Mecze[[#This Row],[CZAS]])</f>
        <v>2.0618556701030927E-2</v>
      </c>
      <c r="O2501" s="32">
        <f>IF(Mecze[[#This Row],[PC]]=0,0,Mecze[[#This Row],[PC]]/Mecze[[#This Row],[CZAS]])</f>
        <v>9.2783505154639179E-2</v>
      </c>
      <c r="P2501" s="32">
        <f>IF(Mecze[[#This Row],[SC]]=0,0,Mecze[[#This Row],[SC]]/Mecze[[#This Row],[CZAS]])</f>
        <v>0</v>
      </c>
      <c r="Q2501" s="32">
        <f>IF(Mecze[[#This Row],[OB]]=0,0,Mecze[[#This Row],[OB]]/Mecze[[#This Row],[CZAS]])</f>
        <v>0</v>
      </c>
      <c r="R2501" s="32">
        <f>IF(Mecze[[#This Row],[BR]]=0,0,Mecze[[#This Row],[BR]]/Mecze[[#This Row],[CZAS]])</f>
        <v>0</v>
      </c>
      <c r="S2501" s="44">
        <f>IF(Mecze[[#This Row],[Role]]="BR",SUMPRODUCT(Mecze[[#This Row],[/PR:90]:[/BR:90]],Brudnopis!$E$23:$J$23),0)</f>
        <v>0</v>
      </c>
      <c r="T2501" s="44">
        <f>IF(Mecze[[#This Row],[Role]]&lt;&gt;"BR",SUMPRODUCT(Mecze[[#This Row],[/PR:90]:[/BR:90]],Brudnopis!$E$24:$J$24),0)</f>
        <v>0.22680412371134021</v>
      </c>
      <c r="U2501" s="44">
        <f>IF(Mecze[[#This Row],[Role]]&lt;&gt;"BR",SUMPRODUCT(Mecze[[#This Row],[/PR:90]:[/BR:90]],Brudnopis!$E$25:$J$25),0)</f>
        <v>0.26288659793814434</v>
      </c>
      <c r="V2501" s="44">
        <f>IF(Mecze[[#This Row],[Role]]&lt;&gt;"BR",SUMPRODUCT(Mecze[[#This Row],[/PR:90]:[/BR:90]],Brudnopis!$E$26:$J$26),0)</f>
        <v>0.21649484536082475</v>
      </c>
      <c r="W2501" s="44">
        <f>IF(Mecze[[#This Row],[Role]]&lt;&gt;"BR",SUMPRODUCT(Mecze[[#This Row],[/PR:90]:[/BR:90]],Brudnopis!$E$27:$J$27),0)</f>
        <v>0.23195876288659795</v>
      </c>
      <c r="X2501" s="44">
        <f>IF(Mecze[[#This Row],[Role]]&lt;&gt;"BR",SUMPRODUCT(Mecze[[#This Row],[/PR:90]:[/BR:90]],Brudnopis!$E$28:$J$28),0)</f>
        <v>9.2783505154639179E-2</v>
      </c>
      <c r="Y2501" s="35">
        <f>IF(Mecze[[#This Row],[Role]]="BR",Mecze[[#This Row],[/OB:90]]+Mecze[[#This Row],[/PC:90]],SUM(Mecze[[#This Row],[/PR:90]:[/BR:90]]))</f>
        <v>0.21649484536082475</v>
      </c>
      <c r="Z2501" s="35">
        <f>IF(Mecze[[#This Row],[KC]]=0,SUM(Mecze[[#This Row],[/BRI]:[/NPI]]),SUM(Mecze[[#This Row],[/BRI]:[/NPI]])*0.6)</f>
        <v>1.0309278350515463</v>
      </c>
      <c r="AA2501" s="10">
        <f>IFERROR(Mecze[[#This Row],[BR]]/Mecze[[#This Row],[ST]],0)</f>
        <v>0</v>
      </c>
      <c r="AB2501">
        <f>ROUND(Mecze[[#This Row],[PD]]*Mecze[[#This Row],[%PC]],0)</f>
        <v>9</v>
      </c>
      <c r="AC2501">
        <f>ROUND(Mecze[[#This Row],[OD]]*Mecze[[#This Row],[%OU]],0)</f>
        <v>2</v>
      </c>
      <c r="AD2501" s="36" t="s">
        <v>47</v>
      </c>
      <c r="AE2501" s="36">
        <v>139</v>
      </c>
      <c r="AF2501" s="71">
        <v>6.02</v>
      </c>
      <c r="AG2501" s="37">
        <v>0</v>
      </c>
      <c r="AH2501" s="37">
        <v>0</v>
      </c>
      <c r="AI2501" s="37">
        <v>97</v>
      </c>
      <c r="AJ2501" s="37">
        <v>4</v>
      </c>
      <c r="AK2501" s="37" t="str">
        <f>VLOOKUP(Mecze[[#This Row],[Match ID]],Meczusie[Mecz]:Meczusie[RodzajMeczu],2,FALSE)</f>
        <v>Liga</v>
      </c>
    </row>
    <row r="2502" spans="1:37" x14ac:dyDescent="0.25">
      <c r="A2502" s="76">
        <v>4</v>
      </c>
      <c r="B2502" s="3" t="s">
        <v>276</v>
      </c>
      <c r="C2502" s="2" t="s">
        <v>157</v>
      </c>
      <c r="D2502" s="1">
        <v>0</v>
      </c>
      <c r="E2502" s="1">
        <v>0</v>
      </c>
      <c r="F2502" s="1">
        <v>0</v>
      </c>
      <c r="G2502" s="1">
        <v>4</v>
      </c>
      <c r="H2502" s="4">
        <v>1</v>
      </c>
      <c r="I2502" s="1">
        <v>6</v>
      </c>
      <c r="J2502" s="4">
        <v>0.5</v>
      </c>
      <c r="K2502" s="1">
        <v>0</v>
      </c>
      <c r="L2502" s="1">
        <v>4</v>
      </c>
      <c r="M2502" s="32">
        <f>IF(Mecze[[#This Row],[PR]]=0,0,Mecze[[#This Row],[PR]]/Mecze[[#This Row],[CZAS]])</f>
        <v>4.1237113402061855E-2</v>
      </c>
      <c r="N2502" s="32">
        <f>IF(Mecze[[#This Row],[OU]]=0,0,Mecze[[#This Row],[OU]]/Mecze[[#This Row],[CZAS]])</f>
        <v>3.0927835051546393E-2</v>
      </c>
      <c r="O2502" s="32">
        <f>IF(Mecze[[#This Row],[PC]]=0,0,Mecze[[#This Row],[PC]]/Mecze[[#This Row],[CZAS]])</f>
        <v>4.1237113402061855E-2</v>
      </c>
      <c r="P2502" s="32">
        <f>IF(Mecze[[#This Row],[SC]]=0,0,Mecze[[#This Row],[SC]]/Mecze[[#This Row],[CZAS]])</f>
        <v>0</v>
      </c>
      <c r="Q2502" s="32">
        <f>IF(Mecze[[#This Row],[OB]]=0,0,Mecze[[#This Row],[OB]]/Mecze[[#This Row],[CZAS]])</f>
        <v>0</v>
      </c>
      <c r="R2502" s="32">
        <f>IF(Mecze[[#This Row],[BR]]=0,0,Mecze[[#This Row],[BR]]/Mecze[[#This Row],[CZAS]])</f>
        <v>0</v>
      </c>
      <c r="S2502" s="44">
        <f>IF(Mecze[[#This Row],[Role]]="BR",SUMPRODUCT(Mecze[[#This Row],[/PR:90]:[/BR:90]],Brudnopis!$E$23:$J$23),0)</f>
        <v>0</v>
      </c>
      <c r="T2502" s="44">
        <f>IF(Mecze[[#This Row],[Role]]&lt;&gt;"BR",SUMPRODUCT(Mecze[[#This Row],[/PR:90]:[/BR:90]],Brudnopis!$E$24:$J$24),0)</f>
        <v>0.12886597938144329</v>
      </c>
      <c r="U2502" s="44">
        <f>IF(Mecze[[#This Row],[Role]]&lt;&gt;"BR",SUMPRODUCT(Mecze[[#This Row],[/PR:90]:[/BR:90]],Brudnopis!$E$25:$J$25),0)</f>
        <v>0.13402061855670103</v>
      </c>
      <c r="V2502" s="44">
        <f>IF(Mecze[[#This Row],[Role]]&lt;&gt;"BR",SUMPRODUCT(Mecze[[#This Row],[/PR:90]:[/BR:90]],Brudnopis!$E$26:$J$26),0)</f>
        <v>0.11340206185567009</v>
      </c>
      <c r="W2502" s="44">
        <f>IF(Mecze[[#This Row],[Role]]&lt;&gt;"BR",SUMPRODUCT(Mecze[[#This Row],[/PR:90]:[/BR:90]],Brudnopis!$E$27:$J$27),0)</f>
        <v>0.11597938144329897</v>
      </c>
      <c r="X2502" s="44">
        <f>IF(Mecze[[#This Row],[Role]]&lt;&gt;"BR",SUMPRODUCT(Mecze[[#This Row],[/PR:90]:[/BR:90]],Brudnopis!$E$28:$J$28),0)</f>
        <v>4.1237113402061855E-2</v>
      </c>
      <c r="Y2502" s="35">
        <f>IF(Mecze[[#This Row],[Role]]="BR",Mecze[[#This Row],[/OB:90]]+Mecze[[#This Row],[/PC:90]],SUM(Mecze[[#This Row],[/PR:90]:[/BR:90]]))</f>
        <v>0.11340206185567009</v>
      </c>
      <c r="Z2502" s="35">
        <f>IF(Mecze[[#This Row],[KC]]=0,SUM(Mecze[[#This Row],[/BRI]:[/NPI]]),SUM(Mecze[[#This Row],[/BRI]:[/NPI]])*0.6)</f>
        <v>0.53350515463917514</v>
      </c>
      <c r="AA2502" s="10">
        <f>IFERROR(Mecze[[#This Row],[BR]]/Mecze[[#This Row],[ST]],0)</f>
        <v>0</v>
      </c>
      <c r="AB2502">
        <f>ROUND(Mecze[[#This Row],[PD]]*Mecze[[#This Row],[%PC]],0)</f>
        <v>4</v>
      </c>
      <c r="AC2502">
        <f>ROUND(Mecze[[#This Row],[OD]]*Mecze[[#This Row],[%OU]],0)</f>
        <v>3</v>
      </c>
      <c r="AD2502" s="36" t="s">
        <v>168</v>
      </c>
      <c r="AE2502" s="36">
        <v>139</v>
      </c>
      <c r="AF2502" s="71">
        <v>5.88</v>
      </c>
      <c r="AG2502" s="37">
        <v>0</v>
      </c>
      <c r="AH2502" s="37">
        <v>0</v>
      </c>
      <c r="AI2502" s="37">
        <v>97</v>
      </c>
      <c r="AJ2502" s="37">
        <v>4</v>
      </c>
      <c r="AK2502" s="37" t="str">
        <f>VLOOKUP(Mecze[[#This Row],[Match ID]],Meczusie[Mecz]:Meczusie[RodzajMeczu],2,FALSE)</f>
        <v>Liga</v>
      </c>
    </row>
    <row r="2503" spans="1:37" x14ac:dyDescent="0.25">
      <c r="A2503" s="76">
        <v>5</v>
      </c>
      <c r="B2503" s="3" t="s">
        <v>277</v>
      </c>
      <c r="C2503" s="2" t="s">
        <v>157</v>
      </c>
      <c r="D2503" s="1">
        <v>0</v>
      </c>
      <c r="E2503" s="1">
        <v>0</v>
      </c>
      <c r="F2503" s="1">
        <v>0</v>
      </c>
      <c r="G2503" s="1">
        <v>6</v>
      </c>
      <c r="H2503" s="4">
        <v>0.67</v>
      </c>
      <c r="I2503" s="1">
        <v>1</v>
      </c>
      <c r="J2503" s="4">
        <v>1</v>
      </c>
      <c r="K2503" s="1">
        <v>0</v>
      </c>
      <c r="L2503" s="1">
        <v>4</v>
      </c>
      <c r="M2503" s="32">
        <f>IF(Mecze[[#This Row],[PR]]=0,0,Mecze[[#This Row],[PR]]/Mecze[[#This Row],[CZAS]])</f>
        <v>7.2727272727272724E-2</v>
      </c>
      <c r="N2503" s="32">
        <f>IF(Mecze[[#This Row],[OU]]=0,0,Mecze[[#This Row],[OU]]/Mecze[[#This Row],[CZAS]])</f>
        <v>1.8181818181818181E-2</v>
      </c>
      <c r="O2503" s="32">
        <f>IF(Mecze[[#This Row],[PC]]=0,0,Mecze[[#This Row],[PC]]/Mecze[[#This Row],[CZAS]])</f>
        <v>7.2727272727272724E-2</v>
      </c>
      <c r="P2503" s="32">
        <f>IF(Mecze[[#This Row],[SC]]=0,0,Mecze[[#This Row],[SC]]/Mecze[[#This Row],[CZAS]])</f>
        <v>0</v>
      </c>
      <c r="Q2503" s="32">
        <f>IF(Mecze[[#This Row],[OB]]=0,0,Mecze[[#This Row],[OB]]/Mecze[[#This Row],[CZAS]])</f>
        <v>0</v>
      </c>
      <c r="R2503" s="32">
        <f>IF(Mecze[[#This Row],[BR]]=0,0,Mecze[[#This Row],[BR]]/Mecze[[#This Row],[CZAS]])</f>
        <v>0</v>
      </c>
      <c r="S2503" s="44">
        <f>IF(Mecze[[#This Row],[Role]]="BR",SUMPRODUCT(Mecze[[#This Row],[/PR:90]:[/BR:90]],Brudnopis!$E$23:$J$23),0)</f>
        <v>0</v>
      </c>
      <c r="T2503" s="44">
        <f>IF(Mecze[[#This Row],[Role]]&lt;&gt;"BR",SUMPRODUCT(Mecze[[#This Row],[/PR:90]:[/BR:90]],Brudnopis!$E$24:$J$24),0)</f>
        <v>0.17272727272727273</v>
      </c>
      <c r="U2503" s="44">
        <f>IF(Mecze[[#This Row],[Role]]&lt;&gt;"BR",SUMPRODUCT(Mecze[[#This Row],[/PR:90]:[/BR:90]],Brudnopis!$E$25:$J$25),0)</f>
        <v>0.2</v>
      </c>
      <c r="V2503" s="44">
        <f>IF(Mecze[[#This Row],[Role]]&lt;&gt;"BR",SUMPRODUCT(Mecze[[#This Row],[/PR:90]:[/BR:90]],Brudnopis!$E$26:$J$26),0)</f>
        <v>0.16363636363636364</v>
      </c>
      <c r="W2503" s="44">
        <f>IF(Mecze[[#This Row],[Role]]&lt;&gt;"BR",SUMPRODUCT(Mecze[[#This Row],[/PR:90]:[/BR:90]],Brudnopis!$E$27:$J$27),0)</f>
        <v>0.17727272727272725</v>
      </c>
      <c r="X2503" s="44">
        <f>IF(Mecze[[#This Row],[Role]]&lt;&gt;"BR",SUMPRODUCT(Mecze[[#This Row],[/PR:90]:[/BR:90]],Brudnopis!$E$28:$J$28),0)</f>
        <v>7.2727272727272724E-2</v>
      </c>
      <c r="Y2503" s="35">
        <f>IF(Mecze[[#This Row],[Role]]="BR",Mecze[[#This Row],[/OB:90]]+Mecze[[#This Row],[/PC:90]],SUM(Mecze[[#This Row],[/PR:90]:[/BR:90]]))</f>
        <v>0.16363636363636364</v>
      </c>
      <c r="Z2503" s="35">
        <f>IF(Mecze[[#This Row],[KC]]=0,SUM(Mecze[[#This Row],[/BRI]:[/NPI]]),SUM(Mecze[[#This Row],[/BRI]:[/NPI]])*0.6)</f>
        <v>0.78636363636363638</v>
      </c>
      <c r="AA2503" s="10">
        <f>IFERROR(Mecze[[#This Row],[BR]]/Mecze[[#This Row],[ST]],0)</f>
        <v>0</v>
      </c>
      <c r="AB2503">
        <f>ROUND(Mecze[[#This Row],[PD]]*Mecze[[#This Row],[%PC]],0)</f>
        <v>4</v>
      </c>
      <c r="AC2503">
        <f>ROUND(Mecze[[#This Row],[OD]]*Mecze[[#This Row],[%OU]],0)</f>
        <v>1</v>
      </c>
      <c r="AD2503" s="36" t="s">
        <v>167</v>
      </c>
      <c r="AE2503" s="36">
        <v>139</v>
      </c>
      <c r="AF2503" s="71">
        <v>2.56</v>
      </c>
      <c r="AG2503" s="37">
        <v>0</v>
      </c>
      <c r="AH2503" s="37">
        <v>0</v>
      </c>
      <c r="AI2503" s="37">
        <v>55</v>
      </c>
      <c r="AJ2503" s="37">
        <v>4</v>
      </c>
      <c r="AK2503" s="37" t="str">
        <f>VLOOKUP(Mecze[[#This Row],[Match ID]],Meczusie[Mecz]:Meczusie[RodzajMeczu],2,FALSE)</f>
        <v>Liga</v>
      </c>
    </row>
    <row r="2504" spans="1:37" x14ac:dyDescent="0.25">
      <c r="A2504" s="76">
        <v>12</v>
      </c>
      <c r="B2504" s="3" t="s">
        <v>278</v>
      </c>
      <c r="C2504" s="2" t="s">
        <v>160</v>
      </c>
      <c r="D2504" s="1">
        <v>0</v>
      </c>
      <c r="E2504" s="1">
        <v>0</v>
      </c>
      <c r="F2504" s="1">
        <v>0</v>
      </c>
      <c r="G2504" s="1">
        <v>15</v>
      </c>
      <c r="H2504" s="4">
        <v>0.73</v>
      </c>
      <c r="I2504" s="1">
        <v>4</v>
      </c>
      <c r="J2504" s="4">
        <v>0.75</v>
      </c>
      <c r="K2504" s="1">
        <v>0</v>
      </c>
      <c r="L2504" s="1">
        <v>3</v>
      </c>
      <c r="M2504" s="32">
        <f>IF(Mecze[[#This Row],[PR]]=0,0,Mecze[[#This Row],[PR]]/Mecze[[#This Row],[CZAS]])</f>
        <v>3.0927835051546393E-2</v>
      </c>
      <c r="N2504" s="32">
        <f>IF(Mecze[[#This Row],[OU]]=0,0,Mecze[[#This Row],[OU]]/Mecze[[#This Row],[CZAS]])</f>
        <v>3.0927835051546393E-2</v>
      </c>
      <c r="O2504" s="32">
        <f>IF(Mecze[[#This Row],[PC]]=0,0,Mecze[[#This Row],[PC]]/Mecze[[#This Row],[CZAS]])</f>
        <v>0.1134020618556701</v>
      </c>
      <c r="P2504" s="32">
        <f>IF(Mecze[[#This Row],[SC]]=0,0,Mecze[[#This Row],[SC]]/Mecze[[#This Row],[CZAS]])</f>
        <v>0</v>
      </c>
      <c r="Q2504" s="32">
        <f>IF(Mecze[[#This Row],[OB]]=0,0,Mecze[[#This Row],[OB]]/Mecze[[#This Row],[CZAS]])</f>
        <v>0</v>
      </c>
      <c r="R2504" s="32">
        <f>IF(Mecze[[#This Row],[BR]]=0,0,Mecze[[#This Row],[BR]]/Mecze[[#This Row],[CZAS]])</f>
        <v>0</v>
      </c>
      <c r="S2504" s="44">
        <f>IF(Mecze[[#This Row],[Role]]="BR",SUMPRODUCT(Mecze[[#This Row],[/PR:90]:[/BR:90]],Brudnopis!$E$23:$J$23),0)</f>
        <v>0</v>
      </c>
      <c r="T2504" s="44">
        <f>IF(Mecze[[#This Row],[Role]]&lt;&gt;"BR",SUMPRODUCT(Mecze[[#This Row],[/PR:90]:[/BR:90]],Brudnopis!$E$24:$J$24),0)</f>
        <v>0.19072164948453607</v>
      </c>
      <c r="U2504" s="44">
        <f>IF(Mecze[[#This Row],[Role]]&lt;&gt;"BR",SUMPRODUCT(Mecze[[#This Row],[/PR:90]:[/BR:90]],Brudnopis!$E$25:$J$25),0)</f>
        <v>0.23195876288659795</v>
      </c>
      <c r="V2504" s="44">
        <f>IF(Mecze[[#This Row],[Role]]&lt;&gt;"BR",SUMPRODUCT(Mecze[[#This Row],[/PR:90]:[/BR:90]],Brudnopis!$E$26:$J$26),0)</f>
        <v>0.17525773195876287</v>
      </c>
      <c r="W2504" s="44">
        <f>IF(Mecze[[#This Row],[Role]]&lt;&gt;"BR",SUMPRODUCT(Mecze[[#This Row],[/PR:90]:[/BR:90]],Brudnopis!$E$27:$J$27),0)</f>
        <v>0.21649484536082475</v>
      </c>
      <c r="X2504" s="44">
        <f>IF(Mecze[[#This Row],[Role]]&lt;&gt;"BR",SUMPRODUCT(Mecze[[#This Row],[/PR:90]:[/BR:90]],Brudnopis!$E$28:$J$28),0)</f>
        <v>0.1134020618556701</v>
      </c>
      <c r="Y2504" s="35">
        <f>IF(Mecze[[#This Row],[Role]]="BR",Mecze[[#This Row],[/OB:90]]+Mecze[[#This Row],[/PC:90]],SUM(Mecze[[#This Row],[/PR:90]:[/BR:90]]))</f>
        <v>0.17525773195876287</v>
      </c>
      <c r="Z2504" s="35">
        <f>IF(Mecze[[#This Row],[KC]]=0,SUM(Mecze[[#This Row],[/BRI]:[/NPI]]),SUM(Mecze[[#This Row],[/BRI]:[/NPI]])*0.6)</f>
        <v>0.92783505154639179</v>
      </c>
      <c r="AA2504" s="10">
        <f>IFERROR(Mecze[[#This Row],[BR]]/Mecze[[#This Row],[ST]],0)</f>
        <v>0</v>
      </c>
      <c r="AB2504">
        <f>ROUND(Mecze[[#This Row],[PD]]*Mecze[[#This Row],[%PC]],0)</f>
        <v>11</v>
      </c>
      <c r="AC2504">
        <f>ROUND(Mecze[[#This Row],[OD]]*Mecze[[#This Row],[%OU]],0)</f>
        <v>3</v>
      </c>
      <c r="AD2504" s="36" t="s">
        <v>41</v>
      </c>
      <c r="AE2504" s="36">
        <v>139</v>
      </c>
      <c r="AF2504" s="71">
        <v>5.76</v>
      </c>
      <c r="AG2504" s="37">
        <v>0</v>
      </c>
      <c r="AH2504" s="37">
        <v>0</v>
      </c>
      <c r="AI2504" s="37">
        <v>97</v>
      </c>
      <c r="AJ2504" s="37">
        <v>4</v>
      </c>
      <c r="AK2504" s="37" t="str">
        <f>VLOOKUP(Mecze[[#This Row],[Match ID]],Meczusie[Mecz]:Meczusie[RodzajMeczu],2,FALSE)</f>
        <v>Liga</v>
      </c>
    </row>
    <row r="2505" spans="1:37" x14ac:dyDescent="0.25">
      <c r="A2505" s="76">
        <v>7</v>
      </c>
      <c r="B2505" s="3" t="s">
        <v>279</v>
      </c>
      <c r="C2505" s="2" t="s">
        <v>160</v>
      </c>
      <c r="D2505" s="1">
        <v>0</v>
      </c>
      <c r="E2505" s="1">
        <v>0</v>
      </c>
      <c r="F2505" s="1">
        <v>0</v>
      </c>
      <c r="G2505" s="1">
        <v>11</v>
      </c>
      <c r="H2505" s="4">
        <v>0.82</v>
      </c>
      <c r="I2505" s="1">
        <v>5</v>
      </c>
      <c r="J2505" s="4">
        <v>0.6</v>
      </c>
      <c r="K2505" s="1">
        <v>0</v>
      </c>
      <c r="L2505" s="1">
        <v>6</v>
      </c>
      <c r="M2505" s="32">
        <f>IF(Mecze[[#This Row],[PR]]=0,0,Mecze[[#This Row],[PR]]/Mecze[[#This Row],[CZAS]])</f>
        <v>9.0909090909090912E-2</v>
      </c>
      <c r="N2505" s="32">
        <f>IF(Mecze[[#This Row],[OU]]=0,0,Mecze[[#This Row],[OU]]/Mecze[[#This Row],[CZAS]])</f>
        <v>4.5454545454545456E-2</v>
      </c>
      <c r="O2505" s="32">
        <f>IF(Mecze[[#This Row],[PC]]=0,0,Mecze[[#This Row],[PC]]/Mecze[[#This Row],[CZAS]])</f>
        <v>0.13636363636363635</v>
      </c>
      <c r="P2505" s="32">
        <f>IF(Mecze[[#This Row],[SC]]=0,0,Mecze[[#This Row],[SC]]/Mecze[[#This Row],[CZAS]])</f>
        <v>0</v>
      </c>
      <c r="Q2505" s="32">
        <f>IF(Mecze[[#This Row],[OB]]=0,0,Mecze[[#This Row],[OB]]/Mecze[[#This Row],[CZAS]])</f>
        <v>0</v>
      </c>
      <c r="R2505" s="32">
        <f>IF(Mecze[[#This Row],[BR]]=0,0,Mecze[[#This Row],[BR]]/Mecze[[#This Row],[CZAS]])</f>
        <v>0</v>
      </c>
      <c r="S2505" s="44">
        <f>IF(Mecze[[#This Row],[Role]]="BR",SUMPRODUCT(Mecze[[#This Row],[/PR:90]:[/BR:90]],Brudnopis!$E$23:$J$23),0)</f>
        <v>0</v>
      </c>
      <c r="T2505" s="44">
        <f>IF(Mecze[[#This Row],[Role]]&lt;&gt;"BR",SUMPRODUCT(Mecze[[#This Row],[/PR:90]:[/BR:90]],Brudnopis!$E$24:$J$24),0)</f>
        <v>0.29545454545454541</v>
      </c>
      <c r="U2505" s="44">
        <f>IF(Mecze[[#This Row],[Role]]&lt;&gt;"BR",SUMPRODUCT(Mecze[[#This Row],[/PR:90]:[/BR:90]],Brudnopis!$E$25:$J$25),0)</f>
        <v>0.34090909090909088</v>
      </c>
      <c r="V2505" s="44">
        <f>IF(Mecze[[#This Row],[Role]]&lt;&gt;"BR",SUMPRODUCT(Mecze[[#This Row],[/PR:90]:[/BR:90]],Brudnopis!$E$26:$J$26),0)</f>
        <v>0.27272727272727271</v>
      </c>
      <c r="W2505" s="44">
        <f>IF(Mecze[[#This Row],[Role]]&lt;&gt;"BR",SUMPRODUCT(Mecze[[#This Row],[/PR:90]:[/BR:90]],Brudnopis!$E$27:$J$27),0)</f>
        <v>0.30681818181818177</v>
      </c>
      <c r="X2505" s="44">
        <f>IF(Mecze[[#This Row],[Role]]&lt;&gt;"BR",SUMPRODUCT(Mecze[[#This Row],[/PR:90]:[/BR:90]],Brudnopis!$E$28:$J$28),0)</f>
        <v>0.13636363636363635</v>
      </c>
      <c r="Y2505" s="35">
        <f>IF(Mecze[[#This Row],[Role]]="BR",Mecze[[#This Row],[/OB:90]]+Mecze[[#This Row],[/PC:90]],SUM(Mecze[[#This Row],[/PR:90]:[/BR:90]]))</f>
        <v>0.27272727272727271</v>
      </c>
      <c r="Z2505" s="35">
        <f>IF(Mecze[[#This Row],[KC]]=0,SUM(Mecze[[#This Row],[/BRI]:[/NPI]]),SUM(Mecze[[#This Row],[/BRI]:[/NPI]])*0.6)</f>
        <v>0.81136363636363618</v>
      </c>
      <c r="AA2505" s="10">
        <f>IFERROR(Mecze[[#This Row],[BR]]/Mecze[[#This Row],[ST]],0)</f>
        <v>0</v>
      </c>
      <c r="AB2505">
        <f>ROUND(Mecze[[#This Row],[PD]]*Mecze[[#This Row],[%PC]],0)</f>
        <v>9</v>
      </c>
      <c r="AC2505">
        <f>ROUND(Mecze[[#This Row],[OD]]*Mecze[[#This Row],[%OU]],0)</f>
        <v>3</v>
      </c>
      <c r="AD2505" s="36" t="s">
        <v>41</v>
      </c>
      <c r="AE2505" s="36">
        <v>139</v>
      </c>
      <c r="AF2505" s="71">
        <v>5.09</v>
      </c>
      <c r="AG2505" s="37">
        <v>0</v>
      </c>
      <c r="AH2505" s="37">
        <v>1</v>
      </c>
      <c r="AI2505" s="37">
        <v>66</v>
      </c>
      <c r="AJ2505" s="37">
        <v>4</v>
      </c>
      <c r="AK2505" s="37" t="str">
        <f>VLOOKUP(Mecze[[#This Row],[Match ID]],Meczusie[Mecz]:Meczusie[RodzajMeczu],2,FALSE)</f>
        <v>Liga</v>
      </c>
    </row>
    <row r="2506" spans="1:37" x14ac:dyDescent="0.25">
      <c r="A2506" s="76">
        <v>6</v>
      </c>
      <c r="B2506" s="3" t="s">
        <v>280</v>
      </c>
      <c r="C2506" s="2" t="s">
        <v>160</v>
      </c>
      <c r="D2506" s="1">
        <v>0</v>
      </c>
      <c r="E2506" s="1">
        <v>2</v>
      </c>
      <c r="F2506" s="1">
        <v>1</v>
      </c>
      <c r="G2506" s="1">
        <v>10</v>
      </c>
      <c r="H2506" s="4">
        <v>0.8</v>
      </c>
      <c r="I2506" s="1">
        <v>6</v>
      </c>
      <c r="J2506" s="4">
        <v>0.67</v>
      </c>
      <c r="K2506" s="1">
        <v>0</v>
      </c>
      <c r="L2506" s="1">
        <v>3</v>
      </c>
      <c r="M2506" s="32">
        <f>IF(Mecze[[#This Row],[PR]]=0,0,Mecze[[#This Row],[PR]]/Mecze[[#This Row],[CZAS]])</f>
        <v>3.0927835051546393E-2</v>
      </c>
      <c r="N2506" s="32">
        <f>IF(Mecze[[#This Row],[OU]]=0,0,Mecze[[#This Row],[OU]]/Mecze[[#This Row],[CZAS]])</f>
        <v>4.1237113402061855E-2</v>
      </c>
      <c r="O2506" s="32">
        <f>IF(Mecze[[#This Row],[PC]]=0,0,Mecze[[#This Row],[PC]]/Mecze[[#This Row],[CZAS]])</f>
        <v>8.247422680412371E-2</v>
      </c>
      <c r="P2506" s="32">
        <f>IF(Mecze[[#This Row],[SC]]=0,0,Mecze[[#This Row],[SC]]/Mecze[[#This Row],[CZAS]])</f>
        <v>1.0309278350515464E-2</v>
      </c>
      <c r="Q2506" s="32">
        <f>IF(Mecze[[#This Row],[OB]]=0,0,Mecze[[#This Row],[OB]]/Mecze[[#This Row],[CZAS]])</f>
        <v>0</v>
      </c>
      <c r="R2506" s="32">
        <f>IF(Mecze[[#This Row],[BR]]=0,0,Mecze[[#This Row],[BR]]/Mecze[[#This Row],[CZAS]])</f>
        <v>0</v>
      </c>
      <c r="S2506" s="44">
        <f>IF(Mecze[[#This Row],[Role]]="BR",SUMPRODUCT(Mecze[[#This Row],[/PR:90]:[/BR:90]],Brudnopis!$E$23:$J$23),0)</f>
        <v>0</v>
      </c>
      <c r="T2506" s="44">
        <f>IF(Mecze[[#This Row],[Role]]&lt;&gt;"BR",SUMPRODUCT(Mecze[[#This Row],[/PR:90]:[/BR:90]],Brudnopis!$E$24:$J$24),0)</f>
        <v>0.18556701030927833</v>
      </c>
      <c r="U2506" s="44">
        <f>IF(Mecze[[#This Row],[Role]]&lt;&gt;"BR",SUMPRODUCT(Mecze[[#This Row],[/PR:90]:[/BR:90]],Brudnopis!$E$25:$J$25),0)</f>
        <v>0.20618556701030927</v>
      </c>
      <c r="V2506" s="44">
        <f>IF(Mecze[[#This Row],[Role]]&lt;&gt;"BR",SUMPRODUCT(Mecze[[#This Row],[/PR:90]:[/BR:90]],Brudnopis!$E$26:$J$26),0)</f>
        <v>0.16494845360824742</v>
      </c>
      <c r="W2506" s="44">
        <f>IF(Mecze[[#This Row],[Role]]&lt;&gt;"BR",SUMPRODUCT(Mecze[[#This Row],[/PR:90]:[/BR:90]],Brudnopis!$E$27:$J$27),0)</f>
        <v>0.18814432989690721</v>
      </c>
      <c r="X2506" s="44">
        <f>IF(Mecze[[#This Row],[Role]]&lt;&gt;"BR",SUMPRODUCT(Mecze[[#This Row],[/PR:90]:[/BR:90]],Brudnopis!$E$28:$J$28),0)</f>
        <v>0.10309278350515463</v>
      </c>
      <c r="Y2506" s="35">
        <f>IF(Mecze[[#This Row],[Role]]="BR",Mecze[[#This Row],[/OB:90]]+Mecze[[#This Row],[/PC:90]],SUM(Mecze[[#This Row],[/PR:90]:[/BR:90]]))</f>
        <v>0.16494845360824742</v>
      </c>
      <c r="Z2506" s="35">
        <f>IF(Mecze[[#This Row],[KC]]=0,SUM(Mecze[[#This Row],[/BRI]:[/NPI]]),SUM(Mecze[[#This Row],[/BRI]:[/NPI]])*0.6)</f>
        <v>0.84793814432989678</v>
      </c>
      <c r="AA2506" s="10">
        <f>IFERROR(Mecze[[#This Row],[BR]]/Mecze[[#This Row],[ST]],0)</f>
        <v>0</v>
      </c>
      <c r="AB2506">
        <f>ROUND(Mecze[[#This Row],[PD]]*Mecze[[#This Row],[%PC]],0)</f>
        <v>8</v>
      </c>
      <c r="AC2506">
        <f>ROUND(Mecze[[#This Row],[OD]]*Mecze[[#This Row],[%OU]],0)</f>
        <v>4</v>
      </c>
      <c r="AD2506" s="36" t="s">
        <v>67</v>
      </c>
      <c r="AE2506" s="36">
        <v>139</v>
      </c>
      <c r="AF2506" s="71">
        <v>6.9</v>
      </c>
      <c r="AG2506" s="37">
        <v>0</v>
      </c>
      <c r="AH2506" s="37">
        <v>0</v>
      </c>
      <c r="AI2506" s="37">
        <v>97</v>
      </c>
      <c r="AJ2506" s="37">
        <v>4</v>
      </c>
      <c r="AK2506" s="37" t="str">
        <f>VLOOKUP(Mecze[[#This Row],[Match ID]],Meczusie[Mecz]:Meczusie[RodzajMeczu],2,FALSE)</f>
        <v>Liga</v>
      </c>
    </row>
    <row r="2507" spans="1:37" x14ac:dyDescent="0.25">
      <c r="A2507" s="76">
        <v>13</v>
      </c>
      <c r="B2507" s="3" t="s">
        <v>287</v>
      </c>
      <c r="C2507" s="2" t="s">
        <v>160</v>
      </c>
      <c r="D2507" s="1">
        <v>0</v>
      </c>
      <c r="E2507" s="1">
        <v>1</v>
      </c>
      <c r="F2507" s="1">
        <v>1</v>
      </c>
      <c r="G2507" s="1">
        <v>14</v>
      </c>
      <c r="H2507" s="4">
        <v>0.71</v>
      </c>
      <c r="I2507" s="1">
        <v>6</v>
      </c>
      <c r="J2507" s="4">
        <v>0.67</v>
      </c>
      <c r="K2507" s="1">
        <v>0</v>
      </c>
      <c r="L2507" s="1">
        <v>1</v>
      </c>
      <c r="M2507" s="32">
        <f>IF(Mecze[[#This Row],[PR]]=0,0,Mecze[[#This Row],[PR]]/Mecze[[#This Row],[CZAS]])</f>
        <v>1.0309278350515464E-2</v>
      </c>
      <c r="N2507" s="32">
        <f>IF(Mecze[[#This Row],[OU]]=0,0,Mecze[[#This Row],[OU]]/Mecze[[#This Row],[CZAS]])</f>
        <v>4.1237113402061855E-2</v>
      </c>
      <c r="O2507" s="32">
        <f>IF(Mecze[[#This Row],[PC]]=0,0,Mecze[[#This Row],[PC]]/Mecze[[#This Row],[CZAS]])</f>
        <v>0.10309278350515463</v>
      </c>
      <c r="P2507" s="32">
        <f>IF(Mecze[[#This Row],[SC]]=0,0,Mecze[[#This Row],[SC]]/Mecze[[#This Row],[CZAS]])</f>
        <v>1.0309278350515464E-2</v>
      </c>
      <c r="Q2507" s="32">
        <f>IF(Mecze[[#This Row],[OB]]=0,0,Mecze[[#This Row],[OB]]/Mecze[[#This Row],[CZAS]])</f>
        <v>0</v>
      </c>
      <c r="R2507" s="32">
        <f>IF(Mecze[[#This Row],[BR]]=0,0,Mecze[[#This Row],[BR]]/Mecze[[#This Row],[CZAS]])</f>
        <v>0</v>
      </c>
      <c r="S2507" s="44">
        <f>IF(Mecze[[#This Row],[Role]]="BR",SUMPRODUCT(Mecze[[#This Row],[/PR:90]:[/BR:90]],Brudnopis!$E$23:$J$23),0)</f>
        <v>0</v>
      </c>
      <c r="T2507" s="44">
        <f>IF(Mecze[[#This Row],[Role]]&lt;&gt;"BR",SUMPRODUCT(Mecze[[#This Row],[/PR:90]:[/BR:90]],Brudnopis!$E$24:$J$24),0)</f>
        <v>0.18556701030927833</v>
      </c>
      <c r="U2507" s="44">
        <f>IF(Mecze[[#This Row],[Role]]&lt;&gt;"BR",SUMPRODUCT(Mecze[[#This Row],[/PR:90]:[/BR:90]],Brudnopis!$E$25:$J$25),0)</f>
        <v>0.21649484536082472</v>
      </c>
      <c r="V2507" s="44">
        <f>IF(Mecze[[#This Row],[Role]]&lt;&gt;"BR",SUMPRODUCT(Mecze[[#This Row],[/PR:90]:[/BR:90]],Brudnopis!$E$26:$J$26),0)</f>
        <v>0.16494845360824742</v>
      </c>
      <c r="W2507" s="44">
        <f>IF(Mecze[[#This Row],[Role]]&lt;&gt;"BR",SUMPRODUCT(Mecze[[#This Row],[/PR:90]:[/BR:90]],Brudnopis!$E$27:$J$27),0)</f>
        <v>0.20360824742268041</v>
      </c>
      <c r="X2507" s="44">
        <f>IF(Mecze[[#This Row],[Role]]&lt;&gt;"BR",SUMPRODUCT(Mecze[[#This Row],[/PR:90]:[/BR:90]],Brudnopis!$E$28:$J$28),0)</f>
        <v>0.12371134020618556</v>
      </c>
      <c r="Y2507" s="35">
        <f>IF(Mecze[[#This Row],[Role]]="BR",Mecze[[#This Row],[/OB:90]]+Mecze[[#This Row],[/PC:90]],SUM(Mecze[[#This Row],[/PR:90]:[/BR:90]]))</f>
        <v>0.16494845360824742</v>
      </c>
      <c r="Z2507" s="35">
        <f>IF(Mecze[[#This Row],[KC]]=0,SUM(Mecze[[#This Row],[/BRI]:[/NPI]]),SUM(Mecze[[#This Row],[/BRI]:[/NPI]])*0.6)</f>
        <v>0.89432989690721643</v>
      </c>
      <c r="AA2507" s="10">
        <f>IFERROR(Mecze[[#This Row],[BR]]/Mecze[[#This Row],[ST]],0)</f>
        <v>0</v>
      </c>
      <c r="AB2507">
        <f>ROUND(Mecze[[#This Row],[PD]]*Mecze[[#This Row],[%PC]],0)</f>
        <v>10</v>
      </c>
      <c r="AC2507">
        <f>ROUND(Mecze[[#This Row],[OD]]*Mecze[[#This Row],[%OU]],0)</f>
        <v>4</v>
      </c>
      <c r="AD2507" s="36" t="s">
        <v>171</v>
      </c>
      <c r="AE2507" s="36">
        <v>139</v>
      </c>
      <c r="AF2507" s="71">
        <v>5.57</v>
      </c>
      <c r="AG2507" s="37">
        <v>0</v>
      </c>
      <c r="AH2507" s="37">
        <v>0</v>
      </c>
      <c r="AI2507" s="37">
        <v>97</v>
      </c>
      <c r="AJ2507" s="37">
        <v>4</v>
      </c>
      <c r="AK2507" s="37" t="str">
        <f>VLOOKUP(Mecze[[#This Row],[Match ID]],Meczusie[Mecz]:Meczusie[RodzajMeczu],2,FALSE)</f>
        <v>Liga</v>
      </c>
    </row>
    <row r="2508" spans="1:37" x14ac:dyDescent="0.25">
      <c r="A2508" s="76">
        <v>11</v>
      </c>
      <c r="B2508" s="3" t="s">
        <v>282</v>
      </c>
      <c r="C2508" s="2" t="s">
        <v>165</v>
      </c>
      <c r="D2508" s="1">
        <v>0</v>
      </c>
      <c r="E2508" s="1">
        <v>2</v>
      </c>
      <c r="F2508" s="1">
        <v>1</v>
      </c>
      <c r="G2508" s="1">
        <v>7</v>
      </c>
      <c r="H2508" s="4">
        <v>0.71</v>
      </c>
      <c r="I2508" s="1">
        <v>1</v>
      </c>
      <c r="J2508" s="4">
        <v>1</v>
      </c>
      <c r="K2508" s="1">
        <v>0</v>
      </c>
      <c r="L2508" s="1">
        <v>2</v>
      </c>
      <c r="M2508" s="32">
        <f>IF(Mecze[[#This Row],[PR]]=0,0,Mecze[[#This Row],[PR]]/Mecze[[#This Row],[CZAS]])</f>
        <v>3.6363636363636362E-2</v>
      </c>
      <c r="N2508" s="32">
        <f>IF(Mecze[[#This Row],[OU]]=0,0,Mecze[[#This Row],[OU]]/Mecze[[#This Row],[CZAS]])</f>
        <v>1.8181818181818181E-2</v>
      </c>
      <c r="O2508" s="32">
        <f>IF(Mecze[[#This Row],[PC]]=0,0,Mecze[[#This Row],[PC]]/Mecze[[#This Row],[CZAS]])</f>
        <v>9.0909090909090912E-2</v>
      </c>
      <c r="P2508" s="32">
        <f>IF(Mecze[[#This Row],[SC]]=0,0,Mecze[[#This Row],[SC]]/Mecze[[#This Row],[CZAS]])</f>
        <v>1.8181818181818181E-2</v>
      </c>
      <c r="Q2508" s="32">
        <f>IF(Mecze[[#This Row],[OB]]=0,0,Mecze[[#This Row],[OB]]/Mecze[[#This Row],[CZAS]])</f>
        <v>0</v>
      </c>
      <c r="R2508" s="32">
        <f>IF(Mecze[[#This Row],[BR]]=0,0,Mecze[[#This Row],[BR]]/Mecze[[#This Row],[CZAS]])</f>
        <v>0</v>
      </c>
      <c r="S2508" s="44">
        <f>IF(Mecze[[#This Row],[Role]]="BR",SUMPRODUCT(Mecze[[#This Row],[/PR:90]:[/BR:90]],Brudnopis!$E$23:$J$23),0)</f>
        <v>0</v>
      </c>
      <c r="T2508" s="44">
        <f>IF(Mecze[[#This Row],[Role]]&lt;&gt;"BR",SUMPRODUCT(Mecze[[#This Row],[/PR:90]:[/BR:90]],Brudnopis!$E$24:$J$24),0)</f>
        <v>0.17272727272727273</v>
      </c>
      <c r="U2508" s="44">
        <f>IF(Mecze[[#This Row],[Role]]&lt;&gt;"BR",SUMPRODUCT(Mecze[[#This Row],[/PR:90]:[/BR:90]],Brudnopis!$E$25:$J$25),0)</f>
        <v>0.20909090909090908</v>
      </c>
      <c r="V2508" s="44">
        <f>IF(Mecze[[#This Row],[Role]]&lt;&gt;"BR",SUMPRODUCT(Mecze[[#This Row],[/PR:90]:[/BR:90]],Brudnopis!$E$26:$J$26),0)</f>
        <v>0.16363636363636364</v>
      </c>
      <c r="W2508" s="44">
        <f>IF(Mecze[[#This Row],[Role]]&lt;&gt;"BR",SUMPRODUCT(Mecze[[#This Row],[/PR:90]:[/BR:90]],Brudnopis!$E$27:$J$27),0)</f>
        <v>0.19545454545454544</v>
      </c>
      <c r="X2508" s="44">
        <f>IF(Mecze[[#This Row],[Role]]&lt;&gt;"BR",SUMPRODUCT(Mecze[[#This Row],[/PR:90]:[/BR:90]],Brudnopis!$E$28:$J$28),0)</f>
        <v>0.12727272727272726</v>
      </c>
      <c r="Y2508" s="35">
        <f>IF(Mecze[[#This Row],[Role]]="BR",Mecze[[#This Row],[/OB:90]]+Mecze[[#This Row],[/PC:90]],SUM(Mecze[[#This Row],[/PR:90]:[/BR:90]]))</f>
        <v>0.16363636363636364</v>
      </c>
      <c r="Z2508" s="35">
        <f>IF(Mecze[[#This Row],[KC]]=0,SUM(Mecze[[#This Row],[/BRI]:[/NPI]]),SUM(Mecze[[#This Row],[/BRI]:[/NPI]])*0.6)</f>
        <v>0.86818181818181817</v>
      </c>
      <c r="AA2508" s="10">
        <f>IFERROR(Mecze[[#This Row],[BR]]/Mecze[[#This Row],[ST]],0)</f>
        <v>0</v>
      </c>
      <c r="AB2508">
        <f>ROUND(Mecze[[#This Row],[PD]]*Mecze[[#This Row],[%PC]],0)</f>
        <v>5</v>
      </c>
      <c r="AC2508">
        <f>ROUND(Mecze[[#This Row],[OD]]*Mecze[[#This Row],[%OU]],0)</f>
        <v>1</v>
      </c>
      <c r="AD2508" s="36" t="s">
        <v>46</v>
      </c>
      <c r="AE2508" s="36">
        <v>139</v>
      </c>
      <c r="AF2508" s="71">
        <v>3.27</v>
      </c>
      <c r="AG2508" s="37">
        <v>0</v>
      </c>
      <c r="AH2508" s="37">
        <v>0</v>
      </c>
      <c r="AI2508" s="37">
        <v>55</v>
      </c>
      <c r="AJ2508" s="37">
        <v>4</v>
      </c>
      <c r="AK2508" s="37" t="str">
        <f>VLOOKUP(Mecze[[#This Row],[Match ID]],Meczusie[Mecz]:Meczusie[RodzajMeczu],2,FALSE)</f>
        <v>Liga</v>
      </c>
    </row>
    <row r="2509" spans="1:37" x14ac:dyDescent="0.25">
      <c r="A2509" s="76">
        <v>8</v>
      </c>
      <c r="B2509" s="3" t="s">
        <v>283</v>
      </c>
      <c r="C2509" s="2" t="s">
        <v>165</v>
      </c>
      <c r="D2509" s="1">
        <v>2</v>
      </c>
      <c r="E2509" s="1">
        <v>7</v>
      </c>
      <c r="F2509" s="1">
        <v>4</v>
      </c>
      <c r="G2509" s="1">
        <v>12</v>
      </c>
      <c r="H2509" s="4">
        <v>0.67</v>
      </c>
      <c r="I2509" s="1">
        <v>6</v>
      </c>
      <c r="J2509" s="4">
        <v>0.83</v>
      </c>
      <c r="K2509" s="1">
        <v>0</v>
      </c>
      <c r="L2509" s="1">
        <v>3</v>
      </c>
      <c r="M2509" s="32">
        <f>IF(Mecze[[#This Row],[PR]]=0,0,Mecze[[#This Row],[PR]]/Mecze[[#This Row],[CZAS]])</f>
        <v>3.0927835051546393E-2</v>
      </c>
      <c r="N2509" s="32">
        <f>IF(Mecze[[#This Row],[OU]]=0,0,Mecze[[#This Row],[OU]]/Mecze[[#This Row],[CZAS]])</f>
        <v>5.1546391752577317E-2</v>
      </c>
      <c r="O2509" s="32">
        <f>IF(Mecze[[#This Row],[PC]]=0,0,Mecze[[#This Row],[PC]]/Mecze[[#This Row],[CZAS]])</f>
        <v>8.247422680412371E-2</v>
      </c>
      <c r="P2509" s="32">
        <f>IF(Mecze[[#This Row],[SC]]=0,0,Mecze[[#This Row],[SC]]/Mecze[[#This Row],[CZAS]])</f>
        <v>4.1237113402061855E-2</v>
      </c>
      <c r="Q2509" s="32">
        <f>IF(Mecze[[#This Row],[OB]]=0,0,Mecze[[#This Row],[OB]]/Mecze[[#This Row],[CZAS]])</f>
        <v>0</v>
      </c>
      <c r="R2509" s="32">
        <f>IF(Mecze[[#This Row],[BR]]=0,0,Mecze[[#This Row],[BR]]/Mecze[[#This Row],[CZAS]])</f>
        <v>2.0618556701030927E-2</v>
      </c>
      <c r="S2509" s="44">
        <f>IF(Mecze[[#This Row],[Role]]="BR",SUMPRODUCT(Mecze[[#This Row],[/PR:90]:[/BR:90]],Brudnopis!$E$23:$J$23),0)</f>
        <v>0</v>
      </c>
      <c r="T2509" s="44">
        <f>IF(Mecze[[#This Row],[Role]]&lt;&gt;"BR",SUMPRODUCT(Mecze[[#This Row],[/PR:90]:[/BR:90]],Brudnopis!$E$24:$J$24),0)</f>
        <v>0.26288659793814428</v>
      </c>
      <c r="U2509" s="44">
        <f>IF(Mecze[[#This Row],[Role]]&lt;&gt;"BR",SUMPRODUCT(Mecze[[#This Row],[/PR:90]:[/BR:90]],Brudnopis!$E$25:$J$25),0)</f>
        <v>0.27835051546391754</v>
      </c>
      <c r="V2509" s="44">
        <f>IF(Mecze[[#This Row],[Role]]&lt;&gt;"BR",SUMPRODUCT(Mecze[[#This Row],[/PR:90]:[/BR:90]],Brudnopis!$E$26:$J$26),0)</f>
        <v>0.24742268041237112</v>
      </c>
      <c r="W2509" s="44">
        <f>IF(Mecze[[#This Row],[Role]]&lt;&gt;"BR",SUMPRODUCT(Mecze[[#This Row],[/PR:90]:[/BR:90]],Brudnopis!$E$27:$J$27),0)</f>
        <v>0.26804123711340205</v>
      </c>
      <c r="X2509" s="44">
        <f>IF(Mecze[[#This Row],[Role]]&lt;&gt;"BR",SUMPRODUCT(Mecze[[#This Row],[/PR:90]:[/BR:90]],Brudnopis!$E$28:$J$28),0)</f>
        <v>0.22680412371134021</v>
      </c>
      <c r="Y2509" s="35">
        <f>IF(Mecze[[#This Row],[Role]]="BR",Mecze[[#This Row],[/OB:90]]+Mecze[[#This Row],[/PC:90]],SUM(Mecze[[#This Row],[/PR:90]:[/BR:90]]))</f>
        <v>0.22680412371134021</v>
      </c>
      <c r="Z2509" s="35">
        <f>IF(Mecze[[#This Row],[KC]]=0,SUM(Mecze[[#This Row],[/BRI]:[/NPI]]),SUM(Mecze[[#This Row],[/BRI]:[/NPI]])*0.6)</f>
        <v>1.2835051546391754</v>
      </c>
      <c r="AA2509" s="10">
        <f>IFERROR(Mecze[[#This Row],[BR]]/Mecze[[#This Row],[ST]],0)</f>
        <v>0.2857142857142857</v>
      </c>
      <c r="AB2509">
        <f>ROUND(Mecze[[#This Row],[PD]]*Mecze[[#This Row],[%PC]],0)</f>
        <v>8</v>
      </c>
      <c r="AC2509">
        <f>ROUND(Mecze[[#This Row],[OD]]*Mecze[[#This Row],[%OU]],0)</f>
        <v>5</v>
      </c>
      <c r="AD2509" s="36" t="s">
        <v>273</v>
      </c>
      <c r="AE2509" s="36">
        <v>139</v>
      </c>
      <c r="AF2509" s="71">
        <v>10.74</v>
      </c>
      <c r="AG2509" s="37">
        <v>0</v>
      </c>
      <c r="AH2509" s="37">
        <v>0</v>
      </c>
      <c r="AI2509" s="37">
        <v>97</v>
      </c>
      <c r="AJ2509" s="37">
        <v>4</v>
      </c>
      <c r="AK2509" s="37" t="str">
        <f>VLOOKUP(Mecze[[#This Row],[Match ID]],Meczusie[Mecz]:Meczusie[RodzajMeczu],2,FALSE)</f>
        <v>Liga</v>
      </c>
    </row>
    <row r="2510" spans="1:37" x14ac:dyDescent="0.25">
      <c r="A2510" s="76">
        <v>10</v>
      </c>
      <c r="B2510" s="3" t="s">
        <v>284</v>
      </c>
      <c r="C2510" s="2" t="s">
        <v>165</v>
      </c>
      <c r="D2510" s="1">
        <v>0</v>
      </c>
      <c r="E2510" s="1">
        <v>5</v>
      </c>
      <c r="F2510" s="1">
        <v>3</v>
      </c>
      <c r="G2510" s="1">
        <v>5</v>
      </c>
      <c r="H2510" s="4">
        <v>0.8</v>
      </c>
      <c r="I2510" s="1">
        <v>0</v>
      </c>
      <c r="J2510" s="4"/>
      <c r="K2510" s="1">
        <v>0</v>
      </c>
      <c r="L2510" s="1">
        <v>0</v>
      </c>
      <c r="M2510" s="32">
        <f>IF(Mecze[[#This Row],[PR]]=0,0,Mecze[[#This Row],[PR]]/Mecze[[#This Row],[CZAS]])</f>
        <v>0</v>
      </c>
      <c r="N2510" s="32">
        <f>IF(Mecze[[#This Row],[OU]]=0,0,Mecze[[#This Row],[OU]]/Mecze[[#This Row],[CZAS]])</f>
        <v>0</v>
      </c>
      <c r="O2510" s="32">
        <f>IF(Mecze[[#This Row],[PC]]=0,0,Mecze[[#This Row],[PC]]/Mecze[[#This Row],[CZAS]])</f>
        <v>4.1237113402061855E-2</v>
      </c>
      <c r="P2510" s="32">
        <f>IF(Mecze[[#This Row],[SC]]=0,0,Mecze[[#This Row],[SC]]/Mecze[[#This Row],[CZAS]])</f>
        <v>3.0927835051546393E-2</v>
      </c>
      <c r="Q2510" s="32">
        <f>IF(Mecze[[#This Row],[OB]]=0,0,Mecze[[#This Row],[OB]]/Mecze[[#This Row],[CZAS]])</f>
        <v>0</v>
      </c>
      <c r="R2510" s="32">
        <f>IF(Mecze[[#This Row],[BR]]=0,0,Mecze[[#This Row],[BR]]/Mecze[[#This Row],[CZAS]])</f>
        <v>0</v>
      </c>
      <c r="S2510" s="44">
        <f>IF(Mecze[[#This Row],[Role]]="BR",SUMPRODUCT(Mecze[[#This Row],[/PR:90]:[/BR:90]],Brudnopis!$E$23:$J$23),0)</f>
        <v>0</v>
      </c>
      <c r="T2510" s="44">
        <f>IF(Mecze[[#This Row],[Role]]&lt;&gt;"BR",SUMPRODUCT(Mecze[[#This Row],[/PR:90]:[/BR:90]],Brudnopis!$E$24:$J$24),0)</f>
        <v>7.2164948453608241E-2</v>
      </c>
      <c r="U2510" s="44">
        <f>IF(Mecze[[#This Row],[Role]]&lt;&gt;"BR",SUMPRODUCT(Mecze[[#This Row],[/PR:90]:[/BR:90]],Brudnopis!$E$25:$J$25),0)</f>
        <v>9.2783505154639179E-2</v>
      </c>
      <c r="V2510" s="44">
        <f>IF(Mecze[[#This Row],[Role]]&lt;&gt;"BR",SUMPRODUCT(Mecze[[#This Row],[/PR:90]:[/BR:90]],Brudnopis!$E$26:$J$26),0)</f>
        <v>7.2164948453608241E-2</v>
      </c>
      <c r="W2510" s="44">
        <f>IF(Mecze[[#This Row],[Role]]&lt;&gt;"BR",SUMPRODUCT(Mecze[[#This Row],[/PR:90]:[/BR:90]],Brudnopis!$E$27:$J$27),0)</f>
        <v>9.2783505154639179E-2</v>
      </c>
      <c r="X2510" s="44">
        <f>IF(Mecze[[#This Row],[Role]]&lt;&gt;"BR",SUMPRODUCT(Mecze[[#This Row],[/PR:90]:[/BR:90]],Brudnopis!$E$28:$J$28),0)</f>
        <v>0.10309278350515463</v>
      </c>
      <c r="Y2510" s="35">
        <f>IF(Mecze[[#This Row],[Role]]="BR",Mecze[[#This Row],[/OB:90]]+Mecze[[#This Row],[/PC:90]],SUM(Mecze[[#This Row],[/PR:90]:[/BR:90]]))</f>
        <v>7.2164948453608241E-2</v>
      </c>
      <c r="Z2510" s="35">
        <f>IF(Mecze[[#This Row],[KC]]=0,SUM(Mecze[[#This Row],[/BRI]:[/NPI]]),SUM(Mecze[[#This Row],[/BRI]:[/NPI]])*0.6)</f>
        <v>0.4329896907216495</v>
      </c>
      <c r="AA2510" s="10">
        <f>IFERROR(Mecze[[#This Row],[BR]]/Mecze[[#This Row],[ST]],0)</f>
        <v>0</v>
      </c>
      <c r="AB2510">
        <f>ROUND(Mecze[[#This Row],[PD]]*Mecze[[#This Row],[%PC]],0)</f>
        <v>4</v>
      </c>
      <c r="AC2510">
        <f>ROUND(Mecze[[#This Row],[OD]]*Mecze[[#This Row],[%OU]],0)</f>
        <v>0</v>
      </c>
      <c r="AD2510" s="36" t="s">
        <v>46</v>
      </c>
      <c r="AE2510" s="36">
        <v>139</v>
      </c>
      <c r="AF2510" s="71">
        <v>6.84</v>
      </c>
      <c r="AG2510" s="37">
        <v>0</v>
      </c>
      <c r="AH2510" s="37">
        <v>0</v>
      </c>
      <c r="AI2510" s="37">
        <v>97</v>
      </c>
      <c r="AJ2510" s="37">
        <v>4</v>
      </c>
      <c r="AK2510" s="37" t="str">
        <f>VLOOKUP(Mecze[[#This Row],[Match ID]],Meczusie[Mecz]:Meczusie[RodzajMeczu],2,FALSE)</f>
        <v>Liga</v>
      </c>
    </row>
    <row r="2511" spans="1:37" x14ac:dyDescent="0.25">
      <c r="A2511" s="76">
        <v>3</v>
      </c>
      <c r="B2511" s="3" t="s">
        <v>495</v>
      </c>
      <c r="C2511" s="2" t="s">
        <v>157</v>
      </c>
      <c r="D2511" s="1">
        <v>0</v>
      </c>
      <c r="E2511" s="1">
        <v>0</v>
      </c>
      <c r="F2511" s="1">
        <v>0</v>
      </c>
      <c r="G2511" s="1">
        <v>8</v>
      </c>
      <c r="H2511" s="4">
        <v>0.88</v>
      </c>
      <c r="I2511" s="1">
        <v>2</v>
      </c>
      <c r="J2511" s="4">
        <v>1</v>
      </c>
      <c r="K2511" s="1">
        <v>0</v>
      </c>
      <c r="L2511" s="1">
        <v>4</v>
      </c>
      <c r="M2511" s="32">
        <f>IF(Mecze[[#This Row],[PR]]=0,0,Mecze[[#This Row],[PR]]/Mecze[[#This Row],[CZAS]])</f>
        <v>9.5238095238095233E-2</v>
      </c>
      <c r="N2511" s="32">
        <f>IF(Mecze[[#This Row],[OU]]=0,0,Mecze[[#This Row],[OU]]/Mecze[[#This Row],[CZAS]])</f>
        <v>4.7619047619047616E-2</v>
      </c>
      <c r="O2511" s="32">
        <f>IF(Mecze[[#This Row],[PC]]=0,0,Mecze[[#This Row],[PC]]/Mecze[[#This Row],[CZAS]])</f>
        <v>0.16666666666666666</v>
      </c>
      <c r="P2511" s="32">
        <f>IF(Mecze[[#This Row],[SC]]=0,0,Mecze[[#This Row],[SC]]/Mecze[[#This Row],[CZAS]])</f>
        <v>0</v>
      </c>
      <c r="Q2511" s="32">
        <f>IF(Mecze[[#This Row],[OB]]=0,0,Mecze[[#This Row],[OB]]/Mecze[[#This Row],[CZAS]])</f>
        <v>0</v>
      </c>
      <c r="R2511" s="32">
        <f>IF(Mecze[[#This Row],[BR]]=0,0,Mecze[[#This Row],[BR]]/Mecze[[#This Row],[CZAS]])</f>
        <v>0</v>
      </c>
      <c r="S2511" s="44">
        <f>IF(Mecze[[#This Row],[Role]]="BR",SUMPRODUCT(Mecze[[#This Row],[/PR:90]:[/BR:90]],Brudnopis!$E$23:$J$23),0)</f>
        <v>0</v>
      </c>
      <c r="T2511" s="44">
        <f>IF(Mecze[[#This Row],[Role]]&lt;&gt;"BR",SUMPRODUCT(Mecze[[#This Row],[/PR:90]:[/BR:90]],Brudnopis!$E$24:$J$24),0)</f>
        <v>0.33333333333333331</v>
      </c>
      <c r="U2511" s="44">
        <f>IF(Mecze[[#This Row],[Role]]&lt;&gt;"BR",SUMPRODUCT(Mecze[[#This Row],[/PR:90]:[/BR:90]],Brudnopis!$E$25:$J$25),0)</f>
        <v>0.39285714285714285</v>
      </c>
      <c r="V2511" s="44">
        <f>IF(Mecze[[#This Row],[Role]]&lt;&gt;"BR",SUMPRODUCT(Mecze[[#This Row],[/PR:90]:[/BR:90]],Brudnopis!$E$26:$J$26),0)</f>
        <v>0.30952380952380953</v>
      </c>
      <c r="W2511" s="44">
        <f>IF(Mecze[[#This Row],[Role]]&lt;&gt;"BR",SUMPRODUCT(Mecze[[#This Row],[/PR:90]:[/BR:90]],Brudnopis!$E$27:$J$27),0)</f>
        <v>0.35714285714285715</v>
      </c>
      <c r="X2511" s="44">
        <f>IF(Mecze[[#This Row],[Role]]&lt;&gt;"BR",SUMPRODUCT(Mecze[[#This Row],[/PR:90]:[/BR:90]],Brudnopis!$E$28:$J$28),0)</f>
        <v>0.16666666666666666</v>
      </c>
      <c r="Y2511" s="35">
        <f>IF(Mecze[[#This Row],[Role]]="BR",Mecze[[#This Row],[/OB:90]]+Mecze[[#This Row],[/PC:90]],SUM(Mecze[[#This Row],[/PR:90]:[/BR:90]]))</f>
        <v>0.30952380952380953</v>
      </c>
      <c r="Z2511" s="35">
        <f>IF(Mecze[[#This Row],[KC]]=0,SUM(Mecze[[#This Row],[/BRI]:[/NPI]]),SUM(Mecze[[#This Row],[/BRI]:[/NPI]])*0.6)</f>
        <v>1.5595238095238095</v>
      </c>
      <c r="AA2511" s="10">
        <f>IFERROR(Mecze[[#This Row],[BR]]/Mecze[[#This Row],[ST]],0)</f>
        <v>0</v>
      </c>
      <c r="AB2511">
        <f>ROUND(Mecze[[#This Row],[PD]]*Mecze[[#This Row],[%PC]],0)</f>
        <v>7</v>
      </c>
      <c r="AC2511">
        <f>ROUND(Mecze[[#This Row],[OD]]*Mecze[[#This Row],[%OU]],0)</f>
        <v>2</v>
      </c>
      <c r="AD2511" s="36" t="s">
        <v>167</v>
      </c>
      <c r="AE2511" s="36">
        <v>139</v>
      </c>
      <c r="AF2511" s="71">
        <v>2.56</v>
      </c>
      <c r="AG2511" s="37">
        <v>0</v>
      </c>
      <c r="AH2511" s="37">
        <v>0</v>
      </c>
      <c r="AI2511" s="37">
        <v>42</v>
      </c>
      <c r="AJ2511" s="37">
        <v>4</v>
      </c>
      <c r="AK2511" s="37" t="str">
        <f>VLOOKUP(Mecze[[#This Row],[Match ID]],Meczusie[Mecz]:Meczusie[RodzajMeczu],2,FALSE)</f>
        <v>Liga</v>
      </c>
    </row>
    <row r="2512" spans="1:37" x14ac:dyDescent="0.25">
      <c r="A2512" s="76">
        <v>14</v>
      </c>
      <c r="B2512" s="3" t="s">
        <v>281</v>
      </c>
      <c r="C2512" s="2" t="s">
        <v>165</v>
      </c>
      <c r="D2512" s="1">
        <v>0</v>
      </c>
      <c r="E2512" s="1">
        <v>2</v>
      </c>
      <c r="F2512" s="1">
        <v>2</v>
      </c>
      <c r="G2512" s="1">
        <v>6</v>
      </c>
      <c r="H2512" s="4">
        <v>0.5</v>
      </c>
      <c r="I2512" s="1">
        <v>1</v>
      </c>
      <c r="J2512" s="4">
        <v>1</v>
      </c>
      <c r="K2512" s="1">
        <v>0</v>
      </c>
      <c r="L2512" s="1">
        <v>0</v>
      </c>
      <c r="M2512" s="32">
        <f>IF(Mecze[[#This Row],[PR]]=0,0,Mecze[[#This Row],[PR]]/Mecze[[#This Row],[CZAS]])</f>
        <v>0</v>
      </c>
      <c r="N2512" s="32">
        <f>IF(Mecze[[#This Row],[OU]]=0,0,Mecze[[#This Row],[OU]]/Mecze[[#This Row],[CZAS]])</f>
        <v>2.3809523809523808E-2</v>
      </c>
      <c r="O2512" s="32">
        <f>IF(Mecze[[#This Row],[PC]]=0,0,Mecze[[#This Row],[PC]]/Mecze[[#This Row],[CZAS]])</f>
        <v>7.1428571428571425E-2</v>
      </c>
      <c r="P2512" s="32">
        <f>IF(Mecze[[#This Row],[SC]]=0,0,Mecze[[#This Row],[SC]]/Mecze[[#This Row],[CZAS]])</f>
        <v>4.7619047619047616E-2</v>
      </c>
      <c r="Q2512" s="32">
        <f>IF(Mecze[[#This Row],[OB]]=0,0,Mecze[[#This Row],[OB]]/Mecze[[#This Row],[CZAS]])</f>
        <v>0</v>
      </c>
      <c r="R2512" s="32">
        <f>IF(Mecze[[#This Row],[BR]]=0,0,Mecze[[#This Row],[BR]]/Mecze[[#This Row],[CZAS]])</f>
        <v>0</v>
      </c>
      <c r="S2512" s="44">
        <f>IF(Mecze[[#This Row],[Role]]="BR",SUMPRODUCT(Mecze[[#This Row],[/PR:90]:[/BR:90]],Brudnopis!$E$23:$J$23),0)</f>
        <v>0</v>
      </c>
      <c r="T2512" s="44">
        <f>IF(Mecze[[#This Row],[Role]]&lt;&gt;"BR",SUMPRODUCT(Mecze[[#This Row],[/PR:90]:[/BR:90]],Brudnopis!$E$24:$J$24),0)</f>
        <v>0.15476190476190477</v>
      </c>
      <c r="U2512" s="44">
        <f>IF(Mecze[[#This Row],[Role]]&lt;&gt;"BR",SUMPRODUCT(Mecze[[#This Row],[/PR:90]:[/BR:90]],Brudnopis!$E$25:$J$25),0)</f>
        <v>0.17857142857142855</v>
      </c>
      <c r="V2512" s="44">
        <f>IF(Mecze[[#This Row],[Role]]&lt;&gt;"BR",SUMPRODUCT(Mecze[[#This Row],[/PR:90]:[/BR:90]],Brudnopis!$E$26:$J$26),0)</f>
        <v>0.14285714285714285</v>
      </c>
      <c r="W2512" s="44">
        <f>IF(Mecze[[#This Row],[Role]]&lt;&gt;"BR",SUMPRODUCT(Mecze[[#This Row],[/PR:90]:[/BR:90]],Brudnopis!$E$27:$J$27),0)</f>
        <v>0.17261904761904762</v>
      </c>
      <c r="X2512" s="44">
        <f>IF(Mecze[[#This Row],[Role]]&lt;&gt;"BR",SUMPRODUCT(Mecze[[#This Row],[/PR:90]:[/BR:90]],Brudnopis!$E$28:$J$28),0)</f>
        <v>0.16666666666666666</v>
      </c>
      <c r="Y2512" s="35">
        <f>IF(Mecze[[#This Row],[Role]]="BR",Mecze[[#This Row],[/OB:90]]+Mecze[[#This Row],[/PC:90]],SUM(Mecze[[#This Row],[/PR:90]:[/BR:90]]))</f>
        <v>0.14285714285714285</v>
      </c>
      <c r="Z2512" s="35">
        <f>IF(Mecze[[#This Row],[KC]]=0,SUM(Mecze[[#This Row],[/BRI]:[/NPI]]),SUM(Mecze[[#This Row],[/BRI]:[/NPI]])*0.6)</f>
        <v>0.81547619047619035</v>
      </c>
      <c r="AA2512" s="10">
        <f>IFERROR(Mecze[[#This Row],[BR]]/Mecze[[#This Row],[ST]],0)</f>
        <v>0</v>
      </c>
      <c r="AB2512">
        <f>ROUND(Mecze[[#This Row],[PD]]*Mecze[[#This Row],[%PC]],0)</f>
        <v>3</v>
      </c>
      <c r="AC2512">
        <f>ROUND(Mecze[[#This Row],[OD]]*Mecze[[#This Row],[%OU]],0)</f>
        <v>1</v>
      </c>
      <c r="AD2512" s="36" t="s">
        <v>46</v>
      </c>
      <c r="AE2512" s="36">
        <v>139</v>
      </c>
      <c r="AF2512" s="71">
        <v>3.49</v>
      </c>
      <c r="AG2512" s="37">
        <v>0</v>
      </c>
      <c r="AH2512" s="37">
        <v>0</v>
      </c>
      <c r="AI2512" s="37">
        <v>42</v>
      </c>
      <c r="AJ2512" s="37">
        <v>4</v>
      </c>
      <c r="AK2512" s="37" t="str">
        <f>VLOOKUP(Mecze[[#This Row],[Match ID]],Meczusie[Mecz]:Meczusie[RodzajMeczu],2,FALSE)</f>
        <v>Liga</v>
      </c>
    </row>
    <row r="2513" spans="1:37" x14ac:dyDescent="0.25">
      <c r="A2513" s="76">
        <v>1</v>
      </c>
      <c r="B2513" s="3" t="s">
        <v>320</v>
      </c>
      <c r="C2513" s="2" t="s">
        <v>155</v>
      </c>
      <c r="D2513" s="1">
        <v>0</v>
      </c>
      <c r="E2513" s="1">
        <v>0</v>
      </c>
      <c r="F2513" s="1">
        <v>0</v>
      </c>
      <c r="G2513" s="1">
        <v>2</v>
      </c>
      <c r="H2513" s="4">
        <v>1</v>
      </c>
      <c r="I2513" s="1">
        <v>0</v>
      </c>
      <c r="J2513" s="4"/>
      <c r="K2513" s="1">
        <v>2</v>
      </c>
      <c r="L2513" s="1">
        <v>0</v>
      </c>
      <c r="M2513" s="32">
        <f>IF(Mecze[[#This Row],[PR]]=0,0,Mecze[[#This Row],[PR]]/Mecze[[#This Row],[CZAS]])</f>
        <v>0</v>
      </c>
      <c r="N2513" s="32">
        <f>IF(Mecze[[#This Row],[OU]]=0,0,Mecze[[#This Row],[OU]]/Mecze[[#This Row],[CZAS]])</f>
        <v>0</v>
      </c>
      <c r="O2513" s="32">
        <f>IF(Mecze[[#This Row],[PC]]=0,0,Mecze[[#This Row],[PC]]/Mecze[[#This Row],[CZAS]])</f>
        <v>1.9801980198019802E-2</v>
      </c>
      <c r="P2513" s="32">
        <f>IF(Mecze[[#This Row],[SC]]=0,0,Mecze[[#This Row],[SC]]/Mecze[[#This Row],[CZAS]])</f>
        <v>0</v>
      </c>
      <c r="Q2513" s="32">
        <f>IF(Mecze[[#This Row],[OB]]=0,0,Mecze[[#This Row],[OB]]/Mecze[[#This Row],[CZAS]])</f>
        <v>1.9801980198019802E-2</v>
      </c>
      <c r="R2513" s="32">
        <f>IF(Mecze[[#This Row],[BR]]=0,0,Mecze[[#This Row],[BR]]/Mecze[[#This Row],[CZAS]])</f>
        <v>0</v>
      </c>
      <c r="S2513" s="44">
        <f>IF(Mecze[[#This Row],[Role]]="BR",SUMPRODUCT(Mecze[[#This Row],[/PR:90]:[/BR:90]],Brudnopis!$E$23:$J$23),0)</f>
        <v>0.11881188118811881</v>
      </c>
      <c r="T2513" s="44">
        <f>IF(Mecze[[#This Row],[Role]]&lt;&gt;"BR",SUMPRODUCT(Mecze[[#This Row],[/PR:90]:[/BR:90]],Brudnopis!$E$24:$J$24),0)</f>
        <v>0</v>
      </c>
      <c r="U2513" s="44">
        <f>IF(Mecze[[#This Row],[Role]]&lt;&gt;"BR",SUMPRODUCT(Mecze[[#This Row],[/PR:90]:[/BR:90]],Brudnopis!$E$25:$J$25),0)</f>
        <v>0</v>
      </c>
      <c r="V2513" s="44">
        <f>IF(Mecze[[#This Row],[Role]]&lt;&gt;"BR",SUMPRODUCT(Mecze[[#This Row],[/PR:90]:[/BR:90]],Brudnopis!$E$26:$J$26),0)</f>
        <v>0</v>
      </c>
      <c r="W2513" s="44">
        <f>IF(Mecze[[#This Row],[Role]]&lt;&gt;"BR",SUMPRODUCT(Mecze[[#This Row],[/PR:90]:[/BR:90]],Brudnopis!$E$27:$J$27),0)</f>
        <v>0</v>
      </c>
      <c r="X2513" s="44">
        <f>IF(Mecze[[#This Row],[Role]]&lt;&gt;"BR",SUMPRODUCT(Mecze[[#This Row],[/PR:90]:[/BR:90]],Brudnopis!$E$28:$J$28),0)</f>
        <v>0</v>
      </c>
      <c r="Y2513" s="35">
        <f>IF(Mecze[[#This Row],[Role]]="BR",Mecze[[#This Row],[/OB:90]]+Mecze[[#This Row],[/PC:90]],SUM(Mecze[[#This Row],[/PR:90]:[/BR:90]]))</f>
        <v>3.9603960396039604E-2</v>
      </c>
      <c r="Z2513" s="35">
        <f>IF(Mecze[[#This Row],[KC]]=0,SUM(Mecze[[#This Row],[/BRI]:[/NPI]]),SUM(Mecze[[#This Row],[/BRI]:[/NPI]])*0.6)</f>
        <v>0.11881188118811881</v>
      </c>
      <c r="AA2513" s="10">
        <f>IFERROR(Mecze[[#This Row],[BR]]/Mecze[[#This Row],[ST]],0)</f>
        <v>0</v>
      </c>
      <c r="AB2513">
        <f>ROUND(Mecze[[#This Row],[PD]]*Mecze[[#This Row],[%PC]],0)</f>
        <v>2</v>
      </c>
      <c r="AC2513">
        <f>ROUND(Mecze[[#This Row],[OD]]*Mecze[[#This Row],[%OU]],0)</f>
        <v>0</v>
      </c>
      <c r="AD2513" s="36" t="s">
        <v>40</v>
      </c>
      <c r="AE2513" s="36">
        <v>140</v>
      </c>
      <c r="AF2513" s="71">
        <v>7.74</v>
      </c>
      <c r="AG2513" s="37">
        <v>0</v>
      </c>
      <c r="AH2513" s="37">
        <v>0</v>
      </c>
      <c r="AI2513" s="37">
        <v>101</v>
      </c>
      <c r="AJ2513" s="37">
        <v>11</v>
      </c>
      <c r="AK2513" s="37" t="str">
        <f>VLOOKUP(Mecze[[#This Row],[Match ID]],Meczusie[Mecz]:Meczusie[RodzajMeczu],2,FALSE)</f>
        <v>Liga</v>
      </c>
    </row>
    <row r="2514" spans="1:37" x14ac:dyDescent="0.25">
      <c r="A2514" s="76">
        <v>4</v>
      </c>
      <c r="B2514" s="3" t="s">
        <v>321</v>
      </c>
      <c r="C2514" s="2" t="s">
        <v>157</v>
      </c>
      <c r="D2514" s="1">
        <v>0</v>
      </c>
      <c r="E2514" s="1">
        <v>0</v>
      </c>
      <c r="F2514" s="1">
        <v>0</v>
      </c>
      <c r="G2514" s="1">
        <v>6</v>
      </c>
      <c r="H2514" s="4">
        <v>0.5</v>
      </c>
      <c r="I2514" s="1">
        <v>1</v>
      </c>
      <c r="J2514" s="4">
        <v>0</v>
      </c>
      <c r="K2514" s="1">
        <v>0</v>
      </c>
      <c r="L2514" s="1">
        <v>6</v>
      </c>
      <c r="M2514" s="32">
        <f>IF(Mecze[[#This Row],[PR]]=0,0,Mecze[[#This Row],[PR]]/Mecze[[#This Row],[CZAS]])</f>
        <v>5.9405940594059403E-2</v>
      </c>
      <c r="N2514" s="32">
        <f>IF(Mecze[[#This Row],[OU]]=0,0,Mecze[[#This Row],[OU]]/Mecze[[#This Row],[CZAS]])</f>
        <v>0</v>
      </c>
      <c r="O2514" s="32">
        <f>IF(Mecze[[#This Row],[PC]]=0,0,Mecze[[#This Row],[PC]]/Mecze[[#This Row],[CZAS]])</f>
        <v>2.9702970297029702E-2</v>
      </c>
      <c r="P2514" s="32">
        <f>IF(Mecze[[#This Row],[SC]]=0,0,Mecze[[#This Row],[SC]]/Mecze[[#This Row],[CZAS]])</f>
        <v>0</v>
      </c>
      <c r="Q2514" s="32">
        <f>IF(Mecze[[#This Row],[OB]]=0,0,Mecze[[#This Row],[OB]]/Mecze[[#This Row],[CZAS]])</f>
        <v>0</v>
      </c>
      <c r="R2514" s="32">
        <f>IF(Mecze[[#This Row],[BR]]=0,0,Mecze[[#This Row],[BR]]/Mecze[[#This Row],[CZAS]])</f>
        <v>0</v>
      </c>
      <c r="S2514" s="44">
        <f>IF(Mecze[[#This Row],[Role]]="BR",SUMPRODUCT(Mecze[[#This Row],[/PR:90]:[/BR:90]],Brudnopis!$E$23:$J$23),0)</f>
        <v>0</v>
      </c>
      <c r="T2514" s="44">
        <f>IF(Mecze[[#This Row],[Role]]&lt;&gt;"BR",SUMPRODUCT(Mecze[[#This Row],[/PR:90]:[/BR:90]],Brudnopis!$E$24:$J$24),0)</f>
        <v>8.9108910891089105E-2</v>
      </c>
      <c r="U2514" s="44">
        <f>IF(Mecze[[#This Row],[Role]]&lt;&gt;"BR",SUMPRODUCT(Mecze[[#This Row],[/PR:90]:[/BR:90]],Brudnopis!$E$25:$J$25),0)</f>
        <v>0.10396039603960396</v>
      </c>
      <c r="V2514" s="44">
        <f>IF(Mecze[[#This Row],[Role]]&lt;&gt;"BR",SUMPRODUCT(Mecze[[#This Row],[/PR:90]:[/BR:90]],Brudnopis!$E$26:$J$26),0)</f>
        <v>8.9108910891089105E-2</v>
      </c>
      <c r="W2514" s="44">
        <f>IF(Mecze[[#This Row],[Role]]&lt;&gt;"BR",SUMPRODUCT(Mecze[[#This Row],[/PR:90]:[/BR:90]],Brudnopis!$E$27:$J$27),0)</f>
        <v>8.9108910891089105E-2</v>
      </c>
      <c r="X2514" s="44">
        <f>IF(Mecze[[#This Row],[Role]]&lt;&gt;"BR",SUMPRODUCT(Mecze[[#This Row],[/PR:90]:[/BR:90]],Brudnopis!$E$28:$J$28),0)</f>
        <v>2.9702970297029702E-2</v>
      </c>
      <c r="Y2514" s="35">
        <f>IF(Mecze[[#This Row],[Role]]="BR",Mecze[[#This Row],[/OB:90]]+Mecze[[#This Row],[/PC:90]],SUM(Mecze[[#This Row],[/PR:90]:[/BR:90]]))</f>
        <v>8.9108910891089105E-2</v>
      </c>
      <c r="Z2514" s="35">
        <f>IF(Mecze[[#This Row],[KC]]=0,SUM(Mecze[[#This Row],[/BRI]:[/NPI]]),SUM(Mecze[[#This Row],[/BRI]:[/NPI]])*0.6)</f>
        <v>0.40099009900990101</v>
      </c>
      <c r="AA2514" s="10">
        <f>IFERROR(Mecze[[#This Row],[BR]]/Mecze[[#This Row],[ST]],0)</f>
        <v>0</v>
      </c>
      <c r="AB2514">
        <f>ROUND(Mecze[[#This Row],[PD]]*Mecze[[#This Row],[%PC]],0)</f>
        <v>3</v>
      </c>
      <c r="AC2514">
        <f>ROUND(Mecze[[#This Row],[OD]]*Mecze[[#This Row],[%OU]],0)</f>
        <v>0</v>
      </c>
      <c r="AD2514" s="36" t="s">
        <v>47</v>
      </c>
      <c r="AE2514" s="36">
        <v>140</v>
      </c>
      <c r="AF2514" s="71">
        <v>8.3000000000000007</v>
      </c>
      <c r="AG2514" s="37">
        <v>0</v>
      </c>
      <c r="AH2514" s="37">
        <v>0</v>
      </c>
      <c r="AI2514" s="37">
        <v>101</v>
      </c>
      <c r="AJ2514" s="37">
        <v>11</v>
      </c>
      <c r="AK2514" s="37" t="str">
        <f>VLOOKUP(Mecze[[#This Row],[Match ID]],Meczusie[Mecz]:Meczusie[RodzajMeczu],2,FALSE)</f>
        <v>Liga</v>
      </c>
    </row>
    <row r="2515" spans="1:37" x14ac:dyDescent="0.25">
      <c r="A2515" s="76">
        <v>7</v>
      </c>
      <c r="B2515" s="3" t="s">
        <v>322</v>
      </c>
      <c r="C2515" s="2" t="s">
        <v>157</v>
      </c>
      <c r="D2515" s="1">
        <v>0</v>
      </c>
      <c r="E2515" s="1">
        <v>0</v>
      </c>
      <c r="F2515" s="1">
        <v>0</v>
      </c>
      <c r="G2515" s="1">
        <v>13</v>
      </c>
      <c r="H2515" s="4">
        <v>0.92</v>
      </c>
      <c r="I2515" s="1">
        <v>1</v>
      </c>
      <c r="J2515" s="4">
        <v>0</v>
      </c>
      <c r="K2515" s="1">
        <v>0</v>
      </c>
      <c r="L2515" s="1">
        <v>17</v>
      </c>
      <c r="M2515" s="32">
        <f>IF(Mecze[[#This Row],[PR]]=0,0,Mecze[[#This Row],[PR]]/Mecze[[#This Row],[CZAS]])</f>
        <v>0.16831683168316833</v>
      </c>
      <c r="N2515" s="32">
        <f>IF(Mecze[[#This Row],[OU]]=0,0,Mecze[[#This Row],[OU]]/Mecze[[#This Row],[CZAS]])</f>
        <v>0</v>
      </c>
      <c r="O2515" s="32">
        <f>IF(Mecze[[#This Row],[PC]]=0,0,Mecze[[#This Row],[PC]]/Mecze[[#This Row],[CZAS]])</f>
        <v>0.11881188118811881</v>
      </c>
      <c r="P2515" s="32">
        <f>IF(Mecze[[#This Row],[SC]]=0,0,Mecze[[#This Row],[SC]]/Mecze[[#This Row],[CZAS]])</f>
        <v>0</v>
      </c>
      <c r="Q2515" s="32">
        <f>IF(Mecze[[#This Row],[OB]]=0,0,Mecze[[#This Row],[OB]]/Mecze[[#This Row],[CZAS]])</f>
        <v>0</v>
      </c>
      <c r="R2515" s="32">
        <f>IF(Mecze[[#This Row],[BR]]=0,0,Mecze[[#This Row],[BR]]/Mecze[[#This Row],[CZAS]])</f>
        <v>0</v>
      </c>
      <c r="S2515" s="44">
        <f>IF(Mecze[[#This Row],[Role]]="BR",SUMPRODUCT(Mecze[[#This Row],[/PR:90]:[/BR:90]],Brudnopis!$E$23:$J$23),0)</f>
        <v>0</v>
      </c>
      <c r="T2515" s="44">
        <f>IF(Mecze[[#This Row],[Role]]&lt;&gt;"BR",SUMPRODUCT(Mecze[[#This Row],[/PR:90]:[/BR:90]],Brudnopis!$E$24:$J$24),0)</f>
        <v>0.28712871287128716</v>
      </c>
      <c r="U2515" s="44">
        <f>IF(Mecze[[#This Row],[Role]]&lt;&gt;"BR",SUMPRODUCT(Mecze[[#This Row],[/PR:90]:[/BR:90]],Brudnopis!$E$25:$J$25),0)</f>
        <v>0.34653465346534651</v>
      </c>
      <c r="V2515" s="44">
        <f>IF(Mecze[[#This Row],[Role]]&lt;&gt;"BR",SUMPRODUCT(Mecze[[#This Row],[/PR:90]:[/BR:90]],Brudnopis!$E$26:$J$26),0)</f>
        <v>0.28712871287128716</v>
      </c>
      <c r="W2515" s="44">
        <f>IF(Mecze[[#This Row],[Role]]&lt;&gt;"BR",SUMPRODUCT(Mecze[[#This Row],[/PR:90]:[/BR:90]],Brudnopis!$E$27:$J$27),0)</f>
        <v>0.30445544554455445</v>
      </c>
      <c r="X2515" s="44">
        <f>IF(Mecze[[#This Row],[Role]]&lt;&gt;"BR",SUMPRODUCT(Mecze[[#This Row],[/PR:90]:[/BR:90]],Brudnopis!$E$28:$J$28),0)</f>
        <v>0.11881188118811881</v>
      </c>
      <c r="Y2515" s="35">
        <f>IF(Mecze[[#This Row],[Role]]="BR",Mecze[[#This Row],[/OB:90]]+Mecze[[#This Row],[/PC:90]],SUM(Mecze[[#This Row],[/PR:90]:[/BR:90]]))</f>
        <v>0.28712871287128716</v>
      </c>
      <c r="Z2515" s="35">
        <f>IF(Mecze[[#This Row],[KC]]=0,SUM(Mecze[[#This Row],[/BRI]:[/NPI]]),SUM(Mecze[[#This Row],[/BRI]:[/NPI]])*0.6)</f>
        <v>1.3440594059405941</v>
      </c>
      <c r="AA2515" s="10">
        <f>IFERROR(Mecze[[#This Row],[BR]]/Mecze[[#This Row],[ST]],0)</f>
        <v>0</v>
      </c>
      <c r="AB2515">
        <f>ROUND(Mecze[[#This Row],[PD]]*Mecze[[#This Row],[%PC]],0)</f>
        <v>12</v>
      </c>
      <c r="AC2515">
        <f>ROUND(Mecze[[#This Row],[OD]]*Mecze[[#This Row],[%OU]],0)</f>
        <v>0</v>
      </c>
      <c r="AD2515" s="36" t="s">
        <v>47</v>
      </c>
      <c r="AE2515" s="36">
        <v>140</v>
      </c>
      <c r="AF2515" s="71">
        <v>10.61</v>
      </c>
      <c r="AG2515" s="37">
        <v>0</v>
      </c>
      <c r="AH2515" s="37">
        <v>0</v>
      </c>
      <c r="AI2515" s="37">
        <v>101</v>
      </c>
      <c r="AJ2515" s="37">
        <v>11</v>
      </c>
      <c r="AK2515" s="37" t="str">
        <f>VLOOKUP(Mecze[[#This Row],[Match ID]],Meczusie[Mecz]:Meczusie[RodzajMeczu],2,FALSE)</f>
        <v>Liga</v>
      </c>
    </row>
    <row r="2516" spans="1:37" x14ac:dyDescent="0.25">
      <c r="A2516" s="76">
        <v>2</v>
      </c>
      <c r="B2516" s="3" t="s">
        <v>392</v>
      </c>
      <c r="C2516" s="2" t="s">
        <v>157</v>
      </c>
      <c r="D2516" s="1">
        <v>0</v>
      </c>
      <c r="E2516" s="1">
        <v>0</v>
      </c>
      <c r="F2516" s="1">
        <v>0</v>
      </c>
      <c r="G2516" s="1">
        <v>0</v>
      </c>
      <c r="H2516" s="72"/>
      <c r="I2516" s="1">
        <v>0</v>
      </c>
      <c r="J2516" s="4"/>
      <c r="K2516" s="1">
        <v>0</v>
      </c>
      <c r="L2516" s="1">
        <v>1</v>
      </c>
      <c r="M2516" s="32">
        <f>IF(Mecze[[#This Row],[PR]]=0,0,Mecze[[#This Row],[PR]]/Mecze[[#This Row],[CZAS]])</f>
        <v>9.9009900990099011E-3</v>
      </c>
      <c r="N2516" s="32">
        <f>IF(Mecze[[#This Row],[OU]]=0,0,Mecze[[#This Row],[OU]]/Mecze[[#This Row],[CZAS]])</f>
        <v>0</v>
      </c>
      <c r="O2516" s="32">
        <f>IF(Mecze[[#This Row],[PC]]=0,0,Mecze[[#This Row],[PC]]/Mecze[[#This Row],[CZAS]])</f>
        <v>0</v>
      </c>
      <c r="P2516" s="32">
        <f>IF(Mecze[[#This Row],[SC]]=0,0,Mecze[[#This Row],[SC]]/Mecze[[#This Row],[CZAS]])</f>
        <v>0</v>
      </c>
      <c r="Q2516" s="32">
        <f>IF(Mecze[[#This Row],[OB]]=0,0,Mecze[[#This Row],[OB]]/Mecze[[#This Row],[CZAS]])</f>
        <v>0</v>
      </c>
      <c r="R2516" s="32">
        <f>IF(Mecze[[#This Row],[BR]]=0,0,Mecze[[#This Row],[BR]]/Mecze[[#This Row],[CZAS]])</f>
        <v>0</v>
      </c>
      <c r="S2516" s="44">
        <f>IF(Mecze[[#This Row],[Role]]="BR",SUMPRODUCT(Mecze[[#This Row],[/PR:90]:[/BR:90]],Brudnopis!$E$23:$J$23),0)</f>
        <v>0</v>
      </c>
      <c r="T2516" s="44">
        <f>IF(Mecze[[#This Row],[Role]]&lt;&gt;"BR",SUMPRODUCT(Mecze[[#This Row],[/PR:90]:[/BR:90]],Brudnopis!$E$24:$J$24),0)</f>
        <v>9.9009900990099011E-3</v>
      </c>
      <c r="U2516" s="44">
        <f>IF(Mecze[[#This Row],[Role]]&lt;&gt;"BR",SUMPRODUCT(Mecze[[#This Row],[/PR:90]:[/BR:90]],Brudnopis!$E$25:$J$25),0)</f>
        <v>9.9009900990099011E-3</v>
      </c>
      <c r="V2516" s="44">
        <f>IF(Mecze[[#This Row],[Role]]&lt;&gt;"BR",SUMPRODUCT(Mecze[[#This Row],[/PR:90]:[/BR:90]],Brudnopis!$E$26:$J$26),0)</f>
        <v>9.9009900990099011E-3</v>
      </c>
      <c r="W2516" s="44">
        <f>IF(Mecze[[#This Row],[Role]]&lt;&gt;"BR",SUMPRODUCT(Mecze[[#This Row],[/PR:90]:[/BR:90]],Brudnopis!$E$27:$J$27),0)</f>
        <v>7.4257425742574254E-3</v>
      </c>
      <c r="X2516" s="44">
        <f>IF(Mecze[[#This Row],[Role]]&lt;&gt;"BR",SUMPRODUCT(Mecze[[#This Row],[/PR:90]:[/BR:90]],Brudnopis!$E$28:$J$28),0)</f>
        <v>0</v>
      </c>
      <c r="Y2516" s="35">
        <f>IF(Mecze[[#This Row],[Role]]="BR",Mecze[[#This Row],[/OB:90]]+Mecze[[#This Row],[/PC:90]],SUM(Mecze[[#This Row],[/PR:90]:[/BR:90]]))</f>
        <v>9.9009900990099011E-3</v>
      </c>
      <c r="Z2516" s="35">
        <f>IF(Mecze[[#This Row],[KC]]=0,SUM(Mecze[[#This Row],[/BRI]:[/NPI]]),SUM(Mecze[[#This Row],[/BRI]:[/NPI]])*0.6)</f>
        <v>3.7128712871287127E-2</v>
      </c>
      <c r="AA2516" s="10">
        <f>IFERROR(Mecze[[#This Row],[BR]]/Mecze[[#This Row],[ST]],0)</f>
        <v>0</v>
      </c>
      <c r="AB2516">
        <f>ROUND(Mecze[[#This Row],[PD]]*Mecze[[#This Row],[%PC]],0)</f>
        <v>0</v>
      </c>
      <c r="AC2516">
        <f>ROUND(Mecze[[#This Row],[OD]]*Mecze[[#This Row],[%OU]],0)</f>
        <v>0</v>
      </c>
      <c r="AD2516" s="36" t="s">
        <v>175</v>
      </c>
      <c r="AE2516" s="36">
        <v>140</v>
      </c>
      <c r="AF2516" s="71">
        <v>7.25</v>
      </c>
      <c r="AG2516" s="37">
        <v>0</v>
      </c>
      <c r="AH2516" s="37">
        <v>0</v>
      </c>
      <c r="AI2516" s="37">
        <v>101</v>
      </c>
      <c r="AJ2516" s="37">
        <v>11</v>
      </c>
      <c r="AK2516" s="37" t="str">
        <f>VLOOKUP(Mecze[[#This Row],[Match ID]],Meczusie[Mecz]:Meczusie[RodzajMeczu],2,FALSE)</f>
        <v>Liga</v>
      </c>
    </row>
    <row r="2517" spans="1:37" x14ac:dyDescent="0.25">
      <c r="A2517" s="76">
        <v>6</v>
      </c>
      <c r="B2517" s="3" t="s">
        <v>324</v>
      </c>
      <c r="C2517" s="2" t="s">
        <v>157</v>
      </c>
      <c r="D2517" s="1">
        <v>0</v>
      </c>
      <c r="E2517" s="1">
        <v>0</v>
      </c>
      <c r="F2517" s="1">
        <v>0</v>
      </c>
      <c r="G2517" s="1">
        <v>8</v>
      </c>
      <c r="H2517" s="4">
        <v>0.5</v>
      </c>
      <c r="I2517" s="1">
        <v>0</v>
      </c>
      <c r="J2517" s="4"/>
      <c r="K2517" s="1">
        <v>0</v>
      </c>
      <c r="L2517" s="1">
        <v>6</v>
      </c>
      <c r="M2517" s="32">
        <f>IF(Mecze[[#This Row],[PR]]=0,0,Mecze[[#This Row],[PR]]/Mecze[[#This Row],[CZAS]])</f>
        <v>5.9405940594059403E-2</v>
      </c>
      <c r="N2517" s="32">
        <f>IF(Mecze[[#This Row],[OU]]=0,0,Mecze[[#This Row],[OU]]/Mecze[[#This Row],[CZAS]])</f>
        <v>0</v>
      </c>
      <c r="O2517" s="32">
        <f>IF(Mecze[[#This Row],[PC]]=0,0,Mecze[[#This Row],[PC]]/Mecze[[#This Row],[CZAS]])</f>
        <v>3.9603960396039604E-2</v>
      </c>
      <c r="P2517" s="32">
        <f>IF(Mecze[[#This Row],[SC]]=0,0,Mecze[[#This Row],[SC]]/Mecze[[#This Row],[CZAS]])</f>
        <v>0</v>
      </c>
      <c r="Q2517" s="32">
        <f>IF(Mecze[[#This Row],[OB]]=0,0,Mecze[[#This Row],[OB]]/Mecze[[#This Row],[CZAS]])</f>
        <v>0</v>
      </c>
      <c r="R2517" s="32">
        <f>IF(Mecze[[#This Row],[BR]]=0,0,Mecze[[#This Row],[BR]]/Mecze[[#This Row],[CZAS]])</f>
        <v>0</v>
      </c>
      <c r="S2517" s="44">
        <f>IF(Mecze[[#This Row],[Role]]="BR",SUMPRODUCT(Mecze[[#This Row],[/PR:90]:[/BR:90]],Brudnopis!$E$23:$J$23),0)</f>
        <v>0</v>
      </c>
      <c r="T2517" s="44">
        <f>IF(Mecze[[#This Row],[Role]]&lt;&gt;"BR",SUMPRODUCT(Mecze[[#This Row],[/PR:90]:[/BR:90]],Brudnopis!$E$24:$J$24),0)</f>
        <v>9.9009900990099015E-2</v>
      </c>
      <c r="U2517" s="44">
        <f>IF(Mecze[[#This Row],[Role]]&lt;&gt;"BR",SUMPRODUCT(Mecze[[#This Row],[/PR:90]:[/BR:90]],Brudnopis!$E$25:$J$25),0)</f>
        <v>0.11881188118811881</v>
      </c>
      <c r="V2517" s="44">
        <f>IF(Mecze[[#This Row],[Role]]&lt;&gt;"BR",SUMPRODUCT(Mecze[[#This Row],[/PR:90]:[/BR:90]],Brudnopis!$E$26:$J$26),0)</f>
        <v>9.9009900990099015E-2</v>
      </c>
      <c r="W2517" s="44">
        <f>IF(Mecze[[#This Row],[Role]]&lt;&gt;"BR",SUMPRODUCT(Mecze[[#This Row],[/PR:90]:[/BR:90]],Brudnopis!$E$27:$J$27),0)</f>
        <v>0.10396039603960396</v>
      </c>
      <c r="X2517" s="44">
        <f>IF(Mecze[[#This Row],[Role]]&lt;&gt;"BR",SUMPRODUCT(Mecze[[#This Row],[/PR:90]:[/BR:90]],Brudnopis!$E$28:$J$28),0)</f>
        <v>3.9603960396039604E-2</v>
      </c>
      <c r="Y2517" s="35">
        <f>IF(Mecze[[#This Row],[Role]]="BR",Mecze[[#This Row],[/OB:90]]+Mecze[[#This Row],[/PC:90]],SUM(Mecze[[#This Row],[/PR:90]:[/BR:90]]))</f>
        <v>9.9009900990099015E-2</v>
      </c>
      <c r="Z2517" s="35">
        <f>IF(Mecze[[#This Row],[KC]]=0,SUM(Mecze[[#This Row],[/BRI]:[/NPI]]),SUM(Mecze[[#This Row],[/BRI]:[/NPI]])*0.6)</f>
        <v>0.46039603960396036</v>
      </c>
      <c r="AA2517" s="10">
        <f>IFERROR(Mecze[[#This Row],[BR]]/Mecze[[#This Row],[ST]],0)</f>
        <v>0</v>
      </c>
      <c r="AB2517">
        <f>ROUND(Mecze[[#This Row],[PD]]*Mecze[[#This Row],[%PC]],0)</f>
        <v>4</v>
      </c>
      <c r="AC2517">
        <f>ROUND(Mecze[[#This Row],[OD]]*Mecze[[#This Row],[%OU]],0)</f>
        <v>0</v>
      </c>
      <c r="AD2517" s="36" t="s">
        <v>174</v>
      </c>
      <c r="AE2517" s="36">
        <v>140</v>
      </c>
      <c r="AF2517" s="71">
        <v>8.3000000000000007</v>
      </c>
      <c r="AG2517" s="37">
        <v>0</v>
      </c>
      <c r="AH2517" s="37">
        <v>0</v>
      </c>
      <c r="AI2517" s="37">
        <v>101</v>
      </c>
      <c r="AJ2517" s="37">
        <v>11</v>
      </c>
      <c r="AK2517" s="37" t="str">
        <f>VLOOKUP(Mecze[[#This Row],[Match ID]],Meczusie[Mecz]:Meczusie[RodzajMeczu],2,FALSE)</f>
        <v>Liga</v>
      </c>
    </row>
    <row r="2518" spans="1:37" x14ac:dyDescent="0.25">
      <c r="A2518" s="76">
        <v>5</v>
      </c>
      <c r="B2518" s="3" t="s">
        <v>325</v>
      </c>
      <c r="C2518" s="2" t="s">
        <v>160</v>
      </c>
      <c r="D2518" s="1">
        <v>1</v>
      </c>
      <c r="E2518" s="1">
        <v>2</v>
      </c>
      <c r="F2518" s="1">
        <v>2</v>
      </c>
      <c r="G2518" s="1">
        <v>17</v>
      </c>
      <c r="H2518" s="4">
        <v>0.59</v>
      </c>
      <c r="I2518" s="1">
        <v>5</v>
      </c>
      <c r="J2518" s="4">
        <v>0.6</v>
      </c>
      <c r="K2518" s="1">
        <v>0</v>
      </c>
      <c r="L2518" s="1">
        <v>12</v>
      </c>
      <c r="M2518" s="32">
        <f>IF(Mecze[[#This Row],[PR]]=0,0,Mecze[[#This Row],[PR]]/Mecze[[#This Row],[CZAS]])</f>
        <v>0.11881188118811881</v>
      </c>
      <c r="N2518" s="32">
        <f>IF(Mecze[[#This Row],[OU]]=0,0,Mecze[[#This Row],[OU]]/Mecze[[#This Row],[CZAS]])</f>
        <v>2.9702970297029702E-2</v>
      </c>
      <c r="O2518" s="32">
        <f>IF(Mecze[[#This Row],[PC]]=0,0,Mecze[[#This Row],[PC]]/Mecze[[#This Row],[CZAS]])</f>
        <v>9.9009900990099015E-2</v>
      </c>
      <c r="P2518" s="32">
        <f>IF(Mecze[[#This Row],[SC]]=0,0,Mecze[[#This Row],[SC]]/Mecze[[#This Row],[CZAS]])</f>
        <v>1.9801980198019802E-2</v>
      </c>
      <c r="Q2518" s="32">
        <f>IF(Mecze[[#This Row],[OB]]=0,0,Mecze[[#This Row],[OB]]/Mecze[[#This Row],[CZAS]])</f>
        <v>0</v>
      </c>
      <c r="R2518" s="32">
        <f>IF(Mecze[[#This Row],[BR]]=0,0,Mecze[[#This Row],[BR]]/Mecze[[#This Row],[CZAS]])</f>
        <v>9.9009900990099011E-3</v>
      </c>
      <c r="S2518" s="44">
        <f>IF(Mecze[[#This Row],[Role]]="BR",SUMPRODUCT(Mecze[[#This Row],[/PR:90]:[/BR:90]],Brudnopis!$E$23:$J$23),0)</f>
        <v>0</v>
      </c>
      <c r="T2518" s="44">
        <f>IF(Mecze[[#This Row],[Role]]&lt;&gt;"BR",SUMPRODUCT(Mecze[[#This Row],[/PR:90]:[/BR:90]],Brudnopis!$E$24:$J$24),0)</f>
        <v>0.29702970297029707</v>
      </c>
      <c r="U2518" s="44">
        <f>IF(Mecze[[#This Row],[Role]]&lt;&gt;"BR",SUMPRODUCT(Mecze[[#This Row],[/PR:90]:[/BR:90]],Brudnopis!$E$25:$J$25),0)</f>
        <v>0.33168316831683176</v>
      </c>
      <c r="V2518" s="44">
        <f>IF(Mecze[[#This Row],[Role]]&lt;&gt;"BR",SUMPRODUCT(Mecze[[#This Row],[/PR:90]:[/BR:90]],Brudnopis!$E$26:$J$26),0)</f>
        <v>0.28712871287128716</v>
      </c>
      <c r="W2518" s="44">
        <f>IF(Mecze[[#This Row],[Role]]&lt;&gt;"BR",SUMPRODUCT(Mecze[[#This Row],[/PR:90]:[/BR:90]],Brudnopis!$E$27:$J$27),0)</f>
        <v>0.29950495049504955</v>
      </c>
      <c r="X2518" s="44">
        <f>IF(Mecze[[#This Row],[Role]]&lt;&gt;"BR",SUMPRODUCT(Mecze[[#This Row],[/PR:90]:[/BR:90]],Brudnopis!$E$28:$J$28),0)</f>
        <v>0.16831683168316833</v>
      </c>
      <c r="Y2518" s="35">
        <f>IF(Mecze[[#This Row],[Role]]="BR",Mecze[[#This Row],[/OB:90]]+Mecze[[#This Row],[/PC:90]],SUM(Mecze[[#This Row],[/PR:90]:[/BR:90]]))</f>
        <v>0.27722772277227725</v>
      </c>
      <c r="Z2518" s="35">
        <f>IF(Mecze[[#This Row],[KC]]=0,SUM(Mecze[[#This Row],[/BRI]:[/NPI]]),SUM(Mecze[[#This Row],[/BRI]:[/NPI]])*0.6)</f>
        <v>1.3836633663366338</v>
      </c>
      <c r="AA2518" s="10">
        <f>IFERROR(Mecze[[#This Row],[BR]]/Mecze[[#This Row],[ST]],0)</f>
        <v>0.5</v>
      </c>
      <c r="AB2518">
        <f>ROUND(Mecze[[#This Row],[PD]]*Mecze[[#This Row],[%PC]],0)</f>
        <v>10</v>
      </c>
      <c r="AC2518">
        <f>ROUND(Mecze[[#This Row],[OD]]*Mecze[[#This Row],[%OU]],0)</f>
        <v>3</v>
      </c>
      <c r="AD2518" s="36" t="s">
        <v>41</v>
      </c>
      <c r="AE2518" s="36">
        <v>140</v>
      </c>
      <c r="AF2518" s="71">
        <v>13.34</v>
      </c>
      <c r="AG2518" s="37">
        <v>0</v>
      </c>
      <c r="AH2518" s="37">
        <v>0</v>
      </c>
      <c r="AI2518" s="37">
        <v>101</v>
      </c>
      <c r="AJ2518" s="37">
        <v>11</v>
      </c>
      <c r="AK2518" s="37" t="str">
        <f>VLOOKUP(Mecze[[#This Row],[Match ID]],Meczusie[Mecz]:Meczusie[RodzajMeczu],2,FALSE)</f>
        <v>Liga</v>
      </c>
    </row>
    <row r="2519" spans="1:37" x14ac:dyDescent="0.25">
      <c r="A2519" s="76">
        <v>8</v>
      </c>
      <c r="B2519" s="3" t="s">
        <v>326</v>
      </c>
      <c r="C2519" s="2" t="s">
        <v>160</v>
      </c>
      <c r="D2519" s="1">
        <v>3</v>
      </c>
      <c r="E2519" s="1">
        <v>3</v>
      </c>
      <c r="F2519" s="1">
        <v>3</v>
      </c>
      <c r="G2519" s="1">
        <v>12</v>
      </c>
      <c r="H2519" s="4">
        <v>0.67</v>
      </c>
      <c r="I2519" s="1">
        <v>0</v>
      </c>
      <c r="J2519" s="4"/>
      <c r="K2519" s="1">
        <v>0</v>
      </c>
      <c r="L2519" s="1">
        <v>6</v>
      </c>
      <c r="M2519" s="32">
        <f>IF(Mecze[[#This Row],[PR]]=0,0,Mecze[[#This Row],[PR]]/Mecze[[#This Row],[CZAS]])</f>
        <v>5.9405940594059403E-2</v>
      </c>
      <c r="N2519" s="32">
        <f>IF(Mecze[[#This Row],[OU]]=0,0,Mecze[[#This Row],[OU]]/Mecze[[#This Row],[CZAS]])</f>
        <v>0</v>
      </c>
      <c r="O2519" s="32">
        <f>IF(Mecze[[#This Row],[PC]]=0,0,Mecze[[#This Row],[PC]]/Mecze[[#This Row],[CZAS]])</f>
        <v>7.9207920792079209E-2</v>
      </c>
      <c r="P2519" s="32">
        <f>IF(Mecze[[#This Row],[SC]]=0,0,Mecze[[#This Row],[SC]]/Mecze[[#This Row],[CZAS]])</f>
        <v>2.9702970297029702E-2</v>
      </c>
      <c r="Q2519" s="32">
        <f>IF(Mecze[[#This Row],[OB]]=0,0,Mecze[[#This Row],[OB]]/Mecze[[#This Row],[CZAS]])</f>
        <v>0</v>
      </c>
      <c r="R2519" s="32">
        <f>IF(Mecze[[#This Row],[BR]]=0,0,Mecze[[#This Row],[BR]]/Mecze[[#This Row],[CZAS]])</f>
        <v>2.9702970297029702E-2</v>
      </c>
      <c r="S2519" s="44">
        <f>IF(Mecze[[#This Row],[Role]]="BR",SUMPRODUCT(Mecze[[#This Row],[/PR:90]:[/BR:90]],Brudnopis!$E$23:$J$23),0)</f>
        <v>0</v>
      </c>
      <c r="T2519" s="44">
        <f>IF(Mecze[[#This Row],[Role]]&lt;&gt;"BR",SUMPRODUCT(Mecze[[#This Row],[/PR:90]:[/BR:90]],Brudnopis!$E$24:$J$24),0)</f>
        <v>0.21287128712871289</v>
      </c>
      <c r="U2519" s="44">
        <f>IF(Mecze[[#This Row],[Role]]&lt;&gt;"BR",SUMPRODUCT(Mecze[[#This Row],[/PR:90]:[/BR:90]],Brudnopis!$E$25:$J$25),0)</f>
        <v>0.25247524752475248</v>
      </c>
      <c r="V2519" s="44">
        <f>IF(Mecze[[#This Row],[Role]]&lt;&gt;"BR",SUMPRODUCT(Mecze[[#This Row],[/PR:90]:[/BR:90]],Brudnopis!$E$26:$J$26),0)</f>
        <v>0.22772277227722773</v>
      </c>
      <c r="W2519" s="44">
        <f>IF(Mecze[[#This Row],[Role]]&lt;&gt;"BR",SUMPRODUCT(Mecze[[#This Row],[/PR:90]:[/BR:90]],Brudnopis!$E$27:$J$27),0)</f>
        <v>0.25247524752475248</v>
      </c>
      <c r="X2519" s="44">
        <f>IF(Mecze[[#This Row],[Role]]&lt;&gt;"BR",SUMPRODUCT(Mecze[[#This Row],[/PR:90]:[/BR:90]],Brudnopis!$E$28:$J$28),0)</f>
        <v>0.22772277227722773</v>
      </c>
      <c r="Y2519" s="35">
        <f>IF(Mecze[[#This Row],[Role]]="BR",Mecze[[#This Row],[/OB:90]]+Mecze[[#This Row],[/PC:90]],SUM(Mecze[[#This Row],[/PR:90]:[/BR:90]]))</f>
        <v>0.19801980198019803</v>
      </c>
      <c r="Z2519" s="35">
        <f>IF(Mecze[[#This Row],[KC]]=0,SUM(Mecze[[#This Row],[/BRI]:[/NPI]]),SUM(Mecze[[#This Row],[/BRI]:[/NPI]])*0.6)</f>
        <v>1.1732673267326734</v>
      </c>
      <c r="AA2519" s="10">
        <f>IFERROR(Mecze[[#This Row],[BR]]/Mecze[[#This Row],[ST]],0)</f>
        <v>1</v>
      </c>
      <c r="AB2519">
        <f>ROUND(Mecze[[#This Row],[PD]]*Mecze[[#This Row],[%PC]],0)</f>
        <v>8</v>
      </c>
      <c r="AC2519">
        <f>ROUND(Mecze[[#This Row],[OD]]*Mecze[[#This Row],[%OU]],0)</f>
        <v>0</v>
      </c>
      <c r="AD2519" s="36" t="s">
        <v>318</v>
      </c>
      <c r="AE2519" s="36">
        <v>140</v>
      </c>
      <c r="AF2519" s="71">
        <v>16.53</v>
      </c>
      <c r="AG2519" s="37">
        <v>0</v>
      </c>
      <c r="AH2519" s="37">
        <v>0</v>
      </c>
      <c r="AI2519" s="37">
        <v>101</v>
      </c>
      <c r="AJ2519" s="37">
        <v>11</v>
      </c>
      <c r="AK2519" s="37" t="str">
        <f>VLOOKUP(Mecze[[#This Row],[Match ID]],Meczusie[Mecz]:Meczusie[RodzajMeczu],2,FALSE)</f>
        <v>Liga</v>
      </c>
    </row>
    <row r="2520" spans="1:37" x14ac:dyDescent="0.25">
      <c r="A2520" s="76">
        <v>9</v>
      </c>
      <c r="B2520" s="3" t="s">
        <v>327</v>
      </c>
      <c r="C2520" s="2" t="s">
        <v>160</v>
      </c>
      <c r="D2520" s="1">
        <v>0</v>
      </c>
      <c r="E2520" s="1">
        <v>2</v>
      </c>
      <c r="F2520" s="1">
        <v>1</v>
      </c>
      <c r="G2520" s="1">
        <v>17</v>
      </c>
      <c r="H2520" s="4">
        <v>0.94</v>
      </c>
      <c r="I2520" s="1">
        <v>5</v>
      </c>
      <c r="J2520" s="4">
        <v>0.8</v>
      </c>
      <c r="K2520" s="1">
        <v>0</v>
      </c>
      <c r="L2520" s="1">
        <v>5</v>
      </c>
      <c r="M2520" s="32">
        <f>IF(Mecze[[#This Row],[PR]]=0,0,Mecze[[#This Row],[PR]]/Mecze[[#This Row],[CZAS]])</f>
        <v>4.9504950495049507E-2</v>
      </c>
      <c r="N2520" s="32">
        <f>IF(Mecze[[#This Row],[OU]]=0,0,Mecze[[#This Row],[OU]]/Mecze[[#This Row],[CZAS]])</f>
        <v>3.9603960396039604E-2</v>
      </c>
      <c r="O2520" s="32">
        <f>IF(Mecze[[#This Row],[PC]]=0,0,Mecze[[#This Row],[PC]]/Mecze[[#This Row],[CZAS]])</f>
        <v>0.15841584158415842</v>
      </c>
      <c r="P2520" s="32">
        <f>IF(Mecze[[#This Row],[SC]]=0,0,Mecze[[#This Row],[SC]]/Mecze[[#This Row],[CZAS]])</f>
        <v>9.9009900990099011E-3</v>
      </c>
      <c r="Q2520" s="32">
        <f>IF(Mecze[[#This Row],[OB]]=0,0,Mecze[[#This Row],[OB]]/Mecze[[#This Row],[CZAS]])</f>
        <v>0</v>
      </c>
      <c r="R2520" s="32">
        <f>IF(Mecze[[#This Row],[BR]]=0,0,Mecze[[#This Row],[BR]]/Mecze[[#This Row],[CZAS]])</f>
        <v>0</v>
      </c>
      <c r="S2520" s="44">
        <f>IF(Mecze[[#This Row],[Role]]="BR",SUMPRODUCT(Mecze[[#This Row],[/PR:90]:[/BR:90]],Brudnopis!$E$23:$J$23),0)</f>
        <v>0</v>
      </c>
      <c r="T2520" s="44">
        <f>IF(Mecze[[#This Row],[Role]]&lt;&gt;"BR",SUMPRODUCT(Mecze[[#This Row],[/PR:90]:[/BR:90]],Brudnopis!$E$24:$J$24),0)</f>
        <v>0.27722772277227725</v>
      </c>
      <c r="U2520" s="44">
        <f>IF(Mecze[[#This Row],[Role]]&lt;&gt;"BR",SUMPRODUCT(Mecze[[#This Row],[/PR:90]:[/BR:90]],Brudnopis!$E$25:$J$25),0)</f>
        <v>0.3366336633663366</v>
      </c>
      <c r="V2520" s="44">
        <f>IF(Mecze[[#This Row],[Role]]&lt;&gt;"BR",SUMPRODUCT(Mecze[[#This Row],[/PR:90]:[/BR:90]],Brudnopis!$E$26:$J$26),0)</f>
        <v>0.25742574257425743</v>
      </c>
      <c r="W2520" s="44">
        <f>IF(Mecze[[#This Row],[Role]]&lt;&gt;"BR",SUMPRODUCT(Mecze[[#This Row],[/PR:90]:[/BR:90]],Brudnopis!$E$27:$J$27),0)</f>
        <v>0.31435643564356436</v>
      </c>
      <c r="X2520" s="44">
        <f>IF(Mecze[[#This Row],[Role]]&lt;&gt;"BR",SUMPRODUCT(Mecze[[#This Row],[/PR:90]:[/BR:90]],Brudnopis!$E$28:$J$28),0)</f>
        <v>0.17821782178217821</v>
      </c>
      <c r="Y2520" s="35">
        <f>IF(Mecze[[#This Row],[Role]]="BR",Mecze[[#This Row],[/OB:90]]+Mecze[[#This Row],[/PC:90]],SUM(Mecze[[#This Row],[/PR:90]:[/BR:90]]))</f>
        <v>0.25742574257425743</v>
      </c>
      <c r="Z2520" s="35">
        <f>IF(Mecze[[#This Row],[KC]]=0,SUM(Mecze[[#This Row],[/BRI]:[/NPI]]),SUM(Mecze[[#This Row],[/BRI]:[/NPI]])*0.6)</f>
        <v>1.3638613861386137</v>
      </c>
      <c r="AA2520" s="10">
        <f>IFERROR(Mecze[[#This Row],[BR]]/Mecze[[#This Row],[ST]],0)</f>
        <v>0</v>
      </c>
      <c r="AB2520">
        <f>ROUND(Mecze[[#This Row],[PD]]*Mecze[[#This Row],[%PC]],0)</f>
        <v>16</v>
      </c>
      <c r="AC2520">
        <f>ROUND(Mecze[[#This Row],[OD]]*Mecze[[#This Row],[%OU]],0)</f>
        <v>4</v>
      </c>
      <c r="AD2520" s="36" t="s">
        <v>44</v>
      </c>
      <c r="AE2520" s="36">
        <v>140</v>
      </c>
      <c r="AF2520" s="71">
        <v>10.44</v>
      </c>
      <c r="AG2520" s="37">
        <v>0</v>
      </c>
      <c r="AH2520" s="37">
        <v>0</v>
      </c>
      <c r="AI2520" s="37">
        <v>101</v>
      </c>
      <c r="AJ2520" s="37">
        <v>11</v>
      </c>
      <c r="AK2520" s="37" t="str">
        <f>VLOOKUP(Mecze[[#This Row],[Match ID]],Meczusie[Mecz]:Meczusie[RodzajMeczu],2,FALSE)</f>
        <v>Liga</v>
      </c>
    </row>
    <row r="2521" spans="1:37" x14ac:dyDescent="0.25">
      <c r="A2521" s="76">
        <v>10</v>
      </c>
      <c r="B2521" s="3" t="s">
        <v>328</v>
      </c>
      <c r="C2521" s="2" t="s">
        <v>165</v>
      </c>
      <c r="D2521" s="1">
        <v>2</v>
      </c>
      <c r="E2521" s="1">
        <v>3</v>
      </c>
      <c r="F2521" s="1">
        <v>3</v>
      </c>
      <c r="G2521" s="1">
        <v>7</v>
      </c>
      <c r="H2521" s="4">
        <v>0.86</v>
      </c>
      <c r="I2521" s="1">
        <v>4</v>
      </c>
      <c r="J2521" s="4">
        <v>0.5</v>
      </c>
      <c r="K2521" s="1">
        <v>0</v>
      </c>
      <c r="L2521" s="1">
        <v>2</v>
      </c>
      <c r="M2521" s="32">
        <f>IF(Mecze[[#This Row],[PR]]=0,0,Mecze[[#This Row],[PR]]/Mecze[[#This Row],[CZAS]])</f>
        <v>1.9801980198019802E-2</v>
      </c>
      <c r="N2521" s="32">
        <f>IF(Mecze[[#This Row],[OU]]=0,0,Mecze[[#This Row],[OU]]/Mecze[[#This Row],[CZAS]])</f>
        <v>1.9801980198019802E-2</v>
      </c>
      <c r="O2521" s="32">
        <f>IF(Mecze[[#This Row],[PC]]=0,0,Mecze[[#This Row],[PC]]/Mecze[[#This Row],[CZAS]])</f>
        <v>5.9405940594059403E-2</v>
      </c>
      <c r="P2521" s="32">
        <f>IF(Mecze[[#This Row],[SC]]=0,0,Mecze[[#This Row],[SC]]/Mecze[[#This Row],[CZAS]])</f>
        <v>2.9702970297029702E-2</v>
      </c>
      <c r="Q2521" s="32">
        <f>IF(Mecze[[#This Row],[OB]]=0,0,Mecze[[#This Row],[OB]]/Mecze[[#This Row],[CZAS]])</f>
        <v>0</v>
      </c>
      <c r="R2521" s="32">
        <f>IF(Mecze[[#This Row],[BR]]=0,0,Mecze[[#This Row],[BR]]/Mecze[[#This Row],[CZAS]])</f>
        <v>1.9801980198019802E-2</v>
      </c>
      <c r="S2521" s="44">
        <f>IF(Mecze[[#This Row],[Role]]="BR",SUMPRODUCT(Mecze[[#This Row],[/PR:90]:[/BR:90]],Brudnopis!$E$23:$J$23),0)</f>
        <v>0</v>
      </c>
      <c r="T2521" s="44">
        <f>IF(Mecze[[#This Row],[Role]]&lt;&gt;"BR",SUMPRODUCT(Mecze[[#This Row],[/PR:90]:[/BR:90]],Brudnopis!$E$24:$J$24),0)</f>
        <v>0.16831683168316833</v>
      </c>
      <c r="U2521" s="44">
        <f>IF(Mecze[[#This Row],[Role]]&lt;&gt;"BR",SUMPRODUCT(Mecze[[#This Row],[/PR:90]:[/BR:90]],Brudnopis!$E$25:$J$25),0)</f>
        <v>0.18811881188118812</v>
      </c>
      <c r="V2521" s="44">
        <f>IF(Mecze[[#This Row],[Role]]&lt;&gt;"BR",SUMPRODUCT(Mecze[[#This Row],[/PR:90]:[/BR:90]],Brudnopis!$E$26:$J$26),0)</f>
        <v>0.16831683168316833</v>
      </c>
      <c r="W2521" s="44">
        <f>IF(Mecze[[#This Row],[Role]]&lt;&gt;"BR",SUMPRODUCT(Mecze[[#This Row],[/PR:90]:[/BR:90]],Brudnopis!$E$27:$J$27),0)</f>
        <v>0.18811881188118812</v>
      </c>
      <c r="X2521" s="44">
        <f>IF(Mecze[[#This Row],[Role]]&lt;&gt;"BR",SUMPRODUCT(Mecze[[#This Row],[/PR:90]:[/BR:90]],Brudnopis!$E$28:$J$28),0)</f>
        <v>0.17821782178217821</v>
      </c>
      <c r="Y2521" s="35">
        <f>IF(Mecze[[#This Row],[Role]]="BR",Mecze[[#This Row],[/OB:90]]+Mecze[[#This Row],[/PC:90]],SUM(Mecze[[#This Row],[/PR:90]:[/BR:90]]))</f>
        <v>0.14851485148514851</v>
      </c>
      <c r="Z2521" s="35">
        <f>IF(Mecze[[#This Row],[KC]]=0,SUM(Mecze[[#This Row],[/BRI]:[/NPI]]),SUM(Mecze[[#This Row],[/BRI]:[/NPI]])*0.6)</f>
        <v>0.89108910891089099</v>
      </c>
      <c r="AA2521" s="10">
        <f>IFERROR(Mecze[[#This Row],[BR]]/Mecze[[#This Row],[ST]],0)</f>
        <v>0.66666666666666663</v>
      </c>
      <c r="AB2521">
        <f>ROUND(Mecze[[#This Row],[PD]]*Mecze[[#This Row],[%PC]],0)</f>
        <v>6</v>
      </c>
      <c r="AC2521">
        <f>ROUND(Mecze[[#This Row],[OD]]*Mecze[[#This Row],[%OU]],0)</f>
        <v>2</v>
      </c>
      <c r="AD2521" s="36" t="s">
        <v>46</v>
      </c>
      <c r="AE2521" s="36">
        <v>140</v>
      </c>
      <c r="AF2521" s="71">
        <v>11.44</v>
      </c>
      <c r="AG2521" s="37">
        <v>0</v>
      </c>
      <c r="AH2521" s="37">
        <v>0</v>
      </c>
      <c r="AI2521" s="37">
        <v>101</v>
      </c>
      <c r="AJ2521" s="37">
        <v>11</v>
      </c>
      <c r="AK2521" s="37" t="str">
        <f>VLOOKUP(Mecze[[#This Row],[Match ID]],Meczusie[Mecz]:Meczusie[RodzajMeczu],2,FALSE)</f>
        <v>Liga</v>
      </c>
    </row>
    <row r="2522" spans="1:37" x14ac:dyDescent="0.25">
      <c r="A2522" s="76">
        <v>11</v>
      </c>
      <c r="B2522" s="3" t="s">
        <v>329</v>
      </c>
      <c r="C2522" s="2" t="s">
        <v>165</v>
      </c>
      <c r="D2522" s="1">
        <v>0</v>
      </c>
      <c r="E2522" s="1">
        <v>13</v>
      </c>
      <c r="F2522" s="1">
        <v>11</v>
      </c>
      <c r="G2522" s="1">
        <v>7</v>
      </c>
      <c r="H2522" s="4">
        <v>0.86</v>
      </c>
      <c r="I2522" s="1">
        <v>1</v>
      </c>
      <c r="J2522" s="4">
        <v>0</v>
      </c>
      <c r="K2522" s="1">
        <v>0</v>
      </c>
      <c r="L2522" s="1">
        <v>0</v>
      </c>
      <c r="M2522" s="32">
        <f>IF(Mecze[[#This Row],[PR]]=0,0,Mecze[[#This Row],[PR]]/Mecze[[#This Row],[CZAS]])</f>
        <v>0</v>
      </c>
      <c r="N2522" s="32">
        <f>IF(Mecze[[#This Row],[OU]]=0,0,Mecze[[#This Row],[OU]]/Mecze[[#This Row],[CZAS]])</f>
        <v>0</v>
      </c>
      <c r="O2522" s="32">
        <f>IF(Mecze[[#This Row],[PC]]=0,0,Mecze[[#This Row],[PC]]/Mecze[[#This Row],[CZAS]])</f>
        <v>5.9405940594059403E-2</v>
      </c>
      <c r="P2522" s="32">
        <f>IF(Mecze[[#This Row],[SC]]=0,0,Mecze[[#This Row],[SC]]/Mecze[[#This Row],[CZAS]])</f>
        <v>0.10891089108910891</v>
      </c>
      <c r="Q2522" s="32">
        <f>IF(Mecze[[#This Row],[OB]]=0,0,Mecze[[#This Row],[OB]]/Mecze[[#This Row],[CZAS]])</f>
        <v>0</v>
      </c>
      <c r="R2522" s="32">
        <f>IF(Mecze[[#This Row],[BR]]=0,0,Mecze[[#This Row],[BR]]/Mecze[[#This Row],[CZAS]])</f>
        <v>0</v>
      </c>
      <c r="S2522" s="44">
        <f>IF(Mecze[[#This Row],[Role]]="BR",SUMPRODUCT(Mecze[[#This Row],[/PR:90]:[/BR:90]],Brudnopis!$E$23:$J$23),0)</f>
        <v>0</v>
      </c>
      <c r="T2522" s="44">
        <f>IF(Mecze[[#This Row],[Role]]&lt;&gt;"BR",SUMPRODUCT(Mecze[[#This Row],[/PR:90]:[/BR:90]],Brudnopis!$E$24:$J$24),0)</f>
        <v>0.1683168316831683</v>
      </c>
      <c r="U2522" s="44">
        <f>IF(Mecze[[#This Row],[Role]]&lt;&gt;"BR",SUMPRODUCT(Mecze[[#This Row],[/PR:90]:[/BR:90]],Brudnopis!$E$25:$J$25),0)</f>
        <v>0.19801980198019803</v>
      </c>
      <c r="V2522" s="44">
        <f>IF(Mecze[[#This Row],[Role]]&lt;&gt;"BR",SUMPRODUCT(Mecze[[#This Row],[/PR:90]:[/BR:90]],Brudnopis!$E$26:$J$26),0)</f>
        <v>0.1683168316831683</v>
      </c>
      <c r="W2522" s="44">
        <f>IF(Mecze[[#This Row],[Role]]&lt;&gt;"BR",SUMPRODUCT(Mecze[[#This Row],[/PR:90]:[/BR:90]],Brudnopis!$E$27:$J$27),0)</f>
        <v>0.19801980198019803</v>
      </c>
      <c r="X2522" s="44">
        <f>IF(Mecze[[#This Row],[Role]]&lt;&gt;"BR",SUMPRODUCT(Mecze[[#This Row],[/PR:90]:[/BR:90]],Brudnopis!$E$28:$J$28),0)</f>
        <v>0.27722772277227725</v>
      </c>
      <c r="Y2522" s="35">
        <f>IF(Mecze[[#This Row],[Role]]="BR",Mecze[[#This Row],[/OB:90]]+Mecze[[#This Row],[/PC:90]],SUM(Mecze[[#This Row],[/PR:90]:[/BR:90]]))</f>
        <v>0.1683168316831683</v>
      </c>
      <c r="Z2522" s="35">
        <f>IF(Mecze[[#This Row],[KC]]=0,SUM(Mecze[[#This Row],[/BRI]:[/NPI]]),SUM(Mecze[[#This Row],[/BRI]:[/NPI]])*0.6)</f>
        <v>1.0099009900990099</v>
      </c>
      <c r="AA2522" s="10">
        <f>IFERROR(Mecze[[#This Row],[BR]]/Mecze[[#This Row],[ST]],0)</f>
        <v>0</v>
      </c>
      <c r="AB2522">
        <f>ROUND(Mecze[[#This Row],[PD]]*Mecze[[#This Row],[%PC]],0)</f>
        <v>6</v>
      </c>
      <c r="AC2522">
        <f>ROUND(Mecze[[#This Row],[OD]]*Mecze[[#This Row],[%OU]],0)</f>
        <v>0</v>
      </c>
      <c r="AD2522" s="36" t="s">
        <v>273</v>
      </c>
      <c r="AE2522" s="36">
        <v>140</v>
      </c>
      <c r="AF2522" s="71">
        <v>8.6</v>
      </c>
      <c r="AG2522" s="37">
        <v>0</v>
      </c>
      <c r="AH2522" s="37">
        <v>0</v>
      </c>
      <c r="AI2522" s="37">
        <v>101</v>
      </c>
      <c r="AJ2522" s="37">
        <v>11</v>
      </c>
      <c r="AK2522" s="37" t="str">
        <f>VLOOKUP(Mecze[[#This Row],[Match ID]],Meczusie[Mecz]:Meczusie[RodzajMeczu],2,FALSE)</f>
        <v>Liga</v>
      </c>
    </row>
    <row r="2523" spans="1:37" x14ac:dyDescent="0.25">
      <c r="A2523" s="76">
        <v>14</v>
      </c>
      <c r="B2523" s="3" t="s">
        <v>330</v>
      </c>
      <c r="C2523" s="2" t="s">
        <v>165</v>
      </c>
      <c r="D2523" s="1">
        <v>3</v>
      </c>
      <c r="E2523" s="1">
        <v>8</v>
      </c>
      <c r="F2523" s="1">
        <v>6</v>
      </c>
      <c r="G2523" s="1">
        <v>13</v>
      </c>
      <c r="H2523" s="4">
        <v>0.62</v>
      </c>
      <c r="I2523" s="1">
        <v>4</v>
      </c>
      <c r="J2523" s="4">
        <v>0.25</v>
      </c>
      <c r="K2523" s="1">
        <v>0</v>
      </c>
      <c r="L2523" s="1">
        <v>0</v>
      </c>
      <c r="M2523" s="32">
        <f>IF(Mecze[[#This Row],[PR]]=0,0,Mecze[[#This Row],[PR]]/Mecze[[#This Row],[CZAS]])</f>
        <v>0</v>
      </c>
      <c r="N2523" s="32">
        <f>IF(Mecze[[#This Row],[OU]]=0,0,Mecze[[#This Row],[OU]]/Mecze[[#This Row],[CZAS]])</f>
        <v>9.9009900990099011E-3</v>
      </c>
      <c r="O2523" s="32">
        <f>IF(Mecze[[#This Row],[PC]]=0,0,Mecze[[#This Row],[PC]]/Mecze[[#This Row],[CZAS]])</f>
        <v>7.9207920792079209E-2</v>
      </c>
      <c r="P2523" s="32">
        <f>IF(Mecze[[#This Row],[SC]]=0,0,Mecze[[#This Row],[SC]]/Mecze[[#This Row],[CZAS]])</f>
        <v>5.9405940594059403E-2</v>
      </c>
      <c r="Q2523" s="32">
        <f>IF(Mecze[[#This Row],[OB]]=0,0,Mecze[[#This Row],[OB]]/Mecze[[#This Row],[CZAS]])</f>
        <v>0</v>
      </c>
      <c r="R2523" s="32">
        <f>IF(Mecze[[#This Row],[BR]]=0,0,Mecze[[#This Row],[BR]]/Mecze[[#This Row],[CZAS]])</f>
        <v>2.9702970297029702E-2</v>
      </c>
      <c r="S2523" s="44">
        <f>IF(Mecze[[#This Row],[Role]]="BR",SUMPRODUCT(Mecze[[#This Row],[/PR:90]:[/BR:90]],Brudnopis!$E$23:$J$23),0)</f>
        <v>0</v>
      </c>
      <c r="T2523" s="44">
        <f>IF(Mecze[[#This Row],[Role]]&lt;&gt;"BR",SUMPRODUCT(Mecze[[#This Row],[/PR:90]:[/BR:90]],Brudnopis!$E$24:$J$24),0)</f>
        <v>0.19801980198019803</v>
      </c>
      <c r="U2523" s="44">
        <f>IF(Mecze[[#This Row],[Role]]&lt;&gt;"BR",SUMPRODUCT(Mecze[[#This Row],[/PR:90]:[/BR:90]],Brudnopis!$E$25:$J$25),0)</f>
        <v>0.23267326732673266</v>
      </c>
      <c r="V2523" s="44">
        <f>IF(Mecze[[#This Row],[Role]]&lt;&gt;"BR",SUMPRODUCT(Mecze[[#This Row],[/PR:90]:[/BR:90]],Brudnopis!$E$26:$J$26),0)</f>
        <v>0.20792079207920791</v>
      </c>
      <c r="W2523" s="44">
        <f>IF(Mecze[[#This Row],[Role]]&lt;&gt;"BR",SUMPRODUCT(Mecze[[#This Row],[/PR:90]:[/BR:90]],Brudnopis!$E$27:$J$27),0)</f>
        <v>0.24504950495049505</v>
      </c>
      <c r="X2523" s="44">
        <f>IF(Mecze[[#This Row],[Role]]&lt;&gt;"BR",SUMPRODUCT(Mecze[[#This Row],[/PR:90]:[/BR:90]],Brudnopis!$E$28:$J$28),0)</f>
        <v>0.28712871287128716</v>
      </c>
      <c r="Y2523" s="35">
        <f>IF(Mecze[[#This Row],[Role]]="BR",Mecze[[#This Row],[/OB:90]]+Mecze[[#This Row],[/PC:90]],SUM(Mecze[[#This Row],[/PR:90]:[/BR:90]]))</f>
        <v>0.17821782178217821</v>
      </c>
      <c r="Z2523" s="35">
        <f>IF(Mecze[[#This Row],[KC]]=0,SUM(Mecze[[#This Row],[/BRI]:[/NPI]]),SUM(Mecze[[#This Row],[/BRI]:[/NPI]])*0.6)</f>
        <v>1.1707920792079207</v>
      </c>
      <c r="AA2523" s="10">
        <f>IFERROR(Mecze[[#This Row],[BR]]/Mecze[[#This Row],[ST]],0)</f>
        <v>0.375</v>
      </c>
      <c r="AB2523">
        <f>ROUND(Mecze[[#This Row],[PD]]*Mecze[[#This Row],[%PC]],0)</f>
        <v>8</v>
      </c>
      <c r="AC2523">
        <f>ROUND(Mecze[[#This Row],[OD]]*Mecze[[#This Row],[%OU]],0)</f>
        <v>1</v>
      </c>
      <c r="AD2523" s="36" t="s">
        <v>272</v>
      </c>
      <c r="AE2523" s="36">
        <v>140</v>
      </c>
      <c r="AF2523" s="71">
        <v>13.48</v>
      </c>
      <c r="AG2523" s="37">
        <v>0</v>
      </c>
      <c r="AH2523" s="37">
        <v>0</v>
      </c>
      <c r="AI2523" s="37">
        <v>101</v>
      </c>
      <c r="AJ2523" s="37">
        <v>11</v>
      </c>
      <c r="AK2523" s="37" t="str">
        <f>VLOOKUP(Mecze[[#This Row],[Match ID]],Meczusie[Mecz]:Meczusie[RodzajMeczu],2,FALSE)</f>
        <v>Liga</v>
      </c>
    </row>
    <row r="2524" spans="1:37" x14ac:dyDescent="0.25">
      <c r="A2524" s="76">
        <v>1</v>
      </c>
      <c r="B2524" s="3" t="s">
        <v>344</v>
      </c>
      <c r="C2524" s="2" t="s">
        <v>155</v>
      </c>
      <c r="D2524" s="1">
        <v>0</v>
      </c>
      <c r="E2524" s="1">
        <v>0</v>
      </c>
      <c r="F2524" s="1">
        <v>0</v>
      </c>
      <c r="G2524" s="1">
        <v>10</v>
      </c>
      <c r="H2524" s="4">
        <v>0.5</v>
      </c>
      <c r="I2524" s="1">
        <v>0</v>
      </c>
      <c r="J2524" s="4"/>
      <c r="K2524" s="1">
        <v>14</v>
      </c>
      <c r="L2524" s="1">
        <v>0</v>
      </c>
      <c r="M2524" s="32">
        <f>IF(Mecze[[#This Row],[PR]]=0,0,Mecze[[#This Row],[PR]]/Mecze[[#This Row],[CZAS]])</f>
        <v>0</v>
      </c>
      <c r="N2524" s="32">
        <f>IF(Mecze[[#This Row],[OU]]=0,0,Mecze[[#This Row],[OU]]/Mecze[[#This Row],[CZAS]])</f>
        <v>0</v>
      </c>
      <c r="O2524" s="32">
        <f>IF(Mecze[[#This Row],[PC]]=0,0,Mecze[[#This Row],[PC]]/Mecze[[#This Row],[CZAS]])</f>
        <v>5.2083333333333336E-2</v>
      </c>
      <c r="P2524" s="32">
        <f>IF(Mecze[[#This Row],[SC]]=0,0,Mecze[[#This Row],[SC]]/Mecze[[#This Row],[CZAS]])</f>
        <v>0</v>
      </c>
      <c r="Q2524" s="32">
        <f>IF(Mecze[[#This Row],[OB]]=0,0,Mecze[[#This Row],[OB]]/Mecze[[#This Row],[CZAS]])</f>
        <v>0.14583333333333334</v>
      </c>
      <c r="R2524" s="32">
        <f>IF(Mecze[[#This Row],[BR]]=0,0,Mecze[[#This Row],[BR]]/Mecze[[#This Row],[CZAS]])</f>
        <v>0</v>
      </c>
      <c r="S2524" s="44">
        <f>IF(Mecze[[#This Row],[Role]]="BR",SUMPRODUCT(Mecze[[#This Row],[/PR:90]:[/BR:90]],Brudnopis!$E$23:$J$23),0)</f>
        <v>0.59375</v>
      </c>
      <c r="T2524" s="44">
        <f>IF(Mecze[[#This Row],[Role]]&lt;&gt;"BR",SUMPRODUCT(Mecze[[#This Row],[/PR:90]:[/BR:90]],Brudnopis!$E$24:$J$24),0)</f>
        <v>0</v>
      </c>
      <c r="U2524" s="44">
        <f>IF(Mecze[[#This Row],[Role]]&lt;&gt;"BR",SUMPRODUCT(Mecze[[#This Row],[/PR:90]:[/BR:90]],Brudnopis!$E$25:$J$25),0)</f>
        <v>0</v>
      </c>
      <c r="V2524" s="44">
        <f>IF(Mecze[[#This Row],[Role]]&lt;&gt;"BR",SUMPRODUCT(Mecze[[#This Row],[/PR:90]:[/BR:90]],Brudnopis!$E$26:$J$26),0)</f>
        <v>0</v>
      </c>
      <c r="W2524" s="44">
        <f>IF(Mecze[[#This Row],[Role]]&lt;&gt;"BR",SUMPRODUCT(Mecze[[#This Row],[/PR:90]:[/BR:90]],Brudnopis!$E$27:$J$27),0)</f>
        <v>0</v>
      </c>
      <c r="X2524" s="44">
        <f>IF(Mecze[[#This Row],[Role]]&lt;&gt;"BR",SUMPRODUCT(Mecze[[#This Row],[/PR:90]:[/BR:90]],Brudnopis!$E$28:$J$28),0)</f>
        <v>0</v>
      </c>
      <c r="Y2524" s="35">
        <f>IF(Mecze[[#This Row],[Role]]="BR",Mecze[[#This Row],[/OB:90]]+Mecze[[#This Row],[/PC:90]],SUM(Mecze[[#This Row],[/PR:90]:[/BR:90]]))</f>
        <v>0.19791666666666669</v>
      </c>
      <c r="Z2524" s="35">
        <f>IF(Mecze[[#This Row],[KC]]=0,SUM(Mecze[[#This Row],[/BRI]:[/NPI]]),SUM(Mecze[[#This Row],[/BRI]:[/NPI]])*0.6)</f>
        <v>0.59375</v>
      </c>
      <c r="AA2524" s="10">
        <f>IFERROR(Mecze[[#This Row],[BR]]/Mecze[[#This Row],[ST]],0)</f>
        <v>0</v>
      </c>
      <c r="AB2524">
        <f>ROUND(Mecze[[#This Row],[PD]]*Mecze[[#This Row],[%PC]],0)</f>
        <v>5</v>
      </c>
      <c r="AC2524">
        <f>ROUND(Mecze[[#This Row],[OD]]*Mecze[[#This Row],[%OU]],0)</f>
        <v>0</v>
      </c>
      <c r="AD2524" s="36" t="s">
        <v>40</v>
      </c>
      <c r="AE2524" s="36">
        <v>141</v>
      </c>
      <c r="AF2524" s="71">
        <v>7.71</v>
      </c>
      <c r="AG2524" s="37">
        <v>0</v>
      </c>
      <c r="AH2524" s="37">
        <v>0</v>
      </c>
      <c r="AI2524" s="37">
        <v>96</v>
      </c>
      <c r="AJ2524" s="37">
        <v>5</v>
      </c>
      <c r="AK2524" s="37" t="str">
        <f>VLOOKUP(Mecze[[#This Row],[Match ID]],Meczusie[Mecz]:Meczusie[RodzajMeczu],2,FALSE)</f>
        <v>Liga</v>
      </c>
    </row>
    <row r="2525" spans="1:37" x14ac:dyDescent="0.25">
      <c r="A2525" s="76">
        <v>2</v>
      </c>
      <c r="B2525" s="3" t="s">
        <v>345</v>
      </c>
      <c r="C2525" s="2" t="s">
        <v>157</v>
      </c>
      <c r="D2525" s="1">
        <v>0</v>
      </c>
      <c r="E2525" s="1">
        <v>0</v>
      </c>
      <c r="F2525" s="1">
        <v>0</v>
      </c>
      <c r="G2525" s="1">
        <v>10</v>
      </c>
      <c r="H2525" s="4">
        <v>0.9</v>
      </c>
      <c r="I2525" s="1">
        <v>9</v>
      </c>
      <c r="J2525" s="4">
        <v>0.44</v>
      </c>
      <c r="K2525" s="1">
        <v>0</v>
      </c>
      <c r="L2525" s="1">
        <v>2</v>
      </c>
      <c r="M2525" s="32">
        <f>IF(Mecze[[#This Row],[PR]]=0,0,Mecze[[#This Row],[PR]]/Mecze[[#This Row],[CZAS]])</f>
        <v>2.0833333333333332E-2</v>
      </c>
      <c r="N2525" s="32">
        <f>IF(Mecze[[#This Row],[OU]]=0,0,Mecze[[#This Row],[OU]]/Mecze[[#This Row],[CZAS]])</f>
        <v>4.1666666666666664E-2</v>
      </c>
      <c r="O2525" s="32">
        <f>IF(Mecze[[#This Row],[PC]]=0,0,Mecze[[#This Row],[PC]]/Mecze[[#This Row],[CZAS]])</f>
        <v>9.375E-2</v>
      </c>
      <c r="P2525" s="32">
        <f>IF(Mecze[[#This Row],[SC]]=0,0,Mecze[[#This Row],[SC]]/Mecze[[#This Row],[CZAS]])</f>
        <v>0</v>
      </c>
      <c r="Q2525" s="32">
        <f>IF(Mecze[[#This Row],[OB]]=0,0,Mecze[[#This Row],[OB]]/Mecze[[#This Row],[CZAS]])</f>
        <v>0</v>
      </c>
      <c r="R2525" s="32">
        <f>IF(Mecze[[#This Row],[BR]]=0,0,Mecze[[#This Row],[BR]]/Mecze[[#This Row],[CZAS]])</f>
        <v>0</v>
      </c>
      <c r="S2525" s="44">
        <f>IF(Mecze[[#This Row],[Role]]="BR",SUMPRODUCT(Mecze[[#This Row],[/PR:90]:[/BR:90]],Brudnopis!$E$23:$J$23),0)</f>
        <v>0</v>
      </c>
      <c r="T2525" s="44">
        <f>IF(Mecze[[#This Row],[Role]]&lt;&gt;"BR",SUMPRODUCT(Mecze[[#This Row],[/PR:90]:[/BR:90]],Brudnopis!$E$24:$J$24),0)</f>
        <v>0.17708333333333331</v>
      </c>
      <c r="U2525" s="44">
        <f>IF(Mecze[[#This Row],[Role]]&lt;&gt;"BR",SUMPRODUCT(Mecze[[#This Row],[/PR:90]:[/BR:90]],Brudnopis!$E$25:$J$25),0)</f>
        <v>0.203125</v>
      </c>
      <c r="V2525" s="44">
        <f>IF(Mecze[[#This Row],[Role]]&lt;&gt;"BR",SUMPRODUCT(Mecze[[#This Row],[/PR:90]:[/BR:90]],Brudnopis!$E$26:$J$26),0)</f>
        <v>0.15625</v>
      </c>
      <c r="W2525" s="44">
        <f>IF(Mecze[[#This Row],[Role]]&lt;&gt;"BR",SUMPRODUCT(Mecze[[#This Row],[/PR:90]:[/BR:90]],Brudnopis!$E$27:$J$27),0)</f>
        <v>0.1875</v>
      </c>
      <c r="X2525" s="44">
        <f>IF(Mecze[[#This Row],[Role]]&lt;&gt;"BR",SUMPRODUCT(Mecze[[#This Row],[/PR:90]:[/BR:90]],Brudnopis!$E$28:$J$28),0)</f>
        <v>9.375E-2</v>
      </c>
      <c r="Y2525" s="35">
        <f>IF(Mecze[[#This Row],[Role]]="BR",Mecze[[#This Row],[/OB:90]]+Mecze[[#This Row],[/PC:90]],SUM(Mecze[[#This Row],[/PR:90]:[/BR:90]]))</f>
        <v>0.15625</v>
      </c>
      <c r="Z2525" s="35">
        <f>IF(Mecze[[#This Row],[KC]]=0,SUM(Mecze[[#This Row],[/BRI]:[/NPI]]),SUM(Mecze[[#This Row],[/BRI]:[/NPI]])*0.6)</f>
        <v>0.81770833333333326</v>
      </c>
      <c r="AA2525" s="10">
        <f>IFERROR(Mecze[[#This Row],[BR]]/Mecze[[#This Row],[ST]],0)</f>
        <v>0</v>
      </c>
      <c r="AB2525">
        <f>ROUND(Mecze[[#This Row],[PD]]*Mecze[[#This Row],[%PC]],0)</f>
        <v>9</v>
      </c>
      <c r="AC2525">
        <f>ROUND(Mecze[[#This Row],[OD]]*Mecze[[#This Row],[%OU]],0)</f>
        <v>4</v>
      </c>
      <c r="AD2525" s="36" t="s">
        <v>47</v>
      </c>
      <c r="AE2525" s="36">
        <v>141</v>
      </c>
      <c r="AF2525" s="71">
        <v>2.0099999999999998</v>
      </c>
      <c r="AG2525" s="37">
        <v>0</v>
      </c>
      <c r="AH2525" s="37">
        <v>0</v>
      </c>
      <c r="AI2525" s="37">
        <v>96</v>
      </c>
      <c r="AJ2525" s="37">
        <v>5</v>
      </c>
      <c r="AK2525" s="37" t="str">
        <f>VLOOKUP(Mecze[[#This Row],[Match ID]],Meczusie[Mecz]:Meczusie[RodzajMeczu],2,FALSE)</f>
        <v>Liga</v>
      </c>
    </row>
    <row r="2526" spans="1:37" x14ac:dyDescent="0.25">
      <c r="A2526" s="76">
        <v>4</v>
      </c>
      <c r="B2526" s="3" t="s">
        <v>346</v>
      </c>
      <c r="C2526" s="2" t="s">
        <v>157</v>
      </c>
      <c r="D2526" s="1">
        <v>0</v>
      </c>
      <c r="E2526" s="1">
        <v>2</v>
      </c>
      <c r="F2526" s="1">
        <v>0</v>
      </c>
      <c r="G2526" s="1">
        <v>12</v>
      </c>
      <c r="H2526" s="4">
        <v>0.67</v>
      </c>
      <c r="I2526" s="1">
        <v>5</v>
      </c>
      <c r="J2526" s="4">
        <v>0.6</v>
      </c>
      <c r="K2526" s="1">
        <v>0</v>
      </c>
      <c r="L2526" s="1">
        <v>5</v>
      </c>
      <c r="M2526" s="32">
        <f>IF(Mecze[[#This Row],[PR]]=0,0,Mecze[[#This Row],[PR]]/Mecze[[#This Row],[CZAS]])</f>
        <v>5.2083333333333336E-2</v>
      </c>
      <c r="N2526" s="32">
        <f>IF(Mecze[[#This Row],[OU]]=0,0,Mecze[[#This Row],[OU]]/Mecze[[#This Row],[CZAS]])</f>
        <v>3.125E-2</v>
      </c>
      <c r="O2526" s="32">
        <f>IF(Mecze[[#This Row],[PC]]=0,0,Mecze[[#This Row],[PC]]/Mecze[[#This Row],[CZAS]])</f>
        <v>8.3333333333333329E-2</v>
      </c>
      <c r="P2526" s="32">
        <f>IF(Mecze[[#This Row],[SC]]=0,0,Mecze[[#This Row],[SC]]/Mecze[[#This Row],[CZAS]])</f>
        <v>0</v>
      </c>
      <c r="Q2526" s="32">
        <f>IF(Mecze[[#This Row],[OB]]=0,0,Mecze[[#This Row],[OB]]/Mecze[[#This Row],[CZAS]])</f>
        <v>0</v>
      </c>
      <c r="R2526" s="32">
        <f>IF(Mecze[[#This Row],[BR]]=0,0,Mecze[[#This Row],[BR]]/Mecze[[#This Row],[CZAS]])</f>
        <v>0</v>
      </c>
      <c r="S2526" s="44">
        <f>IF(Mecze[[#This Row],[Role]]="BR",SUMPRODUCT(Mecze[[#This Row],[/PR:90]:[/BR:90]],Brudnopis!$E$23:$J$23),0)</f>
        <v>0</v>
      </c>
      <c r="T2526" s="44">
        <f>IF(Mecze[[#This Row],[Role]]&lt;&gt;"BR",SUMPRODUCT(Mecze[[#This Row],[/PR:90]:[/BR:90]],Brudnopis!$E$24:$J$24),0)</f>
        <v>0.18229166666666669</v>
      </c>
      <c r="U2526" s="44">
        <f>IF(Mecze[[#This Row],[Role]]&lt;&gt;"BR",SUMPRODUCT(Mecze[[#This Row],[/PR:90]:[/BR:90]],Brudnopis!$E$25:$J$25),0)</f>
        <v>0.20833333333333334</v>
      </c>
      <c r="V2526" s="44">
        <f>IF(Mecze[[#This Row],[Role]]&lt;&gt;"BR",SUMPRODUCT(Mecze[[#This Row],[/PR:90]:[/BR:90]],Brudnopis!$E$26:$J$26),0)</f>
        <v>0.16666666666666669</v>
      </c>
      <c r="W2526" s="44">
        <f>IF(Mecze[[#This Row],[Role]]&lt;&gt;"BR",SUMPRODUCT(Mecze[[#This Row],[/PR:90]:[/BR:90]],Brudnopis!$E$27:$J$27),0)</f>
        <v>0.1875</v>
      </c>
      <c r="X2526" s="44">
        <f>IF(Mecze[[#This Row],[Role]]&lt;&gt;"BR",SUMPRODUCT(Mecze[[#This Row],[/PR:90]:[/BR:90]],Brudnopis!$E$28:$J$28),0)</f>
        <v>8.3333333333333329E-2</v>
      </c>
      <c r="Y2526" s="35">
        <f>IF(Mecze[[#This Row],[Role]]="BR",Mecze[[#This Row],[/OB:90]]+Mecze[[#This Row],[/PC:90]],SUM(Mecze[[#This Row],[/PR:90]:[/BR:90]]))</f>
        <v>0.16666666666666669</v>
      </c>
      <c r="Z2526" s="35">
        <f>IF(Mecze[[#This Row],[KC]]=0,SUM(Mecze[[#This Row],[/BRI]:[/NPI]]),SUM(Mecze[[#This Row],[/BRI]:[/NPI]])*0.6)</f>
        <v>0.82812500000000011</v>
      </c>
      <c r="AA2526" s="10">
        <f>IFERROR(Mecze[[#This Row],[BR]]/Mecze[[#This Row],[ST]],0)</f>
        <v>0</v>
      </c>
      <c r="AB2526">
        <f>ROUND(Mecze[[#This Row],[PD]]*Mecze[[#This Row],[%PC]],0)</f>
        <v>8</v>
      </c>
      <c r="AC2526">
        <f>ROUND(Mecze[[#This Row],[OD]]*Mecze[[#This Row],[%OU]],0)</f>
        <v>3</v>
      </c>
      <c r="AD2526" s="36" t="s">
        <v>47</v>
      </c>
      <c r="AE2526" s="36">
        <v>141</v>
      </c>
      <c r="AF2526" s="71">
        <v>3.76</v>
      </c>
      <c r="AG2526" s="37">
        <v>0</v>
      </c>
      <c r="AH2526" s="37">
        <v>0</v>
      </c>
      <c r="AI2526" s="37">
        <v>96</v>
      </c>
      <c r="AJ2526" s="37">
        <v>5</v>
      </c>
      <c r="AK2526" s="37" t="str">
        <f>VLOOKUP(Mecze[[#This Row],[Match ID]],Meczusie[Mecz]:Meczusie[RodzajMeczu],2,FALSE)</f>
        <v>Liga</v>
      </c>
    </row>
    <row r="2527" spans="1:37" x14ac:dyDescent="0.25">
      <c r="A2527" s="76">
        <v>5</v>
      </c>
      <c r="B2527" s="3" t="s">
        <v>347</v>
      </c>
      <c r="C2527" s="2" t="s">
        <v>157</v>
      </c>
      <c r="D2527" s="1">
        <v>0</v>
      </c>
      <c r="E2527" s="1">
        <v>0</v>
      </c>
      <c r="F2527" s="1">
        <v>0</v>
      </c>
      <c r="G2527" s="1">
        <v>2</v>
      </c>
      <c r="H2527" s="4">
        <v>1</v>
      </c>
      <c r="I2527" s="1">
        <v>2</v>
      </c>
      <c r="J2527" s="4">
        <v>0.5</v>
      </c>
      <c r="K2527" s="1">
        <v>0</v>
      </c>
      <c r="L2527" s="1">
        <v>0</v>
      </c>
      <c r="M2527" s="32">
        <f>IF(Mecze[[#This Row],[PR]]=0,0,Mecze[[#This Row],[PR]]/Mecze[[#This Row],[CZAS]])</f>
        <v>0</v>
      </c>
      <c r="N2527" s="32">
        <f>IF(Mecze[[#This Row],[OU]]=0,0,Mecze[[#This Row],[OU]]/Mecze[[#This Row],[CZAS]])</f>
        <v>1.0416666666666666E-2</v>
      </c>
      <c r="O2527" s="32">
        <f>IF(Mecze[[#This Row],[PC]]=0,0,Mecze[[#This Row],[PC]]/Mecze[[#This Row],[CZAS]])</f>
        <v>2.0833333333333332E-2</v>
      </c>
      <c r="P2527" s="32">
        <f>IF(Mecze[[#This Row],[SC]]=0,0,Mecze[[#This Row],[SC]]/Mecze[[#This Row],[CZAS]])</f>
        <v>0</v>
      </c>
      <c r="Q2527" s="32">
        <f>IF(Mecze[[#This Row],[OB]]=0,0,Mecze[[#This Row],[OB]]/Mecze[[#This Row],[CZAS]])</f>
        <v>0</v>
      </c>
      <c r="R2527" s="32">
        <f>IF(Mecze[[#This Row],[BR]]=0,0,Mecze[[#This Row],[BR]]/Mecze[[#This Row],[CZAS]])</f>
        <v>0</v>
      </c>
      <c r="S2527" s="44">
        <f>IF(Mecze[[#This Row],[Role]]="BR",SUMPRODUCT(Mecze[[#This Row],[/PR:90]:[/BR:90]],Brudnopis!$E$23:$J$23),0)</f>
        <v>0</v>
      </c>
      <c r="T2527" s="44">
        <f>IF(Mecze[[#This Row],[Role]]&lt;&gt;"BR",SUMPRODUCT(Mecze[[#This Row],[/PR:90]:[/BR:90]],Brudnopis!$E$24:$J$24),0)</f>
        <v>3.6458333333333329E-2</v>
      </c>
      <c r="U2527" s="44">
        <f>IF(Mecze[[#This Row],[Role]]&lt;&gt;"BR",SUMPRODUCT(Mecze[[#This Row],[/PR:90]:[/BR:90]],Brudnopis!$E$25:$J$25),0)</f>
        <v>4.1666666666666664E-2</v>
      </c>
      <c r="V2527" s="44">
        <f>IF(Mecze[[#This Row],[Role]]&lt;&gt;"BR",SUMPRODUCT(Mecze[[#This Row],[/PR:90]:[/BR:90]],Brudnopis!$E$26:$J$26),0)</f>
        <v>3.125E-2</v>
      </c>
      <c r="W2527" s="44">
        <f>IF(Mecze[[#This Row],[Role]]&lt;&gt;"BR",SUMPRODUCT(Mecze[[#This Row],[/PR:90]:[/BR:90]],Brudnopis!$E$27:$J$27),0)</f>
        <v>3.90625E-2</v>
      </c>
      <c r="X2527" s="44">
        <f>IF(Mecze[[#This Row],[Role]]&lt;&gt;"BR",SUMPRODUCT(Mecze[[#This Row],[/PR:90]:[/BR:90]],Brudnopis!$E$28:$J$28),0)</f>
        <v>2.0833333333333332E-2</v>
      </c>
      <c r="Y2527" s="35">
        <f>IF(Mecze[[#This Row],[Role]]="BR",Mecze[[#This Row],[/OB:90]]+Mecze[[#This Row],[/PC:90]],SUM(Mecze[[#This Row],[/PR:90]:[/BR:90]]))</f>
        <v>3.125E-2</v>
      </c>
      <c r="Z2527" s="35">
        <f>IF(Mecze[[#This Row],[KC]]=0,SUM(Mecze[[#This Row],[/BRI]:[/NPI]]),SUM(Mecze[[#This Row],[/BRI]:[/NPI]])*0.6)</f>
        <v>0.16927083333333334</v>
      </c>
      <c r="AA2527" s="10">
        <f>IFERROR(Mecze[[#This Row],[BR]]/Mecze[[#This Row],[ST]],0)</f>
        <v>0</v>
      </c>
      <c r="AB2527">
        <f>ROUND(Mecze[[#This Row],[PD]]*Mecze[[#This Row],[%PC]],0)</f>
        <v>2</v>
      </c>
      <c r="AC2527">
        <f>ROUND(Mecze[[#This Row],[OD]]*Mecze[[#This Row],[%OU]],0)</f>
        <v>1</v>
      </c>
      <c r="AD2527" s="36" t="s">
        <v>175</v>
      </c>
      <c r="AE2527" s="36">
        <v>141</v>
      </c>
      <c r="AF2527" s="71">
        <v>1.59</v>
      </c>
      <c r="AG2527" s="37">
        <v>0</v>
      </c>
      <c r="AH2527" s="37">
        <v>0</v>
      </c>
      <c r="AI2527" s="37">
        <v>96</v>
      </c>
      <c r="AJ2527" s="37">
        <v>5</v>
      </c>
      <c r="AK2527" s="37" t="str">
        <f>VLOOKUP(Mecze[[#This Row],[Match ID]],Meczusie[Mecz]:Meczusie[RodzajMeczu],2,FALSE)</f>
        <v>Liga</v>
      </c>
    </row>
    <row r="2528" spans="1:37" x14ac:dyDescent="0.25">
      <c r="A2528" s="76">
        <v>3</v>
      </c>
      <c r="B2528" s="3" t="s">
        <v>348</v>
      </c>
      <c r="C2528" s="2" t="s">
        <v>157</v>
      </c>
      <c r="D2528" s="1">
        <v>0</v>
      </c>
      <c r="E2528" s="1">
        <v>0</v>
      </c>
      <c r="F2528" s="1">
        <v>0</v>
      </c>
      <c r="G2528" s="1">
        <v>2</v>
      </c>
      <c r="H2528" s="4">
        <v>0.5</v>
      </c>
      <c r="I2528" s="1">
        <v>2</v>
      </c>
      <c r="J2528" s="4">
        <v>0</v>
      </c>
      <c r="K2528" s="1">
        <v>0</v>
      </c>
      <c r="L2528" s="1">
        <v>2</v>
      </c>
      <c r="M2528" s="32">
        <f>IF(Mecze[[#This Row],[PR]]=0,0,Mecze[[#This Row],[PR]]/Mecze[[#This Row],[CZAS]])</f>
        <v>2.0833333333333332E-2</v>
      </c>
      <c r="N2528" s="32">
        <f>IF(Mecze[[#This Row],[OU]]=0,0,Mecze[[#This Row],[OU]]/Mecze[[#This Row],[CZAS]])</f>
        <v>0</v>
      </c>
      <c r="O2528" s="32">
        <f>IF(Mecze[[#This Row],[PC]]=0,0,Mecze[[#This Row],[PC]]/Mecze[[#This Row],[CZAS]])</f>
        <v>1.0416666666666666E-2</v>
      </c>
      <c r="P2528" s="32">
        <f>IF(Mecze[[#This Row],[SC]]=0,0,Mecze[[#This Row],[SC]]/Mecze[[#This Row],[CZAS]])</f>
        <v>0</v>
      </c>
      <c r="Q2528" s="32">
        <f>IF(Mecze[[#This Row],[OB]]=0,0,Mecze[[#This Row],[OB]]/Mecze[[#This Row],[CZAS]])</f>
        <v>0</v>
      </c>
      <c r="R2528" s="32">
        <f>IF(Mecze[[#This Row],[BR]]=0,0,Mecze[[#This Row],[BR]]/Mecze[[#This Row],[CZAS]])</f>
        <v>0</v>
      </c>
      <c r="S2528" s="44">
        <f>IF(Mecze[[#This Row],[Role]]="BR",SUMPRODUCT(Mecze[[#This Row],[/PR:90]:[/BR:90]],Brudnopis!$E$23:$J$23),0)</f>
        <v>0</v>
      </c>
      <c r="T2528" s="44">
        <f>IF(Mecze[[#This Row],[Role]]&lt;&gt;"BR",SUMPRODUCT(Mecze[[#This Row],[/PR:90]:[/BR:90]],Brudnopis!$E$24:$J$24),0)</f>
        <v>3.125E-2</v>
      </c>
      <c r="U2528" s="44">
        <f>IF(Mecze[[#This Row],[Role]]&lt;&gt;"BR",SUMPRODUCT(Mecze[[#This Row],[/PR:90]:[/BR:90]],Brudnopis!$E$25:$J$25),0)</f>
        <v>3.6458333333333329E-2</v>
      </c>
      <c r="V2528" s="44">
        <f>IF(Mecze[[#This Row],[Role]]&lt;&gt;"BR",SUMPRODUCT(Mecze[[#This Row],[/PR:90]:[/BR:90]],Brudnopis!$E$26:$J$26),0)</f>
        <v>3.125E-2</v>
      </c>
      <c r="W2528" s="44">
        <f>IF(Mecze[[#This Row],[Role]]&lt;&gt;"BR",SUMPRODUCT(Mecze[[#This Row],[/PR:90]:[/BR:90]],Brudnopis!$E$27:$J$27),0)</f>
        <v>3.125E-2</v>
      </c>
      <c r="X2528" s="44">
        <f>IF(Mecze[[#This Row],[Role]]&lt;&gt;"BR",SUMPRODUCT(Mecze[[#This Row],[/PR:90]:[/BR:90]],Brudnopis!$E$28:$J$28),0)</f>
        <v>1.0416666666666666E-2</v>
      </c>
      <c r="Y2528" s="35">
        <f>IF(Mecze[[#This Row],[Role]]="BR",Mecze[[#This Row],[/OB:90]]+Mecze[[#This Row],[/PC:90]],SUM(Mecze[[#This Row],[/PR:90]:[/BR:90]]))</f>
        <v>3.125E-2</v>
      </c>
      <c r="Z2528" s="35">
        <f>IF(Mecze[[#This Row],[KC]]=0,SUM(Mecze[[#This Row],[/BRI]:[/NPI]]),SUM(Mecze[[#This Row],[/BRI]:[/NPI]])*0.6)</f>
        <v>0.14062499999999997</v>
      </c>
      <c r="AA2528" s="10">
        <f>IFERROR(Mecze[[#This Row],[BR]]/Mecze[[#This Row],[ST]],0)</f>
        <v>0</v>
      </c>
      <c r="AB2528">
        <f>ROUND(Mecze[[#This Row],[PD]]*Mecze[[#This Row],[%PC]],0)</f>
        <v>1</v>
      </c>
      <c r="AC2528">
        <f>ROUND(Mecze[[#This Row],[OD]]*Mecze[[#This Row],[%OU]],0)</f>
        <v>0</v>
      </c>
      <c r="AD2528" s="36" t="s">
        <v>174</v>
      </c>
      <c r="AE2528" s="36">
        <v>141</v>
      </c>
      <c r="AF2528" s="71">
        <v>2.0099999999999998</v>
      </c>
      <c r="AG2528" s="37">
        <v>0</v>
      </c>
      <c r="AH2528" s="37">
        <v>0</v>
      </c>
      <c r="AI2528" s="37">
        <v>96</v>
      </c>
      <c r="AJ2528" s="37">
        <v>5</v>
      </c>
      <c r="AK2528" s="37" t="str">
        <f>VLOOKUP(Mecze[[#This Row],[Match ID]],Meczusie[Mecz]:Meczusie[RodzajMeczu],2,FALSE)</f>
        <v>Liga</v>
      </c>
    </row>
    <row r="2529" spans="1:37" x14ac:dyDescent="0.25">
      <c r="A2529" s="76">
        <v>6</v>
      </c>
      <c r="B2529" s="3" t="s">
        <v>349</v>
      </c>
      <c r="C2529" s="2" t="s">
        <v>160</v>
      </c>
      <c r="D2529" s="1">
        <v>0</v>
      </c>
      <c r="E2529" s="1">
        <v>0</v>
      </c>
      <c r="F2529" s="1">
        <v>0</v>
      </c>
      <c r="G2529" s="1">
        <v>6</v>
      </c>
      <c r="H2529" s="4">
        <v>0.83</v>
      </c>
      <c r="I2529" s="1">
        <v>2</v>
      </c>
      <c r="J2529" s="4">
        <v>0.5</v>
      </c>
      <c r="K2529" s="1">
        <v>0</v>
      </c>
      <c r="L2529" s="1">
        <v>2</v>
      </c>
      <c r="M2529" s="32">
        <f>IF(Mecze[[#This Row],[PR]]=0,0,Mecze[[#This Row],[PR]]/Mecze[[#This Row],[CZAS]])</f>
        <v>2.0833333333333332E-2</v>
      </c>
      <c r="N2529" s="32">
        <f>IF(Mecze[[#This Row],[OU]]=0,0,Mecze[[#This Row],[OU]]/Mecze[[#This Row],[CZAS]])</f>
        <v>1.0416666666666666E-2</v>
      </c>
      <c r="O2529" s="32">
        <f>IF(Mecze[[#This Row],[PC]]=0,0,Mecze[[#This Row],[PC]]/Mecze[[#This Row],[CZAS]])</f>
        <v>5.2083333333333336E-2</v>
      </c>
      <c r="P2529" s="32">
        <f>IF(Mecze[[#This Row],[SC]]=0,0,Mecze[[#This Row],[SC]]/Mecze[[#This Row],[CZAS]])</f>
        <v>0</v>
      </c>
      <c r="Q2529" s="32">
        <f>IF(Mecze[[#This Row],[OB]]=0,0,Mecze[[#This Row],[OB]]/Mecze[[#This Row],[CZAS]])</f>
        <v>0</v>
      </c>
      <c r="R2529" s="32">
        <f>IF(Mecze[[#This Row],[BR]]=0,0,Mecze[[#This Row],[BR]]/Mecze[[#This Row],[CZAS]])</f>
        <v>0</v>
      </c>
      <c r="S2529" s="44">
        <f>IF(Mecze[[#This Row],[Role]]="BR",SUMPRODUCT(Mecze[[#This Row],[/PR:90]:[/BR:90]],Brudnopis!$E$23:$J$23),0)</f>
        <v>0</v>
      </c>
      <c r="T2529" s="44">
        <f>IF(Mecze[[#This Row],[Role]]&lt;&gt;"BR",SUMPRODUCT(Mecze[[#This Row],[/PR:90]:[/BR:90]],Brudnopis!$E$24:$J$24),0)</f>
        <v>8.8541666666666657E-2</v>
      </c>
      <c r="U2529" s="44">
        <f>IF(Mecze[[#This Row],[Role]]&lt;&gt;"BR",SUMPRODUCT(Mecze[[#This Row],[/PR:90]:[/BR:90]],Brudnopis!$E$25:$J$25),0)</f>
        <v>0.109375</v>
      </c>
      <c r="V2529" s="44">
        <f>IF(Mecze[[#This Row],[Role]]&lt;&gt;"BR",SUMPRODUCT(Mecze[[#This Row],[/PR:90]:[/BR:90]],Brudnopis!$E$26:$J$26),0)</f>
        <v>8.3333333333333343E-2</v>
      </c>
      <c r="W2529" s="44">
        <f>IF(Mecze[[#This Row],[Role]]&lt;&gt;"BR",SUMPRODUCT(Mecze[[#This Row],[/PR:90]:[/BR:90]],Brudnopis!$E$27:$J$27),0)</f>
        <v>0.1015625</v>
      </c>
      <c r="X2529" s="44">
        <f>IF(Mecze[[#This Row],[Role]]&lt;&gt;"BR",SUMPRODUCT(Mecze[[#This Row],[/PR:90]:[/BR:90]],Brudnopis!$E$28:$J$28),0)</f>
        <v>5.2083333333333336E-2</v>
      </c>
      <c r="Y2529" s="35">
        <f>IF(Mecze[[#This Row],[Role]]="BR",Mecze[[#This Row],[/OB:90]]+Mecze[[#This Row],[/PC:90]],SUM(Mecze[[#This Row],[/PR:90]:[/BR:90]]))</f>
        <v>8.3333333333333343E-2</v>
      </c>
      <c r="Z2529" s="35">
        <f>IF(Mecze[[#This Row],[KC]]=0,SUM(Mecze[[#This Row],[/BRI]:[/NPI]]),SUM(Mecze[[#This Row],[/BRI]:[/NPI]])*0.6)</f>
        <v>0.43489583333333331</v>
      </c>
      <c r="AA2529" s="10">
        <f>IFERROR(Mecze[[#This Row],[BR]]/Mecze[[#This Row],[ST]],0)</f>
        <v>0</v>
      </c>
      <c r="AB2529">
        <f>ROUND(Mecze[[#This Row],[PD]]*Mecze[[#This Row],[%PC]],0)</f>
        <v>5</v>
      </c>
      <c r="AC2529">
        <f>ROUND(Mecze[[#This Row],[OD]]*Mecze[[#This Row],[%OU]],0)</f>
        <v>1</v>
      </c>
      <c r="AD2529" s="36" t="s">
        <v>41</v>
      </c>
      <c r="AE2529" s="36">
        <v>141</v>
      </c>
      <c r="AF2529" s="71">
        <v>5.24</v>
      </c>
      <c r="AG2529" s="37">
        <v>0</v>
      </c>
      <c r="AH2529" s="37">
        <v>0</v>
      </c>
      <c r="AI2529" s="37">
        <v>96</v>
      </c>
      <c r="AJ2529" s="37">
        <v>5</v>
      </c>
      <c r="AK2529" s="37" t="str">
        <f>VLOOKUP(Mecze[[#This Row],[Match ID]],Meczusie[Mecz]:Meczusie[RodzajMeczu],2,FALSE)</f>
        <v>Liga</v>
      </c>
    </row>
    <row r="2530" spans="1:37" x14ac:dyDescent="0.25">
      <c r="A2530" s="76">
        <v>7</v>
      </c>
      <c r="B2530" s="3" t="s">
        <v>350</v>
      </c>
      <c r="C2530" s="2" t="s">
        <v>160</v>
      </c>
      <c r="D2530" s="1">
        <v>0</v>
      </c>
      <c r="E2530" s="1">
        <v>2</v>
      </c>
      <c r="F2530" s="1">
        <v>2</v>
      </c>
      <c r="G2530" s="1">
        <v>9</v>
      </c>
      <c r="H2530" s="4">
        <v>0.78</v>
      </c>
      <c r="I2530" s="1">
        <v>2</v>
      </c>
      <c r="J2530" s="4">
        <v>0</v>
      </c>
      <c r="K2530" s="1">
        <v>0</v>
      </c>
      <c r="L2530" s="1">
        <v>3</v>
      </c>
      <c r="M2530" s="32">
        <f>IF(Mecze[[#This Row],[PR]]=0,0,Mecze[[#This Row],[PR]]/Mecze[[#This Row],[CZAS]])</f>
        <v>3.125E-2</v>
      </c>
      <c r="N2530" s="32">
        <f>IF(Mecze[[#This Row],[OU]]=0,0,Mecze[[#This Row],[OU]]/Mecze[[#This Row],[CZAS]])</f>
        <v>0</v>
      </c>
      <c r="O2530" s="32">
        <f>IF(Mecze[[#This Row],[PC]]=0,0,Mecze[[#This Row],[PC]]/Mecze[[#This Row],[CZAS]])</f>
        <v>7.2916666666666671E-2</v>
      </c>
      <c r="P2530" s="32">
        <f>IF(Mecze[[#This Row],[SC]]=0,0,Mecze[[#This Row],[SC]]/Mecze[[#This Row],[CZAS]])</f>
        <v>2.0833333333333332E-2</v>
      </c>
      <c r="Q2530" s="32">
        <f>IF(Mecze[[#This Row],[OB]]=0,0,Mecze[[#This Row],[OB]]/Mecze[[#This Row],[CZAS]])</f>
        <v>0</v>
      </c>
      <c r="R2530" s="32">
        <f>IF(Mecze[[#This Row],[BR]]=0,0,Mecze[[#This Row],[BR]]/Mecze[[#This Row],[CZAS]])</f>
        <v>0</v>
      </c>
      <c r="S2530" s="44">
        <f>IF(Mecze[[#This Row],[Role]]="BR",SUMPRODUCT(Mecze[[#This Row],[/PR:90]:[/BR:90]],Brudnopis!$E$23:$J$23),0)</f>
        <v>0</v>
      </c>
      <c r="T2530" s="44">
        <f>IF(Mecze[[#This Row],[Role]]&lt;&gt;"BR",SUMPRODUCT(Mecze[[#This Row],[/PR:90]:[/BR:90]],Brudnopis!$E$24:$J$24),0)</f>
        <v>0.125</v>
      </c>
      <c r="U2530" s="44">
        <f>IF(Mecze[[#This Row],[Role]]&lt;&gt;"BR",SUMPRODUCT(Mecze[[#This Row],[/PR:90]:[/BR:90]],Brudnopis!$E$25:$J$25),0)</f>
        <v>0.16145833333333334</v>
      </c>
      <c r="V2530" s="44">
        <f>IF(Mecze[[#This Row],[Role]]&lt;&gt;"BR",SUMPRODUCT(Mecze[[#This Row],[/PR:90]:[/BR:90]],Brudnopis!$E$26:$J$26),0)</f>
        <v>0.125</v>
      </c>
      <c r="W2530" s="44">
        <f>IF(Mecze[[#This Row],[Role]]&lt;&gt;"BR",SUMPRODUCT(Mecze[[#This Row],[/PR:90]:[/BR:90]],Brudnopis!$E$27:$J$27),0)</f>
        <v>0.15364583333333334</v>
      </c>
      <c r="X2530" s="44">
        <f>IF(Mecze[[#This Row],[Role]]&lt;&gt;"BR",SUMPRODUCT(Mecze[[#This Row],[/PR:90]:[/BR:90]],Brudnopis!$E$28:$J$28),0)</f>
        <v>0.11458333333333334</v>
      </c>
      <c r="Y2530" s="35">
        <f>IF(Mecze[[#This Row],[Role]]="BR",Mecze[[#This Row],[/OB:90]]+Mecze[[#This Row],[/PC:90]],SUM(Mecze[[#This Row],[/PR:90]:[/BR:90]]))</f>
        <v>0.125</v>
      </c>
      <c r="Z2530" s="35">
        <f>IF(Mecze[[#This Row],[KC]]=0,SUM(Mecze[[#This Row],[/BRI]:[/NPI]]),SUM(Mecze[[#This Row],[/BRI]:[/NPI]])*0.6)</f>
        <v>0.67968750000000011</v>
      </c>
      <c r="AA2530" s="10">
        <f>IFERROR(Mecze[[#This Row],[BR]]/Mecze[[#This Row],[ST]],0)</f>
        <v>0</v>
      </c>
      <c r="AB2530">
        <f>ROUND(Mecze[[#This Row],[PD]]*Mecze[[#This Row],[%PC]],0)</f>
        <v>7</v>
      </c>
      <c r="AC2530">
        <f>ROUND(Mecze[[#This Row],[OD]]*Mecze[[#This Row],[%OU]],0)</f>
        <v>0</v>
      </c>
      <c r="AD2530" s="36" t="s">
        <v>67</v>
      </c>
      <c r="AE2530" s="36">
        <v>141</v>
      </c>
      <c r="AF2530" s="71">
        <v>5</v>
      </c>
      <c r="AG2530" s="37">
        <v>0</v>
      </c>
      <c r="AH2530" s="37">
        <v>0</v>
      </c>
      <c r="AI2530" s="37">
        <v>96</v>
      </c>
      <c r="AJ2530" s="37">
        <v>5</v>
      </c>
      <c r="AK2530" s="37" t="str">
        <f>VLOOKUP(Mecze[[#This Row],[Match ID]],Meczusie[Mecz]:Meczusie[RodzajMeczu],2,FALSE)</f>
        <v>Liga</v>
      </c>
    </row>
    <row r="2531" spans="1:37" x14ac:dyDescent="0.25">
      <c r="A2531" s="76">
        <v>8</v>
      </c>
      <c r="B2531" s="3" t="s">
        <v>351</v>
      </c>
      <c r="C2531" s="2" t="s">
        <v>160</v>
      </c>
      <c r="D2531" s="1">
        <v>1</v>
      </c>
      <c r="E2531" s="1">
        <v>5</v>
      </c>
      <c r="F2531" s="1">
        <v>4</v>
      </c>
      <c r="G2531" s="1">
        <v>13</v>
      </c>
      <c r="H2531" s="4">
        <v>0.46</v>
      </c>
      <c r="I2531" s="1">
        <v>11</v>
      </c>
      <c r="J2531" s="4">
        <v>0.55000000000000004</v>
      </c>
      <c r="K2531" s="1">
        <v>0</v>
      </c>
      <c r="L2531" s="1">
        <v>7</v>
      </c>
      <c r="M2531" s="32">
        <f>IF(Mecze[[#This Row],[PR]]=0,0,Mecze[[#This Row],[PR]]/Mecze[[#This Row],[CZAS]])</f>
        <v>7.2916666666666671E-2</v>
      </c>
      <c r="N2531" s="32">
        <f>IF(Mecze[[#This Row],[OU]]=0,0,Mecze[[#This Row],[OU]]/Mecze[[#This Row],[CZAS]])</f>
        <v>6.25E-2</v>
      </c>
      <c r="O2531" s="32">
        <f>IF(Mecze[[#This Row],[PC]]=0,0,Mecze[[#This Row],[PC]]/Mecze[[#This Row],[CZAS]])</f>
        <v>6.25E-2</v>
      </c>
      <c r="P2531" s="32">
        <f>IF(Mecze[[#This Row],[SC]]=0,0,Mecze[[#This Row],[SC]]/Mecze[[#This Row],[CZAS]])</f>
        <v>4.1666666666666664E-2</v>
      </c>
      <c r="Q2531" s="32">
        <f>IF(Mecze[[#This Row],[OB]]=0,0,Mecze[[#This Row],[OB]]/Mecze[[#This Row],[CZAS]])</f>
        <v>0</v>
      </c>
      <c r="R2531" s="32">
        <f>IF(Mecze[[#This Row],[BR]]=0,0,Mecze[[#This Row],[BR]]/Mecze[[#This Row],[CZAS]])</f>
        <v>1.0416666666666666E-2</v>
      </c>
      <c r="S2531" s="44">
        <f>IF(Mecze[[#This Row],[Role]]="BR",SUMPRODUCT(Mecze[[#This Row],[/PR:90]:[/BR:90]],Brudnopis!$E$23:$J$23),0)</f>
        <v>0</v>
      </c>
      <c r="T2531" s="44">
        <f>IF(Mecze[[#This Row],[Role]]&lt;&gt;"BR",SUMPRODUCT(Mecze[[#This Row],[/PR:90]:[/BR:90]],Brudnopis!$E$24:$J$24),0)</f>
        <v>0.28645833333333337</v>
      </c>
      <c r="U2531" s="44">
        <f>IF(Mecze[[#This Row],[Role]]&lt;&gt;"BR",SUMPRODUCT(Mecze[[#This Row],[/PR:90]:[/BR:90]],Brudnopis!$E$25:$J$25),0)</f>
        <v>0.28645833333333337</v>
      </c>
      <c r="V2531" s="44">
        <f>IF(Mecze[[#This Row],[Role]]&lt;&gt;"BR",SUMPRODUCT(Mecze[[#This Row],[/PR:90]:[/BR:90]],Brudnopis!$E$26:$J$26),0)</f>
        <v>0.26041666666666669</v>
      </c>
      <c r="W2531" s="44">
        <f>IF(Mecze[[#This Row],[Role]]&lt;&gt;"BR",SUMPRODUCT(Mecze[[#This Row],[/PR:90]:[/BR:90]],Brudnopis!$E$27:$J$27),0)</f>
        <v>0.2578125</v>
      </c>
      <c r="X2531" s="44">
        <f>IF(Mecze[[#This Row],[Role]]&lt;&gt;"BR",SUMPRODUCT(Mecze[[#This Row],[/PR:90]:[/BR:90]],Brudnopis!$E$28:$J$28),0)</f>
        <v>0.17708333333333331</v>
      </c>
      <c r="Y2531" s="35">
        <f>IF(Mecze[[#This Row],[Role]]="BR",Mecze[[#This Row],[/OB:90]]+Mecze[[#This Row],[/PC:90]],SUM(Mecze[[#This Row],[/PR:90]:[/BR:90]]))</f>
        <v>0.25</v>
      </c>
      <c r="Z2531" s="35">
        <f>IF(Mecze[[#This Row],[KC]]=0,SUM(Mecze[[#This Row],[/BRI]:[/NPI]]),SUM(Mecze[[#This Row],[/BRI]:[/NPI]])*0.6)</f>
        <v>1.2682291666666667</v>
      </c>
      <c r="AA2531" s="10">
        <f>IFERROR(Mecze[[#This Row],[BR]]/Mecze[[#This Row],[ST]],0)</f>
        <v>0.2</v>
      </c>
      <c r="AB2531">
        <f>ROUND(Mecze[[#This Row],[PD]]*Mecze[[#This Row],[%PC]],0)</f>
        <v>6</v>
      </c>
      <c r="AC2531">
        <f>ROUND(Mecze[[#This Row],[OD]]*Mecze[[#This Row],[%OU]],0)</f>
        <v>6</v>
      </c>
      <c r="AD2531" s="36" t="s">
        <v>67</v>
      </c>
      <c r="AE2531" s="36">
        <v>141</v>
      </c>
      <c r="AF2531" s="71">
        <v>7.2</v>
      </c>
      <c r="AG2531" s="37">
        <v>0</v>
      </c>
      <c r="AH2531" s="37">
        <v>0</v>
      </c>
      <c r="AI2531" s="37">
        <v>96</v>
      </c>
      <c r="AJ2531" s="37">
        <v>5</v>
      </c>
      <c r="AK2531" s="37" t="str">
        <f>VLOOKUP(Mecze[[#This Row],[Match ID]],Meczusie[Mecz]:Meczusie[RodzajMeczu],2,FALSE)</f>
        <v>Liga</v>
      </c>
    </row>
    <row r="2532" spans="1:37" x14ac:dyDescent="0.25">
      <c r="A2532" s="76">
        <v>11</v>
      </c>
      <c r="B2532" s="3" t="s">
        <v>353</v>
      </c>
      <c r="C2532" s="2" t="s">
        <v>165</v>
      </c>
      <c r="D2532" s="1">
        <v>1</v>
      </c>
      <c r="E2532" s="1">
        <v>4</v>
      </c>
      <c r="F2532" s="1">
        <v>4</v>
      </c>
      <c r="G2532" s="1">
        <v>10</v>
      </c>
      <c r="H2532" s="4">
        <v>0.6</v>
      </c>
      <c r="I2532" s="1">
        <v>7</v>
      </c>
      <c r="J2532" s="4">
        <v>0.43</v>
      </c>
      <c r="K2532" s="1">
        <v>0</v>
      </c>
      <c r="L2532" s="1">
        <v>0</v>
      </c>
      <c r="M2532" s="32">
        <f>IF(Mecze[[#This Row],[PR]]=0,0,Mecze[[#This Row],[PR]]/Mecze[[#This Row],[CZAS]])</f>
        <v>0</v>
      </c>
      <c r="N2532" s="32">
        <f>IF(Mecze[[#This Row],[OU]]=0,0,Mecze[[#This Row],[OU]]/Mecze[[#This Row],[CZAS]])</f>
        <v>3.125E-2</v>
      </c>
      <c r="O2532" s="32">
        <f>IF(Mecze[[#This Row],[PC]]=0,0,Mecze[[#This Row],[PC]]/Mecze[[#This Row],[CZAS]])</f>
        <v>6.25E-2</v>
      </c>
      <c r="P2532" s="32">
        <f>IF(Mecze[[#This Row],[SC]]=0,0,Mecze[[#This Row],[SC]]/Mecze[[#This Row],[CZAS]])</f>
        <v>4.1666666666666664E-2</v>
      </c>
      <c r="Q2532" s="32">
        <f>IF(Mecze[[#This Row],[OB]]=0,0,Mecze[[#This Row],[OB]]/Mecze[[#This Row],[CZAS]])</f>
        <v>0</v>
      </c>
      <c r="R2532" s="32">
        <f>IF(Mecze[[#This Row],[BR]]=0,0,Mecze[[#This Row],[BR]]/Mecze[[#This Row],[CZAS]])</f>
        <v>1.0416666666666666E-2</v>
      </c>
      <c r="S2532" s="44">
        <f>IF(Mecze[[#This Row],[Role]]="BR",SUMPRODUCT(Mecze[[#This Row],[/PR:90]:[/BR:90]],Brudnopis!$E$23:$J$23),0)</f>
        <v>0</v>
      </c>
      <c r="T2532" s="44">
        <f>IF(Mecze[[#This Row],[Role]]&lt;&gt;"BR",SUMPRODUCT(Mecze[[#This Row],[/PR:90]:[/BR:90]],Brudnopis!$E$24:$J$24),0)</f>
        <v>0.16666666666666666</v>
      </c>
      <c r="U2532" s="44">
        <f>IF(Mecze[[#This Row],[Role]]&lt;&gt;"BR",SUMPRODUCT(Mecze[[#This Row],[/PR:90]:[/BR:90]],Brudnopis!$E$25:$J$25),0)</f>
        <v>0.18229166666666666</v>
      </c>
      <c r="V2532" s="44">
        <f>IF(Mecze[[#This Row],[Role]]&lt;&gt;"BR",SUMPRODUCT(Mecze[[#This Row],[/PR:90]:[/BR:90]],Brudnopis!$E$26:$J$26),0)</f>
        <v>0.15625</v>
      </c>
      <c r="W2532" s="44">
        <f>IF(Mecze[[#This Row],[Role]]&lt;&gt;"BR",SUMPRODUCT(Mecze[[#This Row],[/PR:90]:[/BR:90]],Brudnopis!$E$27:$J$27),0)</f>
        <v>0.1796875</v>
      </c>
      <c r="X2532" s="44">
        <f>IF(Mecze[[#This Row],[Role]]&lt;&gt;"BR",SUMPRODUCT(Mecze[[#This Row],[/PR:90]:[/BR:90]],Brudnopis!$E$28:$J$28),0)</f>
        <v>0.17708333333333331</v>
      </c>
      <c r="Y2532" s="35">
        <f>IF(Mecze[[#This Row],[Role]]="BR",Mecze[[#This Row],[/OB:90]]+Mecze[[#This Row],[/PC:90]],SUM(Mecze[[#This Row],[/PR:90]:[/BR:90]]))</f>
        <v>0.14583333333333331</v>
      </c>
      <c r="Z2532" s="35">
        <f>IF(Mecze[[#This Row],[KC]]=0,SUM(Mecze[[#This Row],[/BRI]:[/NPI]]),SUM(Mecze[[#This Row],[/BRI]:[/NPI]])*0.6)</f>
        <v>0.86197916666666652</v>
      </c>
      <c r="AA2532" s="10">
        <f>IFERROR(Mecze[[#This Row],[BR]]/Mecze[[#This Row],[ST]],0)</f>
        <v>0.25</v>
      </c>
      <c r="AB2532">
        <f>ROUND(Mecze[[#This Row],[PD]]*Mecze[[#This Row],[%PC]],0)</f>
        <v>6</v>
      </c>
      <c r="AC2532">
        <f>ROUND(Mecze[[#This Row],[OD]]*Mecze[[#This Row],[%OU]],0)</f>
        <v>3</v>
      </c>
      <c r="AD2532" s="36" t="s">
        <v>46</v>
      </c>
      <c r="AE2532" s="36">
        <v>141</v>
      </c>
      <c r="AF2532" s="71">
        <v>7.22</v>
      </c>
      <c r="AG2532" s="37">
        <v>0</v>
      </c>
      <c r="AH2532" s="37">
        <v>0</v>
      </c>
      <c r="AI2532" s="37">
        <v>96</v>
      </c>
      <c r="AJ2532" s="37">
        <v>5</v>
      </c>
      <c r="AK2532" s="37" t="str">
        <f>VLOOKUP(Mecze[[#This Row],[Match ID]],Meczusie[Mecz]:Meczusie[RodzajMeczu],2,FALSE)</f>
        <v>Liga</v>
      </c>
    </row>
    <row r="2533" spans="1:37" x14ac:dyDescent="0.25">
      <c r="A2533" s="76">
        <v>10</v>
      </c>
      <c r="B2533" s="3" t="s">
        <v>352</v>
      </c>
      <c r="C2533" s="2" t="s">
        <v>165</v>
      </c>
      <c r="D2533" s="1">
        <v>0</v>
      </c>
      <c r="E2533" s="1">
        <v>2</v>
      </c>
      <c r="F2533" s="1">
        <v>2</v>
      </c>
      <c r="G2533" s="1">
        <v>8</v>
      </c>
      <c r="H2533" s="4">
        <v>0.75</v>
      </c>
      <c r="I2533" s="1">
        <v>2</v>
      </c>
      <c r="J2533" s="4">
        <v>0.5</v>
      </c>
      <c r="K2533" s="1">
        <v>0</v>
      </c>
      <c r="L2533" s="1">
        <v>0</v>
      </c>
      <c r="M2533" s="32">
        <f>IF(Mecze[[#This Row],[PR]]=0,0,Mecze[[#This Row],[PR]]/Mecze[[#This Row],[CZAS]])</f>
        <v>0</v>
      </c>
      <c r="N2533" s="32">
        <f>IF(Mecze[[#This Row],[OU]]=0,0,Mecze[[#This Row],[OU]]/Mecze[[#This Row],[CZAS]])</f>
        <v>1.0416666666666666E-2</v>
      </c>
      <c r="O2533" s="32">
        <f>IF(Mecze[[#This Row],[PC]]=0,0,Mecze[[#This Row],[PC]]/Mecze[[#This Row],[CZAS]])</f>
        <v>6.25E-2</v>
      </c>
      <c r="P2533" s="32">
        <f>IF(Mecze[[#This Row],[SC]]=0,0,Mecze[[#This Row],[SC]]/Mecze[[#This Row],[CZAS]])</f>
        <v>2.0833333333333332E-2</v>
      </c>
      <c r="Q2533" s="32">
        <f>IF(Mecze[[#This Row],[OB]]=0,0,Mecze[[#This Row],[OB]]/Mecze[[#This Row],[CZAS]])</f>
        <v>0</v>
      </c>
      <c r="R2533" s="32">
        <f>IF(Mecze[[#This Row],[BR]]=0,0,Mecze[[#This Row],[BR]]/Mecze[[#This Row],[CZAS]])</f>
        <v>0</v>
      </c>
      <c r="S2533" s="44">
        <f>IF(Mecze[[#This Row],[Role]]="BR",SUMPRODUCT(Mecze[[#This Row],[/PR:90]:[/BR:90]],Brudnopis!$E$23:$J$23),0)</f>
        <v>0</v>
      </c>
      <c r="T2533" s="44">
        <f>IF(Mecze[[#This Row],[Role]]&lt;&gt;"BR",SUMPRODUCT(Mecze[[#This Row],[/PR:90]:[/BR:90]],Brudnopis!$E$24:$J$24),0)</f>
        <v>9.8958333333333329E-2</v>
      </c>
      <c r="U2533" s="44">
        <f>IF(Mecze[[#This Row],[Role]]&lt;&gt;"BR",SUMPRODUCT(Mecze[[#This Row],[/PR:90]:[/BR:90]],Brudnopis!$E$25:$J$25),0)</f>
        <v>0.125</v>
      </c>
      <c r="V2533" s="44">
        <f>IF(Mecze[[#This Row],[Role]]&lt;&gt;"BR",SUMPRODUCT(Mecze[[#This Row],[/PR:90]:[/BR:90]],Brudnopis!$E$26:$J$26),0)</f>
        <v>9.375E-2</v>
      </c>
      <c r="W2533" s="44">
        <f>IF(Mecze[[#This Row],[Role]]&lt;&gt;"BR",SUMPRODUCT(Mecze[[#This Row],[/PR:90]:[/BR:90]],Brudnopis!$E$27:$J$27),0)</f>
        <v>0.12239583333333333</v>
      </c>
      <c r="X2533" s="44">
        <f>IF(Mecze[[#This Row],[Role]]&lt;&gt;"BR",SUMPRODUCT(Mecze[[#This Row],[/PR:90]:[/BR:90]],Brudnopis!$E$28:$J$28),0)</f>
        <v>0.10416666666666666</v>
      </c>
      <c r="Y2533" s="35">
        <f>IF(Mecze[[#This Row],[Role]]="BR",Mecze[[#This Row],[/OB:90]]+Mecze[[#This Row],[/PC:90]],SUM(Mecze[[#This Row],[/PR:90]:[/BR:90]]))</f>
        <v>9.375E-2</v>
      </c>
      <c r="Z2533" s="35">
        <f>IF(Mecze[[#This Row],[KC]]=0,SUM(Mecze[[#This Row],[/BRI]:[/NPI]]),SUM(Mecze[[#This Row],[/BRI]:[/NPI]])*0.6)</f>
        <v>0.54427083333333326</v>
      </c>
      <c r="AA2533" s="10">
        <f>IFERROR(Mecze[[#This Row],[BR]]/Mecze[[#This Row],[ST]],0)</f>
        <v>0</v>
      </c>
      <c r="AB2533">
        <f>ROUND(Mecze[[#This Row],[PD]]*Mecze[[#This Row],[%PC]],0)</f>
        <v>6</v>
      </c>
      <c r="AC2533">
        <f>ROUND(Mecze[[#This Row],[OD]]*Mecze[[#This Row],[%OU]],0)</f>
        <v>1</v>
      </c>
      <c r="AD2533" s="36" t="s">
        <v>272</v>
      </c>
      <c r="AE2533" s="36">
        <v>141</v>
      </c>
      <c r="AF2533" s="71">
        <v>4.4800000000000004</v>
      </c>
      <c r="AG2533" s="37">
        <v>0</v>
      </c>
      <c r="AH2533" s="37">
        <v>0</v>
      </c>
      <c r="AI2533" s="37">
        <v>96</v>
      </c>
      <c r="AJ2533" s="37">
        <v>5</v>
      </c>
      <c r="AK2533" s="37" t="str">
        <f>VLOOKUP(Mecze[[#This Row],[Match ID]],Meczusie[Mecz]:Meczusie[RodzajMeczu],2,FALSE)</f>
        <v>Liga</v>
      </c>
    </row>
    <row r="2534" spans="1:37" x14ac:dyDescent="0.25">
      <c r="A2534" s="76">
        <v>9</v>
      </c>
      <c r="B2534" s="3" t="s">
        <v>354</v>
      </c>
      <c r="C2534" s="2" t="s">
        <v>165</v>
      </c>
      <c r="D2534" s="1">
        <v>0</v>
      </c>
      <c r="E2534" s="1">
        <v>0</v>
      </c>
      <c r="F2534" s="1">
        <v>0</v>
      </c>
      <c r="G2534" s="1">
        <v>9</v>
      </c>
      <c r="H2534" s="4">
        <v>1</v>
      </c>
      <c r="I2534" s="1">
        <v>4</v>
      </c>
      <c r="J2534" s="4">
        <v>0.5</v>
      </c>
      <c r="K2534" s="1">
        <v>0</v>
      </c>
      <c r="L2534" s="1">
        <v>0</v>
      </c>
      <c r="M2534" s="32">
        <f>IF(Mecze[[#This Row],[PR]]=0,0,Mecze[[#This Row],[PR]]/Mecze[[#This Row],[CZAS]])</f>
        <v>0</v>
      </c>
      <c r="N2534" s="32">
        <f>IF(Mecze[[#This Row],[OU]]=0,0,Mecze[[#This Row],[OU]]/Mecze[[#This Row],[CZAS]])</f>
        <v>2.0833333333333332E-2</v>
      </c>
      <c r="O2534" s="32">
        <f>IF(Mecze[[#This Row],[PC]]=0,0,Mecze[[#This Row],[PC]]/Mecze[[#This Row],[CZAS]])</f>
        <v>9.375E-2</v>
      </c>
      <c r="P2534" s="32">
        <f>IF(Mecze[[#This Row],[SC]]=0,0,Mecze[[#This Row],[SC]]/Mecze[[#This Row],[CZAS]])</f>
        <v>0</v>
      </c>
      <c r="Q2534" s="32">
        <f>IF(Mecze[[#This Row],[OB]]=0,0,Mecze[[#This Row],[OB]]/Mecze[[#This Row],[CZAS]])</f>
        <v>0</v>
      </c>
      <c r="R2534" s="32">
        <f>IF(Mecze[[#This Row],[BR]]=0,0,Mecze[[#This Row],[BR]]/Mecze[[#This Row],[CZAS]])</f>
        <v>0</v>
      </c>
      <c r="S2534" s="44">
        <f>IF(Mecze[[#This Row],[Role]]="BR",SUMPRODUCT(Mecze[[#This Row],[/PR:90]:[/BR:90]],Brudnopis!$E$23:$J$23),0)</f>
        <v>0</v>
      </c>
      <c r="T2534" s="44">
        <f>IF(Mecze[[#This Row],[Role]]&lt;&gt;"BR",SUMPRODUCT(Mecze[[#This Row],[/PR:90]:[/BR:90]],Brudnopis!$E$24:$J$24),0)</f>
        <v>0.125</v>
      </c>
      <c r="U2534" s="44">
        <f>IF(Mecze[[#This Row],[Role]]&lt;&gt;"BR",SUMPRODUCT(Mecze[[#This Row],[/PR:90]:[/BR:90]],Brudnopis!$E$25:$J$25),0)</f>
        <v>0.16145833333333334</v>
      </c>
      <c r="V2534" s="44">
        <f>IF(Mecze[[#This Row],[Role]]&lt;&gt;"BR",SUMPRODUCT(Mecze[[#This Row],[/PR:90]:[/BR:90]],Brudnopis!$E$26:$J$26),0)</f>
        <v>0.11458333333333333</v>
      </c>
      <c r="W2534" s="44">
        <f>IF(Mecze[[#This Row],[Role]]&lt;&gt;"BR",SUMPRODUCT(Mecze[[#This Row],[/PR:90]:[/BR:90]],Brudnopis!$E$27:$J$27),0)</f>
        <v>0.15625</v>
      </c>
      <c r="X2534" s="44">
        <f>IF(Mecze[[#This Row],[Role]]&lt;&gt;"BR",SUMPRODUCT(Mecze[[#This Row],[/PR:90]:[/BR:90]],Brudnopis!$E$28:$J$28),0)</f>
        <v>9.375E-2</v>
      </c>
      <c r="Y2534" s="35">
        <f>IF(Mecze[[#This Row],[Role]]="BR",Mecze[[#This Row],[/OB:90]]+Mecze[[#This Row],[/PC:90]],SUM(Mecze[[#This Row],[/PR:90]:[/BR:90]]))</f>
        <v>0.11458333333333333</v>
      </c>
      <c r="Z2534" s="35">
        <f>IF(Mecze[[#This Row],[KC]]=0,SUM(Mecze[[#This Row],[/BRI]:[/NPI]]),SUM(Mecze[[#This Row],[/BRI]:[/NPI]])*0.6)</f>
        <v>0.65104166666666674</v>
      </c>
      <c r="AA2534" s="10">
        <f>IFERROR(Mecze[[#This Row],[BR]]/Mecze[[#This Row],[ST]],0)</f>
        <v>0</v>
      </c>
      <c r="AB2534">
        <f>ROUND(Mecze[[#This Row],[PD]]*Mecze[[#This Row],[%PC]],0)</f>
        <v>9</v>
      </c>
      <c r="AC2534">
        <f>ROUND(Mecze[[#This Row],[OD]]*Mecze[[#This Row],[%OU]],0)</f>
        <v>2</v>
      </c>
      <c r="AD2534" s="36" t="s">
        <v>273</v>
      </c>
      <c r="AE2534" s="36">
        <v>141</v>
      </c>
      <c r="AF2534" s="71">
        <v>5.85</v>
      </c>
      <c r="AG2534" s="37">
        <v>0</v>
      </c>
      <c r="AH2534" s="37">
        <v>0</v>
      </c>
      <c r="AI2534" s="37">
        <v>96</v>
      </c>
      <c r="AJ2534" s="37">
        <v>5</v>
      </c>
      <c r="AK2534" s="37" t="str">
        <f>VLOOKUP(Mecze[[#This Row],[Match ID]],Meczusie[Mecz]:Meczusie[RodzajMeczu],2,FALSE)</f>
        <v>Liga</v>
      </c>
    </row>
    <row r="2535" spans="1:37" x14ac:dyDescent="0.25">
      <c r="A2535" s="76">
        <v>102</v>
      </c>
      <c r="B2535" s="3" t="s">
        <v>417</v>
      </c>
      <c r="C2535" s="2" t="s">
        <v>155</v>
      </c>
      <c r="D2535" s="1">
        <v>0</v>
      </c>
      <c r="E2535" s="1">
        <v>0</v>
      </c>
      <c r="F2535" s="1">
        <v>0</v>
      </c>
      <c r="G2535" s="1">
        <v>11</v>
      </c>
      <c r="H2535" s="4">
        <v>0.73</v>
      </c>
      <c r="I2535" s="1">
        <v>0</v>
      </c>
      <c r="J2535" s="4"/>
      <c r="K2535" s="1">
        <v>9</v>
      </c>
      <c r="L2535" s="1">
        <v>0</v>
      </c>
      <c r="M2535" s="32">
        <f>IF(Mecze[[#This Row],[PR]]=0,0,Mecze[[#This Row],[PR]]/Mecze[[#This Row],[CZAS]])</f>
        <v>0</v>
      </c>
      <c r="N2535" s="32">
        <f>IF(Mecze[[#This Row],[OU]]=0,0,Mecze[[#This Row],[OU]]/Mecze[[#This Row],[CZAS]])</f>
        <v>0</v>
      </c>
      <c r="O2535" s="32">
        <f>IF(Mecze[[#This Row],[PC]]=0,0,Mecze[[#This Row],[PC]]/Mecze[[#This Row],[CZAS]])</f>
        <v>8.3333333333333329E-2</v>
      </c>
      <c r="P2535" s="32">
        <f>IF(Mecze[[#This Row],[SC]]=0,0,Mecze[[#This Row],[SC]]/Mecze[[#This Row],[CZAS]])</f>
        <v>0</v>
      </c>
      <c r="Q2535" s="32">
        <f>IF(Mecze[[#This Row],[OB]]=0,0,Mecze[[#This Row],[OB]]/Mecze[[#This Row],[CZAS]])</f>
        <v>9.375E-2</v>
      </c>
      <c r="R2535" s="32">
        <f>IF(Mecze[[#This Row],[BR]]=0,0,Mecze[[#This Row],[BR]]/Mecze[[#This Row],[CZAS]])</f>
        <v>0</v>
      </c>
      <c r="S2535" s="44">
        <f>IF(Mecze[[#This Row],[Role]]="BR",SUMPRODUCT(Mecze[[#This Row],[/PR:90]:[/BR:90]],Brudnopis!$E$23:$J$23),0)</f>
        <v>0.53125</v>
      </c>
      <c r="T2535" s="44">
        <f>IF(Mecze[[#This Row],[Role]]&lt;&gt;"BR",SUMPRODUCT(Mecze[[#This Row],[/PR:90]:[/BR:90]],Brudnopis!$E$24:$J$24),0)</f>
        <v>0</v>
      </c>
      <c r="U2535" s="44">
        <f>IF(Mecze[[#This Row],[Role]]&lt;&gt;"BR",SUMPRODUCT(Mecze[[#This Row],[/PR:90]:[/BR:90]],Brudnopis!$E$25:$J$25),0)</f>
        <v>0</v>
      </c>
      <c r="V2535" s="44">
        <f>IF(Mecze[[#This Row],[Role]]&lt;&gt;"BR",SUMPRODUCT(Mecze[[#This Row],[/PR:90]:[/BR:90]],Brudnopis!$E$26:$J$26),0)</f>
        <v>0</v>
      </c>
      <c r="W2535" s="44">
        <f>IF(Mecze[[#This Row],[Role]]&lt;&gt;"BR",SUMPRODUCT(Mecze[[#This Row],[/PR:90]:[/BR:90]],Brudnopis!$E$27:$J$27),0)</f>
        <v>0</v>
      </c>
      <c r="X2535" s="44">
        <f>IF(Mecze[[#This Row],[Role]]&lt;&gt;"BR",SUMPRODUCT(Mecze[[#This Row],[/PR:90]:[/BR:90]],Brudnopis!$E$28:$J$28),0)</f>
        <v>0</v>
      </c>
      <c r="Y2535" s="35">
        <f>IF(Mecze[[#This Row],[Role]]="BR",Mecze[[#This Row],[/OB:90]]+Mecze[[#This Row],[/PC:90]],SUM(Mecze[[#This Row],[/PR:90]:[/BR:90]]))</f>
        <v>0.17708333333333331</v>
      </c>
      <c r="Z2535" s="35">
        <f>IF(Mecze[[#This Row],[KC]]=0,SUM(Mecze[[#This Row],[/BRI]:[/NPI]]),SUM(Mecze[[#This Row],[/BRI]:[/NPI]])*0.6)</f>
        <v>0.53125</v>
      </c>
      <c r="AA2535" s="10">
        <f>IFERROR(Mecze[[#This Row],[BR]]/Mecze[[#This Row],[ST]],0)</f>
        <v>0</v>
      </c>
      <c r="AB2535">
        <f>ROUND(Mecze[[#This Row],[PD]]*Mecze[[#This Row],[%PC]],0)</f>
        <v>8</v>
      </c>
      <c r="AC2535">
        <f>ROUND(Mecze[[#This Row],[OD]]*Mecze[[#This Row],[%OU]],0)</f>
        <v>0</v>
      </c>
      <c r="AD2535" s="36" t="s">
        <v>40</v>
      </c>
      <c r="AE2535" s="36">
        <v>141</v>
      </c>
      <c r="AF2535" s="71">
        <v>7.18</v>
      </c>
      <c r="AG2535" s="37">
        <v>0</v>
      </c>
      <c r="AH2535" s="37">
        <v>0</v>
      </c>
      <c r="AI2535" s="37">
        <v>96</v>
      </c>
      <c r="AJ2535" s="37">
        <v>6</v>
      </c>
      <c r="AK2535" s="37" t="str">
        <f>VLOOKUP(Mecze[[#This Row],[Match ID]],Meczusie[Mecz]:Meczusie[RodzajMeczu],2,FALSE)</f>
        <v>Liga</v>
      </c>
    </row>
    <row r="2536" spans="1:37" x14ac:dyDescent="0.25">
      <c r="A2536" s="76">
        <v>101</v>
      </c>
      <c r="B2536" s="3" t="s">
        <v>248</v>
      </c>
      <c r="C2536" s="2" t="s">
        <v>157</v>
      </c>
      <c r="D2536" s="1">
        <v>0</v>
      </c>
      <c r="E2536" s="1">
        <v>0</v>
      </c>
      <c r="F2536" s="1">
        <v>0</v>
      </c>
      <c r="G2536" s="1">
        <v>8</v>
      </c>
      <c r="H2536" s="4">
        <v>0.75</v>
      </c>
      <c r="I2536" s="1">
        <v>9</v>
      </c>
      <c r="J2536" s="4">
        <v>0.67</v>
      </c>
      <c r="K2536" s="1">
        <v>0</v>
      </c>
      <c r="L2536" s="1">
        <v>5</v>
      </c>
      <c r="M2536" s="32">
        <f>IF(Mecze[[#This Row],[PR]]=0,0,Mecze[[#This Row],[PR]]/Mecze[[#This Row],[CZAS]])</f>
        <v>7.8125E-2</v>
      </c>
      <c r="N2536" s="32">
        <f>IF(Mecze[[#This Row],[OU]]=0,0,Mecze[[#This Row],[OU]]/Mecze[[#This Row],[CZAS]])</f>
        <v>9.375E-2</v>
      </c>
      <c r="O2536" s="32">
        <f>IF(Mecze[[#This Row],[PC]]=0,0,Mecze[[#This Row],[PC]]/Mecze[[#This Row],[CZAS]])</f>
        <v>9.375E-2</v>
      </c>
      <c r="P2536" s="32">
        <f>IF(Mecze[[#This Row],[SC]]=0,0,Mecze[[#This Row],[SC]]/Mecze[[#This Row],[CZAS]])</f>
        <v>0</v>
      </c>
      <c r="Q2536" s="32">
        <f>IF(Mecze[[#This Row],[OB]]=0,0,Mecze[[#This Row],[OB]]/Mecze[[#This Row],[CZAS]])</f>
        <v>0</v>
      </c>
      <c r="R2536" s="32">
        <f>IF(Mecze[[#This Row],[BR]]=0,0,Mecze[[#This Row],[BR]]/Mecze[[#This Row],[CZAS]])</f>
        <v>0</v>
      </c>
      <c r="S2536" s="44">
        <f>IF(Mecze[[#This Row],[Role]]="BR",SUMPRODUCT(Mecze[[#This Row],[/PR:90]:[/BR:90]],Brudnopis!$E$23:$J$23),0)</f>
        <v>0</v>
      </c>
      <c r="T2536" s="44">
        <f>IF(Mecze[[#This Row],[Role]]&lt;&gt;"BR",SUMPRODUCT(Mecze[[#This Row],[/PR:90]:[/BR:90]],Brudnopis!$E$24:$J$24),0)</f>
        <v>0.3125</v>
      </c>
      <c r="U2536" s="44">
        <f>IF(Mecze[[#This Row],[Role]]&lt;&gt;"BR",SUMPRODUCT(Mecze[[#This Row],[/PR:90]:[/BR:90]],Brudnopis!$E$25:$J$25),0)</f>
        <v>0.3125</v>
      </c>
      <c r="V2536" s="44">
        <f>IF(Mecze[[#This Row],[Role]]&lt;&gt;"BR",SUMPRODUCT(Mecze[[#This Row],[/PR:90]:[/BR:90]],Brudnopis!$E$26:$J$26),0)</f>
        <v>0.265625</v>
      </c>
      <c r="W2536" s="44">
        <f>IF(Mecze[[#This Row],[Role]]&lt;&gt;"BR",SUMPRODUCT(Mecze[[#This Row],[/PR:90]:[/BR:90]],Brudnopis!$E$27:$J$27),0)</f>
        <v>0.26953125</v>
      </c>
      <c r="X2536" s="44">
        <f>IF(Mecze[[#This Row],[Role]]&lt;&gt;"BR",SUMPRODUCT(Mecze[[#This Row],[/PR:90]:[/BR:90]],Brudnopis!$E$28:$J$28),0)</f>
        <v>9.375E-2</v>
      </c>
      <c r="Y2536" s="35">
        <f>IF(Mecze[[#This Row],[Role]]="BR",Mecze[[#This Row],[/OB:90]]+Mecze[[#This Row],[/PC:90]],SUM(Mecze[[#This Row],[/PR:90]:[/BR:90]]))</f>
        <v>0.265625</v>
      </c>
      <c r="Z2536" s="35">
        <f>IF(Mecze[[#This Row],[KC]]=0,SUM(Mecze[[#This Row],[/BRI]:[/NPI]]),SUM(Mecze[[#This Row],[/BRI]:[/NPI]])*0.6)</f>
        <v>0.75234374999999998</v>
      </c>
      <c r="AA2536" s="10">
        <f>IFERROR(Mecze[[#This Row],[BR]]/Mecze[[#This Row],[ST]],0)</f>
        <v>0</v>
      </c>
      <c r="AB2536">
        <f>ROUND(Mecze[[#This Row],[PD]]*Mecze[[#This Row],[%PC]],0)</f>
        <v>6</v>
      </c>
      <c r="AC2536">
        <f>ROUND(Mecze[[#This Row],[OD]]*Mecze[[#This Row],[%OU]],0)</f>
        <v>6</v>
      </c>
      <c r="AD2536" s="36" t="s">
        <v>47</v>
      </c>
      <c r="AE2536" s="36">
        <v>141</v>
      </c>
      <c r="AF2536" s="71">
        <v>2.77</v>
      </c>
      <c r="AG2536" s="37">
        <v>0</v>
      </c>
      <c r="AH2536" s="37">
        <v>1</v>
      </c>
      <c r="AI2536" s="37">
        <v>64</v>
      </c>
      <c r="AJ2536" s="37">
        <v>6</v>
      </c>
      <c r="AK2536" s="37" t="str">
        <f>VLOOKUP(Mecze[[#This Row],[Match ID]],Meczusie[Mecz]:Meczusie[RodzajMeczu],2,FALSE)</f>
        <v>Liga</v>
      </c>
    </row>
    <row r="2537" spans="1:37" x14ac:dyDescent="0.25">
      <c r="A2537" s="76">
        <v>2</v>
      </c>
      <c r="B2537" s="3" t="s">
        <v>249</v>
      </c>
      <c r="C2537" s="2" t="s">
        <v>157</v>
      </c>
      <c r="D2537" s="1">
        <v>0</v>
      </c>
      <c r="E2537" s="1">
        <v>0</v>
      </c>
      <c r="F2537" s="1">
        <v>0</v>
      </c>
      <c r="G2537" s="1">
        <v>4</v>
      </c>
      <c r="H2537" s="4">
        <v>0.75</v>
      </c>
      <c r="I2537" s="1">
        <v>3</v>
      </c>
      <c r="J2537" s="4">
        <v>0.33</v>
      </c>
      <c r="K2537" s="1">
        <v>0</v>
      </c>
      <c r="L2537" s="1">
        <v>5</v>
      </c>
      <c r="M2537" s="32">
        <f>IF(Mecze[[#This Row],[PR]]=0,0,Mecze[[#This Row],[PR]]/Mecze[[#This Row],[CZAS]])</f>
        <v>7.575757575757576E-2</v>
      </c>
      <c r="N2537" s="32">
        <f>IF(Mecze[[#This Row],[OU]]=0,0,Mecze[[#This Row],[OU]]/Mecze[[#This Row],[CZAS]])</f>
        <v>1.5151515151515152E-2</v>
      </c>
      <c r="O2537" s="32">
        <f>IF(Mecze[[#This Row],[PC]]=0,0,Mecze[[#This Row],[PC]]/Mecze[[#This Row],[CZAS]])</f>
        <v>4.5454545454545456E-2</v>
      </c>
      <c r="P2537" s="32">
        <f>IF(Mecze[[#This Row],[SC]]=0,0,Mecze[[#This Row],[SC]]/Mecze[[#This Row],[CZAS]])</f>
        <v>0</v>
      </c>
      <c r="Q2537" s="32">
        <f>IF(Mecze[[#This Row],[OB]]=0,0,Mecze[[#This Row],[OB]]/Mecze[[#This Row],[CZAS]])</f>
        <v>0</v>
      </c>
      <c r="R2537" s="32">
        <f>IF(Mecze[[#This Row],[BR]]=0,0,Mecze[[#This Row],[BR]]/Mecze[[#This Row],[CZAS]])</f>
        <v>0</v>
      </c>
      <c r="S2537" s="44">
        <f>IF(Mecze[[#This Row],[Role]]="BR",SUMPRODUCT(Mecze[[#This Row],[/PR:90]:[/BR:90]],Brudnopis!$E$23:$J$23),0)</f>
        <v>0</v>
      </c>
      <c r="T2537" s="44">
        <f>IF(Mecze[[#This Row],[Role]]&lt;&gt;"BR",SUMPRODUCT(Mecze[[#This Row],[/PR:90]:[/BR:90]],Brudnopis!$E$24:$J$24),0)</f>
        <v>0.14393939393939392</v>
      </c>
      <c r="U2537" s="44">
        <f>IF(Mecze[[#This Row],[Role]]&lt;&gt;"BR",SUMPRODUCT(Mecze[[#This Row],[/PR:90]:[/BR:90]],Brudnopis!$E$25:$J$25),0)</f>
        <v>0.15909090909090909</v>
      </c>
      <c r="V2537" s="44">
        <f>IF(Mecze[[#This Row],[Role]]&lt;&gt;"BR",SUMPRODUCT(Mecze[[#This Row],[/PR:90]:[/BR:90]],Brudnopis!$E$26:$J$26),0)</f>
        <v>0.13636363636363635</v>
      </c>
      <c r="W2537" s="44">
        <f>IF(Mecze[[#This Row],[Role]]&lt;&gt;"BR",SUMPRODUCT(Mecze[[#This Row],[/PR:90]:[/BR:90]],Brudnopis!$E$27:$J$27),0)</f>
        <v>0.13636363636363635</v>
      </c>
      <c r="X2537" s="44">
        <f>IF(Mecze[[#This Row],[Role]]&lt;&gt;"BR",SUMPRODUCT(Mecze[[#This Row],[/PR:90]:[/BR:90]],Brudnopis!$E$28:$J$28),0)</f>
        <v>4.5454545454545456E-2</v>
      </c>
      <c r="Y2537" s="35">
        <f>IF(Mecze[[#This Row],[Role]]="BR",Mecze[[#This Row],[/OB:90]]+Mecze[[#This Row],[/PC:90]],SUM(Mecze[[#This Row],[/PR:90]:[/BR:90]]))</f>
        <v>0.13636363636363635</v>
      </c>
      <c r="Z2537" s="35">
        <f>IF(Mecze[[#This Row],[KC]]=0,SUM(Mecze[[#This Row],[/BRI]:[/NPI]]),SUM(Mecze[[#This Row],[/BRI]:[/NPI]])*0.6)</f>
        <v>0.6212121212121211</v>
      </c>
      <c r="AA2537" s="10">
        <f>IFERROR(Mecze[[#This Row],[BR]]/Mecze[[#This Row],[ST]],0)</f>
        <v>0</v>
      </c>
      <c r="AB2537">
        <f>ROUND(Mecze[[#This Row],[PD]]*Mecze[[#This Row],[%PC]],0)</f>
        <v>3</v>
      </c>
      <c r="AC2537">
        <f>ROUND(Mecze[[#This Row],[OD]]*Mecze[[#This Row],[%OU]],0)</f>
        <v>1</v>
      </c>
      <c r="AD2537" s="36" t="s">
        <v>167</v>
      </c>
      <c r="AE2537" s="36">
        <v>141</v>
      </c>
      <c r="AF2537" s="71">
        <v>3.86</v>
      </c>
      <c r="AG2537" s="37">
        <v>0</v>
      </c>
      <c r="AH2537" s="37">
        <v>0</v>
      </c>
      <c r="AI2537" s="37">
        <v>66</v>
      </c>
      <c r="AJ2537" s="37">
        <v>6</v>
      </c>
      <c r="AK2537" s="37" t="str">
        <f>VLOOKUP(Mecze[[#This Row],[Match ID]],Meczusie[Mecz]:Meczusie[RodzajMeczu],2,FALSE)</f>
        <v>Liga</v>
      </c>
    </row>
    <row r="2538" spans="1:37" x14ac:dyDescent="0.25">
      <c r="A2538" s="76">
        <v>7</v>
      </c>
      <c r="B2538" s="3" t="s">
        <v>251</v>
      </c>
      <c r="C2538" s="2" t="s">
        <v>157</v>
      </c>
      <c r="D2538" s="1">
        <v>0</v>
      </c>
      <c r="E2538" s="1">
        <v>0</v>
      </c>
      <c r="F2538" s="1">
        <v>0</v>
      </c>
      <c r="G2538" s="1">
        <v>4</v>
      </c>
      <c r="H2538" s="4">
        <v>0.5</v>
      </c>
      <c r="I2538" s="1">
        <v>8</v>
      </c>
      <c r="J2538" s="4">
        <v>0.5</v>
      </c>
      <c r="K2538" s="1">
        <v>0</v>
      </c>
      <c r="L2538" s="1">
        <v>4</v>
      </c>
      <c r="M2538" s="32">
        <f>IF(Mecze[[#This Row],[PR]]=0,0,Mecze[[#This Row],[PR]]/Mecze[[#This Row],[CZAS]])</f>
        <v>4.1666666666666664E-2</v>
      </c>
      <c r="N2538" s="32">
        <f>IF(Mecze[[#This Row],[OU]]=0,0,Mecze[[#This Row],[OU]]/Mecze[[#This Row],[CZAS]])</f>
        <v>4.1666666666666664E-2</v>
      </c>
      <c r="O2538" s="32">
        <f>IF(Mecze[[#This Row],[PC]]=0,0,Mecze[[#This Row],[PC]]/Mecze[[#This Row],[CZAS]])</f>
        <v>2.0833333333333332E-2</v>
      </c>
      <c r="P2538" s="32">
        <f>IF(Mecze[[#This Row],[SC]]=0,0,Mecze[[#This Row],[SC]]/Mecze[[#This Row],[CZAS]])</f>
        <v>0</v>
      </c>
      <c r="Q2538" s="32">
        <f>IF(Mecze[[#This Row],[OB]]=0,0,Mecze[[#This Row],[OB]]/Mecze[[#This Row],[CZAS]])</f>
        <v>0</v>
      </c>
      <c r="R2538" s="32">
        <f>IF(Mecze[[#This Row],[BR]]=0,0,Mecze[[#This Row],[BR]]/Mecze[[#This Row],[CZAS]])</f>
        <v>0</v>
      </c>
      <c r="S2538" s="44">
        <f>IF(Mecze[[#This Row],[Role]]="BR",SUMPRODUCT(Mecze[[#This Row],[/PR:90]:[/BR:90]],Brudnopis!$E$23:$J$23),0)</f>
        <v>0</v>
      </c>
      <c r="T2538" s="44">
        <f>IF(Mecze[[#This Row],[Role]]&lt;&gt;"BR",SUMPRODUCT(Mecze[[#This Row],[/PR:90]:[/BR:90]],Brudnopis!$E$24:$J$24),0)</f>
        <v>0.12499999999999999</v>
      </c>
      <c r="U2538" s="44">
        <f>IF(Mecze[[#This Row],[Role]]&lt;&gt;"BR",SUMPRODUCT(Mecze[[#This Row],[/PR:90]:[/BR:90]],Brudnopis!$E$25:$J$25),0)</f>
        <v>0.11458333333333333</v>
      </c>
      <c r="V2538" s="44">
        <f>IF(Mecze[[#This Row],[Role]]&lt;&gt;"BR",SUMPRODUCT(Mecze[[#This Row],[/PR:90]:[/BR:90]],Brudnopis!$E$26:$J$26),0)</f>
        <v>0.10416666666666666</v>
      </c>
      <c r="W2538" s="44">
        <f>IF(Mecze[[#This Row],[Role]]&lt;&gt;"BR",SUMPRODUCT(Mecze[[#This Row],[/PR:90]:[/BR:90]],Brudnopis!$E$27:$J$27),0)</f>
        <v>9.375E-2</v>
      </c>
      <c r="X2538" s="44">
        <f>IF(Mecze[[#This Row],[Role]]&lt;&gt;"BR",SUMPRODUCT(Mecze[[#This Row],[/PR:90]:[/BR:90]],Brudnopis!$E$28:$J$28),0)</f>
        <v>2.0833333333333332E-2</v>
      </c>
      <c r="Y2538" s="35">
        <f>IF(Mecze[[#This Row],[Role]]="BR",Mecze[[#This Row],[/OB:90]]+Mecze[[#This Row],[/PC:90]],SUM(Mecze[[#This Row],[/PR:90]:[/BR:90]]))</f>
        <v>0.10416666666666666</v>
      </c>
      <c r="Z2538" s="35">
        <f>IF(Mecze[[#This Row],[KC]]=0,SUM(Mecze[[#This Row],[/BRI]:[/NPI]]),SUM(Mecze[[#This Row],[/BRI]:[/NPI]])*0.6)</f>
        <v>0.45833333333333331</v>
      </c>
      <c r="AA2538" s="10">
        <f>IFERROR(Mecze[[#This Row],[BR]]/Mecze[[#This Row],[ST]],0)</f>
        <v>0</v>
      </c>
      <c r="AB2538">
        <f>ROUND(Mecze[[#This Row],[PD]]*Mecze[[#This Row],[%PC]],0)</f>
        <v>2</v>
      </c>
      <c r="AC2538">
        <f>ROUND(Mecze[[#This Row],[OD]]*Mecze[[#This Row],[%OU]],0)</f>
        <v>4</v>
      </c>
      <c r="AD2538" s="36" t="s">
        <v>168</v>
      </c>
      <c r="AE2538" s="36">
        <v>141</v>
      </c>
      <c r="AF2538" s="71">
        <v>4.7699999999999996</v>
      </c>
      <c r="AG2538" s="37">
        <v>0</v>
      </c>
      <c r="AH2538" s="37">
        <v>0</v>
      </c>
      <c r="AI2538" s="37">
        <v>96</v>
      </c>
      <c r="AJ2538" s="37">
        <v>6</v>
      </c>
      <c r="AK2538" s="37" t="str">
        <f>VLOOKUP(Mecze[[#This Row],[Match ID]],Meczusie[Mecz]:Meczusie[RodzajMeczu],2,FALSE)</f>
        <v>Liga</v>
      </c>
    </row>
    <row r="2539" spans="1:37" x14ac:dyDescent="0.25">
      <c r="A2539" s="76">
        <v>8</v>
      </c>
      <c r="B2539" s="3" t="s">
        <v>254</v>
      </c>
      <c r="C2539" s="2" t="s">
        <v>160</v>
      </c>
      <c r="D2539" s="1">
        <v>0</v>
      </c>
      <c r="E2539" s="1">
        <v>0</v>
      </c>
      <c r="F2539" s="1">
        <v>0</v>
      </c>
      <c r="G2539" s="1">
        <v>17</v>
      </c>
      <c r="H2539" s="4">
        <v>0.88</v>
      </c>
      <c r="I2539" s="1">
        <v>6</v>
      </c>
      <c r="J2539" s="4">
        <v>0.33</v>
      </c>
      <c r="K2539" s="1">
        <v>0</v>
      </c>
      <c r="L2539" s="1">
        <v>7</v>
      </c>
      <c r="M2539" s="32">
        <f>IF(Mecze[[#This Row],[PR]]=0,0,Mecze[[#This Row],[PR]]/Mecze[[#This Row],[CZAS]])</f>
        <v>7.2916666666666671E-2</v>
      </c>
      <c r="N2539" s="32">
        <f>IF(Mecze[[#This Row],[OU]]=0,0,Mecze[[#This Row],[OU]]/Mecze[[#This Row],[CZAS]])</f>
        <v>2.0833333333333332E-2</v>
      </c>
      <c r="O2539" s="32">
        <f>IF(Mecze[[#This Row],[PC]]=0,0,Mecze[[#This Row],[PC]]/Mecze[[#This Row],[CZAS]])</f>
        <v>0.15625</v>
      </c>
      <c r="P2539" s="32">
        <f>IF(Mecze[[#This Row],[SC]]=0,0,Mecze[[#This Row],[SC]]/Mecze[[#This Row],[CZAS]])</f>
        <v>0</v>
      </c>
      <c r="Q2539" s="32">
        <f>IF(Mecze[[#This Row],[OB]]=0,0,Mecze[[#This Row],[OB]]/Mecze[[#This Row],[CZAS]])</f>
        <v>0</v>
      </c>
      <c r="R2539" s="32">
        <f>IF(Mecze[[#This Row],[BR]]=0,0,Mecze[[#This Row],[BR]]/Mecze[[#This Row],[CZAS]])</f>
        <v>0</v>
      </c>
      <c r="S2539" s="44">
        <f>IF(Mecze[[#This Row],[Role]]="BR",SUMPRODUCT(Mecze[[#This Row],[/PR:90]:[/BR:90]],Brudnopis!$E$23:$J$23),0)</f>
        <v>0</v>
      </c>
      <c r="T2539" s="44">
        <f>IF(Mecze[[#This Row],[Role]]&lt;&gt;"BR",SUMPRODUCT(Mecze[[#This Row],[/PR:90]:[/BR:90]],Brudnopis!$E$24:$J$24),0)</f>
        <v>0.26041666666666669</v>
      </c>
      <c r="U2539" s="44">
        <f>IF(Mecze[[#This Row],[Role]]&lt;&gt;"BR",SUMPRODUCT(Mecze[[#This Row],[/PR:90]:[/BR:90]],Brudnopis!$E$25:$J$25),0)</f>
        <v>0.328125</v>
      </c>
      <c r="V2539" s="44">
        <f>IF(Mecze[[#This Row],[Role]]&lt;&gt;"BR",SUMPRODUCT(Mecze[[#This Row],[/PR:90]:[/BR:90]],Brudnopis!$E$26:$J$26),0)</f>
        <v>0.25</v>
      </c>
      <c r="W2539" s="44">
        <f>IF(Mecze[[#This Row],[Role]]&lt;&gt;"BR",SUMPRODUCT(Mecze[[#This Row],[/PR:90]:[/BR:90]],Brudnopis!$E$27:$J$27),0)</f>
        <v>0.3046875</v>
      </c>
      <c r="X2539" s="44">
        <f>IF(Mecze[[#This Row],[Role]]&lt;&gt;"BR",SUMPRODUCT(Mecze[[#This Row],[/PR:90]:[/BR:90]],Brudnopis!$E$28:$J$28),0)</f>
        <v>0.15625</v>
      </c>
      <c r="Y2539" s="35">
        <f>IF(Mecze[[#This Row],[Role]]="BR",Mecze[[#This Row],[/OB:90]]+Mecze[[#This Row],[/PC:90]],SUM(Mecze[[#This Row],[/PR:90]:[/BR:90]]))</f>
        <v>0.25</v>
      </c>
      <c r="Z2539" s="35">
        <f>IF(Mecze[[#This Row],[KC]]=0,SUM(Mecze[[#This Row],[/BRI]:[/NPI]]),SUM(Mecze[[#This Row],[/BRI]:[/NPI]])*0.6)</f>
        <v>1.2994791666666667</v>
      </c>
      <c r="AA2539" s="10">
        <f>IFERROR(Mecze[[#This Row],[BR]]/Mecze[[#This Row],[ST]],0)</f>
        <v>0</v>
      </c>
      <c r="AB2539">
        <f>ROUND(Mecze[[#This Row],[PD]]*Mecze[[#This Row],[%PC]],0)</f>
        <v>15</v>
      </c>
      <c r="AC2539">
        <f>ROUND(Mecze[[#This Row],[OD]]*Mecze[[#This Row],[%OU]],0)</f>
        <v>2</v>
      </c>
      <c r="AD2539" s="36" t="s">
        <v>41</v>
      </c>
      <c r="AE2539" s="36">
        <v>141</v>
      </c>
      <c r="AF2539" s="71">
        <v>7.51</v>
      </c>
      <c r="AG2539" s="37">
        <v>0</v>
      </c>
      <c r="AH2539" s="37">
        <v>0</v>
      </c>
      <c r="AI2539" s="37">
        <v>96</v>
      </c>
      <c r="AJ2539" s="37">
        <v>6</v>
      </c>
      <c r="AK2539" s="37" t="str">
        <f>VLOOKUP(Mecze[[#This Row],[Match ID]],Meczusie[Mecz]:Meczusie[RodzajMeczu],2,FALSE)</f>
        <v>Liga</v>
      </c>
    </row>
    <row r="2540" spans="1:37" x14ac:dyDescent="0.25">
      <c r="A2540" s="76">
        <v>10</v>
      </c>
      <c r="B2540" s="3" t="s">
        <v>252</v>
      </c>
      <c r="C2540" s="2" t="s">
        <v>160</v>
      </c>
      <c r="D2540" s="1">
        <v>1</v>
      </c>
      <c r="E2540" s="1">
        <v>1</v>
      </c>
      <c r="F2540" s="1">
        <v>1</v>
      </c>
      <c r="G2540" s="1">
        <v>11</v>
      </c>
      <c r="H2540" s="4">
        <v>0.73</v>
      </c>
      <c r="I2540" s="1">
        <v>4</v>
      </c>
      <c r="J2540" s="4">
        <v>0.75</v>
      </c>
      <c r="K2540" s="1">
        <v>0</v>
      </c>
      <c r="L2540" s="1">
        <v>3</v>
      </c>
      <c r="M2540" s="32">
        <f>IF(Mecze[[#This Row],[PR]]=0,0,Mecze[[#This Row],[PR]]/Mecze[[#This Row],[CZAS]])</f>
        <v>3.125E-2</v>
      </c>
      <c r="N2540" s="32">
        <f>IF(Mecze[[#This Row],[OU]]=0,0,Mecze[[#This Row],[OU]]/Mecze[[#This Row],[CZAS]])</f>
        <v>3.125E-2</v>
      </c>
      <c r="O2540" s="32">
        <f>IF(Mecze[[#This Row],[PC]]=0,0,Mecze[[#This Row],[PC]]/Mecze[[#This Row],[CZAS]])</f>
        <v>8.3333333333333329E-2</v>
      </c>
      <c r="P2540" s="32">
        <f>IF(Mecze[[#This Row],[SC]]=0,0,Mecze[[#This Row],[SC]]/Mecze[[#This Row],[CZAS]])</f>
        <v>1.0416666666666666E-2</v>
      </c>
      <c r="Q2540" s="32">
        <f>IF(Mecze[[#This Row],[OB]]=0,0,Mecze[[#This Row],[OB]]/Mecze[[#This Row],[CZAS]])</f>
        <v>0</v>
      </c>
      <c r="R2540" s="32">
        <f>IF(Mecze[[#This Row],[BR]]=0,0,Mecze[[#This Row],[BR]]/Mecze[[#This Row],[CZAS]])</f>
        <v>1.0416666666666666E-2</v>
      </c>
      <c r="S2540" s="44">
        <f>IF(Mecze[[#This Row],[Role]]="BR",SUMPRODUCT(Mecze[[#This Row],[/PR:90]:[/BR:90]],Brudnopis!$E$23:$J$23),0)</f>
        <v>0</v>
      </c>
      <c r="T2540" s="44">
        <f>IF(Mecze[[#This Row],[Role]]&lt;&gt;"BR",SUMPRODUCT(Mecze[[#This Row],[/PR:90]:[/BR:90]],Brudnopis!$E$24:$J$24),0)</f>
        <v>0.18749999999999997</v>
      </c>
      <c r="U2540" s="44">
        <f>IF(Mecze[[#This Row],[Role]]&lt;&gt;"BR",SUMPRODUCT(Mecze[[#This Row],[/PR:90]:[/BR:90]],Brudnopis!$E$25:$J$25),0)</f>
        <v>0.21354166666666666</v>
      </c>
      <c r="V2540" s="44">
        <f>IF(Mecze[[#This Row],[Role]]&lt;&gt;"BR",SUMPRODUCT(Mecze[[#This Row],[/PR:90]:[/BR:90]],Brudnopis!$E$26:$J$26),0)</f>
        <v>0.17708333333333331</v>
      </c>
      <c r="W2540" s="44">
        <f>IF(Mecze[[#This Row],[Role]]&lt;&gt;"BR",SUMPRODUCT(Mecze[[#This Row],[/PR:90]:[/BR:90]],Brudnopis!$E$27:$J$27),0)</f>
        <v>0.203125</v>
      </c>
      <c r="X2540" s="44">
        <f>IF(Mecze[[#This Row],[Role]]&lt;&gt;"BR",SUMPRODUCT(Mecze[[#This Row],[/PR:90]:[/BR:90]],Brudnopis!$E$28:$J$28),0)</f>
        <v>0.13541666666666666</v>
      </c>
      <c r="Y2540" s="35">
        <f>IF(Mecze[[#This Row],[Role]]="BR",Mecze[[#This Row],[/OB:90]]+Mecze[[#This Row],[/PC:90]],SUM(Mecze[[#This Row],[/PR:90]:[/BR:90]]))</f>
        <v>0.16666666666666663</v>
      </c>
      <c r="Z2540" s="35">
        <f>IF(Mecze[[#This Row],[KC]]=0,SUM(Mecze[[#This Row],[/BRI]:[/NPI]]),SUM(Mecze[[#This Row],[/BRI]:[/NPI]])*0.6)</f>
        <v>0.91666666666666663</v>
      </c>
      <c r="AA2540" s="10">
        <f>IFERROR(Mecze[[#This Row],[BR]]/Mecze[[#This Row],[ST]],0)</f>
        <v>1</v>
      </c>
      <c r="AB2540">
        <f>ROUND(Mecze[[#This Row],[PD]]*Mecze[[#This Row],[%PC]],0)</f>
        <v>8</v>
      </c>
      <c r="AC2540">
        <f>ROUND(Mecze[[#This Row],[OD]]*Mecze[[#This Row],[%OU]],0)</f>
        <v>3</v>
      </c>
      <c r="AD2540" s="36" t="s">
        <v>318</v>
      </c>
      <c r="AE2540" s="36">
        <v>141</v>
      </c>
      <c r="AF2540" s="71">
        <v>8.1</v>
      </c>
      <c r="AG2540" s="37">
        <v>0</v>
      </c>
      <c r="AH2540" s="37">
        <v>0</v>
      </c>
      <c r="AI2540" s="37">
        <v>96</v>
      </c>
      <c r="AJ2540" s="37">
        <v>6</v>
      </c>
      <c r="AK2540" s="37" t="str">
        <f>VLOOKUP(Mecze[[#This Row],[Match ID]],Meczusie[Mecz]:Meczusie[RodzajMeczu],2,FALSE)</f>
        <v>Liga</v>
      </c>
    </row>
    <row r="2541" spans="1:37" x14ac:dyDescent="0.25">
      <c r="A2541" s="76">
        <v>11</v>
      </c>
      <c r="B2541" s="3" t="s">
        <v>250</v>
      </c>
      <c r="C2541" s="2" t="s">
        <v>160</v>
      </c>
      <c r="D2541" s="1">
        <v>0</v>
      </c>
      <c r="E2541" s="1">
        <v>1</v>
      </c>
      <c r="F2541" s="1">
        <v>1</v>
      </c>
      <c r="G2541" s="1">
        <v>9</v>
      </c>
      <c r="H2541" s="4">
        <v>0.67</v>
      </c>
      <c r="I2541" s="1">
        <v>2</v>
      </c>
      <c r="J2541" s="4">
        <v>0</v>
      </c>
      <c r="K2541" s="1">
        <v>0</v>
      </c>
      <c r="L2541" s="1">
        <v>0</v>
      </c>
      <c r="M2541" s="32">
        <f>IF(Mecze[[#This Row],[PR]]=0,0,Mecze[[#This Row],[PR]]/Mecze[[#This Row],[CZAS]])</f>
        <v>0</v>
      </c>
      <c r="N2541" s="32">
        <f>IF(Mecze[[#This Row],[OU]]=0,0,Mecze[[#This Row],[OU]]/Mecze[[#This Row],[CZAS]])</f>
        <v>0</v>
      </c>
      <c r="O2541" s="32">
        <f>IF(Mecze[[#This Row],[PC]]=0,0,Mecze[[#This Row],[PC]]/Mecze[[#This Row],[CZAS]])</f>
        <v>8.3333333333333329E-2</v>
      </c>
      <c r="P2541" s="32">
        <f>IF(Mecze[[#This Row],[SC]]=0,0,Mecze[[#This Row],[SC]]/Mecze[[#This Row],[CZAS]])</f>
        <v>1.3888888888888888E-2</v>
      </c>
      <c r="Q2541" s="32">
        <f>IF(Mecze[[#This Row],[OB]]=0,0,Mecze[[#This Row],[OB]]/Mecze[[#This Row],[CZAS]])</f>
        <v>0</v>
      </c>
      <c r="R2541" s="32">
        <f>IF(Mecze[[#This Row],[BR]]=0,0,Mecze[[#This Row],[BR]]/Mecze[[#This Row],[CZAS]])</f>
        <v>0</v>
      </c>
      <c r="S2541" s="44">
        <f>IF(Mecze[[#This Row],[Role]]="BR",SUMPRODUCT(Mecze[[#This Row],[/PR:90]:[/BR:90]],Brudnopis!$E$23:$J$23),0)</f>
        <v>0</v>
      </c>
      <c r="T2541" s="44">
        <f>IF(Mecze[[#This Row],[Role]]&lt;&gt;"BR",SUMPRODUCT(Mecze[[#This Row],[/PR:90]:[/BR:90]],Brudnopis!$E$24:$J$24),0)</f>
        <v>9.722222222222221E-2</v>
      </c>
      <c r="U2541" s="44">
        <f>IF(Mecze[[#This Row],[Role]]&lt;&gt;"BR",SUMPRODUCT(Mecze[[#This Row],[/PR:90]:[/BR:90]],Brudnopis!$E$25:$J$25),0)</f>
        <v>0.1388888888888889</v>
      </c>
      <c r="V2541" s="44">
        <f>IF(Mecze[[#This Row],[Role]]&lt;&gt;"BR",SUMPRODUCT(Mecze[[#This Row],[/PR:90]:[/BR:90]],Brudnopis!$E$26:$J$26),0)</f>
        <v>9.722222222222221E-2</v>
      </c>
      <c r="W2541" s="44">
        <f>IF(Mecze[[#This Row],[Role]]&lt;&gt;"BR",SUMPRODUCT(Mecze[[#This Row],[/PR:90]:[/BR:90]],Brudnopis!$E$27:$J$27),0)</f>
        <v>0.1388888888888889</v>
      </c>
      <c r="X2541" s="44">
        <f>IF(Mecze[[#This Row],[Role]]&lt;&gt;"BR",SUMPRODUCT(Mecze[[#This Row],[/PR:90]:[/BR:90]],Brudnopis!$E$28:$J$28),0)</f>
        <v>0.1111111111111111</v>
      </c>
      <c r="Y2541" s="35">
        <f>IF(Mecze[[#This Row],[Role]]="BR",Mecze[[#This Row],[/OB:90]]+Mecze[[#This Row],[/PC:90]],SUM(Mecze[[#This Row],[/PR:90]:[/BR:90]]))</f>
        <v>9.722222222222221E-2</v>
      </c>
      <c r="Z2541" s="35">
        <f>IF(Mecze[[#This Row],[KC]]=0,SUM(Mecze[[#This Row],[/BRI]:[/NPI]]),SUM(Mecze[[#This Row],[/BRI]:[/NPI]])*0.6)</f>
        <v>0.58333333333333326</v>
      </c>
      <c r="AA2541" s="10">
        <f>IFERROR(Mecze[[#This Row],[BR]]/Mecze[[#This Row],[ST]],0)</f>
        <v>0</v>
      </c>
      <c r="AB2541">
        <f>ROUND(Mecze[[#This Row],[PD]]*Mecze[[#This Row],[%PC]],0)</f>
        <v>6</v>
      </c>
      <c r="AC2541">
        <f>ROUND(Mecze[[#This Row],[OD]]*Mecze[[#This Row],[%OU]],0)</f>
        <v>0</v>
      </c>
      <c r="AD2541" s="36" t="s">
        <v>319</v>
      </c>
      <c r="AE2541" s="36">
        <v>141</v>
      </c>
      <c r="AF2541" s="71">
        <v>5.36</v>
      </c>
      <c r="AG2541" s="37">
        <v>0</v>
      </c>
      <c r="AH2541" s="37">
        <v>0</v>
      </c>
      <c r="AI2541" s="37">
        <v>72</v>
      </c>
      <c r="AJ2541" s="37">
        <v>6</v>
      </c>
      <c r="AK2541" s="37" t="str">
        <f>VLOOKUP(Mecze[[#This Row],[Match ID]],Meczusie[Mecz]:Meczusie[RodzajMeczu],2,FALSE)</f>
        <v>Liga</v>
      </c>
    </row>
    <row r="2542" spans="1:37" x14ac:dyDescent="0.25">
      <c r="A2542" s="76">
        <v>106</v>
      </c>
      <c r="B2542" s="3" t="s">
        <v>424</v>
      </c>
      <c r="C2542" s="2" t="s">
        <v>160</v>
      </c>
      <c r="D2542" s="1">
        <v>1</v>
      </c>
      <c r="E2542" s="1">
        <v>4</v>
      </c>
      <c r="F2542" s="1">
        <v>4</v>
      </c>
      <c r="G2542" s="1">
        <v>5</v>
      </c>
      <c r="H2542" s="4">
        <v>1</v>
      </c>
      <c r="I2542" s="1">
        <v>2</v>
      </c>
      <c r="J2542" s="4">
        <v>0.5</v>
      </c>
      <c r="K2542" s="1">
        <v>0</v>
      </c>
      <c r="L2542" s="1">
        <v>0</v>
      </c>
      <c r="M2542" s="32">
        <f>IF(Mecze[[#This Row],[PR]]=0,0,Mecze[[#This Row],[PR]]/Mecze[[#This Row],[CZAS]])</f>
        <v>0</v>
      </c>
      <c r="N2542" s="32">
        <f>IF(Mecze[[#This Row],[OU]]=0,0,Mecze[[#This Row],[OU]]/Mecze[[#This Row],[CZAS]])</f>
        <v>1.0416666666666666E-2</v>
      </c>
      <c r="O2542" s="32">
        <f>IF(Mecze[[#This Row],[PC]]=0,0,Mecze[[#This Row],[PC]]/Mecze[[#This Row],[CZAS]])</f>
        <v>5.2083333333333336E-2</v>
      </c>
      <c r="P2542" s="32">
        <f>IF(Mecze[[#This Row],[SC]]=0,0,Mecze[[#This Row],[SC]]/Mecze[[#This Row],[CZAS]])</f>
        <v>4.1666666666666664E-2</v>
      </c>
      <c r="Q2542" s="32">
        <f>IF(Mecze[[#This Row],[OB]]=0,0,Mecze[[#This Row],[OB]]/Mecze[[#This Row],[CZAS]])</f>
        <v>0</v>
      </c>
      <c r="R2542" s="32">
        <f>IF(Mecze[[#This Row],[BR]]=0,0,Mecze[[#This Row],[BR]]/Mecze[[#This Row],[CZAS]])</f>
        <v>1.0416666666666666E-2</v>
      </c>
      <c r="S2542" s="44">
        <f>IF(Mecze[[#This Row],[Role]]="BR",SUMPRODUCT(Mecze[[#This Row],[/PR:90]:[/BR:90]],Brudnopis!$E$23:$J$23),0)</f>
        <v>0</v>
      </c>
      <c r="T2542" s="44">
        <f>IF(Mecze[[#This Row],[Role]]&lt;&gt;"BR",SUMPRODUCT(Mecze[[#This Row],[/PR:90]:[/BR:90]],Brudnopis!$E$24:$J$24),0)</f>
        <v>0.125</v>
      </c>
      <c r="U2542" s="44">
        <f>IF(Mecze[[#This Row],[Role]]&lt;&gt;"BR",SUMPRODUCT(Mecze[[#This Row],[/PR:90]:[/BR:90]],Brudnopis!$E$25:$J$25),0)</f>
        <v>0.14583333333333334</v>
      </c>
      <c r="V2542" s="44">
        <f>IF(Mecze[[#This Row],[Role]]&lt;&gt;"BR",SUMPRODUCT(Mecze[[#This Row],[/PR:90]:[/BR:90]],Brudnopis!$E$26:$J$26),0)</f>
        <v>0.12499999999999999</v>
      </c>
      <c r="W2542" s="44">
        <f>IF(Mecze[[#This Row],[Role]]&lt;&gt;"BR",SUMPRODUCT(Mecze[[#This Row],[/PR:90]:[/BR:90]],Brudnopis!$E$27:$J$27),0)</f>
        <v>0.1484375</v>
      </c>
      <c r="X2542" s="44">
        <f>IF(Mecze[[#This Row],[Role]]&lt;&gt;"BR",SUMPRODUCT(Mecze[[#This Row],[/PR:90]:[/BR:90]],Brudnopis!$E$28:$J$28),0)</f>
        <v>0.16666666666666666</v>
      </c>
      <c r="Y2542" s="35">
        <f>IF(Mecze[[#This Row],[Role]]="BR",Mecze[[#This Row],[/OB:90]]+Mecze[[#This Row],[/PC:90]],SUM(Mecze[[#This Row],[/PR:90]:[/BR:90]]))</f>
        <v>0.11458333333333333</v>
      </c>
      <c r="Z2542" s="35">
        <f>IF(Mecze[[#This Row],[KC]]=0,SUM(Mecze[[#This Row],[/BRI]:[/NPI]]),SUM(Mecze[[#This Row],[/BRI]:[/NPI]])*0.6)</f>
        <v>0.7109375</v>
      </c>
      <c r="AA2542" s="10">
        <f>IFERROR(Mecze[[#This Row],[BR]]/Mecze[[#This Row],[ST]],0)</f>
        <v>0.25</v>
      </c>
      <c r="AB2542">
        <f>ROUND(Mecze[[#This Row],[PD]]*Mecze[[#This Row],[%PC]],0)</f>
        <v>5</v>
      </c>
      <c r="AC2542">
        <f>ROUND(Mecze[[#This Row],[OD]]*Mecze[[#This Row],[%OU]],0)</f>
        <v>1</v>
      </c>
      <c r="AD2542" s="36" t="s">
        <v>44</v>
      </c>
      <c r="AE2542" s="36">
        <v>141</v>
      </c>
      <c r="AF2542" s="71">
        <v>10.28</v>
      </c>
      <c r="AG2542" s="37">
        <v>0</v>
      </c>
      <c r="AH2542" s="37">
        <v>0</v>
      </c>
      <c r="AI2542" s="37">
        <v>96</v>
      </c>
      <c r="AJ2542" s="37">
        <v>6</v>
      </c>
      <c r="AK2542" s="37" t="str">
        <f>VLOOKUP(Mecze[[#This Row],[Match ID]],Meczusie[Mecz]:Meczusie[RodzajMeczu],2,FALSE)</f>
        <v>Liga</v>
      </c>
    </row>
    <row r="2543" spans="1:37" x14ac:dyDescent="0.25">
      <c r="A2543" s="76">
        <v>6</v>
      </c>
      <c r="B2543" s="3" t="s">
        <v>255</v>
      </c>
      <c r="C2543" s="2" t="s">
        <v>165</v>
      </c>
      <c r="D2543" s="1">
        <v>0</v>
      </c>
      <c r="E2543" s="1">
        <v>0</v>
      </c>
      <c r="F2543" s="1">
        <v>0</v>
      </c>
      <c r="G2543" s="1">
        <v>0</v>
      </c>
      <c r="H2543" s="72"/>
      <c r="I2543" s="1">
        <v>1</v>
      </c>
      <c r="J2543" s="4">
        <v>1</v>
      </c>
      <c r="K2543" s="1">
        <v>0</v>
      </c>
      <c r="L2543" s="1">
        <v>0</v>
      </c>
      <c r="M2543" s="32">
        <f>IF(Mecze[[#This Row],[PR]]=0,0,Mecze[[#This Row],[PR]]/Mecze[[#This Row],[CZAS]])</f>
        <v>0</v>
      </c>
      <c r="N2543" s="32">
        <f>IF(Mecze[[#This Row],[OU]]=0,0,Mecze[[#This Row],[OU]]/Mecze[[#This Row],[CZAS]])</f>
        <v>1.0416666666666666E-2</v>
      </c>
      <c r="O2543" s="32">
        <f>IF(Mecze[[#This Row],[PC]]=0,0,Mecze[[#This Row],[PC]]/Mecze[[#This Row],[CZAS]])</f>
        <v>0</v>
      </c>
      <c r="P2543" s="32">
        <f>IF(Mecze[[#This Row],[SC]]=0,0,Mecze[[#This Row],[SC]]/Mecze[[#This Row],[CZAS]])</f>
        <v>0</v>
      </c>
      <c r="Q2543" s="32">
        <f>IF(Mecze[[#This Row],[OB]]=0,0,Mecze[[#This Row],[OB]]/Mecze[[#This Row],[CZAS]])</f>
        <v>0</v>
      </c>
      <c r="R2543" s="32">
        <f>IF(Mecze[[#This Row],[BR]]=0,0,Mecze[[#This Row],[BR]]/Mecze[[#This Row],[CZAS]])</f>
        <v>0</v>
      </c>
      <c r="S2543" s="44">
        <f>IF(Mecze[[#This Row],[Role]]="BR",SUMPRODUCT(Mecze[[#This Row],[/PR:90]:[/BR:90]],Brudnopis!$E$23:$J$23),0)</f>
        <v>0</v>
      </c>
      <c r="T2543" s="44">
        <f>IF(Mecze[[#This Row],[Role]]&lt;&gt;"BR",SUMPRODUCT(Mecze[[#This Row],[/PR:90]:[/BR:90]],Brudnopis!$E$24:$J$24),0)</f>
        <v>1.5625E-2</v>
      </c>
      <c r="U2543" s="44">
        <f>IF(Mecze[[#This Row],[Role]]&lt;&gt;"BR",SUMPRODUCT(Mecze[[#This Row],[/PR:90]:[/BR:90]],Brudnopis!$E$25:$J$25),0)</f>
        <v>1.0416666666666666E-2</v>
      </c>
      <c r="V2543" s="44">
        <f>IF(Mecze[[#This Row],[Role]]&lt;&gt;"BR",SUMPRODUCT(Mecze[[#This Row],[/PR:90]:[/BR:90]],Brudnopis!$E$26:$J$26),0)</f>
        <v>1.0416666666666666E-2</v>
      </c>
      <c r="W2543" s="44">
        <f>IF(Mecze[[#This Row],[Role]]&lt;&gt;"BR",SUMPRODUCT(Mecze[[#This Row],[/PR:90]:[/BR:90]],Brudnopis!$E$27:$J$27),0)</f>
        <v>7.8125E-3</v>
      </c>
      <c r="X2543" s="44">
        <f>IF(Mecze[[#This Row],[Role]]&lt;&gt;"BR",SUMPRODUCT(Mecze[[#This Row],[/PR:90]:[/BR:90]],Brudnopis!$E$28:$J$28),0)</f>
        <v>0</v>
      </c>
      <c r="Y2543" s="35">
        <f>IF(Mecze[[#This Row],[Role]]="BR",Mecze[[#This Row],[/OB:90]]+Mecze[[#This Row],[/PC:90]],SUM(Mecze[[#This Row],[/PR:90]:[/BR:90]]))</f>
        <v>1.0416666666666666E-2</v>
      </c>
      <c r="Z2543" s="35">
        <f>IF(Mecze[[#This Row],[KC]]=0,SUM(Mecze[[#This Row],[/BRI]:[/NPI]]),SUM(Mecze[[#This Row],[/BRI]:[/NPI]])*0.6)</f>
        <v>4.4270833333333329E-2</v>
      </c>
      <c r="AA2543" s="10">
        <f>IFERROR(Mecze[[#This Row],[BR]]/Mecze[[#This Row],[ST]],0)</f>
        <v>0</v>
      </c>
      <c r="AB2543">
        <f>ROUND(Mecze[[#This Row],[PD]]*Mecze[[#This Row],[%PC]],0)</f>
        <v>0</v>
      </c>
      <c r="AC2543">
        <f>ROUND(Mecze[[#This Row],[OD]]*Mecze[[#This Row],[%OU]],0)</f>
        <v>1</v>
      </c>
      <c r="AD2543" s="36" t="s">
        <v>232</v>
      </c>
      <c r="AE2543" s="36">
        <v>141</v>
      </c>
      <c r="AF2543" s="71">
        <v>3.93</v>
      </c>
      <c r="AG2543" s="37">
        <v>0</v>
      </c>
      <c r="AH2543" s="37">
        <v>0</v>
      </c>
      <c r="AI2543" s="37">
        <v>96</v>
      </c>
      <c r="AJ2543" s="37">
        <v>6</v>
      </c>
      <c r="AK2543" s="37" t="str">
        <f>VLOOKUP(Mecze[[#This Row],[Match ID]],Meczusie[Mecz]:Meczusie[RodzajMeczu],2,FALSE)</f>
        <v>Liga</v>
      </c>
    </row>
    <row r="2544" spans="1:37" x14ac:dyDescent="0.25">
      <c r="A2544" s="76">
        <v>5</v>
      </c>
      <c r="B2544" s="3" t="s">
        <v>256</v>
      </c>
      <c r="C2544" s="2" t="s">
        <v>165</v>
      </c>
      <c r="D2544" s="1">
        <v>0</v>
      </c>
      <c r="E2544" s="1">
        <v>4</v>
      </c>
      <c r="F2544" s="1">
        <v>4</v>
      </c>
      <c r="G2544" s="1">
        <v>9</v>
      </c>
      <c r="H2544" s="4">
        <v>0.78</v>
      </c>
      <c r="I2544" s="1">
        <v>2</v>
      </c>
      <c r="J2544" s="4">
        <v>0.5</v>
      </c>
      <c r="K2544" s="1">
        <v>0</v>
      </c>
      <c r="L2544" s="1">
        <v>0</v>
      </c>
      <c r="M2544" s="32">
        <f>IF(Mecze[[#This Row],[PR]]=0,0,Mecze[[#This Row],[PR]]/Mecze[[#This Row],[CZAS]])</f>
        <v>0</v>
      </c>
      <c r="N2544" s="32">
        <f>IF(Mecze[[#This Row],[OU]]=0,0,Mecze[[#This Row],[OU]]/Mecze[[#This Row],[CZAS]])</f>
        <v>1.0416666666666666E-2</v>
      </c>
      <c r="O2544" s="32">
        <f>IF(Mecze[[#This Row],[PC]]=0,0,Mecze[[#This Row],[PC]]/Mecze[[#This Row],[CZAS]])</f>
        <v>7.2916666666666671E-2</v>
      </c>
      <c r="P2544" s="32">
        <f>IF(Mecze[[#This Row],[SC]]=0,0,Mecze[[#This Row],[SC]]/Mecze[[#This Row],[CZAS]])</f>
        <v>4.1666666666666664E-2</v>
      </c>
      <c r="Q2544" s="32">
        <f>IF(Mecze[[#This Row],[OB]]=0,0,Mecze[[#This Row],[OB]]/Mecze[[#This Row],[CZAS]])</f>
        <v>0</v>
      </c>
      <c r="R2544" s="32">
        <f>IF(Mecze[[#This Row],[BR]]=0,0,Mecze[[#This Row],[BR]]/Mecze[[#This Row],[CZAS]])</f>
        <v>0</v>
      </c>
      <c r="S2544" s="44">
        <f>IF(Mecze[[#This Row],[Role]]="BR",SUMPRODUCT(Mecze[[#This Row],[/PR:90]:[/BR:90]],Brudnopis!$E$23:$J$23),0)</f>
        <v>0</v>
      </c>
      <c r="T2544" s="44">
        <f>IF(Mecze[[#This Row],[Role]]&lt;&gt;"BR",SUMPRODUCT(Mecze[[#This Row],[/PR:90]:[/BR:90]],Brudnopis!$E$24:$J$24),0)</f>
        <v>0.13020833333333334</v>
      </c>
      <c r="U2544" s="44">
        <f>IF(Mecze[[#This Row],[Role]]&lt;&gt;"BR",SUMPRODUCT(Mecze[[#This Row],[/PR:90]:[/BR:90]],Brudnopis!$E$25:$J$25),0)</f>
        <v>0.16145833333333334</v>
      </c>
      <c r="V2544" s="44">
        <f>IF(Mecze[[#This Row],[Role]]&lt;&gt;"BR",SUMPRODUCT(Mecze[[#This Row],[/PR:90]:[/BR:90]],Brudnopis!$E$26:$J$26),0)</f>
        <v>0.125</v>
      </c>
      <c r="W2544" s="44">
        <f>IF(Mecze[[#This Row],[Role]]&lt;&gt;"BR",SUMPRODUCT(Mecze[[#This Row],[/PR:90]:[/BR:90]],Brudnopis!$E$27:$J$27),0)</f>
        <v>0.15885416666666666</v>
      </c>
      <c r="X2544" s="44">
        <f>IF(Mecze[[#This Row],[Role]]&lt;&gt;"BR",SUMPRODUCT(Mecze[[#This Row],[/PR:90]:[/BR:90]],Brudnopis!$E$28:$J$28),0)</f>
        <v>0.15625</v>
      </c>
      <c r="Y2544" s="35">
        <f>IF(Mecze[[#This Row],[Role]]="BR",Mecze[[#This Row],[/OB:90]]+Mecze[[#This Row],[/PC:90]],SUM(Mecze[[#This Row],[/PR:90]:[/BR:90]]))</f>
        <v>0.125</v>
      </c>
      <c r="Z2544" s="35">
        <f>IF(Mecze[[#This Row],[KC]]=0,SUM(Mecze[[#This Row],[/BRI]:[/NPI]]),SUM(Mecze[[#This Row],[/BRI]:[/NPI]])*0.6)</f>
        <v>0.73177083333333337</v>
      </c>
      <c r="AA2544" s="10">
        <f>IFERROR(Mecze[[#This Row],[BR]]/Mecze[[#This Row],[ST]],0)</f>
        <v>0</v>
      </c>
      <c r="AB2544">
        <f>ROUND(Mecze[[#This Row],[PD]]*Mecze[[#This Row],[%PC]],0)</f>
        <v>7</v>
      </c>
      <c r="AC2544">
        <f>ROUND(Mecze[[#This Row],[OD]]*Mecze[[#This Row],[%OU]],0)</f>
        <v>1</v>
      </c>
      <c r="AD2544" s="36" t="s">
        <v>46</v>
      </c>
      <c r="AE2544" s="36">
        <v>141</v>
      </c>
      <c r="AF2544" s="71">
        <v>6.14</v>
      </c>
      <c r="AG2544" s="37">
        <v>0</v>
      </c>
      <c r="AH2544" s="37">
        <v>0</v>
      </c>
      <c r="AI2544" s="37">
        <v>96</v>
      </c>
      <c r="AJ2544" s="37">
        <v>6</v>
      </c>
      <c r="AK2544" s="37" t="str">
        <f>VLOOKUP(Mecze[[#This Row],[Match ID]],Meczusie[Mecz]:Meczusie[RodzajMeczu],2,FALSE)</f>
        <v>Liga</v>
      </c>
    </row>
    <row r="2545" spans="1:37" x14ac:dyDescent="0.25">
      <c r="A2545" s="76">
        <v>100</v>
      </c>
      <c r="B2545" s="3" t="s">
        <v>257</v>
      </c>
      <c r="C2545" s="2" t="s">
        <v>165</v>
      </c>
      <c r="D2545" s="1">
        <v>1</v>
      </c>
      <c r="E2545" s="1">
        <v>8</v>
      </c>
      <c r="F2545" s="1">
        <v>7</v>
      </c>
      <c r="G2545" s="1">
        <v>14</v>
      </c>
      <c r="H2545" s="4">
        <v>0.79</v>
      </c>
      <c r="I2545" s="1">
        <v>1</v>
      </c>
      <c r="J2545" s="4">
        <v>1</v>
      </c>
      <c r="K2545" s="1">
        <v>0</v>
      </c>
      <c r="L2545" s="1">
        <v>0</v>
      </c>
      <c r="M2545" s="32">
        <f>IF(Mecze[[#This Row],[PR]]=0,0,Mecze[[#This Row],[PR]]/Mecze[[#This Row],[CZAS]])</f>
        <v>0</v>
      </c>
      <c r="N2545" s="32">
        <f>IF(Mecze[[#This Row],[OU]]=0,0,Mecze[[#This Row],[OU]]/Mecze[[#This Row],[CZAS]])</f>
        <v>1.0416666666666666E-2</v>
      </c>
      <c r="O2545" s="32">
        <f>IF(Mecze[[#This Row],[PC]]=0,0,Mecze[[#This Row],[PC]]/Mecze[[#This Row],[CZAS]])</f>
        <v>0.11458333333333333</v>
      </c>
      <c r="P2545" s="32">
        <f>IF(Mecze[[#This Row],[SC]]=0,0,Mecze[[#This Row],[SC]]/Mecze[[#This Row],[CZAS]])</f>
        <v>7.2916666666666671E-2</v>
      </c>
      <c r="Q2545" s="32">
        <f>IF(Mecze[[#This Row],[OB]]=0,0,Mecze[[#This Row],[OB]]/Mecze[[#This Row],[CZAS]])</f>
        <v>0</v>
      </c>
      <c r="R2545" s="32">
        <f>IF(Mecze[[#This Row],[BR]]=0,0,Mecze[[#This Row],[BR]]/Mecze[[#This Row],[CZAS]])</f>
        <v>1.0416666666666666E-2</v>
      </c>
      <c r="S2545" s="44">
        <f>IF(Mecze[[#This Row],[Role]]="BR",SUMPRODUCT(Mecze[[#This Row],[/PR:90]:[/BR:90]],Brudnopis!$E$23:$J$23),0)</f>
        <v>0</v>
      </c>
      <c r="T2545" s="44">
        <f>IF(Mecze[[#This Row],[Role]]&lt;&gt;"BR",SUMPRODUCT(Mecze[[#This Row],[/PR:90]:[/BR:90]],Brudnopis!$E$24:$J$24),0)</f>
        <v>0.21875</v>
      </c>
      <c r="U2545" s="44">
        <f>IF(Mecze[[#This Row],[Role]]&lt;&gt;"BR",SUMPRODUCT(Mecze[[#This Row],[/PR:90]:[/BR:90]],Brudnopis!$E$25:$J$25),0)</f>
        <v>0.27083333333333331</v>
      </c>
      <c r="V2545" s="44">
        <f>IF(Mecze[[#This Row],[Role]]&lt;&gt;"BR",SUMPRODUCT(Mecze[[#This Row],[/PR:90]:[/BR:90]],Brudnopis!$E$26:$J$26),0)</f>
        <v>0.21875000000000003</v>
      </c>
      <c r="W2545" s="44">
        <f>IF(Mecze[[#This Row],[Role]]&lt;&gt;"BR",SUMPRODUCT(Mecze[[#This Row],[/PR:90]:[/BR:90]],Brudnopis!$E$27:$J$27),0)</f>
        <v>0.2734375</v>
      </c>
      <c r="X2545" s="44">
        <f>IF(Mecze[[#This Row],[Role]]&lt;&gt;"BR",SUMPRODUCT(Mecze[[#This Row],[/PR:90]:[/BR:90]],Brudnopis!$E$28:$J$28),0)</f>
        <v>0.29166666666666669</v>
      </c>
      <c r="Y2545" s="35">
        <f>IF(Mecze[[#This Row],[Role]]="BR",Mecze[[#This Row],[/OB:90]]+Mecze[[#This Row],[/PC:90]],SUM(Mecze[[#This Row],[/PR:90]:[/BR:90]]))</f>
        <v>0.20833333333333334</v>
      </c>
      <c r="Z2545" s="35">
        <f>IF(Mecze[[#This Row],[KC]]=0,SUM(Mecze[[#This Row],[/BRI]:[/NPI]]),SUM(Mecze[[#This Row],[/BRI]:[/NPI]])*0.6)</f>
        <v>1.2734375</v>
      </c>
      <c r="AA2545" s="10">
        <f>IFERROR(Mecze[[#This Row],[BR]]/Mecze[[#This Row],[ST]],0)</f>
        <v>0.125</v>
      </c>
      <c r="AB2545">
        <f>ROUND(Mecze[[#This Row],[PD]]*Mecze[[#This Row],[%PC]],0)</f>
        <v>11</v>
      </c>
      <c r="AC2545">
        <f>ROUND(Mecze[[#This Row],[OD]]*Mecze[[#This Row],[%OU]],0)</f>
        <v>1</v>
      </c>
      <c r="AD2545" s="36" t="s">
        <v>46</v>
      </c>
      <c r="AE2545" s="36">
        <v>141</v>
      </c>
      <c r="AF2545" s="71">
        <v>9.1</v>
      </c>
      <c r="AG2545" s="37">
        <v>0</v>
      </c>
      <c r="AH2545" s="37">
        <v>0</v>
      </c>
      <c r="AI2545" s="37">
        <v>96</v>
      </c>
      <c r="AJ2545" s="37">
        <v>6</v>
      </c>
      <c r="AK2545" s="37" t="str">
        <f>VLOOKUP(Mecze[[#This Row],[Match ID]],Meczusie[Mecz]:Meczusie[RodzajMeczu],2,FALSE)</f>
        <v>Liga</v>
      </c>
    </row>
    <row r="2546" spans="1:37" x14ac:dyDescent="0.25">
      <c r="A2546" s="76">
        <v>105</v>
      </c>
      <c r="B2546" s="3" t="s">
        <v>423</v>
      </c>
      <c r="C2546" s="2" t="s">
        <v>157</v>
      </c>
      <c r="D2546" s="1">
        <v>0</v>
      </c>
      <c r="E2546" s="1">
        <v>0</v>
      </c>
      <c r="F2546" s="1">
        <v>0</v>
      </c>
      <c r="G2546" s="1">
        <v>4</v>
      </c>
      <c r="H2546" s="4">
        <v>1</v>
      </c>
      <c r="I2546" s="1">
        <v>4</v>
      </c>
      <c r="J2546" s="4">
        <v>0.75</v>
      </c>
      <c r="K2546" s="1">
        <v>0</v>
      </c>
      <c r="L2546" s="1">
        <v>2</v>
      </c>
      <c r="M2546" s="32">
        <f>IF(Mecze[[#This Row],[PR]]=0,0,Mecze[[#This Row],[PR]]/Mecze[[#This Row],[CZAS]])</f>
        <v>6.6666666666666666E-2</v>
      </c>
      <c r="N2546" s="32">
        <f>IF(Mecze[[#This Row],[OU]]=0,0,Mecze[[#This Row],[OU]]/Mecze[[#This Row],[CZAS]])</f>
        <v>0.1</v>
      </c>
      <c r="O2546" s="32">
        <f>IF(Mecze[[#This Row],[PC]]=0,0,Mecze[[#This Row],[PC]]/Mecze[[#This Row],[CZAS]])</f>
        <v>0.13333333333333333</v>
      </c>
      <c r="P2546" s="32">
        <f>IF(Mecze[[#This Row],[SC]]=0,0,Mecze[[#This Row],[SC]]/Mecze[[#This Row],[CZAS]])</f>
        <v>0</v>
      </c>
      <c r="Q2546" s="32">
        <f>IF(Mecze[[#This Row],[OB]]=0,0,Mecze[[#This Row],[OB]]/Mecze[[#This Row],[CZAS]])</f>
        <v>0</v>
      </c>
      <c r="R2546" s="32">
        <f>IF(Mecze[[#This Row],[BR]]=0,0,Mecze[[#This Row],[BR]]/Mecze[[#This Row],[CZAS]])</f>
        <v>0</v>
      </c>
      <c r="S2546" s="44">
        <f>IF(Mecze[[#This Row],[Role]]="BR",SUMPRODUCT(Mecze[[#This Row],[/PR:90]:[/BR:90]],Brudnopis!$E$23:$J$23),0)</f>
        <v>0</v>
      </c>
      <c r="T2546" s="44">
        <f>IF(Mecze[[#This Row],[Role]]&lt;&gt;"BR",SUMPRODUCT(Mecze[[#This Row],[/PR:90]:[/BR:90]],Brudnopis!$E$24:$J$24),0)</f>
        <v>0.35</v>
      </c>
      <c r="U2546" s="44">
        <f>IF(Mecze[[#This Row],[Role]]&lt;&gt;"BR",SUMPRODUCT(Mecze[[#This Row],[/PR:90]:[/BR:90]],Brudnopis!$E$25:$J$25),0)</f>
        <v>0.3666666666666667</v>
      </c>
      <c r="V2546" s="44">
        <f>IF(Mecze[[#This Row],[Role]]&lt;&gt;"BR",SUMPRODUCT(Mecze[[#This Row],[/PR:90]:[/BR:90]],Brudnopis!$E$26:$J$26),0)</f>
        <v>0.30000000000000004</v>
      </c>
      <c r="W2546" s="44">
        <f>IF(Mecze[[#This Row],[Role]]&lt;&gt;"BR",SUMPRODUCT(Mecze[[#This Row],[/PR:90]:[/BR:90]],Brudnopis!$E$27:$J$27),0)</f>
        <v>0.32500000000000001</v>
      </c>
      <c r="X2546" s="44">
        <f>IF(Mecze[[#This Row],[Role]]&lt;&gt;"BR",SUMPRODUCT(Mecze[[#This Row],[/PR:90]:[/BR:90]],Brudnopis!$E$28:$J$28),0)</f>
        <v>0.13333333333333333</v>
      </c>
      <c r="Y2546" s="35">
        <f>IF(Mecze[[#This Row],[Role]]="BR",Mecze[[#This Row],[/OB:90]]+Mecze[[#This Row],[/PC:90]],SUM(Mecze[[#This Row],[/PR:90]:[/BR:90]]))</f>
        <v>0.30000000000000004</v>
      </c>
      <c r="Z2546" s="35">
        <f>IF(Mecze[[#This Row],[KC]]=0,SUM(Mecze[[#This Row],[/BRI]:[/NPI]]),SUM(Mecze[[#This Row],[/BRI]:[/NPI]])*0.6)</f>
        <v>1.4749999999999999</v>
      </c>
      <c r="AA2546" s="10">
        <f>IFERROR(Mecze[[#This Row],[BR]]/Mecze[[#This Row],[ST]],0)</f>
        <v>0</v>
      </c>
      <c r="AB2546">
        <f>ROUND(Mecze[[#This Row],[PD]]*Mecze[[#This Row],[%PC]],0)</f>
        <v>4</v>
      </c>
      <c r="AC2546">
        <f>ROUND(Mecze[[#This Row],[OD]]*Mecze[[#This Row],[%OU]],0)</f>
        <v>3</v>
      </c>
      <c r="AD2546" s="36" t="s">
        <v>167</v>
      </c>
      <c r="AE2546" s="36">
        <v>141</v>
      </c>
      <c r="AF2546" s="71">
        <v>2.15</v>
      </c>
      <c r="AG2546" s="37">
        <v>0</v>
      </c>
      <c r="AH2546" s="37">
        <v>0</v>
      </c>
      <c r="AI2546" s="37">
        <v>30</v>
      </c>
      <c r="AJ2546" s="37">
        <v>6</v>
      </c>
      <c r="AK2546" s="37" t="str">
        <f>VLOOKUP(Mecze[[#This Row],[Match ID]],Meczusie[Mecz]:Meczusie[RodzajMeczu],2,FALSE)</f>
        <v>Liga</v>
      </c>
    </row>
    <row r="2547" spans="1:37" x14ac:dyDescent="0.25">
      <c r="A2547" s="76">
        <v>9</v>
      </c>
      <c r="B2547" s="3" t="s">
        <v>258</v>
      </c>
      <c r="C2547" s="2" t="s">
        <v>160</v>
      </c>
      <c r="D2547" s="1">
        <v>0</v>
      </c>
      <c r="E2547" s="1">
        <v>0</v>
      </c>
      <c r="F2547" s="1">
        <v>0</v>
      </c>
      <c r="G2547" s="1">
        <v>4</v>
      </c>
      <c r="H2547" s="4">
        <v>1</v>
      </c>
      <c r="I2547" s="1">
        <v>0</v>
      </c>
      <c r="J2547" s="4"/>
      <c r="K2547" s="1">
        <v>0</v>
      </c>
      <c r="L2547" s="1">
        <v>1</v>
      </c>
      <c r="M2547" s="32">
        <f>IF(Mecze[[#This Row],[PR]]=0,0,Mecze[[#This Row],[PR]]/Mecze[[#This Row],[CZAS]])</f>
        <v>4.1666666666666664E-2</v>
      </c>
      <c r="N2547" s="32">
        <f>IF(Mecze[[#This Row],[OU]]=0,0,Mecze[[#This Row],[OU]]/Mecze[[#This Row],[CZAS]])</f>
        <v>0</v>
      </c>
      <c r="O2547" s="32">
        <f>IF(Mecze[[#This Row],[PC]]=0,0,Mecze[[#This Row],[PC]]/Mecze[[#This Row],[CZAS]])</f>
        <v>0.16666666666666666</v>
      </c>
      <c r="P2547" s="32">
        <f>IF(Mecze[[#This Row],[SC]]=0,0,Mecze[[#This Row],[SC]]/Mecze[[#This Row],[CZAS]])</f>
        <v>0</v>
      </c>
      <c r="Q2547" s="32">
        <f>IF(Mecze[[#This Row],[OB]]=0,0,Mecze[[#This Row],[OB]]/Mecze[[#This Row],[CZAS]])</f>
        <v>0</v>
      </c>
      <c r="R2547" s="32">
        <f>IF(Mecze[[#This Row],[BR]]=0,0,Mecze[[#This Row],[BR]]/Mecze[[#This Row],[CZAS]])</f>
        <v>0</v>
      </c>
      <c r="S2547" s="44">
        <f>IF(Mecze[[#This Row],[Role]]="BR",SUMPRODUCT(Mecze[[#This Row],[/PR:90]:[/BR:90]],Brudnopis!$E$23:$J$23),0)</f>
        <v>0</v>
      </c>
      <c r="T2547" s="44">
        <f>IF(Mecze[[#This Row],[Role]]&lt;&gt;"BR",SUMPRODUCT(Mecze[[#This Row],[/PR:90]:[/BR:90]],Brudnopis!$E$24:$J$24),0)</f>
        <v>0.20833333333333331</v>
      </c>
      <c r="U2547" s="44">
        <f>IF(Mecze[[#This Row],[Role]]&lt;&gt;"BR",SUMPRODUCT(Mecze[[#This Row],[/PR:90]:[/BR:90]],Brudnopis!$E$25:$J$25),0)</f>
        <v>0.29166666666666669</v>
      </c>
      <c r="V2547" s="44">
        <f>IF(Mecze[[#This Row],[Role]]&lt;&gt;"BR",SUMPRODUCT(Mecze[[#This Row],[/PR:90]:[/BR:90]],Brudnopis!$E$26:$J$26),0)</f>
        <v>0.20833333333333331</v>
      </c>
      <c r="W2547" s="44">
        <f>IF(Mecze[[#This Row],[Role]]&lt;&gt;"BR",SUMPRODUCT(Mecze[[#This Row],[/PR:90]:[/BR:90]],Brudnopis!$E$27:$J$27),0)</f>
        <v>0.28125</v>
      </c>
      <c r="X2547" s="44">
        <f>IF(Mecze[[#This Row],[Role]]&lt;&gt;"BR",SUMPRODUCT(Mecze[[#This Row],[/PR:90]:[/BR:90]],Brudnopis!$E$28:$J$28),0)</f>
        <v>0.16666666666666666</v>
      </c>
      <c r="Y2547" s="35">
        <f>IF(Mecze[[#This Row],[Role]]="BR",Mecze[[#This Row],[/OB:90]]+Mecze[[#This Row],[/PC:90]],SUM(Mecze[[#This Row],[/PR:90]:[/BR:90]]))</f>
        <v>0.20833333333333331</v>
      </c>
      <c r="Z2547" s="35">
        <f>IF(Mecze[[#This Row],[KC]]=0,SUM(Mecze[[#This Row],[/BRI]:[/NPI]]),SUM(Mecze[[#This Row],[/BRI]:[/NPI]])*0.6)</f>
        <v>1.15625</v>
      </c>
      <c r="AA2547" s="10">
        <f>IFERROR(Mecze[[#This Row],[BR]]/Mecze[[#This Row],[ST]],0)</f>
        <v>0</v>
      </c>
      <c r="AB2547">
        <f>ROUND(Mecze[[#This Row],[PD]]*Mecze[[#This Row],[%PC]],0)</f>
        <v>4</v>
      </c>
      <c r="AC2547">
        <f>ROUND(Mecze[[#This Row],[OD]]*Mecze[[#This Row],[%OU]],0)</f>
        <v>0</v>
      </c>
      <c r="AD2547" s="36" t="s">
        <v>319</v>
      </c>
      <c r="AE2547" s="36">
        <v>141</v>
      </c>
      <c r="AF2547" s="71">
        <v>1.94</v>
      </c>
      <c r="AG2547" s="37">
        <v>0</v>
      </c>
      <c r="AH2547" s="37">
        <v>0</v>
      </c>
      <c r="AI2547" s="37">
        <v>24</v>
      </c>
      <c r="AJ2547" s="37">
        <v>6</v>
      </c>
      <c r="AK2547" s="37" t="str">
        <f>VLOOKUP(Mecze[[#This Row],[Match ID]],Meczusie[Mecz]:Meczusie[RodzajMeczu],2,FALSE)</f>
        <v>Liga</v>
      </c>
    </row>
    <row r="2548" spans="1:37" x14ac:dyDescent="0.25">
      <c r="A2548" s="76">
        <v>39</v>
      </c>
      <c r="B2548" s="3" t="s">
        <v>450</v>
      </c>
      <c r="C2548" s="2" t="s">
        <v>155</v>
      </c>
      <c r="D2548" s="1">
        <v>0</v>
      </c>
      <c r="E2548" s="1">
        <v>0</v>
      </c>
      <c r="F2548" s="1">
        <v>0</v>
      </c>
      <c r="G2548" s="1">
        <v>4</v>
      </c>
      <c r="H2548" s="4">
        <v>0.25</v>
      </c>
      <c r="I2548" s="1">
        <v>0</v>
      </c>
      <c r="J2548" s="4"/>
      <c r="K2548" s="1">
        <v>2</v>
      </c>
      <c r="L2548" s="1">
        <v>0</v>
      </c>
      <c r="M2548" s="32">
        <f>IF(Mecze[[#This Row],[PR]]=0,0,Mecze[[#This Row],[PR]]/Mecze[[#This Row],[CZAS]])</f>
        <v>0</v>
      </c>
      <c r="N2548" s="32">
        <f>IF(Mecze[[#This Row],[OU]]=0,0,Mecze[[#This Row],[OU]]/Mecze[[#This Row],[CZAS]])</f>
        <v>0</v>
      </c>
      <c r="O2548" s="32">
        <f>IF(Mecze[[#This Row],[PC]]=0,0,Mecze[[#This Row],[PC]]/Mecze[[#This Row],[CZAS]])</f>
        <v>1.0309278350515464E-2</v>
      </c>
      <c r="P2548" s="32">
        <f>IF(Mecze[[#This Row],[SC]]=0,0,Mecze[[#This Row],[SC]]/Mecze[[#This Row],[CZAS]])</f>
        <v>0</v>
      </c>
      <c r="Q2548" s="32">
        <f>IF(Mecze[[#This Row],[OB]]=0,0,Mecze[[#This Row],[OB]]/Mecze[[#This Row],[CZAS]])</f>
        <v>2.0618556701030927E-2</v>
      </c>
      <c r="R2548" s="32">
        <f>IF(Mecze[[#This Row],[BR]]=0,0,Mecze[[#This Row],[BR]]/Mecze[[#This Row],[CZAS]])</f>
        <v>0</v>
      </c>
      <c r="S2548" s="44">
        <f>IF(Mecze[[#This Row],[Role]]="BR",SUMPRODUCT(Mecze[[#This Row],[/PR:90]:[/BR:90]],Brudnopis!$E$23:$J$23),0)</f>
        <v>9.2783505154639179E-2</v>
      </c>
      <c r="T2548" s="44">
        <f>IF(Mecze[[#This Row],[Role]]&lt;&gt;"BR",SUMPRODUCT(Mecze[[#This Row],[/PR:90]:[/BR:90]],Brudnopis!$E$24:$J$24),0)</f>
        <v>0</v>
      </c>
      <c r="U2548" s="44">
        <f>IF(Mecze[[#This Row],[Role]]&lt;&gt;"BR",SUMPRODUCT(Mecze[[#This Row],[/PR:90]:[/BR:90]],Brudnopis!$E$25:$J$25),0)</f>
        <v>0</v>
      </c>
      <c r="V2548" s="44">
        <f>IF(Mecze[[#This Row],[Role]]&lt;&gt;"BR",SUMPRODUCT(Mecze[[#This Row],[/PR:90]:[/BR:90]],Brudnopis!$E$26:$J$26),0)</f>
        <v>0</v>
      </c>
      <c r="W2548" s="44">
        <f>IF(Mecze[[#This Row],[Role]]&lt;&gt;"BR",SUMPRODUCT(Mecze[[#This Row],[/PR:90]:[/BR:90]],Brudnopis!$E$27:$J$27),0)</f>
        <v>0</v>
      </c>
      <c r="X2548" s="44">
        <f>IF(Mecze[[#This Row],[Role]]&lt;&gt;"BR",SUMPRODUCT(Mecze[[#This Row],[/PR:90]:[/BR:90]],Brudnopis!$E$28:$J$28),0)</f>
        <v>0</v>
      </c>
      <c r="Y2548" s="35">
        <f>IF(Mecze[[#This Row],[Role]]="BR",Mecze[[#This Row],[/OB:90]]+Mecze[[#This Row],[/PC:90]],SUM(Mecze[[#This Row],[/PR:90]:[/BR:90]]))</f>
        <v>3.0927835051546393E-2</v>
      </c>
      <c r="Z2548" s="35">
        <f>IF(Mecze[[#This Row],[KC]]=0,SUM(Mecze[[#This Row],[/BRI]:[/NPI]]),SUM(Mecze[[#This Row],[/BRI]:[/NPI]])*0.6)</f>
        <v>9.2783505154639179E-2</v>
      </c>
      <c r="AA2548" s="10">
        <f>IFERROR(Mecze[[#This Row],[BR]]/Mecze[[#This Row],[ST]],0)</f>
        <v>0</v>
      </c>
      <c r="AB2548">
        <f>ROUND(Mecze[[#This Row],[PD]]*Mecze[[#This Row],[%PC]],0)</f>
        <v>1</v>
      </c>
      <c r="AC2548">
        <f>ROUND(Mecze[[#This Row],[OD]]*Mecze[[#This Row],[%OU]],0)</f>
        <v>0</v>
      </c>
      <c r="AD2548" s="36" t="s">
        <v>40</v>
      </c>
      <c r="AE2548" s="36">
        <v>142</v>
      </c>
      <c r="AF2548" s="71">
        <v>3.4</v>
      </c>
      <c r="AG2548" s="37">
        <v>0</v>
      </c>
      <c r="AH2548" s="37">
        <v>0</v>
      </c>
      <c r="AI2548" s="37">
        <v>97</v>
      </c>
      <c r="AJ2548" s="37">
        <v>1</v>
      </c>
      <c r="AK2548" s="37" t="str">
        <f>VLOOKUP(Mecze[[#This Row],[Match ID]],Meczusie[Mecz]:Meczusie[RodzajMeczu],2,FALSE)</f>
        <v>Towarzyski</v>
      </c>
    </row>
    <row r="2549" spans="1:37" x14ac:dyDescent="0.25">
      <c r="A2549" s="76">
        <v>38</v>
      </c>
      <c r="B2549" s="3" t="s">
        <v>359</v>
      </c>
      <c r="C2549" s="2" t="s">
        <v>157</v>
      </c>
      <c r="D2549" s="1">
        <v>0</v>
      </c>
      <c r="E2549" s="1">
        <v>0</v>
      </c>
      <c r="F2549" s="1">
        <v>0</v>
      </c>
      <c r="G2549" s="1">
        <v>9</v>
      </c>
      <c r="H2549" s="4">
        <v>0.67</v>
      </c>
      <c r="I2549" s="1">
        <v>4</v>
      </c>
      <c r="J2549" s="4">
        <v>0.5</v>
      </c>
      <c r="K2549" s="1">
        <v>0</v>
      </c>
      <c r="L2549" s="1">
        <v>8</v>
      </c>
      <c r="M2549" s="32">
        <f>IF(Mecze[[#This Row],[PR]]=0,0,Mecze[[#This Row],[PR]]/Mecze[[#This Row],[CZAS]])</f>
        <v>8.247422680412371E-2</v>
      </c>
      <c r="N2549" s="32">
        <f>IF(Mecze[[#This Row],[OU]]=0,0,Mecze[[#This Row],[OU]]/Mecze[[#This Row],[CZAS]])</f>
        <v>2.0618556701030927E-2</v>
      </c>
      <c r="O2549" s="32">
        <f>IF(Mecze[[#This Row],[PC]]=0,0,Mecze[[#This Row],[PC]]/Mecze[[#This Row],[CZAS]])</f>
        <v>6.1855670103092786E-2</v>
      </c>
      <c r="P2549" s="32">
        <f>IF(Mecze[[#This Row],[SC]]=0,0,Mecze[[#This Row],[SC]]/Mecze[[#This Row],[CZAS]])</f>
        <v>0</v>
      </c>
      <c r="Q2549" s="32">
        <f>IF(Mecze[[#This Row],[OB]]=0,0,Mecze[[#This Row],[OB]]/Mecze[[#This Row],[CZAS]])</f>
        <v>0</v>
      </c>
      <c r="R2549" s="32">
        <f>IF(Mecze[[#This Row],[BR]]=0,0,Mecze[[#This Row],[BR]]/Mecze[[#This Row],[CZAS]])</f>
        <v>0</v>
      </c>
      <c r="S2549" s="44">
        <f>IF(Mecze[[#This Row],[Role]]="BR",SUMPRODUCT(Mecze[[#This Row],[/PR:90]:[/BR:90]],Brudnopis!$E$23:$J$23),0)</f>
        <v>0</v>
      </c>
      <c r="T2549" s="44">
        <f>IF(Mecze[[#This Row],[Role]]&lt;&gt;"BR",SUMPRODUCT(Mecze[[#This Row],[/PR:90]:[/BR:90]],Brudnopis!$E$24:$J$24),0)</f>
        <v>0.17525773195876287</v>
      </c>
      <c r="U2549" s="44">
        <f>IF(Mecze[[#This Row],[Role]]&lt;&gt;"BR",SUMPRODUCT(Mecze[[#This Row],[/PR:90]:[/BR:90]],Brudnopis!$E$25:$J$25),0)</f>
        <v>0.19587628865979381</v>
      </c>
      <c r="V2549" s="44">
        <f>IF(Mecze[[#This Row],[Role]]&lt;&gt;"BR",SUMPRODUCT(Mecze[[#This Row],[/PR:90]:[/BR:90]],Brudnopis!$E$26:$J$26),0)</f>
        <v>0.16494845360824742</v>
      </c>
      <c r="W2549" s="44">
        <f>IF(Mecze[[#This Row],[Role]]&lt;&gt;"BR",SUMPRODUCT(Mecze[[#This Row],[/PR:90]:[/BR:90]],Brudnopis!$E$27:$J$27),0)</f>
        <v>0.17010309278350516</v>
      </c>
      <c r="X2549" s="44">
        <f>IF(Mecze[[#This Row],[Role]]&lt;&gt;"BR",SUMPRODUCT(Mecze[[#This Row],[/PR:90]:[/BR:90]],Brudnopis!$E$28:$J$28),0)</f>
        <v>6.1855670103092786E-2</v>
      </c>
      <c r="Y2549" s="35">
        <f>IF(Mecze[[#This Row],[Role]]="BR",Mecze[[#This Row],[/OB:90]]+Mecze[[#This Row],[/PC:90]],SUM(Mecze[[#This Row],[/PR:90]:[/BR:90]]))</f>
        <v>0.16494845360824742</v>
      </c>
      <c r="Z2549" s="35">
        <f>IF(Mecze[[#This Row],[KC]]=0,SUM(Mecze[[#This Row],[/BRI]:[/NPI]]),SUM(Mecze[[#This Row],[/BRI]:[/NPI]])*0.6)</f>
        <v>0.768041237113402</v>
      </c>
      <c r="AA2549" s="10">
        <f>IFERROR(Mecze[[#This Row],[BR]]/Mecze[[#This Row],[ST]],0)</f>
        <v>0</v>
      </c>
      <c r="AB2549">
        <f>ROUND(Mecze[[#This Row],[PD]]*Mecze[[#This Row],[%PC]],0)</f>
        <v>6</v>
      </c>
      <c r="AC2549">
        <f>ROUND(Mecze[[#This Row],[OD]]*Mecze[[#This Row],[%OU]],0)</f>
        <v>2</v>
      </c>
      <c r="AD2549" s="36" t="s">
        <v>47</v>
      </c>
      <c r="AE2549" s="36">
        <v>142</v>
      </c>
      <c r="AF2549" s="71">
        <v>5.5</v>
      </c>
      <c r="AG2549" s="37">
        <v>0</v>
      </c>
      <c r="AH2549" s="37">
        <v>0</v>
      </c>
      <c r="AI2549" s="37">
        <v>97</v>
      </c>
      <c r="AJ2549" s="37">
        <v>1</v>
      </c>
      <c r="AK2549" s="37" t="str">
        <f>VLOOKUP(Mecze[[#This Row],[Match ID]],Meczusie[Mecz]:Meczusie[RodzajMeczu],2,FALSE)</f>
        <v>Towarzyski</v>
      </c>
    </row>
    <row r="2550" spans="1:37" x14ac:dyDescent="0.25">
      <c r="A2550" s="76">
        <v>17</v>
      </c>
      <c r="B2550" s="3" t="s">
        <v>413</v>
      </c>
      <c r="C2550" s="2" t="s">
        <v>157</v>
      </c>
      <c r="D2550" s="1">
        <v>0</v>
      </c>
      <c r="E2550" s="1">
        <v>0</v>
      </c>
      <c r="F2550" s="1">
        <v>0</v>
      </c>
      <c r="G2550" s="1">
        <v>9</v>
      </c>
      <c r="H2550" s="4">
        <v>0.67</v>
      </c>
      <c r="I2550" s="1">
        <v>4</v>
      </c>
      <c r="J2550" s="4">
        <v>0.75</v>
      </c>
      <c r="K2550" s="1">
        <v>0</v>
      </c>
      <c r="L2550" s="1">
        <v>9</v>
      </c>
      <c r="M2550" s="32">
        <f>IF(Mecze[[#This Row],[PR]]=0,0,Mecze[[#This Row],[PR]]/Mecze[[#This Row],[CZAS]])</f>
        <v>9.2783505154639179E-2</v>
      </c>
      <c r="N2550" s="32">
        <f>IF(Mecze[[#This Row],[OU]]=0,0,Mecze[[#This Row],[OU]]/Mecze[[#This Row],[CZAS]])</f>
        <v>3.0927835051546393E-2</v>
      </c>
      <c r="O2550" s="32">
        <f>IF(Mecze[[#This Row],[PC]]=0,0,Mecze[[#This Row],[PC]]/Mecze[[#This Row],[CZAS]])</f>
        <v>6.1855670103092786E-2</v>
      </c>
      <c r="P2550" s="32">
        <f>IF(Mecze[[#This Row],[SC]]=0,0,Mecze[[#This Row],[SC]]/Mecze[[#This Row],[CZAS]])</f>
        <v>0</v>
      </c>
      <c r="Q2550" s="32">
        <f>IF(Mecze[[#This Row],[OB]]=0,0,Mecze[[#This Row],[OB]]/Mecze[[#This Row],[CZAS]])</f>
        <v>0</v>
      </c>
      <c r="R2550" s="32">
        <f>IF(Mecze[[#This Row],[BR]]=0,0,Mecze[[#This Row],[BR]]/Mecze[[#This Row],[CZAS]])</f>
        <v>0</v>
      </c>
      <c r="S2550" s="44">
        <f>IF(Mecze[[#This Row],[Role]]="BR",SUMPRODUCT(Mecze[[#This Row],[/PR:90]:[/BR:90]],Brudnopis!$E$23:$J$23),0)</f>
        <v>0</v>
      </c>
      <c r="T2550" s="44">
        <f>IF(Mecze[[#This Row],[Role]]&lt;&gt;"BR",SUMPRODUCT(Mecze[[#This Row],[/PR:90]:[/BR:90]],Brudnopis!$E$24:$J$24),0)</f>
        <v>0.20103092783505155</v>
      </c>
      <c r="U2550" s="44">
        <f>IF(Mecze[[#This Row],[Role]]&lt;&gt;"BR",SUMPRODUCT(Mecze[[#This Row],[/PR:90]:[/BR:90]],Brudnopis!$E$25:$J$25),0)</f>
        <v>0.21649484536082475</v>
      </c>
      <c r="V2550" s="44">
        <f>IF(Mecze[[#This Row],[Role]]&lt;&gt;"BR",SUMPRODUCT(Mecze[[#This Row],[/PR:90]:[/BR:90]],Brudnopis!$E$26:$J$26),0)</f>
        <v>0.18556701030927836</v>
      </c>
      <c r="W2550" s="44">
        <f>IF(Mecze[[#This Row],[Role]]&lt;&gt;"BR",SUMPRODUCT(Mecze[[#This Row],[/PR:90]:[/BR:90]],Brudnopis!$E$27:$J$27),0)</f>
        <v>0.18556701030927836</v>
      </c>
      <c r="X2550" s="44">
        <f>IF(Mecze[[#This Row],[Role]]&lt;&gt;"BR",SUMPRODUCT(Mecze[[#This Row],[/PR:90]:[/BR:90]],Brudnopis!$E$28:$J$28),0)</f>
        <v>6.1855670103092786E-2</v>
      </c>
      <c r="Y2550" s="35">
        <f>IF(Mecze[[#This Row],[Role]]="BR",Mecze[[#This Row],[/OB:90]]+Mecze[[#This Row],[/PC:90]],SUM(Mecze[[#This Row],[/PR:90]:[/BR:90]]))</f>
        <v>0.18556701030927836</v>
      </c>
      <c r="Z2550" s="35">
        <f>IF(Mecze[[#This Row],[KC]]=0,SUM(Mecze[[#This Row],[/BRI]:[/NPI]]),SUM(Mecze[[#This Row],[/BRI]:[/NPI]])*0.6)</f>
        <v>0.85051546391752586</v>
      </c>
      <c r="AA2550" s="10">
        <f>IFERROR(Mecze[[#This Row],[BR]]/Mecze[[#This Row],[ST]],0)</f>
        <v>0</v>
      </c>
      <c r="AB2550">
        <f>ROUND(Mecze[[#This Row],[PD]]*Mecze[[#This Row],[%PC]],0)</f>
        <v>6</v>
      </c>
      <c r="AC2550">
        <f>ROUND(Mecze[[#This Row],[OD]]*Mecze[[#This Row],[%OU]],0)</f>
        <v>3</v>
      </c>
      <c r="AD2550" s="36" t="s">
        <v>167</v>
      </c>
      <c r="AE2550" s="36">
        <v>142</v>
      </c>
      <c r="AF2550" s="71">
        <v>5.71</v>
      </c>
      <c r="AG2550" s="37">
        <v>0</v>
      </c>
      <c r="AH2550" s="37">
        <v>0</v>
      </c>
      <c r="AI2550" s="37">
        <v>97</v>
      </c>
      <c r="AJ2550" s="37">
        <v>1</v>
      </c>
      <c r="AK2550" s="37" t="str">
        <f>VLOOKUP(Mecze[[#This Row],[Match ID]],Meczusie[Mecz]:Meczusie[RodzajMeczu],2,FALSE)</f>
        <v>Towarzyski</v>
      </c>
    </row>
    <row r="2551" spans="1:37" x14ac:dyDescent="0.25">
      <c r="A2551" s="76">
        <v>50</v>
      </c>
      <c r="B2551" s="3" t="s">
        <v>496</v>
      </c>
      <c r="C2551" s="2" t="s">
        <v>157</v>
      </c>
      <c r="D2551" s="1">
        <v>0</v>
      </c>
      <c r="E2551" s="1">
        <v>0</v>
      </c>
      <c r="F2551" s="1">
        <v>0</v>
      </c>
      <c r="G2551" s="1">
        <v>16</v>
      </c>
      <c r="H2551" s="4">
        <v>0.5</v>
      </c>
      <c r="I2551" s="1">
        <v>9</v>
      </c>
      <c r="J2551" s="4">
        <v>0.56000000000000005</v>
      </c>
      <c r="K2551" s="1">
        <v>0</v>
      </c>
      <c r="L2551" s="1">
        <v>14</v>
      </c>
      <c r="M2551" s="32">
        <f>IF(Mecze[[#This Row],[PR]]=0,0,Mecze[[#This Row],[PR]]/Mecze[[#This Row],[CZAS]])</f>
        <v>0.14432989690721648</v>
      </c>
      <c r="N2551" s="32">
        <f>IF(Mecze[[#This Row],[OU]]=0,0,Mecze[[#This Row],[OU]]/Mecze[[#This Row],[CZAS]])</f>
        <v>5.1546391752577317E-2</v>
      </c>
      <c r="O2551" s="32">
        <f>IF(Mecze[[#This Row],[PC]]=0,0,Mecze[[#This Row],[PC]]/Mecze[[#This Row],[CZAS]])</f>
        <v>8.247422680412371E-2</v>
      </c>
      <c r="P2551" s="32">
        <f>IF(Mecze[[#This Row],[SC]]=0,0,Mecze[[#This Row],[SC]]/Mecze[[#This Row],[CZAS]])</f>
        <v>0</v>
      </c>
      <c r="Q2551" s="32">
        <f>IF(Mecze[[#This Row],[OB]]=0,0,Mecze[[#This Row],[OB]]/Mecze[[#This Row],[CZAS]])</f>
        <v>0</v>
      </c>
      <c r="R2551" s="32">
        <f>IF(Mecze[[#This Row],[BR]]=0,0,Mecze[[#This Row],[BR]]/Mecze[[#This Row],[CZAS]])</f>
        <v>0</v>
      </c>
      <c r="S2551" s="44">
        <f>IF(Mecze[[#This Row],[Role]]="BR",SUMPRODUCT(Mecze[[#This Row],[/PR:90]:[/BR:90]],Brudnopis!$E$23:$J$23),0)</f>
        <v>0</v>
      </c>
      <c r="T2551" s="44">
        <f>IF(Mecze[[#This Row],[Role]]&lt;&gt;"BR",SUMPRODUCT(Mecze[[#This Row],[/PR:90]:[/BR:90]],Brudnopis!$E$24:$J$24),0)</f>
        <v>0.30412371134020616</v>
      </c>
      <c r="U2551" s="44">
        <f>IF(Mecze[[#This Row],[Role]]&lt;&gt;"BR",SUMPRODUCT(Mecze[[#This Row],[/PR:90]:[/BR:90]],Brudnopis!$E$25:$J$25),0)</f>
        <v>0.31958762886597936</v>
      </c>
      <c r="V2551" s="44">
        <f>IF(Mecze[[#This Row],[Role]]&lt;&gt;"BR",SUMPRODUCT(Mecze[[#This Row],[/PR:90]:[/BR:90]],Brudnopis!$E$26:$J$26),0)</f>
        <v>0.27835051546391748</v>
      </c>
      <c r="W2551" s="44">
        <f>IF(Mecze[[#This Row],[Role]]&lt;&gt;"BR",SUMPRODUCT(Mecze[[#This Row],[/PR:90]:[/BR:90]],Brudnopis!$E$27:$J$27),0)</f>
        <v>0.27061855670103091</v>
      </c>
      <c r="X2551" s="44">
        <f>IF(Mecze[[#This Row],[Role]]&lt;&gt;"BR",SUMPRODUCT(Mecze[[#This Row],[/PR:90]:[/BR:90]],Brudnopis!$E$28:$J$28),0)</f>
        <v>8.247422680412371E-2</v>
      </c>
      <c r="Y2551" s="35">
        <f>IF(Mecze[[#This Row],[Role]]="BR",Mecze[[#This Row],[/OB:90]]+Mecze[[#This Row],[/PC:90]],SUM(Mecze[[#This Row],[/PR:90]:[/BR:90]]))</f>
        <v>0.27835051546391748</v>
      </c>
      <c r="Z2551" s="35">
        <f>IF(Mecze[[#This Row],[KC]]=0,SUM(Mecze[[#This Row],[/BRI]:[/NPI]]),SUM(Mecze[[#This Row],[/BRI]:[/NPI]])*0.6)</f>
        <v>1.2551546391752575</v>
      </c>
      <c r="AA2551" s="10">
        <f>IFERROR(Mecze[[#This Row],[BR]]/Mecze[[#This Row],[ST]],0)</f>
        <v>0</v>
      </c>
      <c r="AB2551">
        <f>ROUND(Mecze[[#This Row],[PD]]*Mecze[[#This Row],[%PC]],0)</f>
        <v>8</v>
      </c>
      <c r="AC2551">
        <f>ROUND(Mecze[[#This Row],[OD]]*Mecze[[#This Row],[%OU]],0)</f>
        <v>5</v>
      </c>
      <c r="AD2551" s="36" t="s">
        <v>168</v>
      </c>
      <c r="AE2551" s="36">
        <v>142</v>
      </c>
      <c r="AF2551" s="71">
        <v>6.76</v>
      </c>
      <c r="AG2551" s="37">
        <v>0</v>
      </c>
      <c r="AH2551" s="37">
        <v>0</v>
      </c>
      <c r="AI2551" s="37">
        <v>97</v>
      </c>
      <c r="AJ2551" s="37">
        <v>1</v>
      </c>
      <c r="AK2551" s="37" t="str">
        <f>VLOOKUP(Mecze[[#This Row],[Match ID]],Meczusie[Mecz]:Meczusie[RodzajMeczu],2,FALSE)</f>
        <v>Towarzyski</v>
      </c>
    </row>
    <row r="2552" spans="1:37" x14ac:dyDescent="0.25">
      <c r="A2552" s="76">
        <v>52</v>
      </c>
      <c r="B2552" s="3" t="s">
        <v>408</v>
      </c>
      <c r="C2552" s="2" t="s">
        <v>160</v>
      </c>
      <c r="D2552" s="1">
        <v>0</v>
      </c>
      <c r="E2552" s="1">
        <v>0</v>
      </c>
      <c r="F2552" s="1">
        <v>0</v>
      </c>
      <c r="G2552" s="1">
        <v>12</v>
      </c>
      <c r="H2552" s="4">
        <v>0.5</v>
      </c>
      <c r="I2552" s="1">
        <v>5</v>
      </c>
      <c r="J2552" s="4">
        <v>0</v>
      </c>
      <c r="K2552" s="1">
        <v>0</v>
      </c>
      <c r="L2552" s="1">
        <v>5</v>
      </c>
      <c r="M2552" s="32">
        <f>IF(Mecze[[#This Row],[PR]]=0,0,Mecze[[#This Row],[PR]]/Mecze[[#This Row],[CZAS]])</f>
        <v>5.1546391752577317E-2</v>
      </c>
      <c r="N2552" s="32">
        <f>IF(Mecze[[#This Row],[OU]]=0,0,Mecze[[#This Row],[OU]]/Mecze[[#This Row],[CZAS]])</f>
        <v>0</v>
      </c>
      <c r="O2552" s="32">
        <f>IF(Mecze[[#This Row],[PC]]=0,0,Mecze[[#This Row],[PC]]/Mecze[[#This Row],[CZAS]])</f>
        <v>6.1855670103092786E-2</v>
      </c>
      <c r="P2552" s="32">
        <f>IF(Mecze[[#This Row],[SC]]=0,0,Mecze[[#This Row],[SC]]/Mecze[[#This Row],[CZAS]])</f>
        <v>0</v>
      </c>
      <c r="Q2552" s="32">
        <f>IF(Mecze[[#This Row],[OB]]=0,0,Mecze[[#This Row],[OB]]/Mecze[[#This Row],[CZAS]])</f>
        <v>0</v>
      </c>
      <c r="R2552" s="32">
        <f>IF(Mecze[[#This Row],[BR]]=0,0,Mecze[[#This Row],[BR]]/Mecze[[#This Row],[CZAS]])</f>
        <v>0</v>
      </c>
      <c r="S2552" s="44">
        <f>IF(Mecze[[#This Row],[Role]]="BR",SUMPRODUCT(Mecze[[#This Row],[/PR:90]:[/BR:90]],Brudnopis!$E$23:$J$23),0)</f>
        <v>0</v>
      </c>
      <c r="T2552" s="44">
        <f>IF(Mecze[[#This Row],[Role]]&lt;&gt;"BR",SUMPRODUCT(Mecze[[#This Row],[/PR:90]:[/BR:90]],Brudnopis!$E$24:$J$24),0)</f>
        <v>0.1134020618556701</v>
      </c>
      <c r="U2552" s="44">
        <f>IF(Mecze[[#This Row],[Role]]&lt;&gt;"BR",SUMPRODUCT(Mecze[[#This Row],[/PR:90]:[/BR:90]],Brudnopis!$E$25:$J$25),0)</f>
        <v>0.14432989690721648</v>
      </c>
      <c r="V2552" s="44">
        <f>IF(Mecze[[#This Row],[Role]]&lt;&gt;"BR",SUMPRODUCT(Mecze[[#This Row],[/PR:90]:[/BR:90]],Brudnopis!$E$26:$J$26),0)</f>
        <v>0.1134020618556701</v>
      </c>
      <c r="W2552" s="44">
        <f>IF(Mecze[[#This Row],[Role]]&lt;&gt;"BR",SUMPRODUCT(Mecze[[#This Row],[/PR:90]:[/BR:90]],Brudnopis!$E$27:$J$27),0)</f>
        <v>0.13144329896907217</v>
      </c>
      <c r="X2552" s="44">
        <f>IF(Mecze[[#This Row],[Role]]&lt;&gt;"BR",SUMPRODUCT(Mecze[[#This Row],[/PR:90]:[/BR:90]],Brudnopis!$E$28:$J$28),0)</f>
        <v>6.1855670103092786E-2</v>
      </c>
      <c r="Y2552" s="35">
        <f>IF(Mecze[[#This Row],[Role]]="BR",Mecze[[#This Row],[/OB:90]]+Mecze[[#This Row],[/PC:90]],SUM(Mecze[[#This Row],[/PR:90]:[/BR:90]]))</f>
        <v>0.1134020618556701</v>
      </c>
      <c r="Z2552" s="35">
        <f>IF(Mecze[[#This Row],[KC]]=0,SUM(Mecze[[#This Row],[/BRI]:[/NPI]]),SUM(Mecze[[#This Row],[/BRI]:[/NPI]])*0.6)</f>
        <v>0.56443298969072164</v>
      </c>
      <c r="AA2552" s="10">
        <f>IFERROR(Mecze[[#This Row],[BR]]/Mecze[[#This Row],[ST]],0)</f>
        <v>0</v>
      </c>
      <c r="AB2552">
        <f>ROUND(Mecze[[#This Row],[PD]]*Mecze[[#This Row],[%PC]],0)</f>
        <v>6</v>
      </c>
      <c r="AC2552">
        <f>ROUND(Mecze[[#This Row],[OD]]*Mecze[[#This Row],[%OU]],0)</f>
        <v>0</v>
      </c>
      <c r="AD2552" s="36" t="s">
        <v>41</v>
      </c>
      <c r="AE2552" s="36">
        <v>142</v>
      </c>
      <c r="AF2552" s="71">
        <v>4.96</v>
      </c>
      <c r="AG2552" s="37">
        <v>0</v>
      </c>
      <c r="AH2552" s="37">
        <v>0</v>
      </c>
      <c r="AI2552" s="37">
        <v>97</v>
      </c>
      <c r="AJ2552" s="37">
        <v>1</v>
      </c>
      <c r="AK2552" s="37" t="str">
        <f>VLOOKUP(Mecze[[#This Row],[Match ID]],Meczusie[Mecz]:Meczusie[RodzajMeczu],2,FALSE)</f>
        <v>Towarzyski</v>
      </c>
    </row>
    <row r="2553" spans="1:37" x14ac:dyDescent="0.25">
      <c r="A2553" s="76">
        <v>40</v>
      </c>
      <c r="B2553" s="3" t="s">
        <v>453</v>
      </c>
      <c r="C2553" s="2" t="s">
        <v>160</v>
      </c>
      <c r="D2553" s="1">
        <v>0</v>
      </c>
      <c r="E2553" s="1">
        <v>0</v>
      </c>
      <c r="F2553" s="1">
        <v>0</v>
      </c>
      <c r="G2553" s="1">
        <v>16</v>
      </c>
      <c r="H2553" s="4">
        <v>0.63</v>
      </c>
      <c r="I2553" s="1">
        <v>8</v>
      </c>
      <c r="J2553" s="4">
        <v>0.25</v>
      </c>
      <c r="K2553" s="1">
        <v>0</v>
      </c>
      <c r="L2553" s="1">
        <v>5</v>
      </c>
      <c r="M2553" s="32">
        <f>IF(Mecze[[#This Row],[PR]]=0,0,Mecze[[#This Row],[PR]]/Mecze[[#This Row],[CZAS]])</f>
        <v>5.1546391752577317E-2</v>
      </c>
      <c r="N2553" s="32">
        <f>IF(Mecze[[#This Row],[OU]]=0,0,Mecze[[#This Row],[OU]]/Mecze[[#This Row],[CZAS]])</f>
        <v>2.0618556701030927E-2</v>
      </c>
      <c r="O2553" s="32">
        <f>IF(Mecze[[#This Row],[PC]]=0,0,Mecze[[#This Row],[PC]]/Mecze[[#This Row],[CZAS]])</f>
        <v>0.10309278350515463</v>
      </c>
      <c r="P2553" s="32">
        <f>IF(Mecze[[#This Row],[SC]]=0,0,Mecze[[#This Row],[SC]]/Mecze[[#This Row],[CZAS]])</f>
        <v>0</v>
      </c>
      <c r="Q2553" s="32">
        <f>IF(Mecze[[#This Row],[OB]]=0,0,Mecze[[#This Row],[OB]]/Mecze[[#This Row],[CZAS]])</f>
        <v>0</v>
      </c>
      <c r="R2553" s="32">
        <f>IF(Mecze[[#This Row],[BR]]=0,0,Mecze[[#This Row],[BR]]/Mecze[[#This Row],[CZAS]])</f>
        <v>0</v>
      </c>
      <c r="S2553" s="44">
        <f>IF(Mecze[[#This Row],[Role]]="BR",SUMPRODUCT(Mecze[[#This Row],[/PR:90]:[/BR:90]],Brudnopis!$E$23:$J$23),0)</f>
        <v>0</v>
      </c>
      <c r="T2553" s="44">
        <f>IF(Mecze[[#This Row],[Role]]&lt;&gt;"BR",SUMPRODUCT(Mecze[[#This Row],[/PR:90]:[/BR:90]],Brudnopis!$E$24:$J$24),0)</f>
        <v>0.18556701030927836</v>
      </c>
      <c r="U2553" s="44">
        <f>IF(Mecze[[#This Row],[Role]]&lt;&gt;"BR",SUMPRODUCT(Mecze[[#This Row],[/PR:90]:[/BR:90]],Brudnopis!$E$25:$J$25),0)</f>
        <v>0.22680412371134021</v>
      </c>
      <c r="V2553" s="44">
        <f>IF(Mecze[[#This Row],[Role]]&lt;&gt;"BR",SUMPRODUCT(Mecze[[#This Row],[/PR:90]:[/BR:90]],Brudnopis!$E$26:$J$26),0)</f>
        <v>0.17525773195876287</v>
      </c>
      <c r="W2553" s="44">
        <f>IF(Mecze[[#This Row],[Role]]&lt;&gt;"BR",SUMPRODUCT(Mecze[[#This Row],[/PR:90]:[/BR:90]],Brudnopis!$E$27:$J$27),0)</f>
        <v>0.20876288659793815</v>
      </c>
      <c r="X2553" s="44">
        <f>IF(Mecze[[#This Row],[Role]]&lt;&gt;"BR",SUMPRODUCT(Mecze[[#This Row],[/PR:90]:[/BR:90]],Brudnopis!$E$28:$J$28),0)</f>
        <v>0.10309278350515463</v>
      </c>
      <c r="Y2553" s="35">
        <f>IF(Mecze[[#This Row],[Role]]="BR",Mecze[[#This Row],[/OB:90]]+Mecze[[#This Row],[/PC:90]],SUM(Mecze[[#This Row],[/PR:90]:[/BR:90]]))</f>
        <v>0.17525773195876287</v>
      </c>
      <c r="Z2553" s="35">
        <f>IF(Mecze[[#This Row],[KC]]=0,SUM(Mecze[[#This Row],[/BRI]:[/NPI]]),SUM(Mecze[[#This Row],[/BRI]:[/NPI]])*0.6)</f>
        <v>0.89948453608247414</v>
      </c>
      <c r="AA2553" s="10">
        <f>IFERROR(Mecze[[#This Row],[BR]]/Mecze[[#This Row],[ST]],0)</f>
        <v>0</v>
      </c>
      <c r="AB2553">
        <f>ROUND(Mecze[[#This Row],[PD]]*Mecze[[#This Row],[%PC]],0)</f>
        <v>10</v>
      </c>
      <c r="AC2553">
        <f>ROUND(Mecze[[#This Row],[OD]]*Mecze[[#This Row],[%OU]],0)</f>
        <v>2</v>
      </c>
      <c r="AD2553" s="36" t="s">
        <v>41</v>
      </c>
      <c r="AE2553" s="36">
        <v>142</v>
      </c>
      <c r="AF2553" s="71">
        <v>4.96</v>
      </c>
      <c r="AG2553" s="37">
        <v>0</v>
      </c>
      <c r="AH2553" s="37">
        <v>0</v>
      </c>
      <c r="AI2553" s="37">
        <v>97</v>
      </c>
      <c r="AJ2553" s="37">
        <v>1</v>
      </c>
      <c r="AK2553" s="37" t="str">
        <f>VLOOKUP(Mecze[[#This Row],[Match ID]],Meczusie[Mecz]:Meczusie[RodzajMeczu],2,FALSE)</f>
        <v>Towarzyski</v>
      </c>
    </row>
    <row r="2554" spans="1:37" x14ac:dyDescent="0.25">
      <c r="A2554" s="76">
        <v>45</v>
      </c>
      <c r="B2554" s="3" t="s">
        <v>394</v>
      </c>
      <c r="C2554" s="2" t="s">
        <v>160</v>
      </c>
      <c r="D2554" s="1">
        <v>1</v>
      </c>
      <c r="E2554" s="1">
        <v>3</v>
      </c>
      <c r="F2554" s="1">
        <v>3</v>
      </c>
      <c r="G2554" s="1">
        <v>7</v>
      </c>
      <c r="H2554" s="4">
        <v>0.28999999999999998</v>
      </c>
      <c r="I2554" s="1">
        <v>2</v>
      </c>
      <c r="J2554" s="4">
        <v>0.5</v>
      </c>
      <c r="K2554" s="1">
        <v>0</v>
      </c>
      <c r="L2554" s="1">
        <v>4</v>
      </c>
      <c r="M2554" s="32">
        <f>IF(Mecze[[#This Row],[PR]]=0,0,Mecze[[#This Row],[PR]]/Mecze[[#This Row],[CZAS]])</f>
        <v>4.1237113402061855E-2</v>
      </c>
      <c r="N2554" s="32">
        <f>IF(Mecze[[#This Row],[OU]]=0,0,Mecze[[#This Row],[OU]]/Mecze[[#This Row],[CZAS]])</f>
        <v>1.0309278350515464E-2</v>
      </c>
      <c r="O2554" s="32">
        <f>IF(Mecze[[#This Row],[PC]]=0,0,Mecze[[#This Row],[PC]]/Mecze[[#This Row],[CZAS]])</f>
        <v>2.0618556701030927E-2</v>
      </c>
      <c r="P2554" s="32">
        <f>IF(Mecze[[#This Row],[SC]]=0,0,Mecze[[#This Row],[SC]]/Mecze[[#This Row],[CZAS]])</f>
        <v>3.0927835051546393E-2</v>
      </c>
      <c r="Q2554" s="32">
        <f>IF(Mecze[[#This Row],[OB]]=0,0,Mecze[[#This Row],[OB]]/Mecze[[#This Row],[CZAS]])</f>
        <v>0</v>
      </c>
      <c r="R2554" s="32">
        <f>IF(Mecze[[#This Row],[BR]]=0,0,Mecze[[#This Row],[BR]]/Mecze[[#This Row],[CZAS]])</f>
        <v>1.0309278350515464E-2</v>
      </c>
      <c r="S2554" s="44">
        <f>IF(Mecze[[#This Row],[Role]]="BR",SUMPRODUCT(Mecze[[#This Row],[/PR:90]:[/BR:90]],Brudnopis!$E$23:$J$23),0)</f>
        <v>0</v>
      </c>
      <c r="T2554" s="44">
        <f>IF(Mecze[[#This Row],[Role]]&lt;&gt;"BR",SUMPRODUCT(Mecze[[#This Row],[/PR:90]:[/BR:90]],Brudnopis!$E$24:$J$24),0)</f>
        <v>0.12371134020618557</v>
      </c>
      <c r="U2554" s="44">
        <f>IF(Mecze[[#This Row],[Role]]&lt;&gt;"BR",SUMPRODUCT(Mecze[[#This Row],[/PR:90]:[/BR:90]],Brudnopis!$E$25:$J$25),0)</f>
        <v>0.12886597938144329</v>
      </c>
      <c r="V2554" s="44">
        <f>IF(Mecze[[#This Row],[Role]]&lt;&gt;"BR",SUMPRODUCT(Mecze[[#This Row],[/PR:90]:[/BR:90]],Brudnopis!$E$26:$J$26),0)</f>
        <v>0.12371134020618556</v>
      </c>
      <c r="W2554" s="44">
        <f>IF(Mecze[[#This Row],[Role]]&lt;&gt;"BR",SUMPRODUCT(Mecze[[#This Row],[/PR:90]:[/BR:90]],Brudnopis!$E$27:$J$27),0)</f>
        <v>0.1211340206185567</v>
      </c>
      <c r="X2554" s="44">
        <f>IF(Mecze[[#This Row],[Role]]&lt;&gt;"BR",SUMPRODUCT(Mecze[[#This Row],[/PR:90]:[/BR:90]],Brudnopis!$E$28:$J$28),0)</f>
        <v>0.1134020618556701</v>
      </c>
      <c r="Y2554" s="35">
        <f>IF(Mecze[[#This Row],[Role]]="BR",Mecze[[#This Row],[/OB:90]]+Mecze[[#This Row],[/PC:90]],SUM(Mecze[[#This Row],[/PR:90]:[/BR:90]]))</f>
        <v>0.1134020618556701</v>
      </c>
      <c r="Z2554" s="35">
        <f>IF(Mecze[[#This Row],[KC]]=0,SUM(Mecze[[#This Row],[/BRI]:[/NPI]]),SUM(Mecze[[#This Row],[/BRI]:[/NPI]])*0.6)</f>
        <v>0.61082474226804129</v>
      </c>
      <c r="AA2554" s="10">
        <f>IFERROR(Mecze[[#This Row],[BR]]/Mecze[[#This Row],[ST]],0)</f>
        <v>0.33333333333333331</v>
      </c>
      <c r="AB2554">
        <f>ROUND(Mecze[[#This Row],[PD]]*Mecze[[#This Row],[%PC]],0)</f>
        <v>2</v>
      </c>
      <c r="AC2554">
        <f>ROUND(Mecze[[#This Row],[OD]]*Mecze[[#This Row],[%OU]],0)</f>
        <v>1</v>
      </c>
      <c r="AD2554" s="36" t="s">
        <v>44</v>
      </c>
      <c r="AE2554" s="36">
        <v>142</v>
      </c>
      <c r="AF2554" s="71">
        <v>6.34</v>
      </c>
      <c r="AG2554" s="37">
        <v>0</v>
      </c>
      <c r="AH2554" s="37">
        <v>0</v>
      </c>
      <c r="AI2554" s="37">
        <v>97</v>
      </c>
      <c r="AJ2554" s="37">
        <v>1</v>
      </c>
      <c r="AK2554" s="37" t="str">
        <f>VLOOKUP(Mecze[[#This Row],[Match ID]],Meczusie[Mecz]:Meczusie[RodzajMeczu],2,FALSE)</f>
        <v>Towarzyski</v>
      </c>
    </row>
    <row r="2555" spans="1:37" x14ac:dyDescent="0.25">
      <c r="A2555" s="76">
        <v>25</v>
      </c>
      <c r="B2555" s="3" t="s">
        <v>366</v>
      </c>
      <c r="C2555" s="2" t="s">
        <v>160</v>
      </c>
      <c r="D2555" s="1">
        <v>0</v>
      </c>
      <c r="E2555" s="1">
        <v>1</v>
      </c>
      <c r="F2555" s="1">
        <v>1</v>
      </c>
      <c r="G2555" s="1">
        <v>5</v>
      </c>
      <c r="H2555" s="4">
        <v>0.6</v>
      </c>
      <c r="I2555" s="1">
        <v>2</v>
      </c>
      <c r="J2555" s="4">
        <v>0</v>
      </c>
      <c r="K2555" s="1">
        <v>0</v>
      </c>
      <c r="L2555" s="1">
        <v>1</v>
      </c>
      <c r="M2555" s="32">
        <f>IF(Mecze[[#This Row],[PR]]=0,0,Mecze[[#This Row],[PR]]/Mecze[[#This Row],[CZAS]])</f>
        <v>1.0309278350515464E-2</v>
      </c>
      <c r="N2555" s="32">
        <f>IF(Mecze[[#This Row],[OU]]=0,0,Mecze[[#This Row],[OU]]/Mecze[[#This Row],[CZAS]])</f>
        <v>0</v>
      </c>
      <c r="O2555" s="32">
        <f>IF(Mecze[[#This Row],[PC]]=0,0,Mecze[[#This Row],[PC]]/Mecze[[#This Row],[CZAS]])</f>
        <v>3.0927835051546393E-2</v>
      </c>
      <c r="P2555" s="32">
        <f>IF(Mecze[[#This Row],[SC]]=0,0,Mecze[[#This Row],[SC]]/Mecze[[#This Row],[CZAS]])</f>
        <v>1.0309278350515464E-2</v>
      </c>
      <c r="Q2555" s="32">
        <f>IF(Mecze[[#This Row],[OB]]=0,0,Mecze[[#This Row],[OB]]/Mecze[[#This Row],[CZAS]])</f>
        <v>0</v>
      </c>
      <c r="R2555" s="32">
        <f>IF(Mecze[[#This Row],[BR]]=0,0,Mecze[[#This Row],[BR]]/Mecze[[#This Row],[CZAS]])</f>
        <v>0</v>
      </c>
      <c r="S2555" s="44">
        <f>IF(Mecze[[#This Row],[Role]]="BR",SUMPRODUCT(Mecze[[#This Row],[/PR:90]:[/BR:90]],Brudnopis!$E$23:$J$23),0)</f>
        <v>0</v>
      </c>
      <c r="T2555" s="44">
        <f>IF(Mecze[[#This Row],[Role]]&lt;&gt;"BR",SUMPRODUCT(Mecze[[#This Row],[/PR:90]:[/BR:90]],Brudnopis!$E$24:$J$24),0)</f>
        <v>5.1546391752577317E-2</v>
      </c>
      <c r="U2555" s="44">
        <f>IF(Mecze[[#This Row],[Role]]&lt;&gt;"BR",SUMPRODUCT(Mecze[[#This Row],[/PR:90]:[/BR:90]],Brudnopis!$E$25:$J$25),0)</f>
        <v>6.7010309278350513E-2</v>
      </c>
      <c r="V2555" s="44">
        <f>IF(Mecze[[#This Row],[Role]]&lt;&gt;"BR",SUMPRODUCT(Mecze[[#This Row],[/PR:90]:[/BR:90]],Brudnopis!$E$26:$J$26),0)</f>
        <v>5.1546391752577317E-2</v>
      </c>
      <c r="W2555" s="44">
        <f>IF(Mecze[[#This Row],[Role]]&lt;&gt;"BR",SUMPRODUCT(Mecze[[#This Row],[/PR:90]:[/BR:90]],Brudnopis!$E$27:$J$27),0)</f>
        <v>6.4432989690721656E-2</v>
      </c>
      <c r="X2555" s="44">
        <f>IF(Mecze[[#This Row],[Role]]&lt;&gt;"BR",SUMPRODUCT(Mecze[[#This Row],[/PR:90]:[/BR:90]],Brudnopis!$E$28:$J$28),0)</f>
        <v>5.1546391752577317E-2</v>
      </c>
      <c r="Y2555" s="35">
        <f>IF(Mecze[[#This Row],[Role]]="BR",Mecze[[#This Row],[/OB:90]]+Mecze[[#This Row],[/PC:90]],SUM(Mecze[[#This Row],[/PR:90]:[/BR:90]]))</f>
        <v>5.1546391752577317E-2</v>
      </c>
      <c r="Z2555" s="35">
        <f>IF(Mecze[[#This Row],[KC]]=0,SUM(Mecze[[#This Row],[/BRI]:[/NPI]]),SUM(Mecze[[#This Row],[/BRI]:[/NPI]])*0.6)</f>
        <v>0.28608247422680411</v>
      </c>
      <c r="AA2555" s="10">
        <f>IFERROR(Mecze[[#This Row],[BR]]/Mecze[[#This Row],[ST]],0)</f>
        <v>0</v>
      </c>
      <c r="AB2555">
        <f>ROUND(Mecze[[#This Row],[PD]]*Mecze[[#This Row],[%PC]],0)</f>
        <v>3</v>
      </c>
      <c r="AC2555">
        <f>ROUND(Mecze[[#This Row],[OD]]*Mecze[[#This Row],[%OU]],0)</f>
        <v>0</v>
      </c>
      <c r="AD2555" s="36" t="s">
        <v>44</v>
      </c>
      <c r="AE2555" s="36">
        <v>142</v>
      </c>
      <c r="AF2555" s="71">
        <v>4.3499999999999996</v>
      </c>
      <c r="AG2555" s="37">
        <v>0</v>
      </c>
      <c r="AH2555" s="37">
        <v>0</v>
      </c>
      <c r="AI2555" s="37">
        <v>97</v>
      </c>
      <c r="AJ2555" s="37">
        <v>1</v>
      </c>
      <c r="AK2555" s="37" t="str">
        <f>VLOOKUP(Mecze[[#This Row],[Match ID]],Meczusie[Mecz]:Meczusie[RodzajMeczu],2,FALSE)</f>
        <v>Towarzyski</v>
      </c>
    </row>
    <row r="2556" spans="1:37" x14ac:dyDescent="0.25">
      <c r="A2556" s="76">
        <v>31</v>
      </c>
      <c r="B2556" s="3" t="s">
        <v>365</v>
      </c>
      <c r="C2556" s="2" t="s">
        <v>165</v>
      </c>
      <c r="D2556" s="1">
        <v>0</v>
      </c>
      <c r="E2556" s="1">
        <v>8</v>
      </c>
      <c r="F2556" s="1">
        <v>8</v>
      </c>
      <c r="G2556" s="1">
        <v>13</v>
      </c>
      <c r="H2556" s="4">
        <v>0.77</v>
      </c>
      <c r="I2556" s="1">
        <v>6</v>
      </c>
      <c r="J2556" s="4">
        <v>0.17</v>
      </c>
      <c r="K2556" s="1">
        <v>0</v>
      </c>
      <c r="L2556" s="1">
        <v>1</v>
      </c>
      <c r="M2556" s="32">
        <f>IF(Mecze[[#This Row],[PR]]=0,0,Mecze[[#This Row],[PR]]/Mecze[[#This Row],[CZAS]])</f>
        <v>1.0309278350515464E-2</v>
      </c>
      <c r="N2556" s="32">
        <f>IF(Mecze[[#This Row],[OU]]=0,0,Mecze[[#This Row],[OU]]/Mecze[[#This Row],[CZAS]])</f>
        <v>1.0309278350515464E-2</v>
      </c>
      <c r="O2556" s="32">
        <f>IF(Mecze[[#This Row],[PC]]=0,0,Mecze[[#This Row],[PC]]/Mecze[[#This Row],[CZAS]])</f>
        <v>0.10309278350515463</v>
      </c>
      <c r="P2556" s="32">
        <f>IF(Mecze[[#This Row],[SC]]=0,0,Mecze[[#This Row],[SC]]/Mecze[[#This Row],[CZAS]])</f>
        <v>8.247422680412371E-2</v>
      </c>
      <c r="Q2556" s="32">
        <f>IF(Mecze[[#This Row],[OB]]=0,0,Mecze[[#This Row],[OB]]/Mecze[[#This Row],[CZAS]])</f>
        <v>0</v>
      </c>
      <c r="R2556" s="32">
        <f>IF(Mecze[[#This Row],[BR]]=0,0,Mecze[[#This Row],[BR]]/Mecze[[#This Row],[CZAS]])</f>
        <v>0</v>
      </c>
      <c r="S2556" s="44">
        <f>IF(Mecze[[#This Row],[Role]]="BR",SUMPRODUCT(Mecze[[#This Row],[/PR:90]:[/BR:90]],Brudnopis!$E$23:$J$23),0)</f>
        <v>0</v>
      </c>
      <c r="T2556" s="44">
        <f>IF(Mecze[[#This Row],[Role]]&lt;&gt;"BR",SUMPRODUCT(Mecze[[#This Row],[/PR:90]:[/BR:90]],Brudnopis!$E$24:$J$24),0)</f>
        <v>0.21134020618556698</v>
      </c>
      <c r="U2556" s="44">
        <f>IF(Mecze[[#This Row],[Role]]&lt;&gt;"BR",SUMPRODUCT(Mecze[[#This Row],[/PR:90]:[/BR:90]],Brudnopis!$E$25:$J$25),0)</f>
        <v>0.25773195876288663</v>
      </c>
      <c r="V2556" s="44">
        <f>IF(Mecze[[#This Row],[Role]]&lt;&gt;"BR",SUMPRODUCT(Mecze[[#This Row],[/PR:90]:[/BR:90]],Brudnopis!$E$26:$J$26),0)</f>
        <v>0.20618556701030927</v>
      </c>
      <c r="W2556" s="44">
        <f>IF(Mecze[[#This Row],[Role]]&lt;&gt;"BR",SUMPRODUCT(Mecze[[#This Row],[/PR:90]:[/BR:90]],Brudnopis!$E$27:$J$27),0)</f>
        <v>0.25257731958762886</v>
      </c>
      <c r="X2556" s="44">
        <f>IF(Mecze[[#This Row],[Role]]&lt;&gt;"BR",SUMPRODUCT(Mecze[[#This Row],[/PR:90]:[/BR:90]],Brudnopis!$E$28:$J$28),0)</f>
        <v>0.26804123711340205</v>
      </c>
      <c r="Y2556" s="35">
        <f>IF(Mecze[[#This Row],[Role]]="BR",Mecze[[#This Row],[/OB:90]]+Mecze[[#This Row],[/PC:90]],SUM(Mecze[[#This Row],[/PR:90]:[/BR:90]]))</f>
        <v>0.20618556701030927</v>
      </c>
      <c r="Z2556" s="35">
        <f>IF(Mecze[[#This Row],[KC]]=0,SUM(Mecze[[#This Row],[/BRI]:[/NPI]]),SUM(Mecze[[#This Row],[/BRI]:[/NPI]])*0.6)</f>
        <v>1.1958762886597938</v>
      </c>
      <c r="AA2556" s="10">
        <f>IFERROR(Mecze[[#This Row],[BR]]/Mecze[[#This Row],[ST]],0)</f>
        <v>0</v>
      </c>
      <c r="AB2556">
        <f>ROUND(Mecze[[#This Row],[PD]]*Mecze[[#This Row],[%PC]],0)</f>
        <v>10</v>
      </c>
      <c r="AC2556">
        <f>ROUND(Mecze[[#This Row],[OD]]*Mecze[[#This Row],[%OU]],0)</f>
        <v>1</v>
      </c>
      <c r="AD2556" s="36" t="s">
        <v>46</v>
      </c>
      <c r="AE2556" s="36">
        <v>142</v>
      </c>
      <c r="AF2556" s="71">
        <v>5.8</v>
      </c>
      <c r="AG2556" s="37">
        <v>0</v>
      </c>
      <c r="AH2556" s="37">
        <v>0</v>
      </c>
      <c r="AI2556" s="37">
        <v>97</v>
      </c>
      <c r="AJ2556" s="37">
        <v>1</v>
      </c>
      <c r="AK2556" s="37" t="str">
        <f>VLOOKUP(Mecze[[#This Row],[Match ID]],Meczusie[Mecz]:Meczusie[RodzajMeczu],2,FALSE)</f>
        <v>Towarzyski</v>
      </c>
    </row>
    <row r="2557" spans="1:37" x14ac:dyDescent="0.25">
      <c r="A2557" s="76">
        <v>46</v>
      </c>
      <c r="B2557" s="3" t="s">
        <v>395</v>
      </c>
      <c r="C2557" s="2" t="s">
        <v>165</v>
      </c>
      <c r="D2557" s="1">
        <v>0</v>
      </c>
      <c r="E2557" s="1">
        <v>2</v>
      </c>
      <c r="F2557" s="1">
        <v>1</v>
      </c>
      <c r="G2557" s="1">
        <v>8</v>
      </c>
      <c r="H2557" s="4">
        <v>0.63</v>
      </c>
      <c r="I2557" s="1">
        <v>1</v>
      </c>
      <c r="J2557" s="4">
        <v>0</v>
      </c>
      <c r="K2557" s="1">
        <v>0</v>
      </c>
      <c r="L2557" s="1">
        <v>0</v>
      </c>
      <c r="M2557" s="32">
        <f>IF(Mecze[[#This Row],[PR]]=0,0,Mecze[[#This Row],[PR]]/Mecze[[#This Row],[CZAS]])</f>
        <v>0</v>
      </c>
      <c r="N2557" s="32">
        <f>IF(Mecze[[#This Row],[OU]]=0,0,Mecze[[#This Row],[OU]]/Mecze[[#This Row],[CZAS]])</f>
        <v>0</v>
      </c>
      <c r="O2557" s="32">
        <f>IF(Mecze[[#This Row],[PC]]=0,0,Mecze[[#This Row],[PC]]/Mecze[[#This Row],[CZAS]])</f>
        <v>5.1546391752577317E-2</v>
      </c>
      <c r="P2557" s="32">
        <f>IF(Mecze[[#This Row],[SC]]=0,0,Mecze[[#This Row],[SC]]/Mecze[[#This Row],[CZAS]])</f>
        <v>1.0309278350515464E-2</v>
      </c>
      <c r="Q2557" s="32">
        <f>IF(Mecze[[#This Row],[OB]]=0,0,Mecze[[#This Row],[OB]]/Mecze[[#This Row],[CZAS]])</f>
        <v>0</v>
      </c>
      <c r="R2557" s="32">
        <f>IF(Mecze[[#This Row],[BR]]=0,0,Mecze[[#This Row],[BR]]/Mecze[[#This Row],[CZAS]])</f>
        <v>0</v>
      </c>
      <c r="S2557" s="44">
        <f>IF(Mecze[[#This Row],[Role]]="BR",SUMPRODUCT(Mecze[[#This Row],[/PR:90]:[/BR:90]],Brudnopis!$E$23:$J$23),0)</f>
        <v>0</v>
      </c>
      <c r="T2557" s="44">
        <f>IF(Mecze[[#This Row],[Role]]&lt;&gt;"BR",SUMPRODUCT(Mecze[[#This Row],[/PR:90]:[/BR:90]],Brudnopis!$E$24:$J$24),0)</f>
        <v>6.1855670103092779E-2</v>
      </c>
      <c r="U2557" s="44">
        <f>IF(Mecze[[#This Row],[Role]]&lt;&gt;"BR",SUMPRODUCT(Mecze[[#This Row],[/PR:90]:[/BR:90]],Brudnopis!$E$25:$J$25),0)</f>
        <v>8.7628865979381451E-2</v>
      </c>
      <c r="V2557" s="44">
        <f>IF(Mecze[[#This Row],[Role]]&lt;&gt;"BR",SUMPRODUCT(Mecze[[#This Row],[/PR:90]:[/BR:90]],Brudnopis!$E$26:$J$26),0)</f>
        <v>6.1855670103092779E-2</v>
      </c>
      <c r="W2557" s="44">
        <f>IF(Mecze[[#This Row],[Role]]&lt;&gt;"BR",SUMPRODUCT(Mecze[[#This Row],[/PR:90]:[/BR:90]],Brudnopis!$E$27:$J$27),0)</f>
        <v>8.7628865979381451E-2</v>
      </c>
      <c r="X2557" s="44">
        <f>IF(Mecze[[#This Row],[Role]]&lt;&gt;"BR",SUMPRODUCT(Mecze[[#This Row],[/PR:90]:[/BR:90]],Brudnopis!$E$28:$J$28),0)</f>
        <v>7.2164948453608241E-2</v>
      </c>
      <c r="Y2557" s="35">
        <f>IF(Mecze[[#This Row],[Role]]="BR",Mecze[[#This Row],[/OB:90]]+Mecze[[#This Row],[/PC:90]],SUM(Mecze[[#This Row],[/PR:90]:[/BR:90]]))</f>
        <v>6.1855670103092779E-2</v>
      </c>
      <c r="Z2557" s="35">
        <f>IF(Mecze[[#This Row],[KC]]=0,SUM(Mecze[[#This Row],[/BRI]:[/NPI]]),SUM(Mecze[[#This Row],[/BRI]:[/NPI]])*0.6)</f>
        <v>0.37113402061855671</v>
      </c>
      <c r="AA2557" s="10">
        <f>IFERROR(Mecze[[#This Row],[BR]]/Mecze[[#This Row],[ST]],0)</f>
        <v>0</v>
      </c>
      <c r="AB2557">
        <f>ROUND(Mecze[[#This Row],[PD]]*Mecze[[#This Row],[%PC]],0)</f>
        <v>5</v>
      </c>
      <c r="AC2557">
        <f>ROUND(Mecze[[#This Row],[OD]]*Mecze[[#This Row],[%OU]],0)</f>
        <v>0</v>
      </c>
      <c r="AD2557" s="36" t="s">
        <v>46</v>
      </c>
      <c r="AE2557" s="36">
        <v>142</v>
      </c>
      <c r="AF2557" s="71">
        <v>4.26</v>
      </c>
      <c r="AG2557" s="37">
        <v>0</v>
      </c>
      <c r="AH2557" s="37">
        <v>0</v>
      </c>
      <c r="AI2557" s="37">
        <v>97</v>
      </c>
      <c r="AJ2557" s="37">
        <v>1</v>
      </c>
      <c r="AK2557" s="37" t="str">
        <f>VLOOKUP(Mecze[[#This Row],[Match ID]],Meczusie[Mecz]:Meczusie[RodzajMeczu],2,FALSE)</f>
        <v>Towarzyski</v>
      </c>
    </row>
    <row r="2558" spans="1:37" x14ac:dyDescent="0.25">
      <c r="A2558" s="76">
        <v>61</v>
      </c>
      <c r="B2558" s="3" t="s">
        <v>454</v>
      </c>
      <c r="C2558" s="2" t="s">
        <v>165</v>
      </c>
      <c r="D2558" s="1">
        <v>0</v>
      </c>
      <c r="E2558" s="1">
        <v>2</v>
      </c>
      <c r="F2558" s="1">
        <v>1</v>
      </c>
      <c r="G2558" s="1">
        <v>5</v>
      </c>
      <c r="H2558" s="4">
        <v>0.8</v>
      </c>
      <c r="I2558" s="1">
        <v>1</v>
      </c>
      <c r="J2558" s="4">
        <v>0</v>
      </c>
      <c r="K2558" s="1">
        <v>0</v>
      </c>
      <c r="L2558" s="1">
        <v>0</v>
      </c>
      <c r="M2558" s="32">
        <f>IF(Mecze[[#This Row],[PR]]=0,0,Mecze[[#This Row],[PR]]/Mecze[[#This Row],[CZAS]])</f>
        <v>0</v>
      </c>
      <c r="N2558" s="32">
        <f>IF(Mecze[[#This Row],[OU]]=0,0,Mecze[[#This Row],[OU]]/Mecze[[#This Row],[CZAS]])</f>
        <v>0</v>
      </c>
      <c r="O2558" s="32">
        <f>IF(Mecze[[#This Row],[PC]]=0,0,Mecze[[#This Row],[PC]]/Mecze[[#This Row],[CZAS]])</f>
        <v>4.1237113402061855E-2</v>
      </c>
      <c r="P2558" s="32">
        <f>IF(Mecze[[#This Row],[SC]]=0,0,Mecze[[#This Row],[SC]]/Mecze[[#This Row],[CZAS]])</f>
        <v>1.0309278350515464E-2</v>
      </c>
      <c r="Q2558" s="32">
        <f>IF(Mecze[[#This Row],[OB]]=0,0,Mecze[[#This Row],[OB]]/Mecze[[#This Row],[CZAS]])</f>
        <v>0</v>
      </c>
      <c r="R2558" s="32">
        <f>IF(Mecze[[#This Row],[BR]]=0,0,Mecze[[#This Row],[BR]]/Mecze[[#This Row],[CZAS]])</f>
        <v>0</v>
      </c>
      <c r="S2558" s="44">
        <f>IF(Mecze[[#This Row],[Role]]="BR",SUMPRODUCT(Mecze[[#This Row],[/PR:90]:[/BR:90]],Brudnopis!$E$23:$J$23),0)</f>
        <v>0</v>
      </c>
      <c r="T2558" s="44">
        <f>IF(Mecze[[#This Row],[Role]]&lt;&gt;"BR",SUMPRODUCT(Mecze[[#This Row],[/PR:90]:[/BR:90]],Brudnopis!$E$24:$J$24),0)</f>
        <v>5.1546391752577317E-2</v>
      </c>
      <c r="U2558" s="44">
        <f>IF(Mecze[[#This Row],[Role]]&lt;&gt;"BR",SUMPRODUCT(Mecze[[#This Row],[/PR:90]:[/BR:90]],Brudnopis!$E$25:$J$25),0)</f>
        <v>7.2164948453608255E-2</v>
      </c>
      <c r="V2558" s="44">
        <f>IF(Mecze[[#This Row],[Role]]&lt;&gt;"BR",SUMPRODUCT(Mecze[[#This Row],[/PR:90]:[/BR:90]],Brudnopis!$E$26:$J$26),0)</f>
        <v>5.1546391752577317E-2</v>
      </c>
      <c r="W2558" s="44">
        <f>IF(Mecze[[#This Row],[Role]]&lt;&gt;"BR",SUMPRODUCT(Mecze[[#This Row],[/PR:90]:[/BR:90]],Brudnopis!$E$27:$J$27),0)</f>
        <v>7.2164948453608255E-2</v>
      </c>
      <c r="X2558" s="44">
        <f>IF(Mecze[[#This Row],[Role]]&lt;&gt;"BR",SUMPRODUCT(Mecze[[#This Row],[/PR:90]:[/BR:90]],Brudnopis!$E$28:$J$28),0)</f>
        <v>6.1855670103092786E-2</v>
      </c>
      <c r="Y2558" s="35">
        <f>IF(Mecze[[#This Row],[Role]]="BR",Mecze[[#This Row],[/OB:90]]+Mecze[[#This Row],[/PC:90]],SUM(Mecze[[#This Row],[/PR:90]:[/BR:90]]))</f>
        <v>5.1546391752577317E-2</v>
      </c>
      <c r="Z2558" s="35">
        <f>IF(Mecze[[#This Row],[KC]]=0,SUM(Mecze[[#This Row],[/BRI]:[/NPI]]),SUM(Mecze[[#This Row],[/BRI]:[/NPI]])*0.6)</f>
        <v>0.30927835051546393</v>
      </c>
      <c r="AA2558" s="10">
        <f>IFERROR(Mecze[[#This Row],[BR]]/Mecze[[#This Row],[ST]],0)</f>
        <v>0</v>
      </c>
      <c r="AB2558">
        <f>ROUND(Mecze[[#This Row],[PD]]*Mecze[[#This Row],[%PC]],0)</f>
        <v>4</v>
      </c>
      <c r="AC2558">
        <f>ROUND(Mecze[[#This Row],[OD]]*Mecze[[#This Row],[%OU]],0)</f>
        <v>0</v>
      </c>
      <c r="AD2558" s="36" t="s">
        <v>46</v>
      </c>
      <c r="AE2558" s="36">
        <v>142</v>
      </c>
      <c r="AF2558" s="71">
        <v>5.18</v>
      </c>
      <c r="AG2558" s="37">
        <v>0</v>
      </c>
      <c r="AH2558" s="37">
        <v>0</v>
      </c>
      <c r="AI2558" s="37">
        <v>97</v>
      </c>
      <c r="AJ2558" s="37">
        <v>1</v>
      </c>
      <c r="AK2558" s="37" t="str">
        <f>VLOOKUP(Mecze[[#This Row],[Match ID]],Meczusie[Mecz]:Meczusie[RodzajMeczu],2,FALSE)</f>
        <v>Towarzyski</v>
      </c>
    </row>
    <row r="2559" spans="1:37" x14ac:dyDescent="0.25">
      <c r="A2559" s="76">
        <v>39</v>
      </c>
      <c r="B2559" s="3" t="s">
        <v>450</v>
      </c>
      <c r="C2559" s="2" t="s">
        <v>155</v>
      </c>
      <c r="D2559" s="1">
        <v>0</v>
      </c>
      <c r="E2559" s="1">
        <v>0</v>
      </c>
      <c r="F2559" s="1">
        <v>0</v>
      </c>
      <c r="G2559" s="1">
        <v>9</v>
      </c>
      <c r="H2559" s="4">
        <v>0.67</v>
      </c>
      <c r="I2559" s="1">
        <v>0</v>
      </c>
      <c r="J2559" s="4"/>
      <c r="K2559" s="1">
        <v>8</v>
      </c>
      <c r="L2559" s="1">
        <v>0</v>
      </c>
      <c r="M2559" s="32">
        <f>IF(Mecze[[#This Row],[PR]]=0,0,Mecze[[#This Row],[PR]]/Mecze[[#This Row],[CZAS]])</f>
        <v>0</v>
      </c>
      <c r="N2559" s="32">
        <f>IF(Mecze[[#This Row],[OU]]=0,0,Mecze[[#This Row],[OU]]/Mecze[[#This Row],[CZAS]])</f>
        <v>0</v>
      </c>
      <c r="O2559" s="32">
        <f>IF(Mecze[[#This Row],[PC]]=0,0,Mecze[[#This Row],[PC]]/Mecze[[#This Row],[CZAS]])</f>
        <v>6.1855670103092786E-2</v>
      </c>
      <c r="P2559" s="32">
        <f>IF(Mecze[[#This Row],[SC]]=0,0,Mecze[[#This Row],[SC]]/Mecze[[#This Row],[CZAS]])</f>
        <v>0</v>
      </c>
      <c r="Q2559" s="32">
        <f>IF(Mecze[[#This Row],[OB]]=0,0,Mecze[[#This Row],[OB]]/Mecze[[#This Row],[CZAS]])</f>
        <v>8.247422680412371E-2</v>
      </c>
      <c r="R2559" s="32">
        <f>IF(Mecze[[#This Row],[BR]]=0,0,Mecze[[#This Row],[BR]]/Mecze[[#This Row],[CZAS]])</f>
        <v>0</v>
      </c>
      <c r="S2559" s="44">
        <f>IF(Mecze[[#This Row],[Role]]="BR",SUMPRODUCT(Mecze[[#This Row],[/PR:90]:[/BR:90]],Brudnopis!$E$23:$J$23),0)</f>
        <v>0.4329896907216495</v>
      </c>
      <c r="T2559" s="44">
        <f>IF(Mecze[[#This Row],[Role]]&lt;&gt;"BR",SUMPRODUCT(Mecze[[#This Row],[/PR:90]:[/BR:90]],Brudnopis!$E$24:$J$24),0)</f>
        <v>0</v>
      </c>
      <c r="U2559" s="44">
        <f>IF(Mecze[[#This Row],[Role]]&lt;&gt;"BR",SUMPRODUCT(Mecze[[#This Row],[/PR:90]:[/BR:90]],Brudnopis!$E$25:$J$25),0)</f>
        <v>0</v>
      </c>
      <c r="V2559" s="44">
        <f>IF(Mecze[[#This Row],[Role]]&lt;&gt;"BR",SUMPRODUCT(Mecze[[#This Row],[/PR:90]:[/BR:90]],Brudnopis!$E$26:$J$26),0)</f>
        <v>0</v>
      </c>
      <c r="W2559" s="44">
        <f>IF(Mecze[[#This Row],[Role]]&lt;&gt;"BR",SUMPRODUCT(Mecze[[#This Row],[/PR:90]:[/BR:90]],Brudnopis!$E$27:$J$27),0)</f>
        <v>0</v>
      </c>
      <c r="X2559" s="44">
        <f>IF(Mecze[[#This Row],[Role]]&lt;&gt;"BR",SUMPRODUCT(Mecze[[#This Row],[/PR:90]:[/BR:90]],Brudnopis!$E$28:$J$28),0)</f>
        <v>0</v>
      </c>
      <c r="Y2559" s="35">
        <f>IF(Mecze[[#This Row],[Role]]="BR",Mecze[[#This Row],[/OB:90]]+Mecze[[#This Row],[/PC:90]],SUM(Mecze[[#This Row],[/PR:90]:[/BR:90]]))</f>
        <v>0.14432989690721648</v>
      </c>
      <c r="Z2559" s="35">
        <f>IF(Mecze[[#This Row],[KC]]=0,SUM(Mecze[[#This Row],[/BRI]:[/NPI]]),SUM(Mecze[[#This Row],[/BRI]:[/NPI]])*0.6)</f>
        <v>0.4329896907216495</v>
      </c>
      <c r="AA2559" s="10">
        <f>IFERROR(Mecze[[#This Row],[BR]]/Mecze[[#This Row],[ST]],0)</f>
        <v>0</v>
      </c>
      <c r="AB2559">
        <f>ROUND(Mecze[[#This Row],[PD]]*Mecze[[#This Row],[%PC]],0)</f>
        <v>6</v>
      </c>
      <c r="AC2559">
        <f>ROUND(Mecze[[#This Row],[OD]]*Mecze[[#This Row],[%OU]],0)</f>
        <v>0</v>
      </c>
      <c r="AD2559" s="36" t="s">
        <v>40</v>
      </c>
      <c r="AE2559" s="36">
        <v>143</v>
      </c>
      <c r="AF2559" s="71">
        <v>6.72</v>
      </c>
      <c r="AG2559" s="37">
        <v>0</v>
      </c>
      <c r="AH2559" s="37">
        <v>0</v>
      </c>
      <c r="AI2559" s="37">
        <v>97</v>
      </c>
      <c r="AJ2559" s="37">
        <v>1</v>
      </c>
      <c r="AK2559" s="37" t="str">
        <f>VLOOKUP(Mecze[[#This Row],[Match ID]],Meczusie[Mecz]:Meczusie[RodzajMeczu],2,FALSE)</f>
        <v>Towarzyski</v>
      </c>
    </row>
    <row r="2560" spans="1:37" x14ac:dyDescent="0.25">
      <c r="A2560" s="76">
        <v>38</v>
      </c>
      <c r="B2560" s="3" t="s">
        <v>359</v>
      </c>
      <c r="C2560" s="2" t="s">
        <v>157</v>
      </c>
      <c r="D2560" s="1">
        <v>0</v>
      </c>
      <c r="E2560" s="1">
        <v>0</v>
      </c>
      <c r="F2560" s="1">
        <v>0</v>
      </c>
      <c r="G2560" s="1">
        <v>5</v>
      </c>
      <c r="H2560" s="4">
        <v>0.8</v>
      </c>
      <c r="I2560" s="1">
        <v>3</v>
      </c>
      <c r="J2560" s="4">
        <v>0.67</v>
      </c>
      <c r="K2560" s="1">
        <v>0</v>
      </c>
      <c r="L2560" s="1">
        <v>4</v>
      </c>
      <c r="M2560" s="32">
        <f>IF(Mecze[[#This Row],[PR]]=0,0,Mecze[[#This Row],[PR]]/Mecze[[#This Row],[CZAS]])</f>
        <v>5.6338028169014086E-2</v>
      </c>
      <c r="N2560" s="32">
        <f>IF(Mecze[[#This Row],[OU]]=0,0,Mecze[[#This Row],[OU]]/Mecze[[#This Row],[CZAS]])</f>
        <v>2.8169014084507043E-2</v>
      </c>
      <c r="O2560" s="32">
        <f>IF(Mecze[[#This Row],[PC]]=0,0,Mecze[[#This Row],[PC]]/Mecze[[#This Row],[CZAS]])</f>
        <v>5.6338028169014086E-2</v>
      </c>
      <c r="P2560" s="32">
        <f>IF(Mecze[[#This Row],[SC]]=0,0,Mecze[[#This Row],[SC]]/Mecze[[#This Row],[CZAS]])</f>
        <v>0</v>
      </c>
      <c r="Q2560" s="32">
        <f>IF(Mecze[[#This Row],[OB]]=0,0,Mecze[[#This Row],[OB]]/Mecze[[#This Row],[CZAS]])</f>
        <v>0</v>
      </c>
      <c r="R2560" s="32">
        <f>IF(Mecze[[#This Row],[BR]]=0,0,Mecze[[#This Row],[BR]]/Mecze[[#This Row],[CZAS]])</f>
        <v>0</v>
      </c>
      <c r="S2560" s="44">
        <f>IF(Mecze[[#This Row],[Role]]="BR",SUMPRODUCT(Mecze[[#This Row],[/PR:90]:[/BR:90]],Brudnopis!$E$23:$J$23),0)</f>
        <v>0</v>
      </c>
      <c r="T2560" s="44">
        <f>IF(Mecze[[#This Row],[Role]]&lt;&gt;"BR",SUMPRODUCT(Mecze[[#This Row],[/PR:90]:[/BR:90]],Brudnopis!$E$24:$J$24),0)</f>
        <v>0.15492957746478875</v>
      </c>
      <c r="U2560" s="44">
        <f>IF(Mecze[[#This Row],[Role]]&lt;&gt;"BR",SUMPRODUCT(Mecze[[#This Row],[/PR:90]:[/BR:90]],Brudnopis!$E$25:$J$25),0)</f>
        <v>0.16901408450704225</v>
      </c>
      <c r="V2560" s="44">
        <f>IF(Mecze[[#This Row],[Role]]&lt;&gt;"BR",SUMPRODUCT(Mecze[[#This Row],[/PR:90]:[/BR:90]],Brudnopis!$E$26:$J$26),0)</f>
        <v>0.14084507042253522</v>
      </c>
      <c r="W2560" s="44">
        <f>IF(Mecze[[#This Row],[Role]]&lt;&gt;"BR",SUMPRODUCT(Mecze[[#This Row],[/PR:90]:[/BR:90]],Brudnopis!$E$27:$J$27),0)</f>
        <v>0.14788732394366197</v>
      </c>
      <c r="X2560" s="44">
        <f>IF(Mecze[[#This Row],[Role]]&lt;&gt;"BR",SUMPRODUCT(Mecze[[#This Row],[/PR:90]:[/BR:90]],Brudnopis!$E$28:$J$28),0)</f>
        <v>5.6338028169014086E-2</v>
      </c>
      <c r="Y2560" s="35">
        <f>IF(Mecze[[#This Row],[Role]]="BR",Mecze[[#This Row],[/OB:90]]+Mecze[[#This Row],[/PC:90]],SUM(Mecze[[#This Row],[/PR:90]:[/BR:90]]))</f>
        <v>0.14084507042253522</v>
      </c>
      <c r="Z2560" s="35">
        <f>IF(Mecze[[#This Row],[KC]]=0,SUM(Mecze[[#This Row],[/BRI]:[/NPI]]),SUM(Mecze[[#This Row],[/BRI]:[/NPI]])*0.6)</f>
        <v>0.40140845070422543</v>
      </c>
      <c r="AA2560" s="10">
        <f>IFERROR(Mecze[[#This Row],[BR]]/Mecze[[#This Row],[ST]],0)</f>
        <v>0</v>
      </c>
      <c r="AB2560">
        <f>ROUND(Mecze[[#This Row],[PD]]*Mecze[[#This Row],[%PC]],0)</f>
        <v>4</v>
      </c>
      <c r="AC2560">
        <f>ROUND(Mecze[[#This Row],[OD]]*Mecze[[#This Row],[%OU]],0)</f>
        <v>2</v>
      </c>
      <c r="AD2560" s="36" t="s">
        <v>47</v>
      </c>
      <c r="AE2560" s="36">
        <v>143</v>
      </c>
      <c r="AF2560" s="71">
        <v>3.55</v>
      </c>
      <c r="AG2560" s="37">
        <v>2</v>
      </c>
      <c r="AH2560" s="37">
        <v>1</v>
      </c>
      <c r="AI2560" s="37">
        <v>71</v>
      </c>
      <c r="AJ2560" s="37">
        <v>1</v>
      </c>
      <c r="AK2560" s="37" t="str">
        <f>VLOOKUP(Mecze[[#This Row],[Match ID]],Meczusie[Mecz]:Meczusie[RodzajMeczu],2,FALSE)</f>
        <v>Towarzyski</v>
      </c>
    </row>
    <row r="2561" spans="1:37" x14ac:dyDescent="0.25">
      <c r="A2561" s="76">
        <v>17</v>
      </c>
      <c r="B2561" s="3" t="s">
        <v>413</v>
      </c>
      <c r="C2561" s="2" t="s">
        <v>157</v>
      </c>
      <c r="D2561" s="1">
        <v>0</v>
      </c>
      <c r="E2561" s="1">
        <v>0</v>
      </c>
      <c r="F2561" s="1">
        <v>0</v>
      </c>
      <c r="G2561" s="1">
        <v>6</v>
      </c>
      <c r="H2561" s="4">
        <v>0.67</v>
      </c>
      <c r="I2561" s="1">
        <v>5</v>
      </c>
      <c r="J2561" s="4">
        <v>0.2</v>
      </c>
      <c r="K2561" s="1">
        <v>0</v>
      </c>
      <c r="L2561" s="1">
        <v>9</v>
      </c>
      <c r="M2561" s="32">
        <f>IF(Mecze[[#This Row],[PR]]=0,0,Mecze[[#This Row],[PR]]/Mecze[[#This Row],[CZAS]])</f>
        <v>9.2783505154639179E-2</v>
      </c>
      <c r="N2561" s="32">
        <f>IF(Mecze[[#This Row],[OU]]=0,0,Mecze[[#This Row],[OU]]/Mecze[[#This Row],[CZAS]])</f>
        <v>1.0309278350515464E-2</v>
      </c>
      <c r="O2561" s="32">
        <f>IF(Mecze[[#This Row],[PC]]=0,0,Mecze[[#This Row],[PC]]/Mecze[[#This Row],[CZAS]])</f>
        <v>4.1237113402061855E-2</v>
      </c>
      <c r="P2561" s="32">
        <f>IF(Mecze[[#This Row],[SC]]=0,0,Mecze[[#This Row],[SC]]/Mecze[[#This Row],[CZAS]])</f>
        <v>0</v>
      </c>
      <c r="Q2561" s="32">
        <f>IF(Mecze[[#This Row],[OB]]=0,0,Mecze[[#This Row],[OB]]/Mecze[[#This Row],[CZAS]])</f>
        <v>0</v>
      </c>
      <c r="R2561" s="32">
        <f>IF(Mecze[[#This Row],[BR]]=0,0,Mecze[[#This Row],[BR]]/Mecze[[#This Row],[CZAS]])</f>
        <v>0</v>
      </c>
      <c r="S2561" s="44">
        <f>IF(Mecze[[#This Row],[Role]]="BR",SUMPRODUCT(Mecze[[#This Row],[/PR:90]:[/BR:90]],Brudnopis!$E$23:$J$23),0)</f>
        <v>0</v>
      </c>
      <c r="T2561" s="44">
        <f>IF(Mecze[[#This Row],[Role]]&lt;&gt;"BR",SUMPRODUCT(Mecze[[#This Row],[/PR:90]:[/BR:90]],Brudnopis!$E$24:$J$24),0)</f>
        <v>0.14948453608247422</v>
      </c>
      <c r="U2561" s="44">
        <f>IF(Mecze[[#This Row],[Role]]&lt;&gt;"BR",SUMPRODUCT(Mecze[[#This Row],[/PR:90]:[/BR:90]],Brudnopis!$E$25:$J$25),0)</f>
        <v>0.16494845360824745</v>
      </c>
      <c r="V2561" s="44">
        <f>IF(Mecze[[#This Row],[Role]]&lt;&gt;"BR",SUMPRODUCT(Mecze[[#This Row],[/PR:90]:[/BR:90]],Brudnopis!$E$26:$J$26),0)</f>
        <v>0.14432989690721651</v>
      </c>
      <c r="W2561" s="44">
        <f>IF(Mecze[[#This Row],[Role]]&lt;&gt;"BR",SUMPRODUCT(Mecze[[#This Row],[/PR:90]:[/BR:90]],Brudnopis!$E$27:$J$27),0)</f>
        <v>0.13917525773195877</v>
      </c>
      <c r="X2561" s="44">
        <f>IF(Mecze[[#This Row],[Role]]&lt;&gt;"BR",SUMPRODUCT(Mecze[[#This Row],[/PR:90]:[/BR:90]],Brudnopis!$E$28:$J$28),0)</f>
        <v>4.1237113402061855E-2</v>
      </c>
      <c r="Y2561" s="35">
        <f>IF(Mecze[[#This Row],[Role]]="BR",Mecze[[#This Row],[/OB:90]]+Mecze[[#This Row],[/PC:90]],SUM(Mecze[[#This Row],[/PR:90]:[/BR:90]]))</f>
        <v>0.14432989690721651</v>
      </c>
      <c r="Z2561" s="35">
        <f>IF(Mecze[[#This Row],[KC]]=0,SUM(Mecze[[#This Row],[/BRI]:[/NPI]]),SUM(Mecze[[#This Row],[/BRI]:[/NPI]])*0.6)</f>
        <v>0.63917525773195882</v>
      </c>
      <c r="AA2561" s="10">
        <f>IFERROR(Mecze[[#This Row],[BR]]/Mecze[[#This Row],[ST]],0)</f>
        <v>0</v>
      </c>
      <c r="AB2561">
        <f>ROUND(Mecze[[#This Row],[PD]]*Mecze[[#This Row],[%PC]],0)</f>
        <v>4</v>
      </c>
      <c r="AC2561">
        <f>ROUND(Mecze[[#This Row],[OD]]*Mecze[[#This Row],[%OU]],0)</f>
        <v>1</v>
      </c>
      <c r="AD2561" s="36" t="s">
        <v>167</v>
      </c>
      <c r="AE2561" s="36">
        <v>143</v>
      </c>
      <c r="AF2561" s="71">
        <v>4.59</v>
      </c>
      <c r="AG2561" s="37">
        <v>0</v>
      </c>
      <c r="AH2561" s="37">
        <v>0</v>
      </c>
      <c r="AI2561" s="37">
        <v>97</v>
      </c>
      <c r="AJ2561" s="37">
        <v>1</v>
      </c>
      <c r="AK2561" s="37" t="str">
        <f>VLOOKUP(Mecze[[#This Row],[Match ID]],Meczusie[Mecz]:Meczusie[RodzajMeczu],2,FALSE)</f>
        <v>Towarzyski</v>
      </c>
    </row>
    <row r="2562" spans="1:37" x14ac:dyDescent="0.25">
      <c r="A2562" s="76">
        <v>50</v>
      </c>
      <c r="B2562" s="3" t="s">
        <v>496</v>
      </c>
      <c r="C2562" s="2" t="s">
        <v>157</v>
      </c>
      <c r="D2562" s="1">
        <v>0</v>
      </c>
      <c r="E2562" s="1">
        <v>0</v>
      </c>
      <c r="F2562" s="1">
        <v>0</v>
      </c>
      <c r="G2562" s="1">
        <v>4</v>
      </c>
      <c r="H2562" s="4">
        <v>0.5</v>
      </c>
      <c r="I2562" s="1">
        <v>5</v>
      </c>
      <c r="J2562" s="4">
        <v>0.2</v>
      </c>
      <c r="K2562" s="1">
        <v>0</v>
      </c>
      <c r="L2562" s="1">
        <v>4</v>
      </c>
      <c r="M2562" s="32">
        <f>IF(Mecze[[#This Row],[PR]]=0,0,Mecze[[#This Row],[PR]]/Mecze[[#This Row],[CZAS]])</f>
        <v>4.1237113402061855E-2</v>
      </c>
      <c r="N2562" s="32">
        <f>IF(Mecze[[#This Row],[OU]]=0,0,Mecze[[#This Row],[OU]]/Mecze[[#This Row],[CZAS]])</f>
        <v>1.0309278350515464E-2</v>
      </c>
      <c r="O2562" s="32">
        <f>IF(Mecze[[#This Row],[PC]]=0,0,Mecze[[#This Row],[PC]]/Mecze[[#This Row],[CZAS]])</f>
        <v>2.0618556701030927E-2</v>
      </c>
      <c r="P2562" s="32">
        <f>IF(Mecze[[#This Row],[SC]]=0,0,Mecze[[#This Row],[SC]]/Mecze[[#This Row],[CZAS]])</f>
        <v>0</v>
      </c>
      <c r="Q2562" s="32">
        <f>IF(Mecze[[#This Row],[OB]]=0,0,Mecze[[#This Row],[OB]]/Mecze[[#This Row],[CZAS]])</f>
        <v>0</v>
      </c>
      <c r="R2562" s="32">
        <f>IF(Mecze[[#This Row],[BR]]=0,0,Mecze[[#This Row],[BR]]/Mecze[[#This Row],[CZAS]])</f>
        <v>0</v>
      </c>
      <c r="S2562" s="44">
        <f>IF(Mecze[[#This Row],[Role]]="BR",SUMPRODUCT(Mecze[[#This Row],[/PR:90]:[/BR:90]],Brudnopis!$E$23:$J$23),0)</f>
        <v>0</v>
      </c>
      <c r="T2562" s="44">
        <f>IF(Mecze[[#This Row],[Role]]&lt;&gt;"BR",SUMPRODUCT(Mecze[[#This Row],[/PR:90]:[/BR:90]],Brudnopis!$E$24:$J$24),0)</f>
        <v>7.7319587628865982E-2</v>
      </c>
      <c r="U2562" s="44">
        <f>IF(Mecze[[#This Row],[Role]]&lt;&gt;"BR",SUMPRODUCT(Mecze[[#This Row],[/PR:90]:[/BR:90]],Brudnopis!$E$25:$J$25),0)</f>
        <v>8.247422680412371E-2</v>
      </c>
      <c r="V2562" s="44">
        <f>IF(Mecze[[#This Row],[Role]]&lt;&gt;"BR",SUMPRODUCT(Mecze[[#This Row],[/PR:90]:[/BR:90]],Brudnopis!$E$26:$J$26),0)</f>
        <v>7.2164948453608241E-2</v>
      </c>
      <c r="W2562" s="44">
        <f>IF(Mecze[[#This Row],[Role]]&lt;&gt;"BR",SUMPRODUCT(Mecze[[#This Row],[/PR:90]:[/BR:90]],Brudnopis!$E$27:$J$27),0)</f>
        <v>6.9587628865979384E-2</v>
      </c>
      <c r="X2562" s="44">
        <f>IF(Mecze[[#This Row],[Role]]&lt;&gt;"BR",SUMPRODUCT(Mecze[[#This Row],[/PR:90]:[/BR:90]],Brudnopis!$E$28:$J$28),0)</f>
        <v>2.0618556701030927E-2</v>
      </c>
      <c r="Y2562" s="35">
        <f>IF(Mecze[[#This Row],[Role]]="BR",Mecze[[#This Row],[/OB:90]]+Mecze[[#This Row],[/PC:90]],SUM(Mecze[[#This Row],[/PR:90]:[/BR:90]]))</f>
        <v>7.2164948453608241E-2</v>
      </c>
      <c r="Z2562" s="35">
        <f>IF(Mecze[[#This Row],[KC]]=0,SUM(Mecze[[#This Row],[/BRI]:[/NPI]]),SUM(Mecze[[#This Row],[/BRI]:[/NPI]])*0.6)</f>
        <v>0.32216494845360821</v>
      </c>
      <c r="AA2562" s="10">
        <f>IFERROR(Mecze[[#This Row],[BR]]/Mecze[[#This Row],[ST]],0)</f>
        <v>0</v>
      </c>
      <c r="AB2562">
        <f>ROUND(Mecze[[#This Row],[PD]]*Mecze[[#This Row],[%PC]],0)</f>
        <v>2</v>
      </c>
      <c r="AC2562">
        <f>ROUND(Mecze[[#This Row],[OD]]*Mecze[[#This Row],[%OU]],0)</f>
        <v>1</v>
      </c>
      <c r="AD2562" s="36" t="s">
        <v>168</v>
      </c>
      <c r="AE2562" s="36">
        <v>143</v>
      </c>
      <c r="AF2562" s="71">
        <v>3.54</v>
      </c>
      <c r="AG2562" s="37">
        <v>0</v>
      </c>
      <c r="AH2562" s="37">
        <v>0</v>
      </c>
      <c r="AI2562" s="37">
        <v>97</v>
      </c>
      <c r="AJ2562" s="37">
        <v>1</v>
      </c>
      <c r="AK2562" s="37" t="str">
        <f>VLOOKUP(Mecze[[#This Row],[Match ID]],Meczusie[Mecz]:Meczusie[RodzajMeczu],2,FALSE)</f>
        <v>Towarzyski</v>
      </c>
    </row>
    <row r="2563" spans="1:37" x14ac:dyDescent="0.25">
      <c r="A2563" s="76">
        <v>52</v>
      </c>
      <c r="B2563" s="3" t="s">
        <v>408</v>
      </c>
      <c r="C2563" s="2" t="s">
        <v>160</v>
      </c>
      <c r="D2563" s="1">
        <v>0</v>
      </c>
      <c r="E2563" s="1">
        <v>1</v>
      </c>
      <c r="F2563" s="1">
        <v>1</v>
      </c>
      <c r="G2563" s="1">
        <v>13</v>
      </c>
      <c r="H2563" s="4">
        <v>0.38</v>
      </c>
      <c r="I2563" s="1">
        <v>4</v>
      </c>
      <c r="J2563" s="4">
        <v>0</v>
      </c>
      <c r="K2563" s="1">
        <v>0</v>
      </c>
      <c r="L2563" s="1">
        <v>7</v>
      </c>
      <c r="M2563" s="32">
        <f>IF(Mecze[[#This Row],[PR]]=0,0,Mecze[[#This Row],[PR]]/Mecze[[#This Row],[CZAS]])</f>
        <v>7.2164948453608241E-2</v>
      </c>
      <c r="N2563" s="32">
        <f>IF(Mecze[[#This Row],[OU]]=0,0,Mecze[[#This Row],[OU]]/Mecze[[#This Row],[CZAS]])</f>
        <v>0</v>
      </c>
      <c r="O2563" s="32">
        <f>IF(Mecze[[#This Row],[PC]]=0,0,Mecze[[#This Row],[PC]]/Mecze[[#This Row],[CZAS]])</f>
        <v>5.1546391752577317E-2</v>
      </c>
      <c r="P2563" s="32">
        <f>IF(Mecze[[#This Row],[SC]]=0,0,Mecze[[#This Row],[SC]]/Mecze[[#This Row],[CZAS]])</f>
        <v>1.0309278350515464E-2</v>
      </c>
      <c r="Q2563" s="32">
        <f>IF(Mecze[[#This Row],[OB]]=0,0,Mecze[[#This Row],[OB]]/Mecze[[#This Row],[CZAS]])</f>
        <v>0</v>
      </c>
      <c r="R2563" s="32">
        <f>IF(Mecze[[#This Row],[BR]]=0,0,Mecze[[#This Row],[BR]]/Mecze[[#This Row],[CZAS]])</f>
        <v>0</v>
      </c>
      <c r="S2563" s="44">
        <f>IF(Mecze[[#This Row],[Role]]="BR",SUMPRODUCT(Mecze[[#This Row],[/PR:90]:[/BR:90]],Brudnopis!$E$23:$J$23),0)</f>
        <v>0</v>
      </c>
      <c r="T2563" s="44">
        <f>IF(Mecze[[#This Row],[Role]]&lt;&gt;"BR",SUMPRODUCT(Mecze[[#This Row],[/PR:90]:[/BR:90]],Brudnopis!$E$24:$J$24),0)</f>
        <v>0.13402061855670103</v>
      </c>
      <c r="U2563" s="44">
        <f>IF(Mecze[[#This Row],[Role]]&lt;&gt;"BR",SUMPRODUCT(Mecze[[#This Row],[/PR:90]:[/BR:90]],Brudnopis!$E$25:$J$25),0)</f>
        <v>0.15979381443298968</v>
      </c>
      <c r="V2563" s="44">
        <f>IF(Mecze[[#This Row],[Role]]&lt;&gt;"BR",SUMPRODUCT(Mecze[[#This Row],[/PR:90]:[/BR:90]],Brudnopis!$E$26:$J$26),0)</f>
        <v>0.13402061855670103</v>
      </c>
      <c r="W2563" s="44">
        <f>IF(Mecze[[#This Row],[Role]]&lt;&gt;"BR",SUMPRODUCT(Mecze[[#This Row],[/PR:90]:[/BR:90]],Brudnopis!$E$27:$J$27),0)</f>
        <v>0.14175257731958762</v>
      </c>
      <c r="X2563" s="44">
        <f>IF(Mecze[[#This Row],[Role]]&lt;&gt;"BR",SUMPRODUCT(Mecze[[#This Row],[/PR:90]:[/BR:90]],Brudnopis!$E$28:$J$28),0)</f>
        <v>7.2164948453608241E-2</v>
      </c>
      <c r="Y2563" s="35">
        <f>IF(Mecze[[#This Row],[Role]]="BR",Mecze[[#This Row],[/OB:90]]+Mecze[[#This Row],[/PC:90]],SUM(Mecze[[#This Row],[/PR:90]:[/BR:90]]))</f>
        <v>0.13402061855670103</v>
      </c>
      <c r="Z2563" s="35">
        <f>IF(Mecze[[#This Row],[KC]]=0,SUM(Mecze[[#This Row],[/BRI]:[/NPI]]),SUM(Mecze[[#This Row],[/BRI]:[/NPI]])*0.6)</f>
        <v>0.64175257731958757</v>
      </c>
      <c r="AA2563" s="10">
        <f>IFERROR(Mecze[[#This Row],[BR]]/Mecze[[#This Row],[ST]],0)</f>
        <v>0</v>
      </c>
      <c r="AB2563">
        <f>ROUND(Mecze[[#This Row],[PD]]*Mecze[[#This Row],[%PC]],0)</f>
        <v>5</v>
      </c>
      <c r="AC2563">
        <f>ROUND(Mecze[[#This Row],[OD]]*Mecze[[#This Row],[%OU]],0)</f>
        <v>0</v>
      </c>
      <c r="AD2563" s="36" t="s">
        <v>41</v>
      </c>
      <c r="AE2563" s="36">
        <v>143</v>
      </c>
      <c r="AF2563" s="71">
        <v>4.4000000000000004</v>
      </c>
      <c r="AG2563" s="37">
        <v>0</v>
      </c>
      <c r="AH2563" s="37">
        <v>0</v>
      </c>
      <c r="AI2563" s="37">
        <v>97</v>
      </c>
      <c r="AJ2563" s="37">
        <v>1</v>
      </c>
      <c r="AK2563" s="37" t="str">
        <f>VLOOKUP(Mecze[[#This Row],[Match ID]],Meczusie[Mecz]:Meczusie[RodzajMeczu],2,FALSE)</f>
        <v>Towarzyski</v>
      </c>
    </row>
    <row r="2564" spans="1:37" x14ac:dyDescent="0.25">
      <c r="A2564" s="76">
        <v>40</v>
      </c>
      <c r="B2564" s="3" t="s">
        <v>453</v>
      </c>
      <c r="C2564" s="2" t="s">
        <v>160</v>
      </c>
      <c r="D2564" s="1">
        <v>0</v>
      </c>
      <c r="E2564" s="1">
        <v>0</v>
      </c>
      <c r="F2564" s="1">
        <v>0</v>
      </c>
      <c r="G2564" s="1">
        <v>19</v>
      </c>
      <c r="H2564" s="4">
        <v>0.68</v>
      </c>
      <c r="I2564" s="1">
        <v>6</v>
      </c>
      <c r="J2564" s="4">
        <v>0.33</v>
      </c>
      <c r="K2564" s="1">
        <v>0</v>
      </c>
      <c r="L2564" s="1">
        <v>10</v>
      </c>
      <c r="M2564" s="32">
        <f>IF(Mecze[[#This Row],[PR]]=0,0,Mecze[[#This Row],[PR]]/Mecze[[#This Row],[CZAS]])</f>
        <v>0.10309278350515463</v>
      </c>
      <c r="N2564" s="32">
        <f>IF(Mecze[[#This Row],[OU]]=0,0,Mecze[[#This Row],[OU]]/Mecze[[#This Row],[CZAS]])</f>
        <v>2.0618556701030927E-2</v>
      </c>
      <c r="O2564" s="32">
        <f>IF(Mecze[[#This Row],[PC]]=0,0,Mecze[[#This Row],[PC]]/Mecze[[#This Row],[CZAS]])</f>
        <v>0.13402061855670103</v>
      </c>
      <c r="P2564" s="32">
        <f>IF(Mecze[[#This Row],[SC]]=0,0,Mecze[[#This Row],[SC]]/Mecze[[#This Row],[CZAS]])</f>
        <v>0</v>
      </c>
      <c r="Q2564" s="32">
        <f>IF(Mecze[[#This Row],[OB]]=0,0,Mecze[[#This Row],[OB]]/Mecze[[#This Row],[CZAS]])</f>
        <v>0</v>
      </c>
      <c r="R2564" s="32">
        <f>IF(Mecze[[#This Row],[BR]]=0,0,Mecze[[#This Row],[BR]]/Mecze[[#This Row],[CZAS]])</f>
        <v>0</v>
      </c>
      <c r="S2564" s="44">
        <f>IF(Mecze[[#This Row],[Role]]="BR",SUMPRODUCT(Mecze[[#This Row],[/PR:90]:[/BR:90]],Brudnopis!$E$23:$J$23),0)</f>
        <v>0</v>
      </c>
      <c r="T2564" s="44">
        <f>IF(Mecze[[#This Row],[Role]]&lt;&gt;"BR",SUMPRODUCT(Mecze[[#This Row],[/PR:90]:[/BR:90]],Brudnopis!$E$24:$J$24),0)</f>
        <v>0.26804123711340205</v>
      </c>
      <c r="U2564" s="44">
        <f>IF(Mecze[[#This Row],[Role]]&lt;&gt;"BR",SUMPRODUCT(Mecze[[#This Row],[/PR:90]:[/BR:90]],Brudnopis!$E$25:$J$25),0)</f>
        <v>0.32474226804123713</v>
      </c>
      <c r="V2564" s="44">
        <f>IF(Mecze[[#This Row],[Role]]&lt;&gt;"BR",SUMPRODUCT(Mecze[[#This Row],[/PR:90]:[/BR:90]],Brudnopis!$E$26:$J$26),0)</f>
        <v>0.25773195876288657</v>
      </c>
      <c r="W2564" s="44">
        <f>IF(Mecze[[#This Row],[Role]]&lt;&gt;"BR",SUMPRODUCT(Mecze[[#This Row],[/PR:90]:[/BR:90]],Brudnopis!$E$27:$J$27),0)</f>
        <v>0.29381443298969073</v>
      </c>
      <c r="X2564" s="44">
        <f>IF(Mecze[[#This Row],[Role]]&lt;&gt;"BR",SUMPRODUCT(Mecze[[#This Row],[/PR:90]:[/BR:90]],Brudnopis!$E$28:$J$28),0)</f>
        <v>0.13402061855670103</v>
      </c>
      <c r="Y2564" s="35">
        <f>IF(Mecze[[#This Row],[Role]]="BR",Mecze[[#This Row],[/OB:90]]+Mecze[[#This Row],[/PC:90]],SUM(Mecze[[#This Row],[/PR:90]:[/BR:90]]))</f>
        <v>0.25773195876288657</v>
      </c>
      <c r="Z2564" s="35">
        <f>IF(Mecze[[#This Row],[KC]]=0,SUM(Mecze[[#This Row],[/BRI]:[/NPI]]),SUM(Mecze[[#This Row],[/BRI]:[/NPI]])*0.6)</f>
        <v>1.2783505154639174</v>
      </c>
      <c r="AA2564" s="10">
        <f>IFERROR(Mecze[[#This Row],[BR]]/Mecze[[#This Row],[ST]],0)</f>
        <v>0</v>
      </c>
      <c r="AB2564">
        <f>ROUND(Mecze[[#This Row],[PD]]*Mecze[[#This Row],[%PC]],0)</f>
        <v>13</v>
      </c>
      <c r="AC2564">
        <f>ROUND(Mecze[[#This Row],[OD]]*Mecze[[#This Row],[%OU]],0)</f>
        <v>2</v>
      </c>
      <c r="AD2564" s="36" t="s">
        <v>41</v>
      </c>
      <c r="AE2564" s="36">
        <v>143</v>
      </c>
      <c r="AF2564" s="71">
        <v>6.01</v>
      </c>
      <c r="AG2564" s="37">
        <v>0</v>
      </c>
      <c r="AH2564" s="37">
        <v>0</v>
      </c>
      <c r="AI2564" s="37">
        <v>97</v>
      </c>
      <c r="AJ2564" s="37">
        <v>1</v>
      </c>
      <c r="AK2564" s="37" t="str">
        <f>VLOOKUP(Mecze[[#This Row],[Match ID]],Meczusie[Mecz]:Meczusie[RodzajMeczu],2,FALSE)</f>
        <v>Towarzyski</v>
      </c>
    </row>
    <row r="2565" spans="1:37" x14ac:dyDescent="0.25">
      <c r="A2565" s="76">
        <v>25</v>
      </c>
      <c r="B2565" s="3" t="s">
        <v>366</v>
      </c>
      <c r="C2565" s="2" t="s">
        <v>160</v>
      </c>
      <c r="D2565" s="1">
        <v>0</v>
      </c>
      <c r="E2565" s="1">
        <v>1</v>
      </c>
      <c r="F2565" s="1">
        <v>1</v>
      </c>
      <c r="G2565" s="1">
        <v>4</v>
      </c>
      <c r="H2565" s="4">
        <v>0.5</v>
      </c>
      <c r="I2565" s="1">
        <v>1</v>
      </c>
      <c r="J2565" s="4">
        <v>1</v>
      </c>
      <c r="K2565" s="1">
        <v>0</v>
      </c>
      <c r="L2565" s="1">
        <v>2</v>
      </c>
      <c r="M2565" s="32">
        <f>IF(Mecze[[#This Row],[PR]]=0,0,Mecze[[#This Row],[PR]]/Mecze[[#This Row],[CZAS]])</f>
        <v>2.0618556701030927E-2</v>
      </c>
      <c r="N2565" s="32">
        <f>IF(Mecze[[#This Row],[OU]]=0,0,Mecze[[#This Row],[OU]]/Mecze[[#This Row],[CZAS]])</f>
        <v>1.0309278350515464E-2</v>
      </c>
      <c r="O2565" s="32">
        <f>IF(Mecze[[#This Row],[PC]]=0,0,Mecze[[#This Row],[PC]]/Mecze[[#This Row],[CZAS]])</f>
        <v>2.0618556701030927E-2</v>
      </c>
      <c r="P2565" s="32">
        <f>IF(Mecze[[#This Row],[SC]]=0,0,Mecze[[#This Row],[SC]]/Mecze[[#This Row],[CZAS]])</f>
        <v>1.0309278350515464E-2</v>
      </c>
      <c r="Q2565" s="32">
        <f>IF(Mecze[[#This Row],[OB]]=0,0,Mecze[[#This Row],[OB]]/Mecze[[#This Row],[CZAS]])</f>
        <v>0</v>
      </c>
      <c r="R2565" s="32">
        <f>IF(Mecze[[#This Row],[BR]]=0,0,Mecze[[#This Row],[BR]]/Mecze[[#This Row],[CZAS]])</f>
        <v>0</v>
      </c>
      <c r="S2565" s="44">
        <f>IF(Mecze[[#This Row],[Role]]="BR",SUMPRODUCT(Mecze[[#This Row],[/PR:90]:[/BR:90]],Brudnopis!$E$23:$J$23),0)</f>
        <v>0</v>
      </c>
      <c r="T2565" s="44">
        <f>IF(Mecze[[#This Row],[Role]]&lt;&gt;"BR",SUMPRODUCT(Mecze[[#This Row],[/PR:90]:[/BR:90]],Brudnopis!$E$24:$J$24),0)</f>
        <v>6.7010309278350513E-2</v>
      </c>
      <c r="U2565" s="44">
        <f>IF(Mecze[[#This Row],[Role]]&lt;&gt;"BR",SUMPRODUCT(Mecze[[#This Row],[/PR:90]:[/BR:90]],Brudnopis!$E$25:$J$25),0)</f>
        <v>7.2164948453608255E-2</v>
      </c>
      <c r="V2565" s="44">
        <f>IF(Mecze[[#This Row],[Role]]&lt;&gt;"BR",SUMPRODUCT(Mecze[[#This Row],[/PR:90]:[/BR:90]],Brudnopis!$E$26:$J$26),0)</f>
        <v>6.1855670103092779E-2</v>
      </c>
      <c r="W2565" s="44">
        <f>IF(Mecze[[#This Row],[Role]]&lt;&gt;"BR",SUMPRODUCT(Mecze[[#This Row],[/PR:90]:[/BR:90]],Brudnopis!$E$27:$J$27),0)</f>
        <v>6.4432989690721656E-2</v>
      </c>
      <c r="X2565" s="44">
        <f>IF(Mecze[[#This Row],[Role]]&lt;&gt;"BR",SUMPRODUCT(Mecze[[#This Row],[/PR:90]:[/BR:90]],Brudnopis!$E$28:$J$28),0)</f>
        <v>4.1237113402061855E-2</v>
      </c>
      <c r="Y2565" s="35">
        <f>IF(Mecze[[#This Row],[Role]]="BR",Mecze[[#This Row],[/OB:90]]+Mecze[[#This Row],[/PC:90]],SUM(Mecze[[#This Row],[/PR:90]:[/BR:90]]))</f>
        <v>6.1855670103092779E-2</v>
      </c>
      <c r="Z2565" s="35">
        <f>IF(Mecze[[#This Row],[KC]]=0,SUM(Mecze[[#This Row],[/BRI]:[/NPI]]),SUM(Mecze[[#This Row],[/BRI]:[/NPI]])*0.6)</f>
        <v>0.30670103092783507</v>
      </c>
      <c r="AA2565" s="10">
        <f>IFERROR(Mecze[[#This Row],[BR]]/Mecze[[#This Row],[ST]],0)</f>
        <v>0</v>
      </c>
      <c r="AB2565">
        <f>ROUND(Mecze[[#This Row],[PD]]*Mecze[[#This Row],[%PC]],0)</f>
        <v>2</v>
      </c>
      <c r="AC2565">
        <f>ROUND(Mecze[[#This Row],[OD]]*Mecze[[#This Row],[%OU]],0)</f>
        <v>1</v>
      </c>
      <c r="AD2565" s="36" t="s">
        <v>44</v>
      </c>
      <c r="AE2565" s="36">
        <v>143</v>
      </c>
      <c r="AF2565" s="71">
        <v>3.35</v>
      </c>
      <c r="AG2565" s="37">
        <v>0</v>
      </c>
      <c r="AH2565" s="37">
        <v>0</v>
      </c>
      <c r="AI2565" s="37">
        <v>97</v>
      </c>
      <c r="AJ2565" s="37">
        <v>1</v>
      </c>
      <c r="AK2565" s="37" t="str">
        <f>VLOOKUP(Mecze[[#This Row],[Match ID]],Meczusie[Mecz]:Meczusie[RodzajMeczu],2,FALSE)</f>
        <v>Towarzyski</v>
      </c>
    </row>
    <row r="2566" spans="1:37" x14ac:dyDescent="0.25">
      <c r="A2566" s="76">
        <v>45</v>
      </c>
      <c r="B2566" s="3" t="s">
        <v>394</v>
      </c>
      <c r="C2566" s="2" t="s">
        <v>160</v>
      </c>
      <c r="D2566" s="1">
        <v>0</v>
      </c>
      <c r="E2566" s="1">
        <v>0</v>
      </c>
      <c r="F2566" s="1">
        <v>0</v>
      </c>
      <c r="G2566" s="1">
        <v>5</v>
      </c>
      <c r="H2566" s="4">
        <v>0.8</v>
      </c>
      <c r="I2566" s="1">
        <v>1</v>
      </c>
      <c r="J2566" s="4">
        <v>0</v>
      </c>
      <c r="K2566" s="1">
        <v>0</v>
      </c>
      <c r="L2566" s="1">
        <v>4</v>
      </c>
      <c r="M2566" s="32">
        <f>IF(Mecze[[#This Row],[PR]]=0,0,Mecze[[#This Row],[PR]]/Mecze[[#This Row],[CZAS]])</f>
        <v>4.1237113402061855E-2</v>
      </c>
      <c r="N2566" s="32">
        <f>IF(Mecze[[#This Row],[OU]]=0,0,Mecze[[#This Row],[OU]]/Mecze[[#This Row],[CZAS]])</f>
        <v>0</v>
      </c>
      <c r="O2566" s="32">
        <f>IF(Mecze[[#This Row],[PC]]=0,0,Mecze[[#This Row],[PC]]/Mecze[[#This Row],[CZAS]])</f>
        <v>4.1237113402061855E-2</v>
      </c>
      <c r="P2566" s="32">
        <f>IF(Mecze[[#This Row],[SC]]=0,0,Mecze[[#This Row],[SC]]/Mecze[[#This Row],[CZAS]])</f>
        <v>0</v>
      </c>
      <c r="Q2566" s="32">
        <f>IF(Mecze[[#This Row],[OB]]=0,0,Mecze[[#This Row],[OB]]/Mecze[[#This Row],[CZAS]])</f>
        <v>0</v>
      </c>
      <c r="R2566" s="32">
        <f>IF(Mecze[[#This Row],[BR]]=0,0,Mecze[[#This Row],[BR]]/Mecze[[#This Row],[CZAS]])</f>
        <v>0</v>
      </c>
      <c r="S2566" s="44">
        <f>IF(Mecze[[#This Row],[Role]]="BR",SUMPRODUCT(Mecze[[#This Row],[/PR:90]:[/BR:90]],Brudnopis!$E$23:$J$23),0)</f>
        <v>0</v>
      </c>
      <c r="T2566" s="44">
        <f>IF(Mecze[[#This Row],[Role]]&lt;&gt;"BR",SUMPRODUCT(Mecze[[#This Row],[/PR:90]:[/BR:90]],Brudnopis!$E$24:$J$24),0)</f>
        <v>8.247422680412371E-2</v>
      </c>
      <c r="U2566" s="44">
        <f>IF(Mecze[[#This Row],[Role]]&lt;&gt;"BR",SUMPRODUCT(Mecze[[#This Row],[/PR:90]:[/BR:90]],Brudnopis!$E$25:$J$25),0)</f>
        <v>0.10309278350515463</v>
      </c>
      <c r="V2566" s="44">
        <f>IF(Mecze[[#This Row],[Role]]&lt;&gt;"BR",SUMPRODUCT(Mecze[[#This Row],[/PR:90]:[/BR:90]],Brudnopis!$E$26:$J$26),0)</f>
        <v>8.247422680412371E-2</v>
      </c>
      <c r="W2566" s="44">
        <f>IF(Mecze[[#This Row],[Role]]&lt;&gt;"BR",SUMPRODUCT(Mecze[[#This Row],[/PR:90]:[/BR:90]],Brudnopis!$E$27:$J$27),0)</f>
        <v>9.2783505154639179E-2</v>
      </c>
      <c r="X2566" s="44">
        <f>IF(Mecze[[#This Row],[Role]]&lt;&gt;"BR",SUMPRODUCT(Mecze[[#This Row],[/PR:90]:[/BR:90]],Brudnopis!$E$28:$J$28),0)</f>
        <v>4.1237113402061855E-2</v>
      </c>
      <c r="Y2566" s="35">
        <f>IF(Mecze[[#This Row],[Role]]="BR",Mecze[[#This Row],[/OB:90]]+Mecze[[#This Row],[/PC:90]],SUM(Mecze[[#This Row],[/PR:90]:[/BR:90]]))</f>
        <v>8.247422680412371E-2</v>
      </c>
      <c r="Z2566" s="35">
        <f>IF(Mecze[[#This Row],[KC]]=0,SUM(Mecze[[#This Row],[/BRI]:[/NPI]]),SUM(Mecze[[#This Row],[/BRI]:[/NPI]])*0.6)</f>
        <v>0.40206185567010311</v>
      </c>
      <c r="AA2566" s="10">
        <f>IFERROR(Mecze[[#This Row],[BR]]/Mecze[[#This Row],[ST]],0)</f>
        <v>0</v>
      </c>
      <c r="AB2566">
        <f>ROUND(Mecze[[#This Row],[PD]]*Mecze[[#This Row],[%PC]],0)</f>
        <v>4</v>
      </c>
      <c r="AC2566">
        <f>ROUND(Mecze[[#This Row],[OD]]*Mecze[[#This Row],[%OU]],0)</f>
        <v>0</v>
      </c>
      <c r="AD2566" s="36" t="s">
        <v>44</v>
      </c>
      <c r="AE2566" s="36">
        <v>143</v>
      </c>
      <c r="AF2566" s="71">
        <v>5.66</v>
      </c>
      <c r="AG2566" s="37">
        <v>0</v>
      </c>
      <c r="AH2566" s="37">
        <v>0</v>
      </c>
      <c r="AI2566" s="37">
        <v>97</v>
      </c>
      <c r="AJ2566" s="37">
        <v>1</v>
      </c>
      <c r="AK2566" s="37" t="str">
        <f>VLOOKUP(Mecze[[#This Row],[Match ID]],Meczusie[Mecz]:Meczusie[RodzajMeczu],2,FALSE)</f>
        <v>Towarzyski</v>
      </c>
    </row>
    <row r="2567" spans="1:37" x14ac:dyDescent="0.25">
      <c r="A2567" s="76">
        <v>31</v>
      </c>
      <c r="B2567" s="3" t="s">
        <v>365</v>
      </c>
      <c r="C2567" s="2" t="s">
        <v>165</v>
      </c>
      <c r="D2567" s="1">
        <v>0</v>
      </c>
      <c r="E2567" s="1">
        <v>6</v>
      </c>
      <c r="F2567" s="1">
        <v>6</v>
      </c>
      <c r="G2567" s="1">
        <v>5</v>
      </c>
      <c r="H2567" s="4">
        <v>0.4</v>
      </c>
      <c r="I2567" s="1">
        <v>7</v>
      </c>
      <c r="J2567" s="4">
        <v>0.43</v>
      </c>
      <c r="K2567" s="1">
        <v>0</v>
      </c>
      <c r="L2567" s="1">
        <v>5</v>
      </c>
      <c r="M2567" s="32">
        <f>IF(Mecze[[#This Row],[PR]]=0,0,Mecze[[#This Row],[PR]]/Mecze[[#This Row],[CZAS]])</f>
        <v>5.1546391752577317E-2</v>
      </c>
      <c r="N2567" s="32">
        <f>IF(Mecze[[#This Row],[OU]]=0,0,Mecze[[#This Row],[OU]]/Mecze[[#This Row],[CZAS]])</f>
        <v>3.0927835051546393E-2</v>
      </c>
      <c r="O2567" s="32">
        <f>IF(Mecze[[#This Row],[PC]]=0,0,Mecze[[#This Row],[PC]]/Mecze[[#This Row],[CZAS]])</f>
        <v>2.0618556701030927E-2</v>
      </c>
      <c r="P2567" s="32">
        <f>IF(Mecze[[#This Row],[SC]]=0,0,Mecze[[#This Row],[SC]]/Mecze[[#This Row],[CZAS]])</f>
        <v>6.1855670103092786E-2</v>
      </c>
      <c r="Q2567" s="32">
        <f>IF(Mecze[[#This Row],[OB]]=0,0,Mecze[[#This Row],[OB]]/Mecze[[#This Row],[CZAS]])</f>
        <v>0</v>
      </c>
      <c r="R2567" s="32">
        <f>IF(Mecze[[#This Row],[BR]]=0,0,Mecze[[#This Row],[BR]]/Mecze[[#This Row],[CZAS]])</f>
        <v>0</v>
      </c>
      <c r="S2567" s="44">
        <f>IF(Mecze[[#This Row],[Role]]="BR",SUMPRODUCT(Mecze[[#This Row],[/PR:90]:[/BR:90]],Brudnopis!$E$23:$J$23),0)</f>
        <v>0</v>
      </c>
      <c r="T2567" s="44">
        <f>IF(Mecze[[#This Row],[Role]]&lt;&gt;"BR",SUMPRODUCT(Mecze[[#This Row],[/PR:90]:[/BR:90]],Brudnopis!$E$24:$J$24),0)</f>
        <v>0.18041237113402062</v>
      </c>
      <c r="U2567" s="44">
        <f>IF(Mecze[[#This Row],[Role]]&lt;&gt;"BR",SUMPRODUCT(Mecze[[#This Row],[/PR:90]:[/BR:90]],Brudnopis!$E$25:$J$25),0)</f>
        <v>0.17525773195876287</v>
      </c>
      <c r="V2567" s="44">
        <f>IF(Mecze[[#This Row],[Role]]&lt;&gt;"BR",SUMPRODUCT(Mecze[[#This Row],[/PR:90]:[/BR:90]],Brudnopis!$E$26:$J$26),0)</f>
        <v>0.16494845360824742</v>
      </c>
      <c r="W2567" s="44">
        <f>IF(Mecze[[#This Row],[Role]]&lt;&gt;"BR",SUMPRODUCT(Mecze[[#This Row],[/PR:90]:[/BR:90]],Brudnopis!$E$27:$J$27),0)</f>
        <v>0.15463917525773196</v>
      </c>
      <c r="X2567" s="44">
        <f>IF(Mecze[[#This Row],[Role]]&lt;&gt;"BR",SUMPRODUCT(Mecze[[#This Row],[/PR:90]:[/BR:90]],Brudnopis!$E$28:$J$28),0)</f>
        <v>0.14432989690721651</v>
      </c>
      <c r="Y2567" s="35">
        <f>IF(Mecze[[#This Row],[Role]]="BR",Mecze[[#This Row],[/OB:90]]+Mecze[[#This Row],[/PC:90]],SUM(Mecze[[#This Row],[/PR:90]:[/BR:90]]))</f>
        <v>0.16494845360824742</v>
      </c>
      <c r="Z2567" s="35">
        <f>IF(Mecze[[#This Row],[KC]]=0,SUM(Mecze[[#This Row],[/BRI]:[/NPI]]),SUM(Mecze[[#This Row],[/BRI]:[/NPI]])*0.6)</f>
        <v>0.81958762886597936</v>
      </c>
      <c r="AA2567" s="10">
        <f>IFERROR(Mecze[[#This Row],[BR]]/Mecze[[#This Row],[ST]],0)</f>
        <v>0</v>
      </c>
      <c r="AB2567">
        <f>ROUND(Mecze[[#This Row],[PD]]*Mecze[[#This Row],[%PC]],0)</f>
        <v>2</v>
      </c>
      <c r="AC2567">
        <f>ROUND(Mecze[[#This Row],[OD]]*Mecze[[#This Row],[%OU]],0)</f>
        <v>3</v>
      </c>
      <c r="AD2567" s="36" t="s">
        <v>46</v>
      </c>
      <c r="AE2567" s="36">
        <v>143</v>
      </c>
      <c r="AF2567" s="71">
        <v>2.92</v>
      </c>
      <c r="AG2567" s="37">
        <v>1</v>
      </c>
      <c r="AH2567" s="37">
        <v>0</v>
      </c>
      <c r="AI2567" s="37">
        <v>97</v>
      </c>
      <c r="AJ2567" s="37">
        <v>1</v>
      </c>
      <c r="AK2567" s="37" t="str">
        <f>VLOOKUP(Mecze[[#This Row],[Match ID]],Meczusie[Mecz]:Meczusie[RodzajMeczu],2,FALSE)</f>
        <v>Towarzyski</v>
      </c>
    </row>
    <row r="2568" spans="1:37" x14ac:dyDescent="0.25">
      <c r="A2568" s="76">
        <v>61</v>
      </c>
      <c r="B2568" s="3" t="s">
        <v>454</v>
      </c>
      <c r="C2568" s="2" t="s">
        <v>165</v>
      </c>
      <c r="D2568" s="1">
        <v>1</v>
      </c>
      <c r="E2568" s="1">
        <v>6</v>
      </c>
      <c r="F2568" s="1">
        <v>6</v>
      </c>
      <c r="G2568" s="1">
        <v>12</v>
      </c>
      <c r="H2568" s="4">
        <v>0.57999999999999996</v>
      </c>
      <c r="I2568" s="1">
        <v>5</v>
      </c>
      <c r="J2568" s="4">
        <v>0.2</v>
      </c>
      <c r="K2568" s="1">
        <v>0</v>
      </c>
      <c r="L2568" s="1">
        <v>0</v>
      </c>
      <c r="M2568" s="32">
        <f>IF(Mecze[[#This Row],[PR]]=0,0,Mecze[[#This Row],[PR]]/Mecze[[#This Row],[CZAS]])</f>
        <v>0</v>
      </c>
      <c r="N2568" s="32">
        <f>IF(Mecze[[#This Row],[OU]]=0,0,Mecze[[#This Row],[OU]]/Mecze[[#This Row],[CZAS]])</f>
        <v>1.0309278350515464E-2</v>
      </c>
      <c r="O2568" s="32">
        <f>IF(Mecze[[#This Row],[PC]]=0,0,Mecze[[#This Row],[PC]]/Mecze[[#This Row],[CZAS]])</f>
        <v>7.2164948453608241E-2</v>
      </c>
      <c r="P2568" s="32">
        <f>IF(Mecze[[#This Row],[SC]]=0,0,Mecze[[#This Row],[SC]]/Mecze[[#This Row],[CZAS]])</f>
        <v>6.1855670103092786E-2</v>
      </c>
      <c r="Q2568" s="32">
        <f>IF(Mecze[[#This Row],[OB]]=0,0,Mecze[[#This Row],[OB]]/Mecze[[#This Row],[CZAS]])</f>
        <v>0</v>
      </c>
      <c r="R2568" s="32">
        <f>IF(Mecze[[#This Row],[BR]]=0,0,Mecze[[#This Row],[BR]]/Mecze[[#This Row],[CZAS]])</f>
        <v>1.0309278350515464E-2</v>
      </c>
      <c r="S2568" s="44">
        <f>IF(Mecze[[#This Row],[Role]]="BR",SUMPRODUCT(Mecze[[#This Row],[/PR:90]:[/BR:90]],Brudnopis!$E$23:$J$23),0)</f>
        <v>0</v>
      </c>
      <c r="T2568" s="44">
        <f>IF(Mecze[[#This Row],[Role]]&lt;&gt;"BR",SUMPRODUCT(Mecze[[#This Row],[/PR:90]:[/BR:90]],Brudnopis!$E$24:$J$24),0)</f>
        <v>0.16494845360824742</v>
      </c>
      <c r="U2568" s="44">
        <f>IF(Mecze[[#This Row],[Role]]&lt;&gt;"BR",SUMPRODUCT(Mecze[[#This Row],[/PR:90]:[/BR:90]],Brudnopis!$E$25:$J$25),0)</f>
        <v>0.19587628865979381</v>
      </c>
      <c r="V2568" s="44">
        <f>IF(Mecze[[#This Row],[Role]]&lt;&gt;"BR",SUMPRODUCT(Mecze[[#This Row],[/PR:90]:[/BR:90]],Brudnopis!$E$26:$J$26),0)</f>
        <v>0.16494845360824742</v>
      </c>
      <c r="W2568" s="44">
        <f>IF(Mecze[[#This Row],[Role]]&lt;&gt;"BR",SUMPRODUCT(Mecze[[#This Row],[/PR:90]:[/BR:90]],Brudnopis!$E$27:$J$27),0)</f>
        <v>0.19845360824742267</v>
      </c>
      <c r="X2568" s="44">
        <f>IF(Mecze[[#This Row],[Role]]&lt;&gt;"BR",SUMPRODUCT(Mecze[[#This Row],[/PR:90]:[/BR:90]],Brudnopis!$E$28:$J$28),0)</f>
        <v>0.22680412371134021</v>
      </c>
      <c r="Y2568" s="35">
        <f>IF(Mecze[[#This Row],[Role]]="BR",Mecze[[#This Row],[/OB:90]]+Mecze[[#This Row],[/PC:90]],SUM(Mecze[[#This Row],[/PR:90]:[/BR:90]]))</f>
        <v>0.15463917525773194</v>
      </c>
      <c r="Z2568" s="35">
        <f>IF(Mecze[[#This Row],[KC]]=0,SUM(Mecze[[#This Row],[/BRI]:[/NPI]]),SUM(Mecze[[#This Row],[/BRI]:[/NPI]])*0.6)</f>
        <v>0.9510309278350515</v>
      </c>
      <c r="AA2568" s="10">
        <f>IFERROR(Mecze[[#This Row],[BR]]/Mecze[[#This Row],[ST]],0)</f>
        <v>0.16666666666666666</v>
      </c>
      <c r="AB2568">
        <f>ROUND(Mecze[[#This Row],[PD]]*Mecze[[#This Row],[%PC]],0)</f>
        <v>7</v>
      </c>
      <c r="AC2568">
        <f>ROUND(Mecze[[#This Row],[OD]]*Mecze[[#This Row],[%OU]],0)</f>
        <v>1</v>
      </c>
      <c r="AD2568" s="36" t="s">
        <v>46</v>
      </c>
      <c r="AE2568" s="36">
        <v>143</v>
      </c>
      <c r="AF2568" s="71">
        <v>7.66</v>
      </c>
      <c r="AG2568" s="37">
        <v>0</v>
      </c>
      <c r="AH2568" s="37">
        <v>0</v>
      </c>
      <c r="AI2568" s="37">
        <v>97</v>
      </c>
      <c r="AJ2568" s="37">
        <v>1</v>
      </c>
      <c r="AK2568" s="37" t="str">
        <f>VLOOKUP(Mecze[[#This Row],[Match ID]],Meczusie[Mecz]:Meczusie[RodzajMeczu],2,FALSE)</f>
        <v>Towarzyski</v>
      </c>
    </row>
    <row r="2569" spans="1:37" x14ac:dyDescent="0.25">
      <c r="A2569" s="76">
        <v>46</v>
      </c>
      <c r="B2569" s="3" t="s">
        <v>395</v>
      </c>
      <c r="C2569" s="2" t="s">
        <v>165</v>
      </c>
      <c r="D2569" s="1">
        <v>0</v>
      </c>
      <c r="E2569" s="1">
        <v>4</v>
      </c>
      <c r="F2569" s="1">
        <v>4</v>
      </c>
      <c r="G2569" s="1">
        <v>9</v>
      </c>
      <c r="H2569" s="4">
        <v>0.44</v>
      </c>
      <c r="I2569" s="1">
        <v>4</v>
      </c>
      <c r="J2569" s="4">
        <v>0</v>
      </c>
      <c r="K2569" s="1">
        <v>0</v>
      </c>
      <c r="L2569" s="1">
        <v>0</v>
      </c>
      <c r="M2569" s="32">
        <f>IF(Mecze[[#This Row],[PR]]=0,0,Mecze[[#This Row],[PR]]/Mecze[[#This Row],[CZAS]])</f>
        <v>0</v>
      </c>
      <c r="N2569" s="32">
        <f>IF(Mecze[[#This Row],[OU]]=0,0,Mecze[[#This Row],[OU]]/Mecze[[#This Row],[CZAS]])</f>
        <v>0</v>
      </c>
      <c r="O2569" s="32">
        <f>IF(Mecze[[#This Row],[PC]]=0,0,Mecze[[#This Row],[PC]]/Mecze[[#This Row],[CZAS]])</f>
        <v>4.1237113402061855E-2</v>
      </c>
      <c r="P2569" s="32">
        <f>IF(Mecze[[#This Row],[SC]]=0,0,Mecze[[#This Row],[SC]]/Mecze[[#This Row],[CZAS]])</f>
        <v>4.1237113402061855E-2</v>
      </c>
      <c r="Q2569" s="32">
        <f>IF(Mecze[[#This Row],[OB]]=0,0,Mecze[[#This Row],[OB]]/Mecze[[#This Row],[CZAS]])</f>
        <v>0</v>
      </c>
      <c r="R2569" s="32">
        <f>IF(Mecze[[#This Row],[BR]]=0,0,Mecze[[#This Row],[BR]]/Mecze[[#This Row],[CZAS]])</f>
        <v>0</v>
      </c>
      <c r="S2569" s="44">
        <f>IF(Mecze[[#This Row],[Role]]="BR",SUMPRODUCT(Mecze[[#This Row],[/PR:90]:[/BR:90]],Brudnopis!$E$23:$J$23),0)</f>
        <v>0</v>
      </c>
      <c r="T2569" s="44">
        <f>IF(Mecze[[#This Row],[Role]]&lt;&gt;"BR",SUMPRODUCT(Mecze[[#This Row],[/PR:90]:[/BR:90]],Brudnopis!$E$24:$J$24),0)</f>
        <v>8.247422680412371E-2</v>
      </c>
      <c r="U2569" s="44">
        <f>IF(Mecze[[#This Row],[Role]]&lt;&gt;"BR",SUMPRODUCT(Mecze[[#This Row],[/PR:90]:[/BR:90]],Brudnopis!$E$25:$J$25),0)</f>
        <v>0.10309278350515463</v>
      </c>
      <c r="V2569" s="44">
        <f>IF(Mecze[[#This Row],[Role]]&lt;&gt;"BR",SUMPRODUCT(Mecze[[#This Row],[/PR:90]:[/BR:90]],Brudnopis!$E$26:$J$26),0)</f>
        <v>8.247422680412371E-2</v>
      </c>
      <c r="W2569" s="44">
        <f>IF(Mecze[[#This Row],[Role]]&lt;&gt;"BR",SUMPRODUCT(Mecze[[#This Row],[/PR:90]:[/BR:90]],Brudnopis!$E$27:$J$27),0)</f>
        <v>0.10309278350515463</v>
      </c>
      <c r="X2569" s="44">
        <f>IF(Mecze[[#This Row],[Role]]&lt;&gt;"BR",SUMPRODUCT(Mecze[[#This Row],[/PR:90]:[/BR:90]],Brudnopis!$E$28:$J$28),0)</f>
        <v>0.12371134020618557</v>
      </c>
      <c r="Y2569" s="35">
        <f>IF(Mecze[[#This Row],[Role]]="BR",Mecze[[#This Row],[/OB:90]]+Mecze[[#This Row],[/PC:90]],SUM(Mecze[[#This Row],[/PR:90]:[/BR:90]]))</f>
        <v>8.247422680412371E-2</v>
      </c>
      <c r="Z2569" s="35">
        <f>IF(Mecze[[#This Row],[KC]]=0,SUM(Mecze[[#This Row],[/BRI]:[/NPI]]),SUM(Mecze[[#This Row],[/BRI]:[/NPI]])*0.6)</f>
        <v>0.49484536082474229</v>
      </c>
      <c r="AA2569" s="10">
        <f>IFERROR(Mecze[[#This Row],[BR]]/Mecze[[#This Row],[ST]],0)</f>
        <v>0</v>
      </c>
      <c r="AB2569">
        <f>ROUND(Mecze[[#This Row],[PD]]*Mecze[[#This Row],[%PC]],0)</f>
        <v>4</v>
      </c>
      <c r="AC2569">
        <f>ROUND(Mecze[[#This Row],[OD]]*Mecze[[#This Row],[%OU]],0)</f>
        <v>0</v>
      </c>
      <c r="AD2569" s="36" t="s">
        <v>46</v>
      </c>
      <c r="AE2569" s="36">
        <v>143</v>
      </c>
      <c r="AF2569" s="71">
        <v>3.59</v>
      </c>
      <c r="AG2569" s="37">
        <v>0</v>
      </c>
      <c r="AH2569" s="37">
        <v>0</v>
      </c>
      <c r="AI2569" s="37">
        <v>97</v>
      </c>
      <c r="AJ2569" s="37">
        <v>1</v>
      </c>
      <c r="AK2569" s="37" t="str">
        <f>VLOOKUP(Mecze[[#This Row],[Match ID]],Meczusie[Mecz]:Meczusie[RodzajMeczu],2,FALSE)</f>
        <v>Towarzyski</v>
      </c>
    </row>
    <row r="2570" spans="1:37" x14ac:dyDescent="0.25">
      <c r="A2570" s="76">
        <v>3</v>
      </c>
      <c r="B2570" s="3" t="s">
        <v>222</v>
      </c>
      <c r="C2570" s="2" t="s">
        <v>155</v>
      </c>
      <c r="D2570" s="1">
        <v>0</v>
      </c>
      <c r="E2570" s="1">
        <v>0</v>
      </c>
      <c r="F2570" s="1">
        <v>0</v>
      </c>
      <c r="G2570" s="1">
        <v>13</v>
      </c>
      <c r="H2570" s="4">
        <v>0.46</v>
      </c>
      <c r="I2570" s="1">
        <v>0</v>
      </c>
      <c r="J2570" s="4"/>
      <c r="K2570" s="1">
        <v>12</v>
      </c>
      <c r="L2570" s="1">
        <v>0</v>
      </c>
      <c r="M2570" s="32">
        <f>IF(Mecze[[#This Row],[PR]]=0,0,Mecze[[#This Row],[PR]]/Mecze[[#This Row],[CZAS]])</f>
        <v>0</v>
      </c>
      <c r="N2570" s="32">
        <f>IF(Mecze[[#This Row],[OU]]=0,0,Mecze[[#This Row],[OU]]/Mecze[[#This Row],[CZAS]])</f>
        <v>0</v>
      </c>
      <c r="O2570" s="32">
        <f>IF(Mecze[[#This Row],[PC]]=0,0,Mecze[[#This Row],[PC]]/Mecze[[#This Row],[CZAS]])</f>
        <v>5.8823529411764705E-2</v>
      </c>
      <c r="P2570" s="32">
        <f>IF(Mecze[[#This Row],[SC]]=0,0,Mecze[[#This Row],[SC]]/Mecze[[#This Row],[CZAS]])</f>
        <v>0</v>
      </c>
      <c r="Q2570" s="32">
        <f>IF(Mecze[[#This Row],[OB]]=0,0,Mecze[[#This Row],[OB]]/Mecze[[#This Row],[CZAS]])</f>
        <v>0.11764705882352941</v>
      </c>
      <c r="R2570" s="32">
        <f>IF(Mecze[[#This Row],[BR]]=0,0,Mecze[[#This Row],[BR]]/Mecze[[#This Row],[CZAS]])</f>
        <v>0</v>
      </c>
      <c r="S2570" s="44">
        <f>IF(Mecze[[#This Row],[Role]]="BR",SUMPRODUCT(Mecze[[#This Row],[/PR:90]:[/BR:90]],Brudnopis!$E$23:$J$23),0)</f>
        <v>0.52941176470588225</v>
      </c>
      <c r="T2570" s="44">
        <f>IF(Mecze[[#This Row],[Role]]&lt;&gt;"BR",SUMPRODUCT(Mecze[[#This Row],[/PR:90]:[/BR:90]],Brudnopis!$E$24:$J$24),0)</f>
        <v>0</v>
      </c>
      <c r="U2570" s="44">
        <f>IF(Mecze[[#This Row],[Role]]&lt;&gt;"BR",SUMPRODUCT(Mecze[[#This Row],[/PR:90]:[/BR:90]],Brudnopis!$E$25:$J$25),0)</f>
        <v>0</v>
      </c>
      <c r="V2570" s="44">
        <f>IF(Mecze[[#This Row],[Role]]&lt;&gt;"BR",SUMPRODUCT(Mecze[[#This Row],[/PR:90]:[/BR:90]],Brudnopis!$E$26:$J$26),0)</f>
        <v>0</v>
      </c>
      <c r="W2570" s="44">
        <f>IF(Mecze[[#This Row],[Role]]&lt;&gt;"BR",SUMPRODUCT(Mecze[[#This Row],[/PR:90]:[/BR:90]],Brudnopis!$E$27:$J$27),0)</f>
        <v>0</v>
      </c>
      <c r="X2570" s="44">
        <f>IF(Mecze[[#This Row],[Role]]&lt;&gt;"BR",SUMPRODUCT(Mecze[[#This Row],[/PR:90]:[/BR:90]],Brudnopis!$E$28:$J$28),0)</f>
        <v>0</v>
      </c>
      <c r="Y2570" s="35">
        <f>IF(Mecze[[#This Row],[Role]]="BR",Mecze[[#This Row],[/OB:90]]+Mecze[[#This Row],[/PC:90]],SUM(Mecze[[#This Row],[/PR:90]:[/BR:90]]))</f>
        <v>0.1764705882352941</v>
      </c>
      <c r="Z2570" s="35">
        <f>IF(Mecze[[#This Row],[KC]]=0,SUM(Mecze[[#This Row],[/BRI]:[/NPI]]),SUM(Mecze[[#This Row],[/BRI]:[/NPI]])*0.6)</f>
        <v>0.52941176470588225</v>
      </c>
      <c r="AA2570" s="10">
        <f>IFERROR(Mecze[[#This Row],[BR]]/Mecze[[#This Row],[ST]],0)</f>
        <v>0</v>
      </c>
      <c r="AB2570">
        <f>ROUND(Mecze[[#This Row],[PD]]*Mecze[[#This Row],[%PC]],0)</f>
        <v>6</v>
      </c>
      <c r="AC2570">
        <f>ROUND(Mecze[[#This Row],[OD]]*Mecze[[#This Row],[%OU]],0)</f>
        <v>0</v>
      </c>
      <c r="AD2570" s="36" t="s">
        <v>40</v>
      </c>
      <c r="AE2570" s="36">
        <v>144</v>
      </c>
      <c r="AF2570" s="71">
        <v>2.4500000000000002</v>
      </c>
      <c r="AG2570" s="37">
        <v>0</v>
      </c>
      <c r="AH2570" s="37">
        <v>0</v>
      </c>
      <c r="AI2570" s="37">
        <v>102</v>
      </c>
      <c r="AJ2570" s="37">
        <v>2</v>
      </c>
      <c r="AK2570" s="37" t="str">
        <f>VLOOKUP(Mecze[[#This Row],[Match ID]],Meczusie[Mecz]:Meczusie[RodzajMeczu],2,FALSE)</f>
        <v>Liga</v>
      </c>
    </row>
    <row r="2571" spans="1:37" x14ac:dyDescent="0.25">
      <c r="A2571" s="76">
        <v>42</v>
      </c>
      <c r="B2571" s="3" t="s">
        <v>497</v>
      </c>
      <c r="C2571" s="2" t="s">
        <v>157</v>
      </c>
      <c r="D2571" s="1">
        <v>0</v>
      </c>
      <c r="E2571" s="1">
        <v>0</v>
      </c>
      <c r="F2571" s="1">
        <v>0</v>
      </c>
      <c r="G2571" s="1">
        <v>4</v>
      </c>
      <c r="H2571" s="4">
        <v>0.5</v>
      </c>
      <c r="I2571" s="1">
        <v>1</v>
      </c>
      <c r="J2571" s="4">
        <v>1</v>
      </c>
      <c r="K2571" s="1">
        <v>0</v>
      </c>
      <c r="L2571" s="1">
        <v>2</v>
      </c>
      <c r="M2571" s="32">
        <f>IF(Mecze[[#This Row],[PR]]=0,0,Mecze[[#This Row],[PR]]/Mecze[[#This Row],[CZAS]])</f>
        <v>1.9607843137254902E-2</v>
      </c>
      <c r="N2571" s="32">
        <f>IF(Mecze[[#This Row],[OU]]=0,0,Mecze[[#This Row],[OU]]/Mecze[[#This Row],[CZAS]])</f>
        <v>9.8039215686274508E-3</v>
      </c>
      <c r="O2571" s="32">
        <f>IF(Mecze[[#This Row],[PC]]=0,0,Mecze[[#This Row],[PC]]/Mecze[[#This Row],[CZAS]])</f>
        <v>1.9607843137254902E-2</v>
      </c>
      <c r="P2571" s="32">
        <f>IF(Mecze[[#This Row],[SC]]=0,0,Mecze[[#This Row],[SC]]/Mecze[[#This Row],[CZAS]])</f>
        <v>0</v>
      </c>
      <c r="Q2571" s="32">
        <f>IF(Mecze[[#This Row],[OB]]=0,0,Mecze[[#This Row],[OB]]/Mecze[[#This Row],[CZAS]])</f>
        <v>0</v>
      </c>
      <c r="R2571" s="32">
        <f>IF(Mecze[[#This Row],[BR]]=0,0,Mecze[[#This Row],[BR]]/Mecze[[#This Row],[CZAS]])</f>
        <v>0</v>
      </c>
      <c r="S2571" s="44">
        <f>IF(Mecze[[#This Row],[Role]]="BR",SUMPRODUCT(Mecze[[#This Row],[/PR:90]:[/BR:90]],Brudnopis!$E$23:$J$23),0)</f>
        <v>0</v>
      </c>
      <c r="T2571" s="44">
        <f>IF(Mecze[[#This Row],[Role]]&lt;&gt;"BR",SUMPRODUCT(Mecze[[#This Row],[/PR:90]:[/BR:90]],Brudnopis!$E$24:$J$24),0)</f>
        <v>5.3921568627450983E-2</v>
      </c>
      <c r="U2571" s="44">
        <f>IF(Mecze[[#This Row],[Role]]&lt;&gt;"BR",SUMPRODUCT(Mecze[[#This Row],[/PR:90]:[/BR:90]],Brudnopis!$E$25:$J$25),0)</f>
        <v>5.8823529411764705E-2</v>
      </c>
      <c r="V2571" s="44">
        <f>IF(Mecze[[#This Row],[Role]]&lt;&gt;"BR",SUMPRODUCT(Mecze[[#This Row],[/PR:90]:[/BR:90]],Brudnopis!$E$26:$J$26),0)</f>
        <v>4.9019607843137254E-2</v>
      </c>
      <c r="W2571" s="44">
        <f>IF(Mecze[[#This Row],[Role]]&lt;&gt;"BR",SUMPRODUCT(Mecze[[#This Row],[/PR:90]:[/BR:90]],Brudnopis!$E$27:$J$27),0)</f>
        <v>5.1470588235294115E-2</v>
      </c>
      <c r="X2571" s="44">
        <f>IF(Mecze[[#This Row],[Role]]&lt;&gt;"BR",SUMPRODUCT(Mecze[[#This Row],[/PR:90]:[/BR:90]],Brudnopis!$E$28:$J$28),0)</f>
        <v>1.9607843137254902E-2</v>
      </c>
      <c r="Y2571" s="35">
        <f>IF(Mecze[[#This Row],[Role]]="BR",Mecze[[#This Row],[/OB:90]]+Mecze[[#This Row],[/PC:90]],SUM(Mecze[[#This Row],[/PR:90]:[/BR:90]]))</f>
        <v>4.9019607843137254E-2</v>
      </c>
      <c r="Z2571" s="35">
        <f>IF(Mecze[[#This Row],[KC]]=0,SUM(Mecze[[#This Row],[/BRI]:[/NPI]]),SUM(Mecze[[#This Row],[/BRI]:[/NPI]])*0.6)</f>
        <v>0.23284313725490197</v>
      </c>
      <c r="AA2571" s="10">
        <f>IFERROR(Mecze[[#This Row],[BR]]/Mecze[[#This Row],[ST]],0)</f>
        <v>0</v>
      </c>
      <c r="AB2571">
        <f>ROUND(Mecze[[#This Row],[PD]]*Mecze[[#This Row],[%PC]],0)</f>
        <v>2</v>
      </c>
      <c r="AC2571">
        <f>ROUND(Mecze[[#This Row],[OD]]*Mecze[[#This Row],[%OU]],0)</f>
        <v>1</v>
      </c>
      <c r="AD2571" s="36" t="s">
        <v>174</v>
      </c>
      <c r="AE2571" s="36">
        <v>144</v>
      </c>
      <c r="AF2571" s="71">
        <v>-1.33</v>
      </c>
      <c r="AG2571" s="37">
        <v>0</v>
      </c>
      <c r="AH2571" s="37">
        <v>0</v>
      </c>
      <c r="AI2571" s="37">
        <v>102</v>
      </c>
      <c r="AJ2571" s="37">
        <v>2</v>
      </c>
      <c r="AK2571" s="37" t="str">
        <f>VLOOKUP(Mecze[[#This Row],[Match ID]],Meczusie[Mecz]:Meczusie[RodzajMeczu],2,FALSE)</f>
        <v>Liga</v>
      </c>
    </row>
    <row r="2572" spans="1:37" x14ac:dyDescent="0.25">
      <c r="A2572" s="76">
        <v>40</v>
      </c>
      <c r="B2572" s="3" t="s">
        <v>498</v>
      </c>
      <c r="C2572" s="2" t="s">
        <v>157</v>
      </c>
      <c r="D2572" s="1">
        <v>0</v>
      </c>
      <c r="E2572" s="1">
        <v>0</v>
      </c>
      <c r="F2572" s="1">
        <v>0</v>
      </c>
      <c r="G2572" s="1">
        <v>22</v>
      </c>
      <c r="H2572" s="4">
        <v>0.23</v>
      </c>
      <c r="I2572" s="1">
        <v>8</v>
      </c>
      <c r="J2572" s="4">
        <v>0.13</v>
      </c>
      <c r="K2572" s="1">
        <v>0</v>
      </c>
      <c r="L2572" s="1">
        <v>8</v>
      </c>
      <c r="M2572" s="32">
        <f>IF(Mecze[[#This Row],[PR]]=0,0,Mecze[[#This Row],[PR]]/Mecze[[#This Row],[CZAS]])</f>
        <v>7.8431372549019607E-2</v>
      </c>
      <c r="N2572" s="32">
        <f>IF(Mecze[[#This Row],[OU]]=0,0,Mecze[[#This Row],[OU]]/Mecze[[#This Row],[CZAS]])</f>
        <v>9.8039215686274508E-3</v>
      </c>
      <c r="O2572" s="32">
        <f>IF(Mecze[[#This Row],[PC]]=0,0,Mecze[[#This Row],[PC]]/Mecze[[#This Row],[CZAS]])</f>
        <v>4.9019607843137254E-2</v>
      </c>
      <c r="P2572" s="32">
        <f>IF(Mecze[[#This Row],[SC]]=0,0,Mecze[[#This Row],[SC]]/Mecze[[#This Row],[CZAS]])</f>
        <v>0</v>
      </c>
      <c r="Q2572" s="32">
        <f>IF(Mecze[[#This Row],[OB]]=0,0,Mecze[[#This Row],[OB]]/Mecze[[#This Row],[CZAS]])</f>
        <v>0</v>
      </c>
      <c r="R2572" s="32">
        <f>IF(Mecze[[#This Row],[BR]]=0,0,Mecze[[#This Row],[BR]]/Mecze[[#This Row],[CZAS]])</f>
        <v>0</v>
      </c>
      <c r="S2572" s="44">
        <f>IF(Mecze[[#This Row],[Role]]="BR",SUMPRODUCT(Mecze[[#This Row],[/PR:90]:[/BR:90]],Brudnopis!$E$23:$J$23),0)</f>
        <v>0</v>
      </c>
      <c r="T2572" s="44">
        <f>IF(Mecze[[#This Row],[Role]]&lt;&gt;"BR",SUMPRODUCT(Mecze[[#This Row],[/PR:90]:[/BR:90]],Brudnopis!$E$24:$J$24),0)</f>
        <v>0.14215686274509803</v>
      </c>
      <c r="U2572" s="44">
        <f>IF(Mecze[[#This Row],[Role]]&lt;&gt;"BR",SUMPRODUCT(Mecze[[#This Row],[/PR:90]:[/BR:90]],Brudnopis!$E$25:$J$25),0)</f>
        <v>0.16176470588235292</v>
      </c>
      <c r="V2572" s="44">
        <f>IF(Mecze[[#This Row],[Role]]&lt;&gt;"BR",SUMPRODUCT(Mecze[[#This Row],[/PR:90]:[/BR:90]],Brudnopis!$E$26:$J$26),0)</f>
        <v>0.1372549019607843</v>
      </c>
      <c r="W2572" s="44">
        <f>IF(Mecze[[#This Row],[Role]]&lt;&gt;"BR",SUMPRODUCT(Mecze[[#This Row],[/PR:90]:[/BR:90]],Brudnopis!$E$27:$J$27),0)</f>
        <v>0.13970588235294118</v>
      </c>
      <c r="X2572" s="44">
        <f>IF(Mecze[[#This Row],[Role]]&lt;&gt;"BR",SUMPRODUCT(Mecze[[#This Row],[/PR:90]:[/BR:90]],Brudnopis!$E$28:$J$28),0)</f>
        <v>4.9019607843137254E-2</v>
      </c>
      <c r="Y2572" s="35">
        <f>IF(Mecze[[#This Row],[Role]]="BR",Mecze[[#This Row],[/OB:90]]+Mecze[[#This Row],[/PC:90]],SUM(Mecze[[#This Row],[/PR:90]:[/BR:90]]))</f>
        <v>0.1372549019607843</v>
      </c>
      <c r="Z2572" s="35">
        <f>IF(Mecze[[#This Row],[KC]]=0,SUM(Mecze[[#This Row],[/BRI]:[/NPI]]),SUM(Mecze[[#This Row],[/BRI]:[/NPI]])*0.6)</f>
        <v>0.62990196078431371</v>
      </c>
      <c r="AA2572" s="10">
        <f>IFERROR(Mecze[[#This Row],[BR]]/Mecze[[#This Row],[ST]],0)</f>
        <v>0</v>
      </c>
      <c r="AB2572">
        <f>ROUND(Mecze[[#This Row],[PD]]*Mecze[[#This Row],[%PC]],0)</f>
        <v>5</v>
      </c>
      <c r="AC2572">
        <f>ROUND(Mecze[[#This Row],[OD]]*Mecze[[#This Row],[%OU]],0)</f>
        <v>1</v>
      </c>
      <c r="AD2572" s="36" t="s">
        <v>47</v>
      </c>
      <c r="AE2572" s="36">
        <v>144</v>
      </c>
      <c r="AF2572" s="71">
        <v>-1.18</v>
      </c>
      <c r="AG2572" s="37">
        <v>0</v>
      </c>
      <c r="AH2572" s="37">
        <v>0</v>
      </c>
      <c r="AI2572" s="37">
        <v>102</v>
      </c>
      <c r="AJ2572" s="37">
        <v>2</v>
      </c>
      <c r="AK2572" s="37" t="str">
        <f>VLOOKUP(Mecze[[#This Row],[Match ID]],Meczusie[Mecz]:Meczusie[RodzajMeczu],2,FALSE)</f>
        <v>Liga</v>
      </c>
    </row>
    <row r="2573" spans="1:37" x14ac:dyDescent="0.25">
      <c r="A2573" s="76">
        <v>37</v>
      </c>
      <c r="B2573" s="3" t="s">
        <v>499</v>
      </c>
      <c r="C2573" s="2" t="s">
        <v>157</v>
      </c>
      <c r="D2573" s="1">
        <v>0</v>
      </c>
      <c r="E2573" s="1">
        <v>1</v>
      </c>
      <c r="F2573" s="1">
        <v>1</v>
      </c>
      <c r="G2573" s="1">
        <v>9</v>
      </c>
      <c r="H2573" s="4">
        <v>0.11</v>
      </c>
      <c r="I2573" s="1">
        <v>3</v>
      </c>
      <c r="J2573" s="4">
        <v>0</v>
      </c>
      <c r="K2573" s="1">
        <v>0</v>
      </c>
      <c r="L2573" s="1">
        <v>4</v>
      </c>
      <c r="M2573" s="32">
        <f>IF(Mecze[[#This Row],[PR]]=0,0,Mecze[[#This Row],[PR]]/Mecze[[#This Row],[CZAS]])</f>
        <v>3.9215686274509803E-2</v>
      </c>
      <c r="N2573" s="32">
        <f>IF(Mecze[[#This Row],[OU]]=0,0,Mecze[[#This Row],[OU]]/Mecze[[#This Row],[CZAS]])</f>
        <v>0</v>
      </c>
      <c r="O2573" s="32">
        <f>IF(Mecze[[#This Row],[PC]]=0,0,Mecze[[#This Row],[PC]]/Mecze[[#This Row],[CZAS]])</f>
        <v>9.8039215686274508E-3</v>
      </c>
      <c r="P2573" s="32">
        <f>IF(Mecze[[#This Row],[SC]]=0,0,Mecze[[#This Row],[SC]]/Mecze[[#This Row],[CZAS]])</f>
        <v>9.8039215686274508E-3</v>
      </c>
      <c r="Q2573" s="32">
        <f>IF(Mecze[[#This Row],[OB]]=0,0,Mecze[[#This Row],[OB]]/Mecze[[#This Row],[CZAS]])</f>
        <v>0</v>
      </c>
      <c r="R2573" s="32">
        <f>IF(Mecze[[#This Row],[BR]]=0,0,Mecze[[#This Row],[BR]]/Mecze[[#This Row],[CZAS]])</f>
        <v>0</v>
      </c>
      <c r="S2573" s="44">
        <f>IF(Mecze[[#This Row],[Role]]="BR",SUMPRODUCT(Mecze[[#This Row],[/PR:90]:[/BR:90]],Brudnopis!$E$23:$J$23),0)</f>
        <v>0</v>
      </c>
      <c r="T2573" s="44">
        <f>IF(Mecze[[#This Row],[Role]]&lt;&gt;"BR",SUMPRODUCT(Mecze[[#This Row],[/PR:90]:[/BR:90]],Brudnopis!$E$24:$J$24),0)</f>
        <v>5.8823529411764705E-2</v>
      </c>
      <c r="U2573" s="44">
        <f>IF(Mecze[[#This Row],[Role]]&lt;&gt;"BR",SUMPRODUCT(Mecze[[#This Row],[/PR:90]:[/BR:90]],Brudnopis!$E$25:$J$25),0)</f>
        <v>6.3725490196078427E-2</v>
      </c>
      <c r="V2573" s="44">
        <f>IF(Mecze[[#This Row],[Role]]&lt;&gt;"BR",SUMPRODUCT(Mecze[[#This Row],[/PR:90]:[/BR:90]],Brudnopis!$E$26:$J$26),0)</f>
        <v>5.8823529411764705E-2</v>
      </c>
      <c r="W2573" s="44">
        <f>IF(Mecze[[#This Row],[Role]]&lt;&gt;"BR",SUMPRODUCT(Mecze[[#This Row],[/PR:90]:[/BR:90]],Brudnopis!$E$27:$J$27),0)</f>
        <v>5.3921568627450976E-2</v>
      </c>
      <c r="X2573" s="44">
        <f>IF(Mecze[[#This Row],[Role]]&lt;&gt;"BR",SUMPRODUCT(Mecze[[#This Row],[/PR:90]:[/BR:90]],Brudnopis!$E$28:$J$28),0)</f>
        <v>2.9411764705882353E-2</v>
      </c>
      <c r="Y2573" s="35">
        <f>IF(Mecze[[#This Row],[Role]]="BR",Mecze[[#This Row],[/OB:90]]+Mecze[[#This Row],[/PC:90]],SUM(Mecze[[#This Row],[/PR:90]:[/BR:90]]))</f>
        <v>5.8823529411764705E-2</v>
      </c>
      <c r="Z2573" s="35">
        <f>IF(Mecze[[#This Row],[KC]]=0,SUM(Mecze[[#This Row],[/BRI]:[/NPI]]),SUM(Mecze[[#This Row],[/BRI]:[/NPI]])*0.6)</f>
        <v>0.26470588235294118</v>
      </c>
      <c r="AA2573" s="10">
        <f>IFERROR(Mecze[[#This Row],[BR]]/Mecze[[#This Row],[ST]],0)</f>
        <v>0</v>
      </c>
      <c r="AB2573">
        <f>ROUND(Mecze[[#This Row],[PD]]*Mecze[[#This Row],[%PC]],0)</f>
        <v>1</v>
      </c>
      <c r="AC2573">
        <f>ROUND(Mecze[[#This Row],[OD]]*Mecze[[#This Row],[%OU]],0)</f>
        <v>0</v>
      </c>
      <c r="AD2573" s="36" t="s">
        <v>175</v>
      </c>
      <c r="AE2573" s="36">
        <v>144</v>
      </c>
      <c r="AF2573" s="71">
        <v>-0.91</v>
      </c>
      <c r="AG2573" s="37">
        <v>0</v>
      </c>
      <c r="AH2573" s="37">
        <v>0</v>
      </c>
      <c r="AI2573" s="37">
        <v>102</v>
      </c>
      <c r="AJ2573" s="37">
        <v>2</v>
      </c>
      <c r="AK2573" s="37" t="str">
        <f>VLOOKUP(Mecze[[#This Row],[Match ID]],Meczusie[Mecz]:Meczusie[RodzajMeczu],2,FALSE)</f>
        <v>Liga</v>
      </c>
    </row>
    <row r="2574" spans="1:37" x14ac:dyDescent="0.25">
      <c r="A2574" s="76">
        <v>34</v>
      </c>
      <c r="B2574" s="3" t="s">
        <v>500</v>
      </c>
      <c r="C2574" s="2" t="s">
        <v>157</v>
      </c>
      <c r="D2574" s="1">
        <v>0</v>
      </c>
      <c r="E2574" s="1">
        <v>0</v>
      </c>
      <c r="F2574" s="1">
        <v>0</v>
      </c>
      <c r="G2574" s="1">
        <v>7</v>
      </c>
      <c r="H2574" s="4">
        <v>0.14000000000000001</v>
      </c>
      <c r="I2574" s="1">
        <v>7</v>
      </c>
      <c r="J2574" s="4">
        <v>0.43</v>
      </c>
      <c r="K2574" s="1">
        <v>0</v>
      </c>
      <c r="L2574" s="1">
        <v>4</v>
      </c>
      <c r="M2574" s="32">
        <f>IF(Mecze[[#This Row],[PR]]=0,0,Mecze[[#This Row],[PR]]/Mecze[[#This Row],[CZAS]])</f>
        <v>3.9215686274509803E-2</v>
      </c>
      <c r="N2574" s="32">
        <f>IF(Mecze[[#This Row],[OU]]=0,0,Mecze[[#This Row],[OU]]/Mecze[[#This Row],[CZAS]])</f>
        <v>2.9411764705882353E-2</v>
      </c>
      <c r="O2574" s="32">
        <f>IF(Mecze[[#This Row],[PC]]=0,0,Mecze[[#This Row],[PC]]/Mecze[[#This Row],[CZAS]])</f>
        <v>9.8039215686274508E-3</v>
      </c>
      <c r="P2574" s="32">
        <f>IF(Mecze[[#This Row],[SC]]=0,0,Mecze[[#This Row],[SC]]/Mecze[[#This Row],[CZAS]])</f>
        <v>0</v>
      </c>
      <c r="Q2574" s="32">
        <f>IF(Mecze[[#This Row],[OB]]=0,0,Mecze[[#This Row],[OB]]/Mecze[[#This Row],[CZAS]])</f>
        <v>0</v>
      </c>
      <c r="R2574" s="32">
        <f>IF(Mecze[[#This Row],[BR]]=0,0,Mecze[[#This Row],[BR]]/Mecze[[#This Row],[CZAS]])</f>
        <v>0</v>
      </c>
      <c r="S2574" s="44">
        <f>IF(Mecze[[#This Row],[Role]]="BR",SUMPRODUCT(Mecze[[#This Row],[/PR:90]:[/BR:90]],Brudnopis!$E$23:$J$23),0)</f>
        <v>0</v>
      </c>
      <c r="T2574" s="44">
        <f>IF(Mecze[[#This Row],[Role]]&lt;&gt;"BR",SUMPRODUCT(Mecze[[#This Row],[/PR:90]:[/BR:90]],Brudnopis!$E$24:$J$24),0)</f>
        <v>9.3137254901960786E-2</v>
      </c>
      <c r="U2574" s="44">
        <f>IF(Mecze[[#This Row],[Role]]&lt;&gt;"BR",SUMPRODUCT(Mecze[[#This Row],[/PR:90]:[/BR:90]],Brudnopis!$E$25:$J$25),0)</f>
        <v>8.3333333333333343E-2</v>
      </c>
      <c r="V2574" s="44">
        <f>IF(Mecze[[#This Row],[Role]]&lt;&gt;"BR",SUMPRODUCT(Mecze[[#This Row],[/PR:90]:[/BR:90]],Brudnopis!$E$26:$J$26),0)</f>
        <v>7.8431372549019607E-2</v>
      </c>
      <c r="W2574" s="44">
        <f>IF(Mecze[[#This Row],[Role]]&lt;&gt;"BR",SUMPRODUCT(Mecze[[#This Row],[/PR:90]:[/BR:90]],Brudnopis!$E$27:$J$27),0)</f>
        <v>6.6176470588235295E-2</v>
      </c>
      <c r="X2574" s="44">
        <f>IF(Mecze[[#This Row],[Role]]&lt;&gt;"BR",SUMPRODUCT(Mecze[[#This Row],[/PR:90]:[/BR:90]],Brudnopis!$E$28:$J$28),0)</f>
        <v>9.8039215686274508E-3</v>
      </c>
      <c r="Y2574" s="35">
        <f>IF(Mecze[[#This Row],[Role]]="BR",Mecze[[#This Row],[/OB:90]]+Mecze[[#This Row],[/PC:90]],SUM(Mecze[[#This Row],[/PR:90]:[/BR:90]]))</f>
        <v>7.8431372549019607E-2</v>
      </c>
      <c r="Z2574" s="35">
        <f>IF(Mecze[[#This Row],[KC]]=0,SUM(Mecze[[#This Row],[/BRI]:[/NPI]]),SUM(Mecze[[#This Row],[/BRI]:[/NPI]])*0.6)</f>
        <v>0.33088235294117646</v>
      </c>
      <c r="AA2574" s="10">
        <f>IFERROR(Mecze[[#This Row],[BR]]/Mecze[[#This Row],[ST]],0)</f>
        <v>0</v>
      </c>
      <c r="AB2574">
        <f>ROUND(Mecze[[#This Row],[PD]]*Mecze[[#This Row],[%PC]],0)</f>
        <v>1</v>
      </c>
      <c r="AC2574">
        <f>ROUND(Mecze[[#This Row],[OD]]*Mecze[[#This Row],[%OU]],0)</f>
        <v>3</v>
      </c>
      <c r="AD2574" s="36" t="s">
        <v>47</v>
      </c>
      <c r="AE2574" s="36">
        <v>144</v>
      </c>
      <c r="AF2574" s="71">
        <v>-0.91</v>
      </c>
      <c r="AG2574" s="37">
        <v>0</v>
      </c>
      <c r="AH2574" s="37">
        <v>0</v>
      </c>
      <c r="AI2574" s="37">
        <v>102</v>
      </c>
      <c r="AJ2574" s="37">
        <v>2</v>
      </c>
      <c r="AK2574" s="37" t="str">
        <f>VLOOKUP(Mecze[[#This Row],[Match ID]],Meczusie[Mecz]:Meczusie[RodzajMeczu],2,FALSE)</f>
        <v>Liga</v>
      </c>
    </row>
    <row r="2575" spans="1:37" x14ac:dyDescent="0.25">
      <c r="A2575" s="76">
        <v>31</v>
      </c>
      <c r="B2575" s="3" t="s">
        <v>501</v>
      </c>
      <c r="C2575" s="2" t="s">
        <v>160</v>
      </c>
      <c r="D2575" s="1">
        <v>0</v>
      </c>
      <c r="E2575" s="1">
        <v>0</v>
      </c>
      <c r="F2575" s="1">
        <v>0</v>
      </c>
      <c r="G2575" s="1">
        <v>1</v>
      </c>
      <c r="H2575" s="4">
        <v>0</v>
      </c>
      <c r="I2575" s="1">
        <v>0</v>
      </c>
      <c r="J2575" s="4"/>
      <c r="K2575" s="1">
        <v>0</v>
      </c>
      <c r="L2575" s="1">
        <v>0</v>
      </c>
      <c r="M2575" s="32">
        <f>IF(Mecze[[#This Row],[PR]]=0,0,Mecze[[#This Row],[PR]]/Mecze[[#This Row],[CZAS]])</f>
        <v>0</v>
      </c>
      <c r="N2575" s="32">
        <f>IF(Mecze[[#This Row],[OU]]=0,0,Mecze[[#This Row],[OU]]/Mecze[[#This Row],[CZAS]])</f>
        <v>0</v>
      </c>
      <c r="O2575" s="32">
        <f>IF(Mecze[[#This Row],[PC]]=0,0,Mecze[[#This Row],[PC]]/Mecze[[#This Row],[CZAS]])</f>
        <v>0</v>
      </c>
      <c r="P2575" s="32">
        <f>IF(Mecze[[#This Row],[SC]]=0,0,Mecze[[#This Row],[SC]]/Mecze[[#This Row],[CZAS]])</f>
        <v>0</v>
      </c>
      <c r="Q2575" s="32">
        <f>IF(Mecze[[#This Row],[OB]]=0,0,Mecze[[#This Row],[OB]]/Mecze[[#This Row],[CZAS]])</f>
        <v>0</v>
      </c>
      <c r="R2575" s="32">
        <f>IF(Mecze[[#This Row],[BR]]=0,0,Mecze[[#This Row],[BR]]/Mecze[[#This Row],[CZAS]])</f>
        <v>0</v>
      </c>
      <c r="S2575" s="44">
        <f>IF(Mecze[[#This Row],[Role]]="BR",SUMPRODUCT(Mecze[[#This Row],[/PR:90]:[/BR:90]],Brudnopis!$E$23:$J$23),0)</f>
        <v>0</v>
      </c>
      <c r="T2575" s="44">
        <f>IF(Mecze[[#This Row],[Role]]&lt;&gt;"BR",SUMPRODUCT(Mecze[[#This Row],[/PR:90]:[/BR:90]],Brudnopis!$E$24:$J$24),0)</f>
        <v>0</v>
      </c>
      <c r="U2575" s="44">
        <f>IF(Mecze[[#This Row],[Role]]&lt;&gt;"BR",SUMPRODUCT(Mecze[[#This Row],[/PR:90]:[/BR:90]],Brudnopis!$E$25:$J$25),0)</f>
        <v>0</v>
      </c>
      <c r="V2575" s="44">
        <f>IF(Mecze[[#This Row],[Role]]&lt;&gt;"BR",SUMPRODUCT(Mecze[[#This Row],[/PR:90]:[/BR:90]],Brudnopis!$E$26:$J$26),0)</f>
        <v>0</v>
      </c>
      <c r="W2575" s="44">
        <f>IF(Mecze[[#This Row],[Role]]&lt;&gt;"BR",SUMPRODUCT(Mecze[[#This Row],[/PR:90]:[/BR:90]],Brudnopis!$E$27:$J$27),0)</f>
        <v>0</v>
      </c>
      <c r="X2575" s="44">
        <f>IF(Mecze[[#This Row],[Role]]&lt;&gt;"BR",SUMPRODUCT(Mecze[[#This Row],[/PR:90]:[/BR:90]],Brudnopis!$E$28:$J$28),0)</f>
        <v>0</v>
      </c>
      <c r="Y2575" s="35">
        <f>IF(Mecze[[#This Row],[Role]]="BR",Mecze[[#This Row],[/OB:90]]+Mecze[[#This Row],[/PC:90]],SUM(Mecze[[#This Row],[/PR:90]:[/BR:90]]))</f>
        <v>0</v>
      </c>
      <c r="Z2575" s="35">
        <f>IF(Mecze[[#This Row],[KC]]=0,SUM(Mecze[[#This Row],[/BRI]:[/NPI]]),SUM(Mecze[[#This Row],[/BRI]:[/NPI]])*0.6)</f>
        <v>0</v>
      </c>
      <c r="AA2575" s="10">
        <f>IFERROR(Mecze[[#This Row],[BR]]/Mecze[[#This Row],[ST]],0)</f>
        <v>0</v>
      </c>
      <c r="AB2575">
        <f>ROUND(Mecze[[#This Row],[PD]]*Mecze[[#This Row],[%PC]],0)</f>
        <v>0</v>
      </c>
      <c r="AC2575">
        <f>ROUND(Mecze[[#This Row],[OD]]*Mecze[[#This Row],[%OU]],0)</f>
        <v>0</v>
      </c>
      <c r="AD2575" s="36" t="s">
        <v>319</v>
      </c>
      <c r="AE2575" s="36">
        <v>144</v>
      </c>
      <c r="AF2575" s="71">
        <v>2.7</v>
      </c>
      <c r="AG2575" s="37">
        <v>0</v>
      </c>
      <c r="AH2575" s="37">
        <v>0</v>
      </c>
      <c r="AI2575" s="37">
        <v>102</v>
      </c>
      <c r="AJ2575" s="37">
        <v>2</v>
      </c>
      <c r="AK2575" s="37" t="str">
        <f>VLOOKUP(Mecze[[#This Row],[Match ID]],Meczusie[Mecz]:Meczusie[RodzajMeczu],2,FALSE)</f>
        <v>Liga</v>
      </c>
    </row>
    <row r="2576" spans="1:37" x14ac:dyDescent="0.25">
      <c r="A2576" s="76">
        <v>48</v>
      </c>
      <c r="B2576" s="3" t="s">
        <v>486</v>
      </c>
      <c r="C2576" s="2" t="s">
        <v>160</v>
      </c>
      <c r="D2576" s="1">
        <v>0</v>
      </c>
      <c r="E2576" s="1">
        <v>1</v>
      </c>
      <c r="F2576" s="1">
        <v>0</v>
      </c>
      <c r="G2576" s="1">
        <v>10</v>
      </c>
      <c r="H2576" s="4">
        <v>0.4</v>
      </c>
      <c r="I2576" s="1">
        <v>18</v>
      </c>
      <c r="J2576" s="4">
        <v>0.28000000000000003</v>
      </c>
      <c r="K2576" s="1">
        <v>0</v>
      </c>
      <c r="L2576" s="1">
        <v>1</v>
      </c>
      <c r="M2576" s="32">
        <f>IF(Mecze[[#This Row],[PR]]=0,0,Mecze[[#This Row],[PR]]/Mecze[[#This Row],[CZAS]])</f>
        <v>9.8039215686274508E-3</v>
      </c>
      <c r="N2576" s="32">
        <f>IF(Mecze[[#This Row],[OU]]=0,0,Mecze[[#This Row],[OU]]/Mecze[[#This Row],[CZAS]])</f>
        <v>4.9019607843137254E-2</v>
      </c>
      <c r="O2576" s="32">
        <f>IF(Mecze[[#This Row],[PC]]=0,0,Mecze[[#This Row],[PC]]/Mecze[[#This Row],[CZAS]])</f>
        <v>3.9215686274509803E-2</v>
      </c>
      <c r="P2576" s="32">
        <f>IF(Mecze[[#This Row],[SC]]=0,0,Mecze[[#This Row],[SC]]/Mecze[[#This Row],[CZAS]])</f>
        <v>0</v>
      </c>
      <c r="Q2576" s="32">
        <f>IF(Mecze[[#This Row],[OB]]=0,0,Mecze[[#This Row],[OB]]/Mecze[[#This Row],[CZAS]])</f>
        <v>0</v>
      </c>
      <c r="R2576" s="32">
        <f>IF(Mecze[[#This Row],[BR]]=0,0,Mecze[[#This Row],[BR]]/Mecze[[#This Row],[CZAS]])</f>
        <v>0</v>
      </c>
      <c r="S2576" s="44">
        <f>IF(Mecze[[#This Row],[Role]]="BR",SUMPRODUCT(Mecze[[#This Row],[/PR:90]:[/BR:90]],Brudnopis!$E$23:$J$23),0)</f>
        <v>0</v>
      </c>
      <c r="T2576" s="44">
        <f>IF(Mecze[[#This Row],[Role]]&lt;&gt;"BR",SUMPRODUCT(Mecze[[#This Row],[/PR:90]:[/BR:90]],Brudnopis!$E$24:$J$24),0)</f>
        <v>0.12254901960784315</v>
      </c>
      <c r="U2576" s="44">
        <f>IF(Mecze[[#This Row],[Role]]&lt;&gt;"BR",SUMPRODUCT(Mecze[[#This Row],[/PR:90]:[/BR:90]],Brudnopis!$E$25:$J$25),0)</f>
        <v>0.11764705882352941</v>
      </c>
      <c r="V2576" s="44">
        <f>IF(Mecze[[#This Row],[Role]]&lt;&gt;"BR",SUMPRODUCT(Mecze[[#This Row],[/PR:90]:[/BR:90]],Brudnopis!$E$26:$J$26),0)</f>
        <v>9.8039215686274508E-2</v>
      </c>
      <c r="W2576" s="44">
        <f>IF(Mecze[[#This Row],[Role]]&lt;&gt;"BR",SUMPRODUCT(Mecze[[#This Row],[/PR:90]:[/BR:90]],Brudnopis!$E$27:$J$27),0)</f>
        <v>0.10294117647058823</v>
      </c>
      <c r="X2576" s="44">
        <f>IF(Mecze[[#This Row],[Role]]&lt;&gt;"BR",SUMPRODUCT(Mecze[[#This Row],[/PR:90]:[/BR:90]],Brudnopis!$E$28:$J$28),0)</f>
        <v>3.9215686274509803E-2</v>
      </c>
      <c r="Y2576" s="35">
        <f>IF(Mecze[[#This Row],[Role]]="BR",Mecze[[#This Row],[/OB:90]]+Mecze[[#This Row],[/PC:90]],SUM(Mecze[[#This Row],[/PR:90]:[/BR:90]]))</f>
        <v>9.8039215686274508E-2</v>
      </c>
      <c r="Z2576" s="35">
        <f>IF(Mecze[[#This Row],[KC]]=0,SUM(Mecze[[#This Row],[/BRI]:[/NPI]]),SUM(Mecze[[#This Row],[/BRI]:[/NPI]])*0.6)</f>
        <v>0.48039215686274506</v>
      </c>
      <c r="AA2576" s="10">
        <f>IFERROR(Mecze[[#This Row],[BR]]/Mecze[[#This Row],[ST]],0)</f>
        <v>0</v>
      </c>
      <c r="AB2576">
        <f>ROUND(Mecze[[#This Row],[PD]]*Mecze[[#This Row],[%PC]],0)</f>
        <v>4</v>
      </c>
      <c r="AC2576">
        <f>ROUND(Mecze[[#This Row],[OD]]*Mecze[[#This Row],[%OU]],0)</f>
        <v>5</v>
      </c>
      <c r="AD2576" s="36" t="s">
        <v>67</v>
      </c>
      <c r="AE2576" s="36">
        <v>144</v>
      </c>
      <c r="AF2576" s="71">
        <v>2.91</v>
      </c>
      <c r="AG2576" s="37">
        <v>0</v>
      </c>
      <c r="AH2576" s="37">
        <v>0</v>
      </c>
      <c r="AI2576" s="37">
        <v>102</v>
      </c>
      <c r="AJ2576" s="37">
        <v>2</v>
      </c>
      <c r="AK2576" s="37" t="str">
        <f>VLOOKUP(Mecze[[#This Row],[Match ID]],Meczusie[Mecz]:Meczusie[RodzajMeczu],2,FALSE)</f>
        <v>Liga</v>
      </c>
    </row>
    <row r="2577" spans="1:37" x14ac:dyDescent="0.25">
      <c r="A2577" s="76">
        <v>47</v>
      </c>
      <c r="B2577" s="3" t="s">
        <v>502</v>
      </c>
      <c r="C2577" s="2" t="s">
        <v>160</v>
      </c>
      <c r="D2577" s="1">
        <v>0</v>
      </c>
      <c r="E2577" s="1">
        <v>0</v>
      </c>
      <c r="F2577" s="1">
        <v>0</v>
      </c>
      <c r="G2577" s="1">
        <v>6</v>
      </c>
      <c r="H2577" s="4">
        <v>0.17</v>
      </c>
      <c r="I2577" s="1">
        <v>1</v>
      </c>
      <c r="J2577" s="4">
        <v>0</v>
      </c>
      <c r="K2577" s="1">
        <v>0</v>
      </c>
      <c r="L2577" s="1">
        <v>1</v>
      </c>
      <c r="M2577" s="32">
        <f>IF(Mecze[[#This Row],[PR]]=0,0,Mecze[[#This Row],[PR]]/Mecze[[#This Row],[CZAS]])</f>
        <v>9.8039215686274508E-3</v>
      </c>
      <c r="N2577" s="32">
        <f>IF(Mecze[[#This Row],[OU]]=0,0,Mecze[[#This Row],[OU]]/Mecze[[#This Row],[CZAS]])</f>
        <v>0</v>
      </c>
      <c r="O2577" s="32">
        <f>IF(Mecze[[#This Row],[PC]]=0,0,Mecze[[#This Row],[PC]]/Mecze[[#This Row],[CZAS]])</f>
        <v>9.8039215686274508E-3</v>
      </c>
      <c r="P2577" s="32">
        <f>IF(Mecze[[#This Row],[SC]]=0,0,Mecze[[#This Row],[SC]]/Mecze[[#This Row],[CZAS]])</f>
        <v>0</v>
      </c>
      <c r="Q2577" s="32">
        <f>IF(Mecze[[#This Row],[OB]]=0,0,Mecze[[#This Row],[OB]]/Mecze[[#This Row],[CZAS]])</f>
        <v>0</v>
      </c>
      <c r="R2577" s="32">
        <f>IF(Mecze[[#This Row],[BR]]=0,0,Mecze[[#This Row],[BR]]/Mecze[[#This Row],[CZAS]])</f>
        <v>0</v>
      </c>
      <c r="S2577" s="44">
        <f>IF(Mecze[[#This Row],[Role]]="BR",SUMPRODUCT(Mecze[[#This Row],[/PR:90]:[/BR:90]],Brudnopis!$E$23:$J$23),0)</f>
        <v>0</v>
      </c>
      <c r="T2577" s="44">
        <f>IF(Mecze[[#This Row],[Role]]&lt;&gt;"BR",SUMPRODUCT(Mecze[[#This Row],[/PR:90]:[/BR:90]],Brudnopis!$E$24:$J$24),0)</f>
        <v>1.9607843137254902E-2</v>
      </c>
      <c r="U2577" s="44">
        <f>IF(Mecze[[#This Row],[Role]]&lt;&gt;"BR",SUMPRODUCT(Mecze[[#This Row],[/PR:90]:[/BR:90]],Brudnopis!$E$25:$J$25),0)</f>
        <v>2.4509803921568627E-2</v>
      </c>
      <c r="V2577" s="44">
        <f>IF(Mecze[[#This Row],[Role]]&lt;&gt;"BR",SUMPRODUCT(Mecze[[#This Row],[/PR:90]:[/BR:90]],Brudnopis!$E$26:$J$26),0)</f>
        <v>1.9607843137254902E-2</v>
      </c>
      <c r="W2577" s="44">
        <f>IF(Mecze[[#This Row],[Role]]&lt;&gt;"BR",SUMPRODUCT(Mecze[[#This Row],[/PR:90]:[/BR:90]],Brudnopis!$E$27:$J$27),0)</f>
        <v>2.2058823529411763E-2</v>
      </c>
      <c r="X2577" s="44">
        <f>IF(Mecze[[#This Row],[Role]]&lt;&gt;"BR",SUMPRODUCT(Mecze[[#This Row],[/PR:90]:[/BR:90]],Brudnopis!$E$28:$J$28),0)</f>
        <v>9.8039215686274508E-3</v>
      </c>
      <c r="Y2577" s="35">
        <f>IF(Mecze[[#This Row],[Role]]="BR",Mecze[[#This Row],[/OB:90]]+Mecze[[#This Row],[/PC:90]],SUM(Mecze[[#This Row],[/PR:90]:[/BR:90]]))</f>
        <v>1.9607843137254902E-2</v>
      </c>
      <c r="Z2577" s="35">
        <f>IF(Mecze[[#This Row],[KC]]=0,SUM(Mecze[[#This Row],[/BRI]:[/NPI]]),SUM(Mecze[[#This Row],[/BRI]:[/NPI]])*0.6)</f>
        <v>9.5588235294117641E-2</v>
      </c>
      <c r="AA2577" s="10">
        <f>IFERROR(Mecze[[#This Row],[BR]]/Mecze[[#This Row],[ST]],0)</f>
        <v>0</v>
      </c>
      <c r="AB2577">
        <f>ROUND(Mecze[[#This Row],[PD]]*Mecze[[#This Row],[%PC]],0)</f>
        <v>1</v>
      </c>
      <c r="AC2577">
        <f>ROUND(Mecze[[#This Row],[OD]]*Mecze[[#This Row],[%OU]],0)</f>
        <v>0</v>
      </c>
      <c r="AD2577" s="36" t="s">
        <v>318</v>
      </c>
      <c r="AE2577" s="36">
        <v>144</v>
      </c>
      <c r="AF2577" s="71">
        <v>2.91</v>
      </c>
      <c r="AG2577" s="37">
        <v>0</v>
      </c>
      <c r="AH2577" s="37">
        <v>0</v>
      </c>
      <c r="AI2577" s="37">
        <v>102</v>
      </c>
      <c r="AJ2577" s="37">
        <v>2</v>
      </c>
      <c r="AK2577" s="37" t="str">
        <f>VLOOKUP(Mecze[[#This Row],[Match ID]],Meczusie[Mecz]:Meczusie[RodzajMeczu],2,FALSE)</f>
        <v>Liga</v>
      </c>
    </row>
    <row r="2578" spans="1:37" x14ac:dyDescent="0.25">
      <c r="A2578" s="76">
        <v>43</v>
      </c>
      <c r="B2578" s="3" t="s">
        <v>503</v>
      </c>
      <c r="C2578" s="2" t="s">
        <v>160</v>
      </c>
      <c r="D2578" s="1">
        <v>0</v>
      </c>
      <c r="E2578" s="1">
        <v>0</v>
      </c>
      <c r="F2578" s="1">
        <v>0</v>
      </c>
      <c r="G2578" s="1">
        <v>4</v>
      </c>
      <c r="H2578" s="4">
        <v>0.25</v>
      </c>
      <c r="I2578" s="1">
        <v>16</v>
      </c>
      <c r="J2578" s="4">
        <v>0.13</v>
      </c>
      <c r="K2578" s="1">
        <v>0</v>
      </c>
      <c r="L2578" s="1">
        <v>1</v>
      </c>
      <c r="M2578" s="32">
        <f>IF(Mecze[[#This Row],[PR]]=0,0,Mecze[[#This Row],[PR]]/Mecze[[#This Row],[CZAS]])</f>
        <v>9.8039215686274508E-3</v>
      </c>
      <c r="N2578" s="32">
        <f>IF(Mecze[[#This Row],[OU]]=0,0,Mecze[[#This Row],[OU]]/Mecze[[#This Row],[CZAS]])</f>
        <v>1.9607843137254902E-2</v>
      </c>
      <c r="O2578" s="32">
        <f>IF(Mecze[[#This Row],[PC]]=0,0,Mecze[[#This Row],[PC]]/Mecze[[#This Row],[CZAS]])</f>
        <v>9.8039215686274508E-3</v>
      </c>
      <c r="P2578" s="32">
        <f>IF(Mecze[[#This Row],[SC]]=0,0,Mecze[[#This Row],[SC]]/Mecze[[#This Row],[CZAS]])</f>
        <v>0</v>
      </c>
      <c r="Q2578" s="32">
        <f>IF(Mecze[[#This Row],[OB]]=0,0,Mecze[[#This Row],[OB]]/Mecze[[#This Row],[CZAS]])</f>
        <v>0</v>
      </c>
      <c r="R2578" s="32">
        <f>IF(Mecze[[#This Row],[BR]]=0,0,Mecze[[#This Row],[BR]]/Mecze[[#This Row],[CZAS]])</f>
        <v>0</v>
      </c>
      <c r="S2578" s="44">
        <f>IF(Mecze[[#This Row],[Role]]="BR",SUMPRODUCT(Mecze[[#This Row],[/PR:90]:[/BR:90]],Brudnopis!$E$23:$J$23),0)</f>
        <v>0</v>
      </c>
      <c r="T2578" s="44">
        <f>IF(Mecze[[#This Row],[Role]]&lt;&gt;"BR",SUMPRODUCT(Mecze[[#This Row],[/PR:90]:[/BR:90]],Brudnopis!$E$24:$J$24),0)</f>
        <v>4.9019607843137254E-2</v>
      </c>
      <c r="U2578" s="44">
        <f>IF(Mecze[[#This Row],[Role]]&lt;&gt;"BR",SUMPRODUCT(Mecze[[#This Row],[/PR:90]:[/BR:90]],Brudnopis!$E$25:$J$25),0)</f>
        <v>4.4117647058823525E-2</v>
      </c>
      <c r="V2578" s="44">
        <f>IF(Mecze[[#This Row],[Role]]&lt;&gt;"BR",SUMPRODUCT(Mecze[[#This Row],[/PR:90]:[/BR:90]],Brudnopis!$E$26:$J$26),0)</f>
        <v>3.9215686274509803E-2</v>
      </c>
      <c r="W2578" s="44">
        <f>IF(Mecze[[#This Row],[Role]]&lt;&gt;"BR",SUMPRODUCT(Mecze[[#This Row],[/PR:90]:[/BR:90]],Brudnopis!$E$27:$J$27),0)</f>
        <v>3.6764705882352935E-2</v>
      </c>
      <c r="X2578" s="44">
        <f>IF(Mecze[[#This Row],[Role]]&lt;&gt;"BR",SUMPRODUCT(Mecze[[#This Row],[/PR:90]:[/BR:90]],Brudnopis!$E$28:$J$28),0)</f>
        <v>9.8039215686274508E-3</v>
      </c>
      <c r="Y2578" s="35">
        <f>IF(Mecze[[#This Row],[Role]]="BR",Mecze[[#This Row],[/OB:90]]+Mecze[[#This Row],[/PC:90]],SUM(Mecze[[#This Row],[/PR:90]:[/BR:90]]))</f>
        <v>3.9215686274509803E-2</v>
      </c>
      <c r="Z2578" s="35">
        <f>IF(Mecze[[#This Row],[KC]]=0,SUM(Mecze[[#This Row],[/BRI]:[/NPI]]),SUM(Mecze[[#This Row],[/BRI]:[/NPI]])*0.6)</f>
        <v>0.17892156862745098</v>
      </c>
      <c r="AA2578" s="10">
        <f>IFERROR(Mecze[[#This Row],[BR]]/Mecze[[#This Row],[ST]],0)</f>
        <v>0</v>
      </c>
      <c r="AB2578">
        <f>ROUND(Mecze[[#This Row],[PD]]*Mecze[[#This Row],[%PC]],0)</f>
        <v>1</v>
      </c>
      <c r="AC2578">
        <f>ROUND(Mecze[[#This Row],[OD]]*Mecze[[#This Row],[%OU]],0)</f>
        <v>2</v>
      </c>
      <c r="AD2578" s="36" t="s">
        <v>67</v>
      </c>
      <c r="AE2578" s="36">
        <v>144</v>
      </c>
      <c r="AF2578" s="71">
        <v>2.91</v>
      </c>
      <c r="AG2578" s="37">
        <v>0</v>
      </c>
      <c r="AH2578" s="37">
        <v>0</v>
      </c>
      <c r="AI2578" s="37">
        <v>102</v>
      </c>
      <c r="AJ2578" s="37">
        <v>2</v>
      </c>
      <c r="AK2578" s="37" t="str">
        <f>VLOOKUP(Mecze[[#This Row],[Match ID]],Meczusie[Mecz]:Meczusie[RodzajMeczu],2,FALSE)</f>
        <v>Liga</v>
      </c>
    </row>
    <row r="2579" spans="1:37" x14ac:dyDescent="0.25">
      <c r="A2579" s="76">
        <v>72</v>
      </c>
      <c r="B2579" s="3" t="s">
        <v>488</v>
      </c>
      <c r="C2579" s="2" t="s">
        <v>165</v>
      </c>
      <c r="D2579" s="1">
        <v>0</v>
      </c>
      <c r="E2579" s="1">
        <v>0</v>
      </c>
      <c r="F2579" s="1">
        <v>0</v>
      </c>
      <c r="G2579" s="1">
        <v>1</v>
      </c>
      <c r="H2579" s="4">
        <v>1</v>
      </c>
      <c r="I2579" s="1">
        <v>2</v>
      </c>
      <c r="J2579" s="4">
        <v>0.5</v>
      </c>
      <c r="K2579" s="1">
        <v>0</v>
      </c>
      <c r="L2579" s="1">
        <v>0</v>
      </c>
      <c r="M2579" s="32">
        <f>IF(Mecze[[#This Row],[PR]]=0,0,Mecze[[#This Row],[PR]]/Mecze[[#This Row],[CZAS]])</f>
        <v>0</v>
      </c>
      <c r="N2579" s="32">
        <f>IF(Mecze[[#This Row],[OU]]=0,0,Mecze[[#This Row],[OU]]/Mecze[[#This Row],[CZAS]])</f>
        <v>9.8039215686274508E-3</v>
      </c>
      <c r="O2579" s="32">
        <f>IF(Mecze[[#This Row],[PC]]=0,0,Mecze[[#This Row],[PC]]/Mecze[[#This Row],[CZAS]])</f>
        <v>9.8039215686274508E-3</v>
      </c>
      <c r="P2579" s="32">
        <f>IF(Mecze[[#This Row],[SC]]=0,0,Mecze[[#This Row],[SC]]/Mecze[[#This Row],[CZAS]])</f>
        <v>0</v>
      </c>
      <c r="Q2579" s="32">
        <f>IF(Mecze[[#This Row],[OB]]=0,0,Mecze[[#This Row],[OB]]/Mecze[[#This Row],[CZAS]])</f>
        <v>0</v>
      </c>
      <c r="R2579" s="32">
        <f>IF(Mecze[[#This Row],[BR]]=0,0,Mecze[[#This Row],[BR]]/Mecze[[#This Row],[CZAS]])</f>
        <v>0</v>
      </c>
      <c r="S2579" s="44">
        <f>IF(Mecze[[#This Row],[Role]]="BR",SUMPRODUCT(Mecze[[#This Row],[/PR:90]:[/BR:90]],Brudnopis!$E$23:$J$23),0)</f>
        <v>0</v>
      </c>
      <c r="T2579" s="44">
        <f>IF(Mecze[[#This Row],[Role]]&lt;&gt;"BR",SUMPRODUCT(Mecze[[#This Row],[/PR:90]:[/BR:90]],Brudnopis!$E$24:$J$24),0)</f>
        <v>2.4509803921568627E-2</v>
      </c>
      <c r="U2579" s="44">
        <f>IF(Mecze[[#This Row],[Role]]&lt;&gt;"BR",SUMPRODUCT(Mecze[[#This Row],[/PR:90]:[/BR:90]],Brudnopis!$E$25:$J$25),0)</f>
        <v>2.4509803921568627E-2</v>
      </c>
      <c r="V2579" s="44">
        <f>IF(Mecze[[#This Row],[Role]]&lt;&gt;"BR",SUMPRODUCT(Mecze[[#This Row],[/PR:90]:[/BR:90]],Brudnopis!$E$26:$J$26),0)</f>
        <v>1.9607843137254902E-2</v>
      </c>
      <c r="W2579" s="44">
        <f>IF(Mecze[[#This Row],[Role]]&lt;&gt;"BR",SUMPRODUCT(Mecze[[#This Row],[/PR:90]:[/BR:90]],Brudnopis!$E$27:$J$27),0)</f>
        <v>2.2058823529411763E-2</v>
      </c>
      <c r="X2579" s="44">
        <f>IF(Mecze[[#This Row],[Role]]&lt;&gt;"BR",SUMPRODUCT(Mecze[[#This Row],[/PR:90]:[/BR:90]],Brudnopis!$E$28:$J$28),0)</f>
        <v>9.8039215686274508E-3</v>
      </c>
      <c r="Y2579" s="35">
        <f>IF(Mecze[[#This Row],[Role]]="BR",Mecze[[#This Row],[/OB:90]]+Mecze[[#This Row],[/PC:90]],SUM(Mecze[[#This Row],[/PR:90]:[/BR:90]]))</f>
        <v>1.9607843137254902E-2</v>
      </c>
      <c r="Z2579" s="35">
        <f>IF(Mecze[[#This Row],[KC]]=0,SUM(Mecze[[#This Row],[/BRI]:[/NPI]]),SUM(Mecze[[#This Row],[/BRI]:[/NPI]])*0.6)</f>
        <v>0.10049019607843138</v>
      </c>
      <c r="AA2579" s="10">
        <f>IFERROR(Mecze[[#This Row],[BR]]/Mecze[[#This Row],[ST]],0)</f>
        <v>0</v>
      </c>
      <c r="AB2579">
        <f>ROUND(Mecze[[#This Row],[PD]]*Mecze[[#This Row],[%PC]],0)</f>
        <v>1</v>
      </c>
      <c r="AC2579">
        <f>ROUND(Mecze[[#This Row],[OD]]*Mecze[[#This Row],[%OU]],0)</f>
        <v>1</v>
      </c>
      <c r="AD2579" s="36" t="s">
        <v>273</v>
      </c>
      <c r="AE2579" s="36">
        <v>144</v>
      </c>
      <c r="AF2579" s="71">
        <v>2.71</v>
      </c>
      <c r="AG2579" s="37">
        <v>0</v>
      </c>
      <c r="AH2579" s="37">
        <v>0</v>
      </c>
      <c r="AI2579" s="37">
        <v>102</v>
      </c>
      <c r="AJ2579" s="37">
        <v>2</v>
      </c>
      <c r="AK2579" s="37" t="str">
        <f>VLOOKUP(Mecze[[#This Row],[Match ID]],Meczusie[Mecz]:Meczusie[RodzajMeczu],2,FALSE)</f>
        <v>Liga</v>
      </c>
    </row>
    <row r="2580" spans="1:37" x14ac:dyDescent="0.25">
      <c r="A2580" s="76">
        <v>71</v>
      </c>
      <c r="B2580" s="3" t="s">
        <v>489</v>
      </c>
      <c r="C2580" s="2" t="s">
        <v>165</v>
      </c>
      <c r="D2580" s="1">
        <v>0</v>
      </c>
      <c r="E2580" s="1">
        <v>0</v>
      </c>
      <c r="F2580" s="1">
        <v>0</v>
      </c>
      <c r="G2580" s="1">
        <v>12</v>
      </c>
      <c r="H2580" s="4">
        <v>0.42</v>
      </c>
      <c r="I2580" s="1">
        <v>6</v>
      </c>
      <c r="J2580" s="4">
        <v>0</v>
      </c>
      <c r="K2580" s="1">
        <v>0</v>
      </c>
      <c r="L2580" s="1">
        <v>0</v>
      </c>
      <c r="M2580" s="32">
        <f>IF(Mecze[[#This Row],[PR]]=0,0,Mecze[[#This Row],[PR]]/Mecze[[#This Row],[CZAS]])</f>
        <v>0</v>
      </c>
      <c r="N2580" s="32">
        <f>IF(Mecze[[#This Row],[OU]]=0,0,Mecze[[#This Row],[OU]]/Mecze[[#This Row],[CZAS]])</f>
        <v>0</v>
      </c>
      <c r="O2580" s="32">
        <f>IF(Mecze[[#This Row],[PC]]=0,0,Mecze[[#This Row],[PC]]/Mecze[[#This Row],[CZAS]])</f>
        <v>4.9019607843137254E-2</v>
      </c>
      <c r="P2580" s="32">
        <f>IF(Mecze[[#This Row],[SC]]=0,0,Mecze[[#This Row],[SC]]/Mecze[[#This Row],[CZAS]])</f>
        <v>0</v>
      </c>
      <c r="Q2580" s="32">
        <f>IF(Mecze[[#This Row],[OB]]=0,0,Mecze[[#This Row],[OB]]/Mecze[[#This Row],[CZAS]])</f>
        <v>0</v>
      </c>
      <c r="R2580" s="32">
        <f>IF(Mecze[[#This Row],[BR]]=0,0,Mecze[[#This Row],[BR]]/Mecze[[#This Row],[CZAS]])</f>
        <v>0</v>
      </c>
      <c r="S2580" s="44">
        <f>IF(Mecze[[#This Row],[Role]]="BR",SUMPRODUCT(Mecze[[#This Row],[/PR:90]:[/BR:90]],Brudnopis!$E$23:$J$23),0)</f>
        <v>0</v>
      </c>
      <c r="T2580" s="44">
        <f>IF(Mecze[[#This Row],[Role]]&lt;&gt;"BR",SUMPRODUCT(Mecze[[#This Row],[/PR:90]:[/BR:90]],Brudnopis!$E$24:$J$24),0)</f>
        <v>4.9019607843137254E-2</v>
      </c>
      <c r="U2580" s="44">
        <f>IF(Mecze[[#This Row],[Role]]&lt;&gt;"BR",SUMPRODUCT(Mecze[[#This Row],[/PR:90]:[/BR:90]],Brudnopis!$E$25:$J$25),0)</f>
        <v>7.3529411764705885E-2</v>
      </c>
      <c r="V2580" s="44">
        <f>IF(Mecze[[#This Row],[Role]]&lt;&gt;"BR",SUMPRODUCT(Mecze[[#This Row],[/PR:90]:[/BR:90]],Brudnopis!$E$26:$J$26),0)</f>
        <v>4.9019607843137254E-2</v>
      </c>
      <c r="W2580" s="44">
        <f>IF(Mecze[[#This Row],[Role]]&lt;&gt;"BR",SUMPRODUCT(Mecze[[#This Row],[/PR:90]:[/BR:90]],Brudnopis!$E$27:$J$27),0)</f>
        <v>7.3529411764705885E-2</v>
      </c>
      <c r="X2580" s="44">
        <f>IF(Mecze[[#This Row],[Role]]&lt;&gt;"BR",SUMPRODUCT(Mecze[[#This Row],[/PR:90]:[/BR:90]],Brudnopis!$E$28:$J$28),0)</f>
        <v>4.9019607843137254E-2</v>
      </c>
      <c r="Y2580" s="35">
        <f>IF(Mecze[[#This Row],[Role]]="BR",Mecze[[#This Row],[/OB:90]]+Mecze[[#This Row],[/PC:90]],SUM(Mecze[[#This Row],[/PR:90]:[/BR:90]]))</f>
        <v>4.9019607843137254E-2</v>
      </c>
      <c r="Z2580" s="35">
        <f>IF(Mecze[[#This Row],[KC]]=0,SUM(Mecze[[#This Row],[/BRI]:[/NPI]]),SUM(Mecze[[#This Row],[/BRI]:[/NPI]])*0.6)</f>
        <v>0.29411764705882354</v>
      </c>
      <c r="AA2580" s="10">
        <f>IFERROR(Mecze[[#This Row],[BR]]/Mecze[[#This Row],[ST]],0)</f>
        <v>0</v>
      </c>
      <c r="AB2580">
        <f>ROUND(Mecze[[#This Row],[PD]]*Mecze[[#This Row],[%PC]],0)</f>
        <v>5</v>
      </c>
      <c r="AC2580">
        <f>ROUND(Mecze[[#This Row],[OD]]*Mecze[[#This Row],[%OU]],0)</f>
        <v>0</v>
      </c>
      <c r="AD2580" s="36" t="s">
        <v>272</v>
      </c>
      <c r="AE2580" s="36">
        <v>144</v>
      </c>
      <c r="AF2580" s="71">
        <v>2.71</v>
      </c>
      <c r="AG2580" s="37">
        <v>0</v>
      </c>
      <c r="AH2580" s="37">
        <v>0</v>
      </c>
      <c r="AI2580" s="37">
        <v>102</v>
      </c>
      <c r="AJ2580" s="37">
        <v>2</v>
      </c>
      <c r="AK2580" s="37" t="str">
        <f>VLOOKUP(Mecze[[#This Row],[Match ID]],Meczusie[Mecz]:Meczusie[RodzajMeczu],2,FALSE)</f>
        <v>Liga</v>
      </c>
    </row>
    <row r="2581" spans="1:37" x14ac:dyDescent="0.25">
      <c r="A2581" s="76">
        <v>1</v>
      </c>
      <c r="B2581" s="3" t="s">
        <v>169</v>
      </c>
      <c r="C2581" s="2" t="s">
        <v>155</v>
      </c>
      <c r="D2581" s="1">
        <v>0</v>
      </c>
      <c r="E2581" s="1">
        <v>0</v>
      </c>
      <c r="F2581" s="1">
        <v>0</v>
      </c>
      <c r="G2581" s="1">
        <v>3</v>
      </c>
      <c r="H2581" s="4">
        <v>0.67</v>
      </c>
      <c r="I2581" s="1">
        <v>0</v>
      </c>
      <c r="J2581" s="4"/>
      <c r="K2581" s="1">
        <v>1</v>
      </c>
      <c r="L2581" s="1">
        <v>0</v>
      </c>
      <c r="M2581" s="32">
        <f>IF(Mecze[[#This Row],[PR]]=0,0,Mecze[[#This Row],[PR]]/Mecze[[#This Row],[CZAS]])</f>
        <v>0</v>
      </c>
      <c r="N2581" s="32">
        <f>IF(Mecze[[#This Row],[OU]]=0,0,Mecze[[#This Row],[OU]]/Mecze[[#This Row],[CZAS]])</f>
        <v>0</v>
      </c>
      <c r="O2581" s="32">
        <f>IF(Mecze[[#This Row],[PC]]=0,0,Mecze[[#This Row],[PC]]/Mecze[[#This Row],[CZAS]])</f>
        <v>1.9607843137254902E-2</v>
      </c>
      <c r="P2581" s="32">
        <f>IF(Mecze[[#This Row],[SC]]=0,0,Mecze[[#This Row],[SC]]/Mecze[[#This Row],[CZAS]])</f>
        <v>0</v>
      </c>
      <c r="Q2581" s="32">
        <f>IF(Mecze[[#This Row],[OB]]=0,0,Mecze[[#This Row],[OB]]/Mecze[[#This Row],[CZAS]])</f>
        <v>9.8039215686274508E-3</v>
      </c>
      <c r="R2581" s="32">
        <f>IF(Mecze[[#This Row],[BR]]=0,0,Mecze[[#This Row],[BR]]/Mecze[[#This Row],[CZAS]])</f>
        <v>0</v>
      </c>
      <c r="S2581" s="44">
        <f>IF(Mecze[[#This Row],[Role]]="BR",SUMPRODUCT(Mecze[[#This Row],[/PR:90]:[/BR:90]],Brudnopis!$E$23:$J$23),0)</f>
        <v>8.8235294117647051E-2</v>
      </c>
      <c r="T2581" s="44">
        <f>IF(Mecze[[#This Row],[Role]]&lt;&gt;"BR",SUMPRODUCT(Mecze[[#This Row],[/PR:90]:[/BR:90]],Brudnopis!$E$24:$J$24),0)</f>
        <v>0</v>
      </c>
      <c r="U2581" s="44">
        <f>IF(Mecze[[#This Row],[Role]]&lt;&gt;"BR",SUMPRODUCT(Mecze[[#This Row],[/PR:90]:[/BR:90]],Brudnopis!$E$25:$J$25),0)</f>
        <v>0</v>
      </c>
      <c r="V2581" s="44">
        <f>IF(Mecze[[#This Row],[Role]]&lt;&gt;"BR",SUMPRODUCT(Mecze[[#This Row],[/PR:90]:[/BR:90]],Brudnopis!$E$26:$J$26),0)</f>
        <v>0</v>
      </c>
      <c r="W2581" s="44">
        <f>IF(Mecze[[#This Row],[Role]]&lt;&gt;"BR",SUMPRODUCT(Mecze[[#This Row],[/PR:90]:[/BR:90]],Brudnopis!$E$27:$J$27),0)</f>
        <v>0</v>
      </c>
      <c r="X2581" s="44">
        <f>IF(Mecze[[#This Row],[Role]]&lt;&gt;"BR",SUMPRODUCT(Mecze[[#This Row],[/PR:90]:[/BR:90]],Brudnopis!$E$28:$J$28),0)</f>
        <v>0</v>
      </c>
      <c r="Y2581" s="35">
        <f>IF(Mecze[[#This Row],[Role]]="BR",Mecze[[#This Row],[/OB:90]]+Mecze[[#This Row],[/PC:90]],SUM(Mecze[[#This Row],[/PR:90]:[/BR:90]]))</f>
        <v>2.9411764705882353E-2</v>
      </c>
      <c r="Z2581" s="35">
        <f>IF(Mecze[[#This Row],[KC]]=0,SUM(Mecze[[#This Row],[/BRI]:[/NPI]]),SUM(Mecze[[#This Row],[/BRI]:[/NPI]])*0.6)</f>
        <v>8.8235294117647051E-2</v>
      </c>
      <c r="AA2581" s="10">
        <f>IFERROR(Mecze[[#This Row],[BR]]/Mecze[[#This Row],[ST]],0)</f>
        <v>0</v>
      </c>
      <c r="AB2581">
        <f>ROUND(Mecze[[#This Row],[PD]]*Mecze[[#This Row],[%PC]],0)</f>
        <v>2</v>
      </c>
      <c r="AC2581">
        <f>ROUND(Mecze[[#This Row],[OD]]*Mecze[[#This Row],[%OU]],0)</f>
        <v>0</v>
      </c>
      <c r="AD2581" s="36" t="s">
        <v>40</v>
      </c>
      <c r="AE2581" s="36">
        <v>144</v>
      </c>
      <c r="AF2581" s="71">
        <v>7.39</v>
      </c>
      <c r="AG2581" s="37">
        <v>0</v>
      </c>
      <c r="AH2581" s="37">
        <v>0</v>
      </c>
      <c r="AI2581" s="37">
        <v>102</v>
      </c>
      <c r="AJ2581" s="37">
        <v>1</v>
      </c>
      <c r="AK2581" s="37" t="str">
        <f>VLOOKUP(Mecze[[#This Row],[Match ID]],Meczusie[Mecz]:Meczusie[RodzajMeczu],2,FALSE)</f>
        <v>Liga</v>
      </c>
    </row>
    <row r="2582" spans="1:37" x14ac:dyDescent="0.25">
      <c r="A2582" s="76">
        <v>5</v>
      </c>
      <c r="B2582" s="3" t="s">
        <v>161</v>
      </c>
      <c r="C2582" s="2" t="s">
        <v>157</v>
      </c>
      <c r="D2582" s="1">
        <v>0</v>
      </c>
      <c r="E2582" s="1">
        <v>0</v>
      </c>
      <c r="F2582" s="1">
        <v>0</v>
      </c>
      <c r="G2582" s="1">
        <v>3</v>
      </c>
      <c r="H2582" s="4">
        <v>0.33</v>
      </c>
      <c r="I2582" s="1">
        <v>2</v>
      </c>
      <c r="J2582" s="4">
        <v>0.5</v>
      </c>
      <c r="K2582" s="1">
        <v>0</v>
      </c>
      <c r="L2582" s="1">
        <v>10</v>
      </c>
      <c r="M2582" s="32">
        <f>IF(Mecze[[#This Row],[PR]]=0,0,Mecze[[#This Row],[PR]]/Mecze[[#This Row],[CZAS]])</f>
        <v>9.8039215686274508E-2</v>
      </c>
      <c r="N2582" s="32">
        <f>IF(Mecze[[#This Row],[OU]]=0,0,Mecze[[#This Row],[OU]]/Mecze[[#This Row],[CZAS]])</f>
        <v>9.8039215686274508E-3</v>
      </c>
      <c r="O2582" s="32">
        <f>IF(Mecze[[#This Row],[PC]]=0,0,Mecze[[#This Row],[PC]]/Mecze[[#This Row],[CZAS]])</f>
        <v>9.8039215686274508E-3</v>
      </c>
      <c r="P2582" s="32">
        <f>IF(Mecze[[#This Row],[SC]]=0,0,Mecze[[#This Row],[SC]]/Mecze[[#This Row],[CZAS]])</f>
        <v>0</v>
      </c>
      <c r="Q2582" s="32">
        <f>IF(Mecze[[#This Row],[OB]]=0,0,Mecze[[#This Row],[OB]]/Mecze[[#This Row],[CZAS]])</f>
        <v>0</v>
      </c>
      <c r="R2582" s="32">
        <f>IF(Mecze[[#This Row],[BR]]=0,0,Mecze[[#This Row],[BR]]/Mecze[[#This Row],[CZAS]])</f>
        <v>0</v>
      </c>
      <c r="S2582" s="44">
        <f>IF(Mecze[[#This Row],[Role]]="BR",SUMPRODUCT(Mecze[[#This Row],[/PR:90]:[/BR:90]],Brudnopis!$E$23:$J$23),0)</f>
        <v>0</v>
      </c>
      <c r="T2582" s="44">
        <f>IF(Mecze[[#This Row],[Role]]&lt;&gt;"BR",SUMPRODUCT(Mecze[[#This Row],[/PR:90]:[/BR:90]],Brudnopis!$E$24:$J$24),0)</f>
        <v>0.12254901960784315</v>
      </c>
      <c r="U2582" s="44">
        <f>IF(Mecze[[#This Row],[Role]]&lt;&gt;"BR",SUMPRODUCT(Mecze[[#This Row],[/PR:90]:[/BR:90]],Brudnopis!$E$25:$J$25),0)</f>
        <v>0.12254901960784315</v>
      </c>
      <c r="V2582" s="44">
        <f>IF(Mecze[[#This Row],[Role]]&lt;&gt;"BR",SUMPRODUCT(Mecze[[#This Row],[/PR:90]:[/BR:90]],Brudnopis!$E$26:$J$26),0)</f>
        <v>0.11764705882352941</v>
      </c>
      <c r="W2582" s="44">
        <f>IF(Mecze[[#This Row],[Role]]&lt;&gt;"BR",SUMPRODUCT(Mecze[[#This Row],[/PR:90]:[/BR:90]],Brudnopis!$E$27:$J$27),0)</f>
        <v>9.5588235294117654E-2</v>
      </c>
      <c r="X2582" s="44">
        <f>IF(Mecze[[#This Row],[Role]]&lt;&gt;"BR",SUMPRODUCT(Mecze[[#This Row],[/PR:90]:[/BR:90]],Brudnopis!$E$28:$J$28),0)</f>
        <v>9.8039215686274508E-3</v>
      </c>
      <c r="Y2582" s="35">
        <f>IF(Mecze[[#This Row],[Role]]="BR",Mecze[[#This Row],[/OB:90]]+Mecze[[#This Row],[/PC:90]],SUM(Mecze[[#This Row],[/PR:90]:[/BR:90]]))</f>
        <v>0.11764705882352941</v>
      </c>
      <c r="Z2582" s="35">
        <f>IF(Mecze[[#This Row],[KC]]=0,SUM(Mecze[[#This Row],[/BRI]:[/NPI]]),SUM(Mecze[[#This Row],[/BRI]:[/NPI]])*0.6)</f>
        <v>0.46813725490196084</v>
      </c>
      <c r="AA2582" s="10">
        <f>IFERROR(Mecze[[#This Row],[BR]]/Mecze[[#This Row],[ST]],0)</f>
        <v>0</v>
      </c>
      <c r="AB2582">
        <f>ROUND(Mecze[[#This Row],[PD]]*Mecze[[#This Row],[%PC]],0)</f>
        <v>1</v>
      </c>
      <c r="AC2582">
        <f>ROUND(Mecze[[#This Row],[OD]]*Mecze[[#This Row],[%OU]],0)</f>
        <v>1</v>
      </c>
      <c r="AD2582" s="36" t="s">
        <v>47</v>
      </c>
      <c r="AE2582" s="36">
        <v>144</v>
      </c>
      <c r="AF2582" s="71">
        <v>9.14</v>
      </c>
      <c r="AG2582" s="37">
        <v>0</v>
      </c>
      <c r="AH2582" s="37">
        <v>0</v>
      </c>
      <c r="AI2582" s="37">
        <v>102</v>
      </c>
      <c r="AJ2582" s="37">
        <v>1</v>
      </c>
      <c r="AK2582" s="37" t="str">
        <f>VLOOKUP(Mecze[[#This Row],[Match ID]],Meczusie[Mecz]:Meczusie[RodzajMeczu],2,FALSE)</f>
        <v>Liga</v>
      </c>
    </row>
    <row r="2583" spans="1:37" x14ac:dyDescent="0.25">
      <c r="A2583" s="76">
        <v>3</v>
      </c>
      <c r="B2583" s="3" t="s">
        <v>158</v>
      </c>
      <c r="C2583" s="2" t="s">
        <v>157</v>
      </c>
      <c r="D2583" s="1">
        <v>0</v>
      </c>
      <c r="E2583" s="1">
        <v>0</v>
      </c>
      <c r="F2583" s="1">
        <v>0</v>
      </c>
      <c r="G2583" s="1">
        <v>6</v>
      </c>
      <c r="H2583" s="4">
        <v>0.83</v>
      </c>
      <c r="I2583" s="1">
        <v>2</v>
      </c>
      <c r="J2583" s="4">
        <v>1</v>
      </c>
      <c r="K2583" s="1">
        <v>0</v>
      </c>
      <c r="L2583" s="1">
        <v>9</v>
      </c>
      <c r="M2583" s="32">
        <f>IF(Mecze[[#This Row],[PR]]=0,0,Mecze[[#This Row],[PR]]/Mecze[[#This Row],[CZAS]])</f>
        <v>8.8235294117647065E-2</v>
      </c>
      <c r="N2583" s="32">
        <f>IF(Mecze[[#This Row],[OU]]=0,0,Mecze[[#This Row],[OU]]/Mecze[[#This Row],[CZAS]])</f>
        <v>1.9607843137254902E-2</v>
      </c>
      <c r="O2583" s="32">
        <f>IF(Mecze[[#This Row],[PC]]=0,0,Mecze[[#This Row],[PC]]/Mecze[[#This Row],[CZAS]])</f>
        <v>4.9019607843137254E-2</v>
      </c>
      <c r="P2583" s="32">
        <f>IF(Mecze[[#This Row],[SC]]=0,0,Mecze[[#This Row],[SC]]/Mecze[[#This Row],[CZAS]])</f>
        <v>0</v>
      </c>
      <c r="Q2583" s="32">
        <f>IF(Mecze[[#This Row],[OB]]=0,0,Mecze[[#This Row],[OB]]/Mecze[[#This Row],[CZAS]])</f>
        <v>0</v>
      </c>
      <c r="R2583" s="32">
        <f>IF(Mecze[[#This Row],[BR]]=0,0,Mecze[[#This Row],[BR]]/Mecze[[#This Row],[CZAS]])</f>
        <v>0</v>
      </c>
      <c r="S2583" s="44">
        <f>IF(Mecze[[#This Row],[Role]]="BR",SUMPRODUCT(Mecze[[#This Row],[/PR:90]:[/BR:90]],Brudnopis!$E$23:$J$23),0)</f>
        <v>0</v>
      </c>
      <c r="T2583" s="44">
        <f>IF(Mecze[[#This Row],[Role]]&lt;&gt;"BR",SUMPRODUCT(Mecze[[#This Row],[/PR:90]:[/BR:90]],Brudnopis!$E$24:$J$24),0)</f>
        <v>0.16666666666666666</v>
      </c>
      <c r="U2583" s="44">
        <f>IF(Mecze[[#This Row],[Role]]&lt;&gt;"BR",SUMPRODUCT(Mecze[[#This Row],[/PR:90]:[/BR:90]],Brudnopis!$E$25:$J$25),0)</f>
        <v>0.18137254901960786</v>
      </c>
      <c r="V2583" s="44">
        <f>IF(Mecze[[#This Row],[Role]]&lt;&gt;"BR",SUMPRODUCT(Mecze[[#This Row],[/PR:90]:[/BR:90]],Brudnopis!$E$26:$J$26),0)</f>
        <v>0.15686274509803921</v>
      </c>
      <c r="W2583" s="44">
        <f>IF(Mecze[[#This Row],[Role]]&lt;&gt;"BR",SUMPRODUCT(Mecze[[#This Row],[/PR:90]:[/BR:90]],Brudnopis!$E$27:$J$27),0)</f>
        <v>0.15441176470588236</v>
      </c>
      <c r="X2583" s="44">
        <f>IF(Mecze[[#This Row],[Role]]&lt;&gt;"BR",SUMPRODUCT(Mecze[[#This Row],[/PR:90]:[/BR:90]],Brudnopis!$E$28:$J$28),0)</f>
        <v>4.9019607843137254E-2</v>
      </c>
      <c r="Y2583" s="35">
        <f>IF(Mecze[[#This Row],[Role]]="BR",Mecze[[#This Row],[/OB:90]]+Mecze[[#This Row],[/PC:90]],SUM(Mecze[[#This Row],[/PR:90]:[/BR:90]]))</f>
        <v>0.15686274509803921</v>
      </c>
      <c r="Z2583" s="35">
        <f>IF(Mecze[[#This Row],[KC]]=0,SUM(Mecze[[#This Row],[/BRI]:[/NPI]]),SUM(Mecze[[#This Row],[/BRI]:[/NPI]])*0.6)</f>
        <v>0.70833333333333337</v>
      </c>
      <c r="AA2583" s="10">
        <f>IFERROR(Mecze[[#This Row],[BR]]/Mecze[[#This Row],[ST]],0)</f>
        <v>0</v>
      </c>
      <c r="AB2583">
        <f>ROUND(Mecze[[#This Row],[PD]]*Mecze[[#This Row],[%PC]],0)</f>
        <v>5</v>
      </c>
      <c r="AC2583">
        <f>ROUND(Mecze[[#This Row],[OD]]*Mecze[[#This Row],[%OU]],0)</f>
        <v>2</v>
      </c>
      <c r="AD2583" s="36" t="s">
        <v>168</v>
      </c>
      <c r="AE2583" s="36">
        <v>144</v>
      </c>
      <c r="AF2583" s="71">
        <v>7.82</v>
      </c>
      <c r="AG2583" s="37">
        <v>1</v>
      </c>
      <c r="AH2583" s="37">
        <v>0</v>
      </c>
      <c r="AI2583" s="37">
        <v>102</v>
      </c>
      <c r="AJ2583" s="37">
        <v>1</v>
      </c>
      <c r="AK2583" s="37" t="str">
        <f>VLOOKUP(Mecze[[#This Row],[Match ID]],Meczusie[Mecz]:Meczusie[RodzajMeczu],2,FALSE)</f>
        <v>Liga</v>
      </c>
    </row>
    <row r="2584" spans="1:37" x14ac:dyDescent="0.25">
      <c r="A2584" s="76">
        <v>18</v>
      </c>
      <c r="B2584" s="3" t="s">
        <v>211</v>
      </c>
      <c r="C2584" s="2" t="s">
        <v>157</v>
      </c>
      <c r="D2584" s="1">
        <v>0</v>
      </c>
      <c r="E2584" s="1">
        <v>0</v>
      </c>
      <c r="F2584" s="1">
        <v>0</v>
      </c>
      <c r="G2584" s="1">
        <v>3</v>
      </c>
      <c r="H2584" s="4">
        <v>0.67</v>
      </c>
      <c r="I2584" s="1">
        <v>2</v>
      </c>
      <c r="J2584" s="4">
        <v>0.5</v>
      </c>
      <c r="K2584" s="1">
        <v>0</v>
      </c>
      <c r="L2584" s="1">
        <v>4</v>
      </c>
      <c r="M2584" s="32">
        <f>IF(Mecze[[#This Row],[PR]]=0,0,Mecze[[#This Row],[PR]]/Mecze[[#This Row],[CZAS]])</f>
        <v>3.9215686274509803E-2</v>
      </c>
      <c r="N2584" s="32">
        <f>IF(Mecze[[#This Row],[OU]]=0,0,Mecze[[#This Row],[OU]]/Mecze[[#This Row],[CZAS]])</f>
        <v>9.8039215686274508E-3</v>
      </c>
      <c r="O2584" s="32">
        <f>IF(Mecze[[#This Row],[PC]]=0,0,Mecze[[#This Row],[PC]]/Mecze[[#This Row],[CZAS]])</f>
        <v>1.9607843137254902E-2</v>
      </c>
      <c r="P2584" s="32">
        <f>IF(Mecze[[#This Row],[SC]]=0,0,Mecze[[#This Row],[SC]]/Mecze[[#This Row],[CZAS]])</f>
        <v>0</v>
      </c>
      <c r="Q2584" s="32">
        <f>IF(Mecze[[#This Row],[OB]]=0,0,Mecze[[#This Row],[OB]]/Mecze[[#This Row],[CZAS]])</f>
        <v>0</v>
      </c>
      <c r="R2584" s="32">
        <f>IF(Mecze[[#This Row],[BR]]=0,0,Mecze[[#This Row],[BR]]/Mecze[[#This Row],[CZAS]])</f>
        <v>0</v>
      </c>
      <c r="S2584" s="44">
        <f>IF(Mecze[[#This Row],[Role]]="BR",SUMPRODUCT(Mecze[[#This Row],[/PR:90]:[/BR:90]],Brudnopis!$E$23:$J$23),0)</f>
        <v>0</v>
      </c>
      <c r="T2584" s="44">
        <f>IF(Mecze[[#This Row],[Role]]&lt;&gt;"BR",SUMPRODUCT(Mecze[[#This Row],[/PR:90]:[/BR:90]],Brudnopis!$E$24:$J$24),0)</f>
        <v>7.3529411764705885E-2</v>
      </c>
      <c r="U2584" s="44">
        <f>IF(Mecze[[#This Row],[Role]]&lt;&gt;"BR",SUMPRODUCT(Mecze[[#This Row],[/PR:90]:[/BR:90]],Brudnopis!$E$25:$J$25),0)</f>
        <v>7.8431372549019607E-2</v>
      </c>
      <c r="V2584" s="44">
        <f>IF(Mecze[[#This Row],[Role]]&lt;&gt;"BR",SUMPRODUCT(Mecze[[#This Row],[/PR:90]:[/BR:90]],Brudnopis!$E$26:$J$26),0)</f>
        <v>6.8627450980392163E-2</v>
      </c>
      <c r="W2584" s="44">
        <f>IF(Mecze[[#This Row],[Role]]&lt;&gt;"BR",SUMPRODUCT(Mecze[[#This Row],[/PR:90]:[/BR:90]],Brudnopis!$E$27:$J$27),0)</f>
        <v>6.6176470588235295E-2</v>
      </c>
      <c r="X2584" s="44">
        <f>IF(Mecze[[#This Row],[Role]]&lt;&gt;"BR",SUMPRODUCT(Mecze[[#This Row],[/PR:90]:[/BR:90]],Brudnopis!$E$28:$J$28),0)</f>
        <v>1.9607843137254902E-2</v>
      </c>
      <c r="Y2584" s="35">
        <f>IF(Mecze[[#This Row],[Role]]="BR",Mecze[[#This Row],[/OB:90]]+Mecze[[#This Row],[/PC:90]],SUM(Mecze[[#This Row],[/PR:90]:[/BR:90]]))</f>
        <v>6.8627450980392163E-2</v>
      </c>
      <c r="Z2584" s="35">
        <f>IF(Mecze[[#This Row],[KC]]=0,SUM(Mecze[[#This Row],[/BRI]:[/NPI]]),SUM(Mecze[[#This Row],[/BRI]:[/NPI]])*0.6)</f>
        <v>0.30637254901960786</v>
      </c>
      <c r="AA2584" s="10">
        <f>IFERROR(Mecze[[#This Row],[BR]]/Mecze[[#This Row],[ST]],0)</f>
        <v>0</v>
      </c>
      <c r="AB2584">
        <f>ROUND(Mecze[[#This Row],[PD]]*Mecze[[#This Row],[%PC]],0)</f>
        <v>2</v>
      </c>
      <c r="AC2584">
        <f>ROUND(Mecze[[#This Row],[OD]]*Mecze[[#This Row],[%OU]],0)</f>
        <v>1</v>
      </c>
      <c r="AD2584" s="36" t="s">
        <v>167</v>
      </c>
      <c r="AE2584" s="36">
        <v>144</v>
      </c>
      <c r="AF2584" s="71">
        <v>7.88</v>
      </c>
      <c r="AG2584" s="37">
        <v>0</v>
      </c>
      <c r="AH2584" s="37">
        <v>0</v>
      </c>
      <c r="AI2584" s="37">
        <v>102</v>
      </c>
      <c r="AJ2584" s="37">
        <v>1</v>
      </c>
      <c r="AK2584" s="37" t="str">
        <f>VLOOKUP(Mecze[[#This Row],[Match ID]],Meczusie[Mecz]:Meczusie[RodzajMeczu],2,FALSE)</f>
        <v>Liga</v>
      </c>
    </row>
    <row r="2585" spans="1:37" x14ac:dyDescent="0.25">
      <c r="A2585" s="76">
        <v>6</v>
      </c>
      <c r="B2585" s="3" t="s">
        <v>159</v>
      </c>
      <c r="C2585" s="2" t="s">
        <v>160</v>
      </c>
      <c r="D2585" s="1">
        <v>0</v>
      </c>
      <c r="E2585" s="1">
        <v>0</v>
      </c>
      <c r="F2585" s="1">
        <v>0</v>
      </c>
      <c r="G2585" s="1">
        <v>19</v>
      </c>
      <c r="H2585" s="4">
        <v>0.74</v>
      </c>
      <c r="I2585" s="1">
        <v>7</v>
      </c>
      <c r="J2585" s="4">
        <v>0.71</v>
      </c>
      <c r="K2585" s="1">
        <v>0</v>
      </c>
      <c r="L2585" s="1">
        <v>13</v>
      </c>
      <c r="M2585" s="32">
        <f>IF(Mecze[[#This Row],[PR]]=0,0,Mecze[[#This Row],[PR]]/Mecze[[#This Row],[CZAS]])</f>
        <v>0.12745098039215685</v>
      </c>
      <c r="N2585" s="32">
        <f>IF(Mecze[[#This Row],[OU]]=0,0,Mecze[[#This Row],[OU]]/Mecze[[#This Row],[CZAS]])</f>
        <v>4.9019607843137254E-2</v>
      </c>
      <c r="O2585" s="32">
        <f>IF(Mecze[[#This Row],[PC]]=0,0,Mecze[[#This Row],[PC]]/Mecze[[#This Row],[CZAS]])</f>
        <v>0.13725490196078433</v>
      </c>
      <c r="P2585" s="32">
        <f>IF(Mecze[[#This Row],[SC]]=0,0,Mecze[[#This Row],[SC]]/Mecze[[#This Row],[CZAS]])</f>
        <v>0</v>
      </c>
      <c r="Q2585" s="32">
        <f>IF(Mecze[[#This Row],[OB]]=0,0,Mecze[[#This Row],[OB]]/Mecze[[#This Row],[CZAS]])</f>
        <v>0</v>
      </c>
      <c r="R2585" s="32">
        <f>IF(Mecze[[#This Row],[BR]]=0,0,Mecze[[#This Row],[BR]]/Mecze[[#This Row],[CZAS]])</f>
        <v>0</v>
      </c>
      <c r="S2585" s="44">
        <f>IF(Mecze[[#This Row],[Role]]="BR",SUMPRODUCT(Mecze[[#This Row],[/PR:90]:[/BR:90]],Brudnopis!$E$23:$J$23),0)</f>
        <v>0</v>
      </c>
      <c r="T2585" s="44">
        <f>IF(Mecze[[#This Row],[Role]]&lt;&gt;"BR",SUMPRODUCT(Mecze[[#This Row],[/PR:90]:[/BR:90]],Brudnopis!$E$24:$J$24),0)</f>
        <v>0.33823529411764708</v>
      </c>
      <c r="U2585" s="44">
        <f>IF(Mecze[[#This Row],[Role]]&lt;&gt;"BR",SUMPRODUCT(Mecze[[#This Row],[/PR:90]:[/BR:90]],Brudnopis!$E$25:$J$25),0)</f>
        <v>0.38235294117647056</v>
      </c>
      <c r="V2585" s="44">
        <f>IF(Mecze[[#This Row],[Role]]&lt;&gt;"BR",SUMPRODUCT(Mecze[[#This Row],[/PR:90]:[/BR:90]],Brudnopis!$E$26:$J$26),0)</f>
        <v>0.31372549019607843</v>
      </c>
      <c r="W2585" s="44">
        <f>IF(Mecze[[#This Row],[Role]]&lt;&gt;"BR",SUMPRODUCT(Mecze[[#This Row],[/PR:90]:[/BR:90]],Brudnopis!$E$27:$J$27),0)</f>
        <v>0.33823529411764708</v>
      </c>
      <c r="X2585" s="44">
        <f>IF(Mecze[[#This Row],[Role]]&lt;&gt;"BR",SUMPRODUCT(Mecze[[#This Row],[/PR:90]:[/BR:90]],Brudnopis!$E$28:$J$28),0)</f>
        <v>0.13725490196078433</v>
      </c>
      <c r="Y2585" s="35">
        <f>IF(Mecze[[#This Row],[Role]]="BR",Mecze[[#This Row],[/OB:90]]+Mecze[[#This Row],[/PC:90]],SUM(Mecze[[#This Row],[/PR:90]:[/BR:90]]))</f>
        <v>0.31372549019607843</v>
      </c>
      <c r="Z2585" s="35">
        <f>IF(Mecze[[#This Row],[KC]]=0,SUM(Mecze[[#This Row],[/BRI]:[/NPI]]),SUM(Mecze[[#This Row],[/BRI]:[/NPI]])*0.6)</f>
        <v>1.5098039215686274</v>
      </c>
      <c r="AA2585" s="10">
        <f>IFERROR(Mecze[[#This Row],[BR]]/Mecze[[#This Row],[ST]],0)</f>
        <v>0</v>
      </c>
      <c r="AB2585">
        <f>ROUND(Mecze[[#This Row],[PD]]*Mecze[[#This Row],[%PC]],0)</f>
        <v>14</v>
      </c>
      <c r="AC2585">
        <f>ROUND(Mecze[[#This Row],[OD]]*Mecze[[#This Row],[%OU]],0)</f>
        <v>5</v>
      </c>
      <c r="AD2585" s="36" t="s">
        <v>41</v>
      </c>
      <c r="AE2585" s="36">
        <v>144</v>
      </c>
      <c r="AF2585" s="71">
        <v>10.98</v>
      </c>
      <c r="AG2585" s="37">
        <v>0</v>
      </c>
      <c r="AH2585" s="37">
        <v>0</v>
      </c>
      <c r="AI2585" s="37">
        <v>102</v>
      </c>
      <c r="AJ2585" s="37">
        <v>1</v>
      </c>
      <c r="AK2585" s="37" t="str">
        <f>VLOOKUP(Mecze[[#This Row],[Match ID]],Meczusie[Mecz]:Meczusie[RodzajMeczu],2,FALSE)</f>
        <v>Liga</v>
      </c>
    </row>
    <row r="2586" spans="1:37" x14ac:dyDescent="0.25">
      <c r="A2586" s="76">
        <v>13</v>
      </c>
      <c r="B2586" s="3" t="s">
        <v>162</v>
      </c>
      <c r="C2586" s="2" t="s">
        <v>160</v>
      </c>
      <c r="D2586" s="1">
        <v>0</v>
      </c>
      <c r="E2586" s="1">
        <v>1</v>
      </c>
      <c r="F2586" s="1">
        <v>1</v>
      </c>
      <c r="G2586" s="1">
        <v>18</v>
      </c>
      <c r="H2586" s="4">
        <v>0.72</v>
      </c>
      <c r="I2586" s="1">
        <v>5</v>
      </c>
      <c r="J2586" s="4">
        <v>0.2</v>
      </c>
      <c r="K2586" s="1">
        <v>0</v>
      </c>
      <c r="L2586" s="1">
        <v>12</v>
      </c>
      <c r="M2586" s="32">
        <f>IF(Mecze[[#This Row],[PR]]=0,0,Mecze[[#This Row],[PR]]/Mecze[[#This Row],[CZAS]])</f>
        <v>0.11764705882352941</v>
      </c>
      <c r="N2586" s="32">
        <f>IF(Mecze[[#This Row],[OU]]=0,0,Mecze[[#This Row],[OU]]/Mecze[[#This Row],[CZAS]])</f>
        <v>9.8039215686274508E-3</v>
      </c>
      <c r="O2586" s="32">
        <f>IF(Mecze[[#This Row],[PC]]=0,0,Mecze[[#This Row],[PC]]/Mecze[[#This Row],[CZAS]])</f>
        <v>0.12745098039215685</v>
      </c>
      <c r="P2586" s="32">
        <f>IF(Mecze[[#This Row],[SC]]=0,0,Mecze[[#This Row],[SC]]/Mecze[[#This Row],[CZAS]])</f>
        <v>9.8039215686274508E-3</v>
      </c>
      <c r="Q2586" s="32">
        <f>IF(Mecze[[#This Row],[OB]]=0,0,Mecze[[#This Row],[OB]]/Mecze[[#This Row],[CZAS]])</f>
        <v>0</v>
      </c>
      <c r="R2586" s="32">
        <f>IF(Mecze[[#This Row],[BR]]=0,0,Mecze[[#This Row],[BR]]/Mecze[[#This Row],[CZAS]])</f>
        <v>0</v>
      </c>
      <c r="S2586" s="44">
        <f>IF(Mecze[[#This Row],[Role]]="BR",SUMPRODUCT(Mecze[[#This Row],[/PR:90]:[/BR:90]],Brudnopis!$E$23:$J$23),0)</f>
        <v>0</v>
      </c>
      <c r="T2586" s="44">
        <f>IF(Mecze[[#This Row],[Role]]&lt;&gt;"BR",SUMPRODUCT(Mecze[[#This Row],[/PR:90]:[/BR:90]],Brudnopis!$E$24:$J$24),0)</f>
        <v>0.26960784313725489</v>
      </c>
      <c r="U2586" s="44">
        <f>IF(Mecze[[#This Row],[Role]]&lt;&gt;"BR",SUMPRODUCT(Mecze[[#This Row],[/PR:90]:[/BR:90]],Brudnopis!$E$25:$J$25),0)</f>
        <v>0.32843137254901961</v>
      </c>
      <c r="V2586" s="44">
        <f>IF(Mecze[[#This Row],[Role]]&lt;&gt;"BR",SUMPRODUCT(Mecze[[#This Row],[/PR:90]:[/BR:90]],Brudnopis!$E$26:$J$26),0)</f>
        <v>0.26470588235294118</v>
      </c>
      <c r="W2586" s="44">
        <f>IF(Mecze[[#This Row],[Role]]&lt;&gt;"BR",SUMPRODUCT(Mecze[[#This Row],[/PR:90]:[/BR:90]],Brudnopis!$E$27:$J$27),0)</f>
        <v>0.29656862745098039</v>
      </c>
      <c r="X2586" s="44">
        <f>IF(Mecze[[#This Row],[Role]]&lt;&gt;"BR",SUMPRODUCT(Mecze[[#This Row],[/PR:90]:[/BR:90]],Brudnopis!$E$28:$J$28),0)</f>
        <v>0.14705882352941174</v>
      </c>
      <c r="Y2586" s="35">
        <f>IF(Mecze[[#This Row],[Role]]="BR",Mecze[[#This Row],[/OB:90]]+Mecze[[#This Row],[/PC:90]],SUM(Mecze[[#This Row],[/PR:90]:[/BR:90]]))</f>
        <v>0.26470588235294118</v>
      </c>
      <c r="Z2586" s="35">
        <f>IF(Mecze[[#This Row],[KC]]=0,SUM(Mecze[[#This Row],[/BRI]:[/NPI]]),SUM(Mecze[[#This Row],[/BRI]:[/NPI]])*0.6)</f>
        <v>1.3063725490196079</v>
      </c>
      <c r="AA2586" s="10">
        <f>IFERROR(Mecze[[#This Row],[BR]]/Mecze[[#This Row],[ST]],0)</f>
        <v>0</v>
      </c>
      <c r="AB2586">
        <f>ROUND(Mecze[[#This Row],[PD]]*Mecze[[#This Row],[%PC]],0)</f>
        <v>13</v>
      </c>
      <c r="AC2586">
        <f>ROUND(Mecze[[#This Row],[OD]]*Mecze[[#This Row],[%OU]],0)</f>
        <v>1</v>
      </c>
      <c r="AD2586" s="36" t="s">
        <v>41</v>
      </c>
      <c r="AE2586" s="36">
        <v>144</v>
      </c>
      <c r="AF2586" s="71">
        <v>11</v>
      </c>
      <c r="AG2586" s="37">
        <v>0</v>
      </c>
      <c r="AH2586" s="37">
        <v>0</v>
      </c>
      <c r="AI2586" s="37">
        <v>102</v>
      </c>
      <c r="AJ2586" s="37">
        <v>1</v>
      </c>
      <c r="AK2586" s="37" t="str">
        <f>VLOOKUP(Mecze[[#This Row],[Match ID]],Meczusie[Mecz]:Meczusie[RodzajMeczu],2,FALSE)</f>
        <v>Liga</v>
      </c>
    </row>
    <row r="2587" spans="1:37" x14ac:dyDescent="0.25">
      <c r="A2587" s="76">
        <v>15</v>
      </c>
      <c r="B2587" s="3" t="s">
        <v>170</v>
      </c>
      <c r="C2587" s="2" t="s">
        <v>160</v>
      </c>
      <c r="D2587" s="1">
        <v>0</v>
      </c>
      <c r="E2587" s="1">
        <v>0</v>
      </c>
      <c r="F2587" s="1">
        <v>0</v>
      </c>
      <c r="G2587" s="1">
        <v>5</v>
      </c>
      <c r="H2587" s="4">
        <v>0.8</v>
      </c>
      <c r="I2587" s="1">
        <v>3</v>
      </c>
      <c r="J2587" s="4">
        <v>0.33</v>
      </c>
      <c r="K2587" s="1">
        <v>0</v>
      </c>
      <c r="L2587" s="1">
        <v>6</v>
      </c>
      <c r="M2587" s="32">
        <f>IF(Mecze[[#This Row],[PR]]=0,0,Mecze[[#This Row],[PR]]/Mecze[[#This Row],[CZAS]])</f>
        <v>5.8823529411764705E-2</v>
      </c>
      <c r="N2587" s="32">
        <f>IF(Mecze[[#This Row],[OU]]=0,0,Mecze[[#This Row],[OU]]/Mecze[[#This Row],[CZAS]])</f>
        <v>9.8039215686274508E-3</v>
      </c>
      <c r="O2587" s="32">
        <f>IF(Mecze[[#This Row],[PC]]=0,0,Mecze[[#This Row],[PC]]/Mecze[[#This Row],[CZAS]])</f>
        <v>3.9215686274509803E-2</v>
      </c>
      <c r="P2587" s="32">
        <f>IF(Mecze[[#This Row],[SC]]=0,0,Mecze[[#This Row],[SC]]/Mecze[[#This Row],[CZAS]])</f>
        <v>0</v>
      </c>
      <c r="Q2587" s="32">
        <f>IF(Mecze[[#This Row],[OB]]=0,0,Mecze[[#This Row],[OB]]/Mecze[[#This Row],[CZAS]])</f>
        <v>0</v>
      </c>
      <c r="R2587" s="32">
        <f>IF(Mecze[[#This Row],[BR]]=0,0,Mecze[[#This Row],[BR]]/Mecze[[#This Row],[CZAS]])</f>
        <v>0</v>
      </c>
      <c r="S2587" s="44">
        <f>IF(Mecze[[#This Row],[Role]]="BR",SUMPRODUCT(Mecze[[#This Row],[/PR:90]:[/BR:90]],Brudnopis!$E$23:$J$23),0)</f>
        <v>0</v>
      </c>
      <c r="T2587" s="44">
        <f>IF(Mecze[[#This Row],[Role]]&lt;&gt;"BR",SUMPRODUCT(Mecze[[#This Row],[/PR:90]:[/BR:90]],Brudnopis!$E$24:$J$24),0)</f>
        <v>0.11274509803921569</v>
      </c>
      <c r="U2587" s="44">
        <f>IF(Mecze[[#This Row],[Role]]&lt;&gt;"BR",SUMPRODUCT(Mecze[[#This Row],[/PR:90]:[/BR:90]],Brudnopis!$E$25:$J$25),0)</f>
        <v>0.12745098039215685</v>
      </c>
      <c r="V2587" s="44">
        <f>IF(Mecze[[#This Row],[Role]]&lt;&gt;"BR",SUMPRODUCT(Mecze[[#This Row],[/PR:90]:[/BR:90]],Brudnopis!$E$26:$J$26),0)</f>
        <v>0.10784313725490197</v>
      </c>
      <c r="W2587" s="44">
        <f>IF(Mecze[[#This Row],[Role]]&lt;&gt;"BR",SUMPRODUCT(Mecze[[#This Row],[/PR:90]:[/BR:90]],Brudnopis!$E$27:$J$27),0)</f>
        <v>0.11029411764705882</v>
      </c>
      <c r="X2587" s="44">
        <f>IF(Mecze[[#This Row],[Role]]&lt;&gt;"BR",SUMPRODUCT(Mecze[[#This Row],[/PR:90]:[/BR:90]],Brudnopis!$E$28:$J$28),0)</f>
        <v>3.9215686274509803E-2</v>
      </c>
      <c r="Y2587" s="35">
        <f>IF(Mecze[[#This Row],[Role]]="BR",Mecze[[#This Row],[/OB:90]]+Mecze[[#This Row],[/PC:90]],SUM(Mecze[[#This Row],[/PR:90]:[/BR:90]]))</f>
        <v>0.10784313725490197</v>
      </c>
      <c r="Z2587" s="35">
        <f>IF(Mecze[[#This Row],[KC]]=0,SUM(Mecze[[#This Row],[/BRI]:[/NPI]]),SUM(Mecze[[#This Row],[/BRI]:[/NPI]])*0.6)</f>
        <v>0.49754901960784315</v>
      </c>
      <c r="AA2587" s="10">
        <f>IFERROR(Mecze[[#This Row],[BR]]/Mecze[[#This Row],[ST]],0)</f>
        <v>0</v>
      </c>
      <c r="AB2587">
        <f>ROUND(Mecze[[#This Row],[PD]]*Mecze[[#This Row],[%PC]],0)</f>
        <v>4</v>
      </c>
      <c r="AC2587">
        <f>ROUND(Mecze[[#This Row],[OD]]*Mecze[[#This Row],[%OU]],0)</f>
        <v>1</v>
      </c>
      <c r="AD2587" s="36" t="s">
        <v>67</v>
      </c>
      <c r="AE2587" s="36">
        <v>144</v>
      </c>
      <c r="AF2587" s="71">
        <v>10.42</v>
      </c>
      <c r="AG2587" s="37">
        <v>0</v>
      </c>
      <c r="AH2587" s="37">
        <v>0</v>
      </c>
      <c r="AI2587" s="37">
        <v>102</v>
      </c>
      <c r="AJ2587" s="37">
        <v>1</v>
      </c>
      <c r="AK2587" s="37" t="str">
        <f>VLOOKUP(Mecze[[#This Row],[Match ID]],Meczusie[Mecz]:Meczusie[RodzajMeczu],2,FALSE)</f>
        <v>Liga</v>
      </c>
    </row>
    <row r="2588" spans="1:37" x14ac:dyDescent="0.25">
      <c r="A2588" s="76">
        <v>8</v>
      </c>
      <c r="B2588" s="3" t="s">
        <v>154</v>
      </c>
      <c r="C2588" s="2" t="s">
        <v>160</v>
      </c>
      <c r="D2588" s="1">
        <v>0</v>
      </c>
      <c r="E2588" s="1">
        <v>0</v>
      </c>
      <c r="F2588" s="1">
        <v>0</v>
      </c>
      <c r="G2588" s="1">
        <v>6</v>
      </c>
      <c r="H2588" s="4">
        <v>0.83</v>
      </c>
      <c r="I2588" s="1">
        <v>0</v>
      </c>
      <c r="J2588" s="4"/>
      <c r="K2588" s="1">
        <v>0</v>
      </c>
      <c r="L2588" s="1">
        <v>2</v>
      </c>
      <c r="M2588" s="32">
        <f>IF(Mecze[[#This Row],[PR]]=0,0,Mecze[[#This Row],[PR]]/Mecze[[#This Row],[CZAS]])</f>
        <v>1.9607843137254902E-2</v>
      </c>
      <c r="N2588" s="32">
        <f>IF(Mecze[[#This Row],[OU]]=0,0,Mecze[[#This Row],[OU]]/Mecze[[#This Row],[CZAS]])</f>
        <v>0</v>
      </c>
      <c r="O2588" s="32">
        <f>IF(Mecze[[#This Row],[PC]]=0,0,Mecze[[#This Row],[PC]]/Mecze[[#This Row],[CZAS]])</f>
        <v>4.9019607843137254E-2</v>
      </c>
      <c r="P2588" s="32">
        <f>IF(Mecze[[#This Row],[SC]]=0,0,Mecze[[#This Row],[SC]]/Mecze[[#This Row],[CZAS]])</f>
        <v>0</v>
      </c>
      <c r="Q2588" s="32">
        <f>IF(Mecze[[#This Row],[OB]]=0,0,Mecze[[#This Row],[OB]]/Mecze[[#This Row],[CZAS]])</f>
        <v>0</v>
      </c>
      <c r="R2588" s="32">
        <f>IF(Mecze[[#This Row],[BR]]=0,0,Mecze[[#This Row],[BR]]/Mecze[[#This Row],[CZAS]])</f>
        <v>0</v>
      </c>
      <c r="S2588" s="44">
        <f>IF(Mecze[[#This Row],[Role]]="BR",SUMPRODUCT(Mecze[[#This Row],[/PR:90]:[/BR:90]],Brudnopis!$E$23:$J$23),0)</f>
        <v>0</v>
      </c>
      <c r="T2588" s="44">
        <f>IF(Mecze[[#This Row],[Role]]&lt;&gt;"BR",SUMPRODUCT(Mecze[[#This Row],[/PR:90]:[/BR:90]],Brudnopis!$E$24:$J$24),0)</f>
        <v>6.8627450980392163E-2</v>
      </c>
      <c r="U2588" s="44">
        <f>IF(Mecze[[#This Row],[Role]]&lt;&gt;"BR",SUMPRODUCT(Mecze[[#This Row],[/PR:90]:[/BR:90]],Brudnopis!$E$25:$J$25),0)</f>
        <v>9.3137254901960786E-2</v>
      </c>
      <c r="V2588" s="44">
        <f>IF(Mecze[[#This Row],[Role]]&lt;&gt;"BR",SUMPRODUCT(Mecze[[#This Row],[/PR:90]:[/BR:90]],Brudnopis!$E$26:$J$26),0)</f>
        <v>6.8627450980392163E-2</v>
      </c>
      <c r="W2588" s="44">
        <f>IF(Mecze[[#This Row],[Role]]&lt;&gt;"BR",SUMPRODUCT(Mecze[[#This Row],[/PR:90]:[/BR:90]],Brudnopis!$E$27:$J$27),0)</f>
        <v>8.8235294117647065E-2</v>
      </c>
      <c r="X2588" s="44">
        <f>IF(Mecze[[#This Row],[Role]]&lt;&gt;"BR",SUMPRODUCT(Mecze[[#This Row],[/PR:90]:[/BR:90]],Brudnopis!$E$28:$J$28),0)</f>
        <v>4.9019607843137254E-2</v>
      </c>
      <c r="Y2588" s="35">
        <f>IF(Mecze[[#This Row],[Role]]="BR",Mecze[[#This Row],[/OB:90]]+Mecze[[#This Row],[/PC:90]],SUM(Mecze[[#This Row],[/PR:90]:[/BR:90]]))</f>
        <v>6.8627450980392163E-2</v>
      </c>
      <c r="Z2588" s="35">
        <f>IF(Mecze[[#This Row],[KC]]=0,SUM(Mecze[[#This Row],[/BRI]:[/NPI]]),SUM(Mecze[[#This Row],[/BRI]:[/NPI]])*0.6)</f>
        <v>0.36764705882352944</v>
      </c>
      <c r="AA2588" s="10">
        <f>IFERROR(Mecze[[#This Row],[BR]]/Mecze[[#This Row],[ST]],0)</f>
        <v>0</v>
      </c>
      <c r="AB2588">
        <f>ROUND(Mecze[[#This Row],[PD]]*Mecze[[#This Row],[%PC]],0)</f>
        <v>5</v>
      </c>
      <c r="AC2588">
        <f>ROUND(Mecze[[#This Row],[OD]]*Mecze[[#This Row],[%OU]],0)</f>
        <v>0</v>
      </c>
      <c r="AD2588" s="36" t="s">
        <v>171</v>
      </c>
      <c r="AE2588" s="36">
        <v>144</v>
      </c>
      <c r="AF2588" s="71">
        <v>9.58</v>
      </c>
      <c r="AG2588" s="37">
        <v>0</v>
      </c>
      <c r="AH2588" s="37">
        <v>0</v>
      </c>
      <c r="AI2588" s="37">
        <v>102</v>
      </c>
      <c r="AJ2588" s="37">
        <v>1</v>
      </c>
      <c r="AK2588" s="37" t="str">
        <f>VLOOKUP(Mecze[[#This Row],[Match ID]],Meczusie[Mecz]:Meczusie[RodzajMeczu],2,FALSE)</f>
        <v>Liga</v>
      </c>
    </row>
    <row r="2589" spans="1:37" x14ac:dyDescent="0.25">
      <c r="A2589" s="76">
        <v>14</v>
      </c>
      <c r="B2589" s="3" t="s">
        <v>164</v>
      </c>
      <c r="C2589" s="2" t="s">
        <v>165</v>
      </c>
      <c r="D2589" s="1">
        <v>0</v>
      </c>
      <c r="E2589" s="1">
        <v>1</v>
      </c>
      <c r="F2589" s="1">
        <v>1</v>
      </c>
      <c r="G2589" s="1">
        <v>6</v>
      </c>
      <c r="H2589" s="4">
        <v>1</v>
      </c>
      <c r="I2589" s="1">
        <v>0</v>
      </c>
      <c r="J2589" s="4"/>
      <c r="K2589" s="1">
        <v>0</v>
      </c>
      <c r="L2589" s="1">
        <v>4</v>
      </c>
      <c r="M2589" s="32">
        <f>IF(Mecze[[#This Row],[PR]]=0,0,Mecze[[#This Row],[PR]]/Mecze[[#This Row],[CZAS]])</f>
        <v>3.9215686274509803E-2</v>
      </c>
      <c r="N2589" s="32">
        <f>IF(Mecze[[#This Row],[OU]]=0,0,Mecze[[#This Row],[OU]]/Mecze[[#This Row],[CZAS]])</f>
        <v>0</v>
      </c>
      <c r="O2589" s="32">
        <f>IF(Mecze[[#This Row],[PC]]=0,0,Mecze[[#This Row],[PC]]/Mecze[[#This Row],[CZAS]])</f>
        <v>5.8823529411764705E-2</v>
      </c>
      <c r="P2589" s="32">
        <f>IF(Mecze[[#This Row],[SC]]=0,0,Mecze[[#This Row],[SC]]/Mecze[[#This Row],[CZAS]])</f>
        <v>9.8039215686274508E-3</v>
      </c>
      <c r="Q2589" s="32">
        <f>IF(Mecze[[#This Row],[OB]]=0,0,Mecze[[#This Row],[OB]]/Mecze[[#This Row],[CZAS]])</f>
        <v>0</v>
      </c>
      <c r="R2589" s="32">
        <f>IF(Mecze[[#This Row],[BR]]=0,0,Mecze[[#This Row],[BR]]/Mecze[[#This Row],[CZAS]])</f>
        <v>0</v>
      </c>
      <c r="S2589" s="44">
        <f>IF(Mecze[[#This Row],[Role]]="BR",SUMPRODUCT(Mecze[[#This Row],[/PR:90]:[/BR:90]],Brudnopis!$E$23:$J$23),0)</f>
        <v>0</v>
      </c>
      <c r="T2589" s="44">
        <f>IF(Mecze[[#This Row],[Role]]&lt;&gt;"BR",SUMPRODUCT(Mecze[[#This Row],[/PR:90]:[/BR:90]],Brudnopis!$E$24:$J$24),0)</f>
        <v>0.10784313725490197</v>
      </c>
      <c r="U2589" s="44">
        <f>IF(Mecze[[#This Row],[Role]]&lt;&gt;"BR",SUMPRODUCT(Mecze[[#This Row],[/PR:90]:[/BR:90]],Brudnopis!$E$25:$J$25),0)</f>
        <v>0.1372549019607843</v>
      </c>
      <c r="V2589" s="44">
        <f>IF(Mecze[[#This Row],[Role]]&lt;&gt;"BR",SUMPRODUCT(Mecze[[#This Row],[/PR:90]:[/BR:90]],Brudnopis!$E$26:$J$26),0)</f>
        <v>0.10784313725490197</v>
      </c>
      <c r="W2589" s="44">
        <f>IF(Mecze[[#This Row],[Role]]&lt;&gt;"BR",SUMPRODUCT(Mecze[[#This Row],[/PR:90]:[/BR:90]],Brudnopis!$E$27:$J$27),0)</f>
        <v>0.12745098039215685</v>
      </c>
      <c r="X2589" s="44">
        <f>IF(Mecze[[#This Row],[Role]]&lt;&gt;"BR",SUMPRODUCT(Mecze[[#This Row],[/PR:90]:[/BR:90]],Brudnopis!$E$28:$J$28),0)</f>
        <v>7.8431372549019607E-2</v>
      </c>
      <c r="Y2589" s="35">
        <f>IF(Mecze[[#This Row],[Role]]="BR",Mecze[[#This Row],[/OB:90]]+Mecze[[#This Row],[/PC:90]],SUM(Mecze[[#This Row],[/PR:90]:[/BR:90]]))</f>
        <v>0.10784313725490197</v>
      </c>
      <c r="Z2589" s="35">
        <f>IF(Mecze[[#This Row],[KC]]=0,SUM(Mecze[[#This Row],[/BRI]:[/NPI]]),SUM(Mecze[[#This Row],[/BRI]:[/NPI]])*0.6)</f>
        <v>0.55882352941176472</v>
      </c>
      <c r="AA2589" s="10">
        <f>IFERROR(Mecze[[#This Row],[BR]]/Mecze[[#This Row],[ST]],0)</f>
        <v>0</v>
      </c>
      <c r="AB2589">
        <f>ROUND(Mecze[[#This Row],[PD]]*Mecze[[#This Row],[%PC]],0)</f>
        <v>6</v>
      </c>
      <c r="AC2589">
        <f>ROUND(Mecze[[#This Row],[OD]]*Mecze[[#This Row],[%OU]],0)</f>
        <v>0</v>
      </c>
      <c r="AD2589" s="36" t="s">
        <v>46</v>
      </c>
      <c r="AE2589" s="36">
        <v>144</v>
      </c>
      <c r="AF2589" s="71">
        <v>7.29</v>
      </c>
      <c r="AG2589" s="37">
        <v>0</v>
      </c>
      <c r="AH2589" s="37">
        <v>0</v>
      </c>
      <c r="AI2589" s="37">
        <v>102</v>
      </c>
      <c r="AJ2589" s="37">
        <v>1</v>
      </c>
      <c r="AK2589" s="37" t="str">
        <f>VLOOKUP(Mecze[[#This Row],[Match ID]],Meczusie[Mecz]:Meczusie[RodzajMeczu],2,FALSE)</f>
        <v>Liga</v>
      </c>
    </row>
    <row r="2590" spans="1:37" x14ac:dyDescent="0.25">
      <c r="A2590" s="76">
        <v>9</v>
      </c>
      <c r="B2590" s="3" t="s">
        <v>411</v>
      </c>
      <c r="C2590" s="2" t="s">
        <v>165</v>
      </c>
      <c r="D2590" s="1">
        <v>3</v>
      </c>
      <c r="E2590" s="1">
        <v>14</v>
      </c>
      <c r="F2590" s="1">
        <v>11</v>
      </c>
      <c r="G2590" s="1">
        <v>7</v>
      </c>
      <c r="H2590" s="4">
        <v>0.86</v>
      </c>
      <c r="I2590" s="1">
        <v>2</v>
      </c>
      <c r="J2590" s="4">
        <v>1</v>
      </c>
      <c r="K2590" s="1">
        <v>0</v>
      </c>
      <c r="L2590" s="1">
        <v>0</v>
      </c>
      <c r="M2590" s="32">
        <f>IF(Mecze[[#This Row],[PR]]=0,0,Mecze[[#This Row],[PR]]/Mecze[[#This Row],[CZAS]])</f>
        <v>0</v>
      </c>
      <c r="N2590" s="32">
        <f>IF(Mecze[[#This Row],[OU]]=0,0,Mecze[[#This Row],[OU]]/Mecze[[#This Row],[CZAS]])</f>
        <v>1.9607843137254902E-2</v>
      </c>
      <c r="O2590" s="32">
        <f>IF(Mecze[[#This Row],[PC]]=0,0,Mecze[[#This Row],[PC]]/Mecze[[#This Row],[CZAS]])</f>
        <v>5.8823529411764705E-2</v>
      </c>
      <c r="P2590" s="32">
        <f>IF(Mecze[[#This Row],[SC]]=0,0,Mecze[[#This Row],[SC]]/Mecze[[#This Row],[CZAS]])</f>
        <v>0.10784313725490197</v>
      </c>
      <c r="Q2590" s="32">
        <f>IF(Mecze[[#This Row],[OB]]=0,0,Mecze[[#This Row],[OB]]/Mecze[[#This Row],[CZAS]])</f>
        <v>0</v>
      </c>
      <c r="R2590" s="32">
        <f>IF(Mecze[[#This Row],[BR]]=0,0,Mecze[[#This Row],[BR]]/Mecze[[#This Row],[CZAS]])</f>
        <v>2.9411764705882353E-2</v>
      </c>
      <c r="S2590" s="44">
        <f>IF(Mecze[[#This Row],[Role]]="BR",SUMPRODUCT(Mecze[[#This Row],[/PR:90]:[/BR:90]],Brudnopis!$E$23:$J$23),0)</f>
        <v>0</v>
      </c>
      <c r="T2590" s="44">
        <f>IF(Mecze[[#This Row],[Role]]&lt;&gt;"BR",SUMPRODUCT(Mecze[[#This Row],[/PR:90]:[/BR:90]],Brudnopis!$E$24:$J$24),0)</f>
        <v>0.24019607843137253</v>
      </c>
      <c r="U2590" s="44">
        <f>IF(Mecze[[#This Row],[Role]]&lt;&gt;"BR",SUMPRODUCT(Mecze[[#This Row],[/PR:90]:[/BR:90]],Brudnopis!$E$25:$J$25),0)</f>
        <v>0.25980392156862747</v>
      </c>
      <c r="V2590" s="44">
        <f>IF(Mecze[[#This Row],[Role]]&lt;&gt;"BR",SUMPRODUCT(Mecze[[#This Row],[/PR:90]:[/BR:90]],Brudnopis!$E$26:$J$26),0)</f>
        <v>0.24509803921568629</v>
      </c>
      <c r="W2590" s="44">
        <f>IF(Mecze[[#This Row],[Role]]&lt;&gt;"BR",SUMPRODUCT(Mecze[[#This Row],[/PR:90]:[/BR:90]],Brudnopis!$E$27:$J$27),0)</f>
        <v>0.26960784313725489</v>
      </c>
      <c r="X2590" s="44">
        <f>IF(Mecze[[#This Row],[Role]]&lt;&gt;"BR",SUMPRODUCT(Mecze[[#This Row],[/PR:90]:[/BR:90]],Brudnopis!$E$28:$J$28),0)</f>
        <v>0.36274509803921573</v>
      </c>
      <c r="Y2590" s="35">
        <f>IF(Mecze[[#This Row],[Role]]="BR",Mecze[[#This Row],[/OB:90]]+Mecze[[#This Row],[/PC:90]],SUM(Mecze[[#This Row],[/PR:90]:[/BR:90]]))</f>
        <v>0.21568627450980393</v>
      </c>
      <c r="Z2590" s="35">
        <f>IF(Mecze[[#This Row],[KC]]=0,SUM(Mecze[[#This Row],[/BRI]:[/NPI]]),SUM(Mecze[[#This Row],[/BRI]:[/NPI]])*0.6)</f>
        <v>1.3774509803921569</v>
      </c>
      <c r="AA2590" s="10">
        <f>IFERROR(Mecze[[#This Row],[BR]]/Mecze[[#This Row],[ST]],0)</f>
        <v>0.21428571428571427</v>
      </c>
      <c r="AB2590">
        <f>ROUND(Mecze[[#This Row],[PD]]*Mecze[[#This Row],[%PC]],0)</f>
        <v>6</v>
      </c>
      <c r="AC2590">
        <f>ROUND(Mecze[[#This Row],[OD]]*Mecze[[#This Row],[%OU]],0)</f>
        <v>2</v>
      </c>
      <c r="AD2590" s="36" t="s">
        <v>46</v>
      </c>
      <c r="AE2590" s="36">
        <v>144</v>
      </c>
      <c r="AF2590" s="71">
        <v>15.5</v>
      </c>
      <c r="AG2590" s="37">
        <v>0</v>
      </c>
      <c r="AH2590" s="37">
        <v>0</v>
      </c>
      <c r="AI2590" s="37">
        <v>102</v>
      </c>
      <c r="AJ2590" s="37">
        <v>1</v>
      </c>
      <c r="AK2590" s="37" t="str">
        <f>VLOOKUP(Mecze[[#This Row],[Match ID]],Meczusie[Mecz]:Meczusie[RodzajMeczu],2,FALSE)</f>
        <v>Liga</v>
      </c>
    </row>
    <row r="2591" spans="1:37" x14ac:dyDescent="0.25">
      <c r="A2591" s="76">
        <v>19</v>
      </c>
      <c r="B2591" s="3" t="s">
        <v>166</v>
      </c>
      <c r="C2591" s="2" t="s">
        <v>165</v>
      </c>
      <c r="D2591" s="1">
        <v>7</v>
      </c>
      <c r="E2591" s="1">
        <v>10</v>
      </c>
      <c r="F2591" s="1">
        <v>10</v>
      </c>
      <c r="G2591" s="1">
        <v>11</v>
      </c>
      <c r="H2591" s="4">
        <v>0.73</v>
      </c>
      <c r="I2591" s="1">
        <v>0</v>
      </c>
      <c r="J2591" s="4"/>
      <c r="K2591" s="1">
        <v>0</v>
      </c>
      <c r="L2591" s="1">
        <v>2</v>
      </c>
      <c r="M2591" s="32">
        <f>IF(Mecze[[#This Row],[PR]]=0,0,Mecze[[#This Row],[PR]]/Mecze[[#This Row],[CZAS]])</f>
        <v>1.9607843137254902E-2</v>
      </c>
      <c r="N2591" s="32">
        <f>IF(Mecze[[#This Row],[OU]]=0,0,Mecze[[#This Row],[OU]]/Mecze[[#This Row],[CZAS]])</f>
        <v>0</v>
      </c>
      <c r="O2591" s="32">
        <f>IF(Mecze[[#This Row],[PC]]=0,0,Mecze[[#This Row],[PC]]/Mecze[[#This Row],[CZAS]])</f>
        <v>7.8431372549019607E-2</v>
      </c>
      <c r="P2591" s="32">
        <f>IF(Mecze[[#This Row],[SC]]=0,0,Mecze[[#This Row],[SC]]/Mecze[[#This Row],[CZAS]])</f>
        <v>9.8039215686274508E-2</v>
      </c>
      <c r="Q2591" s="32">
        <f>IF(Mecze[[#This Row],[OB]]=0,0,Mecze[[#This Row],[OB]]/Mecze[[#This Row],[CZAS]])</f>
        <v>0</v>
      </c>
      <c r="R2591" s="32">
        <f>IF(Mecze[[#This Row],[BR]]=0,0,Mecze[[#This Row],[BR]]/Mecze[[#This Row],[CZAS]])</f>
        <v>6.8627450980392163E-2</v>
      </c>
      <c r="S2591" s="44">
        <f>IF(Mecze[[#This Row],[Role]]="BR",SUMPRODUCT(Mecze[[#This Row],[/PR:90]:[/BR:90]],Brudnopis!$E$23:$J$23),0)</f>
        <v>0</v>
      </c>
      <c r="T2591" s="44">
        <f>IF(Mecze[[#This Row],[Role]]&lt;&gt;"BR",SUMPRODUCT(Mecze[[#This Row],[/PR:90]:[/BR:90]],Brudnopis!$E$24:$J$24),0)</f>
        <v>0.29901960784313725</v>
      </c>
      <c r="U2591" s="44">
        <f>IF(Mecze[[#This Row],[Role]]&lt;&gt;"BR",SUMPRODUCT(Mecze[[#This Row],[/PR:90]:[/BR:90]],Brudnopis!$E$25:$J$25),0)</f>
        <v>0.33823529411764708</v>
      </c>
      <c r="V2591" s="44">
        <f>IF(Mecze[[#This Row],[Role]]&lt;&gt;"BR",SUMPRODUCT(Mecze[[#This Row],[/PR:90]:[/BR:90]],Brudnopis!$E$26:$J$26),0)</f>
        <v>0.33333333333333337</v>
      </c>
      <c r="W2591" s="44">
        <f>IF(Mecze[[#This Row],[Role]]&lt;&gt;"BR",SUMPRODUCT(Mecze[[#This Row],[/PR:90]:[/BR:90]],Brudnopis!$E$27:$J$27),0)</f>
        <v>0.36764705882352944</v>
      </c>
      <c r="X2591" s="44">
        <f>IF(Mecze[[#This Row],[Role]]&lt;&gt;"BR",SUMPRODUCT(Mecze[[#This Row],[/PR:90]:[/BR:90]],Brudnopis!$E$28:$J$28),0)</f>
        <v>0.48039215686274517</v>
      </c>
      <c r="Y2591" s="35">
        <f>IF(Mecze[[#This Row],[Role]]="BR",Mecze[[#This Row],[/OB:90]]+Mecze[[#This Row],[/PC:90]],SUM(Mecze[[#This Row],[/PR:90]:[/BR:90]]))</f>
        <v>0.26470588235294118</v>
      </c>
      <c r="Z2591" s="35">
        <f>IF(Mecze[[#This Row],[KC]]=0,SUM(Mecze[[#This Row],[/BRI]:[/NPI]]),SUM(Mecze[[#This Row],[/BRI]:[/NPI]])*0.6)</f>
        <v>1.8186274509803924</v>
      </c>
      <c r="AA2591" s="10">
        <f>IFERROR(Mecze[[#This Row],[BR]]/Mecze[[#This Row],[ST]],0)</f>
        <v>0.7</v>
      </c>
      <c r="AB2591">
        <f>ROUND(Mecze[[#This Row],[PD]]*Mecze[[#This Row],[%PC]],0)</f>
        <v>8</v>
      </c>
      <c r="AC2591">
        <f>ROUND(Mecze[[#This Row],[OD]]*Mecze[[#This Row],[%OU]],0)</f>
        <v>0</v>
      </c>
      <c r="AD2591" s="36" t="s">
        <v>46</v>
      </c>
      <c r="AE2591" s="36">
        <v>144</v>
      </c>
      <c r="AF2591" s="71">
        <v>23.56</v>
      </c>
      <c r="AG2591" s="37">
        <v>0</v>
      </c>
      <c r="AH2591" s="37">
        <v>0</v>
      </c>
      <c r="AI2591" s="37">
        <v>102</v>
      </c>
      <c r="AJ2591" s="37">
        <v>1</v>
      </c>
      <c r="AK2591" s="37" t="str">
        <f>VLOOKUP(Mecze[[#This Row],[Match ID]],Meczusie[Mecz]:Meczusie[RodzajMeczu],2,FALSE)</f>
        <v>Liga</v>
      </c>
    </row>
    <row r="2592" spans="1:37" x14ac:dyDescent="0.25">
      <c r="A2592" s="76">
        <v>1</v>
      </c>
      <c r="B2592" s="3" t="s">
        <v>236</v>
      </c>
      <c r="C2592" s="2" t="s">
        <v>155</v>
      </c>
      <c r="D2592" s="1">
        <v>0</v>
      </c>
      <c r="E2592" s="1">
        <v>0</v>
      </c>
      <c r="F2592" s="1">
        <v>0</v>
      </c>
      <c r="G2592" s="1">
        <v>23</v>
      </c>
      <c r="H2592" s="4">
        <v>0.3</v>
      </c>
      <c r="I2592" s="1">
        <v>0</v>
      </c>
      <c r="J2592" s="4"/>
      <c r="K2592" s="1">
        <v>19</v>
      </c>
      <c r="L2592" s="1">
        <v>0</v>
      </c>
      <c r="M2592" s="32">
        <f>IF(Mecze[[#This Row],[PR]]=0,0,Mecze[[#This Row],[PR]]/Mecze[[#This Row],[CZAS]])</f>
        <v>0</v>
      </c>
      <c r="N2592" s="32">
        <f>IF(Mecze[[#This Row],[OU]]=0,0,Mecze[[#This Row],[OU]]/Mecze[[#This Row],[CZAS]])</f>
        <v>0</v>
      </c>
      <c r="O2592" s="32">
        <f>IF(Mecze[[#This Row],[PC]]=0,0,Mecze[[#This Row],[PC]]/Mecze[[#This Row],[CZAS]])</f>
        <v>7.2164948453608241E-2</v>
      </c>
      <c r="P2592" s="32">
        <f>IF(Mecze[[#This Row],[SC]]=0,0,Mecze[[#This Row],[SC]]/Mecze[[#This Row],[CZAS]])</f>
        <v>0</v>
      </c>
      <c r="Q2592" s="32">
        <f>IF(Mecze[[#This Row],[OB]]=0,0,Mecze[[#This Row],[OB]]/Mecze[[#This Row],[CZAS]])</f>
        <v>0.19587628865979381</v>
      </c>
      <c r="R2592" s="32">
        <f>IF(Mecze[[#This Row],[BR]]=0,0,Mecze[[#This Row],[BR]]/Mecze[[#This Row],[CZAS]])</f>
        <v>0</v>
      </c>
      <c r="S2592" s="44">
        <f>IF(Mecze[[#This Row],[Role]]="BR",SUMPRODUCT(Mecze[[#This Row],[/PR:90]:[/BR:90]],Brudnopis!$E$23:$J$23),0)</f>
        <v>0.80412371134020622</v>
      </c>
      <c r="T2592" s="44">
        <f>IF(Mecze[[#This Row],[Role]]&lt;&gt;"BR",SUMPRODUCT(Mecze[[#This Row],[/PR:90]:[/BR:90]],Brudnopis!$E$24:$J$24),0)</f>
        <v>0</v>
      </c>
      <c r="U2592" s="44">
        <f>IF(Mecze[[#This Row],[Role]]&lt;&gt;"BR",SUMPRODUCT(Mecze[[#This Row],[/PR:90]:[/BR:90]],Brudnopis!$E$25:$J$25),0)</f>
        <v>0</v>
      </c>
      <c r="V2592" s="44">
        <f>IF(Mecze[[#This Row],[Role]]&lt;&gt;"BR",SUMPRODUCT(Mecze[[#This Row],[/PR:90]:[/BR:90]],Brudnopis!$E$26:$J$26),0)</f>
        <v>0</v>
      </c>
      <c r="W2592" s="44">
        <f>IF(Mecze[[#This Row],[Role]]&lt;&gt;"BR",SUMPRODUCT(Mecze[[#This Row],[/PR:90]:[/BR:90]],Brudnopis!$E$27:$J$27),0)</f>
        <v>0</v>
      </c>
      <c r="X2592" s="44">
        <f>IF(Mecze[[#This Row],[Role]]&lt;&gt;"BR",SUMPRODUCT(Mecze[[#This Row],[/PR:90]:[/BR:90]],Brudnopis!$E$28:$J$28),0)</f>
        <v>0</v>
      </c>
      <c r="Y2592" s="35">
        <f>IF(Mecze[[#This Row],[Role]]="BR",Mecze[[#This Row],[/OB:90]]+Mecze[[#This Row],[/PC:90]],SUM(Mecze[[#This Row],[/PR:90]:[/BR:90]]))</f>
        <v>0.26804123711340205</v>
      </c>
      <c r="Z2592" s="35">
        <f>IF(Mecze[[#This Row],[KC]]=0,SUM(Mecze[[#This Row],[/BRI]:[/NPI]]),SUM(Mecze[[#This Row],[/BRI]:[/NPI]])*0.6)</f>
        <v>0.80412371134020622</v>
      </c>
      <c r="AA2592" s="10">
        <f>IFERROR(Mecze[[#This Row],[BR]]/Mecze[[#This Row],[ST]],0)</f>
        <v>0</v>
      </c>
      <c r="AB2592">
        <f>ROUND(Mecze[[#This Row],[PD]]*Mecze[[#This Row],[%PC]],0)</f>
        <v>7</v>
      </c>
      <c r="AC2592">
        <f>ROUND(Mecze[[#This Row],[OD]]*Mecze[[#This Row],[%OU]],0)</f>
        <v>0</v>
      </c>
      <c r="AD2592" s="36" t="s">
        <v>40</v>
      </c>
      <c r="AE2592" s="36">
        <v>145</v>
      </c>
      <c r="AF2592" s="71">
        <v>8.24</v>
      </c>
      <c r="AG2592" s="37">
        <v>0</v>
      </c>
      <c r="AH2592" s="37">
        <v>0</v>
      </c>
      <c r="AI2592" s="37">
        <v>97</v>
      </c>
      <c r="AJ2592" s="37">
        <v>10</v>
      </c>
      <c r="AK2592" s="37" t="str">
        <f>VLOOKUP(Mecze[[#This Row],[Match ID]],Meczusie[Mecz]:Meczusie[RodzajMeczu],2,FALSE)</f>
        <v>Liga</v>
      </c>
    </row>
    <row r="2593" spans="1:37" x14ac:dyDescent="0.25">
      <c r="A2593" s="76">
        <v>7</v>
      </c>
      <c r="B2593" s="3" t="s">
        <v>241</v>
      </c>
      <c r="C2593" s="2" t="s">
        <v>157</v>
      </c>
      <c r="D2593" s="1">
        <v>0</v>
      </c>
      <c r="E2593" s="1">
        <v>0</v>
      </c>
      <c r="F2593" s="1">
        <v>0</v>
      </c>
      <c r="G2593" s="1">
        <v>9</v>
      </c>
      <c r="H2593" s="4">
        <v>0.56000000000000005</v>
      </c>
      <c r="I2593" s="1">
        <v>4</v>
      </c>
      <c r="J2593" s="4">
        <v>0.25</v>
      </c>
      <c r="K2593" s="1">
        <v>0</v>
      </c>
      <c r="L2593" s="1">
        <v>7</v>
      </c>
      <c r="M2593" s="32">
        <f>IF(Mecze[[#This Row],[PR]]=0,0,Mecze[[#This Row],[PR]]/Mecze[[#This Row],[CZAS]])</f>
        <v>7.2164948453608241E-2</v>
      </c>
      <c r="N2593" s="32">
        <f>IF(Mecze[[#This Row],[OU]]=0,0,Mecze[[#This Row],[OU]]/Mecze[[#This Row],[CZAS]])</f>
        <v>1.0309278350515464E-2</v>
      </c>
      <c r="O2593" s="32">
        <f>IF(Mecze[[#This Row],[PC]]=0,0,Mecze[[#This Row],[PC]]/Mecze[[#This Row],[CZAS]])</f>
        <v>5.1546391752577317E-2</v>
      </c>
      <c r="P2593" s="32">
        <f>IF(Mecze[[#This Row],[SC]]=0,0,Mecze[[#This Row],[SC]]/Mecze[[#This Row],[CZAS]])</f>
        <v>0</v>
      </c>
      <c r="Q2593" s="32">
        <f>IF(Mecze[[#This Row],[OB]]=0,0,Mecze[[#This Row],[OB]]/Mecze[[#This Row],[CZAS]])</f>
        <v>0</v>
      </c>
      <c r="R2593" s="32">
        <f>IF(Mecze[[#This Row],[BR]]=0,0,Mecze[[#This Row],[BR]]/Mecze[[#This Row],[CZAS]])</f>
        <v>0</v>
      </c>
      <c r="S2593" s="44">
        <f>IF(Mecze[[#This Row],[Role]]="BR",SUMPRODUCT(Mecze[[#This Row],[/PR:90]:[/BR:90]],Brudnopis!$E$23:$J$23),0)</f>
        <v>0</v>
      </c>
      <c r="T2593" s="44">
        <f>IF(Mecze[[#This Row],[Role]]&lt;&gt;"BR",SUMPRODUCT(Mecze[[#This Row],[/PR:90]:[/BR:90]],Brudnopis!$E$24:$J$24),0)</f>
        <v>0.13917525773195877</v>
      </c>
      <c r="U2593" s="44">
        <f>IF(Mecze[[#This Row],[Role]]&lt;&gt;"BR",SUMPRODUCT(Mecze[[#This Row],[/PR:90]:[/BR:90]],Brudnopis!$E$25:$J$25),0)</f>
        <v>0.15979381443298968</v>
      </c>
      <c r="V2593" s="44">
        <f>IF(Mecze[[#This Row],[Role]]&lt;&gt;"BR",SUMPRODUCT(Mecze[[#This Row],[/PR:90]:[/BR:90]],Brudnopis!$E$26:$J$26),0)</f>
        <v>0.13402061855670103</v>
      </c>
      <c r="W2593" s="44">
        <f>IF(Mecze[[#This Row],[Role]]&lt;&gt;"BR",SUMPRODUCT(Mecze[[#This Row],[/PR:90]:[/BR:90]],Brudnopis!$E$27:$J$27),0)</f>
        <v>0.13917525773195877</v>
      </c>
      <c r="X2593" s="44">
        <f>IF(Mecze[[#This Row],[Role]]&lt;&gt;"BR",SUMPRODUCT(Mecze[[#This Row],[/PR:90]:[/BR:90]],Brudnopis!$E$28:$J$28),0)</f>
        <v>5.1546391752577317E-2</v>
      </c>
      <c r="Y2593" s="35">
        <f>IF(Mecze[[#This Row],[Role]]="BR",Mecze[[#This Row],[/OB:90]]+Mecze[[#This Row],[/PC:90]],SUM(Mecze[[#This Row],[/PR:90]:[/BR:90]]))</f>
        <v>0.13402061855670103</v>
      </c>
      <c r="Z2593" s="35">
        <f>IF(Mecze[[#This Row],[KC]]=0,SUM(Mecze[[#This Row],[/BRI]:[/NPI]]),SUM(Mecze[[#This Row],[/BRI]:[/NPI]])*0.6)</f>
        <v>0.62371134020618557</v>
      </c>
      <c r="AA2593" s="10">
        <f>IFERROR(Mecze[[#This Row],[BR]]/Mecze[[#This Row],[ST]],0)</f>
        <v>0</v>
      </c>
      <c r="AB2593">
        <f>ROUND(Mecze[[#This Row],[PD]]*Mecze[[#This Row],[%PC]],0)</f>
        <v>5</v>
      </c>
      <c r="AC2593">
        <f>ROUND(Mecze[[#This Row],[OD]]*Mecze[[#This Row],[%OU]],0)</f>
        <v>1</v>
      </c>
      <c r="AD2593" s="36" t="s">
        <v>47</v>
      </c>
      <c r="AE2593" s="36">
        <v>145</v>
      </c>
      <c r="AF2593" s="71">
        <v>3.06</v>
      </c>
      <c r="AG2593" s="37">
        <v>0</v>
      </c>
      <c r="AH2593" s="37">
        <v>0</v>
      </c>
      <c r="AI2593" s="37">
        <v>97</v>
      </c>
      <c r="AJ2593" s="37">
        <v>10</v>
      </c>
      <c r="AK2593" s="37" t="str">
        <f>VLOOKUP(Mecze[[#This Row],[Match ID]],Meczusie[Mecz]:Meczusie[RodzajMeczu],2,FALSE)</f>
        <v>Liga</v>
      </c>
    </row>
    <row r="2594" spans="1:37" x14ac:dyDescent="0.25">
      <c r="A2594" s="76">
        <v>4</v>
      </c>
      <c r="B2594" s="3" t="s">
        <v>238</v>
      </c>
      <c r="C2594" s="2" t="s">
        <v>157</v>
      </c>
      <c r="D2594" s="1">
        <v>0</v>
      </c>
      <c r="E2594" s="1">
        <v>0</v>
      </c>
      <c r="F2594" s="1">
        <v>0</v>
      </c>
      <c r="G2594" s="1">
        <v>13</v>
      </c>
      <c r="H2594" s="4">
        <v>0.38</v>
      </c>
      <c r="I2594" s="1">
        <v>12</v>
      </c>
      <c r="J2594" s="4">
        <v>0.42</v>
      </c>
      <c r="K2594" s="1">
        <v>0</v>
      </c>
      <c r="L2594" s="1">
        <v>10</v>
      </c>
      <c r="M2594" s="32">
        <f>IF(Mecze[[#This Row],[PR]]=0,0,Mecze[[#This Row],[PR]]/Mecze[[#This Row],[CZAS]])</f>
        <v>0.10309278350515463</v>
      </c>
      <c r="N2594" s="32">
        <f>IF(Mecze[[#This Row],[OU]]=0,0,Mecze[[#This Row],[OU]]/Mecze[[#This Row],[CZAS]])</f>
        <v>5.1546391752577317E-2</v>
      </c>
      <c r="O2594" s="32">
        <f>IF(Mecze[[#This Row],[PC]]=0,0,Mecze[[#This Row],[PC]]/Mecze[[#This Row],[CZAS]])</f>
        <v>5.1546391752577317E-2</v>
      </c>
      <c r="P2594" s="32">
        <f>IF(Mecze[[#This Row],[SC]]=0,0,Mecze[[#This Row],[SC]]/Mecze[[#This Row],[CZAS]])</f>
        <v>0</v>
      </c>
      <c r="Q2594" s="32">
        <f>IF(Mecze[[#This Row],[OB]]=0,0,Mecze[[#This Row],[OB]]/Mecze[[#This Row],[CZAS]])</f>
        <v>0</v>
      </c>
      <c r="R2594" s="32">
        <f>IF(Mecze[[#This Row],[BR]]=0,0,Mecze[[#This Row],[BR]]/Mecze[[#This Row],[CZAS]])</f>
        <v>0</v>
      </c>
      <c r="S2594" s="44">
        <f>IF(Mecze[[#This Row],[Role]]="BR",SUMPRODUCT(Mecze[[#This Row],[/PR:90]:[/BR:90]],Brudnopis!$E$23:$J$23),0)</f>
        <v>0</v>
      </c>
      <c r="T2594" s="44">
        <f>IF(Mecze[[#This Row],[Role]]&lt;&gt;"BR",SUMPRODUCT(Mecze[[#This Row],[/PR:90]:[/BR:90]],Brudnopis!$E$24:$J$24),0)</f>
        <v>0.23195876288659795</v>
      </c>
      <c r="U2594" s="44">
        <f>IF(Mecze[[#This Row],[Role]]&lt;&gt;"BR",SUMPRODUCT(Mecze[[#This Row],[/PR:90]:[/BR:90]],Brudnopis!$E$25:$J$25),0)</f>
        <v>0.23195876288659795</v>
      </c>
      <c r="V2594" s="44">
        <f>IF(Mecze[[#This Row],[Role]]&lt;&gt;"BR",SUMPRODUCT(Mecze[[#This Row],[/PR:90]:[/BR:90]],Brudnopis!$E$26:$J$26),0)</f>
        <v>0.20618556701030927</v>
      </c>
      <c r="W2594" s="44">
        <f>IF(Mecze[[#This Row],[Role]]&lt;&gt;"BR",SUMPRODUCT(Mecze[[#This Row],[/PR:90]:[/BR:90]],Brudnopis!$E$27:$J$27),0)</f>
        <v>0.19329896907216496</v>
      </c>
      <c r="X2594" s="44">
        <f>IF(Mecze[[#This Row],[Role]]&lt;&gt;"BR",SUMPRODUCT(Mecze[[#This Row],[/PR:90]:[/BR:90]],Brudnopis!$E$28:$J$28),0)</f>
        <v>5.1546391752577317E-2</v>
      </c>
      <c r="Y2594" s="35">
        <f>IF(Mecze[[#This Row],[Role]]="BR",Mecze[[#This Row],[/OB:90]]+Mecze[[#This Row],[/PC:90]],SUM(Mecze[[#This Row],[/PR:90]:[/BR:90]]))</f>
        <v>0.20618556701030927</v>
      </c>
      <c r="Z2594" s="35">
        <f>IF(Mecze[[#This Row],[KC]]=0,SUM(Mecze[[#This Row],[/BRI]:[/NPI]]),SUM(Mecze[[#This Row],[/BRI]:[/NPI]])*0.6)</f>
        <v>0.9149484536082475</v>
      </c>
      <c r="AA2594" s="10">
        <f>IFERROR(Mecze[[#This Row],[BR]]/Mecze[[#This Row],[ST]],0)</f>
        <v>0</v>
      </c>
      <c r="AB2594">
        <f>ROUND(Mecze[[#This Row],[PD]]*Mecze[[#This Row],[%PC]],0)</f>
        <v>5</v>
      </c>
      <c r="AC2594">
        <f>ROUND(Mecze[[#This Row],[OD]]*Mecze[[#This Row],[%OU]],0)</f>
        <v>5</v>
      </c>
      <c r="AD2594" s="36" t="s">
        <v>47</v>
      </c>
      <c r="AE2594" s="36">
        <v>145</v>
      </c>
      <c r="AF2594" s="71">
        <v>3.69</v>
      </c>
      <c r="AG2594" s="37">
        <v>0</v>
      </c>
      <c r="AH2594" s="37">
        <v>0</v>
      </c>
      <c r="AI2594" s="37">
        <v>97</v>
      </c>
      <c r="AJ2594" s="37">
        <v>10</v>
      </c>
      <c r="AK2594" s="37" t="str">
        <f>VLOOKUP(Mecze[[#This Row],[Match ID]],Meczusie[Mecz]:Meczusie[RodzajMeczu],2,FALSE)</f>
        <v>Liga</v>
      </c>
    </row>
    <row r="2595" spans="1:37" x14ac:dyDescent="0.25">
      <c r="A2595" s="76">
        <v>2</v>
      </c>
      <c r="B2595" s="3" t="s">
        <v>240</v>
      </c>
      <c r="C2595" s="2" t="s">
        <v>157</v>
      </c>
      <c r="D2595" s="1">
        <v>0</v>
      </c>
      <c r="E2595" s="1">
        <v>0</v>
      </c>
      <c r="F2595" s="1">
        <v>0</v>
      </c>
      <c r="G2595" s="1">
        <v>2</v>
      </c>
      <c r="H2595" s="4">
        <v>1</v>
      </c>
      <c r="I2595" s="1">
        <v>0</v>
      </c>
      <c r="J2595" s="4"/>
      <c r="K2595" s="1">
        <v>0</v>
      </c>
      <c r="L2595" s="1">
        <v>1</v>
      </c>
      <c r="M2595" s="32">
        <f>IF(Mecze[[#This Row],[PR]]=0,0,Mecze[[#This Row],[PR]]/Mecze[[#This Row],[CZAS]])</f>
        <v>1.0309278350515464E-2</v>
      </c>
      <c r="N2595" s="32">
        <f>IF(Mecze[[#This Row],[OU]]=0,0,Mecze[[#This Row],[OU]]/Mecze[[#This Row],[CZAS]])</f>
        <v>0</v>
      </c>
      <c r="O2595" s="32">
        <f>IF(Mecze[[#This Row],[PC]]=0,0,Mecze[[#This Row],[PC]]/Mecze[[#This Row],[CZAS]])</f>
        <v>2.0618556701030927E-2</v>
      </c>
      <c r="P2595" s="32">
        <f>IF(Mecze[[#This Row],[SC]]=0,0,Mecze[[#This Row],[SC]]/Mecze[[#This Row],[CZAS]])</f>
        <v>0</v>
      </c>
      <c r="Q2595" s="32">
        <f>IF(Mecze[[#This Row],[OB]]=0,0,Mecze[[#This Row],[OB]]/Mecze[[#This Row],[CZAS]])</f>
        <v>0</v>
      </c>
      <c r="R2595" s="32">
        <f>IF(Mecze[[#This Row],[BR]]=0,0,Mecze[[#This Row],[BR]]/Mecze[[#This Row],[CZAS]])</f>
        <v>0</v>
      </c>
      <c r="S2595" s="44">
        <f>IF(Mecze[[#This Row],[Role]]="BR",SUMPRODUCT(Mecze[[#This Row],[/PR:90]:[/BR:90]],Brudnopis!$E$23:$J$23),0)</f>
        <v>0</v>
      </c>
      <c r="T2595" s="44">
        <f>IF(Mecze[[#This Row],[Role]]&lt;&gt;"BR",SUMPRODUCT(Mecze[[#This Row],[/PR:90]:[/BR:90]],Brudnopis!$E$24:$J$24),0)</f>
        <v>3.0927835051546393E-2</v>
      </c>
      <c r="U2595" s="44">
        <f>IF(Mecze[[#This Row],[Role]]&lt;&gt;"BR",SUMPRODUCT(Mecze[[#This Row],[/PR:90]:[/BR:90]],Brudnopis!$E$25:$J$25),0)</f>
        <v>4.1237113402061855E-2</v>
      </c>
      <c r="V2595" s="44">
        <f>IF(Mecze[[#This Row],[Role]]&lt;&gt;"BR",SUMPRODUCT(Mecze[[#This Row],[/PR:90]:[/BR:90]],Brudnopis!$E$26:$J$26),0)</f>
        <v>3.0927835051546393E-2</v>
      </c>
      <c r="W2595" s="44">
        <f>IF(Mecze[[#This Row],[Role]]&lt;&gt;"BR",SUMPRODUCT(Mecze[[#This Row],[/PR:90]:[/BR:90]],Brudnopis!$E$27:$J$27),0)</f>
        <v>3.8659793814432991E-2</v>
      </c>
      <c r="X2595" s="44">
        <f>IF(Mecze[[#This Row],[Role]]&lt;&gt;"BR",SUMPRODUCT(Mecze[[#This Row],[/PR:90]:[/BR:90]],Brudnopis!$E$28:$J$28),0)</f>
        <v>2.0618556701030927E-2</v>
      </c>
      <c r="Y2595" s="35">
        <f>IF(Mecze[[#This Row],[Role]]="BR",Mecze[[#This Row],[/OB:90]]+Mecze[[#This Row],[/PC:90]],SUM(Mecze[[#This Row],[/PR:90]:[/BR:90]]))</f>
        <v>3.0927835051546393E-2</v>
      </c>
      <c r="Z2595" s="35">
        <f>IF(Mecze[[#This Row],[KC]]=0,SUM(Mecze[[#This Row],[/BRI]:[/NPI]]),SUM(Mecze[[#This Row],[/BRI]:[/NPI]])*0.6)</f>
        <v>0.16237113402061856</v>
      </c>
      <c r="AA2595" s="10">
        <f>IFERROR(Mecze[[#This Row],[BR]]/Mecze[[#This Row],[ST]],0)</f>
        <v>0</v>
      </c>
      <c r="AB2595">
        <f>ROUND(Mecze[[#This Row],[PD]]*Mecze[[#This Row],[%PC]],0)</f>
        <v>2</v>
      </c>
      <c r="AC2595">
        <f>ROUND(Mecze[[#This Row],[OD]]*Mecze[[#This Row],[%OU]],0)</f>
        <v>0</v>
      </c>
      <c r="AD2595" s="36" t="s">
        <v>175</v>
      </c>
      <c r="AE2595" s="36">
        <v>145</v>
      </c>
      <c r="AF2595" s="71">
        <v>1.8</v>
      </c>
      <c r="AG2595" s="37">
        <v>0</v>
      </c>
      <c r="AH2595" s="37">
        <v>0</v>
      </c>
      <c r="AI2595" s="37">
        <v>97</v>
      </c>
      <c r="AJ2595" s="37">
        <v>10</v>
      </c>
      <c r="AK2595" s="37" t="str">
        <f>VLOOKUP(Mecze[[#This Row],[Match ID]],Meczusie[Mecz]:Meczusie[RodzajMeczu],2,FALSE)</f>
        <v>Liga</v>
      </c>
    </row>
    <row r="2596" spans="1:37" x14ac:dyDescent="0.25">
      <c r="A2596" s="76">
        <v>15</v>
      </c>
      <c r="B2596" s="3" t="s">
        <v>504</v>
      </c>
      <c r="C2596" s="2" t="s">
        <v>157</v>
      </c>
      <c r="D2596" s="1">
        <v>0</v>
      </c>
      <c r="E2596" s="1">
        <v>0</v>
      </c>
      <c r="F2596" s="1">
        <v>0</v>
      </c>
      <c r="G2596" s="1">
        <v>7</v>
      </c>
      <c r="H2596" s="4">
        <v>0.71</v>
      </c>
      <c r="I2596" s="1">
        <v>12</v>
      </c>
      <c r="J2596" s="4">
        <v>0.33</v>
      </c>
      <c r="K2596" s="1">
        <v>0</v>
      </c>
      <c r="L2596" s="1">
        <v>3</v>
      </c>
      <c r="M2596" s="32">
        <f>IF(Mecze[[#This Row],[PR]]=0,0,Mecze[[#This Row],[PR]]/Mecze[[#This Row],[CZAS]])</f>
        <v>3.0927835051546393E-2</v>
      </c>
      <c r="N2596" s="32">
        <f>IF(Mecze[[#This Row],[OU]]=0,0,Mecze[[#This Row],[OU]]/Mecze[[#This Row],[CZAS]])</f>
        <v>4.1237113402061855E-2</v>
      </c>
      <c r="O2596" s="32">
        <f>IF(Mecze[[#This Row],[PC]]=0,0,Mecze[[#This Row],[PC]]/Mecze[[#This Row],[CZAS]])</f>
        <v>5.1546391752577317E-2</v>
      </c>
      <c r="P2596" s="32">
        <f>IF(Mecze[[#This Row],[SC]]=0,0,Mecze[[#This Row],[SC]]/Mecze[[#This Row],[CZAS]])</f>
        <v>0</v>
      </c>
      <c r="Q2596" s="32">
        <f>IF(Mecze[[#This Row],[OB]]=0,0,Mecze[[#This Row],[OB]]/Mecze[[#This Row],[CZAS]])</f>
        <v>0</v>
      </c>
      <c r="R2596" s="32">
        <f>IF(Mecze[[#This Row],[BR]]=0,0,Mecze[[#This Row],[BR]]/Mecze[[#This Row],[CZAS]])</f>
        <v>0</v>
      </c>
      <c r="S2596" s="44">
        <f>IF(Mecze[[#This Row],[Role]]="BR",SUMPRODUCT(Mecze[[#This Row],[/PR:90]:[/BR:90]],Brudnopis!$E$23:$J$23),0)</f>
        <v>0</v>
      </c>
      <c r="T2596" s="44">
        <f>IF(Mecze[[#This Row],[Role]]&lt;&gt;"BR",SUMPRODUCT(Mecze[[#This Row],[/PR:90]:[/BR:90]],Brudnopis!$E$24:$J$24),0)</f>
        <v>0.14432989690721648</v>
      </c>
      <c r="U2596" s="44">
        <f>IF(Mecze[[#This Row],[Role]]&lt;&gt;"BR",SUMPRODUCT(Mecze[[#This Row],[/PR:90]:[/BR:90]],Brudnopis!$E$25:$J$25),0)</f>
        <v>0.14948453608247422</v>
      </c>
      <c r="V2596" s="44">
        <f>IF(Mecze[[#This Row],[Role]]&lt;&gt;"BR",SUMPRODUCT(Mecze[[#This Row],[/PR:90]:[/BR:90]],Brudnopis!$E$26:$J$26),0)</f>
        <v>0.12371134020618556</v>
      </c>
      <c r="W2596" s="44">
        <f>IF(Mecze[[#This Row],[Role]]&lt;&gt;"BR",SUMPRODUCT(Mecze[[#This Row],[/PR:90]:[/BR:90]],Brudnopis!$E$27:$J$27),0)</f>
        <v>0.13144329896907217</v>
      </c>
      <c r="X2596" s="44">
        <f>IF(Mecze[[#This Row],[Role]]&lt;&gt;"BR",SUMPRODUCT(Mecze[[#This Row],[/PR:90]:[/BR:90]],Brudnopis!$E$28:$J$28),0)</f>
        <v>5.1546391752577317E-2</v>
      </c>
      <c r="Y2596" s="35">
        <f>IF(Mecze[[#This Row],[Role]]="BR",Mecze[[#This Row],[/OB:90]]+Mecze[[#This Row],[/PC:90]],SUM(Mecze[[#This Row],[/PR:90]:[/BR:90]]))</f>
        <v>0.12371134020618556</v>
      </c>
      <c r="Z2596" s="35">
        <f>IF(Mecze[[#This Row],[KC]]=0,SUM(Mecze[[#This Row],[/BRI]:[/NPI]]),SUM(Mecze[[#This Row],[/BRI]:[/NPI]])*0.6)</f>
        <v>0.60051546391752575</v>
      </c>
      <c r="AA2596" s="10">
        <f>IFERROR(Mecze[[#This Row],[BR]]/Mecze[[#This Row],[ST]],0)</f>
        <v>0</v>
      </c>
      <c r="AB2596">
        <f>ROUND(Mecze[[#This Row],[PD]]*Mecze[[#This Row],[%PC]],0)</f>
        <v>5</v>
      </c>
      <c r="AC2596">
        <f>ROUND(Mecze[[#This Row],[OD]]*Mecze[[#This Row],[%OU]],0)</f>
        <v>4</v>
      </c>
      <c r="AD2596" s="36" t="s">
        <v>174</v>
      </c>
      <c r="AE2596" s="36">
        <v>145</v>
      </c>
      <c r="AF2596" s="71">
        <v>2.2200000000000002</v>
      </c>
      <c r="AG2596" s="37">
        <v>0</v>
      </c>
      <c r="AH2596" s="37">
        <v>0</v>
      </c>
      <c r="AI2596" s="37">
        <v>97</v>
      </c>
      <c r="AJ2596" s="37">
        <v>10</v>
      </c>
      <c r="AK2596" s="37" t="str">
        <f>VLOOKUP(Mecze[[#This Row],[Match ID]],Meczusie[Mecz]:Meczusie[RodzajMeczu],2,FALSE)</f>
        <v>Liga</v>
      </c>
    </row>
    <row r="2597" spans="1:37" x14ac:dyDescent="0.25">
      <c r="A2597" s="76">
        <v>13</v>
      </c>
      <c r="B2597" s="3" t="s">
        <v>403</v>
      </c>
      <c r="C2597" s="2" t="s">
        <v>160</v>
      </c>
      <c r="D2597" s="1">
        <v>0</v>
      </c>
      <c r="E2597" s="1">
        <v>1</v>
      </c>
      <c r="F2597" s="1">
        <v>1</v>
      </c>
      <c r="G2597" s="1">
        <v>12</v>
      </c>
      <c r="H2597" s="4">
        <v>0.5</v>
      </c>
      <c r="I2597" s="1">
        <v>9</v>
      </c>
      <c r="J2597" s="4">
        <v>0.67</v>
      </c>
      <c r="K2597" s="1">
        <v>0</v>
      </c>
      <c r="L2597" s="1">
        <v>3</v>
      </c>
      <c r="M2597" s="32">
        <f>IF(Mecze[[#This Row],[PR]]=0,0,Mecze[[#This Row],[PR]]/Mecze[[#This Row],[CZAS]])</f>
        <v>3.0927835051546393E-2</v>
      </c>
      <c r="N2597" s="32">
        <f>IF(Mecze[[#This Row],[OU]]=0,0,Mecze[[#This Row],[OU]]/Mecze[[#This Row],[CZAS]])</f>
        <v>6.1855670103092786E-2</v>
      </c>
      <c r="O2597" s="32">
        <f>IF(Mecze[[#This Row],[PC]]=0,0,Mecze[[#This Row],[PC]]/Mecze[[#This Row],[CZAS]])</f>
        <v>6.1855670103092786E-2</v>
      </c>
      <c r="P2597" s="32">
        <f>IF(Mecze[[#This Row],[SC]]=0,0,Mecze[[#This Row],[SC]]/Mecze[[#This Row],[CZAS]])</f>
        <v>1.0309278350515464E-2</v>
      </c>
      <c r="Q2597" s="32">
        <f>IF(Mecze[[#This Row],[OB]]=0,0,Mecze[[#This Row],[OB]]/Mecze[[#This Row],[CZAS]])</f>
        <v>0</v>
      </c>
      <c r="R2597" s="32">
        <f>IF(Mecze[[#This Row],[BR]]=0,0,Mecze[[#This Row],[BR]]/Mecze[[#This Row],[CZAS]])</f>
        <v>0</v>
      </c>
      <c r="S2597" s="44">
        <f>IF(Mecze[[#This Row],[Role]]="BR",SUMPRODUCT(Mecze[[#This Row],[/PR:90]:[/BR:90]],Brudnopis!$E$23:$J$23),0)</f>
        <v>0</v>
      </c>
      <c r="T2597" s="44">
        <f>IF(Mecze[[#This Row],[Role]]&lt;&gt;"BR",SUMPRODUCT(Mecze[[#This Row],[/PR:90]:[/BR:90]],Brudnopis!$E$24:$J$24),0)</f>
        <v>0.19587628865979381</v>
      </c>
      <c r="U2597" s="44">
        <f>IF(Mecze[[#This Row],[Role]]&lt;&gt;"BR",SUMPRODUCT(Mecze[[#This Row],[/PR:90]:[/BR:90]],Brudnopis!$E$25:$J$25),0)</f>
        <v>0.19587628865979381</v>
      </c>
      <c r="V2597" s="44">
        <f>IF(Mecze[[#This Row],[Role]]&lt;&gt;"BR",SUMPRODUCT(Mecze[[#This Row],[/PR:90]:[/BR:90]],Brudnopis!$E$26:$J$26),0)</f>
        <v>0.16494845360824742</v>
      </c>
      <c r="W2597" s="44">
        <f>IF(Mecze[[#This Row],[Role]]&lt;&gt;"BR",SUMPRODUCT(Mecze[[#This Row],[/PR:90]:[/BR:90]],Brudnopis!$E$27:$J$27),0)</f>
        <v>0.17268041237113402</v>
      </c>
      <c r="X2597" s="44">
        <f>IF(Mecze[[#This Row],[Role]]&lt;&gt;"BR",SUMPRODUCT(Mecze[[#This Row],[/PR:90]:[/BR:90]],Brudnopis!$E$28:$J$28),0)</f>
        <v>8.247422680412371E-2</v>
      </c>
      <c r="Y2597" s="35">
        <f>IF(Mecze[[#This Row],[Role]]="BR",Mecze[[#This Row],[/OB:90]]+Mecze[[#This Row],[/PC:90]],SUM(Mecze[[#This Row],[/PR:90]:[/BR:90]]))</f>
        <v>0.16494845360824742</v>
      </c>
      <c r="Z2597" s="35">
        <f>IF(Mecze[[#This Row],[KC]]=0,SUM(Mecze[[#This Row],[/BRI]:[/NPI]]),SUM(Mecze[[#This Row],[/BRI]:[/NPI]])*0.6)</f>
        <v>0.8118556701030929</v>
      </c>
      <c r="AA2597" s="10">
        <f>IFERROR(Mecze[[#This Row],[BR]]/Mecze[[#This Row],[ST]],0)</f>
        <v>0</v>
      </c>
      <c r="AB2597">
        <f>ROUND(Mecze[[#This Row],[PD]]*Mecze[[#This Row],[%PC]],0)</f>
        <v>6</v>
      </c>
      <c r="AC2597">
        <f>ROUND(Mecze[[#This Row],[OD]]*Mecze[[#This Row],[%OU]],0)</f>
        <v>6</v>
      </c>
      <c r="AD2597" s="36" t="s">
        <v>41</v>
      </c>
      <c r="AE2597" s="36">
        <v>145</v>
      </c>
      <c r="AF2597" s="71">
        <v>3.66</v>
      </c>
      <c r="AG2597" s="37">
        <v>1</v>
      </c>
      <c r="AH2597" s="37">
        <v>0</v>
      </c>
      <c r="AI2597" s="37">
        <v>97</v>
      </c>
      <c r="AJ2597" s="37">
        <v>10</v>
      </c>
      <c r="AK2597" s="37" t="str">
        <f>VLOOKUP(Mecze[[#This Row],[Match ID]],Meczusie[Mecz]:Meczusie[RodzajMeczu],2,FALSE)</f>
        <v>Liga</v>
      </c>
    </row>
    <row r="2598" spans="1:37" x14ac:dyDescent="0.25">
      <c r="A2598" s="76">
        <v>5</v>
      </c>
      <c r="B2598" s="3" t="s">
        <v>242</v>
      </c>
      <c r="C2598" s="2" t="s">
        <v>160</v>
      </c>
      <c r="D2598" s="1">
        <v>0</v>
      </c>
      <c r="E2598" s="1">
        <v>0</v>
      </c>
      <c r="F2598" s="1">
        <v>0</v>
      </c>
      <c r="G2598" s="1">
        <v>4</v>
      </c>
      <c r="H2598" s="4">
        <v>0.5</v>
      </c>
      <c r="I2598" s="1">
        <v>2</v>
      </c>
      <c r="J2598" s="4">
        <v>0.5</v>
      </c>
      <c r="K2598" s="1">
        <v>0</v>
      </c>
      <c r="L2598" s="1">
        <v>0</v>
      </c>
      <c r="M2598" s="32">
        <f>IF(Mecze[[#This Row],[PR]]=0,0,Mecze[[#This Row],[PR]]/Mecze[[#This Row],[CZAS]])</f>
        <v>0</v>
      </c>
      <c r="N2598" s="32">
        <f>IF(Mecze[[#This Row],[OU]]=0,0,Mecze[[#This Row],[OU]]/Mecze[[#This Row],[CZAS]])</f>
        <v>1.0309278350515464E-2</v>
      </c>
      <c r="O2598" s="32">
        <f>IF(Mecze[[#This Row],[PC]]=0,0,Mecze[[#This Row],[PC]]/Mecze[[#This Row],[CZAS]])</f>
        <v>2.0618556701030927E-2</v>
      </c>
      <c r="P2598" s="32">
        <f>IF(Mecze[[#This Row],[SC]]=0,0,Mecze[[#This Row],[SC]]/Mecze[[#This Row],[CZAS]])</f>
        <v>0</v>
      </c>
      <c r="Q2598" s="32">
        <f>IF(Mecze[[#This Row],[OB]]=0,0,Mecze[[#This Row],[OB]]/Mecze[[#This Row],[CZAS]])</f>
        <v>0</v>
      </c>
      <c r="R2598" s="32">
        <f>IF(Mecze[[#This Row],[BR]]=0,0,Mecze[[#This Row],[BR]]/Mecze[[#This Row],[CZAS]])</f>
        <v>0</v>
      </c>
      <c r="S2598" s="44">
        <f>IF(Mecze[[#This Row],[Role]]="BR",SUMPRODUCT(Mecze[[#This Row],[/PR:90]:[/BR:90]],Brudnopis!$E$23:$J$23),0)</f>
        <v>0</v>
      </c>
      <c r="T2598" s="44">
        <f>IF(Mecze[[#This Row],[Role]]&lt;&gt;"BR",SUMPRODUCT(Mecze[[#This Row],[/PR:90]:[/BR:90]],Brudnopis!$E$24:$J$24),0)</f>
        <v>3.608247422680412E-2</v>
      </c>
      <c r="U2598" s="44">
        <f>IF(Mecze[[#This Row],[Role]]&lt;&gt;"BR",SUMPRODUCT(Mecze[[#This Row],[/PR:90]:[/BR:90]],Brudnopis!$E$25:$J$25),0)</f>
        <v>4.1237113402061855E-2</v>
      </c>
      <c r="V2598" s="44">
        <f>IF(Mecze[[#This Row],[Role]]&lt;&gt;"BR",SUMPRODUCT(Mecze[[#This Row],[/PR:90]:[/BR:90]],Brudnopis!$E$26:$J$26),0)</f>
        <v>3.0927835051546393E-2</v>
      </c>
      <c r="W2598" s="44">
        <f>IF(Mecze[[#This Row],[Role]]&lt;&gt;"BR",SUMPRODUCT(Mecze[[#This Row],[/PR:90]:[/BR:90]],Brudnopis!$E$27:$J$27),0)</f>
        <v>3.8659793814432991E-2</v>
      </c>
      <c r="X2598" s="44">
        <f>IF(Mecze[[#This Row],[Role]]&lt;&gt;"BR",SUMPRODUCT(Mecze[[#This Row],[/PR:90]:[/BR:90]],Brudnopis!$E$28:$J$28),0)</f>
        <v>2.0618556701030927E-2</v>
      </c>
      <c r="Y2598" s="35">
        <f>IF(Mecze[[#This Row],[Role]]="BR",Mecze[[#This Row],[/OB:90]]+Mecze[[#This Row],[/PC:90]],SUM(Mecze[[#This Row],[/PR:90]:[/BR:90]]))</f>
        <v>3.0927835051546393E-2</v>
      </c>
      <c r="Z2598" s="35">
        <f>IF(Mecze[[#This Row],[KC]]=0,SUM(Mecze[[#This Row],[/BRI]:[/NPI]]),SUM(Mecze[[#This Row],[/BRI]:[/NPI]])*0.6)</f>
        <v>0.1675257731958763</v>
      </c>
      <c r="AA2598" s="10">
        <f>IFERROR(Mecze[[#This Row],[BR]]/Mecze[[#This Row],[ST]],0)</f>
        <v>0</v>
      </c>
      <c r="AB2598">
        <f>ROUND(Mecze[[#This Row],[PD]]*Mecze[[#This Row],[%PC]],0)</f>
        <v>2</v>
      </c>
      <c r="AC2598">
        <f>ROUND(Mecze[[#This Row],[OD]]*Mecze[[#This Row],[%OU]],0)</f>
        <v>1</v>
      </c>
      <c r="AD2598" s="36" t="s">
        <v>41</v>
      </c>
      <c r="AE2598" s="36">
        <v>145</v>
      </c>
      <c r="AF2598" s="71">
        <v>2.7</v>
      </c>
      <c r="AG2598" s="37">
        <v>0</v>
      </c>
      <c r="AH2598" s="37">
        <v>0</v>
      </c>
      <c r="AI2598" s="37">
        <v>97</v>
      </c>
      <c r="AJ2598" s="37">
        <v>10</v>
      </c>
      <c r="AK2598" s="37" t="str">
        <f>VLOOKUP(Mecze[[#This Row],[Match ID]],Meczusie[Mecz]:Meczusie[RodzajMeczu],2,FALSE)</f>
        <v>Liga</v>
      </c>
    </row>
    <row r="2599" spans="1:37" x14ac:dyDescent="0.25">
      <c r="A2599" s="76">
        <v>11</v>
      </c>
      <c r="B2599" s="3" t="s">
        <v>243</v>
      </c>
      <c r="C2599" s="2" t="s">
        <v>160</v>
      </c>
      <c r="D2599" s="1">
        <v>0</v>
      </c>
      <c r="E2599" s="1">
        <v>0</v>
      </c>
      <c r="F2599" s="1">
        <v>0</v>
      </c>
      <c r="G2599" s="1">
        <v>13</v>
      </c>
      <c r="H2599" s="4">
        <v>0.69</v>
      </c>
      <c r="I2599" s="1">
        <v>18</v>
      </c>
      <c r="J2599" s="4">
        <v>0.28000000000000003</v>
      </c>
      <c r="K2599" s="1">
        <v>0</v>
      </c>
      <c r="L2599" s="1">
        <v>2</v>
      </c>
      <c r="M2599" s="32">
        <f>IF(Mecze[[#This Row],[PR]]=0,0,Mecze[[#This Row],[PR]]/Mecze[[#This Row],[CZAS]])</f>
        <v>2.0618556701030927E-2</v>
      </c>
      <c r="N2599" s="32">
        <f>IF(Mecze[[#This Row],[OU]]=0,0,Mecze[[#This Row],[OU]]/Mecze[[#This Row],[CZAS]])</f>
        <v>5.1546391752577317E-2</v>
      </c>
      <c r="O2599" s="32">
        <f>IF(Mecze[[#This Row],[PC]]=0,0,Mecze[[#This Row],[PC]]/Mecze[[#This Row],[CZAS]])</f>
        <v>9.2783505154639179E-2</v>
      </c>
      <c r="P2599" s="32">
        <f>IF(Mecze[[#This Row],[SC]]=0,0,Mecze[[#This Row],[SC]]/Mecze[[#This Row],[CZAS]])</f>
        <v>0</v>
      </c>
      <c r="Q2599" s="32">
        <f>IF(Mecze[[#This Row],[OB]]=0,0,Mecze[[#This Row],[OB]]/Mecze[[#This Row],[CZAS]])</f>
        <v>0</v>
      </c>
      <c r="R2599" s="32">
        <f>IF(Mecze[[#This Row],[BR]]=0,0,Mecze[[#This Row],[BR]]/Mecze[[#This Row],[CZAS]])</f>
        <v>0</v>
      </c>
      <c r="S2599" s="44">
        <f>IF(Mecze[[#This Row],[Role]]="BR",SUMPRODUCT(Mecze[[#This Row],[/PR:90]:[/BR:90]],Brudnopis!$E$23:$J$23),0)</f>
        <v>0</v>
      </c>
      <c r="T2599" s="44">
        <f>IF(Mecze[[#This Row],[Role]]&lt;&gt;"BR",SUMPRODUCT(Mecze[[#This Row],[/PR:90]:[/BR:90]],Brudnopis!$E$24:$J$24),0)</f>
        <v>0.19072164948453607</v>
      </c>
      <c r="U2599" s="44">
        <f>IF(Mecze[[#This Row],[Role]]&lt;&gt;"BR",SUMPRODUCT(Mecze[[#This Row],[/PR:90]:[/BR:90]],Brudnopis!$E$25:$J$25),0)</f>
        <v>0.21134020618556701</v>
      </c>
      <c r="V2599" s="44">
        <f>IF(Mecze[[#This Row],[Role]]&lt;&gt;"BR",SUMPRODUCT(Mecze[[#This Row],[/PR:90]:[/BR:90]],Brudnopis!$E$26:$J$26),0)</f>
        <v>0.16494845360824742</v>
      </c>
      <c r="W2599" s="44">
        <f>IF(Mecze[[#This Row],[Role]]&lt;&gt;"BR",SUMPRODUCT(Mecze[[#This Row],[/PR:90]:[/BR:90]],Brudnopis!$E$27:$J$27),0)</f>
        <v>0.19329896907216496</v>
      </c>
      <c r="X2599" s="44">
        <f>IF(Mecze[[#This Row],[Role]]&lt;&gt;"BR",SUMPRODUCT(Mecze[[#This Row],[/PR:90]:[/BR:90]],Brudnopis!$E$28:$J$28),0)</f>
        <v>9.2783505154639179E-2</v>
      </c>
      <c r="Y2599" s="35">
        <f>IF(Mecze[[#This Row],[Role]]="BR",Mecze[[#This Row],[/OB:90]]+Mecze[[#This Row],[/PC:90]],SUM(Mecze[[#This Row],[/PR:90]:[/BR:90]]))</f>
        <v>0.16494845360824742</v>
      </c>
      <c r="Z2599" s="35">
        <f>IF(Mecze[[#This Row],[KC]]=0,SUM(Mecze[[#This Row],[/BRI]:[/NPI]]),SUM(Mecze[[#This Row],[/BRI]:[/NPI]])*0.6)</f>
        <v>0.85309278350515461</v>
      </c>
      <c r="AA2599" s="10">
        <f>IFERROR(Mecze[[#This Row],[BR]]/Mecze[[#This Row],[ST]],0)</f>
        <v>0</v>
      </c>
      <c r="AB2599">
        <f>ROUND(Mecze[[#This Row],[PD]]*Mecze[[#This Row],[%PC]],0)</f>
        <v>9</v>
      </c>
      <c r="AC2599">
        <f>ROUND(Mecze[[#This Row],[OD]]*Mecze[[#This Row],[%OU]],0)</f>
        <v>5</v>
      </c>
      <c r="AD2599" s="36" t="s">
        <v>67</v>
      </c>
      <c r="AE2599" s="36">
        <v>145</v>
      </c>
      <c r="AF2599" s="71">
        <v>4.33</v>
      </c>
      <c r="AG2599" s="37">
        <v>0</v>
      </c>
      <c r="AH2599" s="37">
        <v>0</v>
      </c>
      <c r="AI2599" s="37">
        <v>97</v>
      </c>
      <c r="AJ2599" s="37">
        <v>10</v>
      </c>
      <c r="AK2599" s="37" t="str">
        <f>VLOOKUP(Mecze[[#This Row],[Match ID]],Meczusie[Mecz]:Meczusie[RodzajMeczu],2,FALSE)</f>
        <v>Liga</v>
      </c>
    </row>
    <row r="2600" spans="1:37" x14ac:dyDescent="0.25">
      <c r="A2600" s="76">
        <v>14</v>
      </c>
      <c r="B2600" s="3" t="s">
        <v>244</v>
      </c>
      <c r="C2600" s="2" t="s">
        <v>165</v>
      </c>
      <c r="D2600" s="1">
        <v>0</v>
      </c>
      <c r="E2600" s="1">
        <v>1</v>
      </c>
      <c r="F2600" s="1">
        <v>0</v>
      </c>
      <c r="G2600" s="1">
        <v>6</v>
      </c>
      <c r="H2600" s="4">
        <v>0.33</v>
      </c>
      <c r="I2600" s="1">
        <v>4</v>
      </c>
      <c r="J2600" s="4">
        <v>0.25</v>
      </c>
      <c r="K2600" s="1">
        <v>0</v>
      </c>
      <c r="L2600" s="1">
        <v>2</v>
      </c>
      <c r="M2600" s="32">
        <f>IF(Mecze[[#This Row],[PR]]=0,0,Mecze[[#This Row],[PR]]/Mecze[[#This Row],[CZAS]])</f>
        <v>2.0618556701030927E-2</v>
      </c>
      <c r="N2600" s="32">
        <f>IF(Mecze[[#This Row],[OU]]=0,0,Mecze[[#This Row],[OU]]/Mecze[[#This Row],[CZAS]])</f>
        <v>1.0309278350515464E-2</v>
      </c>
      <c r="O2600" s="32">
        <f>IF(Mecze[[#This Row],[PC]]=0,0,Mecze[[#This Row],[PC]]/Mecze[[#This Row],[CZAS]])</f>
        <v>2.0618556701030927E-2</v>
      </c>
      <c r="P2600" s="32">
        <f>IF(Mecze[[#This Row],[SC]]=0,0,Mecze[[#This Row],[SC]]/Mecze[[#This Row],[CZAS]])</f>
        <v>0</v>
      </c>
      <c r="Q2600" s="32">
        <f>IF(Mecze[[#This Row],[OB]]=0,0,Mecze[[#This Row],[OB]]/Mecze[[#This Row],[CZAS]])</f>
        <v>0</v>
      </c>
      <c r="R2600" s="32">
        <f>IF(Mecze[[#This Row],[BR]]=0,0,Mecze[[#This Row],[BR]]/Mecze[[#This Row],[CZAS]])</f>
        <v>0</v>
      </c>
      <c r="S2600" s="44">
        <f>IF(Mecze[[#This Row],[Role]]="BR",SUMPRODUCT(Mecze[[#This Row],[/PR:90]:[/BR:90]],Brudnopis!$E$23:$J$23),0)</f>
        <v>0</v>
      </c>
      <c r="T2600" s="44">
        <f>IF(Mecze[[#This Row],[Role]]&lt;&gt;"BR",SUMPRODUCT(Mecze[[#This Row],[/PR:90]:[/BR:90]],Brudnopis!$E$24:$J$24),0)</f>
        <v>5.6701030927835044E-2</v>
      </c>
      <c r="U2600" s="44">
        <f>IF(Mecze[[#This Row],[Role]]&lt;&gt;"BR",SUMPRODUCT(Mecze[[#This Row],[/PR:90]:[/BR:90]],Brudnopis!$E$25:$J$25),0)</f>
        <v>6.1855670103092786E-2</v>
      </c>
      <c r="V2600" s="44">
        <f>IF(Mecze[[#This Row],[Role]]&lt;&gt;"BR",SUMPRODUCT(Mecze[[#This Row],[/PR:90]:[/BR:90]],Brudnopis!$E$26:$J$26),0)</f>
        <v>5.1546391752577317E-2</v>
      </c>
      <c r="W2600" s="44">
        <f>IF(Mecze[[#This Row],[Role]]&lt;&gt;"BR",SUMPRODUCT(Mecze[[#This Row],[/PR:90]:[/BR:90]],Brudnopis!$E$27:$J$27),0)</f>
        <v>5.4123711340206188E-2</v>
      </c>
      <c r="X2600" s="44">
        <f>IF(Mecze[[#This Row],[Role]]&lt;&gt;"BR",SUMPRODUCT(Mecze[[#This Row],[/PR:90]:[/BR:90]],Brudnopis!$E$28:$J$28),0)</f>
        <v>2.0618556701030927E-2</v>
      </c>
      <c r="Y2600" s="35">
        <f>IF(Mecze[[#This Row],[Role]]="BR",Mecze[[#This Row],[/OB:90]]+Mecze[[#This Row],[/PC:90]],SUM(Mecze[[#This Row],[/PR:90]:[/BR:90]]))</f>
        <v>5.1546391752577317E-2</v>
      </c>
      <c r="Z2600" s="35">
        <f>IF(Mecze[[#This Row],[KC]]=0,SUM(Mecze[[#This Row],[/BRI]:[/NPI]]),SUM(Mecze[[#This Row],[/BRI]:[/NPI]])*0.6)</f>
        <v>0.24484536082474229</v>
      </c>
      <c r="AA2600" s="10">
        <f>IFERROR(Mecze[[#This Row],[BR]]/Mecze[[#This Row],[ST]],0)</f>
        <v>0</v>
      </c>
      <c r="AB2600">
        <f>ROUND(Mecze[[#This Row],[PD]]*Mecze[[#This Row],[%PC]],0)</f>
        <v>2</v>
      </c>
      <c r="AC2600">
        <f>ROUND(Mecze[[#This Row],[OD]]*Mecze[[#This Row],[%OU]],0)</f>
        <v>1</v>
      </c>
      <c r="AD2600" s="36" t="s">
        <v>46</v>
      </c>
      <c r="AE2600" s="36">
        <v>145</v>
      </c>
      <c r="AF2600" s="71">
        <v>2.71</v>
      </c>
      <c r="AG2600" s="37">
        <v>0</v>
      </c>
      <c r="AH2600" s="37">
        <v>0</v>
      </c>
      <c r="AI2600" s="37">
        <v>97</v>
      </c>
      <c r="AJ2600" s="37">
        <v>10</v>
      </c>
      <c r="AK2600" s="37" t="str">
        <f>VLOOKUP(Mecze[[#This Row],[Match ID]],Meczusie[Mecz]:Meczusie[RodzajMeczu],2,FALSE)</f>
        <v>Liga</v>
      </c>
    </row>
    <row r="2601" spans="1:37" x14ac:dyDescent="0.25">
      <c r="A2601" s="76">
        <v>9</v>
      </c>
      <c r="B2601" s="3" t="s">
        <v>451</v>
      </c>
      <c r="C2601" s="2" t="s">
        <v>165</v>
      </c>
      <c r="D2601" s="1">
        <v>0</v>
      </c>
      <c r="E2601" s="1">
        <v>1</v>
      </c>
      <c r="F2601" s="1">
        <v>1</v>
      </c>
      <c r="G2601" s="1">
        <v>3</v>
      </c>
      <c r="H2601" s="4">
        <v>0</v>
      </c>
      <c r="I2601" s="1">
        <v>1</v>
      </c>
      <c r="J2601" s="4">
        <v>0</v>
      </c>
      <c r="K2601" s="1">
        <v>0</v>
      </c>
      <c r="L2601" s="1">
        <v>0</v>
      </c>
      <c r="M2601" s="32">
        <f>IF(Mecze[[#This Row],[PR]]=0,0,Mecze[[#This Row],[PR]]/Mecze[[#This Row],[CZAS]])</f>
        <v>0</v>
      </c>
      <c r="N2601" s="32">
        <f>IF(Mecze[[#This Row],[OU]]=0,0,Mecze[[#This Row],[OU]]/Mecze[[#This Row],[CZAS]])</f>
        <v>0</v>
      </c>
      <c r="O2601" s="32">
        <f>IF(Mecze[[#This Row],[PC]]=0,0,Mecze[[#This Row],[PC]]/Mecze[[#This Row],[CZAS]])</f>
        <v>0</v>
      </c>
      <c r="P2601" s="32">
        <f>IF(Mecze[[#This Row],[SC]]=0,0,Mecze[[#This Row],[SC]]/Mecze[[#This Row],[CZAS]])</f>
        <v>1.0309278350515464E-2</v>
      </c>
      <c r="Q2601" s="32">
        <f>IF(Mecze[[#This Row],[OB]]=0,0,Mecze[[#This Row],[OB]]/Mecze[[#This Row],[CZAS]])</f>
        <v>0</v>
      </c>
      <c r="R2601" s="32">
        <f>IF(Mecze[[#This Row],[BR]]=0,0,Mecze[[#This Row],[BR]]/Mecze[[#This Row],[CZAS]])</f>
        <v>0</v>
      </c>
      <c r="S2601" s="44">
        <f>IF(Mecze[[#This Row],[Role]]="BR",SUMPRODUCT(Mecze[[#This Row],[/PR:90]:[/BR:90]],Brudnopis!$E$23:$J$23),0)</f>
        <v>0</v>
      </c>
      <c r="T2601" s="44">
        <f>IF(Mecze[[#This Row],[Role]]&lt;&gt;"BR",SUMPRODUCT(Mecze[[#This Row],[/PR:90]:[/BR:90]],Brudnopis!$E$24:$J$24),0)</f>
        <v>1.0309278350515464E-2</v>
      </c>
      <c r="U2601" s="44">
        <f>IF(Mecze[[#This Row],[Role]]&lt;&gt;"BR",SUMPRODUCT(Mecze[[#This Row],[/PR:90]:[/BR:90]],Brudnopis!$E$25:$J$25),0)</f>
        <v>1.0309278350515464E-2</v>
      </c>
      <c r="V2601" s="44">
        <f>IF(Mecze[[#This Row],[Role]]&lt;&gt;"BR",SUMPRODUCT(Mecze[[#This Row],[/PR:90]:[/BR:90]],Brudnopis!$E$26:$J$26),0)</f>
        <v>1.0309278350515464E-2</v>
      </c>
      <c r="W2601" s="44">
        <f>IF(Mecze[[#This Row],[Role]]&lt;&gt;"BR",SUMPRODUCT(Mecze[[#This Row],[/PR:90]:[/BR:90]],Brudnopis!$E$27:$J$27),0)</f>
        <v>1.0309278350515464E-2</v>
      </c>
      <c r="X2601" s="44">
        <f>IF(Mecze[[#This Row],[Role]]&lt;&gt;"BR",SUMPRODUCT(Mecze[[#This Row],[/PR:90]:[/BR:90]],Brudnopis!$E$28:$J$28),0)</f>
        <v>2.0618556701030927E-2</v>
      </c>
      <c r="Y2601" s="35">
        <f>IF(Mecze[[#This Row],[Role]]="BR",Mecze[[#This Row],[/OB:90]]+Mecze[[#This Row],[/PC:90]],SUM(Mecze[[#This Row],[/PR:90]:[/BR:90]]))</f>
        <v>1.0309278350515464E-2</v>
      </c>
      <c r="Z2601" s="35">
        <f>IF(Mecze[[#This Row],[KC]]=0,SUM(Mecze[[#This Row],[/BRI]:[/NPI]]),SUM(Mecze[[#This Row],[/BRI]:[/NPI]])*0.6)</f>
        <v>6.1855670103092786E-2</v>
      </c>
      <c r="AA2601" s="10">
        <f>IFERROR(Mecze[[#This Row],[BR]]/Mecze[[#This Row],[ST]],0)</f>
        <v>0</v>
      </c>
      <c r="AB2601">
        <f>ROUND(Mecze[[#This Row],[PD]]*Mecze[[#This Row],[%PC]],0)</f>
        <v>0</v>
      </c>
      <c r="AC2601">
        <f>ROUND(Mecze[[#This Row],[OD]]*Mecze[[#This Row],[%OU]],0)</f>
        <v>0</v>
      </c>
      <c r="AD2601" s="36" t="s">
        <v>46</v>
      </c>
      <c r="AE2601" s="36">
        <v>145</v>
      </c>
      <c r="AF2601" s="71">
        <v>2.93</v>
      </c>
      <c r="AG2601" s="37">
        <v>0</v>
      </c>
      <c r="AH2601" s="37">
        <v>0</v>
      </c>
      <c r="AI2601" s="37">
        <v>97</v>
      </c>
      <c r="AJ2601" s="37">
        <v>10</v>
      </c>
      <c r="AK2601" s="37" t="str">
        <f>VLOOKUP(Mecze[[#This Row],[Match ID]],Meczusie[Mecz]:Meczusie[RodzajMeczu],2,FALSE)</f>
        <v>Liga</v>
      </c>
    </row>
    <row r="2602" spans="1:37" x14ac:dyDescent="0.25">
      <c r="A2602" s="76">
        <v>10</v>
      </c>
      <c r="B2602" s="3" t="s">
        <v>246</v>
      </c>
      <c r="C2602" s="2" t="s">
        <v>165</v>
      </c>
      <c r="D2602" s="1">
        <v>1</v>
      </c>
      <c r="E2602" s="1">
        <v>1</v>
      </c>
      <c r="F2602" s="1">
        <v>1</v>
      </c>
      <c r="G2602" s="1">
        <v>4</v>
      </c>
      <c r="H2602" s="4">
        <v>0.5</v>
      </c>
      <c r="I2602" s="1">
        <v>6</v>
      </c>
      <c r="J2602" s="4">
        <v>0</v>
      </c>
      <c r="K2602" s="1">
        <v>0</v>
      </c>
      <c r="L2602" s="1">
        <v>0</v>
      </c>
      <c r="M2602" s="32">
        <f>IF(Mecze[[#This Row],[PR]]=0,0,Mecze[[#This Row],[PR]]/Mecze[[#This Row],[CZAS]])</f>
        <v>0</v>
      </c>
      <c r="N2602" s="32">
        <f>IF(Mecze[[#This Row],[OU]]=0,0,Mecze[[#This Row],[OU]]/Mecze[[#This Row],[CZAS]])</f>
        <v>0</v>
      </c>
      <c r="O2602" s="32">
        <f>IF(Mecze[[#This Row],[PC]]=0,0,Mecze[[#This Row],[PC]]/Mecze[[#This Row],[CZAS]])</f>
        <v>2.0618556701030927E-2</v>
      </c>
      <c r="P2602" s="32">
        <f>IF(Mecze[[#This Row],[SC]]=0,0,Mecze[[#This Row],[SC]]/Mecze[[#This Row],[CZAS]])</f>
        <v>1.0309278350515464E-2</v>
      </c>
      <c r="Q2602" s="32">
        <f>IF(Mecze[[#This Row],[OB]]=0,0,Mecze[[#This Row],[OB]]/Mecze[[#This Row],[CZAS]])</f>
        <v>0</v>
      </c>
      <c r="R2602" s="32">
        <f>IF(Mecze[[#This Row],[BR]]=0,0,Mecze[[#This Row],[BR]]/Mecze[[#This Row],[CZAS]])</f>
        <v>1.0309278350515464E-2</v>
      </c>
      <c r="S2602" s="44">
        <f>IF(Mecze[[#This Row],[Role]]="BR",SUMPRODUCT(Mecze[[#This Row],[/PR:90]:[/BR:90]],Brudnopis!$E$23:$J$23),0)</f>
        <v>0</v>
      </c>
      <c r="T2602" s="44">
        <f>IF(Mecze[[#This Row],[Role]]&lt;&gt;"BR",SUMPRODUCT(Mecze[[#This Row],[/PR:90]:[/BR:90]],Brudnopis!$E$24:$J$24),0)</f>
        <v>4.6391752577319589E-2</v>
      </c>
      <c r="U2602" s="44">
        <f>IF(Mecze[[#This Row],[Role]]&lt;&gt;"BR",SUMPRODUCT(Mecze[[#This Row],[/PR:90]:[/BR:90]],Brudnopis!$E$25:$J$25),0)</f>
        <v>5.6701030927835051E-2</v>
      </c>
      <c r="V2602" s="44">
        <f>IF(Mecze[[#This Row],[Role]]&lt;&gt;"BR",SUMPRODUCT(Mecze[[#This Row],[/PR:90]:[/BR:90]],Brudnopis!$E$26:$J$26),0)</f>
        <v>5.1546391752577317E-2</v>
      </c>
      <c r="W2602" s="44">
        <f>IF(Mecze[[#This Row],[Role]]&lt;&gt;"BR",SUMPRODUCT(Mecze[[#This Row],[/PR:90]:[/BR:90]],Brudnopis!$E$27:$J$27),0)</f>
        <v>6.1855670103092786E-2</v>
      </c>
      <c r="X2602" s="44">
        <f>IF(Mecze[[#This Row],[Role]]&lt;&gt;"BR",SUMPRODUCT(Mecze[[#This Row],[/PR:90]:[/BR:90]],Brudnopis!$E$28:$J$28),0)</f>
        <v>7.2164948453608241E-2</v>
      </c>
      <c r="Y2602" s="35">
        <f>IF(Mecze[[#This Row],[Role]]="BR",Mecze[[#This Row],[/OB:90]]+Mecze[[#This Row],[/PC:90]],SUM(Mecze[[#This Row],[/PR:90]:[/BR:90]]))</f>
        <v>4.1237113402061855E-2</v>
      </c>
      <c r="Z2602" s="35">
        <f>IF(Mecze[[#This Row],[KC]]=0,SUM(Mecze[[#This Row],[/BRI]:[/NPI]]),SUM(Mecze[[#This Row],[/BRI]:[/NPI]])*0.6)</f>
        <v>0.28865979381443296</v>
      </c>
      <c r="AA2602" s="10">
        <f>IFERROR(Mecze[[#This Row],[BR]]/Mecze[[#This Row],[ST]],0)</f>
        <v>1</v>
      </c>
      <c r="AB2602">
        <f>ROUND(Mecze[[#This Row],[PD]]*Mecze[[#This Row],[%PC]],0)</f>
        <v>2</v>
      </c>
      <c r="AC2602">
        <f>ROUND(Mecze[[#This Row],[OD]]*Mecze[[#This Row],[%OU]],0)</f>
        <v>0</v>
      </c>
      <c r="AD2602" s="36" t="s">
        <v>46</v>
      </c>
      <c r="AE2602" s="36">
        <v>145</v>
      </c>
      <c r="AF2602" s="71">
        <v>5.23</v>
      </c>
      <c r="AG2602" s="37">
        <v>0</v>
      </c>
      <c r="AH2602" s="37">
        <v>0</v>
      </c>
      <c r="AI2602" s="37">
        <v>97</v>
      </c>
      <c r="AJ2602" s="37">
        <v>10</v>
      </c>
      <c r="AK2602" s="37" t="str">
        <f>VLOOKUP(Mecze[[#This Row],[Match ID]],Meczusie[Mecz]:Meczusie[RodzajMeczu],2,FALSE)</f>
        <v>Liga</v>
      </c>
    </row>
    <row r="2603" spans="1:37" x14ac:dyDescent="0.25">
      <c r="A2603" s="76">
        <v>1</v>
      </c>
      <c r="B2603" s="3" t="s">
        <v>274</v>
      </c>
      <c r="C2603" s="2" t="s">
        <v>155</v>
      </c>
      <c r="D2603" s="1">
        <v>0</v>
      </c>
      <c r="E2603" s="1">
        <v>0</v>
      </c>
      <c r="F2603" s="1">
        <v>0</v>
      </c>
      <c r="G2603" s="1">
        <v>0</v>
      </c>
      <c r="H2603" s="72"/>
      <c r="I2603" s="1">
        <v>0</v>
      </c>
      <c r="J2603" s="4"/>
      <c r="K2603" s="1">
        <v>3</v>
      </c>
      <c r="L2603" s="1">
        <v>0</v>
      </c>
      <c r="M2603" s="32">
        <f>IF(Mecze[[#This Row],[PR]]=0,0,Mecze[[#This Row],[PR]]/Mecze[[#This Row],[CZAS]])</f>
        <v>0</v>
      </c>
      <c r="N2603" s="32">
        <f>IF(Mecze[[#This Row],[OU]]=0,0,Mecze[[#This Row],[OU]]/Mecze[[#This Row],[CZAS]])</f>
        <v>0</v>
      </c>
      <c r="O2603" s="32">
        <f>IF(Mecze[[#This Row],[PC]]=0,0,Mecze[[#This Row],[PC]]/Mecze[[#This Row],[CZAS]])</f>
        <v>0</v>
      </c>
      <c r="P2603" s="32">
        <f>IF(Mecze[[#This Row],[SC]]=0,0,Mecze[[#This Row],[SC]]/Mecze[[#This Row],[CZAS]])</f>
        <v>0</v>
      </c>
      <c r="Q2603" s="32">
        <f>IF(Mecze[[#This Row],[OB]]=0,0,Mecze[[#This Row],[OB]]/Mecze[[#This Row],[CZAS]])</f>
        <v>3.0927835051546393E-2</v>
      </c>
      <c r="R2603" s="32">
        <f>IF(Mecze[[#This Row],[BR]]=0,0,Mecze[[#This Row],[BR]]/Mecze[[#This Row],[CZAS]])</f>
        <v>0</v>
      </c>
      <c r="S2603" s="44">
        <f>IF(Mecze[[#This Row],[Role]]="BR",SUMPRODUCT(Mecze[[#This Row],[/PR:90]:[/BR:90]],Brudnopis!$E$23:$J$23),0)</f>
        <v>9.2783505154639179E-2</v>
      </c>
      <c r="T2603" s="44">
        <f>IF(Mecze[[#This Row],[Role]]&lt;&gt;"BR",SUMPRODUCT(Mecze[[#This Row],[/PR:90]:[/BR:90]],Brudnopis!$E$24:$J$24),0)</f>
        <v>0</v>
      </c>
      <c r="U2603" s="44">
        <f>IF(Mecze[[#This Row],[Role]]&lt;&gt;"BR",SUMPRODUCT(Mecze[[#This Row],[/PR:90]:[/BR:90]],Brudnopis!$E$25:$J$25),0)</f>
        <v>0</v>
      </c>
      <c r="V2603" s="44">
        <f>IF(Mecze[[#This Row],[Role]]&lt;&gt;"BR",SUMPRODUCT(Mecze[[#This Row],[/PR:90]:[/BR:90]],Brudnopis!$E$26:$J$26),0)</f>
        <v>0</v>
      </c>
      <c r="W2603" s="44">
        <f>IF(Mecze[[#This Row],[Role]]&lt;&gt;"BR",SUMPRODUCT(Mecze[[#This Row],[/PR:90]:[/BR:90]],Brudnopis!$E$27:$J$27),0)</f>
        <v>0</v>
      </c>
      <c r="X2603" s="44">
        <f>IF(Mecze[[#This Row],[Role]]&lt;&gt;"BR",SUMPRODUCT(Mecze[[#This Row],[/PR:90]:[/BR:90]],Brudnopis!$E$28:$J$28),0)</f>
        <v>0</v>
      </c>
      <c r="Y2603" s="35">
        <f>IF(Mecze[[#This Row],[Role]]="BR",Mecze[[#This Row],[/OB:90]]+Mecze[[#This Row],[/PC:90]],SUM(Mecze[[#This Row],[/PR:90]:[/BR:90]]))</f>
        <v>3.0927835051546393E-2</v>
      </c>
      <c r="Z2603" s="35">
        <f>IF(Mecze[[#This Row],[KC]]=0,SUM(Mecze[[#This Row],[/BRI]:[/NPI]]),SUM(Mecze[[#This Row],[/BRI]:[/NPI]])*0.6)</f>
        <v>9.2783505154639179E-2</v>
      </c>
      <c r="AA2603" s="10">
        <f>IFERROR(Mecze[[#This Row],[BR]]/Mecze[[#This Row],[ST]],0)</f>
        <v>0</v>
      </c>
      <c r="AB2603">
        <f>ROUND(Mecze[[#This Row],[PD]]*Mecze[[#This Row],[%PC]],0)</f>
        <v>0</v>
      </c>
      <c r="AC2603">
        <f>ROUND(Mecze[[#This Row],[OD]]*Mecze[[#This Row],[%OU]],0)</f>
        <v>0</v>
      </c>
      <c r="AD2603" s="36" t="s">
        <v>40</v>
      </c>
      <c r="AE2603" s="36">
        <v>145</v>
      </c>
      <c r="AF2603" s="71">
        <v>4.97</v>
      </c>
      <c r="AG2603" s="37">
        <v>0</v>
      </c>
      <c r="AH2603" s="37">
        <v>0</v>
      </c>
      <c r="AI2603" s="37">
        <v>97</v>
      </c>
      <c r="AJ2603" s="37">
        <v>4</v>
      </c>
      <c r="AK2603" s="37" t="str">
        <f>VLOOKUP(Mecze[[#This Row],[Match ID]],Meczusie[Mecz]:Meczusie[RodzajMeczu],2,FALSE)</f>
        <v>Liga</v>
      </c>
    </row>
    <row r="2604" spans="1:37" x14ac:dyDescent="0.25">
      <c r="A2604" s="76">
        <v>9</v>
      </c>
      <c r="B2604" s="3" t="s">
        <v>275</v>
      </c>
      <c r="C2604" s="2" t="s">
        <v>157</v>
      </c>
      <c r="D2604" s="1">
        <v>0</v>
      </c>
      <c r="E2604" s="1">
        <v>0</v>
      </c>
      <c r="F2604" s="1">
        <v>0</v>
      </c>
      <c r="G2604" s="1">
        <v>14</v>
      </c>
      <c r="H2604" s="4">
        <v>0.93</v>
      </c>
      <c r="I2604" s="1">
        <v>9</v>
      </c>
      <c r="J2604" s="4">
        <v>0.44</v>
      </c>
      <c r="K2604" s="1">
        <v>0</v>
      </c>
      <c r="L2604" s="1">
        <v>11</v>
      </c>
      <c r="M2604" s="32">
        <f>IF(Mecze[[#This Row],[PR]]=0,0,Mecze[[#This Row],[PR]]/Mecze[[#This Row],[CZAS]])</f>
        <v>0.1134020618556701</v>
      </c>
      <c r="N2604" s="32">
        <f>IF(Mecze[[#This Row],[OU]]=0,0,Mecze[[#This Row],[OU]]/Mecze[[#This Row],[CZAS]])</f>
        <v>4.1237113402061855E-2</v>
      </c>
      <c r="O2604" s="32">
        <f>IF(Mecze[[#This Row],[PC]]=0,0,Mecze[[#This Row],[PC]]/Mecze[[#This Row],[CZAS]])</f>
        <v>0.13402061855670103</v>
      </c>
      <c r="P2604" s="32">
        <f>IF(Mecze[[#This Row],[SC]]=0,0,Mecze[[#This Row],[SC]]/Mecze[[#This Row],[CZAS]])</f>
        <v>0</v>
      </c>
      <c r="Q2604" s="32">
        <f>IF(Mecze[[#This Row],[OB]]=0,0,Mecze[[#This Row],[OB]]/Mecze[[#This Row],[CZAS]])</f>
        <v>0</v>
      </c>
      <c r="R2604" s="32">
        <f>IF(Mecze[[#This Row],[BR]]=0,0,Mecze[[#This Row],[BR]]/Mecze[[#This Row],[CZAS]])</f>
        <v>0</v>
      </c>
      <c r="S2604" s="44">
        <f>IF(Mecze[[#This Row],[Role]]="BR",SUMPRODUCT(Mecze[[#This Row],[/PR:90]:[/BR:90]],Brudnopis!$E$23:$J$23),0)</f>
        <v>0</v>
      </c>
      <c r="T2604" s="44">
        <f>IF(Mecze[[#This Row],[Role]]&lt;&gt;"BR",SUMPRODUCT(Mecze[[#This Row],[/PR:90]:[/BR:90]],Brudnopis!$E$24:$J$24),0)</f>
        <v>0.30927835051546393</v>
      </c>
      <c r="U2604" s="44">
        <f>IF(Mecze[[#This Row],[Role]]&lt;&gt;"BR",SUMPRODUCT(Mecze[[#This Row],[/PR:90]:[/BR:90]],Brudnopis!$E$25:$J$25),0)</f>
        <v>0.35567010309278352</v>
      </c>
      <c r="V2604" s="44">
        <f>IF(Mecze[[#This Row],[Role]]&lt;&gt;"BR",SUMPRODUCT(Mecze[[#This Row],[/PR:90]:[/BR:90]],Brudnopis!$E$26:$J$26),0)</f>
        <v>0.28865979381443296</v>
      </c>
      <c r="W2604" s="44">
        <f>IF(Mecze[[#This Row],[Role]]&lt;&gt;"BR",SUMPRODUCT(Mecze[[#This Row],[/PR:90]:[/BR:90]],Brudnopis!$E$27:$J$27),0)</f>
        <v>0.3170103092783505</v>
      </c>
      <c r="X2604" s="44">
        <f>IF(Mecze[[#This Row],[Role]]&lt;&gt;"BR",SUMPRODUCT(Mecze[[#This Row],[/PR:90]:[/BR:90]],Brudnopis!$E$28:$J$28),0)</f>
        <v>0.13402061855670103</v>
      </c>
      <c r="Y2604" s="35">
        <f>IF(Mecze[[#This Row],[Role]]="BR",Mecze[[#This Row],[/OB:90]]+Mecze[[#This Row],[/PC:90]],SUM(Mecze[[#This Row],[/PR:90]:[/BR:90]]))</f>
        <v>0.28865979381443296</v>
      </c>
      <c r="Z2604" s="35">
        <f>IF(Mecze[[#This Row],[KC]]=0,SUM(Mecze[[#This Row],[/BRI]:[/NPI]]),SUM(Mecze[[#This Row],[/BRI]:[/NPI]])*0.6)</f>
        <v>1.4046391752577319</v>
      </c>
      <c r="AA2604" s="10">
        <f>IFERROR(Mecze[[#This Row],[BR]]/Mecze[[#This Row],[ST]],0)</f>
        <v>0</v>
      </c>
      <c r="AB2604">
        <f>ROUND(Mecze[[#This Row],[PD]]*Mecze[[#This Row],[%PC]],0)</f>
        <v>13</v>
      </c>
      <c r="AC2604">
        <f>ROUND(Mecze[[#This Row],[OD]]*Mecze[[#This Row],[%OU]],0)</f>
        <v>4</v>
      </c>
      <c r="AD2604" s="36" t="s">
        <v>47</v>
      </c>
      <c r="AE2604" s="36">
        <v>145</v>
      </c>
      <c r="AF2604" s="71">
        <v>6.23</v>
      </c>
      <c r="AG2604" s="37">
        <v>0</v>
      </c>
      <c r="AH2604" s="37">
        <v>0</v>
      </c>
      <c r="AI2604" s="37">
        <v>97</v>
      </c>
      <c r="AJ2604" s="37">
        <v>4</v>
      </c>
      <c r="AK2604" s="37" t="str">
        <f>VLOOKUP(Mecze[[#This Row],[Match ID]],Meczusie[Mecz]:Meczusie[RodzajMeczu],2,FALSE)</f>
        <v>Liga</v>
      </c>
    </row>
    <row r="2605" spans="1:37" x14ac:dyDescent="0.25">
      <c r="A2605" s="76">
        <v>4</v>
      </c>
      <c r="B2605" s="3" t="s">
        <v>276</v>
      </c>
      <c r="C2605" s="2" t="s">
        <v>157</v>
      </c>
      <c r="D2605" s="1">
        <v>0</v>
      </c>
      <c r="E2605" s="1">
        <v>0</v>
      </c>
      <c r="F2605" s="1">
        <v>0</v>
      </c>
      <c r="G2605" s="1">
        <v>5</v>
      </c>
      <c r="H2605" s="4">
        <v>1</v>
      </c>
      <c r="I2605" s="1">
        <v>3</v>
      </c>
      <c r="J2605" s="4">
        <v>0.67</v>
      </c>
      <c r="K2605" s="1">
        <v>0</v>
      </c>
      <c r="L2605" s="1">
        <v>3</v>
      </c>
      <c r="M2605" s="32">
        <f>IF(Mecze[[#This Row],[PR]]=0,0,Mecze[[#This Row],[PR]]/Mecze[[#This Row],[CZAS]])</f>
        <v>3.0927835051546393E-2</v>
      </c>
      <c r="N2605" s="32">
        <f>IF(Mecze[[#This Row],[OU]]=0,0,Mecze[[#This Row],[OU]]/Mecze[[#This Row],[CZAS]])</f>
        <v>2.0618556701030927E-2</v>
      </c>
      <c r="O2605" s="32">
        <f>IF(Mecze[[#This Row],[PC]]=0,0,Mecze[[#This Row],[PC]]/Mecze[[#This Row],[CZAS]])</f>
        <v>5.1546391752577317E-2</v>
      </c>
      <c r="P2605" s="32">
        <f>IF(Mecze[[#This Row],[SC]]=0,0,Mecze[[#This Row],[SC]]/Mecze[[#This Row],[CZAS]])</f>
        <v>0</v>
      </c>
      <c r="Q2605" s="32">
        <f>IF(Mecze[[#This Row],[OB]]=0,0,Mecze[[#This Row],[OB]]/Mecze[[#This Row],[CZAS]])</f>
        <v>0</v>
      </c>
      <c r="R2605" s="32">
        <f>IF(Mecze[[#This Row],[BR]]=0,0,Mecze[[#This Row],[BR]]/Mecze[[#This Row],[CZAS]])</f>
        <v>0</v>
      </c>
      <c r="S2605" s="44">
        <f>IF(Mecze[[#This Row],[Role]]="BR",SUMPRODUCT(Mecze[[#This Row],[/PR:90]:[/BR:90]],Brudnopis!$E$23:$J$23),0)</f>
        <v>0</v>
      </c>
      <c r="T2605" s="44">
        <f>IF(Mecze[[#This Row],[Role]]&lt;&gt;"BR",SUMPRODUCT(Mecze[[#This Row],[/PR:90]:[/BR:90]],Brudnopis!$E$24:$J$24),0)</f>
        <v>0.1134020618556701</v>
      </c>
      <c r="U2605" s="44">
        <f>IF(Mecze[[#This Row],[Role]]&lt;&gt;"BR",SUMPRODUCT(Mecze[[#This Row],[/PR:90]:[/BR:90]],Brudnopis!$E$25:$J$25),0)</f>
        <v>0.12886597938144329</v>
      </c>
      <c r="V2605" s="44">
        <f>IF(Mecze[[#This Row],[Role]]&lt;&gt;"BR",SUMPRODUCT(Mecze[[#This Row],[/PR:90]:[/BR:90]],Brudnopis!$E$26:$J$26),0)</f>
        <v>0.10309278350515463</v>
      </c>
      <c r="W2605" s="44">
        <f>IF(Mecze[[#This Row],[Role]]&lt;&gt;"BR",SUMPRODUCT(Mecze[[#This Row],[/PR:90]:[/BR:90]],Brudnopis!$E$27:$J$27),0)</f>
        <v>0.11597938144329897</v>
      </c>
      <c r="X2605" s="44">
        <f>IF(Mecze[[#This Row],[Role]]&lt;&gt;"BR",SUMPRODUCT(Mecze[[#This Row],[/PR:90]:[/BR:90]],Brudnopis!$E$28:$J$28),0)</f>
        <v>5.1546391752577317E-2</v>
      </c>
      <c r="Y2605" s="35">
        <f>IF(Mecze[[#This Row],[Role]]="BR",Mecze[[#This Row],[/OB:90]]+Mecze[[#This Row],[/PC:90]],SUM(Mecze[[#This Row],[/PR:90]:[/BR:90]]))</f>
        <v>0.10309278350515463</v>
      </c>
      <c r="Z2605" s="35">
        <f>IF(Mecze[[#This Row],[KC]]=0,SUM(Mecze[[#This Row],[/BRI]:[/NPI]]),SUM(Mecze[[#This Row],[/BRI]:[/NPI]])*0.6)</f>
        <v>0.5128865979381444</v>
      </c>
      <c r="AA2605" s="10">
        <f>IFERROR(Mecze[[#This Row],[BR]]/Mecze[[#This Row],[ST]],0)</f>
        <v>0</v>
      </c>
      <c r="AB2605">
        <f>ROUND(Mecze[[#This Row],[PD]]*Mecze[[#This Row],[%PC]],0)</f>
        <v>5</v>
      </c>
      <c r="AC2605">
        <f>ROUND(Mecze[[#This Row],[OD]]*Mecze[[#This Row],[%OU]],0)</f>
        <v>2</v>
      </c>
      <c r="AD2605" s="36" t="s">
        <v>168</v>
      </c>
      <c r="AE2605" s="36">
        <v>145</v>
      </c>
      <c r="AF2605" s="71">
        <v>5.67</v>
      </c>
      <c r="AG2605" s="37">
        <v>0</v>
      </c>
      <c r="AH2605" s="37">
        <v>0</v>
      </c>
      <c r="AI2605" s="37">
        <v>97</v>
      </c>
      <c r="AJ2605" s="37">
        <v>4</v>
      </c>
      <c r="AK2605" s="37" t="str">
        <f>VLOOKUP(Mecze[[#This Row],[Match ID]],Meczusie[Mecz]:Meczusie[RodzajMeczu],2,FALSE)</f>
        <v>Liga</v>
      </c>
    </row>
    <row r="2606" spans="1:37" x14ac:dyDescent="0.25">
      <c r="A2606" s="76">
        <v>3</v>
      </c>
      <c r="B2606" s="3" t="s">
        <v>495</v>
      </c>
      <c r="C2606" s="2" t="s">
        <v>157</v>
      </c>
      <c r="D2606" s="1">
        <v>0</v>
      </c>
      <c r="E2606" s="1">
        <v>0</v>
      </c>
      <c r="F2606" s="1">
        <v>0</v>
      </c>
      <c r="G2606" s="1">
        <v>5</v>
      </c>
      <c r="H2606" s="4">
        <v>0.8</v>
      </c>
      <c r="I2606" s="1">
        <v>2</v>
      </c>
      <c r="J2606" s="4">
        <v>0.5</v>
      </c>
      <c r="K2606" s="1">
        <v>0</v>
      </c>
      <c r="L2606" s="1">
        <v>4</v>
      </c>
      <c r="M2606" s="32">
        <f>IF(Mecze[[#This Row],[PR]]=0,0,Mecze[[#This Row],[PR]]/Mecze[[#This Row],[CZAS]])</f>
        <v>4.1237113402061855E-2</v>
      </c>
      <c r="N2606" s="32">
        <f>IF(Mecze[[#This Row],[OU]]=0,0,Mecze[[#This Row],[OU]]/Mecze[[#This Row],[CZAS]])</f>
        <v>1.0309278350515464E-2</v>
      </c>
      <c r="O2606" s="32">
        <f>IF(Mecze[[#This Row],[PC]]=0,0,Mecze[[#This Row],[PC]]/Mecze[[#This Row],[CZAS]])</f>
        <v>4.1237113402061855E-2</v>
      </c>
      <c r="P2606" s="32">
        <f>IF(Mecze[[#This Row],[SC]]=0,0,Mecze[[#This Row],[SC]]/Mecze[[#This Row],[CZAS]])</f>
        <v>0</v>
      </c>
      <c r="Q2606" s="32">
        <f>IF(Mecze[[#This Row],[OB]]=0,0,Mecze[[#This Row],[OB]]/Mecze[[#This Row],[CZAS]])</f>
        <v>0</v>
      </c>
      <c r="R2606" s="32">
        <f>IF(Mecze[[#This Row],[BR]]=0,0,Mecze[[#This Row],[BR]]/Mecze[[#This Row],[CZAS]])</f>
        <v>0</v>
      </c>
      <c r="S2606" s="44">
        <f>IF(Mecze[[#This Row],[Role]]="BR",SUMPRODUCT(Mecze[[#This Row],[/PR:90]:[/BR:90]],Brudnopis!$E$23:$J$23),0)</f>
        <v>0</v>
      </c>
      <c r="T2606" s="44">
        <f>IF(Mecze[[#This Row],[Role]]&lt;&gt;"BR",SUMPRODUCT(Mecze[[#This Row],[/PR:90]:[/BR:90]],Brudnopis!$E$24:$J$24),0)</f>
        <v>9.7938144329896906E-2</v>
      </c>
      <c r="U2606" s="44">
        <f>IF(Mecze[[#This Row],[Role]]&lt;&gt;"BR",SUMPRODUCT(Mecze[[#This Row],[/PR:90]:[/BR:90]],Brudnopis!$E$25:$J$25),0)</f>
        <v>0.1134020618556701</v>
      </c>
      <c r="V2606" s="44">
        <f>IF(Mecze[[#This Row],[Role]]&lt;&gt;"BR",SUMPRODUCT(Mecze[[#This Row],[/PR:90]:[/BR:90]],Brudnopis!$E$26:$J$26),0)</f>
        <v>9.2783505154639179E-2</v>
      </c>
      <c r="W2606" s="44">
        <f>IF(Mecze[[#This Row],[Role]]&lt;&gt;"BR",SUMPRODUCT(Mecze[[#This Row],[/PR:90]:[/BR:90]],Brudnopis!$E$27:$J$27),0)</f>
        <v>0.10051546391752578</v>
      </c>
      <c r="X2606" s="44">
        <f>IF(Mecze[[#This Row],[Role]]&lt;&gt;"BR",SUMPRODUCT(Mecze[[#This Row],[/PR:90]:[/BR:90]],Brudnopis!$E$28:$J$28),0)</f>
        <v>4.1237113402061855E-2</v>
      </c>
      <c r="Y2606" s="35">
        <f>IF(Mecze[[#This Row],[Role]]="BR",Mecze[[#This Row],[/OB:90]]+Mecze[[#This Row],[/PC:90]],SUM(Mecze[[#This Row],[/PR:90]:[/BR:90]]))</f>
        <v>9.2783505154639179E-2</v>
      </c>
      <c r="Z2606" s="35">
        <f>IF(Mecze[[#This Row],[KC]]=0,SUM(Mecze[[#This Row],[/BRI]:[/NPI]]),SUM(Mecze[[#This Row],[/BRI]:[/NPI]])*0.6)</f>
        <v>0.44587628865979384</v>
      </c>
      <c r="AA2606" s="10">
        <f>IFERROR(Mecze[[#This Row],[BR]]/Mecze[[#This Row],[ST]],0)</f>
        <v>0</v>
      </c>
      <c r="AB2606">
        <f>ROUND(Mecze[[#This Row],[PD]]*Mecze[[#This Row],[%PC]],0)</f>
        <v>4</v>
      </c>
      <c r="AC2606">
        <f>ROUND(Mecze[[#This Row],[OD]]*Mecze[[#This Row],[%OU]],0)</f>
        <v>1</v>
      </c>
      <c r="AD2606" s="36" t="s">
        <v>167</v>
      </c>
      <c r="AE2606" s="36">
        <v>145</v>
      </c>
      <c r="AF2606" s="71">
        <v>4.76</v>
      </c>
      <c r="AG2606" s="37">
        <v>0</v>
      </c>
      <c r="AH2606" s="37">
        <v>0</v>
      </c>
      <c r="AI2606" s="37">
        <v>97</v>
      </c>
      <c r="AJ2606" s="37">
        <v>4</v>
      </c>
      <c r="AK2606" s="37" t="str">
        <f>VLOOKUP(Mecze[[#This Row],[Match ID]],Meczusie[Mecz]:Meczusie[RodzajMeczu],2,FALSE)</f>
        <v>Liga</v>
      </c>
    </row>
    <row r="2607" spans="1:37" x14ac:dyDescent="0.25">
      <c r="A2607" s="76">
        <v>12</v>
      </c>
      <c r="B2607" s="3" t="s">
        <v>278</v>
      </c>
      <c r="C2607" s="2" t="s">
        <v>160</v>
      </c>
      <c r="D2607" s="1">
        <v>0</v>
      </c>
      <c r="E2607" s="1">
        <v>0</v>
      </c>
      <c r="F2607" s="1">
        <v>0</v>
      </c>
      <c r="G2607" s="1">
        <v>10</v>
      </c>
      <c r="H2607" s="4">
        <v>0.9</v>
      </c>
      <c r="I2607" s="1">
        <v>5</v>
      </c>
      <c r="J2607" s="4">
        <v>0.6</v>
      </c>
      <c r="K2607" s="1">
        <v>0</v>
      </c>
      <c r="L2607" s="1">
        <v>7</v>
      </c>
      <c r="M2607" s="32">
        <f>IF(Mecze[[#This Row],[PR]]=0,0,Mecze[[#This Row],[PR]]/Mecze[[#This Row],[CZAS]])</f>
        <v>7.2164948453608241E-2</v>
      </c>
      <c r="N2607" s="32">
        <f>IF(Mecze[[#This Row],[OU]]=0,0,Mecze[[#This Row],[OU]]/Mecze[[#This Row],[CZAS]])</f>
        <v>3.0927835051546393E-2</v>
      </c>
      <c r="O2607" s="32">
        <f>IF(Mecze[[#This Row],[PC]]=0,0,Mecze[[#This Row],[PC]]/Mecze[[#This Row],[CZAS]])</f>
        <v>9.2783505154639179E-2</v>
      </c>
      <c r="P2607" s="32">
        <f>IF(Mecze[[#This Row],[SC]]=0,0,Mecze[[#This Row],[SC]]/Mecze[[#This Row],[CZAS]])</f>
        <v>0</v>
      </c>
      <c r="Q2607" s="32">
        <f>IF(Mecze[[#This Row],[OB]]=0,0,Mecze[[#This Row],[OB]]/Mecze[[#This Row],[CZAS]])</f>
        <v>0</v>
      </c>
      <c r="R2607" s="32">
        <f>IF(Mecze[[#This Row],[BR]]=0,0,Mecze[[#This Row],[BR]]/Mecze[[#This Row],[CZAS]])</f>
        <v>0</v>
      </c>
      <c r="S2607" s="44">
        <f>IF(Mecze[[#This Row],[Role]]="BR",SUMPRODUCT(Mecze[[#This Row],[/PR:90]:[/BR:90]],Brudnopis!$E$23:$J$23),0)</f>
        <v>0</v>
      </c>
      <c r="T2607" s="44">
        <f>IF(Mecze[[#This Row],[Role]]&lt;&gt;"BR",SUMPRODUCT(Mecze[[#This Row],[/PR:90]:[/BR:90]],Brudnopis!$E$24:$J$24),0)</f>
        <v>0.21134020618556701</v>
      </c>
      <c r="U2607" s="44">
        <f>IF(Mecze[[#This Row],[Role]]&lt;&gt;"BR",SUMPRODUCT(Mecze[[#This Row],[/PR:90]:[/BR:90]],Brudnopis!$E$25:$J$25),0)</f>
        <v>0.2422680412371134</v>
      </c>
      <c r="V2607" s="44">
        <f>IF(Mecze[[#This Row],[Role]]&lt;&gt;"BR",SUMPRODUCT(Mecze[[#This Row],[/PR:90]:[/BR:90]],Brudnopis!$E$26:$J$26),0)</f>
        <v>0.19587628865979381</v>
      </c>
      <c r="W2607" s="44">
        <f>IF(Mecze[[#This Row],[Role]]&lt;&gt;"BR",SUMPRODUCT(Mecze[[#This Row],[/PR:90]:[/BR:90]],Brudnopis!$E$27:$J$27),0)</f>
        <v>0.21649484536082475</v>
      </c>
      <c r="X2607" s="44">
        <f>IF(Mecze[[#This Row],[Role]]&lt;&gt;"BR",SUMPRODUCT(Mecze[[#This Row],[/PR:90]:[/BR:90]],Brudnopis!$E$28:$J$28),0)</f>
        <v>9.2783505154639179E-2</v>
      </c>
      <c r="Y2607" s="35">
        <f>IF(Mecze[[#This Row],[Role]]="BR",Mecze[[#This Row],[/OB:90]]+Mecze[[#This Row],[/PC:90]],SUM(Mecze[[#This Row],[/PR:90]:[/BR:90]]))</f>
        <v>0.19587628865979381</v>
      </c>
      <c r="Z2607" s="35">
        <f>IF(Mecze[[#This Row],[KC]]=0,SUM(Mecze[[#This Row],[/BRI]:[/NPI]]),SUM(Mecze[[#This Row],[/BRI]:[/NPI]])*0.6)</f>
        <v>0.95876288659793818</v>
      </c>
      <c r="AA2607" s="10">
        <f>IFERROR(Mecze[[#This Row],[BR]]/Mecze[[#This Row],[ST]],0)</f>
        <v>0</v>
      </c>
      <c r="AB2607">
        <f>ROUND(Mecze[[#This Row],[PD]]*Mecze[[#This Row],[%PC]],0)</f>
        <v>9</v>
      </c>
      <c r="AC2607">
        <f>ROUND(Mecze[[#This Row],[OD]]*Mecze[[#This Row],[%OU]],0)</f>
        <v>3</v>
      </c>
      <c r="AD2607" s="36" t="s">
        <v>41</v>
      </c>
      <c r="AE2607" s="36">
        <v>145</v>
      </c>
      <c r="AF2607" s="71">
        <v>7.51</v>
      </c>
      <c r="AG2607" s="37">
        <v>0</v>
      </c>
      <c r="AH2607" s="37">
        <v>0</v>
      </c>
      <c r="AI2607" s="37">
        <v>97</v>
      </c>
      <c r="AJ2607" s="37">
        <v>4</v>
      </c>
      <c r="AK2607" s="37" t="str">
        <f>VLOOKUP(Mecze[[#This Row],[Match ID]],Meczusie[Mecz]:Meczusie[RodzajMeczu],2,FALSE)</f>
        <v>Liga</v>
      </c>
    </row>
    <row r="2608" spans="1:37" x14ac:dyDescent="0.25">
      <c r="A2608" s="76">
        <v>5</v>
      </c>
      <c r="B2608" s="3" t="s">
        <v>277</v>
      </c>
      <c r="C2608" s="2" t="s">
        <v>160</v>
      </c>
      <c r="D2608" s="1">
        <v>0</v>
      </c>
      <c r="E2608" s="1">
        <v>0</v>
      </c>
      <c r="F2608" s="1">
        <v>0</v>
      </c>
      <c r="G2608" s="1">
        <v>15</v>
      </c>
      <c r="H2608" s="4">
        <v>0.8</v>
      </c>
      <c r="I2608" s="1">
        <v>2</v>
      </c>
      <c r="J2608" s="4">
        <v>1</v>
      </c>
      <c r="K2608" s="1">
        <v>0</v>
      </c>
      <c r="L2608" s="1">
        <v>7</v>
      </c>
      <c r="M2608" s="32">
        <f>IF(Mecze[[#This Row],[PR]]=0,0,Mecze[[#This Row],[PR]]/Mecze[[#This Row],[CZAS]])</f>
        <v>7.2164948453608241E-2</v>
      </c>
      <c r="N2608" s="32">
        <f>IF(Mecze[[#This Row],[OU]]=0,0,Mecze[[#This Row],[OU]]/Mecze[[#This Row],[CZAS]])</f>
        <v>2.0618556701030927E-2</v>
      </c>
      <c r="O2608" s="32">
        <f>IF(Mecze[[#This Row],[PC]]=0,0,Mecze[[#This Row],[PC]]/Mecze[[#This Row],[CZAS]])</f>
        <v>0.12371134020618557</v>
      </c>
      <c r="P2608" s="32">
        <f>IF(Mecze[[#This Row],[SC]]=0,0,Mecze[[#This Row],[SC]]/Mecze[[#This Row],[CZAS]])</f>
        <v>0</v>
      </c>
      <c r="Q2608" s="32">
        <f>IF(Mecze[[#This Row],[OB]]=0,0,Mecze[[#This Row],[OB]]/Mecze[[#This Row],[CZAS]])</f>
        <v>0</v>
      </c>
      <c r="R2608" s="32">
        <f>IF(Mecze[[#This Row],[BR]]=0,0,Mecze[[#This Row],[BR]]/Mecze[[#This Row],[CZAS]])</f>
        <v>0</v>
      </c>
      <c r="S2608" s="44">
        <f>IF(Mecze[[#This Row],[Role]]="BR",SUMPRODUCT(Mecze[[#This Row],[/PR:90]:[/BR:90]],Brudnopis!$E$23:$J$23),0)</f>
        <v>0</v>
      </c>
      <c r="T2608" s="44">
        <f>IF(Mecze[[#This Row],[Role]]&lt;&gt;"BR",SUMPRODUCT(Mecze[[#This Row],[/PR:90]:[/BR:90]],Brudnopis!$E$24:$J$24),0)</f>
        <v>0.22680412371134021</v>
      </c>
      <c r="U2608" s="44">
        <f>IF(Mecze[[#This Row],[Role]]&lt;&gt;"BR",SUMPRODUCT(Mecze[[#This Row],[/PR:90]:[/BR:90]],Brudnopis!$E$25:$J$25),0)</f>
        <v>0.27835051546391754</v>
      </c>
      <c r="V2608" s="44">
        <f>IF(Mecze[[#This Row],[Role]]&lt;&gt;"BR",SUMPRODUCT(Mecze[[#This Row],[/PR:90]:[/BR:90]],Brudnopis!$E$26:$J$26),0)</f>
        <v>0.21649484536082475</v>
      </c>
      <c r="W2608" s="44">
        <f>IF(Mecze[[#This Row],[Role]]&lt;&gt;"BR",SUMPRODUCT(Mecze[[#This Row],[/PR:90]:[/BR:90]],Brudnopis!$E$27:$J$27),0)</f>
        <v>0.25515463917525771</v>
      </c>
      <c r="X2608" s="44">
        <f>IF(Mecze[[#This Row],[Role]]&lt;&gt;"BR",SUMPRODUCT(Mecze[[#This Row],[/PR:90]:[/BR:90]],Brudnopis!$E$28:$J$28),0)</f>
        <v>0.12371134020618557</v>
      </c>
      <c r="Y2608" s="35">
        <f>IF(Mecze[[#This Row],[Role]]="BR",Mecze[[#This Row],[/OB:90]]+Mecze[[#This Row],[/PC:90]],SUM(Mecze[[#This Row],[/PR:90]:[/BR:90]]))</f>
        <v>0.21649484536082475</v>
      </c>
      <c r="Z2608" s="35">
        <f>IF(Mecze[[#This Row],[KC]]=0,SUM(Mecze[[#This Row],[/BRI]:[/NPI]]),SUM(Mecze[[#This Row],[/BRI]:[/NPI]])*0.6)</f>
        <v>1.1005154639175259</v>
      </c>
      <c r="AA2608" s="10">
        <f>IFERROR(Mecze[[#This Row],[BR]]/Mecze[[#This Row],[ST]],0)</f>
        <v>0</v>
      </c>
      <c r="AB2608">
        <f>ROUND(Mecze[[#This Row],[PD]]*Mecze[[#This Row],[%PC]],0)</f>
        <v>12</v>
      </c>
      <c r="AC2608">
        <f>ROUND(Mecze[[#This Row],[OD]]*Mecze[[#This Row],[%OU]],0)</f>
        <v>2</v>
      </c>
      <c r="AD2608" s="36" t="s">
        <v>41</v>
      </c>
      <c r="AE2608" s="36">
        <v>145</v>
      </c>
      <c r="AF2608" s="71">
        <v>7.51</v>
      </c>
      <c r="AG2608" s="37">
        <v>0</v>
      </c>
      <c r="AH2608" s="37">
        <v>0</v>
      </c>
      <c r="AI2608" s="37">
        <v>97</v>
      </c>
      <c r="AJ2608" s="37">
        <v>4</v>
      </c>
      <c r="AK2608" s="37" t="str">
        <f>VLOOKUP(Mecze[[#This Row],[Match ID]],Meczusie[Mecz]:Meczusie[RodzajMeczu],2,FALSE)</f>
        <v>Liga</v>
      </c>
    </row>
    <row r="2609" spans="1:37" x14ac:dyDescent="0.25">
      <c r="A2609" s="76">
        <v>6</v>
      </c>
      <c r="B2609" s="3" t="s">
        <v>280</v>
      </c>
      <c r="C2609" s="2" t="s">
        <v>160</v>
      </c>
      <c r="D2609" s="1">
        <v>0</v>
      </c>
      <c r="E2609" s="1">
        <v>1</v>
      </c>
      <c r="F2609" s="1">
        <v>1</v>
      </c>
      <c r="G2609" s="1">
        <v>24</v>
      </c>
      <c r="H2609" s="4">
        <v>0.71</v>
      </c>
      <c r="I2609" s="1">
        <v>8</v>
      </c>
      <c r="J2609" s="4">
        <v>0.75</v>
      </c>
      <c r="K2609" s="1">
        <v>0</v>
      </c>
      <c r="L2609" s="1">
        <v>12</v>
      </c>
      <c r="M2609" s="32">
        <f>IF(Mecze[[#This Row],[PR]]=0,0,Mecze[[#This Row],[PR]]/Mecze[[#This Row],[CZAS]])</f>
        <v>0.12371134020618557</v>
      </c>
      <c r="N2609" s="32">
        <f>IF(Mecze[[#This Row],[OU]]=0,0,Mecze[[#This Row],[OU]]/Mecze[[#This Row],[CZAS]])</f>
        <v>6.1855670103092786E-2</v>
      </c>
      <c r="O2609" s="32">
        <f>IF(Mecze[[#This Row],[PC]]=0,0,Mecze[[#This Row],[PC]]/Mecze[[#This Row],[CZAS]])</f>
        <v>0.17525773195876287</v>
      </c>
      <c r="P2609" s="32">
        <f>IF(Mecze[[#This Row],[SC]]=0,0,Mecze[[#This Row],[SC]]/Mecze[[#This Row],[CZAS]])</f>
        <v>1.0309278350515464E-2</v>
      </c>
      <c r="Q2609" s="32">
        <f>IF(Mecze[[#This Row],[OB]]=0,0,Mecze[[#This Row],[OB]]/Mecze[[#This Row],[CZAS]])</f>
        <v>0</v>
      </c>
      <c r="R2609" s="32">
        <f>IF(Mecze[[#This Row],[BR]]=0,0,Mecze[[#This Row],[BR]]/Mecze[[#This Row],[CZAS]])</f>
        <v>0</v>
      </c>
      <c r="S2609" s="44">
        <f>IF(Mecze[[#This Row],[Role]]="BR",SUMPRODUCT(Mecze[[#This Row],[/PR:90]:[/BR:90]],Brudnopis!$E$23:$J$23),0)</f>
        <v>0</v>
      </c>
      <c r="T2609" s="44">
        <f>IF(Mecze[[#This Row],[Role]]&lt;&gt;"BR",SUMPRODUCT(Mecze[[#This Row],[/PR:90]:[/BR:90]],Brudnopis!$E$24:$J$24),0)</f>
        <v>0.40206185567010311</v>
      </c>
      <c r="U2609" s="44">
        <f>IF(Mecze[[#This Row],[Role]]&lt;&gt;"BR",SUMPRODUCT(Mecze[[#This Row],[/PR:90]:[/BR:90]],Brudnopis!$E$25:$J$25),0)</f>
        <v>0.45876288659793812</v>
      </c>
      <c r="V2609" s="44">
        <f>IF(Mecze[[#This Row],[Role]]&lt;&gt;"BR",SUMPRODUCT(Mecze[[#This Row],[/PR:90]:[/BR:90]],Brudnopis!$E$26:$J$26),0)</f>
        <v>0.37113402061855671</v>
      </c>
      <c r="W2609" s="44">
        <f>IF(Mecze[[#This Row],[Role]]&lt;&gt;"BR",SUMPRODUCT(Mecze[[#This Row],[/PR:90]:[/BR:90]],Brudnopis!$E$27:$J$27),0)</f>
        <v>0.41237113402061853</v>
      </c>
      <c r="X2609" s="44">
        <f>IF(Mecze[[#This Row],[Role]]&lt;&gt;"BR",SUMPRODUCT(Mecze[[#This Row],[/PR:90]:[/BR:90]],Brudnopis!$E$28:$J$28),0)</f>
        <v>0.19587628865979381</v>
      </c>
      <c r="Y2609" s="35">
        <f>IF(Mecze[[#This Row],[Role]]="BR",Mecze[[#This Row],[/OB:90]]+Mecze[[#This Row],[/PC:90]],SUM(Mecze[[#This Row],[/PR:90]:[/BR:90]]))</f>
        <v>0.37113402061855671</v>
      </c>
      <c r="Z2609" s="35">
        <f>IF(Mecze[[#This Row],[KC]]=0,SUM(Mecze[[#This Row],[/BRI]:[/NPI]]),SUM(Mecze[[#This Row],[/BRI]:[/NPI]])*0.6)</f>
        <v>1.8402061855670102</v>
      </c>
      <c r="AA2609" s="10">
        <f>IFERROR(Mecze[[#This Row],[BR]]/Mecze[[#This Row],[ST]],0)</f>
        <v>0</v>
      </c>
      <c r="AB2609">
        <f>ROUND(Mecze[[#This Row],[PD]]*Mecze[[#This Row],[%PC]],0)</f>
        <v>17</v>
      </c>
      <c r="AC2609">
        <f>ROUND(Mecze[[#This Row],[OD]]*Mecze[[#This Row],[%OU]],0)</f>
        <v>6</v>
      </c>
      <c r="AD2609" s="36" t="s">
        <v>67</v>
      </c>
      <c r="AE2609" s="36">
        <v>145</v>
      </c>
      <c r="AF2609" s="71">
        <v>7.88</v>
      </c>
      <c r="AG2609" s="37">
        <v>0</v>
      </c>
      <c r="AH2609" s="37">
        <v>0</v>
      </c>
      <c r="AI2609" s="37">
        <v>97</v>
      </c>
      <c r="AJ2609" s="37">
        <v>4</v>
      </c>
      <c r="AK2609" s="37" t="str">
        <f>VLOOKUP(Mecze[[#This Row],[Match ID]],Meczusie[Mecz]:Meczusie[RodzajMeczu],2,FALSE)</f>
        <v>Liga</v>
      </c>
    </row>
    <row r="2610" spans="1:37" x14ac:dyDescent="0.25">
      <c r="A2610" s="76">
        <v>14</v>
      </c>
      <c r="B2610" s="3" t="s">
        <v>281</v>
      </c>
      <c r="C2610" s="2" t="s">
        <v>160</v>
      </c>
      <c r="D2610" s="1">
        <v>0</v>
      </c>
      <c r="E2610" s="1">
        <v>2</v>
      </c>
      <c r="F2610" s="1">
        <v>0</v>
      </c>
      <c r="G2610" s="1">
        <v>12</v>
      </c>
      <c r="H2610" s="4">
        <v>0.75</v>
      </c>
      <c r="I2610" s="1">
        <v>1</v>
      </c>
      <c r="J2610" s="4">
        <v>0</v>
      </c>
      <c r="K2610" s="1">
        <v>0</v>
      </c>
      <c r="L2610" s="1">
        <v>2</v>
      </c>
      <c r="M2610" s="32">
        <f>IF(Mecze[[#This Row],[PR]]=0,0,Mecze[[#This Row],[PR]]/Mecze[[#This Row],[CZAS]])</f>
        <v>2.0618556701030927E-2</v>
      </c>
      <c r="N2610" s="32">
        <f>IF(Mecze[[#This Row],[OU]]=0,0,Mecze[[#This Row],[OU]]/Mecze[[#This Row],[CZAS]])</f>
        <v>0</v>
      </c>
      <c r="O2610" s="32">
        <f>IF(Mecze[[#This Row],[PC]]=0,0,Mecze[[#This Row],[PC]]/Mecze[[#This Row],[CZAS]])</f>
        <v>9.2783505154639179E-2</v>
      </c>
      <c r="P2610" s="32">
        <f>IF(Mecze[[#This Row],[SC]]=0,0,Mecze[[#This Row],[SC]]/Mecze[[#This Row],[CZAS]])</f>
        <v>0</v>
      </c>
      <c r="Q2610" s="32">
        <f>IF(Mecze[[#This Row],[OB]]=0,0,Mecze[[#This Row],[OB]]/Mecze[[#This Row],[CZAS]])</f>
        <v>0</v>
      </c>
      <c r="R2610" s="32">
        <f>IF(Mecze[[#This Row],[BR]]=0,0,Mecze[[#This Row],[BR]]/Mecze[[#This Row],[CZAS]])</f>
        <v>0</v>
      </c>
      <c r="S2610" s="44">
        <f>IF(Mecze[[#This Row],[Role]]="BR",SUMPRODUCT(Mecze[[#This Row],[/PR:90]:[/BR:90]],Brudnopis!$E$23:$J$23),0)</f>
        <v>0</v>
      </c>
      <c r="T2610" s="44">
        <f>IF(Mecze[[#This Row],[Role]]&lt;&gt;"BR",SUMPRODUCT(Mecze[[#This Row],[/PR:90]:[/BR:90]],Brudnopis!$E$24:$J$24),0)</f>
        <v>0.1134020618556701</v>
      </c>
      <c r="U2610" s="44">
        <f>IF(Mecze[[#This Row],[Role]]&lt;&gt;"BR",SUMPRODUCT(Mecze[[#This Row],[/PR:90]:[/BR:90]],Brudnopis!$E$25:$J$25),0)</f>
        <v>0.15979381443298971</v>
      </c>
      <c r="V2610" s="44">
        <f>IF(Mecze[[#This Row],[Role]]&lt;&gt;"BR",SUMPRODUCT(Mecze[[#This Row],[/PR:90]:[/BR:90]],Brudnopis!$E$26:$J$26),0)</f>
        <v>0.1134020618556701</v>
      </c>
      <c r="W2610" s="44">
        <f>IF(Mecze[[#This Row],[Role]]&lt;&gt;"BR",SUMPRODUCT(Mecze[[#This Row],[/PR:90]:[/BR:90]],Brudnopis!$E$27:$J$27),0)</f>
        <v>0.15463917525773196</v>
      </c>
      <c r="X2610" s="44">
        <f>IF(Mecze[[#This Row],[Role]]&lt;&gt;"BR",SUMPRODUCT(Mecze[[#This Row],[/PR:90]:[/BR:90]],Brudnopis!$E$28:$J$28),0)</f>
        <v>9.2783505154639179E-2</v>
      </c>
      <c r="Y2610" s="35">
        <f>IF(Mecze[[#This Row],[Role]]="BR",Mecze[[#This Row],[/OB:90]]+Mecze[[#This Row],[/PC:90]],SUM(Mecze[[#This Row],[/PR:90]:[/BR:90]]))</f>
        <v>0.1134020618556701</v>
      </c>
      <c r="Z2610" s="35">
        <f>IF(Mecze[[#This Row],[KC]]=0,SUM(Mecze[[#This Row],[/BRI]:[/NPI]]),SUM(Mecze[[#This Row],[/BRI]:[/NPI]])*0.6)</f>
        <v>0.63402061855670111</v>
      </c>
      <c r="AA2610" s="10">
        <f>IFERROR(Mecze[[#This Row],[BR]]/Mecze[[#This Row],[ST]],0)</f>
        <v>0</v>
      </c>
      <c r="AB2610">
        <f>ROUND(Mecze[[#This Row],[PD]]*Mecze[[#This Row],[%PC]],0)</f>
        <v>9</v>
      </c>
      <c r="AC2610">
        <f>ROUND(Mecze[[#This Row],[OD]]*Mecze[[#This Row],[%OU]],0)</f>
        <v>0</v>
      </c>
      <c r="AD2610" s="36" t="s">
        <v>171</v>
      </c>
      <c r="AE2610" s="36">
        <v>145</v>
      </c>
      <c r="AF2610" s="71">
        <v>3.35</v>
      </c>
      <c r="AG2610" s="37">
        <v>0</v>
      </c>
      <c r="AH2610" s="37">
        <v>0</v>
      </c>
      <c r="AI2610" s="37">
        <v>97</v>
      </c>
      <c r="AJ2610" s="37">
        <v>4</v>
      </c>
      <c r="AK2610" s="37" t="str">
        <f>VLOOKUP(Mecze[[#This Row],[Match ID]],Meczusie[Mecz]:Meczusie[RodzajMeczu],2,FALSE)</f>
        <v>Liga</v>
      </c>
    </row>
    <row r="2611" spans="1:37" x14ac:dyDescent="0.25">
      <c r="A2611" s="76">
        <v>11</v>
      </c>
      <c r="B2611" s="3" t="s">
        <v>282</v>
      </c>
      <c r="C2611" s="2" t="s">
        <v>165</v>
      </c>
      <c r="D2611" s="1">
        <v>1</v>
      </c>
      <c r="E2611" s="1">
        <v>9</v>
      </c>
      <c r="F2611" s="1">
        <v>5</v>
      </c>
      <c r="G2611" s="1">
        <v>5</v>
      </c>
      <c r="H2611" s="4">
        <v>0.4</v>
      </c>
      <c r="I2611" s="1">
        <v>3</v>
      </c>
      <c r="J2611" s="4">
        <v>1</v>
      </c>
      <c r="K2611" s="1">
        <v>0</v>
      </c>
      <c r="L2611" s="1">
        <v>2</v>
      </c>
      <c r="M2611" s="32">
        <f>IF(Mecze[[#This Row],[PR]]=0,0,Mecze[[#This Row],[PR]]/Mecze[[#This Row],[CZAS]])</f>
        <v>2.0618556701030927E-2</v>
      </c>
      <c r="N2611" s="32">
        <f>IF(Mecze[[#This Row],[OU]]=0,0,Mecze[[#This Row],[OU]]/Mecze[[#This Row],[CZAS]])</f>
        <v>3.0927835051546393E-2</v>
      </c>
      <c r="O2611" s="32">
        <f>IF(Mecze[[#This Row],[PC]]=0,0,Mecze[[#This Row],[PC]]/Mecze[[#This Row],[CZAS]])</f>
        <v>2.0618556701030927E-2</v>
      </c>
      <c r="P2611" s="32">
        <f>IF(Mecze[[#This Row],[SC]]=0,0,Mecze[[#This Row],[SC]]/Mecze[[#This Row],[CZAS]])</f>
        <v>5.1546391752577317E-2</v>
      </c>
      <c r="Q2611" s="32">
        <f>IF(Mecze[[#This Row],[OB]]=0,0,Mecze[[#This Row],[OB]]/Mecze[[#This Row],[CZAS]])</f>
        <v>0</v>
      </c>
      <c r="R2611" s="32">
        <f>IF(Mecze[[#This Row],[BR]]=0,0,Mecze[[#This Row],[BR]]/Mecze[[#This Row],[CZAS]])</f>
        <v>1.0309278350515464E-2</v>
      </c>
      <c r="S2611" s="44">
        <f>IF(Mecze[[#This Row],[Role]]="BR",SUMPRODUCT(Mecze[[#This Row],[/PR:90]:[/BR:90]],Brudnopis!$E$23:$J$23),0)</f>
        <v>0</v>
      </c>
      <c r="T2611" s="44">
        <f>IF(Mecze[[#This Row],[Role]]&lt;&gt;"BR",SUMPRODUCT(Mecze[[#This Row],[/PR:90]:[/BR:90]],Brudnopis!$E$24:$J$24),0)</f>
        <v>0.15463917525773196</v>
      </c>
      <c r="U2611" s="44">
        <f>IF(Mecze[[#This Row],[Role]]&lt;&gt;"BR",SUMPRODUCT(Mecze[[#This Row],[/PR:90]:[/BR:90]],Brudnopis!$E$25:$J$25),0)</f>
        <v>0.14948453608247422</v>
      </c>
      <c r="V2611" s="44">
        <f>IF(Mecze[[#This Row],[Role]]&lt;&gt;"BR",SUMPRODUCT(Mecze[[#This Row],[/PR:90]:[/BR:90]],Brudnopis!$E$26:$J$26),0)</f>
        <v>0.14432989690721648</v>
      </c>
      <c r="W2611" s="44">
        <f>IF(Mecze[[#This Row],[Role]]&lt;&gt;"BR",SUMPRODUCT(Mecze[[#This Row],[/PR:90]:[/BR:90]],Brudnopis!$E$27:$J$27),0)</f>
        <v>0.14175257731958762</v>
      </c>
      <c r="X2611" s="44">
        <f>IF(Mecze[[#This Row],[Role]]&lt;&gt;"BR",SUMPRODUCT(Mecze[[#This Row],[/PR:90]:[/BR:90]],Brudnopis!$E$28:$J$28),0)</f>
        <v>0.15463917525773196</v>
      </c>
      <c r="Y2611" s="35">
        <f>IF(Mecze[[#This Row],[Role]]="BR",Mecze[[#This Row],[/OB:90]]+Mecze[[#This Row],[/PC:90]],SUM(Mecze[[#This Row],[/PR:90]:[/BR:90]]))</f>
        <v>0.13402061855670103</v>
      </c>
      <c r="Z2611" s="35">
        <f>IF(Mecze[[#This Row],[KC]]=0,SUM(Mecze[[#This Row],[/BRI]:[/NPI]]),SUM(Mecze[[#This Row],[/BRI]:[/NPI]])*0.6)</f>
        <v>0.74484536082474229</v>
      </c>
      <c r="AA2611" s="10">
        <f>IFERROR(Mecze[[#This Row],[BR]]/Mecze[[#This Row],[ST]],0)</f>
        <v>0.1111111111111111</v>
      </c>
      <c r="AB2611">
        <f>ROUND(Mecze[[#This Row],[PD]]*Mecze[[#This Row],[%PC]],0)</f>
        <v>2</v>
      </c>
      <c r="AC2611">
        <f>ROUND(Mecze[[#This Row],[OD]]*Mecze[[#This Row],[%OU]],0)</f>
        <v>3</v>
      </c>
      <c r="AD2611" s="36" t="s">
        <v>46</v>
      </c>
      <c r="AE2611" s="36">
        <v>145</v>
      </c>
      <c r="AF2611" s="71">
        <v>5.12</v>
      </c>
      <c r="AG2611" s="37">
        <v>0</v>
      </c>
      <c r="AH2611" s="37">
        <v>0</v>
      </c>
      <c r="AI2611" s="37">
        <v>97</v>
      </c>
      <c r="AJ2611" s="37">
        <v>4</v>
      </c>
      <c r="AK2611" s="37" t="str">
        <f>VLOOKUP(Mecze[[#This Row],[Match ID]],Meczusie[Mecz]:Meczusie[RodzajMeczu],2,FALSE)</f>
        <v>Liga</v>
      </c>
    </row>
    <row r="2612" spans="1:37" x14ac:dyDescent="0.25">
      <c r="A2612" s="76">
        <v>8</v>
      </c>
      <c r="B2612" s="3" t="s">
        <v>283</v>
      </c>
      <c r="C2612" s="2" t="s">
        <v>165</v>
      </c>
      <c r="D2612" s="1">
        <v>0</v>
      </c>
      <c r="E2612" s="1">
        <v>6</v>
      </c>
      <c r="F2612" s="1">
        <v>5</v>
      </c>
      <c r="G2612" s="1">
        <v>12</v>
      </c>
      <c r="H2612" s="4">
        <v>0.5</v>
      </c>
      <c r="I2612" s="1">
        <v>0</v>
      </c>
      <c r="J2612" s="4"/>
      <c r="K2612" s="1">
        <v>0</v>
      </c>
      <c r="L2612" s="1">
        <v>0</v>
      </c>
      <c r="M2612" s="32">
        <f>IF(Mecze[[#This Row],[PR]]=0,0,Mecze[[#This Row],[PR]]/Mecze[[#This Row],[CZAS]])</f>
        <v>0</v>
      </c>
      <c r="N2612" s="32">
        <f>IF(Mecze[[#This Row],[OU]]=0,0,Mecze[[#This Row],[OU]]/Mecze[[#This Row],[CZAS]])</f>
        <v>0</v>
      </c>
      <c r="O2612" s="32">
        <f>IF(Mecze[[#This Row],[PC]]=0,0,Mecze[[#This Row],[PC]]/Mecze[[#This Row],[CZAS]])</f>
        <v>6.1855670103092786E-2</v>
      </c>
      <c r="P2612" s="32">
        <f>IF(Mecze[[#This Row],[SC]]=0,0,Mecze[[#This Row],[SC]]/Mecze[[#This Row],[CZAS]])</f>
        <v>5.1546391752577317E-2</v>
      </c>
      <c r="Q2612" s="32">
        <f>IF(Mecze[[#This Row],[OB]]=0,0,Mecze[[#This Row],[OB]]/Mecze[[#This Row],[CZAS]])</f>
        <v>0</v>
      </c>
      <c r="R2612" s="32">
        <f>IF(Mecze[[#This Row],[BR]]=0,0,Mecze[[#This Row],[BR]]/Mecze[[#This Row],[CZAS]])</f>
        <v>0</v>
      </c>
      <c r="S2612" s="44">
        <f>IF(Mecze[[#This Row],[Role]]="BR",SUMPRODUCT(Mecze[[#This Row],[/PR:90]:[/BR:90]],Brudnopis!$E$23:$J$23),0)</f>
        <v>0</v>
      </c>
      <c r="T2612" s="44">
        <f>IF(Mecze[[#This Row],[Role]]&lt;&gt;"BR",SUMPRODUCT(Mecze[[#This Row],[/PR:90]:[/BR:90]],Brudnopis!$E$24:$J$24),0)</f>
        <v>0.1134020618556701</v>
      </c>
      <c r="U2612" s="44">
        <f>IF(Mecze[[#This Row],[Role]]&lt;&gt;"BR",SUMPRODUCT(Mecze[[#This Row],[/PR:90]:[/BR:90]],Brudnopis!$E$25:$J$25),0)</f>
        <v>0.14432989690721648</v>
      </c>
      <c r="V2612" s="44">
        <f>IF(Mecze[[#This Row],[Role]]&lt;&gt;"BR",SUMPRODUCT(Mecze[[#This Row],[/PR:90]:[/BR:90]],Brudnopis!$E$26:$J$26),0)</f>
        <v>0.1134020618556701</v>
      </c>
      <c r="W2612" s="44">
        <f>IF(Mecze[[#This Row],[Role]]&lt;&gt;"BR",SUMPRODUCT(Mecze[[#This Row],[/PR:90]:[/BR:90]],Brudnopis!$E$27:$J$27),0)</f>
        <v>0.14432989690721648</v>
      </c>
      <c r="X2612" s="44">
        <f>IF(Mecze[[#This Row],[Role]]&lt;&gt;"BR",SUMPRODUCT(Mecze[[#This Row],[/PR:90]:[/BR:90]],Brudnopis!$E$28:$J$28),0)</f>
        <v>0.16494845360824742</v>
      </c>
      <c r="Y2612" s="35">
        <f>IF(Mecze[[#This Row],[Role]]="BR",Mecze[[#This Row],[/OB:90]]+Mecze[[#This Row],[/PC:90]],SUM(Mecze[[#This Row],[/PR:90]:[/BR:90]]))</f>
        <v>0.1134020618556701</v>
      </c>
      <c r="Z2612" s="35">
        <f>IF(Mecze[[#This Row],[KC]]=0,SUM(Mecze[[#This Row],[/BRI]:[/NPI]]),SUM(Mecze[[#This Row],[/BRI]:[/NPI]])*0.6)</f>
        <v>0.68041237113402053</v>
      </c>
      <c r="AA2612" s="10">
        <f>IFERROR(Mecze[[#This Row],[BR]]/Mecze[[#This Row],[ST]],0)</f>
        <v>0</v>
      </c>
      <c r="AB2612">
        <f>ROUND(Mecze[[#This Row],[PD]]*Mecze[[#This Row],[%PC]],0)</f>
        <v>6</v>
      </c>
      <c r="AC2612">
        <f>ROUND(Mecze[[#This Row],[OD]]*Mecze[[#This Row],[%OU]],0)</f>
        <v>0</v>
      </c>
      <c r="AD2612" s="36" t="s">
        <v>273</v>
      </c>
      <c r="AE2612" s="36">
        <v>145</v>
      </c>
      <c r="AF2612" s="71">
        <v>6.36</v>
      </c>
      <c r="AG2612" s="37">
        <v>0</v>
      </c>
      <c r="AH2612" s="37">
        <v>0</v>
      </c>
      <c r="AI2612" s="37">
        <v>97</v>
      </c>
      <c r="AJ2612" s="37">
        <v>4</v>
      </c>
      <c r="AK2612" s="37" t="str">
        <f>VLOOKUP(Mecze[[#This Row],[Match ID]],Meczusie[Mecz]:Meczusie[RodzajMeczu],2,FALSE)</f>
        <v>Liga</v>
      </c>
    </row>
    <row r="2613" spans="1:37" x14ac:dyDescent="0.25">
      <c r="A2613" s="76">
        <v>10</v>
      </c>
      <c r="B2613" s="3" t="s">
        <v>284</v>
      </c>
      <c r="C2613" s="2" t="s">
        <v>165</v>
      </c>
      <c r="D2613" s="1">
        <v>1</v>
      </c>
      <c r="E2613" s="1">
        <v>12</v>
      </c>
      <c r="F2613" s="1">
        <v>10</v>
      </c>
      <c r="G2613" s="1">
        <v>7</v>
      </c>
      <c r="H2613" s="4">
        <v>0.71</v>
      </c>
      <c r="I2613" s="1">
        <v>2</v>
      </c>
      <c r="J2613" s="4">
        <v>0</v>
      </c>
      <c r="K2613" s="1">
        <v>0</v>
      </c>
      <c r="L2613" s="1">
        <v>0</v>
      </c>
      <c r="M2613" s="32">
        <f>IF(Mecze[[#This Row],[PR]]=0,0,Mecze[[#This Row],[PR]]/Mecze[[#This Row],[CZAS]])</f>
        <v>0</v>
      </c>
      <c r="N2613" s="32">
        <f>IF(Mecze[[#This Row],[OU]]=0,0,Mecze[[#This Row],[OU]]/Mecze[[#This Row],[CZAS]])</f>
        <v>0</v>
      </c>
      <c r="O2613" s="32">
        <f>IF(Mecze[[#This Row],[PC]]=0,0,Mecze[[#This Row],[PC]]/Mecze[[#This Row],[CZAS]])</f>
        <v>5.1546391752577317E-2</v>
      </c>
      <c r="P2613" s="32">
        <f>IF(Mecze[[#This Row],[SC]]=0,0,Mecze[[#This Row],[SC]]/Mecze[[#This Row],[CZAS]])</f>
        <v>0.10309278350515463</v>
      </c>
      <c r="Q2613" s="32">
        <f>IF(Mecze[[#This Row],[OB]]=0,0,Mecze[[#This Row],[OB]]/Mecze[[#This Row],[CZAS]])</f>
        <v>0</v>
      </c>
      <c r="R2613" s="32">
        <f>IF(Mecze[[#This Row],[BR]]=0,0,Mecze[[#This Row],[BR]]/Mecze[[#This Row],[CZAS]])</f>
        <v>1.0309278350515464E-2</v>
      </c>
      <c r="S2613" s="44">
        <f>IF(Mecze[[#This Row],[Role]]="BR",SUMPRODUCT(Mecze[[#This Row],[/PR:90]:[/BR:90]],Brudnopis!$E$23:$J$23),0)</f>
        <v>0</v>
      </c>
      <c r="T2613" s="44">
        <f>IF(Mecze[[#This Row],[Role]]&lt;&gt;"BR",SUMPRODUCT(Mecze[[#This Row],[/PR:90]:[/BR:90]],Brudnopis!$E$24:$J$24),0)</f>
        <v>0.17010309278350516</v>
      </c>
      <c r="U2613" s="44">
        <f>IF(Mecze[[#This Row],[Role]]&lt;&gt;"BR",SUMPRODUCT(Mecze[[#This Row],[/PR:90]:[/BR:90]],Brudnopis!$E$25:$J$25),0)</f>
        <v>0.19587628865979381</v>
      </c>
      <c r="V2613" s="44">
        <f>IF(Mecze[[#This Row],[Role]]&lt;&gt;"BR",SUMPRODUCT(Mecze[[#This Row],[/PR:90]:[/BR:90]],Brudnopis!$E$26:$J$26),0)</f>
        <v>0.1752577319587629</v>
      </c>
      <c r="W2613" s="44">
        <f>IF(Mecze[[#This Row],[Role]]&lt;&gt;"BR",SUMPRODUCT(Mecze[[#This Row],[/PR:90]:[/BR:90]],Brudnopis!$E$27:$J$27),0)</f>
        <v>0.20103092783505155</v>
      </c>
      <c r="X2613" s="44">
        <f>IF(Mecze[[#This Row],[Role]]&lt;&gt;"BR",SUMPRODUCT(Mecze[[#This Row],[/PR:90]:[/BR:90]],Brudnopis!$E$28:$J$28),0)</f>
        <v>0.28865979381443296</v>
      </c>
      <c r="Y2613" s="35">
        <f>IF(Mecze[[#This Row],[Role]]="BR",Mecze[[#This Row],[/OB:90]]+Mecze[[#This Row],[/PC:90]],SUM(Mecze[[#This Row],[/PR:90]:[/BR:90]]))</f>
        <v>0.16494845360824742</v>
      </c>
      <c r="Z2613" s="35">
        <f>IF(Mecze[[#This Row],[KC]]=0,SUM(Mecze[[#This Row],[/BRI]:[/NPI]]),SUM(Mecze[[#This Row],[/BRI]:[/NPI]])*0.6)</f>
        <v>1.0309278350515463</v>
      </c>
      <c r="AA2613" s="10">
        <f>IFERROR(Mecze[[#This Row],[BR]]/Mecze[[#This Row],[ST]],0)</f>
        <v>8.3333333333333329E-2</v>
      </c>
      <c r="AB2613">
        <f>ROUND(Mecze[[#This Row],[PD]]*Mecze[[#This Row],[%PC]],0)</f>
        <v>5</v>
      </c>
      <c r="AC2613">
        <f>ROUND(Mecze[[#This Row],[OD]]*Mecze[[#This Row],[%OU]],0)</f>
        <v>0</v>
      </c>
      <c r="AD2613" s="36" t="s">
        <v>46</v>
      </c>
      <c r="AE2613" s="36">
        <v>145</v>
      </c>
      <c r="AF2613" s="71">
        <v>9.76</v>
      </c>
      <c r="AG2613" s="37">
        <v>0</v>
      </c>
      <c r="AH2613" s="37">
        <v>0</v>
      </c>
      <c r="AI2613" s="37">
        <v>97</v>
      </c>
      <c r="AJ2613" s="37">
        <v>4</v>
      </c>
      <c r="AK2613" s="37" t="str">
        <f>VLOOKUP(Mecze[[#This Row],[Match ID]],Meczusie[Mecz]:Meczusie[RodzajMeczu],2,FALSE)</f>
        <v>Liga</v>
      </c>
    </row>
    <row r="2614" spans="1:37" x14ac:dyDescent="0.25">
      <c r="A2614" s="76">
        <v>13</v>
      </c>
      <c r="B2614" s="3" t="s">
        <v>287</v>
      </c>
      <c r="C2614" s="2" t="s">
        <v>160</v>
      </c>
      <c r="D2614" s="1">
        <v>0</v>
      </c>
      <c r="E2614" s="1">
        <v>0</v>
      </c>
      <c r="F2614" s="1">
        <v>0</v>
      </c>
      <c r="G2614" s="1">
        <v>10</v>
      </c>
      <c r="H2614" s="4">
        <v>0.9</v>
      </c>
      <c r="I2614" s="1">
        <v>1</v>
      </c>
      <c r="J2614" s="4">
        <v>1</v>
      </c>
      <c r="K2614" s="1">
        <v>0</v>
      </c>
      <c r="L2614" s="1">
        <v>1</v>
      </c>
      <c r="M2614" s="32">
        <f>IF(Mecze[[#This Row],[PR]]=0,0,Mecze[[#This Row],[PR]]/Mecze[[#This Row],[CZAS]])</f>
        <v>1.0309278350515464E-2</v>
      </c>
      <c r="N2614" s="32">
        <f>IF(Mecze[[#This Row],[OU]]=0,0,Mecze[[#This Row],[OU]]/Mecze[[#This Row],[CZAS]])</f>
        <v>1.0309278350515464E-2</v>
      </c>
      <c r="O2614" s="32">
        <f>IF(Mecze[[#This Row],[PC]]=0,0,Mecze[[#This Row],[PC]]/Mecze[[#This Row],[CZAS]])</f>
        <v>9.2783505154639179E-2</v>
      </c>
      <c r="P2614" s="32">
        <f>IF(Mecze[[#This Row],[SC]]=0,0,Mecze[[#This Row],[SC]]/Mecze[[#This Row],[CZAS]])</f>
        <v>0</v>
      </c>
      <c r="Q2614" s="32">
        <f>IF(Mecze[[#This Row],[OB]]=0,0,Mecze[[#This Row],[OB]]/Mecze[[#This Row],[CZAS]])</f>
        <v>0</v>
      </c>
      <c r="R2614" s="32">
        <f>IF(Mecze[[#This Row],[BR]]=0,0,Mecze[[#This Row],[BR]]/Mecze[[#This Row],[CZAS]])</f>
        <v>0</v>
      </c>
      <c r="S2614" s="44">
        <f>IF(Mecze[[#This Row],[Role]]="BR",SUMPRODUCT(Mecze[[#This Row],[/PR:90]:[/BR:90]],Brudnopis!$E$23:$J$23),0)</f>
        <v>0</v>
      </c>
      <c r="T2614" s="44">
        <f>IF(Mecze[[#This Row],[Role]]&lt;&gt;"BR",SUMPRODUCT(Mecze[[#This Row],[/PR:90]:[/BR:90]],Brudnopis!$E$24:$J$24),0)</f>
        <v>0.11855670103092783</v>
      </c>
      <c r="U2614" s="44">
        <f>IF(Mecze[[#This Row],[Role]]&lt;&gt;"BR",SUMPRODUCT(Mecze[[#This Row],[/PR:90]:[/BR:90]],Brudnopis!$E$25:$J$25),0)</f>
        <v>0.15979381443298971</v>
      </c>
      <c r="V2614" s="44">
        <f>IF(Mecze[[#This Row],[Role]]&lt;&gt;"BR",SUMPRODUCT(Mecze[[#This Row],[/PR:90]:[/BR:90]],Brudnopis!$E$26:$J$26),0)</f>
        <v>0.1134020618556701</v>
      </c>
      <c r="W2614" s="44">
        <f>IF(Mecze[[#This Row],[Role]]&lt;&gt;"BR",SUMPRODUCT(Mecze[[#This Row],[/PR:90]:[/BR:90]],Brudnopis!$E$27:$J$27),0)</f>
        <v>0.15463917525773196</v>
      </c>
      <c r="X2614" s="44">
        <f>IF(Mecze[[#This Row],[Role]]&lt;&gt;"BR",SUMPRODUCT(Mecze[[#This Row],[/PR:90]:[/BR:90]],Brudnopis!$E$28:$J$28),0)</f>
        <v>9.2783505154639179E-2</v>
      </c>
      <c r="Y2614" s="35">
        <f>IF(Mecze[[#This Row],[Role]]="BR",Mecze[[#This Row],[/OB:90]]+Mecze[[#This Row],[/PC:90]],SUM(Mecze[[#This Row],[/PR:90]:[/BR:90]]))</f>
        <v>0.1134020618556701</v>
      </c>
      <c r="Z2614" s="35">
        <f>IF(Mecze[[#This Row],[KC]]=0,SUM(Mecze[[#This Row],[/BRI]:[/NPI]]),SUM(Mecze[[#This Row],[/BRI]:[/NPI]])*0.6)</f>
        <v>0.63917525773195882</v>
      </c>
      <c r="AA2614" s="10">
        <f>IFERROR(Mecze[[#This Row],[BR]]/Mecze[[#This Row],[ST]],0)</f>
        <v>0</v>
      </c>
      <c r="AB2614">
        <f>ROUND(Mecze[[#This Row],[PD]]*Mecze[[#This Row],[%PC]],0)</f>
        <v>9</v>
      </c>
      <c r="AC2614">
        <f>ROUND(Mecze[[#This Row],[OD]]*Mecze[[#This Row],[%OU]],0)</f>
        <v>1</v>
      </c>
      <c r="AD2614" s="36" t="s">
        <v>171</v>
      </c>
      <c r="AE2614" s="36">
        <v>145</v>
      </c>
      <c r="AF2614" s="71">
        <v>4.05</v>
      </c>
      <c r="AG2614" s="37">
        <v>0</v>
      </c>
      <c r="AH2614" s="37">
        <v>0</v>
      </c>
      <c r="AI2614" s="37">
        <v>97</v>
      </c>
      <c r="AJ2614" s="37">
        <v>4</v>
      </c>
      <c r="AK2614" s="37" t="str">
        <f>VLOOKUP(Mecze[[#This Row],[Match ID]],Meczusie[Mecz]:Meczusie[RodzajMeczu],2,FALSE)</f>
        <v>Liga</v>
      </c>
    </row>
    <row r="2615" spans="1:37" x14ac:dyDescent="0.25">
      <c r="A2615" s="76">
        <v>15</v>
      </c>
      <c r="B2615" s="3" t="s">
        <v>286</v>
      </c>
      <c r="C2615" s="2" t="s">
        <v>165</v>
      </c>
      <c r="D2615" s="1">
        <v>0</v>
      </c>
      <c r="E2615" s="1">
        <v>1</v>
      </c>
      <c r="F2615" s="1">
        <v>1</v>
      </c>
      <c r="G2615" s="1">
        <v>1</v>
      </c>
      <c r="H2615" s="4">
        <v>1</v>
      </c>
      <c r="I2615" s="1">
        <v>0</v>
      </c>
      <c r="J2615" s="4"/>
      <c r="K2615" s="1">
        <v>0</v>
      </c>
      <c r="L2615" s="1">
        <v>2</v>
      </c>
      <c r="M2615" s="32">
        <f>IF(Mecze[[#This Row],[PR]]=0,0,Mecze[[#This Row],[PR]]/Mecze[[#This Row],[CZAS]])</f>
        <v>2.0618556701030927E-2</v>
      </c>
      <c r="N2615" s="32">
        <f>IF(Mecze[[#This Row],[OU]]=0,0,Mecze[[#This Row],[OU]]/Mecze[[#This Row],[CZAS]])</f>
        <v>0</v>
      </c>
      <c r="O2615" s="32">
        <f>IF(Mecze[[#This Row],[PC]]=0,0,Mecze[[#This Row],[PC]]/Mecze[[#This Row],[CZAS]])</f>
        <v>1.0309278350515464E-2</v>
      </c>
      <c r="P2615" s="32">
        <f>IF(Mecze[[#This Row],[SC]]=0,0,Mecze[[#This Row],[SC]]/Mecze[[#This Row],[CZAS]])</f>
        <v>1.0309278350515464E-2</v>
      </c>
      <c r="Q2615" s="32">
        <f>IF(Mecze[[#This Row],[OB]]=0,0,Mecze[[#This Row],[OB]]/Mecze[[#This Row],[CZAS]])</f>
        <v>0</v>
      </c>
      <c r="R2615" s="32">
        <f>IF(Mecze[[#This Row],[BR]]=0,0,Mecze[[#This Row],[BR]]/Mecze[[#This Row],[CZAS]])</f>
        <v>0</v>
      </c>
      <c r="S2615" s="44">
        <f>IF(Mecze[[#This Row],[Role]]="BR",SUMPRODUCT(Mecze[[#This Row],[/PR:90]:[/BR:90]],Brudnopis!$E$23:$J$23),0)</f>
        <v>0</v>
      </c>
      <c r="T2615" s="44">
        <f>IF(Mecze[[#This Row],[Role]]&lt;&gt;"BR",SUMPRODUCT(Mecze[[#This Row],[/PR:90]:[/BR:90]],Brudnopis!$E$24:$J$24),0)</f>
        <v>4.1237113402061855E-2</v>
      </c>
      <c r="U2615" s="44">
        <f>IF(Mecze[[#This Row],[Role]]&lt;&gt;"BR",SUMPRODUCT(Mecze[[#This Row],[/PR:90]:[/BR:90]],Brudnopis!$E$25:$J$25),0)</f>
        <v>4.6391752577319582E-2</v>
      </c>
      <c r="V2615" s="44">
        <f>IF(Mecze[[#This Row],[Role]]&lt;&gt;"BR",SUMPRODUCT(Mecze[[#This Row],[/PR:90]:[/BR:90]],Brudnopis!$E$26:$J$26),0)</f>
        <v>4.1237113402061855E-2</v>
      </c>
      <c r="W2615" s="44">
        <f>IF(Mecze[[#This Row],[Role]]&lt;&gt;"BR",SUMPRODUCT(Mecze[[#This Row],[/PR:90]:[/BR:90]],Brudnopis!$E$27:$J$27),0)</f>
        <v>4.1237113402061855E-2</v>
      </c>
      <c r="X2615" s="44">
        <f>IF(Mecze[[#This Row],[Role]]&lt;&gt;"BR",SUMPRODUCT(Mecze[[#This Row],[/PR:90]:[/BR:90]],Brudnopis!$E$28:$J$28),0)</f>
        <v>3.0927835051546393E-2</v>
      </c>
      <c r="Y2615" s="35">
        <f>IF(Mecze[[#This Row],[Role]]="BR",Mecze[[#This Row],[/OB:90]]+Mecze[[#This Row],[/PC:90]],SUM(Mecze[[#This Row],[/PR:90]:[/BR:90]]))</f>
        <v>4.1237113402061855E-2</v>
      </c>
      <c r="Z2615" s="35">
        <f>IF(Mecze[[#This Row],[KC]]=0,SUM(Mecze[[#This Row],[/BRI]:[/NPI]]),SUM(Mecze[[#This Row],[/BRI]:[/NPI]])*0.6)</f>
        <v>0.20103092783505153</v>
      </c>
      <c r="AA2615" s="10">
        <f>IFERROR(Mecze[[#This Row],[BR]]/Mecze[[#This Row],[ST]],0)</f>
        <v>0</v>
      </c>
      <c r="AB2615">
        <f>ROUND(Mecze[[#This Row],[PD]]*Mecze[[#This Row],[%PC]],0)</f>
        <v>1</v>
      </c>
      <c r="AC2615">
        <f>ROUND(Mecze[[#This Row],[OD]]*Mecze[[#This Row],[%OU]],0)</f>
        <v>0</v>
      </c>
      <c r="AD2615" s="36" t="s">
        <v>46</v>
      </c>
      <c r="AE2615" s="36">
        <v>145</v>
      </c>
      <c r="AF2615" s="71">
        <v>1.94</v>
      </c>
      <c r="AG2615" s="37">
        <v>0</v>
      </c>
      <c r="AH2615" s="37">
        <v>0</v>
      </c>
      <c r="AI2615" s="37">
        <v>97</v>
      </c>
      <c r="AJ2615" s="37">
        <v>4</v>
      </c>
      <c r="AK2615" s="37" t="str">
        <f>VLOOKUP(Mecze[[#This Row],[Match ID]],Meczusie[Mecz]:Meczusie[RodzajMeczu],2,FALSE)</f>
        <v>Liga</v>
      </c>
    </row>
    <row r="2616" spans="1:37" x14ac:dyDescent="0.25">
      <c r="A2616" s="76">
        <v>1</v>
      </c>
      <c r="B2616" s="3" t="s">
        <v>261</v>
      </c>
      <c r="C2616" s="2" t="s">
        <v>155</v>
      </c>
      <c r="D2616" s="1">
        <v>0</v>
      </c>
      <c r="E2616" s="1">
        <v>0</v>
      </c>
      <c r="F2616" s="1">
        <v>0</v>
      </c>
      <c r="G2616" s="1">
        <v>1</v>
      </c>
      <c r="H2616" s="4">
        <v>1</v>
      </c>
      <c r="I2616" s="1">
        <v>0</v>
      </c>
      <c r="J2616" s="4"/>
      <c r="K2616" s="1">
        <v>1</v>
      </c>
      <c r="L2616" s="1">
        <v>0</v>
      </c>
      <c r="M2616" s="32">
        <f>IF(Mecze[[#This Row],[PR]]=0,0,Mecze[[#This Row],[PR]]/Mecze[[#This Row],[CZAS]])</f>
        <v>0</v>
      </c>
      <c r="N2616" s="32">
        <f>IF(Mecze[[#This Row],[OU]]=0,0,Mecze[[#This Row],[OU]]/Mecze[[#This Row],[CZAS]])</f>
        <v>0</v>
      </c>
      <c r="O2616" s="32">
        <f>IF(Mecze[[#This Row],[PC]]=0,0,Mecze[[#This Row],[PC]]/Mecze[[#This Row],[CZAS]])</f>
        <v>1.020408163265306E-2</v>
      </c>
      <c r="P2616" s="32">
        <f>IF(Mecze[[#This Row],[SC]]=0,0,Mecze[[#This Row],[SC]]/Mecze[[#This Row],[CZAS]])</f>
        <v>0</v>
      </c>
      <c r="Q2616" s="32">
        <f>IF(Mecze[[#This Row],[OB]]=0,0,Mecze[[#This Row],[OB]]/Mecze[[#This Row],[CZAS]])</f>
        <v>1.020408163265306E-2</v>
      </c>
      <c r="R2616" s="32">
        <f>IF(Mecze[[#This Row],[BR]]=0,0,Mecze[[#This Row],[BR]]/Mecze[[#This Row],[CZAS]])</f>
        <v>0</v>
      </c>
      <c r="S2616" s="44">
        <f>IF(Mecze[[#This Row],[Role]]="BR",SUMPRODUCT(Mecze[[#This Row],[/PR:90]:[/BR:90]],Brudnopis!$E$23:$J$23),0)</f>
        <v>6.1224489795918366E-2</v>
      </c>
      <c r="T2616" s="44">
        <f>IF(Mecze[[#This Row],[Role]]&lt;&gt;"BR",SUMPRODUCT(Mecze[[#This Row],[/PR:90]:[/BR:90]],Brudnopis!$E$24:$J$24),0)</f>
        <v>0</v>
      </c>
      <c r="U2616" s="44">
        <f>IF(Mecze[[#This Row],[Role]]&lt;&gt;"BR",SUMPRODUCT(Mecze[[#This Row],[/PR:90]:[/BR:90]],Brudnopis!$E$25:$J$25),0)</f>
        <v>0</v>
      </c>
      <c r="V2616" s="44">
        <f>IF(Mecze[[#This Row],[Role]]&lt;&gt;"BR",SUMPRODUCT(Mecze[[#This Row],[/PR:90]:[/BR:90]],Brudnopis!$E$26:$J$26),0)</f>
        <v>0</v>
      </c>
      <c r="W2616" s="44">
        <f>IF(Mecze[[#This Row],[Role]]&lt;&gt;"BR",SUMPRODUCT(Mecze[[#This Row],[/PR:90]:[/BR:90]],Brudnopis!$E$27:$J$27),0)</f>
        <v>0</v>
      </c>
      <c r="X2616" s="44">
        <f>IF(Mecze[[#This Row],[Role]]&lt;&gt;"BR",SUMPRODUCT(Mecze[[#This Row],[/PR:90]:[/BR:90]],Brudnopis!$E$28:$J$28),0)</f>
        <v>0</v>
      </c>
      <c r="Y2616" s="35">
        <f>IF(Mecze[[#This Row],[Role]]="BR",Mecze[[#This Row],[/OB:90]]+Mecze[[#This Row],[/PC:90]],SUM(Mecze[[#This Row],[/PR:90]:[/BR:90]]))</f>
        <v>2.0408163265306121E-2</v>
      </c>
      <c r="Z2616" s="35">
        <f>IF(Mecze[[#This Row],[KC]]=0,SUM(Mecze[[#This Row],[/BRI]:[/NPI]]),SUM(Mecze[[#This Row],[/BRI]:[/NPI]])*0.6)</f>
        <v>6.1224489795918366E-2</v>
      </c>
      <c r="AA2616" s="10">
        <f>IFERROR(Mecze[[#This Row],[BR]]/Mecze[[#This Row],[ST]],0)</f>
        <v>0</v>
      </c>
      <c r="AB2616">
        <f>ROUND(Mecze[[#This Row],[PD]]*Mecze[[#This Row],[%PC]],0)</f>
        <v>1</v>
      </c>
      <c r="AC2616">
        <f>ROUND(Mecze[[#This Row],[OD]]*Mecze[[#This Row],[%OU]],0)</f>
        <v>0</v>
      </c>
      <c r="AD2616" s="36" t="s">
        <v>40</v>
      </c>
      <c r="AE2616" s="36">
        <v>146</v>
      </c>
      <c r="AF2616" s="71">
        <v>7.39</v>
      </c>
      <c r="AG2616" s="37">
        <v>0</v>
      </c>
      <c r="AH2616" s="37">
        <v>0</v>
      </c>
      <c r="AI2616" s="37">
        <v>98</v>
      </c>
      <c r="AJ2616" s="37">
        <v>3</v>
      </c>
      <c r="AK2616" s="37" t="str">
        <f>VLOOKUP(Mecze[[#This Row],[Match ID]],Meczusie[Mecz]:Meczusie[RodzajMeczu],2,FALSE)</f>
        <v>Liga</v>
      </c>
    </row>
    <row r="2617" spans="1:37" x14ac:dyDescent="0.25">
      <c r="A2617" s="76">
        <v>13</v>
      </c>
      <c r="B2617" s="3" t="s">
        <v>262</v>
      </c>
      <c r="C2617" s="2" t="s">
        <v>157</v>
      </c>
      <c r="D2617" s="1">
        <v>0</v>
      </c>
      <c r="E2617" s="1">
        <v>0</v>
      </c>
      <c r="F2617" s="1">
        <v>0</v>
      </c>
      <c r="G2617" s="1">
        <v>1</v>
      </c>
      <c r="H2617" s="4">
        <v>1</v>
      </c>
      <c r="I2617" s="1">
        <v>0</v>
      </c>
      <c r="J2617" s="4"/>
      <c r="K2617" s="1">
        <v>0</v>
      </c>
      <c r="L2617" s="1">
        <v>1</v>
      </c>
      <c r="M2617" s="32">
        <f>IF(Mecze[[#This Row],[PR]]=0,0,Mecze[[#This Row],[PR]]/Mecze[[#This Row],[CZAS]])</f>
        <v>1.020408163265306E-2</v>
      </c>
      <c r="N2617" s="32">
        <f>IF(Mecze[[#This Row],[OU]]=0,0,Mecze[[#This Row],[OU]]/Mecze[[#This Row],[CZAS]])</f>
        <v>0</v>
      </c>
      <c r="O2617" s="32">
        <f>IF(Mecze[[#This Row],[PC]]=0,0,Mecze[[#This Row],[PC]]/Mecze[[#This Row],[CZAS]])</f>
        <v>1.020408163265306E-2</v>
      </c>
      <c r="P2617" s="32">
        <f>IF(Mecze[[#This Row],[SC]]=0,0,Mecze[[#This Row],[SC]]/Mecze[[#This Row],[CZAS]])</f>
        <v>0</v>
      </c>
      <c r="Q2617" s="32">
        <f>IF(Mecze[[#This Row],[OB]]=0,0,Mecze[[#This Row],[OB]]/Mecze[[#This Row],[CZAS]])</f>
        <v>0</v>
      </c>
      <c r="R2617" s="32">
        <f>IF(Mecze[[#This Row],[BR]]=0,0,Mecze[[#This Row],[BR]]/Mecze[[#This Row],[CZAS]])</f>
        <v>0</v>
      </c>
      <c r="S2617" s="44">
        <f>IF(Mecze[[#This Row],[Role]]="BR",SUMPRODUCT(Mecze[[#This Row],[/PR:90]:[/BR:90]],Brudnopis!$E$23:$J$23),0)</f>
        <v>0</v>
      </c>
      <c r="T2617" s="44">
        <f>IF(Mecze[[#This Row],[Role]]&lt;&gt;"BR",SUMPRODUCT(Mecze[[#This Row],[/PR:90]:[/BR:90]],Brudnopis!$E$24:$J$24),0)</f>
        <v>2.0408163265306121E-2</v>
      </c>
      <c r="U2617" s="44">
        <f>IF(Mecze[[#This Row],[Role]]&lt;&gt;"BR",SUMPRODUCT(Mecze[[#This Row],[/PR:90]:[/BR:90]],Brudnopis!$E$25:$J$25),0)</f>
        <v>2.5510204081632654E-2</v>
      </c>
      <c r="V2617" s="44">
        <f>IF(Mecze[[#This Row],[Role]]&lt;&gt;"BR",SUMPRODUCT(Mecze[[#This Row],[/PR:90]:[/BR:90]],Brudnopis!$E$26:$J$26),0)</f>
        <v>2.0408163265306121E-2</v>
      </c>
      <c r="W2617" s="44">
        <f>IF(Mecze[[#This Row],[Role]]&lt;&gt;"BR",SUMPRODUCT(Mecze[[#This Row],[/PR:90]:[/BR:90]],Brudnopis!$E$27:$J$27),0)</f>
        <v>2.2959183673469385E-2</v>
      </c>
      <c r="X2617" s="44">
        <f>IF(Mecze[[#This Row],[Role]]&lt;&gt;"BR",SUMPRODUCT(Mecze[[#This Row],[/PR:90]:[/BR:90]],Brudnopis!$E$28:$J$28),0)</f>
        <v>1.020408163265306E-2</v>
      </c>
      <c r="Y2617" s="35">
        <f>IF(Mecze[[#This Row],[Role]]="BR",Mecze[[#This Row],[/OB:90]]+Mecze[[#This Row],[/PC:90]],SUM(Mecze[[#This Row],[/PR:90]:[/BR:90]]))</f>
        <v>2.0408163265306121E-2</v>
      </c>
      <c r="Z2617" s="35">
        <f>IF(Mecze[[#This Row],[KC]]=0,SUM(Mecze[[#This Row],[/BRI]:[/NPI]]),SUM(Mecze[[#This Row],[/BRI]:[/NPI]])*0.6)</f>
        <v>9.9489795918367332E-2</v>
      </c>
      <c r="AA2617" s="10">
        <f>IFERROR(Mecze[[#This Row],[BR]]/Mecze[[#This Row],[ST]],0)</f>
        <v>0</v>
      </c>
      <c r="AB2617">
        <f>ROUND(Mecze[[#This Row],[PD]]*Mecze[[#This Row],[%PC]],0)</f>
        <v>1</v>
      </c>
      <c r="AC2617">
        <f>ROUND(Mecze[[#This Row],[OD]]*Mecze[[#This Row],[%OU]],0)</f>
        <v>0</v>
      </c>
      <c r="AD2617" s="36" t="s">
        <v>175</v>
      </c>
      <c r="AE2617" s="36">
        <v>146</v>
      </c>
      <c r="AF2617" s="71">
        <v>7.25</v>
      </c>
      <c r="AG2617" s="37">
        <v>0</v>
      </c>
      <c r="AH2617" s="37">
        <v>0</v>
      </c>
      <c r="AI2617" s="37">
        <v>98</v>
      </c>
      <c r="AJ2617" s="37">
        <v>3</v>
      </c>
      <c r="AK2617" s="37" t="str">
        <f>VLOOKUP(Mecze[[#This Row],[Match ID]],Meczusie[Mecz]:Meczusie[RodzajMeczu],2,FALSE)</f>
        <v>Liga</v>
      </c>
    </row>
    <row r="2618" spans="1:37" x14ac:dyDescent="0.25">
      <c r="A2618" s="76">
        <v>4</v>
      </c>
      <c r="B2618" s="3" t="s">
        <v>264</v>
      </c>
      <c r="C2618" s="2" t="s">
        <v>157</v>
      </c>
      <c r="D2618" s="1">
        <v>0</v>
      </c>
      <c r="E2618" s="1">
        <v>0</v>
      </c>
      <c r="F2618" s="1">
        <v>0</v>
      </c>
      <c r="G2618" s="1">
        <v>5</v>
      </c>
      <c r="H2618" s="4">
        <v>0.8</v>
      </c>
      <c r="I2618" s="1">
        <v>1</v>
      </c>
      <c r="J2618" s="4">
        <v>1</v>
      </c>
      <c r="K2618" s="1">
        <v>0</v>
      </c>
      <c r="L2618" s="1">
        <v>4</v>
      </c>
      <c r="M2618" s="32">
        <f>IF(Mecze[[#This Row],[PR]]=0,0,Mecze[[#This Row],[PR]]/Mecze[[#This Row],[CZAS]])</f>
        <v>4.0816326530612242E-2</v>
      </c>
      <c r="N2618" s="32">
        <f>IF(Mecze[[#This Row],[OU]]=0,0,Mecze[[#This Row],[OU]]/Mecze[[#This Row],[CZAS]])</f>
        <v>1.020408163265306E-2</v>
      </c>
      <c r="O2618" s="32">
        <f>IF(Mecze[[#This Row],[PC]]=0,0,Mecze[[#This Row],[PC]]/Mecze[[#This Row],[CZAS]])</f>
        <v>4.0816326530612242E-2</v>
      </c>
      <c r="P2618" s="32">
        <f>IF(Mecze[[#This Row],[SC]]=0,0,Mecze[[#This Row],[SC]]/Mecze[[#This Row],[CZAS]])</f>
        <v>0</v>
      </c>
      <c r="Q2618" s="32">
        <f>IF(Mecze[[#This Row],[OB]]=0,0,Mecze[[#This Row],[OB]]/Mecze[[#This Row],[CZAS]])</f>
        <v>0</v>
      </c>
      <c r="R2618" s="32">
        <f>IF(Mecze[[#This Row],[BR]]=0,0,Mecze[[#This Row],[BR]]/Mecze[[#This Row],[CZAS]])</f>
        <v>0</v>
      </c>
      <c r="S2618" s="44">
        <f>IF(Mecze[[#This Row],[Role]]="BR",SUMPRODUCT(Mecze[[#This Row],[/PR:90]:[/BR:90]],Brudnopis!$E$23:$J$23),0)</f>
        <v>0</v>
      </c>
      <c r="T2618" s="44">
        <f>IF(Mecze[[#This Row],[Role]]&lt;&gt;"BR",SUMPRODUCT(Mecze[[#This Row],[/PR:90]:[/BR:90]],Brudnopis!$E$24:$J$24),0)</f>
        <v>9.6938775510204078E-2</v>
      </c>
      <c r="U2618" s="44">
        <f>IF(Mecze[[#This Row],[Role]]&lt;&gt;"BR",SUMPRODUCT(Mecze[[#This Row],[/PR:90]:[/BR:90]],Brudnopis!$E$25:$J$25),0)</f>
        <v>0.11224489795918366</v>
      </c>
      <c r="V2618" s="44">
        <f>IF(Mecze[[#This Row],[Role]]&lt;&gt;"BR",SUMPRODUCT(Mecze[[#This Row],[/PR:90]:[/BR:90]],Brudnopis!$E$26:$J$26),0)</f>
        <v>9.1836734693877542E-2</v>
      </c>
      <c r="W2618" s="44">
        <f>IF(Mecze[[#This Row],[Role]]&lt;&gt;"BR",SUMPRODUCT(Mecze[[#This Row],[/PR:90]:[/BR:90]],Brudnopis!$E$27:$J$27),0)</f>
        <v>9.9489795918367346E-2</v>
      </c>
      <c r="X2618" s="44">
        <f>IF(Mecze[[#This Row],[Role]]&lt;&gt;"BR",SUMPRODUCT(Mecze[[#This Row],[/PR:90]:[/BR:90]],Brudnopis!$E$28:$J$28),0)</f>
        <v>4.0816326530612242E-2</v>
      </c>
      <c r="Y2618" s="35">
        <f>IF(Mecze[[#This Row],[Role]]="BR",Mecze[[#This Row],[/OB:90]]+Mecze[[#This Row],[/PC:90]],SUM(Mecze[[#This Row],[/PR:90]:[/BR:90]]))</f>
        <v>9.1836734693877542E-2</v>
      </c>
      <c r="Z2618" s="35">
        <f>IF(Mecze[[#This Row],[KC]]=0,SUM(Mecze[[#This Row],[/BRI]:[/NPI]]),SUM(Mecze[[#This Row],[/BRI]:[/NPI]])*0.6)</f>
        <v>0.44132653061224486</v>
      </c>
      <c r="AA2618" s="10">
        <f>IFERROR(Mecze[[#This Row],[BR]]/Mecze[[#This Row],[ST]],0)</f>
        <v>0</v>
      </c>
      <c r="AB2618">
        <f>ROUND(Mecze[[#This Row],[PD]]*Mecze[[#This Row],[%PC]],0)</f>
        <v>4</v>
      </c>
      <c r="AC2618">
        <f>ROUND(Mecze[[#This Row],[OD]]*Mecze[[#This Row],[%OU]],0)</f>
        <v>1</v>
      </c>
      <c r="AD2618" s="36" t="s">
        <v>174</v>
      </c>
      <c r="AE2618" s="36">
        <v>146</v>
      </c>
      <c r="AF2618" s="71">
        <v>7.88</v>
      </c>
      <c r="AG2618" s="37">
        <v>0</v>
      </c>
      <c r="AH2618" s="37">
        <v>0</v>
      </c>
      <c r="AI2618" s="37">
        <v>98</v>
      </c>
      <c r="AJ2618" s="37">
        <v>3</v>
      </c>
      <c r="AK2618" s="37" t="str">
        <f>VLOOKUP(Mecze[[#This Row],[Match ID]],Meczusie[Mecz]:Meczusie[RodzajMeczu],2,FALSE)</f>
        <v>Liga</v>
      </c>
    </row>
    <row r="2619" spans="1:37" x14ac:dyDescent="0.25">
      <c r="A2619" s="76">
        <v>6</v>
      </c>
      <c r="B2619" s="3" t="s">
        <v>263</v>
      </c>
      <c r="C2619" s="2" t="s">
        <v>157</v>
      </c>
      <c r="D2619" s="1">
        <v>0</v>
      </c>
      <c r="E2619" s="1">
        <v>0</v>
      </c>
      <c r="F2619" s="1">
        <v>0</v>
      </c>
      <c r="G2619" s="1">
        <v>16</v>
      </c>
      <c r="H2619" s="4">
        <v>0.88</v>
      </c>
      <c r="I2619" s="1">
        <v>6</v>
      </c>
      <c r="J2619" s="4">
        <v>0.83</v>
      </c>
      <c r="K2619" s="1">
        <v>0</v>
      </c>
      <c r="L2619" s="1">
        <v>15</v>
      </c>
      <c r="M2619" s="32">
        <f>IF(Mecze[[#This Row],[PR]]=0,0,Mecze[[#This Row],[PR]]/Mecze[[#This Row],[CZAS]])</f>
        <v>0.15306122448979592</v>
      </c>
      <c r="N2619" s="32">
        <f>IF(Mecze[[#This Row],[OU]]=0,0,Mecze[[#This Row],[OU]]/Mecze[[#This Row],[CZAS]])</f>
        <v>5.1020408163265307E-2</v>
      </c>
      <c r="O2619" s="32">
        <f>IF(Mecze[[#This Row],[PC]]=0,0,Mecze[[#This Row],[PC]]/Mecze[[#This Row],[CZAS]])</f>
        <v>0.14285714285714285</v>
      </c>
      <c r="P2619" s="32">
        <f>IF(Mecze[[#This Row],[SC]]=0,0,Mecze[[#This Row],[SC]]/Mecze[[#This Row],[CZAS]])</f>
        <v>0</v>
      </c>
      <c r="Q2619" s="32">
        <f>IF(Mecze[[#This Row],[OB]]=0,0,Mecze[[#This Row],[OB]]/Mecze[[#This Row],[CZAS]])</f>
        <v>0</v>
      </c>
      <c r="R2619" s="32">
        <f>IF(Mecze[[#This Row],[BR]]=0,0,Mecze[[#This Row],[BR]]/Mecze[[#This Row],[CZAS]])</f>
        <v>0</v>
      </c>
      <c r="S2619" s="44">
        <f>IF(Mecze[[#This Row],[Role]]="BR",SUMPRODUCT(Mecze[[#This Row],[/PR:90]:[/BR:90]],Brudnopis!$E$23:$J$23),0)</f>
        <v>0</v>
      </c>
      <c r="T2619" s="44">
        <f>IF(Mecze[[#This Row],[Role]]&lt;&gt;"BR",SUMPRODUCT(Mecze[[#This Row],[/PR:90]:[/BR:90]],Brudnopis!$E$24:$J$24),0)</f>
        <v>0.37244897959183676</v>
      </c>
      <c r="U2619" s="44">
        <f>IF(Mecze[[#This Row],[Role]]&lt;&gt;"BR",SUMPRODUCT(Mecze[[#This Row],[/PR:90]:[/BR:90]],Brudnopis!$E$25:$J$25),0)</f>
        <v>0.41836734693877553</v>
      </c>
      <c r="V2619" s="44">
        <f>IF(Mecze[[#This Row],[Role]]&lt;&gt;"BR",SUMPRODUCT(Mecze[[#This Row],[/PR:90]:[/BR:90]],Brudnopis!$E$26:$J$26),0)</f>
        <v>0.34693877551020408</v>
      </c>
      <c r="W2619" s="44">
        <f>IF(Mecze[[#This Row],[Role]]&lt;&gt;"BR",SUMPRODUCT(Mecze[[#This Row],[/PR:90]:[/BR:90]],Brudnopis!$E$27:$J$27),0)</f>
        <v>0.36734693877551017</v>
      </c>
      <c r="X2619" s="44">
        <f>IF(Mecze[[#This Row],[Role]]&lt;&gt;"BR",SUMPRODUCT(Mecze[[#This Row],[/PR:90]:[/BR:90]],Brudnopis!$E$28:$J$28),0)</f>
        <v>0.14285714285714285</v>
      </c>
      <c r="Y2619" s="35">
        <f>IF(Mecze[[#This Row],[Role]]="BR",Mecze[[#This Row],[/OB:90]]+Mecze[[#This Row],[/PC:90]],SUM(Mecze[[#This Row],[/PR:90]:[/BR:90]]))</f>
        <v>0.34693877551020408</v>
      </c>
      <c r="Z2619" s="35">
        <f>IF(Mecze[[#This Row],[KC]]=0,SUM(Mecze[[#This Row],[/BRI]:[/NPI]]),SUM(Mecze[[#This Row],[/BRI]:[/NPI]])*0.6)</f>
        <v>1.6479591836734693</v>
      </c>
      <c r="AA2619" s="10">
        <f>IFERROR(Mecze[[#This Row],[BR]]/Mecze[[#This Row],[ST]],0)</f>
        <v>0</v>
      </c>
      <c r="AB2619">
        <f>ROUND(Mecze[[#This Row],[PD]]*Mecze[[#This Row],[%PC]],0)</f>
        <v>14</v>
      </c>
      <c r="AC2619">
        <f>ROUND(Mecze[[#This Row],[OD]]*Mecze[[#This Row],[%OU]],0)</f>
        <v>5</v>
      </c>
      <c r="AD2619" s="36" t="s">
        <v>47</v>
      </c>
      <c r="AE2619" s="36">
        <v>146</v>
      </c>
      <c r="AF2619" s="71">
        <v>12.51</v>
      </c>
      <c r="AG2619" s="37">
        <v>0</v>
      </c>
      <c r="AH2619" s="37">
        <v>0</v>
      </c>
      <c r="AI2619" s="37">
        <v>98</v>
      </c>
      <c r="AJ2619" s="37">
        <v>3</v>
      </c>
      <c r="AK2619" s="37" t="str">
        <f>VLOOKUP(Mecze[[#This Row],[Match ID]],Meczusie[Mecz]:Meczusie[RodzajMeczu],2,FALSE)</f>
        <v>Liga</v>
      </c>
    </row>
    <row r="2620" spans="1:37" x14ac:dyDescent="0.25">
      <c r="A2620" s="76">
        <v>2</v>
      </c>
      <c r="B2620" s="3" t="s">
        <v>265</v>
      </c>
      <c r="C2620" s="2" t="s">
        <v>157</v>
      </c>
      <c r="D2620" s="1">
        <v>0</v>
      </c>
      <c r="E2620" s="1">
        <v>1</v>
      </c>
      <c r="F2620" s="1">
        <v>1</v>
      </c>
      <c r="G2620" s="1">
        <v>5</v>
      </c>
      <c r="H2620" s="4">
        <v>1</v>
      </c>
      <c r="I2620" s="1">
        <v>1</v>
      </c>
      <c r="J2620" s="4">
        <v>1</v>
      </c>
      <c r="K2620" s="1">
        <v>0</v>
      </c>
      <c r="L2620" s="1">
        <v>2</v>
      </c>
      <c r="M2620" s="32">
        <f>IF(Mecze[[#This Row],[PR]]=0,0,Mecze[[#This Row],[PR]]/Mecze[[#This Row],[CZAS]])</f>
        <v>2.0408163265306121E-2</v>
      </c>
      <c r="N2620" s="32">
        <f>IF(Mecze[[#This Row],[OU]]=0,0,Mecze[[#This Row],[OU]]/Mecze[[#This Row],[CZAS]])</f>
        <v>1.020408163265306E-2</v>
      </c>
      <c r="O2620" s="32">
        <f>IF(Mecze[[#This Row],[PC]]=0,0,Mecze[[#This Row],[PC]]/Mecze[[#This Row],[CZAS]])</f>
        <v>5.1020408163265307E-2</v>
      </c>
      <c r="P2620" s="32">
        <f>IF(Mecze[[#This Row],[SC]]=0,0,Mecze[[#This Row],[SC]]/Mecze[[#This Row],[CZAS]])</f>
        <v>1.020408163265306E-2</v>
      </c>
      <c r="Q2620" s="32">
        <f>IF(Mecze[[#This Row],[OB]]=0,0,Mecze[[#This Row],[OB]]/Mecze[[#This Row],[CZAS]])</f>
        <v>0</v>
      </c>
      <c r="R2620" s="32">
        <f>IF(Mecze[[#This Row],[BR]]=0,0,Mecze[[#This Row],[BR]]/Mecze[[#This Row],[CZAS]])</f>
        <v>0</v>
      </c>
      <c r="S2620" s="44">
        <f>IF(Mecze[[#This Row],[Role]]="BR",SUMPRODUCT(Mecze[[#This Row],[/PR:90]:[/BR:90]],Brudnopis!$E$23:$J$23),0)</f>
        <v>0</v>
      </c>
      <c r="T2620" s="44">
        <f>IF(Mecze[[#This Row],[Role]]&lt;&gt;"BR",SUMPRODUCT(Mecze[[#This Row],[/PR:90]:[/BR:90]],Brudnopis!$E$24:$J$24),0)</f>
        <v>9.6938775510204078E-2</v>
      </c>
      <c r="U2620" s="44">
        <f>IF(Mecze[[#This Row],[Role]]&lt;&gt;"BR",SUMPRODUCT(Mecze[[#This Row],[/PR:90]:[/BR:90]],Brudnopis!$E$25:$J$25),0)</f>
        <v>0.11734693877551021</v>
      </c>
      <c r="V2620" s="44">
        <f>IF(Mecze[[#This Row],[Role]]&lt;&gt;"BR",SUMPRODUCT(Mecze[[#This Row],[/PR:90]:[/BR:90]],Brudnopis!$E$26:$J$26),0)</f>
        <v>9.1836734693877556E-2</v>
      </c>
      <c r="W2620" s="44">
        <f>IF(Mecze[[#This Row],[Role]]&lt;&gt;"BR",SUMPRODUCT(Mecze[[#This Row],[/PR:90]:[/BR:90]],Brudnopis!$E$27:$J$27),0)</f>
        <v>0.10969387755102041</v>
      </c>
      <c r="X2620" s="44">
        <f>IF(Mecze[[#This Row],[Role]]&lt;&gt;"BR",SUMPRODUCT(Mecze[[#This Row],[/PR:90]:[/BR:90]],Brudnopis!$E$28:$J$28),0)</f>
        <v>7.1428571428571425E-2</v>
      </c>
      <c r="Y2620" s="35">
        <f>IF(Mecze[[#This Row],[Role]]="BR",Mecze[[#This Row],[/OB:90]]+Mecze[[#This Row],[/PC:90]],SUM(Mecze[[#This Row],[/PR:90]:[/BR:90]]))</f>
        <v>9.1836734693877556E-2</v>
      </c>
      <c r="Z2620" s="35">
        <f>IF(Mecze[[#This Row],[KC]]=0,SUM(Mecze[[#This Row],[/BRI]:[/NPI]]),SUM(Mecze[[#This Row],[/BRI]:[/NPI]])*0.6)</f>
        <v>0.48724489795918369</v>
      </c>
      <c r="AA2620" s="10">
        <f>IFERROR(Mecze[[#This Row],[BR]]/Mecze[[#This Row],[ST]],0)</f>
        <v>0</v>
      </c>
      <c r="AB2620">
        <f>ROUND(Mecze[[#This Row],[PD]]*Mecze[[#This Row],[%PC]],0)</f>
        <v>5</v>
      </c>
      <c r="AC2620">
        <f>ROUND(Mecze[[#This Row],[OD]]*Mecze[[#This Row],[%OU]],0)</f>
        <v>1</v>
      </c>
      <c r="AD2620" s="36" t="s">
        <v>47</v>
      </c>
      <c r="AE2620" s="36">
        <v>146</v>
      </c>
      <c r="AF2620" s="71">
        <v>7.46</v>
      </c>
      <c r="AG2620" s="37">
        <v>0</v>
      </c>
      <c r="AH2620" s="37">
        <v>0</v>
      </c>
      <c r="AI2620" s="37">
        <v>98</v>
      </c>
      <c r="AJ2620" s="37">
        <v>3</v>
      </c>
      <c r="AK2620" s="37" t="str">
        <f>VLOOKUP(Mecze[[#This Row],[Match ID]],Meczusie[Mecz]:Meczusie[RodzajMeczu],2,FALSE)</f>
        <v>Liga</v>
      </c>
    </row>
    <row r="2621" spans="1:37" x14ac:dyDescent="0.25">
      <c r="A2621" s="76">
        <v>5</v>
      </c>
      <c r="B2621" s="3" t="s">
        <v>267</v>
      </c>
      <c r="C2621" s="2" t="s">
        <v>160</v>
      </c>
      <c r="D2621" s="1">
        <v>1</v>
      </c>
      <c r="E2621" s="1">
        <v>1</v>
      </c>
      <c r="F2621" s="1">
        <v>1</v>
      </c>
      <c r="G2621" s="1">
        <v>10</v>
      </c>
      <c r="H2621" s="4">
        <v>0.9</v>
      </c>
      <c r="I2621" s="1">
        <v>0</v>
      </c>
      <c r="J2621" s="4"/>
      <c r="K2621" s="1">
        <v>0</v>
      </c>
      <c r="L2621" s="1">
        <v>7</v>
      </c>
      <c r="M2621" s="32">
        <f>IF(Mecze[[#This Row],[PR]]=0,0,Mecze[[#This Row],[PR]]/Mecze[[#This Row],[CZAS]])</f>
        <v>7.1428571428571425E-2</v>
      </c>
      <c r="N2621" s="32">
        <f>IF(Mecze[[#This Row],[OU]]=0,0,Mecze[[#This Row],[OU]]/Mecze[[#This Row],[CZAS]])</f>
        <v>0</v>
      </c>
      <c r="O2621" s="32">
        <f>IF(Mecze[[#This Row],[PC]]=0,0,Mecze[[#This Row],[PC]]/Mecze[[#This Row],[CZAS]])</f>
        <v>9.1836734693877556E-2</v>
      </c>
      <c r="P2621" s="32">
        <f>IF(Mecze[[#This Row],[SC]]=0,0,Mecze[[#This Row],[SC]]/Mecze[[#This Row],[CZAS]])</f>
        <v>1.020408163265306E-2</v>
      </c>
      <c r="Q2621" s="32">
        <f>IF(Mecze[[#This Row],[OB]]=0,0,Mecze[[#This Row],[OB]]/Mecze[[#This Row],[CZAS]])</f>
        <v>0</v>
      </c>
      <c r="R2621" s="32">
        <f>IF(Mecze[[#This Row],[BR]]=0,0,Mecze[[#This Row],[BR]]/Mecze[[#This Row],[CZAS]])</f>
        <v>1.020408163265306E-2</v>
      </c>
      <c r="S2621" s="44">
        <f>IF(Mecze[[#This Row],[Role]]="BR",SUMPRODUCT(Mecze[[#This Row],[/PR:90]:[/BR:90]],Brudnopis!$E$23:$J$23),0)</f>
        <v>0</v>
      </c>
      <c r="T2621" s="44">
        <f>IF(Mecze[[#This Row],[Role]]&lt;&gt;"BR",SUMPRODUCT(Mecze[[#This Row],[/PR:90]:[/BR:90]],Brudnopis!$E$24:$J$24),0)</f>
        <v>0.18877551020408165</v>
      </c>
      <c r="U2621" s="44">
        <f>IF(Mecze[[#This Row],[Role]]&lt;&gt;"BR",SUMPRODUCT(Mecze[[#This Row],[/PR:90]:[/BR:90]],Brudnopis!$E$25:$J$25),0)</f>
        <v>0.23469387755102042</v>
      </c>
      <c r="V2621" s="44">
        <f>IF(Mecze[[#This Row],[Role]]&lt;&gt;"BR",SUMPRODUCT(Mecze[[#This Row],[/PR:90]:[/BR:90]],Brudnopis!$E$26:$J$26),0)</f>
        <v>0.19387755102040818</v>
      </c>
      <c r="W2621" s="44">
        <f>IF(Mecze[[#This Row],[Role]]&lt;&gt;"BR",SUMPRODUCT(Mecze[[#This Row],[/PR:90]:[/BR:90]],Brudnopis!$E$27:$J$27),0)</f>
        <v>0.22193877551020411</v>
      </c>
      <c r="X2621" s="44">
        <f>IF(Mecze[[#This Row],[Role]]&lt;&gt;"BR",SUMPRODUCT(Mecze[[#This Row],[/PR:90]:[/BR:90]],Brudnopis!$E$28:$J$28),0)</f>
        <v>0.14285714285714285</v>
      </c>
      <c r="Y2621" s="35">
        <f>IF(Mecze[[#This Row],[Role]]="BR",Mecze[[#This Row],[/OB:90]]+Mecze[[#This Row],[/PC:90]],SUM(Mecze[[#This Row],[/PR:90]:[/BR:90]]))</f>
        <v>0.18367346938775514</v>
      </c>
      <c r="Z2621" s="35">
        <f>IF(Mecze[[#This Row],[KC]]=0,SUM(Mecze[[#This Row],[/BRI]:[/NPI]]),SUM(Mecze[[#This Row],[/BRI]:[/NPI]])*0.6)</f>
        <v>0.98214285714285721</v>
      </c>
      <c r="AA2621" s="10">
        <f>IFERROR(Mecze[[#This Row],[BR]]/Mecze[[#This Row],[ST]],0)</f>
        <v>1</v>
      </c>
      <c r="AB2621">
        <f>ROUND(Mecze[[#This Row],[PD]]*Mecze[[#This Row],[%PC]],0)</f>
        <v>9</v>
      </c>
      <c r="AC2621">
        <f>ROUND(Mecze[[#This Row],[OD]]*Mecze[[#This Row],[%OU]],0)</f>
        <v>0</v>
      </c>
      <c r="AD2621" s="36" t="s">
        <v>67</v>
      </c>
      <c r="AE2621" s="36">
        <v>146</v>
      </c>
      <c r="AF2621" s="71">
        <v>12.97</v>
      </c>
      <c r="AG2621" s="37">
        <v>0</v>
      </c>
      <c r="AH2621" s="37">
        <v>0</v>
      </c>
      <c r="AI2621" s="37">
        <v>98</v>
      </c>
      <c r="AJ2621" s="37">
        <v>3</v>
      </c>
      <c r="AK2621" s="37" t="str">
        <f>VLOOKUP(Mecze[[#This Row],[Match ID]],Meczusie[Mecz]:Meczusie[RodzajMeczu],2,FALSE)</f>
        <v>Liga</v>
      </c>
    </row>
    <row r="2622" spans="1:37" x14ac:dyDescent="0.25">
      <c r="A2622" s="76">
        <v>9</v>
      </c>
      <c r="B2622" s="3" t="s">
        <v>266</v>
      </c>
      <c r="C2622" s="2" t="s">
        <v>160</v>
      </c>
      <c r="D2622" s="1">
        <v>0</v>
      </c>
      <c r="E2622" s="1">
        <v>0</v>
      </c>
      <c r="F2622" s="1">
        <v>0</v>
      </c>
      <c r="G2622" s="1">
        <v>12</v>
      </c>
      <c r="H2622" s="4">
        <v>0.92</v>
      </c>
      <c r="I2622" s="1">
        <v>1</v>
      </c>
      <c r="J2622" s="4">
        <v>0</v>
      </c>
      <c r="K2622" s="1">
        <v>0</v>
      </c>
      <c r="L2622" s="1">
        <v>9</v>
      </c>
      <c r="M2622" s="32">
        <f>IF(Mecze[[#This Row],[PR]]=0,0,Mecze[[#This Row],[PR]]/Mecze[[#This Row],[CZAS]])</f>
        <v>9.1836734693877556E-2</v>
      </c>
      <c r="N2622" s="32">
        <f>IF(Mecze[[#This Row],[OU]]=0,0,Mecze[[#This Row],[OU]]/Mecze[[#This Row],[CZAS]])</f>
        <v>0</v>
      </c>
      <c r="O2622" s="32">
        <f>IF(Mecze[[#This Row],[PC]]=0,0,Mecze[[#This Row],[PC]]/Mecze[[#This Row],[CZAS]])</f>
        <v>0.11224489795918367</v>
      </c>
      <c r="P2622" s="32">
        <f>IF(Mecze[[#This Row],[SC]]=0,0,Mecze[[#This Row],[SC]]/Mecze[[#This Row],[CZAS]])</f>
        <v>0</v>
      </c>
      <c r="Q2622" s="32">
        <f>IF(Mecze[[#This Row],[OB]]=0,0,Mecze[[#This Row],[OB]]/Mecze[[#This Row],[CZAS]])</f>
        <v>0</v>
      </c>
      <c r="R2622" s="32">
        <f>IF(Mecze[[#This Row],[BR]]=0,0,Mecze[[#This Row],[BR]]/Mecze[[#This Row],[CZAS]])</f>
        <v>0</v>
      </c>
      <c r="S2622" s="44">
        <f>IF(Mecze[[#This Row],[Role]]="BR",SUMPRODUCT(Mecze[[#This Row],[/PR:90]:[/BR:90]],Brudnopis!$E$23:$J$23),0)</f>
        <v>0</v>
      </c>
      <c r="T2622" s="44">
        <f>IF(Mecze[[#This Row],[Role]]&lt;&gt;"BR",SUMPRODUCT(Mecze[[#This Row],[/PR:90]:[/BR:90]],Brudnopis!$E$24:$J$24),0)</f>
        <v>0.20408163265306123</v>
      </c>
      <c r="U2622" s="44">
        <f>IF(Mecze[[#This Row],[Role]]&lt;&gt;"BR",SUMPRODUCT(Mecze[[#This Row],[/PR:90]:[/BR:90]],Brudnopis!$E$25:$J$25),0)</f>
        <v>0.26020408163265307</v>
      </c>
      <c r="V2622" s="44">
        <f>IF(Mecze[[#This Row],[Role]]&lt;&gt;"BR",SUMPRODUCT(Mecze[[#This Row],[/PR:90]:[/BR:90]],Brudnopis!$E$26:$J$26),0)</f>
        <v>0.20408163265306123</v>
      </c>
      <c r="W2622" s="44">
        <f>IF(Mecze[[#This Row],[Role]]&lt;&gt;"BR",SUMPRODUCT(Mecze[[#This Row],[/PR:90]:[/BR:90]],Brudnopis!$E$27:$J$27),0)</f>
        <v>0.23724489795918369</v>
      </c>
      <c r="X2622" s="44">
        <f>IF(Mecze[[#This Row],[Role]]&lt;&gt;"BR",SUMPRODUCT(Mecze[[#This Row],[/PR:90]:[/BR:90]],Brudnopis!$E$28:$J$28),0)</f>
        <v>0.11224489795918367</v>
      </c>
      <c r="Y2622" s="35">
        <f>IF(Mecze[[#This Row],[Role]]="BR",Mecze[[#This Row],[/OB:90]]+Mecze[[#This Row],[/PC:90]],SUM(Mecze[[#This Row],[/PR:90]:[/BR:90]]))</f>
        <v>0.20408163265306123</v>
      </c>
      <c r="Z2622" s="35">
        <f>IF(Mecze[[#This Row],[KC]]=0,SUM(Mecze[[#This Row],[/BRI]:[/NPI]]),SUM(Mecze[[#This Row],[/BRI]:[/NPI]])*0.6)</f>
        <v>1.0178571428571428</v>
      </c>
      <c r="AA2622" s="10">
        <f>IFERROR(Mecze[[#This Row],[BR]]/Mecze[[#This Row],[ST]],0)</f>
        <v>0</v>
      </c>
      <c r="AB2622">
        <f>ROUND(Mecze[[#This Row],[PD]]*Mecze[[#This Row],[%PC]],0)</f>
        <v>11</v>
      </c>
      <c r="AC2622">
        <f>ROUND(Mecze[[#This Row],[OD]]*Mecze[[#This Row],[%OU]],0)</f>
        <v>0</v>
      </c>
      <c r="AD2622" s="36" t="s">
        <v>67</v>
      </c>
      <c r="AE2622" s="36">
        <v>146</v>
      </c>
      <c r="AF2622" s="71">
        <v>11.05</v>
      </c>
      <c r="AG2622" s="37">
        <v>0</v>
      </c>
      <c r="AH2622" s="37">
        <v>0</v>
      </c>
      <c r="AI2622" s="37">
        <v>98</v>
      </c>
      <c r="AJ2622" s="37">
        <v>3</v>
      </c>
      <c r="AK2622" s="37" t="str">
        <f>VLOOKUP(Mecze[[#This Row],[Match ID]],Meczusie[Mecz]:Meczusie[RodzajMeczu],2,FALSE)</f>
        <v>Liga</v>
      </c>
    </row>
    <row r="2623" spans="1:37" x14ac:dyDescent="0.25">
      <c r="A2623" s="76">
        <v>3</v>
      </c>
      <c r="B2623" s="3" t="s">
        <v>268</v>
      </c>
      <c r="C2623" s="2" t="s">
        <v>160</v>
      </c>
      <c r="D2623" s="1">
        <v>1</v>
      </c>
      <c r="E2623" s="1">
        <v>1</v>
      </c>
      <c r="F2623" s="1">
        <v>1</v>
      </c>
      <c r="G2623" s="1">
        <v>11</v>
      </c>
      <c r="H2623" s="4">
        <v>1</v>
      </c>
      <c r="I2623" s="1">
        <v>2</v>
      </c>
      <c r="J2623" s="4">
        <v>0.5</v>
      </c>
      <c r="K2623" s="1">
        <v>0</v>
      </c>
      <c r="L2623" s="1">
        <v>3</v>
      </c>
      <c r="M2623" s="32">
        <f>IF(Mecze[[#This Row],[PR]]=0,0,Mecze[[#This Row],[PR]]/Mecze[[#This Row],[CZAS]])</f>
        <v>3.0612244897959183E-2</v>
      </c>
      <c r="N2623" s="32">
        <f>IF(Mecze[[#This Row],[OU]]=0,0,Mecze[[#This Row],[OU]]/Mecze[[#This Row],[CZAS]])</f>
        <v>1.020408163265306E-2</v>
      </c>
      <c r="O2623" s="32">
        <f>IF(Mecze[[#This Row],[PC]]=0,0,Mecze[[#This Row],[PC]]/Mecze[[#This Row],[CZAS]])</f>
        <v>0.11224489795918367</v>
      </c>
      <c r="P2623" s="32">
        <f>IF(Mecze[[#This Row],[SC]]=0,0,Mecze[[#This Row],[SC]]/Mecze[[#This Row],[CZAS]])</f>
        <v>1.020408163265306E-2</v>
      </c>
      <c r="Q2623" s="32">
        <f>IF(Mecze[[#This Row],[OB]]=0,0,Mecze[[#This Row],[OB]]/Mecze[[#This Row],[CZAS]])</f>
        <v>0</v>
      </c>
      <c r="R2623" s="32">
        <f>IF(Mecze[[#This Row],[BR]]=0,0,Mecze[[#This Row],[BR]]/Mecze[[#This Row],[CZAS]])</f>
        <v>1.020408163265306E-2</v>
      </c>
      <c r="S2623" s="44">
        <f>IF(Mecze[[#This Row],[Role]]="BR",SUMPRODUCT(Mecze[[#This Row],[/PR:90]:[/BR:90]],Brudnopis!$E$23:$J$23),0)</f>
        <v>0</v>
      </c>
      <c r="T2623" s="44">
        <f>IF(Mecze[[#This Row],[Role]]&lt;&gt;"BR",SUMPRODUCT(Mecze[[#This Row],[/PR:90]:[/BR:90]],Brudnopis!$E$24:$J$24),0)</f>
        <v>0.18367346938775511</v>
      </c>
      <c r="U2623" s="44">
        <f>IF(Mecze[[#This Row],[Role]]&lt;&gt;"BR",SUMPRODUCT(Mecze[[#This Row],[/PR:90]:[/BR:90]],Brudnopis!$E$25:$J$25),0)</f>
        <v>0.23469387755102039</v>
      </c>
      <c r="V2623" s="44">
        <f>IF(Mecze[[#This Row],[Role]]&lt;&gt;"BR",SUMPRODUCT(Mecze[[#This Row],[/PR:90]:[/BR:90]],Brudnopis!$E$26:$J$26),0)</f>
        <v>0.18367346938775511</v>
      </c>
      <c r="W2623" s="44">
        <f>IF(Mecze[[#This Row],[Role]]&lt;&gt;"BR",SUMPRODUCT(Mecze[[#This Row],[/PR:90]:[/BR:90]],Brudnopis!$E$27:$J$27),0)</f>
        <v>0.22959183673469388</v>
      </c>
      <c r="X2623" s="44">
        <f>IF(Mecze[[#This Row],[Role]]&lt;&gt;"BR",SUMPRODUCT(Mecze[[#This Row],[/PR:90]:[/BR:90]],Brudnopis!$E$28:$J$28),0)</f>
        <v>0.16326530612244899</v>
      </c>
      <c r="Y2623" s="35">
        <f>IF(Mecze[[#This Row],[Role]]="BR",Mecze[[#This Row],[/OB:90]]+Mecze[[#This Row],[/PC:90]],SUM(Mecze[[#This Row],[/PR:90]:[/BR:90]]))</f>
        <v>0.17346938775510207</v>
      </c>
      <c r="Z2623" s="35">
        <f>IF(Mecze[[#This Row],[KC]]=0,SUM(Mecze[[#This Row],[/BRI]:[/NPI]]),SUM(Mecze[[#This Row],[/BRI]:[/NPI]])*0.6)</f>
        <v>0.99489795918367352</v>
      </c>
      <c r="AA2623" s="10">
        <f>IFERROR(Mecze[[#This Row],[BR]]/Mecze[[#This Row],[ST]],0)</f>
        <v>1</v>
      </c>
      <c r="AB2623">
        <f>ROUND(Mecze[[#This Row],[PD]]*Mecze[[#This Row],[%PC]],0)</f>
        <v>11</v>
      </c>
      <c r="AC2623">
        <f>ROUND(Mecze[[#This Row],[OD]]*Mecze[[#This Row],[%OU]],0)</f>
        <v>1</v>
      </c>
      <c r="AD2623" s="36" t="s">
        <v>44</v>
      </c>
      <c r="AE2623" s="36">
        <v>146</v>
      </c>
      <c r="AF2623" s="71">
        <v>13.34</v>
      </c>
      <c r="AG2623" s="37">
        <v>0</v>
      </c>
      <c r="AH2623" s="37">
        <v>0</v>
      </c>
      <c r="AI2623" s="37">
        <v>98</v>
      </c>
      <c r="AJ2623" s="37">
        <v>3</v>
      </c>
      <c r="AK2623" s="37" t="str">
        <f>VLOOKUP(Mecze[[#This Row],[Match ID]],Meczusie[Mecz]:Meczusie[RodzajMeczu],2,FALSE)</f>
        <v>Liga</v>
      </c>
    </row>
    <row r="2624" spans="1:37" x14ac:dyDescent="0.25">
      <c r="A2624" s="76">
        <v>8</v>
      </c>
      <c r="B2624" s="3" t="s">
        <v>269</v>
      </c>
      <c r="C2624" s="2" t="s">
        <v>165</v>
      </c>
      <c r="D2624" s="1">
        <v>0</v>
      </c>
      <c r="E2624" s="1">
        <v>3</v>
      </c>
      <c r="F2624" s="1">
        <v>3</v>
      </c>
      <c r="G2624" s="1">
        <v>6</v>
      </c>
      <c r="H2624" s="4">
        <v>1</v>
      </c>
      <c r="I2624" s="1">
        <v>2</v>
      </c>
      <c r="J2624" s="4">
        <v>1</v>
      </c>
      <c r="K2624" s="1">
        <v>0</v>
      </c>
      <c r="L2624" s="1">
        <v>2</v>
      </c>
      <c r="M2624" s="32">
        <f>IF(Mecze[[#This Row],[PR]]=0,0,Mecze[[#This Row],[PR]]/Mecze[[#This Row],[CZAS]])</f>
        <v>2.0408163265306121E-2</v>
      </c>
      <c r="N2624" s="32">
        <f>IF(Mecze[[#This Row],[OU]]=0,0,Mecze[[#This Row],[OU]]/Mecze[[#This Row],[CZAS]])</f>
        <v>2.0408163265306121E-2</v>
      </c>
      <c r="O2624" s="32">
        <f>IF(Mecze[[#This Row],[PC]]=0,0,Mecze[[#This Row],[PC]]/Mecze[[#This Row],[CZAS]])</f>
        <v>6.1224489795918366E-2</v>
      </c>
      <c r="P2624" s="32">
        <f>IF(Mecze[[#This Row],[SC]]=0,0,Mecze[[#This Row],[SC]]/Mecze[[#This Row],[CZAS]])</f>
        <v>3.0612244897959183E-2</v>
      </c>
      <c r="Q2624" s="32">
        <f>IF(Mecze[[#This Row],[OB]]=0,0,Mecze[[#This Row],[OB]]/Mecze[[#This Row],[CZAS]])</f>
        <v>0</v>
      </c>
      <c r="R2624" s="32">
        <f>IF(Mecze[[#This Row],[BR]]=0,0,Mecze[[#This Row],[BR]]/Mecze[[#This Row],[CZAS]])</f>
        <v>0</v>
      </c>
      <c r="S2624" s="44">
        <f>IF(Mecze[[#This Row],[Role]]="BR",SUMPRODUCT(Mecze[[#This Row],[/PR:90]:[/BR:90]],Brudnopis!$E$23:$J$23),0)</f>
        <v>0</v>
      </c>
      <c r="T2624" s="44">
        <f>IF(Mecze[[#This Row],[Role]]&lt;&gt;"BR",SUMPRODUCT(Mecze[[#This Row],[/PR:90]:[/BR:90]],Brudnopis!$E$24:$J$24),0)</f>
        <v>0.14285714285714285</v>
      </c>
      <c r="U2624" s="44">
        <f>IF(Mecze[[#This Row],[Role]]&lt;&gt;"BR",SUMPRODUCT(Mecze[[#This Row],[/PR:90]:[/BR:90]],Brudnopis!$E$25:$J$25),0)</f>
        <v>0.16326530612244897</v>
      </c>
      <c r="V2624" s="44">
        <f>IF(Mecze[[#This Row],[Role]]&lt;&gt;"BR",SUMPRODUCT(Mecze[[#This Row],[/PR:90]:[/BR:90]],Brudnopis!$E$26:$J$26),0)</f>
        <v>0.1326530612244898</v>
      </c>
      <c r="W2624" s="44">
        <f>IF(Mecze[[#This Row],[Role]]&lt;&gt;"BR",SUMPRODUCT(Mecze[[#This Row],[/PR:90]:[/BR:90]],Brudnopis!$E$27:$J$27),0)</f>
        <v>0.15306122448979592</v>
      </c>
      <c r="X2624" s="44">
        <f>IF(Mecze[[#This Row],[Role]]&lt;&gt;"BR",SUMPRODUCT(Mecze[[#This Row],[/PR:90]:[/BR:90]],Brudnopis!$E$28:$J$28),0)</f>
        <v>0.12244897959183673</v>
      </c>
      <c r="Y2624" s="35">
        <f>IF(Mecze[[#This Row],[Role]]="BR",Mecze[[#This Row],[/OB:90]]+Mecze[[#This Row],[/PC:90]],SUM(Mecze[[#This Row],[/PR:90]:[/BR:90]]))</f>
        <v>0.1326530612244898</v>
      </c>
      <c r="Z2624" s="35">
        <f>IF(Mecze[[#This Row],[KC]]=0,SUM(Mecze[[#This Row],[/BRI]:[/NPI]]),SUM(Mecze[[#This Row],[/BRI]:[/NPI]])*0.6)</f>
        <v>0.7142857142857143</v>
      </c>
      <c r="AA2624" s="10">
        <f>IFERROR(Mecze[[#This Row],[BR]]/Mecze[[#This Row],[ST]],0)</f>
        <v>0</v>
      </c>
      <c r="AB2624">
        <f>ROUND(Mecze[[#This Row],[PD]]*Mecze[[#This Row],[%PC]],0)</f>
        <v>6</v>
      </c>
      <c r="AC2624">
        <f>ROUND(Mecze[[#This Row],[OD]]*Mecze[[#This Row],[%OU]],0)</f>
        <v>2</v>
      </c>
      <c r="AD2624" s="36" t="s">
        <v>272</v>
      </c>
      <c r="AE2624" s="36">
        <v>146</v>
      </c>
      <c r="AF2624" s="71">
        <v>7.73</v>
      </c>
      <c r="AG2624" s="37">
        <v>0</v>
      </c>
      <c r="AH2624" s="37">
        <v>0</v>
      </c>
      <c r="AI2624" s="37">
        <v>98</v>
      </c>
      <c r="AJ2624" s="37">
        <v>3</v>
      </c>
      <c r="AK2624" s="37" t="str">
        <f>VLOOKUP(Mecze[[#This Row],[Match ID]],Meczusie[Mecz]:Meczusie[RodzajMeczu],2,FALSE)</f>
        <v>Liga</v>
      </c>
    </row>
    <row r="2625" spans="1:37" x14ac:dyDescent="0.25">
      <c r="A2625" s="76">
        <v>11</v>
      </c>
      <c r="B2625" s="3" t="s">
        <v>270</v>
      </c>
      <c r="C2625" s="2" t="s">
        <v>165</v>
      </c>
      <c r="D2625" s="1">
        <v>1</v>
      </c>
      <c r="E2625" s="1">
        <v>4</v>
      </c>
      <c r="F2625" s="1">
        <v>4</v>
      </c>
      <c r="G2625" s="1">
        <v>12</v>
      </c>
      <c r="H2625" s="4">
        <v>0.83</v>
      </c>
      <c r="I2625" s="1">
        <v>0</v>
      </c>
      <c r="J2625" s="4"/>
      <c r="K2625" s="1">
        <v>0</v>
      </c>
      <c r="L2625" s="1">
        <v>1</v>
      </c>
      <c r="M2625" s="32">
        <f>IF(Mecze[[#This Row],[PR]]=0,0,Mecze[[#This Row],[PR]]/Mecze[[#This Row],[CZAS]])</f>
        <v>1.020408163265306E-2</v>
      </c>
      <c r="N2625" s="32">
        <f>IF(Mecze[[#This Row],[OU]]=0,0,Mecze[[#This Row],[OU]]/Mecze[[#This Row],[CZAS]])</f>
        <v>0</v>
      </c>
      <c r="O2625" s="32">
        <f>IF(Mecze[[#This Row],[PC]]=0,0,Mecze[[#This Row],[PC]]/Mecze[[#This Row],[CZAS]])</f>
        <v>0.10204081632653061</v>
      </c>
      <c r="P2625" s="32">
        <f>IF(Mecze[[#This Row],[SC]]=0,0,Mecze[[#This Row],[SC]]/Mecze[[#This Row],[CZAS]])</f>
        <v>4.0816326530612242E-2</v>
      </c>
      <c r="Q2625" s="32">
        <f>IF(Mecze[[#This Row],[OB]]=0,0,Mecze[[#This Row],[OB]]/Mecze[[#This Row],[CZAS]])</f>
        <v>0</v>
      </c>
      <c r="R2625" s="32">
        <f>IF(Mecze[[#This Row],[BR]]=0,0,Mecze[[#This Row],[BR]]/Mecze[[#This Row],[CZAS]])</f>
        <v>1.020408163265306E-2</v>
      </c>
      <c r="S2625" s="44">
        <f>IF(Mecze[[#This Row],[Role]]="BR",SUMPRODUCT(Mecze[[#This Row],[/PR:90]:[/BR:90]],Brudnopis!$E$23:$J$23),0)</f>
        <v>0</v>
      </c>
      <c r="T2625" s="44">
        <f>IF(Mecze[[#This Row],[Role]]&lt;&gt;"BR",SUMPRODUCT(Mecze[[#This Row],[/PR:90]:[/BR:90]],Brudnopis!$E$24:$J$24),0)</f>
        <v>0.1683673469387755</v>
      </c>
      <c r="U2625" s="44">
        <f>IF(Mecze[[#This Row],[Role]]&lt;&gt;"BR",SUMPRODUCT(Mecze[[#This Row],[/PR:90]:[/BR:90]],Brudnopis!$E$25:$J$25),0)</f>
        <v>0.21938775510204081</v>
      </c>
      <c r="V2625" s="44">
        <f>IF(Mecze[[#This Row],[Role]]&lt;&gt;"BR",SUMPRODUCT(Mecze[[#This Row],[/PR:90]:[/BR:90]],Brudnopis!$E$26:$J$26),0)</f>
        <v>0.17346938775510204</v>
      </c>
      <c r="W2625" s="44">
        <f>IF(Mecze[[#This Row],[Role]]&lt;&gt;"BR",SUMPRODUCT(Mecze[[#This Row],[/PR:90]:[/BR:90]],Brudnopis!$E$27:$J$27),0)</f>
        <v>0.22193877551020408</v>
      </c>
      <c r="X2625" s="44">
        <f>IF(Mecze[[#This Row],[Role]]&lt;&gt;"BR",SUMPRODUCT(Mecze[[#This Row],[/PR:90]:[/BR:90]],Brudnopis!$E$28:$J$28),0)</f>
        <v>0.21428571428571427</v>
      </c>
      <c r="Y2625" s="35">
        <f>IF(Mecze[[#This Row],[Role]]="BR",Mecze[[#This Row],[/OB:90]]+Mecze[[#This Row],[/PC:90]],SUM(Mecze[[#This Row],[/PR:90]:[/BR:90]]))</f>
        <v>0.16326530612244899</v>
      </c>
      <c r="Z2625" s="35">
        <f>IF(Mecze[[#This Row],[KC]]=0,SUM(Mecze[[#This Row],[/BRI]:[/NPI]]),SUM(Mecze[[#This Row],[/BRI]:[/NPI]])*0.6)</f>
        <v>0.99744897959183676</v>
      </c>
      <c r="AA2625" s="10">
        <f>IFERROR(Mecze[[#This Row],[BR]]/Mecze[[#This Row],[ST]],0)</f>
        <v>0.25</v>
      </c>
      <c r="AB2625">
        <f>ROUND(Mecze[[#This Row],[PD]]*Mecze[[#This Row],[%PC]],0)</f>
        <v>10</v>
      </c>
      <c r="AC2625">
        <f>ROUND(Mecze[[#This Row],[OD]]*Mecze[[#This Row],[%OU]],0)</f>
        <v>0</v>
      </c>
      <c r="AD2625" s="36" t="s">
        <v>273</v>
      </c>
      <c r="AE2625" s="36">
        <v>146</v>
      </c>
      <c r="AF2625" s="71">
        <v>9.36</v>
      </c>
      <c r="AG2625" s="37">
        <v>0</v>
      </c>
      <c r="AH2625" s="37">
        <v>0</v>
      </c>
      <c r="AI2625" s="37">
        <v>98</v>
      </c>
      <c r="AJ2625" s="37">
        <v>3</v>
      </c>
      <c r="AK2625" s="37" t="str">
        <f>VLOOKUP(Mecze[[#This Row],[Match ID]],Meczusie[Mecz]:Meczusie[RodzajMeczu],2,FALSE)</f>
        <v>Liga</v>
      </c>
    </row>
    <row r="2626" spans="1:37" x14ac:dyDescent="0.25">
      <c r="A2626" s="76">
        <v>10</v>
      </c>
      <c r="B2626" s="3" t="s">
        <v>271</v>
      </c>
      <c r="C2626" s="2" t="s">
        <v>165</v>
      </c>
      <c r="D2626" s="1">
        <v>8</v>
      </c>
      <c r="E2626" s="1">
        <v>34</v>
      </c>
      <c r="F2626" s="1">
        <v>30</v>
      </c>
      <c r="G2626" s="1">
        <v>8</v>
      </c>
      <c r="H2626" s="4">
        <v>0.63</v>
      </c>
      <c r="I2626" s="1">
        <v>2</v>
      </c>
      <c r="J2626" s="4">
        <v>1</v>
      </c>
      <c r="K2626" s="1">
        <v>0</v>
      </c>
      <c r="L2626" s="1">
        <v>2</v>
      </c>
      <c r="M2626" s="32">
        <f>IF(Mecze[[#This Row],[PR]]=0,0,Mecze[[#This Row],[PR]]/Mecze[[#This Row],[CZAS]])</f>
        <v>2.0408163265306121E-2</v>
      </c>
      <c r="N2626" s="32">
        <f>IF(Mecze[[#This Row],[OU]]=0,0,Mecze[[#This Row],[OU]]/Mecze[[#This Row],[CZAS]])</f>
        <v>2.0408163265306121E-2</v>
      </c>
      <c r="O2626" s="32">
        <f>IF(Mecze[[#This Row],[PC]]=0,0,Mecze[[#This Row],[PC]]/Mecze[[#This Row],[CZAS]])</f>
        <v>5.1020408163265307E-2</v>
      </c>
      <c r="P2626" s="32">
        <f>IF(Mecze[[#This Row],[SC]]=0,0,Mecze[[#This Row],[SC]]/Mecze[[#This Row],[CZAS]])</f>
        <v>0.30612244897959184</v>
      </c>
      <c r="Q2626" s="32">
        <f>IF(Mecze[[#This Row],[OB]]=0,0,Mecze[[#This Row],[OB]]/Mecze[[#This Row],[CZAS]])</f>
        <v>0</v>
      </c>
      <c r="R2626" s="32">
        <f>IF(Mecze[[#This Row],[BR]]=0,0,Mecze[[#This Row],[BR]]/Mecze[[#This Row],[CZAS]])</f>
        <v>8.1632653061224483E-2</v>
      </c>
      <c r="S2626" s="44">
        <f>IF(Mecze[[#This Row],[Role]]="BR",SUMPRODUCT(Mecze[[#This Row],[/PR:90]:[/BR:90]],Brudnopis!$E$23:$J$23),0)</f>
        <v>0</v>
      </c>
      <c r="T2626" s="44">
        <f>IF(Mecze[[#This Row],[Role]]&lt;&gt;"BR",SUMPRODUCT(Mecze[[#This Row],[/PR:90]:[/BR:90]],Brudnopis!$E$24:$J$24),0)</f>
        <v>0.53061224489795922</v>
      </c>
      <c r="U2626" s="44">
        <f>IF(Mecze[[#This Row],[Role]]&lt;&gt;"BR",SUMPRODUCT(Mecze[[#This Row],[/PR:90]:[/BR:90]],Brudnopis!$E$25:$J$25),0)</f>
        <v>0.54591836734693877</v>
      </c>
      <c r="V2626" s="44">
        <f>IF(Mecze[[#This Row],[Role]]&lt;&gt;"BR",SUMPRODUCT(Mecze[[#This Row],[/PR:90]:[/BR:90]],Brudnopis!$E$26:$J$26),0)</f>
        <v>0.56122448979591832</v>
      </c>
      <c r="W2626" s="44">
        <f>IF(Mecze[[#This Row],[Role]]&lt;&gt;"BR",SUMPRODUCT(Mecze[[#This Row],[/PR:90]:[/BR:90]],Brudnopis!$E$27:$J$27),0)</f>
        <v>0.57653061224489799</v>
      </c>
      <c r="X2626" s="44">
        <f>IF(Mecze[[#This Row],[Role]]&lt;&gt;"BR",SUMPRODUCT(Mecze[[#This Row],[/PR:90]:[/BR:90]],Brudnopis!$E$28:$J$28),0)</f>
        <v>0.90816326530612246</v>
      </c>
      <c r="Y2626" s="35">
        <f>IF(Mecze[[#This Row],[Role]]="BR",Mecze[[#This Row],[/OB:90]]+Mecze[[#This Row],[/PC:90]],SUM(Mecze[[#This Row],[/PR:90]:[/BR:90]]))</f>
        <v>0.47959183673469385</v>
      </c>
      <c r="Z2626" s="35">
        <f>IF(Mecze[[#This Row],[KC]]=0,SUM(Mecze[[#This Row],[/BRI]:[/NPI]]),SUM(Mecze[[#This Row],[/BRI]:[/NPI]])*0.6)</f>
        <v>3.1224489795918364</v>
      </c>
      <c r="AA2626" s="10">
        <f>IFERROR(Mecze[[#This Row],[BR]]/Mecze[[#This Row],[ST]],0)</f>
        <v>0.23529411764705882</v>
      </c>
      <c r="AB2626">
        <f>ROUND(Mecze[[#This Row],[PD]]*Mecze[[#This Row],[%PC]],0)</f>
        <v>5</v>
      </c>
      <c r="AC2626">
        <f>ROUND(Mecze[[#This Row],[OD]]*Mecze[[#This Row],[%OU]],0)</f>
        <v>2</v>
      </c>
      <c r="AD2626" s="36" t="s">
        <v>46</v>
      </c>
      <c r="AE2626" s="36">
        <v>146</v>
      </c>
      <c r="AF2626" s="71">
        <v>30.26</v>
      </c>
      <c r="AG2626" s="37">
        <v>0</v>
      </c>
      <c r="AH2626" s="37">
        <v>0</v>
      </c>
      <c r="AI2626" s="37">
        <v>98</v>
      </c>
      <c r="AJ2626" s="37">
        <v>3</v>
      </c>
      <c r="AK2626" s="37" t="str">
        <f>VLOOKUP(Mecze[[#This Row],[Match ID]],Meczusie[Mecz]:Meczusie[RodzajMeczu],2,FALSE)</f>
        <v>Liga</v>
      </c>
    </row>
    <row r="2627" spans="1:37" x14ac:dyDescent="0.25">
      <c r="A2627" s="76">
        <v>1</v>
      </c>
      <c r="B2627" s="3" t="s">
        <v>288</v>
      </c>
      <c r="C2627" s="2" t="s">
        <v>155</v>
      </c>
      <c r="D2627" s="1">
        <v>0</v>
      </c>
      <c r="E2627" s="1">
        <v>0</v>
      </c>
      <c r="F2627" s="1">
        <v>0</v>
      </c>
      <c r="G2627" s="1">
        <v>21</v>
      </c>
      <c r="H2627" s="4">
        <v>0.71</v>
      </c>
      <c r="I2627" s="1">
        <v>0</v>
      </c>
      <c r="J2627" s="4"/>
      <c r="K2627" s="1">
        <v>24</v>
      </c>
      <c r="L2627" s="1">
        <v>0</v>
      </c>
      <c r="M2627" s="32">
        <f>IF(Mecze[[#This Row],[PR]]=0,0,Mecze[[#This Row],[PR]]/Mecze[[#This Row],[CZAS]])</f>
        <v>0</v>
      </c>
      <c r="N2627" s="32">
        <f>IF(Mecze[[#This Row],[OU]]=0,0,Mecze[[#This Row],[OU]]/Mecze[[#This Row],[CZAS]])</f>
        <v>0</v>
      </c>
      <c r="O2627" s="32">
        <f>IF(Mecze[[#This Row],[PC]]=0,0,Mecze[[#This Row],[PC]]/Mecze[[#This Row],[CZAS]])</f>
        <v>0.15</v>
      </c>
      <c r="P2627" s="32">
        <f>IF(Mecze[[#This Row],[SC]]=0,0,Mecze[[#This Row],[SC]]/Mecze[[#This Row],[CZAS]])</f>
        <v>0</v>
      </c>
      <c r="Q2627" s="32">
        <f>IF(Mecze[[#This Row],[OB]]=0,0,Mecze[[#This Row],[OB]]/Mecze[[#This Row],[CZAS]])</f>
        <v>0.24</v>
      </c>
      <c r="R2627" s="32">
        <f>IF(Mecze[[#This Row],[BR]]=0,0,Mecze[[#This Row],[BR]]/Mecze[[#This Row],[CZAS]])</f>
        <v>0</v>
      </c>
      <c r="S2627" s="44">
        <f>IF(Mecze[[#This Row],[Role]]="BR",SUMPRODUCT(Mecze[[#This Row],[/PR:90]:[/BR:90]],Brudnopis!$E$23:$J$23),0)</f>
        <v>1.17</v>
      </c>
      <c r="T2627" s="44">
        <f>IF(Mecze[[#This Row],[Role]]&lt;&gt;"BR",SUMPRODUCT(Mecze[[#This Row],[/PR:90]:[/BR:90]],Brudnopis!$E$24:$J$24),0)</f>
        <v>0</v>
      </c>
      <c r="U2627" s="44">
        <f>IF(Mecze[[#This Row],[Role]]&lt;&gt;"BR",SUMPRODUCT(Mecze[[#This Row],[/PR:90]:[/BR:90]],Brudnopis!$E$25:$J$25),0)</f>
        <v>0</v>
      </c>
      <c r="V2627" s="44">
        <f>IF(Mecze[[#This Row],[Role]]&lt;&gt;"BR",SUMPRODUCT(Mecze[[#This Row],[/PR:90]:[/BR:90]],Brudnopis!$E$26:$J$26),0)</f>
        <v>0</v>
      </c>
      <c r="W2627" s="44">
        <f>IF(Mecze[[#This Row],[Role]]&lt;&gt;"BR",SUMPRODUCT(Mecze[[#This Row],[/PR:90]:[/BR:90]],Brudnopis!$E$27:$J$27),0)</f>
        <v>0</v>
      </c>
      <c r="X2627" s="44">
        <f>IF(Mecze[[#This Row],[Role]]&lt;&gt;"BR",SUMPRODUCT(Mecze[[#This Row],[/PR:90]:[/BR:90]],Brudnopis!$E$28:$J$28),0)</f>
        <v>0</v>
      </c>
      <c r="Y2627" s="35">
        <f>IF(Mecze[[#This Row],[Role]]="BR",Mecze[[#This Row],[/OB:90]]+Mecze[[#This Row],[/PC:90]],SUM(Mecze[[#This Row],[/PR:90]:[/BR:90]]))</f>
        <v>0.39</v>
      </c>
      <c r="Z2627" s="35">
        <f>IF(Mecze[[#This Row],[KC]]=0,SUM(Mecze[[#This Row],[/BRI]:[/NPI]]),SUM(Mecze[[#This Row],[/BRI]:[/NPI]])*0.6)</f>
        <v>1.17</v>
      </c>
      <c r="AA2627" s="10">
        <f>IFERROR(Mecze[[#This Row],[BR]]/Mecze[[#This Row],[ST]],0)</f>
        <v>0</v>
      </c>
      <c r="AB2627">
        <f>ROUND(Mecze[[#This Row],[PD]]*Mecze[[#This Row],[%PC]],0)</f>
        <v>15</v>
      </c>
      <c r="AC2627">
        <f>ROUND(Mecze[[#This Row],[OD]]*Mecze[[#This Row],[%OU]],0)</f>
        <v>0</v>
      </c>
      <c r="AD2627" s="36" t="s">
        <v>40</v>
      </c>
      <c r="AE2627" s="36">
        <v>147</v>
      </c>
      <c r="AF2627" s="71">
        <v>12.32</v>
      </c>
      <c r="AG2627" s="37">
        <v>0</v>
      </c>
      <c r="AH2627" s="37">
        <v>0</v>
      </c>
      <c r="AI2627" s="37">
        <v>100</v>
      </c>
      <c r="AJ2627" s="37">
        <v>9</v>
      </c>
      <c r="AK2627" s="37" t="str">
        <f>VLOOKUP(Mecze[[#This Row],[Match ID]],Meczusie[Mecz]:Meczusie[RodzajMeczu],2,FALSE)</f>
        <v>Liga</v>
      </c>
    </row>
    <row r="2628" spans="1:37" x14ac:dyDescent="0.25">
      <c r="A2628" s="76">
        <v>4</v>
      </c>
      <c r="B2628" s="3" t="s">
        <v>289</v>
      </c>
      <c r="C2628" s="2" t="s">
        <v>157</v>
      </c>
      <c r="D2628" s="1">
        <v>0</v>
      </c>
      <c r="E2628" s="1">
        <v>0</v>
      </c>
      <c r="F2628" s="1">
        <v>0</v>
      </c>
      <c r="G2628" s="1">
        <v>6</v>
      </c>
      <c r="H2628" s="4">
        <v>0.33</v>
      </c>
      <c r="I2628" s="1">
        <v>9</v>
      </c>
      <c r="J2628" s="4">
        <v>0.11</v>
      </c>
      <c r="K2628" s="1">
        <v>0</v>
      </c>
      <c r="L2628" s="1">
        <v>4</v>
      </c>
      <c r="M2628" s="32">
        <f>IF(Mecze[[#This Row],[PR]]=0,0,Mecze[[#This Row],[PR]]/Mecze[[#This Row],[CZAS]])</f>
        <v>0.04</v>
      </c>
      <c r="N2628" s="32">
        <f>IF(Mecze[[#This Row],[OU]]=0,0,Mecze[[#This Row],[OU]]/Mecze[[#This Row],[CZAS]])</f>
        <v>0.01</v>
      </c>
      <c r="O2628" s="32">
        <f>IF(Mecze[[#This Row],[PC]]=0,0,Mecze[[#This Row],[PC]]/Mecze[[#This Row],[CZAS]])</f>
        <v>0.02</v>
      </c>
      <c r="P2628" s="32">
        <f>IF(Mecze[[#This Row],[SC]]=0,0,Mecze[[#This Row],[SC]]/Mecze[[#This Row],[CZAS]])</f>
        <v>0</v>
      </c>
      <c r="Q2628" s="32">
        <f>IF(Mecze[[#This Row],[OB]]=0,0,Mecze[[#This Row],[OB]]/Mecze[[#This Row],[CZAS]])</f>
        <v>0</v>
      </c>
      <c r="R2628" s="32">
        <f>IF(Mecze[[#This Row],[BR]]=0,0,Mecze[[#This Row],[BR]]/Mecze[[#This Row],[CZAS]])</f>
        <v>0</v>
      </c>
      <c r="S2628" s="44">
        <f>IF(Mecze[[#This Row],[Role]]="BR",SUMPRODUCT(Mecze[[#This Row],[/PR:90]:[/BR:90]],Brudnopis!$E$23:$J$23),0)</f>
        <v>0</v>
      </c>
      <c r="T2628" s="44">
        <f>IF(Mecze[[#This Row],[Role]]&lt;&gt;"BR",SUMPRODUCT(Mecze[[#This Row],[/PR:90]:[/BR:90]],Brudnopis!$E$24:$J$24),0)</f>
        <v>7.4999999999999997E-2</v>
      </c>
      <c r="U2628" s="44">
        <f>IF(Mecze[[#This Row],[Role]]&lt;&gt;"BR",SUMPRODUCT(Mecze[[#This Row],[/PR:90]:[/BR:90]],Brudnopis!$E$25:$J$25),0)</f>
        <v>0.08</v>
      </c>
      <c r="V2628" s="44">
        <f>IF(Mecze[[#This Row],[Role]]&lt;&gt;"BR",SUMPRODUCT(Mecze[[#This Row],[/PR:90]:[/BR:90]],Brudnopis!$E$26:$J$26),0)</f>
        <v>7.0000000000000007E-2</v>
      </c>
      <c r="W2628" s="44">
        <f>IF(Mecze[[#This Row],[Role]]&lt;&gt;"BR",SUMPRODUCT(Mecze[[#This Row],[/PR:90]:[/BR:90]],Brudnopis!$E$27:$J$27),0)</f>
        <v>6.7500000000000004E-2</v>
      </c>
      <c r="X2628" s="44">
        <f>IF(Mecze[[#This Row],[Role]]&lt;&gt;"BR",SUMPRODUCT(Mecze[[#This Row],[/PR:90]:[/BR:90]],Brudnopis!$E$28:$J$28),0)</f>
        <v>0.02</v>
      </c>
      <c r="Y2628" s="35">
        <f>IF(Mecze[[#This Row],[Role]]="BR",Mecze[[#This Row],[/OB:90]]+Mecze[[#This Row],[/PC:90]],SUM(Mecze[[#This Row],[/PR:90]:[/BR:90]]))</f>
        <v>7.0000000000000007E-2</v>
      </c>
      <c r="Z2628" s="35">
        <f>IF(Mecze[[#This Row],[KC]]=0,SUM(Mecze[[#This Row],[/BRI]:[/NPI]]),SUM(Mecze[[#This Row],[/BRI]:[/NPI]])*0.6)</f>
        <v>0.3125</v>
      </c>
      <c r="AA2628" s="10">
        <f>IFERROR(Mecze[[#This Row],[BR]]/Mecze[[#This Row],[ST]],0)</f>
        <v>0</v>
      </c>
      <c r="AB2628">
        <f>ROUND(Mecze[[#This Row],[PD]]*Mecze[[#This Row],[%PC]],0)</f>
        <v>2</v>
      </c>
      <c r="AC2628">
        <f>ROUND(Mecze[[#This Row],[OD]]*Mecze[[#This Row],[%OU]],0)</f>
        <v>1</v>
      </c>
      <c r="AD2628" s="36" t="s">
        <v>168</v>
      </c>
      <c r="AE2628" s="36">
        <v>147</v>
      </c>
      <c r="AF2628" s="71">
        <v>3.54</v>
      </c>
      <c r="AG2628" s="37">
        <v>0</v>
      </c>
      <c r="AH2628" s="37">
        <v>0</v>
      </c>
      <c r="AI2628" s="37">
        <v>100</v>
      </c>
      <c r="AJ2628" s="37">
        <v>9</v>
      </c>
      <c r="AK2628" s="37" t="str">
        <f>VLOOKUP(Mecze[[#This Row],[Match ID]],Meczusie[Mecz]:Meczusie[RodzajMeczu],2,FALSE)</f>
        <v>Liga</v>
      </c>
    </row>
    <row r="2629" spans="1:37" x14ac:dyDescent="0.25">
      <c r="A2629" s="76">
        <v>2</v>
      </c>
      <c r="B2629" s="3" t="s">
        <v>290</v>
      </c>
      <c r="C2629" s="2" t="s">
        <v>157</v>
      </c>
      <c r="D2629" s="1">
        <v>0</v>
      </c>
      <c r="E2629" s="1">
        <v>0</v>
      </c>
      <c r="F2629" s="1">
        <v>0</v>
      </c>
      <c r="G2629" s="1">
        <v>11</v>
      </c>
      <c r="H2629" s="4">
        <v>0.55000000000000004</v>
      </c>
      <c r="I2629" s="1">
        <v>6</v>
      </c>
      <c r="J2629" s="4">
        <v>0.83</v>
      </c>
      <c r="K2629" s="1">
        <v>0</v>
      </c>
      <c r="L2629" s="1">
        <v>2</v>
      </c>
      <c r="M2629" s="32">
        <f>IF(Mecze[[#This Row],[PR]]=0,0,Mecze[[#This Row],[PR]]/Mecze[[#This Row],[CZAS]])</f>
        <v>0.02</v>
      </c>
      <c r="N2629" s="32">
        <f>IF(Mecze[[#This Row],[OU]]=0,0,Mecze[[#This Row],[OU]]/Mecze[[#This Row],[CZAS]])</f>
        <v>0.05</v>
      </c>
      <c r="O2629" s="32">
        <f>IF(Mecze[[#This Row],[PC]]=0,0,Mecze[[#This Row],[PC]]/Mecze[[#This Row],[CZAS]])</f>
        <v>0.06</v>
      </c>
      <c r="P2629" s="32">
        <f>IF(Mecze[[#This Row],[SC]]=0,0,Mecze[[#This Row],[SC]]/Mecze[[#This Row],[CZAS]])</f>
        <v>0</v>
      </c>
      <c r="Q2629" s="32">
        <f>IF(Mecze[[#This Row],[OB]]=0,0,Mecze[[#This Row],[OB]]/Mecze[[#This Row],[CZAS]])</f>
        <v>0</v>
      </c>
      <c r="R2629" s="32">
        <f>IF(Mecze[[#This Row],[BR]]=0,0,Mecze[[#This Row],[BR]]/Mecze[[#This Row],[CZAS]])</f>
        <v>0</v>
      </c>
      <c r="S2629" s="44">
        <f>IF(Mecze[[#This Row],[Role]]="BR",SUMPRODUCT(Mecze[[#This Row],[/PR:90]:[/BR:90]],Brudnopis!$E$23:$J$23),0)</f>
        <v>0</v>
      </c>
      <c r="T2629" s="44">
        <f>IF(Mecze[[#This Row],[Role]]&lt;&gt;"BR",SUMPRODUCT(Mecze[[#This Row],[/PR:90]:[/BR:90]],Brudnopis!$E$24:$J$24),0)</f>
        <v>0.15500000000000003</v>
      </c>
      <c r="U2629" s="44">
        <f>IF(Mecze[[#This Row],[Role]]&lt;&gt;"BR",SUMPRODUCT(Mecze[[#This Row],[/PR:90]:[/BR:90]],Brudnopis!$E$25:$J$25),0)</f>
        <v>0.16</v>
      </c>
      <c r="V2629" s="44">
        <f>IF(Mecze[[#This Row],[Role]]&lt;&gt;"BR",SUMPRODUCT(Mecze[[#This Row],[/PR:90]:[/BR:90]],Brudnopis!$E$26:$J$26),0)</f>
        <v>0.13</v>
      </c>
      <c r="W2629" s="44">
        <f>IF(Mecze[[#This Row],[Role]]&lt;&gt;"BR",SUMPRODUCT(Mecze[[#This Row],[/PR:90]:[/BR:90]],Brudnopis!$E$27:$J$27),0)</f>
        <v>0.14250000000000002</v>
      </c>
      <c r="X2629" s="44">
        <f>IF(Mecze[[#This Row],[Role]]&lt;&gt;"BR",SUMPRODUCT(Mecze[[#This Row],[/PR:90]:[/BR:90]],Brudnopis!$E$28:$J$28),0)</f>
        <v>0.06</v>
      </c>
      <c r="Y2629" s="35">
        <f>IF(Mecze[[#This Row],[Role]]="BR",Mecze[[#This Row],[/OB:90]]+Mecze[[#This Row],[/PC:90]],SUM(Mecze[[#This Row],[/PR:90]:[/BR:90]]))</f>
        <v>0.13</v>
      </c>
      <c r="Z2629" s="35">
        <f>IF(Mecze[[#This Row],[KC]]=0,SUM(Mecze[[#This Row],[/BRI]:[/NPI]]),SUM(Mecze[[#This Row],[/BRI]:[/NPI]])*0.6)</f>
        <v>0.64750000000000019</v>
      </c>
      <c r="AA2629" s="10">
        <f>IFERROR(Mecze[[#This Row],[BR]]/Mecze[[#This Row],[ST]],0)</f>
        <v>0</v>
      </c>
      <c r="AB2629">
        <f>ROUND(Mecze[[#This Row],[PD]]*Mecze[[#This Row],[%PC]],0)</f>
        <v>6</v>
      </c>
      <c r="AC2629">
        <f>ROUND(Mecze[[#This Row],[OD]]*Mecze[[#This Row],[%OU]],0)</f>
        <v>5</v>
      </c>
      <c r="AD2629" s="36" t="s">
        <v>47</v>
      </c>
      <c r="AE2629" s="36">
        <v>147</v>
      </c>
      <c r="AF2629" s="71">
        <v>5.44</v>
      </c>
      <c r="AG2629" s="37">
        <v>0</v>
      </c>
      <c r="AH2629" s="37">
        <v>0</v>
      </c>
      <c r="AI2629" s="37">
        <v>100</v>
      </c>
      <c r="AJ2629" s="37">
        <v>9</v>
      </c>
      <c r="AK2629" s="37" t="str">
        <f>VLOOKUP(Mecze[[#This Row],[Match ID]],Meczusie[Mecz]:Meczusie[RodzajMeczu],2,FALSE)</f>
        <v>Liga</v>
      </c>
    </row>
    <row r="2630" spans="1:37" x14ac:dyDescent="0.25">
      <c r="A2630" s="76">
        <v>16</v>
      </c>
      <c r="B2630" s="3" t="s">
        <v>405</v>
      </c>
      <c r="C2630" s="2" t="s">
        <v>157</v>
      </c>
      <c r="D2630" s="1">
        <v>0</v>
      </c>
      <c r="E2630" s="1">
        <v>0</v>
      </c>
      <c r="F2630" s="1">
        <v>0</v>
      </c>
      <c r="G2630" s="1">
        <v>5</v>
      </c>
      <c r="H2630" s="4">
        <v>0.6</v>
      </c>
      <c r="I2630" s="1">
        <v>6</v>
      </c>
      <c r="J2630" s="4">
        <v>0.5</v>
      </c>
      <c r="K2630" s="1">
        <v>0</v>
      </c>
      <c r="L2630" s="1">
        <v>3</v>
      </c>
      <c r="M2630" s="32">
        <f>IF(Mecze[[#This Row],[PR]]=0,0,Mecze[[#This Row],[PR]]/Mecze[[#This Row],[CZAS]])</f>
        <v>3.4482758620689655E-2</v>
      </c>
      <c r="N2630" s="32">
        <f>IF(Mecze[[#This Row],[OU]]=0,0,Mecze[[#This Row],[OU]]/Mecze[[#This Row],[CZAS]])</f>
        <v>3.4482758620689655E-2</v>
      </c>
      <c r="O2630" s="32">
        <f>IF(Mecze[[#This Row],[PC]]=0,0,Mecze[[#This Row],[PC]]/Mecze[[#This Row],[CZAS]])</f>
        <v>3.4482758620689655E-2</v>
      </c>
      <c r="P2630" s="32">
        <f>IF(Mecze[[#This Row],[SC]]=0,0,Mecze[[#This Row],[SC]]/Mecze[[#This Row],[CZAS]])</f>
        <v>0</v>
      </c>
      <c r="Q2630" s="32">
        <f>IF(Mecze[[#This Row],[OB]]=0,0,Mecze[[#This Row],[OB]]/Mecze[[#This Row],[CZAS]])</f>
        <v>0</v>
      </c>
      <c r="R2630" s="32">
        <f>IF(Mecze[[#This Row],[BR]]=0,0,Mecze[[#This Row],[BR]]/Mecze[[#This Row],[CZAS]])</f>
        <v>0</v>
      </c>
      <c r="S2630" s="44">
        <f>IF(Mecze[[#This Row],[Role]]="BR",SUMPRODUCT(Mecze[[#This Row],[/PR:90]:[/BR:90]],Brudnopis!$E$23:$J$23),0)</f>
        <v>0</v>
      </c>
      <c r="T2630" s="44">
        <f>IF(Mecze[[#This Row],[Role]]&lt;&gt;"BR",SUMPRODUCT(Mecze[[#This Row],[/PR:90]:[/BR:90]],Brudnopis!$E$24:$J$24),0)</f>
        <v>0.1206896551724138</v>
      </c>
      <c r="U2630" s="44">
        <f>IF(Mecze[[#This Row],[Role]]&lt;&gt;"BR",SUMPRODUCT(Mecze[[#This Row],[/PR:90]:[/BR:90]],Brudnopis!$E$25:$J$25),0)</f>
        <v>0.12068965517241378</v>
      </c>
      <c r="V2630" s="44">
        <f>IF(Mecze[[#This Row],[Role]]&lt;&gt;"BR",SUMPRODUCT(Mecze[[#This Row],[/PR:90]:[/BR:90]],Brudnopis!$E$26:$J$26),0)</f>
        <v>0.10344827586206896</v>
      </c>
      <c r="W2630" s="44">
        <f>IF(Mecze[[#This Row],[Role]]&lt;&gt;"BR",SUMPRODUCT(Mecze[[#This Row],[/PR:90]:[/BR:90]],Brudnopis!$E$27:$J$27),0)</f>
        <v>0.10344827586206896</v>
      </c>
      <c r="X2630" s="44">
        <f>IF(Mecze[[#This Row],[Role]]&lt;&gt;"BR",SUMPRODUCT(Mecze[[#This Row],[/PR:90]:[/BR:90]],Brudnopis!$E$28:$J$28),0)</f>
        <v>3.4482758620689655E-2</v>
      </c>
      <c r="Y2630" s="35">
        <f>IF(Mecze[[#This Row],[Role]]="BR",Mecze[[#This Row],[/OB:90]]+Mecze[[#This Row],[/PC:90]],SUM(Mecze[[#This Row],[/PR:90]:[/BR:90]]))</f>
        <v>0.10344827586206896</v>
      </c>
      <c r="Z2630" s="35">
        <f>IF(Mecze[[#This Row],[KC]]=0,SUM(Mecze[[#This Row],[/BRI]:[/NPI]]),SUM(Mecze[[#This Row],[/BRI]:[/NPI]])*0.6)</f>
        <v>0.28965517241379307</v>
      </c>
      <c r="AA2630" s="10">
        <f>IFERROR(Mecze[[#This Row],[BR]]/Mecze[[#This Row],[ST]],0)</f>
        <v>0</v>
      </c>
      <c r="AB2630">
        <f>ROUND(Mecze[[#This Row],[PD]]*Mecze[[#This Row],[%PC]],0)</f>
        <v>3</v>
      </c>
      <c r="AC2630">
        <f>ROUND(Mecze[[#This Row],[OD]]*Mecze[[#This Row],[%OU]],0)</f>
        <v>3</v>
      </c>
      <c r="AD2630" s="36" t="s">
        <v>167</v>
      </c>
      <c r="AE2630" s="36">
        <v>147</v>
      </c>
      <c r="AF2630" s="71">
        <v>2.2400000000000002</v>
      </c>
      <c r="AG2630" s="37">
        <v>0</v>
      </c>
      <c r="AH2630" s="37">
        <v>1</v>
      </c>
      <c r="AI2630" s="37">
        <v>87</v>
      </c>
      <c r="AJ2630" s="37">
        <v>9</v>
      </c>
      <c r="AK2630" s="37" t="str">
        <f>VLOOKUP(Mecze[[#This Row],[Match ID]],Meczusie[Mecz]:Meczusie[RodzajMeczu],2,FALSE)</f>
        <v>Liga</v>
      </c>
    </row>
    <row r="2631" spans="1:37" x14ac:dyDescent="0.25">
      <c r="A2631" s="76">
        <v>14</v>
      </c>
      <c r="B2631" s="3" t="s">
        <v>293</v>
      </c>
      <c r="C2631" s="2" t="s">
        <v>160</v>
      </c>
      <c r="D2631" s="1">
        <v>0</v>
      </c>
      <c r="E2631" s="1">
        <v>0</v>
      </c>
      <c r="F2631" s="1">
        <v>0</v>
      </c>
      <c r="G2631" s="1">
        <v>0</v>
      </c>
      <c r="H2631" s="72"/>
      <c r="I2631" s="1">
        <v>2</v>
      </c>
      <c r="J2631" s="4">
        <v>1</v>
      </c>
      <c r="K2631" s="1">
        <v>0</v>
      </c>
      <c r="L2631" s="1">
        <v>0</v>
      </c>
      <c r="M2631" s="32">
        <f>IF(Mecze[[#This Row],[PR]]=0,0,Mecze[[#This Row],[PR]]/Mecze[[#This Row],[CZAS]])</f>
        <v>0</v>
      </c>
      <c r="N2631" s="32">
        <f>IF(Mecze[[#This Row],[OU]]=0,0,Mecze[[#This Row],[OU]]/Mecze[[#This Row],[CZAS]])</f>
        <v>0.02</v>
      </c>
      <c r="O2631" s="32">
        <f>IF(Mecze[[#This Row],[PC]]=0,0,Mecze[[#This Row],[PC]]/Mecze[[#This Row],[CZAS]])</f>
        <v>0</v>
      </c>
      <c r="P2631" s="32">
        <f>IF(Mecze[[#This Row],[SC]]=0,0,Mecze[[#This Row],[SC]]/Mecze[[#This Row],[CZAS]])</f>
        <v>0</v>
      </c>
      <c r="Q2631" s="32">
        <f>IF(Mecze[[#This Row],[OB]]=0,0,Mecze[[#This Row],[OB]]/Mecze[[#This Row],[CZAS]])</f>
        <v>0</v>
      </c>
      <c r="R2631" s="32">
        <f>IF(Mecze[[#This Row],[BR]]=0,0,Mecze[[#This Row],[BR]]/Mecze[[#This Row],[CZAS]])</f>
        <v>0</v>
      </c>
      <c r="S2631" s="44">
        <f>IF(Mecze[[#This Row],[Role]]="BR",SUMPRODUCT(Mecze[[#This Row],[/PR:90]:[/BR:90]],Brudnopis!$E$23:$J$23),0)</f>
        <v>0</v>
      </c>
      <c r="T2631" s="44">
        <f>IF(Mecze[[#This Row],[Role]]&lt;&gt;"BR",SUMPRODUCT(Mecze[[#This Row],[/PR:90]:[/BR:90]],Brudnopis!$E$24:$J$24),0)</f>
        <v>0.03</v>
      </c>
      <c r="U2631" s="44">
        <f>IF(Mecze[[#This Row],[Role]]&lt;&gt;"BR",SUMPRODUCT(Mecze[[#This Row],[/PR:90]:[/BR:90]],Brudnopis!$E$25:$J$25),0)</f>
        <v>0.02</v>
      </c>
      <c r="V2631" s="44">
        <f>IF(Mecze[[#This Row],[Role]]&lt;&gt;"BR",SUMPRODUCT(Mecze[[#This Row],[/PR:90]:[/BR:90]],Brudnopis!$E$26:$J$26),0)</f>
        <v>0.02</v>
      </c>
      <c r="W2631" s="44">
        <f>IF(Mecze[[#This Row],[Role]]&lt;&gt;"BR",SUMPRODUCT(Mecze[[#This Row],[/PR:90]:[/BR:90]],Brudnopis!$E$27:$J$27),0)</f>
        <v>1.4999999999999999E-2</v>
      </c>
      <c r="X2631" s="44">
        <f>IF(Mecze[[#This Row],[Role]]&lt;&gt;"BR",SUMPRODUCT(Mecze[[#This Row],[/PR:90]:[/BR:90]],Brudnopis!$E$28:$J$28),0)</f>
        <v>0</v>
      </c>
      <c r="Y2631" s="35">
        <f>IF(Mecze[[#This Row],[Role]]="BR",Mecze[[#This Row],[/OB:90]]+Mecze[[#This Row],[/PC:90]],SUM(Mecze[[#This Row],[/PR:90]:[/BR:90]]))</f>
        <v>0.02</v>
      </c>
      <c r="Z2631" s="35">
        <f>IF(Mecze[[#This Row],[KC]]=0,SUM(Mecze[[#This Row],[/BRI]:[/NPI]]),SUM(Mecze[[#This Row],[/BRI]:[/NPI]])*0.6)</f>
        <v>8.5000000000000006E-2</v>
      </c>
      <c r="AA2631" s="10">
        <f>IFERROR(Mecze[[#This Row],[BR]]/Mecze[[#This Row],[ST]],0)</f>
        <v>0</v>
      </c>
      <c r="AB2631">
        <f>ROUND(Mecze[[#This Row],[PD]]*Mecze[[#This Row],[%PC]],0)</f>
        <v>0</v>
      </c>
      <c r="AC2631">
        <f>ROUND(Mecze[[#This Row],[OD]]*Mecze[[#This Row],[%OU]],0)</f>
        <v>2</v>
      </c>
      <c r="AD2631" s="36" t="s">
        <v>172</v>
      </c>
      <c r="AE2631" s="36">
        <v>147</v>
      </c>
      <c r="AF2631" s="71">
        <v>2.7</v>
      </c>
      <c r="AG2631" s="37">
        <v>0</v>
      </c>
      <c r="AH2631" s="37">
        <v>0</v>
      </c>
      <c r="AI2631" s="37">
        <v>100</v>
      </c>
      <c r="AJ2631" s="37">
        <v>9</v>
      </c>
      <c r="AK2631" s="37" t="str">
        <f>VLOOKUP(Mecze[[#This Row],[Match ID]],Meczusie[Mecz]:Meczusie[RodzajMeczu],2,FALSE)</f>
        <v>Liga</v>
      </c>
    </row>
    <row r="2632" spans="1:37" x14ac:dyDescent="0.25">
      <c r="A2632" s="76">
        <v>3</v>
      </c>
      <c r="B2632" s="3" t="s">
        <v>292</v>
      </c>
      <c r="C2632" s="2" t="s">
        <v>160</v>
      </c>
      <c r="D2632" s="1">
        <v>0</v>
      </c>
      <c r="E2632" s="1">
        <v>0</v>
      </c>
      <c r="F2632" s="1">
        <v>0</v>
      </c>
      <c r="G2632" s="1">
        <v>3</v>
      </c>
      <c r="H2632" s="4">
        <v>0.67</v>
      </c>
      <c r="I2632" s="1">
        <v>5</v>
      </c>
      <c r="J2632" s="4">
        <v>0.8</v>
      </c>
      <c r="K2632" s="1">
        <v>0</v>
      </c>
      <c r="L2632" s="1">
        <v>2</v>
      </c>
      <c r="M2632" s="32">
        <f>IF(Mecze[[#This Row],[PR]]=0,0,Mecze[[#This Row],[PR]]/Mecze[[#This Row],[CZAS]])</f>
        <v>0.02</v>
      </c>
      <c r="N2632" s="32">
        <f>IF(Mecze[[#This Row],[OU]]=0,0,Mecze[[#This Row],[OU]]/Mecze[[#This Row],[CZAS]])</f>
        <v>0.04</v>
      </c>
      <c r="O2632" s="32">
        <f>IF(Mecze[[#This Row],[PC]]=0,0,Mecze[[#This Row],[PC]]/Mecze[[#This Row],[CZAS]])</f>
        <v>0.02</v>
      </c>
      <c r="P2632" s="32">
        <f>IF(Mecze[[#This Row],[SC]]=0,0,Mecze[[#This Row],[SC]]/Mecze[[#This Row],[CZAS]])</f>
        <v>0</v>
      </c>
      <c r="Q2632" s="32">
        <f>IF(Mecze[[#This Row],[OB]]=0,0,Mecze[[#This Row],[OB]]/Mecze[[#This Row],[CZAS]])</f>
        <v>0</v>
      </c>
      <c r="R2632" s="32">
        <f>IF(Mecze[[#This Row],[BR]]=0,0,Mecze[[#This Row],[BR]]/Mecze[[#This Row],[CZAS]])</f>
        <v>0</v>
      </c>
      <c r="S2632" s="44">
        <f>IF(Mecze[[#This Row],[Role]]="BR",SUMPRODUCT(Mecze[[#This Row],[/PR:90]:[/BR:90]],Brudnopis!$E$23:$J$23),0)</f>
        <v>0</v>
      </c>
      <c r="T2632" s="44">
        <f>IF(Mecze[[#This Row],[Role]]&lt;&gt;"BR",SUMPRODUCT(Mecze[[#This Row],[/PR:90]:[/BR:90]],Brudnopis!$E$24:$J$24),0)</f>
        <v>0.1</v>
      </c>
      <c r="U2632" s="44">
        <f>IF(Mecze[[#This Row],[Role]]&lt;&gt;"BR",SUMPRODUCT(Mecze[[#This Row],[/PR:90]:[/BR:90]],Brudnopis!$E$25:$J$25),0)</f>
        <v>0.09</v>
      </c>
      <c r="V2632" s="44">
        <f>IF(Mecze[[#This Row],[Role]]&lt;&gt;"BR",SUMPRODUCT(Mecze[[#This Row],[/PR:90]:[/BR:90]],Brudnopis!$E$26:$J$26),0)</f>
        <v>0.08</v>
      </c>
      <c r="W2632" s="44">
        <f>IF(Mecze[[#This Row],[Role]]&lt;&gt;"BR",SUMPRODUCT(Mecze[[#This Row],[/PR:90]:[/BR:90]],Brudnopis!$E$27:$J$27),0)</f>
        <v>7.4999999999999997E-2</v>
      </c>
      <c r="X2632" s="44">
        <f>IF(Mecze[[#This Row],[Role]]&lt;&gt;"BR",SUMPRODUCT(Mecze[[#This Row],[/PR:90]:[/BR:90]],Brudnopis!$E$28:$J$28),0)</f>
        <v>0.02</v>
      </c>
      <c r="Y2632" s="35">
        <f>IF(Mecze[[#This Row],[Role]]="BR",Mecze[[#This Row],[/OB:90]]+Mecze[[#This Row],[/PC:90]],SUM(Mecze[[#This Row],[/PR:90]:[/BR:90]]))</f>
        <v>0.08</v>
      </c>
      <c r="Z2632" s="35">
        <f>IF(Mecze[[#This Row],[KC]]=0,SUM(Mecze[[#This Row],[/BRI]:[/NPI]]),SUM(Mecze[[#This Row],[/BRI]:[/NPI]])*0.6)</f>
        <v>0.36500000000000005</v>
      </c>
      <c r="AA2632" s="10">
        <f>IFERROR(Mecze[[#This Row],[BR]]/Mecze[[#This Row],[ST]],0)</f>
        <v>0</v>
      </c>
      <c r="AB2632">
        <f>ROUND(Mecze[[#This Row],[PD]]*Mecze[[#This Row],[%PC]],0)</f>
        <v>2</v>
      </c>
      <c r="AC2632">
        <f>ROUND(Mecze[[#This Row],[OD]]*Mecze[[#This Row],[%OU]],0)</f>
        <v>4</v>
      </c>
      <c r="AD2632" s="36" t="s">
        <v>173</v>
      </c>
      <c r="AE2632" s="36">
        <v>147</v>
      </c>
      <c r="AF2632" s="71">
        <v>3.12</v>
      </c>
      <c r="AG2632" s="37">
        <v>0</v>
      </c>
      <c r="AH2632" s="37">
        <v>0</v>
      </c>
      <c r="AI2632" s="37">
        <v>100</v>
      </c>
      <c r="AJ2632" s="37">
        <v>9</v>
      </c>
      <c r="AK2632" s="37" t="str">
        <f>VLOOKUP(Mecze[[#This Row],[Match ID]],Meczusie[Mecz]:Meczusie[RodzajMeczu],2,FALSE)</f>
        <v>Liga</v>
      </c>
    </row>
    <row r="2633" spans="1:37" x14ac:dyDescent="0.25">
      <c r="A2633" s="76">
        <v>8</v>
      </c>
      <c r="B2633" s="3" t="s">
        <v>294</v>
      </c>
      <c r="C2633" s="2" t="s">
        <v>160</v>
      </c>
      <c r="D2633" s="1">
        <v>0</v>
      </c>
      <c r="E2633" s="1">
        <v>4</v>
      </c>
      <c r="F2633" s="1">
        <v>3</v>
      </c>
      <c r="G2633" s="1">
        <v>15</v>
      </c>
      <c r="H2633" s="4">
        <v>0.8</v>
      </c>
      <c r="I2633" s="1">
        <v>11</v>
      </c>
      <c r="J2633" s="4">
        <v>0.27</v>
      </c>
      <c r="K2633" s="1">
        <v>0</v>
      </c>
      <c r="L2633" s="1">
        <v>8</v>
      </c>
      <c r="M2633" s="32">
        <f>IF(Mecze[[#This Row],[PR]]=0,0,Mecze[[#This Row],[PR]]/Mecze[[#This Row],[CZAS]])</f>
        <v>0.08</v>
      </c>
      <c r="N2633" s="32">
        <f>IF(Mecze[[#This Row],[OU]]=0,0,Mecze[[#This Row],[OU]]/Mecze[[#This Row],[CZAS]])</f>
        <v>0.03</v>
      </c>
      <c r="O2633" s="32">
        <f>IF(Mecze[[#This Row],[PC]]=0,0,Mecze[[#This Row],[PC]]/Mecze[[#This Row],[CZAS]])</f>
        <v>0.12</v>
      </c>
      <c r="P2633" s="32">
        <f>IF(Mecze[[#This Row],[SC]]=0,0,Mecze[[#This Row],[SC]]/Mecze[[#This Row],[CZAS]])</f>
        <v>0.03</v>
      </c>
      <c r="Q2633" s="32">
        <f>IF(Mecze[[#This Row],[OB]]=0,0,Mecze[[#This Row],[OB]]/Mecze[[#This Row],[CZAS]])</f>
        <v>0</v>
      </c>
      <c r="R2633" s="32">
        <f>IF(Mecze[[#This Row],[BR]]=0,0,Mecze[[#This Row],[BR]]/Mecze[[#This Row],[CZAS]])</f>
        <v>0</v>
      </c>
      <c r="S2633" s="44">
        <f>IF(Mecze[[#This Row],[Role]]="BR",SUMPRODUCT(Mecze[[#This Row],[/PR:90]:[/BR:90]],Brudnopis!$E$23:$J$23),0)</f>
        <v>0</v>
      </c>
      <c r="T2633" s="44">
        <f>IF(Mecze[[#This Row],[Role]]&lt;&gt;"BR",SUMPRODUCT(Mecze[[#This Row],[/PR:90]:[/BR:90]],Brudnopis!$E$24:$J$24),0)</f>
        <v>0.27500000000000002</v>
      </c>
      <c r="U2633" s="44">
        <f>IF(Mecze[[#This Row],[Role]]&lt;&gt;"BR",SUMPRODUCT(Mecze[[#This Row],[/PR:90]:[/BR:90]],Brudnopis!$E$25:$J$25),0)</f>
        <v>0.31999999999999995</v>
      </c>
      <c r="V2633" s="44">
        <f>IF(Mecze[[#This Row],[Role]]&lt;&gt;"BR",SUMPRODUCT(Mecze[[#This Row],[/PR:90]:[/BR:90]],Brudnopis!$E$26:$J$26),0)</f>
        <v>0.26</v>
      </c>
      <c r="W2633" s="44">
        <f>IF(Mecze[[#This Row],[Role]]&lt;&gt;"BR",SUMPRODUCT(Mecze[[#This Row],[/PR:90]:[/BR:90]],Brudnopis!$E$27:$J$27),0)</f>
        <v>0.29249999999999998</v>
      </c>
      <c r="X2633" s="44">
        <f>IF(Mecze[[#This Row],[Role]]&lt;&gt;"BR",SUMPRODUCT(Mecze[[#This Row],[/PR:90]:[/BR:90]],Brudnopis!$E$28:$J$28),0)</f>
        <v>0.18</v>
      </c>
      <c r="Y2633" s="35">
        <f>IF(Mecze[[#This Row],[Role]]="BR",Mecze[[#This Row],[/OB:90]]+Mecze[[#This Row],[/PC:90]],SUM(Mecze[[#This Row],[/PR:90]:[/BR:90]]))</f>
        <v>0.26</v>
      </c>
      <c r="Z2633" s="35">
        <f>IF(Mecze[[#This Row],[KC]]=0,SUM(Mecze[[#This Row],[/BRI]:[/NPI]]),SUM(Mecze[[#This Row],[/BRI]:[/NPI]])*0.6)</f>
        <v>1.3274999999999999</v>
      </c>
      <c r="AA2633" s="10">
        <f>IFERROR(Mecze[[#This Row],[BR]]/Mecze[[#This Row],[ST]],0)</f>
        <v>0</v>
      </c>
      <c r="AB2633">
        <f>ROUND(Mecze[[#This Row],[PD]]*Mecze[[#This Row],[%PC]],0)</f>
        <v>12</v>
      </c>
      <c r="AC2633">
        <f>ROUND(Mecze[[#This Row],[OD]]*Mecze[[#This Row],[%OU]],0)</f>
        <v>3</v>
      </c>
      <c r="AD2633" s="36" t="s">
        <v>67</v>
      </c>
      <c r="AE2633" s="36">
        <v>147</v>
      </c>
      <c r="AF2633" s="71">
        <v>7.19</v>
      </c>
      <c r="AG2633" s="37">
        <v>0</v>
      </c>
      <c r="AH2633" s="37">
        <v>0</v>
      </c>
      <c r="AI2633" s="37">
        <v>100</v>
      </c>
      <c r="AJ2633" s="37">
        <v>9</v>
      </c>
      <c r="AK2633" s="37" t="str">
        <f>VLOOKUP(Mecze[[#This Row],[Match ID]],Meczusie[Mecz]:Meczusie[RodzajMeczu],2,FALSE)</f>
        <v>Liga</v>
      </c>
    </row>
    <row r="2634" spans="1:37" x14ac:dyDescent="0.25">
      <c r="A2634" s="76">
        <v>11</v>
      </c>
      <c r="B2634" s="3" t="s">
        <v>410</v>
      </c>
      <c r="C2634" s="2" t="s">
        <v>160</v>
      </c>
      <c r="D2634" s="1">
        <v>0</v>
      </c>
      <c r="E2634" s="1">
        <v>0</v>
      </c>
      <c r="F2634" s="1">
        <v>0</v>
      </c>
      <c r="G2634" s="1">
        <v>10</v>
      </c>
      <c r="H2634" s="4">
        <v>0.5</v>
      </c>
      <c r="I2634" s="1">
        <v>4</v>
      </c>
      <c r="J2634" s="4">
        <v>0.5</v>
      </c>
      <c r="K2634" s="1">
        <v>0</v>
      </c>
      <c r="L2634" s="1">
        <v>1</v>
      </c>
      <c r="M2634" s="32">
        <f>IF(Mecze[[#This Row],[PR]]=0,0,Mecze[[#This Row],[PR]]/Mecze[[#This Row],[CZAS]])</f>
        <v>0.01</v>
      </c>
      <c r="N2634" s="32">
        <f>IF(Mecze[[#This Row],[OU]]=0,0,Mecze[[#This Row],[OU]]/Mecze[[#This Row],[CZAS]])</f>
        <v>0.02</v>
      </c>
      <c r="O2634" s="32">
        <f>IF(Mecze[[#This Row],[PC]]=0,0,Mecze[[#This Row],[PC]]/Mecze[[#This Row],[CZAS]])</f>
        <v>0.05</v>
      </c>
      <c r="P2634" s="32">
        <f>IF(Mecze[[#This Row],[SC]]=0,0,Mecze[[#This Row],[SC]]/Mecze[[#This Row],[CZAS]])</f>
        <v>0</v>
      </c>
      <c r="Q2634" s="32">
        <f>IF(Mecze[[#This Row],[OB]]=0,0,Mecze[[#This Row],[OB]]/Mecze[[#This Row],[CZAS]])</f>
        <v>0</v>
      </c>
      <c r="R2634" s="32">
        <f>IF(Mecze[[#This Row],[BR]]=0,0,Mecze[[#This Row],[BR]]/Mecze[[#This Row],[CZAS]])</f>
        <v>0</v>
      </c>
      <c r="S2634" s="44">
        <f>IF(Mecze[[#This Row],[Role]]="BR",SUMPRODUCT(Mecze[[#This Row],[/PR:90]:[/BR:90]],Brudnopis!$E$23:$J$23),0)</f>
        <v>0</v>
      </c>
      <c r="T2634" s="44">
        <f>IF(Mecze[[#This Row],[Role]]&lt;&gt;"BR",SUMPRODUCT(Mecze[[#This Row],[/PR:90]:[/BR:90]],Brudnopis!$E$24:$J$24),0)</f>
        <v>0.09</v>
      </c>
      <c r="U2634" s="44">
        <f>IF(Mecze[[#This Row],[Role]]&lt;&gt;"BR",SUMPRODUCT(Mecze[[#This Row],[/PR:90]:[/BR:90]],Brudnopis!$E$25:$J$25),0)</f>
        <v>0.10500000000000001</v>
      </c>
      <c r="V2634" s="44">
        <f>IF(Mecze[[#This Row],[Role]]&lt;&gt;"BR",SUMPRODUCT(Mecze[[#This Row],[/PR:90]:[/BR:90]],Brudnopis!$E$26:$J$26),0)</f>
        <v>0.08</v>
      </c>
      <c r="W2634" s="44">
        <f>IF(Mecze[[#This Row],[Role]]&lt;&gt;"BR",SUMPRODUCT(Mecze[[#This Row],[/PR:90]:[/BR:90]],Brudnopis!$E$27:$J$27),0)</f>
        <v>9.7500000000000003E-2</v>
      </c>
      <c r="X2634" s="44">
        <f>IF(Mecze[[#This Row],[Role]]&lt;&gt;"BR",SUMPRODUCT(Mecze[[#This Row],[/PR:90]:[/BR:90]],Brudnopis!$E$28:$J$28),0)</f>
        <v>0.05</v>
      </c>
      <c r="Y2634" s="35">
        <f>IF(Mecze[[#This Row],[Role]]="BR",Mecze[[#This Row],[/OB:90]]+Mecze[[#This Row],[/PC:90]],SUM(Mecze[[#This Row],[/PR:90]:[/BR:90]]))</f>
        <v>0.08</v>
      </c>
      <c r="Z2634" s="35">
        <f>IF(Mecze[[#This Row],[KC]]=0,SUM(Mecze[[#This Row],[/BRI]:[/NPI]]),SUM(Mecze[[#This Row],[/BRI]:[/NPI]])*0.6)</f>
        <v>0.42250000000000004</v>
      </c>
      <c r="AA2634" s="10">
        <f>IFERROR(Mecze[[#This Row],[BR]]/Mecze[[#This Row],[ST]],0)</f>
        <v>0</v>
      </c>
      <c r="AB2634">
        <f>ROUND(Mecze[[#This Row],[PD]]*Mecze[[#This Row],[%PC]],0)</f>
        <v>5</v>
      </c>
      <c r="AC2634">
        <f>ROUND(Mecze[[#This Row],[OD]]*Mecze[[#This Row],[%OU]],0)</f>
        <v>2</v>
      </c>
      <c r="AD2634" s="36" t="s">
        <v>299</v>
      </c>
      <c r="AE2634" s="36">
        <v>147</v>
      </c>
      <c r="AF2634" s="71">
        <v>3.01</v>
      </c>
      <c r="AG2634" s="37">
        <v>1</v>
      </c>
      <c r="AH2634" s="37">
        <v>0</v>
      </c>
      <c r="AI2634" s="37">
        <v>100</v>
      </c>
      <c r="AJ2634" s="37">
        <v>9</v>
      </c>
      <c r="AK2634" s="37" t="str">
        <f>VLOOKUP(Mecze[[#This Row],[Match ID]],Meczusie[Mecz]:Meczusie[RodzajMeczu],2,FALSE)</f>
        <v>Liga</v>
      </c>
    </row>
    <row r="2635" spans="1:37" x14ac:dyDescent="0.25">
      <c r="A2635" s="76">
        <v>13</v>
      </c>
      <c r="B2635" s="3" t="s">
        <v>295</v>
      </c>
      <c r="C2635" s="2" t="s">
        <v>160</v>
      </c>
      <c r="D2635" s="1">
        <v>0</v>
      </c>
      <c r="E2635" s="1">
        <v>2</v>
      </c>
      <c r="F2635" s="1">
        <v>1</v>
      </c>
      <c r="G2635" s="1">
        <v>8</v>
      </c>
      <c r="H2635" s="4">
        <v>0.75</v>
      </c>
      <c r="I2635" s="1">
        <v>6</v>
      </c>
      <c r="J2635" s="4">
        <v>0.5</v>
      </c>
      <c r="K2635" s="1">
        <v>0</v>
      </c>
      <c r="L2635" s="1">
        <v>2</v>
      </c>
      <c r="M2635" s="32">
        <f>IF(Mecze[[#This Row],[PR]]=0,0,Mecze[[#This Row],[PR]]/Mecze[[#This Row],[CZAS]])</f>
        <v>0.02</v>
      </c>
      <c r="N2635" s="32">
        <f>IF(Mecze[[#This Row],[OU]]=0,0,Mecze[[#This Row],[OU]]/Mecze[[#This Row],[CZAS]])</f>
        <v>0.03</v>
      </c>
      <c r="O2635" s="32">
        <f>IF(Mecze[[#This Row],[PC]]=0,0,Mecze[[#This Row],[PC]]/Mecze[[#This Row],[CZAS]])</f>
        <v>0.06</v>
      </c>
      <c r="P2635" s="32">
        <f>IF(Mecze[[#This Row],[SC]]=0,0,Mecze[[#This Row],[SC]]/Mecze[[#This Row],[CZAS]])</f>
        <v>0.01</v>
      </c>
      <c r="Q2635" s="32">
        <f>IF(Mecze[[#This Row],[OB]]=0,0,Mecze[[#This Row],[OB]]/Mecze[[#This Row],[CZAS]])</f>
        <v>0</v>
      </c>
      <c r="R2635" s="32">
        <f>IF(Mecze[[#This Row],[BR]]=0,0,Mecze[[#This Row],[BR]]/Mecze[[#This Row],[CZAS]])</f>
        <v>0</v>
      </c>
      <c r="S2635" s="44">
        <f>IF(Mecze[[#This Row],[Role]]="BR",SUMPRODUCT(Mecze[[#This Row],[/PR:90]:[/BR:90]],Brudnopis!$E$23:$J$23),0)</f>
        <v>0</v>
      </c>
      <c r="T2635" s="44">
        <f>IF(Mecze[[#This Row],[Role]]&lt;&gt;"BR",SUMPRODUCT(Mecze[[#This Row],[/PR:90]:[/BR:90]],Brudnopis!$E$24:$J$24),0)</f>
        <v>0.13500000000000001</v>
      </c>
      <c r="U2635" s="44">
        <f>IF(Mecze[[#This Row],[Role]]&lt;&gt;"BR",SUMPRODUCT(Mecze[[#This Row],[/PR:90]:[/BR:90]],Brudnopis!$E$25:$J$25),0)</f>
        <v>0.15000000000000002</v>
      </c>
      <c r="V2635" s="44">
        <f>IF(Mecze[[#This Row],[Role]]&lt;&gt;"BR",SUMPRODUCT(Mecze[[#This Row],[/PR:90]:[/BR:90]],Brudnopis!$E$26:$J$26),0)</f>
        <v>0.12</v>
      </c>
      <c r="W2635" s="44">
        <f>IF(Mecze[[#This Row],[Role]]&lt;&gt;"BR",SUMPRODUCT(Mecze[[#This Row],[/PR:90]:[/BR:90]],Brudnopis!$E$27:$J$27),0)</f>
        <v>0.13750000000000001</v>
      </c>
      <c r="X2635" s="44">
        <f>IF(Mecze[[#This Row],[Role]]&lt;&gt;"BR",SUMPRODUCT(Mecze[[#This Row],[/PR:90]:[/BR:90]],Brudnopis!$E$28:$J$28),0)</f>
        <v>0.08</v>
      </c>
      <c r="Y2635" s="35">
        <f>IF(Mecze[[#This Row],[Role]]="BR",Mecze[[#This Row],[/OB:90]]+Mecze[[#This Row],[/PC:90]],SUM(Mecze[[#This Row],[/PR:90]:[/BR:90]]))</f>
        <v>0.12</v>
      </c>
      <c r="Z2635" s="35">
        <f>IF(Mecze[[#This Row],[KC]]=0,SUM(Mecze[[#This Row],[/BRI]:[/NPI]]),SUM(Mecze[[#This Row],[/BRI]:[/NPI]])*0.6)</f>
        <v>0.62249999999999994</v>
      </c>
      <c r="AA2635" s="10">
        <f>IFERROR(Mecze[[#This Row],[BR]]/Mecze[[#This Row],[ST]],0)</f>
        <v>0</v>
      </c>
      <c r="AB2635">
        <f>ROUND(Mecze[[#This Row],[PD]]*Mecze[[#This Row],[%PC]],0)</f>
        <v>6</v>
      </c>
      <c r="AC2635">
        <f>ROUND(Mecze[[#This Row],[OD]]*Mecze[[#This Row],[%OU]],0)</f>
        <v>3</v>
      </c>
      <c r="AD2635" s="36" t="s">
        <v>171</v>
      </c>
      <c r="AE2635" s="36">
        <v>147</v>
      </c>
      <c r="AF2635" s="71">
        <v>4.5599999999999996</v>
      </c>
      <c r="AG2635" s="37">
        <v>0</v>
      </c>
      <c r="AH2635" s="37">
        <v>0</v>
      </c>
      <c r="AI2635" s="37">
        <v>100</v>
      </c>
      <c r="AJ2635" s="37">
        <v>9</v>
      </c>
      <c r="AK2635" s="37" t="str">
        <f>VLOOKUP(Mecze[[#This Row],[Match ID]],Meczusie[Mecz]:Meczusie[RodzajMeczu],2,FALSE)</f>
        <v>Liga</v>
      </c>
    </row>
    <row r="2636" spans="1:37" x14ac:dyDescent="0.25">
      <c r="A2636" s="76">
        <v>9</v>
      </c>
      <c r="B2636" s="3" t="s">
        <v>296</v>
      </c>
      <c r="C2636" s="2" t="s">
        <v>165</v>
      </c>
      <c r="D2636" s="1">
        <v>0</v>
      </c>
      <c r="E2636" s="1">
        <v>3</v>
      </c>
      <c r="F2636" s="1">
        <v>3</v>
      </c>
      <c r="G2636" s="1">
        <v>10</v>
      </c>
      <c r="H2636" s="4">
        <v>0.7</v>
      </c>
      <c r="I2636" s="1">
        <v>4</v>
      </c>
      <c r="J2636" s="4">
        <v>0.5</v>
      </c>
      <c r="K2636" s="1">
        <v>0</v>
      </c>
      <c r="L2636" s="1">
        <v>2</v>
      </c>
      <c r="M2636" s="32">
        <f>IF(Mecze[[#This Row],[PR]]=0,0,Mecze[[#This Row],[PR]]/Mecze[[#This Row],[CZAS]])</f>
        <v>0.02</v>
      </c>
      <c r="N2636" s="32">
        <f>IF(Mecze[[#This Row],[OU]]=0,0,Mecze[[#This Row],[OU]]/Mecze[[#This Row],[CZAS]])</f>
        <v>0.02</v>
      </c>
      <c r="O2636" s="32">
        <f>IF(Mecze[[#This Row],[PC]]=0,0,Mecze[[#This Row],[PC]]/Mecze[[#This Row],[CZAS]])</f>
        <v>7.0000000000000007E-2</v>
      </c>
      <c r="P2636" s="32">
        <f>IF(Mecze[[#This Row],[SC]]=0,0,Mecze[[#This Row],[SC]]/Mecze[[#This Row],[CZAS]])</f>
        <v>0.03</v>
      </c>
      <c r="Q2636" s="32">
        <f>IF(Mecze[[#This Row],[OB]]=0,0,Mecze[[#This Row],[OB]]/Mecze[[#This Row],[CZAS]])</f>
        <v>0</v>
      </c>
      <c r="R2636" s="32">
        <f>IF(Mecze[[#This Row],[BR]]=0,0,Mecze[[#This Row],[BR]]/Mecze[[#This Row],[CZAS]])</f>
        <v>0</v>
      </c>
      <c r="S2636" s="44">
        <f>IF(Mecze[[#This Row],[Role]]="BR",SUMPRODUCT(Mecze[[#This Row],[/PR:90]:[/BR:90]],Brudnopis!$E$23:$J$23),0)</f>
        <v>0</v>
      </c>
      <c r="T2636" s="44">
        <f>IF(Mecze[[#This Row],[Role]]&lt;&gt;"BR",SUMPRODUCT(Mecze[[#This Row],[/PR:90]:[/BR:90]],Brudnopis!$E$24:$J$24),0)</f>
        <v>0.15000000000000002</v>
      </c>
      <c r="U2636" s="44">
        <f>IF(Mecze[[#This Row],[Role]]&lt;&gt;"BR",SUMPRODUCT(Mecze[[#This Row],[/PR:90]:[/BR:90]],Brudnopis!$E$25:$J$25),0)</f>
        <v>0.17500000000000002</v>
      </c>
      <c r="V2636" s="44">
        <f>IF(Mecze[[#This Row],[Role]]&lt;&gt;"BR",SUMPRODUCT(Mecze[[#This Row],[/PR:90]:[/BR:90]],Brudnopis!$E$26:$J$26),0)</f>
        <v>0.14000000000000001</v>
      </c>
      <c r="W2636" s="44">
        <f>IF(Mecze[[#This Row],[Role]]&lt;&gt;"BR",SUMPRODUCT(Mecze[[#This Row],[/PR:90]:[/BR:90]],Brudnopis!$E$27:$J$27),0)</f>
        <v>0.16500000000000001</v>
      </c>
      <c r="X2636" s="44">
        <f>IF(Mecze[[#This Row],[Role]]&lt;&gt;"BR",SUMPRODUCT(Mecze[[#This Row],[/PR:90]:[/BR:90]],Brudnopis!$E$28:$J$28),0)</f>
        <v>0.13</v>
      </c>
      <c r="Y2636" s="35">
        <f>IF(Mecze[[#This Row],[Role]]="BR",Mecze[[#This Row],[/OB:90]]+Mecze[[#This Row],[/PC:90]],SUM(Mecze[[#This Row],[/PR:90]:[/BR:90]]))</f>
        <v>0.14000000000000001</v>
      </c>
      <c r="Z2636" s="35">
        <f>IF(Mecze[[#This Row],[KC]]=0,SUM(Mecze[[#This Row],[/BRI]:[/NPI]]),SUM(Mecze[[#This Row],[/BRI]:[/NPI]])*0.6)</f>
        <v>0.76000000000000012</v>
      </c>
      <c r="AA2636" s="10">
        <f>IFERROR(Mecze[[#This Row],[BR]]/Mecze[[#This Row],[ST]],0)</f>
        <v>0</v>
      </c>
      <c r="AB2636">
        <f>ROUND(Mecze[[#This Row],[PD]]*Mecze[[#This Row],[%PC]],0)</f>
        <v>7</v>
      </c>
      <c r="AC2636">
        <f>ROUND(Mecze[[#This Row],[OD]]*Mecze[[#This Row],[%OU]],0)</f>
        <v>2</v>
      </c>
      <c r="AD2636" s="36" t="s">
        <v>272</v>
      </c>
      <c r="AE2636" s="36">
        <v>147</v>
      </c>
      <c r="AF2636" s="71">
        <v>4.7</v>
      </c>
      <c r="AG2636" s="37">
        <v>0</v>
      </c>
      <c r="AH2636" s="37">
        <v>0</v>
      </c>
      <c r="AI2636" s="37">
        <v>100</v>
      </c>
      <c r="AJ2636" s="37">
        <v>9</v>
      </c>
      <c r="AK2636" s="37" t="str">
        <f>VLOOKUP(Mecze[[#This Row],[Match ID]],Meczusie[Mecz]:Meczusie[RodzajMeczu],2,FALSE)</f>
        <v>Liga</v>
      </c>
    </row>
    <row r="2637" spans="1:37" x14ac:dyDescent="0.25">
      <c r="A2637" s="76">
        <v>6</v>
      </c>
      <c r="B2637" s="3" t="s">
        <v>297</v>
      </c>
      <c r="C2637" s="2" t="s">
        <v>165</v>
      </c>
      <c r="D2637" s="1">
        <v>1</v>
      </c>
      <c r="E2637" s="1">
        <v>5</v>
      </c>
      <c r="F2637" s="1">
        <v>4</v>
      </c>
      <c r="G2637" s="1">
        <v>11</v>
      </c>
      <c r="H2637" s="4">
        <v>0.45</v>
      </c>
      <c r="I2637" s="1">
        <v>5</v>
      </c>
      <c r="J2637" s="4">
        <v>0.6</v>
      </c>
      <c r="K2637" s="1">
        <v>0</v>
      </c>
      <c r="L2637" s="1">
        <v>0</v>
      </c>
      <c r="M2637" s="32">
        <f>IF(Mecze[[#This Row],[PR]]=0,0,Mecze[[#This Row],[PR]]/Mecze[[#This Row],[CZAS]])</f>
        <v>0</v>
      </c>
      <c r="N2637" s="32">
        <f>IF(Mecze[[#This Row],[OU]]=0,0,Mecze[[#This Row],[OU]]/Mecze[[#This Row],[CZAS]])</f>
        <v>0.03</v>
      </c>
      <c r="O2637" s="32">
        <f>IF(Mecze[[#This Row],[PC]]=0,0,Mecze[[#This Row],[PC]]/Mecze[[#This Row],[CZAS]])</f>
        <v>0.05</v>
      </c>
      <c r="P2637" s="32">
        <f>IF(Mecze[[#This Row],[SC]]=0,0,Mecze[[#This Row],[SC]]/Mecze[[#This Row],[CZAS]])</f>
        <v>0.04</v>
      </c>
      <c r="Q2637" s="32">
        <f>IF(Mecze[[#This Row],[OB]]=0,0,Mecze[[#This Row],[OB]]/Mecze[[#This Row],[CZAS]])</f>
        <v>0</v>
      </c>
      <c r="R2637" s="32">
        <f>IF(Mecze[[#This Row],[BR]]=0,0,Mecze[[#This Row],[BR]]/Mecze[[#This Row],[CZAS]])</f>
        <v>0.01</v>
      </c>
      <c r="S2637" s="44">
        <f>IF(Mecze[[#This Row],[Role]]="BR",SUMPRODUCT(Mecze[[#This Row],[/PR:90]:[/BR:90]],Brudnopis!$E$23:$J$23),0)</f>
        <v>0</v>
      </c>
      <c r="T2637" s="44">
        <f>IF(Mecze[[#This Row],[Role]]&lt;&gt;"BR",SUMPRODUCT(Mecze[[#This Row],[/PR:90]:[/BR:90]],Brudnopis!$E$24:$J$24),0)</f>
        <v>0.15000000000000002</v>
      </c>
      <c r="U2637" s="44">
        <f>IF(Mecze[[#This Row],[Role]]&lt;&gt;"BR",SUMPRODUCT(Mecze[[#This Row],[/PR:90]:[/BR:90]],Brudnopis!$E$25:$J$25),0)</f>
        <v>0.16000000000000003</v>
      </c>
      <c r="V2637" s="44">
        <f>IF(Mecze[[#This Row],[Role]]&lt;&gt;"BR",SUMPRODUCT(Mecze[[#This Row],[/PR:90]:[/BR:90]],Brudnopis!$E$26:$J$26),0)</f>
        <v>0.13999999999999999</v>
      </c>
      <c r="W2637" s="44">
        <f>IF(Mecze[[#This Row],[Role]]&lt;&gt;"BR",SUMPRODUCT(Mecze[[#This Row],[/PR:90]:[/BR:90]],Brudnopis!$E$27:$J$27),0)</f>
        <v>0.1575</v>
      </c>
      <c r="X2637" s="44">
        <f>IF(Mecze[[#This Row],[Role]]&lt;&gt;"BR",SUMPRODUCT(Mecze[[#This Row],[/PR:90]:[/BR:90]],Brudnopis!$E$28:$J$28),0)</f>
        <v>0.16</v>
      </c>
      <c r="Y2637" s="35">
        <f>IF(Mecze[[#This Row],[Role]]="BR",Mecze[[#This Row],[/OB:90]]+Mecze[[#This Row],[/PC:90]],SUM(Mecze[[#This Row],[/PR:90]:[/BR:90]]))</f>
        <v>0.13</v>
      </c>
      <c r="Z2637" s="35">
        <f>IF(Mecze[[#This Row],[KC]]=0,SUM(Mecze[[#This Row],[/BRI]:[/NPI]]),SUM(Mecze[[#This Row],[/BRI]:[/NPI]])*0.6)</f>
        <v>0.76750000000000007</v>
      </c>
      <c r="AA2637" s="10">
        <f>IFERROR(Mecze[[#This Row],[BR]]/Mecze[[#This Row],[ST]],0)</f>
        <v>0.2</v>
      </c>
      <c r="AB2637">
        <f>ROUND(Mecze[[#This Row],[PD]]*Mecze[[#This Row],[%PC]],0)</f>
        <v>5</v>
      </c>
      <c r="AC2637">
        <f>ROUND(Mecze[[#This Row],[OD]]*Mecze[[#This Row],[%OU]],0)</f>
        <v>3</v>
      </c>
      <c r="AD2637" s="36" t="s">
        <v>46</v>
      </c>
      <c r="AE2637" s="36">
        <v>147</v>
      </c>
      <c r="AF2637" s="71">
        <v>5.89</v>
      </c>
      <c r="AG2637" s="37">
        <v>0</v>
      </c>
      <c r="AH2637" s="37">
        <v>0</v>
      </c>
      <c r="AI2637" s="37">
        <v>100</v>
      </c>
      <c r="AJ2637" s="37">
        <v>9</v>
      </c>
      <c r="AK2637" s="37" t="str">
        <f>VLOOKUP(Mecze[[#This Row],[Match ID]],Meczusie[Mecz]:Meczusie[RodzajMeczu],2,FALSE)</f>
        <v>Liga</v>
      </c>
    </row>
    <row r="2638" spans="1:37" x14ac:dyDescent="0.25">
      <c r="A2638" s="76">
        <v>1</v>
      </c>
      <c r="B2638" s="3" t="s">
        <v>320</v>
      </c>
      <c r="C2638" s="2" t="s">
        <v>155</v>
      </c>
      <c r="D2638" s="1">
        <v>0</v>
      </c>
      <c r="E2638" s="1">
        <v>0</v>
      </c>
      <c r="F2638" s="1">
        <v>0</v>
      </c>
      <c r="G2638" s="1">
        <v>13</v>
      </c>
      <c r="H2638" s="4">
        <v>0.69</v>
      </c>
      <c r="I2638" s="1">
        <v>0</v>
      </c>
      <c r="J2638" s="4"/>
      <c r="K2638" s="1">
        <v>10</v>
      </c>
      <c r="L2638" s="1">
        <v>0</v>
      </c>
      <c r="M2638" s="32">
        <f>IF(Mecze[[#This Row],[PR]]=0,0,Mecze[[#This Row],[PR]]/Mecze[[#This Row],[CZAS]])</f>
        <v>0</v>
      </c>
      <c r="N2638" s="32">
        <f>IF(Mecze[[#This Row],[OU]]=0,0,Mecze[[#This Row],[OU]]/Mecze[[#This Row],[CZAS]])</f>
        <v>0</v>
      </c>
      <c r="O2638" s="32">
        <f>IF(Mecze[[#This Row],[PC]]=0,0,Mecze[[#This Row],[PC]]/Mecze[[#This Row],[CZAS]])</f>
        <v>0.09</v>
      </c>
      <c r="P2638" s="32">
        <f>IF(Mecze[[#This Row],[SC]]=0,0,Mecze[[#This Row],[SC]]/Mecze[[#This Row],[CZAS]])</f>
        <v>0</v>
      </c>
      <c r="Q2638" s="32">
        <f>IF(Mecze[[#This Row],[OB]]=0,0,Mecze[[#This Row],[OB]]/Mecze[[#This Row],[CZAS]])</f>
        <v>0.1</v>
      </c>
      <c r="R2638" s="32">
        <f>IF(Mecze[[#This Row],[BR]]=0,0,Mecze[[#This Row],[BR]]/Mecze[[#This Row],[CZAS]])</f>
        <v>0</v>
      </c>
      <c r="S2638" s="44">
        <f>IF(Mecze[[#This Row],[Role]]="BR",SUMPRODUCT(Mecze[[#This Row],[/PR:90]:[/BR:90]],Brudnopis!$E$23:$J$23),0)</f>
        <v>0.57000000000000006</v>
      </c>
      <c r="T2638" s="44">
        <f>IF(Mecze[[#This Row],[Role]]&lt;&gt;"BR",SUMPRODUCT(Mecze[[#This Row],[/PR:90]:[/BR:90]],Brudnopis!$E$24:$J$24),0)</f>
        <v>0</v>
      </c>
      <c r="U2638" s="44">
        <f>IF(Mecze[[#This Row],[Role]]&lt;&gt;"BR",SUMPRODUCT(Mecze[[#This Row],[/PR:90]:[/BR:90]],Brudnopis!$E$25:$J$25),0)</f>
        <v>0</v>
      </c>
      <c r="V2638" s="44">
        <f>IF(Mecze[[#This Row],[Role]]&lt;&gt;"BR",SUMPRODUCT(Mecze[[#This Row],[/PR:90]:[/BR:90]],Brudnopis!$E$26:$J$26),0)</f>
        <v>0</v>
      </c>
      <c r="W2638" s="44">
        <f>IF(Mecze[[#This Row],[Role]]&lt;&gt;"BR",SUMPRODUCT(Mecze[[#This Row],[/PR:90]:[/BR:90]],Brudnopis!$E$27:$J$27),0)</f>
        <v>0</v>
      </c>
      <c r="X2638" s="44">
        <f>IF(Mecze[[#This Row],[Role]]&lt;&gt;"BR",SUMPRODUCT(Mecze[[#This Row],[/PR:90]:[/BR:90]],Brudnopis!$E$28:$J$28),0)</f>
        <v>0</v>
      </c>
      <c r="Y2638" s="35">
        <f>IF(Mecze[[#This Row],[Role]]="BR",Mecze[[#This Row],[/OB:90]]+Mecze[[#This Row],[/PC:90]],SUM(Mecze[[#This Row],[/PR:90]:[/BR:90]]))</f>
        <v>0.19</v>
      </c>
      <c r="Z2638" s="35">
        <f>IF(Mecze[[#This Row],[KC]]=0,SUM(Mecze[[#This Row],[/BRI]:[/NPI]]),SUM(Mecze[[#This Row],[/BRI]:[/NPI]])*0.6)</f>
        <v>0.57000000000000006</v>
      </c>
      <c r="AA2638" s="10">
        <f>IFERROR(Mecze[[#This Row],[BR]]/Mecze[[#This Row],[ST]],0)</f>
        <v>0</v>
      </c>
      <c r="AB2638">
        <f>ROUND(Mecze[[#This Row],[PD]]*Mecze[[#This Row],[%PC]],0)</f>
        <v>9</v>
      </c>
      <c r="AC2638">
        <f>ROUND(Mecze[[#This Row],[OD]]*Mecze[[#This Row],[%OU]],0)</f>
        <v>0</v>
      </c>
      <c r="AD2638" s="36" t="s">
        <v>40</v>
      </c>
      <c r="AE2638" s="36">
        <v>147</v>
      </c>
      <c r="AF2638" s="71">
        <v>7.42</v>
      </c>
      <c r="AG2638" s="37">
        <v>0</v>
      </c>
      <c r="AH2638" s="37">
        <v>0</v>
      </c>
      <c r="AI2638" s="37">
        <v>100</v>
      </c>
      <c r="AJ2638" s="37">
        <v>11</v>
      </c>
      <c r="AK2638" s="37" t="str">
        <f>VLOOKUP(Mecze[[#This Row],[Match ID]],Meczusie[Mecz]:Meczusie[RodzajMeczu],2,FALSE)</f>
        <v>Liga</v>
      </c>
    </row>
    <row r="2639" spans="1:37" x14ac:dyDescent="0.25">
      <c r="A2639" s="76">
        <v>4</v>
      </c>
      <c r="B2639" s="3" t="s">
        <v>321</v>
      </c>
      <c r="C2639" s="2" t="s">
        <v>157</v>
      </c>
      <c r="D2639" s="1">
        <v>0</v>
      </c>
      <c r="E2639" s="1">
        <v>0</v>
      </c>
      <c r="F2639" s="1">
        <v>0</v>
      </c>
      <c r="G2639" s="1">
        <v>8</v>
      </c>
      <c r="H2639" s="4">
        <v>0.75</v>
      </c>
      <c r="I2639" s="1">
        <v>6</v>
      </c>
      <c r="J2639" s="4">
        <v>0.5</v>
      </c>
      <c r="K2639" s="1">
        <v>0</v>
      </c>
      <c r="L2639" s="1">
        <v>8</v>
      </c>
      <c r="M2639" s="32">
        <f>IF(Mecze[[#This Row],[PR]]=0,0,Mecze[[#This Row],[PR]]/Mecze[[#This Row],[CZAS]])</f>
        <v>0.08</v>
      </c>
      <c r="N2639" s="32">
        <f>IF(Mecze[[#This Row],[OU]]=0,0,Mecze[[#This Row],[OU]]/Mecze[[#This Row],[CZAS]])</f>
        <v>0.03</v>
      </c>
      <c r="O2639" s="32">
        <f>IF(Mecze[[#This Row],[PC]]=0,0,Mecze[[#This Row],[PC]]/Mecze[[#This Row],[CZAS]])</f>
        <v>0.06</v>
      </c>
      <c r="P2639" s="32">
        <f>IF(Mecze[[#This Row],[SC]]=0,0,Mecze[[#This Row],[SC]]/Mecze[[#This Row],[CZAS]])</f>
        <v>0</v>
      </c>
      <c r="Q2639" s="32">
        <f>IF(Mecze[[#This Row],[OB]]=0,0,Mecze[[#This Row],[OB]]/Mecze[[#This Row],[CZAS]])</f>
        <v>0</v>
      </c>
      <c r="R2639" s="32">
        <f>IF(Mecze[[#This Row],[BR]]=0,0,Mecze[[#This Row],[BR]]/Mecze[[#This Row],[CZAS]])</f>
        <v>0</v>
      </c>
      <c r="S2639" s="44">
        <f>IF(Mecze[[#This Row],[Role]]="BR",SUMPRODUCT(Mecze[[#This Row],[/PR:90]:[/BR:90]],Brudnopis!$E$23:$J$23),0)</f>
        <v>0</v>
      </c>
      <c r="T2639" s="44">
        <f>IF(Mecze[[#This Row],[Role]]&lt;&gt;"BR",SUMPRODUCT(Mecze[[#This Row],[/PR:90]:[/BR:90]],Brudnopis!$E$24:$J$24),0)</f>
        <v>0.185</v>
      </c>
      <c r="U2639" s="44">
        <f>IF(Mecze[[#This Row],[Role]]&lt;&gt;"BR",SUMPRODUCT(Mecze[[#This Row],[/PR:90]:[/BR:90]],Brudnopis!$E$25:$J$25),0)</f>
        <v>0.2</v>
      </c>
      <c r="V2639" s="44">
        <f>IF(Mecze[[#This Row],[Role]]&lt;&gt;"BR",SUMPRODUCT(Mecze[[#This Row],[/PR:90]:[/BR:90]],Brudnopis!$E$26:$J$26),0)</f>
        <v>0.16999999999999998</v>
      </c>
      <c r="W2639" s="44">
        <f>IF(Mecze[[#This Row],[Role]]&lt;&gt;"BR",SUMPRODUCT(Mecze[[#This Row],[/PR:90]:[/BR:90]],Brudnopis!$E$27:$J$27),0)</f>
        <v>0.17249999999999999</v>
      </c>
      <c r="X2639" s="44">
        <f>IF(Mecze[[#This Row],[Role]]&lt;&gt;"BR",SUMPRODUCT(Mecze[[#This Row],[/PR:90]:[/BR:90]],Brudnopis!$E$28:$J$28),0)</f>
        <v>0.06</v>
      </c>
      <c r="Y2639" s="35">
        <f>IF(Mecze[[#This Row],[Role]]="BR",Mecze[[#This Row],[/OB:90]]+Mecze[[#This Row],[/PC:90]],SUM(Mecze[[#This Row],[/PR:90]:[/BR:90]]))</f>
        <v>0.16999999999999998</v>
      </c>
      <c r="Z2639" s="35">
        <f>IF(Mecze[[#This Row],[KC]]=0,SUM(Mecze[[#This Row],[/BRI]:[/NPI]]),SUM(Mecze[[#This Row],[/BRI]:[/NPI]])*0.6)</f>
        <v>0.78749999999999987</v>
      </c>
      <c r="AA2639" s="10">
        <f>IFERROR(Mecze[[#This Row],[BR]]/Mecze[[#This Row],[ST]],0)</f>
        <v>0</v>
      </c>
      <c r="AB2639">
        <f>ROUND(Mecze[[#This Row],[PD]]*Mecze[[#This Row],[%PC]],0)</f>
        <v>6</v>
      </c>
      <c r="AC2639">
        <f>ROUND(Mecze[[#This Row],[OD]]*Mecze[[#This Row],[%OU]],0)</f>
        <v>3</v>
      </c>
      <c r="AD2639" s="36" t="s">
        <v>47</v>
      </c>
      <c r="AE2639" s="36">
        <v>147</v>
      </c>
      <c r="AF2639" s="71">
        <v>5.5</v>
      </c>
      <c r="AG2639" s="37">
        <v>0</v>
      </c>
      <c r="AH2639" s="37">
        <v>0</v>
      </c>
      <c r="AI2639" s="37">
        <v>100</v>
      </c>
      <c r="AJ2639" s="37">
        <v>11</v>
      </c>
      <c r="AK2639" s="37" t="str">
        <f>VLOOKUP(Mecze[[#This Row],[Match ID]],Meczusie[Mecz]:Meczusie[RodzajMeczu],2,FALSE)</f>
        <v>Liga</v>
      </c>
    </row>
    <row r="2640" spans="1:37" x14ac:dyDescent="0.25">
      <c r="A2640" s="76">
        <v>7</v>
      </c>
      <c r="B2640" s="3" t="s">
        <v>322</v>
      </c>
      <c r="C2640" s="2" t="s">
        <v>157</v>
      </c>
      <c r="D2640" s="1">
        <v>0</v>
      </c>
      <c r="E2640" s="1">
        <v>0</v>
      </c>
      <c r="F2640" s="1">
        <v>0</v>
      </c>
      <c r="G2640" s="1">
        <v>7</v>
      </c>
      <c r="H2640" s="4">
        <v>1</v>
      </c>
      <c r="I2640" s="1">
        <v>5</v>
      </c>
      <c r="J2640" s="4">
        <v>0.6</v>
      </c>
      <c r="K2640" s="1">
        <v>0</v>
      </c>
      <c r="L2640" s="1">
        <v>7</v>
      </c>
      <c r="M2640" s="32">
        <f>IF(Mecze[[#This Row],[PR]]=0,0,Mecze[[#This Row],[PR]]/Mecze[[#This Row],[CZAS]])</f>
        <v>7.0000000000000007E-2</v>
      </c>
      <c r="N2640" s="32">
        <f>IF(Mecze[[#This Row],[OU]]=0,0,Mecze[[#This Row],[OU]]/Mecze[[#This Row],[CZAS]])</f>
        <v>0.03</v>
      </c>
      <c r="O2640" s="32">
        <f>IF(Mecze[[#This Row],[PC]]=0,0,Mecze[[#This Row],[PC]]/Mecze[[#This Row],[CZAS]])</f>
        <v>7.0000000000000007E-2</v>
      </c>
      <c r="P2640" s="32">
        <f>IF(Mecze[[#This Row],[SC]]=0,0,Mecze[[#This Row],[SC]]/Mecze[[#This Row],[CZAS]])</f>
        <v>0</v>
      </c>
      <c r="Q2640" s="32">
        <f>IF(Mecze[[#This Row],[OB]]=0,0,Mecze[[#This Row],[OB]]/Mecze[[#This Row],[CZAS]])</f>
        <v>0</v>
      </c>
      <c r="R2640" s="32">
        <f>IF(Mecze[[#This Row],[BR]]=0,0,Mecze[[#This Row],[BR]]/Mecze[[#This Row],[CZAS]])</f>
        <v>0</v>
      </c>
      <c r="S2640" s="44">
        <f>IF(Mecze[[#This Row],[Role]]="BR",SUMPRODUCT(Mecze[[#This Row],[/PR:90]:[/BR:90]],Brudnopis!$E$23:$J$23),0)</f>
        <v>0</v>
      </c>
      <c r="T2640" s="44">
        <f>IF(Mecze[[#This Row],[Role]]&lt;&gt;"BR",SUMPRODUCT(Mecze[[#This Row],[/PR:90]:[/BR:90]],Brudnopis!$E$24:$J$24),0)</f>
        <v>0.185</v>
      </c>
      <c r="U2640" s="44">
        <f>IF(Mecze[[#This Row],[Role]]&lt;&gt;"BR",SUMPRODUCT(Mecze[[#This Row],[/PR:90]:[/BR:90]],Brudnopis!$E$25:$J$25),0)</f>
        <v>0.20500000000000002</v>
      </c>
      <c r="V2640" s="44">
        <f>IF(Mecze[[#This Row],[Role]]&lt;&gt;"BR",SUMPRODUCT(Mecze[[#This Row],[/PR:90]:[/BR:90]],Brudnopis!$E$26:$J$26),0)</f>
        <v>0.17</v>
      </c>
      <c r="W2640" s="44">
        <f>IF(Mecze[[#This Row],[Role]]&lt;&gt;"BR",SUMPRODUCT(Mecze[[#This Row],[/PR:90]:[/BR:90]],Brudnopis!$E$27:$J$27),0)</f>
        <v>0.18000000000000002</v>
      </c>
      <c r="X2640" s="44">
        <f>IF(Mecze[[#This Row],[Role]]&lt;&gt;"BR",SUMPRODUCT(Mecze[[#This Row],[/PR:90]:[/BR:90]],Brudnopis!$E$28:$J$28),0)</f>
        <v>7.0000000000000007E-2</v>
      </c>
      <c r="Y2640" s="35">
        <f>IF(Mecze[[#This Row],[Role]]="BR",Mecze[[#This Row],[/OB:90]]+Mecze[[#This Row],[/PC:90]],SUM(Mecze[[#This Row],[/PR:90]:[/BR:90]]))</f>
        <v>0.17</v>
      </c>
      <c r="Z2640" s="35">
        <f>IF(Mecze[[#This Row],[KC]]=0,SUM(Mecze[[#This Row],[/BRI]:[/NPI]]),SUM(Mecze[[#This Row],[/BRI]:[/NPI]])*0.6)</f>
        <v>0.81</v>
      </c>
      <c r="AA2640" s="10">
        <f>IFERROR(Mecze[[#This Row],[BR]]/Mecze[[#This Row],[ST]],0)</f>
        <v>0</v>
      </c>
      <c r="AB2640">
        <f>ROUND(Mecze[[#This Row],[PD]]*Mecze[[#This Row],[%PC]],0)</f>
        <v>7</v>
      </c>
      <c r="AC2640">
        <f>ROUND(Mecze[[#This Row],[OD]]*Mecze[[#This Row],[%OU]],0)</f>
        <v>3</v>
      </c>
      <c r="AD2640" s="36" t="s">
        <v>47</v>
      </c>
      <c r="AE2640" s="36">
        <v>147</v>
      </c>
      <c r="AF2640" s="71">
        <v>5.29</v>
      </c>
      <c r="AG2640" s="37">
        <v>0</v>
      </c>
      <c r="AH2640" s="37">
        <v>0</v>
      </c>
      <c r="AI2640" s="37">
        <v>100</v>
      </c>
      <c r="AJ2640" s="37">
        <v>11</v>
      </c>
      <c r="AK2640" s="37" t="str">
        <f>VLOOKUP(Mecze[[#This Row],[Match ID]],Meczusie[Mecz]:Meczusie[RodzajMeczu],2,FALSE)</f>
        <v>Liga</v>
      </c>
    </row>
    <row r="2641" spans="1:37" x14ac:dyDescent="0.25">
      <c r="A2641" s="76">
        <v>2</v>
      </c>
      <c r="B2641" s="3" t="s">
        <v>392</v>
      </c>
      <c r="C2641" s="2" t="s">
        <v>157</v>
      </c>
      <c r="D2641" s="1">
        <v>0</v>
      </c>
      <c r="E2641" s="1">
        <v>0</v>
      </c>
      <c r="F2641" s="1">
        <v>0</v>
      </c>
      <c r="G2641" s="1">
        <v>2</v>
      </c>
      <c r="H2641" s="4">
        <v>0</v>
      </c>
      <c r="I2641" s="1">
        <v>3</v>
      </c>
      <c r="J2641" s="4">
        <v>0.67</v>
      </c>
      <c r="K2641" s="1">
        <v>0</v>
      </c>
      <c r="L2641" s="1">
        <v>5</v>
      </c>
      <c r="M2641" s="32">
        <f>IF(Mecze[[#This Row],[PR]]=0,0,Mecze[[#This Row],[PR]]/Mecze[[#This Row],[CZAS]])</f>
        <v>0.05</v>
      </c>
      <c r="N2641" s="32">
        <f>IF(Mecze[[#This Row],[OU]]=0,0,Mecze[[#This Row],[OU]]/Mecze[[#This Row],[CZAS]])</f>
        <v>0.02</v>
      </c>
      <c r="O2641" s="32">
        <f>IF(Mecze[[#This Row],[PC]]=0,0,Mecze[[#This Row],[PC]]/Mecze[[#This Row],[CZAS]])</f>
        <v>0</v>
      </c>
      <c r="P2641" s="32">
        <f>IF(Mecze[[#This Row],[SC]]=0,0,Mecze[[#This Row],[SC]]/Mecze[[#This Row],[CZAS]])</f>
        <v>0</v>
      </c>
      <c r="Q2641" s="32">
        <f>IF(Mecze[[#This Row],[OB]]=0,0,Mecze[[#This Row],[OB]]/Mecze[[#This Row],[CZAS]])</f>
        <v>0</v>
      </c>
      <c r="R2641" s="32">
        <f>IF(Mecze[[#This Row],[BR]]=0,0,Mecze[[#This Row],[BR]]/Mecze[[#This Row],[CZAS]])</f>
        <v>0</v>
      </c>
      <c r="S2641" s="44">
        <f>IF(Mecze[[#This Row],[Role]]="BR",SUMPRODUCT(Mecze[[#This Row],[/PR:90]:[/BR:90]],Brudnopis!$E$23:$J$23),0)</f>
        <v>0</v>
      </c>
      <c r="T2641" s="44">
        <f>IF(Mecze[[#This Row],[Role]]&lt;&gt;"BR",SUMPRODUCT(Mecze[[#This Row],[/PR:90]:[/BR:90]],Brudnopis!$E$24:$J$24),0)</f>
        <v>0.08</v>
      </c>
      <c r="U2641" s="44">
        <f>IF(Mecze[[#This Row],[Role]]&lt;&gt;"BR",SUMPRODUCT(Mecze[[#This Row],[/PR:90]:[/BR:90]],Brudnopis!$E$25:$J$25),0)</f>
        <v>7.0000000000000007E-2</v>
      </c>
      <c r="V2641" s="44">
        <f>IF(Mecze[[#This Row],[Role]]&lt;&gt;"BR",SUMPRODUCT(Mecze[[#This Row],[/PR:90]:[/BR:90]],Brudnopis!$E$26:$J$26),0)</f>
        <v>7.0000000000000007E-2</v>
      </c>
      <c r="W2641" s="44">
        <f>IF(Mecze[[#This Row],[Role]]&lt;&gt;"BR",SUMPRODUCT(Mecze[[#This Row],[/PR:90]:[/BR:90]],Brudnopis!$E$27:$J$27),0)</f>
        <v>5.2500000000000005E-2</v>
      </c>
      <c r="X2641" s="44">
        <f>IF(Mecze[[#This Row],[Role]]&lt;&gt;"BR",SUMPRODUCT(Mecze[[#This Row],[/PR:90]:[/BR:90]],Brudnopis!$E$28:$J$28),0)</f>
        <v>0</v>
      </c>
      <c r="Y2641" s="35">
        <f>IF(Mecze[[#This Row],[Role]]="BR",Mecze[[#This Row],[/OB:90]]+Mecze[[#This Row],[/PC:90]],SUM(Mecze[[#This Row],[/PR:90]:[/BR:90]]))</f>
        <v>7.0000000000000007E-2</v>
      </c>
      <c r="Z2641" s="35">
        <f>IF(Mecze[[#This Row],[KC]]=0,SUM(Mecze[[#This Row],[/BRI]:[/NPI]]),SUM(Mecze[[#This Row],[/BRI]:[/NPI]])*0.6)</f>
        <v>0.27250000000000002</v>
      </c>
      <c r="AA2641" s="10">
        <f>IFERROR(Mecze[[#This Row],[BR]]/Mecze[[#This Row],[ST]],0)</f>
        <v>0</v>
      </c>
      <c r="AB2641">
        <f>ROUND(Mecze[[#This Row],[PD]]*Mecze[[#This Row],[%PC]],0)</f>
        <v>0</v>
      </c>
      <c r="AC2641">
        <f>ROUND(Mecze[[#This Row],[OD]]*Mecze[[#This Row],[%OU]],0)</f>
        <v>2</v>
      </c>
      <c r="AD2641" s="36" t="s">
        <v>175</v>
      </c>
      <c r="AE2641" s="36">
        <v>147</v>
      </c>
      <c r="AF2641" s="71">
        <v>4.87</v>
      </c>
      <c r="AG2641" s="37">
        <v>0</v>
      </c>
      <c r="AH2641" s="37">
        <v>0</v>
      </c>
      <c r="AI2641" s="37">
        <v>100</v>
      </c>
      <c r="AJ2641" s="37">
        <v>11</v>
      </c>
      <c r="AK2641" s="37" t="str">
        <f>VLOOKUP(Mecze[[#This Row],[Match ID]],Meczusie[Mecz]:Meczusie[RodzajMeczu],2,FALSE)</f>
        <v>Liga</v>
      </c>
    </row>
    <row r="2642" spans="1:37" x14ac:dyDescent="0.25">
      <c r="A2642" s="76">
        <v>6</v>
      </c>
      <c r="B2642" s="3" t="s">
        <v>324</v>
      </c>
      <c r="C2642" s="2" t="s">
        <v>157</v>
      </c>
      <c r="D2642" s="1">
        <v>0</v>
      </c>
      <c r="E2642" s="1">
        <v>0</v>
      </c>
      <c r="F2642" s="1">
        <v>0</v>
      </c>
      <c r="G2642" s="1">
        <v>5</v>
      </c>
      <c r="H2642" s="4">
        <v>0.8</v>
      </c>
      <c r="I2642" s="1">
        <v>7</v>
      </c>
      <c r="J2642" s="4">
        <v>0.43</v>
      </c>
      <c r="K2642" s="1">
        <v>0</v>
      </c>
      <c r="L2642" s="1">
        <v>8</v>
      </c>
      <c r="M2642" s="32">
        <f>IF(Mecze[[#This Row],[PR]]=0,0,Mecze[[#This Row],[PR]]/Mecze[[#This Row],[CZAS]])</f>
        <v>0.08</v>
      </c>
      <c r="N2642" s="32">
        <f>IF(Mecze[[#This Row],[OU]]=0,0,Mecze[[#This Row],[OU]]/Mecze[[#This Row],[CZAS]])</f>
        <v>0.03</v>
      </c>
      <c r="O2642" s="32">
        <f>IF(Mecze[[#This Row],[PC]]=0,0,Mecze[[#This Row],[PC]]/Mecze[[#This Row],[CZAS]])</f>
        <v>0.04</v>
      </c>
      <c r="P2642" s="32">
        <f>IF(Mecze[[#This Row],[SC]]=0,0,Mecze[[#This Row],[SC]]/Mecze[[#This Row],[CZAS]])</f>
        <v>0</v>
      </c>
      <c r="Q2642" s="32">
        <f>IF(Mecze[[#This Row],[OB]]=0,0,Mecze[[#This Row],[OB]]/Mecze[[#This Row],[CZAS]])</f>
        <v>0</v>
      </c>
      <c r="R2642" s="32">
        <f>IF(Mecze[[#This Row],[BR]]=0,0,Mecze[[#This Row],[BR]]/Mecze[[#This Row],[CZAS]])</f>
        <v>0</v>
      </c>
      <c r="S2642" s="44">
        <f>IF(Mecze[[#This Row],[Role]]="BR",SUMPRODUCT(Mecze[[#This Row],[/PR:90]:[/BR:90]],Brudnopis!$E$23:$J$23),0)</f>
        <v>0</v>
      </c>
      <c r="T2642" s="44">
        <f>IF(Mecze[[#This Row],[Role]]&lt;&gt;"BR",SUMPRODUCT(Mecze[[#This Row],[/PR:90]:[/BR:90]],Brudnopis!$E$24:$J$24),0)</f>
        <v>0.16500000000000001</v>
      </c>
      <c r="U2642" s="44">
        <f>IF(Mecze[[#This Row],[Role]]&lt;&gt;"BR",SUMPRODUCT(Mecze[[#This Row],[/PR:90]:[/BR:90]],Brudnopis!$E$25:$J$25),0)</f>
        <v>0.16999999999999998</v>
      </c>
      <c r="V2642" s="44">
        <f>IF(Mecze[[#This Row],[Role]]&lt;&gt;"BR",SUMPRODUCT(Mecze[[#This Row],[/PR:90]:[/BR:90]],Brudnopis!$E$26:$J$26),0)</f>
        <v>0.15</v>
      </c>
      <c r="W2642" s="44">
        <f>IF(Mecze[[#This Row],[Role]]&lt;&gt;"BR",SUMPRODUCT(Mecze[[#This Row],[/PR:90]:[/BR:90]],Brudnopis!$E$27:$J$27),0)</f>
        <v>0.14249999999999999</v>
      </c>
      <c r="X2642" s="44">
        <f>IF(Mecze[[#This Row],[Role]]&lt;&gt;"BR",SUMPRODUCT(Mecze[[#This Row],[/PR:90]:[/BR:90]],Brudnopis!$E$28:$J$28),0)</f>
        <v>0.04</v>
      </c>
      <c r="Y2642" s="35">
        <f>IF(Mecze[[#This Row],[Role]]="BR",Mecze[[#This Row],[/OB:90]]+Mecze[[#This Row],[/PC:90]],SUM(Mecze[[#This Row],[/PR:90]:[/BR:90]]))</f>
        <v>0.15</v>
      </c>
      <c r="Z2642" s="35">
        <f>IF(Mecze[[#This Row],[KC]]=0,SUM(Mecze[[#This Row],[/BRI]:[/NPI]]),SUM(Mecze[[#This Row],[/BRI]:[/NPI]])*0.6)</f>
        <v>0.66749999999999998</v>
      </c>
      <c r="AA2642" s="10">
        <f>IFERROR(Mecze[[#This Row],[BR]]/Mecze[[#This Row],[ST]],0)</f>
        <v>0</v>
      </c>
      <c r="AB2642">
        <f>ROUND(Mecze[[#This Row],[PD]]*Mecze[[#This Row],[%PC]],0)</f>
        <v>4</v>
      </c>
      <c r="AC2642">
        <f>ROUND(Mecze[[#This Row],[OD]]*Mecze[[#This Row],[%OU]],0)</f>
        <v>3</v>
      </c>
      <c r="AD2642" s="36" t="s">
        <v>174</v>
      </c>
      <c r="AE2642" s="36">
        <v>147</v>
      </c>
      <c r="AF2642" s="71">
        <v>4.38</v>
      </c>
      <c r="AG2642" s="37">
        <v>0</v>
      </c>
      <c r="AH2642" s="37">
        <v>0</v>
      </c>
      <c r="AI2642" s="37">
        <v>100</v>
      </c>
      <c r="AJ2642" s="37">
        <v>11</v>
      </c>
      <c r="AK2642" s="37" t="str">
        <f>VLOOKUP(Mecze[[#This Row],[Match ID]],Meczusie[Mecz]:Meczusie[RodzajMeczu],2,FALSE)</f>
        <v>Liga</v>
      </c>
    </row>
    <row r="2643" spans="1:37" x14ac:dyDescent="0.25">
      <c r="A2643" s="76">
        <v>5</v>
      </c>
      <c r="B2643" s="3" t="s">
        <v>325</v>
      </c>
      <c r="C2643" s="2" t="s">
        <v>160</v>
      </c>
      <c r="D2643" s="1">
        <v>0</v>
      </c>
      <c r="E2643" s="1">
        <v>1</v>
      </c>
      <c r="F2643" s="1">
        <v>1</v>
      </c>
      <c r="G2643" s="1">
        <v>16</v>
      </c>
      <c r="H2643" s="4">
        <v>0.75</v>
      </c>
      <c r="I2643" s="1">
        <v>9</v>
      </c>
      <c r="J2643" s="4">
        <v>0.44</v>
      </c>
      <c r="K2643" s="1">
        <v>0</v>
      </c>
      <c r="L2643" s="1">
        <v>4</v>
      </c>
      <c r="M2643" s="32">
        <f>IF(Mecze[[#This Row],[PR]]=0,0,Mecze[[#This Row],[PR]]/Mecze[[#This Row],[CZAS]])</f>
        <v>0.04</v>
      </c>
      <c r="N2643" s="32">
        <f>IF(Mecze[[#This Row],[OU]]=0,0,Mecze[[#This Row],[OU]]/Mecze[[#This Row],[CZAS]])</f>
        <v>0.04</v>
      </c>
      <c r="O2643" s="32">
        <f>IF(Mecze[[#This Row],[PC]]=0,0,Mecze[[#This Row],[PC]]/Mecze[[#This Row],[CZAS]])</f>
        <v>0.12</v>
      </c>
      <c r="P2643" s="32">
        <f>IF(Mecze[[#This Row],[SC]]=0,0,Mecze[[#This Row],[SC]]/Mecze[[#This Row],[CZAS]])</f>
        <v>0.01</v>
      </c>
      <c r="Q2643" s="32">
        <f>IF(Mecze[[#This Row],[OB]]=0,0,Mecze[[#This Row],[OB]]/Mecze[[#This Row],[CZAS]])</f>
        <v>0</v>
      </c>
      <c r="R2643" s="32">
        <f>IF(Mecze[[#This Row],[BR]]=0,0,Mecze[[#This Row],[BR]]/Mecze[[#This Row],[CZAS]])</f>
        <v>0</v>
      </c>
      <c r="S2643" s="44">
        <f>IF(Mecze[[#This Row],[Role]]="BR",SUMPRODUCT(Mecze[[#This Row],[/PR:90]:[/BR:90]],Brudnopis!$E$23:$J$23),0)</f>
        <v>0</v>
      </c>
      <c r="T2643" s="44">
        <f>IF(Mecze[[#This Row],[Role]]&lt;&gt;"BR",SUMPRODUCT(Mecze[[#This Row],[/PR:90]:[/BR:90]],Brudnopis!$E$24:$J$24),0)</f>
        <v>0.23</v>
      </c>
      <c r="U2643" s="44">
        <f>IF(Mecze[[#This Row],[Role]]&lt;&gt;"BR",SUMPRODUCT(Mecze[[#This Row],[/PR:90]:[/BR:90]],Brudnopis!$E$25:$J$25),0)</f>
        <v>0.27</v>
      </c>
      <c r="V2643" s="44">
        <f>IF(Mecze[[#This Row],[Role]]&lt;&gt;"BR",SUMPRODUCT(Mecze[[#This Row],[/PR:90]:[/BR:90]],Brudnopis!$E$26:$J$26),0)</f>
        <v>0.21000000000000002</v>
      </c>
      <c r="W2643" s="44">
        <f>IF(Mecze[[#This Row],[Role]]&lt;&gt;"BR",SUMPRODUCT(Mecze[[#This Row],[/PR:90]:[/BR:90]],Brudnopis!$E$27:$J$27),0)</f>
        <v>0.25</v>
      </c>
      <c r="X2643" s="44">
        <f>IF(Mecze[[#This Row],[Role]]&lt;&gt;"BR",SUMPRODUCT(Mecze[[#This Row],[/PR:90]:[/BR:90]],Brudnopis!$E$28:$J$28),0)</f>
        <v>0.13999999999999999</v>
      </c>
      <c r="Y2643" s="35">
        <f>IF(Mecze[[#This Row],[Role]]="BR",Mecze[[#This Row],[/OB:90]]+Mecze[[#This Row],[/PC:90]],SUM(Mecze[[#This Row],[/PR:90]:[/BR:90]]))</f>
        <v>0.21000000000000002</v>
      </c>
      <c r="Z2643" s="35">
        <f>IF(Mecze[[#This Row],[KC]]=0,SUM(Mecze[[#This Row],[/BRI]:[/NPI]]),SUM(Mecze[[#This Row],[/BRI]:[/NPI]])*0.6)</f>
        <v>1.0999999999999999</v>
      </c>
      <c r="AA2643" s="10">
        <f>IFERROR(Mecze[[#This Row],[BR]]/Mecze[[#This Row],[ST]],0)</f>
        <v>0</v>
      </c>
      <c r="AB2643">
        <f>ROUND(Mecze[[#This Row],[PD]]*Mecze[[#This Row],[%PC]],0)</f>
        <v>12</v>
      </c>
      <c r="AC2643">
        <f>ROUND(Mecze[[#This Row],[OD]]*Mecze[[#This Row],[%OU]],0)</f>
        <v>4</v>
      </c>
      <c r="AD2643" s="36" t="s">
        <v>41</v>
      </c>
      <c r="AE2643" s="36">
        <v>147</v>
      </c>
      <c r="AF2643" s="71">
        <v>4.9800000000000004</v>
      </c>
      <c r="AG2643" s="37">
        <v>0</v>
      </c>
      <c r="AH2643" s="37">
        <v>0</v>
      </c>
      <c r="AI2643" s="37">
        <v>100</v>
      </c>
      <c r="AJ2643" s="37">
        <v>11</v>
      </c>
      <c r="AK2643" s="37" t="str">
        <f>VLOOKUP(Mecze[[#This Row],[Match ID]],Meczusie[Mecz]:Meczusie[RodzajMeczu],2,FALSE)</f>
        <v>Liga</v>
      </c>
    </row>
    <row r="2644" spans="1:37" x14ac:dyDescent="0.25">
      <c r="A2644" s="76">
        <v>8</v>
      </c>
      <c r="B2644" s="3" t="s">
        <v>326</v>
      </c>
      <c r="C2644" s="2" t="s">
        <v>160</v>
      </c>
      <c r="D2644" s="1">
        <v>1</v>
      </c>
      <c r="E2644" s="1">
        <v>3</v>
      </c>
      <c r="F2644" s="1">
        <v>2</v>
      </c>
      <c r="G2644" s="1">
        <v>9</v>
      </c>
      <c r="H2644" s="4">
        <v>0.44</v>
      </c>
      <c r="I2644" s="1">
        <v>1</v>
      </c>
      <c r="J2644" s="4">
        <v>0</v>
      </c>
      <c r="K2644" s="1">
        <v>0</v>
      </c>
      <c r="L2644" s="1">
        <v>4</v>
      </c>
      <c r="M2644" s="32">
        <f>IF(Mecze[[#This Row],[PR]]=0,0,Mecze[[#This Row],[PR]]/Mecze[[#This Row],[CZAS]])</f>
        <v>0.04</v>
      </c>
      <c r="N2644" s="32">
        <f>IF(Mecze[[#This Row],[OU]]=0,0,Mecze[[#This Row],[OU]]/Mecze[[#This Row],[CZAS]])</f>
        <v>0</v>
      </c>
      <c r="O2644" s="32">
        <f>IF(Mecze[[#This Row],[PC]]=0,0,Mecze[[#This Row],[PC]]/Mecze[[#This Row],[CZAS]])</f>
        <v>0.04</v>
      </c>
      <c r="P2644" s="32">
        <f>IF(Mecze[[#This Row],[SC]]=0,0,Mecze[[#This Row],[SC]]/Mecze[[#This Row],[CZAS]])</f>
        <v>0.02</v>
      </c>
      <c r="Q2644" s="32">
        <f>IF(Mecze[[#This Row],[OB]]=0,0,Mecze[[#This Row],[OB]]/Mecze[[#This Row],[CZAS]])</f>
        <v>0</v>
      </c>
      <c r="R2644" s="32">
        <f>IF(Mecze[[#This Row],[BR]]=0,0,Mecze[[#This Row],[BR]]/Mecze[[#This Row],[CZAS]])</f>
        <v>0.01</v>
      </c>
      <c r="S2644" s="44">
        <f>IF(Mecze[[#This Row],[Role]]="BR",SUMPRODUCT(Mecze[[#This Row],[/PR:90]:[/BR:90]],Brudnopis!$E$23:$J$23),0)</f>
        <v>0</v>
      </c>
      <c r="T2644" s="44">
        <f>IF(Mecze[[#This Row],[Role]]&lt;&gt;"BR",SUMPRODUCT(Mecze[[#This Row],[/PR:90]:[/BR:90]],Brudnopis!$E$24:$J$24),0)</f>
        <v>0.115</v>
      </c>
      <c r="U2644" s="44">
        <f>IF(Mecze[[#This Row],[Role]]&lt;&gt;"BR",SUMPRODUCT(Mecze[[#This Row],[/PR:90]:[/BR:90]],Brudnopis!$E$25:$J$25),0)</f>
        <v>0.13500000000000001</v>
      </c>
      <c r="V2644" s="44">
        <f>IF(Mecze[[#This Row],[Role]]&lt;&gt;"BR",SUMPRODUCT(Mecze[[#This Row],[/PR:90]:[/BR:90]],Brudnopis!$E$26:$J$26),0)</f>
        <v>0.12000000000000001</v>
      </c>
      <c r="W2644" s="44">
        <f>IF(Mecze[[#This Row],[Role]]&lt;&gt;"BR",SUMPRODUCT(Mecze[[#This Row],[/PR:90]:[/BR:90]],Brudnopis!$E$27:$J$27),0)</f>
        <v>0.13</v>
      </c>
      <c r="X2644" s="44">
        <f>IF(Mecze[[#This Row],[Role]]&lt;&gt;"BR",SUMPRODUCT(Mecze[[#This Row],[/PR:90]:[/BR:90]],Brudnopis!$E$28:$J$28),0)</f>
        <v>0.11</v>
      </c>
      <c r="Y2644" s="35">
        <f>IF(Mecze[[#This Row],[Role]]="BR",Mecze[[#This Row],[/OB:90]]+Mecze[[#This Row],[/PC:90]],SUM(Mecze[[#This Row],[/PR:90]:[/BR:90]]))</f>
        <v>0.11</v>
      </c>
      <c r="Z2644" s="35">
        <f>IF(Mecze[[#This Row],[KC]]=0,SUM(Mecze[[#This Row],[/BRI]:[/NPI]]),SUM(Mecze[[#This Row],[/BRI]:[/NPI]])*0.6)</f>
        <v>0.61</v>
      </c>
      <c r="AA2644" s="10">
        <f>IFERROR(Mecze[[#This Row],[BR]]/Mecze[[#This Row],[ST]],0)</f>
        <v>0.33333333333333331</v>
      </c>
      <c r="AB2644">
        <f>ROUND(Mecze[[#This Row],[PD]]*Mecze[[#This Row],[%PC]],0)</f>
        <v>4</v>
      </c>
      <c r="AC2644">
        <f>ROUND(Mecze[[#This Row],[OD]]*Mecze[[#This Row],[%OU]],0)</f>
        <v>0</v>
      </c>
      <c r="AD2644" s="36" t="s">
        <v>318</v>
      </c>
      <c r="AE2644" s="36">
        <v>147</v>
      </c>
      <c r="AF2644" s="71">
        <v>6.11</v>
      </c>
      <c r="AG2644" s="37">
        <v>0</v>
      </c>
      <c r="AH2644" s="37">
        <v>0</v>
      </c>
      <c r="AI2644" s="37">
        <v>100</v>
      </c>
      <c r="AJ2644" s="37">
        <v>11</v>
      </c>
      <c r="AK2644" s="37" t="str">
        <f>VLOOKUP(Mecze[[#This Row],[Match ID]],Meczusie[Mecz]:Meczusie[RodzajMeczu],2,FALSE)</f>
        <v>Liga</v>
      </c>
    </row>
    <row r="2645" spans="1:37" x14ac:dyDescent="0.25">
      <c r="A2645" s="76">
        <v>9</v>
      </c>
      <c r="B2645" s="3" t="s">
        <v>327</v>
      </c>
      <c r="C2645" s="2" t="s">
        <v>160</v>
      </c>
      <c r="D2645" s="1">
        <v>0</v>
      </c>
      <c r="E2645" s="1">
        <v>5</v>
      </c>
      <c r="F2645" s="1">
        <v>5</v>
      </c>
      <c r="G2645" s="1">
        <v>15</v>
      </c>
      <c r="H2645" s="4">
        <v>0.73</v>
      </c>
      <c r="I2645" s="1">
        <v>5</v>
      </c>
      <c r="J2645" s="4">
        <v>0.4</v>
      </c>
      <c r="K2645" s="1">
        <v>0</v>
      </c>
      <c r="L2645" s="1">
        <v>1</v>
      </c>
      <c r="M2645" s="32">
        <f>IF(Mecze[[#This Row],[PR]]=0,0,Mecze[[#This Row],[PR]]/Mecze[[#This Row],[CZAS]])</f>
        <v>0.01</v>
      </c>
      <c r="N2645" s="32">
        <f>IF(Mecze[[#This Row],[OU]]=0,0,Mecze[[#This Row],[OU]]/Mecze[[#This Row],[CZAS]])</f>
        <v>0.02</v>
      </c>
      <c r="O2645" s="32">
        <f>IF(Mecze[[#This Row],[PC]]=0,0,Mecze[[#This Row],[PC]]/Mecze[[#This Row],[CZAS]])</f>
        <v>0.11</v>
      </c>
      <c r="P2645" s="32">
        <f>IF(Mecze[[#This Row],[SC]]=0,0,Mecze[[#This Row],[SC]]/Mecze[[#This Row],[CZAS]])</f>
        <v>0.05</v>
      </c>
      <c r="Q2645" s="32">
        <f>IF(Mecze[[#This Row],[OB]]=0,0,Mecze[[#This Row],[OB]]/Mecze[[#This Row],[CZAS]])</f>
        <v>0</v>
      </c>
      <c r="R2645" s="32">
        <f>IF(Mecze[[#This Row],[BR]]=0,0,Mecze[[#This Row],[BR]]/Mecze[[#This Row],[CZAS]])</f>
        <v>0</v>
      </c>
      <c r="S2645" s="44">
        <f>IF(Mecze[[#This Row],[Role]]="BR",SUMPRODUCT(Mecze[[#This Row],[/PR:90]:[/BR:90]],Brudnopis!$E$23:$J$23),0)</f>
        <v>0</v>
      </c>
      <c r="T2645" s="44">
        <f>IF(Mecze[[#This Row],[Role]]&lt;&gt;"BR",SUMPRODUCT(Mecze[[#This Row],[/PR:90]:[/BR:90]],Brudnopis!$E$24:$J$24),0)</f>
        <v>0.2</v>
      </c>
      <c r="U2645" s="44">
        <f>IF(Mecze[[#This Row],[Role]]&lt;&gt;"BR",SUMPRODUCT(Mecze[[#This Row],[/PR:90]:[/BR:90]],Brudnopis!$E$25:$J$25),0)</f>
        <v>0.245</v>
      </c>
      <c r="V2645" s="44">
        <f>IF(Mecze[[#This Row],[Role]]&lt;&gt;"BR",SUMPRODUCT(Mecze[[#This Row],[/PR:90]:[/BR:90]],Brudnopis!$E$26:$J$26),0)</f>
        <v>0.19</v>
      </c>
      <c r="W2645" s="44">
        <f>IF(Mecze[[#This Row],[Role]]&lt;&gt;"BR",SUMPRODUCT(Mecze[[#This Row],[/PR:90]:[/BR:90]],Brudnopis!$E$27:$J$27),0)</f>
        <v>0.23749999999999999</v>
      </c>
      <c r="X2645" s="44">
        <f>IF(Mecze[[#This Row],[Role]]&lt;&gt;"BR",SUMPRODUCT(Mecze[[#This Row],[/PR:90]:[/BR:90]],Brudnopis!$E$28:$J$28),0)</f>
        <v>0.21000000000000002</v>
      </c>
      <c r="Y2645" s="35">
        <f>IF(Mecze[[#This Row],[Role]]="BR",Mecze[[#This Row],[/OB:90]]+Mecze[[#This Row],[/PC:90]],SUM(Mecze[[#This Row],[/PR:90]:[/BR:90]]))</f>
        <v>0.19</v>
      </c>
      <c r="Z2645" s="35">
        <f>IF(Mecze[[#This Row],[KC]]=0,SUM(Mecze[[#This Row],[/BRI]:[/NPI]]),SUM(Mecze[[#This Row],[/BRI]:[/NPI]])*0.6)</f>
        <v>1.0825</v>
      </c>
      <c r="AA2645" s="10">
        <f>IFERROR(Mecze[[#This Row],[BR]]/Mecze[[#This Row],[ST]],0)</f>
        <v>0</v>
      </c>
      <c r="AB2645">
        <f>ROUND(Mecze[[#This Row],[PD]]*Mecze[[#This Row],[%PC]],0)</f>
        <v>11</v>
      </c>
      <c r="AC2645">
        <f>ROUND(Mecze[[#This Row],[OD]]*Mecze[[#This Row],[%OU]],0)</f>
        <v>2</v>
      </c>
      <c r="AD2645" s="36" t="s">
        <v>44</v>
      </c>
      <c r="AE2645" s="36">
        <v>147</v>
      </c>
      <c r="AF2645" s="71">
        <v>5.27</v>
      </c>
      <c r="AG2645" s="37">
        <v>0</v>
      </c>
      <c r="AH2645" s="37">
        <v>0</v>
      </c>
      <c r="AI2645" s="37">
        <v>100</v>
      </c>
      <c r="AJ2645" s="37">
        <v>11</v>
      </c>
      <c r="AK2645" s="37" t="str">
        <f>VLOOKUP(Mecze[[#This Row],[Match ID]],Meczusie[Mecz]:Meczusie[RodzajMeczu],2,FALSE)</f>
        <v>Liga</v>
      </c>
    </row>
    <row r="2646" spans="1:37" x14ac:dyDescent="0.25">
      <c r="A2646" s="76">
        <v>10</v>
      </c>
      <c r="B2646" s="3" t="s">
        <v>328</v>
      </c>
      <c r="C2646" s="2" t="s">
        <v>165</v>
      </c>
      <c r="D2646" s="1">
        <v>0</v>
      </c>
      <c r="E2646" s="1">
        <v>8</v>
      </c>
      <c r="F2646" s="1">
        <v>8</v>
      </c>
      <c r="G2646" s="1">
        <v>7</v>
      </c>
      <c r="H2646" s="4">
        <v>0.86</v>
      </c>
      <c r="I2646" s="1">
        <v>1</v>
      </c>
      <c r="J2646" s="4">
        <v>0</v>
      </c>
      <c r="K2646" s="1">
        <v>0</v>
      </c>
      <c r="L2646" s="1">
        <v>0</v>
      </c>
      <c r="M2646" s="32">
        <f>IF(Mecze[[#This Row],[PR]]=0,0,Mecze[[#This Row],[PR]]/Mecze[[#This Row],[CZAS]])</f>
        <v>0</v>
      </c>
      <c r="N2646" s="32">
        <f>IF(Mecze[[#This Row],[OU]]=0,0,Mecze[[#This Row],[OU]]/Mecze[[#This Row],[CZAS]])</f>
        <v>0</v>
      </c>
      <c r="O2646" s="32">
        <f>IF(Mecze[[#This Row],[PC]]=0,0,Mecze[[#This Row],[PC]]/Mecze[[#This Row],[CZAS]])</f>
        <v>0.06</v>
      </c>
      <c r="P2646" s="32">
        <f>IF(Mecze[[#This Row],[SC]]=0,0,Mecze[[#This Row],[SC]]/Mecze[[#This Row],[CZAS]])</f>
        <v>0.08</v>
      </c>
      <c r="Q2646" s="32">
        <f>IF(Mecze[[#This Row],[OB]]=0,0,Mecze[[#This Row],[OB]]/Mecze[[#This Row],[CZAS]])</f>
        <v>0</v>
      </c>
      <c r="R2646" s="32">
        <f>IF(Mecze[[#This Row],[BR]]=0,0,Mecze[[#This Row],[BR]]/Mecze[[#This Row],[CZAS]])</f>
        <v>0</v>
      </c>
      <c r="S2646" s="44">
        <f>IF(Mecze[[#This Row],[Role]]="BR",SUMPRODUCT(Mecze[[#This Row],[/PR:90]:[/BR:90]],Brudnopis!$E$23:$J$23),0)</f>
        <v>0</v>
      </c>
      <c r="T2646" s="44">
        <f>IF(Mecze[[#This Row],[Role]]&lt;&gt;"BR",SUMPRODUCT(Mecze[[#This Row],[/PR:90]:[/BR:90]],Brudnopis!$E$24:$J$24),0)</f>
        <v>0.14000000000000001</v>
      </c>
      <c r="U2646" s="44">
        <f>IF(Mecze[[#This Row],[Role]]&lt;&gt;"BR",SUMPRODUCT(Mecze[[#This Row],[/PR:90]:[/BR:90]],Brudnopis!$E$25:$J$25),0)</f>
        <v>0.16999999999999998</v>
      </c>
      <c r="V2646" s="44">
        <f>IF(Mecze[[#This Row],[Role]]&lt;&gt;"BR",SUMPRODUCT(Mecze[[#This Row],[/PR:90]:[/BR:90]],Brudnopis!$E$26:$J$26),0)</f>
        <v>0.14000000000000001</v>
      </c>
      <c r="W2646" s="44">
        <f>IF(Mecze[[#This Row],[Role]]&lt;&gt;"BR",SUMPRODUCT(Mecze[[#This Row],[/PR:90]:[/BR:90]],Brudnopis!$E$27:$J$27),0)</f>
        <v>0.16999999999999998</v>
      </c>
      <c r="X2646" s="44">
        <f>IF(Mecze[[#This Row],[Role]]&lt;&gt;"BR",SUMPRODUCT(Mecze[[#This Row],[/PR:90]:[/BR:90]],Brudnopis!$E$28:$J$28),0)</f>
        <v>0.22</v>
      </c>
      <c r="Y2646" s="35">
        <f>IF(Mecze[[#This Row],[Role]]="BR",Mecze[[#This Row],[/OB:90]]+Mecze[[#This Row],[/PC:90]],SUM(Mecze[[#This Row],[/PR:90]:[/BR:90]]))</f>
        <v>0.14000000000000001</v>
      </c>
      <c r="Z2646" s="35">
        <f>IF(Mecze[[#This Row],[KC]]=0,SUM(Mecze[[#This Row],[/BRI]:[/NPI]]),SUM(Mecze[[#This Row],[/BRI]:[/NPI]])*0.6)</f>
        <v>0.84</v>
      </c>
      <c r="AA2646" s="10">
        <f>IFERROR(Mecze[[#This Row],[BR]]/Mecze[[#This Row],[ST]],0)</f>
        <v>0</v>
      </c>
      <c r="AB2646">
        <f>ROUND(Mecze[[#This Row],[PD]]*Mecze[[#This Row],[%PC]],0)</f>
        <v>6</v>
      </c>
      <c r="AC2646">
        <f>ROUND(Mecze[[#This Row],[OD]]*Mecze[[#This Row],[%OU]],0)</f>
        <v>0</v>
      </c>
      <c r="AD2646" s="36" t="s">
        <v>46</v>
      </c>
      <c r="AE2646" s="36">
        <v>147</v>
      </c>
      <c r="AF2646" s="71">
        <v>6.72</v>
      </c>
      <c r="AG2646" s="37">
        <v>0</v>
      </c>
      <c r="AH2646" s="37">
        <v>0</v>
      </c>
      <c r="AI2646" s="37">
        <v>100</v>
      </c>
      <c r="AJ2646" s="37">
        <v>11</v>
      </c>
      <c r="AK2646" s="37" t="str">
        <f>VLOOKUP(Mecze[[#This Row],[Match ID]],Meczusie[Mecz]:Meczusie[RodzajMeczu],2,FALSE)</f>
        <v>Liga</v>
      </c>
    </row>
    <row r="2647" spans="1:37" x14ac:dyDescent="0.25">
      <c r="A2647" s="76">
        <v>11</v>
      </c>
      <c r="B2647" s="3" t="s">
        <v>329</v>
      </c>
      <c r="C2647" s="2" t="s">
        <v>165</v>
      </c>
      <c r="D2647" s="1">
        <v>0</v>
      </c>
      <c r="E2647" s="1">
        <v>6</v>
      </c>
      <c r="F2647" s="1">
        <v>6</v>
      </c>
      <c r="G2647" s="1">
        <v>8</v>
      </c>
      <c r="H2647" s="4">
        <v>1</v>
      </c>
      <c r="I2647" s="1">
        <v>3</v>
      </c>
      <c r="J2647" s="4">
        <v>1</v>
      </c>
      <c r="K2647" s="1">
        <v>0</v>
      </c>
      <c r="L2647" s="1">
        <v>0</v>
      </c>
      <c r="M2647" s="32">
        <f>IF(Mecze[[#This Row],[PR]]=0,0,Mecze[[#This Row],[PR]]/Mecze[[#This Row],[CZAS]])</f>
        <v>0</v>
      </c>
      <c r="N2647" s="32">
        <f>IF(Mecze[[#This Row],[OU]]=0,0,Mecze[[#This Row],[OU]]/Mecze[[#This Row],[CZAS]])</f>
        <v>0.03</v>
      </c>
      <c r="O2647" s="32">
        <f>IF(Mecze[[#This Row],[PC]]=0,0,Mecze[[#This Row],[PC]]/Mecze[[#This Row],[CZAS]])</f>
        <v>0.08</v>
      </c>
      <c r="P2647" s="32">
        <f>IF(Mecze[[#This Row],[SC]]=0,0,Mecze[[#This Row],[SC]]/Mecze[[#This Row],[CZAS]])</f>
        <v>0.06</v>
      </c>
      <c r="Q2647" s="32">
        <f>IF(Mecze[[#This Row],[OB]]=0,0,Mecze[[#This Row],[OB]]/Mecze[[#This Row],[CZAS]])</f>
        <v>0</v>
      </c>
      <c r="R2647" s="32">
        <f>IF(Mecze[[#This Row],[BR]]=0,0,Mecze[[#This Row],[BR]]/Mecze[[#This Row],[CZAS]])</f>
        <v>0</v>
      </c>
      <c r="S2647" s="44">
        <f>IF(Mecze[[#This Row],[Role]]="BR",SUMPRODUCT(Mecze[[#This Row],[/PR:90]:[/BR:90]],Brudnopis!$E$23:$J$23),0)</f>
        <v>0</v>
      </c>
      <c r="T2647" s="44">
        <f>IF(Mecze[[#This Row],[Role]]&lt;&gt;"BR",SUMPRODUCT(Mecze[[#This Row],[/PR:90]:[/BR:90]],Brudnopis!$E$24:$J$24),0)</f>
        <v>0.185</v>
      </c>
      <c r="U2647" s="44">
        <f>IF(Mecze[[#This Row],[Role]]&lt;&gt;"BR",SUMPRODUCT(Mecze[[#This Row],[/PR:90]:[/BR:90]],Brudnopis!$E$25:$J$25),0)</f>
        <v>0.21</v>
      </c>
      <c r="V2647" s="44">
        <f>IF(Mecze[[#This Row],[Role]]&lt;&gt;"BR",SUMPRODUCT(Mecze[[#This Row],[/PR:90]:[/BR:90]],Brudnopis!$E$26:$J$26),0)</f>
        <v>0.16999999999999998</v>
      </c>
      <c r="W2647" s="44">
        <f>IF(Mecze[[#This Row],[Role]]&lt;&gt;"BR",SUMPRODUCT(Mecze[[#This Row],[/PR:90]:[/BR:90]],Brudnopis!$E$27:$J$27),0)</f>
        <v>0.20249999999999999</v>
      </c>
      <c r="X2647" s="44">
        <f>IF(Mecze[[#This Row],[Role]]&lt;&gt;"BR",SUMPRODUCT(Mecze[[#This Row],[/PR:90]:[/BR:90]],Brudnopis!$E$28:$J$28),0)</f>
        <v>0.2</v>
      </c>
      <c r="Y2647" s="35">
        <f>IF(Mecze[[#This Row],[Role]]="BR",Mecze[[#This Row],[/OB:90]]+Mecze[[#This Row],[/PC:90]],SUM(Mecze[[#This Row],[/PR:90]:[/BR:90]]))</f>
        <v>0.16999999999999998</v>
      </c>
      <c r="Z2647" s="35">
        <f>IF(Mecze[[#This Row],[KC]]=0,SUM(Mecze[[#This Row],[/BRI]:[/NPI]]),SUM(Mecze[[#This Row],[/BRI]:[/NPI]])*0.6)</f>
        <v>0.96750000000000003</v>
      </c>
      <c r="AA2647" s="10">
        <f>IFERROR(Mecze[[#This Row],[BR]]/Mecze[[#This Row],[ST]],0)</f>
        <v>0</v>
      </c>
      <c r="AB2647">
        <f>ROUND(Mecze[[#This Row],[PD]]*Mecze[[#This Row],[%PC]],0)</f>
        <v>8</v>
      </c>
      <c r="AC2647">
        <f>ROUND(Mecze[[#This Row],[OD]]*Mecze[[#This Row],[%OU]],0)</f>
        <v>3</v>
      </c>
      <c r="AD2647" s="36" t="s">
        <v>272</v>
      </c>
      <c r="AE2647" s="36">
        <v>147</v>
      </c>
      <c r="AF2647" s="71">
        <v>7.17</v>
      </c>
      <c r="AG2647" s="37">
        <v>0</v>
      </c>
      <c r="AH2647" s="37">
        <v>0</v>
      </c>
      <c r="AI2647" s="37">
        <v>100</v>
      </c>
      <c r="AJ2647" s="37">
        <v>11</v>
      </c>
      <c r="AK2647" s="37" t="str">
        <f>VLOOKUP(Mecze[[#This Row],[Match ID]],Meczusie[Mecz]:Meczusie[RodzajMeczu],2,FALSE)</f>
        <v>Liga</v>
      </c>
    </row>
    <row r="2648" spans="1:37" x14ac:dyDescent="0.25">
      <c r="A2648" s="76">
        <v>14</v>
      </c>
      <c r="B2648" s="3" t="s">
        <v>330</v>
      </c>
      <c r="C2648" s="2" t="s">
        <v>165</v>
      </c>
      <c r="D2648" s="1">
        <v>0</v>
      </c>
      <c r="E2648" s="1">
        <v>4</v>
      </c>
      <c r="F2648" s="1">
        <v>4</v>
      </c>
      <c r="G2648" s="1">
        <v>5</v>
      </c>
      <c r="H2648" s="4">
        <v>0.8</v>
      </c>
      <c r="I2648" s="1">
        <v>1</v>
      </c>
      <c r="J2648" s="4">
        <v>1</v>
      </c>
      <c r="K2648" s="1">
        <v>0</v>
      </c>
      <c r="L2648" s="1">
        <v>0</v>
      </c>
      <c r="M2648" s="32">
        <f>IF(Mecze[[#This Row],[PR]]=0,0,Mecze[[#This Row],[PR]]/Mecze[[#This Row],[CZAS]])</f>
        <v>0</v>
      </c>
      <c r="N2648" s="32">
        <f>IF(Mecze[[#This Row],[OU]]=0,0,Mecze[[#This Row],[OU]]/Mecze[[#This Row],[CZAS]])</f>
        <v>0.01</v>
      </c>
      <c r="O2648" s="32">
        <f>IF(Mecze[[#This Row],[PC]]=0,0,Mecze[[#This Row],[PC]]/Mecze[[#This Row],[CZAS]])</f>
        <v>0.04</v>
      </c>
      <c r="P2648" s="32">
        <f>IF(Mecze[[#This Row],[SC]]=0,0,Mecze[[#This Row],[SC]]/Mecze[[#This Row],[CZAS]])</f>
        <v>0.04</v>
      </c>
      <c r="Q2648" s="32">
        <f>IF(Mecze[[#This Row],[OB]]=0,0,Mecze[[#This Row],[OB]]/Mecze[[#This Row],[CZAS]])</f>
        <v>0</v>
      </c>
      <c r="R2648" s="32">
        <f>IF(Mecze[[#This Row],[BR]]=0,0,Mecze[[#This Row],[BR]]/Mecze[[#This Row],[CZAS]])</f>
        <v>0</v>
      </c>
      <c r="S2648" s="44">
        <f>IF(Mecze[[#This Row],[Role]]="BR",SUMPRODUCT(Mecze[[#This Row],[/PR:90]:[/BR:90]],Brudnopis!$E$23:$J$23),0)</f>
        <v>0</v>
      </c>
      <c r="T2648" s="44">
        <f>IF(Mecze[[#This Row],[Role]]&lt;&gt;"BR",SUMPRODUCT(Mecze[[#This Row],[/PR:90]:[/BR:90]],Brudnopis!$E$24:$J$24),0)</f>
        <v>9.5000000000000001E-2</v>
      </c>
      <c r="U2648" s="44">
        <f>IF(Mecze[[#This Row],[Role]]&lt;&gt;"BR",SUMPRODUCT(Mecze[[#This Row],[/PR:90]:[/BR:90]],Brudnopis!$E$25:$J$25),0)</f>
        <v>0.10999999999999999</v>
      </c>
      <c r="V2648" s="44">
        <f>IF(Mecze[[#This Row],[Role]]&lt;&gt;"BR",SUMPRODUCT(Mecze[[#This Row],[/PR:90]:[/BR:90]],Brudnopis!$E$26:$J$26),0)</f>
        <v>0.09</v>
      </c>
      <c r="W2648" s="44">
        <f>IF(Mecze[[#This Row],[Role]]&lt;&gt;"BR",SUMPRODUCT(Mecze[[#This Row],[/PR:90]:[/BR:90]],Brudnopis!$E$27:$J$27),0)</f>
        <v>0.10750000000000001</v>
      </c>
      <c r="X2648" s="44">
        <f>IF(Mecze[[#This Row],[Role]]&lt;&gt;"BR",SUMPRODUCT(Mecze[[#This Row],[/PR:90]:[/BR:90]],Brudnopis!$E$28:$J$28),0)</f>
        <v>0.12</v>
      </c>
      <c r="Y2648" s="35">
        <f>IF(Mecze[[#This Row],[Role]]="BR",Mecze[[#This Row],[/OB:90]]+Mecze[[#This Row],[/PC:90]],SUM(Mecze[[#This Row],[/PR:90]:[/BR:90]]))</f>
        <v>0.09</v>
      </c>
      <c r="Z2648" s="35">
        <f>IF(Mecze[[#This Row],[KC]]=0,SUM(Mecze[[#This Row],[/BRI]:[/NPI]]),SUM(Mecze[[#This Row],[/BRI]:[/NPI]])*0.6)</f>
        <v>0.52249999999999996</v>
      </c>
      <c r="AA2648" s="10">
        <f>IFERROR(Mecze[[#This Row],[BR]]/Mecze[[#This Row],[ST]],0)</f>
        <v>0</v>
      </c>
      <c r="AB2648">
        <f>ROUND(Mecze[[#This Row],[PD]]*Mecze[[#This Row],[%PC]],0)</f>
        <v>4</v>
      </c>
      <c r="AC2648">
        <f>ROUND(Mecze[[#This Row],[OD]]*Mecze[[#This Row],[%OU]],0)</f>
        <v>1</v>
      </c>
      <c r="AD2648" s="36" t="s">
        <v>273</v>
      </c>
      <c r="AE2648" s="36">
        <v>147</v>
      </c>
      <c r="AF2648" s="71">
        <v>5.84</v>
      </c>
      <c r="AG2648" s="37">
        <v>0</v>
      </c>
      <c r="AH2648" s="37">
        <v>0</v>
      </c>
      <c r="AI2648" s="37">
        <v>100</v>
      </c>
      <c r="AJ2648" s="37">
        <v>11</v>
      </c>
      <c r="AK2648" s="37" t="str">
        <f>VLOOKUP(Mecze[[#This Row],[Match ID]],Meczusie[Mecz]:Meczusie[RodzajMeczu],2,FALSE)</f>
        <v>Liga</v>
      </c>
    </row>
    <row r="2649" spans="1:37" x14ac:dyDescent="0.25">
      <c r="A2649" s="76">
        <v>1</v>
      </c>
      <c r="B2649" s="3" t="s">
        <v>304</v>
      </c>
      <c r="C2649" s="2" t="s">
        <v>155</v>
      </c>
      <c r="D2649" s="1">
        <v>0</v>
      </c>
      <c r="E2649" s="1">
        <v>0</v>
      </c>
      <c r="F2649" s="1">
        <v>0</v>
      </c>
      <c r="G2649" s="1">
        <v>8</v>
      </c>
      <c r="H2649" s="4">
        <v>0.75</v>
      </c>
      <c r="I2649" s="1">
        <v>0</v>
      </c>
      <c r="J2649" s="4"/>
      <c r="K2649" s="1">
        <v>7</v>
      </c>
      <c r="L2649" s="1">
        <v>0</v>
      </c>
      <c r="M2649" s="32">
        <f>IF(Mecze[[#This Row],[PR]]=0,0,Mecze[[#This Row],[PR]]/Mecze[[#This Row],[CZAS]])</f>
        <v>0</v>
      </c>
      <c r="N2649" s="32">
        <f>IF(Mecze[[#This Row],[OU]]=0,0,Mecze[[#This Row],[OU]]/Mecze[[#This Row],[CZAS]])</f>
        <v>0</v>
      </c>
      <c r="O2649" s="32">
        <f>IF(Mecze[[#This Row],[PC]]=0,0,Mecze[[#This Row],[PC]]/Mecze[[#This Row],[CZAS]])</f>
        <v>6.1224489795918366E-2</v>
      </c>
      <c r="P2649" s="32">
        <f>IF(Mecze[[#This Row],[SC]]=0,0,Mecze[[#This Row],[SC]]/Mecze[[#This Row],[CZAS]])</f>
        <v>0</v>
      </c>
      <c r="Q2649" s="32">
        <f>IF(Mecze[[#This Row],[OB]]=0,0,Mecze[[#This Row],[OB]]/Mecze[[#This Row],[CZAS]])</f>
        <v>7.1428571428571425E-2</v>
      </c>
      <c r="R2649" s="32">
        <f>IF(Mecze[[#This Row],[BR]]=0,0,Mecze[[#This Row],[BR]]/Mecze[[#This Row],[CZAS]])</f>
        <v>0</v>
      </c>
      <c r="S2649" s="44">
        <f>IF(Mecze[[#This Row],[Role]]="BR",SUMPRODUCT(Mecze[[#This Row],[/PR:90]:[/BR:90]],Brudnopis!$E$23:$J$23),0)</f>
        <v>0.39795918367346939</v>
      </c>
      <c r="T2649" s="44">
        <f>IF(Mecze[[#This Row],[Role]]&lt;&gt;"BR",SUMPRODUCT(Mecze[[#This Row],[/PR:90]:[/BR:90]],Brudnopis!$E$24:$J$24),0)</f>
        <v>0</v>
      </c>
      <c r="U2649" s="44">
        <f>IF(Mecze[[#This Row],[Role]]&lt;&gt;"BR",SUMPRODUCT(Mecze[[#This Row],[/PR:90]:[/BR:90]],Brudnopis!$E$25:$J$25),0)</f>
        <v>0</v>
      </c>
      <c r="V2649" s="44">
        <f>IF(Mecze[[#This Row],[Role]]&lt;&gt;"BR",SUMPRODUCT(Mecze[[#This Row],[/PR:90]:[/BR:90]],Brudnopis!$E$26:$J$26),0)</f>
        <v>0</v>
      </c>
      <c r="W2649" s="44">
        <f>IF(Mecze[[#This Row],[Role]]&lt;&gt;"BR",SUMPRODUCT(Mecze[[#This Row],[/PR:90]:[/BR:90]],Brudnopis!$E$27:$J$27),0)</f>
        <v>0</v>
      </c>
      <c r="X2649" s="44">
        <f>IF(Mecze[[#This Row],[Role]]&lt;&gt;"BR",SUMPRODUCT(Mecze[[#This Row],[/PR:90]:[/BR:90]],Brudnopis!$E$28:$J$28),0)</f>
        <v>0</v>
      </c>
      <c r="Y2649" s="35">
        <f>IF(Mecze[[#This Row],[Role]]="BR",Mecze[[#This Row],[/OB:90]]+Mecze[[#This Row],[/PC:90]],SUM(Mecze[[#This Row],[/PR:90]:[/BR:90]]))</f>
        <v>0.13265306122448978</v>
      </c>
      <c r="Z2649" s="35">
        <f>IF(Mecze[[#This Row],[KC]]=0,SUM(Mecze[[#This Row],[/BRI]:[/NPI]]),SUM(Mecze[[#This Row],[/BRI]:[/NPI]])*0.6)</f>
        <v>0.39795918367346939</v>
      </c>
      <c r="AA2649" s="10">
        <f>IFERROR(Mecze[[#This Row],[BR]]/Mecze[[#This Row],[ST]],0)</f>
        <v>0</v>
      </c>
      <c r="AB2649">
        <f>ROUND(Mecze[[#This Row],[PD]]*Mecze[[#This Row],[%PC]],0)</f>
        <v>6</v>
      </c>
      <c r="AC2649">
        <f>ROUND(Mecze[[#This Row],[OD]]*Mecze[[#This Row],[%OU]],0)</f>
        <v>0</v>
      </c>
      <c r="AD2649" s="36" t="s">
        <v>40</v>
      </c>
      <c r="AE2649" s="36">
        <v>148</v>
      </c>
      <c r="AF2649" s="71">
        <v>5.26</v>
      </c>
      <c r="AG2649" s="37">
        <v>0</v>
      </c>
      <c r="AH2649" s="37">
        <v>0</v>
      </c>
      <c r="AI2649" s="37">
        <v>98</v>
      </c>
      <c r="AJ2649" s="37">
        <v>8</v>
      </c>
      <c r="AK2649" s="37" t="str">
        <f>VLOOKUP(Mecze[[#This Row],[Match ID]],Meczusie[Mecz]:Meczusie[RodzajMeczu],2,FALSE)</f>
        <v>Liga</v>
      </c>
    </row>
    <row r="2650" spans="1:37" x14ac:dyDescent="0.25">
      <c r="A2650" s="76">
        <v>5</v>
      </c>
      <c r="B2650" s="3" t="s">
        <v>305</v>
      </c>
      <c r="C2650" s="2" t="s">
        <v>157</v>
      </c>
      <c r="D2650" s="1">
        <v>0</v>
      </c>
      <c r="E2650" s="1">
        <v>0</v>
      </c>
      <c r="F2650" s="1">
        <v>0</v>
      </c>
      <c r="G2650" s="1">
        <v>7</v>
      </c>
      <c r="H2650" s="4">
        <v>0.86</v>
      </c>
      <c r="I2650" s="1">
        <v>2</v>
      </c>
      <c r="J2650" s="4">
        <v>0.5</v>
      </c>
      <c r="K2650" s="1">
        <v>0</v>
      </c>
      <c r="L2650" s="1">
        <v>3</v>
      </c>
      <c r="M2650" s="32">
        <f>IF(Mecze[[#This Row],[PR]]=0,0,Mecze[[#This Row],[PR]]/Mecze[[#This Row],[CZAS]])</f>
        <v>3.0612244897959183E-2</v>
      </c>
      <c r="N2650" s="32">
        <f>IF(Mecze[[#This Row],[OU]]=0,0,Mecze[[#This Row],[OU]]/Mecze[[#This Row],[CZAS]])</f>
        <v>1.020408163265306E-2</v>
      </c>
      <c r="O2650" s="32">
        <f>IF(Mecze[[#This Row],[PC]]=0,0,Mecze[[#This Row],[PC]]/Mecze[[#This Row],[CZAS]])</f>
        <v>6.1224489795918366E-2</v>
      </c>
      <c r="P2650" s="32">
        <f>IF(Mecze[[#This Row],[SC]]=0,0,Mecze[[#This Row],[SC]]/Mecze[[#This Row],[CZAS]])</f>
        <v>0</v>
      </c>
      <c r="Q2650" s="32">
        <f>IF(Mecze[[#This Row],[OB]]=0,0,Mecze[[#This Row],[OB]]/Mecze[[#This Row],[CZAS]])</f>
        <v>0</v>
      </c>
      <c r="R2650" s="32">
        <f>IF(Mecze[[#This Row],[BR]]=0,0,Mecze[[#This Row],[BR]]/Mecze[[#This Row],[CZAS]])</f>
        <v>0</v>
      </c>
      <c r="S2650" s="44">
        <f>IF(Mecze[[#This Row],[Role]]="BR",SUMPRODUCT(Mecze[[#This Row],[/PR:90]:[/BR:90]],Brudnopis!$E$23:$J$23),0)</f>
        <v>0</v>
      </c>
      <c r="T2650" s="44">
        <f>IF(Mecze[[#This Row],[Role]]&lt;&gt;"BR",SUMPRODUCT(Mecze[[#This Row],[/PR:90]:[/BR:90]],Brudnopis!$E$24:$J$24),0)</f>
        <v>0.10714285714285714</v>
      </c>
      <c r="U2650" s="44">
        <f>IF(Mecze[[#This Row],[Role]]&lt;&gt;"BR",SUMPRODUCT(Mecze[[#This Row],[/PR:90]:[/BR:90]],Brudnopis!$E$25:$J$25),0)</f>
        <v>0.13265306122448978</v>
      </c>
      <c r="V2650" s="44">
        <f>IF(Mecze[[#This Row],[Role]]&lt;&gt;"BR",SUMPRODUCT(Mecze[[#This Row],[/PR:90]:[/BR:90]],Brudnopis!$E$26:$J$26),0)</f>
        <v>0.10204081632653061</v>
      </c>
      <c r="W2650" s="44">
        <f>IF(Mecze[[#This Row],[Role]]&lt;&gt;"BR",SUMPRODUCT(Mecze[[#This Row],[/PR:90]:[/BR:90]],Brudnopis!$E$27:$J$27),0)</f>
        <v>0.12244897959183673</v>
      </c>
      <c r="X2650" s="44">
        <f>IF(Mecze[[#This Row],[Role]]&lt;&gt;"BR",SUMPRODUCT(Mecze[[#This Row],[/PR:90]:[/BR:90]],Brudnopis!$E$28:$J$28),0)</f>
        <v>6.1224489795918366E-2</v>
      </c>
      <c r="Y2650" s="35">
        <f>IF(Mecze[[#This Row],[Role]]="BR",Mecze[[#This Row],[/OB:90]]+Mecze[[#This Row],[/PC:90]],SUM(Mecze[[#This Row],[/PR:90]:[/BR:90]]))</f>
        <v>0.10204081632653061</v>
      </c>
      <c r="Z2650" s="35">
        <f>IF(Mecze[[#This Row],[KC]]=0,SUM(Mecze[[#This Row],[/BRI]:[/NPI]]),SUM(Mecze[[#This Row],[/BRI]:[/NPI]])*0.6)</f>
        <v>0.52551020408163263</v>
      </c>
      <c r="AA2650" s="10">
        <f>IFERROR(Mecze[[#This Row],[BR]]/Mecze[[#This Row],[ST]],0)</f>
        <v>0</v>
      </c>
      <c r="AB2650">
        <f>ROUND(Mecze[[#This Row],[PD]]*Mecze[[#This Row],[%PC]],0)</f>
        <v>6</v>
      </c>
      <c r="AC2650">
        <f>ROUND(Mecze[[#This Row],[OD]]*Mecze[[#This Row],[%OU]],0)</f>
        <v>1</v>
      </c>
      <c r="AD2650" s="36" t="s">
        <v>47</v>
      </c>
      <c r="AE2650" s="36">
        <v>148</v>
      </c>
      <c r="AF2650" s="71">
        <v>2.2200000000000002</v>
      </c>
      <c r="AG2650" s="37">
        <v>0</v>
      </c>
      <c r="AH2650" s="37">
        <v>0</v>
      </c>
      <c r="AI2650" s="37">
        <v>98</v>
      </c>
      <c r="AJ2650" s="37">
        <v>8</v>
      </c>
      <c r="AK2650" s="37" t="str">
        <f>VLOOKUP(Mecze[[#This Row],[Match ID]],Meczusie[Mecz]:Meczusie[RodzajMeczu],2,FALSE)</f>
        <v>Liga</v>
      </c>
    </row>
    <row r="2651" spans="1:37" x14ac:dyDescent="0.25">
      <c r="A2651" s="76">
        <v>23</v>
      </c>
      <c r="B2651" s="3" t="s">
        <v>306</v>
      </c>
      <c r="C2651" s="2" t="s">
        <v>157</v>
      </c>
      <c r="D2651" s="1">
        <v>0</v>
      </c>
      <c r="E2651" s="1">
        <v>0</v>
      </c>
      <c r="F2651" s="1">
        <v>0</v>
      </c>
      <c r="G2651" s="1">
        <v>7</v>
      </c>
      <c r="H2651" s="4">
        <v>0.56999999999999995</v>
      </c>
      <c r="I2651" s="1">
        <v>3</v>
      </c>
      <c r="J2651" s="4">
        <v>0.67</v>
      </c>
      <c r="K2651" s="1">
        <v>0</v>
      </c>
      <c r="L2651" s="1">
        <v>6</v>
      </c>
      <c r="M2651" s="32">
        <f>IF(Mecze[[#This Row],[PR]]=0,0,Mecze[[#This Row],[PR]]/Mecze[[#This Row],[CZAS]])</f>
        <v>6.1224489795918366E-2</v>
      </c>
      <c r="N2651" s="32">
        <f>IF(Mecze[[#This Row],[OU]]=0,0,Mecze[[#This Row],[OU]]/Mecze[[#This Row],[CZAS]])</f>
        <v>2.0408163265306121E-2</v>
      </c>
      <c r="O2651" s="32">
        <f>IF(Mecze[[#This Row],[PC]]=0,0,Mecze[[#This Row],[PC]]/Mecze[[#This Row],[CZAS]])</f>
        <v>4.0816326530612242E-2</v>
      </c>
      <c r="P2651" s="32">
        <f>IF(Mecze[[#This Row],[SC]]=0,0,Mecze[[#This Row],[SC]]/Mecze[[#This Row],[CZAS]])</f>
        <v>0</v>
      </c>
      <c r="Q2651" s="32">
        <f>IF(Mecze[[#This Row],[OB]]=0,0,Mecze[[#This Row],[OB]]/Mecze[[#This Row],[CZAS]])</f>
        <v>0</v>
      </c>
      <c r="R2651" s="32">
        <f>IF(Mecze[[#This Row],[BR]]=0,0,Mecze[[#This Row],[BR]]/Mecze[[#This Row],[CZAS]])</f>
        <v>0</v>
      </c>
      <c r="S2651" s="44">
        <f>IF(Mecze[[#This Row],[Role]]="BR",SUMPRODUCT(Mecze[[#This Row],[/PR:90]:[/BR:90]],Brudnopis!$E$23:$J$23),0)</f>
        <v>0</v>
      </c>
      <c r="T2651" s="44">
        <f>IF(Mecze[[#This Row],[Role]]&lt;&gt;"BR",SUMPRODUCT(Mecze[[#This Row],[/PR:90]:[/BR:90]],Brudnopis!$E$24:$J$24),0)</f>
        <v>0.13265306122448978</v>
      </c>
      <c r="U2651" s="44">
        <f>IF(Mecze[[#This Row],[Role]]&lt;&gt;"BR",SUMPRODUCT(Mecze[[#This Row],[/PR:90]:[/BR:90]],Brudnopis!$E$25:$J$25),0)</f>
        <v>0.14285714285714285</v>
      </c>
      <c r="V2651" s="44">
        <f>IF(Mecze[[#This Row],[Role]]&lt;&gt;"BR",SUMPRODUCT(Mecze[[#This Row],[/PR:90]:[/BR:90]],Brudnopis!$E$26:$J$26),0)</f>
        <v>0.12244897959183673</v>
      </c>
      <c r="W2651" s="44">
        <f>IF(Mecze[[#This Row],[Role]]&lt;&gt;"BR",SUMPRODUCT(Mecze[[#This Row],[/PR:90]:[/BR:90]],Brudnopis!$E$27:$J$27),0)</f>
        <v>0.12244897959183673</v>
      </c>
      <c r="X2651" s="44">
        <f>IF(Mecze[[#This Row],[Role]]&lt;&gt;"BR",SUMPRODUCT(Mecze[[#This Row],[/PR:90]:[/BR:90]],Brudnopis!$E$28:$J$28),0)</f>
        <v>4.0816326530612242E-2</v>
      </c>
      <c r="Y2651" s="35">
        <f>IF(Mecze[[#This Row],[Role]]="BR",Mecze[[#This Row],[/OB:90]]+Mecze[[#This Row],[/PC:90]],SUM(Mecze[[#This Row],[/PR:90]:[/BR:90]]))</f>
        <v>0.12244897959183673</v>
      </c>
      <c r="Z2651" s="35">
        <f>IF(Mecze[[#This Row],[KC]]=0,SUM(Mecze[[#This Row],[/BRI]:[/NPI]]),SUM(Mecze[[#This Row],[/BRI]:[/NPI]])*0.6)</f>
        <v>0.56122448979591844</v>
      </c>
      <c r="AA2651" s="10">
        <f>IFERROR(Mecze[[#This Row],[BR]]/Mecze[[#This Row],[ST]],0)</f>
        <v>0</v>
      </c>
      <c r="AB2651">
        <f>ROUND(Mecze[[#This Row],[PD]]*Mecze[[#This Row],[%PC]],0)</f>
        <v>4</v>
      </c>
      <c r="AC2651">
        <f>ROUND(Mecze[[#This Row],[OD]]*Mecze[[#This Row],[%OU]],0)</f>
        <v>2</v>
      </c>
      <c r="AD2651" s="36" t="s">
        <v>167</v>
      </c>
      <c r="AE2651" s="36">
        <v>148</v>
      </c>
      <c r="AF2651" s="71">
        <v>3.97</v>
      </c>
      <c r="AG2651" s="37">
        <v>0</v>
      </c>
      <c r="AH2651" s="37">
        <v>0</v>
      </c>
      <c r="AI2651" s="37">
        <v>98</v>
      </c>
      <c r="AJ2651" s="37">
        <v>8</v>
      </c>
      <c r="AK2651" s="37" t="str">
        <f>VLOOKUP(Mecze[[#This Row],[Match ID]],Meczusie[Mecz]:Meczusie[RodzajMeczu],2,FALSE)</f>
        <v>Liga</v>
      </c>
    </row>
    <row r="2652" spans="1:37" x14ac:dyDescent="0.25">
      <c r="A2652" s="76">
        <v>73</v>
      </c>
      <c r="B2652" s="3" t="s">
        <v>431</v>
      </c>
      <c r="C2652" s="2" t="s">
        <v>157</v>
      </c>
      <c r="D2652" s="1">
        <v>0</v>
      </c>
      <c r="E2652" s="1">
        <v>0</v>
      </c>
      <c r="F2652" s="1">
        <v>0</v>
      </c>
      <c r="G2652" s="1">
        <v>5</v>
      </c>
      <c r="H2652" s="4">
        <v>1</v>
      </c>
      <c r="I2652" s="1">
        <v>10</v>
      </c>
      <c r="J2652" s="4">
        <v>0.4</v>
      </c>
      <c r="K2652" s="1">
        <v>0</v>
      </c>
      <c r="L2652" s="1">
        <v>7</v>
      </c>
      <c r="M2652" s="32">
        <f>IF(Mecze[[#This Row],[PR]]=0,0,Mecze[[#This Row],[PR]]/Mecze[[#This Row],[CZAS]])</f>
        <v>7.1428571428571425E-2</v>
      </c>
      <c r="N2652" s="32">
        <f>IF(Mecze[[#This Row],[OU]]=0,0,Mecze[[#This Row],[OU]]/Mecze[[#This Row],[CZAS]])</f>
        <v>4.0816326530612242E-2</v>
      </c>
      <c r="O2652" s="32">
        <f>IF(Mecze[[#This Row],[PC]]=0,0,Mecze[[#This Row],[PC]]/Mecze[[#This Row],[CZAS]])</f>
        <v>5.1020408163265307E-2</v>
      </c>
      <c r="P2652" s="32">
        <f>IF(Mecze[[#This Row],[SC]]=0,0,Mecze[[#This Row],[SC]]/Mecze[[#This Row],[CZAS]])</f>
        <v>0</v>
      </c>
      <c r="Q2652" s="32">
        <f>IF(Mecze[[#This Row],[OB]]=0,0,Mecze[[#This Row],[OB]]/Mecze[[#This Row],[CZAS]])</f>
        <v>0</v>
      </c>
      <c r="R2652" s="32">
        <f>IF(Mecze[[#This Row],[BR]]=0,0,Mecze[[#This Row],[BR]]/Mecze[[#This Row],[CZAS]])</f>
        <v>0</v>
      </c>
      <c r="S2652" s="44">
        <f>IF(Mecze[[#This Row],[Role]]="BR",SUMPRODUCT(Mecze[[#This Row],[/PR:90]:[/BR:90]],Brudnopis!$E$23:$J$23),0)</f>
        <v>0</v>
      </c>
      <c r="T2652" s="44">
        <f>IF(Mecze[[#This Row],[Role]]&lt;&gt;"BR",SUMPRODUCT(Mecze[[#This Row],[/PR:90]:[/BR:90]],Brudnopis!$E$24:$J$24),0)</f>
        <v>0.18367346938775508</v>
      </c>
      <c r="U2652" s="44">
        <f>IF(Mecze[[#This Row],[Role]]&lt;&gt;"BR",SUMPRODUCT(Mecze[[#This Row],[/PR:90]:[/BR:90]],Brudnopis!$E$25:$J$25),0)</f>
        <v>0.18877551020408162</v>
      </c>
      <c r="V2652" s="44">
        <f>IF(Mecze[[#This Row],[Role]]&lt;&gt;"BR",SUMPRODUCT(Mecze[[#This Row],[/PR:90]:[/BR:90]],Brudnopis!$E$26:$J$26),0)</f>
        <v>0.16326530612244897</v>
      </c>
      <c r="W2652" s="44">
        <f>IF(Mecze[[#This Row],[Role]]&lt;&gt;"BR",SUMPRODUCT(Mecze[[#This Row],[/PR:90]:[/BR:90]],Brudnopis!$E$27:$J$27),0)</f>
        <v>0.1607142857142857</v>
      </c>
      <c r="X2652" s="44">
        <f>IF(Mecze[[#This Row],[Role]]&lt;&gt;"BR",SUMPRODUCT(Mecze[[#This Row],[/PR:90]:[/BR:90]],Brudnopis!$E$28:$J$28),0)</f>
        <v>5.1020408163265307E-2</v>
      </c>
      <c r="Y2652" s="35">
        <f>IF(Mecze[[#This Row],[Role]]="BR",Mecze[[#This Row],[/OB:90]]+Mecze[[#This Row],[/PC:90]],SUM(Mecze[[#This Row],[/PR:90]:[/BR:90]]))</f>
        <v>0.16326530612244897</v>
      </c>
      <c r="Z2652" s="35">
        <f>IF(Mecze[[#This Row],[KC]]=0,SUM(Mecze[[#This Row],[/BRI]:[/NPI]]),SUM(Mecze[[#This Row],[/BRI]:[/NPI]])*0.6)</f>
        <v>0.74744897959183665</v>
      </c>
      <c r="AA2652" s="10">
        <f>IFERROR(Mecze[[#This Row],[BR]]/Mecze[[#This Row],[ST]],0)</f>
        <v>0</v>
      </c>
      <c r="AB2652">
        <f>ROUND(Mecze[[#This Row],[PD]]*Mecze[[#This Row],[%PC]],0)</f>
        <v>5</v>
      </c>
      <c r="AC2652">
        <f>ROUND(Mecze[[#This Row],[OD]]*Mecze[[#This Row],[%OU]],0)</f>
        <v>4</v>
      </c>
      <c r="AD2652" s="36" t="s">
        <v>168</v>
      </c>
      <c r="AE2652" s="36">
        <v>148</v>
      </c>
      <c r="AF2652" s="71">
        <v>3.06</v>
      </c>
      <c r="AG2652" s="37">
        <v>0</v>
      </c>
      <c r="AH2652" s="37">
        <v>0</v>
      </c>
      <c r="AI2652" s="37">
        <v>98</v>
      </c>
      <c r="AJ2652" s="37">
        <v>8</v>
      </c>
      <c r="AK2652" s="37" t="str">
        <f>VLOOKUP(Mecze[[#This Row],[Match ID]],Meczusie[Mecz]:Meczusie[RodzajMeczu],2,FALSE)</f>
        <v>Liga</v>
      </c>
    </row>
    <row r="2653" spans="1:37" x14ac:dyDescent="0.25">
      <c r="A2653" s="76">
        <v>6</v>
      </c>
      <c r="B2653" s="3" t="s">
        <v>308</v>
      </c>
      <c r="C2653" s="2" t="s">
        <v>160</v>
      </c>
      <c r="D2653" s="1">
        <v>0</v>
      </c>
      <c r="E2653" s="1">
        <v>0</v>
      </c>
      <c r="F2653" s="1">
        <v>0</v>
      </c>
      <c r="G2653" s="1">
        <v>11</v>
      </c>
      <c r="H2653" s="4">
        <v>0.73</v>
      </c>
      <c r="I2653" s="1">
        <v>1</v>
      </c>
      <c r="J2653" s="4">
        <v>0</v>
      </c>
      <c r="K2653" s="1">
        <v>0</v>
      </c>
      <c r="L2653" s="1">
        <v>8</v>
      </c>
      <c r="M2653" s="32">
        <f>IF(Mecze[[#This Row],[PR]]=0,0,Mecze[[#This Row],[PR]]/Mecze[[#This Row],[CZAS]])</f>
        <v>8.1632653061224483E-2</v>
      </c>
      <c r="N2653" s="32">
        <f>IF(Mecze[[#This Row],[OU]]=0,0,Mecze[[#This Row],[OU]]/Mecze[[#This Row],[CZAS]])</f>
        <v>0</v>
      </c>
      <c r="O2653" s="32">
        <f>IF(Mecze[[#This Row],[PC]]=0,0,Mecze[[#This Row],[PC]]/Mecze[[#This Row],[CZAS]])</f>
        <v>8.1632653061224483E-2</v>
      </c>
      <c r="P2653" s="32">
        <f>IF(Mecze[[#This Row],[SC]]=0,0,Mecze[[#This Row],[SC]]/Mecze[[#This Row],[CZAS]])</f>
        <v>0</v>
      </c>
      <c r="Q2653" s="32">
        <f>IF(Mecze[[#This Row],[OB]]=0,0,Mecze[[#This Row],[OB]]/Mecze[[#This Row],[CZAS]])</f>
        <v>0</v>
      </c>
      <c r="R2653" s="32">
        <f>IF(Mecze[[#This Row],[BR]]=0,0,Mecze[[#This Row],[BR]]/Mecze[[#This Row],[CZAS]])</f>
        <v>0</v>
      </c>
      <c r="S2653" s="44">
        <f>IF(Mecze[[#This Row],[Role]]="BR",SUMPRODUCT(Mecze[[#This Row],[/PR:90]:[/BR:90]],Brudnopis!$E$23:$J$23),0)</f>
        <v>0</v>
      </c>
      <c r="T2653" s="44">
        <f>IF(Mecze[[#This Row],[Role]]&lt;&gt;"BR",SUMPRODUCT(Mecze[[#This Row],[/PR:90]:[/BR:90]],Brudnopis!$E$24:$J$24),0)</f>
        <v>0.16326530612244897</v>
      </c>
      <c r="U2653" s="44">
        <f>IF(Mecze[[#This Row],[Role]]&lt;&gt;"BR",SUMPRODUCT(Mecze[[#This Row],[/PR:90]:[/BR:90]],Brudnopis!$E$25:$J$25),0)</f>
        <v>0.20408163265306123</v>
      </c>
      <c r="V2653" s="44">
        <f>IF(Mecze[[#This Row],[Role]]&lt;&gt;"BR",SUMPRODUCT(Mecze[[#This Row],[/PR:90]:[/BR:90]],Brudnopis!$E$26:$J$26),0)</f>
        <v>0.16326530612244897</v>
      </c>
      <c r="W2653" s="44">
        <f>IF(Mecze[[#This Row],[Role]]&lt;&gt;"BR",SUMPRODUCT(Mecze[[#This Row],[/PR:90]:[/BR:90]],Brudnopis!$E$27:$J$27),0)</f>
        <v>0.18367346938775508</v>
      </c>
      <c r="X2653" s="44">
        <f>IF(Mecze[[#This Row],[Role]]&lt;&gt;"BR",SUMPRODUCT(Mecze[[#This Row],[/PR:90]:[/BR:90]],Brudnopis!$E$28:$J$28),0)</f>
        <v>8.1632653061224483E-2</v>
      </c>
      <c r="Y2653" s="35">
        <f>IF(Mecze[[#This Row],[Role]]="BR",Mecze[[#This Row],[/OB:90]]+Mecze[[#This Row],[/PC:90]],SUM(Mecze[[#This Row],[/PR:90]:[/BR:90]]))</f>
        <v>0.16326530612244897</v>
      </c>
      <c r="Z2653" s="35">
        <f>IF(Mecze[[#This Row],[KC]]=0,SUM(Mecze[[#This Row],[/BRI]:[/NPI]]),SUM(Mecze[[#This Row],[/BRI]:[/NPI]])*0.6)</f>
        <v>0.79591836734693866</v>
      </c>
      <c r="AA2653" s="10">
        <f>IFERROR(Mecze[[#This Row],[BR]]/Mecze[[#This Row],[ST]],0)</f>
        <v>0</v>
      </c>
      <c r="AB2653">
        <f>ROUND(Mecze[[#This Row],[PD]]*Mecze[[#This Row],[%PC]],0)</f>
        <v>8</v>
      </c>
      <c r="AC2653">
        <f>ROUND(Mecze[[#This Row],[OD]]*Mecze[[#This Row],[%OU]],0)</f>
        <v>0</v>
      </c>
      <c r="AD2653" s="36" t="s">
        <v>41</v>
      </c>
      <c r="AE2653" s="36">
        <v>148</v>
      </c>
      <c r="AF2653" s="71">
        <v>5.59</v>
      </c>
      <c r="AG2653" s="37">
        <v>0</v>
      </c>
      <c r="AH2653" s="37">
        <v>0</v>
      </c>
      <c r="AI2653" s="37">
        <v>98</v>
      </c>
      <c r="AJ2653" s="37">
        <v>8</v>
      </c>
      <c r="AK2653" s="37" t="str">
        <f>VLOOKUP(Mecze[[#This Row],[Match ID]],Meczusie[Mecz]:Meczusie[RodzajMeczu],2,FALSE)</f>
        <v>Liga</v>
      </c>
    </row>
    <row r="2654" spans="1:37" x14ac:dyDescent="0.25">
      <c r="A2654" s="76">
        <v>16</v>
      </c>
      <c r="B2654" s="3" t="s">
        <v>309</v>
      </c>
      <c r="C2654" s="2" t="s">
        <v>160</v>
      </c>
      <c r="D2654" s="1">
        <v>0</v>
      </c>
      <c r="E2654" s="1">
        <v>0</v>
      </c>
      <c r="F2654" s="1">
        <v>0</v>
      </c>
      <c r="G2654" s="1">
        <v>10</v>
      </c>
      <c r="H2654" s="4">
        <v>0.7</v>
      </c>
      <c r="I2654" s="1">
        <v>6</v>
      </c>
      <c r="J2654" s="4">
        <v>0.5</v>
      </c>
      <c r="K2654" s="1">
        <v>0</v>
      </c>
      <c r="L2654" s="1">
        <v>3</v>
      </c>
      <c r="M2654" s="32">
        <f>IF(Mecze[[#This Row],[PR]]=0,0,Mecze[[#This Row],[PR]]/Mecze[[#This Row],[CZAS]])</f>
        <v>3.0612244897959183E-2</v>
      </c>
      <c r="N2654" s="32">
        <f>IF(Mecze[[#This Row],[OU]]=0,0,Mecze[[#This Row],[OU]]/Mecze[[#This Row],[CZAS]])</f>
        <v>3.0612244897959183E-2</v>
      </c>
      <c r="O2654" s="32">
        <f>IF(Mecze[[#This Row],[PC]]=0,0,Mecze[[#This Row],[PC]]/Mecze[[#This Row],[CZAS]])</f>
        <v>7.1428571428571425E-2</v>
      </c>
      <c r="P2654" s="32">
        <f>IF(Mecze[[#This Row],[SC]]=0,0,Mecze[[#This Row],[SC]]/Mecze[[#This Row],[CZAS]])</f>
        <v>0</v>
      </c>
      <c r="Q2654" s="32">
        <f>IF(Mecze[[#This Row],[OB]]=0,0,Mecze[[#This Row],[OB]]/Mecze[[#This Row],[CZAS]])</f>
        <v>0</v>
      </c>
      <c r="R2654" s="32">
        <f>IF(Mecze[[#This Row],[BR]]=0,0,Mecze[[#This Row],[BR]]/Mecze[[#This Row],[CZAS]])</f>
        <v>0</v>
      </c>
      <c r="S2654" s="44">
        <f>IF(Mecze[[#This Row],[Role]]="BR",SUMPRODUCT(Mecze[[#This Row],[/PR:90]:[/BR:90]],Brudnopis!$E$23:$J$23),0)</f>
        <v>0</v>
      </c>
      <c r="T2654" s="44">
        <f>IF(Mecze[[#This Row],[Role]]&lt;&gt;"BR",SUMPRODUCT(Mecze[[#This Row],[/PR:90]:[/BR:90]],Brudnopis!$E$24:$J$24),0)</f>
        <v>0.14795918367346939</v>
      </c>
      <c r="U2654" s="44">
        <f>IF(Mecze[[#This Row],[Role]]&lt;&gt;"BR",SUMPRODUCT(Mecze[[#This Row],[/PR:90]:[/BR:90]],Brudnopis!$E$25:$J$25),0)</f>
        <v>0.1683673469387755</v>
      </c>
      <c r="V2654" s="44">
        <f>IF(Mecze[[#This Row],[Role]]&lt;&gt;"BR",SUMPRODUCT(Mecze[[#This Row],[/PR:90]:[/BR:90]],Brudnopis!$E$26:$J$26),0)</f>
        <v>0.13265306122448978</v>
      </c>
      <c r="W2654" s="44">
        <f>IF(Mecze[[#This Row],[Role]]&lt;&gt;"BR",SUMPRODUCT(Mecze[[#This Row],[/PR:90]:[/BR:90]],Brudnopis!$E$27:$J$27),0)</f>
        <v>0.15306122448979592</v>
      </c>
      <c r="X2654" s="44">
        <f>IF(Mecze[[#This Row],[Role]]&lt;&gt;"BR",SUMPRODUCT(Mecze[[#This Row],[/PR:90]:[/BR:90]],Brudnopis!$E$28:$J$28),0)</f>
        <v>7.1428571428571425E-2</v>
      </c>
      <c r="Y2654" s="35">
        <f>IF(Mecze[[#This Row],[Role]]="BR",Mecze[[#This Row],[/OB:90]]+Mecze[[#This Row],[/PC:90]],SUM(Mecze[[#This Row],[/PR:90]:[/BR:90]]))</f>
        <v>0.13265306122448978</v>
      </c>
      <c r="Z2654" s="35">
        <f>IF(Mecze[[#This Row],[KC]]=0,SUM(Mecze[[#This Row],[/BRI]:[/NPI]]),SUM(Mecze[[#This Row],[/BRI]:[/NPI]])*0.6)</f>
        <v>0.67346938775510201</v>
      </c>
      <c r="AA2654" s="10">
        <f>IFERROR(Mecze[[#This Row],[BR]]/Mecze[[#This Row],[ST]],0)</f>
        <v>0</v>
      </c>
      <c r="AB2654">
        <f>ROUND(Mecze[[#This Row],[PD]]*Mecze[[#This Row],[%PC]],0)</f>
        <v>7</v>
      </c>
      <c r="AC2654">
        <f>ROUND(Mecze[[#This Row],[OD]]*Mecze[[#This Row],[%OU]],0)</f>
        <v>3</v>
      </c>
      <c r="AD2654" s="36" t="s">
        <v>172</v>
      </c>
      <c r="AE2654" s="36">
        <v>148</v>
      </c>
      <c r="AF2654" s="71">
        <v>4.54</v>
      </c>
      <c r="AG2654" s="37">
        <v>0</v>
      </c>
      <c r="AH2654" s="37">
        <v>0</v>
      </c>
      <c r="AI2654" s="37">
        <v>98</v>
      </c>
      <c r="AJ2654" s="37">
        <v>8</v>
      </c>
      <c r="AK2654" s="37" t="str">
        <f>VLOOKUP(Mecze[[#This Row],[Match ID]],Meczusie[Mecz]:Meczusie[RodzajMeczu],2,FALSE)</f>
        <v>Liga</v>
      </c>
    </row>
    <row r="2655" spans="1:37" x14ac:dyDescent="0.25">
      <c r="A2655" s="76">
        <v>7</v>
      </c>
      <c r="B2655" s="3" t="s">
        <v>311</v>
      </c>
      <c r="C2655" s="2" t="s">
        <v>160</v>
      </c>
      <c r="D2655" s="1">
        <v>0</v>
      </c>
      <c r="E2655" s="1">
        <v>0</v>
      </c>
      <c r="F2655" s="1">
        <v>0</v>
      </c>
      <c r="G2655" s="1">
        <v>9</v>
      </c>
      <c r="H2655" s="4">
        <v>0.89</v>
      </c>
      <c r="I2655" s="1">
        <v>2</v>
      </c>
      <c r="J2655" s="4">
        <v>0.5</v>
      </c>
      <c r="K2655" s="1">
        <v>0</v>
      </c>
      <c r="L2655" s="1">
        <v>5</v>
      </c>
      <c r="M2655" s="32">
        <f>IF(Mecze[[#This Row],[PR]]=0,0,Mecze[[#This Row],[PR]]/Mecze[[#This Row],[CZAS]])</f>
        <v>5.1020408163265307E-2</v>
      </c>
      <c r="N2655" s="32">
        <f>IF(Mecze[[#This Row],[OU]]=0,0,Mecze[[#This Row],[OU]]/Mecze[[#This Row],[CZAS]])</f>
        <v>1.020408163265306E-2</v>
      </c>
      <c r="O2655" s="32">
        <f>IF(Mecze[[#This Row],[PC]]=0,0,Mecze[[#This Row],[PC]]/Mecze[[#This Row],[CZAS]])</f>
        <v>8.1632653061224483E-2</v>
      </c>
      <c r="P2655" s="32">
        <f>IF(Mecze[[#This Row],[SC]]=0,0,Mecze[[#This Row],[SC]]/Mecze[[#This Row],[CZAS]])</f>
        <v>0</v>
      </c>
      <c r="Q2655" s="32">
        <f>IF(Mecze[[#This Row],[OB]]=0,0,Mecze[[#This Row],[OB]]/Mecze[[#This Row],[CZAS]])</f>
        <v>0</v>
      </c>
      <c r="R2655" s="32">
        <f>IF(Mecze[[#This Row],[BR]]=0,0,Mecze[[#This Row],[BR]]/Mecze[[#This Row],[CZAS]])</f>
        <v>0</v>
      </c>
      <c r="S2655" s="44">
        <f>IF(Mecze[[#This Row],[Role]]="BR",SUMPRODUCT(Mecze[[#This Row],[/PR:90]:[/BR:90]],Brudnopis!$E$23:$J$23),0)</f>
        <v>0</v>
      </c>
      <c r="T2655" s="44">
        <f>IF(Mecze[[#This Row],[Role]]&lt;&gt;"BR",SUMPRODUCT(Mecze[[#This Row],[/PR:90]:[/BR:90]],Brudnopis!$E$24:$J$24),0)</f>
        <v>0.14795918367346939</v>
      </c>
      <c r="U2655" s="44">
        <f>IF(Mecze[[#This Row],[Role]]&lt;&gt;"BR",SUMPRODUCT(Mecze[[#This Row],[/PR:90]:[/BR:90]],Brudnopis!$E$25:$J$25),0)</f>
        <v>0.18367346938775508</v>
      </c>
      <c r="V2655" s="44">
        <f>IF(Mecze[[#This Row],[Role]]&lt;&gt;"BR",SUMPRODUCT(Mecze[[#This Row],[/PR:90]:[/BR:90]],Brudnopis!$E$26:$J$26),0)</f>
        <v>0.14285714285714285</v>
      </c>
      <c r="W2655" s="44">
        <f>IF(Mecze[[#This Row],[Role]]&lt;&gt;"BR",SUMPRODUCT(Mecze[[#This Row],[/PR:90]:[/BR:90]],Brudnopis!$E$27:$J$27),0)</f>
        <v>0.1683673469387755</v>
      </c>
      <c r="X2655" s="44">
        <f>IF(Mecze[[#This Row],[Role]]&lt;&gt;"BR",SUMPRODUCT(Mecze[[#This Row],[/PR:90]:[/BR:90]],Brudnopis!$E$28:$J$28),0)</f>
        <v>8.1632653061224483E-2</v>
      </c>
      <c r="Y2655" s="35">
        <f>IF(Mecze[[#This Row],[Role]]="BR",Mecze[[#This Row],[/OB:90]]+Mecze[[#This Row],[/PC:90]],SUM(Mecze[[#This Row],[/PR:90]:[/BR:90]]))</f>
        <v>0.14285714285714285</v>
      </c>
      <c r="Z2655" s="35">
        <f>IF(Mecze[[#This Row],[KC]]=0,SUM(Mecze[[#This Row],[/BRI]:[/NPI]]),SUM(Mecze[[#This Row],[/BRI]:[/NPI]])*0.6)</f>
        <v>0.72448979591836726</v>
      </c>
      <c r="AA2655" s="10">
        <f>IFERROR(Mecze[[#This Row],[BR]]/Mecze[[#This Row],[ST]],0)</f>
        <v>0</v>
      </c>
      <c r="AB2655">
        <f>ROUND(Mecze[[#This Row],[PD]]*Mecze[[#This Row],[%PC]],0)</f>
        <v>8</v>
      </c>
      <c r="AC2655">
        <f>ROUND(Mecze[[#This Row],[OD]]*Mecze[[#This Row],[%OU]],0)</f>
        <v>1</v>
      </c>
      <c r="AD2655" s="36" t="s">
        <v>173</v>
      </c>
      <c r="AE2655" s="36">
        <v>148</v>
      </c>
      <c r="AF2655" s="71">
        <v>5.87</v>
      </c>
      <c r="AG2655" s="37">
        <v>0</v>
      </c>
      <c r="AH2655" s="37">
        <v>0</v>
      </c>
      <c r="AI2655" s="37">
        <v>98</v>
      </c>
      <c r="AJ2655" s="37">
        <v>8</v>
      </c>
      <c r="AK2655" s="37" t="str">
        <f>VLOOKUP(Mecze[[#This Row],[Match ID]],Meczusie[Mecz]:Meczusie[RodzajMeczu],2,FALSE)</f>
        <v>Liga</v>
      </c>
    </row>
    <row r="2656" spans="1:37" x14ac:dyDescent="0.25">
      <c r="A2656" s="76">
        <v>14</v>
      </c>
      <c r="B2656" s="3" t="s">
        <v>312</v>
      </c>
      <c r="C2656" s="2" t="s">
        <v>160</v>
      </c>
      <c r="D2656" s="1">
        <v>0</v>
      </c>
      <c r="E2656" s="1">
        <v>4</v>
      </c>
      <c r="F2656" s="1">
        <v>3</v>
      </c>
      <c r="G2656" s="1">
        <v>15</v>
      </c>
      <c r="H2656" s="4">
        <v>0.53</v>
      </c>
      <c r="I2656" s="1">
        <v>7</v>
      </c>
      <c r="J2656" s="4">
        <v>0.43</v>
      </c>
      <c r="K2656" s="1">
        <v>0</v>
      </c>
      <c r="L2656" s="1">
        <v>3</v>
      </c>
      <c r="M2656" s="32">
        <f>IF(Mecze[[#This Row],[PR]]=0,0,Mecze[[#This Row],[PR]]/Mecze[[#This Row],[CZAS]])</f>
        <v>3.0612244897959183E-2</v>
      </c>
      <c r="N2656" s="32">
        <f>IF(Mecze[[#This Row],[OU]]=0,0,Mecze[[#This Row],[OU]]/Mecze[[#This Row],[CZAS]])</f>
        <v>3.0612244897959183E-2</v>
      </c>
      <c r="O2656" s="32">
        <f>IF(Mecze[[#This Row],[PC]]=0,0,Mecze[[#This Row],[PC]]/Mecze[[#This Row],[CZAS]])</f>
        <v>8.1632653061224483E-2</v>
      </c>
      <c r="P2656" s="32">
        <f>IF(Mecze[[#This Row],[SC]]=0,0,Mecze[[#This Row],[SC]]/Mecze[[#This Row],[CZAS]])</f>
        <v>3.0612244897959183E-2</v>
      </c>
      <c r="Q2656" s="32">
        <f>IF(Mecze[[#This Row],[OB]]=0,0,Mecze[[#This Row],[OB]]/Mecze[[#This Row],[CZAS]])</f>
        <v>0</v>
      </c>
      <c r="R2656" s="32">
        <f>IF(Mecze[[#This Row],[BR]]=0,0,Mecze[[#This Row],[BR]]/Mecze[[#This Row],[CZAS]])</f>
        <v>0</v>
      </c>
      <c r="S2656" s="44">
        <f>IF(Mecze[[#This Row],[Role]]="BR",SUMPRODUCT(Mecze[[#This Row],[/PR:90]:[/BR:90]],Brudnopis!$E$23:$J$23),0)</f>
        <v>0</v>
      </c>
      <c r="T2656" s="44">
        <f>IF(Mecze[[#This Row],[Role]]&lt;&gt;"BR",SUMPRODUCT(Mecze[[#This Row],[/PR:90]:[/BR:90]],Brudnopis!$E$24:$J$24),0)</f>
        <v>0.18877551020408165</v>
      </c>
      <c r="U2656" s="44">
        <f>IF(Mecze[[#This Row],[Role]]&lt;&gt;"BR",SUMPRODUCT(Mecze[[#This Row],[/PR:90]:[/BR:90]],Brudnopis!$E$25:$J$25),0)</f>
        <v>0.21428571428571427</v>
      </c>
      <c r="V2656" s="44">
        <f>IF(Mecze[[#This Row],[Role]]&lt;&gt;"BR",SUMPRODUCT(Mecze[[#This Row],[/PR:90]:[/BR:90]],Brudnopis!$E$26:$J$26),0)</f>
        <v>0.17346938775510204</v>
      </c>
      <c r="W2656" s="44">
        <f>IF(Mecze[[#This Row],[Role]]&lt;&gt;"BR",SUMPRODUCT(Mecze[[#This Row],[/PR:90]:[/BR:90]],Brudnopis!$E$27:$J$27),0)</f>
        <v>0.19897959183673469</v>
      </c>
      <c r="X2656" s="44">
        <f>IF(Mecze[[#This Row],[Role]]&lt;&gt;"BR",SUMPRODUCT(Mecze[[#This Row],[/PR:90]:[/BR:90]],Brudnopis!$E$28:$J$28),0)</f>
        <v>0.14285714285714285</v>
      </c>
      <c r="Y2656" s="35">
        <f>IF(Mecze[[#This Row],[Role]]="BR",Mecze[[#This Row],[/OB:90]]+Mecze[[#This Row],[/PC:90]],SUM(Mecze[[#This Row],[/PR:90]:[/BR:90]]))</f>
        <v>0.17346938775510204</v>
      </c>
      <c r="Z2656" s="35">
        <f>IF(Mecze[[#This Row],[KC]]=0,SUM(Mecze[[#This Row],[/BRI]:[/NPI]]),SUM(Mecze[[#This Row],[/BRI]:[/NPI]])*0.6)</f>
        <v>0.91836734693877542</v>
      </c>
      <c r="AA2656" s="10">
        <f>IFERROR(Mecze[[#This Row],[BR]]/Mecze[[#This Row],[ST]],0)</f>
        <v>0</v>
      </c>
      <c r="AB2656">
        <f>ROUND(Mecze[[#This Row],[PD]]*Mecze[[#This Row],[%PC]],0)</f>
        <v>8</v>
      </c>
      <c r="AC2656">
        <f>ROUND(Mecze[[#This Row],[OD]]*Mecze[[#This Row],[%OU]],0)</f>
        <v>3</v>
      </c>
      <c r="AD2656" s="36" t="s">
        <v>67</v>
      </c>
      <c r="AE2656" s="36">
        <v>148</v>
      </c>
      <c r="AF2656" s="71">
        <v>5.23</v>
      </c>
      <c r="AG2656" s="37">
        <v>0</v>
      </c>
      <c r="AH2656" s="37">
        <v>0</v>
      </c>
      <c r="AI2656" s="37">
        <v>98</v>
      </c>
      <c r="AJ2656" s="37">
        <v>8</v>
      </c>
      <c r="AK2656" s="37" t="str">
        <f>VLOOKUP(Mecze[[#This Row],[Match ID]],Meczusie[Mecz]:Meczusie[RodzajMeczu],2,FALSE)</f>
        <v>Liga</v>
      </c>
    </row>
    <row r="2657" spans="1:37" x14ac:dyDescent="0.25">
      <c r="A2657" s="76">
        <v>13</v>
      </c>
      <c r="B2657" s="3" t="s">
        <v>313</v>
      </c>
      <c r="C2657" s="2" t="s">
        <v>165</v>
      </c>
      <c r="D2657" s="1">
        <v>0</v>
      </c>
      <c r="E2657" s="1">
        <v>1</v>
      </c>
      <c r="F2657" s="1">
        <v>1</v>
      </c>
      <c r="G2657" s="1">
        <v>9</v>
      </c>
      <c r="H2657" s="4">
        <v>0.89</v>
      </c>
      <c r="I2657" s="1">
        <v>3</v>
      </c>
      <c r="J2657" s="4">
        <v>0.33</v>
      </c>
      <c r="K2657" s="1">
        <v>0</v>
      </c>
      <c r="L2657" s="1">
        <v>2</v>
      </c>
      <c r="M2657" s="32">
        <f>IF(Mecze[[#This Row],[PR]]=0,0,Mecze[[#This Row],[PR]]/Mecze[[#This Row],[CZAS]])</f>
        <v>2.0408163265306121E-2</v>
      </c>
      <c r="N2657" s="32">
        <f>IF(Mecze[[#This Row],[OU]]=0,0,Mecze[[#This Row],[OU]]/Mecze[[#This Row],[CZAS]])</f>
        <v>1.020408163265306E-2</v>
      </c>
      <c r="O2657" s="32">
        <f>IF(Mecze[[#This Row],[PC]]=0,0,Mecze[[#This Row],[PC]]/Mecze[[#This Row],[CZAS]])</f>
        <v>8.1632653061224483E-2</v>
      </c>
      <c r="P2657" s="32">
        <f>IF(Mecze[[#This Row],[SC]]=0,0,Mecze[[#This Row],[SC]]/Mecze[[#This Row],[CZAS]])</f>
        <v>1.020408163265306E-2</v>
      </c>
      <c r="Q2657" s="32">
        <f>IF(Mecze[[#This Row],[OB]]=0,0,Mecze[[#This Row],[OB]]/Mecze[[#This Row],[CZAS]])</f>
        <v>0</v>
      </c>
      <c r="R2657" s="32">
        <f>IF(Mecze[[#This Row],[BR]]=0,0,Mecze[[#This Row],[BR]]/Mecze[[#This Row],[CZAS]])</f>
        <v>0</v>
      </c>
      <c r="S2657" s="44">
        <f>IF(Mecze[[#This Row],[Role]]="BR",SUMPRODUCT(Mecze[[#This Row],[/PR:90]:[/BR:90]],Brudnopis!$E$23:$J$23),0)</f>
        <v>0</v>
      </c>
      <c r="T2657" s="44">
        <f>IF(Mecze[[#This Row],[Role]]&lt;&gt;"BR",SUMPRODUCT(Mecze[[#This Row],[/PR:90]:[/BR:90]],Brudnopis!$E$24:$J$24),0)</f>
        <v>0.12755102040816327</v>
      </c>
      <c r="U2657" s="44">
        <f>IF(Mecze[[#This Row],[Role]]&lt;&gt;"BR",SUMPRODUCT(Mecze[[#This Row],[/PR:90]:[/BR:90]],Brudnopis!$E$25:$J$25),0)</f>
        <v>0.16326530612244899</v>
      </c>
      <c r="V2657" s="44">
        <f>IF(Mecze[[#This Row],[Role]]&lt;&gt;"BR",SUMPRODUCT(Mecze[[#This Row],[/PR:90]:[/BR:90]],Brudnopis!$E$26:$J$26),0)</f>
        <v>0.12244897959183672</v>
      </c>
      <c r="W2657" s="44">
        <f>IF(Mecze[[#This Row],[Role]]&lt;&gt;"BR",SUMPRODUCT(Mecze[[#This Row],[/PR:90]:[/BR:90]],Brudnopis!$E$27:$J$27),0)</f>
        <v>0.15561224489795919</v>
      </c>
      <c r="X2657" s="44">
        <f>IF(Mecze[[#This Row],[Role]]&lt;&gt;"BR",SUMPRODUCT(Mecze[[#This Row],[/PR:90]:[/BR:90]],Brudnopis!$E$28:$J$28),0)</f>
        <v>0.1020408163265306</v>
      </c>
      <c r="Y2657" s="35">
        <f>IF(Mecze[[#This Row],[Role]]="BR",Mecze[[#This Row],[/OB:90]]+Mecze[[#This Row],[/PC:90]],SUM(Mecze[[#This Row],[/PR:90]:[/BR:90]]))</f>
        <v>0.12244897959183672</v>
      </c>
      <c r="Z2657" s="35">
        <f>IF(Mecze[[#This Row],[KC]]=0,SUM(Mecze[[#This Row],[/BRI]:[/NPI]]),SUM(Mecze[[#This Row],[/BRI]:[/NPI]])*0.6)</f>
        <v>0.67091836734693877</v>
      </c>
      <c r="AA2657" s="10">
        <f>IFERROR(Mecze[[#This Row],[BR]]/Mecze[[#This Row],[ST]],0)</f>
        <v>0</v>
      </c>
      <c r="AB2657">
        <f>ROUND(Mecze[[#This Row],[PD]]*Mecze[[#This Row],[%PC]],0)</f>
        <v>8</v>
      </c>
      <c r="AC2657">
        <f>ROUND(Mecze[[#This Row],[OD]]*Mecze[[#This Row],[%OU]],0)</f>
        <v>1</v>
      </c>
      <c r="AD2657" s="36" t="s">
        <v>272</v>
      </c>
      <c r="AE2657" s="36">
        <v>148</v>
      </c>
      <c r="AF2657" s="71">
        <v>5.18</v>
      </c>
      <c r="AG2657" s="37">
        <v>0</v>
      </c>
      <c r="AH2657" s="37">
        <v>0</v>
      </c>
      <c r="AI2657" s="37">
        <v>98</v>
      </c>
      <c r="AJ2657" s="37">
        <v>8</v>
      </c>
      <c r="AK2657" s="37" t="str">
        <f>VLOOKUP(Mecze[[#This Row],[Match ID]],Meczusie[Mecz]:Meczusie[RodzajMeczu],2,FALSE)</f>
        <v>Liga</v>
      </c>
    </row>
    <row r="2658" spans="1:37" x14ac:dyDescent="0.25">
      <c r="A2658" s="76">
        <v>74</v>
      </c>
      <c r="B2658" s="3" t="s">
        <v>442</v>
      </c>
      <c r="C2658" s="2" t="s">
        <v>165</v>
      </c>
      <c r="D2658" s="1">
        <v>0</v>
      </c>
      <c r="E2658" s="1">
        <v>1</v>
      </c>
      <c r="F2658" s="1">
        <v>1</v>
      </c>
      <c r="G2658" s="1">
        <v>5</v>
      </c>
      <c r="H2658" s="4">
        <v>0.4</v>
      </c>
      <c r="I2658" s="1">
        <v>1</v>
      </c>
      <c r="J2658" s="4">
        <v>1</v>
      </c>
      <c r="K2658" s="1">
        <v>0</v>
      </c>
      <c r="L2658" s="1">
        <v>0</v>
      </c>
      <c r="M2658" s="32">
        <f>IF(Mecze[[#This Row],[PR]]=0,0,Mecze[[#This Row],[PR]]/Mecze[[#This Row],[CZAS]])</f>
        <v>0</v>
      </c>
      <c r="N2658" s="32">
        <f>IF(Mecze[[#This Row],[OU]]=0,0,Mecze[[#This Row],[OU]]/Mecze[[#This Row],[CZAS]])</f>
        <v>1.020408163265306E-2</v>
      </c>
      <c r="O2658" s="32">
        <f>IF(Mecze[[#This Row],[PC]]=0,0,Mecze[[#This Row],[PC]]/Mecze[[#This Row],[CZAS]])</f>
        <v>2.0408163265306121E-2</v>
      </c>
      <c r="P2658" s="32">
        <f>IF(Mecze[[#This Row],[SC]]=0,0,Mecze[[#This Row],[SC]]/Mecze[[#This Row],[CZAS]])</f>
        <v>1.020408163265306E-2</v>
      </c>
      <c r="Q2658" s="32">
        <f>IF(Mecze[[#This Row],[OB]]=0,0,Mecze[[#This Row],[OB]]/Mecze[[#This Row],[CZAS]])</f>
        <v>0</v>
      </c>
      <c r="R2658" s="32">
        <f>IF(Mecze[[#This Row],[BR]]=0,0,Mecze[[#This Row],[BR]]/Mecze[[#This Row],[CZAS]])</f>
        <v>0</v>
      </c>
      <c r="S2658" s="44">
        <f>IF(Mecze[[#This Row],[Role]]="BR",SUMPRODUCT(Mecze[[#This Row],[/PR:90]:[/BR:90]],Brudnopis!$E$23:$J$23),0)</f>
        <v>0</v>
      </c>
      <c r="T2658" s="44">
        <f>IF(Mecze[[#This Row],[Role]]&lt;&gt;"BR",SUMPRODUCT(Mecze[[#This Row],[/PR:90]:[/BR:90]],Brudnopis!$E$24:$J$24),0)</f>
        <v>4.5918367346938771E-2</v>
      </c>
      <c r="U2658" s="44">
        <f>IF(Mecze[[#This Row],[Role]]&lt;&gt;"BR",SUMPRODUCT(Mecze[[#This Row],[/PR:90]:[/BR:90]],Brudnopis!$E$25:$J$25),0)</f>
        <v>5.10204081632653E-2</v>
      </c>
      <c r="V2658" s="44">
        <f>IF(Mecze[[#This Row],[Role]]&lt;&gt;"BR",SUMPRODUCT(Mecze[[#This Row],[/PR:90]:[/BR:90]],Brudnopis!$E$26:$J$26),0)</f>
        <v>4.0816326530612242E-2</v>
      </c>
      <c r="W2658" s="44">
        <f>IF(Mecze[[#This Row],[Role]]&lt;&gt;"BR",SUMPRODUCT(Mecze[[#This Row],[/PR:90]:[/BR:90]],Brudnopis!$E$27:$J$27),0)</f>
        <v>4.8469387755102039E-2</v>
      </c>
      <c r="X2658" s="44">
        <f>IF(Mecze[[#This Row],[Role]]&lt;&gt;"BR",SUMPRODUCT(Mecze[[#This Row],[/PR:90]:[/BR:90]],Brudnopis!$E$28:$J$28),0)</f>
        <v>4.0816326530612242E-2</v>
      </c>
      <c r="Y2658" s="35">
        <f>IF(Mecze[[#This Row],[Role]]="BR",Mecze[[#This Row],[/OB:90]]+Mecze[[#This Row],[/PC:90]],SUM(Mecze[[#This Row],[/PR:90]:[/BR:90]]))</f>
        <v>4.0816326530612242E-2</v>
      </c>
      <c r="Z2658" s="35">
        <f>IF(Mecze[[#This Row],[KC]]=0,SUM(Mecze[[#This Row],[/BRI]:[/NPI]]),SUM(Mecze[[#This Row],[/BRI]:[/NPI]])*0.6)</f>
        <v>0.22704081632653059</v>
      </c>
      <c r="AA2658" s="10">
        <f>IFERROR(Mecze[[#This Row],[BR]]/Mecze[[#This Row],[ST]],0)</f>
        <v>0</v>
      </c>
      <c r="AB2658">
        <f>ROUND(Mecze[[#This Row],[PD]]*Mecze[[#This Row],[%PC]],0)</f>
        <v>2</v>
      </c>
      <c r="AC2658">
        <f>ROUND(Mecze[[#This Row],[OD]]*Mecze[[#This Row],[%OU]],0)</f>
        <v>1</v>
      </c>
      <c r="AD2658" s="36" t="s">
        <v>273</v>
      </c>
      <c r="AE2658" s="36">
        <v>148</v>
      </c>
      <c r="AF2658" s="71">
        <v>2.93</v>
      </c>
      <c r="AG2658" s="37">
        <v>0</v>
      </c>
      <c r="AH2658" s="37">
        <v>0</v>
      </c>
      <c r="AI2658" s="37">
        <v>98</v>
      </c>
      <c r="AJ2658" s="37">
        <v>8</v>
      </c>
      <c r="AK2658" s="37" t="str">
        <f>VLOOKUP(Mecze[[#This Row],[Match ID]],Meczusie[Mecz]:Meczusie[RodzajMeczu],2,FALSE)</f>
        <v>Liga</v>
      </c>
    </row>
    <row r="2659" spans="1:37" x14ac:dyDescent="0.25">
      <c r="A2659" s="76">
        <v>8</v>
      </c>
      <c r="B2659" s="3" t="s">
        <v>314</v>
      </c>
      <c r="C2659" s="2" t="s">
        <v>165</v>
      </c>
      <c r="D2659" s="1">
        <v>0</v>
      </c>
      <c r="E2659" s="1">
        <v>10</v>
      </c>
      <c r="F2659" s="1">
        <v>9</v>
      </c>
      <c r="G2659" s="1">
        <v>9</v>
      </c>
      <c r="H2659" s="4">
        <v>0.56000000000000005</v>
      </c>
      <c r="I2659" s="1">
        <v>4</v>
      </c>
      <c r="J2659" s="4">
        <v>0.5</v>
      </c>
      <c r="K2659" s="1">
        <v>0</v>
      </c>
      <c r="L2659" s="1">
        <v>2</v>
      </c>
      <c r="M2659" s="32">
        <f>IF(Mecze[[#This Row],[PR]]=0,0,Mecze[[#This Row],[PR]]/Mecze[[#This Row],[CZAS]])</f>
        <v>2.0408163265306121E-2</v>
      </c>
      <c r="N2659" s="32">
        <f>IF(Mecze[[#This Row],[OU]]=0,0,Mecze[[#This Row],[OU]]/Mecze[[#This Row],[CZAS]])</f>
        <v>2.0408163265306121E-2</v>
      </c>
      <c r="O2659" s="32">
        <f>IF(Mecze[[#This Row],[PC]]=0,0,Mecze[[#This Row],[PC]]/Mecze[[#This Row],[CZAS]])</f>
        <v>5.1020408163265307E-2</v>
      </c>
      <c r="P2659" s="32">
        <f>IF(Mecze[[#This Row],[SC]]=0,0,Mecze[[#This Row],[SC]]/Mecze[[#This Row],[CZAS]])</f>
        <v>9.1836734693877556E-2</v>
      </c>
      <c r="Q2659" s="32">
        <f>IF(Mecze[[#This Row],[OB]]=0,0,Mecze[[#This Row],[OB]]/Mecze[[#This Row],[CZAS]])</f>
        <v>0</v>
      </c>
      <c r="R2659" s="32">
        <f>IF(Mecze[[#This Row],[BR]]=0,0,Mecze[[#This Row],[BR]]/Mecze[[#This Row],[CZAS]])</f>
        <v>0</v>
      </c>
      <c r="S2659" s="44">
        <f>IF(Mecze[[#This Row],[Role]]="BR",SUMPRODUCT(Mecze[[#This Row],[/PR:90]:[/BR:90]],Brudnopis!$E$23:$J$23),0)</f>
        <v>0</v>
      </c>
      <c r="T2659" s="44">
        <f>IF(Mecze[[#This Row],[Role]]&lt;&gt;"BR",SUMPRODUCT(Mecze[[#This Row],[/PR:90]:[/BR:90]],Brudnopis!$E$24:$J$24),0)</f>
        <v>0.19387755102040816</v>
      </c>
      <c r="U2659" s="44">
        <f>IF(Mecze[[#This Row],[Role]]&lt;&gt;"BR",SUMPRODUCT(Mecze[[#This Row],[/PR:90]:[/BR:90]],Brudnopis!$E$25:$J$25),0)</f>
        <v>0.20918367346938777</v>
      </c>
      <c r="V2659" s="44">
        <f>IF(Mecze[[#This Row],[Role]]&lt;&gt;"BR",SUMPRODUCT(Mecze[[#This Row],[/PR:90]:[/BR:90]],Brudnopis!$E$26:$J$26),0)</f>
        <v>0.18367346938775508</v>
      </c>
      <c r="W2659" s="44">
        <f>IF(Mecze[[#This Row],[Role]]&lt;&gt;"BR",SUMPRODUCT(Mecze[[#This Row],[/PR:90]:[/BR:90]],Brudnopis!$E$27:$J$27),0)</f>
        <v>0.19897959183673469</v>
      </c>
      <c r="X2659" s="44">
        <f>IF(Mecze[[#This Row],[Role]]&lt;&gt;"BR",SUMPRODUCT(Mecze[[#This Row],[/PR:90]:[/BR:90]],Brudnopis!$E$28:$J$28),0)</f>
        <v>0.23469387755102042</v>
      </c>
      <c r="Y2659" s="35">
        <f>IF(Mecze[[#This Row],[Role]]="BR",Mecze[[#This Row],[/OB:90]]+Mecze[[#This Row],[/PC:90]],SUM(Mecze[[#This Row],[/PR:90]:[/BR:90]]))</f>
        <v>0.18367346938775508</v>
      </c>
      <c r="Z2659" s="35">
        <f>IF(Mecze[[#This Row],[KC]]=0,SUM(Mecze[[#This Row],[/BRI]:[/NPI]]),SUM(Mecze[[#This Row],[/BRI]:[/NPI]])*0.6)</f>
        <v>1.0204081632653061</v>
      </c>
      <c r="AA2659" s="10">
        <f>IFERROR(Mecze[[#This Row],[BR]]/Mecze[[#This Row],[ST]],0)</f>
        <v>0</v>
      </c>
      <c r="AB2659">
        <f>ROUND(Mecze[[#This Row],[PD]]*Mecze[[#This Row],[%PC]],0)</f>
        <v>5</v>
      </c>
      <c r="AC2659">
        <f>ROUND(Mecze[[#This Row],[OD]]*Mecze[[#This Row],[%OU]],0)</f>
        <v>2</v>
      </c>
      <c r="AD2659" s="36" t="s">
        <v>46</v>
      </c>
      <c r="AE2659" s="36">
        <v>148</v>
      </c>
      <c r="AF2659" s="71">
        <v>6.02</v>
      </c>
      <c r="AG2659" s="37">
        <v>0</v>
      </c>
      <c r="AH2659" s="37">
        <v>0</v>
      </c>
      <c r="AI2659" s="37">
        <v>98</v>
      </c>
      <c r="AJ2659" s="37">
        <v>8</v>
      </c>
      <c r="AK2659" s="37" t="str">
        <f>VLOOKUP(Mecze[[#This Row],[Match ID]],Meczusie[Mecz]:Meczusie[RodzajMeczu],2,FALSE)</f>
        <v>Liga</v>
      </c>
    </row>
    <row r="2660" spans="1:37" x14ac:dyDescent="0.25">
      <c r="A2660" s="76">
        <v>15</v>
      </c>
      <c r="B2660" s="3" t="s">
        <v>310</v>
      </c>
      <c r="C2660" s="2" t="s">
        <v>160</v>
      </c>
      <c r="D2660" s="1">
        <v>0</v>
      </c>
      <c r="E2660" s="1">
        <v>0</v>
      </c>
      <c r="F2660" s="1">
        <v>0</v>
      </c>
      <c r="G2660" s="1">
        <v>1</v>
      </c>
      <c r="H2660" s="4">
        <v>0</v>
      </c>
      <c r="I2660" s="1">
        <v>0</v>
      </c>
      <c r="J2660" s="4"/>
      <c r="K2660" s="1">
        <v>0</v>
      </c>
      <c r="L2660" s="1">
        <v>1</v>
      </c>
      <c r="M2660" s="32">
        <f>IF(Mecze[[#This Row],[PR]]=0,0,Mecze[[#This Row],[PR]]/Mecze[[#This Row],[CZAS]])</f>
        <v>1.020408163265306E-2</v>
      </c>
      <c r="N2660" s="32">
        <f>IF(Mecze[[#This Row],[OU]]=0,0,Mecze[[#This Row],[OU]]/Mecze[[#This Row],[CZAS]])</f>
        <v>0</v>
      </c>
      <c r="O2660" s="32">
        <f>IF(Mecze[[#This Row],[PC]]=0,0,Mecze[[#This Row],[PC]]/Mecze[[#This Row],[CZAS]])</f>
        <v>0</v>
      </c>
      <c r="P2660" s="32">
        <f>IF(Mecze[[#This Row],[SC]]=0,0,Mecze[[#This Row],[SC]]/Mecze[[#This Row],[CZAS]])</f>
        <v>0</v>
      </c>
      <c r="Q2660" s="32">
        <f>IF(Mecze[[#This Row],[OB]]=0,0,Mecze[[#This Row],[OB]]/Mecze[[#This Row],[CZAS]])</f>
        <v>0</v>
      </c>
      <c r="R2660" s="32">
        <f>IF(Mecze[[#This Row],[BR]]=0,0,Mecze[[#This Row],[BR]]/Mecze[[#This Row],[CZAS]])</f>
        <v>0</v>
      </c>
      <c r="S2660" s="44">
        <f>IF(Mecze[[#This Row],[Role]]="BR",SUMPRODUCT(Mecze[[#This Row],[/PR:90]:[/BR:90]],Brudnopis!$E$23:$J$23),0)</f>
        <v>0</v>
      </c>
      <c r="T2660" s="44">
        <f>IF(Mecze[[#This Row],[Role]]&lt;&gt;"BR",SUMPRODUCT(Mecze[[#This Row],[/PR:90]:[/BR:90]],Brudnopis!$E$24:$J$24),0)</f>
        <v>1.020408163265306E-2</v>
      </c>
      <c r="U2660" s="44">
        <f>IF(Mecze[[#This Row],[Role]]&lt;&gt;"BR",SUMPRODUCT(Mecze[[#This Row],[/PR:90]:[/BR:90]],Brudnopis!$E$25:$J$25),0)</f>
        <v>1.020408163265306E-2</v>
      </c>
      <c r="V2660" s="44">
        <f>IF(Mecze[[#This Row],[Role]]&lt;&gt;"BR",SUMPRODUCT(Mecze[[#This Row],[/PR:90]:[/BR:90]],Brudnopis!$E$26:$J$26),0)</f>
        <v>1.020408163265306E-2</v>
      </c>
      <c r="W2660" s="44">
        <f>IF(Mecze[[#This Row],[Role]]&lt;&gt;"BR",SUMPRODUCT(Mecze[[#This Row],[/PR:90]:[/BR:90]],Brudnopis!$E$27:$J$27),0)</f>
        <v>7.6530612244897957E-3</v>
      </c>
      <c r="X2660" s="44">
        <f>IF(Mecze[[#This Row],[Role]]&lt;&gt;"BR",SUMPRODUCT(Mecze[[#This Row],[/PR:90]:[/BR:90]],Brudnopis!$E$28:$J$28),0)</f>
        <v>0</v>
      </c>
      <c r="Y2660" s="35">
        <f>IF(Mecze[[#This Row],[Role]]="BR",Mecze[[#This Row],[/OB:90]]+Mecze[[#This Row],[/PC:90]],SUM(Mecze[[#This Row],[/PR:90]:[/BR:90]]))</f>
        <v>1.020408163265306E-2</v>
      </c>
      <c r="Z2660" s="35">
        <f>IF(Mecze[[#This Row],[KC]]=0,SUM(Mecze[[#This Row],[/BRI]:[/NPI]]),SUM(Mecze[[#This Row],[/BRI]:[/NPI]])*0.6)</f>
        <v>3.826530612244898E-2</v>
      </c>
      <c r="AA2660" s="10">
        <f>IFERROR(Mecze[[#This Row],[BR]]/Mecze[[#This Row],[ST]],0)</f>
        <v>0</v>
      </c>
      <c r="AB2660">
        <f>ROUND(Mecze[[#This Row],[PD]]*Mecze[[#This Row],[%PC]],0)</f>
        <v>0</v>
      </c>
      <c r="AC2660">
        <f>ROUND(Mecze[[#This Row],[OD]]*Mecze[[#This Row],[%OU]],0)</f>
        <v>0</v>
      </c>
      <c r="AD2660" s="36" t="s">
        <v>67</v>
      </c>
      <c r="AE2660" s="36">
        <v>148</v>
      </c>
      <c r="AF2660" s="71">
        <v>0.71</v>
      </c>
      <c r="AG2660" s="37">
        <v>0</v>
      </c>
      <c r="AH2660" s="37">
        <v>0</v>
      </c>
      <c r="AI2660" s="37">
        <v>98</v>
      </c>
      <c r="AJ2660" s="37">
        <v>8</v>
      </c>
      <c r="AK2660" s="37" t="str">
        <f>VLOOKUP(Mecze[[#This Row],[Match ID]],Meczusie[Mecz]:Meczusie[RodzajMeczu],2,FALSE)</f>
        <v>Liga</v>
      </c>
    </row>
    <row r="2661" spans="1:37" x14ac:dyDescent="0.25">
      <c r="A2661" s="76">
        <v>71</v>
      </c>
      <c r="B2661" s="3" t="s">
        <v>429</v>
      </c>
      <c r="C2661" s="2" t="s">
        <v>160</v>
      </c>
      <c r="D2661" s="1">
        <v>0</v>
      </c>
      <c r="E2661" s="1">
        <v>0</v>
      </c>
      <c r="F2661" s="1">
        <v>0</v>
      </c>
      <c r="G2661" s="1">
        <v>4</v>
      </c>
      <c r="H2661" s="4">
        <v>0.75</v>
      </c>
      <c r="I2661" s="1">
        <v>1</v>
      </c>
      <c r="J2661" s="4">
        <v>1</v>
      </c>
      <c r="K2661" s="1">
        <v>0</v>
      </c>
      <c r="L2661" s="1">
        <v>1</v>
      </c>
      <c r="M2661" s="32">
        <f>IF(Mecze[[#This Row],[PR]]=0,0,Mecze[[#This Row],[PR]]/Mecze[[#This Row],[CZAS]])</f>
        <v>1.020408163265306E-2</v>
      </c>
      <c r="N2661" s="32">
        <f>IF(Mecze[[#This Row],[OU]]=0,0,Mecze[[#This Row],[OU]]/Mecze[[#This Row],[CZAS]])</f>
        <v>1.020408163265306E-2</v>
      </c>
      <c r="O2661" s="32">
        <f>IF(Mecze[[#This Row],[PC]]=0,0,Mecze[[#This Row],[PC]]/Mecze[[#This Row],[CZAS]])</f>
        <v>3.0612244897959183E-2</v>
      </c>
      <c r="P2661" s="32">
        <f>IF(Mecze[[#This Row],[SC]]=0,0,Mecze[[#This Row],[SC]]/Mecze[[#This Row],[CZAS]])</f>
        <v>0</v>
      </c>
      <c r="Q2661" s="32">
        <f>IF(Mecze[[#This Row],[OB]]=0,0,Mecze[[#This Row],[OB]]/Mecze[[#This Row],[CZAS]])</f>
        <v>0</v>
      </c>
      <c r="R2661" s="32">
        <f>IF(Mecze[[#This Row],[BR]]=0,0,Mecze[[#This Row],[BR]]/Mecze[[#This Row],[CZAS]])</f>
        <v>0</v>
      </c>
      <c r="S2661" s="44">
        <f>IF(Mecze[[#This Row],[Role]]="BR",SUMPRODUCT(Mecze[[#This Row],[/PR:90]:[/BR:90]],Brudnopis!$E$23:$J$23),0)</f>
        <v>0</v>
      </c>
      <c r="T2661" s="44">
        <f>IF(Mecze[[#This Row],[Role]]&lt;&gt;"BR",SUMPRODUCT(Mecze[[#This Row],[/PR:90]:[/BR:90]],Brudnopis!$E$24:$J$24),0)</f>
        <v>5.6122448979591837E-2</v>
      </c>
      <c r="U2661" s="44">
        <f>IF(Mecze[[#This Row],[Role]]&lt;&gt;"BR",SUMPRODUCT(Mecze[[#This Row],[/PR:90]:[/BR:90]],Brudnopis!$E$25:$J$25),0)</f>
        <v>6.6326530612244888E-2</v>
      </c>
      <c r="V2661" s="44">
        <f>IF(Mecze[[#This Row],[Role]]&lt;&gt;"BR",SUMPRODUCT(Mecze[[#This Row],[/PR:90]:[/BR:90]],Brudnopis!$E$26:$J$26),0)</f>
        <v>5.1020408163265307E-2</v>
      </c>
      <c r="W2661" s="44">
        <f>IF(Mecze[[#This Row],[Role]]&lt;&gt;"BR",SUMPRODUCT(Mecze[[#This Row],[/PR:90]:[/BR:90]],Brudnopis!$E$27:$J$27),0)</f>
        <v>6.1224489795918366E-2</v>
      </c>
      <c r="X2661" s="44">
        <f>IF(Mecze[[#This Row],[Role]]&lt;&gt;"BR",SUMPRODUCT(Mecze[[#This Row],[/PR:90]:[/BR:90]],Brudnopis!$E$28:$J$28),0)</f>
        <v>3.0612244897959183E-2</v>
      </c>
      <c r="Y2661" s="35">
        <f>IF(Mecze[[#This Row],[Role]]="BR",Mecze[[#This Row],[/OB:90]]+Mecze[[#This Row],[/PC:90]],SUM(Mecze[[#This Row],[/PR:90]:[/BR:90]]))</f>
        <v>5.1020408163265307E-2</v>
      </c>
      <c r="Z2661" s="35">
        <f>IF(Mecze[[#This Row],[KC]]=0,SUM(Mecze[[#This Row],[/BRI]:[/NPI]]),SUM(Mecze[[#This Row],[/BRI]:[/NPI]])*0.6)</f>
        <v>0.26530612244897955</v>
      </c>
      <c r="AA2661" s="10">
        <f>IFERROR(Mecze[[#This Row],[BR]]/Mecze[[#This Row],[ST]],0)</f>
        <v>0</v>
      </c>
      <c r="AB2661">
        <f>ROUND(Mecze[[#This Row],[PD]]*Mecze[[#This Row],[%PC]],0)</f>
        <v>3</v>
      </c>
      <c r="AC2661">
        <f>ROUND(Mecze[[#This Row],[OD]]*Mecze[[#This Row],[%OU]],0)</f>
        <v>1</v>
      </c>
      <c r="AD2661" s="36" t="s">
        <v>41</v>
      </c>
      <c r="AE2661" s="36">
        <v>148</v>
      </c>
      <c r="AF2661" s="71">
        <v>0.71</v>
      </c>
      <c r="AG2661" s="37">
        <v>0</v>
      </c>
      <c r="AH2661" s="37">
        <v>0</v>
      </c>
      <c r="AI2661" s="37">
        <v>98</v>
      </c>
      <c r="AJ2661" s="37">
        <v>8</v>
      </c>
      <c r="AK2661" s="37" t="str">
        <f>VLOOKUP(Mecze[[#This Row],[Match ID]],Meczusie[Mecz]:Meczusie[RodzajMeczu],2,FALSE)</f>
        <v>Liga</v>
      </c>
    </row>
    <row r="2662" spans="1:37" x14ac:dyDescent="0.25">
      <c r="A2662" s="76">
        <v>68</v>
      </c>
      <c r="B2662" s="3" t="s">
        <v>416</v>
      </c>
      <c r="C2662" s="2" t="s">
        <v>165</v>
      </c>
      <c r="D2662" s="1">
        <v>0</v>
      </c>
      <c r="E2662" s="1">
        <v>2</v>
      </c>
      <c r="F2662" s="1">
        <v>2</v>
      </c>
      <c r="G2662" s="1">
        <v>1</v>
      </c>
      <c r="H2662" s="4">
        <v>1</v>
      </c>
      <c r="I2662" s="1">
        <v>0</v>
      </c>
      <c r="J2662" s="4"/>
      <c r="K2662" s="1">
        <v>0</v>
      </c>
      <c r="L2662" s="1">
        <v>0</v>
      </c>
      <c r="M2662" s="32">
        <f>IF(Mecze[[#This Row],[PR]]=0,0,Mecze[[#This Row],[PR]]/Mecze[[#This Row],[CZAS]])</f>
        <v>0</v>
      </c>
      <c r="N2662" s="32">
        <f>IF(Mecze[[#This Row],[OU]]=0,0,Mecze[[#This Row],[OU]]/Mecze[[#This Row],[CZAS]])</f>
        <v>0</v>
      </c>
      <c r="O2662" s="32">
        <f>IF(Mecze[[#This Row],[PC]]=0,0,Mecze[[#This Row],[PC]]/Mecze[[#This Row],[CZAS]])</f>
        <v>1.020408163265306E-2</v>
      </c>
      <c r="P2662" s="32">
        <f>IF(Mecze[[#This Row],[SC]]=0,0,Mecze[[#This Row],[SC]]/Mecze[[#This Row],[CZAS]])</f>
        <v>2.0408163265306121E-2</v>
      </c>
      <c r="Q2662" s="32">
        <f>IF(Mecze[[#This Row],[OB]]=0,0,Mecze[[#This Row],[OB]]/Mecze[[#This Row],[CZAS]])</f>
        <v>0</v>
      </c>
      <c r="R2662" s="32">
        <f>IF(Mecze[[#This Row],[BR]]=0,0,Mecze[[#This Row],[BR]]/Mecze[[#This Row],[CZAS]])</f>
        <v>0</v>
      </c>
      <c r="S2662" s="44">
        <f>IF(Mecze[[#This Row],[Role]]="BR",SUMPRODUCT(Mecze[[#This Row],[/PR:90]:[/BR:90]],Brudnopis!$E$23:$J$23),0)</f>
        <v>0</v>
      </c>
      <c r="T2662" s="44">
        <f>IF(Mecze[[#This Row],[Role]]&lt;&gt;"BR",SUMPRODUCT(Mecze[[#This Row],[/PR:90]:[/BR:90]],Brudnopis!$E$24:$J$24),0)</f>
        <v>3.0612244897959183E-2</v>
      </c>
      <c r="U2662" s="44">
        <f>IF(Mecze[[#This Row],[Role]]&lt;&gt;"BR",SUMPRODUCT(Mecze[[#This Row],[/PR:90]:[/BR:90]],Brudnopis!$E$25:$J$25),0)</f>
        <v>3.5714285714285712E-2</v>
      </c>
      <c r="V2662" s="44">
        <f>IF(Mecze[[#This Row],[Role]]&lt;&gt;"BR",SUMPRODUCT(Mecze[[#This Row],[/PR:90]:[/BR:90]],Brudnopis!$E$26:$J$26),0)</f>
        <v>3.0612244897959183E-2</v>
      </c>
      <c r="W2662" s="44">
        <f>IF(Mecze[[#This Row],[Role]]&lt;&gt;"BR",SUMPRODUCT(Mecze[[#This Row],[/PR:90]:[/BR:90]],Brudnopis!$E$27:$J$27),0)</f>
        <v>3.5714285714285712E-2</v>
      </c>
      <c r="X2662" s="44">
        <f>IF(Mecze[[#This Row],[Role]]&lt;&gt;"BR",SUMPRODUCT(Mecze[[#This Row],[/PR:90]:[/BR:90]],Brudnopis!$E$28:$J$28),0)</f>
        <v>5.10204081632653E-2</v>
      </c>
      <c r="Y2662" s="35">
        <f>IF(Mecze[[#This Row],[Role]]="BR",Mecze[[#This Row],[/OB:90]]+Mecze[[#This Row],[/PC:90]],SUM(Mecze[[#This Row],[/PR:90]:[/BR:90]]))</f>
        <v>3.0612244897959183E-2</v>
      </c>
      <c r="Z2662" s="35">
        <f>IF(Mecze[[#This Row],[KC]]=0,SUM(Mecze[[#This Row],[/BRI]:[/NPI]]),SUM(Mecze[[#This Row],[/BRI]:[/NPI]])*0.6)</f>
        <v>0.18367346938775508</v>
      </c>
      <c r="AA2662" s="10">
        <f>IFERROR(Mecze[[#This Row],[BR]]/Mecze[[#This Row],[ST]],0)</f>
        <v>0</v>
      </c>
      <c r="AB2662">
        <f>ROUND(Mecze[[#This Row],[PD]]*Mecze[[#This Row],[%PC]],0)</f>
        <v>1</v>
      </c>
      <c r="AC2662">
        <f>ROUND(Mecze[[#This Row],[OD]]*Mecze[[#This Row],[%OU]],0)</f>
        <v>0</v>
      </c>
      <c r="AD2662" s="36" t="s">
        <v>272</v>
      </c>
      <c r="AE2662" s="36">
        <v>148</v>
      </c>
      <c r="AF2662" s="71">
        <v>0.94</v>
      </c>
      <c r="AG2662" s="37">
        <v>0</v>
      </c>
      <c r="AH2662" s="37">
        <v>0</v>
      </c>
      <c r="AI2662" s="37">
        <v>98</v>
      </c>
      <c r="AJ2662" s="37">
        <v>8</v>
      </c>
      <c r="AK2662" s="37" t="str">
        <f>VLOOKUP(Mecze[[#This Row],[Match ID]],Meczusie[Mecz]:Meczusie[RodzajMeczu],2,FALSE)</f>
        <v>Liga</v>
      </c>
    </row>
    <row r="2663" spans="1:37" x14ac:dyDescent="0.25">
      <c r="A2663" s="76">
        <v>1</v>
      </c>
      <c r="B2663" s="3" t="s">
        <v>344</v>
      </c>
      <c r="C2663" s="2" t="s">
        <v>155</v>
      </c>
      <c r="D2663" s="1">
        <v>0</v>
      </c>
      <c r="E2663" s="1">
        <v>0</v>
      </c>
      <c r="F2663" s="1">
        <v>0</v>
      </c>
      <c r="G2663" s="1">
        <v>14</v>
      </c>
      <c r="H2663" s="4">
        <v>0.5</v>
      </c>
      <c r="I2663" s="1">
        <v>0</v>
      </c>
      <c r="J2663" s="4"/>
      <c r="K2663" s="1">
        <v>16</v>
      </c>
      <c r="L2663" s="1">
        <v>0</v>
      </c>
      <c r="M2663" s="32">
        <f>IF(Mecze[[#This Row],[PR]]=0,0,Mecze[[#This Row],[PR]]/Mecze[[#This Row],[CZAS]])</f>
        <v>0</v>
      </c>
      <c r="N2663" s="32">
        <f>IF(Mecze[[#This Row],[OU]]=0,0,Mecze[[#This Row],[OU]]/Mecze[[#This Row],[CZAS]])</f>
        <v>0</v>
      </c>
      <c r="O2663" s="32">
        <f>IF(Mecze[[#This Row],[PC]]=0,0,Mecze[[#This Row],[PC]]/Mecze[[#This Row],[CZAS]])</f>
        <v>7.1428571428571425E-2</v>
      </c>
      <c r="P2663" s="32">
        <f>IF(Mecze[[#This Row],[SC]]=0,0,Mecze[[#This Row],[SC]]/Mecze[[#This Row],[CZAS]])</f>
        <v>0</v>
      </c>
      <c r="Q2663" s="32">
        <f>IF(Mecze[[#This Row],[OB]]=0,0,Mecze[[#This Row],[OB]]/Mecze[[#This Row],[CZAS]])</f>
        <v>0.16326530612244897</v>
      </c>
      <c r="R2663" s="32">
        <f>IF(Mecze[[#This Row],[BR]]=0,0,Mecze[[#This Row],[BR]]/Mecze[[#This Row],[CZAS]])</f>
        <v>0</v>
      </c>
      <c r="S2663" s="44">
        <f>IF(Mecze[[#This Row],[Role]]="BR",SUMPRODUCT(Mecze[[#This Row],[/PR:90]:[/BR:90]],Brudnopis!$E$23:$J$23),0)</f>
        <v>0.70408163265306123</v>
      </c>
      <c r="T2663" s="44">
        <f>IF(Mecze[[#This Row],[Role]]&lt;&gt;"BR",SUMPRODUCT(Mecze[[#This Row],[/PR:90]:[/BR:90]],Brudnopis!$E$24:$J$24),0)</f>
        <v>0</v>
      </c>
      <c r="U2663" s="44">
        <f>IF(Mecze[[#This Row],[Role]]&lt;&gt;"BR",SUMPRODUCT(Mecze[[#This Row],[/PR:90]:[/BR:90]],Brudnopis!$E$25:$J$25),0)</f>
        <v>0</v>
      </c>
      <c r="V2663" s="44">
        <f>IF(Mecze[[#This Row],[Role]]&lt;&gt;"BR",SUMPRODUCT(Mecze[[#This Row],[/PR:90]:[/BR:90]],Brudnopis!$E$26:$J$26),0)</f>
        <v>0</v>
      </c>
      <c r="W2663" s="44">
        <f>IF(Mecze[[#This Row],[Role]]&lt;&gt;"BR",SUMPRODUCT(Mecze[[#This Row],[/PR:90]:[/BR:90]],Brudnopis!$E$27:$J$27),0)</f>
        <v>0</v>
      </c>
      <c r="X2663" s="44">
        <f>IF(Mecze[[#This Row],[Role]]&lt;&gt;"BR",SUMPRODUCT(Mecze[[#This Row],[/PR:90]:[/BR:90]],Brudnopis!$E$28:$J$28),0)</f>
        <v>0</v>
      </c>
      <c r="Y2663" s="35">
        <f>IF(Mecze[[#This Row],[Role]]="BR",Mecze[[#This Row],[/OB:90]]+Mecze[[#This Row],[/PC:90]],SUM(Mecze[[#This Row],[/PR:90]:[/BR:90]]))</f>
        <v>0.23469387755102039</v>
      </c>
      <c r="Z2663" s="35">
        <f>IF(Mecze[[#This Row],[KC]]=0,SUM(Mecze[[#This Row],[/BRI]:[/NPI]]),SUM(Mecze[[#This Row],[/BRI]:[/NPI]])*0.6)</f>
        <v>0.70408163265306123</v>
      </c>
      <c r="AA2663" s="10">
        <f>IFERROR(Mecze[[#This Row],[BR]]/Mecze[[#This Row],[ST]],0)</f>
        <v>0</v>
      </c>
      <c r="AB2663">
        <f>ROUND(Mecze[[#This Row],[PD]]*Mecze[[#This Row],[%PC]],0)</f>
        <v>7</v>
      </c>
      <c r="AC2663">
        <f>ROUND(Mecze[[#This Row],[OD]]*Mecze[[#This Row],[%OU]],0)</f>
        <v>0</v>
      </c>
      <c r="AD2663" s="36" t="s">
        <v>40</v>
      </c>
      <c r="AE2663" s="36">
        <v>148</v>
      </c>
      <c r="AF2663" s="71">
        <v>13.86</v>
      </c>
      <c r="AG2663" s="37">
        <v>0</v>
      </c>
      <c r="AH2663" s="37">
        <v>0</v>
      </c>
      <c r="AI2663" s="37">
        <v>98</v>
      </c>
      <c r="AJ2663" s="37">
        <v>5</v>
      </c>
      <c r="AK2663" s="37" t="str">
        <f>VLOOKUP(Mecze[[#This Row],[Match ID]],Meczusie[Mecz]:Meczusie[RodzajMeczu],2,FALSE)</f>
        <v>Liga</v>
      </c>
    </row>
    <row r="2664" spans="1:37" x14ac:dyDescent="0.25">
      <c r="A2664" s="76">
        <v>2</v>
      </c>
      <c r="B2664" s="3" t="s">
        <v>345</v>
      </c>
      <c r="C2664" s="2" t="s">
        <v>157</v>
      </c>
      <c r="D2664" s="1">
        <v>0</v>
      </c>
      <c r="E2664" s="1">
        <v>0</v>
      </c>
      <c r="F2664" s="1">
        <v>0</v>
      </c>
      <c r="G2664" s="1">
        <v>10</v>
      </c>
      <c r="H2664" s="4">
        <v>0.6</v>
      </c>
      <c r="I2664" s="1">
        <v>7</v>
      </c>
      <c r="J2664" s="4">
        <v>0.71</v>
      </c>
      <c r="K2664" s="1">
        <v>0</v>
      </c>
      <c r="L2664" s="1">
        <v>7</v>
      </c>
      <c r="M2664" s="32">
        <f>IF(Mecze[[#This Row],[PR]]=0,0,Mecze[[#This Row],[PR]]/Mecze[[#This Row],[CZAS]])</f>
        <v>7.1428571428571425E-2</v>
      </c>
      <c r="N2664" s="32">
        <f>IF(Mecze[[#This Row],[OU]]=0,0,Mecze[[#This Row],[OU]]/Mecze[[#This Row],[CZAS]])</f>
        <v>5.1020408163265307E-2</v>
      </c>
      <c r="O2664" s="32">
        <f>IF(Mecze[[#This Row],[PC]]=0,0,Mecze[[#This Row],[PC]]/Mecze[[#This Row],[CZAS]])</f>
        <v>6.1224489795918366E-2</v>
      </c>
      <c r="P2664" s="32">
        <f>IF(Mecze[[#This Row],[SC]]=0,0,Mecze[[#This Row],[SC]]/Mecze[[#This Row],[CZAS]])</f>
        <v>0</v>
      </c>
      <c r="Q2664" s="32">
        <f>IF(Mecze[[#This Row],[OB]]=0,0,Mecze[[#This Row],[OB]]/Mecze[[#This Row],[CZAS]])</f>
        <v>0</v>
      </c>
      <c r="R2664" s="32">
        <f>IF(Mecze[[#This Row],[BR]]=0,0,Mecze[[#This Row],[BR]]/Mecze[[#This Row],[CZAS]])</f>
        <v>0</v>
      </c>
      <c r="S2664" s="44">
        <f>IF(Mecze[[#This Row],[Role]]="BR",SUMPRODUCT(Mecze[[#This Row],[/PR:90]:[/BR:90]],Brudnopis!$E$23:$J$23),0)</f>
        <v>0</v>
      </c>
      <c r="T2664" s="44">
        <f>IF(Mecze[[#This Row],[Role]]&lt;&gt;"BR",SUMPRODUCT(Mecze[[#This Row],[/PR:90]:[/BR:90]],Brudnopis!$E$24:$J$24),0)</f>
        <v>0.20918367346938777</v>
      </c>
      <c r="U2664" s="44">
        <f>IF(Mecze[[#This Row],[Role]]&lt;&gt;"BR",SUMPRODUCT(Mecze[[#This Row],[/PR:90]:[/BR:90]],Brudnopis!$E$25:$J$25),0)</f>
        <v>0.21428571428571427</v>
      </c>
      <c r="V2664" s="44">
        <f>IF(Mecze[[#This Row],[Role]]&lt;&gt;"BR",SUMPRODUCT(Mecze[[#This Row],[/PR:90]:[/BR:90]],Brudnopis!$E$26:$J$26),0)</f>
        <v>0.18367346938775508</v>
      </c>
      <c r="W2664" s="44">
        <f>IF(Mecze[[#This Row],[Role]]&lt;&gt;"BR",SUMPRODUCT(Mecze[[#This Row],[/PR:90]:[/BR:90]],Brudnopis!$E$27:$J$27),0)</f>
        <v>0.18367346938775508</v>
      </c>
      <c r="X2664" s="44">
        <f>IF(Mecze[[#This Row],[Role]]&lt;&gt;"BR",SUMPRODUCT(Mecze[[#This Row],[/PR:90]:[/BR:90]],Brudnopis!$E$28:$J$28),0)</f>
        <v>6.1224489795918366E-2</v>
      </c>
      <c r="Y2664" s="35">
        <f>IF(Mecze[[#This Row],[Role]]="BR",Mecze[[#This Row],[/OB:90]]+Mecze[[#This Row],[/PC:90]],SUM(Mecze[[#This Row],[/PR:90]:[/BR:90]]))</f>
        <v>0.18367346938775508</v>
      </c>
      <c r="Z2664" s="35">
        <f>IF(Mecze[[#This Row],[KC]]=0,SUM(Mecze[[#This Row],[/BRI]:[/NPI]]),SUM(Mecze[[#This Row],[/BRI]:[/NPI]])*0.6)</f>
        <v>0.8520408163265305</v>
      </c>
      <c r="AA2664" s="10">
        <f>IFERROR(Mecze[[#This Row],[BR]]/Mecze[[#This Row],[ST]],0)</f>
        <v>0</v>
      </c>
      <c r="AB2664">
        <f>ROUND(Mecze[[#This Row],[PD]]*Mecze[[#This Row],[%PC]],0)</f>
        <v>6</v>
      </c>
      <c r="AC2664">
        <f>ROUND(Mecze[[#This Row],[OD]]*Mecze[[#This Row],[%OU]],0)</f>
        <v>5</v>
      </c>
      <c r="AD2664" s="36" t="s">
        <v>47</v>
      </c>
      <c r="AE2664" s="36">
        <v>148</v>
      </c>
      <c r="AF2664" s="71">
        <v>8.52</v>
      </c>
      <c r="AG2664" s="37">
        <v>1</v>
      </c>
      <c r="AH2664" s="37">
        <v>0</v>
      </c>
      <c r="AI2664" s="37">
        <v>98</v>
      </c>
      <c r="AJ2664" s="37">
        <v>5</v>
      </c>
      <c r="AK2664" s="37" t="str">
        <f>VLOOKUP(Mecze[[#This Row],[Match ID]],Meczusie[Mecz]:Meczusie[RodzajMeczu],2,FALSE)</f>
        <v>Liga</v>
      </c>
    </row>
    <row r="2665" spans="1:37" x14ac:dyDescent="0.25">
      <c r="A2665" s="76">
        <v>4</v>
      </c>
      <c r="B2665" s="3" t="s">
        <v>346</v>
      </c>
      <c r="C2665" s="2" t="s">
        <v>157</v>
      </c>
      <c r="D2665" s="1">
        <v>0</v>
      </c>
      <c r="E2665" s="1">
        <v>0</v>
      </c>
      <c r="F2665" s="1">
        <v>0</v>
      </c>
      <c r="G2665" s="1">
        <v>9</v>
      </c>
      <c r="H2665" s="4">
        <v>0.78</v>
      </c>
      <c r="I2665" s="1">
        <v>5</v>
      </c>
      <c r="J2665" s="4">
        <v>0.6</v>
      </c>
      <c r="K2665" s="1">
        <v>0</v>
      </c>
      <c r="L2665" s="1">
        <v>5</v>
      </c>
      <c r="M2665" s="32">
        <f>IF(Mecze[[#This Row],[PR]]=0,0,Mecze[[#This Row],[PR]]/Mecze[[#This Row],[CZAS]])</f>
        <v>5.1020408163265307E-2</v>
      </c>
      <c r="N2665" s="32">
        <f>IF(Mecze[[#This Row],[OU]]=0,0,Mecze[[#This Row],[OU]]/Mecze[[#This Row],[CZAS]])</f>
        <v>3.0612244897959183E-2</v>
      </c>
      <c r="O2665" s="32">
        <f>IF(Mecze[[#This Row],[PC]]=0,0,Mecze[[#This Row],[PC]]/Mecze[[#This Row],[CZAS]])</f>
        <v>7.1428571428571425E-2</v>
      </c>
      <c r="P2665" s="32">
        <f>IF(Mecze[[#This Row],[SC]]=0,0,Mecze[[#This Row],[SC]]/Mecze[[#This Row],[CZAS]])</f>
        <v>0</v>
      </c>
      <c r="Q2665" s="32">
        <f>IF(Mecze[[#This Row],[OB]]=0,0,Mecze[[#This Row],[OB]]/Mecze[[#This Row],[CZAS]])</f>
        <v>0</v>
      </c>
      <c r="R2665" s="32">
        <f>IF(Mecze[[#This Row],[BR]]=0,0,Mecze[[#This Row],[BR]]/Mecze[[#This Row],[CZAS]])</f>
        <v>0</v>
      </c>
      <c r="S2665" s="44">
        <f>IF(Mecze[[#This Row],[Role]]="BR",SUMPRODUCT(Mecze[[#This Row],[/PR:90]:[/BR:90]],Brudnopis!$E$23:$J$23),0)</f>
        <v>0</v>
      </c>
      <c r="T2665" s="44">
        <f>IF(Mecze[[#This Row],[Role]]&lt;&gt;"BR",SUMPRODUCT(Mecze[[#This Row],[/PR:90]:[/BR:90]],Brudnopis!$E$24:$J$24),0)</f>
        <v>0.1683673469387755</v>
      </c>
      <c r="U2665" s="44">
        <f>IF(Mecze[[#This Row],[Role]]&lt;&gt;"BR",SUMPRODUCT(Mecze[[#This Row],[/PR:90]:[/BR:90]],Brudnopis!$E$25:$J$25),0)</f>
        <v>0.18877551020408162</v>
      </c>
      <c r="V2665" s="44">
        <f>IF(Mecze[[#This Row],[Role]]&lt;&gt;"BR",SUMPRODUCT(Mecze[[#This Row],[/PR:90]:[/BR:90]],Brudnopis!$E$26:$J$26),0)</f>
        <v>0.15306122448979592</v>
      </c>
      <c r="W2665" s="44">
        <f>IF(Mecze[[#This Row],[Role]]&lt;&gt;"BR",SUMPRODUCT(Mecze[[#This Row],[/PR:90]:[/BR:90]],Brudnopis!$E$27:$J$27),0)</f>
        <v>0.1683673469387755</v>
      </c>
      <c r="X2665" s="44">
        <f>IF(Mecze[[#This Row],[Role]]&lt;&gt;"BR",SUMPRODUCT(Mecze[[#This Row],[/PR:90]:[/BR:90]],Brudnopis!$E$28:$J$28),0)</f>
        <v>7.1428571428571425E-2</v>
      </c>
      <c r="Y2665" s="35">
        <f>IF(Mecze[[#This Row],[Role]]="BR",Mecze[[#This Row],[/OB:90]]+Mecze[[#This Row],[/PC:90]],SUM(Mecze[[#This Row],[/PR:90]:[/BR:90]]))</f>
        <v>0.15306122448979592</v>
      </c>
      <c r="Z2665" s="35">
        <f>IF(Mecze[[#This Row],[KC]]=0,SUM(Mecze[[#This Row],[/BRI]:[/NPI]]),SUM(Mecze[[#This Row],[/BRI]:[/NPI]])*0.6)</f>
        <v>0.74999999999999989</v>
      </c>
      <c r="AA2665" s="10">
        <f>IFERROR(Mecze[[#This Row],[BR]]/Mecze[[#This Row],[ST]],0)</f>
        <v>0</v>
      </c>
      <c r="AB2665">
        <f>ROUND(Mecze[[#This Row],[PD]]*Mecze[[#This Row],[%PC]],0)</f>
        <v>7</v>
      </c>
      <c r="AC2665">
        <f>ROUND(Mecze[[#This Row],[OD]]*Mecze[[#This Row],[%OU]],0)</f>
        <v>3</v>
      </c>
      <c r="AD2665" s="36" t="s">
        <v>47</v>
      </c>
      <c r="AE2665" s="36">
        <v>148</v>
      </c>
      <c r="AF2665" s="71">
        <v>9.2100000000000009</v>
      </c>
      <c r="AG2665" s="37">
        <v>0</v>
      </c>
      <c r="AH2665" s="37">
        <v>0</v>
      </c>
      <c r="AI2665" s="37">
        <v>98</v>
      </c>
      <c r="AJ2665" s="37">
        <v>5</v>
      </c>
      <c r="AK2665" s="37" t="str">
        <f>VLOOKUP(Mecze[[#This Row],[Match ID]],Meczusie[Mecz]:Meczusie[RodzajMeczu],2,FALSE)</f>
        <v>Liga</v>
      </c>
    </row>
    <row r="2666" spans="1:37" x14ac:dyDescent="0.25">
      <c r="A2666" s="76">
        <v>5</v>
      </c>
      <c r="B2666" s="3" t="s">
        <v>347</v>
      </c>
      <c r="C2666" s="2" t="s">
        <v>157</v>
      </c>
      <c r="D2666" s="1">
        <v>0</v>
      </c>
      <c r="E2666" s="1">
        <v>0</v>
      </c>
      <c r="F2666" s="1">
        <v>0</v>
      </c>
      <c r="G2666" s="1">
        <v>6</v>
      </c>
      <c r="H2666" s="4">
        <v>0.83</v>
      </c>
      <c r="I2666" s="1">
        <v>7</v>
      </c>
      <c r="J2666" s="4">
        <v>0.71</v>
      </c>
      <c r="K2666" s="1">
        <v>0</v>
      </c>
      <c r="L2666" s="1">
        <v>3</v>
      </c>
      <c r="M2666" s="32">
        <f>IF(Mecze[[#This Row],[PR]]=0,0,Mecze[[#This Row],[PR]]/Mecze[[#This Row],[CZAS]])</f>
        <v>3.0612244897959183E-2</v>
      </c>
      <c r="N2666" s="32">
        <f>IF(Mecze[[#This Row],[OU]]=0,0,Mecze[[#This Row],[OU]]/Mecze[[#This Row],[CZAS]])</f>
        <v>5.1020408163265307E-2</v>
      </c>
      <c r="O2666" s="32">
        <f>IF(Mecze[[#This Row],[PC]]=0,0,Mecze[[#This Row],[PC]]/Mecze[[#This Row],[CZAS]])</f>
        <v>5.1020408163265307E-2</v>
      </c>
      <c r="P2666" s="32">
        <f>IF(Mecze[[#This Row],[SC]]=0,0,Mecze[[#This Row],[SC]]/Mecze[[#This Row],[CZAS]])</f>
        <v>0</v>
      </c>
      <c r="Q2666" s="32">
        <f>IF(Mecze[[#This Row],[OB]]=0,0,Mecze[[#This Row],[OB]]/Mecze[[#This Row],[CZAS]])</f>
        <v>0</v>
      </c>
      <c r="R2666" s="32">
        <f>IF(Mecze[[#This Row],[BR]]=0,0,Mecze[[#This Row],[BR]]/Mecze[[#This Row],[CZAS]])</f>
        <v>0</v>
      </c>
      <c r="S2666" s="44">
        <f>IF(Mecze[[#This Row],[Role]]="BR",SUMPRODUCT(Mecze[[#This Row],[/PR:90]:[/BR:90]],Brudnopis!$E$23:$J$23),0)</f>
        <v>0</v>
      </c>
      <c r="T2666" s="44">
        <f>IF(Mecze[[#This Row],[Role]]&lt;&gt;"BR",SUMPRODUCT(Mecze[[#This Row],[/PR:90]:[/BR:90]],Brudnopis!$E$24:$J$24),0)</f>
        <v>0.15816326530612246</v>
      </c>
      <c r="U2666" s="44">
        <f>IF(Mecze[[#This Row],[Role]]&lt;&gt;"BR",SUMPRODUCT(Mecze[[#This Row],[/PR:90]:[/BR:90]],Brudnopis!$E$25:$J$25),0)</f>
        <v>0.15816326530612246</v>
      </c>
      <c r="V2666" s="44">
        <f>IF(Mecze[[#This Row],[Role]]&lt;&gt;"BR",SUMPRODUCT(Mecze[[#This Row],[/PR:90]:[/BR:90]],Brudnopis!$E$26:$J$26),0)</f>
        <v>0.1326530612244898</v>
      </c>
      <c r="W2666" s="44">
        <f>IF(Mecze[[#This Row],[Role]]&lt;&gt;"BR",SUMPRODUCT(Mecze[[#This Row],[/PR:90]:[/BR:90]],Brudnopis!$E$27:$J$27),0)</f>
        <v>0.13775510204081631</v>
      </c>
      <c r="X2666" s="44">
        <f>IF(Mecze[[#This Row],[Role]]&lt;&gt;"BR",SUMPRODUCT(Mecze[[#This Row],[/PR:90]:[/BR:90]],Brudnopis!$E$28:$J$28),0)</f>
        <v>5.1020408163265307E-2</v>
      </c>
      <c r="Y2666" s="35">
        <f>IF(Mecze[[#This Row],[Role]]="BR",Mecze[[#This Row],[/OB:90]]+Mecze[[#This Row],[/PC:90]],SUM(Mecze[[#This Row],[/PR:90]:[/BR:90]]))</f>
        <v>0.1326530612244898</v>
      </c>
      <c r="Z2666" s="35">
        <f>IF(Mecze[[#This Row],[KC]]=0,SUM(Mecze[[#This Row],[/BRI]:[/NPI]]),SUM(Mecze[[#This Row],[/BRI]:[/NPI]])*0.6)</f>
        <v>0.63775510204081631</v>
      </c>
      <c r="AA2666" s="10">
        <f>IFERROR(Mecze[[#This Row],[BR]]/Mecze[[#This Row],[ST]],0)</f>
        <v>0</v>
      </c>
      <c r="AB2666">
        <f>ROUND(Mecze[[#This Row],[PD]]*Mecze[[#This Row],[%PC]],0)</f>
        <v>5</v>
      </c>
      <c r="AC2666">
        <f>ROUND(Mecze[[#This Row],[OD]]*Mecze[[#This Row],[%OU]],0)</f>
        <v>5</v>
      </c>
      <c r="AD2666" s="36" t="s">
        <v>175</v>
      </c>
      <c r="AE2666" s="36">
        <v>148</v>
      </c>
      <c r="AF2666" s="71">
        <v>8.7899999999999991</v>
      </c>
      <c r="AG2666" s="37">
        <v>0</v>
      </c>
      <c r="AH2666" s="37">
        <v>0</v>
      </c>
      <c r="AI2666" s="37">
        <v>98</v>
      </c>
      <c r="AJ2666" s="37">
        <v>5</v>
      </c>
      <c r="AK2666" s="37" t="str">
        <f>VLOOKUP(Mecze[[#This Row],[Match ID]],Meczusie[Mecz]:Meczusie[RodzajMeczu],2,FALSE)</f>
        <v>Liga</v>
      </c>
    </row>
    <row r="2667" spans="1:37" x14ac:dyDescent="0.25">
      <c r="A2667" s="76">
        <v>3</v>
      </c>
      <c r="B2667" s="3" t="s">
        <v>348</v>
      </c>
      <c r="C2667" s="2" t="s">
        <v>157</v>
      </c>
      <c r="D2667" s="1">
        <v>0</v>
      </c>
      <c r="E2667" s="1">
        <v>0</v>
      </c>
      <c r="F2667" s="1">
        <v>0</v>
      </c>
      <c r="G2667" s="1">
        <v>6</v>
      </c>
      <c r="H2667" s="4">
        <v>0.5</v>
      </c>
      <c r="I2667" s="1">
        <v>5</v>
      </c>
      <c r="J2667" s="4">
        <v>0.2</v>
      </c>
      <c r="K2667" s="1">
        <v>0</v>
      </c>
      <c r="L2667" s="1">
        <v>5</v>
      </c>
      <c r="M2667" s="32">
        <f>IF(Mecze[[#This Row],[PR]]=0,0,Mecze[[#This Row],[PR]]/Mecze[[#This Row],[CZAS]])</f>
        <v>5.1020408163265307E-2</v>
      </c>
      <c r="N2667" s="32">
        <f>IF(Mecze[[#This Row],[OU]]=0,0,Mecze[[#This Row],[OU]]/Mecze[[#This Row],[CZAS]])</f>
        <v>1.020408163265306E-2</v>
      </c>
      <c r="O2667" s="32">
        <f>IF(Mecze[[#This Row],[PC]]=0,0,Mecze[[#This Row],[PC]]/Mecze[[#This Row],[CZAS]])</f>
        <v>3.0612244897959183E-2</v>
      </c>
      <c r="P2667" s="32">
        <f>IF(Mecze[[#This Row],[SC]]=0,0,Mecze[[#This Row],[SC]]/Mecze[[#This Row],[CZAS]])</f>
        <v>0</v>
      </c>
      <c r="Q2667" s="32">
        <f>IF(Mecze[[#This Row],[OB]]=0,0,Mecze[[#This Row],[OB]]/Mecze[[#This Row],[CZAS]])</f>
        <v>0</v>
      </c>
      <c r="R2667" s="32">
        <f>IF(Mecze[[#This Row],[BR]]=0,0,Mecze[[#This Row],[BR]]/Mecze[[#This Row],[CZAS]])</f>
        <v>0</v>
      </c>
      <c r="S2667" s="44">
        <f>IF(Mecze[[#This Row],[Role]]="BR",SUMPRODUCT(Mecze[[#This Row],[/PR:90]:[/BR:90]],Brudnopis!$E$23:$J$23),0)</f>
        <v>0</v>
      </c>
      <c r="T2667" s="44">
        <f>IF(Mecze[[#This Row],[Role]]&lt;&gt;"BR",SUMPRODUCT(Mecze[[#This Row],[/PR:90]:[/BR:90]],Brudnopis!$E$24:$J$24),0)</f>
        <v>9.6938775510204078E-2</v>
      </c>
      <c r="U2667" s="44">
        <f>IF(Mecze[[#This Row],[Role]]&lt;&gt;"BR",SUMPRODUCT(Mecze[[#This Row],[/PR:90]:[/BR:90]],Brudnopis!$E$25:$J$25),0)</f>
        <v>0.10714285714285714</v>
      </c>
      <c r="V2667" s="44">
        <f>IF(Mecze[[#This Row],[Role]]&lt;&gt;"BR",SUMPRODUCT(Mecze[[#This Row],[/PR:90]:[/BR:90]],Brudnopis!$E$26:$J$26),0)</f>
        <v>9.1836734693877542E-2</v>
      </c>
      <c r="W2667" s="44">
        <f>IF(Mecze[[#This Row],[Role]]&lt;&gt;"BR",SUMPRODUCT(Mecze[[#This Row],[/PR:90]:[/BR:90]],Brudnopis!$E$27:$J$27),0)</f>
        <v>9.1836734693877542E-2</v>
      </c>
      <c r="X2667" s="44">
        <f>IF(Mecze[[#This Row],[Role]]&lt;&gt;"BR",SUMPRODUCT(Mecze[[#This Row],[/PR:90]:[/BR:90]],Brudnopis!$E$28:$J$28),0)</f>
        <v>3.0612244897959183E-2</v>
      </c>
      <c r="Y2667" s="35">
        <f>IF(Mecze[[#This Row],[Role]]="BR",Mecze[[#This Row],[/OB:90]]+Mecze[[#This Row],[/PC:90]],SUM(Mecze[[#This Row],[/PR:90]:[/BR:90]]))</f>
        <v>9.1836734693877542E-2</v>
      </c>
      <c r="Z2667" s="35">
        <f>IF(Mecze[[#This Row],[KC]]=0,SUM(Mecze[[#This Row],[/BRI]:[/NPI]]),SUM(Mecze[[#This Row],[/BRI]:[/NPI]])*0.6)</f>
        <v>0.41836734693877548</v>
      </c>
      <c r="AA2667" s="10">
        <f>IFERROR(Mecze[[#This Row],[BR]]/Mecze[[#This Row],[ST]],0)</f>
        <v>0</v>
      </c>
      <c r="AB2667">
        <f>ROUND(Mecze[[#This Row],[PD]]*Mecze[[#This Row],[%PC]],0)</f>
        <v>3</v>
      </c>
      <c r="AC2667">
        <f>ROUND(Mecze[[#This Row],[OD]]*Mecze[[#This Row],[%OU]],0)</f>
        <v>1</v>
      </c>
      <c r="AD2667" s="36" t="s">
        <v>174</v>
      </c>
      <c r="AE2667" s="36">
        <v>148</v>
      </c>
      <c r="AF2667" s="71">
        <v>8.09</v>
      </c>
      <c r="AG2667" s="37">
        <v>0</v>
      </c>
      <c r="AH2667" s="37">
        <v>0</v>
      </c>
      <c r="AI2667" s="37">
        <v>98</v>
      </c>
      <c r="AJ2667" s="37">
        <v>5</v>
      </c>
      <c r="AK2667" s="37" t="str">
        <f>VLOOKUP(Mecze[[#This Row],[Match ID]],Meczusie[Mecz]:Meczusie[RodzajMeczu],2,FALSE)</f>
        <v>Liga</v>
      </c>
    </row>
    <row r="2668" spans="1:37" x14ac:dyDescent="0.25">
      <c r="A2668" s="76">
        <v>6</v>
      </c>
      <c r="B2668" s="3" t="s">
        <v>349</v>
      </c>
      <c r="C2668" s="2" t="s">
        <v>160</v>
      </c>
      <c r="D2668" s="1">
        <v>0</v>
      </c>
      <c r="E2668" s="1">
        <v>0</v>
      </c>
      <c r="F2668" s="1">
        <v>0</v>
      </c>
      <c r="G2668" s="1">
        <v>14</v>
      </c>
      <c r="H2668" s="4">
        <v>0.56999999999999995</v>
      </c>
      <c r="I2668" s="1">
        <v>8</v>
      </c>
      <c r="J2668" s="4">
        <v>0.5</v>
      </c>
      <c r="K2668" s="1">
        <v>0</v>
      </c>
      <c r="L2668" s="1">
        <v>5</v>
      </c>
      <c r="M2668" s="32">
        <f>IF(Mecze[[#This Row],[PR]]=0,0,Mecze[[#This Row],[PR]]/Mecze[[#This Row],[CZAS]])</f>
        <v>5.1020408163265307E-2</v>
      </c>
      <c r="N2668" s="32">
        <f>IF(Mecze[[#This Row],[OU]]=0,0,Mecze[[#This Row],[OU]]/Mecze[[#This Row],[CZAS]])</f>
        <v>4.0816326530612242E-2</v>
      </c>
      <c r="O2668" s="32">
        <f>IF(Mecze[[#This Row],[PC]]=0,0,Mecze[[#This Row],[PC]]/Mecze[[#This Row],[CZAS]])</f>
        <v>8.1632653061224483E-2</v>
      </c>
      <c r="P2668" s="32">
        <f>IF(Mecze[[#This Row],[SC]]=0,0,Mecze[[#This Row],[SC]]/Mecze[[#This Row],[CZAS]])</f>
        <v>0</v>
      </c>
      <c r="Q2668" s="32">
        <f>IF(Mecze[[#This Row],[OB]]=0,0,Mecze[[#This Row],[OB]]/Mecze[[#This Row],[CZAS]])</f>
        <v>0</v>
      </c>
      <c r="R2668" s="32">
        <f>IF(Mecze[[#This Row],[BR]]=0,0,Mecze[[#This Row],[BR]]/Mecze[[#This Row],[CZAS]])</f>
        <v>0</v>
      </c>
      <c r="S2668" s="44">
        <f>IF(Mecze[[#This Row],[Role]]="BR",SUMPRODUCT(Mecze[[#This Row],[/PR:90]:[/BR:90]],Brudnopis!$E$23:$J$23),0)</f>
        <v>0</v>
      </c>
      <c r="T2668" s="44">
        <f>IF(Mecze[[#This Row],[Role]]&lt;&gt;"BR",SUMPRODUCT(Mecze[[#This Row],[/PR:90]:[/BR:90]],Brudnopis!$E$24:$J$24),0)</f>
        <v>0.19387755102040816</v>
      </c>
      <c r="U2668" s="44">
        <f>IF(Mecze[[#This Row],[Role]]&lt;&gt;"BR",SUMPRODUCT(Mecze[[#This Row],[/PR:90]:[/BR:90]],Brudnopis!$E$25:$J$25),0)</f>
        <v>0.21428571428571427</v>
      </c>
      <c r="V2668" s="44">
        <f>IF(Mecze[[#This Row],[Role]]&lt;&gt;"BR",SUMPRODUCT(Mecze[[#This Row],[/PR:90]:[/BR:90]],Brudnopis!$E$26:$J$26),0)</f>
        <v>0.17346938775510201</v>
      </c>
      <c r="W2668" s="44">
        <f>IF(Mecze[[#This Row],[Role]]&lt;&gt;"BR",SUMPRODUCT(Mecze[[#This Row],[/PR:90]:[/BR:90]],Brudnopis!$E$27:$J$27),0)</f>
        <v>0.19132653061224489</v>
      </c>
      <c r="X2668" s="44">
        <f>IF(Mecze[[#This Row],[Role]]&lt;&gt;"BR",SUMPRODUCT(Mecze[[#This Row],[/PR:90]:[/BR:90]],Brudnopis!$E$28:$J$28),0)</f>
        <v>8.1632653061224483E-2</v>
      </c>
      <c r="Y2668" s="35">
        <f>IF(Mecze[[#This Row],[Role]]="BR",Mecze[[#This Row],[/OB:90]]+Mecze[[#This Row],[/PC:90]],SUM(Mecze[[#This Row],[/PR:90]:[/BR:90]]))</f>
        <v>0.17346938775510201</v>
      </c>
      <c r="Z2668" s="35">
        <f>IF(Mecze[[#This Row],[KC]]=0,SUM(Mecze[[#This Row],[/BRI]:[/NPI]]),SUM(Mecze[[#This Row],[/BRI]:[/NPI]])*0.6)</f>
        <v>0.85459183673469385</v>
      </c>
      <c r="AA2668" s="10">
        <f>IFERROR(Mecze[[#This Row],[BR]]/Mecze[[#This Row],[ST]],0)</f>
        <v>0</v>
      </c>
      <c r="AB2668">
        <f>ROUND(Mecze[[#This Row],[PD]]*Mecze[[#This Row],[%PC]],0)</f>
        <v>8</v>
      </c>
      <c r="AC2668">
        <f>ROUND(Mecze[[#This Row],[OD]]*Mecze[[#This Row],[%OU]],0)</f>
        <v>4</v>
      </c>
      <c r="AD2668" s="36" t="s">
        <v>41</v>
      </c>
      <c r="AE2668" s="36">
        <v>148</v>
      </c>
      <c r="AF2668" s="71">
        <v>9.3000000000000007</v>
      </c>
      <c r="AG2668" s="37">
        <v>0</v>
      </c>
      <c r="AH2668" s="37">
        <v>0</v>
      </c>
      <c r="AI2668" s="37">
        <v>98</v>
      </c>
      <c r="AJ2668" s="37">
        <v>5</v>
      </c>
      <c r="AK2668" s="37" t="str">
        <f>VLOOKUP(Mecze[[#This Row],[Match ID]],Meczusie[Mecz]:Meczusie[RodzajMeczu],2,FALSE)</f>
        <v>Liga</v>
      </c>
    </row>
    <row r="2669" spans="1:37" x14ac:dyDescent="0.25">
      <c r="A2669" s="76">
        <v>7</v>
      </c>
      <c r="B2669" s="3" t="s">
        <v>350</v>
      </c>
      <c r="C2669" s="2" t="s">
        <v>160</v>
      </c>
      <c r="D2669" s="1">
        <v>0</v>
      </c>
      <c r="E2669" s="1">
        <v>0</v>
      </c>
      <c r="F2669" s="1">
        <v>0</v>
      </c>
      <c r="G2669" s="1">
        <v>11</v>
      </c>
      <c r="H2669" s="4">
        <v>0.18</v>
      </c>
      <c r="I2669" s="1">
        <v>6</v>
      </c>
      <c r="J2669" s="4">
        <v>0.33</v>
      </c>
      <c r="K2669" s="1">
        <v>0</v>
      </c>
      <c r="L2669" s="1">
        <v>1</v>
      </c>
      <c r="M2669" s="32">
        <f>IF(Mecze[[#This Row],[PR]]=0,0,Mecze[[#This Row],[PR]]/Mecze[[#This Row],[CZAS]])</f>
        <v>1.020408163265306E-2</v>
      </c>
      <c r="N2669" s="32">
        <f>IF(Mecze[[#This Row],[OU]]=0,0,Mecze[[#This Row],[OU]]/Mecze[[#This Row],[CZAS]])</f>
        <v>2.0408163265306121E-2</v>
      </c>
      <c r="O2669" s="32">
        <f>IF(Mecze[[#This Row],[PC]]=0,0,Mecze[[#This Row],[PC]]/Mecze[[#This Row],[CZAS]])</f>
        <v>2.0408163265306121E-2</v>
      </c>
      <c r="P2669" s="32">
        <f>IF(Mecze[[#This Row],[SC]]=0,0,Mecze[[#This Row],[SC]]/Mecze[[#This Row],[CZAS]])</f>
        <v>0</v>
      </c>
      <c r="Q2669" s="32">
        <f>IF(Mecze[[#This Row],[OB]]=0,0,Mecze[[#This Row],[OB]]/Mecze[[#This Row],[CZAS]])</f>
        <v>0</v>
      </c>
      <c r="R2669" s="32">
        <f>IF(Mecze[[#This Row],[BR]]=0,0,Mecze[[#This Row],[BR]]/Mecze[[#This Row],[CZAS]])</f>
        <v>0</v>
      </c>
      <c r="S2669" s="44">
        <f>IF(Mecze[[#This Row],[Role]]="BR",SUMPRODUCT(Mecze[[#This Row],[/PR:90]:[/BR:90]],Brudnopis!$E$23:$J$23),0)</f>
        <v>0</v>
      </c>
      <c r="T2669" s="44">
        <f>IF(Mecze[[#This Row],[Role]]&lt;&gt;"BR",SUMPRODUCT(Mecze[[#This Row],[/PR:90]:[/BR:90]],Brudnopis!$E$24:$J$24),0)</f>
        <v>6.1224489795918366E-2</v>
      </c>
      <c r="U2669" s="44">
        <f>IF(Mecze[[#This Row],[Role]]&lt;&gt;"BR",SUMPRODUCT(Mecze[[#This Row],[/PR:90]:[/BR:90]],Brudnopis!$E$25:$J$25),0)</f>
        <v>6.1224489795918366E-2</v>
      </c>
      <c r="V2669" s="44">
        <f>IF(Mecze[[#This Row],[Role]]&lt;&gt;"BR",SUMPRODUCT(Mecze[[#This Row],[/PR:90]:[/BR:90]],Brudnopis!$E$26:$J$26),0)</f>
        <v>5.1020408163265307E-2</v>
      </c>
      <c r="W2669" s="44">
        <f>IF(Mecze[[#This Row],[Role]]&lt;&gt;"BR",SUMPRODUCT(Mecze[[#This Row],[/PR:90]:[/BR:90]],Brudnopis!$E$27:$J$27),0)</f>
        <v>5.3571428571428568E-2</v>
      </c>
      <c r="X2669" s="44">
        <f>IF(Mecze[[#This Row],[Role]]&lt;&gt;"BR",SUMPRODUCT(Mecze[[#This Row],[/PR:90]:[/BR:90]],Brudnopis!$E$28:$J$28),0)</f>
        <v>2.0408163265306121E-2</v>
      </c>
      <c r="Y2669" s="35">
        <f>IF(Mecze[[#This Row],[Role]]="BR",Mecze[[#This Row],[/OB:90]]+Mecze[[#This Row],[/PC:90]],SUM(Mecze[[#This Row],[/PR:90]:[/BR:90]]))</f>
        <v>5.1020408163265307E-2</v>
      </c>
      <c r="Z2669" s="35">
        <f>IF(Mecze[[#This Row],[KC]]=0,SUM(Mecze[[#This Row],[/BRI]:[/NPI]]),SUM(Mecze[[#This Row],[/BRI]:[/NPI]])*0.6)</f>
        <v>0.24744897959183673</v>
      </c>
      <c r="AA2669" s="10">
        <f>IFERROR(Mecze[[#This Row],[BR]]/Mecze[[#This Row],[ST]],0)</f>
        <v>0</v>
      </c>
      <c r="AB2669">
        <f>ROUND(Mecze[[#This Row],[PD]]*Mecze[[#This Row],[%PC]],0)</f>
        <v>2</v>
      </c>
      <c r="AC2669">
        <f>ROUND(Mecze[[#This Row],[OD]]*Mecze[[#This Row],[%OU]],0)</f>
        <v>2</v>
      </c>
      <c r="AD2669" s="36" t="s">
        <v>67</v>
      </c>
      <c r="AE2669" s="36">
        <v>148</v>
      </c>
      <c r="AF2669" s="71">
        <v>7.25</v>
      </c>
      <c r="AG2669" s="37">
        <v>0</v>
      </c>
      <c r="AH2669" s="37">
        <v>0</v>
      </c>
      <c r="AI2669" s="37">
        <v>98</v>
      </c>
      <c r="AJ2669" s="37">
        <v>5</v>
      </c>
      <c r="AK2669" s="37" t="str">
        <f>VLOOKUP(Mecze[[#This Row],[Match ID]],Meczusie[Mecz]:Meczusie[RodzajMeczu],2,FALSE)</f>
        <v>Liga</v>
      </c>
    </row>
    <row r="2670" spans="1:37" x14ac:dyDescent="0.25">
      <c r="A2670" s="76">
        <v>8</v>
      </c>
      <c r="B2670" s="3" t="s">
        <v>351</v>
      </c>
      <c r="C2670" s="2" t="s">
        <v>160</v>
      </c>
      <c r="D2670" s="1">
        <v>0</v>
      </c>
      <c r="E2670" s="1">
        <v>1</v>
      </c>
      <c r="F2670" s="1">
        <v>0</v>
      </c>
      <c r="G2670" s="1">
        <v>12</v>
      </c>
      <c r="H2670" s="4">
        <v>0.83</v>
      </c>
      <c r="I2670" s="1">
        <v>4</v>
      </c>
      <c r="J2670" s="4">
        <v>0.75</v>
      </c>
      <c r="K2670" s="1">
        <v>0</v>
      </c>
      <c r="L2670" s="1">
        <v>0</v>
      </c>
      <c r="M2670" s="32">
        <f>IF(Mecze[[#This Row],[PR]]=0,0,Mecze[[#This Row],[PR]]/Mecze[[#This Row],[CZAS]])</f>
        <v>0</v>
      </c>
      <c r="N2670" s="32">
        <f>IF(Mecze[[#This Row],[OU]]=0,0,Mecze[[#This Row],[OU]]/Mecze[[#This Row],[CZAS]])</f>
        <v>3.0612244897959183E-2</v>
      </c>
      <c r="O2670" s="32">
        <f>IF(Mecze[[#This Row],[PC]]=0,0,Mecze[[#This Row],[PC]]/Mecze[[#This Row],[CZAS]])</f>
        <v>0.10204081632653061</v>
      </c>
      <c r="P2670" s="32">
        <f>IF(Mecze[[#This Row],[SC]]=0,0,Mecze[[#This Row],[SC]]/Mecze[[#This Row],[CZAS]])</f>
        <v>0</v>
      </c>
      <c r="Q2670" s="32">
        <f>IF(Mecze[[#This Row],[OB]]=0,0,Mecze[[#This Row],[OB]]/Mecze[[#This Row],[CZAS]])</f>
        <v>0</v>
      </c>
      <c r="R2670" s="32">
        <f>IF(Mecze[[#This Row],[BR]]=0,0,Mecze[[#This Row],[BR]]/Mecze[[#This Row],[CZAS]])</f>
        <v>0</v>
      </c>
      <c r="S2670" s="44">
        <f>IF(Mecze[[#This Row],[Role]]="BR",SUMPRODUCT(Mecze[[#This Row],[/PR:90]:[/BR:90]],Brudnopis!$E$23:$J$23),0)</f>
        <v>0</v>
      </c>
      <c r="T2670" s="44">
        <f>IF(Mecze[[#This Row],[Role]]&lt;&gt;"BR",SUMPRODUCT(Mecze[[#This Row],[/PR:90]:[/BR:90]],Brudnopis!$E$24:$J$24),0)</f>
        <v>0.14795918367346939</v>
      </c>
      <c r="U2670" s="44">
        <f>IF(Mecze[[#This Row],[Role]]&lt;&gt;"BR",SUMPRODUCT(Mecze[[#This Row],[/PR:90]:[/BR:90]],Brudnopis!$E$25:$J$25),0)</f>
        <v>0.18367346938775511</v>
      </c>
      <c r="V2670" s="44">
        <f>IF(Mecze[[#This Row],[Role]]&lt;&gt;"BR",SUMPRODUCT(Mecze[[#This Row],[/PR:90]:[/BR:90]],Brudnopis!$E$26:$J$26),0)</f>
        <v>0.1326530612244898</v>
      </c>
      <c r="W2670" s="44">
        <f>IF(Mecze[[#This Row],[Role]]&lt;&gt;"BR",SUMPRODUCT(Mecze[[#This Row],[/PR:90]:[/BR:90]],Brudnopis!$E$27:$J$27),0)</f>
        <v>0.17602040816326531</v>
      </c>
      <c r="X2670" s="44">
        <f>IF(Mecze[[#This Row],[Role]]&lt;&gt;"BR",SUMPRODUCT(Mecze[[#This Row],[/PR:90]:[/BR:90]],Brudnopis!$E$28:$J$28),0)</f>
        <v>0.10204081632653061</v>
      </c>
      <c r="Y2670" s="35">
        <f>IF(Mecze[[#This Row],[Role]]="BR",Mecze[[#This Row],[/OB:90]]+Mecze[[#This Row],[/PC:90]],SUM(Mecze[[#This Row],[/PR:90]:[/BR:90]]))</f>
        <v>0.1326530612244898</v>
      </c>
      <c r="Z2670" s="35">
        <f>IF(Mecze[[#This Row],[KC]]=0,SUM(Mecze[[#This Row],[/BRI]:[/NPI]]),SUM(Mecze[[#This Row],[/BRI]:[/NPI]])*0.6)</f>
        <v>0.74234693877551028</v>
      </c>
      <c r="AA2670" s="10">
        <f>IFERROR(Mecze[[#This Row],[BR]]/Mecze[[#This Row],[ST]],0)</f>
        <v>0</v>
      </c>
      <c r="AB2670">
        <f>ROUND(Mecze[[#This Row],[PD]]*Mecze[[#This Row],[%PC]],0)</f>
        <v>10</v>
      </c>
      <c r="AC2670">
        <f>ROUND(Mecze[[#This Row],[OD]]*Mecze[[#This Row],[%OU]],0)</f>
        <v>3</v>
      </c>
      <c r="AD2670" s="36" t="s">
        <v>67</v>
      </c>
      <c r="AE2670" s="36">
        <v>148</v>
      </c>
      <c r="AF2670" s="71">
        <v>9.16</v>
      </c>
      <c r="AG2670" s="37">
        <v>0</v>
      </c>
      <c r="AH2670" s="37">
        <v>0</v>
      </c>
      <c r="AI2670" s="37">
        <v>98</v>
      </c>
      <c r="AJ2670" s="37">
        <v>5</v>
      </c>
      <c r="AK2670" s="37" t="str">
        <f>VLOOKUP(Mecze[[#This Row],[Match ID]],Meczusie[Mecz]:Meczusie[RodzajMeczu],2,FALSE)</f>
        <v>Liga</v>
      </c>
    </row>
    <row r="2671" spans="1:37" x14ac:dyDescent="0.25">
      <c r="A2671" s="76">
        <v>11</v>
      </c>
      <c r="B2671" s="3" t="s">
        <v>353</v>
      </c>
      <c r="C2671" s="2" t="s">
        <v>165</v>
      </c>
      <c r="D2671" s="1">
        <v>1</v>
      </c>
      <c r="E2671" s="1">
        <v>3</v>
      </c>
      <c r="F2671" s="1">
        <v>2</v>
      </c>
      <c r="G2671" s="1">
        <v>7</v>
      </c>
      <c r="H2671" s="4">
        <v>0.56999999999999995</v>
      </c>
      <c r="I2671" s="1">
        <v>3</v>
      </c>
      <c r="J2671" s="4">
        <v>0</v>
      </c>
      <c r="K2671" s="1">
        <v>0</v>
      </c>
      <c r="L2671" s="1">
        <v>4</v>
      </c>
      <c r="M2671" s="32">
        <f>IF(Mecze[[#This Row],[PR]]=0,0,Mecze[[#This Row],[PR]]/Mecze[[#This Row],[CZAS]])</f>
        <v>4.0816326530612242E-2</v>
      </c>
      <c r="N2671" s="32">
        <f>IF(Mecze[[#This Row],[OU]]=0,0,Mecze[[#This Row],[OU]]/Mecze[[#This Row],[CZAS]])</f>
        <v>0</v>
      </c>
      <c r="O2671" s="32">
        <f>IF(Mecze[[#This Row],[PC]]=0,0,Mecze[[#This Row],[PC]]/Mecze[[#This Row],[CZAS]])</f>
        <v>4.0816326530612242E-2</v>
      </c>
      <c r="P2671" s="32">
        <f>IF(Mecze[[#This Row],[SC]]=0,0,Mecze[[#This Row],[SC]]/Mecze[[#This Row],[CZAS]])</f>
        <v>2.0408163265306121E-2</v>
      </c>
      <c r="Q2671" s="32">
        <f>IF(Mecze[[#This Row],[OB]]=0,0,Mecze[[#This Row],[OB]]/Mecze[[#This Row],[CZAS]])</f>
        <v>0</v>
      </c>
      <c r="R2671" s="32">
        <f>IF(Mecze[[#This Row],[BR]]=0,0,Mecze[[#This Row],[BR]]/Mecze[[#This Row],[CZAS]])</f>
        <v>1.020408163265306E-2</v>
      </c>
      <c r="S2671" s="44">
        <f>IF(Mecze[[#This Row],[Role]]="BR",SUMPRODUCT(Mecze[[#This Row],[/PR:90]:[/BR:90]],Brudnopis!$E$23:$J$23),0)</f>
        <v>0</v>
      </c>
      <c r="T2671" s="44">
        <f>IF(Mecze[[#This Row],[Role]]&lt;&gt;"BR",SUMPRODUCT(Mecze[[#This Row],[/PR:90]:[/BR:90]],Brudnopis!$E$24:$J$24),0)</f>
        <v>0.1173469387755102</v>
      </c>
      <c r="U2671" s="44">
        <f>IF(Mecze[[#This Row],[Role]]&lt;&gt;"BR",SUMPRODUCT(Mecze[[#This Row],[/PR:90]:[/BR:90]],Brudnopis!$E$25:$J$25),0)</f>
        <v>0.13775510204081631</v>
      </c>
      <c r="V2671" s="44">
        <f>IF(Mecze[[#This Row],[Role]]&lt;&gt;"BR",SUMPRODUCT(Mecze[[#This Row],[/PR:90]:[/BR:90]],Brudnopis!$E$26:$J$26),0)</f>
        <v>0.12244897959183672</v>
      </c>
      <c r="W2671" s="44">
        <f>IF(Mecze[[#This Row],[Role]]&lt;&gt;"BR",SUMPRODUCT(Mecze[[#This Row],[/PR:90]:[/BR:90]],Brudnopis!$E$27:$J$27),0)</f>
        <v>0.13265306122448978</v>
      </c>
      <c r="X2671" s="44">
        <f>IF(Mecze[[#This Row],[Role]]&lt;&gt;"BR",SUMPRODUCT(Mecze[[#This Row],[/PR:90]:[/BR:90]],Brudnopis!$E$28:$J$28),0)</f>
        <v>0.11224489795918366</v>
      </c>
      <c r="Y2671" s="35">
        <f>IF(Mecze[[#This Row],[Role]]="BR",Mecze[[#This Row],[/OB:90]]+Mecze[[#This Row],[/PC:90]],SUM(Mecze[[#This Row],[/PR:90]:[/BR:90]]))</f>
        <v>0.11224489795918366</v>
      </c>
      <c r="Z2671" s="35">
        <f>IF(Mecze[[#This Row],[KC]]=0,SUM(Mecze[[#This Row],[/BRI]:[/NPI]]),SUM(Mecze[[#This Row],[/BRI]:[/NPI]])*0.6)</f>
        <v>0.62244897959183665</v>
      </c>
      <c r="AA2671" s="10">
        <f>IFERROR(Mecze[[#This Row],[BR]]/Mecze[[#This Row],[ST]],0)</f>
        <v>0.33333333333333331</v>
      </c>
      <c r="AB2671">
        <f>ROUND(Mecze[[#This Row],[PD]]*Mecze[[#This Row],[%PC]],0)</f>
        <v>4</v>
      </c>
      <c r="AC2671">
        <f>ROUND(Mecze[[#This Row],[OD]]*Mecze[[#This Row],[%OU]],0)</f>
        <v>0</v>
      </c>
      <c r="AD2671" s="36" t="s">
        <v>46</v>
      </c>
      <c r="AE2671" s="36">
        <v>148</v>
      </c>
      <c r="AF2671" s="71">
        <v>8</v>
      </c>
      <c r="AG2671" s="37">
        <v>0</v>
      </c>
      <c r="AH2671" s="37">
        <v>0</v>
      </c>
      <c r="AI2671" s="37">
        <v>98</v>
      </c>
      <c r="AJ2671" s="37">
        <v>5</v>
      </c>
      <c r="AK2671" s="37" t="str">
        <f>VLOOKUP(Mecze[[#This Row],[Match ID]],Meczusie[Mecz]:Meczusie[RodzajMeczu],2,FALSE)</f>
        <v>Liga</v>
      </c>
    </row>
    <row r="2672" spans="1:37" x14ac:dyDescent="0.25">
      <c r="A2672" s="76">
        <v>10</v>
      </c>
      <c r="B2672" s="3" t="s">
        <v>352</v>
      </c>
      <c r="C2672" s="2" t="s">
        <v>165</v>
      </c>
      <c r="D2672" s="1">
        <v>1</v>
      </c>
      <c r="E2672" s="1">
        <v>6</v>
      </c>
      <c r="F2672" s="1">
        <v>5</v>
      </c>
      <c r="G2672" s="1">
        <v>2</v>
      </c>
      <c r="H2672" s="4">
        <v>0.5</v>
      </c>
      <c r="I2672" s="1">
        <v>3</v>
      </c>
      <c r="J2672" s="4">
        <v>0.67</v>
      </c>
      <c r="K2672" s="1">
        <v>0</v>
      </c>
      <c r="L2672" s="1">
        <v>0</v>
      </c>
      <c r="M2672" s="32">
        <f>IF(Mecze[[#This Row],[PR]]=0,0,Mecze[[#This Row],[PR]]/Mecze[[#This Row],[CZAS]])</f>
        <v>0</v>
      </c>
      <c r="N2672" s="32">
        <f>IF(Mecze[[#This Row],[OU]]=0,0,Mecze[[#This Row],[OU]]/Mecze[[#This Row],[CZAS]])</f>
        <v>2.0408163265306121E-2</v>
      </c>
      <c r="O2672" s="32">
        <f>IF(Mecze[[#This Row],[PC]]=0,0,Mecze[[#This Row],[PC]]/Mecze[[#This Row],[CZAS]])</f>
        <v>1.020408163265306E-2</v>
      </c>
      <c r="P2672" s="32">
        <f>IF(Mecze[[#This Row],[SC]]=0,0,Mecze[[#This Row],[SC]]/Mecze[[#This Row],[CZAS]])</f>
        <v>5.1020408163265307E-2</v>
      </c>
      <c r="Q2672" s="32">
        <f>IF(Mecze[[#This Row],[OB]]=0,0,Mecze[[#This Row],[OB]]/Mecze[[#This Row],[CZAS]])</f>
        <v>0</v>
      </c>
      <c r="R2672" s="32">
        <f>IF(Mecze[[#This Row],[BR]]=0,0,Mecze[[#This Row],[BR]]/Mecze[[#This Row],[CZAS]])</f>
        <v>1.020408163265306E-2</v>
      </c>
      <c r="S2672" s="44">
        <f>IF(Mecze[[#This Row],[Role]]="BR",SUMPRODUCT(Mecze[[#This Row],[/PR:90]:[/BR:90]],Brudnopis!$E$23:$J$23),0)</f>
        <v>0</v>
      </c>
      <c r="T2672" s="44">
        <f>IF(Mecze[[#This Row],[Role]]&lt;&gt;"BR",SUMPRODUCT(Mecze[[#This Row],[/PR:90]:[/BR:90]],Brudnopis!$E$24:$J$24),0)</f>
        <v>0.10714285714285714</v>
      </c>
      <c r="U2672" s="44">
        <f>IF(Mecze[[#This Row],[Role]]&lt;&gt;"BR",SUMPRODUCT(Mecze[[#This Row],[/PR:90]:[/BR:90]],Brudnopis!$E$25:$J$25),0)</f>
        <v>0.10204081632653061</v>
      </c>
      <c r="V2672" s="44">
        <f>IF(Mecze[[#This Row],[Role]]&lt;&gt;"BR",SUMPRODUCT(Mecze[[#This Row],[/PR:90]:[/BR:90]],Brudnopis!$E$26:$J$26),0)</f>
        <v>0.10204081632653061</v>
      </c>
      <c r="W2672" s="44">
        <f>IF(Mecze[[#This Row],[Role]]&lt;&gt;"BR",SUMPRODUCT(Mecze[[#This Row],[/PR:90]:[/BR:90]],Brudnopis!$E$27:$J$27),0)</f>
        <v>0.10204081632653061</v>
      </c>
      <c r="X2672" s="44">
        <f>IF(Mecze[[#This Row],[Role]]&lt;&gt;"BR",SUMPRODUCT(Mecze[[#This Row],[/PR:90]:[/BR:90]],Brudnopis!$E$28:$J$28),0)</f>
        <v>0.14285714285714285</v>
      </c>
      <c r="Y2672" s="35">
        <f>IF(Mecze[[#This Row],[Role]]="BR",Mecze[[#This Row],[/OB:90]]+Mecze[[#This Row],[/PC:90]],SUM(Mecze[[#This Row],[/PR:90]:[/BR:90]]))</f>
        <v>9.1836734693877556E-2</v>
      </c>
      <c r="Z2672" s="35">
        <f>IF(Mecze[[#This Row],[KC]]=0,SUM(Mecze[[#This Row],[/BRI]:[/NPI]]),SUM(Mecze[[#This Row],[/BRI]:[/NPI]])*0.6)</f>
        <v>0.55612244897959184</v>
      </c>
      <c r="AA2672" s="10">
        <f>IFERROR(Mecze[[#This Row],[BR]]/Mecze[[#This Row],[ST]],0)</f>
        <v>0.16666666666666666</v>
      </c>
      <c r="AB2672">
        <f>ROUND(Mecze[[#This Row],[PD]]*Mecze[[#This Row],[%PC]],0)</f>
        <v>1</v>
      </c>
      <c r="AC2672">
        <f>ROUND(Mecze[[#This Row],[OD]]*Mecze[[#This Row],[%OU]],0)</f>
        <v>2</v>
      </c>
      <c r="AD2672" s="36" t="s">
        <v>272</v>
      </c>
      <c r="AE2672" s="36">
        <v>148</v>
      </c>
      <c r="AF2672" s="71">
        <v>7.33</v>
      </c>
      <c r="AG2672" s="37">
        <v>0</v>
      </c>
      <c r="AH2672" s="37">
        <v>0</v>
      </c>
      <c r="AI2672" s="37">
        <v>98</v>
      </c>
      <c r="AJ2672" s="37">
        <v>5</v>
      </c>
      <c r="AK2672" s="37" t="str">
        <f>VLOOKUP(Mecze[[#This Row],[Match ID]],Meczusie[Mecz]:Meczusie[RodzajMeczu],2,FALSE)</f>
        <v>Liga</v>
      </c>
    </row>
    <row r="2673" spans="1:37" x14ac:dyDescent="0.25">
      <c r="A2673" s="76">
        <v>9</v>
      </c>
      <c r="B2673" s="3" t="s">
        <v>354</v>
      </c>
      <c r="C2673" s="2" t="s">
        <v>165</v>
      </c>
      <c r="D2673" s="1">
        <v>1</v>
      </c>
      <c r="E2673" s="1">
        <v>3</v>
      </c>
      <c r="F2673" s="1">
        <v>3</v>
      </c>
      <c r="G2673" s="1">
        <v>9</v>
      </c>
      <c r="H2673" s="4">
        <v>0.67</v>
      </c>
      <c r="I2673" s="1">
        <v>2</v>
      </c>
      <c r="J2673" s="4">
        <v>0</v>
      </c>
      <c r="K2673" s="1">
        <v>0</v>
      </c>
      <c r="L2673" s="1">
        <v>0</v>
      </c>
      <c r="M2673" s="32">
        <f>IF(Mecze[[#This Row],[PR]]=0,0,Mecze[[#This Row],[PR]]/Mecze[[#This Row],[CZAS]])</f>
        <v>0</v>
      </c>
      <c r="N2673" s="32">
        <f>IF(Mecze[[#This Row],[OU]]=0,0,Mecze[[#This Row],[OU]]/Mecze[[#This Row],[CZAS]])</f>
        <v>0</v>
      </c>
      <c r="O2673" s="32">
        <f>IF(Mecze[[#This Row],[PC]]=0,0,Mecze[[#This Row],[PC]]/Mecze[[#This Row],[CZAS]])</f>
        <v>6.1224489795918366E-2</v>
      </c>
      <c r="P2673" s="32">
        <f>IF(Mecze[[#This Row],[SC]]=0,0,Mecze[[#This Row],[SC]]/Mecze[[#This Row],[CZAS]])</f>
        <v>3.0612244897959183E-2</v>
      </c>
      <c r="Q2673" s="32">
        <f>IF(Mecze[[#This Row],[OB]]=0,0,Mecze[[#This Row],[OB]]/Mecze[[#This Row],[CZAS]])</f>
        <v>0</v>
      </c>
      <c r="R2673" s="32">
        <f>IF(Mecze[[#This Row],[BR]]=0,0,Mecze[[#This Row],[BR]]/Mecze[[#This Row],[CZAS]])</f>
        <v>1.020408163265306E-2</v>
      </c>
      <c r="S2673" s="44">
        <f>IF(Mecze[[#This Row],[Role]]="BR",SUMPRODUCT(Mecze[[#This Row],[/PR:90]:[/BR:90]],Brudnopis!$E$23:$J$23),0)</f>
        <v>0</v>
      </c>
      <c r="T2673" s="44">
        <f>IF(Mecze[[#This Row],[Role]]&lt;&gt;"BR",SUMPRODUCT(Mecze[[#This Row],[/PR:90]:[/BR:90]],Brudnopis!$E$24:$J$24),0)</f>
        <v>0.10714285714285714</v>
      </c>
      <c r="U2673" s="44">
        <f>IF(Mecze[[#This Row],[Role]]&lt;&gt;"BR",SUMPRODUCT(Mecze[[#This Row],[/PR:90]:[/BR:90]],Brudnopis!$E$25:$J$25),0)</f>
        <v>0.13775510204081631</v>
      </c>
      <c r="V2673" s="44">
        <f>IF(Mecze[[#This Row],[Role]]&lt;&gt;"BR",SUMPRODUCT(Mecze[[#This Row],[/PR:90]:[/BR:90]],Brudnopis!$E$26:$J$26),0)</f>
        <v>0.11224489795918366</v>
      </c>
      <c r="W2673" s="44">
        <f>IF(Mecze[[#This Row],[Role]]&lt;&gt;"BR",SUMPRODUCT(Mecze[[#This Row],[/PR:90]:[/BR:90]],Brudnopis!$E$27:$J$27),0)</f>
        <v>0.14285714285714285</v>
      </c>
      <c r="X2673" s="44">
        <f>IF(Mecze[[#This Row],[Role]]&lt;&gt;"BR",SUMPRODUCT(Mecze[[#This Row],[/PR:90]:[/BR:90]],Brudnopis!$E$28:$J$28),0)</f>
        <v>0.15306122448979592</v>
      </c>
      <c r="Y2673" s="35">
        <f>IF(Mecze[[#This Row],[Role]]="BR",Mecze[[#This Row],[/OB:90]]+Mecze[[#This Row],[/PC:90]],SUM(Mecze[[#This Row],[/PR:90]:[/BR:90]]))</f>
        <v>0.1020408163265306</v>
      </c>
      <c r="Z2673" s="35">
        <f>IF(Mecze[[#This Row],[KC]]=0,SUM(Mecze[[#This Row],[/BRI]:[/NPI]]),SUM(Mecze[[#This Row],[/BRI]:[/NPI]])*0.6)</f>
        <v>0.65306122448979587</v>
      </c>
      <c r="AA2673" s="10">
        <f>IFERROR(Mecze[[#This Row],[BR]]/Mecze[[#This Row],[ST]],0)</f>
        <v>0.33333333333333331</v>
      </c>
      <c r="AB2673">
        <f>ROUND(Mecze[[#This Row],[PD]]*Mecze[[#This Row],[%PC]],0)</f>
        <v>6</v>
      </c>
      <c r="AC2673">
        <f>ROUND(Mecze[[#This Row],[OD]]*Mecze[[#This Row],[%OU]],0)</f>
        <v>0</v>
      </c>
      <c r="AD2673" s="36" t="s">
        <v>273</v>
      </c>
      <c r="AE2673" s="36">
        <v>148</v>
      </c>
      <c r="AF2673" s="71">
        <v>8.2200000000000006</v>
      </c>
      <c r="AG2673" s="37">
        <v>0</v>
      </c>
      <c r="AH2673" s="37">
        <v>0</v>
      </c>
      <c r="AI2673" s="37">
        <v>98</v>
      </c>
      <c r="AJ2673" s="37">
        <v>5</v>
      </c>
      <c r="AK2673" s="37" t="str">
        <f>VLOOKUP(Mecze[[#This Row],[Match ID]],Meczusie[Mecz]:Meczusie[RodzajMeczu],2,FALSE)</f>
        <v>Liga</v>
      </c>
    </row>
    <row r="2674" spans="1:37" x14ac:dyDescent="0.25">
      <c r="A2674" s="76">
        <v>208</v>
      </c>
      <c r="B2674" s="3" t="s">
        <v>436</v>
      </c>
      <c r="C2674" s="2" t="s">
        <v>155</v>
      </c>
      <c r="D2674" s="1">
        <v>0</v>
      </c>
      <c r="E2674" s="1">
        <v>0</v>
      </c>
      <c r="F2674" s="1">
        <v>0</v>
      </c>
      <c r="G2674" s="1">
        <v>6</v>
      </c>
      <c r="H2674" s="4">
        <v>0.83</v>
      </c>
      <c r="I2674" s="1">
        <v>0</v>
      </c>
      <c r="J2674" s="4"/>
      <c r="K2674" s="1">
        <v>6</v>
      </c>
      <c r="L2674" s="1">
        <v>0</v>
      </c>
      <c r="M2674" s="32">
        <f>IF(Mecze[[#This Row],[PR]]=0,0,Mecze[[#This Row],[PR]]/Mecze[[#This Row],[CZAS]])</f>
        <v>0</v>
      </c>
      <c r="N2674" s="32">
        <f>IF(Mecze[[#This Row],[OU]]=0,0,Mecze[[#This Row],[OU]]/Mecze[[#This Row],[CZAS]])</f>
        <v>0</v>
      </c>
      <c r="O2674" s="32">
        <f>IF(Mecze[[#This Row],[PC]]=0,0,Mecze[[#This Row],[PC]]/Mecze[[#This Row],[CZAS]])</f>
        <v>5.1020408163265307E-2</v>
      </c>
      <c r="P2674" s="32">
        <f>IF(Mecze[[#This Row],[SC]]=0,0,Mecze[[#This Row],[SC]]/Mecze[[#This Row],[CZAS]])</f>
        <v>0</v>
      </c>
      <c r="Q2674" s="32">
        <f>IF(Mecze[[#This Row],[OB]]=0,0,Mecze[[#This Row],[OB]]/Mecze[[#This Row],[CZAS]])</f>
        <v>6.1224489795918366E-2</v>
      </c>
      <c r="R2674" s="32">
        <f>IF(Mecze[[#This Row],[BR]]=0,0,Mecze[[#This Row],[BR]]/Mecze[[#This Row],[CZAS]])</f>
        <v>0</v>
      </c>
      <c r="S2674" s="44">
        <f>IF(Mecze[[#This Row],[Role]]="BR",SUMPRODUCT(Mecze[[#This Row],[/PR:90]:[/BR:90]],Brudnopis!$E$23:$J$23),0)</f>
        <v>0.33673469387755101</v>
      </c>
      <c r="T2674" s="44">
        <f>IF(Mecze[[#This Row],[Role]]&lt;&gt;"BR",SUMPRODUCT(Mecze[[#This Row],[/PR:90]:[/BR:90]],Brudnopis!$E$24:$J$24),0)</f>
        <v>0</v>
      </c>
      <c r="U2674" s="44">
        <f>IF(Mecze[[#This Row],[Role]]&lt;&gt;"BR",SUMPRODUCT(Mecze[[#This Row],[/PR:90]:[/BR:90]],Brudnopis!$E$25:$J$25),0)</f>
        <v>0</v>
      </c>
      <c r="V2674" s="44">
        <f>IF(Mecze[[#This Row],[Role]]&lt;&gt;"BR",SUMPRODUCT(Mecze[[#This Row],[/PR:90]:[/BR:90]],Brudnopis!$E$26:$J$26),0)</f>
        <v>0</v>
      </c>
      <c r="W2674" s="44">
        <f>IF(Mecze[[#This Row],[Role]]&lt;&gt;"BR",SUMPRODUCT(Mecze[[#This Row],[/PR:90]:[/BR:90]],Brudnopis!$E$27:$J$27),0)</f>
        <v>0</v>
      </c>
      <c r="X2674" s="44">
        <f>IF(Mecze[[#This Row],[Role]]&lt;&gt;"BR",SUMPRODUCT(Mecze[[#This Row],[/PR:90]:[/BR:90]],Brudnopis!$E$28:$J$28),0)</f>
        <v>0</v>
      </c>
      <c r="Y2674" s="35">
        <f>IF(Mecze[[#This Row],[Role]]="BR",Mecze[[#This Row],[/OB:90]]+Mecze[[#This Row],[/PC:90]],SUM(Mecze[[#This Row],[/PR:90]:[/BR:90]]))</f>
        <v>0.11224489795918367</v>
      </c>
      <c r="Z2674" s="35">
        <f>IF(Mecze[[#This Row],[KC]]=0,SUM(Mecze[[#This Row],[/BRI]:[/NPI]]),SUM(Mecze[[#This Row],[/BRI]:[/NPI]])*0.6)</f>
        <v>0.33673469387755101</v>
      </c>
      <c r="AA2674" s="10">
        <f>IFERROR(Mecze[[#This Row],[BR]]/Mecze[[#This Row],[ST]],0)</f>
        <v>0</v>
      </c>
      <c r="AB2674">
        <f>ROUND(Mecze[[#This Row],[PD]]*Mecze[[#This Row],[%PC]],0)</f>
        <v>5</v>
      </c>
      <c r="AC2674">
        <f>ROUND(Mecze[[#This Row],[OD]]*Mecze[[#This Row],[%OU]],0)</f>
        <v>0</v>
      </c>
      <c r="AD2674" s="36" t="s">
        <v>40</v>
      </c>
      <c r="AE2674" s="36">
        <v>149</v>
      </c>
      <c r="AF2674" s="71">
        <v>11.25</v>
      </c>
      <c r="AG2674" s="37">
        <v>0</v>
      </c>
      <c r="AH2674" s="37">
        <v>0</v>
      </c>
      <c r="AI2674" s="37">
        <v>98</v>
      </c>
      <c r="AJ2674" s="37">
        <v>7</v>
      </c>
      <c r="AK2674" s="37" t="str">
        <f>VLOOKUP(Mecze[[#This Row],[Match ID]],Meczusie[Mecz]:Meczusie[RodzajMeczu],2,FALSE)</f>
        <v>Liga</v>
      </c>
    </row>
    <row r="2675" spans="1:37" x14ac:dyDescent="0.25">
      <c r="A2675" s="76">
        <v>204</v>
      </c>
      <c r="B2675" s="3" t="s">
        <v>334</v>
      </c>
      <c r="C2675" s="2" t="s">
        <v>157</v>
      </c>
      <c r="D2675" s="1">
        <v>0</v>
      </c>
      <c r="E2675" s="1">
        <v>1</v>
      </c>
      <c r="F2675" s="1">
        <v>1</v>
      </c>
      <c r="G2675" s="1">
        <v>14</v>
      </c>
      <c r="H2675" s="4">
        <v>0.79</v>
      </c>
      <c r="I2675" s="1">
        <v>11</v>
      </c>
      <c r="J2675" s="4">
        <v>0.73</v>
      </c>
      <c r="K2675" s="1">
        <v>0</v>
      </c>
      <c r="L2675" s="1">
        <v>7</v>
      </c>
      <c r="M2675" s="32">
        <f>IF(Mecze[[#This Row],[PR]]=0,0,Mecze[[#This Row],[PR]]/Mecze[[#This Row],[CZAS]])</f>
        <v>7.1428571428571425E-2</v>
      </c>
      <c r="N2675" s="32">
        <f>IF(Mecze[[#This Row],[OU]]=0,0,Mecze[[#This Row],[OU]]/Mecze[[#This Row],[CZAS]])</f>
        <v>8.1632653061224483E-2</v>
      </c>
      <c r="O2675" s="32">
        <f>IF(Mecze[[#This Row],[PC]]=0,0,Mecze[[#This Row],[PC]]/Mecze[[#This Row],[CZAS]])</f>
        <v>0.11224489795918367</v>
      </c>
      <c r="P2675" s="32">
        <f>IF(Mecze[[#This Row],[SC]]=0,0,Mecze[[#This Row],[SC]]/Mecze[[#This Row],[CZAS]])</f>
        <v>1.020408163265306E-2</v>
      </c>
      <c r="Q2675" s="32">
        <f>IF(Mecze[[#This Row],[OB]]=0,0,Mecze[[#This Row],[OB]]/Mecze[[#This Row],[CZAS]])</f>
        <v>0</v>
      </c>
      <c r="R2675" s="32">
        <f>IF(Mecze[[#This Row],[BR]]=0,0,Mecze[[#This Row],[BR]]/Mecze[[#This Row],[CZAS]])</f>
        <v>0</v>
      </c>
      <c r="S2675" s="44">
        <f>IF(Mecze[[#This Row],[Role]]="BR",SUMPRODUCT(Mecze[[#This Row],[/PR:90]:[/BR:90]],Brudnopis!$E$23:$J$23),0)</f>
        <v>0</v>
      </c>
      <c r="T2675" s="44">
        <f>IF(Mecze[[#This Row],[Role]]&lt;&gt;"BR",SUMPRODUCT(Mecze[[#This Row],[/PR:90]:[/BR:90]],Brudnopis!$E$24:$J$24),0)</f>
        <v>0.31632653061224492</v>
      </c>
      <c r="U2675" s="44">
        <f>IF(Mecze[[#This Row],[Role]]&lt;&gt;"BR",SUMPRODUCT(Mecze[[#This Row],[/PR:90]:[/BR:90]],Brudnopis!$E$25:$J$25),0)</f>
        <v>0.33163265306122447</v>
      </c>
      <c r="V2675" s="44">
        <f>IF(Mecze[[#This Row],[Role]]&lt;&gt;"BR",SUMPRODUCT(Mecze[[#This Row],[/PR:90]:[/BR:90]],Brudnopis!$E$26:$J$26),0)</f>
        <v>0.27551020408163268</v>
      </c>
      <c r="W2675" s="44">
        <f>IF(Mecze[[#This Row],[Role]]&lt;&gt;"BR",SUMPRODUCT(Mecze[[#This Row],[/PR:90]:[/BR:90]],Brudnopis!$E$27:$J$27),0)</f>
        <v>0.29336734693877553</v>
      </c>
      <c r="X2675" s="44">
        <f>IF(Mecze[[#This Row],[Role]]&lt;&gt;"BR",SUMPRODUCT(Mecze[[#This Row],[/PR:90]:[/BR:90]],Brudnopis!$E$28:$J$28),0)</f>
        <v>0.1326530612244898</v>
      </c>
      <c r="Y2675" s="35">
        <f>IF(Mecze[[#This Row],[Role]]="BR",Mecze[[#This Row],[/OB:90]]+Mecze[[#This Row],[/PC:90]],SUM(Mecze[[#This Row],[/PR:90]:[/BR:90]]))</f>
        <v>0.27551020408163268</v>
      </c>
      <c r="Z2675" s="35">
        <f>IF(Mecze[[#This Row],[KC]]=0,SUM(Mecze[[#This Row],[/BRI]:[/NPI]]),SUM(Mecze[[#This Row],[/BRI]:[/NPI]])*0.6)</f>
        <v>1.3494897959183674</v>
      </c>
      <c r="AA2675" s="10">
        <f>IFERROR(Mecze[[#This Row],[BR]]/Mecze[[#This Row],[ST]],0)</f>
        <v>0</v>
      </c>
      <c r="AB2675">
        <f>ROUND(Mecze[[#This Row],[PD]]*Mecze[[#This Row],[%PC]],0)</f>
        <v>11</v>
      </c>
      <c r="AC2675">
        <f>ROUND(Mecze[[#This Row],[OD]]*Mecze[[#This Row],[%OU]],0)</f>
        <v>8</v>
      </c>
      <c r="AD2675" s="36" t="s">
        <v>47</v>
      </c>
      <c r="AE2675" s="36">
        <v>149</v>
      </c>
      <c r="AF2675" s="71">
        <v>9.6300000000000008</v>
      </c>
      <c r="AG2675" s="37">
        <v>0</v>
      </c>
      <c r="AH2675" s="37">
        <v>0</v>
      </c>
      <c r="AI2675" s="37">
        <v>98</v>
      </c>
      <c r="AJ2675" s="37">
        <v>7</v>
      </c>
      <c r="AK2675" s="37" t="str">
        <f>VLOOKUP(Mecze[[#This Row],[Match ID]],Meczusie[Mecz]:Meczusie[RodzajMeczu],2,FALSE)</f>
        <v>Liga</v>
      </c>
    </row>
    <row r="2676" spans="1:37" x14ac:dyDescent="0.25">
      <c r="A2676" s="76">
        <v>150</v>
      </c>
      <c r="B2676" s="3" t="s">
        <v>335</v>
      </c>
      <c r="C2676" s="2" t="s">
        <v>157</v>
      </c>
      <c r="D2676" s="1">
        <v>0</v>
      </c>
      <c r="E2676" s="1">
        <v>0</v>
      </c>
      <c r="F2676" s="1">
        <v>0</v>
      </c>
      <c r="G2676" s="1">
        <v>5</v>
      </c>
      <c r="H2676" s="4">
        <v>0.8</v>
      </c>
      <c r="I2676" s="1">
        <v>6</v>
      </c>
      <c r="J2676" s="4">
        <v>0.83</v>
      </c>
      <c r="K2676" s="1">
        <v>0</v>
      </c>
      <c r="L2676" s="1">
        <v>4</v>
      </c>
      <c r="M2676" s="32">
        <f>IF(Mecze[[#This Row],[PR]]=0,0,Mecze[[#This Row],[PR]]/Mecze[[#This Row],[CZAS]])</f>
        <v>4.0816326530612242E-2</v>
      </c>
      <c r="N2676" s="32">
        <f>IF(Mecze[[#This Row],[OU]]=0,0,Mecze[[#This Row],[OU]]/Mecze[[#This Row],[CZAS]])</f>
        <v>5.1020408163265307E-2</v>
      </c>
      <c r="O2676" s="32">
        <f>IF(Mecze[[#This Row],[PC]]=0,0,Mecze[[#This Row],[PC]]/Mecze[[#This Row],[CZAS]])</f>
        <v>4.0816326530612242E-2</v>
      </c>
      <c r="P2676" s="32">
        <f>IF(Mecze[[#This Row],[SC]]=0,0,Mecze[[#This Row],[SC]]/Mecze[[#This Row],[CZAS]])</f>
        <v>0</v>
      </c>
      <c r="Q2676" s="32">
        <f>IF(Mecze[[#This Row],[OB]]=0,0,Mecze[[#This Row],[OB]]/Mecze[[#This Row],[CZAS]])</f>
        <v>0</v>
      </c>
      <c r="R2676" s="32">
        <f>IF(Mecze[[#This Row],[BR]]=0,0,Mecze[[#This Row],[BR]]/Mecze[[#This Row],[CZAS]])</f>
        <v>0</v>
      </c>
      <c r="S2676" s="44">
        <f>IF(Mecze[[#This Row],[Role]]="BR",SUMPRODUCT(Mecze[[#This Row],[/PR:90]:[/BR:90]],Brudnopis!$E$23:$J$23),0)</f>
        <v>0</v>
      </c>
      <c r="T2676" s="44">
        <f>IF(Mecze[[#This Row],[Role]]&lt;&gt;"BR",SUMPRODUCT(Mecze[[#This Row],[/PR:90]:[/BR:90]],Brudnopis!$E$24:$J$24),0)</f>
        <v>0.15816326530612243</v>
      </c>
      <c r="U2676" s="44">
        <f>IF(Mecze[[#This Row],[Role]]&lt;&gt;"BR",SUMPRODUCT(Mecze[[#This Row],[/PR:90]:[/BR:90]],Brudnopis!$E$25:$J$25),0)</f>
        <v>0.15306122448979592</v>
      </c>
      <c r="V2676" s="44">
        <f>IF(Mecze[[#This Row],[Role]]&lt;&gt;"BR",SUMPRODUCT(Mecze[[#This Row],[/PR:90]:[/BR:90]],Brudnopis!$E$26:$J$26),0)</f>
        <v>0.13265306122448978</v>
      </c>
      <c r="W2676" s="44">
        <f>IF(Mecze[[#This Row],[Role]]&lt;&gt;"BR",SUMPRODUCT(Mecze[[#This Row],[/PR:90]:[/BR:90]],Brudnopis!$E$27:$J$27),0)</f>
        <v>0.13010204081632654</v>
      </c>
      <c r="X2676" s="44">
        <f>IF(Mecze[[#This Row],[Role]]&lt;&gt;"BR",SUMPRODUCT(Mecze[[#This Row],[/PR:90]:[/BR:90]],Brudnopis!$E$28:$J$28),0)</f>
        <v>4.0816326530612242E-2</v>
      </c>
      <c r="Y2676" s="35">
        <f>IF(Mecze[[#This Row],[Role]]="BR",Mecze[[#This Row],[/OB:90]]+Mecze[[#This Row],[/PC:90]],SUM(Mecze[[#This Row],[/PR:90]:[/BR:90]]))</f>
        <v>0.13265306122448978</v>
      </c>
      <c r="Z2676" s="35">
        <f>IF(Mecze[[#This Row],[KC]]=0,SUM(Mecze[[#This Row],[/BRI]:[/NPI]]),SUM(Mecze[[#This Row],[/BRI]:[/NPI]])*0.6)</f>
        <v>0.61479591836734693</v>
      </c>
      <c r="AA2676" s="10">
        <f>IFERROR(Mecze[[#This Row],[BR]]/Mecze[[#This Row],[ST]],0)</f>
        <v>0</v>
      </c>
      <c r="AB2676">
        <f>ROUND(Mecze[[#This Row],[PD]]*Mecze[[#This Row],[%PC]],0)</f>
        <v>4</v>
      </c>
      <c r="AC2676">
        <f>ROUND(Mecze[[#This Row],[OD]]*Mecze[[#This Row],[%OU]],0)</f>
        <v>5</v>
      </c>
      <c r="AD2676" s="36" t="s">
        <v>168</v>
      </c>
      <c r="AE2676" s="36">
        <v>149</v>
      </c>
      <c r="AF2676" s="71">
        <v>10.199999999999999</v>
      </c>
      <c r="AG2676" s="37">
        <v>0</v>
      </c>
      <c r="AH2676" s="37">
        <v>0</v>
      </c>
      <c r="AI2676" s="37">
        <v>98</v>
      </c>
      <c r="AJ2676" s="37">
        <v>7</v>
      </c>
      <c r="AK2676" s="37" t="str">
        <f>VLOOKUP(Mecze[[#This Row],[Match ID]],Meczusie[Mecz]:Meczusie[RodzajMeczu],2,FALSE)</f>
        <v>Liga</v>
      </c>
    </row>
    <row r="2677" spans="1:37" x14ac:dyDescent="0.25">
      <c r="A2677" s="76">
        <v>156</v>
      </c>
      <c r="B2677" s="3" t="s">
        <v>443</v>
      </c>
      <c r="C2677" s="2" t="s">
        <v>157</v>
      </c>
      <c r="D2677" s="1">
        <v>0</v>
      </c>
      <c r="E2677" s="1">
        <v>0</v>
      </c>
      <c r="F2677" s="1">
        <v>0</v>
      </c>
      <c r="G2677" s="1">
        <v>4</v>
      </c>
      <c r="H2677" s="4">
        <v>0.75</v>
      </c>
      <c r="I2677" s="1">
        <v>5</v>
      </c>
      <c r="J2677" s="4">
        <v>0</v>
      </c>
      <c r="K2677" s="1">
        <v>0</v>
      </c>
      <c r="L2677" s="1">
        <v>3</v>
      </c>
      <c r="M2677" s="32">
        <f>IF(Mecze[[#This Row],[PR]]=0,0,Mecze[[#This Row],[PR]]/Mecze[[#This Row],[CZAS]])</f>
        <v>3.0612244897959183E-2</v>
      </c>
      <c r="N2677" s="32">
        <f>IF(Mecze[[#This Row],[OU]]=0,0,Mecze[[#This Row],[OU]]/Mecze[[#This Row],[CZAS]])</f>
        <v>0</v>
      </c>
      <c r="O2677" s="32">
        <f>IF(Mecze[[#This Row],[PC]]=0,0,Mecze[[#This Row],[PC]]/Mecze[[#This Row],[CZAS]])</f>
        <v>3.0612244897959183E-2</v>
      </c>
      <c r="P2677" s="32">
        <f>IF(Mecze[[#This Row],[SC]]=0,0,Mecze[[#This Row],[SC]]/Mecze[[#This Row],[CZAS]])</f>
        <v>0</v>
      </c>
      <c r="Q2677" s="32">
        <f>IF(Mecze[[#This Row],[OB]]=0,0,Mecze[[#This Row],[OB]]/Mecze[[#This Row],[CZAS]])</f>
        <v>0</v>
      </c>
      <c r="R2677" s="32">
        <f>IF(Mecze[[#This Row],[BR]]=0,0,Mecze[[#This Row],[BR]]/Mecze[[#This Row],[CZAS]])</f>
        <v>0</v>
      </c>
      <c r="S2677" s="44">
        <f>IF(Mecze[[#This Row],[Role]]="BR",SUMPRODUCT(Mecze[[#This Row],[/PR:90]:[/BR:90]],Brudnopis!$E$23:$J$23),0)</f>
        <v>0</v>
      </c>
      <c r="T2677" s="44">
        <f>IF(Mecze[[#This Row],[Role]]&lt;&gt;"BR",SUMPRODUCT(Mecze[[#This Row],[/PR:90]:[/BR:90]],Brudnopis!$E$24:$J$24),0)</f>
        <v>6.1224489795918366E-2</v>
      </c>
      <c r="U2677" s="44">
        <f>IF(Mecze[[#This Row],[Role]]&lt;&gt;"BR",SUMPRODUCT(Mecze[[#This Row],[/PR:90]:[/BR:90]],Brudnopis!$E$25:$J$25),0)</f>
        <v>7.6530612244897961E-2</v>
      </c>
      <c r="V2677" s="44">
        <f>IF(Mecze[[#This Row],[Role]]&lt;&gt;"BR",SUMPRODUCT(Mecze[[#This Row],[/PR:90]:[/BR:90]],Brudnopis!$E$26:$J$26),0)</f>
        <v>6.1224489795918366E-2</v>
      </c>
      <c r="W2677" s="44">
        <f>IF(Mecze[[#This Row],[Role]]&lt;&gt;"BR",SUMPRODUCT(Mecze[[#This Row],[/PR:90]:[/BR:90]],Brudnopis!$E$27:$J$27),0)</f>
        <v>6.8877551020408156E-2</v>
      </c>
      <c r="X2677" s="44">
        <f>IF(Mecze[[#This Row],[Role]]&lt;&gt;"BR",SUMPRODUCT(Mecze[[#This Row],[/PR:90]:[/BR:90]],Brudnopis!$E$28:$J$28),0)</f>
        <v>3.0612244897959183E-2</v>
      </c>
      <c r="Y2677" s="35">
        <f>IF(Mecze[[#This Row],[Role]]="BR",Mecze[[#This Row],[/OB:90]]+Mecze[[#This Row],[/PC:90]],SUM(Mecze[[#This Row],[/PR:90]:[/BR:90]]))</f>
        <v>6.1224489795918366E-2</v>
      </c>
      <c r="Z2677" s="35">
        <f>IF(Mecze[[#This Row],[KC]]=0,SUM(Mecze[[#This Row],[/BRI]:[/NPI]]),SUM(Mecze[[#This Row],[/BRI]:[/NPI]])*0.6)</f>
        <v>0.29846938775510201</v>
      </c>
      <c r="AA2677" s="10">
        <f>IFERROR(Mecze[[#This Row],[BR]]/Mecze[[#This Row],[ST]],0)</f>
        <v>0</v>
      </c>
      <c r="AB2677">
        <f>ROUND(Mecze[[#This Row],[PD]]*Mecze[[#This Row],[%PC]],0)</f>
        <v>3</v>
      </c>
      <c r="AC2677">
        <f>ROUND(Mecze[[#This Row],[OD]]*Mecze[[#This Row],[%OU]],0)</f>
        <v>0</v>
      </c>
      <c r="AD2677" s="36" t="s">
        <v>167</v>
      </c>
      <c r="AE2677" s="36">
        <v>149</v>
      </c>
      <c r="AF2677" s="71">
        <v>7.67</v>
      </c>
      <c r="AG2677" s="37">
        <v>0</v>
      </c>
      <c r="AH2677" s="37">
        <v>0</v>
      </c>
      <c r="AI2677" s="37">
        <v>98</v>
      </c>
      <c r="AJ2677" s="37">
        <v>7</v>
      </c>
      <c r="AK2677" s="37" t="str">
        <f>VLOOKUP(Mecze[[#This Row],[Match ID]],Meczusie[Mecz]:Meczusie[RodzajMeczu],2,FALSE)</f>
        <v>Liga</v>
      </c>
    </row>
    <row r="2678" spans="1:37" x14ac:dyDescent="0.25">
      <c r="A2678" s="76">
        <v>116</v>
      </c>
      <c r="B2678" s="3" t="s">
        <v>425</v>
      </c>
      <c r="C2678" s="2" t="s">
        <v>157</v>
      </c>
      <c r="D2678" s="1">
        <v>0</v>
      </c>
      <c r="E2678" s="1">
        <v>0</v>
      </c>
      <c r="F2678" s="1">
        <v>0</v>
      </c>
      <c r="G2678" s="1">
        <v>1</v>
      </c>
      <c r="H2678" s="4">
        <v>0</v>
      </c>
      <c r="I2678" s="1">
        <v>1</v>
      </c>
      <c r="J2678" s="4">
        <v>1</v>
      </c>
      <c r="K2678" s="1">
        <v>0</v>
      </c>
      <c r="L2678" s="1">
        <v>2</v>
      </c>
      <c r="M2678" s="32">
        <f>IF(Mecze[[#This Row],[PR]]=0,0,Mecze[[#This Row],[PR]]/Mecze[[#This Row],[CZAS]])</f>
        <v>2.0408163265306121E-2</v>
      </c>
      <c r="N2678" s="32">
        <f>IF(Mecze[[#This Row],[OU]]=0,0,Mecze[[#This Row],[OU]]/Mecze[[#This Row],[CZAS]])</f>
        <v>1.020408163265306E-2</v>
      </c>
      <c r="O2678" s="32">
        <f>IF(Mecze[[#This Row],[PC]]=0,0,Mecze[[#This Row],[PC]]/Mecze[[#This Row],[CZAS]])</f>
        <v>0</v>
      </c>
      <c r="P2678" s="32">
        <f>IF(Mecze[[#This Row],[SC]]=0,0,Mecze[[#This Row],[SC]]/Mecze[[#This Row],[CZAS]])</f>
        <v>0</v>
      </c>
      <c r="Q2678" s="32">
        <f>IF(Mecze[[#This Row],[OB]]=0,0,Mecze[[#This Row],[OB]]/Mecze[[#This Row],[CZAS]])</f>
        <v>0</v>
      </c>
      <c r="R2678" s="32">
        <f>IF(Mecze[[#This Row],[BR]]=0,0,Mecze[[#This Row],[BR]]/Mecze[[#This Row],[CZAS]])</f>
        <v>0</v>
      </c>
      <c r="S2678" s="44">
        <f>IF(Mecze[[#This Row],[Role]]="BR",SUMPRODUCT(Mecze[[#This Row],[/PR:90]:[/BR:90]],Brudnopis!$E$23:$J$23),0)</f>
        <v>0</v>
      </c>
      <c r="T2678" s="44">
        <f>IF(Mecze[[#This Row],[Role]]&lt;&gt;"BR",SUMPRODUCT(Mecze[[#This Row],[/PR:90]:[/BR:90]],Brudnopis!$E$24:$J$24),0)</f>
        <v>3.5714285714285712E-2</v>
      </c>
      <c r="U2678" s="44">
        <f>IF(Mecze[[#This Row],[Role]]&lt;&gt;"BR",SUMPRODUCT(Mecze[[#This Row],[/PR:90]:[/BR:90]],Brudnopis!$E$25:$J$25),0)</f>
        <v>3.0612244897959183E-2</v>
      </c>
      <c r="V2678" s="44">
        <f>IF(Mecze[[#This Row],[Role]]&lt;&gt;"BR",SUMPRODUCT(Mecze[[#This Row],[/PR:90]:[/BR:90]],Brudnopis!$E$26:$J$26),0)</f>
        <v>3.0612244897959183E-2</v>
      </c>
      <c r="W2678" s="44">
        <f>IF(Mecze[[#This Row],[Role]]&lt;&gt;"BR",SUMPRODUCT(Mecze[[#This Row],[/PR:90]:[/BR:90]],Brudnopis!$E$27:$J$27),0)</f>
        <v>2.2959183673469385E-2</v>
      </c>
      <c r="X2678" s="44">
        <f>IF(Mecze[[#This Row],[Role]]&lt;&gt;"BR",SUMPRODUCT(Mecze[[#This Row],[/PR:90]:[/BR:90]],Brudnopis!$E$28:$J$28),0)</f>
        <v>0</v>
      </c>
      <c r="Y2678" s="35">
        <f>IF(Mecze[[#This Row],[Role]]="BR",Mecze[[#This Row],[/OB:90]]+Mecze[[#This Row],[/PC:90]],SUM(Mecze[[#This Row],[/PR:90]:[/BR:90]]))</f>
        <v>3.0612244897959183E-2</v>
      </c>
      <c r="Z2678" s="35">
        <f>IF(Mecze[[#This Row],[KC]]=0,SUM(Mecze[[#This Row],[/BRI]:[/NPI]]),SUM(Mecze[[#This Row],[/BRI]:[/NPI]])*0.6)</f>
        <v>0.11989795918367346</v>
      </c>
      <c r="AA2678" s="10">
        <f>IFERROR(Mecze[[#This Row],[BR]]/Mecze[[#This Row],[ST]],0)</f>
        <v>0</v>
      </c>
      <c r="AB2678">
        <f>ROUND(Mecze[[#This Row],[PD]]*Mecze[[#This Row],[%PC]],0)</f>
        <v>0</v>
      </c>
      <c r="AC2678">
        <f>ROUND(Mecze[[#This Row],[OD]]*Mecze[[#This Row],[%OU]],0)</f>
        <v>1</v>
      </c>
      <c r="AD2678" s="36" t="s">
        <v>175</v>
      </c>
      <c r="AE2678" s="36">
        <v>149</v>
      </c>
      <c r="AF2678" s="71">
        <v>7.46</v>
      </c>
      <c r="AG2678" s="37">
        <v>0</v>
      </c>
      <c r="AH2678" s="37">
        <v>0</v>
      </c>
      <c r="AI2678" s="37">
        <v>98</v>
      </c>
      <c r="AJ2678" s="37">
        <v>7</v>
      </c>
      <c r="AK2678" s="37" t="str">
        <f>VLOOKUP(Mecze[[#This Row],[Match ID]],Meczusie[Mecz]:Meczusie[RodzajMeczu],2,FALSE)</f>
        <v>Liga</v>
      </c>
    </row>
    <row r="2679" spans="1:37" x14ac:dyDescent="0.25">
      <c r="A2679" s="76">
        <v>151</v>
      </c>
      <c r="B2679" s="3" t="s">
        <v>337</v>
      </c>
      <c r="C2679" s="2" t="s">
        <v>157</v>
      </c>
      <c r="D2679" s="1">
        <v>0</v>
      </c>
      <c r="E2679" s="1">
        <v>0</v>
      </c>
      <c r="F2679" s="1">
        <v>0</v>
      </c>
      <c r="G2679" s="1">
        <v>3</v>
      </c>
      <c r="H2679" s="4">
        <v>0.67</v>
      </c>
      <c r="I2679" s="1">
        <v>0</v>
      </c>
      <c r="J2679" s="4"/>
      <c r="K2679" s="1">
        <v>0</v>
      </c>
      <c r="L2679" s="1">
        <v>1</v>
      </c>
      <c r="M2679" s="32">
        <f>IF(Mecze[[#This Row],[PR]]=0,0,Mecze[[#This Row],[PR]]/Mecze[[#This Row],[CZAS]])</f>
        <v>1.020408163265306E-2</v>
      </c>
      <c r="N2679" s="32">
        <f>IF(Mecze[[#This Row],[OU]]=0,0,Mecze[[#This Row],[OU]]/Mecze[[#This Row],[CZAS]])</f>
        <v>0</v>
      </c>
      <c r="O2679" s="32">
        <f>IF(Mecze[[#This Row],[PC]]=0,0,Mecze[[#This Row],[PC]]/Mecze[[#This Row],[CZAS]])</f>
        <v>2.0408163265306121E-2</v>
      </c>
      <c r="P2679" s="32">
        <f>IF(Mecze[[#This Row],[SC]]=0,0,Mecze[[#This Row],[SC]]/Mecze[[#This Row],[CZAS]])</f>
        <v>0</v>
      </c>
      <c r="Q2679" s="32">
        <f>IF(Mecze[[#This Row],[OB]]=0,0,Mecze[[#This Row],[OB]]/Mecze[[#This Row],[CZAS]])</f>
        <v>0</v>
      </c>
      <c r="R2679" s="32">
        <f>IF(Mecze[[#This Row],[BR]]=0,0,Mecze[[#This Row],[BR]]/Mecze[[#This Row],[CZAS]])</f>
        <v>0</v>
      </c>
      <c r="S2679" s="44">
        <f>IF(Mecze[[#This Row],[Role]]="BR",SUMPRODUCT(Mecze[[#This Row],[/PR:90]:[/BR:90]],Brudnopis!$E$23:$J$23),0)</f>
        <v>0</v>
      </c>
      <c r="T2679" s="44">
        <f>IF(Mecze[[#This Row],[Role]]&lt;&gt;"BR",SUMPRODUCT(Mecze[[#This Row],[/PR:90]:[/BR:90]],Brudnopis!$E$24:$J$24),0)</f>
        <v>3.0612244897959183E-2</v>
      </c>
      <c r="U2679" s="44">
        <f>IF(Mecze[[#This Row],[Role]]&lt;&gt;"BR",SUMPRODUCT(Mecze[[#This Row],[/PR:90]:[/BR:90]],Brudnopis!$E$25:$J$25),0)</f>
        <v>4.0816326530612242E-2</v>
      </c>
      <c r="V2679" s="44">
        <f>IF(Mecze[[#This Row],[Role]]&lt;&gt;"BR",SUMPRODUCT(Mecze[[#This Row],[/PR:90]:[/BR:90]],Brudnopis!$E$26:$J$26),0)</f>
        <v>3.0612244897959183E-2</v>
      </c>
      <c r="W2679" s="44">
        <f>IF(Mecze[[#This Row],[Role]]&lt;&gt;"BR",SUMPRODUCT(Mecze[[#This Row],[/PR:90]:[/BR:90]],Brudnopis!$E$27:$J$27),0)</f>
        <v>3.826530612244898E-2</v>
      </c>
      <c r="X2679" s="44">
        <f>IF(Mecze[[#This Row],[Role]]&lt;&gt;"BR",SUMPRODUCT(Mecze[[#This Row],[/PR:90]:[/BR:90]],Brudnopis!$E$28:$J$28),0)</f>
        <v>2.0408163265306121E-2</v>
      </c>
      <c r="Y2679" s="35">
        <f>IF(Mecze[[#This Row],[Role]]="BR",Mecze[[#This Row],[/OB:90]]+Mecze[[#This Row],[/PC:90]],SUM(Mecze[[#This Row],[/PR:90]:[/BR:90]]))</f>
        <v>3.0612244897959183E-2</v>
      </c>
      <c r="Z2679" s="35">
        <f>IF(Mecze[[#This Row],[KC]]=0,SUM(Mecze[[#This Row],[/BRI]:[/NPI]]),SUM(Mecze[[#This Row],[/BRI]:[/NPI]])*0.6)</f>
        <v>0.16071428571428573</v>
      </c>
      <c r="AA2679" s="10">
        <f>IFERROR(Mecze[[#This Row],[BR]]/Mecze[[#This Row],[ST]],0)</f>
        <v>0</v>
      </c>
      <c r="AB2679">
        <f>ROUND(Mecze[[#This Row],[PD]]*Mecze[[#This Row],[%PC]],0)</f>
        <v>2</v>
      </c>
      <c r="AC2679">
        <f>ROUND(Mecze[[#This Row],[OD]]*Mecze[[#This Row],[%OU]],0)</f>
        <v>0</v>
      </c>
      <c r="AD2679" s="36" t="s">
        <v>174</v>
      </c>
      <c r="AE2679" s="36">
        <v>149</v>
      </c>
      <c r="AF2679" s="71">
        <v>7.25</v>
      </c>
      <c r="AG2679" s="37">
        <v>0</v>
      </c>
      <c r="AH2679" s="37">
        <v>0</v>
      </c>
      <c r="AI2679" s="37">
        <v>98</v>
      </c>
      <c r="AJ2679" s="37">
        <v>7</v>
      </c>
      <c r="AK2679" s="37" t="str">
        <f>VLOOKUP(Mecze[[#This Row],[Match ID]],Meczusie[Mecz]:Meczusie[RodzajMeczu],2,FALSE)</f>
        <v>Liga</v>
      </c>
    </row>
    <row r="2680" spans="1:37" x14ac:dyDescent="0.25">
      <c r="A2680" s="76">
        <v>159</v>
      </c>
      <c r="B2680" s="3" t="s">
        <v>338</v>
      </c>
      <c r="C2680" s="2" t="s">
        <v>160</v>
      </c>
      <c r="D2680" s="1">
        <v>0</v>
      </c>
      <c r="E2680" s="1">
        <v>0</v>
      </c>
      <c r="F2680" s="1">
        <v>0</v>
      </c>
      <c r="G2680" s="1">
        <v>23</v>
      </c>
      <c r="H2680" s="4">
        <v>0.74</v>
      </c>
      <c r="I2680" s="1">
        <v>12</v>
      </c>
      <c r="J2680" s="4">
        <v>0.83</v>
      </c>
      <c r="K2680" s="1">
        <v>0</v>
      </c>
      <c r="L2680" s="1">
        <v>8</v>
      </c>
      <c r="M2680" s="32">
        <f>IF(Mecze[[#This Row],[PR]]=0,0,Mecze[[#This Row],[PR]]/Mecze[[#This Row],[CZAS]])</f>
        <v>8.1632653061224483E-2</v>
      </c>
      <c r="N2680" s="32">
        <f>IF(Mecze[[#This Row],[OU]]=0,0,Mecze[[#This Row],[OU]]/Mecze[[#This Row],[CZAS]])</f>
        <v>0.10204081632653061</v>
      </c>
      <c r="O2680" s="32">
        <f>IF(Mecze[[#This Row],[PC]]=0,0,Mecze[[#This Row],[PC]]/Mecze[[#This Row],[CZAS]])</f>
        <v>0.17346938775510204</v>
      </c>
      <c r="P2680" s="32">
        <f>IF(Mecze[[#This Row],[SC]]=0,0,Mecze[[#This Row],[SC]]/Mecze[[#This Row],[CZAS]])</f>
        <v>0</v>
      </c>
      <c r="Q2680" s="32">
        <f>IF(Mecze[[#This Row],[OB]]=0,0,Mecze[[#This Row],[OB]]/Mecze[[#This Row],[CZAS]])</f>
        <v>0</v>
      </c>
      <c r="R2680" s="32">
        <f>IF(Mecze[[#This Row],[BR]]=0,0,Mecze[[#This Row],[BR]]/Mecze[[#This Row],[CZAS]])</f>
        <v>0</v>
      </c>
      <c r="S2680" s="44">
        <f>IF(Mecze[[#This Row],[Role]]="BR",SUMPRODUCT(Mecze[[#This Row],[/PR:90]:[/BR:90]],Brudnopis!$E$23:$J$23),0)</f>
        <v>0</v>
      </c>
      <c r="T2680" s="44">
        <f>IF(Mecze[[#This Row],[Role]]&lt;&gt;"BR",SUMPRODUCT(Mecze[[#This Row],[/PR:90]:[/BR:90]],Brudnopis!$E$24:$J$24),0)</f>
        <v>0.40816326530612246</v>
      </c>
      <c r="U2680" s="44">
        <f>IF(Mecze[[#This Row],[Role]]&lt;&gt;"BR",SUMPRODUCT(Mecze[[#This Row],[/PR:90]:[/BR:90]],Brudnopis!$E$25:$J$25),0)</f>
        <v>0.44387755102040816</v>
      </c>
      <c r="V2680" s="44">
        <f>IF(Mecze[[#This Row],[Role]]&lt;&gt;"BR",SUMPRODUCT(Mecze[[#This Row],[/PR:90]:[/BR:90]],Brudnopis!$E$26:$J$26),0)</f>
        <v>0.3571428571428571</v>
      </c>
      <c r="W2680" s="44">
        <f>IF(Mecze[[#This Row],[Role]]&lt;&gt;"BR",SUMPRODUCT(Mecze[[#This Row],[/PR:90]:[/BR:90]],Brudnopis!$E$27:$J$27),0)</f>
        <v>0.39795918367346939</v>
      </c>
      <c r="X2680" s="44">
        <f>IF(Mecze[[#This Row],[Role]]&lt;&gt;"BR",SUMPRODUCT(Mecze[[#This Row],[/PR:90]:[/BR:90]],Brudnopis!$E$28:$J$28),0)</f>
        <v>0.17346938775510204</v>
      </c>
      <c r="Y2680" s="35">
        <f>IF(Mecze[[#This Row],[Role]]="BR",Mecze[[#This Row],[/OB:90]]+Mecze[[#This Row],[/PC:90]],SUM(Mecze[[#This Row],[/PR:90]:[/BR:90]]))</f>
        <v>0.3571428571428571</v>
      </c>
      <c r="Z2680" s="35">
        <f>IF(Mecze[[#This Row],[KC]]=0,SUM(Mecze[[#This Row],[/BRI]:[/NPI]]),SUM(Mecze[[#This Row],[/BRI]:[/NPI]])*0.6)</f>
        <v>1.7806122448979593</v>
      </c>
      <c r="AA2680" s="10">
        <f>IFERROR(Mecze[[#This Row],[BR]]/Mecze[[#This Row],[ST]],0)</f>
        <v>0</v>
      </c>
      <c r="AB2680">
        <f>ROUND(Mecze[[#This Row],[PD]]*Mecze[[#This Row],[%PC]],0)</f>
        <v>17</v>
      </c>
      <c r="AC2680">
        <f>ROUND(Mecze[[#This Row],[OD]]*Mecze[[#This Row],[%OU]],0)</f>
        <v>10</v>
      </c>
      <c r="AD2680" s="36" t="s">
        <v>41</v>
      </c>
      <c r="AE2680" s="36">
        <v>149</v>
      </c>
      <c r="AF2680" s="71">
        <v>8.82</v>
      </c>
      <c r="AG2680" s="37">
        <v>1</v>
      </c>
      <c r="AH2680" s="37">
        <v>0</v>
      </c>
      <c r="AI2680" s="37">
        <v>98</v>
      </c>
      <c r="AJ2680" s="37">
        <v>7</v>
      </c>
      <c r="AK2680" s="37" t="str">
        <f>VLOOKUP(Mecze[[#This Row],[Match ID]],Meczusie[Mecz]:Meczusie[RodzajMeczu],2,FALSE)</f>
        <v>Liga</v>
      </c>
    </row>
    <row r="2681" spans="1:37" x14ac:dyDescent="0.25">
      <c r="A2681" s="76">
        <v>200</v>
      </c>
      <c r="B2681" s="3" t="s">
        <v>339</v>
      </c>
      <c r="C2681" s="2" t="s">
        <v>160</v>
      </c>
      <c r="D2681" s="1">
        <v>0</v>
      </c>
      <c r="E2681" s="1">
        <v>0</v>
      </c>
      <c r="F2681" s="1">
        <v>0</v>
      </c>
      <c r="G2681" s="1">
        <v>14</v>
      </c>
      <c r="H2681" s="4">
        <v>0.79</v>
      </c>
      <c r="I2681" s="1">
        <v>6</v>
      </c>
      <c r="J2681" s="4">
        <v>0.5</v>
      </c>
      <c r="K2681" s="1">
        <v>0</v>
      </c>
      <c r="L2681" s="1">
        <v>9</v>
      </c>
      <c r="M2681" s="32">
        <f>IF(Mecze[[#This Row],[PR]]=0,0,Mecze[[#This Row],[PR]]/Mecze[[#This Row],[CZAS]])</f>
        <v>9.1836734693877556E-2</v>
      </c>
      <c r="N2681" s="32">
        <f>IF(Mecze[[#This Row],[OU]]=0,0,Mecze[[#This Row],[OU]]/Mecze[[#This Row],[CZAS]])</f>
        <v>3.0612244897959183E-2</v>
      </c>
      <c r="O2681" s="32">
        <f>IF(Mecze[[#This Row],[PC]]=0,0,Mecze[[#This Row],[PC]]/Mecze[[#This Row],[CZAS]])</f>
        <v>0.11224489795918367</v>
      </c>
      <c r="P2681" s="32">
        <f>IF(Mecze[[#This Row],[SC]]=0,0,Mecze[[#This Row],[SC]]/Mecze[[#This Row],[CZAS]])</f>
        <v>0</v>
      </c>
      <c r="Q2681" s="32">
        <f>IF(Mecze[[#This Row],[OB]]=0,0,Mecze[[#This Row],[OB]]/Mecze[[#This Row],[CZAS]])</f>
        <v>0</v>
      </c>
      <c r="R2681" s="32">
        <f>IF(Mecze[[#This Row],[BR]]=0,0,Mecze[[#This Row],[BR]]/Mecze[[#This Row],[CZAS]])</f>
        <v>0</v>
      </c>
      <c r="S2681" s="44">
        <f>IF(Mecze[[#This Row],[Role]]="BR",SUMPRODUCT(Mecze[[#This Row],[/PR:90]:[/BR:90]],Brudnopis!$E$23:$J$23),0)</f>
        <v>0</v>
      </c>
      <c r="T2681" s="44">
        <f>IF(Mecze[[#This Row],[Role]]&lt;&gt;"BR",SUMPRODUCT(Mecze[[#This Row],[/PR:90]:[/BR:90]],Brudnopis!$E$24:$J$24),0)</f>
        <v>0.25</v>
      </c>
      <c r="U2681" s="44">
        <f>IF(Mecze[[#This Row],[Role]]&lt;&gt;"BR",SUMPRODUCT(Mecze[[#This Row],[/PR:90]:[/BR:90]],Brudnopis!$E$25:$J$25),0)</f>
        <v>0.29081632653061223</v>
      </c>
      <c r="V2681" s="44">
        <f>IF(Mecze[[#This Row],[Role]]&lt;&gt;"BR",SUMPRODUCT(Mecze[[#This Row],[/PR:90]:[/BR:90]],Brudnopis!$E$26:$J$26),0)</f>
        <v>0.23469387755102039</v>
      </c>
      <c r="W2681" s="44">
        <f>IF(Mecze[[#This Row],[Role]]&lt;&gt;"BR",SUMPRODUCT(Mecze[[#This Row],[/PR:90]:[/BR:90]],Brudnopis!$E$27:$J$27),0)</f>
        <v>0.26020408163265307</v>
      </c>
      <c r="X2681" s="44">
        <f>IF(Mecze[[#This Row],[Role]]&lt;&gt;"BR",SUMPRODUCT(Mecze[[#This Row],[/PR:90]:[/BR:90]],Brudnopis!$E$28:$J$28),0)</f>
        <v>0.11224489795918367</v>
      </c>
      <c r="Y2681" s="35">
        <f>IF(Mecze[[#This Row],[Role]]="BR",Mecze[[#This Row],[/OB:90]]+Mecze[[#This Row],[/PC:90]],SUM(Mecze[[#This Row],[/PR:90]:[/BR:90]]))</f>
        <v>0.23469387755102039</v>
      </c>
      <c r="Z2681" s="35">
        <f>IF(Mecze[[#This Row],[KC]]=0,SUM(Mecze[[#This Row],[/BRI]:[/NPI]]),SUM(Mecze[[#This Row],[/BRI]:[/NPI]])*0.6)</f>
        <v>1.1479591836734693</v>
      </c>
      <c r="AA2681" s="10">
        <f>IFERROR(Mecze[[#This Row],[BR]]/Mecze[[#This Row],[ST]],0)</f>
        <v>0</v>
      </c>
      <c r="AB2681">
        <f>ROUND(Mecze[[#This Row],[PD]]*Mecze[[#This Row],[%PC]],0)</f>
        <v>11</v>
      </c>
      <c r="AC2681">
        <f>ROUND(Mecze[[#This Row],[OD]]*Mecze[[#This Row],[%OU]],0)</f>
        <v>3</v>
      </c>
      <c r="AD2681" s="36" t="s">
        <v>41</v>
      </c>
      <c r="AE2681" s="36">
        <v>149</v>
      </c>
      <c r="AF2681" s="71">
        <v>10.14</v>
      </c>
      <c r="AG2681" s="37">
        <v>0</v>
      </c>
      <c r="AH2681" s="37">
        <v>0</v>
      </c>
      <c r="AI2681" s="37">
        <v>98</v>
      </c>
      <c r="AJ2681" s="37">
        <v>7</v>
      </c>
      <c r="AK2681" s="37" t="str">
        <f>VLOOKUP(Mecze[[#This Row],[Match ID]],Meczusie[Mecz]:Meczusie[RodzajMeczu],2,FALSE)</f>
        <v>Liga</v>
      </c>
    </row>
    <row r="2682" spans="1:37" x14ac:dyDescent="0.25">
      <c r="A2682" s="76">
        <v>70</v>
      </c>
      <c r="B2682" s="3" t="s">
        <v>341</v>
      </c>
      <c r="C2682" s="2" t="s">
        <v>160</v>
      </c>
      <c r="D2682" s="1">
        <v>0</v>
      </c>
      <c r="E2682" s="1">
        <v>0</v>
      </c>
      <c r="F2682" s="1">
        <v>0</v>
      </c>
      <c r="G2682" s="1">
        <v>7</v>
      </c>
      <c r="H2682" s="4">
        <v>0.86</v>
      </c>
      <c r="I2682" s="1">
        <v>0</v>
      </c>
      <c r="J2682" s="4"/>
      <c r="K2682" s="1">
        <v>0</v>
      </c>
      <c r="L2682" s="1">
        <v>0</v>
      </c>
      <c r="M2682" s="32">
        <f>IF(Mecze[[#This Row],[PR]]=0,0,Mecze[[#This Row],[PR]]/Mecze[[#This Row],[CZAS]])</f>
        <v>0</v>
      </c>
      <c r="N2682" s="32">
        <f>IF(Mecze[[#This Row],[OU]]=0,0,Mecze[[#This Row],[OU]]/Mecze[[#This Row],[CZAS]])</f>
        <v>0</v>
      </c>
      <c r="O2682" s="32">
        <f>IF(Mecze[[#This Row],[PC]]=0,0,Mecze[[#This Row],[PC]]/Mecze[[#This Row],[CZAS]])</f>
        <v>6.1224489795918366E-2</v>
      </c>
      <c r="P2682" s="32">
        <f>IF(Mecze[[#This Row],[SC]]=0,0,Mecze[[#This Row],[SC]]/Mecze[[#This Row],[CZAS]])</f>
        <v>0</v>
      </c>
      <c r="Q2682" s="32">
        <f>IF(Mecze[[#This Row],[OB]]=0,0,Mecze[[#This Row],[OB]]/Mecze[[#This Row],[CZAS]])</f>
        <v>0</v>
      </c>
      <c r="R2682" s="32">
        <f>IF(Mecze[[#This Row],[BR]]=0,0,Mecze[[#This Row],[BR]]/Mecze[[#This Row],[CZAS]])</f>
        <v>0</v>
      </c>
      <c r="S2682" s="44">
        <f>IF(Mecze[[#This Row],[Role]]="BR",SUMPRODUCT(Mecze[[#This Row],[/PR:90]:[/BR:90]],Brudnopis!$E$23:$J$23),0)</f>
        <v>0</v>
      </c>
      <c r="T2682" s="44">
        <f>IF(Mecze[[#This Row],[Role]]&lt;&gt;"BR",SUMPRODUCT(Mecze[[#This Row],[/PR:90]:[/BR:90]],Brudnopis!$E$24:$J$24),0)</f>
        <v>6.1224489795918366E-2</v>
      </c>
      <c r="U2682" s="44">
        <f>IF(Mecze[[#This Row],[Role]]&lt;&gt;"BR",SUMPRODUCT(Mecze[[#This Row],[/PR:90]:[/BR:90]],Brudnopis!$E$25:$J$25),0)</f>
        <v>9.1836734693877542E-2</v>
      </c>
      <c r="V2682" s="44">
        <f>IF(Mecze[[#This Row],[Role]]&lt;&gt;"BR",SUMPRODUCT(Mecze[[#This Row],[/PR:90]:[/BR:90]],Brudnopis!$E$26:$J$26),0)</f>
        <v>6.1224489795918366E-2</v>
      </c>
      <c r="W2682" s="44">
        <f>IF(Mecze[[#This Row],[Role]]&lt;&gt;"BR",SUMPRODUCT(Mecze[[#This Row],[/PR:90]:[/BR:90]],Brudnopis!$E$27:$J$27),0)</f>
        <v>9.1836734693877542E-2</v>
      </c>
      <c r="X2682" s="44">
        <f>IF(Mecze[[#This Row],[Role]]&lt;&gt;"BR",SUMPRODUCT(Mecze[[#This Row],[/PR:90]:[/BR:90]],Brudnopis!$E$28:$J$28),0)</f>
        <v>6.1224489795918366E-2</v>
      </c>
      <c r="Y2682" s="35">
        <f>IF(Mecze[[#This Row],[Role]]="BR",Mecze[[#This Row],[/OB:90]]+Mecze[[#This Row],[/PC:90]],SUM(Mecze[[#This Row],[/PR:90]:[/BR:90]]))</f>
        <v>6.1224489795918366E-2</v>
      </c>
      <c r="Z2682" s="35">
        <f>IF(Mecze[[#This Row],[KC]]=0,SUM(Mecze[[#This Row],[/BRI]:[/NPI]]),SUM(Mecze[[#This Row],[/BRI]:[/NPI]])*0.6)</f>
        <v>0.36734693877551022</v>
      </c>
      <c r="AA2682" s="10">
        <f>IFERROR(Mecze[[#This Row],[BR]]/Mecze[[#This Row],[ST]],0)</f>
        <v>0</v>
      </c>
      <c r="AB2682">
        <f>ROUND(Mecze[[#This Row],[PD]]*Mecze[[#This Row],[%PC]],0)</f>
        <v>6</v>
      </c>
      <c r="AC2682">
        <f>ROUND(Mecze[[#This Row],[OD]]*Mecze[[#This Row],[%OU]],0)</f>
        <v>0</v>
      </c>
      <c r="AD2682" s="36" t="s">
        <v>299</v>
      </c>
      <c r="AE2682" s="36">
        <v>149</v>
      </c>
      <c r="AF2682" s="71">
        <v>9.16</v>
      </c>
      <c r="AG2682" s="37">
        <v>0</v>
      </c>
      <c r="AH2682" s="37">
        <v>0</v>
      </c>
      <c r="AI2682" s="37">
        <v>98</v>
      </c>
      <c r="AJ2682" s="37">
        <v>7</v>
      </c>
      <c r="AK2682" s="37" t="str">
        <f>VLOOKUP(Mecze[[#This Row],[Match ID]],Meczusie[Mecz]:Meczusie[RodzajMeczu],2,FALSE)</f>
        <v>Liga</v>
      </c>
    </row>
    <row r="2683" spans="1:37" x14ac:dyDescent="0.25">
      <c r="A2683" s="76">
        <v>203</v>
      </c>
      <c r="B2683" s="3" t="s">
        <v>342</v>
      </c>
      <c r="C2683" s="2" t="s">
        <v>165</v>
      </c>
      <c r="D2683" s="1">
        <v>3</v>
      </c>
      <c r="E2683" s="1">
        <v>15</v>
      </c>
      <c r="F2683" s="1">
        <v>13</v>
      </c>
      <c r="G2683" s="1">
        <v>4</v>
      </c>
      <c r="H2683" s="4">
        <v>0.25</v>
      </c>
      <c r="I2683" s="1">
        <v>1</v>
      </c>
      <c r="J2683" s="4">
        <v>1</v>
      </c>
      <c r="K2683" s="1">
        <v>0</v>
      </c>
      <c r="L2683" s="1">
        <v>0</v>
      </c>
      <c r="M2683" s="32">
        <f>IF(Mecze[[#This Row],[PR]]=0,0,Mecze[[#This Row],[PR]]/Mecze[[#This Row],[CZAS]])</f>
        <v>0</v>
      </c>
      <c r="N2683" s="32">
        <f>IF(Mecze[[#This Row],[OU]]=0,0,Mecze[[#This Row],[OU]]/Mecze[[#This Row],[CZAS]])</f>
        <v>1.020408163265306E-2</v>
      </c>
      <c r="O2683" s="32">
        <f>IF(Mecze[[#This Row],[PC]]=0,0,Mecze[[#This Row],[PC]]/Mecze[[#This Row],[CZAS]])</f>
        <v>1.020408163265306E-2</v>
      </c>
      <c r="P2683" s="32">
        <f>IF(Mecze[[#This Row],[SC]]=0,0,Mecze[[#This Row],[SC]]/Mecze[[#This Row],[CZAS]])</f>
        <v>0.1326530612244898</v>
      </c>
      <c r="Q2683" s="32">
        <f>IF(Mecze[[#This Row],[OB]]=0,0,Mecze[[#This Row],[OB]]/Mecze[[#This Row],[CZAS]])</f>
        <v>0</v>
      </c>
      <c r="R2683" s="32">
        <f>IF(Mecze[[#This Row],[BR]]=0,0,Mecze[[#This Row],[BR]]/Mecze[[#This Row],[CZAS]])</f>
        <v>3.0612244897959183E-2</v>
      </c>
      <c r="S2683" s="44">
        <f>IF(Mecze[[#This Row],[Role]]="BR",SUMPRODUCT(Mecze[[#This Row],[/PR:90]:[/BR:90]],Brudnopis!$E$23:$J$23),0)</f>
        <v>0</v>
      </c>
      <c r="T2683" s="44">
        <f>IF(Mecze[[#This Row],[Role]]&lt;&gt;"BR",SUMPRODUCT(Mecze[[#This Row],[/PR:90]:[/BR:90]],Brudnopis!$E$24:$J$24),0)</f>
        <v>0.20408163265306123</v>
      </c>
      <c r="U2683" s="44">
        <f>IF(Mecze[[#This Row],[Role]]&lt;&gt;"BR",SUMPRODUCT(Mecze[[#This Row],[/PR:90]:[/BR:90]],Brudnopis!$E$25:$J$25),0)</f>
        <v>0.20408163265306123</v>
      </c>
      <c r="V2683" s="44">
        <f>IF(Mecze[[#This Row],[Role]]&lt;&gt;"BR",SUMPRODUCT(Mecze[[#This Row],[/PR:90]:[/BR:90]],Brudnopis!$E$26:$J$26),0)</f>
        <v>0.2142857142857143</v>
      </c>
      <c r="W2683" s="44">
        <f>IF(Mecze[[#This Row],[Role]]&lt;&gt;"BR",SUMPRODUCT(Mecze[[#This Row],[/PR:90]:[/BR:90]],Brudnopis!$E$27:$J$27),0)</f>
        <v>0.21683673469387754</v>
      </c>
      <c r="X2683" s="44">
        <f>IF(Mecze[[#This Row],[Role]]&lt;&gt;"BR",SUMPRODUCT(Mecze[[#This Row],[/PR:90]:[/BR:90]],Brudnopis!$E$28:$J$28),0)</f>
        <v>0.36734693877551022</v>
      </c>
      <c r="Y2683" s="35">
        <f>IF(Mecze[[#This Row],[Role]]="BR",Mecze[[#This Row],[/OB:90]]+Mecze[[#This Row],[/PC:90]],SUM(Mecze[[#This Row],[/PR:90]:[/BR:90]]))</f>
        <v>0.18367346938775511</v>
      </c>
      <c r="Z2683" s="35">
        <f>IF(Mecze[[#This Row],[KC]]=0,SUM(Mecze[[#This Row],[/BRI]:[/NPI]]),SUM(Mecze[[#This Row],[/BRI]:[/NPI]])*0.6)</f>
        <v>1.2066326530612246</v>
      </c>
      <c r="AA2683" s="10">
        <f>IFERROR(Mecze[[#This Row],[BR]]/Mecze[[#This Row],[ST]],0)</f>
        <v>0.2</v>
      </c>
      <c r="AB2683">
        <f>ROUND(Mecze[[#This Row],[PD]]*Mecze[[#This Row],[%PC]],0)</f>
        <v>1</v>
      </c>
      <c r="AC2683">
        <f>ROUND(Mecze[[#This Row],[OD]]*Mecze[[#This Row],[%OU]],0)</f>
        <v>1</v>
      </c>
      <c r="AD2683" s="36" t="s">
        <v>46</v>
      </c>
      <c r="AE2683" s="36">
        <v>149</v>
      </c>
      <c r="AF2683" s="71">
        <v>13.69</v>
      </c>
      <c r="AG2683" s="37">
        <v>0</v>
      </c>
      <c r="AH2683" s="37">
        <v>0</v>
      </c>
      <c r="AI2683" s="37">
        <v>98</v>
      </c>
      <c r="AJ2683" s="37">
        <v>7</v>
      </c>
      <c r="AK2683" s="37" t="str">
        <f>VLOOKUP(Mecze[[#This Row],[Match ID]],Meczusie[Mecz]:Meczusie[RodzajMeczu],2,FALSE)</f>
        <v>Liga</v>
      </c>
    </row>
    <row r="2684" spans="1:37" x14ac:dyDescent="0.25">
      <c r="A2684" s="76">
        <v>104</v>
      </c>
      <c r="B2684" s="3" t="s">
        <v>343</v>
      </c>
      <c r="C2684" s="2" t="s">
        <v>165</v>
      </c>
      <c r="D2684" s="1">
        <v>0</v>
      </c>
      <c r="E2684" s="1">
        <v>0</v>
      </c>
      <c r="F2684" s="1">
        <v>0</v>
      </c>
      <c r="G2684" s="1">
        <v>19</v>
      </c>
      <c r="H2684" s="4">
        <v>0.89</v>
      </c>
      <c r="I2684" s="1">
        <v>5</v>
      </c>
      <c r="J2684" s="4">
        <v>0.2</v>
      </c>
      <c r="K2684" s="1">
        <v>0</v>
      </c>
      <c r="L2684" s="1">
        <v>1</v>
      </c>
      <c r="M2684" s="32">
        <f>IF(Mecze[[#This Row],[PR]]=0,0,Mecze[[#This Row],[PR]]/Mecze[[#This Row],[CZAS]])</f>
        <v>1.020408163265306E-2</v>
      </c>
      <c r="N2684" s="32">
        <f>IF(Mecze[[#This Row],[OU]]=0,0,Mecze[[#This Row],[OU]]/Mecze[[#This Row],[CZAS]])</f>
        <v>1.020408163265306E-2</v>
      </c>
      <c r="O2684" s="32">
        <f>IF(Mecze[[#This Row],[PC]]=0,0,Mecze[[#This Row],[PC]]/Mecze[[#This Row],[CZAS]])</f>
        <v>0.17346938775510204</v>
      </c>
      <c r="P2684" s="32">
        <f>IF(Mecze[[#This Row],[SC]]=0,0,Mecze[[#This Row],[SC]]/Mecze[[#This Row],[CZAS]])</f>
        <v>0</v>
      </c>
      <c r="Q2684" s="32">
        <f>IF(Mecze[[#This Row],[OB]]=0,0,Mecze[[#This Row],[OB]]/Mecze[[#This Row],[CZAS]])</f>
        <v>0</v>
      </c>
      <c r="R2684" s="32">
        <f>IF(Mecze[[#This Row],[BR]]=0,0,Mecze[[#This Row],[BR]]/Mecze[[#This Row],[CZAS]])</f>
        <v>0</v>
      </c>
      <c r="S2684" s="44">
        <f>IF(Mecze[[#This Row],[Role]]="BR",SUMPRODUCT(Mecze[[#This Row],[/PR:90]:[/BR:90]],Brudnopis!$E$23:$J$23),0)</f>
        <v>0</v>
      </c>
      <c r="T2684" s="44">
        <f>IF(Mecze[[#This Row],[Role]]&lt;&gt;"BR",SUMPRODUCT(Mecze[[#This Row],[/PR:90]:[/BR:90]],Brudnopis!$E$24:$J$24),0)</f>
        <v>0.19897959183673469</v>
      </c>
      <c r="U2684" s="44">
        <f>IF(Mecze[[#This Row],[Role]]&lt;&gt;"BR",SUMPRODUCT(Mecze[[#This Row],[/PR:90]:[/BR:90]],Brudnopis!$E$25:$J$25),0)</f>
        <v>0.28061224489795922</v>
      </c>
      <c r="V2684" s="44">
        <f>IF(Mecze[[#This Row],[Role]]&lt;&gt;"BR",SUMPRODUCT(Mecze[[#This Row],[/PR:90]:[/BR:90]],Brudnopis!$E$26:$J$26),0)</f>
        <v>0.19387755102040816</v>
      </c>
      <c r="W2684" s="44">
        <f>IF(Mecze[[#This Row],[Role]]&lt;&gt;"BR",SUMPRODUCT(Mecze[[#This Row],[/PR:90]:[/BR:90]],Brudnopis!$E$27:$J$27),0)</f>
        <v>0.27551020408163268</v>
      </c>
      <c r="X2684" s="44">
        <f>IF(Mecze[[#This Row],[Role]]&lt;&gt;"BR",SUMPRODUCT(Mecze[[#This Row],[/PR:90]:[/BR:90]],Brudnopis!$E$28:$J$28),0)</f>
        <v>0.17346938775510204</v>
      </c>
      <c r="Y2684" s="35">
        <f>IF(Mecze[[#This Row],[Role]]="BR",Mecze[[#This Row],[/OB:90]]+Mecze[[#This Row],[/PC:90]],SUM(Mecze[[#This Row],[/PR:90]:[/BR:90]]))</f>
        <v>0.19387755102040816</v>
      </c>
      <c r="Z2684" s="35">
        <f>IF(Mecze[[#This Row],[KC]]=0,SUM(Mecze[[#This Row],[/BRI]:[/NPI]]),SUM(Mecze[[#This Row],[/BRI]:[/NPI]])*0.6)</f>
        <v>1.1224489795918369</v>
      </c>
      <c r="AA2684" s="10">
        <f>IFERROR(Mecze[[#This Row],[BR]]/Mecze[[#This Row],[ST]],0)</f>
        <v>0</v>
      </c>
      <c r="AB2684">
        <f>ROUND(Mecze[[#This Row],[PD]]*Mecze[[#This Row],[%PC]],0)</f>
        <v>17</v>
      </c>
      <c r="AC2684">
        <f>ROUND(Mecze[[#This Row],[OD]]*Mecze[[#This Row],[%OU]],0)</f>
        <v>1</v>
      </c>
      <c r="AD2684" s="36" t="s">
        <v>355</v>
      </c>
      <c r="AE2684" s="36">
        <v>149</v>
      </c>
      <c r="AF2684" s="71">
        <v>6.18</v>
      </c>
      <c r="AG2684" s="37">
        <v>0</v>
      </c>
      <c r="AH2684" s="37">
        <v>0</v>
      </c>
      <c r="AI2684" s="37">
        <v>98</v>
      </c>
      <c r="AJ2684" s="37">
        <v>7</v>
      </c>
      <c r="AK2684" s="37" t="str">
        <f>VLOOKUP(Mecze[[#This Row],[Match ID]],Meczusie[Mecz]:Meczusie[RodzajMeczu],2,FALSE)</f>
        <v>Liga</v>
      </c>
    </row>
    <row r="2685" spans="1:37" x14ac:dyDescent="0.25">
      <c r="A2685" s="76">
        <v>201</v>
      </c>
      <c r="B2685" s="3" t="s">
        <v>456</v>
      </c>
      <c r="C2685" s="2" t="s">
        <v>165</v>
      </c>
      <c r="D2685" s="1">
        <v>2</v>
      </c>
      <c r="E2685" s="1">
        <v>4</v>
      </c>
      <c r="F2685" s="1">
        <v>4</v>
      </c>
      <c r="G2685" s="1">
        <v>1</v>
      </c>
      <c r="H2685" s="4">
        <v>1</v>
      </c>
      <c r="I2685" s="1">
        <v>0</v>
      </c>
      <c r="J2685" s="4"/>
      <c r="K2685" s="1">
        <v>0</v>
      </c>
      <c r="L2685" s="1">
        <v>0</v>
      </c>
      <c r="M2685" s="32">
        <f>IF(Mecze[[#This Row],[PR]]=0,0,Mecze[[#This Row],[PR]]/Mecze[[#This Row],[CZAS]])</f>
        <v>0</v>
      </c>
      <c r="N2685" s="32">
        <f>IF(Mecze[[#This Row],[OU]]=0,0,Mecze[[#This Row],[OU]]/Mecze[[#This Row],[CZAS]])</f>
        <v>0</v>
      </c>
      <c r="O2685" s="32">
        <f>IF(Mecze[[#This Row],[PC]]=0,0,Mecze[[#This Row],[PC]]/Mecze[[#This Row],[CZAS]])</f>
        <v>1.020408163265306E-2</v>
      </c>
      <c r="P2685" s="32">
        <f>IF(Mecze[[#This Row],[SC]]=0,0,Mecze[[#This Row],[SC]]/Mecze[[#This Row],[CZAS]])</f>
        <v>4.0816326530612242E-2</v>
      </c>
      <c r="Q2685" s="32">
        <f>IF(Mecze[[#This Row],[OB]]=0,0,Mecze[[#This Row],[OB]]/Mecze[[#This Row],[CZAS]])</f>
        <v>0</v>
      </c>
      <c r="R2685" s="32">
        <f>IF(Mecze[[#This Row],[BR]]=0,0,Mecze[[#This Row],[BR]]/Mecze[[#This Row],[CZAS]])</f>
        <v>2.0408163265306121E-2</v>
      </c>
      <c r="S2685" s="44">
        <f>IF(Mecze[[#This Row],[Role]]="BR",SUMPRODUCT(Mecze[[#This Row],[/PR:90]:[/BR:90]],Brudnopis!$E$23:$J$23),0)</f>
        <v>0</v>
      </c>
      <c r="T2685" s="44">
        <f>IF(Mecze[[#This Row],[Role]]&lt;&gt;"BR",SUMPRODUCT(Mecze[[#This Row],[/PR:90]:[/BR:90]],Brudnopis!$E$24:$J$24),0)</f>
        <v>8.1632653061224483E-2</v>
      </c>
      <c r="U2685" s="44">
        <f>IF(Mecze[[#This Row],[Role]]&lt;&gt;"BR",SUMPRODUCT(Mecze[[#This Row],[/PR:90]:[/BR:90]],Brudnopis!$E$25:$J$25),0)</f>
        <v>8.6734693877551006E-2</v>
      </c>
      <c r="V2685" s="44">
        <f>IF(Mecze[[#This Row],[Role]]&lt;&gt;"BR",SUMPRODUCT(Mecze[[#This Row],[/PR:90]:[/BR:90]],Brudnopis!$E$26:$J$26),0)</f>
        <v>9.1836734693877542E-2</v>
      </c>
      <c r="W2685" s="44">
        <f>IF(Mecze[[#This Row],[Role]]&lt;&gt;"BR",SUMPRODUCT(Mecze[[#This Row],[/PR:90]:[/BR:90]],Brudnopis!$E$27:$J$27),0)</f>
        <v>9.6938775510204078E-2</v>
      </c>
      <c r="X2685" s="44">
        <f>IF(Mecze[[#This Row],[Role]]&lt;&gt;"BR",SUMPRODUCT(Mecze[[#This Row],[/PR:90]:[/BR:90]],Brudnopis!$E$28:$J$28),0)</f>
        <v>0.15306122448979592</v>
      </c>
      <c r="Y2685" s="35">
        <f>IF(Mecze[[#This Row],[Role]]="BR",Mecze[[#This Row],[/OB:90]]+Mecze[[#This Row],[/PC:90]],SUM(Mecze[[#This Row],[/PR:90]:[/BR:90]]))</f>
        <v>7.1428571428571425E-2</v>
      </c>
      <c r="Z2685" s="35">
        <f>IF(Mecze[[#This Row],[KC]]=0,SUM(Mecze[[#This Row],[/BRI]:[/NPI]]),SUM(Mecze[[#This Row],[/BRI]:[/NPI]])*0.6)</f>
        <v>0.51020408163265296</v>
      </c>
      <c r="AA2685" s="10">
        <f>IFERROR(Mecze[[#This Row],[BR]]/Mecze[[#This Row],[ST]],0)</f>
        <v>0.5</v>
      </c>
      <c r="AB2685">
        <f>ROUND(Mecze[[#This Row],[PD]]*Mecze[[#This Row],[%PC]],0)</f>
        <v>1</v>
      </c>
      <c r="AC2685">
        <f>ROUND(Mecze[[#This Row],[OD]]*Mecze[[#This Row],[%OU]],0)</f>
        <v>0</v>
      </c>
      <c r="AD2685" s="36" t="s">
        <v>46</v>
      </c>
      <c r="AE2685" s="36">
        <v>149</v>
      </c>
      <c r="AF2685" s="71">
        <v>7.2</v>
      </c>
      <c r="AG2685" s="37">
        <v>0</v>
      </c>
      <c r="AH2685" s="37">
        <v>0</v>
      </c>
      <c r="AI2685" s="37">
        <v>98</v>
      </c>
      <c r="AJ2685" s="37">
        <v>7</v>
      </c>
      <c r="AK2685" s="37" t="str">
        <f>VLOOKUP(Mecze[[#This Row],[Match ID]],Meczusie[Mecz]:Meczusie[RodzajMeczu],2,FALSE)</f>
        <v>Liga</v>
      </c>
    </row>
    <row r="2686" spans="1:37" x14ac:dyDescent="0.25">
      <c r="A2686" s="76">
        <v>101</v>
      </c>
      <c r="B2686" s="3" t="s">
        <v>444</v>
      </c>
      <c r="C2686" s="2" t="s">
        <v>165</v>
      </c>
      <c r="D2686" s="1">
        <v>0</v>
      </c>
      <c r="E2686" s="1">
        <v>0</v>
      </c>
      <c r="F2686" s="1">
        <v>0</v>
      </c>
      <c r="G2686" s="1">
        <v>7</v>
      </c>
      <c r="H2686" s="4">
        <v>0.56999999999999995</v>
      </c>
      <c r="I2686" s="1">
        <v>0</v>
      </c>
      <c r="J2686" s="4"/>
      <c r="K2686" s="1">
        <v>0</v>
      </c>
      <c r="L2686" s="1">
        <v>0</v>
      </c>
      <c r="M2686" s="32">
        <f>IF(Mecze[[#This Row],[PR]]=0,0,Mecze[[#This Row],[PR]]/Mecze[[#This Row],[CZAS]])</f>
        <v>0</v>
      </c>
      <c r="N2686" s="32">
        <f>IF(Mecze[[#This Row],[OU]]=0,0,Mecze[[#This Row],[OU]]/Mecze[[#This Row],[CZAS]])</f>
        <v>0</v>
      </c>
      <c r="O2686" s="32">
        <f>IF(Mecze[[#This Row],[PC]]=0,0,Mecze[[#This Row],[PC]]/Mecze[[#This Row],[CZAS]])</f>
        <v>4.0816326530612242E-2</v>
      </c>
      <c r="P2686" s="32">
        <f>IF(Mecze[[#This Row],[SC]]=0,0,Mecze[[#This Row],[SC]]/Mecze[[#This Row],[CZAS]])</f>
        <v>0</v>
      </c>
      <c r="Q2686" s="32">
        <f>IF(Mecze[[#This Row],[OB]]=0,0,Mecze[[#This Row],[OB]]/Mecze[[#This Row],[CZAS]])</f>
        <v>0</v>
      </c>
      <c r="R2686" s="32">
        <f>IF(Mecze[[#This Row],[BR]]=0,0,Mecze[[#This Row],[BR]]/Mecze[[#This Row],[CZAS]])</f>
        <v>0</v>
      </c>
      <c r="S2686" s="44">
        <f>IF(Mecze[[#This Row],[Role]]="BR",SUMPRODUCT(Mecze[[#This Row],[/PR:90]:[/BR:90]],Brudnopis!$E$23:$J$23),0)</f>
        <v>0</v>
      </c>
      <c r="T2686" s="44">
        <f>IF(Mecze[[#This Row],[Role]]&lt;&gt;"BR",SUMPRODUCT(Mecze[[#This Row],[/PR:90]:[/BR:90]],Brudnopis!$E$24:$J$24),0)</f>
        <v>4.0816326530612242E-2</v>
      </c>
      <c r="U2686" s="44">
        <f>IF(Mecze[[#This Row],[Role]]&lt;&gt;"BR",SUMPRODUCT(Mecze[[#This Row],[/PR:90]:[/BR:90]],Brudnopis!$E$25:$J$25),0)</f>
        <v>6.1224489795918366E-2</v>
      </c>
      <c r="V2686" s="44">
        <f>IF(Mecze[[#This Row],[Role]]&lt;&gt;"BR",SUMPRODUCT(Mecze[[#This Row],[/PR:90]:[/BR:90]],Brudnopis!$E$26:$J$26),0)</f>
        <v>4.0816326530612242E-2</v>
      </c>
      <c r="W2686" s="44">
        <f>IF(Mecze[[#This Row],[Role]]&lt;&gt;"BR",SUMPRODUCT(Mecze[[#This Row],[/PR:90]:[/BR:90]],Brudnopis!$E$27:$J$27),0)</f>
        <v>6.1224489795918366E-2</v>
      </c>
      <c r="X2686" s="44">
        <f>IF(Mecze[[#This Row],[Role]]&lt;&gt;"BR",SUMPRODUCT(Mecze[[#This Row],[/PR:90]:[/BR:90]],Brudnopis!$E$28:$J$28),0)</f>
        <v>4.0816326530612242E-2</v>
      </c>
      <c r="Y2686" s="35">
        <f>IF(Mecze[[#This Row],[Role]]="BR",Mecze[[#This Row],[/OB:90]]+Mecze[[#This Row],[/PC:90]],SUM(Mecze[[#This Row],[/PR:90]:[/BR:90]]))</f>
        <v>4.0816326530612242E-2</v>
      </c>
      <c r="Z2686" s="35">
        <f>IF(Mecze[[#This Row],[KC]]=0,SUM(Mecze[[#This Row],[/BRI]:[/NPI]]),SUM(Mecze[[#This Row],[/BRI]:[/NPI]])*0.6)</f>
        <v>0.24489795918367346</v>
      </c>
      <c r="AA2686" s="10">
        <f>IFERROR(Mecze[[#This Row],[BR]]/Mecze[[#This Row],[ST]],0)</f>
        <v>0</v>
      </c>
      <c r="AB2686">
        <f>ROUND(Mecze[[#This Row],[PD]]*Mecze[[#This Row],[%PC]],0)</f>
        <v>4</v>
      </c>
      <c r="AC2686">
        <f>ROUND(Mecze[[#This Row],[OD]]*Mecze[[#This Row],[%OU]],0)</f>
        <v>0</v>
      </c>
      <c r="AD2686" s="36" t="s">
        <v>355</v>
      </c>
      <c r="AE2686" s="36">
        <v>149</v>
      </c>
      <c r="AF2686" s="71">
        <v>3.05</v>
      </c>
      <c r="AG2686" s="37">
        <v>0</v>
      </c>
      <c r="AH2686" s="37">
        <v>0</v>
      </c>
      <c r="AI2686" s="37">
        <v>98</v>
      </c>
      <c r="AJ2686" s="37">
        <v>7</v>
      </c>
      <c r="AK2686" s="37" t="str">
        <f>VLOOKUP(Mecze[[#This Row],[Match ID]],Meczusie[Mecz]:Meczusie[RodzajMeczu],2,FALSE)</f>
        <v>Liga</v>
      </c>
    </row>
    <row r="2687" spans="1:37" x14ac:dyDescent="0.25">
      <c r="A2687" s="76">
        <v>102</v>
      </c>
      <c r="B2687" s="3" t="s">
        <v>417</v>
      </c>
      <c r="C2687" s="2" t="s">
        <v>155</v>
      </c>
      <c r="D2687" s="1">
        <v>0</v>
      </c>
      <c r="E2687" s="1">
        <v>0</v>
      </c>
      <c r="F2687" s="1">
        <v>0</v>
      </c>
      <c r="G2687" s="1">
        <v>13</v>
      </c>
      <c r="H2687" s="4">
        <v>0.46</v>
      </c>
      <c r="I2687" s="1">
        <v>0</v>
      </c>
      <c r="J2687" s="4"/>
      <c r="K2687" s="1">
        <v>10</v>
      </c>
      <c r="L2687" s="1">
        <v>0</v>
      </c>
      <c r="M2687" s="32">
        <f>IF(Mecze[[#This Row],[PR]]=0,0,Mecze[[#This Row],[PR]]/Mecze[[#This Row],[CZAS]])</f>
        <v>0</v>
      </c>
      <c r="N2687" s="32">
        <f>IF(Mecze[[#This Row],[OU]]=0,0,Mecze[[#This Row],[OU]]/Mecze[[#This Row],[CZAS]])</f>
        <v>0</v>
      </c>
      <c r="O2687" s="32">
        <f>IF(Mecze[[#This Row],[PC]]=0,0,Mecze[[#This Row],[PC]]/Mecze[[#This Row],[CZAS]])</f>
        <v>6.1224489795918366E-2</v>
      </c>
      <c r="P2687" s="32">
        <f>IF(Mecze[[#This Row],[SC]]=0,0,Mecze[[#This Row],[SC]]/Mecze[[#This Row],[CZAS]])</f>
        <v>0</v>
      </c>
      <c r="Q2687" s="32">
        <f>IF(Mecze[[#This Row],[OB]]=0,0,Mecze[[#This Row],[OB]]/Mecze[[#This Row],[CZAS]])</f>
        <v>0.10204081632653061</v>
      </c>
      <c r="R2687" s="32">
        <f>IF(Mecze[[#This Row],[BR]]=0,0,Mecze[[#This Row],[BR]]/Mecze[[#This Row],[CZAS]])</f>
        <v>0</v>
      </c>
      <c r="S2687" s="44">
        <f>IF(Mecze[[#This Row],[Role]]="BR",SUMPRODUCT(Mecze[[#This Row],[/PR:90]:[/BR:90]],Brudnopis!$E$23:$J$23),0)</f>
        <v>0.48979591836734693</v>
      </c>
      <c r="T2687" s="44">
        <f>IF(Mecze[[#This Row],[Role]]&lt;&gt;"BR",SUMPRODUCT(Mecze[[#This Row],[/PR:90]:[/BR:90]],Brudnopis!$E$24:$J$24),0)</f>
        <v>0</v>
      </c>
      <c r="U2687" s="44">
        <f>IF(Mecze[[#This Row],[Role]]&lt;&gt;"BR",SUMPRODUCT(Mecze[[#This Row],[/PR:90]:[/BR:90]],Brudnopis!$E$25:$J$25),0)</f>
        <v>0</v>
      </c>
      <c r="V2687" s="44">
        <f>IF(Mecze[[#This Row],[Role]]&lt;&gt;"BR",SUMPRODUCT(Mecze[[#This Row],[/PR:90]:[/BR:90]],Brudnopis!$E$26:$J$26),0)</f>
        <v>0</v>
      </c>
      <c r="W2687" s="44">
        <f>IF(Mecze[[#This Row],[Role]]&lt;&gt;"BR",SUMPRODUCT(Mecze[[#This Row],[/PR:90]:[/BR:90]],Brudnopis!$E$27:$J$27),0)</f>
        <v>0</v>
      </c>
      <c r="X2687" s="44">
        <f>IF(Mecze[[#This Row],[Role]]&lt;&gt;"BR",SUMPRODUCT(Mecze[[#This Row],[/PR:90]:[/BR:90]],Brudnopis!$E$28:$J$28),0)</f>
        <v>0</v>
      </c>
      <c r="Y2687" s="35">
        <f>IF(Mecze[[#This Row],[Role]]="BR",Mecze[[#This Row],[/OB:90]]+Mecze[[#This Row],[/PC:90]],SUM(Mecze[[#This Row],[/PR:90]:[/BR:90]]))</f>
        <v>0.16326530612244899</v>
      </c>
      <c r="Z2687" s="35">
        <f>IF(Mecze[[#This Row],[KC]]=0,SUM(Mecze[[#This Row],[/BRI]:[/NPI]]),SUM(Mecze[[#This Row],[/BRI]:[/NPI]])*0.6)</f>
        <v>0.48979591836734693</v>
      </c>
      <c r="AA2687" s="10">
        <f>IFERROR(Mecze[[#This Row],[BR]]/Mecze[[#This Row],[ST]],0)</f>
        <v>0</v>
      </c>
      <c r="AB2687">
        <f>ROUND(Mecze[[#This Row],[PD]]*Mecze[[#This Row],[%PC]],0)</f>
        <v>6</v>
      </c>
      <c r="AC2687">
        <f>ROUND(Mecze[[#This Row],[OD]]*Mecze[[#This Row],[%OU]],0)</f>
        <v>0</v>
      </c>
      <c r="AD2687" s="36" t="s">
        <v>40</v>
      </c>
      <c r="AE2687" s="36">
        <v>149</v>
      </c>
      <c r="AF2687" s="71">
        <v>4.08</v>
      </c>
      <c r="AG2687" s="37">
        <v>0</v>
      </c>
      <c r="AH2687" s="37">
        <v>0</v>
      </c>
      <c r="AI2687" s="37">
        <v>98</v>
      </c>
      <c r="AJ2687" s="37">
        <v>6</v>
      </c>
      <c r="AK2687" s="37" t="str">
        <f>VLOOKUP(Mecze[[#This Row],[Match ID]],Meczusie[Mecz]:Meczusie[RodzajMeczu],2,FALSE)</f>
        <v>Liga</v>
      </c>
    </row>
    <row r="2688" spans="1:37" x14ac:dyDescent="0.25">
      <c r="A2688" s="76">
        <v>105</v>
      </c>
      <c r="B2688" s="3" t="s">
        <v>423</v>
      </c>
      <c r="C2688" s="2" t="s">
        <v>157</v>
      </c>
      <c r="D2688" s="1">
        <v>0</v>
      </c>
      <c r="E2688" s="1">
        <v>0</v>
      </c>
      <c r="F2688" s="1">
        <v>0</v>
      </c>
      <c r="G2688" s="1">
        <v>5</v>
      </c>
      <c r="H2688" s="4">
        <v>1</v>
      </c>
      <c r="I2688" s="1">
        <v>1</v>
      </c>
      <c r="J2688" s="4">
        <v>0</v>
      </c>
      <c r="K2688" s="1">
        <v>0</v>
      </c>
      <c r="L2688" s="1">
        <v>2</v>
      </c>
      <c r="M2688" s="32">
        <f>IF(Mecze[[#This Row],[PR]]=0,0,Mecze[[#This Row],[PR]]/Mecze[[#This Row],[CZAS]])</f>
        <v>2.0408163265306121E-2</v>
      </c>
      <c r="N2688" s="32">
        <f>IF(Mecze[[#This Row],[OU]]=0,0,Mecze[[#This Row],[OU]]/Mecze[[#This Row],[CZAS]])</f>
        <v>0</v>
      </c>
      <c r="O2688" s="32">
        <f>IF(Mecze[[#This Row],[PC]]=0,0,Mecze[[#This Row],[PC]]/Mecze[[#This Row],[CZAS]])</f>
        <v>5.1020408163265307E-2</v>
      </c>
      <c r="P2688" s="32">
        <f>IF(Mecze[[#This Row],[SC]]=0,0,Mecze[[#This Row],[SC]]/Mecze[[#This Row],[CZAS]])</f>
        <v>0</v>
      </c>
      <c r="Q2688" s="32">
        <f>IF(Mecze[[#This Row],[OB]]=0,0,Mecze[[#This Row],[OB]]/Mecze[[#This Row],[CZAS]])</f>
        <v>0</v>
      </c>
      <c r="R2688" s="32">
        <f>IF(Mecze[[#This Row],[BR]]=0,0,Mecze[[#This Row],[BR]]/Mecze[[#This Row],[CZAS]])</f>
        <v>0</v>
      </c>
      <c r="S2688" s="44">
        <f>IF(Mecze[[#This Row],[Role]]="BR",SUMPRODUCT(Mecze[[#This Row],[/PR:90]:[/BR:90]],Brudnopis!$E$23:$J$23),0)</f>
        <v>0</v>
      </c>
      <c r="T2688" s="44">
        <f>IF(Mecze[[#This Row],[Role]]&lt;&gt;"BR",SUMPRODUCT(Mecze[[#This Row],[/PR:90]:[/BR:90]],Brudnopis!$E$24:$J$24),0)</f>
        <v>7.1428571428571425E-2</v>
      </c>
      <c r="U2688" s="44">
        <f>IF(Mecze[[#This Row],[Role]]&lt;&gt;"BR",SUMPRODUCT(Mecze[[#This Row],[/PR:90]:[/BR:90]],Brudnopis!$E$25:$J$25),0)</f>
        <v>9.6938775510204078E-2</v>
      </c>
      <c r="V2688" s="44">
        <f>IF(Mecze[[#This Row],[Role]]&lt;&gt;"BR",SUMPRODUCT(Mecze[[#This Row],[/PR:90]:[/BR:90]],Brudnopis!$E$26:$J$26),0)</f>
        <v>7.1428571428571425E-2</v>
      </c>
      <c r="W2688" s="44">
        <f>IF(Mecze[[#This Row],[Role]]&lt;&gt;"BR",SUMPRODUCT(Mecze[[#This Row],[/PR:90]:[/BR:90]],Brudnopis!$E$27:$J$27),0)</f>
        <v>9.1836734693877556E-2</v>
      </c>
      <c r="X2688" s="44">
        <f>IF(Mecze[[#This Row],[Role]]&lt;&gt;"BR",SUMPRODUCT(Mecze[[#This Row],[/PR:90]:[/BR:90]],Brudnopis!$E$28:$J$28),0)</f>
        <v>5.1020408163265307E-2</v>
      </c>
      <c r="Y2688" s="35">
        <f>IF(Mecze[[#This Row],[Role]]="BR",Mecze[[#This Row],[/OB:90]]+Mecze[[#This Row],[/PC:90]],SUM(Mecze[[#This Row],[/PR:90]:[/BR:90]]))</f>
        <v>7.1428571428571425E-2</v>
      </c>
      <c r="Z2688" s="35">
        <f>IF(Mecze[[#This Row],[KC]]=0,SUM(Mecze[[#This Row],[/BRI]:[/NPI]]),SUM(Mecze[[#This Row],[/BRI]:[/NPI]])*0.6)</f>
        <v>0.38265306122448978</v>
      </c>
      <c r="AA2688" s="10">
        <f>IFERROR(Mecze[[#This Row],[BR]]/Mecze[[#This Row],[ST]],0)</f>
        <v>0</v>
      </c>
      <c r="AB2688">
        <f>ROUND(Mecze[[#This Row],[PD]]*Mecze[[#This Row],[%PC]],0)</f>
        <v>5</v>
      </c>
      <c r="AC2688">
        <f>ROUND(Mecze[[#This Row],[OD]]*Mecze[[#This Row],[%OU]],0)</f>
        <v>0</v>
      </c>
      <c r="AD2688" s="36" t="s">
        <v>47</v>
      </c>
      <c r="AE2688" s="36">
        <v>149</v>
      </c>
      <c r="AF2688" s="71">
        <v>1</v>
      </c>
      <c r="AG2688" s="37">
        <v>0</v>
      </c>
      <c r="AH2688" s="37">
        <v>0</v>
      </c>
      <c r="AI2688" s="37">
        <v>98</v>
      </c>
      <c r="AJ2688" s="37">
        <v>6</v>
      </c>
      <c r="AK2688" s="37" t="str">
        <f>VLOOKUP(Mecze[[#This Row],[Match ID]],Meczusie[Mecz]:Meczusie[RodzajMeczu],2,FALSE)</f>
        <v>Liga</v>
      </c>
    </row>
    <row r="2689" spans="1:37" x14ac:dyDescent="0.25">
      <c r="A2689" s="76">
        <v>2</v>
      </c>
      <c r="B2689" s="3" t="s">
        <v>249</v>
      </c>
      <c r="C2689" s="2" t="s">
        <v>157</v>
      </c>
      <c r="D2689" s="1">
        <v>0</v>
      </c>
      <c r="E2689" s="1">
        <v>0</v>
      </c>
      <c r="F2689" s="1">
        <v>0</v>
      </c>
      <c r="G2689" s="1">
        <v>13</v>
      </c>
      <c r="H2689" s="4">
        <v>0.46</v>
      </c>
      <c r="I2689" s="1">
        <v>10</v>
      </c>
      <c r="J2689" s="4">
        <v>0.4</v>
      </c>
      <c r="K2689" s="1">
        <v>0</v>
      </c>
      <c r="L2689" s="1">
        <v>6</v>
      </c>
      <c r="M2689" s="32">
        <f>IF(Mecze[[#This Row],[PR]]=0,0,Mecze[[#This Row],[PR]]/Mecze[[#This Row],[CZAS]])</f>
        <v>6.1224489795918366E-2</v>
      </c>
      <c r="N2689" s="32">
        <f>IF(Mecze[[#This Row],[OU]]=0,0,Mecze[[#This Row],[OU]]/Mecze[[#This Row],[CZAS]])</f>
        <v>4.0816326530612242E-2</v>
      </c>
      <c r="O2689" s="32">
        <f>IF(Mecze[[#This Row],[PC]]=0,0,Mecze[[#This Row],[PC]]/Mecze[[#This Row],[CZAS]])</f>
        <v>6.1224489795918366E-2</v>
      </c>
      <c r="P2689" s="32">
        <f>IF(Mecze[[#This Row],[SC]]=0,0,Mecze[[#This Row],[SC]]/Mecze[[#This Row],[CZAS]])</f>
        <v>0</v>
      </c>
      <c r="Q2689" s="32">
        <f>IF(Mecze[[#This Row],[OB]]=0,0,Mecze[[#This Row],[OB]]/Mecze[[#This Row],[CZAS]])</f>
        <v>0</v>
      </c>
      <c r="R2689" s="32">
        <f>IF(Mecze[[#This Row],[BR]]=0,0,Mecze[[#This Row],[BR]]/Mecze[[#This Row],[CZAS]])</f>
        <v>0</v>
      </c>
      <c r="S2689" s="44">
        <f>IF(Mecze[[#This Row],[Role]]="BR",SUMPRODUCT(Mecze[[#This Row],[/PR:90]:[/BR:90]],Brudnopis!$E$23:$J$23),0)</f>
        <v>0</v>
      </c>
      <c r="T2689" s="44">
        <f>IF(Mecze[[#This Row],[Role]]&lt;&gt;"BR",SUMPRODUCT(Mecze[[#This Row],[/PR:90]:[/BR:90]],Brudnopis!$E$24:$J$24),0)</f>
        <v>0.18367346938775508</v>
      </c>
      <c r="U2689" s="44">
        <f>IF(Mecze[[#This Row],[Role]]&lt;&gt;"BR",SUMPRODUCT(Mecze[[#This Row],[/PR:90]:[/BR:90]],Brudnopis!$E$25:$J$25),0)</f>
        <v>0.19387755102040816</v>
      </c>
      <c r="V2689" s="44">
        <f>IF(Mecze[[#This Row],[Role]]&lt;&gt;"BR",SUMPRODUCT(Mecze[[#This Row],[/PR:90]:[/BR:90]],Brudnopis!$E$26:$J$26),0)</f>
        <v>0.16326530612244899</v>
      </c>
      <c r="W2689" s="44">
        <f>IF(Mecze[[#This Row],[Role]]&lt;&gt;"BR",SUMPRODUCT(Mecze[[#This Row],[/PR:90]:[/BR:90]],Brudnopis!$E$27:$J$27),0)</f>
        <v>0.1683673469387755</v>
      </c>
      <c r="X2689" s="44">
        <f>IF(Mecze[[#This Row],[Role]]&lt;&gt;"BR",SUMPRODUCT(Mecze[[#This Row],[/PR:90]:[/BR:90]],Brudnopis!$E$28:$J$28),0)</f>
        <v>6.1224489795918366E-2</v>
      </c>
      <c r="Y2689" s="35">
        <f>IF(Mecze[[#This Row],[Role]]="BR",Mecze[[#This Row],[/OB:90]]+Mecze[[#This Row],[/PC:90]],SUM(Mecze[[#This Row],[/PR:90]:[/BR:90]]))</f>
        <v>0.16326530612244899</v>
      </c>
      <c r="Z2689" s="35">
        <f>IF(Mecze[[#This Row],[KC]]=0,SUM(Mecze[[#This Row],[/BRI]:[/NPI]]),SUM(Mecze[[#This Row],[/BRI]:[/NPI]])*0.6)</f>
        <v>0.77040816326530615</v>
      </c>
      <c r="AA2689" s="10">
        <f>IFERROR(Mecze[[#This Row],[BR]]/Mecze[[#This Row],[ST]],0)</f>
        <v>0</v>
      </c>
      <c r="AB2689">
        <f>ROUND(Mecze[[#This Row],[PD]]*Mecze[[#This Row],[%PC]],0)</f>
        <v>6</v>
      </c>
      <c r="AC2689">
        <f>ROUND(Mecze[[#This Row],[OD]]*Mecze[[#This Row],[%OU]],0)</f>
        <v>4</v>
      </c>
      <c r="AD2689" s="36" t="s">
        <v>167</v>
      </c>
      <c r="AE2689" s="36">
        <v>149</v>
      </c>
      <c r="AF2689" s="71">
        <v>1.84</v>
      </c>
      <c r="AG2689" s="37">
        <v>0</v>
      </c>
      <c r="AH2689" s="37">
        <v>0</v>
      </c>
      <c r="AI2689" s="37">
        <v>98</v>
      </c>
      <c r="AJ2689" s="37">
        <v>6</v>
      </c>
      <c r="AK2689" s="37" t="str">
        <f>VLOOKUP(Mecze[[#This Row],[Match ID]],Meczusie[Mecz]:Meczusie[RodzajMeczu],2,FALSE)</f>
        <v>Liga</v>
      </c>
    </row>
    <row r="2690" spans="1:37" x14ac:dyDescent="0.25">
      <c r="A2690" s="76">
        <v>7</v>
      </c>
      <c r="B2690" s="3" t="s">
        <v>251</v>
      </c>
      <c r="C2690" s="2" t="s">
        <v>157</v>
      </c>
      <c r="D2690" s="1">
        <v>0</v>
      </c>
      <c r="E2690" s="1">
        <v>0</v>
      </c>
      <c r="F2690" s="1">
        <v>0</v>
      </c>
      <c r="G2690" s="1">
        <v>14</v>
      </c>
      <c r="H2690" s="4">
        <v>0.79</v>
      </c>
      <c r="I2690" s="1">
        <v>33</v>
      </c>
      <c r="J2690" s="4">
        <v>0.3</v>
      </c>
      <c r="K2690" s="1">
        <v>0</v>
      </c>
      <c r="L2690" s="1">
        <v>10</v>
      </c>
      <c r="M2690" s="32">
        <f>IF(Mecze[[#This Row],[PR]]=0,0,Mecze[[#This Row],[PR]]/Mecze[[#This Row],[CZAS]])</f>
        <v>0.10204081632653061</v>
      </c>
      <c r="N2690" s="32">
        <f>IF(Mecze[[#This Row],[OU]]=0,0,Mecze[[#This Row],[OU]]/Mecze[[#This Row],[CZAS]])</f>
        <v>0.10204081632653061</v>
      </c>
      <c r="O2690" s="32">
        <f>IF(Mecze[[#This Row],[PC]]=0,0,Mecze[[#This Row],[PC]]/Mecze[[#This Row],[CZAS]])</f>
        <v>0.11224489795918367</v>
      </c>
      <c r="P2690" s="32">
        <f>IF(Mecze[[#This Row],[SC]]=0,0,Mecze[[#This Row],[SC]]/Mecze[[#This Row],[CZAS]])</f>
        <v>0</v>
      </c>
      <c r="Q2690" s="32">
        <f>IF(Mecze[[#This Row],[OB]]=0,0,Mecze[[#This Row],[OB]]/Mecze[[#This Row],[CZAS]])</f>
        <v>0</v>
      </c>
      <c r="R2690" s="32">
        <f>IF(Mecze[[#This Row],[BR]]=0,0,Mecze[[#This Row],[BR]]/Mecze[[#This Row],[CZAS]])</f>
        <v>0</v>
      </c>
      <c r="S2690" s="44">
        <f>IF(Mecze[[#This Row],[Role]]="BR",SUMPRODUCT(Mecze[[#This Row],[/PR:90]:[/BR:90]],Brudnopis!$E$23:$J$23),0)</f>
        <v>0</v>
      </c>
      <c r="T2690" s="44">
        <f>IF(Mecze[[#This Row],[Role]]&lt;&gt;"BR",SUMPRODUCT(Mecze[[#This Row],[/PR:90]:[/BR:90]],Brudnopis!$E$24:$J$24),0)</f>
        <v>0.36734693877551022</v>
      </c>
      <c r="U2690" s="44">
        <f>IF(Mecze[[#This Row],[Role]]&lt;&gt;"BR",SUMPRODUCT(Mecze[[#This Row],[/PR:90]:[/BR:90]],Brudnopis!$E$25:$J$25),0)</f>
        <v>0.37244897959183676</v>
      </c>
      <c r="V2690" s="44">
        <f>IF(Mecze[[#This Row],[Role]]&lt;&gt;"BR",SUMPRODUCT(Mecze[[#This Row],[/PR:90]:[/BR:90]],Brudnopis!$E$26:$J$26),0)</f>
        <v>0.31632653061224492</v>
      </c>
      <c r="W2690" s="44">
        <f>IF(Mecze[[#This Row],[Role]]&lt;&gt;"BR",SUMPRODUCT(Mecze[[#This Row],[/PR:90]:[/BR:90]],Brudnopis!$E$27:$J$27),0)</f>
        <v>0.3214285714285714</v>
      </c>
      <c r="X2690" s="44">
        <f>IF(Mecze[[#This Row],[Role]]&lt;&gt;"BR",SUMPRODUCT(Mecze[[#This Row],[/PR:90]:[/BR:90]],Brudnopis!$E$28:$J$28),0)</f>
        <v>0.11224489795918367</v>
      </c>
      <c r="Y2690" s="35">
        <f>IF(Mecze[[#This Row],[Role]]="BR",Mecze[[#This Row],[/OB:90]]+Mecze[[#This Row],[/PC:90]],SUM(Mecze[[#This Row],[/PR:90]:[/BR:90]]))</f>
        <v>0.31632653061224492</v>
      </c>
      <c r="Z2690" s="35">
        <f>IF(Mecze[[#This Row],[KC]]=0,SUM(Mecze[[#This Row],[/BRI]:[/NPI]]),SUM(Mecze[[#This Row],[/BRI]:[/NPI]])*0.6)</f>
        <v>1.489795918367347</v>
      </c>
      <c r="AA2690" s="10">
        <f>IFERROR(Mecze[[#This Row],[BR]]/Mecze[[#This Row],[ST]],0)</f>
        <v>0</v>
      </c>
      <c r="AB2690">
        <f>ROUND(Mecze[[#This Row],[PD]]*Mecze[[#This Row],[%PC]],0)</f>
        <v>11</v>
      </c>
      <c r="AC2690">
        <f>ROUND(Mecze[[#This Row],[OD]]*Mecze[[#This Row],[%OU]],0)</f>
        <v>10</v>
      </c>
      <c r="AD2690" s="36" t="s">
        <v>168</v>
      </c>
      <c r="AE2690" s="36">
        <v>149</v>
      </c>
      <c r="AF2690" s="71">
        <v>2.68</v>
      </c>
      <c r="AG2690" s="37">
        <v>0</v>
      </c>
      <c r="AH2690" s="37">
        <v>0</v>
      </c>
      <c r="AI2690" s="37">
        <v>98</v>
      </c>
      <c r="AJ2690" s="37">
        <v>6</v>
      </c>
      <c r="AK2690" s="37" t="str">
        <f>VLOOKUP(Mecze[[#This Row],[Match ID]],Meczusie[Mecz]:Meczusie[RodzajMeczu],2,FALSE)</f>
        <v>Liga</v>
      </c>
    </row>
    <row r="2691" spans="1:37" x14ac:dyDescent="0.25">
      <c r="A2691" s="76">
        <v>8</v>
      </c>
      <c r="B2691" s="3" t="s">
        <v>254</v>
      </c>
      <c r="C2691" s="2" t="s">
        <v>160</v>
      </c>
      <c r="D2691" s="1">
        <v>0</v>
      </c>
      <c r="E2691" s="1">
        <v>0</v>
      </c>
      <c r="F2691" s="1">
        <v>0</v>
      </c>
      <c r="G2691" s="1">
        <v>14</v>
      </c>
      <c r="H2691" s="4">
        <v>0.56999999999999995</v>
      </c>
      <c r="I2691" s="1">
        <v>7</v>
      </c>
      <c r="J2691" s="4">
        <v>0.71</v>
      </c>
      <c r="K2691" s="1">
        <v>0</v>
      </c>
      <c r="L2691" s="1">
        <v>0</v>
      </c>
      <c r="M2691" s="32">
        <f>IF(Mecze[[#This Row],[PR]]=0,0,Mecze[[#This Row],[PR]]/Mecze[[#This Row],[CZAS]])</f>
        <v>0</v>
      </c>
      <c r="N2691" s="32">
        <f>IF(Mecze[[#This Row],[OU]]=0,0,Mecze[[#This Row],[OU]]/Mecze[[#This Row],[CZAS]])</f>
        <v>5.1020408163265307E-2</v>
      </c>
      <c r="O2691" s="32">
        <f>IF(Mecze[[#This Row],[PC]]=0,0,Mecze[[#This Row],[PC]]/Mecze[[#This Row],[CZAS]])</f>
        <v>8.1632653061224483E-2</v>
      </c>
      <c r="P2691" s="32">
        <f>IF(Mecze[[#This Row],[SC]]=0,0,Mecze[[#This Row],[SC]]/Mecze[[#This Row],[CZAS]])</f>
        <v>0</v>
      </c>
      <c r="Q2691" s="32">
        <f>IF(Mecze[[#This Row],[OB]]=0,0,Mecze[[#This Row],[OB]]/Mecze[[#This Row],[CZAS]])</f>
        <v>0</v>
      </c>
      <c r="R2691" s="32">
        <f>IF(Mecze[[#This Row],[BR]]=0,0,Mecze[[#This Row],[BR]]/Mecze[[#This Row],[CZAS]])</f>
        <v>0</v>
      </c>
      <c r="S2691" s="44">
        <f>IF(Mecze[[#This Row],[Role]]="BR",SUMPRODUCT(Mecze[[#This Row],[/PR:90]:[/BR:90]],Brudnopis!$E$23:$J$23),0)</f>
        <v>0</v>
      </c>
      <c r="T2691" s="44">
        <f>IF(Mecze[[#This Row],[Role]]&lt;&gt;"BR",SUMPRODUCT(Mecze[[#This Row],[/PR:90]:[/BR:90]],Brudnopis!$E$24:$J$24),0)</f>
        <v>0.15816326530612246</v>
      </c>
      <c r="U2691" s="44">
        <f>IF(Mecze[[#This Row],[Role]]&lt;&gt;"BR",SUMPRODUCT(Mecze[[#This Row],[/PR:90]:[/BR:90]],Brudnopis!$E$25:$J$25),0)</f>
        <v>0.17346938775510204</v>
      </c>
      <c r="V2691" s="44">
        <f>IF(Mecze[[#This Row],[Role]]&lt;&gt;"BR",SUMPRODUCT(Mecze[[#This Row],[/PR:90]:[/BR:90]],Brudnopis!$E$26:$J$26),0)</f>
        <v>0.13265306122448978</v>
      </c>
      <c r="W2691" s="44">
        <f>IF(Mecze[[#This Row],[Role]]&lt;&gt;"BR",SUMPRODUCT(Mecze[[#This Row],[/PR:90]:[/BR:90]],Brudnopis!$E$27:$J$27),0)</f>
        <v>0.1607142857142857</v>
      </c>
      <c r="X2691" s="44">
        <f>IF(Mecze[[#This Row],[Role]]&lt;&gt;"BR",SUMPRODUCT(Mecze[[#This Row],[/PR:90]:[/BR:90]],Brudnopis!$E$28:$J$28),0)</f>
        <v>8.1632653061224483E-2</v>
      </c>
      <c r="Y2691" s="35">
        <f>IF(Mecze[[#This Row],[Role]]="BR",Mecze[[#This Row],[/OB:90]]+Mecze[[#This Row],[/PC:90]],SUM(Mecze[[#This Row],[/PR:90]:[/BR:90]]))</f>
        <v>0.13265306122448978</v>
      </c>
      <c r="Z2691" s="35">
        <f>IF(Mecze[[#This Row],[KC]]=0,SUM(Mecze[[#This Row],[/BRI]:[/NPI]]),SUM(Mecze[[#This Row],[/BRI]:[/NPI]])*0.6)</f>
        <v>0.70663265306122447</v>
      </c>
      <c r="AA2691" s="10">
        <f>IFERROR(Mecze[[#This Row],[BR]]/Mecze[[#This Row],[ST]],0)</f>
        <v>0</v>
      </c>
      <c r="AB2691">
        <f>ROUND(Mecze[[#This Row],[PD]]*Mecze[[#This Row],[%PC]],0)</f>
        <v>8</v>
      </c>
      <c r="AC2691">
        <f>ROUND(Mecze[[#This Row],[OD]]*Mecze[[#This Row],[%OU]],0)</f>
        <v>5</v>
      </c>
      <c r="AD2691" s="36" t="s">
        <v>41</v>
      </c>
      <c r="AE2691" s="36">
        <v>149</v>
      </c>
      <c r="AF2691" s="71">
        <v>3.91</v>
      </c>
      <c r="AG2691" s="37">
        <v>0</v>
      </c>
      <c r="AH2691" s="37">
        <v>0</v>
      </c>
      <c r="AI2691" s="37">
        <v>98</v>
      </c>
      <c r="AJ2691" s="37">
        <v>6</v>
      </c>
      <c r="AK2691" s="37" t="str">
        <f>VLOOKUP(Mecze[[#This Row],[Match ID]],Meczusie[Mecz]:Meczusie[RodzajMeczu],2,FALSE)</f>
        <v>Liga</v>
      </c>
    </row>
    <row r="2692" spans="1:37" x14ac:dyDescent="0.25">
      <c r="A2692" s="76">
        <v>10</v>
      </c>
      <c r="B2692" s="3" t="s">
        <v>252</v>
      </c>
      <c r="C2692" s="2" t="s">
        <v>160</v>
      </c>
      <c r="D2692" s="1">
        <v>0</v>
      </c>
      <c r="E2692" s="1">
        <v>2</v>
      </c>
      <c r="F2692" s="1">
        <v>1</v>
      </c>
      <c r="G2692" s="1">
        <v>6</v>
      </c>
      <c r="H2692" s="4">
        <v>0.5</v>
      </c>
      <c r="I2692" s="1">
        <v>0</v>
      </c>
      <c r="J2692" s="4"/>
      <c r="K2692" s="1">
        <v>0</v>
      </c>
      <c r="L2692" s="1">
        <v>0</v>
      </c>
      <c r="M2692" s="32">
        <f>IF(Mecze[[#This Row],[PR]]=0,0,Mecze[[#This Row],[PR]]/Mecze[[#This Row],[CZAS]])</f>
        <v>0</v>
      </c>
      <c r="N2692" s="32">
        <f>IF(Mecze[[#This Row],[OU]]=0,0,Mecze[[#This Row],[OU]]/Mecze[[#This Row],[CZAS]])</f>
        <v>0</v>
      </c>
      <c r="O2692" s="32">
        <f>IF(Mecze[[#This Row],[PC]]=0,0,Mecze[[#This Row],[PC]]/Mecze[[#This Row],[CZAS]])</f>
        <v>3.0612244897959183E-2</v>
      </c>
      <c r="P2692" s="32">
        <f>IF(Mecze[[#This Row],[SC]]=0,0,Mecze[[#This Row],[SC]]/Mecze[[#This Row],[CZAS]])</f>
        <v>1.020408163265306E-2</v>
      </c>
      <c r="Q2692" s="32">
        <f>IF(Mecze[[#This Row],[OB]]=0,0,Mecze[[#This Row],[OB]]/Mecze[[#This Row],[CZAS]])</f>
        <v>0</v>
      </c>
      <c r="R2692" s="32">
        <f>IF(Mecze[[#This Row],[BR]]=0,0,Mecze[[#This Row],[BR]]/Mecze[[#This Row],[CZAS]])</f>
        <v>0</v>
      </c>
      <c r="S2692" s="44">
        <f>IF(Mecze[[#This Row],[Role]]="BR",SUMPRODUCT(Mecze[[#This Row],[/PR:90]:[/BR:90]],Brudnopis!$E$23:$J$23),0)</f>
        <v>0</v>
      </c>
      <c r="T2692" s="44">
        <f>IF(Mecze[[#This Row],[Role]]&lt;&gt;"BR",SUMPRODUCT(Mecze[[#This Row],[/PR:90]:[/BR:90]],Brudnopis!$E$24:$J$24),0)</f>
        <v>4.0816326530612242E-2</v>
      </c>
      <c r="U2692" s="44">
        <f>IF(Mecze[[#This Row],[Role]]&lt;&gt;"BR",SUMPRODUCT(Mecze[[#This Row],[/PR:90]:[/BR:90]],Brudnopis!$E$25:$J$25),0)</f>
        <v>5.612244897959183E-2</v>
      </c>
      <c r="V2692" s="44">
        <f>IF(Mecze[[#This Row],[Role]]&lt;&gt;"BR",SUMPRODUCT(Mecze[[#This Row],[/PR:90]:[/BR:90]],Brudnopis!$E$26:$J$26),0)</f>
        <v>4.0816326530612242E-2</v>
      </c>
      <c r="W2692" s="44">
        <f>IF(Mecze[[#This Row],[Role]]&lt;&gt;"BR",SUMPRODUCT(Mecze[[#This Row],[/PR:90]:[/BR:90]],Brudnopis!$E$27:$J$27),0)</f>
        <v>5.612244897959183E-2</v>
      </c>
      <c r="X2692" s="44">
        <f>IF(Mecze[[#This Row],[Role]]&lt;&gt;"BR",SUMPRODUCT(Mecze[[#This Row],[/PR:90]:[/BR:90]],Brudnopis!$E$28:$J$28),0)</f>
        <v>5.1020408163265307E-2</v>
      </c>
      <c r="Y2692" s="35">
        <f>IF(Mecze[[#This Row],[Role]]="BR",Mecze[[#This Row],[/OB:90]]+Mecze[[#This Row],[/PC:90]],SUM(Mecze[[#This Row],[/PR:90]:[/BR:90]]))</f>
        <v>4.0816326530612242E-2</v>
      </c>
      <c r="Z2692" s="35">
        <f>IF(Mecze[[#This Row],[KC]]=0,SUM(Mecze[[#This Row],[/BRI]:[/NPI]]),SUM(Mecze[[#This Row],[/BRI]:[/NPI]])*0.6)</f>
        <v>0.24489795918367346</v>
      </c>
      <c r="AA2692" s="10">
        <f>IFERROR(Mecze[[#This Row],[BR]]/Mecze[[#This Row],[ST]],0)</f>
        <v>0</v>
      </c>
      <c r="AB2692">
        <f>ROUND(Mecze[[#This Row],[PD]]*Mecze[[#This Row],[%PC]],0)</f>
        <v>3</v>
      </c>
      <c r="AC2692">
        <f>ROUND(Mecze[[#This Row],[OD]]*Mecze[[#This Row],[%OU]],0)</f>
        <v>0</v>
      </c>
      <c r="AD2692" s="36" t="s">
        <v>318</v>
      </c>
      <c r="AE2692" s="36">
        <v>149</v>
      </c>
      <c r="AF2692" s="71">
        <v>4.1399999999999997</v>
      </c>
      <c r="AG2692" s="37">
        <v>0</v>
      </c>
      <c r="AH2692" s="37">
        <v>0</v>
      </c>
      <c r="AI2692" s="37">
        <v>98</v>
      </c>
      <c r="AJ2692" s="37">
        <v>6</v>
      </c>
      <c r="AK2692" s="37" t="str">
        <f>VLOOKUP(Mecze[[#This Row],[Match ID]],Meczusie[Mecz]:Meczusie[RodzajMeczu],2,FALSE)</f>
        <v>Liga</v>
      </c>
    </row>
    <row r="2693" spans="1:37" x14ac:dyDescent="0.25">
      <c r="A2693" s="76">
        <v>11</v>
      </c>
      <c r="B2693" s="3" t="s">
        <v>250</v>
      </c>
      <c r="C2693" s="2" t="s">
        <v>160</v>
      </c>
      <c r="D2693" s="1">
        <v>0</v>
      </c>
      <c r="E2693" s="1">
        <v>0</v>
      </c>
      <c r="F2693" s="1">
        <v>0</v>
      </c>
      <c r="G2693" s="1">
        <v>8</v>
      </c>
      <c r="H2693" s="4">
        <v>0.38</v>
      </c>
      <c r="I2693" s="1">
        <v>0</v>
      </c>
      <c r="J2693" s="4"/>
      <c r="K2693" s="1">
        <v>0</v>
      </c>
      <c r="L2693" s="1">
        <v>3</v>
      </c>
      <c r="M2693" s="32">
        <f>IF(Mecze[[#This Row],[PR]]=0,0,Mecze[[#This Row],[PR]]/Mecze[[#This Row],[CZAS]])</f>
        <v>3.0612244897959183E-2</v>
      </c>
      <c r="N2693" s="32">
        <f>IF(Mecze[[#This Row],[OU]]=0,0,Mecze[[#This Row],[OU]]/Mecze[[#This Row],[CZAS]])</f>
        <v>0</v>
      </c>
      <c r="O2693" s="32">
        <f>IF(Mecze[[#This Row],[PC]]=0,0,Mecze[[#This Row],[PC]]/Mecze[[#This Row],[CZAS]])</f>
        <v>3.0612244897959183E-2</v>
      </c>
      <c r="P2693" s="32">
        <f>IF(Mecze[[#This Row],[SC]]=0,0,Mecze[[#This Row],[SC]]/Mecze[[#This Row],[CZAS]])</f>
        <v>0</v>
      </c>
      <c r="Q2693" s="32">
        <f>IF(Mecze[[#This Row],[OB]]=0,0,Mecze[[#This Row],[OB]]/Mecze[[#This Row],[CZAS]])</f>
        <v>0</v>
      </c>
      <c r="R2693" s="32">
        <f>IF(Mecze[[#This Row],[BR]]=0,0,Mecze[[#This Row],[BR]]/Mecze[[#This Row],[CZAS]])</f>
        <v>0</v>
      </c>
      <c r="S2693" s="44">
        <f>IF(Mecze[[#This Row],[Role]]="BR",SUMPRODUCT(Mecze[[#This Row],[/PR:90]:[/BR:90]],Brudnopis!$E$23:$J$23),0)</f>
        <v>0</v>
      </c>
      <c r="T2693" s="44">
        <f>IF(Mecze[[#This Row],[Role]]&lt;&gt;"BR",SUMPRODUCT(Mecze[[#This Row],[/PR:90]:[/BR:90]],Brudnopis!$E$24:$J$24),0)</f>
        <v>6.1224489795918366E-2</v>
      </c>
      <c r="U2693" s="44">
        <f>IF(Mecze[[#This Row],[Role]]&lt;&gt;"BR",SUMPRODUCT(Mecze[[#This Row],[/PR:90]:[/BR:90]],Brudnopis!$E$25:$J$25),0)</f>
        <v>7.6530612244897961E-2</v>
      </c>
      <c r="V2693" s="44">
        <f>IF(Mecze[[#This Row],[Role]]&lt;&gt;"BR",SUMPRODUCT(Mecze[[#This Row],[/PR:90]:[/BR:90]],Brudnopis!$E$26:$J$26),0)</f>
        <v>6.1224489795918366E-2</v>
      </c>
      <c r="W2693" s="44">
        <f>IF(Mecze[[#This Row],[Role]]&lt;&gt;"BR",SUMPRODUCT(Mecze[[#This Row],[/PR:90]:[/BR:90]],Brudnopis!$E$27:$J$27),0)</f>
        <v>6.8877551020408156E-2</v>
      </c>
      <c r="X2693" s="44">
        <f>IF(Mecze[[#This Row],[Role]]&lt;&gt;"BR",SUMPRODUCT(Mecze[[#This Row],[/PR:90]:[/BR:90]],Brudnopis!$E$28:$J$28),0)</f>
        <v>3.0612244897959183E-2</v>
      </c>
      <c r="Y2693" s="35">
        <f>IF(Mecze[[#This Row],[Role]]="BR",Mecze[[#This Row],[/OB:90]]+Mecze[[#This Row],[/PC:90]],SUM(Mecze[[#This Row],[/PR:90]:[/BR:90]]))</f>
        <v>6.1224489795918366E-2</v>
      </c>
      <c r="Z2693" s="35">
        <f>IF(Mecze[[#This Row],[KC]]=0,SUM(Mecze[[#This Row],[/BRI]:[/NPI]]),SUM(Mecze[[#This Row],[/BRI]:[/NPI]])*0.6)</f>
        <v>0.29846938775510201</v>
      </c>
      <c r="AA2693" s="10">
        <f>IFERROR(Mecze[[#This Row],[BR]]/Mecze[[#This Row],[ST]],0)</f>
        <v>0</v>
      </c>
      <c r="AB2693">
        <f>ROUND(Mecze[[#This Row],[PD]]*Mecze[[#This Row],[%PC]],0)</f>
        <v>3</v>
      </c>
      <c r="AC2693">
        <f>ROUND(Mecze[[#This Row],[OD]]*Mecze[[#This Row],[%OU]],0)</f>
        <v>0</v>
      </c>
      <c r="AD2693" s="36" t="s">
        <v>319</v>
      </c>
      <c r="AE2693" s="36">
        <v>149</v>
      </c>
      <c r="AF2693" s="71">
        <v>3.33</v>
      </c>
      <c r="AG2693" s="37">
        <v>0</v>
      </c>
      <c r="AH2693" s="37">
        <v>0</v>
      </c>
      <c r="AI2693" s="37">
        <v>98</v>
      </c>
      <c r="AJ2693" s="37">
        <v>6</v>
      </c>
      <c r="AK2693" s="37" t="str">
        <f>VLOOKUP(Mecze[[#This Row],[Match ID]],Meczusie[Mecz]:Meczusie[RodzajMeczu],2,FALSE)</f>
        <v>Liga</v>
      </c>
    </row>
    <row r="2694" spans="1:37" x14ac:dyDescent="0.25">
      <c r="A2694" s="76">
        <v>106</v>
      </c>
      <c r="B2694" s="3" t="s">
        <v>424</v>
      </c>
      <c r="C2694" s="2" t="s">
        <v>160</v>
      </c>
      <c r="D2694" s="1">
        <v>0</v>
      </c>
      <c r="E2694" s="1">
        <v>1</v>
      </c>
      <c r="F2694" s="1">
        <v>1</v>
      </c>
      <c r="G2694" s="1">
        <v>6</v>
      </c>
      <c r="H2694" s="4">
        <v>0.83</v>
      </c>
      <c r="I2694" s="1">
        <v>5</v>
      </c>
      <c r="J2694" s="4">
        <v>0.6</v>
      </c>
      <c r="K2694" s="1">
        <v>0</v>
      </c>
      <c r="L2694" s="1">
        <v>2</v>
      </c>
      <c r="M2694" s="32">
        <f>IF(Mecze[[#This Row],[PR]]=0,0,Mecze[[#This Row],[PR]]/Mecze[[#This Row],[CZAS]])</f>
        <v>2.0408163265306121E-2</v>
      </c>
      <c r="N2694" s="32">
        <f>IF(Mecze[[#This Row],[OU]]=0,0,Mecze[[#This Row],[OU]]/Mecze[[#This Row],[CZAS]])</f>
        <v>3.0612244897959183E-2</v>
      </c>
      <c r="O2694" s="32">
        <f>IF(Mecze[[#This Row],[PC]]=0,0,Mecze[[#This Row],[PC]]/Mecze[[#This Row],[CZAS]])</f>
        <v>5.1020408163265307E-2</v>
      </c>
      <c r="P2694" s="32">
        <f>IF(Mecze[[#This Row],[SC]]=0,0,Mecze[[#This Row],[SC]]/Mecze[[#This Row],[CZAS]])</f>
        <v>1.020408163265306E-2</v>
      </c>
      <c r="Q2694" s="32">
        <f>IF(Mecze[[#This Row],[OB]]=0,0,Mecze[[#This Row],[OB]]/Mecze[[#This Row],[CZAS]])</f>
        <v>0</v>
      </c>
      <c r="R2694" s="32">
        <f>IF(Mecze[[#This Row],[BR]]=0,0,Mecze[[#This Row],[BR]]/Mecze[[#This Row],[CZAS]])</f>
        <v>0</v>
      </c>
      <c r="S2694" s="44">
        <f>IF(Mecze[[#This Row],[Role]]="BR",SUMPRODUCT(Mecze[[#This Row],[/PR:90]:[/BR:90]],Brudnopis!$E$23:$J$23),0)</f>
        <v>0</v>
      </c>
      <c r="T2694" s="44">
        <f>IF(Mecze[[#This Row],[Role]]&lt;&gt;"BR",SUMPRODUCT(Mecze[[#This Row],[/PR:90]:[/BR:90]],Brudnopis!$E$24:$J$24),0)</f>
        <v>0.12755102040816327</v>
      </c>
      <c r="U2694" s="44">
        <f>IF(Mecze[[#This Row],[Role]]&lt;&gt;"BR",SUMPRODUCT(Mecze[[#This Row],[/PR:90]:[/BR:90]],Brudnopis!$E$25:$J$25),0)</f>
        <v>0.13775510204081634</v>
      </c>
      <c r="V2694" s="44">
        <f>IF(Mecze[[#This Row],[Role]]&lt;&gt;"BR",SUMPRODUCT(Mecze[[#This Row],[/PR:90]:[/BR:90]],Brudnopis!$E$26:$J$26),0)</f>
        <v>0.11224489795918367</v>
      </c>
      <c r="W2694" s="44">
        <f>IF(Mecze[[#This Row],[Role]]&lt;&gt;"BR",SUMPRODUCT(Mecze[[#This Row],[/PR:90]:[/BR:90]],Brudnopis!$E$27:$J$27),0)</f>
        <v>0.125</v>
      </c>
      <c r="X2694" s="44">
        <f>IF(Mecze[[#This Row],[Role]]&lt;&gt;"BR",SUMPRODUCT(Mecze[[#This Row],[/PR:90]:[/BR:90]],Brudnopis!$E$28:$J$28),0)</f>
        <v>7.1428571428571425E-2</v>
      </c>
      <c r="Y2694" s="35">
        <f>IF(Mecze[[#This Row],[Role]]="BR",Mecze[[#This Row],[/OB:90]]+Mecze[[#This Row],[/PC:90]],SUM(Mecze[[#This Row],[/PR:90]:[/BR:90]]))</f>
        <v>0.11224489795918367</v>
      </c>
      <c r="Z2694" s="35">
        <f>IF(Mecze[[#This Row],[KC]]=0,SUM(Mecze[[#This Row],[/BRI]:[/NPI]]),SUM(Mecze[[#This Row],[/BRI]:[/NPI]])*0.6)</f>
        <v>0.57397959183673475</v>
      </c>
      <c r="AA2694" s="10">
        <f>IFERROR(Mecze[[#This Row],[BR]]/Mecze[[#This Row],[ST]],0)</f>
        <v>0</v>
      </c>
      <c r="AB2694">
        <f>ROUND(Mecze[[#This Row],[PD]]*Mecze[[#This Row],[%PC]],0)</f>
        <v>5</v>
      </c>
      <c r="AC2694">
        <f>ROUND(Mecze[[#This Row],[OD]]*Mecze[[#This Row],[%OU]],0)</f>
        <v>3</v>
      </c>
      <c r="AD2694" s="36" t="s">
        <v>44</v>
      </c>
      <c r="AE2694" s="36">
        <v>149</v>
      </c>
      <c r="AF2694" s="71">
        <v>5.47</v>
      </c>
      <c r="AG2694" s="37">
        <v>0</v>
      </c>
      <c r="AH2694" s="37">
        <v>0</v>
      </c>
      <c r="AI2694" s="37">
        <v>98</v>
      </c>
      <c r="AJ2694" s="37">
        <v>6</v>
      </c>
      <c r="AK2694" s="37" t="str">
        <f>VLOOKUP(Mecze[[#This Row],[Match ID]],Meczusie[Mecz]:Meczusie[RodzajMeczu],2,FALSE)</f>
        <v>Liga</v>
      </c>
    </row>
    <row r="2695" spans="1:37" x14ac:dyDescent="0.25">
      <c r="A2695" s="76">
        <v>6</v>
      </c>
      <c r="B2695" s="3" t="s">
        <v>255</v>
      </c>
      <c r="C2695" s="2" t="s">
        <v>165</v>
      </c>
      <c r="D2695" s="1">
        <v>0</v>
      </c>
      <c r="E2695" s="1">
        <v>0</v>
      </c>
      <c r="F2695" s="1">
        <v>0</v>
      </c>
      <c r="G2695" s="1">
        <v>0</v>
      </c>
      <c r="H2695" s="72"/>
      <c r="I2695" s="1">
        <v>1</v>
      </c>
      <c r="J2695" s="4">
        <v>1</v>
      </c>
      <c r="K2695" s="1">
        <v>0</v>
      </c>
      <c r="L2695" s="1">
        <v>0</v>
      </c>
      <c r="M2695" s="32">
        <f>IF(Mecze[[#This Row],[PR]]=0,0,Mecze[[#This Row],[PR]]/Mecze[[#This Row],[CZAS]])</f>
        <v>0</v>
      </c>
      <c r="N2695" s="32">
        <f>IF(Mecze[[#This Row],[OU]]=0,0,Mecze[[#This Row],[OU]]/Mecze[[#This Row],[CZAS]])</f>
        <v>1.020408163265306E-2</v>
      </c>
      <c r="O2695" s="32">
        <f>IF(Mecze[[#This Row],[PC]]=0,0,Mecze[[#This Row],[PC]]/Mecze[[#This Row],[CZAS]])</f>
        <v>0</v>
      </c>
      <c r="P2695" s="32">
        <f>IF(Mecze[[#This Row],[SC]]=0,0,Mecze[[#This Row],[SC]]/Mecze[[#This Row],[CZAS]])</f>
        <v>0</v>
      </c>
      <c r="Q2695" s="32">
        <f>IF(Mecze[[#This Row],[OB]]=0,0,Mecze[[#This Row],[OB]]/Mecze[[#This Row],[CZAS]])</f>
        <v>0</v>
      </c>
      <c r="R2695" s="32">
        <f>IF(Mecze[[#This Row],[BR]]=0,0,Mecze[[#This Row],[BR]]/Mecze[[#This Row],[CZAS]])</f>
        <v>0</v>
      </c>
      <c r="S2695" s="44">
        <f>IF(Mecze[[#This Row],[Role]]="BR",SUMPRODUCT(Mecze[[#This Row],[/PR:90]:[/BR:90]],Brudnopis!$E$23:$J$23),0)</f>
        <v>0</v>
      </c>
      <c r="T2695" s="44">
        <f>IF(Mecze[[#This Row],[Role]]&lt;&gt;"BR",SUMPRODUCT(Mecze[[#This Row],[/PR:90]:[/BR:90]],Brudnopis!$E$24:$J$24),0)</f>
        <v>1.5306122448979591E-2</v>
      </c>
      <c r="U2695" s="44">
        <f>IF(Mecze[[#This Row],[Role]]&lt;&gt;"BR",SUMPRODUCT(Mecze[[#This Row],[/PR:90]:[/BR:90]],Brudnopis!$E$25:$J$25),0)</f>
        <v>1.020408163265306E-2</v>
      </c>
      <c r="V2695" s="44">
        <f>IF(Mecze[[#This Row],[Role]]&lt;&gt;"BR",SUMPRODUCT(Mecze[[#This Row],[/PR:90]:[/BR:90]],Brudnopis!$E$26:$J$26),0)</f>
        <v>1.020408163265306E-2</v>
      </c>
      <c r="W2695" s="44">
        <f>IF(Mecze[[#This Row],[Role]]&lt;&gt;"BR",SUMPRODUCT(Mecze[[#This Row],[/PR:90]:[/BR:90]],Brudnopis!$E$27:$J$27),0)</f>
        <v>7.6530612244897957E-3</v>
      </c>
      <c r="X2695" s="44">
        <f>IF(Mecze[[#This Row],[Role]]&lt;&gt;"BR",SUMPRODUCT(Mecze[[#This Row],[/PR:90]:[/BR:90]],Brudnopis!$E$28:$J$28),0)</f>
        <v>0</v>
      </c>
      <c r="Y2695" s="35">
        <f>IF(Mecze[[#This Row],[Role]]="BR",Mecze[[#This Row],[/OB:90]]+Mecze[[#This Row],[/PC:90]],SUM(Mecze[[#This Row],[/PR:90]:[/BR:90]]))</f>
        <v>1.020408163265306E-2</v>
      </c>
      <c r="Z2695" s="35">
        <f>IF(Mecze[[#This Row],[KC]]=0,SUM(Mecze[[#This Row],[/BRI]:[/NPI]]),SUM(Mecze[[#This Row],[/BRI]:[/NPI]])*0.6)</f>
        <v>4.336734693877551E-2</v>
      </c>
      <c r="AA2695" s="10">
        <f>IFERROR(Mecze[[#This Row],[BR]]/Mecze[[#This Row],[ST]],0)</f>
        <v>0</v>
      </c>
      <c r="AB2695">
        <f>ROUND(Mecze[[#This Row],[PD]]*Mecze[[#This Row],[%PC]],0)</f>
        <v>0</v>
      </c>
      <c r="AC2695">
        <f>ROUND(Mecze[[#This Row],[OD]]*Mecze[[#This Row],[%OU]],0)</f>
        <v>1</v>
      </c>
      <c r="AD2695" s="36" t="s">
        <v>232</v>
      </c>
      <c r="AE2695" s="36">
        <v>149</v>
      </c>
      <c r="AF2695" s="71">
        <v>2.71</v>
      </c>
      <c r="AG2695" s="37">
        <v>0</v>
      </c>
      <c r="AH2695" s="37">
        <v>0</v>
      </c>
      <c r="AI2695" s="37">
        <v>98</v>
      </c>
      <c r="AJ2695" s="37">
        <v>6</v>
      </c>
      <c r="AK2695" s="37" t="str">
        <f>VLOOKUP(Mecze[[#This Row],[Match ID]],Meczusie[Mecz]:Meczusie[RodzajMeczu],2,FALSE)</f>
        <v>Liga</v>
      </c>
    </row>
    <row r="2696" spans="1:37" x14ac:dyDescent="0.25">
      <c r="A2696" s="76">
        <v>5</v>
      </c>
      <c r="B2696" s="3" t="s">
        <v>256</v>
      </c>
      <c r="C2696" s="2" t="s">
        <v>165</v>
      </c>
      <c r="D2696" s="1">
        <v>0</v>
      </c>
      <c r="E2696" s="1">
        <v>4</v>
      </c>
      <c r="F2696" s="1">
        <v>3</v>
      </c>
      <c r="G2696" s="1">
        <v>9</v>
      </c>
      <c r="H2696" s="4">
        <v>0.89</v>
      </c>
      <c r="I2696" s="1">
        <v>5</v>
      </c>
      <c r="J2696" s="4">
        <v>0</v>
      </c>
      <c r="K2696" s="1">
        <v>0</v>
      </c>
      <c r="L2696" s="1">
        <v>1</v>
      </c>
      <c r="M2696" s="32">
        <f>IF(Mecze[[#This Row],[PR]]=0,0,Mecze[[#This Row],[PR]]/Mecze[[#This Row],[CZAS]])</f>
        <v>1.020408163265306E-2</v>
      </c>
      <c r="N2696" s="32">
        <f>IF(Mecze[[#This Row],[OU]]=0,0,Mecze[[#This Row],[OU]]/Mecze[[#This Row],[CZAS]])</f>
        <v>0</v>
      </c>
      <c r="O2696" s="32">
        <f>IF(Mecze[[#This Row],[PC]]=0,0,Mecze[[#This Row],[PC]]/Mecze[[#This Row],[CZAS]])</f>
        <v>8.1632653061224483E-2</v>
      </c>
      <c r="P2696" s="32">
        <f>IF(Mecze[[#This Row],[SC]]=0,0,Mecze[[#This Row],[SC]]/Mecze[[#This Row],[CZAS]])</f>
        <v>3.0612244897959183E-2</v>
      </c>
      <c r="Q2696" s="32">
        <f>IF(Mecze[[#This Row],[OB]]=0,0,Mecze[[#This Row],[OB]]/Mecze[[#This Row],[CZAS]])</f>
        <v>0</v>
      </c>
      <c r="R2696" s="32">
        <f>IF(Mecze[[#This Row],[BR]]=0,0,Mecze[[#This Row],[BR]]/Mecze[[#This Row],[CZAS]])</f>
        <v>0</v>
      </c>
      <c r="S2696" s="44">
        <f>IF(Mecze[[#This Row],[Role]]="BR",SUMPRODUCT(Mecze[[#This Row],[/PR:90]:[/BR:90]],Brudnopis!$E$23:$J$23),0)</f>
        <v>0</v>
      </c>
      <c r="T2696" s="44">
        <f>IF(Mecze[[#This Row],[Role]]&lt;&gt;"BR",SUMPRODUCT(Mecze[[#This Row],[/PR:90]:[/BR:90]],Brudnopis!$E$24:$J$24),0)</f>
        <v>0.12244897959183673</v>
      </c>
      <c r="U2696" s="44">
        <f>IF(Mecze[[#This Row],[Role]]&lt;&gt;"BR",SUMPRODUCT(Mecze[[#This Row],[/PR:90]:[/BR:90]],Brudnopis!$E$25:$J$25),0)</f>
        <v>0.16326530612244899</v>
      </c>
      <c r="V2696" s="44">
        <f>IF(Mecze[[#This Row],[Role]]&lt;&gt;"BR",SUMPRODUCT(Mecze[[#This Row],[/PR:90]:[/BR:90]],Brudnopis!$E$26:$J$26),0)</f>
        <v>0.12244897959183673</v>
      </c>
      <c r="W2696" s="44">
        <f>IF(Mecze[[#This Row],[Role]]&lt;&gt;"BR",SUMPRODUCT(Mecze[[#This Row],[/PR:90]:[/BR:90]],Brudnopis!$E$27:$J$27),0)</f>
        <v>0.16071428571428573</v>
      </c>
      <c r="X2696" s="44">
        <f>IF(Mecze[[#This Row],[Role]]&lt;&gt;"BR",SUMPRODUCT(Mecze[[#This Row],[/PR:90]:[/BR:90]],Brudnopis!$E$28:$J$28),0)</f>
        <v>0.14285714285714285</v>
      </c>
      <c r="Y2696" s="35">
        <f>IF(Mecze[[#This Row],[Role]]="BR",Mecze[[#This Row],[/OB:90]]+Mecze[[#This Row],[/PC:90]],SUM(Mecze[[#This Row],[/PR:90]:[/BR:90]]))</f>
        <v>0.12244897959183673</v>
      </c>
      <c r="Z2696" s="35">
        <f>IF(Mecze[[#This Row],[KC]]=0,SUM(Mecze[[#This Row],[/BRI]:[/NPI]]),SUM(Mecze[[#This Row],[/BRI]:[/NPI]])*0.6)</f>
        <v>0.71173469387755106</v>
      </c>
      <c r="AA2696" s="10">
        <f>IFERROR(Mecze[[#This Row],[BR]]/Mecze[[#This Row],[ST]],0)</f>
        <v>0</v>
      </c>
      <c r="AB2696">
        <f>ROUND(Mecze[[#This Row],[PD]]*Mecze[[#This Row],[%PC]],0)</f>
        <v>8</v>
      </c>
      <c r="AC2696">
        <f>ROUND(Mecze[[#This Row],[OD]]*Mecze[[#This Row],[%OU]],0)</f>
        <v>0</v>
      </c>
      <c r="AD2696" s="36" t="s">
        <v>46</v>
      </c>
      <c r="AE2696" s="36">
        <v>149</v>
      </c>
      <c r="AF2696" s="71">
        <v>5.62</v>
      </c>
      <c r="AG2696" s="37">
        <v>0</v>
      </c>
      <c r="AH2696" s="37">
        <v>0</v>
      </c>
      <c r="AI2696" s="37">
        <v>98</v>
      </c>
      <c r="AJ2696" s="37">
        <v>6</v>
      </c>
      <c r="AK2696" s="37" t="str">
        <f>VLOOKUP(Mecze[[#This Row],[Match ID]],Meczusie[Mecz]:Meczusie[RodzajMeczu],2,FALSE)</f>
        <v>Liga</v>
      </c>
    </row>
    <row r="2697" spans="1:37" x14ac:dyDescent="0.25">
      <c r="A2697" s="76">
        <v>100</v>
      </c>
      <c r="B2697" s="3" t="s">
        <v>257</v>
      </c>
      <c r="C2697" s="2" t="s">
        <v>165</v>
      </c>
      <c r="D2697" s="1">
        <v>0</v>
      </c>
      <c r="E2697" s="1">
        <v>1</v>
      </c>
      <c r="F2697" s="1">
        <v>1</v>
      </c>
      <c r="G2697" s="1">
        <v>3</v>
      </c>
      <c r="H2697" s="4">
        <v>0.67</v>
      </c>
      <c r="I2697" s="1">
        <v>1</v>
      </c>
      <c r="J2697" s="4">
        <v>0</v>
      </c>
      <c r="K2697" s="1">
        <v>0</v>
      </c>
      <c r="L2697" s="1">
        <v>1</v>
      </c>
      <c r="M2697" s="32">
        <f>IF(Mecze[[#This Row],[PR]]=0,0,Mecze[[#This Row],[PR]]/Mecze[[#This Row],[CZAS]])</f>
        <v>1.020408163265306E-2</v>
      </c>
      <c r="N2697" s="32">
        <f>IF(Mecze[[#This Row],[OU]]=0,0,Mecze[[#This Row],[OU]]/Mecze[[#This Row],[CZAS]])</f>
        <v>0</v>
      </c>
      <c r="O2697" s="32">
        <f>IF(Mecze[[#This Row],[PC]]=0,0,Mecze[[#This Row],[PC]]/Mecze[[#This Row],[CZAS]])</f>
        <v>2.0408163265306121E-2</v>
      </c>
      <c r="P2697" s="32">
        <f>IF(Mecze[[#This Row],[SC]]=0,0,Mecze[[#This Row],[SC]]/Mecze[[#This Row],[CZAS]])</f>
        <v>1.020408163265306E-2</v>
      </c>
      <c r="Q2697" s="32">
        <f>IF(Mecze[[#This Row],[OB]]=0,0,Mecze[[#This Row],[OB]]/Mecze[[#This Row],[CZAS]])</f>
        <v>0</v>
      </c>
      <c r="R2697" s="32">
        <f>IF(Mecze[[#This Row],[BR]]=0,0,Mecze[[#This Row],[BR]]/Mecze[[#This Row],[CZAS]])</f>
        <v>0</v>
      </c>
      <c r="S2697" s="44">
        <f>IF(Mecze[[#This Row],[Role]]="BR",SUMPRODUCT(Mecze[[#This Row],[/PR:90]:[/BR:90]],Brudnopis!$E$23:$J$23),0)</f>
        <v>0</v>
      </c>
      <c r="T2697" s="44">
        <f>IF(Mecze[[#This Row],[Role]]&lt;&gt;"BR",SUMPRODUCT(Mecze[[#This Row],[/PR:90]:[/BR:90]],Brudnopis!$E$24:$J$24),0)</f>
        <v>4.0816326530612242E-2</v>
      </c>
      <c r="U2697" s="44">
        <f>IF(Mecze[[#This Row],[Role]]&lt;&gt;"BR",SUMPRODUCT(Mecze[[#This Row],[/PR:90]:[/BR:90]],Brudnopis!$E$25:$J$25),0)</f>
        <v>5.10204081632653E-2</v>
      </c>
      <c r="V2697" s="44">
        <f>IF(Mecze[[#This Row],[Role]]&lt;&gt;"BR",SUMPRODUCT(Mecze[[#This Row],[/PR:90]:[/BR:90]],Brudnopis!$E$26:$J$26),0)</f>
        <v>4.0816326530612242E-2</v>
      </c>
      <c r="W2697" s="44">
        <f>IF(Mecze[[#This Row],[Role]]&lt;&gt;"BR",SUMPRODUCT(Mecze[[#This Row],[/PR:90]:[/BR:90]],Brudnopis!$E$27:$J$27),0)</f>
        <v>4.8469387755102039E-2</v>
      </c>
      <c r="X2697" s="44">
        <f>IF(Mecze[[#This Row],[Role]]&lt;&gt;"BR",SUMPRODUCT(Mecze[[#This Row],[/PR:90]:[/BR:90]],Brudnopis!$E$28:$J$28),0)</f>
        <v>4.0816326530612242E-2</v>
      </c>
      <c r="Y2697" s="35">
        <f>IF(Mecze[[#This Row],[Role]]="BR",Mecze[[#This Row],[/OB:90]]+Mecze[[#This Row],[/PC:90]],SUM(Mecze[[#This Row],[/PR:90]:[/BR:90]]))</f>
        <v>4.0816326530612242E-2</v>
      </c>
      <c r="Z2697" s="35">
        <f>IF(Mecze[[#This Row],[KC]]=0,SUM(Mecze[[#This Row],[/BRI]:[/NPI]]),SUM(Mecze[[#This Row],[/BRI]:[/NPI]])*0.6)</f>
        <v>0.22193877551020405</v>
      </c>
      <c r="AA2697" s="10">
        <f>IFERROR(Mecze[[#This Row],[BR]]/Mecze[[#This Row],[ST]],0)</f>
        <v>0</v>
      </c>
      <c r="AB2697">
        <f>ROUND(Mecze[[#This Row],[PD]]*Mecze[[#This Row],[%PC]],0)</f>
        <v>2</v>
      </c>
      <c r="AC2697">
        <f>ROUND(Mecze[[#This Row],[OD]]*Mecze[[#This Row],[%OU]],0)</f>
        <v>0</v>
      </c>
      <c r="AD2697" s="36" t="s">
        <v>46</v>
      </c>
      <c r="AE2697" s="36">
        <v>149</v>
      </c>
      <c r="AF2697" s="71">
        <v>2.93</v>
      </c>
      <c r="AG2697" s="37">
        <v>0</v>
      </c>
      <c r="AH2697" s="37">
        <v>0</v>
      </c>
      <c r="AI2697" s="37">
        <v>98</v>
      </c>
      <c r="AJ2697" s="37">
        <v>6</v>
      </c>
      <c r="AK2697" s="37" t="str">
        <f>VLOOKUP(Mecze[[#This Row],[Match ID]],Meczusie[Mecz]:Meczusie[RodzajMeczu],2,FALSE)</f>
        <v>Liga</v>
      </c>
    </row>
    <row r="2698" spans="1:37" x14ac:dyDescent="0.25">
      <c r="A2698" s="76">
        <v>9</v>
      </c>
      <c r="B2698" s="3" t="s">
        <v>258</v>
      </c>
      <c r="C2698" s="2" t="s">
        <v>160</v>
      </c>
      <c r="D2698" s="1">
        <v>0</v>
      </c>
      <c r="E2698" s="1">
        <v>0</v>
      </c>
      <c r="F2698" s="1">
        <v>0</v>
      </c>
      <c r="G2698" s="1">
        <v>1</v>
      </c>
      <c r="H2698" s="4">
        <v>0</v>
      </c>
      <c r="I2698" s="1">
        <v>1</v>
      </c>
      <c r="J2698" s="4">
        <v>0</v>
      </c>
      <c r="K2698" s="1">
        <v>0</v>
      </c>
      <c r="L2698" s="1">
        <v>0</v>
      </c>
      <c r="M2698" s="32">
        <f>IF(Mecze[[#This Row],[PR]]=0,0,Mecze[[#This Row],[PR]]/Mecze[[#This Row],[CZAS]])</f>
        <v>0</v>
      </c>
      <c r="N2698" s="32">
        <f>IF(Mecze[[#This Row],[OU]]=0,0,Mecze[[#This Row],[OU]]/Mecze[[#This Row],[CZAS]])</f>
        <v>0</v>
      </c>
      <c r="O2698" s="32">
        <f>IF(Mecze[[#This Row],[PC]]=0,0,Mecze[[#This Row],[PC]]/Mecze[[#This Row],[CZAS]])</f>
        <v>0</v>
      </c>
      <c r="P2698" s="32">
        <f>IF(Mecze[[#This Row],[SC]]=0,0,Mecze[[#This Row],[SC]]/Mecze[[#This Row],[CZAS]])</f>
        <v>0</v>
      </c>
      <c r="Q2698" s="32">
        <f>IF(Mecze[[#This Row],[OB]]=0,0,Mecze[[#This Row],[OB]]/Mecze[[#This Row],[CZAS]])</f>
        <v>0</v>
      </c>
      <c r="R2698" s="32">
        <f>IF(Mecze[[#This Row],[BR]]=0,0,Mecze[[#This Row],[BR]]/Mecze[[#This Row],[CZAS]])</f>
        <v>0</v>
      </c>
      <c r="S2698" s="44">
        <f>IF(Mecze[[#This Row],[Role]]="BR",SUMPRODUCT(Mecze[[#This Row],[/PR:90]:[/BR:90]],Brudnopis!$E$23:$J$23),0)</f>
        <v>0</v>
      </c>
      <c r="T2698" s="44">
        <f>IF(Mecze[[#This Row],[Role]]&lt;&gt;"BR",SUMPRODUCT(Mecze[[#This Row],[/PR:90]:[/BR:90]],Brudnopis!$E$24:$J$24),0)</f>
        <v>0</v>
      </c>
      <c r="U2698" s="44">
        <f>IF(Mecze[[#This Row],[Role]]&lt;&gt;"BR",SUMPRODUCT(Mecze[[#This Row],[/PR:90]:[/BR:90]],Brudnopis!$E$25:$J$25),0)</f>
        <v>0</v>
      </c>
      <c r="V2698" s="44">
        <f>IF(Mecze[[#This Row],[Role]]&lt;&gt;"BR",SUMPRODUCT(Mecze[[#This Row],[/PR:90]:[/BR:90]],Brudnopis!$E$26:$J$26),0)</f>
        <v>0</v>
      </c>
      <c r="W2698" s="44">
        <f>IF(Mecze[[#This Row],[Role]]&lt;&gt;"BR",SUMPRODUCT(Mecze[[#This Row],[/PR:90]:[/BR:90]],Brudnopis!$E$27:$J$27),0)</f>
        <v>0</v>
      </c>
      <c r="X2698" s="44">
        <f>IF(Mecze[[#This Row],[Role]]&lt;&gt;"BR",SUMPRODUCT(Mecze[[#This Row],[/PR:90]:[/BR:90]],Brudnopis!$E$28:$J$28),0)</f>
        <v>0</v>
      </c>
      <c r="Y2698" s="35">
        <f>IF(Mecze[[#This Row],[Role]]="BR",Mecze[[#This Row],[/OB:90]]+Mecze[[#This Row],[/PC:90]],SUM(Mecze[[#This Row],[/PR:90]:[/BR:90]]))</f>
        <v>0</v>
      </c>
      <c r="Z2698" s="35">
        <f>IF(Mecze[[#This Row],[KC]]=0,SUM(Mecze[[#This Row],[/BRI]:[/NPI]]),SUM(Mecze[[#This Row],[/BRI]:[/NPI]])*0.6)</f>
        <v>0</v>
      </c>
      <c r="AA2698" s="10">
        <f>IFERROR(Mecze[[#This Row],[BR]]/Mecze[[#This Row],[ST]],0)</f>
        <v>0</v>
      </c>
      <c r="AB2698">
        <f>ROUND(Mecze[[#This Row],[PD]]*Mecze[[#This Row],[%PC]],0)</f>
        <v>0</v>
      </c>
      <c r="AC2698">
        <f>ROUND(Mecze[[#This Row],[OD]]*Mecze[[#This Row],[%OU]],0)</f>
        <v>0</v>
      </c>
      <c r="AD2698" s="36" t="s">
        <v>319</v>
      </c>
      <c r="AE2698" s="36">
        <v>149</v>
      </c>
      <c r="AF2698" s="71">
        <v>0.5</v>
      </c>
      <c r="AG2698" s="37">
        <v>0</v>
      </c>
      <c r="AH2698" s="37">
        <v>0</v>
      </c>
      <c r="AI2698" s="37">
        <v>98</v>
      </c>
      <c r="AJ2698" s="37">
        <v>6</v>
      </c>
      <c r="AK2698" s="37" t="str">
        <f>VLOOKUP(Mecze[[#This Row],[Match ID]],Meczusie[Mecz]:Meczusie[RodzajMeczu],2,FALSE)</f>
        <v>Liga</v>
      </c>
    </row>
    <row r="2699" spans="1:37" x14ac:dyDescent="0.25">
      <c r="A2699" s="76">
        <v>1</v>
      </c>
      <c r="B2699" s="3" t="s">
        <v>169</v>
      </c>
      <c r="C2699" s="2" t="s">
        <v>155</v>
      </c>
      <c r="D2699" s="1">
        <v>0</v>
      </c>
      <c r="E2699" s="1">
        <v>0</v>
      </c>
      <c r="F2699" s="1">
        <v>0</v>
      </c>
      <c r="G2699" s="1">
        <v>21</v>
      </c>
      <c r="H2699" s="4">
        <v>0.33</v>
      </c>
      <c r="I2699" s="1">
        <v>0</v>
      </c>
      <c r="J2699" s="4"/>
      <c r="K2699" s="1">
        <v>16</v>
      </c>
      <c r="L2699" s="1">
        <v>0</v>
      </c>
      <c r="M2699" s="32">
        <f>IF(Mecze[[#This Row],[PR]]=0,0,Mecze[[#This Row],[PR]]/Mecze[[#This Row],[CZAS]])</f>
        <v>0</v>
      </c>
      <c r="N2699" s="32">
        <f>IF(Mecze[[#This Row],[OU]]=0,0,Mecze[[#This Row],[OU]]/Mecze[[#This Row],[CZAS]])</f>
        <v>0</v>
      </c>
      <c r="O2699" s="32">
        <f>IF(Mecze[[#This Row],[PC]]=0,0,Mecze[[#This Row],[PC]]/Mecze[[#This Row],[CZAS]])</f>
        <v>7.1428571428571425E-2</v>
      </c>
      <c r="P2699" s="32">
        <f>IF(Mecze[[#This Row],[SC]]=0,0,Mecze[[#This Row],[SC]]/Mecze[[#This Row],[CZAS]])</f>
        <v>0</v>
      </c>
      <c r="Q2699" s="32">
        <f>IF(Mecze[[#This Row],[OB]]=0,0,Mecze[[#This Row],[OB]]/Mecze[[#This Row],[CZAS]])</f>
        <v>0.16326530612244897</v>
      </c>
      <c r="R2699" s="32">
        <f>IF(Mecze[[#This Row],[BR]]=0,0,Mecze[[#This Row],[BR]]/Mecze[[#This Row],[CZAS]])</f>
        <v>0</v>
      </c>
      <c r="S2699" s="44">
        <f>IF(Mecze[[#This Row],[Role]]="BR",SUMPRODUCT(Mecze[[#This Row],[/PR:90]:[/BR:90]],Brudnopis!$E$23:$J$23),0)</f>
        <v>0.70408163265306123</v>
      </c>
      <c r="T2699" s="44">
        <f>IF(Mecze[[#This Row],[Role]]&lt;&gt;"BR",SUMPRODUCT(Mecze[[#This Row],[/PR:90]:[/BR:90]],Brudnopis!$E$24:$J$24),0)</f>
        <v>0</v>
      </c>
      <c r="U2699" s="44">
        <f>IF(Mecze[[#This Row],[Role]]&lt;&gt;"BR",SUMPRODUCT(Mecze[[#This Row],[/PR:90]:[/BR:90]],Brudnopis!$E$25:$J$25),0)</f>
        <v>0</v>
      </c>
      <c r="V2699" s="44">
        <f>IF(Mecze[[#This Row],[Role]]&lt;&gt;"BR",SUMPRODUCT(Mecze[[#This Row],[/PR:90]:[/BR:90]],Brudnopis!$E$26:$J$26),0)</f>
        <v>0</v>
      </c>
      <c r="W2699" s="44">
        <f>IF(Mecze[[#This Row],[Role]]&lt;&gt;"BR",SUMPRODUCT(Mecze[[#This Row],[/PR:90]:[/BR:90]],Brudnopis!$E$27:$J$27),0)</f>
        <v>0</v>
      </c>
      <c r="X2699" s="44">
        <f>IF(Mecze[[#This Row],[Role]]&lt;&gt;"BR",SUMPRODUCT(Mecze[[#This Row],[/PR:90]:[/BR:90]],Brudnopis!$E$28:$J$28),0)</f>
        <v>0</v>
      </c>
      <c r="Y2699" s="35">
        <f>IF(Mecze[[#This Row],[Role]]="BR",Mecze[[#This Row],[/OB:90]]+Mecze[[#This Row],[/PC:90]],SUM(Mecze[[#This Row],[/PR:90]:[/BR:90]]))</f>
        <v>0.23469387755102039</v>
      </c>
      <c r="Z2699" s="35">
        <f>IF(Mecze[[#This Row],[KC]]=0,SUM(Mecze[[#This Row],[/BRI]:[/NPI]]),SUM(Mecze[[#This Row],[/BRI]:[/NPI]])*0.6)</f>
        <v>0.70408163265306123</v>
      </c>
      <c r="AA2699" s="10">
        <f>IFERROR(Mecze[[#This Row],[BR]]/Mecze[[#This Row],[ST]],0)</f>
        <v>0</v>
      </c>
      <c r="AB2699">
        <f>ROUND(Mecze[[#This Row],[PD]]*Mecze[[#This Row],[%PC]],0)</f>
        <v>7</v>
      </c>
      <c r="AC2699">
        <f>ROUND(Mecze[[#This Row],[OD]]*Mecze[[#This Row],[%OU]],0)</f>
        <v>0</v>
      </c>
      <c r="AD2699" s="36" t="s">
        <v>40</v>
      </c>
      <c r="AE2699" s="36">
        <v>150</v>
      </c>
      <c r="AF2699" s="71">
        <v>4.9800000000000004</v>
      </c>
      <c r="AG2699" s="37">
        <v>0</v>
      </c>
      <c r="AH2699" s="37">
        <v>0</v>
      </c>
      <c r="AI2699" s="37">
        <v>98</v>
      </c>
      <c r="AJ2699" s="37">
        <v>1</v>
      </c>
      <c r="AK2699" s="37" t="str">
        <f>VLOOKUP(Mecze[[#This Row],[Match ID]],Meczusie[Mecz]:Meczusie[RodzajMeczu],2,FALSE)</f>
        <v>Puchar</v>
      </c>
    </row>
    <row r="2700" spans="1:37" x14ac:dyDescent="0.25">
      <c r="A2700" s="76">
        <v>5</v>
      </c>
      <c r="B2700" s="3" t="s">
        <v>161</v>
      </c>
      <c r="C2700" s="2" t="s">
        <v>157</v>
      </c>
      <c r="D2700" s="1">
        <v>0</v>
      </c>
      <c r="E2700" s="1">
        <v>0</v>
      </c>
      <c r="F2700" s="1">
        <v>0</v>
      </c>
      <c r="G2700" s="1">
        <v>6</v>
      </c>
      <c r="H2700" s="4">
        <v>0.5</v>
      </c>
      <c r="I2700" s="1">
        <v>2</v>
      </c>
      <c r="J2700" s="4">
        <v>0.5</v>
      </c>
      <c r="K2700" s="1">
        <v>0</v>
      </c>
      <c r="L2700" s="1">
        <v>5</v>
      </c>
      <c r="M2700" s="32">
        <f>IF(Mecze[[#This Row],[PR]]=0,0,Mecze[[#This Row],[PR]]/Mecze[[#This Row],[CZAS]])</f>
        <v>5.1020408163265307E-2</v>
      </c>
      <c r="N2700" s="32">
        <f>IF(Mecze[[#This Row],[OU]]=0,0,Mecze[[#This Row],[OU]]/Mecze[[#This Row],[CZAS]])</f>
        <v>1.020408163265306E-2</v>
      </c>
      <c r="O2700" s="32">
        <f>IF(Mecze[[#This Row],[PC]]=0,0,Mecze[[#This Row],[PC]]/Mecze[[#This Row],[CZAS]])</f>
        <v>3.0612244897959183E-2</v>
      </c>
      <c r="P2700" s="32">
        <f>IF(Mecze[[#This Row],[SC]]=0,0,Mecze[[#This Row],[SC]]/Mecze[[#This Row],[CZAS]])</f>
        <v>0</v>
      </c>
      <c r="Q2700" s="32">
        <f>IF(Mecze[[#This Row],[OB]]=0,0,Mecze[[#This Row],[OB]]/Mecze[[#This Row],[CZAS]])</f>
        <v>0</v>
      </c>
      <c r="R2700" s="32">
        <f>IF(Mecze[[#This Row],[BR]]=0,0,Mecze[[#This Row],[BR]]/Mecze[[#This Row],[CZAS]])</f>
        <v>0</v>
      </c>
      <c r="S2700" s="44">
        <f>IF(Mecze[[#This Row],[Role]]="BR",SUMPRODUCT(Mecze[[#This Row],[/PR:90]:[/BR:90]],Brudnopis!$E$23:$J$23),0)</f>
        <v>0</v>
      </c>
      <c r="T2700" s="44">
        <f>IF(Mecze[[#This Row],[Role]]&lt;&gt;"BR",SUMPRODUCT(Mecze[[#This Row],[/PR:90]:[/BR:90]],Brudnopis!$E$24:$J$24),0)</f>
        <v>9.6938775510204078E-2</v>
      </c>
      <c r="U2700" s="44">
        <f>IF(Mecze[[#This Row],[Role]]&lt;&gt;"BR",SUMPRODUCT(Mecze[[#This Row],[/PR:90]:[/BR:90]],Brudnopis!$E$25:$J$25),0)</f>
        <v>0.10714285714285714</v>
      </c>
      <c r="V2700" s="44">
        <f>IF(Mecze[[#This Row],[Role]]&lt;&gt;"BR",SUMPRODUCT(Mecze[[#This Row],[/PR:90]:[/BR:90]],Brudnopis!$E$26:$J$26),0)</f>
        <v>9.1836734693877542E-2</v>
      </c>
      <c r="W2700" s="44">
        <f>IF(Mecze[[#This Row],[Role]]&lt;&gt;"BR",SUMPRODUCT(Mecze[[#This Row],[/PR:90]:[/BR:90]],Brudnopis!$E$27:$J$27),0)</f>
        <v>9.1836734693877542E-2</v>
      </c>
      <c r="X2700" s="44">
        <f>IF(Mecze[[#This Row],[Role]]&lt;&gt;"BR",SUMPRODUCT(Mecze[[#This Row],[/PR:90]:[/BR:90]],Brudnopis!$E$28:$J$28),0)</f>
        <v>3.0612244897959183E-2</v>
      </c>
      <c r="Y2700" s="35">
        <f>IF(Mecze[[#This Row],[Role]]="BR",Mecze[[#This Row],[/OB:90]]+Mecze[[#This Row],[/PC:90]],SUM(Mecze[[#This Row],[/PR:90]:[/BR:90]]))</f>
        <v>9.1836734693877542E-2</v>
      </c>
      <c r="Z2700" s="35">
        <f>IF(Mecze[[#This Row],[KC]]=0,SUM(Mecze[[#This Row],[/BRI]:[/NPI]]),SUM(Mecze[[#This Row],[/BRI]:[/NPI]])*0.6)</f>
        <v>0.41836734693877548</v>
      </c>
      <c r="AA2700" s="10">
        <f>IFERROR(Mecze[[#This Row],[BR]]/Mecze[[#This Row],[ST]],0)</f>
        <v>0</v>
      </c>
      <c r="AB2700">
        <f>ROUND(Mecze[[#This Row],[PD]]*Mecze[[#This Row],[%PC]],0)</f>
        <v>3</v>
      </c>
      <c r="AC2700">
        <f>ROUND(Mecze[[#This Row],[OD]]*Mecze[[#This Row],[%OU]],0)</f>
        <v>1</v>
      </c>
      <c r="AD2700" s="36" t="s">
        <v>47</v>
      </c>
      <c r="AE2700" s="36">
        <v>150</v>
      </c>
      <c r="AF2700" s="71">
        <v>0.43</v>
      </c>
      <c r="AG2700" s="37">
        <v>0</v>
      </c>
      <c r="AH2700" s="37">
        <v>0</v>
      </c>
      <c r="AI2700" s="37">
        <v>98</v>
      </c>
      <c r="AJ2700" s="37">
        <v>1</v>
      </c>
      <c r="AK2700" s="37" t="str">
        <f>VLOOKUP(Mecze[[#This Row],[Match ID]],Meczusie[Mecz]:Meczusie[RodzajMeczu],2,FALSE)</f>
        <v>Puchar</v>
      </c>
    </row>
    <row r="2701" spans="1:37" x14ac:dyDescent="0.25">
      <c r="A2701" s="76">
        <v>18</v>
      </c>
      <c r="B2701" s="3" t="s">
        <v>211</v>
      </c>
      <c r="C2701" s="2" t="s">
        <v>157</v>
      </c>
      <c r="D2701" s="1">
        <v>0</v>
      </c>
      <c r="E2701" s="1">
        <v>0</v>
      </c>
      <c r="F2701" s="1">
        <v>0</v>
      </c>
      <c r="G2701" s="1">
        <v>3</v>
      </c>
      <c r="H2701" s="4">
        <v>0.33</v>
      </c>
      <c r="I2701" s="1">
        <v>11</v>
      </c>
      <c r="J2701" s="4">
        <v>0.09</v>
      </c>
      <c r="K2701" s="1">
        <v>0</v>
      </c>
      <c r="L2701" s="1">
        <v>5</v>
      </c>
      <c r="M2701" s="32">
        <f>IF(Mecze[[#This Row],[PR]]=0,0,Mecze[[#This Row],[PR]]/Mecze[[#This Row],[CZAS]])</f>
        <v>5.1020408163265307E-2</v>
      </c>
      <c r="N2701" s="32">
        <f>IF(Mecze[[#This Row],[OU]]=0,0,Mecze[[#This Row],[OU]]/Mecze[[#This Row],[CZAS]])</f>
        <v>1.020408163265306E-2</v>
      </c>
      <c r="O2701" s="32">
        <f>IF(Mecze[[#This Row],[PC]]=0,0,Mecze[[#This Row],[PC]]/Mecze[[#This Row],[CZAS]])</f>
        <v>1.020408163265306E-2</v>
      </c>
      <c r="P2701" s="32">
        <f>IF(Mecze[[#This Row],[SC]]=0,0,Mecze[[#This Row],[SC]]/Mecze[[#This Row],[CZAS]])</f>
        <v>0</v>
      </c>
      <c r="Q2701" s="32">
        <f>IF(Mecze[[#This Row],[OB]]=0,0,Mecze[[#This Row],[OB]]/Mecze[[#This Row],[CZAS]])</f>
        <v>0</v>
      </c>
      <c r="R2701" s="32">
        <f>IF(Mecze[[#This Row],[BR]]=0,0,Mecze[[#This Row],[BR]]/Mecze[[#This Row],[CZAS]])</f>
        <v>0</v>
      </c>
      <c r="S2701" s="44">
        <f>IF(Mecze[[#This Row],[Role]]="BR",SUMPRODUCT(Mecze[[#This Row],[/PR:90]:[/BR:90]],Brudnopis!$E$23:$J$23),0)</f>
        <v>0</v>
      </c>
      <c r="T2701" s="44">
        <f>IF(Mecze[[#This Row],[Role]]&lt;&gt;"BR",SUMPRODUCT(Mecze[[#This Row],[/PR:90]:[/BR:90]],Brudnopis!$E$24:$J$24),0)</f>
        <v>7.6530612244897961E-2</v>
      </c>
      <c r="U2701" s="44">
        <f>IF(Mecze[[#This Row],[Role]]&lt;&gt;"BR",SUMPRODUCT(Mecze[[#This Row],[/PR:90]:[/BR:90]],Brudnopis!$E$25:$J$25),0)</f>
        <v>7.6530612244897961E-2</v>
      </c>
      <c r="V2701" s="44">
        <f>IF(Mecze[[#This Row],[Role]]&lt;&gt;"BR",SUMPRODUCT(Mecze[[#This Row],[/PR:90]:[/BR:90]],Brudnopis!$E$26:$J$26),0)</f>
        <v>7.1428571428571425E-2</v>
      </c>
      <c r="W2701" s="44">
        <f>IF(Mecze[[#This Row],[Role]]&lt;&gt;"BR",SUMPRODUCT(Mecze[[#This Row],[/PR:90]:[/BR:90]],Brudnopis!$E$27:$J$27),0)</f>
        <v>6.1224489795918366E-2</v>
      </c>
      <c r="X2701" s="44">
        <f>IF(Mecze[[#This Row],[Role]]&lt;&gt;"BR",SUMPRODUCT(Mecze[[#This Row],[/PR:90]:[/BR:90]],Brudnopis!$E$28:$J$28),0)</f>
        <v>1.020408163265306E-2</v>
      </c>
      <c r="Y2701" s="35">
        <f>IF(Mecze[[#This Row],[Role]]="BR",Mecze[[#This Row],[/OB:90]]+Mecze[[#This Row],[/PC:90]],SUM(Mecze[[#This Row],[/PR:90]:[/BR:90]]))</f>
        <v>7.1428571428571425E-2</v>
      </c>
      <c r="Z2701" s="35">
        <f>IF(Mecze[[#This Row],[KC]]=0,SUM(Mecze[[#This Row],[/BRI]:[/NPI]]),SUM(Mecze[[#This Row],[/BRI]:[/NPI]])*0.6)</f>
        <v>0.29591836734693877</v>
      </c>
      <c r="AA2701" s="10">
        <f>IFERROR(Mecze[[#This Row],[BR]]/Mecze[[#This Row],[ST]],0)</f>
        <v>0</v>
      </c>
      <c r="AB2701">
        <f>ROUND(Mecze[[#This Row],[PD]]*Mecze[[#This Row],[%PC]],0)</f>
        <v>1</v>
      </c>
      <c r="AC2701">
        <f>ROUND(Mecze[[#This Row],[OD]]*Mecze[[#This Row],[%OU]],0)</f>
        <v>1</v>
      </c>
      <c r="AD2701" s="36" t="s">
        <v>167</v>
      </c>
      <c r="AE2701" s="36">
        <v>150</v>
      </c>
      <c r="AF2701" s="71">
        <v>0.43</v>
      </c>
      <c r="AG2701" s="37">
        <v>0</v>
      </c>
      <c r="AH2701" s="37">
        <v>0</v>
      </c>
      <c r="AI2701" s="37">
        <v>98</v>
      </c>
      <c r="AJ2701" s="37">
        <v>1</v>
      </c>
      <c r="AK2701" s="37" t="str">
        <f>VLOOKUP(Mecze[[#This Row],[Match ID]],Meczusie[Mecz]:Meczusie[RodzajMeczu],2,FALSE)</f>
        <v>Puchar</v>
      </c>
    </row>
    <row r="2702" spans="1:37" x14ac:dyDescent="0.25">
      <c r="A2702" s="76">
        <v>3</v>
      </c>
      <c r="B2702" s="3" t="s">
        <v>158</v>
      </c>
      <c r="C2702" s="2" t="s">
        <v>157</v>
      </c>
      <c r="D2702" s="1">
        <v>0</v>
      </c>
      <c r="E2702" s="1">
        <v>0</v>
      </c>
      <c r="F2702" s="1">
        <v>0</v>
      </c>
      <c r="G2702" s="1">
        <v>5</v>
      </c>
      <c r="H2702" s="4">
        <v>0.8</v>
      </c>
      <c r="I2702" s="1">
        <v>5</v>
      </c>
      <c r="J2702" s="4">
        <v>0.4</v>
      </c>
      <c r="K2702" s="1">
        <v>0</v>
      </c>
      <c r="L2702" s="1">
        <v>8</v>
      </c>
      <c r="M2702" s="32">
        <f>IF(Mecze[[#This Row],[PR]]=0,0,Mecze[[#This Row],[PR]]/Mecze[[#This Row],[CZAS]])</f>
        <v>8.1632653061224483E-2</v>
      </c>
      <c r="N2702" s="32">
        <f>IF(Mecze[[#This Row],[OU]]=0,0,Mecze[[#This Row],[OU]]/Mecze[[#This Row],[CZAS]])</f>
        <v>2.0408163265306121E-2</v>
      </c>
      <c r="O2702" s="32">
        <f>IF(Mecze[[#This Row],[PC]]=0,0,Mecze[[#This Row],[PC]]/Mecze[[#This Row],[CZAS]])</f>
        <v>4.0816326530612242E-2</v>
      </c>
      <c r="P2702" s="32">
        <f>IF(Mecze[[#This Row],[SC]]=0,0,Mecze[[#This Row],[SC]]/Mecze[[#This Row],[CZAS]])</f>
        <v>0</v>
      </c>
      <c r="Q2702" s="32">
        <f>IF(Mecze[[#This Row],[OB]]=0,0,Mecze[[#This Row],[OB]]/Mecze[[#This Row],[CZAS]])</f>
        <v>0</v>
      </c>
      <c r="R2702" s="32">
        <f>IF(Mecze[[#This Row],[BR]]=0,0,Mecze[[#This Row],[BR]]/Mecze[[#This Row],[CZAS]])</f>
        <v>0</v>
      </c>
      <c r="S2702" s="44">
        <f>IF(Mecze[[#This Row],[Role]]="BR",SUMPRODUCT(Mecze[[#This Row],[/PR:90]:[/BR:90]],Brudnopis!$E$23:$J$23),0)</f>
        <v>0</v>
      </c>
      <c r="T2702" s="44">
        <f>IF(Mecze[[#This Row],[Role]]&lt;&gt;"BR",SUMPRODUCT(Mecze[[#This Row],[/PR:90]:[/BR:90]],Brudnopis!$E$24:$J$24),0)</f>
        <v>0.15306122448979589</v>
      </c>
      <c r="U2702" s="44">
        <f>IF(Mecze[[#This Row],[Role]]&lt;&gt;"BR",SUMPRODUCT(Mecze[[#This Row],[/PR:90]:[/BR:90]],Brudnopis!$E$25:$J$25),0)</f>
        <v>0.16326530612244897</v>
      </c>
      <c r="V2702" s="44">
        <f>IF(Mecze[[#This Row],[Role]]&lt;&gt;"BR",SUMPRODUCT(Mecze[[#This Row],[/PR:90]:[/BR:90]],Brudnopis!$E$26:$J$26),0)</f>
        <v>0.14285714285714285</v>
      </c>
      <c r="W2702" s="44">
        <f>IF(Mecze[[#This Row],[Role]]&lt;&gt;"BR",SUMPRODUCT(Mecze[[#This Row],[/PR:90]:[/BR:90]],Brudnopis!$E$27:$J$27),0)</f>
        <v>0.13775510204081631</v>
      </c>
      <c r="X2702" s="44">
        <f>IF(Mecze[[#This Row],[Role]]&lt;&gt;"BR",SUMPRODUCT(Mecze[[#This Row],[/PR:90]:[/BR:90]],Brudnopis!$E$28:$J$28),0)</f>
        <v>4.0816326530612242E-2</v>
      </c>
      <c r="Y2702" s="35">
        <f>IF(Mecze[[#This Row],[Role]]="BR",Mecze[[#This Row],[/OB:90]]+Mecze[[#This Row],[/PC:90]],SUM(Mecze[[#This Row],[/PR:90]:[/BR:90]]))</f>
        <v>0.14285714285714285</v>
      </c>
      <c r="Z2702" s="35">
        <f>IF(Mecze[[#This Row],[KC]]=0,SUM(Mecze[[#This Row],[/BRI]:[/NPI]]),SUM(Mecze[[#This Row],[/BRI]:[/NPI]])*0.6)</f>
        <v>0.63775510204081631</v>
      </c>
      <c r="AA2702" s="10">
        <f>IFERROR(Mecze[[#This Row],[BR]]/Mecze[[#This Row],[ST]],0)</f>
        <v>0</v>
      </c>
      <c r="AB2702">
        <f>ROUND(Mecze[[#This Row],[PD]]*Mecze[[#This Row],[%PC]],0)</f>
        <v>4</v>
      </c>
      <c r="AC2702">
        <f>ROUND(Mecze[[#This Row],[OD]]*Mecze[[#This Row],[%OU]],0)</f>
        <v>2</v>
      </c>
      <c r="AD2702" s="36" t="s">
        <v>168</v>
      </c>
      <c r="AE2702" s="36">
        <v>150</v>
      </c>
      <c r="AF2702" s="71">
        <v>1.06</v>
      </c>
      <c r="AG2702" s="37">
        <v>0</v>
      </c>
      <c r="AH2702" s="37">
        <v>0</v>
      </c>
      <c r="AI2702" s="37">
        <v>98</v>
      </c>
      <c r="AJ2702" s="37">
        <v>1</v>
      </c>
      <c r="AK2702" s="37" t="str">
        <f>VLOOKUP(Mecze[[#This Row],[Match ID]],Meczusie[Mecz]:Meczusie[RodzajMeczu],2,FALSE)</f>
        <v>Puchar</v>
      </c>
    </row>
    <row r="2703" spans="1:37" x14ac:dyDescent="0.25">
      <c r="A2703" s="76">
        <v>8</v>
      </c>
      <c r="B2703" s="3" t="s">
        <v>154</v>
      </c>
      <c r="C2703" s="2" t="s">
        <v>160</v>
      </c>
      <c r="D2703" s="1">
        <v>0</v>
      </c>
      <c r="E2703" s="1">
        <v>0</v>
      </c>
      <c r="F2703" s="1">
        <v>0</v>
      </c>
      <c r="G2703" s="1">
        <v>10</v>
      </c>
      <c r="H2703" s="4">
        <v>0.3</v>
      </c>
      <c r="I2703" s="1">
        <v>9</v>
      </c>
      <c r="J2703" s="4">
        <v>0.44</v>
      </c>
      <c r="K2703" s="1">
        <v>0</v>
      </c>
      <c r="L2703" s="1">
        <v>4</v>
      </c>
      <c r="M2703" s="32">
        <f>IF(Mecze[[#This Row],[PR]]=0,0,Mecze[[#This Row],[PR]]/Mecze[[#This Row],[CZAS]])</f>
        <v>4.0816326530612242E-2</v>
      </c>
      <c r="N2703" s="32">
        <f>IF(Mecze[[#This Row],[OU]]=0,0,Mecze[[#This Row],[OU]]/Mecze[[#This Row],[CZAS]])</f>
        <v>4.0816326530612242E-2</v>
      </c>
      <c r="O2703" s="32">
        <f>IF(Mecze[[#This Row],[PC]]=0,0,Mecze[[#This Row],[PC]]/Mecze[[#This Row],[CZAS]])</f>
        <v>3.0612244897959183E-2</v>
      </c>
      <c r="P2703" s="32">
        <f>IF(Mecze[[#This Row],[SC]]=0,0,Mecze[[#This Row],[SC]]/Mecze[[#This Row],[CZAS]])</f>
        <v>0</v>
      </c>
      <c r="Q2703" s="32">
        <f>IF(Mecze[[#This Row],[OB]]=0,0,Mecze[[#This Row],[OB]]/Mecze[[#This Row],[CZAS]])</f>
        <v>0</v>
      </c>
      <c r="R2703" s="32">
        <f>IF(Mecze[[#This Row],[BR]]=0,0,Mecze[[#This Row],[BR]]/Mecze[[#This Row],[CZAS]])</f>
        <v>0</v>
      </c>
      <c r="S2703" s="44">
        <f>IF(Mecze[[#This Row],[Role]]="BR",SUMPRODUCT(Mecze[[#This Row],[/PR:90]:[/BR:90]],Brudnopis!$E$23:$J$23),0)</f>
        <v>0</v>
      </c>
      <c r="T2703" s="44">
        <f>IF(Mecze[[#This Row],[Role]]&lt;&gt;"BR",SUMPRODUCT(Mecze[[#This Row],[/PR:90]:[/BR:90]],Brudnopis!$E$24:$J$24),0)</f>
        <v>0.1326530612244898</v>
      </c>
      <c r="U2703" s="44">
        <f>IF(Mecze[[#This Row],[Role]]&lt;&gt;"BR",SUMPRODUCT(Mecze[[#This Row],[/PR:90]:[/BR:90]],Brudnopis!$E$25:$J$25),0)</f>
        <v>0.12755102040816324</v>
      </c>
      <c r="V2703" s="44">
        <f>IF(Mecze[[#This Row],[Role]]&lt;&gt;"BR",SUMPRODUCT(Mecze[[#This Row],[/PR:90]:[/BR:90]],Brudnopis!$E$26:$J$26),0)</f>
        <v>0.11224489795918366</v>
      </c>
      <c r="W2703" s="44">
        <f>IF(Mecze[[#This Row],[Role]]&lt;&gt;"BR",SUMPRODUCT(Mecze[[#This Row],[/PR:90]:[/BR:90]],Brudnopis!$E$27:$J$27),0)</f>
        <v>0.10714285714285714</v>
      </c>
      <c r="X2703" s="44">
        <f>IF(Mecze[[#This Row],[Role]]&lt;&gt;"BR",SUMPRODUCT(Mecze[[#This Row],[/PR:90]:[/BR:90]],Brudnopis!$E$28:$J$28),0)</f>
        <v>3.0612244897959183E-2</v>
      </c>
      <c r="Y2703" s="35">
        <f>IF(Mecze[[#This Row],[Role]]="BR",Mecze[[#This Row],[/OB:90]]+Mecze[[#This Row],[/PC:90]],SUM(Mecze[[#This Row],[/PR:90]:[/BR:90]]))</f>
        <v>0.11224489795918366</v>
      </c>
      <c r="Z2703" s="35">
        <f>IF(Mecze[[#This Row],[KC]]=0,SUM(Mecze[[#This Row],[/BRI]:[/NPI]]),SUM(Mecze[[#This Row],[/BRI]:[/NPI]])*0.6)</f>
        <v>0.51020408163265307</v>
      </c>
      <c r="AA2703" s="10">
        <f>IFERROR(Mecze[[#This Row],[BR]]/Mecze[[#This Row],[ST]],0)</f>
        <v>0</v>
      </c>
      <c r="AB2703">
        <f>ROUND(Mecze[[#This Row],[PD]]*Mecze[[#This Row],[%PC]],0)</f>
        <v>3</v>
      </c>
      <c r="AC2703">
        <f>ROUND(Mecze[[#This Row],[OD]]*Mecze[[#This Row],[%OU]],0)</f>
        <v>4</v>
      </c>
      <c r="AD2703" s="36" t="s">
        <v>41</v>
      </c>
      <c r="AE2703" s="36">
        <v>150</v>
      </c>
      <c r="AF2703" s="71">
        <v>3.54</v>
      </c>
      <c r="AG2703" s="37">
        <v>0</v>
      </c>
      <c r="AH2703" s="37">
        <v>0</v>
      </c>
      <c r="AI2703" s="37">
        <v>98</v>
      </c>
      <c r="AJ2703" s="37">
        <v>1</v>
      </c>
      <c r="AK2703" s="37" t="str">
        <f>VLOOKUP(Mecze[[#This Row],[Match ID]],Meczusie[Mecz]:Meczusie[RodzajMeczu],2,FALSE)</f>
        <v>Puchar</v>
      </c>
    </row>
    <row r="2704" spans="1:37" x14ac:dyDescent="0.25">
      <c r="A2704" s="76">
        <v>6</v>
      </c>
      <c r="B2704" s="3" t="s">
        <v>159</v>
      </c>
      <c r="C2704" s="2" t="s">
        <v>160</v>
      </c>
      <c r="D2704" s="1">
        <v>0</v>
      </c>
      <c r="E2704" s="1">
        <v>0</v>
      </c>
      <c r="F2704" s="1">
        <v>0</v>
      </c>
      <c r="G2704" s="1">
        <v>4</v>
      </c>
      <c r="H2704" s="4">
        <v>0.5</v>
      </c>
      <c r="I2704" s="1">
        <v>4</v>
      </c>
      <c r="J2704" s="4">
        <v>0.5</v>
      </c>
      <c r="K2704" s="1">
        <v>0</v>
      </c>
      <c r="L2704" s="1">
        <v>4</v>
      </c>
      <c r="M2704" s="32">
        <f>IF(Mecze[[#This Row],[PR]]=0,0,Mecze[[#This Row],[PR]]/Mecze[[#This Row],[CZAS]])</f>
        <v>5.3333333333333337E-2</v>
      </c>
      <c r="N2704" s="32">
        <f>IF(Mecze[[#This Row],[OU]]=0,0,Mecze[[#This Row],[OU]]/Mecze[[#This Row],[CZAS]])</f>
        <v>2.6666666666666668E-2</v>
      </c>
      <c r="O2704" s="32">
        <f>IF(Mecze[[#This Row],[PC]]=0,0,Mecze[[#This Row],[PC]]/Mecze[[#This Row],[CZAS]])</f>
        <v>2.6666666666666668E-2</v>
      </c>
      <c r="P2704" s="32">
        <f>IF(Mecze[[#This Row],[SC]]=0,0,Mecze[[#This Row],[SC]]/Mecze[[#This Row],[CZAS]])</f>
        <v>0</v>
      </c>
      <c r="Q2704" s="32">
        <f>IF(Mecze[[#This Row],[OB]]=0,0,Mecze[[#This Row],[OB]]/Mecze[[#This Row],[CZAS]])</f>
        <v>0</v>
      </c>
      <c r="R2704" s="32">
        <f>IF(Mecze[[#This Row],[BR]]=0,0,Mecze[[#This Row],[BR]]/Mecze[[#This Row],[CZAS]])</f>
        <v>0</v>
      </c>
      <c r="S2704" s="44">
        <f>IF(Mecze[[#This Row],[Role]]="BR",SUMPRODUCT(Mecze[[#This Row],[/PR:90]:[/BR:90]],Brudnopis!$E$23:$J$23),0)</f>
        <v>0</v>
      </c>
      <c r="T2704" s="44">
        <f>IF(Mecze[[#This Row],[Role]]&lt;&gt;"BR",SUMPRODUCT(Mecze[[#This Row],[/PR:90]:[/BR:90]],Brudnopis!$E$24:$J$24),0)</f>
        <v>0.12000000000000001</v>
      </c>
      <c r="U2704" s="44">
        <f>IF(Mecze[[#This Row],[Role]]&lt;&gt;"BR",SUMPRODUCT(Mecze[[#This Row],[/PR:90]:[/BR:90]],Brudnopis!$E$25:$J$25),0)</f>
        <v>0.12</v>
      </c>
      <c r="V2704" s="44">
        <f>IF(Mecze[[#This Row],[Role]]&lt;&gt;"BR",SUMPRODUCT(Mecze[[#This Row],[/PR:90]:[/BR:90]],Brudnopis!$E$26:$J$26),0)</f>
        <v>0.10666666666666667</v>
      </c>
      <c r="W2704" s="44">
        <f>IF(Mecze[[#This Row],[Role]]&lt;&gt;"BR",SUMPRODUCT(Mecze[[#This Row],[/PR:90]:[/BR:90]],Brudnopis!$E$27:$J$27),0)</f>
        <v>0.1</v>
      </c>
      <c r="X2704" s="44">
        <f>IF(Mecze[[#This Row],[Role]]&lt;&gt;"BR",SUMPRODUCT(Mecze[[#This Row],[/PR:90]:[/BR:90]],Brudnopis!$E$28:$J$28),0)</f>
        <v>2.6666666666666668E-2</v>
      </c>
      <c r="Y2704" s="35">
        <f>IF(Mecze[[#This Row],[Role]]="BR",Mecze[[#This Row],[/OB:90]]+Mecze[[#This Row],[/PC:90]],SUM(Mecze[[#This Row],[/PR:90]:[/BR:90]]))</f>
        <v>0.10666666666666667</v>
      </c>
      <c r="Z2704" s="35">
        <f>IF(Mecze[[#This Row],[KC]]=0,SUM(Mecze[[#This Row],[/BRI]:[/NPI]]),SUM(Mecze[[#This Row],[/BRI]:[/NPI]])*0.6)</f>
        <v>0.28399999999999997</v>
      </c>
      <c r="AA2704" s="10">
        <f>IFERROR(Mecze[[#This Row],[BR]]/Mecze[[#This Row],[ST]],0)</f>
        <v>0</v>
      </c>
      <c r="AB2704">
        <f>ROUND(Mecze[[#This Row],[PD]]*Mecze[[#This Row],[%PC]],0)</f>
        <v>2</v>
      </c>
      <c r="AC2704">
        <f>ROUND(Mecze[[#This Row],[OD]]*Mecze[[#This Row],[%OU]],0)</f>
        <v>2</v>
      </c>
      <c r="AD2704" s="36" t="s">
        <v>41</v>
      </c>
      <c r="AE2704" s="36">
        <v>150</v>
      </c>
      <c r="AF2704" s="71">
        <v>1.33</v>
      </c>
      <c r="AG2704" s="37">
        <v>0</v>
      </c>
      <c r="AH2704" s="37">
        <v>1</v>
      </c>
      <c r="AI2704" s="37">
        <v>75</v>
      </c>
      <c r="AJ2704" s="37">
        <v>1</v>
      </c>
      <c r="AK2704" s="37" t="str">
        <f>VLOOKUP(Mecze[[#This Row],[Match ID]],Meczusie[Mecz]:Meczusie[RodzajMeczu],2,FALSE)</f>
        <v>Puchar</v>
      </c>
    </row>
    <row r="2705" spans="1:37" x14ac:dyDescent="0.25">
      <c r="A2705" s="76">
        <v>15</v>
      </c>
      <c r="B2705" s="3" t="s">
        <v>170</v>
      </c>
      <c r="C2705" s="2" t="s">
        <v>160</v>
      </c>
      <c r="D2705" s="1">
        <v>0</v>
      </c>
      <c r="E2705" s="1">
        <v>1</v>
      </c>
      <c r="F2705" s="1">
        <v>1</v>
      </c>
      <c r="G2705" s="1">
        <v>5</v>
      </c>
      <c r="H2705" s="4">
        <v>0.8</v>
      </c>
      <c r="I2705" s="1">
        <v>1</v>
      </c>
      <c r="J2705" s="4">
        <v>0</v>
      </c>
      <c r="K2705" s="1">
        <v>0</v>
      </c>
      <c r="L2705" s="1">
        <v>0</v>
      </c>
      <c r="M2705" s="32">
        <f>IF(Mecze[[#This Row],[PR]]=0,0,Mecze[[#This Row],[PR]]/Mecze[[#This Row],[CZAS]])</f>
        <v>0</v>
      </c>
      <c r="N2705" s="32">
        <f>IF(Mecze[[#This Row],[OU]]=0,0,Mecze[[#This Row],[OU]]/Mecze[[#This Row],[CZAS]])</f>
        <v>0</v>
      </c>
      <c r="O2705" s="32">
        <f>IF(Mecze[[#This Row],[PC]]=0,0,Mecze[[#This Row],[PC]]/Mecze[[#This Row],[CZAS]])</f>
        <v>4.0816326530612242E-2</v>
      </c>
      <c r="P2705" s="32">
        <f>IF(Mecze[[#This Row],[SC]]=0,0,Mecze[[#This Row],[SC]]/Mecze[[#This Row],[CZAS]])</f>
        <v>1.020408163265306E-2</v>
      </c>
      <c r="Q2705" s="32">
        <f>IF(Mecze[[#This Row],[OB]]=0,0,Mecze[[#This Row],[OB]]/Mecze[[#This Row],[CZAS]])</f>
        <v>0</v>
      </c>
      <c r="R2705" s="32">
        <f>IF(Mecze[[#This Row],[BR]]=0,0,Mecze[[#This Row],[BR]]/Mecze[[#This Row],[CZAS]])</f>
        <v>0</v>
      </c>
      <c r="S2705" s="44">
        <f>IF(Mecze[[#This Row],[Role]]="BR",SUMPRODUCT(Mecze[[#This Row],[/PR:90]:[/BR:90]],Brudnopis!$E$23:$J$23),0)</f>
        <v>0</v>
      </c>
      <c r="T2705" s="44">
        <f>IF(Mecze[[#This Row],[Role]]&lt;&gt;"BR",SUMPRODUCT(Mecze[[#This Row],[/PR:90]:[/BR:90]],Brudnopis!$E$24:$J$24),0)</f>
        <v>5.10204081632653E-2</v>
      </c>
      <c r="U2705" s="44">
        <f>IF(Mecze[[#This Row],[Role]]&lt;&gt;"BR",SUMPRODUCT(Mecze[[#This Row],[/PR:90]:[/BR:90]],Brudnopis!$E$25:$J$25),0)</f>
        <v>7.1428571428571425E-2</v>
      </c>
      <c r="V2705" s="44">
        <f>IF(Mecze[[#This Row],[Role]]&lt;&gt;"BR",SUMPRODUCT(Mecze[[#This Row],[/PR:90]:[/BR:90]],Brudnopis!$E$26:$J$26),0)</f>
        <v>5.10204081632653E-2</v>
      </c>
      <c r="W2705" s="44">
        <f>IF(Mecze[[#This Row],[Role]]&lt;&gt;"BR",SUMPRODUCT(Mecze[[#This Row],[/PR:90]:[/BR:90]],Brudnopis!$E$27:$J$27),0)</f>
        <v>7.1428571428571425E-2</v>
      </c>
      <c r="X2705" s="44">
        <f>IF(Mecze[[#This Row],[Role]]&lt;&gt;"BR",SUMPRODUCT(Mecze[[#This Row],[/PR:90]:[/BR:90]],Brudnopis!$E$28:$J$28),0)</f>
        <v>6.1224489795918366E-2</v>
      </c>
      <c r="Y2705" s="35">
        <f>IF(Mecze[[#This Row],[Role]]="BR",Mecze[[#This Row],[/OB:90]]+Mecze[[#This Row],[/PC:90]],SUM(Mecze[[#This Row],[/PR:90]:[/BR:90]]))</f>
        <v>5.10204081632653E-2</v>
      </c>
      <c r="Z2705" s="35">
        <f>IF(Mecze[[#This Row],[KC]]=0,SUM(Mecze[[#This Row],[/BRI]:[/NPI]]),SUM(Mecze[[#This Row],[/BRI]:[/NPI]])*0.6)</f>
        <v>0.30612244897959184</v>
      </c>
      <c r="AA2705" s="10">
        <f>IFERROR(Mecze[[#This Row],[BR]]/Mecze[[#This Row],[ST]],0)</f>
        <v>0</v>
      </c>
      <c r="AB2705">
        <f>ROUND(Mecze[[#This Row],[PD]]*Mecze[[#This Row],[%PC]],0)</f>
        <v>4</v>
      </c>
      <c r="AC2705">
        <f>ROUND(Mecze[[#This Row],[OD]]*Mecze[[#This Row],[%OU]],0)</f>
        <v>0</v>
      </c>
      <c r="AD2705" s="36" t="s">
        <v>67</v>
      </c>
      <c r="AE2705" s="36">
        <v>150</v>
      </c>
      <c r="AF2705" s="71">
        <v>5.05</v>
      </c>
      <c r="AG2705" s="37">
        <v>0</v>
      </c>
      <c r="AH2705" s="37">
        <v>0</v>
      </c>
      <c r="AI2705" s="37">
        <v>98</v>
      </c>
      <c r="AJ2705" s="37">
        <v>1</v>
      </c>
      <c r="AK2705" s="37" t="str">
        <f>VLOOKUP(Mecze[[#This Row],[Match ID]],Meczusie[Mecz]:Meczusie[RodzajMeczu],2,FALSE)</f>
        <v>Puchar</v>
      </c>
    </row>
    <row r="2706" spans="1:37" x14ac:dyDescent="0.25">
      <c r="A2706" s="76">
        <v>13</v>
      </c>
      <c r="B2706" s="3" t="s">
        <v>162</v>
      </c>
      <c r="C2706" s="2" t="s">
        <v>160</v>
      </c>
      <c r="D2706" s="1">
        <v>0</v>
      </c>
      <c r="E2706" s="1">
        <v>1</v>
      </c>
      <c r="F2706" s="1">
        <v>1</v>
      </c>
      <c r="G2706" s="1">
        <v>1</v>
      </c>
      <c r="H2706" s="4">
        <v>0</v>
      </c>
      <c r="I2706" s="1">
        <v>1</v>
      </c>
      <c r="J2706" s="4">
        <v>0</v>
      </c>
      <c r="K2706" s="1">
        <v>0</v>
      </c>
      <c r="L2706" s="1">
        <v>0</v>
      </c>
      <c r="M2706" s="32">
        <f>IF(Mecze[[#This Row],[PR]]=0,0,Mecze[[#This Row],[PR]]/Mecze[[#This Row],[CZAS]])</f>
        <v>0</v>
      </c>
      <c r="N2706" s="32">
        <f>IF(Mecze[[#This Row],[OU]]=0,0,Mecze[[#This Row],[OU]]/Mecze[[#This Row],[CZAS]])</f>
        <v>0</v>
      </c>
      <c r="O2706" s="32">
        <f>IF(Mecze[[#This Row],[PC]]=0,0,Mecze[[#This Row],[PC]]/Mecze[[#This Row],[CZAS]])</f>
        <v>0</v>
      </c>
      <c r="P2706" s="32">
        <f>IF(Mecze[[#This Row],[SC]]=0,0,Mecze[[#This Row],[SC]]/Mecze[[#This Row],[CZAS]])</f>
        <v>1.020408163265306E-2</v>
      </c>
      <c r="Q2706" s="32">
        <f>IF(Mecze[[#This Row],[OB]]=0,0,Mecze[[#This Row],[OB]]/Mecze[[#This Row],[CZAS]])</f>
        <v>0</v>
      </c>
      <c r="R2706" s="32">
        <f>IF(Mecze[[#This Row],[BR]]=0,0,Mecze[[#This Row],[BR]]/Mecze[[#This Row],[CZAS]])</f>
        <v>0</v>
      </c>
      <c r="S2706" s="44">
        <f>IF(Mecze[[#This Row],[Role]]="BR",SUMPRODUCT(Mecze[[#This Row],[/PR:90]:[/BR:90]],Brudnopis!$E$23:$J$23),0)</f>
        <v>0</v>
      </c>
      <c r="T2706" s="44">
        <f>IF(Mecze[[#This Row],[Role]]&lt;&gt;"BR",SUMPRODUCT(Mecze[[#This Row],[/PR:90]:[/BR:90]],Brudnopis!$E$24:$J$24),0)</f>
        <v>1.020408163265306E-2</v>
      </c>
      <c r="U2706" s="44">
        <f>IF(Mecze[[#This Row],[Role]]&lt;&gt;"BR",SUMPRODUCT(Mecze[[#This Row],[/PR:90]:[/BR:90]],Brudnopis!$E$25:$J$25),0)</f>
        <v>1.020408163265306E-2</v>
      </c>
      <c r="V2706" s="44">
        <f>IF(Mecze[[#This Row],[Role]]&lt;&gt;"BR",SUMPRODUCT(Mecze[[#This Row],[/PR:90]:[/BR:90]],Brudnopis!$E$26:$J$26),0)</f>
        <v>1.020408163265306E-2</v>
      </c>
      <c r="W2706" s="44">
        <f>IF(Mecze[[#This Row],[Role]]&lt;&gt;"BR",SUMPRODUCT(Mecze[[#This Row],[/PR:90]:[/BR:90]],Brudnopis!$E$27:$J$27),0)</f>
        <v>1.020408163265306E-2</v>
      </c>
      <c r="X2706" s="44">
        <f>IF(Mecze[[#This Row],[Role]]&lt;&gt;"BR",SUMPRODUCT(Mecze[[#This Row],[/PR:90]:[/BR:90]],Brudnopis!$E$28:$J$28),0)</f>
        <v>2.0408163265306121E-2</v>
      </c>
      <c r="Y2706" s="35">
        <f>IF(Mecze[[#This Row],[Role]]="BR",Mecze[[#This Row],[/OB:90]]+Mecze[[#This Row],[/PC:90]],SUM(Mecze[[#This Row],[/PR:90]:[/BR:90]]))</f>
        <v>1.020408163265306E-2</v>
      </c>
      <c r="Z2706" s="35">
        <f>IF(Mecze[[#This Row],[KC]]=0,SUM(Mecze[[#This Row],[/BRI]:[/NPI]]),SUM(Mecze[[#This Row],[/BRI]:[/NPI]])*0.6)</f>
        <v>6.1224489795918366E-2</v>
      </c>
      <c r="AA2706" s="10">
        <f>IFERROR(Mecze[[#This Row],[BR]]/Mecze[[#This Row],[ST]],0)</f>
        <v>0</v>
      </c>
      <c r="AB2706">
        <f>ROUND(Mecze[[#This Row],[PD]]*Mecze[[#This Row],[%PC]],0)</f>
        <v>0</v>
      </c>
      <c r="AC2706">
        <f>ROUND(Mecze[[#This Row],[OD]]*Mecze[[#This Row],[%OU]],0)</f>
        <v>0</v>
      </c>
      <c r="AD2706" s="36" t="s">
        <v>299</v>
      </c>
      <c r="AE2706" s="36">
        <v>150</v>
      </c>
      <c r="AF2706" s="71">
        <v>2.93</v>
      </c>
      <c r="AG2706" s="37">
        <v>0</v>
      </c>
      <c r="AH2706" s="37">
        <v>0</v>
      </c>
      <c r="AI2706" s="37">
        <v>98</v>
      </c>
      <c r="AJ2706" s="37">
        <v>1</v>
      </c>
      <c r="AK2706" s="37" t="str">
        <f>VLOOKUP(Mecze[[#This Row],[Match ID]],Meczusie[Mecz]:Meczusie[RodzajMeczu],2,FALSE)</f>
        <v>Puchar</v>
      </c>
    </row>
    <row r="2707" spans="1:37" x14ac:dyDescent="0.25">
      <c r="A2707" s="76">
        <v>14</v>
      </c>
      <c r="B2707" s="3" t="s">
        <v>164</v>
      </c>
      <c r="C2707" s="2" t="s">
        <v>165</v>
      </c>
      <c r="D2707" s="1">
        <v>0</v>
      </c>
      <c r="E2707" s="1">
        <v>3</v>
      </c>
      <c r="F2707" s="1">
        <v>3</v>
      </c>
      <c r="G2707" s="1">
        <v>1</v>
      </c>
      <c r="H2707" s="4">
        <v>1</v>
      </c>
      <c r="I2707" s="1">
        <v>2</v>
      </c>
      <c r="J2707" s="4">
        <v>0.5</v>
      </c>
      <c r="K2707" s="1">
        <v>0</v>
      </c>
      <c r="L2707" s="1">
        <v>0</v>
      </c>
      <c r="M2707" s="32">
        <f>IF(Mecze[[#This Row],[PR]]=0,0,Mecze[[#This Row],[PR]]/Mecze[[#This Row],[CZAS]])</f>
        <v>0</v>
      </c>
      <c r="N2707" s="32">
        <f>IF(Mecze[[#This Row],[OU]]=0,0,Mecze[[#This Row],[OU]]/Mecze[[#This Row],[CZAS]])</f>
        <v>1.020408163265306E-2</v>
      </c>
      <c r="O2707" s="32">
        <f>IF(Mecze[[#This Row],[PC]]=0,0,Mecze[[#This Row],[PC]]/Mecze[[#This Row],[CZAS]])</f>
        <v>1.020408163265306E-2</v>
      </c>
      <c r="P2707" s="32">
        <f>IF(Mecze[[#This Row],[SC]]=0,0,Mecze[[#This Row],[SC]]/Mecze[[#This Row],[CZAS]])</f>
        <v>3.0612244897959183E-2</v>
      </c>
      <c r="Q2707" s="32">
        <f>IF(Mecze[[#This Row],[OB]]=0,0,Mecze[[#This Row],[OB]]/Mecze[[#This Row],[CZAS]])</f>
        <v>0</v>
      </c>
      <c r="R2707" s="32">
        <f>IF(Mecze[[#This Row],[BR]]=0,0,Mecze[[#This Row],[BR]]/Mecze[[#This Row],[CZAS]])</f>
        <v>0</v>
      </c>
      <c r="S2707" s="44">
        <f>IF(Mecze[[#This Row],[Role]]="BR",SUMPRODUCT(Mecze[[#This Row],[/PR:90]:[/BR:90]],Brudnopis!$E$23:$J$23),0)</f>
        <v>0</v>
      </c>
      <c r="T2707" s="44">
        <f>IF(Mecze[[#This Row],[Role]]&lt;&gt;"BR",SUMPRODUCT(Mecze[[#This Row],[/PR:90]:[/BR:90]],Brudnopis!$E$24:$J$24),0)</f>
        <v>5.6122448979591837E-2</v>
      </c>
      <c r="U2707" s="44">
        <f>IF(Mecze[[#This Row],[Role]]&lt;&gt;"BR",SUMPRODUCT(Mecze[[#This Row],[/PR:90]:[/BR:90]],Brudnopis!$E$25:$J$25),0)</f>
        <v>5.6122448979591837E-2</v>
      </c>
      <c r="V2707" s="44">
        <f>IF(Mecze[[#This Row],[Role]]&lt;&gt;"BR",SUMPRODUCT(Mecze[[#This Row],[/PR:90]:[/BR:90]],Brudnopis!$E$26:$J$26),0)</f>
        <v>5.1020408163265307E-2</v>
      </c>
      <c r="W2707" s="44">
        <f>IF(Mecze[[#This Row],[Role]]&lt;&gt;"BR",SUMPRODUCT(Mecze[[#This Row],[/PR:90]:[/BR:90]],Brudnopis!$E$27:$J$27),0)</f>
        <v>5.3571428571428568E-2</v>
      </c>
      <c r="X2707" s="44">
        <f>IF(Mecze[[#This Row],[Role]]&lt;&gt;"BR",SUMPRODUCT(Mecze[[#This Row],[/PR:90]:[/BR:90]],Brudnopis!$E$28:$J$28),0)</f>
        <v>7.1428571428571425E-2</v>
      </c>
      <c r="Y2707" s="35">
        <f>IF(Mecze[[#This Row],[Role]]="BR",Mecze[[#This Row],[/OB:90]]+Mecze[[#This Row],[/PC:90]],SUM(Mecze[[#This Row],[/PR:90]:[/BR:90]]))</f>
        <v>5.1020408163265307E-2</v>
      </c>
      <c r="Z2707" s="35">
        <f>IF(Mecze[[#This Row],[KC]]=0,SUM(Mecze[[#This Row],[/BRI]:[/NPI]]),SUM(Mecze[[#This Row],[/BRI]:[/NPI]])*0.6)</f>
        <v>0.28826530612244899</v>
      </c>
      <c r="AA2707" s="10">
        <f>IFERROR(Mecze[[#This Row],[BR]]/Mecze[[#This Row],[ST]],0)</f>
        <v>0</v>
      </c>
      <c r="AB2707">
        <f>ROUND(Mecze[[#This Row],[PD]]*Mecze[[#This Row],[%PC]],0)</f>
        <v>1</v>
      </c>
      <c r="AC2707">
        <f>ROUND(Mecze[[#This Row],[OD]]*Mecze[[#This Row],[%OU]],0)</f>
        <v>1</v>
      </c>
      <c r="AD2707" s="36" t="s">
        <v>46</v>
      </c>
      <c r="AE2707" s="36">
        <v>150</v>
      </c>
      <c r="AF2707" s="71">
        <v>3.37</v>
      </c>
      <c r="AG2707" s="37">
        <v>0</v>
      </c>
      <c r="AH2707" s="37">
        <v>0</v>
      </c>
      <c r="AI2707" s="37">
        <v>98</v>
      </c>
      <c r="AJ2707" s="37">
        <v>1</v>
      </c>
      <c r="AK2707" s="37" t="str">
        <f>VLOOKUP(Mecze[[#This Row],[Match ID]],Meczusie[Mecz]:Meczusie[RodzajMeczu],2,FALSE)</f>
        <v>Puchar</v>
      </c>
    </row>
    <row r="2708" spans="1:37" x14ac:dyDescent="0.25">
      <c r="A2708" s="76">
        <v>9</v>
      </c>
      <c r="B2708" s="3" t="s">
        <v>411</v>
      </c>
      <c r="C2708" s="2" t="s">
        <v>165</v>
      </c>
      <c r="D2708" s="1">
        <v>0</v>
      </c>
      <c r="E2708" s="1">
        <v>2</v>
      </c>
      <c r="F2708" s="1">
        <v>2</v>
      </c>
      <c r="G2708" s="1">
        <v>4</v>
      </c>
      <c r="H2708" s="4">
        <v>0.25</v>
      </c>
      <c r="I2708" s="1">
        <v>2</v>
      </c>
      <c r="J2708" s="4">
        <v>0</v>
      </c>
      <c r="K2708" s="1">
        <v>0</v>
      </c>
      <c r="L2708" s="1">
        <v>0</v>
      </c>
      <c r="M2708" s="32">
        <f>IF(Mecze[[#This Row],[PR]]=0,0,Mecze[[#This Row],[PR]]/Mecze[[#This Row],[CZAS]])</f>
        <v>0</v>
      </c>
      <c r="N2708" s="32">
        <f>IF(Mecze[[#This Row],[OU]]=0,0,Mecze[[#This Row],[OU]]/Mecze[[#This Row],[CZAS]])</f>
        <v>0</v>
      </c>
      <c r="O2708" s="32">
        <f>IF(Mecze[[#This Row],[PC]]=0,0,Mecze[[#This Row],[PC]]/Mecze[[#This Row],[CZAS]])</f>
        <v>1.020408163265306E-2</v>
      </c>
      <c r="P2708" s="32">
        <f>IF(Mecze[[#This Row],[SC]]=0,0,Mecze[[#This Row],[SC]]/Mecze[[#This Row],[CZAS]])</f>
        <v>2.0408163265306121E-2</v>
      </c>
      <c r="Q2708" s="32">
        <f>IF(Mecze[[#This Row],[OB]]=0,0,Mecze[[#This Row],[OB]]/Mecze[[#This Row],[CZAS]])</f>
        <v>0</v>
      </c>
      <c r="R2708" s="32">
        <f>IF(Mecze[[#This Row],[BR]]=0,0,Mecze[[#This Row],[BR]]/Mecze[[#This Row],[CZAS]])</f>
        <v>0</v>
      </c>
      <c r="S2708" s="44">
        <f>IF(Mecze[[#This Row],[Role]]="BR",SUMPRODUCT(Mecze[[#This Row],[/PR:90]:[/BR:90]],Brudnopis!$E$23:$J$23),0)</f>
        <v>0</v>
      </c>
      <c r="T2708" s="44">
        <f>IF(Mecze[[#This Row],[Role]]&lt;&gt;"BR",SUMPRODUCT(Mecze[[#This Row],[/PR:90]:[/BR:90]],Brudnopis!$E$24:$J$24),0)</f>
        <v>3.0612244897959183E-2</v>
      </c>
      <c r="U2708" s="44">
        <f>IF(Mecze[[#This Row],[Role]]&lt;&gt;"BR",SUMPRODUCT(Mecze[[#This Row],[/PR:90]:[/BR:90]],Brudnopis!$E$25:$J$25),0)</f>
        <v>3.5714285714285712E-2</v>
      </c>
      <c r="V2708" s="44">
        <f>IF(Mecze[[#This Row],[Role]]&lt;&gt;"BR",SUMPRODUCT(Mecze[[#This Row],[/PR:90]:[/BR:90]],Brudnopis!$E$26:$J$26),0)</f>
        <v>3.0612244897959183E-2</v>
      </c>
      <c r="W2708" s="44">
        <f>IF(Mecze[[#This Row],[Role]]&lt;&gt;"BR",SUMPRODUCT(Mecze[[#This Row],[/PR:90]:[/BR:90]],Brudnopis!$E$27:$J$27),0)</f>
        <v>3.5714285714285712E-2</v>
      </c>
      <c r="X2708" s="44">
        <f>IF(Mecze[[#This Row],[Role]]&lt;&gt;"BR",SUMPRODUCT(Mecze[[#This Row],[/PR:90]:[/BR:90]],Brudnopis!$E$28:$J$28),0)</f>
        <v>5.10204081632653E-2</v>
      </c>
      <c r="Y2708" s="35">
        <f>IF(Mecze[[#This Row],[Role]]="BR",Mecze[[#This Row],[/OB:90]]+Mecze[[#This Row],[/PC:90]],SUM(Mecze[[#This Row],[/PR:90]:[/BR:90]]))</f>
        <v>3.0612244897959183E-2</v>
      </c>
      <c r="Z2708" s="35">
        <f>IF(Mecze[[#This Row],[KC]]=0,SUM(Mecze[[#This Row],[/BRI]:[/NPI]]),SUM(Mecze[[#This Row],[/BRI]:[/NPI]])*0.6)</f>
        <v>0.18367346938775508</v>
      </c>
      <c r="AA2708" s="10">
        <f>IFERROR(Mecze[[#This Row],[BR]]/Mecze[[#This Row],[ST]],0)</f>
        <v>0</v>
      </c>
      <c r="AB2708">
        <f>ROUND(Mecze[[#This Row],[PD]]*Mecze[[#This Row],[%PC]],0)</f>
        <v>1</v>
      </c>
      <c r="AC2708">
        <f>ROUND(Mecze[[#This Row],[OD]]*Mecze[[#This Row],[%OU]],0)</f>
        <v>0</v>
      </c>
      <c r="AD2708" s="36" t="s">
        <v>272</v>
      </c>
      <c r="AE2708" s="36">
        <v>150</v>
      </c>
      <c r="AF2708" s="71">
        <v>3.15</v>
      </c>
      <c r="AG2708" s="37">
        <v>0</v>
      </c>
      <c r="AH2708" s="37">
        <v>0</v>
      </c>
      <c r="AI2708" s="37">
        <v>98</v>
      </c>
      <c r="AJ2708" s="37">
        <v>1</v>
      </c>
      <c r="AK2708" s="37" t="str">
        <f>VLOOKUP(Mecze[[#This Row],[Match ID]],Meczusie[Mecz]:Meczusie[RodzajMeczu],2,FALSE)</f>
        <v>Puchar</v>
      </c>
    </row>
    <row r="2709" spans="1:37" x14ac:dyDescent="0.25">
      <c r="A2709" s="76">
        <v>19</v>
      </c>
      <c r="B2709" s="3" t="s">
        <v>166</v>
      </c>
      <c r="C2709" s="2" t="s">
        <v>165</v>
      </c>
      <c r="D2709" s="1">
        <v>0</v>
      </c>
      <c r="E2709" s="1">
        <v>0</v>
      </c>
      <c r="F2709" s="1">
        <v>0</v>
      </c>
      <c r="G2709" s="1">
        <v>6</v>
      </c>
      <c r="H2709" s="4">
        <v>0.83</v>
      </c>
      <c r="I2709" s="1">
        <v>1</v>
      </c>
      <c r="J2709" s="4">
        <v>1</v>
      </c>
      <c r="K2709" s="1">
        <v>0</v>
      </c>
      <c r="L2709" s="1">
        <v>0</v>
      </c>
      <c r="M2709" s="32">
        <f>IF(Mecze[[#This Row],[PR]]=0,0,Mecze[[#This Row],[PR]]/Mecze[[#This Row],[CZAS]])</f>
        <v>0</v>
      </c>
      <c r="N2709" s="32">
        <f>IF(Mecze[[#This Row],[OU]]=0,0,Mecze[[#This Row],[OU]]/Mecze[[#This Row],[CZAS]])</f>
        <v>1.020408163265306E-2</v>
      </c>
      <c r="O2709" s="32">
        <f>IF(Mecze[[#This Row],[PC]]=0,0,Mecze[[#This Row],[PC]]/Mecze[[#This Row],[CZAS]])</f>
        <v>5.1020408163265307E-2</v>
      </c>
      <c r="P2709" s="32">
        <f>IF(Mecze[[#This Row],[SC]]=0,0,Mecze[[#This Row],[SC]]/Mecze[[#This Row],[CZAS]])</f>
        <v>0</v>
      </c>
      <c r="Q2709" s="32">
        <f>IF(Mecze[[#This Row],[OB]]=0,0,Mecze[[#This Row],[OB]]/Mecze[[#This Row],[CZAS]])</f>
        <v>0</v>
      </c>
      <c r="R2709" s="32">
        <f>IF(Mecze[[#This Row],[BR]]=0,0,Mecze[[#This Row],[BR]]/Mecze[[#This Row],[CZAS]])</f>
        <v>0</v>
      </c>
      <c r="S2709" s="44">
        <f>IF(Mecze[[#This Row],[Role]]="BR",SUMPRODUCT(Mecze[[#This Row],[/PR:90]:[/BR:90]],Brudnopis!$E$23:$J$23),0)</f>
        <v>0</v>
      </c>
      <c r="T2709" s="44">
        <f>IF(Mecze[[#This Row],[Role]]&lt;&gt;"BR",SUMPRODUCT(Mecze[[#This Row],[/PR:90]:[/BR:90]],Brudnopis!$E$24:$J$24),0)</f>
        <v>6.6326530612244902E-2</v>
      </c>
      <c r="U2709" s="44">
        <f>IF(Mecze[[#This Row],[Role]]&lt;&gt;"BR",SUMPRODUCT(Mecze[[#This Row],[/PR:90]:[/BR:90]],Brudnopis!$E$25:$J$25),0)</f>
        <v>8.673469387755102E-2</v>
      </c>
      <c r="V2709" s="44">
        <f>IF(Mecze[[#This Row],[Role]]&lt;&gt;"BR",SUMPRODUCT(Mecze[[#This Row],[/PR:90]:[/BR:90]],Brudnopis!$E$26:$J$26),0)</f>
        <v>6.1224489795918366E-2</v>
      </c>
      <c r="W2709" s="44">
        <f>IF(Mecze[[#This Row],[Role]]&lt;&gt;"BR",SUMPRODUCT(Mecze[[#This Row],[/PR:90]:[/BR:90]],Brudnopis!$E$27:$J$27),0)</f>
        <v>8.4183673469387751E-2</v>
      </c>
      <c r="X2709" s="44">
        <f>IF(Mecze[[#This Row],[Role]]&lt;&gt;"BR",SUMPRODUCT(Mecze[[#This Row],[/PR:90]:[/BR:90]],Brudnopis!$E$28:$J$28),0)</f>
        <v>5.1020408163265307E-2</v>
      </c>
      <c r="Y2709" s="35">
        <f>IF(Mecze[[#This Row],[Role]]="BR",Mecze[[#This Row],[/OB:90]]+Mecze[[#This Row],[/PC:90]],SUM(Mecze[[#This Row],[/PR:90]:[/BR:90]]))</f>
        <v>6.1224489795918366E-2</v>
      </c>
      <c r="Z2709" s="35">
        <f>IF(Mecze[[#This Row],[KC]]=0,SUM(Mecze[[#This Row],[/BRI]:[/NPI]]),SUM(Mecze[[#This Row],[/BRI]:[/NPI]])*0.6)</f>
        <v>0.34948979591836737</v>
      </c>
      <c r="AA2709" s="10">
        <f>IFERROR(Mecze[[#This Row],[BR]]/Mecze[[#This Row],[ST]],0)</f>
        <v>0</v>
      </c>
      <c r="AB2709">
        <f>ROUND(Mecze[[#This Row],[PD]]*Mecze[[#This Row],[%PC]],0)</f>
        <v>5</v>
      </c>
      <c r="AC2709">
        <f>ROUND(Mecze[[#This Row],[OD]]*Mecze[[#This Row],[%OU]],0)</f>
        <v>1</v>
      </c>
      <c r="AD2709" s="36" t="s">
        <v>46</v>
      </c>
      <c r="AE2709" s="36">
        <v>150</v>
      </c>
      <c r="AF2709" s="71">
        <v>4.96</v>
      </c>
      <c r="AG2709" s="37">
        <v>0</v>
      </c>
      <c r="AH2709" s="37">
        <v>0</v>
      </c>
      <c r="AI2709" s="37">
        <v>98</v>
      </c>
      <c r="AJ2709" s="37">
        <v>1</v>
      </c>
      <c r="AK2709" s="37" t="str">
        <f>VLOOKUP(Mecze[[#This Row],[Match ID]],Meczusie[Mecz]:Meczusie[RodzajMeczu],2,FALSE)</f>
        <v>Puchar</v>
      </c>
    </row>
    <row r="2710" spans="1:37" x14ac:dyDescent="0.25">
      <c r="A2710" s="76">
        <v>39</v>
      </c>
      <c r="B2710" s="3" t="s">
        <v>450</v>
      </c>
      <c r="C2710" s="2" t="s">
        <v>155</v>
      </c>
      <c r="D2710" s="1">
        <v>0</v>
      </c>
      <c r="E2710" s="1">
        <v>0</v>
      </c>
      <c r="F2710" s="1">
        <v>0</v>
      </c>
      <c r="G2710" s="1">
        <v>2</v>
      </c>
      <c r="H2710" s="4">
        <v>1</v>
      </c>
      <c r="I2710" s="1">
        <v>0</v>
      </c>
      <c r="J2710" s="4"/>
      <c r="K2710" s="1">
        <v>0</v>
      </c>
      <c r="L2710" s="1">
        <v>0</v>
      </c>
      <c r="M2710" s="32">
        <f>IF(Mecze[[#This Row],[PR]]=0,0,Mecze[[#This Row],[PR]]/Mecze[[#This Row],[CZAS]])</f>
        <v>0</v>
      </c>
      <c r="N2710" s="32">
        <f>IF(Mecze[[#This Row],[OU]]=0,0,Mecze[[#This Row],[OU]]/Mecze[[#This Row],[CZAS]])</f>
        <v>0</v>
      </c>
      <c r="O2710" s="32">
        <f>IF(Mecze[[#This Row],[PC]]=0,0,Mecze[[#This Row],[PC]]/Mecze[[#This Row],[CZAS]])</f>
        <v>2.0833333333333332E-2</v>
      </c>
      <c r="P2710" s="32">
        <f>IF(Mecze[[#This Row],[SC]]=0,0,Mecze[[#This Row],[SC]]/Mecze[[#This Row],[CZAS]])</f>
        <v>0</v>
      </c>
      <c r="Q2710" s="32">
        <f>IF(Mecze[[#This Row],[OB]]=0,0,Mecze[[#This Row],[OB]]/Mecze[[#This Row],[CZAS]])</f>
        <v>0</v>
      </c>
      <c r="R2710" s="32">
        <f>IF(Mecze[[#This Row],[BR]]=0,0,Mecze[[#This Row],[BR]]/Mecze[[#This Row],[CZAS]])</f>
        <v>0</v>
      </c>
      <c r="S2710" s="44">
        <f>IF(Mecze[[#This Row],[Role]]="BR",SUMPRODUCT(Mecze[[#This Row],[/PR:90]:[/BR:90]],Brudnopis!$E$23:$J$23),0)</f>
        <v>6.25E-2</v>
      </c>
      <c r="T2710" s="44">
        <f>IF(Mecze[[#This Row],[Role]]&lt;&gt;"BR",SUMPRODUCT(Mecze[[#This Row],[/PR:90]:[/BR:90]],Brudnopis!$E$24:$J$24),0)</f>
        <v>0</v>
      </c>
      <c r="U2710" s="44">
        <f>IF(Mecze[[#This Row],[Role]]&lt;&gt;"BR",SUMPRODUCT(Mecze[[#This Row],[/PR:90]:[/BR:90]],Brudnopis!$E$25:$J$25),0)</f>
        <v>0</v>
      </c>
      <c r="V2710" s="44">
        <f>IF(Mecze[[#This Row],[Role]]&lt;&gt;"BR",SUMPRODUCT(Mecze[[#This Row],[/PR:90]:[/BR:90]],Brudnopis!$E$26:$J$26),0)</f>
        <v>0</v>
      </c>
      <c r="W2710" s="44">
        <f>IF(Mecze[[#This Row],[Role]]&lt;&gt;"BR",SUMPRODUCT(Mecze[[#This Row],[/PR:90]:[/BR:90]],Brudnopis!$E$27:$J$27),0)</f>
        <v>0</v>
      </c>
      <c r="X2710" s="44">
        <f>IF(Mecze[[#This Row],[Role]]&lt;&gt;"BR",SUMPRODUCT(Mecze[[#This Row],[/PR:90]:[/BR:90]],Brudnopis!$E$28:$J$28),0)</f>
        <v>0</v>
      </c>
      <c r="Y2710" s="35">
        <f>IF(Mecze[[#This Row],[Role]]="BR",Mecze[[#This Row],[/OB:90]]+Mecze[[#This Row],[/PC:90]],SUM(Mecze[[#This Row],[/PR:90]:[/BR:90]]))</f>
        <v>2.0833333333333332E-2</v>
      </c>
      <c r="Z2710" s="35">
        <f>IF(Mecze[[#This Row],[KC]]=0,SUM(Mecze[[#This Row],[/BRI]:[/NPI]]),SUM(Mecze[[#This Row],[/BRI]:[/NPI]])*0.6)</f>
        <v>6.25E-2</v>
      </c>
      <c r="AA2710" s="10">
        <f>IFERROR(Mecze[[#This Row],[BR]]/Mecze[[#This Row],[ST]],0)</f>
        <v>0</v>
      </c>
      <c r="AB2710">
        <f>ROUND(Mecze[[#This Row],[PD]]*Mecze[[#This Row],[%PC]],0)</f>
        <v>2</v>
      </c>
      <c r="AC2710">
        <f>ROUND(Mecze[[#This Row],[OD]]*Mecze[[#This Row],[%OU]],0)</f>
        <v>0</v>
      </c>
      <c r="AD2710" s="36" t="s">
        <v>40</v>
      </c>
      <c r="AE2710" s="36">
        <v>151</v>
      </c>
      <c r="AF2710" s="71">
        <v>3.92</v>
      </c>
      <c r="AG2710" s="37">
        <v>0</v>
      </c>
      <c r="AH2710" s="37">
        <v>0</v>
      </c>
      <c r="AI2710" s="37">
        <v>96</v>
      </c>
      <c r="AJ2710" s="37">
        <v>1</v>
      </c>
      <c r="AK2710" s="37" t="str">
        <f>VLOOKUP(Mecze[[#This Row],[Match ID]],Meczusie[Mecz]:Meczusie[RodzajMeczu],2,FALSE)</f>
        <v>Towarzyski</v>
      </c>
    </row>
    <row r="2711" spans="1:37" x14ac:dyDescent="0.25">
      <c r="A2711" s="76">
        <v>38</v>
      </c>
      <c r="B2711" s="3" t="s">
        <v>359</v>
      </c>
      <c r="C2711" s="2" t="s">
        <v>157</v>
      </c>
      <c r="D2711" s="1">
        <v>0</v>
      </c>
      <c r="E2711" s="1">
        <v>0</v>
      </c>
      <c r="F2711" s="1">
        <v>0</v>
      </c>
      <c r="G2711" s="1">
        <v>4</v>
      </c>
      <c r="H2711" s="4">
        <v>0.75</v>
      </c>
      <c r="I2711" s="1">
        <v>3</v>
      </c>
      <c r="J2711" s="4">
        <v>0.67</v>
      </c>
      <c r="K2711" s="1">
        <v>0</v>
      </c>
      <c r="L2711" s="1">
        <v>7</v>
      </c>
      <c r="M2711" s="32">
        <f>IF(Mecze[[#This Row],[PR]]=0,0,Mecze[[#This Row],[PR]]/Mecze[[#This Row],[CZAS]])</f>
        <v>7.2916666666666671E-2</v>
      </c>
      <c r="N2711" s="32">
        <f>IF(Mecze[[#This Row],[OU]]=0,0,Mecze[[#This Row],[OU]]/Mecze[[#This Row],[CZAS]])</f>
        <v>2.0833333333333332E-2</v>
      </c>
      <c r="O2711" s="32">
        <f>IF(Mecze[[#This Row],[PC]]=0,0,Mecze[[#This Row],[PC]]/Mecze[[#This Row],[CZAS]])</f>
        <v>3.125E-2</v>
      </c>
      <c r="P2711" s="32">
        <f>IF(Mecze[[#This Row],[SC]]=0,0,Mecze[[#This Row],[SC]]/Mecze[[#This Row],[CZAS]])</f>
        <v>0</v>
      </c>
      <c r="Q2711" s="32">
        <f>IF(Mecze[[#This Row],[OB]]=0,0,Mecze[[#This Row],[OB]]/Mecze[[#This Row],[CZAS]])</f>
        <v>0</v>
      </c>
      <c r="R2711" s="32">
        <f>IF(Mecze[[#This Row],[BR]]=0,0,Mecze[[#This Row],[BR]]/Mecze[[#This Row],[CZAS]])</f>
        <v>0</v>
      </c>
      <c r="S2711" s="44">
        <f>IF(Mecze[[#This Row],[Role]]="BR",SUMPRODUCT(Mecze[[#This Row],[/PR:90]:[/BR:90]],Brudnopis!$E$23:$J$23),0)</f>
        <v>0</v>
      </c>
      <c r="T2711" s="44">
        <f>IF(Mecze[[#This Row],[Role]]&lt;&gt;"BR",SUMPRODUCT(Mecze[[#This Row],[/PR:90]:[/BR:90]],Brudnopis!$E$24:$J$24),0)</f>
        <v>0.13541666666666669</v>
      </c>
      <c r="U2711" s="44">
        <f>IF(Mecze[[#This Row],[Role]]&lt;&gt;"BR",SUMPRODUCT(Mecze[[#This Row],[/PR:90]:[/BR:90]],Brudnopis!$E$25:$J$25),0)</f>
        <v>0.140625</v>
      </c>
      <c r="V2711" s="44">
        <f>IF(Mecze[[#This Row],[Role]]&lt;&gt;"BR",SUMPRODUCT(Mecze[[#This Row],[/PR:90]:[/BR:90]],Brudnopis!$E$26:$J$26),0)</f>
        <v>0.125</v>
      </c>
      <c r="W2711" s="44">
        <f>IF(Mecze[[#This Row],[Role]]&lt;&gt;"BR",SUMPRODUCT(Mecze[[#This Row],[/PR:90]:[/BR:90]],Brudnopis!$E$27:$J$27),0)</f>
        <v>0.1171875</v>
      </c>
      <c r="X2711" s="44">
        <f>IF(Mecze[[#This Row],[Role]]&lt;&gt;"BR",SUMPRODUCT(Mecze[[#This Row],[/PR:90]:[/BR:90]],Brudnopis!$E$28:$J$28),0)</f>
        <v>3.125E-2</v>
      </c>
      <c r="Y2711" s="35">
        <f>IF(Mecze[[#This Row],[Role]]="BR",Mecze[[#This Row],[/OB:90]]+Mecze[[#This Row],[/PC:90]],SUM(Mecze[[#This Row],[/PR:90]:[/BR:90]]))</f>
        <v>0.125</v>
      </c>
      <c r="Z2711" s="35">
        <f>IF(Mecze[[#This Row],[KC]]=0,SUM(Mecze[[#This Row],[/BRI]:[/NPI]]),SUM(Mecze[[#This Row],[/BRI]:[/NPI]])*0.6)</f>
        <v>0.54947916666666674</v>
      </c>
      <c r="AA2711" s="10">
        <f>IFERROR(Mecze[[#This Row],[BR]]/Mecze[[#This Row],[ST]],0)</f>
        <v>0</v>
      </c>
      <c r="AB2711">
        <f>ROUND(Mecze[[#This Row],[PD]]*Mecze[[#This Row],[%PC]],0)</f>
        <v>3</v>
      </c>
      <c r="AC2711">
        <f>ROUND(Mecze[[#This Row],[OD]]*Mecze[[#This Row],[%OU]],0)</f>
        <v>2</v>
      </c>
      <c r="AD2711" s="36" t="s">
        <v>47</v>
      </c>
      <c r="AE2711" s="36">
        <v>151</v>
      </c>
      <c r="AF2711" s="71">
        <v>5.4</v>
      </c>
      <c r="AG2711" s="37">
        <v>1</v>
      </c>
      <c r="AH2711" s="37">
        <v>0</v>
      </c>
      <c r="AI2711" s="37">
        <v>96</v>
      </c>
      <c r="AJ2711" s="37">
        <v>1</v>
      </c>
      <c r="AK2711" s="37" t="str">
        <f>VLOOKUP(Mecze[[#This Row],[Match ID]],Meczusie[Mecz]:Meczusie[RodzajMeczu],2,FALSE)</f>
        <v>Towarzyski</v>
      </c>
    </row>
    <row r="2712" spans="1:37" x14ac:dyDescent="0.25">
      <c r="A2712" s="76">
        <v>17</v>
      </c>
      <c r="B2712" s="3" t="s">
        <v>413</v>
      </c>
      <c r="C2712" s="2" t="s">
        <v>157</v>
      </c>
      <c r="D2712" s="1">
        <v>0</v>
      </c>
      <c r="E2712" s="1">
        <v>0</v>
      </c>
      <c r="F2712" s="1">
        <v>0</v>
      </c>
      <c r="G2712" s="1">
        <v>9</v>
      </c>
      <c r="H2712" s="4">
        <v>0.44</v>
      </c>
      <c r="I2712" s="1">
        <v>5</v>
      </c>
      <c r="J2712" s="4">
        <v>0.6</v>
      </c>
      <c r="K2712" s="1">
        <v>0</v>
      </c>
      <c r="L2712" s="1">
        <v>8</v>
      </c>
      <c r="M2712" s="32">
        <f>IF(Mecze[[#This Row],[PR]]=0,0,Mecze[[#This Row],[PR]]/Mecze[[#This Row],[CZAS]])</f>
        <v>8.3333333333333329E-2</v>
      </c>
      <c r="N2712" s="32">
        <f>IF(Mecze[[#This Row],[OU]]=0,0,Mecze[[#This Row],[OU]]/Mecze[[#This Row],[CZAS]])</f>
        <v>3.125E-2</v>
      </c>
      <c r="O2712" s="32">
        <f>IF(Mecze[[#This Row],[PC]]=0,0,Mecze[[#This Row],[PC]]/Mecze[[#This Row],[CZAS]])</f>
        <v>4.1666666666666664E-2</v>
      </c>
      <c r="P2712" s="32">
        <f>IF(Mecze[[#This Row],[SC]]=0,0,Mecze[[#This Row],[SC]]/Mecze[[#This Row],[CZAS]])</f>
        <v>0</v>
      </c>
      <c r="Q2712" s="32">
        <f>IF(Mecze[[#This Row],[OB]]=0,0,Mecze[[#This Row],[OB]]/Mecze[[#This Row],[CZAS]])</f>
        <v>0</v>
      </c>
      <c r="R2712" s="32">
        <f>IF(Mecze[[#This Row],[BR]]=0,0,Mecze[[#This Row],[BR]]/Mecze[[#This Row],[CZAS]])</f>
        <v>0</v>
      </c>
      <c r="S2712" s="44">
        <f>IF(Mecze[[#This Row],[Role]]="BR",SUMPRODUCT(Mecze[[#This Row],[/PR:90]:[/BR:90]],Brudnopis!$E$23:$J$23),0)</f>
        <v>0</v>
      </c>
      <c r="T2712" s="44">
        <f>IF(Mecze[[#This Row],[Role]]&lt;&gt;"BR",SUMPRODUCT(Mecze[[#This Row],[/PR:90]:[/BR:90]],Brudnopis!$E$24:$J$24),0)</f>
        <v>0.17187499999999997</v>
      </c>
      <c r="U2712" s="44">
        <f>IF(Mecze[[#This Row],[Role]]&lt;&gt;"BR",SUMPRODUCT(Mecze[[#This Row],[/PR:90]:[/BR:90]],Brudnopis!$E$25:$J$25),0)</f>
        <v>0.17708333333333331</v>
      </c>
      <c r="V2712" s="44">
        <f>IF(Mecze[[#This Row],[Role]]&lt;&gt;"BR",SUMPRODUCT(Mecze[[#This Row],[/PR:90]:[/BR:90]],Brudnopis!$E$26:$J$26),0)</f>
        <v>0.15625</v>
      </c>
      <c r="W2712" s="44">
        <f>IF(Mecze[[#This Row],[Role]]&lt;&gt;"BR",SUMPRODUCT(Mecze[[#This Row],[/PR:90]:[/BR:90]],Brudnopis!$E$27:$J$27),0)</f>
        <v>0.1484375</v>
      </c>
      <c r="X2712" s="44">
        <f>IF(Mecze[[#This Row],[Role]]&lt;&gt;"BR",SUMPRODUCT(Mecze[[#This Row],[/PR:90]:[/BR:90]],Brudnopis!$E$28:$J$28),0)</f>
        <v>4.1666666666666664E-2</v>
      </c>
      <c r="Y2712" s="35">
        <f>IF(Mecze[[#This Row],[Role]]="BR",Mecze[[#This Row],[/OB:90]]+Mecze[[#This Row],[/PC:90]],SUM(Mecze[[#This Row],[/PR:90]:[/BR:90]]))</f>
        <v>0.15625</v>
      </c>
      <c r="Z2712" s="35">
        <f>IF(Mecze[[#This Row],[KC]]=0,SUM(Mecze[[#This Row],[/BRI]:[/NPI]]),SUM(Mecze[[#This Row],[/BRI]:[/NPI]])*0.6)</f>
        <v>0.69531249999999989</v>
      </c>
      <c r="AA2712" s="10">
        <f>IFERROR(Mecze[[#This Row],[BR]]/Mecze[[#This Row],[ST]],0)</f>
        <v>0</v>
      </c>
      <c r="AB2712">
        <f>ROUND(Mecze[[#This Row],[PD]]*Mecze[[#This Row],[%PC]],0)</f>
        <v>4</v>
      </c>
      <c r="AC2712">
        <f>ROUND(Mecze[[#This Row],[OD]]*Mecze[[#This Row],[%OU]],0)</f>
        <v>3</v>
      </c>
      <c r="AD2712" s="36" t="s">
        <v>167</v>
      </c>
      <c r="AE2712" s="36">
        <v>151</v>
      </c>
      <c r="AF2712" s="71">
        <v>5.61</v>
      </c>
      <c r="AG2712" s="37">
        <v>1</v>
      </c>
      <c r="AH2712" s="37">
        <v>0</v>
      </c>
      <c r="AI2712" s="37">
        <v>96</v>
      </c>
      <c r="AJ2712" s="37">
        <v>1</v>
      </c>
      <c r="AK2712" s="37" t="str">
        <f>VLOOKUP(Mecze[[#This Row],[Match ID]],Meczusie[Mecz]:Meczusie[RodzajMeczu],2,FALSE)</f>
        <v>Towarzyski</v>
      </c>
    </row>
    <row r="2713" spans="1:37" x14ac:dyDescent="0.25">
      <c r="A2713" s="76">
        <v>50</v>
      </c>
      <c r="B2713" s="3" t="s">
        <v>496</v>
      </c>
      <c r="C2713" s="2" t="s">
        <v>157</v>
      </c>
      <c r="D2713" s="1">
        <v>0</v>
      </c>
      <c r="E2713" s="1">
        <v>0</v>
      </c>
      <c r="F2713" s="1">
        <v>0</v>
      </c>
      <c r="G2713" s="1">
        <v>9</v>
      </c>
      <c r="H2713" s="4">
        <v>0.44</v>
      </c>
      <c r="I2713" s="1">
        <v>4</v>
      </c>
      <c r="J2713" s="4">
        <v>0.5</v>
      </c>
      <c r="K2713" s="1">
        <v>0</v>
      </c>
      <c r="L2713" s="1">
        <v>7</v>
      </c>
      <c r="M2713" s="32">
        <f>IF(Mecze[[#This Row],[PR]]=0,0,Mecze[[#This Row],[PR]]/Mecze[[#This Row],[CZAS]])</f>
        <v>7.2916666666666671E-2</v>
      </c>
      <c r="N2713" s="32">
        <f>IF(Mecze[[#This Row],[OU]]=0,0,Mecze[[#This Row],[OU]]/Mecze[[#This Row],[CZAS]])</f>
        <v>2.0833333333333332E-2</v>
      </c>
      <c r="O2713" s="32">
        <f>IF(Mecze[[#This Row],[PC]]=0,0,Mecze[[#This Row],[PC]]/Mecze[[#This Row],[CZAS]])</f>
        <v>4.1666666666666664E-2</v>
      </c>
      <c r="P2713" s="32">
        <f>IF(Mecze[[#This Row],[SC]]=0,0,Mecze[[#This Row],[SC]]/Mecze[[#This Row],[CZAS]])</f>
        <v>0</v>
      </c>
      <c r="Q2713" s="32">
        <f>IF(Mecze[[#This Row],[OB]]=0,0,Mecze[[#This Row],[OB]]/Mecze[[#This Row],[CZAS]])</f>
        <v>0</v>
      </c>
      <c r="R2713" s="32">
        <f>IF(Mecze[[#This Row],[BR]]=0,0,Mecze[[#This Row],[BR]]/Mecze[[#This Row],[CZAS]])</f>
        <v>0</v>
      </c>
      <c r="S2713" s="44">
        <f>IF(Mecze[[#This Row],[Role]]="BR",SUMPRODUCT(Mecze[[#This Row],[/PR:90]:[/BR:90]],Brudnopis!$E$23:$J$23),0)</f>
        <v>0</v>
      </c>
      <c r="T2713" s="44">
        <f>IF(Mecze[[#This Row],[Role]]&lt;&gt;"BR",SUMPRODUCT(Mecze[[#This Row],[/PR:90]:[/BR:90]],Brudnopis!$E$24:$J$24),0)</f>
        <v>0.14583333333333334</v>
      </c>
      <c r="U2713" s="44">
        <f>IF(Mecze[[#This Row],[Role]]&lt;&gt;"BR",SUMPRODUCT(Mecze[[#This Row],[/PR:90]:[/BR:90]],Brudnopis!$E$25:$J$25),0)</f>
        <v>0.15625</v>
      </c>
      <c r="V2713" s="44">
        <f>IF(Mecze[[#This Row],[Role]]&lt;&gt;"BR",SUMPRODUCT(Mecze[[#This Row],[/PR:90]:[/BR:90]],Brudnopis!$E$26:$J$26),0)</f>
        <v>0.13541666666666666</v>
      </c>
      <c r="W2713" s="44">
        <f>IF(Mecze[[#This Row],[Role]]&lt;&gt;"BR",SUMPRODUCT(Mecze[[#This Row],[/PR:90]:[/BR:90]],Brudnopis!$E$27:$J$27),0)</f>
        <v>0.1328125</v>
      </c>
      <c r="X2713" s="44">
        <f>IF(Mecze[[#This Row],[Role]]&lt;&gt;"BR",SUMPRODUCT(Mecze[[#This Row],[/PR:90]:[/BR:90]],Brudnopis!$E$28:$J$28),0)</f>
        <v>4.1666666666666664E-2</v>
      </c>
      <c r="Y2713" s="35">
        <f>IF(Mecze[[#This Row],[Role]]="BR",Mecze[[#This Row],[/OB:90]]+Mecze[[#This Row],[/PC:90]],SUM(Mecze[[#This Row],[/PR:90]:[/BR:90]]))</f>
        <v>0.13541666666666666</v>
      </c>
      <c r="Z2713" s="35">
        <f>IF(Mecze[[#This Row],[KC]]=0,SUM(Mecze[[#This Row],[/BRI]:[/NPI]]),SUM(Mecze[[#This Row],[/BRI]:[/NPI]])*0.6)</f>
        <v>0.61197916666666663</v>
      </c>
      <c r="AA2713" s="10">
        <f>IFERROR(Mecze[[#This Row],[BR]]/Mecze[[#This Row],[ST]],0)</f>
        <v>0</v>
      </c>
      <c r="AB2713">
        <f>ROUND(Mecze[[#This Row],[PD]]*Mecze[[#This Row],[%PC]],0)</f>
        <v>4</v>
      </c>
      <c r="AC2713">
        <f>ROUND(Mecze[[#This Row],[OD]]*Mecze[[#This Row],[%OU]],0)</f>
        <v>2</v>
      </c>
      <c r="AD2713" s="36" t="s">
        <v>168</v>
      </c>
      <c r="AE2713" s="36">
        <v>151</v>
      </c>
      <c r="AF2713" s="71">
        <v>6.51</v>
      </c>
      <c r="AG2713" s="37">
        <v>0</v>
      </c>
      <c r="AH2713" s="37">
        <v>0</v>
      </c>
      <c r="AI2713" s="37">
        <v>96</v>
      </c>
      <c r="AJ2713" s="37">
        <v>1</v>
      </c>
      <c r="AK2713" s="37" t="str">
        <f>VLOOKUP(Mecze[[#This Row],[Match ID]],Meczusie[Mecz]:Meczusie[RodzajMeczu],2,FALSE)</f>
        <v>Towarzyski</v>
      </c>
    </row>
    <row r="2714" spans="1:37" x14ac:dyDescent="0.25">
      <c r="A2714" s="76">
        <v>52</v>
      </c>
      <c r="B2714" s="3" t="s">
        <v>408</v>
      </c>
      <c r="C2714" s="2" t="s">
        <v>160</v>
      </c>
      <c r="D2714" s="1">
        <v>0</v>
      </c>
      <c r="E2714" s="1">
        <v>0</v>
      </c>
      <c r="F2714" s="1">
        <v>0</v>
      </c>
      <c r="G2714" s="1">
        <v>16</v>
      </c>
      <c r="H2714" s="4">
        <v>0.56000000000000005</v>
      </c>
      <c r="I2714" s="1">
        <v>0</v>
      </c>
      <c r="J2714" s="4"/>
      <c r="K2714" s="1">
        <v>0</v>
      </c>
      <c r="L2714" s="1">
        <v>9</v>
      </c>
      <c r="M2714" s="32">
        <f>IF(Mecze[[#This Row],[PR]]=0,0,Mecze[[#This Row],[PR]]/Mecze[[#This Row],[CZAS]])</f>
        <v>9.375E-2</v>
      </c>
      <c r="N2714" s="32">
        <f>IF(Mecze[[#This Row],[OU]]=0,0,Mecze[[#This Row],[OU]]/Mecze[[#This Row],[CZAS]])</f>
        <v>0</v>
      </c>
      <c r="O2714" s="32">
        <f>IF(Mecze[[#This Row],[PC]]=0,0,Mecze[[#This Row],[PC]]/Mecze[[#This Row],[CZAS]])</f>
        <v>9.375E-2</v>
      </c>
      <c r="P2714" s="32">
        <f>IF(Mecze[[#This Row],[SC]]=0,0,Mecze[[#This Row],[SC]]/Mecze[[#This Row],[CZAS]])</f>
        <v>0</v>
      </c>
      <c r="Q2714" s="32">
        <f>IF(Mecze[[#This Row],[OB]]=0,0,Mecze[[#This Row],[OB]]/Mecze[[#This Row],[CZAS]])</f>
        <v>0</v>
      </c>
      <c r="R2714" s="32">
        <f>IF(Mecze[[#This Row],[BR]]=0,0,Mecze[[#This Row],[BR]]/Mecze[[#This Row],[CZAS]])</f>
        <v>0</v>
      </c>
      <c r="S2714" s="44">
        <f>IF(Mecze[[#This Row],[Role]]="BR",SUMPRODUCT(Mecze[[#This Row],[/PR:90]:[/BR:90]],Brudnopis!$E$23:$J$23),0)</f>
        <v>0</v>
      </c>
      <c r="T2714" s="44">
        <f>IF(Mecze[[#This Row],[Role]]&lt;&gt;"BR",SUMPRODUCT(Mecze[[#This Row],[/PR:90]:[/BR:90]],Brudnopis!$E$24:$J$24),0)</f>
        <v>0.1875</v>
      </c>
      <c r="U2714" s="44">
        <f>IF(Mecze[[#This Row],[Role]]&lt;&gt;"BR",SUMPRODUCT(Mecze[[#This Row],[/PR:90]:[/BR:90]],Brudnopis!$E$25:$J$25),0)</f>
        <v>0.234375</v>
      </c>
      <c r="V2714" s="44">
        <f>IF(Mecze[[#This Row],[Role]]&lt;&gt;"BR",SUMPRODUCT(Mecze[[#This Row],[/PR:90]:[/BR:90]],Brudnopis!$E$26:$J$26),0)</f>
        <v>0.1875</v>
      </c>
      <c r="W2714" s="44">
        <f>IF(Mecze[[#This Row],[Role]]&lt;&gt;"BR",SUMPRODUCT(Mecze[[#This Row],[/PR:90]:[/BR:90]],Brudnopis!$E$27:$J$27),0)</f>
        <v>0.2109375</v>
      </c>
      <c r="X2714" s="44">
        <f>IF(Mecze[[#This Row],[Role]]&lt;&gt;"BR",SUMPRODUCT(Mecze[[#This Row],[/PR:90]:[/BR:90]],Brudnopis!$E$28:$J$28),0)</f>
        <v>9.375E-2</v>
      </c>
      <c r="Y2714" s="35">
        <f>IF(Mecze[[#This Row],[Role]]="BR",Mecze[[#This Row],[/OB:90]]+Mecze[[#This Row],[/PC:90]],SUM(Mecze[[#This Row],[/PR:90]:[/BR:90]]))</f>
        <v>0.1875</v>
      </c>
      <c r="Z2714" s="35">
        <f>IF(Mecze[[#This Row],[KC]]=0,SUM(Mecze[[#This Row],[/BRI]:[/NPI]]),SUM(Mecze[[#This Row],[/BRI]:[/NPI]])*0.6)</f>
        <v>0.9140625</v>
      </c>
      <c r="AA2714" s="10">
        <f>IFERROR(Mecze[[#This Row],[BR]]/Mecze[[#This Row],[ST]],0)</f>
        <v>0</v>
      </c>
      <c r="AB2714">
        <f>ROUND(Mecze[[#This Row],[PD]]*Mecze[[#This Row],[%PC]],0)</f>
        <v>9</v>
      </c>
      <c r="AC2714">
        <f>ROUND(Mecze[[#This Row],[OD]]*Mecze[[#This Row],[%OU]],0)</f>
        <v>0</v>
      </c>
      <c r="AD2714" s="36" t="s">
        <v>41</v>
      </c>
      <c r="AE2714" s="36">
        <v>151</v>
      </c>
      <c r="AF2714" s="71">
        <v>7.02</v>
      </c>
      <c r="AG2714" s="37">
        <v>0</v>
      </c>
      <c r="AH2714" s="37">
        <v>0</v>
      </c>
      <c r="AI2714" s="37">
        <v>96</v>
      </c>
      <c r="AJ2714" s="37">
        <v>1</v>
      </c>
      <c r="AK2714" s="37" t="str">
        <f>VLOOKUP(Mecze[[#This Row],[Match ID]],Meczusie[Mecz]:Meczusie[RodzajMeczu],2,FALSE)</f>
        <v>Towarzyski</v>
      </c>
    </row>
    <row r="2715" spans="1:37" x14ac:dyDescent="0.25">
      <c r="A2715" s="76">
        <v>40</v>
      </c>
      <c r="B2715" s="3" t="s">
        <v>453</v>
      </c>
      <c r="C2715" s="2" t="s">
        <v>160</v>
      </c>
      <c r="D2715" s="1">
        <v>0</v>
      </c>
      <c r="E2715" s="1">
        <v>0</v>
      </c>
      <c r="F2715" s="1">
        <v>0</v>
      </c>
      <c r="G2715" s="1">
        <v>20</v>
      </c>
      <c r="H2715" s="4">
        <v>0.6</v>
      </c>
      <c r="I2715" s="1">
        <v>6</v>
      </c>
      <c r="J2715" s="4">
        <v>0.67</v>
      </c>
      <c r="K2715" s="1">
        <v>0</v>
      </c>
      <c r="L2715" s="1">
        <v>11</v>
      </c>
      <c r="M2715" s="32">
        <f>IF(Mecze[[#This Row],[PR]]=0,0,Mecze[[#This Row],[PR]]/Mecze[[#This Row],[CZAS]])</f>
        <v>0.11458333333333333</v>
      </c>
      <c r="N2715" s="32">
        <f>IF(Mecze[[#This Row],[OU]]=0,0,Mecze[[#This Row],[OU]]/Mecze[[#This Row],[CZAS]])</f>
        <v>4.1666666666666664E-2</v>
      </c>
      <c r="O2715" s="32">
        <f>IF(Mecze[[#This Row],[PC]]=0,0,Mecze[[#This Row],[PC]]/Mecze[[#This Row],[CZAS]])</f>
        <v>0.125</v>
      </c>
      <c r="P2715" s="32">
        <f>IF(Mecze[[#This Row],[SC]]=0,0,Mecze[[#This Row],[SC]]/Mecze[[#This Row],[CZAS]])</f>
        <v>0</v>
      </c>
      <c r="Q2715" s="32">
        <f>IF(Mecze[[#This Row],[OB]]=0,0,Mecze[[#This Row],[OB]]/Mecze[[#This Row],[CZAS]])</f>
        <v>0</v>
      </c>
      <c r="R2715" s="32">
        <f>IF(Mecze[[#This Row],[BR]]=0,0,Mecze[[#This Row],[BR]]/Mecze[[#This Row],[CZAS]])</f>
        <v>0</v>
      </c>
      <c r="S2715" s="44">
        <f>IF(Mecze[[#This Row],[Role]]="BR",SUMPRODUCT(Mecze[[#This Row],[/PR:90]:[/BR:90]],Brudnopis!$E$23:$J$23),0)</f>
        <v>0</v>
      </c>
      <c r="T2715" s="44">
        <f>IF(Mecze[[#This Row],[Role]]&lt;&gt;"BR",SUMPRODUCT(Mecze[[#This Row],[/PR:90]:[/BR:90]],Brudnopis!$E$24:$J$24),0)</f>
        <v>0.30208333333333331</v>
      </c>
      <c r="U2715" s="44">
        <f>IF(Mecze[[#This Row],[Role]]&lt;&gt;"BR",SUMPRODUCT(Mecze[[#This Row],[/PR:90]:[/BR:90]],Brudnopis!$E$25:$J$25),0)</f>
        <v>0.34375</v>
      </c>
      <c r="V2715" s="44">
        <f>IF(Mecze[[#This Row],[Role]]&lt;&gt;"BR",SUMPRODUCT(Mecze[[#This Row],[/PR:90]:[/BR:90]],Brudnopis!$E$26:$J$26),0)</f>
        <v>0.28125</v>
      </c>
      <c r="W2715" s="44">
        <f>IF(Mecze[[#This Row],[Role]]&lt;&gt;"BR",SUMPRODUCT(Mecze[[#This Row],[/PR:90]:[/BR:90]],Brudnopis!$E$27:$J$27),0)</f>
        <v>0.3046875</v>
      </c>
      <c r="X2715" s="44">
        <f>IF(Mecze[[#This Row],[Role]]&lt;&gt;"BR",SUMPRODUCT(Mecze[[#This Row],[/PR:90]:[/BR:90]],Brudnopis!$E$28:$J$28),0)</f>
        <v>0.125</v>
      </c>
      <c r="Y2715" s="35">
        <f>IF(Mecze[[#This Row],[Role]]="BR",Mecze[[#This Row],[/OB:90]]+Mecze[[#This Row],[/PC:90]],SUM(Mecze[[#This Row],[/PR:90]:[/BR:90]]))</f>
        <v>0.28125</v>
      </c>
      <c r="Z2715" s="35">
        <f>IF(Mecze[[#This Row],[KC]]=0,SUM(Mecze[[#This Row],[/BRI]:[/NPI]]),SUM(Mecze[[#This Row],[/BRI]:[/NPI]])*0.6)</f>
        <v>1.3567708333333333</v>
      </c>
      <c r="AA2715" s="10">
        <f>IFERROR(Mecze[[#This Row],[BR]]/Mecze[[#This Row],[ST]],0)</f>
        <v>0</v>
      </c>
      <c r="AB2715">
        <f>ROUND(Mecze[[#This Row],[PD]]*Mecze[[#This Row],[%PC]],0)</f>
        <v>12</v>
      </c>
      <c r="AC2715">
        <f>ROUND(Mecze[[#This Row],[OD]]*Mecze[[#This Row],[%OU]],0)</f>
        <v>4</v>
      </c>
      <c r="AD2715" s="36" t="s">
        <v>41</v>
      </c>
      <c r="AE2715" s="36">
        <v>151</v>
      </c>
      <c r="AF2715" s="71">
        <v>7.44</v>
      </c>
      <c r="AG2715" s="37">
        <v>0</v>
      </c>
      <c r="AH2715" s="37">
        <v>0</v>
      </c>
      <c r="AI2715" s="37">
        <v>96</v>
      </c>
      <c r="AJ2715" s="37">
        <v>1</v>
      </c>
      <c r="AK2715" s="37" t="str">
        <f>VLOOKUP(Mecze[[#This Row],[Match ID]],Meczusie[Mecz]:Meczusie[RodzajMeczu],2,FALSE)</f>
        <v>Towarzyski</v>
      </c>
    </row>
    <row r="2716" spans="1:37" x14ac:dyDescent="0.25">
      <c r="A2716" s="76">
        <v>25</v>
      </c>
      <c r="B2716" s="3" t="s">
        <v>366</v>
      </c>
      <c r="C2716" s="2" t="s">
        <v>160</v>
      </c>
      <c r="D2716" s="1">
        <v>0</v>
      </c>
      <c r="E2716" s="1">
        <v>0</v>
      </c>
      <c r="F2716" s="1">
        <v>0</v>
      </c>
      <c r="G2716" s="1">
        <v>4</v>
      </c>
      <c r="H2716" s="4">
        <v>0.25</v>
      </c>
      <c r="I2716" s="1">
        <v>1</v>
      </c>
      <c r="J2716" s="4">
        <v>1</v>
      </c>
      <c r="K2716" s="1">
        <v>0</v>
      </c>
      <c r="L2716" s="1">
        <v>2</v>
      </c>
      <c r="M2716" s="32">
        <f>IF(Mecze[[#This Row],[PR]]=0,0,Mecze[[#This Row],[PR]]/Mecze[[#This Row],[CZAS]])</f>
        <v>2.0833333333333332E-2</v>
      </c>
      <c r="N2716" s="32">
        <f>IF(Mecze[[#This Row],[OU]]=0,0,Mecze[[#This Row],[OU]]/Mecze[[#This Row],[CZAS]])</f>
        <v>1.0416666666666666E-2</v>
      </c>
      <c r="O2716" s="32">
        <f>IF(Mecze[[#This Row],[PC]]=0,0,Mecze[[#This Row],[PC]]/Mecze[[#This Row],[CZAS]])</f>
        <v>1.0416666666666666E-2</v>
      </c>
      <c r="P2716" s="32">
        <f>IF(Mecze[[#This Row],[SC]]=0,0,Mecze[[#This Row],[SC]]/Mecze[[#This Row],[CZAS]])</f>
        <v>0</v>
      </c>
      <c r="Q2716" s="32">
        <f>IF(Mecze[[#This Row],[OB]]=0,0,Mecze[[#This Row],[OB]]/Mecze[[#This Row],[CZAS]])</f>
        <v>0</v>
      </c>
      <c r="R2716" s="32">
        <f>IF(Mecze[[#This Row],[BR]]=0,0,Mecze[[#This Row],[BR]]/Mecze[[#This Row],[CZAS]])</f>
        <v>0</v>
      </c>
      <c r="S2716" s="44">
        <f>IF(Mecze[[#This Row],[Role]]="BR",SUMPRODUCT(Mecze[[#This Row],[/PR:90]:[/BR:90]],Brudnopis!$E$23:$J$23),0)</f>
        <v>0</v>
      </c>
      <c r="T2716" s="44">
        <f>IF(Mecze[[#This Row],[Role]]&lt;&gt;"BR",SUMPRODUCT(Mecze[[#This Row],[/PR:90]:[/BR:90]],Brudnopis!$E$24:$J$24),0)</f>
        <v>4.6874999999999993E-2</v>
      </c>
      <c r="U2716" s="44">
        <f>IF(Mecze[[#This Row],[Role]]&lt;&gt;"BR",SUMPRODUCT(Mecze[[#This Row],[/PR:90]:[/BR:90]],Brudnopis!$E$25:$J$25),0)</f>
        <v>4.6875E-2</v>
      </c>
      <c r="V2716" s="44">
        <f>IF(Mecze[[#This Row],[Role]]&lt;&gt;"BR",SUMPRODUCT(Mecze[[#This Row],[/PR:90]:[/BR:90]],Brudnopis!$E$26:$J$26),0)</f>
        <v>4.1666666666666664E-2</v>
      </c>
      <c r="W2716" s="44">
        <f>IF(Mecze[[#This Row],[Role]]&lt;&gt;"BR",SUMPRODUCT(Mecze[[#This Row],[/PR:90]:[/BR:90]],Brudnopis!$E$27:$J$27),0)</f>
        <v>3.90625E-2</v>
      </c>
      <c r="X2716" s="44">
        <f>IF(Mecze[[#This Row],[Role]]&lt;&gt;"BR",SUMPRODUCT(Mecze[[#This Row],[/PR:90]:[/BR:90]],Brudnopis!$E$28:$J$28),0)</f>
        <v>1.0416666666666666E-2</v>
      </c>
      <c r="Y2716" s="35">
        <f>IF(Mecze[[#This Row],[Role]]="BR",Mecze[[#This Row],[/OB:90]]+Mecze[[#This Row],[/PC:90]],SUM(Mecze[[#This Row],[/PR:90]:[/BR:90]]))</f>
        <v>4.1666666666666664E-2</v>
      </c>
      <c r="Z2716" s="35">
        <f>IF(Mecze[[#This Row],[KC]]=0,SUM(Mecze[[#This Row],[/BRI]:[/NPI]]),SUM(Mecze[[#This Row],[/BRI]:[/NPI]])*0.6)</f>
        <v>0.18489583333333331</v>
      </c>
      <c r="AA2716" s="10">
        <f>IFERROR(Mecze[[#This Row],[BR]]/Mecze[[#This Row],[ST]],0)</f>
        <v>0</v>
      </c>
      <c r="AB2716">
        <f>ROUND(Mecze[[#This Row],[PD]]*Mecze[[#This Row],[%PC]],0)</f>
        <v>1</v>
      </c>
      <c r="AC2716">
        <f>ROUND(Mecze[[#This Row],[OD]]*Mecze[[#This Row],[%OU]],0)</f>
        <v>1</v>
      </c>
      <c r="AD2716" s="36" t="s">
        <v>44</v>
      </c>
      <c r="AE2716" s="36">
        <v>151</v>
      </c>
      <c r="AF2716" s="71">
        <v>4.34</v>
      </c>
      <c r="AG2716" s="37">
        <v>0</v>
      </c>
      <c r="AH2716" s="37">
        <v>0</v>
      </c>
      <c r="AI2716" s="37">
        <v>96</v>
      </c>
      <c r="AJ2716" s="37">
        <v>1</v>
      </c>
      <c r="AK2716" s="37" t="str">
        <f>VLOOKUP(Mecze[[#This Row],[Match ID]],Meczusie[Mecz]:Meczusie[RodzajMeczu],2,FALSE)</f>
        <v>Towarzyski</v>
      </c>
    </row>
    <row r="2717" spans="1:37" x14ac:dyDescent="0.25">
      <c r="A2717" s="76">
        <v>45</v>
      </c>
      <c r="B2717" s="3" t="s">
        <v>394</v>
      </c>
      <c r="C2717" s="2" t="s">
        <v>160</v>
      </c>
      <c r="D2717" s="1">
        <v>0</v>
      </c>
      <c r="E2717" s="1">
        <v>1</v>
      </c>
      <c r="F2717" s="1">
        <v>1</v>
      </c>
      <c r="G2717" s="1">
        <v>10</v>
      </c>
      <c r="H2717" s="4">
        <v>0.7</v>
      </c>
      <c r="I2717" s="1">
        <v>0</v>
      </c>
      <c r="J2717" s="4"/>
      <c r="K2717" s="1">
        <v>0</v>
      </c>
      <c r="L2717" s="1">
        <v>3</v>
      </c>
      <c r="M2717" s="32">
        <f>IF(Mecze[[#This Row],[PR]]=0,0,Mecze[[#This Row],[PR]]/Mecze[[#This Row],[CZAS]])</f>
        <v>3.125E-2</v>
      </c>
      <c r="N2717" s="32">
        <f>IF(Mecze[[#This Row],[OU]]=0,0,Mecze[[#This Row],[OU]]/Mecze[[#This Row],[CZAS]])</f>
        <v>0</v>
      </c>
      <c r="O2717" s="32">
        <f>IF(Mecze[[#This Row],[PC]]=0,0,Mecze[[#This Row],[PC]]/Mecze[[#This Row],[CZAS]])</f>
        <v>7.2916666666666671E-2</v>
      </c>
      <c r="P2717" s="32">
        <f>IF(Mecze[[#This Row],[SC]]=0,0,Mecze[[#This Row],[SC]]/Mecze[[#This Row],[CZAS]])</f>
        <v>1.0416666666666666E-2</v>
      </c>
      <c r="Q2717" s="32">
        <f>IF(Mecze[[#This Row],[OB]]=0,0,Mecze[[#This Row],[OB]]/Mecze[[#This Row],[CZAS]])</f>
        <v>0</v>
      </c>
      <c r="R2717" s="32">
        <f>IF(Mecze[[#This Row],[BR]]=0,0,Mecze[[#This Row],[BR]]/Mecze[[#This Row],[CZAS]])</f>
        <v>0</v>
      </c>
      <c r="S2717" s="44">
        <f>IF(Mecze[[#This Row],[Role]]="BR",SUMPRODUCT(Mecze[[#This Row],[/PR:90]:[/BR:90]],Brudnopis!$E$23:$J$23),0)</f>
        <v>0</v>
      </c>
      <c r="T2717" s="44">
        <f>IF(Mecze[[#This Row],[Role]]&lt;&gt;"BR",SUMPRODUCT(Mecze[[#This Row],[/PR:90]:[/BR:90]],Brudnopis!$E$24:$J$24),0)</f>
        <v>0.11458333333333334</v>
      </c>
      <c r="U2717" s="44">
        <f>IF(Mecze[[#This Row],[Role]]&lt;&gt;"BR",SUMPRODUCT(Mecze[[#This Row],[/PR:90]:[/BR:90]],Brudnopis!$E$25:$J$25),0)</f>
        <v>0.15104166666666666</v>
      </c>
      <c r="V2717" s="44">
        <f>IF(Mecze[[#This Row],[Role]]&lt;&gt;"BR",SUMPRODUCT(Mecze[[#This Row],[/PR:90]:[/BR:90]],Brudnopis!$E$26:$J$26),0)</f>
        <v>0.11458333333333334</v>
      </c>
      <c r="W2717" s="44">
        <f>IF(Mecze[[#This Row],[Role]]&lt;&gt;"BR",SUMPRODUCT(Mecze[[#This Row],[/PR:90]:[/BR:90]],Brudnopis!$E$27:$J$27),0)</f>
        <v>0.14322916666666666</v>
      </c>
      <c r="X2717" s="44">
        <f>IF(Mecze[[#This Row],[Role]]&lt;&gt;"BR",SUMPRODUCT(Mecze[[#This Row],[/PR:90]:[/BR:90]],Brudnopis!$E$28:$J$28),0)</f>
        <v>9.375E-2</v>
      </c>
      <c r="Y2717" s="35">
        <f>IF(Mecze[[#This Row],[Role]]="BR",Mecze[[#This Row],[/OB:90]]+Mecze[[#This Row],[/PC:90]],SUM(Mecze[[#This Row],[/PR:90]:[/BR:90]]))</f>
        <v>0.11458333333333334</v>
      </c>
      <c r="Z2717" s="35">
        <f>IF(Mecze[[#This Row],[KC]]=0,SUM(Mecze[[#This Row],[/BRI]:[/NPI]]),SUM(Mecze[[#This Row],[/BRI]:[/NPI]])*0.6)</f>
        <v>0.6171875</v>
      </c>
      <c r="AA2717" s="10">
        <f>IFERROR(Mecze[[#This Row],[BR]]/Mecze[[#This Row],[ST]],0)</f>
        <v>0</v>
      </c>
      <c r="AB2717">
        <f>ROUND(Mecze[[#This Row],[PD]]*Mecze[[#This Row],[%PC]],0)</f>
        <v>7</v>
      </c>
      <c r="AC2717">
        <f>ROUND(Mecze[[#This Row],[OD]]*Mecze[[#This Row],[%OU]],0)</f>
        <v>0</v>
      </c>
      <c r="AD2717" s="36" t="s">
        <v>44</v>
      </c>
      <c r="AE2717" s="36">
        <v>151</v>
      </c>
      <c r="AF2717" s="71">
        <v>5.99</v>
      </c>
      <c r="AG2717" s="37">
        <v>0</v>
      </c>
      <c r="AH2717" s="37">
        <v>0</v>
      </c>
      <c r="AI2717" s="37">
        <v>96</v>
      </c>
      <c r="AJ2717" s="37">
        <v>1</v>
      </c>
      <c r="AK2717" s="37" t="str">
        <f>VLOOKUP(Mecze[[#This Row],[Match ID]],Meczusie[Mecz]:Meczusie[RodzajMeczu],2,FALSE)</f>
        <v>Towarzyski</v>
      </c>
    </row>
    <row r="2718" spans="1:37" x14ac:dyDescent="0.25">
      <c r="A2718" s="76">
        <v>31</v>
      </c>
      <c r="B2718" s="3" t="s">
        <v>365</v>
      </c>
      <c r="C2718" s="2" t="s">
        <v>165</v>
      </c>
      <c r="D2718" s="1">
        <v>2</v>
      </c>
      <c r="E2718" s="1">
        <v>3</v>
      </c>
      <c r="F2718" s="1">
        <v>3</v>
      </c>
      <c r="G2718" s="1">
        <v>6</v>
      </c>
      <c r="H2718" s="4">
        <v>0.33</v>
      </c>
      <c r="I2718" s="1">
        <v>5</v>
      </c>
      <c r="J2718" s="4">
        <v>0.2</v>
      </c>
      <c r="K2718" s="1">
        <v>0</v>
      </c>
      <c r="L2718" s="1">
        <v>0</v>
      </c>
      <c r="M2718" s="32">
        <f>IF(Mecze[[#This Row],[PR]]=0,0,Mecze[[#This Row],[PR]]/Mecze[[#This Row],[CZAS]])</f>
        <v>0</v>
      </c>
      <c r="N2718" s="32">
        <f>IF(Mecze[[#This Row],[OU]]=0,0,Mecze[[#This Row],[OU]]/Mecze[[#This Row],[CZAS]])</f>
        <v>1.0416666666666666E-2</v>
      </c>
      <c r="O2718" s="32">
        <f>IF(Mecze[[#This Row],[PC]]=0,0,Mecze[[#This Row],[PC]]/Mecze[[#This Row],[CZAS]])</f>
        <v>2.0833333333333332E-2</v>
      </c>
      <c r="P2718" s="32">
        <f>IF(Mecze[[#This Row],[SC]]=0,0,Mecze[[#This Row],[SC]]/Mecze[[#This Row],[CZAS]])</f>
        <v>3.125E-2</v>
      </c>
      <c r="Q2718" s="32">
        <f>IF(Mecze[[#This Row],[OB]]=0,0,Mecze[[#This Row],[OB]]/Mecze[[#This Row],[CZAS]])</f>
        <v>0</v>
      </c>
      <c r="R2718" s="32">
        <f>IF(Mecze[[#This Row],[BR]]=0,0,Mecze[[#This Row],[BR]]/Mecze[[#This Row],[CZAS]])</f>
        <v>2.0833333333333332E-2</v>
      </c>
      <c r="S2718" s="44">
        <f>IF(Mecze[[#This Row],[Role]]="BR",SUMPRODUCT(Mecze[[#This Row],[/PR:90]:[/BR:90]],Brudnopis!$E$23:$J$23),0)</f>
        <v>0</v>
      </c>
      <c r="T2718" s="44">
        <f>IF(Mecze[[#This Row],[Role]]&lt;&gt;"BR",SUMPRODUCT(Mecze[[#This Row],[/PR:90]:[/BR:90]],Brudnopis!$E$24:$J$24),0)</f>
        <v>9.8958333333333329E-2</v>
      </c>
      <c r="U2718" s="44">
        <f>IF(Mecze[[#This Row],[Role]]&lt;&gt;"BR",SUMPRODUCT(Mecze[[#This Row],[/PR:90]:[/BR:90]],Brudnopis!$E$25:$J$25),0)</f>
        <v>0.10416666666666666</v>
      </c>
      <c r="V2718" s="44">
        <f>IF(Mecze[[#This Row],[Role]]&lt;&gt;"BR",SUMPRODUCT(Mecze[[#This Row],[/PR:90]:[/BR:90]],Brudnopis!$E$26:$J$26),0)</f>
        <v>0.10416666666666666</v>
      </c>
      <c r="W2718" s="44">
        <f>IF(Mecze[[#This Row],[Role]]&lt;&gt;"BR",SUMPRODUCT(Mecze[[#This Row],[/PR:90]:[/BR:90]],Brudnopis!$E$27:$J$27),0)</f>
        <v>0.11197916666666666</v>
      </c>
      <c r="X2718" s="44">
        <f>IF(Mecze[[#This Row],[Role]]&lt;&gt;"BR",SUMPRODUCT(Mecze[[#This Row],[/PR:90]:[/BR:90]],Brudnopis!$E$28:$J$28),0)</f>
        <v>0.14583333333333331</v>
      </c>
      <c r="Y2718" s="35">
        <f>IF(Mecze[[#This Row],[Role]]="BR",Mecze[[#This Row],[/OB:90]]+Mecze[[#This Row],[/PC:90]],SUM(Mecze[[#This Row],[/PR:90]:[/BR:90]]))</f>
        <v>8.3333333333333329E-2</v>
      </c>
      <c r="Z2718" s="35">
        <f>IF(Mecze[[#This Row],[KC]]=0,SUM(Mecze[[#This Row],[/BRI]:[/NPI]]),SUM(Mecze[[#This Row],[/BRI]:[/NPI]])*0.6)</f>
        <v>0.56510416666666652</v>
      </c>
      <c r="AA2718" s="10">
        <f>IFERROR(Mecze[[#This Row],[BR]]/Mecze[[#This Row],[ST]],0)</f>
        <v>0.66666666666666663</v>
      </c>
      <c r="AB2718">
        <f>ROUND(Mecze[[#This Row],[PD]]*Mecze[[#This Row],[%PC]],0)</f>
        <v>2</v>
      </c>
      <c r="AC2718">
        <f>ROUND(Mecze[[#This Row],[OD]]*Mecze[[#This Row],[%OU]],0)</f>
        <v>1</v>
      </c>
      <c r="AD2718" s="36" t="s">
        <v>46</v>
      </c>
      <c r="AE2718" s="36">
        <v>151</v>
      </c>
      <c r="AF2718" s="71">
        <v>9.19</v>
      </c>
      <c r="AG2718" s="37">
        <v>0</v>
      </c>
      <c r="AH2718" s="37">
        <v>0</v>
      </c>
      <c r="AI2718" s="37">
        <v>96</v>
      </c>
      <c r="AJ2718" s="37">
        <v>1</v>
      </c>
      <c r="AK2718" s="37" t="str">
        <f>VLOOKUP(Mecze[[#This Row],[Match ID]],Meczusie[Mecz]:Meczusie[RodzajMeczu],2,FALSE)</f>
        <v>Towarzyski</v>
      </c>
    </row>
    <row r="2719" spans="1:37" x14ac:dyDescent="0.25">
      <c r="A2719" s="76">
        <v>61</v>
      </c>
      <c r="B2719" s="3" t="s">
        <v>454</v>
      </c>
      <c r="C2719" s="2" t="s">
        <v>165</v>
      </c>
      <c r="D2719" s="1">
        <v>1</v>
      </c>
      <c r="E2719" s="1">
        <v>6</v>
      </c>
      <c r="F2719" s="1">
        <v>2</v>
      </c>
      <c r="G2719" s="1">
        <v>6</v>
      </c>
      <c r="H2719" s="4">
        <v>0.83</v>
      </c>
      <c r="I2719" s="1">
        <v>4</v>
      </c>
      <c r="J2719" s="4">
        <v>0.25</v>
      </c>
      <c r="K2719" s="1">
        <v>0</v>
      </c>
      <c r="L2719" s="1">
        <v>0</v>
      </c>
      <c r="M2719" s="32">
        <f>IF(Mecze[[#This Row],[PR]]=0,0,Mecze[[#This Row],[PR]]/Mecze[[#This Row],[CZAS]])</f>
        <v>0</v>
      </c>
      <c r="N2719" s="32">
        <f>IF(Mecze[[#This Row],[OU]]=0,0,Mecze[[#This Row],[OU]]/Mecze[[#This Row],[CZAS]])</f>
        <v>1.0416666666666666E-2</v>
      </c>
      <c r="O2719" s="32">
        <f>IF(Mecze[[#This Row],[PC]]=0,0,Mecze[[#This Row],[PC]]/Mecze[[#This Row],[CZAS]])</f>
        <v>5.2083333333333336E-2</v>
      </c>
      <c r="P2719" s="32">
        <f>IF(Mecze[[#This Row],[SC]]=0,0,Mecze[[#This Row],[SC]]/Mecze[[#This Row],[CZAS]])</f>
        <v>2.0833333333333332E-2</v>
      </c>
      <c r="Q2719" s="32">
        <f>IF(Mecze[[#This Row],[OB]]=0,0,Mecze[[#This Row],[OB]]/Mecze[[#This Row],[CZAS]])</f>
        <v>0</v>
      </c>
      <c r="R2719" s="32">
        <f>IF(Mecze[[#This Row],[BR]]=0,0,Mecze[[#This Row],[BR]]/Mecze[[#This Row],[CZAS]])</f>
        <v>1.0416666666666666E-2</v>
      </c>
      <c r="S2719" s="44">
        <f>IF(Mecze[[#This Row],[Role]]="BR",SUMPRODUCT(Mecze[[#This Row],[/PR:90]:[/BR:90]],Brudnopis!$E$23:$J$23),0)</f>
        <v>0</v>
      </c>
      <c r="T2719" s="44">
        <f>IF(Mecze[[#This Row],[Role]]&lt;&gt;"BR",SUMPRODUCT(Mecze[[#This Row],[/PR:90]:[/BR:90]],Brudnopis!$E$24:$J$24),0)</f>
        <v>0.10416666666666667</v>
      </c>
      <c r="U2719" s="44">
        <f>IF(Mecze[[#This Row],[Role]]&lt;&gt;"BR",SUMPRODUCT(Mecze[[#This Row],[/PR:90]:[/BR:90]],Brudnopis!$E$25:$J$25),0)</f>
        <v>0.125</v>
      </c>
      <c r="V2719" s="44">
        <f>IF(Mecze[[#This Row],[Role]]&lt;&gt;"BR",SUMPRODUCT(Mecze[[#This Row],[/PR:90]:[/BR:90]],Brudnopis!$E$26:$J$26),0)</f>
        <v>0.10416666666666666</v>
      </c>
      <c r="W2719" s="44">
        <f>IF(Mecze[[#This Row],[Role]]&lt;&gt;"BR",SUMPRODUCT(Mecze[[#This Row],[/PR:90]:[/BR:90]],Brudnopis!$E$27:$J$27),0)</f>
        <v>0.12760416666666666</v>
      </c>
      <c r="X2719" s="44">
        <f>IF(Mecze[[#This Row],[Role]]&lt;&gt;"BR",SUMPRODUCT(Mecze[[#This Row],[/PR:90]:[/BR:90]],Brudnopis!$E$28:$J$28),0)</f>
        <v>0.125</v>
      </c>
      <c r="Y2719" s="35">
        <f>IF(Mecze[[#This Row],[Role]]="BR",Mecze[[#This Row],[/OB:90]]+Mecze[[#This Row],[/PC:90]],SUM(Mecze[[#This Row],[/PR:90]:[/BR:90]]))</f>
        <v>9.375E-2</v>
      </c>
      <c r="Z2719" s="35">
        <f>IF(Mecze[[#This Row],[KC]]=0,SUM(Mecze[[#This Row],[/BRI]:[/NPI]]),SUM(Mecze[[#This Row],[/BRI]:[/NPI]])*0.6)</f>
        <v>0.5859375</v>
      </c>
      <c r="AA2719" s="10">
        <f>IFERROR(Mecze[[#This Row],[BR]]/Mecze[[#This Row],[ST]],0)</f>
        <v>0.16666666666666666</v>
      </c>
      <c r="AB2719">
        <f>ROUND(Mecze[[#This Row],[PD]]*Mecze[[#This Row],[%PC]],0)</f>
        <v>5</v>
      </c>
      <c r="AC2719">
        <f>ROUND(Mecze[[#This Row],[OD]]*Mecze[[#This Row],[%OU]],0)</f>
        <v>1</v>
      </c>
      <c r="AD2719" s="36" t="s">
        <v>46</v>
      </c>
      <c r="AE2719" s="36">
        <v>151</v>
      </c>
      <c r="AF2719" s="71">
        <v>8.92</v>
      </c>
      <c r="AG2719" s="37">
        <v>0</v>
      </c>
      <c r="AH2719" s="37">
        <v>0</v>
      </c>
      <c r="AI2719" s="37">
        <v>96</v>
      </c>
      <c r="AJ2719" s="37">
        <v>1</v>
      </c>
      <c r="AK2719" s="37" t="str">
        <f>VLOOKUP(Mecze[[#This Row],[Match ID]],Meczusie[Mecz]:Meczusie[RodzajMeczu],2,FALSE)</f>
        <v>Towarzyski</v>
      </c>
    </row>
    <row r="2720" spans="1:37" x14ac:dyDescent="0.25">
      <c r="A2720" s="76">
        <v>46</v>
      </c>
      <c r="B2720" s="3" t="s">
        <v>395</v>
      </c>
      <c r="C2720" s="2" t="s">
        <v>165</v>
      </c>
      <c r="D2720" s="1">
        <v>1</v>
      </c>
      <c r="E2720" s="1">
        <v>2</v>
      </c>
      <c r="F2720" s="1">
        <v>2</v>
      </c>
      <c r="G2720" s="1">
        <v>3</v>
      </c>
      <c r="H2720" s="4">
        <v>1</v>
      </c>
      <c r="I2720" s="1">
        <v>4</v>
      </c>
      <c r="J2720" s="4">
        <v>0.75</v>
      </c>
      <c r="K2720" s="1">
        <v>0</v>
      </c>
      <c r="L2720" s="1">
        <v>1</v>
      </c>
      <c r="M2720" s="32">
        <f>IF(Mecze[[#This Row],[PR]]=0,0,Mecze[[#This Row],[PR]]/Mecze[[#This Row],[CZAS]])</f>
        <v>1.0416666666666666E-2</v>
      </c>
      <c r="N2720" s="32">
        <f>IF(Mecze[[#This Row],[OU]]=0,0,Mecze[[#This Row],[OU]]/Mecze[[#This Row],[CZAS]])</f>
        <v>3.125E-2</v>
      </c>
      <c r="O2720" s="32">
        <f>IF(Mecze[[#This Row],[PC]]=0,0,Mecze[[#This Row],[PC]]/Mecze[[#This Row],[CZAS]])</f>
        <v>3.125E-2</v>
      </c>
      <c r="P2720" s="32">
        <f>IF(Mecze[[#This Row],[SC]]=0,0,Mecze[[#This Row],[SC]]/Mecze[[#This Row],[CZAS]])</f>
        <v>2.0833333333333332E-2</v>
      </c>
      <c r="Q2720" s="32">
        <f>IF(Mecze[[#This Row],[OB]]=0,0,Mecze[[#This Row],[OB]]/Mecze[[#This Row],[CZAS]])</f>
        <v>0</v>
      </c>
      <c r="R2720" s="32">
        <f>IF(Mecze[[#This Row],[BR]]=0,0,Mecze[[#This Row],[BR]]/Mecze[[#This Row],[CZAS]])</f>
        <v>1.0416666666666666E-2</v>
      </c>
      <c r="S2720" s="44">
        <f>IF(Mecze[[#This Row],[Role]]="BR",SUMPRODUCT(Mecze[[#This Row],[/PR:90]:[/BR:90]],Brudnopis!$E$23:$J$23),0)</f>
        <v>0</v>
      </c>
      <c r="T2720" s="44">
        <f>IF(Mecze[[#This Row],[Role]]&lt;&gt;"BR",SUMPRODUCT(Mecze[[#This Row],[/PR:90]:[/BR:90]],Brudnopis!$E$24:$J$24),0)</f>
        <v>0.12499999999999999</v>
      </c>
      <c r="U2720" s="44">
        <f>IF(Mecze[[#This Row],[Role]]&lt;&gt;"BR",SUMPRODUCT(Mecze[[#This Row],[/PR:90]:[/BR:90]],Brudnopis!$E$25:$J$25),0)</f>
        <v>0.12499999999999999</v>
      </c>
      <c r="V2720" s="44">
        <f>IF(Mecze[[#This Row],[Role]]&lt;&gt;"BR",SUMPRODUCT(Mecze[[#This Row],[/PR:90]:[/BR:90]],Brudnopis!$E$26:$J$26),0)</f>
        <v>0.11458333333333331</v>
      </c>
      <c r="W2720" s="44">
        <f>IF(Mecze[[#This Row],[Role]]&lt;&gt;"BR",SUMPRODUCT(Mecze[[#This Row],[/PR:90]:[/BR:90]],Brudnopis!$E$27:$J$27),0)</f>
        <v>0.11979166666666666</v>
      </c>
      <c r="X2720" s="44">
        <f>IF(Mecze[[#This Row],[Role]]&lt;&gt;"BR",SUMPRODUCT(Mecze[[#This Row],[/PR:90]:[/BR:90]],Brudnopis!$E$28:$J$28),0)</f>
        <v>0.10416666666666666</v>
      </c>
      <c r="Y2720" s="35">
        <f>IF(Mecze[[#This Row],[Role]]="BR",Mecze[[#This Row],[/OB:90]]+Mecze[[#This Row],[/PC:90]],SUM(Mecze[[#This Row],[/PR:90]:[/BR:90]]))</f>
        <v>0.10416666666666666</v>
      </c>
      <c r="Z2720" s="35">
        <f>IF(Mecze[[#This Row],[KC]]=0,SUM(Mecze[[#This Row],[/BRI]:[/NPI]]),SUM(Mecze[[#This Row],[/BRI]:[/NPI]])*0.6)</f>
        <v>0.58854166666666652</v>
      </c>
      <c r="AA2720" s="10">
        <f>IFERROR(Mecze[[#This Row],[BR]]/Mecze[[#This Row],[ST]],0)</f>
        <v>0.5</v>
      </c>
      <c r="AB2720">
        <f>ROUND(Mecze[[#This Row],[PD]]*Mecze[[#This Row],[%PC]],0)</f>
        <v>3</v>
      </c>
      <c r="AC2720">
        <f>ROUND(Mecze[[#This Row],[OD]]*Mecze[[#This Row],[%OU]],0)</f>
        <v>3</v>
      </c>
      <c r="AD2720" s="36" t="s">
        <v>46</v>
      </c>
      <c r="AE2720" s="36">
        <v>151</v>
      </c>
      <c r="AF2720" s="71">
        <v>5.56</v>
      </c>
      <c r="AG2720" s="37">
        <v>1</v>
      </c>
      <c r="AH2720" s="37">
        <v>0</v>
      </c>
      <c r="AI2720" s="37">
        <v>96</v>
      </c>
      <c r="AJ2720" s="37">
        <v>1</v>
      </c>
      <c r="AK2720" s="37" t="str">
        <f>VLOOKUP(Mecze[[#This Row],[Match ID]],Meczusie[Mecz]:Meczusie[RodzajMeczu],2,FALSE)</f>
        <v>Towarzyski</v>
      </c>
    </row>
    <row r="2721" spans="1:37" x14ac:dyDescent="0.25">
      <c r="A2721" s="76">
        <v>1</v>
      </c>
      <c r="B2721" s="3" t="s">
        <v>169</v>
      </c>
      <c r="C2721" s="2" t="s">
        <v>155</v>
      </c>
      <c r="D2721" s="1">
        <v>0</v>
      </c>
      <c r="E2721" s="1">
        <v>0</v>
      </c>
      <c r="F2721" s="1">
        <v>0</v>
      </c>
      <c r="G2721" s="1">
        <v>10</v>
      </c>
      <c r="H2721" s="4">
        <v>0.6</v>
      </c>
      <c r="I2721" s="1">
        <v>0</v>
      </c>
      <c r="J2721" s="4"/>
      <c r="K2721" s="1">
        <v>12</v>
      </c>
      <c r="L2721" s="1">
        <v>0</v>
      </c>
      <c r="M2721" s="32">
        <f>IF(Mecze[[#This Row],[PR]]=0,0,Mecze[[#This Row],[PR]]/Mecze[[#This Row],[CZAS]])</f>
        <v>0</v>
      </c>
      <c r="N2721" s="32">
        <f>IF(Mecze[[#This Row],[OU]]=0,0,Mecze[[#This Row],[OU]]/Mecze[[#This Row],[CZAS]])</f>
        <v>0</v>
      </c>
      <c r="O2721" s="32">
        <f>IF(Mecze[[#This Row],[PC]]=0,0,Mecze[[#This Row],[PC]]/Mecze[[#This Row],[CZAS]])</f>
        <v>6.25E-2</v>
      </c>
      <c r="P2721" s="32">
        <f>IF(Mecze[[#This Row],[SC]]=0,0,Mecze[[#This Row],[SC]]/Mecze[[#This Row],[CZAS]])</f>
        <v>0</v>
      </c>
      <c r="Q2721" s="32">
        <f>IF(Mecze[[#This Row],[OB]]=0,0,Mecze[[#This Row],[OB]]/Mecze[[#This Row],[CZAS]])</f>
        <v>0.125</v>
      </c>
      <c r="R2721" s="32">
        <f>IF(Mecze[[#This Row],[BR]]=0,0,Mecze[[#This Row],[BR]]/Mecze[[#This Row],[CZAS]])</f>
        <v>0</v>
      </c>
      <c r="S2721" s="44">
        <f>IF(Mecze[[#This Row],[Role]]="BR",SUMPRODUCT(Mecze[[#This Row],[/PR:90]:[/BR:90]],Brudnopis!$E$23:$J$23),0)</f>
        <v>0.5625</v>
      </c>
      <c r="T2721" s="44">
        <f>IF(Mecze[[#This Row],[Role]]&lt;&gt;"BR",SUMPRODUCT(Mecze[[#This Row],[/PR:90]:[/BR:90]],Brudnopis!$E$24:$J$24),0)</f>
        <v>0</v>
      </c>
      <c r="U2721" s="44">
        <f>IF(Mecze[[#This Row],[Role]]&lt;&gt;"BR",SUMPRODUCT(Mecze[[#This Row],[/PR:90]:[/BR:90]],Brudnopis!$E$25:$J$25),0)</f>
        <v>0</v>
      </c>
      <c r="V2721" s="44">
        <f>IF(Mecze[[#This Row],[Role]]&lt;&gt;"BR",SUMPRODUCT(Mecze[[#This Row],[/PR:90]:[/BR:90]],Brudnopis!$E$26:$J$26),0)</f>
        <v>0</v>
      </c>
      <c r="W2721" s="44">
        <f>IF(Mecze[[#This Row],[Role]]&lt;&gt;"BR",SUMPRODUCT(Mecze[[#This Row],[/PR:90]:[/BR:90]],Brudnopis!$E$27:$J$27),0)</f>
        <v>0</v>
      </c>
      <c r="X2721" s="44">
        <f>IF(Mecze[[#This Row],[Role]]&lt;&gt;"BR",SUMPRODUCT(Mecze[[#This Row],[/PR:90]:[/BR:90]],Brudnopis!$E$28:$J$28),0)</f>
        <v>0</v>
      </c>
      <c r="Y2721" s="35">
        <f>IF(Mecze[[#This Row],[Role]]="BR",Mecze[[#This Row],[/OB:90]]+Mecze[[#This Row],[/PC:90]],SUM(Mecze[[#This Row],[/PR:90]:[/BR:90]]))</f>
        <v>0.1875</v>
      </c>
      <c r="Z2721" s="35">
        <f>IF(Mecze[[#This Row],[KC]]=0,SUM(Mecze[[#This Row],[/BRI]:[/NPI]]),SUM(Mecze[[#This Row],[/BRI]:[/NPI]])*0.6)</f>
        <v>0.5625</v>
      </c>
      <c r="AA2721" s="10">
        <f>IFERROR(Mecze[[#This Row],[BR]]/Mecze[[#This Row],[ST]],0)</f>
        <v>0</v>
      </c>
      <c r="AB2721">
        <f>ROUND(Mecze[[#This Row],[PD]]*Mecze[[#This Row],[%PC]],0)</f>
        <v>6</v>
      </c>
      <c r="AC2721">
        <f>ROUND(Mecze[[#This Row],[OD]]*Mecze[[#This Row],[%OU]],0)</f>
        <v>0</v>
      </c>
      <c r="AD2721" s="36" t="s">
        <v>40</v>
      </c>
      <c r="AE2721" s="36">
        <v>152</v>
      </c>
      <c r="AF2721" s="71">
        <v>4.8</v>
      </c>
      <c r="AG2721" s="37">
        <v>0</v>
      </c>
      <c r="AH2721" s="37">
        <v>0</v>
      </c>
      <c r="AI2721" s="37">
        <v>96</v>
      </c>
      <c r="AJ2721" s="37">
        <v>1</v>
      </c>
      <c r="AK2721" s="37" t="str">
        <f>VLOOKUP(Mecze[[#This Row],[Match ID]],Meczusie[Mecz]:Meczusie[RodzajMeczu],2,FALSE)</f>
        <v>Puchar</v>
      </c>
    </row>
    <row r="2722" spans="1:37" x14ac:dyDescent="0.25">
      <c r="A2722" s="76">
        <v>5</v>
      </c>
      <c r="B2722" s="3" t="s">
        <v>161</v>
      </c>
      <c r="C2722" s="2" t="s">
        <v>157</v>
      </c>
      <c r="D2722" s="1">
        <v>0</v>
      </c>
      <c r="E2722" s="1">
        <v>0</v>
      </c>
      <c r="F2722" s="1">
        <v>0</v>
      </c>
      <c r="G2722" s="1">
        <v>17</v>
      </c>
      <c r="H2722" s="4">
        <v>0.41</v>
      </c>
      <c r="I2722" s="1">
        <v>10</v>
      </c>
      <c r="J2722" s="4">
        <v>0.5</v>
      </c>
      <c r="K2722" s="1">
        <v>0</v>
      </c>
      <c r="L2722" s="1">
        <v>7</v>
      </c>
      <c r="M2722" s="32">
        <f>IF(Mecze[[#This Row],[PR]]=0,0,Mecze[[#This Row],[PR]]/Mecze[[#This Row],[CZAS]])</f>
        <v>7.2916666666666671E-2</v>
      </c>
      <c r="N2722" s="32">
        <f>IF(Mecze[[#This Row],[OU]]=0,0,Mecze[[#This Row],[OU]]/Mecze[[#This Row],[CZAS]])</f>
        <v>5.2083333333333336E-2</v>
      </c>
      <c r="O2722" s="32">
        <f>IF(Mecze[[#This Row],[PC]]=0,0,Mecze[[#This Row],[PC]]/Mecze[[#This Row],[CZAS]])</f>
        <v>7.2916666666666671E-2</v>
      </c>
      <c r="P2722" s="32">
        <f>IF(Mecze[[#This Row],[SC]]=0,0,Mecze[[#This Row],[SC]]/Mecze[[#This Row],[CZAS]])</f>
        <v>0</v>
      </c>
      <c r="Q2722" s="32">
        <f>IF(Mecze[[#This Row],[OB]]=0,0,Mecze[[#This Row],[OB]]/Mecze[[#This Row],[CZAS]])</f>
        <v>0</v>
      </c>
      <c r="R2722" s="32">
        <f>IF(Mecze[[#This Row],[BR]]=0,0,Mecze[[#This Row],[BR]]/Mecze[[#This Row],[CZAS]])</f>
        <v>0</v>
      </c>
      <c r="S2722" s="44">
        <f>IF(Mecze[[#This Row],[Role]]="BR",SUMPRODUCT(Mecze[[#This Row],[/PR:90]:[/BR:90]],Brudnopis!$E$23:$J$23),0)</f>
        <v>0</v>
      </c>
      <c r="T2722" s="44">
        <f>IF(Mecze[[#This Row],[Role]]&lt;&gt;"BR",SUMPRODUCT(Mecze[[#This Row],[/PR:90]:[/BR:90]],Brudnopis!$E$24:$J$24),0)</f>
        <v>0.22395833333333337</v>
      </c>
      <c r="U2722" s="44">
        <f>IF(Mecze[[#This Row],[Role]]&lt;&gt;"BR",SUMPRODUCT(Mecze[[#This Row],[/PR:90]:[/BR:90]],Brudnopis!$E$25:$J$25),0)</f>
        <v>0.234375</v>
      </c>
      <c r="V2722" s="44">
        <f>IF(Mecze[[#This Row],[Role]]&lt;&gt;"BR",SUMPRODUCT(Mecze[[#This Row],[/PR:90]:[/BR:90]],Brudnopis!$E$26:$J$26),0)</f>
        <v>0.19791666666666669</v>
      </c>
      <c r="W2722" s="44">
        <f>IF(Mecze[[#This Row],[Role]]&lt;&gt;"BR",SUMPRODUCT(Mecze[[#This Row],[/PR:90]:[/BR:90]],Brudnopis!$E$27:$J$27),0)</f>
        <v>0.203125</v>
      </c>
      <c r="X2722" s="44">
        <f>IF(Mecze[[#This Row],[Role]]&lt;&gt;"BR",SUMPRODUCT(Mecze[[#This Row],[/PR:90]:[/BR:90]],Brudnopis!$E$28:$J$28),0)</f>
        <v>7.2916666666666671E-2</v>
      </c>
      <c r="Y2722" s="35">
        <f>IF(Mecze[[#This Row],[Role]]="BR",Mecze[[#This Row],[/OB:90]]+Mecze[[#This Row],[/PC:90]],SUM(Mecze[[#This Row],[/PR:90]:[/BR:90]]))</f>
        <v>0.19791666666666669</v>
      </c>
      <c r="Z2722" s="35">
        <f>IF(Mecze[[#This Row],[KC]]=0,SUM(Mecze[[#This Row],[/BRI]:[/NPI]]),SUM(Mecze[[#This Row],[/BRI]:[/NPI]])*0.6)</f>
        <v>0.93229166666666663</v>
      </c>
      <c r="AA2722" s="10">
        <f>IFERROR(Mecze[[#This Row],[BR]]/Mecze[[#This Row],[ST]],0)</f>
        <v>0</v>
      </c>
      <c r="AB2722">
        <f>ROUND(Mecze[[#This Row],[PD]]*Mecze[[#This Row],[%PC]],0)</f>
        <v>7</v>
      </c>
      <c r="AC2722">
        <f>ROUND(Mecze[[#This Row],[OD]]*Mecze[[#This Row],[%OU]],0)</f>
        <v>5</v>
      </c>
      <c r="AD2722" s="36" t="s">
        <v>47</v>
      </c>
      <c r="AE2722" s="36">
        <v>152</v>
      </c>
      <c r="AF2722" s="71">
        <v>1.97</v>
      </c>
      <c r="AG2722" s="37">
        <v>0</v>
      </c>
      <c r="AH2722" s="37">
        <v>0</v>
      </c>
      <c r="AI2722" s="37">
        <v>96</v>
      </c>
      <c r="AJ2722" s="37">
        <v>1</v>
      </c>
      <c r="AK2722" s="37" t="str">
        <f>VLOOKUP(Mecze[[#This Row],[Match ID]],Meczusie[Mecz]:Meczusie[RodzajMeczu],2,FALSE)</f>
        <v>Puchar</v>
      </c>
    </row>
    <row r="2723" spans="1:37" x14ac:dyDescent="0.25">
      <c r="A2723" s="76">
        <v>18</v>
      </c>
      <c r="B2723" s="3" t="s">
        <v>211</v>
      </c>
      <c r="C2723" s="2" t="s">
        <v>157</v>
      </c>
      <c r="D2723" s="1">
        <v>0</v>
      </c>
      <c r="E2723" s="1">
        <v>0</v>
      </c>
      <c r="F2723" s="1">
        <v>0</v>
      </c>
      <c r="G2723" s="1">
        <v>13</v>
      </c>
      <c r="H2723" s="4">
        <v>0.62</v>
      </c>
      <c r="I2723" s="1">
        <v>8</v>
      </c>
      <c r="J2723" s="4">
        <v>0.63</v>
      </c>
      <c r="K2723" s="1">
        <v>0</v>
      </c>
      <c r="L2723" s="1">
        <v>7</v>
      </c>
      <c r="M2723" s="32">
        <f>IF(Mecze[[#This Row],[PR]]=0,0,Mecze[[#This Row],[PR]]/Mecze[[#This Row],[CZAS]])</f>
        <v>7.2916666666666671E-2</v>
      </c>
      <c r="N2723" s="32">
        <f>IF(Mecze[[#This Row],[OU]]=0,0,Mecze[[#This Row],[OU]]/Mecze[[#This Row],[CZAS]])</f>
        <v>5.2083333333333336E-2</v>
      </c>
      <c r="O2723" s="32">
        <f>IF(Mecze[[#This Row],[PC]]=0,0,Mecze[[#This Row],[PC]]/Mecze[[#This Row],[CZAS]])</f>
        <v>8.3333333333333329E-2</v>
      </c>
      <c r="P2723" s="32">
        <f>IF(Mecze[[#This Row],[SC]]=0,0,Mecze[[#This Row],[SC]]/Mecze[[#This Row],[CZAS]])</f>
        <v>0</v>
      </c>
      <c r="Q2723" s="32">
        <f>IF(Mecze[[#This Row],[OB]]=0,0,Mecze[[#This Row],[OB]]/Mecze[[#This Row],[CZAS]])</f>
        <v>0</v>
      </c>
      <c r="R2723" s="32">
        <f>IF(Mecze[[#This Row],[BR]]=0,0,Mecze[[#This Row],[BR]]/Mecze[[#This Row],[CZAS]])</f>
        <v>0</v>
      </c>
      <c r="S2723" s="44">
        <f>IF(Mecze[[#This Row],[Role]]="BR",SUMPRODUCT(Mecze[[#This Row],[/PR:90]:[/BR:90]],Brudnopis!$E$23:$J$23),0)</f>
        <v>0</v>
      </c>
      <c r="T2723" s="44">
        <f>IF(Mecze[[#This Row],[Role]]&lt;&gt;"BR",SUMPRODUCT(Mecze[[#This Row],[/PR:90]:[/BR:90]],Brudnopis!$E$24:$J$24),0)</f>
        <v>0.234375</v>
      </c>
      <c r="U2723" s="44">
        <f>IF(Mecze[[#This Row],[Role]]&lt;&gt;"BR",SUMPRODUCT(Mecze[[#This Row],[/PR:90]:[/BR:90]],Brudnopis!$E$25:$J$25),0)</f>
        <v>0.25</v>
      </c>
      <c r="V2723" s="44">
        <f>IF(Mecze[[#This Row],[Role]]&lt;&gt;"BR",SUMPRODUCT(Mecze[[#This Row],[/PR:90]:[/BR:90]],Brudnopis!$E$26:$J$26),0)</f>
        <v>0.20833333333333331</v>
      </c>
      <c r="W2723" s="44">
        <f>IF(Mecze[[#This Row],[Role]]&lt;&gt;"BR",SUMPRODUCT(Mecze[[#This Row],[/PR:90]:[/BR:90]],Brudnopis!$E$27:$J$27),0)</f>
        <v>0.21875</v>
      </c>
      <c r="X2723" s="44">
        <f>IF(Mecze[[#This Row],[Role]]&lt;&gt;"BR",SUMPRODUCT(Mecze[[#This Row],[/PR:90]:[/BR:90]],Brudnopis!$E$28:$J$28),0)</f>
        <v>8.3333333333333329E-2</v>
      </c>
      <c r="Y2723" s="35">
        <f>IF(Mecze[[#This Row],[Role]]="BR",Mecze[[#This Row],[/OB:90]]+Mecze[[#This Row],[/PC:90]],SUM(Mecze[[#This Row],[/PR:90]:[/BR:90]]))</f>
        <v>0.20833333333333331</v>
      </c>
      <c r="Z2723" s="35">
        <f>IF(Mecze[[#This Row],[KC]]=0,SUM(Mecze[[#This Row],[/BRI]:[/NPI]]),SUM(Mecze[[#This Row],[/BRI]:[/NPI]])*0.6)</f>
        <v>0.99479166666666663</v>
      </c>
      <c r="AA2723" s="10">
        <f>IFERROR(Mecze[[#This Row],[BR]]/Mecze[[#This Row],[ST]],0)</f>
        <v>0</v>
      </c>
      <c r="AB2723">
        <f>ROUND(Mecze[[#This Row],[PD]]*Mecze[[#This Row],[%PC]],0)</f>
        <v>8</v>
      </c>
      <c r="AC2723">
        <f>ROUND(Mecze[[#This Row],[OD]]*Mecze[[#This Row],[%OU]],0)</f>
        <v>5</v>
      </c>
      <c r="AD2723" s="36" t="s">
        <v>167</v>
      </c>
      <c r="AE2723" s="36">
        <v>152</v>
      </c>
      <c r="AF2723" s="71">
        <v>1.97</v>
      </c>
      <c r="AG2723" s="37">
        <v>0</v>
      </c>
      <c r="AH2723" s="37">
        <v>0</v>
      </c>
      <c r="AI2723" s="37">
        <v>96</v>
      </c>
      <c r="AJ2723" s="37">
        <v>1</v>
      </c>
      <c r="AK2723" s="37" t="str">
        <f>VLOOKUP(Mecze[[#This Row],[Match ID]],Meczusie[Mecz]:Meczusie[RodzajMeczu],2,FALSE)</f>
        <v>Puchar</v>
      </c>
    </row>
    <row r="2724" spans="1:37" x14ac:dyDescent="0.25">
      <c r="A2724" s="76">
        <v>3</v>
      </c>
      <c r="B2724" s="3" t="s">
        <v>158</v>
      </c>
      <c r="C2724" s="2" t="s">
        <v>157</v>
      </c>
      <c r="D2724" s="1">
        <v>0</v>
      </c>
      <c r="E2724" s="1">
        <v>0</v>
      </c>
      <c r="F2724" s="1">
        <v>0</v>
      </c>
      <c r="G2724" s="1">
        <v>3</v>
      </c>
      <c r="H2724" s="4">
        <v>0</v>
      </c>
      <c r="I2724" s="1">
        <v>4</v>
      </c>
      <c r="J2724" s="4">
        <v>0.25</v>
      </c>
      <c r="K2724" s="1">
        <v>0</v>
      </c>
      <c r="L2724" s="1">
        <v>5</v>
      </c>
      <c r="M2724" s="32">
        <f>IF(Mecze[[#This Row],[PR]]=0,0,Mecze[[#This Row],[PR]]/Mecze[[#This Row],[CZAS]])</f>
        <v>5.2083333333333336E-2</v>
      </c>
      <c r="N2724" s="32">
        <f>IF(Mecze[[#This Row],[OU]]=0,0,Mecze[[#This Row],[OU]]/Mecze[[#This Row],[CZAS]])</f>
        <v>1.0416666666666666E-2</v>
      </c>
      <c r="O2724" s="32">
        <f>IF(Mecze[[#This Row],[PC]]=0,0,Mecze[[#This Row],[PC]]/Mecze[[#This Row],[CZAS]])</f>
        <v>0</v>
      </c>
      <c r="P2724" s="32">
        <f>IF(Mecze[[#This Row],[SC]]=0,0,Mecze[[#This Row],[SC]]/Mecze[[#This Row],[CZAS]])</f>
        <v>0</v>
      </c>
      <c r="Q2724" s="32">
        <f>IF(Mecze[[#This Row],[OB]]=0,0,Mecze[[#This Row],[OB]]/Mecze[[#This Row],[CZAS]])</f>
        <v>0</v>
      </c>
      <c r="R2724" s="32">
        <f>IF(Mecze[[#This Row],[BR]]=0,0,Mecze[[#This Row],[BR]]/Mecze[[#This Row],[CZAS]])</f>
        <v>0</v>
      </c>
      <c r="S2724" s="44">
        <f>IF(Mecze[[#This Row],[Role]]="BR",SUMPRODUCT(Mecze[[#This Row],[/PR:90]:[/BR:90]],Brudnopis!$E$23:$J$23),0)</f>
        <v>0</v>
      </c>
      <c r="T2724" s="44">
        <f>IF(Mecze[[#This Row],[Role]]&lt;&gt;"BR",SUMPRODUCT(Mecze[[#This Row],[/PR:90]:[/BR:90]],Brudnopis!$E$24:$J$24),0)</f>
        <v>6.7708333333333343E-2</v>
      </c>
      <c r="U2724" s="44">
        <f>IF(Mecze[[#This Row],[Role]]&lt;&gt;"BR",SUMPRODUCT(Mecze[[#This Row],[/PR:90]:[/BR:90]],Brudnopis!$E$25:$J$25),0)</f>
        <v>6.25E-2</v>
      </c>
      <c r="V2724" s="44">
        <f>IF(Mecze[[#This Row],[Role]]&lt;&gt;"BR",SUMPRODUCT(Mecze[[#This Row],[/PR:90]:[/BR:90]],Brudnopis!$E$26:$J$26),0)</f>
        <v>6.25E-2</v>
      </c>
      <c r="W2724" s="44">
        <f>IF(Mecze[[#This Row],[Role]]&lt;&gt;"BR",SUMPRODUCT(Mecze[[#This Row],[/PR:90]:[/BR:90]],Brudnopis!$E$27:$J$27),0)</f>
        <v>4.6875E-2</v>
      </c>
      <c r="X2724" s="44">
        <f>IF(Mecze[[#This Row],[Role]]&lt;&gt;"BR",SUMPRODUCT(Mecze[[#This Row],[/PR:90]:[/BR:90]],Brudnopis!$E$28:$J$28),0)</f>
        <v>0</v>
      </c>
      <c r="Y2724" s="35">
        <f>IF(Mecze[[#This Row],[Role]]="BR",Mecze[[#This Row],[/OB:90]]+Mecze[[#This Row],[/PC:90]],SUM(Mecze[[#This Row],[/PR:90]:[/BR:90]]))</f>
        <v>6.25E-2</v>
      </c>
      <c r="Z2724" s="35">
        <f>IF(Mecze[[#This Row],[KC]]=0,SUM(Mecze[[#This Row],[/BRI]:[/NPI]]),SUM(Mecze[[#This Row],[/BRI]:[/NPI]])*0.6)</f>
        <v>0.23958333333333334</v>
      </c>
      <c r="AA2724" s="10">
        <f>IFERROR(Mecze[[#This Row],[BR]]/Mecze[[#This Row],[ST]],0)</f>
        <v>0</v>
      </c>
      <c r="AB2724">
        <f>ROUND(Mecze[[#This Row],[PD]]*Mecze[[#This Row],[%PC]],0)</f>
        <v>0</v>
      </c>
      <c r="AC2724">
        <f>ROUND(Mecze[[#This Row],[OD]]*Mecze[[#This Row],[%OU]],0)</f>
        <v>1</v>
      </c>
      <c r="AD2724" s="36" t="s">
        <v>168</v>
      </c>
      <c r="AE2724" s="36">
        <v>152</v>
      </c>
      <c r="AF2724" s="71">
        <v>0.43</v>
      </c>
      <c r="AG2724" s="37">
        <v>0</v>
      </c>
      <c r="AH2724" s="37">
        <v>0</v>
      </c>
      <c r="AI2724" s="37">
        <v>96</v>
      </c>
      <c r="AJ2724" s="37">
        <v>1</v>
      </c>
      <c r="AK2724" s="37" t="str">
        <f>VLOOKUP(Mecze[[#This Row],[Match ID]],Meczusie[Mecz]:Meczusie[RodzajMeczu],2,FALSE)</f>
        <v>Puchar</v>
      </c>
    </row>
    <row r="2725" spans="1:37" x14ac:dyDescent="0.25">
      <c r="A2725" s="76">
        <v>17</v>
      </c>
      <c r="B2725" s="3" t="s">
        <v>413</v>
      </c>
      <c r="C2725" s="2" t="s">
        <v>160</v>
      </c>
      <c r="D2725" s="1">
        <v>0</v>
      </c>
      <c r="E2725" s="1">
        <v>0</v>
      </c>
      <c r="F2725" s="1">
        <v>0</v>
      </c>
      <c r="G2725" s="1">
        <v>12</v>
      </c>
      <c r="H2725" s="4">
        <v>0.5</v>
      </c>
      <c r="I2725" s="1">
        <v>12</v>
      </c>
      <c r="J2725" s="4">
        <v>0.33</v>
      </c>
      <c r="K2725" s="1">
        <v>0</v>
      </c>
      <c r="L2725" s="1">
        <v>6</v>
      </c>
      <c r="M2725" s="32">
        <f>IF(Mecze[[#This Row],[PR]]=0,0,Mecze[[#This Row],[PR]]/Mecze[[#This Row],[CZAS]])</f>
        <v>6.25E-2</v>
      </c>
      <c r="N2725" s="32">
        <f>IF(Mecze[[#This Row],[OU]]=0,0,Mecze[[#This Row],[OU]]/Mecze[[#This Row],[CZAS]])</f>
        <v>4.1666666666666664E-2</v>
      </c>
      <c r="O2725" s="32">
        <f>IF(Mecze[[#This Row],[PC]]=0,0,Mecze[[#This Row],[PC]]/Mecze[[#This Row],[CZAS]])</f>
        <v>6.25E-2</v>
      </c>
      <c r="P2725" s="32">
        <f>IF(Mecze[[#This Row],[SC]]=0,0,Mecze[[#This Row],[SC]]/Mecze[[#This Row],[CZAS]])</f>
        <v>0</v>
      </c>
      <c r="Q2725" s="32">
        <f>IF(Mecze[[#This Row],[OB]]=0,0,Mecze[[#This Row],[OB]]/Mecze[[#This Row],[CZAS]])</f>
        <v>0</v>
      </c>
      <c r="R2725" s="32">
        <f>IF(Mecze[[#This Row],[BR]]=0,0,Mecze[[#This Row],[BR]]/Mecze[[#This Row],[CZAS]])</f>
        <v>0</v>
      </c>
      <c r="S2725" s="44">
        <f>IF(Mecze[[#This Row],[Role]]="BR",SUMPRODUCT(Mecze[[#This Row],[/PR:90]:[/BR:90]],Brudnopis!$E$23:$J$23),0)</f>
        <v>0</v>
      </c>
      <c r="T2725" s="44">
        <f>IF(Mecze[[#This Row],[Role]]&lt;&gt;"BR",SUMPRODUCT(Mecze[[#This Row],[/PR:90]:[/BR:90]],Brudnopis!$E$24:$J$24),0)</f>
        <v>0.1875</v>
      </c>
      <c r="U2725" s="44">
        <f>IF(Mecze[[#This Row],[Role]]&lt;&gt;"BR",SUMPRODUCT(Mecze[[#This Row],[/PR:90]:[/BR:90]],Brudnopis!$E$25:$J$25),0)</f>
        <v>0.19791666666666666</v>
      </c>
      <c r="V2725" s="44">
        <f>IF(Mecze[[#This Row],[Role]]&lt;&gt;"BR",SUMPRODUCT(Mecze[[#This Row],[/PR:90]:[/BR:90]],Brudnopis!$E$26:$J$26),0)</f>
        <v>0.16666666666666666</v>
      </c>
      <c r="W2725" s="44">
        <f>IF(Mecze[[#This Row],[Role]]&lt;&gt;"BR",SUMPRODUCT(Mecze[[#This Row],[/PR:90]:[/BR:90]],Brudnopis!$E$27:$J$27),0)</f>
        <v>0.171875</v>
      </c>
      <c r="X2725" s="44">
        <f>IF(Mecze[[#This Row],[Role]]&lt;&gt;"BR",SUMPRODUCT(Mecze[[#This Row],[/PR:90]:[/BR:90]],Brudnopis!$E$28:$J$28),0)</f>
        <v>6.25E-2</v>
      </c>
      <c r="Y2725" s="35">
        <f>IF(Mecze[[#This Row],[Role]]="BR",Mecze[[#This Row],[/OB:90]]+Mecze[[#This Row],[/PC:90]],SUM(Mecze[[#This Row],[/PR:90]:[/BR:90]]))</f>
        <v>0.16666666666666666</v>
      </c>
      <c r="Z2725" s="35">
        <f>IF(Mecze[[#This Row],[KC]]=0,SUM(Mecze[[#This Row],[/BRI]:[/NPI]]),SUM(Mecze[[#This Row],[/BRI]:[/NPI]])*0.6)</f>
        <v>0.78645833333333326</v>
      </c>
      <c r="AA2725" s="10">
        <f>IFERROR(Mecze[[#This Row],[BR]]/Mecze[[#This Row],[ST]],0)</f>
        <v>0</v>
      </c>
      <c r="AB2725">
        <f>ROUND(Mecze[[#This Row],[PD]]*Mecze[[#This Row],[%PC]],0)</f>
        <v>6</v>
      </c>
      <c r="AC2725">
        <f>ROUND(Mecze[[#This Row],[OD]]*Mecze[[#This Row],[%OU]],0)</f>
        <v>4</v>
      </c>
      <c r="AD2725" s="36" t="s">
        <v>41</v>
      </c>
      <c r="AE2725" s="36">
        <v>152</v>
      </c>
      <c r="AF2725" s="71">
        <v>5.17</v>
      </c>
      <c r="AG2725" s="37">
        <v>0</v>
      </c>
      <c r="AH2725" s="37">
        <v>0</v>
      </c>
      <c r="AI2725" s="37">
        <v>96</v>
      </c>
      <c r="AJ2725" s="37">
        <v>1</v>
      </c>
      <c r="AK2725" s="37" t="str">
        <f>VLOOKUP(Mecze[[#This Row],[Match ID]],Meczusie[Mecz]:Meczusie[RodzajMeczu],2,FALSE)</f>
        <v>Puchar</v>
      </c>
    </row>
    <row r="2726" spans="1:37" x14ac:dyDescent="0.25">
      <c r="A2726" s="76">
        <v>8</v>
      </c>
      <c r="B2726" s="3" t="s">
        <v>154</v>
      </c>
      <c r="C2726" s="2" t="s">
        <v>160</v>
      </c>
      <c r="D2726" s="1">
        <v>0</v>
      </c>
      <c r="E2726" s="1">
        <v>0</v>
      </c>
      <c r="F2726" s="1">
        <v>0</v>
      </c>
      <c r="G2726" s="1">
        <v>19</v>
      </c>
      <c r="H2726" s="4">
        <v>0.42</v>
      </c>
      <c r="I2726" s="1">
        <v>2</v>
      </c>
      <c r="J2726" s="4">
        <v>0.5</v>
      </c>
      <c r="K2726" s="1">
        <v>0</v>
      </c>
      <c r="L2726" s="1">
        <v>7</v>
      </c>
      <c r="M2726" s="32">
        <f>IF(Mecze[[#This Row],[PR]]=0,0,Mecze[[#This Row],[PR]]/Mecze[[#This Row],[CZAS]])</f>
        <v>7.2916666666666671E-2</v>
      </c>
      <c r="N2726" s="32">
        <f>IF(Mecze[[#This Row],[OU]]=0,0,Mecze[[#This Row],[OU]]/Mecze[[#This Row],[CZAS]])</f>
        <v>1.0416666666666666E-2</v>
      </c>
      <c r="O2726" s="32">
        <f>IF(Mecze[[#This Row],[PC]]=0,0,Mecze[[#This Row],[PC]]/Mecze[[#This Row],[CZAS]])</f>
        <v>8.3333333333333329E-2</v>
      </c>
      <c r="P2726" s="32">
        <f>IF(Mecze[[#This Row],[SC]]=0,0,Mecze[[#This Row],[SC]]/Mecze[[#This Row],[CZAS]])</f>
        <v>0</v>
      </c>
      <c r="Q2726" s="32">
        <f>IF(Mecze[[#This Row],[OB]]=0,0,Mecze[[#This Row],[OB]]/Mecze[[#This Row],[CZAS]])</f>
        <v>0</v>
      </c>
      <c r="R2726" s="32">
        <f>IF(Mecze[[#This Row],[BR]]=0,0,Mecze[[#This Row],[BR]]/Mecze[[#This Row],[CZAS]])</f>
        <v>0</v>
      </c>
      <c r="S2726" s="44">
        <f>IF(Mecze[[#This Row],[Role]]="BR",SUMPRODUCT(Mecze[[#This Row],[/PR:90]:[/BR:90]],Brudnopis!$E$23:$J$23),0)</f>
        <v>0</v>
      </c>
      <c r="T2726" s="44">
        <f>IF(Mecze[[#This Row],[Role]]&lt;&gt;"BR",SUMPRODUCT(Mecze[[#This Row],[/PR:90]:[/BR:90]],Brudnopis!$E$24:$J$24),0)</f>
        <v>0.171875</v>
      </c>
      <c r="U2726" s="44">
        <f>IF(Mecze[[#This Row],[Role]]&lt;&gt;"BR",SUMPRODUCT(Mecze[[#This Row],[/PR:90]:[/BR:90]],Brudnopis!$E$25:$J$25),0)</f>
        <v>0.20833333333333334</v>
      </c>
      <c r="V2726" s="44">
        <f>IF(Mecze[[#This Row],[Role]]&lt;&gt;"BR",SUMPRODUCT(Mecze[[#This Row],[/PR:90]:[/BR:90]],Brudnopis!$E$26:$J$26),0)</f>
        <v>0.16666666666666669</v>
      </c>
      <c r="W2726" s="44">
        <f>IF(Mecze[[#This Row],[Role]]&lt;&gt;"BR",SUMPRODUCT(Mecze[[#This Row],[/PR:90]:[/BR:90]],Brudnopis!$E$27:$J$27),0)</f>
        <v>0.1875</v>
      </c>
      <c r="X2726" s="44">
        <f>IF(Mecze[[#This Row],[Role]]&lt;&gt;"BR",SUMPRODUCT(Mecze[[#This Row],[/PR:90]:[/BR:90]],Brudnopis!$E$28:$J$28),0)</f>
        <v>8.3333333333333329E-2</v>
      </c>
      <c r="Y2726" s="35">
        <f>IF(Mecze[[#This Row],[Role]]="BR",Mecze[[#This Row],[/OB:90]]+Mecze[[#This Row],[/PC:90]],SUM(Mecze[[#This Row],[/PR:90]:[/BR:90]]))</f>
        <v>0.16666666666666669</v>
      </c>
      <c r="Z2726" s="35">
        <f>IF(Mecze[[#This Row],[KC]]=0,SUM(Mecze[[#This Row],[/BRI]:[/NPI]]),SUM(Mecze[[#This Row],[/BRI]:[/NPI]])*0.6)</f>
        <v>0.81770833333333337</v>
      </c>
      <c r="AA2726" s="10">
        <f>IFERROR(Mecze[[#This Row],[BR]]/Mecze[[#This Row],[ST]],0)</f>
        <v>0</v>
      </c>
      <c r="AB2726">
        <f>ROUND(Mecze[[#This Row],[PD]]*Mecze[[#This Row],[%PC]],0)</f>
        <v>8</v>
      </c>
      <c r="AC2726">
        <f>ROUND(Mecze[[#This Row],[OD]]*Mecze[[#This Row],[%OU]],0)</f>
        <v>1</v>
      </c>
      <c r="AD2726" s="36" t="s">
        <v>41</v>
      </c>
      <c r="AE2726" s="36">
        <v>152</v>
      </c>
      <c r="AF2726" s="71">
        <v>4.17</v>
      </c>
      <c r="AG2726" s="37">
        <v>0</v>
      </c>
      <c r="AH2726" s="37">
        <v>0</v>
      </c>
      <c r="AI2726" s="37">
        <v>96</v>
      </c>
      <c r="AJ2726" s="37">
        <v>1</v>
      </c>
      <c r="AK2726" s="37" t="str">
        <f>VLOOKUP(Mecze[[#This Row],[Match ID]],Meczusie[Mecz]:Meczusie[RodzajMeczu],2,FALSE)</f>
        <v>Puchar</v>
      </c>
    </row>
    <row r="2727" spans="1:37" x14ac:dyDescent="0.25">
      <c r="A2727" s="76">
        <v>15</v>
      </c>
      <c r="B2727" s="3" t="s">
        <v>170</v>
      </c>
      <c r="C2727" s="2" t="s">
        <v>160</v>
      </c>
      <c r="D2727" s="1">
        <v>0</v>
      </c>
      <c r="E2727" s="1">
        <v>0</v>
      </c>
      <c r="F2727" s="1">
        <v>0</v>
      </c>
      <c r="G2727" s="1">
        <v>5</v>
      </c>
      <c r="H2727" s="4">
        <v>0.6</v>
      </c>
      <c r="I2727" s="1">
        <v>8</v>
      </c>
      <c r="J2727" s="4">
        <v>0.38</v>
      </c>
      <c r="K2727" s="1">
        <v>0</v>
      </c>
      <c r="L2727" s="1">
        <v>2</v>
      </c>
      <c r="M2727" s="32">
        <f>IF(Mecze[[#This Row],[PR]]=0,0,Mecze[[#This Row],[PR]]/Mecze[[#This Row],[CZAS]])</f>
        <v>2.0833333333333332E-2</v>
      </c>
      <c r="N2727" s="32">
        <f>IF(Mecze[[#This Row],[OU]]=0,0,Mecze[[#This Row],[OU]]/Mecze[[#This Row],[CZAS]])</f>
        <v>3.125E-2</v>
      </c>
      <c r="O2727" s="32">
        <f>IF(Mecze[[#This Row],[PC]]=0,0,Mecze[[#This Row],[PC]]/Mecze[[#This Row],[CZAS]])</f>
        <v>3.125E-2</v>
      </c>
      <c r="P2727" s="32">
        <f>IF(Mecze[[#This Row],[SC]]=0,0,Mecze[[#This Row],[SC]]/Mecze[[#This Row],[CZAS]])</f>
        <v>0</v>
      </c>
      <c r="Q2727" s="32">
        <f>IF(Mecze[[#This Row],[OB]]=0,0,Mecze[[#This Row],[OB]]/Mecze[[#This Row],[CZAS]])</f>
        <v>0</v>
      </c>
      <c r="R2727" s="32">
        <f>IF(Mecze[[#This Row],[BR]]=0,0,Mecze[[#This Row],[BR]]/Mecze[[#This Row],[CZAS]])</f>
        <v>0</v>
      </c>
      <c r="S2727" s="44">
        <f>IF(Mecze[[#This Row],[Role]]="BR",SUMPRODUCT(Mecze[[#This Row],[/PR:90]:[/BR:90]],Brudnopis!$E$23:$J$23),0)</f>
        <v>0</v>
      </c>
      <c r="T2727" s="44">
        <f>IF(Mecze[[#This Row],[Role]]&lt;&gt;"BR",SUMPRODUCT(Mecze[[#This Row],[/PR:90]:[/BR:90]],Brudnopis!$E$24:$J$24),0)</f>
        <v>9.8958333333333329E-2</v>
      </c>
      <c r="U2727" s="44">
        <f>IF(Mecze[[#This Row],[Role]]&lt;&gt;"BR",SUMPRODUCT(Mecze[[#This Row],[/PR:90]:[/BR:90]],Brudnopis!$E$25:$J$25),0)</f>
        <v>9.8958333333333329E-2</v>
      </c>
      <c r="V2727" s="44">
        <f>IF(Mecze[[#This Row],[Role]]&lt;&gt;"BR",SUMPRODUCT(Mecze[[#This Row],[/PR:90]:[/BR:90]],Brudnopis!$E$26:$J$26),0)</f>
        <v>8.3333333333333329E-2</v>
      </c>
      <c r="W2727" s="44">
        <f>IF(Mecze[[#This Row],[Role]]&lt;&gt;"BR",SUMPRODUCT(Mecze[[#This Row],[/PR:90]:[/BR:90]],Brudnopis!$E$27:$J$27),0)</f>
        <v>8.59375E-2</v>
      </c>
      <c r="X2727" s="44">
        <f>IF(Mecze[[#This Row],[Role]]&lt;&gt;"BR",SUMPRODUCT(Mecze[[#This Row],[/PR:90]:[/BR:90]],Brudnopis!$E$28:$J$28),0)</f>
        <v>3.125E-2</v>
      </c>
      <c r="Y2727" s="35">
        <f>IF(Mecze[[#This Row],[Role]]="BR",Mecze[[#This Row],[/OB:90]]+Mecze[[#This Row],[/PC:90]],SUM(Mecze[[#This Row],[/PR:90]:[/BR:90]]))</f>
        <v>8.3333333333333329E-2</v>
      </c>
      <c r="Z2727" s="35">
        <f>IF(Mecze[[#This Row],[KC]]=0,SUM(Mecze[[#This Row],[/BRI]:[/NPI]]),SUM(Mecze[[#This Row],[/BRI]:[/NPI]])*0.6)</f>
        <v>0.3984375</v>
      </c>
      <c r="AA2727" s="10">
        <f>IFERROR(Mecze[[#This Row],[BR]]/Mecze[[#This Row],[ST]],0)</f>
        <v>0</v>
      </c>
      <c r="AB2727">
        <f>ROUND(Mecze[[#This Row],[PD]]*Mecze[[#This Row],[%PC]],0)</f>
        <v>3</v>
      </c>
      <c r="AC2727">
        <f>ROUND(Mecze[[#This Row],[OD]]*Mecze[[#This Row],[%OU]],0)</f>
        <v>3</v>
      </c>
      <c r="AD2727" s="36" t="s">
        <v>67</v>
      </c>
      <c r="AE2727" s="36">
        <v>152</v>
      </c>
      <c r="AF2727" s="71">
        <v>3.22</v>
      </c>
      <c r="AG2727" s="37">
        <v>1</v>
      </c>
      <c r="AH2727" s="37">
        <v>0</v>
      </c>
      <c r="AI2727" s="37">
        <v>96</v>
      </c>
      <c r="AJ2727" s="37">
        <v>1</v>
      </c>
      <c r="AK2727" s="37" t="str">
        <f>VLOOKUP(Mecze[[#This Row],[Match ID]],Meczusie[Mecz]:Meczusie[RodzajMeczu],2,FALSE)</f>
        <v>Puchar</v>
      </c>
    </row>
    <row r="2728" spans="1:37" x14ac:dyDescent="0.25">
      <c r="A2728" s="76">
        <v>13</v>
      </c>
      <c r="B2728" s="3" t="s">
        <v>162</v>
      </c>
      <c r="C2728" s="2" t="s">
        <v>160</v>
      </c>
      <c r="D2728" s="1">
        <v>0</v>
      </c>
      <c r="E2728" s="1">
        <v>0</v>
      </c>
      <c r="F2728" s="1">
        <v>0</v>
      </c>
      <c r="G2728" s="1">
        <v>3</v>
      </c>
      <c r="H2728" s="4">
        <v>0.67</v>
      </c>
      <c r="I2728" s="1">
        <v>3</v>
      </c>
      <c r="J2728" s="4">
        <v>0.33</v>
      </c>
      <c r="K2728" s="1">
        <v>0</v>
      </c>
      <c r="L2728" s="1">
        <v>2</v>
      </c>
      <c r="M2728" s="32">
        <f>IF(Mecze[[#This Row],[PR]]=0,0,Mecze[[#This Row],[PR]]/Mecze[[#This Row],[CZAS]])</f>
        <v>2.0833333333333332E-2</v>
      </c>
      <c r="N2728" s="32">
        <f>IF(Mecze[[#This Row],[OU]]=0,0,Mecze[[#This Row],[OU]]/Mecze[[#This Row],[CZAS]])</f>
        <v>1.0416666666666666E-2</v>
      </c>
      <c r="O2728" s="32">
        <f>IF(Mecze[[#This Row],[PC]]=0,0,Mecze[[#This Row],[PC]]/Mecze[[#This Row],[CZAS]])</f>
        <v>2.0833333333333332E-2</v>
      </c>
      <c r="P2728" s="32">
        <f>IF(Mecze[[#This Row],[SC]]=0,0,Mecze[[#This Row],[SC]]/Mecze[[#This Row],[CZAS]])</f>
        <v>0</v>
      </c>
      <c r="Q2728" s="32">
        <f>IF(Mecze[[#This Row],[OB]]=0,0,Mecze[[#This Row],[OB]]/Mecze[[#This Row],[CZAS]])</f>
        <v>0</v>
      </c>
      <c r="R2728" s="32">
        <f>IF(Mecze[[#This Row],[BR]]=0,0,Mecze[[#This Row],[BR]]/Mecze[[#This Row],[CZAS]])</f>
        <v>0</v>
      </c>
      <c r="S2728" s="44">
        <f>IF(Mecze[[#This Row],[Role]]="BR",SUMPRODUCT(Mecze[[#This Row],[/PR:90]:[/BR:90]],Brudnopis!$E$23:$J$23),0)</f>
        <v>0</v>
      </c>
      <c r="T2728" s="44">
        <f>IF(Mecze[[#This Row],[Role]]&lt;&gt;"BR",SUMPRODUCT(Mecze[[#This Row],[/PR:90]:[/BR:90]],Brudnopis!$E$24:$J$24),0)</f>
        <v>5.7291666666666657E-2</v>
      </c>
      <c r="U2728" s="44">
        <f>IF(Mecze[[#This Row],[Role]]&lt;&gt;"BR",SUMPRODUCT(Mecze[[#This Row],[/PR:90]:[/BR:90]],Brudnopis!$E$25:$J$25),0)</f>
        <v>6.25E-2</v>
      </c>
      <c r="V2728" s="44">
        <f>IF(Mecze[[#This Row],[Role]]&lt;&gt;"BR",SUMPRODUCT(Mecze[[#This Row],[/PR:90]:[/BR:90]],Brudnopis!$E$26:$J$26),0)</f>
        <v>5.2083333333333329E-2</v>
      </c>
      <c r="W2728" s="44">
        <f>IF(Mecze[[#This Row],[Role]]&lt;&gt;"BR",SUMPRODUCT(Mecze[[#This Row],[/PR:90]:[/BR:90]],Brudnopis!$E$27:$J$27),0)</f>
        <v>5.46875E-2</v>
      </c>
      <c r="X2728" s="44">
        <f>IF(Mecze[[#This Row],[Role]]&lt;&gt;"BR",SUMPRODUCT(Mecze[[#This Row],[/PR:90]:[/BR:90]],Brudnopis!$E$28:$J$28),0)</f>
        <v>2.0833333333333332E-2</v>
      </c>
      <c r="Y2728" s="35">
        <f>IF(Mecze[[#This Row],[Role]]="BR",Mecze[[#This Row],[/OB:90]]+Mecze[[#This Row],[/PC:90]],SUM(Mecze[[#This Row],[/PR:90]:[/BR:90]]))</f>
        <v>5.2083333333333329E-2</v>
      </c>
      <c r="Z2728" s="35">
        <f>IF(Mecze[[#This Row],[KC]]=0,SUM(Mecze[[#This Row],[/BRI]:[/NPI]]),SUM(Mecze[[#This Row],[/BRI]:[/NPI]])*0.6)</f>
        <v>0.24739583333333334</v>
      </c>
      <c r="AA2728" s="10">
        <f>IFERROR(Mecze[[#This Row],[BR]]/Mecze[[#This Row],[ST]],0)</f>
        <v>0</v>
      </c>
      <c r="AB2728">
        <f>ROUND(Mecze[[#This Row],[PD]]*Mecze[[#This Row],[%PC]],0)</f>
        <v>2</v>
      </c>
      <c r="AC2728">
        <f>ROUND(Mecze[[#This Row],[OD]]*Mecze[[#This Row],[%OU]],0)</f>
        <v>1</v>
      </c>
      <c r="AD2728" s="36" t="s">
        <v>299</v>
      </c>
      <c r="AE2728" s="36">
        <v>152</v>
      </c>
      <c r="AF2728" s="71">
        <v>3.12</v>
      </c>
      <c r="AG2728" s="37">
        <v>0</v>
      </c>
      <c r="AH2728" s="37">
        <v>0</v>
      </c>
      <c r="AI2728" s="37">
        <v>96</v>
      </c>
      <c r="AJ2728" s="37">
        <v>1</v>
      </c>
      <c r="AK2728" s="37" t="str">
        <f>VLOOKUP(Mecze[[#This Row],[Match ID]],Meczusie[Mecz]:Meczusie[RodzajMeczu],2,FALSE)</f>
        <v>Puchar</v>
      </c>
    </row>
    <row r="2729" spans="1:37" x14ac:dyDescent="0.25">
      <c r="A2729" s="76">
        <v>14</v>
      </c>
      <c r="B2729" s="3" t="s">
        <v>164</v>
      </c>
      <c r="C2729" s="2" t="s">
        <v>165</v>
      </c>
      <c r="D2729" s="1">
        <v>0</v>
      </c>
      <c r="E2729" s="1">
        <v>4</v>
      </c>
      <c r="F2729" s="1">
        <v>4</v>
      </c>
      <c r="G2729" s="1">
        <v>3</v>
      </c>
      <c r="H2729" s="4">
        <v>0.67</v>
      </c>
      <c r="I2729" s="1">
        <v>2</v>
      </c>
      <c r="J2729" s="4">
        <v>0.5</v>
      </c>
      <c r="K2729" s="1">
        <v>0</v>
      </c>
      <c r="L2729" s="1">
        <v>0</v>
      </c>
      <c r="M2729" s="32">
        <f>IF(Mecze[[#This Row],[PR]]=0,0,Mecze[[#This Row],[PR]]/Mecze[[#This Row],[CZAS]])</f>
        <v>0</v>
      </c>
      <c r="N2729" s="32">
        <f>IF(Mecze[[#This Row],[OU]]=0,0,Mecze[[#This Row],[OU]]/Mecze[[#This Row],[CZAS]])</f>
        <v>1.0416666666666666E-2</v>
      </c>
      <c r="O2729" s="32">
        <f>IF(Mecze[[#This Row],[PC]]=0,0,Mecze[[#This Row],[PC]]/Mecze[[#This Row],[CZAS]])</f>
        <v>2.0833333333333332E-2</v>
      </c>
      <c r="P2729" s="32">
        <f>IF(Mecze[[#This Row],[SC]]=0,0,Mecze[[#This Row],[SC]]/Mecze[[#This Row],[CZAS]])</f>
        <v>4.1666666666666664E-2</v>
      </c>
      <c r="Q2729" s="32">
        <f>IF(Mecze[[#This Row],[OB]]=0,0,Mecze[[#This Row],[OB]]/Mecze[[#This Row],[CZAS]])</f>
        <v>0</v>
      </c>
      <c r="R2729" s="32">
        <f>IF(Mecze[[#This Row],[BR]]=0,0,Mecze[[#This Row],[BR]]/Mecze[[#This Row],[CZAS]])</f>
        <v>0</v>
      </c>
      <c r="S2729" s="44">
        <f>IF(Mecze[[#This Row],[Role]]="BR",SUMPRODUCT(Mecze[[#This Row],[/PR:90]:[/BR:90]],Brudnopis!$E$23:$J$23),0)</f>
        <v>0</v>
      </c>
      <c r="T2729" s="44">
        <f>IF(Mecze[[#This Row],[Role]]&lt;&gt;"BR",SUMPRODUCT(Mecze[[#This Row],[/PR:90]:[/BR:90]],Brudnopis!$E$24:$J$24),0)</f>
        <v>7.8125E-2</v>
      </c>
      <c r="U2729" s="44">
        <f>IF(Mecze[[#This Row],[Role]]&lt;&gt;"BR",SUMPRODUCT(Mecze[[#This Row],[/PR:90]:[/BR:90]],Brudnopis!$E$25:$J$25),0)</f>
        <v>8.3333333333333329E-2</v>
      </c>
      <c r="V2729" s="44">
        <f>IF(Mecze[[#This Row],[Role]]&lt;&gt;"BR",SUMPRODUCT(Mecze[[#This Row],[/PR:90]:[/BR:90]],Brudnopis!$E$26:$J$26),0)</f>
        <v>7.2916666666666657E-2</v>
      </c>
      <c r="W2729" s="44">
        <f>IF(Mecze[[#This Row],[Role]]&lt;&gt;"BR",SUMPRODUCT(Mecze[[#This Row],[/PR:90]:[/BR:90]],Brudnopis!$E$27:$J$27),0)</f>
        <v>8.0729166666666657E-2</v>
      </c>
      <c r="X2729" s="44">
        <f>IF(Mecze[[#This Row],[Role]]&lt;&gt;"BR",SUMPRODUCT(Mecze[[#This Row],[/PR:90]:[/BR:90]],Brudnopis!$E$28:$J$28),0)</f>
        <v>0.10416666666666666</v>
      </c>
      <c r="Y2729" s="35">
        <f>IF(Mecze[[#This Row],[Role]]="BR",Mecze[[#This Row],[/OB:90]]+Mecze[[#This Row],[/PC:90]],SUM(Mecze[[#This Row],[/PR:90]:[/BR:90]]))</f>
        <v>7.2916666666666657E-2</v>
      </c>
      <c r="Z2729" s="35">
        <f>IF(Mecze[[#This Row],[KC]]=0,SUM(Mecze[[#This Row],[/BRI]:[/NPI]]),SUM(Mecze[[#This Row],[/BRI]:[/NPI]])*0.6)</f>
        <v>0.41927083333333326</v>
      </c>
      <c r="AA2729" s="10">
        <f>IFERROR(Mecze[[#This Row],[BR]]/Mecze[[#This Row],[ST]],0)</f>
        <v>0</v>
      </c>
      <c r="AB2729">
        <f>ROUND(Mecze[[#This Row],[PD]]*Mecze[[#This Row],[%PC]],0)</f>
        <v>2</v>
      </c>
      <c r="AC2729">
        <f>ROUND(Mecze[[#This Row],[OD]]*Mecze[[#This Row],[%OU]],0)</f>
        <v>1</v>
      </c>
      <c r="AD2729" s="36" t="s">
        <v>46</v>
      </c>
      <c r="AE2729" s="36">
        <v>152</v>
      </c>
      <c r="AF2729" s="71">
        <v>3.59</v>
      </c>
      <c r="AG2729" s="37">
        <v>0</v>
      </c>
      <c r="AH2729" s="37">
        <v>0</v>
      </c>
      <c r="AI2729" s="37">
        <v>96</v>
      </c>
      <c r="AJ2729" s="37">
        <v>1</v>
      </c>
      <c r="AK2729" s="37" t="str">
        <f>VLOOKUP(Mecze[[#This Row],[Match ID]],Meczusie[Mecz]:Meczusie[RodzajMeczu],2,FALSE)</f>
        <v>Puchar</v>
      </c>
    </row>
    <row r="2730" spans="1:37" x14ac:dyDescent="0.25">
      <c r="A2730" s="76">
        <v>9</v>
      </c>
      <c r="B2730" s="3" t="s">
        <v>411</v>
      </c>
      <c r="C2730" s="2" t="s">
        <v>165</v>
      </c>
      <c r="D2730" s="1">
        <v>0</v>
      </c>
      <c r="E2730" s="1">
        <v>0</v>
      </c>
      <c r="F2730" s="1">
        <v>0</v>
      </c>
      <c r="G2730" s="1">
        <v>5</v>
      </c>
      <c r="H2730" s="4">
        <v>0.4</v>
      </c>
      <c r="I2730" s="1">
        <v>4</v>
      </c>
      <c r="J2730" s="4">
        <v>0.25</v>
      </c>
      <c r="K2730" s="1">
        <v>0</v>
      </c>
      <c r="L2730" s="1">
        <v>0</v>
      </c>
      <c r="M2730" s="32">
        <f>IF(Mecze[[#This Row],[PR]]=0,0,Mecze[[#This Row],[PR]]/Mecze[[#This Row],[CZAS]])</f>
        <v>0</v>
      </c>
      <c r="N2730" s="32">
        <f>IF(Mecze[[#This Row],[OU]]=0,0,Mecze[[#This Row],[OU]]/Mecze[[#This Row],[CZAS]])</f>
        <v>1.0416666666666666E-2</v>
      </c>
      <c r="O2730" s="32">
        <f>IF(Mecze[[#This Row],[PC]]=0,0,Mecze[[#This Row],[PC]]/Mecze[[#This Row],[CZAS]])</f>
        <v>2.0833333333333332E-2</v>
      </c>
      <c r="P2730" s="32">
        <f>IF(Mecze[[#This Row],[SC]]=0,0,Mecze[[#This Row],[SC]]/Mecze[[#This Row],[CZAS]])</f>
        <v>0</v>
      </c>
      <c r="Q2730" s="32">
        <f>IF(Mecze[[#This Row],[OB]]=0,0,Mecze[[#This Row],[OB]]/Mecze[[#This Row],[CZAS]])</f>
        <v>0</v>
      </c>
      <c r="R2730" s="32">
        <f>IF(Mecze[[#This Row],[BR]]=0,0,Mecze[[#This Row],[BR]]/Mecze[[#This Row],[CZAS]])</f>
        <v>0</v>
      </c>
      <c r="S2730" s="44">
        <f>IF(Mecze[[#This Row],[Role]]="BR",SUMPRODUCT(Mecze[[#This Row],[/PR:90]:[/BR:90]],Brudnopis!$E$23:$J$23),0)</f>
        <v>0</v>
      </c>
      <c r="T2730" s="44">
        <f>IF(Mecze[[#This Row],[Role]]&lt;&gt;"BR",SUMPRODUCT(Mecze[[#This Row],[/PR:90]:[/BR:90]],Brudnopis!$E$24:$J$24),0)</f>
        <v>3.6458333333333329E-2</v>
      </c>
      <c r="U2730" s="44">
        <f>IF(Mecze[[#This Row],[Role]]&lt;&gt;"BR",SUMPRODUCT(Mecze[[#This Row],[/PR:90]:[/BR:90]],Brudnopis!$E$25:$J$25),0)</f>
        <v>4.1666666666666664E-2</v>
      </c>
      <c r="V2730" s="44">
        <f>IF(Mecze[[#This Row],[Role]]&lt;&gt;"BR",SUMPRODUCT(Mecze[[#This Row],[/PR:90]:[/BR:90]],Brudnopis!$E$26:$J$26),0)</f>
        <v>3.125E-2</v>
      </c>
      <c r="W2730" s="44">
        <f>IF(Mecze[[#This Row],[Role]]&lt;&gt;"BR",SUMPRODUCT(Mecze[[#This Row],[/PR:90]:[/BR:90]],Brudnopis!$E$27:$J$27),0)</f>
        <v>3.90625E-2</v>
      </c>
      <c r="X2730" s="44">
        <f>IF(Mecze[[#This Row],[Role]]&lt;&gt;"BR",SUMPRODUCT(Mecze[[#This Row],[/PR:90]:[/BR:90]],Brudnopis!$E$28:$J$28),0)</f>
        <v>2.0833333333333332E-2</v>
      </c>
      <c r="Y2730" s="35">
        <f>IF(Mecze[[#This Row],[Role]]="BR",Mecze[[#This Row],[/OB:90]]+Mecze[[#This Row],[/PC:90]],SUM(Mecze[[#This Row],[/PR:90]:[/BR:90]]))</f>
        <v>3.125E-2</v>
      </c>
      <c r="Z2730" s="35">
        <f>IF(Mecze[[#This Row],[KC]]=0,SUM(Mecze[[#This Row],[/BRI]:[/NPI]]),SUM(Mecze[[#This Row],[/BRI]:[/NPI]])*0.6)</f>
        <v>0.16927083333333334</v>
      </c>
      <c r="AA2730" s="10">
        <f>IFERROR(Mecze[[#This Row],[BR]]/Mecze[[#This Row],[ST]],0)</f>
        <v>0</v>
      </c>
      <c r="AB2730">
        <f>ROUND(Mecze[[#This Row],[PD]]*Mecze[[#This Row],[%PC]],0)</f>
        <v>2</v>
      </c>
      <c r="AC2730">
        <f>ROUND(Mecze[[#This Row],[OD]]*Mecze[[#This Row],[%OU]],0)</f>
        <v>1</v>
      </c>
      <c r="AD2730" s="36" t="s">
        <v>272</v>
      </c>
      <c r="AE2730" s="36">
        <v>152</v>
      </c>
      <c r="AF2730" s="71">
        <v>2.71</v>
      </c>
      <c r="AG2730" s="37">
        <v>0</v>
      </c>
      <c r="AH2730" s="37">
        <v>0</v>
      </c>
      <c r="AI2730" s="37">
        <v>96</v>
      </c>
      <c r="AJ2730" s="37">
        <v>1</v>
      </c>
      <c r="AK2730" s="37" t="str">
        <f>VLOOKUP(Mecze[[#This Row],[Match ID]],Meczusie[Mecz]:Meczusie[RodzajMeczu],2,FALSE)</f>
        <v>Puchar</v>
      </c>
    </row>
    <row r="2731" spans="1:37" x14ac:dyDescent="0.25">
      <c r="A2731" s="76">
        <v>19</v>
      </c>
      <c r="B2731" s="3" t="s">
        <v>166</v>
      </c>
      <c r="C2731" s="2" t="s">
        <v>165</v>
      </c>
      <c r="D2731" s="1">
        <v>0</v>
      </c>
      <c r="E2731" s="1">
        <v>1</v>
      </c>
      <c r="F2731" s="1">
        <v>1</v>
      </c>
      <c r="G2731" s="1">
        <v>10</v>
      </c>
      <c r="H2731" s="4">
        <v>0.6</v>
      </c>
      <c r="I2731" s="1">
        <v>5</v>
      </c>
      <c r="J2731" s="4">
        <v>0.2</v>
      </c>
      <c r="K2731" s="1">
        <v>0</v>
      </c>
      <c r="L2731" s="1">
        <v>0</v>
      </c>
      <c r="M2731" s="32">
        <f>IF(Mecze[[#This Row],[PR]]=0,0,Mecze[[#This Row],[PR]]/Mecze[[#This Row],[CZAS]])</f>
        <v>0</v>
      </c>
      <c r="N2731" s="32">
        <f>IF(Mecze[[#This Row],[OU]]=0,0,Mecze[[#This Row],[OU]]/Mecze[[#This Row],[CZAS]])</f>
        <v>1.0416666666666666E-2</v>
      </c>
      <c r="O2731" s="32">
        <f>IF(Mecze[[#This Row],[PC]]=0,0,Mecze[[#This Row],[PC]]/Mecze[[#This Row],[CZAS]])</f>
        <v>6.25E-2</v>
      </c>
      <c r="P2731" s="32">
        <f>IF(Mecze[[#This Row],[SC]]=0,0,Mecze[[#This Row],[SC]]/Mecze[[#This Row],[CZAS]])</f>
        <v>1.0416666666666666E-2</v>
      </c>
      <c r="Q2731" s="32">
        <f>IF(Mecze[[#This Row],[OB]]=0,0,Mecze[[#This Row],[OB]]/Mecze[[#This Row],[CZAS]])</f>
        <v>0</v>
      </c>
      <c r="R2731" s="32">
        <f>IF(Mecze[[#This Row],[BR]]=0,0,Mecze[[#This Row],[BR]]/Mecze[[#This Row],[CZAS]])</f>
        <v>0</v>
      </c>
      <c r="S2731" s="44">
        <f>IF(Mecze[[#This Row],[Role]]="BR",SUMPRODUCT(Mecze[[#This Row],[/PR:90]:[/BR:90]],Brudnopis!$E$23:$J$23),0)</f>
        <v>0</v>
      </c>
      <c r="T2731" s="44">
        <f>IF(Mecze[[#This Row],[Role]]&lt;&gt;"BR",SUMPRODUCT(Mecze[[#This Row],[/PR:90]:[/BR:90]],Brudnopis!$E$24:$J$24),0)</f>
        <v>8.8541666666666671E-2</v>
      </c>
      <c r="U2731" s="44">
        <f>IF(Mecze[[#This Row],[Role]]&lt;&gt;"BR",SUMPRODUCT(Mecze[[#This Row],[/PR:90]:[/BR:90]],Brudnopis!$E$25:$J$25),0)</f>
        <v>0.11458333333333334</v>
      </c>
      <c r="V2731" s="44">
        <f>IF(Mecze[[#This Row],[Role]]&lt;&gt;"BR",SUMPRODUCT(Mecze[[#This Row],[/PR:90]:[/BR:90]],Brudnopis!$E$26:$J$26),0)</f>
        <v>8.3333333333333343E-2</v>
      </c>
      <c r="W2731" s="44">
        <f>IF(Mecze[[#This Row],[Role]]&lt;&gt;"BR",SUMPRODUCT(Mecze[[#This Row],[/PR:90]:[/BR:90]],Brudnopis!$E$27:$J$27),0)</f>
        <v>0.11197916666666667</v>
      </c>
      <c r="X2731" s="44">
        <f>IF(Mecze[[#This Row],[Role]]&lt;&gt;"BR",SUMPRODUCT(Mecze[[#This Row],[/PR:90]:[/BR:90]],Brudnopis!$E$28:$J$28),0)</f>
        <v>8.3333333333333329E-2</v>
      </c>
      <c r="Y2731" s="35">
        <f>IF(Mecze[[#This Row],[Role]]="BR",Mecze[[#This Row],[/OB:90]]+Mecze[[#This Row],[/PC:90]],SUM(Mecze[[#This Row],[/PR:90]:[/BR:90]]))</f>
        <v>8.3333333333333343E-2</v>
      </c>
      <c r="Z2731" s="35">
        <f>IF(Mecze[[#This Row],[KC]]=0,SUM(Mecze[[#This Row],[/BRI]:[/NPI]]),SUM(Mecze[[#This Row],[/BRI]:[/NPI]])*0.6)</f>
        <v>0.48177083333333337</v>
      </c>
      <c r="AA2731" s="10">
        <f>IFERROR(Mecze[[#This Row],[BR]]/Mecze[[#This Row],[ST]],0)</f>
        <v>0</v>
      </c>
      <c r="AB2731">
        <f>ROUND(Mecze[[#This Row],[PD]]*Mecze[[#This Row],[%PC]],0)</f>
        <v>6</v>
      </c>
      <c r="AC2731">
        <f>ROUND(Mecze[[#This Row],[OD]]*Mecze[[#This Row],[%OU]],0)</f>
        <v>1</v>
      </c>
      <c r="AD2731" s="36" t="s">
        <v>46</v>
      </c>
      <c r="AE2731" s="36">
        <v>152</v>
      </c>
      <c r="AF2731" s="71">
        <v>4.26</v>
      </c>
      <c r="AG2731" s="37">
        <v>0</v>
      </c>
      <c r="AH2731" s="37">
        <v>0</v>
      </c>
      <c r="AI2731" s="37">
        <v>96</v>
      </c>
      <c r="AJ2731" s="37">
        <v>1</v>
      </c>
      <c r="AK2731" s="37" t="str">
        <f>VLOOKUP(Mecze[[#This Row],[Match ID]],Meczusie[Mecz]:Meczusie[RodzajMeczu],2,FALSE)</f>
        <v>Puchar</v>
      </c>
    </row>
    <row r="2732" spans="1:37" x14ac:dyDescent="0.25">
      <c r="A2732" s="76">
        <v>39</v>
      </c>
      <c r="B2732" s="3" t="s">
        <v>450</v>
      </c>
      <c r="C2732" s="2" t="s">
        <v>155</v>
      </c>
      <c r="D2732" s="1">
        <v>0</v>
      </c>
      <c r="E2732" s="1">
        <v>0</v>
      </c>
      <c r="F2732" s="1">
        <v>0</v>
      </c>
      <c r="G2732" s="1">
        <v>4</v>
      </c>
      <c r="H2732" s="4">
        <v>0.25</v>
      </c>
      <c r="I2732" s="1">
        <v>0</v>
      </c>
      <c r="J2732" s="4"/>
      <c r="K2732" s="1">
        <v>4</v>
      </c>
      <c r="L2732" s="1">
        <v>0</v>
      </c>
      <c r="M2732" s="32">
        <f>IF(Mecze[[#This Row],[PR]]=0,0,Mecze[[#This Row],[PR]]/Mecze[[#This Row],[CZAS]])</f>
        <v>0</v>
      </c>
      <c r="N2732" s="32">
        <f>IF(Mecze[[#This Row],[OU]]=0,0,Mecze[[#This Row],[OU]]/Mecze[[#This Row],[CZAS]])</f>
        <v>0</v>
      </c>
      <c r="O2732" s="32">
        <f>IF(Mecze[[#This Row],[PC]]=0,0,Mecze[[#This Row],[PC]]/Mecze[[#This Row],[CZAS]])</f>
        <v>1.0309278350515464E-2</v>
      </c>
      <c r="P2732" s="32">
        <f>IF(Mecze[[#This Row],[SC]]=0,0,Mecze[[#This Row],[SC]]/Mecze[[#This Row],[CZAS]])</f>
        <v>0</v>
      </c>
      <c r="Q2732" s="32">
        <f>IF(Mecze[[#This Row],[OB]]=0,0,Mecze[[#This Row],[OB]]/Mecze[[#This Row],[CZAS]])</f>
        <v>4.1237113402061855E-2</v>
      </c>
      <c r="R2732" s="32">
        <f>IF(Mecze[[#This Row],[BR]]=0,0,Mecze[[#This Row],[BR]]/Mecze[[#This Row],[CZAS]])</f>
        <v>0</v>
      </c>
      <c r="S2732" s="44">
        <f>IF(Mecze[[#This Row],[Role]]="BR",SUMPRODUCT(Mecze[[#This Row],[/PR:90]:[/BR:90]],Brudnopis!$E$23:$J$23),0)</f>
        <v>0.15463917525773196</v>
      </c>
      <c r="T2732" s="44">
        <f>IF(Mecze[[#This Row],[Role]]&lt;&gt;"BR",SUMPRODUCT(Mecze[[#This Row],[/PR:90]:[/BR:90]],Brudnopis!$E$24:$J$24),0)</f>
        <v>0</v>
      </c>
      <c r="U2732" s="44">
        <f>IF(Mecze[[#This Row],[Role]]&lt;&gt;"BR",SUMPRODUCT(Mecze[[#This Row],[/PR:90]:[/BR:90]],Brudnopis!$E$25:$J$25),0)</f>
        <v>0</v>
      </c>
      <c r="V2732" s="44">
        <f>IF(Mecze[[#This Row],[Role]]&lt;&gt;"BR",SUMPRODUCT(Mecze[[#This Row],[/PR:90]:[/BR:90]],Brudnopis!$E$26:$J$26),0)</f>
        <v>0</v>
      </c>
      <c r="W2732" s="44">
        <f>IF(Mecze[[#This Row],[Role]]&lt;&gt;"BR",SUMPRODUCT(Mecze[[#This Row],[/PR:90]:[/BR:90]],Brudnopis!$E$27:$J$27),0)</f>
        <v>0</v>
      </c>
      <c r="X2732" s="44">
        <f>IF(Mecze[[#This Row],[Role]]&lt;&gt;"BR",SUMPRODUCT(Mecze[[#This Row],[/PR:90]:[/BR:90]],Brudnopis!$E$28:$J$28),0)</f>
        <v>0</v>
      </c>
      <c r="Y2732" s="35">
        <f>IF(Mecze[[#This Row],[Role]]="BR",Mecze[[#This Row],[/OB:90]]+Mecze[[#This Row],[/PC:90]],SUM(Mecze[[#This Row],[/PR:90]:[/BR:90]]))</f>
        <v>5.1546391752577317E-2</v>
      </c>
      <c r="Z2732" s="35">
        <f>IF(Mecze[[#This Row],[KC]]=0,SUM(Mecze[[#This Row],[/BRI]:[/NPI]]),SUM(Mecze[[#This Row],[/BRI]:[/NPI]])*0.6)</f>
        <v>0.15463917525773196</v>
      </c>
      <c r="AA2732" s="10">
        <f>IFERROR(Mecze[[#This Row],[BR]]/Mecze[[#This Row],[ST]],0)</f>
        <v>0</v>
      </c>
      <c r="AB2732">
        <f>ROUND(Mecze[[#This Row],[PD]]*Mecze[[#This Row],[%PC]],0)</f>
        <v>1</v>
      </c>
      <c r="AC2732">
        <f>ROUND(Mecze[[#This Row],[OD]]*Mecze[[#This Row],[%OU]],0)</f>
        <v>0</v>
      </c>
      <c r="AD2732" s="36" t="s">
        <v>40</v>
      </c>
      <c r="AE2732" s="36">
        <v>153</v>
      </c>
      <c r="AF2732" s="71">
        <v>2.99</v>
      </c>
      <c r="AG2732" s="37">
        <v>0</v>
      </c>
      <c r="AH2732" s="37">
        <v>0</v>
      </c>
      <c r="AI2732" s="37">
        <v>97</v>
      </c>
      <c r="AJ2732" s="37">
        <v>1</v>
      </c>
      <c r="AK2732" s="37" t="str">
        <f>VLOOKUP(Mecze[[#This Row],[Match ID]],Meczusie[Mecz]:Meczusie[RodzajMeczu],2,FALSE)</f>
        <v>Towarzyski</v>
      </c>
    </row>
    <row r="2733" spans="1:37" x14ac:dyDescent="0.25">
      <c r="A2733" s="76">
        <v>38</v>
      </c>
      <c r="B2733" s="3" t="s">
        <v>359</v>
      </c>
      <c r="C2733" s="2" t="s">
        <v>157</v>
      </c>
      <c r="D2733" s="1">
        <v>0</v>
      </c>
      <c r="E2733" s="1">
        <v>0</v>
      </c>
      <c r="F2733" s="1">
        <v>0</v>
      </c>
      <c r="G2733" s="1">
        <v>8</v>
      </c>
      <c r="H2733" s="4">
        <v>1</v>
      </c>
      <c r="I2733" s="1">
        <v>2</v>
      </c>
      <c r="J2733" s="4">
        <v>1</v>
      </c>
      <c r="K2733" s="1">
        <v>0</v>
      </c>
      <c r="L2733" s="1">
        <v>4</v>
      </c>
      <c r="M2733" s="32">
        <f>IF(Mecze[[#This Row],[PR]]=0,0,Mecze[[#This Row],[PR]]/Mecze[[#This Row],[CZAS]])</f>
        <v>5.4794520547945202E-2</v>
      </c>
      <c r="N2733" s="32">
        <f>IF(Mecze[[#This Row],[OU]]=0,0,Mecze[[#This Row],[OU]]/Mecze[[#This Row],[CZAS]])</f>
        <v>2.7397260273972601E-2</v>
      </c>
      <c r="O2733" s="32">
        <f>IF(Mecze[[#This Row],[PC]]=0,0,Mecze[[#This Row],[PC]]/Mecze[[#This Row],[CZAS]])</f>
        <v>0.1095890410958904</v>
      </c>
      <c r="P2733" s="32">
        <f>IF(Mecze[[#This Row],[SC]]=0,0,Mecze[[#This Row],[SC]]/Mecze[[#This Row],[CZAS]])</f>
        <v>0</v>
      </c>
      <c r="Q2733" s="32">
        <f>IF(Mecze[[#This Row],[OB]]=0,0,Mecze[[#This Row],[OB]]/Mecze[[#This Row],[CZAS]])</f>
        <v>0</v>
      </c>
      <c r="R2733" s="32">
        <f>IF(Mecze[[#This Row],[BR]]=0,0,Mecze[[#This Row],[BR]]/Mecze[[#This Row],[CZAS]])</f>
        <v>0</v>
      </c>
      <c r="S2733" s="44">
        <f>IF(Mecze[[#This Row],[Role]]="BR",SUMPRODUCT(Mecze[[#This Row],[/PR:90]:[/BR:90]],Brudnopis!$E$23:$J$23),0)</f>
        <v>0</v>
      </c>
      <c r="T2733" s="44">
        <f>IF(Mecze[[#This Row],[Role]]&lt;&gt;"BR",SUMPRODUCT(Mecze[[#This Row],[/PR:90]:[/BR:90]],Brudnopis!$E$24:$J$24),0)</f>
        <v>0.20547945205479451</v>
      </c>
      <c r="U2733" s="44">
        <f>IF(Mecze[[#This Row],[Role]]&lt;&gt;"BR",SUMPRODUCT(Mecze[[#This Row],[/PR:90]:[/BR:90]],Brudnopis!$E$25:$J$25),0)</f>
        <v>0.24657534246575341</v>
      </c>
      <c r="V2733" s="44">
        <f>IF(Mecze[[#This Row],[Role]]&lt;&gt;"BR",SUMPRODUCT(Mecze[[#This Row],[/PR:90]:[/BR:90]],Brudnopis!$E$26:$J$26),0)</f>
        <v>0.19178082191780821</v>
      </c>
      <c r="W2733" s="44">
        <f>IF(Mecze[[#This Row],[Role]]&lt;&gt;"BR",SUMPRODUCT(Mecze[[#This Row],[/PR:90]:[/BR:90]],Brudnopis!$E$27:$J$27),0)</f>
        <v>0.22602739726027396</v>
      </c>
      <c r="X2733" s="44">
        <f>IF(Mecze[[#This Row],[Role]]&lt;&gt;"BR",SUMPRODUCT(Mecze[[#This Row],[/PR:90]:[/BR:90]],Brudnopis!$E$28:$J$28),0)</f>
        <v>0.1095890410958904</v>
      </c>
      <c r="Y2733" s="35">
        <f>IF(Mecze[[#This Row],[Role]]="BR",Mecze[[#This Row],[/OB:90]]+Mecze[[#This Row],[/PC:90]],SUM(Mecze[[#This Row],[/PR:90]:[/BR:90]]))</f>
        <v>0.19178082191780821</v>
      </c>
      <c r="Z2733" s="35">
        <f>IF(Mecze[[#This Row],[KC]]=0,SUM(Mecze[[#This Row],[/BRI]:[/NPI]]),SUM(Mecze[[#This Row],[/BRI]:[/NPI]])*0.6)</f>
        <v>0.5876712328767123</v>
      </c>
      <c r="AA2733" s="10">
        <f>IFERROR(Mecze[[#This Row],[BR]]/Mecze[[#This Row],[ST]],0)</f>
        <v>0</v>
      </c>
      <c r="AB2733">
        <f>ROUND(Mecze[[#This Row],[PD]]*Mecze[[#This Row],[%PC]],0)</f>
        <v>8</v>
      </c>
      <c r="AC2733">
        <f>ROUND(Mecze[[#This Row],[OD]]*Mecze[[#This Row],[%OU]],0)</f>
        <v>2</v>
      </c>
      <c r="AD2733" s="36" t="s">
        <v>47</v>
      </c>
      <c r="AE2733" s="36">
        <v>153</v>
      </c>
      <c r="AF2733" s="71">
        <v>0.22</v>
      </c>
      <c r="AG2733" s="37">
        <v>0</v>
      </c>
      <c r="AH2733" s="37">
        <v>1</v>
      </c>
      <c r="AI2733" s="37">
        <v>73</v>
      </c>
      <c r="AJ2733" s="37">
        <v>1</v>
      </c>
      <c r="AK2733" s="37" t="str">
        <f>VLOOKUP(Mecze[[#This Row],[Match ID]],Meczusie[Mecz]:Meczusie[RodzajMeczu],2,FALSE)</f>
        <v>Towarzyski</v>
      </c>
    </row>
    <row r="2734" spans="1:37" x14ac:dyDescent="0.25">
      <c r="A2734" s="76">
        <v>17</v>
      </c>
      <c r="B2734" s="3" t="s">
        <v>413</v>
      </c>
      <c r="C2734" s="2" t="s">
        <v>157</v>
      </c>
      <c r="D2734" s="1">
        <v>0</v>
      </c>
      <c r="E2734" s="1">
        <v>0</v>
      </c>
      <c r="F2734" s="1">
        <v>0</v>
      </c>
      <c r="G2734" s="1">
        <v>9</v>
      </c>
      <c r="H2734" s="4">
        <v>0.67</v>
      </c>
      <c r="I2734" s="1">
        <v>7</v>
      </c>
      <c r="J2734" s="4">
        <v>0.71</v>
      </c>
      <c r="K2734" s="1">
        <v>0</v>
      </c>
      <c r="L2734" s="1">
        <v>8</v>
      </c>
      <c r="M2734" s="32">
        <f>IF(Mecze[[#This Row],[PR]]=0,0,Mecze[[#This Row],[PR]]/Mecze[[#This Row],[CZAS]])</f>
        <v>8.247422680412371E-2</v>
      </c>
      <c r="N2734" s="32">
        <f>IF(Mecze[[#This Row],[OU]]=0,0,Mecze[[#This Row],[OU]]/Mecze[[#This Row],[CZAS]])</f>
        <v>5.1546391752577317E-2</v>
      </c>
      <c r="O2734" s="32">
        <f>IF(Mecze[[#This Row],[PC]]=0,0,Mecze[[#This Row],[PC]]/Mecze[[#This Row],[CZAS]])</f>
        <v>6.1855670103092786E-2</v>
      </c>
      <c r="P2734" s="32">
        <f>IF(Mecze[[#This Row],[SC]]=0,0,Mecze[[#This Row],[SC]]/Mecze[[#This Row],[CZAS]])</f>
        <v>0</v>
      </c>
      <c r="Q2734" s="32">
        <f>IF(Mecze[[#This Row],[OB]]=0,0,Mecze[[#This Row],[OB]]/Mecze[[#This Row],[CZAS]])</f>
        <v>0</v>
      </c>
      <c r="R2734" s="32">
        <f>IF(Mecze[[#This Row],[BR]]=0,0,Mecze[[#This Row],[BR]]/Mecze[[#This Row],[CZAS]])</f>
        <v>0</v>
      </c>
      <c r="S2734" s="44">
        <f>IF(Mecze[[#This Row],[Role]]="BR",SUMPRODUCT(Mecze[[#This Row],[/PR:90]:[/BR:90]],Brudnopis!$E$23:$J$23),0)</f>
        <v>0</v>
      </c>
      <c r="T2734" s="44">
        <f>IF(Mecze[[#This Row],[Role]]&lt;&gt;"BR",SUMPRODUCT(Mecze[[#This Row],[/PR:90]:[/BR:90]],Brudnopis!$E$24:$J$24),0)</f>
        <v>0.22164948453608246</v>
      </c>
      <c r="U2734" s="44">
        <f>IF(Mecze[[#This Row],[Role]]&lt;&gt;"BR",SUMPRODUCT(Mecze[[#This Row],[/PR:90]:[/BR:90]],Brudnopis!$E$25:$J$25),0)</f>
        <v>0.22680412371134021</v>
      </c>
      <c r="V2734" s="44">
        <f>IF(Mecze[[#This Row],[Role]]&lt;&gt;"BR",SUMPRODUCT(Mecze[[#This Row],[/PR:90]:[/BR:90]],Brudnopis!$E$26:$J$26),0)</f>
        <v>0.19587628865979381</v>
      </c>
      <c r="W2734" s="44">
        <f>IF(Mecze[[#This Row],[Role]]&lt;&gt;"BR",SUMPRODUCT(Mecze[[#This Row],[/PR:90]:[/BR:90]],Brudnopis!$E$27:$J$27),0)</f>
        <v>0.19329896907216496</v>
      </c>
      <c r="X2734" s="44">
        <f>IF(Mecze[[#This Row],[Role]]&lt;&gt;"BR",SUMPRODUCT(Mecze[[#This Row],[/PR:90]:[/BR:90]],Brudnopis!$E$28:$J$28),0)</f>
        <v>6.1855670103092786E-2</v>
      </c>
      <c r="Y2734" s="35">
        <f>IF(Mecze[[#This Row],[Role]]="BR",Mecze[[#This Row],[/OB:90]]+Mecze[[#This Row],[/PC:90]],SUM(Mecze[[#This Row],[/PR:90]:[/BR:90]]))</f>
        <v>0.19587628865979381</v>
      </c>
      <c r="Z2734" s="35">
        <f>IF(Mecze[[#This Row],[KC]]=0,SUM(Mecze[[#This Row],[/BRI]:[/NPI]]),SUM(Mecze[[#This Row],[/BRI]:[/NPI]])*0.6)</f>
        <v>0.89948453608247414</v>
      </c>
      <c r="AA2734" s="10">
        <f>IFERROR(Mecze[[#This Row],[BR]]/Mecze[[#This Row],[ST]],0)</f>
        <v>0</v>
      </c>
      <c r="AB2734">
        <f>ROUND(Mecze[[#This Row],[PD]]*Mecze[[#This Row],[%PC]],0)</f>
        <v>6</v>
      </c>
      <c r="AC2734">
        <f>ROUND(Mecze[[#This Row],[OD]]*Mecze[[#This Row],[%OU]],0)</f>
        <v>5</v>
      </c>
      <c r="AD2734" s="36" t="s">
        <v>167</v>
      </c>
      <c r="AE2734" s="36">
        <v>153</v>
      </c>
      <c r="AF2734" s="71">
        <v>4.3899999999999997</v>
      </c>
      <c r="AG2734" s="37">
        <v>0</v>
      </c>
      <c r="AH2734" s="37">
        <v>0</v>
      </c>
      <c r="AI2734" s="37">
        <v>97</v>
      </c>
      <c r="AJ2734" s="37">
        <v>1</v>
      </c>
      <c r="AK2734" s="37" t="str">
        <f>VLOOKUP(Mecze[[#This Row],[Match ID]],Meczusie[Mecz]:Meczusie[RodzajMeczu],2,FALSE)</f>
        <v>Towarzyski</v>
      </c>
    </row>
    <row r="2735" spans="1:37" x14ac:dyDescent="0.25">
      <c r="A2735" s="76">
        <v>50</v>
      </c>
      <c r="B2735" s="3" t="s">
        <v>496</v>
      </c>
      <c r="C2735" s="2" t="s">
        <v>157</v>
      </c>
      <c r="D2735" s="1">
        <v>0</v>
      </c>
      <c r="E2735" s="1">
        <v>0</v>
      </c>
      <c r="F2735" s="1">
        <v>0</v>
      </c>
      <c r="G2735" s="1">
        <v>1</v>
      </c>
      <c r="H2735" s="4">
        <v>0</v>
      </c>
      <c r="I2735" s="1">
        <v>0</v>
      </c>
      <c r="J2735" s="4"/>
      <c r="K2735" s="1">
        <v>0</v>
      </c>
      <c r="L2735" s="1">
        <v>2</v>
      </c>
      <c r="M2735" s="32">
        <f>IF(Mecze[[#This Row],[PR]]=0,0,Mecze[[#This Row],[PR]]/Mecze[[#This Row],[CZAS]])</f>
        <v>2.0618556701030927E-2</v>
      </c>
      <c r="N2735" s="32">
        <f>IF(Mecze[[#This Row],[OU]]=0,0,Mecze[[#This Row],[OU]]/Mecze[[#This Row],[CZAS]])</f>
        <v>0</v>
      </c>
      <c r="O2735" s="32">
        <f>IF(Mecze[[#This Row],[PC]]=0,0,Mecze[[#This Row],[PC]]/Mecze[[#This Row],[CZAS]])</f>
        <v>0</v>
      </c>
      <c r="P2735" s="32">
        <f>IF(Mecze[[#This Row],[SC]]=0,0,Mecze[[#This Row],[SC]]/Mecze[[#This Row],[CZAS]])</f>
        <v>0</v>
      </c>
      <c r="Q2735" s="32">
        <f>IF(Mecze[[#This Row],[OB]]=0,0,Mecze[[#This Row],[OB]]/Mecze[[#This Row],[CZAS]])</f>
        <v>0</v>
      </c>
      <c r="R2735" s="32">
        <f>IF(Mecze[[#This Row],[BR]]=0,0,Mecze[[#This Row],[BR]]/Mecze[[#This Row],[CZAS]])</f>
        <v>0</v>
      </c>
      <c r="S2735" s="44">
        <f>IF(Mecze[[#This Row],[Role]]="BR",SUMPRODUCT(Mecze[[#This Row],[/PR:90]:[/BR:90]],Brudnopis!$E$23:$J$23),0)</f>
        <v>0</v>
      </c>
      <c r="T2735" s="44">
        <f>IF(Mecze[[#This Row],[Role]]&lt;&gt;"BR",SUMPRODUCT(Mecze[[#This Row],[/PR:90]:[/BR:90]],Brudnopis!$E$24:$J$24),0)</f>
        <v>2.0618556701030927E-2</v>
      </c>
      <c r="U2735" s="44">
        <f>IF(Mecze[[#This Row],[Role]]&lt;&gt;"BR",SUMPRODUCT(Mecze[[#This Row],[/PR:90]:[/BR:90]],Brudnopis!$E$25:$J$25),0)</f>
        <v>2.0618556701030927E-2</v>
      </c>
      <c r="V2735" s="44">
        <f>IF(Mecze[[#This Row],[Role]]&lt;&gt;"BR",SUMPRODUCT(Mecze[[#This Row],[/PR:90]:[/BR:90]],Brudnopis!$E$26:$J$26),0)</f>
        <v>2.0618556701030927E-2</v>
      </c>
      <c r="W2735" s="44">
        <f>IF(Mecze[[#This Row],[Role]]&lt;&gt;"BR",SUMPRODUCT(Mecze[[#This Row],[/PR:90]:[/BR:90]],Brudnopis!$E$27:$J$27),0)</f>
        <v>1.5463917525773196E-2</v>
      </c>
      <c r="X2735" s="44">
        <f>IF(Mecze[[#This Row],[Role]]&lt;&gt;"BR",SUMPRODUCT(Mecze[[#This Row],[/PR:90]:[/BR:90]],Brudnopis!$E$28:$J$28),0)</f>
        <v>0</v>
      </c>
      <c r="Y2735" s="35">
        <f>IF(Mecze[[#This Row],[Role]]="BR",Mecze[[#This Row],[/OB:90]]+Mecze[[#This Row],[/PC:90]],SUM(Mecze[[#This Row],[/PR:90]:[/BR:90]]))</f>
        <v>2.0618556701030927E-2</v>
      </c>
      <c r="Z2735" s="35">
        <f>IF(Mecze[[#This Row],[KC]]=0,SUM(Mecze[[#This Row],[/BRI]:[/NPI]]),SUM(Mecze[[#This Row],[/BRI]:[/NPI]])*0.6)</f>
        <v>7.7319587628865982E-2</v>
      </c>
      <c r="AA2735" s="10">
        <f>IFERROR(Mecze[[#This Row],[BR]]/Mecze[[#This Row],[ST]],0)</f>
        <v>0</v>
      </c>
      <c r="AB2735">
        <f>ROUND(Mecze[[#This Row],[PD]]*Mecze[[#This Row],[%PC]],0)</f>
        <v>0</v>
      </c>
      <c r="AC2735">
        <f>ROUND(Mecze[[#This Row],[OD]]*Mecze[[#This Row],[%OU]],0)</f>
        <v>0</v>
      </c>
      <c r="AD2735" s="36" t="s">
        <v>168</v>
      </c>
      <c r="AE2735" s="36">
        <v>153</v>
      </c>
      <c r="AF2735" s="71">
        <v>2.0099999999999998</v>
      </c>
      <c r="AG2735" s="37">
        <v>0</v>
      </c>
      <c r="AH2735" s="37">
        <v>0</v>
      </c>
      <c r="AI2735" s="37">
        <v>97</v>
      </c>
      <c r="AJ2735" s="37">
        <v>1</v>
      </c>
      <c r="AK2735" s="37" t="str">
        <f>VLOOKUP(Mecze[[#This Row],[Match ID]],Meczusie[Mecz]:Meczusie[RodzajMeczu],2,FALSE)</f>
        <v>Towarzyski</v>
      </c>
    </row>
    <row r="2736" spans="1:37" x14ac:dyDescent="0.25">
      <c r="A2736" s="76">
        <v>52</v>
      </c>
      <c r="B2736" s="3" t="s">
        <v>408</v>
      </c>
      <c r="C2736" s="2" t="s">
        <v>160</v>
      </c>
      <c r="D2736" s="1">
        <v>0</v>
      </c>
      <c r="E2736" s="1">
        <v>0</v>
      </c>
      <c r="F2736" s="1">
        <v>0</v>
      </c>
      <c r="G2736" s="1">
        <v>12</v>
      </c>
      <c r="H2736" s="4">
        <v>0.5</v>
      </c>
      <c r="I2736" s="1">
        <v>3</v>
      </c>
      <c r="J2736" s="4">
        <v>0.33</v>
      </c>
      <c r="K2736" s="1">
        <v>0</v>
      </c>
      <c r="L2736" s="1">
        <v>4</v>
      </c>
      <c r="M2736" s="32">
        <f>IF(Mecze[[#This Row],[PR]]=0,0,Mecze[[#This Row],[PR]]/Mecze[[#This Row],[CZAS]])</f>
        <v>4.1237113402061855E-2</v>
      </c>
      <c r="N2736" s="32">
        <f>IF(Mecze[[#This Row],[OU]]=0,0,Mecze[[#This Row],[OU]]/Mecze[[#This Row],[CZAS]])</f>
        <v>1.0309278350515464E-2</v>
      </c>
      <c r="O2736" s="32">
        <f>IF(Mecze[[#This Row],[PC]]=0,0,Mecze[[#This Row],[PC]]/Mecze[[#This Row],[CZAS]])</f>
        <v>6.1855670103092786E-2</v>
      </c>
      <c r="P2736" s="32">
        <f>IF(Mecze[[#This Row],[SC]]=0,0,Mecze[[#This Row],[SC]]/Mecze[[#This Row],[CZAS]])</f>
        <v>0</v>
      </c>
      <c r="Q2736" s="32">
        <f>IF(Mecze[[#This Row],[OB]]=0,0,Mecze[[#This Row],[OB]]/Mecze[[#This Row],[CZAS]])</f>
        <v>0</v>
      </c>
      <c r="R2736" s="32">
        <f>IF(Mecze[[#This Row],[BR]]=0,0,Mecze[[#This Row],[BR]]/Mecze[[#This Row],[CZAS]])</f>
        <v>0</v>
      </c>
      <c r="S2736" s="44">
        <f>IF(Mecze[[#This Row],[Role]]="BR",SUMPRODUCT(Mecze[[#This Row],[/PR:90]:[/BR:90]],Brudnopis!$E$23:$J$23),0)</f>
        <v>0</v>
      </c>
      <c r="T2736" s="44">
        <f>IF(Mecze[[#This Row],[Role]]&lt;&gt;"BR",SUMPRODUCT(Mecze[[#This Row],[/PR:90]:[/BR:90]],Brudnopis!$E$24:$J$24),0)</f>
        <v>0.11855670103092783</v>
      </c>
      <c r="U2736" s="44">
        <f>IF(Mecze[[#This Row],[Role]]&lt;&gt;"BR",SUMPRODUCT(Mecze[[#This Row],[/PR:90]:[/BR:90]],Brudnopis!$E$25:$J$25),0)</f>
        <v>0.14432989690721648</v>
      </c>
      <c r="V2736" s="44">
        <f>IF(Mecze[[#This Row],[Role]]&lt;&gt;"BR",SUMPRODUCT(Mecze[[#This Row],[/PR:90]:[/BR:90]],Brudnopis!$E$26:$J$26),0)</f>
        <v>0.1134020618556701</v>
      </c>
      <c r="W2736" s="44">
        <f>IF(Mecze[[#This Row],[Role]]&lt;&gt;"BR",SUMPRODUCT(Mecze[[#This Row],[/PR:90]:[/BR:90]],Brudnopis!$E$27:$J$27),0)</f>
        <v>0.13144329896907217</v>
      </c>
      <c r="X2736" s="44">
        <f>IF(Mecze[[#This Row],[Role]]&lt;&gt;"BR",SUMPRODUCT(Mecze[[#This Row],[/PR:90]:[/BR:90]],Brudnopis!$E$28:$J$28),0)</f>
        <v>6.1855670103092786E-2</v>
      </c>
      <c r="Y2736" s="35">
        <f>IF(Mecze[[#This Row],[Role]]="BR",Mecze[[#This Row],[/OB:90]]+Mecze[[#This Row],[/PC:90]],SUM(Mecze[[#This Row],[/PR:90]:[/BR:90]]))</f>
        <v>0.1134020618556701</v>
      </c>
      <c r="Z2736" s="35">
        <f>IF(Mecze[[#This Row],[KC]]=0,SUM(Mecze[[#This Row],[/BRI]:[/NPI]]),SUM(Mecze[[#This Row],[/BRI]:[/NPI]])*0.6)</f>
        <v>0.56958762886597936</v>
      </c>
      <c r="AA2736" s="10">
        <f>IFERROR(Mecze[[#This Row],[BR]]/Mecze[[#This Row],[ST]],0)</f>
        <v>0</v>
      </c>
      <c r="AB2736">
        <f>ROUND(Mecze[[#This Row],[PD]]*Mecze[[#This Row],[%PC]],0)</f>
        <v>6</v>
      </c>
      <c r="AC2736">
        <f>ROUND(Mecze[[#This Row],[OD]]*Mecze[[#This Row],[%OU]],0)</f>
        <v>1</v>
      </c>
      <c r="AD2736" s="36" t="s">
        <v>41</v>
      </c>
      <c r="AE2736" s="36">
        <v>153</v>
      </c>
      <c r="AF2736" s="71">
        <v>4.75</v>
      </c>
      <c r="AG2736" s="37">
        <v>0</v>
      </c>
      <c r="AH2736" s="37">
        <v>0</v>
      </c>
      <c r="AI2736" s="37">
        <v>97</v>
      </c>
      <c r="AJ2736" s="37">
        <v>1</v>
      </c>
      <c r="AK2736" s="37" t="str">
        <f>VLOOKUP(Mecze[[#This Row],[Match ID]],Meczusie[Mecz]:Meczusie[RodzajMeczu],2,FALSE)</f>
        <v>Towarzyski</v>
      </c>
    </row>
    <row r="2737" spans="1:37" x14ac:dyDescent="0.25">
      <c r="A2737" s="76">
        <v>40</v>
      </c>
      <c r="B2737" s="3" t="s">
        <v>453</v>
      </c>
      <c r="C2737" s="2" t="s">
        <v>160</v>
      </c>
      <c r="D2737" s="1">
        <v>0</v>
      </c>
      <c r="E2737" s="1">
        <v>0</v>
      </c>
      <c r="F2737" s="1">
        <v>0</v>
      </c>
      <c r="G2737" s="1">
        <v>16</v>
      </c>
      <c r="H2737" s="4">
        <v>0.44</v>
      </c>
      <c r="I2737" s="1">
        <v>5</v>
      </c>
      <c r="J2737" s="4">
        <v>0.4</v>
      </c>
      <c r="K2737" s="1">
        <v>0</v>
      </c>
      <c r="L2737" s="1">
        <v>11</v>
      </c>
      <c r="M2737" s="32">
        <f>IF(Mecze[[#This Row],[PR]]=0,0,Mecze[[#This Row],[PR]]/Mecze[[#This Row],[CZAS]])</f>
        <v>0.1134020618556701</v>
      </c>
      <c r="N2737" s="32">
        <f>IF(Mecze[[#This Row],[OU]]=0,0,Mecze[[#This Row],[OU]]/Mecze[[#This Row],[CZAS]])</f>
        <v>2.0618556701030927E-2</v>
      </c>
      <c r="O2737" s="32">
        <f>IF(Mecze[[#This Row],[PC]]=0,0,Mecze[[#This Row],[PC]]/Mecze[[#This Row],[CZAS]])</f>
        <v>7.2164948453608241E-2</v>
      </c>
      <c r="P2737" s="32">
        <f>IF(Mecze[[#This Row],[SC]]=0,0,Mecze[[#This Row],[SC]]/Mecze[[#This Row],[CZAS]])</f>
        <v>0</v>
      </c>
      <c r="Q2737" s="32">
        <f>IF(Mecze[[#This Row],[OB]]=0,0,Mecze[[#This Row],[OB]]/Mecze[[#This Row],[CZAS]])</f>
        <v>0</v>
      </c>
      <c r="R2737" s="32">
        <f>IF(Mecze[[#This Row],[BR]]=0,0,Mecze[[#This Row],[BR]]/Mecze[[#This Row],[CZAS]])</f>
        <v>0</v>
      </c>
      <c r="S2737" s="44">
        <f>IF(Mecze[[#This Row],[Role]]="BR",SUMPRODUCT(Mecze[[#This Row],[/PR:90]:[/BR:90]],Brudnopis!$E$23:$J$23),0)</f>
        <v>0</v>
      </c>
      <c r="T2737" s="44">
        <f>IF(Mecze[[#This Row],[Role]]&lt;&gt;"BR",SUMPRODUCT(Mecze[[#This Row],[/PR:90]:[/BR:90]],Brudnopis!$E$24:$J$24),0)</f>
        <v>0.21649484536082472</v>
      </c>
      <c r="U2737" s="44">
        <f>IF(Mecze[[#This Row],[Role]]&lt;&gt;"BR",SUMPRODUCT(Mecze[[#This Row],[/PR:90]:[/BR:90]],Brudnopis!$E$25:$J$25),0)</f>
        <v>0.24226804123711337</v>
      </c>
      <c r="V2737" s="44">
        <f>IF(Mecze[[#This Row],[Role]]&lt;&gt;"BR",SUMPRODUCT(Mecze[[#This Row],[/PR:90]:[/BR:90]],Brudnopis!$E$26:$J$26),0)</f>
        <v>0.20618556701030927</v>
      </c>
      <c r="W2737" s="44">
        <f>IF(Mecze[[#This Row],[Role]]&lt;&gt;"BR",SUMPRODUCT(Mecze[[#This Row],[/PR:90]:[/BR:90]],Brudnopis!$E$27:$J$27),0)</f>
        <v>0.20876288659793812</v>
      </c>
      <c r="X2737" s="44">
        <f>IF(Mecze[[#This Row],[Role]]&lt;&gt;"BR",SUMPRODUCT(Mecze[[#This Row],[/PR:90]:[/BR:90]],Brudnopis!$E$28:$J$28),0)</f>
        <v>7.2164948453608241E-2</v>
      </c>
      <c r="Y2737" s="35">
        <f>IF(Mecze[[#This Row],[Role]]="BR",Mecze[[#This Row],[/OB:90]]+Mecze[[#This Row],[/PC:90]],SUM(Mecze[[#This Row],[/PR:90]:[/BR:90]]))</f>
        <v>0.20618556701030927</v>
      </c>
      <c r="Z2737" s="35">
        <f>IF(Mecze[[#This Row],[KC]]=0,SUM(Mecze[[#This Row],[/BRI]:[/NPI]]),SUM(Mecze[[#This Row],[/BRI]:[/NPI]])*0.6)</f>
        <v>0.94587628865979356</v>
      </c>
      <c r="AA2737" s="10">
        <f>IFERROR(Mecze[[#This Row],[BR]]/Mecze[[#This Row],[ST]],0)</f>
        <v>0</v>
      </c>
      <c r="AB2737">
        <f>ROUND(Mecze[[#This Row],[PD]]*Mecze[[#This Row],[%PC]],0)</f>
        <v>7</v>
      </c>
      <c r="AC2737">
        <f>ROUND(Mecze[[#This Row],[OD]]*Mecze[[#This Row],[%OU]],0)</f>
        <v>2</v>
      </c>
      <c r="AD2737" s="36" t="s">
        <v>41</v>
      </c>
      <c r="AE2737" s="36">
        <v>153</v>
      </c>
      <c r="AF2737" s="71">
        <v>5.01</v>
      </c>
      <c r="AG2737" s="37">
        <v>0</v>
      </c>
      <c r="AH2737" s="37">
        <v>0</v>
      </c>
      <c r="AI2737" s="37">
        <v>97</v>
      </c>
      <c r="AJ2737" s="37">
        <v>1</v>
      </c>
      <c r="AK2737" s="37" t="str">
        <f>VLOOKUP(Mecze[[#This Row],[Match ID]],Meczusie[Mecz]:Meczusie[RodzajMeczu],2,FALSE)</f>
        <v>Towarzyski</v>
      </c>
    </row>
    <row r="2738" spans="1:37" x14ac:dyDescent="0.25">
      <c r="A2738" s="76">
        <v>25</v>
      </c>
      <c r="B2738" s="3" t="s">
        <v>366</v>
      </c>
      <c r="C2738" s="2" t="s">
        <v>160</v>
      </c>
      <c r="D2738" s="1">
        <v>0</v>
      </c>
      <c r="E2738" s="1">
        <v>0</v>
      </c>
      <c r="F2738" s="1">
        <v>0</v>
      </c>
      <c r="G2738" s="1">
        <v>9</v>
      </c>
      <c r="H2738" s="4">
        <v>1</v>
      </c>
      <c r="I2738" s="1">
        <v>5</v>
      </c>
      <c r="J2738" s="4">
        <v>0.2</v>
      </c>
      <c r="K2738" s="1">
        <v>0</v>
      </c>
      <c r="L2738" s="1">
        <v>4</v>
      </c>
      <c r="M2738" s="32">
        <f>IF(Mecze[[#This Row],[PR]]=0,0,Mecze[[#This Row],[PR]]/Mecze[[#This Row],[CZAS]])</f>
        <v>4.1237113402061855E-2</v>
      </c>
      <c r="N2738" s="32">
        <f>IF(Mecze[[#This Row],[OU]]=0,0,Mecze[[#This Row],[OU]]/Mecze[[#This Row],[CZAS]])</f>
        <v>1.0309278350515464E-2</v>
      </c>
      <c r="O2738" s="32">
        <f>IF(Mecze[[#This Row],[PC]]=0,0,Mecze[[#This Row],[PC]]/Mecze[[#This Row],[CZAS]])</f>
        <v>9.2783505154639179E-2</v>
      </c>
      <c r="P2738" s="32">
        <f>IF(Mecze[[#This Row],[SC]]=0,0,Mecze[[#This Row],[SC]]/Mecze[[#This Row],[CZAS]])</f>
        <v>0</v>
      </c>
      <c r="Q2738" s="32">
        <f>IF(Mecze[[#This Row],[OB]]=0,0,Mecze[[#This Row],[OB]]/Mecze[[#This Row],[CZAS]])</f>
        <v>0</v>
      </c>
      <c r="R2738" s="32">
        <f>IF(Mecze[[#This Row],[BR]]=0,0,Mecze[[#This Row],[BR]]/Mecze[[#This Row],[CZAS]])</f>
        <v>0</v>
      </c>
      <c r="S2738" s="44">
        <f>IF(Mecze[[#This Row],[Role]]="BR",SUMPRODUCT(Mecze[[#This Row],[/PR:90]:[/BR:90]],Brudnopis!$E$23:$J$23),0)</f>
        <v>0</v>
      </c>
      <c r="T2738" s="44">
        <f>IF(Mecze[[#This Row],[Role]]&lt;&gt;"BR",SUMPRODUCT(Mecze[[#This Row],[/PR:90]:[/BR:90]],Brudnopis!$E$24:$J$24),0)</f>
        <v>0.14948453608247422</v>
      </c>
      <c r="U2738" s="44">
        <f>IF(Mecze[[#This Row],[Role]]&lt;&gt;"BR",SUMPRODUCT(Mecze[[#This Row],[/PR:90]:[/BR:90]],Brudnopis!$E$25:$J$25),0)</f>
        <v>0.19072164948453607</v>
      </c>
      <c r="V2738" s="44">
        <f>IF(Mecze[[#This Row],[Role]]&lt;&gt;"BR",SUMPRODUCT(Mecze[[#This Row],[/PR:90]:[/BR:90]],Brudnopis!$E$26:$J$26),0)</f>
        <v>0.14432989690721648</v>
      </c>
      <c r="W2738" s="44">
        <f>IF(Mecze[[#This Row],[Role]]&lt;&gt;"BR",SUMPRODUCT(Mecze[[#This Row],[/PR:90]:[/BR:90]],Brudnopis!$E$27:$J$27),0)</f>
        <v>0.17783505154639176</v>
      </c>
      <c r="X2738" s="44">
        <f>IF(Mecze[[#This Row],[Role]]&lt;&gt;"BR",SUMPRODUCT(Mecze[[#This Row],[/PR:90]:[/BR:90]],Brudnopis!$E$28:$J$28),0)</f>
        <v>9.2783505154639179E-2</v>
      </c>
      <c r="Y2738" s="35">
        <f>IF(Mecze[[#This Row],[Role]]="BR",Mecze[[#This Row],[/OB:90]]+Mecze[[#This Row],[/PC:90]],SUM(Mecze[[#This Row],[/PR:90]:[/BR:90]]))</f>
        <v>0.14432989690721648</v>
      </c>
      <c r="Z2738" s="35">
        <f>IF(Mecze[[#This Row],[KC]]=0,SUM(Mecze[[#This Row],[/BRI]:[/NPI]]),SUM(Mecze[[#This Row],[/BRI]:[/NPI]])*0.6)</f>
        <v>0.75515463917525771</v>
      </c>
      <c r="AA2738" s="10">
        <f>IFERROR(Mecze[[#This Row],[BR]]/Mecze[[#This Row],[ST]],0)</f>
        <v>0</v>
      </c>
      <c r="AB2738">
        <f>ROUND(Mecze[[#This Row],[PD]]*Mecze[[#This Row],[%PC]],0)</f>
        <v>9</v>
      </c>
      <c r="AC2738">
        <f>ROUND(Mecze[[#This Row],[OD]]*Mecze[[#This Row],[%OU]],0)</f>
        <v>1</v>
      </c>
      <c r="AD2738" s="36" t="s">
        <v>44</v>
      </c>
      <c r="AE2738" s="36">
        <v>153</v>
      </c>
      <c r="AF2738" s="71">
        <v>6.87</v>
      </c>
      <c r="AG2738" s="37">
        <v>0</v>
      </c>
      <c r="AH2738" s="37">
        <v>0</v>
      </c>
      <c r="AI2738" s="37">
        <v>97</v>
      </c>
      <c r="AJ2738" s="37">
        <v>1</v>
      </c>
      <c r="AK2738" s="37" t="str">
        <f>VLOOKUP(Mecze[[#This Row],[Match ID]],Meczusie[Mecz]:Meczusie[RodzajMeczu],2,FALSE)</f>
        <v>Towarzyski</v>
      </c>
    </row>
    <row r="2739" spans="1:37" x14ac:dyDescent="0.25">
      <c r="A2739" s="76">
        <v>45</v>
      </c>
      <c r="B2739" s="3" t="s">
        <v>394</v>
      </c>
      <c r="C2739" s="2" t="s">
        <v>160</v>
      </c>
      <c r="D2739" s="1">
        <v>0</v>
      </c>
      <c r="E2739" s="1">
        <v>1</v>
      </c>
      <c r="F2739" s="1">
        <v>0</v>
      </c>
      <c r="G2739" s="1">
        <v>7</v>
      </c>
      <c r="H2739" s="4">
        <v>0.43</v>
      </c>
      <c r="I2739" s="1">
        <v>3</v>
      </c>
      <c r="J2739" s="4">
        <v>0.33</v>
      </c>
      <c r="K2739" s="1">
        <v>0</v>
      </c>
      <c r="L2739" s="1">
        <v>4</v>
      </c>
      <c r="M2739" s="32">
        <f>IF(Mecze[[#This Row],[PR]]=0,0,Mecze[[#This Row],[PR]]/Mecze[[#This Row],[CZAS]])</f>
        <v>4.1237113402061855E-2</v>
      </c>
      <c r="N2739" s="32">
        <f>IF(Mecze[[#This Row],[OU]]=0,0,Mecze[[#This Row],[OU]]/Mecze[[#This Row],[CZAS]])</f>
        <v>1.0309278350515464E-2</v>
      </c>
      <c r="O2739" s="32">
        <f>IF(Mecze[[#This Row],[PC]]=0,0,Mecze[[#This Row],[PC]]/Mecze[[#This Row],[CZAS]])</f>
        <v>3.0927835051546393E-2</v>
      </c>
      <c r="P2739" s="32">
        <f>IF(Mecze[[#This Row],[SC]]=0,0,Mecze[[#This Row],[SC]]/Mecze[[#This Row],[CZAS]])</f>
        <v>0</v>
      </c>
      <c r="Q2739" s="32">
        <f>IF(Mecze[[#This Row],[OB]]=0,0,Mecze[[#This Row],[OB]]/Mecze[[#This Row],[CZAS]])</f>
        <v>0</v>
      </c>
      <c r="R2739" s="32">
        <f>IF(Mecze[[#This Row],[BR]]=0,0,Mecze[[#This Row],[BR]]/Mecze[[#This Row],[CZAS]])</f>
        <v>0</v>
      </c>
      <c r="S2739" s="44">
        <f>IF(Mecze[[#This Row],[Role]]="BR",SUMPRODUCT(Mecze[[#This Row],[/PR:90]:[/BR:90]],Brudnopis!$E$23:$J$23),0)</f>
        <v>0</v>
      </c>
      <c r="T2739" s="44">
        <f>IF(Mecze[[#This Row],[Role]]&lt;&gt;"BR",SUMPRODUCT(Mecze[[#This Row],[/PR:90]:[/BR:90]],Brudnopis!$E$24:$J$24),0)</f>
        <v>8.7628865979381437E-2</v>
      </c>
      <c r="U2739" s="44">
        <f>IF(Mecze[[#This Row],[Role]]&lt;&gt;"BR",SUMPRODUCT(Mecze[[#This Row],[/PR:90]:[/BR:90]],Brudnopis!$E$25:$J$25),0)</f>
        <v>9.7938144329896906E-2</v>
      </c>
      <c r="V2739" s="44">
        <f>IF(Mecze[[#This Row],[Role]]&lt;&gt;"BR",SUMPRODUCT(Mecze[[#This Row],[/PR:90]:[/BR:90]],Brudnopis!$E$26:$J$26),0)</f>
        <v>8.247422680412371E-2</v>
      </c>
      <c r="W2739" s="44">
        <f>IF(Mecze[[#This Row],[Role]]&lt;&gt;"BR",SUMPRODUCT(Mecze[[#This Row],[/PR:90]:[/BR:90]],Brudnopis!$E$27:$J$27),0)</f>
        <v>8.505154639175258E-2</v>
      </c>
      <c r="X2739" s="44">
        <f>IF(Mecze[[#This Row],[Role]]&lt;&gt;"BR",SUMPRODUCT(Mecze[[#This Row],[/PR:90]:[/BR:90]],Brudnopis!$E$28:$J$28),0)</f>
        <v>3.0927835051546393E-2</v>
      </c>
      <c r="Y2739" s="35">
        <f>IF(Mecze[[#This Row],[Role]]="BR",Mecze[[#This Row],[/OB:90]]+Mecze[[#This Row],[/PC:90]],SUM(Mecze[[#This Row],[/PR:90]:[/BR:90]]))</f>
        <v>8.247422680412371E-2</v>
      </c>
      <c r="Z2739" s="35">
        <f>IF(Mecze[[#This Row],[KC]]=0,SUM(Mecze[[#This Row],[/BRI]:[/NPI]]),SUM(Mecze[[#This Row],[/BRI]:[/NPI]])*0.6)</f>
        <v>0.384020618556701</v>
      </c>
      <c r="AA2739" s="10">
        <f>IFERROR(Mecze[[#This Row],[BR]]/Mecze[[#This Row],[ST]],0)</f>
        <v>0</v>
      </c>
      <c r="AB2739">
        <f>ROUND(Mecze[[#This Row],[PD]]*Mecze[[#This Row],[%PC]],0)</f>
        <v>3</v>
      </c>
      <c r="AC2739">
        <f>ROUND(Mecze[[#This Row],[OD]]*Mecze[[#This Row],[%OU]],0)</f>
        <v>1</v>
      </c>
      <c r="AD2739" s="36" t="s">
        <v>44</v>
      </c>
      <c r="AE2739" s="36">
        <v>153</v>
      </c>
      <c r="AF2739" s="71">
        <v>3.54</v>
      </c>
      <c r="AG2739" s="37">
        <v>0</v>
      </c>
      <c r="AH2739" s="37">
        <v>0</v>
      </c>
      <c r="AI2739" s="37">
        <v>97</v>
      </c>
      <c r="AJ2739" s="37">
        <v>1</v>
      </c>
      <c r="AK2739" s="37" t="str">
        <f>VLOOKUP(Mecze[[#This Row],[Match ID]],Meczusie[Mecz]:Meczusie[RodzajMeczu],2,FALSE)</f>
        <v>Towarzyski</v>
      </c>
    </row>
    <row r="2740" spans="1:37" x14ac:dyDescent="0.25">
      <c r="A2740" s="76">
        <v>31</v>
      </c>
      <c r="B2740" s="3" t="s">
        <v>365</v>
      </c>
      <c r="C2740" s="2" t="s">
        <v>165</v>
      </c>
      <c r="D2740" s="1">
        <v>0</v>
      </c>
      <c r="E2740" s="1">
        <v>1</v>
      </c>
      <c r="F2740" s="1">
        <v>1</v>
      </c>
      <c r="G2740" s="1">
        <v>7</v>
      </c>
      <c r="H2740" s="4">
        <v>0.71</v>
      </c>
      <c r="I2740" s="1">
        <v>4</v>
      </c>
      <c r="J2740" s="4">
        <v>0.25</v>
      </c>
      <c r="K2740" s="1">
        <v>0</v>
      </c>
      <c r="L2740" s="1">
        <v>9</v>
      </c>
      <c r="M2740" s="32">
        <f>IF(Mecze[[#This Row],[PR]]=0,0,Mecze[[#This Row],[PR]]/Mecze[[#This Row],[CZAS]])</f>
        <v>9.2783505154639179E-2</v>
      </c>
      <c r="N2740" s="32">
        <f>IF(Mecze[[#This Row],[OU]]=0,0,Mecze[[#This Row],[OU]]/Mecze[[#This Row],[CZAS]])</f>
        <v>1.0309278350515464E-2</v>
      </c>
      <c r="O2740" s="32">
        <f>IF(Mecze[[#This Row],[PC]]=0,0,Mecze[[#This Row],[PC]]/Mecze[[#This Row],[CZAS]])</f>
        <v>5.1546391752577317E-2</v>
      </c>
      <c r="P2740" s="32">
        <f>IF(Mecze[[#This Row],[SC]]=0,0,Mecze[[#This Row],[SC]]/Mecze[[#This Row],[CZAS]])</f>
        <v>1.0309278350515464E-2</v>
      </c>
      <c r="Q2740" s="32">
        <f>IF(Mecze[[#This Row],[OB]]=0,0,Mecze[[#This Row],[OB]]/Mecze[[#This Row],[CZAS]])</f>
        <v>0</v>
      </c>
      <c r="R2740" s="32">
        <f>IF(Mecze[[#This Row],[BR]]=0,0,Mecze[[#This Row],[BR]]/Mecze[[#This Row],[CZAS]])</f>
        <v>0</v>
      </c>
      <c r="S2740" s="44">
        <f>IF(Mecze[[#This Row],[Role]]="BR",SUMPRODUCT(Mecze[[#This Row],[/PR:90]:[/BR:90]],Brudnopis!$E$23:$J$23),0)</f>
        <v>0</v>
      </c>
      <c r="T2740" s="44">
        <f>IF(Mecze[[#This Row],[Role]]&lt;&gt;"BR",SUMPRODUCT(Mecze[[#This Row],[/PR:90]:[/BR:90]],Brudnopis!$E$24:$J$24),0)</f>
        <v>0.17010309278350513</v>
      </c>
      <c r="U2740" s="44">
        <f>IF(Mecze[[#This Row],[Role]]&lt;&gt;"BR",SUMPRODUCT(Mecze[[#This Row],[/PR:90]:[/BR:90]],Brudnopis!$E$25:$J$25),0)</f>
        <v>0.1907216494845361</v>
      </c>
      <c r="V2740" s="44">
        <f>IF(Mecze[[#This Row],[Role]]&lt;&gt;"BR",SUMPRODUCT(Mecze[[#This Row],[/PR:90]:[/BR:90]],Brudnopis!$E$26:$J$26),0)</f>
        <v>0.16494845360824742</v>
      </c>
      <c r="W2740" s="44">
        <f>IF(Mecze[[#This Row],[Role]]&lt;&gt;"BR",SUMPRODUCT(Mecze[[#This Row],[/PR:90]:[/BR:90]],Brudnopis!$E$27:$J$27),0)</f>
        <v>0.16494845360824742</v>
      </c>
      <c r="X2740" s="44">
        <f>IF(Mecze[[#This Row],[Role]]&lt;&gt;"BR",SUMPRODUCT(Mecze[[#This Row],[/PR:90]:[/BR:90]],Brudnopis!$E$28:$J$28),0)</f>
        <v>7.2164948453608241E-2</v>
      </c>
      <c r="Y2740" s="35">
        <f>IF(Mecze[[#This Row],[Role]]="BR",Mecze[[#This Row],[/OB:90]]+Mecze[[#This Row],[/PC:90]],SUM(Mecze[[#This Row],[/PR:90]:[/BR:90]]))</f>
        <v>0.16494845360824742</v>
      </c>
      <c r="Z2740" s="35">
        <f>IF(Mecze[[#This Row],[KC]]=0,SUM(Mecze[[#This Row],[/BRI]:[/NPI]]),SUM(Mecze[[#This Row],[/BRI]:[/NPI]])*0.6)</f>
        <v>0.76288659793814428</v>
      </c>
      <c r="AA2740" s="10">
        <f>IFERROR(Mecze[[#This Row],[BR]]/Mecze[[#This Row],[ST]],0)</f>
        <v>0</v>
      </c>
      <c r="AB2740">
        <f>ROUND(Mecze[[#This Row],[PD]]*Mecze[[#This Row],[%PC]],0)</f>
        <v>5</v>
      </c>
      <c r="AC2740">
        <f>ROUND(Mecze[[#This Row],[OD]]*Mecze[[#This Row],[%OU]],0)</f>
        <v>1</v>
      </c>
      <c r="AD2740" s="36" t="s">
        <v>46</v>
      </c>
      <c r="AE2740" s="36">
        <v>153</v>
      </c>
      <c r="AF2740" s="71">
        <v>4.26</v>
      </c>
      <c r="AG2740" s="37">
        <v>0</v>
      </c>
      <c r="AH2740" s="37">
        <v>0</v>
      </c>
      <c r="AI2740" s="37">
        <v>97</v>
      </c>
      <c r="AJ2740" s="37">
        <v>1</v>
      </c>
      <c r="AK2740" s="37" t="str">
        <f>VLOOKUP(Mecze[[#This Row],[Match ID]],Meczusie[Mecz]:Meczusie[RodzajMeczu],2,FALSE)</f>
        <v>Towarzyski</v>
      </c>
    </row>
    <row r="2741" spans="1:37" x14ac:dyDescent="0.25">
      <c r="A2741" s="76">
        <v>46</v>
      </c>
      <c r="B2741" s="3" t="s">
        <v>395</v>
      </c>
      <c r="C2741" s="2" t="s">
        <v>165</v>
      </c>
      <c r="D2741" s="1">
        <v>0</v>
      </c>
      <c r="E2741" s="1">
        <v>2</v>
      </c>
      <c r="F2741" s="1">
        <v>1</v>
      </c>
      <c r="G2741" s="1">
        <v>5</v>
      </c>
      <c r="H2741" s="4">
        <v>0.8</v>
      </c>
      <c r="I2741" s="1">
        <v>3</v>
      </c>
      <c r="J2741" s="4">
        <v>0.33</v>
      </c>
      <c r="K2741" s="1">
        <v>0</v>
      </c>
      <c r="L2741" s="1">
        <v>2</v>
      </c>
      <c r="M2741" s="32">
        <f>IF(Mecze[[#This Row],[PR]]=0,0,Mecze[[#This Row],[PR]]/Mecze[[#This Row],[CZAS]])</f>
        <v>2.0618556701030927E-2</v>
      </c>
      <c r="N2741" s="32">
        <f>IF(Mecze[[#This Row],[OU]]=0,0,Mecze[[#This Row],[OU]]/Mecze[[#This Row],[CZAS]])</f>
        <v>1.0309278350515464E-2</v>
      </c>
      <c r="O2741" s="32">
        <f>IF(Mecze[[#This Row],[PC]]=0,0,Mecze[[#This Row],[PC]]/Mecze[[#This Row],[CZAS]])</f>
        <v>4.1237113402061855E-2</v>
      </c>
      <c r="P2741" s="32">
        <f>IF(Mecze[[#This Row],[SC]]=0,0,Mecze[[#This Row],[SC]]/Mecze[[#This Row],[CZAS]])</f>
        <v>1.0309278350515464E-2</v>
      </c>
      <c r="Q2741" s="32">
        <f>IF(Mecze[[#This Row],[OB]]=0,0,Mecze[[#This Row],[OB]]/Mecze[[#This Row],[CZAS]])</f>
        <v>0</v>
      </c>
      <c r="R2741" s="32">
        <f>IF(Mecze[[#This Row],[BR]]=0,0,Mecze[[#This Row],[BR]]/Mecze[[#This Row],[CZAS]])</f>
        <v>0</v>
      </c>
      <c r="S2741" s="44">
        <f>IF(Mecze[[#This Row],[Role]]="BR",SUMPRODUCT(Mecze[[#This Row],[/PR:90]:[/BR:90]],Brudnopis!$E$23:$J$23),0)</f>
        <v>0</v>
      </c>
      <c r="T2741" s="44">
        <f>IF(Mecze[[#This Row],[Role]]&lt;&gt;"BR",SUMPRODUCT(Mecze[[#This Row],[/PR:90]:[/BR:90]],Brudnopis!$E$24:$J$24),0)</f>
        <v>8.7628865979381451E-2</v>
      </c>
      <c r="U2741" s="44">
        <f>IF(Mecze[[#This Row],[Role]]&lt;&gt;"BR",SUMPRODUCT(Mecze[[#This Row],[/PR:90]:[/BR:90]],Brudnopis!$E$25:$J$25),0)</f>
        <v>0.10309278350515465</v>
      </c>
      <c r="V2741" s="44">
        <f>IF(Mecze[[#This Row],[Role]]&lt;&gt;"BR",SUMPRODUCT(Mecze[[#This Row],[/PR:90]:[/BR:90]],Brudnopis!$E$26:$J$26),0)</f>
        <v>8.247422680412371E-2</v>
      </c>
      <c r="W2741" s="44">
        <f>IF(Mecze[[#This Row],[Role]]&lt;&gt;"BR",SUMPRODUCT(Mecze[[#This Row],[/PR:90]:[/BR:90]],Brudnopis!$E$27:$J$27),0)</f>
        <v>9.5360824742268049E-2</v>
      </c>
      <c r="X2741" s="44">
        <f>IF(Mecze[[#This Row],[Role]]&lt;&gt;"BR",SUMPRODUCT(Mecze[[#This Row],[/PR:90]:[/BR:90]],Brudnopis!$E$28:$J$28),0)</f>
        <v>6.1855670103092786E-2</v>
      </c>
      <c r="Y2741" s="35">
        <f>IF(Mecze[[#This Row],[Role]]="BR",Mecze[[#This Row],[/OB:90]]+Mecze[[#This Row],[/PC:90]],SUM(Mecze[[#This Row],[/PR:90]:[/BR:90]]))</f>
        <v>8.247422680412371E-2</v>
      </c>
      <c r="Z2741" s="35">
        <f>IF(Mecze[[#This Row],[KC]]=0,SUM(Mecze[[#This Row],[/BRI]:[/NPI]]),SUM(Mecze[[#This Row],[/BRI]:[/NPI]])*0.6)</f>
        <v>0.43041237113402064</v>
      </c>
      <c r="AA2741" s="10">
        <f>IFERROR(Mecze[[#This Row],[BR]]/Mecze[[#This Row],[ST]],0)</f>
        <v>0</v>
      </c>
      <c r="AB2741">
        <f>ROUND(Mecze[[#This Row],[PD]]*Mecze[[#This Row],[%PC]],0)</f>
        <v>4</v>
      </c>
      <c r="AC2741">
        <f>ROUND(Mecze[[#This Row],[OD]]*Mecze[[#This Row],[%OU]],0)</f>
        <v>1</v>
      </c>
      <c r="AD2741" s="36" t="s">
        <v>46</v>
      </c>
      <c r="AE2741" s="36">
        <v>153</v>
      </c>
      <c r="AF2741" s="71">
        <v>5.18</v>
      </c>
      <c r="AG2741" s="37">
        <v>0</v>
      </c>
      <c r="AH2741" s="37">
        <v>0</v>
      </c>
      <c r="AI2741" s="37">
        <v>97</v>
      </c>
      <c r="AJ2741" s="37">
        <v>1</v>
      </c>
      <c r="AK2741" s="37" t="str">
        <f>VLOOKUP(Mecze[[#This Row],[Match ID]],Meczusie[Mecz]:Meczusie[RodzajMeczu],2,FALSE)</f>
        <v>Towarzyski</v>
      </c>
    </row>
    <row r="2742" spans="1:37" x14ac:dyDescent="0.25">
      <c r="A2742" s="76">
        <v>61</v>
      </c>
      <c r="B2742" s="3" t="s">
        <v>454</v>
      </c>
      <c r="C2742" s="2" t="s">
        <v>165</v>
      </c>
      <c r="D2742" s="1">
        <v>0</v>
      </c>
      <c r="E2742" s="1">
        <v>9</v>
      </c>
      <c r="F2742" s="1">
        <v>6</v>
      </c>
      <c r="G2742" s="1">
        <v>7</v>
      </c>
      <c r="H2742" s="4">
        <v>0.28999999999999998</v>
      </c>
      <c r="I2742" s="1">
        <v>1</v>
      </c>
      <c r="J2742" s="4">
        <v>1</v>
      </c>
      <c r="K2742" s="1">
        <v>0</v>
      </c>
      <c r="L2742" s="1">
        <v>1</v>
      </c>
      <c r="M2742" s="32">
        <f>IF(Mecze[[#This Row],[PR]]=0,0,Mecze[[#This Row],[PR]]/Mecze[[#This Row],[CZAS]])</f>
        <v>1.0309278350515464E-2</v>
      </c>
      <c r="N2742" s="32">
        <f>IF(Mecze[[#This Row],[OU]]=0,0,Mecze[[#This Row],[OU]]/Mecze[[#This Row],[CZAS]])</f>
        <v>1.0309278350515464E-2</v>
      </c>
      <c r="O2742" s="32">
        <f>IF(Mecze[[#This Row],[PC]]=0,0,Mecze[[#This Row],[PC]]/Mecze[[#This Row],[CZAS]])</f>
        <v>2.0618556701030927E-2</v>
      </c>
      <c r="P2742" s="32">
        <f>IF(Mecze[[#This Row],[SC]]=0,0,Mecze[[#This Row],[SC]]/Mecze[[#This Row],[CZAS]])</f>
        <v>6.1855670103092786E-2</v>
      </c>
      <c r="Q2742" s="32">
        <f>IF(Mecze[[#This Row],[OB]]=0,0,Mecze[[#This Row],[OB]]/Mecze[[#This Row],[CZAS]])</f>
        <v>0</v>
      </c>
      <c r="R2742" s="32">
        <f>IF(Mecze[[#This Row],[BR]]=0,0,Mecze[[#This Row],[BR]]/Mecze[[#This Row],[CZAS]])</f>
        <v>0</v>
      </c>
      <c r="S2742" s="44">
        <f>IF(Mecze[[#This Row],[Role]]="BR",SUMPRODUCT(Mecze[[#This Row],[/PR:90]:[/BR:90]],Brudnopis!$E$23:$J$23),0)</f>
        <v>0</v>
      </c>
      <c r="T2742" s="44">
        <f>IF(Mecze[[#This Row],[Role]]&lt;&gt;"BR",SUMPRODUCT(Mecze[[#This Row],[/PR:90]:[/BR:90]],Brudnopis!$E$24:$J$24),0)</f>
        <v>0.10824742268041238</v>
      </c>
      <c r="U2742" s="44">
        <f>IF(Mecze[[#This Row],[Role]]&lt;&gt;"BR",SUMPRODUCT(Mecze[[#This Row],[/PR:90]:[/BR:90]],Brudnopis!$E$25:$J$25),0)</f>
        <v>0.1134020618556701</v>
      </c>
      <c r="V2742" s="44">
        <f>IF(Mecze[[#This Row],[Role]]&lt;&gt;"BR",SUMPRODUCT(Mecze[[#This Row],[/PR:90]:[/BR:90]],Brudnopis!$E$26:$J$26),0)</f>
        <v>0.10309278350515463</v>
      </c>
      <c r="W2742" s="44">
        <f>IF(Mecze[[#This Row],[Role]]&lt;&gt;"BR",SUMPRODUCT(Mecze[[#This Row],[/PR:90]:[/BR:90]],Brudnopis!$E$27:$J$27),0)</f>
        <v>0.10824742268041238</v>
      </c>
      <c r="X2742" s="44">
        <f>IF(Mecze[[#This Row],[Role]]&lt;&gt;"BR",SUMPRODUCT(Mecze[[#This Row],[/PR:90]:[/BR:90]],Brudnopis!$E$28:$J$28),0)</f>
        <v>0.14432989690721651</v>
      </c>
      <c r="Y2742" s="35">
        <f>IF(Mecze[[#This Row],[Role]]="BR",Mecze[[#This Row],[/OB:90]]+Mecze[[#This Row],[/PC:90]],SUM(Mecze[[#This Row],[/PR:90]:[/BR:90]]))</f>
        <v>0.10309278350515463</v>
      </c>
      <c r="Z2742" s="35">
        <f>IF(Mecze[[#This Row],[KC]]=0,SUM(Mecze[[#This Row],[/BRI]:[/NPI]]),SUM(Mecze[[#This Row],[/BRI]:[/NPI]])*0.6)</f>
        <v>0.57731958762886593</v>
      </c>
      <c r="AA2742" s="10">
        <f>IFERROR(Mecze[[#This Row],[BR]]/Mecze[[#This Row],[ST]],0)</f>
        <v>0</v>
      </c>
      <c r="AB2742">
        <f>ROUND(Mecze[[#This Row],[PD]]*Mecze[[#This Row],[%PC]],0)</f>
        <v>2</v>
      </c>
      <c r="AC2742">
        <f>ROUND(Mecze[[#This Row],[OD]]*Mecze[[#This Row],[%OU]],0)</f>
        <v>1</v>
      </c>
      <c r="AD2742" s="36" t="s">
        <v>46</v>
      </c>
      <c r="AE2742" s="36">
        <v>153</v>
      </c>
      <c r="AF2742" s="71">
        <v>4.03</v>
      </c>
      <c r="AG2742" s="37">
        <v>0</v>
      </c>
      <c r="AH2742" s="37">
        <v>0</v>
      </c>
      <c r="AI2742" s="37">
        <v>97</v>
      </c>
      <c r="AJ2742" s="37">
        <v>1</v>
      </c>
      <c r="AK2742" s="37" t="str">
        <f>VLOOKUP(Mecze[[#This Row],[Match ID]],Meczusie[Mecz]:Meczusie[RodzajMeczu],2,FALSE)</f>
        <v>Towarzyski</v>
      </c>
    </row>
    <row r="2743" spans="1:37" x14ac:dyDescent="0.25">
      <c r="A2743" s="76">
        <v>1</v>
      </c>
      <c r="B2743" s="3" t="s">
        <v>169</v>
      </c>
      <c r="C2743" s="2" t="s">
        <v>155</v>
      </c>
      <c r="D2743" s="1">
        <v>0</v>
      </c>
      <c r="E2743" s="1">
        <v>0</v>
      </c>
      <c r="F2743" s="1">
        <v>0</v>
      </c>
      <c r="G2743" s="1">
        <v>17</v>
      </c>
      <c r="H2743" s="4">
        <v>0.71</v>
      </c>
      <c r="I2743" s="1">
        <v>0</v>
      </c>
      <c r="J2743" s="4"/>
      <c r="K2743" s="1">
        <v>8</v>
      </c>
      <c r="L2743" s="1">
        <v>0</v>
      </c>
      <c r="M2743" s="32">
        <f>IF(Mecze[[#This Row],[PR]]=0,0,Mecze[[#This Row],[PR]]/Mecze[[#This Row],[CZAS]])</f>
        <v>0</v>
      </c>
      <c r="N2743" s="32">
        <f>IF(Mecze[[#This Row],[OU]]=0,0,Mecze[[#This Row],[OU]]/Mecze[[#This Row],[CZAS]])</f>
        <v>0</v>
      </c>
      <c r="O2743" s="32">
        <f>IF(Mecze[[#This Row],[PC]]=0,0,Mecze[[#This Row],[PC]]/Mecze[[#This Row],[CZAS]])</f>
        <v>0.12244897959183673</v>
      </c>
      <c r="P2743" s="32">
        <f>IF(Mecze[[#This Row],[SC]]=0,0,Mecze[[#This Row],[SC]]/Mecze[[#This Row],[CZAS]])</f>
        <v>0</v>
      </c>
      <c r="Q2743" s="32">
        <f>IF(Mecze[[#This Row],[OB]]=0,0,Mecze[[#This Row],[OB]]/Mecze[[#This Row],[CZAS]])</f>
        <v>8.1632653061224483E-2</v>
      </c>
      <c r="R2743" s="32">
        <f>IF(Mecze[[#This Row],[BR]]=0,0,Mecze[[#This Row],[BR]]/Mecze[[#This Row],[CZAS]])</f>
        <v>0</v>
      </c>
      <c r="S2743" s="44">
        <f>IF(Mecze[[#This Row],[Role]]="BR",SUMPRODUCT(Mecze[[#This Row],[/PR:90]:[/BR:90]],Brudnopis!$E$23:$J$23),0)</f>
        <v>0.61224489795918369</v>
      </c>
      <c r="T2743" s="44">
        <f>IF(Mecze[[#This Row],[Role]]&lt;&gt;"BR",SUMPRODUCT(Mecze[[#This Row],[/PR:90]:[/BR:90]],Brudnopis!$E$24:$J$24),0)</f>
        <v>0</v>
      </c>
      <c r="U2743" s="44">
        <f>IF(Mecze[[#This Row],[Role]]&lt;&gt;"BR",SUMPRODUCT(Mecze[[#This Row],[/PR:90]:[/BR:90]],Brudnopis!$E$25:$J$25),0)</f>
        <v>0</v>
      </c>
      <c r="V2743" s="44">
        <f>IF(Mecze[[#This Row],[Role]]&lt;&gt;"BR",SUMPRODUCT(Mecze[[#This Row],[/PR:90]:[/BR:90]],Brudnopis!$E$26:$J$26),0)</f>
        <v>0</v>
      </c>
      <c r="W2743" s="44">
        <f>IF(Mecze[[#This Row],[Role]]&lt;&gt;"BR",SUMPRODUCT(Mecze[[#This Row],[/PR:90]:[/BR:90]],Brudnopis!$E$27:$J$27),0)</f>
        <v>0</v>
      </c>
      <c r="X2743" s="44">
        <f>IF(Mecze[[#This Row],[Role]]&lt;&gt;"BR",SUMPRODUCT(Mecze[[#This Row],[/PR:90]:[/BR:90]],Brudnopis!$E$28:$J$28),0)</f>
        <v>0</v>
      </c>
      <c r="Y2743" s="35">
        <f>IF(Mecze[[#This Row],[Role]]="BR",Mecze[[#This Row],[/OB:90]]+Mecze[[#This Row],[/PC:90]],SUM(Mecze[[#This Row],[/PR:90]:[/BR:90]]))</f>
        <v>0.20408163265306123</v>
      </c>
      <c r="Z2743" s="35">
        <f>IF(Mecze[[#This Row],[KC]]=0,SUM(Mecze[[#This Row],[/BRI]:[/NPI]]),SUM(Mecze[[#This Row],[/BRI]:[/NPI]])*0.6)</f>
        <v>0.61224489795918369</v>
      </c>
      <c r="AA2743" s="10">
        <f>IFERROR(Mecze[[#This Row],[BR]]/Mecze[[#This Row],[ST]],0)</f>
        <v>0</v>
      </c>
      <c r="AB2743">
        <f>ROUND(Mecze[[#This Row],[PD]]*Mecze[[#This Row],[%PC]],0)</f>
        <v>12</v>
      </c>
      <c r="AC2743">
        <f>ROUND(Mecze[[#This Row],[OD]]*Mecze[[#This Row],[%OU]],0)</f>
        <v>0</v>
      </c>
      <c r="AD2743" s="36" t="s">
        <v>40</v>
      </c>
      <c r="AE2743" s="36">
        <v>154</v>
      </c>
      <c r="AF2743" s="71">
        <v>4.5999999999999996</v>
      </c>
      <c r="AG2743" s="37">
        <v>0</v>
      </c>
      <c r="AH2743" s="37">
        <v>0</v>
      </c>
      <c r="AI2743" s="37">
        <v>98</v>
      </c>
      <c r="AJ2743" s="37">
        <v>1</v>
      </c>
      <c r="AK2743" s="37" t="str">
        <f>VLOOKUP(Mecze[[#This Row],[Match ID]],Meczusie[Mecz]:Meczusie[RodzajMeczu],2,FALSE)</f>
        <v>Puchar</v>
      </c>
    </row>
    <row r="2744" spans="1:37" x14ac:dyDescent="0.25">
      <c r="A2744" s="76">
        <v>5</v>
      </c>
      <c r="B2744" s="3" t="s">
        <v>161</v>
      </c>
      <c r="C2744" s="2" t="s">
        <v>157</v>
      </c>
      <c r="D2744" s="1">
        <v>0</v>
      </c>
      <c r="E2744" s="1">
        <v>0</v>
      </c>
      <c r="F2744" s="1">
        <v>0</v>
      </c>
      <c r="G2744" s="1">
        <v>5</v>
      </c>
      <c r="H2744" s="4">
        <v>0.2</v>
      </c>
      <c r="I2744" s="1">
        <v>5</v>
      </c>
      <c r="J2744" s="4">
        <v>0.4</v>
      </c>
      <c r="K2744" s="1">
        <v>0</v>
      </c>
      <c r="L2744" s="1">
        <v>2</v>
      </c>
      <c r="M2744" s="32">
        <f>IF(Mecze[[#This Row],[PR]]=0,0,Mecze[[#This Row],[PR]]/Mecze[[#This Row],[CZAS]])</f>
        <v>2.0408163265306121E-2</v>
      </c>
      <c r="N2744" s="32">
        <f>IF(Mecze[[#This Row],[OU]]=0,0,Mecze[[#This Row],[OU]]/Mecze[[#This Row],[CZAS]])</f>
        <v>2.0408163265306121E-2</v>
      </c>
      <c r="O2744" s="32">
        <f>IF(Mecze[[#This Row],[PC]]=0,0,Mecze[[#This Row],[PC]]/Mecze[[#This Row],[CZAS]])</f>
        <v>1.020408163265306E-2</v>
      </c>
      <c r="P2744" s="32">
        <f>IF(Mecze[[#This Row],[SC]]=0,0,Mecze[[#This Row],[SC]]/Mecze[[#This Row],[CZAS]])</f>
        <v>0</v>
      </c>
      <c r="Q2744" s="32">
        <f>IF(Mecze[[#This Row],[OB]]=0,0,Mecze[[#This Row],[OB]]/Mecze[[#This Row],[CZAS]])</f>
        <v>0</v>
      </c>
      <c r="R2744" s="32">
        <f>IF(Mecze[[#This Row],[BR]]=0,0,Mecze[[#This Row],[BR]]/Mecze[[#This Row],[CZAS]])</f>
        <v>0</v>
      </c>
      <c r="S2744" s="44">
        <f>IF(Mecze[[#This Row],[Role]]="BR",SUMPRODUCT(Mecze[[#This Row],[/PR:90]:[/BR:90]],Brudnopis!$E$23:$J$23),0)</f>
        <v>0</v>
      </c>
      <c r="T2744" s="44">
        <f>IF(Mecze[[#This Row],[Role]]&lt;&gt;"BR",SUMPRODUCT(Mecze[[#This Row],[/PR:90]:[/BR:90]],Brudnopis!$E$24:$J$24),0)</f>
        <v>6.1224489795918366E-2</v>
      </c>
      <c r="U2744" s="44">
        <f>IF(Mecze[[#This Row],[Role]]&lt;&gt;"BR",SUMPRODUCT(Mecze[[#This Row],[/PR:90]:[/BR:90]],Brudnopis!$E$25:$J$25),0)</f>
        <v>5.612244897959183E-2</v>
      </c>
      <c r="V2744" s="44">
        <f>IF(Mecze[[#This Row],[Role]]&lt;&gt;"BR",SUMPRODUCT(Mecze[[#This Row],[/PR:90]:[/BR:90]],Brudnopis!$E$26:$J$26),0)</f>
        <v>5.10204081632653E-2</v>
      </c>
      <c r="W2744" s="44">
        <f>IF(Mecze[[#This Row],[Role]]&lt;&gt;"BR",SUMPRODUCT(Mecze[[#This Row],[/PR:90]:[/BR:90]],Brudnopis!$E$27:$J$27),0)</f>
        <v>4.5918367346938771E-2</v>
      </c>
      <c r="X2744" s="44">
        <f>IF(Mecze[[#This Row],[Role]]&lt;&gt;"BR",SUMPRODUCT(Mecze[[#This Row],[/PR:90]:[/BR:90]],Brudnopis!$E$28:$J$28),0)</f>
        <v>1.020408163265306E-2</v>
      </c>
      <c r="Y2744" s="35">
        <f>IF(Mecze[[#This Row],[Role]]="BR",Mecze[[#This Row],[/OB:90]]+Mecze[[#This Row],[/PC:90]],SUM(Mecze[[#This Row],[/PR:90]:[/BR:90]]))</f>
        <v>5.10204081632653E-2</v>
      </c>
      <c r="Z2744" s="35">
        <f>IF(Mecze[[#This Row],[KC]]=0,SUM(Mecze[[#This Row],[/BRI]:[/NPI]]),SUM(Mecze[[#This Row],[/BRI]:[/NPI]])*0.6)</f>
        <v>0.22448979591836735</v>
      </c>
      <c r="AA2744" s="10">
        <f>IFERROR(Mecze[[#This Row],[BR]]/Mecze[[#This Row],[ST]],0)</f>
        <v>0</v>
      </c>
      <c r="AB2744">
        <f>ROUND(Mecze[[#This Row],[PD]]*Mecze[[#This Row],[%PC]],0)</f>
        <v>1</v>
      </c>
      <c r="AC2744">
        <f>ROUND(Mecze[[#This Row],[OD]]*Mecze[[#This Row],[%OU]],0)</f>
        <v>2</v>
      </c>
      <c r="AD2744" s="36" t="s">
        <v>47</v>
      </c>
      <c r="AE2744" s="36">
        <v>154</v>
      </c>
      <c r="AF2744" s="71">
        <v>1</v>
      </c>
      <c r="AG2744" s="37">
        <v>0</v>
      </c>
      <c r="AH2744" s="37">
        <v>0</v>
      </c>
      <c r="AI2744" s="37">
        <v>98</v>
      </c>
      <c r="AJ2744" s="37">
        <v>1</v>
      </c>
      <c r="AK2744" s="37" t="str">
        <f>VLOOKUP(Mecze[[#This Row],[Match ID]],Meczusie[Mecz]:Meczusie[RodzajMeczu],2,FALSE)</f>
        <v>Puchar</v>
      </c>
    </row>
    <row r="2745" spans="1:37" x14ac:dyDescent="0.25">
      <c r="A2745" s="76">
        <v>18</v>
      </c>
      <c r="B2745" s="3" t="s">
        <v>211</v>
      </c>
      <c r="C2745" s="2" t="s">
        <v>157</v>
      </c>
      <c r="D2745" s="1">
        <v>0</v>
      </c>
      <c r="E2745" s="1">
        <v>0</v>
      </c>
      <c r="F2745" s="1">
        <v>0</v>
      </c>
      <c r="G2745" s="1">
        <v>1</v>
      </c>
      <c r="H2745" s="4">
        <v>1</v>
      </c>
      <c r="I2745" s="1">
        <v>3</v>
      </c>
      <c r="J2745" s="4">
        <v>0.33</v>
      </c>
      <c r="K2745" s="1">
        <v>0</v>
      </c>
      <c r="L2745" s="1">
        <v>1</v>
      </c>
      <c r="M2745" s="32">
        <f>IF(Mecze[[#This Row],[PR]]=0,0,Mecze[[#This Row],[PR]]/Mecze[[#This Row],[CZAS]])</f>
        <v>1.7241379310344827E-2</v>
      </c>
      <c r="N2745" s="32">
        <f>IF(Mecze[[#This Row],[OU]]=0,0,Mecze[[#This Row],[OU]]/Mecze[[#This Row],[CZAS]])</f>
        <v>1.7241379310344827E-2</v>
      </c>
      <c r="O2745" s="32">
        <f>IF(Mecze[[#This Row],[PC]]=0,0,Mecze[[#This Row],[PC]]/Mecze[[#This Row],[CZAS]])</f>
        <v>1.7241379310344827E-2</v>
      </c>
      <c r="P2745" s="32">
        <f>IF(Mecze[[#This Row],[SC]]=0,0,Mecze[[#This Row],[SC]]/Mecze[[#This Row],[CZAS]])</f>
        <v>0</v>
      </c>
      <c r="Q2745" s="32">
        <f>IF(Mecze[[#This Row],[OB]]=0,0,Mecze[[#This Row],[OB]]/Mecze[[#This Row],[CZAS]])</f>
        <v>0</v>
      </c>
      <c r="R2745" s="32">
        <f>IF(Mecze[[#This Row],[BR]]=0,0,Mecze[[#This Row],[BR]]/Mecze[[#This Row],[CZAS]])</f>
        <v>0</v>
      </c>
      <c r="S2745" s="44">
        <f>IF(Mecze[[#This Row],[Role]]="BR",SUMPRODUCT(Mecze[[#This Row],[/PR:90]:[/BR:90]],Brudnopis!$E$23:$J$23),0)</f>
        <v>0</v>
      </c>
      <c r="T2745" s="44">
        <f>IF(Mecze[[#This Row],[Role]]&lt;&gt;"BR",SUMPRODUCT(Mecze[[#This Row],[/PR:90]:[/BR:90]],Brudnopis!$E$24:$J$24),0)</f>
        <v>6.0344827586206899E-2</v>
      </c>
      <c r="U2745" s="44">
        <f>IF(Mecze[[#This Row],[Role]]&lt;&gt;"BR",SUMPRODUCT(Mecze[[#This Row],[/PR:90]:[/BR:90]],Brudnopis!$E$25:$J$25),0)</f>
        <v>6.0344827586206892E-2</v>
      </c>
      <c r="V2745" s="44">
        <f>IF(Mecze[[#This Row],[Role]]&lt;&gt;"BR",SUMPRODUCT(Mecze[[#This Row],[/PR:90]:[/BR:90]],Brudnopis!$E$26:$J$26),0)</f>
        <v>5.1724137931034482E-2</v>
      </c>
      <c r="W2745" s="44">
        <f>IF(Mecze[[#This Row],[Role]]&lt;&gt;"BR",SUMPRODUCT(Mecze[[#This Row],[/PR:90]:[/BR:90]],Brudnopis!$E$27:$J$27),0)</f>
        <v>5.1724137931034482E-2</v>
      </c>
      <c r="X2745" s="44">
        <f>IF(Mecze[[#This Row],[Role]]&lt;&gt;"BR",SUMPRODUCT(Mecze[[#This Row],[/PR:90]:[/BR:90]],Brudnopis!$E$28:$J$28),0)</f>
        <v>1.7241379310344827E-2</v>
      </c>
      <c r="Y2745" s="35">
        <f>IF(Mecze[[#This Row],[Role]]="BR",Mecze[[#This Row],[/OB:90]]+Mecze[[#This Row],[/PC:90]],SUM(Mecze[[#This Row],[/PR:90]:[/BR:90]]))</f>
        <v>5.1724137931034482E-2</v>
      </c>
      <c r="Z2745" s="35">
        <f>IF(Mecze[[#This Row],[KC]]=0,SUM(Mecze[[#This Row],[/BRI]:[/NPI]]),SUM(Mecze[[#This Row],[/BRI]:[/NPI]])*0.6)</f>
        <v>0.14482758620689654</v>
      </c>
      <c r="AA2745" s="10">
        <f>IFERROR(Mecze[[#This Row],[BR]]/Mecze[[#This Row],[ST]],0)</f>
        <v>0</v>
      </c>
      <c r="AB2745">
        <f>ROUND(Mecze[[#This Row],[PD]]*Mecze[[#This Row],[%PC]],0)</f>
        <v>1</v>
      </c>
      <c r="AC2745">
        <f>ROUND(Mecze[[#This Row],[OD]]*Mecze[[#This Row],[%OU]],0)</f>
        <v>1</v>
      </c>
      <c r="AD2745" s="36" t="s">
        <v>167</v>
      </c>
      <c r="AE2745" s="36">
        <v>154</v>
      </c>
      <c r="AF2745" s="71">
        <v>-3.62</v>
      </c>
      <c r="AG2745" s="37">
        <v>0</v>
      </c>
      <c r="AH2745" s="37">
        <v>1</v>
      </c>
      <c r="AI2745" s="37">
        <v>58</v>
      </c>
      <c r="AJ2745" s="37">
        <v>1</v>
      </c>
      <c r="AK2745" s="37" t="str">
        <f>VLOOKUP(Mecze[[#This Row],[Match ID]],Meczusie[Mecz]:Meczusie[RodzajMeczu],2,FALSE)</f>
        <v>Puchar</v>
      </c>
    </row>
    <row r="2746" spans="1:37" x14ac:dyDescent="0.25">
      <c r="A2746" s="76">
        <v>3</v>
      </c>
      <c r="B2746" s="3" t="s">
        <v>158</v>
      </c>
      <c r="C2746" s="2" t="s">
        <v>157</v>
      </c>
      <c r="D2746" s="1">
        <v>0</v>
      </c>
      <c r="E2746" s="1">
        <v>0</v>
      </c>
      <c r="F2746" s="1">
        <v>0</v>
      </c>
      <c r="G2746" s="1">
        <v>10</v>
      </c>
      <c r="H2746" s="4">
        <v>0.5</v>
      </c>
      <c r="I2746" s="1">
        <v>3</v>
      </c>
      <c r="J2746" s="4">
        <v>0.67</v>
      </c>
      <c r="K2746" s="1">
        <v>0</v>
      </c>
      <c r="L2746" s="1">
        <v>14</v>
      </c>
      <c r="M2746" s="32">
        <f>IF(Mecze[[#This Row],[PR]]=0,0,Mecze[[#This Row],[PR]]/Mecze[[#This Row],[CZAS]])</f>
        <v>0.14285714285714285</v>
      </c>
      <c r="N2746" s="32">
        <f>IF(Mecze[[#This Row],[OU]]=0,0,Mecze[[#This Row],[OU]]/Mecze[[#This Row],[CZAS]])</f>
        <v>2.0408163265306121E-2</v>
      </c>
      <c r="O2746" s="32">
        <f>IF(Mecze[[#This Row],[PC]]=0,0,Mecze[[#This Row],[PC]]/Mecze[[#This Row],[CZAS]])</f>
        <v>5.1020408163265307E-2</v>
      </c>
      <c r="P2746" s="32">
        <f>IF(Mecze[[#This Row],[SC]]=0,0,Mecze[[#This Row],[SC]]/Mecze[[#This Row],[CZAS]])</f>
        <v>0</v>
      </c>
      <c r="Q2746" s="32">
        <f>IF(Mecze[[#This Row],[OB]]=0,0,Mecze[[#This Row],[OB]]/Mecze[[#This Row],[CZAS]])</f>
        <v>0</v>
      </c>
      <c r="R2746" s="32">
        <f>IF(Mecze[[#This Row],[BR]]=0,0,Mecze[[#This Row],[BR]]/Mecze[[#This Row],[CZAS]])</f>
        <v>0</v>
      </c>
      <c r="S2746" s="44">
        <f>IF(Mecze[[#This Row],[Role]]="BR",SUMPRODUCT(Mecze[[#This Row],[/PR:90]:[/BR:90]],Brudnopis!$E$23:$J$23),0)</f>
        <v>0</v>
      </c>
      <c r="T2746" s="44">
        <f>IF(Mecze[[#This Row],[Role]]&lt;&gt;"BR",SUMPRODUCT(Mecze[[#This Row],[/PR:90]:[/BR:90]],Brudnopis!$E$24:$J$24),0)</f>
        <v>0.22448979591836735</v>
      </c>
      <c r="U2746" s="44">
        <f>IF(Mecze[[#This Row],[Role]]&lt;&gt;"BR",SUMPRODUCT(Mecze[[#This Row],[/PR:90]:[/BR:90]],Brudnopis!$E$25:$J$25),0)</f>
        <v>0.23979591836734693</v>
      </c>
      <c r="V2746" s="44">
        <f>IF(Mecze[[#This Row],[Role]]&lt;&gt;"BR",SUMPRODUCT(Mecze[[#This Row],[/PR:90]:[/BR:90]],Brudnopis!$E$26:$J$26),0)</f>
        <v>0.21428571428571427</v>
      </c>
      <c r="W2746" s="44">
        <f>IF(Mecze[[#This Row],[Role]]&lt;&gt;"BR",SUMPRODUCT(Mecze[[#This Row],[/PR:90]:[/BR:90]],Brudnopis!$E$27:$J$27),0)</f>
        <v>0.19897959183673469</v>
      </c>
      <c r="X2746" s="44">
        <f>IF(Mecze[[#This Row],[Role]]&lt;&gt;"BR",SUMPRODUCT(Mecze[[#This Row],[/PR:90]:[/BR:90]],Brudnopis!$E$28:$J$28),0)</f>
        <v>5.1020408163265307E-2</v>
      </c>
      <c r="Y2746" s="35">
        <f>IF(Mecze[[#This Row],[Role]]="BR",Mecze[[#This Row],[/OB:90]]+Mecze[[#This Row],[/PC:90]],SUM(Mecze[[#This Row],[/PR:90]:[/BR:90]]))</f>
        <v>0.21428571428571427</v>
      </c>
      <c r="Z2746" s="35">
        <f>IF(Mecze[[#This Row],[KC]]=0,SUM(Mecze[[#This Row],[/BRI]:[/NPI]]),SUM(Mecze[[#This Row],[/BRI]:[/NPI]])*0.6)</f>
        <v>0.9285714285714286</v>
      </c>
      <c r="AA2746" s="10">
        <f>IFERROR(Mecze[[#This Row],[BR]]/Mecze[[#This Row],[ST]],0)</f>
        <v>0</v>
      </c>
      <c r="AB2746">
        <f>ROUND(Mecze[[#This Row],[PD]]*Mecze[[#This Row],[%PC]],0)</f>
        <v>5</v>
      </c>
      <c r="AC2746">
        <f>ROUND(Mecze[[#This Row],[OD]]*Mecze[[#This Row],[%OU]],0)</f>
        <v>2</v>
      </c>
      <c r="AD2746" s="36" t="s">
        <v>168</v>
      </c>
      <c r="AE2746" s="36">
        <v>154</v>
      </c>
      <c r="AF2746" s="71">
        <v>4.6399999999999997</v>
      </c>
      <c r="AG2746" s="37">
        <v>0</v>
      </c>
      <c r="AH2746" s="37">
        <v>0</v>
      </c>
      <c r="AI2746" s="37">
        <v>98</v>
      </c>
      <c r="AJ2746" s="37">
        <v>1</v>
      </c>
      <c r="AK2746" s="37" t="str">
        <f>VLOOKUP(Mecze[[#This Row],[Match ID]],Meczusie[Mecz]:Meczusie[RodzajMeczu],2,FALSE)</f>
        <v>Puchar</v>
      </c>
    </row>
    <row r="2747" spans="1:37" x14ac:dyDescent="0.25">
      <c r="A2747" s="76">
        <v>8</v>
      </c>
      <c r="B2747" s="3" t="s">
        <v>154</v>
      </c>
      <c r="C2747" s="2" t="s">
        <v>160</v>
      </c>
      <c r="D2747" s="1">
        <v>0</v>
      </c>
      <c r="E2747" s="1">
        <v>0</v>
      </c>
      <c r="F2747" s="1">
        <v>0</v>
      </c>
      <c r="G2747" s="1">
        <v>12</v>
      </c>
      <c r="H2747" s="4">
        <v>0.33</v>
      </c>
      <c r="I2747" s="1">
        <v>7</v>
      </c>
      <c r="J2747" s="4">
        <v>0.14000000000000001</v>
      </c>
      <c r="K2747" s="1">
        <v>0</v>
      </c>
      <c r="L2747" s="1">
        <v>3</v>
      </c>
      <c r="M2747" s="32">
        <f>IF(Mecze[[#This Row],[PR]]=0,0,Mecze[[#This Row],[PR]]/Mecze[[#This Row],[CZAS]])</f>
        <v>3.0612244897959183E-2</v>
      </c>
      <c r="N2747" s="32">
        <f>IF(Mecze[[#This Row],[OU]]=0,0,Mecze[[#This Row],[OU]]/Mecze[[#This Row],[CZAS]])</f>
        <v>1.020408163265306E-2</v>
      </c>
      <c r="O2747" s="32">
        <f>IF(Mecze[[#This Row],[PC]]=0,0,Mecze[[#This Row],[PC]]/Mecze[[#This Row],[CZAS]])</f>
        <v>4.0816326530612242E-2</v>
      </c>
      <c r="P2747" s="32">
        <f>IF(Mecze[[#This Row],[SC]]=0,0,Mecze[[#This Row],[SC]]/Mecze[[#This Row],[CZAS]])</f>
        <v>0</v>
      </c>
      <c r="Q2747" s="32">
        <f>IF(Mecze[[#This Row],[OB]]=0,0,Mecze[[#This Row],[OB]]/Mecze[[#This Row],[CZAS]])</f>
        <v>0</v>
      </c>
      <c r="R2747" s="32">
        <f>IF(Mecze[[#This Row],[BR]]=0,0,Mecze[[#This Row],[BR]]/Mecze[[#This Row],[CZAS]])</f>
        <v>0</v>
      </c>
      <c r="S2747" s="44">
        <f>IF(Mecze[[#This Row],[Role]]="BR",SUMPRODUCT(Mecze[[#This Row],[/PR:90]:[/BR:90]],Brudnopis!$E$23:$J$23),0)</f>
        <v>0</v>
      </c>
      <c r="T2747" s="44">
        <f>IF(Mecze[[#This Row],[Role]]&lt;&gt;"BR",SUMPRODUCT(Mecze[[#This Row],[/PR:90]:[/BR:90]],Brudnopis!$E$24:$J$24),0)</f>
        <v>8.6734693877551006E-2</v>
      </c>
      <c r="U2747" s="44">
        <f>IF(Mecze[[#This Row],[Role]]&lt;&gt;"BR",SUMPRODUCT(Mecze[[#This Row],[/PR:90]:[/BR:90]],Brudnopis!$E$25:$J$25),0)</f>
        <v>0.10204081632653061</v>
      </c>
      <c r="V2747" s="44">
        <f>IF(Mecze[[#This Row],[Role]]&lt;&gt;"BR",SUMPRODUCT(Mecze[[#This Row],[/PR:90]:[/BR:90]],Brudnopis!$E$26:$J$26),0)</f>
        <v>8.1632653061224483E-2</v>
      </c>
      <c r="W2747" s="44">
        <f>IF(Mecze[[#This Row],[Role]]&lt;&gt;"BR",SUMPRODUCT(Mecze[[#This Row],[/PR:90]:[/BR:90]],Brudnopis!$E$27:$J$27),0)</f>
        <v>9.1836734693877542E-2</v>
      </c>
      <c r="X2747" s="44">
        <f>IF(Mecze[[#This Row],[Role]]&lt;&gt;"BR",SUMPRODUCT(Mecze[[#This Row],[/PR:90]:[/BR:90]],Brudnopis!$E$28:$J$28),0)</f>
        <v>4.0816326530612242E-2</v>
      </c>
      <c r="Y2747" s="35">
        <f>IF(Mecze[[#This Row],[Role]]="BR",Mecze[[#This Row],[/OB:90]]+Mecze[[#This Row],[/PC:90]],SUM(Mecze[[#This Row],[/PR:90]:[/BR:90]]))</f>
        <v>8.1632653061224483E-2</v>
      </c>
      <c r="Z2747" s="35">
        <f>IF(Mecze[[#This Row],[KC]]=0,SUM(Mecze[[#This Row],[/BRI]:[/NPI]]),SUM(Mecze[[#This Row],[/BRI]:[/NPI]])*0.6)</f>
        <v>0.40306122448979587</v>
      </c>
      <c r="AA2747" s="10">
        <f>IFERROR(Mecze[[#This Row],[BR]]/Mecze[[#This Row],[ST]],0)</f>
        <v>0</v>
      </c>
      <c r="AB2747">
        <f>ROUND(Mecze[[#This Row],[PD]]*Mecze[[#This Row],[%PC]],0)</f>
        <v>4</v>
      </c>
      <c r="AC2747">
        <f>ROUND(Mecze[[#This Row],[OD]]*Mecze[[#This Row],[%OU]],0)</f>
        <v>1</v>
      </c>
      <c r="AD2747" s="36" t="s">
        <v>41</v>
      </c>
      <c r="AE2747" s="36">
        <v>154</v>
      </c>
      <c r="AF2747" s="71">
        <v>3.33</v>
      </c>
      <c r="AG2747" s="37">
        <v>0</v>
      </c>
      <c r="AH2747" s="37">
        <v>0</v>
      </c>
      <c r="AI2747" s="37">
        <v>98</v>
      </c>
      <c r="AJ2747" s="37">
        <v>1</v>
      </c>
      <c r="AK2747" s="37" t="str">
        <f>VLOOKUP(Mecze[[#This Row],[Match ID]],Meczusie[Mecz]:Meczusie[RodzajMeczu],2,FALSE)</f>
        <v>Puchar</v>
      </c>
    </row>
    <row r="2748" spans="1:37" x14ac:dyDescent="0.25">
      <c r="A2748" s="76">
        <v>6</v>
      </c>
      <c r="B2748" s="3" t="s">
        <v>159</v>
      </c>
      <c r="C2748" s="2" t="s">
        <v>160</v>
      </c>
      <c r="D2748" s="1">
        <v>0</v>
      </c>
      <c r="E2748" s="1">
        <v>0</v>
      </c>
      <c r="F2748" s="1">
        <v>0</v>
      </c>
      <c r="G2748" s="1">
        <v>11</v>
      </c>
      <c r="H2748" s="4">
        <v>0.45</v>
      </c>
      <c r="I2748" s="1">
        <v>2</v>
      </c>
      <c r="J2748" s="4">
        <v>0.5</v>
      </c>
      <c r="K2748" s="1">
        <v>0</v>
      </c>
      <c r="L2748" s="1">
        <v>5</v>
      </c>
      <c r="M2748" s="32">
        <f>IF(Mecze[[#This Row],[PR]]=0,0,Mecze[[#This Row],[PR]]/Mecze[[#This Row],[CZAS]])</f>
        <v>5.1020408163265307E-2</v>
      </c>
      <c r="N2748" s="32">
        <f>IF(Mecze[[#This Row],[OU]]=0,0,Mecze[[#This Row],[OU]]/Mecze[[#This Row],[CZAS]])</f>
        <v>1.020408163265306E-2</v>
      </c>
      <c r="O2748" s="32">
        <f>IF(Mecze[[#This Row],[PC]]=0,0,Mecze[[#This Row],[PC]]/Mecze[[#This Row],[CZAS]])</f>
        <v>5.1020408163265307E-2</v>
      </c>
      <c r="P2748" s="32">
        <f>IF(Mecze[[#This Row],[SC]]=0,0,Mecze[[#This Row],[SC]]/Mecze[[#This Row],[CZAS]])</f>
        <v>0</v>
      </c>
      <c r="Q2748" s="32">
        <f>IF(Mecze[[#This Row],[OB]]=0,0,Mecze[[#This Row],[OB]]/Mecze[[#This Row],[CZAS]])</f>
        <v>0</v>
      </c>
      <c r="R2748" s="32">
        <f>IF(Mecze[[#This Row],[BR]]=0,0,Mecze[[#This Row],[BR]]/Mecze[[#This Row],[CZAS]])</f>
        <v>0</v>
      </c>
      <c r="S2748" s="44">
        <f>IF(Mecze[[#This Row],[Role]]="BR",SUMPRODUCT(Mecze[[#This Row],[/PR:90]:[/BR:90]],Brudnopis!$E$23:$J$23),0)</f>
        <v>0</v>
      </c>
      <c r="T2748" s="44">
        <f>IF(Mecze[[#This Row],[Role]]&lt;&gt;"BR",SUMPRODUCT(Mecze[[#This Row],[/PR:90]:[/BR:90]],Brudnopis!$E$24:$J$24),0)</f>
        <v>0.11734693877551021</v>
      </c>
      <c r="U2748" s="44">
        <f>IF(Mecze[[#This Row],[Role]]&lt;&gt;"BR",SUMPRODUCT(Mecze[[#This Row],[/PR:90]:[/BR:90]],Brudnopis!$E$25:$J$25),0)</f>
        <v>0.13775510204081631</v>
      </c>
      <c r="V2748" s="44">
        <f>IF(Mecze[[#This Row],[Role]]&lt;&gt;"BR",SUMPRODUCT(Mecze[[#This Row],[/PR:90]:[/BR:90]],Brudnopis!$E$26:$J$26),0)</f>
        <v>0.11224489795918367</v>
      </c>
      <c r="W2748" s="44">
        <f>IF(Mecze[[#This Row],[Role]]&lt;&gt;"BR",SUMPRODUCT(Mecze[[#This Row],[/PR:90]:[/BR:90]],Brudnopis!$E$27:$J$27),0)</f>
        <v>0.12244897959183673</v>
      </c>
      <c r="X2748" s="44">
        <f>IF(Mecze[[#This Row],[Role]]&lt;&gt;"BR",SUMPRODUCT(Mecze[[#This Row],[/PR:90]:[/BR:90]],Brudnopis!$E$28:$J$28),0)</f>
        <v>5.1020408163265307E-2</v>
      </c>
      <c r="Y2748" s="35">
        <f>IF(Mecze[[#This Row],[Role]]="BR",Mecze[[#This Row],[/OB:90]]+Mecze[[#This Row],[/PC:90]],SUM(Mecze[[#This Row],[/PR:90]:[/BR:90]]))</f>
        <v>0.11224489795918367</v>
      </c>
      <c r="Z2748" s="35">
        <f>IF(Mecze[[#This Row],[KC]]=0,SUM(Mecze[[#This Row],[/BRI]:[/NPI]]),SUM(Mecze[[#This Row],[/BRI]:[/NPI]])*0.6)</f>
        <v>0.54081632653061229</v>
      </c>
      <c r="AA2748" s="10">
        <f>IFERROR(Mecze[[#This Row],[BR]]/Mecze[[#This Row],[ST]],0)</f>
        <v>0</v>
      </c>
      <c r="AB2748">
        <f>ROUND(Mecze[[#This Row],[PD]]*Mecze[[#This Row],[%PC]],0)</f>
        <v>5</v>
      </c>
      <c r="AC2748">
        <f>ROUND(Mecze[[#This Row],[OD]]*Mecze[[#This Row],[%OU]],0)</f>
        <v>1</v>
      </c>
      <c r="AD2748" s="36" t="s">
        <v>41</v>
      </c>
      <c r="AE2748" s="36">
        <v>154</v>
      </c>
      <c r="AF2748" s="71">
        <v>3.75</v>
      </c>
      <c r="AG2748" s="37">
        <v>0</v>
      </c>
      <c r="AH2748" s="37">
        <v>0</v>
      </c>
      <c r="AI2748" s="37">
        <v>98</v>
      </c>
      <c r="AJ2748" s="37">
        <v>1</v>
      </c>
      <c r="AK2748" s="37" t="str">
        <f>VLOOKUP(Mecze[[#This Row],[Match ID]],Meczusie[Mecz]:Meczusie[RodzajMeczu],2,FALSE)</f>
        <v>Puchar</v>
      </c>
    </row>
    <row r="2749" spans="1:37" x14ac:dyDescent="0.25">
      <c r="A2749" s="76">
        <v>15</v>
      </c>
      <c r="B2749" s="3" t="s">
        <v>170</v>
      </c>
      <c r="C2749" s="2" t="s">
        <v>160</v>
      </c>
      <c r="D2749" s="1">
        <v>0</v>
      </c>
      <c r="E2749" s="1">
        <v>0</v>
      </c>
      <c r="F2749" s="1">
        <v>0</v>
      </c>
      <c r="G2749" s="1">
        <v>11</v>
      </c>
      <c r="H2749" s="4">
        <v>0.64</v>
      </c>
      <c r="I2749" s="1">
        <v>3</v>
      </c>
      <c r="J2749" s="4">
        <v>0.67</v>
      </c>
      <c r="K2749" s="1">
        <v>0</v>
      </c>
      <c r="L2749" s="1">
        <v>3</v>
      </c>
      <c r="M2749" s="32">
        <f>IF(Mecze[[#This Row],[PR]]=0,0,Mecze[[#This Row],[PR]]/Mecze[[#This Row],[CZAS]])</f>
        <v>3.0612244897959183E-2</v>
      </c>
      <c r="N2749" s="32">
        <f>IF(Mecze[[#This Row],[OU]]=0,0,Mecze[[#This Row],[OU]]/Mecze[[#This Row],[CZAS]])</f>
        <v>2.0408163265306121E-2</v>
      </c>
      <c r="O2749" s="32">
        <f>IF(Mecze[[#This Row],[PC]]=0,0,Mecze[[#This Row],[PC]]/Mecze[[#This Row],[CZAS]])</f>
        <v>7.1428571428571425E-2</v>
      </c>
      <c r="P2749" s="32">
        <f>IF(Mecze[[#This Row],[SC]]=0,0,Mecze[[#This Row],[SC]]/Mecze[[#This Row],[CZAS]])</f>
        <v>0</v>
      </c>
      <c r="Q2749" s="32">
        <f>IF(Mecze[[#This Row],[OB]]=0,0,Mecze[[#This Row],[OB]]/Mecze[[#This Row],[CZAS]])</f>
        <v>0</v>
      </c>
      <c r="R2749" s="32">
        <f>IF(Mecze[[#This Row],[BR]]=0,0,Mecze[[#This Row],[BR]]/Mecze[[#This Row],[CZAS]])</f>
        <v>0</v>
      </c>
      <c r="S2749" s="44">
        <f>IF(Mecze[[#This Row],[Role]]="BR",SUMPRODUCT(Mecze[[#This Row],[/PR:90]:[/BR:90]],Brudnopis!$E$23:$J$23),0)</f>
        <v>0</v>
      </c>
      <c r="T2749" s="44">
        <f>IF(Mecze[[#This Row],[Role]]&lt;&gt;"BR",SUMPRODUCT(Mecze[[#This Row],[/PR:90]:[/BR:90]],Brudnopis!$E$24:$J$24),0)</f>
        <v>0.13265306122448978</v>
      </c>
      <c r="U2749" s="44">
        <f>IF(Mecze[[#This Row],[Role]]&lt;&gt;"BR",SUMPRODUCT(Mecze[[#This Row],[/PR:90]:[/BR:90]],Brudnopis!$E$25:$J$25),0)</f>
        <v>0.15816326530612246</v>
      </c>
      <c r="V2749" s="44">
        <f>IF(Mecze[[#This Row],[Role]]&lt;&gt;"BR",SUMPRODUCT(Mecze[[#This Row],[/PR:90]:[/BR:90]],Brudnopis!$E$26:$J$26),0)</f>
        <v>0.12244897959183673</v>
      </c>
      <c r="W2749" s="44">
        <f>IF(Mecze[[#This Row],[Role]]&lt;&gt;"BR",SUMPRODUCT(Mecze[[#This Row],[/PR:90]:[/BR:90]],Brudnopis!$E$27:$J$27),0)</f>
        <v>0.14540816326530612</v>
      </c>
      <c r="X2749" s="44">
        <f>IF(Mecze[[#This Row],[Role]]&lt;&gt;"BR",SUMPRODUCT(Mecze[[#This Row],[/PR:90]:[/BR:90]],Brudnopis!$E$28:$J$28),0)</f>
        <v>7.1428571428571425E-2</v>
      </c>
      <c r="Y2749" s="35">
        <f>IF(Mecze[[#This Row],[Role]]="BR",Mecze[[#This Row],[/OB:90]]+Mecze[[#This Row],[/PC:90]],SUM(Mecze[[#This Row],[/PR:90]:[/BR:90]]))</f>
        <v>0.12244897959183673</v>
      </c>
      <c r="Z2749" s="35">
        <f>IF(Mecze[[#This Row],[KC]]=0,SUM(Mecze[[#This Row],[/BRI]:[/NPI]]),SUM(Mecze[[#This Row],[/BRI]:[/NPI]])*0.6)</f>
        <v>0.63010204081632648</v>
      </c>
      <c r="AA2749" s="10">
        <f>IFERROR(Mecze[[#This Row],[BR]]/Mecze[[#This Row],[ST]],0)</f>
        <v>0</v>
      </c>
      <c r="AB2749">
        <f>ROUND(Mecze[[#This Row],[PD]]*Mecze[[#This Row],[%PC]],0)</f>
        <v>7</v>
      </c>
      <c r="AC2749">
        <f>ROUND(Mecze[[#This Row],[OD]]*Mecze[[#This Row],[%OU]],0)</f>
        <v>2</v>
      </c>
      <c r="AD2749" s="36" t="s">
        <v>67</v>
      </c>
      <c r="AE2749" s="36">
        <v>154</v>
      </c>
      <c r="AF2749" s="71">
        <v>3.43</v>
      </c>
      <c r="AG2749" s="37">
        <v>1</v>
      </c>
      <c r="AH2749" s="37">
        <v>0</v>
      </c>
      <c r="AI2749" s="37">
        <v>98</v>
      </c>
      <c r="AJ2749" s="37">
        <v>1</v>
      </c>
      <c r="AK2749" s="37" t="str">
        <f>VLOOKUP(Mecze[[#This Row],[Match ID]],Meczusie[Mecz]:Meczusie[RodzajMeczu],2,FALSE)</f>
        <v>Puchar</v>
      </c>
    </row>
    <row r="2750" spans="1:37" x14ac:dyDescent="0.25">
      <c r="A2750" s="76">
        <v>13</v>
      </c>
      <c r="B2750" s="3" t="s">
        <v>162</v>
      </c>
      <c r="C2750" s="2" t="s">
        <v>160</v>
      </c>
      <c r="D2750" s="1">
        <v>0</v>
      </c>
      <c r="E2750" s="1">
        <v>0</v>
      </c>
      <c r="F2750" s="1">
        <v>0</v>
      </c>
      <c r="G2750" s="1">
        <v>4</v>
      </c>
      <c r="H2750" s="4">
        <v>0.5</v>
      </c>
      <c r="I2750" s="1">
        <v>3</v>
      </c>
      <c r="J2750" s="4">
        <v>0</v>
      </c>
      <c r="K2750" s="1">
        <v>0</v>
      </c>
      <c r="L2750" s="1">
        <v>0</v>
      </c>
      <c r="M2750" s="32">
        <f>IF(Mecze[[#This Row],[PR]]=0,0,Mecze[[#This Row],[PR]]/Mecze[[#This Row],[CZAS]])</f>
        <v>0</v>
      </c>
      <c r="N2750" s="32">
        <f>IF(Mecze[[#This Row],[OU]]=0,0,Mecze[[#This Row],[OU]]/Mecze[[#This Row],[CZAS]])</f>
        <v>0</v>
      </c>
      <c r="O2750" s="32">
        <f>IF(Mecze[[#This Row],[PC]]=0,0,Mecze[[#This Row],[PC]]/Mecze[[#This Row],[CZAS]])</f>
        <v>2.0408163265306121E-2</v>
      </c>
      <c r="P2750" s="32">
        <f>IF(Mecze[[#This Row],[SC]]=0,0,Mecze[[#This Row],[SC]]/Mecze[[#This Row],[CZAS]])</f>
        <v>0</v>
      </c>
      <c r="Q2750" s="32">
        <f>IF(Mecze[[#This Row],[OB]]=0,0,Mecze[[#This Row],[OB]]/Mecze[[#This Row],[CZAS]])</f>
        <v>0</v>
      </c>
      <c r="R2750" s="32">
        <f>IF(Mecze[[#This Row],[BR]]=0,0,Mecze[[#This Row],[BR]]/Mecze[[#This Row],[CZAS]])</f>
        <v>0</v>
      </c>
      <c r="S2750" s="44">
        <f>IF(Mecze[[#This Row],[Role]]="BR",SUMPRODUCT(Mecze[[#This Row],[/PR:90]:[/BR:90]],Brudnopis!$E$23:$J$23),0)</f>
        <v>0</v>
      </c>
      <c r="T2750" s="44">
        <f>IF(Mecze[[#This Row],[Role]]&lt;&gt;"BR",SUMPRODUCT(Mecze[[#This Row],[/PR:90]:[/BR:90]],Brudnopis!$E$24:$J$24),0)</f>
        <v>2.0408163265306121E-2</v>
      </c>
      <c r="U2750" s="44">
        <f>IF(Mecze[[#This Row],[Role]]&lt;&gt;"BR",SUMPRODUCT(Mecze[[#This Row],[/PR:90]:[/BR:90]],Brudnopis!$E$25:$J$25),0)</f>
        <v>3.0612244897959183E-2</v>
      </c>
      <c r="V2750" s="44">
        <f>IF(Mecze[[#This Row],[Role]]&lt;&gt;"BR",SUMPRODUCT(Mecze[[#This Row],[/PR:90]:[/BR:90]],Brudnopis!$E$26:$J$26),0)</f>
        <v>2.0408163265306121E-2</v>
      </c>
      <c r="W2750" s="44">
        <f>IF(Mecze[[#This Row],[Role]]&lt;&gt;"BR",SUMPRODUCT(Mecze[[#This Row],[/PR:90]:[/BR:90]],Brudnopis!$E$27:$J$27),0)</f>
        <v>3.0612244897959183E-2</v>
      </c>
      <c r="X2750" s="44">
        <f>IF(Mecze[[#This Row],[Role]]&lt;&gt;"BR",SUMPRODUCT(Mecze[[#This Row],[/PR:90]:[/BR:90]],Brudnopis!$E$28:$J$28),0)</f>
        <v>2.0408163265306121E-2</v>
      </c>
      <c r="Y2750" s="35">
        <f>IF(Mecze[[#This Row],[Role]]="BR",Mecze[[#This Row],[/OB:90]]+Mecze[[#This Row],[/PC:90]],SUM(Mecze[[#This Row],[/PR:90]:[/BR:90]]))</f>
        <v>2.0408163265306121E-2</v>
      </c>
      <c r="Z2750" s="35">
        <f>IF(Mecze[[#This Row],[KC]]=0,SUM(Mecze[[#This Row],[/BRI]:[/NPI]]),SUM(Mecze[[#This Row],[/BRI]:[/NPI]])*0.6)</f>
        <v>0.12244897959183673</v>
      </c>
      <c r="AA2750" s="10">
        <f>IFERROR(Mecze[[#This Row],[BR]]/Mecze[[#This Row],[ST]],0)</f>
        <v>0</v>
      </c>
      <c r="AB2750">
        <f>ROUND(Mecze[[#This Row],[PD]]*Mecze[[#This Row],[%PC]],0)</f>
        <v>2</v>
      </c>
      <c r="AC2750">
        <f>ROUND(Mecze[[#This Row],[OD]]*Mecze[[#This Row],[%OU]],0)</f>
        <v>0</v>
      </c>
      <c r="AD2750" s="36" t="s">
        <v>299</v>
      </c>
      <c r="AE2750" s="36">
        <v>154</v>
      </c>
      <c r="AF2750" s="71">
        <v>2.7</v>
      </c>
      <c r="AG2750" s="37">
        <v>0</v>
      </c>
      <c r="AH2750" s="37">
        <v>0</v>
      </c>
      <c r="AI2750" s="37">
        <v>98</v>
      </c>
      <c r="AJ2750" s="37">
        <v>1</v>
      </c>
      <c r="AK2750" s="37" t="str">
        <f>VLOOKUP(Mecze[[#This Row],[Match ID]],Meczusie[Mecz]:Meczusie[RodzajMeczu],2,FALSE)</f>
        <v>Puchar</v>
      </c>
    </row>
    <row r="2751" spans="1:37" x14ac:dyDescent="0.25">
      <c r="A2751" s="76">
        <v>14</v>
      </c>
      <c r="B2751" s="3" t="s">
        <v>164</v>
      </c>
      <c r="C2751" s="2" t="s">
        <v>165</v>
      </c>
      <c r="D2751" s="1">
        <v>0</v>
      </c>
      <c r="E2751" s="1">
        <v>2</v>
      </c>
      <c r="F2751" s="1">
        <v>2</v>
      </c>
      <c r="G2751" s="1">
        <v>5</v>
      </c>
      <c r="H2751" s="4">
        <v>0.2</v>
      </c>
      <c r="I2751" s="1">
        <v>1</v>
      </c>
      <c r="J2751" s="4">
        <v>0</v>
      </c>
      <c r="K2751" s="1">
        <v>0</v>
      </c>
      <c r="L2751" s="1">
        <v>0</v>
      </c>
      <c r="M2751" s="32">
        <f>IF(Mecze[[#This Row],[PR]]=0,0,Mecze[[#This Row],[PR]]/Mecze[[#This Row],[CZAS]])</f>
        <v>0</v>
      </c>
      <c r="N2751" s="32">
        <f>IF(Mecze[[#This Row],[OU]]=0,0,Mecze[[#This Row],[OU]]/Mecze[[#This Row],[CZAS]])</f>
        <v>0</v>
      </c>
      <c r="O2751" s="32">
        <f>IF(Mecze[[#This Row],[PC]]=0,0,Mecze[[#This Row],[PC]]/Mecze[[#This Row],[CZAS]])</f>
        <v>1.020408163265306E-2</v>
      </c>
      <c r="P2751" s="32">
        <f>IF(Mecze[[#This Row],[SC]]=0,0,Mecze[[#This Row],[SC]]/Mecze[[#This Row],[CZAS]])</f>
        <v>2.0408163265306121E-2</v>
      </c>
      <c r="Q2751" s="32">
        <f>IF(Mecze[[#This Row],[OB]]=0,0,Mecze[[#This Row],[OB]]/Mecze[[#This Row],[CZAS]])</f>
        <v>0</v>
      </c>
      <c r="R2751" s="32">
        <f>IF(Mecze[[#This Row],[BR]]=0,0,Mecze[[#This Row],[BR]]/Mecze[[#This Row],[CZAS]])</f>
        <v>0</v>
      </c>
      <c r="S2751" s="44">
        <f>IF(Mecze[[#This Row],[Role]]="BR",SUMPRODUCT(Mecze[[#This Row],[/PR:90]:[/BR:90]],Brudnopis!$E$23:$J$23),0)</f>
        <v>0</v>
      </c>
      <c r="T2751" s="44">
        <f>IF(Mecze[[#This Row],[Role]]&lt;&gt;"BR",SUMPRODUCT(Mecze[[#This Row],[/PR:90]:[/BR:90]],Brudnopis!$E$24:$J$24),0)</f>
        <v>3.0612244897959183E-2</v>
      </c>
      <c r="U2751" s="44">
        <f>IF(Mecze[[#This Row],[Role]]&lt;&gt;"BR",SUMPRODUCT(Mecze[[#This Row],[/PR:90]:[/BR:90]],Brudnopis!$E$25:$J$25),0)</f>
        <v>3.5714285714285712E-2</v>
      </c>
      <c r="V2751" s="44">
        <f>IF(Mecze[[#This Row],[Role]]&lt;&gt;"BR",SUMPRODUCT(Mecze[[#This Row],[/PR:90]:[/BR:90]],Brudnopis!$E$26:$J$26),0)</f>
        <v>3.0612244897959183E-2</v>
      </c>
      <c r="W2751" s="44">
        <f>IF(Mecze[[#This Row],[Role]]&lt;&gt;"BR",SUMPRODUCT(Mecze[[#This Row],[/PR:90]:[/BR:90]],Brudnopis!$E$27:$J$27),0)</f>
        <v>3.5714285714285712E-2</v>
      </c>
      <c r="X2751" s="44">
        <f>IF(Mecze[[#This Row],[Role]]&lt;&gt;"BR",SUMPRODUCT(Mecze[[#This Row],[/PR:90]:[/BR:90]],Brudnopis!$E$28:$J$28),0)</f>
        <v>5.10204081632653E-2</v>
      </c>
      <c r="Y2751" s="35">
        <f>IF(Mecze[[#This Row],[Role]]="BR",Mecze[[#This Row],[/OB:90]]+Mecze[[#This Row],[/PC:90]],SUM(Mecze[[#This Row],[/PR:90]:[/BR:90]]))</f>
        <v>3.0612244897959183E-2</v>
      </c>
      <c r="Z2751" s="35">
        <f>IF(Mecze[[#This Row],[KC]]=0,SUM(Mecze[[#This Row],[/BRI]:[/NPI]]),SUM(Mecze[[#This Row],[/BRI]:[/NPI]])*0.6)</f>
        <v>0.18367346938775508</v>
      </c>
      <c r="AA2751" s="10">
        <f>IFERROR(Mecze[[#This Row],[BR]]/Mecze[[#This Row],[ST]],0)</f>
        <v>0</v>
      </c>
      <c r="AB2751">
        <f>ROUND(Mecze[[#This Row],[PD]]*Mecze[[#This Row],[%PC]],0)</f>
        <v>1</v>
      </c>
      <c r="AC2751">
        <f>ROUND(Mecze[[#This Row],[OD]]*Mecze[[#This Row],[%OU]],0)</f>
        <v>0</v>
      </c>
      <c r="AD2751" s="36" t="s">
        <v>46</v>
      </c>
      <c r="AE2751" s="36">
        <v>154</v>
      </c>
      <c r="AF2751" s="71">
        <v>3.15</v>
      </c>
      <c r="AG2751" s="37">
        <v>0</v>
      </c>
      <c r="AH2751" s="37">
        <v>0</v>
      </c>
      <c r="AI2751" s="37">
        <v>98</v>
      </c>
      <c r="AJ2751" s="37">
        <v>1</v>
      </c>
      <c r="AK2751" s="37" t="str">
        <f>VLOOKUP(Mecze[[#This Row],[Match ID]],Meczusie[Mecz]:Meczusie[RodzajMeczu],2,FALSE)</f>
        <v>Puchar</v>
      </c>
    </row>
    <row r="2752" spans="1:37" x14ac:dyDescent="0.25">
      <c r="A2752" s="76">
        <v>9</v>
      </c>
      <c r="B2752" s="3" t="s">
        <v>411</v>
      </c>
      <c r="C2752" s="2" t="s">
        <v>165</v>
      </c>
      <c r="D2752" s="1">
        <v>0</v>
      </c>
      <c r="E2752" s="1">
        <v>0</v>
      </c>
      <c r="F2752" s="1">
        <v>0</v>
      </c>
      <c r="G2752" s="1">
        <v>3</v>
      </c>
      <c r="H2752" s="4">
        <v>0</v>
      </c>
      <c r="I2752" s="1">
        <v>3</v>
      </c>
      <c r="J2752" s="4">
        <v>0.33</v>
      </c>
      <c r="K2752" s="1">
        <v>0</v>
      </c>
      <c r="L2752" s="1">
        <v>1</v>
      </c>
      <c r="M2752" s="32">
        <f>IF(Mecze[[#This Row],[PR]]=0,0,Mecze[[#This Row],[PR]]/Mecze[[#This Row],[CZAS]])</f>
        <v>1.020408163265306E-2</v>
      </c>
      <c r="N2752" s="32">
        <f>IF(Mecze[[#This Row],[OU]]=0,0,Mecze[[#This Row],[OU]]/Mecze[[#This Row],[CZAS]])</f>
        <v>1.020408163265306E-2</v>
      </c>
      <c r="O2752" s="32">
        <f>IF(Mecze[[#This Row],[PC]]=0,0,Mecze[[#This Row],[PC]]/Mecze[[#This Row],[CZAS]])</f>
        <v>0</v>
      </c>
      <c r="P2752" s="32">
        <f>IF(Mecze[[#This Row],[SC]]=0,0,Mecze[[#This Row],[SC]]/Mecze[[#This Row],[CZAS]])</f>
        <v>0</v>
      </c>
      <c r="Q2752" s="32">
        <f>IF(Mecze[[#This Row],[OB]]=0,0,Mecze[[#This Row],[OB]]/Mecze[[#This Row],[CZAS]])</f>
        <v>0</v>
      </c>
      <c r="R2752" s="32">
        <f>IF(Mecze[[#This Row],[BR]]=0,0,Mecze[[#This Row],[BR]]/Mecze[[#This Row],[CZAS]])</f>
        <v>0</v>
      </c>
      <c r="S2752" s="44">
        <f>IF(Mecze[[#This Row],[Role]]="BR",SUMPRODUCT(Mecze[[#This Row],[/PR:90]:[/BR:90]],Brudnopis!$E$23:$J$23),0)</f>
        <v>0</v>
      </c>
      <c r="T2752" s="44">
        <f>IF(Mecze[[#This Row],[Role]]&lt;&gt;"BR",SUMPRODUCT(Mecze[[#This Row],[/PR:90]:[/BR:90]],Brudnopis!$E$24:$J$24),0)</f>
        <v>2.5510204081632654E-2</v>
      </c>
      <c r="U2752" s="44">
        <f>IF(Mecze[[#This Row],[Role]]&lt;&gt;"BR",SUMPRODUCT(Mecze[[#This Row],[/PR:90]:[/BR:90]],Brudnopis!$E$25:$J$25),0)</f>
        <v>2.0408163265306121E-2</v>
      </c>
      <c r="V2752" s="44">
        <f>IF(Mecze[[#This Row],[Role]]&lt;&gt;"BR",SUMPRODUCT(Mecze[[#This Row],[/PR:90]:[/BR:90]],Brudnopis!$E$26:$J$26),0)</f>
        <v>2.0408163265306121E-2</v>
      </c>
      <c r="W2752" s="44">
        <f>IF(Mecze[[#This Row],[Role]]&lt;&gt;"BR",SUMPRODUCT(Mecze[[#This Row],[/PR:90]:[/BR:90]],Brudnopis!$E$27:$J$27),0)</f>
        <v>1.5306122448979591E-2</v>
      </c>
      <c r="X2752" s="44">
        <f>IF(Mecze[[#This Row],[Role]]&lt;&gt;"BR",SUMPRODUCT(Mecze[[#This Row],[/PR:90]:[/BR:90]],Brudnopis!$E$28:$J$28),0)</f>
        <v>0</v>
      </c>
      <c r="Y2752" s="35">
        <f>IF(Mecze[[#This Row],[Role]]="BR",Mecze[[#This Row],[/OB:90]]+Mecze[[#This Row],[/PC:90]],SUM(Mecze[[#This Row],[/PR:90]:[/BR:90]]))</f>
        <v>2.0408163265306121E-2</v>
      </c>
      <c r="Z2752" s="35">
        <f>IF(Mecze[[#This Row],[KC]]=0,SUM(Mecze[[#This Row],[/BRI]:[/NPI]]),SUM(Mecze[[#This Row],[/BRI]:[/NPI]])*0.6)</f>
        <v>8.1632653061224483E-2</v>
      </c>
      <c r="AA2752" s="10">
        <f>IFERROR(Mecze[[#This Row],[BR]]/Mecze[[#This Row],[ST]],0)</f>
        <v>0</v>
      </c>
      <c r="AB2752">
        <f>ROUND(Mecze[[#This Row],[PD]]*Mecze[[#This Row],[%PC]],0)</f>
        <v>0</v>
      </c>
      <c r="AC2752">
        <f>ROUND(Mecze[[#This Row],[OD]]*Mecze[[#This Row],[%OU]],0)</f>
        <v>1</v>
      </c>
      <c r="AD2752" s="36" t="s">
        <v>272</v>
      </c>
      <c r="AE2752" s="36">
        <v>154</v>
      </c>
      <c r="AF2752" s="71">
        <v>2.71</v>
      </c>
      <c r="AG2752" s="37">
        <v>0</v>
      </c>
      <c r="AH2752" s="37">
        <v>0</v>
      </c>
      <c r="AI2752" s="37">
        <v>98</v>
      </c>
      <c r="AJ2752" s="37">
        <v>1</v>
      </c>
      <c r="AK2752" s="37" t="str">
        <f>VLOOKUP(Mecze[[#This Row],[Match ID]],Meczusie[Mecz]:Meczusie[RodzajMeczu],2,FALSE)</f>
        <v>Puchar</v>
      </c>
    </row>
    <row r="2753" spans="1:37" x14ac:dyDescent="0.25">
      <c r="A2753" s="76">
        <v>19</v>
      </c>
      <c r="B2753" s="3" t="s">
        <v>166</v>
      </c>
      <c r="C2753" s="2" t="s">
        <v>165</v>
      </c>
      <c r="D2753" s="1">
        <v>0</v>
      </c>
      <c r="E2753" s="1">
        <v>3</v>
      </c>
      <c r="F2753" s="1">
        <v>3</v>
      </c>
      <c r="G2753" s="1">
        <v>12</v>
      </c>
      <c r="H2753" s="4">
        <v>0.57999999999999996</v>
      </c>
      <c r="I2753" s="1">
        <v>3</v>
      </c>
      <c r="J2753" s="4">
        <v>0.33</v>
      </c>
      <c r="K2753" s="1">
        <v>0</v>
      </c>
      <c r="L2753" s="1">
        <v>0</v>
      </c>
      <c r="M2753" s="32">
        <f>IF(Mecze[[#This Row],[PR]]=0,0,Mecze[[#This Row],[PR]]/Mecze[[#This Row],[CZAS]])</f>
        <v>0</v>
      </c>
      <c r="N2753" s="32">
        <f>IF(Mecze[[#This Row],[OU]]=0,0,Mecze[[#This Row],[OU]]/Mecze[[#This Row],[CZAS]])</f>
        <v>1.020408163265306E-2</v>
      </c>
      <c r="O2753" s="32">
        <f>IF(Mecze[[#This Row],[PC]]=0,0,Mecze[[#This Row],[PC]]/Mecze[[#This Row],[CZAS]])</f>
        <v>7.1428571428571425E-2</v>
      </c>
      <c r="P2753" s="32">
        <f>IF(Mecze[[#This Row],[SC]]=0,0,Mecze[[#This Row],[SC]]/Mecze[[#This Row],[CZAS]])</f>
        <v>3.0612244897959183E-2</v>
      </c>
      <c r="Q2753" s="32">
        <f>IF(Mecze[[#This Row],[OB]]=0,0,Mecze[[#This Row],[OB]]/Mecze[[#This Row],[CZAS]])</f>
        <v>0</v>
      </c>
      <c r="R2753" s="32">
        <f>IF(Mecze[[#This Row],[BR]]=0,0,Mecze[[#This Row],[BR]]/Mecze[[#This Row],[CZAS]])</f>
        <v>0</v>
      </c>
      <c r="S2753" s="44">
        <f>IF(Mecze[[#This Row],[Role]]="BR",SUMPRODUCT(Mecze[[#This Row],[/PR:90]:[/BR:90]],Brudnopis!$E$23:$J$23),0)</f>
        <v>0</v>
      </c>
      <c r="T2753" s="44">
        <f>IF(Mecze[[#This Row],[Role]]&lt;&gt;"BR",SUMPRODUCT(Mecze[[#This Row],[/PR:90]:[/BR:90]],Brudnopis!$E$24:$J$24),0)</f>
        <v>0.1173469387755102</v>
      </c>
      <c r="U2753" s="44">
        <f>IF(Mecze[[#This Row],[Role]]&lt;&gt;"BR",SUMPRODUCT(Mecze[[#This Row],[/PR:90]:[/BR:90]],Brudnopis!$E$25:$J$25),0)</f>
        <v>0.14795918367346939</v>
      </c>
      <c r="V2753" s="44">
        <f>IF(Mecze[[#This Row],[Role]]&lt;&gt;"BR",SUMPRODUCT(Mecze[[#This Row],[/PR:90]:[/BR:90]],Brudnopis!$E$26:$J$26),0)</f>
        <v>0.11224489795918366</v>
      </c>
      <c r="W2753" s="44">
        <f>IF(Mecze[[#This Row],[Role]]&lt;&gt;"BR",SUMPRODUCT(Mecze[[#This Row],[/PR:90]:[/BR:90]],Brudnopis!$E$27:$J$27),0)</f>
        <v>0.14540816326530612</v>
      </c>
      <c r="X2753" s="44">
        <f>IF(Mecze[[#This Row],[Role]]&lt;&gt;"BR",SUMPRODUCT(Mecze[[#This Row],[/PR:90]:[/BR:90]],Brudnopis!$E$28:$J$28),0)</f>
        <v>0.13265306122448978</v>
      </c>
      <c r="Y2753" s="35">
        <f>IF(Mecze[[#This Row],[Role]]="BR",Mecze[[#This Row],[/OB:90]]+Mecze[[#This Row],[/PC:90]],SUM(Mecze[[#This Row],[/PR:90]:[/BR:90]]))</f>
        <v>0.11224489795918366</v>
      </c>
      <c r="Z2753" s="35">
        <f>IF(Mecze[[#This Row],[KC]]=0,SUM(Mecze[[#This Row],[/BRI]:[/NPI]]),SUM(Mecze[[#This Row],[/BRI]:[/NPI]])*0.6)</f>
        <v>0.65561224489795911</v>
      </c>
      <c r="AA2753" s="10">
        <f>IFERROR(Mecze[[#This Row],[BR]]/Mecze[[#This Row],[ST]],0)</f>
        <v>0</v>
      </c>
      <c r="AB2753">
        <f>ROUND(Mecze[[#This Row],[PD]]*Mecze[[#This Row],[%PC]],0)</f>
        <v>7</v>
      </c>
      <c r="AC2753">
        <f>ROUND(Mecze[[#This Row],[OD]]*Mecze[[#This Row],[%OU]],0)</f>
        <v>1</v>
      </c>
      <c r="AD2753" s="36" t="s">
        <v>46</v>
      </c>
      <c r="AE2753" s="36">
        <v>154</v>
      </c>
      <c r="AF2753" s="71">
        <v>4.7</v>
      </c>
      <c r="AG2753" s="37">
        <v>0</v>
      </c>
      <c r="AH2753" s="37">
        <v>0</v>
      </c>
      <c r="AI2753" s="37">
        <v>98</v>
      </c>
      <c r="AJ2753" s="37">
        <v>1</v>
      </c>
      <c r="AK2753" s="37" t="str">
        <f>VLOOKUP(Mecze[[#This Row],[Match ID]],Meczusie[Mecz]:Meczusie[RodzajMeczu],2,FALSE)</f>
        <v>Puchar</v>
      </c>
    </row>
    <row r="2754" spans="1:37" x14ac:dyDescent="0.25">
      <c r="A2754" s="76">
        <v>1</v>
      </c>
      <c r="B2754" s="3" t="s">
        <v>320</v>
      </c>
      <c r="C2754" s="2" t="s">
        <v>155</v>
      </c>
      <c r="D2754" s="1">
        <v>0</v>
      </c>
      <c r="E2754" s="1">
        <v>0</v>
      </c>
      <c r="F2754" s="1">
        <v>0</v>
      </c>
      <c r="G2754" s="1">
        <v>11</v>
      </c>
      <c r="H2754" s="4">
        <v>0.45</v>
      </c>
      <c r="I2754" s="1">
        <v>0</v>
      </c>
      <c r="J2754" s="4"/>
      <c r="K2754" s="1">
        <v>13</v>
      </c>
      <c r="L2754" s="1">
        <v>0</v>
      </c>
      <c r="M2754" s="32">
        <f>IF(Mecze[[#This Row],[PR]]=0,0,Mecze[[#This Row],[PR]]/Mecze[[#This Row],[CZAS]])</f>
        <v>0</v>
      </c>
      <c r="N2754" s="32">
        <f>IF(Mecze[[#This Row],[OU]]=0,0,Mecze[[#This Row],[OU]]/Mecze[[#This Row],[CZAS]])</f>
        <v>0</v>
      </c>
      <c r="O2754" s="32">
        <f>IF(Mecze[[#This Row],[PC]]=0,0,Mecze[[#This Row],[PC]]/Mecze[[#This Row],[CZAS]])</f>
        <v>5.1546391752577317E-2</v>
      </c>
      <c r="P2754" s="32">
        <f>IF(Mecze[[#This Row],[SC]]=0,0,Mecze[[#This Row],[SC]]/Mecze[[#This Row],[CZAS]])</f>
        <v>0</v>
      </c>
      <c r="Q2754" s="32">
        <f>IF(Mecze[[#This Row],[OB]]=0,0,Mecze[[#This Row],[OB]]/Mecze[[#This Row],[CZAS]])</f>
        <v>0.13402061855670103</v>
      </c>
      <c r="R2754" s="32">
        <f>IF(Mecze[[#This Row],[BR]]=0,0,Mecze[[#This Row],[BR]]/Mecze[[#This Row],[CZAS]])</f>
        <v>0</v>
      </c>
      <c r="S2754" s="44">
        <f>IF(Mecze[[#This Row],[Role]]="BR",SUMPRODUCT(Mecze[[#This Row],[/PR:90]:[/BR:90]],Brudnopis!$E$23:$J$23),0)</f>
        <v>0.55670103092783507</v>
      </c>
      <c r="T2754" s="44">
        <f>IF(Mecze[[#This Row],[Role]]&lt;&gt;"BR",SUMPRODUCT(Mecze[[#This Row],[/PR:90]:[/BR:90]],Brudnopis!$E$24:$J$24),0)</f>
        <v>0</v>
      </c>
      <c r="U2754" s="44">
        <f>IF(Mecze[[#This Row],[Role]]&lt;&gt;"BR",SUMPRODUCT(Mecze[[#This Row],[/PR:90]:[/BR:90]],Brudnopis!$E$25:$J$25),0)</f>
        <v>0</v>
      </c>
      <c r="V2754" s="44">
        <f>IF(Mecze[[#This Row],[Role]]&lt;&gt;"BR",SUMPRODUCT(Mecze[[#This Row],[/PR:90]:[/BR:90]],Brudnopis!$E$26:$J$26),0)</f>
        <v>0</v>
      </c>
      <c r="W2754" s="44">
        <f>IF(Mecze[[#This Row],[Role]]&lt;&gt;"BR",SUMPRODUCT(Mecze[[#This Row],[/PR:90]:[/BR:90]],Brudnopis!$E$27:$J$27),0)</f>
        <v>0</v>
      </c>
      <c r="X2754" s="44">
        <f>IF(Mecze[[#This Row],[Role]]&lt;&gt;"BR",SUMPRODUCT(Mecze[[#This Row],[/PR:90]:[/BR:90]],Brudnopis!$E$28:$J$28),0)</f>
        <v>0</v>
      </c>
      <c r="Y2754" s="35">
        <f>IF(Mecze[[#This Row],[Role]]="BR",Mecze[[#This Row],[/OB:90]]+Mecze[[#This Row],[/PC:90]],SUM(Mecze[[#This Row],[/PR:90]:[/BR:90]]))</f>
        <v>0.18556701030927836</v>
      </c>
      <c r="Z2754" s="35">
        <f>IF(Mecze[[#This Row],[KC]]=0,SUM(Mecze[[#This Row],[/BRI]:[/NPI]]),SUM(Mecze[[#This Row],[/BRI]:[/NPI]])*0.6)</f>
        <v>0.55670103092783507</v>
      </c>
      <c r="AA2754" s="10">
        <f>IFERROR(Mecze[[#This Row],[BR]]/Mecze[[#This Row],[ST]],0)</f>
        <v>0</v>
      </c>
      <c r="AB2754">
        <f>ROUND(Mecze[[#This Row],[PD]]*Mecze[[#This Row],[%PC]],0)</f>
        <v>5</v>
      </c>
      <c r="AC2754">
        <f>ROUND(Mecze[[#This Row],[OD]]*Mecze[[#This Row],[%OU]],0)</f>
        <v>0</v>
      </c>
      <c r="AD2754" s="36" t="s">
        <v>40</v>
      </c>
      <c r="AE2754" s="36">
        <v>155</v>
      </c>
      <c r="AF2754" s="71">
        <v>8.4700000000000006</v>
      </c>
      <c r="AG2754" s="37">
        <v>0</v>
      </c>
      <c r="AH2754" s="37">
        <v>0</v>
      </c>
      <c r="AI2754" s="37">
        <v>97</v>
      </c>
      <c r="AJ2754" s="37">
        <v>11</v>
      </c>
      <c r="AK2754" s="37" t="str">
        <f>VLOOKUP(Mecze[[#This Row],[Match ID]],Meczusie[Mecz]:Meczusie[RodzajMeczu],2,FALSE)</f>
        <v>Liga</v>
      </c>
    </row>
    <row r="2755" spans="1:37" x14ac:dyDescent="0.25">
      <c r="A2755" s="76">
        <v>4</v>
      </c>
      <c r="B2755" s="3" t="s">
        <v>321</v>
      </c>
      <c r="C2755" s="2" t="s">
        <v>157</v>
      </c>
      <c r="D2755" s="1">
        <v>0</v>
      </c>
      <c r="E2755" s="1">
        <v>0</v>
      </c>
      <c r="F2755" s="1">
        <v>0</v>
      </c>
      <c r="G2755" s="1">
        <v>11</v>
      </c>
      <c r="H2755" s="4">
        <v>1</v>
      </c>
      <c r="I2755" s="1">
        <v>9</v>
      </c>
      <c r="J2755" s="4">
        <v>0.33</v>
      </c>
      <c r="K2755" s="1">
        <v>0</v>
      </c>
      <c r="L2755" s="1">
        <v>9</v>
      </c>
      <c r="M2755" s="32">
        <f>IF(Mecze[[#This Row],[PR]]=0,0,Mecze[[#This Row],[PR]]/Mecze[[#This Row],[CZAS]])</f>
        <v>9.2783505154639179E-2</v>
      </c>
      <c r="N2755" s="32">
        <f>IF(Mecze[[#This Row],[OU]]=0,0,Mecze[[#This Row],[OU]]/Mecze[[#This Row],[CZAS]])</f>
        <v>3.0927835051546393E-2</v>
      </c>
      <c r="O2755" s="32">
        <f>IF(Mecze[[#This Row],[PC]]=0,0,Mecze[[#This Row],[PC]]/Mecze[[#This Row],[CZAS]])</f>
        <v>0.1134020618556701</v>
      </c>
      <c r="P2755" s="32">
        <f>IF(Mecze[[#This Row],[SC]]=0,0,Mecze[[#This Row],[SC]]/Mecze[[#This Row],[CZAS]])</f>
        <v>0</v>
      </c>
      <c r="Q2755" s="32">
        <f>IF(Mecze[[#This Row],[OB]]=0,0,Mecze[[#This Row],[OB]]/Mecze[[#This Row],[CZAS]])</f>
        <v>0</v>
      </c>
      <c r="R2755" s="32">
        <f>IF(Mecze[[#This Row],[BR]]=0,0,Mecze[[#This Row],[BR]]/Mecze[[#This Row],[CZAS]])</f>
        <v>0</v>
      </c>
      <c r="S2755" s="44">
        <f>IF(Mecze[[#This Row],[Role]]="BR",SUMPRODUCT(Mecze[[#This Row],[/PR:90]:[/BR:90]],Brudnopis!$E$23:$J$23),0)</f>
        <v>0</v>
      </c>
      <c r="T2755" s="44">
        <f>IF(Mecze[[#This Row],[Role]]&lt;&gt;"BR",SUMPRODUCT(Mecze[[#This Row],[/PR:90]:[/BR:90]],Brudnopis!$E$24:$J$24),0)</f>
        <v>0.25257731958762886</v>
      </c>
      <c r="U2755" s="44">
        <f>IF(Mecze[[#This Row],[Role]]&lt;&gt;"BR",SUMPRODUCT(Mecze[[#This Row],[/PR:90]:[/BR:90]],Brudnopis!$E$25:$J$25),0)</f>
        <v>0.29381443298969073</v>
      </c>
      <c r="V2755" s="44">
        <f>IF(Mecze[[#This Row],[Role]]&lt;&gt;"BR",SUMPRODUCT(Mecze[[#This Row],[/PR:90]:[/BR:90]],Brudnopis!$E$26:$J$26),0)</f>
        <v>0.23711340206185566</v>
      </c>
      <c r="W2755" s="44">
        <f>IF(Mecze[[#This Row],[Role]]&lt;&gt;"BR",SUMPRODUCT(Mecze[[#This Row],[/PR:90]:[/BR:90]],Brudnopis!$E$27:$J$27),0)</f>
        <v>0.26288659793814434</v>
      </c>
      <c r="X2755" s="44">
        <f>IF(Mecze[[#This Row],[Role]]&lt;&gt;"BR",SUMPRODUCT(Mecze[[#This Row],[/PR:90]:[/BR:90]],Brudnopis!$E$28:$J$28),0)</f>
        <v>0.1134020618556701</v>
      </c>
      <c r="Y2755" s="35">
        <f>IF(Mecze[[#This Row],[Role]]="BR",Mecze[[#This Row],[/OB:90]]+Mecze[[#This Row],[/PC:90]],SUM(Mecze[[#This Row],[/PR:90]:[/BR:90]]))</f>
        <v>0.23711340206185566</v>
      </c>
      <c r="Z2755" s="35">
        <f>IF(Mecze[[#This Row],[KC]]=0,SUM(Mecze[[#This Row],[/BRI]:[/NPI]]),SUM(Mecze[[#This Row],[/BRI]:[/NPI]])*0.6)</f>
        <v>1.1597938144329898</v>
      </c>
      <c r="AA2755" s="10">
        <f>IFERROR(Mecze[[#This Row],[BR]]/Mecze[[#This Row],[ST]],0)</f>
        <v>0</v>
      </c>
      <c r="AB2755">
        <f>ROUND(Mecze[[#This Row],[PD]]*Mecze[[#This Row],[%PC]],0)</f>
        <v>11</v>
      </c>
      <c r="AC2755">
        <f>ROUND(Mecze[[#This Row],[OD]]*Mecze[[#This Row],[%OU]],0)</f>
        <v>3</v>
      </c>
      <c r="AD2755" s="36" t="s">
        <v>47</v>
      </c>
      <c r="AE2755" s="36">
        <v>155</v>
      </c>
      <c r="AF2755" s="71">
        <v>5.81</v>
      </c>
      <c r="AG2755" s="37">
        <v>0</v>
      </c>
      <c r="AH2755" s="37">
        <v>0</v>
      </c>
      <c r="AI2755" s="37">
        <v>97</v>
      </c>
      <c r="AJ2755" s="37">
        <v>11</v>
      </c>
      <c r="AK2755" s="37" t="str">
        <f>VLOOKUP(Mecze[[#This Row],[Match ID]],Meczusie[Mecz]:Meczusie[RodzajMeczu],2,FALSE)</f>
        <v>Liga</v>
      </c>
    </row>
    <row r="2756" spans="1:37" x14ac:dyDescent="0.25">
      <c r="A2756" s="76">
        <v>7</v>
      </c>
      <c r="B2756" s="3" t="s">
        <v>322</v>
      </c>
      <c r="C2756" s="2" t="s">
        <v>157</v>
      </c>
      <c r="D2756" s="1">
        <v>0</v>
      </c>
      <c r="E2756" s="1">
        <v>0</v>
      </c>
      <c r="F2756" s="1">
        <v>0</v>
      </c>
      <c r="G2756" s="1">
        <v>6</v>
      </c>
      <c r="H2756" s="4">
        <v>0.83</v>
      </c>
      <c r="I2756" s="1">
        <v>6</v>
      </c>
      <c r="J2756" s="4">
        <v>0.33</v>
      </c>
      <c r="K2756" s="1">
        <v>0</v>
      </c>
      <c r="L2756" s="1">
        <v>3</v>
      </c>
      <c r="M2756" s="32">
        <f>IF(Mecze[[#This Row],[PR]]=0,0,Mecze[[#This Row],[PR]]/Mecze[[#This Row],[CZAS]])</f>
        <v>3.0927835051546393E-2</v>
      </c>
      <c r="N2756" s="32">
        <f>IF(Mecze[[#This Row],[OU]]=0,0,Mecze[[#This Row],[OU]]/Mecze[[#This Row],[CZAS]])</f>
        <v>2.0618556701030927E-2</v>
      </c>
      <c r="O2756" s="32">
        <f>IF(Mecze[[#This Row],[PC]]=0,0,Mecze[[#This Row],[PC]]/Mecze[[#This Row],[CZAS]])</f>
        <v>5.1546391752577317E-2</v>
      </c>
      <c r="P2756" s="32">
        <f>IF(Mecze[[#This Row],[SC]]=0,0,Mecze[[#This Row],[SC]]/Mecze[[#This Row],[CZAS]])</f>
        <v>0</v>
      </c>
      <c r="Q2756" s="32">
        <f>IF(Mecze[[#This Row],[OB]]=0,0,Mecze[[#This Row],[OB]]/Mecze[[#This Row],[CZAS]])</f>
        <v>0</v>
      </c>
      <c r="R2756" s="32">
        <f>IF(Mecze[[#This Row],[BR]]=0,0,Mecze[[#This Row],[BR]]/Mecze[[#This Row],[CZAS]])</f>
        <v>0</v>
      </c>
      <c r="S2756" s="44">
        <f>IF(Mecze[[#This Row],[Role]]="BR",SUMPRODUCT(Mecze[[#This Row],[/PR:90]:[/BR:90]],Brudnopis!$E$23:$J$23),0)</f>
        <v>0</v>
      </c>
      <c r="T2756" s="44">
        <f>IF(Mecze[[#This Row],[Role]]&lt;&gt;"BR",SUMPRODUCT(Mecze[[#This Row],[/PR:90]:[/BR:90]],Brudnopis!$E$24:$J$24),0)</f>
        <v>0.1134020618556701</v>
      </c>
      <c r="U2756" s="44">
        <f>IF(Mecze[[#This Row],[Role]]&lt;&gt;"BR",SUMPRODUCT(Mecze[[#This Row],[/PR:90]:[/BR:90]],Brudnopis!$E$25:$J$25),0)</f>
        <v>0.12886597938144329</v>
      </c>
      <c r="V2756" s="44">
        <f>IF(Mecze[[#This Row],[Role]]&lt;&gt;"BR",SUMPRODUCT(Mecze[[#This Row],[/PR:90]:[/BR:90]],Brudnopis!$E$26:$J$26),0)</f>
        <v>0.10309278350515463</v>
      </c>
      <c r="W2756" s="44">
        <f>IF(Mecze[[#This Row],[Role]]&lt;&gt;"BR",SUMPRODUCT(Mecze[[#This Row],[/PR:90]:[/BR:90]],Brudnopis!$E$27:$J$27),0)</f>
        <v>0.11597938144329897</v>
      </c>
      <c r="X2756" s="44">
        <f>IF(Mecze[[#This Row],[Role]]&lt;&gt;"BR",SUMPRODUCT(Mecze[[#This Row],[/PR:90]:[/BR:90]],Brudnopis!$E$28:$J$28),0)</f>
        <v>5.1546391752577317E-2</v>
      </c>
      <c r="Y2756" s="35">
        <f>IF(Mecze[[#This Row],[Role]]="BR",Mecze[[#This Row],[/OB:90]]+Mecze[[#This Row],[/PC:90]],SUM(Mecze[[#This Row],[/PR:90]:[/BR:90]]))</f>
        <v>0.10309278350515463</v>
      </c>
      <c r="Z2756" s="35">
        <f>IF(Mecze[[#This Row],[KC]]=0,SUM(Mecze[[#This Row],[/BRI]:[/NPI]]),SUM(Mecze[[#This Row],[/BRI]:[/NPI]])*0.6)</f>
        <v>0.5128865979381444</v>
      </c>
      <c r="AA2756" s="10">
        <f>IFERROR(Mecze[[#This Row],[BR]]/Mecze[[#This Row],[ST]],0)</f>
        <v>0</v>
      </c>
      <c r="AB2756">
        <f>ROUND(Mecze[[#This Row],[PD]]*Mecze[[#This Row],[%PC]],0)</f>
        <v>5</v>
      </c>
      <c r="AC2756">
        <f>ROUND(Mecze[[#This Row],[OD]]*Mecze[[#This Row],[%OU]],0)</f>
        <v>2</v>
      </c>
      <c r="AD2756" s="36" t="s">
        <v>47</v>
      </c>
      <c r="AE2756" s="36">
        <v>155</v>
      </c>
      <c r="AF2756" s="71">
        <v>4.55</v>
      </c>
      <c r="AG2756" s="37">
        <v>0</v>
      </c>
      <c r="AH2756" s="37">
        <v>0</v>
      </c>
      <c r="AI2756" s="37">
        <v>97</v>
      </c>
      <c r="AJ2756" s="37">
        <v>11</v>
      </c>
      <c r="AK2756" s="37" t="str">
        <f>VLOOKUP(Mecze[[#This Row],[Match ID]],Meczusie[Mecz]:Meczusie[RodzajMeczu],2,FALSE)</f>
        <v>Liga</v>
      </c>
    </row>
    <row r="2757" spans="1:37" x14ac:dyDescent="0.25">
      <c r="A2757" s="76">
        <v>2</v>
      </c>
      <c r="B2757" s="3" t="s">
        <v>392</v>
      </c>
      <c r="C2757" s="2" t="s">
        <v>157</v>
      </c>
      <c r="D2757" s="1">
        <v>0</v>
      </c>
      <c r="E2757" s="1">
        <v>0</v>
      </c>
      <c r="F2757" s="1">
        <v>0</v>
      </c>
      <c r="G2757" s="1">
        <v>5</v>
      </c>
      <c r="H2757" s="4">
        <v>0.6</v>
      </c>
      <c r="I2757" s="1">
        <v>1</v>
      </c>
      <c r="J2757" s="4">
        <v>1</v>
      </c>
      <c r="K2757" s="1">
        <v>0</v>
      </c>
      <c r="L2757" s="1">
        <v>5</v>
      </c>
      <c r="M2757" s="32">
        <f>IF(Mecze[[#This Row],[PR]]=0,0,Mecze[[#This Row],[PR]]/Mecze[[#This Row],[CZAS]])</f>
        <v>5.1546391752577317E-2</v>
      </c>
      <c r="N2757" s="32">
        <f>IF(Mecze[[#This Row],[OU]]=0,0,Mecze[[#This Row],[OU]]/Mecze[[#This Row],[CZAS]])</f>
        <v>1.0309278350515464E-2</v>
      </c>
      <c r="O2757" s="32">
        <f>IF(Mecze[[#This Row],[PC]]=0,0,Mecze[[#This Row],[PC]]/Mecze[[#This Row],[CZAS]])</f>
        <v>3.0927835051546393E-2</v>
      </c>
      <c r="P2757" s="32">
        <f>IF(Mecze[[#This Row],[SC]]=0,0,Mecze[[#This Row],[SC]]/Mecze[[#This Row],[CZAS]])</f>
        <v>0</v>
      </c>
      <c r="Q2757" s="32">
        <f>IF(Mecze[[#This Row],[OB]]=0,0,Mecze[[#This Row],[OB]]/Mecze[[#This Row],[CZAS]])</f>
        <v>0</v>
      </c>
      <c r="R2757" s="32">
        <f>IF(Mecze[[#This Row],[BR]]=0,0,Mecze[[#This Row],[BR]]/Mecze[[#This Row],[CZAS]])</f>
        <v>0</v>
      </c>
      <c r="S2757" s="44">
        <f>IF(Mecze[[#This Row],[Role]]="BR",SUMPRODUCT(Mecze[[#This Row],[/PR:90]:[/BR:90]],Brudnopis!$E$23:$J$23),0)</f>
        <v>0</v>
      </c>
      <c r="T2757" s="44">
        <f>IF(Mecze[[#This Row],[Role]]&lt;&gt;"BR",SUMPRODUCT(Mecze[[#This Row],[/PR:90]:[/BR:90]],Brudnopis!$E$24:$J$24),0)</f>
        <v>9.7938144329896906E-2</v>
      </c>
      <c r="U2757" s="44">
        <f>IF(Mecze[[#This Row],[Role]]&lt;&gt;"BR",SUMPRODUCT(Mecze[[#This Row],[/PR:90]:[/BR:90]],Brudnopis!$E$25:$J$25),0)</f>
        <v>0.10824742268041238</v>
      </c>
      <c r="V2757" s="44">
        <f>IF(Mecze[[#This Row],[Role]]&lt;&gt;"BR",SUMPRODUCT(Mecze[[#This Row],[/PR:90]:[/BR:90]],Brudnopis!$E$26:$J$26),0)</f>
        <v>9.2783505154639179E-2</v>
      </c>
      <c r="W2757" s="44">
        <f>IF(Mecze[[#This Row],[Role]]&lt;&gt;"BR",SUMPRODUCT(Mecze[[#This Row],[/PR:90]:[/BR:90]],Brudnopis!$E$27:$J$27),0)</f>
        <v>9.2783505154639179E-2</v>
      </c>
      <c r="X2757" s="44">
        <f>IF(Mecze[[#This Row],[Role]]&lt;&gt;"BR",SUMPRODUCT(Mecze[[#This Row],[/PR:90]:[/BR:90]],Brudnopis!$E$28:$J$28),0)</f>
        <v>3.0927835051546393E-2</v>
      </c>
      <c r="Y2757" s="35">
        <f>IF(Mecze[[#This Row],[Role]]="BR",Mecze[[#This Row],[/OB:90]]+Mecze[[#This Row],[/PC:90]],SUM(Mecze[[#This Row],[/PR:90]:[/BR:90]]))</f>
        <v>9.2783505154639179E-2</v>
      </c>
      <c r="Z2757" s="35">
        <f>IF(Mecze[[#This Row],[KC]]=0,SUM(Mecze[[#This Row],[/BRI]:[/NPI]]),SUM(Mecze[[#This Row],[/BRI]:[/NPI]])*0.6)</f>
        <v>0.42268041237113402</v>
      </c>
      <c r="AA2757" s="10">
        <f>IFERROR(Mecze[[#This Row],[BR]]/Mecze[[#This Row],[ST]],0)</f>
        <v>0</v>
      </c>
      <c r="AB2757">
        <f>ROUND(Mecze[[#This Row],[PD]]*Mecze[[#This Row],[%PC]],0)</f>
        <v>3</v>
      </c>
      <c r="AC2757">
        <f>ROUND(Mecze[[#This Row],[OD]]*Mecze[[#This Row],[%OU]],0)</f>
        <v>1</v>
      </c>
      <c r="AD2757" s="36" t="s">
        <v>175</v>
      </c>
      <c r="AE2757" s="36">
        <v>155</v>
      </c>
      <c r="AF2757" s="71">
        <v>4.97</v>
      </c>
      <c r="AG2757" s="37">
        <v>0</v>
      </c>
      <c r="AH2757" s="37">
        <v>0</v>
      </c>
      <c r="AI2757" s="37">
        <v>97</v>
      </c>
      <c r="AJ2757" s="37">
        <v>11</v>
      </c>
      <c r="AK2757" s="37" t="str">
        <f>VLOOKUP(Mecze[[#This Row],[Match ID]],Meczusie[Mecz]:Meczusie[RodzajMeczu],2,FALSE)</f>
        <v>Liga</v>
      </c>
    </row>
    <row r="2758" spans="1:37" x14ac:dyDescent="0.25">
      <c r="A2758" s="76">
        <v>6</v>
      </c>
      <c r="B2758" s="3" t="s">
        <v>324</v>
      </c>
      <c r="C2758" s="2" t="s">
        <v>157</v>
      </c>
      <c r="D2758" s="1">
        <v>0</v>
      </c>
      <c r="E2758" s="1">
        <v>0</v>
      </c>
      <c r="F2758" s="1">
        <v>0</v>
      </c>
      <c r="G2758" s="1">
        <v>4</v>
      </c>
      <c r="H2758" s="4">
        <v>0.75</v>
      </c>
      <c r="I2758" s="1">
        <v>2</v>
      </c>
      <c r="J2758" s="4">
        <v>0</v>
      </c>
      <c r="K2758" s="1">
        <v>0</v>
      </c>
      <c r="L2758" s="1">
        <v>1</v>
      </c>
      <c r="M2758" s="32">
        <f>IF(Mecze[[#This Row],[PR]]=0,0,Mecze[[#This Row],[PR]]/Mecze[[#This Row],[CZAS]])</f>
        <v>1.0309278350515464E-2</v>
      </c>
      <c r="N2758" s="32">
        <f>IF(Mecze[[#This Row],[OU]]=0,0,Mecze[[#This Row],[OU]]/Mecze[[#This Row],[CZAS]])</f>
        <v>0</v>
      </c>
      <c r="O2758" s="32">
        <f>IF(Mecze[[#This Row],[PC]]=0,0,Mecze[[#This Row],[PC]]/Mecze[[#This Row],[CZAS]])</f>
        <v>3.0927835051546393E-2</v>
      </c>
      <c r="P2758" s="32">
        <f>IF(Mecze[[#This Row],[SC]]=0,0,Mecze[[#This Row],[SC]]/Mecze[[#This Row],[CZAS]])</f>
        <v>0</v>
      </c>
      <c r="Q2758" s="32">
        <f>IF(Mecze[[#This Row],[OB]]=0,0,Mecze[[#This Row],[OB]]/Mecze[[#This Row],[CZAS]])</f>
        <v>0</v>
      </c>
      <c r="R2758" s="32">
        <f>IF(Mecze[[#This Row],[BR]]=0,0,Mecze[[#This Row],[BR]]/Mecze[[#This Row],[CZAS]])</f>
        <v>0</v>
      </c>
      <c r="S2758" s="44">
        <f>IF(Mecze[[#This Row],[Role]]="BR",SUMPRODUCT(Mecze[[#This Row],[/PR:90]:[/BR:90]],Brudnopis!$E$23:$J$23),0)</f>
        <v>0</v>
      </c>
      <c r="T2758" s="44">
        <f>IF(Mecze[[#This Row],[Role]]&lt;&gt;"BR",SUMPRODUCT(Mecze[[#This Row],[/PR:90]:[/BR:90]],Brudnopis!$E$24:$J$24),0)</f>
        <v>4.1237113402061855E-2</v>
      </c>
      <c r="U2758" s="44">
        <f>IF(Mecze[[#This Row],[Role]]&lt;&gt;"BR",SUMPRODUCT(Mecze[[#This Row],[/PR:90]:[/BR:90]],Brudnopis!$E$25:$J$25),0)</f>
        <v>5.6701030927835051E-2</v>
      </c>
      <c r="V2758" s="44">
        <f>IF(Mecze[[#This Row],[Role]]&lt;&gt;"BR",SUMPRODUCT(Mecze[[#This Row],[/PR:90]:[/BR:90]],Brudnopis!$E$26:$J$26),0)</f>
        <v>4.1237113402061855E-2</v>
      </c>
      <c r="W2758" s="44">
        <f>IF(Mecze[[#This Row],[Role]]&lt;&gt;"BR",SUMPRODUCT(Mecze[[#This Row],[/PR:90]:[/BR:90]],Brudnopis!$E$27:$J$27),0)</f>
        <v>5.4123711340206188E-2</v>
      </c>
      <c r="X2758" s="44">
        <f>IF(Mecze[[#This Row],[Role]]&lt;&gt;"BR",SUMPRODUCT(Mecze[[#This Row],[/PR:90]:[/BR:90]],Brudnopis!$E$28:$J$28),0)</f>
        <v>3.0927835051546393E-2</v>
      </c>
      <c r="Y2758" s="35">
        <f>IF(Mecze[[#This Row],[Role]]="BR",Mecze[[#This Row],[/OB:90]]+Mecze[[#This Row],[/PC:90]],SUM(Mecze[[#This Row],[/PR:90]:[/BR:90]]))</f>
        <v>4.1237113402061855E-2</v>
      </c>
      <c r="Z2758" s="35">
        <f>IF(Mecze[[#This Row],[KC]]=0,SUM(Mecze[[#This Row],[/BRI]:[/NPI]]),SUM(Mecze[[#This Row],[/BRI]:[/NPI]])*0.6)</f>
        <v>0.22422680412371135</v>
      </c>
      <c r="AA2758" s="10">
        <f>IFERROR(Mecze[[#This Row],[BR]]/Mecze[[#This Row],[ST]],0)</f>
        <v>0</v>
      </c>
      <c r="AB2758">
        <f>ROUND(Mecze[[#This Row],[PD]]*Mecze[[#This Row],[%PC]],0)</f>
        <v>3</v>
      </c>
      <c r="AC2758">
        <f>ROUND(Mecze[[#This Row],[OD]]*Mecze[[#This Row],[%OU]],0)</f>
        <v>0</v>
      </c>
      <c r="AD2758" s="36" t="s">
        <v>174</v>
      </c>
      <c r="AE2758" s="36">
        <v>155</v>
      </c>
      <c r="AF2758" s="71">
        <v>4.13</v>
      </c>
      <c r="AG2758" s="37">
        <v>0</v>
      </c>
      <c r="AH2758" s="37">
        <v>0</v>
      </c>
      <c r="AI2758" s="37">
        <v>97</v>
      </c>
      <c r="AJ2758" s="37">
        <v>11</v>
      </c>
      <c r="AK2758" s="37" t="str">
        <f>VLOOKUP(Mecze[[#This Row],[Match ID]],Meczusie[Mecz]:Meczusie[RodzajMeczu],2,FALSE)</f>
        <v>Liga</v>
      </c>
    </row>
    <row r="2759" spans="1:37" x14ac:dyDescent="0.25">
      <c r="A2759" s="76">
        <v>5</v>
      </c>
      <c r="B2759" s="3" t="s">
        <v>325</v>
      </c>
      <c r="C2759" s="2" t="s">
        <v>160</v>
      </c>
      <c r="D2759" s="1">
        <v>0</v>
      </c>
      <c r="E2759" s="1">
        <v>0</v>
      </c>
      <c r="F2759" s="1">
        <v>0</v>
      </c>
      <c r="G2759" s="1">
        <v>15</v>
      </c>
      <c r="H2759" s="4">
        <v>0.73</v>
      </c>
      <c r="I2759" s="1">
        <v>7</v>
      </c>
      <c r="J2759" s="4">
        <v>0.43</v>
      </c>
      <c r="K2759" s="1">
        <v>0</v>
      </c>
      <c r="L2759" s="1">
        <v>9</v>
      </c>
      <c r="M2759" s="32">
        <f>IF(Mecze[[#This Row],[PR]]=0,0,Mecze[[#This Row],[PR]]/Mecze[[#This Row],[CZAS]])</f>
        <v>9.2783505154639179E-2</v>
      </c>
      <c r="N2759" s="32">
        <f>IF(Mecze[[#This Row],[OU]]=0,0,Mecze[[#This Row],[OU]]/Mecze[[#This Row],[CZAS]])</f>
        <v>3.0927835051546393E-2</v>
      </c>
      <c r="O2759" s="32">
        <f>IF(Mecze[[#This Row],[PC]]=0,0,Mecze[[#This Row],[PC]]/Mecze[[#This Row],[CZAS]])</f>
        <v>0.1134020618556701</v>
      </c>
      <c r="P2759" s="32">
        <f>IF(Mecze[[#This Row],[SC]]=0,0,Mecze[[#This Row],[SC]]/Mecze[[#This Row],[CZAS]])</f>
        <v>0</v>
      </c>
      <c r="Q2759" s="32">
        <f>IF(Mecze[[#This Row],[OB]]=0,0,Mecze[[#This Row],[OB]]/Mecze[[#This Row],[CZAS]])</f>
        <v>0</v>
      </c>
      <c r="R2759" s="32">
        <f>IF(Mecze[[#This Row],[BR]]=0,0,Mecze[[#This Row],[BR]]/Mecze[[#This Row],[CZAS]])</f>
        <v>0</v>
      </c>
      <c r="S2759" s="44">
        <f>IF(Mecze[[#This Row],[Role]]="BR",SUMPRODUCT(Mecze[[#This Row],[/PR:90]:[/BR:90]],Brudnopis!$E$23:$J$23),0)</f>
        <v>0</v>
      </c>
      <c r="T2759" s="44">
        <f>IF(Mecze[[#This Row],[Role]]&lt;&gt;"BR",SUMPRODUCT(Mecze[[#This Row],[/PR:90]:[/BR:90]],Brudnopis!$E$24:$J$24),0)</f>
        <v>0.25257731958762886</v>
      </c>
      <c r="U2759" s="44">
        <f>IF(Mecze[[#This Row],[Role]]&lt;&gt;"BR",SUMPRODUCT(Mecze[[#This Row],[/PR:90]:[/BR:90]],Brudnopis!$E$25:$J$25),0)</f>
        <v>0.29381443298969073</v>
      </c>
      <c r="V2759" s="44">
        <f>IF(Mecze[[#This Row],[Role]]&lt;&gt;"BR",SUMPRODUCT(Mecze[[#This Row],[/PR:90]:[/BR:90]],Brudnopis!$E$26:$J$26),0)</f>
        <v>0.23711340206185566</v>
      </c>
      <c r="W2759" s="44">
        <f>IF(Mecze[[#This Row],[Role]]&lt;&gt;"BR",SUMPRODUCT(Mecze[[#This Row],[/PR:90]:[/BR:90]],Brudnopis!$E$27:$J$27),0)</f>
        <v>0.26288659793814434</v>
      </c>
      <c r="X2759" s="44">
        <f>IF(Mecze[[#This Row],[Role]]&lt;&gt;"BR",SUMPRODUCT(Mecze[[#This Row],[/PR:90]:[/BR:90]],Brudnopis!$E$28:$J$28),0)</f>
        <v>0.1134020618556701</v>
      </c>
      <c r="Y2759" s="35">
        <f>IF(Mecze[[#This Row],[Role]]="BR",Mecze[[#This Row],[/OB:90]]+Mecze[[#This Row],[/PC:90]],SUM(Mecze[[#This Row],[/PR:90]:[/BR:90]]))</f>
        <v>0.23711340206185566</v>
      </c>
      <c r="Z2759" s="35">
        <f>IF(Mecze[[#This Row],[KC]]=0,SUM(Mecze[[#This Row],[/BRI]:[/NPI]]),SUM(Mecze[[#This Row],[/BRI]:[/NPI]])*0.6)</f>
        <v>1.1597938144329898</v>
      </c>
      <c r="AA2759" s="10">
        <f>IFERROR(Mecze[[#This Row],[BR]]/Mecze[[#This Row],[ST]],0)</f>
        <v>0</v>
      </c>
      <c r="AB2759">
        <f>ROUND(Mecze[[#This Row],[PD]]*Mecze[[#This Row],[%PC]],0)</f>
        <v>11</v>
      </c>
      <c r="AC2759">
        <f>ROUND(Mecze[[#This Row],[OD]]*Mecze[[#This Row],[%OU]],0)</f>
        <v>3</v>
      </c>
      <c r="AD2759" s="36" t="s">
        <v>41</v>
      </c>
      <c r="AE2759" s="36">
        <v>155</v>
      </c>
      <c r="AF2759" s="71">
        <v>7.02</v>
      </c>
      <c r="AG2759" s="37">
        <v>0</v>
      </c>
      <c r="AH2759" s="37">
        <v>0</v>
      </c>
      <c r="AI2759" s="37">
        <v>97</v>
      </c>
      <c r="AJ2759" s="37">
        <v>11</v>
      </c>
      <c r="AK2759" s="37" t="str">
        <f>VLOOKUP(Mecze[[#This Row],[Match ID]],Meczusie[Mecz]:Meczusie[RodzajMeczu],2,FALSE)</f>
        <v>Liga</v>
      </c>
    </row>
    <row r="2760" spans="1:37" x14ac:dyDescent="0.25">
      <c r="A2760" s="76">
        <v>8</v>
      </c>
      <c r="B2760" s="3" t="s">
        <v>326</v>
      </c>
      <c r="C2760" s="2" t="s">
        <v>160</v>
      </c>
      <c r="D2760" s="1">
        <v>0</v>
      </c>
      <c r="E2760" s="1">
        <v>0</v>
      </c>
      <c r="F2760" s="1">
        <v>0</v>
      </c>
      <c r="G2760" s="1">
        <v>8</v>
      </c>
      <c r="H2760" s="4">
        <v>0.63</v>
      </c>
      <c r="I2760" s="1">
        <v>3</v>
      </c>
      <c r="J2760" s="4">
        <v>0</v>
      </c>
      <c r="K2760" s="1">
        <v>0</v>
      </c>
      <c r="L2760" s="1">
        <v>4</v>
      </c>
      <c r="M2760" s="32">
        <f>IF(Mecze[[#This Row],[PR]]=0,0,Mecze[[#This Row],[PR]]/Mecze[[#This Row],[CZAS]])</f>
        <v>4.1237113402061855E-2</v>
      </c>
      <c r="N2760" s="32">
        <f>IF(Mecze[[#This Row],[OU]]=0,0,Mecze[[#This Row],[OU]]/Mecze[[#This Row],[CZAS]])</f>
        <v>0</v>
      </c>
      <c r="O2760" s="32">
        <f>IF(Mecze[[#This Row],[PC]]=0,0,Mecze[[#This Row],[PC]]/Mecze[[#This Row],[CZAS]])</f>
        <v>5.1546391752577317E-2</v>
      </c>
      <c r="P2760" s="32">
        <f>IF(Mecze[[#This Row],[SC]]=0,0,Mecze[[#This Row],[SC]]/Mecze[[#This Row],[CZAS]])</f>
        <v>0</v>
      </c>
      <c r="Q2760" s="32">
        <f>IF(Mecze[[#This Row],[OB]]=0,0,Mecze[[#This Row],[OB]]/Mecze[[#This Row],[CZAS]])</f>
        <v>0</v>
      </c>
      <c r="R2760" s="32">
        <f>IF(Mecze[[#This Row],[BR]]=0,0,Mecze[[#This Row],[BR]]/Mecze[[#This Row],[CZAS]])</f>
        <v>0</v>
      </c>
      <c r="S2760" s="44">
        <f>IF(Mecze[[#This Row],[Role]]="BR",SUMPRODUCT(Mecze[[#This Row],[/PR:90]:[/BR:90]],Brudnopis!$E$23:$J$23),0)</f>
        <v>0</v>
      </c>
      <c r="T2760" s="44">
        <f>IF(Mecze[[#This Row],[Role]]&lt;&gt;"BR",SUMPRODUCT(Mecze[[#This Row],[/PR:90]:[/BR:90]],Brudnopis!$E$24:$J$24),0)</f>
        <v>9.2783505154639179E-2</v>
      </c>
      <c r="U2760" s="44">
        <f>IF(Mecze[[#This Row],[Role]]&lt;&gt;"BR",SUMPRODUCT(Mecze[[#This Row],[/PR:90]:[/BR:90]],Brudnopis!$E$25:$J$25),0)</f>
        <v>0.11855670103092783</v>
      </c>
      <c r="V2760" s="44">
        <f>IF(Mecze[[#This Row],[Role]]&lt;&gt;"BR",SUMPRODUCT(Mecze[[#This Row],[/PR:90]:[/BR:90]],Brudnopis!$E$26:$J$26),0)</f>
        <v>9.2783505154639179E-2</v>
      </c>
      <c r="W2760" s="44">
        <f>IF(Mecze[[#This Row],[Role]]&lt;&gt;"BR",SUMPRODUCT(Mecze[[#This Row],[/PR:90]:[/BR:90]],Brudnopis!$E$27:$J$27),0)</f>
        <v>0.10824742268041238</v>
      </c>
      <c r="X2760" s="44">
        <f>IF(Mecze[[#This Row],[Role]]&lt;&gt;"BR",SUMPRODUCT(Mecze[[#This Row],[/PR:90]:[/BR:90]],Brudnopis!$E$28:$J$28),0)</f>
        <v>5.1546391752577317E-2</v>
      </c>
      <c r="Y2760" s="35">
        <f>IF(Mecze[[#This Row],[Role]]="BR",Mecze[[#This Row],[/OB:90]]+Mecze[[#This Row],[/PC:90]],SUM(Mecze[[#This Row],[/PR:90]:[/BR:90]]))</f>
        <v>9.2783505154639179E-2</v>
      </c>
      <c r="Z2760" s="35">
        <f>IF(Mecze[[#This Row],[KC]]=0,SUM(Mecze[[#This Row],[/BRI]:[/NPI]]),SUM(Mecze[[#This Row],[/BRI]:[/NPI]])*0.6)</f>
        <v>0.46391752577319589</v>
      </c>
      <c r="AA2760" s="10">
        <f>IFERROR(Mecze[[#This Row],[BR]]/Mecze[[#This Row],[ST]],0)</f>
        <v>0</v>
      </c>
      <c r="AB2760">
        <f>ROUND(Mecze[[#This Row],[PD]]*Mecze[[#This Row],[%PC]],0)</f>
        <v>5</v>
      </c>
      <c r="AC2760">
        <f>ROUND(Mecze[[#This Row],[OD]]*Mecze[[#This Row],[%OU]],0)</f>
        <v>0</v>
      </c>
      <c r="AD2760" s="36" t="s">
        <v>318</v>
      </c>
      <c r="AE2760" s="36">
        <v>155</v>
      </c>
      <c r="AF2760" s="71">
        <v>5.97</v>
      </c>
      <c r="AG2760" s="37">
        <v>0</v>
      </c>
      <c r="AH2760" s="37">
        <v>0</v>
      </c>
      <c r="AI2760" s="37">
        <v>97</v>
      </c>
      <c r="AJ2760" s="37">
        <v>11</v>
      </c>
      <c r="AK2760" s="37" t="str">
        <f>VLOOKUP(Mecze[[#This Row],[Match ID]],Meczusie[Mecz]:Meczusie[RodzajMeczu],2,FALSE)</f>
        <v>Liga</v>
      </c>
    </row>
    <row r="2761" spans="1:37" x14ac:dyDescent="0.25">
      <c r="A2761" s="76">
        <v>9</v>
      </c>
      <c r="B2761" s="3" t="s">
        <v>327</v>
      </c>
      <c r="C2761" s="2" t="s">
        <v>160</v>
      </c>
      <c r="D2761" s="1">
        <v>1</v>
      </c>
      <c r="E2761" s="1">
        <v>2</v>
      </c>
      <c r="F2761" s="1">
        <v>2</v>
      </c>
      <c r="G2761" s="1">
        <v>8</v>
      </c>
      <c r="H2761" s="4">
        <v>0.63</v>
      </c>
      <c r="I2761" s="1">
        <v>5</v>
      </c>
      <c r="J2761" s="4">
        <v>0.4</v>
      </c>
      <c r="K2761" s="1">
        <v>0</v>
      </c>
      <c r="L2761" s="1">
        <v>2</v>
      </c>
      <c r="M2761" s="32">
        <f>IF(Mecze[[#This Row],[PR]]=0,0,Mecze[[#This Row],[PR]]/Mecze[[#This Row],[CZAS]])</f>
        <v>2.0618556701030927E-2</v>
      </c>
      <c r="N2761" s="32">
        <f>IF(Mecze[[#This Row],[OU]]=0,0,Mecze[[#This Row],[OU]]/Mecze[[#This Row],[CZAS]])</f>
        <v>2.0618556701030927E-2</v>
      </c>
      <c r="O2761" s="32">
        <f>IF(Mecze[[#This Row],[PC]]=0,0,Mecze[[#This Row],[PC]]/Mecze[[#This Row],[CZAS]])</f>
        <v>5.1546391752577317E-2</v>
      </c>
      <c r="P2761" s="32">
        <f>IF(Mecze[[#This Row],[SC]]=0,0,Mecze[[#This Row],[SC]]/Mecze[[#This Row],[CZAS]])</f>
        <v>2.0618556701030927E-2</v>
      </c>
      <c r="Q2761" s="32">
        <f>IF(Mecze[[#This Row],[OB]]=0,0,Mecze[[#This Row],[OB]]/Mecze[[#This Row],[CZAS]])</f>
        <v>0</v>
      </c>
      <c r="R2761" s="32">
        <f>IF(Mecze[[#This Row],[BR]]=0,0,Mecze[[#This Row],[BR]]/Mecze[[#This Row],[CZAS]])</f>
        <v>1.0309278350515464E-2</v>
      </c>
      <c r="S2761" s="44">
        <f>IF(Mecze[[#This Row],[Role]]="BR",SUMPRODUCT(Mecze[[#This Row],[/PR:90]:[/BR:90]],Brudnopis!$E$23:$J$23),0)</f>
        <v>0</v>
      </c>
      <c r="T2761" s="44">
        <f>IF(Mecze[[#This Row],[Role]]&lt;&gt;"BR",SUMPRODUCT(Mecze[[#This Row],[/PR:90]:[/BR:90]],Brudnopis!$E$24:$J$24),0)</f>
        <v>0.13917525773195877</v>
      </c>
      <c r="U2761" s="44">
        <f>IF(Mecze[[#This Row],[Role]]&lt;&gt;"BR",SUMPRODUCT(Mecze[[#This Row],[/PR:90]:[/BR:90]],Brudnopis!$E$25:$J$25),0)</f>
        <v>0.15463917525773196</v>
      </c>
      <c r="V2761" s="44">
        <f>IF(Mecze[[#This Row],[Role]]&lt;&gt;"BR",SUMPRODUCT(Mecze[[#This Row],[/PR:90]:[/BR:90]],Brudnopis!$E$26:$J$26),0)</f>
        <v>0.13402061855670103</v>
      </c>
      <c r="W2761" s="44">
        <f>IF(Mecze[[#This Row],[Role]]&lt;&gt;"BR",SUMPRODUCT(Mecze[[#This Row],[/PR:90]:[/BR:90]],Brudnopis!$E$27:$J$27),0)</f>
        <v>0.14948453608247425</v>
      </c>
      <c r="X2761" s="44">
        <f>IF(Mecze[[#This Row],[Role]]&lt;&gt;"BR",SUMPRODUCT(Mecze[[#This Row],[/PR:90]:[/BR:90]],Brudnopis!$E$28:$J$28),0)</f>
        <v>0.12371134020618557</v>
      </c>
      <c r="Y2761" s="35">
        <f>IF(Mecze[[#This Row],[Role]]="BR",Mecze[[#This Row],[/OB:90]]+Mecze[[#This Row],[/PC:90]],SUM(Mecze[[#This Row],[/PR:90]:[/BR:90]]))</f>
        <v>0.12371134020618557</v>
      </c>
      <c r="Z2761" s="35">
        <f>IF(Mecze[[#This Row],[KC]]=0,SUM(Mecze[[#This Row],[/BRI]:[/NPI]]),SUM(Mecze[[#This Row],[/BRI]:[/NPI]])*0.6)</f>
        <v>0.70103092783505161</v>
      </c>
      <c r="AA2761" s="10">
        <f>IFERROR(Mecze[[#This Row],[BR]]/Mecze[[#This Row],[ST]],0)</f>
        <v>0.5</v>
      </c>
      <c r="AB2761">
        <f>ROUND(Mecze[[#This Row],[PD]]*Mecze[[#This Row],[%PC]],0)</f>
        <v>5</v>
      </c>
      <c r="AC2761">
        <f>ROUND(Mecze[[#This Row],[OD]]*Mecze[[#This Row],[%OU]],0)</f>
        <v>2</v>
      </c>
      <c r="AD2761" s="36" t="s">
        <v>44</v>
      </c>
      <c r="AE2761" s="36">
        <v>155</v>
      </c>
      <c r="AF2761" s="71">
        <v>8.1199999999999992</v>
      </c>
      <c r="AG2761" s="37">
        <v>0</v>
      </c>
      <c r="AH2761" s="37">
        <v>0</v>
      </c>
      <c r="AI2761" s="37">
        <v>97</v>
      </c>
      <c r="AJ2761" s="37">
        <v>11</v>
      </c>
      <c r="AK2761" s="37" t="str">
        <f>VLOOKUP(Mecze[[#This Row],[Match ID]],Meczusie[Mecz]:Meczusie[RodzajMeczu],2,FALSE)</f>
        <v>Liga</v>
      </c>
    </row>
    <row r="2762" spans="1:37" x14ac:dyDescent="0.25">
      <c r="A2762" s="76">
        <v>10</v>
      </c>
      <c r="B2762" s="3" t="s">
        <v>328</v>
      </c>
      <c r="C2762" s="2" t="s">
        <v>165</v>
      </c>
      <c r="D2762" s="1">
        <v>3</v>
      </c>
      <c r="E2762" s="1">
        <v>9</v>
      </c>
      <c r="F2762" s="1">
        <v>9</v>
      </c>
      <c r="G2762" s="1">
        <v>12</v>
      </c>
      <c r="H2762" s="4">
        <v>0.67</v>
      </c>
      <c r="I2762" s="1">
        <v>6</v>
      </c>
      <c r="J2762" s="4">
        <v>0.5</v>
      </c>
      <c r="K2762" s="1">
        <v>0</v>
      </c>
      <c r="L2762" s="1">
        <v>1</v>
      </c>
      <c r="M2762" s="32">
        <f>IF(Mecze[[#This Row],[PR]]=0,0,Mecze[[#This Row],[PR]]/Mecze[[#This Row],[CZAS]])</f>
        <v>1.0309278350515464E-2</v>
      </c>
      <c r="N2762" s="32">
        <f>IF(Mecze[[#This Row],[OU]]=0,0,Mecze[[#This Row],[OU]]/Mecze[[#This Row],[CZAS]])</f>
        <v>3.0927835051546393E-2</v>
      </c>
      <c r="O2762" s="32">
        <f>IF(Mecze[[#This Row],[PC]]=0,0,Mecze[[#This Row],[PC]]/Mecze[[#This Row],[CZAS]])</f>
        <v>8.247422680412371E-2</v>
      </c>
      <c r="P2762" s="32">
        <f>IF(Mecze[[#This Row],[SC]]=0,0,Mecze[[#This Row],[SC]]/Mecze[[#This Row],[CZAS]])</f>
        <v>9.2783505154639179E-2</v>
      </c>
      <c r="Q2762" s="32">
        <f>IF(Mecze[[#This Row],[OB]]=0,0,Mecze[[#This Row],[OB]]/Mecze[[#This Row],[CZAS]])</f>
        <v>0</v>
      </c>
      <c r="R2762" s="32">
        <f>IF(Mecze[[#This Row],[BR]]=0,0,Mecze[[#This Row],[BR]]/Mecze[[#This Row],[CZAS]])</f>
        <v>3.0927835051546393E-2</v>
      </c>
      <c r="S2762" s="44">
        <f>IF(Mecze[[#This Row],[Role]]="BR",SUMPRODUCT(Mecze[[#This Row],[/PR:90]:[/BR:90]],Brudnopis!$E$23:$J$23),0)</f>
        <v>0</v>
      </c>
      <c r="T2762" s="44">
        <f>IF(Mecze[[#This Row],[Role]]&lt;&gt;"BR",SUMPRODUCT(Mecze[[#This Row],[/PR:90]:[/BR:90]],Brudnopis!$E$24:$J$24),0)</f>
        <v>0.27835051546391754</v>
      </c>
      <c r="U2762" s="44">
        <f>IF(Mecze[[#This Row],[Role]]&lt;&gt;"BR",SUMPRODUCT(Mecze[[#This Row],[/PR:90]:[/BR:90]],Brudnopis!$E$25:$J$25),0)</f>
        <v>0.30412371134020616</v>
      </c>
      <c r="V2762" s="44">
        <f>IF(Mecze[[#This Row],[Role]]&lt;&gt;"BR",SUMPRODUCT(Mecze[[#This Row],[/PR:90]:[/BR:90]],Brudnopis!$E$26:$J$26),0)</f>
        <v>0.27835051546391754</v>
      </c>
      <c r="W2762" s="44">
        <f>IF(Mecze[[#This Row],[Role]]&lt;&gt;"BR",SUMPRODUCT(Mecze[[#This Row],[/PR:90]:[/BR:90]],Brudnopis!$E$27:$J$27),0)</f>
        <v>0.30927835051546393</v>
      </c>
      <c r="X2762" s="44">
        <f>IF(Mecze[[#This Row],[Role]]&lt;&gt;"BR",SUMPRODUCT(Mecze[[#This Row],[/PR:90]:[/BR:90]],Brudnopis!$E$28:$J$28),0)</f>
        <v>0.36082474226804123</v>
      </c>
      <c r="Y2762" s="35">
        <f>IF(Mecze[[#This Row],[Role]]="BR",Mecze[[#This Row],[/OB:90]]+Mecze[[#This Row],[/PC:90]],SUM(Mecze[[#This Row],[/PR:90]:[/BR:90]]))</f>
        <v>0.24742268041237114</v>
      </c>
      <c r="Z2762" s="35">
        <f>IF(Mecze[[#This Row],[KC]]=0,SUM(Mecze[[#This Row],[/BRI]:[/NPI]]),SUM(Mecze[[#This Row],[/BRI]:[/NPI]])*0.6)</f>
        <v>1.5309278350515463</v>
      </c>
      <c r="AA2762" s="10">
        <f>IFERROR(Mecze[[#This Row],[BR]]/Mecze[[#This Row],[ST]],0)</f>
        <v>0.33333333333333331</v>
      </c>
      <c r="AB2762">
        <f>ROUND(Mecze[[#This Row],[PD]]*Mecze[[#This Row],[%PC]],0)</f>
        <v>8</v>
      </c>
      <c r="AC2762">
        <f>ROUND(Mecze[[#This Row],[OD]]*Mecze[[#This Row],[%OU]],0)</f>
        <v>3</v>
      </c>
      <c r="AD2762" s="36" t="s">
        <v>46</v>
      </c>
      <c r="AE2762" s="36">
        <v>155</v>
      </c>
      <c r="AF2762" s="71">
        <v>14.14</v>
      </c>
      <c r="AG2762" s="37">
        <v>0</v>
      </c>
      <c r="AH2762" s="37">
        <v>0</v>
      </c>
      <c r="AI2762" s="37">
        <v>97</v>
      </c>
      <c r="AJ2762" s="37">
        <v>11</v>
      </c>
      <c r="AK2762" s="37" t="str">
        <f>VLOOKUP(Mecze[[#This Row],[Match ID]],Meczusie[Mecz]:Meczusie[RodzajMeczu],2,FALSE)</f>
        <v>Liga</v>
      </c>
    </row>
    <row r="2763" spans="1:37" x14ac:dyDescent="0.25">
      <c r="A2763" s="76">
        <v>11</v>
      </c>
      <c r="B2763" s="3" t="s">
        <v>329</v>
      </c>
      <c r="C2763" s="2" t="s">
        <v>165</v>
      </c>
      <c r="D2763" s="1">
        <v>0</v>
      </c>
      <c r="E2763" s="1">
        <v>2</v>
      </c>
      <c r="F2763" s="1">
        <v>2</v>
      </c>
      <c r="G2763" s="1">
        <v>9</v>
      </c>
      <c r="H2763" s="4">
        <v>0.78</v>
      </c>
      <c r="I2763" s="1">
        <v>3</v>
      </c>
      <c r="J2763" s="4">
        <v>0.33</v>
      </c>
      <c r="K2763" s="1">
        <v>0</v>
      </c>
      <c r="L2763" s="1">
        <v>0</v>
      </c>
      <c r="M2763" s="32">
        <f>IF(Mecze[[#This Row],[PR]]=0,0,Mecze[[#This Row],[PR]]/Mecze[[#This Row],[CZAS]])</f>
        <v>0</v>
      </c>
      <c r="N2763" s="32">
        <f>IF(Mecze[[#This Row],[OU]]=0,0,Mecze[[#This Row],[OU]]/Mecze[[#This Row],[CZAS]])</f>
        <v>1.0309278350515464E-2</v>
      </c>
      <c r="O2763" s="32">
        <f>IF(Mecze[[#This Row],[PC]]=0,0,Mecze[[#This Row],[PC]]/Mecze[[#This Row],[CZAS]])</f>
        <v>7.2164948453608241E-2</v>
      </c>
      <c r="P2763" s="32">
        <f>IF(Mecze[[#This Row],[SC]]=0,0,Mecze[[#This Row],[SC]]/Mecze[[#This Row],[CZAS]])</f>
        <v>2.0618556701030927E-2</v>
      </c>
      <c r="Q2763" s="32">
        <f>IF(Mecze[[#This Row],[OB]]=0,0,Mecze[[#This Row],[OB]]/Mecze[[#This Row],[CZAS]])</f>
        <v>0</v>
      </c>
      <c r="R2763" s="32">
        <f>IF(Mecze[[#This Row],[BR]]=0,0,Mecze[[#This Row],[BR]]/Mecze[[#This Row],[CZAS]])</f>
        <v>0</v>
      </c>
      <c r="S2763" s="44">
        <f>IF(Mecze[[#This Row],[Role]]="BR",SUMPRODUCT(Mecze[[#This Row],[/PR:90]:[/BR:90]],Brudnopis!$E$23:$J$23),0)</f>
        <v>0</v>
      </c>
      <c r="T2763" s="44">
        <f>IF(Mecze[[#This Row],[Role]]&lt;&gt;"BR",SUMPRODUCT(Mecze[[#This Row],[/PR:90]:[/BR:90]],Brudnopis!$E$24:$J$24),0)</f>
        <v>0.10824742268041236</v>
      </c>
      <c r="U2763" s="44">
        <f>IF(Mecze[[#This Row],[Role]]&lt;&gt;"BR",SUMPRODUCT(Mecze[[#This Row],[/PR:90]:[/BR:90]],Brudnopis!$E$25:$J$25),0)</f>
        <v>0.13917525773195877</v>
      </c>
      <c r="V2763" s="44">
        <f>IF(Mecze[[#This Row],[Role]]&lt;&gt;"BR",SUMPRODUCT(Mecze[[#This Row],[/PR:90]:[/BR:90]],Brudnopis!$E$26:$J$26),0)</f>
        <v>0.10309278350515463</v>
      </c>
      <c r="W2763" s="44">
        <f>IF(Mecze[[#This Row],[Role]]&lt;&gt;"BR",SUMPRODUCT(Mecze[[#This Row],[/PR:90]:[/BR:90]],Brudnopis!$E$27:$J$27),0)</f>
        <v>0.13659793814432988</v>
      </c>
      <c r="X2763" s="44">
        <f>IF(Mecze[[#This Row],[Role]]&lt;&gt;"BR",SUMPRODUCT(Mecze[[#This Row],[/PR:90]:[/BR:90]],Brudnopis!$E$28:$J$28),0)</f>
        <v>0.11340206185567009</v>
      </c>
      <c r="Y2763" s="35">
        <f>IF(Mecze[[#This Row],[Role]]="BR",Mecze[[#This Row],[/OB:90]]+Mecze[[#This Row],[/PC:90]],SUM(Mecze[[#This Row],[/PR:90]:[/BR:90]]))</f>
        <v>0.10309278350515463</v>
      </c>
      <c r="Z2763" s="35">
        <f>IF(Mecze[[#This Row],[KC]]=0,SUM(Mecze[[#This Row],[/BRI]:[/NPI]]),SUM(Mecze[[#This Row],[/BRI]:[/NPI]])*0.6)</f>
        <v>0.60051546391752564</v>
      </c>
      <c r="AA2763" s="10">
        <f>IFERROR(Mecze[[#This Row],[BR]]/Mecze[[#This Row],[ST]],0)</f>
        <v>0</v>
      </c>
      <c r="AB2763">
        <f>ROUND(Mecze[[#This Row],[PD]]*Mecze[[#This Row],[%PC]],0)</f>
        <v>7</v>
      </c>
      <c r="AC2763">
        <f>ROUND(Mecze[[#This Row],[OD]]*Mecze[[#This Row],[%OU]],0)</f>
        <v>1</v>
      </c>
      <c r="AD2763" s="36" t="s">
        <v>273</v>
      </c>
      <c r="AE2763" s="36">
        <v>155</v>
      </c>
      <c r="AF2763" s="71">
        <v>5.7</v>
      </c>
      <c r="AG2763" s="37">
        <v>0</v>
      </c>
      <c r="AH2763" s="37">
        <v>0</v>
      </c>
      <c r="AI2763" s="37">
        <v>97</v>
      </c>
      <c r="AJ2763" s="37">
        <v>11</v>
      </c>
      <c r="AK2763" s="37" t="str">
        <f>VLOOKUP(Mecze[[#This Row],[Match ID]],Meczusie[Mecz]:Meczusie[RodzajMeczu],2,FALSE)</f>
        <v>Liga</v>
      </c>
    </row>
    <row r="2764" spans="1:37" x14ac:dyDescent="0.25">
      <c r="A2764" s="76">
        <v>14</v>
      </c>
      <c r="B2764" s="3" t="s">
        <v>330</v>
      </c>
      <c r="C2764" s="2" t="s">
        <v>165</v>
      </c>
      <c r="D2764" s="1">
        <v>0</v>
      </c>
      <c r="E2764" s="1">
        <v>2</v>
      </c>
      <c r="F2764" s="1">
        <v>1</v>
      </c>
      <c r="G2764" s="1">
        <v>7</v>
      </c>
      <c r="H2764" s="4">
        <v>0.28999999999999998</v>
      </c>
      <c r="I2764" s="1">
        <v>2</v>
      </c>
      <c r="J2764" s="4">
        <v>0</v>
      </c>
      <c r="K2764" s="1">
        <v>0</v>
      </c>
      <c r="L2764" s="1">
        <v>1</v>
      </c>
      <c r="M2764" s="32">
        <f>IF(Mecze[[#This Row],[PR]]=0,0,Mecze[[#This Row],[PR]]/Mecze[[#This Row],[CZAS]])</f>
        <v>1.0309278350515464E-2</v>
      </c>
      <c r="N2764" s="32">
        <f>IF(Mecze[[#This Row],[OU]]=0,0,Mecze[[#This Row],[OU]]/Mecze[[#This Row],[CZAS]])</f>
        <v>0</v>
      </c>
      <c r="O2764" s="32">
        <f>IF(Mecze[[#This Row],[PC]]=0,0,Mecze[[#This Row],[PC]]/Mecze[[#This Row],[CZAS]])</f>
        <v>2.0618556701030927E-2</v>
      </c>
      <c r="P2764" s="32">
        <f>IF(Mecze[[#This Row],[SC]]=0,0,Mecze[[#This Row],[SC]]/Mecze[[#This Row],[CZAS]])</f>
        <v>1.0309278350515464E-2</v>
      </c>
      <c r="Q2764" s="32">
        <f>IF(Mecze[[#This Row],[OB]]=0,0,Mecze[[#This Row],[OB]]/Mecze[[#This Row],[CZAS]])</f>
        <v>0</v>
      </c>
      <c r="R2764" s="32">
        <f>IF(Mecze[[#This Row],[BR]]=0,0,Mecze[[#This Row],[BR]]/Mecze[[#This Row],[CZAS]])</f>
        <v>0</v>
      </c>
      <c r="S2764" s="44">
        <f>IF(Mecze[[#This Row],[Role]]="BR",SUMPRODUCT(Mecze[[#This Row],[/PR:90]:[/BR:90]],Brudnopis!$E$23:$J$23),0)</f>
        <v>0</v>
      </c>
      <c r="T2764" s="44">
        <f>IF(Mecze[[#This Row],[Role]]&lt;&gt;"BR",SUMPRODUCT(Mecze[[#This Row],[/PR:90]:[/BR:90]],Brudnopis!$E$24:$J$24),0)</f>
        <v>4.1237113402061855E-2</v>
      </c>
      <c r="U2764" s="44">
        <f>IF(Mecze[[#This Row],[Role]]&lt;&gt;"BR",SUMPRODUCT(Mecze[[#This Row],[/PR:90]:[/BR:90]],Brudnopis!$E$25:$J$25),0)</f>
        <v>5.1546391752577317E-2</v>
      </c>
      <c r="V2764" s="44">
        <f>IF(Mecze[[#This Row],[Role]]&lt;&gt;"BR",SUMPRODUCT(Mecze[[#This Row],[/PR:90]:[/BR:90]],Brudnopis!$E$26:$J$26),0)</f>
        <v>4.1237113402061855E-2</v>
      </c>
      <c r="W2764" s="44">
        <f>IF(Mecze[[#This Row],[Role]]&lt;&gt;"BR",SUMPRODUCT(Mecze[[#This Row],[/PR:90]:[/BR:90]],Brudnopis!$E$27:$J$27),0)</f>
        <v>4.8969072164948453E-2</v>
      </c>
      <c r="X2764" s="44">
        <f>IF(Mecze[[#This Row],[Role]]&lt;&gt;"BR",SUMPRODUCT(Mecze[[#This Row],[/PR:90]:[/BR:90]],Brudnopis!$E$28:$J$28),0)</f>
        <v>4.1237113402061855E-2</v>
      </c>
      <c r="Y2764" s="35">
        <f>IF(Mecze[[#This Row],[Role]]="BR",Mecze[[#This Row],[/OB:90]]+Mecze[[#This Row],[/PC:90]],SUM(Mecze[[#This Row],[/PR:90]:[/BR:90]]))</f>
        <v>4.1237113402061855E-2</v>
      </c>
      <c r="Z2764" s="35">
        <f>IF(Mecze[[#This Row],[KC]]=0,SUM(Mecze[[#This Row],[/BRI]:[/NPI]]),SUM(Mecze[[#This Row],[/BRI]:[/NPI]])*0.6)</f>
        <v>0.22422680412371132</v>
      </c>
      <c r="AA2764" s="10">
        <f>IFERROR(Mecze[[#This Row],[BR]]/Mecze[[#This Row],[ST]],0)</f>
        <v>0</v>
      </c>
      <c r="AB2764">
        <f>ROUND(Mecze[[#This Row],[PD]]*Mecze[[#This Row],[%PC]],0)</f>
        <v>2</v>
      </c>
      <c r="AC2764">
        <f>ROUND(Mecze[[#This Row],[OD]]*Mecze[[#This Row],[%OU]],0)</f>
        <v>0</v>
      </c>
      <c r="AD2764" s="36" t="s">
        <v>272</v>
      </c>
      <c r="AE2764" s="36">
        <v>155</v>
      </c>
      <c r="AF2764" s="71">
        <v>4.1500000000000004</v>
      </c>
      <c r="AG2764" s="37">
        <v>0</v>
      </c>
      <c r="AH2764" s="37">
        <v>0</v>
      </c>
      <c r="AI2764" s="37">
        <v>97</v>
      </c>
      <c r="AJ2764" s="37">
        <v>11</v>
      </c>
      <c r="AK2764" s="37" t="str">
        <f>VLOOKUP(Mecze[[#This Row],[Match ID]],Meczusie[Mecz]:Meczusie[RodzajMeczu],2,FALSE)</f>
        <v>Liga</v>
      </c>
    </row>
    <row r="2765" spans="1:37" x14ac:dyDescent="0.25">
      <c r="A2765" s="76">
        <v>1</v>
      </c>
      <c r="B2765" s="3" t="s">
        <v>261</v>
      </c>
      <c r="C2765" s="2" t="s">
        <v>155</v>
      </c>
      <c r="D2765" s="1">
        <v>0</v>
      </c>
      <c r="E2765" s="1">
        <v>0</v>
      </c>
      <c r="F2765" s="1">
        <v>0</v>
      </c>
      <c r="G2765" s="1">
        <v>9</v>
      </c>
      <c r="H2765" s="4">
        <v>0.78</v>
      </c>
      <c r="I2765" s="1">
        <v>0</v>
      </c>
      <c r="J2765" s="4"/>
      <c r="K2765" s="1">
        <v>8</v>
      </c>
      <c r="L2765" s="1">
        <v>0</v>
      </c>
      <c r="M2765" s="32">
        <f>IF(Mecze[[#This Row],[PR]]=0,0,Mecze[[#This Row],[PR]]/Mecze[[#This Row],[CZAS]])</f>
        <v>0</v>
      </c>
      <c r="N2765" s="32">
        <f>IF(Mecze[[#This Row],[OU]]=0,0,Mecze[[#This Row],[OU]]/Mecze[[#This Row],[CZAS]])</f>
        <v>0</v>
      </c>
      <c r="O2765" s="32">
        <f>IF(Mecze[[#This Row],[PC]]=0,0,Mecze[[#This Row],[PC]]/Mecze[[#This Row],[CZAS]])</f>
        <v>7.2164948453608241E-2</v>
      </c>
      <c r="P2765" s="32">
        <f>IF(Mecze[[#This Row],[SC]]=0,0,Mecze[[#This Row],[SC]]/Mecze[[#This Row],[CZAS]])</f>
        <v>0</v>
      </c>
      <c r="Q2765" s="32">
        <f>IF(Mecze[[#This Row],[OB]]=0,0,Mecze[[#This Row],[OB]]/Mecze[[#This Row],[CZAS]])</f>
        <v>8.247422680412371E-2</v>
      </c>
      <c r="R2765" s="32">
        <f>IF(Mecze[[#This Row],[BR]]=0,0,Mecze[[#This Row],[BR]]/Mecze[[#This Row],[CZAS]])</f>
        <v>0</v>
      </c>
      <c r="S2765" s="44">
        <f>IF(Mecze[[#This Row],[Role]]="BR",SUMPRODUCT(Mecze[[#This Row],[/PR:90]:[/BR:90]],Brudnopis!$E$23:$J$23),0)</f>
        <v>0.46391752577319589</v>
      </c>
      <c r="T2765" s="44">
        <f>IF(Mecze[[#This Row],[Role]]&lt;&gt;"BR",SUMPRODUCT(Mecze[[#This Row],[/PR:90]:[/BR:90]],Brudnopis!$E$24:$J$24),0)</f>
        <v>0</v>
      </c>
      <c r="U2765" s="44">
        <f>IF(Mecze[[#This Row],[Role]]&lt;&gt;"BR",SUMPRODUCT(Mecze[[#This Row],[/PR:90]:[/BR:90]],Brudnopis!$E$25:$J$25),0)</f>
        <v>0</v>
      </c>
      <c r="V2765" s="44">
        <f>IF(Mecze[[#This Row],[Role]]&lt;&gt;"BR",SUMPRODUCT(Mecze[[#This Row],[/PR:90]:[/BR:90]],Brudnopis!$E$26:$J$26),0)</f>
        <v>0</v>
      </c>
      <c r="W2765" s="44">
        <f>IF(Mecze[[#This Row],[Role]]&lt;&gt;"BR",SUMPRODUCT(Mecze[[#This Row],[/PR:90]:[/BR:90]],Brudnopis!$E$27:$J$27),0)</f>
        <v>0</v>
      </c>
      <c r="X2765" s="44">
        <f>IF(Mecze[[#This Row],[Role]]&lt;&gt;"BR",SUMPRODUCT(Mecze[[#This Row],[/PR:90]:[/BR:90]],Brudnopis!$E$28:$J$28),0)</f>
        <v>0</v>
      </c>
      <c r="Y2765" s="35">
        <f>IF(Mecze[[#This Row],[Role]]="BR",Mecze[[#This Row],[/OB:90]]+Mecze[[#This Row],[/PC:90]],SUM(Mecze[[#This Row],[/PR:90]:[/BR:90]]))</f>
        <v>0.15463917525773196</v>
      </c>
      <c r="Z2765" s="35">
        <f>IF(Mecze[[#This Row],[KC]]=0,SUM(Mecze[[#This Row],[/BRI]:[/NPI]]),SUM(Mecze[[#This Row],[/BRI]:[/NPI]])*0.6)</f>
        <v>0.46391752577319589</v>
      </c>
      <c r="AA2765" s="10">
        <f>IFERROR(Mecze[[#This Row],[BR]]/Mecze[[#This Row],[ST]],0)</f>
        <v>0</v>
      </c>
      <c r="AB2765">
        <f>ROUND(Mecze[[#This Row],[PD]]*Mecze[[#This Row],[%PC]],0)</f>
        <v>7</v>
      </c>
      <c r="AC2765">
        <f>ROUND(Mecze[[#This Row],[OD]]*Mecze[[#This Row],[%OU]],0)</f>
        <v>0</v>
      </c>
      <c r="AD2765" s="36" t="s">
        <v>40</v>
      </c>
      <c r="AE2765" s="36">
        <v>155</v>
      </c>
      <c r="AF2765" s="71">
        <v>4.5999999999999996</v>
      </c>
      <c r="AG2765" s="37">
        <v>0</v>
      </c>
      <c r="AH2765" s="37">
        <v>0</v>
      </c>
      <c r="AI2765" s="37">
        <v>97</v>
      </c>
      <c r="AJ2765" s="37">
        <v>3</v>
      </c>
      <c r="AK2765" s="37" t="str">
        <f>VLOOKUP(Mecze[[#This Row],[Match ID]],Meczusie[Mecz]:Meczusie[RodzajMeczu],2,FALSE)</f>
        <v>Liga</v>
      </c>
    </row>
    <row r="2766" spans="1:37" x14ac:dyDescent="0.25">
      <c r="A2766" s="76">
        <v>13</v>
      </c>
      <c r="B2766" s="3" t="s">
        <v>262</v>
      </c>
      <c r="C2766" s="2" t="s">
        <v>157</v>
      </c>
      <c r="D2766" s="1">
        <v>0</v>
      </c>
      <c r="E2766" s="1">
        <v>0</v>
      </c>
      <c r="F2766" s="1">
        <v>0</v>
      </c>
      <c r="G2766" s="1">
        <v>3</v>
      </c>
      <c r="H2766" s="4">
        <v>0.33</v>
      </c>
      <c r="I2766" s="1">
        <v>2</v>
      </c>
      <c r="J2766" s="4">
        <v>0.5</v>
      </c>
      <c r="K2766" s="1">
        <v>0</v>
      </c>
      <c r="L2766" s="1">
        <v>2</v>
      </c>
      <c r="M2766" s="32">
        <f>IF(Mecze[[#This Row],[PR]]=0,0,Mecze[[#This Row],[PR]]/Mecze[[#This Row],[CZAS]])</f>
        <v>2.0618556701030927E-2</v>
      </c>
      <c r="N2766" s="32">
        <f>IF(Mecze[[#This Row],[OU]]=0,0,Mecze[[#This Row],[OU]]/Mecze[[#This Row],[CZAS]])</f>
        <v>1.0309278350515464E-2</v>
      </c>
      <c r="O2766" s="32">
        <f>IF(Mecze[[#This Row],[PC]]=0,0,Mecze[[#This Row],[PC]]/Mecze[[#This Row],[CZAS]])</f>
        <v>1.0309278350515464E-2</v>
      </c>
      <c r="P2766" s="32">
        <f>IF(Mecze[[#This Row],[SC]]=0,0,Mecze[[#This Row],[SC]]/Mecze[[#This Row],[CZAS]])</f>
        <v>0</v>
      </c>
      <c r="Q2766" s="32">
        <f>IF(Mecze[[#This Row],[OB]]=0,0,Mecze[[#This Row],[OB]]/Mecze[[#This Row],[CZAS]])</f>
        <v>0</v>
      </c>
      <c r="R2766" s="32">
        <f>IF(Mecze[[#This Row],[BR]]=0,0,Mecze[[#This Row],[BR]]/Mecze[[#This Row],[CZAS]])</f>
        <v>0</v>
      </c>
      <c r="S2766" s="44">
        <f>IF(Mecze[[#This Row],[Role]]="BR",SUMPRODUCT(Mecze[[#This Row],[/PR:90]:[/BR:90]],Brudnopis!$E$23:$J$23),0)</f>
        <v>0</v>
      </c>
      <c r="T2766" s="44">
        <f>IF(Mecze[[#This Row],[Role]]&lt;&gt;"BR",SUMPRODUCT(Mecze[[#This Row],[/PR:90]:[/BR:90]],Brudnopis!$E$24:$J$24),0)</f>
        <v>4.6391752577319582E-2</v>
      </c>
      <c r="U2766" s="44">
        <f>IF(Mecze[[#This Row],[Role]]&lt;&gt;"BR",SUMPRODUCT(Mecze[[#This Row],[/PR:90]:[/BR:90]],Brudnopis!$E$25:$J$25),0)</f>
        <v>4.6391752577319589E-2</v>
      </c>
      <c r="V2766" s="44">
        <f>IF(Mecze[[#This Row],[Role]]&lt;&gt;"BR",SUMPRODUCT(Mecze[[#This Row],[/PR:90]:[/BR:90]],Brudnopis!$E$26:$J$26),0)</f>
        <v>4.1237113402061855E-2</v>
      </c>
      <c r="W2766" s="44">
        <f>IF(Mecze[[#This Row],[Role]]&lt;&gt;"BR",SUMPRODUCT(Mecze[[#This Row],[/PR:90]:[/BR:90]],Brudnopis!$E$27:$J$27),0)</f>
        <v>3.8659793814432991E-2</v>
      </c>
      <c r="X2766" s="44">
        <f>IF(Mecze[[#This Row],[Role]]&lt;&gt;"BR",SUMPRODUCT(Mecze[[#This Row],[/PR:90]:[/BR:90]],Brudnopis!$E$28:$J$28),0)</f>
        <v>1.0309278350515464E-2</v>
      </c>
      <c r="Y2766" s="35">
        <f>IF(Mecze[[#This Row],[Role]]="BR",Mecze[[#This Row],[/OB:90]]+Mecze[[#This Row],[/PC:90]],SUM(Mecze[[#This Row],[/PR:90]:[/BR:90]]))</f>
        <v>4.1237113402061855E-2</v>
      </c>
      <c r="Z2766" s="35">
        <f>IF(Mecze[[#This Row],[KC]]=0,SUM(Mecze[[#This Row],[/BRI]:[/NPI]]),SUM(Mecze[[#This Row],[/BRI]:[/NPI]])*0.6)</f>
        <v>0.18298969072164947</v>
      </c>
      <c r="AA2766" s="10">
        <f>IFERROR(Mecze[[#This Row],[BR]]/Mecze[[#This Row],[ST]],0)</f>
        <v>0</v>
      </c>
      <c r="AB2766">
        <f>ROUND(Mecze[[#This Row],[PD]]*Mecze[[#This Row],[%PC]],0)</f>
        <v>1</v>
      </c>
      <c r="AC2766">
        <f>ROUND(Mecze[[#This Row],[OD]]*Mecze[[#This Row],[%OU]],0)</f>
        <v>1</v>
      </c>
      <c r="AD2766" s="36" t="s">
        <v>175</v>
      </c>
      <c r="AE2766" s="36">
        <v>155</v>
      </c>
      <c r="AF2766" s="71">
        <v>1</v>
      </c>
      <c r="AG2766" s="37">
        <v>0</v>
      </c>
      <c r="AH2766" s="37">
        <v>0</v>
      </c>
      <c r="AI2766" s="37">
        <v>97</v>
      </c>
      <c r="AJ2766" s="37">
        <v>3</v>
      </c>
      <c r="AK2766" s="37" t="str">
        <f>VLOOKUP(Mecze[[#This Row],[Match ID]],Meczusie[Mecz]:Meczusie[RodzajMeczu],2,FALSE)</f>
        <v>Liga</v>
      </c>
    </row>
    <row r="2767" spans="1:37" x14ac:dyDescent="0.25">
      <c r="A2767" s="76">
        <v>6</v>
      </c>
      <c r="B2767" s="3" t="s">
        <v>263</v>
      </c>
      <c r="C2767" s="2" t="s">
        <v>157</v>
      </c>
      <c r="D2767" s="1">
        <v>0</v>
      </c>
      <c r="E2767" s="1">
        <v>0</v>
      </c>
      <c r="F2767" s="1">
        <v>0</v>
      </c>
      <c r="G2767" s="1">
        <v>2</v>
      </c>
      <c r="H2767" s="4">
        <v>1</v>
      </c>
      <c r="I2767" s="1">
        <v>1</v>
      </c>
      <c r="J2767" s="4">
        <v>1</v>
      </c>
      <c r="K2767" s="1">
        <v>0</v>
      </c>
      <c r="L2767" s="1">
        <v>2</v>
      </c>
      <c r="M2767" s="32">
        <f>IF(Mecze[[#This Row],[PR]]=0,0,Mecze[[#This Row],[PR]]/Mecze[[#This Row],[CZAS]])</f>
        <v>9.5238095238095233E-2</v>
      </c>
      <c r="N2767" s="32">
        <f>IF(Mecze[[#This Row],[OU]]=0,0,Mecze[[#This Row],[OU]]/Mecze[[#This Row],[CZAS]])</f>
        <v>4.7619047619047616E-2</v>
      </c>
      <c r="O2767" s="32">
        <f>IF(Mecze[[#This Row],[PC]]=0,0,Mecze[[#This Row],[PC]]/Mecze[[#This Row],[CZAS]])</f>
        <v>9.5238095238095233E-2</v>
      </c>
      <c r="P2767" s="32">
        <f>IF(Mecze[[#This Row],[SC]]=0,0,Mecze[[#This Row],[SC]]/Mecze[[#This Row],[CZAS]])</f>
        <v>0</v>
      </c>
      <c r="Q2767" s="32">
        <f>IF(Mecze[[#This Row],[OB]]=0,0,Mecze[[#This Row],[OB]]/Mecze[[#This Row],[CZAS]])</f>
        <v>0</v>
      </c>
      <c r="R2767" s="32">
        <f>IF(Mecze[[#This Row],[BR]]=0,0,Mecze[[#This Row],[BR]]/Mecze[[#This Row],[CZAS]])</f>
        <v>0</v>
      </c>
      <c r="S2767" s="44">
        <f>IF(Mecze[[#This Row],[Role]]="BR",SUMPRODUCT(Mecze[[#This Row],[/PR:90]:[/BR:90]],Brudnopis!$E$23:$J$23),0)</f>
        <v>0</v>
      </c>
      <c r="T2767" s="44">
        <f>IF(Mecze[[#This Row],[Role]]&lt;&gt;"BR",SUMPRODUCT(Mecze[[#This Row],[/PR:90]:[/BR:90]],Brudnopis!$E$24:$J$24),0)</f>
        <v>0.26190476190476186</v>
      </c>
      <c r="U2767" s="44">
        <f>IF(Mecze[[#This Row],[Role]]&lt;&gt;"BR",SUMPRODUCT(Mecze[[#This Row],[/PR:90]:[/BR:90]],Brudnopis!$E$25:$J$25),0)</f>
        <v>0.2857142857142857</v>
      </c>
      <c r="V2767" s="44">
        <f>IF(Mecze[[#This Row],[Role]]&lt;&gt;"BR",SUMPRODUCT(Mecze[[#This Row],[/PR:90]:[/BR:90]],Brudnopis!$E$26:$J$26),0)</f>
        <v>0.23809523809523808</v>
      </c>
      <c r="W2767" s="44">
        <f>IF(Mecze[[#This Row],[Role]]&lt;&gt;"BR",SUMPRODUCT(Mecze[[#This Row],[/PR:90]:[/BR:90]],Brudnopis!$E$27:$J$27),0)</f>
        <v>0.25</v>
      </c>
      <c r="X2767" s="44">
        <f>IF(Mecze[[#This Row],[Role]]&lt;&gt;"BR",SUMPRODUCT(Mecze[[#This Row],[/PR:90]:[/BR:90]],Brudnopis!$E$28:$J$28),0)</f>
        <v>9.5238095238095233E-2</v>
      </c>
      <c r="Y2767" s="35">
        <f>IF(Mecze[[#This Row],[Role]]="BR",Mecze[[#This Row],[/OB:90]]+Mecze[[#This Row],[/PC:90]],SUM(Mecze[[#This Row],[/PR:90]:[/BR:90]]))</f>
        <v>0.23809523809523808</v>
      </c>
      <c r="Z2767" s="35">
        <f>IF(Mecze[[#This Row],[KC]]=0,SUM(Mecze[[#This Row],[/BRI]:[/NPI]]),SUM(Mecze[[#This Row],[/BRI]:[/NPI]])*0.6)</f>
        <v>0.67857142857142849</v>
      </c>
      <c r="AA2767" s="10">
        <f>IFERROR(Mecze[[#This Row],[BR]]/Mecze[[#This Row],[ST]],0)</f>
        <v>0</v>
      </c>
      <c r="AB2767">
        <f>ROUND(Mecze[[#This Row],[PD]]*Mecze[[#This Row],[%PC]],0)</f>
        <v>2</v>
      </c>
      <c r="AC2767">
        <f>ROUND(Mecze[[#This Row],[OD]]*Mecze[[#This Row],[%OU]],0)</f>
        <v>1</v>
      </c>
      <c r="AD2767" s="36" t="s">
        <v>47</v>
      </c>
      <c r="AE2767" s="36">
        <v>155</v>
      </c>
      <c r="AF2767" s="71">
        <v>-3.41</v>
      </c>
      <c r="AG2767" s="37">
        <v>0</v>
      </c>
      <c r="AH2767" s="37">
        <v>1</v>
      </c>
      <c r="AI2767" s="37">
        <v>21</v>
      </c>
      <c r="AJ2767" s="37">
        <v>3</v>
      </c>
      <c r="AK2767" s="37" t="str">
        <f>VLOOKUP(Mecze[[#This Row],[Match ID]],Meczusie[Mecz]:Meczusie[RodzajMeczu],2,FALSE)</f>
        <v>Liga</v>
      </c>
    </row>
    <row r="2768" spans="1:37" x14ac:dyDescent="0.25">
      <c r="A2768" s="76">
        <v>4</v>
      </c>
      <c r="B2768" s="3" t="s">
        <v>264</v>
      </c>
      <c r="C2768" s="2" t="s">
        <v>157</v>
      </c>
      <c r="D2768" s="1">
        <v>0</v>
      </c>
      <c r="E2768" s="1">
        <v>0</v>
      </c>
      <c r="F2768" s="1">
        <v>0</v>
      </c>
      <c r="G2768" s="1">
        <v>8</v>
      </c>
      <c r="H2768" s="4">
        <v>0.75</v>
      </c>
      <c r="I2768" s="1">
        <v>12</v>
      </c>
      <c r="J2768" s="4">
        <v>0.57999999999999996</v>
      </c>
      <c r="K2768" s="1">
        <v>0</v>
      </c>
      <c r="L2768" s="1">
        <v>5</v>
      </c>
      <c r="M2768" s="32">
        <f>IF(Mecze[[#This Row],[PR]]=0,0,Mecze[[#This Row],[PR]]/Mecze[[#This Row],[CZAS]])</f>
        <v>5.1546391752577317E-2</v>
      </c>
      <c r="N2768" s="32">
        <f>IF(Mecze[[#This Row],[OU]]=0,0,Mecze[[#This Row],[OU]]/Mecze[[#This Row],[CZAS]])</f>
        <v>7.2164948453608241E-2</v>
      </c>
      <c r="O2768" s="32">
        <f>IF(Mecze[[#This Row],[PC]]=0,0,Mecze[[#This Row],[PC]]/Mecze[[#This Row],[CZAS]])</f>
        <v>6.1855670103092786E-2</v>
      </c>
      <c r="P2768" s="32">
        <f>IF(Mecze[[#This Row],[SC]]=0,0,Mecze[[#This Row],[SC]]/Mecze[[#This Row],[CZAS]])</f>
        <v>0</v>
      </c>
      <c r="Q2768" s="32">
        <f>IF(Mecze[[#This Row],[OB]]=0,0,Mecze[[#This Row],[OB]]/Mecze[[#This Row],[CZAS]])</f>
        <v>0</v>
      </c>
      <c r="R2768" s="32">
        <f>IF(Mecze[[#This Row],[BR]]=0,0,Mecze[[#This Row],[BR]]/Mecze[[#This Row],[CZAS]])</f>
        <v>0</v>
      </c>
      <c r="S2768" s="44">
        <f>IF(Mecze[[#This Row],[Role]]="BR",SUMPRODUCT(Mecze[[#This Row],[/PR:90]:[/BR:90]],Brudnopis!$E$23:$J$23),0)</f>
        <v>0</v>
      </c>
      <c r="T2768" s="44">
        <f>IF(Mecze[[#This Row],[Role]]&lt;&gt;"BR",SUMPRODUCT(Mecze[[#This Row],[/PR:90]:[/BR:90]],Brudnopis!$E$24:$J$24),0)</f>
        <v>0.22164948453608246</v>
      </c>
      <c r="U2768" s="44">
        <f>IF(Mecze[[#This Row],[Role]]&lt;&gt;"BR",SUMPRODUCT(Mecze[[#This Row],[/PR:90]:[/BR:90]],Brudnopis!$E$25:$J$25),0)</f>
        <v>0.21649484536082475</v>
      </c>
      <c r="V2768" s="44">
        <f>IF(Mecze[[#This Row],[Role]]&lt;&gt;"BR",SUMPRODUCT(Mecze[[#This Row],[/PR:90]:[/BR:90]],Brudnopis!$E$26:$J$26),0)</f>
        <v>0.18556701030927836</v>
      </c>
      <c r="W2768" s="44">
        <f>IF(Mecze[[#This Row],[Role]]&lt;&gt;"BR",SUMPRODUCT(Mecze[[#This Row],[/PR:90]:[/BR:90]],Brudnopis!$E$27:$J$27),0)</f>
        <v>0.18556701030927836</v>
      </c>
      <c r="X2768" s="44">
        <f>IF(Mecze[[#This Row],[Role]]&lt;&gt;"BR",SUMPRODUCT(Mecze[[#This Row],[/PR:90]:[/BR:90]],Brudnopis!$E$28:$J$28),0)</f>
        <v>6.1855670103092786E-2</v>
      </c>
      <c r="Y2768" s="35">
        <f>IF(Mecze[[#This Row],[Role]]="BR",Mecze[[#This Row],[/OB:90]]+Mecze[[#This Row],[/PC:90]],SUM(Mecze[[#This Row],[/PR:90]:[/BR:90]]))</f>
        <v>0.18556701030927836</v>
      </c>
      <c r="Z2768" s="35">
        <f>IF(Mecze[[#This Row],[KC]]=0,SUM(Mecze[[#This Row],[/BRI]:[/NPI]]),SUM(Mecze[[#This Row],[/BRI]:[/NPI]])*0.6)</f>
        <v>0.87113402061855671</v>
      </c>
      <c r="AA2768" s="10">
        <f>IFERROR(Mecze[[#This Row],[BR]]/Mecze[[#This Row],[ST]],0)</f>
        <v>0</v>
      </c>
      <c r="AB2768">
        <f>ROUND(Mecze[[#This Row],[PD]]*Mecze[[#This Row],[%PC]],0)</f>
        <v>6</v>
      </c>
      <c r="AC2768">
        <f>ROUND(Mecze[[#This Row],[OD]]*Mecze[[#This Row],[%OU]],0)</f>
        <v>7</v>
      </c>
      <c r="AD2768" s="36" t="s">
        <v>174</v>
      </c>
      <c r="AE2768" s="36">
        <v>155</v>
      </c>
      <c r="AF2768" s="71">
        <v>1.64</v>
      </c>
      <c r="AG2768" s="37">
        <v>1</v>
      </c>
      <c r="AH2768" s="37">
        <v>0</v>
      </c>
      <c r="AI2768" s="37">
        <v>97</v>
      </c>
      <c r="AJ2768" s="37">
        <v>3</v>
      </c>
      <c r="AK2768" s="37" t="str">
        <f>VLOOKUP(Mecze[[#This Row],[Match ID]],Meczusie[Mecz]:Meczusie[RodzajMeczu],2,FALSE)</f>
        <v>Liga</v>
      </c>
    </row>
    <row r="2769" spans="1:37" x14ac:dyDescent="0.25">
      <c r="A2769" s="76">
        <v>2</v>
      </c>
      <c r="B2769" s="3" t="s">
        <v>265</v>
      </c>
      <c r="C2769" s="2" t="s">
        <v>157</v>
      </c>
      <c r="D2769" s="1">
        <v>0</v>
      </c>
      <c r="E2769" s="1">
        <v>0</v>
      </c>
      <c r="F2769" s="1">
        <v>0</v>
      </c>
      <c r="G2769" s="1">
        <v>10</v>
      </c>
      <c r="H2769" s="4">
        <v>0.8</v>
      </c>
      <c r="I2769" s="1">
        <v>11</v>
      </c>
      <c r="J2769" s="4">
        <v>0.55000000000000004</v>
      </c>
      <c r="K2769" s="1">
        <v>0</v>
      </c>
      <c r="L2769" s="1">
        <v>10</v>
      </c>
      <c r="M2769" s="32">
        <f>IF(Mecze[[#This Row],[PR]]=0,0,Mecze[[#This Row],[PR]]/Mecze[[#This Row],[CZAS]])</f>
        <v>0.10309278350515463</v>
      </c>
      <c r="N2769" s="32">
        <f>IF(Mecze[[#This Row],[OU]]=0,0,Mecze[[#This Row],[OU]]/Mecze[[#This Row],[CZAS]])</f>
        <v>6.1855670103092786E-2</v>
      </c>
      <c r="O2769" s="32">
        <f>IF(Mecze[[#This Row],[PC]]=0,0,Mecze[[#This Row],[PC]]/Mecze[[#This Row],[CZAS]])</f>
        <v>8.247422680412371E-2</v>
      </c>
      <c r="P2769" s="32">
        <f>IF(Mecze[[#This Row],[SC]]=0,0,Mecze[[#This Row],[SC]]/Mecze[[#This Row],[CZAS]])</f>
        <v>0</v>
      </c>
      <c r="Q2769" s="32">
        <f>IF(Mecze[[#This Row],[OB]]=0,0,Mecze[[#This Row],[OB]]/Mecze[[#This Row],[CZAS]])</f>
        <v>0</v>
      </c>
      <c r="R2769" s="32">
        <f>IF(Mecze[[#This Row],[BR]]=0,0,Mecze[[#This Row],[BR]]/Mecze[[#This Row],[CZAS]])</f>
        <v>0</v>
      </c>
      <c r="S2769" s="44">
        <f>IF(Mecze[[#This Row],[Role]]="BR",SUMPRODUCT(Mecze[[#This Row],[/PR:90]:[/BR:90]],Brudnopis!$E$23:$J$23),0)</f>
        <v>0</v>
      </c>
      <c r="T2769" s="44">
        <f>IF(Mecze[[#This Row],[Role]]&lt;&gt;"BR",SUMPRODUCT(Mecze[[#This Row],[/PR:90]:[/BR:90]],Brudnopis!$E$24:$J$24),0)</f>
        <v>0.27835051546391754</v>
      </c>
      <c r="U2769" s="44">
        <f>IF(Mecze[[#This Row],[Role]]&lt;&gt;"BR",SUMPRODUCT(Mecze[[#This Row],[/PR:90]:[/BR:90]],Brudnopis!$E$25:$J$25),0)</f>
        <v>0.28865979381443296</v>
      </c>
      <c r="V2769" s="44">
        <f>IF(Mecze[[#This Row],[Role]]&lt;&gt;"BR",SUMPRODUCT(Mecze[[#This Row],[/PR:90]:[/BR:90]],Brudnopis!$E$26:$J$26),0)</f>
        <v>0.24742268041237114</v>
      </c>
      <c r="W2769" s="44">
        <f>IF(Mecze[[#This Row],[Role]]&lt;&gt;"BR",SUMPRODUCT(Mecze[[#This Row],[/PR:90]:[/BR:90]],Brudnopis!$E$27:$J$27),0)</f>
        <v>0.24742268041237114</v>
      </c>
      <c r="X2769" s="44">
        <f>IF(Mecze[[#This Row],[Role]]&lt;&gt;"BR",SUMPRODUCT(Mecze[[#This Row],[/PR:90]:[/BR:90]],Brudnopis!$E$28:$J$28),0)</f>
        <v>8.247422680412371E-2</v>
      </c>
      <c r="Y2769" s="35">
        <f>IF(Mecze[[#This Row],[Role]]="BR",Mecze[[#This Row],[/OB:90]]+Mecze[[#This Row],[/PC:90]],SUM(Mecze[[#This Row],[/PR:90]:[/BR:90]]))</f>
        <v>0.24742268041237114</v>
      </c>
      <c r="Z2769" s="35">
        <f>IF(Mecze[[#This Row],[KC]]=0,SUM(Mecze[[#This Row],[/BRI]:[/NPI]]),SUM(Mecze[[#This Row],[/BRI]:[/NPI]])*0.6)</f>
        <v>1.1443298969072164</v>
      </c>
      <c r="AA2769" s="10">
        <f>IFERROR(Mecze[[#This Row],[BR]]/Mecze[[#This Row],[ST]],0)</f>
        <v>0</v>
      </c>
      <c r="AB2769">
        <f>ROUND(Mecze[[#This Row],[PD]]*Mecze[[#This Row],[%PC]],0)</f>
        <v>8</v>
      </c>
      <c r="AC2769">
        <f>ROUND(Mecze[[#This Row],[OD]]*Mecze[[#This Row],[%OU]],0)</f>
        <v>6</v>
      </c>
      <c r="AD2769" s="36" t="s">
        <v>47</v>
      </c>
      <c r="AE2769" s="36">
        <v>155</v>
      </c>
      <c r="AF2769" s="71">
        <v>3.8</v>
      </c>
      <c r="AG2769" s="37">
        <v>0</v>
      </c>
      <c r="AH2769" s="37">
        <v>0</v>
      </c>
      <c r="AI2769" s="37">
        <v>97</v>
      </c>
      <c r="AJ2769" s="37">
        <v>3</v>
      </c>
      <c r="AK2769" s="37" t="str">
        <f>VLOOKUP(Mecze[[#This Row],[Match ID]],Meczusie[Mecz]:Meczusie[RodzajMeczu],2,FALSE)</f>
        <v>Liga</v>
      </c>
    </row>
    <row r="2770" spans="1:37" x14ac:dyDescent="0.25">
      <c r="A2770" s="76">
        <v>7</v>
      </c>
      <c r="B2770" s="3" t="s">
        <v>509</v>
      </c>
      <c r="C2770" s="2" t="s">
        <v>160</v>
      </c>
      <c r="D2770" s="1">
        <v>0</v>
      </c>
      <c r="E2770" s="1">
        <v>0</v>
      </c>
      <c r="F2770" s="1">
        <v>0</v>
      </c>
      <c r="G2770" s="1">
        <v>11</v>
      </c>
      <c r="H2770" s="4">
        <v>0.55000000000000004</v>
      </c>
      <c r="I2770" s="1">
        <v>4</v>
      </c>
      <c r="J2770" s="4">
        <v>0</v>
      </c>
      <c r="K2770" s="1">
        <v>0</v>
      </c>
      <c r="L2770" s="1">
        <v>1</v>
      </c>
      <c r="M2770" s="32">
        <f>IF(Mecze[[#This Row],[PR]]=0,0,Mecze[[#This Row],[PR]]/Mecze[[#This Row],[CZAS]])</f>
        <v>1.0309278350515464E-2</v>
      </c>
      <c r="N2770" s="32">
        <f>IF(Mecze[[#This Row],[OU]]=0,0,Mecze[[#This Row],[OU]]/Mecze[[#This Row],[CZAS]])</f>
        <v>0</v>
      </c>
      <c r="O2770" s="32">
        <f>IF(Mecze[[#This Row],[PC]]=0,0,Mecze[[#This Row],[PC]]/Mecze[[#This Row],[CZAS]])</f>
        <v>6.1855670103092786E-2</v>
      </c>
      <c r="P2770" s="32">
        <f>IF(Mecze[[#This Row],[SC]]=0,0,Mecze[[#This Row],[SC]]/Mecze[[#This Row],[CZAS]])</f>
        <v>0</v>
      </c>
      <c r="Q2770" s="32">
        <f>IF(Mecze[[#This Row],[OB]]=0,0,Mecze[[#This Row],[OB]]/Mecze[[#This Row],[CZAS]])</f>
        <v>0</v>
      </c>
      <c r="R2770" s="32">
        <f>IF(Mecze[[#This Row],[BR]]=0,0,Mecze[[#This Row],[BR]]/Mecze[[#This Row],[CZAS]])</f>
        <v>0</v>
      </c>
      <c r="S2770" s="44">
        <f>IF(Mecze[[#This Row],[Role]]="BR",SUMPRODUCT(Mecze[[#This Row],[/PR:90]:[/BR:90]],Brudnopis!$E$23:$J$23),0)</f>
        <v>0</v>
      </c>
      <c r="T2770" s="44">
        <f>IF(Mecze[[#This Row],[Role]]&lt;&gt;"BR",SUMPRODUCT(Mecze[[#This Row],[/PR:90]:[/BR:90]],Brudnopis!$E$24:$J$24),0)</f>
        <v>7.2164948453608255E-2</v>
      </c>
      <c r="U2770" s="44">
        <f>IF(Mecze[[#This Row],[Role]]&lt;&gt;"BR",SUMPRODUCT(Mecze[[#This Row],[/PR:90]:[/BR:90]],Brudnopis!$E$25:$J$25),0)</f>
        <v>0.10309278350515465</v>
      </c>
      <c r="V2770" s="44">
        <f>IF(Mecze[[#This Row],[Role]]&lt;&gt;"BR",SUMPRODUCT(Mecze[[#This Row],[/PR:90]:[/BR:90]],Brudnopis!$E$26:$J$26),0)</f>
        <v>7.2164948453608255E-2</v>
      </c>
      <c r="W2770" s="44">
        <f>IF(Mecze[[#This Row],[Role]]&lt;&gt;"BR",SUMPRODUCT(Mecze[[#This Row],[/PR:90]:[/BR:90]],Brudnopis!$E$27:$J$27),0)</f>
        <v>0.10051546391752578</v>
      </c>
      <c r="X2770" s="44">
        <f>IF(Mecze[[#This Row],[Role]]&lt;&gt;"BR",SUMPRODUCT(Mecze[[#This Row],[/PR:90]:[/BR:90]],Brudnopis!$E$28:$J$28),0)</f>
        <v>6.1855670103092786E-2</v>
      </c>
      <c r="Y2770" s="35">
        <f>IF(Mecze[[#This Row],[Role]]="BR",Mecze[[#This Row],[/OB:90]]+Mecze[[#This Row],[/PC:90]],SUM(Mecze[[#This Row],[/PR:90]:[/BR:90]]))</f>
        <v>7.2164948453608255E-2</v>
      </c>
      <c r="Z2770" s="35">
        <f>IF(Mecze[[#This Row],[KC]]=0,SUM(Mecze[[#This Row],[/BRI]:[/NPI]]),SUM(Mecze[[#This Row],[/BRI]:[/NPI]])*0.6)</f>
        <v>0.40979381443298968</v>
      </c>
      <c r="AA2770" s="10">
        <f>IFERROR(Mecze[[#This Row],[BR]]/Mecze[[#This Row],[ST]],0)</f>
        <v>0</v>
      </c>
      <c r="AB2770">
        <f>ROUND(Mecze[[#This Row],[PD]]*Mecze[[#This Row],[%PC]],0)</f>
        <v>6</v>
      </c>
      <c r="AC2770">
        <f>ROUND(Mecze[[#This Row],[OD]]*Mecze[[#This Row],[%OU]],0)</f>
        <v>0</v>
      </c>
      <c r="AD2770" s="36" t="s">
        <v>67</v>
      </c>
      <c r="AE2770" s="36">
        <v>155</v>
      </c>
      <c r="AF2770" s="71">
        <v>4.12</v>
      </c>
      <c r="AG2770" s="37">
        <v>0</v>
      </c>
      <c r="AH2770" s="37">
        <v>0</v>
      </c>
      <c r="AI2770" s="37">
        <v>97</v>
      </c>
      <c r="AJ2770" s="37">
        <v>3</v>
      </c>
      <c r="AK2770" s="37" t="str">
        <f>VLOOKUP(Mecze[[#This Row],[Match ID]],Meczusie[Mecz]:Meczusie[RodzajMeczu],2,FALSE)</f>
        <v>Liga</v>
      </c>
    </row>
    <row r="2771" spans="1:37" x14ac:dyDescent="0.25">
      <c r="A2771" s="76">
        <v>5</v>
      </c>
      <c r="B2771" s="3" t="s">
        <v>267</v>
      </c>
      <c r="C2771" s="2" t="s">
        <v>160</v>
      </c>
      <c r="D2771" s="1">
        <v>0</v>
      </c>
      <c r="E2771" s="1">
        <v>1</v>
      </c>
      <c r="F2771" s="1">
        <v>1</v>
      </c>
      <c r="G2771" s="1">
        <v>20</v>
      </c>
      <c r="H2771" s="4">
        <v>0.6</v>
      </c>
      <c r="I2771" s="1">
        <v>5</v>
      </c>
      <c r="J2771" s="4">
        <v>0.4</v>
      </c>
      <c r="K2771" s="1">
        <v>0</v>
      </c>
      <c r="L2771" s="1">
        <v>7</v>
      </c>
      <c r="M2771" s="32">
        <f>IF(Mecze[[#This Row],[PR]]=0,0,Mecze[[#This Row],[PR]]/Mecze[[#This Row],[CZAS]])</f>
        <v>7.2164948453608241E-2</v>
      </c>
      <c r="N2771" s="32">
        <f>IF(Mecze[[#This Row],[OU]]=0,0,Mecze[[#This Row],[OU]]/Mecze[[#This Row],[CZAS]])</f>
        <v>2.0618556701030927E-2</v>
      </c>
      <c r="O2771" s="32">
        <f>IF(Mecze[[#This Row],[PC]]=0,0,Mecze[[#This Row],[PC]]/Mecze[[#This Row],[CZAS]])</f>
        <v>0.12371134020618557</v>
      </c>
      <c r="P2771" s="32">
        <f>IF(Mecze[[#This Row],[SC]]=0,0,Mecze[[#This Row],[SC]]/Mecze[[#This Row],[CZAS]])</f>
        <v>1.0309278350515464E-2</v>
      </c>
      <c r="Q2771" s="32">
        <f>IF(Mecze[[#This Row],[OB]]=0,0,Mecze[[#This Row],[OB]]/Mecze[[#This Row],[CZAS]])</f>
        <v>0</v>
      </c>
      <c r="R2771" s="32">
        <f>IF(Mecze[[#This Row],[BR]]=0,0,Mecze[[#This Row],[BR]]/Mecze[[#This Row],[CZAS]])</f>
        <v>0</v>
      </c>
      <c r="S2771" s="44">
        <f>IF(Mecze[[#This Row],[Role]]="BR",SUMPRODUCT(Mecze[[#This Row],[/PR:90]:[/BR:90]],Brudnopis!$E$23:$J$23),0)</f>
        <v>0</v>
      </c>
      <c r="T2771" s="44">
        <f>IF(Mecze[[#This Row],[Role]]&lt;&gt;"BR",SUMPRODUCT(Mecze[[#This Row],[/PR:90]:[/BR:90]],Brudnopis!$E$24:$J$24),0)</f>
        <v>0.23711340206185566</v>
      </c>
      <c r="U2771" s="44">
        <f>IF(Mecze[[#This Row],[Role]]&lt;&gt;"BR",SUMPRODUCT(Mecze[[#This Row],[/PR:90]:[/BR:90]],Brudnopis!$E$25:$J$25),0)</f>
        <v>0.28865979381443302</v>
      </c>
      <c r="V2771" s="44">
        <f>IF(Mecze[[#This Row],[Role]]&lt;&gt;"BR",SUMPRODUCT(Mecze[[#This Row],[/PR:90]:[/BR:90]],Brudnopis!$E$26:$J$26),0)</f>
        <v>0.22680412371134021</v>
      </c>
      <c r="W2771" s="44">
        <f>IF(Mecze[[#This Row],[Role]]&lt;&gt;"BR",SUMPRODUCT(Mecze[[#This Row],[/PR:90]:[/BR:90]],Brudnopis!$E$27:$J$27),0)</f>
        <v>0.2654639175257732</v>
      </c>
      <c r="X2771" s="44">
        <f>IF(Mecze[[#This Row],[Role]]&lt;&gt;"BR",SUMPRODUCT(Mecze[[#This Row],[/PR:90]:[/BR:90]],Brudnopis!$E$28:$J$28),0)</f>
        <v>0.14432989690721651</v>
      </c>
      <c r="Y2771" s="35">
        <f>IF(Mecze[[#This Row],[Role]]="BR",Mecze[[#This Row],[/OB:90]]+Mecze[[#This Row],[/PC:90]],SUM(Mecze[[#This Row],[/PR:90]:[/BR:90]]))</f>
        <v>0.22680412371134021</v>
      </c>
      <c r="Z2771" s="35">
        <f>IF(Mecze[[#This Row],[KC]]=0,SUM(Mecze[[#This Row],[/BRI]:[/NPI]]),SUM(Mecze[[#This Row],[/BRI]:[/NPI]])*0.6)</f>
        <v>1.1623711340206184</v>
      </c>
      <c r="AA2771" s="10">
        <f>IFERROR(Mecze[[#This Row],[BR]]/Mecze[[#This Row],[ST]],0)</f>
        <v>0</v>
      </c>
      <c r="AB2771">
        <f>ROUND(Mecze[[#This Row],[PD]]*Mecze[[#This Row],[%PC]],0)</f>
        <v>12</v>
      </c>
      <c r="AC2771">
        <f>ROUND(Mecze[[#This Row],[OD]]*Mecze[[#This Row],[%OU]],0)</f>
        <v>2</v>
      </c>
      <c r="AD2771" s="36" t="s">
        <v>67</v>
      </c>
      <c r="AE2771" s="36">
        <v>155</v>
      </c>
      <c r="AF2771" s="71">
        <v>5.61</v>
      </c>
      <c r="AG2771" s="37">
        <v>0</v>
      </c>
      <c r="AH2771" s="37">
        <v>0</v>
      </c>
      <c r="AI2771" s="37">
        <v>97</v>
      </c>
      <c r="AJ2771" s="37">
        <v>3</v>
      </c>
      <c r="AK2771" s="37" t="str">
        <f>VLOOKUP(Mecze[[#This Row],[Match ID]],Meczusie[Mecz]:Meczusie[RodzajMeczu],2,FALSE)</f>
        <v>Liga</v>
      </c>
    </row>
    <row r="2772" spans="1:37" x14ac:dyDescent="0.25">
      <c r="A2772" s="76">
        <v>3</v>
      </c>
      <c r="B2772" s="3" t="s">
        <v>268</v>
      </c>
      <c r="C2772" s="2" t="s">
        <v>160</v>
      </c>
      <c r="D2772" s="1">
        <v>0</v>
      </c>
      <c r="E2772" s="1">
        <v>3</v>
      </c>
      <c r="F2772" s="1">
        <v>3</v>
      </c>
      <c r="G2772" s="1">
        <v>16</v>
      </c>
      <c r="H2772" s="4">
        <v>0.69</v>
      </c>
      <c r="I2772" s="1">
        <v>8</v>
      </c>
      <c r="J2772" s="4">
        <v>0.38</v>
      </c>
      <c r="K2772" s="1">
        <v>0</v>
      </c>
      <c r="L2772" s="1">
        <v>1</v>
      </c>
      <c r="M2772" s="32">
        <f>IF(Mecze[[#This Row],[PR]]=0,0,Mecze[[#This Row],[PR]]/Mecze[[#This Row],[CZAS]])</f>
        <v>1.0309278350515464E-2</v>
      </c>
      <c r="N2772" s="32">
        <f>IF(Mecze[[#This Row],[OU]]=0,0,Mecze[[#This Row],[OU]]/Mecze[[#This Row],[CZAS]])</f>
        <v>3.0927835051546393E-2</v>
      </c>
      <c r="O2772" s="32">
        <f>IF(Mecze[[#This Row],[PC]]=0,0,Mecze[[#This Row],[PC]]/Mecze[[#This Row],[CZAS]])</f>
        <v>0.1134020618556701</v>
      </c>
      <c r="P2772" s="32">
        <f>IF(Mecze[[#This Row],[SC]]=0,0,Mecze[[#This Row],[SC]]/Mecze[[#This Row],[CZAS]])</f>
        <v>3.0927835051546393E-2</v>
      </c>
      <c r="Q2772" s="32">
        <f>IF(Mecze[[#This Row],[OB]]=0,0,Mecze[[#This Row],[OB]]/Mecze[[#This Row],[CZAS]])</f>
        <v>0</v>
      </c>
      <c r="R2772" s="32">
        <f>IF(Mecze[[#This Row],[BR]]=0,0,Mecze[[#This Row],[BR]]/Mecze[[#This Row],[CZAS]])</f>
        <v>0</v>
      </c>
      <c r="S2772" s="44">
        <f>IF(Mecze[[#This Row],[Role]]="BR",SUMPRODUCT(Mecze[[#This Row],[/PR:90]:[/BR:90]],Brudnopis!$E$23:$J$23),0)</f>
        <v>0</v>
      </c>
      <c r="T2772" s="44">
        <f>IF(Mecze[[#This Row],[Role]]&lt;&gt;"BR",SUMPRODUCT(Mecze[[#This Row],[/PR:90]:[/BR:90]],Brudnopis!$E$24:$J$24),0)</f>
        <v>0.20103092783505155</v>
      </c>
      <c r="U2772" s="44">
        <f>IF(Mecze[[#This Row],[Role]]&lt;&gt;"BR",SUMPRODUCT(Mecze[[#This Row],[/PR:90]:[/BR:90]],Brudnopis!$E$25:$J$25),0)</f>
        <v>0.2422680412371134</v>
      </c>
      <c r="V2772" s="44">
        <f>IF(Mecze[[#This Row],[Role]]&lt;&gt;"BR",SUMPRODUCT(Mecze[[#This Row],[/PR:90]:[/BR:90]],Brudnopis!$E$26:$J$26),0)</f>
        <v>0.18556701030927836</v>
      </c>
      <c r="W2772" s="44">
        <f>IF(Mecze[[#This Row],[Role]]&lt;&gt;"BR",SUMPRODUCT(Mecze[[#This Row],[/PR:90]:[/BR:90]],Brudnopis!$E$27:$J$27),0)</f>
        <v>0.23195876288659795</v>
      </c>
      <c r="X2772" s="44">
        <f>IF(Mecze[[#This Row],[Role]]&lt;&gt;"BR",SUMPRODUCT(Mecze[[#This Row],[/PR:90]:[/BR:90]],Brudnopis!$E$28:$J$28),0)</f>
        <v>0.17525773195876287</v>
      </c>
      <c r="Y2772" s="35">
        <f>IF(Mecze[[#This Row],[Role]]="BR",Mecze[[#This Row],[/OB:90]]+Mecze[[#This Row],[/PC:90]],SUM(Mecze[[#This Row],[/PR:90]:[/BR:90]]))</f>
        <v>0.18556701030927836</v>
      </c>
      <c r="Z2772" s="35">
        <f>IF(Mecze[[#This Row],[KC]]=0,SUM(Mecze[[#This Row],[/BRI]:[/NPI]]),SUM(Mecze[[#This Row],[/BRI]:[/NPI]])*0.6)</f>
        <v>1.0360824742268042</v>
      </c>
      <c r="AA2772" s="10">
        <f>IFERROR(Mecze[[#This Row],[BR]]/Mecze[[#This Row],[ST]],0)</f>
        <v>0</v>
      </c>
      <c r="AB2772">
        <f>ROUND(Mecze[[#This Row],[PD]]*Mecze[[#This Row],[%PC]],0)</f>
        <v>11</v>
      </c>
      <c r="AC2772">
        <f>ROUND(Mecze[[#This Row],[OD]]*Mecze[[#This Row],[%OU]],0)</f>
        <v>3</v>
      </c>
      <c r="AD2772" s="36" t="s">
        <v>44</v>
      </c>
      <c r="AE2772" s="36">
        <v>155</v>
      </c>
      <c r="AF2772" s="71">
        <v>4.8099999999999996</v>
      </c>
      <c r="AG2772" s="37">
        <v>0</v>
      </c>
      <c r="AH2772" s="37">
        <v>0</v>
      </c>
      <c r="AI2772" s="37">
        <v>97</v>
      </c>
      <c r="AJ2772" s="37">
        <v>3</v>
      </c>
      <c r="AK2772" s="37" t="str">
        <f>VLOOKUP(Mecze[[#This Row],[Match ID]],Meczusie[Mecz]:Meczusie[RodzajMeczu],2,FALSE)</f>
        <v>Liga</v>
      </c>
    </row>
    <row r="2773" spans="1:37" x14ac:dyDescent="0.25">
      <c r="A2773" s="76">
        <v>8</v>
      </c>
      <c r="B2773" s="3" t="s">
        <v>269</v>
      </c>
      <c r="C2773" s="2" t="s">
        <v>165</v>
      </c>
      <c r="D2773" s="1">
        <v>0</v>
      </c>
      <c r="E2773" s="1">
        <v>0</v>
      </c>
      <c r="F2773" s="1">
        <v>0</v>
      </c>
      <c r="G2773" s="1">
        <v>11</v>
      </c>
      <c r="H2773" s="4">
        <v>0.91</v>
      </c>
      <c r="I2773" s="1">
        <v>12</v>
      </c>
      <c r="J2773" s="4">
        <v>0.25</v>
      </c>
      <c r="K2773" s="1">
        <v>0</v>
      </c>
      <c r="L2773" s="1">
        <v>3</v>
      </c>
      <c r="M2773" s="32">
        <f>IF(Mecze[[#This Row],[PR]]=0,0,Mecze[[#This Row],[PR]]/Mecze[[#This Row],[CZAS]])</f>
        <v>3.0927835051546393E-2</v>
      </c>
      <c r="N2773" s="32">
        <f>IF(Mecze[[#This Row],[OU]]=0,0,Mecze[[#This Row],[OU]]/Mecze[[#This Row],[CZAS]])</f>
        <v>3.0927835051546393E-2</v>
      </c>
      <c r="O2773" s="32">
        <f>IF(Mecze[[#This Row],[PC]]=0,0,Mecze[[#This Row],[PC]]/Mecze[[#This Row],[CZAS]])</f>
        <v>0.10309278350515463</v>
      </c>
      <c r="P2773" s="32">
        <f>IF(Mecze[[#This Row],[SC]]=0,0,Mecze[[#This Row],[SC]]/Mecze[[#This Row],[CZAS]])</f>
        <v>0</v>
      </c>
      <c r="Q2773" s="32">
        <f>IF(Mecze[[#This Row],[OB]]=0,0,Mecze[[#This Row],[OB]]/Mecze[[#This Row],[CZAS]])</f>
        <v>0</v>
      </c>
      <c r="R2773" s="32">
        <f>IF(Mecze[[#This Row],[BR]]=0,0,Mecze[[#This Row],[BR]]/Mecze[[#This Row],[CZAS]])</f>
        <v>0</v>
      </c>
      <c r="S2773" s="44">
        <f>IF(Mecze[[#This Row],[Role]]="BR",SUMPRODUCT(Mecze[[#This Row],[/PR:90]:[/BR:90]],Brudnopis!$E$23:$J$23),0)</f>
        <v>0</v>
      </c>
      <c r="T2773" s="44">
        <f>IF(Mecze[[#This Row],[Role]]&lt;&gt;"BR",SUMPRODUCT(Mecze[[#This Row],[/PR:90]:[/BR:90]],Brudnopis!$E$24:$J$24),0)</f>
        <v>0.18041237113402062</v>
      </c>
      <c r="U2773" s="44">
        <f>IF(Mecze[[#This Row],[Role]]&lt;&gt;"BR",SUMPRODUCT(Mecze[[#This Row],[/PR:90]:[/BR:90]],Brudnopis!$E$25:$J$25),0)</f>
        <v>0.21649484536082475</v>
      </c>
      <c r="V2773" s="44">
        <f>IF(Mecze[[#This Row],[Role]]&lt;&gt;"BR",SUMPRODUCT(Mecze[[#This Row],[/PR:90]:[/BR:90]],Brudnopis!$E$26:$J$26),0)</f>
        <v>0.16494845360824742</v>
      </c>
      <c r="W2773" s="44">
        <f>IF(Mecze[[#This Row],[Role]]&lt;&gt;"BR",SUMPRODUCT(Mecze[[#This Row],[/PR:90]:[/BR:90]],Brudnopis!$E$27:$J$27),0)</f>
        <v>0.20103092783505155</v>
      </c>
      <c r="X2773" s="44">
        <f>IF(Mecze[[#This Row],[Role]]&lt;&gt;"BR",SUMPRODUCT(Mecze[[#This Row],[/PR:90]:[/BR:90]],Brudnopis!$E$28:$J$28),0)</f>
        <v>0.10309278350515463</v>
      </c>
      <c r="Y2773" s="35">
        <f>IF(Mecze[[#This Row],[Role]]="BR",Mecze[[#This Row],[/OB:90]]+Mecze[[#This Row],[/PC:90]],SUM(Mecze[[#This Row],[/PR:90]:[/BR:90]]))</f>
        <v>0.16494845360824742</v>
      </c>
      <c r="Z2773" s="35">
        <f>IF(Mecze[[#This Row],[KC]]=0,SUM(Mecze[[#This Row],[/BRI]:[/NPI]]),SUM(Mecze[[#This Row],[/BRI]:[/NPI]])*0.6)</f>
        <v>0.86597938144329889</v>
      </c>
      <c r="AA2773" s="10">
        <f>IFERROR(Mecze[[#This Row],[BR]]/Mecze[[#This Row],[ST]],0)</f>
        <v>0</v>
      </c>
      <c r="AB2773">
        <f>ROUND(Mecze[[#This Row],[PD]]*Mecze[[#This Row],[%PC]],0)</f>
        <v>10</v>
      </c>
      <c r="AC2773">
        <f>ROUND(Mecze[[#This Row],[OD]]*Mecze[[#This Row],[%OU]],0)</f>
        <v>3</v>
      </c>
      <c r="AD2773" s="36" t="s">
        <v>272</v>
      </c>
      <c r="AE2773" s="36">
        <v>155</v>
      </c>
      <c r="AF2773" s="71">
        <v>4.96</v>
      </c>
      <c r="AG2773" s="37">
        <v>0</v>
      </c>
      <c r="AH2773" s="37">
        <v>0</v>
      </c>
      <c r="AI2773" s="37">
        <v>97</v>
      </c>
      <c r="AJ2773" s="37">
        <v>3</v>
      </c>
      <c r="AK2773" s="37" t="str">
        <f>VLOOKUP(Mecze[[#This Row],[Match ID]],Meczusie[Mecz]:Meczusie[RodzajMeczu],2,FALSE)</f>
        <v>Liga</v>
      </c>
    </row>
    <row r="2774" spans="1:37" x14ac:dyDescent="0.25">
      <c r="A2774" s="76">
        <v>11</v>
      </c>
      <c r="B2774" s="3" t="s">
        <v>270</v>
      </c>
      <c r="C2774" s="2" t="s">
        <v>165</v>
      </c>
      <c r="D2774" s="1">
        <v>0</v>
      </c>
      <c r="E2774" s="1">
        <v>4</v>
      </c>
      <c r="F2774" s="1">
        <v>4</v>
      </c>
      <c r="G2774" s="1">
        <v>13</v>
      </c>
      <c r="H2774" s="4">
        <v>0.69</v>
      </c>
      <c r="I2774" s="1">
        <v>2</v>
      </c>
      <c r="J2774" s="4">
        <v>0.5</v>
      </c>
      <c r="K2774" s="1">
        <v>0</v>
      </c>
      <c r="L2774" s="1">
        <v>0</v>
      </c>
      <c r="M2774" s="32">
        <f>IF(Mecze[[#This Row],[PR]]=0,0,Mecze[[#This Row],[PR]]/Mecze[[#This Row],[CZAS]])</f>
        <v>0</v>
      </c>
      <c r="N2774" s="32">
        <f>IF(Mecze[[#This Row],[OU]]=0,0,Mecze[[#This Row],[OU]]/Mecze[[#This Row],[CZAS]])</f>
        <v>1.0309278350515464E-2</v>
      </c>
      <c r="O2774" s="32">
        <f>IF(Mecze[[#This Row],[PC]]=0,0,Mecze[[#This Row],[PC]]/Mecze[[#This Row],[CZAS]])</f>
        <v>9.2783505154639179E-2</v>
      </c>
      <c r="P2774" s="32">
        <f>IF(Mecze[[#This Row],[SC]]=0,0,Mecze[[#This Row],[SC]]/Mecze[[#This Row],[CZAS]])</f>
        <v>4.1237113402061855E-2</v>
      </c>
      <c r="Q2774" s="32">
        <f>IF(Mecze[[#This Row],[OB]]=0,0,Mecze[[#This Row],[OB]]/Mecze[[#This Row],[CZAS]])</f>
        <v>0</v>
      </c>
      <c r="R2774" s="32">
        <f>IF(Mecze[[#This Row],[BR]]=0,0,Mecze[[#This Row],[BR]]/Mecze[[#This Row],[CZAS]])</f>
        <v>0</v>
      </c>
      <c r="S2774" s="44">
        <f>IF(Mecze[[#This Row],[Role]]="BR",SUMPRODUCT(Mecze[[#This Row],[/PR:90]:[/BR:90]],Brudnopis!$E$23:$J$23),0)</f>
        <v>0</v>
      </c>
      <c r="T2774" s="44">
        <f>IF(Mecze[[#This Row],[Role]]&lt;&gt;"BR",SUMPRODUCT(Mecze[[#This Row],[/PR:90]:[/BR:90]],Brudnopis!$E$24:$J$24),0)</f>
        <v>0.14948453608247422</v>
      </c>
      <c r="U2774" s="44">
        <f>IF(Mecze[[#This Row],[Role]]&lt;&gt;"BR",SUMPRODUCT(Mecze[[#This Row],[/PR:90]:[/BR:90]],Brudnopis!$E$25:$J$25),0)</f>
        <v>0.19072164948453607</v>
      </c>
      <c r="V2774" s="44">
        <f>IF(Mecze[[#This Row],[Role]]&lt;&gt;"BR",SUMPRODUCT(Mecze[[#This Row],[/PR:90]:[/BR:90]],Brudnopis!$E$26:$J$26),0)</f>
        <v>0.14432989690721651</v>
      </c>
      <c r="W2774" s="44">
        <f>IF(Mecze[[#This Row],[Role]]&lt;&gt;"BR",SUMPRODUCT(Mecze[[#This Row],[/PR:90]:[/BR:90]],Brudnopis!$E$27:$J$27),0)</f>
        <v>0.18814432989690721</v>
      </c>
      <c r="X2774" s="44">
        <f>IF(Mecze[[#This Row],[Role]]&lt;&gt;"BR",SUMPRODUCT(Mecze[[#This Row],[/PR:90]:[/BR:90]],Brudnopis!$E$28:$J$28),0)</f>
        <v>0.17525773195876287</v>
      </c>
      <c r="Y2774" s="35">
        <f>IF(Mecze[[#This Row],[Role]]="BR",Mecze[[#This Row],[/OB:90]]+Mecze[[#This Row],[/PC:90]],SUM(Mecze[[#This Row],[/PR:90]:[/BR:90]]))</f>
        <v>0.14432989690721651</v>
      </c>
      <c r="Z2774" s="35">
        <f>IF(Mecze[[#This Row],[KC]]=0,SUM(Mecze[[#This Row],[/BRI]:[/NPI]]),SUM(Mecze[[#This Row],[/BRI]:[/NPI]])*0.6)</f>
        <v>0.847938144329897</v>
      </c>
      <c r="AA2774" s="10">
        <f>IFERROR(Mecze[[#This Row],[BR]]/Mecze[[#This Row],[ST]],0)</f>
        <v>0</v>
      </c>
      <c r="AB2774">
        <f>ROUND(Mecze[[#This Row],[PD]]*Mecze[[#This Row],[%PC]],0)</f>
        <v>9</v>
      </c>
      <c r="AC2774">
        <f>ROUND(Mecze[[#This Row],[OD]]*Mecze[[#This Row],[%OU]],0)</f>
        <v>1</v>
      </c>
      <c r="AD2774" s="36" t="s">
        <v>273</v>
      </c>
      <c r="AE2774" s="36">
        <v>155</v>
      </c>
      <c r="AF2774" s="71">
        <v>4.92</v>
      </c>
      <c r="AG2774" s="37">
        <v>0</v>
      </c>
      <c r="AH2774" s="37">
        <v>0</v>
      </c>
      <c r="AI2774" s="37">
        <v>97</v>
      </c>
      <c r="AJ2774" s="37">
        <v>3</v>
      </c>
      <c r="AK2774" s="37" t="str">
        <f>VLOOKUP(Mecze[[#This Row],[Match ID]],Meczusie[Mecz]:Meczusie[RodzajMeczu],2,FALSE)</f>
        <v>Liga</v>
      </c>
    </row>
    <row r="2775" spans="1:37" x14ac:dyDescent="0.25">
      <c r="A2775" s="76">
        <v>10</v>
      </c>
      <c r="B2775" s="3" t="s">
        <v>271</v>
      </c>
      <c r="C2775" s="2" t="s">
        <v>165</v>
      </c>
      <c r="D2775" s="1">
        <v>1</v>
      </c>
      <c r="E2775" s="1">
        <v>7</v>
      </c>
      <c r="F2775" s="1">
        <v>6</v>
      </c>
      <c r="G2775" s="1">
        <v>10</v>
      </c>
      <c r="H2775" s="4">
        <v>0.6</v>
      </c>
      <c r="I2775" s="1">
        <v>1</v>
      </c>
      <c r="J2775" s="4">
        <v>0</v>
      </c>
      <c r="K2775" s="1">
        <v>0</v>
      </c>
      <c r="L2775" s="1">
        <v>0</v>
      </c>
      <c r="M2775" s="32">
        <f>IF(Mecze[[#This Row],[PR]]=0,0,Mecze[[#This Row],[PR]]/Mecze[[#This Row],[CZAS]])</f>
        <v>0</v>
      </c>
      <c r="N2775" s="32">
        <f>IF(Mecze[[#This Row],[OU]]=0,0,Mecze[[#This Row],[OU]]/Mecze[[#This Row],[CZAS]])</f>
        <v>0</v>
      </c>
      <c r="O2775" s="32">
        <f>IF(Mecze[[#This Row],[PC]]=0,0,Mecze[[#This Row],[PC]]/Mecze[[#This Row],[CZAS]])</f>
        <v>6.1855670103092786E-2</v>
      </c>
      <c r="P2775" s="32">
        <f>IF(Mecze[[#This Row],[SC]]=0,0,Mecze[[#This Row],[SC]]/Mecze[[#This Row],[CZAS]])</f>
        <v>6.1855670103092786E-2</v>
      </c>
      <c r="Q2775" s="32">
        <f>IF(Mecze[[#This Row],[OB]]=0,0,Mecze[[#This Row],[OB]]/Mecze[[#This Row],[CZAS]])</f>
        <v>0</v>
      </c>
      <c r="R2775" s="32">
        <f>IF(Mecze[[#This Row],[BR]]=0,0,Mecze[[#This Row],[BR]]/Mecze[[#This Row],[CZAS]])</f>
        <v>1.0309278350515464E-2</v>
      </c>
      <c r="S2775" s="44">
        <f>IF(Mecze[[#This Row],[Role]]="BR",SUMPRODUCT(Mecze[[#This Row],[/PR:90]:[/BR:90]],Brudnopis!$E$23:$J$23),0)</f>
        <v>0</v>
      </c>
      <c r="T2775" s="44">
        <f>IF(Mecze[[#This Row],[Role]]&lt;&gt;"BR",SUMPRODUCT(Mecze[[#This Row],[/PR:90]:[/BR:90]],Brudnopis!$E$24:$J$24),0)</f>
        <v>0.13917525773195877</v>
      </c>
      <c r="U2775" s="44">
        <f>IF(Mecze[[#This Row],[Role]]&lt;&gt;"BR",SUMPRODUCT(Mecze[[#This Row],[/PR:90]:[/BR:90]],Brudnopis!$E$25:$J$25),0)</f>
        <v>0.17010309278350516</v>
      </c>
      <c r="V2775" s="44">
        <f>IF(Mecze[[#This Row],[Role]]&lt;&gt;"BR",SUMPRODUCT(Mecze[[#This Row],[/PR:90]:[/BR:90]],Brudnopis!$E$26:$J$26),0)</f>
        <v>0.14432989690721651</v>
      </c>
      <c r="W2775" s="44">
        <f>IF(Mecze[[#This Row],[Role]]&lt;&gt;"BR",SUMPRODUCT(Mecze[[#This Row],[/PR:90]:[/BR:90]],Brudnopis!$E$27:$J$27),0)</f>
        <v>0.1752577319587629</v>
      </c>
      <c r="X2775" s="44">
        <f>IF(Mecze[[#This Row],[Role]]&lt;&gt;"BR",SUMPRODUCT(Mecze[[#This Row],[/PR:90]:[/BR:90]],Brudnopis!$E$28:$J$28),0)</f>
        <v>0.21649484536082475</v>
      </c>
      <c r="Y2775" s="35">
        <f>IF(Mecze[[#This Row],[Role]]="BR",Mecze[[#This Row],[/OB:90]]+Mecze[[#This Row],[/PC:90]],SUM(Mecze[[#This Row],[/PR:90]:[/BR:90]]))</f>
        <v>0.13402061855670103</v>
      </c>
      <c r="Z2775" s="35">
        <f>IF(Mecze[[#This Row],[KC]]=0,SUM(Mecze[[#This Row],[/BRI]:[/NPI]]),SUM(Mecze[[#This Row],[/BRI]:[/NPI]])*0.6)</f>
        <v>0.84536082474226815</v>
      </c>
      <c r="AA2775" s="10">
        <f>IFERROR(Mecze[[#This Row],[BR]]/Mecze[[#This Row],[ST]],0)</f>
        <v>0.14285714285714285</v>
      </c>
      <c r="AB2775">
        <f>ROUND(Mecze[[#This Row],[PD]]*Mecze[[#This Row],[%PC]],0)</f>
        <v>6</v>
      </c>
      <c r="AC2775">
        <f>ROUND(Mecze[[#This Row],[OD]]*Mecze[[#This Row],[%OU]],0)</f>
        <v>0</v>
      </c>
      <c r="AD2775" s="36" t="s">
        <v>46</v>
      </c>
      <c r="AE2775" s="36">
        <v>155</v>
      </c>
      <c r="AF2775" s="71">
        <v>7.66</v>
      </c>
      <c r="AG2775" s="37">
        <v>0</v>
      </c>
      <c r="AH2775" s="37">
        <v>0</v>
      </c>
      <c r="AI2775" s="37">
        <v>97</v>
      </c>
      <c r="AJ2775" s="37">
        <v>3</v>
      </c>
      <c r="AK2775" s="37" t="str">
        <f>VLOOKUP(Mecze[[#This Row],[Match ID]],Meczusie[Mecz]:Meczusie[RodzajMeczu],2,FALSE)</f>
        <v>Liga</v>
      </c>
    </row>
    <row r="2776" spans="1:37" x14ac:dyDescent="0.25">
      <c r="A2776" s="76">
        <v>1</v>
      </c>
      <c r="B2776" s="3" t="s">
        <v>344</v>
      </c>
      <c r="C2776" s="2" t="s">
        <v>155</v>
      </c>
      <c r="D2776" s="1">
        <v>0</v>
      </c>
      <c r="E2776" s="1">
        <v>0</v>
      </c>
      <c r="F2776" s="1">
        <v>0</v>
      </c>
      <c r="G2776" s="1">
        <v>9</v>
      </c>
      <c r="H2776" s="4">
        <v>0.22</v>
      </c>
      <c r="I2776" s="1">
        <v>0</v>
      </c>
      <c r="J2776" s="4"/>
      <c r="K2776" s="1">
        <v>8</v>
      </c>
      <c r="L2776" s="1">
        <v>0</v>
      </c>
      <c r="M2776" s="32">
        <f>IF(Mecze[[#This Row],[PR]]=0,0,Mecze[[#This Row],[PR]]/Mecze[[#This Row],[CZAS]])</f>
        <v>0</v>
      </c>
      <c r="N2776" s="32">
        <f>IF(Mecze[[#This Row],[OU]]=0,0,Mecze[[#This Row],[OU]]/Mecze[[#This Row],[CZAS]])</f>
        <v>0</v>
      </c>
      <c r="O2776" s="32">
        <f>IF(Mecze[[#This Row],[PC]]=0,0,Mecze[[#This Row],[PC]]/Mecze[[#This Row],[CZAS]])</f>
        <v>2.0202020202020204E-2</v>
      </c>
      <c r="P2776" s="32">
        <f>IF(Mecze[[#This Row],[SC]]=0,0,Mecze[[#This Row],[SC]]/Mecze[[#This Row],[CZAS]])</f>
        <v>0</v>
      </c>
      <c r="Q2776" s="32">
        <f>IF(Mecze[[#This Row],[OB]]=0,0,Mecze[[#This Row],[OB]]/Mecze[[#This Row],[CZAS]])</f>
        <v>8.0808080808080815E-2</v>
      </c>
      <c r="R2776" s="32">
        <f>IF(Mecze[[#This Row],[BR]]=0,0,Mecze[[#This Row],[BR]]/Mecze[[#This Row],[CZAS]])</f>
        <v>0</v>
      </c>
      <c r="S2776" s="44">
        <f>IF(Mecze[[#This Row],[Role]]="BR",SUMPRODUCT(Mecze[[#This Row],[/PR:90]:[/BR:90]],Brudnopis!$E$23:$J$23),0)</f>
        <v>0.30303030303030304</v>
      </c>
      <c r="T2776" s="44">
        <f>IF(Mecze[[#This Row],[Role]]&lt;&gt;"BR",SUMPRODUCT(Mecze[[#This Row],[/PR:90]:[/BR:90]],Brudnopis!$E$24:$J$24),0)</f>
        <v>0</v>
      </c>
      <c r="U2776" s="44">
        <f>IF(Mecze[[#This Row],[Role]]&lt;&gt;"BR",SUMPRODUCT(Mecze[[#This Row],[/PR:90]:[/BR:90]],Brudnopis!$E$25:$J$25),0)</f>
        <v>0</v>
      </c>
      <c r="V2776" s="44">
        <f>IF(Mecze[[#This Row],[Role]]&lt;&gt;"BR",SUMPRODUCT(Mecze[[#This Row],[/PR:90]:[/BR:90]],Brudnopis!$E$26:$J$26),0)</f>
        <v>0</v>
      </c>
      <c r="W2776" s="44">
        <f>IF(Mecze[[#This Row],[Role]]&lt;&gt;"BR",SUMPRODUCT(Mecze[[#This Row],[/PR:90]:[/BR:90]],Brudnopis!$E$27:$J$27),0)</f>
        <v>0</v>
      </c>
      <c r="X2776" s="44">
        <f>IF(Mecze[[#This Row],[Role]]&lt;&gt;"BR",SUMPRODUCT(Mecze[[#This Row],[/PR:90]:[/BR:90]],Brudnopis!$E$28:$J$28),0)</f>
        <v>0</v>
      </c>
      <c r="Y2776" s="35">
        <f>IF(Mecze[[#This Row],[Role]]="BR",Mecze[[#This Row],[/OB:90]]+Mecze[[#This Row],[/PC:90]],SUM(Mecze[[#This Row],[/PR:90]:[/BR:90]]))</f>
        <v>0.10101010101010102</v>
      </c>
      <c r="Z2776" s="35">
        <f>IF(Mecze[[#This Row],[KC]]=0,SUM(Mecze[[#This Row],[/BRI]:[/NPI]]),SUM(Mecze[[#This Row],[/BRI]:[/NPI]])*0.6)</f>
        <v>0.30303030303030304</v>
      </c>
      <c r="AA2776" s="10">
        <f>IFERROR(Mecze[[#This Row],[BR]]/Mecze[[#This Row],[ST]],0)</f>
        <v>0</v>
      </c>
      <c r="AB2776">
        <f>ROUND(Mecze[[#This Row],[PD]]*Mecze[[#This Row],[%PC]],0)</f>
        <v>2</v>
      </c>
      <c r="AC2776">
        <f>ROUND(Mecze[[#This Row],[OD]]*Mecze[[#This Row],[%OU]],0)</f>
        <v>0</v>
      </c>
      <c r="AD2776" s="36" t="s">
        <v>40</v>
      </c>
      <c r="AE2776" s="36">
        <v>156</v>
      </c>
      <c r="AF2776" s="71">
        <v>5.61</v>
      </c>
      <c r="AG2776" s="37">
        <v>0</v>
      </c>
      <c r="AH2776" s="37">
        <v>0</v>
      </c>
      <c r="AI2776" s="37">
        <v>99</v>
      </c>
      <c r="AJ2776" s="37">
        <v>5</v>
      </c>
      <c r="AK2776" s="37" t="str">
        <f>VLOOKUP(Mecze[[#This Row],[Match ID]],Meczusie[Mecz]:Meczusie[RodzajMeczu],2,FALSE)</f>
        <v>Liga</v>
      </c>
    </row>
    <row r="2777" spans="1:37" x14ac:dyDescent="0.25">
      <c r="A2777" s="76">
        <v>2</v>
      </c>
      <c r="B2777" s="3" t="s">
        <v>345</v>
      </c>
      <c r="C2777" s="2" t="s">
        <v>157</v>
      </c>
      <c r="D2777" s="1">
        <v>0</v>
      </c>
      <c r="E2777" s="1">
        <v>0</v>
      </c>
      <c r="F2777" s="1">
        <v>0</v>
      </c>
      <c r="G2777" s="1">
        <v>4</v>
      </c>
      <c r="H2777" s="4">
        <v>0.5</v>
      </c>
      <c r="I2777" s="1">
        <v>6</v>
      </c>
      <c r="J2777" s="4">
        <v>0.5</v>
      </c>
      <c r="K2777" s="1">
        <v>0</v>
      </c>
      <c r="L2777" s="1">
        <v>1</v>
      </c>
      <c r="M2777" s="32">
        <f>IF(Mecze[[#This Row],[PR]]=0,0,Mecze[[#This Row],[PR]]/Mecze[[#This Row],[CZAS]])</f>
        <v>1.0416666666666666E-2</v>
      </c>
      <c r="N2777" s="32">
        <f>IF(Mecze[[#This Row],[OU]]=0,0,Mecze[[#This Row],[OU]]/Mecze[[#This Row],[CZAS]])</f>
        <v>3.125E-2</v>
      </c>
      <c r="O2777" s="32">
        <f>IF(Mecze[[#This Row],[PC]]=0,0,Mecze[[#This Row],[PC]]/Mecze[[#This Row],[CZAS]])</f>
        <v>2.0833333333333332E-2</v>
      </c>
      <c r="P2777" s="32">
        <f>IF(Mecze[[#This Row],[SC]]=0,0,Mecze[[#This Row],[SC]]/Mecze[[#This Row],[CZAS]])</f>
        <v>0</v>
      </c>
      <c r="Q2777" s="32">
        <f>IF(Mecze[[#This Row],[OB]]=0,0,Mecze[[#This Row],[OB]]/Mecze[[#This Row],[CZAS]])</f>
        <v>0</v>
      </c>
      <c r="R2777" s="32">
        <f>IF(Mecze[[#This Row],[BR]]=0,0,Mecze[[#This Row],[BR]]/Mecze[[#This Row],[CZAS]])</f>
        <v>0</v>
      </c>
      <c r="S2777" s="44">
        <f>IF(Mecze[[#This Row],[Role]]="BR",SUMPRODUCT(Mecze[[#This Row],[/PR:90]:[/BR:90]],Brudnopis!$E$23:$J$23),0)</f>
        <v>0</v>
      </c>
      <c r="T2777" s="44">
        <f>IF(Mecze[[#This Row],[Role]]&lt;&gt;"BR",SUMPRODUCT(Mecze[[#This Row],[/PR:90]:[/BR:90]],Brudnopis!$E$24:$J$24),0)</f>
        <v>7.8125E-2</v>
      </c>
      <c r="U2777" s="44">
        <f>IF(Mecze[[#This Row],[Role]]&lt;&gt;"BR",SUMPRODUCT(Mecze[[#This Row],[/PR:90]:[/BR:90]],Brudnopis!$E$25:$J$25),0)</f>
        <v>7.2916666666666657E-2</v>
      </c>
      <c r="V2777" s="44">
        <f>IF(Mecze[[#This Row],[Role]]&lt;&gt;"BR",SUMPRODUCT(Mecze[[#This Row],[/PR:90]:[/BR:90]],Brudnopis!$E$26:$J$26),0)</f>
        <v>6.25E-2</v>
      </c>
      <c r="W2777" s="44">
        <f>IF(Mecze[[#This Row],[Role]]&lt;&gt;"BR",SUMPRODUCT(Mecze[[#This Row],[/PR:90]:[/BR:90]],Brudnopis!$E$27:$J$27),0)</f>
        <v>6.25E-2</v>
      </c>
      <c r="X2777" s="44">
        <f>IF(Mecze[[#This Row],[Role]]&lt;&gt;"BR",SUMPRODUCT(Mecze[[#This Row],[/PR:90]:[/BR:90]],Brudnopis!$E$28:$J$28),0)</f>
        <v>2.0833333333333332E-2</v>
      </c>
      <c r="Y2777" s="35">
        <f>IF(Mecze[[#This Row],[Role]]="BR",Mecze[[#This Row],[/OB:90]]+Mecze[[#This Row],[/PC:90]],SUM(Mecze[[#This Row],[/PR:90]:[/BR:90]]))</f>
        <v>6.25E-2</v>
      </c>
      <c r="Z2777" s="35">
        <f>IF(Mecze[[#This Row],[KC]]=0,SUM(Mecze[[#This Row],[/BRI]:[/NPI]]),SUM(Mecze[[#This Row],[/BRI]:[/NPI]])*0.6)</f>
        <v>0.17812499999999995</v>
      </c>
      <c r="AA2777" s="10">
        <f>IFERROR(Mecze[[#This Row],[BR]]/Mecze[[#This Row],[ST]],0)</f>
        <v>0</v>
      </c>
      <c r="AB2777">
        <f>ROUND(Mecze[[#This Row],[PD]]*Mecze[[#This Row],[%PC]],0)</f>
        <v>2</v>
      </c>
      <c r="AC2777">
        <f>ROUND(Mecze[[#This Row],[OD]]*Mecze[[#This Row],[%OU]],0)</f>
        <v>3</v>
      </c>
      <c r="AD2777" s="36" t="s">
        <v>47</v>
      </c>
      <c r="AE2777" s="36">
        <v>156</v>
      </c>
      <c r="AF2777" s="71">
        <v>1.93</v>
      </c>
      <c r="AG2777" s="37">
        <v>0</v>
      </c>
      <c r="AH2777" s="37">
        <v>1</v>
      </c>
      <c r="AI2777" s="37">
        <v>96</v>
      </c>
      <c r="AJ2777" s="37">
        <v>5</v>
      </c>
      <c r="AK2777" s="37" t="str">
        <f>VLOOKUP(Mecze[[#This Row],[Match ID]],Meczusie[Mecz]:Meczusie[RodzajMeczu],2,FALSE)</f>
        <v>Liga</v>
      </c>
    </row>
    <row r="2778" spans="1:37" x14ac:dyDescent="0.25">
      <c r="A2778" s="76">
        <v>4</v>
      </c>
      <c r="B2778" s="3" t="s">
        <v>346</v>
      </c>
      <c r="C2778" s="2" t="s">
        <v>157</v>
      </c>
      <c r="D2778" s="1">
        <v>0</v>
      </c>
      <c r="E2778" s="1">
        <v>0</v>
      </c>
      <c r="F2778" s="1">
        <v>0</v>
      </c>
      <c r="G2778" s="1">
        <v>7</v>
      </c>
      <c r="H2778" s="4">
        <v>0.71</v>
      </c>
      <c r="I2778" s="1">
        <v>1</v>
      </c>
      <c r="J2778" s="4">
        <v>1</v>
      </c>
      <c r="K2778" s="1">
        <v>0</v>
      </c>
      <c r="L2778" s="1">
        <v>3</v>
      </c>
      <c r="M2778" s="32">
        <f>IF(Mecze[[#This Row],[PR]]=0,0,Mecze[[#This Row],[PR]]/Mecze[[#This Row],[CZAS]])</f>
        <v>3.0303030303030304E-2</v>
      </c>
      <c r="N2778" s="32">
        <f>IF(Mecze[[#This Row],[OU]]=0,0,Mecze[[#This Row],[OU]]/Mecze[[#This Row],[CZAS]])</f>
        <v>1.0101010101010102E-2</v>
      </c>
      <c r="O2778" s="32">
        <f>IF(Mecze[[#This Row],[PC]]=0,0,Mecze[[#This Row],[PC]]/Mecze[[#This Row],[CZAS]])</f>
        <v>5.0505050505050504E-2</v>
      </c>
      <c r="P2778" s="32">
        <f>IF(Mecze[[#This Row],[SC]]=0,0,Mecze[[#This Row],[SC]]/Mecze[[#This Row],[CZAS]])</f>
        <v>0</v>
      </c>
      <c r="Q2778" s="32">
        <f>IF(Mecze[[#This Row],[OB]]=0,0,Mecze[[#This Row],[OB]]/Mecze[[#This Row],[CZAS]])</f>
        <v>0</v>
      </c>
      <c r="R2778" s="32">
        <f>IF(Mecze[[#This Row],[BR]]=0,0,Mecze[[#This Row],[BR]]/Mecze[[#This Row],[CZAS]])</f>
        <v>0</v>
      </c>
      <c r="S2778" s="44">
        <f>IF(Mecze[[#This Row],[Role]]="BR",SUMPRODUCT(Mecze[[#This Row],[/PR:90]:[/BR:90]],Brudnopis!$E$23:$J$23),0)</f>
        <v>0</v>
      </c>
      <c r="T2778" s="44">
        <f>IF(Mecze[[#This Row],[Role]]&lt;&gt;"BR",SUMPRODUCT(Mecze[[#This Row],[/PR:90]:[/BR:90]],Brudnopis!$E$24:$J$24),0)</f>
        <v>9.5959595959595967E-2</v>
      </c>
      <c r="U2778" s="44">
        <f>IF(Mecze[[#This Row],[Role]]&lt;&gt;"BR",SUMPRODUCT(Mecze[[#This Row],[/PR:90]:[/BR:90]],Brudnopis!$E$25:$J$25),0)</f>
        <v>0.11616161616161616</v>
      </c>
      <c r="V2778" s="44">
        <f>IF(Mecze[[#This Row],[Role]]&lt;&gt;"BR",SUMPRODUCT(Mecze[[#This Row],[/PR:90]:[/BR:90]],Brudnopis!$E$26:$J$26),0)</f>
        <v>9.0909090909090912E-2</v>
      </c>
      <c r="W2778" s="44">
        <f>IF(Mecze[[#This Row],[Role]]&lt;&gt;"BR",SUMPRODUCT(Mecze[[#This Row],[/PR:90]:[/BR:90]],Brudnopis!$E$27:$J$27),0)</f>
        <v>0.10606060606060606</v>
      </c>
      <c r="X2778" s="44">
        <f>IF(Mecze[[#This Row],[Role]]&lt;&gt;"BR",SUMPRODUCT(Mecze[[#This Row],[/PR:90]:[/BR:90]],Brudnopis!$E$28:$J$28),0)</f>
        <v>5.0505050505050504E-2</v>
      </c>
      <c r="Y2778" s="35">
        <f>IF(Mecze[[#This Row],[Role]]="BR",Mecze[[#This Row],[/OB:90]]+Mecze[[#This Row],[/PC:90]],SUM(Mecze[[#This Row],[/PR:90]:[/BR:90]]))</f>
        <v>9.0909090909090912E-2</v>
      </c>
      <c r="Z2778" s="35">
        <f>IF(Mecze[[#This Row],[KC]]=0,SUM(Mecze[[#This Row],[/BRI]:[/NPI]]),SUM(Mecze[[#This Row],[/BRI]:[/NPI]])*0.6)</f>
        <v>0.45959595959595961</v>
      </c>
      <c r="AA2778" s="10">
        <f>IFERROR(Mecze[[#This Row],[BR]]/Mecze[[#This Row],[ST]],0)</f>
        <v>0</v>
      </c>
      <c r="AB2778">
        <f>ROUND(Mecze[[#This Row],[PD]]*Mecze[[#This Row],[%PC]],0)</f>
        <v>5</v>
      </c>
      <c r="AC2778">
        <f>ROUND(Mecze[[#This Row],[OD]]*Mecze[[#This Row],[%OU]],0)</f>
        <v>1</v>
      </c>
      <c r="AD2778" s="36" t="s">
        <v>47</v>
      </c>
      <c r="AE2778" s="36">
        <v>156</v>
      </c>
      <c r="AF2778" s="71">
        <v>3.44</v>
      </c>
      <c r="AG2778" s="37">
        <v>0</v>
      </c>
      <c r="AH2778" s="37">
        <v>0</v>
      </c>
      <c r="AI2778" s="37">
        <v>99</v>
      </c>
      <c r="AJ2778" s="37">
        <v>5</v>
      </c>
      <c r="AK2778" s="37" t="str">
        <f>VLOOKUP(Mecze[[#This Row],[Match ID]],Meczusie[Mecz]:Meczusie[RodzajMeczu],2,FALSE)</f>
        <v>Liga</v>
      </c>
    </row>
    <row r="2779" spans="1:37" x14ac:dyDescent="0.25">
      <c r="A2779" s="76">
        <v>5</v>
      </c>
      <c r="B2779" s="3" t="s">
        <v>347</v>
      </c>
      <c r="C2779" s="2" t="s">
        <v>157</v>
      </c>
      <c r="D2779" s="1">
        <v>0</v>
      </c>
      <c r="E2779" s="1">
        <v>0</v>
      </c>
      <c r="F2779" s="1">
        <v>0</v>
      </c>
      <c r="G2779" s="1">
        <v>4</v>
      </c>
      <c r="H2779" s="4">
        <v>0.5</v>
      </c>
      <c r="I2779" s="1">
        <v>4</v>
      </c>
      <c r="J2779" s="4">
        <v>0.75</v>
      </c>
      <c r="K2779" s="1">
        <v>0</v>
      </c>
      <c r="L2779" s="1">
        <v>4</v>
      </c>
      <c r="M2779" s="32">
        <f>IF(Mecze[[#This Row],[PR]]=0,0,Mecze[[#This Row],[PR]]/Mecze[[#This Row],[CZAS]])</f>
        <v>4.0404040404040407E-2</v>
      </c>
      <c r="N2779" s="32">
        <f>IF(Mecze[[#This Row],[OU]]=0,0,Mecze[[#This Row],[OU]]/Mecze[[#This Row],[CZAS]])</f>
        <v>3.0303030303030304E-2</v>
      </c>
      <c r="O2779" s="32">
        <f>IF(Mecze[[#This Row],[PC]]=0,0,Mecze[[#This Row],[PC]]/Mecze[[#This Row],[CZAS]])</f>
        <v>2.0202020202020204E-2</v>
      </c>
      <c r="P2779" s="32">
        <f>IF(Mecze[[#This Row],[SC]]=0,0,Mecze[[#This Row],[SC]]/Mecze[[#This Row],[CZAS]])</f>
        <v>0</v>
      </c>
      <c r="Q2779" s="32">
        <f>IF(Mecze[[#This Row],[OB]]=0,0,Mecze[[#This Row],[OB]]/Mecze[[#This Row],[CZAS]])</f>
        <v>0</v>
      </c>
      <c r="R2779" s="32">
        <f>IF(Mecze[[#This Row],[BR]]=0,0,Mecze[[#This Row],[BR]]/Mecze[[#This Row],[CZAS]])</f>
        <v>0</v>
      </c>
      <c r="S2779" s="44">
        <f>IF(Mecze[[#This Row],[Role]]="BR",SUMPRODUCT(Mecze[[#This Row],[/PR:90]:[/BR:90]],Brudnopis!$E$23:$J$23),0)</f>
        <v>0</v>
      </c>
      <c r="T2779" s="44">
        <f>IF(Mecze[[#This Row],[Role]]&lt;&gt;"BR",SUMPRODUCT(Mecze[[#This Row],[/PR:90]:[/BR:90]],Brudnopis!$E$24:$J$24),0)</f>
        <v>0.10606060606060606</v>
      </c>
      <c r="U2779" s="44">
        <f>IF(Mecze[[#This Row],[Role]]&lt;&gt;"BR",SUMPRODUCT(Mecze[[#This Row],[/PR:90]:[/BR:90]],Brudnopis!$E$25:$J$25),0)</f>
        <v>0.10101010101010102</v>
      </c>
      <c r="V2779" s="44">
        <f>IF(Mecze[[#This Row],[Role]]&lt;&gt;"BR",SUMPRODUCT(Mecze[[#This Row],[/PR:90]:[/BR:90]],Brudnopis!$E$26:$J$26),0)</f>
        <v>9.0909090909090925E-2</v>
      </c>
      <c r="W2779" s="44">
        <f>IF(Mecze[[#This Row],[Role]]&lt;&gt;"BR",SUMPRODUCT(Mecze[[#This Row],[/PR:90]:[/BR:90]],Brudnopis!$E$27:$J$27),0)</f>
        <v>8.3333333333333343E-2</v>
      </c>
      <c r="X2779" s="44">
        <f>IF(Mecze[[#This Row],[Role]]&lt;&gt;"BR",SUMPRODUCT(Mecze[[#This Row],[/PR:90]:[/BR:90]],Brudnopis!$E$28:$J$28),0)</f>
        <v>2.0202020202020204E-2</v>
      </c>
      <c r="Y2779" s="35">
        <f>IF(Mecze[[#This Row],[Role]]="BR",Mecze[[#This Row],[/OB:90]]+Mecze[[#This Row],[/PC:90]],SUM(Mecze[[#This Row],[/PR:90]:[/BR:90]]))</f>
        <v>9.0909090909090925E-2</v>
      </c>
      <c r="Z2779" s="35">
        <f>IF(Mecze[[#This Row],[KC]]=0,SUM(Mecze[[#This Row],[/BRI]:[/NPI]]),SUM(Mecze[[#This Row],[/BRI]:[/NPI]])*0.6)</f>
        <v>0.4015151515151516</v>
      </c>
      <c r="AA2779" s="10">
        <f>IFERROR(Mecze[[#This Row],[BR]]/Mecze[[#This Row],[ST]],0)</f>
        <v>0</v>
      </c>
      <c r="AB2779">
        <f>ROUND(Mecze[[#This Row],[PD]]*Mecze[[#This Row],[%PC]],0)</f>
        <v>2</v>
      </c>
      <c r="AC2779">
        <f>ROUND(Mecze[[#This Row],[OD]]*Mecze[[#This Row],[%OU]],0)</f>
        <v>3</v>
      </c>
      <c r="AD2779" s="36" t="s">
        <v>175</v>
      </c>
      <c r="AE2779" s="36">
        <v>156</v>
      </c>
      <c r="AF2779" s="71">
        <v>4.7699999999999996</v>
      </c>
      <c r="AG2779" s="37">
        <v>0</v>
      </c>
      <c r="AH2779" s="37">
        <v>0</v>
      </c>
      <c r="AI2779" s="37">
        <v>99</v>
      </c>
      <c r="AJ2779" s="37">
        <v>5</v>
      </c>
      <c r="AK2779" s="37" t="str">
        <f>VLOOKUP(Mecze[[#This Row],[Match ID]],Meczusie[Mecz]:Meczusie[RodzajMeczu],2,FALSE)</f>
        <v>Liga</v>
      </c>
    </row>
    <row r="2780" spans="1:37" x14ac:dyDescent="0.25">
      <c r="A2780" s="76">
        <v>3</v>
      </c>
      <c r="B2780" s="3" t="s">
        <v>348</v>
      </c>
      <c r="C2780" s="2" t="s">
        <v>157</v>
      </c>
      <c r="D2780" s="1">
        <v>0</v>
      </c>
      <c r="E2780" s="1">
        <v>0</v>
      </c>
      <c r="F2780" s="1">
        <v>0</v>
      </c>
      <c r="G2780" s="1">
        <v>13</v>
      </c>
      <c r="H2780" s="4">
        <v>0.62</v>
      </c>
      <c r="I2780" s="1">
        <v>10</v>
      </c>
      <c r="J2780" s="4">
        <v>0.8</v>
      </c>
      <c r="K2780" s="1">
        <v>0</v>
      </c>
      <c r="L2780" s="1">
        <v>6</v>
      </c>
      <c r="M2780" s="32">
        <f>IF(Mecze[[#This Row],[PR]]=0,0,Mecze[[#This Row],[PR]]/Mecze[[#This Row],[CZAS]])</f>
        <v>6.0606060606060608E-2</v>
      </c>
      <c r="N2780" s="32">
        <f>IF(Mecze[[#This Row],[OU]]=0,0,Mecze[[#This Row],[OU]]/Mecze[[#This Row],[CZAS]])</f>
        <v>8.0808080808080815E-2</v>
      </c>
      <c r="O2780" s="32">
        <f>IF(Mecze[[#This Row],[PC]]=0,0,Mecze[[#This Row],[PC]]/Mecze[[#This Row],[CZAS]])</f>
        <v>8.0808080808080815E-2</v>
      </c>
      <c r="P2780" s="32">
        <f>IF(Mecze[[#This Row],[SC]]=0,0,Mecze[[#This Row],[SC]]/Mecze[[#This Row],[CZAS]])</f>
        <v>0</v>
      </c>
      <c r="Q2780" s="32">
        <f>IF(Mecze[[#This Row],[OB]]=0,0,Mecze[[#This Row],[OB]]/Mecze[[#This Row],[CZAS]])</f>
        <v>0</v>
      </c>
      <c r="R2780" s="32">
        <f>IF(Mecze[[#This Row],[BR]]=0,0,Mecze[[#This Row],[BR]]/Mecze[[#This Row],[CZAS]])</f>
        <v>0</v>
      </c>
      <c r="S2780" s="44">
        <f>IF(Mecze[[#This Row],[Role]]="BR",SUMPRODUCT(Mecze[[#This Row],[/PR:90]:[/BR:90]],Brudnopis!$E$23:$J$23),0)</f>
        <v>0</v>
      </c>
      <c r="T2780" s="44">
        <f>IF(Mecze[[#This Row],[Role]]&lt;&gt;"BR",SUMPRODUCT(Mecze[[#This Row],[/PR:90]:[/BR:90]],Brudnopis!$E$24:$J$24),0)</f>
        <v>0.26262626262626265</v>
      </c>
      <c r="U2780" s="44">
        <f>IF(Mecze[[#This Row],[Role]]&lt;&gt;"BR",SUMPRODUCT(Mecze[[#This Row],[/PR:90]:[/BR:90]],Brudnopis!$E$25:$J$25),0)</f>
        <v>0.26262626262626265</v>
      </c>
      <c r="V2780" s="44">
        <f>IF(Mecze[[#This Row],[Role]]&lt;&gt;"BR",SUMPRODUCT(Mecze[[#This Row],[/PR:90]:[/BR:90]],Brudnopis!$E$26:$J$26),0)</f>
        <v>0.22222222222222227</v>
      </c>
      <c r="W2780" s="44">
        <f>IF(Mecze[[#This Row],[Role]]&lt;&gt;"BR",SUMPRODUCT(Mecze[[#This Row],[/PR:90]:[/BR:90]],Brudnopis!$E$27:$J$27),0)</f>
        <v>0.22727272727272729</v>
      </c>
      <c r="X2780" s="44">
        <f>IF(Mecze[[#This Row],[Role]]&lt;&gt;"BR",SUMPRODUCT(Mecze[[#This Row],[/PR:90]:[/BR:90]],Brudnopis!$E$28:$J$28),0)</f>
        <v>8.0808080808080815E-2</v>
      </c>
      <c r="Y2780" s="35">
        <f>IF(Mecze[[#This Row],[Role]]="BR",Mecze[[#This Row],[/OB:90]]+Mecze[[#This Row],[/PC:90]],SUM(Mecze[[#This Row],[/PR:90]:[/BR:90]]))</f>
        <v>0.22222222222222227</v>
      </c>
      <c r="Z2780" s="35">
        <f>IF(Mecze[[#This Row],[KC]]=0,SUM(Mecze[[#This Row],[/BRI]:[/NPI]]),SUM(Mecze[[#This Row],[/BRI]:[/NPI]])*0.6)</f>
        <v>1.0555555555555558</v>
      </c>
      <c r="AA2780" s="10">
        <f>IFERROR(Mecze[[#This Row],[BR]]/Mecze[[#This Row],[ST]],0)</f>
        <v>0</v>
      </c>
      <c r="AB2780">
        <f>ROUND(Mecze[[#This Row],[PD]]*Mecze[[#This Row],[%PC]],0)</f>
        <v>8</v>
      </c>
      <c r="AC2780">
        <f>ROUND(Mecze[[#This Row],[OD]]*Mecze[[#This Row],[%OU]],0)</f>
        <v>8</v>
      </c>
      <c r="AD2780" s="36" t="s">
        <v>174</v>
      </c>
      <c r="AE2780" s="36">
        <v>156</v>
      </c>
      <c r="AF2780" s="71">
        <v>6.39</v>
      </c>
      <c r="AG2780" s="37">
        <v>0</v>
      </c>
      <c r="AH2780" s="37">
        <v>0</v>
      </c>
      <c r="AI2780" s="37">
        <v>99</v>
      </c>
      <c r="AJ2780" s="37">
        <v>5</v>
      </c>
      <c r="AK2780" s="37" t="str">
        <f>VLOOKUP(Mecze[[#This Row],[Match ID]],Meczusie[Mecz]:Meczusie[RodzajMeczu],2,FALSE)</f>
        <v>Liga</v>
      </c>
    </row>
    <row r="2781" spans="1:37" x14ac:dyDescent="0.25">
      <c r="A2781" s="76">
        <v>6</v>
      </c>
      <c r="B2781" s="3" t="s">
        <v>349</v>
      </c>
      <c r="C2781" s="2" t="s">
        <v>160</v>
      </c>
      <c r="D2781" s="1">
        <v>0</v>
      </c>
      <c r="E2781" s="1">
        <v>0</v>
      </c>
      <c r="F2781" s="1">
        <v>0</v>
      </c>
      <c r="G2781" s="1">
        <v>11</v>
      </c>
      <c r="H2781" s="4">
        <v>0.64</v>
      </c>
      <c r="I2781" s="1">
        <v>9</v>
      </c>
      <c r="J2781" s="4">
        <v>0.67</v>
      </c>
      <c r="K2781" s="1">
        <v>0</v>
      </c>
      <c r="L2781" s="1">
        <v>1</v>
      </c>
      <c r="M2781" s="32">
        <f>IF(Mecze[[#This Row],[PR]]=0,0,Mecze[[#This Row],[PR]]/Mecze[[#This Row],[CZAS]])</f>
        <v>1.0101010101010102E-2</v>
      </c>
      <c r="N2781" s="32">
        <f>IF(Mecze[[#This Row],[OU]]=0,0,Mecze[[#This Row],[OU]]/Mecze[[#This Row],[CZAS]])</f>
        <v>6.0606060606060608E-2</v>
      </c>
      <c r="O2781" s="32">
        <f>IF(Mecze[[#This Row],[PC]]=0,0,Mecze[[#This Row],[PC]]/Mecze[[#This Row],[CZAS]])</f>
        <v>7.0707070707070704E-2</v>
      </c>
      <c r="P2781" s="32">
        <f>IF(Mecze[[#This Row],[SC]]=0,0,Mecze[[#This Row],[SC]]/Mecze[[#This Row],[CZAS]])</f>
        <v>0</v>
      </c>
      <c r="Q2781" s="32">
        <f>IF(Mecze[[#This Row],[OB]]=0,0,Mecze[[#This Row],[OB]]/Mecze[[#This Row],[CZAS]])</f>
        <v>0</v>
      </c>
      <c r="R2781" s="32">
        <f>IF(Mecze[[#This Row],[BR]]=0,0,Mecze[[#This Row],[BR]]/Mecze[[#This Row],[CZAS]])</f>
        <v>0</v>
      </c>
      <c r="S2781" s="44">
        <f>IF(Mecze[[#This Row],[Role]]="BR",SUMPRODUCT(Mecze[[#This Row],[/PR:90]:[/BR:90]],Brudnopis!$E$23:$J$23),0)</f>
        <v>0</v>
      </c>
      <c r="T2781" s="44">
        <f>IF(Mecze[[#This Row],[Role]]&lt;&gt;"BR",SUMPRODUCT(Mecze[[#This Row],[/PR:90]:[/BR:90]],Brudnopis!$E$24:$J$24),0)</f>
        <v>0.17171717171717171</v>
      </c>
      <c r="U2781" s="44">
        <f>IF(Mecze[[#This Row],[Role]]&lt;&gt;"BR",SUMPRODUCT(Mecze[[#This Row],[/PR:90]:[/BR:90]],Brudnopis!$E$25:$J$25),0)</f>
        <v>0.17676767676767674</v>
      </c>
      <c r="V2781" s="44">
        <f>IF(Mecze[[#This Row],[Role]]&lt;&gt;"BR",SUMPRODUCT(Mecze[[#This Row],[/PR:90]:[/BR:90]],Brudnopis!$E$26:$J$26),0)</f>
        <v>0.14141414141414141</v>
      </c>
      <c r="W2781" s="44">
        <f>IF(Mecze[[#This Row],[Role]]&lt;&gt;"BR",SUMPRODUCT(Mecze[[#This Row],[/PR:90]:[/BR:90]],Brudnopis!$E$27:$J$27),0)</f>
        <v>0.15909090909090909</v>
      </c>
      <c r="X2781" s="44">
        <f>IF(Mecze[[#This Row],[Role]]&lt;&gt;"BR",SUMPRODUCT(Mecze[[#This Row],[/PR:90]:[/BR:90]],Brudnopis!$E$28:$J$28),0)</f>
        <v>7.0707070707070704E-2</v>
      </c>
      <c r="Y2781" s="35">
        <f>IF(Mecze[[#This Row],[Role]]="BR",Mecze[[#This Row],[/OB:90]]+Mecze[[#This Row],[/PC:90]],SUM(Mecze[[#This Row],[/PR:90]:[/BR:90]]))</f>
        <v>0.14141414141414141</v>
      </c>
      <c r="Z2781" s="35">
        <f>IF(Mecze[[#This Row],[KC]]=0,SUM(Mecze[[#This Row],[/BRI]:[/NPI]]),SUM(Mecze[[#This Row],[/BRI]:[/NPI]])*0.6)</f>
        <v>0.71969696969696961</v>
      </c>
      <c r="AA2781" s="10">
        <f>IFERROR(Mecze[[#This Row],[BR]]/Mecze[[#This Row],[ST]],0)</f>
        <v>0</v>
      </c>
      <c r="AB2781">
        <f>ROUND(Mecze[[#This Row],[PD]]*Mecze[[#This Row],[%PC]],0)</f>
        <v>7</v>
      </c>
      <c r="AC2781">
        <f>ROUND(Mecze[[#This Row],[OD]]*Mecze[[#This Row],[%OU]],0)</f>
        <v>6</v>
      </c>
      <c r="AD2781" s="36" t="s">
        <v>41</v>
      </c>
      <c r="AE2781" s="36">
        <v>156</v>
      </c>
      <c r="AF2781" s="71">
        <v>5.34</v>
      </c>
      <c r="AG2781" s="37">
        <v>0</v>
      </c>
      <c r="AH2781" s="37">
        <v>0</v>
      </c>
      <c r="AI2781" s="37">
        <v>99</v>
      </c>
      <c r="AJ2781" s="37">
        <v>5</v>
      </c>
      <c r="AK2781" s="37" t="str">
        <f>VLOOKUP(Mecze[[#This Row],[Match ID]],Meczusie[Mecz]:Meczusie[RodzajMeczu],2,FALSE)</f>
        <v>Liga</v>
      </c>
    </row>
    <row r="2782" spans="1:37" x14ac:dyDescent="0.25">
      <c r="A2782" s="76">
        <v>7</v>
      </c>
      <c r="B2782" s="3" t="s">
        <v>350</v>
      </c>
      <c r="C2782" s="2" t="s">
        <v>160</v>
      </c>
      <c r="D2782" s="1">
        <v>0</v>
      </c>
      <c r="E2782" s="1">
        <v>0</v>
      </c>
      <c r="F2782" s="1">
        <v>0</v>
      </c>
      <c r="G2782" s="1">
        <v>6</v>
      </c>
      <c r="H2782" s="4">
        <v>1</v>
      </c>
      <c r="I2782" s="1">
        <v>1</v>
      </c>
      <c r="J2782" s="4">
        <v>1</v>
      </c>
      <c r="K2782" s="1">
        <v>0</v>
      </c>
      <c r="L2782" s="1">
        <v>0</v>
      </c>
      <c r="M2782" s="32">
        <f>IF(Mecze[[#This Row],[PR]]=0,0,Mecze[[#This Row],[PR]]/Mecze[[#This Row],[CZAS]])</f>
        <v>0</v>
      </c>
      <c r="N2782" s="32">
        <f>IF(Mecze[[#This Row],[OU]]=0,0,Mecze[[#This Row],[OU]]/Mecze[[#This Row],[CZAS]])</f>
        <v>2.1739130434782608E-2</v>
      </c>
      <c r="O2782" s="32">
        <f>IF(Mecze[[#This Row],[PC]]=0,0,Mecze[[#This Row],[PC]]/Mecze[[#This Row],[CZAS]])</f>
        <v>0.13043478260869565</v>
      </c>
      <c r="P2782" s="32">
        <f>IF(Mecze[[#This Row],[SC]]=0,0,Mecze[[#This Row],[SC]]/Mecze[[#This Row],[CZAS]])</f>
        <v>0</v>
      </c>
      <c r="Q2782" s="32">
        <f>IF(Mecze[[#This Row],[OB]]=0,0,Mecze[[#This Row],[OB]]/Mecze[[#This Row],[CZAS]])</f>
        <v>0</v>
      </c>
      <c r="R2782" s="32">
        <f>IF(Mecze[[#This Row],[BR]]=0,0,Mecze[[#This Row],[BR]]/Mecze[[#This Row],[CZAS]])</f>
        <v>0</v>
      </c>
      <c r="S2782" s="44">
        <f>IF(Mecze[[#This Row],[Role]]="BR",SUMPRODUCT(Mecze[[#This Row],[/PR:90]:[/BR:90]],Brudnopis!$E$23:$J$23),0)</f>
        <v>0</v>
      </c>
      <c r="T2782" s="44">
        <f>IF(Mecze[[#This Row],[Role]]&lt;&gt;"BR",SUMPRODUCT(Mecze[[#This Row],[/PR:90]:[/BR:90]],Brudnopis!$E$24:$J$24),0)</f>
        <v>0.16304347826086957</v>
      </c>
      <c r="U2782" s="44">
        <f>IF(Mecze[[#This Row],[Role]]&lt;&gt;"BR",SUMPRODUCT(Mecze[[#This Row],[/PR:90]:[/BR:90]],Brudnopis!$E$25:$J$25),0)</f>
        <v>0.21739130434782605</v>
      </c>
      <c r="V2782" s="44">
        <f>IF(Mecze[[#This Row],[Role]]&lt;&gt;"BR",SUMPRODUCT(Mecze[[#This Row],[/PR:90]:[/BR:90]],Brudnopis!$E$26:$J$26),0)</f>
        <v>0.15217391304347827</v>
      </c>
      <c r="W2782" s="44">
        <f>IF(Mecze[[#This Row],[Role]]&lt;&gt;"BR",SUMPRODUCT(Mecze[[#This Row],[/PR:90]:[/BR:90]],Brudnopis!$E$27:$J$27),0)</f>
        <v>0.2119565217391304</v>
      </c>
      <c r="X2782" s="44">
        <f>IF(Mecze[[#This Row],[Role]]&lt;&gt;"BR",SUMPRODUCT(Mecze[[#This Row],[/PR:90]:[/BR:90]],Brudnopis!$E$28:$J$28),0)</f>
        <v>0.13043478260869565</v>
      </c>
      <c r="Y2782" s="35">
        <f>IF(Mecze[[#This Row],[Role]]="BR",Mecze[[#This Row],[/OB:90]]+Mecze[[#This Row],[/PC:90]],SUM(Mecze[[#This Row],[/PR:90]:[/BR:90]]))</f>
        <v>0.15217391304347827</v>
      </c>
      <c r="Z2782" s="35">
        <f>IF(Mecze[[#This Row],[KC]]=0,SUM(Mecze[[#This Row],[/BRI]:[/NPI]]),SUM(Mecze[[#This Row],[/BRI]:[/NPI]])*0.6)</f>
        <v>0.87499999999999989</v>
      </c>
      <c r="AA2782" s="10">
        <f>IFERROR(Mecze[[#This Row],[BR]]/Mecze[[#This Row],[ST]],0)</f>
        <v>0</v>
      </c>
      <c r="AB2782">
        <f>ROUND(Mecze[[#This Row],[PD]]*Mecze[[#This Row],[%PC]],0)</f>
        <v>6</v>
      </c>
      <c r="AC2782">
        <f>ROUND(Mecze[[#This Row],[OD]]*Mecze[[#This Row],[%OU]],0)</f>
        <v>1</v>
      </c>
      <c r="AD2782" s="36" t="s">
        <v>67</v>
      </c>
      <c r="AE2782" s="36">
        <v>156</v>
      </c>
      <c r="AF2782" s="71">
        <v>5.05</v>
      </c>
      <c r="AG2782" s="37">
        <v>0</v>
      </c>
      <c r="AH2782" s="37">
        <v>0</v>
      </c>
      <c r="AI2782" s="37">
        <v>46</v>
      </c>
      <c r="AJ2782" s="37">
        <v>5</v>
      </c>
      <c r="AK2782" s="37" t="str">
        <f>VLOOKUP(Mecze[[#This Row],[Match ID]],Meczusie[Mecz]:Meczusie[RodzajMeczu],2,FALSE)</f>
        <v>Liga</v>
      </c>
    </row>
    <row r="2783" spans="1:37" x14ac:dyDescent="0.25">
      <c r="A2783" s="76">
        <v>8</v>
      </c>
      <c r="B2783" s="3" t="s">
        <v>351</v>
      </c>
      <c r="C2783" s="2" t="s">
        <v>160</v>
      </c>
      <c r="D2783" s="1">
        <v>1</v>
      </c>
      <c r="E2783" s="1">
        <v>1</v>
      </c>
      <c r="F2783" s="1">
        <v>1</v>
      </c>
      <c r="G2783" s="1">
        <v>10</v>
      </c>
      <c r="H2783" s="4">
        <v>0.7</v>
      </c>
      <c r="I2783" s="1">
        <v>4</v>
      </c>
      <c r="J2783" s="4">
        <v>1</v>
      </c>
      <c r="K2783" s="1">
        <v>0</v>
      </c>
      <c r="L2783" s="1">
        <v>4</v>
      </c>
      <c r="M2783" s="32">
        <f>IF(Mecze[[#This Row],[PR]]=0,0,Mecze[[#This Row],[PR]]/Mecze[[#This Row],[CZAS]])</f>
        <v>4.0404040404040407E-2</v>
      </c>
      <c r="N2783" s="32">
        <f>IF(Mecze[[#This Row],[OU]]=0,0,Mecze[[#This Row],[OU]]/Mecze[[#This Row],[CZAS]])</f>
        <v>4.0404040404040407E-2</v>
      </c>
      <c r="O2783" s="32">
        <f>IF(Mecze[[#This Row],[PC]]=0,0,Mecze[[#This Row],[PC]]/Mecze[[#This Row],[CZAS]])</f>
        <v>7.0707070707070704E-2</v>
      </c>
      <c r="P2783" s="32">
        <f>IF(Mecze[[#This Row],[SC]]=0,0,Mecze[[#This Row],[SC]]/Mecze[[#This Row],[CZAS]])</f>
        <v>1.0101010101010102E-2</v>
      </c>
      <c r="Q2783" s="32">
        <f>IF(Mecze[[#This Row],[OB]]=0,0,Mecze[[#This Row],[OB]]/Mecze[[#This Row],[CZAS]])</f>
        <v>0</v>
      </c>
      <c r="R2783" s="32">
        <f>IF(Mecze[[#This Row],[BR]]=0,0,Mecze[[#This Row],[BR]]/Mecze[[#This Row],[CZAS]])</f>
        <v>1.0101010101010102E-2</v>
      </c>
      <c r="S2783" s="44">
        <f>IF(Mecze[[#This Row],[Role]]="BR",SUMPRODUCT(Mecze[[#This Row],[/PR:90]:[/BR:90]],Brudnopis!$E$23:$J$23),0)</f>
        <v>0</v>
      </c>
      <c r="T2783" s="44">
        <f>IF(Mecze[[#This Row],[Role]]&lt;&gt;"BR",SUMPRODUCT(Mecze[[#This Row],[/PR:90]:[/BR:90]],Brudnopis!$E$24:$J$24),0)</f>
        <v>0.19696969696969696</v>
      </c>
      <c r="U2783" s="44">
        <f>IF(Mecze[[#This Row],[Role]]&lt;&gt;"BR",SUMPRODUCT(Mecze[[#This Row],[/PR:90]:[/BR:90]],Brudnopis!$E$25:$J$25),0)</f>
        <v>0.2121212121212121</v>
      </c>
      <c r="V2783" s="44">
        <f>IF(Mecze[[#This Row],[Role]]&lt;&gt;"BR",SUMPRODUCT(Mecze[[#This Row],[/PR:90]:[/BR:90]],Brudnopis!$E$26:$J$26),0)</f>
        <v>0.18181818181818182</v>
      </c>
      <c r="W2783" s="44">
        <f>IF(Mecze[[#This Row],[Role]]&lt;&gt;"BR",SUMPRODUCT(Mecze[[#This Row],[/PR:90]:[/BR:90]],Brudnopis!$E$27:$J$27),0)</f>
        <v>0.19696969696969696</v>
      </c>
      <c r="X2783" s="44">
        <f>IF(Mecze[[#This Row],[Role]]&lt;&gt;"BR",SUMPRODUCT(Mecze[[#This Row],[/PR:90]:[/BR:90]],Brudnopis!$E$28:$J$28),0)</f>
        <v>0.12121212121212122</v>
      </c>
      <c r="Y2783" s="35">
        <f>IF(Mecze[[#This Row],[Role]]="BR",Mecze[[#This Row],[/OB:90]]+Mecze[[#This Row],[/PC:90]],SUM(Mecze[[#This Row],[/PR:90]:[/BR:90]]))</f>
        <v>0.17171717171717174</v>
      </c>
      <c r="Z2783" s="35">
        <f>IF(Mecze[[#This Row],[KC]]=0,SUM(Mecze[[#This Row],[/BRI]:[/NPI]]),SUM(Mecze[[#This Row],[/BRI]:[/NPI]])*0.6)</f>
        <v>0.90909090909090906</v>
      </c>
      <c r="AA2783" s="10">
        <f>IFERROR(Mecze[[#This Row],[BR]]/Mecze[[#This Row],[ST]],0)</f>
        <v>1</v>
      </c>
      <c r="AB2783">
        <f>ROUND(Mecze[[#This Row],[PD]]*Mecze[[#This Row],[%PC]],0)</f>
        <v>7</v>
      </c>
      <c r="AC2783">
        <f>ROUND(Mecze[[#This Row],[OD]]*Mecze[[#This Row],[%OU]],0)</f>
        <v>4</v>
      </c>
      <c r="AD2783" s="36" t="s">
        <v>67</v>
      </c>
      <c r="AE2783" s="36">
        <v>156</v>
      </c>
      <c r="AF2783" s="71">
        <v>8.31</v>
      </c>
      <c r="AG2783" s="37">
        <v>0</v>
      </c>
      <c r="AH2783" s="37">
        <v>0</v>
      </c>
      <c r="AI2783" s="37">
        <v>99</v>
      </c>
      <c r="AJ2783" s="37">
        <v>5</v>
      </c>
      <c r="AK2783" s="37" t="str">
        <f>VLOOKUP(Mecze[[#This Row],[Match ID]],Meczusie[Mecz]:Meczusie[RodzajMeczu],2,FALSE)</f>
        <v>Liga</v>
      </c>
    </row>
    <row r="2784" spans="1:37" x14ac:dyDescent="0.25">
      <c r="A2784" s="76">
        <v>11</v>
      </c>
      <c r="B2784" s="3" t="s">
        <v>353</v>
      </c>
      <c r="C2784" s="2" t="s">
        <v>165</v>
      </c>
      <c r="D2784" s="1">
        <v>1</v>
      </c>
      <c r="E2784" s="1">
        <v>6</v>
      </c>
      <c r="F2784" s="1">
        <v>6</v>
      </c>
      <c r="G2784" s="1">
        <v>3</v>
      </c>
      <c r="H2784" s="4">
        <v>0.67</v>
      </c>
      <c r="I2784" s="1">
        <v>4</v>
      </c>
      <c r="J2784" s="4">
        <v>0.5</v>
      </c>
      <c r="K2784" s="1">
        <v>0</v>
      </c>
      <c r="L2784" s="1">
        <v>1</v>
      </c>
      <c r="M2784" s="32">
        <f>IF(Mecze[[#This Row],[PR]]=0,0,Mecze[[#This Row],[PR]]/Mecze[[#This Row],[CZAS]])</f>
        <v>1.0101010101010102E-2</v>
      </c>
      <c r="N2784" s="32">
        <f>IF(Mecze[[#This Row],[OU]]=0,0,Mecze[[#This Row],[OU]]/Mecze[[#This Row],[CZAS]])</f>
        <v>2.0202020202020204E-2</v>
      </c>
      <c r="O2784" s="32">
        <f>IF(Mecze[[#This Row],[PC]]=0,0,Mecze[[#This Row],[PC]]/Mecze[[#This Row],[CZAS]])</f>
        <v>2.0202020202020204E-2</v>
      </c>
      <c r="P2784" s="32">
        <f>IF(Mecze[[#This Row],[SC]]=0,0,Mecze[[#This Row],[SC]]/Mecze[[#This Row],[CZAS]])</f>
        <v>6.0606060606060608E-2</v>
      </c>
      <c r="Q2784" s="32">
        <f>IF(Mecze[[#This Row],[OB]]=0,0,Mecze[[#This Row],[OB]]/Mecze[[#This Row],[CZAS]])</f>
        <v>0</v>
      </c>
      <c r="R2784" s="32">
        <f>IF(Mecze[[#This Row],[BR]]=0,0,Mecze[[#This Row],[BR]]/Mecze[[#This Row],[CZAS]])</f>
        <v>1.0101010101010102E-2</v>
      </c>
      <c r="S2784" s="44">
        <f>IF(Mecze[[#This Row],[Role]]="BR",SUMPRODUCT(Mecze[[#This Row],[/PR:90]:[/BR:90]],Brudnopis!$E$23:$J$23),0)</f>
        <v>0</v>
      </c>
      <c r="T2784" s="44">
        <f>IF(Mecze[[#This Row],[Role]]&lt;&gt;"BR",SUMPRODUCT(Mecze[[#This Row],[/PR:90]:[/BR:90]],Brudnopis!$E$24:$J$24),0)</f>
        <v>0.13636363636363635</v>
      </c>
      <c r="U2784" s="44">
        <f>IF(Mecze[[#This Row],[Role]]&lt;&gt;"BR",SUMPRODUCT(Mecze[[#This Row],[/PR:90]:[/BR:90]],Brudnopis!$E$25:$J$25),0)</f>
        <v>0.13636363636363635</v>
      </c>
      <c r="V2784" s="44">
        <f>IF(Mecze[[#This Row],[Role]]&lt;&gt;"BR",SUMPRODUCT(Mecze[[#This Row],[/PR:90]:[/BR:90]],Brudnopis!$E$26:$J$26),0)</f>
        <v>0.13131313131313133</v>
      </c>
      <c r="W2784" s="44">
        <f>IF(Mecze[[#This Row],[Role]]&lt;&gt;"BR",SUMPRODUCT(Mecze[[#This Row],[/PR:90]:[/BR:90]],Brudnopis!$E$27:$J$27),0)</f>
        <v>0.13383838383838384</v>
      </c>
      <c r="X2784" s="44">
        <f>IF(Mecze[[#This Row],[Role]]&lt;&gt;"BR",SUMPRODUCT(Mecze[[#This Row],[/PR:90]:[/BR:90]],Brudnopis!$E$28:$J$28),0)</f>
        <v>0.17171717171717171</v>
      </c>
      <c r="Y2784" s="35">
        <f>IF(Mecze[[#This Row],[Role]]="BR",Mecze[[#This Row],[/OB:90]]+Mecze[[#This Row],[/PC:90]],SUM(Mecze[[#This Row],[/PR:90]:[/BR:90]]))</f>
        <v>0.12121212121212122</v>
      </c>
      <c r="Z2784" s="35">
        <f>IF(Mecze[[#This Row],[KC]]=0,SUM(Mecze[[#This Row],[/BRI]:[/NPI]]),SUM(Mecze[[#This Row],[/BRI]:[/NPI]])*0.6)</f>
        <v>0.70959595959595956</v>
      </c>
      <c r="AA2784" s="10">
        <f>IFERROR(Mecze[[#This Row],[BR]]/Mecze[[#This Row],[ST]],0)</f>
        <v>0.16666666666666666</v>
      </c>
      <c r="AB2784">
        <f>ROUND(Mecze[[#This Row],[PD]]*Mecze[[#This Row],[%PC]],0)</f>
        <v>2</v>
      </c>
      <c r="AC2784">
        <f>ROUND(Mecze[[#This Row],[OD]]*Mecze[[#This Row],[%OU]],0)</f>
        <v>2</v>
      </c>
      <c r="AD2784" s="36" t="s">
        <v>46</v>
      </c>
      <c r="AE2784" s="36">
        <v>156</v>
      </c>
      <c r="AF2784" s="71">
        <v>7.55</v>
      </c>
      <c r="AG2784" s="37">
        <v>0</v>
      </c>
      <c r="AH2784" s="37">
        <v>0</v>
      </c>
      <c r="AI2784" s="37">
        <v>99</v>
      </c>
      <c r="AJ2784" s="37">
        <v>5</v>
      </c>
      <c r="AK2784" s="37" t="str">
        <f>VLOOKUP(Mecze[[#This Row],[Match ID]],Meczusie[Mecz]:Meczusie[RodzajMeczu],2,FALSE)</f>
        <v>Liga</v>
      </c>
    </row>
    <row r="2785" spans="1:37" x14ac:dyDescent="0.25">
      <c r="A2785" s="76">
        <v>10</v>
      </c>
      <c r="B2785" s="3" t="s">
        <v>352</v>
      </c>
      <c r="C2785" s="2" t="s">
        <v>165</v>
      </c>
      <c r="D2785" s="1">
        <v>2</v>
      </c>
      <c r="E2785" s="1">
        <v>4</v>
      </c>
      <c r="F2785" s="1">
        <v>4</v>
      </c>
      <c r="G2785" s="1">
        <v>4</v>
      </c>
      <c r="H2785" s="4">
        <v>0.5</v>
      </c>
      <c r="I2785" s="1">
        <v>1</v>
      </c>
      <c r="J2785" s="4">
        <v>0</v>
      </c>
      <c r="K2785" s="1">
        <v>0</v>
      </c>
      <c r="L2785" s="1">
        <v>1</v>
      </c>
      <c r="M2785" s="32">
        <f>IF(Mecze[[#This Row],[PR]]=0,0,Mecze[[#This Row],[PR]]/Mecze[[#This Row],[CZAS]])</f>
        <v>1.0101010101010102E-2</v>
      </c>
      <c r="N2785" s="32">
        <f>IF(Mecze[[#This Row],[OU]]=0,0,Mecze[[#This Row],[OU]]/Mecze[[#This Row],[CZAS]])</f>
        <v>0</v>
      </c>
      <c r="O2785" s="32">
        <f>IF(Mecze[[#This Row],[PC]]=0,0,Mecze[[#This Row],[PC]]/Mecze[[#This Row],[CZAS]])</f>
        <v>2.0202020202020204E-2</v>
      </c>
      <c r="P2785" s="32">
        <f>IF(Mecze[[#This Row],[SC]]=0,0,Mecze[[#This Row],[SC]]/Mecze[[#This Row],[CZAS]])</f>
        <v>4.0404040404040407E-2</v>
      </c>
      <c r="Q2785" s="32">
        <f>IF(Mecze[[#This Row],[OB]]=0,0,Mecze[[#This Row],[OB]]/Mecze[[#This Row],[CZAS]])</f>
        <v>0</v>
      </c>
      <c r="R2785" s="32">
        <f>IF(Mecze[[#This Row],[BR]]=0,0,Mecze[[#This Row],[BR]]/Mecze[[#This Row],[CZAS]])</f>
        <v>2.0202020202020204E-2</v>
      </c>
      <c r="S2785" s="44">
        <f>IF(Mecze[[#This Row],[Role]]="BR",SUMPRODUCT(Mecze[[#This Row],[/PR:90]:[/BR:90]],Brudnopis!$E$23:$J$23),0)</f>
        <v>0</v>
      </c>
      <c r="T2785" s="44">
        <f>IF(Mecze[[#This Row],[Role]]&lt;&gt;"BR",SUMPRODUCT(Mecze[[#This Row],[/PR:90]:[/BR:90]],Brudnopis!$E$24:$J$24),0)</f>
        <v>0.10101010101010102</v>
      </c>
      <c r="U2785" s="44">
        <f>IF(Mecze[[#This Row],[Role]]&lt;&gt;"BR",SUMPRODUCT(Mecze[[#This Row],[/PR:90]:[/BR:90]],Brudnopis!$E$25:$J$25),0)</f>
        <v>0.11111111111111112</v>
      </c>
      <c r="V2785" s="44">
        <f>IF(Mecze[[#This Row],[Role]]&lt;&gt;"BR",SUMPRODUCT(Mecze[[#This Row],[/PR:90]:[/BR:90]],Brudnopis!$E$26:$J$26),0)</f>
        <v>0.11111111111111113</v>
      </c>
      <c r="W2785" s="44">
        <f>IF(Mecze[[#This Row],[Role]]&lt;&gt;"BR",SUMPRODUCT(Mecze[[#This Row],[/PR:90]:[/BR:90]],Brudnopis!$E$27:$J$27),0)</f>
        <v>0.1186868686868687</v>
      </c>
      <c r="X2785" s="44">
        <f>IF(Mecze[[#This Row],[Role]]&lt;&gt;"BR",SUMPRODUCT(Mecze[[#This Row],[/PR:90]:[/BR:90]],Brudnopis!$E$28:$J$28),0)</f>
        <v>0.16161616161616163</v>
      </c>
      <c r="Y2785" s="35">
        <f>IF(Mecze[[#This Row],[Role]]="BR",Mecze[[#This Row],[/OB:90]]+Mecze[[#This Row],[/PC:90]],SUM(Mecze[[#This Row],[/PR:90]:[/BR:90]]))</f>
        <v>9.0909090909090925E-2</v>
      </c>
      <c r="Z2785" s="35">
        <f>IF(Mecze[[#This Row],[KC]]=0,SUM(Mecze[[#This Row],[/BRI]:[/NPI]]),SUM(Mecze[[#This Row],[/BRI]:[/NPI]])*0.6)</f>
        <v>0.6035353535353537</v>
      </c>
      <c r="AA2785" s="10">
        <f>IFERROR(Mecze[[#This Row],[BR]]/Mecze[[#This Row],[ST]],0)</f>
        <v>0.5</v>
      </c>
      <c r="AB2785">
        <f>ROUND(Mecze[[#This Row],[PD]]*Mecze[[#This Row],[%PC]],0)</f>
        <v>2</v>
      </c>
      <c r="AC2785">
        <f>ROUND(Mecze[[#This Row],[OD]]*Mecze[[#This Row],[%OU]],0)</f>
        <v>0</v>
      </c>
      <c r="AD2785" s="36" t="s">
        <v>272</v>
      </c>
      <c r="AE2785" s="36">
        <v>156</v>
      </c>
      <c r="AF2785" s="71">
        <v>9.41</v>
      </c>
      <c r="AG2785" s="37">
        <v>0</v>
      </c>
      <c r="AH2785" s="37">
        <v>0</v>
      </c>
      <c r="AI2785" s="37">
        <v>99</v>
      </c>
      <c r="AJ2785" s="37">
        <v>5</v>
      </c>
      <c r="AK2785" s="37" t="str">
        <f>VLOOKUP(Mecze[[#This Row],[Match ID]],Meczusie[Mecz]:Meczusie[RodzajMeczu],2,FALSE)</f>
        <v>Liga</v>
      </c>
    </row>
    <row r="2786" spans="1:37" x14ac:dyDescent="0.25">
      <c r="A2786" s="76">
        <v>9</v>
      </c>
      <c r="B2786" s="3" t="s">
        <v>354</v>
      </c>
      <c r="C2786" s="2" t="s">
        <v>165</v>
      </c>
      <c r="D2786" s="1">
        <v>0</v>
      </c>
      <c r="E2786" s="1">
        <v>5</v>
      </c>
      <c r="F2786" s="1">
        <v>4</v>
      </c>
      <c r="G2786" s="1">
        <v>6</v>
      </c>
      <c r="H2786" s="4">
        <v>0.83</v>
      </c>
      <c r="I2786" s="1">
        <v>2</v>
      </c>
      <c r="J2786" s="4">
        <v>0</v>
      </c>
      <c r="K2786" s="1">
        <v>0</v>
      </c>
      <c r="L2786" s="1">
        <v>0</v>
      </c>
      <c r="M2786" s="32">
        <f>IF(Mecze[[#This Row],[PR]]=0,0,Mecze[[#This Row],[PR]]/Mecze[[#This Row],[CZAS]])</f>
        <v>0</v>
      </c>
      <c r="N2786" s="32">
        <f>IF(Mecze[[#This Row],[OU]]=0,0,Mecze[[#This Row],[OU]]/Mecze[[#This Row],[CZAS]])</f>
        <v>0</v>
      </c>
      <c r="O2786" s="32">
        <f>IF(Mecze[[#This Row],[PC]]=0,0,Mecze[[#This Row],[PC]]/Mecze[[#This Row],[CZAS]])</f>
        <v>5.0505050505050504E-2</v>
      </c>
      <c r="P2786" s="32">
        <f>IF(Mecze[[#This Row],[SC]]=0,0,Mecze[[#This Row],[SC]]/Mecze[[#This Row],[CZAS]])</f>
        <v>4.0404040404040407E-2</v>
      </c>
      <c r="Q2786" s="32">
        <f>IF(Mecze[[#This Row],[OB]]=0,0,Mecze[[#This Row],[OB]]/Mecze[[#This Row],[CZAS]])</f>
        <v>0</v>
      </c>
      <c r="R2786" s="32">
        <f>IF(Mecze[[#This Row],[BR]]=0,0,Mecze[[#This Row],[BR]]/Mecze[[#This Row],[CZAS]])</f>
        <v>0</v>
      </c>
      <c r="S2786" s="44">
        <f>IF(Mecze[[#This Row],[Role]]="BR",SUMPRODUCT(Mecze[[#This Row],[/PR:90]:[/BR:90]],Brudnopis!$E$23:$J$23),0)</f>
        <v>0</v>
      </c>
      <c r="T2786" s="44">
        <f>IF(Mecze[[#This Row],[Role]]&lt;&gt;"BR",SUMPRODUCT(Mecze[[#This Row],[/PR:90]:[/BR:90]],Brudnopis!$E$24:$J$24),0)</f>
        <v>9.0909090909090912E-2</v>
      </c>
      <c r="U2786" s="44">
        <f>IF(Mecze[[#This Row],[Role]]&lt;&gt;"BR",SUMPRODUCT(Mecze[[#This Row],[/PR:90]:[/BR:90]],Brudnopis!$E$25:$J$25),0)</f>
        <v>0.11616161616161616</v>
      </c>
      <c r="V2786" s="44">
        <f>IF(Mecze[[#This Row],[Role]]&lt;&gt;"BR",SUMPRODUCT(Mecze[[#This Row],[/PR:90]:[/BR:90]],Brudnopis!$E$26:$J$26),0)</f>
        <v>9.0909090909090912E-2</v>
      </c>
      <c r="W2786" s="44">
        <f>IF(Mecze[[#This Row],[Role]]&lt;&gt;"BR",SUMPRODUCT(Mecze[[#This Row],[/PR:90]:[/BR:90]],Brudnopis!$E$27:$J$27),0)</f>
        <v>0.11616161616161616</v>
      </c>
      <c r="X2786" s="44">
        <f>IF(Mecze[[#This Row],[Role]]&lt;&gt;"BR",SUMPRODUCT(Mecze[[#This Row],[/PR:90]:[/BR:90]],Brudnopis!$E$28:$J$28),0)</f>
        <v>0.13131313131313133</v>
      </c>
      <c r="Y2786" s="35">
        <f>IF(Mecze[[#This Row],[Role]]="BR",Mecze[[#This Row],[/OB:90]]+Mecze[[#This Row],[/PC:90]],SUM(Mecze[[#This Row],[/PR:90]:[/BR:90]]))</f>
        <v>9.0909090909090912E-2</v>
      </c>
      <c r="Z2786" s="35">
        <f>IF(Mecze[[#This Row],[KC]]=0,SUM(Mecze[[#This Row],[/BRI]:[/NPI]]),SUM(Mecze[[#This Row],[/BRI]:[/NPI]])*0.6)</f>
        <v>0.54545454545454541</v>
      </c>
      <c r="AA2786" s="10">
        <f>IFERROR(Mecze[[#This Row],[BR]]/Mecze[[#This Row],[ST]],0)</f>
        <v>0</v>
      </c>
      <c r="AB2786">
        <f>ROUND(Mecze[[#This Row],[PD]]*Mecze[[#This Row],[%PC]],0)</f>
        <v>5</v>
      </c>
      <c r="AC2786">
        <f>ROUND(Mecze[[#This Row],[OD]]*Mecze[[#This Row],[%OU]],0)</f>
        <v>0</v>
      </c>
      <c r="AD2786" s="36" t="s">
        <v>273</v>
      </c>
      <c r="AE2786" s="36">
        <v>156</v>
      </c>
      <c r="AF2786" s="71">
        <v>7.06</v>
      </c>
      <c r="AG2786" s="37">
        <v>0</v>
      </c>
      <c r="AH2786" s="37">
        <v>0</v>
      </c>
      <c r="AI2786" s="37">
        <v>99</v>
      </c>
      <c r="AJ2786" s="37">
        <v>5</v>
      </c>
      <c r="AK2786" s="37" t="str">
        <f>VLOOKUP(Mecze[[#This Row],[Match ID]],Meczusie[Mecz]:Meczusie[RodzajMeczu],2,FALSE)</f>
        <v>Liga</v>
      </c>
    </row>
    <row r="2787" spans="1:37" x14ac:dyDescent="0.25">
      <c r="A2787" s="76">
        <v>15</v>
      </c>
      <c r="B2787" s="3" t="s">
        <v>510</v>
      </c>
      <c r="C2787" s="2" t="s">
        <v>160</v>
      </c>
      <c r="D2787" s="1">
        <v>0</v>
      </c>
      <c r="E2787" s="1">
        <v>0</v>
      </c>
      <c r="F2787" s="1">
        <v>0</v>
      </c>
      <c r="G2787" s="1">
        <v>5</v>
      </c>
      <c r="H2787" s="4">
        <v>0.6</v>
      </c>
      <c r="I2787" s="1">
        <v>2</v>
      </c>
      <c r="J2787" s="4">
        <v>0.5</v>
      </c>
      <c r="K2787" s="1">
        <v>0</v>
      </c>
      <c r="L2787" s="1">
        <v>2</v>
      </c>
      <c r="M2787" s="32">
        <f>IF(Mecze[[#This Row],[PR]]=0,0,Mecze[[#This Row],[PR]]/Mecze[[#This Row],[CZAS]])</f>
        <v>4.6511627906976744E-2</v>
      </c>
      <c r="N2787" s="32">
        <f>IF(Mecze[[#This Row],[OU]]=0,0,Mecze[[#This Row],[OU]]/Mecze[[#This Row],[CZAS]])</f>
        <v>2.3255813953488372E-2</v>
      </c>
      <c r="O2787" s="32">
        <f>IF(Mecze[[#This Row],[PC]]=0,0,Mecze[[#This Row],[PC]]/Mecze[[#This Row],[CZAS]])</f>
        <v>6.9767441860465115E-2</v>
      </c>
      <c r="P2787" s="32">
        <f>IF(Mecze[[#This Row],[SC]]=0,0,Mecze[[#This Row],[SC]]/Mecze[[#This Row],[CZAS]])</f>
        <v>0</v>
      </c>
      <c r="Q2787" s="32">
        <f>IF(Mecze[[#This Row],[OB]]=0,0,Mecze[[#This Row],[OB]]/Mecze[[#This Row],[CZAS]])</f>
        <v>0</v>
      </c>
      <c r="R2787" s="32">
        <f>IF(Mecze[[#This Row],[BR]]=0,0,Mecze[[#This Row],[BR]]/Mecze[[#This Row],[CZAS]])</f>
        <v>0</v>
      </c>
      <c r="S2787" s="44">
        <f>IF(Mecze[[#This Row],[Role]]="BR",SUMPRODUCT(Mecze[[#This Row],[/PR:90]:[/BR:90]],Brudnopis!$E$23:$J$23),0)</f>
        <v>0</v>
      </c>
      <c r="T2787" s="44">
        <f>IF(Mecze[[#This Row],[Role]]&lt;&gt;"BR",SUMPRODUCT(Mecze[[#This Row],[/PR:90]:[/BR:90]],Brudnopis!$E$24:$J$24),0)</f>
        <v>0.15116279069767441</v>
      </c>
      <c r="U2787" s="44">
        <f>IF(Mecze[[#This Row],[Role]]&lt;&gt;"BR",SUMPRODUCT(Mecze[[#This Row],[/PR:90]:[/BR:90]],Brudnopis!$E$25:$J$25),0)</f>
        <v>0.17441860465116277</v>
      </c>
      <c r="V2787" s="44">
        <f>IF(Mecze[[#This Row],[Role]]&lt;&gt;"BR",SUMPRODUCT(Mecze[[#This Row],[/PR:90]:[/BR:90]],Brudnopis!$E$26:$J$26),0)</f>
        <v>0.13953488372093023</v>
      </c>
      <c r="W2787" s="44">
        <f>IF(Mecze[[#This Row],[Role]]&lt;&gt;"BR",SUMPRODUCT(Mecze[[#This Row],[/PR:90]:[/BR:90]],Brudnopis!$E$27:$J$27),0)</f>
        <v>0.15697674418604651</v>
      </c>
      <c r="X2787" s="44">
        <f>IF(Mecze[[#This Row],[Role]]&lt;&gt;"BR",SUMPRODUCT(Mecze[[#This Row],[/PR:90]:[/BR:90]],Brudnopis!$E$28:$J$28),0)</f>
        <v>6.9767441860465115E-2</v>
      </c>
      <c r="Y2787" s="35">
        <f>IF(Mecze[[#This Row],[Role]]="BR",Mecze[[#This Row],[/OB:90]]+Mecze[[#This Row],[/PC:90]],SUM(Mecze[[#This Row],[/PR:90]:[/BR:90]]))</f>
        <v>0.13953488372093023</v>
      </c>
      <c r="Z2787" s="35">
        <f>IF(Mecze[[#This Row],[KC]]=0,SUM(Mecze[[#This Row],[/BRI]:[/NPI]]),SUM(Mecze[[#This Row],[/BRI]:[/NPI]])*0.6)</f>
        <v>0.69186046511627908</v>
      </c>
      <c r="AA2787" s="10">
        <f>IFERROR(Mecze[[#This Row],[BR]]/Mecze[[#This Row],[ST]],0)</f>
        <v>0</v>
      </c>
      <c r="AB2787">
        <f>ROUND(Mecze[[#This Row],[PD]]*Mecze[[#This Row],[%PC]],0)</f>
        <v>3</v>
      </c>
      <c r="AC2787">
        <f>ROUND(Mecze[[#This Row],[OD]]*Mecze[[#This Row],[%OU]],0)</f>
        <v>1</v>
      </c>
      <c r="AD2787" s="36" t="s">
        <v>67</v>
      </c>
      <c r="AE2787" s="36">
        <v>156</v>
      </c>
      <c r="AF2787" s="71">
        <v>3.35</v>
      </c>
      <c r="AG2787" s="37">
        <v>0</v>
      </c>
      <c r="AH2787" s="37">
        <v>0</v>
      </c>
      <c r="AI2787" s="37">
        <v>43</v>
      </c>
      <c r="AJ2787" s="37">
        <v>5</v>
      </c>
      <c r="AK2787" s="37" t="str">
        <f>VLOOKUP(Mecze[[#This Row],[Match ID]],Meczusie[Mecz]:Meczusie[RodzajMeczu],2,FALSE)</f>
        <v>Liga</v>
      </c>
    </row>
    <row r="2788" spans="1:37" x14ac:dyDescent="0.25">
      <c r="A2788" s="76">
        <v>1</v>
      </c>
      <c r="B2788" s="3" t="s">
        <v>288</v>
      </c>
      <c r="C2788" s="2" t="s">
        <v>155</v>
      </c>
      <c r="D2788" s="1">
        <v>0</v>
      </c>
      <c r="E2788" s="1">
        <v>0</v>
      </c>
      <c r="F2788" s="1">
        <v>0</v>
      </c>
      <c r="G2788" s="1">
        <v>12</v>
      </c>
      <c r="H2788" s="4">
        <v>0.67</v>
      </c>
      <c r="I2788" s="1">
        <v>0</v>
      </c>
      <c r="J2788" s="4"/>
      <c r="K2788" s="1">
        <v>9</v>
      </c>
      <c r="L2788" s="1">
        <v>0</v>
      </c>
      <c r="M2788" s="32">
        <f>IF(Mecze[[#This Row],[PR]]=0,0,Mecze[[#This Row],[PR]]/Mecze[[#This Row],[CZAS]])</f>
        <v>0</v>
      </c>
      <c r="N2788" s="32">
        <f>IF(Mecze[[#This Row],[OU]]=0,0,Mecze[[#This Row],[OU]]/Mecze[[#This Row],[CZAS]])</f>
        <v>0</v>
      </c>
      <c r="O2788" s="32">
        <f>IF(Mecze[[#This Row],[PC]]=0,0,Mecze[[#This Row],[PC]]/Mecze[[#This Row],[CZAS]])</f>
        <v>8.0808080808080815E-2</v>
      </c>
      <c r="P2788" s="32">
        <f>IF(Mecze[[#This Row],[SC]]=0,0,Mecze[[#This Row],[SC]]/Mecze[[#This Row],[CZAS]])</f>
        <v>0</v>
      </c>
      <c r="Q2788" s="32">
        <f>IF(Mecze[[#This Row],[OB]]=0,0,Mecze[[#This Row],[OB]]/Mecze[[#This Row],[CZAS]])</f>
        <v>9.0909090909090912E-2</v>
      </c>
      <c r="R2788" s="32">
        <f>IF(Mecze[[#This Row],[BR]]=0,0,Mecze[[#This Row],[BR]]/Mecze[[#This Row],[CZAS]])</f>
        <v>0</v>
      </c>
      <c r="S2788" s="44">
        <f>IF(Mecze[[#This Row],[Role]]="BR",SUMPRODUCT(Mecze[[#This Row],[/PR:90]:[/BR:90]],Brudnopis!$E$23:$J$23),0)</f>
        <v>0.51515151515151514</v>
      </c>
      <c r="T2788" s="44">
        <f>IF(Mecze[[#This Row],[Role]]&lt;&gt;"BR",SUMPRODUCT(Mecze[[#This Row],[/PR:90]:[/BR:90]],Brudnopis!$E$24:$J$24),0)</f>
        <v>0</v>
      </c>
      <c r="U2788" s="44">
        <f>IF(Mecze[[#This Row],[Role]]&lt;&gt;"BR",SUMPRODUCT(Mecze[[#This Row],[/PR:90]:[/BR:90]],Brudnopis!$E$25:$J$25),0)</f>
        <v>0</v>
      </c>
      <c r="V2788" s="44">
        <f>IF(Mecze[[#This Row],[Role]]&lt;&gt;"BR",SUMPRODUCT(Mecze[[#This Row],[/PR:90]:[/BR:90]],Brudnopis!$E$26:$J$26),0)</f>
        <v>0</v>
      </c>
      <c r="W2788" s="44">
        <f>IF(Mecze[[#This Row],[Role]]&lt;&gt;"BR",SUMPRODUCT(Mecze[[#This Row],[/PR:90]:[/BR:90]],Brudnopis!$E$27:$J$27),0)</f>
        <v>0</v>
      </c>
      <c r="X2788" s="44">
        <f>IF(Mecze[[#This Row],[Role]]&lt;&gt;"BR",SUMPRODUCT(Mecze[[#This Row],[/PR:90]:[/BR:90]],Brudnopis!$E$28:$J$28),0)</f>
        <v>0</v>
      </c>
      <c r="Y2788" s="35">
        <f>IF(Mecze[[#This Row],[Role]]="BR",Mecze[[#This Row],[/OB:90]]+Mecze[[#This Row],[/PC:90]],SUM(Mecze[[#This Row],[/PR:90]:[/BR:90]]))</f>
        <v>0.17171717171717171</v>
      </c>
      <c r="Z2788" s="35">
        <f>IF(Mecze[[#This Row],[KC]]=0,SUM(Mecze[[#This Row],[/BRI]:[/NPI]]),SUM(Mecze[[#This Row],[/BRI]:[/NPI]])*0.6)</f>
        <v>0.51515151515151514</v>
      </c>
      <c r="AA2788" s="10">
        <f>IFERROR(Mecze[[#This Row],[BR]]/Mecze[[#This Row],[ST]],0)</f>
        <v>0</v>
      </c>
      <c r="AB2788">
        <f>ROUND(Mecze[[#This Row],[PD]]*Mecze[[#This Row],[%PC]],0)</f>
        <v>8</v>
      </c>
      <c r="AC2788">
        <f>ROUND(Mecze[[#This Row],[OD]]*Mecze[[#This Row],[%OU]],0)</f>
        <v>0</v>
      </c>
      <c r="AD2788" s="36" t="s">
        <v>40</v>
      </c>
      <c r="AE2788" s="36">
        <v>156</v>
      </c>
      <c r="AF2788" s="71">
        <v>4.95</v>
      </c>
      <c r="AG2788" s="37">
        <v>0</v>
      </c>
      <c r="AH2788" s="37">
        <v>0</v>
      </c>
      <c r="AI2788" s="37">
        <v>99</v>
      </c>
      <c r="AJ2788" s="37">
        <v>9</v>
      </c>
      <c r="AK2788" s="37" t="str">
        <f>VLOOKUP(Mecze[[#This Row],[Match ID]],Meczusie[Mecz]:Meczusie[RodzajMeczu],2,FALSE)</f>
        <v>Liga</v>
      </c>
    </row>
    <row r="2789" spans="1:37" x14ac:dyDescent="0.25">
      <c r="A2789" s="76">
        <v>4</v>
      </c>
      <c r="B2789" s="3" t="s">
        <v>289</v>
      </c>
      <c r="C2789" s="2" t="s">
        <v>157</v>
      </c>
      <c r="D2789" s="1">
        <v>0</v>
      </c>
      <c r="E2789" s="1">
        <v>0</v>
      </c>
      <c r="F2789" s="1">
        <v>0</v>
      </c>
      <c r="G2789" s="1">
        <v>4</v>
      </c>
      <c r="H2789" s="4">
        <v>0.75</v>
      </c>
      <c r="I2789" s="1">
        <v>4</v>
      </c>
      <c r="J2789" s="4">
        <v>0.5</v>
      </c>
      <c r="K2789" s="1">
        <v>0</v>
      </c>
      <c r="L2789" s="1">
        <v>3</v>
      </c>
      <c r="M2789" s="32">
        <f>IF(Mecze[[#This Row],[PR]]=0,0,Mecze[[#This Row],[PR]]/Mecze[[#This Row],[CZAS]])</f>
        <v>3.0303030303030304E-2</v>
      </c>
      <c r="N2789" s="32">
        <f>IF(Mecze[[#This Row],[OU]]=0,0,Mecze[[#This Row],[OU]]/Mecze[[#This Row],[CZAS]])</f>
        <v>2.0202020202020204E-2</v>
      </c>
      <c r="O2789" s="32">
        <f>IF(Mecze[[#This Row],[PC]]=0,0,Mecze[[#This Row],[PC]]/Mecze[[#This Row],[CZAS]])</f>
        <v>3.0303030303030304E-2</v>
      </c>
      <c r="P2789" s="32">
        <f>IF(Mecze[[#This Row],[SC]]=0,0,Mecze[[#This Row],[SC]]/Mecze[[#This Row],[CZAS]])</f>
        <v>0</v>
      </c>
      <c r="Q2789" s="32">
        <f>IF(Mecze[[#This Row],[OB]]=0,0,Mecze[[#This Row],[OB]]/Mecze[[#This Row],[CZAS]])</f>
        <v>0</v>
      </c>
      <c r="R2789" s="32">
        <f>IF(Mecze[[#This Row],[BR]]=0,0,Mecze[[#This Row],[BR]]/Mecze[[#This Row],[CZAS]])</f>
        <v>0</v>
      </c>
      <c r="S2789" s="44">
        <f>IF(Mecze[[#This Row],[Role]]="BR",SUMPRODUCT(Mecze[[#This Row],[/PR:90]:[/BR:90]],Brudnopis!$E$23:$J$23),0)</f>
        <v>0</v>
      </c>
      <c r="T2789" s="44">
        <f>IF(Mecze[[#This Row],[Role]]&lt;&gt;"BR",SUMPRODUCT(Mecze[[#This Row],[/PR:90]:[/BR:90]],Brudnopis!$E$24:$J$24),0)</f>
        <v>9.0909090909090912E-2</v>
      </c>
      <c r="U2789" s="44">
        <f>IF(Mecze[[#This Row],[Role]]&lt;&gt;"BR",SUMPRODUCT(Mecze[[#This Row],[/PR:90]:[/BR:90]],Brudnopis!$E$25:$J$25),0)</f>
        <v>9.5959595959595967E-2</v>
      </c>
      <c r="V2789" s="44">
        <f>IF(Mecze[[#This Row],[Role]]&lt;&gt;"BR",SUMPRODUCT(Mecze[[#This Row],[/PR:90]:[/BR:90]],Brudnopis!$E$26:$J$26),0)</f>
        <v>8.0808080808080815E-2</v>
      </c>
      <c r="W2789" s="44">
        <f>IF(Mecze[[#This Row],[Role]]&lt;&gt;"BR",SUMPRODUCT(Mecze[[#This Row],[/PR:90]:[/BR:90]],Brudnopis!$E$27:$J$27),0)</f>
        <v>8.3333333333333343E-2</v>
      </c>
      <c r="X2789" s="44">
        <f>IF(Mecze[[#This Row],[Role]]&lt;&gt;"BR",SUMPRODUCT(Mecze[[#This Row],[/PR:90]:[/BR:90]],Brudnopis!$E$28:$J$28),0)</f>
        <v>3.0303030303030304E-2</v>
      </c>
      <c r="Y2789" s="35">
        <f>IF(Mecze[[#This Row],[Role]]="BR",Mecze[[#This Row],[/OB:90]]+Mecze[[#This Row],[/PC:90]],SUM(Mecze[[#This Row],[/PR:90]:[/BR:90]]))</f>
        <v>8.0808080808080815E-2</v>
      </c>
      <c r="Z2789" s="35">
        <f>IF(Mecze[[#This Row],[KC]]=0,SUM(Mecze[[#This Row],[/BRI]:[/NPI]]),SUM(Mecze[[#This Row],[/BRI]:[/NPI]])*0.6)</f>
        <v>0.38131313131313127</v>
      </c>
      <c r="AA2789" s="10">
        <f>IFERROR(Mecze[[#This Row],[BR]]/Mecze[[#This Row],[ST]],0)</f>
        <v>0</v>
      </c>
      <c r="AB2789">
        <f>ROUND(Mecze[[#This Row],[PD]]*Mecze[[#This Row],[%PC]],0)</f>
        <v>3</v>
      </c>
      <c r="AC2789">
        <f>ROUND(Mecze[[#This Row],[OD]]*Mecze[[#This Row],[%OU]],0)</f>
        <v>2</v>
      </c>
      <c r="AD2789" s="36" t="s">
        <v>168</v>
      </c>
      <c r="AE2789" s="36">
        <v>156</v>
      </c>
      <c r="AF2789" s="71">
        <v>2.33</v>
      </c>
      <c r="AG2789" s="37">
        <v>0</v>
      </c>
      <c r="AH2789" s="37">
        <v>0</v>
      </c>
      <c r="AI2789" s="37">
        <v>99</v>
      </c>
      <c r="AJ2789" s="37">
        <v>9</v>
      </c>
      <c r="AK2789" s="37" t="str">
        <f>VLOOKUP(Mecze[[#This Row],[Match ID]],Meczusie[Mecz]:Meczusie[RodzajMeczu],2,FALSE)</f>
        <v>Liga</v>
      </c>
    </row>
    <row r="2790" spans="1:37" x14ac:dyDescent="0.25">
      <c r="A2790" s="76">
        <v>2</v>
      </c>
      <c r="B2790" s="3" t="s">
        <v>290</v>
      </c>
      <c r="C2790" s="2" t="s">
        <v>157</v>
      </c>
      <c r="D2790" s="1">
        <v>1</v>
      </c>
      <c r="E2790" s="1">
        <v>1</v>
      </c>
      <c r="F2790" s="1">
        <v>1</v>
      </c>
      <c r="G2790" s="1">
        <v>15</v>
      </c>
      <c r="H2790" s="4">
        <v>0.73</v>
      </c>
      <c r="I2790" s="1">
        <v>8</v>
      </c>
      <c r="J2790" s="4">
        <v>0.5</v>
      </c>
      <c r="K2790" s="1">
        <v>0</v>
      </c>
      <c r="L2790" s="1">
        <v>9</v>
      </c>
      <c r="M2790" s="32">
        <f>IF(Mecze[[#This Row],[PR]]=0,0,Mecze[[#This Row],[PR]]/Mecze[[#This Row],[CZAS]])</f>
        <v>9.0909090909090912E-2</v>
      </c>
      <c r="N2790" s="32">
        <f>IF(Mecze[[#This Row],[OU]]=0,0,Mecze[[#This Row],[OU]]/Mecze[[#This Row],[CZAS]])</f>
        <v>4.0404040404040407E-2</v>
      </c>
      <c r="O2790" s="32">
        <f>IF(Mecze[[#This Row],[PC]]=0,0,Mecze[[#This Row],[PC]]/Mecze[[#This Row],[CZAS]])</f>
        <v>0.1111111111111111</v>
      </c>
      <c r="P2790" s="32">
        <f>IF(Mecze[[#This Row],[SC]]=0,0,Mecze[[#This Row],[SC]]/Mecze[[#This Row],[CZAS]])</f>
        <v>1.0101010101010102E-2</v>
      </c>
      <c r="Q2790" s="32">
        <f>IF(Mecze[[#This Row],[OB]]=0,0,Mecze[[#This Row],[OB]]/Mecze[[#This Row],[CZAS]])</f>
        <v>0</v>
      </c>
      <c r="R2790" s="32">
        <f>IF(Mecze[[#This Row],[BR]]=0,0,Mecze[[#This Row],[BR]]/Mecze[[#This Row],[CZAS]])</f>
        <v>1.0101010101010102E-2</v>
      </c>
      <c r="S2790" s="44">
        <f>IF(Mecze[[#This Row],[Role]]="BR",SUMPRODUCT(Mecze[[#This Row],[/PR:90]:[/BR:90]],Brudnopis!$E$23:$J$23),0)</f>
        <v>0</v>
      </c>
      <c r="T2790" s="44">
        <f>IF(Mecze[[#This Row],[Role]]&lt;&gt;"BR",SUMPRODUCT(Mecze[[#This Row],[/PR:90]:[/BR:90]],Brudnopis!$E$24:$J$24),0)</f>
        <v>0.2878787878787879</v>
      </c>
      <c r="U2790" s="44">
        <f>IF(Mecze[[#This Row],[Role]]&lt;&gt;"BR",SUMPRODUCT(Mecze[[#This Row],[/PR:90]:[/BR:90]],Brudnopis!$E$25:$J$25),0)</f>
        <v>0.32323232323232326</v>
      </c>
      <c r="V2790" s="44">
        <f>IF(Mecze[[#This Row],[Role]]&lt;&gt;"BR",SUMPRODUCT(Mecze[[#This Row],[/PR:90]:[/BR:90]],Brudnopis!$E$26:$J$26),0)</f>
        <v>0.27272727272727276</v>
      </c>
      <c r="W2790" s="44">
        <f>IF(Mecze[[#This Row],[Role]]&lt;&gt;"BR",SUMPRODUCT(Mecze[[#This Row],[/PR:90]:[/BR:90]],Brudnopis!$E$27:$J$27),0)</f>
        <v>0.29545454545454547</v>
      </c>
      <c r="X2790" s="44">
        <f>IF(Mecze[[#This Row],[Role]]&lt;&gt;"BR",SUMPRODUCT(Mecze[[#This Row],[/PR:90]:[/BR:90]],Brudnopis!$E$28:$J$28),0)</f>
        <v>0.1616161616161616</v>
      </c>
      <c r="Y2790" s="35">
        <f>IF(Mecze[[#This Row],[Role]]="BR",Mecze[[#This Row],[/OB:90]]+Mecze[[#This Row],[/PC:90]],SUM(Mecze[[#This Row],[/PR:90]:[/BR:90]]))</f>
        <v>0.26262626262626265</v>
      </c>
      <c r="Z2790" s="35">
        <f>IF(Mecze[[#This Row],[KC]]=0,SUM(Mecze[[#This Row],[/BRI]:[/NPI]]),SUM(Mecze[[#This Row],[/BRI]:[/NPI]])*0.6)</f>
        <v>1.3409090909090908</v>
      </c>
      <c r="AA2790" s="10">
        <f>IFERROR(Mecze[[#This Row],[BR]]/Mecze[[#This Row],[ST]],0)</f>
        <v>1</v>
      </c>
      <c r="AB2790">
        <f>ROUND(Mecze[[#This Row],[PD]]*Mecze[[#This Row],[%PC]],0)</f>
        <v>11</v>
      </c>
      <c r="AC2790">
        <f>ROUND(Mecze[[#This Row],[OD]]*Mecze[[#This Row],[%OU]],0)</f>
        <v>4</v>
      </c>
      <c r="AD2790" s="36" t="s">
        <v>47</v>
      </c>
      <c r="AE2790" s="36">
        <v>156</v>
      </c>
      <c r="AF2790" s="71">
        <v>3.59</v>
      </c>
      <c r="AG2790" s="37">
        <v>0</v>
      </c>
      <c r="AH2790" s="37">
        <v>0</v>
      </c>
      <c r="AI2790" s="37">
        <v>99</v>
      </c>
      <c r="AJ2790" s="37">
        <v>9</v>
      </c>
      <c r="AK2790" s="37" t="str">
        <f>VLOOKUP(Mecze[[#This Row],[Match ID]],Meczusie[Mecz]:Meczusie[RodzajMeczu],2,FALSE)</f>
        <v>Liga</v>
      </c>
    </row>
    <row r="2791" spans="1:37" x14ac:dyDescent="0.25">
      <c r="A2791" s="76">
        <v>15</v>
      </c>
      <c r="B2791" s="3" t="s">
        <v>430</v>
      </c>
      <c r="C2791" s="2" t="s">
        <v>157</v>
      </c>
      <c r="D2791" s="1">
        <v>0</v>
      </c>
      <c r="E2791" s="1">
        <v>0</v>
      </c>
      <c r="F2791" s="1">
        <v>0</v>
      </c>
      <c r="G2791" s="1">
        <v>8</v>
      </c>
      <c r="H2791" s="4">
        <v>0.5</v>
      </c>
      <c r="I2791" s="1">
        <v>5</v>
      </c>
      <c r="J2791" s="4">
        <v>0.4</v>
      </c>
      <c r="K2791" s="1">
        <v>0</v>
      </c>
      <c r="L2791" s="1">
        <v>6</v>
      </c>
      <c r="M2791" s="32">
        <f>IF(Mecze[[#This Row],[PR]]=0,0,Mecze[[#This Row],[PR]]/Mecze[[#This Row],[CZAS]])</f>
        <v>6.0606060606060608E-2</v>
      </c>
      <c r="N2791" s="32">
        <f>IF(Mecze[[#This Row],[OU]]=0,0,Mecze[[#This Row],[OU]]/Mecze[[#This Row],[CZAS]])</f>
        <v>2.0202020202020204E-2</v>
      </c>
      <c r="O2791" s="32">
        <f>IF(Mecze[[#This Row],[PC]]=0,0,Mecze[[#This Row],[PC]]/Mecze[[#This Row],[CZAS]])</f>
        <v>4.0404040404040407E-2</v>
      </c>
      <c r="P2791" s="32">
        <f>IF(Mecze[[#This Row],[SC]]=0,0,Mecze[[#This Row],[SC]]/Mecze[[#This Row],[CZAS]])</f>
        <v>0</v>
      </c>
      <c r="Q2791" s="32">
        <f>IF(Mecze[[#This Row],[OB]]=0,0,Mecze[[#This Row],[OB]]/Mecze[[#This Row],[CZAS]])</f>
        <v>0</v>
      </c>
      <c r="R2791" s="32">
        <f>IF(Mecze[[#This Row],[BR]]=0,0,Mecze[[#This Row],[BR]]/Mecze[[#This Row],[CZAS]])</f>
        <v>0</v>
      </c>
      <c r="S2791" s="44">
        <f>IF(Mecze[[#This Row],[Role]]="BR",SUMPRODUCT(Mecze[[#This Row],[/PR:90]:[/BR:90]],Brudnopis!$E$23:$J$23),0)</f>
        <v>0</v>
      </c>
      <c r="T2791" s="44">
        <f>IF(Mecze[[#This Row],[Role]]&lt;&gt;"BR",SUMPRODUCT(Mecze[[#This Row],[/PR:90]:[/BR:90]],Brudnopis!$E$24:$J$24),0)</f>
        <v>0.13131313131313133</v>
      </c>
      <c r="U2791" s="44">
        <f>IF(Mecze[[#This Row],[Role]]&lt;&gt;"BR",SUMPRODUCT(Mecze[[#This Row],[/PR:90]:[/BR:90]],Brudnopis!$E$25:$J$25),0)</f>
        <v>0.14141414141414144</v>
      </c>
      <c r="V2791" s="44">
        <f>IF(Mecze[[#This Row],[Role]]&lt;&gt;"BR",SUMPRODUCT(Mecze[[#This Row],[/PR:90]:[/BR:90]],Brudnopis!$E$26:$J$26),0)</f>
        <v>0.12121212121212122</v>
      </c>
      <c r="W2791" s="44">
        <f>IF(Mecze[[#This Row],[Role]]&lt;&gt;"BR",SUMPRODUCT(Mecze[[#This Row],[/PR:90]:[/BR:90]],Brudnopis!$E$27:$J$27),0)</f>
        <v>0.12121212121212122</v>
      </c>
      <c r="X2791" s="44">
        <f>IF(Mecze[[#This Row],[Role]]&lt;&gt;"BR",SUMPRODUCT(Mecze[[#This Row],[/PR:90]:[/BR:90]],Brudnopis!$E$28:$J$28),0)</f>
        <v>4.0404040404040407E-2</v>
      </c>
      <c r="Y2791" s="35">
        <f>IF(Mecze[[#This Row],[Role]]="BR",Mecze[[#This Row],[/OB:90]]+Mecze[[#This Row],[/PC:90]],SUM(Mecze[[#This Row],[/PR:90]:[/BR:90]]))</f>
        <v>0.12121212121212122</v>
      </c>
      <c r="Z2791" s="35">
        <f>IF(Mecze[[#This Row],[KC]]=0,SUM(Mecze[[#This Row],[/BRI]:[/NPI]]),SUM(Mecze[[#This Row],[/BRI]:[/NPI]])*0.6)</f>
        <v>0.55555555555555558</v>
      </c>
      <c r="AA2791" s="10">
        <f>IFERROR(Mecze[[#This Row],[BR]]/Mecze[[#This Row],[ST]],0)</f>
        <v>0</v>
      </c>
      <c r="AB2791">
        <f>ROUND(Mecze[[#This Row],[PD]]*Mecze[[#This Row],[%PC]],0)</f>
        <v>4</v>
      </c>
      <c r="AC2791">
        <f>ROUND(Mecze[[#This Row],[OD]]*Mecze[[#This Row],[%OU]],0)</f>
        <v>2</v>
      </c>
      <c r="AD2791" s="36" t="s">
        <v>167</v>
      </c>
      <c r="AE2791" s="36">
        <v>156</v>
      </c>
      <c r="AF2791" s="71">
        <v>0.73</v>
      </c>
      <c r="AG2791" s="37">
        <v>1</v>
      </c>
      <c r="AH2791" s="37">
        <v>0</v>
      </c>
      <c r="AI2791" s="37">
        <v>99</v>
      </c>
      <c r="AJ2791" s="37">
        <v>9</v>
      </c>
      <c r="AK2791" s="37" t="str">
        <f>VLOOKUP(Mecze[[#This Row],[Match ID]],Meczusie[Mecz]:Meczusie[RodzajMeczu],2,FALSE)</f>
        <v>Liga</v>
      </c>
    </row>
    <row r="2792" spans="1:37" x14ac:dyDescent="0.25">
      <c r="A2792" s="76">
        <v>3</v>
      </c>
      <c r="B2792" s="3" t="s">
        <v>292</v>
      </c>
      <c r="C2792" s="2" t="s">
        <v>160</v>
      </c>
      <c r="D2792" s="1">
        <v>0</v>
      </c>
      <c r="E2792" s="1">
        <v>0</v>
      </c>
      <c r="F2792" s="1">
        <v>0</v>
      </c>
      <c r="G2792" s="1">
        <v>1</v>
      </c>
      <c r="H2792" s="4">
        <v>0</v>
      </c>
      <c r="I2792" s="1">
        <v>5</v>
      </c>
      <c r="J2792" s="4">
        <v>0.6</v>
      </c>
      <c r="K2792" s="1">
        <v>0</v>
      </c>
      <c r="L2792" s="1">
        <v>0</v>
      </c>
      <c r="M2792" s="32">
        <f>IF(Mecze[[#This Row],[PR]]=0,0,Mecze[[#This Row],[PR]]/Mecze[[#This Row],[CZAS]])</f>
        <v>0</v>
      </c>
      <c r="N2792" s="32">
        <f>IF(Mecze[[#This Row],[OU]]=0,0,Mecze[[#This Row],[OU]]/Mecze[[#This Row],[CZAS]])</f>
        <v>3.0303030303030304E-2</v>
      </c>
      <c r="O2792" s="32">
        <f>IF(Mecze[[#This Row],[PC]]=0,0,Mecze[[#This Row],[PC]]/Mecze[[#This Row],[CZAS]])</f>
        <v>0</v>
      </c>
      <c r="P2792" s="32">
        <f>IF(Mecze[[#This Row],[SC]]=0,0,Mecze[[#This Row],[SC]]/Mecze[[#This Row],[CZAS]])</f>
        <v>0</v>
      </c>
      <c r="Q2792" s="32">
        <f>IF(Mecze[[#This Row],[OB]]=0,0,Mecze[[#This Row],[OB]]/Mecze[[#This Row],[CZAS]])</f>
        <v>0</v>
      </c>
      <c r="R2792" s="32">
        <f>IF(Mecze[[#This Row],[BR]]=0,0,Mecze[[#This Row],[BR]]/Mecze[[#This Row],[CZAS]])</f>
        <v>0</v>
      </c>
      <c r="S2792" s="44">
        <f>IF(Mecze[[#This Row],[Role]]="BR",SUMPRODUCT(Mecze[[#This Row],[/PR:90]:[/BR:90]],Brudnopis!$E$23:$J$23),0)</f>
        <v>0</v>
      </c>
      <c r="T2792" s="44">
        <f>IF(Mecze[[#This Row],[Role]]&lt;&gt;"BR",SUMPRODUCT(Mecze[[#This Row],[/PR:90]:[/BR:90]],Brudnopis!$E$24:$J$24),0)</f>
        <v>4.5454545454545456E-2</v>
      </c>
      <c r="U2792" s="44">
        <f>IF(Mecze[[#This Row],[Role]]&lt;&gt;"BR",SUMPRODUCT(Mecze[[#This Row],[/PR:90]:[/BR:90]],Brudnopis!$E$25:$J$25),0)</f>
        <v>3.0303030303030304E-2</v>
      </c>
      <c r="V2792" s="44">
        <f>IF(Mecze[[#This Row],[Role]]&lt;&gt;"BR",SUMPRODUCT(Mecze[[#This Row],[/PR:90]:[/BR:90]],Brudnopis!$E$26:$J$26),0)</f>
        <v>3.0303030303030304E-2</v>
      </c>
      <c r="W2792" s="44">
        <f>IF(Mecze[[#This Row],[Role]]&lt;&gt;"BR",SUMPRODUCT(Mecze[[#This Row],[/PR:90]:[/BR:90]],Brudnopis!$E$27:$J$27),0)</f>
        <v>2.2727272727272728E-2</v>
      </c>
      <c r="X2792" s="44">
        <f>IF(Mecze[[#This Row],[Role]]&lt;&gt;"BR",SUMPRODUCT(Mecze[[#This Row],[/PR:90]:[/BR:90]],Brudnopis!$E$28:$J$28),0)</f>
        <v>0</v>
      </c>
      <c r="Y2792" s="35">
        <f>IF(Mecze[[#This Row],[Role]]="BR",Mecze[[#This Row],[/OB:90]]+Mecze[[#This Row],[/PC:90]],SUM(Mecze[[#This Row],[/PR:90]:[/BR:90]]))</f>
        <v>3.0303030303030304E-2</v>
      </c>
      <c r="Z2792" s="35">
        <f>IF(Mecze[[#This Row],[KC]]=0,SUM(Mecze[[#This Row],[/BRI]:[/NPI]]),SUM(Mecze[[#This Row],[/BRI]:[/NPI]])*0.6)</f>
        <v>0.12878787878787878</v>
      </c>
      <c r="AA2792" s="10">
        <f>IFERROR(Mecze[[#This Row],[BR]]/Mecze[[#This Row],[ST]],0)</f>
        <v>0</v>
      </c>
      <c r="AB2792">
        <f>ROUND(Mecze[[#This Row],[PD]]*Mecze[[#This Row],[%PC]],0)</f>
        <v>0</v>
      </c>
      <c r="AC2792">
        <f>ROUND(Mecze[[#This Row],[OD]]*Mecze[[#This Row],[%OU]],0)</f>
        <v>3</v>
      </c>
      <c r="AD2792" s="36" t="s">
        <v>173</v>
      </c>
      <c r="AE2792" s="36">
        <v>156</v>
      </c>
      <c r="AF2792" s="71">
        <v>2.7</v>
      </c>
      <c r="AG2792" s="37">
        <v>0</v>
      </c>
      <c r="AH2792" s="37">
        <v>0</v>
      </c>
      <c r="AI2792" s="37">
        <v>99</v>
      </c>
      <c r="AJ2792" s="37">
        <v>9</v>
      </c>
      <c r="AK2792" s="37" t="str">
        <f>VLOOKUP(Mecze[[#This Row],[Match ID]],Meczusie[Mecz]:Meczusie[RodzajMeczu],2,FALSE)</f>
        <v>Liga</v>
      </c>
    </row>
    <row r="2793" spans="1:37" x14ac:dyDescent="0.25">
      <c r="A2793" s="76">
        <v>14</v>
      </c>
      <c r="B2793" s="3" t="s">
        <v>293</v>
      </c>
      <c r="C2793" s="2" t="s">
        <v>160</v>
      </c>
      <c r="D2793" s="1">
        <v>0</v>
      </c>
      <c r="E2793" s="1">
        <v>0</v>
      </c>
      <c r="F2793" s="1">
        <v>0</v>
      </c>
      <c r="G2793" s="1">
        <v>3</v>
      </c>
      <c r="H2793" s="4">
        <v>0.67</v>
      </c>
      <c r="I2793" s="1">
        <v>0</v>
      </c>
      <c r="J2793" s="4"/>
      <c r="K2793" s="1">
        <v>0</v>
      </c>
      <c r="L2793" s="1">
        <v>0</v>
      </c>
      <c r="M2793" s="32">
        <f>IF(Mecze[[#This Row],[PR]]=0,0,Mecze[[#This Row],[PR]]/Mecze[[#This Row],[CZAS]])</f>
        <v>0</v>
      </c>
      <c r="N2793" s="32">
        <f>IF(Mecze[[#This Row],[OU]]=0,0,Mecze[[#This Row],[OU]]/Mecze[[#This Row],[CZAS]])</f>
        <v>0</v>
      </c>
      <c r="O2793" s="32">
        <f>IF(Mecze[[#This Row],[PC]]=0,0,Mecze[[#This Row],[PC]]/Mecze[[#This Row],[CZAS]])</f>
        <v>2.0202020202020204E-2</v>
      </c>
      <c r="P2793" s="32">
        <f>IF(Mecze[[#This Row],[SC]]=0,0,Mecze[[#This Row],[SC]]/Mecze[[#This Row],[CZAS]])</f>
        <v>0</v>
      </c>
      <c r="Q2793" s="32">
        <f>IF(Mecze[[#This Row],[OB]]=0,0,Mecze[[#This Row],[OB]]/Mecze[[#This Row],[CZAS]])</f>
        <v>0</v>
      </c>
      <c r="R2793" s="32">
        <f>IF(Mecze[[#This Row],[BR]]=0,0,Mecze[[#This Row],[BR]]/Mecze[[#This Row],[CZAS]])</f>
        <v>0</v>
      </c>
      <c r="S2793" s="44">
        <f>IF(Mecze[[#This Row],[Role]]="BR",SUMPRODUCT(Mecze[[#This Row],[/PR:90]:[/BR:90]],Brudnopis!$E$23:$J$23),0)</f>
        <v>0</v>
      </c>
      <c r="T2793" s="44">
        <f>IF(Mecze[[#This Row],[Role]]&lt;&gt;"BR",SUMPRODUCT(Mecze[[#This Row],[/PR:90]:[/BR:90]],Brudnopis!$E$24:$J$24),0)</f>
        <v>2.0202020202020204E-2</v>
      </c>
      <c r="U2793" s="44">
        <f>IF(Mecze[[#This Row],[Role]]&lt;&gt;"BR",SUMPRODUCT(Mecze[[#This Row],[/PR:90]:[/BR:90]],Brudnopis!$E$25:$J$25),0)</f>
        <v>3.0303030303030304E-2</v>
      </c>
      <c r="V2793" s="44">
        <f>IF(Mecze[[#This Row],[Role]]&lt;&gt;"BR",SUMPRODUCT(Mecze[[#This Row],[/PR:90]:[/BR:90]],Brudnopis!$E$26:$J$26),0)</f>
        <v>2.0202020202020204E-2</v>
      </c>
      <c r="W2793" s="44">
        <f>IF(Mecze[[#This Row],[Role]]&lt;&gt;"BR",SUMPRODUCT(Mecze[[#This Row],[/PR:90]:[/BR:90]],Brudnopis!$E$27:$J$27),0)</f>
        <v>3.0303030303030304E-2</v>
      </c>
      <c r="X2793" s="44">
        <f>IF(Mecze[[#This Row],[Role]]&lt;&gt;"BR",SUMPRODUCT(Mecze[[#This Row],[/PR:90]:[/BR:90]],Brudnopis!$E$28:$J$28),0)</f>
        <v>2.0202020202020204E-2</v>
      </c>
      <c r="Y2793" s="35">
        <f>IF(Mecze[[#This Row],[Role]]="BR",Mecze[[#This Row],[/OB:90]]+Mecze[[#This Row],[/PC:90]],SUM(Mecze[[#This Row],[/PR:90]:[/BR:90]]))</f>
        <v>2.0202020202020204E-2</v>
      </c>
      <c r="Z2793" s="35">
        <f>IF(Mecze[[#This Row],[KC]]=0,SUM(Mecze[[#This Row],[/BRI]:[/NPI]]),SUM(Mecze[[#This Row],[/BRI]:[/NPI]])*0.6)</f>
        <v>0.12121212121212123</v>
      </c>
      <c r="AA2793" s="10">
        <f>IFERROR(Mecze[[#This Row],[BR]]/Mecze[[#This Row],[ST]],0)</f>
        <v>0</v>
      </c>
      <c r="AB2793">
        <f>ROUND(Mecze[[#This Row],[PD]]*Mecze[[#This Row],[%PC]],0)</f>
        <v>2</v>
      </c>
      <c r="AC2793">
        <f>ROUND(Mecze[[#This Row],[OD]]*Mecze[[#This Row],[%OU]],0)</f>
        <v>0</v>
      </c>
      <c r="AD2793" s="36" t="s">
        <v>172</v>
      </c>
      <c r="AE2793" s="36">
        <v>156</v>
      </c>
      <c r="AF2793" s="71">
        <v>2.7</v>
      </c>
      <c r="AG2793" s="37">
        <v>0</v>
      </c>
      <c r="AH2793" s="37">
        <v>0</v>
      </c>
      <c r="AI2793" s="37">
        <v>99</v>
      </c>
      <c r="AJ2793" s="37">
        <v>9</v>
      </c>
      <c r="AK2793" s="37" t="str">
        <f>VLOOKUP(Mecze[[#This Row],[Match ID]],Meczusie[Mecz]:Meczusie[RodzajMeczu],2,FALSE)</f>
        <v>Liga</v>
      </c>
    </row>
    <row r="2794" spans="1:37" x14ac:dyDescent="0.25">
      <c r="A2794" s="76">
        <v>8</v>
      </c>
      <c r="B2794" s="3" t="s">
        <v>294</v>
      </c>
      <c r="C2794" s="2" t="s">
        <v>160</v>
      </c>
      <c r="D2794" s="1">
        <v>0</v>
      </c>
      <c r="E2794" s="1">
        <v>0</v>
      </c>
      <c r="F2794" s="1">
        <v>0</v>
      </c>
      <c r="G2794" s="1">
        <v>21</v>
      </c>
      <c r="H2794" s="4">
        <v>0.86</v>
      </c>
      <c r="I2794" s="1">
        <v>9</v>
      </c>
      <c r="J2794" s="4">
        <v>0.44</v>
      </c>
      <c r="K2794" s="1">
        <v>0</v>
      </c>
      <c r="L2794" s="1">
        <v>7</v>
      </c>
      <c r="M2794" s="32">
        <f>IF(Mecze[[#This Row],[PR]]=0,0,Mecze[[#This Row],[PR]]/Mecze[[#This Row],[CZAS]])</f>
        <v>7.0707070707070704E-2</v>
      </c>
      <c r="N2794" s="32">
        <f>IF(Mecze[[#This Row],[OU]]=0,0,Mecze[[#This Row],[OU]]/Mecze[[#This Row],[CZAS]])</f>
        <v>4.0404040404040407E-2</v>
      </c>
      <c r="O2794" s="32">
        <f>IF(Mecze[[#This Row],[PC]]=0,0,Mecze[[#This Row],[PC]]/Mecze[[#This Row],[CZAS]])</f>
        <v>0.18181818181818182</v>
      </c>
      <c r="P2794" s="32">
        <f>IF(Mecze[[#This Row],[SC]]=0,0,Mecze[[#This Row],[SC]]/Mecze[[#This Row],[CZAS]])</f>
        <v>0</v>
      </c>
      <c r="Q2794" s="32">
        <f>IF(Mecze[[#This Row],[OB]]=0,0,Mecze[[#This Row],[OB]]/Mecze[[#This Row],[CZAS]])</f>
        <v>0</v>
      </c>
      <c r="R2794" s="32">
        <f>IF(Mecze[[#This Row],[BR]]=0,0,Mecze[[#This Row],[BR]]/Mecze[[#This Row],[CZAS]])</f>
        <v>0</v>
      </c>
      <c r="S2794" s="44">
        <f>IF(Mecze[[#This Row],[Role]]="BR",SUMPRODUCT(Mecze[[#This Row],[/PR:90]:[/BR:90]],Brudnopis!$E$23:$J$23),0)</f>
        <v>0</v>
      </c>
      <c r="T2794" s="44">
        <f>IF(Mecze[[#This Row],[Role]]&lt;&gt;"BR",SUMPRODUCT(Mecze[[#This Row],[/PR:90]:[/BR:90]],Brudnopis!$E$24:$J$24),0)</f>
        <v>0.31313131313131315</v>
      </c>
      <c r="U2794" s="44">
        <f>IF(Mecze[[#This Row],[Role]]&lt;&gt;"BR",SUMPRODUCT(Mecze[[#This Row],[/PR:90]:[/BR:90]],Brudnopis!$E$25:$J$25),0)</f>
        <v>0.38383838383838381</v>
      </c>
      <c r="V2794" s="44">
        <f>IF(Mecze[[#This Row],[Role]]&lt;&gt;"BR",SUMPRODUCT(Mecze[[#This Row],[/PR:90]:[/BR:90]],Brudnopis!$E$26:$J$26),0)</f>
        <v>0.29292929292929293</v>
      </c>
      <c r="W2794" s="44">
        <f>IF(Mecze[[#This Row],[Role]]&lt;&gt;"BR",SUMPRODUCT(Mecze[[#This Row],[/PR:90]:[/BR:90]],Brudnopis!$E$27:$J$27),0)</f>
        <v>0.35606060606060602</v>
      </c>
      <c r="X2794" s="44">
        <f>IF(Mecze[[#This Row],[Role]]&lt;&gt;"BR",SUMPRODUCT(Mecze[[#This Row],[/PR:90]:[/BR:90]],Brudnopis!$E$28:$J$28),0)</f>
        <v>0.18181818181818182</v>
      </c>
      <c r="Y2794" s="35">
        <f>IF(Mecze[[#This Row],[Role]]="BR",Mecze[[#This Row],[/OB:90]]+Mecze[[#This Row],[/PC:90]],SUM(Mecze[[#This Row],[/PR:90]:[/BR:90]]))</f>
        <v>0.29292929292929293</v>
      </c>
      <c r="Z2794" s="35">
        <f>IF(Mecze[[#This Row],[KC]]=0,SUM(Mecze[[#This Row],[/BRI]:[/NPI]]),SUM(Mecze[[#This Row],[/BRI]:[/NPI]])*0.6)</f>
        <v>1.5277777777777779</v>
      </c>
      <c r="AA2794" s="10">
        <f>IFERROR(Mecze[[#This Row],[BR]]/Mecze[[#This Row],[ST]],0)</f>
        <v>0</v>
      </c>
      <c r="AB2794">
        <f>ROUND(Mecze[[#This Row],[PD]]*Mecze[[#This Row],[%PC]],0)</f>
        <v>18</v>
      </c>
      <c r="AC2794">
        <f>ROUND(Mecze[[#This Row],[OD]]*Mecze[[#This Row],[%OU]],0)</f>
        <v>4</v>
      </c>
      <c r="AD2794" s="36" t="s">
        <v>67</v>
      </c>
      <c r="AE2794" s="36">
        <v>156</v>
      </c>
      <c r="AF2794" s="71">
        <v>6.29</v>
      </c>
      <c r="AG2794" s="37">
        <v>0</v>
      </c>
      <c r="AH2794" s="37">
        <v>0</v>
      </c>
      <c r="AI2794" s="37">
        <v>99</v>
      </c>
      <c r="AJ2794" s="37">
        <v>9</v>
      </c>
      <c r="AK2794" s="37" t="str">
        <f>VLOOKUP(Mecze[[#This Row],[Match ID]],Meczusie[Mecz]:Meczusie[RodzajMeczu],2,FALSE)</f>
        <v>Liga</v>
      </c>
    </row>
    <row r="2795" spans="1:37" x14ac:dyDescent="0.25">
      <c r="A2795" s="76">
        <v>11</v>
      </c>
      <c r="B2795" s="3" t="s">
        <v>410</v>
      </c>
      <c r="C2795" s="2" t="s">
        <v>160</v>
      </c>
      <c r="D2795" s="1">
        <v>0</v>
      </c>
      <c r="E2795" s="1">
        <v>4</v>
      </c>
      <c r="F2795" s="1">
        <v>1</v>
      </c>
      <c r="G2795" s="1">
        <v>8</v>
      </c>
      <c r="H2795" s="4">
        <v>0.88</v>
      </c>
      <c r="I2795" s="1">
        <v>2</v>
      </c>
      <c r="J2795" s="4">
        <v>0.5</v>
      </c>
      <c r="K2795" s="1">
        <v>0</v>
      </c>
      <c r="L2795" s="1">
        <v>2</v>
      </c>
      <c r="M2795" s="32">
        <f>IF(Mecze[[#This Row],[PR]]=0,0,Mecze[[#This Row],[PR]]/Mecze[[#This Row],[CZAS]])</f>
        <v>2.0202020202020204E-2</v>
      </c>
      <c r="N2795" s="32">
        <f>IF(Mecze[[#This Row],[OU]]=0,0,Mecze[[#This Row],[OU]]/Mecze[[#This Row],[CZAS]])</f>
        <v>1.0101010101010102E-2</v>
      </c>
      <c r="O2795" s="32">
        <f>IF(Mecze[[#This Row],[PC]]=0,0,Mecze[[#This Row],[PC]]/Mecze[[#This Row],[CZAS]])</f>
        <v>7.0707070707070704E-2</v>
      </c>
      <c r="P2795" s="32">
        <f>IF(Mecze[[#This Row],[SC]]=0,0,Mecze[[#This Row],[SC]]/Mecze[[#This Row],[CZAS]])</f>
        <v>1.0101010101010102E-2</v>
      </c>
      <c r="Q2795" s="32">
        <f>IF(Mecze[[#This Row],[OB]]=0,0,Mecze[[#This Row],[OB]]/Mecze[[#This Row],[CZAS]])</f>
        <v>0</v>
      </c>
      <c r="R2795" s="32">
        <f>IF(Mecze[[#This Row],[BR]]=0,0,Mecze[[#This Row],[BR]]/Mecze[[#This Row],[CZAS]])</f>
        <v>0</v>
      </c>
      <c r="S2795" s="44">
        <f>IF(Mecze[[#This Row],[Role]]="BR",SUMPRODUCT(Mecze[[#This Row],[/PR:90]:[/BR:90]],Brudnopis!$E$23:$J$23),0)</f>
        <v>0</v>
      </c>
      <c r="T2795" s="44">
        <f>IF(Mecze[[#This Row],[Role]]&lt;&gt;"BR",SUMPRODUCT(Mecze[[#This Row],[/PR:90]:[/BR:90]],Brudnopis!$E$24:$J$24),0)</f>
        <v>0.11616161616161616</v>
      </c>
      <c r="U2795" s="44">
        <f>IF(Mecze[[#This Row],[Role]]&lt;&gt;"BR",SUMPRODUCT(Mecze[[#This Row],[/PR:90]:[/BR:90]],Brudnopis!$E$25:$J$25),0)</f>
        <v>0.14646464646464646</v>
      </c>
      <c r="V2795" s="44">
        <f>IF(Mecze[[#This Row],[Role]]&lt;&gt;"BR",SUMPRODUCT(Mecze[[#This Row],[/PR:90]:[/BR:90]],Brudnopis!$E$26:$J$26),0)</f>
        <v>0.1111111111111111</v>
      </c>
      <c r="W2795" s="44">
        <f>IF(Mecze[[#This Row],[Role]]&lt;&gt;"BR",SUMPRODUCT(Mecze[[#This Row],[/PR:90]:[/BR:90]],Brudnopis!$E$27:$J$27),0)</f>
        <v>0.1388888888888889</v>
      </c>
      <c r="X2795" s="44">
        <f>IF(Mecze[[#This Row],[Role]]&lt;&gt;"BR",SUMPRODUCT(Mecze[[#This Row],[/PR:90]:[/BR:90]],Brudnopis!$E$28:$J$28),0)</f>
        <v>9.0909090909090912E-2</v>
      </c>
      <c r="Y2795" s="35">
        <f>IF(Mecze[[#This Row],[Role]]="BR",Mecze[[#This Row],[/OB:90]]+Mecze[[#This Row],[/PC:90]],SUM(Mecze[[#This Row],[/PR:90]:[/BR:90]]))</f>
        <v>0.1111111111111111</v>
      </c>
      <c r="Z2795" s="35">
        <f>IF(Mecze[[#This Row],[KC]]=0,SUM(Mecze[[#This Row],[/BRI]:[/NPI]]),SUM(Mecze[[#This Row],[/BRI]:[/NPI]])*0.6)</f>
        <v>0.60353535353535359</v>
      </c>
      <c r="AA2795" s="10">
        <f>IFERROR(Mecze[[#This Row],[BR]]/Mecze[[#This Row],[ST]],0)</f>
        <v>0</v>
      </c>
      <c r="AB2795">
        <f>ROUND(Mecze[[#This Row],[PD]]*Mecze[[#This Row],[%PC]],0)</f>
        <v>7</v>
      </c>
      <c r="AC2795">
        <f>ROUND(Mecze[[#This Row],[OD]]*Mecze[[#This Row],[%OU]],0)</f>
        <v>1</v>
      </c>
      <c r="AD2795" s="36" t="s">
        <v>299</v>
      </c>
      <c r="AE2795" s="36">
        <v>156</v>
      </c>
      <c r="AF2795" s="71">
        <v>5.47</v>
      </c>
      <c r="AG2795" s="37">
        <v>0</v>
      </c>
      <c r="AH2795" s="37">
        <v>0</v>
      </c>
      <c r="AI2795" s="37">
        <v>99</v>
      </c>
      <c r="AJ2795" s="37">
        <v>9</v>
      </c>
      <c r="AK2795" s="37" t="str">
        <f>VLOOKUP(Mecze[[#This Row],[Match ID]],Meczusie[Mecz]:Meczusie[RodzajMeczu],2,FALSE)</f>
        <v>Liga</v>
      </c>
    </row>
    <row r="2796" spans="1:37" x14ac:dyDescent="0.25">
      <c r="A2796" s="76">
        <v>13</v>
      </c>
      <c r="B2796" s="3" t="s">
        <v>295</v>
      </c>
      <c r="C2796" s="2" t="s">
        <v>160</v>
      </c>
      <c r="D2796" s="1">
        <v>0</v>
      </c>
      <c r="E2796" s="1">
        <v>1</v>
      </c>
      <c r="F2796" s="1">
        <v>1</v>
      </c>
      <c r="G2796" s="1">
        <v>6</v>
      </c>
      <c r="H2796" s="4">
        <v>0.83</v>
      </c>
      <c r="I2796" s="1">
        <v>3</v>
      </c>
      <c r="J2796" s="4">
        <v>1</v>
      </c>
      <c r="K2796" s="1">
        <v>0</v>
      </c>
      <c r="L2796" s="1">
        <v>1</v>
      </c>
      <c r="M2796" s="32">
        <f>IF(Mecze[[#This Row],[PR]]=0,0,Mecze[[#This Row],[PR]]/Mecze[[#This Row],[CZAS]])</f>
        <v>1.0101010101010102E-2</v>
      </c>
      <c r="N2796" s="32">
        <f>IF(Mecze[[#This Row],[OU]]=0,0,Mecze[[#This Row],[OU]]/Mecze[[#This Row],[CZAS]])</f>
        <v>3.0303030303030304E-2</v>
      </c>
      <c r="O2796" s="32">
        <f>IF(Mecze[[#This Row],[PC]]=0,0,Mecze[[#This Row],[PC]]/Mecze[[#This Row],[CZAS]])</f>
        <v>5.0505050505050504E-2</v>
      </c>
      <c r="P2796" s="32">
        <f>IF(Mecze[[#This Row],[SC]]=0,0,Mecze[[#This Row],[SC]]/Mecze[[#This Row],[CZAS]])</f>
        <v>1.0101010101010102E-2</v>
      </c>
      <c r="Q2796" s="32">
        <f>IF(Mecze[[#This Row],[OB]]=0,0,Mecze[[#This Row],[OB]]/Mecze[[#This Row],[CZAS]])</f>
        <v>0</v>
      </c>
      <c r="R2796" s="32">
        <f>IF(Mecze[[#This Row],[BR]]=0,0,Mecze[[#This Row],[BR]]/Mecze[[#This Row],[CZAS]])</f>
        <v>0</v>
      </c>
      <c r="S2796" s="44">
        <f>IF(Mecze[[#This Row],[Role]]="BR",SUMPRODUCT(Mecze[[#This Row],[/PR:90]:[/BR:90]],Brudnopis!$E$23:$J$23),0)</f>
        <v>0</v>
      </c>
      <c r="T2796" s="44">
        <f>IF(Mecze[[#This Row],[Role]]&lt;&gt;"BR",SUMPRODUCT(Mecze[[#This Row],[/PR:90]:[/BR:90]],Brudnopis!$E$24:$J$24),0)</f>
        <v>0.11616161616161616</v>
      </c>
      <c r="U2796" s="44">
        <f>IF(Mecze[[#This Row],[Role]]&lt;&gt;"BR",SUMPRODUCT(Mecze[[#This Row],[/PR:90]:[/BR:90]],Brudnopis!$E$25:$J$25),0)</f>
        <v>0.12626262626262627</v>
      </c>
      <c r="V2796" s="44">
        <f>IF(Mecze[[#This Row],[Role]]&lt;&gt;"BR",SUMPRODUCT(Mecze[[#This Row],[/PR:90]:[/BR:90]],Brudnopis!$E$26:$J$26),0)</f>
        <v>0.10101010101010101</v>
      </c>
      <c r="W2796" s="44">
        <f>IF(Mecze[[#This Row],[Role]]&lt;&gt;"BR",SUMPRODUCT(Mecze[[#This Row],[/PR:90]:[/BR:90]],Brudnopis!$E$27:$J$27),0)</f>
        <v>0.11616161616161616</v>
      </c>
      <c r="X2796" s="44">
        <f>IF(Mecze[[#This Row],[Role]]&lt;&gt;"BR",SUMPRODUCT(Mecze[[#This Row],[/PR:90]:[/BR:90]],Brudnopis!$E$28:$J$28),0)</f>
        <v>7.0707070707070704E-2</v>
      </c>
      <c r="Y2796" s="35">
        <f>IF(Mecze[[#This Row],[Role]]="BR",Mecze[[#This Row],[/OB:90]]+Mecze[[#This Row],[/PC:90]],SUM(Mecze[[#This Row],[/PR:90]:[/BR:90]]))</f>
        <v>0.10101010101010101</v>
      </c>
      <c r="Z2796" s="35">
        <f>IF(Mecze[[#This Row],[KC]]=0,SUM(Mecze[[#This Row],[/BRI]:[/NPI]]),SUM(Mecze[[#This Row],[/BRI]:[/NPI]])*0.6)</f>
        <v>0.53030303030303028</v>
      </c>
      <c r="AA2796" s="10">
        <f>IFERROR(Mecze[[#This Row],[BR]]/Mecze[[#This Row],[ST]],0)</f>
        <v>0</v>
      </c>
      <c r="AB2796">
        <f>ROUND(Mecze[[#This Row],[PD]]*Mecze[[#This Row],[%PC]],0)</f>
        <v>5</v>
      </c>
      <c r="AC2796">
        <f>ROUND(Mecze[[#This Row],[OD]]*Mecze[[#This Row],[%OU]],0)</f>
        <v>3</v>
      </c>
      <c r="AD2796" s="36" t="s">
        <v>171</v>
      </c>
      <c r="AE2796" s="36">
        <v>156</v>
      </c>
      <c r="AF2796" s="71">
        <v>5.26</v>
      </c>
      <c r="AG2796" s="37">
        <v>0</v>
      </c>
      <c r="AH2796" s="37">
        <v>0</v>
      </c>
      <c r="AI2796" s="37">
        <v>99</v>
      </c>
      <c r="AJ2796" s="37">
        <v>9</v>
      </c>
      <c r="AK2796" s="37" t="str">
        <f>VLOOKUP(Mecze[[#This Row],[Match ID]],Meczusie[Mecz]:Meczusie[RodzajMeczu],2,FALSE)</f>
        <v>Liga</v>
      </c>
    </row>
    <row r="2797" spans="1:37" x14ac:dyDescent="0.25">
      <c r="A2797" s="76">
        <v>9</v>
      </c>
      <c r="B2797" s="3" t="s">
        <v>296</v>
      </c>
      <c r="C2797" s="2" t="s">
        <v>165</v>
      </c>
      <c r="D2797" s="1">
        <v>0</v>
      </c>
      <c r="E2797" s="1">
        <v>1</v>
      </c>
      <c r="F2797" s="1">
        <v>1</v>
      </c>
      <c r="G2797" s="1">
        <v>6</v>
      </c>
      <c r="H2797" s="4">
        <v>1</v>
      </c>
      <c r="I2797" s="1">
        <v>3</v>
      </c>
      <c r="J2797" s="4">
        <v>0</v>
      </c>
      <c r="K2797" s="1">
        <v>0</v>
      </c>
      <c r="L2797" s="1">
        <v>1</v>
      </c>
      <c r="M2797" s="32">
        <f>IF(Mecze[[#This Row],[PR]]=0,0,Mecze[[#This Row],[PR]]/Mecze[[#This Row],[CZAS]])</f>
        <v>1.0101010101010102E-2</v>
      </c>
      <c r="N2797" s="32">
        <f>IF(Mecze[[#This Row],[OU]]=0,0,Mecze[[#This Row],[OU]]/Mecze[[#This Row],[CZAS]])</f>
        <v>0</v>
      </c>
      <c r="O2797" s="32">
        <f>IF(Mecze[[#This Row],[PC]]=0,0,Mecze[[#This Row],[PC]]/Mecze[[#This Row],[CZAS]])</f>
        <v>6.0606060606060608E-2</v>
      </c>
      <c r="P2797" s="32">
        <f>IF(Mecze[[#This Row],[SC]]=0,0,Mecze[[#This Row],[SC]]/Mecze[[#This Row],[CZAS]])</f>
        <v>1.0101010101010102E-2</v>
      </c>
      <c r="Q2797" s="32">
        <f>IF(Mecze[[#This Row],[OB]]=0,0,Mecze[[#This Row],[OB]]/Mecze[[#This Row],[CZAS]])</f>
        <v>0</v>
      </c>
      <c r="R2797" s="32">
        <f>IF(Mecze[[#This Row],[BR]]=0,0,Mecze[[#This Row],[BR]]/Mecze[[#This Row],[CZAS]])</f>
        <v>0</v>
      </c>
      <c r="S2797" s="44">
        <f>IF(Mecze[[#This Row],[Role]]="BR",SUMPRODUCT(Mecze[[#This Row],[/PR:90]:[/BR:90]],Brudnopis!$E$23:$J$23),0)</f>
        <v>0</v>
      </c>
      <c r="T2797" s="44">
        <f>IF(Mecze[[#This Row],[Role]]&lt;&gt;"BR",SUMPRODUCT(Mecze[[#This Row],[/PR:90]:[/BR:90]],Brudnopis!$E$24:$J$24),0)</f>
        <v>8.0808080808080801E-2</v>
      </c>
      <c r="U2797" s="44">
        <f>IF(Mecze[[#This Row],[Role]]&lt;&gt;"BR",SUMPRODUCT(Mecze[[#This Row],[/PR:90]:[/BR:90]],Brudnopis!$E$25:$J$25),0)</f>
        <v>0.1111111111111111</v>
      </c>
      <c r="V2797" s="44">
        <f>IF(Mecze[[#This Row],[Role]]&lt;&gt;"BR",SUMPRODUCT(Mecze[[#This Row],[/PR:90]:[/BR:90]],Brudnopis!$E$26:$J$26),0)</f>
        <v>8.0808080808080801E-2</v>
      </c>
      <c r="W2797" s="44">
        <f>IF(Mecze[[#This Row],[Role]]&lt;&gt;"BR",SUMPRODUCT(Mecze[[#This Row],[/PR:90]:[/BR:90]],Brudnopis!$E$27:$J$27),0)</f>
        <v>0.10858585858585858</v>
      </c>
      <c r="X2797" s="44">
        <f>IF(Mecze[[#This Row],[Role]]&lt;&gt;"BR",SUMPRODUCT(Mecze[[#This Row],[/PR:90]:[/BR:90]],Brudnopis!$E$28:$J$28),0)</f>
        <v>8.0808080808080815E-2</v>
      </c>
      <c r="Y2797" s="35">
        <f>IF(Mecze[[#This Row],[Role]]="BR",Mecze[[#This Row],[/OB:90]]+Mecze[[#This Row],[/PC:90]],SUM(Mecze[[#This Row],[/PR:90]:[/BR:90]]))</f>
        <v>8.0808080808080801E-2</v>
      </c>
      <c r="Z2797" s="35">
        <f>IF(Mecze[[#This Row],[KC]]=0,SUM(Mecze[[#This Row],[/BRI]:[/NPI]]),SUM(Mecze[[#This Row],[/BRI]:[/NPI]])*0.6)</f>
        <v>0.4621212121212121</v>
      </c>
      <c r="AA2797" s="10">
        <f>IFERROR(Mecze[[#This Row],[BR]]/Mecze[[#This Row],[ST]],0)</f>
        <v>0</v>
      </c>
      <c r="AB2797">
        <f>ROUND(Mecze[[#This Row],[PD]]*Mecze[[#This Row],[%PC]],0)</f>
        <v>6</v>
      </c>
      <c r="AC2797">
        <f>ROUND(Mecze[[#This Row],[OD]]*Mecze[[#This Row],[%OU]],0)</f>
        <v>0</v>
      </c>
      <c r="AD2797" s="36" t="s">
        <v>272</v>
      </c>
      <c r="AE2797" s="36">
        <v>156</v>
      </c>
      <c r="AF2797" s="71">
        <v>6.07</v>
      </c>
      <c r="AG2797" s="37">
        <v>0</v>
      </c>
      <c r="AH2797" s="37">
        <v>0</v>
      </c>
      <c r="AI2797" s="37">
        <v>99</v>
      </c>
      <c r="AJ2797" s="37">
        <v>9</v>
      </c>
      <c r="AK2797" s="37" t="str">
        <f>VLOOKUP(Mecze[[#This Row],[Match ID]],Meczusie[Mecz]:Meczusie[RodzajMeczu],2,FALSE)</f>
        <v>Liga</v>
      </c>
    </row>
    <row r="2798" spans="1:37" x14ac:dyDescent="0.25">
      <c r="A2798" s="76">
        <v>6</v>
      </c>
      <c r="B2798" s="3" t="s">
        <v>297</v>
      </c>
      <c r="C2798" s="2" t="s">
        <v>165</v>
      </c>
      <c r="D2798" s="1">
        <v>2</v>
      </c>
      <c r="E2798" s="1">
        <v>6</v>
      </c>
      <c r="F2798" s="1">
        <v>5</v>
      </c>
      <c r="G2798" s="1">
        <v>11</v>
      </c>
      <c r="H2798" s="4">
        <v>0.73</v>
      </c>
      <c r="I2798" s="1">
        <v>1</v>
      </c>
      <c r="J2798" s="4">
        <v>1</v>
      </c>
      <c r="K2798" s="1">
        <v>0</v>
      </c>
      <c r="L2798" s="1">
        <v>2</v>
      </c>
      <c r="M2798" s="32">
        <f>IF(Mecze[[#This Row],[PR]]=0,0,Mecze[[#This Row],[PR]]/Mecze[[#This Row],[CZAS]])</f>
        <v>2.0202020202020204E-2</v>
      </c>
      <c r="N2798" s="32">
        <f>IF(Mecze[[#This Row],[OU]]=0,0,Mecze[[#This Row],[OU]]/Mecze[[#This Row],[CZAS]])</f>
        <v>1.0101010101010102E-2</v>
      </c>
      <c r="O2798" s="32">
        <f>IF(Mecze[[#This Row],[PC]]=0,0,Mecze[[#This Row],[PC]]/Mecze[[#This Row],[CZAS]])</f>
        <v>8.0808080808080815E-2</v>
      </c>
      <c r="P2798" s="32">
        <f>IF(Mecze[[#This Row],[SC]]=0,0,Mecze[[#This Row],[SC]]/Mecze[[#This Row],[CZAS]])</f>
        <v>5.0505050505050504E-2</v>
      </c>
      <c r="Q2798" s="32">
        <f>IF(Mecze[[#This Row],[OB]]=0,0,Mecze[[#This Row],[OB]]/Mecze[[#This Row],[CZAS]])</f>
        <v>0</v>
      </c>
      <c r="R2798" s="32">
        <f>IF(Mecze[[#This Row],[BR]]=0,0,Mecze[[#This Row],[BR]]/Mecze[[#This Row],[CZAS]])</f>
        <v>2.0202020202020204E-2</v>
      </c>
      <c r="S2798" s="44">
        <f>IF(Mecze[[#This Row],[Role]]="BR",SUMPRODUCT(Mecze[[#This Row],[/PR:90]:[/BR:90]],Brudnopis!$E$23:$J$23),0)</f>
        <v>0</v>
      </c>
      <c r="T2798" s="44">
        <f>IF(Mecze[[#This Row],[Role]]&lt;&gt;"BR",SUMPRODUCT(Mecze[[#This Row],[/PR:90]:[/BR:90]],Brudnopis!$E$24:$J$24),0)</f>
        <v>0.19696969696969699</v>
      </c>
      <c r="U2798" s="44">
        <f>IF(Mecze[[#This Row],[Role]]&lt;&gt;"BR",SUMPRODUCT(Mecze[[#This Row],[/PR:90]:[/BR:90]],Brudnopis!$E$25:$J$25),0)</f>
        <v>0.23232323232323232</v>
      </c>
      <c r="V2798" s="44">
        <f>IF(Mecze[[#This Row],[Role]]&lt;&gt;"BR",SUMPRODUCT(Mecze[[#This Row],[/PR:90]:[/BR:90]],Brudnopis!$E$26:$J$26),0)</f>
        <v>0.20202020202020204</v>
      </c>
      <c r="W2798" s="44">
        <f>IF(Mecze[[#This Row],[Role]]&lt;&gt;"BR",SUMPRODUCT(Mecze[[#This Row],[/PR:90]:[/BR:90]],Brudnopis!$E$27:$J$27),0)</f>
        <v>0.23484848484848486</v>
      </c>
      <c r="X2798" s="44">
        <f>IF(Mecze[[#This Row],[Role]]&lt;&gt;"BR",SUMPRODUCT(Mecze[[#This Row],[/PR:90]:[/BR:90]],Brudnopis!$E$28:$J$28),0)</f>
        <v>0.24242424242424243</v>
      </c>
      <c r="Y2798" s="35">
        <f>IF(Mecze[[#This Row],[Role]]="BR",Mecze[[#This Row],[/OB:90]]+Mecze[[#This Row],[/PC:90]],SUM(Mecze[[#This Row],[/PR:90]:[/BR:90]]))</f>
        <v>0.18181818181818182</v>
      </c>
      <c r="Z2798" s="35">
        <f>IF(Mecze[[#This Row],[KC]]=0,SUM(Mecze[[#This Row],[/BRI]:[/NPI]]),SUM(Mecze[[#This Row],[/BRI]:[/NPI]])*0.6)</f>
        <v>1.1085858585858586</v>
      </c>
      <c r="AA2798" s="10">
        <f>IFERROR(Mecze[[#This Row],[BR]]/Mecze[[#This Row],[ST]],0)</f>
        <v>0.33333333333333331</v>
      </c>
      <c r="AB2798">
        <f>ROUND(Mecze[[#This Row],[PD]]*Mecze[[#This Row],[%PC]],0)</f>
        <v>8</v>
      </c>
      <c r="AC2798">
        <f>ROUND(Mecze[[#This Row],[OD]]*Mecze[[#This Row],[%OU]],0)</f>
        <v>1</v>
      </c>
      <c r="AD2798" s="36" t="s">
        <v>46</v>
      </c>
      <c r="AE2798" s="36">
        <v>156</v>
      </c>
      <c r="AF2798" s="71">
        <v>9.74</v>
      </c>
      <c r="AG2798" s="37">
        <v>0</v>
      </c>
      <c r="AH2798" s="37">
        <v>0</v>
      </c>
      <c r="AI2798" s="37">
        <v>99</v>
      </c>
      <c r="AJ2798" s="37">
        <v>9</v>
      </c>
      <c r="AK2798" s="37" t="str">
        <f>VLOOKUP(Mecze[[#This Row],[Match ID]],Meczusie[Mecz]:Meczusie[RodzajMeczu],2,FALSE)</f>
        <v>Liga</v>
      </c>
    </row>
    <row r="2799" spans="1:37" x14ac:dyDescent="0.25">
      <c r="A2799" s="76">
        <v>102</v>
      </c>
      <c r="B2799" s="3" t="s">
        <v>417</v>
      </c>
      <c r="C2799" s="2" t="s">
        <v>155</v>
      </c>
      <c r="D2799" s="1">
        <v>0</v>
      </c>
      <c r="E2799" s="1">
        <v>0</v>
      </c>
      <c r="F2799" s="1">
        <v>0</v>
      </c>
      <c r="G2799" s="1">
        <v>9</v>
      </c>
      <c r="H2799" s="4">
        <v>0.44</v>
      </c>
      <c r="I2799" s="1">
        <v>0</v>
      </c>
      <c r="J2799" s="4"/>
      <c r="K2799" s="1">
        <v>8</v>
      </c>
      <c r="L2799" s="1">
        <v>0</v>
      </c>
      <c r="M2799" s="32">
        <f>IF(Mecze[[#This Row],[PR]]=0,0,Mecze[[#This Row],[PR]]/Mecze[[#This Row],[CZAS]])</f>
        <v>0</v>
      </c>
      <c r="N2799" s="32">
        <f>IF(Mecze[[#This Row],[OU]]=0,0,Mecze[[#This Row],[OU]]/Mecze[[#This Row],[CZAS]])</f>
        <v>0</v>
      </c>
      <c r="O2799" s="32">
        <f>IF(Mecze[[#This Row],[PC]]=0,0,Mecze[[#This Row],[PC]]/Mecze[[#This Row],[CZAS]])</f>
        <v>4.1237113402061855E-2</v>
      </c>
      <c r="P2799" s="32">
        <f>IF(Mecze[[#This Row],[SC]]=0,0,Mecze[[#This Row],[SC]]/Mecze[[#This Row],[CZAS]])</f>
        <v>0</v>
      </c>
      <c r="Q2799" s="32">
        <f>IF(Mecze[[#This Row],[OB]]=0,0,Mecze[[#This Row],[OB]]/Mecze[[#This Row],[CZAS]])</f>
        <v>8.247422680412371E-2</v>
      </c>
      <c r="R2799" s="32">
        <f>IF(Mecze[[#This Row],[BR]]=0,0,Mecze[[#This Row],[BR]]/Mecze[[#This Row],[CZAS]])</f>
        <v>0</v>
      </c>
      <c r="S2799" s="44">
        <f>IF(Mecze[[#This Row],[Role]]="BR",SUMPRODUCT(Mecze[[#This Row],[/PR:90]:[/BR:90]],Brudnopis!$E$23:$J$23),0)</f>
        <v>0.37113402061855671</v>
      </c>
      <c r="T2799" s="44">
        <f>IF(Mecze[[#This Row],[Role]]&lt;&gt;"BR",SUMPRODUCT(Mecze[[#This Row],[/PR:90]:[/BR:90]],Brudnopis!$E$24:$J$24),0)</f>
        <v>0</v>
      </c>
      <c r="U2799" s="44">
        <f>IF(Mecze[[#This Row],[Role]]&lt;&gt;"BR",SUMPRODUCT(Mecze[[#This Row],[/PR:90]:[/BR:90]],Brudnopis!$E$25:$J$25),0)</f>
        <v>0</v>
      </c>
      <c r="V2799" s="44">
        <f>IF(Mecze[[#This Row],[Role]]&lt;&gt;"BR",SUMPRODUCT(Mecze[[#This Row],[/PR:90]:[/BR:90]],Brudnopis!$E$26:$J$26),0)</f>
        <v>0</v>
      </c>
      <c r="W2799" s="44">
        <f>IF(Mecze[[#This Row],[Role]]&lt;&gt;"BR",SUMPRODUCT(Mecze[[#This Row],[/PR:90]:[/BR:90]],Brudnopis!$E$27:$J$27),0)</f>
        <v>0</v>
      </c>
      <c r="X2799" s="44">
        <f>IF(Mecze[[#This Row],[Role]]&lt;&gt;"BR",SUMPRODUCT(Mecze[[#This Row],[/PR:90]:[/BR:90]],Brudnopis!$E$28:$J$28),0)</f>
        <v>0</v>
      </c>
      <c r="Y2799" s="35">
        <f>IF(Mecze[[#This Row],[Role]]="BR",Mecze[[#This Row],[/OB:90]]+Mecze[[#This Row],[/PC:90]],SUM(Mecze[[#This Row],[/PR:90]:[/BR:90]]))</f>
        <v>0.12371134020618557</v>
      </c>
      <c r="Z2799" s="35">
        <f>IF(Mecze[[#This Row],[KC]]=0,SUM(Mecze[[#This Row],[/BRI]:[/NPI]]),SUM(Mecze[[#This Row],[/BRI]:[/NPI]])*0.6)</f>
        <v>0.37113402061855671</v>
      </c>
      <c r="AA2799" s="10">
        <f>IFERROR(Mecze[[#This Row],[BR]]/Mecze[[#This Row],[ST]],0)</f>
        <v>0</v>
      </c>
      <c r="AB2799">
        <f>ROUND(Mecze[[#This Row],[PD]]*Mecze[[#This Row],[%PC]],0)</f>
        <v>4</v>
      </c>
      <c r="AC2799">
        <f>ROUND(Mecze[[#This Row],[OD]]*Mecze[[#This Row],[%OU]],0)</f>
        <v>0</v>
      </c>
      <c r="AD2799" s="36" t="s">
        <v>40</v>
      </c>
      <c r="AE2799" s="36">
        <v>157</v>
      </c>
      <c r="AF2799" s="71">
        <v>3.38</v>
      </c>
      <c r="AG2799" s="37">
        <v>0</v>
      </c>
      <c r="AH2799" s="37">
        <v>0</v>
      </c>
      <c r="AI2799" s="37">
        <v>97</v>
      </c>
      <c r="AJ2799" s="37">
        <v>6</v>
      </c>
      <c r="AK2799" s="37" t="str">
        <f>VLOOKUP(Mecze[[#This Row],[Match ID]],Meczusie[Mecz]:Meczusie[RodzajMeczu],2,FALSE)</f>
        <v>Liga</v>
      </c>
    </row>
    <row r="2800" spans="1:37" x14ac:dyDescent="0.25">
      <c r="A2800" s="76">
        <v>101</v>
      </c>
      <c r="B2800" s="3" t="s">
        <v>248</v>
      </c>
      <c r="C2800" s="2" t="s">
        <v>157</v>
      </c>
      <c r="D2800" s="1">
        <v>0</v>
      </c>
      <c r="E2800" s="1">
        <v>0</v>
      </c>
      <c r="F2800" s="1">
        <v>0</v>
      </c>
      <c r="G2800" s="1">
        <v>9</v>
      </c>
      <c r="H2800" s="4">
        <v>0.89</v>
      </c>
      <c r="I2800" s="1">
        <v>6</v>
      </c>
      <c r="J2800" s="4">
        <v>1</v>
      </c>
      <c r="K2800" s="1">
        <v>0</v>
      </c>
      <c r="L2800" s="1">
        <v>5</v>
      </c>
      <c r="M2800" s="32">
        <f>IF(Mecze[[#This Row],[PR]]=0,0,Mecze[[#This Row],[PR]]/Mecze[[#This Row],[CZAS]])</f>
        <v>5.1546391752577317E-2</v>
      </c>
      <c r="N2800" s="32">
        <f>IF(Mecze[[#This Row],[OU]]=0,0,Mecze[[#This Row],[OU]]/Mecze[[#This Row],[CZAS]])</f>
        <v>6.1855670103092786E-2</v>
      </c>
      <c r="O2800" s="32">
        <f>IF(Mecze[[#This Row],[PC]]=0,0,Mecze[[#This Row],[PC]]/Mecze[[#This Row],[CZAS]])</f>
        <v>8.247422680412371E-2</v>
      </c>
      <c r="P2800" s="32">
        <f>IF(Mecze[[#This Row],[SC]]=0,0,Mecze[[#This Row],[SC]]/Mecze[[#This Row],[CZAS]])</f>
        <v>0</v>
      </c>
      <c r="Q2800" s="32">
        <f>IF(Mecze[[#This Row],[OB]]=0,0,Mecze[[#This Row],[OB]]/Mecze[[#This Row],[CZAS]])</f>
        <v>0</v>
      </c>
      <c r="R2800" s="32">
        <f>IF(Mecze[[#This Row],[BR]]=0,0,Mecze[[#This Row],[BR]]/Mecze[[#This Row],[CZAS]])</f>
        <v>0</v>
      </c>
      <c r="S2800" s="44">
        <f>IF(Mecze[[#This Row],[Role]]="BR",SUMPRODUCT(Mecze[[#This Row],[/PR:90]:[/BR:90]],Brudnopis!$E$23:$J$23),0)</f>
        <v>0</v>
      </c>
      <c r="T2800" s="44">
        <f>IF(Mecze[[#This Row],[Role]]&lt;&gt;"BR",SUMPRODUCT(Mecze[[#This Row],[/PR:90]:[/BR:90]],Brudnopis!$E$24:$J$24),0)</f>
        <v>0.22680412371134018</v>
      </c>
      <c r="U2800" s="44">
        <f>IF(Mecze[[#This Row],[Role]]&lt;&gt;"BR",SUMPRODUCT(Mecze[[#This Row],[/PR:90]:[/BR:90]],Brudnopis!$E$25:$J$25),0)</f>
        <v>0.23711340206185566</v>
      </c>
      <c r="V2800" s="44">
        <f>IF(Mecze[[#This Row],[Role]]&lt;&gt;"BR",SUMPRODUCT(Mecze[[#This Row],[/PR:90]:[/BR:90]],Brudnopis!$E$26:$J$26),0)</f>
        <v>0.19587628865979381</v>
      </c>
      <c r="W2800" s="44">
        <f>IF(Mecze[[#This Row],[Role]]&lt;&gt;"BR",SUMPRODUCT(Mecze[[#This Row],[/PR:90]:[/BR:90]],Brudnopis!$E$27:$J$27),0)</f>
        <v>0.20876288659793815</v>
      </c>
      <c r="X2800" s="44">
        <f>IF(Mecze[[#This Row],[Role]]&lt;&gt;"BR",SUMPRODUCT(Mecze[[#This Row],[/PR:90]:[/BR:90]],Brudnopis!$E$28:$J$28),0)</f>
        <v>8.247422680412371E-2</v>
      </c>
      <c r="Y2800" s="35">
        <f>IF(Mecze[[#This Row],[Role]]="BR",Mecze[[#This Row],[/OB:90]]+Mecze[[#This Row],[/PC:90]],SUM(Mecze[[#This Row],[/PR:90]:[/BR:90]]))</f>
        <v>0.19587628865979381</v>
      </c>
      <c r="Z2800" s="35">
        <f>IF(Mecze[[#This Row],[KC]]=0,SUM(Mecze[[#This Row],[/BRI]:[/NPI]]),SUM(Mecze[[#This Row],[/BRI]:[/NPI]])*0.6)</f>
        <v>0.95103092783505161</v>
      </c>
      <c r="AA2800" s="10">
        <f>IFERROR(Mecze[[#This Row],[BR]]/Mecze[[#This Row],[ST]],0)</f>
        <v>0</v>
      </c>
      <c r="AB2800">
        <f>ROUND(Mecze[[#This Row],[PD]]*Mecze[[#This Row],[%PC]],0)</f>
        <v>8</v>
      </c>
      <c r="AC2800">
        <f>ROUND(Mecze[[#This Row],[OD]]*Mecze[[#This Row],[%OU]],0)</f>
        <v>6</v>
      </c>
      <c r="AD2800" s="36" t="s">
        <v>47</v>
      </c>
      <c r="AE2800" s="36">
        <v>157</v>
      </c>
      <c r="AF2800" s="71">
        <v>4.78</v>
      </c>
      <c r="AG2800" s="37">
        <v>0</v>
      </c>
      <c r="AH2800" s="37">
        <v>0</v>
      </c>
      <c r="AI2800" s="37">
        <v>97</v>
      </c>
      <c r="AJ2800" s="37">
        <v>6</v>
      </c>
      <c r="AK2800" s="37" t="str">
        <f>VLOOKUP(Mecze[[#This Row],[Match ID]],Meczusie[Mecz]:Meczusie[RodzajMeczu],2,FALSE)</f>
        <v>Liga</v>
      </c>
    </row>
    <row r="2801" spans="1:37" x14ac:dyDescent="0.25">
      <c r="A2801" s="76">
        <v>2</v>
      </c>
      <c r="B2801" s="3" t="s">
        <v>249</v>
      </c>
      <c r="C2801" s="2" t="s">
        <v>157</v>
      </c>
      <c r="D2801" s="1">
        <v>0</v>
      </c>
      <c r="E2801" s="1">
        <v>0</v>
      </c>
      <c r="F2801" s="1">
        <v>0</v>
      </c>
      <c r="G2801" s="1">
        <v>7</v>
      </c>
      <c r="H2801" s="4">
        <v>0.71</v>
      </c>
      <c r="I2801" s="1">
        <v>5</v>
      </c>
      <c r="J2801" s="4">
        <v>0.2</v>
      </c>
      <c r="K2801" s="1">
        <v>0</v>
      </c>
      <c r="L2801" s="1">
        <v>3</v>
      </c>
      <c r="M2801" s="32">
        <f>IF(Mecze[[#This Row],[PR]]=0,0,Mecze[[#This Row],[PR]]/Mecze[[#This Row],[CZAS]])</f>
        <v>3.0927835051546393E-2</v>
      </c>
      <c r="N2801" s="32">
        <f>IF(Mecze[[#This Row],[OU]]=0,0,Mecze[[#This Row],[OU]]/Mecze[[#This Row],[CZAS]])</f>
        <v>1.0309278350515464E-2</v>
      </c>
      <c r="O2801" s="32">
        <f>IF(Mecze[[#This Row],[PC]]=0,0,Mecze[[#This Row],[PC]]/Mecze[[#This Row],[CZAS]])</f>
        <v>5.1546391752577317E-2</v>
      </c>
      <c r="P2801" s="32">
        <f>IF(Mecze[[#This Row],[SC]]=0,0,Mecze[[#This Row],[SC]]/Mecze[[#This Row],[CZAS]])</f>
        <v>0</v>
      </c>
      <c r="Q2801" s="32">
        <f>IF(Mecze[[#This Row],[OB]]=0,0,Mecze[[#This Row],[OB]]/Mecze[[#This Row],[CZAS]])</f>
        <v>0</v>
      </c>
      <c r="R2801" s="32">
        <f>IF(Mecze[[#This Row],[BR]]=0,0,Mecze[[#This Row],[BR]]/Mecze[[#This Row],[CZAS]])</f>
        <v>0</v>
      </c>
      <c r="S2801" s="44">
        <f>IF(Mecze[[#This Row],[Role]]="BR",SUMPRODUCT(Mecze[[#This Row],[/PR:90]:[/BR:90]],Brudnopis!$E$23:$J$23),0)</f>
        <v>0</v>
      </c>
      <c r="T2801" s="44">
        <f>IF(Mecze[[#This Row],[Role]]&lt;&gt;"BR",SUMPRODUCT(Mecze[[#This Row],[/PR:90]:[/BR:90]],Brudnopis!$E$24:$J$24),0)</f>
        <v>9.7938144329896906E-2</v>
      </c>
      <c r="U2801" s="44">
        <f>IF(Mecze[[#This Row],[Role]]&lt;&gt;"BR",SUMPRODUCT(Mecze[[#This Row],[/PR:90]:[/BR:90]],Brudnopis!$E$25:$J$25),0)</f>
        <v>0.11855670103092783</v>
      </c>
      <c r="V2801" s="44">
        <f>IF(Mecze[[#This Row],[Role]]&lt;&gt;"BR",SUMPRODUCT(Mecze[[#This Row],[/PR:90]:[/BR:90]],Brudnopis!$E$26:$J$26),0)</f>
        <v>9.2783505154639179E-2</v>
      </c>
      <c r="W2801" s="44">
        <f>IF(Mecze[[#This Row],[Role]]&lt;&gt;"BR",SUMPRODUCT(Mecze[[#This Row],[/PR:90]:[/BR:90]],Brudnopis!$E$27:$J$27),0)</f>
        <v>0.10824742268041238</v>
      </c>
      <c r="X2801" s="44">
        <f>IF(Mecze[[#This Row],[Role]]&lt;&gt;"BR",SUMPRODUCT(Mecze[[#This Row],[/PR:90]:[/BR:90]],Brudnopis!$E$28:$J$28),0)</f>
        <v>5.1546391752577317E-2</v>
      </c>
      <c r="Y2801" s="35">
        <f>IF(Mecze[[#This Row],[Role]]="BR",Mecze[[#This Row],[/OB:90]]+Mecze[[#This Row],[/PC:90]],SUM(Mecze[[#This Row],[/PR:90]:[/BR:90]]))</f>
        <v>9.2783505154639179E-2</v>
      </c>
      <c r="Z2801" s="35">
        <f>IF(Mecze[[#This Row],[KC]]=0,SUM(Mecze[[#This Row],[/BRI]:[/NPI]]),SUM(Mecze[[#This Row],[/BRI]:[/NPI]])*0.6)</f>
        <v>0.46907216494845361</v>
      </c>
      <c r="AA2801" s="10">
        <f>IFERROR(Mecze[[#This Row],[BR]]/Mecze[[#This Row],[ST]],0)</f>
        <v>0</v>
      </c>
      <c r="AB2801">
        <f>ROUND(Mecze[[#This Row],[PD]]*Mecze[[#This Row],[%PC]],0)</f>
        <v>5</v>
      </c>
      <c r="AC2801">
        <f>ROUND(Mecze[[#This Row],[OD]]*Mecze[[#This Row],[%OU]],0)</f>
        <v>1</v>
      </c>
      <c r="AD2801" s="36" t="s">
        <v>167</v>
      </c>
      <c r="AE2801" s="36">
        <v>157</v>
      </c>
      <c r="AF2801" s="71">
        <v>1.21</v>
      </c>
      <c r="AG2801" s="37">
        <v>0</v>
      </c>
      <c r="AH2801" s="37">
        <v>0</v>
      </c>
      <c r="AI2801" s="37">
        <v>97</v>
      </c>
      <c r="AJ2801" s="37">
        <v>6</v>
      </c>
      <c r="AK2801" s="37" t="str">
        <f>VLOOKUP(Mecze[[#This Row],[Match ID]],Meczusie[Mecz]:Meczusie[RodzajMeczu],2,FALSE)</f>
        <v>Liga</v>
      </c>
    </row>
    <row r="2802" spans="1:37" x14ac:dyDescent="0.25">
      <c r="A2802" s="76">
        <v>7</v>
      </c>
      <c r="B2802" s="3" t="s">
        <v>251</v>
      </c>
      <c r="C2802" s="2" t="s">
        <v>157</v>
      </c>
      <c r="D2802" s="1">
        <v>0</v>
      </c>
      <c r="E2802" s="1">
        <v>0</v>
      </c>
      <c r="F2802" s="1">
        <v>0</v>
      </c>
      <c r="G2802" s="1">
        <v>1</v>
      </c>
      <c r="H2802" s="4">
        <v>1</v>
      </c>
      <c r="I2802" s="1">
        <v>3</v>
      </c>
      <c r="J2802" s="4">
        <v>0.67</v>
      </c>
      <c r="K2802" s="1">
        <v>0</v>
      </c>
      <c r="L2802" s="1">
        <v>2</v>
      </c>
      <c r="M2802" s="32">
        <f>IF(Mecze[[#This Row],[PR]]=0,0,Mecze[[#This Row],[PR]]/Mecze[[#This Row],[CZAS]])</f>
        <v>2.0618556701030927E-2</v>
      </c>
      <c r="N2802" s="32">
        <f>IF(Mecze[[#This Row],[OU]]=0,0,Mecze[[#This Row],[OU]]/Mecze[[#This Row],[CZAS]])</f>
        <v>2.0618556701030927E-2</v>
      </c>
      <c r="O2802" s="32">
        <f>IF(Mecze[[#This Row],[PC]]=0,0,Mecze[[#This Row],[PC]]/Mecze[[#This Row],[CZAS]])</f>
        <v>1.0309278350515464E-2</v>
      </c>
      <c r="P2802" s="32">
        <f>IF(Mecze[[#This Row],[SC]]=0,0,Mecze[[#This Row],[SC]]/Mecze[[#This Row],[CZAS]])</f>
        <v>0</v>
      </c>
      <c r="Q2802" s="32">
        <f>IF(Mecze[[#This Row],[OB]]=0,0,Mecze[[#This Row],[OB]]/Mecze[[#This Row],[CZAS]])</f>
        <v>0</v>
      </c>
      <c r="R2802" s="32">
        <f>IF(Mecze[[#This Row],[BR]]=0,0,Mecze[[#This Row],[BR]]/Mecze[[#This Row],[CZAS]])</f>
        <v>0</v>
      </c>
      <c r="S2802" s="44">
        <f>IF(Mecze[[#This Row],[Role]]="BR",SUMPRODUCT(Mecze[[#This Row],[/PR:90]:[/BR:90]],Brudnopis!$E$23:$J$23),0)</f>
        <v>0</v>
      </c>
      <c r="T2802" s="44">
        <f>IF(Mecze[[#This Row],[Role]]&lt;&gt;"BR",SUMPRODUCT(Mecze[[#This Row],[/PR:90]:[/BR:90]],Brudnopis!$E$24:$J$24),0)</f>
        <v>6.1855670103092779E-2</v>
      </c>
      <c r="U2802" s="44">
        <f>IF(Mecze[[#This Row],[Role]]&lt;&gt;"BR",SUMPRODUCT(Mecze[[#This Row],[/PR:90]:[/BR:90]],Brudnopis!$E$25:$J$25),0)</f>
        <v>5.6701030927835051E-2</v>
      </c>
      <c r="V2802" s="44">
        <f>IF(Mecze[[#This Row],[Role]]&lt;&gt;"BR",SUMPRODUCT(Mecze[[#This Row],[/PR:90]:[/BR:90]],Brudnopis!$E$26:$J$26),0)</f>
        <v>5.1546391752577317E-2</v>
      </c>
      <c r="W2802" s="44">
        <f>IF(Mecze[[#This Row],[Role]]&lt;&gt;"BR",SUMPRODUCT(Mecze[[#This Row],[/PR:90]:[/BR:90]],Brudnopis!$E$27:$J$27),0)</f>
        <v>4.6391752577319589E-2</v>
      </c>
      <c r="X2802" s="44">
        <f>IF(Mecze[[#This Row],[Role]]&lt;&gt;"BR",SUMPRODUCT(Mecze[[#This Row],[/PR:90]:[/BR:90]],Brudnopis!$E$28:$J$28),0)</f>
        <v>1.0309278350515464E-2</v>
      </c>
      <c r="Y2802" s="35">
        <f>IF(Mecze[[#This Row],[Role]]="BR",Mecze[[#This Row],[/OB:90]]+Mecze[[#This Row],[/PC:90]],SUM(Mecze[[#This Row],[/PR:90]:[/BR:90]]))</f>
        <v>5.1546391752577317E-2</v>
      </c>
      <c r="Z2802" s="35">
        <f>IF(Mecze[[#This Row],[KC]]=0,SUM(Mecze[[#This Row],[/BRI]:[/NPI]]),SUM(Mecze[[#This Row],[/BRI]:[/NPI]])*0.6)</f>
        <v>0.22680412371134021</v>
      </c>
      <c r="AA2802" s="10">
        <f>IFERROR(Mecze[[#This Row],[BR]]/Mecze[[#This Row],[ST]],0)</f>
        <v>0</v>
      </c>
      <c r="AB2802">
        <f>ROUND(Mecze[[#This Row],[PD]]*Mecze[[#This Row],[%PC]],0)</f>
        <v>1</v>
      </c>
      <c r="AC2802">
        <f>ROUND(Mecze[[#This Row],[OD]]*Mecze[[#This Row],[%OU]],0)</f>
        <v>2</v>
      </c>
      <c r="AD2802" s="36" t="s">
        <v>168</v>
      </c>
      <c r="AE2802" s="36">
        <v>157</v>
      </c>
      <c r="AF2802" s="71">
        <v>2.12</v>
      </c>
      <c r="AG2802" s="37">
        <v>0</v>
      </c>
      <c r="AH2802" s="37">
        <v>0</v>
      </c>
      <c r="AI2802" s="37">
        <v>97</v>
      </c>
      <c r="AJ2802" s="37">
        <v>6</v>
      </c>
      <c r="AK2802" s="37" t="str">
        <f>VLOOKUP(Mecze[[#This Row],[Match ID]],Meczusie[Mecz]:Meczusie[RodzajMeczu],2,FALSE)</f>
        <v>Liga</v>
      </c>
    </row>
    <row r="2803" spans="1:37" x14ac:dyDescent="0.25">
      <c r="A2803" s="76">
        <v>8</v>
      </c>
      <c r="B2803" s="3" t="s">
        <v>254</v>
      </c>
      <c r="C2803" s="2" t="s">
        <v>160</v>
      </c>
      <c r="D2803" s="1">
        <v>0</v>
      </c>
      <c r="E2803" s="1">
        <v>0</v>
      </c>
      <c r="F2803" s="1">
        <v>0</v>
      </c>
      <c r="G2803" s="1">
        <v>17</v>
      </c>
      <c r="H2803" s="4">
        <v>0.71</v>
      </c>
      <c r="I2803" s="1">
        <v>6</v>
      </c>
      <c r="J2803" s="4">
        <v>0.83</v>
      </c>
      <c r="K2803" s="1">
        <v>0</v>
      </c>
      <c r="L2803" s="1">
        <v>7</v>
      </c>
      <c r="M2803" s="32">
        <f>IF(Mecze[[#This Row],[PR]]=0,0,Mecze[[#This Row],[PR]]/Mecze[[#This Row],[CZAS]])</f>
        <v>7.2164948453608241E-2</v>
      </c>
      <c r="N2803" s="32">
        <f>IF(Mecze[[#This Row],[OU]]=0,0,Mecze[[#This Row],[OU]]/Mecze[[#This Row],[CZAS]])</f>
        <v>5.1546391752577317E-2</v>
      </c>
      <c r="O2803" s="32">
        <f>IF(Mecze[[#This Row],[PC]]=0,0,Mecze[[#This Row],[PC]]/Mecze[[#This Row],[CZAS]])</f>
        <v>0.12371134020618557</v>
      </c>
      <c r="P2803" s="32">
        <f>IF(Mecze[[#This Row],[SC]]=0,0,Mecze[[#This Row],[SC]]/Mecze[[#This Row],[CZAS]])</f>
        <v>0</v>
      </c>
      <c r="Q2803" s="32">
        <f>IF(Mecze[[#This Row],[OB]]=0,0,Mecze[[#This Row],[OB]]/Mecze[[#This Row],[CZAS]])</f>
        <v>0</v>
      </c>
      <c r="R2803" s="32">
        <f>IF(Mecze[[#This Row],[BR]]=0,0,Mecze[[#This Row],[BR]]/Mecze[[#This Row],[CZAS]])</f>
        <v>0</v>
      </c>
      <c r="S2803" s="44">
        <f>IF(Mecze[[#This Row],[Role]]="BR",SUMPRODUCT(Mecze[[#This Row],[/PR:90]:[/BR:90]],Brudnopis!$E$23:$J$23),0)</f>
        <v>0</v>
      </c>
      <c r="T2803" s="44">
        <f>IF(Mecze[[#This Row],[Role]]&lt;&gt;"BR",SUMPRODUCT(Mecze[[#This Row],[/PR:90]:[/BR:90]],Brudnopis!$E$24:$J$24),0)</f>
        <v>0.27319587628865982</v>
      </c>
      <c r="U2803" s="44">
        <f>IF(Mecze[[#This Row],[Role]]&lt;&gt;"BR",SUMPRODUCT(Mecze[[#This Row],[/PR:90]:[/BR:90]],Brudnopis!$E$25:$J$25),0)</f>
        <v>0.30927835051546393</v>
      </c>
      <c r="V2803" s="44">
        <f>IF(Mecze[[#This Row],[Role]]&lt;&gt;"BR",SUMPRODUCT(Mecze[[#This Row],[/PR:90]:[/BR:90]],Brudnopis!$E$26:$J$26),0)</f>
        <v>0.24742268041237114</v>
      </c>
      <c r="W2803" s="44">
        <f>IF(Mecze[[#This Row],[Role]]&lt;&gt;"BR",SUMPRODUCT(Mecze[[#This Row],[/PR:90]:[/BR:90]],Brudnopis!$E$27:$J$27),0)</f>
        <v>0.27835051546391754</v>
      </c>
      <c r="X2803" s="44">
        <f>IF(Mecze[[#This Row],[Role]]&lt;&gt;"BR",SUMPRODUCT(Mecze[[#This Row],[/PR:90]:[/BR:90]],Brudnopis!$E$28:$J$28),0)</f>
        <v>0.12371134020618557</v>
      </c>
      <c r="Y2803" s="35">
        <f>IF(Mecze[[#This Row],[Role]]="BR",Mecze[[#This Row],[/OB:90]]+Mecze[[#This Row],[/PC:90]],SUM(Mecze[[#This Row],[/PR:90]:[/BR:90]]))</f>
        <v>0.24742268041237114</v>
      </c>
      <c r="Z2803" s="35">
        <f>IF(Mecze[[#This Row],[KC]]=0,SUM(Mecze[[#This Row],[/BRI]:[/NPI]]),SUM(Mecze[[#This Row],[/BRI]:[/NPI]])*0.6)</f>
        <v>1.231958762886598</v>
      </c>
      <c r="AA2803" s="10">
        <f>IFERROR(Mecze[[#This Row],[BR]]/Mecze[[#This Row],[ST]],0)</f>
        <v>0</v>
      </c>
      <c r="AB2803">
        <f>ROUND(Mecze[[#This Row],[PD]]*Mecze[[#This Row],[%PC]],0)</f>
        <v>12</v>
      </c>
      <c r="AC2803">
        <f>ROUND(Mecze[[#This Row],[OD]]*Mecze[[#This Row],[%OU]],0)</f>
        <v>5</v>
      </c>
      <c r="AD2803" s="36" t="s">
        <v>41</v>
      </c>
      <c r="AE2803" s="36">
        <v>157</v>
      </c>
      <c r="AF2803" s="71">
        <v>5.38</v>
      </c>
      <c r="AG2803" s="37">
        <v>0</v>
      </c>
      <c r="AH2803" s="37">
        <v>0</v>
      </c>
      <c r="AI2803" s="37">
        <v>97</v>
      </c>
      <c r="AJ2803" s="37">
        <v>6</v>
      </c>
      <c r="AK2803" s="37" t="str">
        <f>VLOOKUP(Mecze[[#This Row],[Match ID]],Meczusie[Mecz]:Meczusie[RodzajMeczu],2,FALSE)</f>
        <v>Liga</v>
      </c>
    </row>
    <row r="2804" spans="1:37" x14ac:dyDescent="0.25">
      <c r="A2804" s="76">
        <v>10</v>
      </c>
      <c r="B2804" s="3" t="s">
        <v>252</v>
      </c>
      <c r="C2804" s="2" t="s">
        <v>160</v>
      </c>
      <c r="D2804" s="1">
        <v>0</v>
      </c>
      <c r="E2804" s="1">
        <v>1</v>
      </c>
      <c r="F2804" s="1">
        <v>0</v>
      </c>
      <c r="G2804" s="1">
        <v>5</v>
      </c>
      <c r="H2804" s="4">
        <v>0.6</v>
      </c>
      <c r="I2804" s="1">
        <v>4</v>
      </c>
      <c r="J2804" s="4">
        <v>0</v>
      </c>
      <c r="K2804" s="1">
        <v>0</v>
      </c>
      <c r="L2804" s="1">
        <v>5</v>
      </c>
      <c r="M2804" s="32">
        <f>IF(Mecze[[#This Row],[PR]]=0,0,Mecze[[#This Row],[PR]]/Mecze[[#This Row],[CZAS]])</f>
        <v>5.1546391752577317E-2</v>
      </c>
      <c r="N2804" s="32">
        <f>IF(Mecze[[#This Row],[OU]]=0,0,Mecze[[#This Row],[OU]]/Mecze[[#This Row],[CZAS]])</f>
        <v>0</v>
      </c>
      <c r="O2804" s="32">
        <f>IF(Mecze[[#This Row],[PC]]=0,0,Mecze[[#This Row],[PC]]/Mecze[[#This Row],[CZAS]])</f>
        <v>3.0927835051546393E-2</v>
      </c>
      <c r="P2804" s="32">
        <f>IF(Mecze[[#This Row],[SC]]=0,0,Mecze[[#This Row],[SC]]/Mecze[[#This Row],[CZAS]])</f>
        <v>0</v>
      </c>
      <c r="Q2804" s="32">
        <f>IF(Mecze[[#This Row],[OB]]=0,0,Mecze[[#This Row],[OB]]/Mecze[[#This Row],[CZAS]])</f>
        <v>0</v>
      </c>
      <c r="R2804" s="32">
        <f>IF(Mecze[[#This Row],[BR]]=0,0,Mecze[[#This Row],[BR]]/Mecze[[#This Row],[CZAS]])</f>
        <v>0</v>
      </c>
      <c r="S2804" s="44">
        <f>IF(Mecze[[#This Row],[Role]]="BR",SUMPRODUCT(Mecze[[#This Row],[/PR:90]:[/BR:90]],Brudnopis!$E$23:$J$23),0)</f>
        <v>0</v>
      </c>
      <c r="T2804" s="44">
        <f>IF(Mecze[[#This Row],[Role]]&lt;&gt;"BR",SUMPRODUCT(Mecze[[#This Row],[/PR:90]:[/BR:90]],Brudnopis!$E$24:$J$24),0)</f>
        <v>8.247422680412371E-2</v>
      </c>
      <c r="U2804" s="44">
        <f>IF(Mecze[[#This Row],[Role]]&lt;&gt;"BR",SUMPRODUCT(Mecze[[#This Row],[/PR:90]:[/BR:90]],Brudnopis!$E$25:$J$25),0)</f>
        <v>9.7938144329896906E-2</v>
      </c>
      <c r="V2804" s="44">
        <f>IF(Mecze[[#This Row],[Role]]&lt;&gt;"BR",SUMPRODUCT(Mecze[[#This Row],[/PR:90]:[/BR:90]],Brudnopis!$E$26:$J$26),0)</f>
        <v>8.247422680412371E-2</v>
      </c>
      <c r="W2804" s="44">
        <f>IF(Mecze[[#This Row],[Role]]&lt;&gt;"BR",SUMPRODUCT(Mecze[[#This Row],[/PR:90]:[/BR:90]],Brudnopis!$E$27:$J$27),0)</f>
        <v>8.505154639175258E-2</v>
      </c>
      <c r="X2804" s="44">
        <f>IF(Mecze[[#This Row],[Role]]&lt;&gt;"BR",SUMPRODUCT(Mecze[[#This Row],[/PR:90]:[/BR:90]],Brudnopis!$E$28:$J$28),0)</f>
        <v>3.0927835051546393E-2</v>
      </c>
      <c r="Y2804" s="35">
        <f>IF(Mecze[[#This Row],[Role]]="BR",Mecze[[#This Row],[/OB:90]]+Mecze[[#This Row],[/PC:90]],SUM(Mecze[[#This Row],[/PR:90]:[/BR:90]]))</f>
        <v>8.247422680412371E-2</v>
      </c>
      <c r="Z2804" s="35">
        <f>IF(Mecze[[#This Row],[KC]]=0,SUM(Mecze[[#This Row],[/BRI]:[/NPI]]),SUM(Mecze[[#This Row],[/BRI]:[/NPI]])*0.6)</f>
        <v>0.37886597938144329</v>
      </c>
      <c r="AA2804" s="10">
        <f>IFERROR(Mecze[[#This Row],[BR]]/Mecze[[#This Row],[ST]],0)</f>
        <v>0</v>
      </c>
      <c r="AB2804">
        <f>ROUND(Mecze[[#This Row],[PD]]*Mecze[[#This Row],[%PC]],0)</f>
        <v>3</v>
      </c>
      <c r="AC2804">
        <f>ROUND(Mecze[[#This Row],[OD]]*Mecze[[#This Row],[%OU]],0)</f>
        <v>0</v>
      </c>
      <c r="AD2804" s="36" t="s">
        <v>318</v>
      </c>
      <c r="AE2804" s="36">
        <v>157</v>
      </c>
      <c r="AF2804" s="71">
        <v>4.96</v>
      </c>
      <c r="AG2804" s="37">
        <v>0</v>
      </c>
      <c r="AH2804" s="37">
        <v>0</v>
      </c>
      <c r="AI2804" s="37">
        <v>97</v>
      </c>
      <c r="AJ2804" s="37">
        <v>6</v>
      </c>
      <c r="AK2804" s="37" t="str">
        <f>VLOOKUP(Mecze[[#This Row],[Match ID]],Meczusie[Mecz]:Meczusie[RodzajMeczu],2,FALSE)</f>
        <v>Liga</v>
      </c>
    </row>
    <row r="2805" spans="1:37" x14ac:dyDescent="0.25">
      <c r="A2805" s="76">
        <v>11</v>
      </c>
      <c r="B2805" s="3" t="s">
        <v>250</v>
      </c>
      <c r="C2805" s="2" t="s">
        <v>160</v>
      </c>
      <c r="D2805" s="1">
        <v>1</v>
      </c>
      <c r="E2805" s="1">
        <v>2</v>
      </c>
      <c r="F2805" s="1">
        <v>2</v>
      </c>
      <c r="G2805" s="1">
        <v>8</v>
      </c>
      <c r="H2805" s="4">
        <v>0.75</v>
      </c>
      <c r="I2805" s="1">
        <v>3</v>
      </c>
      <c r="J2805" s="4">
        <v>1</v>
      </c>
      <c r="K2805" s="1">
        <v>0</v>
      </c>
      <c r="L2805" s="1">
        <v>2</v>
      </c>
      <c r="M2805" s="32">
        <f>IF(Mecze[[#This Row],[PR]]=0,0,Mecze[[#This Row],[PR]]/Mecze[[#This Row],[CZAS]])</f>
        <v>2.7397260273972601E-2</v>
      </c>
      <c r="N2805" s="32">
        <f>IF(Mecze[[#This Row],[OU]]=0,0,Mecze[[#This Row],[OU]]/Mecze[[#This Row],[CZAS]])</f>
        <v>4.1095890410958902E-2</v>
      </c>
      <c r="O2805" s="32">
        <f>IF(Mecze[[#This Row],[PC]]=0,0,Mecze[[#This Row],[PC]]/Mecze[[#This Row],[CZAS]])</f>
        <v>8.2191780821917804E-2</v>
      </c>
      <c r="P2805" s="32">
        <f>IF(Mecze[[#This Row],[SC]]=0,0,Mecze[[#This Row],[SC]]/Mecze[[#This Row],[CZAS]])</f>
        <v>2.7397260273972601E-2</v>
      </c>
      <c r="Q2805" s="32">
        <f>IF(Mecze[[#This Row],[OB]]=0,0,Mecze[[#This Row],[OB]]/Mecze[[#This Row],[CZAS]])</f>
        <v>0</v>
      </c>
      <c r="R2805" s="32">
        <f>IF(Mecze[[#This Row],[BR]]=0,0,Mecze[[#This Row],[BR]]/Mecze[[#This Row],[CZAS]])</f>
        <v>1.3698630136986301E-2</v>
      </c>
      <c r="S2805" s="44">
        <f>IF(Mecze[[#This Row],[Role]]="BR",SUMPRODUCT(Mecze[[#This Row],[/PR:90]:[/BR:90]],Brudnopis!$E$23:$J$23),0)</f>
        <v>0</v>
      </c>
      <c r="T2805" s="44">
        <f>IF(Mecze[[#This Row],[Role]]&lt;&gt;"BR",SUMPRODUCT(Mecze[[#This Row],[/PR:90]:[/BR:90]],Brudnopis!$E$24:$J$24),0)</f>
        <v>0.21917808219178081</v>
      </c>
      <c r="U2805" s="44">
        <f>IF(Mecze[[#This Row],[Role]]&lt;&gt;"BR",SUMPRODUCT(Mecze[[#This Row],[/PR:90]:[/BR:90]],Brudnopis!$E$25:$J$25),0)</f>
        <v>0.23972602739726026</v>
      </c>
      <c r="V2805" s="44">
        <f>IF(Mecze[[#This Row],[Role]]&lt;&gt;"BR",SUMPRODUCT(Mecze[[#This Row],[/PR:90]:[/BR:90]],Brudnopis!$E$26:$J$26),0)</f>
        <v>0.20547945205479451</v>
      </c>
      <c r="W2805" s="44">
        <f>IF(Mecze[[#This Row],[Role]]&lt;&gt;"BR",SUMPRODUCT(Mecze[[#This Row],[/PR:90]:[/BR:90]],Brudnopis!$E$27:$J$27),0)</f>
        <v>0.22945205479452052</v>
      </c>
      <c r="X2805" s="44">
        <f>IF(Mecze[[#This Row],[Role]]&lt;&gt;"BR",SUMPRODUCT(Mecze[[#This Row],[/PR:90]:[/BR:90]],Brudnopis!$E$28:$J$28),0)</f>
        <v>0.17808219178082191</v>
      </c>
      <c r="Y2805" s="35">
        <f>IF(Mecze[[#This Row],[Role]]="BR",Mecze[[#This Row],[/OB:90]]+Mecze[[#This Row],[/PC:90]],SUM(Mecze[[#This Row],[/PR:90]:[/BR:90]]))</f>
        <v>0.19178082191780821</v>
      </c>
      <c r="Z2805" s="35">
        <f>IF(Mecze[[#This Row],[KC]]=0,SUM(Mecze[[#This Row],[/BRI]:[/NPI]]),SUM(Mecze[[#This Row],[/BRI]:[/NPI]])*0.6)</f>
        <v>1.071917808219178</v>
      </c>
      <c r="AA2805" s="10">
        <f>IFERROR(Mecze[[#This Row],[BR]]/Mecze[[#This Row],[ST]],0)</f>
        <v>0.5</v>
      </c>
      <c r="AB2805">
        <f>ROUND(Mecze[[#This Row],[PD]]*Mecze[[#This Row],[%PC]],0)</f>
        <v>6</v>
      </c>
      <c r="AC2805">
        <f>ROUND(Mecze[[#This Row],[OD]]*Mecze[[#This Row],[%OU]],0)</f>
        <v>3</v>
      </c>
      <c r="AD2805" s="36" t="s">
        <v>319</v>
      </c>
      <c r="AE2805" s="36">
        <v>157</v>
      </c>
      <c r="AF2805" s="71">
        <v>6.9</v>
      </c>
      <c r="AG2805" s="37">
        <v>0</v>
      </c>
      <c r="AH2805" s="37">
        <v>0</v>
      </c>
      <c r="AI2805" s="37">
        <v>73</v>
      </c>
      <c r="AJ2805" s="37">
        <v>6</v>
      </c>
      <c r="AK2805" s="37" t="str">
        <f>VLOOKUP(Mecze[[#This Row],[Match ID]],Meczusie[Mecz]:Meczusie[RodzajMeczu],2,FALSE)</f>
        <v>Liga</v>
      </c>
    </row>
    <row r="2806" spans="1:37" x14ac:dyDescent="0.25">
      <c r="A2806" s="76">
        <v>106</v>
      </c>
      <c r="B2806" s="3" t="s">
        <v>424</v>
      </c>
      <c r="C2806" s="2" t="s">
        <v>160</v>
      </c>
      <c r="D2806" s="1">
        <v>0</v>
      </c>
      <c r="E2806" s="1">
        <v>3</v>
      </c>
      <c r="F2806" s="1">
        <v>2</v>
      </c>
      <c r="G2806" s="1">
        <v>11</v>
      </c>
      <c r="H2806" s="4">
        <v>0.73</v>
      </c>
      <c r="I2806" s="1">
        <v>5</v>
      </c>
      <c r="J2806" s="4">
        <v>0.4</v>
      </c>
      <c r="K2806" s="1">
        <v>0</v>
      </c>
      <c r="L2806" s="1">
        <v>2</v>
      </c>
      <c r="M2806" s="32">
        <f>IF(Mecze[[#This Row],[PR]]=0,0,Mecze[[#This Row],[PR]]/Mecze[[#This Row],[CZAS]])</f>
        <v>2.0618556701030927E-2</v>
      </c>
      <c r="N2806" s="32">
        <f>IF(Mecze[[#This Row],[OU]]=0,0,Mecze[[#This Row],[OU]]/Mecze[[#This Row],[CZAS]])</f>
        <v>2.0618556701030927E-2</v>
      </c>
      <c r="O2806" s="32">
        <f>IF(Mecze[[#This Row],[PC]]=0,0,Mecze[[#This Row],[PC]]/Mecze[[#This Row],[CZAS]])</f>
        <v>8.247422680412371E-2</v>
      </c>
      <c r="P2806" s="32">
        <f>IF(Mecze[[#This Row],[SC]]=0,0,Mecze[[#This Row],[SC]]/Mecze[[#This Row],[CZAS]])</f>
        <v>2.0618556701030927E-2</v>
      </c>
      <c r="Q2806" s="32">
        <f>IF(Mecze[[#This Row],[OB]]=0,0,Mecze[[#This Row],[OB]]/Mecze[[#This Row],[CZAS]])</f>
        <v>0</v>
      </c>
      <c r="R2806" s="32">
        <f>IF(Mecze[[#This Row],[BR]]=0,0,Mecze[[#This Row],[BR]]/Mecze[[#This Row],[CZAS]])</f>
        <v>0</v>
      </c>
      <c r="S2806" s="44">
        <f>IF(Mecze[[#This Row],[Role]]="BR",SUMPRODUCT(Mecze[[#This Row],[/PR:90]:[/BR:90]],Brudnopis!$E$23:$J$23),0)</f>
        <v>0</v>
      </c>
      <c r="T2806" s="44">
        <f>IF(Mecze[[#This Row],[Role]]&lt;&gt;"BR",SUMPRODUCT(Mecze[[#This Row],[/PR:90]:[/BR:90]],Brudnopis!$E$24:$J$24),0)</f>
        <v>0.15463917525773196</v>
      </c>
      <c r="U2806" s="44">
        <f>IF(Mecze[[#This Row],[Role]]&lt;&gt;"BR",SUMPRODUCT(Mecze[[#This Row],[/PR:90]:[/BR:90]],Brudnopis!$E$25:$J$25),0)</f>
        <v>0.18556701030927836</v>
      </c>
      <c r="V2806" s="44">
        <f>IF(Mecze[[#This Row],[Role]]&lt;&gt;"BR",SUMPRODUCT(Mecze[[#This Row],[/PR:90]:[/BR:90]],Brudnopis!$E$26:$J$26),0)</f>
        <v>0.14432989690721651</v>
      </c>
      <c r="W2806" s="44">
        <f>IF(Mecze[[#This Row],[Role]]&lt;&gt;"BR",SUMPRODUCT(Mecze[[#This Row],[/PR:90]:[/BR:90]],Brudnopis!$E$27:$J$27),0)</f>
        <v>0.1752577319587629</v>
      </c>
      <c r="X2806" s="44">
        <f>IF(Mecze[[#This Row],[Role]]&lt;&gt;"BR",SUMPRODUCT(Mecze[[#This Row],[/PR:90]:[/BR:90]],Brudnopis!$E$28:$J$28),0)</f>
        <v>0.12371134020618557</v>
      </c>
      <c r="Y2806" s="35">
        <f>IF(Mecze[[#This Row],[Role]]="BR",Mecze[[#This Row],[/OB:90]]+Mecze[[#This Row],[/PC:90]],SUM(Mecze[[#This Row],[/PR:90]:[/BR:90]]))</f>
        <v>0.14432989690721651</v>
      </c>
      <c r="Z2806" s="35">
        <f>IF(Mecze[[#This Row],[KC]]=0,SUM(Mecze[[#This Row],[/BRI]:[/NPI]]),SUM(Mecze[[#This Row],[/BRI]:[/NPI]])*0.6)</f>
        <v>0.78350515463917536</v>
      </c>
      <c r="AA2806" s="10">
        <f>IFERROR(Mecze[[#This Row],[BR]]/Mecze[[#This Row],[ST]],0)</f>
        <v>0</v>
      </c>
      <c r="AB2806">
        <f>ROUND(Mecze[[#This Row],[PD]]*Mecze[[#This Row],[%PC]],0)</f>
        <v>8</v>
      </c>
      <c r="AC2806">
        <f>ROUND(Mecze[[#This Row],[OD]]*Mecze[[#This Row],[%OU]],0)</f>
        <v>2</v>
      </c>
      <c r="AD2806" s="36" t="s">
        <v>44</v>
      </c>
      <c r="AE2806" s="36">
        <v>157</v>
      </c>
      <c r="AF2806" s="71">
        <v>4.79</v>
      </c>
      <c r="AG2806" s="37">
        <v>0</v>
      </c>
      <c r="AH2806" s="37">
        <v>0</v>
      </c>
      <c r="AI2806" s="37">
        <v>97</v>
      </c>
      <c r="AJ2806" s="37">
        <v>6</v>
      </c>
      <c r="AK2806" s="37" t="str">
        <f>VLOOKUP(Mecze[[#This Row],[Match ID]],Meczusie[Mecz]:Meczusie[RodzajMeczu],2,FALSE)</f>
        <v>Liga</v>
      </c>
    </row>
    <row r="2807" spans="1:37" x14ac:dyDescent="0.25">
      <c r="A2807" s="76">
        <v>6</v>
      </c>
      <c r="B2807" s="3" t="s">
        <v>255</v>
      </c>
      <c r="C2807" s="2" t="s">
        <v>165</v>
      </c>
      <c r="D2807" s="1">
        <v>0</v>
      </c>
      <c r="E2807" s="1">
        <v>0</v>
      </c>
      <c r="F2807" s="1">
        <v>0</v>
      </c>
      <c r="G2807" s="1">
        <v>1</v>
      </c>
      <c r="H2807" s="4">
        <v>1</v>
      </c>
      <c r="I2807" s="1">
        <v>1</v>
      </c>
      <c r="J2807" s="4">
        <v>1</v>
      </c>
      <c r="K2807" s="1">
        <v>0</v>
      </c>
      <c r="L2807" s="1">
        <v>0</v>
      </c>
      <c r="M2807" s="32">
        <f>IF(Mecze[[#This Row],[PR]]=0,0,Mecze[[#This Row],[PR]]/Mecze[[#This Row],[CZAS]])</f>
        <v>0</v>
      </c>
      <c r="N2807" s="32">
        <f>IF(Mecze[[#This Row],[OU]]=0,0,Mecze[[#This Row],[OU]]/Mecze[[#This Row],[CZAS]])</f>
        <v>1.0309278350515464E-2</v>
      </c>
      <c r="O2807" s="32">
        <f>IF(Mecze[[#This Row],[PC]]=0,0,Mecze[[#This Row],[PC]]/Mecze[[#This Row],[CZAS]])</f>
        <v>1.0309278350515464E-2</v>
      </c>
      <c r="P2807" s="32">
        <f>IF(Mecze[[#This Row],[SC]]=0,0,Mecze[[#This Row],[SC]]/Mecze[[#This Row],[CZAS]])</f>
        <v>0</v>
      </c>
      <c r="Q2807" s="32">
        <f>IF(Mecze[[#This Row],[OB]]=0,0,Mecze[[#This Row],[OB]]/Mecze[[#This Row],[CZAS]])</f>
        <v>0</v>
      </c>
      <c r="R2807" s="32">
        <f>IF(Mecze[[#This Row],[BR]]=0,0,Mecze[[#This Row],[BR]]/Mecze[[#This Row],[CZAS]])</f>
        <v>0</v>
      </c>
      <c r="S2807" s="44">
        <f>IF(Mecze[[#This Row],[Role]]="BR",SUMPRODUCT(Mecze[[#This Row],[/PR:90]:[/BR:90]],Brudnopis!$E$23:$J$23),0)</f>
        <v>0</v>
      </c>
      <c r="T2807" s="44">
        <f>IF(Mecze[[#This Row],[Role]]&lt;&gt;"BR",SUMPRODUCT(Mecze[[#This Row],[/PR:90]:[/BR:90]],Brudnopis!$E$24:$J$24),0)</f>
        <v>2.5773195876288658E-2</v>
      </c>
      <c r="U2807" s="44">
        <f>IF(Mecze[[#This Row],[Role]]&lt;&gt;"BR",SUMPRODUCT(Mecze[[#This Row],[/PR:90]:[/BR:90]],Brudnopis!$E$25:$J$25),0)</f>
        <v>2.5773195876288658E-2</v>
      </c>
      <c r="V2807" s="44">
        <f>IF(Mecze[[#This Row],[Role]]&lt;&gt;"BR",SUMPRODUCT(Mecze[[#This Row],[/PR:90]:[/BR:90]],Brudnopis!$E$26:$J$26),0)</f>
        <v>2.0618556701030927E-2</v>
      </c>
      <c r="W2807" s="44">
        <f>IF(Mecze[[#This Row],[Role]]&lt;&gt;"BR",SUMPRODUCT(Mecze[[#This Row],[/PR:90]:[/BR:90]],Brudnopis!$E$27:$J$27),0)</f>
        <v>2.3195876288659795E-2</v>
      </c>
      <c r="X2807" s="44">
        <f>IF(Mecze[[#This Row],[Role]]&lt;&gt;"BR",SUMPRODUCT(Mecze[[#This Row],[/PR:90]:[/BR:90]],Brudnopis!$E$28:$J$28),0)</f>
        <v>1.0309278350515464E-2</v>
      </c>
      <c r="Y2807" s="35">
        <f>IF(Mecze[[#This Row],[Role]]="BR",Mecze[[#This Row],[/OB:90]]+Mecze[[#This Row],[/PC:90]],SUM(Mecze[[#This Row],[/PR:90]:[/BR:90]]))</f>
        <v>2.0618556701030927E-2</v>
      </c>
      <c r="Z2807" s="35">
        <f>IF(Mecze[[#This Row],[KC]]=0,SUM(Mecze[[#This Row],[/BRI]:[/NPI]]),SUM(Mecze[[#This Row],[/BRI]:[/NPI]])*0.6)</f>
        <v>0.1056701030927835</v>
      </c>
      <c r="AA2807" s="10">
        <f>IFERROR(Mecze[[#This Row],[BR]]/Mecze[[#This Row],[ST]],0)</f>
        <v>0</v>
      </c>
      <c r="AB2807">
        <f>ROUND(Mecze[[#This Row],[PD]]*Mecze[[#This Row],[%PC]],0)</f>
        <v>1</v>
      </c>
      <c r="AC2807">
        <f>ROUND(Mecze[[#This Row],[OD]]*Mecze[[#This Row],[%OU]],0)</f>
        <v>1</v>
      </c>
      <c r="AD2807" s="36" t="s">
        <v>232</v>
      </c>
      <c r="AE2807" s="36">
        <v>157</v>
      </c>
      <c r="AF2807" s="71">
        <v>2.71</v>
      </c>
      <c r="AG2807" s="37">
        <v>0</v>
      </c>
      <c r="AH2807" s="37">
        <v>0</v>
      </c>
      <c r="AI2807" s="37">
        <v>97</v>
      </c>
      <c r="AJ2807" s="37">
        <v>6</v>
      </c>
      <c r="AK2807" s="37" t="str">
        <f>VLOOKUP(Mecze[[#This Row],[Match ID]],Meczusie[Mecz]:Meczusie[RodzajMeczu],2,FALSE)</f>
        <v>Liga</v>
      </c>
    </row>
    <row r="2808" spans="1:37" x14ac:dyDescent="0.25">
      <c r="A2808" s="76">
        <v>5</v>
      </c>
      <c r="B2808" s="3" t="s">
        <v>256</v>
      </c>
      <c r="C2808" s="2" t="s">
        <v>165</v>
      </c>
      <c r="D2808" s="1">
        <v>2</v>
      </c>
      <c r="E2808" s="1">
        <v>10</v>
      </c>
      <c r="F2808" s="1">
        <v>8</v>
      </c>
      <c r="G2808" s="1">
        <v>9</v>
      </c>
      <c r="H2808" s="4">
        <v>0.89</v>
      </c>
      <c r="I2808" s="1">
        <v>2</v>
      </c>
      <c r="J2808" s="4">
        <v>0.5</v>
      </c>
      <c r="K2808" s="1">
        <v>0</v>
      </c>
      <c r="L2808" s="1">
        <v>1</v>
      </c>
      <c r="M2808" s="32">
        <f>IF(Mecze[[#This Row],[PR]]=0,0,Mecze[[#This Row],[PR]]/Mecze[[#This Row],[CZAS]])</f>
        <v>1.0309278350515464E-2</v>
      </c>
      <c r="N2808" s="32">
        <f>IF(Mecze[[#This Row],[OU]]=0,0,Mecze[[#This Row],[OU]]/Mecze[[#This Row],[CZAS]])</f>
        <v>1.0309278350515464E-2</v>
      </c>
      <c r="O2808" s="32">
        <f>IF(Mecze[[#This Row],[PC]]=0,0,Mecze[[#This Row],[PC]]/Mecze[[#This Row],[CZAS]])</f>
        <v>8.247422680412371E-2</v>
      </c>
      <c r="P2808" s="32">
        <f>IF(Mecze[[#This Row],[SC]]=0,0,Mecze[[#This Row],[SC]]/Mecze[[#This Row],[CZAS]])</f>
        <v>8.247422680412371E-2</v>
      </c>
      <c r="Q2808" s="32">
        <f>IF(Mecze[[#This Row],[OB]]=0,0,Mecze[[#This Row],[OB]]/Mecze[[#This Row],[CZAS]])</f>
        <v>0</v>
      </c>
      <c r="R2808" s="32">
        <f>IF(Mecze[[#This Row],[BR]]=0,0,Mecze[[#This Row],[BR]]/Mecze[[#This Row],[CZAS]])</f>
        <v>2.0618556701030927E-2</v>
      </c>
      <c r="S2808" s="44">
        <f>IF(Mecze[[#This Row],[Role]]="BR",SUMPRODUCT(Mecze[[#This Row],[/PR:90]:[/BR:90]],Brudnopis!$E$23:$J$23),0)</f>
        <v>0</v>
      </c>
      <c r="T2808" s="44">
        <f>IF(Mecze[[#This Row],[Role]]&lt;&gt;"BR",SUMPRODUCT(Mecze[[#This Row],[/PR:90]:[/BR:90]],Brudnopis!$E$24:$J$24),0)</f>
        <v>0.22164948453608246</v>
      </c>
      <c r="U2808" s="44">
        <f>IF(Mecze[[#This Row],[Role]]&lt;&gt;"BR",SUMPRODUCT(Mecze[[#This Row],[/PR:90]:[/BR:90]],Brudnopis!$E$25:$J$25),0)</f>
        <v>0.25773195876288663</v>
      </c>
      <c r="V2808" s="44">
        <f>IF(Mecze[[#This Row],[Role]]&lt;&gt;"BR",SUMPRODUCT(Mecze[[#This Row],[/PR:90]:[/BR:90]],Brudnopis!$E$26:$J$26),0)</f>
        <v>0.22680412371134021</v>
      </c>
      <c r="W2808" s="44">
        <f>IF(Mecze[[#This Row],[Role]]&lt;&gt;"BR",SUMPRODUCT(Mecze[[#This Row],[/PR:90]:[/BR:90]],Brudnopis!$E$27:$J$27),0)</f>
        <v>0.26288659793814434</v>
      </c>
      <c r="X2808" s="44">
        <f>IF(Mecze[[#This Row],[Role]]&lt;&gt;"BR",SUMPRODUCT(Mecze[[#This Row],[/PR:90]:[/BR:90]],Brudnopis!$E$28:$J$28),0)</f>
        <v>0.30927835051546393</v>
      </c>
      <c r="Y2808" s="35">
        <f>IF(Mecze[[#This Row],[Role]]="BR",Mecze[[#This Row],[/OB:90]]+Mecze[[#This Row],[/PC:90]],SUM(Mecze[[#This Row],[/PR:90]:[/BR:90]]))</f>
        <v>0.2061855670103093</v>
      </c>
      <c r="Z2808" s="35">
        <f>IF(Mecze[[#This Row],[KC]]=0,SUM(Mecze[[#This Row],[/BRI]:[/NPI]]),SUM(Mecze[[#This Row],[/BRI]:[/NPI]])*0.6)</f>
        <v>1.2783505154639176</v>
      </c>
      <c r="AA2808" s="10">
        <f>IFERROR(Mecze[[#This Row],[BR]]/Mecze[[#This Row],[ST]],0)</f>
        <v>0.2</v>
      </c>
      <c r="AB2808">
        <f>ROUND(Mecze[[#This Row],[PD]]*Mecze[[#This Row],[%PC]],0)</f>
        <v>8</v>
      </c>
      <c r="AC2808">
        <f>ROUND(Mecze[[#This Row],[OD]]*Mecze[[#This Row],[%OU]],0)</f>
        <v>1</v>
      </c>
      <c r="AD2808" s="36" t="s">
        <v>46</v>
      </c>
      <c r="AE2808" s="36">
        <v>157</v>
      </c>
      <c r="AF2808" s="71">
        <v>11.32</v>
      </c>
      <c r="AG2808" s="37">
        <v>0</v>
      </c>
      <c r="AH2808" s="37">
        <v>0</v>
      </c>
      <c r="AI2808" s="37">
        <v>97</v>
      </c>
      <c r="AJ2808" s="37">
        <v>6</v>
      </c>
      <c r="AK2808" s="37" t="str">
        <f>VLOOKUP(Mecze[[#This Row],[Match ID]],Meczusie[Mecz]:Meczusie[RodzajMeczu],2,FALSE)</f>
        <v>Liga</v>
      </c>
    </row>
    <row r="2809" spans="1:37" x14ac:dyDescent="0.25">
      <c r="A2809" s="76">
        <v>100</v>
      </c>
      <c r="B2809" s="3" t="s">
        <v>257</v>
      </c>
      <c r="C2809" s="2" t="s">
        <v>165</v>
      </c>
      <c r="D2809" s="1">
        <v>0</v>
      </c>
      <c r="E2809" s="1">
        <v>1</v>
      </c>
      <c r="F2809" s="1">
        <v>1</v>
      </c>
      <c r="G2809" s="1">
        <v>5</v>
      </c>
      <c r="H2809" s="4">
        <v>0.4</v>
      </c>
      <c r="I2809" s="1">
        <v>3</v>
      </c>
      <c r="J2809" s="4">
        <v>0.33</v>
      </c>
      <c r="K2809" s="1">
        <v>0</v>
      </c>
      <c r="L2809" s="1">
        <v>1</v>
      </c>
      <c r="M2809" s="32">
        <f>IF(Mecze[[#This Row],[PR]]=0,0,Mecze[[#This Row],[PR]]/Mecze[[#This Row],[CZAS]])</f>
        <v>1.0309278350515464E-2</v>
      </c>
      <c r="N2809" s="32">
        <f>IF(Mecze[[#This Row],[OU]]=0,0,Mecze[[#This Row],[OU]]/Mecze[[#This Row],[CZAS]])</f>
        <v>1.0309278350515464E-2</v>
      </c>
      <c r="O2809" s="32">
        <f>IF(Mecze[[#This Row],[PC]]=0,0,Mecze[[#This Row],[PC]]/Mecze[[#This Row],[CZAS]])</f>
        <v>2.0618556701030927E-2</v>
      </c>
      <c r="P2809" s="32">
        <f>IF(Mecze[[#This Row],[SC]]=0,0,Mecze[[#This Row],[SC]]/Mecze[[#This Row],[CZAS]])</f>
        <v>1.0309278350515464E-2</v>
      </c>
      <c r="Q2809" s="32">
        <f>IF(Mecze[[#This Row],[OB]]=0,0,Mecze[[#This Row],[OB]]/Mecze[[#This Row],[CZAS]])</f>
        <v>0</v>
      </c>
      <c r="R2809" s="32">
        <f>IF(Mecze[[#This Row],[BR]]=0,0,Mecze[[#This Row],[BR]]/Mecze[[#This Row],[CZAS]])</f>
        <v>0</v>
      </c>
      <c r="S2809" s="44">
        <f>IF(Mecze[[#This Row],[Role]]="BR",SUMPRODUCT(Mecze[[#This Row],[/PR:90]:[/BR:90]],Brudnopis!$E$23:$J$23),0)</f>
        <v>0</v>
      </c>
      <c r="T2809" s="44">
        <f>IF(Mecze[[#This Row],[Role]]&lt;&gt;"BR",SUMPRODUCT(Mecze[[#This Row],[/PR:90]:[/BR:90]],Brudnopis!$E$24:$J$24),0)</f>
        <v>5.6701030927835051E-2</v>
      </c>
      <c r="U2809" s="44">
        <f>IF(Mecze[[#This Row],[Role]]&lt;&gt;"BR",SUMPRODUCT(Mecze[[#This Row],[/PR:90]:[/BR:90]],Brudnopis!$E$25:$J$25),0)</f>
        <v>6.1855670103092779E-2</v>
      </c>
      <c r="V2809" s="44">
        <f>IF(Mecze[[#This Row],[Role]]&lt;&gt;"BR",SUMPRODUCT(Mecze[[#This Row],[/PR:90]:[/BR:90]],Brudnopis!$E$26:$J$26),0)</f>
        <v>5.1546391752577317E-2</v>
      </c>
      <c r="W2809" s="44">
        <f>IF(Mecze[[#This Row],[Role]]&lt;&gt;"BR",SUMPRODUCT(Mecze[[#This Row],[/PR:90]:[/BR:90]],Brudnopis!$E$27:$J$27),0)</f>
        <v>5.6701030927835051E-2</v>
      </c>
      <c r="X2809" s="44">
        <f>IF(Mecze[[#This Row],[Role]]&lt;&gt;"BR",SUMPRODUCT(Mecze[[#This Row],[/PR:90]:[/BR:90]],Brudnopis!$E$28:$J$28),0)</f>
        <v>4.1237113402061855E-2</v>
      </c>
      <c r="Y2809" s="35">
        <f>IF(Mecze[[#This Row],[Role]]="BR",Mecze[[#This Row],[/OB:90]]+Mecze[[#This Row],[/PC:90]],SUM(Mecze[[#This Row],[/PR:90]:[/BR:90]]))</f>
        <v>5.1546391752577317E-2</v>
      </c>
      <c r="Z2809" s="35">
        <f>IF(Mecze[[#This Row],[KC]]=0,SUM(Mecze[[#This Row],[/BRI]:[/NPI]]),SUM(Mecze[[#This Row],[/BRI]:[/NPI]])*0.6)</f>
        <v>0.26804123711340205</v>
      </c>
      <c r="AA2809" s="10">
        <f>IFERROR(Mecze[[#This Row],[BR]]/Mecze[[#This Row],[ST]],0)</f>
        <v>0</v>
      </c>
      <c r="AB2809">
        <f>ROUND(Mecze[[#This Row],[PD]]*Mecze[[#This Row],[%PC]],0)</f>
        <v>2</v>
      </c>
      <c r="AC2809">
        <f>ROUND(Mecze[[#This Row],[OD]]*Mecze[[#This Row],[%OU]],0)</f>
        <v>1</v>
      </c>
      <c r="AD2809" s="36" t="s">
        <v>46</v>
      </c>
      <c r="AE2809" s="36">
        <v>157</v>
      </c>
      <c r="AF2809" s="71">
        <v>2.93</v>
      </c>
      <c r="AG2809" s="37">
        <v>0</v>
      </c>
      <c r="AH2809" s="37">
        <v>0</v>
      </c>
      <c r="AI2809" s="37">
        <v>97</v>
      </c>
      <c r="AJ2809" s="37">
        <v>6</v>
      </c>
      <c r="AK2809" s="37" t="str">
        <f>VLOOKUP(Mecze[[#This Row],[Match ID]],Meczusie[Mecz]:Meczusie[RodzajMeczu],2,FALSE)</f>
        <v>Liga</v>
      </c>
    </row>
    <row r="2810" spans="1:37" x14ac:dyDescent="0.25">
      <c r="A2810" s="76">
        <v>9</v>
      </c>
      <c r="B2810" s="3" t="s">
        <v>258</v>
      </c>
      <c r="C2810" s="2" t="s">
        <v>160</v>
      </c>
      <c r="D2810" s="1">
        <v>0</v>
      </c>
      <c r="E2810" s="1">
        <v>0</v>
      </c>
      <c r="F2810" s="1">
        <v>0</v>
      </c>
      <c r="G2810" s="1">
        <v>1</v>
      </c>
      <c r="H2810" s="4">
        <v>1</v>
      </c>
      <c r="I2810" s="1">
        <v>2</v>
      </c>
      <c r="J2810" s="4">
        <v>0.5</v>
      </c>
      <c r="K2810" s="1">
        <v>0</v>
      </c>
      <c r="L2810" s="1">
        <v>0</v>
      </c>
      <c r="M2810" s="32">
        <f>IF(Mecze[[#This Row],[PR]]=0,0,Mecze[[#This Row],[PR]]/Mecze[[#This Row],[CZAS]])</f>
        <v>0</v>
      </c>
      <c r="N2810" s="32">
        <f>IF(Mecze[[#This Row],[OU]]=0,0,Mecze[[#This Row],[OU]]/Mecze[[#This Row],[CZAS]])</f>
        <v>4.1666666666666664E-2</v>
      </c>
      <c r="O2810" s="32">
        <f>IF(Mecze[[#This Row],[PC]]=0,0,Mecze[[#This Row],[PC]]/Mecze[[#This Row],[CZAS]])</f>
        <v>4.1666666666666664E-2</v>
      </c>
      <c r="P2810" s="32">
        <f>IF(Mecze[[#This Row],[SC]]=0,0,Mecze[[#This Row],[SC]]/Mecze[[#This Row],[CZAS]])</f>
        <v>0</v>
      </c>
      <c r="Q2810" s="32">
        <f>IF(Mecze[[#This Row],[OB]]=0,0,Mecze[[#This Row],[OB]]/Mecze[[#This Row],[CZAS]])</f>
        <v>0</v>
      </c>
      <c r="R2810" s="32">
        <f>IF(Mecze[[#This Row],[BR]]=0,0,Mecze[[#This Row],[BR]]/Mecze[[#This Row],[CZAS]])</f>
        <v>0</v>
      </c>
      <c r="S2810" s="44">
        <f>IF(Mecze[[#This Row],[Role]]="BR",SUMPRODUCT(Mecze[[#This Row],[/PR:90]:[/BR:90]],Brudnopis!$E$23:$J$23),0)</f>
        <v>0</v>
      </c>
      <c r="T2810" s="44">
        <f>IF(Mecze[[#This Row],[Role]]&lt;&gt;"BR",SUMPRODUCT(Mecze[[#This Row],[/PR:90]:[/BR:90]],Brudnopis!$E$24:$J$24),0)</f>
        <v>0.10416666666666666</v>
      </c>
      <c r="U2810" s="44">
        <f>IF(Mecze[[#This Row],[Role]]&lt;&gt;"BR",SUMPRODUCT(Mecze[[#This Row],[/PR:90]:[/BR:90]],Brudnopis!$E$25:$J$25),0)</f>
        <v>0.10416666666666666</v>
      </c>
      <c r="V2810" s="44">
        <f>IF(Mecze[[#This Row],[Role]]&lt;&gt;"BR",SUMPRODUCT(Mecze[[#This Row],[/PR:90]:[/BR:90]],Brudnopis!$E$26:$J$26),0)</f>
        <v>8.3333333333333329E-2</v>
      </c>
      <c r="W2810" s="44">
        <f>IF(Mecze[[#This Row],[Role]]&lt;&gt;"BR",SUMPRODUCT(Mecze[[#This Row],[/PR:90]:[/BR:90]],Brudnopis!$E$27:$J$27),0)</f>
        <v>9.375E-2</v>
      </c>
      <c r="X2810" s="44">
        <f>IF(Mecze[[#This Row],[Role]]&lt;&gt;"BR",SUMPRODUCT(Mecze[[#This Row],[/PR:90]:[/BR:90]],Brudnopis!$E$28:$J$28),0)</f>
        <v>4.1666666666666664E-2</v>
      </c>
      <c r="Y2810" s="35">
        <f>IF(Mecze[[#This Row],[Role]]="BR",Mecze[[#This Row],[/OB:90]]+Mecze[[#This Row],[/PC:90]],SUM(Mecze[[#This Row],[/PR:90]:[/BR:90]]))</f>
        <v>8.3333333333333329E-2</v>
      </c>
      <c r="Z2810" s="35">
        <f>IF(Mecze[[#This Row],[KC]]=0,SUM(Mecze[[#This Row],[/BRI]:[/NPI]]),SUM(Mecze[[#This Row],[/BRI]:[/NPI]])*0.6)</f>
        <v>0.42708333333333331</v>
      </c>
      <c r="AA2810" s="10">
        <f>IFERROR(Mecze[[#This Row],[BR]]/Mecze[[#This Row],[ST]],0)</f>
        <v>0</v>
      </c>
      <c r="AB2810">
        <f>ROUND(Mecze[[#This Row],[PD]]*Mecze[[#This Row],[%PC]],0)</f>
        <v>1</v>
      </c>
      <c r="AC2810">
        <f>ROUND(Mecze[[#This Row],[OD]]*Mecze[[#This Row],[%OU]],0)</f>
        <v>1</v>
      </c>
      <c r="AD2810" s="36" t="s">
        <v>319</v>
      </c>
      <c r="AE2810" s="36">
        <v>157</v>
      </c>
      <c r="AF2810" s="71">
        <v>0.5</v>
      </c>
      <c r="AG2810" s="37">
        <v>0</v>
      </c>
      <c r="AH2810" s="37">
        <v>0</v>
      </c>
      <c r="AI2810" s="37">
        <v>24</v>
      </c>
      <c r="AJ2810" s="37">
        <v>6</v>
      </c>
      <c r="AK2810" s="37" t="str">
        <f>VLOOKUP(Mecze[[#This Row],[Match ID]],Meczusie[Mecz]:Meczusie[RodzajMeczu],2,FALSE)</f>
        <v>Liga</v>
      </c>
    </row>
    <row r="2811" spans="1:37" x14ac:dyDescent="0.25">
      <c r="A2811" s="76">
        <v>1</v>
      </c>
      <c r="B2811" s="3" t="s">
        <v>304</v>
      </c>
      <c r="C2811" s="2" t="s">
        <v>155</v>
      </c>
      <c r="D2811" s="1">
        <v>0</v>
      </c>
      <c r="E2811" s="1">
        <v>0</v>
      </c>
      <c r="F2811" s="1">
        <v>0</v>
      </c>
      <c r="G2811" s="1">
        <v>13</v>
      </c>
      <c r="H2811" s="4">
        <v>0.38</v>
      </c>
      <c r="I2811" s="1">
        <v>0</v>
      </c>
      <c r="J2811" s="4"/>
      <c r="K2811" s="1">
        <v>12</v>
      </c>
      <c r="L2811" s="1">
        <v>0</v>
      </c>
      <c r="M2811" s="32">
        <f>IF(Mecze[[#This Row],[PR]]=0,0,Mecze[[#This Row],[PR]]/Mecze[[#This Row],[CZAS]])</f>
        <v>0</v>
      </c>
      <c r="N2811" s="32">
        <f>IF(Mecze[[#This Row],[OU]]=0,0,Mecze[[#This Row],[OU]]/Mecze[[#This Row],[CZAS]])</f>
        <v>0</v>
      </c>
      <c r="O2811" s="32">
        <f>IF(Mecze[[#This Row],[PC]]=0,0,Mecze[[#This Row],[PC]]/Mecze[[#This Row],[CZAS]])</f>
        <v>5.1546391752577317E-2</v>
      </c>
      <c r="P2811" s="32">
        <f>IF(Mecze[[#This Row],[SC]]=0,0,Mecze[[#This Row],[SC]]/Mecze[[#This Row],[CZAS]])</f>
        <v>0</v>
      </c>
      <c r="Q2811" s="32">
        <f>IF(Mecze[[#This Row],[OB]]=0,0,Mecze[[#This Row],[OB]]/Mecze[[#This Row],[CZAS]])</f>
        <v>0.12371134020618557</v>
      </c>
      <c r="R2811" s="32">
        <f>IF(Mecze[[#This Row],[BR]]=0,0,Mecze[[#This Row],[BR]]/Mecze[[#This Row],[CZAS]])</f>
        <v>0</v>
      </c>
      <c r="S2811" s="44">
        <f>IF(Mecze[[#This Row],[Role]]="BR",SUMPRODUCT(Mecze[[#This Row],[/PR:90]:[/BR:90]],Brudnopis!$E$23:$J$23),0)</f>
        <v>0.52577319587628868</v>
      </c>
      <c r="T2811" s="44">
        <f>IF(Mecze[[#This Row],[Role]]&lt;&gt;"BR",SUMPRODUCT(Mecze[[#This Row],[/PR:90]:[/BR:90]],Brudnopis!$E$24:$J$24),0)</f>
        <v>0</v>
      </c>
      <c r="U2811" s="44">
        <f>IF(Mecze[[#This Row],[Role]]&lt;&gt;"BR",SUMPRODUCT(Mecze[[#This Row],[/PR:90]:[/BR:90]],Brudnopis!$E$25:$J$25),0)</f>
        <v>0</v>
      </c>
      <c r="V2811" s="44">
        <f>IF(Mecze[[#This Row],[Role]]&lt;&gt;"BR",SUMPRODUCT(Mecze[[#This Row],[/PR:90]:[/BR:90]],Brudnopis!$E$26:$J$26),0)</f>
        <v>0</v>
      </c>
      <c r="W2811" s="44">
        <f>IF(Mecze[[#This Row],[Role]]&lt;&gt;"BR",SUMPRODUCT(Mecze[[#This Row],[/PR:90]:[/BR:90]],Brudnopis!$E$27:$J$27),0)</f>
        <v>0</v>
      </c>
      <c r="X2811" s="44">
        <f>IF(Mecze[[#This Row],[Role]]&lt;&gt;"BR",SUMPRODUCT(Mecze[[#This Row],[/PR:90]:[/BR:90]],Brudnopis!$E$28:$J$28),0)</f>
        <v>0</v>
      </c>
      <c r="Y2811" s="35">
        <f>IF(Mecze[[#This Row],[Role]]="BR",Mecze[[#This Row],[/OB:90]]+Mecze[[#This Row],[/PC:90]],SUM(Mecze[[#This Row],[/PR:90]:[/BR:90]]))</f>
        <v>0.17525773195876287</v>
      </c>
      <c r="Z2811" s="35">
        <f>IF(Mecze[[#This Row],[KC]]=0,SUM(Mecze[[#This Row],[/BRI]:[/NPI]]),SUM(Mecze[[#This Row],[/BRI]:[/NPI]])*0.6)</f>
        <v>0.52577319587628868</v>
      </c>
      <c r="AA2811" s="10">
        <f>IFERROR(Mecze[[#This Row],[BR]]/Mecze[[#This Row],[ST]],0)</f>
        <v>0</v>
      </c>
      <c r="AB2811">
        <f>ROUND(Mecze[[#This Row],[PD]]*Mecze[[#This Row],[%PC]],0)</f>
        <v>5</v>
      </c>
      <c r="AC2811">
        <f>ROUND(Mecze[[#This Row],[OD]]*Mecze[[#This Row],[%OU]],0)</f>
        <v>0</v>
      </c>
      <c r="AD2811" s="36" t="s">
        <v>40</v>
      </c>
      <c r="AE2811" s="36">
        <v>157</v>
      </c>
      <c r="AF2811" s="71">
        <v>7.01</v>
      </c>
      <c r="AG2811" s="37">
        <v>0</v>
      </c>
      <c r="AH2811" s="37">
        <v>0</v>
      </c>
      <c r="AI2811" s="37">
        <v>97</v>
      </c>
      <c r="AJ2811" s="37">
        <v>8</v>
      </c>
      <c r="AK2811" s="37" t="str">
        <f>VLOOKUP(Mecze[[#This Row],[Match ID]],Meczusie[Mecz]:Meczusie[RodzajMeczu],2,FALSE)</f>
        <v>Liga</v>
      </c>
    </row>
    <row r="2812" spans="1:37" x14ac:dyDescent="0.25">
      <c r="A2812" s="76">
        <v>5</v>
      </c>
      <c r="B2812" s="3" t="s">
        <v>305</v>
      </c>
      <c r="C2812" s="2" t="s">
        <v>157</v>
      </c>
      <c r="D2812" s="1">
        <v>0</v>
      </c>
      <c r="E2812" s="1">
        <v>0</v>
      </c>
      <c r="F2812" s="1">
        <v>0</v>
      </c>
      <c r="G2812" s="1">
        <v>8</v>
      </c>
      <c r="H2812" s="4">
        <v>0.75</v>
      </c>
      <c r="I2812" s="1">
        <v>3</v>
      </c>
      <c r="J2812" s="4">
        <v>0.33</v>
      </c>
      <c r="K2812" s="1">
        <v>0</v>
      </c>
      <c r="L2812" s="1">
        <v>4</v>
      </c>
      <c r="M2812" s="32">
        <f>IF(Mecze[[#This Row],[PR]]=0,0,Mecze[[#This Row],[PR]]/Mecze[[#This Row],[CZAS]])</f>
        <v>4.1237113402061855E-2</v>
      </c>
      <c r="N2812" s="32">
        <f>IF(Mecze[[#This Row],[OU]]=0,0,Mecze[[#This Row],[OU]]/Mecze[[#This Row],[CZAS]])</f>
        <v>1.0309278350515464E-2</v>
      </c>
      <c r="O2812" s="32">
        <f>IF(Mecze[[#This Row],[PC]]=0,0,Mecze[[#This Row],[PC]]/Mecze[[#This Row],[CZAS]])</f>
        <v>6.1855670103092786E-2</v>
      </c>
      <c r="P2812" s="32">
        <f>IF(Mecze[[#This Row],[SC]]=0,0,Mecze[[#This Row],[SC]]/Mecze[[#This Row],[CZAS]])</f>
        <v>0</v>
      </c>
      <c r="Q2812" s="32">
        <f>IF(Mecze[[#This Row],[OB]]=0,0,Mecze[[#This Row],[OB]]/Mecze[[#This Row],[CZAS]])</f>
        <v>0</v>
      </c>
      <c r="R2812" s="32">
        <f>IF(Mecze[[#This Row],[BR]]=0,0,Mecze[[#This Row],[BR]]/Mecze[[#This Row],[CZAS]])</f>
        <v>0</v>
      </c>
      <c r="S2812" s="44">
        <f>IF(Mecze[[#This Row],[Role]]="BR",SUMPRODUCT(Mecze[[#This Row],[/PR:90]:[/BR:90]],Brudnopis!$E$23:$J$23),0)</f>
        <v>0</v>
      </c>
      <c r="T2812" s="44">
        <f>IF(Mecze[[#This Row],[Role]]&lt;&gt;"BR",SUMPRODUCT(Mecze[[#This Row],[/PR:90]:[/BR:90]],Brudnopis!$E$24:$J$24),0)</f>
        <v>0.11855670103092783</v>
      </c>
      <c r="U2812" s="44">
        <f>IF(Mecze[[#This Row],[Role]]&lt;&gt;"BR",SUMPRODUCT(Mecze[[#This Row],[/PR:90]:[/BR:90]],Brudnopis!$E$25:$J$25),0)</f>
        <v>0.14432989690721648</v>
      </c>
      <c r="V2812" s="44">
        <f>IF(Mecze[[#This Row],[Role]]&lt;&gt;"BR",SUMPRODUCT(Mecze[[#This Row],[/PR:90]:[/BR:90]],Brudnopis!$E$26:$J$26),0)</f>
        <v>0.1134020618556701</v>
      </c>
      <c r="W2812" s="44">
        <f>IF(Mecze[[#This Row],[Role]]&lt;&gt;"BR",SUMPRODUCT(Mecze[[#This Row],[/PR:90]:[/BR:90]],Brudnopis!$E$27:$J$27),0)</f>
        <v>0.13144329896907217</v>
      </c>
      <c r="X2812" s="44">
        <f>IF(Mecze[[#This Row],[Role]]&lt;&gt;"BR",SUMPRODUCT(Mecze[[#This Row],[/PR:90]:[/BR:90]],Brudnopis!$E$28:$J$28),0)</f>
        <v>6.1855670103092786E-2</v>
      </c>
      <c r="Y2812" s="35">
        <f>IF(Mecze[[#This Row],[Role]]="BR",Mecze[[#This Row],[/OB:90]]+Mecze[[#This Row],[/PC:90]],SUM(Mecze[[#This Row],[/PR:90]:[/BR:90]]))</f>
        <v>0.1134020618556701</v>
      </c>
      <c r="Z2812" s="35">
        <f>IF(Mecze[[#This Row],[KC]]=0,SUM(Mecze[[#This Row],[/BRI]:[/NPI]]),SUM(Mecze[[#This Row],[/BRI]:[/NPI]])*0.6)</f>
        <v>0.56958762886597936</v>
      </c>
      <c r="AA2812" s="10">
        <f>IFERROR(Mecze[[#This Row],[BR]]/Mecze[[#This Row],[ST]],0)</f>
        <v>0</v>
      </c>
      <c r="AB2812">
        <f>ROUND(Mecze[[#This Row],[PD]]*Mecze[[#This Row],[%PC]],0)</f>
        <v>6</v>
      </c>
      <c r="AC2812">
        <f>ROUND(Mecze[[#This Row],[OD]]*Mecze[[#This Row],[%OU]],0)</f>
        <v>1</v>
      </c>
      <c r="AD2812" s="36" t="s">
        <v>47</v>
      </c>
      <c r="AE2812" s="36">
        <v>157</v>
      </c>
      <c r="AF2812" s="71">
        <v>3.65</v>
      </c>
      <c r="AG2812" s="37">
        <v>0</v>
      </c>
      <c r="AH2812" s="37">
        <v>0</v>
      </c>
      <c r="AI2812" s="37">
        <v>97</v>
      </c>
      <c r="AJ2812" s="37">
        <v>8</v>
      </c>
      <c r="AK2812" s="37" t="str">
        <f>VLOOKUP(Mecze[[#This Row],[Match ID]],Meczusie[Mecz]:Meczusie[RodzajMeczu],2,FALSE)</f>
        <v>Liga</v>
      </c>
    </row>
    <row r="2813" spans="1:37" x14ac:dyDescent="0.25">
      <c r="A2813" s="76">
        <v>6</v>
      </c>
      <c r="B2813" s="3" t="s">
        <v>308</v>
      </c>
      <c r="C2813" s="2" t="s">
        <v>157</v>
      </c>
      <c r="D2813" s="1">
        <v>0</v>
      </c>
      <c r="E2813" s="1">
        <v>0</v>
      </c>
      <c r="F2813" s="1">
        <v>0</v>
      </c>
      <c r="G2813" s="1">
        <v>8</v>
      </c>
      <c r="H2813" s="4">
        <v>0.63</v>
      </c>
      <c r="I2813" s="1">
        <v>5</v>
      </c>
      <c r="J2813" s="4">
        <v>0.8</v>
      </c>
      <c r="K2813" s="1">
        <v>0</v>
      </c>
      <c r="L2813" s="1">
        <v>3</v>
      </c>
      <c r="M2813" s="32">
        <f>IF(Mecze[[#This Row],[PR]]=0,0,Mecze[[#This Row],[PR]]/Mecze[[#This Row],[CZAS]])</f>
        <v>4.0540540540540543E-2</v>
      </c>
      <c r="N2813" s="32">
        <f>IF(Mecze[[#This Row],[OU]]=0,0,Mecze[[#This Row],[OU]]/Mecze[[#This Row],[CZAS]])</f>
        <v>5.4054054054054057E-2</v>
      </c>
      <c r="O2813" s="32">
        <f>IF(Mecze[[#This Row],[PC]]=0,0,Mecze[[#This Row],[PC]]/Mecze[[#This Row],[CZAS]])</f>
        <v>6.7567567567567571E-2</v>
      </c>
      <c r="P2813" s="32">
        <f>IF(Mecze[[#This Row],[SC]]=0,0,Mecze[[#This Row],[SC]]/Mecze[[#This Row],[CZAS]])</f>
        <v>0</v>
      </c>
      <c r="Q2813" s="32">
        <f>IF(Mecze[[#This Row],[OB]]=0,0,Mecze[[#This Row],[OB]]/Mecze[[#This Row],[CZAS]])</f>
        <v>0</v>
      </c>
      <c r="R2813" s="32">
        <f>IF(Mecze[[#This Row],[BR]]=0,0,Mecze[[#This Row],[BR]]/Mecze[[#This Row],[CZAS]])</f>
        <v>0</v>
      </c>
      <c r="S2813" s="44">
        <f>IF(Mecze[[#This Row],[Role]]="BR",SUMPRODUCT(Mecze[[#This Row],[/PR:90]:[/BR:90]],Brudnopis!$E$23:$J$23),0)</f>
        <v>0</v>
      </c>
      <c r="T2813" s="44">
        <f>IF(Mecze[[#This Row],[Role]]&lt;&gt;"BR",SUMPRODUCT(Mecze[[#This Row],[/PR:90]:[/BR:90]],Brudnopis!$E$24:$J$24),0)</f>
        <v>0.1891891891891892</v>
      </c>
      <c r="U2813" s="44">
        <f>IF(Mecze[[#This Row],[Role]]&lt;&gt;"BR",SUMPRODUCT(Mecze[[#This Row],[/PR:90]:[/BR:90]],Brudnopis!$E$25:$J$25),0)</f>
        <v>0.19594594594594594</v>
      </c>
      <c r="V2813" s="44">
        <f>IF(Mecze[[#This Row],[Role]]&lt;&gt;"BR",SUMPRODUCT(Mecze[[#This Row],[/PR:90]:[/BR:90]],Brudnopis!$E$26:$J$26),0)</f>
        <v>0.16216216216216217</v>
      </c>
      <c r="W2813" s="44">
        <f>IF(Mecze[[#This Row],[Role]]&lt;&gt;"BR",SUMPRODUCT(Mecze[[#This Row],[/PR:90]:[/BR:90]],Brudnopis!$E$27:$J$27),0)</f>
        <v>0.17229729729729731</v>
      </c>
      <c r="X2813" s="44">
        <f>IF(Mecze[[#This Row],[Role]]&lt;&gt;"BR",SUMPRODUCT(Mecze[[#This Row],[/PR:90]:[/BR:90]],Brudnopis!$E$28:$J$28),0)</f>
        <v>6.7567567567567571E-2</v>
      </c>
      <c r="Y2813" s="35">
        <f>IF(Mecze[[#This Row],[Role]]="BR",Mecze[[#This Row],[/OB:90]]+Mecze[[#This Row],[/PC:90]],SUM(Mecze[[#This Row],[/PR:90]:[/BR:90]]))</f>
        <v>0.16216216216216217</v>
      </c>
      <c r="Z2813" s="35">
        <f>IF(Mecze[[#This Row],[KC]]=0,SUM(Mecze[[#This Row],[/BRI]:[/NPI]]),SUM(Mecze[[#This Row],[/BRI]:[/NPI]])*0.6)</f>
        <v>0.78716216216216228</v>
      </c>
      <c r="AA2813" s="10">
        <f>IFERROR(Mecze[[#This Row],[BR]]/Mecze[[#This Row],[ST]],0)</f>
        <v>0</v>
      </c>
      <c r="AB2813">
        <f>ROUND(Mecze[[#This Row],[PD]]*Mecze[[#This Row],[%PC]],0)</f>
        <v>5</v>
      </c>
      <c r="AC2813">
        <f>ROUND(Mecze[[#This Row],[OD]]*Mecze[[#This Row],[%OU]],0)</f>
        <v>4</v>
      </c>
      <c r="AD2813" s="36" t="s">
        <v>47</v>
      </c>
      <c r="AE2813" s="36">
        <v>157</v>
      </c>
      <c r="AF2813" s="71">
        <v>5.76</v>
      </c>
      <c r="AG2813" s="37">
        <v>0</v>
      </c>
      <c r="AH2813" s="37">
        <v>0</v>
      </c>
      <c r="AI2813" s="37">
        <v>74</v>
      </c>
      <c r="AJ2813" s="37">
        <v>8</v>
      </c>
      <c r="AK2813" s="37" t="str">
        <f>VLOOKUP(Mecze[[#This Row],[Match ID]],Meczusie[Mecz]:Meczusie[RodzajMeczu],2,FALSE)</f>
        <v>Liga</v>
      </c>
    </row>
    <row r="2814" spans="1:37" x14ac:dyDescent="0.25">
      <c r="A2814" s="76">
        <v>73</v>
      </c>
      <c r="B2814" s="3" t="s">
        <v>431</v>
      </c>
      <c r="C2814" s="2" t="s">
        <v>157</v>
      </c>
      <c r="D2814" s="1">
        <v>0</v>
      </c>
      <c r="E2814" s="1">
        <v>0</v>
      </c>
      <c r="F2814" s="1">
        <v>0</v>
      </c>
      <c r="G2814" s="1">
        <v>5</v>
      </c>
      <c r="H2814" s="4">
        <v>0.4</v>
      </c>
      <c r="I2814" s="1">
        <v>4</v>
      </c>
      <c r="J2814" s="4">
        <v>0.25</v>
      </c>
      <c r="K2814" s="1">
        <v>0</v>
      </c>
      <c r="L2814" s="1">
        <v>2</v>
      </c>
      <c r="M2814" s="32">
        <f>IF(Mecze[[#This Row],[PR]]=0,0,Mecze[[#This Row],[PR]]/Mecze[[#This Row],[CZAS]])</f>
        <v>2.0618556701030927E-2</v>
      </c>
      <c r="N2814" s="32">
        <f>IF(Mecze[[#This Row],[OU]]=0,0,Mecze[[#This Row],[OU]]/Mecze[[#This Row],[CZAS]])</f>
        <v>1.0309278350515464E-2</v>
      </c>
      <c r="O2814" s="32">
        <f>IF(Mecze[[#This Row],[PC]]=0,0,Mecze[[#This Row],[PC]]/Mecze[[#This Row],[CZAS]])</f>
        <v>2.0618556701030927E-2</v>
      </c>
      <c r="P2814" s="32">
        <f>IF(Mecze[[#This Row],[SC]]=0,0,Mecze[[#This Row],[SC]]/Mecze[[#This Row],[CZAS]])</f>
        <v>0</v>
      </c>
      <c r="Q2814" s="32">
        <f>IF(Mecze[[#This Row],[OB]]=0,0,Mecze[[#This Row],[OB]]/Mecze[[#This Row],[CZAS]])</f>
        <v>0</v>
      </c>
      <c r="R2814" s="32">
        <f>IF(Mecze[[#This Row],[BR]]=0,0,Mecze[[#This Row],[BR]]/Mecze[[#This Row],[CZAS]])</f>
        <v>0</v>
      </c>
      <c r="S2814" s="44">
        <f>IF(Mecze[[#This Row],[Role]]="BR",SUMPRODUCT(Mecze[[#This Row],[/PR:90]:[/BR:90]],Brudnopis!$E$23:$J$23),0)</f>
        <v>0</v>
      </c>
      <c r="T2814" s="44">
        <f>IF(Mecze[[#This Row],[Role]]&lt;&gt;"BR",SUMPRODUCT(Mecze[[#This Row],[/PR:90]:[/BR:90]],Brudnopis!$E$24:$J$24),0)</f>
        <v>5.6701030927835044E-2</v>
      </c>
      <c r="U2814" s="44">
        <f>IF(Mecze[[#This Row],[Role]]&lt;&gt;"BR",SUMPRODUCT(Mecze[[#This Row],[/PR:90]:[/BR:90]],Brudnopis!$E$25:$J$25),0)</f>
        <v>6.1855670103092786E-2</v>
      </c>
      <c r="V2814" s="44">
        <f>IF(Mecze[[#This Row],[Role]]&lt;&gt;"BR",SUMPRODUCT(Mecze[[#This Row],[/PR:90]:[/BR:90]],Brudnopis!$E$26:$J$26),0)</f>
        <v>5.1546391752577317E-2</v>
      </c>
      <c r="W2814" s="44">
        <f>IF(Mecze[[#This Row],[Role]]&lt;&gt;"BR",SUMPRODUCT(Mecze[[#This Row],[/PR:90]:[/BR:90]],Brudnopis!$E$27:$J$27),0)</f>
        <v>5.4123711340206188E-2</v>
      </c>
      <c r="X2814" s="44">
        <f>IF(Mecze[[#This Row],[Role]]&lt;&gt;"BR",SUMPRODUCT(Mecze[[#This Row],[/PR:90]:[/BR:90]],Brudnopis!$E$28:$J$28),0)</f>
        <v>2.0618556701030927E-2</v>
      </c>
      <c r="Y2814" s="35">
        <f>IF(Mecze[[#This Row],[Role]]="BR",Mecze[[#This Row],[/OB:90]]+Mecze[[#This Row],[/PC:90]],SUM(Mecze[[#This Row],[/PR:90]:[/BR:90]]))</f>
        <v>5.1546391752577317E-2</v>
      </c>
      <c r="Z2814" s="35">
        <f>IF(Mecze[[#This Row],[KC]]=0,SUM(Mecze[[#This Row],[/BRI]:[/NPI]]),SUM(Mecze[[#This Row],[/BRI]:[/NPI]])*0.6)</f>
        <v>0.24484536082474229</v>
      </c>
      <c r="AA2814" s="10">
        <f>IFERROR(Mecze[[#This Row],[BR]]/Mecze[[#This Row],[ST]],0)</f>
        <v>0</v>
      </c>
      <c r="AB2814">
        <f>ROUND(Mecze[[#This Row],[PD]]*Mecze[[#This Row],[%PC]],0)</f>
        <v>2</v>
      </c>
      <c r="AC2814">
        <f>ROUND(Mecze[[#This Row],[OD]]*Mecze[[#This Row],[%OU]],0)</f>
        <v>1</v>
      </c>
      <c r="AD2814" s="36" t="s">
        <v>174</v>
      </c>
      <c r="AE2814" s="36">
        <v>157</v>
      </c>
      <c r="AF2814" s="71">
        <v>3.23</v>
      </c>
      <c r="AG2814" s="37">
        <v>0</v>
      </c>
      <c r="AH2814" s="37">
        <v>0</v>
      </c>
      <c r="AI2814" s="37">
        <v>97</v>
      </c>
      <c r="AJ2814" s="37">
        <v>8</v>
      </c>
      <c r="AK2814" s="37" t="str">
        <f>VLOOKUP(Mecze[[#This Row],[Match ID]],Meczusie[Mecz]:Meczusie[RodzajMeczu],2,FALSE)</f>
        <v>Liga</v>
      </c>
    </row>
    <row r="2815" spans="1:37" x14ac:dyDescent="0.25">
      <c r="A2815" s="76">
        <v>23</v>
      </c>
      <c r="B2815" s="3" t="s">
        <v>306</v>
      </c>
      <c r="C2815" s="2" t="s">
        <v>157</v>
      </c>
      <c r="D2815" s="1">
        <v>0</v>
      </c>
      <c r="E2815" s="1">
        <v>0</v>
      </c>
      <c r="F2815" s="1">
        <v>0</v>
      </c>
      <c r="G2815" s="1">
        <v>0</v>
      </c>
      <c r="H2815" s="72"/>
      <c r="I2815" s="1">
        <v>0</v>
      </c>
      <c r="J2815" s="4"/>
      <c r="K2815" s="1">
        <v>0</v>
      </c>
      <c r="L2815" s="1">
        <v>2</v>
      </c>
      <c r="M2815" s="32">
        <f>IF(Mecze[[#This Row],[PR]]=0,0,Mecze[[#This Row],[PR]]/Mecze[[#This Row],[CZAS]])</f>
        <v>2.0618556701030927E-2</v>
      </c>
      <c r="N2815" s="32">
        <f>IF(Mecze[[#This Row],[OU]]=0,0,Mecze[[#This Row],[OU]]/Mecze[[#This Row],[CZAS]])</f>
        <v>0</v>
      </c>
      <c r="O2815" s="32">
        <f>IF(Mecze[[#This Row],[PC]]=0,0,Mecze[[#This Row],[PC]]/Mecze[[#This Row],[CZAS]])</f>
        <v>0</v>
      </c>
      <c r="P2815" s="32">
        <f>IF(Mecze[[#This Row],[SC]]=0,0,Mecze[[#This Row],[SC]]/Mecze[[#This Row],[CZAS]])</f>
        <v>0</v>
      </c>
      <c r="Q2815" s="32">
        <f>IF(Mecze[[#This Row],[OB]]=0,0,Mecze[[#This Row],[OB]]/Mecze[[#This Row],[CZAS]])</f>
        <v>0</v>
      </c>
      <c r="R2815" s="32">
        <f>IF(Mecze[[#This Row],[BR]]=0,0,Mecze[[#This Row],[BR]]/Mecze[[#This Row],[CZAS]])</f>
        <v>0</v>
      </c>
      <c r="S2815" s="44">
        <f>IF(Mecze[[#This Row],[Role]]="BR",SUMPRODUCT(Mecze[[#This Row],[/PR:90]:[/BR:90]],Brudnopis!$E$23:$J$23),0)</f>
        <v>0</v>
      </c>
      <c r="T2815" s="44">
        <f>IF(Mecze[[#This Row],[Role]]&lt;&gt;"BR",SUMPRODUCT(Mecze[[#This Row],[/PR:90]:[/BR:90]],Brudnopis!$E$24:$J$24),0)</f>
        <v>2.0618556701030927E-2</v>
      </c>
      <c r="U2815" s="44">
        <f>IF(Mecze[[#This Row],[Role]]&lt;&gt;"BR",SUMPRODUCT(Mecze[[#This Row],[/PR:90]:[/BR:90]],Brudnopis!$E$25:$J$25),0)</f>
        <v>2.0618556701030927E-2</v>
      </c>
      <c r="V2815" s="44">
        <f>IF(Mecze[[#This Row],[Role]]&lt;&gt;"BR",SUMPRODUCT(Mecze[[#This Row],[/PR:90]:[/BR:90]],Brudnopis!$E$26:$J$26),0)</f>
        <v>2.0618556701030927E-2</v>
      </c>
      <c r="W2815" s="44">
        <f>IF(Mecze[[#This Row],[Role]]&lt;&gt;"BR",SUMPRODUCT(Mecze[[#This Row],[/PR:90]:[/BR:90]],Brudnopis!$E$27:$J$27),0)</f>
        <v>1.5463917525773196E-2</v>
      </c>
      <c r="X2815" s="44">
        <f>IF(Mecze[[#This Row],[Role]]&lt;&gt;"BR",SUMPRODUCT(Mecze[[#This Row],[/PR:90]:[/BR:90]],Brudnopis!$E$28:$J$28),0)</f>
        <v>0</v>
      </c>
      <c r="Y2815" s="35">
        <f>IF(Mecze[[#This Row],[Role]]="BR",Mecze[[#This Row],[/OB:90]]+Mecze[[#This Row],[/PC:90]],SUM(Mecze[[#This Row],[/PR:90]:[/BR:90]]))</f>
        <v>2.0618556701030927E-2</v>
      </c>
      <c r="Z2815" s="35">
        <f>IF(Mecze[[#This Row],[KC]]=0,SUM(Mecze[[#This Row],[/BRI]:[/NPI]]),SUM(Mecze[[#This Row],[/BRI]:[/NPI]])*0.6)</f>
        <v>7.7319587628865982E-2</v>
      </c>
      <c r="AA2815" s="10">
        <f>IFERROR(Mecze[[#This Row],[BR]]/Mecze[[#This Row],[ST]],0)</f>
        <v>0</v>
      </c>
      <c r="AB2815">
        <f>ROUND(Mecze[[#This Row],[PD]]*Mecze[[#This Row],[%PC]],0)</f>
        <v>0</v>
      </c>
      <c r="AC2815">
        <f>ROUND(Mecze[[#This Row],[OD]]*Mecze[[#This Row],[%OU]],0)</f>
        <v>0</v>
      </c>
      <c r="AD2815" s="36" t="s">
        <v>175</v>
      </c>
      <c r="AE2815" s="36">
        <v>157</v>
      </c>
      <c r="AF2815" s="71">
        <v>3.23</v>
      </c>
      <c r="AG2815" s="37">
        <v>0</v>
      </c>
      <c r="AH2815" s="37">
        <v>0</v>
      </c>
      <c r="AI2815" s="37">
        <v>97</v>
      </c>
      <c r="AJ2815" s="37">
        <v>8</v>
      </c>
      <c r="AK2815" s="37" t="str">
        <f>VLOOKUP(Mecze[[#This Row],[Match ID]],Meczusie[Mecz]:Meczusie[RodzajMeczu],2,FALSE)</f>
        <v>Liga</v>
      </c>
    </row>
    <row r="2816" spans="1:37" x14ac:dyDescent="0.25">
      <c r="A2816" s="76">
        <v>7</v>
      </c>
      <c r="B2816" s="3" t="s">
        <v>311</v>
      </c>
      <c r="C2816" s="2" t="s">
        <v>160</v>
      </c>
      <c r="D2816" s="1">
        <v>0</v>
      </c>
      <c r="E2816" s="1">
        <v>1</v>
      </c>
      <c r="F2816" s="1">
        <v>1</v>
      </c>
      <c r="G2816" s="1">
        <v>8</v>
      </c>
      <c r="H2816" s="4">
        <v>0.5</v>
      </c>
      <c r="I2816" s="1">
        <v>4</v>
      </c>
      <c r="J2816" s="4">
        <v>0.5</v>
      </c>
      <c r="K2816" s="1">
        <v>0</v>
      </c>
      <c r="L2816" s="1">
        <v>3</v>
      </c>
      <c r="M2816" s="32">
        <f>IF(Mecze[[#This Row],[PR]]=0,0,Mecze[[#This Row],[PR]]/Mecze[[#This Row],[CZAS]])</f>
        <v>3.0927835051546393E-2</v>
      </c>
      <c r="N2816" s="32">
        <f>IF(Mecze[[#This Row],[OU]]=0,0,Mecze[[#This Row],[OU]]/Mecze[[#This Row],[CZAS]])</f>
        <v>2.0618556701030927E-2</v>
      </c>
      <c r="O2816" s="32">
        <f>IF(Mecze[[#This Row],[PC]]=0,0,Mecze[[#This Row],[PC]]/Mecze[[#This Row],[CZAS]])</f>
        <v>4.1237113402061855E-2</v>
      </c>
      <c r="P2816" s="32">
        <f>IF(Mecze[[#This Row],[SC]]=0,0,Mecze[[#This Row],[SC]]/Mecze[[#This Row],[CZAS]])</f>
        <v>1.0309278350515464E-2</v>
      </c>
      <c r="Q2816" s="32">
        <f>IF(Mecze[[#This Row],[OB]]=0,0,Mecze[[#This Row],[OB]]/Mecze[[#This Row],[CZAS]])</f>
        <v>0</v>
      </c>
      <c r="R2816" s="32">
        <f>IF(Mecze[[#This Row],[BR]]=0,0,Mecze[[#This Row],[BR]]/Mecze[[#This Row],[CZAS]])</f>
        <v>0</v>
      </c>
      <c r="S2816" s="44">
        <f>IF(Mecze[[#This Row],[Role]]="BR",SUMPRODUCT(Mecze[[#This Row],[/PR:90]:[/BR:90]],Brudnopis!$E$23:$J$23),0)</f>
        <v>0</v>
      </c>
      <c r="T2816" s="44">
        <f>IF(Mecze[[#This Row],[Role]]&lt;&gt;"BR",SUMPRODUCT(Mecze[[#This Row],[/PR:90]:[/BR:90]],Brudnopis!$E$24:$J$24),0)</f>
        <v>0.1134020618556701</v>
      </c>
      <c r="U2816" s="44">
        <f>IF(Mecze[[#This Row],[Role]]&lt;&gt;"BR",SUMPRODUCT(Mecze[[#This Row],[/PR:90]:[/BR:90]],Brudnopis!$E$25:$J$25),0)</f>
        <v>0.12371134020618557</v>
      </c>
      <c r="V2816" s="44">
        <f>IF(Mecze[[#This Row],[Role]]&lt;&gt;"BR",SUMPRODUCT(Mecze[[#This Row],[/PR:90]:[/BR:90]],Brudnopis!$E$26:$J$26),0)</f>
        <v>0.10309278350515465</v>
      </c>
      <c r="W2816" s="44">
        <f>IF(Mecze[[#This Row],[Role]]&lt;&gt;"BR",SUMPRODUCT(Mecze[[#This Row],[/PR:90]:[/BR:90]],Brudnopis!$E$27:$J$27),0)</f>
        <v>0.11082474226804125</v>
      </c>
      <c r="X2816" s="44">
        <f>IF(Mecze[[#This Row],[Role]]&lt;&gt;"BR",SUMPRODUCT(Mecze[[#This Row],[/PR:90]:[/BR:90]],Brudnopis!$E$28:$J$28),0)</f>
        <v>6.1855670103092786E-2</v>
      </c>
      <c r="Y2816" s="35">
        <f>IF(Mecze[[#This Row],[Role]]="BR",Mecze[[#This Row],[/OB:90]]+Mecze[[#This Row],[/PC:90]],SUM(Mecze[[#This Row],[/PR:90]:[/BR:90]]))</f>
        <v>0.10309278350515465</v>
      </c>
      <c r="Z2816" s="35">
        <f>IF(Mecze[[#This Row],[KC]]=0,SUM(Mecze[[#This Row],[/BRI]:[/NPI]]),SUM(Mecze[[#This Row],[/BRI]:[/NPI]])*0.6)</f>
        <v>0.51288659793814428</v>
      </c>
      <c r="AA2816" s="10">
        <f>IFERROR(Mecze[[#This Row],[BR]]/Mecze[[#This Row],[ST]],0)</f>
        <v>0</v>
      </c>
      <c r="AB2816">
        <f>ROUND(Mecze[[#This Row],[PD]]*Mecze[[#This Row],[%PC]],0)</f>
        <v>4</v>
      </c>
      <c r="AC2816">
        <f>ROUND(Mecze[[#This Row],[OD]]*Mecze[[#This Row],[%OU]],0)</f>
        <v>2</v>
      </c>
      <c r="AD2816" s="36" t="s">
        <v>41</v>
      </c>
      <c r="AE2816" s="36">
        <v>157</v>
      </c>
      <c r="AF2816" s="71">
        <v>5.99</v>
      </c>
      <c r="AG2816" s="37">
        <v>0</v>
      </c>
      <c r="AH2816" s="37">
        <v>0</v>
      </c>
      <c r="AI2816" s="37">
        <v>97</v>
      </c>
      <c r="AJ2816" s="37">
        <v>8</v>
      </c>
      <c r="AK2816" s="37" t="str">
        <f>VLOOKUP(Mecze[[#This Row],[Match ID]],Meczusie[Mecz]:Meczusie[RodzajMeczu],2,FALSE)</f>
        <v>Liga</v>
      </c>
    </row>
    <row r="2817" spans="1:37" x14ac:dyDescent="0.25">
      <c r="A2817" s="76">
        <v>16</v>
      </c>
      <c r="B2817" s="3" t="s">
        <v>309</v>
      </c>
      <c r="C2817" s="2" t="s">
        <v>160</v>
      </c>
      <c r="D2817" s="1">
        <v>0</v>
      </c>
      <c r="E2817" s="1">
        <v>0</v>
      </c>
      <c r="F2817" s="1">
        <v>0</v>
      </c>
      <c r="G2817" s="1">
        <v>7</v>
      </c>
      <c r="H2817" s="4">
        <v>0.71</v>
      </c>
      <c r="I2817" s="1">
        <v>5</v>
      </c>
      <c r="J2817" s="4">
        <v>0.6</v>
      </c>
      <c r="K2817" s="1">
        <v>0</v>
      </c>
      <c r="L2817" s="1">
        <v>2</v>
      </c>
      <c r="M2817" s="32">
        <f>IF(Mecze[[#This Row],[PR]]=0,0,Mecze[[#This Row],[PR]]/Mecze[[#This Row],[CZAS]])</f>
        <v>2.0618556701030927E-2</v>
      </c>
      <c r="N2817" s="32">
        <f>IF(Mecze[[#This Row],[OU]]=0,0,Mecze[[#This Row],[OU]]/Mecze[[#This Row],[CZAS]])</f>
        <v>3.0927835051546393E-2</v>
      </c>
      <c r="O2817" s="32">
        <f>IF(Mecze[[#This Row],[PC]]=0,0,Mecze[[#This Row],[PC]]/Mecze[[#This Row],[CZAS]])</f>
        <v>5.1546391752577317E-2</v>
      </c>
      <c r="P2817" s="32">
        <f>IF(Mecze[[#This Row],[SC]]=0,0,Mecze[[#This Row],[SC]]/Mecze[[#This Row],[CZAS]])</f>
        <v>0</v>
      </c>
      <c r="Q2817" s="32">
        <f>IF(Mecze[[#This Row],[OB]]=0,0,Mecze[[#This Row],[OB]]/Mecze[[#This Row],[CZAS]])</f>
        <v>0</v>
      </c>
      <c r="R2817" s="32">
        <f>IF(Mecze[[#This Row],[BR]]=0,0,Mecze[[#This Row],[BR]]/Mecze[[#This Row],[CZAS]])</f>
        <v>0</v>
      </c>
      <c r="S2817" s="44">
        <f>IF(Mecze[[#This Row],[Role]]="BR",SUMPRODUCT(Mecze[[#This Row],[/PR:90]:[/BR:90]],Brudnopis!$E$23:$J$23),0)</f>
        <v>0</v>
      </c>
      <c r="T2817" s="44">
        <f>IF(Mecze[[#This Row],[Role]]&lt;&gt;"BR",SUMPRODUCT(Mecze[[#This Row],[/PR:90]:[/BR:90]],Brudnopis!$E$24:$J$24),0)</f>
        <v>0.11855670103092783</v>
      </c>
      <c r="U2817" s="44">
        <f>IF(Mecze[[#This Row],[Role]]&lt;&gt;"BR",SUMPRODUCT(Mecze[[#This Row],[/PR:90]:[/BR:90]],Brudnopis!$E$25:$J$25),0)</f>
        <v>0.12886597938144329</v>
      </c>
      <c r="V2817" s="44">
        <f>IF(Mecze[[#This Row],[Role]]&lt;&gt;"BR",SUMPRODUCT(Mecze[[#This Row],[/PR:90]:[/BR:90]],Brudnopis!$E$26:$J$26),0)</f>
        <v>0.10309278350515463</v>
      </c>
      <c r="W2817" s="44">
        <f>IF(Mecze[[#This Row],[Role]]&lt;&gt;"BR",SUMPRODUCT(Mecze[[#This Row],[/PR:90]:[/BR:90]],Brudnopis!$E$27:$J$27),0)</f>
        <v>0.11597938144329897</v>
      </c>
      <c r="X2817" s="44">
        <f>IF(Mecze[[#This Row],[Role]]&lt;&gt;"BR",SUMPRODUCT(Mecze[[#This Row],[/PR:90]:[/BR:90]],Brudnopis!$E$28:$J$28),0)</f>
        <v>5.1546391752577317E-2</v>
      </c>
      <c r="Y2817" s="35">
        <f>IF(Mecze[[#This Row],[Role]]="BR",Mecze[[#This Row],[/OB:90]]+Mecze[[#This Row],[/PC:90]],SUM(Mecze[[#This Row],[/PR:90]:[/BR:90]]))</f>
        <v>0.10309278350515463</v>
      </c>
      <c r="Z2817" s="35">
        <f>IF(Mecze[[#This Row],[KC]]=0,SUM(Mecze[[#This Row],[/BRI]:[/NPI]]),SUM(Mecze[[#This Row],[/BRI]:[/NPI]])*0.6)</f>
        <v>0.51804123711340211</v>
      </c>
      <c r="AA2817" s="10">
        <f>IFERROR(Mecze[[#This Row],[BR]]/Mecze[[#This Row],[ST]],0)</f>
        <v>0</v>
      </c>
      <c r="AB2817">
        <f>ROUND(Mecze[[#This Row],[PD]]*Mecze[[#This Row],[%PC]],0)</f>
        <v>5</v>
      </c>
      <c r="AC2817">
        <f>ROUND(Mecze[[#This Row],[OD]]*Mecze[[#This Row],[%OU]],0)</f>
        <v>3</v>
      </c>
      <c r="AD2817" s="36" t="s">
        <v>41</v>
      </c>
      <c r="AE2817" s="36">
        <v>157</v>
      </c>
      <c r="AF2817" s="71">
        <v>5.55</v>
      </c>
      <c r="AG2817" s="37">
        <v>0</v>
      </c>
      <c r="AH2817" s="37">
        <v>0</v>
      </c>
      <c r="AI2817" s="37">
        <v>97</v>
      </c>
      <c r="AJ2817" s="37">
        <v>8</v>
      </c>
      <c r="AK2817" s="37" t="str">
        <f>VLOOKUP(Mecze[[#This Row],[Match ID]],Meczusie[Mecz]:Meczusie[RodzajMeczu],2,FALSE)</f>
        <v>Liga</v>
      </c>
    </row>
    <row r="2818" spans="1:37" x14ac:dyDescent="0.25">
      <c r="A2818" s="76">
        <v>14</v>
      </c>
      <c r="B2818" s="3" t="s">
        <v>312</v>
      </c>
      <c r="C2818" s="2" t="s">
        <v>160</v>
      </c>
      <c r="D2818" s="1">
        <v>1</v>
      </c>
      <c r="E2818" s="1">
        <v>2</v>
      </c>
      <c r="F2818" s="1">
        <v>2</v>
      </c>
      <c r="G2818" s="1">
        <v>10</v>
      </c>
      <c r="H2818" s="4">
        <v>0.9</v>
      </c>
      <c r="I2818" s="1">
        <v>10</v>
      </c>
      <c r="J2818" s="4">
        <v>0.5</v>
      </c>
      <c r="K2818" s="1">
        <v>0</v>
      </c>
      <c r="L2818" s="1">
        <v>3</v>
      </c>
      <c r="M2818" s="32">
        <f>IF(Mecze[[#This Row],[PR]]=0,0,Mecze[[#This Row],[PR]]/Mecze[[#This Row],[CZAS]])</f>
        <v>4.1095890410958902E-2</v>
      </c>
      <c r="N2818" s="32">
        <f>IF(Mecze[[#This Row],[OU]]=0,0,Mecze[[#This Row],[OU]]/Mecze[[#This Row],[CZAS]])</f>
        <v>6.8493150684931503E-2</v>
      </c>
      <c r="O2818" s="32">
        <f>IF(Mecze[[#This Row],[PC]]=0,0,Mecze[[#This Row],[PC]]/Mecze[[#This Row],[CZAS]])</f>
        <v>0.12328767123287671</v>
      </c>
      <c r="P2818" s="32">
        <f>IF(Mecze[[#This Row],[SC]]=0,0,Mecze[[#This Row],[SC]]/Mecze[[#This Row],[CZAS]])</f>
        <v>2.7397260273972601E-2</v>
      </c>
      <c r="Q2818" s="32">
        <f>IF(Mecze[[#This Row],[OB]]=0,0,Mecze[[#This Row],[OB]]/Mecze[[#This Row],[CZAS]])</f>
        <v>0</v>
      </c>
      <c r="R2818" s="32">
        <f>IF(Mecze[[#This Row],[BR]]=0,0,Mecze[[#This Row],[BR]]/Mecze[[#This Row],[CZAS]])</f>
        <v>1.3698630136986301E-2</v>
      </c>
      <c r="S2818" s="44">
        <f>IF(Mecze[[#This Row],[Role]]="BR",SUMPRODUCT(Mecze[[#This Row],[/PR:90]:[/BR:90]],Brudnopis!$E$23:$J$23),0)</f>
        <v>0</v>
      </c>
      <c r="T2818" s="44">
        <f>IF(Mecze[[#This Row],[Role]]&lt;&gt;"BR",SUMPRODUCT(Mecze[[#This Row],[/PR:90]:[/BR:90]],Brudnopis!$E$24:$J$24),0)</f>
        <v>0.31506849315068486</v>
      </c>
      <c r="U2818" s="44">
        <f>IF(Mecze[[#This Row],[Role]]&lt;&gt;"BR",SUMPRODUCT(Mecze[[#This Row],[/PR:90]:[/BR:90]],Brudnopis!$E$25:$J$25),0)</f>
        <v>0.34246575342465746</v>
      </c>
      <c r="V2818" s="44">
        <f>IF(Mecze[[#This Row],[Role]]&lt;&gt;"BR",SUMPRODUCT(Mecze[[#This Row],[/PR:90]:[/BR:90]],Brudnopis!$E$26:$J$26),0)</f>
        <v>0.28767123287671231</v>
      </c>
      <c r="W2818" s="44">
        <f>IF(Mecze[[#This Row],[Role]]&lt;&gt;"BR",SUMPRODUCT(Mecze[[#This Row],[/PR:90]:[/BR:90]],Brudnopis!$E$27:$J$27),0)</f>
        <v>0.32191780821917804</v>
      </c>
      <c r="X2818" s="44">
        <f>IF(Mecze[[#This Row],[Role]]&lt;&gt;"BR",SUMPRODUCT(Mecze[[#This Row],[/PR:90]:[/BR:90]],Brudnopis!$E$28:$J$28),0)</f>
        <v>0.21917808219178081</v>
      </c>
      <c r="Y2818" s="35">
        <f>IF(Mecze[[#This Row],[Role]]="BR",Mecze[[#This Row],[/OB:90]]+Mecze[[#This Row],[/PC:90]],SUM(Mecze[[#This Row],[/PR:90]:[/BR:90]]))</f>
        <v>0.27397260273972601</v>
      </c>
      <c r="Z2818" s="35">
        <f>IF(Mecze[[#This Row],[KC]]=0,SUM(Mecze[[#This Row],[/BRI]:[/NPI]]),SUM(Mecze[[#This Row],[/BRI]:[/NPI]])*0.6)</f>
        <v>1.4863013698630134</v>
      </c>
      <c r="AA2818" s="10">
        <f>IFERROR(Mecze[[#This Row],[BR]]/Mecze[[#This Row],[ST]],0)</f>
        <v>0.5</v>
      </c>
      <c r="AB2818">
        <f>ROUND(Mecze[[#This Row],[PD]]*Mecze[[#This Row],[%PC]],0)</f>
        <v>9</v>
      </c>
      <c r="AC2818">
        <f>ROUND(Mecze[[#This Row],[OD]]*Mecze[[#This Row],[%OU]],0)</f>
        <v>5</v>
      </c>
      <c r="AD2818" s="36" t="s">
        <v>67</v>
      </c>
      <c r="AE2818" s="36">
        <v>157</v>
      </c>
      <c r="AF2818" s="71">
        <v>9.24</v>
      </c>
      <c r="AG2818" s="37">
        <v>0</v>
      </c>
      <c r="AH2818" s="37">
        <v>0</v>
      </c>
      <c r="AI2818" s="37">
        <v>73</v>
      </c>
      <c r="AJ2818" s="37">
        <v>8</v>
      </c>
      <c r="AK2818" s="37" t="str">
        <f>VLOOKUP(Mecze[[#This Row],[Match ID]],Meczusie[Mecz]:Meczusie[RodzajMeczu],2,FALSE)</f>
        <v>Liga</v>
      </c>
    </row>
    <row r="2819" spans="1:37" x14ac:dyDescent="0.25">
      <c r="A2819" s="76">
        <v>13</v>
      </c>
      <c r="B2819" s="3" t="s">
        <v>313</v>
      </c>
      <c r="C2819" s="2" t="s">
        <v>165</v>
      </c>
      <c r="D2819" s="1">
        <v>0</v>
      </c>
      <c r="E2819" s="1">
        <v>1</v>
      </c>
      <c r="F2819" s="1">
        <v>1</v>
      </c>
      <c r="G2819" s="1">
        <v>7</v>
      </c>
      <c r="H2819" s="4">
        <v>0.71</v>
      </c>
      <c r="I2819" s="1">
        <v>0</v>
      </c>
      <c r="J2819" s="4"/>
      <c r="K2819" s="1">
        <v>0</v>
      </c>
      <c r="L2819" s="1">
        <v>1</v>
      </c>
      <c r="M2819" s="32">
        <f>IF(Mecze[[#This Row],[PR]]=0,0,Mecze[[#This Row],[PR]]/Mecze[[#This Row],[CZAS]])</f>
        <v>1.2658227848101266E-2</v>
      </c>
      <c r="N2819" s="32">
        <f>IF(Mecze[[#This Row],[OU]]=0,0,Mecze[[#This Row],[OU]]/Mecze[[#This Row],[CZAS]])</f>
        <v>0</v>
      </c>
      <c r="O2819" s="32">
        <f>IF(Mecze[[#This Row],[PC]]=0,0,Mecze[[#This Row],[PC]]/Mecze[[#This Row],[CZAS]])</f>
        <v>6.3291139240506333E-2</v>
      </c>
      <c r="P2819" s="32">
        <f>IF(Mecze[[#This Row],[SC]]=0,0,Mecze[[#This Row],[SC]]/Mecze[[#This Row],[CZAS]])</f>
        <v>1.2658227848101266E-2</v>
      </c>
      <c r="Q2819" s="32">
        <f>IF(Mecze[[#This Row],[OB]]=0,0,Mecze[[#This Row],[OB]]/Mecze[[#This Row],[CZAS]])</f>
        <v>0</v>
      </c>
      <c r="R2819" s="32">
        <f>IF(Mecze[[#This Row],[BR]]=0,0,Mecze[[#This Row],[BR]]/Mecze[[#This Row],[CZAS]])</f>
        <v>0</v>
      </c>
      <c r="S2819" s="44">
        <f>IF(Mecze[[#This Row],[Role]]="BR",SUMPRODUCT(Mecze[[#This Row],[/PR:90]:[/BR:90]],Brudnopis!$E$23:$J$23),0)</f>
        <v>0</v>
      </c>
      <c r="T2819" s="44">
        <f>IF(Mecze[[#This Row],[Role]]&lt;&gt;"BR",SUMPRODUCT(Mecze[[#This Row],[/PR:90]:[/BR:90]],Brudnopis!$E$24:$J$24),0)</f>
        <v>8.8607594936708861E-2</v>
      </c>
      <c r="U2819" s="44">
        <f>IF(Mecze[[#This Row],[Role]]&lt;&gt;"BR",SUMPRODUCT(Mecze[[#This Row],[/PR:90]:[/BR:90]],Brudnopis!$E$25:$J$25),0)</f>
        <v>0.12025316455696203</v>
      </c>
      <c r="V2819" s="44">
        <f>IF(Mecze[[#This Row],[Role]]&lt;&gt;"BR",SUMPRODUCT(Mecze[[#This Row],[/PR:90]:[/BR:90]],Brudnopis!$E$26:$J$26),0)</f>
        <v>8.8607594936708861E-2</v>
      </c>
      <c r="W2819" s="44">
        <f>IF(Mecze[[#This Row],[Role]]&lt;&gt;"BR",SUMPRODUCT(Mecze[[#This Row],[/PR:90]:[/BR:90]],Brudnopis!$E$27:$J$27),0)</f>
        <v>0.11708860759493671</v>
      </c>
      <c r="X2819" s="44">
        <f>IF(Mecze[[#This Row],[Role]]&lt;&gt;"BR",SUMPRODUCT(Mecze[[#This Row],[/PR:90]:[/BR:90]],Brudnopis!$E$28:$J$28),0)</f>
        <v>8.8607594936708861E-2</v>
      </c>
      <c r="Y2819" s="35">
        <f>IF(Mecze[[#This Row],[Role]]="BR",Mecze[[#This Row],[/OB:90]]+Mecze[[#This Row],[/PC:90]],SUM(Mecze[[#This Row],[/PR:90]:[/BR:90]]))</f>
        <v>8.8607594936708861E-2</v>
      </c>
      <c r="Z2819" s="35">
        <f>IF(Mecze[[#This Row],[KC]]=0,SUM(Mecze[[#This Row],[/BRI]:[/NPI]]),SUM(Mecze[[#This Row],[/BRI]:[/NPI]])*0.6)</f>
        <v>0.50316455696202533</v>
      </c>
      <c r="AA2819" s="10">
        <f>IFERROR(Mecze[[#This Row],[BR]]/Mecze[[#This Row],[ST]],0)</f>
        <v>0</v>
      </c>
      <c r="AB2819">
        <f>ROUND(Mecze[[#This Row],[PD]]*Mecze[[#This Row],[%PC]],0)</f>
        <v>5</v>
      </c>
      <c r="AC2819">
        <f>ROUND(Mecze[[#This Row],[OD]]*Mecze[[#This Row],[%OU]],0)</f>
        <v>0</v>
      </c>
      <c r="AD2819" s="36" t="s">
        <v>355</v>
      </c>
      <c r="AE2819" s="36">
        <v>157</v>
      </c>
      <c r="AF2819" s="71">
        <v>5.48</v>
      </c>
      <c r="AG2819" s="37">
        <v>0</v>
      </c>
      <c r="AH2819" s="37">
        <v>0</v>
      </c>
      <c r="AI2819" s="37">
        <v>79</v>
      </c>
      <c r="AJ2819" s="37">
        <v>8</v>
      </c>
      <c r="AK2819" s="37" t="str">
        <f>VLOOKUP(Mecze[[#This Row],[Match ID]],Meczusie[Mecz]:Meczusie[RodzajMeczu],2,FALSE)</f>
        <v>Liga</v>
      </c>
    </row>
    <row r="2820" spans="1:37" x14ac:dyDescent="0.25">
      <c r="A2820" s="76">
        <v>74</v>
      </c>
      <c r="B2820" s="3" t="s">
        <v>442</v>
      </c>
      <c r="C2820" s="2" t="s">
        <v>165</v>
      </c>
      <c r="D2820" s="1">
        <v>1</v>
      </c>
      <c r="E2820" s="1">
        <v>3</v>
      </c>
      <c r="F2820" s="1">
        <v>3</v>
      </c>
      <c r="G2820" s="1">
        <v>11</v>
      </c>
      <c r="H2820" s="4">
        <v>0.91</v>
      </c>
      <c r="I2820" s="1">
        <v>2</v>
      </c>
      <c r="J2820" s="4">
        <v>0</v>
      </c>
      <c r="K2820" s="1">
        <v>0</v>
      </c>
      <c r="L2820" s="1">
        <v>1</v>
      </c>
      <c r="M2820" s="32">
        <f>IF(Mecze[[#This Row],[PR]]=0,0,Mecze[[#This Row],[PR]]/Mecze[[#This Row],[CZAS]])</f>
        <v>1.0309278350515464E-2</v>
      </c>
      <c r="N2820" s="32">
        <f>IF(Mecze[[#This Row],[OU]]=0,0,Mecze[[#This Row],[OU]]/Mecze[[#This Row],[CZAS]])</f>
        <v>0</v>
      </c>
      <c r="O2820" s="32">
        <f>IF(Mecze[[#This Row],[PC]]=0,0,Mecze[[#This Row],[PC]]/Mecze[[#This Row],[CZAS]])</f>
        <v>0.10309278350515463</v>
      </c>
      <c r="P2820" s="32">
        <f>IF(Mecze[[#This Row],[SC]]=0,0,Mecze[[#This Row],[SC]]/Mecze[[#This Row],[CZAS]])</f>
        <v>3.0927835051546393E-2</v>
      </c>
      <c r="Q2820" s="32">
        <f>IF(Mecze[[#This Row],[OB]]=0,0,Mecze[[#This Row],[OB]]/Mecze[[#This Row],[CZAS]])</f>
        <v>0</v>
      </c>
      <c r="R2820" s="32">
        <f>IF(Mecze[[#This Row],[BR]]=0,0,Mecze[[#This Row],[BR]]/Mecze[[#This Row],[CZAS]])</f>
        <v>1.0309278350515464E-2</v>
      </c>
      <c r="S2820" s="44">
        <f>IF(Mecze[[#This Row],[Role]]="BR",SUMPRODUCT(Mecze[[#This Row],[/PR:90]:[/BR:90]],Brudnopis!$E$23:$J$23),0)</f>
        <v>0</v>
      </c>
      <c r="T2820" s="44">
        <f>IF(Mecze[[#This Row],[Role]]&lt;&gt;"BR",SUMPRODUCT(Mecze[[#This Row],[/PR:90]:[/BR:90]],Brudnopis!$E$24:$J$24),0)</f>
        <v>0.15979381443298968</v>
      </c>
      <c r="U2820" s="44">
        <f>IF(Mecze[[#This Row],[Role]]&lt;&gt;"BR",SUMPRODUCT(Mecze[[#This Row],[/PR:90]:[/BR:90]],Brudnopis!$E$25:$J$25),0)</f>
        <v>0.21134020618556701</v>
      </c>
      <c r="V2820" s="44">
        <f>IF(Mecze[[#This Row],[Role]]&lt;&gt;"BR",SUMPRODUCT(Mecze[[#This Row],[/PR:90]:[/BR:90]],Brudnopis!$E$26:$J$26),0)</f>
        <v>0.16494845360824742</v>
      </c>
      <c r="W2820" s="44">
        <f>IF(Mecze[[#This Row],[Role]]&lt;&gt;"BR",SUMPRODUCT(Mecze[[#This Row],[/PR:90]:[/BR:90]],Brudnopis!$E$27:$J$27),0)</f>
        <v>0.21391752577319589</v>
      </c>
      <c r="X2820" s="44">
        <f>IF(Mecze[[#This Row],[Role]]&lt;&gt;"BR",SUMPRODUCT(Mecze[[#This Row],[/PR:90]:[/BR:90]],Brudnopis!$E$28:$J$28),0)</f>
        <v>0.19587628865979381</v>
      </c>
      <c r="Y2820" s="35">
        <f>IF(Mecze[[#This Row],[Role]]="BR",Mecze[[#This Row],[/OB:90]]+Mecze[[#This Row],[/PC:90]],SUM(Mecze[[#This Row],[/PR:90]:[/BR:90]]))</f>
        <v>0.15463917525773194</v>
      </c>
      <c r="Z2820" s="35">
        <f>IF(Mecze[[#This Row],[KC]]=0,SUM(Mecze[[#This Row],[/BRI]:[/NPI]]),SUM(Mecze[[#This Row],[/BRI]:[/NPI]])*0.6)</f>
        <v>0.94587628865979378</v>
      </c>
      <c r="AA2820" s="10">
        <f>IFERROR(Mecze[[#This Row],[BR]]/Mecze[[#This Row],[ST]],0)</f>
        <v>0.33333333333333331</v>
      </c>
      <c r="AB2820">
        <f>ROUND(Mecze[[#This Row],[PD]]*Mecze[[#This Row],[%PC]],0)</f>
        <v>10</v>
      </c>
      <c r="AC2820">
        <f>ROUND(Mecze[[#This Row],[OD]]*Mecze[[#This Row],[%OU]],0)</f>
        <v>0</v>
      </c>
      <c r="AD2820" s="36" t="s">
        <v>46</v>
      </c>
      <c r="AE2820" s="36">
        <v>157</v>
      </c>
      <c r="AF2820" s="71">
        <v>9.14</v>
      </c>
      <c r="AG2820" s="37">
        <v>0</v>
      </c>
      <c r="AH2820" s="37">
        <v>0</v>
      </c>
      <c r="AI2820" s="37">
        <v>97</v>
      </c>
      <c r="AJ2820" s="37">
        <v>8</v>
      </c>
      <c r="AK2820" s="37" t="str">
        <f>VLOOKUP(Mecze[[#This Row],[Match ID]],Meczusie[Mecz]:Meczusie[RodzajMeczu],2,FALSE)</f>
        <v>Liga</v>
      </c>
    </row>
    <row r="2821" spans="1:37" x14ac:dyDescent="0.25">
      <c r="A2821" s="76">
        <v>8</v>
      </c>
      <c r="B2821" s="3" t="s">
        <v>314</v>
      </c>
      <c r="C2821" s="2" t="s">
        <v>165</v>
      </c>
      <c r="D2821" s="1">
        <v>2</v>
      </c>
      <c r="E2821" s="1">
        <v>6</v>
      </c>
      <c r="F2821" s="1">
        <v>6</v>
      </c>
      <c r="G2821" s="1">
        <v>12</v>
      </c>
      <c r="H2821" s="4">
        <v>0.92</v>
      </c>
      <c r="I2821" s="1">
        <v>6</v>
      </c>
      <c r="J2821" s="4">
        <v>0.67</v>
      </c>
      <c r="K2821" s="1">
        <v>0</v>
      </c>
      <c r="L2821" s="1">
        <v>0</v>
      </c>
      <c r="M2821" s="32">
        <f>IF(Mecze[[#This Row],[PR]]=0,0,Mecze[[#This Row],[PR]]/Mecze[[#This Row],[CZAS]])</f>
        <v>0</v>
      </c>
      <c r="N2821" s="32">
        <f>IF(Mecze[[#This Row],[OU]]=0,0,Mecze[[#This Row],[OU]]/Mecze[[#This Row],[CZAS]])</f>
        <v>4.1237113402061855E-2</v>
      </c>
      <c r="O2821" s="32">
        <f>IF(Mecze[[#This Row],[PC]]=0,0,Mecze[[#This Row],[PC]]/Mecze[[#This Row],[CZAS]])</f>
        <v>0.1134020618556701</v>
      </c>
      <c r="P2821" s="32">
        <f>IF(Mecze[[#This Row],[SC]]=0,0,Mecze[[#This Row],[SC]]/Mecze[[#This Row],[CZAS]])</f>
        <v>6.1855670103092786E-2</v>
      </c>
      <c r="Q2821" s="32">
        <f>IF(Mecze[[#This Row],[OB]]=0,0,Mecze[[#This Row],[OB]]/Mecze[[#This Row],[CZAS]])</f>
        <v>0</v>
      </c>
      <c r="R2821" s="32">
        <f>IF(Mecze[[#This Row],[BR]]=0,0,Mecze[[#This Row],[BR]]/Mecze[[#This Row],[CZAS]])</f>
        <v>2.0618556701030927E-2</v>
      </c>
      <c r="S2821" s="44">
        <f>IF(Mecze[[#This Row],[Role]]="BR",SUMPRODUCT(Mecze[[#This Row],[/PR:90]:[/BR:90]],Brudnopis!$E$23:$J$23),0)</f>
        <v>0</v>
      </c>
      <c r="T2821" s="44">
        <f>IF(Mecze[[#This Row],[Role]]&lt;&gt;"BR",SUMPRODUCT(Mecze[[#This Row],[/PR:90]:[/BR:90]],Brudnopis!$E$24:$J$24),0)</f>
        <v>0.26804123711340205</v>
      </c>
      <c r="U2821" s="44">
        <f>IF(Mecze[[#This Row],[Role]]&lt;&gt;"BR",SUMPRODUCT(Mecze[[#This Row],[/PR:90]:[/BR:90]],Brudnopis!$E$25:$J$25),0)</f>
        <v>0.30412371134020622</v>
      </c>
      <c r="V2821" s="44">
        <f>IF(Mecze[[#This Row],[Role]]&lt;&gt;"BR",SUMPRODUCT(Mecze[[#This Row],[/PR:90]:[/BR:90]],Brudnopis!$E$26:$J$26),0)</f>
        <v>0.25773195876288663</v>
      </c>
      <c r="W2821" s="44">
        <f>IF(Mecze[[#This Row],[Role]]&lt;&gt;"BR",SUMPRODUCT(Mecze[[#This Row],[/PR:90]:[/BR:90]],Brudnopis!$E$27:$J$27),0)</f>
        <v>0.30412371134020622</v>
      </c>
      <c r="X2821" s="44">
        <f>IF(Mecze[[#This Row],[Role]]&lt;&gt;"BR",SUMPRODUCT(Mecze[[#This Row],[/PR:90]:[/BR:90]],Brudnopis!$E$28:$J$28),0)</f>
        <v>0.29896907216494845</v>
      </c>
      <c r="Y2821" s="35">
        <f>IF(Mecze[[#This Row],[Role]]="BR",Mecze[[#This Row],[/OB:90]]+Mecze[[#This Row],[/PC:90]],SUM(Mecze[[#This Row],[/PR:90]:[/BR:90]]))</f>
        <v>0.23711340206185569</v>
      </c>
      <c r="Z2821" s="35">
        <f>IF(Mecze[[#This Row],[KC]]=0,SUM(Mecze[[#This Row],[/BRI]:[/NPI]]),SUM(Mecze[[#This Row],[/BRI]:[/NPI]])*0.6)</f>
        <v>1.4329896907216495</v>
      </c>
      <c r="AA2821" s="10">
        <f>IFERROR(Mecze[[#This Row],[BR]]/Mecze[[#This Row],[ST]],0)</f>
        <v>0.33333333333333331</v>
      </c>
      <c r="AB2821">
        <f>ROUND(Mecze[[#This Row],[PD]]*Mecze[[#This Row],[%PC]],0)</f>
        <v>11</v>
      </c>
      <c r="AC2821">
        <f>ROUND(Mecze[[#This Row],[OD]]*Mecze[[#This Row],[%OU]],0)</f>
        <v>4</v>
      </c>
      <c r="AD2821" s="36" t="s">
        <v>46</v>
      </c>
      <c r="AE2821" s="36">
        <v>157</v>
      </c>
      <c r="AF2821" s="71">
        <v>12.1</v>
      </c>
      <c r="AG2821" s="37">
        <v>0</v>
      </c>
      <c r="AH2821" s="37">
        <v>0</v>
      </c>
      <c r="AI2821" s="37">
        <v>97</v>
      </c>
      <c r="AJ2821" s="37">
        <v>8</v>
      </c>
      <c r="AK2821" s="37" t="str">
        <f>VLOOKUP(Mecze[[#This Row],[Match ID]],Meczusie[Mecz]:Meczusie[RodzajMeczu],2,FALSE)</f>
        <v>Liga</v>
      </c>
    </row>
    <row r="2822" spans="1:37" x14ac:dyDescent="0.25">
      <c r="A2822" s="76">
        <v>15</v>
      </c>
      <c r="B2822" s="3" t="s">
        <v>310</v>
      </c>
      <c r="C2822" s="2" t="s">
        <v>160</v>
      </c>
      <c r="D2822" s="1">
        <v>0</v>
      </c>
      <c r="E2822" s="1">
        <v>0</v>
      </c>
      <c r="F2822" s="1">
        <v>0</v>
      </c>
      <c r="G2822" s="1">
        <v>1</v>
      </c>
      <c r="H2822" s="4">
        <v>0</v>
      </c>
      <c r="I2822" s="1">
        <v>1</v>
      </c>
      <c r="J2822" s="4">
        <v>0</v>
      </c>
      <c r="K2822" s="1">
        <v>0</v>
      </c>
      <c r="L2822" s="1">
        <v>1</v>
      </c>
      <c r="M2822" s="32">
        <f>IF(Mecze[[#This Row],[PR]]=0,0,Mecze[[#This Row],[PR]]/Mecze[[#This Row],[CZAS]])</f>
        <v>4.1666666666666664E-2</v>
      </c>
      <c r="N2822" s="32">
        <f>IF(Mecze[[#This Row],[OU]]=0,0,Mecze[[#This Row],[OU]]/Mecze[[#This Row],[CZAS]])</f>
        <v>0</v>
      </c>
      <c r="O2822" s="32">
        <f>IF(Mecze[[#This Row],[PC]]=0,0,Mecze[[#This Row],[PC]]/Mecze[[#This Row],[CZAS]])</f>
        <v>0</v>
      </c>
      <c r="P2822" s="32">
        <f>IF(Mecze[[#This Row],[SC]]=0,0,Mecze[[#This Row],[SC]]/Mecze[[#This Row],[CZAS]])</f>
        <v>0</v>
      </c>
      <c r="Q2822" s="32">
        <f>IF(Mecze[[#This Row],[OB]]=0,0,Mecze[[#This Row],[OB]]/Mecze[[#This Row],[CZAS]])</f>
        <v>0</v>
      </c>
      <c r="R2822" s="32">
        <f>IF(Mecze[[#This Row],[BR]]=0,0,Mecze[[#This Row],[BR]]/Mecze[[#This Row],[CZAS]])</f>
        <v>0</v>
      </c>
      <c r="S2822" s="44">
        <f>IF(Mecze[[#This Row],[Role]]="BR",SUMPRODUCT(Mecze[[#This Row],[/PR:90]:[/BR:90]],Brudnopis!$E$23:$J$23),0)</f>
        <v>0</v>
      </c>
      <c r="T2822" s="44">
        <f>IF(Mecze[[#This Row],[Role]]&lt;&gt;"BR",SUMPRODUCT(Mecze[[#This Row],[/PR:90]:[/BR:90]],Brudnopis!$E$24:$J$24),0)</f>
        <v>4.1666666666666664E-2</v>
      </c>
      <c r="U2822" s="44">
        <f>IF(Mecze[[#This Row],[Role]]&lt;&gt;"BR",SUMPRODUCT(Mecze[[#This Row],[/PR:90]:[/BR:90]],Brudnopis!$E$25:$J$25),0)</f>
        <v>4.1666666666666664E-2</v>
      </c>
      <c r="V2822" s="44">
        <f>IF(Mecze[[#This Row],[Role]]&lt;&gt;"BR",SUMPRODUCT(Mecze[[#This Row],[/PR:90]:[/BR:90]],Brudnopis!$E$26:$J$26),0)</f>
        <v>4.1666666666666664E-2</v>
      </c>
      <c r="W2822" s="44">
        <f>IF(Mecze[[#This Row],[Role]]&lt;&gt;"BR",SUMPRODUCT(Mecze[[#This Row],[/PR:90]:[/BR:90]],Brudnopis!$E$27:$J$27),0)</f>
        <v>3.125E-2</v>
      </c>
      <c r="X2822" s="44">
        <f>IF(Mecze[[#This Row],[Role]]&lt;&gt;"BR",SUMPRODUCT(Mecze[[#This Row],[/PR:90]:[/BR:90]],Brudnopis!$E$28:$J$28),0)</f>
        <v>0</v>
      </c>
      <c r="Y2822" s="35">
        <f>IF(Mecze[[#This Row],[Role]]="BR",Mecze[[#This Row],[/OB:90]]+Mecze[[#This Row],[/PC:90]],SUM(Mecze[[#This Row],[/PR:90]:[/BR:90]]))</f>
        <v>4.1666666666666664E-2</v>
      </c>
      <c r="Z2822" s="35">
        <f>IF(Mecze[[#This Row],[KC]]=0,SUM(Mecze[[#This Row],[/BRI]:[/NPI]]),SUM(Mecze[[#This Row],[/BRI]:[/NPI]])*0.6)</f>
        <v>0.15625</v>
      </c>
      <c r="AA2822" s="10">
        <f>IFERROR(Mecze[[#This Row],[BR]]/Mecze[[#This Row],[ST]],0)</f>
        <v>0</v>
      </c>
      <c r="AB2822">
        <f>ROUND(Mecze[[#This Row],[PD]]*Mecze[[#This Row],[%PC]],0)</f>
        <v>0</v>
      </c>
      <c r="AC2822">
        <f>ROUND(Mecze[[#This Row],[OD]]*Mecze[[#This Row],[%OU]],0)</f>
        <v>0</v>
      </c>
      <c r="AD2822" s="36" t="s">
        <v>67</v>
      </c>
      <c r="AE2822" s="36">
        <v>157</v>
      </c>
      <c r="AF2822" s="71">
        <v>1.93</v>
      </c>
      <c r="AG2822" s="37">
        <v>0</v>
      </c>
      <c r="AH2822" s="37">
        <v>0</v>
      </c>
      <c r="AI2822" s="37">
        <v>24</v>
      </c>
      <c r="AJ2822" s="37">
        <v>8</v>
      </c>
      <c r="AK2822" s="37" t="str">
        <f>VLOOKUP(Mecze[[#This Row],[Match ID]],Meczusie[Mecz]:Meczusie[RodzajMeczu],2,FALSE)</f>
        <v>Liga</v>
      </c>
    </row>
    <row r="2823" spans="1:37" x14ac:dyDescent="0.25">
      <c r="A2823" s="76">
        <v>71</v>
      </c>
      <c r="B2823" s="3" t="s">
        <v>429</v>
      </c>
      <c r="C2823" s="2" t="s">
        <v>157</v>
      </c>
      <c r="D2823" s="1">
        <v>0</v>
      </c>
      <c r="E2823" s="1">
        <v>0</v>
      </c>
      <c r="F2823" s="1">
        <v>0</v>
      </c>
      <c r="G2823" s="1">
        <v>1</v>
      </c>
      <c r="H2823" s="4">
        <v>1</v>
      </c>
      <c r="I2823" s="1">
        <v>0</v>
      </c>
      <c r="J2823" s="4"/>
      <c r="K2823" s="1">
        <v>0</v>
      </c>
      <c r="L2823" s="1">
        <v>2</v>
      </c>
      <c r="M2823" s="32">
        <f>IF(Mecze[[#This Row],[PR]]=0,0,Mecze[[#This Row],[PR]]/Mecze[[#This Row],[CZAS]])</f>
        <v>8.6956521739130432E-2</v>
      </c>
      <c r="N2823" s="32">
        <f>IF(Mecze[[#This Row],[OU]]=0,0,Mecze[[#This Row],[OU]]/Mecze[[#This Row],[CZAS]])</f>
        <v>0</v>
      </c>
      <c r="O2823" s="32">
        <f>IF(Mecze[[#This Row],[PC]]=0,0,Mecze[[#This Row],[PC]]/Mecze[[#This Row],[CZAS]])</f>
        <v>4.3478260869565216E-2</v>
      </c>
      <c r="P2823" s="32">
        <f>IF(Mecze[[#This Row],[SC]]=0,0,Mecze[[#This Row],[SC]]/Mecze[[#This Row],[CZAS]])</f>
        <v>0</v>
      </c>
      <c r="Q2823" s="32">
        <f>IF(Mecze[[#This Row],[OB]]=0,0,Mecze[[#This Row],[OB]]/Mecze[[#This Row],[CZAS]])</f>
        <v>0</v>
      </c>
      <c r="R2823" s="32">
        <f>IF(Mecze[[#This Row],[BR]]=0,0,Mecze[[#This Row],[BR]]/Mecze[[#This Row],[CZAS]])</f>
        <v>0</v>
      </c>
      <c r="S2823" s="44">
        <f>IF(Mecze[[#This Row],[Role]]="BR",SUMPRODUCT(Mecze[[#This Row],[/PR:90]:[/BR:90]],Brudnopis!$E$23:$J$23),0)</f>
        <v>0</v>
      </c>
      <c r="T2823" s="44">
        <f>IF(Mecze[[#This Row],[Role]]&lt;&gt;"BR",SUMPRODUCT(Mecze[[#This Row],[/PR:90]:[/BR:90]],Brudnopis!$E$24:$J$24),0)</f>
        <v>0.13043478260869565</v>
      </c>
      <c r="U2823" s="44">
        <f>IF(Mecze[[#This Row],[Role]]&lt;&gt;"BR",SUMPRODUCT(Mecze[[#This Row],[/PR:90]:[/BR:90]],Brudnopis!$E$25:$J$25),0)</f>
        <v>0.15217391304347827</v>
      </c>
      <c r="V2823" s="44">
        <f>IF(Mecze[[#This Row],[Role]]&lt;&gt;"BR",SUMPRODUCT(Mecze[[#This Row],[/PR:90]:[/BR:90]],Brudnopis!$E$26:$J$26),0)</f>
        <v>0.13043478260869565</v>
      </c>
      <c r="W2823" s="44">
        <f>IF(Mecze[[#This Row],[Role]]&lt;&gt;"BR",SUMPRODUCT(Mecze[[#This Row],[/PR:90]:[/BR:90]],Brudnopis!$E$27:$J$27),0)</f>
        <v>0.13043478260869565</v>
      </c>
      <c r="X2823" s="44">
        <f>IF(Mecze[[#This Row],[Role]]&lt;&gt;"BR",SUMPRODUCT(Mecze[[#This Row],[/PR:90]:[/BR:90]],Brudnopis!$E$28:$J$28),0)</f>
        <v>4.3478260869565216E-2</v>
      </c>
      <c r="Y2823" s="35">
        <f>IF(Mecze[[#This Row],[Role]]="BR",Mecze[[#This Row],[/OB:90]]+Mecze[[#This Row],[/PC:90]],SUM(Mecze[[#This Row],[/PR:90]:[/BR:90]]))</f>
        <v>0.13043478260869565</v>
      </c>
      <c r="Z2823" s="35">
        <f>IF(Mecze[[#This Row],[KC]]=0,SUM(Mecze[[#This Row],[/BRI]:[/NPI]]),SUM(Mecze[[#This Row],[/BRI]:[/NPI]])*0.6)</f>
        <v>0.58695652173913049</v>
      </c>
      <c r="AA2823" s="10">
        <f>IFERROR(Mecze[[#This Row],[BR]]/Mecze[[#This Row],[ST]],0)</f>
        <v>0</v>
      </c>
      <c r="AB2823">
        <f>ROUND(Mecze[[#This Row],[PD]]*Mecze[[#This Row],[%PC]],0)</f>
        <v>1</v>
      </c>
      <c r="AC2823">
        <f>ROUND(Mecze[[#This Row],[OD]]*Mecze[[#This Row],[%OU]],0)</f>
        <v>0</v>
      </c>
      <c r="AD2823" s="36" t="s">
        <v>47</v>
      </c>
      <c r="AE2823" s="36">
        <v>157</v>
      </c>
      <c r="AF2823" s="71">
        <v>1.03</v>
      </c>
      <c r="AG2823" s="37">
        <v>0</v>
      </c>
      <c r="AH2823" s="37">
        <v>0</v>
      </c>
      <c r="AI2823" s="37">
        <v>23</v>
      </c>
      <c r="AJ2823" s="37">
        <v>8</v>
      </c>
      <c r="AK2823" s="37" t="str">
        <f>VLOOKUP(Mecze[[#This Row],[Match ID]],Meczusie[Mecz]:Meczusie[RodzajMeczu],2,FALSE)</f>
        <v>Liga</v>
      </c>
    </row>
    <row r="2824" spans="1:37" x14ac:dyDescent="0.25">
      <c r="A2824" s="76">
        <v>68</v>
      </c>
      <c r="B2824" s="3" t="s">
        <v>416</v>
      </c>
      <c r="C2824" s="2" t="s">
        <v>165</v>
      </c>
      <c r="D2824" s="1">
        <v>1</v>
      </c>
      <c r="E2824" s="1">
        <v>1</v>
      </c>
      <c r="F2824" s="1">
        <v>1</v>
      </c>
      <c r="G2824" s="1">
        <v>1</v>
      </c>
      <c r="H2824" s="4">
        <v>0</v>
      </c>
      <c r="I2824" s="1">
        <v>0</v>
      </c>
      <c r="J2824" s="4"/>
      <c r="K2824" s="1">
        <v>0</v>
      </c>
      <c r="L2824" s="1">
        <v>0</v>
      </c>
      <c r="M2824" s="32">
        <f>IF(Mecze[[#This Row],[PR]]=0,0,Mecze[[#This Row],[PR]]/Mecze[[#This Row],[CZAS]])</f>
        <v>0</v>
      </c>
      <c r="N2824" s="32">
        <f>IF(Mecze[[#This Row],[OU]]=0,0,Mecze[[#This Row],[OU]]/Mecze[[#This Row],[CZAS]])</f>
        <v>0</v>
      </c>
      <c r="O2824" s="32">
        <f>IF(Mecze[[#This Row],[PC]]=0,0,Mecze[[#This Row],[PC]]/Mecze[[#This Row],[CZAS]])</f>
        <v>0</v>
      </c>
      <c r="P2824" s="32">
        <f>IF(Mecze[[#This Row],[SC]]=0,0,Mecze[[#This Row],[SC]]/Mecze[[#This Row],[CZAS]])</f>
        <v>5.5555555555555552E-2</v>
      </c>
      <c r="Q2824" s="32">
        <f>IF(Mecze[[#This Row],[OB]]=0,0,Mecze[[#This Row],[OB]]/Mecze[[#This Row],[CZAS]])</f>
        <v>0</v>
      </c>
      <c r="R2824" s="32">
        <f>IF(Mecze[[#This Row],[BR]]=0,0,Mecze[[#This Row],[BR]]/Mecze[[#This Row],[CZAS]])</f>
        <v>5.5555555555555552E-2</v>
      </c>
      <c r="S2824" s="44">
        <f>IF(Mecze[[#This Row],[Role]]="BR",SUMPRODUCT(Mecze[[#This Row],[/PR:90]:[/BR:90]],Brudnopis!$E$23:$J$23),0)</f>
        <v>0</v>
      </c>
      <c r="T2824" s="44">
        <f>IF(Mecze[[#This Row],[Role]]&lt;&gt;"BR",SUMPRODUCT(Mecze[[#This Row],[/PR:90]:[/BR:90]],Brudnopis!$E$24:$J$24),0)</f>
        <v>0.1388888888888889</v>
      </c>
      <c r="U2824" s="44">
        <f>IF(Mecze[[#This Row],[Role]]&lt;&gt;"BR",SUMPRODUCT(Mecze[[#This Row],[/PR:90]:[/BR:90]],Brudnopis!$E$25:$J$25),0)</f>
        <v>0.1388888888888889</v>
      </c>
      <c r="V2824" s="44">
        <f>IF(Mecze[[#This Row],[Role]]&lt;&gt;"BR",SUMPRODUCT(Mecze[[#This Row],[/PR:90]:[/BR:90]],Brudnopis!$E$26:$J$26),0)</f>
        <v>0.16666666666666666</v>
      </c>
      <c r="W2824" s="44">
        <f>IF(Mecze[[#This Row],[Role]]&lt;&gt;"BR",SUMPRODUCT(Mecze[[#This Row],[/PR:90]:[/BR:90]],Brudnopis!$E$27:$J$27),0)</f>
        <v>0.16666666666666666</v>
      </c>
      <c r="X2824" s="44">
        <f>IF(Mecze[[#This Row],[Role]]&lt;&gt;"BR",SUMPRODUCT(Mecze[[#This Row],[/PR:90]:[/BR:90]],Brudnopis!$E$28:$J$28),0)</f>
        <v>0.27777777777777779</v>
      </c>
      <c r="Y2824" s="35">
        <f>IF(Mecze[[#This Row],[Role]]="BR",Mecze[[#This Row],[/OB:90]]+Mecze[[#This Row],[/PC:90]],SUM(Mecze[[#This Row],[/PR:90]:[/BR:90]]))</f>
        <v>0.1111111111111111</v>
      </c>
      <c r="Z2824" s="35">
        <f>IF(Mecze[[#This Row],[KC]]=0,SUM(Mecze[[#This Row],[/BRI]:[/NPI]]),SUM(Mecze[[#This Row],[/BRI]:[/NPI]])*0.6)</f>
        <v>0.88888888888888884</v>
      </c>
      <c r="AA2824" s="10">
        <f>IFERROR(Mecze[[#This Row],[BR]]/Mecze[[#This Row],[ST]],0)</f>
        <v>1</v>
      </c>
      <c r="AB2824">
        <f>ROUND(Mecze[[#This Row],[PD]]*Mecze[[#This Row],[%PC]],0)</f>
        <v>0</v>
      </c>
      <c r="AC2824">
        <f>ROUND(Mecze[[#This Row],[OD]]*Mecze[[#This Row],[%OU]],0)</f>
        <v>0</v>
      </c>
      <c r="AD2824" s="36" t="s">
        <v>355</v>
      </c>
      <c r="AE2824" s="36">
        <v>157</v>
      </c>
      <c r="AF2824" s="71">
        <v>4.24</v>
      </c>
      <c r="AG2824" s="37">
        <v>0</v>
      </c>
      <c r="AH2824" s="37">
        <v>0</v>
      </c>
      <c r="AI2824" s="37">
        <v>18</v>
      </c>
      <c r="AJ2824" s="37">
        <v>8</v>
      </c>
      <c r="AK2824" s="37" t="str">
        <f>VLOOKUP(Mecze[[#This Row],[Match ID]],Meczusie[Mecz]:Meczusie[RodzajMeczu],2,FALSE)</f>
        <v>Liga</v>
      </c>
    </row>
    <row r="2825" spans="1:37" x14ac:dyDescent="0.25">
      <c r="A2825" s="76">
        <v>1</v>
      </c>
      <c r="B2825" s="3" t="s">
        <v>169</v>
      </c>
      <c r="C2825" s="2" t="s">
        <v>155</v>
      </c>
      <c r="D2825" s="1">
        <v>0</v>
      </c>
      <c r="E2825" s="1">
        <v>0</v>
      </c>
      <c r="F2825" s="1">
        <v>0</v>
      </c>
      <c r="G2825" s="1">
        <v>13</v>
      </c>
      <c r="H2825" s="4">
        <v>0.62</v>
      </c>
      <c r="I2825" s="1">
        <v>0</v>
      </c>
      <c r="J2825" s="4"/>
      <c r="K2825" s="1">
        <v>15</v>
      </c>
      <c r="L2825" s="1">
        <v>0</v>
      </c>
      <c r="M2825" s="32">
        <f>IF(Mecze[[#This Row],[PR]]=0,0,Mecze[[#This Row],[PR]]/Mecze[[#This Row],[CZAS]])</f>
        <v>0</v>
      </c>
      <c r="N2825" s="32">
        <f>IF(Mecze[[#This Row],[OU]]=0,0,Mecze[[#This Row],[OU]]/Mecze[[#This Row],[CZAS]])</f>
        <v>0</v>
      </c>
      <c r="O2825" s="32">
        <f>IF(Mecze[[#This Row],[PC]]=0,0,Mecze[[#This Row],[PC]]/Mecze[[#This Row],[CZAS]])</f>
        <v>8.3333333333333329E-2</v>
      </c>
      <c r="P2825" s="32">
        <f>IF(Mecze[[#This Row],[SC]]=0,0,Mecze[[#This Row],[SC]]/Mecze[[#This Row],[CZAS]])</f>
        <v>0</v>
      </c>
      <c r="Q2825" s="32">
        <f>IF(Mecze[[#This Row],[OB]]=0,0,Mecze[[#This Row],[OB]]/Mecze[[#This Row],[CZAS]])</f>
        <v>0.15625</v>
      </c>
      <c r="R2825" s="32">
        <f>IF(Mecze[[#This Row],[BR]]=0,0,Mecze[[#This Row],[BR]]/Mecze[[#This Row],[CZAS]])</f>
        <v>0</v>
      </c>
      <c r="S2825" s="44">
        <f>IF(Mecze[[#This Row],[Role]]="BR",SUMPRODUCT(Mecze[[#This Row],[/PR:90]:[/BR:90]],Brudnopis!$E$23:$J$23),0)</f>
        <v>0.71875</v>
      </c>
      <c r="T2825" s="44">
        <f>IF(Mecze[[#This Row],[Role]]&lt;&gt;"BR",SUMPRODUCT(Mecze[[#This Row],[/PR:90]:[/BR:90]],Brudnopis!$E$24:$J$24),0)</f>
        <v>0</v>
      </c>
      <c r="U2825" s="44">
        <f>IF(Mecze[[#This Row],[Role]]&lt;&gt;"BR",SUMPRODUCT(Mecze[[#This Row],[/PR:90]:[/BR:90]],Brudnopis!$E$25:$J$25),0)</f>
        <v>0</v>
      </c>
      <c r="V2825" s="44">
        <f>IF(Mecze[[#This Row],[Role]]&lt;&gt;"BR",SUMPRODUCT(Mecze[[#This Row],[/PR:90]:[/BR:90]],Brudnopis!$E$26:$J$26),0)</f>
        <v>0</v>
      </c>
      <c r="W2825" s="44">
        <f>IF(Mecze[[#This Row],[Role]]&lt;&gt;"BR",SUMPRODUCT(Mecze[[#This Row],[/PR:90]:[/BR:90]],Brudnopis!$E$27:$J$27),0)</f>
        <v>0</v>
      </c>
      <c r="X2825" s="44">
        <f>IF(Mecze[[#This Row],[Role]]&lt;&gt;"BR",SUMPRODUCT(Mecze[[#This Row],[/PR:90]:[/BR:90]],Brudnopis!$E$28:$J$28),0)</f>
        <v>0</v>
      </c>
      <c r="Y2825" s="35">
        <f>IF(Mecze[[#This Row],[Role]]="BR",Mecze[[#This Row],[/OB:90]]+Mecze[[#This Row],[/PC:90]],SUM(Mecze[[#This Row],[/PR:90]:[/BR:90]]))</f>
        <v>0.23958333333333331</v>
      </c>
      <c r="Z2825" s="35">
        <f>IF(Mecze[[#This Row],[KC]]=0,SUM(Mecze[[#This Row],[/BRI]:[/NPI]]),SUM(Mecze[[#This Row],[/BRI]:[/NPI]])*0.6)</f>
        <v>0.71875</v>
      </c>
      <c r="AA2825" s="10">
        <f>IFERROR(Mecze[[#This Row],[BR]]/Mecze[[#This Row],[ST]],0)</f>
        <v>0</v>
      </c>
      <c r="AB2825">
        <f>ROUND(Mecze[[#This Row],[PD]]*Mecze[[#This Row],[%PC]],0)</f>
        <v>8</v>
      </c>
      <c r="AC2825">
        <f>ROUND(Mecze[[#This Row],[OD]]*Mecze[[#This Row],[%OU]],0)</f>
        <v>0</v>
      </c>
      <c r="AD2825" s="36" t="s">
        <v>40</v>
      </c>
      <c r="AE2825" s="36">
        <v>158</v>
      </c>
      <c r="AF2825" s="71">
        <v>9.17</v>
      </c>
      <c r="AG2825" s="37">
        <v>0</v>
      </c>
      <c r="AH2825" s="37">
        <v>0</v>
      </c>
      <c r="AI2825" s="37">
        <v>96</v>
      </c>
      <c r="AJ2825" s="37">
        <v>1</v>
      </c>
      <c r="AK2825" s="37" t="str">
        <f>VLOOKUP(Mecze[[#This Row],[Match ID]],Meczusie[Mecz]:Meczusie[RodzajMeczu],2,FALSE)</f>
        <v>Liga</v>
      </c>
    </row>
    <row r="2826" spans="1:37" x14ac:dyDescent="0.25">
      <c r="A2826" s="76">
        <v>5</v>
      </c>
      <c r="B2826" s="3" t="s">
        <v>161</v>
      </c>
      <c r="C2826" s="2" t="s">
        <v>157</v>
      </c>
      <c r="D2826" s="1">
        <v>0</v>
      </c>
      <c r="E2826" s="1">
        <v>0</v>
      </c>
      <c r="F2826" s="1">
        <v>0</v>
      </c>
      <c r="G2826" s="1">
        <v>5</v>
      </c>
      <c r="H2826" s="4">
        <v>1</v>
      </c>
      <c r="I2826" s="1">
        <v>3</v>
      </c>
      <c r="J2826" s="4">
        <v>0.67</v>
      </c>
      <c r="K2826" s="1">
        <v>0</v>
      </c>
      <c r="L2826" s="1">
        <v>2</v>
      </c>
      <c r="M2826" s="32">
        <f>IF(Mecze[[#This Row],[PR]]=0,0,Mecze[[#This Row],[PR]]/Mecze[[#This Row],[CZAS]])</f>
        <v>2.0833333333333332E-2</v>
      </c>
      <c r="N2826" s="32">
        <f>IF(Mecze[[#This Row],[OU]]=0,0,Mecze[[#This Row],[OU]]/Mecze[[#This Row],[CZAS]])</f>
        <v>2.0833333333333332E-2</v>
      </c>
      <c r="O2826" s="32">
        <f>IF(Mecze[[#This Row],[PC]]=0,0,Mecze[[#This Row],[PC]]/Mecze[[#This Row],[CZAS]])</f>
        <v>5.2083333333333336E-2</v>
      </c>
      <c r="P2826" s="32">
        <f>IF(Mecze[[#This Row],[SC]]=0,0,Mecze[[#This Row],[SC]]/Mecze[[#This Row],[CZAS]])</f>
        <v>0</v>
      </c>
      <c r="Q2826" s="32">
        <f>IF(Mecze[[#This Row],[OB]]=0,0,Mecze[[#This Row],[OB]]/Mecze[[#This Row],[CZAS]])</f>
        <v>0</v>
      </c>
      <c r="R2826" s="32">
        <f>IF(Mecze[[#This Row],[BR]]=0,0,Mecze[[#This Row],[BR]]/Mecze[[#This Row],[CZAS]])</f>
        <v>0</v>
      </c>
      <c r="S2826" s="44">
        <f>IF(Mecze[[#This Row],[Role]]="BR",SUMPRODUCT(Mecze[[#This Row],[/PR:90]:[/BR:90]],Brudnopis!$E$23:$J$23),0)</f>
        <v>0</v>
      </c>
      <c r="T2826" s="44">
        <f>IF(Mecze[[#This Row],[Role]]&lt;&gt;"BR",SUMPRODUCT(Mecze[[#This Row],[/PR:90]:[/BR:90]],Brudnopis!$E$24:$J$24),0)</f>
        <v>0.10416666666666666</v>
      </c>
      <c r="U2826" s="44">
        <f>IF(Mecze[[#This Row],[Role]]&lt;&gt;"BR",SUMPRODUCT(Mecze[[#This Row],[/PR:90]:[/BR:90]],Brudnopis!$E$25:$J$25),0)</f>
        <v>0.11979166666666666</v>
      </c>
      <c r="V2826" s="44">
        <f>IF(Mecze[[#This Row],[Role]]&lt;&gt;"BR",SUMPRODUCT(Mecze[[#This Row],[/PR:90]:[/BR:90]],Brudnopis!$E$26:$J$26),0)</f>
        <v>9.375E-2</v>
      </c>
      <c r="W2826" s="44">
        <f>IF(Mecze[[#This Row],[Role]]&lt;&gt;"BR",SUMPRODUCT(Mecze[[#This Row],[/PR:90]:[/BR:90]],Brudnopis!$E$27:$J$27),0)</f>
        <v>0.109375</v>
      </c>
      <c r="X2826" s="44">
        <f>IF(Mecze[[#This Row],[Role]]&lt;&gt;"BR",SUMPRODUCT(Mecze[[#This Row],[/PR:90]:[/BR:90]],Brudnopis!$E$28:$J$28),0)</f>
        <v>5.2083333333333336E-2</v>
      </c>
      <c r="Y2826" s="35">
        <f>IF(Mecze[[#This Row],[Role]]="BR",Mecze[[#This Row],[/OB:90]]+Mecze[[#This Row],[/PC:90]],SUM(Mecze[[#This Row],[/PR:90]:[/BR:90]]))</f>
        <v>9.375E-2</v>
      </c>
      <c r="Z2826" s="35">
        <f>IF(Mecze[[#This Row],[KC]]=0,SUM(Mecze[[#This Row],[/BRI]:[/NPI]]),SUM(Mecze[[#This Row],[/BRI]:[/NPI]])*0.6)</f>
        <v>0.47916666666666663</v>
      </c>
      <c r="AA2826" s="10">
        <f>IFERROR(Mecze[[#This Row],[BR]]/Mecze[[#This Row],[ST]],0)</f>
        <v>0</v>
      </c>
      <c r="AB2826">
        <f>ROUND(Mecze[[#This Row],[PD]]*Mecze[[#This Row],[%PC]],0)</f>
        <v>5</v>
      </c>
      <c r="AC2826">
        <f>ROUND(Mecze[[#This Row],[OD]]*Mecze[[#This Row],[%OU]],0)</f>
        <v>2</v>
      </c>
      <c r="AD2826" s="36" t="s">
        <v>47</v>
      </c>
      <c r="AE2826" s="36">
        <v>158</v>
      </c>
      <c r="AF2826" s="71">
        <v>3.13</v>
      </c>
      <c r="AG2826" s="37">
        <v>1</v>
      </c>
      <c r="AH2826" s="37">
        <v>0</v>
      </c>
      <c r="AI2826" s="37">
        <v>96</v>
      </c>
      <c r="AJ2826" s="37">
        <v>1</v>
      </c>
      <c r="AK2826" s="37" t="str">
        <f>VLOOKUP(Mecze[[#This Row],[Match ID]],Meczusie[Mecz]:Meczusie[RodzajMeczu],2,FALSE)</f>
        <v>Liga</v>
      </c>
    </row>
    <row r="2827" spans="1:37" x14ac:dyDescent="0.25">
      <c r="A2827" s="76">
        <v>4</v>
      </c>
      <c r="B2827" s="3" t="s">
        <v>360</v>
      </c>
      <c r="C2827" s="2" t="s">
        <v>157</v>
      </c>
      <c r="D2827" s="1">
        <v>0</v>
      </c>
      <c r="E2827" s="1">
        <v>0</v>
      </c>
      <c r="F2827" s="1">
        <v>0</v>
      </c>
      <c r="G2827" s="1">
        <v>20</v>
      </c>
      <c r="H2827" s="4">
        <v>0.5</v>
      </c>
      <c r="I2827" s="1">
        <v>27</v>
      </c>
      <c r="J2827" s="4">
        <v>0.41</v>
      </c>
      <c r="K2827" s="1">
        <v>0</v>
      </c>
      <c r="L2827" s="1">
        <v>27</v>
      </c>
      <c r="M2827" s="32">
        <f>IF(Mecze[[#This Row],[PR]]=0,0,Mecze[[#This Row],[PR]]/Mecze[[#This Row],[CZAS]])</f>
        <v>0.28125</v>
      </c>
      <c r="N2827" s="32">
        <f>IF(Mecze[[#This Row],[OU]]=0,0,Mecze[[#This Row],[OU]]/Mecze[[#This Row],[CZAS]])</f>
        <v>0.11458333333333333</v>
      </c>
      <c r="O2827" s="32">
        <f>IF(Mecze[[#This Row],[PC]]=0,0,Mecze[[#This Row],[PC]]/Mecze[[#This Row],[CZAS]])</f>
        <v>0.10416666666666667</v>
      </c>
      <c r="P2827" s="32">
        <f>IF(Mecze[[#This Row],[SC]]=0,0,Mecze[[#This Row],[SC]]/Mecze[[#This Row],[CZAS]])</f>
        <v>0</v>
      </c>
      <c r="Q2827" s="32">
        <f>IF(Mecze[[#This Row],[OB]]=0,0,Mecze[[#This Row],[OB]]/Mecze[[#This Row],[CZAS]])</f>
        <v>0</v>
      </c>
      <c r="R2827" s="32">
        <f>IF(Mecze[[#This Row],[BR]]=0,0,Mecze[[#This Row],[BR]]/Mecze[[#This Row],[CZAS]])</f>
        <v>0</v>
      </c>
      <c r="S2827" s="44">
        <f>IF(Mecze[[#This Row],[Role]]="BR",SUMPRODUCT(Mecze[[#This Row],[/PR:90]:[/BR:90]],Brudnopis!$E$23:$J$23),0)</f>
        <v>0</v>
      </c>
      <c r="T2827" s="44">
        <f>IF(Mecze[[#This Row],[Role]]&lt;&gt;"BR",SUMPRODUCT(Mecze[[#This Row],[/PR:90]:[/BR:90]],Brudnopis!$E$24:$J$24),0)</f>
        <v>0.55729166666666663</v>
      </c>
      <c r="U2827" s="44">
        <f>IF(Mecze[[#This Row],[Role]]&lt;&gt;"BR",SUMPRODUCT(Mecze[[#This Row],[/PR:90]:[/BR:90]],Brudnopis!$E$25:$J$25),0)</f>
        <v>0.55208333333333326</v>
      </c>
      <c r="V2827" s="44">
        <f>IF(Mecze[[#This Row],[Role]]&lt;&gt;"BR",SUMPRODUCT(Mecze[[#This Row],[/PR:90]:[/BR:90]],Brudnopis!$E$26:$J$26),0)</f>
        <v>0.5</v>
      </c>
      <c r="W2827" s="44">
        <f>IF(Mecze[[#This Row],[Role]]&lt;&gt;"BR",SUMPRODUCT(Mecze[[#This Row],[/PR:90]:[/BR:90]],Brudnopis!$E$27:$J$27),0)</f>
        <v>0.453125</v>
      </c>
      <c r="X2827" s="44">
        <f>IF(Mecze[[#This Row],[Role]]&lt;&gt;"BR",SUMPRODUCT(Mecze[[#This Row],[/PR:90]:[/BR:90]],Brudnopis!$E$28:$J$28),0)</f>
        <v>0.10416666666666667</v>
      </c>
      <c r="Y2827" s="35">
        <f>IF(Mecze[[#This Row],[Role]]="BR",Mecze[[#This Row],[/OB:90]]+Mecze[[#This Row],[/PC:90]],SUM(Mecze[[#This Row],[/PR:90]:[/BR:90]]))</f>
        <v>0.5</v>
      </c>
      <c r="Z2827" s="35">
        <f>IF(Mecze[[#This Row],[KC]]=0,SUM(Mecze[[#This Row],[/BRI]:[/NPI]]),SUM(Mecze[[#This Row],[/BRI]:[/NPI]])*0.6)</f>
        <v>2.1666666666666665</v>
      </c>
      <c r="AA2827" s="10">
        <f>IFERROR(Mecze[[#This Row],[BR]]/Mecze[[#This Row],[ST]],0)</f>
        <v>0</v>
      </c>
      <c r="AB2827">
        <f>ROUND(Mecze[[#This Row],[PD]]*Mecze[[#This Row],[%PC]],0)</f>
        <v>10</v>
      </c>
      <c r="AC2827">
        <f>ROUND(Mecze[[#This Row],[OD]]*Mecze[[#This Row],[%OU]],0)</f>
        <v>11</v>
      </c>
      <c r="AD2827" s="36" t="s">
        <v>168</v>
      </c>
      <c r="AE2827" s="36">
        <v>158</v>
      </c>
      <c r="AF2827" s="71">
        <v>8.3699999999999992</v>
      </c>
      <c r="AG2827" s="37">
        <v>0</v>
      </c>
      <c r="AH2827" s="37">
        <v>0</v>
      </c>
      <c r="AI2827" s="37">
        <v>96</v>
      </c>
      <c r="AJ2827" s="37">
        <v>1</v>
      </c>
      <c r="AK2827" s="37" t="str">
        <f>VLOOKUP(Mecze[[#This Row],[Match ID]],Meczusie[Mecz]:Meczusie[RodzajMeczu],2,FALSE)</f>
        <v>Liga</v>
      </c>
    </row>
    <row r="2828" spans="1:37" x14ac:dyDescent="0.25">
      <c r="A2828" s="76">
        <v>18</v>
      </c>
      <c r="B2828" s="3" t="s">
        <v>211</v>
      </c>
      <c r="C2828" s="2" t="s">
        <v>157</v>
      </c>
      <c r="D2828" s="1">
        <v>0</v>
      </c>
      <c r="E2828" s="1">
        <v>0</v>
      </c>
      <c r="F2828" s="1">
        <v>0</v>
      </c>
      <c r="G2828" s="1">
        <v>7</v>
      </c>
      <c r="H2828" s="4">
        <v>0.43</v>
      </c>
      <c r="I2828" s="1">
        <v>7</v>
      </c>
      <c r="J2828" s="4">
        <v>0.43</v>
      </c>
      <c r="K2828" s="1">
        <v>0</v>
      </c>
      <c r="L2828" s="1">
        <v>5</v>
      </c>
      <c r="M2828" s="32">
        <f>IF(Mecze[[#This Row],[PR]]=0,0,Mecze[[#This Row],[PR]]/Mecze[[#This Row],[CZAS]])</f>
        <v>5.2083333333333336E-2</v>
      </c>
      <c r="N2828" s="32">
        <f>IF(Mecze[[#This Row],[OU]]=0,0,Mecze[[#This Row],[OU]]/Mecze[[#This Row],[CZAS]])</f>
        <v>3.125E-2</v>
      </c>
      <c r="O2828" s="32">
        <f>IF(Mecze[[#This Row],[PC]]=0,0,Mecze[[#This Row],[PC]]/Mecze[[#This Row],[CZAS]])</f>
        <v>3.125E-2</v>
      </c>
      <c r="P2828" s="32">
        <f>IF(Mecze[[#This Row],[SC]]=0,0,Mecze[[#This Row],[SC]]/Mecze[[#This Row],[CZAS]])</f>
        <v>0</v>
      </c>
      <c r="Q2828" s="32">
        <f>IF(Mecze[[#This Row],[OB]]=0,0,Mecze[[#This Row],[OB]]/Mecze[[#This Row],[CZAS]])</f>
        <v>0</v>
      </c>
      <c r="R2828" s="32">
        <f>IF(Mecze[[#This Row],[BR]]=0,0,Mecze[[#This Row],[BR]]/Mecze[[#This Row],[CZAS]])</f>
        <v>0</v>
      </c>
      <c r="S2828" s="44">
        <f>IF(Mecze[[#This Row],[Role]]="BR",SUMPRODUCT(Mecze[[#This Row],[/PR:90]:[/BR:90]],Brudnopis!$E$23:$J$23),0)</f>
        <v>0</v>
      </c>
      <c r="T2828" s="44">
        <f>IF(Mecze[[#This Row],[Role]]&lt;&gt;"BR",SUMPRODUCT(Mecze[[#This Row],[/PR:90]:[/BR:90]],Brudnopis!$E$24:$J$24),0)</f>
        <v>0.13020833333333334</v>
      </c>
      <c r="U2828" s="44">
        <f>IF(Mecze[[#This Row],[Role]]&lt;&gt;"BR",SUMPRODUCT(Mecze[[#This Row],[/PR:90]:[/BR:90]],Brudnopis!$E$25:$J$25),0)</f>
        <v>0.13020833333333334</v>
      </c>
      <c r="V2828" s="44">
        <f>IF(Mecze[[#This Row],[Role]]&lt;&gt;"BR",SUMPRODUCT(Mecze[[#This Row],[/PR:90]:[/BR:90]],Brudnopis!$E$26:$J$26),0)</f>
        <v>0.11458333333333334</v>
      </c>
      <c r="W2828" s="44">
        <f>IF(Mecze[[#This Row],[Role]]&lt;&gt;"BR",SUMPRODUCT(Mecze[[#This Row],[/PR:90]:[/BR:90]],Brudnopis!$E$27:$J$27),0)</f>
        <v>0.109375</v>
      </c>
      <c r="X2828" s="44">
        <f>IF(Mecze[[#This Row],[Role]]&lt;&gt;"BR",SUMPRODUCT(Mecze[[#This Row],[/PR:90]:[/BR:90]],Brudnopis!$E$28:$J$28),0)</f>
        <v>3.125E-2</v>
      </c>
      <c r="Y2828" s="35">
        <f>IF(Mecze[[#This Row],[Role]]="BR",Mecze[[#This Row],[/OB:90]]+Mecze[[#This Row],[/PC:90]],SUM(Mecze[[#This Row],[/PR:90]:[/BR:90]]))</f>
        <v>0.11458333333333334</v>
      </c>
      <c r="Z2828" s="35">
        <f>IF(Mecze[[#This Row],[KC]]=0,SUM(Mecze[[#This Row],[/BRI]:[/NPI]]),SUM(Mecze[[#This Row],[/BRI]:[/NPI]])*0.6)</f>
        <v>0.515625</v>
      </c>
      <c r="AA2828" s="10">
        <f>IFERROR(Mecze[[#This Row],[BR]]/Mecze[[#This Row],[ST]],0)</f>
        <v>0</v>
      </c>
      <c r="AB2828">
        <f>ROUND(Mecze[[#This Row],[PD]]*Mecze[[#This Row],[%PC]],0)</f>
        <v>3</v>
      </c>
      <c r="AC2828">
        <f>ROUND(Mecze[[#This Row],[OD]]*Mecze[[#This Row],[%OU]],0)</f>
        <v>3</v>
      </c>
      <c r="AD2828" s="36" t="s">
        <v>167</v>
      </c>
      <c r="AE2828" s="36">
        <v>158</v>
      </c>
      <c r="AF2828" s="71">
        <v>3.75</v>
      </c>
      <c r="AG2828" s="37">
        <v>0</v>
      </c>
      <c r="AH2828" s="37">
        <v>0</v>
      </c>
      <c r="AI2828" s="37">
        <v>96</v>
      </c>
      <c r="AJ2828" s="37">
        <v>1</v>
      </c>
      <c r="AK2828" s="37" t="str">
        <f>VLOOKUP(Mecze[[#This Row],[Match ID]],Meczusie[Mecz]:Meczusie[RodzajMeczu],2,FALSE)</f>
        <v>Liga</v>
      </c>
    </row>
    <row r="2829" spans="1:37" x14ac:dyDescent="0.25">
      <c r="A2829" s="76">
        <v>6</v>
      </c>
      <c r="B2829" s="3" t="s">
        <v>159</v>
      </c>
      <c r="C2829" s="2" t="s">
        <v>160</v>
      </c>
      <c r="D2829" s="1">
        <v>0</v>
      </c>
      <c r="E2829" s="1">
        <v>0</v>
      </c>
      <c r="F2829" s="1">
        <v>0</v>
      </c>
      <c r="G2829" s="1">
        <v>15</v>
      </c>
      <c r="H2829" s="4">
        <v>0.27</v>
      </c>
      <c r="I2829" s="1">
        <v>3</v>
      </c>
      <c r="J2829" s="4">
        <v>0.67</v>
      </c>
      <c r="K2829" s="1">
        <v>0</v>
      </c>
      <c r="L2829" s="1">
        <v>3</v>
      </c>
      <c r="M2829" s="32">
        <f>IF(Mecze[[#This Row],[PR]]=0,0,Mecze[[#This Row],[PR]]/Mecze[[#This Row],[CZAS]])</f>
        <v>3.125E-2</v>
      </c>
      <c r="N2829" s="32">
        <f>IF(Mecze[[#This Row],[OU]]=0,0,Mecze[[#This Row],[OU]]/Mecze[[#This Row],[CZAS]])</f>
        <v>2.0833333333333332E-2</v>
      </c>
      <c r="O2829" s="32">
        <f>IF(Mecze[[#This Row],[PC]]=0,0,Mecze[[#This Row],[PC]]/Mecze[[#This Row],[CZAS]])</f>
        <v>4.1666666666666664E-2</v>
      </c>
      <c r="P2829" s="32">
        <f>IF(Mecze[[#This Row],[SC]]=0,0,Mecze[[#This Row],[SC]]/Mecze[[#This Row],[CZAS]])</f>
        <v>0</v>
      </c>
      <c r="Q2829" s="32">
        <f>IF(Mecze[[#This Row],[OB]]=0,0,Mecze[[#This Row],[OB]]/Mecze[[#This Row],[CZAS]])</f>
        <v>0</v>
      </c>
      <c r="R2829" s="32">
        <f>IF(Mecze[[#This Row],[BR]]=0,0,Mecze[[#This Row],[BR]]/Mecze[[#This Row],[CZAS]])</f>
        <v>0</v>
      </c>
      <c r="S2829" s="44">
        <f>IF(Mecze[[#This Row],[Role]]="BR",SUMPRODUCT(Mecze[[#This Row],[/PR:90]:[/BR:90]],Brudnopis!$E$23:$J$23),0)</f>
        <v>0</v>
      </c>
      <c r="T2829" s="44">
        <f>IF(Mecze[[#This Row],[Role]]&lt;&gt;"BR",SUMPRODUCT(Mecze[[#This Row],[/PR:90]:[/BR:90]],Brudnopis!$E$24:$J$24),0)</f>
        <v>0.10416666666666666</v>
      </c>
      <c r="U2829" s="44">
        <f>IF(Mecze[[#This Row],[Role]]&lt;&gt;"BR",SUMPRODUCT(Mecze[[#This Row],[/PR:90]:[/BR:90]],Brudnopis!$E$25:$J$25),0)</f>
        <v>0.11458333333333333</v>
      </c>
      <c r="V2829" s="44">
        <f>IF(Mecze[[#This Row],[Role]]&lt;&gt;"BR",SUMPRODUCT(Mecze[[#This Row],[/PR:90]:[/BR:90]],Brudnopis!$E$26:$J$26),0)</f>
        <v>9.375E-2</v>
      </c>
      <c r="W2829" s="44">
        <f>IF(Mecze[[#This Row],[Role]]&lt;&gt;"BR",SUMPRODUCT(Mecze[[#This Row],[/PR:90]:[/BR:90]],Brudnopis!$E$27:$J$27),0)</f>
        <v>0.1015625</v>
      </c>
      <c r="X2829" s="44">
        <f>IF(Mecze[[#This Row],[Role]]&lt;&gt;"BR",SUMPRODUCT(Mecze[[#This Row],[/PR:90]:[/BR:90]],Brudnopis!$E$28:$J$28),0)</f>
        <v>4.1666666666666664E-2</v>
      </c>
      <c r="Y2829" s="35">
        <f>IF(Mecze[[#This Row],[Role]]="BR",Mecze[[#This Row],[/OB:90]]+Mecze[[#This Row],[/PC:90]],SUM(Mecze[[#This Row],[/PR:90]:[/BR:90]]))</f>
        <v>9.375E-2</v>
      </c>
      <c r="Z2829" s="35">
        <f>IF(Mecze[[#This Row],[KC]]=0,SUM(Mecze[[#This Row],[/BRI]:[/NPI]]),SUM(Mecze[[#This Row],[/BRI]:[/NPI]])*0.6)</f>
        <v>0.45572916666666669</v>
      </c>
      <c r="AA2829" s="10">
        <f>IFERROR(Mecze[[#This Row],[BR]]/Mecze[[#This Row],[ST]],0)</f>
        <v>0</v>
      </c>
      <c r="AB2829">
        <f>ROUND(Mecze[[#This Row],[PD]]*Mecze[[#This Row],[%PC]],0)</f>
        <v>4</v>
      </c>
      <c r="AC2829">
        <f>ROUND(Mecze[[#This Row],[OD]]*Mecze[[#This Row],[%OU]],0)</f>
        <v>2</v>
      </c>
      <c r="AD2829" s="36" t="s">
        <v>41</v>
      </c>
      <c r="AE2829" s="36">
        <v>158</v>
      </c>
      <c r="AF2829" s="71">
        <v>3.33</v>
      </c>
      <c r="AG2829" s="37">
        <v>0</v>
      </c>
      <c r="AH2829" s="37">
        <v>0</v>
      </c>
      <c r="AI2829" s="37">
        <v>96</v>
      </c>
      <c r="AJ2829" s="37">
        <v>1</v>
      </c>
      <c r="AK2829" s="37" t="str">
        <f>VLOOKUP(Mecze[[#This Row],[Match ID]],Meczusie[Mecz]:Meczusie[RodzajMeczu],2,FALSE)</f>
        <v>Liga</v>
      </c>
    </row>
    <row r="2830" spans="1:37" x14ac:dyDescent="0.25">
      <c r="A2830" s="76">
        <v>13</v>
      </c>
      <c r="B2830" s="3" t="s">
        <v>162</v>
      </c>
      <c r="C2830" s="2" t="s">
        <v>160</v>
      </c>
      <c r="D2830" s="1">
        <v>0</v>
      </c>
      <c r="E2830" s="1">
        <v>0</v>
      </c>
      <c r="F2830" s="1">
        <v>0</v>
      </c>
      <c r="G2830" s="1">
        <v>13</v>
      </c>
      <c r="H2830" s="4">
        <v>0.69</v>
      </c>
      <c r="I2830" s="1">
        <v>5</v>
      </c>
      <c r="J2830" s="4">
        <v>0.2</v>
      </c>
      <c r="K2830" s="1">
        <v>0</v>
      </c>
      <c r="L2830" s="1">
        <v>5</v>
      </c>
      <c r="M2830" s="32">
        <f>IF(Mecze[[#This Row],[PR]]=0,0,Mecze[[#This Row],[PR]]/Mecze[[#This Row],[CZAS]])</f>
        <v>5.2083333333333336E-2</v>
      </c>
      <c r="N2830" s="32">
        <f>IF(Mecze[[#This Row],[OU]]=0,0,Mecze[[#This Row],[OU]]/Mecze[[#This Row],[CZAS]])</f>
        <v>1.0416666666666666E-2</v>
      </c>
      <c r="O2830" s="32">
        <f>IF(Mecze[[#This Row],[PC]]=0,0,Mecze[[#This Row],[PC]]/Mecze[[#This Row],[CZAS]])</f>
        <v>9.375E-2</v>
      </c>
      <c r="P2830" s="32">
        <f>IF(Mecze[[#This Row],[SC]]=0,0,Mecze[[#This Row],[SC]]/Mecze[[#This Row],[CZAS]])</f>
        <v>0</v>
      </c>
      <c r="Q2830" s="32">
        <f>IF(Mecze[[#This Row],[OB]]=0,0,Mecze[[#This Row],[OB]]/Mecze[[#This Row],[CZAS]])</f>
        <v>0</v>
      </c>
      <c r="R2830" s="32">
        <f>IF(Mecze[[#This Row],[BR]]=0,0,Mecze[[#This Row],[BR]]/Mecze[[#This Row],[CZAS]])</f>
        <v>0</v>
      </c>
      <c r="S2830" s="44">
        <f>IF(Mecze[[#This Row],[Role]]="BR",SUMPRODUCT(Mecze[[#This Row],[/PR:90]:[/BR:90]],Brudnopis!$E$23:$J$23),0)</f>
        <v>0</v>
      </c>
      <c r="T2830" s="44">
        <f>IF(Mecze[[#This Row],[Role]]&lt;&gt;"BR",SUMPRODUCT(Mecze[[#This Row],[/PR:90]:[/BR:90]],Brudnopis!$E$24:$J$24),0)</f>
        <v>0.16145833333333334</v>
      </c>
      <c r="U2830" s="44">
        <f>IF(Mecze[[#This Row],[Role]]&lt;&gt;"BR",SUMPRODUCT(Mecze[[#This Row],[/PR:90]:[/BR:90]],Brudnopis!$E$25:$J$25),0)</f>
        <v>0.203125</v>
      </c>
      <c r="V2830" s="44">
        <f>IF(Mecze[[#This Row],[Role]]&lt;&gt;"BR",SUMPRODUCT(Mecze[[#This Row],[/PR:90]:[/BR:90]],Brudnopis!$E$26:$J$26),0)</f>
        <v>0.15625</v>
      </c>
      <c r="W2830" s="44">
        <f>IF(Mecze[[#This Row],[Role]]&lt;&gt;"BR",SUMPRODUCT(Mecze[[#This Row],[/PR:90]:[/BR:90]],Brudnopis!$E$27:$J$27),0)</f>
        <v>0.1875</v>
      </c>
      <c r="X2830" s="44">
        <f>IF(Mecze[[#This Row],[Role]]&lt;&gt;"BR",SUMPRODUCT(Mecze[[#This Row],[/PR:90]:[/BR:90]],Brudnopis!$E$28:$J$28),0)</f>
        <v>9.375E-2</v>
      </c>
      <c r="Y2830" s="35">
        <f>IF(Mecze[[#This Row],[Role]]="BR",Mecze[[#This Row],[/OB:90]]+Mecze[[#This Row],[/PC:90]],SUM(Mecze[[#This Row],[/PR:90]:[/BR:90]]))</f>
        <v>0.15625</v>
      </c>
      <c r="Z2830" s="35">
        <f>IF(Mecze[[#This Row],[KC]]=0,SUM(Mecze[[#This Row],[/BRI]:[/NPI]]),SUM(Mecze[[#This Row],[/BRI]:[/NPI]])*0.6)</f>
        <v>0.80208333333333337</v>
      </c>
      <c r="AA2830" s="10">
        <f>IFERROR(Mecze[[#This Row],[BR]]/Mecze[[#This Row],[ST]],0)</f>
        <v>0</v>
      </c>
      <c r="AB2830">
        <f>ROUND(Mecze[[#This Row],[PD]]*Mecze[[#This Row],[%PC]],0)</f>
        <v>9</v>
      </c>
      <c r="AC2830">
        <f>ROUND(Mecze[[#This Row],[OD]]*Mecze[[#This Row],[%OU]],0)</f>
        <v>1</v>
      </c>
      <c r="AD2830" s="36" t="s">
        <v>41</v>
      </c>
      <c r="AE2830" s="36">
        <v>158</v>
      </c>
      <c r="AF2830" s="71">
        <v>4.96</v>
      </c>
      <c r="AG2830" s="37">
        <v>0</v>
      </c>
      <c r="AH2830" s="37">
        <v>0</v>
      </c>
      <c r="AI2830" s="37">
        <v>96</v>
      </c>
      <c r="AJ2830" s="37">
        <v>1</v>
      </c>
      <c r="AK2830" s="37" t="str">
        <f>VLOOKUP(Mecze[[#This Row],[Match ID]],Meczusie[Mecz]:Meczusie[RodzajMeczu],2,FALSE)</f>
        <v>Liga</v>
      </c>
    </row>
    <row r="2831" spans="1:37" x14ac:dyDescent="0.25">
      <c r="A2831" s="76">
        <v>15</v>
      </c>
      <c r="B2831" s="3" t="s">
        <v>170</v>
      </c>
      <c r="C2831" s="2" t="s">
        <v>160</v>
      </c>
      <c r="D2831" s="1">
        <v>0</v>
      </c>
      <c r="E2831" s="1">
        <v>0</v>
      </c>
      <c r="F2831" s="1">
        <v>0</v>
      </c>
      <c r="G2831" s="1">
        <v>13</v>
      </c>
      <c r="H2831" s="4">
        <v>0.54</v>
      </c>
      <c r="I2831" s="1">
        <v>6</v>
      </c>
      <c r="J2831" s="4">
        <v>0.83</v>
      </c>
      <c r="K2831" s="1">
        <v>0</v>
      </c>
      <c r="L2831" s="1">
        <v>3</v>
      </c>
      <c r="M2831" s="32">
        <f>IF(Mecze[[#This Row],[PR]]=0,0,Mecze[[#This Row],[PR]]/Mecze[[#This Row],[CZAS]])</f>
        <v>3.125E-2</v>
      </c>
      <c r="N2831" s="32">
        <f>IF(Mecze[[#This Row],[OU]]=0,0,Mecze[[#This Row],[OU]]/Mecze[[#This Row],[CZAS]])</f>
        <v>5.2083333333333336E-2</v>
      </c>
      <c r="O2831" s="32">
        <f>IF(Mecze[[#This Row],[PC]]=0,0,Mecze[[#This Row],[PC]]/Mecze[[#This Row],[CZAS]])</f>
        <v>7.2916666666666671E-2</v>
      </c>
      <c r="P2831" s="32">
        <f>IF(Mecze[[#This Row],[SC]]=0,0,Mecze[[#This Row],[SC]]/Mecze[[#This Row],[CZAS]])</f>
        <v>0</v>
      </c>
      <c r="Q2831" s="32">
        <f>IF(Mecze[[#This Row],[OB]]=0,0,Mecze[[#This Row],[OB]]/Mecze[[#This Row],[CZAS]])</f>
        <v>0</v>
      </c>
      <c r="R2831" s="32">
        <f>IF(Mecze[[#This Row],[BR]]=0,0,Mecze[[#This Row],[BR]]/Mecze[[#This Row],[CZAS]])</f>
        <v>0</v>
      </c>
      <c r="S2831" s="44">
        <f>IF(Mecze[[#This Row],[Role]]="BR",SUMPRODUCT(Mecze[[#This Row],[/PR:90]:[/BR:90]],Brudnopis!$E$23:$J$23),0)</f>
        <v>0</v>
      </c>
      <c r="T2831" s="44">
        <f>IF(Mecze[[#This Row],[Role]]&lt;&gt;"BR",SUMPRODUCT(Mecze[[#This Row],[/PR:90]:[/BR:90]],Brudnopis!$E$24:$J$24),0)</f>
        <v>0.18229166666666669</v>
      </c>
      <c r="U2831" s="44">
        <f>IF(Mecze[[#This Row],[Role]]&lt;&gt;"BR",SUMPRODUCT(Mecze[[#This Row],[/PR:90]:[/BR:90]],Brudnopis!$E$25:$J$25),0)</f>
        <v>0.19270833333333334</v>
      </c>
      <c r="V2831" s="44">
        <f>IF(Mecze[[#This Row],[Role]]&lt;&gt;"BR",SUMPRODUCT(Mecze[[#This Row],[/PR:90]:[/BR:90]],Brudnopis!$E$26:$J$26),0)</f>
        <v>0.15625</v>
      </c>
      <c r="W2831" s="44">
        <f>IF(Mecze[[#This Row],[Role]]&lt;&gt;"BR",SUMPRODUCT(Mecze[[#This Row],[/PR:90]:[/BR:90]],Brudnopis!$E$27:$J$27),0)</f>
        <v>0.171875</v>
      </c>
      <c r="X2831" s="44">
        <f>IF(Mecze[[#This Row],[Role]]&lt;&gt;"BR",SUMPRODUCT(Mecze[[#This Row],[/PR:90]:[/BR:90]],Brudnopis!$E$28:$J$28),0)</f>
        <v>7.2916666666666671E-2</v>
      </c>
      <c r="Y2831" s="35">
        <f>IF(Mecze[[#This Row],[Role]]="BR",Mecze[[#This Row],[/OB:90]]+Mecze[[#This Row],[/PC:90]],SUM(Mecze[[#This Row],[/PR:90]:[/BR:90]]))</f>
        <v>0.15625</v>
      </c>
      <c r="Z2831" s="35">
        <f>IF(Mecze[[#This Row],[KC]]=0,SUM(Mecze[[#This Row],[/BRI]:[/NPI]]),SUM(Mecze[[#This Row],[/BRI]:[/NPI]])*0.6)</f>
        <v>0.77604166666666663</v>
      </c>
      <c r="AA2831" s="10">
        <f>IFERROR(Mecze[[#This Row],[BR]]/Mecze[[#This Row],[ST]],0)</f>
        <v>0</v>
      </c>
      <c r="AB2831">
        <f>ROUND(Mecze[[#This Row],[PD]]*Mecze[[#This Row],[%PC]],0)</f>
        <v>7</v>
      </c>
      <c r="AC2831">
        <f>ROUND(Mecze[[#This Row],[OD]]*Mecze[[#This Row],[%OU]],0)</f>
        <v>5</v>
      </c>
      <c r="AD2831" s="36" t="s">
        <v>67</v>
      </c>
      <c r="AE2831" s="36">
        <v>158</v>
      </c>
      <c r="AF2831" s="71">
        <v>4.54</v>
      </c>
      <c r="AG2831" s="37">
        <v>0</v>
      </c>
      <c r="AH2831" s="37">
        <v>0</v>
      </c>
      <c r="AI2831" s="37">
        <v>96</v>
      </c>
      <c r="AJ2831" s="37">
        <v>1</v>
      </c>
      <c r="AK2831" s="37" t="str">
        <f>VLOOKUP(Mecze[[#This Row],[Match ID]],Meczusie[Mecz]:Meczusie[RodzajMeczu],2,FALSE)</f>
        <v>Liga</v>
      </c>
    </row>
    <row r="2832" spans="1:37" x14ac:dyDescent="0.25">
      <c r="A2832" s="76">
        <v>8</v>
      </c>
      <c r="B2832" s="3" t="s">
        <v>154</v>
      </c>
      <c r="C2832" s="2" t="s">
        <v>160</v>
      </c>
      <c r="D2832" s="1">
        <v>0</v>
      </c>
      <c r="E2832" s="1">
        <v>0</v>
      </c>
      <c r="F2832" s="1">
        <v>0</v>
      </c>
      <c r="G2832" s="1">
        <v>8</v>
      </c>
      <c r="H2832" s="4">
        <v>0.5</v>
      </c>
      <c r="I2832" s="1">
        <v>1</v>
      </c>
      <c r="J2832" s="4">
        <v>0</v>
      </c>
      <c r="K2832" s="1">
        <v>0</v>
      </c>
      <c r="L2832" s="1">
        <v>2</v>
      </c>
      <c r="M2832" s="32">
        <f>IF(Mecze[[#This Row],[PR]]=0,0,Mecze[[#This Row],[PR]]/Mecze[[#This Row],[CZAS]])</f>
        <v>2.0833333333333332E-2</v>
      </c>
      <c r="N2832" s="32">
        <f>IF(Mecze[[#This Row],[OU]]=0,0,Mecze[[#This Row],[OU]]/Mecze[[#This Row],[CZAS]])</f>
        <v>0</v>
      </c>
      <c r="O2832" s="32">
        <f>IF(Mecze[[#This Row],[PC]]=0,0,Mecze[[#This Row],[PC]]/Mecze[[#This Row],[CZAS]])</f>
        <v>4.1666666666666664E-2</v>
      </c>
      <c r="P2832" s="32">
        <f>IF(Mecze[[#This Row],[SC]]=0,0,Mecze[[#This Row],[SC]]/Mecze[[#This Row],[CZAS]])</f>
        <v>0</v>
      </c>
      <c r="Q2832" s="32">
        <f>IF(Mecze[[#This Row],[OB]]=0,0,Mecze[[#This Row],[OB]]/Mecze[[#This Row],[CZAS]])</f>
        <v>0</v>
      </c>
      <c r="R2832" s="32">
        <f>IF(Mecze[[#This Row],[BR]]=0,0,Mecze[[#This Row],[BR]]/Mecze[[#This Row],[CZAS]])</f>
        <v>0</v>
      </c>
      <c r="S2832" s="44">
        <f>IF(Mecze[[#This Row],[Role]]="BR",SUMPRODUCT(Mecze[[#This Row],[/PR:90]:[/BR:90]],Brudnopis!$E$23:$J$23),0)</f>
        <v>0</v>
      </c>
      <c r="T2832" s="44">
        <f>IF(Mecze[[#This Row],[Role]]&lt;&gt;"BR",SUMPRODUCT(Mecze[[#This Row],[/PR:90]:[/BR:90]],Brudnopis!$E$24:$J$24),0)</f>
        <v>6.25E-2</v>
      </c>
      <c r="U2832" s="44">
        <f>IF(Mecze[[#This Row],[Role]]&lt;&gt;"BR",SUMPRODUCT(Mecze[[#This Row],[/PR:90]:[/BR:90]],Brudnopis!$E$25:$J$25),0)</f>
        <v>8.3333333333333329E-2</v>
      </c>
      <c r="V2832" s="44">
        <f>IF(Mecze[[#This Row],[Role]]&lt;&gt;"BR",SUMPRODUCT(Mecze[[#This Row],[/PR:90]:[/BR:90]],Brudnopis!$E$26:$J$26),0)</f>
        <v>6.25E-2</v>
      </c>
      <c r="W2832" s="44">
        <f>IF(Mecze[[#This Row],[Role]]&lt;&gt;"BR",SUMPRODUCT(Mecze[[#This Row],[/PR:90]:[/BR:90]],Brudnopis!$E$27:$J$27),0)</f>
        <v>7.8125E-2</v>
      </c>
      <c r="X2832" s="44">
        <f>IF(Mecze[[#This Row],[Role]]&lt;&gt;"BR",SUMPRODUCT(Mecze[[#This Row],[/PR:90]:[/BR:90]],Brudnopis!$E$28:$J$28),0)</f>
        <v>4.1666666666666664E-2</v>
      </c>
      <c r="Y2832" s="35">
        <f>IF(Mecze[[#This Row],[Role]]="BR",Mecze[[#This Row],[/OB:90]]+Mecze[[#This Row],[/PC:90]],SUM(Mecze[[#This Row],[/PR:90]:[/BR:90]]))</f>
        <v>6.25E-2</v>
      </c>
      <c r="Z2832" s="35">
        <f>IF(Mecze[[#This Row],[KC]]=0,SUM(Mecze[[#This Row],[/BRI]:[/NPI]]),SUM(Mecze[[#This Row],[/BRI]:[/NPI]])*0.6)</f>
        <v>0.328125</v>
      </c>
      <c r="AA2832" s="10">
        <f>IFERROR(Mecze[[#This Row],[BR]]/Mecze[[#This Row],[ST]],0)</f>
        <v>0</v>
      </c>
      <c r="AB2832">
        <f>ROUND(Mecze[[#This Row],[PD]]*Mecze[[#This Row],[%PC]],0)</f>
        <v>4</v>
      </c>
      <c r="AC2832">
        <f>ROUND(Mecze[[#This Row],[OD]]*Mecze[[#This Row],[%OU]],0)</f>
        <v>0</v>
      </c>
      <c r="AD2832" s="36" t="s">
        <v>171</v>
      </c>
      <c r="AE2832" s="36">
        <v>158</v>
      </c>
      <c r="AF2832" s="71">
        <v>4.33</v>
      </c>
      <c r="AG2832" s="37">
        <v>0</v>
      </c>
      <c r="AH2832" s="37">
        <v>0</v>
      </c>
      <c r="AI2832" s="37">
        <v>96</v>
      </c>
      <c r="AJ2832" s="37">
        <v>1</v>
      </c>
      <c r="AK2832" s="37" t="str">
        <f>VLOOKUP(Mecze[[#This Row],[Match ID]],Meczusie[Mecz]:Meczusie[RodzajMeczu],2,FALSE)</f>
        <v>Liga</v>
      </c>
    </row>
    <row r="2833" spans="1:37" x14ac:dyDescent="0.25">
      <c r="A2833" s="76">
        <v>14</v>
      </c>
      <c r="B2833" s="3" t="s">
        <v>164</v>
      </c>
      <c r="C2833" s="2" t="s">
        <v>165</v>
      </c>
      <c r="D2833" s="1">
        <v>0</v>
      </c>
      <c r="E2833" s="1">
        <v>1</v>
      </c>
      <c r="F2833" s="1">
        <v>1</v>
      </c>
      <c r="G2833" s="1">
        <v>5</v>
      </c>
      <c r="H2833" s="4">
        <v>0.4</v>
      </c>
      <c r="I2833" s="1">
        <v>1</v>
      </c>
      <c r="J2833" s="4">
        <v>1</v>
      </c>
      <c r="K2833" s="1">
        <v>0</v>
      </c>
      <c r="L2833" s="1">
        <v>0</v>
      </c>
      <c r="M2833" s="32">
        <f>IF(Mecze[[#This Row],[PR]]=0,0,Mecze[[#This Row],[PR]]/Mecze[[#This Row],[CZAS]])</f>
        <v>0</v>
      </c>
      <c r="N2833" s="32">
        <f>IF(Mecze[[#This Row],[OU]]=0,0,Mecze[[#This Row],[OU]]/Mecze[[#This Row],[CZAS]])</f>
        <v>1.0416666666666666E-2</v>
      </c>
      <c r="O2833" s="32">
        <f>IF(Mecze[[#This Row],[PC]]=0,0,Mecze[[#This Row],[PC]]/Mecze[[#This Row],[CZAS]])</f>
        <v>2.0833333333333332E-2</v>
      </c>
      <c r="P2833" s="32">
        <f>IF(Mecze[[#This Row],[SC]]=0,0,Mecze[[#This Row],[SC]]/Mecze[[#This Row],[CZAS]])</f>
        <v>1.0416666666666666E-2</v>
      </c>
      <c r="Q2833" s="32">
        <f>IF(Mecze[[#This Row],[OB]]=0,0,Mecze[[#This Row],[OB]]/Mecze[[#This Row],[CZAS]])</f>
        <v>0</v>
      </c>
      <c r="R2833" s="32">
        <f>IF(Mecze[[#This Row],[BR]]=0,0,Mecze[[#This Row],[BR]]/Mecze[[#This Row],[CZAS]])</f>
        <v>0</v>
      </c>
      <c r="S2833" s="44">
        <f>IF(Mecze[[#This Row],[Role]]="BR",SUMPRODUCT(Mecze[[#This Row],[/PR:90]:[/BR:90]],Brudnopis!$E$23:$J$23),0)</f>
        <v>0</v>
      </c>
      <c r="T2833" s="44">
        <f>IF(Mecze[[#This Row],[Role]]&lt;&gt;"BR",SUMPRODUCT(Mecze[[#This Row],[/PR:90]:[/BR:90]],Brudnopis!$E$24:$J$24),0)</f>
        <v>4.6874999999999993E-2</v>
      </c>
      <c r="U2833" s="44">
        <f>IF(Mecze[[#This Row],[Role]]&lt;&gt;"BR",SUMPRODUCT(Mecze[[#This Row],[/PR:90]:[/BR:90]],Brudnopis!$E$25:$J$25),0)</f>
        <v>5.2083333333333329E-2</v>
      </c>
      <c r="V2833" s="44">
        <f>IF(Mecze[[#This Row],[Role]]&lt;&gt;"BR",SUMPRODUCT(Mecze[[#This Row],[/PR:90]:[/BR:90]],Brudnopis!$E$26:$J$26),0)</f>
        <v>4.1666666666666664E-2</v>
      </c>
      <c r="W2833" s="44">
        <f>IF(Mecze[[#This Row],[Role]]&lt;&gt;"BR",SUMPRODUCT(Mecze[[#This Row],[/PR:90]:[/BR:90]],Brudnopis!$E$27:$J$27),0)</f>
        <v>4.9479166666666664E-2</v>
      </c>
      <c r="X2833" s="44">
        <f>IF(Mecze[[#This Row],[Role]]&lt;&gt;"BR",SUMPRODUCT(Mecze[[#This Row],[/PR:90]:[/BR:90]],Brudnopis!$E$28:$J$28),0)</f>
        <v>4.1666666666666664E-2</v>
      </c>
      <c r="Y2833" s="35">
        <f>IF(Mecze[[#This Row],[Role]]="BR",Mecze[[#This Row],[/OB:90]]+Mecze[[#This Row],[/PC:90]],SUM(Mecze[[#This Row],[/PR:90]:[/BR:90]]))</f>
        <v>4.1666666666666664E-2</v>
      </c>
      <c r="Z2833" s="35">
        <f>IF(Mecze[[#This Row],[KC]]=0,SUM(Mecze[[#This Row],[/BRI]:[/NPI]]),SUM(Mecze[[#This Row],[/BRI]:[/NPI]])*0.6)</f>
        <v>0.23177083333333329</v>
      </c>
      <c r="AA2833" s="10">
        <f>IFERROR(Mecze[[#This Row],[BR]]/Mecze[[#This Row],[ST]],0)</f>
        <v>0</v>
      </c>
      <c r="AB2833">
        <f>ROUND(Mecze[[#This Row],[PD]]*Mecze[[#This Row],[%PC]],0)</f>
        <v>2</v>
      </c>
      <c r="AC2833">
        <f>ROUND(Mecze[[#This Row],[OD]]*Mecze[[#This Row],[%OU]],0)</f>
        <v>1</v>
      </c>
      <c r="AD2833" s="36" t="s">
        <v>46</v>
      </c>
      <c r="AE2833" s="36">
        <v>158</v>
      </c>
      <c r="AF2833" s="71">
        <v>2.93</v>
      </c>
      <c r="AG2833" s="37">
        <v>0</v>
      </c>
      <c r="AH2833" s="37">
        <v>0</v>
      </c>
      <c r="AI2833" s="37">
        <v>96</v>
      </c>
      <c r="AJ2833" s="37">
        <v>1</v>
      </c>
      <c r="AK2833" s="37" t="str">
        <f>VLOOKUP(Mecze[[#This Row],[Match ID]],Meczusie[Mecz]:Meczusie[RodzajMeczu],2,FALSE)</f>
        <v>Liga</v>
      </c>
    </row>
    <row r="2834" spans="1:37" x14ac:dyDescent="0.25">
      <c r="A2834" s="76">
        <v>9</v>
      </c>
      <c r="B2834" s="3" t="s">
        <v>411</v>
      </c>
      <c r="C2834" s="2" t="s">
        <v>165</v>
      </c>
      <c r="D2834" s="1">
        <v>1</v>
      </c>
      <c r="E2834" s="1">
        <v>3</v>
      </c>
      <c r="F2834" s="1">
        <v>2</v>
      </c>
      <c r="G2834" s="1">
        <v>5</v>
      </c>
      <c r="H2834" s="4">
        <v>0.6</v>
      </c>
      <c r="I2834" s="1">
        <v>2</v>
      </c>
      <c r="J2834" s="4">
        <v>0</v>
      </c>
      <c r="K2834" s="1">
        <v>0</v>
      </c>
      <c r="L2834" s="1">
        <v>0</v>
      </c>
      <c r="M2834" s="32">
        <f>IF(Mecze[[#This Row],[PR]]=0,0,Mecze[[#This Row],[PR]]/Mecze[[#This Row],[CZAS]])</f>
        <v>0</v>
      </c>
      <c r="N2834" s="32">
        <f>IF(Mecze[[#This Row],[OU]]=0,0,Mecze[[#This Row],[OU]]/Mecze[[#This Row],[CZAS]])</f>
        <v>0</v>
      </c>
      <c r="O2834" s="32">
        <f>IF(Mecze[[#This Row],[PC]]=0,0,Mecze[[#This Row],[PC]]/Mecze[[#This Row],[CZAS]])</f>
        <v>3.125E-2</v>
      </c>
      <c r="P2834" s="32">
        <f>IF(Mecze[[#This Row],[SC]]=0,0,Mecze[[#This Row],[SC]]/Mecze[[#This Row],[CZAS]])</f>
        <v>2.0833333333333332E-2</v>
      </c>
      <c r="Q2834" s="32">
        <f>IF(Mecze[[#This Row],[OB]]=0,0,Mecze[[#This Row],[OB]]/Mecze[[#This Row],[CZAS]])</f>
        <v>0</v>
      </c>
      <c r="R2834" s="32">
        <f>IF(Mecze[[#This Row],[BR]]=0,0,Mecze[[#This Row],[BR]]/Mecze[[#This Row],[CZAS]])</f>
        <v>1.0416666666666666E-2</v>
      </c>
      <c r="S2834" s="44">
        <f>IF(Mecze[[#This Row],[Role]]="BR",SUMPRODUCT(Mecze[[#This Row],[/PR:90]:[/BR:90]],Brudnopis!$E$23:$J$23),0)</f>
        <v>0</v>
      </c>
      <c r="T2834" s="44">
        <f>IF(Mecze[[#This Row],[Role]]&lt;&gt;"BR",SUMPRODUCT(Mecze[[#This Row],[/PR:90]:[/BR:90]],Brudnopis!$E$24:$J$24),0)</f>
        <v>6.7708333333333329E-2</v>
      </c>
      <c r="U2834" s="44">
        <f>IF(Mecze[[#This Row],[Role]]&lt;&gt;"BR",SUMPRODUCT(Mecze[[#This Row],[/PR:90]:[/BR:90]],Brudnopis!$E$25:$J$25),0)</f>
        <v>8.3333333333333329E-2</v>
      </c>
      <c r="V2834" s="44">
        <f>IF(Mecze[[#This Row],[Role]]&lt;&gt;"BR",SUMPRODUCT(Mecze[[#This Row],[/PR:90]:[/BR:90]],Brudnopis!$E$26:$J$26),0)</f>
        <v>7.2916666666666657E-2</v>
      </c>
      <c r="W2834" s="44">
        <f>IF(Mecze[[#This Row],[Role]]&lt;&gt;"BR",SUMPRODUCT(Mecze[[#This Row],[/PR:90]:[/BR:90]],Brudnopis!$E$27:$J$27),0)</f>
        <v>8.8541666666666657E-2</v>
      </c>
      <c r="X2834" s="44">
        <f>IF(Mecze[[#This Row],[Role]]&lt;&gt;"BR",SUMPRODUCT(Mecze[[#This Row],[/PR:90]:[/BR:90]],Brudnopis!$E$28:$J$28),0)</f>
        <v>0.10416666666666666</v>
      </c>
      <c r="Y2834" s="35">
        <f>IF(Mecze[[#This Row],[Role]]="BR",Mecze[[#This Row],[/OB:90]]+Mecze[[#This Row],[/PC:90]],SUM(Mecze[[#This Row],[/PR:90]:[/BR:90]]))</f>
        <v>6.2499999999999993E-2</v>
      </c>
      <c r="Z2834" s="35">
        <f>IF(Mecze[[#This Row],[KC]]=0,SUM(Mecze[[#This Row],[/BRI]:[/NPI]]),SUM(Mecze[[#This Row],[/BRI]:[/NPI]])*0.6)</f>
        <v>0.41666666666666663</v>
      </c>
      <c r="AA2834" s="10">
        <f>IFERROR(Mecze[[#This Row],[BR]]/Mecze[[#This Row],[ST]],0)</f>
        <v>0.33333333333333331</v>
      </c>
      <c r="AB2834">
        <f>ROUND(Mecze[[#This Row],[PD]]*Mecze[[#This Row],[%PC]],0)</f>
        <v>3</v>
      </c>
      <c r="AC2834">
        <f>ROUND(Mecze[[#This Row],[OD]]*Mecze[[#This Row],[%OU]],0)</f>
        <v>0</v>
      </c>
      <c r="AD2834" s="36" t="s">
        <v>46</v>
      </c>
      <c r="AE2834" s="36">
        <v>158</v>
      </c>
      <c r="AF2834" s="71">
        <v>6.78</v>
      </c>
      <c r="AG2834" s="37">
        <v>0</v>
      </c>
      <c r="AH2834" s="37">
        <v>0</v>
      </c>
      <c r="AI2834" s="37">
        <v>96</v>
      </c>
      <c r="AJ2834" s="37">
        <v>1</v>
      </c>
      <c r="AK2834" s="37" t="str">
        <f>VLOOKUP(Mecze[[#This Row],[Match ID]],Meczusie[Mecz]:Meczusie[RodzajMeczu],2,FALSE)</f>
        <v>Liga</v>
      </c>
    </row>
    <row r="2835" spans="1:37" x14ac:dyDescent="0.25">
      <c r="A2835" s="76">
        <v>19</v>
      </c>
      <c r="B2835" s="3" t="s">
        <v>166</v>
      </c>
      <c r="C2835" s="2" t="s">
        <v>165</v>
      </c>
      <c r="D2835" s="1">
        <v>0</v>
      </c>
      <c r="E2835" s="1">
        <v>1</v>
      </c>
      <c r="F2835" s="1">
        <v>1</v>
      </c>
      <c r="G2835" s="1">
        <v>4</v>
      </c>
      <c r="H2835" s="4">
        <v>0.5</v>
      </c>
      <c r="I2835" s="1">
        <v>3</v>
      </c>
      <c r="J2835" s="4">
        <v>0</v>
      </c>
      <c r="K2835" s="1">
        <v>0</v>
      </c>
      <c r="L2835" s="1">
        <v>1</v>
      </c>
      <c r="M2835" s="32">
        <f>IF(Mecze[[#This Row],[PR]]=0,0,Mecze[[#This Row],[PR]]/Mecze[[#This Row],[CZAS]])</f>
        <v>1.0416666666666666E-2</v>
      </c>
      <c r="N2835" s="32">
        <f>IF(Mecze[[#This Row],[OU]]=0,0,Mecze[[#This Row],[OU]]/Mecze[[#This Row],[CZAS]])</f>
        <v>0</v>
      </c>
      <c r="O2835" s="32">
        <f>IF(Mecze[[#This Row],[PC]]=0,0,Mecze[[#This Row],[PC]]/Mecze[[#This Row],[CZAS]])</f>
        <v>2.0833333333333332E-2</v>
      </c>
      <c r="P2835" s="32">
        <f>IF(Mecze[[#This Row],[SC]]=0,0,Mecze[[#This Row],[SC]]/Mecze[[#This Row],[CZAS]])</f>
        <v>1.0416666666666666E-2</v>
      </c>
      <c r="Q2835" s="32">
        <f>IF(Mecze[[#This Row],[OB]]=0,0,Mecze[[#This Row],[OB]]/Mecze[[#This Row],[CZAS]])</f>
        <v>0</v>
      </c>
      <c r="R2835" s="32">
        <f>IF(Mecze[[#This Row],[BR]]=0,0,Mecze[[#This Row],[BR]]/Mecze[[#This Row],[CZAS]])</f>
        <v>0</v>
      </c>
      <c r="S2835" s="44">
        <f>IF(Mecze[[#This Row],[Role]]="BR",SUMPRODUCT(Mecze[[#This Row],[/PR:90]:[/BR:90]],Brudnopis!$E$23:$J$23),0)</f>
        <v>0</v>
      </c>
      <c r="T2835" s="44">
        <f>IF(Mecze[[#This Row],[Role]]&lt;&gt;"BR",SUMPRODUCT(Mecze[[#This Row],[/PR:90]:[/BR:90]],Brudnopis!$E$24:$J$24),0)</f>
        <v>4.1666666666666664E-2</v>
      </c>
      <c r="U2835" s="44">
        <f>IF(Mecze[[#This Row],[Role]]&lt;&gt;"BR",SUMPRODUCT(Mecze[[#This Row],[/PR:90]:[/BR:90]],Brudnopis!$E$25:$J$25),0)</f>
        <v>5.2083333333333329E-2</v>
      </c>
      <c r="V2835" s="44">
        <f>IF(Mecze[[#This Row],[Role]]&lt;&gt;"BR",SUMPRODUCT(Mecze[[#This Row],[/PR:90]:[/BR:90]],Brudnopis!$E$26:$J$26),0)</f>
        <v>4.1666666666666664E-2</v>
      </c>
      <c r="W2835" s="44">
        <f>IF(Mecze[[#This Row],[Role]]&lt;&gt;"BR",SUMPRODUCT(Mecze[[#This Row],[/PR:90]:[/BR:90]],Brudnopis!$E$27:$J$27),0)</f>
        <v>4.9479166666666664E-2</v>
      </c>
      <c r="X2835" s="44">
        <f>IF(Mecze[[#This Row],[Role]]&lt;&gt;"BR",SUMPRODUCT(Mecze[[#This Row],[/PR:90]:[/BR:90]],Brudnopis!$E$28:$J$28),0)</f>
        <v>4.1666666666666664E-2</v>
      </c>
      <c r="Y2835" s="35">
        <f>IF(Mecze[[#This Row],[Role]]="BR",Mecze[[#This Row],[/OB:90]]+Mecze[[#This Row],[/PC:90]],SUM(Mecze[[#This Row],[/PR:90]:[/BR:90]]))</f>
        <v>4.1666666666666664E-2</v>
      </c>
      <c r="Z2835" s="35">
        <f>IF(Mecze[[#This Row],[KC]]=0,SUM(Mecze[[#This Row],[/BRI]:[/NPI]]),SUM(Mecze[[#This Row],[/BRI]:[/NPI]])*0.6)</f>
        <v>0.22656249999999997</v>
      </c>
      <c r="AA2835" s="10">
        <f>IFERROR(Mecze[[#This Row],[BR]]/Mecze[[#This Row],[ST]],0)</f>
        <v>0</v>
      </c>
      <c r="AB2835">
        <f>ROUND(Mecze[[#This Row],[PD]]*Mecze[[#This Row],[%PC]],0)</f>
        <v>2</v>
      </c>
      <c r="AC2835">
        <f>ROUND(Mecze[[#This Row],[OD]]*Mecze[[#This Row],[%OU]],0)</f>
        <v>0</v>
      </c>
      <c r="AD2835" s="36" t="s">
        <v>46</v>
      </c>
      <c r="AE2835" s="36">
        <v>158</v>
      </c>
      <c r="AF2835" s="71">
        <v>2.93</v>
      </c>
      <c r="AG2835" s="37">
        <v>0</v>
      </c>
      <c r="AH2835" s="37">
        <v>0</v>
      </c>
      <c r="AI2835" s="37">
        <v>96</v>
      </c>
      <c r="AJ2835" s="37">
        <v>1</v>
      </c>
      <c r="AK2835" s="37" t="str">
        <f>VLOOKUP(Mecze[[#This Row],[Match ID]],Meczusie[Mecz]:Meczusie[RodzajMeczu],2,FALSE)</f>
        <v>Liga</v>
      </c>
    </row>
    <row r="2836" spans="1:37" x14ac:dyDescent="0.25">
      <c r="A2836" s="76">
        <v>208</v>
      </c>
      <c r="B2836" s="3" t="s">
        <v>436</v>
      </c>
      <c r="C2836" s="2" t="s">
        <v>155</v>
      </c>
      <c r="D2836" s="1">
        <v>0</v>
      </c>
      <c r="E2836" s="1">
        <v>0</v>
      </c>
      <c r="F2836" s="1">
        <v>0</v>
      </c>
      <c r="G2836" s="1">
        <v>4</v>
      </c>
      <c r="H2836" s="4">
        <v>0.25</v>
      </c>
      <c r="I2836" s="1">
        <v>0</v>
      </c>
      <c r="J2836" s="4"/>
      <c r="K2836" s="1">
        <v>3</v>
      </c>
      <c r="L2836" s="1">
        <v>0</v>
      </c>
      <c r="M2836" s="32">
        <f>IF(Mecze[[#This Row],[PR]]=0,0,Mecze[[#This Row],[PR]]/Mecze[[#This Row],[CZAS]])</f>
        <v>0</v>
      </c>
      <c r="N2836" s="32">
        <f>IF(Mecze[[#This Row],[OU]]=0,0,Mecze[[#This Row],[OU]]/Mecze[[#This Row],[CZAS]])</f>
        <v>0</v>
      </c>
      <c r="O2836" s="32">
        <f>IF(Mecze[[#This Row],[PC]]=0,0,Mecze[[#This Row],[PC]]/Mecze[[#This Row],[CZAS]])</f>
        <v>1.0416666666666666E-2</v>
      </c>
      <c r="P2836" s="32">
        <f>IF(Mecze[[#This Row],[SC]]=0,0,Mecze[[#This Row],[SC]]/Mecze[[#This Row],[CZAS]])</f>
        <v>0</v>
      </c>
      <c r="Q2836" s="32">
        <f>IF(Mecze[[#This Row],[OB]]=0,0,Mecze[[#This Row],[OB]]/Mecze[[#This Row],[CZAS]])</f>
        <v>3.125E-2</v>
      </c>
      <c r="R2836" s="32">
        <f>IF(Mecze[[#This Row],[BR]]=0,0,Mecze[[#This Row],[BR]]/Mecze[[#This Row],[CZAS]])</f>
        <v>0</v>
      </c>
      <c r="S2836" s="44">
        <f>IF(Mecze[[#This Row],[Role]]="BR",SUMPRODUCT(Mecze[[#This Row],[/PR:90]:[/BR:90]],Brudnopis!$E$23:$J$23),0)</f>
        <v>0.125</v>
      </c>
      <c r="T2836" s="44">
        <f>IF(Mecze[[#This Row],[Role]]&lt;&gt;"BR",SUMPRODUCT(Mecze[[#This Row],[/PR:90]:[/BR:90]],Brudnopis!$E$24:$J$24),0)</f>
        <v>0</v>
      </c>
      <c r="U2836" s="44">
        <f>IF(Mecze[[#This Row],[Role]]&lt;&gt;"BR",SUMPRODUCT(Mecze[[#This Row],[/PR:90]:[/BR:90]],Brudnopis!$E$25:$J$25),0)</f>
        <v>0</v>
      </c>
      <c r="V2836" s="44">
        <f>IF(Mecze[[#This Row],[Role]]&lt;&gt;"BR",SUMPRODUCT(Mecze[[#This Row],[/PR:90]:[/BR:90]],Brudnopis!$E$26:$J$26),0)</f>
        <v>0</v>
      </c>
      <c r="W2836" s="44">
        <f>IF(Mecze[[#This Row],[Role]]&lt;&gt;"BR",SUMPRODUCT(Mecze[[#This Row],[/PR:90]:[/BR:90]],Brudnopis!$E$27:$J$27),0)</f>
        <v>0</v>
      </c>
      <c r="X2836" s="44">
        <f>IF(Mecze[[#This Row],[Role]]&lt;&gt;"BR",SUMPRODUCT(Mecze[[#This Row],[/PR:90]:[/BR:90]],Brudnopis!$E$28:$J$28),0)</f>
        <v>0</v>
      </c>
      <c r="Y2836" s="35">
        <f>IF(Mecze[[#This Row],[Role]]="BR",Mecze[[#This Row],[/OB:90]]+Mecze[[#This Row],[/PC:90]],SUM(Mecze[[#This Row],[/PR:90]:[/BR:90]]))</f>
        <v>4.1666666666666664E-2</v>
      </c>
      <c r="Z2836" s="35">
        <f>IF(Mecze[[#This Row],[KC]]=0,SUM(Mecze[[#This Row],[/BRI]:[/NPI]]),SUM(Mecze[[#This Row],[/BRI]:[/NPI]])*0.6)</f>
        <v>0.125</v>
      </c>
      <c r="AA2836" s="10">
        <f>IFERROR(Mecze[[#This Row],[BR]]/Mecze[[#This Row],[ST]],0)</f>
        <v>0</v>
      </c>
      <c r="AB2836">
        <f>ROUND(Mecze[[#This Row],[PD]]*Mecze[[#This Row],[%PC]],0)</f>
        <v>1</v>
      </c>
      <c r="AC2836">
        <f>ROUND(Mecze[[#This Row],[OD]]*Mecze[[#This Row],[%OU]],0)</f>
        <v>0</v>
      </c>
      <c r="AD2836" s="36" t="s">
        <v>40</v>
      </c>
      <c r="AE2836" s="36">
        <v>158</v>
      </c>
      <c r="AF2836" s="71">
        <v>3.75</v>
      </c>
      <c r="AG2836" s="37">
        <v>0</v>
      </c>
      <c r="AH2836" s="37">
        <v>0</v>
      </c>
      <c r="AI2836" s="37">
        <v>96</v>
      </c>
      <c r="AJ2836" s="37">
        <v>7</v>
      </c>
      <c r="AK2836" s="37" t="str">
        <f>VLOOKUP(Mecze[[#This Row],[Match ID]],Meczusie[Mecz]:Meczusie[RodzajMeczu],2,FALSE)</f>
        <v>Liga</v>
      </c>
    </row>
    <row r="2837" spans="1:37" x14ac:dyDescent="0.25">
      <c r="A2837" s="76">
        <v>204</v>
      </c>
      <c r="B2837" s="3" t="s">
        <v>334</v>
      </c>
      <c r="C2837" s="2" t="s">
        <v>157</v>
      </c>
      <c r="D2837" s="1">
        <v>0</v>
      </c>
      <c r="E2837" s="1">
        <v>0</v>
      </c>
      <c r="F2837" s="1">
        <v>0</v>
      </c>
      <c r="G2837" s="1">
        <v>15</v>
      </c>
      <c r="H2837" s="4">
        <v>0.6</v>
      </c>
      <c r="I2837" s="1">
        <v>10</v>
      </c>
      <c r="J2837" s="4">
        <v>0.7</v>
      </c>
      <c r="K2837" s="1">
        <v>0</v>
      </c>
      <c r="L2837" s="1">
        <v>12</v>
      </c>
      <c r="M2837" s="32">
        <f>IF(Mecze[[#This Row],[PR]]=0,0,Mecze[[#This Row],[PR]]/Mecze[[#This Row],[CZAS]])</f>
        <v>0.125</v>
      </c>
      <c r="N2837" s="32">
        <f>IF(Mecze[[#This Row],[OU]]=0,0,Mecze[[#This Row],[OU]]/Mecze[[#This Row],[CZAS]])</f>
        <v>7.2916666666666671E-2</v>
      </c>
      <c r="O2837" s="32">
        <f>IF(Mecze[[#This Row],[PC]]=0,0,Mecze[[#This Row],[PC]]/Mecze[[#This Row],[CZAS]])</f>
        <v>9.375E-2</v>
      </c>
      <c r="P2837" s="32">
        <f>IF(Mecze[[#This Row],[SC]]=0,0,Mecze[[#This Row],[SC]]/Mecze[[#This Row],[CZAS]])</f>
        <v>0</v>
      </c>
      <c r="Q2837" s="32">
        <f>IF(Mecze[[#This Row],[OB]]=0,0,Mecze[[#This Row],[OB]]/Mecze[[#This Row],[CZAS]])</f>
        <v>0</v>
      </c>
      <c r="R2837" s="32">
        <f>IF(Mecze[[#This Row],[BR]]=0,0,Mecze[[#This Row],[BR]]/Mecze[[#This Row],[CZAS]])</f>
        <v>0</v>
      </c>
      <c r="S2837" s="44">
        <f>IF(Mecze[[#This Row],[Role]]="BR",SUMPRODUCT(Mecze[[#This Row],[/PR:90]:[/BR:90]],Brudnopis!$E$23:$J$23),0)</f>
        <v>0</v>
      </c>
      <c r="T2837" s="44">
        <f>IF(Mecze[[#This Row],[Role]]&lt;&gt;"BR",SUMPRODUCT(Mecze[[#This Row],[/PR:90]:[/BR:90]],Brudnopis!$E$24:$J$24),0)</f>
        <v>0.328125</v>
      </c>
      <c r="U2837" s="44">
        <f>IF(Mecze[[#This Row],[Role]]&lt;&gt;"BR",SUMPRODUCT(Mecze[[#This Row],[/PR:90]:[/BR:90]],Brudnopis!$E$25:$J$25),0)</f>
        <v>0.33854166666666669</v>
      </c>
      <c r="V2837" s="44">
        <f>IF(Mecze[[#This Row],[Role]]&lt;&gt;"BR",SUMPRODUCT(Mecze[[#This Row],[/PR:90]:[/BR:90]],Brudnopis!$E$26:$J$26),0)</f>
        <v>0.29166666666666669</v>
      </c>
      <c r="W2837" s="44">
        <f>IF(Mecze[[#This Row],[Role]]&lt;&gt;"BR",SUMPRODUCT(Mecze[[#This Row],[/PR:90]:[/BR:90]],Brudnopis!$E$27:$J$27),0)</f>
        <v>0.2890625</v>
      </c>
      <c r="X2837" s="44">
        <f>IF(Mecze[[#This Row],[Role]]&lt;&gt;"BR",SUMPRODUCT(Mecze[[#This Row],[/PR:90]:[/BR:90]],Brudnopis!$E$28:$J$28),0)</f>
        <v>9.375E-2</v>
      </c>
      <c r="Y2837" s="35">
        <f>IF(Mecze[[#This Row],[Role]]="BR",Mecze[[#This Row],[/OB:90]]+Mecze[[#This Row],[/PC:90]],SUM(Mecze[[#This Row],[/PR:90]:[/BR:90]]))</f>
        <v>0.29166666666666669</v>
      </c>
      <c r="Z2837" s="35">
        <f>IF(Mecze[[#This Row],[KC]]=0,SUM(Mecze[[#This Row],[/BRI]:[/NPI]]),SUM(Mecze[[#This Row],[/BRI]:[/NPI]])*0.6)</f>
        <v>1.3411458333333335</v>
      </c>
      <c r="AA2837" s="10">
        <f>IFERROR(Mecze[[#This Row],[BR]]/Mecze[[#This Row],[ST]],0)</f>
        <v>0</v>
      </c>
      <c r="AB2837">
        <f>ROUND(Mecze[[#This Row],[PD]]*Mecze[[#This Row],[%PC]],0)</f>
        <v>9</v>
      </c>
      <c r="AC2837">
        <f>ROUND(Mecze[[#This Row],[OD]]*Mecze[[#This Row],[%OU]],0)</f>
        <v>7</v>
      </c>
      <c r="AD2837" s="36" t="s">
        <v>47</v>
      </c>
      <c r="AE2837" s="36">
        <v>158</v>
      </c>
      <c r="AF2837" s="71">
        <v>6.34</v>
      </c>
      <c r="AG2837" s="37">
        <v>0</v>
      </c>
      <c r="AH2837" s="37">
        <v>0</v>
      </c>
      <c r="AI2837" s="37">
        <v>96</v>
      </c>
      <c r="AJ2837" s="37">
        <v>7</v>
      </c>
      <c r="AK2837" s="37" t="str">
        <f>VLOOKUP(Mecze[[#This Row],[Match ID]],Meczusie[Mecz]:Meczusie[RodzajMeczu],2,FALSE)</f>
        <v>Liga</v>
      </c>
    </row>
    <row r="2838" spans="1:37" x14ac:dyDescent="0.25">
      <c r="A2838" s="76">
        <v>156</v>
      </c>
      <c r="B2838" s="3" t="s">
        <v>443</v>
      </c>
      <c r="C2838" s="2" t="s">
        <v>157</v>
      </c>
      <c r="D2838" s="1">
        <v>0</v>
      </c>
      <c r="E2838" s="1">
        <v>0</v>
      </c>
      <c r="F2838" s="1">
        <v>0</v>
      </c>
      <c r="G2838" s="1">
        <v>7</v>
      </c>
      <c r="H2838" s="4">
        <v>0.71</v>
      </c>
      <c r="I2838" s="1">
        <v>3</v>
      </c>
      <c r="J2838" s="4">
        <v>0.33</v>
      </c>
      <c r="K2838" s="1">
        <v>0</v>
      </c>
      <c r="L2838" s="1">
        <v>6</v>
      </c>
      <c r="M2838" s="32">
        <f>IF(Mecze[[#This Row],[PR]]=0,0,Mecze[[#This Row],[PR]]/Mecze[[#This Row],[CZAS]])</f>
        <v>6.25E-2</v>
      </c>
      <c r="N2838" s="32">
        <f>IF(Mecze[[#This Row],[OU]]=0,0,Mecze[[#This Row],[OU]]/Mecze[[#This Row],[CZAS]])</f>
        <v>1.0416666666666666E-2</v>
      </c>
      <c r="O2838" s="32">
        <f>IF(Mecze[[#This Row],[PC]]=0,0,Mecze[[#This Row],[PC]]/Mecze[[#This Row],[CZAS]])</f>
        <v>5.2083333333333336E-2</v>
      </c>
      <c r="P2838" s="32">
        <f>IF(Mecze[[#This Row],[SC]]=0,0,Mecze[[#This Row],[SC]]/Mecze[[#This Row],[CZAS]])</f>
        <v>0</v>
      </c>
      <c r="Q2838" s="32">
        <f>IF(Mecze[[#This Row],[OB]]=0,0,Mecze[[#This Row],[OB]]/Mecze[[#This Row],[CZAS]])</f>
        <v>0</v>
      </c>
      <c r="R2838" s="32">
        <f>IF(Mecze[[#This Row],[BR]]=0,0,Mecze[[#This Row],[BR]]/Mecze[[#This Row],[CZAS]])</f>
        <v>0</v>
      </c>
      <c r="S2838" s="44">
        <f>IF(Mecze[[#This Row],[Role]]="BR",SUMPRODUCT(Mecze[[#This Row],[/PR:90]:[/BR:90]],Brudnopis!$E$23:$J$23),0)</f>
        <v>0</v>
      </c>
      <c r="T2838" s="44">
        <f>IF(Mecze[[#This Row],[Role]]&lt;&gt;"BR",SUMPRODUCT(Mecze[[#This Row],[/PR:90]:[/BR:90]],Brudnopis!$E$24:$J$24),0)</f>
        <v>0.13020833333333334</v>
      </c>
      <c r="U2838" s="44">
        <f>IF(Mecze[[#This Row],[Role]]&lt;&gt;"BR",SUMPRODUCT(Mecze[[#This Row],[/PR:90]:[/BR:90]],Brudnopis!$E$25:$J$25),0)</f>
        <v>0.15104166666666669</v>
      </c>
      <c r="V2838" s="44">
        <f>IF(Mecze[[#This Row],[Role]]&lt;&gt;"BR",SUMPRODUCT(Mecze[[#This Row],[/PR:90]:[/BR:90]],Brudnopis!$E$26:$J$26),0)</f>
        <v>0.125</v>
      </c>
      <c r="W2838" s="44">
        <f>IF(Mecze[[#This Row],[Role]]&lt;&gt;"BR",SUMPRODUCT(Mecze[[#This Row],[/PR:90]:[/BR:90]],Brudnopis!$E$27:$J$27),0)</f>
        <v>0.1328125</v>
      </c>
      <c r="X2838" s="44">
        <f>IF(Mecze[[#This Row],[Role]]&lt;&gt;"BR",SUMPRODUCT(Mecze[[#This Row],[/PR:90]:[/BR:90]],Brudnopis!$E$28:$J$28),0)</f>
        <v>5.2083333333333336E-2</v>
      </c>
      <c r="Y2838" s="35">
        <f>IF(Mecze[[#This Row],[Role]]="BR",Mecze[[#This Row],[/OB:90]]+Mecze[[#This Row],[/PC:90]],SUM(Mecze[[#This Row],[/PR:90]:[/BR:90]]))</f>
        <v>0.125</v>
      </c>
      <c r="Z2838" s="35">
        <f>IF(Mecze[[#This Row],[KC]]=0,SUM(Mecze[[#This Row],[/BRI]:[/NPI]]),SUM(Mecze[[#This Row],[/BRI]:[/NPI]])*0.6)</f>
        <v>0.59114583333333337</v>
      </c>
      <c r="AA2838" s="10">
        <f>IFERROR(Mecze[[#This Row],[BR]]/Mecze[[#This Row],[ST]],0)</f>
        <v>0</v>
      </c>
      <c r="AB2838">
        <f>ROUND(Mecze[[#This Row],[PD]]*Mecze[[#This Row],[%PC]],0)</f>
        <v>5</v>
      </c>
      <c r="AC2838">
        <f>ROUND(Mecze[[#This Row],[OD]]*Mecze[[#This Row],[%OU]],0)</f>
        <v>1</v>
      </c>
      <c r="AD2838" s="36" t="s">
        <v>168</v>
      </c>
      <c r="AE2838" s="36">
        <v>158</v>
      </c>
      <c r="AF2838" s="71">
        <v>3.96</v>
      </c>
      <c r="AG2838" s="37">
        <v>0</v>
      </c>
      <c r="AH2838" s="37">
        <v>0</v>
      </c>
      <c r="AI2838" s="37">
        <v>96</v>
      </c>
      <c r="AJ2838" s="37">
        <v>7</v>
      </c>
      <c r="AK2838" s="37" t="str">
        <f>VLOOKUP(Mecze[[#This Row],[Match ID]],Meczusie[Mecz]:Meczusie[RodzajMeczu],2,FALSE)</f>
        <v>Liga</v>
      </c>
    </row>
    <row r="2839" spans="1:37" x14ac:dyDescent="0.25">
      <c r="A2839" s="76">
        <v>150</v>
      </c>
      <c r="B2839" s="3" t="s">
        <v>335</v>
      </c>
      <c r="C2839" s="2" t="s">
        <v>157</v>
      </c>
      <c r="D2839" s="1">
        <v>0</v>
      </c>
      <c r="E2839" s="1">
        <v>0</v>
      </c>
      <c r="F2839" s="1">
        <v>0</v>
      </c>
      <c r="G2839" s="1">
        <v>15</v>
      </c>
      <c r="H2839" s="4">
        <v>0.6</v>
      </c>
      <c r="I2839" s="1">
        <v>4</v>
      </c>
      <c r="J2839" s="4">
        <v>0.75</v>
      </c>
      <c r="K2839" s="1">
        <v>0</v>
      </c>
      <c r="L2839" s="1">
        <v>12</v>
      </c>
      <c r="M2839" s="32">
        <f>IF(Mecze[[#This Row],[PR]]=0,0,Mecze[[#This Row],[PR]]/Mecze[[#This Row],[CZAS]])</f>
        <v>0.125</v>
      </c>
      <c r="N2839" s="32">
        <f>IF(Mecze[[#This Row],[OU]]=0,0,Mecze[[#This Row],[OU]]/Mecze[[#This Row],[CZAS]])</f>
        <v>3.125E-2</v>
      </c>
      <c r="O2839" s="32">
        <f>IF(Mecze[[#This Row],[PC]]=0,0,Mecze[[#This Row],[PC]]/Mecze[[#This Row],[CZAS]])</f>
        <v>9.375E-2</v>
      </c>
      <c r="P2839" s="32">
        <f>IF(Mecze[[#This Row],[SC]]=0,0,Mecze[[#This Row],[SC]]/Mecze[[#This Row],[CZAS]])</f>
        <v>0</v>
      </c>
      <c r="Q2839" s="32">
        <f>IF(Mecze[[#This Row],[OB]]=0,0,Mecze[[#This Row],[OB]]/Mecze[[#This Row],[CZAS]])</f>
        <v>0</v>
      </c>
      <c r="R2839" s="32">
        <f>IF(Mecze[[#This Row],[BR]]=0,0,Mecze[[#This Row],[BR]]/Mecze[[#This Row],[CZAS]])</f>
        <v>0</v>
      </c>
      <c r="S2839" s="44">
        <f>IF(Mecze[[#This Row],[Role]]="BR",SUMPRODUCT(Mecze[[#This Row],[/PR:90]:[/BR:90]],Brudnopis!$E$23:$J$23),0)</f>
        <v>0</v>
      </c>
      <c r="T2839" s="44">
        <f>IF(Mecze[[#This Row],[Role]]&lt;&gt;"BR",SUMPRODUCT(Mecze[[#This Row],[/PR:90]:[/BR:90]],Brudnopis!$E$24:$J$24),0)</f>
        <v>0.265625</v>
      </c>
      <c r="U2839" s="44">
        <f>IF(Mecze[[#This Row],[Role]]&lt;&gt;"BR",SUMPRODUCT(Mecze[[#This Row],[/PR:90]:[/BR:90]],Brudnopis!$E$25:$J$25),0)</f>
        <v>0.296875</v>
      </c>
      <c r="V2839" s="44">
        <f>IF(Mecze[[#This Row],[Role]]&lt;&gt;"BR",SUMPRODUCT(Mecze[[#This Row],[/PR:90]:[/BR:90]],Brudnopis!$E$26:$J$26),0)</f>
        <v>0.25</v>
      </c>
      <c r="W2839" s="44">
        <f>IF(Mecze[[#This Row],[Role]]&lt;&gt;"BR",SUMPRODUCT(Mecze[[#This Row],[/PR:90]:[/BR:90]],Brudnopis!$E$27:$J$27),0)</f>
        <v>0.2578125</v>
      </c>
      <c r="X2839" s="44">
        <f>IF(Mecze[[#This Row],[Role]]&lt;&gt;"BR",SUMPRODUCT(Mecze[[#This Row],[/PR:90]:[/BR:90]],Brudnopis!$E$28:$J$28),0)</f>
        <v>9.375E-2</v>
      </c>
      <c r="Y2839" s="35">
        <f>IF(Mecze[[#This Row],[Role]]="BR",Mecze[[#This Row],[/OB:90]]+Mecze[[#This Row],[/PC:90]],SUM(Mecze[[#This Row],[/PR:90]:[/BR:90]]))</f>
        <v>0.25</v>
      </c>
      <c r="Z2839" s="35">
        <f>IF(Mecze[[#This Row],[KC]]=0,SUM(Mecze[[#This Row],[/BRI]:[/NPI]]),SUM(Mecze[[#This Row],[/BRI]:[/NPI]])*0.6)</f>
        <v>1.1640625</v>
      </c>
      <c r="AA2839" s="10">
        <f>IFERROR(Mecze[[#This Row],[BR]]/Mecze[[#This Row],[ST]],0)</f>
        <v>0</v>
      </c>
      <c r="AB2839">
        <f>ROUND(Mecze[[#This Row],[PD]]*Mecze[[#This Row],[%PC]],0)</f>
        <v>9</v>
      </c>
      <c r="AC2839">
        <f>ROUND(Mecze[[#This Row],[OD]]*Mecze[[#This Row],[%OU]],0)</f>
        <v>3</v>
      </c>
      <c r="AD2839" s="36" t="s">
        <v>167</v>
      </c>
      <c r="AE2839" s="36">
        <v>158</v>
      </c>
      <c r="AF2839" s="71">
        <v>6.34</v>
      </c>
      <c r="AG2839" s="37">
        <v>0</v>
      </c>
      <c r="AH2839" s="37">
        <v>0</v>
      </c>
      <c r="AI2839" s="37">
        <v>96</v>
      </c>
      <c r="AJ2839" s="37">
        <v>7</v>
      </c>
      <c r="AK2839" s="37" t="str">
        <f>VLOOKUP(Mecze[[#This Row],[Match ID]],Meczusie[Mecz]:Meczusie[RodzajMeczu],2,FALSE)</f>
        <v>Liga</v>
      </c>
    </row>
    <row r="2840" spans="1:37" x14ac:dyDescent="0.25">
      <c r="A2840" s="76">
        <v>153</v>
      </c>
      <c r="B2840" s="3" t="s">
        <v>432</v>
      </c>
      <c r="C2840" s="2" t="s">
        <v>160</v>
      </c>
      <c r="D2840" s="1">
        <v>0</v>
      </c>
      <c r="E2840" s="1">
        <v>0</v>
      </c>
      <c r="F2840" s="1">
        <v>0</v>
      </c>
      <c r="G2840" s="1">
        <v>14</v>
      </c>
      <c r="H2840" s="4">
        <v>0.79</v>
      </c>
      <c r="I2840" s="1">
        <v>11</v>
      </c>
      <c r="J2840" s="4">
        <v>0.36</v>
      </c>
      <c r="K2840" s="1">
        <v>0</v>
      </c>
      <c r="L2840" s="1">
        <v>7</v>
      </c>
      <c r="M2840" s="32">
        <f>IF(Mecze[[#This Row],[PR]]=0,0,Mecze[[#This Row],[PR]]/Mecze[[#This Row],[CZAS]])</f>
        <v>7.2916666666666671E-2</v>
      </c>
      <c r="N2840" s="32">
        <f>IF(Mecze[[#This Row],[OU]]=0,0,Mecze[[#This Row],[OU]]/Mecze[[#This Row],[CZAS]])</f>
        <v>4.1666666666666664E-2</v>
      </c>
      <c r="O2840" s="32">
        <f>IF(Mecze[[#This Row],[PC]]=0,0,Mecze[[#This Row],[PC]]/Mecze[[#This Row],[CZAS]])</f>
        <v>0.11458333333333333</v>
      </c>
      <c r="P2840" s="32">
        <f>IF(Mecze[[#This Row],[SC]]=0,0,Mecze[[#This Row],[SC]]/Mecze[[#This Row],[CZAS]])</f>
        <v>0</v>
      </c>
      <c r="Q2840" s="32">
        <f>IF(Mecze[[#This Row],[OB]]=0,0,Mecze[[#This Row],[OB]]/Mecze[[#This Row],[CZAS]])</f>
        <v>0</v>
      </c>
      <c r="R2840" s="32">
        <f>IF(Mecze[[#This Row],[BR]]=0,0,Mecze[[#This Row],[BR]]/Mecze[[#This Row],[CZAS]])</f>
        <v>0</v>
      </c>
      <c r="S2840" s="44">
        <f>IF(Mecze[[#This Row],[Role]]="BR",SUMPRODUCT(Mecze[[#This Row],[/PR:90]:[/BR:90]],Brudnopis!$E$23:$J$23),0)</f>
        <v>0</v>
      </c>
      <c r="T2840" s="44">
        <f>IF(Mecze[[#This Row],[Role]]&lt;&gt;"BR",SUMPRODUCT(Mecze[[#This Row],[/PR:90]:[/BR:90]],Brudnopis!$E$24:$J$24),0)</f>
        <v>0.25</v>
      </c>
      <c r="U2840" s="44">
        <f>IF(Mecze[[#This Row],[Role]]&lt;&gt;"BR",SUMPRODUCT(Mecze[[#This Row],[/PR:90]:[/BR:90]],Brudnopis!$E$25:$J$25),0)</f>
        <v>0.28645833333333337</v>
      </c>
      <c r="V2840" s="44">
        <f>IF(Mecze[[#This Row],[Role]]&lt;&gt;"BR",SUMPRODUCT(Mecze[[#This Row],[/PR:90]:[/BR:90]],Brudnopis!$E$26:$J$26),0)</f>
        <v>0.22916666666666669</v>
      </c>
      <c r="W2840" s="44">
        <f>IF(Mecze[[#This Row],[Role]]&lt;&gt;"BR",SUMPRODUCT(Mecze[[#This Row],[/PR:90]:[/BR:90]],Brudnopis!$E$27:$J$27),0)</f>
        <v>0.2578125</v>
      </c>
      <c r="X2840" s="44">
        <f>IF(Mecze[[#This Row],[Role]]&lt;&gt;"BR",SUMPRODUCT(Mecze[[#This Row],[/PR:90]:[/BR:90]],Brudnopis!$E$28:$J$28),0)</f>
        <v>0.11458333333333333</v>
      </c>
      <c r="Y2840" s="35">
        <f>IF(Mecze[[#This Row],[Role]]="BR",Mecze[[#This Row],[/OB:90]]+Mecze[[#This Row],[/PC:90]],SUM(Mecze[[#This Row],[/PR:90]:[/BR:90]]))</f>
        <v>0.22916666666666669</v>
      </c>
      <c r="Z2840" s="35">
        <f>IF(Mecze[[#This Row],[KC]]=0,SUM(Mecze[[#This Row],[/BRI]:[/NPI]]),SUM(Mecze[[#This Row],[/BRI]:[/NPI]])*0.6)</f>
        <v>1.1380208333333333</v>
      </c>
      <c r="AA2840" s="10">
        <f>IFERROR(Mecze[[#This Row],[BR]]/Mecze[[#This Row],[ST]],0)</f>
        <v>0</v>
      </c>
      <c r="AB2840">
        <f>ROUND(Mecze[[#This Row],[PD]]*Mecze[[#This Row],[%PC]],0)</f>
        <v>11</v>
      </c>
      <c r="AC2840">
        <f>ROUND(Mecze[[#This Row],[OD]]*Mecze[[#This Row],[%OU]],0)</f>
        <v>4</v>
      </c>
      <c r="AD2840" s="36" t="s">
        <v>41</v>
      </c>
      <c r="AE2840" s="36">
        <v>158</v>
      </c>
      <c r="AF2840" s="71">
        <v>5.38</v>
      </c>
      <c r="AG2840" s="37">
        <v>0</v>
      </c>
      <c r="AH2840" s="37">
        <v>0</v>
      </c>
      <c r="AI2840" s="37">
        <v>96</v>
      </c>
      <c r="AJ2840" s="37">
        <v>7</v>
      </c>
      <c r="AK2840" s="37" t="str">
        <f>VLOOKUP(Mecze[[#This Row],[Match ID]],Meczusie[Mecz]:Meczusie[RodzajMeczu],2,FALSE)</f>
        <v>Liga</v>
      </c>
    </row>
    <row r="2841" spans="1:37" x14ac:dyDescent="0.25">
      <c r="A2841" s="76">
        <v>109</v>
      </c>
      <c r="B2841" s="3" t="s">
        <v>404</v>
      </c>
      <c r="C2841" s="2" t="s">
        <v>160</v>
      </c>
      <c r="D2841" s="1">
        <v>0</v>
      </c>
      <c r="E2841" s="1">
        <v>0</v>
      </c>
      <c r="F2841" s="1">
        <v>0</v>
      </c>
      <c r="G2841" s="1">
        <v>7</v>
      </c>
      <c r="H2841" s="4">
        <v>0.43</v>
      </c>
      <c r="I2841" s="1">
        <v>5</v>
      </c>
      <c r="J2841" s="4">
        <v>0.4</v>
      </c>
      <c r="K2841" s="1">
        <v>0</v>
      </c>
      <c r="L2841" s="1">
        <v>4</v>
      </c>
      <c r="M2841" s="32">
        <f>IF(Mecze[[#This Row],[PR]]=0,0,Mecze[[#This Row],[PR]]/Mecze[[#This Row],[CZAS]])</f>
        <v>4.1666666666666664E-2</v>
      </c>
      <c r="N2841" s="32">
        <f>IF(Mecze[[#This Row],[OU]]=0,0,Mecze[[#This Row],[OU]]/Mecze[[#This Row],[CZAS]])</f>
        <v>2.0833333333333332E-2</v>
      </c>
      <c r="O2841" s="32">
        <f>IF(Mecze[[#This Row],[PC]]=0,0,Mecze[[#This Row],[PC]]/Mecze[[#This Row],[CZAS]])</f>
        <v>3.125E-2</v>
      </c>
      <c r="P2841" s="32">
        <f>IF(Mecze[[#This Row],[SC]]=0,0,Mecze[[#This Row],[SC]]/Mecze[[#This Row],[CZAS]])</f>
        <v>0</v>
      </c>
      <c r="Q2841" s="32">
        <f>IF(Mecze[[#This Row],[OB]]=0,0,Mecze[[#This Row],[OB]]/Mecze[[#This Row],[CZAS]])</f>
        <v>0</v>
      </c>
      <c r="R2841" s="32">
        <f>IF(Mecze[[#This Row],[BR]]=0,0,Mecze[[#This Row],[BR]]/Mecze[[#This Row],[CZAS]])</f>
        <v>0</v>
      </c>
      <c r="S2841" s="44">
        <f>IF(Mecze[[#This Row],[Role]]="BR",SUMPRODUCT(Mecze[[#This Row],[/PR:90]:[/BR:90]],Brudnopis!$E$23:$J$23),0)</f>
        <v>0</v>
      </c>
      <c r="T2841" s="44">
        <f>IF(Mecze[[#This Row],[Role]]&lt;&gt;"BR",SUMPRODUCT(Mecze[[#This Row],[/PR:90]:[/BR:90]],Brudnopis!$E$24:$J$24),0)</f>
        <v>0.10416666666666666</v>
      </c>
      <c r="U2841" s="44">
        <f>IF(Mecze[[#This Row],[Role]]&lt;&gt;"BR",SUMPRODUCT(Mecze[[#This Row],[/PR:90]:[/BR:90]],Brudnopis!$E$25:$J$25),0)</f>
        <v>0.109375</v>
      </c>
      <c r="V2841" s="44">
        <f>IF(Mecze[[#This Row],[Role]]&lt;&gt;"BR",SUMPRODUCT(Mecze[[#This Row],[/PR:90]:[/BR:90]],Brudnopis!$E$26:$J$26),0)</f>
        <v>9.375E-2</v>
      </c>
      <c r="W2841" s="44">
        <f>IF(Mecze[[#This Row],[Role]]&lt;&gt;"BR",SUMPRODUCT(Mecze[[#This Row],[/PR:90]:[/BR:90]],Brudnopis!$E$27:$J$27),0)</f>
        <v>9.375E-2</v>
      </c>
      <c r="X2841" s="44">
        <f>IF(Mecze[[#This Row],[Role]]&lt;&gt;"BR",SUMPRODUCT(Mecze[[#This Row],[/PR:90]:[/BR:90]],Brudnopis!$E$28:$J$28),0)</f>
        <v>3.125E-2</v>
      </c>
      <c r="Y2841" s="35">
        <f>IF(Mecze[[#This Row],[Role]]="BR",Mecze[[#This Row],[/OB:90]]+Mecze[[#This Row],[/PC:90]],SUM(Mecze[[#This Row],[/PR:90]:[/BR:90]]))</f>
        <v>9.375E-2</v>
      </c>
      <c r="Z2841" s="35">
        <f>IF(Mecze[[#This Row],[KC]]=0,SUM(Mecze[[#This Row],[/BRI]:[/NPI]]),SUM(Mecze[[#This Row],[/BRI]:[/NPI]])*0.6)</f>
        <v>0.43229166666666663</v>
      </c>
      <c r="AA2841" s="10">
        <f>IFERROR(Mecze[[#This Row],[BR]]/Mecze[[#This Row],[ST]],0)</f>
        <v>0</v>
      </c>
      <c r="AB2841">
        <f>ROUND(Mecze[[#This Row],[PD]]*Mecze[[#This Row],[%PC]],0)</f>
        <v>3</v>
      </c>
      <c r="AC2841">
        <f>ROUND(Mecze[[#This Row],[OD]]*Mecze[[#This Row],[%OU]],0)</f>
        <v>2</v>
      </c>
      <c r="AD2841" s="36" t="s">
        <v>41</v>
      </c>
      <c r="AE2841" s="36">
        <v>158</v>
      </c>
      <c r="AF2841" s="71">
        <v>3.54</v>
      </c>
      <c r="AG2841" s="37">
        <v>0</v>
      </c>
      <c r="AH2841" s="37">
        <v>0</v>
      </c>
      <c r="AI2841" s="37">
        <v>96</v>
      </c>
      <c r="AJ2841" s="37">
        <v>7</v>
      </c>
      <c r="AK2841" s="37" t="str">
        <f>VLOOKUP(Mecze[[#This Row],[Match ID]],Meczusie[Mecz]:Meczusie[RodzajMeczu],2,FALSE)</f>
        <v>Liga</v>
      </c>
    </row>
    <row r="2842" spans="1:37" x14ac:dyDescent="0.25">
      <c r="A2842" s="76">
        <v>200</v>
      </c>
      <c r="B2842" s="3" t="s">
        <v>339</v>
      </c>
      <c r="C2842" s="2" t="s">
        <v>160</v>
      </c>
      <c r="D2842" s="1">
        <v>0</v>
      </c>
      <c r="E2842" s="1">
        <v>2</v>
      </c>
      <c r="F2842" s="1">
        <v>2</v>
      </c>
      <c r="G2842" s="1">
        <v>16</v>
      </c>
      <c r="H2842" s="4">
        <v>0.5</v>
      </c>
      <c r="I2842" s="1">
        <v>11</v>
      </c>
      <c r="J2842" s="4">
        <v>0.55000000000000004</v>
      </c>
      <c r="K2842" s="1">
        <v>0</v>
      </c>
      <c r="L2842" s="1">
        <v>8</v>
      </c>
      <c r="M2842" s="32">
        <f>IF(Mecze[[#This Row],[PR]]=0,0,Mecze[[#This Row],[PR]]/Mecze[[#This Row],[CZAS]])</f>
        <v>8.3333333333333329E-2</v>
      </c>
      <c r="N2842" s="32">
        <f>IF(Mecze[[#This Row],[OU]]=0,0,Mecze[[#This Row],[OU]]/Mecze[[#This Row],[CZAS]])</f>
        <v>6.25E-2</v>
      </c>
      <c r="O2842" s="32">
        <f>IF(Mecze[[#This Row],[PC]]=0,0,Mecze[[#This Row],[PC]]/Mecze[[#This Row],[CZAS]])</f>
        <v>8.3333333333333329E-2</v>
      </c>
      <c r="P2842" s="32">
        <f>IF(Mecze[[#This Row],[SC]]=0,0,Mecze[[#This Row],[SC]]/Mecze[[#This Row],[CZAS]])</f>
        <v>2.0833333333333332E-2</v>
      </c>
      <c r="Q2842" s="32">
        <f>IF(Mecze[[#This Row],[OB]]=0,0,Mecze[[#This Row],[OB]]/Mecze[[#This Row],[CZAS]])</f>
        <v>0</v>
      </c>
      <c r="R2842" s="32">
        <f>IF(Mecze[[#This Row],[BR]]=0,0,Mecze[[#This Row],[BR]]/Mecze[[#This Row],[CZAS]])</f>
        <v>0</v>
      </c>
      <c r="S2842" s="44">
        <f>IF(Mecze[[#This Row],[Role]]="BR",SUMPRODUCT(Mecze[[#This Row],[/PR:90]:[/BR:90]],Brudnopis!$E$23:$J$23),0)</f>
        <v>0</v>
      </c>
      <c r="T2842" s="44">
        <f>IF(Mecze[[#This Row],[Role]]&lt;&gt;"BR",SUMPRODUCT(Mecze[[#This Row],[/PR:90]:[/BR:90]],Brudnopis!$E$24:$J$24),0)</f>
        <v>0.28124999999999994</v>
      </c>
      <c r="U2842" s="44">
        <f>IF(Mecze[[#This Row],[Role]]&lt;&gt;"BR",SUMPRODUCT(Mecze[[#This Row],[/PR:90]:[/BR:90]],Brudnopis!$E$25:$J$25),0)</f>
        <v>0.29166666666666663</v>
      </c>
      <c r="V2842" s="44">
        <f>IF(Mecze[[#This Row],[Role]]&lt;&gt;"BR",SUMPRODUCT(Mecze[[#This Row],[/PR:90]:[/BR:90]],Brudnopis!$E$26:$J$26),0)</f>
        <v>0.24999999999999997</v>
      </c>
      <c r="W2842" s="44">
        <f>IF(Mecze[[#This Row],[Role]]&lt;&gt;"BR",SUMPRODUCT(Mecze[[#This Row],[/PR:90]:[/BR:90]],Brudnopis!$E$27:$J$27),0)</f>
        <v>0.25520833333333331</v>
      </c>
      <c r="X2842" s="44">
        <f>IF(Mecze[[#This Row],[Role]]&lt;&gt;"BR",SUMPRODUCT(Mecze[[#This Row],[/PR:90]:[/BR:90]],Brudnopis!$E$28:$J$28),0)</f>
        <v>0.125</v>
      </c>
      <c r="Y2842" s="35">
        <f>IF(Mecze[[#This Row],[Role]]="BR",Mecze[[#This Row],[/OB:90]]+Mecze[[#This Row],[/PC:90]],SUM(Mecze[[#This Row],[/PR:90]:[/BR:90]]))</f>
        <v>0.24999999999999997</v>
      </c>
      <c r="Z2842" s="35">
        <f>IF(Mecze[[#This Row],[KC]]=0,SUM(Mecze[[#This Row],[/BRI]:[/NPI]]),SUM(Mecze[[#This Row],[/BRI]:[/NPI]])*0.6)</f>
        <v>1.2031249999999998</v>
      </c>
      <c r="AA2842" s="10">
        <f>IFERROR(Mecze[[#This Row],[BR]]/Mecze[[#This Row],[ST]],0)</f>
        <v>0</v>
      </c>
      <c r="AB2842">
        <f>ROUND(Mecze[[#This Row],[PD]]*Mecze[[#This Row],[%PC]],0)</f>
        <v>8</v>
      </c>
      <c r="AC2842">
        <f>ROUND(Mecze[[#This Row],[OD]]*Mecze[[#This Row],[%OU]],0)</f>
        <v>6</v>
      </c>
      <c r="AD2842" s="36" t="s">
        <v>67</v>
      </c>
      <c r="AE2842" s="36">
        <v>158</v>
      </c>
      <c r="AF2842" s="71">
        <v>4.9400000000000004</v>
      </c>
      <c r="AG2842" s="37">
        <v>1</v>
      </c>
      <c r="AH2842" s="37">
        <v>0</v>
      </c>
      <c r="AI2842" s="37">
        <v>96</v>
      </c>
      <c r="AJ2842" s="37">
        <v>7</v>
      </c>
      <c r="AK2842" s="37" t="str">
        <f>VLOOKUP(Mecze[[#This Row],[Match ID]],Meczusie[Mecz]:Meczusie[RodzajMeczu],2,FALSE)</f>
        <v>Liga</v>
      </c>
    </row>
    <row r="2843" spans="1:37" x14ac:dyDescent="0.25">
      <c r="A2843" s="76">
        <v>201</v>
      </c>
      <c r="B2843" s="3" t="s">
        <v>456</v>
      </c>
      <c r="C2843" s="2" t="s">
        <v>160</v>
      </c>
      <c r="D2843" s="1">
        <v>0</v>
      </c>
      <c r="E2843" s="1">
        <v>2</v>
      </c>
      <c r="F2843" s="1">
        <v>2</v>
      </c>
      <c r="G2843" s="1">
        <v>10</v>
      </c>
      <c r="H2843" s="4">
        <v>0.7</v>
      </c>
      <c r="I2843" s="1">
        <v>8</v>
      </c>
      <c r="J2843" s="4">
        <v>0.38</v>
      </c>
      <c r="K2843" s="1">
        <v>0</v>
      </c>
      <c r="L2843" s="1">
        <v>0</v>
      </c>
      <c r="M2843" s="32">
        <f>IF(Mecze[[#This Row],[PR]]=0,0,Mecze[[#This Row],[PR]]/Mecze[[#This Row],[CZAS]])</f>
        <v>0</v>
      </c>
      <c r="N2843" s="32">
        <f>IF(Mecze[[#This Row],[OU]]=0,0,Mecze[[#This Row],[OU]]/Mecze[[#This Row],[CZAS]])</f>
        <v>3.125E-2</v>
      </c>
      <c r="O2843" s="32">
        <f>IF(Mecze[[#This Row],[PC]]=0,0,Mecze[[#This Row],[PC]]/Mecze[[#This Row],[CZAS]])</f>
        <v>7.2916666666666671E-2</v>
      </c>
      <c r="P2843" s="32">
        <f>IF(Mecze[[#This Row],[SC]]=0,0,Mecze[[#This Row],[SC]]/Mecze[[#This Row],[CZAS]])</f>
        <v>2.0833333333333332E-2</v>
      </c>
      <c r="Q2843" s="32">
        <f>IF(Mecze[[#This Row],[OB]]=0,0,Mecze[[#This Row],[OB]]/Mecze[[#This Row],[CZAS]])</f>
        <v>0</v>
      </c>
      <c r="R2843" s="32">
        <f>IF(Mecze[[#This Row],[BR]]=0,0,Mecze[[#This Row],[BR]]/Mecze[[#This Row],[CZAS]])</f>
        <v>0</v>
      </c>
      <c r="S2843" s="44">
        <f>IF(Mecze[[#This Row],[Role]]="BR",SUMPRODUCT(Mecze[[#This Row],[/PR:90]:[/BR:90]],Brudnopis!$E$23:$J$23),0)</f>
        <v>0</v>
      </c>
      <c r="T2843" s="44">
        <f>IF(Mecze[[#This Row],[Role]]&lt;&gt;"BR",SUMPRODUCT(Mecze[[#This Row],[/PR:90]:[/BR:90]],Brudnopis!$E$24:$J$24),0)</f>
        <v>0.140625</v>
      </c>
      <c r="U2843" s="44">
        <f>IF(Mecze[[#This Row],[Role]]&lt;&gt;"BR",SUMPRODUCT(Mecze[[#This Row],[/PR:90]:[/BR:90]],Brudnopis!$E$25:$J$25),0)</f>
        <v>0.16145833333333334</v>
      </c>
      <c r="V2843" s="44">
        <f>IF(Mecze[[#This Row],[Role]]&lt;&gt;"BR",SUMPRODUCT(Mecze[[#This Row],[/PR:90]:[/BR:90]],Brudnopis!$E$26:$J$26),0)</f>
        <v>0.125</v>
      </c>
      <c r="W2843" s="44">
        <f>IF(Mecze[[#This Row],[Role]]&lt;&gt;"BR",SUMPRODUCT(Mecze[[#This Row],[/PR:90]:[/BR:90]],Brudnopis!$E$27:$J$27),0)</f>
        <v>0.15364583333333334</v>
      </c>
      <c r="X2843" s="44">
        <f>IF(Mecze[[#This Row],[Role]]&lt;&gt;"BR",SUMPRODUCT(Mecze[[#This Row],[/PR:90]:[/BR:90]],Brudnopis!$E$28:$J$28),0)</f>
        <v>0.11458333333333334</v>
      </c>
      <c r="Y2843" s="35">
        <f>IF(Mecze[[#This Row],[Role]]="BR",Mecze[[#This Row],[/OB:90]]+Mecze[[#This Row],[/PC:90]],SUM(Mecze[[#This Row],[/PR:90]:[/BR:90]]))</f>
        <v>0.125</v>
      </c>
      <c r="Z2843" s="35">
        <f>IF(Mecze[[#This Row],[KC]]=0,SUM(Mecze[[#This Row],[/BRI]:[/NPI]]),SUM(Mecze[[#This Row],[/BRI]:[/NPI]])*0.6)</f>
        <v>0.69531250000000011</v>
      </c>
      <c r="AA2843" s="10">
        <f>IFERROR(Mecze[[#This Row],[BR]]/Mecze[[#This Row],[ST]],0)</f>
        <v>0</v>
      </c>
      <c r="AB2843">
        <f>ROUND(Mecze[[#This Row],[PD]]*Mecze[[#This Row],[%PC]],0)</f>
        <v>7</v>
      </c>
      <c r="AC2843">
        <f>ROUND(Mecze[[#This Row],[OD]]*Mecze[[#This Row],[%OU]],0)</f>
        <v>3</v>
      </c>
      <c r="AD2843" s="36" t="s">
        <v>44</v>
      </c>
      <c r="AE2843" s="36">
        <v>158</v>
      </c>
      <c r="AF2843" s="71">
        <v>4.37</v>
      </c>
      <c r="AG2843" s="37">
        <v>0</v>
      </c>
      <c r="AH2843" s="37">
        <v>0</v>
      </c>
      <c r="AI2843" s="37">
        <v>96</v>
      </c>
      <c r="AJ2843" s="37">
        <v>7</v>
      </c>
      <c r="AK2843" s="37" t="str">
        <f>VLOOKUP(Mecze[[#This Row],[Match ID]],Meczusie[Mecz]:Meczusie[RodzajMeczu],2,FALSE)</f>
        <v>Liga</v>
      </c>
    </row>
    <row r="2844" spans="1:37" x14ac:dyDescent="0.25">
      <c r="A2844" s="76">
        <v>101</v>
      </c>
      <c r="B2844" s="3" t="s">
        <v>444</v>
      </c>
      <c r="C2844" s="2" t="s">
        <v>160</v>
      </c>
      <c r="D2844" s="1">
        <v>0</v>
      </c>
      <c r="E2844" s="1">
        <v>0</v>
      </c>
      <c r="F2844" s="1">
        <v>0</v>
      </c>
      <c r="G2844" s="1">
        <v>5</v>
      </c>
      <c r="H2844" s="4">
        <v>0.8</v>
      </c>
      <c r="I2844" s="1">
        <v>0</v>
      </c>
      <c r="J2844" s="4"/>
      <c r="K2844" s="1">
        <v>0</v>
      </c>
      <c r="L2844" s="1">
        <v>0</v>
      </c>
      <c r="M2844" s="32">
        <f>IF(Mecze[[#This Row],[PR]]=0,0,Mecze[[#This Row],[PR]]/Mecze[[#This Row],[CZAS]])</f>
        <v>0</v>
      </c>
      <c r="N2844" s="32">
        <f>IF(Mecze[[#This Row],[OU]]=0,0,Mecze[[#This Row],[OU]]/Mecze[[#This Row],[CZAS]])</f>
        <v>0</v>
      </c>
      <c r="O2844" s="32">
        <f>IF(Mecze[[#This Row],[PC]]=0,0,Mecze[[#This Row],[PC]]/Mecze[[#This Row],[CZAS]])</f>
        <v>5.7971014492753624E-2</v>
      </c>
      <c r="P2844" s="32">
        <f>IF(Mecze[[#This Row],[SC]]=0,0,Mecze[[#This Row],[SC]]/Mecze[[#This Row],[CZAS]])</f>
        <v>0</v>
      </c>
      <c r="Q2844" s="32">
        <f>IF(Mecze[[#This Row],[OB]]=0,0,Mecze[[#This Row],[OB]]/Mecze[[#This Row],[CZAS]])</f>
        <v>0</v>
      </c>
      <c r="R2844" s="32">
        <f>IF(Mecze[[#This Row],[BR]]=0,0,Mecze[[#This Row],[BR]]/Mecze[[#This Row],[CZAS]])</f>
        <v>0</v>
      </c>
      <c r="S2844" s="44">
        <f>IF(Mecze[[#This Row],[Role]]="BR",SUMPRODUCT(Mecze[[#This Row],[/PR:90]:[/BR:90]],Brudnopis!$E$23:$J$23),0)</f>
        <v>0</v>
      </c>
      <c r="T2844" s="44">
        <f>IF(Mecze[[#This Row],[Role]]&lt;&gt;"BR",SUMPRODUCT(Mecze[[#This Row],[/PR:90]:[/BR:90]],Brudnopis!$E$24:$J$24),0)</f>
        <v>5.7971014492753624E-2</v>
      </c>
      <c r="U2844" s="44">
        <f>IF(Mecze[[#This Row],[Role]]&lt;&gt;"BR",SUMPRODUCT(Mecze[[#This Row],[/PR:90]:[/BR:90]],Brudnopis!$E$25:$J$25),0)</f>
        <v>8.6956521739130432E-2</v>
      </c>
      <c r="V2844" s="44">
        <f>IF(Mecze[[#This Row],[Role]]&lt;&gt;"BR",SUMPRODUCT(Mecze[[#This Row],[/PR:90]:[/BR:90]],Brudnopis!$E$26:$J$26),0)</f>
        <v>5.7971014492753624E-2</v>
      </c>
      <c r="W2844" s="44">
        <f>IF(Mecze[[#This Row],[Role]]&lt;&gt;"BR",SUMPRODUCT(Mecze[[#This Row],[/PR:90]:[/BR:90]],Brudnopis!$E$27:$J$27),0)</f>
        <v>8.6956521739130432E-2</v>
      </c>
      <c r="X2844" s="44">
        <f>IF(Mecze[[#This Row],[Role]]&lt;&gt;"BR",SUMPRODUCT(Mecze[[#This Row],[/PR:90]:[/BR:90]],Brudnopis!$E$28:$J$28),0)</f>
        <v>5.7971014492753624E-2</v>
      </c>
      <c r="Y2844" s="35">
        <f>IF(Mecze[[#This Row],[Role]]="BR",Mecze[[#This Row],[/OB:90]]+Mecze[[#This Row],[/PC:90]],SUM(Mecze[[#This Row],[/PR:90]:[/BR:90]]))</f>
        <v>5.7971014492753624E-2</v>
      </c>
      <c r="Z2844" s="35">
        <f>IF(Mecze[[#This Row],[KC]]=0,SUM(Mecze[[#This Row],[/BRI]:[/NPI]]),SUM(Mecze[[#This Row],[/BRI]:[/NPI]])*0.6)</f>
        <v>0.34782608695652173</v>
      </c>
      <c r="AA2844" s="10">
        <f>IFERROR(Mecze[[#This Row],[BR]]/Mecze[[#This Row],[ST]],0)</f>
        <v>0</v>
      </c>
      <c r="AB2844">
        <f>ROUND(Mecze[[#This Row],[PD]]*Mecze[[#This Row],[%PC]],0)</f>
        <v>4</v>
      </c>
      <c r="AC2844">
        <f>ROUND(Mecze[[#This Row],[OD]]*Mecze[[#This Row],[%OU]],0)</f>
        <v>0</v>
      </c>
      <c r="AD2844" s="36" t="s">
        <v>299</v>
      </c>
      <c r="AE2844" s="36">
        <v>158</v>
      </c>
      <c r="AF2844" s="71">
        <v>4.82</v>
      </c>
      <c r="AG2844" s="37">
        <v>0</v>
      </c>
      <c r="AH2844" s="37">
        <v>0</v>
      </c>
      <c r="AI2844" s="37">
        <v>69</v>
      </c>
      <c r="AJ2844" s="37">
        <v>7</v>
      </c>
      <c r="AK2844" s="37" t="str">
        <f>VLOOKUP(Mecze[[#This Row],[Match ID]],Meczusie[Mecz]:Meczusie[RodzajMeczu],2,FALSE)</f>
        <v>Liga</v>
      </c>
    </row>
    <row r="2845" spans="1:37" x14ac:dyDescent="0.25">
      <c r="A2845" s="76">
        <v>203</v>
      </c>
      <c r="B2845" s="3" t="s">
        <v>342</v>
      </c>
      <c r="C2845" s="2" t="s">
        <v>165</v>
      </c>
      <c r="D2845" s="1">
        <v>0</v>
      </c>
      <c r="E2845" s="1">
        <v>11</v>
      </c>
      <c r="F2845" s="1">
        <v>10</v>
      </c>
      <c r="G2845" s="1">
        <v>7</v>
      </c>
      <c r="H2845" s="4">
        <v>0.56999999999999995</v>
      </c>
      <c r="I2845" s="1">
        <v>3</v>
      </c>
      <c r="J2845" s="4">
        <v>0.33</v>
      </c>
      <c r="K2845" s="1">
        <v>0</v>
      </c>
      <c r="L2845" s="1">
        <v>2</v>
      </c>
      <c r="M2845" s="32">
        <f>IF(Mecze[[#This Row],[PR]]=0,0,Mecze[[#This Row],[PR]]/Mecze[[#This Row],[CZAS]])</f>
        <v>2.0833333333333332E-2</v>
      </c>
      <c r="N2845" s="32">
        <f>IF(Mecze[[#This Row],[OU]]=0,0,Mecze[[#This Row],[OU]]/Mecze[[#This Row],[CZAS]])</f>
        <v>1.0416666666666666E-2</v>
      </c>
      <c r="O2845" s="32">
        <f>IF(Mecze[[#This Row],[PC]]=0,0,Mecze[[#This Row],[PC]]/Mecze[[#This Row],[CZAS]])</f>
        <v>4.1666666666666664E-2</v>
      </c>
      <c r="P2845" s="32">
        <f>IF(Mecze[[#This Row],[SC]]=0,0,Mecze[[#This Row],[SC]]/Mecze[[#This Row],[CZAS]])</f>
        <v>0.10416666666666667</v>
      </c>
      <c r="Q2845" s="32">
        <f>IF(Mecze[[#This Row],[OB]]=0,0,Mecze[[#This Row],[OB]]/Mecze[[#This Row],[CZAS]])</f>
        <v>0</v>
      </c>
      <c r="R2845" s="32">
        <f>IF(Mecze[[#This Row],[BR]]=0,0,Mecze[[#This Row],[BR]]/Mecze[[#This Row],[CZAS]])</f>
        <v>0</v>
      </c>
      <c r="S2845" s="44">
        <f>IF(Mecze[[#This Row],[Role]]="BR",SUMPRODUCT(Mecze[[#This Row],[/PR:90]:[/BR:90]],Brudnopis!$E$23:$J$23),0)</f>
        <v>0</v>
      </c>
      <c r="T2845" s="44">
        <f>IF(Mecze[[#This Row],[Role]]&lt;&gt;"BR",SUMPRODUCT(Mecze[[#This Row],[/PR:90]:[/BR:90]],Brudnopis!$E$24:$J$24),0)</f>
        <v>0.18229166666666669</v>
      </c>
      <c r="U2845" s="44">
        <f>IF(Mecze[[#This Row],[Role]]&lt;&gt;"BR",SUMPRODUCT(Mecze[[#This Row],[/PR:90]:[/BR:90]],Brudnopis!$E$25:$J$25),0)</f>
        <v>0.19791666666666669</v>
      </c>
      <c r="V2845" s="44">
        <f>IF(Mecze[[#This Row],[Role]]&lt;&gt;"BR",SUMPRODUCT(Mecze[[#This Row],[/PR:90]:[/BR:90]],Brudnopis!$E$26:$J$26),0)</f>
        <v>0.17708333333333331</v>
      </c>
      <c r="W2845" s="44">
        <f>IF(Mecze[[#This Row],[Role]]&lt;&gt;"BR",SUMPRODUCT(Mecze[[#This Row],[/PR:90]:[/BR:90]],Brudnopis!$E$27:$J$27),0)</f>
        <v>0.19010416666666669</v>
      </c>
      <c r="X2845" s="44">
        <f>IF(Mecze[[#This Row],[Role]]&lt;&gt;"BR",SUMPRODUCT(Mecze[[#This Row],[/PR:90]:[/BR:90]],Brudnopis!$E$28:$J$28),0)</f>
        <v>0.25</v>
      </c>
      <c r="Y2845" s="35">
        <f>IF(Mecze[[#This Row],[Role]]="BR",Mecze[[#This Row],[/OB:90]]+Mecze[[#This Row],[/PC:90]],SUM(Mecze[[#This Row],[/PR:90]:[/BR:90]]))</f>
        <v>0.17708333333333331</v>
      </c>
      <c r="Z2845" s="35">
        <f>IF(Mecze[[#This Row],[KC]]=0,SUM(Mecze[[#This Row],[/BRI]:[/NPI]]),SUM(Mecze[[#This Row],[/BRI]:[/NPI]])*0.6)</f>
        <v>0.99739583333333348</v>
      </c>
      <c r="AA2845" s="10">
        <f>IFERROR(Mecze[[#This Row],[BR]]/Mecze[[#This Row],[ST]],0)</f>
        <v>0</v>
      </c>
      <c r="AB2845">
        <f>ROUND(Mecze[[#This Row],[PD]]*Mecze[[#This Row],[%PC]],0)</f>
        <v>4</v>
      </c>
      <c r="AC2845">
        <f>ROUND(Mecze[[#This Row],[OD]]*Mecze[[#This Row],[%OU]],0)</f>
        <v>1</v>
      </c>
      <c r="AD2845" s="36" t="s">
        <v>46</v>
      </c>
      <c r="AE2845" s="36">
        <v>158</v>
      </c>
      <c r="AF2845" s="71">
        <v>6.24</v>
      </c>
      <c r="AG2845" s="37">
        <v>0</v>
      </c>
      <c r="AH2845" s="37">
        <v>0</v>
      </c>
      <c r="AI2845" s="37">
        <v>96</v>
      </c>
      <c r="AJ2845" s="37">
        <v>7</v>
      </c>
      <c r="AK2845" s="37" t="str">
        <f>VLOOKUP(Mecze[[#This Row],[Match ID]],Meczusie[Mecz]:Meczusie[RodzajMeczu],2,FALSE)</f>
        <v>Liga</v>
      </c>
    </row>
    <row r="2846" spans="1:37" x14ac:dyDescent="0.25">
      <c r="A2846" s="76">
        <v>104</v>
      </c>
      <c r="B2846" s="3" t="s">
        <v>343</v>
      </c>
      <c r="C2846" s="2" t="s">
        <v>165</v>
      </c>
      <c r="D2846" s="1">
        <v>1</v>
      </c>
      <c r="E2846" s="1">
        <v>1</v>
      </c>
      <c r="F2846" s="1">
        <v>1</v>
      </c>
      <c r="G2846" s="1">
        <v>21</v>
      </c>
      <c r="H2846" s="4">
        <v>0.62</v>
      </c>
      <c r="I2846" s="1">
        <v>3</v>
      </c>
      <c r="J2846" s="4">
        <v>0.67</v>
      </c>
      <c r="K2846" s="1">
        <v>0</v>
      </c>
      <c r="L2846" s="1">
        <v>0</v>
      </c>
      <c r="M2846" s="32">
        <f>IF(Mecze[[#This Row],[PR]]=0,0,Mecze[[#This Row],[PR]]/Mecze[[#This Row],[CZAS]])</f>
        <v>0</v>
      </c>
      <c r="N2846" s="32">
        <f>IF(Mecze[[#This Row],[OU]]=0,0,Mecze[[#This Row],[OU]]/Mecze[[#This Row],[CZAS]])</f>
        <v>2.0833333333333332E-2</v>
      </c>
      <c r="O2846" s="32">
        <f>IF(Mecze[[#This Row],[PC]]=0,0,Mecze[[#This Row],[PC]]/Mecze[[#This Row],[CZAS]])</f>
        <v>0.13541666666666666</v>
      </c>
      <c r="P2846" s="32">
        <f>IF(Mecze[[#This Row],[SC]]=0,0,Mecze[[#This Row],[SC]]/Mecze[[#This Row],[CZAS]])</f>
        <v>1.0416666666666666E-2</v>
      </c>
      <c r="Q2846" s="32">
        <f>IF(Mecze[[#This Row],[OB]]=0,0,Mecze[[#This Row],[OB]]/Mecze[[#This Row],[CZAS]])</f>
        <v>0</v>
      </c>
      <c r="R2846" s="32">
        <f>IF(Mecze[[#This Row],[BR]]=0,0,Mecze[[#This Row],[BR]]/Mecze[[#This Row],[CZAS]])</f>
        <v>1.0416666666666666E-2</v>
      </c>
      <c r="S2846" s="44">
        <f>IF(Mecze[[#This Row],[Role]]="BR",SUMPRODUCT(Mecze[[#This Row],[/PR:90]:[/BR:90]],Brudnopis!$E$23:$J$23),0)</f>
        <v>0</v>
      </c>
      <c r="T2846" s="44">
        <f>IF(Mecze[[#This Row],[Role]]&lt;&gt;"BR",SUMPRODUCT(Mecze[[#This Row],[/PR:90]:[/BR:90]],Brudnopis!$E$24:$J$24),0)</f>
        <v>0.19270833333333331</v>
      </c>
      <c r="U2846" s="44">
        <f>IF(Mecze[[#This Row],[Role]]&lt;&gt;"BR",SUMPRODUCT(Mecze[[#This Row],[/PR:90]:[/BR:90]],Brudnopis!$E$25:$J$25),0)</f>
        <v>0.25</v>
      </c>
      <c r="V2846" s="44">
        <f>IF(Mecze[[#This Row],[Role]]&lt;&gt;"BR",SUMPRODUCT(Mecze[[#This Row],[/PR:90]:[/BR:90]],Brudnopis!$E$26:$J$26),0)</f>
        <v>0.1875</v>
      </c>
      <c r="W2846" s="44">
        <f>IF(Mecze[[#This Row],[Role]]&lt;&gt;"BR",SUMPRODUCT(Mecze[[#This Row],[/PR:90]:[/BR:90]],Brudnopis!$E$27:$J$27),0)</f>
        <v>0.25</v>
      </c>
      <c r="X2846" s="44">
        <f>IF(Mecze[[#This Row],[Role]]&lt;&gt;"BR",SUMPRODUCT(Mecze[[#This Row],[/PR:90]:[/BR:90]],Brudnopis!$E$28:$J$28),0)</f>
        <v>0.1875</v>
      </c>
      <c r="Y2846" s="35">
        <f>IF(Mecze[[#This Row],[Role]]="BR",Mecze[[#This Row],[/OB:90]]+Mecze[[#This Row],[/PC:90]],SUM(Mecze[[#This Row],[/PR:90]:[/BR:90]]))</f>
        <v>0.17708333333333331</v>
      </c>
      <c r="Z2846" s="35">
        <f>IF(Mecze[[#This Row],[KC]]=0,SUM(Mecze[[#This Row],[/BRI]:[/NPI]]),SUM(Mecze[[#This Row],[/BRI]:[/NPI]])*0.6)</f>
        <v>1.0677083333333333</v>
      </c>
      <c r="AA2846" s="10">
        <f>IFERROR(Mecze[[#This Row],[BR]]/Mecze[[#This Row],[ST]],0)</f>
        <v>1</v>
      </c>
      <c r="AB2846">
        <f>ROUND(Mecze[[#This Row],[PD]]*Mecze[[#This Row],[%PC]],0)</f>
        <v>13</v>
      </c>
      <c r="AC2846">
        <f>ROUND(Mecze[[#This Row],[OD]]*Mecze[[#This Row],[%OU]],0)</f>
        <v>2</v>
      </c>
      <c r="AD2846" s="36" t="s">
        <v>167</v>
      </c>
      <c r="AE2846" s="36">
        <v>158</v>
      </c>
      <c r="AF2846" s="71">
        <v>6.56</v>
      </c>
      <c r="AG2846" s="37">
        <v>0</v>
      </c>
      <c r="AH2846" s="37">
        <v>0</v>
      </c>
      <c r="AI2846" s="37">
        <v>96</v>
      </c>
      <c r="AJ2846" s="37">
        <v>7</v>
      </c>
      <c r="AK2846" s="37" t="str">
        <f>VLOOKUP(Mecze[[#This Row],[Match ID]],Meczusie[Mecz]:Meczusie[RodzajMeczu],2,FALSE)</f>
        <v>Liga</v>
      </c>
    </row>
    <row r="2847" spans="1:37" x14ac:dyDescent="0.25">
      <c r="A2847" s="76">
        <v>70</v>
      </c>
      <c r="B2847" s="3" t="s">
        <v>341</v>
      </c>
      <c r="C2847" s="2" t="s">
        <v>160</v>
      </c>
      <c r="D2847" s="1">
        <v>0</v>
      </c>
      <c r="E2847" s="1">
        <v>0</v>
      </c>
      <c r="F2847" s="1">
        <v>0</v>
      </c>
      <c r="G2847" s="1">
        <v>3</v>
      </c>
      <c r="H2847" s="4">
        <v>0.33</v>
      </c>
      <c r="I2847" s="1">
        <v>0</v>
      </c>
      <c r="J2847" s="4"/>
      <c r="K2847" s="1">
        <v>0</v>
      </c>
      <c r="L2847" s="1">
        <v>0</v>
      </c>
      <c r="M2847" s="32">
        <f>IF(Mecze[[#This Row],[PR]]=0,0,Mecze[[#This Row],[PR]]/Mecze[[#This Row],[CZAS]])</f>
        <v>0</v>
      </c>
      <c r="N2847" s="32">
        <f>IF(Mecze[[#This Row],[OU]]=0,0,Mecze[[#This Row],[OU]]/Mecze[[#This Row],[CZAS]])</f>
        <v>0</v>
      </c>
      <c r="O2847" s="32">
        <f>IF(Mecze[[#This Row],[PC]]=0,0,Mecze[[#This Row],[PC]]/Mecze[[#This Row],[CZAS]])</f>
        <v>3.7037037037037035E-2</v>
      </c>
      <c r="P2847" s="32">
        <f>IF(Mecze[[#This Row],[SC]]=0,0,Mecze[[#This Row],[SC]]/Mecze[[#This Row],[CZAS]])</f>
        <v>0</v>
      </c>
      <c r="Q2847" s="32">
        <f>IF(Mecze[[#This Row],[OB]]=0,0,Mecze[[#This Row],[OB]]/Mecze[[#This Row],[CZAS]])</f>
        <v>0</v>
      </c>
      <c r="R2847" s="32">
        <f>IF(Mecze[[#This Row],[BR]]=0,0,Mecze[[#This Row],[BR]]/Mecze[[#This Row],[CZAS]])</f>
        <v>0</v>
      </c>
      <c r="S2847" s="44">
        <f>IF(Mecze[[#This Row],[Role]]="BR",SUMPRODUCT(Mecze[[#This Row],[/PR:90]:[/BR:90]],Brudnopis!$E$23:$J$23),0)</f>
        <v>0</v>
      </c>
      <c r="T2847" s="44">
        <f>IF(Mecze[[#This Row],[Role]]&lt;&gt;"BR",SUMPRODUCT(Mecze[[#This Row],[/PR:90]:[/BR:90]],Brudnopis!$E$24:$J$24),0)</f>
        <v>3.7037037037037035E-2</v>
      </c>
      <c r="U2847" s="44">
        <f>IF(Mecze[[#This Row],[Role]]&lt;&gt;"BR",SUMPRODUCT(Mecze[[#This Row],[/PR:90]:[/BR:90]],Brudnopis!$E$25:$J$25),0)</f>
        <v>5.5555555555555552E-2</v>
      </c>
      <c r="V2847" s="44">
        <f>IF(Mecze[[#This Row],[Role]]&lt;&gt;"BR",SUMPRODUCT(Mecze[[#This Row],[/PR:90]:[/BR:90]],Brudnopis!$E$26:$J$26),0)</f>
        <v>3.7037037037037035E-2</v>
      </c>
      <c r="W2847" s="44">
        <f>IF(Mecze[[#This Row],[Role]]&lt;&gt;"BR",SUMPRODUCT(Mecze[[#This Row],[/PR:90]:[/BR:90]],Brudnopis!$E$27:$J$27),0)</f>
        <v>5.5555555555555552E-2</v>
      </c>
      <c r="X2847" s="44">
        <f>IF(Mecze[[#This Row],[Role]]&lt;&gt;"BR",SUMPRODUCT(Mecze[[#This Row],[/PR:90]:[/BR:90]],Brudnopis!$E$28:$J$28),0)</f>
        <v>3.7037037037037035E-2</v>
      </c>
      <c r="Y2847" s="35">
        <f>IF(Mecze[[#This Row],[Role]]="BR",Mecze[[#This Row],[/OB:90]]+Mecze[[#This Row],[/PC:90]],SUM(Mecze[[#This Row],[/PR:90]:[/BR:90]]))</f>
        <v>3.7037037037037035E-2</v>
      </c>
      <c r="Z2847" s="35">
        <f>IF(Mecze[[#This Row],[KC]]=0,SUM(Mecze[[#This Row],[/BRI]:[/NPI]]),SUM(Mecze[[#This Row],[/BRI]:[/NPI]])*0.6)</f>
        <v>0.22222222222222221</v>
      </c>
      <c r="AA2847" s="10">
        <f>IFERROR(Mecze[[#This Row],[BR]]/Mecze[[#This Row],[ST]],0)</f>
        <v>0</v>
      </c>
      <c r="AB2847">
        <f>ROUND(Mecze[[#This Row],[PD]]*Mecze[[#This Row],[%PC]],0)</f>
        <v>1</v>
      </c>
      <c r="AC2847">
        <f>ROUND(Mecze[[#This Row],[OD]]*Mecze[[#This Row],[%OU]],0)</f>
        <v>0</v>
      </c>
      <c r="AD2847" s="36" t="s">
        <v>299</v>
      </c>
      <c r="AE2847" s="36">
        <v>158</v>
      </c>
      <c r="AF2847" s="71">
        <v>0.5</v>
      </c>
      <c r="AG2847" s="37">
        <v>0</v>
      </c>
      <c r="AH2847" s="37">
        <v>0</v>
      </c>
      <c r="AI2847" s="37">
        <v>27</v>
      </c>
      <c r="AJ2847" s="37">
        <v>7</v>
      </c>
      <c r="AK2847" s="37" t="str">
        <f>VLOOKUP(Mecze[[#This Row],[Match ID]],Meczusie[Mecz]:Meczusie[RodzajMeczu],2,FALSE)</f>
        <v>Liga</v>
      </c>
    </row>
    <row r="2848" spans="1:37" x14ac:dyDescent="0.25">
      <c r="A2848" s="76">
        <v>1</v>
      </c>
      <c r="B2848" s="3" t="s">
        <v>274</v>
      </c>
      <c r="C2848" s="2" t="s">
        <v>155</v>
      </c>
      <c r="D2848" s="1">
        <v>0</v>
      </c>
      <c r="E2848" s="1">
        <v>0</v>
      </c>
      <c r="F2848" s="1">
        <v>0</v>
      </c>
      <c r="G2848" s="1">
        <v>2</v>
      </c>
      <c r="H2848" s="4">
        <v>0.5</v>
      </c>
      <c r="I2848" s="1">
        <v>0</v>
      </c>
      <c r="J2848" s="4"/>
      <c r="K2848" s="1">
        <v>1</v>
      </c>
      <c r="L2848" s="1">
        <v>0</v>
      </c>
      <c r="M2848" s="32">
        <f>IF(Mecze[[#This Row],[PR]]=0,0,Mecze[[#This Row],[PR]]/Mecze[[#This Row],[CZAS]])</f>
        <v>0</v>
      </c>
      <c r="N2848" s="32">
        <f>IF(Mecze[[#This Row],[OU]]=0,0,Mecze[[#This Row],[OU]]/Mecze[[#This Row],[CZAS]])</f>
        <v>0</v>
      </c>
      <c r="O2848" s="32">
        <f>IF(Mecze[[#This Row],[PC]]=0,0,Mecze[[#This Row],[PC]]/Mecze[[#This Row],[CZAS]])</f>
        <v>1.0416666666666666E-2</v>
      </c>
      <c r="P2848" s="32">
        <f>IF(Mecze[[#This Row],[SC]]=0,0,Mecze[[#This Row],[SC]]/Mecze[[#This Row],[CZAS]])</f>
        <v>0</v>
      </c>
      <c r="Q2848" s="32">
        <f>IF(Mecze[[#This Row],[OB]]=0,0,Mecze[[#This Row],[OB]]/Mecze[[#This Row],[CZAS]])</f>
        <v>1.0416666666666666E-2</v>
      </c>
      <c r="R2848" s="32">
        <f>IF(Mecze[[#This Row],[BR]]=0,0,Mecze[[#This Row],[BR]]/Mecze[[#This Row],[CZAS]])</f>
        <v>0</v>
      </c>
      <c r="S2848" s="44">
        <f>IF(Mecze[[#This Row],[Role]]="BR",SUMPRODUCT(Mecze[[#This Row],[/PR:90]:[/BR:90]],Brudnopis!$E$23:$J$23),0)</f>
        <v>6.25E-2</v>
      </c>
      <c r="T2848" s="44">
        <f>IF(Mecze[[#This Row],[Role]]&lt;&gt;"BR",SUMPRODUCT(Mecze[[#This Row],[/PR:90]:[/BR:90]],Brudnopis!$E$24:$J$24),0)</f>
        <v>0</v>
      </c>
      <c r="U2848" s="44">
        <f>IF(Mecze[[#This Row],[Role]]&lt;&gt;"BR",SUMPRODUCT(Mecze[[#This Row],[/PR:90]:[/BR:90]],Brudnopis!$E$25:$J$25),0)</f>
        <v>0</v>
      </c>
      <c r="V2848" s="44">
        <f>IF(Mecze[[#This Row],[Role]]&lt;&gt;"BR",SUMPRODUCT(Mecze[[#This Row],[/PR:90]:[/BR:90]],Brudnopis!$E$26:$J$26),0)</f>
        <v>0</v>
      </c>
      <c r="W2848" s="44">
        <f>IF(Mecze[[#This Row],[Role]]&lt;&gt;"BR",SUMPRODUCT(Mecze[[#This Row],[/PR:90]:[/BR:90]],Brudnopis!$E$27:$J$27),0)</f>
        <v>0</v>
      </c>
      <c r="X2848" s="44">
        <f>IF(Mecze[[#This Row],[Role]]&lt;&gt;"BR",SUMPRODUCT(Mecze[[#This Row],[/PR:90]:[/BR:90]],Brudnopis!$E$28:$J$28),0)</f>
        <v>0</v>
      </c>
      <c r="Y2848" s="35">
        <f>IF(Mecze[[#This Row],[Role]]="BR",Mecze[[#This Row],[/OB:90]]+Mecze[[#This Row],[/PC:90]],SUM(Mecze[[#This Row],[/PR:90]:[/BR:90]]))</f>
        <v>2.0833333333333332E-2</v>
      </c>
      <c r="Z2848" s="35">
        <f>IF(Mecze[[#This Row],[KC]]=0,SUM(Mecze[[#This Row],[/BRI]:[/NPI]]),SUM(Mecze[[#This Row],[/BRI]:[/NPI]])*0.6)</f>
        <v>6.25E-2</v>
      </c>
      <c r="AA2848" s="10">
        <f>IFERROR(Mecze[[#This Row],[BR]]/Mecze[[#This Row],[ST]],0)</f>
        <v>0</v>
      </c>
      <c r="AB2848">
        <f>ROUND(Mecze[[#This Row],[PD]]*Mecze[[#This Row],[%PC]],0)</f>
        <v>1</v>
      </c>
      <c r="AC2848">
        <f>ROUND(Mecze[[#This Row],[OD]]*Mecze[[#This Row],[%OU]],0)</f>
        <v>0</v>
      </c>
      <c r="AD2848" s="36" t="s">
        <v>40</v>
      </c>
      <c r="AE2848" s="36">
        <v>159</v>
      </c>
      <c r="AF2848" s="71">
        <v>7.39</v>
      </c>
      <c r="AG2848" s="37">
        <v>0</v>
      </c>
      <c r="AH2848" s="37">
        <v>0</v>
      </c>
      <c r="AI2848" s="37">
        <v>96</v>
      </c>
      <c r="AJ2848" s="37">
        <v>4</v>
      </c>
      <c r="AK2848" s="37" t="str">
        <f>VLOOKUP(Mecze[[#This Row],[Match ID]],Meczusie[Mecz]:Meczusie[RodzajMeczu],2,FALSE)</f>
        <v>Liga</v>
      </c>
    </row>
    <row r="2849" spans="1:37" x14ac:dyDescent="0.25">
      <c r="A2849" s="76">
        <v>9</v>
      </c>
      <c r="B2849" s="3" t="s">
        <v>275</v>
      </c>
      <c r="C2849" s="2" t="s">
        <v>157</v>
      </c>
      <c r="D2849" s="1">
        <v>0</v>
      </c>
      <c r="E2849" s="1">
        <v>0</v>
      </c>
      <c r="F2849" s="1">
        <v>0</v>
      </c>
      <c r="G2849" s="1">
        <v>9</v>
      </c>
      <c r="H2849" s="4">
        <v>0.89</v>
      </c>
      <c r="I2849" s="1">
        <v>0</v>
      </c>
      <c r="J2849" s="4"/>
      <c r="K2849" s="1">
        <v>0</v>
      </c>
      <c r="L2849" s="1">
        <v>4</v>
      </c>
      <c r="M2849" s="32">
        <f>IF(Mecze[[#This Row],[PR]]=0,0,Mecze[[#This Row],[PR]]/Mecze[[#This Row],[CZAS]])</f>
        <v>4.1666666666666664E-2</v>
      </c>
      <c r="N2849" s="32">
        <f>IF(Mecze[[#This Row],[OU]]=0,0,Mecze[[#This Row],[OU]]/Mecze[[#This Row],[CZAS]])</f>
        <v>0</v>
      </c>
      <c r="O2849" s="32">
        <f>IF(Mecze[[#This Row],[PC]]=0,0,Mecze[[#This Row],[PC]]/Mecze[[#This Row],[CZAS]])</f>
        <v>8.3333333333333329E-2</v>
      </c>
      <c r="P2849" s="32">
        <f>IF(Mecze[[#This Row],[SC]]=0,0,Mecze[[#This Row],[SC]]/Mecze[[#This Row],[CZAS]])</f>
        <v>0</v>
      </c>
      <c r="Q2849" s="32">
        <f>IF(Mecze[[#This Row],[OB]]=0,0,Mecze[[#This Row],[OB]]/Mecze[[#This Row],[CZAS]])</f>
        <v>0</v>
      </c>
      <c r="R2849" s="32">
        <f>IF(Mecze[[#This Row],[BR]]=0,0,Mecze[[#This Row],[BR]]/Mecze[[#This Row],[CZAS]])</f>
        <v>0</v>
      </c>
      <c r="S2849" s="44">
        <f>IF(Mecze[[#This Row],[Role]]="BR",SUMPRODUCT(Mecze[[#This Row],[/PR:90]:[/BR:90]],Brudnopis!$E$23:$J$23),0)</f>
        <v>0</v>
      </c>
      <c r="T2849" s="44">
        <f>IF(Mecze[[#This Row],[Role]]&lt;&gt;"BR",SUMPRODUCT(Mecze[[#This Row],[/PR:90]:[/BR:90]],Brudnopis!$E$24:$J$24),0)</f>
        <v>0.125</v>
      </c>
      <c r="U2849" s="44">
        <f>IF(Mecze[[#This Row],[Role]]&lt;&gt;"BR",SUMPRODUCT(Mecze[[#This Row],[/PR:90]:[/BR:90]],Brudnopis!$E$25:$J$25),0)</f>
        <v>0.16666666666666666</v>
      </c>
      <c r="V2849" s="44">
        <f>IF(Mecze[[#This Row],[Role]]&lt;&gt;"BR",SUMPRODUCT(Mecze[[#This Row],[/PR:90]:[/BR:90]],Brudnopis!$E$26:$J$26),0)</f>
        <v>0.125</v>
      </c>
      <c r="W2849" s="44">
        <f>IF(Mecze[[#This Row],[Role]]&lt;&gt;"BR",SUMPRODUCT(Mecze[[#This Row],[/PR:90]:[/BR:90]],Brudnopis!$E$27:$J$27),0)</f>
        <v>0.15625</v>
      </c>
      <c r="X2849" s="44">
        <f>IF(Mecze[[#This Row],[Role]]&lt;&gt;"BR",SUMPRODUCT(Mecze[[#This Row],[/PR:90]:[/BR:90]],Brudnopis!$E$28:$J$28),0)</f>
        <v>8.3333333333333329E-2</v>
      </c>
      <c r="Y2849" s="35">
        <f>IF(Mecze[[#This Row],[Role]]="BR",Mecze[[#This Row],[/OB:90]]+Mecze[[#This Row],[/PC:90]],SUM(Mecze[[#This Row],[/PR:90]:[/BR:90]]))</f>
        <v>0.125</v>
      </c>
      <c r="Z2849" s="35">
        <f>IF(Mecze[[#This Row],[KC]]=0,SUM(Mecze[[#This Row],[/BRI]:[/NPI]]),SUM(Mecze[[#This Row],[/BRI]:[/NPI]])*0.6)</f>
        <v>0.65625</v>
      </c>
      <c r="AA2849" s="10">
        <f>IFERROR(Mecze[[#This Row],[BR]]/Mecze[[#This Row],[ST]],0)</f>
        <v>0</v>
      </c>
      <c r="AB2849">
        <f>ROUND(Mecze[[#This Row],[PD]]*Mecze[[#This Row],[%PC]],0)</f>
        <v>8</v>
      </c>
      <c r="AC2849">
        <f>ROUND(Mecze[[#This Row],[OD]]*Mecze[[#This Row],[%OU]],0)</f>
        <v>0</v>
      </c>
      <c r="AD2849" s="36" t="s">
        <v>47</v>
      </c>
      <c r="AE2849" s="36">
        <v>159</v>
      </c>
      <c r="AF2849" s="71">
        <v>7.88</v>
      </c>
      <c r="AG2849" s="37">
        <v>0</v>
      </c>
      <c r="AH2849" s="37">
        <v>0</v>
      </c>
      <c r="AI2849" s="37">
        <v>96</v>
      </c>
      <c r="AJ2849" s="37">
        <v>4</v>
      </c>
      <c r="AK2849" s="37" t="str">
        <f>VLOOKUP(Mecze[[#This Row],[Match ID]],Meczusie[Mecz]:Meczusie[RodzajMeczu],2,FALSE)</f>
        <v>Liga</v>
      </c>
    </row>
    <row r="2850" spans="1:37" x14ac:dyDescent="0.25">
      <c r="A2850" s="76">
        <v>4</v>
      </c>
      <c r="B2850" s="3" t="s">
        <v>276</v>
      </c>
      <c r="C2850" s="2" t="s">
        <v>157</v>
      </c>
      <c r="D2850" s="1">
        <v>0</v>
      </c>
      <c r="E2850" s="1">
        <v>0</v>
      </c>
      <c r="F2850" s="1">
        <v>0</v>
      </c>
      <c r="G2850" s="1">
        <v>3</v>
      </c>
      <c r="H2850" s="4">
        <v>1</v>
      </c>
      <c r="I2850" s="1">
        <v>3</v>
      </c>
      <c r="J2850" s="4">
        <v>0.67</v>
      </c>
      <c r="K2850" s="1">
        <v>0</v>
      </c>
      <c r="L2850" s="1">
        <v>2</v>
      </c>
      <c r="M2850" s="32">
        <f>IF(Mecze[[#This Row],[PR]]=0,0,Mecze[[#This Row],[PR]]/Mecze[[#This Row],[CZAS]])</f>
        <v>2.0833333333333332E-2</v>
      </c>
      <c r="N2850" s="32">
        <f>IF(Mecze[[#This Row],[OU]]=0,0,Mecze[[#This Row],[OU]]/Mecze[[#This Row],[CZAS]])</f>
        <v>2.0833333333333332E-2</v>
      </c>
      <c r="O2850" s="32">
        <f>IF(Mecze[[#This Row],[PC]]=0,0,Mecze[[#This Row],[PC]]/Mecze[[#This Row],[CZAS]])</f>
        <v>3.125E-2</v>
      </c>
      <c r="P2850" s="32">
        <f>IF(Mecze[[#This Row],[SC]]=0,0,Mecze[[#This Row],[SC]]/Mecze[[#This Row],[CZAS]])</f>
        <v>0</v>
      </c>
      <c r="Q2850" s="32">
        <f>IF(Mecze[[#This Row],[OB]]=0,0,Mecze[[#This Row],[OB]]/Mecze[[#This Row],[CZAS]])</f>
        <v>0</v>
      </c>
      <c r="R2850" s="32">
        <f>IF(Mecze[[#This Row],[BR]]=0,0,Mecze[[#This Row],[BR]]/Mecze[[#This Row],[CZAS]])</f>
        <v>0</v>
      </c>
      <c r="S2850" s="44">
        <f>IF(Mecze[[#This Row],[Role]]="BR",SUMPRODUCT(Mecze[[#This Row],[/PR:90]:[/BR:90]],Brudnopis!$E$23:$J$23),0)</f>
        <v>0</v>
      </c>
      <c r="T2850" s="44">
        <f>IF(Mecze[[#This Row],[Role]]&lt;&gt;"BR",SUMPRODUCT(Mecze[[#This Row],[/PR:90]:[/BR:90]],Brudnopis!$E$24:$J$24),0)</f>
        <v>8.3333333333333329E-2</v>
      </c>
      <c r="U2850" s="44">
        <f>IF(Mecze[[#This Row],[Role]]&lt;&gt;"BR",SUMPRODUCT(Mecze[[#This Row],[/PR:90]:[/BR:90]],Brudnopis!$E$25:$J$25),0)</f>
        <v>8.8541666666666657E-2</v>
      </c>
      <c r="V2850" s="44">
        <f>IF(Mecze[[#This Row],[Role]]&lt;&gt;"BR",SUMPRODUCT(Mecze[[#This Row],[/PR:90]:[/BR:90]],Brudnopis!$E$26:$J$26),0)</f>
        <v>7.2916666666666657E-2</v>
      </c>
      <c r="W2850" s="44">
        <f>IF(Mecze[[#This Row],[Role]]&lt;&gt;"BR",SUMPRODUCT(Mecze[[#This Row],[/PR:90]:[/BR:90]],Brudnopis!$E$27:$J$27),0)</f>
        <v>7.8125E-2</v>
      </c>
      <c r="X2850" s="44">
        <f>IF(Mecze[[#This Row],[Role]]&lt;&gt;"BR",SUMPRODUCT(Mecze[[#This Row],[/PR:90]:[/BR:90]],Brudnopis!$E$28:$J$28),0)</f>
        <v>3.125E-2</v>
      </c>
      <c r="Y2850" s="35">
        <f>IF(Mecze[[#This Row],[Role]]="BR",Mecze[[#This Row],[/OB:90]]+Mecze[[#This Row],[/PC:90]],SUM(Mecze[[#This Row],[/PR:90]:[/BR:90]]))</f>
        <v>7.2916666666666657E-2</v>
      </c>
      <c r="Z2850" s="35">
        <f>IF(Mecze[[#This Row],[KC]]=0,SUM(Mecze[[#This Row],[/BRI]:[/NPI]]),SUM(Mecze[[#This Row],[/BRI]:[/NPI]])*0.6)</f>
        <v>0.35416666666666663</v>
      </c>
      <c r="AA2850" s="10">
        <f>IFERROR(Mecze[[#This Row],[BR]]/Mecze[[#This Row],[ST]],0)</f>
        <v>0</v>
      </c>
      <c r="AB2850">
        <f>ROUND(Mecze[[#This Row],[PD]]*Mecze[[#This Row],[%PC]],0)</f>
        <v>3</v>
      </c>
      <c r="AC2850">
        <f>ROUND(Mecze[[#This Row],[OD]]*Mecze[[#This Row],[%OU]],0)</f>
        <v>2</v>
      </c>
      <c r="AD2850" s="36" t="s">
        <v>168</v>
      </c>
      <c r="AE2850" s="36">
        <v>159</v>
      </c>
      <c r="AF2850" s="71">
        <v>8.58</v>
      </c>
      <c r="AG2850" s="37">
        <v>0</v>
      </c>
      <c r="AH2850" s="37">
        <v>0</v>
      </c>
      <c r="AI2850" s="37">
        <v>96</v>
      </c>
      <c r="AJ2850" s="37">
        <v>4</v>
      </c>
      <c r="AK2850" s="37" t="str">
        <f>VLOOKUP(Mecze[[#This Row],[Match ID]],Meczusie[Mecz]:Meczusie[RodzajMeczu],2,FALSE)</f>
        <v>Liga</v>
      </c>
    </row>
    <row r="2851" spans="1:37" x14ac:dyDescent="0.25">
      <c r="A2851" s="76">
        <v>5</v>
      </c>
      <c r="B2851" s="3" t="s">
        <v>277</v>
      </c>
      <c r="C2851" s="2" t="s">
        <v>157</v>
      </c>
      <c r="D2851" s="1">
        <v>0</v>
      </c>
      <c r="E2851" s="1">
        <v>0</v>
      </c>
      <c r="F2851" s="1">
        <v>0</v>
      </c>
      <c r="G2851" s="1">
        <v>2</v>
      </c>
      <c r="H2851" s="4">
        <v>0</v>
      </c>
      <c r="I2851" s="1">
        <v>0</v>
      </c>
      <c r="J2851" s="4"/>
      <c r="K2851" s="1">
        <v>0</v>
      </c>
      <c r="L2851" s="1">
        <v>1</v>
      </c>
      <c r="M2851" s="32">
        <f>IF(Mecze[[#This Row],[PR]]=0,0,Mecze[[#This Row],[PR]]/Mecze[[#This Row],[CZAS]])</f>
        <v>1.5873015873015872E-2</v>
      </c>
      <c r="N2851" s="32">
        <f>IF(Mecze[[#This Row],[OU]]=0,0,Mecze[[#This Row],[OU]]/Mecze[[#This Row],[CZAS]])</f>
        <v>0</v>
      </c>
      <c r="O2851" s="32">
        <f>IF(Mecze[[#This Row],[PC]]=0,0,Mecze[[#This Row],[PC]]/Mecze[[#This Row],[CZAS]])</f>
        <v>0</v>
      </c>
      <c r="P2851" s="32">
        <f>IF(Mecze[[#This Row],[SC]]=0,0,Mecze[[#This Row],[SC]]/Mecze[[#This Row],[CZAS]])</f>
        <v>0</v>
      </c>
      <c r="Q2851" s="32">
        <f>IF(Mecze[[#This Row],[OB]]=0,0,Mecze[[#This Row],[OB]]/Mecze[[#This Row],[CZAS]])</f>
        <v>0</v>
      </c>
      <c r="R2851" s="32">
        <f>IF(Mecze[[#This Row],[BR]]=0,0,Mecze[[#This Row],[BR]]/Mecze[[#This Row],[CZAS]])</f>
        <v>0</v>
      </c>
      <c r="S2851" s="44">
        <f>IF(Mecze[[#This Row],[Role]]="BR",SUMPRODUCT(Mecze[[#This Row],[/PR:90]:[/BR:90]],Brudnopis!$E$23:$J$23),0)</f>
        <v>0</v>
      </c>
      <c r="T2851" s="44">
        <f>IF(Mecze[[#This Row],[Role]]&lt;&gt;"BR",SUMPRODUCT(Mecze[[#This Row],[/PR:90]:[/BR:90]],Brudnopis!$E$24:$J$24),0)</f>
        <v>1.5873015873015872E-2</v>
      </c>
      <c r="U2851" s="44">
        <f>IF(Mecze[[#This Row],[Role]]&lt;&gt;"BR",SUMPRODUCT(Mecze[[#This Row],[/PR:90]:[/BR:90]],Brudnopis!$E$25:$J$25),0)</f>
        <v>1.5873015873015872E-2</v>
      </c>
      <c r="V2851" s="44">
        <f>IF(Mecze[[#This Row],[Role]]&lt;&gt;"BR",SUMPRODUCT(Mecze[[#This Row],[/PR:90]:[/BR:90]],Brudnopis!$E$26:$J$26),0)</f>
        <v>1.5873015873015872E-2</v>
      </c>
      <c r="W2851" s="44">
        <f>IF(Mecze[[#This Row],[Role]]&lt;&gt;"BR",SUMPRODUCT(Mecze[[#This Row],[/PR:90]:[/BR:90]],Brudnopis!$E$27:$J$27),0)</f>
        <v>1.1904761904761904E-2</v>
      </c>
      <c r="X2851" s="44">
        <f>IF(Mecze[[#This Row],[Role]]&lt;&gt;"BR",SUMPRODUCT(Mecze[[#This Row],[/PR:90]:[/BR:90]],Brudnopis!$E$28:$J$28),0)</f>
        <v>0</v>
      </c>
      <c r="Y2851" s="35">
        <f>IF(Mecze[[#This Row],[Role]]="BR",Mecze[[#This Row],[/OB:90]]+Mecze[[#This Row],[/PC:90]],SUM(Mecze[[#This Row],[/PR:90]:[/BR:90]]))</f>
        <v>1.5873015873015872E-2</v>
      </c>
      <c r="Z2851" s="35">
        <f>IF(Mecze[[#This Row],[KC]]=0,SUM(Mecze[[#This Row],[/BRI]:[/NPI]]),SUM(Mecze[[#This Row],[/BRI]:[/NPI]])*0.6)</f>
        <v>5.9523809523809521E-2</v>
      </c>
      <c r="AA2851" s="10">
        <f>IFERROR(Mecze[[#This Row],[BR]]/Mecze[[#This Row],[ST]],0)</f>
        <v>0</v>
      </c>
      <c r="AB2851">
        <f>ROUND(Mecze[[#This Row],[PD]]*Mecze[[#This Row],[%PC]],0)</f>
        <v>0</v>
      </c>
      <c r="AC2851">
        <f>ROUND(Mecze[[#This Row],[OD]]*Mecze[[#This Row],[%OU]],0)</f>
        <v>0</v>
      </c>
      <c r="AD2851" s="36" t="s">
        <v>167</v>
      </c>
      <c r="AE2851" s="36">
        <v>159</v>
      </c>
      <c r="AF2851" s="71">
        <v>7.25</v>
      </c>
      <c r="AG2851" s="37">
        <v>0</v>
      </c>
      <c r="AH2851" s="37">
        <v>0</v>
      </c>
      <c r="AI2851" s="37">
        <v>63</v>
      </c>
      <c r="AJ2851" s="37">
        <v>4</v>
      </c>
      <c r="AK2851" s="37" t="str">
        <f>VLOOKUP(Mecze[[#This Row],[Match ID]],Meczusie[Mecz]:Meczusie[RodzajMeczu],2,FALSE)</f>
        <v>Liga</v>
      </c>
    </row>
    <row r="2852" spans="1:37" x14ac:dyDescent="0.25">
      <c r="A2852" s="76">
        <v>12</v>
      </c>
      <c r="B2852" s="3" t="s">
        <v>278</v>
      </c>
      <c r="C2852" s="2" t="s">
        <v>160</v>
      </c>
      <c r="D2852" s="1">
        <v>1</v>
      </c>
      <c r="E2852" s="1">
        <v>1</v>
      </c>
      <c r="F2852" s="1">
        <v>1</v>
      </c>
      <c r="G2852" s="1">
        <v>15</v>
      </c>
      <c r="H2852" s="4">
        <v>0.93</v>
      </c>
      <c r="I2852" s="1">
        <v>1</v>
      </c>
      <c r="J2852" s="4">
        <v>1</v>
      </c>
      <c r="K2852" s="1">
        <v>0</v>
      </c>
      <c r="L2852" s="1">
        <v>11</v>
      </c>
      <c r="M2852" s="32">
        <f>IF(Mecze[[#This Row],[PR]]=0,0,Mecze[[#This Row],[PR]]/Mecze[[#This Row],[CZAS]])</f>
        <v>0.11458333333333333</v>
      </c>
      <c r="N2852" s="32">
        <f>IF(Mecze[[#This Row],[OU]]=0,0,Mecze[[#This Row],[OU]]/Mecze[[#This Row],[CZAS]])</f>
        <v>1.0416666666666666E-2</v>
      </c>
      <c r="O2852" s="32">
        <f>IF(Mecze[[#This Row],[PC]]=0,0,Mecze[[#This Row],[PC]]/Mecze[[#This Row],[CZAS]])</f>
        <v>0.14583333333333334</v>
      </c>
      <c r="P2852" s="32">
        <f>IF(Mecze[[#This Row],[SC]]=0,0,Mecze[[#This Row],[SC]]/Mecze[[#This Row],[CZAS]])</f>
        <v>1.0416666666666666E-2</v>
      </c>
      <c r="Q2852" s="32">
        <f>IF(Mecze[[#This Row],[OB]]=0,0,Mecze[[#This Row],[OB]]/Mecze[[#This Row],[CZAS]])</f>
        <v>0</v>
      </c>
      <c r="R2852" s="32">
        <f>IF(Mecze[[#This Row],[BR]]=0,0,Mecze[[#This Row],[BR]]/Mecze[[#This Row],[CZAS]])</f>
        <v>1.0416666666666666E-2</v>
      </c>
      <c r="S2852" s="44">
        <f>IF(Mecze[[#This Row],[Role]]="BR",SUMPRODUCT(Mecze[[#This Row],[/PR:90]:[/BR:90]],Brudnopis!$E$23:$J$23),0)</f>
        <v>0</v>
      </c>
      <c r="T2852" s="44">
        <f>IF(Mecze[[#This Row],[Role]]&lt;&gt;"BR",SUMPRODUCT(Mecze[[#This Row],[/PR:90]:[/BR:90]],Brudnopis!$E$24:$J$24),0)</f>
        <v>0.30208333333333331</v>
      </c>
      <c r="U2852" s="44">
        <f>IF(Mecze[[#This Row],[Role]]&lt;&gt;"BR",SUMPRODUCT(Mecze[[#This Row],[/PR:90]:[/BR:90]],Brudnopis!$E$25:$J$25),0)</f>
        <v>0.36979166666666669</v>
      </c>
      <c r="V2852" s="44">
        <f>IF(Mecze[[#This Row],[Role]]&lt;&gt;"BR",SUMPRODUCT(Mecze[[#This Row],[/PR:90]:[/BR:90]],Brudnopis!$E$26:$J$26),0)</f>
        <v>0.30208333333333337</v>
      </c>
      <c r="W2852" s="44">
        <f>IF(Mecze[[#This Row],[Role]]&lt;&gt;"BR",SUMPRODUCT(Mecze[[#This Row],[/PR:90]:[/BR:90]],Brudnopis!$E$27:$J$27),0)</f>
        <v>0.34375</v>
      </c>
      <c r="X2852" s="44">
        <f>IF(Mecze[[#This Row],[Role]]&lt;&gt;"BR",SUMPRODUCT(Mecze[[#This Row],[/PR:90]:[/BR:90]],Brudnopis!$E$28:$J$28),0)</f>
        <v>0.19791666666666669</v>
      </c>
      <c r="Y2852" s="35">
        <f>IF(Mecze[[#This Row],[Role]]="BR",Mecze[[#This Row],[/OB:90]]+Mecze[[#This Row],[/PC:90]],SUM(Mecze[[#This Row],[/PR:90]:[/BR:90]]))</f>
        <v>0.29166666666666674</v>
      </c>
      <c r="Z2852" s="35">
        <f>IF(Mecze[[#This Row],[KC]]=0,SUM(Mecze[[#This Row],[/BRI]:[/NPI]]),SUM(Mecze[[#This Row],[/BRI]:[/NPI]])*0.6)</f>
        <v>1.5156250000000002</v>
      </c>
      <c r="AA2852" s="10">
        <f>IFERROR(Mecze[[#This Row],[BR]]/Mecze[[#This Row],[ST]],0)</f>
        <v>1</v>
      </c>
      <c r="AB2852">
        <f>ROUND(Mecze[[#This Row],[PD]]*Mecze[[#This Row],[%PC]],0)</f>
        <v>14</v>
      </c>
      <c r="AC2852">
        <f>ROUND(Mecze[[#This Row],[OD]]*Mecze[[#This Row],[%OU]],0)</f>
        <v>1</v>
      </c>
      <c r="AD2852" s="36" t="s">
        <v>41</v>
      </c>
      <c r="AE2852" s="36">
        <v>159</v>
      </c>
      <c r="AF2852" s="71">
        <v>13.81</v>
      </c>
      <c r="AG2852" s="37">
        <v>0</v>
      </c>
      <c r="AH2852" s="37">
        <v>0</v>
      </c>
      <c r="AI2852" s="37">
        <v>96</v>
      </c>
      <c r="AJ2852" s="37">
        <v>4</v>
      </c>
      <c r="AK2852" s="37" t="str">
        <f>VLOOKUP(Mecze[[#This Row],[Match ID]],Meczusie[Mecz]:Meczusie[RodzajMeczu],2,FALSE)</f>
        <v>Liga</v>
      </c>
    </row>
    <row r="2853" spans="1:37" x14ac:dyDescent="0.25">
      <c r="A2853" s="76">
        <v>7</v>
      </c>
      <c r="B2853" s="3" t="s">
        <v>279</v>
      </c>
      <c r="C2853" s="2" t="s">
        <v>160</v>
      </c>
      <c r="D2853" s="1">
        <v>0</v>
      </c>
      <c r="E2853" s="1">
        <v>1</v>
      </c>
      <c r="F2853" s="1">
        <v>0</v>
      </c>
      <c r="G2853" s="1">
        <v>8</v>
      </c>
      <c r="H2853" s="4">
        <v>1</v>
      </c>
      <c r="I2853" s="1">
        <v>4</v>
      </c>
      <c r="J2853" s="4">
        <v>0.5</v>
      </c>
      <c r="K2853" s="1">
        <v>0</v>
      </c>
      <c r="L2853" s="1">
        <v>8</v>
      </c>
      <c r="M2853" s="32">
        <f>IF(Mecze[[#This Row],[PR]]=0,0,Mecze[[#This Row],[PR]]/Mecze[[#This Row],[CZAS]])</f>
        <v>8.3333333333333329E-2</v>
      </c>
      <c r="N2853" s="32">
        <f>IF(Mecze[[#This Row],[OU]]=0,0,Mecze[[#This Row],[OU]]/Mecze[[#This Row],[CZAS]])</f>
        <v>2.0833333333333332E-2</v>
      </c>
      <c r="O2853" s="32">
        <f>IF(Mecze[[#This Row],[PC]]=0,0,Mecze[[#This Row],[PC]]/Mecze[[#This Row],[CZAS]])</f>
        <v>8.3333333333333329E-2</v>
      </c>
      <c r="P2853" s="32">
        <f>IF(Mecze[[#This Row],[SC]]=0,0,Mecze[[#This Row],[SC]]/Mecze[[#This Row],[CZAS]])</f>
        <v>0</v>
      </c>
      <c r="Q2853" s="32">
        <f>IF(Mecze[[#This Row],[OB]]=0,0,Mecze[[#This Row],[OB]]/Mecze[[#This Row],[CZAS]])</f>
        <v>0</v>
      </c>
      <c r="R2853" s="32">
        <f>IF(Mecze[[#This Row],[BR]]=0,0,Mecze[[#This Row],[BR]]/Mecze[[#This Row],[CZAS]])</f>
        <v>0</v>
      </c>
      <c r="S2853" s="44">
        <f>IF(Mecze[[#This Row],[Role]]="BR",SUMPRODUCT(Mecze[[#This Row],[/PR:90]:[/BR:90]],Brudnopis!$E$23:$J$23),0)</f>
        <v>0</v>
      </c>
      <c r="T2853" s="44">
        <f>IF(Mecze[[#This Row],[Role]]&lt;&gt;"BR",SUMPRODUCT(Mecze[[#This Row],[/PR:90]:[/BR:90]],Brudnopis!$E$24:$J$24),0)</f>
        <v>0.19791666666666666</v>
      </c>
      <c r="U2853" s="44">
        <f>IF(Mecze[[#This Row],[Role]]&lt;&gt;"BR",SUMPRODUCT(Mecze[[#This Row],[/PR:90]:[/BR:90]],Brudnopis!$E$25:$J$25),0)</f>
        <v>0.22916666666666666</v>
      </c>
      <c r="V2853" s="44">
        <f>IF(Mecze[[#This Row],[Role]]&lt;&gt;"BR",SUMPRODUCT(Mecze[[#This Row],[/PR:90]:[/BR:90]],Brudnopis!$E$26:$J$26),0)</f>
        <v>0.1875</v>
      </c>
      <c r="W2853" s="44">
        <f>IF(Mecze[[#This Row],[Role]]&lt;&gt;"BR",SUMPRODUCT(Mecze[[#This Row],[/PR:90]:[/BR:90]],Brudnopis!$E$27:$J$27),0)</f>
        <v>0.203125</v>
      </c>
      <c r="X2853" s="44">
        <f>IF(Mecze[[#This Row],[Role]]&lt;&gt;"BR",SUMPRODUCT(Mecze[[#This Row],[/PR:90]:[/BR:90]],Brudnopis!$E$28:$J$28),0)</f>
        <v>8.3333333333333329E-2</v>
      </c>
      <c r="Y2853" s="35">
        <f>IF(Mecze[[#This Row],[Role]]="BR",Mecze[[#This Row],[/OB:90]]+Mecze[[#This Row],[/PC:90]],SUM(Mecze[[#This Row],[/PR:90]:[/BR:90]]))</f>
        <v>0.1875</v>
      </c>
      <c r="Z2853" s="35">
        <f>IF(Mecze[[#This Row],[KC]]=0,SUM(Mecze[[#This Row],[/BRI]:[/NPI]]),SUM(Mecze[[#This Row],[/BRI]:[/NPI]])*0.6)</f>
        <v>0.90104166666666663</v>
      </c>
      <c r="AA2853" s="10">
        <f>IFERROR(Mecze[[#This Row],[BR]]/Mecze[[#This Row],[ST]],0)</f>
        <v>0</v>
      </c>
      <c r="AB2853">
        <f>ROUND(Mecze[[#This Row],[PD]]*Mecze[[#This Row],[%PC]],0)</f>
        <v>8</v>
      </c>
      <c r="AC2853">
        <f>ROUND(Mecze[[#This Row],[OD]]*Mecze[[#This Row],[%OU]],0)</f>
        <v>2</v>
      </c>
      <c r="AD2853" s="36" t="s">
        <v>41</v>
      </c>
      <c r="AE2853" s="36">
        <v>159</v>
      </c>
      <c r="AF2853" s="71">
        <v>12.05</v>
      </c>
      <c r="AG2853" s="37">
        <v>0</v>
      </c>
      <c r="AH2853" s="37">
        <v>0</v>
      </c>
      <c r="AI2853" s="37">
        <v>96</v>
      </c>
      <c r="AJ2853" s="37">
        <v>4</v>
      </c>
      <c r="AK2853" s="37" t="str">
        <f>VLOOKUP(Mecze[[#This Row],[Match ID]],Meczusie[Mecz]:Meczusie[RodzajMeczu],2,FALSE)</f>
        <v>Liga</v>
      </c>
    </row>
    <row r="2854" spans="1:37" x14ac:dyDescent="0.25">
      <c r="A2854" s="76">
        <v>6</v>
      </c>
      <c r="B2854" s="3" t="s">
        <v>280</v>
      </c>
      <c r="C2854" s="2" t="s">
        <v>160</v>
      </c>
      <c r="D2854" s="1">
        <v>0</v>
      </c>
      <c r="E2854" s="1">
        <v>0</v>
      </c>
      <c r="F2854" s="1">
        <v>0</v>
      </c>
      <c r="G2854" s="1">
        <v>9</v>
      </c>
      <c r="H2854" s="4">
        <v>1</v>
      </c>
      <c r="I2854" s="1">
        <v>5</v>
      </c>
      <c r="J2854" s="4">
        <v>0.8</v>
      </c>
      <c r="K2854" s="1">
        <v>0</v>
      </c>
      <c r="L2854" s="1">
        <v>4</v>
      </c>
      <c r="M2854" s="32">
        <f>IF(Mecze[[#This Row],[PR]]=0,0,Mecze[[#This Row],[PR]]/Mecze[[#This Row],[CZAS]])</f>
        <v>4.1666666666666664E-2</v>
      </c>
      <c r="N2854" s="32">
        <f>IF(Mecze[[#This Row],[OU]]=0,0,Mecze[[#This Row],[OU]]/Mecze[[#This Row],[CZAS]])</f>
        <v>4.1666666666666664E-2</v>
      </c>
      <c r="O2854" s="32">
        <f>IF(Mecze[[#This Row],[PC]]=0,0,Mecze[[#This Row],[PC]]/Mecze[[#This Row],[CZAS]])</f>
        <v>9.375E-2</v>
      </c>
      <c r="P2854" s="32">
        <f>IF(Mecze[[#This Row],[SC]]=0,0,Mecze[[#This Row],[SC]]/Mecze[[#This Row],[CZAS]])</f>
        <v>0</v>
      </c>
      <c r="Q2854" s="32">
        <f>IF(Mecze[[#This Row],[OB]]=0,0,Mecze[[#This Row],[OB]]/Mecze[[#This Row],[CZAS]])</f>
        <v>0</v>
      </c>
      <c r="R2854" s="32">
        <f>IF(Mecze[[#This Row],[BR]]=0,0,Mecze[[#This Row],[BR]]/Mecze[[#This Row],[CZAS]])</f>
        <v>0</v>
      </c>
      <c r="S2854" s="44">
        <f>IF(Mecze[[#This Row],[Role]]="BR",SUMPRODUCT(Mecze[[#This Row],[/PR:90]:[/BR:90]],Brudnopis!$E$23:$J$23),0)</f>
        <v>0</v>
      </c>
      <c r="T2854" s="44">
        <f>IF(Mecze[[#This Row],[Role]]&lt;&gt;"BR",SUMPRODUCT(Mecze[[#This Row],[/PR:90]:[/BR:90]],Brudnopis!$E$24:$J$24),0)</f>
        <v>0.19791666666666666</v>
      </c>
      <c r="U2854" s="44">
        <f>IF(Mecze[[#This Row],[Role]]&lt;&gt;"BR",SUMPRODUCT(Mecze[[#This Row],[/PR:90]:[/BR:90]],Brudnopis!$E$25:$J$25),0)</f>
        <v>0.22395833333333331</v>
      </c>
      <c r="V2854" s="44">
        <f>IF(Mecze[[#This Row],[Role]]&lt;&gt;"BR",SUMPRODUCT(Mecze[[#This Row],[/PR:90]:[/BR:90]],Brudnopis!$E$26:$J$26),0)</f>
        <v>0.17708333333333331</v>
      </c>
      <c r="W2854" s="44">
        <f>IF(Mecze[[#This Row],[Role]]&lt;&gt;"BR",SUMPRODUCT(Mecze[[#This Row],[/PR:90]:[/BR:90]],Brudnopis!$E$27:$J$27),0)</f>
        <v>0.203125</v>
      </c>
      <c r="X2854" s="44">
        <f>IF(Mecze[[#This Row],[Role]]&lt;&gt;"BR",SUMPRODUCT(Mecze[[#This Row],[/PR:90]:[/BR:90]],Brudnopis!$E$28:$J$28),0)</f>
        <v>9.375E-2</v>
      </c>
      <c r="Y2854" s="35">
        <f>IF(Mecze[[#This Row],[Role]]="BR",Mecze[[#This Row],[/OB:90]]+Mecze[[#This Row],[/PC:90]],SUM(Mecze[[#This Row],[/PR:90]:[/BR:90]]))</f>
        <v>0.17708333333333331</v>
      </c>
      <c r="Z2854" s="35">
        <f>IF(Mecze[[#This Row],[KC]]=0,SUM(Mecze[[#This Row],[/BRI]:[/NPI]]),SUM(Mecze[[#This Row],[/BRI]:[/NPI]])*0.6)</f>
        <v>0.89583333333333326</v>
      </c>
      <c r="AA2854" s="10">
        <f>IFERROR(Mecze[[#This Row],[BR]]/Mecze[[#This Row],[ST]],0)</f>
        <v>0</v>
      </c>
      <c r="AB2854">
        <f>ROUND(Mecze[[#This Row],[PD]]*Mecze[[#This Row],[%PC]],0)</f>
        <v>9</v>
      </c>
      <c r="AC2854">
        <f>ROUND(Mecze[[#This Row],[OD]]*Mecze[[#This Row],[%OU]],0)</f>
        <v>4</v>
      </c>
      <c r="AD2854" s="36" t="s">
        <v>67</v>
      </c>
      <c r="AE2854" s="36">
        <v>159</v>
      </c>
      <c r="AF2854" s="71">
        <v>11.21</v>
      </c>
      <c r="AG2854" s="37">
        <v>0</v>
      </c>
      <c r="AH2854" s="37">
        <v>0</v>
      </c>
      <c r="AI2854" s="37">
        <v>96</v>
      </c>
      <c r="AJ2854" s="37">
        <v>4</v>
      </c>
      <c r="AK2854" s="37" t="str">
        <f>VLOOKUP(Mecze[[#This Row],[Match ID]],Meczusie[Mecz]:Meczusie[RodzajMeczu],2,FALSE)</f>
        <v>Liga</v>
      </c>
    </row>
    <row r="2855" spans="1:37" x14ac:dyDescent="0.25">
      <c r="A2855" s="76">
        <v>13</v>
      </c>
      <c r="B2855" s="3" t="s">
        <v>287</v>
      </c>
      <c r="C2855" s="2" t="s">
        <v>160</v>
      </c>
      <c r="D2855" s="1">
        <v>0</v>
      </c>
      <c r="E2855" s="1">
        <v>0</v>
      </c>
      <c r="F2855" s="1">
        <v>0</v>
      </c>
      <c r="G2855" s="1">
        <v>9</v>
      </c>
      <c r="H2855" s="4">
        <v>0.89</v>
      </c>
      <c r="I2855" s="1">
        <v>1</v>
      </c>
      <c r="J2855" s="4">
        <v>0</v>
      </c>
      <c r="K2855" s="1">
        <v>0</v>
      </c>
      <c r="L2855" s="1">
        <v>3</v>
      </c>
      <c r="M2855" s="32">
        <f>IF(Mecze[[#This Row],[PR]]=0,0,Mecze[[#This Row],[PR]]/Mecze[[#This Row],[CZAS]])</f>
        <v>4.7619047619047616E-2</v>
      </c>
      <c r="N2855" s="32">
        <f>IF(Mecze[[#This Row],[OU]]=0,0,Mecze[[#This Row],[OU]]/Mecze[[#This Row],[CZAS]])</f>
        <v>0</v>
      </c>
      <c r="O2855" s="32">
        <f>IF(Mecze[[#This Row],[PC]]=0,0,Mecze[[#This Row],[PC]]/Mecze[[#This Row],[CZAS]])</f>
        <v>0.12698412698412698</v>
      </c>
      <c r="P2855" s="32">
        <f>IF(Mecze[[#This Row],[SC]]=0,0,Mecze[[#This Row],[SC]]/Mecze[[#This Row],[CZAS]])</f>
        <v>0</v>
      </c>
      <c r="Q2855" s="32">
        <f>IF(Mecze[[#This Row],[OB]]=0,0,Mecze[[#This Row],[OB]]/Mecze[[#This Row],[CZAS]])</f>
        <v>0</v>
      </c>
      <c r="R2855" s="32">
        <f>IF(Mecze[[#This Row],[BR]]=0,0,Mecze[[#This Row],[BR]]/Mecze[[#This Row],[CZAS]])</f>
        <v>0</v>
      </c>
      <c r="S2855" s="44">
        <f>IF(Mecze[[#This Row],[Role]]="BR",SUMPRODUCT(Mecze[[#This Row],[/PR:90]:[/BR:90]],Brudnopis!$E$23:$J$23),0)</f>
        <v>0</v>
      </c>
      <c r="T2855" s="44">
        <f>IF(Mecze[[#This Row],[Role]]&lt;&gt;"BR",SUMPRODUCT(Mecze[[#This Row],[/PR:90]:[/BR:90]],Brudnopis!$E$24:$J$24),0)</f>
        <v>0.17460317460317459</v>
      </c>
      <c r="U2855" s="44">
        <f>IF(Mecze[[#This Row],[Role]]&lt;&gt;"BR",SUMPRODUCT(Mecze[[#This Row],[/PR:90]:[/BR:90]],Brudnopis!$E$25:$J$25),0)</f>
        <v>0.23809523809523808</v>
      </c>
      <c r="V2855" s="44">
        <f>IF(Mecze[[#This Row],[Role]]&lt;&gt;"BR",SUMPRODUCT(Mecze[[#This Row],[/PR:90]:[/BR:90]],Brudnopis!$E$26:$J$26),0)</f>
        <v>0.17460317460317459</v>
      </c>
      <c r="W2855" s="44">
        <f>IF(Mecze[[#This Row],[Role]]&lt;&gt;"BR",SUMPRODUCT(Mecze[[#This Row],[/PR:90]:[/BR:90]],Brudnopis!$E$27:$J$27),0)</f>
        <v>0.22619047619047616</v>
      </c>
      <c r="X2855" s="44">
        <f>IF(Mecze[[#This Row],[Role]]&lt;&gt;"BR",SUMPRODUCT(Mecze[[#This Row],[/PR:90]:[/BR:90]],Brudnopis!$E$28:$J$28),0)</f>
        <v>0.12698412698412698</v>
      </c>
      <c r="Y2855" s="35">
        <f>IF(Mecze[[#This Row],[Role]]="BR",Mecze[[#This Row],[/OB:90]]+Mecze[[#This Row],[/PC:90]],SUM(Mecze[[#This Row],[/PR:90]:[/BR:90]]))</f>
        <v>0.17460317460317459</v>
      </c>
      <c r="Z2855" s="35">
        <f>IF(Mecze[[#This Row],[KC]]=0,SUM(Mecze[[#This Row],[/BRI]:[/NPI]]),SUM(Mecze[[#This Row],[/BRI]:[/NPI]])*0.6)</f>
        <v>0.94047619047619035</v>
      </c>
      <c r="AA2855" s="10">
        <f>IFERROR(Mecze[[#This Row],[BR]]/Mecze[[#This Row],[ST]],0)</f>
        <v>0</v>
      </c>
      <c r="AB2855">
        <f>ROUND(Mecze[[#This Row],[PD]]*Mecze[[#This Row],[%PC]],0)</f>
        <v>8</v>
      </c>
      <c r="AC2855">
        <f>ROUND(Mecze[[#This Row],[OD]]*Mecze[[#This Row],[%OU]],0)</f>
        <v>0</v>
      </c>
      <c r="AD2855" s="36" t="s">
        <v>171</v>
      </c>
      <c r="AE2855" s="36">
        <v>159</v>
      </c>
      <c r="AF2855" s="71">
        <v>9.7899999999999991</v>
      </c>
      <c r="AG2855" s="37">
        <v>0</v>
      </c>
      <c r="AH2855" s="37">
        <v>0</v>
      </c>
      <c r="AI2855" s="37">
        <v>63</v>
      </c>
      <c r="AJ2855" s="37">
        <v>4</v>
      </c>
      <c r="AK2855" s="37" t="str">
        <f>VLOOKUP(Mecze[[#This Row],[Match ID]],Meczusie[Mecz]:Meczusie[RodzajMeczu],2,FALSE)</f>
        <v>Liga</v>
      </c>
    </row>
    <row r="2856" spans="1:37" x14ac:dyDescent="0.25">
      <c r="A2856" s="76">
        <v>11</v>
      </c>
      <c r="B2856" s="3" t="s">
        <v>282</v>
      </c>
      <c r="C2856" s="2" t="s">
        <v>165</v>
      </c>
      <c r="D2856" s="1">
        <v>1</v>
      </c>
      <c r="E2856" s="1">
        <v>2</v>
      </c>
      <c r="F2856" s="1">
        <v>2</v>
      </c>
      <c r="G2856" s="1">
        <v>9</v>
      </c>
      <c r="H2856" s="4">
        <v>0.89</v>
      </c>
      <c r="I2856" s="1">
        <v>0</v>
      </c>
      <c r="J2856" s="4"/>
      <c r="K2856" s="1">
        <v>0</v>
      </c>
      <c r="L2856" s="1">
        <v>1</v>
      </c>
      <c r="M2856" s="32">
        <f>IF(Mecze[[#This Row],[PR]]=0,0,Mecze[[#This Row],[PR]]/Mecze[[#This Row],[CZAS]])</f>
        <v>1.5873015873015872E-2</v>
      </c>
      <c r="N2856" s="32">
        <f>IF(Mecze[[#This Row],[OU]]=0,0,Mecze[[#This Row],[OU]]/Mecze[[#This Row],[CZAS]])</f>
        <v>0</v>
      </c>
      <c r="O2856" s="32">
        <f>IF(Mecze[[#This Row],[PC]]=0,0,Mecze[[#This Row],[PC]]/Mecze[[#This Row],[CZAS]])</f>
        <v>0.12698412698412698</v>
      </c>
      <c r="P2856" s="32">
        <f>IF(Mecze[[#This Row],[SC]]=0,0,Mecze[[#This Row],[SC]]/Mecze[[#This Row],[CZAS]])</f>
        <v>3.1746031746031744E-2</v>
      </c>
      <c r="Q2856" s="32">
        <f>IF(Mecze[[#This Row],[OB]]=0,0,Mecze[[#This Row],[OB]]/Mecze[[#This Row],[CZAS]])</f>
        <v>0</v>
      </c>
      <c r="R2856" s="32">
        <f>IF(Mecze[[#This Row],[BR]]=0,0,Mecze[[#This Row],[BR]]/Mecze[[#This Row],[CZAS]])</f>
        <v>1.5873015873015872E-2</v>
      </c>
      <c r="S2856" s="44">
        <f>IF(Mecze[[#This Row],[Role]]="BR",SUMPRODUCT(Mecze[[#This Row],[/PR:90]:[/BR:90]],Brudnopis!$E$23:$J$23),0)</f>
        <v>0</v>
      </c>
      <c r="T2856" s="44">
        <f>IF(Mecze[[#This Row],[Role]]&lt;&gt;"BR",SUMPRODUCT(Mecze[[#This Row],[/PR:90]:[/BR:90]],Brudnopis!$E$24:$J$24),0)</f>
        <v>0.1984126984126984</v>
      </c>
      <c r="U2856" s="44">
        <f>IF(Mecze[[#This Row],[Role]]&lt;&gt;"BR",SUMPRODUCT(Mecze[[#This Row],[/PR:90]:[/BR:90]],Brudnopis!$E$25:$J$25),0)</f>
        <v>0.26190476190476186</v>
      </c>
      <c r="V2856" s="44">
        <f>IF(Mecze[[#This Row],[Role]]&lt;&gt;"BR",SUMPRODUCT(Mecze[[#This Row],[/PR:90]:[/BR:90]],Brudnopis!$E$26:$J$26),0)</f>
        <v>0.20634920634920634</v>
      </c>
      <c r="W2856" s="44">
        <f>IF(Mecze[[#This Row],[Role]]&lt;&gt;"BR",SUMPRODUCT(Mecze[[#This Row],[/PR:90]:[/BR:90]],Brudnopis!$E$27:$J$27),0)</f>
        <v>0.26587301587301587</v>
      </c>
      <c r="X2856" s="44">
        <f>IF(Mecze[[#This Row],[Role]]&lt;&gt;"BR",SUMPRODUCT(Mecze[[#This Row],[/PR:90]:[/BR:90]],Brudnopis!$E$28:$J$28),0)</f>
        <v>0.23809523809523808</v>
      </c>
      <c r="Y2856" s="35">
        <f>IF(Mecze[[#This Row],[Role]]="BR",Mecze[[#This Row],[/OB:90]]+Mecze[[#This Row],[/PC:90]],SUM(Mecze[[#This Row],[/PR:90]:[/BR:90]]))</f>
        <v>0.19047619047619047</v>
      </c>
      <c r="Z2856" s="35">
        <f>IF(Mecze[[#This Row],[KC]]=0,SUM(Mecze[[#This Row],[/BRI]:[/NPI]]),SUM(Mecze[[#This Row],[/BRI]:[/NPI]])*0.6)</f>
        <v>1.1706349206349205</v>
      </c>
      <c r="AA2856" s="10">
        <f>IFERROR(Mecze[[#This Row],[BR]]/Mecze[[#This Row],[ST]],0)</f>
        <v>0.5</v>
      </c>
      <c r="AB2856">
        <f>ROUND(Mecze[[#This Row],[PD]]*Mecze[[#This Row],[%PC]],0)</f>
        <v>8</v>
      </c>
      <c r="AC2856">
        <f>ROUND(Mecze[[#This Row],[OD]]*Mecze[[#This Row],[%OU]],0)</f>
        <v>0</v>
      </c>
      <c r="AD2856" s="36" t="s">
        <v>46</v>
      </c>
      <c r="AE2856" s="36">
        <v>159</v>
      </c>
      <c r="AF2856" s="71">
        <v>8.92</v>
      </c>
      <c r="AG2856" s="37">
        <v>0</v>
      </c>
      <c r="AH2856" s="37">
        <v>0</v>
      </c>
      <c r="AI2856" s="37">
        <v>63</v>
      </c>
      <c r="AJ2856" s="37">
        <v>4</v>
      </c>
      <c r="AK2856" s="37" t="str">
        <f>VLOOKUP(Mecze[[#This Row],[Match ID]],Meczusie[Mecz]:Meczusie[RodzajMeczu],2,FALSE)</f>
        <v>Liga</v>
      </c>
    </row>
    <row r="2857" spans="1:37" x14ac:dyDescent="0.25">
      <c r="A2857" s="76">
        <v>8</v>
      </c>
      <c r="B2857" s="3" t="s">
        <v>283</v>
      </c>
      <c r="C2857" s="2" t="s">
        <v>165</v>
      </c>
      <c r="D2857" s="1">
        <v>0</v>
      </c>
      <c r="E2857" s="1">
        <v>3</v>
      </c>
      <c r="F2857" s="1">
        <v>3</v>
      </c>
      <c r="G2857" s="1">
        <v>7</v>
      </c>
      <c r="H2857" s="4">
        <v>0.71</v>
      </c>
      <c r="I2857" s="1">
        <v>0</v>
      </c>
      <c r="J2857" s="4"/>
      <c r="K2857" s="1">
        <v>0</v>
      </c>
      <c r="L2857" s="1">
        <v>0</v>
      </c>
      <c r="M2857" s="32">
        <f>IF(Mecze[[#This Row],[PR]]=0,0,Mecze[[#This Row],[PR]]/Mecze[[#This Row],[CZAS]])</f>
        <v>0</v>
      </c>
      <c r="N2857" s="32">
        <f>IF(Mecze[[#This Row],[OU]]=0,0,Mecze[[#This Row],[OU]]/Mecze[[#This Row],[CZAS]])</f>
        <v>0</v>
      </c>
      <c r="O2857" s="32">
        <f>IF(Mecze[[#This Row],[PC]]=0,0,Mecze[[#This Row],[PC]]/Mecze[[#This Row],[CZAS]])</f>
        <v>5.2083333333333336E-2</v>
      </c>
      <c r="P2857" s="32">
        <f>IF(Mecze[[#This Row],[SC]]=0,0,Mecze[[#This Row],[SC]]/Mecze[[#This Row],[CZAS]])</f>
        <v>3.125E-2</v>
      </c>
      <c r="Q2857" s="32">
        <f>IF(Mecze[[#This Row],[OB]]=0,0,Mecze[[#This Row],[OB]]/Mecze[[#This Row],[CZAS]])</f>
        <v>0</v>
      </c>
      <c r="R2857" s="32">
        <f>IF(Mecze[[#This Row],[BR]]=0,0,Mecze[[#This Row],[BR]]/Mecze[[#This Row],[CZAS]])</f>
        <v>0</v>
      </c>
      <c r="S2857" s="44">
        <f>IF(Mecze[[#This Row],[Role]]="BR",SUMPRODUCT(Mecze[[#This Row],[/PR:90]:[/BR:90]],Brudnopis!$E$23:$J$23),0)</f>
        <v>0</v>
      </c>
      <c r="T2857" s="44">
        <f>IF(Mecze[[#This Row],[Role]]&lt;&gt;"BR",SUMPRODUCT(Mecze[[#This Row],[/PR:90]:[/BR:90]],Brudnopis!$E$24:$J$24),0)</f>
        <v>8.3333333333333343E-2</v>
      </c>
      <c r="U2857" s="44">
        <f>IF(Mecze[[#This Row],[Role]]&lt;&gt;"BR",SUMPRODUCT(Mecze[[#This Row],[/PR:90]:[/BR:90]],Brudnopis!$E$25:$J$25),0)</f>
        <v>0.109375</v>
      </c>
      <c r="V2857" s="44">
        <f>IF(Mecze[[#This Row],[Role]]&lt;&gt;"BR",SUMPRODUCT(Mecze[[#This Row],[/PR:90]:[/BR:90]],Brudnopis!$E$26:$J$26),0)</f>
        <v>8.3333333333333343E-2</v>
      </c>
      <c r="W2857" s="44">
        <f>IF(Mecze[[#This Row],[Role]]&lt;&gt;"BR",SUMPRODUCT(Mecze[[#This Row],[/PR:90]:[/BR:90]],Brudnopis!$E$27:$J$27),0)</f>
        <v>0.109375</v>
      </c>
      <c r="X2857" s="44">
        <f>IF(Mecze[[#This Row],[Role]]&lt;&gt;"BR",SUMPRODUCT(Mecze[[#This Row],[/PR:90]:[/BR:90]],Brudnopis!$E$28:$J$28),0)</f>
        <v>0.11458333333333334</v>
      </c>
      <c r="Y2857" s="35">
        <f>IF(Mecze[[#This Row],[Role]]="BR",Mecze[[#This Row],[/OB:90]]+Mecze[[#This Row],[/PC:90]],SUM(Mecze[[#This Row],[/PR:90]:[/BR:90]]))</f>
        <v>8.3333333333333343E-2</v>
      </c>
      <c r="Z2857" s="35">
        <f>IF(Mecze[[#This Row],[KC]]=0,SUM(Mecze[[#This Row],[/BRI]:[/NPI]]),SUM(Mecze[[#This Row],[/BRI]:[/NPI]])*0.6)</f>
        <v>0.5</v>
      </c>
      <c r="AA2857" s="10">
        <f>IFERROR(Mecze[[#This Row],[BR]]/Mecze[[#This Row],[ST]],0)</f>
        <v>0</v>
      </c>
      <c r="AB2857">
        <f>ROUND(Mecze[[#This Row],[PD]]*Mecze[[#This Row],[%PC]],0)</f>
        <v>5</v>
      </c>
      <c r="AC2857">
        <f>ROUND(Mecze[[#This Row],[OD]]*Mecze[[#This Row],[%OU]],0)</f>
        <v>0</v>
      </c>
      <c r="AD2857" s="36" t="s">
        <v>273</v>
      </c>
      <c r="AE2857" s="36">
        <v>159</v>
      </c>
      <c r="AF2857" s="71">
        <v>5.92</v>
      </c>
      <c r="AG2857" s="37">
        <v>0</v>
      </c>
      <c r="AH2857" s="37">
        <v>0</v>
      </c>
      <c r="AI2857" s="37">
        <v>96</v>
      </c>
      <c r="AJ2857" s="37">
        <v>4</v>
      </c>
      <c r="AK2857" s="37" t="str">
        <f>VLOOKUP(Mecze[[#This Row],[Match ID]],Meczusie[Mecz]:Meczusie[RodzajMeczu],2,FALSE)</f>
        <v>Liga</v>
      </c>
    </row>
    <row r="2858" spans="1:37" x14ac:dyDescent="0.25">
      <c r="A2858" s="76">
        <v>10</v>
      </c>
      <c r="B2858" s="3" t="s">
        <v>284</v>
      </c>
      <c r="C2858" s="2" t="s">
        <v>165</v>
      </c>
      <c r="D2858" s="1">
        <v>11</v>
      </c>
      <c r="E2858" s="1">
        <v>25</v>
      </c>
      <c r="F2858" s="1">
        <v>17</v>
      </c>
      <c r="G2858" s="1">
        <v>4</v>
      </c>
      <c r="H2858" s="4">
        <v>0.75</v>
      </c>
      <c r="I2858" s="1">
        <v>0</v>
      </c>
      <c r="J2858" s="4"/>
      <c r="K2858" s="1">
        <v>0</v>
      </c>
      <c r="L2858" s="1">
        <v>3</v>
      </c>
      <c r="M2858" s="32">
        <f>IF(Mecze[[#This Row],[PR]]=0,0,Mecze[[#This Row],[PR]]/Mecze[[#This Row],[CZAS]])</f>
        <v>3.125E-2</v>
      </c>
      <c r="N2858" s="32">
        <f>IF(Mecze[[#This Row],[OU]]=0,0,Mecze[[#This Row],[OU]]/Mecze[[#This Row],[CZAS]])</f>
        <v>0</v>
      </c>
      <c r="O2858" s="32">
        <f>IF(Mecze[[#This Row],[PC]]=0,0,Mecze[[#This Row],[PC]]/Mecze[[#This Row],[CZAS]])</f>
        <v>3.125E-2</v>
      </c>
      <c r="P2858" s="32">
        <f>IF(Mecze[[#This Row],[SC]]=0,0,Mecze[[#This Row],[SC]]/Mecze[[#This Row],[CZAS]])</f>
        <v>0.17708333333333334</v>
      </c>
      <c r="Q2858" s="32">
        <f>IF(Mecze[[#This Row],[OB]]=0,0,Mecze[[#This Row],[OB]]/Mecze[[#This Row],[CZAS]])</f>
        <v>0</v>
      </c>
      <c r="R2858" s="32">
        <f>IF(Mecze[[#This Row],[BR]]=0,0,Mecze[[#This Row],[BR]]/Mecze[[#This Row],[CZAS]])</f>
        <v>0.11458333333333333</v>
      </c>
      <c r="S2858" s="44">
        <f>IF(Mecze[[#This Row],[Role]]="BR",SUMPRODUCT(Mecze[[#This Row],[/PR:90]:[/BR:90]],Brudnopis!$E$23:$J$23),0)</f>
        <v>0</v>
      </c>
      <c r="T2858" s="44">
        <f>IF(Mecze[[#This Row],[Role]]&lt;&gt;"BR",SUMPRODUCT(Mecze[[#This Row],[/PR:90]:[/BR:90]],Brudnopis!$E$24:$J$24),0)</f>
        <v>0.41145833333333337</v>
      </c>
      <c r="U2858" s="44">
        <f>IF(Mecze[[#This Row],[Role]]&lt;&gt;"BR",SUMPRODUCT(Mecze[[#This Row],[/PR:90]:[/BR:90]],Brudnopis!$E$25:$J$25),0)</f>
        <v>0.42708333333333337</v>
      </c>
      <c r="V2858" s="44">
        <f>IF(Mecze[[#This Row],[Role]]&lt;&gt;"BR",SUMPRODUCT(Mecze[[#This Row],[/PR:90]:[/BR:90]],Brudnopis!$E$26:$J$26),0)</f>
        <v>0.46875</v>
      </c>
      <c r="W2858" s="44">
        <f>IF(Mecze[[#This Row],[Role]]&lt;&gt;"BR",SUMPRODUCT(Mecze[[#This Row],[/PR:90]:[/BR:90]],Brudnopis!$E$27:$J$27),0)</f>
        <v>0.4765625</v>
      </c>
      <c r="X2858" s="44">
        <f>IF(Mecze[[#This Row],[Role]]&lt;&gt;"BR",SUMPRODUCT(Mecze[[#This Row],[/PR:90]:[/BR:90]],Brudnopis!$E$28:$J$28),0)</f>
        <v>0.72916666666666674</v>
      </c>
      <c r="Y2858" s="35">
        <f>IF(Mecze[[#This Row],[Role]]="BR",Mecze[[#This Row],[/OB:90]]+Mecze[[#This Row],[/PC:90]],SUM(Mecze[[#This Row],[/PR:90]:[/BR:90]]))</f>
        <v>0.35416666666666669</v>
      </c>
      <c r="Z2858" s="35">
        <f>IF(Mecze[[#This Row],[KC]]=0,SUM(Mecze[[#This Row],[/BRI]:[/NPI]]),SUM(Mecze[[#This Row],[/BRI]:[/NPI]])*0.6)</f>
        <v>2.5130208333333335</v>
      </c>
      <c r="AA2858" s="10">
        <f>IFERROR(Mecze[[#This Row],[BR]]/Mecze[[#This Row],[ST]],0)</f>
        <v>0.44</v>
      </c>
      <c r="AB2858">
        <f>ROUND(Mecze[[#This Row],[PD]]*Mecze[[#This Row],[%PC]],0)</f>
        <v>3</v>
      </c>
      <c r="AC2858">
        <f>ROUND(Mecze[[#This Row],[OD]]*Mecze[[#This Row],[%OU]],0)</f>
        <v>0</v>
      </c>
      <c r="AD2858" s="36" t="s">
        <v>46</v>
      </c>
      <c r="AE2858" s="36">
        <v>159</v>
      </c>
      <c r="AF2858" s="71">
        <v>32.97</v>
      </c>
      <c r="AG2858" s="37">
        <v>0</v>
      </c>
      <c r="AH2858" s="37">
        <v>0</v>
      </c>
      <c r="AI2858" s="37">
        <v>96</v>
      </c>
      <c r="AJ2858" s="37">
        <v>4</v>
      </c>
      <c r="AK2858" s="37" t="str">
        <f>VLOOKUP(Mecze[[#This Row],[Match ID]],Meczusie[Mecz]:Meczusie[RodzajMeczu],2,FALSE)</f>
        <v>Liga</v>
      </c>
    </row>
    <row r="2859" spans="1:37" x14ac:dyDescent="0.25">
      <c r="A2859" s="76">
        <v>3</v>
      </c>
      <c r="B2859" s="3" t="s">
        <v>495</v>
      </c>
      <c r="C2859" s="2" t="s">
        <v>157</v>
      </c>
      <c r="D2859" s="1">
        <v>0</v>
      </c>
      <c r="E2859" s="1">
        <v>0</v>
      </c>
      <c r="F2859" s="1">
        <v>0</v>
      </c>
      <c r="G2859" s="1">
        <v>2</v>
      </c>
      <c r="H2859" s="4">
        <v>0.5</v>
      </c>
      <c r="I2859" s="1">
        <v>0</v>
      </c>
      <c r="J2859" s="4"/>
      <c r="K2859" s="1">
        <v>0</v>
      </c>
      <c r="L2859" s="1">
        <v>1</v>
      </c>
      <c r="M2859" s="32">
        <f>IF(Mecze[[#This Row],[PR]]=0,0,Mecze[[#This Row],[PR]]/Mecze[[#This Row],[CZAS]])</f>
        <v>3.0303030303030304E-2</v>
      </c>
      <c r="N2859" s="32">
        <f>IF(Mecze[[#This Row],[OU]]=0,0,Mecze[[#This Row],[OU]]/Mecze[[#This Row],[CZAS]])</f>
        <v>0</v>
      </c>
      <c r="O2859" s="32">
        <f>IF(Mecze[[#This Row],[PC]]=0,0,Mecze[[#This Row],[PC]]/Mecze[[#This Row],[CZAS]])</f>
        <v>3.0303030303030304E-2</v>
      </c>
      <c r="P2859" s="32">
        <f>IF(Mecze[[#This Row],[SC]]=0,0,Mecze[[#This Row],[SC]]/Mecze[[#This Row],[CZAS]])</f>
        <v>0</v>
      </c>
      <c r="Q2859" s="32">
        <f>IF(Mecze[[#This Row],[OB]]=0,0,Mecze[[#This Row],[OB]]/Mecze[[#This Row],[CZAS]])</f>
        <v>0</v>
      </c>
      <c r="R2859" s="32">
        <f>IF(Mecze[[#This Row],[BR]]=0,0,Mecze[[#This Row],[BR]]/Mecze[[#This Row],[CZAS]])</f>
        <v>0</v>
      </c>
      <c r="S2859" s="44">
        <f>IF(Mecze[[#This Row],[Role]]="BR",SUMPRODUCT(Mecze[[#This Row],[/PR:90]:[/BR:90]],Brudnopis!$E$23:$J$23),0)</f>
        <v>0</v>
      </c>
      <c r="T2859" s="44">
        <f>IF(Mecze[[#This Row],[Role]]&lt;&gt;"BR",SUMPRODUCT(Mecze[[#This Row],[/PR:90]:[/BR:90]],Brudnopis!$E$24:$J$24),0)</f>
        <v>6.0606060606060608E-2</v>
      </c>
      <c r="U2859" s="44">
        <f>IF(Mecze[[#This Row],[Role]]&lt;&gt;"BR",SUMPRODUCT(Mecze[[#This Row],[/PR:90]:[/BR:90]],Brudnopis!$E$25:$J$25),0)</f>
        <v>7.575757575757576E-2</v>
      </c>
      <c r="V2859" s="44">
        <f>IF(Mecze[[#This Row],[Role]]&lt;&gt;"BR",SUMPRODUCT(Mecze[[#This Row],[/PR:90]:[/BR:90]],Brudnopis!$E$26:$J$26),0)</f>
        <v>6.0606060606060608E-2</v>
      </c>
      <c r="W2859" s="44">
        <f>IF(Mecze[[#This Row],[Role]]&lt;&gt;"BR",SUMPRODUCT(Mecze[[#This Row],[/PR:90]:[/BR:90]],Brudnopis!$E$27:$J$27),0)</f>
        <v>6.8181818181818177E-2</v>
      </c>
      <c r="X2859" s="44">
        <f>IF(Mecze[[#This Row],[Role]]&lt;&gt;"BR",SUMPRODUCT(Mecze[[#This Row],[/PR:90]:[/BR:90]],Brudnopis!$E$28:$J$28),0)</f>
        <v>3.0303030303030304E-2</v>
      </c>
      <c r="Y2859" s="35">
        <f>IF(Mecze[[#This Row],[Role]]="BR",Mecze[[#This Row],[/OB:90]]+Mecze[[#This Row],[/PC:90]],SUM(Mecze[[#This Row],[/PR:90]:[/BR:90]]))</f>
        <v>6.0606060606060608E-2</v>
      </c>
      <c r="Z2859" s="35">
        <f>IF(Mecze[[#This Row],[KC]]=0,SUM(Mecze[[#This Row],[/BRI]:[/NPI]]),SUM(Mecze[[#This Row],[/BRI]:[/NPI]])*0.6)</f>
        <v>0.29545454545454541</v>
      </c>
      <c r="AA2859" s="10">
        <f>IFERROR(Mecze[[#This Row],[BR]]/Mecze[[#This Row],[ST]],0)</f>
        <v>0</v>
      </c>
      <c r="AB2859">
        <f>ROUND(Mecze[[#This Row],[PD]]*Mecze[[#This Row],[%PC]],0)</f>
        <v>1</v>
      </c>
      <c r="AC2859">
        <f>ROUND(Mecze[[#This Row],[OD]]*Mecze[[#This Row],[%OU]],0)</f>
        <v>0</v>
      </c>
      <c r="AD2859" s="36" t="s">
        <v>167</v>
      </c>
      <c r="AE2859" s="36">
        <v>159</v>
      </c>
      <c r="AF2859" s="71">
        <v>5.05</v>
      </c>
      <c r="AG2859" s="37">
        <v>0</v>
      </c>
      <c r="AH2859" s="37">
        <v>0</v>
      </c>
      <c r="AI2859" s="37">
        <v>33</v>
      </c>
      <c r="AJ2859" s="37">
        <v>4</v>
      </c>
      <c r="AK2859" s="37" t="str">
        <f>VLOOKUP(Mecze[[#This Row],[Match ID]],Meczusie[Mecz]:Meczusie[RodzajMeczu],2,FALSE)</f>
        <v>Liga</v>
      </c>
    </row>
    <row r="2860" spans="1:37" x14ac:dyDescent="0.25">
      <c r="A2860" s="76">
        <v>14</v>
      </c>
      <c r="B2860" s="3" t="s">
        <v>281</v>
      </c>
      <c r="C2860" s="2" t="s">
        <v>165</v>
      </c>
      <c r="D2860" s="1">
        <v>0</v>
      </c>
      <c r="E2860" s="1">
        <v>1</v>
      </c>
      <c r="F2860" s="1">
        <v>0</v>
      </c>
      <c r="G2860" s="1">
        <v>1</v>
      </c>
      <c r="H2860" s="4">
        <v>0</v>
      </c>
      <c r="I2860" s="1">
        <v>0</v>
      </c>
      <c r="J2860" s="4"/>
      <c r="K2860" s="1">
        <v>0</v>
      </c>
      <c r="L2860" s="1">
        <v>0</v>
      </c>
      <c r="M2860" s="32">
        <f>IF(Mecze[[#This Row],[PR]]=0,0,Mecze[[#This Row],[PR]]/Mecze[[#This Row],[CZAS]])</f>
        <v>0</v>
      </c>
      <c r="N2860" s="32">
        <f>IF(Mecze[[#This Row],[OU]]=0,0,Mecze[[#This Row],[OU]]/Mecze[[#This Row],[CZAS]])</f>
        <v>0</v>
      </c>
      <c r="O2860" s="32">
        <f>IF(Mecze[[#This Row],[PC]]=0,0,Mecze[[#This Row],[PC]]/Mecze[[#This Row],[CZAS]])</f>
        <v>0</v>
      </c>
      <c r="P2860" s="32">
        <f>IF(Mecze[[#This Row],[SC]]=0,0,Mecze[[#This Row],[SC]]/Mecze[[#This Row],[CZAS]])</f>
        <v>0</v>
      </c>
      <c r="Q2860" s="32">
        <f>IF(Mecze[[#This Row],[OB]]=0,0,Mecze[[#This Row],[OB]]/Mecze[[#This Row],[CZAS]])</f>
        <v>0</v>
      </c>
      <c r="R2860" s="32">
        <f>IF(Mecze[[#This Row],[BR]]=0,0,Mecze[[#This Row],[BR]]/Mecze[[#This Row],[CZAS]])</f>
        <v>0</v>
      </c>
      <c r="S2860" s="44">
        <f>IF(Mecze[[#This Row],[Role]]="BR",SUMPRODUCT(Mecze[[#This Row],[/PR:90]:[/BR:90]],Brudnopis!$E$23:$J$23),0)</f>
        <v>0</v>
      </c>
      <c r="T2860" s="44">
        <f>IF(Mecze[[#This Row],[Role]]&lt;&gt;"BR",SUMPRODUCT(Mecze[[#This Row],[/PR:90]:[/BR:90]],Brudnopis!$E$24:$J$24),0)</f>
        <v>0</v>
      </c>
      <c r="U2860" s="44">
        <f>IF(Mecze[[#This Row],[Role]]&lt;&gt;"BR",SUMPRODUCT(Mecze[[#This Row],[/PR:90]:[/BR:90]],Brudnopis!$E$25:$J$25),0)</f>
        <v>0</v>
      </c>
      <c r="V2860" s="44">
        <f>IF(Mecze[[#This Row],[Role]]&lt;&gt;"BR",SUMPRODUCT(Mecze[[#This Row],[/PR:90]:[/BR:90]],Brudnopis!$E$26:$J$26),0)</f>
        <v>0</v>
      </c>
      <c r="W2860" s="44">
        <f>IF(Mecze[[#This Row],[Role]]&lt;&gt;"BR",SUMPRODUCT(Mecze[[#This Row],[/PR:90]:[/BR:90]],Brudnopis!$E$27:$J$27),0)</f>
        <v>0</v>
      </c>
      <c r="X2860" s="44">
        <f>IF(Mecze[[#This Row],[Role]]&lt;&gt;"BR",SUMPRODUCT(Mecze[[#This Row],[/PR:90]:[/BR:90]],Brudnopis!$E$28:$J$28),0)</f>
        <v>0</v>
      </c>
      <c r="Y2860" s="35">
        <f>IF(Mecze[[#This Row],[Role]]="BR",Mecze[[#This Row],[/OB:90]]+Mecze[[#This Row],[/PC:90]],SUM(Mecze[[#This Row],[/PR:90]:[/BR:90]]))</f>
        <v>0</v>
      </c>
      <c r="Z2860" s="35">
        <f>IF(Mecze[[#This Row],[KC]]=0,SUM(Mecze[[#This Row],[/BRI]:[/NPI]]),SUM(Mecze[[#This Row],[/BRI]:[/NPI]])*0.6)</f>
        <v>0</v>
      </c>
      <c r="AA2860" s="10">
        <f>IFERROR(Mecze[[#This Row],[BR]]/Mecze[[#This Row],[ST]],0)</f>
        <v>0</v>
      </c>
      <c r="AB2860">
        <f>ROUND(Mecze[[#This Row],[PD]]*Mecze[[#This Row],[%PC]],0)</f>
        <v>0</v>
      </c>
      <c r="AC2860">
        <f>ROUND(Mecze[[#This Row],[OD]]*Mecze[[#This Row],[%OU]],0)</f>
        <v>0</v>
      </c>
      <c r="AD2860" s="36" t="s">
        <v>46</v>
      </c>
      <c r="AE2860" s="36">
        <v>159</v>
      </c>
      <c r="AF2860" s="71">
        <v>1.72</v>
      </c>
      <c r="AG2860" s="37">
        <v>0</v>
      </c>
      <c r="AH2860" s="37">
        <v>0</v>
      </c>
      <c r="AI2860" s="37">
        <v>33</v>
      </c>
      <c r="AJ2860" s="37">
        <v>4</v>
      </c>
      <c r="AK2860" s="37" t="str">
        <f>VLOOKUP(Mecze[[#This Row],[Match ID]],Meczusie[Mecz]:Meczusie[RodzajMeczu],2,FALSE)</f>
        <v>Liga</v>
      </c>
    </row>
    <row r="2861" spans="1:37" x14ac:dyDescent="0.25">
      <c r="A2861" s="76">
        <v>15</v>
      </c>
      <c r="B2861" s="3" t="s">
        <v>286</v>
      </c>
      <c r="C2861" s="2" t="s">
        <v>160</v>
      </c>
      <c r="D2861" s="1">
        <v>0</v>
      </c>
      <c r="E2861" s="1">
        <v>2</v>
      </c>
      <c r="F2861" s="1">
        <v>0</v>
      </c>
      <c r="G2861" s="1">
        <v>5</v>
      </c>
      <c r="H2861" s="4">
        <v>0.8</v>
      </c>
      <c r="I2861" s="1">
        <v>1</v>
      </c>
      <c r="J2861" s="4">
        <v>1</v>
      </c>
      <c r="K2861" s="1">
        <v>0</v>
      </c>
      <c r="L2861" s="1">
        <v>0</v>
      </c>
      <c r="M2861" s="32">
        <f>IF(Mecze[[#This Row],[PR]]=0,0,Mecze[[#This Row],[PR]]/Mecze[[#This Row],[CZAS]])</f>
        <v>0</v>
      </c>
      <c r="N2861" s="32">
        <f>IF(Mecze[[#This Row],[OU]]=0,0,Mecze[[#This Row],[OU]]/Mecze[[#This Row],[CZAS]])</f>
        <v>3.0303030303030304E-2</v>
      </c>
      <c r="O2861" s="32">
        <f>IF(Mecze[[#This Row],[PC]]=0,0,Mecze[[#This Row],[PC]]/Mecze[[#This Row],[CZAS]])</f>
        <v>0.12121212121212122</v>
      </c>
      <c r="P2861" s="32">
        <f>IF(Mecze[[#This Row],[SC]]=0,0,Mecze[[#This Row],[SC]]/Mecze[[#This Row],[CZAS]])</f>
        <v>0</v>
      </c>
      <c r="Q2861" s="32">
        <f>IF(Mecze[[#This Row],[OB]]=0,0,Mecze[[#This Row],[OB]]/Mecze[[#This Row],[CZAS]])</f>
        <v>0</v>
      </c>
      <c r="R2861" s="32">
        <f>IF(Mecze[[#This Row],[BR]]=0,0,Mecze[[#This Row],[BR]]/Mecze[[#This Row],[CZAS]])</f>
        <v>0</v>
      </c>
      <c r="S2861" s="44">
        <f>IF(Mecze[[#This Row],[Role]]="BR",SUMPRODUCT(Mecze[[#This Row],[/PR:90]:[/BR:90]],Brudnopis!$E$23:$J$23),0)</f>
        <v>0</v>
      </c>
      <c r="T2861" s="44">
        <f>IF(Mecze[[#This Row],[Role]]&lt;&gt;"BR",SUMPRODUCT(Mecze[[#This Row],[/PR:90]:[/BR:90]],Brudnopis!$E$24:$J$24),0)</f>
        <v>0.16666666666666669</v>
      </c>
      <c r="U2861" s="44">
        <f>IF(Mecze[[#This Row],[Role]]&lt;&gt;"BR",SUMPRODUCT(Mecze[[#This Row],[/PR:90]:[/BR:90]],Brudnopis!$E$25:$J$25),0)</f>
        <v>0.21212121212121213</v>
      </c>
      <c r="V2861" s="44">
        <f>IF(Mecze[[#This Row],[Role]]&lt;&gt;"BR",SUMPRODUCT(Mecze[[#This Row],[/PR:90]:[/BR:90]],Brudnopis!$E$26:$J$26),0)</f>
        <v>0.15151515151515152</v>
      </c>
      <c r="W2861" s="44">
        <f>IF(Mecze[[#This Row],[Role]]&lt;&gt;"BR",SUMPRODUCT(Mecze[[#This Row],[/PR:90]:[/BR:90]],Brudnopis!$E$27:$J$27),0)</f>
        <v>0.20454545454545456</v>
      </c>
      <c r="X2861" s="44">
        <f>IF(Mecze[[#This Row],[Role]]&lt;&gt;"BR",SUMPRODUCT(Mecze[[#This Row],[/PR:90]:[/BR:90]],Brudnopis!$E$28:$J$28),0)</f>
        <v>0.12121212121212122</v>
      </c>
      <c r="Y2861" s="35">
        <f>IF(Mecze[[#This Row],[Role]]="BR",Mecze[[#This Row],[/OB:90]]+Mecze[[#This Row],[/PC:90]],SUM(Mecze[[#This Row],[/PR:90]:[/BR:90]]))</f>
        <v>0.15151515151515152</v>
      </c>
      <c r="Z2861" s="35">
        <f>IF(Mecze[[#This Row],[KC]]=0,SUM(Mecze[[#This Row],[/BRI]:[/NPI]]),SUM(Mecze[[#This Row],[/BRI]:[/NPI]])*0.6)</f>
        <v>0.85606060606060608</v>
      </c>
      <c r="AA2861" s="10">
        <f>IFERROR(Mecze[[#This Row],[BR]]/Mecze[[#This Row],[ST]],0)</f>
        <v>0</v>
      </c>
      <c r="AB2861">
        <f>ROUND(Mecze[[#This Row],[PD]]*Mecze[[#This Row],[%PC]],0)</f>
        <v>4</v>
      </c>
      <c r="AC2861">
        <f>ROUND(Mecze[[#This Row],[OD]]*Mecze[[#This Row],[%OU]],0)</f>
        <v>1</v>
      </c>
      <c r="AD2861" s="36" t="s">
        <v>171</v>
      </c>
      <c r="AE2861" s="36">
        <v>159</v>
      </c>
      <c r="AF2861" s="71">
        <v>6.96</v>
      </c>
      <c r="AG2861" s="37">
        <v>0</v>
      </c>
      <c r="AH2861" s="37">
        <v>0</v>
      </c>
      <c r="AI2861" s="37">
        <v>33</v>
      </c>
      <c r="AJ2861" s="37">
        <v>4</v>
      </c>
      <c r="AK2861" s="37" t="str">
        <f>VLOOKUP(Mecze[[#This Row],[Match ID]],Meczusie[Mecz]:Meczusie[RodzajMeczu],2,FALSE)</f>
        <v>Liga</v>
      </c>
    </row>
    <row r="2862" spans="1:37" x14ac:dyDescent="0.25">
      <c r="A2862" s="76">
        <v>3</v>
      </c>
      <c r="B2862" s="3" t="s">
        <v>222</v>
      </c>
      <c r="C2862" s="2" t="s">
        <v>155</v>
      </c>
      <c r="D2862" s="1">
        <v>0</v>
      </c>
      <c r="E2862" s="1">
        <v>0</v>
      </c>
      <c r="F2862" s="1">
        <v>0</v>
      </c>
      <c r="G2862" s="1">
        <v>16</v>
      </c>
      <c r="H2862" s="4">
        <v>0.56000000000000005</v>
      </c>
      <c r="I2862" s="1">
        <v>0</v>
      </c>
      <c r="J2862" s="4"/>
      <c r="K2862" s="1">
        <v>10</v>
      </c>
      <c r="L2862" s="1">
        <v>0</v>
      </c>
      <c r="M2862" s="32">
        <f>IF(Mecze[[#This Row],[PR]]=0,0,Mecze[[#This Row],[PR]]/Mecze[[#This Row],[CZAS]])</f>
        <v>0</v>
      </c>
      <c r="N2862" s="32">
        <f>IF(Mecze[[#This Row],[OU]]=0,0,Mecze[[#This Row],[OU]]/Mecze[[#This Row],[CZAS]])</f>
        <v>0</v>
      </c>
      <c r="O2862" s="32">
        <f>IF(Mecze[[#This Row],[PC]]=0,0,Mecze[[#This Row],[PC]]/Mecze[[#This Row],[CZAS]])</f>
        <v>9.375E-2</v>
      </c>
      <c r="P2862" s="32">
        <f>IF(Mecze[[#This Row],[SC]]=0,0,Mecze[[#This Row],[SC]]/Mecze[[#This Row],[CZAS]])</f>
        <v>0</v>
      </c>
      <c r="Q2862" s="32">
        <f>IF(Mecze[[#This Row],[OB]]=0,0,Mecze[[#This Row],[OB]]/Mecze[[#This Row],[CZAS]])</f>
        <v>0.10416666666666667</v>
      </c>
      <c r="R2862" s="32">
        <f>IF(Mecze[[#This Row],[BR]]=0,0,Mecze[[#This Row],[BR]]/Mecze[[#This Row],[CZAS]])</f>
        <v>0</v>
      </c>
      <c r="S2862" s="44">
        <f>IF(Mecze[[#This Row],[Role]]="BR",SUMPRODUCT(Mecze[[#This Row],[/PR:90]:[/BR:90]],Brudnopis!$E$23:$J$23),0)</f>
        <v>0.59375</v>
      </c>
      <c r="T2862" s="44">
        <f>IF(Mecze[[#This Row],[Role]]&lt;&gt;"BR",SUMPRODUCT(Mecze[[#This Row],[/PR:90]:[/BR:90]],Brudnopis!$E$24:$J$24),0)</f>
        <v>0</v>
      </c>
      <c r="U2862" s="44">
        <f>IF(Mecze[[#This Row],[Role]]&lt;&gt;"BR",SUMPRODUCT(Mecze[[#This Row],[/PR:90]:[/BR:90]],Brudnopis!$E$25:$J$25),0)</f>
        <v>0</v>
      </c>
      <c r="V2862" s="44">
        <f>IF(Mecze[[#This Row],[Role]]&lt;&gt;"BR",SUMPRODUCT(Mecze[[#This Row],[/PR:90]:[/BR:90]],Brudnopis!$E$26:$J$26),0)</f>
        <v>0</v>
      </c>
      <c r="W2862" s="44">
        <f>IF(Mecze[[#This Row],[Role]]&lt;&gt;"BR",SUMPRODUCT(Mecze[[#This Row],[/PR:90]:[/BR:90]],Brudnopis!$E$27:$J$27),0)</f>
        <v>0</v>
      </c>
      <c r="X2862" s="44">
        <f>IF(Mecze[[#This Row],[Role]]&lt;&gt;"BR",SUMPRODUCT(Mecze[[#This Row],[/PR:90]:[/BR:90]],Brudnopis!$E$28:$J$28),0)</f>
        <v>0</v>
      </c>
      <c r="Y2862" s="35">
        <f>IF(Mecze[[#This Row],[Role]]="BR",Mecze[[#This Row],[/OB:90]]+Mecze[[#This Row],[/PC:90]],SUM(Mecze[[#This Row],[/PR:90]:[/BR:90]]))</f>
        <v>0.19791666666666669</v>
      </c>
      <c r="Z2862" s="35">
        <f>IF(Mecze[[#This Row],[KC]]=0,SUM(Mecze[[#This Row],[/BRI]:[/NPI]]),SUM(Mecze[[#This Row],[/BRI]:[/NPI]])*0.6)</f>
        <v>0.59375</v>
      </c>
      <c r="AA2862" s="10">
        <f>IFERROR(Mecze[[#This Row],[BR]]/Mecze[[#This Row],[ST]],0)</f>
        <v>0</v>
      </c>
      <c r="AB2862">
        <f>ROUND(Mecze[[#This Row],[PD]]*Mecze[[#This Row],[%PC]],0)</f>
        <v>9</v>
      </c>
      <c r="AC2862">
        <f>ROUND(Mecze[[#This Row],[OD]]*Mecze[[#This Row],[%OU]],0)</f>
        <v>0</v>
      </c>
      <c r="AD2862" s="36" t="s">
        <v>40</v>
      </c>
      <c r="AE2862" s="36">
        <v>159</v>
      </c>
      <c r="AF2862" s="71">
        <v>2.97</v>
      </c>
      <c r="AG2862" s="37">
        <v>0</v>
      </c>
      <c r="AH2862" s="37">
        <v>0</v>
      </c>
      <c r="AI2862" s="37">
        <v>96</v>
      </c>
      <c r="AJ2862" s="37">
        <v>2</v>
      </c>
      <c r="AK2862" s="37" t="str">
        <f>VLOOKUP(Mecze[[#This Row],[Match ID]],Meczusie[Mecz]:Meczusie[RodzajMeczu],2,FALSE)</f>
        <v>Liga</v>
      </c>
    </row>
    <row r="2863" spans="1:37" x14ac:dyDescent="0.25">
      <c r="A2863" s="76">
        <v>42</v>
      </c>
      <c r="B2863" s="3" t="s">
        <v>497</v>
      </c>
      <c r="C2863" s="2" t="s">
        <v>157</v>
      </c>
      <c r="D2863" s="1">
        <v>0</v>
      </c>
      <c r="E2863" s="1">
        <v>0</v>
      </c>
      <c r="F2863" s="1">
        <v>0</v>
      </c>
      <c r="G2863" s="1">
        <v>1</v>
      </c>
      <c r="H2863" s="4">
        <v>0</v>
      </c>
      <c r="I2863" s="1">
        <v>0</v>
      </c>
      <c r="J2863" s="4"/>
      <c r="K2863" s="1">
        <v>0</v>
      </c>
      <c r="L2863" s="1">
        <v>0</v>
      </c>
      <c r="M2863" s="32">
        <f>IF(Mecze[[#This Row],[PR]]=0,0,Mecze[[#This Row],[PR]]/Mecze[[#This Row],[CZAS]])</f>
        <v>0</v>
      </c>
      <c r="N2863" s="32">
        <f>IF(Mecze[[#This Row],[OU]]=0,0,Mecze[[#This Row],[OU]]/Mecze[[#This Row],[CZAS]])</f>
        <v>0</v>
      </c>
      <c r="O2863" s="32">
        <f>IF(Mecze[[#This Row],[PC]]=0,0,Mecze[[#This Row],[PC]]/Mecze[[#This Row],[CZAS]])</f>
        <v>0</v>
      </c>
      <c r="P2863" s="32">
        <f>IF(Mecze[[#This Row],[SC]]=0,0,Mecze[[#This Row],[SC]]/Mecze[[#This Row],[CZAS]])</f>
        <v>0</v>
      </c>
      <c r="Q2863" s="32">
        <f>IF(Mecze[[#This Row],[OB]]=0,0,Mecze[[#This Row],[OB]]/Mecze[[#This Row],[CZAS]])</f>
        <v>0</v>
      </c>
      <c r="R2863" s="32">
        <f>IF(Mecze[[#This Row],[BR]]=0,0,Mecze[[#This Row],[BR]]/Mecze[[#This Row],[CZAS]])</f>
        <v>0</v>
      </c>
      <c r="S2863" s="44">
        <f>IF(Mecze[[#This Row],[Role]]="BR",SUMPRODUCT(Mecze[[#This Row],[/PR:90]:[/BR:90]],Brudnopis!$E$23:$J$23),0)</f>
        <v>0</v>
      </c>
      <c r="T2863" s="44">
        <f>IF(Mecze[[#This Row],[Role]]&lt;&gt;"BR",SUMPRODUCT(Mecze[[#This Row],[/PR:90]:[/BR:90]],Brudnopis!$E$24:$J$24),0)</f>
        <v>0</v>
      </c>
      <c r="U2863" s="44">
        <f>IF(Mecze[[#This Row],[Role]]&lt;&gt;"BR",SUMPRODUCT(Mecze[[#This Row],[/PR:90]:[/BR:90]],Brudnopis!$E$25:$J$25),0)</f>
        <v>0</v>
      </c>
      <c r="V2863" s="44">
        <f>IF(Mecze[[#This Row],[Role]]&lt;&gt;"BR",SUMPRODUCT(Mecze[[#This Row],[/PR:90]:[/BR:90]],Brudnopis!$E$26:$J$26),0)</f>
        <v>0</v>
      </c>
      <c r="W2863" s="44">
        <f>IF(Mecze[[#This Row],[Role]]&lt;&gt;"BR",SUMPRODUCT(Mecze[[#This Row],[/PR:90]:[/BR:90]],Brudnopis!$E$27:$J$27),0)</f>
        <v>0</v>
      </c>
      <c r="X2863" s="44">
        <f>IF(Mecze[[#This Row],[Role]]&lt;&gt;"BR",SUMPRODUCT(Mecze[[#This Row],[/PR:90]:[/BR:90]],Brudnopis!$E$28:$J$28),0)</f>
        <v>0</v>
      </c>
      <c r="Y2863" s="35">
        <f>IF(Mecze[[#This Row],[Role]]="BR",Mecze[[#This Row],[/OB:90]]+Mecze[[#This Row],[/PC:90]],SUM(Mecze[[#This Row],[/PR:90]:[/BR:90]]))</f>
        <v>0</v>
      </c>
      <c r="Z2863" s="35">
        <f>IF(Mecze[[#This Row],[KC]]=0,SUM(Mecze[[#This Row],[/BRI]:[/NPI]]),SUM(Mecze[[#This Row],[/BRI]:[/NPI]])*0.6)</f>
        <v>0</v>
      </c>
      <c r="AA2863" s="10">
        <f>IFERROR(Mecze[[#This Row],[BR]]/Mecze[[#This Row],[ST]],0)</f>
        <v>0</v>
      </c>
      <c r="AB2863">
        <f>ROUND(Mecze[[#This Row],[PD]]*Mecze[[#This Row],[%PC]],0)</f>
        <v>0</v>
      </c>
      <c r="AC2863">
        <f>ROUND(Mecze[[#This Row],[OD]]*Mecze[[#This Row],[%OU]],0)</f>
        <v>0</v>
      </c>
      <c r="AD2863" s="36" t="s">
        <v>174</v>
      </c>
      <c r="AE2863" s="36">
        <v>159</v>
      </c>
      <c r="AF2863" s="71">
        <v>-1.75</v>
      </c>
      <c r="AG2863" s="37">
        <v>0</v>
      </c>
      <c r="AH2863" s="37">
        <v>0</v>
      </c>
      <c r="AI2863" s="37">
        <v>96</v>
      </c>
      <c r="AJ2863" s="37">
        <v>2</v>
      </c>
      <c r="AK2863" s="37" t="str">
        <f>VLOOKUP(Mecze[[#This Row],[Match ID]],Meczusie[Mecz]:Meczusie[RodzajMeczu],2,FALSE)</f>
        <v>Liga</v>
      </c>
    </row>
    <row r="2864" spans="1:37" x14ac:dyDescent="0.25">
      <c r="A2864" s="76">
        <v>40</v>
      </c>
      <c r="B2864" s="3" t="s">
        <v>498</v>
      </c>
      <c r="C2864" s="2" t="s">
        <v>157</v>
      </c>
      <c r="D2864" s="1">
        <v>0</v>
      </c>
      <c r="E2864" s="1">
        <v>0</v>
      </c>
      <c r="F2864" s="1">
        <v>0</v>
      </c>
      <c r="G2864" s="1">
        <v>8</v>
      </c>
      <c r="H2864" s="4">
        <v>0.25</v>
      </c>
      <c r="I2864" s="1">
        <v>2</v>
      </c>
      <c r="J2864" s="4">
        <v>0</v>
      </c>
      <c r="K2864" s="1">
        <v>0</v>
      </c>
      <c r="L2864" s="1">
        <v>5</v>
      </c>
      <c r="M2864" s="32">
        <f>IF(Mecze[[#This Row],[PR]]=0,0,Mecze[[#This Row],[PR]]/Mecze[[#This Row],[CZAS]])</f>
        <v>5.2083333333333336E-2</v>
      </c>
      <c r="N2864" s="32">
        <f>IF(Mecze[[#This Row],[OU]]=0,0,Mecze[[#This Row],[OU]]/Mecze[[#This Row],[CZAS]])</f>
        <v>0</v>
      </c>
      <c r="O2864" s="32">
        <f>IF(Mecze[[#This Row],[PC]]=0,0,Mecze[[#This Row],[PC]]/Mecze[[#This Row],[CZAS]])</f>
        <v>2.0833333333333332E-2</v>
      </c>
      <c r="P2864" s="32">
        <f>IF(Mecze[[#This Row],[SC]]=0,0,Mecze[[#This Row],[SC]]/Mecze[[#This Row],[CZAS]])</f>
        <v>0</v>
      </c>
      <c r="Q2864" s="32">
        <f>IF(Mecze[[#This Row],[OB]]=0,0,Mecze[[#This Row],[OB]]/Mecze[[#This Row],[CZAS]])</f>
        <v>0</v>
      </c>
      <c r="R2864" s="32">
        <f>IF(Mecze[[#This Row],[BR]]=0,0,Mecze[[#This Row],[BR]]/Mecze[[#This Row],[CZAS]])</f>
        <v>0</v>
      </c>
      <c r="S2864" s="44">
        <f>IF(Mecze[[#This Row],[Role]]="BR",SUMPRODUCT(Mecze[[#This Row],[/PR:90]:[/BR:90]],Brudnopis!$E$23:$J$23),0)</f>
        <v>0</v>
      </c>
      <c r="T2864" s="44">
        <f>IF(Mecze[[#This Row],[Role]]&lt;&gt;"BR",SUMPRODUCT(Mecze[[#This Row],[/PR:90]:[/BR:90]],Brudnopis!$E$24:$J$24),0)</f>
        <v>7.2916666666666671E-2</v>
      </c>
      <c r="U2864" s="44">
        <f>IF(Mecze[[#This Row],[Role]]&lt;&gt;"BR",SUMPRODUCT(Mecze[[#This Row],[/PR:90]:[/BR:90]],Brudnopis!$E$25:$J$25),0)</f>
        <v>8.3333333333333343E-2</v>
      </c>
      <c r="V2864" s="44">
        <f>IF(Mecze[[#This Row],[Role]]&lt;&gt;"BR",SUMPRODUCT(Mecze[[#This Row],[/PR:90]:[/BR:90]],Brudnopis!$E$26:$J$26),0)</f>
        <v>7.2916666666666671E-2</v>
      </c>
      <c r="W2864" s="44">
        <f>IF(Mecze[[#This Row],[Role]]&lt;&gt;"BR",SUMPRODUCT(Mecze[[#This Row],[/PR:90]:[/BR:90]],Brudnopis!$E$27:$J$27),0)</f>
        <v>7.03125E-2</v>
      </c>
      <c r="X2864" s="44">
        <f>IF(Mecze[[#This Row],[Role]]&lt;&gt;"BR",SUMPRODUCT(Mecze[[#This Row],[/PR:90]:[/BR:90]],Brudnopis!$E$28:$J$28),0)</f>
        <v>2.0833333333333332E-2</v>
      </c>
      <c r="Y2864" s="35">
        <f>IF(Mecze[[#This Row],[Role]]="BR",Mecze[[#This Row],[/OB:90]]+Mecze[[#This Row],[/PC:90]],SUM(Mecze[[#This Row],[/PR:90]:[/BR:90]]))</f>
        <v>7.2916666666666671E-2</v>
      </c>
      <c r="Z2864" s="35">
        <f>IF(Mecze[[#This Row],[KC]]=0,SUM(Mecze[[#This Row],[/BRI]:[/NPI]]),SUM(Mecze[[#This Row],[/BRI]:[/NPI]])*0.6)</f>
        <v>0.3203125</v>
      </c>
      <c r="AA2864" s="10">
        <f>IFERROR(Mecze[[#This Row],[BR]]/Mecze[[#This Row],[ST]],0)</f>
        <v>0</v>
      </c>
      <c r="AB2864">
        <f>ROUND(Mecze[[#This Row],[PD]]*Mecze[[#This Row],[%PC]],0)</f>
        <v>2</v>
      </c>
      <c r="AC2864">
        <f>ROUND(Mecze[[#This Row],[OD]]*Mecze[[#This Row],[%OU]],0)</f>
        <v>0</v>
      </c>
      <c r="AD2864" s="36" t="s">
        <v>47</v>
      </c>
      <c r="AE2864" s="36">
        <v>159</v>
      </c>
      <c r="AF2864" s="71">
        <v>-0.7</v>
      </c>
      <c r="AG2864" s="37">
        <v>0</v>
      </c>
      <c r="AH2864" s="37">
        <v>0</v>
      </c>
      <c r="AI2864" s="37">
        <v>96</v>
      </c>
      <c r="AJ2864" s="37">
        <v>2</v>
      </c>
      <c r="AK2864" s="37" t="str">
        <f>VLOOKUP(Mecze[[#This Row],[Match ID]],Meczusie[Mecz]:Meczusie[RodzajMeczu],2,FALSE)</f>
        <v>Liga</v>
      </c>
    </row>
    <row r="2865" spans="1:37" x14ac:dyDescent="0.25">
      <c r="A2865" s="76">
        <v>37</v>
      </c>
      <c r="B2865" s="3" t="s">
        <v>499</v>
      </c>
      <c r="C2865" s="2" t="s">
        <v>157</v>
      </c>
      <c r="D2865" s="1">
        <v>0</v>
      </c>
      <c r="E2865" s="1">
        <v>0</v>
      </c>
      <c r="F2865" s="1">
        <v>0</v>
      </c>
      <c r="G2865" s="1">
        <v>3</v>
      </c>
      <c r="H2865" s="4">
        <v>0.33</v>
      </c>
      <c r="I2865" s="1">
        <v>5</v>
      </c>
      <c r="J2865" s="4">
        <v>0</v>
      </c>
      <c r="K2865" s="1">
        <v>0</v>
      </c>
      <c r="L2865" s="1">
        <v>1</v>
      </c>
      <c r="M2865" s="32">
        <f>IF(Mecze[[#This Row],[PR]]=0,0,Mecze[[#This Row],[PR]]/Mecze[[#This Row],[CZAS]])</f>
        <v>1.0416666666666666E-2</v>
      </c>
      <c r="N2865" s="32">
        <f>IF(Mecze[[#This Row],[OU]]=0,0,Mecze[[#This Row],[OU]]/Mecze[[#This Row],[CZAS]])</f>
        <v>0</v>
      </c>
      <c r="O2865" s="32">
        <f>IF(Mecze[[#This Row],[PC]]=0,0,Mecze[[#This Row],[PC]]/Mecze[[#This Row],[CZAS]])</f>
        <v>1.0416666666666666E-2</v>
      </c>
      <c r="P2865" s="32">
        <f>IF(Mecze[[#This Row],[SC]]=0,0,Mecze[[#This Row],[SC]]/Mecze[[#This Row],[CZAS]])</f>
        <v>0</v>
      </c>
      <c r="Q2865" s="32">
        <f>IF(Mecze[[#This Row],[OB]]=0,0,Mecze[[#This Row],[OB]]/Mecze[[#This Row],[CZAS]])</f>
        <v>0</v>
      </c>
      <c r="R2865" s="32">
        <f>IF(Mecze[[#This Row],[BR]]=0,0,Mecze[[#This Row],[BR]]/Mecze[[#This Row],[CZAS]])</f>
        <v>0</v>
      </c>
      <c r="S2865" s="44">
        <f>IF(Mecze[[#This Row],[Role]]="BR",SUMPRODUCT(Mecze[[#This Row],[/PR:90]:[/BR:90]],Brudnopis!$E$23:$J$23),0)</f>
        <v>0</v>
      </c>
      <c r="T2865" s="44">
        <f>IF(Mecze[[#This Row],[Role]]&lt;&gt;"BR",SUMPRODUCT(Mecze[[#This Row],[/PR:90]:[/BR:90]],Brudnopis!$E$24:$J$24),0)</f>
        <v>2.0833333333333332E-2</v>
      </c>
      <c r="U2865" s="44">
        <f>IF(Mecze[[#This Row],[Role]]&lt;&gt;"BR",SUMPRODUCT(Mecze[[#This Row],[/PR:90]:[/BR:90]],Brudnopis!$E$25:$J$25),0)</f>
        <v>2.6041666666666664E-2</v>
      </c>
      <c r="V2865" s="44">
        <f>IF(Mecze[[#This Row],[Role]]&lt;&gt;"BR",SUMPRODUCT(Mecze[[#This Row],[/PR:90]:[/BR:90]],Brudnopis!$E$26:$J$26),0)</f>
        <v>2.0833333333333332E-2</v>
      </c>
      <c r="W2865" s="44">
        <f>IF(Mecze[[#This Row],[Role]]&lt;&gt;"BR",SUMPRODUCT(Mecze[[#This Row],[/PR:90]:[/BR:90]],Brudnopis!$E$27:$J$27),0)</f>
        <v>2.34375E-2</v>
      </c>
      <c r="X2865" s="44">
        <f>IF(Mecze[[#This Row],[Role]]&lt;&gt;"BR",SUMPRODUCT(Mecze[[#This Row],[/PR:90]:[/BR:90]],Brudnopis!$E$28:$J$28),0)</f>
        <v>1.0416666666666666E-2</v>
      </c>
      <c r="Y2865" s="35">
        <f>IF(Mecze[[#This Row],[Role]]="BR",Mecze[[#This Row],[/OB:90]]+Mecze[[#This Row],[/PC:90]],SUM(Mecze[[#This Row],[/PR:90]:[/BR:90]]))</f>
        <v>2.0833333333333332E-2</v>
      </c>
      <c r="Z2865" s="35">
        <f>IF(Mecze[[#This Row],[KC]]=0,SUM(Mecze[[#This Row],[/BRI]:[/NPI]]),SUM(Mecze[[#This Row],[/BRI]:[/NPI]])*0.6)</f>
        <v>0.1015625</v>
      </c>
      <c r="AA2865" s="10">
        <f>IFERROR(Mecze[[#This Row],[BR]]/Mecze[[#This Row],[ST]],0)</f>
        <v>0</v>
      </c>
      <c r="AB2865">
        <f>ROUND(Mecze[[#This Row],[PD]]*Mecze[[#This Row],[%PC]],0)</f>
        <v>1</v>
      </c>
      <c r="AC2865">
        <f>ROUND(Mecze[[#This Row],[OD]]*Mecze[[#This Row],[%OU]],0)</f>
        <v>0</v>
      </c>
      <c r="AD2865" s="36" t="s">
        <v>175</v>
      </c>
      <c r="AE2865" s="36">
        <v>159</v>
      </c>
      <c r="AF2865" s="71">
        <v>-1.54</v>
      </c>
      <c r="AG2865" s="37">
        <v>0</v>
      </c>
      <c r="AH2865" s="37">
        <v>0</v>
      </c>
      <c r="AI2865" s="37">
        <v>96</v>
      </c>
      <c r="AJ2865" s="37">
        <v>2</v>
      </c>
      <c r="AK2865" s="37" t="str">
        <f>VLOOKUP(Mecze[[#This Row],[Match ID]],Meczusie[Mecz]:Meczusie[RodzajMeczu],2,FALSE)</f>
        <v>Liga</v>
      </c>
    </row>
    <row r="2866" spans="1:37" x14ac:dyDescent="0.25">
      <c r="A2866" s="76">
        <v>34</v>
      </c>
      <c r="B2866" s="3" t="s">
        <v>500</v>
      </c>
      <c r="C2866" s="2" t="s">
        <v>157</v>
      </c>
      <c r="D2866" s="1">
        <v>0</v>
      </c>
      <c r="E2866" s="1">
        <v>0</v>
      </c>
      <c r="F2866" s="1">
        <v>0</v>
      </c>
      <c r="G2866" s="1">
        <v>10</v>
      </c>
      <c r="H2866" s="4">
        <v>0.4</v>
      </c>
      <c r="I2866" s="1">
        <v>2</v>
      </c>
      <c r="J2866" s="4">
        <v>0</v>
      </c>
      <c r="K2866" s="1">
        <v>0</v>
      </c>
      <c r="L2866" s="1">
        <v>2</v>
      </c>
      <c r="M2866" s="32">
        <f>IF(Mecze[[#This Row],[PR]]=0,0,Mecze[[#This Row],[PR]]/Mecze[[#This Row],[CZAS]])</f>
        <v>2.0833333333333332E-2</v>
      </c>
      <c r="N2866" s="32">
        <f>IF(Mecze[[#This Row],[OU]]=0,0,Mecze[[#This Row],[OU]]/Mecze[[#This Row],[CZAS]])</f>
        <v>0</v>
      </c>
      <c r="O2866" s="32">
        <f>IF(Mecze[[#This Row],[PC]]=0,0,Mecze[[#This Row],[PC]]/Mecze[[#This Row],[CZAS]])</f>
        <v>4.1666666666666664E-2</v>
      </c>
      <c r="P2866" s="32">
        <f>IF(Mecze[[#This Row],[SC]]=0,0,Mecze[[#This Row],[SC]]/Mecze[[#This Row],[CZAS]])</f>
        <v>0</v>
      </c>
      <c r="Q2866" s="32">
        <f>IF(Mecze[[#This Row],[OB]]=0,0,Mecze[[#This Row],[OB]]/Mecze[[#This Row],[CZAS]])</f>
        <v>0</v>
      </c>
      <c r="R2866" s="32">
        <f>IF(Mecze[[#This Row],[BR]]=0,0,Mecze[[#This Row],[BR]]/Mecze[[#This Row],[CZAS]])</f>
        <v>0</v>
      </c>
      <c r="S2866" s="44">
        <f>IF(Mecze[[#This Row],[Role]]="BR",SUMPRODUCT(Mecze[[#This Row],[/PR:90]:[/BR:90]],Brudnopis!$E$23:$J$23),0)</f>
        <v>0</v>
      </c>
      <c r="T2866" s="44">
        <f>IF(Mecze[[#This Row],[Role]]&lt;&gt;"BR",SUMPRODUCT(Mecze[[#This Row],[/PR:90]:[/BR:90]],Brudnopis!$E$24:$J$24),0)</f>
        <v>6.25E-2</v>
      </c>
      <c r="U2866" s="44">
        <f>IF(Mecze[[#This Row],[Role]]&lt;&gt;"BR",SUMPRODUCT(Mecze[[#This Row],[/PR:90]:[/BR:90]],Brudnopis!$E$25:$J$25),0)</f>
        <v>8.3333333333333329E-2</v>
      </c>
      <c r="V2866" s="44">
        <f>IF(Mecze[[#This Row],[Role]]&lt;&gt;"BR",SUMPRODUCT(Mecze[[#This Row],[/PR:90]:[/BR:90]],Brudnopis!$E$26:$J$26),0)</f>
        <v>6.25E-2</v>
      </c>
      <c r="W2866" s="44">
        <f>IF(Mecze[[#This Row],[Role]]&lt;&gt;"BR",SUMPRODUCT(Mecze[[#This Row],[/PR:90]:[/BR:90]],Brudnopis!$E$27:$J$27),0)</f>
        <v>7.8125E-2</v>
      </c>
      <c r="X2866" s="44">
        <f>IF(Mecze[[#This Row],[Role]]&lt;&gt;"BR",SUMPRODUCT(Mecze[[#This Row],[/PR:90]:[/BR:90]],Brudnopis!$E$28:$J$28),0)</f>
        <v>4.1666666666666664E-2</v>
      </c>
      <c r="Y2866" s="35">
        <f>IF(Mecze[[#This Row],[Role]]="BR",Mecze[[#This Row],[/OB:90]]+Mecze[[#This Row],[/PC:90]],SUM(Mecze[[#This Row],[/PR:90]:[/BR:90]]))</f>
        <v>6.25E-2</v>
      </c>
      <c r="Z2866" s="35">
        <f>IF(Mecze[[#This Row],[KC]]=0,SUM(Mecze[[#This Row],[/BRI]:[/NPI]]),SUM(Mecze[[#This Row],[/BRI]:[/NPI]])*0.6)</f>
        <v>0.328125</v>
      </c>
      <c r="AA2866" s="10">
        <f>IFERROR(Mecze[[#This Row],[BR]]/Mecze[[#This Row],[ST]],0)</f>
        <v>0</v>
      </c>
      <c r="AB2866">
        <f>ROUND(Mecze[[#This Row],[PD]]*Mecze[[#This Row],[%PC]],0)</f>
        <v>4</v>
      </c>
      <c r="AC2866">
        <f>ROUND(Mecze[[#This Row],[OD]]*Mecze[[#This Row],[%OU]],0)</f>
        <v>0</v>
      </c>
      <c r="AD2866" s="36" t="s">
        <v>47</v>
      </c>
      <c r="AE2866" s="36">
        <v>159</v>
      </c>
      <c r="AF2866" s="71">
        <v>-1.33</v>
      </c>
      <c r="AG2866" s="37">
        <v>0</v>
      </c>
      <c r="AH2866" s="37">
        <v>0</v>
      </c>
      <c r="AI2866" s="37">
        <v>96</v>
      </c>
      <c r="AJ2866" s="37">
        <v>2</v>
      </c>
      <c r="AK2866" s="37" t="str">
        <f>VLOOKUP(Mecze[[#This Row],[Match ID]],Meczusie[Mecz]:Meczusie[RodzajMeczu],2,FALSE)</f>
        <v>Liga</v>
      </c>
    </row>
    <row r="2867" spans="1:37" x14ac:dyDescent="0.25">
      <c r="A2867" s="76">
        <v>72</v>
      </c>
      <c r="B2867" s="3" t="s">
        <v>488</v>
      </c>
      <c r="C2867" s="2" t="s">
        <v>160</v>
      </c>
      <c r="D2867" s="1">
        <v>0</v>
      </c>
      <c r="E2867" s="1">
        <v>0</v>
      </c>
      <c r="F2867" s="1">
        <v>0</v>
      </c>
      <c r="G2867" s="1">
        <v>1</v>
      </c>
      <c r="H2867" s="4">
        <v>1</v>
      </c>
      <c r="I2867" s="1">
        <v>0</v>
      </c>
      <c r="J2867" s="4"/>
      <c r="K2867" s="1">
        <v>0</v>
      </c>
      <c r="L2867" s="1">
        <v>1</v>
      </c>
      <c r="M2867" s="32">
        <f>IF(Mecze[[#This Row],[PR]]=0,0,Mecze[[#This Row],[PR]]/Mecze[[#This Row],[CZAS]])</f>
        <v>1.0416666666666666E-2</v>
      </c>
      <c r="N2867" s="32">
        <f>IF(Mecze[[#This Row],[OU]]=0,0,Mecze[[#This Row],[OU]]/Mecze[[#This Row],[CZAS]])</f>
        <v>0</v>
      </c>
      <c r="O2867" s="32">
        <f>IF(Mecze[[#This Row],[PC]]=0,0,Mecze[[#This Row],[PC]]/Mecze[[#This Row],[CZAS]])</f>
        <v>1.0416666666666666E-2</v>
      </c>
      <c r="P2867" s="32">
        <f>IF(Mecze[[#This Row],[SC]]=0,0,Mecze[[#This Row],[SC]]/Mecze[[#This Row],[CZAS]])</f>
        <v>0</v>
      </c>
      <c r="Q2867" s="32">
        <f>IF(Mecze[[#This Row],[OB]]=0,0,Mecze[[#This Row],[OB]]/Mecze[[#This Row],[CZAS]])</f>
        <v>0</v>
      </c>
      <c r="R2867" s="32">
        <f>IF(Mecze[[#This Row],[BR]]=0,0,Mecze[[#This Row],[BR]]/Mecze[[#This Row],[CZAS]])</f>
        <v>0</v>
      </c>
      <c r="S2867" s="44">
        <f>IF(Mecze[[#This Row],[Role]]="BR",SUMPRODUCT(Mecze[[#This Row],[/PR:90]:[/BR:90]],Brudnopis!$E$23:$J$23),0)</f>
        <v>0</v>
      </c>
      <c r="T2867" s="44">
        <f>IF(Mecze[[#This Row],[Role]]&lt;&gt;"BR",SUMPRODUCT(Mecze[[#This Row],[/PR:90]:[/BR:90]],Brudnopis!$E$24:$J$24),0)</f>
        <v>2.0833333333333332E-2</v>
      </c>
      <c r="U2867" s="44">
        <f>IF(Mecze[[#This Row],[Role]]&lt;&gt;"BR",SUMPRODUCT(Mecze[[#This Row],[/PR:90]:[/BR:90]],Brudnopis!$E$25:$J$25),0)</f>
        <v>2.6041666666666664E-2</v>
      </c>
      <c r="V2867" s="44">
        <f>IF(Mecze[[#This Row],[Role]]&lt;&gt;"BR",SUMPRODUCT(Mecze[[#This Row],[/PR:90]:[/BR:90]],Brudnopis!$E$26:$J$26),0)</f>
        <v>2.0833333333333332E-2</v>
      </c>
      <c r="W2867" s="44">
        <f>IF(Mecze[[#This Row],[Role]]&lt;&gt;"BR",SUMPRODUCT(Mecze[[#This Row],[/PR:90]:[/BR:90]],Brudnopis!$E$27:$J$27),0)</f>
        <v>2.34375E-2</v>
      </c>
      <c r="X2867" s="44">
        <f>IF(Mecze[[#This Row],[Role]]&lt;&gt;"BR",SUMPRODUCT(Mecze[[#This Row],[/PR:90]:[/BR:90]],Brudnopis!$E$28:$J$28),0)</f>
        <v>1.0416666666666666E-2</v>
      </c>
      <c r="Y2867" s="35">
        <f>IF(Mecze[[#This Row],[Role]]="BR",Mecze[[#This Row],[/OB:90]]+Mecze[[#This Row],[/PC:90]],SUM(Mecze[[#This Row],[/PR:90]:[/BR:90]]))</f>
        <v>2.0833333333333332E-2</v>
      </c>
      <c r="Z2867" s="35">
        <f>IF(Mecze[[#This Row],[KC]]=0,SUM(Mecze[[#This Row],[/BRI]:[/NPI]]),SUM(Mecze[[#This Row],[/BRI]:[/NPI]])*0.6)</f>
        <v>0.1015625</v>
      </c>
      <c r="AA2867" s="10">
        <f>IFERROR(Mecze[[#This Row],[BR]]/Mecze[[#This Row],[ST]],0)</f>
        <v>0</v>
      </c>
      <c r="AB2867">
        <f>ROUND(Mecze[[#This Row],[PD]]*Mecze[[#This Row],[%PC]],0)</f>
        <v>1</v>
      </c>
      <c r="AC2867">
        <f>ROUND(Mecze[[#This Row],[OD]]*Mecze[[#This Row],[%OU]],0)</f>
        <v>0</v>
      </c>
      <c r="AD2867" s="36" t="s">
        <v>319</v>
      </c>
      <c r="AE2867" s="36">
        <v>159</v>
      </c>
      <c r="AF2867" s="71">
        <v>2.91</v>
      </c>
      <c r="AG2867" s="37">
        <v>0</v>
      </c>
      <c r="AH2867" s="37">
        <v>0</v>
      </c>
      <c r="AI2867" s="37">
        <v>96</v>
      </c>
      <c r="AJ2867" s="37">
        <v>2</v>
      </c>
      <c r="AK2867" s="37" t="str">
        <f>VLOOKUP(Mecze[[#This Row],[Match ID]],Meczusie[Mecz]:Meczusie[RodzajMeczu],2,FALSE)</f>
        <v>Liga</v>
      </c>
    </row>
    <row r="2868" spans="1:37" x14ac:dyDescent="0.25">
      <c r="A2868" s="76">
        <v>31</v>
      </c>
      <c r="B2868" s="3" t="s">
        <v>501</v>
      </c>
      <c r="C2868" s="2" t="s">
        <v>160</v>
      </c>
      <c r="D2868" s="1">
        <v>0</v>
      </c>
      <c r="E2868" s="1">
        <v>0</v>
      </c>
      <c r="F2868" s="1">
        <v>0</v>
      </c>
      <c r="G2868" s="1">
        <v>10</v>
      </c>
      <c r="H2868" s="4">
        <v>0.3</v>
      </c>
      <c r="I2868" s="1">
        <v>3</v>
      </c>
      <c r="J2868" s="4">
        <v>0.33</v>
      </c>
      <c r="K2868" s="1">
        <v>0</v>
      </c>
      <c r="L2868" s="1">
        <v>2</v>
      </c>
      <c r="M2868" s="32">
        <f>IF(Mecze[[#This Row],[PR]]=0,0,Mecze[[#This Row],[PR]]/Mecze[[#This Row],[CZAS]])</f>
        <v>2.0833333333333332E-2</v>
      </c>
      <c r="N2868" s="32">
        <f>IF(Mecze[[#This Row],[OU]]=0,0,Mecze[[#This Row],[OU]]/Mecze[[#This Row],[CZAS]])</f>
        <v>1.0416666666666666E-2</v>
      </c>
      <c r="O2868" s="32">
        <f>IF(Mecze[[#This Row],[PC]]=0,0,Mecze[[#This Row],[PC]]/Mecze[[#This Row],[CZAS]])</f>
        <v>3.125E-2</v>
      </c>
      <c r="P2868" s="32">
        <f>IF(Mecze[[#This Row],[SC]]=0,0,Mecze[[#This Row],[SC]]/Mecze[[#This Row],[CZAS]])</f>
        <v>0</v>
      </c>
      <c r="Q2868" s="32">
        <f>IF(Mecze[[#This Row],[OB]]=0,0,Mecze[[#This Row],[OB]]/Mecze[[#This Row],[CZAS]])</f>
        <v>0</v>
      </c>
      <c r="R2868" s="32">
        <f>IF(Mecze[[#This Row],[BR]]=0,0,Mecze[[#This Row],[BR]]/Mecze[[#This Row],[CZAS]])</f>
        <v>0</v>
      </c>
      <c r="S2868" s="44">
        <f>IF(Mecze[[#This Row],[Role]]="BR",SUMPRODUCT(Mecze[[#This Row],[/PR:90]:[/BR:90]],Brudnopis!$E$23:$J$23),0)</f>
        <v>0</v>
      </c>
      <c r="T2868" s="44">
        <f>IF(Mecze[[#This Row],[Role]]&lt;&gt;"BR",SUMPRODUCT(Mecze[[#This Row],[/PR:90]:[/BR:90]],Brudnopis!$E$24:$J$24),0)</f>
        <v>6.7708333333333329E-2</v>
      </c>
      <c r="U2868" s="44">
        <f>IF(Mecze[[#This Row],[Role]]&lt;&gt;"BR",SUMPRODUCT(Mecze[[#This Row],[/PR:90]:[/BR:90]],Brudnopis!$E$25:$J$25),0)</f>
        <v>7.8125E-2</v>
      </c>
      <c r="V2868" s="44">
        <f>IF(Mecze[[#This Row],[Role]]&lt;&gt;"BR",SUMPRODUCT(Mecze[[#This Row],[/PR:90]:[/BR:90]],Brudnopis!$E$26:$J$26),0)</f>
        <v>6.25E-2</v>
      </c>
      <c r="W2868" s="44">
        <f>IF(Mecze[[#This Row],[Role]]&lt;&gt;"BR",SUMPRODUCT(Mecze[[#This Row],[/PR:90]:[/BR:90]],Brudnopis!$E$27:$J$27),0)</f>
        <v>7.03125E-2</v>
      </c>
      <c r="X2868" s="44">
        <f>IF(Mecze[[#This Row],[Role]]&lt;&gt;"BR",SUMPRODUCT(Mecze[[#This Row],[/PR:90]:[/BR:90]],Brudnopis!$E$28:$J$28),0)</f>
        <v>3.125E-2</v>
      </c>
      <c r="Y2868" s="35">
        <f>IF(Mecze[[#This Row],[Role]]="BR",Mecze[[#This Row],[/OB:90]]+Mecze[[#This Row],[/PC:90]],SUM(Mecze[[#This Row],[/PR:90]:[/BR:90]]))</f>
        <v>6.25E-2</v>
      </c>
      <c r="Z2868" s="35">
        <f>IF(Mecze[[#This Row],[KC]]=0,SUM(Mecze[[#This Row],[/BRI]:[/NPI]]),SUM(Mecze[[#This Row],[/BRI]:[/NPI]])*0.6)</f>
        <v>0.30989583333333331</v>
      </c>
      <c r="AA2868" s="10">
        <f>IFERROR(Mecze[[#This Row],[BR]]/Mecze[[#This Row],[ST]],0)</f>
        <v>0</v>
      </c>
      <c r="AB2868">
        <f>ROUND(Mecze[[#This Row],[PD]]*Mecze[[#This Row],[%PC]],0)</f>
        <v>3</v>
      </c>
      <c r="AC2868">
        <f>ROUND(Mecze[[#This Row],[OD]]*Mecze[[#This Row],[%OU]],0)</f>
        <v>1</v>
      </c>
      <c r="AD2868" s="36" t="s">
        <v>67</v>
      </c>
      <c r="AE2868" s="36">
        <v>159</v>
      </c>
      <c r="AF2868" s="71">
        <v>3.12</v>
      </c>
      <c r="AG2868" s="37">
        <v>0</v>
      </c>
      <c r="AH2868" s="37">
        <v>0</v>
      </c>
      <c r="AI2868" s="37">
        <v>96</v>
      </c>
      <c r="AJ2868" s="37">
        <v>2</v>
      </c>
      <c r="AK2868" s="37" t="str">
        <f>VLOOKUP(Mecze[[#This Row],[Match ID]],Meczusie[Mecz]:Meczusie[RodzajMeczu],2,FALSE)</f>
        <v>Liga</v>
      </c>
    </row>
    <row r="2869" spans="1:37" x14ac:dyDescent="0.25">
      <c r="A2869" s="76">
        <v>47</v>
      </c>
      <c r="B2869" s="3" t="s">
        <v>502</v>
      </c>
      <c r="C2869" s="2" t="s">
        <v>160</v>
      </c>
      <c r="D2869" s="1">
        <v>0</v>
      </c>
      <c r="E2869" s="1">
        <v>0</v>
      </c>
      <c r="F2869" s="1">
        <v>0</v>
      </c>
      <c r="G2869" s="1">
        <v>2</v>
      </c>
      <c r="H2869" s="4">
        <v>0.5</v>
      </c>
      <c r="I2869" s="1">
        <v>2</v>
      </c>
      <c r="J2869" s="4">
        <v>0</v>
      </c>
      <c r="K2869" s="1">
        <v>0</v>
      </c>
      <c r="L2869" s="1">
        <v>1</v>
      </c>
      <c r="M2869" s="32">
        <f>IF(Mecze[[#This Row],[PR]]=0,0,Mecze[[#This Row],[PR]]/Mecze[[#This Row],[CZAS]])</f>
        <v>1.0416666666666666E-2</v>
      </c>
      <c r="N2869" s="32">
        <f>IF(Mecze[[#This Row],[OU]]=0,0,Mecze[[#This Row],[OU]]/Mecze[[#This Row],[CZAS]])</f>
        <v>0</v>
      </c>
      <c r="O2869" s="32">
        <f>IF(Mecze[[#This Row],[PC]]=0,0,Mecze[[#This Row],[PC]]/Mecze[[#This Row],[CZAS]])</f>
        <v>1.0416666666666666E-2</v>
      </c>
      <c r="P2869" s="32">
        <f>IF(Mecze[[#This Row],[SC]]=0,0,Mecze[[#This Row],[SC]]/Mecze[[#This Row],[CZAS]])</f>
        <v>0</v>
      </c>
      <c r="Q2869" s="32">
        <f>IF(Mecze[[#This Row],[OB]]=0,0,Mecze[[#This Row],[OB]]/Mecze[[#This Row],[CZAS]])</f>
        <v>0</v>
      </c>
      <c r="R2869" s="32">
        <f>IF(Mecze[[#This Row],[BR]]=0,0,Mecze[[#This Row],[BR]]/Mecze[[#This Row],[CZAS]])</f>
        <v>0</v>
      </c>
      <c r="S2869" s="44">
        <f>IF(Mecze[[#This Row],[Role]]="BR",SUMPRODUCT(Mecze[[#This Row],[/PR:90]:[/BR:90]],Brudnopis!$E$23:$J$23),0)</f>
        <v>0</v>
      </c>
      <c r="T2869" s="44">
        <f>IF(Mecze[[#This Row],[Role]]&lt;&gt;"BR",SUMPRODUCT(Mecze[[#This Row],[/PR:90]:[/BR:90]],Brudnopis!$E$24:$J$24),0)</f>
        <v>2.0833333333333332E-2</v>
      </c>
      <c r="U2869" s="44">
        <f>IF(Mecze[[#This Row],[Role]]&lt;&gt;"BR",SUMPRODUCT(Mecze[[#This Row],[/PR:90]:[/BR:90]],Brudnopis!$E$25:$J$25),0)</f>
        <v>2.6041666666666664E-2</v>
      </c>
      <c r="V2869" s="44">
        <f>IF(Mecze[[#This Row],[Role]]&lt;&gt;"BR",SUMPRODUCT(Mecze[[#This Row],[/PR:90]:[/BR:90]],Brudnopis!$E$26:$J$26),0)</f>
        <v>2.0833333333333332E-2</v>
      </c>
      <c r="W2869" s="44">
        <f>IF(Mecze[[#This Row],[Role]]&lt;&gt;"BR",SUMPRODUCT(Mecze[[#This Row],[/PR:90]:[/BR:90]],Brudnopis!$E$27:$J$27),0)</f>
        <v>2.34375E-2</v>
      </c>
      <c r="X2869" s="44">
        <f>IF(Mecze[[#This Row],[Role]]&lt;&gt;"BR",SUMPRODUCT(Mecze[[#This Row],[/PR:90]:[/BR:90]],Brudnopis!$E$28:$J$28),0)</f>
        <v>1.0416666666666666E-2</v>
      </c>
      <c r="Y2869" s="35">
        <f>IF(Mecze[[#This Row],[Role]]="BR",Mecze[[#This Row],[/OB:90]]+Mecze[[#This Row],[/PC:90]],SUM(Mecze[[#This Row],[/PR:90]:[/BR:90]]))</f>
        <v>2.0833333333333332E-2</v>
      </c>
      <c r="Z2869" s="35">
        <f>IF(Mecze[[#This Row],[KC]]=0,SUM(Mecze[[#This Row],[/BRI]:[/NPI]]),SUM(Mecze[[#This Row],[/BRI]:[/NPI]])*0.6)</f>
        <v>0.1015625</v>
      </c>
      <c r="AA2869" s="10">
        <f>IFERROR(Mecze[[#This Row],[BR]]/Mecze[[#This Row],[ST]],0)</f>
        <v>0</v>
      </c>
      <c r="AB2869">
        <f>ROUND(Mecze[[#This Row],[PD]]*Mecze[[#This Row],[%PC]],0)</f>
        <v>1</v>
      </c>
      <c r="AC2869">
        <f>ROUND(Mecze[[#This Row],[OD]]*Mecze[[#This Row],[%OU]],0)</f>
        <v>0</v>
      </c>
      <c r="AD2869" s="36" t="s">
        <v>318</v>
      </c>
      <c r="AE2869" s="36">
        <v>159</v>
      </c>
      <c r="AF2869" s="71">
        <v>2.91</v>
      </c>
      <c r="AG2869" s="37">
        <v>0</v>
      </c>
      <c r="AH2869" s="37">
        <v>0</v>
      </c>
      <c r="AI2869" s="37">
        <v>96</v>
      </c>
      <c r="AJ2869" s="37">
        <v>2</v>
      </c>
      <c r="AK2869" s="37" t="str">
        <f>VLOOKUP(Mecze[[#This Row],[Match ID]],Meczusie[Mecz]:Meczusie[RodzajMeczu],2,FALSE)</f>
        <v>Liga</v>
      </c>
    </row>
    <row r="2870" spans="1:37" x14ac:dyDescent="0.25">
      <c r="A2870" s="76">
        <v>43</v>
      </c>
      <c r="B2870" s="3" t="s">
        <v>503</v>
      </c>
      <c r="C2870" s="2" t="s">
        <v>160</v>
      </c>
      <c r="D2870" s="1">
        <v>0</v>
      </c>
      <c r="E2870" s="1">
        <v>0</v>
      </c>
      <c r="F2870" s="1">
        <v>0</v>
      </c>
      <c r="G2870" s="1">
        <v>5</v>
      </c>
      <c r="H2870" s="4">
        <v>0.2</v>
      </c>
      <c r="I2870" s="1">
        <v>8</v>
      </c>
      <c r="J2870" s="4">
        <v>0.25</v>
      </c>
      <c r="K2870" s="1">
        <v>0</v>
      </c>
      <c r="L2870" s="1">
        <v>0</v>
      </c>
      <c r="M2870" s="32">
        <f>IF(Mecze[[#This Row],[PR]]=0,0,Mecze[[#This Row],[PR]]/Mecze[[#This Row],[CZAS]])</f>
        <v>0</v>
      </c>
      <c r="N2870" s="32">
        <f>IF(Mecze[[#This Row],[OU]]=0,0,Mecze[[#This Row],[OU]]/Mecze[[#This Row],[CZAS]])</f>
        <v>2.0833333333333332E-2</v>
      </c>
      <c r="O2870" s="32">
        <f>IF(Mecze[[#This Row],[PC]]=0,0,Mecze[[#This Row],[PC]]/Mecze[[#This Row],[CZAS]])</f>
        <v>1.0416666666666666E-2</v>
      </c>
      <c r="P2870" s="32">
        <f>IF(Mecze[[#This Row],[SC]]=0,0,Mecze[[#This Row],[SC]]/Mecze[[#This Row],[CZAS]])</f>
        <v>0</v>
      </c>
      <c r="Q2870" s="32">
        <f>IF(Mecze[[#This Row],[OB]]=0,0,Mecze[[#This Row],[OB]]/Mecze[[#This Row],[CZAS]])</f>
        <v>0</v>
      </c>
      <c r="R2870" s="32">
        <f>IF(Mecze[[#This Row],[BR]]=0,0,Mecze[[#This Row],[BR]]/Mecze[[#This Row],[CZAS]])</f>
        <v>0</v>
      </c>
      <c r="S2870" s="44">
        <f>IF(Mecze[[#This Row],[Role]]="BR",SUMPRODUCT(Mecze[[#This Row],[/PR:90]:[/BR:90]],Brudnopis!$E$23:$J$23),0)</f>
        <v>0</v>
      </c>
      <c r="T2870" s="44">
        <f>IF(Mecze[[#This Row],[Role]]&lt;&gt;"BR",SUMPRODUCT(Mecze[[#This Row],[/PR:90]:[/BR:90]],Brudnopis!$E$24:$J$24),0)</f>
        <v>4.1666666666666664E-2</v>
      </c>
      <c r="U2870" s="44">
        <f>IF(Mecze[[#This Row],[Role]]&lt;&gt;"BR",SUMPRODUCT(Mecze[[#This Row],[/PR:90]:[/BR:90]],Brudnopis!$E$25:$J$25),0)</f>
        <v>3.6458333333333329E-2</v>
      </c>
      <c r="V2870" s="44">
        <f>IF(Mecze[[#This Row],[Role]]&lt;&gt;"BR",SUMPRODUCT(Mecze[[#This Row],[/PR:90]:[/BR:90]],Brudnopis!$E$26:$J$26),0)</f>
        <v>3.125E-2</v>
      </c>
      <c r="W2870" s="44">
        <f>IF(Mecze[[#This Row],[Role]]&lt;&gt;"BR",SUMPRODUCT(Mecze[[#This Row],[/PR:90]:[/BR:90]],Brudnopis!$E$27:$J$27),0)</f>
        <v>3.125E-2</v>
      </c>
      <c r="X2870" s="44">
        <f>IF(Mecze[[#This Row],[Role]]&lt;&gt;"BR",SUMPRODUCT(Mecze[[#This Row],[/PR:90]:[/BR:90]],Brudnopis!$E$28:$J$28),0)</f>
        <v>1.0416666666666666E-2</v>
      </c>
      <c r="Y2870" s="35">
        <f>IF(Mecze[[#This Row],[Role]]="BR",Mecze[[#This Row],[/OB:90]]+Mecze[[#This Row],[/PC:90]],SUM(Mecze[[#This Row],[/PR:90]:[/BR:90]]))</f>
        <v>3.125E-2</v>
      </c>
      <c r="Z2870" s="35">
        <f>IF(Mecze[[#This Row],[KC]]=0,SUM(Mecze[[#This Row],[/BRI]:[/NPI]]),SUM(Mecze[[#This Row],[/BRI]:[/NPI]])*0.6)</f>
        <v>0.15104166666666666</v>
      </c>
      <c r="AA2870" s="10">
        <f>IFERROR(Mecze[[#This Row],[BR]]/Mecze[[#This Row],[ST]],0)</f>
        <v>0</v>
      </c>
      <c r="AB2870">
        <f>ROUND(Mecze[[#This Row],[PD]]*Mecze[[#This Row],[%PC]],0)</f>
        <v>1</v>
      </c>
      <c r="AC2870">
        <f>ROUND(Mecze[[#This Row],[OD]]*Mecze[[#This Row],[%OU]],0)</f>
        <v>2</v>
      </c>
      <c r="AD2870" s="36" t="s">
        <v>67</v>
      </c>
      <c r="AE2870" s="36">
        <v>159</v>
      </c>
      <c r="AF2870" s="71">
        <v>1.59</v>
      </c>
      <c r="AG2870" s="37">
        <v>1</v>
      </c>
      <c r="AH2870" s="37">
        <v>0</v>
      </c>
      <c r="AI2870" s="37">
        <v>96</v>
      </c>
      <c r="AJ2870" s="37">
        <v>2</v>
      </c>
      <c r="AK2870" s="37" t="str">
        <f>VLOOKUP(Mecze[[#This Row],[Match ID]],Meczusie[Mecz]:Meczusie[RodzajMeczu],2,FALSE)</f>
        <v>Liga</v>
      </c>
    </row>
    <row r="2871" spans="1:37" x14ac:dyDescent="0.25">
      <c r="A2871" s="76">
        <v>70</v>
      </c>
      <c r="B2871" s="3" t="s">
        <v>365</v>
      </c>
      <c r="C2871" s="2" t="s">
        <v>165</v>
      </c>
      <c r="D2871" s="1">
        <v>0</v>
      </c>
      <c r="E2871" s="1">
        <v>1</v>
      </c>
      <c r="F2871" s="1">
        <v>0</v>
      </c>
      <c r="G2871" s="1">
        <v>4</v>
      </c>
      <c r="H2871" s="4">
        <v>0.75</v>
      </c>
      <c r="I2871" s="1">
        <v>0</v>
      </c>
      <c r="J2871" s="4"/>
      <c r="K2871" s="1">
        <v>0</v>
      </c>
      <c r="L2871" s="1">
        <v>1</v>
      </c>
      <c r="M2871" s="32">
        <f>IF(Mecze[[#This Row],[PR]]=0,0,Mecze[[#This Row],[PR]]/Mecze[[#This Row],[CZAS]])</f>
        <v>1.0416666666666666E-2</v>
      </c>
      <c r="N2871" s="32">
        <f>IF(Mecze[[#This Row],[OU]]=0,0,Mecze[[#This Row],[OU]]/Mecze[[#This Row],[CZAS]])</f>
        <v>0</v>
      </c>
      <c r="O2871" s="32">
        <f>IF(Mecze[[#This Row],[PC]]=0,0,Mecze[[#This Row],[PC]]/Mecze[[#This Row],[CZAS]])</f>
        <v>3.125E-2</v>
      </c>
      <c r="P2871" s="32">
        <f>IF(Mecze[[#This Row],[SC]]=0,0,Mecze[[#This Row],[SC]]/Mecze[[#This Row],[CZAS]])</f>
        <v>0</v>
      </c>
      <c r="Q2871" s="32">
        <f>IF(Mecze[[#This Row],[OB]]=0,0,Mecze[[#This Row],[OB]]/Mecze[[#This Row],[CZAS]])</f>
        <v>0</v>
      </c>
      <c r="R2871" s="32">
        <f>IF(Mecze[[#This Row],[BR]]=0,0,Mecze[[#This Row],[BR]]/Mecze[[#This Row],[CZAS]])</f>
        <v>0</v>
      </c>
      <c r="S2871" s="44">
        <f>IF(Mecze[[#This Row],[Role]]="BR",SUMPRODUCT(Mecze[[#This Row],[/PR:90]:[/BR:90]],Brudnopis!$E$23:$J$23),0)</f>
        <v>0</v>
      </c>
      <c r="T2871" s="44">
        <f>IF(Mecze[[#This Row],[Role]]&lt;&gt;"BR",SUMPRODUCT(Mecze[[#This Row],[/PR:90]:[/BR:90]],Brudnopis!$E$24:$J$24),0)</f>
        <v>4.1666666666666664E-2</v>
      </c>
      <c r="U2871" s="44">
        <f>IF(Mecze[[#This Row],[Role]]&lt;&gt;"BR",SUMPRODUCT(Mecze[[#This Row],[/PR:90]:[/BR:90]],Brudnopis!$E$25:$J$25),0)</f>
        <v>5.7291666666666664E-2</v>
      </c>
      <c r="V2871" s="44">
        <f>IF(Mecze[[#This Row],[Role]]&lt;&gt;"BR",SUMPRODUCT(Mecze[[#This Row],[/PR:90]:[/BR:90]],Brudnopis!$E$26:$J$26),0)</f>
        <v>4.1666666666666664E-2</v>
      </c>
      <c r="W2871" s="44">
        <f>IF(Mecze[[#This Row],[Role]]&lt;&gt;"BR",SUMPRODUCT(Mecze[[#This Row],[/PR:90]:[/BR:90]],Brudnopis!$E$27:$J$27),0)</f>
        <v>5.46875E-2</v>
      </c>
      <c r="X2871" s="44">
        <f>IF(Mecze[[#This Row],[Role]]&lt;&gt;"BR",SUMPRODUCT(Mecze[[#This Row],[/PR:90]:[/BR:90]],Brudnopis!$E$28:$J$28),0)</f>
        <v>3.125E-2</v>
      </c>
      <c r="Y2871" s="35">
        <f>IF(Mecze[[#This Row],[Role]]="BR",Mecze[[#This Row],[/OB:90]]+Mecze[[#This Row],[/PC:90]],SUM(Mecze[[#This Row],[/PR:90]:[/BR:90]]))</f>
        <v>4.1666666666666664E-2</v>
      </c>
      <c r="Z2871" s="35">
        <f>IF(Mecze[[#This Row],[KC]]=0,SUM(Mecze[[#This Row],[/BRI]:[/NPI]]),SUM(Mecze[[#This Row],[/BRI]:[/NPI]])*0.6)</f>
        <v>0.2265625</v>
      </c>
      <c r="AA2871" s="10">
        <f>IFERROR(Mecze[[#This Row],[BR]]/Mecze[[#This Row],[ST]],0)</f>
        <v>0</v>
      </c>
      <c r="AB2871">
        <f>ROUND(Mecze[[#This Row],[PD]]*Mecze[[#This Row],[%PC]],0)</f>
        <v>3</v>
      </c>
      <c r="AC2871">
        <f>ROUND(Mecze[[#This Row],[OD]]*Mecze[[#This Row],[%OU]],0)</f>
        <v>0</v>
      </c>
      <c r="AD2871" s="36" t="s">
        <v>273</v>
      </c>
      <c r="AE2871" s="36">
        <v>159</v>
      </c>
      <c r="AF2871" s="71">
        <v>2.71</v>
      </c>
      <c r="AG2871" s="37">
        <v>0</v>
      </c>
      <c r="AH2871" s="37">
        <v>0</v>
      </c>
      <c r="AI2871" s="37">
        <v>96</v>
      </c>
      <c r="AJ2871" s="37">
        <v>2</v>
      </c>
      <c r="AK2871" s="37" t="str">
        <f>VLOOKUP(Mecze[[#This Row],[Match ID]],Meczusie[Mecz]:Meczusie[RodzajMeczu],2,FALSE)</f>
        <v>Liga</v>
      </c>
    </row>
    <row r="2872" spans="1:37" x14ac:dyDescent="0.25">
      <c r="A2872" s="76">
        <v>39</v>
      </c>
      <c r="B2872" s="3" t="s">
        <v>511</v>
      </c>
      <c r="C2872" s="2" t="s">
        <v>165</v>
      </c>
      <c r="D2872" s="1">
        <v>0</v>
      </c>
      <c r="E2872" s="1">
        <v>1</v>
      </c>
      <c r="F2872" s="1">
        <v>1</v>
      </c>
      <c r="G2872" s="1">
        <v>6</v>
      </c>
      <c r="H2872" s="4">
        <v>0.5</v>
      </c>
      <c r="I2872" s="1">
        <v>2</v>
      </c>
      <c r="J2872" s="4">
        <v>0</v>
      </c>
      <c r="K2872" s="1">
        <v>0</v>
      </c>
      <c r="L2872" s="1">
        <v>0</v>
      </c>
      <c r="M2872" s="32">
        <f>IF(Mecze[[#This Row],[PR]]=0,0,Mecze[[#This Row],[PR]]/Mecze[[#This Row],[CZAS]])</f>
        <v>0</v>
      </c>
      <c r="N2872" s="32">
        <f>IF(Mecze[[#This Row],[OU]]=0,0,Mecze[[#This Row],[OU]]/Mecze[[#This Row],[CZAS]])</f>
        <v>0</v>
      </c>
      <c r="O2872" s="32">
        <f>IF(Mecze[[#This Row],[PC]]=0,0,Mecze[[#This Row],[PC]]/Mecze[[#This Row],[CZAS]])</f>
        <v>3.125E-2</v>
      </c>
      <c r="P2872" s="32">
        <f>IF(Mecze[[#This Row],[SC]]=0,0,Mecze[[#This Row],[SC]]/Mecze[[#This Row],[CZAS]])</f>
        <v>1.0416666666666666E-2</v>
      </c>
      <c r="Q2872" s="32">
        <f>IF(Mecze[[#This Row],[OB]]=0,0,Mecze[[#This Row],[OB]]/Mecze[[#This Row],[CZAS]])</f>
        <v>0</v>
      </c>
      <c r="R2872" s="32">
        <f>IF(Mecze[[#This Row],[BR]]=0,0,Mecze[[#This Row],[BR]]/Mecze[[#This Row],[CZAS]])</f>
        <v>0</v>
      </c>
      <c r="S2872" s="44">
        <f>IF(Mecze[[#This Row],[Role]]="BR",SUMPRODUCT(Mecze[[#This Row],[/PR:90]:[/BR:90]],Brudnopis!$E$23:$J$23),0)</f>
        <v>0</v>
      </c>
      <c r="T2872" s="44">
        <f>IF(Mecze[[#This Row],[Role]]&lt;&gt;"BR",SUMPRODUCT(Mecze[[#This Row],[/PR:90]:[/BR:90]],Brudnopis!$E$24:$J$24),0)</f>
        <v>4.1666666666666664E-2</v>
      </c>
      <c r="U2872" s="44">
        <f>IF(Mecze[[#This Row],[Role]]&lt;&gt;"BR",SUMPRODUCT(Mecze[[#This Row],[/PR:90]:[/BR:90]],Brudnopis!$E$25:$J$25),0)</f>
        <v>5.7291666666666664E-2</v>
      </c>
      <c r="V2872" s="44">
        <f>IF(Mecze[[#This Row],[Role]]&lt;&gt;"BR",SUMPRODUCT(Mecze[[#This Row],[/PR:90]:[/BR:90]],Brudnopis!$E$26:$J$26),0)</f>
        <v>4.1666666666666664E-2</v>
      </c>
      <c r="W2872" s="44">
        <f>IF(Mecze[[#This Row],[Role]]&lt;&gt;"BR",SUMPRODUCT(Mecze[[#This Row],[/PR:90]:[/BR:90]],Brudnopis!$E$27:$J$27),0)</f>
        <v>5.7291666666666664E-2</v>
      </c>
      <c r="X2872" s="44">
        <f>IF(Mecze[[#This Row],[Role]]&lt;&gt;"BR",SUMPRODUCT(Mecze[[#This Row],[/PR:90]:[/BR:90]],Brudnopis!$E$28:$J$28),0)</f>
        <v>5.2083333333333329E-2</v>
      </c>
      <c r="Y2872" s="35">
        <f>IF(Mecze[[#This Row],[Role]]="BR",Mecze[[#This Row],[/OB:90]]+Mecze[[#This Row],[/PC:90]],SUM(Mecze[[#This Row],[/PR:90]:[/BR:90]]))</f>
        <v>4.1666666666666664E-2</v>
      </c>
      <c r="Z2872" s="35">
        <f>IF(Mecze[[#This Row],[KC]]=0,SUM(Mecze[[#This Row],[/BRI]:[/NPI]]),SUM(Mecze[[#This Row],[/BRI]:[/NPI]])*0.6)</f>
        <v>0.25</v>
      </c>
      <c r="AA2872" s="10">
        <f>IFERROR(Mecze[[#This Row],[BR]]/Mecze[[#This Row],[ST]],0)</f>
        <v>0</v>
      </c>
      <c r="AB2872">
        <f>ROUND(Mecze[[#This Row],[PD]]*Mecze[[#This Row],[%PC]],0)</f>
        <v>3</v>
      </c>
      <c r="AC2872">
        <f>ROUND(Mecze[[#This Row],[OD]]*Mecze[[#This Row],[%OU]],0)</f>
        <v>0</v>
      </c>
      <c r="AD2872" s="36" t="s">
        <v>272</v>
      </c>
      <c r="AE2872" s="36">
        <v>159</v>
      </c>
      <c r="AF2872" s="71">
        <v>4.26</v>
      </c>
      <c r="AG2872" s="37">
        <v>0</v>
      </c>
      <c r="AH2872" s="37">
        <v>0</v>
      </c>
      <c r="AI2872" s="37">
        <v>96</v>
      </c>
      <c r="AJ2872" s="37">
        <v>2</v>
      </c>
      <c r="AK2872" s="37" t="str">
        <f>VLOOKUP(Mecze[[#This Row],[Match ID]],Meczusie[Mecz]:Meczusie[RodzajMeczu],2,FALSE)</f>
        <v>Liga</v>
      </c>
    </row>
    <row r="2873" spans="1:37" x14ac:dyDescent="0.25">
      <c r="A2873" s="76">
        <v>1</v>
      </c>
      <c r="B2873" s="3" t="s">
        <v>236</v>
      </c>
      <c r="C2873" s="2" t="s">
        <v>155</v>
      </c>
      <c r="D2873" s="1">
        <v>0</v>
      </c>
      <c r="E2873" s="1">
        <v>0</v>
      </c>
      <c r="F2873" s="1">
        <v>0</v>
      </c>
      <c r="G2873" s="1">
        <v>0</v>
      </c>
      <c r="H2873" s="72"/>
      <c r="I2873" s="1">
        <v>0</v>
      </c>
      <c r="J2873" s="4"/>
      <c r="K2873" s="1">
        <v>0</v>
      </c>
      <c r="L2873" s="1">
        <v>0</v>
      </c>
      <c r="M2873" s="32">
        <f>IF(Mecze[[#This Row],[PR]]=0,0,Mecze[[#This Row],[PR]]/Mecze[[#This Row],[CZAS]])</f>
        <v>0</v>
      </c>
      <c r="N2873" s="32">
        <f>IF(Mecze[[#This Row],[OU]]=0,0,Mecze[[#This Row],[OU]]/Mecze[[#This Row],[CZAS]])</f>
        <v>0</v>
      </c>
      <c r="O2873" s="32">
        <f>IF(Mecze[[#This Row],[PC]]=0,0,Mecze[[#This Row],[PC]]/Mecze[[#This Row],[CZAS]])</f>
        <v>0</v>
      </c>
      <c r="P2873" s="32">
        <f>IF(Mecze[[#This Row],[SC]]=0,0,Mecze[[#This Row],[SC]]/Mecze[[#This Row],[CZAS]])</f>
        <v>0</v>
      </c>
      <c r="Q2873" s="32">
        <f>IF(Mecze[[#This Row],[OB]]=0,0,Mecze[[#This Row],[OB]]/Mecze[[#This Row],[CZAS]])</f>
        <v>0</v>
      </c>
      <c r="R2873" s="32">
        <f>IF(Mecze[[#This Row],[BR]]=0,0,Mecze[[#This Row],[BR]]/Mecze[[#This Row],[CZAS]])</f>
        <v>0</v>
      </c>
      <c r="S2873" s="44">
        <f>IF(Mecze[[#This Row],[Role]]="BR",SUMPRODUCT(Mecze[[#This Row],[/PR:90]:[/BR:90]],Brudnopis!$E$23:$J$23),0)</f>
        <v>0</v>
      </c>
      <c r="T2873" s="44">
        <f>IF(Mecze[[#This Row],[Role]]&lt;&gt;"BR",SUMPRODUCT(Mecze[[#This Row],[/PR:90]:[/BR:90]],Brudnopis!$E$24:$J$24),0)</f>
        <v>0</v>
      </c>
      <c r="U2873" s="44">
        <f>IF(Mecze[[#This Row],[Role]]&lt;&gt;"BR",SUMPRODUCT(Mecze[[#This Row],[/PR:90]:[/BR:90]],Brudnopis!$E$25:$J$25),0)</f>
        <v>0</v>
      </c>
      <c r="V2873" s="44">
        <f>IF(Mecze[[#This Row],[Role]]&lt;&gt;"BR",SUMPRODUCT(Mecze[[#This Row],[/PR:90]:[/BR:90]],Brudnopis!$E$26:$J$26),0)</f>
        <v>0</v>
      </c>
      <c r="W2873" s="44">
        <f>IF(Mecze[[#This Row],[Role]]&lt;&gt;"BR",SUMPRODUCT(Mecze[[#This Row],[/PR:90]:[/BR:90]],Brudnopis!$E$27:$J$27),0)</f>
        <v>0</v>
      </c>
      <c r="X2873" s="44">
        <f>IF(Mecze[[#This Row],[Role]]&lt;&gt;"BR",SUMPRODUCT(Mecze[[#This Row],[/PR:90]:[/BR:90]],Brudnopis!$E$28:$J$28),0)</f>
        <v>0</v>
      </c>
      <c r="Y2873" s="35">
        <f>IF(Mecze[[#This Row],[Role]]="BR",Mecze[[#This Row],[/OB:90]]+Mecze[[#This Row],[/PC:90]],SUM(Mecze[[#This Row],[/PR:90]:[/BR:90]]))</f>
        <v>0</v>
      </c>
      <c r="Z2873" s="35">
        <f>IF(Mecze[[#This Row],[KC]]=0,SUM(Mecze[[#This Row],[/BRI]:[/NPI]]),SUM(Mecze[[#This Row],[/BRI]:[/NPI]])*0.6)</f>
        <v>0</v>
      </c>
      <c r="AA2873" s="10">
        <f>IFERROR(Mecze[[#This Row],[BR]]/Mecze[[#This Row],[ST]],0)</f>
        <v>0</v>
      </c>
      <c r="AB2873">
        <f>ROUND(Mecze[[#This Row],[PD]]*Mecze[[#This Row],[%PC]],0)</f>
        <v>0</v>
      </c>
      <c r="AC2873">
        <f>ROUND(Mecze[[#This Row],[OD]]*Mecze[[#This Row],[%OU]],0)</f>
        <v>0</v>
      </c>
      <c r="AD2873" s="36" t="s">
        <v>40</v>
      </c>
      <c r="AE2873" s="36">
        <v>160</v>
      </c>
      <c r="AF2873" s="71">
        <v>7.04</v>
      </c>
      <c r="AG2873" s="37">
        <v>0</v>
      </c>
      <c r="AH2873" s="37">
        <v>0</v>
      </c>
      <c r="AI2873" s="37">
        <v>96</v>
      </c>
      <c r="AJ2873" s="37">
        <v>10</v>
      </c>
      <c r="AK2873" s="37" t="str">
        <f>VLOOKUP(Mecze[[#This Row],[Match ID]],Meczusie[Mecz]:Meczusie[RodzajMeczu],2,FALSE)</f>
        <v>Liga</v>
      </c>
    </row>
    <row r="2874" spans="1:37" x14ac:dyDescent="0.25">
      <c r="A2874" s="76">
        <v>7</v>
      </c>
      <c r="B2874" s="3" t="s">
        <v>241</v>
      </c>
      <c r="C2874" s="2" t="s">
        <v>157</v>
      </c>
      <c r="D2874" s="1">
        <v>0</v>
      </c>
      <c r="E2874" s="1">
        <v>0</v>
      </c>
      <c r="F2874" s="1">
        <v>0</v>
      </c>
      <c r="G2874" s="1">
        <v>8</v>
      </c>
      <c r="H2874" s="4">
        <v>0.88</v>
      </c>
      <c r="I2874" s="1">
        <v>0</v>
      </c>
      <c r="J2874" s="4"/>
      <c r="K2874" s="1">
        <v>0</v>
      </c>
      <c r="L2874" s="1">
        <v>10</v>
      </c>
      <c r="M2874" s="32">
        <f>IF(Mecze[[#This Row],[PR]]=0,0,Mecze[[#This Row],[PR]]/Mecze[[#This Row],[CZAS]])</f>
        <v>0.10416666666666667</v>
      </c>
      <c r="N2874" s="32">
        <f>IF(Mecze[[#This Row],[OU]]=0,0,Mecze[[#This Row],[OU]]/Mecze[[#This Row],[CZAS]])</f>
        <v>0</v>
      </c>
      <c r="O2874" s="32">
        <f>IF(Mecze[[#This Row],[PC]]=0,0,Mecze[[#This Row],[PC]]/Mecze[[#This Row],[CZAS]])</f>
        <v>7.2916666666666671E-2</v>
      </c>
      <c r="P2874" s="32">
        <f>IF(Mecze[[#This Row],[SC]]=0,0,Mecze[[#This Row],[SC]]/Mecze[[#This Row],[CZAS]])</f>
        <v>0</v>
      </c>
      <c r="Q2874" s="32">
        <f>IF(Mecze[[#This Row],[OB]]=0,0,Mecze[[#This Row],[OB]]/Mecze[[#This Row],[CZAS]])</f>
        <v>0</v>
      </c>
      <c r="R2874" s="32">
        <f>IF(Mecze[[#This Row],[BR]]=0,0,Mecze[[#This Row],[BR]]/Mecze[[#This Row],[CZAS]])</f>
        <v>0</v>
      </c>
      <c r="S2874" s="44">
        <f>IF(Mecze[[#This Row],[Role]]="BR",SUMPRODUCT(Mecze[[#This Row],[/PR:90]:[/BR:90]],Brudnopis!$E$23:$J$23),0)</f>
        <v>0</v>
      </c>
      <c r="T2874" s="44">
        <f>IF(Mecze[[#This Row],[Role]]&lt;&gt;"BR",SUMPRODUCT(Mecze[[#This Row],[/PR:90]:[/BR:90]],Brudnopis!$E$24:$J$24),0)</f>
        <v>0.17708333333333334</v>
      </c>
      <c r="U2874" s="44">
        <f>IF(Mecze[[#This Row],[Role]]&lt;&gt;"BR",SUMPRODUCT(Mecze[[#This Row],[/PR:90]:[/BR:90]],Brudnopis!$E$25:$J$25),0)</f>
        <v>0.21354166666666669</v>
      </c>
      <c r="V2874" s="44">
        <f>IF(Mecze[[#This Row],[Role]]&lt;&gt;"BR",SUMPRODUCT(Mecze[[#This Row],[/PR:90]:[/BR:90]],Brudnopis!$E$26:$J$26),0)</f>
        <v>0.17708333333333334</v>
      </c>
      <c r="W2874" s="44">
        <f>IF(Mecze[[#This Row],[Role]]&lt;&gt;"BR",SUMPRODUCT(Mecze[[#This Row],[/PR:90]:[/BR:90]],Brudnopis!$E$27:$J$27),0)</f>
        <v>0.1875</v>
      </c>
      <c r="X2874" s="44">
        <f>IF(Mecze[[#This Row],[Role]]&lt;&gt;"BR",SUMPRODUCT(Mecze[[#This Row],[/PR:90]:[/BR:90]],Brudnopis!$E$28:$J$28),0)</f>
        <v>7.2916666666666671E-2</v>
      </c>
      <c r="Y2874" s="35">
        <f>IF(Mecze[[#This Row],[Role]]="BR",Mecze[[#This Row],[/OB:90]]+Mecze[[#This Row],[/PC:90]],SUM(Mecze[[#This Row],[/PR:90]:[/BR:90]]))</f>
        <v>0.17708333333333334</v>
      </c>
      <c r="Z2874" s="35">
        <f>IF(Mecze[[#This Row],[KC]]=0,SUM(Mecze[[#This Row],[/BRI]:[/NPI]]),SUM(Mecze[[#This Row],[/BRI]:[/NPI]])*0.6)</f>
        <v>0.828125</v>
      </c>
      <c r="AA2874" s="10">
        <f>IFERROR(Mecze[[#This Row],[BR]]/Mecze[[#This Row],[ST]],0)</f>
        <v>0</v>
      </c>
      <c r="AB2874">
        <f>ROUND(Mecze[[#This Row],[PD]]*Mecze[[#This Row],[%PC]],0)</f>
        <v>7</v>
      </c>
      <c r="AC2874">
        <f>ROUND(Mecze[[#This Row],[OD]]*Mecze[[#This Row],[%OU]],0)</f>
        <v>0</v>
      </c>
      <c r="AD2874" s="36" t="s">
        <v>47</v>
      </c>
      <c r="AE2874" s="36">
        <v>160</v>
      </c>
      <c r="AF2874" s="71">
        <v>9.14</v>
      </c>
      <c r="AG2874" s="37">
        <v>0</v>
      </c>
      <c r="AH2874" s="37">
        <v>0</v>
      </c>
      <c r="AI2874" s="37">
        <v>96</v>
      </c>
      <c r="AJ2874" s="37">
        <v>10</v>
      </c>
      <c r="AK2874" s="37" t="str">
        <f>VLOOKUP(Mecze[[#This Row],[Match ID]],Meczusie[Mecz]:Meczusie[RodzajMeczu],2,FALSE)</f>
        <v>Liga</v>
      </c>
    </row>
    <row r="2875" spans="1:37" x14ac:dyDescent="0.25">
      <c r="A2875" s="76">
        <v>4</v>
      </c>
      <c r="B2875" s="3" t="s">
        <v>238</v>
      </c>
      <c r="C2875" s="2" t="s">
        <v>157</v>
      </c>
      <c r="D2875" s="1">
        <v>0</v>
      </c>
      <c r="E2875" s="1">
        <v>0</v>
      </c>
      <c r="F2875" s="1">
        <v>0</v>
      </c>
      <c r="G2875" s="1">
        <v>3</v>
      </c>
      <c r="H2875" s="4">
        <v>1</v>
      </c>
      <c r="I2875" s="1">
        <v>2</v>
      </c>
      <c r="J2875" s="4">
        <v>1</v>
      </c>
      <c r="K2875" s="1">
        <v>0</v>
      </c>
      <c r="L2875" s="1">
        <v>3</v>
      </c>
      <c r="M2875" s="32">
        <f>IF(Mecze[[#This Row],[PR]]=0,0,Mecze[[#This Row],[PR]]/Mecze[[#This Row],[CZAS]])</f>
        <v>3.125E-2</v>
      </c>
      <c r="N2875" s="32">
        <f>IF(Mecze[[#This Row],[OU]]=0,0,Mecze[[#This Row],[OU]]/Mecze[[#This Row],[CZAS]])</f>
        <v>2.0833333333333332E-2</v>
      </c>
      <c r="O2875" s="32">
        <f>IF(Mecze[[#This Row],[PC]]=0,0,Mecze[[#This Row],[PC]]/Mecze[[#This Row],[CZAS]])</f>
        <v>3.125E-2</v>
      </c>
      <c r="P2875" s="32">
        <f>IF(Mecze[[#This Row],[SC]]=0,0,Mecze[[#This Row],[SC]]/Mecze[[#This Row],[CZAS]])</f>
        <v>0</v>
      </c>
      <c r="Q2875" s="32">
        <f>IF(Mecze[[#This Row],[OB]]=0,0,Mecze[[#This Row],[OB]]/Mecze[[#This Row],[CZAS]])</f>
        <v>0</v>
      </c>
      <c r="R2875" s="32">
        <f>IF(Mecze[[#This Row],[BR]]=0,0,Mecze[[#This Row],[BR]]/Mecze[[#This Row],[CZAS]])</f>
        <v>0</v>
      </c>
      <c r="S2875" s="44">
        <f>IF(Mecze[[#This Row],[Role]]="BR",SUMPRODUCT(Mecze[[#This Row],[/PR:90]:[/BR:90]],Brudnopis!$E$23:$J$23),0)</f>
        <v>0</v>
      </c>
      <c r="T2875" s="44">
        <f>IF(Mecze[[#This Row],[Role]]&lt;&gt;"BR",SUMPRODUCT(Mecze[[#This Row],[/PR:90]:[/BR:90]],Brudnopis!$E$24:$J$24),0)</f>
        <v>9.375E-2</v>
      </c>
      <c r="U2875" s="44">
        <f>IF(Mecze[[#This Row],[Role]]&lt;&gt;"BR",SUMPRODUCT(Mecze[[#This Row],[/PR:90]:[/BR:90]],Brudnopis!$E$25:$J$25),0)</f>
        <v>9.8958333333333329E-2</v>
      </c>
      <c r="V2875" s="44">
        <f>IF(Mecze[[#This Row],[Role]]&lt;&gt;"BR",SUMPRODUCT(Mecze[[#This Row],[/PR:90]:[/BR:90]],Brudnopis!$E$26:$J$26),0)</f>
        <v>8.3333333333333329E-2</v>
      </c>
      <c r="W2875" s="44">
        <f>IF(Mecze[[#This Row],[Role]]&lt;&gt;"BR",SUMPRODUCT(Mecze[[#This Row],[/PR:90]:[/BR:90]],Brudnopis!$E$27:$J$27),0)</f>
        <v>8.59375E-2</v>
      </c>
      <c r="X2875" s="44">
        <f>IF(Mecze[[#This Row],[Role]]&lt;&gt;"BR",SUMPRODUCT(Mecze[[#This Row],[/PR:90]:[/BR:90]],Brudnopis!$E$28:$J$28),0)</f>
        <v>3.125E-2</v>
      </c>
      <c r="Y2875" s="35">
        <f>IF(Mecze[[#This Row],[Role]]="BR",Mecze[[#This Row],[/OB:90]]+Mecze[[#This Row],[/PC:90]],SUM(Mecze[[#This Row],[/PR:90]:[/BR:90]]))</f>
        <v>8.3333333333333329E-2</v>
      </c>
      <c r="Z2875" s="35">
        <f>IF(Mecze[[#This Row],[KC]]=0,SUM(Mecze[[#This Row],[/BRI]:[/NPI]]),SUM(Mecze[[#This Row],[/BRI]:[/NPI]])*0.6)</f>
        <v>0.39322916666666663</v>
      </c>
      <c r="AA2875" s="10">
        <f>IFERROR(Mecze[[#This Row],[BR]]/Mecze[[#This Row],[ST]],0)</f>
        <v>0</v>
      </c>
      <c r="AB2875">
        <f>ROUND(Mecze[[#This Row],[PD]]*Mecze[[#This Row],[%PC]],0)</f>
        <v>3</v>
      </c>
      <c r="AC2875">
        <f>ROUND(Mecze[[#This Row],[OD]]*Mecze[[#This Row],[%OU]],0)</f>
        <v>2</v>
      </c>
      <c r="AD2875" s="36" t="s">
        <v>47</v>
      </c>
      <c r="AE2875" s="36">
        <v>160</v>
      </c>
      <c r="AF2875" s="71">
        <v>7.67</v>
      </c>
      <c r="AG2875" s="37">
        <v>0</v>
      </c>
      <c r="AH2875" s="37">
        <v>0</v>
      </c>
      <c r="AI2875" s="37">
        <v>96</v>
      </c>
      <c r="AJ2875" s="37">
        <v>10</v>
      </c>
      <c r="AK2875" s="37" t="str">
        <f>VLOOKUP(Mecze[[#This Row],[Match ID]],Meczusie[Mecz]:Meczusie[RodzajMeczu],2,FALSE)</f>
        <v>Liga</v>
      </c>
    </row>
    <row r="2876" spans="1:37" x14ac:dyDescent="0.25">
      <c r="A2876" s="76">
        <v>12</v>
      </c>
      <c r="B2876" s="3" t="s">
        <v>239</v>
      </c>
      <c r="C2876" s="2" t="s">
        <v>157</v>
      </c>
      <c r="D2876" s="1">
        <v>0</v>
      </c>
      <c r="E2876" s="1">
        <v>0</v>
      </c>
      <c r="F2876" s="1">
        <v>0</v>
      </c>
      <c r="G2876" s="1">
        <v>1</v>
      </c>
      <c r="H2876" s="4">
        <v>1</v>
      </c>
      <c r="I2876" s="1">
        <v>0</v>
      </c>
      <c r="J2876" s="4"/>
      <c r="K2876" s="1">
        <v>0</v>
      </c>
      <c r="L2876" s="1">
        <v>1</v>
      </c>
      <c r="M2876" s="32">
        <f>IF(Mecze[[#This Row],[PR]]=0,0,Mecze[[#This Row],[PR]]/Mecze[[#This Row],[CZAS]])</f>
        <v>1.0416666666666666E-2</v>
      </c>
      <c r="N2876" s="32">
        <f>IF(Mecze[[#This Row],[OU]]=0,0,Mecze[[#This Row],[OU]]/Mecze[[#This Row],[CZAS]])</f>
        <v>0</v>
      </c>
      <c r="O2876" s="32">
        <f>IF(Mecze[[#This Row],[PC]]=0,0,Mecze[[#This Row],[PC]]/Mecze[[#This Row],[CZAS]])</f>
        <v>1.0416666666666666E-2</v>
      </c>
      <c r="P2876" s="32">
        <f>IF(Mecze[[#This Row],[SC]]=0,0,Mecze[[#This Row],[SC]]/Mecze[[#This Row],[CZAS]])</f>
        <v>0</v>
      </c>
      <c r="Q2876" s="32">
        <f>IF(Mecze[[#This Row],[OB]]=0,0,Mecze[[#This Row],[OB]]/Mecze[[#This Row],[CZAS]])</f>
        <v>0</v>
      </c>
      <c r="R2876" s="32">
        <f>IF(Mecze[[#This Row],[BR]]=0,0,Mecze[[#This Row],[BR]]/Mecze[[#This Row],[CZAS]])</f>
        <v>0</v>
      </c>
      <c r="S2876" s="44">
        <f>IF(Mecze[[#This Row],[Role]]="BR",SUMPRODUCT(Mecze[[#This Row],[/PR:90]:[/BR:90]],Brudnopis!$E$23:$J$23),0)</f>
        <v>0</v>
      </c>
      <c r="T2876" s="44">
        <f>IF(Mecze[[#This Row],[Role]]&lt;&gt;"BR",SUMPRODUCT(Mecze[[#This Row],[/PR:90]:[/BR:90]],Brudnopis!$E$24:$J$24),0)</f>
        <v>2.0833333333333332E-2</v>
      </c>
      <c r="U2876" s="44">
        <f>IF(Mecze[[#This Row],[Role]]&lt;&gt;"BR",SUMPRODUCT(Mecze[[#This Row],[/PR:90]:[/BR:90]],Brudnopis!$E$25:$J$25),0)</f>
        <v>2.6041666666666664E-2</v>
      </c>
      <c r="V2876" s="44">
        <f>IF(Mecze[[#This Row],[Role]]&lt;&gt;"BR",SUMPRODUCT(Mecze[[#This Row],[/PR:90]:[/BR:90]],Brudnopis!$E$26:$J$26),0)</f>
        <v>2.0833333333333332E-2</v>
      </c>
      <c r="W2876" s="44">
        <f>IF(Mecze[[#This Row],[Role]]&lt;&gt;"BR",SUMPRODUCT(Mecze[[#This Row],[/PR:90]:[/BR:90]],Brudnopis!$E$27:$J$27),0)</f>
        <v>2.34375E-2</v>
      </c>
      <c r="X2876" s="44">
        <f>IF(Mecze[[#This Row],[Role]]&lt;&gt;"BR",SUMPRODUCT(Mecze[[#This Row],[/PR:90]:[/BR:90]],Brudnopis!$E$28:$J$28),0)</f>
        <v>1.0416666666666666E-2</v>
      </c>
      <c r="Y2876" s="35">
        <f>IF(Mecze[[#This Row],[Role]]="BR",Mecze[[#This Row],[/OB:90]]+Mecze[[#This Row],[/PC:90]],SUM(Mecze[[#This Row],[/PR:90]:[/BR:90]]))</f>
        <v>2.0833333333333332E-2</v>
      </c>
      <c r="Z2876" s="35">
        <f>IF(Mecze[[#This Row],[KC]]=0,SUM(Mecze[[#This Row],[/BRI]:[/NPI]]),SUM(Mecze[[#This Row],[/BRI]:[/NPI]])*0.6)</f>
        <v>0.1015625</v>
      </c>
      <c r="AA2876" s="10">
        <f>IFERROR(Mecze[[#This Row],[BR]]/Mecze[[#This Row],[ST]],0)</f>
        <v>0</v>
      </c>
      <c r="AB2876">
        <f>ROUND(Mecze[[#This Row],[PD]]*Mecze[[#This Row],[%PC]],0)</f>
        <v>1</v>
      </c>
      <c r="AC2876">
        <f>ROUND(Mecze[[#This Row],[OD]]*Mecze[[#This Row],[%OU]],0)</f>
        <v>0</v>
      </c>
      <c r="AD2876" s="36" t="s">
        <v>175</v>
      </c>
      <c r="AE2876" s="36">
        <v>160</v>
      </c>
      <c r="AF2876" s="71">
        <v>7.25</v>
      </c>
      <c r="AG2876" s="37">
        <v>0</v>
      </c>
      <c r="AH2876" s="37">
        <v>0</v>
      </c>
      <c r="AI2876" s="37">
        <v>96</v>
      </c>
      <c r="AJ2876" s="37">
        <v>10</v>
      </c>
      <c r="AK2876" s="37" t="str">
        <f>VLOOKUP(Mecze[[#This Row],[Match ID]],Meczusie[Mecz]:Meczusie[RodzajMeczu],2,FALSE)</f>
        <v>Liga</v>
      </c>
    </row>
    <row r="2877" spans="1:37" x14ac:dyDescent="0.25">
      <c r="A2877" s="76">
        <v>2</v>
      </c>
      <c r="B2877" s="3" t="s">
        <v>240</v>
      </c>
      <c r="C2877" s="2" t="s">
        <v>157</v>
      </c>
      <c r="D2877" s="1">
        <v>0</v>
      </c>
      <c r="E2877" s="1">
        <v>0</v>
      </c>
      <c r="F2877" s="1">
        <v>0</v>
      </c>
      <c r="G2877" s="1">
        <v>8</v>
      </c>
      <c r="H2877" s="4">
        <v>1</v>
      </c>
      <c r="I2877" s="1">
        <v>2</v>
      </c>
      <c r="J2877" s="4">
        <v>0.5</v>
      </c>
      <c r="K2877" s="1">
        <v>0</v>
      </c>
      <c r="L2877" s="1">
        <v>6</v>
      </c>
      <c r="M2877" s="32">
        <f>IF(Mecze[[#This Row],[PR]]=0,0,Mecze[[#This Row],[PR]]/Mecze[[#This Row],[CZAS]])</f>
        <v>6.25E-2</v>
      </c>
      <c r="N2877" s="32">
        <f>IF(Mecze[[#This Row],[OU]]=0,0,Mecze[[#This Row],[OU]]/Mecze[[#This Row],[CZAS]])</f>
        <v>1.0416666666666666E-2</v>
      </c>
      <c r="O2877" s="32">
        <f>IF(Mecze[[#This Row],[PC]]=0,0,Mecze[[#This Row],[PC]]/Mecze[[#This Row],[CZAS]])</f>
        <v>8.3333333333333329E-2</v>
      </c>
      <c r="P2877" s="32">
        <f>IF(Mecze[[#This Row],[SC]]=0,0,Mecze[[#This Row],[SC]]/Mecze[[#This Row],[CZAS]])</f>
        <v>0</v>
      </c>
      <c r="Q2877" s="32">
        <f>IF(Mecze[[#This Row],[OB]]=0,0,Mecze[[#This Row],[OB]]/Mecze[[#This Row],[CZAS]])</f>
        <v>0</v>
      </c>
      <c r="R2877" s="32">
        <f>IF(Mecze[[#This Row],[BR]]=0,0,Mecze[[#This Row],[BR]]/Mecze[[#This Row],[CZAS]])</f>
        <v>0</v>
      </c>
      <c r="S2877" s="44">
        <f>IF(Mecze[[#This Row],[Role]]="BR",SUMPRODUCT(Mecze[[#This Row],[/PR:90]:[/BR:90]],Brudnopis!$E$23:$J$23),0)</f>
        <v>0</v>
      </c>
      <c r="T2877" s="44">
        <f>IF(Mecze[[#This Row],[Role]]&lt;&gt;"BR",SUMPRODUCT(Mecze[[#This Row],[/PR:90]:[/BR:90]],Brudnopis!$E$24:$J$24),0)</f>
        <v>0.16145833333333331</v>
      </c>
      <c r="U2877" s="44">
        <f>IF(Mecze[[#This Row],[Role]]&lt;&gt;"BR",SUMPRODUCT(Mecze[[#This Row],[/PR:90]:[/BR:90]],Brudnopis!$E$25:$J$25),0)</f>
        <v>0.19791666666666669</v>
      </c>
      <c r="V2877" s="44">
        <f>IF(Mecze[[#This Row],[Role]]&lt;&gt;"BR",SUMPRODUCT(Mecze[[#This Row],[/PR:90]:[/BR:90]],Brudnopis!$E$26:$J$26),0)</f>
        <v>0.15625</v>
      </c>
      <c r="W2877" s="44">
        <f>IF(Mecze[[#This Row],[Role]]&lt;&gt;"BR",SUMPRODUCT(Mecze[[#This Row],[/PR:90]:[/BR:90]],Brudnopis!$E$27:$J$27),0)</f>
        <v>0.1796875</v>
      </c>
      <c r="X2877" s="44">
        <f>IF(Mecze[[#This Row],[Role]]&lt;&gt;"BR",SUMPRODUCT(Mecze[[#This Row],[/PR:90]:[/BR:90]],Brudnopis!$E$28:$J$28),0)</f>
        <v>8.3333333333333329E-2</v>
      </c>
      <c r="Y2877" s="35">
        <f>IF(Mecze[[#This Row],[Role]]="BR",Mecze[[#This Row],[/OB:90]]+Mecze[[#This Row],[/PC:90]],SUM(Mecze[[#This Row],[/PR:90]:[/BR:90]]))</f>
        <v>0.15625</v>
      </c>
      <c r="Z2877" s="35">
        <f>IF(Mecze[[#This Row],[KC]]=0,SUM(Mecze[[#This Row],[/BRI]:[/NPI]]),SUM(Mecze[[#This Row],[/BRI]:[/NPI]])*0.6)</f>
        <v>0.77864583333333337</v>
      </c>
      <c r="AA2877" s="10">
        <f>IFERROR(Mecze[[#This Row],[BR]]/Mecze[[#This Row],[ST]],0)</f>
        <v>0</v>
      </c>
      <c r="AB2877">
        <f>ROUND(Mecze[[#This Row],[PD]]*Mecze[[#This Row],[%PC]],0)</f>
        <v>8</v>
      </c>
      <c r="AC2877">
        <f>ROUND(Mecze[[#This Row],[OD]]*Mecze[[#This Row],[%OU]],0)</f>
        <v>1</v>
      </c>
      <c r="AD2877" s="36" t="s">
        <v>174</v>
      </c>
      <c r="AE2877" s="36">
        <v>160</v>
      </c>
      <c r="AF2877" s="71">
        <v>8.3000000000000007</v>
      </c>
      <c r="AG2877" s="37">
        <v>0</v>
      </c>
      <c r="AH2877" s="37">
        <v>0</v>
      </c>
      <c r="AI2877" s="37">
        <v>96</v>
      </c>
      <c r="AJ2877" s="37">
        <v>10</v>
      </c>
      <c r="AK2877" s="37" t="str">
        <f>VLOOKUP(Mecze[[#This Row],[Match ID]],Meczusie[Mecz]:Meczusie[RodzajMeczu],2,FALSE)</f>
        <v>Liga</v>
      </c>
    </row>
    <row r="2878" spans="1:37" x14ac:dyDescent="0.25">
      <c r="A2878" s="76">
        <v>5</v>
      </c>
      <c r="B2878" s="3" t="s">
        <v>242</v>
      </c>
      <c r="C2878" s="2" t="s">
        <v>160</v>
      </c>
      <c r="D2878" s="1">
        <v>0</v>
      </c>
      <c r="E2878" s="1">
        <v>0</v>
      </c>
      <c r="F2878" s="1">
        <v>0</v>
      </c>
      <c r="G2878" s="1">
        <v>19</v>
      </c>
      <c r="H2878" s="4">
        <v>0.79</v>
      </c>
      <c r="I2878" s="1">
        <v>8</v>
      </c>
      <c r="J2878" s="4">
        <v>0.5</v>
      </c>
      <c r="K2878" s="1">
        <v>0</v>
      </c>
      <c r="L2878" s="1">
        <v>9</v>
      </c>
      <c r="M2878" s="32">
        <f>IF(Mecze[[#This Row],[PR]]=0,0,Mecze[[#This Row],[PR]]/Mecze[[#This Row],[CZAS]])</f>
        <v>9.375E-2</v>
      </c>
      <c r="N2878" s="32">
        <f>IF(Mecze[[#This Row],[OU]]=0,0,Mecze[[#This Row],[OU]]/Mecze[[#This Row],[CZAS]])</f>
        <v>4.1666666666666664E-2</v>
      </c>
      <c r="O2878" s="32">
        <f>IF(Mecze[[#This Row],[PC]]=0,0,Mecze[[#This Row],[PC]]/Mecze[[#This Row],[CZAS]])</f>
        <v>0.15625</v>
      </c>
      <c r="P2878" s="32">
        <f>IF(Mecze[[#This Row],[SC]]=0,0,Mecze[[#This Row],[SC]]/Mecze[[#This Row],[CZAS]])</f>
        <v>0</v>
      </c>
      <c r="Q2878" s="32">
        <f>IF(Mecze[[#This Row],[OB]]=0,0,Mecze[[#This Row],[OB]]/Mecze[[#This Row],[CZAS]])</f>
        <v>0</v>
      </c>
      <c r="R2878" s="32">
        <f>IF(Mecze[[#This Row],[BR]]=0,0,Mecze[[#This Row],[BR]]/Mecze[[#This Row],[CZAS]])</f>
        <v>0</v>
      </c>
      <c r="S2878" s="44">
        <f>IF(Mecze[[#This Row],[Role]]="BR",SUMPRODUCT(Mecze[[#This Row],[/PR:90]:[/BR:90]],Brudnopis!$E$23:$J$23),0)</f>
        <v>0</v>
      </c>
      <c r="T2878" s="44">
        <f>IF(Mecze[[#This Row],[Role]]&lt;&gt;"BR",SUMPRODUCT(Mecze[[#This Row],[/PR:90]:[/BR:90]],Brudnopis!$E$24:$J$24),0)</f>
        <v>0.3125</v>
      </c>
      <c r="U2878" s="44">
        <f>IF(Mecze[[#This Row],[Role]]&lt;&gt;"BR",SUMPRODUCT(Mecze[[#This Row],[/PR:90]:[/BR:90]],Brudnopis!$E$25:$J$25),0)</f>
        <v>0.36979166666666663</v>
      </c>
      <c r="V2878" s="44">
        <f>IF(Mecze[[#This Row],[Role]]&lt;&gt;"BR",SUMPRODUCT(Mecze[[#This Row],[/PR:90]:[/BR:90]],Brudnopis!$E$26:$J$26),0)</f>
        <v>0.29166666666666663</v>
      </c>
      <c r="W2878" s="44">
        <f>IF(Mecze[[#This Row],[Role]]&lt;&gt;"BR",SUMPRODUCT(Mecze[[#This Row],[/PR:90]:[/BR:90]],Brudnopis!$E$27:$J$27),0)</f>
        <v>0.3359375</v>
      </c>
      <c r="X2878" s="44">
        <f>IF(Mecze[[#This Row],[Role]]&lt;&gt;"BR",SUMPRODUCT(Mecze[[#This Row],[/PR:90]:[/BR:90]],Brudnopis!$E$28:$J$28),0)</f>
        <v>0.15625</v>
      </c>
      <c r="Y2878" s="35">
        <f>IF(Mecze[[#This Row],[Role]]="BR",Mecze[[#This Row],[/OB:90]]+Mecze[[#This Row],[/PC:90]],SUM(Mecze[[#This Row],[/PR:90]:[/BR:90]]))</f>
        <v>0.29166666666666663</v>
      </c>
      <c r="Z2878" s="35">
        <f>IF(Mecze[[#This Row],[KC]]=0,SUM(Mecze[[#This Row],[/BRI]:[/NPI]]),SUM(Mecze[[#This Row],[/BRI]:[/NPI]])*0.6)</f>
        <v>1.4661458333333333</v>
      </c>
      <c r="AA2878" s="10">
        <f>IFERROR(Mecze[[#This Row],[BR]]/Mecze[[#This Row],[ST]],0)</f>
        <v>0</v>
      </c>
      <c r="AB2878">
        <f>ROUND(Mecze[[#This Row],[PD]]*Mecze[[#This Row],[%PC]],0)</f>
        <v>15</v>
      </c>
      <c r="AC2878">
        <f>ROUND(Mecze[[#This Row],[OD]]*Mecze[[#This Row],[%OU]],0)</f>
        <v>4</v>
      </c>
      <c r="AD2878" s="36" t="s">
        <v>41</v>
      </c>
      <c r="AE2878" s="36">
        <v>160</v>
      </c>
      <c r="AF2878" s="71">
        <v>10.14</v>
      </c>
      <c r="AG2878" s="37">
        <v>0</v>
      </c>
      <c r="AH2878" s="37">
        <v>0</v>
      </c>
      <c r="AI2878" s="37">
        <v>96</v>
      </c>
      <c r="AJ2878" s="37">
        <v>10</v>
      </c>
      <c r="AK2878" s="37" t="str">
        <f>VLOOKUP(Mecze[[#This Row],[Match ID]],Meczusie[Mecz]:Meczusie[RodzajMeczu],2,FALSE)</f>
        <v>Liga</v>
      </c>
    </row>
    <row r="2879" spans="1:37" x14ac:dyDescent="0.25">
      <c r="A2879" s="76">
        <v>13</v>
      </c>
      <c r="B2879" s="3" t="s">
        <v>403</v>
      </c>
      <c r="C2879" s="2" t="s">
        <v>160</v>
      </c>
      <c r="D2879" s="1">
        <v>0</v>
      </c>
      <c r="E2879" s="1">
        <v>0</v>
      </c>
      <c r="F2879" s="1">
        <v>0</v>
      </c>
      <c r="G2879" s="1">
        <v>10</v>
      </c>
      <c r="H2879" s="4">
        <v>0.8</v>
      </c>
      <c r="I2879" s="1">
        <v>1</v>
      </c>
      <c r="J2879" s="4">
        <v>1</v>
      </c>
      <c r="K2879" s="1">
        <v>0</v>
      </c>
      <c r="L2879" s="1">
        <v>2</v>
      </c>
      <c r="M2879" s="32">
        <f>IF(Mecze[[#This Row],[PR]]=0,0,Mecze[[#This Row],[PR]]/Mecze[[#This Row],[CZAS]])</f>
        <v>2.0833333333333332E-2</v>
      </c>
      <c r="N2879" s="32">
        <f>IF(Mecze[[#This Row],[OU]]=0,0,Mecze[[#This Row],[OU]]/Mecze[[#This Row],[CZAS]])</f>
        <v>1.0416666666666666E-2</v>
      </c>
      <c r="O2879" s="32">
        <f>IF(Mecze[[#This Row],[PC]]=0,0,Mecze[[#This Row],[PC]]/Mecze[[#This Row],[CZAS]])</f>
        <v>8.3333333333333329E-2</v>
      </c>
      <c r="P2879" s="32">
        <f>IF(Mecze[[#This Row],[SC]]=0,0,Mecze[[#This Row],[SC]]/Mecze[[#This Row],[CZAS]])</f>
        <v>0</v>
      </c>
      <c r="Q2879" s="32">
        <f>IF(Mecze[[#This Row],[OB]]=0,0,Mecze[[#This Row],[OB]]/Mecze[[#This Row],[CZAS]])</f>
        <v>0</v>
      </c>
      <c r="R2879" s="32">
        <f>IF(Mecze[[#This Row],[BR]]=0,0,Mecze[[#This Row],[BR]]/Mecze[[#This Row],[CZAS]])</f>
        <v>0</v>
      </c>
      <c r="S2879" s="44">
        <f>IF(Mecze[[#This Row],[Role]]="BR",SUMPRODUCT(Mecze[[#This Row],[/PR:90]:[/BR:90]],Brudnopis!$E$23:$J$23),0)</f>
        <v>0</v>
      </c>
      <c r="T2879" s="44">
        <f>IF(Mecze[[#This Row],[Role]]&lt;&gt;"BR",SUMPRODUCT(Mecze[[#This Row],[/PR:90]:[/BR:90]],Brudnopis!$E$24:$J$24),0)</f>
        <v>0.11979166666666666</v>
      </c>
      <c r="U2879" s="44">
        <f>IF(Mecze[[#This Row],[Role]]&lt;&gt;"BR",SUMPRODUCT(Mecze[[#This Row],[/PR:90]:[/BR:90]],Brudnopis!$E$25:$J$25),0)</f>
        <v>0.15625</v>
      </c>
      <c r="V2879" s="44">
        <f>IF(Mecze[[#This Row],[Role]]&lt;&gt;"BR",SUMPRODUCT(Mecze[[#This Row],[/PR:90]:[/BR:90]],Brudnopis!$E$26:$J$26),0)</f>
        <v>0.11458333333333333</v>
      </c>
      <c r="W2879" s="44">
        <f>IF(Mecze[[#This Row],[Role]]&lt;&gt;"BR",SUMPRODUCT(Mecze[[#This Row],[/PR:90]:[/BR:90]],Brudnopis!$E$27:$J$27),0)</f>
        <v>0.1484375</v>
      </c>
      <c r="X2879" s="44">
        <f>IF(Mecze[[#This Row],[Role]]&lt;&gt;"BR",SUMPRODUCT(Mecze[[#This Row],[/PR:90]:[/BR:90]],Brudnopis!$E$28:$J$28),0)</f>
        <v>8.3333333333333329E-2</v>
      </c>
      <c r="Y2879" s="35">
        <f>IF(Mecze[[#This Row],[Role]]="BR",Mecze[[#This Row],[/OB:90]]+Mecze[[#This Row],[/PC:90]],SUM(Mecze[[#This Row],[/PR:90]:[/BR:90]]))</f>
        <v>0.11458333333333333</v>
      </c>
      <c r="Z2879" s="35">
        <f>IF(Mecze[[#This Row],[KC]]=0,SUM(Mecze[[#This Row],[/BRI]:[/NPI]]),SUM(Mecze[[#This Row],[/BRI]:[/NPI]])*0.6)</f>
        <v>0.62239583333333337</v>
      </c>
      <c r="AA2879" s="10">
        <f>IFERROR(Mecze[[#This Row],[BR]]/Mecze[[#This Row],[ST]],0)</f>
        <v>0</v>
      </c>
      <c r="AB2879">
        <f>ROUND(Mecze[[#This Row],[PD]]*Mecze[[#This Row],[%PC]],0)</f>
        <v>8</v>
      </c>
      <c r="AC2879">
        <f>ROUND(Mecze[[#This Row],[OD]]*Mecze[[#This Row],[%OU]],0)</f>
        <v>1</v>
      </c>
      <c r="AD2879" s="36" t="s">
        <v>41</v>
      </c>
      <c r="AE2879" s="36">
        <v>160</v>
      </c>
      <c r="AF2879" s="71">
        <v>9.58</v>
      </c>
      <c r="AG2879" s="37">
        <v>0</v>
      </c>
      <c r="AH2879" s="37">
        <v>0</v>
      </c>
      <c r="AI2879" s="37">
        <v>96</v>
      </c>
      <c r="AJ2879" s="37">
        <v>10</v>
      </c>
      <c r="AK2879" s="37" t="str">
        <f>VLOOKUP(Mecze[[#This Row],[Match ID]],Meczusie[Mecz]:Meczusie[RodzajMeczu],2,FALSE)</f>
        <v>Liga</v>
      </c>
    </row>
    <row r="2880" spans="1:37" x14ac:dyDescent="0.25">
      <c r="A2880" s="76">
        <v>11</v>
      </c>
      <c r="B2880" s="3" t="s">
        <v>243</v>
      </c>
      <c r="C2880" s="2" t="s">
        <v>160</v>
      </c>
      <c r="D2880" s="1">
        <v>0</v>
      </c>
      <c r="E2880" s="1">
        <v>1</v>
      </c>
      <c r="F2880" s="1">
        <v>1</v>
      </c>
      <c r="G2880" s="1">
        <v>25</v>
      </c>
      <c r="H2880" s="4">
        <v>0.72</v>
      </c>
      <c r="I2880" s="1">
        <v>3</v>
      </c>
      <c r="J2880" s="4">
        <v>0.67</v>
      </c>
      <c r="K2880" s="1">
        <v>0</v>
      </c>
      <c r="L2880" s="1">
        <v>13</v>
      </c>
      <c r="M2880" s="32">
        <f>IF(Mecze[[#This Row],[PR]]=0,0,Mecze[[#This Row],[PR]]/Mecze[[#This Row],[CZAS]])</f>
        <v>0.13541666666666666</v>
      </c>
      <c r="N2880" s="32">
        <f>IF(Mecze[[#This Row],[OU]]=0,0,Mecze[[#This Row],[OU]]/Mecze[[#This Row],[CZAS]])</f>
        <v>2.0833333333333332E-2</v>
      </c>
      <c r="O2880" s="32">
        <f>IF(Mecze[[#This Row],[PC]]=0,0,Mecze[[#This Row],[PC]]/Mecze[[#This Row],[CZAS]])</f>
        <v>0.1875</v>
      </c>
      <c r="P2880" s="32">
        <f>IF(Mecze[[#This Row],[SC]]=0,0,Mecze[[#This Row],[SC]]/Mecze[[#This Row],[CZAS]])</f>
        <v>1.0416666666666666E-2</v>
      </c>
      <c r="Q2880" s="32">
        <f>IF(Mecze[[#This Row],[OB]]=0,0,Mecze[[#This Row],[OB]]/Mecze[[#This Row],[CZAS]])</f>
        <v>0</v>
      </c>
      <c r="R2880" s="32">
        <f>IF(Mecze[[#This Row],[BR]]=0,0,Mecze[[#This Row],[BR]]/Mecze[[#This Row],[CZAS]])</f>
        <v>0</v>
      </c>
      <c r="S2880" s="44">
        <f>IF(Mecze[[#This Row],[Role]]="BR",SUMPRODUCT(Mecze[[#This Row],[/PR:90]:[/BR:90]],Brudnopis!$E$23:$J$23),0)</f>
        <v>0</v>
      </c>
      <c r="T2880" s="44">
        <f>IF(Mecze[[#This Row],[Role]]&lt;&gt;"BR",SUMPRODUCT(Mecze[[#This Row],[/PR:90]:[/BR:90]],Brudnopis!$E$24:$J$24),0)</f>
        <v>0.36458333333333331</v>
      </c>
      <c r="U2880" s="44">
        <f>IF(Mecze[[#This Row],[Role]]&lt;&gt;"BR",SUMPRODUCT(Mecze[[#This Row],[/PR:90]:[/BR:90]],Brudnopis!$E$25:$J$25),0)</f>
        <v>0.44791666666666669</v>
      </c>
      <c r="V2880" s="44">
        <f>IF(Mecze[[#This Row],[Role]]&lt;&gt;"BR",SUMPRODUCT(Mecze[[#This Row],[/PR:90]:[/BR:90]],Brudnopis!$E$26:$J$26),0)</f>
        <v>0.35416666666666669</v>
      </c>
      <c r="W2880" s="44">
        <f>IF(Mecze[[#This Row],[Role]]&lt;&gt;"BR",SUMPRODUCT(Mecze[[#This Row],[/PR:90]:[/BR:90]],Brudnopis!$E$27:$J$27),0)</f>
        <v>0.40885416666666669</v>
      </c>
      <c r="X2880" s="44">
        <f>IF(Mecze[[#This Row],[Role]]&lt;&gt;"BR",SUMPRODUCT(Mecze[[#This Row],[/PR:90]:[/BR:90]],Brudnopis!$E$28:$J$28),0)</f>
        <v>0.20833333333333334</v>
      </c>
      <c r="Y2880" s="35">
        <f>IF(Mecze[[#This Row],[Role]]="BR",Mecze[[#This Row],[/OB:90]]+Mecze[[#This Row],[/PC:90]],SUM(Mecze[[#This Row],[/PR:90]:[/BR:90]]))</f>
        <v>0.35416666666666669</v>
      </c>
      <c r="Z2880" s="35">
        <f>IF(Mecze[[#This Row],[KC]]=0,SUM(Mecze[[#This Row],[/BRI]:[/NPI]]),SUM(Mecze[[#This Row],[/BRI]:[/NPI]])*0.6)</f>
        <v>1.7838541666666667</v>
      </c>
      <c r="AA2880" s="10">
        <f>IFERROR(Mecze[[#This Row],[BR]]/Mecze[[#This Row],[ST]],0)</f>
        <v>0</v>
      </c>
      <c r="AB2880">
        <f>ROUND(Mecze[[#This Row],[PD]]*Mecze[[#This Row],[%PC]],0)</f>
        <v>18</v>
      </c>
      <c r="AC2880">
        <f>ROUND(Mecze[[#This Row],[OD]]*Mecze[[#This Row],[%OU]],0)</f>
        <v>2</v>
      </c>
      <c r="AD2880" s="36" t="s">
        <v>67</v>
      </c>
      <c r="AE2880" s="36">
        <v>160</v>
      </c>
      <c r="AF2880" s="71">
        <v>11.21</v>
      </c>
      <c r="AG2880" s="37">
        <v>0</v>
      </c>
      <c r="AH2880" s="37">
        <v>0</v>
      </c>
      <c r="AI2880" s="37">
        <v>96</v>
      </c>
      <c r="AJ2880" s="37">
        <v>10</v>
      </c>
      <c r="AK2880" s="37" t="str">
        <f>VLOOKUP(Mecze[[#This Row],[Match ID]],Meczusie[Mecz]:Meczusie[RodzajMeczu],2,FALSE)</f>
        <v>Liga</v>
      </c>
    </row>
    <row r="2881" spans="1:37" x14ac:dyDescent="0.25">
      <c r="A2881" s="76">
        <v>14</v>
      </c>
      <c r="B2881" s="3" t="s">
        <v>244</v>
      </c>
      <c r="C2881" s="2" t="s">
        <v>165</v>
      </c>
      <c r="D2881" s="1">
        <v>0</v>
      </c>
      <c r="E2881" s="1">
        <v>3</v>
      </c>
      <c r="F2881" s="1">
        <v>1</v>
      </c>
      <c r="G2881" s="1">
        <v>9</v>
      </c>
      <c r="H2881" s="4">
        <v>0.78</v>
      </c>
      <c r="I2881" s="1">
        <v>4</v>
      </c>
      <c r="J2881" s="4">
        <v>0.5</v>
      </c>
      <c r="K2881" s="1">
        <v>0</v>
      </c>
      <c r="L2881" s="1">
        <v>2</v>
      </c>
      <c r="M2881" s="32">
        <f>IF(Mecze[[#This Row],[PR]]=0,0,Mecze[[#This Row],[PR]]/Mecze[[#This Row],[CZAS]])</f>
        <v>2.8985507246376812E-2</v>
      </c>
      <c r="N2881" s="32">
        <f>IF(Mecze[[#This Row],[OU]]=0,0,Mecze[[#This Row],[OU]]/Mecze[[#This Row],[CZAS]])</f>
        <v>2.8985507246376812E-2</v>
      </c>
      <c r="O2881" s="32">
        <f>IF(Mecze[[#This Row],[PC]]=0,0,Mecze[[#This Row],[PC]]/Mecze[[#This Row],[CZAS]])</f>
        <v>0.10144927536231885</v>
      </c>
      <c r="P2881" s="32">
        <f>IF(Mecze[[#This Row],[SC]]=0,0,Mecze[[#This Row],[SC]]/Mecze[[#This Row],[CZAS]])</f>
        <v>1.4492753623188406E-2</v>
      </c>
      <c r="Q2881" s="32">
        <f>IF(Mecze[[#This Row],[OB]]=0,0,Mecze[[#This Row],[OB]]/Mecze[[#This Row],[CZAS]])</f>
        <v>0</v>
      </c>
      <c r="R2881" s="32">
        <f>IF(Mecze[[#This Row],[BR]]=0,0,Mecze[[#This Row],[BR]]/Mecze[[#This Row],[CZAS]])</f>
        <v>0</v>
      </c>
      <c r="S2881" s="44">
        <f>IF(Mecze[[#This Row],[Role]]="BR",SUMPRODUCT(Mecze[[#This Row],[/PR:90]:[/BR:90]],Brudnopis!$E$23:$J$23),0)</f>
        <v>0</v>
      </c>
      <c r="T2881" s="44">
        <f>IF(Mecze[[#This Row],[Role]]&lt;&gt;"BR",SUMPRODUCT(Mecze[[#This Row],[/PR:90]:[/BR:90]],Brudnopis!$E$24:$J$24),0)</f>
        <v>0.18840579710144928</v>
      </c>
      <c r="U2881" s="44">
        <f>IF(Mecze[[#This Row],[Role]]&lt;&gt;"BR",SUMPRODUCT(Mecze[[#This Row],[/PR:90]:[/BR:90]],Brudnopis!$E$25:$J$25),0)</f>
        <v>0.22463768115942032</v>
      </c>
      <c r="V2881" s="44">
        <f>IF(Mecze[[#This Row],[Role]]&lt;&gt;"BR",SUMPRODUCT(Mecze[[#This Row],[/PR:90]:[/BR:90]],Brudnopis!$E$26:$J$26),0)</f>
        <v>0.17391304347826089</v>
      </c>
      <c r="W2881" s="44">
        <f>IF(Mecze[[#This Row],[Role]]&lt;&gt;"BR",SUMPRODUCT(Mecze[[#This Row],[/PR:90]:[/BR:90]],Brudnopis!$E$27:$J$27),0)</f>
        <v>0.2101449275362319</v>
      </c>
      <c r="X2881" s="44">
        <f>IF(Mecze[[#This Row],[Role]]&lt;&gt;"BR",SUMPRODUCT(Mecze[[#This Row],[/PR:90]:[/BR:90]],Brudnopis!$E$28:$J$28),0)</f>
        <v>0.13043478260869565</v>
      </c>
      <c r="Y2881" s="35">
        <f>IF(Mecze[[#This Row],[Role]]="BR",Mecze[[#This Row],[/OB:90]]+Mecze[[#This Row],[/PC:90]],SUM(Mecze[[#This Row],[/PR:90]:[/BR:90]]))</f>
        <v>0.17391304347826089</v>
      </c>
      <c r="Z2881" s="35">
        <f>IF(Mecze[[#This Row],[KC]]=0,SUM(Mecze[[#This Row],[/BRI]:[/NPI]]),SUM(Mecze[[#This Row],[/BRI]:[/NPI]])*0.6)</f>
        <v>0.92753623188405809</v>
      </c>
      <c r="AA2881" s="10">
        <f>IFERROR(Mecze[[#This Row],[BR]]/Mecze[[#This Row],[ST]],0)</f>
        <v>0</v>
      </c>
      <c r="AB2881">
        <f>ROUND(Mecze[[#This Row],[PD]]*Mecze[[#This Row],[%PC]],0)</f>
        <v>7</v>
      </c>
      <c r="AC2881">
        <f>ROUND(Mecze[[#This Row],[OD]]*Mecze[[#This Row],[%OU]],0)</f>
        <v>2</v>
      </c>
      <c r="AD2881" s="36" t="s">
        <v>46</v>
      </c>
      <c r="AE2881" s="36">
        <v>160</v>
      </c>
      <c r="AF2881" s="71">
        <v>5.48</v>
      </c>
      <c r="AG2881" s="37">
        <v>0</v>
      </c>
      <c r="AH2881" s="37">
        <v>0</v>
      </c>
      <c r="AI2881" s="37">
        <v>69</v>
      </c>
      <c r="AJ2881" s="37">
        <v>10</v>
      </c>
      <c r="AK2881" s="37" t="str">
        <f>VLOOKUP(Mecze[[#This Row],[Match ID]],Meczusie[Mecz]:Meczusie[RodzajMeczu],2,FALSE)</f>
        <v>Liga</v>
      </c>
    </row>
    <row r="2882" spans="1:37" x14ac:dyDescent="0.25">
      <c r="A2882" s="76">
        <v>9</v>
      </c>
      <c r="B2882" s="3" t="s">
        <v>451</v>
      </c>
      <c r="C2882" s="2" t="s">
        <v>165</v>
      </c>
      <c r="D2882" s="1">
        <v>0</v>
      </c>
      <c r="E2882" s="1">
        <v>2</v>
      </c>
      <c r="F2882" s="1">
        <v>1</v>
      </c>
      <c r="G2882" s="1">
        <v>6</v>
      </c>
      <c r="H2882" s="4">
        <v>0.83</v>
      </c>
      <c r="I2882" s="1">
        <v>2</v>
      </c>
      <c r="J2882" s="4">
        <v>0</v>
      </c>
      <c r="K2882" s="1">
        <v>0</v>
      </c>
      <c r="L2882" s="1">
        <v>2</v>
      </c>
      <c r="M2882" s="32">
        <f>IF(Mecze[[#This Row],[PR]]=0,0,Mecze[[#This Row],[PR]]/Mecze[[#This Row],[CZAS]])</f>
        <v>2.0833333333333332E-2</v>
      </c>
      <c r="N2882" s="32">
        <f>IF(Mecze[[#This Row],[OU]]=0,0,Mecze[[#This Row],[OU]]/Mecze[[#This Row],[CZAS]])</f>
        <v>0</v>
      </c>
      <c r="O2882" s="32">
        <f>IF(Mecze[[#This Row],[PC]]=0,0,Mecze[[#This Row],[PC]]/Mecze[[#This Row],[CZAS]])</f>
        <v>5.2083333333333336E-2</v>
      </c>
      <c r="P2882" s="32">
        <f>IF(Mecze[[#This Row],[SC]]=0,0,Mecze[[#This Row],[SC]]/Mecze[[#This Row],[CZAS]])</f>
        <v>1.0416666666666666E-2</v>
      </c>
      <c r="Q2882" s="32">
        <f>IF(Mecze[[#This Row],[OB]]=0,0,Mecze[[#This Row],[OB]]/Mecze[[#This Row],[CZAS]])</f>
        <v>0</v>
      </c>
      <c r="R2882" s="32">
        <f>IF(Mecze[[#This Row],[BR]]=0,0,Mecze[[#This Row],[BR]]/Mecze[[#This Row],[CZAS]])</f>
        <v>0</v>
      </c>
      <c r="S2882" s="44">
        <f>IF(Mecze[[#This Row],[Role]]="BR",SUMPRODUCT(Mecze[[#This Row],[/PR:90]:[/BR:90]],Brudnopis!$E$23:$J$23),0)</f>
        <v>0</v>
      </c>
      <c r="T2882" s="44">
        <f>IF(Mecze[[#This Row],[Role]]&lt;&gt;"BR",SUMPRODUCT(Mecze[[#This Row],[/PR:90]:[/BR:90]],Brudnopis!$E$24:$J$24),0)</f>
        <v>8.3333333333333343E-2</v>
      </c>
      <c r="U2882" s="44">
        <f>IF(Mecze[[#This Row],[Role]]&lt;&gt;"BR",SUMPRODUCT(Mecze[[#This Row],[/PR:90]:[/BR:90]],Brudnopis!$E$25:$J$25),0)</f>
        <v>0.109375</v>
      </c>
      <c r="V2882" s="44">
        <f>IF(Mecze[[#This Row],[Role]]&lt;&gt;"BR",SUMPRODUCT(Mecze[[#This Row],[/PR:90]:[/BR:90]],Brudnopis!$E$26:$J$26),0)</f>
        <v>8.3333333333333343E-2</v>
      </c>
      <c r="W2882" s="44">
        <f>IF(Mecze[[#This Row],[Role]]&lt;&gt;"BR",SUMPRODUCT(Mecze[[#This Row],[/PR:90]:[/BR:90]],Brudnopis!$E$27:$J$27),0)</f>
        <v>0.10416666666666667</v>
      </c>
      <c r="X2882" s="44">
        <f>IF(Mecze[[#This Row],[Role]]&lt;&gt;"BR",SUMPRODUCT(Mecze[[#This Row],[/PR:90]:[/BR:90]],Brudnopis!$E$28:$J$28),0)</f>
        <v>7.2916666666666671E-2</v>
      </c>
      <c r="Y2882" s="35">
        <f>IF(Mecze[[#This Row],[Role]]="BR",Mecze[[#This Row],[/OB:90]]+Mecze[[#This Row],[/PC:90]],SUM(Mecze[[#This Row],[/PR:90]:[/BR:90]]))</f>
        <v>8.3333333333333343E-2</v>
      </c>
      <c r="Z2882" s="35">
        <f>IF(Mecze[[#This Row],[KC]]=0,SUM(Mecze[[#This Row],[/BRI]:[/NPI]]),SUM(Mecze[[#This Row],[/BRI]:[/NPI]])*0.6)</f>
        <v>0.45312500000000006</v>
      </c>
      <c r="AA2882" s="10">
        <f>IFERROR(Mecze[[#This Row],[BR]]/Mecze[[#This Row],[ST]],0)</f>
        <v>0</v>
      </c>
      <c r="AB2882">
        <f>ROUND(Mecze[[#This Row],[PD]]*Mecze[[#This Row],[%PC]],0)</f>
        <v>5</v>
      </c>
      <c r="AC2882">
        <f>ROUND(Mecze[[#This Row],[OD]]*Mecze[[#This Row],[%OU]],0)</f>
        <v>0</v>
      </c>
      <c r="AD2882" s="36" t="s">
        <v>46</v>
      </c>
      <c r="AE2882" s="36">
        <v>160</v>
      </c>
      <c r="AF2882" s="71">
        <v>6.4</v>
      </c>
      <c r="AG2882" s="37">
        <v>0</v>
      </c>
      <c r="AH2882" s="37">
        <v>0</v>
      </c>
      <c r="AI2882" s="37">
        <v>96</v>
      </c>
      <c r="AJ2882" s="37">
        <v>10</v>
      </c>
      <c r="AK2882" s="37" t="str">
        <f>VLOOKUP(Mecze[[#This Row],[Match ID]],Meczusie[Mecz]:Meczusie[RodzajMeczu],2,FALSE)</f>
        <v>Liga</v>
      </c>
    </row>
    <row r="2883" spans="1:37" x14ac:dyDescent="0.25">
      <c r="A2883" s="76">
        <v>10</v>
      </c>
      <c r="B2883" s="3" t="s">
        <v>246</v>
      </c>
      <c r="C2883" s="2" t="s">
        <v>165</v>
      </c>
      <c r="D2883" s="1">
        <v>8</v>
      </c>
      <c r="E2883" s="1">
        <v>28</v>
      </c>
      <c r="F2883" s="1">
        <v>25</v>
      </c>
      <c r="G2883" s="1">
        <v>10</v>
      </c>
      <c r="H2883" s="4">
        <v>0.4</v>
      </c>
      <c r="I2883" s="1">
        <v>4</v>
      </c>
      <c r="J2883" s="4">
        <v>0</v>
      </c>
      <c r="K2883" s="1">
        <v>0</v>
      </c>
      <c r="L2883" s="1">
        <v>0</v>
      </c>
      <c r="M2883" s="32">
        <f>IF(Mecze[[#This Row],[PR]]=0,0,Mecze[[#This Row],[PR]]/Mecze[[#This Row],[CZAS]])</f>
        <v>0</v>
      </c>
      <c r="N2883" s="32">
        <f>IF(Mecze[[#This Row],[OU]]=0,0,Mecze[[#This Row],[OU]]/Mecze[[#This Row],[CZAS]])</f>
        <v>0</v>
      </c>
      <c r="O2883" s="32">
        <f>IF(Mecze[[#This Row],[PC]]=0,0,Mecze[[#This Row],[PC]]/Mecze[[#This Row],[CZAS]])</f>
        <v>4.1666666666666664E-2</v>
      </c>
      <c r="P2883" s="32">
        <f>IF(Mecze[[#This Row],[SC]]=0,0,Mecze[[#This Row],[SC]]/Mecze[[#This Row],[CZAS]])</f>
        <v>0.26041666666666669</v>
      </c>
      <c r="Q2883" s="32">
        <f>IF(Mecze[[#This Row],[OB]]=0,0,Mecze[[#This Row],[OB]]/Mecze[[#This Row],[CZAS]])</f>
        <v>0</v>
      </c>
      <c r="R2883" s="32">
        <f>IF(Mecze[[#This Row],[BR]]=0,0,Mecze[[#This Row],[BR]]/Mecze[[#This Row],[CZAS]])</f>
        <v>8.3333333333333329E-2</v>
      </c>
      <c r="S2883" s="44">
        <f>IF(Mecze[[#This Row],[Role]]="BR",SUMPRODUCT(Mecze[[#This Row],[/PR:90]:[/BR:90]],Brudnopis!$E$23:$J$23),0)</f>
        <v>0</v>
      </c>
      <c r="T2883" s="44">
        <f>IF(Mecze[[#This Row],[Role]]&lt;&gt;"BR",SUMPRODUCT(Mecze[[#This Row],[/PR:90]:[/BR:90]],Brudnopis!$E$24:$J$24),0)</f>
        <v>0.42708333333333337</v>
      </c>
      <c r="U2883" s="44">
        <f>IF(Mecze[[#This Row],[Role]]&lt;&gt;"BR",SUMPRODUCT(Mecze[[#This Row],[/PR:90]:[/BR:90]],Brudnopis!$E$25:$J$25),0)</f>
        <v>0.44791666666666669</v>
      </c>
      <c r="V2883" s="44">
        <f>IF(Mecze[[#This Row],[Role]]&lt;&gt;"BR",SUMPRODUCT(Mecze[[#This Row],[/PR:90]:[/BR:90]],Brudnopis!$E$26:$J$26),0)</f>
        <v>0.46875</v>
      </c>
      <c r="W2883" s="44">
        <f>IF(Mecze[[#This Row],[Role]]&lt;&gt;"BR",SUMPRODUCT(Mecze[[#This Row],[/PR:90]:[/BR:90]],Brudnopis!$E$27:$J$27),0)</f>
        <v>0.48958333333333337</v>
      </c>
      <c r="X2883" s="44">
        <f>IF(Mecze[[#This Row],[Role]]&lt;&gt;"BR",SUMPRODUCT(Mecze[[#This Row],[/PR:90]:[/BR:90]],Brudnopis!$E$28:$J$28),0)</f>
        <v>0.8125</v>
      </c>
      <c r="Y2883" s="35">
        <f>IF(Mecze[[#This Row],[Role]]="BR",Mecze[[#This Row],[/OB:90]]+Mecze[[#This Row],[/PC:90]],SUM(Mecze[[#This Row],[/PR:90]:[/BR:90]]))</f>
        <v>0.38541666666666669</v>
      </c>
      <c r="Z2883" s="35">
        <f>IF(Mecze[[#This Row],[KC]]=0,SUM(Mecze[[#This Row],[/BRI]:[/NPI]]),SUM(Mecze[[#This Row],[/BRI]:[/NPI]])*0.6)</f>
        <v>2.6458333333333335</v>
      </c>
      <c r="AA2883" s="10">
        <f>IFERROR(Mecze[[#This Row],[BR]]/Mecze[[#This Row],[ST]],0)</f>
        <v>0.2857142857142857</v>
      </c>
      <c r="AB2883">
        <f>ROUND(Mecze[[#This Row],[PD]]*Mecze[[#This Row],[%PC]],0)</f>
        <v>4</v>
      </c>
      <c r="AC2883">
        <f>ROUND(Mecze[[#This Row],[OD]]*Mecze[[#This Row],[%OU]],0)</f>
        <v>0</v>
      </c>
      <c r="AD2883" s="36" t="s">
        <v>46</v>
      </c>
      <c r="AE2883" s="36">
        <v>160</v>
      </c>
      <c r="AF2883" s="71">
        <v>27.83</v>
      </c>
      <c r="AG2883" s="37">
        <v>0</v>
      </c>
      <c r="AH2883" s="37">
        <v>0</v>
      </c>
      <c r="AI2883" s="37">
        <v>96</v>
      </c>
      <c r="AJ2883" s="37">
        <v>10</v>
      </c>
      <c r="AK2883" s="37" t="str">
        <f>VLOOKUP(Mecze[[#This Row],[Match ID]],Meczusie[Mecz]:Meczusie[RodzajMeczu],2,FALSE)</f>
        <v>Liga</v>
      </c>
    </row>
    <row r="2884" spans="1:37" x14ac:dyDescent="0.25">
      <c r="A2884" s="76">
        <v>15</v>
      </c>
      <c r="B2884" s="3" t="s">
        <v>504</v>
      </c>
      <c r="C2884" s="2" t="s">
        <v>165</v>
      </c>
      <c r="D2884" s="1">
        <v>0</v>
      </c>
      <c r="E2884" s="1">
        <v>1</v>
      </c>
      <c r="F2884" s="1">
        <v>1</v>
      </c>
      <c r="G2884" s="1">
        <v>7</v>
      </c>
      <c r="H2884" s="4">
        <v>0.86</v>
      </c>
      <c r="I2884" s="1">
        <v>2</v>
      </c>
      <c r="J2884" s="4">
        <v>1</v>
      </c>
      <c r="K2884" s="1">
        <v>0</v>
      </c>
      <c r="L2884" s="1">
        <v>2</v>
      </c>
      <c r="M2884" s="32">
        <f>IF(Mecze[[#This Row],[PR]]=0,0,Mecze[[#This Row],[PR]]/Mecze[[#This Row],[CZAS]])</f>
        <v>7.407407407407407E-2</v>
      </c>
      <c r="N2884" s="32">
        <f>IF(Mecze[[#This Row],[OU]]=0,0,Mecze[[#This Row],[OU]]/Mecze[[#This Row],[CZAS]])</f>
        <v>7.407407407407407E-2</v>
      </c>
      <c r="O2884" s="32">
        <f>IF(Mecze[[#This Row],[PC]]=0,0,Mecze[[#This Row],[PC]]/Mecze[[#This Row],[CZAS]])</f>
        <v>0.22222222222222221</v>
      </c>
      <c r="P2884" s="32">
        <f>IF(Mecze[[#This Row],[SC]]=0,0,Mecze[[#This Row],[SC]]/Mecze[[#This Row],[CZAS]])</f>
        <v>3.7037037037037035E-2</v>
      </c>
      <c r="Q2884" s="32">
        <f>IF(Mecze[[#This Row],[OB]]=0,0,Mecze[[#This Row],[OB]]/Mecze[[#This Row],[CZAS]])</f>
        <v>0</v>
      </c>
      <c r="R2884" s="32">
        <f>IF(Mecze[[#This Row],[BR]]=0,0,Mecze[[#This Row],[BR]]/Mecze[[#This Row],[CZAS]])</f>
        <v>0</v>
      </c>
      <c r="S2884" s="44">
        <f>IF(Mecze[[#This Row],[Role]]="BR",SUMPRODUCT(Mecze[[#This Row],[/PR:90]:[/BR:90]],Brudnopis!$E$23:$J$23),0)</f>
        <v>0</v>
      </c>
      <c r="T2884" s="44">
        <f>IF(Mecze[[#This Row],[Role]]&lt;&gt;"BR",SUMPRODUCT(Mecze[[#This Row],[/PR:90]:[/BR:90]],Brudnopis!$E$24:$J$24),0)</f>
        <v>0.44444444444444442</v>
      </c>
      <c r="U2884" s="44">
        <f>IF(Mecze[[#This Row],[Role]]&lt;&gt;"BR",SUMPRODUCT(Mecze[[#This Row],[/PR:90]:[/BR:90]],Brudnopis!$E$25:$J$25),0)</f>
        <v>0.51851851851851849</v>
      </c>
      <c r="V2884" s="44">
        <f>IF(Mecze[[#This Row],[Role]]&lt;&gt;"BR",SUMPRODUCT(Mecze[[#This Row],[/PR:90]:[/BR:90]],Brudnopis!$E$26:$J$26),0)</f>
        <v>0.40740740740740738</v>
      </c>
      <c r="W2884" s="44">
        <f>IF(Mecze[[#This Row],[Role]]&lt;&gt;"BR",SUMPRODUCT(Mecze[[#This Row],[/PR:90]:[/BR:90]],Brudnopis!$E$27:$J$27),0)</f>
        <v>0.48148148148148145</v>
      </c>
      <c r="X2884" s="44">
        <f>IF(Mecze[[#This Row],[Role]]&lt;&gt;"BR",SUMPRODUCT(Mecze[[#This Row],[/PR:90]:[/BR:90]],Brudnopis!$E$28:$J$28),0)</f>
        <v>0.29629629629629628</v>
      </c>
      <c r="Y2884" s="35">
        <f>IF(Mecze[[#This Row],[Role]]="BR",Mecze[[#This Row],[/OB:90]]+Mecze[[#This Row],[/PC:90]],SUM(Mecze[[#This Row],[/PR:90]:[/BR:90]]))</f>
        <v>0.40740740740740738</v>
      </c>
      <c r="Z2884" s="35">
        <f>IF(Mecze[[#This Row],[KC]]=0,SUM(Mecze[[#This Row],[/BRI]:[/NPI]]),SUM(Mecze[[#This Row],[/BRI]:[/NPI]])*0.6)</f>
        <v>2.1481481481481479</v>
      </c>
      <c r="AA2884" s="10">
        <f>IFERROR(Mecze[[#This Row],[BR]]/Mecze[[#This Row],[ST]],0)</f>
        <v>0</v>
      </c>
      <c r="AB2884">
        <f>ROUND(Mecze[[#This Row],[PD]]*Mecze[[#This Row],[%PC]],0)</f>
        <v>6</v>
      </c>
      <c r="AC2884">
        <f>ROUND(Mecze[[#This Row],[OD]]*Mecze[[#This Row],[%OU]],0)</f>
        <v>2</v>
      </c>
      <c r="AD2884" s="36" t="s">
        <v>46</v>
      </c>
      <c r="AE2884" s="36">
        <v>160</v>
      </c>
      <c r="AF2884" s="71">
        <v>4.1900000000000004</v>
      </c>
      <c r="AG2884" s="37">
        <v>0</v>
      </c>
      <c r="AH2884" s="37">
        <v>0</v>
      </c>
      <c r="AI2884" s="37">
        <v>27</v>
      </c>
      <c r="AJ2884" s="37">
        <v>10</v>
      </c>
      <c r="AK2884" s="37" t="str">
        <f>VLOOKUP(Mecze[[#This Row],[Match ID]],Meczusie[Mecz]:Meczusie[RodzajMeczu],2,FALSE)</f>
        <v>Liga</v>
      </c>
    </row>
    <row r="2885" spans="1:37" x14ac:dyDescent="0.25">
      <c r="A2885" s="76">
        <v>1</v>
      </c>
      <c r="B2885" s="3" t="s">
        <v>169</v>
      </c>
      <c r="C2885" s="2" t="s">
        <v>155</v>
      </c>
      <c r="D2885" s="1">
        <v>0</v>
      </c>
      <c r="E2885" s="1">
        <v>0</v>
      </c>
      <c r="F2885" s="1">
        <v>0</v>
      </c>
      <c r="G2885" s="1">
        <v>17</v>
      </c>
      <c r="H2885" s="4">
        <v>0.28999999999999998</v>
      </c>
      <c r="I2885" s="1">
        <v>0</v>
      </c>
      <c r="J2885" s="4"/>
      <c r="K2885" s="1">
        <v>15</v>
      </c>
      <c r="L2885" s="1">
        <v>0</v>
      </c>
      <c r="M2885" s="32">
        <f>IF(Mecze[[#This Row],[PR]]=0,0,Mecze[[#This Row],[PR]]/Mecze[[#This Row],[CZAS]])</f>
        <v>0</v>
      </c>
      <c r="N2885" s="32">
        <f>IF(Mecze[[#This Row],[OU]]=0,0,Mecze[[#This Row],[OU]]/Mecze[[#This Row],[CZAS]])</f>
        <v>0</v>
      </c>
      <c r="O2885" s="32">
        <f>IF(Mecze[[#This Row],[PC]]=0,0,Mecze[[#This Row],[PC]]/Mecze[[#This Row],[CZAS]])</f>
        <v>5.2083333333333336E-2</v>
      </c>
      <c r="P2885" s="32">
        <f>IF(Mecze[[#This Row],[SC]]=0,0,Mecze[[#This Row],[SC]]/Mecze[[#This Row],[CZAS]])</f>
        <v>0</v>
      </c>
      <c r="Q2885" s="32">
        <f>IF(Mecze[[#This Row],[OB]]=0,0,Mecze[[#This Row],[OB]]/Mecze[[#This Row],[CZAS]])</f>
        <v>0.15625</v>
      </c>
      <c r="R2885" s="32">
        <f>IF(Mecze[[#This Row],[BR]]=0,0,Mecze[[#This Row],[BR]]/Mecze[[#This Row],[CZAS]])</f>
        <v>0</v>
      </c>
      <c r="S2885" s="44">
        <f>IF(Mecze[[#This Row],[Role]]="BR",SUMPRODUCT(Mecze[[#This Row],[/PR:90]:[/BR:90]],Brudnopis!$E$23:$J$23),0)</f>
        <v>0.625</v>
      </c>
      <c r="T2885" s="44">
        <f>IF(Mecze[[#This Row],[Role]]&lt;&gt;"BR",SUMPRODUCT(Mecze[[#This Row],[/PR:90]:[/BR:90]],Brudnopis!$E$24:$J$24),0)</f>
        <v>0</v>
      </c>
      <c r="U2885" s="44">
        <f>IF(Mecze[[#This Row],[Role]]&lt;&gt;"BR",SUMPRODUCT(Mecze[[#This Row],[/PR:90]:[/BR:90]],Brudnopis!$E$25:$J$25),0)</f>
        <v>0</v>
      </c>
      <c r="V2885" s="44">
        <f>IF(Mecze[[#This Row],[Role]]&lt;&gt;"BR",SUMPRODUCT(Mecze[[#This Row],[/PR:90]:[/BR:90]],Brudnopis!$E$26:$J$26),0)</f>
        <v>0</v>
      </c>
      <c r="W2885" s="44">
        <f>IF(Mecze[[#This Row],[Role]]&lt;&gt;"BR",SUMPRODUCT(Mecze[[#This Row],[/PR:90]:[/BR:90]],Brudnopis!$E$27:$J$27),0)</f>
        <v>0</v>
      </c>
      <c r="X2885" s="44">
        <f>IF(Mecze[[#This Row],[Role]]&lt;&gt;"BR",SUMPRODUCT(Mecze[[#This Row],[/PR:90]:[/BR:90]],Brudnopis!$E$28:$J$28),0)</f>
        <v>0</v>
      </c>
      <c r="Y2885" s="35">
        <f>IF(Mecze[[#This Row],[Role]]="BR",Mecze[[#This Row],[/OB:90]]+Mecze[[#This Row],[/PC:90]],SUM(Mecze[[#This Row],[/PR:90]:[/BR:90]]))</f>
        <v>0.20833333333333334</v>
      </c>
      <c r="Z2885" s="35">
        <f>IF(Mecze[[#This Row],[KC]]=0,SUM(Mecze[[#This Row],[/BRI]:[/NPI]]),SUM(Mecze[[#This Row],[/BRI]:[/NPI]])*0.6)</f>
        <v>0.625</v>
      </c>
      <c r="AA2885" s="10">
        <f>IFERROR(Mecze[[#This Row],[BR]]/Mecze[[#This Row],[ST]],0)</f>
        <v>0</v>
      </c>
      <c r="AB2885">
        <f>ROUND(Mecze[[#This Row],[PD]]*Mecze[[#This Row],[%PC]],0)</f>
        <v>5</v>
      </c>
      <c r="AC2885">
        <f>ROUND(Mecze[[#This Row],[OD]]*Mecze[[#This Row],[%OU]],0)</f>
        <v>0</v>
      </c>
      <c r="AD2885" s="36" t="s">
        <v>40</v>
      </c>
      <c r="AE2885" s="36">
        <v>161</v>
      </c>
      <c r="AF2885" s="71">
        <v>3.5</v>
      </c>
      <c r="AG2885" s="37">
        <v>0</v>
      </c>
      <c r="AH2885" s="37">
        <v>0</v>
      </c>
      <c r="AI2885" s="37">
        <v>96</v>
      </c>
      <c r="AJ2885" s="37">
        <v>1</v>
      </c>
      <c r="AK2885" s="37" t="str">
        <f>VLOOKUP(Mecze[[#This Row],[Match ID]],Meczusie[Mecz]:Meczusie[RodzajMeczu],2,FALSE)</f>
        <v>Puchar</v>
      </c>
    </row>
    <row r="2886" spans="1:37" x14ac:dyDescent="0.25">
      <c r="A2886" s="76">
        <v>5</v>
      </c>
      <c r="B2886" s="3" t="s">
        <v>161</v>
      </c>
      <c r="C2886" s="2" t="s">
        <v>157</v>
      </c>
      <c r="D2886" s="1">
        <v>0</v>
      </c>
      <c r="E2886" s="1">
        <v>0</v>
      </c>
      <c r="F2886" s="1">
        <v>0</v>
      </c>
      <c r="G2886" s="1">
        <v>11</v>
      </c>
      <c r="H2886" s="4">
        <v>0.55000000000000004</v>
      </c>
      <c r="I2886" s="1">
        <v>6</v>
      </c>
      <c r="J2886" s="4">
        <v>0.33</v>
      </c>
      <c r="K2886" s="1">
        <v>0</v>
      </c>
      <c r="L2886" s="1">
        <v>4</v>
      </c>
      <c r="M2886" s="32">
        <f>IF(Mecze[[#This Row],[PR]]=0,0,Mecze[[#This Row],[PR]]/Mecze[[#This Row],[CZAS]])</f>
        <v>4.1666666666666664E-2</v>
      </c>
      <c r="N2886" s="32">
        <f>IF(Mecze[[#This Row],[OU]]=0,0,Mecze[[#This Row],[OU]]/Mecze[[#This Row],[CZAS]])</f>
        <v>2.0833333333333332E-2</v>
      </c>
      <c r="O2886" s="32">
        <f>IF(Mecze[[#This Row],[PC]]=0,0,Mecze[[#This Row],[PC]]/Mecze[[#This Row],[CZAS]])</f>
        <v>6.25E-2</v>
      </c>
      <c r="P2886" s="32">
        <f>IF(Mecze[[#This Row],[SC]]=0,0,Mecze[[#This Row],[SC]]/Mecze[[#This Row],[CZAS]])</f>
        <v>0</v>
      </c>
      <c r="Q2886" s="32">
        <f>IF(Mecze[[#This Row],[OB]]=0,0,Mecze[[#This Row],[OB]]/Mecze[[#This Row],[CZAS]])</f>
        <v>0</v>
      </c>
      <c r="R2886" s="32">
        <f>IF(Mecze[[#This Row],[BR]]=0,0,Mecze[[#This Row],[BR]]/Mecze[[#This Row],[CZAS]])</f>
        <v>0</v>
      </c>
      <c r="S2886" s="44">
        <f>IF(Mecze[[#This Row],[Role]]="BR",SUMPRODUCT(Mecze[[#This Row],[/PR:90]:[/BR:90]],Brudnopis!$E$23:$J$23),0)</f>
        <v>0</v>
      </c>
      <c r="T2886" s="44">
        <f>IF(Mecze[[#This Row],[Role]]&lt;&gt;"BR",SUMPRODUCT(Mecze[[#This Row],[/PR:90]:[/BR:90]],Brudnopis!$E$24:$J$24),0)</f>
        <v>0.13541666666666666</v>
      </c>
      <c r="U2886" s="44">
        <f>IF(Mecze[[#This Row],[Role]]&lt;&gt;"BR",SUMPRODUCT(Mecze[[#This Row],[/PR:90]:[/BR:90]],Brudnopis!$E$25:$J$25),0)</f>
        <v>0.15625</v>
      </c>
      <c r="V2886" s="44">
        <f>IF(Mecze[[#This Row],[Role]]&lt;&gt;"BR",SUMPRODUCT(Mecze[[#This Row],[/PR:90]:[/BR:90]],Brudnopis!$E$26:$J$26),0)</f>
        <v>0.125</v>
      </c>
      <c r="W2886" s="44">
        <f>IF(Mecze[[#This Row],[Role]]&lt;&gt;"BR",SUMPRODUCT(Mecze[[#This Row],[/PR:90]:[/BR:90]],Brudnopis!$E$27:$J$27),0)</f>
        <v>0.140625</v>
      </c>
      <c r="X2886" s="44">
        <f>IF(Mecze[[#This Row],[Role]]&lt;&gt;"BR",SUMPRODUCT(Mecze[[#This Row],[/PR:90]:[/BR:90]],Brudnopis!$E$28:$J$28),0)</f>
        <v>6.25E-2</v>
      </c>
      <c r="Y2886" s="35">
        <f>IF(Mecze[[#This Row],[Role]]="BR",Mecze[[#This Row],[/OB:90]]+Mecze[[#This Row],[/PC:90]],SUM(Mecze[[#This Row],[/PR:90]:[/BR:90]]))</f>
        <v>0.125</v>
      </c>
      <c r="Z2886" s="35">
        <f>IF(Mecze[[#This Row],[KC]]=0,SUM(Mecze[[#This Row],[/BRI]:[/NPI]]),SUM(Mecze[[#This Row],[/BRI]:[/NPI]])*0.6)</f>
        <v>0.61979166666666663</v>
      </c>
      <c r="AA2886" s="10">
        <f>IFERROR(Mecze[[#This Row],[BR]]/Mecze[[#This Row],[ST]],0)</f>
        <v>0</v>
      </c>
      <c r="AB2886">
        <f>ROUND(Mecze[[#This Row],[PD]]*Mecze[[#This Row],[%PC]],0)</f>
        <v>6</v>
      </c>
      <c r="AC2886">
        <f>ROUND(Mecze[[#This Row],[OD]]*Mecze[[#This Row],[%OU]],0)</f>
        <v>2</v>
      </c>
      <c r="AD2886" s="36" t="s">
        <v>47</v>
      </c>
      <c r="AE2886" s="36">
        <v>161</v>
      </c>
      <c r="AF2886" s="71">
        <v>-0.91</v>
      </c>
      <c r="AG2886" s="37">
        <v>0</v>
      </c>
      <c r="AH2886" s="37">
        <v>0</v>
      </c>
      <c r="AI2886" s="37">
        <v>96</v>
      </c>
      <c r="AJ2886" s="37">
        <v>1</v>
      </c>
      <c r="AK2886" s="37" t="str">
        <f>VLOOKUP(Mecze[[#This Row],[Match ID]],Meczusie[Mecz]:Meczusie[RodzajMeczu],2,FALSE)</f>
        <v>Puchar</v>
      </c>
    </row>
    <row r="2887" spans="1:37" x14ac:dyDescent="0.25">
      <c r="A2887" s="76">
        <v>3</v>
      </c>
      <c r="B2887" s="3" t="s">
        <v>158</v>
      </c>
      <c r="C2887" s="2" t="s">
        <v>157</v>
      </c>
      <c r="D2887" s="1">
        <v>0</v>
      </c>
      <c r="E2887" s="1">
        <v>0</v>
      </c>
      <c r="F2887" s="1">
        <v>0</v>
      </c>
      <c r="G2887" s="1">
        <v>2</v>
      </c>
      <c r="H2887" s="4">
        <v>0</v>
      </c>
      <c r="I2887" s="1">
        <v>6</v>
      </c>
      <c r="J2887" s="4">
        <v>0.17</v>
      </c>
      <c r="K2887" s="1">
        <v>0</v>
      </c>
      <c r="L2887" s="1">
        <v>2</v>
      </c>
      <c r="M2887" s="32">
        <f>IF(Mecze[[#This Row],[PR]]=0,0,Mecze[[#This Row],[PR]]/Mecze[[#This Row],[CZAS]])</f>
        <v>2.0833333333333332E-2</v>
      </c>
      <c r="N2887" s="32">
        <f>IF(Mecze[[#This Row],[OU]]=0,0,Mecze[[#This Row],[OU]]/Mecze[[#This Row],[CZAS]])</f>
        <v>1.0416666666666666E-2</v>
      </c>
      <c r="O2887" s="32">
        <f>IF(Mecze[[#This Row],[PC]]=0,0,Mecze[[#This Row],[PC]]/Mecze[[#This Row],[CZAS]])</f>
        <v>0</v>
      </c>
      <c r="P2887" s="32">
        <f>IF(Mecze[[#This Row],[SC]]=0,0,Mecze[[#This Row],[SC]]/Mecze[[#This Row],[CZAS]])</f>
        <v>0</v>
      </c>
      <c r="Q2887" s="32">
        <f>IF(Mecze[[#This Row],[OB]]=0,0,Mecze[[#This Row],[OB]]/Mecze[[#This Row],[CZAS]])</f>
        <v>0</v>
      </c>
      <c r="R2887" s="32">
        <f>IF(Mecze[[#This Row],[BR]]=0,0,Mecze[[#This Row],[BR]]/Mecze[[#This Row],[CZAS]])</f>
        <v>0</v>
      </c>
      <c r="S2887" s="44">
        <f>IF(Mecze[[#This Row],[Role]]="BR",SUMPRODUCT(Mecze[[#This Row],[/PR:90]:[/BR:90]],Brudnopis!$E$23:$J$23),0)</f>
        <v>0</v>
      </c>
      <c r="T2887" s="44">
        <f>IF(Mecze[[#This Row],[Role]]&lt;&gt;"BR",SUMPRODUCT(Mecze[[#This Row],[/PR:90]:[/BR:90]],Brudnopis!$E$24:$J$24),0)</f>
        <v>3.6458333333333329E-2</v>
      </c>
      <c r="U2887" s="44">
        <f>IF(Mecze[[#This Row],[Role]]&lt;&gt;"BR",SUMPRODUCT(Mecze[[#This Row],[/PR:90]:[/BR:90]],Brudnopis!$E$25:$J$25),0)</f>
        <v>3.125E-2</v>
      </c>
      <c r="V2887" s="44">
        <f>IF(Mecze[[#This Row],[Role]]&lt;&gt;"BR",SUMPRODUCT(Mecze[[#This Row],[/PR:90]:[/BR:90]],Brudnopis!$E$26:$J$26),0)</f>
        <v>3.125E-2</v>
      </c>
      <c r="W2887" s="44">
        <f>IF(Mecze[[#This Row],[Role]]&lt;&gt;"BR",SUMPRODUCT(Mecze[[#This Row],[/PR:90]:[/BR:90]],Brudnopis!$E$27:$J$27),0)</f>
        <v>2.34375E-2</v>
      </c>
      <c r="X2887" s="44">
        <f>IF(Mecze[[#This Row],[Role]]&lt;&gt;"BR",SUMPRODUCT(Mecze[[#This Row],[/PR:90]:[/BR:90]],Brudnopis!$E$28:$J$28),0)</f>
        <v>0</v>
      </c>
      <c r="Y2887" s="35">
        <f>IF(Mecze[[#This Row],[Role]]="BR",Mecze[[#This Row],[/OB:90]]+Mecze[[#This Row],[/PC:90]],SUM(Mecze[[#This Row],[/PR:90]:[/BR:90]]))</f>
        <v>3.125E-2</v>
      </c>
      <c r="Z2887" s="35">
        <f>IF(Mecze[[#This Row],[KC]]=0,SUM(Mecze[[#This Row],[/BRI]:[/NPI]]),SUM(Mecze[[#This Row],[/BRI]:[/NPI]])*0.6)</f>
        <v>0.12239583333333333</v>
      </c>
      <c r="AA2887" s="10">
        <f>IFERROR(Mecze[[#This Row],[BR]]/Mecze[[#This Row],[ST]],0)</f>
        <v>0</v>
      </c>
      <c r="AB2887">
        <f>ROUND(Mecze[[#This Row],[PD]]*Mecze[[#This Row],[%PC]],0)</f>
        <v>0</v>
      </c>
      <c r="AC2887">
        <f>ROUND(Mecze[[#This Row],[OD]]*Mecze[[#This Row],[%OU]],0)</f>
        <v>1</v>
      </c>
      <c r="AD2887" s="36" t="s">
        <v>168</v>
      </c>
      <c r="AE2887" s="36">
        <v>161</v>
      </c>
      <c r="AF2887" s="71">
        <v>-1.33</v>
      </c>
      <c r="AG2887" s="37">
        <v>0</v>
      </c>
      <c r="AH2887" s="37">
        <v>0</v>
      </c>
      <c r="AI2887" s="37">
        <v>96</v>
      </c>
      <c r="AJ2887" s="37">
        <v>1</v>
      </c>
      <c r="AK2887" s="37" t="str">
        <f>VLOOKUP(Mecze[[#This Row],[Match ID]],Meczusie[Mecz]:Meczusie[RodzajMeczu],2,FALSE)</f>
        <v>Puchar</v>
      </c>
    </row>
    <row r="2888" spans="1:37" x14ac:dyDescent="0.25">
      <c r="A2888" s="76">
        <v>4</v>
      </c>
      <c r="B2888" s="3" t="s">
        <v>360</v>
      </c>
      <c r="C2888" s="2" t="s">
        <v>157</v>
      </c>
      <c r="D2888" s="1">
        <v>0</v>
      </c>
      <c r="E2888" s="1">
        <v>0</v>
      </c>
      <c r="F2888" s="1">
        <v>0</v>
      </c>
      <c r="G2888" s="1">
        <v>10</v>
      </c>
      <c r="H2888" s="4">
        <v>0.7</v>
      </c>
      <c r="I2888" s="1">
        <v>12</v>
      </c>
      <c r="J2888" s="4">
        <v>0.33</v>
      </c>
      <c r="K2888" s="1">
        <v>0</v>
      </c>
      <c r="L2888" s="1">
        <v>13</v>
      </c>
      <c r="M2888" s="32">
        <f>IF(Mecze[[#This Row],[PR]]=0,0,Mecze[[#This Row],[PR]]/Mecze[[#This Row],[CZAS]])</f>
        <v>0.13541666666666666</v>
      </c>
      <c r="N2888" s="32">
        <f>IF(Mecze[[#This Row],[OU]]=0,0,Mecze[[#This Row],[OU]]/Mecze[[#This Row],[CZAS]])</f>
        <v>4.1666666666666664E-2</v>
      </c>
      <c r="O2888" s="32">
        <f>IF(Mecze[[#This Row],[PC]]=0,0,Mecze[[#This Row],[PC]]/Mecze[[#This Row],[CZAS]])</f>
        <v>7.2916666666666671E-2</v>
      </c>
      <c r="P2888" s="32">
        <f>IF(Mecze[[#This Row],[SC]]=0,0,Mecze[[#This Row],[SC]]/Mecze[[#This Row],[CZAS]])</f>
        <v>0</v>
      </c>
      <c r="Q2888" s="32">
        <f>IF(Mecze[[#This Row],[OB]]=0,0,Mecze[[#This Row],[OB]]/Mecze[[#This Row],[CZAS]])</f>
        <v>0</v>
      </c>
      <c r="R2888" s="32">
        <f>IF(Mecze[[#This Row],[BR]]=0,0,Mecze[[#This Row],[BR]]/Mecze[[#This Row],[CZAS]])</f>
        <v>0</v>
      </c>
      <c r="S2888" s="44">
        <f>IF(Mecze[[#This Row],[Role]]="BR",SUMPRODUCT(Mecze[[#This Row],[/PR:90]:[/BR:90]],Brudnopis!$E$23:$J$23),0)</f>
        <v>0</v>
      </c>
      <c r="T2888" s="44">
        <f>IF(Mecze[[#This Row],[Role]]&lt;&gt;"BR",SUMPRODUCT(Mecze[[#This Row],[/PR:90]:[/BR:90]],Brudnopis!$E$24:$J$24),0)</f>
        <v>0.27083333333333331</v>
      </c>
      <c r="U2888" s="44">
        <f>IF(Mecze[[#This Row],[Role]]&lt;&gt;"BR",SUMPRODUCT(Mecze[[#This Row],[/PR:90]:[/BR:90]],Brudnopis!$E$25:$J$25),0)</f>
        <v>0.28645833333333331</v>
      </c>
      <c r="V2888" s="44">
        <f>IF(Mecze[[#This Row],[Role]]&lt;&gt;"BR",SUMPRODUCT(Mecze[[#This Row],[/PR:90]:[/BR:90]],Brudnopis!$E$26:$J$26),0)</f>
        <v>0.25</v>
      </c>
      <c r="W2888" s="44">
        <f>IF(Mecze[[#This Row],[Role]]&lt;&gt;"BR",SUMPRODUCT(Mecze[[#This Row],[/PR:90]:[/BR:90]],Brudnopis!$E$27:$J$27),0)</f>
        <v>0.2421875</v>
      </c>
      <c r="X2888" s="44">
        <f>IF(Mecze[[#This Row],[Role]]&lt;&gt;"BR",SUMPRODUCT(Mecze[[#This Row],[/PR:90]:[/BR:90]],Brudnopis!$E$28:$J$28),0)</f>
        <v>7.2916666666666671E-2</v>
      </c>
      <c r="Y2888" s="35">
        <f>IF(Mecze[[#This Row],[Role]]="BR",Mecze[[#This Row],[/OB:90]]+Mecze[[#This Row],[/PC:90]],SUM(Mecze[[#This Row],[/PR:90]:[/BR:90]]))</f>
        <v>0.25</v>
      </c>
      <c r="Z2888" s="35">
        <f>IF(Mecze[[#This Row],[KC]]=0,SUM(Mecze[[#This Row],[/BRI]:[/NPI]]),SUM(Mecze[[#This Row],[/BRI]:[/NPI]])*0.6)</f>
        <v>1.1223958333333333</v>
      </c>
      <c r="AA2888" s="10">
        <f>IFERROR(Mecze[[#This Row],[BR]]/Mecze[[#This Row],[ST]],0)</f>
        <v>0</v>
      </c>
      <c r="AB2888">
        <f>ROUND(Mecze[[#This Row],[PD]]*Mecze[[#This Row],[%PC]],0)</f>
        <v>7</v>
      </c>
      <c r="AC2888">
        <f>ROUND(Mecze[[#This Row],[OD]]*Mecze[[#This Row],[%OU]],0)</f>
        <v>4</v>
      </c>
      <c r="AD2888" s="36" t="s">
        <v>167</v>
      </c>
      <c r="AE2888" s="36">
        <v>161</v>
      </c>
      <c r="AF2888" s="71">
        <v>0.98</v>
      </c>
      <c r="AG2888" s="37">
        <v>0</v>
      </c>
      <c r="AH2888" s="37">
        <v>0</v>
      </c>
      <c r="AI2888" s="37">
        <v>96</v>
      </c>
      <c r="AJ2888" s="37">
        <v>1</v>
      </c>
      <c r="AK2888" s="37" t="str">
        <f>VLOOKUP(Mecze[[#This Row],[Match ID]],Meczusie[Mecz]:Meczusie[RodzajMeczu],2,FALSE)</f>
        <v>Puchar</v>
      </c>
    </row>
    <row r="2889" spans="1:37" x14ac:dyDescent="0.25">
      <c r="A2889" s="76">
        <v>8</v>
      </c>
      <c r="B2889" s="3" t="s">
        <v>154</v>
      </c>
      <c r="C2889" s="2" t="s">
        <v>160</v>
      </c>
      <c r="D2889" s="1">
        <v>0</v>
      </c>
      <c r="E2889" s="1">
        <v>0</v>
      </c>
      <c r="F2889" s="1">
        <v>0</v>
      </c>
      <c r="G2889" s="1">
        <v>8</v>
      </c>
      <c r="H2889" s="4">
        <v>0.25</v>
      </c>
      <c r="I2889" s="1">
        <v>3</v>
      </c>
      <c r="J2889" s="4">
        <v>0</v>
      </c>
      <c r="K2889" s="1">
        <v>0</v>
      </c>
      <c r="L2889" s="1">
        <v>0</v>
      </c>
      <c r="M2889" s="32">
        <f>IF(Mecze[[#This Row],[PR]]=0,0,Mecze[[#This Row],[PR]]/Mecze[[#This Row],[CZAS]])</f>
        <v>0</v>
      </c>
      <c r="N2889" s="32">
        <f>IF(Mecze[[#This Row],[OU]]=0,0,Mecze[[#This Row],[OU]]/Mecze[[#This Row],[CZAS]])</f>
        <v>0</v>
      </c>
      <c r="O2889" s="32">
        <f>IF(Mecze[[#This Row],[PC]]=0,0,Mecze[[#This Row],[PC]]/Mecze[[#This Row],[CZAS]])</f>
        <v>2.0833333333333332E-2</v>
      </c>
      <c r="P2889" s="32">
        <f>IF(Mecze[[#This Row],[SC]]=0,0,Mecze[[#This Row],[SC]]/Mecze[[#This Row],[CZAS]])</f>
        <v>0</v>
      </c>
      <c r="Q2889" s="32">
        <f>IF(Mecze[[#This Row],[OB]]=0,0,Mecze[[#This Row],[OB]]/Mecze[[#This Row],[CZAS]])</f>
        <v>0</v>
      </c>
      <c r="R2889" s="32">
        <f>IF(Mecze[[#This Row],[BR]]=0,0,Mecze[[#This Row],[BR]]/Mecze[[#This Row],[CZAS]])</f>
        <v>0</v>
      </c>
      <c r="S2889" s="44">
        <f>IF(Mecze[[#This Row],[Role]]="BR",SUMPRODUCT(Mecze[[#This Row],[/PR:90]:[/BR:90]],Brudnopis!$E$23:$J$23),0)</f>
        <v>0</v>
      </c>
      <c r="T2889" s="44">
        <f>IF(Mecze[[#This Row],[Role]]&lt;&gt;"BR",SUMPRODUCT(Mecze[[#This Row],[/PR:90]:[/BR:90]],Brudnopis!$E$24:$J$24),0)</f>
        <v>2.0833333333333332E-2</v>
      </c>
      <c r="U2889" s="44">
        <f>IF(Mecze[[#This Row],[Role]]&lt;&gt;"BR",SUMPRODUCT(Mecze[[#This Row],[/PR:90]:[/BR:90]],Brudnopis!$E$25:$J$25),0)</f>
        <v>3.125E-2</v>
      </c>
      <c r="V2889" s="44">
        <f>IF(Mecze[[#This Row],[Role]]&lt;&gt;"BR",SUMPRODUCT(Mecze[[#This Row],[/PR:90]:[/BR:90]],Brudnopis!$E$26:$J$26),0)</f>
        <v>2.0833333333333332E-2</v>
      </c>
      <c r="W2889" s="44">
        <f>IF(Mecze[[#This Row],[Role]]&lt;&gt;"BR",SUMPRODUCT(Mecze[[#This Row],[/PR:90]:[/BR:90]],Brudnopis!$E$27:$J$27),0)</f>
        <v>3.125E-2</v>
      </c>
      <c r="X2889" s="44">
        <f>IF(Mecze[[#This Row],[Role]]&lt;&gt;"BR",SUMPRODUCT(Mecze[[#This Row],[/PR:90]:[/BR:90]],Brudnopis!$E$28:$J$28),0)</f>
        <v>2.0833333333333332E-2</v>
      </c>
      <c r="Y2889" s="35">
        <f>IF(Mecze[[#This Row],[Role]]="BR",Mecze[[#This Row],[/OB:90]]+Mecze[[#This Row],[/PC:90]],SUM(Mecze[[#This Row],[/PR:90]:[/BR:90]]))</f>
        <v>2.0833333333333332E-2</v>
      </c>
      <c r="Z2889" s="35">
        <f>IF(Mecze[[#This Row],[KC]]=0,SUM(Mecze[[#This Row],[/BRI]:[/NPI]]),SUM(Mecze[[#This Row],[/BRI]:[/NPI]])*0.6)</f>
        <v>0.12499999999999999</v>
      </c>
      <c r="AA2889" s="10">
        <f>IFERROR(Mecze[[#This Row],[BR]]/Mecze[[#This Row],[ST]],0)</f>
        <v>0</v>
      </c>
      <c r="AB2889">
        <f>ROUND(Mecze[[#This Row],[PD]]*Mecze[[#This Row],[%PC]],0)</f>
        <v>2</v>
      </c>
      <c r="AC2889">
        <f>ROUND(Mecze[[#This Row],[OD]]*Mecze[[#This Row],[%OU]],0)</f>
        <v>0</v>
      </c>
      <c r="AD2889" s="36" t="s">
        <v>41</v>
      </c>
      <c r="AE2889" s="36">
        <v>161</v>
      </c>
      <c r="AF2889" s="71">
        <v>2.7</v>
      </c>
      <c r="AG2889" s="37">
        <v>0</v>
      </c>
      <c r="AH2889" s="37">
        <v>0</v>
      </c>
      <c r="AI2889" s="37">
        <v>96</v>
      </c>
      <c r="AJ2889" s="37">
        <v>1</v>
      </c>
      <c r="AK2889" s="37" t="str">
        <f>VLOOKUP(Mecze[[#This Row],[Match ID]],Meczusie[Mecz]:Meczusie[RodzajMeczu],2,FALSE)</f>
        <v>Puchar</v>
      </c>
    </row>
    <row r="2890" spans="1:37" x14ac:dyDescent="0.25">
      <c r="A2890" s="76">
        <v>6</v>
      </c>
      <c r="B2890" s="3" t="s">
        <v>159</v>
      </c>
      <c r="C2890" s="2" t="s">
        <v>160</v>
      </c>
      <c r="D2890" s="1">
        <v>0</v>
      </c>
      <c r="E2890" s="1">
        <v>0</v>
      </c>
      <c r="F2890" s="1">
        <v>0</v>
      </c>
      <c r="G2890" s="1">
        <v>5</v>
      </c>
      <c r="H2890" s="4">
        <v>0.6</v>
      </c>
      <c r="I2890" s="1">
        <v>4</v>
      </c>
      <c r="J2890" s="4">
        <v>0.25</v>
      </c>
      <c r="K2890" s="1">
        <v>0</v>
      </c>
      <c r="L2890" s="1">
        <v>1</v>
      </c>
      <c r="M2890" s="32">
        <f>IF(Mecze[[#This Row],[PR]]=0,0,Mecze[[#This Row],[PR]]/Mecze[[#This Row],[CZAS]])</f>
        <v>1.0416666666666666E-2</v>
      </c>
      <c r="N2890" s="32">
        <f>IF(Mecze[[#This Row],[OU]]=0,0,Mecze[[#This Row],[OU]]/Mecze[[#This Row],[CZAS]])</f>
        <v>1.0416666666666666E-2</v>
      </c>
      <c r="O2890" s="32">
        <f>IF(Mecze[[#This Row],[PC]]=0,0,Mecze[[#This Row],[PC]]/Mecze[[#This Row],[CZAS]])</f>
        <v>3.125E-2</v>
      </c>
      <c r="P2890" s="32">
        <f>IF(Mecze[[#This Row],[SC]]=0,0,Mecze[[#This Row],[SC]]/Mecze[[#This Row],[CZAS]])</f>
        <v>0</v>
      </c>
      <c r="Q2890" s="32">
        <f>IF(Mecze[[#This Row],[OB]]=0,0,Mecze[[#This Row],[OB]]/Mecze[[#This Row],[CZAS]])</f>
        <v>0</v>
      </c>
      <c r="R2890" s="32">
        <f>IF(Mecze[[#This Row],[BR]]=0,0,Mecze[[#This Row],[BR]]/Mecze[[#This Row],[CZAS]])</f>
        <v>0</v>
      </c>
      <c r="S2890" s="44">
        <f>IF(Mecze[[#This Row],[Role]]="BR",SUMPRODUCT(Mecze[[#This Row],[/PR:90]:[/BR:90]],Brudnopis!$E$23:$J$23),0)</f>
        <v>0</v>
      </c>
      <c r="T2890" s="44">
        <f>IF(Mecze[[#This Row],[Role]]&lt;&gt;"BR",SUMPRODUCT(Mecze[[#This Row],[/PR:90]:[/BR:90]],Brudnopis!$E$24:$J$24),0)</f>
        <v>5.7291666666666664E-2</v>
      </c>
      <c r="U2890" s="44">
        <f>IF(Mecze[[#This Row],[Role]]&lt;&gt;"BR",SUMPRODUCT(Mecze[[#This Row],[/PR:90]:[/BR:90]],Brudnopis!$E$25:$J$25),0)</f>
        <v>6.7708333333333329E-2</v>
      </c>
      <c r="V2890" s="44">
        <f>IF(Mecze[[#This Row],[Role]]&lt;&gt;"BR",SUMPRODUCT(Mecze[[#This Row],[/PR:90]:[/BR:90]],Brudnopis!$E$26:$J$26),0)</f>
        <v>5.2083333333333329E-2</v>
      </c>
      <c r="W2890" s="44">
        <f>IF(Mecze[[#This Row],[Role]]&lt;&gt;"BR",SUMPRODUCT(Mecze[[#This Row],[/PR:90]:[/BR:90]],Brudnopis!$E$27:$J$27),0)</f>
        <v>6.25E-2</v>
      </c>
      <c r="X2890" s="44">
        <f>IF(Mecze[[#This Row],[Role]]&lt;&gt;"BR",SUMPRODUCT(Mecze[[#This Row],[/PR:90]:[/BR:90]],Brudnopis!$E$28:$J$28),0)</f>
        <v>3.125E-2</v>
      </c>
      <c r="Y2890" s="35">
        <f>IF(Mecze[[#This Row],[Role]]="BR",Mecze[[#This Row],[/OB:90]]+Mecze[[#This Row],[/PC:90]],SUM(Mecze[[#This Row],[/PR:90]:[/BR:90]]))</f>
        <v>5.2083333333333329E-2</v>
      </c>
      <c r="Z2890" s="35">
        <f>IF(Mecze[[#This Row],[KC]]=0,SUM(Mecze[[#This Row],[/BRI]:[/NPI]]),SUM(Mecze[[#This Row],[/BRI]:[/NPI]])*0.6)</f>
        <v>0.27083333333333331</v>
      </c>
      <c r="AA2890" s="10">
        <f>IFERROR(Mecze[[#This Row],[BR]]/Mecze[[#This Row],[ST]],0)</f>
        <v>0</v>
      </c>
      <c r="AB2890">
        <f>ROUND(Mecze[[#This Row],[PD]]*Mecze[[#This Row],[%PC]],0)</f>
        <v>3</v>
      </c>
      <c r="AC2890">
        <f>ROUND(Mecze[[#This Row],[OD]]*Mecze[[#This Row],[%OU]],0)</f>
        <v>1</v>
      </c>
      <c r="AD2890" s="36" t="s">
        <v>41</v>
      </c>
      <c r="AE2890" s="36">
        <v>161</v>
      </c>
      <c r="AF2890" s="71">
        <v>4.12</v>
      </c>
      <c r="AG2890" s="37">
        <v>0</v>
      </c>
      <c r="AH2890" s="37">
        <v>0</v>
      </c>
      <c r="AI2890" s="37">
        <v>96</v>
      </c>
      <c r="AJ2890" s="37">
        <v>1</v>
      </c>
      <c r="AK2890" s="37" t="str">
        <f>VLOOKUP(Mecze[[#This Row],[Match ID]],Meczusie[Mecz]:Meczusie[RodzajMeczu],2,FALSE)</f>
        <v>Puchar</v>
      </c>
    </row>
    <row r="2891" spans="1:37" x14ac:dyDescent="0.25">
      <c r="A2891" s="76">
        <v>17</v>
      </c>
      <c r="B2891" s="3" t="s">
        <v>413</v>
      </c>
      <c r="C2891" s="2" t="s">
        <v>160</v>
      </c>
      <c r="D2891" s="1">
        <v>0</v>
      </c>
      <c r="E2891" s="1">
        <v>0</v>
      </c>
      <c r="F2891" s="1">
        <v>0</v>
      </c>
      <c r="G2891" s="1">
        <v>19</v>
      </c>
      <c r="H2891" s="4">
        <v>0.53</v>
      </c>
      <c r="I2891" s="1">
        <v>8</v>
      </c>
      <c r="J2891" s="4">
        <v>0.63</v>
      </c>
      <c r="K2891" s="1">
        <v>0</v>
      </c>
      <c r="L2891" s="1">
        <v>1</v>
      </c>
      <c r="M2891" s="32">
        <f>IF(Mecze[[#This Row],[PR]]=0,0,Mecze[[#This Row],[PR]]/Mecze[[#This Row],[CZAS]])</f>
        <v>1.0416666666666666E-2</v>
      </c>
      <c r="N2891" s="32">
        <f>IF(Mecze[[#This Row],[OU]]=0,0,Mecze[[#This Row],[OU]]/Mecze[[#This Row],[CZAS]])</f>
        <v>5.2083333333333336E-2</v>
      </c>
      <c r="O2891" s="32">
        <f>IF(Mecze[[#This Row],[PC]]=0,0,Mecze[[#This Row],[PC]]/Mecze[[#This Row],[CZAS]])</f>
        <v>0.10416666666666667</v>
      </c>
      <c r="P2891" s="32">
        <f>IF(Mecze[[#This Row],[SC]]=0,0,Mecze[[#This Row],[SC]]/Mecze[[#This Row],[CZAS]])</f>
        <v>0</v>
      </c>
      <c r="Q2891" s="32">
        <f>IF(Mecze[[#This Row],[OB]]=0,0,Mecze[[#This Row],[OB]]/Mecze[[#This Row],[CZAS]])</f>
        <v>0</v>
      </c>
      <c r="R2891" s="32">
        <f>IF(Mecze[[#This Row],[BR]]=0,0,Mecze[[#This Row],[BR]]/Mecze[[#This Row],[CZAS]])</f>
        <v>0</v>
      </c>
      <c r="S2891" s="44">
        <f>IF(Mecze[[#This Row],[Role]]="BR",SUMPRODUCT(Mecze[[#This Row],[/PR:90]:[/BR:90]],Brudnopis!$E$23:$J$23),0)</f>
        <v>0</v>
      </c>
      <c r="T2891" s="44">
        <f>IF(Mecze[[#This Row],[Role]]&lt;&gt;"BR",SUMPRODUCT(Mecze[[#This Row],[/PR:90]:[/BR:90]],Brudnopis!$E$24:$J$24),0)</f>
        <v>0.19270833333333334</v>
      </c>
      <c r="U2891" s="44">
        <f>IF(Mecze[[#This Row],[Role]]&lt;&gt;"BR",SUMPRODUCT(Mecze[[#This Row],[/PR:90]:[/BR:90]],Brudnopis!$E$25:$J$25),0)</f>
        <v>0.21875</v>
      </c>
      <c r="V2891" s="44">
        <f>IF(Mecze[[#This Row],[Role]]&lt;&gt;"BR",SUMPRODUCT(Mecze[[#This Row],[/PR:90]:[/BR:90]],Brudnopis!$E$26:$J$26),0)</f>
        <v>0.16666666666666669</v>
      </c>
      <c r="W2891" s="44">
        <f>IF(Mecze[[#This Row],[Role]]&lt;&gt;"BR",SUMPRODUCT(Mecze[[#This Row],[/PR:90]:[/BR:90]],Brudnopis!$E$27:$J$27),0)</f>
        <v>0.203125</v>
      </c>
      <c r="X2891" s="44">
        <f>IF(Mecze[[#This Row],[Role]]&lt;&gt;"BR",SUMPRODUCT(Mecze[[#This Row],[/PR:90]:[/BR:90]],Brudnopis!$E$28:$J$28),0)</f>
        <v>0.10416666666666667</v>
      </c>
      <c r="Y2891" s="35">
        <f>IF(Mecze[[#This Row],[Role]]="BR",Mecze[[#This Row],[/OB:90]]+Mecze[[#This Row],[/PC:90]],SUM(Mecze[[#This Row],[/PR:90]:[/BR:90]]))</f>
        <v>0.16666666666666669</v>
      </c>
      <c r="Z2891" s="35">
        <f>IF(Mecze[[#This Row],[KC]]=0,SUM(Mecze[[#This Row],[/BRI]:[/NPI]]),SUM(Mecze[[#This Row],[/BRI]:[/NPI]])*0.6)</f>
        <v>0.88541666666666663</v>
      </c>
      <c r="AA2891" s="10">
        <f>IFERROR(Mecze[[#This Row],[BR]]/Mecze[[#This Row],[ST]],0)</f>
        <v>0</v>
      </c>
      <c r="AB2891">
        <f>ROUND(Mecze[[#This Row],[PD]]*Mecze[[#This Row],[%PC]],0)</f>
        <v>10</v>
      </c>
      <c r="AC2891">
        <f>ROUND(Mecze[[#This Row],[OD]]*Mecze[[#This Row],[%OU]],0)</f>
        <v>5</v>
      </c>
      <c r="AD2891" s="36" t="s">
        <v>67</v>
      </c>
      <c r="AE2891" s="36">
        <v>161</v>
      </c>
      <c r="AF2891" s="71">
        <v>4.12</v>
      </c>
      <c r="AG2891" s="37">
        <v>0</v>
      </c>
      <c r="AH2891" s="37">
        <v>0</v>
      </c>
      <c r="AI2891" s="37">
        <v>96</v>
      </c>
      <c r="AJ2891" s="37">
        <v>1</v>
      </c>
      <c r="AK2891" s="37" t="str">
        <f>VLOOKUP(Mecze[[#This Row],[Match ID]],Meczusie[Mecz]:Meczusie[RodzajMeczu],2,FALSE)</f>
        <v>Puchar</v>
      </c>
    </row>
    <row r="2892" spans="1:37" x14ac:dyDescent="0.25">
      <c r="A2892" s="76">
        <v>13</v>
      </c>
      <c r="B2892" s="3" t="s">
        <v>162</v>
      </c>
      <c r="C2892" s="2" t="s">
        <v>160</v>
      </c>
      <c r="D2892" s="1">
        <v>0</v>
      </c>
      <c r="E2892" s="1">
        <v>0</v>
      </c>
      <c r="F2892" s="1">
        <v>0</v>
      </c>
      <c r="G2892" s="1">
        <v>4</v>
      </c>
      <c r="H2892" s="4">
        <v>0.75</v>
      </c>
      <c r="I2892" s="1">
        <v>2</v>
      </c>
      <c r="J2892" s="4">
        <v>0</v>
      </c>
      <c r="K2892" s="1">
        <v>0</v>
      </c>
      <c r="L2892" s="1">
        <v>1</v>
      </c>
      <c r="M2892" s="32">
        <f>IF(Mecze[[#This Row],[PR]]=0,0,Mecze[[#This Row],[PR]]/Mecze[[#This Row],[CZAS]])</f>
        <v>1.0416666666666666E-2</v>
      </c>
      <c r="N2892" s="32">
        <f>IF(Mecze[[#This Row],[OU]]=0,0,Mecze[[#This Row],[OU]]/Mecze[[#This Row],[CZAS]])</f>
        <v>0</v>
      </c>
      <c r="O2892" s="32">
        <f>IF(Mecze[[#This Row],[PC]]=0,0,Mecze[[#This Row],[PC]]/Mecze[[#This Row],[CZAS]])</f>
        <v>3.125E-2</v>
      </c>
      <c r="P2892" s="32">
        <f>IF(Mecze[[#This Row],[SC]]=0,0,Mecze[[#This Row],[SC]]/Mecze[[#This Row],[CZAS]])</f>
        <v>0</v>
      </c>
      <c r="Q2892" s="32">
        <f>IF(Mecze[[#This Row],[OB]]=0,0,Mecze[[#This Row],[OB]]/Mecze[[#This Row],[CZAS]])</f>
        <v>0</v>
      </c>
      <c r="R2892" s="32">
        <f>IF(Mecze[[#This Row],[BR]]=0,0,Mecze[[#This Row],[BR]]/Mecze[[#This Row],[CZAS]])</f>
        <v>0</v>
      </c>
      <c r="S2892" s="44">
        <f>IF(Mecze[[#This Row],[Role]]="BR",SUMPRODUCT(Mecze[[#This Row],[/PR:90]:[/BR:90]],Brudnopis!$E$23:$J$23),0)</f>
        <v>0</v>
      </c>
      <c r="T2892" s="44">
        <f>IF(Mecze[[#This Row],[Role]]&lt;&gt;"BR",SUMPRODUCT(Mecze[[#This Row],[/PR:90]:[/BR:90]],Brudnopis!$E$24:$J$24),0)</f>
        <v>4.1666666666666664E-2</v>
      </c>
      <c r="U2892" s="44">
        <f>IF(Mecze[[#This Row],[Role]]&lt;&gt;"BR",SUMPRODUCT(Mecze[[#This Row],[/PR:90]:[/BR:90]],Brudnopis!$E$25:$J$25),0)</f>
        <v>5.7291666666666664E-2</v>
      </c>
      <c r="V2892" s="44">
        <f>IF(Mecze[[#This Row],[Role]]&lt;&gt;"BR",SUMPRODUCT(Mecze[[#This Row],[/PR:90]:[/BR:90]],Brudnopis!$E$26:$J$26),0)</f>
        <v>4.1666666666666664E-2</v>
      </c>
      <c r="W2892" s="44">
        <f>IF(Mecze[[#This Row],[Role]]&lt;&gt;"BR",SUMPRODUCT(Mecze[[#This Row],[/PR:90]:[/BR:90]],Brudnopis!$E$27:$J$27),0)</f>
        <v>5.46875E-2</v>
      </c>
      <c r="X2892" s="44">
        <f>IF(Mecze[[#This Row],[Role]]&lt;&gt;"BR",SUMPRODUCT(Mecze[[#This Row],[/PR:90]:[/BR:90]],Brudnopis!$E$28:$J$28),0)</f>
        <v>3.125E-2</v>
      </c>
      <c r="Y2892" s="35">
        <f>IF(Mecze[[#This Row],[Role]]="BR",Mecze[[#This Row],[/OB:90]]+Mecze[[#This Row],[/PC:90]],SUM(Mecze[[#This Row],[/PR:90]:[/BR:90]]))</f>
        <v>4.1666666666666664E-2</v>
      </c>
      <c r="Z2892" s="35">
        <f>IF(Mecze[[#This Row],[KC]]=0,SUM(Mecze[[#This Row],[/BRI]:[/NPI]]),SUM(Mecze[[#This Row],[/BRI]:[/NPI]])*0.6)</f>
        <v>0.2265625</v>
      </c>
      <c r="AA2892" s="10">
        <f>IFERROR(Mecze[[#This Row],[BR]]/Mecze[[#This Row],[ST]],0)</f>
        <v>0</v>
      </c>
      <c r="AB2892">
        <f>ROUND(Mecze[[#This Row],[PD]]*Mecze[[#This Row],[%PC]],0)</f>
        <v>3</v>
      </c>
      <c r="AC2892">
        <f>ROUND(Mecze[[#This Row],[OD]]*Mecze[[#This Row],[%OU]],0)</f>
        <v>0</v>
      </c>
      <c r="AD2892" s="36" t="s">
        <v>299</v>
      </c>
      <c r="AE2892" s="36">
        <v>161</v>
      </c>
      <c r="AF2892" s="71">
        <v>2.91</v>
      </c>
      <c r="AG2892" s="37">
        <v>0</v>
      </c>
      <c r="AH2892" s="37">
        <v>0</v>
      </c>
      <c r="AI2892" s="37">
        <v>96</v>
      </c>
      <c r="AJ2892" s="37">
        <v>1</v>
      </c>
      <c r="AK2892" s="37" t="str">
        <f>VLOOKUP(Mecze[[#This Row],[Match ID]],Meczusie[Mecz]:Meczusie[RodzajMeczu],2,FALSE)</f>
        <v>Puchar</v>
      </c>
    </row>
    <row r="2893" spans="1:37" x14ac:dyDescent="0.25">
      <c r="A2893" s="76">
        <v>14</v>
      </c>
      <c r="B2893" s="3" t="s">
        <v>164</v>
      </c>
      <c r="C2893" s="2" t="s">
        <v>160</v>
      </c>
      <c r="D2893" s="1">
        <v>0</v>
      </c>
      <c r="E2893" s="1">
        <v>0</v>
      </c>
      <c r="F2893" s="1">
        <v>0</v>
      </c>
      <c r="G2893" s="1">
        <v>2</v>
      </c>
      <c r="H2893" s="4">
        <v>0.5</v>
      </c>
      <c r="I2893" s="1">
        <v>3</v>
      </c>
      <c r="J2893" s="4">
        <v>0</v>
      </c>
      <c r="K2893" s="1">
        <v>0</v>
      </c>
      <c r="L2893" s="1">
        <v>0</v>
      </c>
      <c r="M2893" s="32">
        <f>IF(Mecze[[#This Row],[PR]]=0,0,Mecze[[#This Row],[PR]]/Mecze[[#This Row],[CZAS]])</f>
        <v>0</v>
      </c>
      <c r="N2893" s="32">
        <f>IF(Mecze[[#This Row],[OU]]=0,0,Mecze[[#This Row],[OU]]/Mecze[[#This Row],[CZAS]])</f>
        <v>0</v>
      </c>
      <c r="O2893" s="32">
        <f>IF(Mecze[[#This Row],[PC]]=0,0,Mecze[[#This Row],[PC]]/Mecze[[#This Row],[CZAS]])</f>
        <v>1.0416666666666666E-2</v>
      </c>
      <c r="P2893" s="32">
        <f>IF(Mecze[[#This Row],[SC]]=0,0,Mecze[[#This Row],[SC]]/Mecze[[#This Row],[CZAS]])</f>
        <v>0</v>
      </c>
      <c r="Q2893" s="32">
        <f>IF(Mecze[[#This Row],[OB]]=0,0,Mecze[[#This Row],[OB]]/Mecze[[#This Row],[CZAS]])</f>
        <v>0</v>
      </c>
      <c r="R2893" s="32">
        <f>IF(Mecze[[#This Row],[BR]]=0,0,Mecze[[#This Row],[BR]]/Mecze[[#This Row],[CZAS]])</f>
        <v>0</v>
      </c>
      <c r="S2893" s="44">
        <f>IF(Mecze[[#This Row],[Role]]="BR",SUMPRODUCT(Mecze[[#This Row],[/PR:90]:[/BR:90]],Brudnopis!$E$23:$J$23),0)</f>
        <v>0</v>
      </c>
      <c r="T2893" s="44">
        <f>IF(Mecze[[#This Row],[Role]]&lt;&gt;"BR",SUMPRODUCT(Mecze[[#This Row],[/PR:90]:[/BR:90]],Brudnopis!$E$24:$J$24),0)</f>
        <v>1.0416666666666666E-2</v>
      </c>
      <c r="U2893" s="44">
        <f>IF(Mecze[[#This Row],[Role]]&lt;&gt;"BR",SUMPRODUCT(Mecze[[#This Row],[/PR:90]:[/BR:90]],Brudnopis!$E$25:$J$25),0)</f>
        <v>1.5625E-2</v>
      </c>
      <c r="V2893" s="44">
        <f>IF(Mecze[[#This Row],[Role]]&lt;&gt;"BR",SUMPRODUCT(Mecze[[#This Row],[/PR:90]:[/BR:90]],Brudnopis!$E$26:$J$26),0)</f>
        <v>1.0416666666666666E-2</v>
      </c>
      <c r="W2893" s="44">
        <f>IF(Mecze[[#This Row],[Role]]&lt;&gt;"BR",SUMPRODUCT(Mecze[[#This Row],[/PR:90]:[/BR:90]],Brudnopis!$E$27:$J$27),0)</f>
        <v>1.5625E-2</v>
      </c>
      <c r="X2893" s="44">
        <f>IF(Mecze[[#This Row],[Role]]&lt;&gt;"BR",SUMPRODUCT(Mecze[[#This Row],[/PR:90]:[/BR:90]],Brudnopis!$E$28:$J$28),0)</f>
        <v>1.0416666666666666E-2</v>
      </c>
      <c r="Y2893" s="35">
        <f>IF(Mecze[[#This Row],[Role]]="BR",Mecze[[#This Row],[/OB:90]]+Mecze[[#This Row],[/PC:90]],SUM(Mecze[[#This Row],[/PR:90]:[/BR:90]]))</f>
        <v>1.0416666666666666E-2</v>
      </c>
      <c r="Z2893" s="35">
        <f>IF(Mecze[[#This Row],[KC]]=0,SUM(Mecze[[#This Row],[/BRI]:[/NPI]]),SUM(Mecze[[#This Row],[/BRI]:[/NPI]])*0.6)</f>
        <v>6.2499999999999993E-2</v>
      </c>
      <c r="AA2893" s="10">
        <f>IFERROR(Mecze[[#This Row],[BR]]/Mecze[[#This Row],[ST]],0)</f>
        <v>0</v>
      </c>
      <c r="AB2893">
        <f>ROUND(Mecze[[#This Row],[PD]]*Mecze[[#This Row],[%PC]],0)</f>
        <v>1</v>
      </c>
      <c r="AC2893">
        <f>ROUND(Mecze[[#This Row],[OD]]*Mecze[[#This Row],[%OU]],0)</f>
        <v>0</v>
      </c>
      <c r="AD2893" s="36" t="s">
        <v>44</v>
      </c>
      <c r="AE2893" s="36">
        <v>161</v>
      </c>
      <c r="AF2893" s="71">
        <v>2.7</v>
      </c>
      <c r="AG2893" s="37">
        <v>0</v>
      </c>
      <c r="AH2893" s="37">
        <v>0</v>
      </c>
      <c r="AI2893" s="37">
        <v>96</v>
      </c>
      <c r="AJ2893" s="37">
        <v>1</v>
      </c>
      <c r="AK2893" s="37" t="str">
        <f>VLOOKUP(Mecze[[#This Row],[Match ID]],Meczusie[Mecz]:Meczusie[RodzajMeczu],2,FALSE)</f>
        <v>Puchar</v>
      </c>
    </row>
    <row r="2894" spans="1:37" x14ac:dyDescent="0.25">
      <c r="A2894" s="76">
        <v>9</v>
      </c>
      <c r="B2894" s="3" t="s">
        <v>411</v>
      </c>
      <c r="C2894" s="2" t="s">
        <v>165</v>
      </c>
      <c r="D2894" s="1">
        <v>0</v>
      </c>
      <c r="E2894" s="1">
        <v>0</v>
      </c>
      <c r="F2894" s="1">
        <v>0</v>
      </c>
      <c r="G2894" s="1">
        <v>3</v>
      </c>
      <c r="H2894" s="4">
        <v>0</v>
      </c>
      <c r="I2894" s="1">
        <v>2</v>
      </c>
      <c r="J2894" s="4">
        <v>0.5</v>
      </c>
      <c r="K2894" s="1">
        <v>0</v>
      </c>
      <c r="L2894" s="1">
        <v>0</v>
      </c>
      <c r="M2894" s="32">
        <f>IF(Mecze[[#This Row],[PR]]=0,0,Mecze[[#This Row],[PR]]/Mecze[[#This Row],[CZAS]])</f>
        <v>0</v>
      </c>
      <c r="N2894" s="32">
        <f>IF(Mecze[[#This Row],[OU]]=0,0,Mecze[[#This Row],[OU]]/Mecze[[#This Row],[CZAS]])</f>
        <v>1.0416666666666666E-2</v>
      </c>
      <c r="O2894" s="32">
        <f>IF(Mecze[[#This Row],[PC]]=0,0,Mecze[[#This Row],[PC]]/Mecze[[#This Row],[CZAS]])</f>
        <v>0</v>
      </c>
      <c r="P2894" s="32">
        <f>IF(Mecze[[#This Row],[SC]]=0,0,Mecze[[#This Row],[SC]]/Mecze[[#This Row],[CZAS]])</f>
        <v>0</v>
      </c>
      <c r="Q2894" s="32">
        <f>IF(Mecze[[#This Row],[OB]]=0,0,Mecze[[#This Row],[OB]]/Mecze[[#This Row],[CZAS]])</f>
        <v>0</v>
      </c>
      <c r="R2894" s="32">
        <f>IF(Mecze[[#This Row],[BR]]=0,0,Mecze[[#This Row],[BR]]/Mecze[[#This Row],[CZAS]])</f>
        <v>0</v>
      </c>
      <c r="S2894" s="44">
        <f>IF(Mecze[[#This Row],[Role]]="BR",SUMPRODUCT(Mecze[[#This Row],[/PR:90]:[/BR:90]],Brudnopis!$E$23:$J$23),0)</f>
        <v>0</v>
      </c>
      <c r="T2894" s="44">
        <f>IF(Mecze[[#This Row],[Role]]&lt;&gt;"BR",SUMPRODUCT(Mecze[[#This Row],[/PR:90]:[/BR:90]],Brudnopis!$E$24:$J$24),0)</f>
        <v>1.5625E-2</v>
      </c>
      <c r="U2894" s="44">
        <f>IF(Mecze[[#This Row],[Role]]&lt;&gt;"BR",SUMPRODUCT(Mecze[[#This Row],[/PR:90]:[/BR:90]],Brudnopis!$E$25:$J$25),0)</f>
        <v>1.0416666666666666E-2</v>
      </c>
      <c r="V2894" s="44">
        <f>IF(Mecze[[#This Row],[Role]]&lt;&gt;"BR",SUMPRODUCT(Mecze[[#This Row],[/PR:90]:[/BR:90]],Brudnopis!$E$26:$J$26),0)</f>
        <v>1.0416666666666666E-2</v>
      </c>
      <c r="W2894" s="44">
        <f>IF(Mecze[[#This Row],[Role]]&lt;&gt;"BR",SUMPRODUCT(Mecze[[#This Row],[/PR:90]:[/BR:90]],Brudnopis!$E$27:$J$27),0)</f>
        <v>7.8125E-3</v>
      </c>
      <c r="X2894" s="44">
        <f>IF(Mecze[[#This Row],[Role]]&lt;&gt;"BR",SUMPRODUCT(Mecze[[#This Row],[/PR:90]:[/BR:90]],Brudnopis!$E$28:$J$28),0)</f>
        <v>0</v>
      </c>
      <c r="Y2894" s="35">
        <f>IF(Mecze[[#This Row],[Role]]="BR",Mecze[[#This Row],[/OB:90]]+Mecze[[#This Row],[/PC:90]],SUM(Mecze[[#This Row],[/PR:90]:[/BR:90]]))</f>
        <v>1.0416666666666666E-2</v>
      </c>
      <c r="Z2894" s="35">
        <f>IF(Mecze[[#This Row],[KC]]=0,SUM(Mecze[[#This Row],[/BRI]:[/NPI]]),SUM(Mecze[[#This Row],[/BRI]:[/NPI]])*0.6)</f>
        <v>4.4270833333333329E-2</v>
      </c>
      <c r="AA2894" s="10">
        <f>IFERROR(Mecze[[#This Row],[BR]]/Mecze[[#This Row],[ST]],0)</f>
        <v>0</v>
      </c>
      <c r="AB2894">
        <f>ROUND(Mecze[[#This Row],[PD]]*Mecze[[#This Row],[%PC]],0)</f>
        <v>0</v>
      </c>
      <c r="AC2894">
        <f>ROUND(Mecze[[#This Row],[OD]]*Mecze[[#This Row],[%OU]],0)</f>
        <v>1</v>
      </c>
      <c r="AD2894" s="36" t="s">
        <v>272</v>
      </c>
      <c r="AE2894" s="36">
        <v>161</v>
      </c>
      <c r="AF2894" s="71">
        <v>2.71</v>
      </c>
      <c r="AG2894" s="37">
        <v>0</v>
      </c>
      <c r="AH2894" s="37">
        <v>0</v>
      </c>
      <c r="AI2894" s="37">
        <v>96</v>
      </c>
      <c r="AJ2894" s="37">
        <v>1</v>
      </c>
      <c r="AK2894" s="37" t="str">
        <f>VLOOKUP(Mecze[[#This Row],[Match ID]],Meczusie[Mecz]:Meczusie[RodzajMeczu],2,FALSE)</f>
        <v>Puchar</v>
      </c>
    </row>
    <row r="2895" spans="1:37" x14ac:dyDescent="0.25">
      <c r="A2895" s="76">
        <v>19</v>
      </c>
      <c r="B2895" s="3" t="s">
        <v>166</v>
      </c>
      <c r="C2895" s="2" t="s">
        <v>165</v>
      </c>
      <c r="D2895" s="1">
        <v>0</v>
      </c>
      <c r="E2895" s="1">
        <v>1</v>
      </c>
      <c r="F2895" s="1">
        <v>1</v>
      </c>
      <c r="G2895" s="1">
        <v>8</v>
      </c>
      <c r="H2895" s="4">
        <v>0.88</v>
      </c>
      <c r="I2895" s="1">
        <v>3</v>
      </c>
      <c r="J2895" s="4">
        <v>0.67</v>
      </c>
      <c r="K2895" s="1">
        <v>0</v>
      </c>
      <c r="L2895" s="1">
        <v>1</v>
      </c>
      <c r="M2895" s="32">
        <f>IF(Mecze[[#This Row],[PR]]=0,0,Mecze[[#This Row],[PR]]/Mecze[[#This Row],[CZAS]])</f>
        <v>1.0416666666666666E-2</v>
      </c>
      <c r="N2895" s="32">
        <f>IF(Mecze[[#This Row],[OU]]=0,0,Mecze[[#This Row],[OU]]/Mecze[[#This Row],[CZAS]])</f>
        <v>2.0833333333333332E-2</v>
      </c>
      <c r="O2895" s="32">
        <f>IF(Mecze[[#This Row],[PC]]=0,0,Mecze[[#This Row],[PC]]/Mecze[[#This Row],[CZAS]])</f>
        <v>7.2916666666666671E-2</v>
      </c>
      <c r="P2895" s="32">
        <f>IF(Mecze[[#This Row],[SC]]=0,0,Mecze[[#This Row],[SC]]/Mecze[[#This Row],[CZAS]])</f>
        <v>1.0416666666666666E-2</v>
      </c>
      <c r="Q2895" s="32">
        <f>IF(Mecze[[#This Row],[OB]]=0,0,Mecze[[#This Row],[OB]]/Mecze[[#This Row],[CZAS]])</f>
        <v>0</v>
      </c>
      <c r="R2895" s="32">
        <f>IF(Mecze[[#This Row],[BR]]=0,0,Mecze[[#This Row],[BR]]/Mecze[[#This Row],[CZAS]])</f>
        <v>0</v>
      </c>
      <c r="S2895" s="44">
        <f>IF(Mecze[[#This Row],[Role]]="BR",SUMPRODUCT(Mecze[[#This Row],[/PR:90]:[/BR:90]],Brudnopis!$E$23:$J$23),0)</f>
        <v>0</v>
      </c>
      <c r="T2895" s="44">
        <f>IF(Mecze[[#This Row],[Role]]&lt;&gt;"BR",SUMPRODUCT(Mecze[[#This Row],[/PR:90]:[/BR:90]],Brudnopis!$E$24:$J$24),0)</f>
        <v>0.125</v>
      </c>
      <c r="U2895" s="44">
        <f>IF(Mecze[[#This Row],[Role]]&lt;&gt;"BR",SUMPRODUCT(Mecze[[#This Row],[/PR:90]:[/BR:90]],Brudnopis!$E$25:$J$25),0)</f>
        <v>0.15104166666666666</v>
      </c>
      <c r="V2895" s="44">
        <f>IF(Mecze[[#This Row],[Role]]&lt;&gt;"BR",SUMPRODUCT(Mecze[[#This Row],[/PR:90]:[/BR:90]],Brudnopis!$E$26:$J$26),0)</f>
        <v>0.11458333333333334</v>
      </c>
      <c r="W2895" s="44">
        <f>IF(Mecze[[#This Row],[Role]]&lt;&gt;"BR",SUMPRODUCT(Mecze[[#This Row],[/PR:90]:[/BR:90]],Brudnopis!$E$27:$J$27),0)</f>
        <v>0.14322916666666666</v>
      </c>
      <c r="X2895" s="44">
        <f>IF(Mecze[[#This Row],[Role]]&lt;&gt;"BR",SUMPRODUCT(Mecze[[#This Row],[/PR:90]:[/BR:90]],Brudnopis!$E$28:$J$28),0)</f>
        <v>9.375E-2</v>
      </c>
      <c r="Y2895" s="35">
        <f>IF(Mecze[[#This Row],[Role]]="BR",Mecze[[#This Row],[/OB:90]]+Mecze[[#This Row],[/PC:90]],SUM(Mecze[[#This Row],[/PR:90]:[/BR:90]]))</f>
        <v>0.11458333333333334</v>
      </c>
      <c r="Z2895" s="35">
        <f>IF(Mecze[[#This Row],[KC]]=0,SUM(Mecze[[#This Row],[/BRI]:[/NPI]]),SUM(Mecze[[#This Row],[/BRI]:[/NPI]])*0.6)</f>
        <v>0.62760416666666663</v>
      </c>
      <c r="AA2895" s="10">
        <f>IFERROR(Mecze[[#This Row],[BR]]/Mecze[[#This Row],[ST]],0)</f>
        <v>0</v>
      </c>
      <c r="AB2895">
        <f>ROUND(Mecze[[#This Row],[PD]]*Mecze[[#This Row],[%PC]],0)</f>
        <v>7</v>
      </c>
      <c r="AC2895">
        <f>ROUND(Mecze[[#This Row],[OD]]*Mecze[[#This Row],[%OU]],0)</f>
        <v>2</v>
      </c>
      <c r="AD2895" s="36" t="s">
        <v>46</v>
      </c>
      <c r="AE2895" s="36">
        <v>161</v>
      </c>
      <c r="AF2895" s="71">
        <v>5.18</v>
      </c>
      <c r="AG2895" s="37">
        <v>0</v>
      </c>
      <c r="AH2895" s="37">
        <v>0</v>
      </c>
      <c r="AI2895" s="37">
        <v>96</v>
      </c>
      <c r="AJ2895" s="37">
        <v>1</v>
      </c>
      <c r="AK2895" s="37" t="str">
        <f>VLOOKUP(Mecze[[#This Row],[Match ID]],Meczusie[Mecz]:Meczusie[RodzajMeczu],2,FALSE)</f>
        <v>Puchar</v>
      </c>
    </row>
    <row r="2896" spans="1:37" x14ac:dyDescent="0.25">
      <c r="A2896" s="76">
        <v>1</v>
      </c>
      <c r="B2896" s="3" t="s">
        <v>169</v>
      </c>
      <c r="C2896" s="2" t="s">
        <v>155</v>
      </c>
      <c r="D2896" s="1">
        <v>0</v>
      </c>
      <c r="E2896" s="1">
        <v>0</v>
      </c>
      <c r="F2896" s="1">
        <v>0</v>
      </c>
      <c r="G2896" s="1">
        <v>14</v>
      </c>
      <c r="H2896" s="4">
        <v>0.5</v>
      </c>
      <c r="I2896" s="1">
        <v>0</v>
      </c>
      <c r="J2896" s="4"/>
      <c r="K2896" s="1">
        <v>15</v>
      </c>
      <c r="L2896" s="1">
        <v>0</v>
      </c>
      <c r="M2896" s="32">
        <f>IF(Mecze[[#This Row],[PR]]=0,0,Mecze[[#This Row],[PR]]/Mecze[[#This Row],[CZAS]])</f>
        <v>0</v>
      </c>
      <c r="N2896" s="32">
        <f>IF(Mecze[[#This Row],[OU]]=0,0,Mecze[[#This Row],[OU]]/Mecze[[#This Row],[CZAS]])</f>
        <v>0</v>
      </c>
      <c r="O2896" s="32">
        <f>IF(Mecze[[#This Row],[PC]]=0,0,Mecze[[#This Row],[PC]]/Mecze[[#This Row],[CZAS]])</f>
        <v>7.2916666666666671E-2</v>
      </c>
      <c r="P2896" s="32">
        <f>IF(Mecze[[#This Row],[SC]]=0,0,Mecze[[#This Row],[SC]]/Mecze[[#This Row],[CZAS]])</f>
        <v>0</v>
      </c>
      <c r="Q2896" s="32">
        <f>IF(Mecze[[#This Row],[OB]]=0,0,Mecze[[#This Row],[OB]]/Mecze[[#This Row],[CZAS]])</f>
        <v>0.15625</v>
      </c>
      <c r="R2896" s="32">
        <f>IF(Mecze[[#This Row],[BR]]=0,0,Mecze[[#This Row],[BR]]/Mecze[[#This Row],[CZAS]])</f>
        <v>0</v>
      </c>
      <c r="S2896" s="44">
        <f>IF(Mecze[[#This Row],[Role]]="BR",SUMPRODUCT(Mecze[[#This Row],[/PR:90]:[/BR:90]],Brudnopis!$E$23:$J$23),0)</f>
        <v>0.6875</v>
      </c>
      <c r="T2896" s="44">
        <f>IF(Mecze[[#This Row],[Role]]&lt;&gt;"BR",SUMPRODUCT(Mecze[[#This Row],[/PR:90]:[/BR:90]],Brudnopis!$E$24:$J$24),0)</f>
        <v>0</v>
      </c>
      <c r="U2896" s="44">
        <f>IF(Mecze[[#This Row],[Role]]&lt;&gt;"BR",SUMPRODUCT(Mecze[[#This Row],[/PR:90]:[/BR:90]],Brudnopis!$E$25:$J$25),0)</f>
        <v>0</v>
      </c>
      <c r="V2896" s="44">
        <f>IF(Mecze[[#This Row],[Role]]&lt;&gt;"BR",SUMPRODUCT(Mecze[[#This Row],[/PR:90]:[/BR:90]],Brudnopis!$E$26:$J$26),0)</f>
        <v>0</v>
      </c>
      <c r="W2896" s="44">
        <f>IF(Mecze[[#This Row],[Role]]&lt;&gt;"BR",SUMPRODUCT(Mecze[[#This Row],[/PR:90]:[/BR:90]],Brudnopis!$E$27:$J$27),0)</f>
        <v>0</v>
      </c>
      <c r="X2896" s="44">
        <f>IF(Mecze[[#This Row],[Role]]&lt;&gt;"BR",SUMPRODUCT(Mecze[[#This Row],[/PR:90]:[/BR:90]],Brudnopis!$E$28:$J$28),0)</f>
        <v>0</v>
      </c>
      <c r="Y2896" s="35">
        <f>IF(Mecze[[#This Row],[Role]]="BR",Mecze[[#This Row],[/OB:90]]+Mecze[[#This Row],[/PC:90]],SUM(Mecze[[#This Row],[/PR:90]:[/BR:90]]))</f>
        <v>0.22916666666666669</v>
      </c>
      <c r="Z2896" s="35">
        <f>IF(Mecze[[#This Row],[KC]]=0,SUM(Mecze[[#This Row],[/BRI]:[/NPI]]),SUM(Mecze[[#This Row],[/BRI]:[/NPI]])*0.6)</f>
        <v>0.6875</v>
      </c>
      <c r="AA2896" s="10">
        <f>IFERROR(Mecze[[#This Row],[BR]]/Mecze[[#This Row],[ST]],0)</f>
        <v>0</v>
      </c>
      <c r="AB2896">
        <f>ROUND(Mecze[[#This Row],[PD]]*Mecze[[#This Row],[%PC]],0)</f>
        <v>7</v>
      </c>
      <c r="AC2896">
        <f>ROUND(Mecze[[#This Row],[OD]]*Mecze[[#This Row],[%OU]],0)</f>
        <v>0</v>
      </c>
      <c r="AD2896" s="36" t="s">
        <v>40</v>
      </c>
      <c r="AE2896" s="36">
        <v>162</v>
      </c>
      <c r="AF2896" s="71">
        <v>5.85</v>
      </c>
      <c r="AG2896" s="37">
        <v>0</v>
      </c>
      <c r="AH2896" s="37">
        <v>0</v>
      </c>
      <c r="AI2896" s="37">
        <v>96</v>
      </c>
      <c r="AJ2896" s="37">
        <v>1</v>
      </c>
      <c r="AK2896" s="37" t="str">
        <f>VLOOKUP(Mecze[[#This Row],[Match ID]],Meczusie[Mecz]:Meczusie[RodzajMeczu],2,FALSE)</f>
        <v>Puchar</v>
      </c>
    </row>
    <row r="2897" spans="1:37" x14ac:dyDescent="0.25">
      <c r="A2897" s="76">
        <v>18</v>
      </c>
      <c r="B2897" s="3" t="s">
        <v>211</v>
      </c>
      <c r="C2897" s="2" t="s">
        <v>157</v>
      </c>
      <c r="D2897" s="1">
        <v>0</v>
      </c>
      <c r="E2897" s="1">
        <v>0</v>
      </c>
      <c r="F2897" s="1">
        <v>0</v>
      </c>
      <c r="G2897" s="1">
        <v>5</v>
      </c>
      <c r="H2897" s="4">
        <v>0.2</v>
      </c>
      <c r="I2897" s="1">
        <v>9</v>
      </c>
      <c r="J2897" s="4">
        <v>0.33</v>
      </c>
      <c r="K2897" s="1">
        <v>0</v>
      </c>
      <c r="L2897" s="1">
        <v>3</v>
      </c>
      <c r="M2897" s="32">
        <f>IF(Mecze[[#This Row],[PR]]=0,0,Mecze[[#This Row],[PR]]/Mecze[[#This Row],[CZAS]])</f>
        <v>3.125E-2</v>
      </c>
      <c r="N2897" s="32">
        <f>IF(Mecze[[#This Row],[OU]]=0,0,Mecze[[#This Row],[OU]]/Mecze[[#This Row],[CZAS]])</f>
        <v>3.125E-2</v>
      </c>
      <c r="O2897" s="32">
        <f>IF(Mecze[[#This Row],[PC]]=0,0,Mecze[[#This Row],[PC]]/Mecze[[#This Row],[CZAS]])</f>
        <v>1.0416666666666666E-2</v>
      </c>
      <c r="P2897" s="32">
        <f>IF(Mecze[[#This Row],[SC]]=0,0,Mecze[[#This Row],[SC]]/Mecze[[#This Row],[CZAS]])</f>
        <v>0</v>
      </c>
      <c r="Q2897" s="32">
        <f>IF(Mecze[[#This Row],[OB]]=0,0,Mecze[[#This Row],[OB]]/Mecze[[#This Row],[CZAS]])</f>
        <v>0</v>
      </c>
      <c r="R2897" s="32">
        <f>IF(Mecze[[#This Row],[BR]]=0,0,Mecze[[#This Row],[BR]]/Mecze[[#This Row],[CZAS]])</f>
        <v>0</v>
      </c>
      <c r="S2897" s="44">
        <f>IF(Mecze[[#This Row],[Role]]="BR",SUMPRODUCT(Mecze[[#This Row],[/PR:90]:[/BR:90]],Brudnopis!$E$23:$J$23),0)</f>
        <v>0</v>
      </c>
      <c r="T2897" s="44">
        <f>IF(Mecze[[#This Row],[Role]]&lt;&gt;"BR",SUMPRODUCT(Mecze[[#This Row],[/PR:90]:[/BR:90]],Brudnopis!$E$24:$J$24),0)</f>
        <v>8.8541666666666671E-2</v>
      </c>
      <c r="U2897" s="44">
        <f>IF(Mecze[[#This Row],[Role]]&lt;&gt;"BR",SUMPRODUCT(Mecze[[#This Row],[/PR:90]:[/BR:90]],Brudnopis!$E$25:$J$25),0)</f>
        <v>7.8125E-2</v>
      </c>
      <c r="V2897" s="44">
        <f>IF(Mecze[[#This Row],[Role]]&lt;&gt;"BR",SUMPRODUCT(Mecze[[#This Row],[/PR:90]:[/BR:90]],Brudnopis!$E$26:$J$26),0)</f>
        <v>7.2916666666666671E-2</v>
      </c>
      <c r="W2897" s="44">
        <f>IF(Mecze[[#This Row],[Role]]&lt;&gt;"BR",SUMPRODUCT(Mecze[[#This Row],[/PR:90]:[/BR:90]],Brudnopis!$E$27:$J$27),0)</f>
        <v>6.25E-2</v>
      </c>
      <c r="X2897" s="44">
        <f>IF(Mecze[[#This Row],[Role]]&lt;&gt;"BR",SUMPRODUCT(Mecze[[#This Row],[/PR:90]:[/BR:90]],Brudnopis!$E$28:$J$28),0)</f>
        <v>1.0416666666666666E-2</v>
      </c>
      <c r="Y2897" s="35">
        <f>IF(Mecze[[#This Row],[Role]]="BR",Mecze[[#This Row],[/OB:90]]+Mecze[[#This Row],[/PC:90]],SUM(Mecze[[#This Row],[/PR:90]:[/BR:90]]))</f>
        <v>7.2916666666666671E-2</v>
      </c>
      <c r="Z2897" s="35">
        <f>IF(Mecze[[#This Row],[KC]]=0,SUM(Mecze[[#This Row],[/BRI]:[/NPI]]),SUM(Mecze[[#This Row],[/BRI]:[/NPI]])*0.6)</f>
        <v>0.31250000000000006</v>
      </c>
      <c r="AA2897" s="10">
        <f>IFERROR(Mecze[[#This Row],[BR]]/Mecze[[#This Row],[ST]],0)</f>
        <v>0</v>
      </c>
      <c r="AB2897">
        <f>ROUND(Mecze[[#This Row],[PD]]*Mecze[[#This Row],[%PC]],0)</f>
        <v>1</v>
      </c>
      <c r="AC2897">
        <f>ROUND(Mecze[[#This Row],[OD]]*Mecze[[#This Row],[%OU]],0)</f>
        <v>3</v>
      </c>
      <c r="AD2897" s="36" t="s">
        <v>47</v>
      </c>
      <c r="AE2897" s="36">
        <v>162</v>
      </c>
      <c r="AF2897" s="71">
        <v>0.01</v>
      </c>
      <c r="AG2897" s="37">
        <v>0</v>
      </c>
      <c r="AH2897" s="37">
        <v>0</v>
      </c>
      <c r="AI2897" s="37">
        <v>96</v>
      </c>
      <c r="AJ2897" s="37">
        <v>1</v>
      </c>
      <c r="AK2897" s="37" t="str">
        <f>VLOOKUP(Mecze[[#This Row],[Match ID]],Meczusie[Mecz]:Meczusie[RodzajMeczu],2,FALSE)</f>
        <v>Puchar</v>
      </c>
    </row>
    <row r="2898" spans="1:37" x14ac:dyDescent="0.25">
      <c r="A2898" s="76">
        <v>5</v>
      </c>
      <c r="B2898" s="3" t="s">
        <v>161</v>
      </c>
      <c r="C2898" s="2" t="s">
        <v>157</v>
      </c>
      <c r="D2898" s="1">
        <v>0</v>
      </c>
      <c r="E2898" s="1">
        <v>0</v>
      </c>
      <c r="F2898" s="1">
        <v>0</v>
      </c>
      <c r="G2898" s="1">
        <v>10</v>
      </c>
      <c r="H2898" s="4">
        <v>0.4</v>
      </c>
      <c r="I2898" s="1">
        <v>8</v>
      </c>
      <c r="J2898" s="4">
        <v>0.38</v>
      </c>
      <c r="K2898" s="1">
        <v>0</v>
      </c>
      <c r="L2898" s="1">
        <v>4</v>
      </c>
      <c r="M2898" s="32">
        <f>IF(Mecze[[#This Row],[PR]]=0,0,Mecze[[#This Row],[PR]]/Mecze[[#This Row],[CZAS]])</f>
        <v>4.1666666666666664E-2</v>
      </c>
      <c r="N2898" s="32">
        <f>IF(Mecze[[#This Row],[OU]]=0,0,Mecze[[#This Row],[OU]]/Mecze[[#This Row],[CZAS]])</f>
        <v>3.125E-2</v>
      </c>
      <c r="O2898" s="32">
        <f>IF(Mecze[[#This Row],[PC]]=0,0,Mecze[[#This Row],[PC]]/Mecze[[#This Row],[CZAS]])</f>
        <v>4.1666666666666664E-2</v>
      </c>
      <c r="P2898" s="32">
        <f>IF(Mecze[[#This Row],[SC]]=0,0,Mecze[[#This Row],[SC]]/Mecze[[#This Row],[CZAS]])</f>
        <v>0</v>
      </c>
      <c r="Q2898" s="32">
        <f>IF(Mecze[[#This Row],[OB]]=0,0,Mecze[[#This Row],[OB]]/Mecze[[#This Row],[CZAS]])</f>
        <v>0</v>
      </c>
      <c r="R2898" s="32">
        <f>IF(Mecze[[#This Row],[BR]]=0,0,Mecze[[#This Row],[BR]]/Mecze[[#This Row],[CZAS]])</f>
        <v>0</v>
      </c>
      <c r="S2898" s="44">
        <f>IF(Mecze[[#This Row],[Role]]="BR",SUMPRODUCT(Mecze[[#This Row],[/PR:90]:[/BR:90]],Brudnopis!$E$23:$J$23),0)</f>
        <v>0</v>
      </c>
      <c r="T2898" s="44">
        <f>IF(Mecze[[#This Row],[Role]]&lt;&gt;"BR",SUMPRODUCT(Mecze[[#This Row],[/PR:90]:[/BR:90]],Brudnopis!$E$24:$J$24),0)</f>
        <v>0.13020833333333331</v>
      </c>
      <c r="U2898" s="44">
        <f>IF(Mecze[[#This Row],[Role]]&lt;&gt;"BR",SUMPRODUCT(Mecze[[#This Row],[/PR:90]:[/BR:90]],Brudnopis!$E$25:$J$25),0)</f>
        <v>0.13541666666666666</v>
      </c>
      <c r="V2898" s="44">
        <f>IF(Mecze[[#This Row],[Role]]&lt;&gt;"BR",SUMPRODUCT(Mecze[[#This Row],[/PR:90]:[/BR:90]],Brudnopis!$E$26:$J$26),0)</f>
        <v>0.11458333333333331</v>
      </c>
      <c r="W2898" s="44">
        <f>IF(Mecze[[#This Row],[Role]]&lt;&gt;"BR",SUMPRODUCT(Mecze[[#This Row],[/PR:90]:[/BR:90]],Brudnopis!$E$27:$J$27),0)</f>
        <v>0.1171875</v>
      </c>
      <c r="X2898" s="44">
        <f>IF(Mecze[[#This Row],[Role]]&lt;&gt;"BR",SUMPRODUCT(Mecze[[#This Row],[/PR:90]:[/BR:90]],Brudnopis!$E$28:$J$28),0)</f>
        <v>4.1666666666666664E-2</v>
      </c>
      <c r="Y2898" s="35">
        <f>IF(Mecze[[#This Row],[Role]]="BR",Mecze[[#This Row],[/OB:90]]+Mecze[[#This Row],[/PC:90]],SUM(Mecze[[#This Row],[/PR:90]:[/BR:90]]))</f>
        <v>0.11458333333333331</v>
      </c>
      <c r="Z2898" s="35">
        <f>IF(Mecze[[#This Row],[KC]]=0,SUM(Mecze[[#This Row],[/BRI]:[/NPI]]),SUM(Mecze[[#This Row],[/BRI]:[/NPI]])*0.6)</f>
        <v>0.5390625</v>
      </c>
      <c r="AA2898" s="10">
        <f>IFERROR(Mecze[[#This Row],[BR]]/Mecze[[#This Row],[ST]],0)</f>
        <v>0</v>
      </c>
      <c r="AB2898">
        <f>ROUND(Mecze[[#This Row],[PD]]*Mecze[[#This Row],[%PC]],0)</f>
        <v>4</v>
      </c>
      <c r="AC2898">
        <f>ROUND(Mecze[[#This Row],[OD]]*Mecze[[#This Row],[%OU]],0)</f>
        <v>3</v>
      </c>
      <c r="AD2898" s="36" t="s">
        <v>47</v>
      </c>
      <c r="AE2898" s="36">
        <v>162</v>
      </c>
      <c r="AF2898" s="71">
        <v>0.22</v>
      </c>
      <c r="AG2898" s="37">
        <v>0</v>
      </c>
      <c r="AH2898" s="37">
        <v>0</v>
      </c>
      <c r="AI2898" s="37">
        <v>96</v>
      </c>
      <c r="AJ2898" s="37">
        <v>1</v>
      </c>
      <c r="AK2898" s="37" t="str">
        <f>VLOOKUP(Mecze[[#This Row],[Match ID]],Meczusie[Mecz]:Meczusie[RodzajMeczu],2,FALSE)</f>
        <v>Puchar</v>
      </c>
    </row>
    <row r="2899" spans="1:37" x14ac:dyDescent="0.25">
      <c r="A2899" s="76">
        <v>3</v>
      </c>
      <c r="B2899" s="3" t="s">
        <v>158</v>
      </c>
      <c r="C2899" s="2" t="s">
        <v>157</v>
      </c>
      <c r="D2899" s="1">
        <v>0</v>
      </c>
      <c r="E2899" s="1">
        <v>0</v>
      </c>
      <c r="F2899" s="1">
        <v>0</v>
      </c>
      <c r="G2899" s="1">
        <v>3</v>
      </c>
      <c r="H2899" s="4">
        <v>0</v>
      </c>
      <c r="I2899" s="1">
        <v>2</v>
      </c>
      <c r="J2899" s="4">
        <v>1</v>
      </c>
      <c r="K2899" s="1">
        <v>0</v>
      </c>
      <c r="L2899" s="1">
        <v>1</v>
      </c>
      <c r="M2899" s="32">
        <f>IF(Mecze[[#This Row],[PR]]=0,0,Mecze[[#This Row],[PR]]/Mecze[[#This Row],[CZAS]])</f>
        <v>1.0416666666666666E-2</v>
      </c>
      <c r="N2899" s="32">
        <f>IF(Mecze[[#This Row],[OU]]=0,0,Mecze[[#This Row],[OU]]/Mecze[[#This Row],[CZAS]])</f>
        <v>2.0833333333333332E-2</v>
      </c>
      <c r="O2899" s="32">
        <f>IF(Mecze[[#This Row],[PC]]=0,0,Mecze[[#This Row],[PC]]/Mecze[[#This Row],[CZAS]])</f>
        <v>0</v>
      </c>
      <c r="P2899" s="32">
        <f>IF(Mecze[[#This Row],[SC]]=0,0,Mecze[[#This Row],[SC]]/Mecze[[#This Row],[CZAS]])</f>
        <v>0</v>
      </c>
      <c r="Q2899" s="32">
        <f>IF(Mecze[[#This Row],[OB]]=0,0,Mecze[[#This Row],[OB]]/Mecze[[#This Row],[CZAS]])</f>
        <v>0</v>
      </c>
      <c r="R2899" s="32">
        <f>IF(Mecze[[#This Row],[BR]]=0,0,Mecze[[#This Row],[BR]]/Mecze[[#This Row],[CZAS]])</f>
        <v>0</v>
      </c>
      <c r="S2899" s="44">
        <f>IF(Mecze[[#This Row],[Role]]="BR",SUMPRODUCT(Mecze[[#This Row],[/PR:90]:[/BR:90]],Brudnopis!$E$23:$J$23),0)</f>
        <v>0</v>
      </c>
      <c r="T2899" s="44">
        <f>IF(Mecze[[#This Row],[Role]]&lt;&gt;"BR",SUMPRODUCT(Mecze[[#This Row],[/PR:90]:[/BR:90]],Brudnopis!$E$24:$J$24),0)</f>
        <v>4.1666666666666664E-2</v>
      </c>
      <c r="U2899" s="44">
        <f>IF(Mecze[[#This Row],[Role]]&lt;&gt;"BR",SUMPRODUCT(Mecze[[#This Row],[/PR:90]:[/BR:90]],Brudnopis!$E$25:$J$25),0)</f>
        <v>3.125E-2</v>
      </c>
      <c r="V2899" s="44">
        <f>IF(Mecze[[#This Row],[Role]]&lt;&gt;"BR",SUMPRODUCT(Mecze[[#This Row],[/PR:90]:[/BR:90]],Brudnopis!$E$26:$J$26),0)</f>
        <v>3.125E-2</v>
      </c>
      <c r="W2899" s="44">
        <f>IF(Mecze[[#This Row],[Role]]&lt;&gt;"BR",SUMPRODUCT(Mecze[[#This Row],[/PR:90]:[/BR:90]],Brudnopis!$E$27:$J$27),0)</f>
        <v>2.34375E-2</v>
      </c>
      <c r="X2899" s="44">
        <f>IF(Mecze[[#This Row],[Role]]&lt;&gt;"BR",SUMPRODUCT(Mecze[[#This Row],[/PR:90]:[/BR:90]],Brudnopis!$E$28:$J$28),0)</f>
        <v>0</v>
      </c>
      <c r="Y2899" s="35">
        <f>IF(Mecze[[#This Row],[Role]]="BR",Mecze[[#This Row],[/OB:90]]+Mecze[[#This Row],[/PC:90]],SUM(Mecze[[#This Row],[/PR:90]:[/BR:90]]))</f>
        <v>3.125E-2</v>
      </c>
      <c r="Z2899" s="35">
        <f>IF(Mecze[[#This Row],[KC]]=0,SUM(Mecze[[#This Row],[/BRI]:[/NPI]]),SUM(Mecze[[#This Row],[/BRI]:[/NPI]])*0.6)</f>
        <v>0.12760416666666666</v>
      </c>
      <c r="AA2899" s="10">
        <f>IFERROR(Mecze[[#This Row],[BR]]/Mecze[[#This Row],[ST]],0)</f>
        <v>0</v>
      </c>
      <c r="AB2899">
        <f>ROUND(Mecze[[#This Row],[PD]]*Mecze[[#This Row],[%PC]],0)</f>
        <v>0</v>
      </c>
      <c r="AC2899">
        <f>ROUND(Mecze[[#This Row],[OD]]*Mecze[[#This Row],[%OU]],0)</f>
        <v>2</v>
      </c>
      <c r="AD2899" s="36" t="s">
        <v>174</v>
      </c>
      <c r="AE2899" s="36">
        <v>162</v>
      </c>
      <c r="AF2899" s="71">
        <v>-0.41</v>
      </c>
      <c r="AG2899" s="37">
        <v>0</v>
      </c>
      <c r="AH2899" s="37">
        <v>0</v>
      </c>
      <c r="AI2899" s="37">
        <v>96</v>
      </c>
      <c r="AJ2899" s="37">
        <v>1</v>
      </c>
      <c r="AK2899" s="37" t="str">
        <f>VLOOKUP(Mecze[[#This Row],[Match ID]],Meczusie[Mecz]:Meczusie[RodzajMeczu],2,FALSE)</f>
        <v>Puchar</v>
      </c>
    </row>
    <row r="2900" spans="1:37" x14ac:dyDescent="0.25">
      <c r="A2900" s="76">
        <v>4</v>
      </c>
      <c r="B2900" s="3" t="s">
        <v>360</v>
      </c>
      <c r="C2900" s="2" t="s">
        <v>157</v>
      </c>
      <c r="D2900" s="1">
        <v>0</v>
      </c>
      <c r="E2900" s="1">
        <v>0</v>
      </c>
      <c r="F2900" s="1">
        <v>0</v>
      </c>
      <c r="G2900" s="1">
        <v>1</v>
      </c>
      <c r="H2900" s="4">
        <v>1</v>
      </c>
      <c r="I2900" s="1">
        <v>3</v>
      </c>
      <c r="J2900" s="4">
        <v>0.33</v>
      </c>
      <c r="K2900" s="1">
        <v>0</v>
      </c>
      <c r="L2900" s="1">
        <v>0</v>
      </c>
      <c r="M2900" s="32">
        <f>IF(Mecze[[#This Row],[PR]]=0,0,Mecze[[#This Row],[PR]]/Mecze[[#This Row],[CZAS]])</f>
        <v>0</v>
      </c>
      <c r="N2900" s="32">
        <f>IF(Mecze[[#This Row],[OU]]=0,0,Mecze[[#This Row],[OU]]/Mecze[[#This Row],[CZAS]])</f>
        <v>1.0416666666666666E-2</v>
      </c>
      <c r="O2900" s="32">
        <f>IF(Mecze[[#This Row],[PC]]=0,0,Mecze[[#This Row],[PC]]/Mecze[[#This Row],[CZAS]])</f>
        <v>1.0416666666666666E-2</v>
      </c>
      <c r="P2900" s="32">
        <f>IF(Mecze[[#This Row],[SC]]=0,0,Mecze[[#This Row],[SC]]/Mecze[[#This Row],[CZAS]])</f>
        <v>0</v>
      </c>
      <c r="Q2900" s="32">
        <f>IF(Mecze[[#This Row],[OB]]=0,0,Mecze[[#This Row],[OB]]/Mecze[[#This Row],[CZAS]])</f>
        <v>0</v>
      </c>
      <c r="R2900" s="32">
        <f>IF(Mecze[[#This Row],[BR]]=0,0,Mecze[[#This Row],[BR]]/Mecze[[#This Row],[CZAS]])</f>
        <v>0</v>
      </c>
      <c r="S2900" s="44">
        <f>IF(Mecze[[#This Row],[Role]]="BR",SUMPRODUCT(Mecze[[#This Row],[/PR:90]:[/BR:90]],Brudnopis!$E$23:$J$23),0)</f>
        <v>0</v>
      </c>
      <c r="T2900" s="44">
        <f>IF(Mecze[[#This Row],[Role]]&lt;&gt;"BR",SUMPRODUCT(Mecze[[#This Row],[/PR:90]:[/BR:90]],Brudnopis!$E$24:$J$24),0)</f>
        <v>2.6041666666666664E-2</v>
      </c>
      <c r="U2900" s="44">
        <f>IF(Mecze[[#This Row],[Role]]&lt;&gt;"BR",SUMPRODUCT(Mecze[[#This Row],[/PR:90]:[/BR:90]],Brudnopis!$E$25:$J$25),0)</f>
        <v>2.6041666666666664E-2</v>
      </c>
      <c r="V2900" s="44">
        <f>IF(Mecze[[#This Row],[Role]]&lt;&gt;"BR",SUMPRODUCT(Mecze[[#This Row],[/PR:90]:[/BR:90]],Brudnopis!$E$26:$J$26),0)</f>
        <v>2.0833333333333332E-2</v>
      </c>
      <c r="W2900" s="44">
        <f>IF(Mecze[[#This Row],[Role]]&lt;&gt;"BR",SUMPRODUCT(Mecze[[#This Row],[/PR:90]:[/BR:90]],Brudnopis!$E$27:$J$27),0)</f>
        <v>2.34375E-2</v>
      </c>
      <c r="X2900" s="44">
        <f>IF(Mecze[[#This Row],[Role]]&lt;&gt;"BR",SUMPRODUCT(Mecze[[#This Row],[/PR:90]:[/BR:90]],Brudnopis!$E$28:$J$28),0)</f>
        <v>1.0416666666666666E-2</v>
      </c>
      <c r="Y2900" s="35">
        <f>IF(Mecze[[#This Row],[Role]]="BR",Mecze[[#This Row],[/OB:90]]+Mecze[[#This Row],[/PC:90]],SUM(Mecze[[#This Row],[/PR:90]:[/BR:90]]))</f>
        <v>2.0833333333333332E-2</v>
      </c>
      <c r="Z2900" s="35">
        <f>IF(Mecze[[#This Row],[KC]]=0,SUM(Mecze[[#This Row],[/BRI]:[/NPI]]),SUM(Mecze[[#This Row],[/BRI]:[/NPI]])*0.6)</f>
        <v>0.10677083333333333</v>
      </c>
      <c r="AA2900" s="10">
        <f>IFERROR(Mecze[[#This Row],[BR]]/Mecze[[#This Row],[ST]],0)</f>
        <v>0</v>
      </c>
      <c r="AB2900">
        <f>ROUND(Mecze[[#This Row],[PD]]*Mecze[[#This Row],[%PC]],0)</f>
        <v>1</v>
      </c>
      <c r="AC2900">
        <f>ROUND(Mecze[[#This Row],[OD]]*Mecze[[#This Row],[%OU]],0)</f>
        <v>1</v>
      </c>
      <c r="AD2900" s="36" t="s">
        <v>175</v>
      </c>
      <c r="AE2900" s="36">
        <v>162</v>
      </c>
      <c r="AF2900" s="71">
        <v>-0.62</v>
      </c>
      <c r="AG2900" s="37">
        <v>0</v>
      </c>
      <c r="AH2900" s="37">
        <v>0</v>
      </c>
      <c r="AI2900" s="37">
        <v>96</v>
      </c>
      <c r="AJ2900" s="37">
        <v>1</v>
      </c>
      <c r="AK2900" s="37" t="str">
        <f>VLOOKUP(Mecze[[#This Row],[Match ID]],Meczusie[Mecz]:Meczusie[RodzajMeczu],2,FALSE)</f>
        <v>Puchar</v>
      </c>
    </row>
    <row r="2901" spans="1:37" x14ac:dyDescent="0.25">
      <c r="A2901" s="76">
        <v>15</v>
      </c>
      <c r="B2901" s="3" t="s">
        <v>170</v>
      </c>
      <c r="C2901" s="2" t="s">
        <v>160</v>
      </c>
      <c r="D2901" s="1">
        <v>0</v>
      </c>
      <c r="E2901" s="1">
        <v>0</v>
      </c>
      <c r="F2901" s="1">
        <v>0</v>
      </c>
      <c r="G2901" s="1">
        <v>13</v>
      </c>
      <c r="H2901" s="4">
        <v>0.38</v>
      </c>
      <c r="I2901" s="1">
        <v>10</v>
      </c>
      <c r="J2901" s="4">
        <v>0.2</v>
      </c>
      <c r="K2901" s="1">
        <v>0</v>
      </c>
      <c r="L2901" s="1">
        <v>7</v>
      </c>
      <c r="M2901" s="32">
        <f>IF(Mecze[[#This Row],[PR]]=0,0,Mecze[[#This Row],[PR]]/Mecze[[#This Row],[CZAS]])</f>
        <v>7.2916666666666671E-2</v>
      </c>
      <c r="N2901" s="32">
        <f>IF(Mecze[[#This Row],[OU]]=0,0,Mecze[[#This Row],[OU]]/Mecze[[#This Row],[CZAS]])</f>
        <v>2.0833333333333332E-2</v>
      </c>
      <c r="O2901" s="32">
        <f>IF(Mecze[[#This Row],[PC]]=0,0,Mecze[[#This Row],[PC]]/Mecze[[#This Row],[CZAS]])</f>
        <v>5.2083333333333336E-2</v>
      </c>
      <c r="P2901" s="32">
        <f>IF(Mecze[[#This Row],[SC]]=0,0,Mecze[[#This Row],[SC]]/Mecze[[#This Row],[CZAS]])</f>
        <v>0</v>
      </c>
      <c r="Q2901" s="32">
        <f>IF(Mecze[[#This Row],[OB]]=0,0,Mecze[[#This Row],[OB]]/Mecze[[#This Row],[CZAS]])</f>
        <v>0</v>
      </c>
      <c r="R2901" s="32">
        <f>IF(Mecze[[#This Row],[BR]]=0,0,Mecze[[#This Row],[BR]]/Mecze[[#This Row],[CZAS]])</f>
        <v>0</v>
      </c>
      <c r="S2901" s="44">
        <f>IF(Mecze[[#This Row],[Role]]="BR",SUMPRODUCT(Mecze[[#This Row],[/PR:90]:[/BR:90]],Brudnopis!$E$23:$J$23),0)</f>
        <v>0</v>
      </c>
      <c r="T2901" s="44">
        <f>IF(Mecze[[#This Row],[Role]]&lt;&gt;"BR",SUMPRODUCT(Mecze[[#This Row],[/PR:90]:[/BR:90]],Brudnopis!$E$24:$J$24),0)</f>
        <v>0.15625</v>
      </c>
      <c r="U2901" s="44">
        <f>IF(Mecze[[#This Row],[Role]]&lt;&gt;"BR",SUMPRODUCT(Mecze[[#This Row],[/PR:90]:[/BR:90]],Brudnopis!$E$25:$J$25),0)</f>
        <v>0.171875</v>
      </c>
      <c r="V2901" s="44">
        <f>IF(Mecze[[#This Row],[Role]]&lt;&gt;"BR",SUMPRODUCT(Mecze[[#This Row],[/PR:90]:[/BR:90]],Brudnopis!$E$26:$J$26),0)</f>
        <v>0.14583333333333334</v>
      </c>
      <c r="W2901" s="44">
        <f>IF(Mecze[[#This Row],[Role]]&lt;&gt;"BR",SUMPRODUCT(Mecze[[#This Row],[/PR:90]:[/BR:90]],Brudnopis!$E$27:$J$27),0)</f>
        <v>0.1484375</v>
      </c>
      <c r="X2901" s="44">
        <f>IF(Mecze[[#This Row],[Role]]&lt;&gt;"BR",SUMPRODUCT(Mecze[[#This Row],[/PR:90]:[/BR:90]],Brudnopis!$E$28:$J$28),0)</f>
        <v>5.2083333333333336E-2</v>
      </c>
      <c r="Y2901" s="35">
        <f>IF(Mecze[[#This Row],[Role]]="BR",Mecze[[#This Row],[/OB:90]]+Mecze[[#This Row],[/PC:90]],SUM(Mecze[[#This Row],[/PR:90]:[/BR:90]]))</f>
        <v>0.14583333333333334</v>
      </c>
      <c r="Z2901" s="35">
        <f>IF(Mecze[[#This Row],[KC]]=0,SUM(Mecze[[#This Row],[/BRI]:[/NPI]]),SUM(Mecze[[#This Row],[/BRI]:[/NPI]])*0.6)</f>
        <v>0.67447916666666674</v>
      </c>
      <c r="AA2901" s="10">
        <f>IFERROR(Mecze[[#This Row],[BR]]/Mecze[[#This Row],[ST]],0)</f>
        <v>0</v>
      </c>
      <c r="AB2901">
        <f>ROUND(Mecze[[#This Row],[PD]]*Mecze[[#This Row],[%PC]],0)</f>
        <v>5</v>
      </c>
      <c r="AC2901">
        <f>ROUND(Mecze[[#This Row],[OD]]*Mecze[[#This Row],[%OU]],0)</f>
        <v>2</v>
      </c>
      <c r="AD2901" s="36" t="s">
        <v>41</v>
      </c>
      <c r="AE2901" s="36">
        <v>162</v>
      </c>
      <c r="AF2901" s="71">
        <v>4.17</v>
      </c>
      <c r="AG2901" s="37">
        <v>0</v>
      </c>
      <c r="AH2901" s="37">
        <v>0</v>
      </c>
      <c r="AI2901" s="37">
        <v>96</v>
      </c>
      <c r="AJ2901" s="37">
        <v>1</v>
      </c>
      <c r="AK2901" s="37" t="str">
        <f>VLOOKUP(Mecze[[#This Row],[Match ID]],Meczusie[Mecz]:Meczusie[RodzajMeczu],2,FALSE)</f>
        <v>Puchar</v>
      </c>
    </row>
    <row r="2902" spans="1:37" x14ac:dyDescent="0.25">
      <c r="A2902" s="76">
        <v>6</v>
      </c>
      <c r="B2902" s="3" t="s">
        <v>159</v>
      </c>
      <c r="C2902" s="2" t="s">
        <v>160</v>
      </c>
      <c r="D2902" s="1">
        <v>0</v>
      </c>
      <c r="E2902" s="1">
        <v>0</v>
      </c>
      <c r="F2902" s="1">
        <v>0</v>
      </c>
      <c r="G2902" s="1">
        <v>12</v>
      </c>
      <c r="H2902" s="4">
        <v>0.25</v>
      </c>
      <c r="I2902" s="1">
        <v>9</v>
      </c>
      <c r="J2902" s="4">
        <v>0.56000000000000005</v>
      </c>
      <c r="K2902" s="1">
        <v>0</v>
      </c>
      <c r="L2902" s="1">
        <v>5</v>
      </c>
      <c r="M2902" s="32">
        <f>IF(Mecze[[#This Row],[PR]]=0,0,Mecze[[#This Row],[PR]]/Mecze[[#This Row],[CZAS]])</f>
        <v>5.2083333333333336E-2</v>
      </c>
      <c r="N2902" s="32">
        <f>IF(Mecze[[#This Row],[OU]]=0,0,Mecze[[#This Row],[OU]]/Mecze[[#This Row],[CZAS]])</f>
        <v>5.2083333333333336E-2</v>
      </c>
      <c r="O2902" s="32">
        <f>IF(Mecze[[#This Row],[PC]]=0,0,Mecze[[#This Row],[PC]]/Mecze[[#This Row],[CZAS]])</f>
        <v>3.125E-2</v>
      </c>
      <c r="P2902" s="32">
        <f>IF(Mecze[[#This Row],[SC]]=0,0,Mecze[[#This Row],[SC]]/Mecze[[#This Row],[CZAS]])</f>
        <v>0</v>
      </c>
      <c r="Q2902" s="32">
        <f>IF(Mecze[[#This Row],[OB]]=0,0,Mecze[[#This Row],[OB]]/Mecze[[#This Row],[CZAS]])</f>
        <v>0</v>
      </c>
      <c r="R2902" s="32">
        <f>IF(Mecze[[#This Row],[BR]]=0,0,Mecze[[#This Row],[BR]]/Mecze[[#This Row],[CZAS]])</f>
        <v>0</v>
      </c>
      <c r="S2902" s="44">
        <f>IF(Mecze[[#This Row],[Role]]="BR",SUMPRODUCT(Mecze[[#This Row],[/PR:90]:[/BR:90]],Brudnopis!$E$23:$J$23),0)</f>
        <v>0</v>
      </c>
      <c r="T2902" s="44">
        <f>IF(Mecze[[#This Row],[Role]]&lt;&gt;"BR",SUMPRODUCT(Mecze[[#This Row],[/PR:90]:[/BR:90]],Brudnopis!$E$24:$J$24),0)</f>
        <v>0.16145833333333334</v>
      </c>
      <c r="U2902" s="44">
        <f>IF(Mecze[[#This Row],[Role]]&lt;&gt;"BR",SUMPRODUCT(Mecze[[#This Row],[/PR:90]:[/BR:90]],Brudnopis!$E$25:$J$25),0)</f>
        <v>0.15104166666666669</v>
      </c>
      <c r="V2902" s="44">
        <f>IF(Mecze[[#This Row],[Role]]&lt;&gt;"BR",SUMPRODUCT(Mecze[[#This Row],[/PR:90]:[/BR:90]],Brudnopis!$E$26:$J$26),0)</f>
        <v>0.13541666666666669</v>
      </c>
      <c r="W2902" s="44">
        <f>IF(Mecze[[#This Row],[Role]]&lt;&gt;"BR",SUMPRODUCT(Mecze[[#This Row],[/PR:90]:[/BR:90]],Brudnopis!$E$27:$J$27),0)</f>
        <v>0.125</v>
      </c>
      <c r="X2902" s="44">
        <f>IF(Mecze[[#This Row],[Role]]&lt;&gt;"BR",SUMPRODUCT(Mecze[[#This Row],[/PR:90]:[/BR:90]],Brudnopis!$E$28:$J$28),0)</f>
        <v>3.125E-2</v>
      </c>
      <c r="Y2902" s="35">
        <f>IF(Mecze[[#This Row],[Role]]="BR",Mecze[[#This Row],[/OB:90]]+Mecze[[#This Row],[/PC:90]],SUM(Mecze[[#This Row],[/PR:90]:[/BR:90]]))</f>
        <v>0.13541666666666669</v>
      </c>
      <c r="Z2902" s="35">
        <f>IF(Mecze[[#This Row],[KC]]=0,SUM(Mecze[[#This Row],[/BRI]:[/NPI]]),SUM(Mecze[[#This Row],[/BRI]:[/NPI]])*0.6)</f>
        <v>0.60416666666666674</v>
      </c>
      <c r="AA2902" s="10">
        <f>IFERROR(Mecze[[#This Row],[BR]]/Mecze[[#This Row],[ST]],0)</f>
        <v>0</v>
      </c>
      <c r="AB2902">
        <f>ROUND(Mecze[[#This Row],[PD]]*Mecze[[#This Row],[%PC]],0)</f>
        <v>3</v>
      </c>
      <c r="AC2902">
        <f>ROUND(Mecze[[#This Row],[OD]]*Mecze[[#This Row],[%OU]],0)</f>
        <v>5</v>
      </c>
      <c r="AD2902" s="36" t="s">
        <v>41</v>
      </c>
      <c r="AE2902" s="36">
        <v>162</v>
      </c>
      <c r="AF2902" s="71">
        <v>3.75</v>
      </c>
      <c r="AG2902" s="37">
        <v>0</v>
      </c>
      <c r="AH2902" s="37">
        <v>0</v>
      </c>
      <c r="AI2902" s="37">
        <v>96</v>
      </c>
      <c r="AJ2902" s="37">
        <v>1</v>
      </c>
      <c r="AK2902" s="37" t="str">
        <f>VLOOKUP(Mecze[[#This Row],[Match ID]],Meczusie[Mecz]:Meczusie[RodzajMeczu],2,FALSE)</f>
        <v>Puchar</v>
      </c>
    </row>
    <row r="2903" spans="1:37" x14ac:dyDescent="0.25">
      <c r="A2903" s="76">
        <v>14</v>
      </c>
      <c r="B2903" s="3" t="s">
        <v>164</v>
      </c>
      <c r="C2903" s="2" t="s">
        <v>160</v>
      </c>
      <c r="D2903" s="1">
        <v>0</v>
      </c>
      <c r="E2903" s="1">
        <v>0</v>
      </c>
      <c r="F2903" s="1">
        <v>0</v>
      </c>
      <c r="G2903" s="1">
        <v>13</v>
      </c>
      <c r="H2903" s="4">
        <v>0.54</v>
      </c>
      <c r="I2903" s="1">
        <v>14</v>
      </c>
      <c r="J2903" s="4">
        <v>0.28999999999999998</v>
      </c>
      <c r="K2903" s="1">
        <v>0</v>
      </c>
      <c r="L2903" s="1">
        <v>3</v>
      </c>
      <c r="M2903" s="32">
        <f>IF(Mecze[[#This Row],[PR]]=0,0,Mecze[[#This Row],[PR]]/Mecze[[#This Row],[CZAS]])</f>
        <v>3.125E-2</v>
      </c>
      <c r="N2903" s="32">
        <f>IF(Mecze[[#This Row],[OU]]=0,0,Mecze[[#This Row],[OU]]/Mecze[[#This Row],[CZAS]])</f>
        <v>4.1666666666666664E-2</v>
      </c>
      <c r="O2903" s="32">
        <f>IF(Mecze[[#This Row],[PC]]=0,0,Mecze[[#This Row],[PC]]/Mecze[[#This Row],[CZAS]])</f>
        <v>7.2916666666666671E-2</v>
      </c>
      <c r="P2903" s="32">
        <f>IF(Mecze[[#This Row],[SC]]=0,0,Mecze[[#This Row],[SC]]/Mecze[[#This Row],[CZAS]])</f>
        <v>0</v>
      </c>
      <c r="Q2903" s="32">
        <f>IF(Mecze[[#This Row],[OB]]=0,0,Mecze[[#This Row],[OB]]/Mecze[[#This Row],[CZAS]])</f>
        <v>0</v>
      </c>
      <c r="R2903" s="32">
        <f>IF(Mecze[[#This Row],[BR]]=0,0,Mecze[[#This Row],[BR]]/Mecze[[#This Row],[CZAS]])</f>
        <v>0</v>
      </c>
      <c r="S2903" s="44">
        <f>IF(Mecze[[#This Row],[Role]]="BR",SUMPRODUCT(Mecze[[#This Row],[/PR:90]:[/BR:90]],Brudnopis!$E$23:$J$23),0)</f>
        <v>0</v>
      </c>
      <c r="T2903" s="44">
        <f>IF(Mecze[[#This Row],[Role]]&lt;&gt;"BR",SUMPRODUCT(Mecze[[#This Row],[/PR:90]:[/BR:90]],Brudnopis!$E$24:$J$24),0)</f>
        <v>0.16666666666666669</v>
      </c>
      <c r="U2903" s="44">
        <f>IF(Mecze[[#This Row],[Role]]&lt;&gt;"BR",SUMPRODUCT(Mecze[[#This Row],[/PR:90]:[/BR:90]],Brudnopis!$E$25:$J$25),0)</f>
        <v>0.18229166666666666</v>
      </c>
      <c r="V2903" s="44">
        <f>IF(Mecze[[#This Row],[Role]]&lt;&gt;"BR",SUMPRODUCT(Mecze[[#This Row],[/PR:90]:[/BR:90]],Brudnopis!$E$26:$J$26),0)</f>
        <v>0.14583333333333331</v>
      </c>
      <c r="W2903" s="44">
        <f>IF(Mecze[[#This Row],[Role]]&lt;&gt;"BR",SUMPRODUCT(Mecze[[#This Row],[/PR:90]:[/BR:90]],Brudnopis!$E$27:$J$27),0)</f>
        <v>0.1640625</v>
      </c>
      <c r="X2903" s="44">
        <f>IF(Mecze[[#This Row],[Role]]&lt;&gt;"BR",SUMPRODUCT(Mecze[[#This Row],[/PR:90]:[/BR:90]],Brudnopis!$E$28:$J$28),0)</f>
        <v>7.2916666666666671E-2</v>
      </c>
      <c r="Y2903" s="35">
        <f>IF(Mecze[[#This Row],[Role]]="BR",Mecze[[#This Row],[/OB:90]]+Mecze[[#This Row],[/PC:90]],SUM(Mecze[[#This Row],[/PR:90]:[/BR:90]]))</f>
        <v>0.14583333333333331</v>
      </c>
      <c r="Z2903" s="35">
        <f>IF(Mecze[[#This Row],[KC]]=0,SUM(Mecze[[#This Row],[/BRI]:[/NPI]]),SUM(Mecze[[#This Row],[/BRI]:[/NPI]])*0.6)</f>
        <v>0.73177083333333337</v>
      </c>
      <c r="AA2903" s="10">
        <f>IFERROR(Mecze[[#This Row],[BR]]/Mecze[[#This Row],[ST]],0)</f>
        <v>0</v>
      </c>
      <c r="AB2903">
        <f>ROUND(Mecze[[#This Row],[PD]]*Mecze[[#This Row],[%PC]],0)</f>
        <v>7</v>
      </c>
      <c r="AC2903">
        <f>ROUND(Mecze[[#This Row],[OD]]*Mecze[[#This Row],[%OU]],0)</f>
        <v>4</v>
      </c>
      <c r="AD2903" s="36" t="s">
        <v>67</v>
      </c>
      <c r="AE2903" s="36">
        <v>162</v>
      </c>
      <c r="AF2903" s="71">
        <v>4.54</v>
      </c>
      <c r="AG2903" s="37">
        <v>0</v>
      </c>
      <c r="AH2903" s="37">
        <v>0</v>
      </c>
      <c r="AI2903" s="37">
        <v>96</v>
      </c>
      <c r="AJ2903" s="37">
        <v>1</v>
      </c>
      <c r="AK2903" s="37" t="str">
        <f>VLOOKUP(Mecze[[#This Row],[Match ID]],Meczusie[Mecz]:Meczusie[RodzajMeczu],2,FALSE)</f>
        <v>Puchar</v>
      </c>
    </row>
    <row r="2904" spans="1:37" x14ac:dyDescent="0.25">
      <c r="A2904" s="76">
        <v>19</v>
      </c>
      <c r="B2904" s="3" t="s">
        <v>166</v>
      </c>
      <c r="C2904" s="2" t="s">
        <v>165</v>
      </c>
      <c r="D2904" s="1">
        <v>1</v>
      </c>
      <c r="E2904" s="1">
        <v>2</v>
      </c>
      <c r="F2904" s="1">
        <v>2</v>
      </c>
      <c r="G2904" s="1">
        <v>9</v>
      </c>
      <c r="H2904" s="4">
        <v>0.33</v>
      </c>
      <c r="I2904" s="1">
        <v>12</v>
      </c>
      <c r="J2904" s="4">
        <v>0.25</v>
      </c>
      <c r="K2904" s="1">
        <v>0</v>
      </c>
      <c r="L2904" s="1">
        <v>1</v>
      </c>
      <c r="M2904" s="32">
        <f>IF(Mecze[[#This Row],[PR]]=0,0,Mecze[[#This Row],[PR]]/Mecze[[#This Row],[CZAS]])</f>
        <v>1.0416666666666666E-2</v>
      </c>
      <c r="N2904" s="32">
        <f>IF(Mecze[[#This Row],[OU]]=0,0,Mecze[[#This Row],[OU]]/Mecze[[#This Row],[CZAS]])</f>
        <v>3.125E-2</v>
      </c>
      <c r="O2904" s="32">
        <f>IF(Mecze[[#This Row],[PC]]=0,0,Mecze[[#This Row],[PC]]/Mecze[[#This Row],[CZAS]])</f>
        <v>3.125E-2</v>
      </c>
      <c r="P2904" s="32">
        <f>IF(Mecze[[#This Row],[SC]]=0,0,Mecze[[#This Row],[SC]]/Mecze[[#This Row],[CZAS]])</f>
        <v>2.0833333333333332E-2</v>
      </c>
      <c r="Q2904" s="32">
        <f>IF(Mecze[[#This Row],[OB]]=0,0,Mecze[[#This Row],[OB]]/Mecze[[#This Row],[CZAS]])</f>
        <v>0</v>
      </c>
      <c r="R2904" s="32">
        <f>IF(Mecze[[#This Row],[BR]]=0,0,Mecze[[#This Row],[BR]]/Mecze[[#This Row],[CZAS]])</f>
        <v>1.0416666666666666E-2</v>
      </c>
      <c r="S2904" s="44">
        <f>IF(Mecze[[#This Row],[Role]]="BR",SUMPRODUCT(Mecze[[#This Row],[/PR:90]:[/BR:90]],Brudnopis!$E$23:$J$23),0)</f>
        <v>0</v>
      </c>
      <c r="T2904" s="44">
        <f>IF(Mecze[[#This Row],[Role]]&lt;&gt;"BR",SUMPRODUCT(Mecze[[#This Row],[/PR:90]:[/BR:90]],Brudnopis!$E$24:$J$24),0)</f>
        <v>0.12499999999999999</v>
      </c>
      <c r="U2904" s="44">
        <f>IF(Mecze[[#This Row],[Role]]&lt;&gt;"BR",SUMPRODUCT(Mecze[[#This Row],[/PR:90]:[/BR:90]],Brudnopis!$E$25:$J$25),0)</f>
        <v>0.12499999999999999</v>
      </c>
      <c r="V2904" s="44">
        <f>IF(Mecze[[#This Row],[Role]]&lt;&gt;"BR",SUMPRODUCT(Mecze[[#This Row],[/PR:90]:[/BR:90]],Brudnopis!$E$26:$J$26),0)</f>
        <v>0.11458333333333331</v>
      </c>
      <c r="W2904" s="44">
        <f>IF(Mecze[[#This Row],[Role]]&lt;&gt;"BR",SUMPRODUCT(Mecze[[#This Row],[/PR:90]:[/BR:90]],Brudnopis!$E$27:$J$27),0)</f>
        <v>0.11979166666666666</v>
      </c>
      <c r="X2904" s="44">
        <f>IF(Mecze[[#This Row],[Role]]&lt;&gt;"BR",SUMPRODUCT(Mecze[[#This Row],[/PR:90]:[/BR:90]],Brudnopis!$E$28:$J$28),0)</f>
        <v>0.10416666666666666</v>
      </c>
      <c r="Y2904" s="35">
        <f>IF(Mecze[[#This Row],[Role]]="BR",Mecze[[#This Row],[/OB:90]]+Mecze[[#This Row],[/PC:90]],SUM(Mecze[[#This Row],[/PR:90]:[/BR:90]]))</f>
        <v>0.10416666666666666</v>
      </c>
      <c r="Z2904" s="35">
        <f>IF(Mecze[[#This Row],[KC]]=0,SUM(Mecze[[#This Row],[/BRI]:[/NPI]]),SUM(Mecze[[#This Row],[/BRI]:[/NPI]])*0.6)</f>
        <v>0.58854166666666652</v>
      </c>
      <c r="AA2904" s="10">
        <f>IFERROR(Mecze[[#This Row],[BR]]/Mecze[[#This Row],[ST]],0)</f>
        <v>0.5</v>
      </c>
      <c r="AB2904">
        <f>ROUND(Mecze[[#This Row],[PD]]*Mecze[[#This Row],[%PC]],0)</f>
        <v>3</v>
      </c>
      <c r="AC2904">
        <f>ROUND(Mecze[[#This Row],[OD]]*Mecze[[#This Row],[%OU]],0)</f>
        <v>3</v>
      </c>
      <c r="AD2904" s="36" t="s">
        <v>272</v>
      </c>
      <c r="AE2904" s="36">
        <v>162</v>
      </c>
      <c r="AF2904" s="71">
        <v>4.34</v>
      </c>
      <c r="AG2904" s="37">
        <v>1</v>
      </c>
      <c r="AH2904" s="37">
        <v>0</v>
      </c>
      <c r="AI2904" s="37">
        <v>96</v>
      </c>
      <c r="AJ2904" s="37">
        <v>1</v>
      </c>
      <c r="AK2904" s="37" t="str">
        <f>VLOOKUP(Mecze[[#This Row],[Match ID]],Meczusie[Mecz]:Meczusie[RodzajMeczu],2,FALSE)</f>
        <v>Puchar</v>
      </c>
    </row>
    <row r="2905" spans="1:37" x14ac:dyDescent="0.25">
      <c r="A2905" s="76">
        <v>13</v>
      </c>
      <c r="B2905" s="3" t="s">
        <v>162</v>
      </c>
      <c r="C2905" s="2" t="s">
        <v>165</v>
      </c>
      <c r="D2905" s="1">
        <v>0</v>
      </c>
      <c r="E2905" s="1">
        <v>0</v>
      </c>
      <c r="F2905" s="1">
        <v>0</v>
      </c>
      <c r="G2905" s="1">
        <v>6</v>
      </c>
      <c r="H2905" s="4">
        <v>0.17</v>
      </c>
      <c r="I2905" s="1">
        <v>0</v>
      </c>
      <c r="J2905" s="4"/>
      <c r="K2905" s="1">
        <v>0</v>
      </c>
      <c r="L2905" s="1">
        <v>0</v>
      </c>
      <c r="M2905" s="32">
        <f>IF(Mecze[[#This Row],[PR]]=0,0,Mecze[[#This Row],[PR]]/Mecze[[#This Row],[CZAS]])</f>
        <v>0</v>
      </c>
      <c r="N2905" s="32">
        <f>IF(Mecze[[#This Row],[OU]]=0,0,Mecze[[#This Row],[OU]]/Mecze[[#This Row],[CZAS]])</f>
        <v>0</v>
      </c>
      <c r="O2905" s="32">
        <f>IF(Mecze[[#This Row],[PC]]=0,0,Mecze[[#This Row],[PC]]/Mecze[[#This Row],[CZAS]])</f>
        <v>1.0416666666666666E-2</v>
      </c>
      <c r="P2905" s="32">
        <f>IF(Mecze[[#This Row],[SC]]=0,0,Mecze[[#This Row],[SC]]/Mecze[[#This Row],[CZAS]])</f>
        <v>0</v>
      </c>
      <c r="Q2905" s="32">
        <f>IF(Mecze[[#This Row],[OB]]=0,0,Mecze[[#This Row],[OB]]/Mecze[[#This Row],[CZAS]])</f>
        <v>0</v>
      </c>
      <c r="R2905" s="32">
        <f>IF(Mecze[[#This Row],[BR]]=0,0,Mecze[[#This Row],[BR]]/Mecze[[#This Row],[CZAS]])</f>
        <v>0</v>
      </c>
      <c r="S2905" s="44">
        <f>IF(Mecze[[#This Row],[Role]]="BR",SUMPRODUCT(Mecze[[#This Row],[/PR:90]:[/BR:90]],Brudnopis!$E$23:$J$23),0)</f>
        <v>0</v>
      </c>
      <c r="T2905" s="44">
        <f>IF(Mecze[[#This Row],[Role]]&lt;&gt;"BR",SUMPRODUCT(Mecze[[#This Row],[/PR:90]:[/BR:90]],Brudnopis!$E$24:$J$24),0)</f>
        <v>1.0416666666666666E-2</v>
      </c>
      <c r="U2905" s="44">
        <f>IF(Mecze[[#This Row],[Role]]&lt;&gt;"BR",SUMPRODUCT(Mecze[[#This Row],[/PR:90]:[/BR:90]],Brudnopis!$E$25:$J$25),0)</f>
        <v>1.5625E-2</v>
      </c>
      <c r="V2905" s="44">
        <f>IF(Mecze[[#This Row],[Role]]&lt;&gt;"BR",SUMPRODUCT(Mecze[[#This Row],[/PR:90]:[/BR:90]],Brudnopis!$E$26:$J$26),0)</f>
        <v>1.0416666666666666E-2</v>
      </c>
      <c r="W2905" s="44">
        <f>IF(Mecze[[#This Row],[Role]]&lt;&gt;"BR",SUMPRODUCT(Mecze[[#This Row],[/PR:90]:[/BR:90]],Brudnopis!$E$27:$J$27),0)</f>
        <v>1.5625E-2</v>
      </c>
      <c r="X2905" s="44">
        <f>IF(Mecze[[#This Row],[Role]]&lt;&gt;"BR",SUMPRODUCT(Mecze[[#This Row],[/PR:90]:[/BR:90]],Brudnopis!$E$28:$J$28),0)</f>
        <v>1.0416666666666666E-2</v>
      </c>
      <c r="Y2905" s="35">
        <f>IF(Mecze[[#This Row],[Role]]="BR",Mecze[[#This Row],[/OB:90]]+Mecze[[#This Row],[/PC:90]],SUM(Mecze[[#This Row],[/PR:90]:[/BR:90]]))</f>
        <v>1.0416666666666666E-2</v>
      </c>
      <c r="Z2905" s="35">
        <f>IF(Mecze[[#This Row],[KC]]=0,SUM(Mecze[[#This Row],[/BRI]:[/NPI]]),SUM(Mecze[[#This Row],[/BRI]:[/NPI]])*0.6)</f>
        <v>6.2499999999999993E-2</v>
      </c>
      <c r="AA2905" s="10">
        <f>IFERROR(Mecze[[#This Row],[BR]]/Mecze[[#This Row],[ST]],0)</f>
        <v>0</v>
      </c>
      <c r="AB2905">
        <f>ROUND(Mecze[[#This Row],[PD]]*Mecze[[#This Row],[%PC]],0)</f>
        <v>1</v>
      </c>
      <c r="AC2905">
        <f>ROUND(Mecze[[#This Row],[OD]]*Mecze[[#This Row],[%OU]],0)</f>
        <v>0</v>
      </c>
      <c r="AD2905" s="36" t="s">
        <v>355</v>
      </c>
      <c r="AE2905" s="36">
        <v>162</v>
      </c>
      <c r="AF2905" s="71">
        <v>2.71</v>
      </c>
      <c r="AG2905" s="37">
        <v>0</v>
      </c>
      <c r="AH2905" s="37">
        <v>0</v>
      </c>
      <c r="AI2905" s="37">
        <v>96</v>
      </c>
      <c r="AJ2905" s="37">
        <v>1</v>
      </c>
      <c r="AK2905" s="37" t="str">
        <f>VLOOKUP(Mecze[[#This Row],[Match ID]],Meczusie[Mecz]:Meczusie[RodzajMeczu],2,FALSE)</f>
        <v>Puchar</v>
      </c>
    </row>
    <row r="2906" spans="1:37" x14ac:dyDescent="0.25">
      <c r="A2906" s="76">
        <v>9</v>
      </c>
      <c r="B2906" s="3" t="s">
        <v>411</v>
      </c>
      <c r="C2906" s="2" t="s">
        <v>165</v>
      </c>
      <c r="D2906" s="1">
        <v>0</v>
      </c>
      <c r="E2906" s="1">
        <v>1</v>
      </c>
      <c r="F2906" s="1">
        <v>1</v>
      </c>
      <c r="G2906" s="1">
        <v>7</v>
      </c>
      <c r="H2906" s="4">
        <v>0.71</v>
      </c>
      <c r="I2906" s="1">
        <v>6</v>
      </c>
      <c r="J2906" s="4">
        <v>0</v>
      </c>
      <c r="K2906" s="1">
        <v>0</v>
      </c>
      <c r="L2906" s="1">
        <v>1</v>
      </c>
      <c r="M2906" s="32">
        <f>IF(Mecze[[#This Row],[PR]]=0,0,Mecze[[#This Row],[PR]]/Mecze[[#This Row],[CZAS]])</f>
        <v>1.0416666666666666E-2</v>
      </c>
      <c r="N2906" s="32">
        <f>IF(Mecze[[#This Row],[OU]]=0,0,Mecze[[#This Row],[OU]]/Mecze[[#This Row],[CZAS]])</f>
        <v>0</v>
      </c>
      <c r="O2906" s="32">
        <f>IF(Mecze[[#This Row],[PC]]=0,0,Mecze[[#This Row],[PC]]/Mecze[[#This Row],[CZAS]])</f>
        <v>5.2083333333333336E-2</v>
      </c>
      <c r="P2906" s="32">
        <f>IF(Mecze[[#This Row],[SC]]=0,0,Mecze[[#This Row],[SC]]/Mecze[[#This Row],[CZAS]])</f>
        <v>1.0416666666666666E-2</v>
      </c>
      <c r="Q2906" s="32">
        <f>IF(Mecze[[#This Row],[OB]]=0,0,Mecze[[#This Row],[OB]]/Mecze[[#This Row],[CZAS]])</f>
        <v>0</v>
      </c>
      <c r="R2906" s="32">
        <f>IF(Mecze[[#This Row],[BR]]=0,0,Mecze[[#This Row],[BR]]/Mecze[[#This Row],[CZAS]])</f>
        <v>0</v>
      </c>
      <c r="S2906" s="44">
        <f>IF(Mecze[[#This Row],[Role]]="BR",SUMPRODUCT(Mecze[[#This Row],[/PR:90]:[/BR:90]],Brudnopis!$E$23:$J$23),0)</f>
        <v>0</v>
      </c>
      <c r="T2906" s="44">
        <f>IF(Mecze[[#This Row],[Role]]&lt;&gt;"BR",SUMPRODUCT(Mecze[[#This Row],[/PR:90]:[/BR:90]],Brudnopis!$E$24:$J$24),0)</f>
        <v>7.2916666666666671E-2</v>
      </c>
      <c r="U2906" s="44">
        <f>IF(Mecze[[#This Row],[Role]]&lt;&gt;"BR",SUMPRODUCT(Mecze[[#This Row],[/PR:90]:[/BR:90]],Brudnopis!$E$25:$J$25),0)</f>
        <v>9.8958333333333343E-2</v>
      </c>
      <c r="V2906" s="44">
        <f>IF(Mecze[[#This Row],[Role]]&lt;&gt;"BR",SUMPRODUCT(Mecze[[#This Row],[/PR:90]:[/BR:90]],Brudnopis!$E$26:$J$26),0)</f>
        <v>7.2916666666666671E-2</v>
      </c>
      <c r="W2906" s="44">
        <f>IF(Mecze[[#This Row],[Role]]&lt;&gt;"BR",SUMPRODUCT(Mecze[[#This Row],[/PR:90]:[/BR:90]],Brudnopis!$E$27:$J$27),0)</f>
        <v>9.6354166666666671E-2</v>
      </c>
      <c r="X2906" s="44">
        <f>IF(Mecze[[#This Row],[Role]]&lt;&gt;"BR",SUMPRODUCT(Mecze[[#This Row],[/PR:90]:[/BR:90]],Brudnopis!$E$28:$J$28),0)</f>
        <v>7.2916666666666671E-2</v>
      </c>
      <c r="Y2906" s="35">
        <f>IF(Mecze[[#This Row],[Role]]="BR",Mecze[[#This Row],[/OB:90]]+Mecze[[#This Row],[/PC:90]],SUM(Mecze[[#This Row],[/PR:90]:[/BR:90]]))</f>
        <v>7.2916666666666671E-2</v>
      </c>
      <c r="Z2906" s="35">
        <f>IF(Mecze[[#This Row],[KC]]=0,SUM(Mecze[[#This Row],[/BRI]:[/NPI]]),SUM(Mecze[[#This Row],[/BRI]:[/NPI]])*0.6)</f>
        <v>0.41406250000000006</v>
      </c>
      <c r="AA2906" s="10">
        <f>IFERROR(Mecze[[#This Row],[BR]]/Mecze[[#This Row],[ST]],0)</f>
        <v>0</v>
      </c>
      <c r="AB2906">
        <f>ROUND(Mecze[[#This Row],[PD]]*Mecze[[#This Row],[%PC]],0)</f>
        <v>5</v>
      </c>
      <c r="AC2906">
        <f>ROUND(Mecze[[#This Row],[OD]]*Mecze[[#This Row],[%OU]],0)</f>
        <v>0</v>
      </c>
      <c r="AD2906" s="36" t="s">
        <v>46</v>
      </c>
      <c r="AE2906" s="36">
        <v>162</v>
      </c>
      <c r="AF2906" s="71">
        <v>4.26</v>
      </c>
      <c r="AG2906" s="37">
        <v>0</v>
      </c>
      <c r="AH2906" s="37">
        <v>0</v>
      </c>
      <c r="AI2906" s="37">
        <v>96</v>
      </c>
      <c r="AJ2906" s="37">
        <v>1</v>
      </c>
      <c r="AK2906" s="37" t="str">
        <f>VLOOKUP(Mecze[[#This Row],[Match ID]],Meczusie[Mecz]:Meczusie[RodzajMeczu],2,FALSE)</f>
        <v>Puchar</v>
      </c>
    </row>
    <row r="2907" spans="1:37" x14ac:dyDescent="0.25">
      <c r="A2907" s="76">
        <v>39</v>
      </c>
      <c r="B2907" s="3" t="s">
        <v>450</v>
      </c>
      <c r="C2907" s="2" t="s">
        <v>155</v>
      </c>
      <c r="D2907" s="1">
        <v>0</v>
      </c>
      <c r="E2907" s="1">
        <v>0</v>
      </c>
      <c r="F2907" s="1">
        <v>0</v>
      </c>
      <c r="G2907" s="1">
        <v>6</v>
      </c>
      <c r="H2907" s="4">
        <v>0.17</v>
      </c>
      <c r="I2907" s="1">
        <v>0</v>
      </c>
      <c r="J2907" s="4"/>
      <c r="K2907" s="1">
        <v>6</v>
      </c>
      <c r="L2907" s="1">
        <v>0</v>
      </c>
      <c r="M2907" s="32">
        <f>IF(Mecze[[#This Row],[PR]]=0,0,Mecze[[#This Row],[PR]]/Mecze[[#This Row],[CZAS]])</f>
        <v>0</v>
      </c>
      <c r="N2907" s="32">
        <f>IF(Mecze[[#This Row],[OU]]=0,0,Mecze[[#This Row],[OU]]/Mecze[[#This Row],[CZAS]])</f>
        <v>0</v>
      </c>
      <c r="O2907" s="32">
        <f>IF(Mecze[[#This Row],[PC]]=0,0,Mecze[[#This Row],[PC]]/Mecze[[#This Row],[CZAS]])</f>
        <v>1.0309278350515464E-2</v>
      </c>
      <c r="P2907" s="32">
        <f>IF(Mecze[[#This Row],[SC]]=0,0,Mecze[[#This Row],[SC]]/Mecze[[#This Row],[CZAS]])</f>
        <v>0</v>
      </c>
      <c r="Q2907" s="32">
        <f>IF(Mecze[[#This Row],[OB]]=0,0,Mecze[[#This Row],[OB]]/Mecze[[#This Row],[CZAS]])</f>
        <v>6.1855670103092786E-2</v>
      </c>
      <c r="R2907" s="32">
        <f>IF(Mecze[[#This Row],[BR]]=0,0,Mecze[[#This Row],[BR]]/Mecze[[#This Row],[CZAS]])</f>
        <v>0</v>
      </c>
      <c r="S2907" s="44">
        <f>IF(Mecze[[#This Row],[Role]]="BR",SUMPRODUCT(Mecze[[#This Row],[/PR:90]:[/BR:90]],Brudnopis!$E$23:$J$23),0)</f>
        <v>0.21649484536082475</v>
      </c>
      <c r="T2907" s="44">
        <f>IF(Mecze[[#This Row],[Role]]&lt;&gt;"BR",SUMPRODUCT(Mecze[[#This Row],[/PR:90]:[/BR:90]],Brudnopis!$E$24:$J$24),0)</f>
        <v>0</v>
      </c>
      <c r="U2907" s="44">
        <f>IF(Mecze[[#This Row],[Role]]&lt;&gt;"BR",SUMPRODUCT(Mecze[[#This Row],[/PR:90]:[/BR:90]],Brudnopis!$E$25:$J$25),0)</f>
        <v>0</v>
      </c>
      <c r="V2907" s="44">
        <f>IF(Mecze[[#This Row],[Role]]&lt;&gt;"BR",SUMPRODUCT(Mecze[[#This Row],[/PR:90]:[/BR:90]],Brudnopis!$E$26:$J$26),0)</f>
        <v>0</v>
      </c>
      <c r="W2907" s="44">
        <f>IF(Mecze[[#This Row],[Role]]&lt;&gt;"BR",SUMPRODUCT(Mecze[[#This Row],[/PR:90]:[/BR:90]],Brudnopis!$E$27:$J$27),0)</f>
        <v>0</v>
      </c>
      <c r="X2907" s="44">
        <f>IF(Mecze[[#This Row],[Role]]&lt;&gt;"BR",SUMPRODUCT(Mecze[[#This Row],[/PR:90]:[/BR:90]],Brudnopis!$E$28:$J$28),0)</f>
        <v>0</v>
      </c>
      <c r="Y2907" s="35">
        <f>IF(Mecze[[#This Row],[Role]]="BR",Mecze[[#This Row],[/OB:90]]+Mecze[[#This Row],[/PC:90]],SUM(Mecze[[#This Row],[/PR:90]:[/BR:90]]))</f>
        <v>7.2164948453608255E-2</v>
      </c>
      <c r="Z2907" s="35">
        <f>IF(Mecze[[#This Row],[KC]]=0,SUM(Mecze[[#This Row],[/BRI]:[/NPI]]),SUM(Mecze[[#This Row],[/BRI]:[/NPI]])*0.6)</f>
        <v>0.21649484536082475</v>
      </c>
      <c r="AA2907" s="10">
        <f>IFERROR(Mecze[[#This Row],[BR]]/Mecze[[#This Row],[ST]],0)</f>
        <v>0</v>
      </c>
      <c r="AB2907">
        <f>ROUND(Mecze[[#This Row],[PD]]*Mecze[[#This Row],[%PC]],0)</f>
        <v>1</v>
      </c>
      <c r="AC2907">
        <f>ROUND(Mecze[[#This Row],[OD]]*Mecze[[#This Row],[%OU]],0)</f>
        <v>0</v>
      </c>
      <c r="AD2907" s="36" t="s">
        <v>40</v>
      </c>
      <c r="AE2907" s="36">
        <v>163</v>
      </c>
      <c r="AF2907" s="71">
        <v>9.14</v>
      </c>
      <c r="AG2907" s="37">
        <v>0</v>
      </c>
      <c r="AH2907" s="37">
        <v>0</v>
      </c>
      <c r="AI2907" s="37">
        <v>97</v>
      </c>
      <c r="AJ2907" s="37">
        <v>1</v>
      </c>
      <c r="AK2907" s="37" t="str">
        <f>VLOOKUP(Mecze[[#This Row],[Match ID]],Meczusie[Mecz]:Meczusie[RodzajMeczu],2,FALSE)</f>
        <v>Towarzyski</v>
      </c>
    </row>
    <row r="2908" spans="1:37" x14ac:dyDescent="0.25">
      <c r="A2908" s="76">
        <v>38</v>
      </c>
      <c r="B2908" s="3" t="s">
        <v>359</v>
      </c>
      <c r="C2908" s="2" t="s">
        <v>157</v>
      </c>
      <c r="D2908" s="1">
        <v>0</v>
      </c>
      <c r="E2908" s="1">
        <v>0</v>
      </c>
      <c r="F2908" s="1">
        <v>0</v>
      </c>
      <c r="G2908" s="1">
        <v>6</v>
      </c>
      <c r="H2908" s="4">
        <v>0.33</v>
      </c>
      <c r="I2908" s="1">
        <v>3</v>
      </c>
      <c r="J2908" s="4">
        <v>0.33</v>
      </c>
      <c r="K2908" s="1">
        <v>0</v>
      </c>
      <c r="L2908" s="1">
        <v>9</v>
      </c>
      <c r="M2908" s="32">
        <f>IF(Mecze[[#This Row],[PR]]=0,0,Mecze[[#This Row],[PR]]/Mecze[[#This Row],[CZAS]])</f>
        <v>9.2783505154639179E-2</v>
      </c>
      <c r="N2908" s="32">
        <f>IF(Mecze[[#This Row],[OU]]=0,0,Mecze[[#This Row],[OU]]/Mecze[[#This Row],[CZAS]])</f>
        <v>1.0309278350515464E-2</v>
      </c>
      <c r="O2908" s="32">
        <f>IF(Mecze[[#This Row],[PC]]=0,0,Mecze[[#This Row],[PC]]/Mecze[[#This Row],[CZAS]])</f>
        <v>2.0618556701030927E-2</v>
      </c>
      <c r="P2908" s="32">
        <f>IF(Mecze[[#This Row],[SC]]=0,0,Mecze[[#This Row],[SC]]/Mecze[[#This Row],[CZAS]])</f>
        <v>0</v>
      </c>
      <c r="Q2908" s="32">
        <f>IF(Mecze[[#This Row],[OB]]=0,0,Mecze[[#This Row],[OB]]/Mecze[[#This Row],[CZAS]])</f>
        <v>0</v>
      </c>
      <c r="R2908" s="32">
        <f>IF(Mecze[[#This Row],[BR]]=0,0,Mecze[[#This Row],[BR]]/Mecze[[#This Row],[CZAS]])</f>
        <v>0</v>
      </c>
      <c r="S2908" s="44">
        <f>IF(Mecze[[#This Row],[Role]]="BR",SUMPRODUCT(Mecze[[#This Row],[/PR:90]:[/BR:90]],Brudnopis!$E$23:$J$23),0)</f>
        <v>0</v>
      </c>
      <c r="T2908" s="44">
        <f>IF(Mecze[[#This Row],[Role]]&lt;&gt;"BR",SUMPRODUCT(Mecze[[#This Row],[/PR:90]:[/BR:90]],Brudnopis!$E$24:$J$24),0)</f>
        <v>0.12886597938144331</v>
      </c>
      <c r="U2908" s="44">
        <f>IF(Mecze[[#This Row],[Role]]&lt;&gt;"BR",SUMPRODUCT(Mecze[[#This Row],[/PR:90]:[/BR:90]],Brudnopis!$E$25:$J$25),0)</f>
        <v>0.13402061855670105</v>
      </c>
      <c r="V2908" s="44">
        <f>IF(Mecze[[#This Row],[Role]]&lt;&gt;"BR",SUMPRODUCT(Mecze[[#This Row],[/PR:90]:[/BR:90]],Brudnopis!$E$26:$J$26),0)</f>
        <v>0.12371134020618557</v>
      </c>
      <c r="W2908" s="44">
        <f>IF(Mecze[[#This Row],[Role]]&lt;&gt;"BR",SUMPRODUCT(Mecze[[#This Row],[/PR:90]:[/BR:90]],Brudnopis!$E$27:$J$27),0)</f>
        <v>0.10824742268041238</v>
      </c>
      <c r="X2908" s="44">
        <f>IF(Mecze[[#This Row],[Role]]&lt;&gt;"BR",SUMPRODUCT(Mecze[[#This Row],[/PR:90]:[/BR:90]],Brudnopis!$E$28:$J$28),0)</f>
        <v>2.0618556701030927E-2</v>
      </c>
      <c r="Y2908" s="35">
        <f>IF(Mecze[[#This Row],[Role]]="BR",Mecze[[#This Row],[/OB:90]]+Mecze[[#This Row],[/PC:90]],SUM(Mecze[[#This Row],[/PR:90]:[/BR:90]]))</f>
        <v>0.12371134020618557</v>
      </c>
      <c r="Z2908" s="35">
        <f>IF(Mecze[[#This Row],[KC]]=0,SUM(Mecze[[#This Row],[/BRI]:[/NPI]]),SUM(Mecze[[#This Row],[/BRI]:[/NPI]])*0.6)</f>
        <v>0.51546391752577325</v>
      </c>
      <c r="AA2908" s="10">
        <f>IFERROR(Mecze[[#This Row],[BR]]/Mecze[[#This Row],[ST]],0)</f>
        <v>0</v>
      </c>
      <c r="AB2908">
        <f>ROUND(Mecze[[#This Row],[PD]]*Mecze[[#This Row],[%PC]],0)</f>
        <v>2</v>
      </c>
      <c r="AC2908">
        <f>ROUND(Mecze[[#This Row],[OD]]*Mecze[[#This Row],[%OU]],0)</f>
        <v>1</v>
      </c>
      <c r="AD2908" s="36" t="s">
        <v>47</v>
      </c>
      <c r="AE2908" s="36">
        <v>163</v>
      </c>
      <c r="AF2908" s="71">
        <v>8.93</v>
      </c>
      <c r="AG2908" s="37">
        <v>0</v>
      </c>
      <c r="AH2908" s="37">
        <v>0</v>
      </c>
      <c r="AI2908" s="37">
        <v>97</v>
      </c>
      <c r="AJ2908" s="37">
        <v>1</v>
      </c>
      <c r="AK2908" s="37" t="str">
        <f>VLOOKUP(Mecze[[#This Row],[Match ID]],Meczusie[Mecz]:Meczusie[RodzajMeczu],2,FALSE)</f>
        <v>Towarzyski</v>
      </c>
    </row>
    <row r="2909" spans="1:37" x14ac:dyDescent="0.25">
      <c r="A2909" s="76">
        <v>17</v>
      </c>
      <c r="B2909" s="3" t="s">
        <v>413</v>
      </c>
      <c r="C2909" s="2" t="s">
        <v>157</v>
      </c>
      <c r="D2909" s="1">
        <v>0</v>
      </c>
      <c r="E2909" s="1">
        <v>0</v>
      </c>
      <c r="F2909" s="1">
        <v>0</v>
      </c>
      <c r="G2909" s="1">
        <v>3</v>
      </c>
      <c r="H2909" s="4">
        <v>0.33</v>
      </c>
      <c r="I2909" s="1">
        <v>6</v>
      </c>
      <c r="J2909" s="4">
        <v>0.33</v>
      </c>
      <c r="K2909" s="1">
        <v>0</v>
      </c>
      <c r="L2909" s="1">
        <v>10</v>
      </c>
      <c r="M2909" s="32">
        <f>IF(Mecze[[#This Row],[PR]]=0,0,Mecze[[#This Row],[PR]]/Mecze[[#This Row],[CZAS]])</f>
        <v>0.10309278350515463</v>
      </c>
      <c r="N2909" s="32">
        <f>IF(Mecze[[#This Row],[OU]]=0,0,Mecze[[#This Row],[OU]]/Mecze[[#This Row],[CZAS]])</f>
        <v>2.0618556701030927E-2</v>
      </c>
      <c r="O2909" s="32">
        <f>IF(Mecze[[#This Row],[PC]]=0,0,Mecze[[#This Row],[PC]]/Mecze[[#This Row],[CZAS]])</f>
        <v>1.0309278350515464E-2</v>
      </c>
      <c r="P2909" s="32">
        <f>IF(Mecze[[#This Row],[SC]]=0,0,Mecze[[#This Row],[SC]]/Mecze[[#This Row],[CZAS]])</f>
        <v>0</v>
      </c>
      <c r="Q2909" s="32">
        <f>IF(Mecze[[#This Row],[OB]]=0,0,Mecze[[#This Row],[OB]]/Mecze[[#This Row],[CZAS]])</f>
        <v>0</v>
      </c>
      <c r="R2909" s="32">
        <f>IF(Mecze[[#This Row],[BR]]=0,0,Mecze[[#This Row],[BR]]/Mecze[[#This Row],[CZAS]])</f>
        <v>0</v>
      </c>
      <c r="S2909" s="44">
        <f>IF(Mecze[[#This Row],[Role]]="BR",SUMPRODUCT(Mecze[[#This Row],[/PR:90]:[/BR:90]],Brudnopis!$E$23:$J$23),0)</f>
        <v>0</v>
      </c>
      <c r="T2909" s="44">
        <f>IF(Mecze[[#This Row],[Role]]&lt;&gt;"BR",SUMPRODUCT(Mecze[[#This Row],[/PR:90]:[/BR:90]],Brudnopis!$E$24:$J$24),0)</f>
        <v>0.14432989690721648</v>
      </c>
      <c r="U2909" s="44">
        <f>IF(Mecze[[#This Row],[Role]]&lt;&gt;"BR",SUMPRODUCT(Mecze[[#This Row],[/PR:90]:[/BR:90]],Brudnopis!$E$25:$J$25),0)</f>
        <v>0.13917525773195877</v>
      </c>
      <c r="V2909" s="44">
        <f>IF(Mecze[[#This Row],[Role]]&lt;&gt;"BR",SUMPRODUCT(Mecze[[#This Row],[/PR:90]:[/BR:90]],Brudnopis!$E$26:$J$26),0)</f>
        <v>0.13402061855670103</v>
      </c>
      <c r="W2909" s="44">
        <f>IF(Mecze[[#This Row],[Role]]&lt;&gt;"BR",SUMPRODUCT(Mecze[[#This Row],[/PR:90]:[/BR:90]],Brudnopis!$E$27:$J$27),0)</f>
        <v>0.10824742268041238</v>
      </c>
      <c r="X2909" s="44">
        <f>IF(Mecze[[#This Row],[Role]]&lt;&gt;"BR",SUMPRODUCT(Mecze[[#This Row],[/PR:90]:[/BR:90]],Brudnopis!$E$28:$J$28),0)</f>
        <v>1.0309278350515464E-2</v>
      </c>
      <c r="Y2909" s="35">
        <f>IF(Mecze[[#This Row],[Role]]="BR",Mecze[[#This Row],[/OB:90]]+Mecze[[#This Row],[/PC:90]],SUM(Mecze[[#This Row],[/PR:90]:[/BR:90]]))</f>
        <v>0.13402061855670103</v>
      </c>
      <c r="Z2909" s="35">
        <f>IF(Mecze[[#This Row],[KC]]=0,SUM(Mecze[[#This Row],[/BRI]:[/NPI]]),SUM(Mecze[[#This Row],[/BRI]:[/NPI]])*0.6)</f>
        <v>0.536082474226804</v>
      </c>
      <c r="AA2909" s="10">
        <f>IFERROR(Mecze[[#This Row],[BR]]/Mecze[[#This Row],[ST]],0)</f>
        <v>0</v>
      </c>
      <c r="AB2909">
        <f>ROUND(Mecze[[#This Row],[PD]]*Mecze[[#This Row],[%PC]],0)</f>
        <v>1</v>
      </c>
      <c r="AC2909">
        <f>ROUND(Mecze[[#This Row],[OD]]*Mecze[[#This Row],[%OU]],0)</f>
        <v>2</v>
      </c>
      <c r="AD2909" s="36" t="s">
        <v>167</v>
      </c>
      <c r="AE2909" s="36">
        <v>163</v>
      </c>
      <c r="AF2909" s="71">
        <v>9.14</v>
      </c>
      <c r="AG2909" s="37">
        <v>0</v>
      </c>
      <c r="AH2909" s="37">
        <v>0</v>
      </c>
      <c r="AI2909" s="37">
        <v>97</v>
      </c>
      <c r="AJ2909" s="37">
        <v>1</v>
      </c>
      <c r="AK2909" s="37" t="str">
        <f>VLOOKUP(Mecze[[#This Row],[Match ID]],Meczusie[Mecz]:Meczusie[RodzajMeczu],2,FALSE)</f>
        <v>Towarzyski</v>
      </c>
    </row>
    <row r="2910" spans="1:37" x14ac:dyDescent="0.25">
      <c r="A2910" s="76">
        <v>50</v>
      </c>
      <c r="B2910" s="3" t="s">
        <v>496</v>
      </c>
      <c r="C2910" s="2" t="s">
        <v>157</v>
      </c>
      <c r="D2910" s="1">
        <v>0</v>
      </c>
      <c r="E2910" s="1">
        <v>0</v>
      </c>
      <c r="F2910" s="1">
        <v>0</v>
      </c>
      <c r="G2910" s="1">
        <v>13</v>
      </c>
      <c r="H2910" s="4">
        <v>0.38</v>
      </c>
      <c r="I2910" s="1">
        <v>2</v>
      </c>
      <c r="J2910" s="4">
        <v>1</v>
      </c>
      <c r="K2910" s="1">
        <v>0</v>
      </c>
      <c r="L2910" s="1">
        <v>10</v>
      </c>
      <c r="M2910" s="32">
        <f>IF(Mecze[[#This Row],[PR]]=0,0,Mecze[[#This Row],[PR]]/Mecze[[#This Row],[CZAS]])</f>
        <v>0.10309278350515463</v>
      </c>
      <c r="N2910" s="32">
        <f>IF(Mecze[[#This Row],[OU]]=0,0,Mecze[[#This Row],[OU]]/Mecze[[#This Row],[CZAS]])</f>
        <v>2.0618556701030927E-2</v>
      </c>
      <c r="O2910" s="32">
        <f>IF(Mecze[[#This Row],[PC]]=0,0,Mecze[[#This Row],[PC]]/Mecze[[#This Row],[CZAS]])</f>
        <v>5.1546391752577317E-2</v>
      </c>
      <c r="P2910" s="32">
        <f>IF(Mecze[[#This Row],[SC]]=0,0,Mecze[[#This Row],[SC]]/Mecze[[#This Row],[CZAS]])</f>
        <v>0</v>
      </c>
      <c r="Q2910" s="32">
        <f>IF(Mecze[[#This Row],[OB]]=0,0,Mecze[[#This Row],[OB]]/Mecze[[#This Row],[CZAS]])</f>
        <v>0</v>
      </c>
      <c r="R2910" s="32">
        <f>IF(Mecze[[#This Row],[BR]]=0,0,Mecze[[#This Row],[BR]]/Mecze[[#This Row],[CZAS]])</f>
        <v>0</v>
      </c>
      <c r="S2910" s="44">
        <f>IF(Mecze[[#This Row],[Role]]="BR",SUMPRODUCT(Mecze[[#This Row],[/PR:90]:[/BR:90]],Brudnopis!$E$23:$J$23),0)</f>
        <v>0</v>
      </c>
      <c r="T2910" s="44">
        <f>IF(Mecze[[#This Row],[Role]]&lt;&gt;"BR",SUMPRODUCT(Mecze[[#This Row],[/PR:90]:[/BR:90]],Brudnopis!$E$24:$J$24),0)</f>
        <v>0.18556701030927836</v>
      </c>
      <c r="U2910" s="44">
        <f>IF(Mecze[[#This Row],[Role]]&lt;&gt;"BR",SUMPRODUCT(Mecze[[#This Row],[/PR:90]:[/BR:90]],Brudnopis!$E$25:$J$25),0)</f>
        <v>0.20103092783505155</v>
      </c>
      <c r="V2910" s="44">
        <f>IF(Mecze[[#This Row],[Role]]&lt;&gt;"BR",SUMPRODUCT(Mecze[[#This Row],[/PR:90]:[/BR:90]],Brudnopis!$E$26:$J$26),0)</f>
        <v>0.17525773195876287</v>
      </c>
      <c r="W2910" s="44">
        <f>IF(Mecze[[#This Row],[Role]]&lt;&gt;"BR",SUMPRODUCT(Mecze[[#This Row],[/PR:90]:[/BR:90]],Brudnopis!$E$27:$J$27),0)</f>
        <v>0.17010309278350516</v>
      </c>
      <c r="X2910" s="44">
        <f>IF(Mecze[[#This Row],[Role]]&lt;&gt;"BR",SUMPRODUCT(Mecze[[#This Row],[/PR:90]:[/BR:90]],Brudnopis!$E$28:$J$28),0)</f>
        <v>5.1546391752577317E-2</v>
      </c>
      <c r="Y2910" s="35">
        <f>IF(Mecze[[#This Row],[Role]]="BR",Mecze[[#This Row],[/OB:90]]+Mecze[[#This Row],[/PC:90]],SUM(Mecze[[#This Row],[/PR:90]:[/BR:90]]))</f>
        <v>0.17525773195876287</v>
      </c>
      <c r="Z2910" s="35">
        <f>IF(Mecze[[#This Row],[KC]]=0,SUM(Mecze[[#This Row],[/BRI]:[/NPI]]),SUM(Mecze[[#This Row],[/BRI]:[/NPI]])*0.6)</f>
        <v>0.78350515463917536</v>
      </c>
      <c r="AA2910" s="10">
        <f>IFERROR(Mecze[[#This Row],[BR]]/Mecze[[#This Row],[ST]],0)</f>
        <v>0</v>
      </c>
      <c r="AB2910">
        <f>ROUND(Mecze[[#This Row],[PD]]*Mecze[[#This Row],[%PC]],0)</f>
        <v>5</v>
      </c>
      <c r="AC2910">
        <f>ROUND(Mecze[[#This Row],[OD]]*Mecze[[#This Row],[%OU]],0)</f>
        <v>2</v>
      </c>
      <c r="AD2910" s="36" t="s">
        <v>168</v>
      </c>
      <c r="AE2910" s="36">
        <v>163</v>
      </c>
      <c r="AF2910" s="71">
        <v>9.14</v>
      </c>
      <c r="AG2910" s="37">
        <v>0</v>
      </c>
      <c r="AH2910" s="37">
        <v>0</v>
      </c>
      <c r="AI2910" s="37">
        <v>97</v>
      </c>
      <c r="AJ2910" s="37">
        <v>1</v>
      </c>
      <c r="AK2910" s="37" t="str">
        <f>VLOOKUP(Mecze[[#This Row],[Match ID]],Meczusie[Mecz]:Meczusie[RodzajMeczu],2,FALSE)</f>
        <v>Towarzyski</v>
      </c>
    </row>
    <row r="2911" spans="1:37" x14ac:dyDescent="0.25">
      <c r="A2911" s="76">
        <v>52</v>
      </c>
      <c r="B2911" s="3" t="s">
        <v>408</v>
      </c>
      <c r="C2911" s="2" t="s">
        <v>160</v>
      </c>
      <c r="D2911" s="1">
        <v>0</v>
      </c>
      <c r="E2911" s="1">
        <v>0</v>
      </c>
      <c r="F2911" s="1">
        <v>0</v>
      </c>
      <c r="G2911" s="1">
        <v>15</v>
      </c>
      <c r="H2911" s="4">
        <v>0.33</v>
      </c>
      <c r="I2911" s="1">
        <v>6</v>
      </c>
      <c r="J2911" s="4">
        <v>0.17</v>
      </c>
      <c r="K2911" s="1">
        <v>0</v>
      </c>
      <c r="L2911" s="1">
        <v>10</v>
      </c>
      <c r="M2911" s="32">
        <f>IF(Mecze[[#This Row],[PR]]=0,0,Mecze[[#This Row],[PR]]/Mecze[[#This Row],[CZAS]])</f>
        <v>0.10309278350515463</v>
      </c>
      <c r="N2911" s="32">
        <f>IF(Mecze[[#This Row],[OU]]=0,0,Mecze[[#This Row],[OU]]/Mecze[[#This Row],[CZAS]])</f>
        <v>1.0309278350515464E-2</v>
      </c>
      <c r="O2911" s="32">
        <f>IF(Mecze[[#This Row],[PC]]=0,0,Mecze[[#This Row],[PC]]/Mecze[[#This Row],[CZAS]])</f>
        <v>5.1546391752577317E-2</v>
      </c>
      <c r="P2911" s="32">
        <f>IF(Mecze[[#This Row],[SC]]=0,0,Mecze[[#This Row],[SC]]/Mecze[[#This Row],[CZAS]])</f>
        <v>0</v>
      </c>
      <c r="Q2911" s="32">
        <f>IF(Mecze[[#This Row],[OB]]=0,0,Mecze[[#This Row],[OB]]/Mecze[[#This Row],[CZAS]])</f>
        <v>0</v>
      </c>
      <c r="R2911" s="32">
        <f>IF(Mecze[[#This Row],[BR]]=0,0,Mecze[[#This Row],[BR]]/Mecze[[#This Row],[CZAS]])</f>
        <v>0</v>
      </c>
      <c r="S2911" s="44">
        <f>IF(Mecze[[#This Row],[Role]]="BR",SUMPRODUCT(Mecze[[#This Row],[/PR:90]:[/BR:90]],Brudnopis!$E$23:$J$23),0)</f>
        <v>0</v>
      </c>
      <c r="T2911" s="44">
        <f>IF(Mecze[[#This Row],[Role]]&lt;&gt;"BR",SUMPRODUCT(Mecze[[#This Row],[/PR:90]:[/BR:90]],Brudnopis!$E$24:$J$24),0)</f>
        <v>0.17010309278350516</v>
      </c>
      <c r="U2911" s="44">
        <f>IF(Mecze[[#This Row],[Role]]&lt;&gt;"BR",SUMPRODUCT(Mecze[[#This Row],[/PR:90]:[/BR:90]],Brudnopis!$E$25:$J$25),0)</f>
        <v>0.19072164948453607</v>
      </c>
      <c r="V2911" s="44">
        <f>IF(Mecze[[#This Row],[Role]]&lt;&gt;"BR",SUMPRODUCT(Mecze[[#This Row],[/PR:90]:[/BR:90]],Brudnopis!$E$26:$J$26),0)</f>
        <v>0.16494845360824742</v>
      </c>
      <c r="W2911" s="44">
        <f>IF(Mecze[[#This Row],[Role]]&lt;&gt;"BR",SUMPRODUCT(Mecze[[#This Row],[/PR:90]:[/BR:90]],Brudnopis!$E$27:$J$27),0)</f>
        <v>0.16237113402061856</v>
      </c>
      <c r="X2911" s="44">
        <f>IF(Mecze[[#This Row],[Role]]&lt;&gt;"BR",SUMPRODUCT(Mecze[[#This Row],[/PR:90]:[/BR:90]],Brudnopis!$E$28:$J$28),0)</f>
        <v>5.1546391752577317E-2</v>
      </c>
      <c r="Y2911" s="35">
        <f>IF(Mecze[[#This Row],[Role]]="BR",Mecze[[#This Row],[/OB:90]]+Mecze[[#This Row],[/PC:90]],SUM(Mecze[[#This Row],[/PR:90]:[/BR:90]]))</f>
        <v>0.16494845360824742</v>
      </c>
      <c r="Z2911" s="35">
        <f>IF(Mecze[[#This Row],[KC]]=0,SUM(Mecze[[#This Row],[/BRI]:[/NPI]]),SUM(Mecze[[#This Row],[/BRI]:[/NPI]])*0.6)</f>
        <v>0.73969072164948457</v>
      </c>
      <c r="AA2911" s="10">
        <f>IFERROR(Mecze[[#This Row],[BR]]/Mecze[[#This Row],[ST]],0)</f>
        <v>0</v>
      </c>
      <c r="AB2911">
        <f>ROUND(Mecze[[#This Row],[PD]]*Mecze[[#This Row],[%PC]],0)</f>
        <v>5</v>
      </c>
      <c r="AC2911">
        <f>ROUND(Mecze[[#This Row],[OD]]*Mecze[[#This Row],[%OU]],0)</f>
        <v>1</v>
      </c>
      <c r="AD2911" s="36" t="s">
        <v>41</v>
      </c>
      <c r="AE2911" s="36">
        <v>163</v>
      </c>
      <c r="AF2911" s="71">
        <v>9.14</v>
      </c>
      <c r="AG2911" s="37">
        <v>0</v>
      </c>
      <c r="AH2911" s="37">
        <v>0</v>
      </c>
      <c r="AI2911" s="37">
        <v>97</v>
      </c>
      <c r="AJ2911" s="37">
        <v>1</v>
      </c>
      <c r="AK2911" s="37" t="str">
        <f>VLOOKUP(Mecze[[#This Row],[Match ID]],Meczusie[Mecz]:Meczusie[RodzajMeczu],2,FALSE)</f>
        <v>Towarzyski</v>
      </c>
    </row>
    <row r="2912" spans="1:37" x14ac:dyDescent="0.25">
      <c r="A2912" s="76">
        <v>40</v>
      </c>
      <c r="B2912" s="3" t="s">
        <v>453</v>
      </c>
      <c r="C2912" s="2" t="s">
        <v>160</v>
      </c>
      <c r="D2912" s="1">
        <v>0</v>
      </c>
      <c r="E2912" s="1">
        <v>0</v>
      </c>
      <c r="F2912" s="1">
        <v>0</v>
      </c>
      <c r="G2912" s="1">
        <v>17</v>
      </c>
      <c r="H2912" s="4">
        <v>0.65</v>
      </c>
      <c r="I2912" s="1">
        <v>9</v>
      </c>
      <c r="J2912" s="4">
        <v>0.22</v>
      </c>
      <c r="K2912" s="1">
        <v>0</v>
      </c>
      <c r="L2912" s="1">
        <v>10</v>
      </c>
      <c r="M2912" s="32">
        <f>IF(Mecze[[#This Row],[PR]]=0,0,Mecze[[#This Row],[PR]]/Mecze[[#This Row],[CZAS]])</f>
        <v>0.10309278350515463</v>
      </c>
      <c r="N2912" s="32">
        <f>IF(Mecze[[#This Row],[OU]]=0,0,Mecze[[#This Row],[OU]]/Mecze[[#This Row],[CZAS]])</f>
        <v>2.0618556701030927E-2</v>
      </c>
      <c r="O2912" s="32">
        <f>IF(Mecze[[#This Row],[PC]]=0,0,Mecze[[#This Row],[PC]]/Mecze[[#This Row],[CZAS]])</f>
        <v>0.1134020618556701</v>
      </c>
      <c r="P2912" s="32">
        <f>IF(Mecze[[#This Row],[SC]]=0,0,Mecze[[#This Row],[SC]]/Mecze[[#This Row],[CZAS]])</f>
        <v>0</v>
      </c>
      <c r="Q2912" s="32">
        <f>IF(Mecze[[#This Row],[OB]]=0,0,Mecze[[#This Row],[OB]]/Mecze[[#This Row],[CZAS]])</f>
        <v>0</v>
      </c>
      <c r="R2912" s="32">
        <f>IF(Mecze[[#This Row],[BR]]=0,0,Mecze[[#This Row],[BR]]/Mecze[[#This Row],[CZAS]])</f>
        <v>0</v>
      </c>
      <c r="S2912" s="44">
        <f>IF(Mecze[[#This Row],[Role]]="BR",SUMPRODUCT(Mecze[[#This Row],[/PR:90]:[/BR:90]],Brudnopis!$E$23:$J$23),0)</f>
        <v>0</v>
      </c>
      <c r="T2912" s="44">
        <f>IF(Mecze[[#This Row],[Role]]&lt;&gt;"BR",SUMPRODUCT(Mecze[[#This Row],[/PR:90]:[/BR:90]],Brudnopis!$E$24:$J$24),0)</f>
        <v>0.24742268041237114</v>
      </c>
      <c r="U2912" s="44">
        <f>IF(Mecze[[#This Row],[Role]]&lt;&gt;"BR",SUMPRODUCT(Mecze[[#This Row],[/PR:90]:[/BR:90]],Brudnopis!$E$25:$J$25),0)</f>
        <v>0.29381443298969073</v>
      </c>
      <c r="V2912" s="44">
        <f>IF(Mecze[[#This Row],[Role]]&lt;&gt;"BR",SUMPRODUCT(Mecze[[#This Row],[/PR:90]:[/BR:90]],Brudnopis!$E$26:$J$26),0)</f>
        <v>0.23711340206185566</v>
      </c>
      <c r="W2912" s="44">
        <f>IF(Mecze[[#This Row],[Role]]&lt;&gt;"BR",SUMPRODUCT(Mecze[[#This Row],[/PR:90]:[/BR:90]],Brudnopis!$E$27:$J$27),0)</f>
        <v>0.26288659793814434</v>
      </c>
      <c r="X2912" s="44">
        <f>IF(Mecze[[#This Row],[Role]]&lt;&gt;"BR",SUMPRODUCT(Mecze[[#This Row],[/PR:90]:[/BR:90]],Brudnopis!$E$28:$J$28),0)</f>
        <v>0.1134020618556701</v>
      </c>
      <c r="Y2912" s="35">
        <f>IF(Mecze[[#This Row],[Role]]="BR",Mecze[[#This Row],[/OB:90]]+Mecze[[#This Row],[/PC:90]],SUM(Mecze[[#This Row],[/PR:90]:[/BR:90]]))</f>
        <v>0.23711340206185566</v>
      </c>
      <c r="Z2912" s="35">
        <f>IF(Mecze[[#This Row],[KC]]=0,SUM(Mecze[[#This Row],[/BRI]:[/NPI]]),SUM(Mecze[[#This Row],[/BRI]:[/NPI]])*0.6)</f>
        <v>1.1546391752577321</v>
      </c>
      <c r="AA2912" s="10">
        <f>IFERROR(Mecze[[#This Row],[BR]]/Mecze[[#This Row],[ST]],0)</f>
        <v>0</v>
      </c>
      <c r="AB2912">
        <f>ROUND(Mecze[[#This Row],[PD]]*Mecze[[#This Row],[%PC]],0)</f>
        <v>11</v>
      </c>
      <c r="AC2912">
        <f>ROUND(Mecze[[#This Row],[OD]]*Mecze[[#This Row],[%OU]],0)</f>
        <v>2</v>
      </c>
      <c r="AD2912" s="36" t="s">
        <v>41</v>
      </c>
      <c r="AE2912" s="36">
        <v>163</v>
      </c>
      <c r="AF2912" s="71">
        <v>10.35</v>
      </c>
      <c r="AG2912" s="37">
        <v>0</v>
      </c>
      <c r="AH2912" s="37">
        <v>0</v>
      </c>
      <c r="AI2912" s="37">
        <v>97</v>
      </c>
      <c r="AJ2912" s="37">
        <v>1</v>
      </c>
      <c r="AK2912" s="37" t="str">
        <f>VLOOKUP(Mecze[[#This Row],[Match ID]],Meczusie[Mecz]:Meczusie[RodzajMeczu],2,FALSE)</f>
        <v>Towarzyski</v>
      </c>
    </row>
    <row r="2913" spans="1:37" x14ac:dyDescent="0.25">
      <c r="A2913" s="76">
        <v>45</v>
      </c>
      <c r="B2913" s="3" t="s">
        <v>394</v>
      </c>
      <c r="C2913" s="2" t="s">
        <v>160</v>
      </c>
      <c r="D2913" s="1">
        <v>1</v>
      </c>
      <c r="E2913" s="1">
        <v>2</v>
      </c>
      <c r="F2913" s="1">
        <v>1</v>
      </c>
      <c r="G2913" s="1">
        <v>7</v>
      </c>
      <c r="H2913" s="4">
        <v>0.28999999999999998</v>
      </c>
      <c r="I2913" s="1">
        <v>2</v>
      </c>
      <c r="J2913" s="4">
        <v>0.5</v>
      </c>
      <c r="K2913" s="1">
        <v>0</v>
      </c>
      <c r="L2913" s="1">
        <v>3</v>
      </c>
      <c r="M2913" s="32">
        <f>IF(Mecze[[#This Row],[PR]]=0,0,Mecze[[#This Row],[PR]]/Mecze[[#This Row],[CZAS]])</f>
        <v>3.0927835051546393E-2</v>
      </c>
      <c r="N2913" s="32">
        <f>IF(Mecze[[#This Row],[OU]]=0,0,Mecze[[#This Row],[OU]]/Mecze[[#This Row],[CZAS]])</f>
        <v>1.0309278350515464E-2</v>
      </c>
      <c r="O2913" s="32">
        <f>IF(Mecze[[#This Row],[PC]]=0,0,Mecze[[#This Row],[PC]]/Mecze[[#This Row],[CZAS]])</f>
        <v>2.0618556701030927E-2</v>
      </c>
      <c r="P2913" s="32">
        <f>IF(Mecze[[#This Row],[SC]]=0,0,Mecze[[#This Row],[SC]]/Mecze[[#This Row],[CZAS]])</f>
        <v>1.0309278350515464E-2</v>
      </c>
      <c r="Q2913" s="32">
        <f>IF(Mecze[[#This Row],[OB]]=0,0,Mecze[[#This Row],[OB]]/Mecze[[#This Row],[CZAS]])</f>
        <v>0</v>
      </c>
      <c r="R2913" s="32">
        <f>IF(Mecze[[#This Row],[BR]]=0,0,Mecze[[#This Row],[BR]]/Mecze[[#This Row],[CZAS]])</f>
        <v>1.0309278350515464E-2</v>
      </c>
      <c r="S2913" s="44">
        <f>IF(Mecze[[#This Row],[Role]]="BR",SUMPRODUCT(Mecze[[#This Row],[/PR:90]:[/BR:90]],Brudnopis!$E$23:$J$23),0)</f>
        <v>0</v>
      </c>
      <c r="T2913" s="44">
        <f>IF(Mecze[[#This Row],[Role]]&lt;&gt;"BR",SUMPRODUCT(Mecze[[#This Row],[/PR:90]:[/BR:90]],Brudnopis!$E$24:$J$24),0)</f>
        <v>9.2783505154639179E-2</v>
      </c>
      <c r="U2913" s="44">
        <f>IF(Mecze[[#This Row],[Role]]&lt;&gt;"BR",SUMPRODUCT(Mecze[[#This Row],[/PR:90]:[/BR:90]],Brudnopis!$E$25:$J$25),0)</f>
        <v>9.7938144329896906E-2</v>
      </c>
      <c r="V2913" s="44">
        <f>IF(Mecze[[#This Row],[Role]]&lt;&gt;"BR",SUMPRODUCT(Mecze[[#This Row],[/PR:90]:[/BR:90]],Brudnopis!$E$26:$J$26),0)</f>
        <v>9.2783505154639179E-2</v>
      </c>
      <c r="W2913" s="44">
        <f>IF(Mecze[[#This Row],[Role]]&lt;&gt;"BR",SUMPRODUCT(Mecze[[#This Row],[/PR:90]:[/BR:90]],Brudnopis!$E$27:$J$27),0)</f>
        <v>9.2783505154639179E-2</v>
      </c>
      <c r="X2913" s="44">
        <f>IF(Mecze[[#This Row],[Role]]&lt;&gt;"BR",SUMPRODUCT(Mecze[[#This Row],[/PR:90]:[/BR:90]],Brudnopis!$E$28:$J$28),0)</f>
        <v>7.2164948453608241E-2</v>
      </c>
      <c r="Y2913" s="35">
        <f>IF(Mecze[[#This Row],[Role]]="BR",Mecze[[#This Row],[/OB:90]]+Mecze[[#This Row],[/PC:90]],SUM(Mecze[[#This Row],[/PR:90]:[/BR:90]]))</f>
        <v>8.2474226804123724E-2</v>
      </c>
      <c r="Z2913" s="35">
        <f>IF(Mecze[[#This Row],[KC]]=0,SUM(Mecze[[#This Row],[/BRI]:[/NPI]]),SUM(Mecze[[#This Row],[/BRI]:[/NPI]])*0.6)</f>
        <v>0.44845360824742264</v>
      </c>
      <c r="AA2913" s="10">
        <f>IFERROR(Mecze[[#This Row],[BR]]/Mecze[[#This Row],[ST]],0)</f>
        <v>0.5</v>
      </c>
      <c r="AB2913">
        <f>ROUND(Mecze[[#This Row],[PD]]*Mecze[[#This Row],[%PC]],0)</f>
        <v>2</v>
      </c>
      <c r="AC2913">
        <f>ROUND(Mecze[[#This Row],[OD]]*Mecze[[#This Row],[%OU]],0)</f>
        <v>1</v>
      </c>
      <c r="AD2913" s="36" t="s">
        <v>44</v>
      </c>
      <c r="AE2913" s="36">
        <v>163</v>
      </c>
      <c r="AF2913" s="71">
        <v>10.01</v>
      </c>
      <c r="AG2913" s="37">
        <v>0</v>
      </c>
      <c r="AH2913" s="37">
        <v>0</v>
      </c>
      <c r="AI2913" s="37">
        <v>97</v>
      </c>
      <c r="AJ2913" s="37">
        <v>1</v>
      </c>
      <c r="AK2913" s="37" t="str">
        <f>VLOOKUP(Mecze[[#This Row],[Match ID]],Meczusie[Mecz]:Meczusie[RodzajMeczu],2,FALSE)</f>
        <v>Towarzyski</v>
      </c>
    </row>
    <row r="2914" spans="1:37" x14ac:dyDescent="0.25">
      <c r="A2914" s="76">
        <v>25</v>
      </c>
      <c r="B2914" s="3" t="s">
        <v>366</v>
      </c>
      <c r="C2914" s="2" t="s">
        <v>160</v>
      </c>
      <c r="D2914" s="1">
        <v>0</v>
      </c>
      <c r="E2914" s="1">
        <v>0</v>
      </c>
      <c r="F2914" s="1">
        <v>0</v>
      </c>
      <c r="G2914" s="1">
        <v>3</v>
      </c>
      <c r="H2914" s="4">
        <v>0.33</v>
      </c>
      <c r="I2914" s="1">
        <v>1</v>
      </c>
      <c r="J2914" s="4">
        <v>0</v>
      </c>
      <c r="K2914" s="1">
        <v>0</v>
      </c>
      <c r="L2914" s="1">
        <v>2</v>
      </c>
      <c r="M2914" s="32">
        <f>IF(Mecze[[#This Row],[PR]]=0,0,Mecze[[#This Row],[PR]]/Mecze[[#This Row],[CZAS]])</f>
        <v>2.0618556701030927E-2</v>
      </c>
      <c r="N2914" s="32">
        <f>IF(Mecze[[#This Row],[OU]]=0,0,Mecze[[#This Row],[OU]]/Mecze[[#This Row],[CZAS]])</f>
        <v>0</v>
      </c>
      <c r="O2914" s="32">
        <f>IF(Mecze[[#This Row],[PC]]=0,0,Mecze[[#This Row],[PC]]/Mecze[[#This Row],[CZAS]])</f>
        <v>1.0309278350515464E-2</v>
      </c>
      <c r="P2914" s="32">
        <f>IF(Mecze[[#This Row],[SC]]=0,0,Mecze[[#This Row],[SC]]/Mecze[[#This Row],[CZAS]])</f>
        <v>0</v>
      </c>
      <c r="Q2914" s="32">
        <f>IF(Mecze[[#This Row],[OB]]=0,0,Mecze[[#This Row],[OB]]/Mecze[[#This Row],[CZAS]])</f>
        <v>0</v>
      </c>
      <c r="R2914" s="32">
        <f>IF(Mecze[[#This Row],[BR]]=0,0,Mecze[[#This Row],[BR]]/Mecze[[#This Row],[CZAS]])</f>
        <v>0</v>
      </c>
      <c r="S2914" s="44">
        <f>IF(Mecze[[#This Row],[Role]]="BR",SUMPRODUCT(Mecze[[#This Row],[/PR:90]:[/BR:90]],Brudnopis!$E$23:$J$23),0)</f>
        <v>0</v>
      </c>
      <c r="T2914" s="44">
        <f>IF(Mecze[[#This Row],[Role]]&lt;&gt;"BR",SUMPRODUCT(Mecze[[#This Row],[/PR:90]:[/BR:90]],Brudnopis!$E$24:$J$24),0)</f>
        <v>3.0927835051546393E-2</v>
      </c>
      <c r="U2914" s="44">
        <f>IF(Mecze[[#This Row],[Role]]&lt;&gt;"BR",SUMPRODUCT(Mecze[[#This Row],[/PR:90]:[/BR:90]],Brudnopis!$E$25:$J$25),0)</f>
        <v>3.608247422680412E-2</v>
      </c>
      <c r="V2914" s="44">
        <f>IF(Mecze[[#This Row],[Role]]&lt;&gt;"BR",SUMPRODUCT(Mecze[[#This Row],[/PR:90]:[/BR:90]],Brudnopis!$E$26:$J$26),0)</f>
        <v>3.0927835051546393E-2</v>
      </c>
      <c r="W2914" s="44">
        <f>IF(Mecze[[#This Row],[Role]]&lt;&gt;"BR",SUMPRODUCT(Mecze[[#This Row],[/PR:90]:[/BR:90]],Brudnopis!$E$27:$J$27),0)</f>
        <v>3.0927835051546393E-2</v>
      </c>
      <c r="X2914" s="44">
        <f>IF(Mecze[[#This Row],[Role]]&lt;&gt;"BR",SUMPRODUCT(Mecze[[#This Row],[/PR:90]:[/BR:90]],Brudnopis!$E$28:$J$28),0)</f>
        <v>1.0309278350515464E-2</v>
      </c>
      <c r="Y2914" s="35">
        <f>IF(Mecze[[#This Row],[Role]]="BR",Mecze[[#This Row],[/OB:90]]+Mecze[[#This Row],[/PC:90]],SUM(Mecze[[#This Row],[/PR:90]:[/BR:90]]))</f>
        <v>3.0927835051546393E-2</v>
      </c>
      <c r="Z2914" s="35">
        <f>IF(Mecze[[#This Row],[KC]]=0,SUM(Mecze[[#This Row],[/BRI]:[/NPI]]),SUM(Mecze[[#This Row],[/BRI]:[/NPI]])*0.6)</f>
        <v>0.13917525773195874</v>
      </c>
      <c r="AA2914" s="10">
        <f>IFERROR(Mecze[[#This Row],[BR]]/Mecze[[#This Row],[ST]],0)</f>
        <v>0</v>
      </c>
      <c r="AB2914">
        <f>ROUND(Mecze[[#This Row],[PD]]*Mecze[[#This Row],[%PC]],0)</f>
        <v>1</v>
      </c>
      <c r="AC2914">
        <f>ROUND(Mecze[[#This Row],[OD]]*Mecze[[#This Row],[%OU]],0)</f>
        <v>0</v>
      </c>
      <c r="AD2914" s="36" t="s">
        <v>44</v>
      </c>
      <c r="AE2914" s="36">
        <v>163</v>
      </c>
      <c r="AF2914" s="71">
        <v>7.46</v>
      </c>
      <c r="AG2914" s="37">
        <v>0</v>
      </c>
      <c r="AH2914" s="37">
        <v>0</v>
      </c>
      <c r="AI2914" s="37">
        <v>97</v>
      </c>
      <c r="AJ2914" s="37">
        <v>1</v>
      </c>
      <c r="AK2914" s="37" t="str">
        <f>VLOOKUP(Mecze[[#This Row],[Match ID]],Meczusie[Mecz]:Meczusie[RodzajMeczu],2,FALSE)</f>
        <v>Towarzyski</v>
      </c>
    </row>
    <row r="2915" spans="1:37" x14ac:dyDescent="0.25">
      <c r="A2915" s="76">
        <v>31</v>
      </c>
      <c r="B2915" s="3" t="s">
        <v>365</v>
      </c>
      <c r="C2915" s="2" t="s">
        <v>165</v>
      </c>
      <c r="D2915" s="1">
        <v>1</v>
      </c>
      <c r="E2915" s="1">
        <v>7</v>
      </c>
      <c r="F2915" s="1">
        <v>7</v>
      </c>
      <c r="G2915" s="1">
        <v>10</v>
      </c>
      <c r="H2915" s="4">
        <v>0.4</v>
      </c>
      <c r="I2915" s="1">
        <v>6</v>
      </c>
      <c r="J2915" s="4">
        <v>0.67</v>
      </c>
      <c r="K2915" s="1">
        <v>0</v>
      </c>
      <c r="L2915" s="1">
        <v>1</v>
      </c>
      <c r="M2915" s="32">
        <f>IF(Mecze[[#This Row],[PR]]=0,0,Mecze[[#This Row],[PR]]/Mecze[[#This Row],[CZAS]])</f>
        <v>1.0309278350515464E-2</v>
      </c>
      <c r="N2915" s="32">
        <f>IF(Mecze[[#This Row],[OU]]=0,0,Mecze[[#This Row],[OU]]/Mecze[[#This Row],[CZAS]])</f>
        <v>4.1237113402061855E-2</v>
      </c>
      <c r="O2915" s="32">
        <f>IF(Mecze[[#This Row],[PC]]=0,0,Mecze[[#This Row],[PC]]/Mecze[[#This Row],[CZAS]])</f>
        <v>4.1237113402061855E-2</v>
      </c>
      <c r="P2915" s="32">
        <f>IF(Mecze[[#This Row],[SC]]=0,0,Mecze[[#This Row],[SC]]/Mecze[[#This Row],[CZAS]])</f>
        <v>7.2164948453608241E-2</v>
      </c>
      <c r="Q2915" s="32">
        <f>IF(Mecze[[#This Row],[OB]]=0,0,Mecze[[#This Row],[OB]]/Mecze[[#This Row],[CZAS]])</f>
        <v>0</v>
      </c>
      <c r="R2915" s="32">
        <f>IF(Mecze[[#This Row],[BR]]=0,0,Mecze[[#This Row],[BR]]/Mecze[[#This Row],[CZAS]])</f>
        <v>1.0309278350515464E-2</v>
      </c>
      <c r="S2915" s="44">
        <f>IF(Mecze[[#This Row],[Role]]="BR",SUMPRODUCT(Mecze[[#This Row],[/PR:90]:[/BR:90]],Brudnopis!$E$23:$J$23),0)</f>
        <v>0</v>
      </c>
      <c r="T2915" s="44">
        <f>IF(Mecze[[#This Row],[Role]]&lt;&gt;"BR",SUMPRODUCT(Mecze[[#This Row],[/PR:90]:[/BR:90]],Brudnopis!$E$24:$J$24),0)</f>
        <v>0.20103092783505155</v>
      </c>
      <c r="U2915" s="44">
        <f>IF(Mecze[[#This Row],[Role]]&lt;&gt;"BR",SUMPRODUCT(Mecze[[#This Row],[/PR:90]:[/BR:90]],Brudnopis!$E$25:$J$25),0)</f>
        <v>0.20103092783505155</v>
      </c>
      <c r="V2915" s="44">
        <f>IF(Mecze[[#This Row],[Role]]&lt;&gt;"BR",SUMPRODUCT(Mecze[[#This Row],[/PR:90]:[/BR:90]],Brudnopis!$E$26:$J$26),0)</f>
        <v>0.18556701030927836</v>
      </c>
      <c r="W2915" s="44">
        <f>IF(Mecze[[#This Row],[Role]]&lt;&gt;"BR",SUMPRODUCT(Mecze[[#This Row],[/PR:90]:[/BR:90]],Brudnopis!$E$27:$J$27),0)</f>
        <v>0.19329896907216496</v>
      </c>
      <c r="X2915" s="44">
        <f>IF(Mecze[[#This Row],[Role]]&lt;&gt;"BR",SUMPRODUCT(Mecze[[#This Row],[/PR:90]:[/BR:90]],Brudnopis!$E$28:$J$28),0)</f>
        <v>0.21649484536082472</v>
      </c>
      <c r="Y2915" s="35">
        <f>IF(Mecze[[#This Row],[Role]]="BR",Mecze[[#This Row],[/OB:90]]+Mecze[[#This Row],[/PC:90]],SUM(Mecze[[#This Row],[/PR:90]:[/BR:90]]))</f>
        <v>0.17525773195876287</v>
      </c>
      <c r="Z2915" s="35">
        <f>IF(Mecze[[#This Row],[KC]]=0,SUM(Mecze[[#This Row],[/BRI]:[/NPI]]),SUM(Mecze[[#This Row],[/BRI]:[/NPI]])*0.6)</f>
        <v>0.99742268041237114</v>
      </c>
      <c r="AA2915" s="10">
        <f>IFERROR(Mecze[[#This Row],[BR]]/Mecze[[#This Row],[ST]],0)</f>
        <v>0.14285714285714285</v>
      </c>
      <c r="AB2915">
        <f>ROUND(Mecze[[#This Row],[PD]]*Mecze[[#This Row],[%PC]],0)</f>
        <v>4</v>
      </c>
      <c r="AC2915">
        <f>ROUND(Mecze[[#This Row],[OD]]*Mecze[[#This Row],[%OU]],0)</f>
        <v>4</v>
      </c>
      <c r="AD2915" s="36" t="s">
        <v>46</v>
      </c>
      <c r="AE2915" s="36">
        <v>163</v>
      </c>
      <c r="AF2915" s="71">
        <v>6.66</v>
      </c>
      <c r="AG2915" s="37">
        <v>1</v>
      </c>
      <c r="AH2915" s="37">
        <v>0</v>
      </c>
      <c r="AI2915" s="37">
        <v>97</v>
      </c>
      <c r="AJ2915" s="37">
        <v>1</v>
      </c>
      <c r="AK2915" s="37" t="str">
        <f>VLOOKUP(Mecze[[#This Row],[Match ID]],Meczusie[Mecz]:Meczusie[RodzajMeczu],2,FALSE)</f>
        <v>Towarzyski</v>
      </c>
    </row>
    <row r="2916" spans="1:37" x14ac:dyDescent="0.25">
      <c r="A2916" s="76">
        <v>61</v>
      </c>
      <c r="B2916" s="3" t="s">
        <v>454</v>
      </c>
      <c r="C2916" s="2" t="s">
        <v>165</v>
      </c>
      <c r="D2916" s="1">
        <v>1</v>
      </c>
      <c r="E2916" s="1">
        <v>4</v>
      </c>
      <c r="F2916" s="1">
        <v>3</v>
      </c>
      <c r="G2916" s="1">
        <v>6</v>
      </c>
      <c r="H2916" s="4">
        <v>0.5</v>
      </c>
      <c r="I2916" s="1">
        <v>5</v>
      </c>
      <c r="J2916" s="4">
        <v>0.4</v>
      </c>
      <c r="K2916" s="1">
        <v>0</v>
      </c>
      <c r="L2916" s="1">
        <v>2</v>
      </c>
      <c r="M2916" s="32">
        <f>IF(Mecze[[#This Row],[PR]]=0,0,Mecze[[#This Row],[PR]]/Mecze[[#This Row],[CZAS]])</f>
        <v>2.0618556701030927E-2</v>
      </c>
      <c r="N2916" s="32">
        <f>IF(Mecze[[#This Row],[OU]]=0,0,Mecze[[#This Row],[OU]]/Mecze[[#This Row],[CZAS]])</f>
        <v>2.0618556701030927E-2</v>
      </c>
      <c r="O2916" s="32">
        <f>IF(Mecze[[#This Row],[PC]]=0,0,Mecze[[#This Row],[PC]]/Mecze[[#This Row],[CZAS]])</f>
        <v>3.0927835051546393E-2</v>
      </c>
      <c r="P2916" s="32">
        <f>IF(Mecze[[#This Row],[SC]]=0,0,Mecze[[#This Row],[SC]]/Mecze[[#This Row],[CZAS]])</f>
        <v>3.0927835051546393E-2</v>
      </c>
      <c r="Q2916" s="32">
        <f>IF(Mecze[[#This Row],[OB]]=0,0,Mecze[[#This Row],[OB]]/Mecze[[#This Row],[CZAS]])</f>
        <v>0</v>
      </c>
      <c r="R2916" s="32">
        <f>IF(Mecze[[#This Row],[BR]]=0,0,Mecze[[#This Row],[BR]]/Mecze[[#This Row],[CZAS]])</f>
        <v>1.0309278350515464E-2</v>
      </c>
      <c r="S2916" s="44">
        <f>IF(Mecze[[#This Row],[Role]]="BR",SUMPRODUCT(Mecze[[#This Row],[/PR:90]:[/BR:90]],Brudnopis!$E$23:$J$23),0)</f>
        <v>0</v>
      </c>
      <c r="T2916" s="44">
        <f>IF(Mecze[[#This Row],[Role]]&lt;&gt;"BR",SUMPRODUCT(Mecze[[#This Row],[/PR:90]:[/BR:90]],Brudnopis!$E$24:$J$24),0)</f>
        <v>0.12886597938144329</v>
      </c>
      <c r="U2916" s="44">
        <f>IF(Mecze[[#This Row],[Role]]&lt;&gt;"BR",SUMPRODUCT(Mecze[[#This Row],[/PR:90]:[/BR:90]],Brudnopis!$E$25:$J$25),0)</f>
        <v>0.13402061855670103</v>
      </c>
      <c r="V2916" s="44">
        <f>IF(Mecze[[#This Row],[Role]]&lt;&gt;"BR",SUMPRODUCT(Mecze[[#This Row],[/PR:90]:[/BR:90]],Brudnopis!$E$26:$J$26),0)</f>
        <v>0.12371134020618556</v>
      </c>
      <c r="W2916" s="44">
        <f>IF(Mecze[[#This Row],[Role]]&lt;&gt;"BR",SUMPRODUCT(Mecze[[#This Row],[/PR:90]:[/BR:90]],Brudnopis!$E$27:$J$27),0)</f>
        <v>0.12886597938144331</v>
      </c>
      <c r="X2916" s="44">
        <f>IF(Mecze[[#This Row],[Role]]&lt;&gt;"BR",SUMPRODUCT(Mecze[[#This Row],[/PR:90]:[/BR:90]],Brudnopis!$E$28:$J$28),0)</f>
        <v>0.12371134020618557</v>
      </c>
      <c r="Y2916" s="35">
        <f>IF(Mecze[[#This Row],[Role]]="BR",Mecze[[#This Row],[/OB:90]]+Mecze[[#This Row],[/PC:90]],SUM(Mecze[[#This Row],[/PR:90]:[/BR:90]]))</f>
        <v>0.1134020618556701</v>
      </c>
      <c r="Z2916" s="35">
        <f>IF(Mecze[[#This Row],[KC]]=0,SUM(Mecze[[#This Row],[/BRI]:[/NPI]]),SUM(Mecze[[#This Row],[/BRI]:[/NPI]])*0.6)</f>
        <v>0.63917525773195871</v>
      </c>
      <c r="AA2916" s="10">
        <f>IFERROR(Mecze[[#This Row],[BR]]/Mecze[[#This Row],[ST]],0)</f>
        <v>0.25</v>
      </c>
      <c r="AB2916">
        <f>ROUND(Mecze[[#This Row],[PD]]*Mecze[[#This Row],[%PC]],0)</f>
        <v>3</v>
      </c>
      <c r="AC2916">
        <f>ROUND(Mecze[[#This Row],[OD]]*Mecze[[#This Row],[%OU]],0)</f>
        <v>2</v>
      </c>
      <c r="AD2916" s="36" t="s">
        <v>46</v>
      </c>
      <c r="AE2916" s="36">
        <v>163</v>
      </c>
      <c r="AF2916" s="71">
        <v>8.2200000000000006</v>
      </c>
      <c r="AG2916" s="37">
        <v>0</v>
      </c>
      <c r="AH2916" s="37">
        <v>0</v>
      </c>
      <c r="AI2916" s="37">
        <v>97</v>
      </c>
      <c r="AJ2916" s="37">
        <v>1</v>
      </c>
      <c r="AK2916" s="37" t="str">
        <f>VLOOKUP(Mecze[[#This Row],[Match ID]],Meczusie[Mecz]:Meczusie[RodzajMeczu],2,FALSE)</f>
        <v>Towarzyski</v>
      </c>
    </row>
    <row r="2917" spans="1:37" x14ac:dyDescent="0.25">
      <c r="A2917" s="76">
        <v>46</v>
      </c>
      <c r="B2917" s="3" t="s">
        <v>395</v>
      </c>
      <c r="C2917" s="2" t="s">
        <v>165</v>
      </c>
      <c r="D2917" s="1">
        <v>0</v>
      </c>
      <c r="E2917" s="1">
        <v>1</v>
      </c>
      <c r="F2917" s="1">
        <v>1</v>
      </c>
      <c r="G2917" s="1">
        <v>1</v>
      </c>
      <c r="H2917" s="4">
        <v>0</v>
      </c>
      <c r="I2917" s="1">
        <v>1</v>
      </c>
      <c r="J2917" s="4">
        <v>0</v>
      </c>
      <c r="K2917" s="1">
        <v>0</v>
      </c>
      <c r="L2917" s="1">
        <v>2</v>
      </c>
      <c r="M2917" s="32">
        <f>IF(Mecze[[#This Row],[PR]]=0,0,Mecze[[#This Row],[PR]]/Mecze[[#This Row],[CZAS]])</f>
        <v>2.0618556701030927E-2</v>
      </c>
      <c r="N2917" s="32">
        <f>IF(Mecze[[#This Row],[OU]]=0,0,Mecze[[#This Row],[OU]]/Mecze[[#This Row],[CZAS]])</f>
        <v>0</v>
      </c>
      <c r="O2917" s="32">
        <f>IF(Mecze[[#This Row],[PC]]=0,0,Mecze[[#This Row],[PC]]/Mecze[[#This Row],[CZAS]])</f>
        <v>0</v>
      </c>
      <c r="P2917" s="32">
        <f>IF(Mecze[[#This Row],[SC]]=0,0,Mecze[[#This Row],[SC]]/Mecze[[#This Row],[CZAS]])</f>
        <v>1.0309278350515464E-2</v>
      </c>
      <c r="Q2917" s="32">
        <f>IF(Mecze[[#This Row],[OB]]=0,0,Mecze[[#This Row],[OB]]/Mecze[[#This Row],[CZAS]])</f>
        <v>0</v>
      </c>
      <c r="R2917" s="32">
        <f>IF(Mecze[[#This Row],[BR]]=0,0,Mecze[[#This Row],[BR]]/Mecze[[#This Row],[CZAS]])</f>
        <v>0</v>
      </c>
      <c r="S2917" s="44">
        <f>IF(Mecze[[#This Row],[Role]]="BR",SUMPRODUCT(Mecze[[#This Row],[/PR:90]:[/BR:90]],Brudnopis!$E$23:$J$23),0)</f>
        <v>0</v>
      </c>
      <c r="T2917" s="44">
        <f>IF(Mecze[[#This Row],[Role]]&lt;&gt;"BR",SUMPRODUCT(Mecze[[#This Row],[/PR:90]:[/BR:90]],Brudnopis!$E$24:$J$24),0)</f>
        <v>3.0927835051546393E-2</v>
      </c>
      <c r="U2917" s="44">
        <f>IF(Mecze[[#This Row],[Role]]&lt;&gt;"BR",SUMPRODUCT(Mecze[[#This Row],[/PR:90]:[/BR:90]],Brudnopis!$E$25:$J$25),0)</f>
        <v>3.0927835051546393E-2</v>
      </c>
      <c r="V2917" s="44">
        <f>IF(Mecze[[#This Row],[Role]]&lt;&gt;"BR",SUMPRODUCT(Mecze[[#This Row],[/PR:90]:[/BR:90]],Brudnopis!$E$26:$J$26),0)</f>
        <v>3.0927835051546393E-2</v>
      </c>
      <c r="W2917" s="44">
        <f>IF(Mecze[[#This Row],[Role]]&lt;&gt;"BR",SUMPRODUCT(Mecze[[#This Row],[/PR:90]:[/BR:90]],Brudnopis!$E$27:$J$27),0)</f>
        <v>2.5773195876288658E-2</v>
      </c>
      <c r="X2917" s="44">
        <f>IF(Mecze[[#This Row],[Role]]&lt;&gt;"BR",SUMPRODUCT(Mecze[[#This Row],[/PR:90]:[/BR:90]],Brudnopis!$E$28:$J$28),0)</f>
        <v>2.0618556701030927E-2</v>
      </c>
      <c r="Y2917" s="35">
        <f>IF(Mecze[[#This Row],[Role]]="BR",Mecze[[#This Row],[/OB:90]]+Mecze[[#This Row],[/PC:90]],SUM(Mecze[[#This Row],[/PR:90]:[/BR:90]]))</f>
        <v>3.0927835051546393E-2</v>
      </c>
      <c r="Z2917" s="35">
        <f>IF(Mecze[[#This Row],[KC]]=0,SUM(Mecze[[#This Row],[/BRI]:[/NPI]]),SUM(Mecze[[#This Row],[/BRI]:[/NPI]])*0.6)</f>
        <v>0.13917525773195877</v>
      </c>
      <c r="AA2917" s="10">
        <f>IFERROR(Mecze[[#This Row],[BR]]/Mecze[[#This Row],[ST]],0)</f>
        <v>0</v>
      </c>
      <c r="AB2917">
        <f>ROUND(Mecze[[#This Row],[PD]]*Mecze[[#This Row],[%PC]],0)</f>
        <v>0</v>
      </c>
      <c r="AC2917">
        <f>ROUND(Mecze[[#This Row],[OD]]*Mecze[[#This Row],[%OU]],0)</f>
        <v>0</v>
      </c>
      <c r="AD2917" s="36" t="s">
        <v>46</v>
      </c>
      <c r="AE2917" s="36">
        <v>163</v>
      </c>
      <c r="AF2917" s="71">
        <v>4.1500000000000004</v>
      </c>
      <c r="AG2917" s="37">
        <v>0</v>
      </c>
      <c r="AH2917" s="37">
        <v>0</v>
      </c>
      <c r="AI2917" s="37">
        <v>97</v>
      </c>
      <c r="AJ2917" s="37">
        <v>1</v>
      </c>
      <c r="AK2917" s="37" t="str">
        <f>VLOOKUP(Mecze[[#This Row],[Match ID]],Meczusie[Mecz]:Meczusie[RodzajMeczu],2,FALSE)</f>
        <v>Towarzyski</v>
      </c>
    </row>
    <row r="2918" spans="1:37" x14ac:dyDescent="0.25">
      <c r="A2918" s="76">
        <v>39</v>
      </c>
      <c r="B2918" s="3" t="s">
        <v>450</v>
      </c>
      <c r="C2918" s="2" t="s">
        <v>155</v>
      </c>
      <c r="D2918" s="1">
        <v>0</v>
      </c>
      <c r="E2918" s="1">
        <v>0</v>
      </c>
      <c r="F2918" s="1">
        <v>0</v>
      </c>
      <c r="G2918" s="1">
        <v>2</v>
      </c>
      <c r="H2918" s="4">
        <v>0</v>
      </c>
      <c r="I2918" s="1">
        <v>0</v>
      </c>
      <c r="J2918" s="4"/>
      <c r="K2918" s="1">
        <v>2</v>
      </c>
      <c r="L2918" s="1">
        <v>0</v>
      </c>
      <c r="M2918" s="32">
        <f>IF(Mecze[[#This Row],[PR]]=0,0,Mecze[[#This Row],[PR]]/Mecze[[#This Row],[CZAS]])</f>
        <v>0</v>
      </c>
      <c r="N2918" s="32">
        <f>IF(Mecze[[#This Row],[OU]]=0,0,Mecze[[#This Row],[OU]]/Mecze[[#This Row],[CZAS]])</f>
        <v>0</v>
      </c>
      <c r="O2918" s="32">
        <f>IF(Mecze[[#This Row],[PC]]=0,0,Mecze[[#This Row],[PC]]/Mecze[[#This Row],[CZAS]])</f>
        <v>0</v>
      </c>
      <c r="P2918" s="32">
        <f>IF(Mecze[[#This Row],[SC]]=0,0,Mecze[[#This Row],[SC]]/Mecze[[#This Row],[CZAS]])</f>
        <v>0</v>
      </c>
      <c r="Q2918" s="32">
        <f>IF(Mecze[[#This Row],[OB]]=0,0,Mecze[[#This Row],[OB]]/Mecze[[#This Row],[CZAS]])</f>
        <v>2.0833333333333332E-2</v>
      </c>
      <c r="R2918" s="32">
        <f>IF(Mecze[[#This Row],[BR]]=0,0,Mecze[[#This Row],[BR]]/Mecze[[#This Row],[CZAS]])</f>
        <v>0</v>
      </c>
      <c r="S2918" s="44">
        <f>IF(Mecze[[#This Row],[Role]]="BR",SUMPRODUCT(Mecze[[#This Row],[/PR:90]:[/BR:90]],Brudnopis!$E$23:$J$23),0)</f>
        <v>6.25E-2</v>
      </c>
      <c r="T2918" s="44">
        <f>IF(Mecze[[#This Row],[Role]]&lt;&gt;"BR",SUMPRODUCT(Mecze[[#This Row],[/PR:90]:[/BR:90]],Brudnopis!$E$24:$J$24),0)</f>
        <v>0</v>
      </c>
      <c r="U2918" s="44">
        <f>IF(Mecze[[#This Row],[Role]]&lt;&gt;"BR",SUMPRODUCT(Mecze[[#This Row],[/PR:90]:[/BR:90]],Brudnopis!$E$25:$J$25),0)</f>
        <v>0</v>
      </c>
      <c r="V2918" s="44">
        <f>IF(Mecze[[#This Row],[Role]]&lt;&gt;"BR",SUMPRODUCT(Mecze[[#This Row],[/PR:90]:[/BR:90]],Brudnopis!$E$26:$J$26),0)</f>
        <v>0</v>
      </c>
      <c r="W2918" s="44">
        <f>IF(Mecze[[#This Row],[Role]]&lt;&gt;"BR",SUMPRODUCT(Mecze[[#This Row],[/PR:90]:[/BR:90]],Brudnopis!$E$27:$J$27),0)</f>
        <v>0</v>
      </c>
      <c r="X2918" s="44">
        <f>IF(Mecze[[#This Row],[Role]]&lt;&gt;"BR",SUMPRODUCT(Mecze[[#This Row],[/PR:90]:[/BR:90]],Brudnopis!$E$28:$J$28),0)</f>
        <v>0</v>
      </c>
      <c r="Y2918" s="35">
        <f>IF(Mecze[[#This Row],[Role]]="BR",Mecze[[#This Row],[/OB:90]]+Mecze[[#This Row],[/PC:90]],SUM(Mecze[[#This Row],[/PR:90]:[/BR:90]]))</f>
        <v>2.0833333333333332E-2</v>
      </c>
      <c r="Z2918" s="35">
        <f>IF(Mecze[[#This Row],[KC]]=0,SUM(Mecze[[#This Row],[/BRI]:[/NPI]]),SUM(Mecze[[#This Row],[/BRI]:[/NPI]])*0.6)</f>
        <v>6.25E-2</v>
      </c>
      <c r="AA2918" s="10">
        <f>IFERROR(Mecze[[#This Row],[BR]]/Mecze[[#This Row],[ST]],0)</f>
        <v>0</v>
      </c>
      <c r="AB2918">
        <f>ROUND(Mecze[[#This Row],[PD]]*Mecze[[#This Row],[%PC]],0)</f>
        <v>0</v>
      </c>
      <c r="AC2918">
        <f>ROUND(Mecze[[#This Row],[OD]]*Mecze[[#This Row],[%OU]],0)</f>
        <v>0</v>
      </c>
      <c r="AD2918" s="36" t="s">
        <v>40</v>
      </c>
      <c r="AE2918" s="36">
        <v>164</v>
      </c>
      <c r="AF2918" s="71">
        <v>3.4</v>
      </c>
      <c r="AG2918" s="37">
        <v>0</v>
      </c>
      <c r="AH2918" s="37">
        <v>0</v>
      </c>
      <c r="AI2918" s="37">
        <v>96</v>
      </c>
      <c r="AJ2918" s="37">
        <v>1</v>
      </c>
      <c r="AK2918" s="37" t="str">
        <f>VLOOKUP(Mecze[[#This Row],[Match ID]],Meczusie[Mecz]:Meczusie[RodzajMeczu],2,FALSE)</f>
        <v>Towarzyski</v>
      </c>
    </row>
    <row r="2919" spans="1:37" x14ac:dyDescent="0.25">
      <c r="A2919" s="76">
        <v>38</v>
      </c>
      <c r="B2919" s="3" t="s">
        <v>359</v>
      </c>
      <c r="C2919" s="2" t="s">
        <v>157</v>
      </c>
      <c r="D2919" s="1">
        <v>0</v>
      </c>
      <c r="E2919" s="1">
        <v>0</v>
      </c>
      <c r="F2919" s="1">
        <v>0</v>
      </c>
      <c r="G2919" s="1">
        <v>10</v>
      </c>
      <c r="H2919" s="4">
        <v>0.7</v>
      </c>
      <c r="I2919" s="1">
        <v>4</v>
      </c>
      <c r="J2919" s="4">
        <v>1</v>
      </c>
      <c r="K2919" s="1">
        <v>0</v>
      </c>
      <c r="L2919" s="1">
        <v>8</v>
      </c>
      <c r="M2919" s="32">
        <f>IF(Mecze[[#This Row],[PR]]=0,0,Mecze[[#This Row],[PR]]/Mecze[[#This Row],[CZAS]])</f>
        <v>8.3333333333333329E-2</v>
      </c>
      <c r="N2919" s="32">
        <f>IF(Mecze[[#This Row],[OU]]=0,0,Mecze[[#This Row],[OU]]/Mecze[[#This Row],[CZAS]])</f>
        <v>4.1666666666666664E-2</v>
      </c>
      <c r="O2919" s="32">
        <f>IF(Mecze[[#This Row],[PC]]=0,0,Mecze[[#This Row],[PC]]/Mecze[[#This Row],[CZAS]])</f>
        <v>7.2916666666666671E-2</v>
      </c>
      <c r="P2919" s="32">
        <f>IF(Mecze[[#This Row],[SC]]=0,0,Mecze[[#This Row],[SC]]/Mecze[[#This Row],[CZAS]])</f>
        <v>0</v>
      </c>
      <c r="Q2919" s="32">
        <f>IF(Mecze[[#This Row],[OB]]=0,0,Mecze[[#This Row],[OB]]/Mecze[[#This Row],[CZAS]])</f>
        <v>0</v>
      </c>
      <c r="R2919" s="32">
        <f>IF(Mecze[[#This Row],[BR]]=0,0,Mecze[[#This Row],[BR]]/Mecze[[#This Row],[CZAS]])</f>
        <v>0</v>
      </c>
      <c r="S2919" s="44">
        <f>IF(Mecze[[#This Row],[Role]]="BR",SUMPRODUCT(Mecze[[#This Row],[/PR:90]:[/BR:90]],Brudnopis!$E$23:$J$23),0)</f>
        <v>0</v>
      </c>
      <c r="T2919" s="44">
        <f>IF(Mecze[[#This Row],[Role]]&lt;&gt;"BR",SUMPRODUCT(Mecze[[#This Row],[/PR:90]:[/BR:90]],Brudnopis!$E$24:$J$24),0)</f>
        <v>0.21875</v>
      </c>
      <c r="U2919" s="44">
        <f>IF(Mecze[[#This Row],[Role]]&lt;&gt;"BR",SUMPRODUCT(Mecze[[#This Row],[/PR:90]:[/BR:90]],Brudnopis!$E$25:$J$25),0)</f>
        <v>0.234375</v>
      </c>
      <c r="V2919" s="44">
        <f>IF(Mecze[[#This Row],[Role]]&lt;&gt;"BR",SUMPRODUCT(Mecze[[#This Row],[/PR:90]:[/BR:90]],Brudnopis!$E$26:$J$26),0)</f>
        <v>0.19791666666666669</v>
      </c>
      <c r="W2919" s="44">
        <f>IF(Mecze[[#This Row],[Role]]&lt;&gt;"BR",SUMPRODUCT(Mecze[[#This Row],[/PR:90]:[/BR:90]],Brudnopis!$E$27:$J$27),0)</f>
        <v>0.203125</v>
      </c>
      <c r="X2919" s="44">
        <f>IF(Mecze[[#This Row],[Role]]&lt;&gt;"BR",SUMPRODUCT(Mecze[[#This Row],[/PR:90]:[/BR:90]],Brudnopis!$E$28:$J$28),0)</f>
        <v>7.2916666666666671E-2</v>
      </c>
      <c r="Y2919" s="35">
        <f>IF(Mecze[[#This Row],[Role]]="BR",Mecze[[#This Row],[/OB:90]]+Mecze[[#This Row],[/PC:90]],SUM(Mecze[[#This Row],[/PR:90]:[/BR:90]]))</f>
        <v>0.19791666666666669</v>
      </c>
      <c r="Z2919" s="35">
        <f>IF(Mecze[[#This Row],[KC]]=0,SUM(Mecze[[#This Row],[/BRI]:[/NPI]]),SUM(Mecze[[#This Row],[/BRI]:[/NPI]])*0.6)</f>
        <v>0.92708333333333337</v>
      </c>
      <c r="AA2919" s="10">
        <f>IFERROR(Mecze[[#This Row],[BR]]/Mecze[[#This Row],[ST]],0)</f>
        <v>0</v>
      </c>
      <c r="AB2919">
        <f>ROUND(Mecze[[#This Row],[PD]]*Mecze[[#This Row],[%PC]],0)</f>
        <v>7</v>
      </c>
      <c r="AC2919">
        <f>ROUND(Mecze[[#This Row],[OD]]*Mecze[[#This Row],[%OU]],0)</f>
        <v>4</v>
      </c>
      <c r="AD2919" s="36" t="s">
        <v>47</v>
      </c>
      <c r="AE2919" s="36">
        <v>164</v>
      </c>
      <c r="AF2919" s="71">
        <v>7.53</v>
      </c>
      <c r="AG2919" s="37">
        <v>0</v>
      </c>
      <c r="AH2919" s="37">
        <v>0</v>
      </c>
      <c r="AI2919" s="37">
        <v>96</v>
      </c>
      <c r="AJ2919" s="37">
        <v>1</v>
      </c>
      <c r="AK2919" s="37" t="str">
        <f>VLOOKUP(Mecze[[#This Row],[Match ID]],Meczusie[Mecz]:Meczusie[RodzajMeczu],2,FALSE)</f>
        <v>Towarzyski</v>
      </c>
    </row>
    <row r="2920" spans="1:37" x14ac:dyDescent="0.25">
      <c r="A2920" s="76">
        <v>17</v>
      </c>
      <c r="B2920" s="3" t="s">
        <v>413</v>
      </c>
      <c r="C2920" s="2" t="s">
        <v>157</v>
      </c>
      <c r="D2920" s="1">
        <v>0</v>
      </c>
      <c r="E2920" s="1">
        <v>0</v>
      </c>
      <c r="F2920" s="1">
        <v>0</v>
      </c>
      <c r="G2920" s="1">
        <v>13</v>
      </c>
      <c r="H2920" s="4">
        <v>0.77</v>
      </c>
      <c r="I2920" s="1">
        <v>1</v>
      </c>
      <c r="J2920" s="4">
        <v>1</v>
      </c>
      <c r="K2920" s="1">
        <v>0</v>
      </c>
      <c r="L2920" s="1">
        <v>12</v>
      </c>
      <c r="M2920" s="32">
        <f>IF(Mecze[[#This Row],[PR]]=0,0,Mecze[[#This Row],[PR]]/Mecze[[#This Row],[CZAS]])</f>
        <v>0.125</v>
      </c>
      <c r="N2920" s="32">
        <f>IF(Mecze[[#This Row],[OU]]=0,0,Mecze[[#This Row],[OU]]/Mecze[[#This Row],[CZAS]])</f>
        <v>1.0416666666666666E-2</v>
      </c>
      <c r="O2920" s="32">
        <f>IF(Mecze[[#This Row],[PC]]=0,0,Mecze[[#This Row],[PC]]/Mecze[[#This Row],[CZAS]])</f>
        <v>0.10416666666666667</v>
      </c>
      <c r="P2920" s="32">
        <f>IF(Mecze[[#This Row],[SC]]=0,0,Mecze[[#This Row],[SC]]/Mecze[[#This Row],[CZAS]])</f>
        <v>0</v>
      </c>
      <c r="Q2920" s="32">
        <f>IF(Mecze[[#This Row],[OB]]=0,0,Mecze[[#This Row],[OB]]/Mecze[[#This Row],[CZAS]])</f>
        <v>0</v>
      </c>
      <c r="R2920" s="32">
        <f>IF(Mecze[[#This Row],[BR]]=0,0,Mecze[[#This Row],[BR]]/Mecze[[#This Row],[CZAS]])</f>
        <v>0</v>
      </c>
      <c r="S2920" s="44">
        <f>IF(Mecze[[#This Row],[Role]]="BR",SUMPRODUCT(Mecze[[#This Row],[/PR:90]:[/BR:90]],Brudnopis!$E$23:$J$23),0)</f>
        <v>0</v>
      </c>
      <c r="T2920" s="44">
        <f>IF(Mecze[[#This Row],[Role]]&lt;&gt;"BR",SUMPRODUCT(Mecze[[#This Row],[/PR:90]:[/BR:90]],Brudnopis!$E$24:$J$24),0)</f>
        <v>0.24479166666666669</v>
      </c>
      <c r="U2920" s="44">
        <f>IF(Mecze[[#This Row],[Role]]&lt;&gt;"BR",SUMPRODUCT(Mecze[[#This Row],[/PR:90]:[/BR:90]],Brudnopis!$E$25:$J$25),0)</f>
        <v>0.29166666666666663</v>
      </c>
      <c r="V2920" s="44">
        <f>IF(Mecze[[#This Row],[Role]]&lt;&gt;"BR",SUMPRODUCT(Mecze[[#This Row],[/PR:90]:[/BR:90]],Brudnopis!$E$26:$J$26),0)</f>
        <v>0.23958333333333331</v>
      </c>
      <c r="W2920" s="44">
        <f>IF(Mecze[[#This Row],[Role]]&lt;&gt;"BR",SUMPRODUCT(Mecze[[#This Row],[/PR:90]:[/BR:90]],Brudnopis!$E$27:$J$27),0)</f>
        <v>0.2578125</v>
      </c>
      <c r="X2920" s="44">
        <f>IF(Mecze[[#This Row],[Role]]&lt;&gt;"BR",SUMPRODUCT(Mecze[[#This Row],[/PR:90]:[/BR:90]],Brudnopis!$E$28:$J$28),0)</f>
        <v>0.10416666666666667</v>
      </c>
      <c r="Y2920" s="35">
        <f>IF(Mecze[[#This Row],[Role]]="BR",Mecze[[#This Row],[/OB:90]]+Mecze[[#This Row],[/PC:90]],SUM(Mecze[[#This Row],[/PR:90]:[/BR:90]]))</f>
        <v>0.23958333333333331</v>
      </c>
      <c r="Z2920" s="35">
        <f>IF(Mecze[[#This Row],[KC]]=0,SUM(Mecze[[#This Row],[/BRI]:[/NPI]]),SUM(Mecze[[#This Row],[/BRI]:[/NPI]])*0.6)</f>
        <v>1.1380208333333333</v>
      </c>
      <c r="AA2920" s="10">
        <f>IFERROR(Mecze[[#This Row],[BR]]/Mecze[[#This Row],[ST]],0)</f>
        <v>0</v>
      </c>
      <c r="AB2920">
        <f>ROUND(Mecze[[#This Row],[PD]]*Mecze[[#This Row],[%PC]],0)</f>
        <v>10</v>
      </c>
      <c r="AC2920">
        <f>ROUND(Mecze[[#This Row],[OD]]*Mecze[[#This Row],[%OU]],0)</f>
        <v>1</v>
      </c>
      <c r="AD2920" s="36" t="s">
        <v>167</v>
      </c>
      <c r="AE2920" s="36">
        <v>164</v>
      </c>
      <c r="AF2920" s="71">
        <v>5.22</v>
      </c>
      <c r="AG2920" s="37">
        <v>0</v>
      </c>
      <c r="AH2920" s="37">
        <v>0</v>
      </c>
      <c r="AI2920" s="37">
        <v>96</v>
      </c>
      <c r="AJ2920" s="37">
        <v>1</v>
      </c>
      <c r="AK2920" s="37" t="str">
        <f>VLOOKUP(Mecze[[#This Row],[Match ID]],Meczusie[Mecz]:Meczusie[RodzajMeczu],2,FALSE)</f>
        <v>Towarzyski</v>
      </c>
    </row>
    <row r="2921" spans="1:37" x14ac:dyDescent="0.25">
      <c r="A2921" s="76">
        <v>50</v>
      </c>
      <c r="B2921" s="3" t="s">
        <v>496</v>
      </c>
      <c r="C2921" s="2" t="s">
        <v>157</v>
      </c>
      <c r="D2921" s="1">
        <v>0</v>
      </c>
      <c r="E2921" s="1">
        <v>0</v>
      </c>
      <c r="F2921" s="1">
        <v>0</v>
      </c>
      <c r="G2921" s="1">
        <v>9</v>
      </c>
      <c r="H2921" s="4">
        <v>0.56000000000000005</v>
      </c>
      <c r="I2921" s="1">
        <v>5</v>
      </c>
      <c r="J2921" s="4">
        <v>0.2</v>
      </c>
      <c r="K2921" s="1">
        <v>0</v>
      </c>
      <c r="L2921" s="1">
        <v>9</v>
      </c>
      <c r="M2921" s="32">
        <f>IF(Mecze[[#This Row],[PR]]=0,0,Mecze[[#This Row],[PR]]/Mecze[[#This Row],[CZAS]])</f>
        <v>9.375E-2</v>
      </c>
      <c r="N2921" s="32">
        <f>IF(Mecze[[#This Row],[OU]]=0,0,Mecze[[#This Row],[OU]]/Mecze[[#This Row],[CZAS]])</f>
        <v>1.0416666666666666E-2</v>
      </c>
      <c r="O2921" s="32">
        <f>IF(Mecze[[#This Row],[PC]]=0,0,Mecze[[#This Row],[PC]]/Mecze[[#This Row],[CZAS]])</f>
        <v>5.2083333333333336E-2</v>
      </c>
      <c r="P2921" s="32">
        <f>IF(Mecze[[#This Row],[SC]]=0,0,Mecze[[#This Row],[SC]]/Mecze[[#This Row],[CZAS]])</f>
        <v>0</v>
      </c>
      <c r="Q2921" s="32">
        <f>IF(Mecze[[#This Row],[OB]]=0,0,Mecze[[#This Row],[OB]]/Mecze[[#This Row],[CZAS]])</f>
        <v>0</v>
      </c>
      <c r="R2921" s="32">
        <f>IF(Mecze[[#This Row],[BR]]=0,0,Mecze[[#This Row],[BR]]/Mecze[[#This Row],[CZAS]])</f>
        <v>0</v>
      </c>
      <c r="S2921" s="44">
        <f>IF(Mecze[[#This Row],[Role]]="BR",SUMPRODUCT(Mecze[[#This Row],[/PR:90]:[/BR:90]],Brudnopis!$E$23:$J$23),0)</f>
        <v>0</v>
      </c>
      <c r="T2921" s="44">
        <f>IF(Mecze[[#This Row],[Role]]&lt;&gt;"BR",SUMPRODUCT(Mecze[[#This Row],[/PR:90]:[/BR:90]],Brudnopis!$E$24:$J$24),0)</f>
        <v>0.16145833333333334</v>
      </c>
      <c r="U2921" s="44">
        <f>IF(Mecze[[#This Row],[Role]]&lt;&gt;"BR",SUMPRODUCT(Mecze[[#This Row],[/PR:90]:[/BR:90]],Brudnopis!$E$25:$J$25),0)</f>
        <v>0.18229166666666669</v>
      </c>
      <c r="V2921" s="44">
        <f>IF(Mecze[[#This Row],[Role]]&lt;&gt;"BR",SUMPRODUCT(Mecze[[#This Row],[/PR:90]:[/BR:90]],Brudnopis!$E$26:$J$26),0)</f>
        <v>0.15625</v>
      </c>
      <c r="W2921" s="44">
        <f>IF(Mecze[[#This Row],[Role]]&lt;&gt;"BR",SUMPRODUCT(Mecze[[#This Row],[/PR:90]:[/BR:90]],Brudnopis!$E$27:$J$27),0)</f>
        <v>0.15625</v>
      </c>
      <c r="X2921" s="44">
        <f>IF(Mecze[[#This Row],[Role]]&lt;&gt;"BR",SUMPRODUCT(Mecze[[#This Row],[/PR:90]:[/BR:90]],Brudnopis!$E$28:$J$28),0)</f>
        <v>5.2083333333333336E-2</v>
      </c>
      <c r="Y2921" s="35">
        <f>IF(Mecze[[#This Row],[Role]]="BR",Mecze[[#This Row],[/OB:90]]+Mecze[[#This Row],[/PC:90]],SUM(Mecze[[#This Row],[/PR:90]:[/BR:90]]))</f>
        <v>0.15625</v>
      </c>
      <c r="Z2921" s="35">
        <f>IF(Mecze[[#This Row],[KC]]=0,SUM(Mecze[[#This Row],[/BRI]:[/NPI]]),SUM(Mecze[[#This Row],[/BRI]:[/NPI]])*0.6)</f>
        <v>0.70833333333333337</v>
      </c>
      <c r="AA2921" s="10">
        <f>IFERROR(Mecze[[#This Row],[BR]]/Mecze[[#This Row],[ST]],0)</f>
        <v>0</v>
      </c>
      <c r="AB2921">
        <f>ROUND(Mecze[[#This Row],[PD]]*Mecze[[#This Row],[%PC]],0)</f>
        <v>5</v>
      </c>
      <c r="AC2921">
        <f>ROUND(Mecze[[#This Row],[OD]]*Mecze[[#This Row],[%OU]],0)</f>
        <v>1</v>
      </c>
      <c r="AD2921" s="36" t="s">
        <v>168</v>
      </c>
      <c r="AE2921" s="36">
        <v>164</v>
      </c>
      <c r="AF2921" s="71">
        <v>4.59</v>
      </c>
      <c r="AG2921" s="37">
        <v>0</v>
      </c>
      <c r="AH2921" s="37">
        <v>0</v>
      </c>
      <c r="AI2921" s="37">
        <v>96</v>
      </c>
      <c r="AJ2921" s="37">
        <v>1</v>
      </c>
      <c r="AK2921" s="37" t="str">
        <f>VLOOKUP(Mecze[[#This Row],[Match ID]],Meczusie[Mecz]:Meczusie[RodzajMeczu],2,FALSE)</f>
        <v>Towarzyski</v>
      </c>
    </row>
    <row r="2922" spans="1:37" x14ac:dyDescent="0.25">
      <c r="A2922" s="76">
        <v>52</v>
      </c>
      <c r="B2922" s="3" t="s">
        <v>408</v>
      </c>
      <c r="C2922" s="2" t="s">
        <v>160</v>
      </c>
      <c r="D2922" s="1">
        <v>0</v>
      </c>
      <c r="E2922" s="1">
        <v>1</v>
      </c>
      <c r="F2922" s="1">
        <v>1</v>
      </c>
      <c r="G2922" s="1">
        <v>12</v>
      </c>
      <c r="H2922" s="4">
        <v>0.5</v>
      </c>
      <c r="I2922" s="1">
        <v>2</v>
      </c>
      <c r="J2922" s="4">
        <v>0</v>
      </c>
      <c r="K2922" s="1">
        <v>0</v>
      </c>
      <c r="L2922" s="1">
        <v>7</v>
      </c>
      <c r="M2922" s="32">
        <f>IF(Mecze[[#This Row],[PR]]=0,0,Mecze[[#This Row],[PR]]/Mecze[[#This Row],[CZAS]])</f>
        <v>7.2916666666666671E-2</v>
      </c>
      <c r="N2922" s="32">
        <f>IF(Mecze[[#This Row],[OU]]=0,0,Mecze[[#This Row],[OU]]/Mecze[[#This Row],[CZAS]])</f>
        <v>0</v>
      </c>
      <c r="O2922" s="32">
        <f>IF(Mecze[[#This Row],[PC]]=0,0,Mecze[[#This Row],[PC]]/Mecze[[#This Row],[CZAS]])</f>
        <v>6.25E-2</v>
      </c>
      <c r="P2922" s="32">
        <f>IF(Mecze[[#This Row],[SC]]=0,0,Mecze[[#This Row],[SC]]/Mecze[[#This Row],[CZAS]])</f>
        <v>1.0416666666666666E-2</v>
      </c>
      <c r="Q2922" s="32">
        <f>IF(Mecze[[#This Row],[OB]]=0,0,Mecze[[#This Row],[OB]]/Mecze[[#This Row],[CZAS]])</f>
        <v>0</v>
      </c>
      <c r="R2922" s="32">
        <f>IF(Mecze[[#This Row],[BR]]=0,0,Mecze[[#This Row],[BR]]/Mecze[[#This Row],[CZAS]])</f>
        <v>0</v>
      </c>
      <c r="S2922" s="44">
        <f>IF(Mecze[[#This Row],[Role]]="BR",SUMPRODUCT(Mecze[[#This Row],[/PR:90]:[/BR:90]],Brudnopis!$E$23:$J$23),0)</f>
        <v>0</v>
      </c>
      <c r="T2922" s="44">
        <f>IF(Mecze[[#This Row],[Role]]&lt;&gt;"BR",SUMPRODUCT(Mecze[[#This Row],[/PR:90]:[/BR:90]],Brudnopis!$E$24:$J$24),0)</f>
        <v>0.14583333333333334</v>
      </c>
      <c r="U2922" s="44">
        <f>IF(Mecze[[#This Row],[Role]]&lt;&gt;"BR",SUMPRODUCT(Mecze[[#This Row],[/PR:90]:[/BR:90]],Brudnopis!$E$25:$J$25),0)</f>
        <v>0.17708333333333334</v>
      </c>
      <c r="V2922" s="44">
        <f>IF(Mecze[[#This Row],[Role]]&lt;&gt;"BR",SUMPRODUCT(Mecze[[#This Row],[/PR:90]:[/BR:90]],Brudnopis!$E$26:$J$26),0)</f>
        <v>0.14583333333333334</v>
      </c>
      <c r="W2922" s="44">
        <f>IF(Mecze[[#This Row],[Role]]&lt;&gt;"BR",SUMPRODUCT(Mecze[[#This Row],[/PR:90]:[/BR:90]],Brudnopis!$E$27:$J$27),0)</f>
        <v>0.15885416666666666</v>
      </c>
      <c r="X2922" s="44">
        <f>IF(Mecze[[#This Row],[Role]]&lt;&gt;"BR",SUMPRODUCT(Mecze[[#This Row],[/PR:90]:[/BR:90]],Brudnopis!$E$28:$J$28),0)</f>
        <v>8.3333333333333329E-2</v>
      </c>
      <c r="Y2922" s="35">
        <f>IF(Mecze[[#This Row],[Role]]="BR",Mecze[[#This Row],[/OB:90]]+Mecze[[#This Row],[/PC:90]],SUM(Mecze[[#This Row],[/PR:90]:[/BR:90]]))</f>
        <v>0.14583333333333334</v>
      </c>
      <c r="Z2922" s="35">
        <f>IF(Mecze[[#This Row],[KC]]=0,SUM(Mecze[[#This Row],[/BRI]:[/NPI]]),SUM(Mecze[[#This Row],[/BRI]:[/NPI]])*0.6)</f>
        <v>0.7109375</v>
      </c>
      <c r="AA2922" s="10">
        <f>IFERROR(Mecze[[#This Row],[BR]]/Mecze[[#This Row],[ST]],0)</f>
        <v>0</v>
      </c>
      <c r="AB2922">
        <f>ROUND(Mecze[[#This Row],[PD]]*Mecze[[#This Row],[%PC]],0)</f>
        <v>6</v>
      </c>
      <c r="AC2922">
        <f>ROUND(Mecze[[#This Row],[OD]]*Mecze[[#This Row],[%OU]],0)</f>
        <v>0</v>
      </c>
      <c r="AD2922" s="36" t="s">
        <v>41</v>
      </c>
      <c r="AE2922" s="36">
        <v>164</v>
      </c>
      <c r="AF2922" s="71">
        <v>5.61</v>
      </c>
      <c r="AG2922" s="37">
        <v>0</v>
      </c>
      <c r="AH2922" s="37">
        <v>0</v>
      </c>
      <c r="AI2922" s="37">
        <v>96</v>
      </c>
      <c r="AJ2922" s="37">
        <v>1</v>
      </c>
      <c r="AK2922" s="37" t="str">
        <f>VLOOKUP(Mecze[[#This Row],[Match ID]],Meczusie[Mecz]:Meczusie[RodzajMeczu],2,FALSE)</f>
        <v>Towarzyski</v>
      </c>
    </row>
    <row r="2923" spans="1:37" x14ac:dyDescent="0.25">
      <c r="A2923" s="76">
        <v>40</v>
      </c>
      <c r="B2923" s="3" t="s">
        <v>453</v>
      </c>
      <c r="C2923" s="2" t="s">
        <v>160</v>
      </c>
      <c r="D2923" s="1">
        <v>0</v>
      </c>
      <c r="E2923" s="1">
        <v>0</v>
      </c>
      <c r="F2923" s="1">
        <v>0</v>
      </c>
      <c r="G2923" s="1">
        <v>14</v>
      </c>
      <c r="H2923" s="4">
        <v>0.64</v>
      </c>
      <c r="I2923" s="1">
        <v>10</v>
      </c>
      <c r="J2923" s="4">
        <v>0.4</v>
      </c>
      <c r="K2923" s="1">
        <v>0</v>
      </c>
      <c r="L2923" s="1">
        <v>6</v>
      </c>
      <c r="M2923" s="32">
        <f>IF(Mecze[[#This Row],[PR]]=0,0,Mecze[[#This Row],[PR]]/Mecze[[#This Row],[CZAS]])</f>
        <v>6.25E-2</v>
      </c>
      <c r="N2923" s="32">
        <f>IF(Mecze[[#This Row],[OU]]=0,0,Mecze[[#This Row],[OU]]/Mecze[[#This Row],[CZAS]])</f>
        <v>4.1666666666666664E-2</v>
      </c>
      <c r="O2923" s="32">
        <f>IF(Mecze[[#This Row],[PC]]=0,0,Mecze[[#This Row],[PC]]/Mecze[[#This Row],[CZAS]])</f>
        <v>9.375E-2</v>
      </c>
      <c r="P2923" s="32">
        <f>IF(Mecze[[#This Row],[SC]]=0,0,Mecze[[#This Row],[SC]]/Mecze[[#This Row],[CZAS]])</f>
        <v>0</v>
      </c>
      <c r="Q2923" s="32">
        <f>IF(Mecze[[#This Row],[OB]]=0,0,Mecze[[#This Row],[OB]]/Mecze[[#This Row],[CZAS]])</f>
        <v>0</v>
      </c>
      <c r="R2923" s="32">
        <f>IF(Mecze[[#This Row],[BR]]=0,0,Mecze[[#This Row],[BR]]/Mecze[[#This Row],[CZAS]])</f>
        <v>0</v>
      </c>
      <c r="S2923" s="44">
        <f>IF(Mecze[[#This Row],[Role]]="BR",SUMPRODUCT(Mecze[[#This Row],[/PR:90]:[/BR:90]],Brudnopis!$E$23:$J$23),0)</f>
        <v>0</v>
      </c>
      <c r="T2923" s="44">
        <f>IF(Mecze[[#This Row],[Role]]&lt;&gt;"BR",SUMPRODUCT(Mecze[[#This Row],[/PR:90]:[/BR:90]],Brudnopis!$E$24:$J$24),0)</f>
        <v>0.21875</v>
      </c>
      <c r="U2923" s="44">
        <f>IF(Mecze[[#This Row],[Role]]&lt;&gt;"BR",SUMPRODUCT(Mecze[[#This Row],[/PR:90]:[/BR:90]],Brudnopis!$E$25:$J$25),0)</f>
        <v>0.24479166666666666</v>
      </c>
      <c r="V2923" s="44">
        <f>IF(Mecze[[#This Row],[Role]]&lt;&gt;"BR",SUMPRODUCT(Mecze[[#This Row],[/PR:90]:[/BR:90]],Brudnopis!$E$26:$J$26),0)</f>
        <v>0.19791666666666666</v>
      </c>
      <c r="W2923" s="44">
        <f>IF(Mecze[[#This Row],[Role]]&lt;&gt;"BR",SUMPRODUCT(Mecze[[#This Row],[/PR:90]:[/BR:90]],Brudnopis!$E$27:$J$27),0)</f>
        <v>0.21875</v>
      </c>
      <c r="X2923" s="44">
        <f>IF(Mecze[[#This Row],[Role]]&lt;&gt;"BR",SUMPRODUCT(Mecze[[#This Row],[/PR:90]:[/BR:90]],Brudnopis!$E$28:$J$28),0)</f>
        <v>9.375E-2</v>
      </c>
      <c r="Y2923" s="35">
        <f>IF(Mecze[[#This Row],[Role]]="BR",Mecze[[#This Row],[/OB:90]]+Mecze[[#This Row],[/PC:90]],SUM(Mecze[[#This Row],[/PR:90]:[/BR:90]]))</f>
        <v>0.19791666666666666</v>
      </c>
      <c r="Z2923" s="35">
        <f>IF(Mecze[[#This Row],[KC]]=0,SUM(Mecze[[#This Row],[/BRI]:[/NPI]]),SUM(Mecze[[#This Row],[/BRI]:[/NPI]])*0.6)</f>
        <v>0.97395833333333326</v>
      </c>
      <c r="AA2923" s="10">
        <f>IFERROR(Mecze[[#This Row],[BR]]/Mecze[[#This Row],[ST]],0)</f>
        <v>0</v>
      </c>
      <c r="AB2923">
        <f>ROUND(Mecze[[#This Row],[PD]]*Mecze[[#This Row],[%PC]],0)</f>
        <v>9</v>
      </c>
      <c r="AC2923">
        <f>ROUND(Mecze[[#This Row],[OD]]*Mecze[[#This Row],[%OU]],0)</f>
        <v>4</v>
      </c>
      <c r="AD2923" s="36" t="s">
        <v>41</v>
      </c>
      <c r="AE2923" s="36">
        <v>164</v>
      </c>
      <c r="AF2923" s="71">
        <v>5.17</v>
      </c>
      <c r="AG2923" s="37">
        <v>0</v>
      </c>
      <c r="AH2923" s="37">
        <v>0</v>
      </c>
      <c r="AI2923" s="37">
        <v>96</v>
      </c>
      <c r="AJ2923" s="37">
        <v>1</v>
      </c>
      <c r="AK2923" s="37" t="str">
        <f>VLOOKUP(Mecze[[#This Row],[Match ID]],Meczusie[Mecz]:Meczusie[RodzajMeczu],2,FALSE)</f>
        <v>Towarzyski</v>
      </c>
    </row>
    <row r="2924" spans="1:37" x14ac:dyDescent="0.25">
      <c r="A2924" s="76">
        <v>25</v>
      </c>
      <c r="B2924" s="3" t="s">
        <v>366</v>
      </c>
      <c r="C2924" s="2" t="s">
        <v>160</v>
      </c>
      <c r="D2924" s="1">
        <v>0</v>
      </c>
      <c r="E2924" s="1">
        <v>0</v>
      </c>
      <c r="F2924" s="1">
        <v>0</v>
      </c>
      <c r="G2924" s="1">
        <v>9</v>
      </c>
      <c r="H2924" s="4">
        <v>0.56000000000000005</v>
      </c>
      <c r="I2924" s="1">
        <v>1</v>
      </c>
      <c r="J2924" s="4">
        <v>0</v>
      </c>
      <c r="K2924" s="1">
        <v>0</v>
      </c>
      <c r="L2924" s="1">
        <v>7</v>
      </c>
      <c r="M2924" s="32">
        <f>IF(Mecze[[#This Row],[PR]]=0,0,Mecze[[#This Row],[PR]]/Mecze[[#This Row],[CZAS]])</f>
        <v>7.2916666666666671E-2</v>
      </c>
      <c r="N2924" s="32">
        <f>IF(Mecze[[#This Row],[OU]]=0,0,Mecze[[#This Row],[OU]]/Mecze[[#This Row],[CZAS]])</f>
        <v>0</v>
      </c>
      <c r="O2924" s="32">
        <f>IF(Mecze[[#This Row],[PC]]=0,0,Mecze[[#This Row],[PC]]/Mecze[[#This Row],[CZAS]])</f>
        <v>5.2083333333333336E-2</v>
      </c>
      <c r="P2924" s="32">
        <f>IF(Mecze[[#This Row],[SC]]=0,0,Mecze[[#This Row],[SC]]/Mecze[[#This Row],[CZAS]])</f>
        <v>0</v>
      </c>
      <c r="Q2924" s="32">
        <f>IF(Mecze[[#This Row],[OB]]=0,0,Mecze[[#This Row],[OB]]/Mecze[[#This Row],[CZAS]])</f>
        <v>0</v>
      </c>
      <c r="R2924" s="32">
        <f>IF(Mecze[[#This Row],[BR]]=0,0,Mecze[[#This Row],[BR]]/Mecze[[#This Row],[CZAS]])</f>
        <v>0</v>
      </c>
      <c r="S2924" s="44">
        <f>IF(Mecze[[#This Row],[Role]]="BR",SUMPRODUCT(Mecze[[#This Row],[/PR:90]:[/BR:90]],Brudnopis!$E$23:$J$23),0)</f>
        <v>0</v>
      </c>
      <c r="T2924" s="44">
        <f>IF(Mecze[[#This Row],[Role]]&lt;&gt;"BR",SUMPRODUCT(Mecze[[#This Row],[/PR:90]:[/BR:90]],Brudnopis!$E$24:$J$24),0)</f>
        <v>0.125</v>
      </c>
      <c r="U2924" s="44">
        <f>IF(Mecze[[#This Row],[Role]]&lt;&gt;"BR",SUMPRODUCT(Mecze[[#This Row],[/PR:90]:[/BR:90]],Brudnopis!$E$25:$J$25),0)</f>
        <v>0.15104166666666669</v>
      </c>
      <c r="V2924" s="44">
        <f>IF(Mecze[[#This Row],[Role]]&lt;&gt;"BR",SUMPRODUCT(Mecze[[#This Row],[/PR:90]:[/BR:90]],Brudnopis!$E$26:$J$26),0)</f>
        <v>0.125</v>
      </c>
      <c r="W2924" s="44">
        <f>IF(Mecze[[#This Row],[Role]]&lt;&gt;"BR",SUMPRODUCT(Mecze[[#This Row],[/PR:90]:[/BR:90]],Brudnopis!$E$27:$J$27),0)</f>
        <v>0.1328125</v>
      </c>
      <c r="X2924" s="44">
        <f>IF(Mecze[[#This Row],[Role]]&lt;&gt;"BR",SUMPRODUCT(Mecze[[#This Row],[/PR:90]:[/BR:90]],Brudnopis!$E$28:$J$28),0)</f>
        <v>5.2083333333333336E-2</v>
      </c>
      <c r="Y2924" s="35">
        <f>IF(Mecze[[#This Row],[Role]]="BR",Mecze[[#This Row],[/OB:90]]+Mecze[[#This Row],[/PC:90]],SUM(Mecze[[#This Row],[/PR:90]:[/BR:90]]))</f>
        <v>0.125</v>
      </c>
      <c r="Z2924" s="35">
        <f>IF(Mecze[[#This Row],[KC]]=0,SUM(Mecze[[#This Row],[/BRI]:[/NPI]]),SUM(Mecze[[#This Row],[/BRI]:[/NPI]])*0.6)</f>
        <v>0.58593750000000011</v>
      </c>
      <c r="AA2924" s="10">
        <f>IFERROR(Mecze[[#This Row],[BR]]/Mecze[[#This Row],[ST]],0)</f>
        <v>0</v>
      </c>
      <c r="AB2924">
        <f>ROUND(Mecze[[#This Row],[PD]]*Mecze[[#This Row],[%PC]],0)</f>
        <v>5</v>
      </c>
      <c r="AC2924">
        <f>ROUND(Mecze[[#This Row],[OD]]*Mecze[[#This Row],[%OU]],0)</f>
        <v>0</v>
      </c>
      <c r="AD2924" s="36" t="s">
        <v>44</v>
      </c>
      <c r="AE2924" s="36">
        <v>164</v>
      </c>
      <c r="AF2924" s="71">
        <v>5.38</v>
      </c>
      <c r="AG2924" s="37">
        <v>0</v>
      </c>
      <c r="AH2924" s="37">
        <v>0</v>
      </c>
      <c r="AI2924" s="37">
        <v>96</v>
      </c>
      <c r="AJ2924" s="37">
        <v>1</v>
      </c>
      <c r="AK2924" s="37" t="str">
        <f>VLOOKUP(Mecze[[#This Row],[Match ID]],Meczusie[Mecz]:Meczusie[RodzajMeczu],2,FALSE)</f>
        <v>Towarzyski</v>
      </c>
    </row>
    <row r="2925" spans="1:37" x14ac:dyDescent="0.25">
      <c r="A2925" s="76">
        <v>45</v>
      </c>
      <c r="B2925" s="3" t="s">
        <v>394</v>
      </c>
      <c r="C2925" s="2" t="s">
        <v>160</v>
      </c>
      <c r="D2925" s="1">
        <v>0</v>
      </c>
      <c r="E2925" s="1">
        <v>1</v>
      </c>
      <c r="F2925" s="1">
        <v>0</v>
      </c>
      <c r="G2925" s="1">
        <v>11</v>
      </c>
      <c r="H2925" s="4">
        <v>0.55000000000000004</v>
      </c>
      <c r="I2925" s="1">
        <v>1</v>
      </c>
      <c r="J2925" s="4">
        <v>0</v>
      </c>
      <c r="K2925" s="1">
        <v>0</v>
      </c>
      <c r="L2925" s="1">
        <v>2</v>
      </c>
      <c r="M2925" s="32">
        <f>IF(Mecze[[#This Row],[PR]]=0,0,Mecze[[#This Row],[PR]]/Mecze[[#This Row],[CZAS]])</f>
        <v>2.0833333333333332E-2</v>
      </c>
      <c r="N2925" s="32">
        <f>IF(Mecze[[#This Row],[OU]]=0,0,Mecze[[#This Row],[OU]]/Mecze[[#This Row],[CZAS]])</f>
        <v>0</v>
      </c>
      <c r="O2925" s="32">
        <f>IF(Mecze[[#This Row],[PC]]=0,0,Mecze[[#This Row],[PC]]/Mecze[[#This Row],[CZAS]])</f>
        <v>6.25E-2</v>
      </c>
      <c r="P2925" s="32">
        <f>IF(Mecze[[#This Row],[SC]]=0,0,Mecze[[#This Row],[SC]]/Mecze[[#This Row],[CZAS]])</f>
        <v>0</v>
      </c>
      <c r="Q2925" s="32">
        <f>IF(Mecze[[#This Row],[OB]]=0,0,Mecze[[#This Row],[OB]]/Mecze[[#This Row],[CZAS]])</f>
        <v>0</v>
      </c>
      <c r="R2925" s="32">
        <f>IF(Mecze[[#This Row],[BR]]=0,0,Mecze[[#This Row],[BR]]/Mecze[[#This Row],[CZAS]])</f>
        <v>0</v>
      </c>
      <c r="S2925" s="44">
        <f>IF(Mecze[[#This Row],[Role]]="BR",SUMPRODUCT(Mecze[[#This Row],[/PR:90]:[/BR:90]],Brudnopis!$E$23:$J$23),0)</f>
        <v>0</v>
      </c>
      <c r="T2925" s="44">
        <f>IF(Mecze[[#This Row],[Role]]&lt;&gt;"BR",SUMPRODUCT(Mecze[[#This Row],[/PR:90]:[/BR:90]],Brudnopis!$E$24:$J$24),0)</f>
        <v>8.3333333333333329E-2</v>
      </c>
      <c r="U2925" s="44">
        <f>IF(Mecze[[#This Row],[Role]]&lt;&gt;"BR",SUMPRODUCT(Mecze[[#This Row],[/PR:90]:[/BR:90]],Brudnopis!$E$25:$J$25),0)</f>
        <v>0.11458333333333333</v>
      </c>
      <c r="V2925" s="44">
        <f>IF(Mecze[[#This Row],[Role]]&lt;&gt;"BR",SUMPRODUCT(Mecze[[#This Row],[/PR:90]:[/BR:90]],Brudnopis!$E$26:$J$26),0)</f>
        <v>8.3333333333333329E-2</v>
      </c>
      <c r="W2925" s="44">
        <f>IF(Mecze[[#This Row],[Role]]&lt;&gt;"BR",SUMPRODUCT(Mecze[[#This Row],[/PR:90]:[/BR:90]],Brudnopis!$E$27:$J$27),0)</f>
        <v>0.109375</v>
      </c>
      <c r="X2925" s="44">
        <f>IF(Mecze[[#This Row],[Role]]&lt;&gt;"BR",SUMPRODUCT(Mecze[[#This Row],[/PR:90]:[/BR:90]],Brudnopis!$E$28:$J$28),0)</f>
        <v>6.25E-2</v>
      </c>
      <c r="Y2925" s="35">
        <f>IF(Mecze[[#This Row],[Role]]="BR",Mecze[[#This Row],[/OB:90]]+Mecze[[#This Row],[/PC:90]],SUM(Mecze[[#This Row],[/PR:90]:[/BR:90]]))</f>
        <v>8.3333333333333329E-2</v>
      </c>
      <c r="Z2925" s="35">
        <f>IF(Mecze[[#This Row],[KC]]=0,SUM(Mecze[[#This Row],[/BRI]:[/NPI]]),SUM(Mecze[[#This Row],[/BRI]:[/NPI]])*0.6)</f>
        <v>0.453125</v>
      </c>
      <c r="AA2925" s="10">
        <f>IFERROR(Mecze[[#This Row],[BR]]/Mecze[[#This Row],[ST]],0)</f>
        <v>0</v>
      </c>
      <c r="AB2925">
        <f>ROUND(Mecze[[#This Row],[PD]]*Mecze[[#This Row],[%PC]],0)</f>
        <v>6</v>
      </c>
      <c r="AC2925">
        <f>ROUND(Mecze[[#This Row],[OD]]*Mecze[[#This Row],[%OU]],0)</f>
        <v>0</v>
      </c>
      <c r="AD2925" s="36" t="s">
        <v>44</v>
      </c>
      <c r="AE2925" s="36">
        <v>164</v>
      </c>
      <c r="AF2925" s="71">
        <v>4.33</v>
      </c>
      <c r="AG2925" s="37">
        <v>0</v>
      </c>
      <c r="AH2925" s="37">
        <v>0</v>
      </c>
      <c r="AI2925" s="37">
        <v>96</v>
      </c>
      <c r="AJ2925" s="37">
        <v>1</v>
      </c>
      <c r="AK2925" s="37" t="str">
        <f>VLOOKUP(Mecze[[#This Row],[Match ID]],Meczusie[Mecz]:Meczusie[RodzajMeczu],2,FALSE)</f>
        <v>Towarzyski</v>
      </c>
    </row>
    <row r="2926" spans="1:37" x14ac:dyDescent="0.25">
      <c r="A2926" s="76">
        <v>31</v>
      </c>
      <c r="B2926" s="3" t="s">
        <v>365</v>
      </c>
      <c r="C2926" s="2" t="s">
        <v>165</v>
      </c>
      <c r="D2926" s="1">
        <v>0</v>
      </c>
      <c r="E2926" s="1">
        <v>5</v>
      </c>
      <c r="F2926" s="1">
        <v>5</v>
      </c>
      <c r="G2926" s="1">
        <v>10</v>
      </c>
      <c r="H2926" s="4">
        <v>0.9</v>
      </c>
      <c r="I2926" s="1">
        <v>5</v>
      </c>
      <c r="J2926" s="4">
        <v>0.4</v>
      </c>
      <c r="K2926" s="1">
        <v>0</v>
      </c>
      <c r="L2926" s="1">
        <v>0</v>
      </c>
      <c r="M2926" s="32">
        <f>IF(Mecze[[#This Row],[PR]]=0,0,Mecze[[#This Row],[PR]]/Mecze[[#This Row],[CZAS]])</f>
        <v>0</v>
      </c>
      <c r="N2926" s="32">
        <f>IF(Mecze[[#This Row],[OU]]=0,0,Mecze[[#This Row],[OU]]/Mecze[[#This Row],[CZAS]])</f>
        <v>2.0833333333333332E-2</v>
      </c>
      <c r="O2926" s="32">
        <f>IF(Mecze[[#This Row],[PC]]=0,0,Mecze[[#This Row],[PC]]/Mecze[[#This Row],[CZAS]])</f>
        <v>9.375E-2</v>
      </c>
      <c r="P2926" s="32">
        <f>IF(Mecze[[#This Row],[SC]]=0,0,Mecze[[#This Row],[SC]]/Mecze[[#This Row],[CZAS]])</f>
        <v>5.2083333333333336E-2</v>
      </c>
      <c r="Q2926" s="32">
        <f>IF(Mecze[[#This Row],[OB]]=0,0,Mecze[[#This Row],[OB]]/Mecze[[#This Row],[CZAS]])</f>
        <v>0</v>
      </c>
      <c r="R2926" s="32">
        <f>IF(Mecze[[#This Row],[BR]]=0,0,Mecze[[#This Row],[BR]]/Mecze[[#This Row],[CZAS]])</f>
        <v>0</v>
      </c>
      <c r="S2926" s="44">
        <f>IF(Mecze[[#This Row],[Role]]="BR",SUMPRODUCT(Mecze[[#This Row],[/PR:90]:[/BR:90]],Brudnopis!$E$23:$J$23),0)</f>
        <v>0</v>
      </c>
      <c r="T2926" s="44">
        <f>IF(Mecze[[#This Row],[Role]]&lt;&gt;"BR",SUMPRODUCT(Mecze[[#This Row],[/PR:90]:[/BR:90]],Brudnopis!$E$24:$J$24),0)</f>
        <v>0.17708333333333334</v>
      </c>
      <c r="U2926" s="44">
        <f>IF(Mecze[[#This Row],[Role]]&lt;&gt;"BR",SUMPRODUCT(Mecze[[#This Row],[/PR:90]:[/BR:90]],Brudnopis!$E$25:$J$25),0)</f>
        <v>0.21354166666666669</v>
      </c>
      <c r="V2926" s="44">
        <f>IF(Mecze[[#This Row],[Role]]&lt;&gt;"BR",SUMPRODUCT(Mecze[[#This Row],[/PR:90]:[/BR:90]],Brudnopis!$E$26:$J$26),0)</f>
        <v>0.16666666666666666</v>
      </c>
      <c r="W2926" s="44">
        <f>IF(Mecze[[#This Row],[Role]]&lt;&gt;"BR",SUMPRODUCT(Mecze[[#This Row],[/PR:90]:[/BR:90]],Brudnopis!$E$27:$J$27),0)</f>
        <v>0.20833333333333334</v>
      </c>
      <c r="X2926" s="44">
        <f>IF(Mecze[[#This Row],[Role]]&lt;&gt;"BR",SUMPRODUCT(Mecze[[#This Row],[/PR:90]:[/BR:90]],Brudnopis!$E$28:$J$28),0)</f>
        <v>0.19791666666666669</v>
      </c>
      <c r="Y2926" s="35">
        <f>IF(Mecze[[#This Row],[Role]]="BR",Mecze[[#This Row],[/OB:90]]+Mecze[[#This Row],[/PC:90]],SUM(Mecze[[#This Row],[/PR:90]:[/BR:90]]))</f>
        <v>0.16666666666666666</v>
      </c>
      <c r="Z2926" s="35">
        <f>IF(Mecze[[#This Row],[KC]]=0,SUM(Mecze[[#This Row],[/BRI]:[/NPI]]),SUM(Mecze[[#This Row],[/BRI]:[/NPI]])*0.6)</f>
        <v>0.96354166666666674</v>
      </c>
      <c r="AA2926" s="10">
        <f>IFERROR(Mecze[[#This Row],[BR]]/Mecze[[#This Row],[ST]],0)</f>
        <v>0</v>
      </c>
      <c r="AB2926">
        <f>ROUND(Mecze[[#This Row],[PD]]*Mecze[[#This Row],[%PC]],0)</f>
        <v>9</v>
      </c>
      <c r="AC2926">
        <f>ROUND(Mecze[[#This Row],[OD]]*Mecze[[#This Row],[%OU]],0)</f>
        <v>2</v>
      </c>
      <c r="AD2926" s="36" t="s">
        <v>46</v>
      </c>
      <c r="AE2926" s="36">
        <v>164</v>
      </c>
      <c r="AF2926" s="71">
        <v>6.06</v>
      </c>
      <c r="AG2926" s="37">
        <v>0</v>
      </c>
      <c r="AH2926" s="37">
        <v>0</v>
      </c>
      <c r="AI2926" s="37">
        <v>96</v>
      </c>
      <c r="AJ2926" s="37">
        <v>1</v>
      </c>
      <c r="AK2926" s="37" t="str">
        <f>VLOOKUP(Mecze[[#This Row],[Match ID]],Meczusie[Mecz]:Meczusie[RodzajMeczu],2,FALSE)</f>
        <v>Towarzyski</v>
      </c>
    </row>
    <row r="2927" spans="1:37" x14ac:dyDescent="0.25">
      <c r="A2927" s="76">
        <v>61</v>
      </c>
      <c r="B2927" s="3" t="s">
        <v>454</v>
      </c>
      <c r="C2927" s="2" t="s">
        <v>165</v>
      </c>
      <c r="D2927" s="1">
        <v>1</v>
      </c>
      <c r="E2927" s="1">
        <v>9</v>
      </c>
      <c r="F2927" s="1">
        <v>8</v>
      </c>
      <c r="G2927" s="1">
        <v>8</v>
      </c>
      <c r="H2927" s="4">
        <v>0.63</v>
      </c>
      <c r="I2927" s="1">
        <v>4</v>
      </c>
      <c r="J2927" s="4">
        <v>0.25</v>
      </c>
      <c r="K2927" s="1">
        <v>0</v>
      </c>
      <c r="L2927" s="1">
        <v>1</v>
      </c>
      <c r="M2927" s="32">
        <f>IF(Mecze[[#This Row],[PR]]=0,0,Mecze[[#This Row],[PR]]/Mecze[[#This Row],[CZAS]])</f>
        <v>1.0416666666666666E-2</v>
      </c>
      <c r="N2927" s="32">
        <f>IF(Mecze[[#This Row],[OU]]=0,0,Mecze[[#This Row],[OU]]/Mecze[[#This Row],[CZAS]])</f>
        <v>1.0416666666666666E-2</v>
      </c>
      <c r="O2927" s="32">
        <f>IF(Mecze[[#This Row],[PC]]=0,0,Mecze[[#This Row],[PC]]/Mecze[[#This Row],[CZAS]])</f>
        <v>5.2083333333333336E-2</v>
      </c>
      <c r="P2927" s="32">
        <f>IF(Mecze[[#This Row],[SC]]=0,0,Mecze[[#This Row],[SC]]/Mecze[[#This Row],[CZAS]])</f>
        <v>8.3333333333333329E-2</v>
      </c>
      <c r="Q2927" s="32">
        <f>IF(Mecze[[#This Row],[OB]]=0,0,Mecze[[#This Row],[OB]]/Mecze[[#This Row],[CZAS]])</f>
        <v>0</v>
      </c>
      <c r="R2927" s="32">
        <f>IF(Mecze[[#This Row],[BR]]=0,0,Mecze[[#This Row],[BR]]/Mecze[[#This Row],[CZAS]])</f>
        <v>1.0416666666666666E-2</v>
      </c>
      <c r="S2927" s="44">
        <f>IF(Mecze[[#This Row],[Role]]="BR",SUMPRODUCT(Mecze[[#This Row],[/PR:90]:[/BR:90]],Brudnopis!$E$23:$J$23),0)</f>
        <v>0</v>
      </c>
      <c r="T2927" s="44">
        <f>IF(Mecze[[#This Row],[Role]]&lt;&gt;"BR",SUMPRODUCT(Mecze[[#This Row],[/PR:90]:[/BR:90]],Brudnopis!$E$24:$J$24),0)</f>
        <v>0.17708333333333331</v>
      </c>
      <c r="U2927" s="44">
        <f>IF(Mecze[[#This Row],[Role]]&lt;&gt;"BR",SUMPRODUCT(Mecze[[#This Row],[/PR:90]:[/BR:90]],Brudnopis!$E$25:$J$25),0)</f>
        <v>0.19791666666666666</v>
      </c>
      <c r="V2927" s="44">
        <f>IF(Mecze[[#This Row],[Role]]&lt;&gt;"BR",SUMPRODUCT(Mecze[[#This Row],[/PR:90]:[/BR:90]],Brudnopis!$E$26:$J$26),0)</f>
        <v>0.17708333333333334</v>
      </c>
      <c r="W2927" s="44">
        <f>IF(Mecze[[#This Row],[Role]]&lt;&gt;"BR",SUMPRODUCT(Mecze[[#This Row],[/PR:90]:[/BR:90]],Brudnopis!$E$27:$J$27),0)</f>
        <v>0.19791666666666666</v>
      </c>
      <c r="X2927" s="44">
        <f>IF(Mecze[[#This Row],[Role]]&lt;&gt;"BR",SUMPRODUCT(Mecze[[#This Row],[/PR:90]:[/BR:90]],Brudnopis!$E$28:$J$28),0)</f>
        <v>0.25</v>
      </c>
      <c r="Y2927" s="35">
        <f>IF(Mecze[[#This Row],[Role]]="BR",Mecze[[#This Row],[/OB:90]]+Mecze[[#This Row],[/PC:90]],SUM(Mecze[[#This Row],[/PR:90]:[/BR:90]]))</f>
        <v>0.16666666666666666</v>
      </c>
      <c r="Z2927" s="35">
        <f>IF(Mecze[[#This Row],[KC]]=0,SUM(Mecze[[#This Row],[/BRI]:[/NPI]]),SUM(Mecze[[#This Row],[/BRI]:[/NPI]])*0.6)</f>
        <v>1</v>
      </c>
      <c r="AA2927" s="10">
        <f>IFERROR(Mecze[[#This Row],[BR]]/Mecze[[#This Row],[ST]],0)</f>
        <v>0.1111111111111111</v>
      </c>
      <c r="AB2927">
        <f>ROUND(Mecze[[#This Row],[PD]]*Mecze[[#This Row],[%PC]],0)</f>
        <v>5</v>
      </c>
      <c r="AC2927">
        <f>ROUND(Mecze[[#This Row],[OD]]*Mecze[[#This Row],[%OU]],0)</f>
        <v>1</v>
      </c>
      <c r="AD2927" s="36" t="s">
        <v>46</v>
      </c>
      <c r="AE2927" s="36">
        <v>164</v>
      </c>
      <c r="AF2927" s="71">
        <v>8.1</v>
      </c>
      <c r="AG2927" s="37">
        <v>0</v>
      </c>
      <c r="AH2927" s="37">
        <v>0</v>
      </c>
      <c r="AI2927" s="37">
        <v>96</v>
      </c>
      <c r="AJ2927" s="37">
        <v>1</v>
      </c>
      <c r="AK2927" s="37" t="str">
        <f>VLOOKUP(Mecze[[#This Row],[Match ID]],Meczusie[Mecz]:Meczusie[RodzajMeczu],2,FALSE)</f>
        <v>Towarzyski</v>
      </c>
    </row>
    <row r="2928" spans="1:37" x14ac:dyDescent="0.25">
      <c r="A2928" s="76">
        <v>46</v>
      </c>
      <c r="B2928" s="3" t="s">
        <v>395</v>
      </c>
      <c r="C2928" s="2" t="s">
        <v>165</v>
      </c>
      <c r="D2928" s="1">
        <v>0</v>
      </c>
      <c r="E2928" s="1">
        <v>1</v>
      </c>
      <c r="F2928" s="1">
        <v>1</v>
      </c>
      <c r="G2928" s="1">
        <v>7</v>
      </c>
      <c r="H2928" s="4">
        <v>0.28999999999999998</v>
      </c>
      <c r="I2928" s="1">
        <v>2</v>
      </c>
      <c r="J2928" s="4">
        <v>0.5</v>
      </c>
      <c r="K2928" s="1">
        <v>0</v>
      </c>
      <c r="L2928" s="1">
        <v>0</v>
      </c>
      <c r="M2928" s="32">
        <f>IF(Mecze[[#This Row],[PR]]=0,0,Mecze[[#This Row],[PR]]/Mecze[[#This Row],[CZAS]])</f>
        <v>0</v>
      </c>
      <c r="N2928" s="32">
        <f>IF(Mecze[[#This Row],[OU]]=0,0,Mecze[[#This Row],[OU]]/Mecze[[#This Row],[CZAS]])</f>
        <v>1.0416666666666666E-2</v>
      </c>
      <c r="O2928" s="32">
        <f>IF(Mecze[[#This Row],[PC]]=0,0,Mecze[[#This Row],[PC]]/Mecze[[#This Row],[CZAS]])</f>
        <v>2.0833333333333332E-2</v>
      </c>
      <c r="P2928" s="32">
        <f>IF(Mecze[[#This Row],[SC]]=0,0,Mecze[[#This Row],[SC]]/Mecze[[#This Row],[CZAS]])</f>
        <v>1.0416666666666666E-2</v>
      </c>
      <c r="Q2928" s="32">
        <f>IF(Mecze[[#This Row],[OB]]=0,0,Mecze[[#This Row],[OB]]/Mecze[[#This Row],[CZAS]])</f>
        <v>0</v>
      </c>
      <c r="R2928" s="32">
        <f>IF(Mecze[[#This Row],[BR]]=0,0,Mecze[[#This Row],[BR]]/Mecze[[#This Row],[CZAS]])</f>
        <v>0</v>
      </c>
      <c r="S2928" s="44">
        <f>IF(Mecze[[#This Row],[Role]]="BR",SUMPRODUCT(Mecze[[#This Row],[/PR:90]:[/BR:90]],Brudnopis!$E$23:$J$23),0)</f>
        <v>0</v>
      </c>
      <c r="T2928" s="44">
        <f>IF(Mecze[[#This Row],[Role]]&lt;&gt;"BR",SUMPRODUCT(Mecze[[#This Row],[/PR:90]:[/BR:90]],Brudnopis!$E$24:$J$24),0)</f>
        <v>4.6874999999999993E-2</v>
      </c>
      <c r="U2928" s="44">
        <f>IF(Mecze[[#This Row],[Role]]&lt;&gt;"BR",SUMPRODUCT(Mecze[[#This Row],[/PR:90]:[/BR:90]],Brudnopis!$E$25:$J$25),0)</f>
        <v>5.2083333333333329E-2</v>
      </c>
      <c r="V2928" s="44">
        <f>IF(Mecze[[#This Row],[Role]]&lt;&gt;"BR",SUMPRODUCT(Mecze[[#This Row],[/PR:90]:[/BR:90]],Brudnopis!$E$26:$J$26),0)</f>
        <v>4.1666666666666664E-2</v>
      </c>
      <c r="W2928" s="44">
        <f>IF(Mecze[[#This Row],[Role]]&lt;&gt;"BR",SUMPRODUCT(Mecze[[#This Row],[/PR:90]:[/BR:90]],Brudnopis!$E$27:$J$27),0)</f>
        <v>4.9479166666666664E-2</v>
      </c>
      <c r="X2928" s="44">
        <f>IF(Mecze[[#This Row],[Role]]&lt;&gt;"BR",SUMPRODUCT(Mecze[[#This Row],[/PR:90]:[/BR:90]],Brudnopis!$E$28:$J$28),0)</f>
        <v>4.1666666666666664E-2</v>
      </c>
      <c r="Y2928" s="35">
        <f>IF(Mecze[[#This Row],[Role]]="BR",Mecze[[#This Row],[/OB:90]]+Mecze[[#This Row],[/PC:90]],SUM(Mecze[[#This Row],[/PR:90]:[/BR:90]]))</f>
        <v>4.1666666666666664E-2</v>
      </c>
      <c r="Z2928" s="35">
        <f>IF(Mecze[[#This Row],[KC]]=0,SUM(Mecze[[#This Row],[/BRI]:[/NPI]]),SUM(Mecze[[#This Row],[/BRI]:[/NPI]])*0.6)</f>
        <v>0.23177083333333329</v>
      </c>
      <c r="AA2928" s="10">
        <f>IFERROR(Mecze[[#This Row],[BR]]/Mecze[[#This Row],[ST]],0)</f>
        <v>0</v>
      </c>
      <c r="AB2928">
        <f>ROUND(Mecze[[#This Row],[PD]]*Mecze[[#This Row],[%PC]],0)</f>
        <v>2</v>
      </c>
      <c r="AC2928">
        <f>ROUND(Mecze[[#This Row],[OD]]*Mecze[[#This Row],[%OU]],0)</f>
        <v>1</v>
      </c>
      <c r="AD2928" s="36" t="s">
        <v>46</v>
      </c>
      <c r="AE2928" s="36">
        <v>164</v>
      </c>
      <c r="AF2928" s="71">
        <v>2.93</v>
      </c>
      <c r="AG2928" s="37">
        <v>0</v>
      </c>
      <c r="AH2928" s="37">
        <v>0</v>
      </c>
      <c r="AI2928" s="37">
        <v>96</v>
      </c>
      <c r="AJ2928" s="37">
        <v>1</v>
      </c>
      <c r="AK2928" s="37" t="str">
        <f>VLOOKUP(Mecze[[#This Row],[Match ID]],Meczusie[Mecz]:Meczusie[RodzajMeczu],2,FALSE)</f>
        <v>Towarzyski</v>
      </c>
    </row>
    <row r="2929" spans="1:37" x14ac:dyDescent="0.25">
      <c r="A2929" s="76">
        <v>1</v>
      </c>
      <c r="B2929" s="3" t="s">
        <v>169</v>
      </c>
      <c r="C2929" s="2" t="s">
        <v>155</v>
      </c>
      <c r="D2929" s="1">
        <v>0</v>
      </c>
      <c r="E2929" s="1">
        <v>0</v>
      </c>
      <c r="F2929" s="1">
        <v>0</v>
      </c>
      <c r="G2929" s="1">
        <v>13</v>
      </c>
      <c r="H2929" s="4">
        <v>0.38</v>
      </c>
      <c r="I2929" s="1">
        <v>0</v>
      </c>
      <c r="J2929" s="4"/>
      <c r="K2929" s="1">
        <v>14</v>
      </c>
      <c r="L2929" s="1">
        <v>0</v>
      </c>
      <c r="M2929" s="32">
        <f>IF(Mecze[[#This Row],[PR]]=0,0,Mecze[[#This Row],[PR]]/Mecze[[#This Row],[CZAS]])</f>
        <v>0</v>
      </c>
      <c r="N2929" s="32">
        <f>IF(Mecze[[#This Row],[OU]]=0,0,Mecze[[#This Row],[OU]]/Mecze[[#This Row],[CZAS]])</f>
        <v>0</v>
      </c>
      <c r="O2929" s="32">
        <f>IF(Mecze[[#This Row],[PC]]=0,0,Mecze[[#This Row],[PC]]/Mecze[[#This Row],[CZAS]])</f>
        <v>5.1546391752577317E-2</v>
      </c>
      <c r="P2929" s="32">
        <f>IF(Mecze[[#This Row],[SC]]=0,0,Mecze[[#This Row],[SC]]/Mecze[[#This Row],[CZAS]])</f>
        <v>0</v>
      </c>
      <c r="Q2929" s="32">
        <f>IF(Mecze[[#This Row],[OB]]=0,0,Mecze[[#This Row],[OB]]/Mecze[[#This Row],[CZAS]])</f>
        <v>0.14432989690721648</v>
      </c>
      <c r="R2929" s="32">
        <f>IF(Mecze[[#This Row],[BR]]=0,0,Mecze[[#This Row],[BR]]/Mecze[[#This Row],[CZAS]])</f>
        <v>0</v>
      </c>
      <c r="S2929" s="44">
        <f>IF(Mecze[[#This Row],[Role]]="BR",SUMPRODUCT(Mecze[[#This Row],[/PR:90]:[/BR:90]],Brudnopis!$E$23:$J$23),0)</f>
        <v>0.58762886597938135</v>
      </c>
      <c r="T2929" s="44">
        <f>IF(Mecze[[#This Row],[Role]]&lt;&gt;"BR",SUMPRODUCT(Mecze[[#This Row],[/PR:90]:[/BR:90]],Brudnopis!$E$24:$J$24),0)</f>
        <v>0</v>
      </c>
      <c r="U2929" s="44">
        <f>IF(Mecze[[#This Row],[Role]]&lt;&gt;"BR",SUMPRODUCT(Mecze[[#This Row],[/PR:90]:[/BR:90]],Brudnopis!$E$25:$J$25),0)</f>
        <v>0</v>
      </c>
      <c r="V2929" s="44">
        <f>IF(Mecze[[#This Row],[Role]]&lt;&gt;"BR",SUMPRODUCT(Mecze[[#This Row],[/PR:90]:[/BR:90]],Brudnopis!$E$26:$J$26),0)</f>
        <v>0</v>
      </c>
      <c r="W2929" s="44">
        <f>IF(Mecze[[#This Row],[Role]]&lt;&gt;"BR",SUMPRODUCT(Mecze[[#This Row],[/PR:90]:[/BR:90]],Brudnopis!$E$27:$J$27),0)</f>
        <v>0</v>
      </c>
      <c r="X2929" s="44">
        <f>IF(Mecze[[#This Row],[Role]]&lt;&gt;"BR",SUMPRODUCT(Mecze[[#This Row],[/PR:90]:[/BR:90]],Brudnopis!$E$28:$J$28),0)</f>
        <v>0</v>
      </c>
      <c r="Y2929" s="35">
        <f>IF(Mecze[[#This Row],[Role]]="BR",Mecze[[#This Row],[/OB:90]]+Mecze[[#This Row],[/PC:90]],SUM(Mecze[[#This Row],[/PR:90]:[/BR:90]]))</f>
        <v>0.19587628865979378</v>
      </c>
      <c r="Z2929" s="35">
        <f>IF(Mecze[[#This Row],[KC]]=0,SUM(Mecze[[#This Row],[/BRI]:[/NPI]]),SUM(Mecze[[#This Row],[/BRI]:[/NPI]])*0.6)</f>
        <v>0.58762886597938135</v>
      </c>
      <c r="AA2929" s="10">
        <f>IFERROR(Mecze[[#This Row],[BR]]/Mecze[[#This Row],[ST]],0)</f>
        <v>0</v>
      </c>
      <c r="AB2929">
        <f>ROUND(Mecze[[#This Row],[PD]]*Mecze[[#This Row],[%PC]],0)</f>
        <v>5</v>
      </c>
      <c r="AC2929">
        <f>ROUND(Mecze[[#This Row],[OD]]*Mecze[[#This Row],[%OU]],0)</f>
        <v>0</v>
      </c>
      <c r="AD2929" s="36" t="s">
        <v>40</v>
      </c>
      <c r="AE2929" s="36">
        <v>165</v>
      </c>
      <c r="AF2929" s="71">
        <v>6.49</v>
      </c>
      <c r="AG2929" s="37">
        <v>0</v>
      </c>
      <c r="AH2929" s="37">
        <v>0</v>
      </c>
      <c r="AI2929" s="37">
        <v>97</v>
      </c>
      <c r="AJ2929" s="37">
        <v>1</v>
      </c>
      <c r="AK2929" s="37" t="str">
        <f>VLOOKUP(Mecze[[#This Row],[Match ID]],Meczusie[Mecz]:Meczusie[RodzajMeczu],2,FALSE)</f>
        <v>Puchar</v>
      </c>
    </row>
    <row r="2930" spans="1:37" x14ac:dyDescent="0.25">
      <c r="A2930" s="76">
        <v>18</v>
      </c>
      <c r="B2930" s="3" t="s">
        <v>211</v>
      </c>
      <c r="C2930" s="2" t="s">
        <v>157</v>
      </c>
      <c r="D2930" s="1">
        <v>0</v>
      </c>
      <c r="E2930" s="1">
        <v>0</v>
      </c>
      <c r="F2930" s="1">
        <v>0</v>
      </c>
      <c r="G2930" s="1">
        <v>12</v>
      </c>
      <c r="H2930" s="4">
        <v>0.42</v>
      </c>
      <c r="I2930" s="1">
        <v>10</v>
      </c>
      <c r="J2930" s="4">
        <v>0.4</v>
      </c>
      <c r="K2930" s="1">
        <v>0</v>
      </c>
      <c r="L2930" s="1">
        <v>9</v>
      </c>
      <c r="M2930" s="32">
        <f>IF(Mecze[[#This Row],[PR]]=0,0,Mecze[[#This Row],[PR]]/Mecze[[#This Row],[CZAS]])</f>
        <v>9.2783505154639179E-2</v>
      </c>
      <c r="N2930" s="32">
        <f>IF(Mecze[[#This Row],[OU]]=0,0,Mecze[[#This Row],[OU]]/Mecze[[#This Row],[CZAS]])</f>
        <v>4.1237113402061855E-2</v>
      </c>
      <c r="O2930" s="32">
        <f>IF(Mecze[[#This Row],[PC]]=0,0,Mecze[[#This Row],[PC]]/Mecze[[#This Row],[CZAS]])</f>
        <v>5.1546391752577317E-2</v>
      </c>
      <c r="P2930" s="32">
        <f>IF(Mecze[[#This Row],[SC]]=0,0,Mecze[[#This Row],[SC]]/Mecze[[#This Row],[CZAS]])</f>
        <v>0</v>
      </c>
      <c r="Q2930" s="32">
        <f>IF(Mecze[[#This Row],[OB]]=0,0,Mecze[[#This Row],[OB]]/Mecze[[#This Row],[CZAS]])</f>
        <v>0</v>
      </c>
      <c r="R2930" s="32">
        <f>IF(Mecze[[#This Row],[BR]]=0,0,Mecze[[#This Row],[BR]]/Mecze[[#This Row],[CZAS]])</f>
        <v>0</v>
      </c>
      <c r="S2930" s="44">
        <f>IF(Mecze[[#This Row],[Role]]="BR",SUMPRODUCT(Mecze[[#This Row],[/PR:90]:[/BR:90]],Brudnopis!$E$23:$J$23),0)</f>
        <v>0</v>
      </c>
      <c r="T2930" s="44">
        <f>IF(Mecze[[#This Row],[Role]]&lt;&gt;"BR",SUMPRODUCT(Mecze[[#This Row],[/PR:90]:[/BR:90]],Brudnopis!$E$24:$J$24),0)</f>
        <v>0.20618556701030927</v>
      </c>
      <c r="U2930" s="44">
        <f>IF(Mecze[[#This Row],[Role]]&lt;&gt;"BR",SUMPRODUCT(Mecze[[#This Row],[/PR:90]:[/BR:90]],Brudnopis!$E$25:$J$25),0)</f>
        <v>0.21134020618556701</v>
      </c>
      <c r="V2930" s="44">
        <f>IF(Mecze[[#This Row],[Role]]&lt;&gt;"BR",SUMPRODUCT(Mecze[[#This Row],[/PR:90]:[/BR:90]],Brudnopis!$E$26:$J$26),0)</f>
        <v>0.18556701030927836</v>
      </c>
      <c r="W2930" s="44">
        <f>IF(Mecze[[#This Row],[Role]]&lt;&gt;"BR",SUMPRODUCT(Mecze[[#This Row],[/PR:90]:[/BR:90]],Brudnopis!$E$27:$J$27),0)</f>
        <v>0.17783505154639176</v>
      </c>
      <c r="X2930" s="44">
        <f>IF(Mecze[[#This Row],[Role]]&lt;&gt;"BR",SUMPRODUCT(Mecze[[#This Row],[/PR:90]:[/BR:90]],Brudnopis!$E$28:$J$28),0)</f>
        <v>5.1546391752577317E-2</v>
      </c>
      <c r="Y2930" s="35">
        <f>IF(Mecze[[#This Row],[Role]]="BR",Mecze[[#This Row],[/OB:90]]+Mecze[[#This Row],[/PC:90]],SUM(Mecze[[#This Row],[/PR:90]:[/BR:90]]))</f>
        <v>0.18556701030927836</v>
      </c>
      <c r="Z2930" s="35">
        <f>IF(Mecze[[#This Row],[KC]]=0,SUM(Mecze[[#This Row],[/BRI]:[/NPI]]),SUM(Mecze[[#This Row],[/BRI]:[/NPI]])*0.6)</f>
        <v>0.83247422680412375</v>
      </c>
      <c r="AA2930" s="10">
        <f>IFERROR(Mecze[[#This Row],[BR]]/Mecze[[#This Row],[ST]],0)</f>
        <v>0</v>
      </c>
      <c r="AB2930">
        <f>ROUND(Mecze[[#This Row],[PD]]*Mecze[[#This Row],[%PC]],0)</f>
        <v>5</v>
      </c>
      <c r="AC2930">
        <f>ROUND(Mecze[[#This Row],[OD]]*Mecze[[#This Row],[%OU]],0)</f>
        <v>4</v>
      </c>
      <c r="AD2930" s="36" t="s">
        <v>47</v>
      </c>
      <c r="AE2930" s="36">
        <v>165</v>
      </c>
      <c r="AF2930" s="71">
        <v>3.48</v>
      </c>
      <c r="AG2930" s="37">
        <v>0</v>
      </c>
      <c r="AH2930" s="37">
        <v>0</v>
      </c>
      <c r="AI2930" s="37">
        <v>97</v>
      </c>
      <c r="AJ2930" s="37">
        <v>1</v>
      </c>
      <c r="AK2930" s="37" t="str">
        <f>VLOOKUP(Mecze[[#This Row],[Match ID]],Meczusie[Mecz]:Meczusie[RodzajMeczu],2,FALSE)</f>
        <v>Puchar</v>
      </c>
    </row>
    <row r="2931" spans="1:37" x14ac:dyDescent="0.25">
      <c r="A2931" s="76">
        <v>5</v>
      </c>
      <c r="B2931" s="3" t="s">
        <v>161</v>
      </c>
      <c r="C2931" s="2" t="s">
        <v>157</v>
      </c>
      <c r="D2931" s="1">
        <v>0</v>
      </c>
      <c r="E2931" s="1">
        <v>0</v>
      </c>
      <c r="F2931" s="1">
        <v>0</v>
      </c>
      <c r="G2931" s="1">
        <v>14</v>
      </c>
      <c r="H2931" s="4">
        <v>0.14000000000000001</v>
      </c>
      <c r="I2931" s="1">
        <v>7</v>
      </c>
      <c r="J2931" s="4">
        <v>0.71</v>
      </c>
      <c r="K2931" s="1">
        <v>0</v>
      </c>
      <c r="L2931" s="1">
        <v>5</v>
      </c>
      <c r="M2931" s="32">
        <f>IF(Mecze[[#This Row],[PR]]=0,0,Mecze[[#This Row],[PR]]/Mecze[[#This Row],[CZAS]])</f>
        <v>5.1546391752577317E-2</v>
      </c>
      <c r="N2931" s="32">
        <f>IF(Mecze[[#This Row],[OU]]=0,0,Mecze[[#This Row],[OU]]/Mecze[[#This Row],[CZAS]])</f>
        <v>5.1546391752577317E-2</v>
      </c>
      <c r="O2931" s="32">
        <f>IF(Mecze[[#This Row],[PC]]=0,0,Mecze[[#This Row],[PC]]/Mecze[[#This Row],[CZAS]])</f>
        <v>2.0618556701030927E-2</v>
      </c>
      <c r="P2931" s="32">
        <f>IF(Mecze[[#This Row],[SC]]=0,0,Mecze[[#This Row],[SC]]/Mecze[[#This Row],[CZAS]])</f>
        <v>0</v>
      </c>
      <c r="Q2931" s="32">
        <f>IF(Mecze[[#This Row],[OB]]=0,0,Mecze[[#This Row],[OB]]/Mecze[[#This Row],[CZAS]])</f>
        <v>0</v>
      </c>
      <c r="R2931" s="32">
        <f>IF(Mecze[[#This Row],[BR]]=0,0,Mecze[[#This Row],[BR]]/Mecze[[#This Row],[CZAS]])</f>
        <v>0</v>
      </c>
      <c r="S2931" s="44">
        <f>IF(Mecze[[#This Row],[Role]]="BR",SUMPRODUCT(Mecze[[#This Row],[/PR:90]:[/BR:90]],Brudnopis!$E$23:$J$23),0)</f>
        <v>0</v>
      </c>
      <c r="T2931" s="44">
        <f>IF(Mecze[[#This Row],[Role]]&lt;&gt;"BR",SUMPRODUCT(Mecze[[#This Row],[/PR:90]:[/BR:90]],Brudnopis!$E$24:$J$24),0)</f>
        <v>0.14948453608247422</v>
      </c>
      <c r="U2931" s="44">
        <f>IF(Mecze[[#This Row],[Role]]&lt;&gt;"BR",SUMPRODUCT(Mecze[[#This Row],[/PR:90]:[/BR:90]],Brudnopis!$E$25:$J$25),0)</f>
        <v>0.13402061855670103</v>
      </c>
      <c r="V2931" s="44">
        <f>IF(Mecze[[#This Row],[Role]]&lt;&gt;"BR",SUMPRODUCT(Mecze[[#This Row],[/PR:90]:[/BR:90]],Brudnopis!$E$26:$J$26),0)</f>
        <v>0.12371134020618556</v>
      </c>
      <c r="W2931" s="44">
        <f>IF(Mecze[[#This Row],[Role]]&lt;&gt;"BR",SUMPRODUCT(Mecze[[#This Row],[/PR:90]:[/BR:90]],Brudnopis!$E$27:$J$27),0)</f>
        <v>0.10824742268041238</v>
      </c>
      <c r="X2931" s="44">
        <f>IF(Mecze[[#This Row],[Role]]&lt;&gt;"BR",SUMPRODUCT(Mecze[[#This Row],[/PR:90]:[/BR:90]],Brudnopis!$E$28:$J$28),0)</f>
        <v>2.0618556701030927E-2</v>
      </c>
      <c r="Y2931" s="35">
        <f>IF(Mecze[[#This Row],[Role]]="BR",Mecze[[#This Row],[/OB:90]]+Mecze[[#This Row],[/PC:90]],SUM(Mecze[[#This Row],[/PR:90]:[/BR:90]]))</f>
        <v>0.12371134020618556</v>
      </c>
      <c r="Z2931" s="35">
        <f>IF(Mecze[[#This Row],[KC]]=0,SUM(Mecze[[#This Row],[/BRI]:[/NPI]]),SUM(Mecze[[#This Row],[/BRI]:[/NPI]])*0.6)</f>
        <v>0.53608247422680411</v>
      </c>
      <c r="AA2931" s="10">
        <f>IFERROR(Mecze[[#This Row],[BR]]/Mecze[[#This Row],[ST]],0)</f>
        <v>0</v>
      </c>
      <c r="AB2931">
        <f>ROUND(Mecze[[#This Row],[PD]]*Mecze[[#This Row],[%PC]],0)</f>
        <v>2</v>
      </c>
      <c r="AC2931">
        <f>ROUND(Mecze[[#This Row],[OD]]*Mecze[[#This Row],[%OU]],0)</f>
        <v>5</v>
      </c>
      <c r="AD2931" s="36" t="s">
        <v>47</v>
      </c>
      <c r="AE2931" s="36">
        <v>165</v>
      </c>
      <c r="AF2931" s="71">
        <v>3.76</v>
      </c>
      <c r="AG2931" s="37">
        <v>0</v>
      </c>
      <c r="AH2931" s="37">
        <v>0</v>
      </c>
      <c r="AI2931" s="37">
        <v>97</v>
      </c>
      <c r="AJ2931" s="37">
        <v>1</v>
      </c>
      <c r="AK2931" s="37" t="str">
        <f>VLOOKUP(Mecze[[#This Row],[Match ID]],Meczusie[Mecz]:Meczusie[RodzajMeczu],2,FALSE)</f>
        <v>Puchar</v>
      </c>
    </row>
    <row r="2932" spans="1:37" x14ac:dyDescent="0.25">
      <c r="A2932" s="76">
        <v>3</v>
      </c>
      <c r="B2932" s="3" t="s">
        <v>158</v>
      </c>
      <c r="C2932" s="2" t="s">
        <v>157</v>
      </c>
      <c r="D2932" s="1">
        <v>0</v>
      </c>
      <c r="E2932" s="1">
        <v>0</v>
      </c>
      <c r="F2932" s="1">
        <v>0</v>
      </c>
      <c r="G2932" s="1">
        <v>11</v>
      </c>
      <c r="H2932" s="4">
        <v>0.18</v>
      </c>
      <c r="I2932" s="1">
        <v>13</v>
      </c>
      <c r="J2932" s="4">
        <v>0.46</v>
      </c>
      <c r="K2932" s="1">
        <v>0</v>
      </c>
      <c r="L2932" s="1">
        <v>11</v>
      </c>
      <c r="M2932" s="32">
        <f>IF(Mecze[[#This Row],[PR]]=0,0,Mecze[[#This Row],[PR]]/Mecze[[#This Row],[CZAS]])</f>
        <v>0.1134020618556701</v>
      </c>
      <c r="N2932" s="32">
        <f>IF(Mecze[[#This Row],[OU]]=0,0,Mecze[[#This Row],[OU]]/Mecze[[#This Row],[CZAS]])</f>
        <v>6.1855670103092786E-2</v>
      </c>
      <c r="O2932" s="32">
        <f>IF(Mecze[[#This Row],[PC]]=0,0,Mecze[[#This Row],[PC]]/Mecze[[#This Row],[CZAS]])</f>
        <v>2.0618556701030927E-2</v>
      </c>
      <c r="P2932" s="32">
        <f>IF(Mecze[[#This Row],[SC]]=0,0,Mecze[[#This Row],[SC]]/Mecze[[#This Row],[CZAS]])</f>
        <v>0</v>
      </c>
      <c r="Q2932" s="32">
        <f>IF(Mecze[[#This Row],[OB]]=0,0,Mecze[[#This Row],[OB]]/Mecze[[#This Row],[CZAS]])</f>
        <v>0</v>
      </c>
      <c r="R2932" s="32">
        <f>IF(Mecze[[#This Row],[BR]]=0,0,Mecze[[#This Row],[BR]]/Mecze[[#This Row],[CZAS]])</f>
        <v>0</v>
      </c>
      <c r="S2932" s="44">
        <f>IF(Mecze[[#This Row],[Role]]="BR",SUMPRODUCT(Mecze[[#This Row],[/PR:90]:[/BR:90]],Brudnopis!$E$23:$J$23),0)</f>
        <v>0</v>
      </c>
      <c r="T2932" s="44">
        <f>IF(Mecze[[#This Row],[Role]]&lt;&gt;"BR",SUMPRODUCT(Mecze[[#This Row],[/PR:90]:[/BR:90]],Brudnopis!$E$24:$J$24),0)</f>
        <v>0.22680412371134021</v>
      </c>
      <c r="U2932" s="44">
        <f>IF(Mecze[[#This Row],[Role]]&lt;&gt;"BR",SUMPRODUCT(Mecze[[#This Row],[/PR:90]:[/BR:90]],Brudnopis!$E$25:$J$25),0)</f>
        <v>0.20618556701030927</v>
      </c>
      <c r="V2932" s="44">
        <f>IF(Mecze[[#This Row],[Role]]&lt;&gt;"BR",SUMPRODUCT(Mecze[[#This Row],[/PR:90]:[/BR:90]],Brudnopis!$E$26:$J$26),0)</f>
        <v>0.19587628865979381</v>
      </c>
      <c r="W2932" s="44">
        <f>IF(Mecze[[#This Row],[Role]]&lt;&gt;"BR",SUMPRODUCT(Mecze[[#This Row],[/PR:90]:[/BR:90]],Brudnopis!$E$27:$J$27),0)</f>
        <v>0.16237113402061856</v>
      </c>
      <c r="X2932" s="44">
        <f>IF(Mecze[[#This Row],[Role]]&lt;&gt;"BR",SUMPRODUCT(Mecze[[#This Row],[/PR:90]:[/BR:90]],Brudnopis!$E$28:$J$28),0)</f>
        <v>2.0618556701030927E-2</v>
      </c>
      <c r="Y2932" s="35">
        <f>IF(Mecze[[#This Row],[Role]]="BR",Mecze[[#This Row],[/OB:90]]+Mecze[[#This Row],[/PC:90]],SUM(Mecze[[#This Row],[/PR:90]:[/BR:90]]))</f>
        <v>0.19587628865979381</v>
      </c>
      <c r="Z2932" s="35">
        <f>IF(Mecze[[#This Row],[KC]]=0,SUM(Mecze[[#This Row],[/BRI]:[/NPI]]),SUM(Mecze[[#This Row],[/BRI]:[/NPI]])*0.6)</f>
        <v>0.81185567010309279</v>
      </c>
      <c r="AA2932" s="10">
        <f>IFERROR(Mecze[[#This Row],[BR]]/Mecze[[#This Row],[ST]],0)</f>
        <v>0</v>
      </c>
      <c r="AB2932">
        <f>ROUND(Mecze[[#This Row],[PD]]*Mecze[[#This Row],[%PC]],0)</f>
        <v>2</v>
      </c>
      <c r="AC2932">
        <f>ROUND(Mecze[[#This Row],[OD]]*Mecze[[#This Row],[%OU]],0)</f>
        <v>6</v>
      </c>
      <c r="AD2932" s="36" t="s">
        <v>174</v>
      </c>
      <c r="AE2932" s="36">
        <v>165</v>
      </c>
      <c r="AF2932" s="71">
        <v>3.9</v>
      </c>
      <c r="AG2932" s="37">
        <v>0</v>
      </c>
      <c r="AH2932" s="37">
        <v>0</v>
      </c>
      <c r="AI2932" s="37">
        <v>97</v>
      </c>
      <c r="AJ2932" s="37">
        <v>1</v>
      </c>
      <c r="AK2932" s="37" t="str">
        <f>VLOOKUP(Mecze[[#This Row],[Match ID]],Meczusie[Mecz]:Meczusie[RodzajMeczu],2,FALSE)</f>
        <v>Puchar</v>
      </c>
    </row>
    <row r="2933" spans="1:37" x14ac:dyDescent="0.25">
      <c r="A2933" s="76">
        <v>4</v>
      </c>
      <c r="B2933" s="3" t="s">
        <v>360</v>
      </c>
      <c r="C2933" s="2" t="s">
        <v>157</v>
      </c>
      <c r="D2933" s="1">
        <v>0</v>
      </c>
      <c r="E2933" s="1">
        <v>0</v>
      </c>
      <c r="F2933" s="1">
        <v>0</v>
      </c>
      <c r="G2933" s="1">
        <v>2</v>
      </c>
      <c r="H2933" s="4">
        <v>0.5</v>
      </c>
      <c r="I2933" s="1">
        <v>2</v>
      </c>
      <c r="J2933" s="4">
        <v>1</v>
      </c>
      <c r="K2933" s="1">
        <v>0</v>
      </c>
      <c r="L2933" s="1">
        <v>0</v>
      </c>
      <c r="M2933" s="32">
        <f>IF(Mecze[[#This Row],[PR]]=0,0,Mecze[[#This Row],[PR]]/Mecze[[#This Row],[CZAS]])</f>
        <v>0</v>
      </c>
      <c r="N2933" s="32">
        <f>IF(Mecze[[#This Row],[OU]]=0,0,Mecze[[#This Row],[OU]]/Mecze[[#This Row],[CZAS]])</f>
        <v>2.0618556701030927E-2</v>
      </c>
      <c r="O2933" s="32">
        <f>IF(Mecze[[#This Row],[PC]]=0,0,Mecze[[#This Row],[PC]]/Mecze[[#This Row],[CZAS]])</f>
        <v>1.0309278350515464E-2</v>
      </c>
      <c r="P2933" s="32">
        <f>IF(Mecze[[#This Row],[SC]]=0,0,Mecze[[#This Row],[SC]]/Mecze[[#This Row],[CZAS]])</f>
        <v>0</v>
      </c>
      <c r="Q2933" s="32">
        <f>IF(Mecze[[#This Row],[OB]]=0,0,Mecze[[#This Row],[OB]]/Mecze[[#This Row],[CZAS]])</f>
        <v>0</v>
      </c>
      <c r="R2933" s="32">
        <f>IF(Mecze[[#This Row],[BR]]=0,0,Mecze[[#This Row],[BR]]/Mecze[[#This Row],[CZAS]])</f>
        <v>0</v>
      </c>
      <c r="S2933" s="44">
        <f>IF(Mecze[[#This Row],[Role]]="BR",SUMPRODUCT(Mecze[[#This Row],[/PR:90]:[/BR:90]],Brudnopis!$E$23:$J$23),0)</f>
        <v>0</v>
      </c>
      <c r="T2933" s="44">
        <f>IF(Mecze[[#This Row],[Role]]&lt;&gt;"BR",SUMPRODUCT(Mecze[[#This Row],[/PR:90]:[/BR:90]],Brudnopis!$E$24:$J$24),0)</f>
        <v>4.1237113402061855E-2</v>
      </c>
      <c r="U2933" s="44">
        <f>IF(Mecze[[#This Row],[Role]]&lt;&gt;"BR",SUMPRODUCT(Mecze[[#This Row],[/PR:90]:[/BR:90]],Brudnopis!$E$25:$J$25),0)</f>
        <v>3.608247422680412E-2</v>
      </c>
      <c r="V2933" s="44">
        <f>IF(Mecze[[#This Row],[Role]]&lt;&gt;"BR",SUMPRODUCT(Mecze[[#This Row],[/PR:90]:[/BR:90]],Brudnopis!$E$26:$J$26),0)</f>
        <v>3.0927835051546393E-2</v>
      </c>
      <c r="W2933" s="44">
        <f>IF(Mecze[[#This Row],[Role]]&lt;&gt;"BR",SUMPRODUCT(Mecze[[#This Row],[/PR:90]:[/BR:90]],Brudnopis!$E$27:$J$27),0)</f>
        <v>3.0927835051546393E-2</v>
      </c>
      <c r="X2933" s="44">
        <f>IF(Mecze[[#This Row],[Role]]&lt;&gt;"BR",SUMPRODUCT(Mecze[[#This Row],[/PR:90]:[/BR:90]],Brudnopis!$E$28:$J$28),0)</f>
        <v>1.0309278350515464E-2</v>
      </c>
      <c r="Y2933" s="35">
        <f>IF(Mecze[[#This Row],[Role]]="BR",Mecze[[#This Row],[/OB:90]]+Mecze[[#This Row],[/PC:90]],SUM(Mecze[[#This Row],[/PR:90]:[/BR:90]]))</f>
        <v>3.0927835051546393E-2</v>
      </c>
      <c r="Z2933" s="35">
        <f>IF(Mecze[[#This Row],[KC]]=0,SUM(Mecze[[#This Row],[/BRI]:[/NPI]]),SUM(Mecze[[#This Row],[/BRI]:[/NPI]])*0.6)</f>
        <v>0.14948453608247422</v>
      </c>
      <c r="AA2933" s="10">
        <f>IFERROR(Mecze[[#This Row],[BR]]/Mecze[[#This Row],[ST]],0)</f>
        <v>0</v>
      </c>
      <c r="AB2933">
        <f>ROUND(Mecze[[#This Row],[PD]]*Mecze[[#This Row],[%PC]],0)</f>
        <v>1</v>
      </c>
      <c r="AC2933">
        <f>ROUND(Mecze[[#This Row],[OD]]*Mecze[[#This Row],[%OU]],0)</f>
        <v>2</v>
      </c>
      <c r="AD2933" s="36" t="s">
        <v>175</v>
      </c>
      <c r="AE2933" s="36">
        <v>165</v>
      </c>
      <c r="AF2933" s="71">
        <v>-0.63</v>
      </c>
      <c r="AG2933" s="37">
        <v>1</v>
      </c>
      <c r="AH2933" s="37">
        <v>0</v>
      </c>
      <c r="AI2933" s="37">
        <v>97</v>
      </c>
      <c r="AJ2933" s="37">
        <v>1</v>
      </c>
      <c r="AK2933" s="37" t="str">
        <f>VLOOKUP(Mecze[[#This Row],[Match ID]],Meczusie[Mecz]:Meczusie[RodzajMeczu],2,FALSE)</f>
        <v>Puchar</v>
      </c>
    </row>
    <row r="2934" spans="1:37" x14ac:dyDescent="0.25">
      <c r="A2934" s="76">
        <v>6</v>
      </c>
      <c r="B2934" s="3" t="s">
        <v>159</v>
      </c>
      <c r="C2934" s="2" t="s">
        <v>160</v>
      </c>
      <c r="D2934" s="1">
        <v>0</v>
      </c>
      <c r="E2934" s="1">
        <v>0</v>
      </c>
      <c r="F2934" s="1">
        <v>0</v>
      </c>
      <c r="G2934" s="1">
        <v>8</v>
      </c>
      <c r="H2934" s="4">
        <v>0.38</v>
      </c>
      <c r="I2934" s="1">
        <v>4</v>
      </c>
      <c r="J2934" s="4">
        <v>0.25</v>
      </c>
      <c r="K2934" s="1">
        <v>0</v>
      </c>
      <c r="L2934" s="1">
        <v>2</v>
      </c>
      <c r="M2934" s="32">
        <f>IF(Mecze[[#This Row],[PR]]=0,0,Mecze[[#This Row],[PR]]/Mecze[[#This Row],[CZAS]])</f>
        <v>2.0618556701030927E-2</v>
      </c>
      <c r="N2934" s="32">
        <f>IF(Mecze[[#This Row],[OU]]=0,0,Mecze[[#This Row],[OU]]/Mecze[[#This Row],[CZAS]])</f>
        <v>1.0309278350515464E-2</v>
      </c>
      <c r="O2934" s="32">
        <f>IF(Mecze[[#This Row],[PC]]=0,0,Mecze[[#This Row],[PC]]/Mecze[[#This Row],[CZAS]])</f>
        <v>3.0927835051546393E-2</v>
      </c>
      <c r="P2934" s="32">
        <f>IF(Mecze[[#This Row],[SC]]=0,0,Mecze[[#This Row],[SC]]/Mecze[[#This Row],[CZAS]])</f>
        <v>0</v>
      </c>
      <c r="Q2934" s="32">
        <f>IF(Mecze[[#This Row],[OB]]=0,0,Mecze[[#This Row],[OB]]/Mecze[[#This Row],[CZAS]])</f>
        <v>0</v>
      </c>
      <c r="R2934" s="32">
        <f>IF(Mecze[[#This Row],[BR]]=0,0,Mecze[[#This Row],[BR]]/Mecze[[#This Row],[CZAS]])</f>
        <v>0</v>
      </c>
      <c r="S2934" s="44">
        <f>IF(Mecze[[#This Row],[Role]]="BR",SUMPRODUCT(Mecze[[#This Row],[/PR:90]:[/BR:90]],Brudnopis!$E$23:$J$23),0)</f>
        <v>0</v>
      </c>
      <c r="T2934" s="44">
        <f>IF(Mecze[[#This Row],[Role]]&lt;&gt;"BR",SUMPRODUCT(Mecze[[#This Row],[/PR:90]:[/BR:90]],Brudnopis!$E$24:$J$24),0)</f>
        <v>6.7010309278350513E-2</v>
      </c>
      <c r="U2934" s="44">
        <f>IF(Mecze[[#This Row],[Role]]&lt;&gt;"BR",SUMPRODUCT(Mecze[[#This Row],[/PR:90]:[/BR:90]],Brudnopis!$E$25:$J$25),0)</f>
        <v>7.7319587628865982E-2</v>
      </c>
      <c r="V2934" s="44">
        <f>IF(Mecze[[#This Row],[Role]]&lt;&gt;"BR",SUMPRODUCT(Mecze[[#This Row],[/PR:90]:[/BR:90]],Brudnopis!$E$26:$J$26),0)</f>
        <v>6.1855670103092786E-2</v>
      </c>
      <c r="W2934" s="44">
        <f>IF(Mecze[[#This Row],[Role]]&lt;&gt;"BR",SUMPRODUCT(Mecze[[#This Row],[/PR:90]:[/BR:90]],Brudnopis!$E$27:$J$27),0)</f>
        <v>6.9587628865979384E-2</v>
      </c>
      <c r="X2934" s="44">
        <f>IF(Mecze[[#This Row],[Role]]&lt;&gt;"BR",SUMPRODUCT(Mecze[[#This Row],[/PR:90]:[/BR:90]],Brudnopis!$E$28:$J$28),0)</f>
        <v>3.0927835051546393E-2</v>
      </c>
      <c r="Y2934" s="35">
        <f>IF(Mecze[[#This Row],[Role]]="BR",Mecze[[#This Row],[/OB:90]]+Mecze[[#This Row],[/PC:90]],SUM(Mecze[[#This Row],[/PR:90]:[/BR:90]]))</f>
        <v>6.1855670103092786E-2</v>
      </c>
      <c r="Z2934" s="35">
        <f>IF(Mecze[[#This Row],[KC]]=0,SUM(Mecze[[#This Row],[/BRI]:[/NPI]]),SUM(Mecze[[#This Row],[/BRI]:[/NPI]])*0.6)</f>
        <v>0.30670103092783507</v>
      </c>
      <c r="AA2934" s="10">
        <f>IFERROR(Mecze[[#This Row],[BR]]/Mecze[[#This Row],[ST]],0)</f>
        <v>0</v>
      </c>
      <c r="AB2934">
        <f>ROUND(Mecze[[#This Row],[PD]]*Mecze[[#This Row],[%PC]],0)</f>
        <v>3</v>
      </c>
      <c r="AC2934">
        <f>ROUND(Mecze[[#This Row],[OD]]*Mecze[[#This Row],[%OU]],0)</f>
        <v>1</v>
      </c>
      <c r="AD2934" s="36" t="s">
        <v>41</v>
      </c>
      <c r="AE2934" s="36">
        <v>165</v>
      </c>
      <c r="AF2934" s="71">
        <v>3.12</v>
      </c>
      <c r="AG2934" s="37">
        <v>0</v>
      </c>
      <c r="AH2934" s="37">
        <v>0</v>
      </c>
      <c r="AI2934" s="37">
        <v>97</v>
      </c>
      <c r="AJ2934" s="37">
        <v>1</v>
      </c>
      <c r="AK2934" s="37" t="str">
        <f>VLOOKUP(Mecze[[#This Row],[Match ID]],Meczusie[Mecz]:Meczusie[RodzajMeczu],2,FALSE)</f>
        <v>Puchar</v>
      </c>
    </row>
    <row r="2935" spans="1:37" x14ac:dyDescent="0.25">
      <c r="A2935" s="76">
        <v>15</v>
      </c>
      <c r="B2935" s="3" t="s">
        <v>170</v>
      </c>
      <c r="C2935" s="2" t="s">
        <v>160</v>
      </c>
      <c r="D2935" s="1">
        <v>0</v>
      </c>
      <c r="E2935" s="1">
        <v>0</v>
      </c>
      <c r="F2935" s="1">
        <v>0</v>
      </c>
      <c r="G2935" s="1">
        <v>8</v>
      </c>
      <c r="H2935" s="4">
        <v>0.13</v>
      </c>
      <c r="I2935" s="1">
        <v>5</v>
      </c>
      <c r="J2935" s="4">
        <v>0.4</v>
      </c>
      <c r="K2935" s="1">
        <v>0</v>
      </c>
      <c r="L2935" s="1">
        <v>4</v>
      </c>
      <c r="M2935" s="32">
        <f>IF(Mecze[[#This Row],[PR]]=0,0,Mecze[[#This Row],[PR]]/Mecze[[#This Row],[CZAS]])</f>
        <v>4.1237113402061855E-2</v>
      </c>
      <c r="N2935" s="32">
        <f>IF(Mecze[[#This Row],[OU]]=0,0,Mecze[[#This Row],[OU]]/Mecze[[#This Row],[CZAS]])</f>
        <v>2.0618556701030927E-2</v>
      </c>
      <c r="O2935" s="32">
        <f>IF(Mecze[[#This Row],[PC]]=0,0,Mecze[[#This Row],[PC]]/Mecze[[#This Row],[CZAS]])</f>
        <v>1.0309278350515464E-2</v>
      </c>
      <c r="P2935" s="32">
        <f>IF(Mecze[[#This Row],[SC]]=0,0,Mecze[[#This Row],[SC]]/Mecze[[#This Row],[CZAS]])</f>
        <v>0</v>
      </c>
      <c r="Q2935" s="32">
        <f>IF(Mecze[[#This Row],[OB]]=0,0,Mecze[[#This Row],[OB]]/Mecze[[#This Row],[CZAS]])</f>
        <v>0</v>
      </c>
      <c r="R2935" s="32">
        <f>IF(Mecze[[#This Row],[BR]]=0,0,Mecze[[#This Row],[BR]]/Mecze[[#This Row],[CZAS]])</f>
        <v>0</v>
      </c>
      <c r="S2935" s="44">
        <f>IF(Mecze[[#This Row],[Role]]="BR",SUMPRODUCT(Mecze[[#This Row],[/PR:90]:[/BR:90]],Brudnopis!$E$23:$J$23),0)</f>
        <v>0</v>
      </c>
      <c r="T2935" s="44">
        <f>IF(Mecze[[#This Row],[Role]]&lt;&gt;"BR",SUMPRODUCT(Mecze[[#This Row],[/PR:90]:[/BR:90]],Brudnopis!$E$24:$J$24),0)</f>
        <v>8.247422680412371E-2</v>
      </c>
      <c r="U2935" s="44">
        <f>IF(Mecze[[#This Row],[Role]]&lt;&gt;"BR",SUMPRODUCT(Mecze[[#This Row],[/PR:90]:[/BR:90]],Brudnopis!$E$25:$J$25),0)</f>
        <v>7.7319587628865982E-2</v>
      </c>
      <c r="V2935" s="44">
        <f>IF(Mecze[[#This Row],[Role]]&lt;&gt;"BR",SUMPRODUCT(Mecze[[#This Row],[/PR:90]:[/BR:90]],Brudnopis!$E$26:$J$26),0)</f>
        <v>7.2164948453608255E-2</v>
      </c>
      <c r="W2935" s="44">
        <f>IF(Mecze[[#This Row],[Role]]&lt;&gt;"BR",SUMPRODUCT(Mecze[[#This Row],[/PR:90]:[/BR:90]],Brudnopis!$E$27:$J$27),0)</f>
        <v>6.1855670103092786E-2</v>
      </c>
      <c r="X2935" s="44">
        <f>IF(Mecze[[#This Row],[Role]]&lt;&gt;"BR",SUMPRODUCT(Mecze[[#This Row],[/PR:90]:[/BR:90]],Brudnopis!$E$28:$J$28),0)</f>
        <v>1.0309278350515464E-2</v>
      </c>
      <c r="Y2935" s="35">
        <f>IF(Mecze[[#This Row],[Role]]="BR",Mecze[[#This Row],[/OB:90]]+Mecze[[#This Row],[/PC:90]],SUM(Mecze[[#This Row],[/PR:90]:[/BR:90]]))</f>
        <v>7.2164948453608255E-2</v>
      </c>
      <c r="Z2935" s="35">
        <f>IF(Mecze[[#This Row],[KC]]=0,SUM(Mecze[[#This Row],[/BRI]:[/NPI]]),SUM(Mecze[[#This Row],[/BRI]:[/NPI]])*0.6)</f>
        <v>0.30412371134020622</v>
      </c>
      <c r="AA2935" s="10">
        <f>IFERROR(Mecze[[#This Row],[BR]]/Mecze[[#This Row],[ST]],0)</f>
        <v>0</v>
      </c>
      <c r="AB2935">
        <f>ROUND(Mecze[[#This Row],[PD]]*Mecze[[#This Row],[%PC]],0)</f>
        <v>1</v>
      </c>
      <c r="AC2935">
        <f>ROUND(Mecze[[#This Row],[OD]]*Mecze[[#This Row],[%OU]],0)</f>
        <v>2</v>
      </c>
      <c r="AD2935" s="36" t="s">
        <v>41</v>
      </c>
      <c r="AE2935" s="36">
        <v>165</v>
      </c>
      <c r="AF2935" s="71">
        <v>3.54</v>
      </c>
      <c r="AG2935" s="37">
        <v>0</v>
      </c>
      <c r="AH2935" s="37">
        <v>0</v>
      </c>
      <c r="AI2935" s="37">
        <v>97</v>
      </c>
      <c r="AJ2935" s="37">
        <v>1</v>
      </c>
      <c r="AK2935" s="37" t="str">
        <f>VLOOKUP(Mecze[[#This Row],[Match ID]],Meczusie[Mecz]:Meczusie[RodzajMeczu],2,FALSE)</f>
        <v>Puchar</v>
      </c>
    </row>
    <row r="2936" spans="1:37" x14ac:dyDescent="0.25">
      <c r="A2936" s="76">
        <v>14</v>
      </c>
      <c r="B2936" s="3" t="s">
        <v>164</v>
      </c>
      <c r="C2936" s="2" t="s">
        <v>160</v>
      </c>
      <c r="D2936" s="1">
        <v>0</v>
      </c>
      <c r="E2936" s="1">
        <v>1</v>
      </c>
      <c r="F2936" s="1">
        <v>1</v>
      </c>
      <c r="G2936" s="1">
        <v>7</v>
      </c>
      <c r="H2936" s="4">
        <v>0.71</v>
      </c>
      <c r="I2936" s="1">
        <v>9</v>
      </c>
      <c r="J2936" s="4">
        <v>0.44</v>
      </c>
      <c r="K2936" s="1">
        <v>0</v>
      </c>
      <c r="L2936" s="1">
        <v>1</v>
      </c>
      <c r="M2936" s="32">
        <f>IF(Mecze[[#This Row],[PR]]=0,0,Mecze[[#This Row],[PR]]/Mecze[[#This Row],[CZAS]])</f>
        <v>1.0309278350515464E-2</v>
      </c>
      <c r="N2936" s="32">
        <f>IF(Mecze[[#This Row],[OU]]=0,0,Mecze[[#This Row],[OU]]/Mecze[[#This Row],[CZAS]])</f>
        <v>4.1237113402061855E-2</v>
      </c>
      <c r="O2936" s="32">
        <f>IF(Mecze[[#This Row],[PC]]=0,0,Mecze[[#This Row],[PC]]/Mecze[[#This Row],[CZAS]])</f>
        <v>5.1546391752577317E-2</v>
      </c>
      <c r="P2936" s="32">
        <f>IF(Mecze[[#This Row],[SC]]=0,0,Mecze[[#This Row],[SC]]/Mecze[[#This Row],[CZAS]])</f>
        <v>1.0309278350515464E-2</v>
      </c>
      <c r="Q2936" s="32">
        <f>IF(Mecze[[#This Row],[OB]]=0,0,Mecze[[#This Row],[OB]]/Mecze[[#This Row],[CZAS]])</f>
        <v>0</v>
      </c>
      <c r="R2936" s="32">
        <f>IF(Mecze[[#This Row],[BR]]=0,0,Mecze[[#This Row],[BR]]/Mecze[[#This Row],[CZAS]])</f>
        <v>0</v>
      </c>
      <c r="S2936" s="44">
        <f>IF(Mecze[[#This Row],[Role]]="BR",SUMPRODUCT(Mecze[[#This Row],[/PR:90]:[/BR:90]],Brudnopis!$E$23:$J$23),0)</f>
        <v>0</v>
      </c>
      <c r="T2936" s="44">
        <f>IF(Mecze[[#This Row],[Role]]&lt;&gt;"BR",SUMPRODUCT(Mecze[[#This Row],[/PR:90]:[/BR:90]],Brudnopis!$E$24:$J$24),0)</f>
        <v>0.13402061855670103</v>
      </c>
      <c r="U2936" s="44">
        <f>IF(Mecze[[#This Row],[Role]]&lt;&gt;"BR",SUMPRODUCT(Mecze[[#This Row],[/PR:90]:[/BR:90]],Brudnopis!$E$25:$J$25),0)</f>
        <v>0.13917525773195874</v>
      </c>
      <c r="V2936" s="44">
        <f>IF(Mecze[[#This Row],[Role]]&lt;&gt;"BR",SUMPRODUCT(Mecze[[#This Row],[/PR:90]:[/BR:90]],Brudnopis!$E$26:$J$26),0)</f>
        <v>0.1134020618556701</v>
      </c>
      <c r="W2936" s="44">
        <f>IF(Mecze[[#This Row],[Role]]&lt;&gt;"BR",SUMPRODUCT(Mecze[[#This Row],[/PR:90]:[/BR:90]],Brudnopis!$E$27:$J$27),0)</f>
        <v>0.12628865979381443</v>
      </c>
      <c r="X2936" s="44">
        <f>IF(Mecze[[#This Row],[Role]]&lt;&gt;"BR",SUMPRODUCT(Mecze[[#This Row],[/PR:90]:[/BR:90]],Brudnopis!$E$28:$J$28),0)</f>
        <v>7.2164948453608241E-2</v>
      </c>
      <c r="Y2936" s="35">
        <f>IF(Mecze[[#This Row],[Role]]="BR",Mecze[[#This Row],[/OB:90]]+Mecze[[#This Row],[/PC:90]],SUM(Mecze[[#This Row],[/PR:90]:[/BR:90]]))</f>
        <v>0.1134020618556701</v>
      </c>
      <c r="Z2936" s="35">
        <f>IF(Mecze[[#This Row],[KC]]=0,SUM(Mecze[[#This Row],[/BRI]:[/NPI]]),SUM(Mecze[[#This Row],[/BRI]:[/NPI]])*0.6)</f>
        <v>0.5850515463917525</v>
      </c>
      <c r="AA2936" s="10">
        <f>IFERROR(Mecze[[#This Row],[BR]]/Mecze[[#This Row],[ST]],0)</f>
        <v>0</v>
      </c>
      <c r="AB2936">
        <f>ROUND(Mecze[[#This Row],[PD]]*Mecze[[#This Row],[%PC]],0)</f>
        <v>5</v>
      </c>
      <c r="AC2936">
        <f>ROUND(Mecze[[#This Row],[OD]]*Mecze[[#This Row],[%OU]],0)</f>
        <v>4</v>
      </c>
      <c r="AD2936" s="36" t="s">
        <v>67</v>
      </c>
      <c r="AE2936" s="36">
        <v>165</v>
      </c>
      <c r="AF2936" s="71">
        <v>3.24</v>
      </c>
      <c r="AG2936" s="37">
        <v>1</v>
      </c>
      <c r="AH2936" s="37">
        <v>0</v>
      </c>
      <c r="AI2936" s="37">
        <v>97</v>
      </c>
      <c r="AJ2936" s="37">
        <v>1</v>
      </c>
      <c r="AK2936" s="37" t="str">
        <f>VLOOKUP(Mecze[[#This Row],[Match ID]],Meczusie[Mecz]:Meczusie[RodzajMeczu],2,FALSE)</f>
        <v>Puchar</v>
      </c>
    </row>
    <row r="2937" spans="1:37" x14ac:dyDescent="0.25">
      <c r="A2937" s="76">
        <v>19</v>
      </c>
      <c r="B2937" s="3" t="s">
        <v>166</v>
      </c>
      <c r="C2937" s="2" t="s">
        <v>165</v>
      </c>
      <c r="D2937" s="1">
        <v>0</v>
      </c>
      <c r="E2937" s="1">
        <v>1</v>
      </c>
      <c r="F2937" s="1">
        <v>0</v>
      </c>
      <c r="G2937" s="1">
        <v>5</v>
      </c>
      <c r="H2937" s="4">
        <v>0.6</v>
      </c>
      <c r="I2937" s="1">
        <v>8</v>
      </c>
      <c r="J2937" s="4">
        <v>0.13</v>
      </c>
      <c r="K2937" s="1">
        <v>0</v>
      </c>
      <c r="L2937" s="1">
        <v>1</v>
      </c>
      <c r="M2937" s="32">
        <f>IF(Mecze[[#This Row],[PR]]=0,0,Mecze[[#This Row],[PR]]/Mecze[[#This Row],[CZAS]])</f>
        <v>1.0309278350515464E-2</v>
      </c>
      <c r="N2937" s="32">
        <f>IF(Mecze[[#This Row],[OU]]=0,0,Mecze[[#This Row],[OU]]/Mecze[[#This Row],[CZAS]])</f>
        <v>1.0309278350515464E-2</v>
      </c>
      <c r="O2937" s="32">
        <f>IF(Mecze[[#This Row],[PC]]=0,0,Mecze[[#This Row],[PC]]/Mecze[[#This Row],[CZAS]])</f>
        <v>3.0927835051546393E-2</v>
      </c>
      <c r="P2937" s="32">
        <f>IF(Mecze[[#This Row],[SC]]=0,0,Mecze[[#This Row],[SC]]/Mecze[[#This Row],[CZAS]])</f>
        <v>0</v>
      </c>
      <c r="Q2937" s="32">
        <f>IF(Mecze[[#This Row],[OB]]=0,0,Mecze[[#This Row],[OB]]/Mecze[[#This Row],[CZAS]])</f>
        <v>0</v>
      </c>
      <c r="R2937" s="32">
        <f>IF(Mecze[[#This Row],[BR]]=0,0,Mecze[[#This Row],[BR]]/Mecze[[#This Row],[CZAS]])</f>
        <v>0</v>
      </c>
      <c r="S2937" s="44">
        <f>IF(Mecze[[#This Row],[Role]]="BR",SUMPRODUCT(Mecze[[#This Row],[/PR:90]:[/BR:90]],Brudnopis!$E$23:$J$23),0)</f>
        <v>0</v>
      </c>
      <c r="T2937" s="44">
        <f>IF(Mecze[[#This Row],[Role]]&lt;&gt;"BR",SUMPRODUCT(Mecze[[#This Row],[/PR:90]:[/BR:90]],Brudnopis!$E$24:$J$24),0)</f>
        <v>5.6701030927835051E-2</v>
      </c>
      <c r="U2937" s="44">
        <f>IF(Mecze[[#This Row],[Role]]&lt;&gt;"BR",SUMPRODUCT(Mecze[[#This Row],[/PR:90]:[/BR:90]],Brudnopis!$E$25:$J$25),0)</f>
        <v>6.7010309278350513E-2</v>
      </c>
      <c r="V2937" s="44">
        <f>IF(Mecze[[#This Row],[Role]]&lt;&gt;"BR",SUMPRODUCT(Mecze[[#This Row],[/PR:90]:[/BR:90]],Brudnopis!$E$26:$J$26),0)</f>
        <v>5.1546391752577317E-2</v>
      </c>
      <c r="W2937" s="44">
        <f>IF(Mecze[[#This Row],[Role]]&lt;&gt;"BR",SUMPRODUCT(Mecze[[#This Row],[/PR:90]:[/BR:90]],Brudnopis!$E$27:$J$27),0)</f>
        <v>6.1855670103092786E-2</v>
      </c>
      <c r="X2937" s="44">
        <f>IF(Mecze[[#This Row],[Role]]&lt;&gt;"BR",SUMPRODUCT(Mecze[[#This Row],[/PR:90]:[/BR:90]],Brudnopis!$E$28:$J$28),0)</f>
        <v>3.0927835051546393E-2</v>
      </c>
      <c r="Y2937" s="35">
        <f>IF(Mecze[[#This Row],[Role]]="BR",Mecze[[#This Row],[/OB:90]]+Mecze[[#This Row],[/PC:90]],SUM(Mecze[[#This Row],[/PR:90]:[/BR:90]]))</f>
        <v>5.1546391752577317E-2</v>
      </c>
      <c r="Z2937" s="35">
        <f>IF(Mecze[[#This Row],[KC]]=0,SUM(Mecze[[#This Row],[/BRI]:[/NPI]]),SUM(Mecze[[#This Row],[/BRI]:[/NPI]])*0.6)</f>
        <v>0.26804123711340205</v>
      </c>
      <c r="AA2937" s="10">
        <f>IFERROR(Mecze[[#This Row],[BR]]/Mecze[[#This Row],[ST]],0)</f>
        <v>0</v>
      </c>
      <c r="AB2937">
        <f>ROUND(Mecze[[#This Row],[PD]]*Mecze[[#This Row],[%PC]],0)</f>
        <v>3</v>
      </c>
      <c r="AC2937">
        <f>ROUND(Mecze[[#This Row],[OD]]*Mecze[[#This Row],[%OU]],0)</f>
        <v>1</v>
      </c>
      <c r="AD2937" s="36" t="s">
        <v>272</v>
      </c>
      <c r="AE2937" s="36">
        <v>165</v>
      </c>
      <c r="AF2937" s="71">
        <v>4.04</v>
      </c>
      <c r="AG2937" s="37">
        <v>0</v>
      </c>
      <c r="AH2937" s="37">
        <v>0</v>
      </c>
      <c r="AI2937" s="37">
        <v>97</v>
      </c>
      <c r="AJ2937" s="37">
        <v>1</v>
      </c>
      <c r="AK2937" s="37" t="str">
        <f>VLOOKUP(Mecze[[#This Row],[Match ID]],Meczusie[Mecz]:Meczusie[RodzajMeczu],2,FALSE)</f>
        <v>Puchar</v>
      </c>
    </row>
    <row r="2938" spans="1:37" x14ac:dyDescent="0.25">
      <c r="A2938" s="76">
        <v>13</v>
      </c>
      <c r="B2938" s="3" t="s">
        <v>162</v>
      </c>
      <c r="C2938" s="2" t="s">
        <v>165</v>
      </c>
      <c r="D2938" s="1">
        <v>0</v>
      </c>
      <c r="E2938" s="1">
        <v>0</v>
      </c>
      <c r="F2938" s="1">
        <v>0</v>
      </c>
      <c r="G2938" s="1">
        <v>4</v>
      </c>
      <c r="H2938" s="4">
        <v>0.75</v>
      </c>
      <c r="I2938" s="1">
        <v>1</v>
      </c>
      <c r="J2938" s="4">
        <v>0</v>
      </c>
      <c r="K2938" s="1">
        <v>0</v>
      </c>
      <c r="L2938" s="1">
        <v>0</v>
      </c>
      <c r="M2938" s="32">
        <f>IF(Mecze[[#This Row],[PR]]=0,0,Mecze[[#This Row],[PR]]/Mecze[[#This Row],[CZAS]])</f>
        <v>0</v>
      </c>
      <c r="N2938" s="32">
        <f>IF(Mecze[[#This Row],[OU]]=0,0,Mecze[[#This Row],[OU]]/Mecze[[#This Row],[CZAS]])</f>
        <v>0</v>
      </c>
      <c r="O2938" s="32">
        <f>IF(Mecze[[#This Row],[PC]]=0,0,Mecze[[#This Row],[PC]]/Mecze[[#This Row],[CZAS]])</f>
        <v>3.0927835051546393E-2</v>
      </c>
      <c r="P2938" s="32">
        <f>IF(Mecze[[#This Row],[SC]]=0,0,Mecze[[#This Row],[SC]]/Mecze[[#This Row],[CZAS]])</f>
        <v>0</v>
      </c>
      <c r="Q2938" s="32">
        <f>IF(Mecze[[#This Row],[OB]]=0,0,Mecze[[#This Row],[OB]]/Mecze[[#This Row],[CZAS]])</f>
        <v>0</v>
      </c>
      <c r="R2938" s="32">
        <f>IF(Mecze[[#This Row],[BR]]=0,0,Mecze[[#This Row],[BR]]/Mecze[[#This Row],[CZAS]])</f>
        <v>0</v>
      </c>
      <c r="S2938" s="44">
        <f>IF(Mecze[[#This Row],[Role]]="BR",SUMPRODUCT(Mecze[[#This Row],[/PR:90]:[/BR:90]],Brudnopis!$E$23:$J$23),0)</f>
        <v>0</v>
      </c>
      <c r="T2938" s="44">
        <f>IF(Mecze[[#This Row],[Role]]&lt;&gt;"BR",SUMPRODUCT(Mecze[[#This Row],[/PR:90]:[/BR:90]],Brudnopis!$E$24:$J$24),0)</f>
        <v>3.0927835051546393E-2</v>
      </c>
      <c r="U2938" s="44">
        <f>IF(Mecze[[#This Row],[Role]]&lt;&gt;"BR",SUMPRODUCT(Mecze[[#This Row],[/PR:90]:[/BR:90]],Brudnopis!$E$25:$J$25),0)</f>
        <v>4.6391752577319589E-2</v>
      </c>
      <c r="V2938" s="44">
        <f>IF(Mecze[[#This Row],[Role]]&lt;&gt;"BR",SUMPRODUCT(Mecze[[#This Row],[/PR:90]:[/BR:90]],Brudnopis!$E$26:$J$26),0)</f>
        <v>3.0927835051546393E-2</v>
      </c>
      <c r="W2938" s="44">
        <f>IF(Mecze[[#This Row],[Role]]&lt;&gt;"BR",SUMPRODUCT(Mecze[[#This Row],[/PR:90]:[/BR:90]],Brudnopis!$E$27:$J$27),0)</f>
        <v>4.6391752577319589E-2</v>
      </c>
      <c r="X2938" s="44">
        <f>IF(Mecze[[#This Row],[Role]]&lt;&gt;"BR",SUMPRODUCT(Mecze[[#This Row],[/PR:90]:[/BR:90]],Brudnopis!$E$28:$J$28),0)</f>
        <v>3.0927835051546393E-2</v>
      </c>
      <c r="Y2938" s="35">
        <f>IF(Mecze[[#This Row],[Role]]="BR",Mecze[[#This Row],[/OB:90]]+Mecze[[#This Row],[/PC:90]],SUM(Mecze[[#This Row],[/PR:90]:[/BR:90]]))</f>
        <v>3.0927835051546393E-2</v>
      </c>
      <c r="Z2938" s="35">
        <f>IF(Mecze[[#This Row],[KC]]=0,SUM(Mecze[[#This Row],[/BRI]:[/NPI]]),SUM(Mecze[[#This Row],[/BRI]:[/NPI]])*0.6)</f>
        <v>0.18556701030927836</v>
      </c>
      <c r="AA2938" s="10">
        <f>IFERROR(Mecze[[#This Row],[BR]]/Mecze[[#This Row],[ST]],0)</f>
        <v>0</v>
      </c>
      <c r="AB2938">
        <f>ROUND(Mecze[[#This Row],[PD]]*Mecze[[#This Row],[%PC]],0)</f>
        <v>3</v>
      </c>
      <c r="AC2938">
        <f>ROUND(Mecze[[#This Row],[OD]]*Mecze[[#This Row],[%OU]],0)</f>
        <v>0</v>
      </c>
      <c r="AD2938" s="36" t="s">
        <v>355</v>
      </c>
      <c r="AE2938" s="36">
        <v>165</v>
      </c>
      <c r="AF2938" s="71">
        <v>2.71</v>
      </c>
      <c r="AG2938" s="37">
        <v>0</v>
      </c>
      <c r="AH2938" s="37">
        <v>0</v>
      </c>
      <c r="AI2938" s="37">
        <v>97</v>
      </c>
      <c r="AJ2938" s="37">
        <v>1</v>
      </c>
      <c r="AK2938" s="37" t="str">
        <f>VLOOKUP(Mecze[[#This Row],[Match ID]],Meczusie[Mecz]:Meczusie[RodzajMeczu],2,FALSE)</f>
        <v>Puchar</v>
      </c>
    </row>
    <row r="2939" spans="1:37" x14ac:dyDescent="0.25">
      <c r="A2939" s="76">
        <v>9</v>
      </c>
      <c r="B2939" s="3" t="s">
        <v>411</v>
      </c>
      <c r="C2939" s="2" t="s">
        <v>165</v>
      </c>
      <c r="D2939" s="1">
        <v>0</v>
      </c>
      <c r="E2939" s="1">
        <v>4</v>
      </c>
      <c r="F2939" s="1">
        <v>2</v>
      </c>
      <c r="G2939" s="1">
        <v>4</v>
      </c>
      <c r="H2939" s="4">
        <v>1</v>
      </c>
      <c r="I2939" s="1">
        <v>2</v>
      </c>
      <c r="J2939" s="4">
        <v>0</v>
      </c>
      <c r="K2939" s="1">
        <v>0</v>
      </c>
      <c r="L2939" s="1">
        <v>3</v>
      </c>
      <c r="M2939" s="32">
        <f>IF(Mecze[[#This Row],[PR]]=0,0,Mecze[[#This Row],[PR]]/Mecze[[#This Row],[CZAS]])</f>
        <v>3.0927835051546393E-2</v>
      </c>
      <c r="N2939" s="32">
        <f>IF(Mecze[[#This Row],[OU]]=0,0,Mecze[[#This Row],[OU]]/Mecze[[#This Row],[CZAS]])</f>
        <v>0</v>
      </c>
      <c r="O2939" s="32">
        <f>IF(Mecze[[#This Row],[PC]]=0,0,Mecze[[#This Row],[PC]]/Mecze[[#This Row],[CZAS]])</f>
        <v>4.1237113402061855E-2</v>
      </c>
      <c r="P2939" s="32">
        <f>IF(Mecze[[#This Row],[SC]]=0,0,Mecze[[#This Row],[SC]]/Mecze[[#This Row],[CZAS]])</f>
        <v>2.0618556701030927E-2</v>
      </c>
      <c r="Q2939" s="32">
        <f>IF(Mecze[[#This Row],[OB]]=0,0,Mecze[[#This Row],[OB]]/Mecze[[#This Row],[CZAS]])</f>
        <v>0</v>
      </c>
      <c r="R2939" s="32">
        <f>IF(Mecze[[#This Row],[BR]]=0,0,Mecze[[#This Row],[BR]]/Mecze[[#This Row],[CZAS]])</f>
        <v>0</v>
      </c>
      <c r="S2939" s="44">
        <f>IF(Mecze[[#This Row],[Role]]="BR",SUMPRODUCT(Mecze[[#This Row],[/PR:90]:[/BR:90]],Brudnopis!$E$23:$J$23),0)</f>
        <v>0</v>
      </c>
      <c r="T2939" s="44">
        <f>IF(Mecze[[#This Row],[Role]]&lt;&gt;"BR",SUMPRODUCT(Mecze[[#This Row],[/PR:90]:[/BR:90]],Brudnopis!$E$24:$J$24),0)</f>
        <v>9.2783505154639165E-2</v>
      </c>
      <c r="U2939" s="44">
        <f>IF(Mecze[[#This Row],[Role]]&lt;&gt;"BR",SUMPRODUCT(Mecze[[#This Row],[/PR:90]:[/BR:90]],Brudnopis!$E$25:$J$25),0)</f>
        <v>0.1134020618556701</v>
      </c>
      <c r="V2939" s="44">
        <f>IF(Mecze[[#This Row],[Role]]&lt;&gt;"BR",SUMPRODUCT(Mecze[[#This Row],[/PR:90]:[/BR:90]],Brudnopis!$E$26:$J$26),0)</f>
        <v>9.2783505154639165E-2</v>
      </c>
      <c r="W2939" s="44">
        <f>IF(Mecze[[#This Row],[Role]]&lt;&gt;"BR",SUMPRODUCT(Mecze[[#This Row],[/PR:90]:[/BR:90]],Brudnopis!$E$27:$J$27),0)</f>
        <v>0.1056701030927835</v>
      </c>
      <c r="X2939" s="44">
        <f>IF(Mecze[[#This Row],[Role]]&lt;&gt;"BR",SUMPRODUCT(Mecze[[#This Row],[/PR:90]:[/BR:90]],Brudnopis!$E$28:$J$28),0)</f>
        <v>8.247422680412371E-2</v>
      </c>
      <c r="Y2939" s="35">
        <f>IF(Mecze[[#This Row],[Role]]="BR",Mecze[[#This Row],[/OB:90]]+Mecze[[#This Row],[/PC:90]],SUM(Mecze[[#This Row],[/PR:90]:[/BR:90]]))</f>
        <v>9.2783505154639165E-2</v>
      </c>
      <c r="Z2939" s="35">
        <f>IF(Mecze[[#This Row],[KC]]=0,SUM(Mecze[[#This Row],[/BRI]:[/NPI]]),SUM(Mecze[[#This Row],[/BRI]:[/NPI]])*0.6)</f>
        <v>0.48711340206185566</v>
      </c>
      <c r="AA2939" s="10">
        <f>IFERROR(Mecze[[#This Row],[BR]]/Mecze[[#This Row],[ST]],0)</f>
        <v>0</v>
      </c>
      <c r="AB2939">
        <f>ROUND(Mecze[[#This Row],[PD]]*Mecze[[#This Row],[%PC]],0)</f>
        <v>4</v>
      </c>
      <c r="AC2939">
        <f>ROUND(Mecze[[#This Row],[OD]]*Mecze[[#This Row],[%OU]],0)</f>
        <v>0</v>
      </c>
      <c r="AD2939" s="36" t="s">
        <v>46</v>
      </c>
      <c r="AE2939" s="36">
        <v>165</v>
      </c>
      <c r="AF2939" s="71">
        <v>3.15</v>
      </c>
      <c r="AG2939" s="37">
        <v>0</v>
      </c>
      <c r="AH2939" s="37">
        <v>0</v>
      </c>
      <c r="AI2939" s="37">
        <v>97</v>
      </c>
      <c r="AJ2939" s="37">
        <v>1</v>
      </c>
      <c r="AK2939" s="37" t="str">
        <f>VLOOKUP(Mecze[[#This Row],[Match ID]],Meczusie[Mecz]:Meczusie[RodzajMeczu],2,FALSE)</f>
        <v>Puchar</v>
      </c>
    </row>
    <row r="2940" spans="1:37" x14ac:dyDescent="0.25">
      <c r="A2940" s="76">
        <v>1</v>
      </c>
      <c r="B2940" s="3" t="s">
        <v>288</v>
      </c>
      <c r="C2940" s="2" t="s">
        <v>155</v>
      </c>
      <c r="D2940" s="1">
        <v>0</v>
      </c>
      <c r="E2940" s="1">
        <v>0</v>
      </c>
      <c r="F2940" s="1">
        <v>0</v>
      </c>
      <c r="G2940" s="1">
        <v>14</v>
      </c>
      <c r="H2940" s="4">
        <v>0.56999999999999995</v>
      </c>
      <c r="I2940" s="1">
        <v>0</v>
      </c>
      <c r="J2940" s="4"/>
      <c r="K2940" s="1">
        <v>11</v>
      </c>
      <c r="L2940" s="1">
        <v>0</v>
      </c>
      <c r="M2940" s="32">
        <f>IF(Mecze[[#This Row],[PR]]=0,0,Mecze[[#This Row],[PR]]/Mecze[[#This Row],[CZAS]])</f>
        <v>0</v>
      </c>
      <c r="N2940" s="32">
        <f>IF(Mecze[[#This Row],[OU]]=0,0,Mecze[[#This Row],[OU]]/Mecze[[#This Row],[CZAS]])</f>
        <v>0</v>
      </c>
      <c r="O2940" s="32">
        <f>IF(Mecze[[#This Row],[PC]]=0,0,Mecze[[#This Row],[PC]]/Mecze[[#This Row],[CZAS]])</f>
        <v>8.4210526315789472E-2</v>
      </c>
      <c r="P2940" s="32">
        <f>IF(Mecze[[#This Row],[SC]]=0,0,Mecze[[#This Row],[SC]]/Mecze[[#This Row],[CZAS]])</f>
        <v>0</v>
      </c>
      <c r="Q2940" s="32">
        <f>IF(Mecze[[#This Row],[OB]]=0,0,Mecze[[#This Row],[OB]]/Mecze[[#This Row],[CZAS]])</f>
        <v>0.11578947368421053</v>
      </c>
      <c r="R2940" s="32">
        <f>IF(Mecze[[#This Row],[BR]]=0,0,Mecze[[#This Row],[BR]]/Mecze[[#This Row],[CZAS]])</f>
        <v>0</v>
      </c>
      <c r="S2940" s="44">
        <f>IF(Mecze[[#This Row],[Role]]="BR",SUMPRODUCT(Mecze[[#This Row],[/PR:90]:[/BR:90]],Brudnopis!$E$23:$J$23),0)</f>
        <v>0.6</v>
      </c>
      <c r="T2940" s="44">
        <f>IF(Mecze[[#This Row],[Role]]&lt;&gt;"BR",SUMPRODUCT(Mecze[[#This Row],[/PR:90]:[/BR:90]],Brudnopis!$E$24:$J$24),0)</f>
        <v>0</v>
      </c>
      <c r="U2940" s="44">
        <f>IF(Mecze[[#This Row],[Role]]&lt;&gt;"BR",SUMPRODUCT(Mecze[[#This Row],[/PR:90]:[/BR:90]],Brudnopis!$E$25:$J$25),0)</f>
        <v>0</v>
      </c>
      <c r="V2940" s="44">
        <f>IF(Mecze[[#This Row],[Role]]&lt;&gt;"BR",SUMPRODUCT(Mecze[[#This Row],[/PR:90]:[/BR:90]],Brudnopis!$E$26:$J$26),0)</f>
        <v>0</v>
      </c>
      <c r="W2940" s="44">
        <f>IF(Mecze[[#This Row],[Role]]&lt;&gt;"BR",SUMPRODUCT(Mecze[[#This Row],[/PR:90]:[/BR:90]],Brudnopis!$E$27:$J$27),0)</f>
        <v>0</v>
      </c>
      <c r="X2940" s="44">
        <f>IF(Mecze[[#This Row],[Role]]&lt;&gt;"BR",SUMPRODUCT(Mecze[[#This Row],[/PR:90]:[/BR:90]],Brudnopis!$E$28:$J$28),0)</f>
        <v>0</v>
      </c>
      <c r="Y2940" s="35">
        <f>IF(Mecze[[#This Row],[Role]]="BR",Mecze[[#This Row],[/OB:90]]+Mecze[[#This Row],[/PC:90]],SUM(Mecze[[#This Row],[/PR:90]:[/BR:90]]))</f>
        <v>0.2</v>
      </c>
      <c r="Z2940" s="35">
        <f>IF(Mecze[[#This Row],[KC]]=0,SUM(Mecze[[#This Row],[/BRI]:[/NPI]]),SUM(Mecze[[#This Row],[/BRI]:[/NPI]])*0.6)</f>
        <v>0.6</v>
      </c>
      <c r="AA2940" s="10">
        <f>IFERROR(Mecze[[#This Row],[BR]]/Mecze[[#This Row],[ST]],0)</f>
        <v>0</v>
      </c>
      <c r="AB2940">
        <f>ROUND(Mecze[[#This Row],[PD]]*Mecze[[#This Row],[%PC]],0)</f>
        <v>8</v>
      </c>
      <c r="AC2940">
        <f>ROUND(Mecze[[#This Row],[OD]]*Mecze[[#This Row],[%OU]],0)</f>
        <v>0</v>
      </c>
      <c r="AD2940" s="36" t="s">
        <v>40</v>
      </c>
      <c r="AE2940" s="36">
        <v>166</v>
      </c>
      <c r="AF2940" s="71">
        <v>7.77</v>
      </c>
      <c r="AG2940" s="37">
        <v>0</v>
      </c>
      <c r="AH2940" s="37">
        <v>0</v>
      </c>
      <c r="AI2940" s="37">
        <v>95</v>
      </c>
      <c r="AJ2940" s="37">
        <v>9</v>
      </c>
      <c r="AK2940" s="37" t="str">
        <f>VLOOKUP(Mecze[[#This Row],[Match ID]],Meczusie[Mecz]:Meczusie[RodzajMeczu],2,FALSE)</f>
        <v>Liga</v>
      </c>
    </row>
    <row r="2941" spans="1:37" x14ac:dyDescent="0.25">
      <c r="A2941" s="76">
        <v>4</v>
      </c>
      <c r="B2941" s="3" t="s">
        <v>289</v>
      </c>
      <c r="C2941" s="2" t="s">
        <v>157</v>
      </c>
      <c r="D2941" s="1">
        <v>0</v>
      </c>
      <c r="E2941" s="1">
        <v>0</v>
      </c>
      <c r="F2941" s="1">
        <v>0</v>
      </c>
      <c r="G2941" s="1">
        <v>9</v>
      </c>
      <c r="H2941" s="4">
        <v>0.67</v>
      </c>
      <c r="I2941" s="1">
        <v>7</v>
      </c>
      <c r="J2941" s="4">
        <v>0.56999999999999995</v>
      </c>
      <c r="K2941" s="1">
        <v>0</v>
      </c>
      <c r="L2941" s="1">
        <v>4</v>
      </c>
      <c r="M2941" s="32">
        <f>IF(Mecze[[#This Row],[PR]]=0,0,Mecze[[#This Row],[PR]]/Mecze[[#This Row],[CZAS]])</f>
        <v>4.2105263157894736E-2</v>
      </c>
      <c r="N2941" s="32">
        <f>IF(Mecze[[#This Row],[OU]]=0,0,Mecze[[#This Row],[OU]]/Mecze[[#This Row],[CZAS]])</f>
        <v>4.2105263157894736E-2</v>
      </c>
      <c r="O2941" s="32">
        <f>IF(Mecze[[#This Row],[PC]]=0,0,Mecze[[#This Row],[PC]]/Mecze[[#This Row],[CZAS]])</f>
        <v>6.3157894736842107E-2</v>
      </c>
      <c r="P2941" s="32">
        <f>IF(Mecze[[#This Row],[SC]]=0,0,Mecze[[#This Row],[SC]]/Mecze[[#This Row],[CZAS]])</f>
        <v>0</v>
      </c>
      <c r="Q2941" s="32">
        <f>IF(Mecze[[#This Row],[OB]]=0,0,Mecze[[#This Row],[OB]]/Mecze[[#This Row],[CZAS]])</f>
        <v>0</v>
      </c>
      <c r="R2941" s="32">
        <f>IF(Mecze[[#This Row],[BR]]=0,0,Mecze[[#This Row],[BR]]/Mecze[[#This Row],[CZAS]])</f>
        <v>0</v>
      </c>
      <c r="S2941" s="44">
        <f>IF(Mecze[[#This Row],[Role]]="BR",SUMPRODUCT(Mecze[[#This Row],[/PR:90]:[/BR:90]],Brudnopis!$E$23:$J$23),0)</f>
        <v>0</v>
      </c>
      <c r="T2941" s="44">
        <f>IF(Mecze[[#This Row],[Role]]&lt;&gt;"BR",SUMPRODUCT(Mecze[[#This Row],[/PR:90]:[/BR:90]],Brudnopis!$E$24:$J$24),0)</f>
        <v>0.16842105263157894</v>
      </c>
      <c r="U2941" s="44">
        <f>IF(Mecze[[#This Row],[Role]]&lt;&gt;"BR",SUMPRODUCT(Mecze[[#This Row],[/PR:90]:[/BR:90]],Brudnopis!$E$25:$J$25),0)</f>
        <v>0.17894736842105263</v>
      </c>
      <c r="V2941" s="44">
        <f>IF(Mecze[[#This Row],[Role]]&lt;&gt;"BR",SUMPRODUCT(Mecze[[#This Row],[/PR:90]:[/BR:90]],Brudnopis!$E$26:$J$26),0)</f>
        <v>0.14736842105263159</v>
      </c>
      <c r="W2941" s="44">
        <f>IF(Mecze[[#This Row],[Role]]&lt;&gt;"BR",SUMPRODUCT(Mecze[[#This Row],[/PR:90]:[/BR:90]],Brudnopis!$E$27:$J$27),0)</f>
        <v>0.15789473684210525</v>
      </c>
      <c r="X2941" s="44">
        <f>IF(Mecze[[#This Row],[Role]]&lt;&gt;"BR",SUMPRODUCT(Mecze[[#This Row],[/PR:90]:[/BR:90]],Brudnopis!$E$28:$J$28),0)</f>
        <v>6.3157894736842107E-2</v>
      </c>
      <c r="Y2941" s="35">
        <f>IF(Mecze[[#This Row],[Role]]="BR",Mecze[[#This Row],[/OB:90]]+Mecze[[#This Row],[/PC:90]],SUM(Mecze[[#This Row],[/PR:90]:[/BR:90]]))</f>
        <v>0.14736842105263159</v>
      </c>
      <c r="Z2941" s="35">
        <f>IF(Mecze[[#This Row],[KC]]=0,SUM(Mecze[[#This Row],[/BRI]:[/NPI]]),SUM(Mecze[[#This Row],[/BRI]:[/NPI]])*0.6)</f>
        <v>0.71578947368421053</v>
      </c>
      <c r="AA2941" s="10">
        <f>IFERROR(Mecze[[#This Row],[BR]]/Mecze[[#This Row],[ST]],0)</f>
        <v>0</v>
      </c>
      <c r="AB2941">
        <f>ROUND(Mecze[[#This Row],[PD]]*Mecze[[#This Row],[%PC]],0)</f>
        <v>6</v>
      </c>
      <c r="AC2941">
        <f>ROUND(Mecze[[#This Row],[OD]]*Mecze[[#This Row],[%OU]],0)</f>
        <v>4</v>
      </c>
      <c r="AD2941" s="36" t="s">
        <v>168</v>
      </c>
      <c r="AE2941" s="36">
        <v>166</v>
      </c>
      <c r="AF2941" s="71">
        <v>4.66</v>
      </c>
      <c r="AG2941" s="37">
        <v>0</v>
      </c>
      <c r="AH2941" s="37">
        <v>0</v>
      </c>
      <c r="AI2941" s="37">
        <v>95</v>
      </c>
      <c r="AJ2941" s="37">
        <v>9</v>
      </c>
      <c r="AK2941" s="37" t="str">
        <f>VLOOKUP(Mecze[[#This Row],[Match ID]],Meczusie[Mecz]:Meczusie[RodzajMeczu],2,FALSE)</f>
        <v>Liga</v>
      </c>
    </row>
    <row r="2942" spans="1:37" x14ac:dyDescent="0.25">
      <c r="A2942" s="76">
        <v>2</v>
      </c>
      <c r="B2942" s="3" t="s">
        <v>290</v>
      </c>
      <c r="C2942" s="2" t="s">
        <v>157</v>
      </c>
      <c r="D2942" s="1">
        <v>0</v>
      </c>
      <c r="E2942" s="1">
        <v>1</v>
      </c>
      <c r="F2942" s="1">
        <v>0</v>
      </c>
      <c r="G2942" s="1">
        <v>13</v>
      </c>
      <c r="H2942" s="4">
        <v>0.69</v>
      </c>
      <c r="I2942" s="1">
        <v>7</v>
      </c>
      <c r="J2942" s="4">
        <v>0.43</v>
      </c>
      <c r="K2942" s="1">
        <v>0</v>
      </c>
      <c r="L2942" s="1">
        <v>4</v>
      </c>
      <c r="M2942" s="32">
        <f>IF(Mecze[[#This Row],[PR]]=0,0,Mecze[[#This Row],[PR]]/Mecze[[#This Row],[CZAS]])</f>
        <v>4.2105263157894736E-2</v>
      </c>
      <c r="N2942" s="32">
        <f>IF(Mecze[[#This Row],[OU]]=0,0,Mecze[[#This Row],[OU]]/Mecze[[#This Row],[CZAS]])</f>
        <v>3.1578947368421054E-2</v>
      </c>
      <c r="O2942" s="32">
        <f>IF(Mecze[[#This Row],[PC]]=0,0,Mecze[[#This Row],[PC]]/Mecze[[#This Row],[CZAS]])</f>
        <v>9.4736842105263161E-2</v>
      </c>
      <c r="P2942" s="32">
        <f>IF(Mecze[[#This Row],[SC]]=0,0,Mecze[[#This Row],[SC]]/Mecze[[#This Row],[CZAS]])</f>
        <v>0</v>
      </c>
      <c r="Q2942" s="32">
        <f>IF(Mecze[[#This Row],[OB]]=0,0,Mecze[[#This Row],[OB]]/Mecze[[#This Row],[CZAS]])</f>
        <v>0</v>
      </c>
      <c r="R2942" s="32">
        <f>IF(Mecze[[#This Row],[BR]]=0,0,Mecze[[#This Row],[BR]]/Mecze[[#This Row],[CZAS]])</f>
        <v>0</v>
      </c>
      <c r="S2942" s="44">
        <f>IF(Mecze[[#This Row],[Role]]="BR",SUMPRODUCT(Mecze[[#This Row],[/PR:90]:[/BR:90]],Brudnopis!$E$23:$J$23),0)</f>
        <v>0</v>
      </c>
      <c r="T2942" s="44">
        <f>IF(Mecze[[#This Row],[Role]]&lt;&gt;"BR",SUMPRODUCT(Mecze[[#This Row],[/PR:90]:[/BR:90]],Brudnopis!$E$24:$J$24),0)</f>
        <v>0.18421052631578949</v>
      </c>
      <c r="U2942" s="44">
        <f>IF(Mecze[[#This Row],[Role]]&lt;&gt;"BR",SUMPRODUCT(Mecze[[#This Row],[/PR:90]:[/BR:90]],Brudnopis!$E$25:$J$25),0)</f>
        <v>0.21578947368421053</v>
      </c>
      <c r="V2942" s="44">
        <f>IF(Mecze[[#This Row],[Role]]&lt;&gt;"BR",SUMPRODUCT(Mecze[[#This Row],[/PR:90]:[/BR:90]],Brudnopis!$E$26:$J$26),0)</f>
        <v>0.16842105263157897</v>
      </c>
      <c r="W2942" s="44">
        <f>IF(Mecze[[#This Row],[Role]]&lt;&gt;"BR",SUMPRODUCT(Mecze[[#This Row],[/PR:90]:[/BR:90]],Brudnopis!$E$27:$J$27),0)</f>
        <v>0.19736842105263158</v>
      </c>
      <c r="X2942" s="44">
        <f>IF(Mecze[[#This Row],[Role]]&lt;&gt;"BR",SUMPRODUCT(Mecze[[#This Row],[/PR:90]:[/BR:90]],Brudnopis!$E$28:$J$28),0)</f>
        <v>9.4736842105263161E-2</v>
      </c>
      <c r="Y2942" s="35">
        <f>IF(Mecze[[#This Row],[Role]]="BR",Mecze[[#This Row],[/OB:90]]+Mecze[[#This Row],[/PC:90]],SUM(Mecze[[#This Row],[/PR:90]:[/BR:90]]))</f>
        <v>0.16842105263157897</v>
      </c>
      <c r="Z2942" s="35">
        <f>IF(Mecze[[#This Row],[KC]]=0,SUM(Mecze[[#This Row],[/BRI]:[/NPI]]),SUM(Mecze[[#This Row],[/BRI]:[/NPI]])*0.6)</f>
        <v>0.86052631578947369</v>
      </c>
      <c r="AA2942" s="10">
        <f>IFERROR(Mecze[[#This Row],[BR]]/Mecze[[#This Row],[ST]],0)</f>
        <v>0</v>
      </c>
      <c r="AB2942">
        <f>ROUND(Mecze[[#This Row],[PD]]*Mecze[[#This Row],[%PC]],0)</f>
        <v>9</v>
      </c>
      <c r="AC2942">
        <f>ROUND(Mecze[[#This Row],[OD]]*Mecze[[#This Row],[%OU]],0)</f>
        <v>3</v>
      </c>
      <c r="AD2942" s="36" t="s">
        <v>47</v>
      </c>
      <c r="AE2942" s="36">
        <v>166</v>
      </c>
      <c r="AF2942" s="71">
        <v>3.54</v>
      </c>
      <c r="AG2942" s="37">
        <v>0</v>
      </c>
      <c r="AH2942" s="37">
        <v>0</v>
      </c>
      <c r="AI2942" s="37">
        <v>95</v>
      </c>
      <c r="AJ2942" s="37">
        <v>9</v>
      </c>
      <c r="AK2942" s="37" t="str">
        <f>VLOOKUP(Mecze[[#This Row],[Match ID]],Meczusie[Mecz]:Meczusie[RodzajMeczu],2,FALSE)</f>
        <v>Liga</v>
      </c>
    </row>
    <row r="2943" spans="1:37" x14ac:dyDescent="0.25">
      <c r="A2943" s="76">
        <v>16</v>
      </c>
      <c r="B2943" s="3" t="s">
        <v>405</v>
      </c>
      <c r="C2943" s="2" t="s">
        <v>157</v>
      </c>
      <c r="D2943" s="1">
        <v>0</v>
      </c>
      <c r="E2943" s="1">
        <v>0</v>
      </c>
      <c r="F2943" s="1">
        <v>0</v>
      </c>
      <c r="G2943" s="1">
        <v>3</v>
      </c>
      <c r="H2943" s="4">
        <v>0.33</v>
      </c>
      <c r="I2943" s="1">
        <v>7</v>
      </c>
      <c r="J2943" s="4">
        <v>0.43</v>
      </c>
      <c r="K2943" s="1">
        <v>0</v>
      </c>
      <c r="L2943" s="1">
        <v>3</v>
      </c>
      <c r="M2943" s="32">
        <f>IF(Mecze[[#This Row],[PR]]=0,0,Mecze[[#This Row],[PR]]/Mecze[[#This Row],[CZAS]])</f>
        <v>3.1578947368421054E-2</v>
      </c>
      <c r="N2943" s="32">
        <f>IF(Mecze[[#This Row],[OU]]=0,0,Mecze[[#This Row],[OU]]/Mecze[[#This Row],[CZAS]])</f>
        <v>3.1578947368421054E-2</v>
      </c>
      <c r="O2943" s="32">
        <f>IF(Mecze[[#This Row],[PC]]=0,0,Mecze[[#This Row],[PC]]/Mecze[[#This Row],[CZAS]])</f>
        <v>1.0526315789473684E-2</v>
      </c>
      <c r="P2943" s="32">
        <f>IF(Mecze[[#This Row],[SC]]=0,0,Mecze[[#This Row],[SC]]/Mecze[[#This Row],[CZAS]])</f>
        <v>0</v>
      </c>
      <c r="Q2943" s="32">
        <f>IF(Mecze[[#This Row],[OB]]=0,0,Mecze[[#This Row],[OB]]/Mecze[[#This Row],[CZAS]])</f>
        <v>0</v>
      </c>
      <c r="R2943" s="32">
        <f>IF(Mecze[[#This Row],[BR]]=0,0,Mecze[[#This Row],[BR]]/Mecze[[#This Row],[CZAS]])</f>
        <v>0</v>
      </c>
      <c r="S2943" s="44">
        <f>IF(Mecze[[#This Row],[Role]]="BR",SUMPRODUCT(Mecze[[#This Row],[/PR:90]:[/BR:90]],Brudnopis!$E$23:$J$23),0)</f>
        <v>0</v>
      </c>
      <c r="T2943" s="44">
        <f>IF(Mecze[[#This Row],[Role]]&lt;&gt;"BR",SUMPRODUCT(Mecze[[#This Row],[/PR:90]:[/BR:90]],Brudnopis!$E$24:$J$24),0)</f>
        <v>8.9473684210526316E-2</v>
      </c>
      <c r="U2943" s="44">
        <f>IF(Mecze[[#This Row],[Role]]&lt;&gt;"BR",SUMPRODUCT(Mecze[[#This Row],[/PR:90]:[/BR:90]],Brudnopis!$E$25:$J$25),0)</f>
        <v>7.8947368421052627E-2</v>
      </c>
      <c r="V2943" s="44">
        <f>IF(Mecze[[#This Row],[Role]]&lt;&gt;"BR",SUMPRODUCT(Mecze[[#This Row],[/PR:90]:[/BR:90]],Brudnopis!$E$26:$J$26),0)</f>
        <v>7.3684210526315796E-2</v>
      </c>
      <c r="W2943" s="44">
        <f>IF(Mecze[[#This Row],[Role]]&lt;&gt;"BR",SUMPRODUCT(Mecze[[#This Row],[/PR:90]:[/BR:90]],Brudnopis!$E$27:$J$27),0)</f>
        <v>6.3157894736842107E-2</v>
      </c>
      <c r="X2943" s="44">
        <f>IF(Mecze[[#This Row],[Role]]&lt;&gt;"BR",SUMPRODUCT(Mecze[[#This Row],[/PR:90]:[/BR:90]],Brudnopis!$E$28:$J$28),0)</f>
        <v>1.0526315789473684E-2</v>
      </c>
      <c r="Y2943" s="35">
        <f>IF(Mecze[[#This Row],[Role]]="BR",Mecze[[#This Row],[/OB:90]]+Mecze[[#This Row],[/PC:90]],SUM(Mecze[[#This Row],[/PR:90]:[/BR:90]]))</f>
        <v>7.3684210526315796E-2</v>
      </c>
      <c r="Z2943" s="35">
        <f>IF(Mecze[[#This Row],[KC]]=0,SUM(Mecze[[#This Row],[/BRI]:[/NPI]]),SUM(Mecze[[#This Row],[/BRI]:[/NPI]])*0.6)</f>
        <v>0.31578947368421051</v>
      </c>
      <c r="AA2943" s="10">
        <f>IFERROR(Mecze[[#This Row],[BR]]/Mecze[[#This Row],[ST]],0)</f>
        <v>0</v>
      </c>
      <c r="AB2943">
        <f>ROUND(Mecze[[#This Row],[PD]]*Mecze[[#This Row],[%PC]],0)</f>
        <v>1</v>
      </c>
      <c r="AC2943">
        <f>ROUND(Mecze[[#This Row],[OD]]*Mecze[[#This Row],[%OU]],0)</f>
        <v>3</v>
      </c>
      <c r="AD2943" s="36" t="s">
        <v>167</v>
      </c>
      <c r="AE2943" s="36">
        <v>166</v>
      </c>
      <c r="AF2943" s="71">
        <v>3.33</v>
      </c>
      <c r="AG2943" s="37">
        <v>0</v>
      </c>
      <c r="AH2943" s="37">
        <v>0</v>
      </c>
      <c r="AI2943" s="37">
        <v>95</v>
      </c>
      <c r="AJ2943" s="37">
        <v>9</v>
      </c>
      <c r="AK2943" s="37" t="str">
        <f>VLOOKUP(Mecze[[#This Row],[Match ID]],Meczusie[Mecz]:Meczusie[RodzajMeczu],2,FALSE)</f>
        <v>Liga</v>
      </c>
    </row>
    <row r="2944" spans="1:37" x14ac:dyDescent="0.25">
      <c r="A2944" s="76">
        <v>3</v>
      </c>
      <c r="B2944" s="3" t="s">
        <v>292</v>
      </c>
      <c r="C2944" s="2" t="s">
        <v>160</v>
      </c>
      <c r="D2944" s="1">
        <v>0</v>
      </c>
      <c r="E2944" s="1">
        <v>0</v>
      </c>
      <c r="F2944" s="1">
        <v>0</v>
      </c>
      <c r="G2944" s="1">
        <v>1</v>
      </c>
      <c r="H2944" s="4">
        <v>1</v>
      </c>
      <c r="I2944" s="1">
        <v>2</v>
      </c>
      <c r="J2944" s="4">
        <v>0</v>
      </c>
      <c r="K2944" s="1">
        <v>0</v>
      </c>
      <c r="L2944" s="1">
        <v>0</v>
      </c>
      <c r="M2944" s="32">
        <f>IF(Mecze[[#This Row],[PR]]=0,0,Mecze[[#This Row],[PR]]/Mecze[[#This Row],[CZAS]])</f>
        <v>0</v>
      </c>
      <c r="N2944" s="32">
        <f>IF(Mecze[[#This Row],[OU]]=0,0,Mecze[[#This Row],[OU]]/Mecze[[#This Row],[CZAS]])</f>
        <v>0</v>
      </c>
      <c r="O2944" s="32">
        <f>IF(Mecze[[#This Row],[PC]]=0,0,Mecze[[#This Row],[PC]]/Mecze[[#This Row],[CZAS]])</f>
        <v>1.0526315789473684E-2</v>
      </c>
      <c r="P2944" s="32">
        <f>IF(Mecze[[#This Row],[SC]]=0,0,Mecze[[#This Row],[SC]]/Mecze[[#This Row],[CZAS]])</f>
        <v>0</v>
      </c>
      <c r="Q2944" s="32">
        <f>IF(Mecze[[#This Row],[OB]]=0,0,Mecze[[#This Row],[OB]]/Mecze[[#This Row],[CZAS]])</f>
        <v>0</v>
      </c>
      <c r="R2944" s="32">
        <f>IF(Mecze[[#This Row],[BR]]=0,0,Mecze[[#This Row],[BR]]/Mecze[[#This Row],[CZAS]])</f>
        <v>0</v>
      </c>
      <c r="S2944" s="44">
        <f>IF(Mecze[[#This Row],[Role]]="BR",SUMPRODUCT(Mecze[[#This Row],[/PR:90]:[/BR:90]],Brudnopis!$E$23:$J$23),0)</f>
        <v>0</v>
      </c>
      <c r="T2944" s="44">
        <f>IF(Mecze[[#This Row],[Role]]&lt;&gt;"BR",SUMPRODUCT(Mecze[[#This Row],[/PR:90]:[/BR:90]],Brudnopis!$E$24:$J$24),0)</f>
        <v>1.0526315789473684E-2</v>
      </c>
      <c r="U2944" s="44">
        <f>IF(Mecze[[#This Row],[Role]]&lt;&gt;"BR",SUMPRODUCT(Mecze[[#This Row],[/PR:90]:[/BR:90]],Brudnopis!$E$25:$J$25),0)</f>
        <v>1.5789473684210527E-2</v>
      </c>
      <c r="V2944" s="44">
        <f>IF(Mecze[[#This Row],[Role]]&lt;&gt;"BR",SUMPRODUCT(Mecze[[#This Row],[/PR:90]:[/BR:90]],Brudnopis!$E$26:$J$26),0)</f>
        <v>1.0526315789473684E-2</v>
      </c>
      <c r="W2944" s="44">
        <f>IF(Mecze[[#This Row],[Role]]&lt;&gt;"BR",SUMPRODUCT(Mecze[[#This Row],[/PR:90]:[/BR:90]],Brudnopis!$E$27:$J$27),0)</f>
        <v>1.5789473684210527E-2</v>
      </c>
      <c r="X2944" s="44">
        <f>IF(Mecze[[#This Row],[Role]]&lt;&gt;"BR",SUMPRODUCT(Mecze[[#This Row],[/PR:90]:[/BR:90]],Brudnopis!$E$28:$J$28),0)</f>
        <v>1.0526315789473684E-2</v>
      </c>
      <c r="Y2944" s="35">
        <f>IF(Mecze[[#This Row],[Role]]="BR",Mecze[[#This Row],[/OB:90]]+Mecze[[#This Row],[/PC:90]],SUM(Mecze[[#This Row],[/PR:90]:[/BR:90]]))</f>
        <v>1.0526315789473684E-2</v>
      </c>
      <c r="Z2944" s="35">
        <f>IF(Mecze[[#This Row],[KC]]=0,SUM(Mecze[[#This Row],[/BRI]:[/NPI]]),SUM(Mecze[[#This Row],[/BRI]:[/NPI]])*0.6)</f>
        <v>6.3157894736842107E-2</v>
      </c>
      <c r="AA2944" s="10">
        <f>IFERROR(Mecze[[#This Row],[BR]]/Mecze[[#This Row],[ST]],0)</f>
        <v>0</v>
      </c>
      <c r="AB2944">
        <f>ROUND(Mecze[[#This Row],[PD]]*Mecze[[#This Row],[%PC]],0)</f>
        <v>1</v>
      </c>
      <c r="AC2944">
        <f>ROUND(Mecze[[#This Row],[OD]]*Mecze[[#This Row],[%OU]],0)</f>
        <v>0</v>
      </c>
      <c r="AD2944" s="36" t="s">
        <v>173</v>
      </c>
      <c r="AE2944" s="36">
        <v>166</v>
      </c>
      <c r="AF2944" s="71">
        <v>2.7</v>
      </c>
      <c r="AG2944" s="37">
        <v>0</v>
      </c>
      <c r="AH2944" s="37">
        <v>0</v>
      </c>
      <c r="AI2944" s="37">
        <v>95</v>
      </c>
      <c r="AJ2944" s="37">
        <v>9</v>
      </c>
      <c r="AK2944" s="37" t="str">
        <f>VLOOKUP(Mecze[[#This Row],[Match ID]],Meczusie[Mecz]:Meczusie[RodzajMeczu],2,FALSE)</f>
        <v>Liga</v>
      </c>
    </row>
    <row r="2945" spans="1:37" x14ac:dyDescent="0.25">
      <c r="A2945" s="76">
        <v>14</v>
      </c>
      <c r="B2945" s="3" t="s">
        <v>293</v>
      </c>
      <c r="C2945" s="2" t="s">
        <v>160</v>
      </c>
      <c r="D2945" s="1">
        <v>0</v>
      </c>
      <c r="E2945" s="1">
        <v>0</v>
      </c>
      <c r="F2945" s="1">
        <v>0</v>
      </c>
      <c r="G2945" s="1">
        <v>7</v>
      </c>
      <c r="H2945" s="4">
        <v>0.71</v>
      </c>
      <c r="I2945" s="1">
        <v>6</v>
      </c>
      <c r="J2945" s="4">
        <v>0.67</v>
      </c>
      <c r="K2945" s="1">
        <v>0</v>
      </c>
      <c r="L2945" s="1">
        <v>4</v>
      </c>
      <c r="M2945" s="32">
        <f>IF(Mecze[[#This Row],[PR]]=0,0,Mecze[[#This Row],[PR]]/Mecze[[#This Row],[CZAS]])</f>
        <v>4.2105263157894736E-2</v>
      </c>
      <c r="N2945" s="32">
        <f>IF(Mecze[[#This Row],[OU]]=0,0,Mecze[[#This Row],[OU]]/Mecze[[#This Row],[CZAS]])</f>
        <v>4.2105263157894736E-2</v>
      </c>
      <c r="O2945" s="32">
        <f>IF(Mecze[[#This Row],[PC]]=0,0,Mecze[[#This Row],[PC]]/Mecze[[#This Row],[CZAS]])</f>
        <v>5.2631578947368418E-2</v>
      </c>
      <c r="P2945" s="32">
        <f>IF(Mecze[[#This Row],[SC]]=0,0,Mecze[[#This Row],[SC]]/Mecze[[#This Row],[CZAS]])</f>
        <v>0</v>
      </c>
      <c r="Q2945" s="32">
        <f>IF(Mecze[[#This Row],[OB]]=0,0,Mecze[[#This Row],[OB]]/Mecze[[#This Row],[CZAS]])</f>
        <v>0</v>
      </c>
      <c r="R2945" s="32">
        <f>IF(Mecze[[#This Row],[BR]]=0,0,Mecze[[#This Row],[BR]]/Mecze[[#This Row],[CZAS]])</f>
        <v>0</v>
      </c>
      <c r="S2945" s="44">
        <f>IF(Mecze[[#This Row],[Role]]="BR",SUMPRODUCT(Mecze[[#This Row],[/PR:90]:[/BR:90]],Brudnopis!$E$23:$J$23),0)</f>
        <v>0</v>
      </c>
      <c r="T2945" s="44">
        <f>IF(Mecze[[#This Row],[Role]]&lt;&gt;"BR",SUMPRODUCT(Mecze[[#This Row],[/PR:90]:[/BR:90]],Brudnopis!$E$24:$J$24),0)</f>
        <v>0.15789473684210525</v>
      </c>
      <c r="U2945" s="44">
        <f>IF(Mecze[[#This Row],[Role]]&lt;&gt;"BR",SUMPRODUCT(Mecze[[#This Row],[/PR:90]:[/BR:90]],Brudnopis!$E$25:$J$25),0)</f>
        <v>0.16315789473684211</v>
      </c>
      <c r="V2945" s="44">
        <f>IF(Mecze[[#This Row],[Role]]&lt;&gt;"BR",SUMPRODUCT(Mecze[[#This Row],[/PR:90]:[/BR:90]],Brudnopis!$E$26:$J$26),0)</f>
        <v>0.13684210526315788</v>
      </c>
      <c r="W2945" s="44">
        <f>IF(Mecze[[#This Row],[Role]]&lt;&gt;"BR",SUMPRODUCT(Mecze[[#This Row],[/PR:90]:[/BR:90]],Brudnopis!$E$27:$J$27),0)</f>
        <v>0.14210526315789473</v>
      </c>
      <c r="X2945" s="44">
        <f>IF(Mecze[[#This Row],[Role]]&lt;&gt;"BR",SUMPRODUCT(Mecze[[#This Row],[/PR:90]:[/BR:90]],Brudnopis!$E$28:$J$28),0)</f>
        <v>5.2631578947368418E-2</v>
      </c>
      <c r="Y2945" s="35">
        <f>IF(Mecze[[#This Row],[Role]]="BR",Mecze[[#This Row],[/OB:90]]+Mecze[[#This Row],[/PC:90]],SUM(Mecze[[#This Row],[/PR:90]:[/BR:90]]))</f>
        <v>0.13684210526315788</v>
      </c>
      <c r="Z2945" s="35">
        <f>IF(Mecze[[#This Row],[KC]]=0,SUM(Mecze[[#This Row],[/BRI]:[/NPI]]),SUM(Mecze[[#This Row],[/BRI]:[/NPI]])*0.6)</f>
        <v>0.65263157894736845</v>
      </c>
      <c r="AA2945" s="10">
        <f>IFERROR(Mecze[[#This Row],[BR]]/Mecze[[#This Row],[ST]],0)</f>
        <v>0</v>
      </c>
      <c r="AB2945">
        <f>ROUND(Mecze[[#This Row],[PD]]*Mecze[[#This Row],[%PC]],0)</f>
        <v>5</v>
      </c>
      <c r="AC2945">
        <f>ROUND(Mecze[[#This Row],[OD]]*Mecze[[#This Row],[%OU]],0)</f>
        <v>4</v>
      </c>
      <c r="AD2945" s="36" t="s">
        <v>172</v>
      </c>
      <c r="AE2945" s="36">
        <v>166</v>
      </c>
      <c r="AF2945" s="71">
        <v>4.75</v>
      </c>
      <c r="AG2945" s="37">
        <v>0</v>
      </c>
      <c r="AH2945" s="37">
        <v>0</v>
      </c>
      <c r="AI2945" s="37">
        <v>95</v>
      </c>
      <c r="AJ2945" s="37">
        <v>9</v>
      </c>
      <c r="AK2945" s="37" t="str">
        <f>VLOOKUP(Mecze[[#This Row],[Match ID]],Meczusie[Mecz]:Meczusie[RodzajMeczu],2,FALSE)</f>
        <v>Liga</v>
      </c>
    </row>
    <row r="2946" spans="1:37" x14ac:dyDescent="0.25">
      <c r="A2946" s="76">
        <v>8</v>
      </c>
      <c r="B2946" s="3" t="s">
        <v>294</v>
      </c>
      <c r="C2946" s="2" t="s">
        <v>160</v>
      </c>
      <c r="D2946" s="1">
        <v>0</v>
      </c>
      <c r="E2946" s="1">
        <v>3</v>
      </c>
      <c r="F2946" s="1">
        <v>3</v>
      </c>
      <c r="G2946" s="1">
        <v>16</v>
      </c>
      <c r="H2946" s="4">
        <v>0.94</v>
      </c>
      <c r="I2946" s="1">
        <v>7</v>
      </c>
      <c r="J2946" s="4">
        <v>0.56999999999999995</v>
      </c>
      <c r="K2946" s="1">
        <v>0</v>
      </c>
      <c r="L2946" s="1">
        <v>5</v>
      </c>
      <c r="M2946" s="32">
        <f>IF(Mecze[[#This Row],[PR]]=0,0,Mecze[[#This Row],[PR]]/Mecze[[#This Row],[CZAS]])</f>
        <v>5.2631578947368418E-2</v>
      </c>
      <c r="N2946" s="32">
        <f>IF(Mecze[[#This Row],[OU]]=0,0,Mecze[[#This Row],[OU]]/Mecze[[#This Row],[CZAS]])</f>
        <v>4.2105263157894736E-2</v>
      </c>
      <c r="O2946" s="32">
        <f>IF(Mecze[[#This Row],[PC]]=0,0,Mecze[[#This Row],[PC]]/Mecze[[#This Row],[CZAS]])</f>
        <v>0.15789473684210525</v>
      </c>
      <c r="P2946" s="32">
        <f>IF(Mecze[[#This Row],[SC]]=0,0,Mecze[[#This Row],[SC]]/Mecze[[#This Row],[CZAS]])</f>
        <v>3.1578947368421054E-2</v>
      </c>
      <c r="Q2946" s="32">
        <f>IF(Mecze[[#This Row],[OB]]=0,0,Mecze[[#This Row],[OB]]/Mecze[[#This Row],[CZAS]])</f>
        <v>0</v>
      </c>
      <c r="R2946" s="32">
        <f>IF(Mecze[[#This Row],[BR]]=0,0,Mecze[[#This Row],[BR]]/Mecze[[#This Row],[CZAS]])</f>
        <v>0</v>
      </c>
      <c r="S2946" s="44">
        <f>IF(Mecze[[#This Row],[Role]]="BR",SUMPRODUCT(Mecze[[#This Row],[/PR:90]:[/BR:90]],Brudnopis!$E$23:$J$23),0)</f>
        <v>0</v>
      </c>
      <c r="T2946" s="44">
        <f>IF(Mecze[[#This Row],[Role]]&lt;&gt;"BR",SUMPRODUCT(Mecze[[#This Row],[/PR:90]:[/BR:90]],Brudnopis!$E$24:$J$24),0)</f>
        <v>0.30526315789473679</v>
      </c>
      <c r="U2946" s="44">
        <f>IF(Mecze[[#This Row],[Role]]&lt;&gt;"BR",SUMPRODUCT(Mecze[[#This Row],[/PR:90]:[/BR:90]],Brudnopis!$E$25:$J$25),0)</f>
        <v>0.36315789473684207</v>
      </c>
      <c r="V2946" s="44">
        <f>IF(Mecze[[#This Row],[Role]]&lt;&gt;"BR",SUMPRODUCT(Mecze[[#This Row],[/PR:90]:[/BR:90]],Brudnopis!$E$26:$J$26),0)</f>
        <v>0.28421052631578947</v>
      </c>
      <c r="W2946" s="44">
        <f>IF(Mecze[[#This Row],[Role]]&lt;&gt;"BR",SUMPRODUCT(Mecze[[#This Row],[/PR:90]:[/BR:90]],Brudnopis!$E$27:$J$27),0)</f>
        <v>0.33947368421052626</v>
      </c>
      <c r="X2946" s="44">
        <f>IF(Mecze[[#This Row],[Role]]&lt;&gt;"BR",SUMPRODUCT(Mecze[[#This Row],[/PR:90]:[/BR:90]],Brudnopis!$E$28:$J$28),0)</f>
        <v>0.22105263157894736</v>
      </c>
      <c r="Y2946" s="35">
        <f>IF(Mecze[[#This Row],[Role]]="BR",Mecze[[#This Row],[/OB:90]]+Mecze[[#This Row],[/PC:90]],SUM(Mecze[[#This Row],[/PR:90]:[/BR:90]]))</f>
        <v>0.28421052631578947</v>
      </c>
      <c r="Z2946" s="35">
        <f>IF(Mecze[[#This Row],[KC]]=0,SUM(Mecze[[#This Row],[/BRI]:[/NPI]]),SUM(Mecze[[#This Row],[/BRI]:[/NPI]])*0.6)</f>
        <v>1.5131578947368418</v>
      </c>
      <c r="AA2946" s="10">
        <f>IFERROR(Mecze[[#This Row],[BR]]/Mecze[[#This Row],[ST]],0)</f>
        <v>0</v>
      </c>
      <c r="AB2946">
        <f>ROUND(Mecze[[#This Row],[PD]]*Mecze[[#This Row],[%PC]],0)</f>
        <v>15</v>
      </c>
      <c r="AC2946">
        <f>ROUND(Mecze[[#This Row],[OD]]*Mecze[[#This Row],[%OU]],0)</f>
        <v>4</v>
      </c>
      <c r="AD2946" s="36" t="s">
        <v>67</v>
      </c>
      <c r="AE2946" s="36">
        <v>166</v>
      </c>
      <c r="AF2946" s="71">
        <v>6.56</v>
      </c>
      <c r="AG2946" s="37">
        <v>0</v>
      </c>
      <c r="AH2946" s="37">
        <v>0</v>
      </c>
      <c r="AI2946" s="37">
        <v>95</v>
      </c>
      <c r="AJ2946" s="37">
        <v>9</v>
      </c>
      <c r="AK2946" s="37" t="str">
        <f>VLOOKUP(Mecze[[#This Row],[Match ID]],Meczusie[Mecz]:Meczusie[RodzajMeczu],2,FALSE)</f>
        <v>Liga</v>
      </c>
    </row>
    <row r="2947" spans="1:37" x14ac:dyDescent="0.25">
      <c r="A2947" s="76">
        <v>11</v>
      </c>
      <c r="B2947" s="3" t="s">
        <v>410</v>
      </c>
      <c r="C2947" s="2" t="s">
        <v>160</v>
      </c>
      <c r="D2947" s="1">
        <v>0</v>
      </c>
      <c r="E2947" s="1">
        <v>1</v>
      </c>
      <c r="F2947" s="1">
        <v>0</v>
      </c>
      <c r="G2947" s="1">
        <v>8</v>
      </c>
      <c r="H2947" s="4">
        <v>0.88</v>
      </c>
      <c r="I2947" s="1">
        <v>4</v>
      </c>
      <c r="J2947" s="4">
        <v>0.5</v>
      </c>
      <c r="K2947" s="1">
        <v>0</v>
      </c>
      <c r="L2947" s="1">
        <v>3</v>
      </c>
      <c r="M2947" s="32">
        <f>IF(Mecze[[#This Row],[PR]]=0,0,Mecze[[#This Row],[PR]]/Mecze[[#This Row],[CZAS]])</f>
        <v>3.1578947368421054E-2</v>
      </c>
      <c r="N2947" s="32">
        <f>IF(Mecze[[#This Row],[OU]]=0,0,Mecze[[#This Row],[OU]]/Mecze[[#This Row],[CZAS]])</f>
        <v>2.1052631578947368E-2</v>
      </c>
      <c r="O2947" s="32">
        <f>IF(Mecze[[#This Row],[PC]]=0,0,Mecze[[#This Row],[PC]]/Mecze[[#This Row],[CZAS]])</f>
        <v>7.3684210526315783E-2</v>
      </c>
      <c r="P2947" s="32">
        <f>IF(Mecze[[#This Row],[SC]]=0,0,Mecze[[#This Row],[SC]]/Mecze[[#This Row],[CZAS]])</f>
        <v>0</v>
      </c>
      <c r="Q2947" s="32">
        <f>IF(Mecze[[#This Row],[OB]]=0,0,Mecze[[#This Row],[OB]]/Mecze[[#This Row],[CZAS]])</f>
        <v>0</v>
      </c>
      <c r="R2947" s="32">
        <f>IF(Mecze[[#This Row],[BR]]=0,0,Mecze[[#This Row],[BR]]/Mecze[[#This Row],[CZAS]])</f>
        <v>0</v>
      </c>
      <c r="S2947" s="44">
        <f>IF(Mecze[[#This Row],[Role]]="BR",SUMPRODUCT(Mecze[[#This Row],[/PR:90]:[/BR:90]],Brudnopis!$E$23:$J$23),0)</f>
        <v>0</v>
      </c>
      <c r="T2947" s="44">
        <f>IF(Mecze[[#This Row],[Role]]&lt;&gt;"BR",SUMPRODUCT(Mecze[[#This Row],[/PR:90]:[/BR:90]],Brudnopis!$E$24:$J$24),0)</f>
        <v>0.13684210526315788</v>
      </c>
      <c r="U2947" s="44">
        <f>IF(Mecze[[#This Row],[Role]]&lt;&gt;"BR",SUMPRODUCT(Mecze[[#This Row],[/PR:90]:[/BR:90]],Brudnopis!$E$25:$J$25),0)</f>
        <v>0.16315789473684209</v>
      </c>
      <c r="V2947" s="44">
        <f>IF(Mecze[[#This Row],[Role]]&lt;&gt;"BR",SUMPRODUCT(Mecze[[#This Row],[/PR:90]:[/BR:90]],Brudnopis!$E$26:$J$26),0)</f>
        <v>0.12631578947368421</v>
      </c>
      <c r="W2947" s="44">
        <f>IF(Mecze[[#This Row],[Role]]&lt;&gt;"BR",SUMPRODUCT(Mecze[[#This Row],[/PR:90]:[/BR:90]],Brudnopis!$E$27:$J$27),0)</f>
        <v>0.14999999999999997</v>
      </c>
      <c r="X2947" s="44">
        <f>IF(Mecze[[#This Row],[Role]]&lt;&gt;"BR",SUMPRODUCT(Mecze[[#This Row],[/PR:90]:[/BR:90]],Brudnopis!$E$28:$J$28),0)</f>
        <v>7.3684210526315783E-2</v>
      </c>
      <c r="Y2947" s="35">
        <f>IF(Mecze[[#This Row],[Role]]="BR",Mecze[[#This Row],[/OB:90]]+Mecze[[#This Row],[/PC:90]],SUM(Mecze[[#This Row],[/PR:90]:[/BR:90]]))</f>
        <v>0.12631578947368421</v>
      </c>
      <c r="Z2947" s="35">
        <f>IF(Mecze[[#This Row],[KC]]=0,SUM(Mecze[[#This Row],[/BRI]:[/NPI]]),SUM(Mecze[[#This Row],[/BRI]:[/NPI]])*0.6)</f>
        <v>0.64999999999999991</v>
      </c>
      <c r="AA2947" s="10">
        <f>IFERROR(Mecze[[#This Row],[BR]]/Mecze[[#This Row],[ST]],0)</f>
        <v>0</v>
      </c>
      <c r="AB2947">
        <f>ROUND(Mecze[[#This Row],[PD]]*Mecze[[#This Row],[%PC]],0)</f>
        <v>7</v>
      </c>
      <c r="AC2947">
        <f>ROUND(Mecze[[#This Row],[OD]]*Mecze[[#This Row],[%OU]],0)</f>
        <v>2</v>
      </c>
      <c r="AD2947" s="36" t="s">
        <v>299</v>
      </c>
      <c r="AE2947" s="36">
        <v>166</v>
      </c>
      <c r="AF2947" s="71">
        <v>5.45</v>
      </c>
      <c r="AG2947" s="37">
        <v>0</v>
      </c>
      <c r="AH2947" s="37">
        <v>0</v>
      </c>
      <c r="AI2947" s="37">
        <v>95</v>
      </c>
      <c r="AJ2947" s="37">
        <v>9</v>
      </c>
      <c r="AK2947" s="37" t="str">
        <f>VLOOKUP(Mecze[[#This Row],[Match ID]],Meczusie[Mecz]:Meczusie[RodzajMeczu],2,FALSE)</f>
        <v>Liga</v>
      </c>
    </row>
    <row r="2948" spans="1:37" x14ac:dyDescent="0.25">
      <c r="A2948" s="76">
        <v>13</v>
      </c>
      <c r="B2948" s="3" t="s">
        <v>295</v>
      </c>
      <c r="C2948" s="2" t="s">
        <v>160</v>
      </c>
      <c r="D2948" s="1">
        <v>0</v>
      </c>
      <c r="E2948" s="1">
        <v>0</v>
      </c>
      <c r="F2948" s="1">
        <v>0</v>
      </c>
      <c r="G2948" s="1">
        <v>9</v>
      </c>
      <c r="H2948" s="4">
        <v>0.56000000000000005</v>
      </c>
      <c r="I2948" s="1">
        <v>2</v>
      </c>
      <c r="J2948" s="4">
        <v>1</v>
      </c>
      <c r="K2948" s="1">
        <v>0</v>
      </c>
      <c r="L2948" s="1">
        <v>1</v>
      </c>
      <c r="M2948" s="32">
        <f>IF(Mecze[[#This Row],[PR]]=0,0,Mecze[[#This Row],[PR]]/Mecze[[#This Row],[CZAS]])</f>
        <v>1.0526315789473684E-2</v>
      </c>
      <c r="N2948" s="32">
        <f>IF(Mecze[[#This Row],[OU]]=0,0,Mecze[[#This Row],[OU]]/Mecze[[#This Row],[CZAS]])</f>
        <v>2.1052631578947368E-2</v>
      </c>
      <c r="O2948" s="32">
        <f>IF(Mecze[[#This Row],[PC]]=0,0,Mecze[[#This Row],[PC]]/Mecze[[#This Row],[CZAS]])</f>
        <v>5.2631578947368418E-2</v>
      </c>
      <c r="P2948" s="32">
        <f>IF(Mecze[[#This Row],[SC]]=0,0,Mecze[[#This Row],[SC]]/Mecze[[#This Row],[CZAS]])</f>
        <v>0</v>
      </c>
      <c r="Q2948" s="32">
        <f>IF(Mecze[[#This Row],[OB]]=0,0,Mecze[[#This Row],[OB]]/Mecze[[#This Row],[CZAS]])</f>
        <v>0</v>
      </c>
      <c r="R2948" s="32">
        <f>IF(Mecze[[#This Row],[BR]]=0,0,Mecze[[#This Row],[BR]]/Mecze[[#This Row],[CZAS]])</f>
        <v>0</v>
      </c>
      <c r="S2948" s="44">
        <f>IF(Mecze[[#This Row],[Role]]="BR",SUMPRODUCT(Mecze[[#This Row],[/PR:90]:[/BR:90]],Brudnopis!$E$23:$J$23),0)</f>
        <v>0</v>
      </c>
      <c r="T2948" s="44">
        <f>IF(Mecze[[#This Row],[Role]]&lt;&gt;"BR",SUMPRODUCT(Mecze[[#This Row],[/PR:90]:[/BR:90]],Brudnopis!$E$24:$J$24),0)</f>
        <v>9.4736842105263147E-2</v>
      </c>
      <c r="U2948" s="44">
        <f>IF(Mecze[[#This Row],[Role]]&lt;&gt;"BR",SUMPRODUCT(Mecze[[#This Row],[/PR:90]:[/BR:90]],Brudnopis!$E$25:$J$25),0)</f>
        <v>0.11052631578947368</v>
      </c>
      <c r="V2948" s="44">
        <f>IF(Mecze[[#This Row],[Role]]&lt;&gt;"BR",SUMPRODUCT(Mecze[[#This Row],[/PR:90]:[/BR:90]],Brudnopis!$E$26:$J$26),0)</f>
        <v>8.4210526315789472E-2</v>
      </c>
      <c r="W2948" s="44">
        <f>IF(Mecze[[#This Row],[Role]]&lt;&gt;"BR",SUMPRODUCT(Mecze[[#This Row],[/PR:90]:[/BR:90]],Brudnopis!$E$27:$J$27),0)</f>
        <v>0.10263157894736842</v>
      </c>
      <c r="X2948" s="44">
        <f>IF(Mecze[[#This Row],[Role]]&lt;&gt;"BR",SUMPRODUCT(Mecze[[#This Row],[/PR:90]:[/BR:90]],Brudnopis!$E$28:$J$28),0)</f>
        <v>5.2631578947368418E-2</v>
      </c>
      <c r="Y2948" s="35">
        <f>IF(Mecze[[#This Row],[Role]]="BR",Mecze[[#This Row],[/OB:90]]+Mecze[[#This Row],[/PC:90]],SUM(Mecze[[#This Row],[/PR:90]:[/BR:90]]))</f>
        <v>8.4210526315789472E-2</v>
      </c>
      <c r="Z2948" s="35">
        <f>IF(Mecze[[#This Row],[KC]]=0,SUM(Mecze[[#This Row],[/BRI]:[/NPI]]),SUM(Mecze[[#This Row],[/BRI]:[/NPI]])*0.6)</f>
        <v>0.4447368421052631</v>
      </c>
      <c r="AA2948" s="10">
        <f>IFERROR(Mecze[[#This Row],[BR]]/Mecze[[#This Row],[ST]],0)</f>
        <v>0</v>
      </c>
      <c r="AB2948">
        <f>ROUND(Mecze[[#This Row],[PD]]*Mecze[[#This Row],[%PC]],0)</f>
        <v>5</v>
      </c>
      <c r="AC2948">
        <f>ROUND(Mecze[[#This Row],[OD]]*Mecze[[#This Row],[%OU]],0)</f>
        <v>2</v>
      </c>
      <c r="AD2948" s="36" t="s">
        <v>171</v>
      </c>
      <c r="AE2948" s="36">
        <v>166</v>
      </c>
      <c r="AF2948" s="71">
        <v>4.12</v>
      </c>
      <c r="AG2948" s="37">
        <v>0</v>
      </c>
      <c r="AH2948" s="37">
        <v>0</v>
      </c>
      <c r="AI2948" s="37">
        <v>95</v>
      </c>
      <c r="AJ2948" s="37">
        <v>9</v>
      </c>
      <c r="AK2948" s="37" t="str">
        <f>VLOOKUP(Mecze[[#This Row],[Match ID]],Meczusie[Mecz]:Meczusie[RodzajMeczu],2,FALSE)</f>
        <v>Liga</v>
      </c>
    </row>
    <row r="2949" spans="1:37" x14ac:dyDescent="0.25">
      <c r="A2949" s="76">
        <v>9</v>
      </c>
      <c r="B2949" s="3" t="s">
        <v>296</v>
      </c>
      <c r="C2949" s="2" t="s">
        <v>165</v>
      </c>
      <c r="D2949" s="1">
        <v>0</v>
      </c>
      <c r="E2949" s="1">
        <v>2</v>
      </c>
      <c r="F2949" s="1">
        <v>2</v>
      </c>
      <c r="G2949" s="1">
        <v>7</v>
      </c>
      <c r="H2949" s="4">
        <v>0.71</v>
      </c>
      <c r="I2949" s="1">
        <v>2</v>
      </c>
      <c r="J2949" s="4">
        <v>0.5</v>
      </c>
      <c r="K2949" s="1">
        <v>0</v>
      </c>
      <c r="L2949" s="1">
        <v>1</v>
      </c>
      <c r="M2949" s="32">
        <f>IF(Mecze[[#This Row],[PR]]=0,0,Mecze[[#This Row],[PR]]/Mecze[[#This Row],[CZAS]])</f>
        <v>1.0526315789473684E-2</v>
      </c>
      <c r="N2949" s="32">
        <f>IF(Mecze[[#This Row],[OU]]=0,0,Mecze[[#This Row],[OU]]/Mecze[[#This Row],[CZAS]])</f>
        <v>1.0526315789473684E-2</v>
      </c>
      <c r="O2949" s="32">
        <f>IF(Mecze[[#This Row],[PC]]=0,0,Mecze[[#This Row],[PC]]/Mecze[[#This Row],[CZAS]])</f>
        <v>5.2631578947368418E-2</v>
      </c>
      <c r="P2949" s="32">
        <f>IF(Mecze[[#This Row],[SC]]=0,0,Mecze[[#This Row],[SC]]/Mecze[[#This Row],[CZAS]])</f>
        <v>2.1052631578947368E-2</v>
      </c>
      <c r="Q2949" s="32">
        <f>IF(Mecze[[#This Row],[OB]]=0,0,Mecze[[#This Row],[OB]]/Mecze[[#This Row],[CZAS]])</f>
        <v>0</v>
      </c>
      <c r="R2949" s="32">
        <f>IF(Mecze[[#This Row],[BR]]=0,0,Mecze[[#This Row],[BR]]/Mecze[[#This Row],[CZAS]])</f>
        <v>0</v>
      </c>
      <c r="S2949" s="44">
        <f>IF(Mecze[[#This Row],[Role]]="BR",SUMPRODUCT(Mecze[[#This Row],[/PR:90]:[/BR:90]],Brudnopis!$E$23:$J$23),0)</f>
        <v>0</v>
      </c>
      <c r="T2949" s="44">
        <f>IF(Mecze[[#This Row],[Role]]&lt;&gt;"BR",SUMPRODUCT(Mecze[[#This Row],[/PR:90]:[/BR:90]],Brudnopis!$E$24:$J$24),0)</f>
        <v>9.9999999999999992E-2</v>
      </c>
      <c r="U2949" s="44">
        <f>IF(Mecze[[#This Row],[Role]]&lt;&gt;"BR",SUMPRODUCT(Mecze[[#This Row],[/PR:90]:[/BR:90]],Brudnopis!$E$25:$J$25),0)</f>
        <v>0.12105263157894736</v>
      </c>
      <c r="V2949" s="44">
        <f>IF(Mecze[[#This Row],[Role]]&lt;&gt;"BR",SUMPRODUCT(Mecze[[#This Row],[/PR:90]:[/BR:90]],Brudnopis!$E$26:$J$26),0)</f>
        <v>9.4736842105263147E-2</v>
      </c>
      <c r="W2949" s="44">
        <f>IF(Mecze[[#This Row],[Role]]&lt;&gt;"BR",SUMPRODUCT(Mecze[[#This Row],[/PR:90]:[/BR:90]],Brudnopis!$E$27:$J$27),0)</f>
        <v>0.11578947368421051</v>
      </c>
      <c r="X2949" s="44">
        <f>IF(Mecze[[#This Row],[Role]]&lt;&gt;"BR",SUMPRODUCT(Mecze[[#This Row],[/PR:90]:[/BR:90]],Brudnopis!$E$28:$J$28),0)</f>
        <v>9.4736842105263147E-2</v>
      </c>
      <c r="Y2949" s="35">
        <f>IF(Mecze[[#This Row],[Role]]="BR",Mecze[[#This Row],[/OB:90]]+Mecze[[#This Row],[/PC:90]],SUM(Mecze[[#This Row],[/PR:90]:[/BR:90]]))</f>
        <v>9.4736842105263147E-2</v>
      </c>
      <c r="Z2949" s="35">
        <f>IF(Mecze[[#This Row],[KC]]=0,SUM(Mecze[[#This Row],[/BRI]:[/NPI]]),SUM(Mecze[[#This Row],[/BRI]:[/NPI]])*0.6)</f>
        <v>0.52631578947368418</v>
      </c>
      <c r="AA2949" s="10">
        <f>IFERROR(Mecze[[#This Row],[BR]]/Mecze[[#This Row],[ST]],0)</f>
        <v>0</v>
      </c>
      <c r="AB2949">
        <f>ROUND(Mecze[[#This Row],[PD]]*Mecze[[#This Row],[%PC]],0)</f>
        <v>5</v>
      </c>
      <c r="AC2949">
        <f>ROUND(Mecze[[#This Row],[OD]]*Mecze[[#This Row],[%OU]],0)</f>
        <v>1</v>
      </c>
      <c r="AD2949" s="36" t="s">
        <v>272</v>
      </c>
      <c r="AE2949" s="36">
        <v>166</v>
      </c>
      <c r="AF2949" s="71">
        <v>4.4800000000000004</v>
      </c>
      <c r="AG2949" s="37">
        <v>0</v>
      </c>
      <c r="AH2949" s="37">
        <v>0</v>
      </c>
      <c r="AI2949" s="37">
        <v>95</v>
      </c>
      <c r="AJ2949" s="37">
        <v>9</v>
      </c>
      <c r="AK2949" s="37" t="str">
        <f>VLOOKUP(Mecze[[#This Row],[Match ID]],Meczusie[Mecz]:Meczusie[RodzajMeczu],2,FALSE)</f>
        <v>Liga</v>
      </c>
    </row>
    <row r="2950" spans="1:37" x14ac:dyDescent="0.25">
      <c r="A2950" s="76">
        <v>6</v>
      </c>
      <c r="B2950" s="3" t="s">
        <v>297</v>
      </c>
      <c r="C2950" s="2" t="s">
        <v>165</v>
      </c>
      <c r="D2950" s="1">
        <v>1</v>
      </c>
      <c r="E2950" s="1">
        <v>7</v>
      </c>
      <c r="F2950" s="1">
        <v>6</v>
      </c>
      <c r="G2950" s="1">
        <v>12</v>
      </c>
      <c r="H2950" s="4">
        <v>0.75</v>
      </c>
      <c r="I2950" s="1">
        <v>1</v>
      </c>
      <c r="J2950" s="4">
        <v>0</v>
      </c>
      <c r="K2950" s="1">
        <v>0</v>
      </c>
      <c r="L2950" s="1">
        <v>0</v>
      </c>
      <c r="M2950" s="32">
        <f>IF(Mecze[[#This Row],[PR]]=0,0,Mecze[[#This Row],[PR]]/Mecze[[#This Row],[CZAS]])</f>
        <v>0</v>
      </c>
      <c r="N2950" s="32">
        <f>IF(Mecze[[#This Row],[OU]]=0,0,Mecze[[#This Row],[OU]]/Mecze[[#This Row],[CZAS]])</f>
        <v>0</v>
      </c>
      <c r="O2950" s="32">
        <f>IF(Mecze[[#This Row],[PC]]=0,0,Mecze[[#This Row],[PC]]/Mecze[[#This Row],[CZAS]])</f>
        <v>9.4736842105263161E-2</v>
      </c>
      <c r="P2950" s="32">
        <f>IF(Mecze[[#This Row],[SC]]=0,0,Mecze[[#This Row],[SC]]/Mecze[[#This Row],[CZAS]])</f>
        <v>6.3157894736842107E-2</v>
      </c>
      <c r="Q2950" s="32">
        <f>IF(Mecze[[#This Row],[OB]]=0,0,Mecze[[#This Row],[OB]]/Mecze[[#This Row],[CZAS]])</f>
        <v>0</v>
      </c>
      <c r="R2950" s="32">
        <f>IF(Mecze[[#This Row],[BR]]=0,0,Mecze[[#This Row],[BR]]/Mecze[[#This Row],[CZAS]])</f>
        <v>1.0526315789473684E-2</v>
      </c>
      <c r="S2950" s="44">
        <f>IF(Mecze[[#This Row],[Role]]="BR",SUMPRODUCT(Mecze[[#This Row],[/PR:90]:[/BR:90]],Brudnopis!$E$23:$J$23),0)</f>
        <v>0</v>
      </c>
      <c r="T2950" s="44">
        <f>IF(Mecze[[#This Row],[Role]]&lt;&gt;"BR",SUMPRODUCT(Mecze[[#This Row],[/PR:90]:[/BR:90]],Brudnopis!$E$24:$J$24),0)</f>
        <v>0.17368421052631577</v>
      </c>
      <c r="U2950" s="44">
        <f>IF(Mecze[[#This Row],[Role]]&lt;&gt;"BR",SUMPRODUCT(Mecze[[#This Row],[/PR:90]:[/BR:90]],Brudnopis!$E$25:$J$25),0)</f>
        <v>0.22105263157894736</v>
      </c>
      <c r="V2950" s="44">
        <f>IF(Mecze[[#This Row],[Role]]&lt;&gt;"BR",SUMPRODUCT(Mecze[[#This Row],[/PR:90]:[/BR:90]],Brudnopis!$E$26:$J$26),0)</f>
        <v>0.17894736842105263</v>
      </c>
      <c r="W2950" s="44">
        <f>IF(Mecze[[#This Row],[Role]]&lt;&gt;"BR",SUMPRODUCT(Mecze[[#This Row],[/PR:90]:[/BR:90]],Brudnopis!$E$27:$J$27),0)</f>
        <v>0.22631578947368422</v>
      </c>
      <c r="X2950" s="44">
        <f>IF(Mecze[[#This Row],[Role]]&lt;&gt;"BR",SUMPRODUCT(Mecze[[#This Row],[/PR:90]:[/BR:90]],Brudnopis!$E$28:$J$28),0)</f>
        <v>0.25263157894736843</v>
      </c>
      <c r="Y2950" s="35">
        <f>IF(Mecze[[#This Row],[Role]]="BR",Mecze[[#This Row],[/OB:90]]+Mecze[[#This Row],[/PC:90]],SUM(Mecze[[#This Row],[/PR:90]:[/BR:90]]))</f>
        <v>0.16842105263157894</v>
      </c>
      <c r="Z2950" s="35">
        <f>IF(Mecze[[#This Row],[KC]]=0,SUM(Mecze[[#This Row],[/BRI]:[/NPI]]),SUM(Mecze[[#This Row],[/BRI]:[/NPI]])*0.6)</f>
        <v>1.0526315789473686</v>
      </c>
      <c r="AA2950" s="10">
        <f>IFERROR(Mecze[[#This Row],[BR]]/Mecze[[#This Row],[ST]],0)</f>
        <v>0.14285714285714285</v>
      </c>
      <c r="AB2950">
        <f>ROUND(Mecze[[#This Row],[PD]]*Mecze[[#This Row],[%PC]],0)</f>
        <v>9</v>
      </c>
      <c r="AC2950">
        <f>ROUND(Mecze[[#This Row],[OD]]*Mecze[[#This Row],[%OU]],0)</f>
        <v>0</v>
      </c>
      <c r="AD2950" s="36" t="s">
        <v>46</v>
      </c>
      <c r="AE2950" s="36">
        <v>166</v>
      </c>
      <c r="AF2950" s="71">
        <v>7.66</v>
      </c>
      <c r="AG2950" s="37">
        <v>0</v>
      </c>
      <c r="AH2950" s="37">
        <v>0</v>
      </c>
      <c r="AI2950" s="37">
        <v>95</v>
      </c>
      <c r="AJ2950" s="37">
        <v>9</v>
      </c>
      <c r="AK2950" s="37" t="str">
        <f>VLOOKUP(Mecze[[#This Row],[Match ID]],Meczusie[Mecz]:Meczusie[RodzajMeczu],2,FALSE)</f>
        <v>Liga</v>
      </c>
    </row>
    <row r="2951" spans="1:37" x14ac:dyDescent="0.25">
      <c r="A2951" s="76">
        <v>102</v>
      </c>
      <c r="B2951" s="3" t="s">
        <v>417</v>
      </c>
      <c r="C2951" s="2" t="s">
        <v>155</v>
      </c>
      <c r="D2951" s="1">
        <v>0</v>
      </c>
      <c r="E2951" s="1">
        <v>0</v>
      </c>
      <c r="F2951" s="1">
        <v>0</v>
      </c>
      <c r="G2951" s="1">
        <v>11</v>
      </c>
      <c r="H2951" s="4">
        <v>0.64</v>
      </c>
      <c r="I2951" s="1">
        <v>0</v>
      </c>
      <c r="J2951" s="4"/>
      <c r="K2951" s="1">
        <v>10</v>
      </c>
      <c r="L2951" s="1">
        <v>0</v>
      </c>
      <c r="M2951" s="32">
        <f>IF(Mecze[[#This Row],[PR]]=0,0,Mecze[[#This Row],[PR]]/Mecze[[#This Row],[CZAS]])</f>
        <v>0</v>
      </c>
      <c r="N2951" s="32">
        <f>IF(Mecze[[#This Row],[OU]]=0,0,Mecze[[#This Row],[OU]]/Mecze[[#This Row],[CZAS]])</f>
        <v>0</v>
      </c>
      <c r="O2951" s="32">
        <f>IF(Mecze[[#This Row],[PC]]=0,0,Mecze[[#This Row],[PC]]/Mecze[[#This Row],[CZAS]])</f>
        <v>7.3684210526315783E-2</v>
      </c>
      <c r="P2951" s="32">
        <f>IF(Mecze[[#This Row],[SC]]=0,0,Mecze[[#This Row],[SC]]/Mecze[[#This Row],[CZAS]])</f>
        <v>0</v>
      </c>
      <c r="Q2951" s="32">
        <f>IF(Mecze[[#This Row],[OB]]=0,0,Mecze[[#This Row],[OB]]/Mecze[[#This Row],[CZAS]])</f>
        <v>0.10526315789473684</v>
      </c>
      <c r="R2951" s="32">
        <f>IF(Mecze[[#This Row],[BR]]=0,0,Mecze[[#This Row],[BR]]/Mecze[[#This Row],[CZAS]])</f>
        <v>0</v>
      </c>
      <c r="S2951" s="44">
        <f>IF(Mecze[[#This Row],[Role]]="BR",SUMPRODUCT(Mecze[[#This Row],[/PR:90]:[/BR:90]],Brudnopis!$E$23:$J$23),0)</f>
        <v>0.53684210526315779</v>
      </c>
      <c r="T2951" s="44">
        <f>IF(Mecze[[#This Row],[Role]]&lt;&gt;"BR",SUMPRODUCT(Mecze[[#This Row],[/PR:90]:[/BR:90]],Brudnopis!$E$24:$J$24),0)</f>
        <v>0</v>
      </c>
      <c r="U2951" s="44">
        <f>IF(Mecze[[#This Row],[Role]]&lt;&gt;"BR",SUMPRODUCT(Mecze[[#This Row],[/PR:90]:[/BR:90]],Brudnopis!$E$25:$J$25),0)</f>
        <v>0</v>
      </c>
      <c r="V2951" s="44">
        <f>IF(Mecze[[#This Row],[Role]]&lt;&gt;"BR",SUMPRODUCT(Mecze[[#This Row],[/PR:90]:[/BR:90]],Brudnopis!$E$26:$J$26),0)</f>
        <v>0</v>
      </c>
      <c r="W2951" s="44">
        <f>IF(Mecze[[#This Row],[Role]]&lt;&gt;"BR",SUMPRODUCT(Mecze[[#This Row],[/PR:90]:[/BR:90]],Brudnopis!$E$27:$J$27),0)</f>
        <v>0</v>
      </c>
      <c r="X2951" s="44">
        <f>IF(Mecze[[#This Row],[Role]]&lt;&gt;"BR",SUMPRODUCT(Mecze[[#This Row],[/PR:90]:[/BR:90]],Brudnopis!$E$28:$J$28),0)</f>
        <v>0</v>
      </c>
      <c r="Y2951" s="35">
        <f>IF(Mecze[[#This Row],[Role]]="BR",Mecze[[#This Row],[/OB:90]]+Mecze[[#This Row],[/PC:90]],SUM(Mecze[[#This Row],[/PR:90]:[/BR:90]]))</f>
        <v>0.17894736842105263</v>
      </c>
      <c r="Z2951" s="35">
        <f>IF(Mecze[[#This Row],[KC]]=0,SUM(Mecze[[#This Row],[/BRI]:[/NPI]]),SUM(Mecze[[#This Row],[/BRI]:[/NPI]])*0.6)</f>
        <v>0.53684210526315779</v>
      </c>
      <c r="AA2951" s="10">
        <f>IFERROR(Mecze[[#This Row],[BR]]/Mecze[[#This Row],[ST]],0)</f>
        <v>0</v>
      </c>
      <c r="AB2951">
        <f>ROUND(Mecze[[#This Row],[PD]]*Mecze[[#This Row],[%PC]],0)</f>
        <v>7</v>
      </c>
      <c r="AC2951">
        <f>ROUND(Mecze[[#This Row],[OD]]*Mecze[[#This Row],[%OU]],0)</f>
        <v>0</v>
      </c>
      <c r="AD2951" s="36" t="s">
        <v>40</v>
      </c>
      <c r="AE2951" s="36">
        <v>166</v>
      </c>
      <c r="AF2951" s="71">
        <v>7.42</v>
      </c>
      <c r="AG2951" s="37">
        <v>0</v>
      </c>
      <c r="AH2951" s="37">
        <v>0</v>
      </c>
      <c r="AI2951" s="37">
        <v>95</v>
      </c>
      <c r="AJ2951" s="37">
        <v>6</v>
      </c>
      <c r="AK2951" s="37" t="str">
        <f>VLOOKUP(Mecze[[#This Row],[Match ID]],Meczusie[Mecz]:Meczusie[RodzajMeczu],2,FALSE)</f>
        <v>Liga</v>
      </c>
    </row>
    <row r="2952" spans="1:37" x14ac:dyDescent="0.25">
      <c r="A2952" s="76">
        <v>101</v>
      </c>
      <c r="B2952" s="3" t="s">
        <v>248</v>
      </c>
      <c r="C2952" s="2" t="s">
        <v>157</v>
      </c>
      <c r="D2952" s="1">
        <v>0</v>
      </c>
      <c r="E2952" s="1">
        <v>0</v>
      </c>
      <c r="F2952" s="1">
        <v>0</v>
      </c>
      <c r="G2952" s="1">
        <v>6</v>
      </c>
      <c r="H2952" s="4">
        <v>0.67</v>
      </c>
      <c r="I2952" s="1">
        <v>8</v>
      </c>
      <c r="J2952" s="4">
        <v>0.38</v>
      </c>
      <c r="K2952" s="1">
        <v>0</v>
      </c>
      <c r="L2952" s="1">
        <v>0</v>
      </c>
      <c r="M2952" s="32">
        <f>IF(Mecze[[#This Row],[PR]]=0,0,Mecze[[#This Row],[PR]]/Mecze[[#This Row],[CZAS]])</f>
        <v>0</v>
      </c>
      <c r="N2952" s="32">
        <f>IF(Mecze[[#This Row],[OU]]=0,0,Mecze[[#This Row],[OU]]/Mecze[[#This Row],[CZAS]])</f>
        <v>3.1578947368421054E-2</v>
      </c>
      <c r="O2952" s="32">
        <f>IF(Mecze[[#This Row],[PC]]=0,0,Mecze[[#This Row],[PC]]/Mecze[[#This Row],[CZAS]])</f>
        <v>4.2105263157894736E-2</v>
      </c>
      <c r="P2952" s="32">
        <f>IF(Mecze[[#This Row],[SC]]=0,0,Mecze[[#This Row],[SC]]/Mecze[[#This Row],[CZAS]])</f>
        <v>0</v>
      </c>
      <c r="Q2952" s="32">
        <f>IF(Mecze[[#This Row],[OB]]=0,0,Mecze[[#This Row],[OB]]/Mecze[[#This Row],[CZAS]])</f>
        <v>0</v>
      </c>
      <c r="R2952" s="32">
        <f>IF(Mecze[[#This Row],[BR]]=0,0,Mecze[[#This Row],[BR]]/Mecze[[#This Row],[CZAS]])</f>
        <v>0</v>
      </c>
      <c r="S2952" s="44">
        <f>IF(Mecze[[#This Row],[Role]]="BR",SUMPRODUCT(Mecze[[#This Row],[/PR:90]:[/BR:90]],Brudnopis!$E$23:$J$23),0)</f>
        <v>0</v>
      </c>
      <c r="T2952" s="44">
        <f>IF(Mecze[[#This Row],[Role]]&lt;&gt;"BR",SUMPRODUCT(Mecze[[#This Row],[/PR:90]:[/BR:90]],Brudnopis!$E$24:$J$24),0)</f>
        <v>8.9473684210526316E-2</v>
      </c>
      <c r="U2952" s="44">
        <f>IF(Mecze[[#This Row],[Role]]&lt;&gt;"BR",SUMPRODUCT(Mecze[[#This Row],[/PR:90]:[/BR:90]],Brudnopis!$E$25:$J$25),0)</f>
        <v>9.4736842105263161E-2</v>
      </c>
      <c r="V2952" s="44">
        <f>IF(Mecze[[#This Row],[Role]]&lt;&gt;"BR",SUMPRODUCT(Mecze[[#This Row],[/PR:90]:[/BR:90]],Brudnopis!$E$26:$J$26),0)</f>
        <v>7.3684210526315796E-2</v>
      </c>
      <c r="W2952" s="44">
        <f>IF(Mecze[[#This Row],[Role]]&lt;&gt;"BR",SUMPRODUCT(Mecze[[#This Row],[/PR:90]:[/BR:90]],Brudnopis!$E$27:$J$27),0)</f>
        <v>8.6842105263157901E-2</v>
      </c>
      <c r="X2952" s="44">
        <f>IF(Mecze[[#This Row],[Role]]&lt;&gt;"BR",SUMPRODUCT(Mecze[[#This Row],[/PR:90]:[/BR:90]],Brudnopis!$E$28:$J$28),0)</f>
        <v>4.2105263157894736E-2</v>
      </c>
      <c r="Y2952" s="35">
        <f>IF(Mecze[[#This Row],[Role]]="BR",Mecze[[#This Row],[/OB:90]]+Mecze[[#This Row],[/PC:90]],SUM(Mecze[[#This Row],[/PR:90]:[/BR:90]]))</f>
        <v>7.3684210526315796E-2</v>
      </c>
      <c r="Z2952" s="35">
        <f>IF(Mecze[[#This Row],[KC]]=0,SUM(Mecze[[#This Row],[/BRI]:[/NPI]]),SUM(Mecze[[#This Row],[/BRI]:[/NPI]])*0.6)</f>
        <v>0.38684210526315793</v>
      </c>
      <c r="AA2952" s="10">
        <f>IFERROR(Mecze[[#This Row],[BR]]/Mecze[[#This Row],[ST]],0)</f>
        <v>0</v>
      </c>
      <c r="AB2952">
        <f>ROUND(Mecze[[#This Row],[PD]]*Mecze[[#This Row],[%PC]],0)</f>
        <v>4</v>
      </c>
      <c r="AC2952">
        <f>ROUND(Mecze[[#This Row],[OD]]*Mecze[[#This Row],[%OU]],0)</f>
        <v>3</v>
      </c>
      <c r="AD2952" s="36" t="s">
        <v>47</v>
      </c>
      <c r="AE2952" s="36">
        <v>166</v>
      </c>
      <c r="AF2952" s="71">
        <v>2.7</v>
      </c>
      <c r="AG2952" s="37">
        <v>0</v>
      </c>
      <c r="AH2952" s="37">
        <v>0</v>
      </c>
      <c r="AI2952" s="37">
        <v>95</v>
      </c>
      <c r="AJ2952" s="37">
        <v>6</v>
      </c>
      <c r="AK2952" s="37" t="str">
        <f>VLOOKUP(Mecze[[#This Row],[Match ID]],Meczusie[Mecz]:Meczusie[RodzajMeczu],2,FALSE)</f>
        <v>Liga</v>
      </c>
    </row>
    <row r="2953" spans="1:37" x14ac:dyDescent="0.25">
      <c r="A2953" s="76">
        <v>2</v>
      </c>
      <c r="B2953" s="3" t="s">
        <v>249</v>
      </c>
      <c r="C2953" s="2" t="s">
        <v>157</v>
      </c>
      <c r="D2953" s="1">
        <v>0</v>
      </c>
      <c r="E2953" s="1">
        <v>0</v>
      </c>
      <c r="F2953" s="1">
        <v>0</v>
      </c>
      <c r="G2953" s="1">
        <v>7</v>
      </c>
      <c r="H2953" s="4">
        <v>0.86</v>
      </c>
      <c r="I2953" s="1">
        <v>5</v>
      </c>
      <c r="J2953" s="4">
        <v>0.4</v>
      </c>
      <c r="K2953" s="1">
        <v>0</v>
      </c>
      <c r="L2953" s="1">
        <v>6</v>
      </c>
      <c r="M2953" s="32">
        <f>IF(Mecze[[#This Row],[PR]]=0,0,Mecze[[#This Row],[PR]]/Mecze[[#This Row],[CZAS]])</f>
        <v>7.2289156626506021E-2</v>
      </c>
      <c r="N2953" s="32">
        <f>IF(Mecze[[#This Row],[OU]]=0,0,Mecze[[#This Row],[OU]]/Mecze[[#This Row],[CZAS]])</f>
        <v>2.4096385542168676E-2</v>
      </c>
      <c r="O2953" s="32">
        <f>IF(Mecze[[#This Row],[PC]]=0,0,Mecze[[#This Row],[PC]]/Mecze[[#This Row],[CZAS]])</f>
        <v>7.2289156626506021E-2</v>
      </c>
      <c r="P2953" s="32">
        <f>IF(Mecze[[#This Row],[SC]]=0,0,Mecze[[#This Row],[SC]]/Mecze[[#This Row],[CZAS]])</f>
        <v>0</v>
      </c>
      <c r="Q2953" s="32">
        <f>IF(Mecze[[#This Row],[OB]]=0,0,Mecze[[#This Row],[OB]]/Mecze[[#This Row],[CZAS]])</f>
        <v>0</v>
      </c>
      <c r="R2953" s="32">
        <f>IF(Mecze[[#This Row],[BR]]=0,0,Mecze[[#This Row],[BR]]/Mecze[[#This Row],[CZAS]])</f>
        <v>0</v>
      </c>
      <c r="S2953" s="44">
        <f>IF(Mecze[[#This Row],[Role]]="BR",SUMPRODUCT(Mecze[[#This Row],[/PR:90]:[/BR:90]],Brudnopis!$E$23:$J$23),0)</f>
        <v>0</v>
      </c>
      <c r="T2953" s="44">
        <f>IF(Mecze[[#This Row],[Role]]&lt;&gt;"BR",SUMPRODUCT(Mecze[[#This Row],[/PR:90]:[/BR:90]],Brudnopis!$E$24:$J$24),0)</f>
        <v>0.18072289156626506</v>
      </c>
      <c r="U2953" s="44">
        <f>IF(Mecze[[#This Row],[Role]]&lt;&gt;"BR",SUMPRODUCT(Mecze[[#This Row],[/PR:90]:[/BR:90]],Brudnopis!$E$25:$J$25),0)</f>
        <v>0.20481927710843373</v>
      </c>
      <c r="V2953" s="44">
        <f>IF(Mecze[[#This Row],[Role]]&lt;&gt;"BR",SUMPRODUCT(Mecze[[#This Row],[/PR:90]:[/BR:90]],Brudnopis!$E$26:$J$26),0)</f>
        <v>0.16867469879518071</v>
      </c>
      <c r="W2953" s="44">
        <f>IF(Mecze[[#This Row],[Role]]&lt;&gt;"BR",SUMPRODUCT(Mecze[[#This Row],[/PR:90]:[/BR:90]],Brudnopis!$E$27:$J$27),0)</f>
        <v>0.18072289156626503</v>
      </c>
      <c r="X2953" s="44">
        <f>IF(Mecze[[#This Row],[Role]]&lt;&gt;"BR",SUMPRODUCT(Mecze[[#This Row],[/PR:90]:[/BR:90]],Brudnopis!$E$28:$J$28),0)</f>
        <v>7.2289156626506021E-2</v>
      </c>
      <c r="Y2953" s="35">
        <f>IF(Mecze[[#This Row],[Role]]="BR",Mecze[[#This Row],[/OB:90]]+Mecze[[#This Row],[/PC:90]],SUM(Mecze[[#This Row],[/PR:90]:[/BR:90]]))</f>
        <v>0.16867469879518071</v>
      </c>
      <c r="Z2953" s="35">
        <f>IF(Mecze[[#This Row],[KC]]=0,SUM(Mecze[[#This Row],[/BRI]:[/NPI]]),SUM(Mecze[[#This Row],[/BRI]:[/NPI]])*0.6)</f>
        <v>0.80722891566265065</v>
      </c>
      <c r="AA2953" s="10">
        <f>IFERROR(Mecze[[#This Row],[BR]]/Mecze[[#This Row],[ST]],0)</f>
        <v>0</v>
      </c>
      <c r="AB2953">
        <f>ROUND(Mecze[[#This Row],[PD]]*Mecze[[#This Row],[%PC]],0)</f>
        <v>6</v>
      </c>
      <c r="AC2953">
        <f>ROUND(Mecze[[#This Row],[OD]]*Mecze[[#This Row],[%OU]],0)</f>
        <v>2</v>
      </c>
      <c r="AD2953" s="36" t="s">
        <v>167</v>
      </c>
      <c r="AE2953" s="36">
        <v>166</v>
      </c>
      <c r="AF2953" s="71">
        <v>3.96</v>
      </c>
      <c r="AG2953" s="37">
        <v>0</v>
      </c>
      <c r="AH2953" s="37">
        <v>0</v>
      </c>
      <c r="AI2953" s="37">
        <v>83</v>
      </c>
      <c r="AJ2953" s="37">
        <v>6</v>
      </c>
      <c r="AK2953" s="37" t="str">
        <f>VLOOKUP(Mecze[[#This Row],[Match ID]],Meczusie[Mecz]:Meczusie[RodzajMeczu],2,FALSE)</f>
        <v>Liga</v>
      </c>
    </row>
    <row r="2954" spans="1:37" x14ac:dyDescent="0.25">
      <c r="A2954" s="76">
        <v>7</v>
      </c>
      <c r="B2954" s="3" t="s">
        <v>251</v>
      </c>
      <c r="C2954" s="2" t="s">
        <v>157</v>
      </c>
      <c r="D2954" s="1">
        <v>0</v>
      </c>
      <c r="E2954" s="1">
        <v>0</v>
      </c>
      <c r="F2954" s="1">
        <v>0</v>
      </c>
      <c r="G2954" s="1">
        <v>11</v>
      </c>
      <c r="H2954" s="4">
        <v>0.55000000000000004</v>
      </c>
      <c r="I2954" s="1">
        <v>11</v>
      </c>
      <c r="J2954" s="4">
        <v>0.64</v>
      </c>
      <c r="K2954" s="1">
        <v>0</v>
      </c>
      <c r="L2954" s="1">
        <v>8</v>
      </c>
      <c r="M2954" s="32">
        <f>IF(Mecze[[#This Row],[PR]]=0,0,Mecze[[#This Row],[PR]]/Mecze[[#This Row],[CZAS]])</f>
        <v>8.4210526315789472E-2</v>
      </c>
      <c r="N2954" s="32">
        <f>IF(Mecze[[#This Row],[OU]]=0,0,Mecze[[#This Row],[OU]]/Mecze[[#This Row],[CZAS]])</f>
        <v>7.3684210526315783E-2</v>
      </c>
      <c r="O2954" s="32">
        <f>IF(Mecze[[#This Row],[PC]]=0,0,Mecze[[#This Row],[PC]]/Mecze[[#This Row],[CZAS]])</f>
        <v>6.3157894736842107E-2</v>
      </c>
      <c r="P2954" s="32">
        <f>IF(Mecze[[#This Row],[SC]]=0,0,Mecze[[#This Row],[SC]]/Mecze[[#This Row],[CZAS]])</f>
        <v>0</v>
      </c>
      <c r="Q2954" s="32">
        <f>IF(Mecze[[#This Row],[OB]]=0,0,Mecze[[#This Row],[OB]]/Mecze[[#This Row],[CZAS]])</f>
        <v>0</v>
      </c>
      <c r="R2954" s="32">
        <f>IF(Mecze[[#This Row],[BR]]=0,0,Mecze[[#This Row],[BR]]/Mecze[[#This Row],[CZAS]])</f>
        <v>0</v>
      </c>
      <c r="S2954" s="44">
        <f>IF(Mecze[[#This Row],[Role]]="BR",SUMPRODUCT(Mecze[[#This Row],[/PR:90]:[/BR:90]],Brudnopis!$E$23:$J$23),0)</f>
        <v>0</v>
      </c>
      <c r="T2954" s="44">
        <f>IF(Mecze[[#This Row],[Role]]&lt;&gt;"BR",SUMPRODUCT(Mecze[[#This Row],[/PR:90]:[/BR:90]],Brudnopis!$E$24:$J$24),0)</f>
        <v>0.25789473684210529</v>
      </c>
      <c r="U2954" s="44">
        <f>IF(Mecze[[#This Row],[Role]]&lt;&gt;"BR",SUMPRODUCT(Mecze[[#This Row],[/PR:90]:[/BR:90]],Brudnopis!$E$25:$J$25),0)</f>
        <v>0.25263157894736843</v>
      </c>
      <c r="V2954" s="44">
        <f>IF(Mecze[[#This Row],[Role]]&lt;&gt;"BR",SUMPRODUCT(Mecze[[#This Row],[/PR:90]:[/BR:90]],Brudnopis!$E$26:$J$26),0)</f>
        <v>0.22105263157894736</v>
      </c>
      <c r="W2954" s="44">
        <f>IF(Mecze[[#This Row],[Role]]&lt;&gt;"BR",SUMPRODUCT(Mecze[[#This Row],[/PR:90]:[/BR:90]],Brudnopis!$E$27:$J$27),0)</f>
        <v>0.2131578947368421</v>
      </c>
      <c r="X2954" s="44">
        <f>IF(Mecze[[#This Row],[Role]]&lt;&gt;"BR",SUMPRODUCT(Mecze[[#This Row],[/PR:90]:[/BR:90]],Brudnopis!$E$28:$J$28),0)</f>
        <v>6.3157894736842107E-2</v>
      </c>
      <c r="Y2954" s="35">
        <f>IF(Mecze[[#This Row],[Role]]="BR",Mecze[[#This Row],[/OB:90]]+Mecze[[#This Row],[/PC:90]],SUM(Mecze[[#This Row],[/PR:90]:[/BR:90]]))</f>
        <v>0.22105263157894736</v>
      </c>
      <c r="Z2954" s="35">
        <f>IF(Mecze[[#This Row],[KC]]=0,SUM(Mecze[[#This Row],[/BRI]:[/NPI]]),SUM(Mecze[[#This Row],[/BRI]:[/NPI]])*0.6)</f>
        <v>1.0078947368421054</v>
      </c>
      <c r="AA2954" s="10">
        <f>IFERROR(Mecze[[#This Row],[BR]]/Mecze[[#This Row],[ST]],0)</f>
        <v>0</v>
      </c>
      <c r="AB2954">
        <f>ROUND(Mecze[[#This Row],[PD]]*Mecze[[#This Row],[%PC]],0)</f>
        <v>6</v>
      </c>
      <c r="AC2954">
        <f>ROUND(Mecze[[#This Row],[OD]]*Mecze[[#This Row],[%OU]],0)</f>
        <v>7</v>
      </c>
      <c r="AD2954" s="36" t="s">
        <v>168</v>
      </c>
      <c r="AE2954" s="36">
        <v>166</v>
      </c>
      <c r="AF2954" s="71">
        <v>5.5</v>
      </c>
      <c r="AG2954" s="37">
        <v>0</v>
      </c>
      <c r="AH2954" s="37">
        <v>0</v>
      </c>
      <c r="AI2954" s="37">
        <v>95</v>
      </c>
      <c r="AJ2954" s="37">
        <v>6</v>
      </c>
      <c r="AK2954" s="37" t="str">
        <f>VLOOKUP(Mecze[[#This Row],[Match ID]],Meczusie[Mecz]:Meczusie[RodzajMeczu],2,FALSE)</f>
        <v>Liga</v>
      </c>
    </row>
    <row r="2955" spans="1:37" x14ac:dyDescent="0.25">
      <c r="A2955" s="76">
        <v>8</v>
      </c>
      <c r="B2955" s="3" t="s">
        <v>254</v>
      </c>
      <c r="C2955" s="2" t="s">
        <v>160</v>
      </c>
      <c r="D2955" s="1">
        <v>0</v>
      </c>
      <c r="E2955" s="1">
        <v>0</v>
      </c>
      <c r="F2955" s="1">
        <v>0</v>
      </c>
      <c r="G2955" s="1">
        <v>12</v>
      </c>
      <c r="H2955" s="4">
        <v>0.75</v>
      </c>
      <c r="I2955" s="1">
        <v>13</v>
      </c>
      <c r="J2955" s="4">
        <v>0.31</v>
      </c>
      <c r="K2955" s="1">
        <v>0</v>
      </c>
      <c r="L2955" s="1">
        <v>2</v>
      </c>
      <c r="M2955" s="32">
        <f>IF(Mecze[[#This Row],[PR]]=0,0,Mecze[[#This Row],[PR]]/Mecze[[#This Row],[CZAS]])</f>
        <v>2.1052631578947368E-2</v>
      </c>
      <c r="N2955" s="32">
        <f>IF(Mecze[[#This Row],[OU]]=0,0,Mecze[[#This Row],[OU]]/Mecze[[#This Row],[CZAS]])</f>
        <v>4.2105263157894736E-2</v>
      </c>
      <c r="O2955" s="32">
        <f>IF(Mecze[[#This Row],[PC]]=0,0,Mecze[[#This Row],[PC]]/Mecze[[#This Row],[CZAS]])</f>
        <v>9.4736842105263161E-2</v>
      </c>
      <c r="P2955" s="32">
        <f>IF(Mecze[[#This Row],[SC]]=0,0,Mecze[[#This Row],[SC]]/Mecze[[#This Row],[CZAS]])</f>
        <v>0</v>
      </c>
      <c r="Q2955" s="32">
        <f>IF(Mecze[[#This Row],[OB]]=0,0,Mecze[[#This Row],[OB]]/Mecze[[#This Row],[CZAS]])</f>
        <v>0</v>
      </c>
      <c r="R2955" s="32">
        <f>IF(Mecze[[#This Row],[BR]]=0,0,Mecze[[#This Row],[BR]]/Mecze[[#This Row],[CZAS]])</f>
        <v>0</v>
      </c>
      <c r="S2955" s="44">
        <f>IF(Mecze[[#This Row],[Role]]="BR",SUMPRODUCT(Mecze[[#This Row],[/PR:90]:[/BR:90]],Brudnopis!$E$23:$J$23),0)</f>
        <v>0</v>
      </c>
      <c r="T2955" s="44">
        <f>IF(Mecze[[#This Row],[Role]]&lt;&gt;"BR",SUMPRODUCT(Mecze[[#This Row],[/PR:90]:[/BR:90]],Brudnopis!$E$24:$J$24),0)</f>
        <v>0.17894736842105263</v>
      </c>
      <c r="U2955" s="44">
        <f>IF(Mecze[[#This Row],[Role]]&lt;&gt;"BR",SUMPRODUCT(Mecze[[#This Row],[/PR:90]:[/BR:90]],Brudnopis!$E$25:$J$25),0)</f>
        <v>0.20526315789473684</v>
      </c>
      <c r="V2955" s="44">
        <f>IF(Mecze[[#This Row],[Role]]&lt;&gt;"BR",SUMPRODUCT(Mecze[[#This Row],[/PR:90]:[/BR:90]],Brudnopis!$E$26:$J$26),0)</f>
        <v>0.15789473684210525</v>
      </c>
      <c r="W2955" s="44">
        <f>IF(Mecze[[#This Row],[Role]]&lt;&gt;"BR",SUMPRODUCT(Mecze[[#This Row],[/PR:90]:[/BR:90]],Brudnopis!$E$27:$J$27),0)</f>
        <v>0.18947368421052632</v>
      </c>
      <c r="X2955" s="44">
        <f>IF(Mecze[[#This Row],[Role]]&lt;&gt;"BR",SUMPRODUCT(Mecze[[#This Row],[/PR:90]:[/BR:90]],Brudnopis!$E$28:$J$28),0)</f>
        <v>9.4736842105263161E-2</v>
      </c>
      <c r="Y2955" s="35">
        <f>IF(Mecze[[#This Row],[Role]]="BR",Mecze[[#This Row],[/OB:90]]+Mecze[[#This Row],[/PC:90]],SUM(Mecze[[#This Row],[/PR:90]:[/BR:90]]))</f>
        <v>0.15789473684210525</v>
      </c>
      <c r="Z2955" s="35">
        <f>IF(Mecze[[#This Row],[KC]]=0,SUM(Mecze[[#This Row],[/BRI]:[/NPI]]),SUM(Mecze[[#This Row],[/BRI]:[/NPI]])*0.6)</f>
        <v>0.82631578947368411</v>
      </c>
      <c r="AA2955" s="10">
        <f>IFERROR(Mecze[[#This Row],[BR]]/Mecze[[#This Row],[ST]],0)</f>
        <v>0</v>
      </c>
      <c r="AB2955">
        <f>ROUND(Mecze[[#This Row],[PD]]*Mecze[[#This Row],[%PC]],0)</f>
        <v>9</v>
      </c>
      <c r="AC2955">
        <f>ROUND(Mecze[[#This Row],[OD]]*Mecze[[#This Row],[%OU]],0)</f>
        <v>4</v>
      </c>
      <c r="AD2955" s="36" t="s">
        <v>41</v>
      </c>
      <c r="AE2955" s="36">
        <v>166</v>
      </c>
      <c r="AF2955" s="71">
        <v>4.33</v>
      </c>
      <c r="AG2955" s="37">
        <v>0</v>
      </c>
      <c r="AH2955" s="37">
        <v>0</v>
      </c>
      <c r="AI2955" s="37">
        <v>95</v>
      </c>
      <c r="AJ2955" s="37">
        <v>6</v>
      </c>
      <c r="AK2955" s="37" t="str">
        <f>VLOOKUP(Mecze[[#This Row],[Match ID]],Meczusie[Mecz]:Meczusie[RodzajMeczu],2,FALSE)</f>
        <v>Liga</v>
      </c>
    </row>
    <row r="2956" spans="1:37" x14ac:dyDescent="0.25">
      <c r="A2956" s="76">
        <v>10</v>
      </c>
      <c r="B2956" s="3" t="s">
        <v>252</v>
      </c>
      <c r="C2956" s="2" t="s">
        <v>160</v>
      </c>
      <c r="D2956" s="1">
        <v>0</v>
      </c>
      <c r="E2956" s="1">
        <v>1</v>
      </c>
      <c r="F2956" s="1">
        <v>1</v>
      </c>
      <c r="G2956" s="1">
        <v>12</v>
      </c>
      <c r="H2956" s="4">
        <v>0.67</v>
      </c>
      <c r="I2956" s="1">
        <v>5</v>
      </c>
      <c r="J2956" s="4">
        <v>0.4</v>
      </c>
      <c r="K2956" s="1">
        <v>0</v>
      </c>
      <c r="L2956" s="1">
        <v>4</v>
      </c>
      <c r="M2956" s="32">
        <f>IF(Mecze[[#This Row],[PR]]=0,0,Mecze[[#This Row],[PR]]/Mecze[[#This Row],[CZAS]])</f>
        <v>4.2105263157894736E-2</v>
      </c>
      <c r="N2956" s="32">
        <f>IF(Mecze[[#This Row],[OU]]=0,0,Mecze[[#This Row],[OU]]/Mecze[[#This Row],[CZAS]])</f>
        <v>2.1052631578947368E-2</v>
      </c>
      <c r="O2956" s="32">
        <f>IF(Mecze[[#This Row],[PC]]=0,0,Mecze[[#This Row],[PC]]/Mecze[[#This Row],[CZAS]])</f>
        <v>8.4210526315789472E-2</v>
      </c>
      <c r="P2956" s="32">
        <f>IF(Mecze[[#This Row],[SC]]=0,0,Mecze[[#This Row],[SC]]/Mecze[[#This Row],[CZAS]])</f>
        <v>1.0526315789473684E-2</v>
      </c>
      <c r="Q2956" s="32">
        <f>IF(Mecze[[#This Row],[OB]]=0,0,Mecze[[#This Row],[OB]]/Mecze[[#This Row],[CZAS]])</f>
        <v>0</v>
      </c>
      <c r="R2956" s="32">
        <f>IF(Mecze[[#This Row],[BR]]=0,0,Mecze[[#This Row],[BR]]/Mecze[[#This Row],[CZAS]])</f>
        <v>0</v>
      </c>
      <c r="S2956" s="44">
        <f>IF(Mecze[[#This Row],[Role]]="BR",SUMPRODUCT(Mecze[[#This Row],[/PR:90]:[/BR:90]],Brudnopis!$E$23:$J$23),0)</f>
        <v>0</v>
      </c>
      <c r="T2956" s="44">
        <f>IF(Mecze[[#This Row],[Role]]&lt;&gt;"BR",SUMPRODUCT(Mecze[[#This Row],[/PR:90]:[/BR:90]],Brudnopis!$E$24:$J$24),0)</f>
        <v>0.16842105263157894</v>
      </c>
      <c r="U2956" s="44">
        <f>IF(Mecze[[#This Row],[Role]]&lt;&gt;"BR",SUMPRODUCT(Mecze[[#This Row],[/PR:90]:[/BR:90]],Brudnopis!$E$25:$J$25),0)</f>
        <v>0.2</v>
      </c>
      <c r="V2956" s="44">
        <f>IF(Mecze[[#This Row],[Role]]&lt;&gt;"BR",SUMPRODUCT(Mecze[[#This Row],[/PR:90]:[/BR:90]],Brudnopis!$E$26:$J$26),0)</f>
        <v>0.15789473684210528</v>
      </c>
      <c r="W2956" s="44">
        <f>IF(Mecze[[#This Row],[Role]]&lt;&gt;"BR",SUMPRODUCT(Mecze[[#This Row],[/PR:90]:[/BR:90]],Brudnopis!$E$27:$J$27),0)</f>
        <v>0.18421052631578949</v>
      </c>
      <c r="X2956" s="44">
        <f>IF(Mecze[[#This Row],[Role]]&lt;&gt;"BR",SUMPRODUCT(Mecze[[#This Row],[/PR:90]:[/BR:90]],Brudnopis!$E$28:$J$28),0)</f>
        <v>0.10526315789473684</v>
      </c>
      <c r="Y2956" s="35">
        <f>IF(Mecze[[#This Row],[Role]]="BR",Mecze[[#This Row],[/OB:90]]+Mecze[[#This Row],[/PC:90]],SUM(Mecze[[#This Row],[/PR:90]:[/BR:90]]))</f>
        <v>0.15789473684210528</v>
      </c>
      <c r="Z2956" s="35">
        <f>IF(Mecze[[#This Row],[KC]]=0,SUM(Mecze[[#This Row],[/BRI]:[/NPI]]),SUM(Mecze[[#This Row],[/BRI]:[/NPI]])*0.6)</f>
        <v>0.81578947368421062</v>
      </c>
      <c r="AA2956" s="10">
        <f>IFERROR(Mecze[[#This Row],[BR]]/Mecze[[#This Row],[ST]],0)</f>
        <v>0</v>
      </c>
      <c r="AB2956">
        <f>ROUND(Mecze[[#This Row],[PD]]*Mecze[[#This Row],[%PC]],0)</f>
        <v>8</v>
      </c>
      <c r="AC2956">
        <f>ROUND(Mecze[[#This Row],[OD]]*Mecze[[#This Row],[%OU]],0)</f>
        <v>2</v>
      </c>
      <c r="AD2956" s="36" t="s">
        <v>318</v>
      </c>
      <c r="AE2956" s="36">
        <v>166</v>
      </c>
      <c r="AF2956" s="71">
        <v>4.9800000000000004</v>
      </c>
      <c r="AG2956" s="37">
        <v>0</v>
      </c>
      <c r="AH2956" s="37">
        <v>0</v>
      </c>
      <c r="AI2956" s="37">
        <v>95</v>
      </c>
      <c r="AJ2956" s="37">
        <v>6</v>
      </c>
      <c r="AK2956" s="37" t="str">
        <f>VLOOKUP(Mecze[[#This Row],[Match ID]],Meczusie[Mecz]:Meczusie[RodzajMeczu],2,FALSE)</f>
        <v>Liga</v>
      </c>
    </row>
    <row r="2957" spans="1:37" x14ac:dyDescent="0.25">
      <c r="A2957" s="76">
        <v>11</v>
      </c>
      <c r="B2957" s="3" t="s">
        <v>250</v>
      </c>
      <c r="C2957" s="2" t="s">
        <v>160</v>
      </c>
      <c r="D2957" s="1">
        <v>0</v>
      </c>
      <c r="E2957" s="1">
        <v>1</v>
      </c>
      <c r="F2957" s="1">
        <v>1</v>
      </c>
      <c r="G2957" s="1">
        <v>4</v>
      </c>
      <c r="H2957" s="4">
        <v>0.75</v>
      </c>
      <c r="I2957" s="1">
        <v>2</v>
      </c>
      <c r="J2957" s="4">
        <v>0</v>
      </c>
      <c r="K2957" s="1">
        <v>0</v>
      </c>
      <c r="L2957" s="1">
        <v>1</v>
      </c>
      <c r="M2957" s="32">
        <f>IF(Mecze[[#This Row],[PR]]=0,0,Mecze[[#This Row],[PR]]/Mecze[[#This Row],[CZAS]])</f>
        <v>1.3888888888888888E-2</v>
      </c>
      <c r="N2957" s="32">
        <f>IF(Mecze[[#This Row],[OU]]=0,0,Mecze[[#This Row],[OU]]/Mecze[[#This Row],[CZAS]])</f>
        <v>0</v>
      </c>
      <c r="O2957" s="32">
        <f>IF(Mecze[[#This Row],[PC]]=0,0,Mecze[[#This Row],[PC]]/Mecze[[#This Row],[CZAS]])</f>
        <v>4.1666666666666664E-2</v>
      </c>
      <c r="P2957" s="32">
        <f>IF(Mecze[[#This Row],[SC]]=0,0,Mecze[[#This Row],[SC]]/Mecze[[#This Row],[CZAS]])</f>
        <v>1.3888888888888888E-2</v>
      </c>
      <c r="Q2957" s="32">
        <f>IF(Mecze[[#This Row],[OB]]=0,0,Mecze[[#This Row],[OB]]/Mecze[[#This Row],[CZAS]])</f>
        <v>0</v>
      </c>
      <c r="R2957" s="32">
        <f>IF(Mecze[[#This Row],[BR]]=0,0,Mecze[[#This Row],[BR]]/Mecze[[#This Row],[CZAS]])</f>
        <v>0</v>
      </c>
      <c r="S2957" s="44">
        <f>IF(Mecze[[#This Row],[Role]]="BR",SUMPRODUCT(Mecze[[#This Row],[/PR:90]:[/BR:90]],Brudnopis!$E$23:$J$23),0)</f>
        <v>0</v>
      </c>
      <c r="T2957" s="44">
        <f>IF(Mecze[[#This Row],[Role]]&lt;&gt;"BR",SUMPRODUCT(Mecze[[#This Row],[/PR:90]:[/BR:90]],Brudnopis!$E$24:$J$24),0)</f>
        <v>6.9444444444444448E-2</v>
      </c>
      <c r="U2957" s="44">
        <f>IF(Mecze[[#This Row],[Role]]&lt;&gt;"BR",SUMPRODUCT(Mecze[[#This Row],[/PR:90]:[/BR:90]],Brudnopis!$E$25:$J$25),0)</f>
        <v>9.027777777777779E-2</v>
      </c>
      <c r="V2957" s="44">
        <f>IF(Mecze[[#This Row],[Role]]&lt;&gt;"BR",SUMPRODUCT(Mecze[[#This Row],[/PR:90]:[/BR:90]],Brudnopis!$E$26:$J$26),0)</f>
        <v>6.9444444444444448E-2</v>
      </c>
      <c r="W2957" s="44">
        <f>IF(Mecze[[#This Row],[Role]]&lt;&gt;"BR",SUMPRODUCT(Mecze[[#This Row],[/PR:90]:[/BR:90]],Brudnopis!$E$27:$J$27),0)</f>
        <v>8.6805555555555552E-2</v>
      </c>
      <c r="X2957" s="44">
        <f>IF(Mecze[[#This Row],[Role]]&lt;&gt;"BR",SUMPRODUCT(Mecze[[#This Row],[/PR:90]:[/BR:90]],Brudnopis!$E$28:$J$28),0)</f>
        <v>6.9444444444444448E-2</v>
      </c>
      <c r="Y2957" s="35">
        <f>IF(Mecze[[#This Row],[Role]]="BR",Mecze[[#This Row],[/OB:90]]+Mecze[[#This Row],[/PC:90]],SUM(Mecze[[#This Row],[/PR:90]:[/BR:90]]))</f>
        <v>6.9444444444444448E-2</v>
      </c>
      <c r="Z2957" s="35">
        <f>IF(Mecze[[#This Row],[KC]]=0,SUM(Mecze[[#This Row],[/BRI]:[/NPI]]),SUM(Mecze[[#This Row],[/BRI]:[/NPI]])*0.6)</f>
        <v>0.38541666666666663</v>
      </c>
      <c r="AA2957" s="10">
        <f>IFERROR(Mecze[[#This Row],[BR]]/Mecze[[#This Row],[ST]],0)</f>
        <v>0</v>
      </c>
      <c r="AB2957">
        <f>ROUND(Mecze[[#This Row],[PD]]*Mecze[[#This Row],[%PC]],0)</f>
        <v>3</v>
      </c>
      <c r="AC2957">
        <f>ROUND(Mecze[[#This Row],[OD]]*Mecze[[#This Row],[%OU]],0)</f>
        <v>0</v>
      </c>
      <c r="AD2957" s="36" t="s">
        <v>319</v>
      </c>
      <c r="AE2957" s="36">
        <v>166</v>
      </c>
      <c r="AF2957" s="71">
        <v>3.14</v>
      </c>
      <c r="AG2957" s="37">
        <v>0</v>
      </c>
      <c r="AH2957" s="37">
        <v>0</v>
      </c>
      <c r="AI2957" s="37">
        <v>72</v>
      </c>
      <c r="AJ2957" s="37">
        <v>6</v>
      </c>
      <c r="AK2957" s="37" t="str">
        <f>VLOOKUP(Mecze[[#This Row],[Match ID]],Meczusie[Mecz]:Meczusie[RodzajMeczu],2,FALSE)</f>
        <v>Liga</v>
      </c>
    </row>
    <row r="2958" spans="1:37" x14ac:dyDescent="0.25">
      <c r="A2958" s="76">
        <v>106</v>
      </c>
      <c r="B2958" s="3" t="s">
        <v>424</v>
      </c>
      <c r="C2958" s="2" t="s">
        <v>160</v>
      </c>
      <c r="D2958" s="1">
        <v>0</v>
      </c>
      <c r="E2958" s="1">
        <v>5</v>
      </c>
      <c r="F2958" s="1">
        <v>4</v>
      </c>
      <c r="G2958" s="1">
        <v>4</v>
      </c>
      <c r="H2958" s="4">
        <v>0.75</v>
      </c>
      <c r="I2958" s="1">
        <v>4</v>
      </c>
      <c r="J2958" s="4">
        <v>1</v>
      </c>
      <c r="K2958" s="1">
        <v>0</v>
      </c>
      <c r="L2958" s="1">
        <v>2</v>
      </c>
      <c r="M2958" s="32">
        <f>IF(Mecze[[#This Row],[PR]]=0,0,Mecze[[#This Row],[PR]]/Mecze[[#This Row],[CZAS]])</f>
        <v>2.1052631578947368E-2</v>
      </c>
      <c r="N2958" s="32">
        <f>IF(Mecze[[#This Row],[OU]]=0,0,Mecze[[#This Row],[OU]]/Mecze[[#This Row],[CZAS]])</f>
        <v>4.2105263157894736E-2</v>
      </c>
      <c r="O2958" s="32">
        <f>IF(Mecze[[#This Row],[PC]]=0,0,Mecze[[#This Row],[PC]]/Mecze[[#This Row],[CZAS]])</f>
        <v>3.1578947368421054E-2</v>
      </c>
      <c r="P2958" s="32">
        <f>IF(Mecze[[#This Row],[SC]]=0,0,Mecze[[#This Row],[SC]]/Mecze[[#This Row],[CZAS]])</f>
        <v>4.2105263157894736E-2</v>
      </c>
      <c r="Q2958" s="32">
        <f>IF(Mecze[[#This Row],[OB]]=0,0,Mecze[[#This Row],[OB]]/Mecze[[#This Row],[CZAS]])</f>
        <v>0</v>
      </c>
      <c r="R2958" s="32">
        <f>IF(Mecze[[#This Row],[BR]]=0,0,Mecze[[#This Row],[BR]]/Mecze[[#This Row],[CZAS]])</f>
        <v>0</v>
      </c>
      <c r="S2958" s="44">
        <f>IF(Mecze[[#This Row],[Role]]="BR",SUMPRODUCT(Mecze[[#This Row],[/PR:90]:[/BR:90]],Brudnopis!$E$23:$J$23),0)</f>
        <v>0</v>
      </c>
      <c r="T2958" s="44">
        <f>IF(Mecze[[#This Row],[Role]]&lt;&gt;"BR",SUMPRODUCT(Mecze[[#This Row],[/PR:90]:[/BR:90]],Brudnopis!$E$24:$J$24),0)</f>
        <v>0.15789473684210525</v>
      </c>
      <c r="U2958" s="44">
        <f>IF(Mecze[[#This Row],[Role]]&lt;&gt;"BR",SUMPRODUCT(Mecze[[#This Row],[/PR:90]:[/BR:90]],Brudnopis!$E$25:$J$25),0)</f>
        <v>0.15263157894736842</v>
      </c>
      <c r="V2958" s="44">
        <f>IF(Mecze[[#This Row],[Role]]&lt;&gt;"BR",SUMPRODUCT(Mecze[[#This Row],[/PR:90]:[/BR:90]],Brudnopis!$E$26:$J$26),0)</f>
        <v>0.1368421052631579</v>
      </c>
      <c r="W2958" s="44">
        <f>IF(Mecze[[#This Row],[Role]]&lt;&gt;"BR",SUMPRODUCT(Mecze[[#This Row],[/PR:90]:[/BR:90]],Brudnopis!$E$27:$J$27),0)</f>
        <v>0.1368421052631579</v>
      </c>
      <c r="X2958" s="44">
        <f>IF(Mecze[[#This Row],[Role]]&lt;&gt;"BR",SUMPRODUCT(Mecze[[#This Row],[/PR:90]:[/BR:90]],Brudnopis!$E$28:$J$28),0)</f>
        <v>0.11578947368421053</v>
      </c>
      <c r="Y2958" s="35">
        <f>IF(Mecze[[#This Row],[Role]]="BR",Mecze[[#This Row],[/OB:90]]+Mecze[[#This Row],[/PC:90]],SUM(Mecze[[#This Row],[/PR:90]:[/BR:90]]))</f>
        <v>0.1368421052631579</v>
      </c>
      <c r="Z2958" s="35">
        <f>IF(Mecze[[#This Row],[KC]]=0,SUM(Mecze[[#This Row],[/BRI]:[/NPI]]),SUM(Mecze[[#This Row],[/BRI]:[/NPI]])*0.6)</f>
        <v>0.7</v>
      </c>
      <c r="AA2958" s="10">
        <f>IFERROR(Mecze[[#This Row],[BR]]/Mecze[[#This Row],[ST]],0)</f>
        <v>0</v>
      </c>
      <c r="AB2958">
        <f>ROUND(Mecze[[#This Row],[PD]]*Mecze[[#This Row],[%PC]],0)</f>
        <v>3</v>
      </c>
      <c r="AC2958">
        <f>ROUND(Mecze[[#This Row],[OD]]*Mecze[[#This Row],[%OU]],0)</f>
        <v>4</v>
      </c>
      <c r="AD2958" s="36" t="s">
        <v>44</v>
      </c>
      <c r="AE2958" s="36">
        <v>166</v>
      </c>
      <c r="AF2958" s="71">
        <v>4.04</v>
      </c>
      <c r="AG2958" s="37">
        <v>0</v>
      </c>
      <c r="AH2958" s="37">
        <v>0</v>
      </c>
      <c r="AI2958" s="37">
        <v>95</v>
      </c>
      <c r="AJ2958" s="37">
        <v>6</v>
      </c>
      <c r="AK2958" s="37" t="str">
        <f>VLOOKUP(Mecze[[#This Row],[Match ID]],Meczusie[Mecz]:Meczusie[RodzajMeczu],2,FALSE)</f>
        <v>Liga</v>
      </c>
    </row>
    <row r="2959" spans="1:37" x14ac:dyDescent="0.25">
      <c r="A2959" s="76">
        <v>6</v>
      </c>
      <c r="B2959" s="3" t="s">
        <v>255</v>
      </c>
      <c r="C2959" s="2" t="s">
        <v>165</v>
      </c>
      <c r="D2959" s="1">
        <v>0</v>
      </c>
      <c r="E2959" s="1">
        <v>0</v>
      </c>
      <c r="F2959" s="1">
        <v>0</v>
      </c>
      <c r="G2959" s="1">
        <v>1</v>
      </c>
      <c r="H2959" s="4">
        <v>1</v>
      </c>
      <c r="I2959" s="1">
        <v>0</v>
      </c>
      <c r="J2959" s="4"/>
      <c r="K2959" s="1">
        <v>0</v>
      </c>
      <c r="L2959" s="1">
        <v>0</v>
      </c>
      <c r="M2959" s="32">
        <f>IF(Mecze[[#This Row],[PR]]=0,0,Mecze[[#This Row],[PR]]/Mecze[[#This Row],[CZAS]])</f>
        <v>0</v>
      </c>
      <c r="N2959" s="32">
        <f>IF(Mecze[[#This Row],[OU]]=0,0,Mecze[[#This Row],[OU]]/Mecze[[#This Row],[CZAS]])</f>
        <v>0</v>
      </c>
      <c r="O2959" s="32">
        <f>IF(Mecze[[#This Row],[PC]]=0,0,Mecze[[#This Row],[PC]]/Mecze[[#This Row],[CZAS]])</f>
        <v>1.0526315789473684E-2</v>
      </c>
      <c r="P2959" s="32">
        <f>IF(Mecze[[#This Row],[SC]]=0,0,Mecze[[#This Row],[SC]]/Mecze[[#This Row],[CZAS]])</f>
        <v>0</v>
      </c>
      <c r="Q2959" s="32">
        <f>IF(Mecze[[#This Row],[OB]]=0,0,Mecze[[#This Row],[OB]]/Mecze[[#This Row],[CZAS]])</f>
        <v>0</v>
      </c>
      <c r="R2959" s="32">
        <f>IF(Mecze[[#This Row],[BR]]=0,0,Mecze[[#This Row],[BR]]/Mecze[[#This Row],[CZAS]])</f>
        <v>0</v>
      </c>
      <c r="S2959" s="44">
        <f>IF(Mecze[[#This Row],[Role]]="BR",SUMPRODUCT(Mecze[[#This Row],[/PR:90]:[/BR:90]],Brudnopis!$E$23:$J$23),0)</f>
        <v>0</v>
      </c>
      <c r="T2959" s="44">
        <f>IF(Mecze[[#This Row],[Role]]&lt;&gt;"BR",SUMPRODUCT(Mecze[[#This Row],[/PR:90]:[/BR:90]],Brudnopis!$E$24:$J$24),0)</f>
        <v>1.0526315789473684E-2</v>
      </c>
      <c r="U2959" s="44">
        <f>IF(Mecze[[#This Row],[Role]]&lt;&gt;"BR",SUMPRODUCT(Mecze[[#This Row],[/PR:90]:[/BR:90]],Brudnopis!$E$25:$J$25),0)</f>
        <v>1.5789473684210527E-2</v>
      </c>
      <c r="V2959" s="44">
        <f>IF(Mecze[[#This Row],[Role]]&lt;&gt;"BR",SUMPRODUCT(Mecze[[#This Row],[/PR:90]:[/BR:90]],Brudnopis!$E$26:$J$26),0)</f>
        <v>1.0526315789473684E-2</v>
      </c>
      <c r="W2959" s="44">
        <f>IF(Mecze[[#This Row],[Role]]&lt;&gt;"BR",SUMPRODUCT(Mecze[[#This Row],[/PR:90]:[/BR:90]],Brudnopis!$E$27:$J$27),0)</f>
        <v>1.5789473684210527E-2</v>
      </c>
      <c r="X2959" s="44">
        <f>IF(Mecze[[#This Row],[Role]]&lt;&gt;"BR",SUMPRODUCT(Mecze[[#This Row],[/PR:90]:[/BR:90]],Brudnopis!$E$28:$J$28),0)</f>
        <v>1.0526315789473684E-2</v>
      </c>
      <c r="Y2959" s="35">
        <f>IF(Mecze[[#This Row],[Role]]="BR",Mecze[[#This Row],[/OB:90]]+Mecze[[#This Row],[/PC:90]],SUM(Mecze[[#This Row],[/PR:90]:[/BR:90]]))</f>
        <v>1.0526315789473684E-2</v>
      </c>
      <c r="Z2959" s="35">
        <f>IF(Mecze[[#This Row],[KC]]=0,SUM(Mecze[[#This Row],[/BRI]:[/NPI]]),SUM(Mecze[[#This Row],[/BRI]:[/NPI]])*0.6)</f>
        <v>6.3157894736842107E-2</v>
      </c>
      <c r="AA2959" s="10">
        <f>IFERROR(Mecze[[#This Row],[BR]]/Mecze[[#This Row],[ST]],0)</f>
        <v>0</v>
      </c>
      <c r="AB2959">
        <f>ROUND(Mecze[[#This Row],[PD]]*Mecze[[#This Row],[%PC]],0)</f>
        <v>1</v>
      </c>
      <c r="AC2959">
        <f>ROUND(Mecze[[#This Row],[OD]]*Mecze[[#This Row],[%OU]],0)</f>
        <v>0</v>
      </c>
      <c r="AD2959" s="36" t="s">
        <v>232</v>
      </c>
      <c r="AE2959" s="36">
        <v>166</v>
      </c>
      <c r="AF2959" s="71">
        <v>2.71</v>
      </c>
      <c r="AG2959" s="37">
        <v>0</v>
      </c>
      <c r="AH2959" s="37">
        <v>0</v>
      </c>
      <c r="AI2959" s="37">
        <v>95</v>
      </c>
      <c r="AJ2959" s="37">
        <v>6</v>
      </c>
      <c r="AK2959" s="37" t="str">
        <f>VLOOKUP(Mecze[[#This Row],[Match ID]],Meczusie[Mecz]:Meczusie[RodzajMeczu],2,FALSE)</f>
        <v>Liga</v>
      </c>
    </row>
    <row r="2960" spans="1:37" x14ac:dyDescent="0.25">
      <c r="A2960" s="76">
        <v>5</v>
      </c>
      <c r="B2960" s="3" t="s">
        <v>256</v>
      </c>
      <c r="C2960" s="2" t="s">
        <v>165</v>
      </c>
      <c r="D2960" s="1">
        <v>0</v>
      </c>
      <c r="E2960" s="1">
        <v>5</v>
      </c>
      <c r="F2960" s="1">
        <v>4</v>
      </c>
      <c r="G2960" s="1">
        <v>9</v>
      </c>
      <c r="H2960" s="4">
        <v>0.67</v>
      </c>
      <c r="I2960" s="1">
        <v>0</v>
      </c>
      <c r="J2960" s="4"/>
      <c r="K2960" s="1">
        <v>0</v>
      </c>
      <c r="L2960" s="1">
        <v>0</v>
      </c>
      <c r="M2960" s="32">
        <f>IF(Mecze[[#This Row],[PR]]=0,0,Mecze[[#This Row],[PR]]/Mecze[[#This Row],[CZAS]])</f>
        <v>0</v>
      </c>
      <c r="N2960" s="32">
        <f>IF(Mecze[[#This Row],[OU]]=0,0,Mecze[[#This Row],[OU]]/Mecze[[#This Row],[CZAS]])</f>
        <v>0</v>
      </c>
      <c r="O2960" s="32">
        <f>IF(Mecze[[#This Row],[PC]]=0,0,Mecze[[#This Row],[PC]]/Mecze[[#This Row],[CZAS]])</f>
        <v>6.3157894736842107E-2</v>
      </c>
      <c r="P2960" s="32">
        <f>IF(Mecze[[#This Row],[SC]]=0,0,Mecze[[#This Row],[SC]]/Mecze[[#This Row],[CZAS]])</f>
        <v>4.2105263157894736E-2</v>
      </c>
      <c r="Q2960" s="32">
        <f>IF(Mecze[[#This Row],[OB]]=0,0,Mecze[[#This Row],[OB]]/Mecze[[#This Row],[CZAS]])</f>
        <v>0</v>
      </c>
      <c r="R2960" s="32">
        <f>IF(Mecze[[#This Row],[BR]]=0,0,Mecze[[#This Row],[BR]]/Mecze[[#This Row],[CZAS]])</f>
        <v>0</v>
      </c>
      <c r="S2960" s="44">
        <f>IF(Mecze[[#This Row],[Role]]="BR",SUMPRODUCT(Mecze[[#This Row],[/PR:90]:[/BR:90]],Brudnopis!$E$23:$J$23),0)</f>
        <v>0</v>
      </c>
      <c r="T2960" s="44">
        <f>IF(Mecze[[#This Row],[Role]]&lt;&gt;"BR",SUMPRODUCT(Mecze[[#This Row],[/PR:90]:[/BR:90]],Brudnopis!$E$24:$J$24),0)</f>
        <v>0.10526315789473684</v>
      </c>
      <c r="U2960" s="44">
        <f>IF(Mecze[[#This Row],[Role]]&lt;&gt;"BR",SUMPRODUCT(Mecze[[#This Row],[/PR:90]:[/BR:90]],Brudnopis!$E$25:$J$25),0)</f>
        <v>0.1368421052631579</v>
      </c>
      <c r="V2960" s="44">
        <f>IF(Mecze[[#This Row],[Role]]&lt;&gt;"BR",SUMPRODUCT(Mecze[[#This Row],[/PR:90]:[/BR:90]],Brudnopis!$E$26:$J$26),0)</f>
        <v>0.10526315789473684</v>
      </c>
      <c r="W2960" s="44">
        <f>IF(Mecze[[#This Row],[Role]]&lt;&gt;"BR",SUMPRODUCT(Mecze[[#This Row],[/PR:90]:[/BR:90]],Brudnopis!$E$27:$J$27),0)</f>
        <v>0.1368421052631579</v>
      </c>
      <c r="X2960" s="44">
        <f>IF(Mecze[[#This Row],[Role]]&lt;&gt;"BR",SUMPRODUCT(Mecze[[#This Row],[/PR:90]:[/BR:90]],Brudnopis!$E$28:$J$28),0)</f>
        <v>0.14736842105263159</v>
      </c>
      <c r="Y2960" s="35">
        <f>IF(Mecze[[#This Row],[Role]]="BR",Mecze[[#This Row],[/OB:90]]+Mecze[[#This Row],[/PC:90]],SUM(Mecze[[#This Row],[/PR:90]:[/BR:90]]))</f>
        <v>0.10526315789473684</v>
      </c>
      <c r="Z2960" s="35">
        <f>IF(Mecze[[#This Row],[KC]]=0,SUM(Mecze[[#This Row],[/BRI]:[/NPI]]),SUM(Mecze[[#This Row],[/BRI]:[/NPI]])*0.6)</f>
        <v>0.63157894736842102</v>
      </c>
      <c r="AA2960" s="10">
        <f>IFERROR(Mecze[[#This Row],[BR]]/Mecze[[#This Row],[ST]],0)</f>
        <v>0</v>
      </c>
      <c r="AB2960">
        <f>ROUND(Mecze[[#This Row],[PD]]*Mecze[[#This Row],[%PC]],0)</f>
        <v>6</v>
      </c>
      <c r="AC2960">
        <f>ROUND(Mecze[[#This Row],[OD]]*Mecze[[#This Row],[%OU]],0)</f>
        <v>0</v>
      </c>
      <c r="AD2960" s="36" t="s">
        <v>46</v>
      </c>
      <c r="AE2960" s="36">
        <v>166</v>
      </c>
      <c r="AF2960" s="71">
        <v>4.92</v>
      </c>
      <c r="AG2960" s="37">
        <v>0</v>
      </c>
      <c r="AH2960" s="37">
        <v>0</v>
      </c>
      <c r="AI2960" s="37">
        <v>95</v>
      </c>
      <c r="AJ2960" s="37">
        <v>6</v>
      </c>
      <c r="AK2960" s="37" t="str">
        <f>VLOOKUP(Mecze[[#This Row],[Match ID]],Meczusie[Mecz]:Meczusie[RodzajMeczu],2,FALSE)</f>
        <v>Liga</v>
      </c>
    </row>
    <row r="2961" spans="1:37" x14ac:dyDescent="0.25">
      <c r="A2961" s="76">
        <v>100</v>
      </c>
      <c r="B2961" s="3" t="s">
        <v>257</v>
      </c>
      <c r="C2961" s="2" t="s">
        <v>165</v>
      </c>
      <c r="D2961" s="1">
        <v>0</v>
      </c>
      <c r="E2961" s="1">
        <v>3</v>
      </c>
      <c r="F2961" s="1">
        <v>2</v>
      </c>
      <c r="G2961" s="1">
        <v>4</v>
      </c>
      <c r="H2961" s="4">
        <v>0.75</v>
      </c>
      <c r="I2961" s="1">
        <v>1</v>
      </c>
      <c r="J2961" s="4">
        <v>1</v>
      </c>
      <c r="K2961" s="1">
        <v>0</v>
      </c>
      <c r="L2961" s="1">
        <v>1</v>
      </c>
      <c r="M2961" s="32">
        <f>IF(Mecze[[#This Row],[PR]]=0,0,Mecze[[#This Row],[PR]]/Mecze[[#This Row],[CZAS]])</f>
        <v>1.0526315789473684E-2</v>
      </c>
      <c r="N2961" s="32">
        <f>IF(Mecze[[#This Row],[OU]]=0,0,Mecze[[#This Row],[OU]]/Mecze[[#This Row],[CZAS]])</f>
        <v>1.0526315789473684E-2</v>
      </c>
      <c r="O2961" s="32">
        <f>IF(Mecze[[#This Row],[PC]]=0,0,Mecze[[#This Row],[PC]]/Mecze[[#This Row],[CZAS]])</f>
        <v>3.1578947368421054E-2</v>
      </c>
      <c r="P2961" s="32">
        <f>IF(Mecze[[#This Row],[SC]]=0,0,Mecze[[#This Row],[SC]]/Mecze[[#This Row],[CZAS]])</f>
        <v>2.1052631578947368E-2</v>
      </c>
      <c r="Q2961" s="32">
        <f>IF(Mecze[[#This Row],[OB]]=0,0,Mecze[[#This Row],[OB]]/Mecze[[#This Row],[CZAS]])</f>
        <v>0</v>
      </c>
      <c r="R2961" s="32">
        <f>IF(Mecze[[#This Row],[BR]]=0,0,Mecze[[#This Row],[BR]]/Mecze[[#This Row],[CZAS]])</f>
        <v>0</v>
      </c>
      <c r="S2961" s="44">
        <f>IF(Mecze[[#This Row],[Role]]="BR",SUMPRODUCT(Mecze[[#This Row],[/PR:90]:[/BR:90]],Brudnopis!$E$23:$J$23),0)</f>
        <v>0</v>
      </c>
      <c r="T2961" s="44">
        <f>IF(Mecze[[#This Row],[Role]]&lt;&gt;"BR",SUMPRODUCT(Mecze[[#This Row],[/PR:90]:[/BR:90]],Brudnopis!$E$24:$J$24),0)</f>
        <v>7.8947368421052627E-2</v>
      </c>
      <c r="U2961" s="44">
        <f>IF(Mecze[[#This Row],[Role]]&lt;&gt;"BR",SUMPRODUCT(Mecze[[#This Row],[/PR:90]:[/BR:90]],Brudnopis!$E$25:$J$25),0)</f>
        <v>8.9473684210526316E-2</v>
      </c>
      <c r="V2961" s="44">
        <f>IF(Mecze[[#This Row],[Role]]&lt;&gt;"BR",SUMPRODUCT(Mecze[[#This Row],[/PR:90]:[/BR:90]],Brudnopis!$E$26:$J$26),0)</f>
        <v>7.3684210526315783E-2</v>
      </c>
      <c r="W2961" s="44">
        <f>IF(Mecze[[#This Row],[Role]]&lt;&gt;"BR",SUMPRODUCT(Mecze[[#This Row],[/PR:90]:[/BR:90]],Brudnopis!$E$27:$J$27),0)</f>
        <v>8.4210526315789472E-2</v>
      </c>
      <c r="X2961" s="44">
        <f>IF(Mecze[[#This Row],[Role]]&lt;&gt;"BR",SUMPRODUCT(Mecze[[#This Row],[/PR:90]:[/BR:90]],Brudnopis!$E$28:$J$28),0)</f>
        <v>7.3684210526315796E-2</v>
      </c>
      <c r="Y2961" s="35">
        <f>IF(Mecze[[#This Row],[Role]]="BR",Mecze[[#This Row],[/OB:90]]+Mecze[[#This Row],[/PC:90]],SUM(Mecze[[#This Row],[/PR:90]:[/BR:90]]))</f>
        <v>7.3684210526315783E-2</v>
      </c>
      <c r="Z2961" s="35">
        <f>IF(Mecze[[#This Row],[KC]]=0,SUM(Mecze[[#This Row],[/BRI]:[/NPI]]),SUM(Mecze[[#This Row],[/BRI]:[/NPI]])*0.6)</f>
        <v>0.39999999999999997</v>
      </c>
      <c r="AA2961" s="10">
        <f>IFERROR(Mecze[[#This Row],[BR]]/Mecze[[#This Row],[ST]],0)</f>
        <v>0</v>
      </c>
      <c r="AB2961">
        <f>ROUND(Mecze[[#This Row],[PD]]*Mecze[[#This Row],[%PC]],0)</f>
        <v>3</v>
      </c>
      <c r="AC2961">
        <f>ROUND(Mecze[[#This Row],[OD]]*Mecze[[#This Row],[%OU]],0)</f>
        <v>1</v>
      </c>
      <c r="AD2961" s="36" t="s">
        <v>46</v>
      </c>
      <c r="AE2961" s="36">
        <v>166</v>
      </c>
      <c r="AF2961" s="71">
        <v>3.15</v>
      </c>
      <c r="AG2961" s="37">
        <v>0</v>
      </c>
      <c r="AH2961" s="37">
        <v>0</v>
      </c>
      <c r="AI2961" s="37">
        <v>95</v>
      </c>
      <c r="AJ2961" s="37">
        <v>6</v>
      </c>
      <c r="AK2961" s="37" t="str">
        <f>VLOOKUP(Mecze[[#This Row],[Match ID]],Meczusie[Mecz]:Meczusie[RodzajMeczu],2,FALSE)</f>
        <v>Liga</v>
      </c>
    </row>
    <row r="2962" spans="1:37" x14ac:dyDescent="0.25">
      <c r="A2962" s="76">
        <v>105</v>
      </c>
      <c r="B2962" s="3" t="s">
        <v>423</v>
      </c>
      <c r="C2962" s="2" t="s">
        <v>157</v>
      </c>
      <c r="D2962" s="1">
        <v>0</v>
      </c>
      <c r="E2962" s="1">
        <v>0</v>
      </c>
      <c r="F2962" s="1">
        <v>0</v>
      </c>
      <c r="G2962" s="1">
        <v>1</v>
      </c>
      <c r="H2962" s="4">
        <v>1</v>
      </c>
      <c r="I2962" s="1">
        <v>1</v>
      </c>
      <c r="J2962" s="4">
        <v>0</v>
      </c>
      <c r="K2962" s="1">
        <v>0</v>
      </c>
      <c r="L2962" s="1">
        <v>3</v>
      </c>
      <c r="M2962" s="32">
        <f>IF(Mecze[[#This Row],[PR]]=0,0,Mecze[[#This Row],[PR]]/Mecze[[#This Row],[CZAS]])</f>
        <v>0.25</v>
      </c>
      <c r="N2962" s="32">
        <f>IF(Mecze[[#This Row],[OU]]=0,0,Mecze[[#This Row],[OU]]/Mecze[[#This Row],[CZAS]])</f>
        <v>0</v>
      </c>
      <c r="O2962" s="32">
        <f>IF(Mecze[[#This Row],[PC]]=0,0,Mecze[[#This Row],[PC]]/Mecze[[#This Row],[CZAS]])</f>
        <v>8.3333333333333329E-2</v>
      </c>
      <c r="P2962" s="32">
        <f>IF(Mecze[[#This Row],[SC]]=0,0,Mecze[[#This Row],[SC]]/Mecze[[#This Row],[CZAS]])</f>
        <v>0</v>
      </c>
      <c r="Q2962" s="32">
        <f>IF(Mecze[[#This Row],[OB]]=0,0,Mecze[[#This Row],[OB]]/Mecze[[#This Row],[CZAS]])</f>
        <v>0</v>
      </c>
      <c r="R2962" s="32">
        <f>IF(Mecze[[#This Row],[BR]]=0,0,Mecze[[#This Row],[BR]]/Mecze[[#This Row],[CZAS]])</f>
        <v>0</v>
      </c>
      <c r="S2962" s="44">
        <f>IF(Mecze[[#This Row],[Role]]="BR",SUMPRODUCT(Mecze[[#This Row],[/PR:90]:[/BR:90]],Brudnopis!$E$23:$J$23),0)</f>
        <v>0</v>
      </c>
      <c r="T2962" s="44">
        <f>IF(Mecze[[#This Row],[Role]]&lt;&gt;"BR",SUMPRODUCT(Mecze[[#This Row],[/PR:90]:[/BR:90]],Brudnopis!$E$24:$J$24),0)</f>
        <v>0.33333333333333331</v>
      </c>
      <c r="U2962" s="44">
        <f>IF(Mecze[[#This Row],[Role]]&lt;&gt;"BR",SUMPRODUCT(Mecze[[#This Row],[/PR:90]:[/BR:90]],Brudnopis!$E$25:$J$25),0)</f>
        <v>0.375</v>
      </c>
      <c r="V2962" s="44">
        <f>IF(Mecze[[#This Row],[Role]]&lt;&gt;"BR",SUMPRODUCT(Mecze[[#This Row],[/PR:90]:[/BR:90]],Brudnopis!$E$26:$J$26),0)</f>
        <v>0.33333333333333331</v>
      </c>
      <c r="W2962" s="44">
        <f>IF(Mecze[[#This Row],[Role]]&lt;&gt;"BR",SUMPRODUCT(Mecze[[#This Row],[/PR:90]:[/BR:90]],Brudnopis!$E$27:$J$27),0)</f>
        <v>0.3125</v>
      </c>
      <c r="X2962" s="44">
        <f>IF(Mecze[[#This Row],[Role]]&lt;&gt;"BR",SUMPRODUCT(Mecze[[#This Row],[/PR:90]:[/BR:90]],Brudnopis!$E$28:$J$28),0)</f>
        <v>8.3333333333333329E-2</v>
      </c>
      <c r="Y2962" s="35">
        <f>IF(Mecze[[#This Row],[Role]]="BR",Mecze[[#This Row],[/OB:90]]+Mecze[[#This Row],[/PC:90]],SUM(Mecze[[#This Row],[/PR:90]:[/BR:90]]))</f>
        <v>0.33333333333333331</v>
      </c>
      <c r="Z2962" s="35">
        <f>IF(Mecze[[#This Row],[KC]]=0,SUM(Mecze[[#This Row],[/BRI]:[/NPI]]),SUM(Mecze[[#This Row],[/BRI]:[/NPI]])*0.6)</f>
        <v>1.4374999999999998</v>
      </c>
      <c r="AA2962" s="10">
        <f>IFERROR(Mecze[[#This Row],[BR]]/Mecze[[#This Row],[ST]],0)</f>
        <v>0</v>
      </c>
      <c r="AB2962">
        <f>ROUND(Mecze[[#This Row],[PD]]*Mecze[[#This Row],[%PC]],0)</f>
        <v>1</v>
      </c>
      <c r="AC2962">
        <f>ROUND(Mecze[[#This Row],[OD]]*Mecze[[#This Row],[%OU]],0)</f>
        <v>0</v>
      </c>
      <c r="AD2962" s="36" t="s">
        <v>167</v>
      </c>
      <c r="AE2962" s="36">
        <v>166</v>
      </c>
      <c r="AF2962" s="71">
        <v>1.1299999999999999</v>
      </c>
      <c r="AG2962" s="37">
        <v>0</v>
      </c>
      <c r="AH2962" s="37">
        <v>0</v>
      </c>
      <c r="AI2962" s="37">
        <v>12</v>
      </c>
      <c r="AJ2962" s="37">
        <v>6</v>
      </c>
      <c r="AK2962" s="37" t="str">
        <f>VLOOKUP(Mecze[[#This Row],[Match ID]],Meczusie[Mecz]:Meczusie[RodzajMeczu],2,FALSE)</f>
        <v>Liga</v>
      </c>
    </row>
    <row r="2963" spans="1:37" x14ac:dyDescent="0.25">
      <c r="A2963" s="76">
        <v>9</v>
      </c>
      <c r="B2963" s="3" t="s">
        <v>258</v>
      </c>
      <c r="C2963" s="2" t="s">
        <v>160</v>
      </c>
      <c r="D2963" s="1">
        <v>1</v>
      </c>
      <c r="E2963" s="1">
        <v>1</v>
      </c>
      <c r="F2963" s="1">
        <v>1</v>
      </c>
      <c r="G2963" s="1">
        <v>1</v>
      </c>
      <c r="H2963" s="4">
        <v>1</v>
      </c>
      <c r="I2963" s="1">
        <v>3</v>
      </c>
      <c r="J2963" s="4">
        <v>0.67</v>
      </c>
      <c r="K2963" s="1">
        <v>0</v>
      </c>
      <c r="L2963" s="1">
        <v>1</v>
      </c>
      <c r="M2963" s="32">
        <f>IF(Mecze[[#This Row],[PR]]=0,0,Mecze[[#This Row],[PR]]/Mecze[[#This Row],[CZAS]])</f>
        <v>4.3478260869565216E-2</v>
      </c>
      <c r="N2963" s="32">
        <f>IF(Mecze[[#This Row],[OU]]=0,0,Mecze[[#This Row],[OU]]/Mecze[[#This Row],[CZAS]])</f>
        <v>8.6956521739130432E-2</v>
      </c>
      <c r="O2963" s="32">
        <f>IF(Mecze[[#This Row],[PC]]=0,0,Mecze[[#This Row],[PC]]/Mecze[[#This Row],[CZAS]])</f>
        <v>4.3478260869565216E-2</v>
      </c>
      <c r="P2963" s="32">
        <f>IF(Mecze[[#This Row],[SC]]=0,0,Mecze[[#This Row],[SC]]/Mecze[[#This Row],[CZAS]])</f>
        <v>4.3478260869565216E-2</v>
      </c>
      <c r="Q2963" s="32">
        <f>IF(Mecze[[#This Row],[OB]]=0,0,Mecze[[#This Row],[OB]]/Mecze[[#This Row],[CZAS]])</f>
        <v>0</v>
      </c>
      <c r="R2963" s="32">
        <f>IF(Mecze[[#This Row],[BR]]=0,0,Mecze[[#This Row],[BR]]/Mecze[[#This Row],[CZAS]])</f>
        <v>4.3478260869565216E-2</v>
      </c>
      <c r="S2963" s="44">
        <f>IF(Mecze[[#This Row],[Role]]="BR",SUMPRODUCT(Mecze[[#This Row],[/PR:90]:[/BR:90]],Brudnopis!$E$23:$J$23),0)</f>
        <v>0</v>
      </c>
      <c r="T2963" s="44">
        <f>IF(Mecze[[#This Row],[Role]]&lt;&gt;"BR",SUMPRODUCT(Mecze[[#This Row],[/PR:90]:[/BR:90]],Brudnopis!$E$24:$J$24),0)</f>
        <v>0.32608695652173914</v>
      </c>
      <c r="U2963" s="44">
        <f>IF(Mecze[[#This Row],[Role]]&lt;&gt;"BR",SUMPRODUCT(Mecze[[#This Row],[/PR:90]:[/BR:90]],Brudnopis!$E$25:$J$25),0)</f>
        <v>0.30434782608695649</v>
      </c>
      <c r="V2963" s="44">
        <f>IF(Mecze[[#This Row],[Role]]&lt;&gt;"BR",SUMPRODUCT(Mecze[[#This Row],[/PR:90]:[/BR:90]],Brudnopis!$E$26:$J$26),0)</f>
        <v>0.30434782608695654</v>
      </c>
      <c r="W2963" s="44">
        <f>IF(Mecze[[#This Row],[Role]]&lt;&gt;"BR",SUMPRODUCT(Mecze[[#This Row],[/PR:90]:[/BR:90]],Brudnopis!$E$27:$J$27),0)</f>
        <v>0.29347826086956519</v>
      </c>
      <c r="X2963" s="44">
        <f>IF(Mecze[[#This Row],[Role]]&lt;&gt;"BR",SUMPRODUCT(Mecze[[#This Row],[/PR:90]:[/BR:90]],Brudnopis!$E$28:$J$28),0)</f>
        <v>0.2608695652173913</v>
      </c>
      <c r="Y2963" s="35">
        <f>IF(Mecze[[#This Row],[Role]]="BR",Mecze[[#This Row],[/OB:90]]+Mecze[[#This Row],[/PC:90]],SUM(Mecze[[#This Row],[/PR:90]:[/BR:90]]))</f>
        <v>0.2608695652173913</v>
      </c>
      <c r="Z2963" s="35">
        <f>IF(Mecze[[#This Row],[KC]]=0,SUM(Mecze[[#This Row],[/BRI]:[/NPI]]),SUM(Mecze[[#This Row],[/BRI]:[/NPI]])*0.6)</f>
        <v>1.4891304347826086</v>
      </c>
      <c r="AA2963" s="10">
        <f>IFERROR(Mecze[[#This Row],[BR]]/Mecze[[#This Row],[ST]],0)</f>
        <v>1</v>
      </c>
      <c r="AB2963">
        <f>ROUND(Mecze[[#This Row],[PD]]*Mecze[[#This Row],[%PC]],0)</f>
        <v>1</v>
      </c>
      <c r="AC2963">
        <f>ROUND(Mecze[[#This Row],[OD]]*Mecze[[#This Row],[%OU]],0)</f>
        <v>2</v>
      </c>
      <c r="AD2963" s="36" t="s">
        <v>319</v>
      </c>
      <c r="AE2963" s="36">
        <v>166</v>
      </c>
      <c r="AF2963" s="71">
        <v>3.05</v>
      </c>
      <c r="AG2963" s="37">
        <v>0</v>
      </c>
      <c r="AH2963" s="37">
        <v>0</v>
      </c>
      <c r="AI2963" s="37">
        <v>23</v>
      </c>
      <c r="AJ2963" s="37">
        <v>6</v>
      </c>
      <c r="AK2963" s="37" t="str">
        <f>VLOOKUP(Mecze[[#This Row],[Match ID]],Meczusie[Mecz]:Meczusie[RodzajMeczu],2,FALSE)</f>
        <v>Liga</v>
      </c>
    </row>
    <row r="2964" spans="1:37" x14ac:dyDescent="0.25">
      <c r="A2964" s="76">
        <v>1</v>
      </c>
      <c r="B2964" s="3" t="s">
        <v>304</v>
      </c>
      <c r="C2964" s="2" t="s">
        <v>155</v>
      </c>
      <c r="D2964" s="1">
        <v>0</v>
      </c>
      <c r="E2964" s="1">
        <v>0</v>
      </c>
      <c r="F2964" s="1">
        <v>0</v>
      </c>
      <c r="G2964" s="1">
        <v>7</v>
      </c>
      <c r="H2964" s="4">
        <v>0.56999999999999995</v>
      </c>
      <c r="I2964" s="1">
        <v>0</v>
      </c>
      <c r="J2964" s="4"/>
      <c r="K2964" s="1">
        <v>4</v>
      </c>
      <c r="L2964" s="1">
        <v>0</v>
      </c>
      <c r="M2964" s="32">
        <f>IF(Mecze[[#This Row],[PR]]=0,0,Mecze[[#This Row],[PR]]/Mecze[[#This Row],[CZAS]])</f>
        <v>0</v>
      </c>
      <c r="N2964" s="32">
        <f>IF(Mecze[[#This Row],[OU]]=0,0,Mecze[[#This Row],[OU]]/Mecze[[#This Row],[CZAS]])</f>
        <v>0</v>
      </c>
      <c r="O2964" s="32">
        <f>IF(Mecze[[#This Row],[PC]]=0,0,Mecze[[#This Row],[PC]]/Mecze[[#This Row],[CZAS]])</f>
        <v>0.04</v>
      </c>
      <c r="P2964" s="32">
        <f>IF(Mecze[[#This Row],[SC]]=0,0,Mecze[[#This Row],[SC]]/Mecze[[#This Row],[CZAS]])</f>
        <v>0</v>
      </c>
      <c r="Q2964" s="32">
        <f>IF(Mecze[[#This Row],[OB]]=0,0,Mecze[[#This Row],[OB]]/Mecze[[#This Row],[CZAS]])</f>
        <v>0.04</v>
      </c>
      <c r="R2964" s="32">
        <f>IF(Mecze[[#This Row],[BR]]=0,0,Mecze[[#This Row],[BR]]/Mecze[[#This Row],[CZAS]])</f>
        <v>0</v>
      </c>
      <c r="S2964" s="44">
        <f>IF(Mecze[[#This Row],[Role]]="BR",SUMPRODUCT(Mecze[[#This Row],[/PR:90]:[/BR:90]],Brudnopis!$E$23:$J$23),0)</f>
        <v>0.24</v>
      </c>
      <c r="T2964" s="44">
        <f>IF(Mecze[[#This Row],[Role]]&lt;&gt;"BR",SUMPRODUCT(Mecze[[#This Row],[/PR:90]:[/BR:90]],Brudnopis!$E$24:$J$24),0)</f>
        <v>0</v>
      </c>
      <c r="U2964" s="44">
        <f>IF(Mecze[[#This Row],[Role]]&lt;&gt;"BR",SUMPRODUCT(Mecze[[#This Row],[/PR:90]:[/BR:90]],Brudnopis!$E$25:$J$25),0)</f>
        <v>0</v>
      </c>
      <c r="V2964" s="44">
        <f>IF(Mecze[[#This Row],[Role]]&lt;&gt;"BR",SUMPRODUCT(Mecze[[#This Row],[/PR:90]:[/BR:90]],Brudnopis!$E$26:$J$26),0)</f>
        <v>0</v>
      </c>
      <c r="W2964" s="44">
        <f>IF(Mecze[[#This Row],[Role]]&lt;&gt;"BR",SUMPRODUCT(Mecze[[#This Row],[/PR:90]:[/BR:90]],Brudnopis!$E$27:$J$27),0)</f>
        <v>0</v>
      </c>
      <c r="X2964" s="44">
        <f>IF(Mecze[[#This Row],[Role]]&lt;&gt;"BR",SUMPRODUCT(Mecze[[#This Row],[/PR:90]:[/BR:90]],Brudnopis!$E$28:$J$28),0)</f>
        <v>0</v>
      </c>
      <c r="Y2964" s="35">
        <f>IF(Mecze[[#This Row],[Role]]="BR",Mecze[[#This Row],[/OB:90]]+Mecze[[#This Row],[/PC:90]],SUM(Mecze[[#This Row],[/PR:90]:[/BR:90]]))</f>
        <v>0.08</v>
      </c>
      <c r="Z2964" s="35">
        <f>IF(Mecze[[#This Row],[KC]]=0,SUM(Mecze[[#This Row],[/BRI]:[/NPI]]),SUM(Mecze[[#This Row],[/BRI]:[/NPI]])*0.6)</f>
        <v>0.24</v>
      </c>
      <c r="AA2964" s="10">
        <f>IFERROR(Mecze[[#This Row],[BR]]/Mecze[[#This Row],[ST]],0)</f>
        <v>0</v>
      </c>
      <c r="AB2964">
        <f>ROUND(Mecze[[#This Row],[PD]]*Mecze[[#This Row],[%PC]],0)</f>
        <v>4</v>
      </c>
      <c r="AC2964">
        <f>ROUND(Mecze[[#This Row],[OD]]*Mecze[[#This Row],[%OU]],0)</f>
        <v>0</v>
      </c>
      <c r="AD2964" s="36" t="s">
        <v>40</v>
      </c>
      <c r="AE2964" s="36">
        <v>167</v>
      </c>
      <c r="AF2964" s="71">
        <v>6.54</v>
      </c>
      <c r="AG2964" s="37">
        <v>0</v>
      </c>
      <c r="AH2964" s="37">
        <v>0</v>
      </c>
      <c r="AI2964" s="37">
        <v>100</v>
      </c>
      <c r="AJ2964" s="37">
        <v>8</v>
      </c>
      <c r="AK2964" s="37" t="str">
        <f>VLOOKUP(Mecze[[#This Row],[Match ID]],Meczusie[Mecz]:Meczusie[RodzajMeczu],2,FALSE)</f>
        <v>Liga</v>
      </c>
    </row>
    <row r="2965" spans="1:37" x14ac:dyDescent="0.25">
      <c r="A2965" s="76">
        <v>23</v>
      </c>
      <c r="B2965" s="3" t="s">
        <v>306</v>
      </c>
      <c r="C2965" s="2" t="s">
        <v>157</v>
      </c>
      <c r="D2965" s="1">
        <v>0</v>
      </c>
      <c r="E2965" s="1">
        <v>0</v>
      </c>
      <c r="F2965" s="1">
        <v>0</v>
      </c>
      <c r="G2965" s="1">
        <v>8</v>
      </c>
      <c r="H2965" s="4">
        <v>0.63</v>
      </c>
      <c r="I2965" s="1">
        <v>8</v>
      </c>
      <c r="J2965" s="4">
        <v>0.75</v>
      </c>
      <c r="K2965" s="1">
        <v>0</v>
      </c>
      <c r="L2965" s="1">
        <v>6</v>
      </c>
      <c r="M2965" s="32">
        <f>IF(Mecze[[#This Row],[PR]]=0,0,Mecze[[#This Row],[PR]]/Mecze[[#This Row],[CZAS]])</f>
        <v>0.06</v>
      </c>
      <c r="N2965" s="32">
        <f>IF(Mecze[[#This Row],[OU]]=0,0,Mecze[[#This Row],[OU]]/Mecze[[#This Row],[CZAS]])</f>
        <v>0.06</v>
      </c>
      <c r="O2965" s="32">
        <f>IF(Mecze[[#This Row],[PC]]=0,0,Mecze[[#This Row],[PC]]/Mecze[[#This Row],[CZAS]])</f>
        <v>0.05</v>
      </c>
      <c r="P2965" s="32">
        <f>IF(Mecze[[#This Row],[SC]]=0,0,Mecze[[#This Row],[SC]]/Mecze[[#This Row],[CZAS]])</f>
        <v>0</v>
      </c>
      <c r="Q2965" s="32">
        <f>IF(Mecze[[#This Row],[OB]]=0,0,Mecze[[#This Row],[OB]]/Mecze[[#This Row],[CZAS]])</f>
        <v>0</v>
      </c>
      <c r="R2965" s="32">
        <f>IF(Mecze[[#This Row],[BR]]=0,0,Mecze[[#This Row],[BR]]/Mecze[[#This Row],[CZAS]])</f>
        <v>0</v>
      </c>
      <c r="S2965" s="44">
        <f>IF(Mecze[[#This Row],[Role]]="BR",SUMPRODUCT(Mecze[[#This Row],[/PR:90]:[/BR:90]],Brudnopis!$E$23:$J$23),0)</f>
        <v>0</v>
      </c>
      <c r="T2965" s="44">
        <f>IF(Mecze[[#This Row],[Role]]&lt;&gt;"BR",SUMPRODUCT(Mecze[[#This Row],[/PR:90]:[/BR:90]],Brudnopis!$E$24:$J$24),0)</f>
        <v>0.2</v>
      </c>
      <c r="U2965" s="44">
        <f>IF(Mecze[[#This Row],[Role]]&lt;&gt;"BR",SUMPRODUCT(Mecze[[#This Row],[/PR:90]:[/BR:90]],Brudnopis!$E$25:$J$25),0)</f>
        <v>0.19500000000000001</v>
      </c>
      <c r="V2965" s="44">
        <f>IF(Mecze[[#This Row],[Role]]&lt;&gt;"BR",SUMPRODUCT(Mecze[[#This Row],[/PR:90]:[/BR:90]],Brudnopis!$E$26:$J$26),0)</f>
        <v>0.16999999999999998</v>
      </c>
      <c r="W2965" s="44">
        <f>IF(Mecze[[#This Row],[Role]]&lt;&gt;"BR",SUMPRODUCT(Mecze[[#This Row],[/PR:90]:[/BR:90]],Brudnopis!$E$27:$J$27),0)</f>
        <v>0.16500000000000001</v>
      </c>
      <c r="X2965" s="44">
        <f>IF(Mecze[[#This Row],[Role]]&lt;&gt;"BR",SUMPRODUCT(Mecze[[#This Row],[/PR:90]:[/BR:90]],Brudnopis!$E$28:$J$28),0)</f>
        <v>0.05</v>
      </c>
      <c r="Y2965" s="35">
        <f>IF(Mecze[[#This Row],[Role]]="BR",Mecze[[#This Row],[/OB:90]]+Mecze[[#This Row],[/PC:90]],SUM(Mecze[[#This Row],[/PR:90]:[/BR:90]]))</f>
        <v>0.16999999999999998</v>
      </c>
      <c r="Z2965" s="35">
        <f>IF(Mecze[[#This Row],[KC]]=0,SUM(Mecze[[#This Row],[/BRI]:[/NPI]]),SUM(Mecze[[#This Row],[/BRI]:[/NPI]])*0.6)</f>
        <v>0.78</v>
      </c>
      <c r="AA2965" s="10">
        <f>IFERROR(Mecze[[#This Row],[BR]]/Mecze[[#This Row],[ST]],0)</f>
        <v>0</v>
      </c>
      <c r="AB2965">
        <f>ROUND(Mecze[[#This Row],[PD]]*Mecze[[#This Row],[%PC]],0)</f>
        <v>5</v>
      </c>
      <c r="AC2965">
        <f>ROUND(Mecze[[#This Row],[OD]]*Mecze[[#This Row],[%OU]],0)</f>
        <v>6</v>
      </c>
      <c r="AD2965" s="36" t="s">
        <v>47</v>
      </c>
      <c r="AE2965" s="36">
        <v>167</v>
      </c>
      <c r="AF2965" s="71">
        <v>6.3</v>
      </c>
      <c r="AG2965" s="37">
        <v>0</v>
      </c>
      <c r="AH2965" s="37">
        <v>0</v>
      </c>
      <c r="AI2965" s="37">
        <v>100</v>
      </c>
      <c r="AJ2965" s="37">
        <v>8</v>
      </c>
      <c r="AK2965" s="37" t="str">
        <f>VLOOKUP(Mecze[[#This Row],[Match ID]],Meczusie[Mecz]:Meczusie[RodzajMeczu],2,FALSE)</f>
        <v>Liga</v>
      </c>
    </row>
    <row r="2966" spans="1:37" x14ac:dyDescent="0.25">
      <c r="A2966" s="76">
        <v>73</v>
      </c>
      <c r="B2966" s="3" t="s">
        <v>431</v>
      </c>
      <c r="C2966" s="2" t="s">
        <v>157</v>
      </c>
      <c r="D2966" s="1">
        <v>0</v>
      </c>
      <c r="E2966" s="1">
        <v>0</v>
      </c>
      <c r="F2966" s="1">
        <v>0</v>
      </c>
      <c r="G2966" s="1">
        <v>7</v>
      </c>
      <c r="H2966" s="4">
        <v>0.71</v>
      </c>
      <c r="I2966" s="1">
        <v>5</v>
      </c>
      <c r="J2966" s="4">
        <v>0.6</v>
      </c>
      <c r="K2966" s="1">
        <v>0</v>
      </c>
      <c r="L2966" s="1">
        <v>4</v>
      </c>
      <c r="M2966" s="32">
        <f>IF(Mecze[[#This Row],[PR]]=0,0,Mecze[[#This Row],[PR]]/Mecze[[#This Row],[CZAS]])</f>
        <v>0.04</v>
      </c>
      <c r="N2966" s="32">
        <f>IF(Mecze[[#This Row],[OU]]=0,0,Mecze[[#This Row],[OU]]/Mecze[[#This Row],[CZAS]])</f>
        <v>0.03</v>
      </c>
      <c r="O2966" s="32">
        <f>IF(Mecze[[#This Row],[PC]]=0,0,Mecze[[#This Row],[PC]]/Mecze[[#This Row],[CZAS]])</f>
        <v>0.05</v>
      </c>
      <c r="P2966" s="32">
        <f>IF(Mecze[[#This Row],[SC]]=0,0,Mecze[[#This Row],[SC]]/Mecze[[#This Row],[CZAS]])</f>
        <v>0</v>
      </c>
      <c r="Q2966" s="32">
        <f>IF(Mecze[[#This Row],[OB]]=0,0,Mecze[[#This Row],[OB]]/Mecze[[#This Row],[CZAS]])</f>
        <v>0</v>
      </c>
      <c r="R2966" s="32">
        <f>IF(Mecze[[#This Row],[BR]]=0,0,Mecze[[#This Row],[BR]]/Mecze[[#This Row],[CZAS]])</f>
        <v>0</v>
      </c>
      <c r="S2966" s="44">
        <f>IF(Mecze[[#This Row],[Role]]="BR",SUMPRODUCT(Mecze[[#This Row],[/PR:90]:[/BR:90]],Brudnopis!$E$23:$J$23),0)</f>
        <v>0</v>
      </c>
      <c r="T2966" s="44">
        <f>IF(Mecze[[#This Row],[Role]]&lt;&gt;"BR",SUMPRODUCT(Mecze[[#This Row],[/PR:90]:[/BR:90]],Brudnopis!$E$24:$J$24),0)</f>
        <v>0.13500000000000001</v>
      </c>
      <c r="U2966" s="44">
        <f>IF(Mecze[[#This Row],[Role]]&lt;&gt;"BR",SUMPRODUCT(Mecze[[#This Row],[/PR:90]:[/BR:90]],Brudnopis!$E$25:$J$25),0)</f>
        <v>0.14500000000000002</v>
      </c>
      <c r="V2966" s="44">
        <f>IF(Mecze[[#This Row],[Role]]&lt;&gt;"BR",SUMPRODUCT(Mecze[[#This Row],[/PR:90]:[/BR:90]],Brudnopis!$E$26:$J$26),0)</f>
        <v>0.12000000000000001</v>
      </c>
      <c r="W2966" s="44">
        <f>IF(Mecze[[#This Row],[Role]]&lt;&gt;"BR",SUMPRODUCT(Mecze[[#This Row],[/PR:90]:[/BR:90]],Brudnopis!$E$27:$J$27),0)</f>
        <v>0.1275</v>
      </c>
      <c r="X2966" s="44">
        <f>IF(Mecze[[#This Row],[Role]]&lt;&gt;"BR",SUMPRODUCT(Mecze[[#This Row],[/PR:90]:[/BR:90]],Brudnopis!$E$28:$J$28),0)</f>
        <v>0.05</v>
      </c>
      <c r="Y2966" s="35">
        <f>IF(Mecze[[#This Row],[Role]]="BR",Mecze[[#This Row],[/OB:90]]+Mecze[[#This Row],[/PC:90]],SUM(Mecze[[#This Row],[/PR:90]:[/BR:90]]))</f>
        <v>0.12000000000000001</v>
      </c>
      <c r="Z2966" s="35">
        <f>IF(Mecze[[#This Row],[KC]]=0,SUM(Mecze[[#This Row],[/BRI]:[/NPI]]),SUM(Mecze[[#This Row],[/BRI]:[/NPI]])*0.6)</f>
        <v>0.57750000000000012</v>
      </c>
      <c r="AA2966" s="10">
        <f>IFERROR(Mecze[[#This Row],[BR]]/Mecze[[#This Row],[ST]],0)</f>
        <v>0</v>
      </c>
      <c r="AB2966">
        <f>ROUND(Mecze[[#This Row],[PD]]*Mecze[[#This Row],[%PC]],0)</f>
        <v>5</v>
      </c>
      <c r="AC2966">
        <f>ROUND(Mecze[[#This Row],[OD]]*Mecze[[#This Row],[%OU]],0)</f>
        <v>3</v>
      </c>
      <c r="AD2966" s="36" t="s">
        <v>168</v>
      </c>
      <c r="AE2966" s="36">
        <v>167</v>
      </c>
      <c r="AF2966" s="71">
        <v>5.88</v>
      </c>
      <c r="AG2966" s="37">
        <v>0</v>
      </c>
      <c r="AH2966" s="37">
        <v>0</v>
      </c>
      <c r="AI2966" s="37">
        <v>100</v>
      </c>
      <c r="AJ2966" s="37">
        <v>8</v>
      </c>
      <c r="AK2966" s="37" t="str">
        <f>VLOOKUP(Mecze[[#This Row],[Match ID]],Meczusie[Mecz]:Meczusie[RodzajMeczu],2,FALSE)</f>
        <v>Liga</v>
      </c>
    </row>
    <row r="2967" spans="1:37" x14ac:dyDescent="0.25">
      <c r="A2967" s="76">
        <v>5</v>
      </c>
      <c r="B2967" s="3" t="s">
        <v>305</v>
      </c>
      <c r="C2967" s="2" t="s">
        <v>157</v>
      </c>
      <c r="D2967" s="1">
        <v>0</v>
      </c>
      <c r="E2967" s="1">
        <v>0</v>
      </c>
      <c r="F2967" s="1">
        <v>0</v>
      </c>
      <c r="G2967" s="1">
        <v>6</v>
      </c>
      <c r="H2967" s="4">
        <v>0.67</v>
      </c>
      <c r="I2967" s="1">
        <v>4</v>
      </c>
      <c r="J2967" s="4">
        <v>0.75</v>
      </c>
      <c r="K2967" s="1">
        <v>0</v>
      </c>
      <c r="L2967" s="1">
        <v>6</v>
      </c>
      <c r="M2967" s="32">
        <f>IF(Mecze[[#This Row],[PR]]=0,0,Mecze[[#This Row],[PR]]/Mecze[[#This Row],[CZAS]])</f>
        <v>0.06</v>
      </c>
      <c r="N2967" s="32">
        <f>IF(Mecze[[#This Row],[OU]]=0,0,Mecze[[#This Row],[OU]]/Mecze[[#This Row],[CZAS]])</f>
        <v>0.03</v>
      </c>
      <c r="O2967" s="32">
        <f>IF(Mecze[[#This Row],[PC]]=0,0,Mecze[[#This Row],[PC]]/Mecze[[#This Row],[CZAS]])</f>
        <v>0.04</v>
      </c>
      <c r="P2967" s="32">
        <f>IF(Mecze[[#This Row],[SC]]=0,0,Mecze[[#This Row],[SC]]/Mecze[[#This Row],[CZAS]])</f>
        <v>0</v>
      </c>
      <c r="Q2967" s="32">
        <f>IF(Mecze[[#This Row],[OB]]=0,0,Mecze[[#This Row],[OB]]/Mecze[[#This Row],[CZAS]])</f>
        <v>0</v>
      </c>
      <c r="R2967" s="32">
        <f>IF(Mecze[[#This Row],[BR]]=0,0,Mecze[[#This Row],[BR]]/Mecze[[#This Row],[CZAS]])</f>
        <v>0</v>
      </c>
      <c r="S2967" s="44">
        <f>IF(Mecze[[#This Row],[Role]]="BR",SUMPRODUCT(Mecze[[#This Row],[/PR:90]:[/BR:90]],Brudnopis!$E$23:$J$23),0)</f>
        <v>0</v>
      </c>
      <c r="T2967" s="44">
        <f>IF(Mecze[[#This Row],[Role]]&lt;&gt;"BR",SUMPRODUCT(Mecze[[#This Row],[/PR:90]:[/BR:90]],Brudnopis!$E$24:$J$24),0)</f>
        <v>0.14499999999999999</v>
      </c>
      <c r="U2967" s="44">
        <f>IF(Mecze[[#This Row],[Role]]&lt;&gt;"BR",SUMPRODUCT(Mecze[[#This Row],[/PR:90]:[/BR:90]],Brudnopis!$E$25:$J$25),0)</f>
        <v>0.15</v>
      </c>
      <c r="V2967" s="44">
        <f>IF(Mecze[[#This Row],[Role]]&lt;&gt;"BR",SUMPRODUCT(Mecze[[#This Row],[/PR:90]:[/BR:90]],Brudnopis!$E$26:$J$26),0)</f>
        <v>0.13</v>
      </c>
      <c r="W2967" s="44">
        <f>IF(Mecze[[#This Row],[Role]]&lt;&gt;"BR",SUMPRODUCT(Mecze[[#This Row],[/PR:90]:[/BR:90]],Brudnopis!$E$27:$J$27),0)</f>
        <v>0.1275</v>
      </c>
      <c r="X2967" s="44">
        <f>IF(Mecze[[#This Row],[Role]]&lt;&gt;"BR",SUMPRODUCT(Mecze[[#This Row],[/PR:90]:[/BR:90]],Brudnopis!$E$28:$J$28),0)</f>
        <v>0.04</v>
      </c>
      <c r="Y2967" s="35">
        <f>IF(Mecze[[#This Row],[Role]]="BR",Mecze[[#This Row],[/OB:90]]+Mecze[[#This Row],[/PC:90]],SUM(Mecze[[#This Row],[/PR:90]:[/BR:90]]))</f>
        <v>0.13</v>
      </c>
      <c r="Z2967" s="35">
        <f>IF(Mecze[[#This Row],[KC]]=0,SUM(Mecze[[#This Row],[/BRI]:[/NPI]]),SUM(Mecze[[#This Row],[/BRI]:[/NPI]])*0.6)</f>
        <v>0.59250000000000003</v>
      </c>
      <c r="AA2967" s="10">
        <f>IFERROR(Mecze[[#This Row],[BR]]/Mecze[[#This Row],[ST]],0)</f>
        <v>0</v>
      </c>
      <c r="AB2967">
        <f>ROUND(Mecze[[#This Row],[PD]]*Mecze[[#This Row],[%PC]],0)</f>
        <v>4</v>
      </c>
      <c r="AC2967">
        <f>ROUND(Mecze[[#This Row],[OD]]*Mecze[[#This Row],[%OU]],0)</f>
        <v>3</v>
      </c>
      <c r="AD2967" s="36" t="s">
        <v>167</v>
      </c>
      <c r="AE2967" s="36">
        <v>167</v>
      </c>
      <c r="AF2967" s="71">
        <v>6.3</v>
      </c>
      <c r="AG2967" s="37">
        <v>0</v>
      </c>
      <c r="AH2967" s="37">
        <v>0</v>
      </c>
      <c r="AI2967" s="37">
        <v>100</v>
      </c>
      <c r="AJ2967" s="37">
        <v>8</v>
      </c>
      <c r="AK2967" s="37" t="str">
        <f>VLOOKUP(Mecze[[#This Row],[Match ID]],Meczusie[Mecz]:Meczusie[RodzajMeczu],2,FALSE)</f>
        <v>Liga</v>
      </c>
    </row>
    <row r="2968" spans="1:37" x14ac:dyDescent="0.25">
      <c r="A2968" s="76">
        <v>6</v>
      </c>
      <c r="B2968" s="3" t="s">
        <v>308</v>
      </c>
      <c r="C2968" s="2" t="s">
        <v>160</v>
      </c>
      <c r="D2968" s="1">
        <v>0</v>
      </c>
      <c r="E2968" s="1">
        <v>0</v>
      </c>
      <c r="F2968" s="1">
        <v>0</v>
      </c>
      <c r="G2968" s="1">
        <v>5</v>
      </c>
      <c r="H2968" s="4">
        <v>0.8</v>
      </c>
      <c r="I2968" s="1">
        <v>1</v>
      </c>
      <c r="J2968" s="4">
        <v>1</v>
      </c>
      <c r="K2968" s="1">
        <v>0</v>
      </c>
      <c r="L2968" s="1">
        <v>1</v>
      </c>
      <c r="M2968" s="32">
        <f>IF(Mecze[[#This Row],[PR]]=0,0,Mecze[[#This Row],[PR]]/Mecze[[#This Row],[CZAS]])</f>
        <v>1.3888888888888888E-2</v>
      </c>
      <c r="N2968" s="32">
        <f>IF(Mecze[[#This Row],[OU]]=0,0,Mecze[[#This Row],[OU]]/Mecze[[#This Row],[CZAS]])</f>
        <v>1.3888888888888888E-2</v>
      </c>
      <c r="O2968" s="32">
        <f>IF(Mecze[[#This Row],[PC]]=0,0,Mecze[[#This Row],[PC]]/Mecze[[#This Row],[CZAS]])</f>
        <v>5.5555555555555552E-2</v>
      </c>
      <c r="P2968" s="32">
        <f>IF(Mecze[[#This Row],[SC]]=0,0,Mecze[[#This Row],[SC]]/Mecze[[#This Row],[CZAS]])</f>
        <v>0</v>
      </c>
      <c r="Q2968" s="32">
        <f>IF(Mecze[[#This Row],[OB]]=0,0,Mecze[[#This Row],[OB]]/Mecze[[#This Row],[CZAS]])</f>
        <v>0</v>
      </c>
      <c r="R2968" s="32">
        <f>IF(Mecze[[#This Row],[BR]]=0,0,Mecze[[#This Row],[BR]]/Mecze[[#This Row],[CZAS]])</f>
        <v>0</v>
      </c>
      <c r="S2968" s="44">
        <f>IF(Mecze[[#This Row],[Role]]="BR",SUMPRODUCT(Mecze[[#This Row],[/PR:90]:[/BR:90]],Brudnopis!$E$23:$J$23),0)</f>
        <v>0</v>
      </c>
      <c r="T2968" s="44">
        <f>IF(Mecze[[#This Row],[Role]]&lt;&gt;"BR",SUMPRODUCT(Mecze[[#This Row],[/PR:90]:[/BR:90]],Brudnopis!$E$24:$J$24),0)</f>
        <v>9.0277777777777776E-2</v>
      </c>
      <c r="U2968" s="44">
        <f>IF(Mecze[[#This Row],[Role]]&lt;&gt;"BR",SUMPRODUCT(Mecze[[#This Row],[/PR:90]:[/BR:90]],Brudnopis!$E$25:$J$25),0)</f>
        <v>0.1111111111111111</v>
      </c>
      <c r="V2968" s="44">
        <f>IF(Mecze[[#This Row],[Role]]&lt;&gt;"BR",SUMPRODUCT(Mecze[[#This Row],[/PR:90]:[/BR:90]],Brudnopis!$E$26:$J$26),0)</f>
        <v>8.3333333333333329E-2</v>
      </c>
      <c r="W2968" s="44">
        <f>IF(Mecze[[#This Row],[Role]]&lt;&gt;"BR",SUMPRODUCT(Mecze[[#This Row],[/PR:90]:[/BR:90]],Brudnopis!$E$27:$J$27),0)</f>
        <v>0.10416666666666666</v>
      </c>
      <c r="X2968" s="44">
        <f>IF(Mecze[[#This Row],[Role]]&lt;&gt;"BR",SUMPRODUCT(Mecze[[#This Row],[/PR:90]:[/BR:90]],Brudnopis!$E$28:$J$28),0)</f>
        <v>5.5555555555555552E-2</v>
      </c>
      <c r="Y2968" s="35">
        <f>IF(Mecze[[#This Row],[Role]]="BR",Mecze[[#This Row],[/OB:90]]+Mecze[[#This Row],[/PC:90]],SUM(Mecze[[#This Row],[/PR:90]:[/BR:90]]))</f>
        <v>8.3333333333333329E-2</v>
      </c>
      <c r="Z2968" s="35">
        <f>IF(Mecze[[#This Row],[KC]]=0,SUM(Mecze[[#This Row],[/BRI]:[/NPI]]),SUM(Mecze[[#This Row],[/BRI]:[/NPI]])*0.6)</f>
        <v>0.44444444444444442</v>
      </c>
      <c r="AA2968" s="10">
        <f>IFERROR(Mecze[[#This Row],[BR]]/Mecze[[#This Row],[ST]],0)</f>
        <v>0</v>
      </c>
      <c r="AB2968">
        <f>ROUND(Mecze[[#This Row],[PD]]*Mecze[[#This Row],[%PC]],0)</f>
        <v>4</v>
      </c>
      <c r="AC2968">
        <f>ROUND(Mecze[[#This Row],[OD]]*Mecze[[#This Row],[%OU]],0)</f>
        <v>1</v>
      </c>
      <c r="AD2968" s="36" t="s">
        <v>41</v>
      </c>
      <c r="AE2968" s="36">
        <v>167</v>
      </c>
      <c r="AF2968" s="71">
        <v>6.25</v>
      </c>
      <c r="AG2968" s="37">
        <v>0</v>
      </c>
      <c r="AH2968" s="37">
        <v>0</v>
      </c>
      <c r="AI2968" s="37">
        <v>72</v>
      </c>
      <c r="AJ2968" s="37">
        <v>8</v>
      </c>
      <c r="AK2968" s="37" t="str">
        <f>VLOOKUP(Mecze[[#This Row],[Match ID]],Meczusie[Mecz]:Meczusie[RodzajMeczu],2,FALSE)</f>
        <v>Liga</v>
      </c>
    </row>
    <row r="2969" spans="1:37" x14ac:dyDescent="0.25">
      <c r="A2969" s="76">
        <v>16</v>
      </c>
      <c r="B2969" s="3" t="s">
        <v>309</v>
      </c>
      <c r="C2969" s="2" t="s">
        <v>160</v>
      </c>
      <c r="D2969" s="1">
        <v>0</v>
      </c>
      <c r="E2969" s="1">
        <v>0</v>
      </c>
      <c r="F2969" s="1">
        <v>0</v>
      </c>
      <c r="G2969" s="1">
        <v>11</v>
      </c>
      <c r="H2969" s="4">
        <v>0.82</v>
      </c>
      <c r="I2969" s="1">
        <v>7</v>
      </c>
      <c r="J2969" s="4">
        <v>0.71</v>
      </c>
      <c r="K2969" s="1">
        <v>0</v>
      </c>
      <c r="L2969" s="1">
        <v>8</v>
      </c>
      <c r="M2969" s="32">
        <f>IF(Mecze[[#This Row],[PR]]=0,0,Mecze[[#This Row],[PR]]/Mecze[[#This Row],[CZAS]])</f>
        <v>0.08</v>
      </c>
      <c r="N2969" s="32">
        <f>IF(Mecze[[#This Row],[OU]]=0,0,Mecze[[#This Row],[OU]]/Mecze[[#This Row],[CZAS]])</f>
        <v>0.05</v>
      </c>
      <c r="O2969" s="32">
        <f>IF(Mecze[[#This Row],[PC]]=0,0,Mecze[[#This Row],[PC]]/Mecze[[#This Row],[CZAS]])</f>
        <v>0.09</v>
      </c>
      <c r="P2969" s="32">
        <f>IF(Mecze[[#This Row],[SC]]=0,0,Mecze[[#This Row],[SC]]/Mecze[[#This Row],[CZAS]])</f>
        <v>0</v>
      </c>
      <c r="Q2969" s="32">
        <f>IF(Mecze[[#This Row],[OB]]=0,0,Mecze[[#This Row],[OB]]/Mecze[[#This Row],[CZAS]])</f>
        <v>0</v>
      </c>
      <c r="R2969" s="32">
        <f>IF(Mecze[[#This Row],[BR]]=0,0,Mecze[[#This Row],[BR]]/Mecze[[#This Row],[CZAS]])</f>
        <v>0</v>
      </c>
      <c r="S2969" s="44">
        <f>IF(Mecze[[#This Row],[Role]]="BR",SUMPRODUCT(Mecze[[#This Row],[/PR:90]:[/BR:90]],Brudnopis!$E$23:$J$23),0)</f>
        <v>0</v>
      </c>
      <c r="T2969" s="44">
        <f>IF(Mecze[[#This Row],[Role]]&lt;&gt;"BR",SUMPRODUCT(Mecze[[#This Row],[/PR:90]:[/BR:90]],Brudnopis!$E$24:$J$24),0)</f>
        <v>0.24500000000000002</v>
      </c>
      <c r="U2969" s="44">
        <f>IF(Mecze[[#This Row],[Role]]&lt;&gt;"BR",SUMPRODUCT(Mecze[[#This Row],[/PR:90]:[/BR:90]],Brudnopis!$E$25:$J$25),0)</f>
        <v>0.26500000000000001</v>
      </c>
      <c r="V2969" s="44">
        <f>IF(Mecze[[#This Row],[Role]]&lt;&gt;"BR",SUMPRODUCT(Mecze[[#This Row],[/PR:90]:[/BR:90]],Brudnopis!$E$26:$J$26),0)</f>
        <v>0.22</v>
      </c>
      <c r="W2969" s="44">
        <f>IF(Mecze[[#This Row],[Role]]&lt;&gt;"BR",SUMPRODUCT(Mecze[[#This Row],[/PR:90]:[/BR:90]],Brudnopis!$E$27:$J$27),0)</f>
        <v>0.23250000000000001</v>
      </c>
      <c r="X2969" s="44">
        <f>IF(Mecze[[#This Row],[Role]]&lt;&gt;"BR",SUMPRODUCT(Mecze[[#This Row],[/PR:90]:[/BR:90]],Brudnopis!$E$28:$J$28),0)</f>
        <v>0.09</v>
      </c>
      <c r="Y2969" s="35">
        <f>IF(Mecze[[#This Row],[Role]]="BR",Mecze[[#This Row],[/OB:90]]+Mecze[[#This Row],[/PC:90]],SUM(Mecze[[#This Row],[/PR:90]:[/BR:90]]))</f>
        <v>0.22</v>
      </c>
      <c r="Z2969" s="35">
        <f>IF(Mecze[[#This Row],[KC]]=0,SUM(Mecze[[#This Row],[/BRI]:[/NPI]]),SUM(Mecze[[#This Row],[/BRI]:[/NPI]])*0.6)</f>
        <v>1.0525</v>
      </c>
      <c r="AA2969" s="10">
        <f>IFERROR(Mecze[[#This Row],[BR]]/Mecze[[#This Row],[ST]],0)</f>
        <v>0</v>
      </c>
      <c r="AB2969">
        <f>ROUND(Mecze[[#This Row],[PD]]*Mecze[[#This Row],[%PC]],0)</f>
        <v>9</v>
      </c>
      <c r="AC2969">
        <f>ROUND(Mecze[[#This Row],[OD]]*Mecze[[#This Row],[%OU]],0)</f>
        <v>5</v>
      </c>
      <c r="AD2969" s="36" t="s">
        <v>41</v>
      </c>
      <c r="AE2969" s="36">
        <v>167</v>
      </c>
      <c r="AF2969" s="71">
        <v>7.72</v>
      </c>
      <c r="AG2969" s="37">
        <v>0</v>
      </c>
      <c r="AH2969" s="37">
        <v>0</v>
      </c>
      <c r="AI2969" s="37">
        <v>100</v>
      </c>
      <c r="AJ2969" s="37">
        <v>8</v>
      </c>
      <c r="AK2969" s="37" t="str">
        <f>VLOOKUP(Mecze[[#This Row],[Match ID]],Meczusie[Mecz]:Meczusie[RodzajMeczu],2,FALSE)</f>
        <v>Liga</v>
      </c>
    </row>
    <row r="2970" spans="1:37" x14ac:dyDescent="0.25">
      <c r="A2970" s="76">
        <v>7</v>
      </c>
      <c r="B2970" s="3" t="s">
        <v>311</v>
      </c>
      <c r="C2970" s="2" t="s">
        <v>160</v>
      </c>
      <c r="D2970" s="1">
        <v>1</v>
      </c>
      <c r="E2970" s="1">
        <v>1</v>
      </c>
      <c r="F2970" s="1">
        <v>1</v>
      </c>
      <c r="G2970" s="1">
        <v>16</v>
      </c>
      <c r="H2970" s="4">
        <v>0.5</v>
      </c>
      <c r="I2970" s="1">
        <v>3</v>
      </c>
      <c r="J2970" s="4">
        <v>0.67</v>
      </c>
      <c r="K2970" s="1">
        <v>0</v>
      </c>
      <c r="L2970" s="1">
        <v>5</v>
      </c>
      <c r="M2970" s="32">
        <f>IF(Mecze[[#This Row],[PR]]=0,0,Mecze[[#This Row],[PR]]/Mecze[[#This Row],[CZAS]])</f>
        <v>0.05</v>
      </c>
      <c r="N2970" s="32">
        <f>IF(Mecze[[#This Row],[OU]]=0,0,Mecze[[#This Row],[OU]]/Mecze[[#This Row],[CZAS]])</f>
        <v>0.02</v>
      </c>
      <c r="O2970" s="32">
        <f>IF(Mecze[[#This Row],[PC]]=0,0,Mecze[[#This Row],[PC]]/Mecze[[#This Row],[CZAS]])</f>
        <v>0.08</v>
      </c>
      <c r="P2970" s="32">
        <f>IF(Mecze[[#This Row],[SC]]=0,0,Mecze[[#This Row],[SC]]/Mecze[[#This Row],[CZAS]])</f>
        <v>0.01</v>
      </c>
      <c r="Q2970" s="32">
        <f>IF(Mecze[[#This Row],[OB]]=0,0,Mecze[[#This Row],[OB]]/Mecze[[#This Row],[CZAS]])</f>
        <v>0</v>
      </c>
      <c r="R2970" s="32">
        <f>IF(Mecze[[#This Row],[BR]]=0,0,Mecze[[#This Row],[BR]]/Mecze[[#This Row],[CZAS]])</f>
        <v>0.01</v>
      </c>
      <c r="S2970" s="44">
        <f>IF(Mecze[[#This Row],[Role]]="BR",SUMPRODUCT(Mecze[[#This Row],[/PR:90]:[/BR:90]],Brudnopis!$E$23:$J$23),0)</f>
        <v>0</v>
      </c>
      <c r="T2970" s="44">
        <f>IF(Mecze[[#This Row],[Role]]&lt;&gt;"BR",SUMPRODUCT(Mecze[[#This Row],[/PR:90]:[/BR:90]],Brudnopis!$E$24:$J$24),0)</f>
        <v>0.185</v>
      </c>
      <c r="U2970" s="44">
        <f>IF(Mecze[[#This Row],[Role]]&lt;&gt;"BR",SUMPRODUCT(Mecze[[#This Row],[/PR:90]:[/BR:90]],Brudnopis!$E$25:$J$25),0)</f>
        <v>0.21500000000000002</v>
      </c>
      <c r="V2970" s="44">
        <f>IF(Mecze[[#This Row],[Role]]&lt;&gt;"BR",SUMPRODUCT(Mecze[[#This Row],[/PR:90]:[/BR:90]],Brudnopis!$E$26:$J$26),0)</f>
        <v>0.18000000000000002</v>
      </c>
      <c r="W2970" s="44">
        <f>IF(Mecze[[#This Row],[Role]]&lt;&gt;"BR",SUMPRODUCT(Mecze[[#This Row],[/PR:90]:[/BR:90]],Brudnopis!$E$27:$J$27),0)</f>
        <v>0.20249999999999999</v>
      </c>
      <c r="X2970" s="44">
        <f>IF(Mecze[[#This Row],[Role]]&lt;&gt;"BR",SUMPRODUCT(Mecze[[#This Row],[/PR:90]:[/BR:90]],Brudnopis!$E$28:$J$28),0)</f>
        <v>0.13</v>
      </c>
      <c r="Y2970" s="35">
        <f>IF(Mecze[[#This Row],[Role]]="BR",Mecze[[#This Row],[/OB:90]]+Mecze[[#This Row],[/PC:90]],SUM(Mecze[[#This Row],[/PR:90]:[/BR:90]]))</f>
        <v>0.17000000000000004</v>
      </c>
      <c r="Z2970" s="35">
        <f>IF(Mecze[[#This Row],[KC]]=0,SUM(Mecze[[#This Row],[/BRI]:[/NPI]]),SUM(Mecze[[#This Row],[/BRI]:[/NPI]])*0.6)</f>
        <v>0.91250000000000009</v>
      </c>
      <c r="AA2970" s="10">
        <f>IFERROR(Mecze[[#This Row],[BR]]/Mecze[[#This Row],[ST]],0)</f>
        <v>1</v>
      </c>
      <c r="AB2970">
        <f>ROUND(Mecze[[#This Row],[PD]]*Mecze[[#This Row],[%PC]],0)</f>
        <v>8</v>
      </c>
      <c r="AC2970">
        <f>ROUND(Mecze[[#This Row],[OD]]*Mecze[[#This Row],[%OU]],0)</f>
        <v>2</v>
      </c>
      <c r="AD2970" s="36" t="s">
        <v>67</v>
      </c>
      <c r="AE2970" s="36">
        <v>167</v>
      </c>
      <c r="AF2970" s="71">
        <v>8.52</v>
      </c>
      <c r="AG2970" s="37">
        <v>0</v>
      </c>
      <c r="AH2970" s="37">
        <v>0</v>
      </c>
      <c r="AI2970" s="37">
        <v>100</v>
      </c>
      <c r="AJ2970" s="37">
        <v>8</v>
      </c>
      <c r="AK2970" s="37" t="str">
        <f>VLOOKUP(Mecze[[#This Row],[Match ID]],Meczusie[Mecz]:Meczusie[RodzajMeczu],2,FALSE)</f>
        <v>Liga</v>
      </c>
    </row>
    <row r="2971" spans="1:37" x14ac:dyDescent="0.25">
      <c r="A2971" s="76">
        <v>14</v>
      </c>
      <c r="B2971" s="3" t="s">
        <v>312</v>
      </c>
      <c r="C2971" s="2" t="s">
        <v>160</v>
      </c>
      <c r="D2971" s="1">
        <v>0</v>
      </c>
      <c r="E2971" s="1">
        <v>5</v>
      </c>
      <c r="F2971" s="1">
        <v>5</v>
      </c>
      <c r="G2971" s="1">
        <v>15</v>
      </c>
      <c r="H2971" s="4">
        <v>0.73</v>
      </c>
      <c r="I2971" s="1">
        <v>6</v>
      </c>
      <c r="J2971" s="4">
        <v>0.5</v>
      </c>
      <c r="K2971" s="1">
        <v>0</v>
      </c>
      <c r="L2971" s="1">
        <v>0</v>
      </c>
      <c r="M2971" s="32">
        <f>IF(Mecze[[#This Row],[PR]]=0,0,Mecze[[#This Row],[PR]]/Mecze[[#This Row],[CZAS]])</f>
        <v>0</v>
      </c>
      <c r="N2971" s="32">
        <f>IF(Mecze[[#This Row],[OU]]=0,0,Mecze[[#This Row],[OU]]/Mecze[[#This Row],[CZAS]])</f>
        <v>4.1666666666666664E-2</v>
      </c>
      <c r="O2971" s="32">
        <f>IF(Mecze[[#This Row],[PC]]=0,0,Mecze[[#This Row],[PC]]/Mecze[[#This Row],[CZAS]])</f>
        <v>0.15277777777777779</v>
      </c>
      <c r="P2971" s="32">
        <f>IF(Mecze[[#This Row],[SC]]=0,0,Mecze[[#This Row],[SC]]/Mecze[[#This Row],[CZAS]])</f>
        <v>6.9444444444444448E-2</v>
      </c>
      <c r="Q2971" s="32">
        <f>IF(Mecze[[#This Row],[OB]]=0,0,Mecze[[#This Row],[OB]]/Mecze[[#This Row],[CZAS]])</f>
        <v>0</v>
      </c>
      <c r="R2971" s="32">
        <f>IF(Mecze[[#This Row],[BR]]=0,0,Mecze[[#This Row],[BR]]/Mecze[[#This Row],[CZAS]])</f>
        <v>0</v>
      </c>
      <c r="S2971" s="44">
        <f>IF(Mecze[[#This Row],[Role]]="BR",SUMPRODUCT(Mecze[[#This Row],[/PR:90]:[/BR:90]],Brudnopis!$E$23:$J$23),0)</f>
        <v>0</v>
      </c>
      <c r="T2971" s="44">
        <f>IF(Mecze[[#This Row],[Role]]&lt;&gt;"BR",SUMPRODUCT(Mecze[[#This Row],[/PR:90]:[/BR:90]],Brudnopis!$E$24:$J$24),0)</f>
        <v>0.28472222222222221</v>
      </c>
      <c r="U2971" s="44">
        <f>IF(Mecze[[#This Row],[Role]]&lt;&gt;"BR",SUMPRODUCT(Mecze[[#This Row],[/PR:90]:[/BR:90]],Brudnopis!$E$25:$J$25),0)</f>
        <v>0.34027777777777779</v>
      </c>
      <c r="V2971" s="44">
        <f>IF(Mecze[[#This Row],[Role]]&lt;&gt;"BR",SUMPRODUCT(Mecze[[#This Row],[/PR:90]:[/BR:90]],Brudnopis!$E$26:$J$26),0)</f>
        <v>0.2638888888888889</v>
      </c>
      <c r="W2971" s="44">
        <f>IF(Mecze[[#This Row],[Role]]&lt;&gt;"BR",SUMPRODUCT(Mecze[[#This Row],[/PR:90]:[/BR:90]],Brudnopis!$E$27:$J$27),0)</f>
        <v>0.32986111111111116</v>
      </c>
      <c r="X2971" s="44">
        <f>IF(Mecze[[#This Row],[Role]]&lt;&gt;"BR",SUMPRODUCT(Mecze[[#This Row],[/PR:90]:[/BR:90]],Brudnopis!$E$28:$J$28),0)</f>
        <v>0.29166666666666669</v>
      </c>
      <c r="Y2971" s="35">
        <f>IF(Mecze[[#This Row],[Role]]="BR",Mecze[[#This Row],[/OB:90]]+Mecze[[#This Row],[/PC:90]],SUM(Mecze[[#This Row],[/PR:90]:[/BR:90]]))</f>
        <v>0.2638888888888889</v>
      </c>
      <c r="Z2971" s="35">
        <f>IF(Mecze[[#This Row],[KC]]=0,SUM(Mecze[[#This Row],[/BRI]:[/NPI]]),SUM(Mecze[[#This Row],[/BRI]:[/NPI]])*0.6)</f>
        <v>1.5104166666666667</v>
      </c>
      <c r="AA2971" s="10">
        <f>IFERROR(Mecze[[#This Row],[BR]]/Mecze[[#This Row],[ST]],0)</f>
        <v>0</v>
      </c>
      <c r="AB2971">
        <f>ROUND(Mecze[[#This Row],[PD]]*Mecze[[#This Row],[%PC]],0)</f>
        <v>11</v>
      </c>
      <c r="AC2971">
        <f>ROUND(Mecze[[#This Row],[OD]]*Mecze[[#This Row],[%OU]],0)</f>
        <v>3</v>
      </c>
      <c r="AD2971" s="36" t="s">
        <v>44</v>
      </c>
      <c r="AE2971" s="36">
        <v>167</v>
      </c>
      <c r="AF2971" s="71">
        <v>6.28</v>
      </c>
      <c r="AG2971" s="37">
        <v>0</v>
      </c>
      <c r="AH2971" s="37">
        <v>0</v>
      </c>
      <c r="AI2971" s="37">
        <v>72</v>
      </c>
      <c r="AJ2971" s="37">
        <v>8</v>
      </c>
      <c r="AK2971" s="37" t="str">
        <f>VLOOKUP(Mecze[[#This Row],[Match ID]],Meczusie[Mecz]:Meczusie[RodzajMeczu],2,FALSE)</f>
        <v>Liga</v>
      </c>
    </row>
    <row r="2972" spans="1:37" x14ac:dyDescent="0.25">
      <c r="A2972" s="76">
        <v>13</v>
      </c>
      <c r="B2972" s="3" t="s">
        <v>313</v>
      </c>
      <c r="C2972" s="2" t="s">
        <v>165</v>
      </c>
      <c r="D2972" s="1">
        <v>0</v>
      </c>
      <c r="E2972" s="1">
        <v>1</v>
      </c>
      <c r="F2972" s="1">
        <v>1</v>
      </c>
      <c r="G2972" s="1">
        <v>7</v>
      </c>
      <c r="H2972" s="4">
        <v>0.56999999999999995</v>
      </c>
      <c r="I2972" s="1">
        <v>0</v>
      </c>
      <c r="J2972" s="4"/>
      <c r="K2972" s="1">
        <v>0</v>
      </c>
      <c r="L2972" s="1">
        <v>0</v>
      </c>
      <c r="M2972" s="32">
        <f>IF(Mecze[[#This Row],[PR]]=0,0,Mecze[[#This Row],[PR]]/Mecze[[#This Row],[CZAS]])</f>
        <v>0</v>
      </c>
      <c r="N2972" s="32">
        <f>IF(Mecze[[#This Row],[OU]]=0,0,Mecze[[#This Row],[OU]]/Mecze[[#This Row],[CZAS]])</f>
        <v>0</v>
      </c>
      <c r="O2972" s="32">
        <f>IF(Mecze[[#This Row],[PC]]=0,0,Mecze[[#This Row],[PC]]/Mecze[[#This Row],[CZAS]])</f>
        <v>5.128205128205128E-2</v>
      </c>
      <c r="P2972" s="32">
        <f>IF(Mecze[[#This Row],[SC]]=0,0,Mecze[[#This Row],[SC]]/Mecze[[#This Row],[CZAS]])</f>
        <v>1.282051282051282E-2</v>
      </c>
      <c r="Q2972" s="32">
        <f>IF(Mecze[[#This Row],[OB]]=0,0,Mecze[[#This Row],[OB]]/Mecze[[#This Row],[CZAS]])</f>
        <v>0</v>
      </c>
      <c r="R2972" s="32">
        <f>IF(Mecze[[#This Row],[BR]]=0,0,Mecze[[#This Row],[BR]]/Mecze[[#This Row],[CZAS]])</f>
        <v>0</v>
      </c>
      <c r="S2972" s="44">
        <f>IF(Mecze[[#This Row],[Role]]="BR",SUMPRODUCT(Mecze[[#This Row],[/PR:90]:[/BR:90]],Brudnopis!$E$23:$J$23),0)</f>
        <v>0</v>
      </c>
      <c r="T2972" s="44">
        <f>IF(Mecze[[#This Row],[Role]]&lt;&gt;"BR",SUMPRODUCT(Mecze[[#This Row],[/PR:90]:[/BR:90]],Brudnopis!$E$24:$J$24),0)</f>
        <v>6.4102564102564097E-2</v>
      </c>
      <c r="U2972" s="44">
        <f>IF(Mecze[[#This Row],[Role]]&lt;&gt;"BR",SUMPRODUCT(Mecze[[#This Row],[/PR:90]:[/BR:90]],Brudnopis!$E$25:$J$25),0)</f>
        <v>8.9743589743589744E-2</v>
      </c>
      <c r="V2972" s="44">
        <f>IF(Mecze[[#This Row],[Role]]&lt;&gt;"BR",SUMPRODUCT(Mecze[[#This Row],[/PR:90]:[/BR:90]],Brudnopis!$E$26:$J$26),0)</f>
        <v>6.4102564102564097E-2</v>
      </c>
      <c r="W2972" s="44">
        <f>IF(Mecze[[#This Row],[Role]]&lt;&gt;"BR",SUMPRODUCT(Mecze[[#This Row],[/PR:90]:[/BR:90]],Brudnopis!$E$27:$J$27),0)</f>
        <v>8.9743589743589744E-2</v>
      </c>
      <c r="X2972" s="44">
        <f>IF(Mecze[[#This Row],[Role]]&lt;&gt;"BR",SUMPRODUCT(Mecze[[#This Row],[/PR:90]:[/BR:90]],Brudnopis!$E$28:$J$28),0)</f>
        <v>7.6923076923076927E-2</v>
      </c>
      <c r="Y2972" s="35">
        <f>IF(Mecze[[#This Row],[Role]]="BR",Mecze[[#This Row],[/OB:90]]+Mecze[[#This Row],[/PC:90]],SUM(Mecze[[#This Row],[/PR:90]:[/BR:90]]))</f>
        <v>6.4102564102564097E-2</v>
      </c>
      <c r="Z2972" s="35">
        <f>IF(Mecze[[#This Row],[KC]]=0,SUM(Mecze[[#This Row],[/BRI]:[/NPI]]),SUM(Mecze[[#This Row],[/BRI]:[/NPI]])*0.6)</f>
        <v>0.38461538461538464</v>
      </c>
      <c r="AA2972" s="10">
        <f>IFERROR(Mecze[[#This Row],[BR]]/Mecze[[#This Row],[ST]],0)</f>
        <v>0</v>
      </c>
      <c r="AB2972">
        <f>ROUND(Mecze[[#This Row],[PD]]*Mecze[[#This Row],[%PC]],0)</f>
        <v>4</v>
      </c>
      <c r="AC2972">
        <f>ROUND(Mecze[[#This Row],[OD]]*Mecze[[#This Row],[%OU]],0)</f>
        <v>0</v>
      </c>
      <c r="AD2972" s="36" t="s">
        <v>355</v>
      </c>
      <c r="AE2972" s="36">
        <v>167</v>
      </c>
      <c r="AF2972" s="71">
        <v>5.48</v>
      </c>
      <c r="AG2972" s="37">
        <v>0</v>
      </c>
      <c r="AH2972" s="37">
        <v>0</v>
      </c>
      <c r="AI2972" s="37">
        <v>78</v>
      </c>
      <c r="AJ2972" s="37">
        <v>8</v>
      </c>
      <c r="AK2972" s="37" t="str">
        <f>VLOOKUP(Mecze[[#This Row],[Match ID]],Meczusie[Mecz]:Meczusie[RodzajMeczu],2,FALSE)</f>
        <v>Liga</v>
      </c>
    </row>
    <row r="2973" spans="1:37" x14ac:dyDescent="0.25">
      <c r="A2973" s="76">
        <v>74</v>
      </c>
      <c r="B2973" s="3" t="s">
        <v>442</v>
      </c>
      <c r="C2973" s="2" t="s">
        <v>165</v>
      </c>
      <c r="D2973" s="1">
        <v>0</v>
      </c>
      <c r="E2973" s="1">
        <v>3</v>
      </c>
      <c r="F2973" s="1">
        <v>3</v>
      </c>
      <c r="G2973" s="1">
        <v>12</v>
      </c>
      <c r="H2973" s="4">
        <v>0.75</v>
      </c>
      <c r="I2973" s="1">
        <v>4</v>
      </c>
      <c r="J2973" s="4">
        <v>0.5</v>
      </c>
      <c r="K2973" s="1">
        <v>0</v>
      </c>
      <c r="L2973" s="1">
        <v>1</v>
      </c>
      <c r="M2973" s="32">
        <f>IF(Mecze[[#This Row],[PR]]=0,0,Mecze[[#This Row],[PR]]/Mecze[[#This Row],[CZAS]])</f>
        <v>0.01</v>
      </c>
      <c r="N2973" s="32">
        <f>IF(Mecze[[#This Row],[OU]]=0,0,Mecze[[#This Row],[OU]]/Mecze[[#This Row],[CZAS]])</f>
        <v>0.02</v>
      </c>
      <c r="O2973" s="32">
        <f>IF(Mecze[[#This Row],[PC]]=0,0,Mecze[[#This Row],[PC]]/Mecze[[#This Row],[CZAS]])</f>
        <v>0.09</v>
      </c>
      <c r="P2973" s="32">
        <f>IF(Mecze[[#This Row],[SC]]=0,0,Mecze[[#This Row],[SC]]/Mecze[[#This Row],[CZAS]])</f>
        <v>0.03</v>
      </c>
      <c r="Q2973" s="32">
        <f>IF(Mecze[[#This Row],[OB]]=0,0,Mecze[[#This Row],[OB]]/Mecze[[#This Row],[CZAS]])</f>
        <v>0</v>
      </c>
      <c r="R2973" s="32">
        <f>IF(Mecze[[#This Row],[BR]]=0,0,Mecze[[#This Row],[BR]]/Mecze[[#This Row],[CZAS]])</f>
        <v>0</v>
      </c>
      <c r="S2973" s="44">
        <f>IF(Mecze[[#This Row],[Role]]="BR",SUMPRODUCT(Mecze[[#This Row],[/PR:90]:[/BR:90]],Brudnopis!$E$23:$J$23),0)</f>
        <v>0</v>
      </c>
      <c r="T2973" s="44">
        <f>IF(Mecze[[#This Row],[Role]]&lt;&gt;"BR",SUMPRODUCT(Mecze[[#This Row],[/PR:90]:[/BR:90]],Brudnopis!$E$24:$J$24),0)</f>
        <v>0.16</v>
      </c>
      <c r="U2973" s="44">
        <f>IF(Mecze[[#This Row],[Role]]&lt;&gt;"BR",SUMPRODUCT(Mecze[[#This Row],[/PR:90]:[/BR:90]],Brudnopis!$E$25:$J$25),0)</f>
        <v>0.19500000000000001</v>
      </c>
      <c r="V2973" s="44">
        <f>IF(Mecze[[#This Row],[Role]]&lt;&gt;"BR",SUMPRODUCT(Mecze[[#This Row],[/PR:90]:[/BR:90]],Brudnopis!$E$26:$J$26),0)</f>
        <v>0.15</v>
      </c>
      <c r="W2973" s="44">
        <f>IF(Mecze[[#This Row],[Role]]&lt;&gt;"BR",SUMPRODUCT(Mecze[[#This Row],[/PR:90]:[/BR:90]],Brudnopis!$E$27:$J$27),0)</f>
        <v>0.1875</v>
      </c>
      <c r="X2973" s="44">
        <f>IF(Mecze[[#This Row],[Role]]&lt;&gt;"BR",SUMPRODUCT(Mecze[[#This Row],[/PR:90]:[/BR:90]],Brudnopis!$E$28:$J$28),0)</f>
        <v>0.15</v>
      </c>
      <c r="Y2973" s="35">
        <f>IF(Mecze[[#This Row],[Role]]="BR",Mecze[[#This Row],[/OB:90]]+Mecze[[#This Row],[/PC:90]],SUM(Mecze[[#This Row],[/PR:90]:[/BR:90]]))</f>
        <v>0.15</v>
      </c>
      <c r="Z2973" s="35">
        <f>IF(Mecze[[#This Row],[KC]]=0,SUM(Mecze[[#This Row],[/BRI]:[/NPI]]),SUM(Mecze[[#This Row],[/BRI]:[/NPI]])*0.6)</f>
        <v>0.84250000000000003</v>
      </c>
      <c r="AA2973" s="10">
        <f>IFERROR(Mecze[[#This Row],[BR]]/Mecze[[#This Row],[ST]],0)</f>
        <v>0</v>
      </c>
      <c r="AB2973">
        <f>ROUND(Mecze[[#This Row],[PD]]*Mecze[[#This Row],[%PC]],0)</f>
        <v>9</v>
      </c>
      <c r="AC2973">
        <f>ROUND(Mecze[[#This Row],[OD]]*Mecze[[#This Row],[%OU]],0)</f>
        <v>2</v>
      </c>
      <c r="AD2973" s="36" t="s">
        <v>46</v>
      </c>
      <c r="AE2973" s="36">
        <v>167</v>
      </c>
      <c r="AF2973" s="71">
        <v>4.8099999999999996</v>
      </c>
      <c r="AG2973" s="37">
        <v>1</v>
      </c>
      <c r="AH2973" s="37">
        <v>0</v>
      </c>
      <c r="AI2973" s="37">
        <v>100</v>
      </c>
      <c r="AJ2973" s="37">
        <v>8</v>
      </c>
      <c r="AK2973" s="37" t="str">
        <f>VLOOKUP(Mecze[[#This Row],[Match ID]],Meczusie[Mecz]:Meczusie[RodzajMeczu],2,FALSE)</f>
        <v>Liga</v>
      </c>
    </row>
    <row r="2974" spans="1:37" x14ac:dyDescent="0.25">
      <c r="A2974" s="76">
        <v>8</v>
      </c>
      <c r="B2974" s="3" t="s">
        <v>314</v>
      </c>
      <c r="C2974" s="2" t="s">
        <v>165</v>
      </c>
      <c r="D2974" s="1">
        <v>1</v>
      </c>
      <c r="E2974" s="1">
        <v>8</v>
      </c>
      <c r="F2974" s="1">
        <v>8</v>
      </c>
      <c r="G2974" s="1">
        <v>11</v>
      </c>
      <c r="H2974" s="4">
        <v>0.82</v>
      </c>
      <c r="I2974" s="1">
        <v>5</v>
      </c>
      <c r="J2974" s="4">
        <v>1</v>
      </c>
      <c r="K2974" s="1">
        <v>0</v>
      </c>
      <c r="L2974" s="1">
        <v>0</v>
      </c>
      <c r="M2974" s="32">
        <f>IF(Mecze[[#This Row],[PR]]=0,0,Mecze[[#This Row],[PR]]/Mecze[[#This Row],[CZAS]])</f>
        <v>0</v>
      </c>
      <c r="N2974" s="32">
        <f>IF(Mecze[[#This Row],[OU]]=0,0,Mecze[[#This Row],[OU]]/Mecze[[#This Row],[CZAS]])</f>
        <v>0.05</v>
      </c>
      <c r="O2974" s="32">
        <f>IF(Mecze[[#This Row],[PC]]=0,0,Mecze[[#This Row],[PC]]/Mecze[[#This Row],[CZAS]])</f>
        <v>0.09</v>
      </c>
      <c r="P2974" s="32">
        <f>IF(Mecze[[#This Row],[SC]]=0,0,Mecze[[#This Row],[SC]]/Mecze[[#This Row],[CZAS]])</f>
        <v>0.08</v>
      </c>
      <c r="Q2974" s="32">
        <f>IF(Mecze[[#This Row],[OB]]=0,0,Mecze[[#This Row],[OB]]/Mecze[[#This Row],[CZAS]])</f>
        <v>0</v>
      </c>
      <c r="R2974" s="32">
        <f>IF(Mecze[[#This Row],[BR]]=0,0,Mecze[[#This Row],[BR]]/Mecze[[#This Row],[CZAS]])</f>
        <v>0.01</v>
      </c>
      <c r="S2974" s="44">
        <f>IF(Mecze[[#This Row],[Role]]="BR",SUMPRODUCT(Mecze[[#This Row],[/PR:90]:[/BR:90]],Brudnopis!$E$23:$J$23),0)</f>
        <v>0</v>
      </c>
      <c r="T2974" s="44">
        <f>IF(Mecze[[#This Row],[Role]]&lt;&gt;"BR",SUMPRODUCT(Mecze[[#This Row],[/PR:90]:[/BR:90]],Brudnopis!$E$24:$J$24),0)</f>
        <v>0.26</v>
      </c>
      <c r="U2974" s="44">
        <f>IF(Mecze[[#This Row],[Role]]&lt;&gt;"BR",SUMPRODUCT(Mecze[[#This Row],[/PR:90]:[/BR:90]],Brudnopis!$E$25:$J$25),0)</f>
        <v>0.28000000000000003</v>
      </c>
      <c r="V2974" s="44">
        <f>IF(Mecze[[#This Row],[Role]]&lt;&gt;"BR",SUMPRODUCT(Mecze[[#This Row],[/PR:90]:[/BR:90]],Brudnopis!$E$26:$J$26),0)</f>
        <v>0.24000000000000002</v>
      </c>
      <c r="W2974" s="44">
        <f>IF(Mecze[[#This Row],[Role]]&lt;&gt;"BR",SUMPRODUCT(Mecze[[#This Row],[/PR:90]:[/BR:90]],Brudnopis!$E$27:$J$27),0)</f>
        <v>0.27250000000000002</v>
      </c>
      <c r="X2974" s="44">
        <f>IF(Mecze[[#This Row],[Role]]&lt;&gt;"BR",SUMPRODUCT(Mecze[[#This Row],[/PR:90]:[/BR:90]],Brudnopis!$E$28:$J$28),0)</f>
        <v>0.28000000000000003</v>
      </c>
      <c r="Y2974" s="35">
        <f>IF(Mecze[[#This Row],[Role]]="BR",Mecze[[#This Row],[/OB:90]]+Mecze[[#This Row],[/PC:90]],SUM(Mecze[[#This Row],[/PR:90]:[/BR:90]]))</f>
        <v>0.23000000000000004</v>
      </c>
      <c r="Z2974" s="35">
        <f>IF(Mecze[[#This Row],[KC]]=0,SUM(Mecze[[#This Row],[/BRI]:[/NPI]]),SUM(Mecze[[#This Row],[/BRI]:[/NPI]])*0.6)</f>
        <v>1.3325</v>
      </c>
      <c r="AA2974" s="10">
        <f>IFERROR(Mecze[[#This Row],[BR]]/Mecze[[#This Row],[ST]],0)</f>
        <v>0.125</v>
      </c>
      <c r="AB2974">
        <f>ROUND(Mecze[[#This Row],[PD]]*Mecze[[#This Row],[%PC]],0)</f>
        <v>9</v>
      </c>
      <c r="AC2974">
        <f>ROUND(Mecze[[#This Row],[OD]]*Mecze[[#This Row],[%OU]],0)</f>
        <v>5</v>
      </c>
      <c r="AD2974" s="36" t="s">
        <v>46</v>
      </c>
      <c r="AE2974" s="36">
        <v>167</v>
      </c>
      <c r="AF2974" s="71">
        <v>9.1300000000000008</v>
      </c>
      <c r="AG2974" s="37">
        <v>1</v>
      </c>
      <c r="AH2974" s="37">
        <v>0</v>
      </c>
      <c r="AI2974" s="37">
        <v>100</v>
      </c>
      <c r="AJ2974" s="37">
        <v>8</v>
      </c>
      <c r="AK2974" s="37" t="str">
        <f>VLOOKUP(Mecze[[#This Row],[Match ID]],Meczusie[Mecz]:Meczusie[RodzajMeczu],2,FALSE)</f>
        <v>Liga</v>
      </c>
    </row>
    <row r="2975" spans="1:37" x14ac:dyDescent="0.25">
      <c r="A2975" s="76">
        <v>15</v>
      </c>
      <c r="B2975" s="3" t="s">
        <v>310</v>
      </c>
      <c r="C2975" s="2" t="s">
        <v>160</v>
      </c>
      <c r="D2975" s="1">
        <v>1</v>
      </c>
      <c r="E2975" s="1">
        <v>1</v>
      </c>
      <c r="F2975" s="1">
        <v>1</v>
      </c>
      <c r="G2975" s="1">
        <v>2</v>
      </c>
      <c r="H2975" s="4">
        <v>0</v>
      </c>
      <c r="I2975" s="1">
        <v>2</v>
      </c>
      <c r="J2975" s="4">
        <v>1</v>
      </c>
      <c r="K2975" s="1">
        <v>0</v>
      </c>
      <c r="L2975" s="1">
        <v>0</v>
      </c>
      <c r="M2975" s="32">
        <f>IF(Mecze[[#This Row],[PR]]=0,0,Mecze[[#This Row],[PR]]/Mecze[[#This Row],[CZAS]])</f>
        <v>0</v>
      </c>
      <c r="N2975" s="32">
        <f>IF(Mecze[[#This Row],[OU]]=0,0,Mecze[[#This Row],[OU]]/Mecze[[#This Row],[CZAS]])</f>
        <v>7.1428571428571425E-2</v>
      </c>
      <c r="O2975" s="32">
        <f>IF(Mecze[[#This Row],[PC]]=0,0,Mecze[[#This Row],[PC]]/Mecze[[#This Row],[CZAS]])</f>
        <v>0</v>
      </c>
      <c r="P2975" s="32">
        <f>IF(Mecze[[#This Row],[SC]]=0,0,Mecze[[#This Row],[SC]]/Mecze[[#This Row],[CZAS]])</f>
        <v>3.5714285714285712E-2</v>
      </c>
      <c r="Q2975" s="32">
        <f>IF(Mecze[[#This Row],[OB]]=0,0,Mecze[[#This Row],[OB]]/Mecze[[#This Row],[CZAS]])</f>
        <v>0</v>
      </c>
      <c r="R2975" s="32">
        <f>IF(Mecze[[#This Row],[BR]]=0,0,Mecze[[#This Row],[BR]]/Mecze[[#This Row],[CZAS]])</f>
        <v>3.5714285714285712E-2</v>
      </c>
      <c r="S2975" s="44">
        <f>IF(Mecze[[#This Row],[Role]]="BR",SUMPRODUCT(Mecze[[#This Row],[/PR:90]:[/BR:90]],Brudnopis!$E$23:$J$23),0)</f>
        <v>0</v>
      </c>
      <c r="T2975" s="44">
        <f>IF(Mecze[[#This Row],[Role]]&lt;&gt;"BR",SUMPRODUCT(Mecze[[#This Row],[/PR:90]:[/BR:90]],Brudnopis!$E$24:$J$24),0)</f>
        <v>0.19642857142857142</v>
      </c>
      <c r="U2975" s="44">
        <f>IF(Mecze[[#This Row],[Role]]&lt;&gt;"BR",SUMPRODUCT(Mecze[[#This Row],[/PR:90]:[/BR:90]],Brudnopis!$E$25:$J$25),0)</f>
        <v>0.1607142857142857</v>
      </c>
      <c r="V2975" s="44">
        <f>IF(Mecze[[#This Row],[Role]]&lt;&gt;"BR",SUMPRODUCT(Mecze[[#This Row],[/PR:90]:[/BR:90]],Brudnopis!$E$26:$J$26),0)</f>
        <v>0.17857142857142855</v>
      </c>
      <c r="W2975" s="44">
        <f>IF(Mecze[[#This Row],[Role]]&lt;&gt;"BR",SUMPRODUCT(Mecze[[#This Row],[/PR:90]:[/BR:90]],Brudnopis!$E$27:$J$27),0)</f>
        <v>0.1607142857142857</v>
      </c>
      <c r="X2975" s="44">
        <f>IF(Mecze[[#This Row],[Role]]&lt;&gt;"BR",SUMPRODUCT(Mecze[[#This Row],[/PR:90]:[/BR:90]],Brudnopis!$E$28:$J$28),0)</f>
        <v>0.17857142857142855</v>
      </c>
      <c r="Y2975" s="35">
        <f>IF(Mecze[[#This Row],[Role]]="BR",Mecze[[#This Row],[/OB:90]]+Mecze[[#This Row],[/PC:90]],SUM(Mecze[[#This Row],[/PR:90]:[/BR:90]]))</f>
        <v>0.14285714285714285</v>
      </c>
      <c r="Z2975" s="35">
        <f>IF(Mecze[[#This Row],[KC]]=0,SUM(Mecze[[#This Row],[/BRI]:[/NPI]]),SUM(Mecze[[#This Row],[/BRI]:[/NPI]])*0.6)</f>
        <v>0.87499999999999978</v>
      </c>
      <c r="AA2975" s="10">
        <f>IFERROR(Mecze[[#This Row],[BR]]/Mecze[[#This Row],[ST]],0)</f>
        <v>1</v>
      </c>
      <c r="AB2975">
        <f>ROUND(Mecze[[#This Row],[PD]]*Mecze[[#This Row],[%PC]],0)</f>
        <v>0</v>
      </c>
      <c r="AC2975">
        <f>ROUND(Mecze[[#This Row],[OD]]*Mecze[[#This Row],[%OU]],0)</f>
        <v>2</v>
      </c>
      <c r="AD2975" s="36" t="s">
        <v>44</v>
      </c>
      <c r="AE2975" s="36">
        <v>167</v>
      </c>
      <c r="AF2975" s="71">
        <v>4.0599999999999996</v>
      </c>
      <c r="AG2975" s="37">
        <v>0</v>
      </c>
      <c r="AH2975" s="37">
        <v>0</v>
      </c>
      <c r="AI2975" s="37">
        <v>28</v>
      </c>
      <c r="AJ2975" s="37">
        <v>8</v>
      </c>
      <c r="AK2975" s="37" t="str">
        <f>VLOOKUP(Mecze[[#This Row],[Match ID]],Meczusie[Mecz]:Meczusie[RodzajMeczu],2,FALSE)</f>
        <v>Liga</v>
      </c>
    </row>
    <row r="2976" spans="1:37" x14ac:dyDescent="0.25">
      <c r="A2976" s="76">
        <v>71</v>
      </c>
      <c r="B2976" s="3" t="s">
        <v>429</v>
      </c>
      <c r="C2976" s="2" t="s">
        <v>160</v>
      </c>
      <c r="D2976" s="1">
        <v>0</v>
      </c>
      <c r="E2976" s="1">
        <v>0</v>
      </c>
      <c r="F2976" s="1">
        <v>0</v>
      </c>
      <c r="G2976" s="1">
        <v>0</v>
      </c>
      <c r="H2976" s="72"/>
      <c r="I2976" s="1">
        <v>1</v>
      </c>
      <c r="J2976" s="4">
        <v>0</v>
      </c>
      <c r="K2976" s="1">
        <v>0</v>
      </c>
      <c r="L2976" s="1">
        <v>0</v>
      </c>
      <c r="M2976" s="32">
        <f>IF(Mecze[[#This Row],[PR]]=0,0,Mecze[[#This Row],[PR]]/Mecze[[#This Row],[CZAS]])</f>
        <v>0</v>
      </c>
      <c r="N2976" s="32">
        <f>IF(Mecze[[#This Row],[OU]]=0,0,Mecze[[#This Row],[OU]]/Mecze[[#This Row],[CZAS]])</f>
        <v>0</v>
      </c>
      <c r="O2976" s="32">
        <f>IF(Mecze[[#This Row],[PC]]=0,0,Mecze[[#This Row],[PC]]/Mecze[[#This Row],[CZAS]])</f>
        <v>0</v>
      </c>
      <c r="P2976" s="32">
        <f>IF(Mecze[[#This Row],[SC]]=0,0,Mecze[[#This Row],[SC]]/Mecze[[#This Row],[CZAS]])</f>
        <v>0</v>
      </c>
      <c r="Q2976" s="32">
        <f>IF(Mecze[[#This Row],[OB]]=0,0,Mecze[[#This Row],[OB]]/Mecze[[#This Row],[CZAS]])</f>
        <v>0</v>
      </c>
      <c r="R2976" s="32">
        <f>IF(Mecze[[#This Row],[BR]]=0,0,Mecze[[#This Row],[BR]]/Mecze[[#This Row],[CZAS]])</f>
        <v>0</v>
      </c>
      <c r="S2976" s="44">
        <f>IF(Mecze[[#This Row],[Role]]="BR",SUMPRODUCT(Mecze[[#This Row],[/PR:90]:[/BR:90]],Brudnopis!$E$23:$J$23),0)</f>
        <v>0</v>
      </c>
      <c r="T2976" s="44">
        <f>IF(Mecze[[#This Row],[Role]]&lt;&gt;"BR",SUMPRODUCT(Mecze[[#This Row],[/PR:90]:[/BR:90]],Brudnopis!$E$24:$J$24),0)</f>
        <v>0</v>
      </c>
      <c r="U2976" s="44">
        <f>IF(Mecze[[#This Row],[Role]]&lt;&gt;"BR",SUMPRODUCT(Mecze[[#This Row],[/PR:90]:[/BR:90]],Brudnopis!$E$25:$J$25),0)</f>
        <v>0</v>
      </c>
      <c r="V2976" s="44">
        <f>IF(Mecze[[#This Row],[Role]]&lt;&gt;"BR",SUMPRODUCT(Mecze[[#This Row],[/PR:90]:[/BR:90]],Brudnopis!$E$26:$J$26),0)</f>
        <v>0</v>
      </c>
      <c r="W2976" s="44">
        <f>IF(Mecze[[#This Row],[Role]]&lt;&gt;"BR",SUMPRODUCT(Mecze[[#This Row],[/PR:90]:[/BR:90]],Brudnopis!$E$27:$J$27),0)</f>
        <v>0</v>
      </c>
      <c r="X2976" s="44">
        <f>IF(Mecze[[#This Row],[Role]]&lt;&gt;"BR",SUMPRODUCT(Mecze[[#This Row],[/PR:90]:[/BR:90]],Brudnopis!$E$28:$J$28),0)</f>
        <v>0</v>
      </c>
      <c r="Y2976" s="35">
        <f>IF(Mecze[[#This Row],[Role]]="BR",Mecze[[#This Row],[/OB:90]]+Mecze[[#This Row],[/PC:90]],SUM(Mecze[[#This Row],[/PR:90]:[/BR:90]]))</f>
        <v>0</v>
      </c>
      <c r="Z2976" s="35">
        <f>IF(Mecze[[#This Row],[KC]]=0,SUM(Mecze[[#This Row],[/BRI]:[/NPI]]),SUM(Mecze[[#This Row],[/BRI]:[/NPI]])*0.6)</f>
        <v>0</v>
      </c>
      <c r="AA2976" s="10">
        <f>IFERROR(Mecze[[#This Row],[BR]]/Mecze[[#This Row],[ST]],0)</f>
        <v>0</v>
      </c>
      <c r="AB2976">
        <f>ROUND(Mecze[[#This Row],[PD]]*Mecze[[#This Row],[%PC]],0)</f>
        <v>0</v>
      </c>
      <c r="AC2976">
        <f>ROUND(Mecze[[#This Row],[OD]]*Mecze[[#This Row],[%OU]],0)</f>
        <v>0</v>
      </c>
      <c r="AD2976" s="36" t="s">
        <v>41</v>
      </c>
      <c r="AE2976" s="36">
        <v>167</v>
      </c>
      <c r="AF2976" s="71">
        <v>1.72</v>
      </c>
      <c r="AG2976" s="37">
        <v>0</v>
      </c>
      <c r="AH2976" s="37">
        <v>0</v>
      </c>
      <c r="AI2976" s="37">
        <v>28</v>
      </c>
      <c r="AJ2976" s="37">
        <v>8</v>
      </c>
      <c r="AK2976" s="37" t="str">
        <f>VLOOKUP(Mecze[[#This Row],[Match ID]],Meczusie[Mecz]:Meczusie[RodzajMeczu],2,FALSE)</f>
        <v>Liga</v>
      </c>
    </row>
    <row r="2977" spans="1:37" x14ac:dyDescent="0.25">
      <c r="A2977" s="76">
        <v>68</v>
      </c>
      <c r="B2977" s="3" t="s">
        <v>416</v>
      </c>
      <c r="C2977" s="2" t="s">
        <v>165</v>
      </c>
      <c r="D2977" s="1">
        <v>0</v>
      </c>
      <c r="E2977" s="1">
        <v>0</v>
      </c>
      <c r="F2977" s="1">
        <v>0</v>
      </c>
      <c r="G2977" s="1">
        <v>1</v>
      </c>
      <c r="H2977" s="4">
        <v>0</v>
      </c>
      <c r="I2977" s="1">
        <v>0</v>
      </c>
      <c r="J2977" s="4"/>
      <c r="K2977" s="1">
        <v>0</v>
      </c>
      <c r="L2977" s="1">
        <v>0</v>
      </c>
      <c r="M2977" s="32">
        <f>IF(Mecze[[#This Row],[PR]]=0,0,Mecze[[#This Row],[PR]]/Mecze[[#This Row],[CZAS]])</f>
        <v>0</v>
      </c>
      <c r="N2977" s="32">
        <f>IF(Mecze[[#This Row],[OU]]=0,0,Mecze[[#This Row],[OU]]/Mecze[[#This Row],[CZAS]])</f>
        <v>0</v>
      </c>
      <c r="O2977" s="32">
        <f>IF(Mecze[[#This Row],[PC]]=0,0,Mecze[[#This Row],[PC]]/Mecze[[#This Row],[CZAS]])</f>
        <v>0</v>
      </c>
      <c r="P2977" s="32">
        <f>IF(Mecze[[#This Row],[SC]]=0,0,Mecze[[#This Row],[SC]]/Mecze[[#This Row],[CZAS]])</f>
        <v>0</v>
      </c>
      <c r="Q2977" s="32">
        <f>IF(Mecze[[#This Row],[OB]]=0,0,Mecze[[#This Row],[OB]]/Mecze[[#This Row],[CZAS]])</f>
        <v>0</v>
      </c>
      <c r="R2977" s="32">
        <f>IF(Mecze[[#This Row],[BR]]=0,0,Mecze[[#This Row],[BR]]/Mecze[[#This Row],[CZAS]])</f>
        <v>0</v>
      </c>
      <c r="S2977" s="44">
        <f>IF(Mecze[[#This Row],[Role]]="BR",SUMPRODUCT(Mecze[[#This Row],[/PR:90]:[/BR:90]],Brudnopis!$E$23:$J$23),0)</f>
        <v>0</v>
      </c>
      <c r="T2977" s="44">
        <f>IF(Mecze[[#This Row],[Role]]&lt;&gt;"BR",SUMPRODUCT(Mecze[[#This Row],[/PR:90]:[/BR:90]],Brudnopis!$E$24:$J$24),0)</f>
        <v>0</v>
      </c>
      <c r="U2977" s="44">
        <f>IF(Mecze[[#This Row],[Role]]&lt;&gt;"BR",SUMPRODUCT(Mecze[[#This Row],[/PR:90]:[/BR:90]],Brudnopis!$E$25:$J$25),0)</f>
        <v>0</v>
      </c>
      <c r="V2977" s="44">
        <f>IF(Mecze[[#This Row],[Role]]&lt;&gt;"BR",SUMPRODUCT(Mecze[[#This Row],[/PR:90]:[/BR:90]],Brudnopis!$E$26:$J$26),0)</f>
        <v>0</v>
      </c>
      <c r="W2977" s="44">
        <f>IF(Mecze[[#This Row],[Role]]&lt;&gt;"BR",SUMPRODUCT(Mecze[[#This Row],[/PR:90]:[/BR:90]],Brudnopis!$E$27:$J$27),0)</f>
        <v>0</v>
      </c>
      <c r="X2977" s="44">
        <f>IF(Mecze[[#This Row],[Role]]&lt;&gt;"BR",SUMPRODUCT(Mecze[[#This Row],[/PR:90]:[/BR:90]],Brudnopis!$E$28:$J$28),0)</f>
        <v>0</v>
      </c>
      <c r="Y2977" s="35">
        <f>IF(Mecze[[#This Row],[Role]]="BR",Mecze[[#This Row],[/OB:90]]+Mecze[[#This Row],[/PC:90]],SUM(Mecze[[#This Row],[/PR:90]:[/BR:90]]))</f>
        <v>0</v>
      </c>
      <c r="Z2977" s="35">
        <f>IF(Mecze[[#This Row],[KC]]=0,SUM(Mecze[[#This Row],[/BRI]:[/NPI]]),SUM(Mecze[[#This Row],[/BRI]:[/NPI]])*0.6)</f>
        <v>0</v>
      </c>
      <c r="AA2977" s="10">
        <f>IFERROR(Mecze[[#This Row],[BR]]/Mecze[[#This Row],[ST]],0)</f>
        <v>0</v>
      </c>
      <c r="AB2977">
        <f>ROUND(Mecze[[#This Row],[PD]]*Mecze[[#This Row],[%PC]],0)</f>
        <v>0</v>
      </c>
      <c r="AC2977">
        <f>ROUND(Mecze[[#This Row],[OD]]*Mecze[[#This Row],[%OU]],0)</f>
        <v>0</v>
      </c>
      <c r="AD2977" s="36" t="s">
        <v>355</v>
      </c>
      <c r="AE2977" s="36">
        <v>167</v>
      </c>
      <c r="AF2977" s="71">
        <v>1.72</v>
      </c>
      <c r="AG2977" s="37">
        <v>0</v>
      </c>
      <c r="AH2977" s="37">
        <v>0</v>
      </c>
      <c r="AI2977" s="37">
        <v>22</v>
      </c>
      <c r="AJ2977" s="37">
        <v>8</v>
      </c>
      <c r="AK2977" s="37" t="str">
        <f>VLOOKUP(Mecze[[#This Row],[Match ID]],Meczusie[Mecz]:Meczusie[RodzajMeczu],2,FALSE)</f>
        <v>Liga</v>
      </c>
    </row>
    <row r="2978" spans="1:37" x14ac:dyDescent="0.25">
      <c r="A2978" s="76">
        <v>1</v>
      </c>
      <c r="B2978" s="3" t="s">
        <v>169</v>
      </c>
      <c r="C2978" s="2" t="s">
        <v>155</v>
      </c>
      <c r="D2978" s="1">
        <v>0</v>
      </c>
      <c r="E2978" s="1">
        <v>0</v>
      </c>
      <c r="F2978" s="1">
        <v>0</v>
      </c>
      <c r="G2978" s="1">
        <v>13</v>
      </c>
      <c r="H2978" s="4">
        <v>0.69</v>
      </c>
      <c r="I2978" s="1">
        <v>0</v>
      </c>
      <c r="J2978" s="4"/>
      <c r="K2978" s="1">
        <v>16</v>
      </c>
      <c r="L2978" s="1">
        <v>0</v>
      </c>
      <c r="M2978" s="32">
        <f>IF(Mecze[[#This Row],[PR]]=0,0,Mecze[[#This Row],[PR]]/Mecze[[#This Row],[CZAS]])</f>
        <v>0</v>
      </c>
      <c r="N2978" s="32">
        <f>IF(Mecze[[#This Row],[OU]]=0,0,Mecze[[#This Row],[OU]]/Mecze[[#This Row],[CZAS]])</f>
        <v>0</v>
      </c>
      <c r="O2978" s="32">
        <f>IF(Mecze[[#This Row],[PC]]=0,0,Mecze[[#This Row],[PC]]/Mecze[[#This Row],[CZAS]])</f>
        <v>0.09</v>
      </c>
      <c r="P2978" s="32">
        <f>IF(Mecze[[#This Row],[SC]]=0,0,Mecze[[#This Row],[SC]]/Mecze[[#This Row],[CZAS]])</f>
        <v>0</v>
      </c>
      <c r="Q2978" s="32">
        <f>IF(Mecze[[#This Row],[OB]]=0,0,Mecze[[#This Row],[OB]]/Mecze[[#This Row],[CZAS]])</f>
        <v>0.16</v>
      </c>
      <c r="R2978" s="32">
        <f>IF(Mecze[[#This Row],[BR]]=0,0,Mecze[[#This Row],[BR]]/Mecze[[#This Row],[CZAS]])</f>
        <v>0</v>
      </c>
      <c r="S2978" s="44">
        <f>IF(Mecze[[#This Row],[Role]]="BR",SUMPRODUCT(Mecze[[#This Row],[/PR:90]:[/BR:90]],Brudnopis!$E$23:$J$23),0)</f>
        <v>0.75</v>
      </c>
      <c r="T2978" s="44">
        <f>IF(Mecze[[#This Row],[Role]]&lt;&gt;"BR",SUMPRODUCT(Mecze[[#This Row],[/PR:90]:[/BR:90]],Brudnopis!$E$24:$J$24),0)</f>
        <v>0</v>
      </c>
      <c r="U2978" s="44">
        <f>IF(Mecze[[#This Row],[Role]]&lt;&gt;"BR",SUMPRODUCT(Mecze[[#This Row],[/PR:90]:[/BR:90]],Brudnopis!$E$25:$J$25),0)</f>
        <v>0</v>
      </c>
      <c r="V2978" s="44">
        <f>IF(Mecze[[#This Row],[Role]]&lt;&gt;"BR",SUMPRODUCT(Mecze[[#This Row],[/PR:90]:[/BR:90]],Brudnopis!$E$26:$J$26),0)</f>
        <v>0</v>
      </c>
      <c r="W2978" s="44">
        <f>IF(Mecze[[#This Row],[Role]]&lt;&gt;"BR",SUMPRODUCT(Mecze[[#This Row],[/PR:90]:[/BR:90]],Brudnopis!$E$27:$J$27),0)</f>
        <v>0</v>
      </c>
      <c r="X2978" s="44">
        <f>IF(Mecze[[#This Row],[Role]]&lt;&gt;"BR",SUMPRODUCT(Mecze[[#This Row],[/PR:90]:[/BR:90]],Brudnopis!$E$28:$J$28),0)</f>
        <v>0</v>
      </c>
      <c r="Y2978" s="35">
        <f>IF(Mecze[[#This Row],[Role]]="BR",Mecze[[#This Row],[/OB:90]]+Mecze[[#This Row],[/PC:90]],SUM(Mecze[[#This Row],[/PR:90]:[/BR:90]]))</f>
        <v>0.25</v>
      </c>
      <c r="Z2978" s="35">
        <f>IF(Mecze[[#This Row],[KC]]=0,SUM(Mecze[[#This Row],[/BRI]:[/NPI]]),SUM(Mecze[[#This Row],[/BRI]:[/NPI]])*0.6)</f>
        <v>0.75</v>
      </c>
      <c r="AA2978" s="10">
        <f>IFERROR(Mecze[[#This Row],[BR]]/Mecze[[#This Row],[ST]],0)</f>
        <v>0</v>
      </c>
      <c r="AB2978">
        <f>ROUND(Mecze[[#This Row],[PD]]*Mecze[[#This Row],[%PC]],0)</f>
        <v>9</v>
      </c>
      <c r="AC2978">
        <f>ROUND(Mecze[[#This Row],[OD]]*Mecze[[#This Row],[%OU]],0)</f>
        <v>0</v>
      </c>
      <c r="AD2978" s="36" t="s">
        <v>40</v>
      </c>
      <c r="AE2978" s="36">
        <v>167</v>
      </c>
      <c r="AF2978" s="71">
        <v>8.41</v>
      </c>
      <c r="AG2978" s="37">
        <v>0</v>
      </c>
      <c r="AH2978" s="37">
        <v>0</v>
      </c>
      <c r="AI2978" s="37">
        <v>100</v>
      </c>
      <c r="AJ2978" s="37">
        <v>1</v>
      </c>
      <c r="AK2978" s="37" t="str">
        <f>VLOOKUP(Mecze[[#This Row],[Match ID]],Meczusie[Mecz]:Meczusie[RodzajMeczu],2,FALSE)</f>
        <v>Liga</v>
      </c>
    </row>
    <row r="2979" spans="1:37" x14ac:dyDescent="0.25">
      <c r="A2979" s="76">
        <v>5</v>
      </c>
      <c r="B2979" s="3" t="s">
        <v>161</v>
      </c>
      <c r="C2979" s="2" t="s">
        <v>157</v>
      </c>
      <c r="D2979" s="1">
        <v>0</v>
      </c>
      <c r="E2979" s="1">
        <v>0</v>
      </c>
      <c r="F2979" s="1">
        <v>0</v>
      </c>
      <c r="G2979" s="1">
        <v>6</v>
      </c>
      <c r="H2979" s="4">
        <v>0.67</v>
      </c>
      <c r="I2979" s="1">
        <v>4</v>
      </c>
      <c r="J2979" s="4">
        <v>0.5</v>
      </c>
      <c r="K2979" s="1">
        <v>0</v>
      </c>
      <c r="L2979" s="1">
        <v>3</v>
      </c>
      <c r="M2979" s="32">
        <f>IF(Mecze[[#This Row],[PR]]=0,0,Mecze[[#This Row],[PR]]/Mecze[[#This Row],[CZAS]])</f>
        <v>5.7692307692307696E-2</v>
      </c>
      <c r="N2979" s="32">
        <f>IF(Mecze[[#This Row],[OU]]=0,0,Mecze[[#This Row],[OU]]/Mecze[[#This Row],[CZAS]])</f>
        <v>3.8461538461538464E-2</v>
      </c>
      <c r="O2979" s="32">
        <f>IF(Mecze[[#This Row],[PC]]=0,0,Mecze[[#This Row],[PC]]/Mecze[[#This Row],[CZAS]])</f>
        <v>7.6923076923076927E-2</v>
      </c>
      <c r="P2979" s="32">
        <f>IF(Mecze[[#This Row],[SC]]=0,0,Mecze[[#This Row],[SC]]/Mecze[[#This Row],[CZAS]])</f>
        <v>0</v>
      </c>
      <c r="Q2979" s="32">
        <f>IF(Mecze[[#This Row],[OB]]=0,0,Mecze[[#This Row],[OB]]/Mecze[[#This Row],[CZAS]])</f>
        <v>0</v>
      </c>
      <c r="R2979" s="32">
        <f>IF(Mecze[[#This Row],[BR]]=0,0,Mecze[[#This Row],[BR]]/Mecze[[#This Row],[CZAS]])</f>
        <v>0</v>
      </c>
      <c r="S2979" s="44">
        <f>IF(Mecze[[#This Row],[Role]]="BR",SUMPRODUCT(Mecze[[#This Row],[/PR:90]:[/BR:90]],Brudnopis!$E$23:$J$23),0)</f>
        <v>0</v>
      </c>
      <c r="T2979" s="44">
        <f>IF(Mecze[[#This Row],[Role]]&lt;&gt;"BR",SUMPRODUCT(Mecze[[#This Row],[/PR:90]:[/BR:90]],Brudnopis!$E$24:$J$24),0)</f>
        <v>0.19230769230769232</v>
      </c>
      <c r="U2979" s="44">
        <f>IF(Mecze[[#This Row],[Role]]&lt;&gt;"BR",SUMPRODUCT(Mecze[[#This Row],[/PR:90]:[/BR:90]],Brudnopis!$E$25:$J$25),0)</f>
        <v>0.21153846153846156</v>
      </c>
      <c r="V2979" s="44">
        <f>IF(Mecze[[#This Row],[Role]]&lt;&gt;"BR",SUMPRODUCT(Mecze[[#This Row],[/PR:90]:[/BR:90]],Brudnopis!$E$26:$J$26),0)</f>
        <v>0.17307692307692307</v>
      </c>
      <c r="W2979" s="44">
        <f>IF(Mecze[[#This Row],[Role]]&lt;&gt;"BR",SUMPRODUCT(Mecze[[#This Row],[/PR:90]:[/BR:90]],Brudnopis!$E$27:$J$27),0)</f>
        <v>0.1875</v>
      </c>
      <c r="X2979" s="44">
        <f>IF(Mecze[[#This Row],[Role]]&lt;&gt;"BR",SUMPRODUCT(Mecze[[#This Row],[/PR:90]:[/BR:90]],Brudnopis!$E$28:$J$28),0)</f>
        <v>7.6923076923076927E-2</v>
      </c>
      <c r="Y2979" s="35">
        <f>IF(Mecze[[#This Row],[Role]]="BR",Mecze[[#This Row],[/OB:90]]+Mecze[[#This Row],[/PC:90]],SUM(Mecze[[#This Row],[/PR:90]:[/BR:90]]))</f>
        <v>0.17307692307692307</v>
      </c>
      <c r="Z2979" s="35">
        <f>IF(Mecze[[#This Row],[KC]]=0,SUM(Mecze[[#This Row],[/BRI]:[/NPI]]),SUM(Mecze[[#This Row],[/BRI]:[/NPI]])*0.6)</f>
        <v>0.50480769230769218</v>
      </c>
      <c r="AA2979" s="10">
        <f>IFERROR(Mecze[[#This Row],[BR]]/Mecze[[#This Row],[ST]],0)</f>
        <v>0</v>
      </c>
      <c r="AB2979">
        <f>ROUND(Mecze[[#This Row],[PD]]*Mecze[[#This Row],[%PC]],0)</f>
        <v>4</v>
      </c>
      <c r="AC2979">
        <f>ROUND(Mecze[[#This Row],[OD]]*Mecze[[#This Row],[%OU]],0)</f>
        <v>2</v>
      </c>
      <c r="AD2979" s="36" t="s">
        <v>47</v>
      </c>
      <c r="AE2979" s="36">
        <v>167</v>
      </c>
      <c r="AF2979" s="71">
        <v>-1.07</v>
      </c>
      <c r="AG2979" s="37">
        <v>0</v>
      </c>
      <c r="AH2979" s="37">
        <v>1</v>
      </c>
      <c r="AI2979" s="37">
        <v>52</v>
      </c>
      <c r="AJ2979" s="37">
        <v>1</v>
      </c>
      <c r="AK2979" s="37" t="str">
        <f>VLOOKUP(Mecze[[#This Row],[Match ID]],Meczusie[Mecz]:Meczusie[RodzajMeczu],2,FALSE)</f>
        <v>Liga</v>
      </c>
    </row>
    <row r="2980" spans="1:37" x14ac:dyDescent="0.25">
      <c r="A2980" s="76">
        <v>3</v>
      </c>
      <c r="B2980" s="3" t="s">
        <v>158</v>
      </c>
      <c r="C2980" s="2" t="s">
        <v>157</v>
      </c>
      <c r="D2980" s="1">
        <v>0</v>
      </c>
      <c r="E2980" s="1">
        <v>0</v>
      </c>
      <c r="F2980" s="1">
        <v>0</v>
      </c>
      <c r="G2980" s="1">
        <v>6</v>
      </c>
      <c r="H2980" s="4">
        <v>0.33</v>
      </c>
      <c r="I2980" s="1">
        <v>8</v>
      </c>
      <c r="J2980" s="4">
        <v>0.5</v>
      </c>
      <c r="K2980" s="1">
        <v>0</v>
      </c>
      <c r="L2980" s="1">
        <v>10</v>
      </c>
      <c r="M2980" s="32">
        <f>IF(Mecze[[#This Row],[PR]]=0,0,Mecze[[#This Row],[PR]]/Mecze[[#This Row],[CZAS]])</f>
        <v>0.1</v>
      </c>
      <c r="N2980" s="32">
        <f>IF(Mecze[[#This Row],[OU]]=0,0,Mecze[[#This Row],[OU]]/Mecze[[#This Row],[CZAS]])</f>
        <v>0.04</v>
      </c>
      <c r="O2980" s="32">
        <f>IF(Mecze[[#This Row],[PC]]=0,0,Mecze[[#This Row],[PC]]/Mecze[[#This Row],[CZAS]])</f>
        <v>0.02</v>
      </c>
      <c r="P2980" s="32">
        <f>IF(Mecze[[#This Row],[SC]]=0,0,Mecze[[#This Row],[SC]]/Mecze[[#This Row],[CZAS]])</f>
        <v>0</v>
      </c>
      <c r="Q2980" s="32">
        <f>IF(Mecze[[#This Row],[OB]]=0,0,Mecze[[#This Row],[OB]]/Mecze[[#This Row],[CZAS]])</f>
        <v>0</v>
      </c>
      <c r="R2980" s="32">
        <f>IF(Mecze[[#This Row],[BR]]=0,0,Mecze[[#This Row],[BR]]/Mecze[[#This Row],[CZAS]])</f>
        <v>0</v>
      </c>
      <c r="S2980" s="44">
        <f>IF(Mecze[[#This Row],[Role]]="BR",SUMPRODUCT(Mecze[[#This Row],[/PR:90]:[/BR:90]],Brudnopis!$E$23:$J$23),0)</f>
        <v>0</v>
      </c>
      <c r="T2980" s="44">
        <f>IF(Mecze[[#This Row],[Role]]&lt;&gt;"BR",SUMPRODUCT(Mecze[[#This Row],[/PR:90]:[/BR:90]],Brudnopis!$E$24:$J$24),0)</f>
        <v>0.18</v>
      </c>
      <c r="U2980" s="44">
        <f>IF(Mecze[[#This Row],[Role]]&lt;&gt;"BR",SUMPRODUCT(Mecze[[#This Row],[/PR:90]:[/BR:90]],Brudnopis!$E$25:$J$25),0)</f>
        <v>0.17</v>
      </c>
      <c r="V2980" s="44">
        <f>IF(Mecze[[#This Row],[Role]]&lt;&gt;"BR",SUMPRODUCT(Mecze[[#This Row],[/PR:90]:[/BR:90]],Brudnopis!$E$26:$J$26),0)</f>
        <v>0.16</v>
      </c>
      <c r="W2980" s="44">
        <f>IF(Mecze[[#This Row],[Role]]&lt;&gt;"BR",SUMPRODUCT(Mecze[[#This Row],[/PR:90]:[/BR:90]],Brudnopis!$E$27:$J$27),0)</f>
        <v>0.13500000000000001</v>
      </c>
      <c r="X2980" s="44">
        <f>IF(Mecze[[#This Row],[Role]]&lt;&gt;"BR",SUMPRODUCT(Mecze[[#This Row],[/PR:90]:[/BR:90]],Brudnopis!$E$28:$J$28),0)</f>
        <v>0.02</v>
      </c>
      <c r="Y2980" s="35">
        <f>IF(Mecze[[#This Row],[Role]]="BR",Mecze[[#This Row],[/OB:90]]+Mecze[[#This Row],[/PC:90]],SUM(Mecze[[#This Row],[/PR:90]:[/BR:90]]))</f>
        <v>0.16</v>
      </c>
      <c r="Z2980" s="35">
        <f>IF(Mecze[[#This Row],[KC]]=0,SUM(Mecze[[#This Row],[/BRI]:[/NPI]]),SUM(Mecze[[#This Row],[/BRI]:[/NPI]])*0.6)</f>
        <v>0.66500000000000004</v>
      </c>
      <c r="AA2980" s="10">
        <f>IFERROR(Mecze[[#This Row],[BR]]/Mecze[[#This Row],[ST]],0)</f>
        <v>0</v>
      </c>
      <c r="AB2980">
        <f>ROUND(Mecze[[#This Row],[PD]]*Mecze[[#This Row],[%PC]],0)</f>
        <v>2</v>
      </c>
      <c r="AC2980">
        <f>ROUND(Mecze[[#This Row],[OD]]*Mecze[[#This Row],[%OU]],0)</f>
        <v>4</v>
      </c>
      <c r="AD2980" s="36" t="s">
        <v>168</v>
      </c>
      <c r="AE2980" s="36">
        <v>167</v>
      </c>
      <c r="AF2980" s="71">
        <v>3.7</v>
      </c>
      <c r="AG2980" s="37">
        <v>1</v>
      </c>
      <c r="AH2980" s="37">
        <v>0</v>
      </c>
      <c r="AI2980" s="37">
        <v>100</v>
      </c>
      <c r="AJ2980" s="37">
        <v>1</v>
      </c>
      <c r="AK2980" s="37" t="str">
        <f>VLOOKUP(Mecze[[#This Row],[Match ID]],Meczusie[Mecz]:Meczusie[RodzajMeczu],2,FALSE)</f>
        <v>Liga</v>
      </c>
    </row>
    <row r="2981" spans="1:37" x14ac:dyDescent="0.25">
      <c r="A2981" s="76">
        <v>18</v>
      </c>
      <c r="B2981" s="3" t="s">
        <v>211</v>
      </c>
      <c r="C2981" s="2" t="s">
        <v>157</v>
      </c>
      <c r="D2981" s="1">
        <v>0</v>
      </c>
      <c r="E2981" s="1">
        <v>0</v>
      </c>
      <c r="F2981" s="1">
        <v>0</v>
      </c>
      <c r="G2981" s="1">
        <v>6</v>
      </c>
      <c r="H2981" s="4">
        <v>0.5</v>
      </c>
      <c r="I2981" s="1">
        <v>6</v>
      </c>
      <c r="J2981" s="4">
        <v>0.33</v>
      </c>
      <c r="K2981" s="1">
        <v>0</v>
      </c>
      <c r="L2981" s="1">
        <v>8</v>
      </c>
      <c r="M2981" s="32">
        <f>IF(Mecze[[#This Row],[PR]]=0,0,Mecze[[#This Row],[PR]]/Mecze[[#This Row],[CZAS]])</f>
        <v>0.08</v>
      </c>
      <c r="N2981" s="32">
        <f>IF(Mecze[[#This Row],[OU]]=0,0,Mecze[[#This Row],[OU]]/Mecze[[#This Row],[CZAS]])</f>
        <v>0.02</v>
      </c>
      <c r="O2981" s="32">
        <f>IF(Mecze[[#This Row],[PC]]=0,0,Mecze[[#This Row],[PC]]/Mecze[[#This Row],[CZAS]])</f>
        <v>0.03</v>
      </c>
      <c r="P2981" s="32">
        <f>IF(Mecze[[#This Row],[SC]]=0,0,Mecze[[#This Row],[SC]]/Mecze[[#This Row],[CZAS]])</f>
        <v>0</v>
      </c>
      <c r="Q2981" s="32">
        <f>IF(Mecze[[#This Row],[OB]]=0,0,Mecze[[#This Row],[OB]]/Mecze[[#This Row],[CZAS]])</f>
        <v>0</v>
      </c>
      <c r="R2981" s="32">
        <f>IF(Mecze[[#This Row],[BR]]=0,0,Mecze[[#This Row],[BR]]/Mecze[[#This Row],[CZAS]])</f>
        <v>0</v>
      </c>
      <c r="S2981" s="44">
        <f>IF(Mecze[[#This Row],[Role]]="BR",SUMPRODUCT(Mecze[[#This Row],[/PR:90]:[/BR:90]],Brudnopis!$E$23:$J$23),0)</f>
        <v>0</v>
      </c>
      <c r="T2981" s="44">
        <f>IF(Mecze[[#This Row],[Role]]&lt;&gt;"BR",SUMPRODUCT(Mecze[[#This Row],[/PR:90]:[/BR:90]],Brudnopis!$E$24:$J$24),0)</f>
        <v>0.14000000000000001</v>
      </c>
      <c r="U2981" s="44">
        <f>IF(Mecze[[#This Row],[Role]]&lt;&gt;"BR",SUMPRODUCT(Mecze[[#This Row],[/PR:90]:[/BR:90]],Brudnopis!$E$25:$J$25),0)</f>
        <v>0.14500000000000002</v>
      </c>
      <c r="V2981" s="44">
        <f>IF(Mecze[[#This Row],[Role]]&lt;&gt;"BR",SUMPRODUCT(Mecze[[#This Row],[/PR:90]:[/BR:90]],Brudnopis!$E$26:$J$26),0)</f>
        <v>0.13</v>
      </c>
      <c r="W2981" s="44">
        <f>IF(Mecze[[#This Row],[Role]]&lt;&gt;"BR",SUMPRODUCT(Mecze[[#This Row],[/PR:90]:[/BR:90]],Brudnopis!$E$27:$J$27),0)</f>
        <v>0.12</v>
      </c>
      <c r="X2981" s="44">
        <f>IF(Mecze[[#This Row],[Role]]&lt;&gt;"BR",SUMPRODUCT(Mecze[[#This Row],[/PR:90]:[/BR:90]],Brudnopis!$E$28:$J$28),0)</f>
        <v>0.03</v>
      </c>
      <c r="Y2981" s="35">
        <f>IF(Mecze[[#This Row],[Role]]="BR",Mecze[[#This Row],[/OB:90]]+Mecze[[#This Row],[/PC:90]],SUM(Mecze[[#This Row],[/PR:90]:[/BR:90]]))</f>
        <v>0.13</v>
      </c>
      <c r="Z2981" s="35">
        <f>IF(Mecze[[#This Row],[KC]]=0,SUM(Mecze[[#This Row],[/BRI]:[/NPI]]),SUM(Mecze[[#This Row],[/BRI]:[/NPI]])*0.6)</f>
        <v>0.56500000000000006</v>
      </c>
      <c r="AA2981" s="10">
        <f>IFERROR(Mecze[[#This Row],[BR]]/Mecze[[#This Row],[ST]],0)</f>
        <v>0</v>
      </c>
      <c r="AB2981">
        <f>ROUND(Mecze[[#This Row],[PD]]*Mecze[[#This Row],[%PC]],0)</f>
        <v>3</v>
      </c>
      <c r="AC2981">
        <f>ROUND(Mecze[[#This Row],[OD]]*Mecze[[#This Row],[%OU]],0)</f>
        <v>2</v>
      </c>
      <c r="AD2981" s="36" t="s">
        <v>167</v>
      </c>
      <c r="AE2981" s="36">
        <v>167</v>
      </c>
      <c r="AF2981" s="71">
        <v>3.27</v>
      </c>
      <c r="AG2981" s="37">
        <v>0</v>
      </c>
      <c r="AH2981" s="37">
        <v>0</v>
      </c>
      <c r="AI2981" s="37">
        <v>100</v>
      </c>
      <c r="AJ2981" s="37">
        <v>1</v>
      </c>
      <c r="AK2981" s="37" t="str">
        <f>VLOOKUP(Mecze[[#This Row],[Match ID]],Meczusie[Mecz]:Meczusie[RodzajMeczu],2,FALSE)</f>
        <v>Liga</v>
      </c>
    </row>
    <row r="2982" spans="1:37" x14ac:dyDescent="0.25">
      <c r="A2982" s="76">
        <v>6</v>
      </c>
      <c r="B2982" s="3" t="s">
        <v>159</v>
      </c>
      <c r="C2982" s="2" t="s">
        <v>160</v>
      </c>
      <c r="D2982" s="1">
        <v>0</v>
      </c>
      <c r="E2982" s="1">
        <v>0</v>
      </c>
      <c r="F2982" s="1">
        <v>0</v>
      </c>
      <c r="G2982" s="1">
        <v>8</v>
      </c>
      <c r="H2982" s="4">
        <v>0.63</v>
      </c>
      <c r="I2982" s="1">
        <v>4</v>
      </c>
      <c r="J2982" s="4">
        <v>0.25</v>
      </c>
      <c r="K2982" s="1">
        <v>0</v>
      </c>
      <c r="L2982" s="1">
        <v>5</v>
      </c>
      <c r="M2982" s="32">
        <f>IF(Mecze[[#This Row],[PR]]=0,0,Mecze[[#This Row],[PR]]/Mecze[[#This Row],[CZAS]])</f>
        <v>0.05</v>
      </c>
      <c r="N2982" s="32">
        <f>IF(Mecze[[#This Row],[OU]]=0,0,Mecze[[#This Row],[OU]]/Mecze[[#This Row],[CZAS]])</f>
        <v>0.01</v>
      </c>
      <c r="O2982" s="32">
        <f>IF(Mecze[[#This Row],[PC]]=0,0,Mecze[[#This Row],[PC]]/Mecze[[#This Row],[CZAS]])</f>
        <v>0.05</v>
      </c>
      <c r="P2982" s="32">
        <f>IF(Mecze[[#This Row],[SC]]=0,0,Mecze[[#This Row],[SC]]/Mecze[[#This Row],[CZAS]])</f>
        <v>0</v>
      </c>
      <c r="Q2982" s="32">
        <f>IF(Mecze[[#This Row],[OB]]=0,0,Mecze[[#This Row],[OB]]/Mecze[[#This Row],[CZAS]])</f>
        <v>0</v>
      </c>
      <c r="R2982" s="32">
        <f>IF(Mecze[[#This Row],[BR]]=0,0,Mecze[[#This Row],[BR]]/Mecze[[#This Row],[CZAS]])</f>
        <v>0</v>
      </c>
      <c r="S2982" s="44">
        <f>IF(Mecze[[#This Row],[Role]]="BR",SUMPRODUCT(Mecze[[#This Row],[/PR:90]:[/BR:90]],Brudnopis!$E$23:$J$23),0)</f>
        <v>0</v>
      </c>
      <c r="T2982" s="44">
        <f>IF(Mecze[[#This Row],[Role]]&lt;&gt;"BR",SUMPRODUCT(Mecze[[#This Row],[/PR:90]:[/BR:90]],Brudnopis!$E$24:$J$24),0)</f>
        <v>0.115</v>
      </c>
      <c r="U2982" s="44">
        <f>IF(Mecze[[#This Row],[Role]]&lt;&gt;"BR",SUMPRODUCT(Mecze[[#This Row],[/PR:90]:[/BR:90]],Brudnopis!$E$25:$J$25),0)</f>
        <v>0.13500000000000001</v>
      </c>
      <c r="V2982" s="44">
        <f>IF(Mecze[[#This Row],[Role]]&lt;&gt;"BR",SUMPRODUCT(Mecze[[#This Row],[/PR:90]:[/BR:90]],Brudnopis!$E$26:$J$26),0)</f>
        <v>0.11000000000000001</v>
      </c>
      <c r="W2982" s="44">
        <f>IF(Mecze[[#This Row],[Role]]&lt;&gt;"BR",SUMPRODUCT(Mecze[[#This Row],[/PR:90]:[/BR:90]],Brudnopis!$E$27:$J$27),0)</f>
        <v>0.12000000000000002</v>
      </c>
      <c r="X2982" s="44">
        <f>IF(Mecze[[#This Row],[Role]]&lt;&gt;"BR",SUMPRODUCT(Mecze[[#This Row],[/PR:90]:[/BR:90]],Brudnopis!$E$28:$J$28),0)</f>
        <v>0.05</v>
      </c>
      <c r="Y2982" s="35">
        <f>IF(Mecze[[#This Row],[Role]]="BR",Mecze[[#This Row],[/OB:90]]+Mecze[[#This Row],[/PC:90]],SUM(Mecze[[#This Row],[/PR:90]:[/BR:90]]))</f>
        <v>0.11000000000000001</v>
      </c>
      <c r="Z2982" s="35">
        <f>IF(Mecze[[#This Row],[KC]]=0,SUM(Mecze[[#This Row],[/BRI]:[/NPI]]),SUM(Mecze[[#This Row],[/BRI]:[/NPI]])*0.6)</f>
        <v>0.53</v>
      </c>
      <c r="AA2982" s="10">
        <f>IFERROR(Mecze[[#This Row],[BR]]/Mecze[[#This Row],[ST]],0)</f>
        <v>0</v>
      </c>
      <c r="AB2982">
        <f>ROUND(Mecze[[#This Row],[PD]]*Mecze[[#This Row],[%PC]],0)</f>
        <v>5</v>
      </c>
      <c r="AC2982">
        <f>ROUND(Mecze[[#This Row],[OD]]*Mecze[[#This Row],[%OU]],0)</f>
        <v>1</v>
      </c>
      <c r="AD2982" s="36" t="s">
        <v>41</v>
      </c>
      <c r="AE2982" s="36">
        <v>167</v>
      </c>
      <c r="AF2982" s="71">
        <v>4.96</v>
      </c>
      <c r="AG2982" s="37">
        <v>0</v>
      </c>
      <c r="AH2982" s="37">
        <v>0</v>
      </c>
      <c r="AI2982" s="37">
        <v>100</v>
      </c>
      <c r="AJ2982" s="37">
        <v>1</v>
      </c>
      <c r="AK2982" s="37" t="str">
        <f>VLOOKUP(Mecze[[#This Row],[Match ID]],Meczusie[Mecz]:Meczusie[RodzajMeczu],2,FALSE)</f>
        <v>Liga</v>
      </c>
    </row>
    <row r="2983" spans="1:37" x14ac:dyDescent="0.25">
      <c r="A2983" s="76">
        <v>8</v>
      </c>
      <c r="B2983" s="3" t="s">
        <v>154</v>
      </c>
      <c r="C2983" s="2" t="s">
        <v>160</v>
      </c>
      <c r="D2983" s="1">
        <v>0</v>
      </c>
      <c r="E2983" s="1">
        <v>0</v>
      </c>
      <c r="F2983" s="1">
        <v>0</v>
      </c>
      <c r="G2983" s="1">
        <v>7</v>
      </c>
      <c r="H2983" s="4">
        <v>0.56999999999999995</v>
      </c>
      <c r="I2983" s="1">
        <v>7</v>
      </c>
      <c r="J2983" s="4">
        <v>0.56999999999999995</v>
      </c>
      <c r="K2983" s="1">
        <v>0</v>
      </c>
      <c r="L2983" s="1">
        <v>2</v>
      </c>
      <c r="M2983" s="32">
        <f>IF(Mecze[[#This Row],[PR]]=0,0,Mecze[[#This Row],[PR]]/Mecze[[#This Row],[CZAS]])</f>
        <v>0.02</v>
      </c>
      <c r="N2983" s="32">
        <f>IF(Mecze[[#This Row],[OU]]=0,0,Mecze[[#This Row],[OU]]/Mecze[[#This Row],[CZAS]])</f>
        <v>0.04</v>
      </c>
      <c r="O2983" s="32">
        <f>IF(Mecze[[#This Row],[PC]]=0,0,Mecze[[#This Row],[PC]]/Mecze[[#This Row],[CZAS]])</f>
        <v>0.04</v>
      </c>
      <c r="P2983" s="32">
        <f>IF(Mecze[[#This Row],[SC]]=0,0,Mecze[[#This Row],[SC]]/Mecze[[#This Row],[CZAS]])</f>
        <v>0</v>
      </c>
      <c r="Q2983" s="32">
        <f>IF(Mecze[[#This Row],[OB]]=0,0,Mecze[[#This Row],[OB]]/Mecze[[#This Row],[CZAS]])</f>
        <v>0</v>
      </c>
      <c r="R2983" s="32">
        <f>IF(Mecze[[#This Row],[BR]]=0,0,Mecze[[#This Row],[BR]]/Mecze[[#This Row],[CZAS]])</f>
        <v>0</v>
      </c>
      <c r="S2983" s="44">
        <f>IF(Mecze[[#This Row],[Role]]="BR",SUMPRODUCT(Mecze[[#This Row],[/PR:90]:[/BR:90]],Brudnopis!$E$23:$J$23),0)</f>
        <v>0</v>
      </c>
      <c r="T2983" s="44">
        <f>IF(Mecze[[#This Row],[Role]]&lt;&gt;"BR",SUMPRODUCT(Mecze[[#This Row],[/PR:90]:[/BR:90]],Brudnopis!$E$24:$J$24),0)</f>
        <v>0.12</v>
      </c>
      <c r="U2983" s="44">
        <f>IF(Mecze[[#This Row],[Role]]&lt;&gt;"BR",SUMPRODUCT(Mecze[[#This Row],[/PR:90]:[/BR:90]],Brudnopis!$E$25:$J$25),0)</f>
        <v>0.12</v>
      </c>
      <c r="V2983" s="44">
        <f>IF(Mecze[[#This Row],[Role]]&lt;&gt;"BR",SUMPRODUCT(Mecze[[#This Row],[/PR:90]:[/BR:90]],Brudnopis!$E$26:$J$26),0)</f>
        <v>0.1</v>
      </c>
      <c r="W2983" s="44">
        <f>IF(Mecze[[#This Row],[Role]]&lt;&gt;"BR",SUMPRODUCT(Mecze[[#This Row],[/PR:90]:[/BR:90]],Brudnopis!$E$27:$J$27),0)</f>
        <v>0.105</v>
      </c>
      <c r="X2983" s="44">
        <f>IF(Mecze[[#This Row],[Role]]&lt;&gt;"BR",SUMPRODUCT(Mecze[[#This Row],[/PR:90]:[/BR:90]],Brudnopis!$E$28:$J$28),0)</f>
        <v>0.04</v>
      </c>
      <c r="Y2983" s="35">
        <f>IF(Mecze[[#This Row],[Role]]="BR",Mecze[[#This Row],[/OB:90]]+Mecze[[#This Row],[/PC:90]],SUM(Mecze[[#This Row],[/PR:90]:[/BR:90]]))</f>
        <v>0.1</v>
      </c>
      <c r="Z2983" s="35">
        <f>IF(Mecze[[#This Row],[KC]]=0,SUM(Mecze[[#This Row],[/BRI]:[/NPI]]),SUM(Mecze[[#This Row],[/BRI]:[/NPI]])*0.6)</f>
        <v>0.48499999999999993</v>
      </c>
      <c r="AA2983" s="10">
        <f>IFERROR(Mecze[[#This Row],[BR]]/Mecze[[#This Row],[ST]],0)</f>
        <v>0</v>
      </c>
      <c r="AB2983">
        <f>ROUND(Mecze[[#This Row],[PD]]*Mecze[[#This Row],[%PC]],0)</f>
        <v>4</v>
      </c>
      <c r="AC2983">
        <f>ROUND(Mecze[[#This Row],[OD]]*Mecze[[#This Row],[%OU]],0)</f>
        <v>4</v>
      </c>
      <c r="AD2983" s="36" t="s">
        <v>41</v>
      </c>
      <c r="AE2983" s="36">
        <v>167</v>
      </c>
      <c r="AF2983" s="71">
        <v>4.33</v>
      </c>
      <c r="AG2983" s="37">
        <v>0</v>
      </c>
      <c r="AH2983" s="37">
        <v>0</v>
      </c>
      <c r="AI2983" s="37">
        <v>100</v>
      </c>
      <c r="AJ2983" s="37">
        <v>1</v>
      </c>
      <c r="AK2983" s="37" t="str">
        <f>VLOOKUP(Mecze[[#This Row],[Match ID]],Meczusie[Mecz]:Meczusie[RodzajMeczu],2,FALSE)</f>
        <v>Liga</v>
      </c>
    </row>
    <row r="2984" spans="1:37" x14ac:dyDescent="0.25">
      <c r="A2984" s="76">
        <v>15</v>
      </c>
      <c r="B2984" s="3" t="s">
        <v>170</v>
      </c>
      <c r="C2984" s="2" t="s">
        <v>160</v>
      </c>
      <c r="D2984" s="1">
        <v>0</v>
      </c>
      <c r="E2984" s="1">
        <v>0</v>
      </c>
      <c r="F2984" s="1">
        <v>0</v>
      </c>
      <c r="G2984" s="1">
        <v>12</v>
      </c>
      <c r="H2984" s="4">
        <v>0.57999999999999996</v>
      </c>
      <c r="I2984" s="1">
        <v>1</v>
      </c>
      <c r="J2984" s="4">
        <v>0</v>
      </c>
      <c r="K2984" s="1">
        <v>0</v>
      </c>
      <c r="L2984" s="1">
        <v>4</v>
      </c>
      <c r="M2984" s="32">
        <f>IF(Mecze[[#This Row],[PR]]=0,0,Mecze[[#This Row],[PR]]/Mecze[[#This Row],[CZAS]])</f>
        <v>0.04</v>
      </c>
      <c r="N2984" s="32">
        <f>IF(Mecze[[#This Row],[OU]]=0,0,Mecze[[#This Row],[OU]]/Mecze[[#This Row],[CZAS]])</f>
        <v>0</v>
      </c>
      <c r="O2984" s="32">
        <f>IF(Mecze[[#This Row],[PC]]=0,0,Mecze[[#This Row],[PC]]/Mecze[[#This Row],[CZAS]])</f>
        <v>7.0000000000000007E-2</v>
      </c>
      <c r="P2984" s="32">
        <f>IF(Mecze[[#This Row],[SC]]=0,0,Mecze[[#This Row],[SC]]/Mecze[[#This Row],[CZAS]])</f>
        <v>0</v>
      </c>
      <c r="Q2984" s="32">
        <f>IF(Mecze[[#This Row],[OB]]=0,0,Mecze[[#This Row],[OB]]/Mecze[[#This Row],[CZAS]])</f>
        <v>0</v>
      </c>
      <c r="R2984" s="32">
        <f>IF(Mecze[[#This Row],[BR]]=0,0,Mecze[[#This Row],[BR]]/Mecze[[#This Row],[CZAS]])</f>
        <v>0</v>
      </c>
      <c r="S2984" s="44">
        <f>IF(Mecze[[#This Row],[Role]]="BR",SUMPRODUCT(Mecze[[#This Row],[/PR:90]:[/BR:90]],Brudnopis!$E$23:$J$23),0)</f>
        <v>0</v>
      </c>
      <c r="T2984" s="44">
        <f>IF(Mecze[[#This Row],[Role]]&lt;&gt;"BR",SUMPRODUCT(Mecze[[#This Row],[/PR:90]:[/BR:90]],Brudnopis!$E$24:$J$24),0)</f>
        <v>0.11000000000000001</v>
      </c>
      <c r="U2984" s="44">
        <f>IF(Mecze[[#This Row],[Role]]&lt;&gt;"BR",SUMPRODUCT(Mecze[[#This Row],[/PR:90]:[/BR:90]],Brudnopis!$E$25:$J$25),0)</f>
        <v>0.14500000000000002</v>
      </c>
      <c r="V2984" s="44">
        <f>IF(Mecze[[#This Row],[Role]]&lt;&gt;"BR",SUMPRODUCT(Mecze[[#This Row],[/PR:90]:[/BR:90]],Brudnopis!$E$26:$J$26),0)</f>
        <v>0.11000000000000001</v>
      </c>
      <c r="W2984" s="44">
        <f>IF(Mecze[[#This Row],[Role]]&lt;&gt;"BR",SUMPRODUCT(Mecze[[#This Row],[/PR:90]:[/BR:90]],Brudnopis!$E$27:$J$27),0)</f>
        <v>0.13500000000000001</v>
      </c>
      <c r="X2984" s="44">
        <f>IF(Mecze[[#This Row],[Role]]&lt;&gt;"BR",SUMPRODUCT(Mecze[[#This Row],[/PR:90]:[/BR:90]],Brudnopis!$E$28:$J$28),0)</f>
        <v>7.0000000000000007E-2</v>
      </c>
      <c r="Y2984" s="35">
        <f>IF(Mecze[[#This Row],[Role]]="BR",Mecze[[#This Row],[/OB:90]]+Mecze[[#This Row],[/PC:90]],SUM(Mecze[[#This Row],[/PR:90]:[/BR:90]]))</f>
        <v>0.11000000000000001</v>
      </c>
      <c r="Z2984" s="35">
        <f>IF(Mecze[[#This Row],[KC]]=0,SUM(Mecze[[#This Row],[/BRI]:[/NPI]]),SUM(Mecze[[#This Row],[/BRI]:[/NPI]])*0.6)</f>
        <v>0.57000000000000006</v>
      </c>
      <c r="AA2984" s="10">
        <f>IFERROR(Mecze[[#This Row],[BR]]/Mecze[[#This Row],[ST]],0)</f>
        <v>0</v>
      </c>
      <c r="AB2984">
        <f>ROUND(Mecze[[#This Row],[PD]]*Mecze[[#This Row],[%PC]],0)</f>
        <v>7</v>
      </c>
      <c r="AC2984">
        <f>ROUND(Mecze[[#This Row],[OD]]*Mecze[[#This Row],[%OU]],0)</f>
        <v>0</v>
      </c>
      <c r="AD2984" s="36" t="s">
        <v>67</v>
      </c>
      <c r="AE2984" s="36">
        <v>167</v>
      </c>
      <c r="AF2984" s="71">
        <v>4.75</v>
      </c>
      <c r="AG2984" s="37">
        <v>0</v>
      </c>
      <c r="AH2984" s="37">
        <v>0</v>
      </c>
      <c r="AI2984" s="37">
        <v>100</v>
      </c>
      <c r="AJ2984" s="37">
        <v>1</v>
      </c>
      <c r="AK2984" s="37" t="str">
        <f>VLOOKUP(Mecze[[#This Row],[Match ID]],Meczusie[Mecz]:Meczusie[RodzajMeczu],2,FALSE)</f>
        <v>Liga</v>
      </c>
    </row>
    <row r="2985" spans="1:37" x14ac:dyDescent="0.25">
      <c r="A2985" s="76">
        <v>13</v>
      </c>
      <c r="B2985" s="3" t="s">
        <v>162</v>
      </c>
      <c r="C2985" s="2" t="s">
        <v>160</v>
      </c>
      <c r="D2985" s="1">
        <v>0</v>
      </c>
      <c r="E2985" s="1">
        <v>0</v>
      </c>
      <c r="F2985" s="1">
        <v>0</v>
      </c>
      <c r="G2985" s="1">
        <v>9</v>
      </c>
      <c r="H2985" s="4">
        <v>0.56000000000000005</v>
      </c>
      <c r="I2985" s="1">
        <v>0</v>
      </c>
      <c r="J2985" s="4"/>
      <c r="K2985" s="1">
        <v>0</v>
      </c>
      <c r="L2985" s="1">
        <v>1</v>
      </c>
      <c r="M2985" s="32">
        <f>IF(Mecze[[#This Row],[PR]]=0,0,Mecze[[#This Row],[PR]]/Mecze[[#This Row],[CZAS]])</f>
        <v>0.01</v>
      </c>
      <c r="N2985" s="32">
        <f>IF(Mecze[[#This Row],[OU]]=0,0,Mecze[[#This Row],[OU]]/Mecze[[#This Row],[CZAS]])</f>
        <v>0</v>
      </c>
      <c r="O2985" s="32">
        <f>IF(Mecze[[#This Row],[PC]]=0,0,Mecze[[#This Row],[PC]]/Mecze[[#This Row],[CZAS]])</f>
        <v>0.05</v>
      </c>
      <c r="P2985" s="32">
        <f>IF(Mecze[[#This Row],[SC]]=0,0,Mecze[[#This Row],[SC]]/Mecze[[#This Row],[CZAS]])</f>
        <v>0</v>
      </c>
      <c r="Q2985" s="32">
        <f>IF(Mecze[[#This Row],[OB]]=0,0,Mecze[[#This Row],[OB]]/Mecze[[#This Row],[CZAS]])</f>
        <v>0</v>
      </c>
      <c r="R2985" s="32">
        <f>IF(Mecze[[#This Row],[BR]]=0,0,Mecze[[#This Row],[BR]]/Mecze[[#This Row],[CZAS]])</f>
        <v>0</v>
      </c>
      <c r="S2985" s="44">
        <f>IF(Mecze[[#This Row],[Role]]="BR",SUMPRODUCT(Mecze[[#This Row],[/PR:90]:[/BR:90]],Brudnopis!$E$23:$J$23),0)</f>
        <v>0</v>
      </c>
      <c r="T2985" s="44">
        <f>IF(Mecze[[#This Row],[Role]]&lt;&gt;"BR",SUMPRODUCT(Mecze[[#This Row],[/PR:90]:[/BR:90]],Brudnopis!$E$24:$J$24),0)</f>
        <v>6.0000000000000005E-2</v>
      </c>
      <c r="U2985" s="44">
        <f>IF(Mecze[[#This Row],[Role]]&lt;&gt;"BR",SUMPRODUCT(Mecze[[#This Row],[/PR:90]:[/BR:90]],Brudnopis!$E$25:$J$25),0)</f>
        <v>8.5000000000000006E-2</v>
      </c>
      <c r="V2985" s="44">
        <f>IF(Mecze[[#This Row],[Role]]&lt;&gt;"BR",SUMPRODUCT(Mecze[[#This Row],[/PR:90]:[/BR:90]],Brudnopis!$E$26:$J$26),0)</f>
        <v>6.0000000000000005E-2</v>
      </c>
      <c r="W2985" s="44">
        <f>IF(Mecze[[#This Row],[Role]]&lt;&gt;"BR",SUMPRODUCT(Mecze[[#This Row],[/PR:90]:[/BR:90]],Brudnopis!$E$27:$J$27),0)</f>
        <v>8.2500000000000018E-2</v>
      </c>
      <c r="X2985" s="44">
        <f>IF(Mecze[[#This Row],[Role]]&lt;&gt;"BR",SUMPRODUCT(Mecze[[#This Row],[/PR:90]:[/BR:90]],Brudnopis!$E$28:$J$28),0)</f>
        <v>0.05</v>
      </c>
      <c r="Y2985" s="35">
        <f>IF(Mecze[[#This Row],[Role]]="BR",Mecze[[#This Row],[/OB:90]]+Mecze[[#This Row],[/PC:90]],SUM(Mecze[[#This Row],[/PR:90]:[/BR:90]]))</f>
        <v>6.0000000000000005E-2</v>
      </c>
      <c r="Z2985" s="35">
        <f>IF(Mecze[[#This Row],[KC]]=0,SUM(Mecze[[#This Row],[/BRI]:[/NPI]]),SUM(Mecze[[#This Row],[/BRI]:[/NPI]])*0.6)</f>
        <v>0.33750000000000002</v>
      </c>
      <c r="AA2985" s="10">
        <f>IFERROR(Mecze[[#This Row],[BR]]/Mecze[[#This Row],[ST]],0)</f>
        <v>0</v>
      </c>
      <c r="AB2985">
        <f>ROUND(Mecze[[#This Row],[PD]]*Mecze[[#This Row],[%PC]],0)</f>
        <v>5</v>
      </c>
      <c r="AC2985">
        <f>ROUND(Mecze[[#This Row],[OD]]*Mecze[[#This Row],[%OU]],0)</f>
        <v>0</v>
      </c>
      <c r="AD2985" s="36" t="s">
        <v>171</v>
      </c>
      <c r="AE2985" s="36">
        <v>167</v>
      </c>
      <c r="AF2985" s="71">
        <v>4.12</v>
      </c>
      <c r="AG2985" s="37">
        <v>0</v>
      </c>
      <c r="AH2985" s="37">
        <v>0</v>
      </c>
      <c r="AI2985" s="37">
        <v>100</v>
      </c>
      <c r="AJ2985" s="37">
        <v>1</v>
      </c>
      <c r="AK2985" s="37" t="str">
        <f>VLOOKUP(Mecze[[#This Row],[Match ID]],Meczusie[Mecz]:Meczusie[RodzajMeczu],2,FALSE)</f>
        <v>Liga</v>
      </c>
    </row>
    <row r="2986" spans="1:37" x14ac:dyDescent="0.25">
      <c r="A2986" s="76">
        <v>14</v>
      </c>
      <c r="B2986" s="3" t="s">
        <v>164</v>
      </c>
      <c r="C2986" s="2" t="s">
        <v>165</v>
      </c>
      <c r="D2986" s="1">
        <v>1</v>
      </c>
      <c r="E2986" s="1">
        <v>1</v>
      </c>
      <c r="F2986" s="1">
        <v>1</v>
      </c>
      <c r="G2986" s="1">
        <v>1</v>
      </c>
      <c r="H2986" s="4">
        <v>0</v>
      </c>
      <c r="I2986" s="1">
        <v>5</v>
      </c>
      <c r="J2986" s="4">
        <v>0.4</v>
      </c>
      <c r="K2986" s="1">
        <v>0</v>
      </c>
      <c r="L2986" s="1">
        <v>0</v>
      </c>
      <c r="M2986" s="32">
        <f>IF(Mecze[[#This Row],[PR]]=0,0,Mecze[[#This Row],[PR]]/Mecze[[#This Row],[CZAS]])</f>
        <v>0</v>
      </c>
      <c r="N2986" s="32">
        <f>IF(Mecze[[#This Row],[OU]]=0,0,Mecze[[#This Row],[OU]]/Mecze[[#This Row],[CZAS]])</f>
        <v>0.02</v>
      </c>
      <c r="O2986" s="32">
        <f>IF(Mecze[[#This Row],[PC]]=0,0,Mecze[[#This Row],[PC]]/Mecze[[#This Row],[CZAS]])</f>
        <v>0</v>
      </c>
      <c r="P2986" s="32">
        <f>IF(Mecze[[#This Row],[SC]]=0,0,Mecze[[#This Row],[SC]]/Mecze[[#This Row],[CZAS]])</f>
        <v>0.01</v>
      </c>
      <c r="Q2986" s="32">
        <f>IF(Mecze[[#This Row],[OB]]=0,0,Mecze[[#This Row],[OB]]/Mecze[[#This Row],[CZAS]])</f>
        <v>0</v>
      </c>
      <c r="R2986" s="32">
        <f>IF(Mecze[[#This Row],[BR]]=0,0,Mecze[[#This Row],[BR]]/Mecze[[#This Row],[CZAS]])</f>
        <v>0.01</v>
      </c>
      <c r="S2986" s="44">
        <f>IF(Mecze[[#This Row],[Role]]="BR",SUMPRODUCT(Mecze[[#This Row],[/PR:90]:[/BR:90]],Brudnopis!$E$23:$J$23),0)</f>
        <v>0</v>
      </c>
      <c r="T2986" s="44">
        <f>IF(Mecze[[#This Row],[Role]]&lt;&gt;"BR",SUMPRODUCT(Mecze[[#This Row],[/PR:90]:[/BR:90]],Brudnopis!$E$24:$J$24),0)</f>
        <v>5.5E-2</v>
      </c>
      <c r="U2986" s="44">
        <f>IF(Mecze[[#This Row],[Role]]&lt;&gt;"BR",SUMPRODUCT(Mecze[[#This Row],[/PR:90]:[/BR:90]],Brudnopis!$E$25:$J$25),0)</f>
        <v>4.4999999999999998E-2</v>
      </c>
      <c r="V2986" s="44">
        <f>IF(Mecze[[#This Row],[Role]]&lt;&gt;"BR",SUMPRODUCT(Mecze[[#This Row],[/PR:90]:[/BR:90]],Brudnopis!$E$26:$J$26),0)</f>
        <v>0.05</v>
      </c>
      <c r="W2986" s="44">
        <f>IF(Mecze[[#This Row],[Role]]&lt;&gt;"BR",SUMPRODUCT(Mecze[[#This Row],[/PR:90]:[/BR:90]],Brudnopis!$E$27:$J$27),0)</f>
        <v>4.4999999999999998E-2</v>
      </c>
      <c r="X2986" s="44">
        <f>IF(Mecze[[#This Row],[Role]]&lt;&gt;"BR",SUMPRODUCT(Mecze[[#This Row],[/PR:90]:[/BR:90]],Brudnopis!$E$28:$J$28),0)</f>
        <v>0.05</v>
      </c>
      <c r="Y2986" s="35">
        <f>IF(Mecze[[#This Row],[Role]]="BR",Mecze[[#This Row],[/OB:90]]+Mecze[[#This Row],[/PC:90]],SUM(Mecze[[#This Row],[/PR:90]:[/BR:90]]))</f>
        <v>0.04</v>
      </c>
      <c r="Z2986" s="35">
        <f>IF(Mecze[[#This Row],[KC]]=0,SUM(Mecze[[#This Row],[/BRI]:[/NPI]]),SUM(Mecze[[#This Row],[/BRI]:[/NPI]])*0.6)</f>
        <v>0.245</v>
      </c>
      <c r="AA2986" s="10">
        <f>IFERROR(Mecze[[#This Row],[BR]]/Mecze[[#This Row],[ST]],0)</f>
        <v>1</v>
      </c>
      <c r="AB2986">
        <f>ROUND(Mecze[[#This Row],[PD]]*Mecze[[#This Row],[%PC]],0)</f>
        <v>0</v>
      </c>
      <c r="AC2986">
        <f>ROUND(Mecze[[#This Row],[OD]]*Mecze[[#This Row],[%OU]],0)</f>
        <v>2</v>
      </c>
      <c r="AD2986" s="36" t="s">
        <v>46</v>
      </c>
      <c r="AE2986" s="36">
        <v>167</v>
      </c>
      <c r="AF2986" s="71">
        <v>5.23</v>
      </c>
      <c r="AG2986" s="37">
        <v>0</v>
      </c>
      <c r="AH2986" s="37">
        <v>0</v>
      </c>
      <c r="AI2986" s="37">
        <v>100</v>
      </c>
      <c r="AJ2986" s="37">
        <v>1</v>
      </c>
      <c r="AK2986" s="37" t="str">
        <f>VLOOKUP(Mecze[[#This Row],[Match ID]],Meczusie[Mecz]:Meczusie[RodzajMeczu],2,FALSE)</f>
        <v>Liga</v>
      </c>
    </row>
    <row r="2987" spans="1:37" x14ac:dyDescent="0.25">
      <c r="A2987" s="76">
        <v>9</v>
      </c>
      <c r="B2987" s="3" t="s">
        <v>411</v>
      </c>
      <c r="C2987" s="2" t="s">
        <v>165</v>
      </c>
      <c r="D2987" s="1">
        <v>0</v>
      </c>
      <c r="E2987" s="1">
        <v>0</v>
      </c>
      <c r="F2987" s="1">
        <v>0</v>
      </c>
      <c r="G2987" s="1">
        <v>2</v>
      </c>
      <c r="H2987" s="4">
        <v>1</v>
      </c>
      <c r="I2987" s="1">
        <v>4</v>
      </c>
      <c r="J2987" s="4">
        <v>0</v>
      </c>
      <c r="K2987" s="1">
        <v>0</v>
      </c>
      <c r="L2987" s="1">
        <v>3</v>
      </c>
      <c r="M2987" s="32">
        <f>IF(Mecze[[#This Row],[PR]]=0,0,Mecze[[#This Row],[PR]]/Mecze[[#This Row],[CZAS]])</f>
        <v>0.03</v>
      </c>
      <c r="N2987" s="32">
        <f>IF(Mecze[[#This Row],[OU]]=0,0,Mecze[[#This Row],[OU]]/Mecze[[#This Row],[CZAS]])</f>
        <v>0</v>
      </c>
      <c r="O2987" s="32">
        <f>IF(Mecze[[#This Row],[PC]]=0,0,Mecze[[#This Row],[PC]]/Mecze[[#This Row],[CZAS]])</f>
        <v>0.02</v>
      </c>
      <c r="P2987" s="32">
        <f>IF(Mecze[[#This Row],[SC]]=0,0,Mecze[[#This Row],[SC]]/Mecze[[#This Row],[CZAS]])</f>
        <v>0</v>
      </c>
      <c r="Q2987" s="32">
        <f>IF(Mecze[[#This Row],[OB]]=0,0,Mecze[[#This Row],[OB]]/Mecze[[#This Row],[CZAS]])</f>
        <v>0</v>
      </c>
      <c r="R2987" s="32">
        <f>IF(Mecze[[#This Row],[BR]]=0,0,Mecze[[#This Row],[BR]]/Mecze[[#This Row],[CZAS]])</f>
        <v>0</v>
      </c>
      <c r="S2987" s="44">
        <f>IF(Mecze[[#This Row],[Role]]="BR",SUMPRODUCT(Mecze[[#This Row],[/PR:90]:[/BR:90]],Brudnopis!$E$23:$J$23),0)</f>
        <v>0</v>
      </c>
      <c r="T2987" s="44">
        <f>IF(Mecze[[#This Row],[Role]]&lt;&gt;"BR",SUMPRODUCT(Mecze[[#This Row],[/PR:90]:[/BR:90]],Brudnopis!$E$24:$J$24),0)</f>
        <v>0.05</v>
      </c>
      <c r="U2987" s="44">
        <f>IF(Mecze[[#This Row],[Role]]&lt;&gt;"BR",SUMPRODUCT(Mecze[[#This Row],[/PR:90]:[/BR:90]],Brudnopis!$E$25:$J$25),0)</f>
        <v>0.06</v>
      </c>
      <c r="V2987" s="44">
        <f>IF(Mecze[[#This Row],[Role]]&lt;&gt;"BR",SUMPRODUCT(Mecze[[#This Row],[/PR:90]:[/BR:90]],Brudnopis!$E$26:$J$26),0)</f>
        <v>0.05</v>
      </c>
      <c r="W2987" s="44">
        <f>IF(Mecze[[#This Row],[Role]]&lt;&gt;"BR",SUMPRODUCT(Mecze[[#This Row],[/PR:90]:[/BR:90]],Brudnopis!$E$27:$J$27),0)</f>
        <v>5.2499999999999998E-2</v>
      </c>
      <c r="X2987" s="44">
        <f>IF(Mecze[[#This Row],[Role]]&lt;&gt;"BR",SUMPRODUCT(Mecze[[#This Row],[/PR:90]:[/BR:90]],Brudnopis!$E$28:$J$28),0)</f>
        <v>0.02</v>
      </c>
      <c r="Y2987" s="35">
        <f>IF(Mecze[[#This Row],[Role]]="BR",Mecze[[#This Row],[/OB:90]]+Mecze[[#This Row],[/PC:90]],SUM(Mecze[[#This Row],[/PR:90]:[/BR:90]]))</f>
        <v>0.05</v>
      </c>
      <c r="Z2987" s="35">
        <f>IF(Mecze[[#This Row],[KC]]=0,SUM(Mecze[[#This Row],[/BRI]:[/NPI]]),SUM(Mecze[[#This Row],[/BRI]:[/NPI]])*0.6)</f>
        <v>0.23249999999999998</v>
      </c>
      <c r="AA2987" s="10">
        <f>IFERROR(Mecze[[#This Row],[BR]]/Mecze[[#This Row],[ST]],0)</f>
        <v>0</v>
      </c>
      <c r="AB2987">
        <f>ROUND(Mecze[[#This Row],[PD]]*Mecze[[#This Row],[%PC]],0)</f>
        <v>2</v>
      </c>
      <c r="AC2987">
        <f>ROUND(Mecze[[#This Row],[OD]]*Mecze[[#This Row],[%OU]],0)</f>
        <v>0</v>
      </c>
      <c r="AD2987" s="36" t="s">
        <v>46</v>
      </c>
      <c r="AE2987" s="36">
        <v>167</v>
      </c>
      <c r="AF2987" s="71">
        <v>2.71</v>
      </c>
      <c r="AG2987" s="37">
        <v>0</v>
      </c>
      <c r="AH2987" s="37">
        <v>0</v>
      </c>
      <c r="AI2987" s="37">
        <v>100</v>
      </c>
      <c r="AJ2987" s="37">
        <v>1</v>
      </c>
      <c r="AK2987" s="37" t="str">
        <f>VLOOKUP(Mecze[[#This Row],[Match ID]],Meczusie[Mecz]:Meczusie[RodzajMeczu],2,FALSE)</f>
        <v>Liga</v>
      </c>
    </row>
    <row r="2988" spans="1:37" x14ac:dyDescent="0.25">
      <c r="A2988" s="76">
        <v>19</v>
      </c>
      <c r="B2988" s="3" t="s">
        <v>166</v>
      </c>
      <c r="C2988" s="2" t="s">
        <v>165</v>
      </c>
      <c r="D2988" s="1">
        <v>0</v>
      </c>
      <c r="E2988" s="1">
        <v>6</v>
      </c>
      <c r="F2988" s="1">
        <v>4</v>
      </c>
      <c r="G2988" s="1">
        <v>8</v>
      </c>
      <c r="H2988" s="4">
        <v>0.75</v>
      </c>
      <c r="I2988" s="1">
        <v>3</v>
      </c>
      <c r="J2988" s="4">
        <v>0</v>
      </c>
      <c r="K2988" s="1">
        <v>0</v>
      </c>
      <c r="L2988" s="1">
        <v>0</v>
      </c>
      <c r="M2988" s="32">
        <f>IF(Mecze[[#This Row],[PR]]=0,0,Mecze[[#This Row],[PR]]/Mecze[[#This Row],[CZAS]])</f>
        <v>0</v>
      </c>
      <c r="N2988" s="32">
        <f>IF(Mecze[[#This Row],[OU]]=0,0,Mecze[[#This Row],[OU]]/Mecze[[#This Row],[CZAS]])</f>
        <v>0</v>
      </c>
      <c r="O2988" s="32">
        <f>IF(Mecze[[#This Row],[PC]]=0,0,Mecze[[#This Row],[PC]]/Mecze[[#This Row],[CZAS]])</f>
        <v>0.06</v>
      </c>
      <c r="P2988" s="32">
        <f>IF(Mecze[[#This Row],[SC]]=0,0,Mecze[[#This Row],[SC]]/Mecze[[#This Row],[CZAS]])</f>
        <v>0.04</v>
      </c>
      <c r="Q2988" s="32">
        <f>IF(Mecze[[#This Row],[OB]]=0,0,Mecze[[#This Row],[OB]]/Mecze[[#This Row],[CZAS]])</f>
        <v>0</v>
      </c>
      <c r="R2988" s="32">
        <f>IF(Mecze[[#This Row],[BR]]=0,0,Mecze[[#This Row],[BR]]/Mecze[[#This Row],[CZAS]])</f>
        <v>0</v>
      </c>
      <c r="S2988" s="44">
        <f>IF(Mecze[[#This Row],[Role]]="BR",SUMPRODUCT(Mecze[[#This Row],[/PR:90]:[/BR:90]],Brudnopis!$E$23:$J$23),0)</f>
        <v>0</v>
      </c>
      <c r="T2988" s="44">
        <f>IF(Mecze[[#This Row],[Role]]&lt;&gt;"BR",SUMPRODUCT(Mecze[[#This Row],[/PR:90]:[/BR:90]],Brudnopis!$E$24:$J$24),0)</f>
        <v>0.1</v>
      </c>
      <c r="U2988" s="44">
        <f>IF(Mecze[[#This Row],[Role]]&lt;&gt;"BR",SUMPRODUCT(Mecze[[#This Row],[/PR:90]:[/BR:90]],Brudnopis!$E$25:$J$25),0)</f>
        <v>0.13</v>
      </c>
      <c r="V2988" s="44">
        <f>IF(Mecze[[#This Row],[Role]]&lt;&gt;"BR",SUMPRODUCT(Mecze[[#This Row],[/PR:90]:[/BR:90]],Brudnopis!$E$26:$J$26),0)</f>
        <v>0.1</v>
      </c>
      <c r="W2988" s="44">
        <f>IF(Mecze[[#This Row],[Role]]&lt;&gt;"BR",SUMPRODUCT(Mecze[[#This Row],[/PR:90]:[/BR:90]],Brudnopis!$E$27:$J$27),0)</f>
        <v>0.13</v>
      </c>
      <c r="X2988" s="44">
        <f>IF(Mecze[[#This Row],[Role]]&lt;&gt;"BR",SUMPRODUCT(Mecze[[#This Row],[/PR:90]:[/BR:90]],Brudnopis!$E$28:$J$28),0)</f>
        <v>0.14000000000000001</v>
      </c>
      <c r="Y2988" s="35">
        <f>IF(Mecze[[#This Row],[Role]]="BR",Mecze[[#This Row],[/OB:90]]+Mecze[[#This Row],[/PC:90]],SUM(Mecze[[#This Row],[/PR:90]:[/BR:90]]))</f>
        <v>0.1</v>
      </c>
      <c r="Z2988" s="35">
        <f>IF(Mecze[[#This Row],[KC]]=0,SUM(Mecze[[#This Row],[/BRI]:[/NPI]]),SUM(Mecze[[#This Row],[/BRI]:[/NPI]])*0.6)</f>
        <v>0.60000000000000009</v>
      </c>
      <c r="AA2988" s="10">
        <f>IFERROR(Mecze[[#This Row],[BR]]/Mecze[[#This Row],[ST]],0)</f>
        <v>0</v>
      </c>
      <c r="AB2988">
        <f>ROUND(Mecze[[#This Row],[PD]]*Mecze[[#This Row],[%PC]],0)</f>
        <v>6</v>
      </c>
      <c r="AC2988">
        <f>ROUND(Mecze[[#This Row],[OD]]*Mecze[[#This Row],[%OU]],0)</f>
        <v>0</v>
      </c>
      <c r="AD2988" s="36" t="s">
        <v>46</v>
      </c>
      <c r="AE2988" s="36">
        <v>167</v>
      </c>
      <c r="AF2988" s="71">
        <v>4.92</v>
      </c>
      <c r="AG2988" s="37">
        <v>0</v>
      </c>
      <c r="AH2988" s="37">
        <v>0</v>
      </c>
      <c r="AI2988" s="37">
        <v>100</v>
      </c>
      <c r="AJ2988" s="37">
        <v>1</v>
      </c>
      <c r="AK2988" s="37" t="str">
        <f>VLOOKUP(Mecze[[#This Row],[Match ID]],Meczusie[Mecz]:Meczusie[RodzajMeczu],2,FALSE)</f>
        <v>Liga</v>
      </c>
    </row>
    <row r="2989" spans="1:37" x14ac:dyDescent="0.25">
      <c r="A2989" s="76">
        <v>208</v>
      </c>
      <c r="B2989" s="3" t="s">
        <v>436</v>
      </c>
      <c r="C2989" s="2" t="s">
        <v>155</v>
      </c>
      <c r="D2989" s="1">
        <v>0</v>
      </c>
      <c r="E2989" s="1">
        <v>0</v>
      </c>
      <c r="F2989" s="1">
        <v>0</v>
      </c>
      <c r="G2989" s="1">
        <v>11</v>
      </c>
      <c r="H2989" s="4">
        <v>0.45</v>
      </c>
      <c r="I2989" s="1">
        <v>0</v>
      </c>
      <c r="J2989" s="4"/>
      <c r="K2989" s="1">
        <v>15</v>
      </c>
      <c r="L2989" s="1">
        <v>0</v>
      </c>
      <c r="M2989" s="32">
        <f>IF(Mecze[[#This Row],[PR]]=0,0,Mecze[[#This Row],[PR]]/Mecze[[#This Row],[CZAS]])</f>
        <v>0</v>
      </c>
      <c r="N2989" s="32">
        <f>IF(Mecze[[#This Row],[OU]]=0,0,Mecze[[#This Row],[OU]]/Mecze[[#This Row],[CZAS]])</f>
        <v>0</v>
      </c>
      <c r="O2989" s="32">
        <f>IF(Mecze[[#This Row],[PC]]=0,0,Mecze[[#This Row],[PC]]/Mecze[[#This Row],[CZAS]])</f>
        <v>5.2083333333333336E-2</v>
      </c>
      <c r="P2989" s="32">
        <f>IF(Mecze[[#This Row],[SC]]=0,0,Mecze[[#This Row],[SC]]/Mecze[[#This Row],[CZAS]])</f>
        <v>0</v>
      </c>
      <c r="Q2989" s="32">
        <f>IF(Mecze[[#This Row],[OB]]=0,0,Mecze[[#This Row],[OB]]/Mecze[[#This Row],[CZAS]])</f>
        <v>0.15625</v>
      </c>
      <c r="R2989" s="32">
        <f>IF(Mecze[[#This Row],[BR]]=0,0,Mecze[[#This Row],[BR]]/Mecze[[#This Row],[CZAS]])</f>
        <v>0</v>
      </c>
      <c r="S2989" s="44">
        <f>IF(Mecze[[#This Row],[Role]]="BR",SUMPRODUCT(Mecze[[#This Row],[/PR:90]:[/BR:90]],Brudnopis!$E$23:$J$23),0)</f>
        <v>0.625</v>
      </c>
      <c r="T2989" s="44">
        <f>IF(Mecze[[#This Row],[Role]]&lt;&gt;"BR",SUMPRODUCT(Mecze[[#This Row],[/PR:90]:[/BR:90]],Brudnopis!$E$24:$J$24),0)</f>
        <v>0</v>
      </c>
      <c r="U2989" s="44">
        <f>IF(Mecze[[#This Row],[Role]]&lt;&gt;"BR",SUMPRODUCT(Mecze[[#This Row],[/PR:90]:[/BR:90]],Brudnopis!$E$25:$J$25),0)</f>
        <v>0</v>
      </c>
      <c r="V2989" s="44">
        <f>IF(Mecze[[#This Row],[Role]]&lt;&gt;"BR",SUMPRODUCT(Mecze[[#This Row],[/PR:90]:[/BR:90]],Brudnopis!$E$26:$J$26),0)</f>
        <v>0</v>
      </c>
      <c r="W2989" s="44">
        <f>IF(Mecze[[#This Row],[Role]]&lt;&gt;"BR",SUMPRODUCT(Mecze[[#This Row],[/PR:90]:[/BR:90]],Brudnopis!$E$27:$J$27),0)</f>
        <v>0</v>
      </c>
      <c r="X2989" s="44">
        <f>IF(Mecze[[#This Row],[Role]]&lt;&gt;"BR",SUMPRODUCT(Mecze[[#This Row],[/PR:90]:[/BR:90]],Brudnopis!$E$28:$J$28),0)</f>
        <v>0</v>
      </c>
      <c r="Y2989" s="35">
        <f>IF(Mecze[[#This Row],[Role]]="BR",Mecze[[#This Row],[/OB:90]]+Mecze[[#This Row],[/PC:90]],SUM(Mecze[[#This Row],[/PR:90]:[/BR:90]]))</f>
        <v>0.20833333333333334</v>
      </c>
      <c r="Z2989" s="35">
        <f>IF(Mecze[[#This Row],[KC]]=0,SUM(Mecze[[#This Row],[/BRI]:[/NPI]]),SUM(Mecze[[#This Row],[/BRI]:[/NPI]])*0.6)</f>
        <v>0.625</v>
      </c>
      <c r="AA2989" s="10">
        <f>IFERROR(Mecze[[#This Row],[BR]]/Mecze[[#This Row],[ST]],0)</f>
        <v>0</v>
      </c>
      <c r="AB2989">
        <f>ROUND(Mecze[[#This Row],[PD]]*Mecze[[#This Row],[%PC]],0)</f>
        <v>5</v>
      </c>
      <c r="AC2989">
        <f>ROUND(Mecze[[#This Row],[OD]]*Mecze[[#This Row],[%OU]],0)</f>
        <v>0</v>
      </c>
      <c r="AD2989" s="36" t="s">
        <v>40</v>
      </c>
      <c r="AE2989" s="36">
        <v>168</v>
      </c>
      <c r="AF2989" s="71">
        <v>8.06</v>
      </c>
      <c r="AG2989" s="37">
        <v>0</v>
      </c>
      <c r="AH2989" s="37">
        <v>0</v>
      </c>
      <c r="AI2989" s="37">
        <v>96</v>
      </c>
      <c r="AJ2989" s="37">
        <v>7</v>
      </c>
      <c r="AK2989" s="37" t="str">
        <f>VLOOKUP(Mecze[[#This Row],[Match ID]],Meczusie[Mecz]:Meczusie[RodzajMeczu],2,FALSE)</f>
        <v>Liga</v>
      </c>
    </row>
    <row r="2990" spans="1:37" x14ac:dyDescent="0.25">
      <c r="A2990" s="76">
        <v>150</v>
      </c>
      <c r="B2990" s="3" t="s">
        <v>335</v>
      </c>
      <c r="C2990" s="2" t="s">
        <v>157</v>
      </c>
      <c r="D2990" s="1">
        <v>0</v>
      </c>
      <c r="E2990" s="1">
        <v>0</v>
      </c>
      <c r="F2990" s="1">
        <v>0</v>
      </c>
      <c r="G2990" s="1">
        <v>7</v>
      </c>
      <c r="H2990" s="4">
        <v>0.71</v>
      </c>
      <c r="I2990" s="1">
        <v>4</v>
      </c>
      <c r="J2990" s="4">
        <v>0.75</v>
      </c>
      <c r="K2990" s="1">
        <v>0</v>
      </c>
      <c r="L2990" s="1">
        <v>4</v>
      </c>
      <c r="M2990" s="32">
        <f>IF(Mecze[[#This Row],[PR]]=0,0,Mecze[[#This Row],[PR]]/Mecze[[#This Row],[CZAS]])</f>
        <v>4.1666666666666664E-2</v>
      </c>
      <c r="N2990" s="32">
        <f>IF(Mecze[[#This Row],[OU]]=0,0,Mecze[[#This Row],[OU]]/Mecze[[#This Row],[CZAS]])</f>
        <v>3.125E-2</v>
      </c>
      <c r="O2990" s="32">
        <f>IF(Mecze[[#This Row],[PC]]=0,0,Mecze[[#This Row],[PC]]/Mecze[[#This Row],[CZAS]])</f>
        <v>5.2083333333333336E-2</v>
      </c>
      <c r="P2990" s="32">
        <f>IF(Mecze[[#This Row],[SC]]=0,0,Mecze[[#This Row],[SC]]/Mecze[[#This Row],[CZAS]])</f>
        <v>0</v>
      </c>
      <c r="Q2990" s="32">
        <f>IF(Mecze[[#This Row],[OB]]=0,0,Mecze[[#This Row],[OB]]/Mecze[[#This Row],[CZAS]])</f>
        <v>0</v>
      </c>
      <c r="R2990" s="32">
        <f>IF(Mecze[[#This Row],[BR]]=0,0,Mecze[[#This Row],[BR]]/Mecze[[#This Row],[CZAS]])</f>
        <v>0</v>
      </c>
      <c r="S2990" s="44">
        <f>IF(Mecze[[#This Row],[Role]]="BR",SUMPRODUCT(Mecze[[#This Row],[/PR:90]:[/BR:90]],Brudnopis!$E$23:$J$23),0)</f>
        <v>0</v>
      </c>
      <c r="T2990" s="44">
        <f>IF(Mecze[[#This Row],[Role]]&lt;&gt;"BR",SUMPRODUCT(Mecze[[#This Row],[/PR:90]:[/BR:90]],Brudnopis!$E$24:$J$24),0)</f>
        <v>0.140625</v>
      </c>
      <c r="U2990" s="44">
        <f>IF(Mecze[[#This Row],[Role]]&lt;&gt;"BR",SUMPRODUCT(Mecze[[#This Row],[/PR:90]:[/BR:90]],Brudnopis!$E$25:$J$25),0)</f>
        <v>0.15104166666666666</v>
      </c>
      <c r="V2990" s="44">
        <f>IF(Mecze[[#This Row],[Role]]&lt;&gt;"BR",SUMPRODUCT(Mecze[[#This Row],[/PR:90]:[/BR:90]],Brudnopis!$E$26:$J$26),0)</f>
        <v>0.125</v>
      </c>
      <c r="W2990" s="44">
        <f>IF(Mecze[[#This Row],[Role]]&lt;&gt;"BR",SUMPRODUCT(Mecze[[#This Row],[/PR:90]:[/BR:90]],Brudnopis!$E$27:$J$27),0)</f>
        <v>0.1328125</v>
      </c>
      <c r="X2990" s="44">
        <f>IF(Mecze[[#This Row],[Role]]&lt;&gt;"BR",SUMPRODUCT(Mecze[[#This Row],[/PR:90]:[/BR:90]],Brudnopis!$E$28:$J$28),0)</f>
        <v>5.2083333333333336E-2</v>
      </c>
      <c r="Y2990" s="35">
        <f>IF(Mecze[[#This Row],[Role]]="BR",Mecze[[#This Row],[/OB:90]]+Mecze[[#This Row],[/PC:90]],SUM(Mecze[[#This Row],[/PR:90]:[/BR:90]]))</f>
        <v>0.125</v>
      </c>
      <c r="Z2990" s="35">
        <f>IF(Mecze[[#This Row],[KC]]=0,SUM(Mecze[[#This Row],[/BRI]:[/NPI]]),SUM(Mecze[[#This Row],[/BRI]:[/NPI]])*0.6)</f>
        <v>0.6015625</v>
      </c>
      <c r="AA2990" s="10">
        <f>IFERROR(Mecze[[#This Row],[BR]]/Mecze[[#This Row],[ST]],0)</f>
        <v>0</v>
      </c>
      <c r="AB2990">
        <f>ROUND(Mecze[[#This Row],[PD]]*Mecze[[#This Row],[%PC]],0)</f>
        <v>5</v>
      </c>
      <c r="AC2990">
        <f>ROUND(Mecze[[#This Row],[OD]]*Mecze[[#This Row],[%OU]],0)</f>
        <v>3</v>
      </c>
      <c r="AD2990" s="36" t="s">
        <v>47</v>
      </c>
      <c r="AE2990" s="36">
        <v>168</v>
      </c>
      <c r="AF2990" s="71">
        <v>4.7699999999999996</v>
      </c>
      <c r="AG2990" s="37">
        <v>0</v>
      </c>
      <c r="AH2990" s="37">
        <v>0</v>
      </c>
      <c r="AI2990" s="37">
        <v>96</v>
      </c>
      <c r="AJ2990" s="37">
        <v>7</v>
      </c>
      <c r="AK2990" s="37" t="str">
        <f>VLOOKUP(Mecze[[#This Row],[Match ID]],Meczusie[Mecz]:Meczusie[RodzajMeczu],2,FALSE)</f>
        <v>Liga</v>
      </c>
    </row>
    <row r="2991" spans="1:37" x14ac:dyDescent="0.25">
      <c r="A2991" s="76">
        <v>204</v>
      </c>
      <c r="B2991" s="3" t="s">
        <v>334</v>
      </c>
      <c r="C2991" s="2" t="s">
        <v>157</v>
      </c>
      <c r="D2991" s="1">
        <v>0</v>
      </c>
      <c r="E2991" s="1">
        <v>0</v>
      </c>
      <c r="F2991" s="1">
        <v>0</v>
      </c>
      <c r="G2991" s="1">
        <v>13</v>
      </c>
      <c r="H2991" s="4">
        <v>0.77</v>
      </c>
      <c r="I2991" s="1">
        <v>7</v>
      </c>
      <c r="J2991" s="4">
        <v>0.56999999999999995</v>
      </c>
      <c r="K2991" s="1">
        <v>0</v>
      </c>
      <c r="L2991" s="1">
        <v>9</v>
      </c>
      <c r="M2991" s="32">
        <f>IF(Mecze[[#This Row],[PR]]=0,0,Mecze[[#This Row],[PR]]/Mecze[[#This Row],[CZAS]])</f>
        <v>9.375E-2</v>
      </c>
      <c r="N2991" s="32">
        <f>IF(Mecze[[#This Row],[OU]]=0,0,Mecze[[#This Row],[OU]]/Mecze[[#This Row],[CZAS]])</f>
        <v>4.1666666666666664E-2</v>
      </c>
      <c r="O2991" s="32">
        <f>IF(Mecze[[#This Row],[PC]]=0,0,Mecze[[#This Row],[PC]]/Mecze[[#This Row],[CZAS]])</f>
        <v>0.10416666666666667</v>
      </c>
      <c r="P2991" s="32">
        <f>IF(Mecze[[#This Row],[SC]]=0,0,Mecze[[#This Row],[SC]]/Mecze[[#This Row],[CZAS]])</f>
        <v>0</v>
      </c>
      <c r="Q2991" s="32">
        <f>IF(Mecze[[#This Row],[OB]]=0,0,Mecze[[#This Row],[OB]]/Mecze[[#This Row],[CZAS]])</f>
        <v>0</v>
      </c>
      <c r="R2991" s="32">
        <f>IF(Mecze[[#This Row],[BR]]=0,0,Mecze[[#This Row],[BR]]/Mecze[[#This Row],[CZAS]])</f>
        <v>0</v>
      </c>
      <c r="S2991" s="44">
        <f>IF(Mecze[[#This Row],[Role]]="BR",SUMPRODUCT(Mecze[[#This Row],[/PR:90]:[/BR:90]],Brudnopis!$E$23:$J$23),0)</f>
        <v>0</v>
      </c>
      <c r="T2991" s="44">
        <f>IF(Mecze[[#This Row],[Role]]&lt;&gt;"BR",SUMPRODUCT(Mecze[[#This Row],[/PR:90]:[/BR:90]],Brudnopis!$E$24:$J$24),0)</f>
        <v>0.26041666666666669</v>
      </c>
      <c r="U2991" s="44">
        <f>IF(Mecze[[#This Row],[Role]]&lt;&gt;"BR",SUMPRODUCT(Mecze[[#This Row],[/PR:90]:[/BR:90]],Brudnopis!$E$25:$J$25),0)</f>
        <v>0.29166666666666663</v>
      </c>
      <c r="V2991" s="44">
        <f>IF(Mecze[[#This Row],[Role]]&lt;&gt;"BR",SUMPRODUCT(Mecze[[#This Row],[/PR:90]:[/BR:90]],Brudnopis!$E$26:$J$26),0)</f>
        <v>0.23958333333333331</v>
      </c>
      <c r="W2991" s="44">
        <f>IF(Mecze[[#This Row],[Role]]&lt;&gt;"BR",SUMPRODUCT(Mecze[[#This Row],[/PR:90]:[/BR:90]],Brudnopis!$E$27:$J$27),0)</f>
        <v>0.2578125</v>
      </c>
      <c r="X2991" s="44">
        <f>IF(Mecze[[#This Row],[Role]]&lt;&gt;"BR",SUMPRODUCT(Mecze[[#This Row],[/PR:90]:[/BR:90]],Brudnopis!$E$28:$J$28),0)</f>
        <v>0.10416666666666667</v>
      </c>
      <c r="Y2991" s="35">
        <f>IF(Mecze[[#This Row],[Role]]="BR",Mecze[[#This Row],[/OB:90]]+Mecze[[#This Row],[/PC:90]],SUM(Mecze[[#This Row],[/PR:90]:[/BR:90]]))</f>
        <v>0.23958333333333331</v>
      </c>
      <c r="Z2991" s="35">
        <f>IF(Mecze[[#This Row],[KC]]=0,SUM(Mecze[[#This Row],[/BRI]:[/NPI]]),SUM(Mecze[[#This Row],[/BRI]:[/NPI]])*0.6)</f>
        <v>1.1536458333333333</v>
      </c>
      <c r="AA2991" s="10">
        <f>IFERROR(Mecze[[#This Row],[BR]]/Mecze[[#This Row],[ST]],0)</f>
        <v>0</v>
      </c>
      <c r="AB2991">
        <f>ROUND(Mecze[[#This Row],[PD]]*Mecze[[#This Row],[%PC]],0)</f>
        <v>10</v>
      </c>
      <c r="AC2991">
        <f>ROUND(Mecze[[#This Row],[OD]]*Mecze[[#This Row],[%OU]],0)</f>
        <v>4</v>
      </c>
      <c r="AD2991" s="36" t="s">
        <v>47</v>
      </c>
      <c r="AE2991" s="36">
        <v>168</v>
      </c>
      <c r="AF2991" s="71">
        <v>5.82</v>
      </c>
      <c r="AG2991" s="37">
        <v>0</v>
      </c>
      <c r="AH2991" s="37">
        <v>0</v>
      </c>
      <c r="AI2991" s="37">
        <v>96</v>
      </c>
      <c r="AJ2991" s="37">
        <v>7</v>
      </c>
      <c r="AK2991" s="37" t="str">
        <f>VLOOKUP(Mecze[[#This Row],[Match ID]],Meczusie[Mecz]:Meczusie[RodzajMeczu],2,FALSE)</f>
        <v>Liga</v>
      </c>
    </row>
    <row r="2992" spans="1:37" x14ac:dyDescent="0.25">
      <c r="A2992" s="76">
        <v>159</v>
      </c>
      <c r="B2992" s="3" t="s">
        <v>338</v>
      </c>
      <c r="C2992" s="2" t="s">
        <v>157</v>
      </c>
      <c r="D2992" s="1">
        <v>0</v>
      </c>
      <c r="E2992" s="1">
        <v>0</v>
      </c>
      <c r="F2992" s="1">
        <v>0</v>
      </c>
      <c r="G2992" s="1">
        <v>1</v>
      </c>
      <c r="H2992" s="4">
        <v>1</v>
      </c>
      <c r="I2992" s="1">
        <v>0</v>
      </c>
      <c r="J2992" s="4"/>
      <c r="K2992" s="1">
        <v>0</v>
      </c>
      <c r="L2992" s="1">
        <v>0</v>
      </c>
      <c r="M2992" s="32">
        <f>IF(Mecze[[#This Row],[PR]]=0,0,Mecze[[#This Row],[PR]]/Mecze[[#This Row],[CZAS]])</f>
        <v>0</v>
      </c>
      <c r="N2992" s="32">
        <f>IF(Mecze[[#This Row],[OU]]=0,0,Mecze[[#This Row],[OU]]/Mecze[[#This Row],[CZAS]])</f>
        <v>0</v>
      </c>
      <c r="O2992" s="32">
        <f>IF(Mecze[[#This Row],[PC]]=0,0,Mecze[[#This Row],[PC]]/Mecze[[#This Row],[CZAS]])</f>
        <v>1.0416666666666666E-2</v>
      </c>
      <c r="P2992" s="32">
        <f>IF(Mecze[[#This Row],[SC]]=0,0,Mecze[[#This Row],[SC]]/Mecze[[#This Row],[CZAS]])</f>
        <v>0</v>
      </c>
      <c r="Q2992" s="32">
        <f>IF(Mecze[[#This Row],[OB]]=0,0,Mecze[[#This Row],[OB]]/Mecze[[#This Row],[CZAS]])</f>
        <v>0</v>
      </c>
      <c r="R2992" s="32">
        <f>IF(Mecze[[#This Row],[BR]]=0,0,Mecze[[#This Row],[BR]]/Mecze[[#This Row],[CZAS]])</f>
        <v>0</v>
      </c>
      <c r="S2992" s="44">
        <f>IF(Mecze[[#This Row],[Role]]="BR",SUMPRODUCT(Mecze[[#This Row],[/PR:90]:[/BR:90]],Brudnopis!$E$23:$J$23),0)</f>
        <v>0</v>
      </c>
      <c r="T2992" s="44">
        <f>IF(Mecze[[#This Row],[Role]]&lt;&gt;"BR",SUMPRODUCT(Mecze[[#This Row],[/PR:90]:[/BR:90]],Brudnopis!$E$24:$J$24),0)</f>
        <v>1.0416666666666666E-2</v>
      </c>
      <c r="U2992" s="44">
        <f>IF(Mecze[[#This Row],[Role]]&lt;&gt;"BR",SUMPRODUCT(Mecze[[#This Row],[/PR:90]:[/BR:90]],Brudnopis!$E$25:$J$25),0)</f>
        <v>1.5625E-2</v>
      </c>
      <c r="V2992" s="44">
        <f>IF(Mecze[[#This Row],[Role]]&lt;&gt;"BR",SUMPRODUCT(Mecze[[#This Row],[/PR:90]:[/BR:90]],Brudnopis!$E$26:$J$26),0)</f>
        <v>1.0416666666666666E-2</v>
      </c>
      <c r="W2992" s="44">
        <f>IF(Mecze[[#This Row],[Role]]&lt;&gt;"BR",SUMPRODUCT(Mecze[[#This Row],[/PR:90]:[/BR:90]],Brudnopis!$E$27:$J$27),0)</f>
        <v>1.5625E-2</v>
      </c>
      <c r="X2992" s="44">
        <f>IF(Mecze[[#This Row],[Role]]&lt;&gt;"BR",SUMPRODUCT(Mecze[[#This Row],[/PR:90]:[/BR:90]],Brudnopis!$E$28:$J$28),0)</f>
        <v>1.0416666666666666E-2</v>
      </c>
      <c r="Y2992" s="35">
        <f>IF(Mecze[[#This Row],[Role]]="BR",Mecze[[#This Row],[/OB:90]]+Mecze[[#This Row],[/PC:90]],SUM(Mecze[[#This Row],[/PR:90]:[/BR:90]]))</f>
        <v>1.0416666666666666E-2</v>
      </c>
      <c r="Z2992" s="35">
        <f>IF(Mecze[[#This Row],[KC]]=0,SUM(Mecze[[#This Row],[/BRI]:[/NPI]]),SUM(Mecze[[#This Row],[/BRI]:[/NPI]])*0.6)</f>
        <v>6.2499999999999993E-2</v>
      </c>
      <c r="AA2992" s="10">
        <f>IFERROR(Mecze[[#This Row],[BR]]/Mecze[[#This Row],[ST]],0)</f>
        <v>0</v>
      </c>
      <c r="AB2992">
        <f>ROUND(Mecze[[#This Row],[PD]]*Mecze[[#This Row],[%PC]],0)</f>
        <v>1</v>
      </c>
      <c r="AC2992">
        <f>ROUND(Mecze[[#This Row],[OD]]*Mecze[[#This Row],[%OU]],0)</f>
        <v>0</v>
      </c>
      <c r="AD2992" s="36" t="s">
        <v>174</v>
      </c>
      <c r="AE2992" s="36">
        <v>168</v>
      </c>
      <c r="AF2992" s="71">
        <v>2.81</v>
      </c>
      <c r="AG2992" s="37">
        <v>0</v>
      </c>
      <c r="AH2992" s="37">
        <v>0</v>
      </c>
      <c r="AI2992" s="37">
        <v>96</v>
      </c>
      <c r="AJ2992" s="37">
        <v>7</v>
      </c>
      <c r="AK2992" s="37" t="str">
        <f>VLOOKUP(Mecze[[#This Row],[Match ID]],Meczusie[Mecz]:Meczusie[RodzajMeczu],2,FALSE)</f>
        <v>Liga</v>
      </c>
    </row>
    <row r="2993" spans="1:37" x14ac:dyDescent="0.25">
      <c r="A2993" s="76">
        <v>156</v>
      </c>
      <c r="B2993" s="3" t="s">
        <v>443</v>
      </c>
      <c r="C2993" s="2" t="s">
        <v>157</v>
      </c>
      <c r="D2993" s="1">
        <v>0</v>
      </c>
      <c r="E2993" s="1">
        <v>0</v>
      </c>
      <c r="F2993" s="1">
        <v>0</v>
      </c>
      <c r="G2993" s="1">
        <v>7</v>
      </c>
      <c r="H2993" s="4">
        <v>0.43</v>
      </c>
      <c r="I2993" s="1">
        <v>9</v>
      </c>
      <c r="J2993" s="4">
        <v>0.44</v>
      </c>
      <c r="K2993" s="1">
        <v>0</v>
      </c>
      <c r="L2993" s="1">
        <v>5</v>
      </c>
      <c r="M2993" s="32">
        <f>IF(Mecze[[#This Row],[PR]]=0,0,Mecze[[#This Row],[PR]]/Mecze[[#This Row],[CZAS]])</f>
        <v>5.2083333333333336E-2</v>
      </c>
      <c r="N2993" s="32">
        <f>IF(Mecze[[#This Row],[OU]]=0,0,Mecze[[#This Row],[OU]]/Mecze[[#This Row],[CZAS]])</f>
        <v>4.1666666666666664E-2</v>
      </c>
      <c r="O2993" s="32">
        <f>IF(Mecze[[#This Row],[PC]]=0,0,Mecze[[#This Row],[PC]]/Mecze[[#This Row],[CZAS]])</f>
        <v>3.125E-2</v>
      </c>
      <c r="P2993" s="32">
        <f>IF(Mecze[[#This Row],[SC]]=0,0,Mecze[[#This Row],[SC]]/Mecze[[#This Row],[CZAS]])</f>
        <v>0</v>
      </c>
      <c r="Q2993" s="32">
        <f>IF(Mecze[[#This Row],[OB]]=0,0,Mecze[[#This Row],[OB]]/Mecze[[#This Row],[CZAS]])</f>
        <v>0</v>
      </c>
      <c r="R2993" s="32">
        <f>IF(Mecze[[#This Row],[BR]]=0,0,Mecze[[#This Row],[BR]]/Mecze[[#This Row],[CZAS]])</f>
        <v>0</v>
      </c>
      <c r="S2993" s="44">
        <f>IF(Mecze[[#This Row],[Role]]="BR",SUMPRODUCT(Mecze[[#This Row],[/PR:90]:[/BR:90]],Brudnopis!$E$23:$J$23),0)</f>
        <v>0</v>
      </c>
      <c r="T2993" s="44">
        <f>IF(Mecze[[#This Row],[Role]]&lt;&gt;"BR",SUMPRODUCT(Mecze[[#This Row],[/PR:90]:[/BR:90]],Brudnopis!$E$24:$J$24),0)</f>
        <v>0.14583333333333334</v>
      </c>
      <c r="U2993" s="44">
        <f>IF(Mecze[[#This Row],[Role]]&lt;&gt;"BR",SUMPRODUCT(Mecze[[#This Row],[/PR:90]:[/BR:90]],Brudnopis!$E$25:$J$25),0)</f>
        <v>0.140625</v>
      </c>
      <c r="V2993" s="44">
        <f>IF(Mecze[[#This Row],[Role]]&lt;&gt;"BR",SUMPRODUCT(Mecze[[#This Row],[/PR:90]:[/BR:90]],Brudnopis!$E$26:$J$26),0)</f>
        <v>0.125</v>
      </c>
      <c r="W2993" s="44">
        <f>IF(Mecze[[#This Row],[Role]]&lt;&gt;"BR",SUMPRODUCT(Mecze[[#This Row],[/PR:90]:[/BR:90]],Brudnopis!$E$27:$J$27),0)</f>
        <v>0.1171875</v>
      </c>
      <c r="X2993" s="44">
        <f>IF(Mecze[[#This Row],[Role]]&lt;&gt;"BR",SUMPRODUCT(Mecze[[#This Row],[/PR:90]:[/BR:90]],Brudnopis!$E$28:$J$28),0)</f>
        <v>3.125E-2</v>
      </c>
      <c r="Y2993" s="35">
        <f>IF(Mecze[[#This Row],[Role]]="BR",Mecze[[#This Row],[/OB:90]]+Mecze[[#This Row],[/PC:90]],SUM(Mecze[[#This Row],[/PR:90]:[/BR:90]]))</f>
        <v>0.125</v>
      </c>
      <c r="Z2993" s="35">
        <f>IF(Mecze[[#This Row],[KC]]=0,SUM(Mecze[[#This Row],[/BRI]:[/NPI]]),SUM(Mecze[[#This Row],[/BRI]:[/NPI]])*0.6)</f>
        <v>0.55989583333333337</v>
      </c>
      <c r="AA2993" s="10">
        <f>IFERROR(Mecze[[#This Row],[BR]]/Mecze[[#This Row],[ST]],0)</f>
        <v>0</v>
      </c>
      <c r="AB2993">
        <f>ROUND(Mecze[[#This Row],[PD]]*Mecze[[#This Row],[%PC]],0)</f>
        <v>3</v>
      </c>
      <c r="AC2993">
        <f>ROUND(Mecze[[#This Row],[OD]]*Mecze[[#This Row],[%OU]],0)</f>
        <v>4</v>
      </c>
      <c r="AD2993" s="36" t="s">
        <v>175</v>
      </c>
      <c r="AE2993" s="36">
        <v>168</v>
      </c>
      <c r="AF2993" s="71">
        <v>2.75</v>
      </c>
      <c r="AG2993" s="37">
        <v>1</v>
      </c>
      <c r="AH2993" s="37">
        <v>0</v>
      </c>
      <c r="AI2993" s="37">
        <v>96</v>
      </c>
      <c r="AJ2993" s="37">
        <v>7</v>
      </c>
      <c r="AK2993" s="37" t="str">
        <f>VLOOKUP(Mecze[[#This Row],[Match ID]],Meczusie[Mecz]:Meczusie[RodzajMeczu],2,FALSE)</f>
        <v>Liga</v>
      </c>
    </row>
    <row r="2994" spans="1:37" x14ac:dyDescent="0.25">
      <c r="A2994" s="76">
        <v>153</v>
      </c>
      <c r="B2994" s="3" t="s">
        <v>432</v>
      </c>
      <c r="C2994" s="2" t="s">
        <v>160</v>
      </c>
      <c r="D2994" s="1">
        <v>0</v>
      </c>
      <c r="E2994" s="1">
        <v>0</v>
      </c>
      <c r="F2994" s="1">
        <v>0</v>
      </c>
      <c r="G2994" s="1">
        <v>17</v>
      </c>
      <c r="H2994" s="4">
        <v>0.76</v>
      </c>
      <c r="I2994" s="1">
        <v>14</v>
      </c>
      <c r="J2994" s="4">
        <v>0.5</v>
      </c>
      <c r="K2994" s="1">
        <v>0</v>
      </c>
      <c r="L2994" s="1">
        <v>4</v>
      </c>
      <c r="M2994" s="32">
        <f>IF(Mecze[[#This Row],[PR]]=0,0,Mecze[[#This Row],[PR]]/Mecze[[#This Row],[CZAS]])</f>
        <v>4.1666666666666664E-2</v>
      </c>
      <c r="N2994" s="32">
        <f>IF(Mecze[[#This Row],[OU]]=0,0,Mecze[[#This Row],[OU]]/Mecze[[#This Row],[CZAS]])</f>
        <v>7.2916666666666671E-2</v>
      </c>
      <c r="O2994" s="32">
        <f>IF(Mecze[[#This Row],[PC]]=0,0,Mecze[[#This Row],[PC]]/Mecze[[#This Row],[CZAS]])</f>
        <v>0.13541666666666666</v>
      </c>
      <c r="P2994" s="32">
        <f>IF(Mecze[[#This Row],[SC]]=0,0,Mecze[[#This Row],[SC]]/Mecze[[#This Row],[CZAS]])</f>
        <v>0</v>
      </c>
      <c r="Q2994" s="32">
        <f>IF(Mecze[[#This Row],[OB]]=0,0,Mecze[[#This Row],[OB]]/Mecze[[#This Row],[CZAS]])</f>
        <v>0</v>
      </c>
      <c r="R2994" s="32">
        <f>IF(Mecze[[#This Row],[BR]]=0,0,Mecze[[#This Row],[BR]]/Mecze[[#This Row],[CZAS]])</f>
        <v>0</v>
      </c>
      <c r="S2994" s="44">
        <f>IF(Mecze[[#This Row],[Role]]="BR",SUMPRODUCT(Mecze[[#This Row],[/PR:90]:[/BR:90]],Brudnopis!$E$23:$J$23),0)</f>
        <v>0</v>
      </c>
      <c r="T2994" s="44">
        <f>IF(Mecze[[#This Row],[Role]]&lt;&gt;"BR",SUMPRODUCT(Mecze[[#This Row],[/PR:90]:[/BR:90]],Brudnopis!$E$24:$J$24),0)</f>
        <v>0.28645833333333331</v>
      </c>
      <c r="U2994" s="44">
        <f>IF(Mecze[[#This Row],[Role]]&lt;&gt;"BR",SUMPRODUCT(Mecze[[#This Row],[/PR:90]:[/BR:90]],Brudnopis!$E$25:$J$25),0)</f>
        <v>0.31770833333333337</v>
      </c>
      <c r="V2994" s="44">
        <f>IF(Mecze[[#This Row],[Role]]&lt;&gt;"BR",SUMPRODUCT(Mecze[[#This Row],[/PR:90]:[/BR:90]],Brudnopis!$E$26:$J$26),0)</f>
        <v>0.25</v>
      </c>
      <c r="W2994" s="44">
        <f>IF(Mecze[[#This Row],[Role]]&lt;&gt;"BR",SUMPRODUCT(Mecze[[#This Row],[/PR:90]:[/BR:90]],Brudnopis!$E$27:$J$27),0)</f>
        <v>0.2890625</v>
      </c>
      <c r="X2994" s="44">
        <f>IF(Mecze[[#This Row],[Role]]&lt;&gt;"BR",SUMPRODUCT(Mecze[[#This Row],[/PR:90]:[/BR:90]],Brudnopis!$E$28:$J$28),0)</f>
        <v>0.13541666666666666</v>
      </c>
      <c r="Y2994" s="35">
        <f>IF(Mecze[[#This Row],[Role]]="BR",Mecze[[#This Row],[/OB:90]]+Mecze[[#This Row],[/PC:90]],SUM(Mecze[[#This Row],[/PR:90]:[/BR:90]]))</f>
        <v>0.25</v>
      </c>
      <c r="Z2994" s="35">
        <f>IF(Mecze[[#This Row],[KC]]=0,SUM(Mecze[[#This Row],[/BRI]:[/NPI]]),SUM(Mecze[[#This Row],[/BRI]:[/NPI]])*0.6)</f>
        <v>1.2786458333333335</v>
      </c>
      <c r="AA2994" s="10">
        <f>IFERROR(Mecze[[#This Row],[BR]]/Mecze[[#This Row],[ST]],0)</f>
        <v>0</v>
      </c>
      <c r="AB2994">
        <f>ROUND(Mecze[[#This Row],[PD]]*Mecze[[#This Row],[%PC]],0)</f>
        <v>13</v>
      </c>
      <c r="AC2994">
        <f>ROUND(Mecze[[#This Row],[OD]]*Mecze[[#This Row],[%OU]],0)</f>
        <v>7</v>
      </c>
      <c r="AD2994" s="36" t="s">
        <v>41</v>
      </c>
      <c r="AE2994" s="36">
        <v>168</v>
      </c>
      <c r="AF2994" s="71">
        <v>5.97</v>
      </c>
      <c r="AG2994" s="37">
        <v>0</v>
      </c>
      <c r="AH2994" s="37">
        <v>0</v>
      </c>
      <c r="AI2994" s="37">
        <v>96</v>
      </c>
      <c r="AJ2994" s="37">
        <v>7</v>
      </c>
      <c r="AK2994" s="37" t="str">
        <f>VLOOKUP(Mecze[[#This Row],[Match ID]],Meczusie[Mecz]:Meczusie[RodzajMeczu],2,FALSE)</f>
        <v>Liga</v>
      </c>
    </row>
    <row r="2995" spans="1:37" x14ac:dyDescent="0.25">
      <c r="A2995" s="76">
        <v>157</v>
      </c>
      <c r="B2995" s="3" t="s">
        <v>512</v>
      </c>
      <c r="C2995" s="2" t="s">
        <v>160</v>
      </c>
      <c r="D2995" s="1">
        <v>0</v>
      </c>
      <c r="E2995" s="1">
        <v>0</v>
      </c>
      <c r="F2995" s="1">
        <v>0</v>
      </c>
      <c r="G2995" s="1">
        <v>8</v>
      </c>
      <c r="H2995" s="4">
        <v>0.63</v>
      </c>
      <c r="I2995" s="1">
        <v>2</v>
      </c>
      <c r="J2995" s="4">
        <v>0.5</v>
      </c>
      <c r="K2995" s="1">
        <v>0</v>
      </c>
      <c r="L2995" s="1">
        <v>1</v>
      </c>
      <c r="M2995" s="32">
        <f>IF(Mecze[[#This Row],[PR]]=0,0,Mecze[[#This Row],[PR]]/Mecze[[#This Row],[CZAS]])</f>
        <v>1.0416666666666666E-2</v>
      </c>
      <c r="N2995" s="32">
        <f>IF(Mecze[[#This Row],[OU]]=0,0,Mecze[[#This Row],[OU]]/Mecze[[#This Row],[CZAS]])</f>
        <v>1.0416666666666666E-2</v>
      </c>
      <c r="O2995" s="32">
        <f>IF(Mecze[[#This Row],[PC]]=0,0,Mecze[[#This Row],[PC]]/Mecze[[#This Row],[CZAS]])</f>
        <v>5.2083333333333336E-2</v>
      </c>
      <c r="P2995" s="32">
        <f>IF(Mecze[[#This Row],[SC]]=0,0,Mecze[[#This Row],[SC]]/Mecze[[#This Row],[CZAS]])</f>
        <v>0</v>
      </c>
      <c r="Q2995" s="32">
        <f>IF(Mecze[[#This Row],[OB]]=0,0,Mecze[[#This Row],[OB]]/Mecze[[#This Row],[CZAS]])</f>
        <v>0</v>
      </c>
      <c r="R2995" s="32">
        <f>IF(Mecze[[#This Row],[BR]]=0,0,Mecze[[#This Row],[BR]]/Mecze[[#This Row],[CZAS]])</f>
        <v>0</v>
      </c>
      <c r="S2995" s="44">
        <f>IF(Mecze[[#This Row],[Role]]="BR",SUMPRODUCT(Mecze[[#This Row],[/PR:90]:[/BR:90]],Brudnopis!$E$23:$J$23),0)</f>
        <v>0</v>
      </c>
      <c r="T2995" s="44">
        <f>IF(Mecze[[#This Row],[Role]]&lt;&gt;"BR",SUMPRODUCT(Mecze[[#This Row],[/PR:90]:[/BR:90]],Brudnopis!$E$24:$J$24),0)</f>
        <v>7.8125E-2</v>
      </c>
      <c r="U2995" s="44">
        <f>IF(Mecze[[#This Row],[Role]]&lt;&gt;"BR",SUMPRODUCT(Mecze[[#This Row],[/PR:90]:[/BR:90]],Brudnopis!$E$25:$J$25),0)</f>
        <v>9.8958333333333329E-2</v>
      </c>
      <c r="V2995" s="44">
        <f>IF(Mecze[[#This Row],[Role]]&lt;&gt;"BR",SUMPRODUCT(Mecze[[#This Row],[/PR:90]:[/BR:90]],Brudnopis!$E$26:$J$26),0)</f>
        <v>7.2916666666666671E-2</v>
      </c>
      <c r="W2995" s="44">
        <f>IF(Mecze[[#This Row],[Role]]&lt;&gt;"BR",SUMPRODUCT(Mecze[[#This Row],[/PR:90]:[/BR:90]],Brudnopis!$E$27:$J$27),0)</f>
        <v>9.375E-2</v>
      </c>
      <c r="X2995" s="44">
        <f>IF(Mecze[[#This Row],[Role]]&lt;&gt;"BR",SUMPRODUCT(Mecze[[#This Row],[/PR:90]:[/BR:90]],Brudnopis!$E$28:$J$28),0)</f>
        <v>5.2083333333333336E-2</v>
      </c>
      <c r="Y2995" s="35">
        <f>IF(Mecze[[#This Row],[Role]]="BR",Mecze[[#This Row],[/OB:90]]+Mecze[[#This Row],[/PC:90]],SUM(Mecze[[#This Row],[/PR:90]:[/BR:90]]))</f>
        <v>7.2916666666666671E-2</v>
      </c>
      <c r="Z2995" s="35">
        <f>IF(Mecze[[#This Row],[KC]]=0,SUM(Mecze[[#This Row],[/BRI]:[/NPI]]),SUM(Mecze[[#This Row],[/BRI]:[/NPI]])*0.6)</f>
        <v>0.39583333333333331</v>
      </c>
      <c r="AA2995" s="10">
        <f>IFERROR(Mecze[[#This Row],[BR]]/Mecze[[#This Row],[ST]],0)</f>
        <v>0</v>
      </c>
      <c r="AB2995">
        <f>ROUND(Mecze[[#This Row],[PD]]*Mecze[[#This Row],[%PC]],0)</f>
        <v>5</v>
      </c>
      <c r="AC2995">
        <f>ROUND(Mecze[[#This Row],[OD]]*Mecze[[#This Row],[%OU]],0)</f>
        <v>1</v>
      </c>
      <c r="AD2995" s="36" t="s">
        <v>41</v>
      </c>
      <c r="AE2995" s="36">
        <v>168</v>
      </c>
      <c r="AF2995" s="71">
        <v>5.34</v>
      </c>
      <c r="AG2995" s="37">
        <v>0</v>
      </c>
      <c r="AH2995" s="37">
        <v>0</v>
      </c>
      <c r="AI2995" s="37">
        <v>96</v>
      </c>
      <c r="AJ2995" s="37">
        <v>7</v>
      </c>
      <c r="AK2995" s="37" t="str">
        <f>VLOOKUP(Mecze[[#This Row],[Match ID]],Meczusie[Mecz]:Meczusie[RodzajMeczu],2,FALSE)</f>
        <v>Liga</v>
      </c>
    </row>
    <row r="2996" spans="1:37" x14ac:dyDescent="0.25">
      <c r="A2996" s="76">
        <v>200</v>
      </c>
      <c r="B2996" s="3" t="s">
        <v>339</v>
      </c>
      <c r="C2996" s="2" t="s">
        <v>160</v>
      </c>
      <c r="D2996" s="1">
        <v>0</v>
      </c>
      <c r="E2996" s="1">
        <v>0</v>
      </c>
      <c r="F2996" s="1">
        <v>0</v>
      </c>
      <c r="G2996" s="1">
        <v>16</v>
      </c>
      <c r="H2996" s="4">
        <v>0.38</v>
      </c>
      <c r="I2996" s="1">
        <v>10</v>
      </c>
      <c r="J2996" s="4">
        <v>0.7</v>
      </c>
      <c r="K2996" s="1">
        <v>0</v>
      </c>
      <c r="L2996" s="1">
        <v>5</v>
      </c>
      <c r="M2996" s="32">
        <f>IF(Mecze[[#This Row],[PR]]=0,0,Mecze[[#This Row],[PR]]/Mecze[[#This Row],[CZAS]])</f>
        <v>5.2083333333333336E-2</v>
      </c>
      <c r="N2996" s="32">
        <f>IF(Mecze[[#This Row],[OU]]=0,0,Mecze[[#This Row],[OU]]/Mecze[[#This Row],[CZAS]])</f>
        <v>7.2916666666666671E-2</v>
      </c>
      <c r="O2996" s="32">
        <f>IF(Mecze[[#This Row],[PC]]=0,0,Mecze[[#This Row],[PC]]/Mecze[[#This Row],[CZAS]])</f>
        <v>6.25E-2</v>
      </c>
      <c r="P2996" s="32">
        <f>IF(Mecze[[#This Row],[SC]]=0,0,Mecze[[#This Row],[SC]]/Mecze[[#This Row],[CZAS]])</f>
        <v>0</v>
      </c>
      <c r="Q2996" s="32">
        <f>IF(Mecze[[#This Row],[OB]]=0,0,Mecze[[#This Row],[OB]]/Mecze[[#This Row],[CZAS]])</f>
        <v>0</v>
      </c>
      <c r="R2996" s="32">
        <f>IF(Mecze[[#This Row],[BR]]=0,0,Mecze[[#This Row],[BR]]/Mecze[[#This Row],[CZAS]])</f>
        <v>0</v>
      </c>
      <c r="S2996" s="44">
        <f>IF(Mecze[[#This Row],[Role]]="BR",SUMPRODUCT(Mecze[[#This Row],[/PR:90]:[/BR:90]],Brudnopis!$E$23:$J$23),0)</f>
        <v>0</v>
      </c>
      <c r="T2996" s="44">
        <f>IF(Mecze[[#This Row],[Role]]&lt;&gt;"BR",SUMPRODUCT(Mecze[[#This Row],[/PR:90]:[/BR:90]],Brudnopis!$E$24:$J$24),0)</f>
        <v>0.22395833333333334</v>
      </c>
      <c r="U2996" s="44">
        <f>IF(Mecze[[#This Row],[Role]]&lt;&gt;"BR",SUMPRODUCT(Mecze[[#This Row],[/PR:90]:[/BR:90]],Brudnopis!$E$25:$J$25),0)</f>
        <v>0.21875</v>
      </c>
      <c r="V2996" s="44">
        <f>IF(Mecze[[#This Row],[Role]]&lt;&gt;"BR",SUMPRODUCT(Mecze[[#This Row],[/PR:90]:[/BR:90]],Brudnopis!$E$26:$J$26),0)</f>
        <v>0.1875</v>
      </c>
      <c r="W2996" s="44">
        <f>IF(Mecze[[#This Row],[Role]]&lt;&gt;"BR",SUMPRODUCT(Mecze[[#This Row],[/PR:90]:[/BR:90]],Brudnopis!$E$27:$J$27),0)</f>
        <v>0.1875</v>
      </c>
      <c r="X2996" s="44">
        <f>IF(Mecze[[#This Row],[Role]]&lt;&gt;"BR",SUMPRODUCT(Mecze[[#This Row],[/PR:90]:[/BR:90]],Brudnopis!$E$28:$J$28),0)</f>
        <v>6.25E-2</v>
      </c>
      <c r="Y2996" s="35">
        <f>IF(Mecze[[#This Row],[Role]]="BR",Mecze[[#This Row],[/OB:90]]+Mecze[[#This Row],[/PC:90]],SUM(Mecze[[#This Row],[/PR:90]:[/BR:90]]))</f>
        <v>0.1875</v>
      </c>
      <c r="Z2996" s="35">
        <f>IF(Mecze[[#This Row],[KC]]=0,SUM(Mecze[[#This Row],[/BRI]:[/NPI]]),SUM(Mecze[[#This Row],[/BRI]:[/NPI]])*0.6)</f>
        <v>0.88020833333333337</v>
      </c>
      <c r="AA2996" s="10">
        <f>IFERROR(Mecze[[#This Row],[BR]]/Mecze[[#This Row],[ST]],0)</f>
        <v>0</v>
      </c>
      <c r="AB2996">
        <f>ROUND(Mecze[[#This Row],[PD]]*Mecze[[#This Row],[%PC]],0)</f>
        <v>6</v>
      </c>
      <c r="AC2996">
        <f>ROUND(Mecze[[#This Row],[OD]]*Mecze[[#This Row],[%OU]],0)</f>
        <v>7</v>
      </c>
      <c r="AD2996" s="36" t="s">
        <v>67</v>
      </c>
      <c r="AE2996" s="36">
        <v>168</v>
      </c>
      <c r="AF2996" s="71">
        <v>4.97</v>
      </c>
      <c r="AG2996" s="37">
        <v>0</v>
      </c>
      <c r="AH2996" s="37">
        <v>0</v>
      </c>
      <c r="AI2996" s="37">
        <v>96</v>
      </c>
      <c r="AJ2996" s="37">
        <v>7</v>
      </c>
      <c r="AK2996" s="37" t="str">
        <f>VLOOKUP(Mecze[[#This Row],[Match ID]],Meczusie[Mecz]:Meczusie[RodzajMeczu],2,FALSE)</f>
        <v>Liga</v>
      </c>
    </row>
    <row r="2997" spans="1:37" x14ac:dyDescent="0.25">
      <c r="A2997" s="76">
        <v>70</v>
      </c>
      <c r="B2997" s="3" t="s">
        <v>341</v>
      </c>
      <c r="C2997" s="2" t="s">
        <v>160</v>
      </c>
      <c r="D2997" s="1">
        <v>0</v>
      </c>
      <c r="E2997" s="1">
        <v>0</v>
      </c>
      <c r="F2997" s="1">
        <v>0</v>
      </c>
      <c r="G2997" s="1">
        <v>8</v>
      </c>
      <c r="H2997" s="4">
        <v>1</v>
      </c>
      <c r="I2997" s="1">
        <v>1</v>
      </c>
      <c r="J2997" s="4">
        <v>0</v>
      </c>
      <c r="K2997" s="1">
        <v>0</v>
      </c>
      <c r="L2997" s="1">
        <v>0</v>
      </c>
      <c r="M2997" s="32">
        <f>IF(Mecze[[#This Row],[PR]]=0,0,Mecze[[#This Row],[PR]]/Mecze[[#This Row],[CZAS]])</f>
        <v>0</v>
      </c>
      <c r="N2997" s="32">
        <f>IF(Mecze[[#This Row],[OU]]=0,0,Mecze[[#This Row],[OU]]/Mecze[[#This Row],[CZAS]])</f>
        <v>0</v>
      </c>
      <c r="O2997" s="32">
        <f>IF(Mecze[[#This Row],[PC]]=0,0,Mecze[[#This Row],[PC]]/Mecze[[#This Row],[CZAS]])</f>
        <v>0.1038961038961039</v>
      </c>
      <c r="P2997" s="32">
        <f>IF(Mecze[[#This Row],[SC]]=0,0,Mecze[[#This Row],[SC]]/Mecze[[#This Row],[CZAS]])</f>
        <v>0</v>
      </c>
      <c r="Q2997" s="32">
        <f>IF(Mecze[[#This Row],[OB]]=0,0,Mecze[[#This Row],[OB]]/Mecze[[#This Row],[CZAS]])</f>
        <v>0</v>
      </c>
      <c r="R2997" s="32">
        <f>IF(Mecze[[#This Row],[BR]]=0,0,Mecze[[#This Row],[BR]]/Mecze[[#This Row],[CZAS]])</f>
        <v>0</v>
      </c>
      <c r="S2997" s="44">
        <f>IF(Mecze[[#This Row],[Role]]="BR",SUMPRODUCT(Mecze[[#This Row],[/PR:90]:[/BR:90]],Brudnopis!$E$23:$J$23),0)</f>
        <v>0</v>
      </c>
      <c r="T2997" s="44">
        <f>IF(Mecze[[#This Row],[Role]]&lt;&gt;"BR",SUMPRODUCT(Mecze[[#This Row],[/PR:90]:[/BR:90]],Brudnopis!$E$24:$J$24),0)</f>
        <v>0.1038961038961039</v>
      </c>
      <c r="U2997" s="44">
        <f>IF(Mecze[[#This Row],[Role]]&lt;&gt;"BR",SUMPRODUCT(Mecze[[#This Row],[/PR:90]:[/BR:90]],Brudnopis!$E$25:$J$25),0)</f>
        <v>0.15584415584415584</v>
      </c>
      <c r="V2997" s="44">
        <f>IF(Mecze[[#This Row],[Role]]&lt;&gt;"BR",SUMPRODUCT(Mecze[[#This Row],[/PR:90]:[/BR:90]],Brudnopis!$E$26:$J$26),0)</f>
        <v>0.1038961038961039</v>
      </c>
      <c r="W2997" s="44">
        <f>IF(Mecze[[#This Row],[Role]]&lt;&gt;"BR",SUMPRODUCT(Mecze[[#This Row],[/PR:90]:[/BR:90]],Brudnopis!$E$27:$J$27),0)</f>
        <v>0.15584415584415584</v>
      </c>
      <c r="X2997" s="44">
        <f>IF(Mecze[[#This Row],[Role]]&lt;&gt;"BR",SUMPRODUCT(Mecze[[#This Row],[/PR:90]:[/BR:90]],Brudnopis!$E$28:$J$28),0)</f>
        <v>0.1038961038961039</v>
      </c>
      <c r="Y2997" s="35">
        <f>IF(Mecze[[#This Row],[Role]]="BR",Mecze[[#This Row],[/OB:90]]+Mecze[[#This Row],[/PC:90]],SUM(Mecze[[#This Row],[/PR:90]:[/BR:90]]))</f>
        <v>0.1038961038961039</v>
      </c>
      <c r="Z2997" s="35">
        <f>IF(Mecze[[#This Row],[KC]]=0,SUM(Mecze[[#This Row],[/BRI]:[/NPI]]),SUM(Mecze[[#This Row],[/BRI]:[/NPI]])*0.6)</f>
        <v>0.62337662337662336</v>
      </c>
      <c r="AA2997" s="10">
        <f>IFERROR(Mecze[[#This Row],[BR]]/Mecze[[#This Row],[ST]],0)</f>
        <v>0</v>
      </c>
      <c r="AB2997">
        <f>ROUND(Mecze[[#This Row],[PD]]*Mecze[[#This Row],[%PC]],0)</f>
        <v>8</v>
      </c>
      <c r="AC2997">
        <f>ROUND(Mecze[[#This Row],[OD]]*Mecze[[#This Row],[%OU]],0)</f>
        <v>0</v>
      </c>
      <c r="AD2997" s="36" t="s">
        <v>299</v>
      </c>
      <c r="AE2997" s="36">
        <v>168</v>
      </c>
      <c r="AF2997" s="71">
        <v>7.25</v>
      </c>
      <c r="AG2997" s="37">
        <v>0</v>
      </c>
      <c r="AH2997" s="37">
        <v>0</v>
      </c>
      <c r="AI2997" s="37">
        <v>77</v>
      </c>
      <c r="AJ2997" s="37">
        <v>7</v>
      </c>
      <c r="AK2997" s="37" t="str">
        <f>VLOOKUP(Mecze[[#This Row],[Match ID]],Meczusie[Mecz]:Meczusie[RodzajMeczu],2,FALSE)</f>
        <v>Liga</v>
      </c>
    </row>
    <row r="2998" spans="1:37" x14ac:dyDescent="0.25">
      <c r="A2998" s="76">
        <v>203</v>
      </c>
      <c r="B2998" s="3" t="s">
        <v>342</v>
      </c>
      <c r="C2998" s="2" t="s">
        <v>165</v>
      </c>
      <c r="D2998" s="1">
        <v>3</v>
      </c>
      <c r="E2998" s="1">
        <v>8</v>
      </c>
      <c r="F2998" s="1">
        <v>7</v>
      </c>
      <c r="G2998" s="1">
        <v>1</v>
      </c>
      <c r="H2998" s="4">
        <v>1</v>
      </c>
      <c r="I2998" s="1">
        <v>2</v>
      </c>
      <c r="J2998" s="4">
        <v>0.5</v>
      </c>
      <c r="K2998" s="1">
        <v>0</v>
      </c>
      <c r="L2998" s="1">
        <v>1</v>
      </c>
      <c r="M2998" s="32">
        <f>IF(Mecze[[#This Row],[PR]]=0,0,Mecze[[#This Row],[PR]]/Mecze[[#This Row],[CZAS]])</f>
        <v>1.2987012987012988E-2</v>
      </c>
      <c r="N2998" s="32">
        <f>IF(Mecze[[#This Row],[OU]]=0,0,Mecze[[#This Row],[OU]]/Mecze[[#This Row],[CZAS]])</f>
        <v>1.2987012987012988E-2</v>
      </c>
      <c r="O2998" s="32">
        <f>IF(Mecze[[#This Row],[PC]]=0,0,Mecze[[#This Row],[PC]]/Mecze[[#This Row],[CZAS]])</f>
        <v>1.2987012987012988E-2</v>
      </c>
      <c r="P2998" s="32">
        <f>IF(Mecze[[#This Row],[SC]]=0,0,Mecze[[#This Row],[SC]]/Mecze[[#This Row],[CZAS]])</f>
        <v>9.0909090909090912E-2</v>
      </c>
      <c r="Q2998" s="32">
        <f>IF(Mecze[[#This Row],[OB]]=0,0,Mecze[[#This Row],[OB]]/Mecze[[#This Row],[CZAS]])</f>
        <v>0</v>
      </c>
      <c r="R2998" s="32">
        <f>IF(Mecze[[#This Row],[BR]]=0,0,Mecze[[#This Row],[BR]]/Mecze[[#This Row],[CZAS]])</f>
        <v>3.896103896103896E-2</v>
      </c>
      <c r="S2998" s="44">
        <f>IF(Mecze[[#This Row],[Role]]="BR",SUMPRODUCT(Mecze[[#This Row],[/PR:90]:[/BR:90]],Brudnopis!$E$23:$J$23),0)</f>
        <v>0</v>
      </c>
      <c r="T2998" s="44">
        <f>IF(Mecze[[#This Row],[Role]]&lt;&gt;"BR",SUMPRODUCT(Mecze[[#This Row],[/PR:90]:[/BR:90]],Brudnopis!$E$24:$J$24),0)</f>
        <v>0.19480519480519479</v>
      </c>
      <c r="U2998" s="44">
        <f>IF(Mecze[[#This Row],[Role]]&lt;&gt;"BR",SUMPRODUCT(Mecze[[#This Row],[/PR:90]:[/BR:90]],Brudnopis!$E$25:$J$25),0)</f>
        <v>0.19480519480519479</v>
      </c>
      <c r="V2998" s="44">
        <f>IF(Mecze[[#This Row],[Role]]&lt;&gt;"BR",SUMPRODUCT(Mecze[[#This Row],[/PR:90]:[/BR:90]],Brudnopis!$E$26:$J$26),0)</f>
        <v>0.20779220779220778</v>
      </c>
      <c r="W2998" s="44">
        <f>IF(Mecze[[#This Row],[Role]]&lt;&gt;"BR",SUMPRODUCT(Mecze[[#This Row],[/PR:90]:[/BR:90]],Brudnopis!$E$27:$J$27),0)</f>
        <v>0.20779220779220778</v>
      </c>
      <c r="X2998" s="44">
        <f>IF(Mecze[[#This Row],[Role]]&lt;&gt;"BR",SUMPRODUCT(Mecze[[#This Row],[/PR:90]:[/BR:90]],Brudnopis!$E$28:$J$28),0)</f>
        <v>0.31168831168831168</v>
      </c>
      <c r="Y2998" s="35">
        <f>IF(Mecze[[#This Row],[Role]]="BR",Mecze[[#This Row],[/OB:90]]+Mecze[[#This Row],[/PC:90]],SUM(Mecze[[#This Row],[/PR:90]:[/BR:90]]))</f>
        <v>0.16883116883116883</v>
      </c>
      <c r="Z2998" s="35">
        <f>IF(Mecze[[#This Row],[KC]]=0,SUM(Mecze[[#This Row],[/BRI]:[/NPI]]),SUM(Mecze[[#This Row],[/BRI]:[/NPI]])*0.6)</f>
        <v>1.1168831168831168</v>
      </c>
      <c r="AA2998" s="10">
        <f>IFERROR(Mecze[[#This Row],[BR]]/Mecze[[#This Row],[ST]],0)</f>
        <v>0.375</v>
      </c>
      <c r="AB2998">
        <f>ROUND(Mecze[[#This Row],[PD]]*Mecze[[#This Row],[%PC]],0)</f>
        <v>1</v>
      </c>
      <c r="AC2998">
        <f>ROUND(Mecze[[#This Row],[OD]]*Mecze[[#This Row],[%OU]],0)</f>
        <v>1</v>
      </c>
      <c r="AD2998" s="36" t="s">
        <v>46</v>
      </c>
      <c r="AE2998" s="36">
        <v>168</v>
      </c>
      <c r="AF2998" s="71">
        <v>12.37</v>
      </c>
      <c r="AG2998" s="37">
        <v>0</v>
      </c>
      <c r="AH2998" s="37">
        <v>0</v>
      </c>
      <c r="AI2998" s="37">
        <v>77</v>
      </c>
      <c r="AJ2998" s="37">
        <v>7</v>
      </c>
      <c r="AK2998" s="37" t="str">
        <f>VLOOKUP(Mecze[[#This Row],[Match ID]],Meczusie[Mecz]:Meczusie[RodzajMeczu],2,FALSE)</f>
        <v>Liga</v>
      </c>
    </row>
    <row r="2999" spans="1:37" x14ac:dyDescent="0.25">
      <c r="A2999" s="76">
        <v>104</v>
      </c>
      <c r="B2999" s="3" t="s">
        <v>343</v>
      </c>
      <c r="C2999" s="2" t="s">
        <v>165</v>
      </c>
      <c r="D2999" s="1">
        <v>0</v>
      </c>
      <c r="E2999" s="1">
        <v>0</v>
      </c>
      <c r="F2999" s="1">
        <v>0</v>
      </c>
      <c r="G2999" s="1">
        <v>20</v>
      </c>
      <c r="H2999" s="4">
        <v>0.6</v>
      </c>
      <c r="I2999" s="1">
        <v>5</v>
      </c>
      <c r="J2999" s="4">
        <v>0.2</v>
      </c>
      <c r="K2999" s="1">
        <v>0</v>
      </c>
      <c r="L2999" s="1">
        <v>0</v>
      </c>
      <c r="M2999" s="32">
        <f>IF(Mecze[[#This Row],[PR]]=0,0,Mecze[[#This Row],[PR]]/Mecze[[#This Row],[CZAS]])</f>
        <v>0</v>
      </c>
      <c r="N2999" s="32">
        <f>IF(Mecze[[#This Row],[OU]]=0,0,Mecze[[#This Row],[OU]]/Mecze[[#This Row],[CZAS]])</f>
        <v>1.0416666666666666E-2</v>
      </c>
      <c r="O2999" s="32">
        <f>IF(Mecze[[#This Row],[PC]]=0,0,Mecze[[#This Row],[PC]]/Mecze[[#This Row],[CZAS]])</f>
        <v>0.125</v>
      </c>
      <c r="P2999" s="32">
        <f>IF(Mecze[[#This Row],[SC]]=0,0,Mecze[[#This Row],[SC]]/Mecze[[#This Row],[CZAS]])</f>
        <v>0</v>
      </c>
      <c r="Q2999" s="32">
        <f>IF(Mecze[[#This Row],[OB]]=0,0,Mecze[[#This Row],[OB]]/Mecze[[#This Row],[CZAS]])</f>
        <v>0</v>
      </c>
      <c r="R2999" s="32">
        <f>IF(Mecze[[#This Row],[BR]]=0,0,Mecze[[#This Row],[BR]]/Mecze[[#This Row],[CZAS]])</f>
        <v>0</v>
      </c>
      <c r="S2999" s="44">
        <f>IF(Mecze[[#This Row],[Role]]="BR",SUMPRODUCT(Mecze[[#This Row],[/PR:90]:[/BR:90]],Brudnopis!$E$23:$J$23),0)</f>
        <v>0</v>
      </c>
      <c r="T2999" s="44">
        <f>IF(Mecze[[#This Row],[Role]]&lt;&gt;"BR",SUMPRODUCT(Mecze[[#This Row],[/PR:90]:[/BR:90]],Brudnopis!$E$24:$J$24),0)</f>
        <v>0.140625</v>
      </c>
      <c r="U2999" s="44">
        <f>IF(Mecze[[#This Row],[Role]]&lt;&gt;"BR",SUMPRODUCT(Mecze[[#This Row],[/PR:90]:[/BR:90]],Brudnopis!$E$25:$J$25),0)</f>
        <v>0.19791666666666666</v>
      </c>
      <c r="V2999" s="44">
        <f>IF(Mecze[[#This Row],[Role]]&lt;&gt;"BR",SUMPRODUCT(Mecze[[#This Row],[/PR:90]:[/BR:90]],Brudnopis!$E$26:$J$26),0)</f>
        <v>0.13541666666666666</v>
      </c>
      <c r="W2999" s="44">
        <f>IF(Mecze[[#This Row],[Role]]&lt;&gt;"BR",SUMPRODUCT(Mecze[[#This Row],[/PR:90]:[/BR:90]],Brudnopis!$E$27:$J$27),0)</f>
        <v>0.1953125</v>
      </c>
      <c r="X2999" s="44">
        <f>IF(Mecze[[#This Row],[Role]]&lt;&gt;"BR",SUMPRODUCT(Mecze[[#This Row],[/PR:90]:[/BR:90]],Brudnopis!$E$28:$J$28),0)</f>
        <v>0.125</v>
      </c>
      <c r="Y2999" s="35">
        <f>IF(Mecze[[#This Row],[Role]]="BR",Mecze[[#This Row],[/OB:90]]+Mecze[[#This Row],[/PC:90]],SUM(Mecze[[#This Row],[/PR:90]:[/BR:90]]))</f>
        <v>0.13541666666666666</v>
      </c>
      <c r="Z2999" s="35">
        <f>IF(Mecze[[#This Row],[KC]]=0,SUM(Mecze[[#This Row],[/BRI]:[/NPI]]),SUM(Mecze[[#This Row],[/BRI]:[/NPI]])*0.6)</f>
        <v>0.79427083333333326</v>
      </c>
      <c r="AA2999" s="10">
        <f>IFERROR(Mecze[[#This Row],[BR]]/Mecze[[#This Row],[ST]],0)</f>
        <v>0</v>
      </c>
      <c r="AB2999">
        <f>ROUND(Mecze[[#This Row],[PD]]*Mecze[[#This Row],[%PC]],0)</f>
        <v>12</v>
      </c>
      <c r="AC2999">
        <f>ROUND(Mecze[[#This Row],[OD]]*Mecze[[#This Row],[%OU]],0)</f>
        <v>1</v>
      </c>
      <c r="AD2999" s="36" t="s">
        <v>355</v>
      </c>
      <c r="AE2999" s="36">
        <v>168</v>
      </c>
      <c r="AF2999" s="71">
        <v>5.26</v>
      </c>
      <c r="AG2999" s="37">
        <v>0</v>
      </c>
      <c r="AH2999" s="37">
        <v>0</v>
      </c>
      <c r="AI2999" s="37">
        <v>96</v>
      </c>
      <c r="AJ2999" s="37">
        <v>7</v>
      </c>
      <c r="AK2999" s="37" t="str">
        <f>VLOOKUP(Mecze[[#This Row],[Match ID]],Meczusie[Mecz]:Meczusie[RodzajMeczu],2,FALSE)</f>
        <v>Liga</v>
      </c>
    </row>
    <row r="3000" spans="1:37" x14ac:dyDescent="0.25">
      <c r="A3000" s="76">
        <v>201</v>
      </c>
      <c r="B3000" s="3" t="s">
        <v>456</v>
      </c>
      <c r="C3000" s="2" t="s">
        <v>165</v>
      </c>
      <c r="D3000" s="1">
        <v>0</v>
      </c>
      <c r="E3000" s="1">
        <v>1</v>
      </c>
      <c r="F3000" s="1">
        <v>0</v>
      </c>
      <c r="G3000" s="1">
        <v>1</v>
      </c>
      <c r="H3000" s="4">
        <v>1</v>
      </c>
      <c r="I3000" s="1">
        <v>0</v>
      </c>
      <c r="J3000" s="4"/>
      <c r="K3000" s="1">
        <v>0</v>
      </c>
      <c r="L3000" s="1">
        <v>0</v>
      </c>
      <c r="M3000" s="32">
        <f>IF(Mecze[[#This Row],[PR]]=0,0,Mecze[[#This Row],[PR]]/Mecze[[#This Row],[CZAS]])</f>
        <v>0</v>
      </c>
      <c r="N3000" s="32">
        <f>IF(Mecze[[#This Row],[OU]]=0,0,Mecze[[#This Row],[OU]]/Mecze[[#This Row],[CZAS]])</f>
        <v>0</v>
      </c>
      <c r="O3000" s="32">
        <f>IF(Mecze[[#This Row],[PC]]=0,0,Mecze[[#This Row],[PC]]/Mecze[[#This Row],[CZAS]])</f>
        <v>5.2631578947368418E-2</v>
      </c>
      <c r="P3000" s="32">
        <f>IF(Mecze[[#This Row],[SC]]=0,0,Mecze[[#This Row],[SC]]/Mecze[[#This Row],[CZAS]])</f>
        <v>0</v>
      </c>
      <c r="Q3000" s="32">
        <f>IF(Mecze[[#This Row],[OB]]=0,0,Mecze[[#This Row],[OB]]/Mecze[[#This Row],[CZAS]])</f>
        <v>0</v>
      </c>
      <c r="R3000" s="32">
        <f>IF(Mecze[[#This Row],[BR]]=0,0,Mecze[[#This Row],[BR]]/Mecze[[#This Row],[CZAS]])</f>
        <v>0</v>
      </c>
      <c r="S3000" s="44">
        <f>IF(Mecze[[#This Row],[Role]]="BR",SUMPRODUCT(Mecze[[#This Row],[/PR:90]:[/BR:90]],Brudnopis!$E$23:$J$23),0)</f>
        <v>0</v>
      </c>
      <c r="T3000" s="44">
        <f>IF(Mecze[[#This Row],[Role]]&lt;&gt;"BR",SUMPRODUCT(Mecze[[#This Row],[/PR:90]:[/BR:90]],Brudnopis!$E$24:$J$24),0)</f>
        <v>5.2631578947368418E-2</v>
      </c>
      <c r="U3000" s="44">
        <f>IF(Mecze[[#This Row],[Role]]&lt;&gt;"BR",SUMPRODUCT(Mecze[[#This Row],[/PR:90]:[/BR:90]],Brudnopis!$E$25:$J$25),0)</f>
        <v>7.8947368421052627E-2</v>
      </c>
      <c r="V3000" s="44">
        <f>IF(Mecze[[#This Row],[Role]]&lt;&gt;"BR",SUMPRODUCT(Mecze[[#This Row],[/PR:90]:[/BR:90]],Brudnopis!$E$26:$J$26),0)</f>
        <v>5.2631578947368418E-2</v>
      </c>
      <c r="W3000" s="44">
        <f>IF(Mecze[[#This Row],[Role]]&lt;&gt;"BR",SUMPRODUCT(Mecze[[#This Row],[/PR:90]:[/BR:90]],Brudnopis!$E$27:$J$27),0)</f>
        <v>7.8947368421052627E-2</v>
      </c>
      <c r="X3000" s="44">
        <f>IF(Mecze[[#This Row],[Role]]&lt;&gt;"BR",SUMPRODUCT(Mecze[[#This Row],[/PR:90]:[/BR:90]],Brudnopis!$E$28:$J$28),0)</f>
        <v>5.2631578947368418E-2</v>
      </c>
      <c r="Y3000" s="35">
        <f>IF(Mecze[[#This Row],[Role]]="BR",Mecze[[#This Row],[/OB:90]]+Mecze[[#This Row],[/PC:90]],SUM(Mecze[[#This Row],[/PR:90]:[/BR:90]]))</f>
        <v>5.2631578947368418E-2</v>
      </c>
      <c r="Z3000" s="35">
        <f>IF(Mecze[[#This Row],[KC]]=0,SUM(Mecze[[#This Row],[/BRI]:[/NPI]]),SUM(Mecze[[#This Row],[/BRI]:[/NPI]])*0.6)</f>
        <v>0.31578947368421051</v>
      </c>
      <c r="AA3000" s="10">
        <f>IFERROR(Mecze[[#This Row],[BR]]/Mecze[[#This Row],[ST]],0)</f>
        <v>0</v>
      </c>
      <c r="AB3000">
        <f>ROUND(Mecze[[#This Row],[PD]]*Mecze[[#This Row],[%PC]],0)</f>
        <v>1</v>
      </c>
      <c r="AC3000">
        <f>ROUND(Mecze[[#This Row],[OD]]*Mecze[[#This Row],[%OU]],0)</f>
        <v>0</v>
      </c>
      <c r="AD3000" s="36" t="s">
        <v>46</v>
      </c>
      <c r="AE3000" s="36">
        <v>168</v>
      </c>
      <c r="AF3000" s="71">
        <v>1.72</v>
      </c>
      <c r="AG3000" s="37">
        <v>0</v>
      </c>
      <c r="AH3000" s="37">
        <v>0</v>
      </c>
      <c r="AI3000" s="37">
        <v>19</v>
      </c>
      <c r="AJ3000" s="37">
        <v>7</v>
      </c>
      <c r="AK3000" s="37" t="str">
        <f>VLOOKUP(Mecze[[#This Row],[Match ID]],Meczusie[Mecz]:Meczusie[RodzajMeczu],2,FALSE)</f>
        <v>Liga</v>
      </c>
    </row>
    <row r="3001" spans="1:37" x14ac:dyDescent="0.25">
      <c r="A3001" s="76">
        <v>101</v>
      </c>
      <c r="B3001" s="3" t="s">
        <v>444</v>
      </c>
      <c r="C3001" s="2" t="s">
        <v>160</v>
      </c>
      <c r="D3001" s="1">
        <v>0</v>
      </c>
      <c r="E3001" s="1">
        <v>0</v>
      </c>
      <c r="F3001" s="1">
        <v>0</v>
      </c>
      <c r="G3001" s="1">
        <v>2</v>
      </c>
      <c r="H3001" s="4">
        <v>1</v>
      </c>
      <c r="I3001" s="1">
        <v>0</v>
      </c>
      <c r="J3001" s="4"/>
      <c r="K3001" s="1">
        <v>0</v>
      </c>
      <c r="L3001" s="1">
        <v>0</v>
      </c>
      <c r="M3001" s="32">
        <f>IF(Mecze[[#This Row],[PR]]=0,0,Mecze[[#This Row],[PR]]/Mecze[[#This Row],[CZAS]])</f>
        <v>0</v>
      </c>
      <c r="N3001" s="32">
        <f>IF(Mecze[[#This Row],[OU]]=0,0,Mecze[[#This Row],[OU]]/Mecze[[#This Row],[CZAS]])</f>
        <v>0</v>
      </c>
      <c r="O3001" s="32">
        <f>IF(Mecze[[#This Row],[PC]]=0,0,Mecze[[#This Row],[PC]]/Mecze[[#This Row],[CZAS]])</f>
        <v>0.10526315789473684</v>
      </c>
      <c r="P3001" s="32">
        <f>IF(Mecze[[#This Row],[SC]]=0,0,Mecze[[#This Row],[SC]]/Mecze[[#This Row],[CZAS]])</f>
        <v>0</v>
      </c>
      <c r="Q3001" s="32">
        <f>IF(Mecze[[#This Row],[OB]]=0,0,Mecze[[#This Row],[OB]]/Mecze[[#This Row],[CZAS]])</f>
        <v>0</v>
      </c>
      <c r="R3001" s="32">
        <f>IF(Mecze[[#This Row],[BR]]=0,0,Mecze[[#This Row],[BR]]/Mecze[[#This Row],[CZAS]])</f>
        <v>0</v>
      </c>
      <c r="S3001" s="44">
        <f>IF(Mecze[[#This Row],[Role]]="BR",SUMPRODUCT(Mecze[[#This Row],[/PR:90]:[/BR:90]],Brudnopis!$E$23:$J$23),0)</f>
        <v>0</v>
      </c>
      <c r="T3001" s="44">
        <f>IF(Mecze[[#This Row],[Role]]&lt;&gt;"BR",SUMPRODUCT(Mecze[[#This Row],[/PR:90]:[/BR:90]],Brudnopis!$E$24:$J$24),0)</f>
        <v>0.10526315789473684</v>
      </c>
      <c r="U3001" s="44">
        <f>IF(Mecze[[#This Row],[Role]]&lt;&gt;"BR",SUMPRODUCT(Mecze[[#This Row],[/PR:90]:[/BR:90]],Brudnopis!$E$25:$J$25),0)</f>
        <v>0.15789473684210525</v>
      </c>
      <c r="V3001" s="44">
        <f>IF(Mecze[[#This Row],[Role]]&lt;&gt;"BR",SUMPRODUCT(Mecze[[#This Row],[/PR:90]:[/BR:90]],Brudnopis!$E$26:$J$26),0)</f>
        <v>0.10526315789473684</v>
      </c>
      <c r="W3001" s="44">
        <f>IF(Mecze[[#This Row],[Role]]&lt;&gt;"BR",SUMPRODUCT(Mecze[[#This Row],[/PR:90]:[/BR:90]],Brudnopis!$E$27:$J$27),0)</f>
        <v>0.15789473684210525</v>
      </c>
      <c r="X3001" s="44">
        <f>IF(Mecze[[#This Row],[Role]]&lt;&gt;"BR",SUMPRODUCT(Mecze[[#This Row],[/PR:90]:[/BR:90]],Brudnopis!$E$28:$J$28),0)</f>
        <v>0.10526315789473684</v>
      </c>
      <c r="Y3001" s="35">
        <f>IF(Mecze[[#This Row],[Role]]="BR",Mecze[[#This Row],[/OB:90]]+Mecze[[#This Row],[/PC:90]],SUM(Mecze[[#This Row],[/PR:90]:[/BR:90]]))</f>
        <v>0.10526315789473684</v>
      </c>
      <c r="Z3001" s="35">
        <f>IF(Mecze[[#This Row],[KC]]=0,SUM(Mecze[[#This Row],[/BRI]:[/NPI]]),SUM(Mecze[[#This Row],[/BRI]:[/NPI]])*0.6)</f>
        <v>0.63157894736842102</v>
      </c>
      <c r="AA3001" s="10">
        <f>IFERROR(Mecze[[#This Row],[BR]]/Mecze[[#This Row],[ST]],0)</f>
        <v>0</v>
      </c>
      <c r="AB3001">
        <f>ROUND(Mecze[[#This Row],[PD]]*Mecze[[#This Row],[%PC]],0)</f>
        <v>2</v>
      </c>
      <c r="AC3001">
        <f>ROUND(Mecze[[#This Row],[OD]]*Mecze[[#This Row],[%OU]],0)</f>
        <v>0</v>
      </c>
      <c r="AD3001" s="36" t="s">
        <v>299</v>
      </c>
      <c r="AE3001" s="36">
        <v>168</v>
      </c>
      <c r="AF3001" s="71">
        <v>1.72</v>
      </c>
      <c r="AG3001" s="37">
        <v>0</v>
      </c>
      <c r="AH3001" s="37">
        <v>0</v>
      </c>
      <c r="AI3001" s="37">
        <v>19</v>
      </c>
      <c r="AJ3001" s="37">
        <v>7</v>
      </c>
      <c r="AK3001" s="37" t="str">
        <f>VLOOKUP(Mecze[[#This Row],[Match ID]],Meczusie[Mecz]:Meczusie[RodzajMeczu],2,FALSE)</f>
        <v>Liga</v>
      </c>
    </row>
    <row r="3002" spans="1:37" x14ac:dyDescent="0.25">
      <c r="A3002" s="76">
        <v>1</v>
      </c>
      <c r="B3002" s="3" t="s">
        <v>274</v>
      </c>
      <c r="C3002" s="2" t="s">
        <v>155</v>
      </c>
      <c r="D3002" s="1">
        <v>0</v>
      </c>
      <c r="E3002" s="1">
        <v>0</v>
      </c>
      <c r="F3002" s="1">
        <v>0</v>
      </c>
      <c r="G3002" s="1">
        <v>4</v>
      </c>
      <c r="H3002" s="4">
        <v>0.75</v>
      </c>
      <c r="I3002" s="1">
        <v>0</v>
      </c>
      <c r="J3002" s="4"/>
      <c r="K3002" s="1">
        <v>4</v>
      </c>
      <c r="L3002" s="1">
        <v>0</v>
      </c>
      <c r="M3002" s="32">
        <f>IF(Mecze[[#This Row],[PR]]=0,0,Mecze[[#This Row],[PR]]/Mecze[[#This Row],[CZAS]])</f>
        <v>0</v>
      </c>
      <c r="N3002" s="32">
        <f>IF(Mecze[[#This Row],[OU]]=0,0,Mecze[[#This Row],[OU]]/Mecze[[#This Row],[CZAS]])</f>
        <v>0</v>
      </c>
      <c r="O3002" s="32">
        <f>IF(Mecze[[#This Row],[PC]]=0,0,Mecze[[#This Row],[PC]]/Mecze[[#This Row],[CZAS]])</f>
        <v>3.125E-2</v>
      </c>
      <c r="P3002" s="32">
        <f>IF(Mecze[[#This Row],[SC]]=0,0,Mecze[[#This Row],[SC]]/Mecze[[#This Row],[CZAS]])</f>
        <v>0</v>
      </c>
      <c r="Q3002" s="32">
        <f>IF(Mecze[[#This Row],[OB]]=0,0,Mecze[[#This Row],[OB]]/Mecze[[#This Row],[CZAS]])</f>
        <v>4.1666666666666664E-2</v>
      </c>
      <c r="R3002" s="32">
        <f>IF(Mecze[[#This Row],[BR]]=0,0,Mecze[[#This Row],[BR]]/Mecze[[#This Row],[CZAS]])</f>
        <v>0</v>
      </c>
      <c r="S3002" s="44">
        <f>IF(Mecze[[#This Row],[Role]]="BR",SUMPRODUCT(Mecze[[#This Row],[/PR:90]:[/BR:90]],Brudnopis!$E$23:$J$23),0)</f>
        <v>0.21875</v>
      </c>
      <c r="T3002" s="44">
        <f>IF(Mecze[[#This Row],[Role]]&lt;&gt;"BR",SUMPRODUCT(Mecze[[#This Row],[/PR:90]:[/BR:90]],Brudnopis!$E$24:$J$24),0)</f>
        <v>0</v>
      </c>
      <c r="U3002" s="44">
        <f>IF(Mecze[[#This Row],[Role]]&lt;&gt;"BR",SUMPRODUCT(Mecze[[#This Row],[/PR:90]:[/BR:90]],Brudnopis!$E$25:$J$25),0)</f>
        <v>0</v>
      </c>
      <c r="V3002" s="44">
        <f>IF(Mecze[[#This Row],[Role]]&lt;&gt;"BR",SUMPRODUCT(Mecze[[#This Row],[/PR:90]:[/BR:90]],Brudnopis!$E$26:$J$26),0)</f>
        <v>0</v>
      </c>
      <c r="W3002" s="44">
        <f>IF(Mecze[[#This Row],[Role]]&lt;&gt;"BR",SUMPRODUCT(Mecze[[#This Row],[/PR:90]:[/BR:90]],Brudnopis!$E$27:$J$27),0)</f>
        <v>0</v>
      </c>
      <c r="X3002" s="44">
        <f>IF(Mecze[[#This Row],[Role]]&lt;&gt;"BR",SUMPRODUCT(Mecze[[#This Row],[/PR:90]:[/BR:90]],Brudnopis!$E$28:$J$28),0)</f>
        <v>0</v>
      </c>
      <c r="Y3002" s="35">
        <f>IF(Mecze[[#This Row],[Role]]="BR",Mecze[[#This Row],[/OB:90]]+Mecze[[#This Row],[/PC:90]],SUM(Mecze[[#This Row],[/PR:90]:[/BR:90]]))</f>
        <v>7.2916666666666657E-2</v>
      </c>
      <c r="Z3002" s="35">
        <f>IF(Mecze[[#This Row],[KC]]=0,SUM(Mecze[[#This Row],[/BRI]:[/NPI]]),SUM(Mecze[[#This Row],[/BRI]:[/NPI]])*0.6)</f>
        <v>0.21875</v>
      </c>
      <c r="AA3002" s="10">
        <f>IFERROR(Mecze[[#This Row],[BR]]/Mecze[[#This Row],[ST]],0)</f>
        <v>0</v>
      </c>
      <c r="AB3002">
        <f>ROUND(Mecze[[#This Row],[PD]]*Mecze[[#This Row],[%PC]],0)</f>
        <v>3</v>
      </c>
      <c r="AC3002">
        <f>ROUND(Mecze[[#This Row],[OD]]*Mecze[[#This Row],[%OU]],0)</f>
        <v>0</v>
      </c>
      <c r="AD3002" s="36" t="s">
        <v>40</v>
      </c>
      <c r="AE3002" s="36">
        <v>168</v>
      </c>
      <c r="AF3002" s="71">
        <v>2.99</v>
      </c>
      <c r="AG3002" s="37">
        <v>0</v>
      </c>
      <c r="AH3002" s="37">
        <v>0</v>
      </c>
      <c r="AI3002" s="37">
        <v>96</v>
      </c>
      <c r="AJ3002" s="37">
        <v>4</v>
      </c>
      <c r="AK3002" s="37" t="str">
        <f>VLOOKUP(Mecze[[#This Row],[Match ID]],Meczusie[Mecz]:Meczusie[RodzajMeczu],2,FALSE)</f>
        <v>Liga</v>
      </c>
    </row>
    <row r="3003" spans="1:37" x14ac:dyDescent="0.25">
      <c r="A3003" s="76">
        <v>9</v>
      </c>
      <c r="B3003" s="3" t="s">
        <v>275</v>
      </c>
      <c r="C3003" s="2" t="s">
        <v>157</v>
      </c>
      <c r="D3003" s="1">
        <v>0</v>
      </c>
      <c r="E3003" s="1">
        <v>0</v>
      </c>
      <c r="F3003" s="1">
        <v>0</v>
      </c>
      <c r="G3003" s="1">
        <v>4</v>
      </c>
      <c r="H3003" s="4">
        <v>1</v>
      </c>
      <c r="I3003" s="1">
        <v>2</v>
      </c>
      <c r="J3003" s="4">
        <v>1</v>
      </c>
      <c r="K3003" s="1">
        <v>0</v>
      </c>
      <c r="L3003" s="1">
        <v>0</v>
      </c>
      <c r="M3003" s="32">
        <f>IF(Mecze[[#This Row],[PR]]=0,0,Mecze[[#This Row],[PR]]/Mecze[[#This Row],[CZAS]])</f>
        <v>0</v>
      </c>
      <c r="N3003" s="32">
        <f>IF(Mecze[[#This Row],[OU]]=0,0,Mecze[[#This Row],[OU]]/Mecze[[#This Row],[CZAS]])</f>
        <v>2.0833333333333332E-2</v>
      </c>
      <c r="O3003" s="32">
        <f>IF(Mecze[[#This Row],[PC]]=0,0,Mecze[[#This Row],[PC]]/Mecze[[#This Row],[CZAS]])</f>
        <v>4.1666666666666664E-2</v>
      </c>
      <c r="P3003" s="32">
        <f>IF(Mecze[[#This Row],[SC]]=0,0,Mecze[[#This Row],[SC]]/Mecze[[#This Row],[CZAS]])</f>
        <v>0</v>
      </c>
      <c r="Q3003" s="32">
        <f>IF(Mecze[[#This Row],[OB]]=0,0,Mecze[[#This Row],[OB]]/Mecze[[#This Row],[CZAS]])</f>
        <v>0</v>
      </c>
      <c r="R3003" s="32">
        <f>IF(Mecze[[#This Row],[BR]]=0,0,Mecze[[#This Row],[BR]]/Mecze[[#This Row],[CZAS]])</f>
        <v>0</v>
      </c>
      <c r="S3003" s="44">
        <f>IF(Mecze[[#This Row],[Role]]="BR",SUMPRODUCT(Mecze[[#This Row],[/PR:90]:[/BR:90]],Brudnopis!$E$23:$J$23),0)</f>
        <v>0</v>
      </c>
      <c r="T3003" s="44">
        <f>IF(Mecze[[#This Row],[Role]]&lt;&gt;"BR",SUMPRODUCT(Mecze[[#This Row],[/PR:90]:[/BR:90]],Brudnopis!$E$24:$J$24),0)</f>
        <v>7.2916666666666657E-2</v>
      </c>
      <c r="U3003" s="44">
        <f>IF(Mecze[[#This Row],[Role]]&lt;&gt;"BR",SUMPRODUCT(Mecze[[#This Row],[/PR:90]:[/BR:90]],Brudnopis!$E$25:$J$25),0)</f>
        <v>8.3333333333333329E-2</v>
      </c>
      <c r="V3003" s="44">
        <f>IF(Mecze[[#This Row],[Role]]&lt;&gt;"BR",SUMPRODUCT(Mecze[[#This Row],[/PR:90]:[/BR:90]],Brudnopis!$E$26:$J$26),0)</f>
        <v>6.25E-2</v>
      </c>
      <c r="W3003" s="44">
        <f>IF(Mecze[[#This Row],[Role]]&lt;&gt;"BR",SUMPRODUCT(Mecze[[#This Row],[/PR:90]:[/BR:90]],Brudnopis!$E$27:$J$27),0)</f>
        <v>7.8125E-2</v>
      </c>
      <c r="X3003" s="44">
        <f>IF(Mecze[[#This Row],[Role]]&lt;&gt;"BR",SUMPRODUCT(Mecze[[#This Row],[/PR:90]:[/BR:90]],Brudnopis!$E$28:$J$28),0)</f>
        <v>4.1666666666666664E-2</v>
      </c>
      <c r="Y3003" s="35">
        <f>IF(Mecze[[#This Row],[Role]]="BR",Mecze[[#This Row],[/OB:90]]+Mecze[[#This Row],[/PC:90]],SUM(Mecze[[#This Row],[/PR:90]:[/BR:90]]))</f>
        <v>6.25E-2</v>
      </c>
      <c r="Z3003" s="35">
        <f>IF(Mecze[[#This Row],[KC]]=0,SUM(Mecze[[#This Row],[/BRI]:[/NPI]]),SUM(Mecze[[#This Row],[/BRI]:[/NPI]])*0.6)</f>
        <v>0.33854166666666669</v>
      </c>
      <c r="AA3003" s="10">
        <f>IFERROR(Mecze[[#This Row],[BR]]/Mecze[[#This Row],[ST]],0)</f>
        <v>0</v>
      </c>
      <c r="AB3003">
        <f>ROUND(Mecze[[#This Row],[PD]]*Mecze[[#This Row],[%PC]],0)</f>
        <v>4</v>
      </c>
      <c r="AC3003">
        <f>ROUND(Mecze[[#This Row],[OD]]*Mecze[[#This Row],[%OU]],0)</f>
        <v>2</v>
      </c>
      <c r="AD3003" s="36" t="s">
        <v>47</v>
      </c>
      <c r="AE3003" s="36">
        <v>168</v>
      </c>
      <c r="AF3003" s="71">
        <v>1.59</v>
      </c>
      <c r="AG3003" s="37">
        <v>0</v>
      </c>
      <c r="AH3003" s="37">
        <v>0</v>
      </c>
      <c r="AI3003" s="37">
        <v>96</v>
      </c>
      <c r="AJ3003" s="37">
        <v>4</v>
      </c>
      <c r="AK3003" s="37" t="str">
        <f>VLOOKUP(Mecze[[#This Row],[Match ID]],Meczusie[Mecz]:Meczusie[RodzajMeczu],2,FALSE)</f>
        <v>Liga</v>
      </c>
    </row>
    <row r="3004" spans="1:37" x14ac:dyDescent="0.25">
      <c r="A3004" s="76">
        <v>4</v>
      </c>
      <c r="B3004" s="3" t="s">
        <v>276</v>
      </c>
      <c r="C3004" s="2" t="s">
        <v>157</v>
      </c>
      <c r="D3004" s="1">
        <v>0</v>
      </c>
      <c r="E3004" s="1">
        <v>0</v>
      </c>
      <c r="F3004" s="1">
        <v>0</v>
      </c>
      <c r="G3004" s="1">
        <v>16</v>
      </c>
      <c r="H3004" s="4">
        <v>0.75</v>
      </c>
      <c r="I3004" s="1">
        <v>21</v>
      </c>
      <c r="J3004" s="4">
        <v>0.62</v>
      </c>
      <c r="K3004" s="1">
        <v>0</v>
      </c>
      <c r="L3004" s="1">
        <v>19</v>
      </c>
      <c r="M3004" s="32">
        <f>IF(Mecze[[#This Row],[PR]]=0,0,Mecze[[#This Row],[PR]]/Mecze[[#This Row],[CZAS]])</f>
        <v>0.19791666666666666</v>
      </c>
      <c r="N3004" s="32">
        <f>IF(Mecze[[#This Row],[OU]]=0,0,Mecze[[#This Row],[OU]]/Mecze[[#This Row],[CZAS]])</f>
        <v>0.13541666666666666</v>
      </c>
      <c r="O3004" s="32">
        <f>IF(Mecze[[#This Row],[PC]]=0,0,Mecze[[#This Row],[PC]]/Mecze[[#This Row],[CZAS]])</f>
        <v>0.125</v>
      </c>
      <c r="P3004" s="32">
        <f>IF(Mecze[[#This Row],[SC]]=0,0,Mecze[[#This Row],[SC]]/Mecze[[#This Row],[CZAS]])</f>
        <v>0</v>
      </c>
      <c r="Q3004" s="32">
        <f>IF(Mecze[[#This Row],[OB]]=0,0,Mecze[[#This Row],[OB]]/Mecze[[#This Row],[CZAS]])</f>
        <v>0</v>
      </c>
      <c r="R3004" s="32">
        <f>IF(Mecze[[#This Row],[BR]]=0,0,Mecze[[#This Row],[BR]]/Mecze[[#This Row],[CZAS]])</f>
        <v>0</v>
      </c>
      <c r="S3004" s="44">
        <f>IF(Mecze[[#This Row],[Role]]="BR",SUMPRODUCT(Mecze[[#This Row],[/PR:90]:[/BR:90]],Brudnopis!$E$23:$J$23),0)</f>
        <v>0</v>
      </c>
      <c r="T3004" s="44">
        <f>IF(Mecze[[#This Row],[Role]]&lt;&gt;"BR",SUMPRODUCT(Mecze[[#This Row],[/PR:90]:[/BR:90]],Brudnopis!$E$24:$J$24),0)</f>
        <v>0.52604166666666663</v>
      </c>
      <c r="U3004" s="44">
        <f>IF(Mecze[[#This Row],[Role]]&lt;&gt;"BR",SUMPRODUCT(Mecze[[#This Row],[/PR:90]:[/BR:90]],Brudnopis!$E$25:$J$25),0)</f>
        <v>0.52083333333333326</v>
      </c>
      <c r="V3004" s="44">
        <f>IF(Mecze[[#This Row],[Role]]&lt;&gt;"BR",SUMPRODUCT(Mecze[[#This Row],[/PR:90]:[/BR:90]],Brudnopis!$E$26:$J$26),0)</f>
        <v>0.45833333333333331</v>
      </c>
      <c r="W3004" s="44">
        <f>IF(Mecze[[#This Row],[Role]]&lt;&gt;"BR",SUMPRODUCT(Mecze[[#This Row],[/PR:90]:[/BR:90]],Brudnopis!$E$27:$J$27),0)</f>
        <v>0.4375</v>
      </c>
      <c r="X3004" s="44">
        <f>IF(Mecze[[#This Row],[Role]]&lt;&gt;"BR",SUMPRODUCT(Mecze[[#This Row],[/PR:90]:[/BR:90]],Brudnopis!$E$28:$J$28),0)</f>
        <v>0.125</v>
      </c>
      <c r="Y3004" s="35">
        <f>IF(Mecze[[#This Row],[Role]]="BR",Mecze[[#This Row],[/OB:90]]+Mecze[[#This Row],[/PC:90]],SUM(Mecze[[#This Row],[/PR:90]:[/BR:90]]))</f>
        <v>0.45833333333333331</v>
      </c>
      <c r="Z3004" s="35">
        <f>IF(Mecze[[#This Row],[KC]]=0,SUM(Mecze[[#This Row],[/BRI]:[/NPI]]),SUM(Mecze[[#This Row],[/BRI]:[/NPI]])*0.6)</f>
        <v>2.067708333333333</v>
      </c>
      <c r="AA3004" s="10">
        <f>IFERROR(Mecze[[#This Row],[BR]]/Mecze[[#This Row],[ST]],0)</f>
        <v>0</v>
      </c>
      <c r="AB3004">
        <f>ROUND(Mecze[[#This Row],[PD]]*Mecze[[#This Row],[%PC]],0)</f>
        <v>12</v>
      </c>
      <c r="AC3004">
        <f>ROUND(Mecze[[#This Row],[OD]]*Mecze[[#This Row],[%OU]],0)</f>
        <v>13</v>
      </c>
      <c r="AD3004" s="36" t="s">
        <v>168</v>
      </c>
      <c r="AE3004" s="36">
        <v>168</v>
      </c>
      <c r="AF3004" s="71">
        <v>6.7</v>
      </c>
      <c r="AG3004" s="37">
        <v>0</v>
      </c>
      <c r="AH3004" s="37">
        <v>0</v>
      </c>
      <c r="AI3004" s="37">
        <v>96</v>
      </c>
      <c r="AJ3004" s="37">
        <v>4</v>
      </c>
      <c r="AK3004" s="37" t="str">
        <f>VLOOKUP(Mecze[[#This Row],[Match ID]],Meczusie[Mecz]:Meczusie[RodzajMeczu],2,FALSE)</f>
        <v>Liga</v>
      </c>
    </row>
    <row r="3005" spans="1:37" x14ac:dyDescent="0.25">
      <c r="A3005" s="76">
        <v>5</v>
      </c>
      <c r="B3005" s="3" t="s">
        <v>277</v>
      </c>
      <c r="C3005" s="2" t="s">
        <v>157</v>
      </c>
      <c r="D3005" s="1">
        <v>0</v>
      </c>
      <c r="E3005" s="1">
        <v>0</v>
      </c>
      <c r="F3005" s="1">
        <v>0</v>
      </c>
      <c r="G3005" s="1">
        <v>6</v>
      </c>
      <c r="H3005" s="4">
        <v>0.5</v>
      </c>
      <c r="I3005" s="1">
        <v>3</v>
      </c>
      <c r="J3005" s="4">
        <v>1</v>
      </c>
      <c r="K3005" s="1">
        <v>0</v>
      </c>
      <c r="L3005" s="1">
        <v>3</v>
      </c>
      <c r="M3005" s="32">
        <f>IF(Mecze[[#This Row],[PR]]=0,0,Mecze[[#This Row],[PR]]/Mecze[[#This Row],[CZAS]])</f>
        <v>4.7619047619047616E-2</v>
      </c>
      <c r="N3005" s="32">
        <f>IF(Mecze[[#This Row],[OU]]=0,0,Mecze[[#This Row],[OU]]/Mecze[[#This Row],[CZAS]])</f>
        <v>4.7619047619047616E-2</v>
      </c>
      <c r="O3005" s="32">
        <f>IF(Mecze[[#This Row],[PC]]=0,0,Mecze[[#This Row],[PC]]/Mecze[[#This Row],[CZAS]])</f>
        <v>4.7619047619047616E-2</v>
      </c>
      <c r="P3005" s="32">
        <f>IF(Mecze[[#This Row],[SC]]=0,0,Mecze[[#This Row],[SC]]/Mecze[[#This Row],[CZAS]])</f>
        <v>0</v>
      </c>
      <c r="Q3005" s="32">
        <f>IF(Mecze[[#This Row],[OB]]=0,0,Mecze[[#This Row],[OB]]/Mecze[[#This Row],[CZAS]])</f>
        <v>0</v>
      </c>
      <c r="R3005" s="32">
        <f>IF(Mecze[[#This Row],[BR]]=0,0,Mecze[[#This Row],[BR]]/Mecze[[#This Row],[CZAS]])</f>
        <v>0</v>
      </c>
      <c r="S3005" s="44">
        <f>IF(Mecze[[#This Row],[Role]]="BR",SUMPRODUCT(Mecze[[#This Row],[/PR:90]:[/BR:90]],Brudnopis!$E$23:$J$23),0)</f>
        <v>0</v>
      </c>
      <c r="T3005" s="44">
        <f>IF(Mecze[[#This Row],[Role]]&lt;&gt;"BR",SUMPRODUCT(Mecze[[#This Row],[/PR:90]:[/BR:90]],Brudnopis!$E$24:$J$24),0)</f>
        <v>0.16666666666666666</v>
      </c>
      <c r="U3005" s="44">
        <f>IF(Mecze[[#This Row],[Role]]&lt;&gt;"BR",SUMPRODUCT(Mecze[[#This Row],[/PR:90]:[/BR:90]],Brudnopis!$E$25:$J$25),0)</f>
        <v>0.16666666666666666</v>
      </c>
      <c r="V3005" s="44">
        <f>IF(Mecze[[#This Row],[Role]]&lt;&gt;"BR",SUMPRODUCT(Mecze[[#This Row],[/PR:90]:[/BR:90]],Brudnopis!$E$26:$J$26),0)</f>
        <v>0.14285714285714285</v>
      </c>
      <c r="W3005" s="44">
        <f>IF(Mecze[[#This Row],[Role]]&lt;&gt;"BR",SUMPRODUCT(Mecze[[#This Row],[/PR:90]:[/BR:90]],Brudnopis!$E$27:$J$27),0)</f>
        <v>0.14285714285714285</v>
      </c>
      <c r="X3005" s="44">
        <f>IF(Mecze[[#This Row],[Role]]&lt;&gt;"BR",SUMPRODUCT(Mecze[[#This Row],[/PR:90]:[/BR:90]],Brudnopis!$E$28:$J$28),0)</f>
        <v>4.7619047619047616E-2</v>
      </c>
      <c r="Y3005" s="35">
        <f>IF(Mecze[[#This Row],[Role]]="BR",Mecze[[#This Row],[/OB:90]]+Mecze[[#This Row],[/PC:90]],SUM(Mecze[[#This Row],[/PR:90]:[/BR:90]]))</f>
        <v>0.14285714285714285</v>
      </c>
      <c r="Z3005" s="35">
        <f>IF(Mecze[[#This Row],[KC]]=0,SUM(Mecze[[#This Row],[/BRI]:[/NPI]]),SUM(Mecze[[#This Row],[/BRI]:[/NPI]])*0.6)</f>
        <v>0.66666666666666674</v>
      </c>
      <c r="AA3005" s="10">
        <f>IFERROR(Mecze[[#This Row],[BR]]/Mecze[[#This Row],[ST]],0)</f>
        <v>0</v>
      </c>
      <c r="AB3005">
        <f>ROUND(Mecze[[#This Row],[PD]]*Mecze[[#This Row],[%PC]],0)</f>
        <v>3</v>
      </c>
      <c r="AC3005">
        <f>ROUND(Mecze[[#This Row],[OD]]*Mecze[[#This Row],[%OU]],0)</f>
        <v>3</v>
      </c>
      <c r="AD3005" s="36" t="s">
        <v>167</v>
      </c>
      <c r="AE3005" s="36">
        <v>168</v>
      </c>
      <c r="AF3005" s="71">
        <v>5.37</v>
      </c>
      <c r="AG3005" s="37">
        <v>0</v>
      </c>
      <c r="AH3005" s="37">
        <v>0</v>
      </c>
      <c r="AI3005" s="37">
        <v>63</v>
      </c>
      <c r="AJ3005" s="37">
        <v>4</v>
      </c>
      <c r="AK3005" s="37" t="str">
        <f>VLOOKUP(Mecze[[#This Row],[Match ID]],Meczusie[Mecz]:Meczusie[RodzajMeczu],2,FALSE)</f>
        <v>Liga</v>
      </c>
    </row>
    <row r="3006" spans="1:37" x14ac:dyDescent="0.25">
      <c r="A3006" s="76">
        <v>12</v>
      </c>
      <c r="B3006" s="3" t="s">
        <v>278</v>
      </c>
      <c r="C3006" s="2" t="s">
        <v>160</v>
      </c>
      <c r="D3006" s="1">
        <v>0</v>
      </c>
      <c r="E3006" s="1">
        <v>0</v>
      </c>
      <c r="F3006" s="1">
        <v>0</v>
      </c>
      <c r="G3006" s="1">
        <v>17</v>
      </c>
      <c r="H3006" s="4">
        <v>0.76</v>
      </c>
      <c r="I3006" s="1">
        <v>2</v>
      </c>
      <c r="J3006" s="4">
        <v>0</v>
      </c>
      <c r="K3006" s="1">
        <v>0</v>
      </c>
      <c r="L3006" s="1">
        <v>2</v>
      </c>
      <c r="M3006" s="32">
        <f>IF(Mecze[[#This Row],[PR]]=0,0,Mecze[[#This Row],[PR]]/Mecze[[#This Row],[CZAS]])</f>
        <v>2.0833333333333332E-2</v>
      </c>
      <c r="N3006" s="32">
        <f>IF(Mecze[[#This Row],[OU]]=0,0,Mecze[[#This Row],[OU]]/Mecze[[#This Row],[CZAS]])</f>
        <v>0</v>
      </c>
      <c r="O3006" s="32">
        <f>IF(Mecze[[#This Row],[PC]]=0,0,Mecze[[#This Row],[PC]]/Mecze[[#This Row],[CZAS]])</f>
        <v>0.13541666666666666</v>
      </c>
      <c r="P3006" s="32">
        <f>IF(Mecze[[#This Row],[SC]]=0,0,Mecze[[#This Row],[SC]]/Mecze[[#This Row],[CZAS]])</f>
        <v>0</v>
      </c>
      <c r="Q3006" s="32">
        <f>IF(Mecze[[#This Row],[OB]]=0,0,Mecze[[#This Row],[OB]]/Mecze[[#This Row],[CZAS]])</f>
        <v>0</v>
      </c>
      <c r="R3006" s="32">
        <f>IF(Mecze[[#This Row],[BR]]=0,0,Mecze[[#This Row],[BR]]/Mecze[[#This Row],[CZAS]])</f>
        <v>0</v>
      </c>
      <c r="S3006" s="44">
        <f>IF(Mecze[[#This Row],[Role]]="BR",SUMPRODUCT(Mecze[[#This Row],[/PR:90]:[/BR:90]],Brudnopis!$E$23:$J$23),0)</f>
        <v>0</v>
      </c>
      <c r="T3006" s="44">
        <f>IF(Mecze[[#This Row],[Role]]&lt;&gt;"BR",SUMPRODUCT(Mecze[[#This Row],[/PR:90]:[/BR:90]],Brudnopis!$E$24:$J$24),0)</f>
        <v>0.15625</v>
      </c>
      <c r="U3006" s="44">
        <f>IF(Mecze[[#This Row],[Role]]&lt;&gt;"BR",SUMPRODUCT(Mecze[[#This Row],[/PR:90]:[/BR:90]],Brudnopis!$E$25:$J$25),0)</f>
        <v>0.22395833333333334</v>
      </c>
      <c r="V3006" s="44">
        <f>IF(Mecze[[#This Row],[Role]]&lt;&gt;"BR",SUMPRODUCT(Mecze[[#This Row],[/PR:90]:[/BR:90]],Brudnopis!$E$26:$J$26),0)</f>
        <v>0.15625</v>
      </c>
      <c r="W3006" s="44">
        <f>IF(Mecze[[#This Row],[Role]]&lt;&gt;"BR",SUMPRODUCT(Mecze[[#This Row],[/PR:90]:[/BR:90]],Brudnopis!$E$27:$J$27),0)</f>
        <v>0.21875</v>
      </c>
      <c r="X3006" s="44">
        <f>IF(Mecze[[#This Row],[Role]]&lt;&gt;"BR",SUMPRODUCT(Mecze[[#This Row],[/PR:90]:[/BR:90]],Brudnopis!$E$28:$J$28),0)</f>
        <v>0.13541666666666666</v>
      </c>
      <c r="Y3006" s="35">
        <f>IF(Mecze[[#This Row],[Role]]="BR",Mecze[[#This Row],[/OB:90]]+Mecze[[#This Row],[/PC:90]],SUM(Mecze[[#This Row],[/PR:90]:[/BR:90]]))</f>
        <v>0.15625</v>
      </c>
      <c r="Z3006" s="35">
        <f>IF(Mecze[[#This Row],[KC]]=0,SUM(Mecze[[#This Row],[/BRI]:[/NPI]]),SUM(Mecze[[#This Row],[/BRI]:[/NPI]])*0.6)</f>
        <v>0.890625</v>
      </c>
      <c r="AA3006" s="10">
        <f>IFERROR(Mecze[[#This Row],[BR]]/Mecze[[#This Row],[ST]],0)</f>
        <v>0</v>
      </c>
      <c r="AB3006">
        <f>ROUND(Mecze[[#This Row],[PD]]*Mecze[[#This Row],[%PC]],0)</f>
        <v>13</v>
      </c>
      <c r="AC3006">
        <f>ROUND(Mecze[[#This Row],[OD]]*Mecze[[#This Row],[%OU]],0)</f>
        <v>0</v>
      </c>
      <c r="AD3006" s="36" t="s">
        <v>41</v>
      </c>
      <c r="AE3006" s="36">
        <v>168</v>
      </c>
      <c r="AF3006" s="71">
        <v>4.33</v>
      </c>
      <c r="AG3006" s="37">
        <v>0</v>
      </c>
      <c r="AH3006" s="37">
        <v>0</v>
      </c>
      <c r="AI3006" s="37">
        <v>96</v>
      </c>
      <c r="AJ3006" s="37">
        <v>4</v>
      </c>
      <c r="AK3006" s="37" t="str">
        <f>VLOOKUP(Mecze[[#This Row],[Match ID]],Meczusie[Mecz]:Meczusie[RodzajMeczu],2,FALSE)</f>
        <v>Liga</v>
      </c>
    </row>
    <row r="3007" spans="1:37" x14ac:dyDescent="0.25">
      <c r="A3007" s="76">
        <v>7</v>
      </c>
      <c r="B3007" s="3" t="s">
        <v>279</v>
      </c>
      <c r="C3007" s="2" t="s">
        <v>160</v>
      </c>
      <c r="D3007" s="1">
        <v>0</v>
      </c>
      <c r="E3007" s="1">
        <v>0</v>
      </c>
      <c r="F3007" s="1">
        <v>0</v>
      </c>
      <c r="G3007" s="1">
        <v>12</v>
      </c>
      <c r="H3007" s="4">
        <v>0.57999999999999996</v>
      </c>
      <c r="I3007" s="1">
        <v>1</v>
      </c>
      <c r="J3007" s="4">
        <v>0</v>
      </c>
      <c r="K3007" s="1">
        <v>0</v>
      </c>
      <c r="L3007" s="1">
        <v>4</v>
      </c>
      <c r="M3007" s="32">
        <f>IF(Mecze[[#This Row],[PR]]=0,0,Mecze[[#This Row],[PR]]/Mecze[[#This Row],[CZAS]])</f>
        <v>4.1666666666666664E-2</v>
      </c>
      <c r="N3007" s="32">
        <f>IF(Mecze[[#This Row],[OU]]=0,0,Mecze[[#This Row],[OU]]/Mecze[[#This Row],[CZAS]])</f>
        <v>0</v>
      </c>
      <c r="O3007" s="32">
        <f>IF(Mecze[[#This Row],[PC]]=0,0,Mecze[[#This Row],[PC]]/Mecze[[#This Row],[CZAS]])</f>
        <v>7.2916666666666671E-2</v>
      </c>
      <c r="P3007" s="32">
        <f>IF(Mecze[[#This Row],[SC]]=0,0,Mecze[[#This Row],[SC]]/Mecze[[#This Row],[CZAS]])</f>
        <v>0</v>
      </c>
      <c r="Q3007" s="32">
        <f>IF(Mecze[[#This Row],[OB]]=0,0,Mecze[[#This Row],[OB]]/Mecze[[#This Row],[CZAS]])</f>
        <v>0</v>
      </c>
      <c r="R3007" s="32">
        <f>IF(Mecze[[#This Row],[BR]]=0,0,Mecze[[#This Row],[BR]]/Mecze[[#This Row],[CZAS]])</f>
        <v>0</v>
      </c>
      <c r="S3007" s="44">
        <f>IF(Mecze[[#This Row],[Role]]="BR",SUMPRODUCT(Mecze[[#This Row],[/PR:90]:[/BR:90]],Brudnopis!$E$23:$J$23),0)</f>
        <v>0</v>
      </c>
      <c r="T3007" s="44">
        <f>IF(Mecze[[#This Row],[Role]]&lt;&gt;"BR",SUMPRODUCT(Mecze[[#This Row],[/PR:90]:[/BR:90]],Brudnopis!$E$24:$J$24),0)</f>
        <v>0.11458333333333334</v>
      </c>
      <c r="U3007" s="44">
        <f>IF(Mecze[[#This Row],[Role]]&lt;&gt;"BR",SUMPRODUCT(Mecze[[#This Row],[/PR:90]:[/BR:90]],Brudnopis!$E$25:$J$25),0)</f>
        <v>0.15104166666666666</v>
      </c>
      <c r="V3007" s="44">
        <f>IF(Mecze[[#This Row],[Role]]&lt;&gt;"BR",SUMPRODUCT(Mecze[[#This Row],[/PR:90]:[/BR:90]],Brudnopis!$E$26:$J$26),0)</f>
        <v>0.11458333333333334</v>
      </c>
      <c r="W3007" s="44">
        <f>IF(Mecze[[#This Row],[Role]]&lt;&gt;"BR",SUMPRODUCT(Mecze[[#This Row],[/PR:90]:[/BR:90]],Brudnopis!$E$27:$J$27),0)</f>
        <v>0.140625</v>
      </c>
      <c r="X3007" s="44">
        <f>IF(Mecze[[#This Row],[Role]]&lt;&gt;"BR",SUMPRODUCT(Mecze[[#This Row],[/PR:90]:[/BR:90]],Brudnopis!$E$28:$J$28),0)</f>
        <v>7.2916666666666671E-2</v>
      </c>
      <c r="Y3007" s="35">
        <f>IF(Mecze[[#This Row],[Role]]="BR",Mecze[[#This Row],[/OB:90]]+Mecze[[#This Row],[/PC:90]],SUM(Mecze[[#This Row],[/PR:90]:[/BR:90]]))</f>
        <v>0.11458333333333334</v>
      </c>
      <c r="Z3007" s="35">
        <f>IF(Mecze[[#This Row],[KC]]=0,SUM(Mecze[[#This Row],[/BRI]:[/NPI]]),SUM(Mecze[[#This Row],[/BRI]:[/NPI]])*0.6)</f>
        <v>0.59375</v>
      </c>
      <c r="AA3007" s="10">
        <f>IFERROR(Mecze[[#This Row],[BR]]/Mecze[[#This Row],[ST]],0)</f>
        <v>0</v>
      </c>
      <c r="AB3007">
        <f>ROUND(Mecze[[#This Row],[PD]]*Mecze[[#This Row],[%PC]],0)</f>
        <v>7</v>
      </c>
      <c r="AC3007">
        <f>ROUND(Mecze[[#This Row],[OD]]*Mecze[[#This Row],[%OU]],0)</f>
        <v>0</v>
      </c>
      <c r="AD3007" s="36" t="s">
        <v>41</v>
      </c>
      <c r="AE3007" s="36">
        <v>168</v>
      </c>
      <c r="AF3007" s="71">
        <v>4.75</v>
      </c>
      <c r="AG3007" s="37">
        <v>0</v>
      </c>
      <c r="AH3007" s="37">
        <v>0</v>
      </c>
      <c r="AI3007" s="37">
        <v>96</v>
      </c>
      <c r="AJ3007" s="37">
        <v>4</v>
      </c>
      <c r="AK3007" s="37" t="str">
        <f>VLOOKUP(Mecze[[#This Row],[Match ID]],Meczusie[Mecz]:Meczusie[RodzajMeczu],2,FALSE)</f>
        <v>Liga</v>
      </c>
    </row>
    <row r="3008" spans="1:37" x14ac:dyDescent="0.25">
      <c r="A3008" s="76">
        <v>6</v>
      </c>
      <c r="B3008" s="3" t="s">
        <v>280</v>
      </c>
      <c r="C3008" s="2" t="s">
        <v>160</v>
      </c>
      <c r="D3008" s="1">
        <v>0</v>
      </c>
      <c r="E3008" s="1">
        <v>1</v>
      </c>
      <c r="F3008" s="1">
        <v>1</v>
      </c>
      <c r="G3008" s="1">
        <v>15</v>
      </c>
      <c r="H3008" s="4">
        <v>0.87</v>
      </c>
      <c r="I3008" s="1">
        <v>2</v>
      </c>
      <c r="J3008" s="4">
        <v>0.5</v>
      </c>
      <c r="K3008" s="1">
        <v>0</v>
      </c>
      <c r="L3008" s="1">
        <v>4</v>
      </c>
      <c r="M3008" s="32">
        <f>IF(Mecze[[#This Row],[PR]]=0,0,Mecze[[#This Row],[PR]]/Mecze[[#This Row],[CZAS]])</f>
        <v>4.1666666666666664E-2</v>
      </c>
      <c r="N3008" s="32">
        <f>IF(Mecze[[#This Row],[OU]]=0,0,Mecze[[#This Row],[OU]]/Mecze[[#This Row],[CZAS]])</f>
        <v>1.0416666666666666E-2</v>
      </c>
      <c r="O3008" s="32">
        <f>IF(Mecze[[#This Row],[PC]]=0,0,Mecze[[#This Row],[PC]]/Mecze[[#This Row],[CZAS]])</f>
        <v>0.13541666666666666</v>
      </c>
      <c r="P3008" s="32">
        <f>IF(Mecze[[#This Row],[SC]]=0,0,Mecze[[#This Row],[SC]]/Mecze[[#This Row],[CZAS]])</f>
        <v>1.0416666666666666E-2</v>
      </c>
      <c r="Q3008" s="32">
        <f>IF(Mecze[[#This Row],[OB]]=0,0,Mecze[[#This Row],[OB]]/Mecze[[#This Row],[CZAS]])</f>
        <v>0</v>
      </c>
      <c r="R3008" s="32">
        <f>IF(Mecze[[#This Row],[BR]]=0,0,Mecze[[#This Row],[BR]]/Mecze[[#This Row],[CZAS]])</f>
        <v>0</v>
      </c>
      <c r="S3008" s="44">
        <f>IF(Mecze[[#This Row],[Role]]="BR",SUMPRODUCT(Mecze[[#This Row],[/PR:90]:[/BR:90]],Brudnopis!$E$23:$J$23),0)</f>
        <v>0</v>
      </c>
      <c r="T3008" s="44">
        <f>IF(Mecze[[#This Row],[Role]]&lt;&gt;"BR",SUMPRODUCT(Mecze[[#This Row],[/PR:90]:[/BR:90]],Brudnopis!$E$24:$J$24),0)</f>
        <v>0.20312499999999997</v>
      </c>
      <c r="U3008" s="44">
        <f>IF(Mecze[[#This Row],[Role]]&lt;&gt;"BR",SUMPRODUCT(Mecze[[#This Row],[/PR:90]:[/BR:90]],Brudnopis!$E$25:$J$25),0)</f>
        <v>0.265625</v>
      </c>
      <c r="V3008" s="44">
        <f>IF(Mecze[[#This Row],[Role]]&lt;&gt;"BR",SUMPRODUCT(Mecze[[#This Row],[/PR:90]:[/BR:90]],Brudnopis!$E$26:$J$26),0)</f>
        <v>0.19791666666666666</v>
      </c>
      <c r="W3008" s="44">
        <f>IF(Mecze[[#This Row],[Role]]&lt;&gt;"BR",SUMPRODUCT(Mecze[[#This Row],[/PR:90]:[/BR:90]],Brudnopis!$E$27:$J$27),0)</f>
        <v>0.25260416666666669</v>
      </c>
      <c r="X3008" s="44">
        <f>IF(Mecze[[#This Row],[Role]]&lt;&gt;"BR",SUMPRODUCT(Mecze[[#This Row],[/PR:90]:[/BR:90]],Brudnopis!$E$28:$J$28),0)</f>
        <v>0.15625</v>
      </c>
      <c r="Y3008" s="35">
        <f>IF(Mecze[[#This Row],[Role]]="BR",Mecze[[#This Row],[/OB:90]]+Mecze[[#This Row],[/PC:90]],SUM(Mecze[[#This Row],[/PR:90]:[/BR:90]]))</f>
        <v>0.19791666666666666</v>
      </c>
      <c r="Z3008" s="35">
        <f>IF(Mecze[[#This Row],[KC]]=0,SUM(Mecze[[#This Row],[/BRI]:[/NPI]]),SUM(Mecze[[#This Row],[/BRI]:[/NPI]])*0.6)</f>
        <v>1.0755208333333333</v>
      </c>
      <c r="AA3008" s="10">
        <f>IFERROR(Mecze[[#This Row],[BR]]/Mecze[[#This Row],[ST]],0)</f>
        <v>0</v>
      </c>
      <c r="AB3008">
        <f>ROUND(Mecze[[#This Row],[PD]]*Mecze[[#This Row],[%PC]],0)</f>
        <v>13</v>
      </c>
      <c r="AC3008">
        <f>ROUND(Mecze[[#This Row],[OD]]*Mecze[[#This Row],[%OU]],0)</f>
        <v>1</v>
      </c>
      <c r="AD3008" s="36" t="s">
        <v>67</v>
      </c>
      <c r="AE3008" s="36">
        <v>168</v>
      </c>
      <c r="AF3008" s="71">
        <v>5.89</v>
      </c>
      <c r="AG3008" s="37">
        <v>0</v>
      </c>
      <c r="AH3008" s="37">
        <v>0</v>
      </c>
      <c r="AI3008" s="37">
        <v>96</v>
      </c>
      <c r="AJ3008" s="37">
        <v>4</v>
      </c>
      <c r="AK3008" s="37" t="str">
        <f>VLOOKUP(Mecze[[#This Row],[Match ID]],Meczusie[Mecz]:Meczusie[RodzajMeczu],2,FALSE)</f>
        <v>Liga</v>
      </c>
    </row>
    <row r="3009" spans="1:37" x14ac:dyDescent="0.25">
      <c r="A3009" s="76">
        <v>13</v>
      </c>
      <c r="B3009" s="3" t="s">
        <v>287</v>
      </c>
      <c r="C3009" s="2" t="s">
        <v>160</v>
      </c>
      <c r="D3009" s="1">
        <v>0</v>
      </c>
      <c r="E3009" s="1">
        <v>1</v>
      </c>
      <c r="F3009" s="1">
        <v>1</v>
      </c>
      <c r="G3009" s="1">
        <v>11</v>
      </c>
      <c r="H3009" s="4">
        <v>0.91</v>
      </c>
      <c r="I3009" s="1">
        <v>0</v>
      </c>
      <c r="J3009" s="4"/>
      <c r="K3009" s="1">
        <v>0</v>
      </c>
      <c r="L3009" s="1">
        <v>2</v>
      </c>
      <c r="M3009" s="32">
        <f>IF(Mecze[[#This Row],[PR]]=0,0,Mecze[[#This Row],[PR]]/Mecze[[#This Row],[CZAS]])</f>
        <v>3.1746031746031744E-2</v>
      </c>
      <c r="N3009" s="32">
        <f>IF(Mecze[[#This Row],[OU]]=0,0,Mecze[[#This Row],[OU]]/Mecze[[#This Row],[CZAS]])</f>
        <v>0</v>
      </c>
      <c r="O3009" s="32">
        <f>IF(Mecze[[#This Row],[PC]]=0,0,Mecze[[#This Row],[PC]]/Mecze[[#This Row],[CZAS]])</f>
        <v>0.15873015873015872</v>
      </c>
      <c r="P3009" s="32">
        <f>IF(Mecze[[#This Row],[SC]]=0,0,Mecze[[#This Row],[SC]]/Mecze[[#This Row],[CZAS]])</f>
        <v>1.5873015873015872E-2</v>
      </c>
      <c r="Q3009" s="32">
        <f>IF(Mecze[[#This Row],[OB]]=0,0,Mecze[[#This Row],[OB]]/Mecze[[#This Row],[CZAS]])</f>
        <v>0</v>
      </c>
      <c r="R3009" s="32">
        <f>IF(Mecze[[#This Row],[BR]]=0,0,Mecze[[#This Row],[BR]]/Mecze[[#This Row],[CZAS]])</f>
        <v>0</v>
      </c>
      <c r="S3009" s="44">
        <f>IF(Mecze[[#This Row],[Role]]="BR",SUMPRODUCT(Mecze[[#This Row],[/PR:90]:[/BR:90]],Brudnopis!$E$23:$J$23),0)</f>
        <v>0</v>
      </c>
      <c r="T3009" s="44">
        <f>IF(Mecze[[#This Row],[Role]]&lt;&gt;"BR",SUMPRODUCT(Mecze[[#This Row],[/PR:90]:[/BR:90]],Brudnopis!$E$24:$J$24),0)</f>
        <v>0.20634920634920634</v>
      </c>
      <c r="U3009" s="44">
        <f>IF(Mecze[[#This Row],[Role]]&lt;&gt;"BR",SUMPRODUCT(Mecze[[#This Row],[/PR:90]:[/BR:90]],Brudnopis!$E$25:$J$25),0)</f>
        <v>0.2857142857142857</v>
      </c>
      <c r="V3009" s="44">
        <f>IF(Mecze[[#This Row],[Role]]&lt;&gt;"BR",SUMPRODUCT(Mecze[[#This Row],[/PR:90]:[/BR:90]],Brudnopis!$E$26:$J$26),0)</f>
        <v>0.20634920634920634</v>
      </c>
      <c r="W3009" s="44">
        <f>IF(Mecze[[#This Row],[Role]]&lt;&gt;"BR",SUMPRODUCT(Mecze[[#This Row],[/PR:90]:[/BR:90]],Brudnopis!$E$27:$J$27),0)</f>
        <v>0.27777777777777773</v>
      </c>
      <c r="X3009" s="44">
        <f>IF(Mecze[[#This Row],[Role]]&lt;&gt;"BR",SUMPRODUCT(Mecze[[#This Row],[/PR:90]:[/BR:90]],Brudnopis!$E$28:$J$28),0)</f>
        <v>0.19047619047619047</v>
      </c>
      <c r="Y3009" s="35">
        <f>IF(Mecze[[#This Row],[Role]]="BR",Mecze[[#This Row],[/OB:90]]+Mecze[[#This Row],[/PC:90]],SUM(Mecze[[#This Row],[/PR:90]:[/BR:90]]))</f>
        <v>0.20634920634920634</v>
      </c>
      <c r="Z3009" s="35">
        <f>IF(Mecze[[#This Row],[KC]]=0,SUM(Mecze[[#This Row],[/BRI]:[/NPI]]),SUM(Mecze[[#This Row],[/BRI]:[/NPI]])*0.6)</f>
        <v>1.1666666666666665</v>
      </c>
      <c r="AA3009" s="10">
        <f>IFERROR(Mecze[[#This Row],[BR]]/Mecze[[#This Row],[ST]],0)</f>
        <v>0</v>
      </c>
      <c r="AB3009">
        <f>ROUND(Mecze[[#This Row],[PD]]*Mecze[[#This Row],[%PC]],0)</f>
        <v>10</v>
      </c>
      <c r="AC3009">
        <f>ROUND(Mecze[[#This Row],[OD]]*Mecze[[#This Row],[%OU]],0)</f>
        <v>0</v>
      </c>
      <c r="AD3009" s="36" t="s">
        <v>171</v>
      </c>
      <c r="AE3009" s="36">
        <v>168</v>
      </c>
      <c r="AF3009" s="71">
        <v>5.47</v>
      </c>
      <c r="AG3009" s="37">
        <v>0</v>
      </c>
      <c r="AH3009" s="37">
        <v>0</v>
      </c>
      <c r="AI3009" s="37">
        <v>63</v>
      </c>
      <c r="AJ3009" s="37">
        <v>4</v>
      </c>
      <c r="AK3009" s="37" t="str">
        <f>VLOOKUP(Mecze[[#This Row],[Match ID]],Meczusie[Mecz]:Meczusie[RodzajMeczu],2,FALSE)</f>
        <v>Liga</v>
      </c>
    </row>
    <row r="3010" spans="1:37" x14ac:dyDescent="0.25">
      <c r="A3010" s="76">
        <v>11</v>
      </c>
      <c r="B3010" s="3" t="s">
        <v>282</v>
      </c>
      <c r="C3010" s="2" t="s">
        <v>165</v>
      </c>
      <c r="D3010" s="1">
        <v>0</v>
      </c>
      <c r="E3010" s="1">
        <v>0</v>
      </c>
      <c r="F3010" s="1">
        <v>0</v>
      </c>
      <c r="G3010" s="1">
        <v>7</v>
      </c>
      <c r="H3010" s="4">
        <v>0.71</v>
      </c>
      <c r="I3010" s="1">
        <v>0</v>
      </c>
      <c r="J3010" s="4"/>
      <c r="K3010" s="1">
        <v>0</v>
      </c>
      <c r="L3010" s="1">
        <v>1</v>
      </c>
      <c r="M3010" s="32">
        <f>IF(Mecze[[#This Row],[PR]]=0,0,Mecze[[#This Row],[PR]]/Mecze[[#This Row],[CZAS]])</f>
        <v>1.5873015873015872E-2</v>
      </c>
      <c r="N3010" s="32">
        <f>IF(Mecze[[#This Row],[OU]]=0,0,Mecze[[#This Row],[OU]]/Mecze[[#This Row],[CZAS]])</f>
        <v>0</v>
      </c>
      <c r="O3010" s="32">
        <f>IF(Mecze[[#This Row],[PC]]=0,0,Mecze[[#This Row],[PC]]/Mecze[[#This Row],[CZAS]])</f>
        <v>7.9365079365079361E-2</v>
      </c>
      <c r="P3010" s="32">
        <f>IF(Mecze[[#This Row],[SC]]=0,0,Mecze[[#This Row],[SC]]/Mecze[[#This Row],[CZAS]])</f>
        <v>0</v>
      </c>
      <c r="Q3010" s="32">
        <f>IF(Mecze[[#This Row],[OB]]=0,0,Mecze[[#This Row],[OB]]/Mecze[[#This Row],[CZAS]])</f>
        <v>0</v>
      </c>
      <c r="R3010" s="32">
        <f>IF(Mecze[[#This Row],[BR]]=0,0,Mecze[[#This Row],[BR]]/Mecze[[#This Row],[CZAS]])</f>
        <v>0</v>
      </c>
      <c r="S3010" s="44">
        <f>IF(Mecze[[#This Row],[Role]]="BR",SUMPRODUCT(Mecze[[#This Row],[/PR:90]:[/BR:90]],Brudnopis!$E$23:$J$23),0)</f>
        <v>0</v>
      </c>
      <c r="T3010" s="44">
        <f>IF(Mecze[[#This Row],[Role]]&lt;&gt;"BR",SUMPRODUCT(Mecze[[#This Row],[/PR:90]:[/BR:90]],Brudnopis!$E$24:$J$24),0)</f>
        <v>9.5238095238095233E-2</v>
      </c>
      <c r="U3010" s="44">
        <f>IF(Mecze[[#This Row],[Role]]&lt;&gt;"BR",SUMPRODUCT(Mecze[[#This Row],[/PR:90]:[/BR:90]],Brudnopis!$E$25:$J$25),0)</f>
        <v>0.13492063492063491</v>
      </c>
      <c r="V3010" s="44">
        <f>IF(Mecze[[#This Row],[Role]]&lt;&gt;"BR",SUMPRODUCT(Mecze[[#This Row],[/PR:90]:[/BR:90]],Brudnopis!$E$26:$J$26),0)</f>
        <v>9.5238095238095233E-2</v>
      </c>
      <c r="W3010" s="44">
        <f>IF(Mecze[[#This Row],[Role]]&lt;&gt;"BR",SUMPRODUCT(Mecze[[#This Row],[/PR:90]:[/BR:90]],Brudnopis!$E$27:$J$27),0)</f>
        <v>0.13095238095238093</v>
      </c>
      <c r="X3010" s="44">
        <f>IF(Mecze[[#This Row],[Role]]&lt;&gt;"BR",SUMPRODUCT(Mecze[[#This Row],[/PR:90]:[/BR:90]],Brudnopis!$E$28:$J$28),0)</f>
        <v>7.9365079365079361E-2</v>
      </c>
      <c r="Y3010" s="35">
        <f>IF(Mecze[[#This Row],[Role]]="BR",Mecze[[#This Row],[/OB:90]]+Mecze[[#This Row],[/PC:90]],SUM(Mecze[[#This Row],[/PR:90]:[/BR:90]]))</f>
        <v>9.5238095238095233E-2</v>
      </c>
      <c r="Z3010" s="35">
        <f>IF(Mecze[[#This Row],[KC]]=0,SUM(Mecze[[#This Row],[/BRI]:[/NPI]]),SUM(Mecze[[#This Row],[/BRI]:[/NPI]])*0.6)</f>
        <v>0.53571428571428559</v>
      </c>
      <c r="AA3010" s="10">
        <f>IFERROR(Mecze[[#This Row],[BR]]/Mecze[[#This Row],[ST]],0)</f>
        <v>0</v>
      </c>
      <c r="AB3010">
        <f>ROUND(Mecze[[#This Row],[PD]]*Mecze[[#This Row],[%PC]],0)</f>
        <v>5</v>
      </c>
      <c r="AC3010">
        <f>ROUND(Mecze[[#This Row],[OD]]*Mecze[[#This Row],[%OU]],0)</f>
        <v>0</v>
      </c>
      <c r="AD3010" s="36" t="s">
        <v>46</v>
      </c>
      <c r="AE3010" s="36">
        <v>168</v>
      </c>
      <c r="AF3010" s="71">
        <v>4.04</v>
      </c>
      <c r="AG3010" s="37">
        <v>0</v>
      </c>
      <c r="AH3010" s="37">
        <v>0</v>
      </c>
      <c r="AI3010" s="37">
        <v>63</v>
      </c>
      <c r="AJ3010" s="37">
        <v>4</v>
      </c>
      <c r="AK3010" s="37" t="str">
        <f>VLOOKUP(Mecze[[#This Row],[Match ID]],Meczusie[Mecz]:Meczusie[RodzajMeczu],2,FALSE)</f>
        <v>Liga</v>
      </c>
    </row>
    <row r="3011" spans="1:37" x14ac:dyDescent="0.25">
      <c r="A3011" s="76">
        <v>8</v>
      </c>
      <c r="B3011" s="3" t="s">
        <v>283</v>
      </c>
      <c r="C3011" s="2" t="s">
        <v>165</v>
      </c>
      <c r="D3011" s="1">
        <v>0</v>
      </c>
      <c r="E3011" s="1">
        <v>4</v>
      </c>
      <c r="F3011" s="1">
        <v>3</v>
      </c>
      <c r="G3011" s="1">
        <v>13</v>
      </c>
      <c r="H3011" s="4">
        <v>0.54</v>
      </c>
      <c r="I3011" s="1">
        <v>0</v>
      </c>
      <c r="J3011" s="4"/>
      <c r="K3011" s="1">
        <v>0</v>
      </c>
      <c r="L3011" s="1">
        <v>0</v>
      </c>
      <c r="M3011" s="32">
        <f>IF(Mecze[[#This Row],[PR]]=0,0,Mecze[[#This Row],[PR]]/Mecze[[#This Row],[CZAS]])</f>
        <v>0</v>
      </c>
      <c r="N3011" s="32">
        <f>IF(Mecze[[#This Row],[OU]]=0,0,Mecze[[#This Row],[OU]]/Mecze[[#This Row],[CZAS]])</f>
        <v>0</v>
      </c>
      <c r="O3011" s="32">
        <f>IF(Mecze[[#This Row],[PC]]=0,0,Mecze[[#This Row],[PC]]/Mecze[[#This Row],[CZAS]])</f>
        <v>7.2916666666666671E-2</v>
      </c>
      <c r="P3011" s="32">
        <f>IF(Mecze[[#This Row],[SC]]=0,0,Mecze[[#This Row],[SC]]/Mecze[[#This Row],[CZAS]])</f>
        <v>3.125E-2</v>
      </c>
      <c r="Q3011" s="32">
        <f>IF(Mecze[[#This Row],[OB]]=0,0,Mecze[[#This Row],[OB]]/Mecze[[#This Row],[CZAS]])</f>
        <v>0</v>
      </c>
      <c r="R3011" s="32">
        <f>IF(Mecze[[#This Row],[BR]]=0,0,Mecze[[#This Row],[BR]]/Mecze[[#This Row],[CZAS]])</f>
        <v>0</v>
      </c>
      <c r="S3011" s="44">
        <f>IF(Mecze[[#This Row],[Role]]="BR",SUMPRODUCT(Mecze[[#This Row],[/PR:90]:[/BR:90]],Brudnopis!$E$23:$J$23),0)</f>
        <v>0</v>
      </c>
      <c r="T3011" s="44">
        <f>IF(Mecze[[#This Row],[Role]]&lt;&gt;"BR",SUMPRODUCT(Mecze[[#This Row],[/PR:90]:[/BR:90]],Brudnopis!$E$24:$J$24),0)</f>
        <v>0.10416666666666667</v>
      </c>
      <c r="U3011" s="44">
        <f>IF(Mecze[[#This Row],[Role]]&lt;&gt;"BR",SUMPRODUCT(Mecze[[#This Row],[/PR:90]:[/BR:90]],Brudnopis!$E$25:$J$25),0)</f>
        <v>0.140625</v>
      </c>
      <c r="V3011" s="44">
        <f>IF(Mecze[[#This Row],[Role]]&lt;&gt;"BR",SUMPRODUCT(Mecze[[#This Row],[/PR:90]:[/BR:90]],Brudnopis!$E$26:$J$26),0)</f>
        <v>0.10416666666666667</v>
      </c>
      <c r="W3011" s="44">
        <f>IF(Mecze[[#This Row],[Role]]&lt;&gt;"BR",SUMPRODUCT(Mecze[[#This Row],[/PR:90]:[/BR:90]],Brudnopis!$E$27:$J$27),0)</f>
        <v>0.140625</v>
      </c>
      <c r="X3011" s="44">
        <f>IF(Mecze[[#This Row],[Role]]&lt;&gt;"BR",SUMPRODUCT(Mecze[[#This Row],[/PR:90]:[/BR:90]],Brudnopis!$E$28:$J$28),0)</f>
        <v>0.13541666666666669</v>
      </c>
      <c r="Y3011" s="35">
        <f>IF(Mecze[[#This Row],[Role]]="BR",Mecze[[#This Row],[/OB:90]]+Mecze[[#This Row],[/PC:90]],SUM(Mecze[[#This Row],[/PR:90]:[/BR:90]]))</f>
        <v>0.10416666666666667</v>
      </c>
      <c r="Z3011" s="35">
        <f>IF(Mecze[[#This Row],[KC]]=0,SUM(Mecze[[#This Row],[/BRI]:[/NPI]]),SUM(Mecze[[#This Row],[/BRI]:[/NPI]])*0.6)</f>
        <v>0.625</v>
      </c>
      <c r="AA3011" s="10">
        <f>IFERROR(Mecze[[#This Row],[BR]]/Mecze[[#This Row],[ST]],0)</f>
        <v>0</v>
      </c>
      <c r="AB3011">
        <f>ROUND(Mecze[[#This Row],[PD]]*Mecze[[#This Row],[%PC]],0)</f>
        <v>7</v>
      </c>
      <c r="AC3011">
        <f>ROUND(Mecze[[#This Row],[OD]]*Mecze[[#This Row],[%OU]],0)</f>
        <v>0</v>
      </c>
      <c r="AD3011" s="36" t="s">
        <v>273</v>
      </c>
      <c r="AE3011" s="36">
        <v>168</v>
      </c>
      <c r="AF3011" s="71">
        <v>4.7</v>
      </c>
      <c r="AG3011" s="37">
        <v>0</v>
      </c>
      <c r="AH3011" s="37">
        <v>0</v>
      </c>
      <c r="AI3011" s="37">
        <v>96</v>
      </c>
      <c r="AJ3011" s="37">
        <v>4</v>
      </c>
      <c r="AK3011" s="37" t="str">
        <f>VLOOKUP(Mecze[[#This Row],[Match ID]],Meczusie[Mecz]:Meczusie[RodzajMeczu],2,FALSE)</f>
        <v>Liga</v>
      </c>
    </row>
    <row r="3012" spans="1:37" x14ac:dyDescent="0.25">
      <c r="A3012" s="76">
        <v>10</v>
      </c>
      <c r="B3012" s="3" t="s">
        <v>284</v>
      </c>
      <c r="C3012" s="2" t="s">
        <v>165</v>
      </c>
      <c r="D3012" s="1">
        <v>2</v>
      </c>
      <c r="E3012" s="1">
        <v>14</v>
      </c>
      <c r="F3012" s="1">
        <v>13</v>
      </c>
      <c r="G3012" s="1">
        <v>7</v>
      </c>
      <c r="H3012" s="4">
        <v>1</v>
      </c>
      <c r="I3012" s="1">
        <v>2</v>
      </c>
      <c r="J3012" s="4">
        <v>0</v>
      </c>
      <c r="K3012" s="1">
        <v>0</v>
      </c>
      <c r="L3012" s="1">
        <v>2</v>
      </c>
      <c r="M3012" s="32">
        <f>IF(Mecze[[#This Row],[PR]]=0,0,Mecze[[#This Row],[PR]]/Mecze[[#This Row],[CZAS]])</f>
        <v>2.0833333333333332E-2</v>
      </c>
      <c r="N3012" s="32">
        <f>IF(Mecze[[#This Row],[OU]]=0,0,Mecze[[#This Row],[OU]]/Mecze[[#This Row],[CZAS]])</f>
        <v>0</v>
      </c>
      <c r="O3012" s="32">
        <f>IF(Mecze[[#This Row],[PC]]=0,0,Mecze[[#This Row],[PC]]/Mecze[[#This Row],[CZAS]])</f>
        <v>7.2916666666666671E-2</v>
      </c>
      <c r="P3012" s="32">
        <f>IF(Mecze[[#This Row],[SC]]=0,0,Mecze[[#This Row],[SC]]/Mecze[[#This Row],[CZAS]])</f>
        <v>0.13541666666666666</v>
      </c>
      <c r="Q3012" s="32">
        <f>IF(Mecze[[#This Row],[OB]]=0,0,Mecze[[#This Row],[OB]]/Mecze[[#This Row],[CZAS]])</f>
        <v>0</v>
      </c>
      <c r="R3012" s="32">
        <f>IF(Mecze[[#This Row],[BR]]=0,0,Mecze[[#This Row],[BR]]/Mecze[[#This Row],[CZAS]])</f>
        <v>2.0833333333333332E-2</v>
      </c>
      <c r="S3012" s="44">
        <f>IF(Mecze[[#This Row],[Role]]="BR",SUMPRODUCT(Mecze[[#This Row],[/PR:90]:[/BR:90]],Brudnopis!$E$23:$J$23),0)</f>
        <v>0</v>
      </c>
      <c r="T3012" s="44">
        <f>IF(Mecze[[#This Row],[Role]]&lt;&gt;"BR",SUMPRODUCT(Mecze[[#This Row],[/PR:90]:[/BR:90]],Brudnopis!$E$24:$J$24),0)</f>
        <v>0.26041666666666663</v>
      </c>
      <c r="U3012" s="44">
        <f>IF(Mecze[[#This Row],[Role]]&lt;&gt;"BR",SUMPRODUCT(Mecze[[#This Row],[/PR:90]:[/BR:90]],Brudnopis!$E$25:$J$25),0)</f>
        <v>0.296875</v>
      </c>
      <c r="V3012" s="44">
        <f>IF(Mecze[[#This Row],[Role]]&lt;&gt;"BR",SUMPRODUCT(Mecze[[#This Row],[/PR:90]:[/BR:90]],Brudnopis!$E$26:$J$26),0)</f>
        <v>0.27083333333333331</v>
      </c>
      <c r="W3012" s="44">
        <f>IF(Mecze[[#This Row],[Role]]&lt;&gt;"BR",SUMPRODUCT(Mecze[[#This Row],[/PR:90]:[/BR:90]],Brudnopis!$E$27:$J$27),0)</f>
        <v>0.30208333333333331</v>
      </c>
      <c r="X3012" s="44">
        <f>IF(Mecze[[#This Row],[Role]]&lt;&gt;"BR",SUMPRODUCT(Mecze[[#This Row],[/PR:90]:[/BR:90]],Brudnopis!$E$28:$J$28),0)</f>
        <v>0.40625</v>
      </c>
      <c r="Y3012" s="35">
        <f>IF(Mecze[[#This Row],[Role]]="BR",Mecze[[#This Row],[/OB:90]]+Mecze[[#This Row],[/PC:90]],SUM(Mecze[[#This Row],[/PR:90]:[/BR:90]]))</f>
        <v>0.25</v>
      </c>
      <c r="Z3012" s="35">
        <f>IF(Mecze[[#This Row],[KC]]=0,SUM(Mecze[[#This Row],[/BRI]:[/NPI]]),SUM(Mecze[[#This Row],[/BRI]:[/NPI]])*0.6)</f>
        <v>1.5364583333333333</v>
      </c>
      <c r="AA3012" s="10">
        <f>IFERROR(Mecze[[#This Row],[BR]]/Mecze[[#This Row],[ST]],0)</f>
        <v>0.14285714285714285</v>
      </c>
      <c r="AB3012">
        <f>ROUND(Mecze[[#This Row],[PD]]*Mecze[[#This Row],[%PC]],0)</f>
        <v>7</v>
      </c>
      <c r="AC3012">
        <f>ROUND(Mecze[[#This Row],[OD]]*Mecze[[#This Row],[%OU]],0)</f>
        <v>0</v>
      </c>
      <c r="AD3012" s="36" t="s">
        <v>46</v>
      </c>
      <c r="AE3012" s="36">
        <v>168</v>
      </c>
      <c r="AF3012" s="71">
        <v>13.31</v>
      </c>
      <c r="AG3012" s="37">
        <v>0</v>
      </c>
      <c r="AH3012" s="37">
        <v>0</v>
      </c>
      <c r="AI3012" s="37">
        <v>96</v>
      </c>
      <c r="AJ3012" s="37">
        <v>4</v>
      </c>
      <c r="AK3012" s="37" t="str">
        <f>VLOOKUP(Mecze[[#This Row],[Match ID]],Meczusie[Mecz]:Meczusie[RodzajMeczu],2,FALSE)</f>
        <v>Liga</v>
      </c>
    </row>
    <row r="3013" spans="1:37" x14ac:dyDescent="0.25">
      <c r="A3013" s="76">
        <v>3</v>
      </c>
      <c r="B3013" s="3" t="s">
        <v>495</v>
      </c>
      <c r="C3013" s="2" t="s">
        <v>157</v>
      </c>
      <c r="D3013" s="1">
        <v>0</v>
      </c>
      <c r="E3013" s="1">
        <v>0</v>
      </c>
      <c r="F3013" s="1">
        <v>0</v>
      </c>
      <c r="G3013" s="1">
        <v>1</v>
      </c>
      <c r="H3013" s="4">
        <v>1</v>
      </c>
      <c r="I3013" s="1">
        <v>0</v>
      </c>
      <c r="J3013" s="4"/>
      <c r="K3013" s="1">
        <v>0</v>
      </c>
      <c r="L3013" s="1">
        <v>1</v>
      </c>
      <c r="M3013" s="32">
        <f>IF(Mecze[[#This Row],[PR]]=0,0,Mecze[[#This Row],[PR]]/Mecze[[#This Row],[CZAS]])</f>
        <v>3.0303030303030304E-2</v>
      </c>
      <c r="N3013" s="32">
        <f>IF(Mecze[[#This Row],[OU]]=0,0,Mecze[[#This Row],[OU]]/Mecze[[#This Row],[CZAS]])</f>
        <v>0</v>
      </c>
      <c r="O3013" s="32">
        <f>IF(Mecze[[#This Row],[PC]]=0,0,Mecze[[#This Row],[PC]]/Mecze[[#This Row],[CZAS]])</f>
        <v>3.0303030303030304E-2</v>
      </c>
      <c r="P3013" s="32">
        <f>IF(Mecze[[#This Row],[SC]]=0,0,Mecze[[#This Row],[SC]]/Mecze[[#This Row],[CZAS]])</f>
        <v>0</v>
      </c>
      <c r="Q3013" s="32">
        <f>IF(Mecze[[#This Row],[OB]]=0,0,Mecze[[#This Row],[OB]]/Mecze[[#This Row],[CZAS]])</f>
        <v>0</v>
      </c>
      <c r="R3013" s="32">
        <f>IF(Mecze[[#This Row],[BR]]=0,0,Mecze[[#This Row],[BR]]/Mecze[[#This Row],[CZAS]])</f>
        <v>0</v>
      </c>
      <c r="S3013" s="44">
        <f>IF(Mecze[[#This Row],[Role]]="BR",SUMPRODUCT(Mecze[[#This Row],[/PR:90]:[/BR:90]],Brudnopis!$E$23:$J$23),0)</f>
        <v>0</v>
      </c>
      <c r="T3013" s="44">
        <f>IF(Mecze[[#This Row],[Role]]&lt;&gt;"BR",SUMPRODUCT(Mecze[[#This Row],[/PR:90]:[/BR:90]],Brudnopis!$E$24:$J$24),0)</f>
        <v>6.0606060606060608E-2</v>
      </c>
      <c r="U3013" s="44">
        <f>IF(Mecze[[#This Row],[Role]]&lt;&gt;"BR",SUMPRODUCT(Mecze[[#This Row],[/PR:90]:[/BR:90]],Brudnopis!$E$25:$J$25),0)</f>
        <v>7.575757575757576E-2</v>
      </c>
      <c r="V3013" s="44">
        <f>IF(Mecze[[#This Row],[Role]]&lt;&gt;"BR",SUMPRODUCT(Mecze[[#This Row],[/PR:90]:[/BR:90]],Brudnopis!$E$26:$J$26),0)</f>
        <v>6.0606060606060608E-2</v>
      </c>
      <c r="W3013" s="44">
        <f>IF(Mecze[[#This Row],[Role]]&lt;&gt;"BR",SUMPRODUCT(Mecze[[#This Row],[/PR:90]:[/BR:90]],Brudnopis!$E$27:$J$27),0)</f>
        <v>6.8181818181818177E-2</v>
      </c>
      <c r="X3013" s="44">
        <f>IF(Mecze[[#This Row],[Role]]&lt;&gt;"BR",SUMPRODUCT(Mecze[[#This Row],[/PR:90]:[/BR:90]],Brudnopis!$E$28:$J$28),0)</f>
        <v>3.0303030303030304E-2</v>
      </c>
      <c r="Y3013" s="35">
        <f>IF(Mecze[[#This Row],[Role]]="BR",Mecze[[#This Row],[/OB:90]]+Mecze[[#This Row],[/PC:90]],SUM(Mecze[[#This Row],[/PR:90]:[/BR:90]]))</f>
        <v>6.0606060606060608E-2</v>
      </c>
      <c r="Z3013" s="35">
        <f>IF(Mecze[[#This Row],[KC]]=0,SUM(Mecze[[#This Row],[/BRI]:[/NPI]]),SUM(Mecze[[#This Row],[/BRI]:[/NPI]])*0.6)</f>
        <v>0.29545454545454541</v>
      </c>
      <c r="AA3013" s="10">
        <f>IFERROR(Mecze[[#This Row],[BR]]/Mecze[[#This Row],[ST]],0)</f>
        <v>0</v>
      </c>
      <c r="AB3013">
        <f>ROUND(Mecze[[#This Row],[PD]]*Mecze[[#This Row],[%PC]],0)</f>
        <v>1</v>
      </c>
      <c r="AC3013">
        <f>ROUND(Mecze[[#This Row],[OD]]*Mecze[[#This Row],[%OU]],0)</f>
        <v>0</v>
      </c>
      <c r="AD3013" s="36" t="s">
        <v>167</v>
      </c>
      <c r="AE3013" s="36">
        <v>168</v>
      </c>
      <c r="AF3013" s="71">
        <v>-0.4</v>
      </c>
      <c r="AG3013" s="37">
        <v>0</v>
      </c>
      <c r="AH3013" s="37">
        <v>0</v>
      </c>
      <c r="AI3013" s="37">
        <v>33</v>
      </c>
      <c r="AJ3013" s="37">
        <v>4</v>
      </c>
      <c r="AK3013" s="37" t="str">
        <f>VLOOKUP(Mecze[[#This Row],[Match ID]],Meczusie[Mecz]:Meczusie[RodzajMeczu],2,FALSE)</f>
        <v>Liga</v>
      </c>
    </row>
    <row r="3014" spans="1:37" x14ac:dyDescent="0.25">
      <c r="A3014" s="76">
        <v>15</v>
      </c>
      <c r="B3014" s="3" t="s">
        <v>286</v>
      </c>
      <c r="C3014" s="2" t="s">
        <v>160</v>
      </c>
      <c r="D3014" s="1">
        <v>0</v>
      </c>
      <c r="E3014" s="1">
        <v>0</v>
      </c>
      <c r="F3014" s="1">
        <v>0</v>
      </c>
      <c r="G3014" s="1">
        <v>4</v>
      </c>
      <c r="H3014" s="4">
        <v>0.75</v>
      </c>
      <c r="I3014" s="1">
        <v>0</v>
      </c>
      <c r="J3014" s="4"/>
      <c r="K3014" s="1">
        <v>0</v>
      </c>
      <c r="L3014" s="1">
        <v>0</v>
      </c>
      <c r="M3014" s="32">
        <f>IF(Mecze[[#This Row],[PR]]=0,0,Mecze[[#This Row],[PR]]/Mecze[[#This Row],[CZAS]])</f>
        <v>0</v>
      </c>
      <c r="N3014" s="32">
        <f>IF(Mecze[[#This Row],[OU]]=0,0,Mecze[[#This Row],[OU]]/Mecze[[#This Row],[CZAS]])</f>
        <v>0</v>
      </c>
      <c r="O3014" s="32">
        <f>IF(Mecze[[#This Row],[PC]]=0,0,Mecze[[#This Row],[PC]]/Mecze[[#This Row],[CZAS]])</f>
        <v>9.0909090909090912E-2</v>
      </c>
      <c r="P3014" s="32">
        <f>IF(Mecze[[#This Row],[SC]]=0,0,Mecze[[#This Row],[SC]]/Mecze[[#This Row],[CZAS]])</f>
        <v>0</v>
      </c>
      <c r="Q3014" s="32">
        <f>IF(Mecze[[#This Row],[OB]]=0,0,Mecze[[#This Row],[OB]]/Mecze[[#This Row],[CZAS]])</f>
        <v>0</v>
      </c>
      <c r="R3014" s="32">
        <f>IF(Mecze[[#This Row],[BR]]=0,0,Mecze[[#This Row],[BR]]/Mecze[[#This Row],[CZAS]])</f>
        <v>0</v>
      </c>
      <c r="S3014" s="44">
        <f>IF(Mecze[[#This Row],[Role]]="BR",SUMPRODUCT(Mecze[[#This Row],[/PR:90]:[/BR:90]],Brudnopis!$E$23:$J$23),0)</f>
        <v>0</v>
      </c>
      <c r="T3014" s="44">
        <f>IF(Mecze[[#This Row],[Role]]&lt;&gt;"BR",SUMPRODUCT(Mecze[[#This Row],[/PR:90]:[/BR:90]],Brudnopis!$E$24:$J$24),0)</f>
        <v>9.0909090909090912E-2</v>
      </c>
      <c r="U3014" s="44">
        <f>IF(Mecze[[#This Row],[Role]]&lt;&gt;"BR",SUMPRODUCT(Mecze[[#This Row],[/PR:90]:[/BR:90]],Brudnopis!$E$25:$J$25),0)</f>
        <v>0.13636363636363635</v>
      </c>
      <c r="V3014" s="44">
        <f>IF(Mecze[[#This Row],[Role]]&lt;&gt;"BR",SUMPRODUCT(Mecze[[#This Row],[/PR:90]:[/BR:90]],Brudnopis!$E$26:$J$26),0)</f>
        <v>9.0909090909090912E-2</v>
      </c>
      <c r="W3014" s="44">
        <f>IF(Mecze[[#This Row],[Role]]&lt;&gt;"BR",SUMPRODUCT(Mecze[[#This Row],[/PR:90]:[/BR:90]],Brudnopis!$E$27:$J$27),0)</f>
        <v>0.13636363636363635</v>
      </c>
      <c r="X3014" s="44">
        <f>IF(Mecze[[#This Row],[Role]]&lt;&gt;"BR",SUMPRODUCT(Mecze[[#This Row],[/PR:90]:[/BR:90]],Brudnopis!$E$28:$J$28),0)</f>
        <v>9.0909090909090912E-2</v>
      </c>
      <c r="Y3014" s="35">
        <f>IF(Mecze[[#This Row],[Role]]="BR",Mecze[[#This Row],[/OB:90]]+Mecze[[#This Row],[/PC:90]],SUM(Mecze[[#This Row],[/PR:90]:[/BR:90]]))</f>
        <v>9.0909090909090912E-2</v>
      </c>
      <c r="Z3014" s="35">
        <f>IF(Mecze[[#This Row],[KC]]=0,SUM(Mecze[[#This Row],[/BRI]:[/NPI]]),SUM(Mecze[[#This Row],[/BRI]:[/NPI]])*0.6)</f>
        <v>0.54545454545454541</v>
      </c>
      <c r="AA3014" s="10">
        <f>IFERROR(Mecze[[#This Row],[BR]]/Mecze[[#This Row],[ST]],0)</f>
        <v>0</v>
      </c>
      <c r="AB3014">
        <f>ROUND(Mecze[[#This Row],[PD]]*Mecze[[#This Row],[%PC]],0)</f>
        <v>3</v>
      </c>
      <c r="AC3014">
        <f>ROUND(Mecze[[#This Row],[OD]]*Mecze[[#This Row],[%OU]],0)</f>
        <v>0</v>
      </c>
      <c r="AD3014" s="36" t="s">
        <v>171</v>
      </c>
      <c r="AE3014" s="36">
        <v>168</v>
      </c>
      <c r="AF3014" s="71">
        <v>0.5</v>
      </c>
      <c r="AG3014" s="37">
        <v>0</v>
      </c>
      <c r="AH3014" s="37">
        <v>0</v>
      </c>
      <c r="AI3014" s="37">
        <v>33</v>
      </c>
      <c r="AJ3014" s="37">
        <v>4</v>
      </c>
      <c r="AK3014" s="37" t="str">
        <f>VLOOKUP(Mecze[[#This Row],[Match ID]],Meczusie[Mecz]:Meczusie[RodzajMeczu],2,FALSE)</f>
        <v>Liga</v>
      </c>
    </row>
    <row r="3015" spans="1:37" x14ac:dyDescent="0.25">
      <c r="A3015" s="76">
        <v>14</v>
      </c>
      <c r="B3015" s="3" t="s">
        <v>281</v>
      </c>
      <c r="C3015" s="2" t="s">
        <v>165</v>
      </c>
      <c r="D3015" s="1">
        <v>0</v>
      </c>
      <c r="E3015" s="1">
        <v>1</v>
      </c>
      <c r="F3015" s="1">
        <v>0</v>
      </c>
      <c r="G3015" s="1">
        <v>3</v>
      </c>
      <c r="H3015" s="4">
        <v>1</v>
      </c>
      <c r="I3015" s="1">
        <v>0</v>
      </c>
      <c r="J3015" s="4"/>
      <c r="K3015" s="1">
        <v>0</v>
      </c>
      <c r="L3015" s="1">
        <v>2</v>
      </c>
      <c r="M3015" s="32">
        <f>IF(Mecze[[#This Row],[PR]]=0,0,Mecze[[#This Row],[PR]]/Mecze[[#This Row],[CZAS]])</f>
        <v>6.0606060606060608E-2</v>
      </c>
      <c r="N3015" s="32">
        <f>IF(Mecze[[#This Row],[OU]]=0,0,Mecze[[#This Row],[OU]]/Mecze[[#This Row],[CZAS]])</f>
        <v>0</v>
      </c>
      <c r="O3015" s="32">
        <f>IF(Mecze[[#This Row],[PC]]=0,0,Mecze[[#This Row],[PC]]/Mecze[[#This Row],[CZAS]])</f>
        <v>9.0909090909090912E-2</v>
      </c>
      <c r="P3015" s="32">
        <f>IF(Mecze[[#This Row],[SC]]=0,0,Mecze[[#This Row],[SC]]/Mecze[[#This Row],[CZAS]])</f>
        <v>0</v>
      </c>
      <c r="Q3015" s="32">
        <f>IF(Mecze[[#This Row],[OB]]=0,0,Mecze[[#This Row],[OB]]/Mecze[[#This Row],[CZAS]])</f>
        <v>0</v>
      </c>
      <c r="R3015" s="32">
        <f>IF(Mecze[[#This Row],[BR]]=0,0,Mecze[[#This Row],[BR]]/Mecze[[#This Row],[CZAS]])</f>
        <v>0</v>
      </c>
      <c r="S3015" s="44">
        <f>IF(Mecze[[#This Row],[Role]]="BR",SUMPRODUCT(Mecze[[#This Row],[/PR:90]:[/BR:90]],Brudnopis!$E$23:$J$23),0)</f>
        <v>0</v>
      </c>
      <c r="T3015" s="44">
        <f>IF(Mecze[[#This Row],[Role]]&lt;&gt;"BR",SUMPRODUCT(Mecze[[#This Row],[/PR:90]:[/BR:90]],Brudnopis!$E$24:$J$24),0)</f>
        <v>0.15151515151515152</v>
      </c>
      <c r="U3015" s="44">
        <f>IF(Mecze[[#This Row],[Role]]&lt;&gt;"BR",SUMPRODUCT(Mecze[[#This Row],[/PR:90]:[/BR:90]],Brudnopis!$E$25:$J$25),0)</f>
        <v>0.19696969696969696</v>
      </c>
      <c r="V3015" s="44">
        <f>IF(Mecze[[#This Row],[Role]]&lt;&gt;"BR",SUMPRODUCT(Mecze[[#This Row],[/PR:90]:[/BR:90]],Brudnopis!$E$26:$J$26),0)</f>
        <v>0.15151515151515152</v>
      </c>
      <c r="W3015" s="44">
        <f>IF(Mecze[[#This Row],[Role]]&lt;&gt;"BR",SUMPRODUCT(Mecze[[#This Row],[/PR:90]:[/BR:90]],Brudnopis!$E$27:$J$27),0)</f>
        <v>0.18181818181818182</v>
      </c>
      <c r="X3015" s="44">
        <f>IF(Mecze[[#This Row],[Role]]&lt;&gt;"BR",SUMPRODUCT(Mecze[[#This Row],[/PR:90]:[/BR:90]],Brudnopis!$E$28:$J$28),0)</f>
        <v>9.0909090909090912E-2</v>
      </c>
      <c r="Y3015" s="35">
        <f>IF(Mecze[[#This Row],[Role]]="BR",Mecze[[#This Row],[/OB:90]]+Mecze[[#This Row],[/PC:90]],SUM(Mecze[[#This Row],[/PR:90]:[/BR:90]]))</f>
        <v>0.15151515151515152</v>
      </c>
      <c r="Z3015" s="35">
        <f>IF(Mecze[[#This Row],[KC]]=0,SUM(Mecze[[#This Row],[/BRI]:[/NPI]]),SUM(Mecze[[#This Row],[/BRI]:[/NPI]])*0.6)</f>
        <v>0.77272727272727282</v>
      </c>
      <c r="AA3015" s="10">
        <f>IFERROR(Mecze[[#This Row],[BR]]/Mecze[[#This Row],[ST]],0)</f>
        <v>0</v>
      </c>
      <c r="AB3015">
        <f>ROUND(Mecze[[#This Row],[PD]]*Mecze[[#This Row],[%PC]],0)</f>
        <v>3</v>
      </c>
      <c r="AC3015">
        <f>ROUND(Mecze[[#This Row],[OD]]*Mecze[[#This Row],[%OU]],0)</f>
        <v>0</v>
      </c>
      <c r="AD3015" s="36" t="s">
        <v>46</v>
      </c>
      <c r="AE3015" s="36">
        <v>168</v>
      </c>
      <c r="AF3015" s="71">
        <v>0.5</v>
      </c>
      <c r="AG3015" s="37">
        <v>0</v>
      </c>
      <c r="AH3015" s="37">
        <v>0</v>
      </c>
      <c r="AI3015" s="37">
        <v>33</v>
      </c>
      <c r="AJ3015" s="37">
        <v>4</v>
      </c>
      <c r="AK3015" s="37" t="str">
        <f>VLOOKUP(Mecze[[#This Row],[Match ID]],Meczusie[Mecz]:Meczusie[RodzajMeczu],2,FALSE)</f>
        <v>Liga</v>
      </c>
    </row>
    <row r="3016" spans="1:37" x14ac:dyDescent="0.25">
      <c r="A3016" s="76">
        <v>3</v>
      </c>
      <c r="B3016" s="3" t="s">
        <v>222</v>
      </c>
      <c r="C3016" s="2" t="s">
        <v>155</v>
      </c>
      <c r="D3016" s="1">
        <v>0</v>
      </c>
      <c r="E3016" s="1">
        <v>0</v>
      </c>
      <c r="F3016" s="1">
        <v>0</v>
      </c>
      <c r="G3016" s="1">
        <v>17</v>
      </c>
      <c r="H3016" s="4">
        <v>0.47</v>
      </c>
      <c r="I3016" s="1">
        <v>0</v>
      </c>
      <c r="J3016" s="4"/>
      <c r="K3016" s="1">
        <v>8</v>
      </c>
      <c r="L3016" s="1">
        <v>0</v>
      </c>
      <c r="M3016" s="32">
        <f>IF(Mecze[[#This Row],[PR]]=0,0,Mecze[[#This Row],[PR]]/Mecze[[#This Row],[CZAS]])</f>
        <v>0</v>
      </c>
      <c r="N3016" s="32">
        <f>IF(Mecze[[#This Row],[OU]]=0,0,Mecze[[#This Row],[OU]]/Mecze[[#This Row],[CZAS]])</f>
        <v>0</v>
      </c>
      <c r="O3016" s="32">
        <f>IF(Mecze[[#This Row],[PC]]=0,0,Mecze[[#This Row],[PC]]/Mecze[[#This Row],[CZAS]])</f>
        <v>8.247422680412371E-2</v>
      </c>
      <c r="P3016" s="32">
        <f>IF(Mecze[[#This Row],[SC]]=0,0,Mecze[[#This Row],[SC]]/Mecze[[#This Row],[CZAS]])</f>
        <v>0</v>
      </c>
      <c r="Q3016" s="32">
        <f>IF(Mecze[[#This Row],[OB]]=0,0,Mecze[[#This Row],[OB]]/Mecze[[#This Row],[CZAS]])</f>
        <v>8.247422680412371E-2</v>
      </c>
      <c r="R3016" s="32">
        <f>IF(Mecze[[#This Row],[BR]]=0,0,Mecze[[#This Row],[BR]]/Mecze[[#This Row],[CZAS]])</f>
        <v>0</v>
      </c>
      <c r="S3016" s="44">
        <f>IF(Mecze[[#This Row],[Role]]="BR",SUMPRODUCT(Mecze[[#This Row],[/PR:90]:[/BR:90]],Brudnopis!$E$23:$J$23),0)</f>
        <v>0.49484536082474229</v>
      </c>
      <c r="T3016" s="44">
        <f>IF(Mecze[[#This Row],[Role]]&lt;&gt;"BR",SUMPRODUCT(Mecze[[#This Row],[/PR:90]:[/BR:90]],Brudnopis!$E$24:$J$24),0)</f>
        <v>0</v>
      </c>
      <c r="U3016" s="44">
        <f>IF(Mecze[[#This Row],[Role]]&lt;&gt;"BR",SUMPRODUCT(Mecze[[#This Row],[/PR:90]:[/BR:90]],Brudnopis!$E$25:$J$25),0)</f>
        <v>0</v>
      </c>
      <c r="V3016" s="44">
        <f>IF(Mecze[[#This Row],[Role]]&lt;&gt;"BR",SUMPRODUCT(Mecze[[#This Row],[/PR:90]:[/BR:90]],Brudnopis!$E$26:$J$26),0)</f>
        <v>0</v>
      </c>
      <c r="W3016" s="44">
        <f>IF(Mecze[[#This Row],[Role]]&lt;&gt;"BR",SUMPRODUCT(Mecze[[#This Row],[/PR:90]:[/BR:90]],Brudnopis!$E$27:$J$27),0)</f>
        <v>0</v>
      </c>
      <c r="X3016" s="44">
        <f>IF(Mecze[[#This Row],[Role]]&lt;&gt;"BR",SUMPRODUCT(Mecze[[#This Row],[/PR:90]:[/BR:90]],Brudnopis!$E$28:$J$28),0)</f>
        <v>0</v>
      </c>
      <c r="Y3016" s="35">
        <f>IF(Mecze[[#This Row],[Role]]="BR",Mecze[[#This Row],[/OB:90]]+Mecze[[#This Row],[/PC:90]],SUM(Mecze[[#This Row],[/PR:90]:[/BR:90]]))</f>
        <v>0.16494845360824742</v>
      </c>
      <c r="Z3016" s="35">
        <f>IF(Mecze[[#This Row],[KC]]=0,SUM(Mecze[[#This Row],[/BRI]:[/NPI]]),SUM(Mecze[[#This Row],[/BRI]:[/NPI]])*0.6)</f>
        <v>0.49484536082474229</v>
      </c>
      <c r="AA3016" s="10">
        <f>IFERROR(Mecze[[#This Row],[BR]]/Mecze[[#This Row],[ST]],0)</f>
        <v>0</v>
      </c>
      <c r="AB3016">
        <f>ROUND(Mecze[[#This Row],[PD]]*Mecze[[#This Row],[%PC]],0)</f>
        <v>8</v>
      </c>
      <c r="AC3016">
        <f>ROUND(Mecze[[#This Row],[OD]]*Mecze[[#This Row],[%OU]],0)</f>
        <v>0</v>
      </c>
      <c r="AD3016" s="36" t="s">
        <v>40</v>
      </c>
      <c r="AE3016" s="36">
        <v>169</v>
      </c>
      <c r="AF3016" s="71">
        <v>3.38</v>
      </c>
      <c r="AG3016" s="37">
        <v>0</v>
      </c>
      <c r="AH3016" s="37">
        <v>0</v>
      </c>
      <c r="AI3016" s="37">
        <v>97</v>
      </c>
      <c r="AJ3016" s="37">
        <v>2</v>
      </c>
      <c r="AK3016" s="37" t="str">
        <f>VLOOKUP(Mecze[[#This Row],[Match ID]],Meczusie[Mecz]:Meczusie[RodzajMeczu],2,FALSE)</f>
        <v>Liga</v>
      </c>
    </row>
    <row r="3017" spans="1:37" x14ac:dyDescent="0.25">
      <c r="A3017" s="76">
        <v>47</v>
      </c>
      <c r="B3017" s="3" t="s">
        <v>502</v>
      </c>
      <c r="C3017" s="2" t="s">
        <v>157</v>
      </c>
      <c r="D3017" s="1">
        <v>0</v>
      </c>
      <c r="E3017" s="1">
        <v>0</v>
      </c>
      <c r="F3017" s="1">
        <v>0</v>
      </c>
      <c r="G3017" s="1">
        <v>13</v>
      </c>
      <c r="H3017" s="4">
        <v>0.23</v>
      </c>
      <c r="I3017" s="1">
        <v>6</v>
      </c>
      <c r="J3017" s="4">
        <v>0</v>
      </c>
      <c r="K3017" s="1">
        <v>0</v>
      </c>
      <c r="L3017" s="1">
        <v>12</v>
      </c>
      <c r="M3017" s="32">
        <f>IF(Mecze[[#This Row],[PR]]=0,0,Mecze[[#This Row],[PR]]/Mecze[[#This Row],[CZAS]])</f>
        <v>0.12371134020618557</v>
      </c>
      <c r="N3017" s="32">
        <f>IF(Mecze[[#This Row],[OU]]=0,0,Mecze[[#This Row],[OU]]/Mecze[[#This Row],[CZAS]])</f>
        <v>0</v>
      </c>
      <c r="O3017" s="32">
        <f>IF(Mecze[[#This Row],[PC]]=0,0,Mecze[[#This Row],[PC]]/Mecze[[#This Row],[CZAS]])</f>
        <v>3.0927835051546393E-2</v>
      </c>
      <c r="P3017" s="32">
        <f>IF(Mecze[[#This Row],[SC]]=0,0,Mecze[[#This Row],[SC]]/Mecze[[#This Row],[CZAS]])</f>
        <v>0</v>
      </c>
      <c r="Q3017" s="32">
        <f>IF(Mecze[[#This Row],[OB]]=0,0,Mecze[[#This Row],[OB]]/Mecze[[#This Row],[CZAS]])</f>
        <v>0</v>
      </c>
      <c r="R3017" s="32">
        <f>IF(Mecze[[#This Row],[BR]]=0,0,Mecze[[#This Row],[BR]]/Mecze[[#This Row],[CZAS]])</f>
        <v>0</v>
      </c>
      <c r="S3017" s="44">
        <f>IF(Mecze[[#This Row],[Role]]="BR",SUMPRODUCT(Mecze[[#This Row],[/PR:90]:[/BR:90]],Brudnopis!$E$23:$J$23),0)</f>
        <v>0</v>
      </c>
      <c r="T3017" s="44">
        <f>IF(Mecze[[#This Row],[Role]]&lt;&gt;"BR",SUMPRODUCT(Mecze[[#This Row],[/PR:90]:[/BR:90]],Brudnopis!$E$24:$J$24),0)</f>
        <v>0.15463917525773196</v>
      </c>
      <c r="U3017" s="44">
        <f>IF(Mecze[[#This Row],[Role]]&lt;&gt;"BR",SUMPRODUCT(Mecze[[#This Row],[/PR:90]:[/BR:90]],Brudnopis!$E$25:$J$25),0)</f>
        <v>0.17010309278350516</v>
      </c>
      <c r="V3017" s="44">
        <f>IF(Mecze[[#This Row],[Role]]&lt;&gt;"BR",SUMPRODUCT(Mecze[[#This Row],[/PR:90]:[/BR:90]],Brudnopis!$E$26:$J$26),0)</f>
        <v>0.15463917525773196</v>
      </c>
      <c r="W3017" s="44">
        <f>IF(Mecze[[#This Row],[Role]]&lt;&gt;"BR",SUMPRODUCT(Mecze[[#This Row],[/PR:90]:[/BR:90]],Brudnopis!$E$27:$J$27),0)</f>
        <v>0.13917525773195877</v>
      </c>
      <c r="X3017" s="44">
        <f>IF(Mecze[[#This Row],[Role]]&lt;&gt;"BR",SUMPRODUCT(Mecze[[#This Row],[/PR:90]:[/BR:90]],Brudnopis!$E$28:$J$28),0)</f>
        <v>3.0927835051546393E-2</v>
      </c>
      <c r="Y3017" s="35">
        <f>IF(Mecze[[#This Row],[Role]]="BR",Mecze[[#This Row],[/OB:90]]+Mecze[[#This Row],[/PC:90]],SUM(Mecze[[#This Row],[/PR:90]:[/BR:90]]))</f>
        <v>0.15463917525773196</v>
      </c>
      <c r="Z3017" s="35">
        <f>IF(Mecze[[#This Row],[KC]]=0,SUM(Mecze[[#This Row],[/BRI]:[/NPI]]),SUM(Mecze[[#This Row],[/BRI]:[/NPI]])*0.6)</f>
        <v>0.64948453608247425</v>
      </c>
      <c r="AA3017" s="10">
        <f>IFERROR(Mecze[[#This Row],[BR]]/Mecze[[#This Row],[ST]],0)</f>
        <v>0</v>
      </c>
      <c r="AB3017">
        <f>ROUND(Mecze[[#This Row],[PD]]*Mecze[[#This Row],[%PC]],0)</f>
        <v>3</v>
      </c>
      <c r="AC3017">
        <f>ROUND(Mecze[[#This Row],[OD]]*Mecze[[#This Row],[%OU]],0)</f>
        <v>0</v>
      </c>
      <c r="AD3017" s="36" t="s">
        <v>174</v>
      </c>
      <c r="AE3017" s="36">
        <v>169</v>
      </c>
      <c r="AF3017" s="71">
        <v>3.1</v>
      </c>
      <c r="AG3017" s="37">
        <v>0</v>
      </c>
      <c r="AH3017" s="37">
        <v>0</v>
      </c>
      <c r="AI3017" s="37">
        <v>97</v>
      </c>
      <c r="AJ3017" s="37">
        <v>2</v>
      </c>
      <c r="AK3017" s="37" t="str">
        <f>VLOOKUP(Mecze[[#This Row],[Match ID]],Meczusie[Mecz]:Meczusie[RodzajMeczu],2,FALSE)</f>
        <v>Liga</v>
      </c>
    </row>
    <row r="3018" spans="1:37" x14ac:dyDescent="0.25">
      <c r="A3018" s="76">
        <v>40</v>
      </c>
      <c r="B3018" s="3" t="s">
        <v>498</v>
      </c>
      <c r="C3018" s="2" t="s">
        <v>157</v>
      </c>
      <c r="D3018" s="1">
        <v>0</v>
      </c>
      <c r="E3018" s="1">
        <v>0</v>
      </c>
      <c r="F3018" s="1">
        <v>0</v>
      </c>
      <c r="G3018" s="1">
        <v>14</v>
      </c>
      <c r="H3018" s="4">
        <v>7.0000000000000007E-2</v>
      </c>
      <c r="I3018" s="1">
        <v>2</v>
      </c>
      <c r="J3018" s="4">
        <v>0</v>
      </c>
      <c r="K3018" s="1">
        <v>0</v>
      </c>
      <c r="L3018" s="1">
        <v>14</v>
      </c>
      <c r="M3018" s="32">
        <f>IF(Mecze[[#This Row],[PR]]=0,0,Mecze[[#This Row],[PR]]/Mecze[[#This Row],[CZAS]])</f>
        <v>0.14432989690721648</v>
      </c>
      <c r="N3018" s="32">
        <f>IF(Mecze[[#This Row],[OU]]=0,0,Mecze[[#This Row],[OU]]/Mecze[[#This Row],[CZAS]])</f>
        <v>0</v>
      </c>
      <c r="O3018" s="32">
        <f>IF(Mecze[[#This Row],[PC]]=0,0,Mecze[[#This Row],[PC]]/Mecze[[#This Row],[CZAS]])</f>
        <v>1.0309278350515464E-2</v>
      </c>
      <c r="P3018" s="32">
        <f>IF(Mecze[[#This Row],[SC]]=0,0,Mecze[[#This Row],[SC]]/Mecze[[#This Row],[CZAS]])</f>
        <v>0</v>
      </c>
      <c r="Q3018" s="32">
        <f>IF(Mecze[[#This Row],[OB]]=0,0,Mecze[[#This Row],[OB]]/Mecze[[#This Row],[CZAS]])</f>
        <v>0</v>
      </c>
      <c r="R3018" s="32">
        <f>IF(Mecze[[#This Row],[BR]]=0,0,Mecze[[#This Row],[BR]]/Mecze[[#This Row],[CZAS]])</f>
        <v>0</v>
      </c>
      <c r="S3018" s="44">
        <f>IF(Mecze[[#This Row],[Role]]="BR",SUMPRODUCT(Mecze[[#This Row],[/PR:90]:[/BR:90]],Brudnopis!$E$23:$J$23),0)</f>
        <v>0</v>
      </c>
      <c r="T3018" s="44">
        <f>IF(Mecze[[#This Row],[Role]]&lt;&gt;"BR",SUMPRODUCT(Mecze[[#This Row],[/PR:90]:[/BR:90]],Brudnopis!$E$24:$J$24),0)</f>
        <v>0.15463917525773194</v>
      </c>
      <c r="U3018" s="44">
        <f>IF(Mecze[[#This Row],[Role]]&lt;&gt;"BR",SUMPRODUCT(Mecze[[#This Row],[/PR:90]:[/BR:90]],Brudnopis!$E$25:$J$25),0)</f>
        <v>0.15979381443298968</v>
      </c>
      <c r="V3018" s="44">
        <f>IF(Mecze[[#This Row],[Role]]&lt;&gt;"BR",SUMPRODUCT(Mecze[[#This Row],[/PR:90]:[/BR:90]],Brudnopis!$E$26:$J$26),0)</f>
        <v>0.15463917525773194</v>
      </c>
      <c r="W3018" s="44">
        <f>IF(Mecze[[#This Row],[Role]]&lt;&gt;"BR",SUMPRODUCT(Mecze[[#This Row],[/PR:90]:[/BR:90]],Brudnopis!$E$27:$J$27),0)</f>
        <v>0.12371134020618556</v>
      </c>
      <c r="X3018" s="44">
        <f>IF(Mecze[[#This Row],[Role]]&lt;&gt;"BR",SUMPRODUCT(Mecze[[#This Row],[/PR:90]:[/BR:90]],Brudnopis!$E$28:$J$28),0)</f>
        <v>1.0309278350515464E-2</v>
      </c>
      <c r="Y3018" s="35">
        <f>IF(Mecze[[#This Row],[Role]]="BR",Mecze[[#This Row],[/OB:90]]+Mecze[[#This Row],[/PC:90]],SUM(Mecze[[#This Row],[/PR:90]:[/BR:90]]))</f>
        <v>0.15463917525773194</v>
      </c>
      <c r="Z3018" s="35">
        <f>IF(Mecze[[#This Row],[KC]]=0,SUM(Mecze[[#This Row],[/BRI]:[/NPI]]),SUM(Mecze[[#This Row],[/BRI]:[/NPI]])*0.6)</f>
        <v>0.60309278350515461</v>
      </c>
      <c r="AA3018" s="10">
        <f>IFERROR(Mecze[[#This Row],[BR]]/Mecze[[#This Row],[ST]],0)</f>
        <v>0</v>
      </c>
      <c r="AB3018">
        <f>ROUND(Mecze[[#This Row],[PD]]*Mecze[[#This Row],[%PC]],0)</f>
        <v>1</v>
      </c>
      <c r="AC3018">
        <f>ROUND(Mecze[[#This Row],[OD]]*Mecze[[#This Row],[%OU]],0)</f>
        <v>0</v>
      </c>
      <c r="AD3018" s="36" t="s">
        <v>47</v>
      </c>
      <c r="AE3018" s="36">
        <v>169</v>
      </c>
      <c r="AF3018" s="71">
        <v>3.52</v>
      </c>
      <c r="AG3018" s="37">
        <v>0</v>
      </c>
      <c r="AH3018" s="37">
        <v>0</v>
      </c>
      <c r="AI3018" s="37">
        <v>97</v>
      </c>
      <c r="AJ3018" s="37">
        <v>2</v>
      </c>
      <c r="AK3018" s="37" t="str">
        <f>VLOOKUP(Mecze[[#This Row],[Match ID]],Meczusie[Mecz]:Meczusie[RodzajMeczu],2,FALSE)</f>
        <v>Liga</v>
      </c>
    </row>
    <row r="3019" spans="1:37" x14ac:dyDescent="0.25">
      <c r="A3019" s="76">
        <v>37</v>
      </c>
      <c r="B3019" s="3" t="s">
        <v>499</v>
      </c>
      <c r="C3019" s="2" t="s">
        <v>157</v>
      </c>
      <c r="D3019" s="1">
        <v>0</v>
      </c>
      <c r="E3019" s="1">
        <v>0</v>
      </c>
      <c r="F3019" s="1">
        <v>0</v>
      </c>
      <c r="G3019" s="1">
        <v>2</v>
      </c>
      <c r="H3019" s="4">
        <v>1</v>
      </c>
      <c r="I3019" s="1">
        <v>0</v>
      </c>
      <c r="J3019" s="4"/>
      <c r="K3019" s="1">
        <v>0</v>
      </c>
      <c r="L3019" s="1">
        <v>0</v>
      </c>
      <c r="M3019" s="32">
        <f>IF(Mecze[[#This Row],[PR]]=0,0,Mecze[[#This Row],[PR]]/Mecze[[#This Row],[CZAS]])</f>
        <v>0</v>
      </c>
      <c r="N3019" s="32">
        <f>IF(Mecze[[#This Row],[OU]]=0,0,Mecze[[#This Row],[OU]]/Mecze[[#This Row],[CZAS]])</f>
        <v>0</v>
      </c>
      <c r="O3019" s="32">
        <f>IF(Mecze[[#This Row],[PC]]=0,0,Mecze[[#This Row],[PC]]/Mecze[[#This Row],[CZAS]])</f>
        <v>2.0618556701030927E-2</v>
      </c>
      <c r="P3019" s="32">
        <f>IF(Mecze[[#This Row],[SC]]=0,0,Mecze[[#This Row],[SC]]/Mecze[[#This Row],[CZAS]])</f>
        <v>0</v>
      </c>
      <c r="Q3019" s="32">
        <f>IF(Mecze[[#This Row],[OB]]=0,0,Mecze[[#This Row],[OB]]/Mecze[[#This Row],[CZAS]])</f>
        <v>0</v>
      </c>
      <c r="R3019" s="32">
        <f>IF(Mecze[[#This Row],[BR]]=0,0,Mecze[[#This Row],[BR]]/Mecze[[#This Row],[CZAS]])</f>
        <v>0</v>
      </c>
      <c r="S3019" s="44">
        <f>IF(Mecze[[#This Row],[Role]]="BR",SUMPRODUCT(Mecze[[#This Row],[/PR:90]:[/BR:90]],Brudnopis!$E$23:$J$23),0)</f>
        <v>0</v>
      </c>
      <c r="T3019" s="44">
        <f>IF(Mecze[[#This Row],[Role]]&lt;&gt;"BR",SUMPRODUCT(Mecze[[#This Row],[/PR:90]:[/BR:90]],Brudnopis!$E$24:$J$24),0)</f>
        <v>2.0618556701030927E-2</v>
      </c>
      <c r="U3019" s="44">
        <f>IF(Mecze[[#This Row],[Role]]&lt;&gt;"BR",SUMPRODUCT(Mecze[[#This Row],[/PR:90]:[/BR:90]],Brudnopis!$E$25:$J$25),0)</f>
        <v>3.0927835051546393E-2</v>
      </c>
      <c r="V3019" s="44">
        <f>IF(Mecze[[#This Row],[Role]]&lt;&gt;"BR",SUMPRODUCT(Mecze[[#This Row],[/PR:90]:[/BR:90]],Brudnopis!$E$26:$J$26),0)</f>
        <v>2.0618556701030927E-2</v>
      </c>
      <c r="W3019" s="44">
        <f>IF(Mecze[[#This Row],[Role]]&lt;&gt;"BR",SUMPRODUCT(Mecze[[#This Row],[/PR:90]:[/BR:90]],Brudnopis!$E$27:$J$27),0)</f>
        <v>3.0927835051546393E-2</v>
      </c>
      <c r="X3019" s="44">
        <f>IF(Mecze[[#This Row],[Role]]&lt;&gt;"BR",SUMPRODUCT(Mecze[[#This Row],[/PR:90]:[/BR:90]],Brudnopis!$E$28:$J$28),0)</f>
        <v>2.0618556701030927E-2</v>
      </c>
      <c r="Y3019" s="35">
        <f>IF(Mecze[[#This Row],[Role]]="BR",Mecze[[#This Row],[/OB:90]]+Mecze[[#This Row],[/PC:90]],SUM(Mecze[[#This Row],[/PR:90]:[/BR:90]]))</f>
        <v>2.0618556701030927E-2</v>
      </c>
      <c r="Z3019" s="35">
        <f>IF(Mecze[[#This Row],[KC]]=0,SUM(Mecze[[#This Row],[/BRI]:[/NPI]]),SUM(Mecze[[#This Row],[/BRI]:[/NPI]])*0.6)</f>
        <v>0.12371134020618556</v>
      </c>
      <c r="AA3019" s="10">
        <f>IFERROR(Mecze[[#This Row],[BR]]/Mecze[[#This Row],[ST]],0)</f>
        <v>0</v>
      </c>
      <c r="AB3019">
        <f>ROUND(Mecze[[#This Row],[PD]]*Mecze[[#This Row],[%PC]],0)</f>
        <v>2</v>
      </c>
      <c r="AC3019">
        <f>ROUND(Mecze[[#This Row],[OD]]*Mecze[[#This Row],[%OU]],0)</f>
        <v>0</v>
      </c>
      <c r="AD3019" s="36" t="s">
        <v>175</v>
      </c>
      <c r="AE3019" s="36">
        <v>169</v>
      </c>
      <c r="AF3019" s="71">
        <v>0.57999999999999996</v>
      </c>
      <c r="AG3019" s="37">
        <v>0</v>
      </c>
      <c r="AH3019" s="37">
        <v>0</v>
      </c>
      <c r="AI3019" s="37">
        <v>97</v>
      </c>
      <c r="AJ3019" s="37">
        <v>2</v>
      </c>
      <c r="AK3019" s="37" t="str">
        <f>VLOOKUP(Mecze[[#This Row],[Match ID]],Meczusie[Mecz]:Meczusie[RodzajMeczu],2,FALSE)</f>
        <v>Liga</v>
      </c>
    </row>
    <row r="3020" spans="1:37" x14ac:dyDescent="0.25">
      <c r="A3020" s="76">
        <v>34</v>
      </c>
      <c r="B3020" s="3" t="s">
        <v>500</v>
      </c>
      <c r="C3020" s="2" t="s">
        <v>157</v>
      </c>
      <c r="D3020" s="1">
        <v>0</v>
      </c>
      <c r="E3020" s="1">
        <v>0</v>
      </c>
      <c r="F3020" s="1">
        <v>0</v>
      </c>
      <c r="G3020" s="1">
        <v>13</v>
      </c>
      <c r="H3020" s="4">
        <v>0.31</v>
      </c>
      <c r="I3020" s="1">
        <v>2</v>
      </c>
      <c r="J3020" s="4">
        <v>0</v>
      </c>
      <c r="K3020" s="1">
        <v>0</v>
      </c>
      <c r="L3020" s="1">
        <v>10</v>
      </c>
      <c r="M3020" s="32">
        <f>IF(Mecze[[#This Row],[PR]]=0,0,Mecze[[#This Row],[PR]]/Mecze[[#This Row],[CZAS]])</f>
        <v>0.10309278350515463</v>
      </c>
      <c r="N3020" s="32">
        <f>IF(Mecze[[#This Row],[OU]]=0,0,Mecze[[#This Row],[OU]]/Mecze[[#This Row],[CZAS]])</f>
        <v>0</v>
      </c>
      <c r="O3020" s="32">
        <f>IF(Mecze[[#This Row],[PC]]=0,0,Mecze[[#This Row],[PC]]/Mecze[[#This Row],[CZAS]])</f>
        <v>4.1237113402061855E-2</v>
      </c>
      <c r="P3020" s="32">
        <f>IF(Mecze[[#This Row],[SC]]=0,0,Mecze[[#This Row],[SC]]/Mecze[[#This Row],[CZAS]])</f>
        <v>0</v>
      </c>
      <c r="Q3020" s="32">
        <f>IF(Mecze[[#This Row],[OB]]=0,0,Mecze[[#This Row],[OB]]/Mecze[[#This Row],[CZAS]])</f>
        <v>0</v>
      </c>
      <c r="R3020" s="32">
        <f>IF(Mecze[[#This Row],[BR]]=0,0,Mecze[[#This Row],[BR]]/Mecze[[#This Row],[CZAS]])</f>
        <v>0</v>
      </c>
      <c r="S3020" s="44">
        <f>IF(Mecze[[#This Row],[Role]]="BR",SUMPRODUCT(Mecze[[#This Row],[/PR:90]:[/BR:90]],Brudnopis!$E$23:$J$23),0)</f>
        <v>0</v>
      </c>
      <c r="T3020" s="44">
        <f>IF(Mecze[[#This Row],[Role]]&lt;&gt;"BR",SUMPRODUCT(Mecze[[#This Row],[/PR:90]:[/BR:90]],Brudnopis!$E$24:$J$24),0)</f>
        <v>0.14432989690721648</v>
      </c>
      <c r="U3020" s="44">
        <f>IF(Mecze[[#This Row],[Role]]&lt;&gt;"BR",SUMPRODUCT(Mecze[[#This Row],[/PR:90]:[/BR:90]],Brudnopis!$E$25:$J$25),0)</f>
        <v>0.16494845360824742</v>
      </c>
      <c r="V3020" s="44">
        <f>IF(Mecze[[#This Row],[Role]]&lt;&gt;"BR",SUMPRODUCT(Mecze[[#This Row],[/PR:90]:[/BR:90]],Brudnopis!$E$26:$J$26),0)</f>
        <v>0.14432989690721648</v>
      </c>
      <c r="W3020" s="44">
        <f>IF(Mecze[[#This Row],[Role]]&lt;&gt;"BR",SUMPRODUCT(Mecze[[#This Row],[/PR:90]:[/BR:90]],Brudnopis!$E$27:$J$27),0)</f>
        <v>0.13917525773195877</v>
      </c>
      <c r="X3020" s="44">
        <f>IF(Mecze[[#This Row],[Role]]&lt;&gt;"BR",SUMPRODUCT(Mecze[[#This Row],[/PR:90]:[/BR:90]],Brudnopis!$E$28:$J$28),0)</f>
        <v>4.1237113402061855E-2</v>
      </c>
      <c r="Y3020" s="35">
        <f>IF(Mecze[[#This Row],[Role]]="BR",Mecze[[#This Row],[/OB:90]]+Mecze[[#This Row],[/PC:90]],SUM(Mecze[[#This Row],[/PR:90]:[/BR:90]]))</f>
        <v>0.14432989690721648</v>
      </c>
      <c r="Z3020" s="35">
        <f>IF(Mecze[[#This Row],[KC]]=0,SUM(Mecze[[#This Row],[/BRI]:[/NPI]]),SUM(Mecze[[#This Row],[/BRI]:[/NPI]])*0.6)</f>
        <v>0.634020618556701</v>
      </c>
      <c r="AA3020" s="10">
        <f>IFERROR(Mecze[[#This Row],[BR]]/Mecze[[#This Row],[ST]],0)</f>
        <v>0</v>
      </c>
      <c r="AB3020">
        <f>ROUND(Mecze[[#This Row],[PD]]*Mecze[[#This Row],[%PC]],0)</f>
        <v>4</v>
      </c>
      <c r="AC3020">
        <f>ROUND(Mecze[[#This Row],[OD]]*Mecze[[#This Row],[%OU]],0)</f>
        <v>0</v>
      </c>
      <c r="AD3020" s="36" t="s">
        <v>47</v>
      </c>
      <c r="AE3020" s="36">
        <v>169</v>
      </c>
      <c r="AF3020" s="71">
        <v>2.68</v>
      </c>
      <c r="AG3020" s="37">
        <v>0</v>
      </c>
      <c r="AH3020" s="37">
        <v>0</v>
      </c>
      <c r="AI3020" s="37">
        <v>97</v>
      </c>
      <c r="AJ3020" s="37">
        <v>2</v>
      </c>
      <c r="AK3020" s="37" t="str">
        <f>VLOOKUP(Mecze[[#This Row],[Match ID]],Meczusie[Mecz]:Meczusie[RodzajMeczu],2,FALSE)</f>
        <v>Liga</v>
      </c>
    </row>
    <row r="3021" spans="1:37" x14ac:dyDescent="0.25">
      <c r="A3021" s="76">
        <v>39</v>
      </c>
      <c r="B3021" s="3" t="s">
        <v>511</v>
      </c>
      <c r="C3021" s="2" t="s">
        <v>160</v>
      </c>
      <c r="D3021" s="1">
        <v>0</v>
      </c>
      <c r="E3021" s="1">
        <v>0</v>
      </c>
      <c r="F3021" s="1">
        <v>0</v>
      </c>
      <c r="G3021" s="1">
        <v>2</v>
      </c>
      <c r="H3021" s="4">
        <v>1</v>
      </c>
      <c r="I3021" s="1">
        <v>1</v>
      </c>
      <c r="J3021" s="4">
        <v>1</v>
      </c>
      <c r="K3021" s="1">
        <v>0</v>
      </c>
      <c r="L3021" s="1">
        <v>1</v>
      </c>
      <c r="M3021" s="32">
        <f>IF(Mecze[[#This Row],[PR]]=0,0,Mecze[[#This Row],[PR]]/Mecze[[#This Row],[CZAS]])</f>
        <v>1.0309278350515464E-2</v>
      </c>
      <c r="N3021" s="32">
        <f>IF(Mecze[[#This Row],[OU]]=0,0,Mecze[[#This Row],[OU]]/Mecze[[#This Row],[CZAS]])</f>
        <v>1.0309278350515464E-2</v>
      </c>
      <c r="O3021" s="32">
        <f>IF(Mecze[[#This Row],[PC]]=0,0,Mecze[[#This Row],[PC]]/Mecze[[#This Row],[CZAS]])</f>
        <v>2.0618556701030927E-2</v>
      </c>
      <c r="P3021" s="32">
        <f>IF(Mecze[[#This Row],[SC]]=0,0,Mecze[[#This Row],[SC]]/Mecze[[#This Row],[CZAS]])</f>
        <v>0</v>
      </c>
      <c r="Q3021" s="32">
        <f>IF(Mecze[[#This Row],[OB]]=0,0,Mecze[[#This Row],[OB]]/Mecze[[#This Row],[CZAS]])</f>
        <v>0</v>
      </c>
      <c r="R3021" s="32">
        <f>IF(Mecze[[#This Row],[BR]]=0,0,Mecze[[#This Row],[BR]]/Mecze[[#This Row],[CZAS]])</f>
        <v>0</v>
      </c>
      <c r="S3021" s="44">
        <f>IF(Mecze[[#This Row],[Role]]="BR",SUMPRODUCT(Mecze[[#This Row],[/PR:90]:[/BR:90]],Brudnopis!$E$23:$J$23),0)</f>
        <v>0</v>
      </c>
      <c r="T3021" s="44">
        <f>IF(Mecze[[#This Row],[Role]]&lt;&gt;"BR",SUMPRODUCT(Mecze[[#This Row],[/PR:90]:[/BR:90]],Brudnopis!$E$24:$J$24),0)</f>
        <v>4.6391752577319589E-2</v>
      </c>
      <c r="U3021" s="44">
        <f>IF(Mecze[[#This Row],[Role]]&lt;&gt;"BR",SUMPRODUCT(Mecze[[#This Row],[/PR:90]:[/BR:90]],Brudnopis!$E$25:$J$25),0)</f>
        <v>5.1546391752577317E-2</v>
      </c>
      <c r="V3021" s="44">
        <f>IF(Mecze[[#This Row],[Role]]&lt;&gt;"BR",SUMPRODUCT(Mecze[[#This Row],[/PR:90]:[/BR:90]],Brudnopis!$E$26:$J$26),0)</f>
        <v>4.1237113402061855E-2</v>
      </c>
      <c r="W3021" s="44">
        <f>IF(Mecze[[#This Row],[Role]]&lt;&gt;"BR",SUMPRODUCT(Mecze[[#This Row],[/PR:90]:[/BR:90]],Brudnopis!$E$27:$J$27),0)</f>
        <v>4.6391752577319589E-2</v>
      </c>
      <c r="X3021" s="44">
        <f>IF(Mecze[[#This Row],[Role]]&lt;&gt;"BR",SUMPRODUCT(Mecze[[#This Row],[/PR:90]:[/BR:90]],Brudnopis!$E$28:$J$28),0)</f>
        <v>2.0618556701030927E-2</v>
      </c>
      <c r="Y3021" s="35">
        <f>IF(Mecze[[#This Row],[Role]]="BR",Mecze[[#This Row],[/OB:90]]+Mecze[[#This Row],[/PC:90]],SUM(Mecze[[#This Row],[/PR:90]:[/BR:90]]))</f>
        <v>4.1237113402061855E-2</v>
      </c>
      <c r="Z3021" s="35">
        <f>IF(Mecze[[#This Row],[KC]]=0,SUM(Mecze[[#This Row],[/BRI]:[/NPI]]),SUM(Mecze[[#This Row],[/BRI]:[/NPI]])*0.6)</f>
        <v>0.2061855670103093</v>
      </c>
      <c r="AA3021" s="10">
        <f>IFERROR(Mecze[[#This Row],[BR]]/Mecze[[#This Row],[ST]],0)</f>
        <v>0</v>
      </c>
      <c r="AB3021">
        <f>ROUND(Mecze[[#This Row],[PD]]*Mecze[[#This Row],[%PC]],0)</f>
        <v>2</v>
      </c>
      <c r="AC3021">
        <f>ROUND(Mecze[[#This Row],[OD]]*Mecze[[#This Row],[%OU]],0)</f>
        <v>1</v>
      </c>
      <c r="AD3021" s="36" t="s">
        <v>319</v>
      </c>
      <c r="AE3021" s="36">
        <v>169</v>
      </c>
      <c r="AF3021" s="71">
        <v>2.91</v>
      </c>
      <c r="AG3021" s="37">
        <v>0</v>
      </c>
      <c r="AH3021" s="37">
        <v>0</v>
      </c>
      <c r="AI3021" s="37">
        <v>97</v>
      </c>
      <c r="AJ3021" s="37">
        <v>2</v>
      </c>
      <c r="AK3021" s="37" t="str">
        <f>VLOOKUP(Mecze[[#This Row],[Match ID]],Meczusie[Mecz]:Meczusie[RodzajMeczu],2,FALSE)</f>
        <v>Liga</v>
      </c>
    </row>
    <row r="3022" spans="1:37" x14ac:dyDescent="0.25">
      <c r="A3022" s="76">
        <v>72</v>
      </c>
      <c r="B3022" s="3" t="s">
        <v>488</v>
      </c>
      <c r="C3022" s="2" t="s">
        <v>160</v>
      </c>
      <c r="D3022" s="1">
        <v>0</v>
      </c>
      <c r="E3022" s="1">
        <v>0</v>
      </c>
      <c r="F3022" s="1">
        <v>0</v>
      </c>
      <c r="G3022" s="1">
        <v>13</v>
      </c>
      <c r="H3022" s="4">
        <v>0.54</v>
      </c>
      <c r="I3022" s="1">
        <v>10</v>
      </c>
      <c r="J3022" s="4">
        <v>0.3</v>
      </c>
      <c r="K3022" s="1">
        <v>0</v>
      </c>
      <c r="L3022" s="1">
        <v>5</v>
      </c>
      <c r="M3022" s="32">
        <f>IF(Mecze[[#This Row],[PR]]=0,0,Mecze[[#This Row],[PR]]/Mecze[[#This Row],[CZAS]])</f>
        <v>5.1546391752577317E-2</v>
      </c>
      <c r="N3022" s="32">
        <f>IF(Mecze[[#This Row],[OU]]=0,0,Mecze[[#This Row],[OU]]/Mecze[[#This Row],[CZAS]])</f>
        <v>3.0927835051546393E-2</v>
      </c>
      <c r="O3022" s="32">
        <f>IF(Mecze[[#This Row],[PC]]=0,0,Mecze[[#This Row],[PC]]/Mecze[[#This Row],[CZAS]])</f>
        <v>7.2164948453608241E-2</v>
      </c>
      <c r="P3022" s="32">
        <f>IF(Mecze[[#This Row],[SC]]=0,0,Mecze[[#This Row],[SC]]/Mecze[[#This Row],[CZAS]])</f>
        <v>0</v>
      </c>
      <c r="Q3022" s="32">
        <f>IF(Mecze[[#This Row],[OB]]=0,0,Mecze[[#This Row],[OB]]/Mecze[[#This Row],[CZAS]])</f>
        <v>0</v>
      </c>
      <c r="R3022" s="32">
        <f>IF(Mecze[[#This Row],[BR]]=0,0,Mecze[[#This Row],[BR]]/Mecze[[#This Row],[CZAS]])</f>
        <v>0</v>
      </c>
      <c r="S3022" s="44">
        <f>IF(Mecze[[#This Row],[Role]]="BR",SUMPRODUCT(Mecze[[#This Row],[/PR:90]:[/BR:90]],Brudnopis!$E$23:$J$23),0)</f>
        <v>0</v>
      </c>
      <c r="T3022" s="44">
        <f>IF(Mecze[[#This Row],[Role]]&lt;&gt;"BR",SUMPRODUCT(Mecze[[#This Row],[/PR:90]:[/BR:90]],Brudnopis!$E$24:$J$24),0)</f>
        <v>0.17010309278350516</v>
      </c>
      <c r="U3022" s="44">
        <f>IF(Mecze[[#This Row],[Role]]&lt;&gt;"BR",SUMPRODUCT(Mecze[[#This Row],[/PR:90]:[/BR:90]],Brudnopis!$E$25:$J$25),0)</f>
        <v>0.19072164948453607</v>
      </c>
      <c r="V3022" s="44">
        <f>IF(Mecze[[#This Row],[Role]]&lt;&gt;"BR",SUMPRODUCT(Mecze[[#This Row],[/PR:90]:[/BR:90]],Brudnopis!$E$26:$J$26),0)</f>
        <v>0.15463917525773196</v>
      </c>
      <c r="W3022" s="44">
        <f>IF(Mecze[[#This Row],[Role]]&lt;&gt;"BR",SUMPRODUCT(Mecze[[#This Row],[/PR:90]:[/BR:90]],Brudnopis!$E$27:$J$27),0)</f>
        <v>0.17010309278350516</v>
      </c>
      <c r="X3022" s="44">
        <f>IF(Mecze[[#This Row],[Role]]&lt;&gt;"BR",SUMPRODUCT(Mecze[[#This Row],[/PR:90]:[/BR:90]],Brudnopis!$E$28:$J$28),0)</f>
        <v>7.2164948453608241E-2</v>
      </c>
      <c r="Y3022" s="35">
        <f>IF(Mecze[[#This Row],[Role]]="BR",Mecze[[#This Row],[/OB:90]]+Mecze[[#This Row],[/PC:90]],SUM(Mecze[[#This Row],[/PR:90]:[/BR:90]]))</f>
        <v>0.15463917525773196</v>
      </c>
      <c r="Z3022" s="35">
        <f>IF(Mecze[[#This Row],[KC]]=0,SUM(Mecze[[#This Row],[/BRI]:[/NPI]]),SUM(Mecze[[#This Row],[/BRI]:[/NPI]])*0.6)</f>
        <v>0.75773195876288657</v>
      </c>
      <c r="AA3022" s="10">
        <f>IFERROR(Mecze[[#This Row],[BR]]/Mecze[[#This Row],[ST]],0)</f>
        <v>0</v>
      </c>
      <c r="AB3022">
        <f>ROUND(Mecze[[#This Row],[PD]]*Mecze[[#This Row],[%PC]],0)</f>
        <v>7</v>
      </c>
      <c r="AC3022">
        <f>ROUND(Mecze[[#This Row],[OD]]*Mecze[[#This Row],[%OU]],0)</f>
        <v>3</v>
      </c>
      <c r="AD3022" s="36" t="s">
        <v>67</v>
      </c>
      <c r="AE3022" s="36">
        <v>169</v>
      </c>
      <c r="AF3022" s="71">
        <v>4.96</v>
      </c>
      <c r="AG3022" s="37">
        <v>0</v>
      </c>
      <c r="AH3022" s="37">
        <v>0</v>
      </c>
      <c r="AI3022" s="37">
        <v>97</v>
      </c>
      <c r="AJ3022" s="37">
        <v>2</v>
      </c>
      <c r="AK3022" s="37" t="str">
        <f>VLOOKUP(Mecze[[#This Row],[Match ID]],Meczusie[Mecz]:Meczusie[RodzajMeczu],2,FALSE)</f>
        <v>Liga</v>
      </c>
    </row>
    <row r="3023" spans="1:37" x14ac:dyDescent="0.25">
      <c r="A3023" s="76">
        <v>43</v>
      </c>
      <c r="B3023" s="3" t="s">
        <v>503</v>
      </c>
      <c r="C3023" s="2" t="s">
        <v>160</v>
      </c>
      <c r="D3023" s="1">
        <v>0</v>
      </c>
      <c r="E3023" s="1">
        <v>0</v>
      </c>
      <c r="F3023" s="1">
        <v>0</v>
      </c>
      <c r="G3023" s="1">
        <v>1</v>
      </c>
      <c r="H3023" s="4">
        <v>0</v>
      </c>
      <c r="I3023" s="1">
        <v>0</v>
      </c>
      <c r="J3023" s="4"/>
      <c r="K3023" s="1">
        <v>0</v>
      </c>
      <c r="L3023" s="1">
        <v>0</v>
      </c>
      <c r="M3023" s="32">
        <f>IF(Mecze[[#This Row],[PR]]=0,0,Mecze[[#This Row],[PR]]/Mecze[[#This Row],[CZAS]])</f>
        <v>0</v>
      </c>
      <c r="N3023" s="32">
        <f>IF(Mecze[[#This Row],[OU]]=0,0,Mecze[[#This Row],[OU]]/Mecze[[#This Row],[CZAS]])</f>
        <v>0</v>
      </c>
      <c r="O3023" s="32">
        <f>IF(Mecze[[#This Row],[PC]]=0,0,Mecze[[#This Row],[PC]]/Mecze[[#This Row],[CZAS]])</f>
        <v>0</v>
      </c>
      <c r="P3023" s="32">
        <f>IF(Mecze[[#This Row],[SC]]=0,0,Mecze[[#This Row],[SC]]/Mecze[[#This Row],[CZAS]])</f>
        <v>0</v>
      </c>
      <c r="Q3023" s="32">
        <f>IF(Mecze[[#This Row],[OB]]=0,0,Mecze[[#This Row],[OB]]/Mecze[[#This Row],[CZAS]])</f>
        <v>0</v>
      </c>
      <c r="R3023" s="32">
        <f>IF(Mecze[[#This Row],[BR]]=0,0,Mecze[[#This Row],[BR]]/Mecze[[#This Row],[CZAS]])</f>
        <v>0</v>
      </c>
      <c r="S3023" s="44">
        <f>IF(Mecze[[#This Row],[Role]]="BR",SUMPRODUCT(Mecze[[#This Row],[/PR:90]:[/BR:90]],Brudnopis!$E$23:$J$23),0)</f>
        <v>0</v>
      </c>
      <c r="T3023" s="44">
        <f>IF(Mecze[[#This Row],[Role]]&lt;&gt;"BR",SUMPRODUCT(Mecze[[#This Row],[/PR:90]:[/BR:90]],Brudnopis!$E$24:$J$24),0)</f>
        <v>0</v>
      </c>
      <c r="U3023" s="44">
        <f>IF(Mecze[[#This Row],[Role]]&lt;&gt;"BR",SUMPRODUCT(Mecze[[#This Row],[/PR:90]:[/BR:90]],Brudnopis!$E$25:$J$25),0)</f>
        <v>0</v>
      </c>
      <c r="V3023" s="44">
        <f>IF(Mecze[[#This Row],[Role]]&lt;&gt;"BR",SUMPRODUCT(Mecze[[#This Row],[/PR:90]:[/BR:90]],Brudnopis!$E$26:$J$26),0)</f>
        <v>0</v>
      </c>
      <c r="W3023" s="44">
        <f>IF(Mecze[[#This Row],[Role]]&lt;&gt;"BR",SUMPRODUCT(Mecze[[#This Row],[/PR:90]:[/BR:90]],Brudnopis!$E$27:$J$27),0)</f>
        <v>0</v>
      </c>
      <c r="X3023" s="44">
        <f>IF(Mecze[[#This Row],[Role]]&lt;&gt;"BR",SUMPRODUCT(Mecze[[#This Row],[/PR:90]:[/BR:90]],Brudnopis!$E$28:$J$28),0)</f>
        <v>0</v>
      </c>
      <c r="Y3023" s="35">
        <f>IF(Mecze[[#This Row],[Role]]="BR",Mecze[[#This Row],[/OB:90]]+Mecze[[#This Row],[/PC:90]],SUM(Mecze[[#This Row],[/PR:90]:[/BR:90]]))</f>
        <v>0</v>
      </c>
      <c r="Z3023" s="35">
        <f>IF(Mecze[[#This Row],[KC]]=0,SUM(Mecze[[#This Row],[/BRI]:[/NPI]]),SUM(Mecze[[#This Row],[/BRI]:[/NPI]])*0.6)</f>
        <v>0</v>
      </c>
      <c r="AA3023" s="10">
        <f>IFERROR(Mecze[[#This Row],[BR]]/Mecze[[#This Row],[ST]],0)</f>
        <v>0</v>
      </c>
      <c r="AB3023">
        <f>ROUND(Mecze[[#This Row],[PD]]*Mecze[[#This Row],[%PC]],0)</f>
        <v>0</v>
      </c>
      <c r="AC3023">
        <f>ROUND(Mecze[[#This Row],[OD]]*Mecze[[#This Row],[%OU]],0)</f>
        <v>0</v>
      </c>
      <c r="AD3023" s="36" t="s">
        <v>318</v>
      </c>
      <c r="AE3023" s="36">
        <v>169</v>
      </c>
      <c r="AF3023" s="71">
        <v>2.7</v>
      </c>
      <c r="AG3023" s="37">
        <v>0</v>
      </c>
      <c r="AH3023" s="37">
        <v>0</v>
      </c>
      <c r="AI3023" s="37">
        <v>97</v>
      </c>
      <c r="AJ3023" s="37">
        <v>2</v>
      </c>
      <c r="AK3023" s="37" t="str">
        <f>VLOOKUP(Mecze[[#This Row],[Match ID]],Meczusie[Mecz]:Meczusie[RodzajMeczu],2,FALSE)</f>
        <v>Liga</v>
      </c>
    </row>
    <row r="3024" spans="1:37" x14ac:dyDescent="0.25">
      <c r="A3024" s="76">
        <v>31</v>
      </c>
      <c r="B3024" s="3" t="s">
        <v>501</v>
      </c>
      <c r="C3024" s="2" t="s">
        <v>160</v>
      </c>
      <c r="D3024" s="1">
        <v>0</v>
      </c>
      <c r="E3024" s="1">
        <v>1</v>
      </c>
      <c r="F3024" s="1">
        <v>1</v>
      </c>
      <c r="G3024" s="1">
        <v>12</v>
      </c>
      <c r="H3024" s="4">
        <v>0.57999999999999996</v>
      </c>
      <c r="I3024" s="1">
        <v>21</v>
      </c>
      <c r="J3024" s="4">
        <v>0.28999999999999998</v>
      </c>
      <c r="K3024" s="1">
        <v>0</v>
      </c>
      <c r="L3024" s="1">
        <v>5</v>
      </c>
      <c r="M3024" s="32">
        <f>IF(Mecze[[#This Row],[PR]]=0,0,Mecze[[#This Row],[PR]]/Mecze[[#This Row],[CZAS]])</f>
        <v>5.1546391752577317E-2</v>
      </c>
      <c r="N3024" s="32">
        <f>IF(Mecze[[#This Row],[OU]]=0,0,Mecze[[#This Row],[OU]]/Mecze[[#This Row],[CZAS]])</f>
        <v>6.1855670103092786E-2</v>
      </c>
      <c r="O3024" s="32">
        <f>IF(Mecze[[#This Row],[PC]]=0,0,Mecze[[#This Row],[PC]]/Mecze[[#This Row],[CZAS]])</f>
        <v>7.2164948453608241E-2</v>
      </c>
      <c r="P3024" s="32">
        <f>IF(Mecze[[#This Row],[SC]]=0,0,Mecze[[#This Row],[SC]]/Mecze[[#This Row],[CZAS]])</f>
        <v>1.0309278350515464E-2</v>
      </c>
      <c r="Q3024" s="32">
        <f>IF(Mecze[[#This Row],[OB]]=0,0,Mecze[[#This Row],[OB]]/Mecze[[#This Row],[CZAS]])</f>
        <v>0</v>
      </c>
      <c r="R3024" s="32">
        <f>IF(Mecze[[#This Row],[BR]]=0,0,Mecze[[#This Row],[BR]]/Mecze[[#This Row],[CZAS]])</f>
        <v>0</v>
      </c>
      <c r="S3024" s="44">
        <f>IF(Mecze[[#This Row],[Role]]="BR",SUMPRODUCT(Mecze[[#This Row],[/PR:90]:[/BR:90]],Brudnopis!$E$23:$J$23),0)</f>
        <v>0</v>
      </c>
      <c r="T3024" s="44">
        <f>IF(Mecze[[#This Row],[Role]]&lt;&gt;"BR",SUMPRODUCT(Mecze[[#This Row],[/PR:90]:[/BR:90]],Brudnopis!$E$24:$J$24),0)</f>
        <v>0.22680412371134018</v>
      </c>
      <c r="U3024" s="44">
        <f>IF(Mecze[[#This Row],[Role]]&lt;&gt;"BR",SUMPRODUCT(Mecze[[#This Row],[/PR:90]:[/BR:90]],Brudnopis!$E$25:$J$25),0)</f>
        <v>0.23195876288659792</v>
      </c>
      <c r="V3024" s="44">
        <f>IF(Mecze[[#This Row],[Role]]&lt;&gt;"BR",SUMPRODUCT(Mecze[[#This Row],[/PR:90]:[/BR:90]],Brudnopis!$E$26:$J$26),0)</f>
        <v>0.19587628865979381</v>
      </c>
      <c r="W3024" s="44">
        <f>IF(Mecze[[#This Row],[Role]]&lt;&gt;"BR",SUMPRODUCT(Mecze[[#This Row],[/PR:90]:[/BR:90]],Brudnopis!$E$27:$J$27),0)</f>
        <v>0.20360824742268038</v>
      </c>
      <c r="X3024" s="44">
        <f>IF(Mecze[[#This Row],[Role]]&lt;&gt;"BR",SUMPRODUCT(Mecze[[#This Row],[/PR:90]:[/BR:90]],Brudnopis!$E$28:$J$28),0)</f>
        <v>9.2783505154639165E-2</v>
      </c>
      <c r="Y3024" s="35">
        <f>IF(Mecze[[#This Row],[Role]]="BR",Mecze[[#This Row],[/OB:90]]+Mecze[[#This Row],[/PC:90]],SUM(Mecze[[#This Row],[/PR:90]:[/BR:90]]))</f>
        <v>0.19587628865979381</v>
      </c>
      <c r="Z3024" s="35">
        <f>IF(Mecze[[#This Row],[KC]]=0,SUM(Mecze[[#This Row],[/BRI]:[/NPI]]),SUM(Mecze[[#This Row],[/BRI]:[/NPI]])*0.6)</f>
        <v>0.95103092783505139</v>
      </c>
      <c r="AA3024" s="10">
        <f>IFERROR(Mecze[[#This Row],[BR]]/Mecze[[#This Row],[ST]],0)</f>
        <v>0</v>
      </c>
      <c r="AB3024">
        <f>ROUND(Mecze[[#This Row],[PD]]*Mecze[[#This Row],[%PC]],0)</f>
        <v>7</v>
      </c>
      <c r="AC3024">
        <f>ROUND(Mecze[[#This Row],[OD]]*Mecze[[#This Row],[%OU]],0)</f>
        <v>6</v>
      </c>
      <c r="AD3024" s="36" t="s">
        <v>67</v>
      </c>
      <c r="AE3024" s="36">
        <v>169</v>
      </c>
      <c r="AF3024" s="71">
        <v>5.19</v>
      </c>
      <c r="AG3024" s="37">
        <v>0</v>
      </c>
      <c r="AH3024" s="37">
        <v>0</v>
      </c>
      <c r="AI3024" s="37">
        <v>97</v>
      </c>
      <c r="AJ3024" s="37">
        <v>2</v>
      </c>
      <c r="AK3024" s="37" t="str">
        <f>VLOOKUP(Mecze[[#This Row],[Match ID]],Meczusie[Mecz]:Meczusie[RodzajMeczu],2,FALSE)</f>
        <v>Liga</v>
      </c>
    </row>
    <row r="3025" spans="1:37" x14ac:dyDescent="0.25">
      <c r="A3025" s="76">
        <v>99</v>
      </c>
      <c r="B3025" s="3" t="s">
        <v>513</v>
      </c>
      <c r="C3025" s="2" t="s">
        <v>165</v>
      </c>
      <c r="D3025" s="1">
        <v>0</v>
      </c>
      <c r="E3025" s="1">
        <v>2</v>
      </c>
      <c r="F3025" s="1">
        <v>1</v>
      </c>
      <c r="G3025" s="1">
        <v>7</v>
      </c>
      <c r="H3025" s="4">
        <v>0.28999999999999998</v>
      </c>
      <c r="I3025" s="1">
        <v>2</v>
      </c>
      <c r="J3025" s="4">
        <v>0.5</v>
      </c>
      <c r="K3025" s="1">
        <v>0</v>
      </c>
      <c r="L3025" s="1">
        <v>0</v>
      </c>
      <c r="M3025" s="32">
        <f>IF(Mecze[[#This Row],[PR]]=0,0,Mecze[[#This Row],[PR]]/Mecze[[#This Row],[CZAS]])</f>
        <v>0</v>
      </c>
      <c r="N3025" s="32">
        <f>IF(Mecze[[#This Row],[OU]]=0,0,Mecze[[#This Row],[OU]]/Mecze[[#This Row],[CZAS]])</f>
        <v>1.0309278350515464E-2</v>
      </c>
      <c r="O3025" s="32">
        <f>IF(Mecze[[#This Row],[PC]]=0,0,Mecze[[#This Row],[PC]]/Mecze[[#This Row],[CZAS]])</f>
        <v>2.0618556701030927E-2</v>
      </c>
      <c r="P3025" s="32">
        <f>IF(Mecze[[#This Row],[SC]]=0,0,Mecze[[#This Row],[SC]]/Mecze[[#This Row],[CZAS]])</f>
        <v>1.0309278350515464E-2</v>
      </c>
      <c r="Q3025" s="32">
        <f>IF(Mecze[[#This Row],[OB]]=0,0,Mecze[[#This Row],[OB]]/Mecze[[#This Row],[CZAS]])</f>
        <v>0</v>
      </c>
      <c r="R3025" s="32">
        <f>IF(Mecze[[#This Row],[BR]]=0,0,Mecze[[#This Row],[BR]]/Mecze[[#This Row],[CZAS]])</f>
        <v>0</v>
      </c>
      <c r="S3025" s="44">
        <f>IF(Mecze[[#This Row],[Role]]="BR",SUMPRODUCT(Mecze[[#This Row],[/PR:90]:[/BR:90]],Brudnopis!$E$23:$J$23),0)</f>
        <v>0</v>
      </c>
      <c r="T3025" s="44">
        <f>IF(Mecze[[#This Row],[Role]]&lt;&gt;"BR",SUMPRODUCT(Mecze[[#This Row],[/PR:90]:[/BR:90]],Brudnopis!$E$24:$J$24),0)</f>
        <v>4.6391752577319582E-2</v>
      </c>
      <c r="U3025" s="44">
        <f>IF(Mecze[[#This Row],[Role]]&lt;&gt;"BR",SUMPRODUCT(Mecze[[#This Row],[/PR:90]:[/BR:90]],Brudnopis!$E$25:$J$25),0)</f>
        <v>5.1546391752577317E-2</v>
      </c>
      <c r="V3025" s="44">
        <f>IF(Mecze[[#This Row],[Role]]&lt;&gt;"BR",SUMPRODUCT(Mecze[[#This Row],[/PR:90]:[/BR:90]],Brudnopis!$E$26:$J$26),0)</f>
        <v>4.1237113402061855E-2</v>
      </c>
      <c r="W3025" s="44">
        <f>IF(Mecze[[#This Row],[Role]]&lt;&gt;"BR",SUMPRODUCT(Mecze[[#This Row],[/PR:90]:[/BR:90]],Brudnopis!$E$27:$J$27),0)</f>
        <v>4.8969072164948453E-2</v>
      </c>
      <c r="X3025" s="44">
        <f>IF(Mecze[[#This Row],[Role]]&lt;&gt;"BR",SUMPRODUCT(Mecze[[#This Row],[/PR:90]:[/BR:90]],Brudnopis!$E$28:$J$28),0)</f>
        <v>4.1237113402061855E-2</v>
      </c>
      <c r="Y3025" s="35">
        <f>IF(Mecze[[#This Row],[Role]]="BR",Mecze[[#This Row],[/OB:90]]+Mecze[[#This Row],[/PC:90]],SUM(Mecze[[#This Row],[/PR:90]:[/BR:90]]))</f>
        <v>4.1237113402061855E-2</v>
      </c>
      <c r="Z3025" s="35">
        <f>IF(Mecze[[#This Row],[KC]]=0,SUM(Mecze[[#This Row],[/BRI]:[/NPI]]),SUM(Mecze[[#This Row],[/BRI]:[/NPI]])*0.6)</f>
        <v>0.22938144329896903</v>
      </c>
      <c r="AA3025" s="10">
        <f>IFERROR(Mecze[[#This Row],[BR]]/Mecze[[#This Row],[ST]],0)</f>
        <v>0</v>
      </c>
      <c r="AB3025">
        <f>ROUND(Mecze[[#This Row],[PD]]*Mecze[[#This Row],[%PC]],0)</f>
        <v>2</v>
      </c>
      <c r="AC3025">
        <f>ROUND(Mecze[[#This Row],[OD]]*Mecze[[#This Row],[%OU]],0)</f>
        <v>1</v>
      </c>
      <c r="AD3025" s="36" t="s">
        <v>273</v>
      </c>
      <c r="AE3025" s="36">
        <v>169</v>
      </c>
      <c r="AF3025" s="71">
        <v>2.93</v>
      </c>
      <c r="AG3025" s="37">
        <v>0</v>
      </c>
      <c r="AH3025" s="37">
        <v>0</v>
      </c>
      <c r="AI3025" s="37">
        <v>97</v>
      </c>
      <c r="AJ3025" s="37">
        <v>2</v>
      </c>
      <c r="AK3025" s="37" t="str">
        <f>VLOOKUP(Mecze[[#This Row],[Match ID]],Meczusie[Mecz]:Meczusie[RodzajMeczu],2,FALSE)</f>
        <v>Liga</v>
      </c>
    </row>
    <row r="3026" spans="1:37" x14ac:dyDescent="0.25">
      <c r="A3026" s="76">
        <v>70</v>
      </c>
      <c r="B3026" s="3" t="s">
        <v>365</v>
      </c>
      <c r="C3026" s="2" t="s">
        <v>165</v>
      </c>
      <c r="D3026" s="1">
        <v>0</v>
      </c>
      <c r="E3026" s="1">
        <v>4</v>
      </c>
      <c r="F3026" s="1">
        <v>2</v>
      </c>
      <c r="G3026" s="1">
        <v>7</v>
      </c>
      <c r="H3026" s="4">
        <v>0.43</v>
      </c>
      <c r="I3026" s="1">
        <v>11</v>
      </c>
      <c r="J3026" s="4">
        <v>0.18</v>
      </c>
      <c r="K3026" s="1">
        <v>0</v>
      </c>
      <c r="L3026" s="1">
        <v>0</v>
      </c>
      <c r="M3026" s="32">
        <f>IF(Mecze[[#This Row],[PR]]=0,0,Mecze[[#This Row],[PR]]/Mecze[[#This Row],[CZAS]])</f>
        <v>0</v>
      </c>
      <c r="N3026" s="32">
        <f>IF(Mecze[[#This Row],[OU]]=0,0,Mecze[[#This Row],[OU]]/Mecze[[#This Row],[CZAS]])</f>
        <v>2.0618556701030927E-2</v>
      </c>
      <c r="O3026" s="32">
        <f>IF(Mecze[[#This Row],[PC]]=0,0,Mecze[[#This Row],[PC]]/Mecze[[#This Row],[CZAS]])</f>
        <v>3.0927835051546393E-2</v>
      </c>
      <c r="P3026" s="32">
        <f>IF(Mecze[[#This Row],[SC]]=0,0,Mecze[[#This Row],[SC]]/Mecze[[#This Row],[CZAS]])</f>
        <v>2.0618556701030927E-2</v>
      </c>
      <c r="Q3026" s="32">
        <f>IF(Mecze[[#This Row],[OB]]=0,0,Mecze[[#This Row],[OB]]/Mecze[[#This Row],[CZAS]])</f>
        <v>0</v>
      </c>
      <c r="R3026" s="32">
        <f>IF(Mecze[[#This Row],[BR]]=0,0,Mecze[[#This Row],[BR]]/Mecze[[#This Row],[CZAS]])</f>
        <v>0</v>
      </c>
      <c r="S3026" s="44">
        <f>IF(Mecze[[#This Row],[Role]]="BR",SUMPRODUCT(Mecze[[#This Row],[/PR:90]:[/BR:90]],Brudnopis!$E$23:$J$23),0)</f>
        <v>0</v>
      </c>
      <c r="T3026" s="44">
        <f>IF(Mecze[[#This Row],[Role]]&lt;&gt;"BR",SUMPRODUCT(Mecze[[#This Row],[/PR:90]:[/BR:90]],Brudnopis!$E$24:$J$24),0)</f>
        <v>8.247422680412371E-2</v>
      </c>
      <c r="U3026" s="44">
        <f>IF(Mecze[[#This Row],[Role]]&lt;&gt;"BR",SUMPRODUCT(Mecze[[#This Row],[/PR:90]:[/BR:90]],Brudnopis!$E$25:$J$25),0)</f>
        <v>8.7628865979381437E-2</v>
      </c>
      <c r="V3026" s="44">
        <f>IF(Mecze[[#This Row],[Role]]&lt;&gt;"BR",SUMPRODUCT(Mecze[[#This Row],[/PR:90]:[/BR:90]],Brudnopis!$E$26:$J$26),0)</f>
        <v>7.2164948453608241E-2</v>
      </c>
      <c r="W3026" s="44">
        <f>IF(Mecze[[#This Row],[Role]]&lt;&gt;"BR",SUMPRODUCT(Mecze[[#This Row],[/PR:90]:[/BR:90]],Brudnopis!$E$27:$J$27),0)</f>
        <v>8.247422680412371E-2</v>
      </c>
      <c r="X3026" s="44">
        <f>IF(Mecze[[#This Row],[Role]]&lt;&gt;"BR",SUMPRODUCT(Mecze[[#This Row],[/PR:90]:[/BR:90]],Brudnopis!$E$28:$J$28),0)</f>
        <v>7.2164948453608241E-2</v>
      </c>
      <c r="Y3026" s="35">
        <f>IF(Mecze[[#This Row],[Role]]="BR",Mecze[[#This Row],[/OB:90]]+Mecze[[#This Row],[/PC:90]],SUM(Mecze[[#This Row],[/PR:90]:[/BR:90]]))</f>
        <v>7.2164948453608241E-2</v>
      </c>
      <c r="Z3026" s="35">
        <f>IF(Mecze[[#This Row],[KC]]=0,SUM(Mecze[[#This Row],[/BRI]:[/NPI]]),SUM(Mecze[[#This Row],[/BRI]:[/NPI]])*0.6)</f>
        <v>0.39690721649484539</v>
      </c>
      <c r="AA3026" s="10">
        <f>IFERROR(Mecze[[#This Row],[BR]]/Mecze[[#This Row],[ST]],0)</f>
        <v>0</v>
      </c>
      <c r="AB3026">
        <f>ROUND(Mecze[[#This Row],[PD]]*Mecze[[#This Row],[%PC]],0)</f>
        <v>3</v>
      </c>
      <c r="AC3026">
        <f>ROUND(Mecze[[#This Row],[OD]]*Mecze[[#This Row],[%OU]],0)</f>
        <v>2</v>
      </c>
      <c r="AD3026" s="36" t="s">
        <v>272</v>
      </c>
      <c r="AE3026" s="36">
        <v>169</v>
      </c>
      <c r="AF3026" s="71">
        <v>3.15</v>
      </c>
      <c r="AG3026" s="37">
        <v>0</v>
      </c>
      <c r="AH3026" s="37">
        <v>0</v>
      </c>
      <c r="AI3026" s="37">
        <v>97</v>
      </c>
      <c r="AJ3026" s="37">
        <v>2</v>
      </c>
      <c r="AK3026" s="37" t="str">
        <f>VLOOKUP(Mecze[[#This Row],[Match ID]],Meczusie[Mecz]:Meczusie[RodzajMeczu],2,FALSE)</f>
        <v>Liga</v>
      </c>
    </row>
    <row r="3027" spans="1:37" x14ac:dyDescent="0.25">
      <c r="A3027" s="76">
        <v>1</v>
      </c>
      <c r="B3027" s="3" t="s">
        <v>236</v>
      </c>
      <c r="C3027" s="2" t="s">
        <v>155</v>
      </c>
      <c r="D3027" s="1">
        <v>0</v>
      </c>
      <c r="E3027" s="1">
        <v>0</v>
      </c>
      <c r="F3027" s="1">
        <v>0</v>
      </c>
      <c r="G3027" s="1">
        <v>10</v>
      </c>
      <c r="H3027" s="4">
        <v>0.4</v>
      </c>
      <c r="I3027" s="1">
        <v>0</v>
      </c>
      <c r="J3027" s="4"/>
      <c r="K3027" s="1">
        <v>6</v>
      </c>
      <c r="L3027" s="1">
        <v>0</v>
      </c>
      <c r="M3027" s="32">
        <f>IF(Mecze[[#This Row],[PR]]=0,0,Mecze[[#This Row],[PR]]/Mecze[[#This Row],[CZAS]])</f>
        <v>0</v>
      </c>
      <c r="N3027" s="32">
        <f>IF(Mecze[[#This Row],[OU]]=0,0,Mecze[[#This Row],[OU]]/Mecze[[#This Row],[CZAS]])</f>
        <v>0</v>
      </c>
      <c r="O3027" s="32">
        <f>IF(Mecze[[#This Row],[PC]]=0,0,Mecze[[#This Row],[PC]]/Mecze[[#This Row],[CZAS]])</f>
        <v>4.1666666666666664E-2</v>
      </c>
      <c r="P3027" s="32">
        <f>IF(Mecze[[#This Row],[SC]]=0,0,Mecze[[#This Row],[SC]]/Mecze[[#This Row],[CZAS]])</f>
        <v>0</v>
      </c>
      <c r="Q3027" s="32">
        <f>IF(Mecze[[#This Row],[OB]]=0,0,Mecze[[#This Row],[OB]]/Mecze[[#This Row],[CZAS]])</f>
        <v>6.25E-2</v>
      </c>
      <c r="R3027" s="32">
        <f>IF(Mecze[[#This Row],[BR]]=0,0,Mecze[[#This Row],[BR]]/Mecze[[#This Row],[CZAS]])</f>
        <v>0</v>
      </c>
      <c r="S3027" s="44">
        <f>IF(Mecze[[#This Row],[Role]]="BR",SUMPRODUCT(Mecze[[#This Row],[/PR:90]:[/BR:90]],Brudnopis!$E$23:$J$23),0)</f>
        <v>0.3125</v>
      </c>
      <c r="T3027" s="44">
        <f>IF(Mecze[[#This Row],[Role]]&lt;&gt;"BR",SUMPRODUCT(Mecze[[#This Row],[/PR:90]:[/BR:90]],Brudnopis!$E$24:$J$24),0)</f>
        <v>0</v>
      </c>
      <c r="U3027" s="44">
        <f>IF(Mecze[[#This Row],[Role]]&lt;&gt;"BR",SUMPRODUCT(Mecze[[#This Row],[/PR:90]:[/BR:90]],Brudnopis!$E$25:$J$25),0)</f>
        <v>0</v>
      </c>
      <c r="V3027" s="44">
        <f>IF(Mecze[[#This Row],[Role]]&lt;&gt;"BR",SUMPRODUCT(Mecze[[#This Row],[/PR:90]:[/BR:90]],Brudnopis!$E$26:$J$26),0)</f>
        <v>0</v>
      </c>
      <c r="W3027" s="44">
        <f>IF(Mecze[[#This Row],[Role]]&lt;&gt;"BR",SUMPRODUCT(Mecze[[#This Row],[/PR:90]:[/BR:90]],Brudnopis!$E$27:$J$27),0)</f>
        <v>0</v>
      </c>
      <c r="X3027" s="44">
        <f>IF(Mecze[[#This Row],[Role]]&lt;&gt;"BR",SUMPRODUCT(Mecze[[#This Row],[/PR:90]:[/BR:90]],Brudnopis!$E$28:$J$28),0)</f>
        <v>0</v>
      </c>
      <c r="Y3027" s="35">
        <f>IF(Mecze[[#This Row],[Role]]="BR",Mecze[[#This Row],[/OB:90]]+Mecze[[#This Row],[/PC:90]],SUM(Mecze[[#This Row],[/PR:90]:[/BR:90]]))</f>
        <v>0.10416666666666666</v>
      </c>
      <c r="Z3027" s="35">
        <f>IF(Mecze[[#This Row],[KC]]=0,SUM(Mecze[[#This Row],[/BRI]:[/NPI]]),SUM(Mecze[[#This Row],[/BRI]:[/NPI]])*0.6)</f>
        <v>0.3125</v>
      </c>
      <c r="AA3027" s="10">
        <f>IFERROR(Mecze[[#This Row],[BR]]/Mecze[[#This Row],[ST]],0)</f>
        <v>0</v>
      </c>
      <c r="AB3027">
        <f>ROUND(Mecze[[#This Row],[PD]]*Mecze[[#This Row],[%PC]],0)</f>
        <v>4</v>
      </c>
      <c r="AC3027">
        <f>ROUND(Mecze[[#This Row],[OD]]*Mecze[[#This Row],[%OU]],0)</f>
        <v>0</v>
      </c>
      <c r="AD3027" s="36" t="s">
        <v>40</v>
      </c>
      <c r="AE3027" s="36">
        <v>170</v>
      </c>
      <c r="AF3027" s="71">
        <v>3.69</v>
      </c>
      <c r="AG3027" s="37">
        <v>0</v>
      </c>
      <c r="AH3027" s="37">
        <v>0</v>
      </c>
      <c r="AI3027" s="37">
        <v>96</v>
      </c>
      <c r="AJ3027" s="37">
        <v>10</v>
      </c>
      <c r="AK3027" s="37" t="str">
        <f>VLOOKUP(Mecze[[#This Row],[Match ID]],Meczusie[Mecz]:Meczusie[RodzajMeczu],2,FALSE)</f>
        <v>Liga</v>
      </c>
    </row>
    <row r="3028" spans="1:37" x14ac:dyDescent="0.25">
      <c r="A3028" s="76">
        <v>7</v>
      </c>
      <c r="B3028" s="3" t="s">
        <v>241</v>
      </c>
      <c r="C3028" s="2" t="s">
        <v>157</v>
      </c>
      <c r="D3028" s="1">
        <v>0</v>
      </c>
      <c r="E3028" s="1">
        <v>0</v>
      </c>
      <c r="F3028" s="1">
        <v>0</v>
      </c>
      <c r="G3028" s="1">
        <v>6</v>
      </c>
      <c r="H3028" s="4">
        <v>0.17</v>
      </c>
      <c r="I3028" s="1">
        <v>7</v>
      </c>
      <c r="J3028" s="4">
        <v>0.71</v>
      </c>
      <c r="K3028" s="1">
        <v>0</v>
      </c>
      <c r="L3028" s="1">
        <v>4</v>
      </c>
      <c r="M3028" s="32">
        <f>IF(Mecze[[#This Row],[PR]]=0,0,Mecze[[#This Row],[PR]]/Mecze[[#This Row],[CZAS]])</f>
        <v>4.1666666666666664E-2</v>
      </c>
      <c r="N3028" s="32">
        <f>IF(Mecze[[#This Row],[OU]]=0,0,Mecze[[#This Row],[OU]]/Mecze[[#This Row],[CZAS]])</f>
        <v>5.2083333333333336E-2</v>
      </c>
      <c r="O3028" s="32">
        <f>IF(Mecze[[#This Row],[PC]]=0,0,Mecze[[#This Row],[PC]]/Mecze[[#This Row],[CZAS]])</f>
        <v>1.0416666666666666E-2</v>
      </c>
      <c r="P3028" s="32">
        <f>IF(Mecze[[#This Row],[SC]]=0,0,Mecze[[#This Row],[SC]]/Mecze[[#This Row],[CZAS]])</f>
        <v>0</v>
      </c>
      <c r="Q3028" s="32">
        <f>IF(Mecze[[#This Row],[OB]]=0,0,Mecze[[#This Row],[OB]]/Mecze[[#This Row],[CZAS]])</f>
        <v>0</v>
      </c>
      <c r="R3028" s="32">
        <f>IF(Mecze[[#This Row],[BR]]=0,0,Mecze[[#This Row],[BR]]/Mecze[[#This Row],[CZAS]])</f>
        <v>0</v>
      </c>
      <c r="S3028" s="44">
        <f>IF(Mecze[[#This Row],[Role]]="BR",SUMPRODUCT(Mecze[[#This Row],[/PR:90]:[/BR:90]],Brudnopis!$E$23:$J$23),0)</f>
        <v>0</v>
      </c>
      <c r="T3028" s="44">
        <f>IF(Mecze[[#This Row],[Role]]&lt;&gt;"BR",SUMPRODUCT(Mecze[[#This Row],[/PR:90]:[/BR:90]],Brudnopis!$E$24:$J$24),0)</f>
        <v>0.13020833333333331</v>
      </c>
      <c r="U3028" s="44">
        <f>IF(Mecze[[#This Row],[Role]]&lt;&gt;"BR",SUMPRODUCT(Mecze[[#This Row],[/PR:90]:[/BR:90]],Brudnopis!$E$25:$J$25),0)</f>
        <v>0.109375</v>
      </c>
      <c r="V3028" s="44">
        <f>IF(Mecze[[#This Row],[Role]]&lt;&gt;"BR",SUMPRODUCT(Mecze[[#This Row],[/PR:90]:[/BR:90]],Brudnopis!$E$26:$J$26),0)</f>
        <v>0.10416666666666667</v>
      </c>
      <c r="W3028" s="44">
        <f>IF(Mecze[[#This Row],[Role]]&lt;&gt;"BR",SUMPRODUCT(Mecze[[#This Row],[/PR:90]:[/BR:90]],Brudnopis!$E$27:$J$27),0)</f>
        <v>8.59375E-2</v>
      </c>
      <c r="X3028" s="44">
        <f>IF(Mecze[[#This Row],[Role]]&lt;&gt;"BR",SUMPRODUCT(Mecze[[#This Row],[/PR:90]:[/BR:90]],Brudnopis!$E$28:$J$28),0)</f>
        <v>1.0416666666666666E-2</v>
      </c>
      <c r="Y3028" s="35">
        <f>IF(Mecze[[#This Row],[Role]]="BR",Mecze[[#This Row],[/OB:90]]+Mecze[[#This Row],[/PC:90]],SUM(Mecze[[#This Row],[/PR:90]:[/BR:90]]))</f>
        <v>0.10416666666666667</v>
      </c>
      <c r="Z3028" s="35">
        <f>IF(Mecze[[#This Row],[KC]]=0,SUM(Mecze[[#This Row],[/BRI]:[/NPI]]),SUM(Mecze[[#This Row],[/BRI]:[/NPI]])*0.6)</f>
        <v>0.44010416666666669</v>
      </c>
      <c r="AA3028" s="10">
        <f>IFERROR(Mecze[[#This Row],[BR]]/Mecze[[#This Row],[ST]],0)</f>
        <v>0</v>
      </c>
      <c r="AB3028">
        <f>ROUND(Mecze[[#This Row],[PD]]*Mecze[[#This Row],[%PC]],0)</f>
        <v>1</v>
      </c>
      <c r="AC3028">
        <f>ROUND(Mecze[[#This Row],[OD]]*Mecze[[#This Row],[%OU]],0)</f>
        <v>5</v>
      </c>
      <c r="AD3028" s="36" t="s">
        <v>47</v>
      </c>
      <c r="AE3028" s="36">
        <v>170</v>
      </c>
      <c r="AF3028" s="71">
        <v>3.55</v>
      </c>
      <c r="AG3028" s="37">
        <v>0</v>
      </c>
      <c r="AH3028" s="37">
        <v>0</v>
      </c>
      <c r="AI3028" s="37">
        <v>96</v>
      </c>
      <c r="AJ3028" s="37">
        <v>10</v>
      </c>
      <c r="AK3028" s="37" t="str">
        <f>VLOOKUP(Mecze[[#This Row],[Match ID]],Meczusie[Mecz]:Meczusie[RodzajMeczu],2,FALSE)</f>
        <v>Liga</v>
      </c>
    </row>
    <row r="3029" spans="1:37" x14ac:dyDescent="0.25">
      <c r="A3029" s="76">
        <v>4</v>
      </c>
      <c r="B3029" s="3" t="s">
        <v>238</v>
      </c>
      <c r="C3029" s="2" t="s">
        <v>157</v>
      </c>
      <c r="D3029" s="1">
        <v>0</v>
      </c>
      <c r="E3029" s="1">
        <v>0</v>
      </c>
      <c r="F3029" s="1">
        <v>0</v>
      </c>
      <c r="G3029" s="1">
        <v>6</v>
      </c>
      <c r="H3029" s="4">
        <v>0.5</v>
      </c>
      <c r="I3029" s="1">
        <v>5</v>
      </c>
      <c r="J3029" s="4">
        <v>0.2</v>
      </c>
      <c r="K3029" s="1">
        <v>0</v>
      </c>
      <c r="L3029" s="1">
        <v>5</v>
      </c>
      <c r="M3029" s="32">
        <f>IF(Mecze[[#This Row],[PR]]=0,0,Mecze[[#This Row],[PR]]/Mecze[[#This Row],[CZAS]])</f>
        <v>5.2083333333333336E-2</v>
      </c>
      <c r="N3029" s="32">
        <f>IF(Mecze[[#This Row],[OU]]=0,0,Mecze[[#This Row],[OU]]/Mecze[[#This Row],[CZAS]])</f>
        <v>1.0416666666666666E-2</v>
      </c>
      <c r="O3029" s="32">
        <f>IF(Mecze[[#This Row],[PC]]=0,0,Mecze[[#This Row],[PC]]/Mecze[[#This Row],[CZAS]])</f>
        <v>3.125E-2</v>
      </c>
      <c r="P3029" s="32">
        <f>IF(Mecze[[#This Row],[SC]]=0,0,Mecze[[#This Row],[SC]]/Mecze[[#This Row],[CZAS]])</f>
        <v>0</v>
      </c>
      <c r="Q3029" s="32">
        <f>IF(Mecze[[#This Row],[OB]]=0,0,Mecze[[#This Row],[OB]]/Mecze[[#This Row],[CZAS]])</f>
        <v>0</v>
      </c>
      <c r="R3029" s="32">
        <f>IF(Mecze[[#This Row],[BR]]=0,0,Mecze[[#This Row],[BR]]/Mecze[[#This Row],[CZAS]])</f>
        <v>0</v>
      </c>
      <c r="S3029" s="44">
        <f>IF(Mecze[[#This Row],[Role]]="BR",SUMPRODUCT(Mecze[[#This Row],[/PR:90]:[/BR:90]],Brudnopis!$E$23:$J$23),0)</f>
        <v>0</v>
      </c>
      <c r="T3029" s="44">
        <f>IF(Mecze[[#This Row],[Role]]&lt;&gt;"BR",SUMPRODUCT(Mecze[[#This Row],[/PR:90]:[/BR:90]],Brudnopis!$E$24:$J$24),0)</f>
        <v>9.8958333333333343E-2</v>
      </c>
      <c r="U3029" s="44">
        <f>IF(Mecze[[#This Row],[Role]]&lt;&gt;"BR",SUMPRODUCT(Mecze[[#This Row],[/PR:90]:[/BR:90]],Brudnopis!$E$25:$J$25),0)</f>
        <v>0.109375</v>
      </c>
      <c r="V3029" s="44">
        <f>IF(Mecze[[#This Row],[Role]]&lt;&gt;"BR",SUMPRODUCT(Mecze[[#This Row],[/PR:90]:[/BR:90]],Brudnopis!$E$26:$J$26),0)</f>
        <v>9.375E-2</v>
      </c>
      <c r="W3029" s="44">
        <f>IF(Mecze[[#This Row],[Role]]&lt;&gt;"BR",SUMPRODUCT(Mecze[[#This Row],[/PR:90]:[/BR:90]],Brudnopis!$E$27:$J$27),0)</f>
        <v>9.375E-2</v>
      </c>
      <c r="X3029" s="44">
        <f>IF(Mecze[[#This Row],[Role]]&lt;&gt;"BR",SUMPRODUCT(Mecze[[#This Row],[/PR:90]:[/BR:90]],Brudnopis!$E$28:$J$28),0)</f>
        <v>3.125E-2</v>
      </c>
      <c r="Y3029" s="35">
        <f>IF(Mecze[[#This Row],[Role]]="BR",Mecze[[#This Row],[/OB:90]]+Mecze[[#This Row],[/PC:90]],SUM(Mecze[[#This Row],[/PR:90]:[/BR:90]]))</f>
        <v>9.375E-2</v>
      </c>
      <c r="Z3029" s="35">
        <f>IF(Mecze[[#This Row],[KC]]=0,SUM(Mecze[[#This Row],[/BRI]:[/NPI]]),SUM(Mecze[[#This Row],[/BRI]:[/NPI]])*0.6)</f>
        <v>0.42708333333333337</v>
      </c>
      <c r="AA3029" s="10">
        <f>IFERROR(Mecze[[#This Row],[BR]]/Mecze[[#This Row],[ST]],0)</f>
        <v>0</v>
      </c>
      <c r="AB3029">
        <f>ROUND(Mecze[[#This Row],[PD]]*Mecze[[#This Row],[%PC]],0)</f>
        <v>3</v>
      </c>
      <c r="AC3029">
        <f>ROUND(Mecze[[#This Row],[OD]]*Mecze[[#This Row],[%OU]],0)</f>
        <v>1</v>
      </c>
      <c r="AD3029" s="36" t="s">
        <v>47</v>
      </c>
      <c r="AE3029" s="36">
        <v>170</v>
      </c>
      <c r="AF3029" s="71">
        <v>1.53</v>
      </c>
      <c r="AG3029" s="37">
        <v>1</v>
      </c>
      <c r="AH3029" s="37">
        <v>0</v>
      </c>
      <c r="AI3029" s="37">
        <v>96</v>
      </c>
      <c r="AJ3029" s="37">
        <v>10</v>
      </c>
      <c r="AK3029" s="37" t="str">
        <f>VLOOKUP(Mecze[[#This Row],[Match ID]],Meczusie[Mecz]:Meczusie[RodzajMeczu],2,FALSE)</f>
        <v>Liga</v>
      </c>
    </row>
    <row r="3030" spans="1:37" x14ac:dyDescent="0.25">
      <c r="A3030" s="76">
        <v>2</v>
      </c>
      <c r="B3030" s="3" t="s">
        <v>240</v>
      </c>
      <c r="C3030" s="2" t="s">
        <v>157</v>
      </c>
      <c r="D3030" s="1">
        <v>0</v>
      </c>
      <c r="E3030" s="1">
        <v>0</v>
      </c>
      <c r="F3030" s="1">
        <v>0</v>
      </c>
      <c r="G3030" s="1">
        <v>7</v>
      </c>
      <c r="H3030" s="4">
        <v>0.43</v>
      </c>
      <c r="I3030" s="1">
        <v>7</v>
      </c>
      <c r="J3030" s="4">
        <v>0.28999999999999998</v>
      </c>
      <c r="K3030" s="1">
        <v>0</v>
      </c>
      <c r="L3030" s="1">
        <v>4</v>
      </c>
      <c r="M3030" s="32">
        <f>IF(Mecze[[#This Row],[PR]]=0,0,Mecze[[#This Row],[PR]]/Mecze[[#This Row],[CZAS]])</f>
        <v>4.1666666666666664E-2</v>
      </c>
      <c r="N3030" s="32">
        <f>IF(Mecze[[#This Row],[OU]]=0,0,Mecze[[#This Row],[OU]]/Mecze[[#This Row],[CZAS]])</f>
        <v>2.0833333333333332E-2</v>
      </c>
      <c r="O3030" s="32">
        <f>IF(Mecze[[#This Row],[PC]]=0,0,Mecze[[#This Row],[PC]]/Mecze[[#This Row],[CZAS]])</f>
        <v>3.125E-2</v>
      </c>
      <c r="P3030" s="32">
        <f>IF(Mecze[[#This Row],[SC]]=0,0,Mecze[[#This Row],[SC]]/Mecze[[#This Row],[CZAS]])</f>
        <v>0</v>
      </c>
      <c r="Q3030" s="32">
        <f>IF(Mecze[[#This Row],[OB]]=0,0,Mecze[[#This Row],[OB]]/Mecze[[#This Row],[CZAS]])</f>
        <v>0</v>
      </c>
      <c r="R3030" s="32">
        <f>IF(Mecze[[#This Row],[BR]]=0,0,Mecze[[#This Row],[BR]]/Mecze[[#This Row],[CZAS]])</f>
        <v>0</v>
      </c>
      <c r="S3030" s="44">
        <f>IF(Mecze[[#This Row],[Role]]="BR",SUMPRODUCT(Mecze[[#This Row],[/PR:90]:[/BR:90]],Brudnopis!$E$23:$J$23),0)</f>
        <v>0</v>
      </c>
      <c r="T3030" s="44">
        <f>IF(Mecze[[#This Row],[Role]]&lt;&gt;"BR",SUMPRODUCT(Mecze[[#This Row],[/PR:90]:[/BR:90]],Brudnopis!$E$24:$J$24),0)</f>
        <v>0.10416666666666666</v>
      </c>
      <c r="U3030" s="44">
        <f>IF(Mecze[[#This Row],[Role]]&lt;&gt;"BR",SUMPRODUCT(Mecze[[#This Row],[/PR:90]:[/BR:90]],Brudnopis!$E$25:$J$25),0)</f>
        <v>0.109375</v>
      </c>
      <c r="V3030" s="44">
        <f>IF(Mecze[[#This Row],[Role]]&lt;&gt;"BR",SUMPRODUCT(Mecze[[#This Row],[/PR:90]:[/BR:90]],Brudnopis!$E$26:$J$26),0)</f>
        <v>9.375E-2</v>
      </c>
      <c r="W3030" s="44">
        <f>IF(Mecze[[#This Row],[Role]]&lt;&gt;"BR",SUMPRODUCT(Mecze[[#This Row],[/PR:90]:[/BR:90]],Brudnopis!$E$27:$J$27),0)</f>
        <v>9.375E-2</v>
      </c>
      <c r="X3030" s="44">
        <f>IF(Mecze[[#This Row],[Role]]&lt;&gt;"BR",SUMPRODUCT(Mecze[[#This Row],[/PR:90]:[/BR:90]],Brudnopis!$E$28:$J$28),0)</f>
        <v>3.125E-2</v>
      </c>
      <c r="Y3030" s="35">
        <f>IF(Mecze[[#This Row],[Role]]="BR",Mecze[[#This Row],[/OB:90]]+Mecze[[#This Row],[/PC:90]],SUM(Mecze[[#This Row],[/PR:90]:[/BR:90]]))</f>
        <v>9.375E-2</v>
      </c>
      <c r="Z3030" s="35">
        <f>IF(Mecze[[#This Row],[KC]]=0,SUM(Mecze[[#This Row],[/BRI]:[/NPI]]),SUM(Mecze[[#This Row],[/BRI]:[/NPI]])*0.6)</f>
        <v>0.43229166666666663</v>
      </c>
      <c r="AA3030" s="10">
        <f>IFERROR(Mecze[[#This Row],[BR]]/Mecze[[#This Row],[ST]],0)</f>
        <v>0</v>
      </c>
      <c r="AB3030">
        <f>ROUND(Mecze[[#This Row],[PD]]*Mecze[[#This Row],[%PC]],0)</f>
        <v>3</v>
      </c>
      <c r="AC3030">
        <f>ROUND(Mecze[[#This Row],[OD]]*Mecze[[#This Row],[%OU]],0)</f>
        <v>2</v>
      </c>
      <c r="AD3030" s="36" t="s">
        <v>174</v>
      </c>
      <c r="AE3030" s="36">
        <v>170</v>
      </c>
      <c r="AF3030" s="71">
        <v>2.4300000000000002</v>
      </c>
      <c r="AG3030" s="37">
        <v>0</v>
      </c>
      <c r="AH3030" s="37">
        <v>0</v>
      </c>
      <c r="AI3030" s="37">
        <v>96</v>
      </c>
      <c r="AJ3030" s="37">
        <v>10</v>
      </c>
      <c r="AK3030" s="37" t="str">
        <f>VLOOKUP(Mecze[[#This Row],[Match ID]],Meczusie[Mecz]:Meczusie[RodzajMeczu],2,FALSE)</f>
        <v>Liga</v>
      </c>
    </row>
    <row r="3031" spans="1:37" x14ac:dyDescent="0.25">
      <c r="A3031" s="76">
        <v>12</v>
      </c>
      <c r="B3031" s="3" t="s">
        <v>239</v>
      </c>
      <c r="C3031" s="2" t="s">
        <v>157</v>
      </c>
      <c r="D3031" s="1">
        <v>0</v>
      </c>
      <c r="E3031" s="1">
        <v>0</v>
      </c>
      <c r="F3031" s="1">
        <v>0</v>
      </c>
      <c r="G3031" s="1">
        <v>4</v>
      </c>
      <c r="H3031" s="4">
        <v>1</v>
      </c>
      <c r="I3031" s="1">
        <v>6</v>
      </c>
      <c r="J3031" s="4">
        <v>0.5</v>
      </c>
      <c r="K3031" s="1">
        <v>0</v>
      </c>
      <c r="L3031" s="1">
        <v>0</v>
      </c>
      <c r="M3031" s="32">
        <f>IF(Mecze[[#This Row],[PR]]=0,0,Mecze[[#This Row],[PR]]/Mecze[[#This Row],[CZAS]])</f>
        <v>0</v>
      </c>
      <c r="N3031" s="32">
        <f>IF(Mecze[[#This Row],[OU]]=0,0,Mecze[[#This Row],[OU]]/Mecze[[#This Row],[CZAS]])</f>
        <v>3.125E-2</v>
      </c>
      <c r="O3031" s="32">
        <f>IF(Mecze[[#This Row],[PC]]=0,0,Mecze[[#This Row],[PC]]/Mecze[[#This Row],[CZAS]])</f>
        <v>4.1666666666666664E-2</v>
      </c>
      <c r="P3031" s="32">
        <f>IF(Mecze[[#This Row],[SC]]=0,0,Mecze[[#This Row],[SC]]/Mecze[[#This Row],[CZAS]])</f>
        <v>0</v>
      </c>
      <c r="Q3031" s="32">
        <f>IF(Mecze[[#This Row],[OB]]=0,0,Mecze[[#This Row],[OB]]/Mecze[[#This Row],[CZAS]])</f>
        <v>0</v>
      </c>
      <c r="R3031" s="32">
        <f>IF(Mecze[[#This Row],[BR]]=0,0,Mecze[[#This Row],[BR]]/Mecze[[#This Row],[CZAS]])</f>
        <v>0</v>
      </c>
      <c r="S3031" s="44">
        <f>IF(Mecze[[#This Row],[Role]]="BR",SUMPRODUCT(Mecze[[#This Row],[/PR:90]:[/BR:90]],Brudnopis!$E$23:$J$23),0)</f>
        <v>0</v>
      </c>
      <c r="T3031" s="44">
        <f>IF(Mecze[[#This Row],[Role]]&lt;&gt;"BR",SUMPRODUCT(Mecze[[#This Row],[/PR:90]:[/BR:90]],Brudnopis!$E$24:$J$24),0)</f>
        <v>8.8541666666666657E-2</v>
      </c>
      <c r="U3031" s="44">
        <f>IF(Mecze[[#This Row],[Role]]&lt;&gt;"BR",SUMPRODUCT(Mecze[[#This Row],[/PR:90]:[/BR:90]],Brudnopis!$E$25:$J$25),0)</f>
        <v>9.375E-2</v>
      </c>
      <c r="V3031" s="44">
        <f>IF(Mecze[[#This Row],[Role]]&lt;&gt;"BR",SUMPRODUCT(Mecze[[#This Row],[/PR:90]:[/BR:90]],Brudnopis!$E$26:$J$26),0)</f>
        <v>7.2916666666666657E-2</v>
      </c>
      <c r="W3031" s="44">
        <f>IF(Mecze[[#This Row],[Role]]&lt;&gt;"BR",SUMPRODUCT(Mecze[[#This Row],[/PR:90]:[/BR:90]],Brudnopis!$E$27:$J$27),0)</f>
        <v>8.59375E-2</v>
      </c>
      <c r="X3031" s="44">
        <f>IF(Mecze[[#This Row],[Role]]&lt;&gt;"BR",SUMPRODUCT(Mecze[[#This Row],[/PR:90]:[/BR:90]],Brudnopis!$E$28:$J$28),0)</f>
        <v>4.1666666666666664E-2</v>
      </c>
      <c r="Y3031" s="35">
        <f>IF(Mecze[[#This Row],[Role]]="BR",Mecze[[#This Row],[/OB:90]]+Mecze[[#This Row],[/PC:90]],SUM(Mecze[[#This Row],[/PR:90]:[/BR:90]]))</f>
        <v>7.2916666666666657E-2</v>
      </c>
      <c r="Z3031" s="35">
        <f>IF(Mecze[[#This Row],[KC]]=0,SUM(Mecze[[#This Row],[/BRI]:[/NPI]]),SUM(Mecze[[#This Row],[/BRI]:[/NPI]])*0.6)</f>
        <v>0.3828125</v>
      </c>
      <c r="AA3031" s="10">
        <f>IFERROR(Mecze[[#This Row],[BR]]/Mecze[[#This Row],[ST]],0)</f>
        <v>0</v>
      </c>
      <c r="AB3031">
        <f>ROUND(Mecze[[#This Row],[PD]]*Mecze[[#This Row],[%PC]],0)</f>
        <v>4</v>
      </c>
      <c r="AC3031">
        <f>ROUND(Mecze[[#This Row],[OD]]*Mecze[[#This Row],[%OU]],0)</f>
        <v>3</v>
      </c>
      <c r="AD3031" s="36" t="s">
        <v>175</v>
      </c>
      <c r="AE3031" s="36">
        <v>170</v>
      </c>
      <c r="AF3031" s="71">
        <v>2.71</v>
      </c>
      <c r="AG3031" s="37">
        <v>0</v>
      </c>
      <c r="AH3031" s="37">
        <v>0</v>
      </c>
      <c r="AI3031" s="37">
        <v>96</v>
      </c>
      <c r="AJ3031" s="37">
        <v>10</v>
      </c>
      <c r="AK3031" s="37" t="str">
        <f>VLOOKUP(Mecze[[#This Row],[Match ID]],Meczusie[Mecz]:Meczusie[RodzajMeczu],2,FALSE)</f>
        <v>Liga</v>
      </c>
    </row>
    <row r="3032" spans="1:37" x14ac:dyDescent="0.25">
      <c r="A3032" s="76">
        <v>5</v>
      </c>
      <c r="B3032" s="3" t="s">
        <v>242</v>
      </c>
      <c r="C3032" s="2" t="s">
        <v>160</v>
      </c>
      <c r="D3032" s="1">
        <v>0</v>
      </c>
      <c r="E3032" s="1">
        <v>0</v>
      </c>
      <c r="F3032" s="1">
        <v>0</v>
      </c>
      <c r="G3032" s="1">
        <v>9</v>
      </c>
      <c r="H3032" s="4">
        <v>0.89</v>
      </c>
      <c r="I3032" s="1">
        <v>6</v>
      </c>
      <c r="J3032" s="4">
        <v>0.5</v>
      </c>
      <c r="K3032" s="1">
        <v>0</v>
      </c>
      <c r="L3032" s="1">
        <v>3</v>
      </c>
      <c r="M3032" s="32">
        <f>IF(Mecze[[#This Row],[PR]]=0,0,Mecze[[#This Row],[PR]]/Mecze[[#This Row],[CZAS]])</f>
        <v>3.125E-2</v>
      </c>
      <c r="N3032" s="32">
        <f>IF(Mecze[[#This Row],[OU]]=0,0,Mecze[[#This Row],[OU]]/Mecze[[#This Row],[CZAS]])</f>
        <v>3.125E-2</v>
      </c>
      <c r="O3032" s="32">
        <f>IF(Mecze[[#This Row],[PC]]=0,0,Mecze[[#This Row],[PC]]/Mecze[[#This Row],[CZAS]])</f>
        <v>8.3333333333333329E-2</v>
      </c>
      <c r="P3032" s="32">
        <f>IF(Mecze[[#This Row],[SC]]=0,0,Mecze[[#This Row],[SC]]/Mecze[[#This Row],[CZAS]])</f>
        <v>0</v>
      </c>
      <c r="Q3032" s="32">
        <f>IF(Mecze[[#This Row],[OB]]=0,0,Mecze[[#This Row],[OB]]/Mecze[[#This Row],[CZAS]])</f>
        <v>0</v>
      </c>
      <c r="R3032" s="32">
        <f>IF(Mecze[[#This Row],[BR]]=0,0,Mecze[[#This Row],[BR]]/Mecze[[#This Row],[CZAS]])</f>
        <v>0</v>
      </c>
      <c r="S3032" s="44">
        <f>IF(Mecze[[#This Row],[Role]]="BR",SUMPRODUCT(Mecze[[#This Row],[/PR:90]:[/BR:90]],Brudnopis!$E$23:$J$23),0)</f>
        <v>0</v>
      </c>
      <c r="T3032" s="44">
        <f>IF(Mecze[[#This Row],[Role]]&lt;&gt;"BR",SUMPRODUCT(Mecze[[#This Row],[/PR:90]:[/BR:90]],Brudnopis!$E$24:$J$24),0)</f>
        <v>0.16145833333333331</v>
      </c>
      <c r="U3032" s="44">
        <f>IF(Mecze[[#This Row],[Role]]&lt;&gt;"BR",SUMPRODUCT(Mecze[[#This Row],[/PR:90]:[/BR:90]],Brudnopis!$E$25:$J$25),0)</f>
        <v>0.1875</v>
      </c>
      <c r="V3032" s="44">
        <f>IF(Mecze[[#This Row],[Role]]&lt;&gt;"BR",SUMPRODUCT(Mecze[[#This Row],[/PR:90]:[/BR:90]],Brudnopis!$E$26:$J$26),0)</f>
        <v>0.14583333333333331</v>
      </c>
      <c r="W3032" s="44">
        <f>IF(Mecze[[#This Row],[Role]]&lt;&gt;"BR",SUMPRODUCT(Mecze[[#This Row],[/PR:90]:[/BR:90]],Brudnopis!$E$27:$J$27),0)</f>
        <v>0.171875</v>
      </c>
      <c r="X3032" s="44">
        <f>IF(Mecze[[#This Row],[Role]]&lt;&gt;"BR",SUMPRODUCT(Mecze[[#This Row],[/PR:90]:[/BR:90]],Brudnopis!$E$28:$J$28),0)</f>
        <v>8.3333333333333329E-2</v>
      </c>
      <c r="Y3032" s="35">
        <f>IF(Mecze[[#This Row],[Role]]="BR",Mecze[[#This Row],[/OB:90]]+Mecze[[#This Row],[/PC:90]],SUM(Mecze[[#This Row],[/PR:90]:[/BR:90]]))</f>
        <v>0.14583333333333331</v>
      </c>
      <c r="Z3032" s="35">
        <f>IF(Mecze[[#This Row],[KC]]=0,SUM(Mecze[[#This Row],[/BRI]:[/NPI]]),SUM(Mecze[[#This Row],[/BRI]:[/NPI]])*0.6)</f>
        <v>0.75</v>
      </c>
      <c r="AA3032" s="10">
        <f>IFERROR(Mecze[[#This Row],[BR]]/Mecze[[#This Row],[ST]],0)</f>
        <v>0</v>
      </c>
      <c r="AB3032">
        <f>ROUND(Mecze[[#This Row],[PD]]*Mecze[[#This Row],[%PC]],0)</f>
        <v>8</v>
      </c>
      <c r="AC3032">
        <f>ROUND(Mecze[[#This Row],[OD]]*Mecze[[#This Row],[%OU]],0)</f>
        <v>3</v>
      </c>
      <c r="AD3032" s="36" t="s">
        <v>41</v>
      </c>
      <c r="AE3032" s="36">
        <v>170</v>
      </c>
      <c r="AF3032" s="71">
        <v>5.45</v>
      </c>
      <c r="AG3032" s="37">
        <v>0</v>
      </c>
      <c r="AH3032" s="37">
        <v>0</v>
      </c>
      <c r="AI3032" s="37">
        <v>96</v>
      </c>
      <c r="AJ3032" s="37">
        <v>10</v>
      </c>
      <c r="AK3032" s="37" t="str">
        <f>VLOOKUP(Mecze[[#This Row],[Match ID]],Meczusie[Mecz]:Meczusie[RodzajMeczu],2,FALSE)</f>
        <v>Liga</v>
      </c>
    </row>
    <row r="3033" spans="1:37" x14ac:dyDescent="0.25">
      <c r="A3033" s="76">
        <v>13</v>
      </c>
      <c r="B3033" s="3" t="s">
        <v>403</v>
      </c>
      <c r="C3033" s="2" t="s">
        <v>160</v>
      </c>
      <c r="D3033" s="1">
        <v>0</v>
      </c>
      <c r="E3033" s="1">
        <v>0</v>
      </c>
      <c r="F3033" s="1">
        <v>0</v>
      </c>
      <c r="G3033" s="1">
        <v>18</v>
      </c>
      <c r="H3033" s="4">
        <v>0.67</v>
      </c>
      <c r="I3033" s="1">
        <v>10</v>
      </c>
      <c r="J3033" s="4">
        <v>0.7</v>
      </c>
      <c r="K3033" s="1">
        <v>0</v>
      </c>
      <c r="L3033" s="1">
        <v>8</v>
      </c>
      <c r="M3033" s="32">
        <f>IF(Mecze[[#This Row],[PR]]=0,0,Mecze[[#This Row],[PR]]/Mecze[[#This Row],[CZAS]])</f>
        <v>8.3333333333333329E-2</v>
      </c>
      <c r="N3033" s="32">
        <f>IF(Mecze[[#This Row],[OU]]=0,0,Mecze[[#This Row],[OU]]/Mecze[[#This Row],[CZAS]])</f>
        <v>7.2916666666666671E-2</v>
      </c>
      <c r="O3033" s="32">
        <f>IF(Mecze[[#This Row],[PC]]=0,0,Mecze[[#This Row],[PC]]/Mecze[[#This Row],[CZAS]])</f>
        <v>0.125</v>
      </c>
      <c r="P3033" s="32">
        <f>IF(Mecze[[#This Row],[SC]]=0,0,Mecze[[#This Row],[SC]]/Mecze[[#This Row],[CZAS]])</f>
        <v>0</v>
      </c>
      <c r="Q3033" s="32">
        <f>IF(Mecze[[#This Row],[OB]]=0,0,Mecze[[#This Row],[OB]]/Mecze[[#This Row],[CZAS]])</f>
        <v>0</v>
      </c>
      <c r="R3033" s="32">
        <f>IF(Mecze[[#This Row],[BR]]=0,0,Mecze[[#This Row],[BR]]/Mecze[[#This Row],[CZAS]])</f>
        <v>0</v>
      </c>
      <c r="S3033" s="44">
        <f>IF(Mecze[[#This Row],[Role]]="BR",SUMPRODUCT(Mecze[[#This Row],[/PR:90]:[/BR:90]],Brudnopis!$E$23:$J$23),0)</f>
        <v>0</v>
      </c>
      <c r="T3033" s="44">
        <f>IF(Mecze[[#This Row],[Role]]&lt;&gt;"BR",SUMPRODUCT(Mecze[[#This Row],[/PR:90]:[/BR:90]],Brudnopis!$E$24:$J$24),0)</f>
        <v>0.31770833333333331</v>
      </c>
      <c r="U3033" s="44">
        <f>IF(Mecze[[#This Row],[Role]]&lt;&gt;"BR",SUMPRODUCT(Mecze[[#This Row],[/PR:90]:[/BR:90]],Brudnopis!$E$25:$J$25),0)</f>
        <v>0.34375</v>
      </c>
      <c r="V3033" s="44">
        <f>IF(Mecze[[#This Row],[Role]]&lt;&gt;"BR",SUMPRODUCT(Mecze[[#This Row],[/PR:90]:[/BR:90]],Brudnopis!$E$26:$J$26),0)</f>
        <v>0.28125</v>
      </c>
      <c r="W3033" s="44">
        <f>IF(Mecze[[#This Row],[Role]]&lt;&gt;"BR",SUMPRODUCT(Mecze[[#This Row],[/PR:90]:[/BR:90]],Brudnopis!$E$27:$J$27),0)</f>
        <v>0.3046875</v>
      </c>
      <c r="X3033" s="44">
        <f>IF(Mecze[[#This Row],[Role]]&lt;&gt;"BR",SUMPRODUCT(Mecze[[#This Row],[/PR:90]:[/BR:90]],Brudnopis!$E$28:$J$28),0)</f>
        <v>0.125</v>
      </c>
      <c r="Y3033" s="35">
        <f>IF(Mecze[[#This Row],[Role]]="BR",Mecze[[#This Row],[/OB:90]]+Mecze[[#This Row],[/PC:90]],SUM(Mecze[[#This Row],[/PR:90]:[/BR:90]]))</f>
        <v>0.28125</v>
      </c>
      <c r="Z3033" s="35">
        <f>IF(Mecze[[#This Row],[KC]]=0,SUM(Mecze[[#This Row],[/BRI]:[/NPI]]),SUM(Mecze[[#This Row],[/BRI]:[/NPI]])*0.6)</f>
        <v>1.3723958333333333</v>
      </c>
      <c r="AA3033" s="10">
        <f>IFERROR(Mecze[[#This Row],[BR]]/Mecze[[#This Row],[ST]],0)</f>
        <v>0</v>
      </c>
      <c r="AB3033">
        <f>ROUND(Mecze[[#This Row],[PD]]*Mecze[[#This Row],[%PC]],0)</f>
        <v>12</v>
      </c>
      <c r="AC3033">
        <f>ROUND(Mecze[[#This Row],[OD]]*Mecze[[#This Row],[%OU]],0)</f>
        <v>7</v>
      </c>
      <c r="AD3033" s="36" t="s">
        <v>41</v>
      </c>
      <c r="AE3033" s="36">
        <v>170</v>
      </c>
      <c r="AF3033" s="71">
        <v>5.59</v>
      </c>
      <c r="AG3033" s="37">
        <v>0</v>
      </c>
      <c r="AH3033" s="37">
        <v>0</v>
      </c>
      <c r="AI3033" s="37">
        <v>96</v>
      </c>
      <c r="AJ3033" s="37">
        <v>10</v>
      </c>
      <c r="AK3033" s="37" t="str">
        <f>VLOOKUP(Mecze[[#This Row],[Match ID]],Meczusie[Mecz]:Meczusie[RodzajMeczu],2,FALSE)</f>
        <v>Liga</v>
      </c>
    </row>
    <row r="3034" spans="1:37" x14ac:dyDescent="0.25">
      <c r="A3034" s="76">
        <v>11</v>
      </c>
      <c r="B3034" s="3" t="s">
        <v>243</v>
      </c>
      <c r="C3034" s="2" t="s">
        <v>160</v>
      </c>
      <c r="D3034" s="1">
        <v>0</v>
      </c>
      <c r="E3034" s="1">
        <v>1</v>
      </c>
      <c r="F3034" s="1">
        <v>1</v>
      </c>
      <c r="G3034" s="1">
        <v>14</v>
      </c>
      <c r="H3034" s="4">
        <v>0.79</v>
      </c>
      <c r="I3034" s="1">
        <v>11</v>
      </c>
      <c r="J3034" s="4">
        <v>0.36</v>
      </c>
      <c r="K3034" s="1">
        <v>0</v>
      </c>
      <c r="L3034" s="1">
        <v>3</v>
      </c>
      <c r="M3034" s="32">
        <f>IF(Mecze[[#This Row],[PR]]=0,0,Mecze[[#This Row],[PR]]/Mecze[[#This Row],[CZAS]])</f>
        <v>3.125E-2</v>
      </c>
      <c r="N3034" s="32">
        <f>IF(Mecze[[#This Row],[OU]]=0,0,Mecze[[#This Row],[OU]]/Mecze[[#This Row],[CZAS]])</f>
        <v>4.1666666666666664E-2</v>
      </c>
      <c r="O3034" s="32">
        <f>IF(Mecze[[#This Row],[PC]]=0,0,Mecze[[#This Row],[PC]]/Mecze[[#This Row],[CZAS]])</f>
        <v>0.11458333333333333</v>
      </c>
      <c r="P3034" s="32">
        <f>IF(Mecze[[#This Row],[SC]]=0,0,Mecze[[#This Row],[SC]]/Mecze[[#This Row],[CZAS]])</f>
        <v>1.0416666666666666E-2</v>
      </c>
      <c r="Q3034" s="32">
        <f>IF(Mecze[[#This Row],[OB]]=0,0,Mecze[[#This Row],[OB]]/Mecze[[#This Row],[CZAS]])</f>
        <v>0</v>
      </c>
      <c r="R3034" s="32">
        <f>IF(Mecze[[#This Row],[BR]]=0,0,Mecze[[#This Row],[BR]]/Mecze[[#This Row],[CZAS]])</f>
        <v>0</v>
      </c>
      <c r="S3034" s="44">
        <f>IF(Mecze[[#This Row],[Role]]="BR",SUMPRODUCT(Mecze[[#This Row],[/PR:90]:[/BR:90]],Brudnopis!$E$23:$J$23),0)</f>
        <v>0</v>
      </c>
      <c r="T3034" s="44">
        <f>IF(Mecze[[#This Row],[Role]]&lt;&gt;"BR",SUMPRODUCT(Mecze[[#This Row],[/PR:90]:[/BR:90]],Brudnopis!$E$24:$J$24),0)</f>
        <v>0.21874999999999997</v>
      </c>
      <c r="U3034" s="44">
        <f>IF(Mecze[[#This Row],[Role]]&lt;&gt;"BR",SUMPRODUCT(Mecze[[#This Row],[/PR:90]:[/BR:90]],Brudnopis!$E$25:$J$25),0)</f>
        <v>0.25520833333333331</v>
      </c>
      <c r="V3034" s="44">
        <f>IF(Mecze[[#This Row],[Role]]&lt;&gt;"BR",SUMPRODUCT(Mecze[[#This Row],[/PR:90]:[/BR:90]],Brudnopis!$E$26:$J$26),0)</f>
        <v>0.19791666666666666</v>
      </c>
      <c r="W3034" s="44">
        <f>IF(Mecze[[#This Row],[Role]]&lt;&gt;"BR",SUMPRODUCT(Mecze[[#This Row],[/PR:90]:[/BR:90]],Brudnopis!$E$27:$J$27),0)</f>
        <v>0.23697916666666666</v>
      </c>
      <c r="X3034" s="44">
        <f>IF(Mecze[[#This Row],[Role]]&lt;&gt;"BR",SUMPRODUCT(Mecze[[#This Row],[/PR:90]:[/BR:90]],Brudnopis!$E$28:$J$28),0)</f>
        <v>0.13541666666666666</v>
      </c>
      <c r="Y3034" s="35">
        <f>IF(Mecze[[#This Row],[Role]]="BR",Mecze[[#This Row],[/OB:90]]+Mecze[[#This Row],[/PC:90]],SUM(Mecze[[#This Row],[/PR:90]:[/BR:90]]))</f>
        <v>0.19791666666666666</v>
      </c>
      <c r="Z3034" s="35">
        <f>IF(Mecze[[#This Row],[KC]]=0,SUM(Mecze[[#This Row],[/BRI]:[/NPI]]),SUM(Mecze[[#This Row],[/BRI]:[/NPI]])*0.6)</f>
        <v>1.0442708333333333</v>
      </c>
      <c r="AA3034" s="10">
        <f>IFERROR(Mecze[[#This Row],[BR]]/Mecze[[#This Row],[ST]],0)</f>
        <v>0</v>
      </c>
      <c r="AB3034">
        <f>ROUND(Mecze[[#This Row],[PD]]*Mecze[[#This Row],[%PC]],0)</f>
        <v>11</v>
      </c>
      <c r="AC3034">
        <f>ROUND(Mecze[[#This Row],[OD]]*Mecze[[#This Row],[%OU]],0)</f>
        <v>4</v>
      </c>
      <c r="AD3034" s="36" t="s">
        <v>67</v>
      </c>
      <c r="AE3034" s="36">
        <v>170</v>
      </c>
      <c r="AF3034" s="71">
        <v>4.7699999999999996</v>
      </c>
      <c r="AG3034" s="37">
        <v>0</v>
      </c>
      <c r="AH3034" s="37">
        <v>0</v>
      </c>
      <c r="AI3034" s="37">
        <v>96</v>
      </c>
      <c r="AJ3034" s="37">
        <v>10</v>
      </c>
      <c r="AK3034" s="37" t="str">
        <f>VLOOKUP(Mecze[[#This Row],[Match ID]],Meczusie[Mecz]:Meczusie[RodzajMeczu],2,FALSE)</f>
        <v>Liga</v>
      </c>
    </row>
    <row r="3035" spans="1:37" x14ac:dyDescent="0.25">
      <c r="A3035" s="76">
        <v>14</v>
      </c>
      <c r="B3035" s="3" t="s">
        <v>244</v>
      </c>
      <c r="C3035" s="2" t="s">
        <v>165</v>
      </c>
      <c r="D3035" s="1">
        <v>0</v>
      </c>
      <c r="E3035" s="1">
        <v>6</v>
      </c>
      <c r="F3035" s="1">
        <v>5</v>
      </c>
      <c r="G3035" s="1">
        <v>3</v>
      </c>
      <c r="H3035" s="4">
        <v>0.67</v>
      </c>
      <c r="I3035" s="1">
        <v>1</v>
      </c>
      <c r="J3035" s="4">
        <v>0</v>
      </c>
      <c r="K3035" s="1">
        <v>0</v>
      </c>
      <c r="L3035" s="1">
        <v>0</v>
      </c>
      <c r="M3035" s="32">
        <f>IF(Mecze[[#This Row],[PR]]=0,0,Mecze[[#This Row],[PR]]/Mecze[[#This Row],[CZAS]])</f>
        <v>0</v>
      </c>
      <c r="N3035" s="32">
        <f>IF(Mecze[[#This Row],[OU]]=0,0,Mecze[[#This Row],[OU]]/Mecze[[#This Row],[CZAS]])</f>
        <v>0</v>
      </c>
      <c r="O3035" s="32">
        <f>IF(Mecze[[#This Row],[PC]]=0,0,Mecze[[#This Row],[PC]]/Mecze[[#This Row],[CZAS]])</f>
        <v>2.0833333333333332E-2</v>
      </c>
      <c r="P3035" s="32">
        <f>IF(Mecze[[#This Row],[SC]]=0,0,Mecze[[#This Row],[SC]]/Mecze[[#This Row],[CZAS]])</f>
        <v>5.2083333333333336E-2</v>
      </c>
      <c r="Q3035" s="32">
        <f>IF(Mecze[[#This Row],[OB]]=0,0,Mecze[[#This Row],[OB]]/Mecze[[#This Row],[CZAS]])</f>
        <v>0</v>
      </c>
      <c r="R3035" s="32">
        <f>IF(Mecze[[#This Row],[BR]]=0,0,Mecze[[#This Row],[BR]]/Mecze[[#This Row],[CZAS]])</f>
        <v>0</v>
      </c>
      <c r="S3035" s="44">
        <f>IF(Mecze[[#This Row],[Role]]="BR",SUMPRODUCT(Mecze[[#This Row],[/PR:90]:[/BR:90]],Brudnopis!$E$23:$J$23),0)</f>
        <v>0</v>
      </c>
      <c r="T3035" s="44">
        <f>IF(Mecze[[#This Row],[Role]]&lt;&gt;"BR",SUMPRODUCT(Mecze[[#This Row],[/PR:90]:[/BR:90]],Brudnopis!$E$24:$J$24),0)</f>
        <v>7.2916666666666671E-2</v>
      </c>
      <c r="U3035" s="44">
        <f>IF(Mecze[[#This Row],[Role]]&lt;&gt;"BR",SUMPRODUCT(Mecze[[#This Row],[/PR:90]:[/BR:90]],Brudnopis!$E$25:$J$25),0)</f>
        <v>8.3333333333333343E-2</v>
      </c>
      <c r="V3035" s="44">
        <f>IF(Mecze[[#This Row],[Role]]&lt;&gt;"BR",SUMPRODUCT(Mecze[[#This Row],[/PR:90]:[/BR:90]],Brudnopis!$E$26:$J$26),0)</f>
        <v>7.2916666666666671E-2</v>
      </c>
      <c r="W3035" s="44">
        <f>IF(Mecze[[#This Row],[Role]]&lt;&gt;"BR",SUMPRODUCT(Mecze[[#This Row],[/PR:90]:[/BR:90]],Brudnopis!$E$27:$J$27),0)</f>
        <v>8.3333333333333343E-2</v>
      </c>
      <c r="X3035" s="44">
        <f>IF(Mecze[[#This Row],[Role]]&lt;&gt;"BR",SUMPRODUCT(Mecze[[#This Row],[/PR:90]:[/BR:90]],Brudnopis!$E$28:$J$28),0)</f>
        <v>0.125</v>
      </c>
      <c r="Y3035" s="35">
        <f>IF(Mecze[[#This Row],[Role]]="BR",Mecze[[#This Row],[/OB:90]]+Mecze[[#This Row],[/PC:90]],SUM(Mecze[[#This Row],[/PR:90]:[/BR:90]]))</f>
        <v>7.2916666666666671E-2</v>
      </c>
      <c r="Z3035" s="35">
        <f>IF(Mecze[[#This Row],[KC]]=0,SUM(Mecze[[#This Row],[/BRI]:[/NPI]]),SUM(Mecze[[#This Row],[/BRI]:[/NPI]])*0.6)</f>
        <v>0.4375</v>
      </c>
      <c r="AA3035" s="10">
        <f>IFERROR(Mecze[[#This Row],[BR]]/Mecze[[#This Row],[ST]],0)</f>
        <v>0</v>
      </c>
      <c r="AB3035">
        <f>ROUND(Mecze[[#This Row],[PD]]*Mecze[[#This Row],[%PC]],0)</f>
        <v>2</v>
      </c>
      <c r="AC3035">
        <f>ROUND(Mecze[[#This Row],[OD]]*Mecze[[#This Row],[%OU]],0)</f>
        <v>0</v>
      </c>
      <c r="AD3035" s="36" t="s">
        <v>46</v>
      </c>
      <c r="AE3035" s="36">
        <v>170</v>
      </c>
      <c r="AF3035" s="71">
        <v>3.81</v>
      </c>
      <c r="AG3035" s="37">
        <v>0</v>
      </c>
      <c r="AH3035" s="37">
        <v>0</v>
      </c>
      <c r="AI3035" s="37">
        <v>96</v>
      </c>
      <c r="AJ3035" s="37">
        <v>10</v>
      </c>
      <c r="AK3035" s="37" t="str">
        <f>VLOOKUP(Mecze[[#This Row],[Match ID]],Meczusie[Mecz]:Meczusie[RodzajMeczu],2,FALSE)</f>
        <v>Liga</v>
      </c>
    </row>
    <row r="3036" spans="1:37" x14ac:dyDescent="0.25">
      <c r="A3036" s="76">
        <v>9</v>
      </c>
      <c r="B3036" s="3" t="s">
        <v>451</v>
      </c>
      <c r="C3036" s="2" t="s">
        <v>165</v>
      </c>
      <c r="D3036" s="1">
        <v>1</v>
      </c>
      <c r="E3036" s="1">
        <v>5</v>
      </c>
      <c r="F3036" s="1">
        <v>5</v>
      </c>
      <c r="G3036" s="1">
        <v>6</v>
      </c>
      <c r="H3036" s="4">
        <v>0.67</v>
      </c>
      <c r="I3036" s="1">
        <v>1</v>
      </c>
      <c r="J3036" s="4">
        <v>0</v>
      </c>
      <c r="K3036" s="1">
        <v>0</v>
      </c>
      <c r="L3036" s="1">
        <v>0</v>
      </c>
      <c r="M3036" s="32">
        <f>IF(Mecze[[#This Row],[PR]]=0,0,Mecze[[#This Row],[PR]]/Mecze[[#This Row],[CZAS]])</f>
        <v>0</v>
      </c>
      <c r="N3036" s="32">
        <f>IF(Mecze[[#This Row],[OU]]=0,0,Mecze[[#This Row],[OU]]/Mecze[[#This Row],[CZAS]])</f>
        <v>0</v>
      </c>
      <c r="O3036" s="32">
        <f>IF(Mecze[[#This Row],[PC]]=0,0,Mecze[[#This Row],[PC]]/Mecze[[#This Row],[CZAS]])</f>
        <v>4.1666666666666664E-2</v>
      </c>
      <c r="P3036" s="32">
        <f>IF(Mecze[[#This Row],[SC]]=0,0,Mecze[[#This Row],[SC]]/Mecze[[#This Row],[CZAS]])</f>
        <v>5.2083333333333336E-2</v>
      </c>
      <c r="Q3036" s="32">
        <f>IF(Mecze[[#This Row],[OB]]=0,0,Mecze[[#This Row],[OB]]/Mecze[[#This Row],[CZAS]])</f>
        <v>0</v>
      </c>
      <c r="R3036" s="32">
        <f>IF(Mecze[[#This Row],[BR]]=0,0,Mecze[[#This Row],[BR]]/Mecze[[#This Row],[CZAS]])</f>
        <v>1.0416666666666666E-2</v>
      </c>
      <c r="S3036" s="44">
        <f>IF(Mecze[[#This Row],[Role]]="BR",SUMPRODUCT(Mecze[[#This Row],[/PR:90]:[/BR:90]],Brudnopis!$E$23:$J$23),0)</f>
        <v>0</v>
      </c>
      <c r="T3036" s="44">
        <f>IF(Mecze[[#This Row],[Role]]&lt;&gt;"BR",SUMPRODUCT(Mecze[[#This Row],[/PR:90]:[/BR:90]],Brudnopis!$E$24:$J$24),0)</f>
        <v>0.109375</v>
      </c>
      <c r="U3036" s="44">
        <f>IF(Mecze[[#This Row],[Role]]&lt;&gt;"BR",SUMPRODUCT(Mecze[[#This Row],[/PR:90]:[/BR:90]],Brudnopis!$E$25:$J$25),0)</f>
        <v>0.13020833333333334</v>
      </c>
      <c r="V3036" s="44">
        <f>IF(Mecze[[#This Row],[Role]]&lt;&gt;"BR",SUMPRODUCT(Mecze[[#This Row],[/PR:90]:[/BR:90]],Brudnopis!$E$26:$J$26),0)</f>
        <v>0.11458333333333333</v>
      </c>
      <c r="W3036" s="44">
        <f>IF(Mecze[[#This Row],[Role]]&lt;&gt;"BR",SUMPRODUCT(Mecze[[#This Row],[/PR:90]:[/BR:90]],Brudnopis!$E$27:$J$27),0)</f>
        <v>0.13541666666666669</v>
      </c>
      <c r="X3036" s="44">
        <f>IF(Mecze[[#This Row],[Role]]&lt;&gt;"BR",SUMPRODUCT(Mecze[[#This Row],[/PR:90]:[/BR:90]],Brudnopis!$E$28:$J$28),0)</f>
        <v>0.17708333333333334</v>
      </c>
      <c r="Y3036" s="35">
        <f>IF(Mecze[[#This Row],[Role]]="BR",Mecze[[#This Row],[/OB:90]]+Mecze[[#This Row],[/PC:90]],SUM(Mecze[[#This Row],[/PR:90]:[/BR:90]]))</f>
        <v>0.10416666666666667</v>
      </c>
      <c r="Z3036" s="35">
        <f>IF(Mecze[[#This Row],[KC]]=0,SUM(Mecze[[#This Row],[/BRI]:[/NPI]]),SUM(Mecze[[#This Row],[/BRI]:[/NPI]])*0.6)</f>
        <v>0.66666666666666674</v>
      </c>
      <c r="AA3036" s="10">
        <f>IFERROR(Mecze[[#This Row],[BR]]/Mecze[[#This Row],[ST]],0)</f>
        <v>0.2</v>
      </c>
      <c r="AB3036">
        <f>ROUND(Mecze[[#This Row],[PD]]*Mecze[[#This Row],[%PC]],0)</f>
        <v>4</v>
      </c>
      <c r="AC3036">
        <f>ROUND(Mecze[[#This Row],[OD]]*Mecze[[#This Row],[%OU]],0)</f>
        <v>0</v>
      </c>
      <c r="AD3036" s="36" t="s">
        <v>46</v>
      </c>
      <c r="AE3036" s="36">
        <v>170</v>
      </c>
      <c r="AF3036" s="71">
        <v>7.44</v>
      </c>
      <c r="AG3036" s="37">
        <v>0</v>
      </c>
      <c r="AH3036" s="37">
        <v>0</v>
      </c>
      <c r="AI3036" s="37">
        <v>96</v>
      </c>
      <c r="AJ3036" s="37">
        <v>10</v>
      </c>
      <c r="AK3036" s="37" t="str">
        <f>VLOOKUP(Mecze[[#This Row],[Match ID]],Meczusie[Mecz]:Meczusie[RodzajMeczu],2,FALSE)</f>
        <v>Liga</v>
      </c>
    </row>
    <row r="3037" spans="1:37" x14ac:dyDescent="0.25">
      <c r="A3037" s="76">
        <v>10</v>
      </c>
      <c r="B3037" s="3" t="s">
        <v>246</v>
      </c>
      <c r="C3037" s="2" t="s">
        <v>165</v>
      </c>
      <c r="D3037" s="1">
        <v>1</v>
      </c>
      <c r="E3037" s="1">
        <v>6</v>
      </c>
      <c r="F3037" s="1">
        <v>6</v>
      </c>
      <c r="G3037" s="1">
        <v>7</v>
      </c>
      <c r="H3037" s="4">
        <v>0.86</v>
      </c>
      <c r="I3037" s="1">
        <v>5</v>
      </c>
      <c r="J3037" s="4">
        <v>0.4</v>
      </c>
      <c r="K3037" s="1">
        <v>0</v>
      </c>
      <c r="L3037" s="1">
        <v>1</v>
      </c>
      <c r="M3037" s="32">
        <f>IF(Mecze[[#This Row],[PR]]=0,0,Mecze[[#This Row],[PR]]/Mecze[[#This Row],[CZAS]])</f>
        <v>1.0416666666666666E-2</v>
      </c>
      <c r="N3037" s="32">
        <f>IF(Mecze[[#This Row],[OU]]=0,0,Mecze[[#This Row],[OU]]/Mecze[[#This Row],[CZAS]])</f>
        <v>2.0833333333333332E-2</v>
      </c>
      <c r="O3037" s="32">
        <f>IF(Mecze[[#This Row],[PC]]=0,0,Mecze[[#This Row],[PC]]/Mecze[[#This Row],[CZAS]])</f>
        <v>6.25E-2</v>
      </c>
      <c r="P3037" s="32">
        <f>IF(Mecze[[#This Row],[SC]]=0,0,Mecze[[#This Row],[SC]]/Mecze[[#This Row],[CZAS]])</f>
        <v>6.25E-2</v>
      </c>
      <c r="Q3037" s="32">
        <f>IF(Mecze[[#This Row],[OB]]=0,0,Mecze[[#This Row],[OB]]/Mecze[[#This Row],[CZAS]])</f>
        <v>0</v>
      </c>
      <c r="R3037" s="32">
        <f>IF(Mecze[[#This Row],[BR]]=0,0,Mecze[[#This Row],[BR]]/Mecze[[#This Row],[CZAS]])</f>
        <v>1.0416666666666666E-2</v>
      </c>
      <c r="S3037" s="44">
        <f>IF(Mecze[[#This Row],[Role]]="BR",SUMPRODUCT(Mecze[[#This Row],[/PR:90]:[/BR:90]],Brudnopis!$E$23:$J$23),0)</f>
        <v>0</v>
      </c>
      <c r="T3037" s="44">
        <f>IF(Mecze[[#This Row],[Role]]&lt;&gt;"BR",SUMPRODUCT(Mecze[[#This Row],[/PR:90]:[/BR:90]],Brudnopis!$E$24:$J$24),0)</f>
        <v>0.18229166666666666</v>
      </c>
      <c r="U3037" s="44">
        <f>IF(Mecze[[#This Row],[Role]]&lt;&gt;"BR",SUMPRODUCT(Mecze[[#This Row],[/PR:90]:[/BR:90]],Brudnopis!$E$25:$J$25),0)</f>
        <v>0.203125</v>
      </c>
      <c r="V3037" s="44">
        <f>IF(Mecze[[#This Row],[Role]]&lt;&gt;"BR",SUMPRODUCT(Mecze[[#This Row],[/PR:90]:[/BR:90]],Brudnopis!$E$26:$J$26),0)</f>
        <v>0.17708333333333334</v>
      </c>
      <c r="W3037" s="44">
        <f>IF(Mecze[[#This Row],[Role]]&lt;&gt;"BR",SUMPRODUCT(Mecze[[#This Row],[/PR:90]:[/BR:90]],Brudnopis!$E$27:$J$27),0)</f>
        <v>0.20052083333333334</v>
      </c>
      <c r="X3037" s="44">
        <f>IF(Mecze[[#This Row],[Role]]&lt;&gt;"BR",SUMPRODUCT(Mecze[[#This Row],[/PR:90]:[/BR:90]],Brudnopis!$E$28:$J$28),0)</f>
        <v>0.21875</v>
      </c>
      <c r="Y3037" s="35">
        <f>IF(Mecze[[#This Row],[Role]]="BR",Mecze[[#This Row],[/OB:90]]+Mecze[[#This Row],[/PC:90]],SUM(Mecze[[#This Row],[/PR:90]:[/BR:90]]))</f>
        <v>0.16666666666666666</v>
      </c>
      <c r="Z3037" s="35">
        <f>IF(Mecze[[#This Row],[KC]]=0,SUM(Mecze[[#This Row],[/BRI]:[/NPI]]),SUM(Mecze[[#This Row],[/BRI]:[/NPI]])*0.6)</f>
        <v>0.98177083333333337</v>
      </c>
      <c r="AA3037" s="10">
        <f>IFERROR(Mecze[[#This Row],[BR]]/Mecze[[#This Row],[ST]],0)</f>
        <v>0.16666666666666666</v>
      </c>
      <c r="AB3037">
        <f>ROUND(Mecze[[#This Row],[PD]]*Mecze[[#This Row],[%PC]],0)</f>
        <v>6</v>
      </c>
      <c r="AC3037">
        <f>ROUND(Mecze[[#This Row],[OD]]*Mecze[[#This Row],[%OU]],0)</f>
        <v>2</v>
      </c>
      <c r="AD3037" s="36" t="s">
        <v>46</v>
      </c>
      <c r="AE3037" s="36">
        <v>170</v>
      </c>
      <c r="AF3037" s="71">
        <v>8.58</v>
      </c>
      <c r="AG3037" s="37">
        <v>0</v>
      </c>
      <c r="AH3037" s="37">
        <v>0</v>
      </c>
      <c r="AI3037" s="37">
        <v>96</v>
      </c>
      <c r="AJ3037" s="37">
        <v>10</v>
      </c>
      <c r="AK3037" s="37" t="str">
        <f>VLOOKUP(Mecze[[#This Row],[Match ID]],Meczusie[Mecz]:Meczusie[RodzajMeczu],2,FALSE)</f>
        <v>Liga</v>
      </c>
    </row>
    <row r="3038" spans="1:37" x14ac:dyDescent="0.25">
      <c r="A3038" s="76">
        <v>1</v>
      </c>
      <c r="B3038" s="3" t="s">
        <v>320</v>
      </c>
      <c r="C3038" s="2" t="s">
        <v>155</v>
      </c>
      <c r="D3038" s="1">
        <v>0</v>
      </c>
      <c r="E3038" s="1">
        <v>0</v>
      </c>
      <c r="F3038" s="1">
        <v>0</v>
      </c>
      <c r="G3038" s="1">
        <v>11</v>
      </c>
      <c r="H3038" s="4">
        <v>0.64</v>
      </c>
      <c r="I3038" s="1">
        <v>0</v>
      </c>
      <c r="J3038" s="4"/>
      <c r="K3038" s="1">
        <v>14</v>
      </c>
      <c r="L3038" s="1">
        <v>0</v>
      </c>
      <c r="M3038" s="32">
        <f>IF(Mecze[[#This Row],[PR]]=0,0,Mecze[[#This Row],[PR]]/Mecze[[#This Row],[CZAS]])</f>
        <v>0</v>
      </c>
      <c r="N3038" s="32">
        <f>IF(Mecze[[#This Row],[OU]]=0,0,Mecze[[#This Row],[OU]]/Mecze[[#This Row],[CZAS]])</f>
        <v>0</v>
      </c>
      <c r="O3038" s="32">
        <f>IF(Mecze[[#This Row],[PC]]=0,0,Mecze[[#This Row],[PC]]/Mecze[[#This Row],[CZAS]])</f>
        <v>7.2916666666666671E-2</v>
      </c>
      <c r="P3038" s="32">
        <f>IF(Mecze[[#This Row],[SC]]=0,0,Mecze[[#This Row],[SC]]/Mecze[[#This Row],[CZAS]])</f>
        <v>0</v>
      </c>
      <c r="Q3038" s="32">
        <f>IF(Mecze[[#This Row],[OB]]=0,0,Mecze[[#This Row],[OB]]/Mecze[[#This Row],[CZAS]])</f>
        <v>0.14583333333333334</v>
      </c>
      <c r="R3038" s="32">
        <f>IF(Mecze[[#This Row],[BR]]=0,0,Mecze[[#This Row],[BR]]/Mecze[[#This Row],[CZAS]])</f>
        <v>0</v>
      </c>
      <c r="S3038" s="44">
        <f>IF(Mecze[[#This Row],[Role]]="BR",SUMPRODUCT(Mecze[[#This Row],[/PR:90]:[/BR:90]],Brudnopis!$E$23:$J$23),0)</f>
        <v>0.65625</v>
      </c>
      <c r="T3038" s="44">
        <f>IF(Mecze[[#This Row],[Role]]&lt;&gt;"BR",SUMPRODUCT(Mecze[[#This Row],[/PR:90]:[/BR:90]],Brudnopis!$E$24:$J$24),0)</f>
        <v>0</v>
      </c>
      <c r="U3038" s="44">
        <f>IF(Mecze[[#This Row],[Role]]&lt;&gt;"BR",SUMPRODUCT(Mecze[[#This Row],[/PR:90]:[/BR:90]],Brudnopis!$E$25:$J$25),0)</f>
        <v>0</v>
      </c>
      <c r="V3038" s="44">
        <f>IF(Mecze[[#This Row],[Role]]&lt;&gt;"BR",SUMPRODUCT(Mecze[[#This Row],[/PR:90]:[/BR:90]],Brudnopis!$E$26:$J$26),0)</f>
        <v>0</v>
      </c>
      <c r="W3038" s="44">
        <f>IF(Mecze[[#This Row],[Role]]&lt;&gt;"BR",SUMPRODUCT(Mecze[[#This Row],[/PR:90]:[/BR:90]],Brudnopis!$E$27:$J$27),0)</f>
        <v>0</v>
      </c>
      <c r="X3038" s="44">
        <f>IF(Mecze[[#This Row],[Role]]&lt;&gt;"BR",SUMPRODUCT(Mecze[[#This Row],[/PR:90]:[/BR:90]],Brudnopis!$E$28:$J$28),0)</f>
        <v>0</v>
      </c>
      <c r="Y3038" s="35">
        <f>IF(Mecze[[#This Row],[Role]]="BR",Mecze[[#This Row],[/OB:90]]+Mecze[[#This Row],[/PC:90]],SUM(Mecze[[#This Row],[/PR:90]:[/BR:90]]))</f>
        <v>0.21875</v>
      </c>
      <c r="Z3038" s="35">
        <f>IF(Mecze[[#This Row],[KC]]=0,SUM(Mecze[[#This Row],[/BRI]:[/NPI]]),SUM(Mecze[[#This Row],[/BRI]:[/NPI]])*0.6)</f>
        <v>0.65625</v>
      </c>
      <c r="AA3038" s="10">
        <f>IFERROR(Mecze[[#This Row],[BR]]/Mecze[[#This Row],[ST]],0)</f>
        <v>0</v>
      </c>
      <c r="AB3038">
        <f>ROUND(Mecze[[#This Row],[PD]]*Mecze[[#This Row],[%PC]],0)</f>
        <v>7</v>
      </c>
      <c r="AC3038">
        <f>ROUND(Mecze[[#This Row],[OD]]*Mecze[[#This Row],[%OU]],0)</f>
        <v>0</v>
      </c>
      <c r="AD3038" s="36" t="s">
        <v>40</v>
      </c>
      <c r="AE3038" s="36">
        <v>170</v>
      </c>
      <c r="AF3038" s="71">
        <v>8.93</v>
      </c>
      <c r="AG3038" s="37">
        <v>0</v>
      </c>
      <c r="AH3038" s="37">
        <v>0</v>
      </c>
      <c r="AI3038" s="37">
        <v>96</v>
      </c>
      <c r="AJ3038" s="37">
        <v>11</v>
      </c>
      <c r="AK3038" s="37" t="str">
        <f>VLOOKUP(Mecze[[#This Row],[Match ID]],Meczusie[Mecz]:Meczusie[RodzajMeczu],2,FALSE)</f>
        <v>Liga</v>
      </c>
    </row>
    <row r="3039" spans="1:37" x14ac:dyDescent="0.25">
      <c r="A3039" s="76">
        <v>4</v>
      </c>
      <c r="B3039" s="3" t="s">
        <v>321</v>
      </c>
      <c r="C3039" s="2" t="s">
        <v>157</v>
      </c>
      <c r="D3039" s="1">
        <v>0</v>
      </c>
      <c r="E3039" s="1">
        <v>0</v>
      </c>
      <c r="F3039" s="1">
        <v>0</v>
      </c>
      <c r="G3039" s="1">
        <v>8</v>
      </c>
      <c r="H3039" s="4">
        <v>0.88</v>
      </c>
      <c r="I3039" s="1">
        <v>3</v>
      </c>
      <c r="J3039" s="4">
        <v>0.67</v>
      </c>
      <c r="K3039" s="1">
        <v>0</v>
      </c>
      <c r="L3039" s="1">
        <v>7</v>
      </c>
      <c r="M3039" s="32">
        <f>IF(Mecze[[#This Row],[PR]]=0,0,Mecze[[#This Row],[PR]]/Mecze[[#This Row],[CZAS]])</f>
        <v>7.2916666666666671E-2</v>
      </c>
      <c r="N3039" s="32">
        <f>IF(Mecze[[#This Row],[OU]]=0,0,Mecze[[#This Row],[OU]]/Mecze[[#This Row],[CZAS]])</f>
        <v>2.0833333333333332E-2</v>
      </c>
      <c r="O3039" s="32">
        <f>IF(Mecze[[#This Row],[PC]]=0,0,Mecze[[#This Row],[PC]]/Mecze[[#This Row],[CZAS]])</f>
        <v>7.2916666666666671E-2</v>
      </c>
      <c r="P3039" s="32">
        <f>IF(Mecze[[#This Row],[SC]]=0,0,Mecze[[#This Row],[SC]]/Mecze[[#This Row],[CZAS]])</f>
        <v>0</v>
      </c>
      <c r="Q3039" s="32">
        <f>IF(Mecze[[#This Row],[OB]]=0,0,Mecze[[#This Row],[OB]]/Mecze[[#This Row],[CZAS]])</f>
        <v>0</v>
      </c>
      <c r="R3039" s="32">
        <f>IF(Mecze[[#This Row],[BR]]=0,0,Mecze[[#This Row],[BR]]/Mecze[[#This Row],[CZAS]])</f>
        <v>0</v>
      </c>
      <c r="S3039" s="44">
        <f>IF(Mecze[[#This Row],[Role]]="BR",SUMPRODUCT(Mecze[[#This Row],[/PR:90]:[/BR:90]],Brudnopis!$E$23:$J$23),0)</f>
        <v>0</v>
      </c>
      <c r="T3039" s="44">
        <f>IF(Mecze[[#This Row],[Role]]&lt;&gt;"BR",SUMPRODUCT(Mecze[[#This Row],[/PR:90]:[/BR:90]],Brudnopis!$E$24:$J$24),0)</f>
        <v>0.17708333333333334</v>
      </c>
      <c r="U3039" s="44">
        <f>IF(Mecze[[#This Row],[Role]]&lt;&gt;"BR",SUMPRODUCT(Mecze[[#This Row],[/PR:90]:[/BR:90]],Brudnopis!$E$25:$J$25),0)</f>
        <v>0.203125</v>
      </c>
      <c r="V3039" s="44">
        <f>IF(Mecze[[#This Row],[Role]]&lt;&gt;"BR",SUMPRODUCT(Mecze[[#This Row],[/PR:90]:[/BR:90]],Brudnopis!$E$26:$J$26),0)</f>
        <v>0.16666666666666669</v>
      </c>
      <c r="W3039" s="44">
        <f>IF(Mecze[[#This Row],[Role]]&lt;&gt;"BR",SUMPRODUCT(Mecze[[#This Row],[/PR:90]:[/BR:90]],Brudnopis!$E$27:$J$27),0)</f>
        <v>0.1796875</v>
      </c>
      <c r="X3039" s="44">
        <f>IF(Mecze[[#This Row],[Role]]&lt;&gt;"BR",SUMPRODUCT(Mecze[[#This Row],[/PR:90]:[/BR:90]],Brudnopis!$E$28:$J$28),0)</f>
        <v>7.2916666666666671E-2</v>
      </c>
      <c r="Y3039" s="35">
        <f>IF(Mecze[[#This Row],[Role]]="BR",Mecze[[#This Row],[/OB:90]]+Mecze[[#This Row],[/PC:90]],SUM(Mecze[[#This Row],[/PR:90]:[/BR:90]]))</f>
        <v>0.16666666666666669</v>
      </c>
      <c r="Z3039" s="35">
        <f>IF(Mecze[[#This Row],[KC]]=0,SUM(Mecze[[#This Row],[/BRI]:[/NPI]]),SUM(Mecze[[#This Row],[/BRI]:[/NPI]])*0.6)</f>
        <v>0.79947916666666663</v>
      </c>
      <c r="AA3039" s="10">
        <f>IFERROR(Mecze[[#This Row],[BR]]/Mecze[[#This Row],[ST]],0)</f>
        <v>0</v>
      </c>
      <c r="AB3039">
        <f>ROUND(Mecze[[#This Row],[PD]]*Mecze[[#This Row],[%PC]],0)</f>
        <v>7</v>
      </c>
      <c r="AC3039">
        <f>ROUND(Mecze[[#This Row],[OD]]*Mecze[[#This Row],[%OU]],0)</f>
        <v>2</v>
      </c>
      <c r="AD3039" s="36" t="s">
        <v>47</v>
      </c>
      <c r="AE3039" s="36">
        <v>170</v>
      </c>
      <c r="AF3039" s="71">
        <v>5.4</v>
      </c>
      <c r="AG3039" s="37">
        <v>0</v>
      </c>
      <c r="AH3039" s="37">
        <v>0</v>
      </c>
      <c r="AI3039" s="37">
        <v>96</v>
      </c>
      <c r="AJ3039" s="37">
        <v>11</v>
      </c>
      <c r="AK3039" s="37" t="str">
        <f>VLOOKUP(Mecze[[#This Row],[Match ID]],Meczusie[Mecz]:Meczusie[RodzajMeczu],2,FALSE)</f>
        <v>Liga</v>
      </c>
    </row>
    <row r="3040" spans="1:37" x14ac:dyDescent="0.25">
      <c r="A3040" s="76">
        <v>7</v>
      </c>
      <c r="B3040" s="3" t="s">
        <v>322</v>
      </c>
      <c r="C3040" s="2" t="s">
        <v>157</v>
      </c>
      <c r="D3040" s="1">
        <v>0</v>
      </c>
      <c r="E3040" s="1">
        <v>0</v>
      </c>
      <c r="F3040" s="1">
        <v>0</v>
      </c>
      <c r="G3040" s="1">
        <v>18</v>
      </c>
      <c r="H3040" s="4">
        <v>0.78</v>
      </c>
      <c r="I3040" s="1">
        <v>7</v>
      </c>
      <c r="J3040" s="4">
        <v>0.86</v>
      </c>
      <c r="K3040" s="1">
        <v>0</v>
      </c>
      <c r="L3040" s="1">
        <v>9</v>
      </c>
      <c r="M3040" s="32">
        <f>IF(Mecze[[#This Row],[PR]]=0,0,Mecze[[#This Row],[PR]]/Mecze[[#This Row],[CZAS]])</f>
        <v>9.375E-2</v>
      </c>
      <c r="N3040" s="32">
        <f>IF(Mecze[[#This Row],[OU]]=0,0,Mecze[[#This Row],[OU]]/Mecze[[#This Row],[CZAS]])</f>
        <v>6.25E-2</v>
      </c>
      <c r="O3040" s="32">
        <f>IF(Mecze[[#This Row],[PC]]=0,0,Mecze[[#This Row],[PC]]/Mecze[[#This Row],[CZAS]])</f>
        <v>0.14583333333333334</v>
      </c>
      <c r="P3040" s="32">
        <f>IF(Mecze[[#This Row],[SC]]=0,0,Mecze[[#This Row],[SC]]/Mecze[[#This Row],[CZAS]])</f>
        <v>0</v>
      </c>
      <c r="Q3040" s="32">
        <f>IF(Mecze[[#This Row],[OB]]=0,0,Mecze[[#This Row],[OB]]/Mecze[[#This Row],[CZAS]])</f>
        <v>0</v>
      </c>
      <c r="R3040" s="32">
        <f>IF(Mecze[[#This Row],[BR]]=0,0,Mecze[[#This Row],[BR]]/Mecze[[#This Row],[CZAS]])</f>
        <v>0</v>
      </c>
      <c r="S3040" s="44">
        <f>IF(Mecze[[#This Row],[Role]]="BR",SUMPRODUCT(Mecze[[#This Row],[/PR:90]:[/BR:90]],Brudnopis!$E$23:$J$23),0)</f>
        <v>0</v>
      </c>
      <c r="T3040" s="44">
        <f>IF(Mecze[[#This Row],[Role]]&lt;&gt;"BR",SUMPRODUCT(Mecze[[#This Row],[/PR:90]:[/BR:90]],Brudnopis!$E$24:$J$24),0)</f>
        <v>0.33333333333333337</v>
      </c>
      <c r="U3040" s="44">
        <f>IF(Mecze[[#This Row],[Role]]&lt;&gt;"BR",SUMPRODUCT(Mecze[[#This Row],[/PR:90]:[/BR:90]],Brudnopis!$E$25:$J$25),0)</f>
        <v>0.375</v>
      </c>
      <c r="V3040" s="44">
        <f>IF(Mecze[[#This Row],[Role]]&lt;&gt;"BR",SUMPRODUCT(Mecze[[#This Row],[/PR:90]:[/BR:90]],Brudnopis!$E$26:$J$26),0)</f>
        <v>0.30208333333333337</v>
      </c>
      <c r="W3040" s="44">
        <f>IF(Mecze[[#This Row],[Role]]&lt;&gt;"BR",SUMPRODUCT(Mecze[[#This Row],[/PR:90]:[/BR:90]],Brudnopis!$E$27:$J$27),0)</f>
        <v>0.3359375</v>
      </c>
      <c r="X3040" s="44">
        <f>IF(Mecze[[#This Row],[Role]]&lt;&gt;"BR",SUMPRODUCT(Mecze[[#This Row],[/PR:90]:[/BR:90]],Brudnopis!$E$28:$J$28),0)</f>
        <v>0.14583333333333334</v>
      </c>
      <c r="Y3040" s="35">
        <f>IF(Mecze[[#This Row],[Role]]="BR",Mecze[[#This Row],[/OB:90]]+Mecze[[#This Row],[/PC:90]],SUM(Mecze[[#This Row],[/PR:90]:[/BR:90]]))</f>
        <v>0.30208333333333337</v>
      </c>
      <c r="Z3040" s="35">
        <f>IF(Mecze[[#This Row],[KC]]=0,SUM(Mecze[[#This Row],[/BRI]:[/NPI]]),SUM(Mecze[[#This Row],[/BRI]:[/NPI]])*0.6)</f>
        <v>1.4921875</v>
      </c>
      <c r="AA3040" s="10">
        <f>IFERROR(Mecze[[#This Row],[BR]]/Mecze[[#This Row],[ST]],0)</f>
        <v>0</v>
      </c>
      <c r="AB3040">
        <f>ROUND(Mecze[[#This Row],[PD]]*Mecze[[#This Row],[%PC]],0)</f>
        <v>14</v>
      </c>
      <c r="AC3040">
        <f>ROUND(Mecze[[#This Row],[OD]]*Mecze[[#This Row],[%OU]],0)</f>
        <v>6</v>
      </c>
      <c r="AD3040" s="36" t="s">
        <v>47</v>
      </c>
      <c r="AE3040" s="36">
        <v>170</v>
      </c>
      <c r="AF3040" s="71">
        <v>7.02</v>
      </c>
      <c r="AG3040" s="37">
        <v>0</v>
      </c>
      <c r="AH3040" s="37">
        <v>0</v>
      </c>
      <c r="AI3040" s="37">
        <v>96</v>
      </c>
      <c r="AJ3040" s="37">
        <v>11</v>
      </c>
      <c r="AK3040" s="37" t="str">
        <f>VLOOKUP(Mecze[[#This Row],[Match ID]],Meczusie[Mecz]:Meczusie[RodzajMeczu],2,FALSE)</f>
        <v>Liga</v>
      </c>
    </row>
    <row r="3041" spans="1:37" x14ac:dyDescent="0.25">
      <c r="A3041" s="76">
        <v>2</v>
      </c>
      <c r="B3041" s="3" t="s">
        <v>392</v>
      </c>
      <c r="C3041" s="2" t="s">
        <v>157</v>
      </c>
      <c r="D3041" s="1">
        <v>0</v>
      </c>
      <c r="E3041" s="1">
        <v>0</v>
      </c>
      <c r="F3041" s="1">
        <v>0</v>
      </c>
      <c r="G3041" s="1">
        <v>2</v>
      </c>
      <c r="H3041" s="4">
        <v>0.5</v>
      </c>
      <c r="I3041" s="1">
        <v>0</v>
      </c>
      <c r="J3041" s="4"/>
      <c r="K3041" s="1">
        <v>0</v>
      </c>
      <c r="L3041" s="1">
        <v>1</v>
      </c>
      <c r="M3041" s="32">
        <f>IF(Mecze[[#This Row],[PR]]=0,0,Mecze[[#This Row],[PR]]/Mecze[[#This Row],[CZAS]])</f>
        <v>1.0416666666666666E-2</v>
      </c>
      <c r="N3041" s="32">
        <f>IF(Mecze[[#This Row],[OU]]=0,0,Mecze[[#This Row],[OU]]/Mecze[[#This Row],[CZAS]])</f>
        <v>0</v>
      </c>
      <c r="O3041" s="32">
        <f>IF(Mecze[[#This Row],[PC]]=0,0,Mecze[[#This Row],[PC]]/Mecze[[#This Row],[CZAS]])</f>
        <v>1.0416666666666666E-2</v>
      </c>
      <c r="P3041" s="32">
        <f>IF(Mecze[[#This Row],[SC]]=0,0,Mecze[[#This Row],[SC]]/Mecze[[#This Row],[CZAS]])</f>
        <v>0</v>
      </c>
      <c r="Q3041" s="32">
        <f>IF(Mecze[[#This Row],[OB]]=0,0,Mecze[[#This Row],[OB]]/Mecze[[#This Row],[CZAS]])</f>
        <v>0</v>
      </c>
      <c r="R3041" s="32">
        <f>IF(Mecze[[#This Row],[BR]]=0,0,Mecze[[#This Row],[BR]]/Mecze[[#This Row],[CZAS]])</f>
        <v>0</v>
      </c>
      <c r="S3041" s="44">
        <f>IF(Mecze[[#This Row],[Role]]="BR",SUMPRODUCT(Mecze[[#This Row],[/PR:90]:[/BR:90]],Brudnopis!$E$23:$J$23),0)</f>
        <v>0</v>
      </c>
      <c r="T3041" s="44">
        <f>IF(Mecze[[#This Row],[Role]]&lt;&gt;"BR",SUMPRODUCT(Mecze[[#This Row],[/PR:90]:[/BR:90]],Brudnopis!$E$24:$J$24),0)</f>
        <v>2.0833333333333332E-2</v>
      </c>
      <c r="U3041" s="44">
        <f>IF(Mecze[[#This Row],[Role]]&lt;&gt;"BR",SUMPRODUCT(Mecze[[#This Row],[/PR:90]:[/BR:90]],Brudnopis!$E$25:$J$25),0)</f>
        <v>2.6041666666666664E-2</v>
      </c>
      <c r="V3041" s="44">
        <f>IF(Mecze[[#This Row],[Role]]&lt;&gt;"BR",SUMPRODUCT(Mecze[[#This Row],[/PR:90]:[/BR:90]],Brudnopis!$E$26:$J$26),0)</f>
        <v>2.0833333333333332E-2</v>
      </c>
      <c r="W3041" s="44">
        <f>IF(Mecze[[#This Row],[Role]]&lt;&gt;"BR",SUMPRODUCT(Mecze[[#This Row],[/PR:90]:[/BR:90]],Brudnopis!$E$27:$J$27),0)</f>
        <v>2.34375E-2</v>
      </c>
      <c r="X3041" s="44">
        <f>IF(Mecze[[#This Row],[Role]]&lt;&gt;"BR",SUMPRODUCT(Mecze[[#This Row],[/PR:90]:[/BR:90]],Brudnopis!$E$28:$J$28),0)</f>
        <v>1.0416666666666666E-2</v>
      </c>
      <c r="Y3041" s="35">
        <f>IF(Mecze[[#This Row],[Role]]="BR",Mecze[[#This Row],[/OB:90]]+Mecze[[#This Row],[/PC:90]],SUM(Mecze[[#This Row],[/PR:90]:[/BR:90]]))</f>
        <v>2.0833333333333332E-2</v>
      </c>
      <c r="Z3041" s="35">
        <f>IF(Mecze[[#This Row],[KC]]=0,SUM(Mecze[[#This Row],[/BRI]:[/NPI]]),SUM(Mecze[[#This Row],[/BRI]:[/NPI]])*0.6)</f>
        <v>0.1015625</v>
      </c>
      <c r="AA3041" s="10">
        <f>IFERROR(Mecze[[#This Row],[BR]]/Mecze[[#This Row],[ST]],0)</f>
        <v>0</v>
      </c>
      <c r="AB3041">
        <f>ROUND(Mecze[[#This Row],[PD]]*Mecze[[#This Row],[%PC]],0)</f>
        <v>1</v>
      </c>
      <c r="AC3041">
        <f>ROUND(Mecze[[#This Row],[OD]]*Mecze[[#This Row],[%OU]],0)</f>
        <v>0</v>
      </c>
      <c r="AD3041" s="36" t="s">
        <v>175</v>
      </c>
      <c r="AE3041" s="36">
        <v>170</v>
      </c>
      <c r="AF3041" s="71">
        <v>3.02</v>
      </c>
      <c r="AG3041" s="37">
        <v>0</v>
      </c>
      <c r="AH3041" s="37">
        <v>0</v>
      </c>
      <c r="AI3041" s="37">
        <v>96</v>
      </c>
      <c r="AJ3041" s="37">
        <v>11</v>
      </c>
      <c r="AK3041" s="37" t="str">
        <f>VLOOKUP(Mecze[[#This Row],[Match ID]],Meczusie[Mecz]:Meczusie[RodzajMeczu],2,FALSE)</f>
        <v>Liga</v>
      </c>
    </row>
    <row r="3042" spans="1:37" x14ac:dyDescent="0.25">
      <c r="A3042" s="76">
        <v>6</v>
      </c>
      <c r="B3042" s="3" t="s">
        <v>324</v>
      </c>
      <c r="C3042" s="2" t="s">
        <v>157</v>
      </c>
      <c r="D3042" s="1">
        <v>0</v>
      </c>
      <c r="E3042" s="1">
        <v>0</v>
      </c>
      <c r="F3042" s="1">
        <v>0</v>
      </c>
      <c r="G3042" s="1">
        <v>1</v>
      </c>
      <c r="H3042" s="4">
        <v>0</v>
      </c>
      <c r="I3042" s="1">
        <v>3</v>
      </c>
      <c r="J3042" s="4">
        <v>0.33</v>
      </c>
      <c r="K3042" s="1">
        <v>0</v>
      </c>
      <c r="L3042" s="1">
        <v>1</v>
      </c>
      <c r="M3042" s="32">
        <f>IF(Mecze[[#This Row],[PR]]=0,0,Mecze[[#This Row],[PR]]/Mecze[[#This Row],[CZAS]])</f>
        <v>1.0416666666666666E-2</v>
      </c>
      <c r="N3042" s="32">
        <f>IF(Mecze[[#This Row],[OU]]=0,0,Mecze[[#This Row],[OU]]/Mecze[[#This Row],[CZAS]])</f>
        <v>1.0416666666666666E-2</v>
      </c>
      <c r="O3042" s="32">
        <f>IF(Mecze[[#This Row],[PC]]=0,0,Mecze[[#This Row],[PC]]/Mecze[[#This Row],[CZAS]])</f>
        <v>0</v>
      </c>
      <c r="P3042" s="32">
        <f>IF(Mecze[[#This Row],[SC]]=0,0,Mecze[[#This Row],[SC]]/Mecze[[#This Row],[CZAS]])</f>
        <v>0</v>
      </c>
      <c r="Q3042" s="32">
        <f>IF(Mecze[[#This Row],[OB]]=0,0,Mecze[[#This Row],[OB]]/Mecze[[#This Row],[CZAS]])</f>
        <v>0</v>
      </c>
      <c r="R3042" s="32">
        <f>IF(Mecze[[#This Row],[BR]]=0,0,Mecze[[#This Row],[BR]]/Mecze[[#This Row],[CZAS]])</f>
        <v>0</v>
      </c>
      <c r="S3042" s="44">
        <f>IF(Mecze[[#This Row],[Role]]="BR",SUMPRODUCT(Mecze[[#This Row],[/PR:90]:[/BR:90]],Brudnopis!$E$23:$J$23),0)</f>
        <v>0</v>
      </c>
      <c r="T3042" s="44">
        <f>IF(Mecze[[#This Row],[Role]]&lt;&gt;"BR",SUMPRODUCT(Mecze[[#This Row],[/PR:90]:[/BR:90]],Brudnopis!$E$24:$J$24),0)</f>
        <v>2.6041666666666664E-2</v>
      </c>
      <c r="U3042" s="44">
        <f>IF(Mecze[[#This Row],[Role]]&lt;&gt;"BR",SUMPRODUCT(Mecze[[#This Row],[/PR:90]:[/BR:90]],Brudnopis!$E$25:$J$25),0)</f>
        <v>2.0833333333333332E-2</v>
      </c>
      <c r="V3042" s="44">
        <f>IF(Mecze[[#This Row],[Role]]&lt;&gt;"BR",SUMPRODUCT(Mecze[[#This Row],[/PR:90]:[/BR:90]],Brudnopis!$E$26:$J$26),0)</f>
        <v>2.0833333333333332E-2</v>
      </c>
      <c r="W3042" s="44">
        <f>IF(Mecze[[#This Row],[Role]]&lt;&gt;"BR",SUMPRODUCT(Mecze[[#This Row],[/PR:90]:[/BR:90]],Brudnopis!$E$27:$J$27),0)</f>
        <v>1.5625E-2</v>
      </c>
      <c r="X3042" s="44">
        <f>IF(Mecze[[#This Row],[Role]]&lt;&gt;"BR",SUMPRODUCT(Mecze[[#This Row],[/PR:90]:[/BR:90]],Brudnopis!$E$28:$J$28),0)</f>
        <v>0</v>
      </c>
      <c r="Y3042" s="35">
        <f>IF(Mecze[[#This Row],[Role]]="BR",Mecze[[#This Row],[/OB:90]]+Mecze[[#This Row],[/PC:90]],SUM(Mecze[[#This Row],[/PR:90]:[/BR:90]]))</f>
        <v>2.0833333333333332E-2</v>
      </c>
      <c r="Z3042" s="35">
        <f>IF(Mecze[[#This Row],[KC]]=0,SUM(Mecze[[#This Row],[/BRI]:[/NPI]]),SUM(Mecze[[#This Row],[/BRI]:[/NPI]])*0.6)</f>
        <v>8.3333333333333329E-2</v>
      </c>
      <c r="AA3042" s="10">
        <f>IFERROR(Mecze[[#This Row],[BR]]/Mecze[[#This Row],[ST]],0)</f>
        <v>0</v>
      </c>
      <c r="AB3042">
        <f>ROUND(Mecze[[#This Row],[PD]]*Mecze[[#This Row],[%PC]],0)</f>
        <v>0</v>
      </c>
      <c r="AC3042">
        <f>ROUND(Mecze[[#This Row],[OD]]*Mecze[[#This Row],[%OU]],0)</f>
        <v>1</v>
      </c>
      <c r="AD3042" s="36" t="s">
        <v>174</v>
      </c>
      <c r="AE3042" s="36">
        <v>170</v>
      </c>
      <c r="AF3042" s="71">
        <v>3.02</v>
      </c>
      <c r="AG3042" s="37">
        <v>0</v>
      </c>
      <c r="AH3042" s="37">
        <v>0</v>
      </c>
      <c r="AI3042" s="37">
        <v>96</v>
      </c>
      <c r="AJ3042" s="37">
        <v>11</v>
      </c>
      <c r="AK3042" s="37" t="str">
        <f>VLOOKUP(Mecze[[#This Row],[Match ID]],Meczusie[Mecz]:Meczusie[RodzajMeczu],2,FALSE)</f>
        <v>Liga</v>
      </c>
    </row>
    <row r="3043" spans="1:37" x14ac:dyDescent="0.25">
      <c r="A3043" s="76">
        <v>5</v>
      </c>
      <c r="B3043" s="3" t="s">
        <v>325</v>
      </c>
      <c r="C3043" s="2" t="s">
        <v>160</v>
      </c>
      <c r="D3043" s="1">
        <v>0</v>
      </c>
      <c r="E3043" s="1">
        <v>0</v>
      </c>
      <c r="F3043" s="1">
        <v>0</v>
      </c>
      <c r="G3043" s="1">
        <v>22</v>
      </c>
      <c r="H3043" s="4">
        <v>0.82</v>
      </c>
      <c r="I3043" s="1">
        <v>8</v>
      </c>
      <c r="J3043" s="4">
        <v>0.63</v>
      </c>
      <c r="K3043" s="1">
        <v>0</v>
      </c>
      <c r="L3043" s="1">
        <v>10</v>
      </c>
      <c r="M3043" s="32">
        <f>IF(Mecze[[#This Row],[PR]]=0,0,Mecze[[#This Row],[PR]]/Mecze[[#This Row],[CZAS]])</f>
        <v>0.10416666666666667</v>
      </c>
      <c r="N3043" s="32">
        <f>IF(Mecze[[#This Row],[OU]]=0,0,Mecze[[#This Row],[OU]]/Mecze[[#This Row],[CZAS]])</f>
        <v>5.2083333333333336E-2</v>
      </c>
      <c r="O3043" s="32">
        <f>IF(Mecze[[#This Row],[PC]]=0,0,Mecze[[#This Row],[PC]]/Mecze[[#This Row],[CZAS]])</f>
        <v>0.1875</v>
      </c>
      <c r="P3043" s="32">
        <f>IF(Mecze[[#This Row],[SC]]=0,0,Mecze[[#This Row],[SC]]/Mecze[[#This Row],[CZAS]])</f>
        <v>0</v>
      </c>
      <c r="Q3043" s="32">
        <f>IF(Mecze[[#This Row],[OB]]=0,0,Mecze[[#This Row],[OB]]/Mecze[[#This Row],[CZAS]])</f>
        <v>0</v>
      </c>
      <c r="R3043" s="32">
        <f>IF(Mecze[[#This Row],[BR]]=0,0,Mecze[[#This Row],[BR]]/Mecze[[#This Row],[CZAS]])</f>
        <v>0</v>
      </c>
      <c r="S3043" s="44">
        <f>IF(Mecze[[#This Row],[Role]]="BR",SUMPRODUCT(Mecze[[#This Row],[/PR:90]:[/BR:90]],Brudnopis!$E$23:$J$23),0)</f>
        <v>0</v>
      </c>
      <c r="T3043" s="44">
        <f>IF(Mecze[[#This Row],[Role]]&lt;&gt;"BR",SUMPRODUCT(Mecze[[#This Row],[/PR:90]:[/BR:90]],Brudnopis!$E$24:$J$24),0)</f>
        <v>0.36979166666666669</v>
      </c>
      <c r="U3043" s="44">
        <f>IF(Mecze[[#This Row],[Role]]&lt;&gt;"BR",SUMPRODUCT(Mecze[[#This Row],[/PR:90]:[/BR:90]],Brudnopis!$E$25:$J$25),0)</f>
        <v>0.4375</v>
      </c>
      <c r="V3043" s="44">
        <f>IF(Mecze[[#This Row],[Role]]&lt;&gt;"BR",SUMPRODUCT(Mecze[[#This Row],[/PR:90]:[/BR:90]],Brudnopis!$E$26:$J$26),0)</f>
        <v>0.34375</v>
      </c>
      <c r="W3043" s="44">
        <f>IF(Mecze[[#This Row],[Role]]&lt;&gt;"BR",SUMPRODUCT(Mecze[[#This Row],[/PR:90]:[/BR:90]],Brudnopis!$E$27:$J$27),0)</f>
        <v>0.3984375</v>
      </c>
      <c r="X3043" s="44">
        <f>IF(Mecze[[#This Row],[Role]]&lt;&gt;"BR",SUMPRODUCT(Mecze[[#This Row],[/PR:90]:[/BR:90]],Brudnopis!$E$28:$J$28),0)</f>
        <v>0.1875</v>
      </c>
      <c r="Y3043" s="35">
        <f>IF(Mecze[[#This Row],[Role]]="BR",Mecze[[#This Row],[/OB:90]]+Mecze[[#This Row],[/PC:90]],SUM(Mecze[[#This Row],[/PR:90]:[/BR:90]]))</f>
        <v>0.34375</v>
      </c>
      <c r="Z3043" s="35">
        <f>IF(Mecze[[#This Row],[KC]]=0,SUM(Mecze[[#This Row],[/BRI]:[/NPI]]),SUM(Mecze[[#This Row],[/BRI]:[/NPI]])*0.6)</f>
        <v>1.7369791666666667</v>
      </c>
      <c r="AA3043" s="10">
        <f>IFERROR(Mecze[[#This Row],[BR]]/Mecze[[#This Row],[ST]],0)</f>
        <v>0</v>
      </c>
      <c r="AB3043">
        <f>ROUND(Mecze[[#This Row],[PD]]*Mecze[[#This Row],[%PC]],0)</f>
        <v>18</v>
      </c>
      <c r="AC3043">
        <f>ROUND(Mecze[[#This Row],[OD]]*Mecze[[#This Row],[%OU]],0)</f>
        <v>5</v>
      </c>
      <c r="AD3043" s="36" t="s">
        <v>41</v>
      </c>
      <c r="AE3043" s="36">
        <v>170</v>
      </c>
      <c r="AF3043" s="71">
        <v>8.14</v>
      </c>
      <c r="AG3043" s="37">
        <v>0</v>
      </c>
      <c r="AH3043" s="37">
        <v>0</v>
      </c>
      <c r="AI3043" s="37">
        <v>96</v>
      </c>
      <c r="AJ3043" s="37">
        <v>11</v>
      </c>
      <c r="AK3043" s="37" t="str">
        <f>VLOOKUP(Mecze[[#This Row],[Match ID]],Meczusie[Mecz]:Meczusie[RodzajMeczu],2,FALSE)</f>
        <v>Liga</v>
      </c>
    </row>
    <row r="3044" spans="1:37" x14ac:dyDescent="0.25">
      <c r="A3044" s="76">
        <v>8</v>
      </c>
      <c r="B3044" s="3" t="s">
        <v>326</v>
      </c>
      <c r="C3044" s="2" t="s">
        <v>160</v>
      </c>
      <c r="D3044" s="1">
        <v>0</v>
      </c>
      <c r="E3044" s="1">
        <v>0</v>
      </c>
      <c r="F3044" s="1">
        <v>0</v>
      </c>
      <c r="G3044" s="1">
        <v>10</v>
      </c>
      <c r="H3044" s="4">
        <v>0.7</v>
      </c>
      <c r="I3044" s="1">
        <v>0</v>
      </c>
      <c r="J3044" s="4"/>
      <c r="K3044" s="1">
        <v>0</v>
      </c>
      <c r="L3044" s="1">
        <v>0</v>
      </c>
      <c r="M3044" s="32">
        <f>IF(Mecze[[#This Row],[PR]]=0,0,Mecze[[#This Row],[PR]]/Mecze[[#This Row],[CZAS]])</f>
        <v>0</v>
      </c>
      <c r="N3044" s="32">
        <f>IF(Mecze[[#This Row],[OU]]=0,0,Mecze[[#This Row],[OU]]/Mecze[[#This Row],[CZAS]])</f>
        <v>0</v>
      </c>
      <c r="O3044" s="32">
        <f>IF(Mecze[[#This Row],[PC]]=0,0,Mecze[[#This Row],[PC]]/Mecze[[#This Row],[CZAS]])</f>
        <v>7.2916666666666671E-2</v>
      </c>
      <c r="P3044" s="32">
        <f>IF(Mecze[[#This Row],[SC]]=0,0,Mecze[[#This Row],[SC]]/Mecze[[#This Row],[CZAS]])</f>
        <v>0</v>
      </c>
      <c r="Q3044" s="32">
        <f>IF(Mecze[[#This Row],[OB]]=0,0,Mecze[[#This Row],[OB]]/Mecze[[#This Row],[CZAS]])</f>
        <v>0</v>
      </c>
      <c r="R3044" s="32">
        <f>IF(Mecze[[#This Row],[BR]]=0,0,Mecze[[#This Row],[BR]]/Mecze[[#This Row],[CZAS]])</f>
        <v>0</v>
      </c>
      <c r="S3044" s="44">
        <f>IF(Mecze[[#This Row],[Role]]="BR",SUMPRODUCT(Mecze[[#This Row],[/PR:90]:[/BR:90]],Brudnopis!$E$23:$J$23),0)</f>
        <v>0</v>
      </c>
      <c r="T3044" s="44">
        <f>IF(Mecze[[#This Row],[Role]]&lt;&gt;"BR",SUMPRODUCT(Mecze[[#This Row],[/PR:90]:[/BR:90]],Brudnopis!$E$24:$J$24),0)</f>
        <v>7.2916666666666671E-2</v>
      </c>
      <c r="U3044" s="44">
        <f>IF(Mecze[[#This Row],[Role]]&lt;&gt;"BR",SUMPRODUCT(Mecze[[#This Row],[/PR:90]:[/BR:90]],Brudnopis!$E$25:$J$25),0)</f>
        <v>0.109375</v>
      </c>
      <c r="V3044" s="44">
        <f>IF(Mecze[[#This Row],[Role]]&lt;&gt;"BR",SUMPRODUCT(Mecze[[#This Row],[/PR:90]:[/BR:90]],Brudnopis!$E$26:$J$26),0)</f>
        <v>7.2916666666666671E-2</v>
      </c>
      <c r="W3044" s="44">
        <f>IF(Mecze[[#This Row],[Role]]&lt;&gt;"BR",SUMPRODUCT(Mecze[[#This Row],[/PR:90]:[/BR:90]],Brudnopis!$E$27:$J$27),0)</f>
        <v>0.109375</v>
      </c>
      <c r="X3044" s="44">
        <f>IF(Mecze[[#This Row],[Role]]&lt;&gt;"BR",SUMPRODUCT(Mecze[[#This Row],[/PR:90]:[/BR:90]],Brudnopis!$E$28:$J$28),0)</f>
        <v>7.2916666666666671E-2</v>
      </c>
      <c r="Y3044" s="35">
        <f>IF(Mecze[[#This Row],[Role]]="BR",Mecze[[#This Row],[/OB:90]]+Mecze[[#This Row],[/PC:90]],SUM(Mecze[[#This Row],[/PR:90]:[/BR:90]]))</f>
        <v>7.2916666666666671E-2</v>
      </c>
      <c r="Z3044" s="35">
        <f>IF(Mecze[[#This Row],[KC]]=0,SUM(Mecze[[#This Row],[/BRI]:[/NPI]]),SUM(Mecze[[#This Row],[/BRI]:[/NPI]])*0.6)</f>
        <v>0.43750000000000006</v>
      </c>
      <c r="AA3044" s="10">
        <f>IFERROR(Mecze[[#This Row],[BR]]/Mecze[[#This Row],[ST]],0)</f>
        <v>0</v>
      </c>
      <c r="AB3044">
        <f>ROUND(Mecze[[#This Row],[PD]]*Mecze[[#This Row],[%PC]],0)</f>
        <v>7</v>
      </c>
      <c r="AC3044">
        <f>ROUND(Mecze[[#This Row],[OD]]*Mecze[[#This Row],[%OU]],0)</f>
        <v>0</v>
      </c>
      <c r="AD3044" s="36" t="s">
        <v>318</v>
      </c>
      <c r="AE3044" s="36">
        <v>170</v>
      </c>
      <c r="AF3044" s="71">
        <v>5.13</v>
      </c>
      <c r="AG3044" s="37">
        <v>0</v>
      </c>
      <c r="AH3044" s="37">
        <v>0</v>
      </c>
      <c r="AI3044" s="37">
        <v>96</v>
      </c>
      <c r="AJ3044" s="37">
        <v>11</v>
      </c>
      <c r="AK3044" s="37" t="str">
        <f>VLOOKUP(Mecze[[#This Row],[Match ID]],Meczusie[Mecz]:Meczusie[RodzajMeczu],2,FALSE)</f>
        <v>Liga</v>
      </c>
    </row>
    <row r="3045" spans="1:37" x14ac:dyDescent="0.25">
      <c r="A3045" s="76">
        <v>9</v>
      </c>
      <c r="B3045" s="3" t="s">
        <v>327</v>
      </c>
      <c r="C3045" s="2" t="s">
        <v>160</v>
      </c>
      <c r="D3045" s="1">
        <v>0</v>
      </c>
      <c r="E3045" s="1">
        <v>3</v>
      </c>
      <c r="F3045" s="1">
        <v>1</v>
      </c>
      <c r="G3045" s="1">
        <v>17</v>
      </c>
      <c r="H3045" s="4">
        <v>0.71</v>
      </c>
      <c r="I3045" s="1">
        <v>4</v>
      </c>
      <c r="J3045" s="4">
        <v>0.25</v>
      </c>
      <c r="K3045" s="1">
        <v>0</v>
      </c>
      <c r="L3045" s="1">
        <v>2</v>
      </c>
      <c r="M3045" s="32">
        <f>IF(Mecze[[#This Row],[PR]]=0,0,Mecze[[#This Row],[PR]]/Mecze[[#This Row],[CZAS]])</f>
        <v>2.0833333333333332E-2</v>
      </c>
      <c r="N3045" s="32">
        <f>IF(Mecze[[#This Row],[OU]]=0,0,Mecze[[#This Row],[OU]]/Mecze[[#This Row],[CZAS]])</f>
        <v>1.0416666666666666E-2</v>
      </c>
      <c r="O3045" s="32">
        <f>IF(Mecze[[#This Row],[PC]]=0,0,Mecze[[#This Row],[PC]]/Mecze[[#This Row],[CZAS]])</f>
        <v>0.125</v>
      </c>
      <c r="P3045" s="32">
        <f>IF(Mecze[[#This Row],[SC]]=0,0,Mecze[[#This Row],[SC]]/Mecze[[#This Row],[CZAS]])</f>
        <v>1.0416666666666666E-2</v>
      </c>
      <c r="Q3045" s="32">
        <f>IF(Mecze[[#This Row],[OB]]=0,0,Mecze[[#This Row],[OB]]/Mecze[[#This Row],[CZAS]])</f>
        <v>0</v>
      </c>
      <c r="R3045" s="32">
        <f>IF(Mecze[[#This Row],[BR]]=0,0,Mecze[[#This Row],[BR]]/Mecze[[#This Row],[CZAS]])</f>
        <v>0</v>
      </c>
      <c r="S3045" s="44">
        <f>IF(Mecze[[#This Row],[Role]]="BR",SUMPRODUCT(Mecze[[#This Row],[/PR:90]:[/BR:90]],Brudnopis!$E$23:$J$23),0)</f>
        <v>0</v>
      </c>
      <c r="T3045" s="44">
        <f>IF(Mecze[[#This Row],[Role]]&lt;&gt;"BR",SUMPRODUCT(Mecze[[#This Row],[/PR:90]:[/BR:90]],Brudnopis!$E$24:$J$24),0)</f>
        <v>0.17187499999999997</v>
      </c>
      <c r="U3045" s="44">
        <f>IF(Mecze[[#This Row],[Role]]&lt;&gt;"BR",SUMPRODUCT(Mecze[[#This Row],[/PR:90]:[/BR:90]],Brudnopis!$E$25:$J$25),0)</f>
        <v>0.22916666666666666</v>
      </c>
      <c r="V3045" s="44">
        <f>IF(Mecze[[#This Row],[Role]]&lt;&gt;"BR",SUMPRODUCT(Mecze[[#This Row],[/PR:90]:[/BR:90]],Brudnopis!$E$26:$J$26),0)</f>
        <v>0.16666666666666666</v>
      </c>
      <c r="W3045" s="44">
        <f>IF(Mecze[[#This Row],[Role]]&lt;&gt;"BR",SUMPRODUCT(Mecze[[#This Row],[/PR:90]:[/BR:90]],Brudnopis!$E$27:$J$27),0)</f>
        <v>0.22135416666666666</v>
      </c>
      <c r="X3045" s="44">
        <f>IF(Mecze[[#This Row],[Role]]&lt;&gt;"BR",SUMPRODUCT(Mecze[[#This Row],[/PR:90]:[/BR:90]],Brudnopis!$E$28:$J$28),0)</f>
        <v>0.14583333333333334</v>
      </c>
      <c r="Y3045" s="35">
        <f>IF(Mecze[[#This Row],[Role]]="BR",Mecze[[#This Row],[/OB:90]]+Mecze[[#This Row],[/PC:90]],SUM(Mecze[[#This Row],[/PR:90]:[/BR:90]]))</f>
        <v>0.16666666666666666</v>
      </c>
      <c r="Z3045" s="35">
        <f>IF(Mecze[[#This Row],[KC]]=0,SUM(Mecze[[#This Row],[/BRI]:[/NPI]]),SUM(Mecze[[#This Row],[/BRI]:[/NPI]])*0.6)</f>
        <v>0.93489583333333326</v>
      </c>
      <c r="AA3045" s="10">
        <f>IFERROR(Mecze[[#This Row],[BR]]/Mecze[[#This Row],[ST]],0)</f>
        <v>0</v>
      </c>
      <c r="AB3045">
        <f>ROUND(Mecze[[#This Row],[PD]]*Mecze[[#This Row],[%PC]],0)</f>
        <v>12</v>
      </c>
      <c r="AC3045">
        <f>ROUND(Mecze[[#This Row],[OD]]*Mecze[[#This Row],[%OU]],0)</f>
        <v>1</v>
      </c>
      <c r="AD3045" s="36" t="s">
        <v>44</v>
      </c>
      <c r="AE3045" s="36">
        <v>170</v>
      </c>
      <c r="AF3045" s="71">
        <v>5.78</v>
      </c>
      <c r="AG3045" s="37">
        <v>0</v>
      </c>
      <c r="AH3045" s="37">
        <v>0</v>
      </c>
      <c r="AI3045" s="37">
        <v>96</v>
      </c>
      <c r="AJ3045" s="37">
        <v>11</v>
      </c>
      <c r="AK3045" s="37" t="str">
        <f>VLOOKUP(Mecze[[#This Row],[Match ID]],Meczusie[Mecz]:Meczusie[RodzajMeczu],2,FALSE)</f>
        <v>Liga</v>
      </c>
    </row>
    <row r="3046" spans="1:37" x14ac:dyDescent="0.25">
      <c r="A3046" s="76">
        <v>10</v>
      </c>
      <c r="B3046" s="3" t="s">
        <v>328</v>
      </c>
      <c r="C3046" s="2" t="s">
        <v>165</v>
      </c>
      <c r="D3046" s="1">
        <v>2</v>
      </c>
      <c r="E3046" s="1">
        <v>4</v>
      </c>
      <c r="F3046" s="1">
        <v>3</v>
      </c>
      <c r="G3046" s="1">
        <v>12</v>
      </c>
      <c r="H3046" s="4">
        <v>0.83</v>
      </c>
      <c r="I3046" s="1">
        <v>6</v>
      </c>
      <c r="J3046" s="4">
        <v>0.67</v>
      </c>
      <c r="K3046" s="1">
        <v>0</v>
      </c>
      <c r="L3046" s="1">
        <v>1</v>
      </c>
      <c r="M3046" s="32">
        <f>IF(Mecze[[#This Row],[PR]]=0,0,Mecze[[#This Row],[PR]]/Mecze[[#This Row],[CZAS]])</f>
        <v>1.0416666666666666E-2</v>
      </c>
      <c r="N3046" s="32">
        <f>IF(Mecze[[#This Row],[OU]]=0,0,Mecze[[#This Row],[OU]]/Mecze[[#This Row],[CZAS]])</f>
        <v>4.1666666666666664E-2</v>
      </c>
      <c r="O3046" s="32">
        <f>IF(Mecze[[#This Row],[PC]]=0,0,Mecze[[#This Row],[PC]]/Mecze[[#This Row],[CZAS]])</f>
        <v>0.10416666666666667</v>
      </c>
      <c r="P3046" s="32">
        <f>IF(Mecze[[#This Row],[SC]]=0,0,Mecze[[#This Row],[SC]]/Mecze[[#This Row],[CZAS]])</f>
        <v>3.125E-2</v>
      </c>
      <c r="Q3046" s="32">
        <f>IF(Mecze[[#This Row],[OB]]=0,0,Mecze[[#This Row],[OB]]/Mecze[[#This Row],[CZAS]])</f>
        <v>0</v>
      </c>
      <c r="R3046" s="32">
        <f>IF(Mecze[[#This Row],[BR]]=0,0,Mecze[[#This Row],[BR]]/Mecze[[#This Row],[CZAS]])</f>
        <v>2.0833333333333332E-2</v>
      </c>
      <c r="S3046" s="44">
        <f>IF(Mecze[[#This Row],[Role]]="BR",SUMPRODUCT(Mecze[[#This Row],[/PR:90]:[/BR:90]],Brudnopis!$E$23:$J$23),0)</f>
        <v>0</v>
      </c>
      <c r="T3046" s="44">
        <f>IF(Mecze[[#This Row],[Role]]&lt;&gt;"BR",SUMPRODUCT(Mecze[[#This Row],[/PR:90]:[/BR:90]],Brudnopis!$E$24:$J$24),0)</f>
        <v>0.23958333333333334</v>
      </c>
      <c r="U3046" s="44">
        <f>IF(Mecze[[#This Row],[Role]]&lt;&gt;"BR",SUMPRODUCT(Mecze[[#This Row],[/PR:90]:[/BR:90]],Brudnopis!$E$25:$J$25),0)</f>
        <v>0.27083333333333331</v>
      </c>
      <c r="V3046" s="44">
        <f>IF(Mecze[[#This Row],[Role]]&lt;&gt;"BR",SUMPRODUCT(Mecze[[#This Row],[/PR:90]:[/BR:90]],Brudnopis!$E$26:$J$26),0)</f>
        <v>0.22916666666666666</v>
      </c>
      <c r="W3046" s="44">
        <f>IF(Mecze[[#This Row],[Role]]&lt;&gt;"BR",SUMPRODUCT(Mecze[[#This Row],[/PR:90]:[/BR:90]],Brudnopis!$E$27:$J$27),0)</f>
        <v>0.26822916666666669</v>
      </c>
      <c r="X3046" s="44">
        <f>IF(Mecze[[#This Row],[Role]]&lt;&gt;"BR",SUMPRODUCT(Mecze[[#This Row],[/PR:90]:[/BR:90]],Brudnopis!$E$28:$J$28),0)</f>
        <v>0.22916666666666669</v>
      </c>
      <c r="Y3046" s="35">
        <f>IF(Mecze[[#This Row],[Role]]="BR",Mecze[[#This Row],[/OB:90]]+Mecze[[#This Row],[/PC:90]],SUM(Mecze[[#This Row],[/PR:90]:[/BR:90]]))</f>
        <v>0.20833333333333334</v>
      </c>
      <c r="Z3046" s="35">
        <f>IF(Mecze[[#This Row],[KC]]=0,SUM(Mecze[[#This Row],[/BRI]:[/NPI]]),SUM(Mecze[[#This Row],[/BRI]:[/NPI]])*0.6)</f>
        <v>1.2369791666666667</v>
      </c>
      <c r="AA3046" s="10">
        <f>IFERROR(Mecze[[#This Row],[BR]]/Mecze[[#This Row],[ST]],0)</f>
        <v>0.5</v>
      </c>
      <c r="AB3046">
        <f>ROUND(Mecze[[#This Row],[PD]]*Mecze[[#This Row],[%PC]],0)</f>
        <v>10</v>
      </c>
      <c r="AC3046">
        <f>ROUND(Mecze[[#This Row],[OD]]*Mecze[[#This Row],[%OU]],0)</f>
        <v>4</v>
      </c>
      <c r="AD3046" s="36" t="s">
        <v>46</v>
      </c>
      <c r="AE3046" s="36">
        <v>170</v>
      </c>
      <c r="AF3046" s="71">
        <v>11.44</v>
      </c>
      <c r="AG3046" s="37">
        <v>0</v>
      </c>
      <c r="AH3046" s="37">
        <v>0</v>
      </c>
      <c r="AI3046" s="37">
        <v>96</v>
      </c>
      <c r="AJ3046" s="37">
        <v>11</v>
      </c>
      <c r="AK3046" s="37" t="str">
        <f>VLOOKUP(Mecze[[#This Row],[Match ID]],Meczusie[Mecz]:Meczusie[RodzajMeczu],2,FALSE)</f>
        <v>Liga</v>
      </c>
    </row>
    <row r="3047" spans="1:37" x14ac:dyDescent="0.25">
      <c r="A3047" s="76">
        <v>11</v>
      </c>
      <c r="B3047" s="3" t="s">
        <v>329</v>
      </c>
      <c r="C3047" s="2" t="s">
        <v>165</v>
      </c>
      <c r="D3047" s="1">
        <v>0</v>
      </c>
      <c r="E3047" s="1">
        <v>3</v>
      </c>
      <c r="F3047" s="1">
        <v>2</v>
      </c>
      <c r="G3047" s="1">
        <v>12</v>
      </c>
      <c r="H3047" s="4">
        <v>0.83</v>
      </c>
      <c r="I3047" s="1">
        <v>0</v>
      </c>
      <c r="J3047" s="4"/>
      <c r="K3047" s="1">
        <v>0</v>
      </c>
      <c r="L3047" s="1">
        <v>0</v>
      </c>
      <c r="M3047" s="32">
        <f>IF(Mecze[[#This Row],[PR]]=0,0,Mecze[[#This Row],[PR]]/Mecze[[#This Row],[CZAS]])</f>
        <v>0</v>
      </c>
      <c r="N3047" s="32">
        <f>IF(Mecze[[#This Row],[OU]]=0,0,Mecze[[#This Row],[OU]]/Mecze[[#This Row],[CZAS]])</f>
        <v>0</v>
      </c>
      <c r="O3047" s="32">
        <f>IF(Mecze[[#This Row],[PC]]=0,0,Mecze[[#This Row],[PC]]/Mecze[[#This Row],[CZAS]])</f>
        <v>0.10416666666666667</v>
      </c>
      <c r="P3047" s="32">
        <f>IF(Mecze[[#This Row],[SC]]=0,0,Mecze[[#This Row],[SC]]/Mecze[[#This Row],[CZAS]])</f>
        <v>2.0833333333333332E-2</v>
      </c>
      <c r="Q3047" s="32">
        <f>IF(Mecze[[#This Row],[OB]]=0,0,Mecze[[#This Row],[OB]]/Mecze[[#This Row],[CZAS]])</f>
        <v>0</v>
      </c>
      <c r="R3047" s="32">
        <f>IF(Mecze[[#This Row],[BR]]=0,0,Mecze[[#This Row],[BR]]/Mecze[[#This Row],[CZAS]])</f>
        <v>0</v>
      </c>
      <c r="S3047" s="44">
        <f>IF(Mecze[[#This Row],[Role]]="BR",SUMPRODUCT(Mecze[[#This Row],[/PR:90]:[/BR:90]],Brudnopis!$E$23:$J$23),0)</f>
        <v>0</v>
      </c>
      <c r="T3047" s="44">
        <f>IF(Mecze[[#This Row],[Role]]&lt;&gt;"BR",SUMPRODUCT(Mecze[[#This Row],[/PR:90]:[/BR:90]],Brudnopis!$E$24:$J$24),0)</f>
        <v>0.125</v>
      </c>
      <c r="U3047" s="44">
        <f>IF(Mecze[[#This Row],[Role]]&lt;&gt;"BR",SUMPRODUCT(Mecze[[#This Row],[/PR:90]:[/BR:90]],Brudnopis!$E$25:$J$25),0)</f>
        <v>0.17708333333333334</v>
      </c>
      <c r="V3047" s="44">
        <f>IF(Mecze[[#This Row],[Role]]&lt;&gt;"BR",SUMPRODUCT(Mecze[[#This Row],[/PR:90]:[/BR:90]],Brudnopis!$E$26:$J$26),0)</f>
        <v>0.125</v>
      </c>
      <c r="W3047" s="44">
        <f>IF(Mecze[[#This Row],[Role]]&lt;&gt;"BR",SUMPRODUCT(Mecze[[#This Row],[/PR:90]:[/BR:90]],Brudnopis!$E$27:$J$27),0)</f>
        <v>0.17708333333333334</v>
      </c>
      <c r="X3047" s="44">
        <f>IF(Mecze[[#This Row],[Role]]&lt;&gt;"BR",SUMPRODUCT(Mecze[[#This Row],[/PR:90]:[/BR:90]],Brudnopis!$E$28:$J$28),0)</f>
        <v>0.14583333333333334</v>
      </c>
      <c r="Y3047" s="35">
        <f>IF(Mecze[[#This Row],[Role]]="BR",Mecze[[#This Row],[/OB:90]]+Mecze[[#This Row],[/PC:90]],SUM(Mecze[[#This Row],[/PR:90]:[/BR:90]]))</f>
        <v>0.125</v>
      </c>
      <c r="Z3047" s="35">
        <f>IF(Mecze[[#This Row],[KC]]=0,SUM(Mecze[[#This Row],[/BRI]:[/NPI]]),SUM(Mecze[[#This Row],[/BRI]:[/NPI]])*0.6)</f>
        <v>0.75000000000000011</v>
      </c>
      <c r="AA3047" s="10">
        <f>IFERROR(Mecze[[#This Row],[BR]]/Mecze[[#This Row],[ST]],0)</f>
        <v>0</v>
      </c>
      <c r="AB3047">
        <f>ROUND(Mecze[[#This Row],[PD]]*Mecze[[#This Row],[%PC]],0)</f>
        <v>10</v>
      </c>
      <c r="AC3047">
        <f>ROUND(Mecze[[#This Row],[OD]]*Mecze[[#This Row],[%OU]],0)</f>
        <v>0</v>
      </c>
      <c r="AD3047" s="36" t="s">
        <v>273</v>
      </c>
      <c r="AE3047" s="36">
        <v>170</v>
      </c>
      <c r="AF3047" s="71">
        <v>6.62</v>
      </c>
      <c r="AG3047" s="37">
        <v>0</v>
      </c>
      <c r="AH3047" s="37">
        <v>0</v>
      </c>
      <c r="AI3047" s="37">
        <v>96</v>
      </c>
      <c r="AJ3047" s="37">
        <v>11</v>
      </c>
      <c r="AK3047" s="37" t="str">
        <f>VLOOKUP(Mecze[[#This Row],[Match ID]],Meczusie[Mecz]:Meczusie[RodzajMeczu],2,FALSE)</f>
        <v>Liga</v>
      </c>
    </row>
    <row r="3048" spans="1:37" x14ac:dyDescent="0.25">
      <c r="A3048" s="76">
        <v>14</v>
      </c>
      <c r="B3048" s="3" t="s">
        <v>330</v>
      </c>
      <c r="C3048" s="2" t="s">
        <v>165</v>
      </c>
      <c r="D3048" s="1">
        <v>1</v>
      </c>
      <c r="E3048" s="1">
        <v>6</v>
      </c>
      <c r="F3048" s="1">
        <v>4</v>
      </c>
      <c r="G3048" s="1">
        <v>2</v>
      </c>
      <c r="H3048" s="4">
        <v>0.5</v>
      </c>
      <c r="I3048" s="1">
        <v>0</v>
      </c>
      <c r="J3048" s="4"/>
      <c r="K3048" s="1">
        <v>0</v>
      </c>
      <c r="L3048" s="1">
        <v>1</v>
      </c>
      <c r="M3048" s="32">
        <f>IF(Mecze[[#This Row],[PR]]=0,0,Mecze[[#This Row],[PR]]/Mecze[[#This Row],[CZAS]])</f>
        <v>1.0416666666666666E-2</v>
      </c>
      <c r="N3048" s="32">
        <f>IF(Mecze[[#This Row],[OU]]=0,0,Mecze[[#This Row],[OU]]/Mecze[[#This Row],[CZAS]])</f>
        <v>0</v>
      </c>
      <c r="O3048" s="32">
        <f>IF(Mecze[[#This Row],[PC]]=0,0,Mecze[[#This Row],[PC]]/Mecze[[#This Row],[CZAS]])</f>
        <v>1.0416666666666666E-2</v>
      </c>
      <c r="P3048" s="32">
        <f>IF(Mecze[[#This Row],[SC]]=0,0,Mecze[[#This Row],[SC]]/Mecze[[#This Row],[CZAS]])</f>
        <v>4.1666666666666664E-2</v>
      </c>
      <c r="Q3048" s="32">
        <f>IF(Mecze[[#This Row],[OB]]=0,0,Mecze[[#This Row],[OB]]/Mecze[[#This Row],[CZAS]])</f>
        <v>0</v>
      </c>
      <c r="R3048" s="32">
        <f>IF(Mecze[[#This Row],[BR]]=0,0,Mecze[[#This Row],[BR]]/Mecze[[#This Row],[CZAS]])</f>
        <v>1.0416666666666666E-2</v>
      </c>
      <c r="S3048" s="44">
        <f>IF(Mecze[[#This Row],[Role]]="BR",SUMPRODUCT(Mecze[[#This Row],[/PR:90]:[/BR:90]],Brudnopis!$E$23:$J$23),0)</f>
        <v>0</v>
      </c>
      <c r="T3048" s="44">
        <f>IF(Mecze[[#This Row],[Role]]&lt;&gt;"BR",SUMPRODUCT(Mecze[[#This Row],[/PR:90]:[/BR:90]],Brudnopis!$E$24:$J$24),0)</f>
        <v>7.8125E-2</v>
      </c>
      <c r="U3048" s="44">
        <f>IF(Mecze[[#This Row],[Role]]&lt;&gt;"BR",SUMPRODUCT(Mecze[[#This Row],[/PR:90]:[/BR:90]],Brudnopis!$E$25:$J$25),0)</f>
        <v>8.3333333333333329E-2</v>
      </c>
      <c r="V3048" s="44">
        <f>IF(Mecze[[#This Row],[Role]]&lt;&gt;"BR",SUMPRODUCT(Mecze[[#This Row],[/PR:90]:[/BR:90]],Brudnopis!$E$26:$J$26),0)</f>
        <v>8.3333333333333329E-2</v>
      </c>
      <c r="W3048" s="44">
        <f>IF(Mecze[[#This Row],[Role]]&lt;&gt;"BR",SUMPRODUCT(Mecze[[#This Row],[/PR:90]:[/BR:90]],Brudnopis!$E$27:$J$27),0)</f>
        <v>8.5937499999999986E-2</v>
      </c>
      <c r="X3048" s="44">
        <f>IF(Mecze[[#This Row],[Role]]&lt;&gt;"BR",SUMPRODUCT(Mecze[[#This Row],[/PR:90]:[/BR:90]],Brudnopis!$E$28:$J$28),0)</f>
        <v>0.125</v>
      </c>
      <c r="Y3048" s="35">
        <f>IF(Mecze[[#This Row],[Role]]="BR",Mecze[[#This Row],[/OB:90]]+Mecze[[#This Row],[/PC:90]],SUM(Mecze[[#This Row],[/PR:90]:[/BR:90]]))</f>
        <v>7.2916666666666671E-2</v>
      </c>
      <c r="Z3048" s="35">
        <f>IF(Mecze[[#This Row],[KC]]=0,SUM(Mecze[[#This Row],[/BRI]:[/NPI]]),SUM(Mecze[[#This Row],[/BRI]:[/NPI]])*0.6)</f>
        <v>0.45572916666666663</v>
      </c>
      <c r="AA3048" s="10">
        <f>IFERROR(Mecze[[#This Row],[BR]]/Mecze[[#This Row],[ST]],0)</f>
        <v>0.16666666666666666</v>
      </c>
      <c r="AB3048">
        <f>ROUND(Mecze[[#This Row],[PD]]*Mecze[[#This Row],[%PC]],0)</f>
        <v>1</v>
      </c>
      <c r="AC3048">
        <f>ROUND(Mecze[[#This Row],[OD]]*Mecze[[#This Row],[%OU]],0)</f>
        <v>0</v>
      </c>
      <c r="AD3048" s="36" t="s">
        <v>272</v>
      </c>
      <c r="AE3048" s="36">
        <v>170</v>
      </c>
      <c r="AF3048" s="71">
        <v>7.11</v>
      </c>
      <c r="AG3048" s="37">
        <v>0</v>
      </c>
      <c r="AH3048" s="37">
        <v>0</v>
      </c>
      <c r="AI3048" s="37">
        <v>96</v>
      </c>
      <c r="AJ3048" s="37">
        <v>11</v>
      </c>
      <c r="AK3048" s="37" t="str">
        <f>VLOOKUP(Mecze[[#This Row],[Match ID]],Meczusie[Mecz]:Meczusie[RodzajMeczu],2,FALSE)</f>
        <v>Liga</v>
      </c>
    </row>
    <row r="3049" spans="1:37" x14ac:dyDescent="0.25">
      <c r="A3049" s="76">
        <v>1</v>
      </c>
      <c r="B3049" s="3" t="s">
        <v>261</v>
      </c>
      <c r="C3049" s="2" t="s">
        <v>155</v>
      </c>
      <c r="D3049" s="1">
        <v>0</v>
      </c>
      <c r="E3049" s="1">
        <v>0</v>
      </c>
      <c r="F3049" s="1">
        <v>0</v>
      </c>
      <c r="G3049" s="1">
        <v>19</v>
      </c>
      <c r="H3049" s="4">
        <v>0.11</v>
      </c>
      <c r="I3049" s="1">
        <v>0</v>
      </c>
      <c r="J3049" s="4"/>
      <c r="K3049" s="1">
        <v>19</v>
      </c>
      <c r="L3049" s="1">
        <v>0</v>
      </c>
      <c r="M3049" s="32">
        <f>IF(Mecze[[#This Row],[PR]]=0,0,Mecze[[#This Row],[PR]]/Mecze[[#This Row],[CZAS]])</f>
        <v>0</v>
      </c>
      <c r="N3049" s="32">
        <f>IF(Mecze[[#This Row],[OU]]=0,0,Mecze[[#This Row],[OU]]/Mecze[[#This Row],[CZAS]])</f>
        <v>0</v>
      </c>
      <c r="O3049" s="32">
        <f>IF(Mecze[[#This Row],[PC]]=0,0,Mecze[[#This Row],[PC]]/Mecze[[#This Row],[CZAS]])</f>
        <v>2.1052631578947368E-2</v>
      </c>
      <c r="P3049" s="32">
        <f>IF(Mecze[[#This Row],[SC]]=0,0,Mecze[[#This Row],[SC]]/Mecze[[#This Row],[CZAS]])</f>
        <v>0</v>
      </c>
      <c r="Q3049" s="32">
        <f>IF(Mecze[[#This Row],[OB]]=0,0,Mecze[[#This Row],[OB]]/Mecze[[#This Row],[CZAS]])</f>
        <v>0.2</v>
      </c>
      <c r="R3049" s="32">
        <f>IF(Mecze[[#This Row],[BR]]=0,0,Mecze[[#This Row],[BR]]/Mecze[[#This Row],[CZAS]])</f>
        <v>0</v>
      </c>
      <c r="S3049" s="44">
        <f>IF(Mecze[[#This Row],[Role]]="BR",SUMPRODUCT(Mecze[[#This Row],[/PR:90]:[/BR:90]],Brudnopis!$E$23:$J$23),0)</f>
        <v>0.66315789473684217</v>
      </c>
      <c r="T3049" s="44">
        <f>IF(Mecze[[#This Row],[Role]]&lt;&gt;"BR",SUMPRODUCT(Mecze[[#This Row],[/PR:90]:[/BR:90]],Brudnopis!$E$24:$J$24),0)</f>
        <v>0</v>
      </c>
      <c r="U3049" s="44">
        <f>IF(Mecze[[#This Row],[Role]]&lt;&gt;"BR",SUMPRODUCT(Mecze[[#This Row],[/PR:90]:[/BR:90]],Brudnopis!$E$25:$J$25),0)</f>
        <v>0</v>
      </c>
      <c r="V3049" s="44">
        <f>IF(Mecze[[#This Row],[Role]]&lt;&gt;"BR",SUMPRODUCT(Mecze[[#This Row],[/PR:90]:[/BR:90]],Brudnopis!$E$26:$J$26),0)</f>
        <v>0</v>
      </c>
      <c r="W3049" s="44">
        <f>IF(Mecze[[#This Row],[Role]]&lt;&gt;"BR",SUMPRODUCT(Mecze[[#This Row],[/PR:90]:[/BR:90]],Brudnopis!$E$27:$J$27),0)</f>
        <v>0</v>
      </c>
      <c r="X3049" s="44">
        <f>IF(Mecze[[#This Row],[Role]]&lt;&gt;"BR",SUMPRODUCT(Mecze[[#This Row],[/PR:90]:[/BR:90]],Brudnopis!$E$28:$J$28),0)</f>
        <v>0</v>
      </c>
      <c r="Y3049" s="35">
        <f>IF(Mecze[[#This Row],[Role]]="BR",Mecze[[#This Row],[/OB:90]]+Mecze[[#This Row],[/PC:90]],SUM(Mecze[[#This Row],[/PR:90]:[/BR:90]]))</f>
        <v>0.22105263157894739</v>
      </c>
      <c r="Z3049" s="35">
        <f>IF(Mecze[[#This Row],[KC]]=0,SUM(Mecze[[#This Row],[/BRI]:[/NPI]]),SUM(Mecze[[#This Row],[/BRI]:[/NPI]])*0.6)</f>
        <v>0.66315789473684217</v>
      </c>
      <c r="AA3049" s="10">
        <f>IFERROR(Mecze[[#This Row],[BR]]/Mecze[[#This Row],[ST]],0)</f>
        <v>0</v>
      </c>
      <c r="AB3049">
        <f>ROUND(Mecze[[#This Row],[PD]]*Mecze[[#This Row],[%PC]],0)</f>
        <v>2</v>
      </c>
      <c r="AC3049">
        <f>ROUND(Mecze[[#This Row],[OD]]*Mecze[[#This Row],[%OU]],0)</f>
        <v>0</v>
      </c>
      <c r="AD3049" s="36" t="s">
        <v>40</v>
      </c>
      <c r="AE3049" s="36">
        <v>171</v>
      </c>
      <c r="AF3049" s="71">
        <v>4.9000000000000004</v>
      </c>
      <c r="AG3049" s="37">
        <v>0</v>
      </c>
      <c r="AH3049" s="37">
        <v>0</v>
      </c>
      <c r="AI3049" s="37">
        <v>95</v>
      </c>
      <c r="AJ3049" s="37">
        <v>3</v>
      </c>
      <c r="AK3049" s="37" t="str">
        <f>VLOOKUP(Mecze[[#This Row],[Match ID]],Meczusie[Mecz]:Meczusie[RodzajMeczu],2,FALSE)</f>
        <v>Liga</v>
      </c>
    </row>
    <row r="3050" spans="1:37" x14ac:dyDescent="0.25">
      <c r="A3050" s="76">
        <v>13</v>
      </c>
      <c r="B3050" s="3" t="s">
        <v>262</v>
      </c>
      <c r="C3050" s="2" t="s">
        <v>157</v>
      </c>
      <c r="D3050" s="1">
        <v>0</v>
      </c>
      <c r="E3050" s="1">
        <v>0</v>
      </c>
      <c r="F3050" s="1">
        <v>0</v>
      </c>
      <c r="G3050" s="1">
        <v>3</v>
      </c>
      <c r="H3050" s="4">
        <v>0.33</v>
      </c>
      <c r="I3050" s="1">
        <v>4</v>
      </c>
      <c r="J3050" s="4">
        <v>0.5</v>
      </c>
      <c r="K3050" s="1">
        <v>0</v>
      </c>
      <c r="L3050" s="1">
        <v>0</v>
      </c>
      <c r="M3050" s="32">
        <f>IF(Mecze[[#This Row],[PR]]=0,0,Mecze[[#This Row],[PR]]/Mecze[[#This Row],[CZAS]])</f>
        <v>0</v>
      </c>
      <c r="N3050" s="32">
        <f>IF(Mecze[[#This Row],[OU]]=0,0,Mecze[[#This Row],[OU]]/Mecze[[#This Row],[CZAS]])</f>
        <v>2.1052631578947368E-2</v>
      </c>
      <c r="O3050" s="32">
        <f>IF(Mecze[[#This Row],[PC]]=0,0,Mecze[[#This Row],[PC]]/Mecze[[#This Row],[CZAS]])</f>
        <v>1.0526315789473684E-2</v>
      </c>
      <c r="P3050" s="32">
        <f>IF(Mecze[[#This Row],[SC]]=0,0,Mecze[[#This Row],[SC]]/Mecze[[#This Row],[CZAS]])</f>
        <v>0</v>
      </c>
      <c r="Q3050" s="32">
        <f>IF(Mecze[[#This Row],[OB]]=0,0,Mecze[[#This Row],[OB]]/Mecze[[#This Row],[CZAS]])</f>
        <v>0</v>
      </c>
      <c r="R3050" s="32">
        <f>IF(Mecze[[#This Row],[BR]]=0,0,Mecze[[#This Row],[BR]]/Mecze[[#This Row],[CZAS]])</f>
        <v>0</v>
      </c>
      <c r="S3050" s="44">
        <f>IF(Mecze[[#This Row],[Role]]="BR",SUMPRODUCT(Mecze[[#This Row],[/PR:90]:[/BR:90]],Brudnopis!$E$23:$J$23),0)</f>
        <v>0</v>
      </c>
      <c r="T3050" s="44">
        <f>IF(Mecze[[#This Row],[Role]]&lt;&gt;"BR",SUMPRODUCT(Mecze[[#This Row],[/PR:90]:[/BR:90]],Brudnopis!$E$24:$J$24),0)</f>
        <v>4.2105263157894736E-2</v>
      </c>
      <c r="U3050" s="44">
        <f>IF(Mecze[[#This Row],[Role]]&lt;&gt;"BR",SUMPRODUCT(Mecze[[#This Row],[/PR:90]:[/BR:90]],Brudnopis!$E$25:$J$25),0)</f>
        <v>3.6842105263157898E-2</v>
      </c>
      <c r="V3050" s="44">
        <f>IF(Mecze[[#This Row],[Role]]&lt;&gt;"BR",SUMPRODUCT(Mecze[[#This Row],[/PR:90]:[/BR:90]],Brudnopis!$E$26:$J$26),0)</f>
        <v>3.1578947368421054E-2</v>
      </c>
      <c r="W3050" s="44">
        <f>IF(Mecze[[#This Row],[Role]]&lt;&gt;"BR",SUMPRODUCT(Mecze[[#This Row],[/PR:90]:[/BR:90]],Brudnopis!$E$27:$J$27),0)</f>
        <v>3.1578947368421054E-2</v>
      </c>
      <c r="X3050" s="44">
        <f>IF(Mecze[[#This Row],[Role]]&lt;&gt;"BR",SUMPRODUCT(Mecze[[#This Row],[/PR:90]:[/BR:90]],Brudnopis!$E$28:$J$28),0)</f>
        <v>1.0526315789473684E-2</v>
      </c>
      <c r="Y3050" s="35">
        <f>IF(Mecze[[#This Row],[Role]]="BR",Mecze[[#This Row],[/OB:90]]+Mecze[[#This Row],[/PC:90]],SUM(Mecze[[#This Row],[/PR:90]:[/BR:90]]))</f>
        <v>3.1578947368421054E-2</v>
      </c>
      <c r="Z3050" s="35">
        <f>IF(Mecze[[#This Row],[KC]]=0,SUM(Mecze[[#This Row],[/BRI]:[/NPI]]),SUM(Mecze[[#This Row],[/BRI]:[/NPI]])*0.6)</f>
        <v>0.15263157894736842</v>
      </c>
      <c r="AA3050" s="10">
        <f>IFERROR(Mecze[[#This Row],[BR]]/Mecze[[#This Row],[ST]],0)</f>
        <v>0</v>
      </c>
      <c r="AB3050">
        <f>ROUND(Mecze[[#This Row],[PD]]*Mecze[[#This Row],[%PC]],0)</f>
        <v>1</v>
      </c>
      <c r="AC3050">
        <f>ROUND(Mecze[[#This Row],[OD]]*Mecze[[#This Row],[%OU]],0)</f>
        <v>2</v>
      </c>
      <c r="AD3050" s="36" t="s">
        <v>175</v>
      </c>
      <c r="AE3050" s="36">
        <v>171</v>
      </c>
      <c r="AF3050" s="71">
        <v>-0.63</v>
      </c>
      <c r="AG3050" s="37">
        <v>0</v>
      </c>
      <c r="AH3050" s="37">
        <v>0</v>
      </c>
      <c r="AI3050" s="37">
        <v>95</v>
      </c>
      <c r="AJ3050" s="37">
        <v>3</v>
      </c>
      <c r="AK3050" s="37" t="str">
        <f>VLOOKUP(Mecze[[#This Row],[Match ID]],Meczusie[Mecz]:Meczusie[RodzajMeczu],2,FALSE)</f>
        <v>Liga</v>
      </c>
    </row>
    <row r="3051" spans="1:37" x14ac:dyDescent="0.25">
      <c r="A3051" s="76">
        <v>9</v>
      </c>
      <c r="B3051" s="3" t="s">
        <v>266</v>
      </c>
      <c r="C3051" s="2" t="s">
        <v>157</v>
      </c>
      <c r="D3051" s="1">
        <v>0</v>
      </c>
      <c r="E3051" s="1">
        <v>0</v>
      </c>
      <c r="F3051" s="1">
        <v>0</v>
      </c>
      <c r="G3051" s="1">
        <v>1</v>
      </c>
      <c r="H3051" s="4">
        <v>1</v>
      </c>
      <c r="I3051" s="1">
        <v>2</v>
      </c>
      <c r="J3051" s="4">
        <v>0.5</v>
      </c>
      <c r="K3051" s="1">
        <v>0</v>
      </c>
      <c r="L3051" s="1">
        <v>0</v>
      </c>
      <c r="M3051" s="32">
        <f>IF(Mecze[[#This Row],[PR]]=0,0,Mecze[[#This Row],[PR]]/Mecze[[#This Row],[CZAS]])</f>
        <v>0</v>
      </c>
      <c r="N3051" s="32">
        <f>IF(Mecze[[#This Row],[OU]]=0,0,Mecze[[#This Row],[OU]]/Mecze[[#This Row],[CZAS]])</f>
        <v>1.0526315789473684E-2</v>
      </c>
      <c r="O3051" s="32">
        <f>IF(Mecze[[#This Row],[PC]]=0,0,Mecze[[#This Row],[PC]]/Mecze[[#This Row],[CZAS]])</f>
        <v>1.0526315789473684E-2</v>
      </c>
      <c r="P3051" s="32">
        <f>IF(Mecze[[#This Row],[SC]]=0,0,Mecze[[#This Row],[SC]]/Mecze[[#This Row],[CZAS]])</f>
        <v>0</v>
      </c>
      <c r="Q3051" s="32">
        <f>IF(Mecze[[#This Row],[OB]]=0,0,Mecze[[#This Row],[OB]]/Mecze[[#This Row],[CZAS]])</f>
        <v>0</v>
      </c>
      <c r="R3051" s="32">
        <f>IF(Mecze[[#This Row],[BR]]=0,0,Mecze[[#This Row],[BR]]/Mecze[[#This Row],[CZAS]])</f>
        <v>0</v>
      </c>
      <c r="S3051" s="44">
        <f>IF(Mecze[[#This Row],[Role]]="BR",SUMPRODUCT(Mecze[[#This Row],[/PR:90]:[/BR:90]],Brudnopis!$E$23:$J$23),0)</f>
        <v>0</v>
      </c>
      <c r="T3051" s="44">
        <f>IF(Mecze[[#This Row],[Role]]&lt;&gt;"BR",SUMPRODUCT(Mecze[[#This Row],[/PR:90]:[/BR:90]],Brudnopis!$E$24:$J$24),0)</f>
        <v>2.6315789473684209E-2</v>
      </c>
      <c r="U3051" s="44">
        <f>IF(Mecze[[#This Row],[Role]]&lt;&gt;"BR",SUMPRODUCT(Mecze[[#This Row],[/PR:90]:[/BR:90]],Brudnopis!$E$25:$J$25),0)</f>
        <v>2.6315789473684209E-2</v>
      </c>
      <c r="V3051" s="44">
        <f>IF(Mecze[[#This Row],[Role]]&lt;&gt;"BR",SUMPRODUCT(Mecze[[#This Row],[/PR:90]:[/BR:90]],Brudnopis!$E$26:$J$26),0)</f>
        <v>2.1052631578947368E-2</v>
      </c>
      <c r="W3051" s="44">
        <f>IF(Mecze[[#This Row],[Role]]&lt;&gt;"BR",SUMPRODUCT(Mecze[[#This Row],[/PR:90]:[/BR:90]],Brudnopis!$E$27:$J$27),0)</f>
        <v>2.368421052631579E-2</v>
      </c>
      <c r="X3051" s="44">
        <f>IF(Mecze[[#This Row],[Role]]&lt;&gt;"BR",SUMPRODUCT(Mecze[[#This Row],[/PR:90]:[/BR:90]],Brudnopis!$E$28:$J$28),0)</f>
        <v>1.0526315789473684E-2</v>
      </c>
      <c r="Y3051" s="35">
        <f>IF(Mecze[[#This Row],[Role]]="BR",Mecze[[#This Row],[/OB:90]]+Mecze[[#This Row],[/PC:90]],SUM(Mecze[[#This Row],[/PR:90]:[/BR:90]]))</f>
        <v>2.1052631578947368E-2</v>
      </c>
      <c r="Z3051" s="35">
        <f>IF(Mecze[[#This Row],[KC]]=0,SUM(Mecze[[#This Row],[/BRI]:[/NPI]]),SUM(Mecze[[#This Row],[/BRI]:[/NPI]])*0.6)</f>
        <v>0.10789473684210527</v>
      </c>
      <c r="AA3051" s="10">
        <f>IFERROR(Mecze[[#This Row],[BR]]/Mecze[[#This Row],[ST]],0)</f>
        <v>0</v>
      </c>
      <c r="AB3051">
        <f>ROUND(Mecze[[#This Row],[PD]]*Mecze[[#This Row],[%PC]],0)</f>
        <v>1</v>
      </c>
      <c r="AC3051">
        <f>ROUND(Mecze[[#This Row],[OD]]*Mecze[[#This Row],[%OU]],0)</f>
        <v>1</v>
      </c>
      <c r="AD3051" s="36" t="s">
        <v>174</v>
      </c>
      <c r="AE3051" s="36">
        <v>171</v>
      </c>
      <c r="AF3051" s="71">
        <v>-1.75</v>
      </c>
      <c r="AG3051" s="37">
        <v>0</v>
      </c>
      <c r="AH3051" s="37">
        <v>0</v>
      </c>
      <c r="AI3051" s="37">
        <v>95</v>
      </c>
      <c r="AJ3051" s="37">
        <v>3</v>
      </c>
      <c r="AK3051" s="37" t="str">
        <f>VLOOKUP(Mecze[[#This Row],[Match ID]],Meczusie[Mecz]:Meczusie[RodzajMeczu],2,FALSE)</f>
        <v>Liga</v>
      </c>
    </row>
    <row r="3052" spans="1:37" x14ac:dyDescent="0.25">
      <c r="A3052" s="76">
        <v>2</v>
      </c>
      <c r="B3052" s="3" t="s">
        <v>265</v>
      </c>
      <c r="C3052" s="2" t="s">
        <v>157</v>
      </c>
      <c r="D3052" s="1">
        <v>0</v>
      </c>
      <c r="E3052" s="1">
        <v>0</v>
      </c>
      <c r="F3052" s="1">
        <v>0</v>
      </c>
      <c r="G3052" s="1">
        <v>1</v>
      </c>
      <c r="H3052" s="4">
        <v>1</v>
      </c>
      <c r="I3052" s="1">
        <v>1</v>
      </c>
      <c r="J3052" s="4">
        <v>1</v>
      </c>
      <c r="K3052" s="1">
        <v>0</v>
      </c>
      <c r="L3052" s="1">
        <v>0</v>
      </c>
      <c r="M3052" s="32">
        <f>IF(Mecze[[#This Row],[PR]]=0,0,Mecze[[#This Row],[PR]]/Mecze[[#This Row],[CZAS]])</f>
        <v>0</v>
      </c>
      <c r="N3052" s="32">
        <f>IF(Mecze[[#This Row],[OU]]=0,0,Mecze[[#This Row],[OU]]/Mecze[[#This Row],[CZAS]])</f>
        <v>0.16666666666666666</v>
      </c>
      <c r="O3052" s="32">
        <f>IF(Mecze[[#This Row],[PC]]=0,0,Mecze[[#This Row],[PC]]/Mecze[[#This Row],[CZAS]])</f>
        <v>0.16666666666666666</v>
      </c>
      <c r="P3052" s="32">
        <f>IF(Mecze[[#This Row],[SC]]=0,0,Mecze[[#This Row],[SC]]/Mecze[[#This Row],[CZAS]])</f>
        <v>0</v>
      </c>
      <c r="Q3052" s="32">
        <f>IF(Mecze[[#This Row],[OB]]=0,0,Mecze[[#This Row],[OB]]/Mecze[[#This Row],[CZAS]])</f>
        <v>0</v>
      </c>
      <c r="R3052" s="32">
        <f>IF(Mecze[[#This Row],[BR]]=0,0,Mecze[[#This Row],[BR]]/Mecze[[#This Row],[CZAS]])</f>
        <v>0</v>
      </c>
      <c r="S3052" s="44">
        <f>IF(Mecze[[#This Row],[Role]]="BR",SUMPRODUCT(Mecze[[#This Row],[/PR:90]:[/BR:90]],Brudnopis!$E$23:$J$23),0)</f>
        <v>0</v>
      </c>
      <c r="T3052" s="44">
        <f>IF(Mecze[[#This Row],[Role]]&lt;&gt;"BR",SUMPRODUCT(Mecze[[#This Row],[/PR:90]:[/BR:90]],Brudnopis!$E$24:$J$24),0)</f>
        <v>0.41666666666666663</v>
      </c>
      <c r="U3052" s="44">
        <f>IF(Mecze[[#This Row],[Role]]&lt;&gt;"BR",SUMPRODUCT(Mecze[[#This Row],[/PR:90]:[/BR:90]],Brudnopis!$E$25:$J$25),0)</f>
        <v>0.41666666666666663</v>
      </c>
      <c r="V3052" s="44">
        <f>IF(Mecze[[#This Row],[Role]]&lt;&gt;"BR",SUMPRODUCT(Mecze[[#This Row],[/PR:90]:[/BR:90]],Brudnopis!$E$26:$J$26),0)</f>
        <v>0.33333333333333331</v>
      </c>
      <c r="W3052" s="44">
        <f>IF(Mecze[[#This Row],[Role]]&lt;&gt;"BR",SUMPRODUCT(Mecze[[#This Row],[/PR:90]:[/BR:90]],Brudnopis!$E$27:$J$27),0)</f>
        <v>0.375</v>
      </c>
      <c r="X3052" s="44">
        <f>IF(Mecze[[#This Row],[Role]]&lt;&gt;"BR",SUMPRODUCT(Mecze[[#This Row],[/PR:90]:[/BR:90]],Brudnopis!$E$28:$J$28),0)</f>
        <v>0.16666666666666666</v>
      </c>
      <c r="Y3052" s="35">
        <f>IF(Mecze[[#This Row],[Role]]="BR",Mecze[[#This Row],[/OB:90]]+Mecze[[#This Row],[/PC:90]],SUM(Mecze[[#This Row],[/PR:90]:[/BR:90]]))</f>
        <v>0.33333333333333331</v>
      </c>
      <c r="Z3052" s="35">
        <f>IF(Mecze[[#This Row],[KC]]=0,SUM(Mecze[[#This Row],[/BRI]:[/NPI]]),SUM(Mecze[[#This Row],[/BRI]:[/NPI]])*0.6)</f>
        <v>1.0249999999999999</v>
      </c>
      <c r="AA3052" s="10">
        <f>IFERROR(Mecze[[#This Row],[BR]]/Mecze[[#This Row],[ST]],0)</f>
        <v>0</v>
      </c>
      <c r="AB3052">
        <f>ROUND(Mecze[[#This Row],[PD]]*Mecze[[#This Row],[%PC]],0)</f>
        <v>1</v>
      </c>
      <c r="AC3052">
        <f>ROUND(Mecze[[#This Row],[OD]]*Mecze[[#This Row],[%OU]],0)</f>
        <v>1</v>
      </c>
      <c r="AD3052" s="36" t="s">
        <v>47</v>
      </c>
      <c r="AE3052" s="36">
        <v>171</v>
      </c>
      <c r="AF3052" s="71">
        <v>-6.16</v>
      </c>
      <c r="AG3052" s="37">
        <v>0</v>
      </c>
      <c r="AH3052" s="37">
        <v>1</v>
      </c>
      <c r="AI3052" s="37">
        <v>6</v>
      </c>
      <c r="AJ3052" s="37">
        <v>3</v>
      </c>
      <c r="AK3052" s="37" t="str">
        <f>VLOOKUP(Mecze[[#This Row],[Match ID]],Meczusie[Mecz]:Meczusie[RodzajMeczu],2,FALSE)</f>
        <v>Liga</v>
      </c>
    </row>
    <row r="3053" spans="1:37" x14ac:dyDescent="0.25">
      <c r="A3053" s="76">
        <v>7</v>
      </c>
      <c r="B3053" s="3" t="s">
        <v>509</v>
      </c>
      <c r="C3053" s="2" t="s">
        <v>160</v>
      </c>
      <c r="D3053" s="1">
        <v>0</v>
      </c>
      <c r="E3053" s="1">
        <v>0</v>
      </c>
      <c r="F3053" s="1">
        <v>0</v>
      </c>
      <c r="G3053" s="1">
        <v>19</v>
      </c>
      <c r="H3053" s="4">
        <v>0.74</v>
      </c>
      <c r="I3053" s="1">
        <v>7</v>
      </c>
      <c r="J3053" s="4">
        <v>0.43</v>
      </c>
      <c r="K3053" s="1">
        <v>0</v>
      </c>
      <c r="L3053" s="1">
        <v>7</v>
      </c>
      <c r="M3053" s="32">
        <f>IF(Mecze[[#This Row],[PR]]=0,0,Mecze[[#This Row],[PR]]/Mecze[[#This Row],[CZAS]])</f>
        <v>7.3684210526315783E-2</v>
      </c>
      <c r="N3053" s="32">
        <f>IF(Mecze[[#This Row],[OU]]=0,0,Mecze[[#This Row],[OU]]/Mecze[[#This Row],[CZAS]])</f>
        <v>3.1578947368421054E-2</v>
      </c>
      <c r="O3053" s="32">
        <f>IF(Mecze[[#This Row],[PC]]=0,0,Mecze[[#This Row],[PC]]/Mecze[[#This Row],[CZAS]])</f>
        <v>0.14736842105263157</v>
      </c>
      <c r="P3053" s="32">
        <f>IF(Mecze[[#This Row],[SC]]=0,0,Mecze[[#This Row],[SC]]/Mecze[[#This Row],[CZAS]])</f>
        <v>0</v>
      </c>
      <c r="Q3053" s="32">
        <f>IF(Mecze[[#This Row],[OB]]=0,0,Mecze[[#This Row],[OB]]/Mecze[[#This Row],[CZAS]])</f>
        <v>0</v>
      </c>
      <c r="R3053" s="32">
        <f>IF(Mecze[[#This Row],[BR]]=0,0,Mecze[[#This Row],[BR]]/Mecze[[#This Row],[CZAS]])</f>
        <v>0</v>
      </c>
      <c r="S3053" s="44">
        <f>IF(Mecze[[#This Row],[Role]]="BR",SUMPRODUCT(Mecze[[#This Row],[/PR:90]:[/BR:90]],Brudnopis!$E$23:$J$23),0)</f>
        <v>0</v>
      </c>
      <c r="T3053" s="44">
        <f>IF(Mecze[[#This Row],[Role]]&lt;&gt;"BR",SUMPRODUCT(Mecze[[#This Row],[/PR:90]:[/BR:90]],Brudnopis!$E$24:$J$24),0)</f>
        <v>0.26842105263157889</v>
      </c>
      <c r="U3053" s="44">
        <f>IF(Mecze[[#This Row],[Role]]&lt;&gt;"BR",SUMPRODUCT(Mecze[[#This Row],[/PR:90]:[/BR:90]],Brudnopis!$E$25:$J$25),0)</f>
        <v>0.32631578947368417</v>
      </c>
      <c r="V3053" s="44">
        <f>IF(Mecze[[#This Row],[Role]]&lt;&gt;"BR",SUMPRODUCT(Mecze[[#This Row],[/PR:90]:[/BR:90]],Brudnopis!$E$26:$J$26),0)</f>
        <v>0.25263157894736843</v>
      </c>
      <c r="W3053" s="44">
        <f>IF(Mecze[[#This Row],[Role]]&lt;&gt;"BR",SUMPRODUCT(Mecze[[#This Row],[/PR:90]:[/BR:90]],Brudnopis!$E$27:$J$27),0)</f>
        <v>0.29999999999999993</v>
      </c>
      <c r="X3053" s="44">
        <f>IF(Mecze[[#This Row],[Role]]&lt;&gt;"BR",SUMPRODUCT(Mecze[[#This Row],[/PR:90]:[/BR:90]],Brudnopis!$E$28:$J$28),0)</f>
        <v>0.14736842105263157</v>
      </c>
      <c r="Y3053" s="35">
        <f>IF(Mecze[[#This Row],[Role]]="BR",Mecze[[#This Row],[/OB:90]]+Mecze[[#This Row],[/PC:90]],SUM(Mecze[[#This Row],[/PR:90]:[/BR:90]]))</f>
        <v>0.25263157894736843</v>
      </c>
      <c r="Z3053" s="35">
        <f>IF(Mecze[[#This Row],[KC]]=0,SUM(Mecze[[#This Row],[/BRI]:[/NPI]]),SUM(Mecze[[#This Row],[/BRI]:[/NPI]])*0.6)</f>
        <v>1.294736842105263</v>
      </c>
      <c r="AA3053" s="10">
        <f>IFERROR(Mecze[[#This Row],[BR]]/Mecze[[#This Row],[ST]],0)</f>
        <v>0</v>
      </c>
      <c r="AB3053">
        <f>ROUND(Mecze[[#This Row],[PD]]*Mecze[[#This Row],[%PC]],0)</f>
        <v>14</v>
      </c>
      <c r="AC3053">
        <f>ROUND(Mecze[[#This Row],[OD]]*Mecze[[#This Row],[%OU]],0)</f>
        <v>3</v>
      </c>
      <c r="AD3053" s="36" t="s">
        <v>67</v>
      </c>
      <c r="AE3053" s="36">
        <v>171</v>
      </c>
      <c r="AF3053" s="71">
        <v>5.38</v>
      </c>
      <c r="AG3053" s="37">
        <v>0</v>
      </c>
      <c r="AH3053" s="37">
        <v>0</v>
      </c>
      <c r="AI3053" s="37">
        <v>95</v>
      </c>
      <c r="AJ3053" s="37">
        <v>3</v>
      </c>
      <c r="AK3053" s="37" t="str">
        <f>VLOOKUP(Mecze[[#This Row],[Match ID]],Meczusie[Mecz]:Meczusie[RodzajMeczu],2,FALSE)</f>
        <v>Liga</v>
      </c>
    </row>
    <row r="3054" spans="1:37" x14ac:dyDescent="0.25">
      <c r="A3054" s="76">
        <v>5</v>
      </c>
      <c r="B3054" s="3" t="s">
        <v>267</v>
      </c>
      <c r="C3054" s="2" t="s">
        <v>160</v>
      </c>
      <c r="D3054" s="1">
        <v>0</v>
      </c>
      <c r="E3054" s="1">
        <v>0</v>
      </c>
      <c r="F3054" s="1">
        <v>0</v>
      </c>
      <c r="G3054" s="1">
        <v>13</v>
      </c>
      <c r="H3054" s="4">
        <v>0.38</v>
      </c>
      <c r="I3054" s="1">
        <v>7</v>
      </c>
      <c r="J3054" s="4">
        <v>0.43</v>
      </c>
      <c r="K3054" s="1">
        <v>0</v>
      </c>
      <c r="L3054" s="1">
        <v>7</v>
      </c>
      <c r="M3054" s="32">
        <f>IF(Mecze[[#This Row],[PR]]=0,0,Mecze[[#This Row],[PR]]/Mecze[[#This Row],[CZAS]])</f>
        <v>7.3684210526315783E-2</v>
      </c>
      <c r="N3054" s="32">
        <f>IF(Mecze[[#This Row],[OU]]=0,0,Mecze[[#This Row],[OU]]/Mecze[[#This Row],[CZAS]])</f>
        <v>3.1578947368421054E-2</v>
      </c>
      <c r="O3054" s="32">
        <f>IF(Mecze[[#This Row],[PC]]=0,0,Mecze[[#This Row],[PC]]/Mecze[[#This Row],[CZAS]])</f>
        <v>5.2631578947368418E-2</v>
      </c>
      <c r="P3054" s="32">
        <f>IF(Mecze[[#This Row],[SC]]=0,0,Mecze[[#This Row],[SC]]/Mecze[[#This Row],[CZAS]])</f>
        <v>0</v>
      </c>
      <c r="Q3054" s="32">
        <f>IF(Mecze[[#This Row],[OB]]=0,0,Mecze[[#This Row],[OB]]/Mecze[[#This Row],[CZAS]])</f>
        <v>0</v>
      </c>
      <c r="R3054" s="32">
        <f>IF(Mecze[[#This Row],[BR]]=0,0,Mecze[[#This Row],[BR]]/Mecze[[#This Row],[CZAS]])</f>
        <v>0</v>
      </c>
      <c r="S3054" s="44">
        <f>IF(Mecze[[#This Row],[Role]]="BR",SUMPRODUCT(Mecze[[#This Row],[/PR:90]:[/BR:90]],Brudnopis!$E$23:$J$23),0)</f>
        <v>0</v>
      </c>
      <c r="T3054" s="44">
        <f>IF(Mecze[[#This Row],[Role]]&lt;&gt;"BR",SUMPRODUCT(Mecze[[#This Row],[/PR:90]:[/BR:90]],Brudnopis!$E$24:$J$24),0)</f>
        <v>0.17368421052631577</v>
      </c>
      <c r="U3054" s="44">
        <f>IF(Mecze[[#This Row],[Role]]&lt;&gt;"BR",SUMPRODUCT(Mecze[[#This Row],[/PR:90]:[/BR:90]],Brudnopis!$E$25:$J$25),0)</f>
        <v>0.18421052631578946</v>
      </c>
      <c r="V3054" s="44">
        <f>IF(Mecze[[#This Row],[Role]]&lt;&gt;"BR",SUMPRODUCT(Mecze[[#This Row],[/PR:90]:[/BR:90]],Brudnopis!$E$26:$J$26),0)</f>
        <v>0.15789473684210525</v>
      </c>
      <c r="W3054" s="44">
        <f>IF(Mecze[[#This Row],[Role]]&lt;&gt;"BR",SUMPRODUCT(Mecze[[#This Row],[/PR:90]:[/BR:90]],Brudnopis!$E$27:$J$27),0)</f>
        <v>0.15789473684210525</v>
      </c>
      <c r="X3054" s="44">
        <f>IF(Mecze[[#This Row],[Role]]&lt;&gt;"BR",SUMPRODUCT(Mecze[[#This Row],[/PR:90]:[/BR:90]],Brudnopis!$E$28:$J$28),0)</f>
        <v>5.2631578947368418E-2</v>
      </c>
      <c r="Y3054" s="35">
        <f>IF(Mecze[[#This Row],[Role]]="BR",Mecze[[#This Row],[/OB:90]]+Mecze[[#This Row],[/PC:90]],SUM(Mecze[[#This Row],[/PR:90]:[/BR:90]]))</f>
        <v>0.15789473684210525</v>
      </c>
      <c r="Z3054" s="35">
        <f>IF(Mecze[[#This Row],[KC]]=0,SUM(Mecze[[#This Row],[/BRI]:[/NPI]]),SUM(Mecze[[#This Row],[/BRI]:[/NPI]])*0.6)</f>
        <v>0.72631578947368425</v>
      </c>
      <c r="AA3054" s="10">
        <f>IFERROR(Mecze[[#This Row],[BR]]/Mecze[[#This Row],[ST]],0)</f>
        <v>0</v>
      </c>
      <c r="AB3054">
        <f>ROUND(Mecze[[#This Row],[PD]]*Mecze[[#This Row],[%PC]],0)</f>
        <v>5</v>
      </c>
      <c r="AC3054">
        <f>ROUND(Mecze[[#This Row],[OD]]*Mecze[[#This Row],[%OU]],0)</f>
        <v>3</v>
      </c>
      <c r="AD3054" s="36" t="s">
        <v>67</v>
      </c>
      <c r="AE3054" s="36">
        <v>171</v>
      </c>
      <c r="AF3054" s="71">
        <v>4.17</v>
      </c>
      <c r="AG3054" s="37">
        <v>0</v>
      </c>
      <c r="AH3054" s="37">
        <v>0</v>
      </c>
      <c r="AI3054" s="37">
        <v>95</v>
      </c>
      <c r="AJ3054" s="37">
        <v>3</v>
      </c>
      <c r="AK3054" s="37" t="str">
        <f>VLOOKUP(Mecze[[#This Row],[Match ID]],Meczusie[Mecz]:Meczusie[RodzajMeczu],2,FALSE)</f>
        <v>Liga</v>
      </c>
    </row>
    <row r="3055" spans="1:37" x14ac:dyDescent="0.25">
      <c r="A3055" s="76">
        <v>3</v>
      </c>
      <c r="B3055" s="3" t="s">
        <v>268</v>
      </c>
      <c r="C3055" s="2" t="s">
        <v>160</v>
      </c>
      <c r="D3055" s="1">
        <v>0</v>
      </c>
      <c r="E3055" s="1">
        <v>0</v>
      </c>
      <c r="F3055" s="1">
        <v>0</v>
      </c>
      <c r="G3055" s="1">
        <v>7</v>
      </c>
      <c r="H3055" s="4">
        <v>0.56999999999999995</v>
      </c>
      <c r="I3055" s="1">
        <v>5</v>
      </c>
      <c r="J3055" s="4">
        <v>0.2</v>
      </c>
      <c r="K3055" s="1">
        <v>0</v>
      </c>
      <c r="L3055" s="1">
        <v>0</v>
      </c>
      <c r="M3055" s="32">
        <f>IF(Mecze[[#This Row],[PR]]=0,0,Mecze[[#This Row],[PR]]/Mecze[[#This Row],[CZAS]])</f>
        <v>0</v>
      </c>
      <c r="N3055" s="32">
        <f>IF(Mecze[[#This Row],[OU]]=0,0,Mecze[[#This Row],[OU]]/Mecze[[#This Row],[CZAS]])</f>
        <v>1.0526315789473684E-2</v>
      </c>
      <c r="O3055" s="32">
        <f>IF(Mecze[[#This Row],[PC]]=0,0,Mecze[[#This Row],[PC]]/Mecze[[#This Row],[CZAS]])</f>
        <v>4.2105263157894736E-2</v>
      </c>
      <c r="P3055" s="32">
        <f>IF(Mecze[[#This Row],[SC]]=0,0,Mecze[[#This Row],[SC]]/Mecze[[#This Row],[CZAS]])</f>
        <v>0</v>
      </c>
      <c r="Q3055" s="32">
        <f>IF(Mecze[[#This Row],[OB]]=0,0,Mecze[[#This Row],[OB]]/Mecze[[#This Row],[CZAS]])</f>
        <v>0</v>
      </c>
      <c r="R3055" s="32">
        <f>IF(Mecze[[#This Row],[BR]]=0,0,Mecze[[#This Row],[BR]]/Mecze[[#This Row],[CZAS]])</f>
        <v>0</v>
      </c>
      <c r="S3055" s="44">
        <f>IF(Mecze[[#This Row],[Role]]="BR",SUMPRODUCT(Mecze[[#This Row],[/PR:90]:[/BR:90]],Brudnopis!$E$23:$J$23),0)</f>
        <v>0</v>
      </c>
      <c r="T3055" s="44">
        <f>IF(Mecze[[#This Row],[Role]]&lt;&gt;"BR",SUMPRODUCT(Mecze[[#This Row],[/PR:90]:[/BR:90]],Brudnopis!$E$24:$J$24),0)</f>
        <v>5.7894736842105263E-2</v>
      </c>
      <c r="U3055" s="44">
        <f>IF(Mecze[[#This Row],[Role]]&lt;&gt;"BR",SUMPRODUCT(Mecze[[#This Row],[/PR:90]:[/BR:90]],Brudnopis!$E$25:$J$25),0)</f>
        <v>7.3684210526315796E-2</v>
      </c>
      <c r="V3055" s="44">
        <f>IF(Mecze[[#This Row],[Role]]&lt;&gt;"BR",SUMPRODUCT(Mecze[[#This Row],[/PR:90]:[/BR:90]],Brudnopis!$E$26:$J$26),0)</f>
        <v>5.2631578947368418E-2</v>
      </c>
      <c r="W3055" s="44">
        <f>IF(Mecze[[#This Row],[Role]]&lt;&gt;"BR",SUMPRODUCT(Mecze[[#This Row],[/PR:90]:[/BR:90]],Brudnopis!$E$27:$J$27),0)</f>
        <v>7.1052631578947367E-2</v>
      </c>
      <c r="X3055" s="44">
        <f>IF(Mecze[[#This Row],[Role]]&lt;&gt;"BR",SUMPRODUCT(Mecze[[#This Row],[/PR:90]:[/BR:90]],Brudnopis!$E$28:$J$28),0)</f>
        <v>4.2105263157894736E-2</v>
      </c>
      <c r="Y3055" s="35">
        <f>IF(Mecze[[#This Row],[Role]]="BR",Mecze[[#This Row],[/OB:90]]+Mecze[[#This Row],[/PC:90]],SUM(Mecze[[#This Row],[/PR:90]:[/BR:90]]))</f>
        <v>5.2631578947368418E-2</v>
      </c>
      <c r="Z3055" s="35">
        <f>IF(Mecze[[#This Row],[KC]]=0,SUM(Mecze[[#This Row],[/BRI]:[/NPI]]),SUM(Mecze[[#This Row],[/BRI]:[/NPI]])*0.6)</f>
        <v>0.29736842105263162</v>
      </c>
      <c r="AA3055" s="10">
        <f>IFERROR(Mecze[[#This Row],[BR]]/Mecze[[#This Row],[ST]],0)</f>
        <v>0</v>
      </c>
      <c r="AB3055">
        <f>ROUND(Mecze[[#This Row],[PD]]*Mecze[[#This Row],[%PC]],0)</f>
        <v>4</v>
      </c>
      <c r="AC3055">
        <f>ROUND(Mecze[[#This Row],[OD]]*Mecze[[#This Row],[%OU]],0)</f>
        <v>1</v>
      </c>
      <c r="AD3055" s="36" t="s">
        <v>44</v>
      </c>
      <c r="AE3055" s="36">
        <v>171</v>
      </c>
      <c r="AF3055" s="71">
        <v>3.91</v>
      </c>
      <c r="AG3055" s="37">
        <v>0</v>
      </c>
      <c r="AH3055" s="37">
        <v>0</v>
      </c>
      <c r="AI3055" s="37">
        <v>95</v>
      </c>
      <c r="AJ3055" s="37">
        <v>3</v>
      </c>
      <c r="AK3055" s="37" t="str">
        <f>VLOOKUP(Mecze[[#This Row],[Match ID]],Meczusie[Mecz]:Meczusie[RodzajMeczu],2,FALSE)</f>
        <v>Liga</v>
      </c>
    </row>
    <row r="3056" spans="1:37" x14ac:dyDescent="0.25">
      <c r="A3056" s="76">
        <v>8</v>
      </c>
      <c r="B3056" s="3" t="s">
        <v>269</v>
      </c>
      <c r="C3056" s="2" t="s">
        <v>165</v>
      </c>
      <c r="D3056" s="1">
        <v>0</v>
      </c>
      <c r="E3056" s="1">
        <v>1</v>
      </c>
      <c r="F3056" s="1">
        <v>1</v>
      </c>
      <c r="G3056" s="1">
        <v>16</v>
      </c>
      <c r="H3056" s="4">
        <v>0.75</v>
      </c>
      <c r="I3056" s="1">
        <v>7</v>
      </c>
      <c r="J3056" s="4">
        <v>0.56999999999999995</v>
      </c>
      <c r="K3056" s="1">
        <v>0</v>
      </c>
      <c r="L3056" s="1">
        <v>5</v>
      </c>
      <c r="M3056" s="32">
        <f>IF(Mecze[[#This Row],[PR]]=0,0,Mecze[[#This Row],[PR]]/Mecze[[#This Row],[CZAS]])</f>
        <v>5.2631578947368418E-2</v>
      </c>
      <c r="N3056" s="32">
        <f>IF(Mecze[[#This Row],[OU]]=0,0,Mecze[[#This Row],[OU]]/Mecze[[#This Row],[CZAS]])</f>
        <v>4.2105263157894736E-2</v>
      </c>
      <c r="O3056" s="32">
        <f>IF(Mecze[[#This Row],[PC]]=0,0,Mecze[[#This Row],[PC]]/Mecze[[#This Row],[CZAS]])</f>
        <v>0.12631578947368421</v>
      </c>
      <c r="P3056" s="32">
        <f>IF(Mecze[[#This Row],[SC]]=0,0,Mecze[[#This Row],[SC]]/Mecze[[#This Row],[CZAS]])</f>
        <v>1.0526315789473684E-2</v>
      </c>
      <c r="Q3056" s="32">
        <f>IF(Mecze[[#This Row],[OB]]=0,0,Mecze[[#This Row],[OB]]/Mecze[[#This Row],[CZAS]])</f>
        <v>0</v>
      </c>
      <c r="R3056" s="32">
        <f>IF(Mecze[[#This Row],[BR]]=0,0,Mecze[[#This Row],[BR]]/Mecze[[#This Row],[CZAS]])</f>
        <v>0</v>
      </c>
      <c r="S3056" s="44">
        <f>IF(Mecze[[#This Row],[Role]]="BR",SUMPRODUCT(Mecze[[#This Row],[/PR:90]:[/BR:90]],Brudnopis!$E$23:$J$23),0)</f>
        <v>0</v>
      </c>
      <c r="T3056" s="44">
        <f>IF(Mecze[[#This Row],[Role]]&lt;&gt;"BR",SUMPRODUCT(Mecze[[#This Row],[/PR:90]:[/BR:90]],Brudnopis!$E$24:$J$24),0)</f>
        <v>0.25263157894736843</v>
      </c>
      <c r="U3056" s="44">
        <f>IF(Mecze[[#This Row],[Role]]&lt;&gt;"BR",SUMPRODUCT(Mecze[[#This Row],[/PR:90]:[/BR:90]],Brudnopis!$E$25:$J$25),0)</f>
        <v>0.29473684210526313</v>
      </c>
      <c r="V3056" s="44">
        <f>IF(Mecze[[#This Row],[Role]]&lt;&gt;"BR",SUMPRODUCT(Mecze[[#This Row],[/PR:90]:[/BR:90]],Brudnopis!$E$26:$J$26),0)</f>
        <v>0.23157894736842105</v>
      </c>
      <c r="W3056" s="44">
        <f>IF(Mecze[[#This Row],[Role]]&lt;&gt;"BR",SUMPRODUCT(Mecze[[#This Row],[/PR:90]:[/BR:90]],Brudnopis!$E$27:$J$27),0)</f>
        <v>0.27105263157894738</v>
      </c>
      <c r="X3056" s="44">
        <f>IF(Mecze[[#This Row],[Role]]&lt;&gt;"BR",SUMPRODUCT(Mecze[[#This Row],[/PR:90]:[/BR:90]],Brudnopis!$E$28:$J$28),0)</f>
        <v>0.14736842105263159</v>
      </c>
      <c r="Y3056" s="35">
        <f>IF(Mecze[[#This Row],[Role]]="BR",Mecze[[#This Row],[/OB:90]]+Mecze[[#This Row],[/PC:90]],SUM(Mecze[[#This Row],[/PR:90]:[/BR:90]]))</f>
        <v>0.23157894736842105</v>
      </c>
      <c r="Z3056" s="35">
        <f>IF(Mecze[[#This Row],[KC]]=0,SUM(Mecze[[#This Row],[/BRI]:[/NPI]]),SUM(Mecze[[#This Row],[/BRI]:[/NPI]])*0.6)</f>
        <v>1.1973684210526316</v>
      </c>
      <c r="AA3056" s="10">
        <f>IFERROR(Mecze[[#This Row],[BR]]/Mecze[[#This Row],[ST]],0)</f>
        <v>0</v>
      </c>
      <c r="AB3056">
        <f>ROUND(Mecze[[#This Row],[PD]]*Mecze[[#This Row],[%PC]],0)</f>
        <v>12</v>
      </c>
      <c r="AC3056">
        <f>ROUND(Mecze[[#This Row],[OD]]*Mecze[[#This Row],[%OU]],0)</f>
        <v>4</v>
      </c>
      <c r="AD3056" s="36" t="s">
        <v>272</v>
      </c>
      <c r="AE3056" s="36">
        <v>171</v>
      </c>
      <c r="AF3056" s="71">
        <v>3.15</v>
      </c>
      <c r="AG3056" s="37">
        <v>1</v>
      </c>
      <c r="AH3056" s="37">
        <v>0</v>
      </c>
      <c r="AI3056" s="37">
        <v>95</v>
      </c>
      <c r="AJ3056" s="37">
        <v>3</v>
      </c>
      <c r="AK3056" s="37" t="str">
        <f>VLOOKUP(Mecze[[#This Row],[Match ID]],Meczusie[Mecz]:Meczusie[RodzajMeczu],2,FALSE)</f>
        <v>Liga</v>
      </c>
    </row>
    <row r="3057" spans="1:37" x14ac:dyDescent="0.25">
      <c r="A3057" s="76">
        <v>11</v>
      </c>
      <c r="B3057" s="3" t="s">
        <v>270</v>
      </c>
      <c r="C3057" s="2" t="s">
        <v>165</v>
      </c>
      <c r="D3057" s="1">
        <v>1</v>
      </c>
      <c r="E3057" s="1">
        <v>6</v>
      </c>
      <c r="F3057" s="1">
        <v>6</v>
      </c>
      <c r="G3057" s="1">
        <v>10</v>
      </c>
      <c r="H3057" s="4">
        <v>0.5</v>
      </c>
      <c r="I3057" s="1">
        <v>1</v>
      </c>
      <c r="J3057" s="4">
        <v>1</v>
      </c>
      <c r="K3057" s="1">
        <v>0</v>
      </c>
      <c r="L3057" s="1">
        <v>0</v>
      </c>
      <c r="M3057" s="32">
        <f>IF(Mecze[[#This Row],[PR]]=0,0,Mecze[[#This Row],[PR]]/Mecze[[#This Row],[CZAS]])</f>
        <v>0</v>
      </c>
      <c r="N3057" s="32">
        <f>IF(Mecze[[#This Row],[OU]]=0,0,Mecze[[#This Row],[OU]]/Mecze[[#This Row],[CZAS]])</f>
        <v>1.0526315789473684E-2</v>
      </c>
      <c r="O3057" s="32">
        <f>IF(Mecze[[#This Row],[PC]]=0,0,Mecze[[#This Row],[PC]]/Mecze[[#This Row],[CZAS]])</f>
        <v>5.2631578947368418E-2</v>
      </c>
      <c r="P3057" s="32">
        <f>IF(Mecze[[#This Row],[SC]]=0,0,Mecze[[#This Row],[SC]]/Mecze[[#This Row],[CZAS]])</f>
        <v>6.3157894736842107E-2</v>
      </c>
      <c r="Q3057" s="32">
        <f>IF(Mecze[[#This Row],[OB]]=0,0,Mecze[[#This Row],[OB]]/Mecze[[#This Row],[CZAS]])</f>
        <v>0</v>
      </c>
      <c r="R3057" s="32">
        <f>IF(Mecze[[#This Row],[BR]]=0,0,Mecze[[#This Row],[BR]]/Mecze[[#This Row],[CZAS]])</f>
        <v>1.0526315789473684E-2</v>
      </c>
      <c r="S3057" s="44">
        <f>IF(Mecze[[#This Row],[Role]]="BR",SUMPRODUCT(Mecze[[#This Row],[/PR:90]:[/BR:90]],Brudnopis!$E$23:$J$23),0)</f>
        <v>0</v>
      </c>
      <c r="T3057" s="44">
        <f>IF(Mecze[[#This Row],[Role]]&lt;&gt;"BR",SUMPRODUCT(Mecze[[#This Row],[/PR:90]:[/BR:90]],Brudnopis!$E$24:$J$24),0)</f>
        <v>0.14736842105263157</v>
      </c>
      <c r="U3057" s="44">
        <f>IF(Mecze[[#This Row],[Role]]&lt;&gt;"BR",SUMPRODUCT(Mecze[[#This Row],[/PR:90]:[/BR:90]],Brudnopis!$E$25:$J$25),0)</f>
        <v>0.16842105263157894</v>
      </c>
      <c r="V3057" s="44">
        <f>IF(Mecze[[#This Row],[Role]]&lt;&gt;"BR",SUMPRODUCT(Mecze[[#This Row],[/PR:90]:[/BR:90]],Brudnopis!$E$26:$J$26),0)</f>
        <v>0.14736842105263159</v>
      </c>
      <c r="W3057" s="44">
        <f>IF(Mecze[[#This Row],[Role]]&lt;&gt;"BR",SUMPRODUCT(Mecze[[#This Row],[/PR:90]:[/BR:90]],Brudnopis!$E$27:$J$27),0)</f>
        <v>0.17105263157894737</v>
      </c>
      <c r="X3057" s="44">
        <f>IF(Mecze[[#This Row],[Role]]&lt;&gt;"BR",SUMPRODUCT(Mecze[[#This Row],[/PR:90]:[/BR:90]],Brudnopis!$E$28:$J$28),0)</f>
        <v>0.21052631578947367</v>
      </c>
      <c r="Y3057" s="35">
        <f>IF(Mecze[[#This Row],[Role]]="BR",Mecze[[#This Row],[/OB:90]]+Mecze[[#This Row],[/PC:90]],SUM(Mecze[[#This Row],[/PR:90]:[/BR:90]]))</f>
        <v>0.1368421052631579</v>
      </c>
      <c r="Z3057" s="35">
        <f>IF(Mecze[[#This Row],[KC]]=0,SUM(Mecze[[#This Row],[/BRI]:[/NPI]]),SUM(Mecze[[#This Row],[/BRI]:[/NPI]])*0.6)</f>
        <v>0.84473684210526312</v>
      </c>
      <c r="AA3057" s="10">
        <f>IFERROR(Mecze[[#This Row],[BR]]/Mecze[[#This Row],[ST]],0)</f>
        <v>0.16666666666666666</v>
      </c>
      <c r="AB3057">
        <f>ROUND(Mecze[[#This Row],[PD]]*Mecze[[#This Row],[%PC]],0)</f>
        <v>5</v>
      </c>
      <c r="AC3057">
        <f>ROUND(Mecze[[#This Row],[OD]]*Mecze[[#This Row],[%OU]],0)</f>
        <v>1</v>
      </c>
      <c r="AD3057" s="36" t="s">
        <v>273</v>
      </c>
      <c r="AE3057" s="36">
        <v>171</v>
      </c>
      <c r="AF3057" s="71">
        <v>7.66</v>
      </c>
      <c r="AG3057" s="37">
        <v>0</v>
      </c>
      <c r="AH3057" s="37">
        <v>0</v>
      </c>
      <c r="AI3057" s="37">
        <v>95</v>
      </c>
      <c r="AJ3057" s="37">
        <v>3</v>
      </c>
      <c r="AK3057" s="37" t="str">
        <f>VLOOKUP(Mecze[[#This Row],[Match ID]],Meczusie[Mecz]:Meczusie[RodzajMeczu],2,FALSE)</f>
        <v>Liga</v>
      </c>
    </row>
    <row r="3058" spans="1:37" x14ac:dyDescent="0.25">
      <c r="A3058" s="76">
        <v>10</v>
      </c>
      <c r="B3058" s="3" t="s">
        <v>271</v>
      </c>
      <c r="C3058" s="2" t="s">
        <v>165</v>
      </c>
      <c r="D3058" s="1">
        <v>0</v>
      </c>
      <c r="E3058" s="1">
        <v>2</v>
      </c>
      <c r="F3058" s="1">
        <v>2</v>
      </c>
      <c r="G3058" s="1">
        <v>8</v>
      </c>
      <c r="H3058" s="4">
        <v>1</v>
      </c>
      <c r="I3058" s="1">
        <v>2</v>
      </c>
      <c r="J3058" s="4">
        <v>0</v>
      </c>
      <c r="K3058" s="1">
        <v>0</v>
      </c>
      <c r="L3058" s="1">
        <v>0</v>
      </c>
      <c r="M3058" s="32">
        <f>IF(Mecze[[#This Row],[PR]]=0,0,Mecze[[#This Row],[PR]]/Mecze[[#This Row],[CZAS]])</f>
        <v>0</v>
      </c>
      <c r="N3058" s="32">
        <f>IF(Mecze[[#This Row],[OU]]=0,0,Mecze[[#This Row],[OU]]/Mecze[[#This Row],[CZAS]])</f>
        <v>0</v>
      </c>
      <c r="O3058" s="32">
        <f>IF(Mecze[[#This Row],[PC]]=0,0,Mecze[[#This Row],[PC]]/Mecze[[#This Row],[CZAS]])</f>
        <v>8.4210526315789472E-2</v>
      </c>
      <c r="P3058" s="32">
        <f>IF(Mecze[[#This Row],[SC]]=0,0,Mecze[[#This Row],[SC]]/Mecze[[#This Row],[CZAS]])</f>
        <v>2.1052631578947368E-2</v>
      </c>
      <c r="Q3058" s="32">
        <f>IF(Mecze[[#This Row],[OB]]=0,0,Mecze[[#This Row],[OB]]/Mecze[[#This Row],[CZAS]])</f>
        <v>0</v>
      </c>
      <c r="R3058" s="32">
        <f>IF(Mecze[[#This Row],[BR]]=0,0,Mecze[[#This Row],[BR]]/Mecze[[#This Row],[CZAS]])</f>
        <v>0</v>
      </c>
      <c r="S3058" s="44">
        <f>IF(Mecze[[#This Row],[Role]]="BR",SUMPRODUCT(Mecze[[#This Row],[/PR:90]:[/BR:90]],Brudnopis!$E$23:$J$23),0)</f>
        <v>0</v>
      </c>
      <c r="T3058" s="44">
        <f>IF(Mecze[[#This Row],[Role]]&lt;&gt;"BR",SUMPRODUCT(Mecze[[#This Row],[/PR:90]:[/BR:90]],Brudnopis!$E$24:$J$24),0)</f>
        <v>0.10526315789473684</v>
      </c>
      <c r="U3058" s="44">
        <f>IF(Mecze[[#This Row],[Role]]&lt;&gt;"BR",SUMPRODUCT(Mecze[[#This Row],[/PR:90]:[/BR:90]],Brudnopis!$E$25:$J$25),0)</f>
        <v>0.14736842105263159</v>
      </c>
      <c r="V3058" s="44">
        <f>IF(Mecze[[#This Row],[Role]]&lt;&gt;"BR",SUMPRODUCT(Mecze[[#This Row],[/PR:90]:[/BR:90]],Brudnopis!$E$26:$J$26),0)</f>
        <v>0.10526315789473684</v>
      </c>
      <c r="W3058" s="44">
        <f>IF(Mecze[[#This Row],[Role]]&lt;&gt;"BR",SUMPRODUCT(Mecze[[#This Row],[/PR:90]:[/BR:90]],Brudnopis!$E$27:$J$27),0)</f>
        <v>0.14736842105263159</v>
      </c>
      <c r="X3058" s="44">
        <f>IF(Mecze[[#This Row],[Role]]&lt;&gt;"BR",SUMPRODUCT(Mecze[[#This Row],[/PR:90]:[/BR:90]],Brudnopis!$E$28:$J$28),0)</f>
        <v>0.12631578947368421</v>
      </c>
      <c r="Y3058" s="35">
        <f>IF(Mecze[[#This Row],[Role]]="BR",Mecze[[#This Row],[/OB:90]]+Mecze[[#This Row],[/PC:90]],SUM(Mecze[[#This Row],[/PR:90]:[/BR:90]]))</f>
        <v>0.10526315789473684</v>
      </c>
      <c r="Z3058" s="35">
        <f>IF(Mecze[[#This Row],[KC]]=0,SUM(Mecze[[#This Row],[/BRI]:[/NPI]]),SUM(Mecze[[#This Row],[/BRI]:[/NPI]])*0.6)</f>
        <v>0.63157894736842102</v>
      </c>
      <c r="AA3058" s="10">
        <f>IFERROR(Mecze[[#This Row],[BR]]/Mecze[[#This Row],[ST]],0)</f>
        <v>0</v>
      </c>
      <c r="AB3058">
        <f>ROUND(Mecze[[#This Row],[PD]]*Mecze[[#This Row],[%PC]],0)</f>
        <v>8</v>
      </c>
      <c r="AC3058">
        <f>ROUND(Mecze[[#This Row],[OD]]*Mecze[[#This Row],[%OU]],0)</f>
        <v>0</v>
      </c>
      <c r="AD3058" s="36" t="s">
        <v>46</v>
      </c>
      <c r="AE3058" s="36">
        <v>171</v>
      </c>
      <c r="AF3058" s="71">
        <v>6.29</v>
      </c>
      <c r="AG3058" s="37">
        <v>0</v>
      </c>
      <c r="AH3058" s="37">
        <v>0</v>
      </c>
      <c r="AI3058" s="37">
        <v>95</v>
      </c>
      <c r="AJ3058" s="37">
        <v>3</v>
      </c>
      <c r="AK3058" s="37" t="str">
        <f>VLOOKUP(Mecze[[#This Row],[Match ID]],Meczusie[Mecz]:Meczusie[RodzajMeczu],2,FALSE)</f>
        <v>Liga</v>
      </c>
    </row>
    <row r="3059" spans="1:37" x14ac:dyDescent="0.25">
      <c r="A3059" s="76">
        <v>1</v>
      </c>
      <c r="B3059" s="3" t="s">
        <v>344</v>
      </c>
      <c r="C3059" s="2" t="s">
        <v>155</v>
      </c>
      <c r="D3059" s="1">
        <v>0</v>
      </c>
      <c r="E3059" s="1">
        <v>0</v>
      </c>
      <c r="F3059" s="1">
        <v>0</v>
      </c>
      <c r="G3059" s="1">
        <v>5</v>
      </c>
      <c r="H3059" s="4">
        <v>0.8</v>
      </c>
      <c r="I3059" s="1">
        <v>0</v>
      </c>
      <c r="J3059" s="4"/>
      <c r="K3059" s="1">
        <v>8</v>
      </c>
      <c r="L3059" s="1">
        <v>0</v>
      </c>
      <c r="M3059" s="32">
        <f>IF(Mecze[[#This Row],[PR]]=0,0,Mecze[[#This Row],[PR]]/Mecze[[#This Row],[CZAS]])</f>
        <v>0</v>
      </c>
      <c r="N3059" s="32">
        <f>IF(Mecze[[#This Row],[OU]]=0,0,Mecze[[#This Row],[OU]]/Mecze[[#This Row],[CZAS]])</f>
        <v>0</v>
      </c>
      <c r="O3059" s="32">
        <f>IF(Mecze[[#This Row],[PC]]=0,0,Mecze[[#This Row],[PC]]/Mecze[[#This Row],[CZAS]])</f>
        <v>4.2105263157894736E-2</v>
      </c>
      <c r="P3059" s="32">
        <f>IF(Mecze[[#This Row],[SC]]=0,0,Mecze[[#This Row],[SC]]/Mecze[[#This Row],[CZAS]])</f>
        <v>0</v>
      </c>
      <c r="Q3059" s="32">
        <f>IF(Mecze[[#This Row],[OB]]=0,0,Mecze[[#This Row],[OB]]/Mecze[[#This Row],[CZAS]])</f>
        <v>8.4210526315789472E-2</v>
      </c>
      <c r="R3059" s="32">
        <f>IF(Mecze[[#This Row],[BR]]=0,0,Mecze[[#This Row],[BR]]/Mecze[[#This Row],[CZAS]])</f>
        <v>0</v>
      </c>
      <c r="S3059" s="44">
        <f>IF(Mecze[[#This Row],[Role]]="BR",SUMPRODUCT(Mecze[[#This Row],[/PR:90]:[/BR:90]],Brudnopis!$E$23:$J$23),0)</f>
        <v>0.37894736842105264</v>
      </c>
      <c r="T3059" s="44">
        <f>IF(Mecze[[#This Row],[Role]]&lt;&gt;"BR",SUMPRODUCT(Mecze[[#This Row],[/PR:90]:[/BR:90]],Brudnopis!$E$24:$J$24),0)</f>
        <v>0</v>
      </c>
      <c r="U3059" s="44">
        <f>IF(Mecze[[#This Row],[Role]]&lt;&gt;"BR",SUMPRODUCT(Mecze[[#This Row],[/PR:90]:[/BR:90]],Brudnopis!$E$25:$J$25),0)</f>
        <v>0</v>
      </c>
      <c r="V3059" s="44">
        <f>IF(Mecze[[#This Row],[Role]]&lt;&gt;"BR",SUMPRODUCT(Mecze[[#This Row],[/PR:90]:[/BR:90]],Brudnopis!$E$26:$J$26),0)</f>
        <v>0</v>
      </c>
      <c r="W3059" s="44">
        <f>IF(Mecze[[#This Row],[Role]]&lt;&gt;"BR",SUMPRODUCT(Mecze[[#This Row],[/PR:90]:[/BR:90]],Brudnopis!$E$27:$J$27),0)</f>
        <v>0</v>
      </c>
      <c r="X3059" s="44">
        <f>IF(Mecze[[#This Row],[Role]]&lt;&gt;"BR",SUMPRODUCT(Mecze[[#This Row],[/PR:90]:[/BR:90]],Brudnopis!$E$28:$J$28),0)</f>
        <v>0</v>
      </c>
      <c r="Y3059" s="35">
        <f>IF(Mecze[[#This Row],[Role]]="BR",Mecze[[#This Row],[/OB:90]]+Mecze[[#This Row],[/PC:90]],SUM(Mecze[[#This Row],[/PR:90]:[/BR:90]]))</f>
        <v>0.12631578947368421</v>
      </c>
      <c r="Z3059" s="35">
        <f>IF(Mecze[[#This Row],[KC]]=0,SUM(Mecze[[#This Row],[/BRI]:[/NPI]]),SUM(Mecze[[#This Row],[/BRI]:[/NPI]])*0.6)</f>
        <v>0.37894736842105264</v>
      </c>
      <c r="AA3059" s="10">
        <f>IFERROR(Mecze[[#This Row],[BR]]/Mecze[[#This Row],[ST]],0)</f>
        <v>0</v>
      </c>
      <c r="AB3059">
        <f>ROUND(Mecze[[#This Row],[PD]]*Mecze[[#This Row],[%PC]],0)</f>
        <v>4</v>
      </c>
      <c r="AC3059">
        <f>ROUND(Mecze[[#This Row],[OD]]*Mecze[[#This Row],[%OU]],0)</f>
        <v>0</v>
      </c>
      <c r="AD3059" s="36" t="s">
        <v>40</v>
      </c>
      <c r="AE3059" s="36">
        <v>171</v>
      </c>
      <c r="AF3059" s="71">
        <v>8.83</v>
      </c>
      <c r="AG3059" s="37">
        <v>0</v>
      </c>
      <c r="AH3059" s="37">
        <v>0</v>
      </c>
      <c r="AI3059" s="37">
        <v>95</v>
      </c>
      <c r="AJ3059" s="37">
        <v>5</v>
      </c>
      <c r="AK3059" s="37" t="str">
        <f>VLOOKUP(Mecze[[#This Row],[Match ID]],Meczusie[Mecz]:Meczusie[RodzajMeczu],2,FALSE)</f>
        <v>Liga</v>
      </c>
    </row>
    <row r="3060" spans="1:37" x14ac:dyDescent="0.25">
      <c r="A3060" s="76">
        <v>6</v>
      </c>
      <c r="B3060" s="3" t="s">
        <v>349</v>
      </c>
      <c r="C3060" s="2" t="s">
        <v>157</v>
      </c>
      <c r="D3060" s="1">
        <v>0</v>
      </c>
      <c r="E3060" s="1">
        <v>0</v>
      </c>
      <c r="F3060" s="1">
        <v>0</v>
      </c>
      <c r="G3060" s="1">
        <v>5</v>
      </c>
      <c r="H3060" s="4">
        <v>0.6</v>
      </c>
      <c r="I3060" s="1">
        <v>2</v>
      </c>
      <c r="J3060" s="4">
        <v>0.5</v>
      </c>
      <c r="K3060" s="1">
        <v>0</v>
      </c>
      <c r="L3060" s="1">
        <v>5</v>
      </c>
      <c r="M3060" s="32">
        <f>IF(Mecze[[#This Row],[PR]]=0,0,Mecze[[#This Row],[PR]]/Mecze[[#This Row],[CZAS]])</f>
        <v>5.2631578947368418E-2</v>
      </c>
      <c r="N3060" s="32">
        <f>IF(Mecze[[#This Row],[OU]]=0,0,Mecze[[#This Row],[OU]]/Mecze[[#This Row],[CZAS]])</f>
        <v>1.0526315789473684E-2</v>
      </c>
      <c r="O3060" s="32">
        <f>IF(Mecze[[#This Row],[PC]]=0,0,Mecze[[#This Row],[PC]]/Mecze[[#This Row],[CZAS]])</f>
        <v>3.1578947368421054E-2</v>
      </c>
      <c r="P3060" s="32">
        <f>IF(Mecze[[#This Row],[SC]]=0,0,Mecze[[#This Row],[SC]]/Mecze[[#This Row],[CZAS]])</f>
        <v>0</v>
      </c>
      <c r="Q3060" s="32">
        <f>IF(Mecze[[#This Row],[OB]]=0,0,Mecze[[#This Row],[OB]]/Mecze[[#This Row],[CZAS]])</f>
        <v>0</v>
      </c>
      <c r="R3060" s="32">
        <f>IF(Mecze[[#This Row],[BR]]=0,0,Mecze[[#This Row],[BR]]/Mecze[[#This Row],[CZAS]])</f>
        <v>0</v>
      </c>
      <c r="S3060" s="44">
        <f>IF(Mecze[[#This Row],[Role]]="BR",SUMPRODUCT(Mecze[[#This Row],[/PR:90]:[/BR:90]],Brudnopis!$E$23:$J$23),0)</f>
        <v>0</v>
      </c>
      <c r="T3060" s="44">
        <f>IF(Mecze[[#This Row],[Role]]&lt;&gt;"BR",SUMPRODUCT(Mecze[[#This Row],[/PR:90]:[/BR:90]],Brudnopis!$E$24:$J$24),0)</f>
        <v>9.9999999999999992E-2</v>
      </c>
      <c r="U3060" s="44">
        <f>IF(Mecze[[#This Row],[Role]]&lt;&gt;"BR",SUMPRODUCT(Mecze[[#This Row],[/PR:90]:[/BR:90]],Brudnopis!$E$25:$J$25),0)</f>
        <v>0.11052631578947369</v>
      </c>
      <c r="V3060" s="44">
        <f>IF(Mecze[[#This Row],[Role]]&lt;&gt;"BR",SUMPRODUCT(Mecze[[#This Row],[/PR:90]:[/BR:90]],Brudnopis!$E$26:$J$26),0)</f>
        <v>9.4736842105263161E-2</v>
      </c>
      <c r="W3060" s="44">
        <f>IF(Mecze[[#This Row],[Role]]&lt;&gt;"BR",SUMPRODUCT(Mecze[[#This Row],[/PR:90]:[/BR:90]],Brudnopis!$E$27:$J$27),0)</f>
        <v>9.4736842105263147E-2</v>
      </c>
      <c r="X3060" s="44">
        <f>IF(Mecze[[#This Row],[Role]]&lt;&gt;"BR",SUMPRODUCT(Mecze[[#This Row],[/PR:90]:[/BR:90]],Brudnopis!$E$28:$J$28),0)</f>
        <v>3.1578947368421054E-2</v>
      </c>
      <c r="Y3060" s="35">
        <f>IF(Mecze[[#This Row],[Role]]="BR",Mecze[[#This Row],[/OB:90]]+Mecze[[#This Row],[/PC:90]],SUM(Mecze[[#This Row],[/PR:90]:[/BR:90]]))</f>
        <v>9.4736842105263161E-2</v>
      </c>
      <c r="Z3060" s="35">
        <f>IF(Mecze[[#This Row],[KC]]=0,SUM(Mecze[[#This Row],[/BRI]:[/NPI]]),SUM(Mecze[[#This Row],[/BRI]:[/NPI]])*0.6)</f>
        <v>0.43157894736842106</v>
      </c>
      <c r="AA3060" s="10">
        <f>IFERROR(Mecze[[#This Row],[BR]]/Mecze[[#This Row],[ST]],0)</f>
        <v>0</v>
      </c>
      <c r="AB3060">
        <f>ROUND(Mecze[[#This Row],[PD]]*Mecze[[#This Row],[%PC]],0)</f>
        <v>3</v>
      </c>
      <c r="AC3060">
        <f>ROUND(Mecze[[#This Row],[OD]]*Mecze[[#This Row],[%OU]],0)</f>
        <v>1</v>
      </c>
      <c r="AD3060" s="36" t="s">
        <v>47</v>
      </c>
      <c r="AE3060" s="36">
        <v>171</v>
      </c>
      <c r="AF3060" s="71">
        <v>4.97</v>
      </c>
      <c r="AG3060" s="37">
        <v>0</v>
      </c>
      <c r="AH3060" s="37">
        <v>0</v>
      </c>
      <c r="AI3060" s="37">
        <v>95</v>
      </c>
      <c r="AJ3060" s="37">
        <v>5</v>
      </c>
      <c r="AK3060" s="37" t="str">
        <f>VLOOKUP(Mecze[[#This Row],[Match ID]],Meczusie[Mecz]:Meczusie[RodzajMeczu],2,FALSE)</f>
        <v>Liga</v>
      </c>
    </row>
    <row r="3061" spans="1:37" x14ac:dyDescent="0.25">
      <c r="A3061" s="76">
        <v>4</v>
      </c>
      <c r="B3061" s="3" t="s">
        <v>346</v>
      </c>
      <c r="C3061" s="2" t="s">
        <v>157</v>
      </c>
      <c r="D3061" s="1">
        <v>0</v>
      </c>
      <c r="E3061" s="1">
        <v>0</v>
      </c>
      <c r="F3061" s="1">
        <v>0</v>
      </c>
      <c r="G3061" s="1">
        <v>16</v>
      </c>
      <c r="H3061" s="4">
        <v>0.88</v>
      </c>
      <c r="I3061" s="1">
        <v>9</v>
      </c>
      <c r="J3061" s="4">
        <v>0.56000000000000005</v>
      </c>
      <c r="K3061" s="1">
        <v>0</v>
      </c>
      <c r="L3061" s="1">
        <v>10</v>
      </c>
      <c r="M3061" s="32">
        <f>IF(Mecze[[#This Row],[PR]]=0,0,Mecze[[#This Row],[PR]]/Mecze[[#This Row],[CZAS]])</f>
        <v>0.10526315789473684</v>
      </c>
      <c r="N3061" s="32">
        <f>IF(Mecze[[#This Row],[OU]]=0,0,Mecze[[#This Row],[OU]]/Mecze[[#This Row],[CZAS]])</f>
        <v>5.2631578947368418E-2</v>
      </c>
      <c r="O3061" s="32">
        <f>IF(Mecze[[#This Row],[PC]]=0,0,Mecze[[#This Row],[PC]]/Mecze[[#This Row],[CZAS]])</f>
        <v>0.14736842105263157</v>
      </c>
      <c r="P3061" s="32">
        <f>IF(Mecze[[#This Row],[SC]]=0,0,Mecze[[#This Row],[SC]]/Mecze[[#This Row],[CZAS]])</f>
        <v>0</v>
      </c>
      <c r="Q3061" s="32">
        <f>IF(Mecze[[#This Row],[OB]]=0,0,Mecze[[#This Row],[OB]]/Mecze[[#This Row],[CZAS]])</f>
        <v>0</v>
      </c>
      <c r="R3061" s="32">
        <f>IF(Mecze[[#This Row],[BR]]=0,0,Mecze[[#This Row],[BR]]/Mecze[[#This Row],[CZAS]])</f>
        <v>0</v>
      </c>
      <c r="S3061" s="44">
        <f>IF(Mecze[[#This Row],[Role]]="BR",SUMPRODUCT(Mecze[[#This Row],[/PR:90]:[/BR:90]],Brudnopis!$E$23:$J$23),0)</f>
        <v>0</v>
      </c>
      <c r="T3061" s="44">
        <f>IF(Mecze[[#This Row],[Role]]&lt;&gt;"BR",SUMPRODUCT(Mecze[[#This Row],[/PR:90]:[/BR:90]],Brudnopis!$E$24:$J$24),0)</f>
        <v>0.33157894736842103</v>
      </c>
      <c r="U3061" s="44">
        <f>IF(Mecze[[#This Row],[Role]]&lt;&gt;"BR",SUMPRODUCT(Mecze[[#This Row],[/PR:90]:[/BR:90]],Brudnopis!$E$25:$J$25),0)</f>
        <v>0.37894736842105259</v>
      </c>
      <c r="V3061" s="44">
        <f>IF(Mecze[[#This Row],[Role]]&lt;&gt;"BR",SUMPRODUCT(Mecze[[#This Row],[/PR:90]:[/BR:90]],Brudnopis!$E$26:$J$26),0)</f>
        <v>0.30526315789473679</v>
      </c>
      <c r="W3061" s="44">
        <f>IF(Mecze[[#This Row],[Role]]&lt;&gt;"BR",SUMPRODUCT(Mecze[[#This Row],[/PR:90]:[/BR:90]],Brudnopis!$E$27:$J$27),0)</f>
        <v>0.33947368421052626</v>
      </c>
      <c r="X3061" s="44">
        <f>IF(Mecze[[#This Row],[Role]]&lt;&gt;"BR",SUMPRODUCT(Mecze[[#This Row],[/PR:90]:[/BR:90]],Brudnopis!$E$28:$J$28),0)</f>
        <v>0.14736842105263157</v>
      </c>
      <c r="Y3061" s="35">
        <f>IF(Mecze[[#This Row],[Role]]="BR",Mecze[[#This Row],[/OB:90]]+Mecze[[#This Row],[/PC:90]],SUM(Mecze[[#This Row],[/PR:90]:[/BR:90]]))</f>
        <v>0.30526315789473679</v>
      </c>
      <c r="Z3061" s="35">
        <f>IF(Mecze[[#This Row],[KC]]=0,SUM(Mecze[[#This Row],[/BRI]:[/NPI]]),SUM(Mecze[[#This Row],[/BRI]:[/NPI]])*0.6)</f>
        <v>1.5026315789473683</v>
      </c>
      <c r="AA3061" s="10">
        <f>IFERROR(Mecze[[#This Row],[BR]]/Mecze[[#This Row],[ST]],0)</f>
        <v>0</v>
      </c>
      <c r="AB3061">
        <f>ROUND(Mecze[[#This Row],[PD]]*Mecze[[#This Row],[%PC]],0)</f>
        <v>14</v>
      </c>
      <c r="AC3061">
        <f>ROUND(Mecze[[#This Row],[OD]]*Mecze[[#This Row],[%OU]],0)</f>
        <v>5</v>
      </c>
      <c r="AD3061" s="36" t="s">
        <v>47</v>
      </c>
      <c r="AE3061" s="36">
        <v>171</v>
      </c>
      <c r="AF3061" s="71">
        <v>7.14</v>
      </c>
      <c r="AG3061" s="37">
        <v>0</v>
      </c>
      <c r="AH3061" s="37">
        <v>0</v>
      </c>
      <c r="AI3061" s="37">
        <v>95</v>
      </c>
      <c r="AJ3061" s="37">
        <v>5</v>
      </c>
      <c r="AK3061" s="37" t="str">
        <f>VLOOKUP(Mecze[[#This Row],[Match ID]],Meczusie[Mecz]:Meczusie[RodzajMeczu],2,FALSE)</f>
        <v>Liga</v>
      </c>
    </row>
    <row r="3062" spans="1:37" x14ac:dyDescent="0.25">
      <c r="A3062" s="76">
        <v>3</v>
      </c>
      <c r="B3062" s="3" t="s">
        <v>348</v>
      </c>
      <c r="C3062" s="2" t="s">
        <v>157</v>
      </c>
      <c r="D3062" s="1">
        <v>0</v>
      </c>
      <c r="E3062" s="1">
        <v>0</v>
      </c>
      <c r="F3062" s="1">
        <v>0</v>
      </c>
      <c r="G3062" s="1">
        <v>0</v>
      </c>
      <c r="H3062" s="72"/>
      <c r="I3062" s="1">
        <v>0</v>
      </c>
      <c r="J3062" s="4"/>
      <c r="K3062" s="1">
        <v>0</v>
      </c>
      <c r="L3062" s="1">
        <v>0</v>
      </c>
      <c r="M3062" s="32">
        <f>IF(Mecze[[#This Row],[PR]]=0,0,Mecze[[#This Row],[PR]]/Mecze[[#This Row],[CZAS]])</f>
        <v>0</v>
      </c>
      <c r="N3062" s="32">
        <f>IF(Mecze[[#This Row],[OU]]=0,0,Mecze[[#This Row],[OU]]/Mecze[[#This Row],[CZAS]])</f>
        <v>0</v>
      </c>
      <c r="O3062" s="32">
        <f>IF(Mecze[[#This Row],[PC]]=0,0,Mecze[[#This Row],[PC]]/Mecze[[#This Row],[CZAS]])</f>
        <v>0</v>
      </c>
      <c r="P3062" s="32">
        <f>IF(Mecze[[#This Row],[SC]]=0,0,Mecze[[#This Row],[SC]]/Mecze[[#This Row],[CZAS]])</f>
        <v>0</v>
      </c>
      <c r="Q3062" s="32">
        <f>IF(Mecze[[#This Row],[OB]]=0,0,Mecze[[#This Row],[OB]]/Mecze[[#This Row],[CZAS]])</f>
        <v>0</v>
      </c>
      <c r="R3062" s="32">
        <f>IF(Mecze[[#This Row],[BR]]=0,0,Mecze[[#This Row],[BR]]/Mecze[[#This Row],[CZAS]])</f>
        <v>0</v>
      </c>
      <c r="S3062" s="44">
        <f>IF(Mecze[[#This Row],[Role]]="BR",SUMPRODUCT(Mecze[[#This Row],[/PR:90]:[/BR:90]],Brudnopis!$E$23:$J$23),0)</f>
        <v>0</v>
      </c>
      <c r="T3062" s="44">
        <f>IF(Mecze[[#This Row],[Role]]&lt;&gt;"BR",SUMPRODUCT(Mecze[[#This Row],[/PR:90]:[/BR:90]],Brudnopis!$E$24:$J$24),0)</f>
        <v>0</v>
      </c>
      <c r="U3062" s="44">
        <f>IF(Mecze[[#This Row],[Role]]&lt;&gt;"BR",SUMPRODUCT(Mecze[[#This Row],[/PR:90]:[/BR:90]],Brudnopis!$E$25:$J$25),0)</f>
        <v>0</v>
      </c>
      <c r="V3062" s="44">
        <f>IF(Mecze[[#This Row],[Role]]&lt;&gt;"BR",SUMPRODUCT(Mecze[[#This Row],[/PR:90]:[/BR:90]],Brudnopis!$E$26:$J$26),0)</f>
        <v>0</v>
      </c>
      <c r="W3062" s="44">
        <f>IF(Mecze[[#This Row],[Role]]&lt;&gt;"BR",SUMPRODUCT(Mecze[[#This Row],[/PR:90]:[/BR:90]],Brudnopis!$E$27:$J$27),0)</f>
        <v>0</v>
      </c>
      <c r="X3062" s="44">
        <f>IF(Mecze[[#This Row],[Role]]&lt;&gt;"BR",SUMPRODUCT(Mecze[[#This Row],[/PR:90]:[/BR:90]],Brudnopis!$E$28:$J$28),0)</f>
        <v>0</v>
      </c>
      <c r="Y3062" s="35">
        <f>IF(Mecze[[#This Row],[Role]]="BR",Mecze[[#This Row],[/OB:90]]+Mecze[[#This Row],[/PC:90]],SUM(Mecze[[#This Row],[/PR:90]:[/BR:90]]))</f>
        <v>0</v>
      </c>
      <c r="Z3062" s="35">
        <f>IF(Mecze[[#This Row],[KC]]=0,SUM(Mecze[[#This Row],[/BRI]:[/NPI]]),SUM(Mecze[[#This Row],[/BRI]:[/NPI]])*0.6)</f>
        <v>0</v>
      </c>
      <c r="AA3062" s="10">
        <f>IFERROR(Mecze[[#This Row],[BR]]/Mecze[[#This Row],[ST]],0)</f>
        <v>0</v>
      </c>
      <c r="AB3062">
        <f>ROUND(Mecze[[#This Row],[PD]]*Mecze[[#This Row],[%PC]],0)</f>
        <v>0</v>
      </c>
      <c r="AC3062">
        <f>ROUND(Mecze[[#This Row],[OD]]*Mecze[[#This Row],[%OU]],0)</f>
        <v>0</v>
      </c>
      <c r="AD3062" s="36" t="s">
        <v>174</v>
      </c>
      <c r="AE3062" s="36">
        <v>171</v>
      </c>
      <c r="AF3062" s="71">
        <v>3.92</v>
      </c>
      <c r="AG3062" s="37">
        <v>0</v>
      </c>
      <c r="AH3062" s="37">
        <v>0</v>
      </c>
      <c r="AI3062" s="37">
        <v>95</v>
      </c>
      <c r="AJ3062" s="37">
        <v>5</v>
      </c>
      <c r="AK3062" s="37" t="str">
        <f>VLOOKUP(Mecze[[#This Row],[Match ID]],Meczusie[Mecz]:Meczusie[RodzajMeczu],2,FALSE)</f>
        <v>Liga</v>
      </c>
    </row>
    <row r="3063" spans="1:37" x14ac:dyDescent="0.25">
      <c r="A3063" s="76">
        <v>5</v>
      </c>
      <c r="B3063" s="3" t="s">
        <v>347</v>
      </c>
      <c r="C3063" s="2" t="s">
        <v>157</v>
      </c>
      <c r="D3063" s="1">
        <v>0</v>
      </c>
      <c r="E3063" s="1">
        <v>0</v>
      </c>
      <c r="F3063" s="1">
        <v>0</v>
      </c>
      <c r="G3063" s="1">
        <v>1</v>
      </c>
      <c r="H3063" s="4">
        <v>1</v>
      </c>
      <c r="I3063" s="1">
        <v>0</v>
      </c>
      <c r="J3063" s="4"/>
      <c r="K3063" s="1">
        <v>0</v>
      </c>
      <c r="L3063" s="1">
        <v>4</v>
      </c>
      <c r="M3063" s="32">
        <f>IF(Mecze[[#This Row],[PR]]=0,0,Mecze[[#This Row],[PR]]/Mecze[[#This Row],[CZAS]])</f>
        <v>4.2105263157894736E-2</v>
      </c>
      <c r="N3063" s="32">
        <f>IF(Mecze[[#This Row],[OU]]=0,0,Mecze[[#This Row],[OU]]/Mecze[[#This Row],[CZAS]])</f>
        <v>0</v>
      </c>
      <c r="O3063" s="32">
        <f>IF(Mecze[[#This Row],[PC]]=0,0,Mecze[[#This Row],[PC]]/Mecze[[#This Row],[CZAS]])</f>
        <v>1.0526315789473684E-2</v>
      </c>
      <c r="P3063" s="32">
        <f>IF(Mecze[[#This Row],[SC]]=0,0,Mecze[[#This Row],[SC]]/Mecze[[#This Row],[CZAS]])</f>
        <v>0</v>
      </c>
      <c r="Q3063" s="32">
        <f>IF(Mecze[[#This Row],[OB]]=0,0,Mecze[[#This Row],[OB]]/Mecze[[#This Row],[CZAS]])</f>
        <v>0</v>
      </c>
      <c r="R3063" s="32">
        <f>IF(Mecze[[#This Row],[BR]]=0,0,Mecze[[#This Row],[BR]]/Mecze[[#This Row],[CZAS]])</f>
        <v>0</v>
      </c>
      <c r="S3063" s="44">
        <f>IF(Mecze[[#This Row],[Role]]="BR",SUMPRODUCT(Mecze[[#This Row],[/PR:90]:[/BR:90]],Brudnopis!$E$23:$J$23),0)</f>
        <v>0</v>
      </c>
      <c r="T3063" s="44">
        <f>IF(Mecze[[#This Row],[Role]]&lt;&gt;"BR",SUMPRODUCT(Mecze[[#This Row],[/PR:90]:[/BR:90]],Brudnopis!$E$24:$J$24),0)</f>
        <v>5.2631578947368418E-2</v>
      </c>
      <c r="U3063" s="44">
        <f>IF(Mecze[[#This Row],[Role]]&lt;&gt;"BR",SUMPRODUCT(Mecze[[#This Row],[/PR:90]:[/BR:90]],Brudnopis!$E$25:$J$25),0)</f>
        <v>5.7894736842105263E-2</v>
      </c>
      <c r="V3063" s="44">
        <f>IF(Mecze[[#This Row],[Role]]&lt;&gt;"BR",SUMPRODUCT(Mecze[[#This Row],[/PR:90]:[/BR:90]],Brudnopis!$E$26:$J$26),0)</f>
        <v>5.2631578947368418E-2</v>
      </c>
      <c r="W3063" s="44">
        <f>IF(Mecze[[#This Row],[Role]]&lt;&gt;"BR",SUMPRODUCT(Mecze[[#This Row],[/PR:90]:[/BR:90]],Brudnopis!$E$27:$J$27),0)</f>
        <v>4.736842105263158E-2</v>
      </c>
      <c r="X3063" s="44">
        <f>IF(Mecze[[#This Row],[Role]]&lt;&gt;"BR",SUMPRODUCT(Mecze[[#This Row],[/PR:90]:[/BR:90]],Brudnopis!$E$28:$J$28),0)</f>
        <v>1.0526315789473684E-2</v>
      </c>
      <c r="Y3063" s="35">
        <f>IF(Mecze[[#This Row],[Role]]="BR",Mecze[[#This Row],[/OB:90]]+Mecze[[#This Row],[/PC:90]],SUM(Mecze[[#This Row],[/PR:90]:[/BR:90]]))</f>
        <v>5.2631578947368418E-2</v>
      </c>
      <c r="Z3063" s="35">
        <f>IF(Mecze[[#This Row],[KC]]=0,SUM(Mecze[[#This Row],[/BRI]:[/NPI]]),SUM(Mecze[[#This Row],[/BRI]:[/NPI]])*0.6)</f>
        <v>0.22105263157894739</v>
      </c>
      <c r="AA3063" s="10">
        <f>IFERROR(Mecze[[#This Row],[BR]]/Mecze[[#This Row],[ST]],0)</f>
        <v>0</v>
      </c>
      <c r="AB3063">
        <f>ROUND(Mecze[[#This Row],[PD]]*Mecze[[#This Row],[%PC]],0)</f>
        <v>1</v>
      </c>
      <c r="AC3063">
        <f>ROUND(Mecze[[#This Row],[OD]]*Mecze[[#This Row],[%OU]],0)</f>
        <v>0</v>
      </c>
      <c r="AD3063" s="36" t="s">
        <v>175</v>
      </c>
      <c r="AE3063" s="36">
        <v>171</v>
      </c>
      <c r="AF3063" s="71">
        <v>4.76</v>
      </c>
      <c r="AG3063" s="37">
        <v>0</v>
      </c>
      <c r="AH3063" s="37">
        <v>0</v>
      </c>
      <c r="AI3063" s="37">
        <v>95</v>
      </c>
      <c r="AJ3063" s="37">
        <v>5</v>
      </c>
      <c r="AK3063" s="37" t="str">
        <f>VLOOKUP(Mecze[[#This Row],[Match ID]],Meczusie[Mecz]:Meczusie[RodzajMeczu],2,FALSE)</f>
        <v>Liga</v>
      </c>
    </row>
    <row r="3064" spans="1:37" x14ac:dyDescent="0.25">
      <c r="A3064" s="76">
        <v>15</v>
      </c>
      <c r="B3064" s="3" t="s">
        <v>510</v>
      </c>
      <c r="C3064" s="2" t="s">
        <v>160</v>
      </c>
      <c r="D3064" s="1">
        <v>1</v>
      </c>
      <c r="E3064" s="1">
        <v>2</v>
      </c>
      <c r="F3064" s="1">
        <v>2</v>
      </c>
      <c r="G3064" s="1">
        <v>21</v>
      </c>
      <c r="H3064" s="4">
        <v>0.76</v>
      </c>
      <c r="I3064" s="1">
        <v>6</v>
      </c>
      <c r="J3064" s="4">
        <v>0.5</v>
      </c>
      <c r="K3064" s="1">
        <v>0</v>
      </c>
      <c r="L3064" s="1">
        <v>12</v>
      </c>
      <c r="M3064" s="32">
        <f>IF(Mecze[[#This Row],[PR]]=0,0,Mecze[[#This Row],[PR]]/Mecze[[#This Row],[CZAS]])</f>
        <v>0.12631578947368421</v>
      </c>
      <c r="N3064" s="32">
        <f>IF(Mecze[[#This Row],[OU]]=0,0,Mecze[[#This Row],[OU]]/Mecze[[#This Row],[CZAS]])</f>
        <v>3.1578947368421054E-2</v>
      </c>
      <c r="O3064" s="32">
        <f>IF(Mecze[[#This Row],[PC]]=0,0,Mecze[[#This Row],[PC]]/Mecze[[#This Row],[CZAS]])</f>
        <v>0.16842105263157894</v>
      </c>
      <c r="P3064" s="32">
        <f>IF(Mecze[[#This Row],[SC]]=0,0,Mecze[[#This Row],[SC]]/Mecze[[#This Row],[CZAS]])</f>
        <v>2.1052631578947368E-2</v>
      </c>
      <c r="Q3064" s="32">
        <f>IF(Mecze[[#This Row],[OB]]=0,0,Mecze[[#This Row],[OB]]/Mecze[[#This Row],[CZAS]])</f>
        <v>0</v>
      </c>
      <c r="R3064" s="32">
        <f>IF(Mecze[[#This Row],[BR]]=0,0,Mecze[[#This Row],[BR]]/Mecze[[#This Row],[CZAS]])</f>
        <v>1.0526315789473684E-2</v>
      </c>
      <c r="S3064" s="44">
        <f>IF(Mecze[[#This Row],[Role]]="BR",SUMPRODUCT(Mecze[[#This Row],[/PR:90]:[/BR:90]],Brudnopis!$E$23:$J$23),0)</f>
        <v>0</v>
      </c>
      <c r="T3064" s="44">
        <f>IF(Mecze[[#This Row],[Role]]&lt;&gt;"BR",SUMPRODUCT(Mecze[[#This Row],[/PR:90]:[/BR:90]],Brudnopis!$E$24:$J$24),0)</f>
        <v>0.37894736842105264</v>
      </c>
      <c r="U3064" s="44">
        <f>IF(Mecze[[#This Row],[Role]]&lt;&gt;"BR",SUMPRODUCT(Mecze[[#This Row],[/PR:90]:[/BR:90]],Brudnopis!$E$25:$J$25),0)</f>
        <v>0.44736842105263158</v>
      </c>
      <c r="V3064" s="44">
        <f>IF(Mecze[[#This Row],[Role]]&lt;&gt;"BR",SUMPRODUCT(Mecze[[#This Row],[/PR:90]:[/BR:90]],Brudnopis!$E$26:$J$26),0)</f>
        <v>0.36842105263157898</v>
      </c>
      <c r="W3064" s="44">
        <f>IF(Mecze[[#This Row],[Role]]&lt;&gt;"BR",SUMPRODUCT(Mecze[[#This Row],[/PR:90]:[/BR:90]],Brudnopis!$E$27:$J$27),0)</f>
        <v>0.41315789473684217</v>
      </c>
      <c r="X3064" s="44">
        <f>IF(Mecze[[#This Row],[Role]]&lt;&gt;"BR",SUMPRODUCT(Mecze[[#This Row],[/PR:90]:[/BR:90]],Brudnopis!$E$28:$J$28),0)</f>
        <v>0.24210526315789471</v>
      </c>
      <c r="Y3064" s="35">
        <f>IF(Mecze[[#This Row],[Role]]="BR",Mecze[[#This Row],[/OB:90]]+Mecze[[#This Row],[/PC:90]],SUM(Mecze[[#This Row],[/PR:90]:[/BR:90]]))</f>
        <v>0.35789473684210527</v>
      </c>
      <c r="Z3064" s="35">
        <f>IF(Mecze[[#This Row],[KC]]=0,SUM(Mecze[[#This Row],[/BRI]:[/NPI]]),SUM(Mecze[[#This Row],[/BRI]:[/NPI]])*0.6)</f>
        <v>1.85</v>
      </c>
      <c r="AA3064" s="10">
        <f>IFERROR(Mecze[[#This Row],[BR]]/Mecze[[#This Row],[ST]],0)</f>
        <v>0.5</v>
      </c>
      <c r="AB3064">
        <f>ROUND(Mecze[[#This Row],[PD]]*Mecze[[#This Row],[%PC]],0)</f>
        <v>16</v>
      </c>
      <c r="AC3064">
        <f>ROUND(Mecze[[#This Row],[OD]]*Mecze[[#This Row],[%OU]],0)</f>
        <v>3</v>
      </c>
      <c r="AD3064" s="36" t="s">
        <v>41</v>
      </c>
      <c r="AE3064" s="36">
        <v>171</v>
      </c>
      <c r="AF3064" s="71">
        <v>10.220000000000001</v>
      </c>
      <c r="AG3064" s="37">
        <v>0</v>
      </c>
      <c r="AH3064" s="37">
        <v>0</v>
      </c>
      <c r="AI3064" s="37">
        <v>95</v>
      </c>
      <c r="AJ3064" s="37">
        <v>5</v>
      </c>
      <c r="AK3064" s="37" t="str">
        <f>VLOOKUP(Mecze[[#This Row],[Match ID]],Meczusie[Mecz]:Meczusie[RodzajMeczu],2,FALSE)</f>
        <v>Liga</v>
      </c>
    </row>
    <row r="3065" spans="1:37" x14ac:dyDescent="0.25">
      <c r="A3065" s="76">
        <v>8</v>
      </c>
      <c r="B3065" s="3" t="s">
        <v>351</v>
      </c>
      <c r="C3065" s="2" t="s">
        <v>160</v>
      </c>
      <c r="D3065" s="1">
        <v>0</v>
      </c>
      <c r="E3065" s="1">
        <v>2</v>
      </c>
      <c r="F3065" s="1">
        <v>2</v>
      </c>
      <c r="G3065" s="1">
        <v>13</v>
      </c>
      <c r="H3065" s="4">
        <v>0.77</v>
      </c>
      <c r="I3065" s="1">
        <v>4</v>
      </c>
      <c r="J3065" s="4">
        <v>0.5</v>
      </c>
      <c r="K3065" s="1">
        <v>0</v>
      </c>
      <c r="L3065" s="1">
        <v>6</v>
      </c>
      <c r="M3065" s="32">
        <f>IF(Mecze[[#This Row],[PR]]=0,0,Mecze[[#This Row],[PR]]/Mecze[[#This Row],[CZAS]])</f>
        <v>6.3157894736842107E-2</v>
      </c>
      <c r="N3065" s="32">
        <f>IF(Mecze[[#This Row],[OU]]=0,0,Mecze[[#This Row],[OU]]/Mecze[[#This Row],[CZAS]])</f>
        <v>2.1052631578947368E-2</v>
      </c>
      <c r="O3065" s="32">
        <f>IF(Mecze[[#This Row],[PC]]=0,0,Mecze[[#This Row],[PC]]/Mecze[[#This Row],[CZAS]])</f>
        <v>0.10526315789473684</v>
      </c>
      <c r="P3065" s="32">
        <f>IF(Mecze[[#This Row],[SC]]=0,0,Mecze[[#This Row],[SC]]/Mecze[[#This Row],[CZAS]])</f>
        <v>2.1052631578947368E-2</v>
      </c>
      <c r="Q3065" s="32">
        <f>IF(Mecze[[#This Row],[OB]]=0,0,Mecze[[#This Row],[OB]]/Mecze[[#This Row],[CZAS]])</f>
        <v>0</v>
      </c>
      <c r="R3065" s="32">
        <f>IF(Mecze[[#This Row],[BR]]=0,0,Mecze[[#This Row],[BR]]/Mecze[[#This Row],[CZAS]])</f>
        <v>0</v>
      </c>
      <c r="S3065" s="44">
        <f>IF(Mecze[[#This Row],[Role]]="BR",SUMPRODUCT(Mecze[[#This Row],[/PR:90]:[/BR:90]],Brudnopis!$E$23:$J$23),0)</f>
        <v>0</v>
      </c>
      <c r="T3065" s="44">
        <f>IF(Mecze[[#This Row],[Role]]&lt;&gt;"BR",SUMPRODUCT(Mecze[[#This Row],[/PR:90]:[/BR:90]],Brudnopis!$E$24:$J$24),0)</f>
        <v>0.22105263157894739</v>
      </c>
      <c r="U3065" s="44">
        <f>IF(Mecze[[#This Row],[Role]]&lt;&gt;"BR",SUMPRODUCT(Mecze[[#This Row],[/PR:90]:[/BR:90]],Brudnopis!$E$25:$J$25),0)</f>
        <v>0.26315789473684209</v>
      </c>
      <c r="V3065" s="44">
        <f>IF(Mecze[[#This Row],[Role]]&lt;&gt;"BR",SUMPRODUCT(Mecze[[#This Row],[/PR:90]:[/BR:90]],Brudnopis!$E$26:$J$26),0)</f>
        <v>0.21052631578947367</v>
      </c>
      <c r="W3065" s="44">
        <f>IF(Mecze[[#This Row],[Role]]&lt;&gt;"BR",SUMPRODUCT(Mecze[[#This Row],[/PR:90]:[/BR:90]],Brudnopis!$E$27:$J$27),0)</f>
        <v>0.24210526315789474</v>
      </c>
      <c r="X3065" s="44">
        <f>IF(Mecze[[#This Row],[Role]]&lt;&gt;"BR",SUMPRODUCT(Mecze[[#This Row],[/PR:90]:[/BR:90]],Brudnopis!$E$28:$J$28),0)</f>
        <v>0.14736842105263157</v>
      </c>
      <c r="Y3065" s="35">
        <f>IF(Mecze[[#This Row],[Role]]="BR",Mecze[[#This Row],[/OB:90]]+Mecze[[#This Row],[/PC:90]],SUM(Mecze[[#This Row],[/PR:90]:[/BR:90]]))</f>
        <v>0.21052631578947367</v>
      </c>
      <c r="Z3065" s="35">
        <f>IF(Mecze[[#This Row],[KC]]=0,SUM(Mecze[[#This Row],[/BRI]:[/NPI]]),SUM(Mecze[[#This Row],[/BRI]:[/NPI]])*0.6)</f>
        <v>1.0842105263157893</v>
      </c>
      <c r="AA3065" s="10">
        <f>IFERROR(Mecze[[#This Row],[BR]]/Mecze[[#This Row],[ST]],0)</f>
        <v>0</v>
      </c>
      <c r="AB3065">
        <f>ROUND(Mecze[[#This Row],[PD]]*Mecze[[#This Row],[%PC]],0)</f>
        <v>10</v>
      </c>
      <c r="AC3065">
        <f>ROUND(Mecze[[#This Row],[OD]]*Mecze[[#This Row],[%OU]],0)</f>
        <v>2</v>
      </c>
      <c r="AD3065" s="36" t="s">
        <v>67</v>
      </c>
      <c r="AE3065" s="36">
        <v>171</v>
      </c>
      <c r="AF3065" s="71">
        <v>6.85</v>
      </c>
      <c r="AG3065" s="37">
        <v>0</v>
      </c>
      <c r="AH3065" s="37">
        <v>0</v>
      </c>
      <c r="AI3065" s="37">
        <v>95</v>
      </c>
      <c r="AJ3065" s="37">
        <v>5</v>
      </c>
      <c r="AK3065" s="37" t="str">
        <f>VLOOKUP(Mecze[[#This Row],[Match ID]],Meczusie[Mecz]:Meczusie[RodzajMeczu],2,FALSE)</f>
        <v>Liga</v>
      </c>
    </row>
    <row r="3066" spans="1:37" x14ac:dyDescent="0.25">
      <c r="A3066" s="76">
        <v>7</v>
      </c>
      <c r="B3066" s="3" t="s">
        <v>350</v>
      </c>
      <c r="C3066" s="2" t="s">
        <v>160</v>
      </c>
      <c r="D3066" s="1">
        <v>2</v>
      </c>
      <c r="E3066" s="1">
        <v>7</v>
      </c>
      <c r="F3066" s="1">
        <v>6</v>
      </c>
      <c r="G3066" s="1">
        <v>5</v>
      </c>
      <c r="H3066" s="4">
        <v>0.8</v>
      </c>
      <c r="I3066" s="1">
        <v>2</v>
      </c>
      <c r="J3066" s="4">
        <v>0</v>
      </c>
      <c r="K3066" s="1">
        <v>0</v>
      </c>
      <c r="L3066" s="1">
        <v>3</v>
      </c>
      <c r="M3066" s="32">
        <f>IF(Mecze[[#This Row],[PR]]=0,0,Mecze[[#This Row],[PR]]/Mecze[[#This Row],[CZAS]])</f>
        <v>3.1578947368421054E-2</v>
      </c>
      <c r="N3066" s="32">
        <f>IF(Mecze[[#This Row],[OU]]=0,0,Mecze[[#This Row],[OU]]/Mecze[[#This Row],[CZAS]])</f>
        <v>0</v>
      </c>
      <c r="O3066" s="32">
        <f>IF(Mecze[[#This Row],[PC]]=0,0,Mecze[[#This Row],[PC]]/Mecze[[#This Row],[CZAS]])</f>
        <v>4.2105263157894736E-2</v>
      </c>
      <c r="P3066" s="32">
        <f>IF(Mecze[[#This Row],[SC]]=0,0,Mecze[[#This Row],[SC]]/Mecze[[#This Row],[CZAS]])</f>
        <v>6.3157894736842107E-2</v>
      </c>
      <c r="Q3066" s="32">
        <f>IF(Mecze[[#This Row],[OB]]=0,0,Mecze[[#This Row],[OB]]/Mecze[[#This Row],[CZAS]])</f>
        <v>0</v>
      </c>
      <c r="R3066" s="32">
        <f>IF(Mecze[[#This Row],[BR]]=0,0,Mecze[[#This Row],[BR]]/Mecze[[#This Row],[CZAS]])</f>
        <v>2.1052631578947368E-2</v>
      </c>
      <c r="S3066" s="44">
        <f>IF(Mecze[[#This Row],[Role]]="BR",SUMPRODUCT(Mecze[[#This Row],[/PR:90]:[/BR:90]],Brudnopis!$E$23:$J$23),0)</f>
        <v>0</v>
      </c>
      <c r="T3066" s="44">
        <f>IF(Mecze[[#This Row],[Role]]&lt;&gt;"BR",SUMPRODUCT(Mecze[[#This Row],[/PR:90]:[/BR:90]],Brudnopis!$E$24:$J$24),0)</f>
        <v>0.16842105263157897</v>
      </c>
      <c r="U3066" s="44">
        <f>IF(Mecze[[#This Row],[Role]]&lt;&gt;"BR",SUMPRODUCT(Mecze[[#This Row],[/PR:90]:[/BR:90]],Brudnopis!$E$25:$J$25),0)</f>
        <v>0.18947368421052629</v>
      </c>
      <c r="V3066" s="44">
        <f>IF(Mecze[[#This Row],[Role]]&lt;&gt;"BR",SUMPRODUCT(Mecze[[#This Row],[/PR:90]:[/BR:90]],Brudnopis!$E$26:$J$26),0)</f>
        <v>0.17894736842105263</v>
      </c>
      <c r="W3066" s="44">
        <f>IF(Mecze[[#This Row],[Role]]&lt;&gt;"BR",SUMPRODUCT(Mecze[[#This Row],[/PR:90]:[/BR:90]],Brudnopis!$E$27:$J$27),0)</f>
        <v>0.19210526315789475</v>
      </c>
      <c r="X3066" s="44">
        <f>IF(Mecze[[#This Row],[Role]]&lt;&gt;"BR",SUMPRODUCT(Mecze[[#This Row],[/PR:90]:[/BR:90]],Brudnopis!$E$28:$J$28),0)</f>
        <v>0.23157894736842105</v>
      </c>
      <c r="Y3066" s="35">
        <f>IF(Mecze[[#This Row],[Role]]="BR",Mecze[[#This Row],[/OB:90]]+Mecze[[#This Row],[/PC:90]],SUM(Mecze[[#This Row],[/PR:90]:[/BR:90]]))</f>
        <v>0.15789473684210528</v>
      </c>
      <c r="Z3066" s="35">
        <f>IF(Mecze[[#This Row],[KC]]=0,SUM(Mecze[[#This Row],[/BRI]:[/NPI]]),SUM(Mecze[[#This Row],[/BRI]:[/NPI]])*0.6)</f>
        <v>0.96052631578947367</v>
      </c>
      <c r="AA3066" s="10">
        <f>IFERROR(Mecze[[#This Row],[BR]]/Mecze[[#This Row],[ST]],0)</f>
        <v>0.2857142857142857</v>
      </c>
      <c r="AB3066">
        <f>ROUND(Mecze[[#This Row],[PD]]*Mecze[[#This Row],[%PC]],0)</f>
        <v>4</v>
      </c>
      <c r="AC3066">
        <f>ROUND(Mecze[[#This Row],[OD]]*Mecze[[#This Row],[%OU]],0)</f>
        <v>0</v>
      </c>
      <c r="AD3066" s="36" t="s">
        <v>67</v>
      </c>
      <c r="AE3066" s="36">
        <v>171</v>
      </c>
      <c r="AF3066" s="71">
        <v>12.27</v>
      </c>
      <c r="AG3066" s="37">
        <v>0</v>
      </c>
      <c r="AH3066" s="37">
        <v>0</v>
      </c>
      <c r="AI3066" s="37">
        <v>95</v>
      </c>
      <c r="AJ3066" s="37">
        <v>5</v>
      </c>
      <c r="AK3066" s="37" t="str">
        <f>VLOOKUP(Mecze[[#This Row],[Match ID]],Meczusie[Mecz]:Meczusie[RodzajMeczu],2,FALSE)</f>
        <v>Liga</v>
      </c>
    </row>
    <row r="3067" spans="1:37" x14ac:dyDescent="0.25">
      <c r="A3067" s="76">
        <v>11</v>
      </c>
      <c r="B3067" s="3" t="s">
        <v>353</v>
      </c>
      <c r="C3067" s="2" t="s">
        <v>165</v>
      </c>
      <c r="D3067" s="1">
        <v>4</v>
      </c>
      <c r="E3067" s="1">
        <v>14</v>
      </c>
      <c r="F3067" s="1">
        <v>14</v>
      </c>
      <c r="G3067" s="1">
        <v>7</v>
      </c>
      <c r="H3067" s="4">
        <v>0.71</v>
      </c>
      <c r="I3067" s="1">
        <v>0</v>
      </c>
      <c r="J3067" s="4"/>
      <c r="K3067" s="1">
        <v>0</v>
      </c>
      <c r="L3067" s="1">
        <v>3</v>
      </c>
      <c r="M3067" s="32">
        <f>IF(Mecze[[#This Row],[PR]]=0,0,Mecze[[#This Row],[PR]]/Mecze[[#This Row],[CZAS]])</f>
        <v>3.1578947368421054E-2</v>
      </c>
      <c r="N3067" s="32">
        <f>IF(Mecze[[#This Row],[OU]]=0,0,Mecze[[#This Row],[OU]]/Mecze[[#This Row],[CZAS]])</f>
        <v>0</v>
      </c>
      <c r="O3067" s="32">
        <f>IF(Mecze[[#This Row],[PC]]=0,0,Mecze[[#This Row],[PC]]/Mecze[[#This Row],[CZAS]])</f>
        <v>5.2631578947368418E-2</v>
      </c>
      <c r="P3067" s="32">
        <f>IF(Mecze[[#This Row],[SC]]=0,0,Mecze[[#This Row],[SC]]/Mecze[[#This Row],[CZAS]])</f>
        <v>0.14736842105263157</v>
      </c>
      <c r="Q3067" s="32">
        <f>IF(Mecze[[#This Row],[OB]]=0,0,Mecze[[#This Row],[OB]]/Mecze[[#This Row],[CZAS]])</f>
        <v>0</v>
      </c>
      <c r="R3067" s="32">
        <f>IF(Mecze[[#This Row],[BR]]=0,0,Mecze[[#This Row],[BR]]/Mecze[[#This Row],[CZAS]])</f>
        <v>4.2105263157894736E-2</v>
      </c>
      <c r="S3067" s="44">
        <f>IF(Mecze[[#This Row],[Role]]="BR",SUMPRODUCT(Mecze[[#This Row],[/PR:90]:[/BR:90]],Brudnopis!$E$23:$J$23),0)</f>
        <v>0</v>
      </c>
      <c r="T3067" s="44">
        <f>IF(Mecze[[#This Row],[Role]]&lt;&gt;"BR",SUMPRODUCT(Mecze[[#This Row],[/PR:90]:[/BR:90]],Brudnopis!$E$24:$J$24),0)</f>
        <v>0.29473684210526319</v>
      </c>
      <c r="U3067" s="44">
        <f>IF(Mecze[[#This Row],[Role]]&lt;&gt;"BR",SUMPRODUCT(Mecze[[#This Row],[/PR:90]:[/BR:90]],Brudnopis!$E$25:$J$25),0)</f>
        <v>0.32105263157894737</v>
      </c>
      <c r="V3067" s="44">
        <f>IF(Mecze[[#This Row],[Role]]&lt;&gt;"BR",SUMPRODUCT(Mecze[[#This Row],[/PR:90]:[/BR:90]],Brudnopis!$E$26:$J$26),0)</f>
        <v>0.31578947368421051</v>
      </c>
      <c r="W3067" s="44">
        <f>IF(Mecze[[#This Row],[Role]]&lt;&gt;"BR",SUMPRODUCT(Mecze[[#This Row],[/PR:90]:[/BR:90]],Brudnopis!$E$27:$J$27),0)</f>
        <v>0.33421052631578946</v>
      </c>
      <c r="X3067" s="44">
        <f>IF(Mecze[[#This Row],[Role]]&lt;&gt;"BR",SUMPRODUCT(Mecze[[#This Row],[/PR:90]:[/BR:90]],Brudnopis!$E$28:$J$28),0)</f>
        <v>0.47368421052631576</v>
      </c>
      <c r="Y3067" s="35">
        <f>IF(Mecze[[#This Row],[Role]]="BR",Mecze[[#This Row],[/OB:90]]+Mecze[[#This Row],[/PC:90]],SUM(Mecze[[#This Row],[/PR:90]:[/BR:90]]))</f>
        <v>0.27368421052631581</v>
      </c>
      <c r="Z3067" s="35">
        <f>IF(Mecze[[#This Row],[KC]]=0,SUM(Mecze[[#This Row],[/BRI]:[/NPI]]),SUM(Mecze[[#This Row],[/BRI]:[/NPI]])*0.6)</f>
        <v>1.7394736842105263</v>
      </c>
      <c r="AA3067" s="10">
        <f>IFERROR(Mecze[[#This Row],[BR]]/Mecze[[#This Row],[ST]],0)</f>
        <v>0.2857142857142857</v>
      </c>
      <c r="AB3067">
        <f>ROUND(Mecze[[#This Row],[PD]]*Mecze[[#This Row],[%PC]],0)</f>
        <v>5</v>
      </c>
      <c r="AC3067">
        <f>ROUND(Mecze[[#This Row],[OD]]*Mecze[[#This Row],[%OU]],0)</f>
        <v>0</v>
      </c>
      <c r="AD3067" s="36" t="s">
        <v>46</v>
      </c>
      <c r="AE3067" s="36">
        <v>171</v>
      </c>
      <c r="AF3067" s="71">
        <v>17.54</v>
      </c>
      <c r="AG3067" s="37">
        <v>0</v>
      </c>
      <c r="AH3067" s="37">
        <v>0</v>
      </c>
      <c r="AI3067" s="37">
        <v>95</v>
      </c>
      <c r="AJ3067" s="37">
        <v>5</v>
      </c>
      <c r="AK3067" s="37" t="str">
        <f>VLOOKUP(Mecze[[#This Row],[Match ID]],Meczusie[Mecz]:Meczusie[RodzajMeczu],2,FALSE)</f>
        <v>Liga</v>
      </c>
    </row>
    <row r="3068" spans="1:37" x14ac:dyDescent="0.25">
      <c r="A3068" s="76">
        <v>10</v>
      </c>
      <c r="B3068" s="3" t="s">
        <v>352</v>
      </c>
      <c r="C3068" s="2" t="s">
        <v>165</v>
      </c>
      <c r="D3068" s="1">
        <v>2</v>
      </c>
      <c r="E3068" s="1">
        <v>4</v>
      </c>
      <c r="F3068" s="1">
        <v>3</v>
      </c>
      <c r="G3068" s="1">
        <v>4</v>
      </c>
      <c r="H3068" s="4">
        <v>0.25</v>
      </c>
      <c r="I3068" s="1">
        <v>0</v>
      </c>
      <c r="J3068" s="4"/>
      <c r="K3068" s="1">
        <v>0</v>
      </c>
      <c r="L3068" s="1">
        <v>0</v>
      </c>
      <c r="M3068" s="32">
        <f>IF(Mecze[[#This Row],[PR]]=0,0,Mecze[[#This Row],[PR]]/Mecze[[#This Row],[CZAS]])</f>
        <v>0</v>
      </c>
      <c r="N3068" s="32">
        <f>IF(Mecze[[#This Row],[OU]]=0,0,Mecze[[#This Row],[OU]]/Mecze[[#This Row],[CZAS]])</f>
        <v>0</v>
      </c>
      <c r="O3068" s="32">
        <f>IF(Mecze[[#This Row],[PC]]=0,0,Mecze[[#This Row],[PC]]/Mecze[[#This Row],[CZAS]])</f>
        <v>1.0526315789473684E-2</v>
      </c>
      <c r="P3068" s="32">
        <f>IF(Mecze[[#This Row],[SC]]=0,0,Mecze[[#This Row],[SC]]/Mecze[[#This Row],[CZAS]])</f>
        <v>3.1578947368421054E-2</v>
      </c>
      <c r="Q3068" s="32">
        <f>IF(Mecze[[#This Row],[OB]]=0,0,Mecze[[#This Row],[OB]]/Mecze[[#This Row],[CZAS]])</f>
        <v>0</v>
      </c>
      <c r="R3068" s="32">
        <f>IF(Mecze[[#This Row],[BR]]=0,0,Mecze[[#This Row],[BR]]/Mecze[[#This Row],[CZAS]])</f>
        <v>2.1052631578947368E-2</v>
      </c>
      <c r="S3068" s="44">
        <f>IF(Mecze[[#This Row],[Role]]="BR",SUMPRODUCT(Mecze[[#This Row],[/PR:90]:[/BR:90]],Brudnopis!$E$23:$J$23),0)</f>
        <v>0</v>
      </c>
      <c r="T3068" s="44">
        <f>IF(Mecze[[#This Row],[Role]]&lt;&gt;"BR",SUMPRODUCT(Mecze[[#This Row],[/PR:90]:[/BR:90]],Brudnopis!$E$24:$J$24),0)</f>
        <v>7.3684210526315796E-2</v>
      </c>
      <c r="U3068" s="44">
        <f>IF(Mecze[[#This Row],[Role]]&lt;&gt;"BR",SUMPRODUCT(Mecze[[#This Row],[/PR:90]:[/BR:90]],Brudnopis!$E$25:$J$25),0)</f>
        <v>7.8947368421052627E-2</v>
      </c>
      <c r="V3068" s="44">
        <f>IF(Mecze[[#This Row],[Role]]&lt;&gt;"BR",SUMPRODUCT(Mecze[[#This Row],[/PR:90]:[/BR:90]],Brudnopis!$E$26:$J$26),0)</f>
        <v>8.4210526315789472E-2</v>
      </c>
      <c r="W3068" s="44">
        <f>IF(Mecze[[#This Row],[Role]]&lt;&gt;"BR",SUMPRODUCT(Mecze[[#This Row],[/PR:90]:[/BR:90]],Brudnopis!$E$27:$J$27),0)</f>
        <v>8.9473684210526316E-2</v>
      </c>
      <c r="X3068" s="44">
        <f>IF(Mecze[[#This Row],[Role]]&lt;&gt;"BR",SUMPRODUCT(Mecze[[#This Row],[/PR:90]:[/BR:90]],Brudnopis!$E$28:$J$28),0)</f>
        <v>0.1368421052631579</v>
      </c>
      <c r="Y3068" s="35">
        <f>IF(Mecze[[#This Row],[Role]]="BR",Mecze[[#This Row],[/OB:90]]+Mecze[[#This Row],[/PC:90]],SUM(Mecze[[#This Row],[/PR:90]:[/BR:90]]))</f>
        <v>6.3157894736842107E-2</v>
      </c>
      <c r="Z3068" s="35">
        <f>IF(Mecze[[#This Row],[KC]]=0,SUM(Mecze[[#This Row],[/BRI]:[/NPI]]),SUM(Mecze[[#This Row],[/BRI]:[/NPI]])*0.6)</f>
        <v>0.4631578947368421</v>
      </c>
      <c r="AA3068" s="10">
        <f>IFERROR(Mecze[[#This Row],[BR]]/Mecze[[#This Row],[ST]],0)</f>
        <v>0.5</v>
      </c>
      <c r="AB3068">
        <f>ROUND(Mecze[[#This Row],[PD]]*Mecze[[#This Row],[%PC]],0)</f>
        <v>1</v>
      </c>
      <c r="AC3068">
        <f>ROUND(Mecze[[#This Row],[OD]]*Mecze[[#This Row],[%OU]],0)</f>
        <v>0</v>
      </c>
      <c r="AD3068" s="36" t="s">
        <v>272</v>
      </c>
      <c r="AE3068" s="36">
        <v>171</v>
      </c>
      <c r="AF3068" s="71">
        <v>9.19</v>
      </c>
      <c r="AG3068" s="37">
        <v>0</v>
      </c>
      <c r="AH3068" s="37">
        <v>0</v>
      </c>
      <c r="AI3068" s="37">
        <v>95</v>
      </c>
      <c r="AJ3068" s="37">
        <v>5</v>
      </c>
      <c r="AK3068" s="37" t="str">
        <f>VLOOKUP(Mecze[[#This Row],[Match ID]],Meczusie[Mecz]:Meczusie[RodzajMeczu],2,FALSE)</f>
        <v>Liga</v>
      </c>
    </row>
    <row r="3069" spans="1:37" x14ac:dyDescent="0.25">
      <c r="A3069" s="76">
        <v>9</v>
      </c>
      <c r="B3069" s="3" t="s">
        <v>354</v>
      </c>
      <c r="C3069" s="2" t="s">
        <v>165</v>
      </c>
      <c r="D3069" s="1">
        <v>2</v>
      </c>
      <c r="E3069" s="1">
        <v>4</v>
      </c>
      <c r="F3069" s="1">
        <v>4</v>
      </c>
      <c r="G3069" s="1">
        <v>3</v>
      </c>
      <c r="H3069" s="4">
        <v>1</v>
      </c>
      <c r="I3069" s="1">
        <v>2</v>
      </c>
      <c r="J3069" s="4">
        <v>1</v>
      </c>
      <c r="K3069" s="1">
        <v>0</v>
      </c>
      <c r="L3069" s="1">
        <v>1</v>
      </c>
      <c r="M3069" s="32">
        <f>IF(Mecze[[#This Row],[PR]]=0,0,Mecze[[#This Row],[PR]]/Mecze[[#This Row],[CZAS]])</f>
        <v>1.0526315789473684E-2</v>
      </c>
      <c r="N3069" s="32">
        <f>IF(Mecze[[#This Row],[OU]]=0,0,Mecze[[#This Row],[OU]]/Mecze[[#This Row],[CZAS]])</f>
        <v>2.1052631578947368E-2</v>
      </c>
      <c r="O3069" s="32">
        <f>IF(Mecze[[#This Row],[PC]]=0,0,Mecze[[#This Row],[PC]]/Mecze[[#This Row],[CZAS]])</f>
        <v>3.1578947368421054E-2</v>
      </c>
      <c r="P3069" s="32">
        <f>IF(Mecze[[#This Row],[SC]]=0,0,Mecze[[#This Row],[SC]]/Mecze[[#This Row],[CZAS]])</f>
        <v>4.2105263157894736E-2</v>
      </c>
      <c r="Q3069" s="32">
        <f>IF(Mecze[[#This Row],[OB]]=0,0,Mecze[[#This Row],[OB]]/Mecze[[#This Row],[CZAS]])</f>
        <v>0</v>
      </c>
      <c r="R3069" s="32">
        <f>IF(Mecze[[#This Row],[BR]]=0,0,Mecze[[#This Row],[BR]]/Mecze[[#This Row],[CZAS]])</f>
        <v>2.1052631578947368E-2</v>
      </c>
      <c r="S3069" s="44">
        <f>IF(Mecze[[#This Row],[Role]]="BR",SUMPRODUCT(Mecze[[#This Row],[/PR:90]:[/BR:90]],Brudnopis!$E$23:$J$23),0)</f>
        <v>0</v>
      </c>
      <c r="T3069" s="44">
        <f>IF(Mecze[[#This Row],[Role]]&lt;&gt;"BR",SUMPRODUCT(Mecze[[#This Row],[/PR:90]:[/BR:90]],Brudnopis!$E$24:$J$24),0)</f>
        <v>0.14736842105263159</v>
      </c>
      <c r="U3069" s="44">
        <f>IF(Mecze[[#This Row],[Role]]&lt;&gt;"BR",SUMPRODUCT(Mecze[[#This Row],[/PR:90]:[/BR:90]],Brudnopis!$E$25:$J$25),0)</f>
        <v>0.1526315789473684</v>
      </c>
      <c r="V3069" s="44">
        <f>IF(Mecze[[#This Row],[Role]]&lt;&gt;"BR",SUMPRODUCT(Mecze[[#This Row],[/PR:90]:[/BR:90]],Brudnopis!$E$26:$J$26),0)</f>
        <v>0.14736842105263157</v>
      </c>
      <c r="W3069" s="44">
        <f>IF(Mecze[[#This Row],[Role]]&lt;&gt;"BR",SUMPRODUCT(Mecze[[#This Row],[/PR:90]:[/BR:90]],Brudnopis!$E$27:$J$27),0)</f>
        <v>0.15526315789473683</v>
      </c>
      <c r="X3069" s="44">
        <f>IF(Mecze[[#This Row],[Role]]&lt;&gt;"BR",SUMPRODUCT(Mecze[[#This Row],[/PR:90]:[/BR:90]],Brudnopis!$E$28:$J$28),0)</f>
        <v>0.17894736842105263</v>
      </c>
      <c r="Y3069" s="35">
        <f>IF(Mecze[[#This Row],[Role]]="BR",Mecze[[#This Row],[/OB:90]]+Mecze[[#This Row],[/PC:90]],SUM(Mecze[[#This Row],[/PR:90]:[/BR:90]]))</f>
        <v>0.12631578947368421</v>
      </c>
      <c r="Z3069" s="35">
        <f>IF(Mecze[[#This Row],[KC]]=0,SUM(Mecze[[#This Row],[/BRI]:[/NPI]]),SUM(Mecze[[#This Row],[/BRI]:[/NPI]])*0.6)</f>
        <v>0.78157894736842104</v>
      </c>
      <c r="AA3069" s="10">
        <f>IFERROR(Mecze[[#This Row],[BR]]/Mecze[[#This Row],[ST]],0)</f>
        <v>0.5</v>
      </c>
      <c r="AB3069">
        <f>ROUND(Mecze[[#This Row],[PD]]*Mecze[[#This Row],[%PC]],0)</f>
        <v>3</v>
      </c>
      <c r="AC3069">
        <f>ROUND(Mecze[[#This Row],[OD]]*Mecze[[#This Row],[%OU]],0)</f>
        <v>2</v>
      </c>
      <c r="AD3069" s="36" t="s">
        <v>273</v>
      </c>
      <c r="AE3069" s="36">
        <v>171</v>
      </c>
      <c r="AF3069" s="71">
        <v>9.41</v>
      </c>
      <c r="AG3069" s="37">
        <v>0</v>
      </c>
      <c r="AH3069" s="37">
        <v>0</v>
      </c>
      <c r="AI3069" s="37">
        <v>95</v>
      </c>
      <c r="AJ3069" s="37">
        <v>5</v>
      </c>
      <c r="AK3069" s="37" t="str">
        <f>VLOOKUP(Mecze[[#This Row],[Match ID]],Meczusie[Mecz]:Meczusie[RodzajMeczu],2,FALSE)</f>
        <v>Liga</v>
      </c>
    </row>
    <row r="3070" spans="1:37" x14ac:dyDescent="0.25">
      <c r="A3070" s="76">
        <v>39</v>
      </c>
      <c r="B3070" s="3" t="s">
        <v>450</v>
      </c>
      <c r="C3070" s="2" t="s">
        <v>155</v>
      </c>
      <c r="D3070" s="1">
        <v>0</v>
      </c>
      <c r="E3070" s="1">
        <v>0</v>
      </c>
      <c r="F3070" s="1">
        <v>0</v>
      </c>
      <c r="G3070" s="1">
        <v>4</v>
      </c>
      <c r="H3070" s="4">
        <v>0.25</v>
      </c>
      <c r="I3070" s="1">
        <v>0</v>
      </c>
      <c r="J3070" s="4"/>
      <c r="K3070" s="1">
        <v>3</v>
      </c>
      <c r="L3070" s="1">
        <v>0</v>
      </c>
      <c r="M3070" s="32">
        <f>IF(Mecze[[#This Row],[PR]]=0,0,Mecze[[#This Row],[PR]]/Mecze[[#This Row],[CZAS]])</f>
        <v>0</v>
      </c>
      <c r="N3070" s="32">
        <f>IF(Mecze[[#This Row],[OU]]=0,0,Mecze[[#This Row],[OU]]/Mecze[[#This Row],[CZAS]])</f>
        <v>0</v>
      </c>
      <c r="O3070" s="32">
        <f>IF(Mecze[[#This Row],[PC]]=0,0,Mecze[[#This Row],[PC]]/Mecze[[#This Row],[CZAS]])</f>
        <v>1.0309278350515464E-2</v>
      </c>
      <c r="P3070" s="32">
        <f>IF(Mecze[[#This Row],[SC]]=0,0,Mecze[[#This Row],[SC]]/Mecze[[#This Row],[CZAS]])</f>
        <v>0</v>
      </c>
      <c r="Q3070" s="32">
        <f>IF(Mecze[[#This Row],[OB]]=0,0,Mecze[[#This Row],[OB]]/Mecze[[#This Row],[CZAS]])</f>
        <v>3.0927835051546393E-2</v>
      </c>
      <c r="R3070" s="32">
        <f>IF(Mecze[[#This Row],[BR]]=0,0,Mecze[[#This Row],[BR]]/Mecze[[#This Row],[CZAS]])</f>
        <v>0</v>
      </c>
      <c r="S3070" s="44">
        <f>IF(Mecze[[#This Row],[Role]]="BR",SUMPRODUCT(Mecze[[#This Row],[/PR:90]:[/BR:90]],Brudnopis!$E$23:$J$23),0)</f>
        <v>0.12371134020618557</v>
      </c>
      <c r="T3070" s="44">
        <f>IF(Mecze[[#This Row],[Role]]&lt;&gt;"BR",SUMPRODUCT(Mecze[[#This Row],[/PR:90]:[/BR:90]],Brudnopis!$E$24:$J$24),0)</f>
        <v>0</v>
      </c>
      <c r="U3070" s="44">
        <f>IF(Mecze[[#This Row],[Role]]&lt;&gt;"BR",SUMPRODUCT(Mecze[[#This Row],[/PR:90]:[/BR:90]],Brudnopis!$E$25:$J$25),0)</f>
        <v>0</v>
      </c>
      <c r="V3070" s="44">
        <f>IF(Mecze[[#This Row],[Role]]&lt;&gt;"BR",SUMPRODUCT(Mecze[[#This Row],[/PR:90]:[/BR:90]],Brudnopis!$E$26:$J$26),0)</f>
        <v>0</v>
      </c>
      <c r="W3070" s="44">
        <f>IF(Mecze[[#This Row],[Role]]&lt;&gt;"BR",SUMPRODUCT(Mecze[[#This Row],[/PR:90]:[/BR:90]],Brudnopis!$E$27:$J$27),0)</f>
        <v>0</v>
      </c>
      <c r="X3070" s="44">
        <f>IF(Mecze[[#This Row],[Role]]&lt;&gt;"BR",SUMPRODUCT(Mecze[[#This Row],[/PR:90]:[/BR:90]],Brudnopis!$E$28:$J$28),0)</f>
        <v>0</v>
      </c>
      <c r="Y3070" s="35">
        <f>IF(Mecze[[#This Row],[Role]]="BR",Mecze[[#This Row],[/OB:90]]+Mecze[[#This Row],[/PC:90]],SUM(Mecze[[#This Row],[/PR:90]:[/BR:90]]))</f>
        <v>4.1237113402061855E-2</v>
      </c>
      <c r="Z3070" s="35">
        <f>IF(Mecze[[#This Row],[KC]]=0,SUM(Mecze[[#This Row],[/BRI]:[/NPI]]),SUM(Mecze[[#This Row],[/BRI]:[/NPI]])*0.6)</f>
        <v>0.12371134020618557</v>
      </c>
      <c r="AA3070" s="10">
        <f>IFERROR(Mecze[[#This Row],[BR]]/Mecze[[#This Row],[ST]],0)</f>
        <v>0</v>
      </c>
      <c r="AB3070">
        <f>ROUND(Mecze[[#This Row],[PD]]*Mecze[[#This Row],[%PC]],0)</f>
        <v>1</v>
      </c>
      <c r="AC3070">
        <f>ROUND(Mecze[[#This Row],[OD]]*Mecze[[#This Row],[%OU]],0)</f>
        <v>0</v>
      </c>
      <c r="AD3070" s="36" t="s">
        <v>40</v>
      </c>
      <c r="AE3070" s="36">
        <v>172</v>
      </c>
      <c r="AF3070" s="71">
        <v>4.97</v>
      </c>
      <c r="AG3070" s="37">
        <v>0</v>
      </c>
      <c r="AH3070" s="37">
        <v>0</v>
      </c>
      <c r="AI3070" s="37">
        <v>97</v>
      </c>
      <c r="AJ3070" s="37">
        <v>1</v>
      </c>
      <c r="AK3070" s="37" t="str">
        <f>VLOOKUP(Mecze[[#This Row],[Match ID]],Meczusie[Mecz]:Meczusie[RodzajMeczu],2,FALSE)</f>
        <v>Towarzyski</v>
      </c>
    </row>
    <row r="3071" spans="1:37" x14ac:dyDescent="0.25">
      <c r="A3071" s="76">
        <v>38</v>
      </c>
      <c r="B3071" s="3" t="s">
        <v>359</v>
      </c>
      <c r="C3071" s="2" t="s">
        <v>157</v>
      </c>
      <c r="D3071" s="1">
        <v>0</v>
      </c>
      <c r="E3071" s="1">
        <v>0</v>
      </c>
      <c r="F3071" s="1">
        <v>0</v>
      </c>
      <c r="G3071" s="1">
        <v>9</v>
      </c>
      <c r="H3071" s="4">
        <v>0.44</v>
      </c>
      <c r="I3071" s="1">
        <v>5</v>
      </c>
      <c r="J3071" s="4">
        <v>0.6</v>
      </c>
      <c r="K3071" s="1">
        <v>0</v>
      </c>
      <c r="L3071" s="1">
        <v>8</v>
      </c>
      <c r="M3071" s="32">
        <f>IF(Mecze[[#This Row],[PR]]=0,0,Mecze[[#This Row],[PR]]/Mecze[[#This Row],[CZAS]])</f>
        <v>8.247422680412371E-2</v>
      </c>
      <c r="N3071" s="32">
        <f>IF(Mecze[[#This Row],[OU]]=0,0,Mecze[[#This Row],[OU]]/Mecze[[#This Row],[CZAS]])</f>
        <v>3.0927835051546393E-2</v>
      </c>
      <c r="O3071" s="32">
        <f>IF(Mecze[[#This Row],[PC]]=0,0,Mecze[[#This Row],[PC]]/Mecze[[#This Row],[CZAS]])</f>
        <v>4.1237113402061855E-2</v>
      </c>
      <c r="P3071" s="32">
        <f>IF(Mecze[[#This Row],[SC]]=0,0,Mecze[[#This Row],[SC]]/Mecze[[#This Row],[CZAS]])</f>
        <v>0</v>
      </c>
      <c r="Q3071" s="32">
        <f>IF(Mecze[[#This Row],[OB]]=0,0,Mecze[[#This Row],[OB]]/Mecze[[#This Row],[CZAS]])</f>
        <v>0</v>
      </c>
      <c r="R3071" s="32">
        <f>IF(Mecze[[#This Row],[BR]]=0,0,Mecze[[#This Row],[BR]]/Mecze[[#This Row],[CZAS]])</f>
        <v>0</v>
      </c>
      <c r="S3071" s="44">
        <f>IF(Mecze[[#This Row],[Role]]="BR",SUMPRODUCT(Mecze[[#This Row],[/PR:90]:[/BR:90]],Brudnopis!$E$23:$J$23),0)</f>
        <v>0</v>
      </c>
      <c r="T3071" s="44">
        <f>IF(Mecze[[#This Row],[Role]]&lt;&gt;"BR",SUMPRODUCT(Mecze[[#This Row],[/PR:90]:[/BR:90]],Brudnopis!$E$24:$J$24),0)</f>
        <v>0.17010309278350513</v>
      </c>
      <c r="U3071" s="44">
        <f>IF(Mecze[[#This Row],[Role]]&lt;&gt;"BR",SUMPRODUCT(Mecze[[#This Row],[/PR:90]:[/BR:90]],Brudnopis!$E$25:$J$25),0)</f>
        <v>0.17525773195876287</v>
      </c>
      <c r="V3071" s="44">
        <f>IF(Mecze[[#This Row],[Role]]&lt;&gt;"BR",SUMPRODUCT(Mecze[[#This Row],[/PR:90]:[/BR:90]],Brudnopis!$E$26:$J$26),0)</f>
        <v>0.15463917525773196</v>
      </c>
      <c r="W3071" s="44">
        <f>IF(Mecze[[#This Row],[Role]]&lt;&gt;"BR",SUMPRODUCT(Mecze[[#This Row],[/PR:90]:[/BR:90]],Brudnopis!$E$27:$J$27),0)</f>
        <v>0.14690721649484537</v>
      </c>
      <c r="X3071" s="44">
        <f>IF(Mecze[[#This Row],[Role]]&lt;&gt;"BR",SUMPRODUCT(Mecze[[#This Row],[/PR:90]:[/BR:90]],Brudnopis!$E$28:$J$28),0)</f>
        <v>4.1237113402061855E-2</v>
      </c>
      <c r="Y3071" s="35">
        <f>IF(Mecze[[#This Row],[Role]]="BR",Mecze[[#This Row],[/OB:90]]+Mecze[[#This Row],[/PC:90]],SUM(Mecze[[#This Row],[/PR:90]:[/BR:90]]))</f>
        <v>0.15463917525773196</v>
      </c>
      <c r="Z3071" s="35">
        <f>IF(Mecze[[#This Row],[KC]]=0,SUM(Mecze[[#This Row],[/BRI]:[/NPI]]),SUM(Mecze[[#This Row],[/BRI]:[/NPI]])*0.6)</f>
        <v>0.68814432989690721</v>
      </c>
      <c r="AA3071" s="10">
        <f>IFERROR(Mecze[[#This Row],[BR]]/Mecze[[#This Row],[ST]],0)</f>
        <v>0</v>
      </c>
      <c r="AB3071">
        <f>ROUND(Mecze[[#This Row],[PD]]*Mecze[[#This Row],[%PC]],0)</f>
        <v>4</v>
      </c>
      <c r="AC3071">
        <f>ROUND(Mecze[[#This Row],[OD]]*Mecze[[#This Row],[%OU]],0)</f>
        <v>3</v>
      </c>
      <c r="AD3071" s="36" t="s">
        <v>47</v>
      </c>
      <c r="AE3071" s="36">
        <v>172</v>
      </c>
      <c r="AF3071" s="71">
        <v>6.72</v>
      </c>
      <c r="AG3071" s="37">
        <v>0</v>
      </c>
      <c r="AH3071" s="37">
        <v>0</v>
      </c>
      <c r="AI3071" s="37">
        <v>97</v>
      </c>
      <c r="AJ3071" s="37">
        <v>1</v>
      </c>
      <c r="AK3071" s="37" t="str">
        <f>VLOOKUP(Mecze[[#This Row],[Match ID]],Meczusie[Mecz]:Meczusie[RodzajMeczu],2,FALSE)</f>
        <v>Towarzyski</v>
      </c>
    </row>
    <row r="3072" spans="1:37" x14ac:dyDescent="0.25">
      <c r="A3072" s="76">
        <v>17</v>
      </c>
      <c r="B3072" s="3" t="s">
        <v>413</v>
      </c>
      <c r="C3072" s="2" t="s">
        <v>157</v>
      </c>
      <c r="D3072" s="1">
        <v>0</v>
      </c>
      <c r="E3072" s="1">
        <v>0</v>
      </c>
      <c r="F3072" s="1">
        <v>0</v>
      </c>
      <c r="G3072" s="1">
        <v>4</v>
      </c>
      <c r="H3072" s="4">
        <v>0.5</v>
      </c>
      <c r="I3072" s="1">
        <v>7</v>
      </c>
      <c r="J3072" s="4">
        <v>0.56999999999999995</v>
      </c>
      <c r="K3072" s="1">
        <v>0</v>
      </c>
      <c r="L3072" s="1">
        <v>6</v>
      </c>
      <c r="M3072" s="32">
        <f>IF(Mecze[[#This Row],[PR]]=0,0,Mecze[[#This Row],[PR]]/Mecze[[#This Row],[CZAS]])</f>
        <v>6.1855670103092786E-2</v>
      </c>
      <c r="N3072" s="32">
        <f>IF(Mecze[[#This Row],[OU]]=0,0,Mecze[[#This Row],[OU]]/Mecze[[#This Row],[CZAS]])</f>
        <v>4.1237113402061855E-2</v>
      </c>
      <c r="O3072" s="32">
        <f>IF(Mecze[[#This Row],[PC]]=0,0,Mecze[[#This Row],[PC]]/Mecze[[#This Row],[CZAS]])</f>
        <v>2.0618556701030927E-2</v>
      </c>
      <c r="P3072" s="32">
        <f>IF(Mecze[[#This Row],[SC]]=0,0,Mecze[[#This Row],[SC]]/Mecze[[#This Row],[CZAS]])</f>
        <v>0</v>
      </c>
      <c r="Q3072" s="32">
        <f>IF(Mecze[[#This Row],[OB]]=0,0,Mecze[[#This Row],[OB]]/Mecze[[#This Row],[CZAS]])</f>
        <v>0</v>
      </c>
      <c r="R3072" s="32">
        <f>IF(Mecze[[#This Row],[BR]]=0,0,Mecze[[#This Row],[BR]]/Mecze[[#This Row],[CZAS]])</f>
        <v>0</v>
      </c>
      <c r="S3072" s="44">
        <f>IF(Mecze[[#This Row],[Role]]="BR",SUMPRODUCT(Mecze[[#This Row],[/PR:90]:[/BR:90]],Brudnopis!$E$23:$J$23),0)</f>
        <v>0</v>
      </c>
      <c r="T3072" s="44">
        <f>IF(Mecze[[#This Row],[Role]]&lt;&gt;"BR",SUMPRODUCT(Mecze[[#This Row],[/PR:90]:[/BR:90]],Brudnopis!$E$24:$J$24),0)</f>
        <v>0.14432989690721651</v>
      </c>
      <c r="U3072" s="44">
        <f>IF(Mecze[[#This Row],[Role]]&lt;&gt;"BR",SUMPRODUCT(Mecze[[#This Row],[/PR:90]:[/BR:90]],Brudnopis!$E$25:$J$25),0)</f>
        <v>0.13402061855670103</v>
      </c>
      <c r="V3072" s="44">
        <f>IF(Mecze[[#This Row],[Role]]&lt;&gt;"BR",SUMPRODUCT(Mecze[[#This Row],[/PR:90]:[/BR:90]],Brudnopis!$E$26:$J$26),0)</f>
        <v>0.12371134020618556</v>
      </c>
      <c r="W3072" s="44">
        <f>IF(Mecze[[#This Row],[Role]]&lt;&gt;"BR",SUMPRODUCT(Mecze[[#This Row],[/PR:90]:[/BR:90]],Brudnopis!$E$27:$J$27),0)</f>
        <v>0.10824742268041238</v>
      </c>
      <c r="X3072" s="44">
        <f>IF(Mecze[[#This Row],[Role]]&lt;&gt;"BR",SUMPRODUCT(Mecze[[#This Row],[/PR:90]:[/BR:90]],Brudnopis!$E$28:$J$28),0)</f>
        <v>2.0618556701030927E-2</v>
      </c>
      <c r="Y3072" s="35">
        <f>IF(Mecze[[#This Row],[Role]]="BR",Mecze[[#This Row],[/OB:90]]+Mecze[[#This Row],[/PC:90]],SUM(Mecze[[#This Row],[/PR:90]:[/BR:90]]))</f>
        <v>0.12371134020618556</v>
      </c>
      <c r="Z3072" s="35">
        <f>IF(Mecze[[#This Row],[KC]]=0,SUM(Mecze[[#This Row],[/BRI]:[/NPI]]),SUM(Mecze[[#This Row],[/BRI]:[/NPI]])*0.6)</f>
        <v>0.53092783505154639</v>
      </c>
      <c r="AA3072" s="10">
        <f>IFERROR(Mecze[[#This Row],[BR]]/Mecze[[#This Row],[ST]],0)</f>
        <v>0</v>
      </c>
      <c r="AB3072">
        <f>ROUND(Mecze[[#This Row],[PD]]*Mecze[[#This Row],[%PC]],0)</f>
        <v>2</v>
      </c>
      <c r="AC3072">
        <f>ROUND(Mecze[[#This Row],[OD]]*Mecze[[#This Row],[%OU]],0)</f>
        <v>4</v>
      </c>
      <c r="AD3072" s="36" t="s">
        <v>167</v>
      </c>
      <c r="AE3072" s="36">
        <v>172</v>
      </c>
      <c r="AF3072" s="71">
        <v>5.19</v>
      </c>
      <c r="AG3072" s="37">
        <v>1</v>
      </c>
      <c r="AH3072" s="37">
        <v>0</v>
      </c>
      <c r="AI3072" s="37">
        <v>97</v>
      </c>
      <c r="AJ3072" s="37">
        <v>1</v>
      </c>
      <c r="AK3072" s="37" t="str">
        <f>VLOOKUP(Mecze[[#This Row],[Match ID]],Meczusie[Mecz]:Meczusie[RodzajMeczu],2,FALSE)</f>
        <v>Towarzyski</v>
      </c>
    </row>
    <row r="3073" spans="1:37" x14ac:dyDescent="0.25">
      <c r="A3073" s="76">
        <v>50</v>
      </c>
      <c r="B3073" s="3" t="s">
        <v>496</v>
      </c>
      <c r="C3073" s="2" t="s">
        <v>157</v>
      </c>
      <c r="D3073" s="1">
        <v>0</v>
      </c>
      <c r="E3073" s="1">
        <v>0</v>
      </c>
      <c r="F3073" s="1">
        <v>0</v>
      </c>
      <c r="G3073" s="1">
        <v>4</v>
      </c>
      <c r="H3073" s="4">
        <v>0.5</v>
      </c>
      <c r="I3073" s="1">
        <v>3</v>
      </c>
      <c r="J3073" s="4">
        <v>0.33</v>
      </c>
      <c r="K3073" s="1">
        <v>0</v>
      </c>
      <c r="L3073" s="1">
        <v>8</v>
      </c>
      <c r="M3073" s="32">
        <f>IF(Mecze[[#This Row],[PR]]=0,0,Mecze[[#This Row],[PR]]/Mecze[[#This Row],[CZAS]])</f>
        <v>8.247422680412371E-2</v>
      </c>
      <c r="N3073" s="32">
        <f>IF(Mecze[[#This Row],[OU]]=0,0,Mecze[[#This Row],[OU]]/Mecze[[#This Row],[CZAS]])</f>
        <v>1.0309278350515464E-2</v>
      </c>
      <c r="O3073" s="32">
        <f>IF(Mecze[[#This Row],[PC]]=0,0,Mecze[[#This Row],[PC]]/Mecze[[#This Row],[CZAS]])</f>
        <v>2.0618556701030927E-2</v>
      </c>
      <c r="P3073" s="32">
        <f>IF(Mecze[[#This Row],[SC]]=0,0,Mecze[[#This Row],[SC]]/Mecze[[#This Row],[CZAS]])</f>
        <v>0</v>
      </c>
      <c r="Q3073" s="32">
        <f>IF(Mecze[[#This Row],[OB]]=0,0,Mecze[[#This Row],[OB]]/Mecze[[#This Row],[CZAS]])</f>
        <v>0</v>
      </c>
      <c r="R3073" s="32">
        <f>IF(Mecze[[#This Row],[BR]]=0,0,Mecze[[#This Row],[BR]]/Mecze[[#This Row],[CZAS]])</f>
        <v>0</v>
      </c>
      <c r="S3073" s="44">
        <f>IF(Mecze[[#This Row],[Role]]="BR",SUMPRODUCT(Mecze[[#This Row],[/PR:90]:[/BR:90]],Brudnopis!$E$23:$J$23),0)</f>
        <v>0</v>
      </c>
      <c r="T3073" s="44">
        <f>IF(Mecze[[#This Row],[Role]]&lt;&gt;"BR",SUMPRODUCT(Mecze[[#This Row],[/PR:90]:[/BR:90]],Brudnopis!$E$24:$J$24),0)</f>
        <v>0.11855670103092783</v>
      </c>
      <c r="U3073" s="44">
        <f>IF(Mecze[[#This Row],[Role]]&lt;&gt;"BR",SUMPRODUCT(Mecze[[#This Row],[/PR:90]:[/BR:90]],Brudnopis!$E$25:$J$25),0)</f>
        <v>0.12371134020618557</v>
      </c>
      <c r="V3073" s="44">
        <f>IF(Mecze[[#This Row],[Role]]&lt;&gt;"BR",SUMPRODUCT(Mecze[[#This Row],[/PR:90]:[/BR:90]],Brudnopis!$E$26:$J$26),0)</f>
        <v>0.1134020618556701</v>
      </c>
      <c r="W3073" s="44">
        <f>IF(Mecze[[#This Row],[Role]]&lt;&gt;"BR",SUMPRODUCT(Mecze[[#This Row],[/PR:90]:[/BR:90]],Brudnopis!$E$27:$J$27),0)</f>
        <v>0.10051546391752578</v>
      </c>
      <c r="X3073" s="44">
        <f>IF(Mecze[[#This Row],[Role]]&lt;&gt;"BR",SUMPRODUCT(Mecze[[#This Row],[/PR:90]:[/BR:90]],Brudnopis!$E$28:$J$28),0)</f>
        <v>2.0618556701030927E-2</v>
      </c>
      <c r="Y3073" s="35">
        <f>IF(Mecze[[#This Row],[Role]]="BR",Mecze[[#This Row],[/OB:90]]+Mecze[[#This Row],[/PC:90]],SUM(Mecze[[#This Row],[/PR:90]:[/BR:90]]))</f>
        <v>0.1134020618556701</v>
      </c>
      <c r="Z3073" s="35">
        <f>IF(Mecze[[#This Row],[KC]]=0,SUM(Mecze[[#This Row],[/BRI]:[/NPI]]),SUM(Mecze[[#This Row],[/BRI]:[/NPI]])*0.6)</f>
        <v>0.47680412371134023</v>
      </c>
      <c r="AA3073" s="10">
        <f>IFERROR(Mecze[[#This Row],[BR]]/Mecze[[#This Row],[ST]],0)</f>
        <v>0</v>
      </c>
      <c r="AB3073">
        <f>ROUND(Mecze[[#This Row],[PD]]*Mecze[[#This Row],[%PC]],0)</f>
        <v>2</v>
      </c>
      <c r="AC3073">
        <f>ROUND(Mecze[[#This Row],[OD]]*Mecze[[#This Row],[%OU]],0)</f>
        <v>1</v>
      </c>
      <c r="AD3073" s="36" t="s">
        <v>168</v>
      </c>
      <c r="AE3073" s="36">
        <v>172</v>
      </c>
      <c r="AF3073" s="71">
        <v>5.6</v>
      </c>
      <c r="AG3073" s="37">
        <v>0</v>
      </c>
      <c r="AH3073" s="37">
        <v>0</v>
      </c>
      <c r="AI3073" s="37">
        <v>97</v>
      </c>
      <c r="AJ3073" s="37">
        <v>1</v>
      </c>
      <c r="AK3073" s="37" t="str">
        <f>VLOOKUP(Mecze[[#This Row],[Match ID]],Meczusie[Mecz]:Meczusie[RodzajMeczu],2,FALSE)</f>
        <v>Towarzyski</v>
      </c>
    </row>
    <row r="3074" spans="1:37" x14ac:dyDescent="0.25">
      <c r="A3074" s="76">
        <v>52</v>
      </c>
      <c r="B3074" s="3" t="s">
        <v>408</v>
      </c>
      <c r="C3074" s="2" t="s">
        <v>160</v>
      </c>
      <c r="D3074" s="1">
        <v>0</v>
      </c>
      <c r="E3074" s="1">
        <v>1</v>
      </c>
      <c r="F3074" s="1">
        <v>0</v>
      </c>
      <c r="G3074" s="1">
        <v>9</v>
      </c>
      <c r="H3074" s="4">
        <v>0.56000000000000005</v>
      </c>
      <c r="I3074" s="1">
        <v>3</v>
      </c>
      <c r="J3074" s="4">
        <v>0</v>
      </c>
      <c r="K3074" s="1">
        <v>0</v>
      </c>
      <c r="L3074" s="1">
        <v>9</v>
      </c>
      <c r="M3074" s="32">
        <f>IF(Mecze[[#This Row],[PR]]=0,0,Mecze[[#This Row],[PR]]/Mecze[[#This Row],[CZAS]])</f>
        <v>9.2783505154639179E-2</v>
      </c>
      <c r="N3074" s="32">
        <f>IF(Mecze[[#This Row],[OU]]=0,0,Mecze[[#This Row],[OU]]/Mecze[[#This Row],[CZAS]])</f>
        <v>0</v>
      </c>
      <c r="O3074" s="32">
        <f>IF(Mecze[[#This Row],[PC]]=0,0,Mecze[[#This Row],[PC]]/Mecze[[#This Row],[CZAS]])</f>
        <v>5.1546391752577317E-2</v>
      </c>
      <c r="P3074" s="32">
        <f>IF(Mecze[[#This Row],[SC]]=0,0,Mecze[[#This Row],[SC]]/Mecze[[#This Row],[CZAS]])</f>
        <v>0</v>
      </c>
      <c r="Q3074" s="32">
        <f>IF(Mecze[[#This Row],[OB]]=0,0,Mecze[[#This Row],[OB]]/Mecze[[#This Row],[CZAS]])</f>
        <v>0</v>
      </c>
      <c r="R3074" s="32">
        <f>IF(Mecze[[#This Row],[BR]]=0,0,Mecze[[#This Row],[BR]]/Mecze[[#This Row],[CZAS]])</f>
        <v>0</v>
      </c>
      <c r="S3074" s="44">
        <f>IF(Mecze[[#This Row],[Role]]="BR",SUMPRODUCT(Mecze[[#This Row],[/PR:90]:[/BR:90]],Brudnopis!$E$23:$J$23),0)</f>
        <v>0</v>
      </c>
      <c r="T3074" s="44">
        <f>IF(Mecze[[#This Row],[Role]]&lt;&gt;"BR",SUMPRODUCT(Mecze[[#This Row],[/PR:90]:[/BR:90]],Brudnopis!$E$24:$J$24),0)</f>
        <v>0.14432989690721648</v>
      </c>
      <c r="U3074" s="44">
        <f>IF(Mecze[[#This Row],[Role]]&lt;&gt;"BR",SUMPRODUCT(Mecze[[#This Row],[/PR:90]:[/BR:90]],Brudnopis!$E$25:$J$25),0)</f>
        <v>0.17010309278350516</v>
      </c>
      <c r="V3074" s="44">
        <f>IF(Mecze[[#This Row],[Role]]&lt;&gt;"BR",SUMPRODUCT(Mecze[[#This Row],[/PR:90]:[/BR:90]],Brudnopis!$E$26:$J$26),0)</f>
        <v>0.14432989690721648</v>
      </c>
      <c r="W3074" s="44">
        <f>IF(Mecze[[#This Row],[Role]]&lt;&gt;"BR",SUMPRODUCT(Mecze[[#This Row],[/PR:90]:[/BR:90]],Brudnopis!$E$27:$J$27),0)</f>
        <v>0.14690721649484537</v>
      </c>
      <c r="X3074" s="44">
        <f>IF(Mecze[[#This Row],[Role]]&lt;&gt;"BR",SUMPRODUCT(Mecze[[#This Row],[/PR:90]:[/BR:90]],Brudnopis!$E$28:$J$28),0)</f>
        <v>5.1546391752577317E-2</v>
      </c>
      <c r="Y3074" s="35">
        <f>IF(Mecze[[#This Row],[Role]]="BR",Mecze[[#This Row],[/OB:90]]+Mecze[[#This Row],[/PC:90]],SUM(Mecze[[#This Row],[/PR:90]:[/BR:90]]))</f>
        <v>0.14432989690721648</v>
      </c>
      <c r="Z3074" s="35">
        <f>IF(Mecze[[#This Row],[KC]]=0,SUM(Mecze[[#This Row],[/BRI]:[/NPI]]),SUM(Mecze[[#This Row],[/BRI]:[/NPI]])*0.6)</f>
        <v>0.65721649484536082</v>
      </c>
      <c r="AA3074" s="10">
        <f>IFERROR(Mecze[[#This Row],[BR]]/Mecze[[#This Row],[ST]],0)</f>
        <v>0</v>
      </c>
      <c r="AB3074">
        <f>ROUND(Mecze[[#This Row],[PD]]*Mecze[[#This Row],[%PC]],0)</f>
        <v>5</v>
      </c>
      <c r="AC3074">
        <f>ROUND(Mecze[[#This Row],[OD]]*Mecze[[#This Row],[%OU]],0)</f>
        <v>0</v>
      </c>
      <c r="AD3074" s="36" t="s">
        <v>41</v>
      </c>
      <c r="AE3074" s="36">
        <v>172</v>
      </c>
      <c r="AF3074" s="71">
        <v>7.02</v>
      </c>
      <c r="AG3074" s="37">
        <v>0</v>
      </c>
      <c r="AH3074" s="37">
        <v>0</v>
      </c>
      <c r="AI3074" s="37">
        <v>97</v>
      </c>
      <c r="AJ3074" s="37">
        <v>1</v>
      </c>
      <c r="AK3074" s="37" t="str">
        <f>VLOOKUP(Mecze[[#This Row],[Match ID]],Meczusie[Mecz]:Meczusie[RodzajMeczu],2,FALSE)</f>
        <v>Towarzyski</v>
      </c>
    </row>
    <row r="3075" spans="1:37" x14ac:dyDescent="0.25">
      <c r="A3075" s="76">
        <v>40</v>
      </c>
      <c r="B3075" s="3" t="s">
        <v>453</v>
      </c>
      <c r="C3075" s="2" t="s">
        <v>160</v>
      </c>
      <c r="D3075" s="1">
        <v>0</v>
      </c>
      <c r="E3075" s="1">
        <v>0</v>
      </c>
      <c r="F3075" s="1">
        <v>0</v>
      </c>
      <c r="G3075" s="1">
        <v>20</v>
      </c>
      <c r="H3075" s="4">
        <v>0.65</v>
      </c>
      <c r="I3075" s="1">
        <v>6</v>
      </c>
      <c r="J3075" s="4">
        <v>0.17</v>
      </c>
      <c r="K3075" s="1">
        <v>0</v>
      </c>
      <c r="L3075" s="1">
        <v>5</v>
      </c>
      <c r="M3075" s="32">
        <f>IF(Mecze[[#This Row],[PR]]=0,0,Mecze[[#This Row],[PR]]/Mecze[[#This Row],[CZAS]])</f>
        <v>5.1546391752577317E-2</v>
      </c>
      <c r="N3075" s="32">
        <f>IF(Mecze[[#This Row],[OU]]=0,0,Mecze[[#This Row],[OU]]/Mecze[[#This Row],[CZAS]])</f>
        <v>1.0309278350515464E-2</v>
      </c>
      <c r="O3075" s="32">
        <f>IF(Mecze[[#This Row],[PC]]=0,0,Mecze[[#This Row],[PC]]/Mecze[[#This Row],[CZAS]])</f>
        <v>0.13402061855670103</v>
      </c>
      <c r="P3075" s="32">
        <f>IF(Mecze[[#This Row],[SC]]=0,0,Mecze[[#This Row],[SC]]/Mecze[[#This Row],[CZAS]])</f>
        <v>0</v>
      </c>
      <c r="Q3075" s="32">
        <f>IF(Mecze[[#This Row],[OB]]=0,0,Mecze[[#This Row],[OB]]/Mecze[[#This Row],[CZAS]])</f>
        <v>0</v>
      </c>
      <c r="R3075" s="32">
        <f>IF(Mecze[[#This Row],[BR]]=0,0,Mecze[[#This Row],[BR]]/Mecze[[#This Row],[CZAS]])</f>
        <v>0</v>
      </c>
      <c r="S3075" s="44">
        <f>IF(Mecze[[#This Row],[Role]]="BR",SUMPRODUCT(Mecze[[#This Row],[/PR:90]:[/BR:90]],Brudnopis!$E$23:$J$23),0)</f>
        <v>0</v>
      </c>
      <c r="T3075" s="44">
        <f>IF(Mecze[[#This Row],[Role]]&lt;&gt;"BR",SUMPRODUCT(Mecze[[#This Row],[/PR:90]:[/BR:90]],Brudnopis!$E$24:$J$24),0)</f>
        <v>0.20103092783505155</v>
      </c>
      <c r="U3075" s="44">
        <f>IF(Mecze[[#This Row],[Role]]&lt;&gt;"BR",SUMPRODUCT(Mecze[[#This Row],[/PR:90]:[/BR:90]],Brudnopis!$E$25:$J$25),0)</f>
        <v>0.26288659793814434</v>
      </c>
      <c r="V3075" s="44">
        <f>IF(Mecze[[#This Row],[Role]]&lt;&gt;"BR",SUMPRODUCT(Mecze[[#This Row],[/PR:90]:[/BR:90]],Brudnopis!$E$26:$J$26),0)</f>
        <v>0.19587628865979381</v>
      </c>
      <c r="W3075" s="44">
        <f>IF(Mecze[[#This Row],[Role]]&lt;&gt;"BR",SUMPRODUCT(Mecze[[#This Row],[/PR:90]:[/BR:90]],Brudnopis!$E$27:$J$27),0)</f>
        <v>0.24742268041237114</v>
      </c>
      <c r="X3075" s="44">
        <f>IF(Mecze[[#This Row],[Role]]&lt;&gt;"BR",SUMPRODUCT(Mecze[[#This Row],[/PR:90]:[/BR:90]],Brudnopis!$E$28:$J$28),0)</f>
        <v>0.13402061855670103</v>
      </c>
      <c r="Y3075" s="35">
        <f>IF(Mecze[[#This Row],[Role]]="BR",Mecze[[#This Row],[/OB:90]]+Mecze[[#This Row],[/PC:90]],SUM(Mecze[[#This Row],[/PR:90]:[/BR:90]]))</f>
        <v>0.19587628865979381</v>
      </c>
      <c r="Z3075" s="35">
        <f>IF(Mecze[[#This Row],[KC]]=0,SUM(Mecze[[#This Row],[/BRI]:[/NPI]]),SUM(Mecze[[#This Row],[/BRI]:[/NPI]])*0.6)</f>
        <v>1.0412371134020619</v>
      </c>
      <c r="AA3075" s="10">
        <f>IFERROR(Mecze[[#This Row],[BR]]/Mecze[[#This Row],[ST]],0)</f>
        <v>0</v>
      </c>
      <c r="AB3075">
        <f>ROUND(Mecze[[#This Row],[PD]]*Mecze[[#This Row],[%PC]],0)</f>
        <v>13</v>
      </c>
      <c r="AC3075">
        <f>ROUND(Mecze[[#This Row],[OD]]*Mecze[[#This Row],[%OU]],0)</f>
        <v>1</v>
      </c>
      <c r="AD3075" s="36" t="s">
        <v>41</v>
      </c>
      <c r="AE3075" s="36">
        <v>172</v>
      </c>
      <c r="AF3075" s="71">
        <v>6.18</v>
      </c>
      <c r="AG3075" s="37">
        <v>0</v>
      </c>
      <c r="AH3075" s="37">
        <v>0</v>
      </c>
      <c r="AI3075" s="37">
        <v>97</v>
      </c>
      <c r="AJ3075" s="37">
        <v>1</v>
      </c>
      <c r="AK3075" s="37" t="str">
        <f>VLOOKUP(Mecze[[#This Row],[Match ID]],Meczusie[Mecz]:Meczusie[RodzajMeczu],2,FALSE)</f>
        <v>Towarzyski</v>
      </c>
    </row>
    <row r="3076" spans="1:37" x14ac:dyDescent="0.25">
      <c r="A3076" s="76">
        <v>25</v>
      </c>
      <c r="B3076" s="3" t="s">
        <v>366</v>
      </c>
      <c r="C3076" s="2" t="s">
        <v>160</v>
      </c>
      <c r="D3076" s="1">
        <v>0</v>
      </c>
      <c r="E3076" s="1">
        <v>1</v>
      </c>
      <c r="F3076" s="1">
        <v>1</v>
      </c>
      <c r="G3076" s="1">
        <v>8</v>
      </c>
      <c r="H3076" s="4">
        <v>0.5</v>
      </c>
      <c r="I3076" s="1">
        <v>2</v>
      </c>
      <c r="J3076" s="4">
        <v>0.5</v>
      </c>
      <c r="K3076" s="1">
        <v>0</v>
      </c>
      <c r="L3076" s="1">
        <v>4</v>
      </c>
      <c r="M3076" s="32">
        <f>IF(Mecze[[#This Row],[PR]]=0,0,Mecze[[#This Row],[PR]]/Mecze[[#This Row],[CZAS]])</f>
        <v>4.1237113402061855E-2</v>
      </c>
      <c r="N3076" s="32">
        <f>IF(Mecze[[#This Row],[OU]]=0,0,Mecze[[#This Row],[OU]]/Mecze[[#This Row],[CZAS]])</f>
        <v>1.0309278350515464E-2</v>
      </c>
      <c r="O3076" s="32">
        <f>IF(Mecze[[#This Row],[PC]]=0,0,Mecze[[#This Row],[PC]]/Mecze[[#This Row],[CZAS]])</f>
        <v>4.1237113402061855E-2</v>
      </c>
      <c r="P3076" s="32">
        <f>IF(Mecze[[#This Row],[SC]]=0,0,Mecze[[#This Row],[SC]]/Mecze[[#This Row],[CZAS]])</f>
        <v>1.0309278350515464E-2</v>
      </c>
      <c r="Q3076" s="32">
        <f>IF(Mecze[[#This Row],[OB]]=0,0,Mecze[[#This Row],[OB]]/Mecze[[#This Row],[CZAS]])</f>
        <v>0</v>
      </c>
      <c r="R3076" s="32">
        <f>IF(Mecze[[#This Row],[BR]]=0,0,Mecze[[#This Row],[BR]]/Mecze[[#This Row],[CZAS]])</f>
        <v>0</v>
      </c>
      <c r="S3076" s="44">
        <f>IF(Mecze[[#This Row],[Role]]="BR",SUMPRODUCT(Mecze[[#This Row],[/PR:90]:[/BR:90]],Brudnopis!$E$23:$J$23),0)</f>
        <v>0</v>
      </c>
      <c r="T3076" s="44">
        <f>IF(Mecze[[#This Row],[Role]]&lt;&gt;"BR",SUMPRODUCT(Mecze[[#This Row],[/PR:90]:[/BR:90]],Brudnopis!$E$24:$J$24),0)</f>
        <v>0.10824742268041238</v>
      </c>
      <c r="U3076" s="44">
        <f>IF(Mecze[[#This Row],[Role]]&lt;&gt;"BR",SUMPRODUCT(Mecze[[#This Row],[/PR:90]:[/BR:90]],Brudnopis!$E$25:$J$25),0)</f>
        <v>0.12371134020618557</v>
      </c>
      <c r="V3076" s="44">
        <f>IF(Mecze[[#This Row],[Role]]&lt;&gt;"BR",SUMPRODUCT(Mecze[[#This Row],[/PR:90]:[/BR:90]],Brudnopis!$E$26:$J$26),0)</f>
        <v>0.10309278350515465</v>
      </c>
      <c r="W3076" s="44">
        <f>IF(Mecze[[#This Row],[Role]]&lt;&gt;"BR",SUMPRODUCT(Mecze[[#This Row],[/PR:90]:[/BR:90]],Brudnopis!$E$27:$J$27),0)</f>
        <v>0.11082474226804125</v>
      </c>
      <c r="X3076" s="44">
        <f>IF(Mecze[[#This Row],[Role]]&lt;&gt;"BR",SUMPRODUCT(Mecze[[#This Row],[/PR:90]:[/BR:90]],Brudnopis!$E$28:$J$28),0)</f>
        <v>6.1855670103092786E-2</v>
      </c>
      <c r="Y3076" s="35">
        <f>IF(Mecze[[#This Row],[Role]]="BR",Mecze[[#This Row],[/OB:90]]+Mecze[[#This Row],[/PC:90]],SUM(Mecze[[#This Row],[/PR:90]:[/BR:90]]))</f>
        <v>0.10309278350515465</v>
      </c>
      <c r="Z3076" s="35">
        <f>IF(Mecze[[#This Row],[KC]]=0,SUM(Mecze[[#This Row],[/BRI]:[/NPI]]),SUM(Mecze[[#This Row],[/BRI]:[/NPI]])*0.6)</f>
        <v>0.50773195876288657</v>
      </c>
      <c r="AA3076" s="10">
        <f>IFERROR(Mecze[[#This Row],[BR]]/Mecze[[#This Row],[ST]],0)</f>
        <v>0</v>
      </c>
      <c r="AB3076">
        <f>ROUND(Mecze[[#This Row],[PD]]*Mecze[[#This Row],[%PC]],0)</f>
        <v>4</v>
      </c>
      <c r="AC3076">
        <f>ROUND(Mecze[[#This Row],[OD]]*Mecze[[#This Row],[%OU]],0)</f>
        <v>1</v>
      </c>
      <c r="AD3076" s="36" t="s">
        <v>44</v>
      </c>
      <c r="AE3076" s="36">
        <v>172</v>
      </c>
      <c r="AF3076" s="71">
        <v>6.2</v>
      </c>
      <c r="AG3076" s="37">
        <v>0</v>
      </c>
      <c r="AH3076" s="37">
        <v>0</v>
      </c>
      <c r="AI3076" s="37">
        <v>97</v>
      </c>
      <c r="AJ3076" s="37">
        <v>1</v>
      </c>
      <c r="AK3076" s="37" t="str">
        <f>VLOOKUP(Mecze[[#This Row],[Match ID]],Meczusie[Mecz]:Meczusie[RodzajMeczu],2,FALSE)</f>
        <v>Towarzyski</v>
      </c>
    </row>
    <row r="3077" spans="1:37" x14ac:dyDescent="0.25">
      <c r="A3077" s="76">
        <v>45</v>
      </c>
      <c r="B3077" s="3" t="s">
        <v>394</v>
      </c>
      <c r="C3077" s="2" t="s">
        <v>160</v>
      </c>
      <c r="D3077" s="1">
        <v>2</v>
      </c>
      <c r="E3077" s="1">
        <v>4</v>
      </c>
      <c r="F3077" s="1">
        <v>4</v>
      </c>
      <c r="G3077" s="1">
        <v>6</v>
      </c>
      <c r="H3077" s="4">
        <v>0.5</v>
      </c>
      <c r="I3077" s="1">
        <v>3</v>
      </c>
      <c r="J3077" s="4">
        <v>0.67</v>
      </c>
      <c r="K3077" s="1">
        <v>0</v>
      </c>
      <c r="L3077" s="1">
        <v>3</v>
      </c>
      <c r="M3077" s="32">
        <f>IF(Mecze[[#This Row],[PR]]=0,0,Mecze[[#This Row],[PR]]/Mecze[[#This Row],[CZAS]])</f>
        <v>3.0927835051546393E-2</v>
      </c>
      <c r="N3077" s="32">
        <f>IF(Mecze[[#This Row],[OU]]=0,0,Mecze[[#This Row],[OU]]/Mecze[[#This Row],[CZAS]])</f>
        <v>2.0618556701030927E-2</v>
      </c>
      <c r="O3077" s="32">
        <f>IF(Mecze[[#This Row],[PC]]=0,0,Mecze[[#This Row],[PC]]/Mecze[[#This Row],[CZAS]])</f>
        <v>3.0927835051546393E-2</v>
      </c>
      <c r="P3077" s="32">
        <f>IF(Mecze[[#This Row],[SC]]=0,0,Mecze[[#This Row],[SC]]/Mecze[[#This Row],[CZAS]])</f>
        <v>4.1237113402061855E-2</v>
      </c>
      <c r="Q3077" s="32">
        <f>IF(Mecze[[#This Row],[OB]]=0,0,Mecze[[#This Row],[OB]]/Mecze[[#This Row],[CZAS]])</f>
        <v>0</v>
      </c>
      <c r="R3077" s="32">
        <f>IF(Mecze[[#This Row],[BR]]=0,0,Mecze[[#This Row],[BR]]/Mecze[[#This Row],[CZAS]])</f>
        <v>2.0618556701030927E-2</v>
      </c>
      <c r="S3077" s="44">
        <f>IF(Mecze[[#This Row],[Role]]="BR",SUMPRODUCT(Mecze[[#This Row],[/PR:90]:[/BR:90]],Brudnopis!$E$23:$J$23),0)</f>
        <v>0</v>
      </c>
      <c r="T3077" s="44">
        <f>IF(Mecze[[#This Row],[Role]]&lt;&gt;"BR",SUMPRODUCT(Mecze[[#This Row],[/PR:90]:[/BR:90]],Brudnopis!$E$24:$J$24),0)</f>
        <v>0.16494845360824742</v>
      </c>
      <c r="U3077" s="44">
        <f>IF(Mecze[[#This Row],[Role]]&lt;&gt;"BR",SUMPRODUCT(Mecze[[#This Row],[/PR:90]:[/BR:90]],Brudnopis!$E$25:$J$25),0)</f>
        <v>0.17010309278350516</v>
      </c>
      <c r="V3077" s="44">
        <f>IF(Mecze[[#This Row],[Role]]&lt;&gt;"BR",SUMPRODUCT(Mecze[[#This Row],[/PR:90]:[/BR:90]],Brudnopis!$E$26:$J$26),0)</f>
        <v>0.16494845360824742</v>
      </c>
      <c r="W3077" s="44">
        <f>IF(Mecze[[#This Row],[Role]]&lt;&gt;"BR",SUMPRODUCT(Mecze[[#This Row],[/PR:90]:[/BR:90]],Brudnopis!$E$27:$J$27),0)</f>
        <v>0.16752577319587628</v>
      </c>
      <c r="X3077" s="44">
        <f>IF(Mecze[[#This Row],[Role]]&lt;&gt;"BR",SUMPRODUCT(Mecze[[#This Row],[/PR:90]:[/BR:90]],Brudnopis!$E$28:$J$28),0)</f>
        <v>0.17525773195876287</v>
      </c>
      <c r="Y3077" s="35">
        <f>IF(Mecze[[#This Row],[Role]]="BR",Mecze[[#This Row],[/OB:90]]+Mecze[[#This Row],[/PC:90]],SUM(Mecze[[#This Row],[/PR:90]:[/BR:90]]))</f>
        <v>0.14432989690721651</v>
      </c>
      <c r="Z3077" s="35">
        <f>IF(Mecze[[#This Row],[KC]]=0,SUM(Mecze[[#This Row],[/BRI]:[/NPI]]),SUM(Mecze[[#This Row],[/BRI]:[/NPI]])*0.6)</f>
        <v>0.84278350515463907</v>
      </c>
      <c r="AA3077" s="10">
        <f>IFERROR(Mecze[[#This Row],[BR]]/Mecze[[#This Row],[ST]],0)</f>
        <v>0.5</v>
      </c>
      <c r="AB3077">
        <f>ROUND(Mecze[[#This Row],[PD]]*Mecze[[#This Row],[%PC]],0)</f>
        <v>3</v>
      </c>
      <c r="AC3077">
        <f>ROUND(Mecze[[#This Row],[OD]]*Mecze[[#This Row],[%OU]],0)</f>
        <v>2</v>
      </c>
      <c r="AD3077" s="36" t="s">
        <v>44</v>
      </c>
      <c r="AE3077" s="36">
        <v>172</v>
      </c>
      <c r="AF3077" s="71">
        <v>9.7899999999999991</v>
      </c>
      <c r="AG3077" s="37">
        <v>1</v>
      </c>
      <c r="AH3077" s="37">
        <v>0</v>
      </c>
      <c r="AI3077" s="37">
        <v>97</v>
      </c>
      <c r="AJ3077" s="37">
        <v>1</v>
      </c>
      <c r="AK3077" s="37" t="str">
        <f>VLOOKUP(Mecze[[#This Row],[Match ID]],Meczusie[Mecz]:Meczusie[RodzajMeczu],2,FALSE)</f>
        <v>Towarzyski</v>
      </c>
    </row>
    <row r="3078" spans="1:37" x14ac:dyDescent="0.25">
      <c r="A3078" s="76">
        <v>31</v>
      </c>
      <c r="B3078" s="3" t="s">
        <v>365</v>
      </c>
      <c r="C3078" s="2" t="s">
        <v>165</v>
      </c>
      <c r="D3078" s="1">
        <v>1</v>
      </c>
      <c r="E3078" s="1">
        <v>4</v>
      </c>
      <c r="F3078" s="1">
        <v>2</v>
      </c>
      <c r="G3078" s="1">
        <v>9</v>
      </c>
      <c r="H3078" s="4">
        <v>0.56000000000000005</v>
      </c>
      <c r="I3078" s="1">
        <v>6</v>
      </c>
      <c r="J3078" s="4">
        <v>0.33</v>
      </c>
      <c r="K3078" s="1">
        <v>0</v>
      </c>
      <c r="L3078" s="1">
        <v>1</v>
      </c>
      <c r="M3078" s="32">
        <f>IF(Mecze[[#This Row],[PR]]=0,0,Mecze[[#This Row],[PR]]/Mecze[[#This Row],[CZAS]])</f>
        <v>1.0309278350515464E-2</v>
      </c>
      <c r="N3078" s="32">
        <f>IF(Mecze[[#This Row],[OU]]=0,0,Mecze[[#This Row],[OU]]/Mecze[[#This Row],[CZAS]])</f>
        <v>2.0618556701030927E-2</v>
      </c>
      <c r="O3078" s="32">
        <f>IF(Mecze[[#This Row],[PC]]=0,0,Mecze[[#This Row],[PC]]/Mecze[[#This Row],[CZAS]])</f>
        <v>5.1546391752577317E-2</v>
      </c>
      <c r="P3078" s="32">
        <f>IF(Mecze[[#This Row],[SC]]=0,0,Mecze[[#This Row],[SC]]/Mecze[[#This Row],[CZAS]])</f>
        <v>2.0618556701030927E-2</v>
      </c>
      <c r="Q3078" s="32">
        <f>IF(Mecze[[#This Row],[OB]]=0,0,Mecze[[#This Row],[OB]]/Mecze[[#This Row],[CZAS]])</f>
        <v>0</v>
      </c>
      <c r="R3078" s="32">
        <f>IF(Mecze[[#This Row],[BR]]=0,0,Mecze[[#This Row],[BR]]/Mecze[[#This Row],[CZAS]])</f>
        <v>1.0309278350515464E-2</v>
      </c>
      <c r="S3078" s="44">
        <f>IF(Mecze[[#This Row],[Role]]="BR",SUMPRODUCT(Mecze[[#This Row],[/PR:90]:[/BR:90]],Brudnopis!$E$23:$J$23),0)</f>
        <v>0</v>
      </c>
      <c r="T3078" s="44">
        <f>IF(Mecze[[#This Row],[Role]]&lt;&gt;"BR",SUMPRODUCT(Mecze[[#This Row],[/PR:90]:[/BR:90]],Brudnopis!$E$24:$J$24),0)</f>
        <v>0.12886597938144329</v>
      </c>
      <c r="U3078" s="44">
        <f>IF(Mecze[[#This Row],[Role]]&lt;&gt;"BR",SUMPRODUCT(Mecze[[#This Row],[/PR:90]:[/BR:90]],Brudnopis!$E$25:$J$25),0)</f>
        <v>0.14432989690721651</v>
      </c>
      <c r="V3078" s="44">
        <f>IF(Mecze[[#This Row],[Role]]&lt;&gt;"BR",SUMPRODUCT(Mecze[[#This Row],[/PR:90]:[/BR:90]],Brudnopis!$E$26:$J$26),0)</f>
        <v>0.12371134020618556</v>
      </c>
      <c r="W3078" s="44">
        <f>IF(Mecze[[#This Row],[Role]]&lt;&gt;"BR",SUMPRODUCT(Mecze[[#This Row],[/PR:90]:[/BR:90]],Brudnopis!$E$27:$J$27),0)</f>
        <v>0.14175257731958762</v>
      </c>
      <c r="X3078" s="44">
        <f>IF(Mecze[[#This Row],[Role]]&lt;&gt;"BR",SUMPRODUCT(Mecze[[#This Row],[/PR:90]:[/BR:90]],Brudnopis!$E$28:$J$28),0)</f>
        <v>0.12371134020618557</v>
      </c>
      <c r="Y3078" s="35">
        <f>IF(Mecze[[#This Row],[Role]]="BR",Mecze[[#This Row],[/OB:90]]+Mecze[[#This Row],[/PC:90]],SUM(Mecze[[#This Row],[/PR:90]:[/BR:90]]))</f>
        <v>0.1134020618556701</v>
      </c>
      <c r="Z3078" s="35">
        <f>IF(Mecze[[#This Row],[KC]]=0,SUM(Mecze[[#This Row],[/BRI]:[/NPI]]),SUM(Mecze[[#This Row],[/BRI]:[/NPI]])*0.6)</f>
        <v>0.66237113402061865</v>
      </c>
      <c r="AA3078" s="10">
        <f>IFERROR(Mecze[[#This Row],[BR]]/Mecze[[#This Row],[ST]],0)</f>
        <v>0.25</v>
      </c>
      <c r="AB3078">
        <f>ROUND(Mecze[[#This Row],[PD]]*Mecze[[#This Row],[%PC]],0)</f>
        <v>5</v>
      </c>
      <c r="AC3078">
        <f>ROUND(Mecze[[#This Row],[OD]]*Mecze[[#This Row],[%OU]],0)</f>
        <v>2</v>
      </c>
      <c r="AD3078" s="36" t="s">
        <v>46</v>
      </c>
      <c r="AE3078" s="36">
        <v>172</v>
      </c>
      <c r="AF3078" s="71">
        <v>8</v>
      </c>
      <c r="AG3078" s="37">
        <v>0</v>
      </c>
      <c r="AH3078" s="37">
        <v>0</v>
      </c>
      <c r="AI3078" s="37">
        <v>97</v>
      </c>
      <c r="AJ3078" s="37">
        <v>1</v>
      </c>
      <c r="AK3078" s="37" t="str">
        <f>VLOOKUP(Mecze[[#This Row],[Match ID]],Meczusie[Mecz]:Meczusie[RodzajMeczu],2,FALSE)</f>
        <v>Towarzyski</v>
      </c>
    </row>
    <row r="3079" spans="1:37" x14ac:dyDescent="0.25">
      <c r="A3079" s="76">
        <v>61</v>
      </c>
      <c r="B3079" s="3" t="s">
        <v>454</v>
      </c>
      <c r="C3079" s="2" t="s">
        <v>165</v>
      </c>
      <c r="D3079" s="1">
        <v>0</v>
      </c>
      <c r="E3079" s="1">
        <v>3</v>
      </c>
      <c r="F3079" s="1">
        <v>3</v>
      </c>
      <c r="G3079" s="1">
        <v>9</v>
      </c>
      <c r="H3079" s="4">
        <v>0.56000000000000005</v>
      </c>
      <c r="I3079" s="1">
        <v>3</v>
      </c>
      <c r="J3079" s="4">
        <v>0.33</v>
      </c>
      <c r="K3079" s="1">
        <v>0</v>
      </c>
      <c r="L3079" s="1">
        <v>0</v>
      </c>
      <c r="M3079" s="32">
        <f>IF(Mecze[[#This Row],[PR]]=0,0,Mecze[[#This Row],[PR]]/Mecze[[#This Row],[CZAS]])</f>
        <v>0</v>
      </c>
      <c r="N3079" s="32">
        <f>IF(Mecze[[#This Row],[OU]]=0,0,Mecze[[#This Row],[OU]]/Mecze[[#This Row],[CZAS]])</f>
        <v>1.0309278350515464E-2</v>
      </c>
      <c r="O3079" s="32">
        <f>IF(Mecze[[#This Row],[PC]]=0,0,Mecze[[#This Row],[PC]]/Mecze[[#This Row],[CZAS]])</f>
        <v>5.1546391752577317E-2</v>
      </c>
      <c r="P3079" s="32">
        <f>IF(Mecze[[#This Row],[SC]]=0,0,Mecze[[#This Row],[SC]]/Mecze[[#This Row],[CZAS]])</f>
        <v>3.0927835051546393E-2</v>
      </c>
      <c r="Q3079" s="32">
        <f>IF(Mecze[[#This Row],[OB]]=0,0,Mecze[[#This Row],[OB]]/Mecze[[#This Row],[CZAS]])</f>
        <v>0</v>
      </c>
      <c r="R3079" s="32">
        <f>IF(Mecze[[#This Row],[BR]]=0,0,Mecze[[#This Row],[BR]]/Mecze[[#This Row],[CZAS]])</f>
        <v>0</v>
      </c>
      <c r="S3079" s="44">
        <f>IF(Mecze[[#This Row],[Role]]="BR",SUMPRODUCT(Mecze[[#This Row],[/PR:90]:[/BR:90]],Brudnopis!$E$23:$J$23),0)</f>
        <v>0</v>
      </c>
      <c r="T3079" s="44">
        <f>IF(Mecze[[#This Row],[Role]]&lt;&gt;"BR",SUMPRODUCT(Mecze[[#This Row],[/PR:90]:[/BR:90]],Brudnopis!$E$24:$J$24),0)</f>
        <v>9.7938144329896906E-2</v>
      </c>
      <c r="U3079" s="44">
        <f>IF(Mecze[[#This Row],[Role]]&lt;&gt;"BR",SUMPRODUCT(Mecze[[#This Row],[/PR:90]:[/BR:90]],Brudnopis!$E$25:$J$25),0)</f>
        <v>0.11855670103092784</v>
      </c>
      <c r="V3079" s="44">
        <f>IF(Mecze[[#This Row],[Role]]&lt;&gt;"BR",SUMPRODUCT(Mecze[[#This Row],[/PR:90]:[/BR:90]],Brudnopis!$E$26:$J$26),0)</f>
        <v>9.2783505154639179E-2</v>
      </c>
      <c r="W3079" s="44">
        <f>IF(Mecze[[#This Row],[Role]]&lt;&gt;"BR",SUMPRODUCT(Mecze[[#This Row],[/PR:90]:[/BR:90]],Brudnopis!$E$27:$J$27),0)</f>
        <v>0.11597938144329897</v>
      </c>
      <c r="X3079" s="44">
        <f>IF(Mecze[[#This Row],[Role]]&lt;&gt;"BR",SUMPRODUCT(Mecze[[#This Row],[/PR:90]:[/BR:90]],Brudnopis!$E$28:$J$28),0)</f>
        <v>0.1134020618556701</v>
      </c>
      <c r="Y3079" s="35">
        <f>IF(Mecze[[#This Row],[Role]]="BR",Mecze[[#This Row],[/OB:90]]+Mecze[[#This Row],[/PC:90]],SUM(Mecze[[#This Row],[/PR:90]:[/BR:90]]))</f>
        <v>9.2783505154639179E-2</v>
      </c>
      <c r="Z3079" s="35">
        <f>IF(Mecze[[#This Row],[KC]]=0,SUM(Mecze[[#This Row],[/BRI]:[/NPI]]),SUM(Mecze[[#This Row],[/BRI]:[/NPI]])*0.6)</f>
        <v>0.53865979381443307</v>
      </c>
      <c r="AA3079" s="10">
        <f>IFERROR(Mecze[[#This Row],[BR]]/Mecze[[#This Row],[ST]],0)</f>
        <v>0</v>
      </c>
      <c r="AB3079">
        <f>ROUND(Mecze[[#This Row],[PD]]*Mecze[[#This Row],[%PC]],0)</f>
        <v>5</v>
      </c>
      <c r="AC3079">
        <f>ROUND(Mecze[[#This Row],[OD]]*Mecze[[#This Row],[%OU]],0)</f>
        <v>1</v>
      </c>
      <c r="AD3079" s="36" t="s">
        <v>46</v>
      </c>
      <c r="AE3079" s="36">
        <v>172</v>
      </c>
      <c r="AF3079" s="71">
        <v>5.92</v>
      </c>
      <c r="AG3079" s="37">
        <v>0</v>
      </c>
      <c r="AH3079" s="37">
        <v>0</v>
      </c>
      <c r="AI3079" s="37">
        <v>97</v>
      </c>
      <c r="AJ3079" s="37">
        <v>1</v>
      </c>
      <c r="AK3079" s="37" t="str">
        <f>VLOOKUP(Mecze[[#This Row],[Match ID]],Meczusie[Mecz]:Meczusie[RodzajMeczu],2,FALSE)</f>
        <v>Towarzyski</v>
      </c>
    </row>
    <row r="3080" spans="1:37" x14ac:dyDescent="0.25">
      <c r="A3080" s="76">
        <v>46</v>
      </c>
      <c r="B3080" s="3" t="s">
        <v>395</v>
      </c>
      <c r="C3080" s="2" t="s">
        <v>165</v>
      </c>
      <c r="D3080" s="1">
        <v>0</v>
      </c>
      <c r="E3080" s="1">
        <v>0</v>
      </c>
      <c r="F3080" s="1">
        <v>0</v>
      </c>
      <c r="G3080" s="1">
        <v>9</v>
      </c>
      <c r="H3080" s="4">
        <v>0.56000000000000005</v>
      </c>
      <c r="I3080" s="1">
        <v>2</v>
      </c>
      <c r="J3080" s="4">
        <v>0</v>
      </c>
      <c r="K3080" s="1">
        <v>0</v>
      </c>
      <c r="L3080" s="1">
        <v>0</v>
      </c>
      <c r="M3080" s="32">
        <f>IF(Mecze[[#This Row],[PR]]=0,0,Mecze[[#This Row],[PR]]/Mecze[[#This Row],[CZAS]])</f>
        <v>0</v>
      </c>
      <c r="N3080" s="32">
        <f>IF(Mecze[[#This Row],[OU]]=0,0,Mecze[[#This Row],[OU]]/Mecze[[#This Row],[CZAS]])</f>
        <v>0</v>
      </c>
      <c r="O3080" s="32">
        <f>IF(Mecze[[#This Row],[PC]]=0,0,Mecze[[#This Row],[PC]]/Mecze[[#This Row],[CZAS]])</f>
        <v>5.1546391752577317E-2</v>
      </c>
      <c r="P3080" s="32">
        <f>IF(Mecze[[#This Row],[SC]]=0,0,Mecze[[#This Row],[SC]]/Mecze[[#This Row],[CZAS]])</f>
        <v>0</v>
      </c>
      <c r="Q3080" s="32">
        <f>IF(Mecze[[#This Row],[OB]]=0,0,Mecze[[#This Row],[OB]]/Mecze[[#This Row],[CZAS]])</f>
        <v>0</v>
      </c>
      <c r="R3080" s="32">
        <f>IF(Mecze[[#This Row],[BR]]=0,0,Mecze[[#This Row],[BR]]/Mecze[[#This Row],[CZAS]])</f>
        <v>0</v>
      </c>
      <c r="S3080" s="44">
        <f>IF(Mecze[[#This Row],[Role]]="BR",SUMPRODUCT(Mecze[[#This Row],[/PR:90]:[/BR:90]],Brudnopis!$E$23:$J$23),0)</f>
        <v>0</v>
      </c>
      <c r="T3080" s="44">
        <f>IF(Mecze[[#This Row],[Role]]&lt;&gt;"BR",SUMPRODUCT(Mecze[[#This Row],[/PR:90]:[/BR:90]],Brudnopis!$E$24:$J$24),0)</f>
        <v>5.1546391752577317E-2</v>
      </c>
      <c r="U3080" s="44">
        <f>IF(Mecze[[#This Row],[Role]]&lt;&gt;"BR",SUMPRODUCT(Mecze[[#This Row],[/PR:90]:[/BR:90]],Brudnopis!$E$25:$J$25),0)</f>
        <v>7.7319587628865982E-2</v>
      </c>
      <c r="V3080" s="44">
        <f>IF(Mecze[[#This Row],[Role]]&lt;&gt;"BR",SUMPRODUCT(Mecze[[#This Row],[/PR:90]:[/BR:90]],Brudnopis!$E$26:$J$26),0)</f>
        <v>5.1546391752577317E-2</v>
      </c>
      <c r="W3080" s="44">
        <f>IF(Mecze[[#This Row],[Role]]&lt;&gt;"BR",SUMPRODUCT(Mecze[[#This Row],[/PR:90]:[/BR:90]],Brudnopis!$E$27:$J$27),0)</f>
        <v>7.7319587628865982E-2</v>
      </c>
      <c r="X3080" s="44">
        <f>IF(Mecze[[#This Row],[Role]]&lt;&gt;"BR",SUMPRODUCT(Mecze[[#This Row],[/PR:90]:[/BR:90]],Brudnopis!$E$28:$J$28),0)</f>
        <v>5.1546391752577317E-2</v>
      </c>
      <c r="Y3080" s="35">
        <f>IF(Mecze[[#This Row],[Role]]="BR",Mecze[[#This Row],[/OB:90]]+Mecze[[#This Row],[/PC:90]],SUM(Mecze[[#This Row],[/PR:90]:[/BR:90]]))</f>
        <v>5.1546391752577317E-2</v>
      </c>
      <c r="Z3080" s="35">
        <f>IF(Mecze[[#This Row],[KC]]=0,SUM(Mecze[[#This Row],[/BRI]:[/NPI]]),SUM(Mecze[[#This Row],[/BRI]:[/NPI]])*0.6)</f>
        <v>0.30927835051546387</v>
      </c>
      <c r="AA3080" s="10">
        <f>IFERROR(Mecze[[#This Row],[BR]]/Mecze[[#This Row],[ST]],0)</f>
        <v>0</v>
      </c>
      <c r="AB3080">
        <f>ROUND(Mecze[[#This Row],[PD]]*Mecze[[#This Row],[%PC]],0)</f>
        <v>5</v>
      </c>
      <c r="AC3080">
        <f>ROUND(Mecze[[#This Row],[OD]]*Mecze[[#This Row],[%OU]],0)</f>
        <v>0</v>
      </c>
      <c r="AD3080" s="36" t="s">
        <v>46</v>
      </c>
      <c r="AE3080" s="36">
        <v>172</v>
      </c>
      <c r="AF3080" s="71">
        <v>5.26</v>
      </c>
      <c r="AG3080" s="37">
        <v>0</v>
      </c>
      <c r="AH3080" s="37">
        <v>0</v>
      </c>
      <c r="AI3080" s="37">
        <v>97</v>
      </c>
      <c r="AJ3080" s="37">
        <v>1</v>
      </c>
      <c r="AK3080" s="37" t="str">
        <f>VLOOKUP(Mecze[[#This Row],[Match ID]],Meczusie[Mecz]:Meczusie[RodzajMeczu],2,FALSE)</f>
        <v>Towarzyski</v>
      </c>
    </row>
    <row r="3081" spans="1:37" x14ac:dyDescent="0.25">
      <c r="A3081" s="76">
        <v>39</v>
      </c>
      <c r="B3081" s="3" t="s">
        <v>450</v>
      </c>
      <c r="C3081" s="2" t="s">
        <v>155</v>
      </c>
      <c r="D3081" s="1">
        <v>0</v>
      </c>
      <c r="E3081" s="1">
        <v>0</v>
      </c>
      <c r="F3081" s="1">
        <v>0</v>
      </c>
      <c r="G3081" s="1">
        <v>8</v>
      </c>
      <c r="H3081" s="4">
        <v>0.25</v>
      </c>
      <c r="I3081" s="1">
        <v>0</v>
      </c>
      <c r="J3081" s="4"/>
      <c r="K3081" s="1">
        <v>2</v>
      </c>
      <c r="L3081" s="1">
        <v>0</v>
      </c>
      <c r="M3081" s="32">
        <f>IF(Mecze[[#This Row],[PR]]=0,0,Mecze[[#This Row],[PR]]/Mecze[[#This Row],[CZAS]])</f>
        <v>0</v>
      </c>
      <c r="N3081" s="32">
        <f>IF(Mecze[[#This Row],[OU]]=0,0,Mecze[[#This Row],[OU]]/Mecze[[#This Row],[CZAS]])</f>
        <v>0</v>
      </c>
      <c r="O3081" s="32">
        <f>IF(Mecze[[#This Row],[PC]]=0,0,Mecze[[#This Row],[PC]]/Mecze[[#This Row],[CZAS]])</f>
        <v>2.0202020202020204E-2</v>
      </c>
      <c r="P3081" s="32">
        <f>IF(Mecze[[#This Row],[SC]]=0,0,Mecze[[#This Row],[SC]]/Mecze[[#This Row],[CZAS]])</f>
        <v>0</v>
      </c>
      <c r="Q3081" s="32">
        <f>IF(Mecze[[#This Row],[OB]]=0,0,Mecze[[#This Row],[OB]]/Mecze[[#This Row],[CZAS]])</f>
        <v>2.0202020202020204E-2</v>
      </c>
      <c r="R3081" s="32">
        <f>IF(Mecze[[#This Row],[BR]]=0,0,Mecze[[#This Row],[BR]]/Mecze[[#This Row],[CZAS]])</f>
        <v>0</v>
      </c>
      <c r="S3081" s="44">
        <f>IF(Mecze[[#This Row],[Role]]="BR",SUMPRODUCT(Mecze[[#This Row],[/PR:90]:[/BR:90]],Brudnopis!$E$23:$J$23),0)</f>
        <v>0.12121212121212122</v>
      </c>
      <c r="T3081" s="44">
        <f>IF(Mecze[[#This Row],[Role]]&lt;&gt;"BR",SUMPRODUCT(Mecze[[#This Row],[/PR:90]:[/BR:90]],Brudnopis!$E$24:$J$24),0)</f>
        <v>0</v>
      </c>
      <c r="U3081" s="44">
        <f>IF(Mecze[[#This Row],[Role]]&lt;&gt;"BR",SUMPRODUCT(Mecze[[#This Row],[/PR:90]:[/BR:90]],Brudnopis!$E$25:$J$25),0)</f>
        <v>0</v>
      </c>
      <c r="V3081" s="44">
        <f>IF(Mecze[[#This Row],[Role]]&lt;&gt;"BR",SUMPRODUCT(Mecze[[#This Row],[/PR:90]:[/BR:90]],Brudnopis!$E$26:$J$26),0)</f>
        <v>0</v>
      </c>
      <c r="W3081" s="44">
        <f>IF(Mecze[[#This Row],[Role]]&lt;&gt;"BR",SUMPRODUCT(Mecze[[#This Row],[/PR:90]:[/BR:90]],Brudnopis!$E$27:$J$27),0)</f>
        <v>0</v>
      </c>
      <c r="X3081" s="44">
        <f>IF(Mecze[[#This Row],[Role]]&lt;&gt;"BR",SUMPRODUCT(Mecze[[#This Row],[/PR:90]:[/BR:90]],Brudnopis!$E$28:$J$28),0)</f>
        <v>0</v>
      </c>
      <c r="Y3081" s="35">
        <f>IF(Mecze[[#This Row],[Role]]="BR",Mecze[[#This Row],[/OB:90]]+Mecze[[#This Row],[/PC:90]],SUM(Mecze[[#This Row],[/PR:90]:[/BR:90]]))</f>
        <v>4.0404040404040407E-2</v>
      </c>
      <c r="Z3081" s="35">
        <f>IF(Mecze[[#This Row],[KC]]=0,SUM(Mecze[[#This Row],[/BRI]:[/NPI]]),SUM(Mecze[[#This Row],[/BRI]:[/NPI]])*0.6)</f>
        <v>0.12121212121212122</v>
      </c>
      <c r="AA3081" s="10">
        <f>IFERROR(Mecze[[#This Row],[BR]]/Mecze[[#This Row],[ST]],0)</f>
        <v>0</v>
      </c>
      <c r="AB3081">
        <f>ROUND(Mecze[[#This Row],[PD]]*Mecze[[#This Row],[%PC]],0)</f>
        <v>2</v>
      </c>
      <c r="AC3081">
        <f>ROUND(Mecze[[#This Row],[OD]]*Mecze[[#This Row],[%OU]],0)</f>
        <v>0</v>
      </c>
      <c r="AD3081" s="36" t="s">
        <v>40</v>
      </c>
      <c r="AE3081" s="36">
        <v>173</v>
      </c>
      <c r="AF3081" s="71">
        <v>2.29</v>
      </c>
      <c r="AG3081" s="37">
        <v>0</v>
      </c>
      <c r="AH3081" s="37">
        <v>0</v>
      </c>
      <c r="AI3081" s="37">
        <v>99</v>
      </c>
      <c r="AJ3081" s="37">
        <v>1</v>
      </c>
      <c r="AK3081" s="37" t="str">
        <f>VLOOKUP(Mecze[[#This Row],[Match ID]],Meczusie[Mecz]:Meczusie[RodzajMeczu],2,FALSE)</f>
        <v>Towarzyski</v>
      </c>
    </row>
    <row r="3082" spans="1:37" x14ac:dyDescent="0.25">
      <c r="A3082" s="76">
        <v>38</v>
      </c>
      <c r="B3082" s="3" t="s">
        <v>359</v>
      </c>
      <c r="C3082" s="2" t="s">
        <v>157</v>
      </c>
      <c r="D3082" s="1">
        <v>0</v>
      </c>
      <c r="E3082" s="1">
        <v>0</v>
      </c>
      <c r="F3082" s="1">
        <v>0</v>
      </c>
      <c r="G3082" s="1">
        <v>9</v>
      </c>
      <c r="H3082" s="4">
        <v>0.67</v>
      </c>
      <c r="I3082" s="1">
        <v>5</v>
      </c>
      <c r="J3082" s="4">
        <v>0.8</v>
      </c>
      <c r="K3082" s="1">
        <v>0</v>
      </c>
      <c r="L3082" s="1">
        <v>9</v>
      </c>
      <c r="M3082" s="32">
        <f>IF(Mecze[[#This Row],[PR]]=0,0,Mecze[[#This Row],[PR]]/Mecze[[#This Row],[CZAS]])</f>
        <v>9.0909090909090912E-2</v>
      </c>
      <c r="N3082" s="32">
        <f>IF(Mecze[[#This Row],[OU]]=0,0,Mecze[[#This Row],[OU]]/Mecze[[#This Row],[CZAS]])</f>
        <v>4.0404040404040407E-2</v>
      </c>
      <c r="O3082" s="32">
        <f>IF(Mecze[[#This Row],[PC]]=0,0,Mecze[[#This Row],[PC]]/Mecze[[#This Row],[CZAS]])</f>
        <v>6.0606060606060608E-2</v>
      </c>
      <c r="P3082" s="32">
        <f>IF(Mecze[[#This Row],[SC]]=0,0,Mecze[[#This Row],[SC]]/Mecze[[#This Row],[CZAS]])</f>
        <v>0</v>
      </c>
      <c r="Q3082" s="32">
        <f>IF(Mecze[[#This Row],[OB]]=0,0,Mecze[[#This Row],[OB]]/Mecze[[#This Row],[CZAS]])</f>
        <v>0</v>
      </c>
      <c r="R3082" s="32">
        <f>IF(Mecze[[#This Row],[BR]]=0,0,Mecze[[#This Row],[BR]]/Mecze[[#This Row],[CZAS]])</f>
        <v>0</v>
      </c>
      <c r="S3082" s="44">
        <f>IF(Mecze[[#This Row],[Role]]="BR",SUMPRODUCT(Mecze[[#This Row],[/PR:90]:[/BR:90]],Brudnopis!$E$23:$J$23),0)</f>
        <v>0</v>
      </c>
      <c r="T3082" s="44">
        <f>IF(Mecze[[#This Row],[Role]]&lt;&gt;"BR",SUMPRODUCT(Mecze[[#This Row],[/PR:90]:[/BR:90]],Brudnopis!$E$24:$J$24),0)</f>
        <v>0.21212121212121213</v>
      </c>
      <c r="U3082" s="44">
        <f>IF(Mecze[[#This Row],[Role]]&lt;&gt;"BR",SUMPRODUCT(Mecze[[#This Row],[/PR:90]:[/BR:90]],Brudnopis!$E$25:$J$25),0)</f>
        <v>0.22222222222222224</v>
      </c>
      <c r="V3082" s="44">
        <f>IF(Mecze[[#This Row],[Role]]&lt;&gt;"BR",SUMPRODUCT(Mecze[[#This Row],[/PR:90]:[/BR:90]],Brudnopis!$E$26:$J$26),0)</f>
        <v>0.19191919191919193</v>
      </c>
      <c r="W3082" s="44">
        <f>IF(Mecze[[#This Row],[Role]]&lt;&gt;"BR",SUMPRODUCT(Mecze[[#This Row],[/PR:90]:[/BR:90]],Brudnopis!$E$27:$J$27),0)</f>
        <v>0.18939393939393939</v>
      </c>
      <c r="X3082" s="44">
        <f>IF(Mecze[[#This Row],[Role]]&lt;&gt;"BR",SUMPRODUCT(Mecze[[#This Row],[/PR:90]:[/BR:90]],Brudnopis!$E$28:$J$28),0)</f>
        <v>6.0606060606060608E-2</v>
      </c>
      <c r="Y3082" s="35">
        <f>IF(Mecze[[#This Row],[Role]]="BR",Mecze[[#This Row],[/OB:90]]+Mecze[[#This Row],[/PC:90]],SUM(Mecze[[#This Row],[/PR:90]:[/BR:90]]))</f>
        <v>0.19191919191919193</v>
      </c>
      <c r="Z3082" s="35">
        <f>IF(Mecze[[#This Row],[KC]]=0,SUM(Mecze[[#This Row],[/BRI]:[/NPI]]),SUM(Mecze[[#This Row],[/BRI]:[/NPI]])*0.6)</f>
        <v>0.8762626262626263</v>
      </c>
      <c r="AA3082" s="10">
        <f>IFERROR(Mecze[[#This Row],[BR]]/Mecze[[#This Row],[ST]],0)</f>
        <v>0</v>
      </c>
      <c r="AB3082">
        <f>ROUND(Mecze[[#This Row],[PD]]*Mecze[[#This Row],[%PC]],0)</f>
        <v>6</v>
      </c>
      <c r="AC3082">
        <f>ROUND(Mecze[[#This Row],[OD]]*Mecze[[#This Row],[%OU]],0)</f>
        <v>4</v>
      </c>
      <c r="AD3082" s="36" t="s">
        <v>47</v>
      </c>
      <c r="AE3082" s="36">
        <v>173</v>
      </c>
      <c r="AF3082" s="71">
        <v>4.6900000000000004</v>
      </c>
      <c r="AG3082" s="37">
        <v>1</v>
      </c>
      <c r="AH3082" s="37">
        <v>0</v>
      </c>
      <c r="AI3082" s="37">
        <v>99</v>
      </c>
      <c r="AJ3082" s="37">
        <v>1</v>
      </c>
      <c r="AK3082" s="37" t="str">
        <f>VLOOKUP(Mecze[[#This Row],[Match ID]],Meczusie[Mecz]:Meczusie[RodzajMeczu],2,FALSE)</f>
        <v>Towarzyski</v>
      </c>
    </row>
    <row r="3083" spans="1:37" x14ac:dyDescent="0.25">
      <c r="A3083" s="76">
        <v>17</v>
      </c>
      <c r="B3083" s="3" t="s">
        <v>413</v>
      </c>
      <c r="C3083" s="2" t="s">
        <v>157</v>
      </c>
      <c r="D3083" s="1">
        <v>0</v>
      </c>
      <c r="E3083" s="1">
        <v>0</v>
      </c>
      <c r="F3083" s="1">
        <v>0</v>
      </c>
      <c r="G3083" s="1">
        <v>7</v>
      </c>
      <c r="H3083" s="4">
        <v>0.56999999999999995</v>
      </c>
      <c r="I3083" s="1">
        <v>4</v>
      </c>
      <c r="J3083" s="4">
        <v>0.5</v>
      </c>
      <c r="K3083" s="1">
        <v>0</v>
      </c>
      <c r="L3083" s="1">
        <v>8</v>
      </c>
      <c r="M3083" s="32">
        <f>IF(Mecze[[#This Row],[PR]]=0,0,Mecze[[#This Row],[PR]]/Mecze[[#This Row],[CZAS]])</f>
        <v>8.0808080808080815E-2</v>
      </c>
      <c r="N3083" s="32">
        <f>IF(Mecze[[#This Row],[OU]]=0,0,Mecze[[#This Row],[OU]]/Mecze[[#This Row],[CZAS]])</f>
        <v>2.0202020202020204E-2</v>
      </c>
      <c r="O3083" s="32">
        <f>IF(Mecze[[#This Row],[PC]]=0,0,Mecze[[#This Row],[PC]]/Mecze[[#This Row],[CZAS]])</f>
        <v>4.0404040404040407E-2</v>
      </c>
      <c r="P3083" s="32">
        <f>IF(Mecze[[#This Row],[SC]]=0,0,Mecze[[#This Row],[SC]]/Mecze[[#This Row],[CZAS]])</f>
        <v>0</v>
      </c>
      <c r="Q3083" s="32">
        <f>IF(Mecze[[#This Row],[OB]]=0,0,Mecze[[#This Row],[OB]]/Mecze[[#This Row],[CZAS]])</f>
        <v>0</v>
      </c>
      <c r="R3083" s="32">
        <f>IF(Mecze[[#This Row],[BR]]=0,0,Mecze[[#This Row],[BR]]/Mecze[[#This Row],[CZAS]])</f>
        <v>0</v>
      </c>
      <c r="S3083" s="44">
        <f>IF(Mecze[[#This Row],[Role]]="BR",SUMPRODUCT(Mecze[[#This Row],[/PR:90]:[/BR:90]],Brudnopis!$E$23:$J$23),0)</f>
        <v>0</v>
      </c>
      <c r="T3083" s="44">
        <f>IF(Mecze[[#This Row],[Role]]&lt;&gt;"BR",SUMPRODUCT(Mecze[[#This Row],[/PR:90]:[/BR:90]],Brudnopis!$E$24:$J$24),0)</f>
        <v>0.15151515151515152</v>
      </c>
      <c r="U3083" s="44">
        <f>IF(Mecze[[#This Row],[Role]]&lt;&gt;"BR",SUMPRODUCT(Mecze[[#This Row],[/PR:90]:[/BR:90]],Brudnopis!$E$25:$J$25),0)</f>
        <v>0.16161616161616163</v>
      </c>
      <c r="V3083" s="44">
        <f>IF(Mecze[[#This Row],[Role]]&lt;&gt;"BR",SUMPRODUCT(Mecze[[#This Row],[/PR:90]:[/BR:90]],Brudnopis!$E$26:$J$26),0)</f>
        <v>0.14141414141414144</v>
      </c>
      <c r="W3083" s="44">
        <f>IF(Mecze[[#This Row],[Role]]&lt;&gt;"BR",SUMPRODUCT(Mecze[[#This Row],[/PR:90]:[/BR:90]],Brudnopis!$E$27:$J$27),0)</f>
        <v>0.13636363636363635</v>
      </c>
      <c r="X3083" s="44">
        <f>IF(Mecze[[#This Row],[Role]]&lt;&gt;"BR",SUMPRODUCT(Mecze[[#This Row],[/PR:90]:[/BR:90]],Brudnopis!$E$28:$J$28),0)</f>
        <v>4.0404040404040407E-2</v>
      </c>
      <c r="Y3083" s="35">
        <f>IF(Mecze[[#This Row],[Role]]="BR",Mecze[[#This Row],[/OB:90]]+Mecze[[#This Row],[/PC:90]],SUM(Mecze[[#This Row],[/PR:90]:[/BR:90]]))</f>
        <v>0.14141414141414144</v>
      </c>
      <c r="Z3083" s="35">
        <f>IF(Mecze[[#This Row],[KC]]=0,SUM(Mecze[[#This Row],[/BRI]:[/NPI]]),SUM(Mecze[[#This Row],[/BRI]:[/NPI]])*0.6)</f>
        <v>0.63131313131313138</v>
      </c>
      <c r="AA3083" s="10">
        <f>IFERROR(Mecze[[#This Row],[BR]]/Mecze[[#This Row],[ST]],0)</f>
        <v>0</v>
      </c>
      <c r="AB3083">
        <f>ROUND(Mecze[[#This Row],[PD]]*Mecze[[#This Row],[%PC]],0)</f>
        <v>4</v>
      </c>
      <c r="AC3083">
        <f>ROUND(Mecze[[#This Row],[OD]]*Mecze[[#This Row],[%OU]],0)</f>
        <v>2</v>
      </c>
      <c r="AD3083" s="36" t="s">
        <v>167</v>
      </c>
      <c r="AE3083" s="36">
        <v>173</v>
      </c>
      <c r="AF3083" s="71">
        <v>4.3899999999999997</v>
      </c>
      <c r="AG3083" s="37">
        <v>0</v>
      </c>
      <c r="AH3083" s="37">
        <v>0</v>
      </c>
      <c r="AI3083" s="37">
        <v>99</v>
      </c>
      <c r="AJ3083" s="37">
        <v>1</v>
      </c>
      <c r="AK3083" s="37" t="str">
        <f>VLOOKUP(Mecze[[#This Row],[Match ID]],Meczusie[Mecz]:Meczusie[RodzajMeczu],2,FALSE)</f>
        <v>Towarzyski</v>
      </c>
    </row>
    <row r="3084" spans="1:37" x14ac:dyDescent="0.25">
      <c r="A3084" s="76">
        <v>50</v>
      </c>
      <c r="B3084" s="3" t="s">
        <v>496</v>
      </c>
      <c r="C3084" s="2" t="s">
        <v>157</v>
      </c>
      <c r="D3084" s="1">
        <v>0</v>
      </c>
      <c r="E3084" s="1">
        <v>0</v>
      </c>
      <c r="F3084" s="1">
        <v>0</v>
      </c>
      <c r="G3084" s="1">
        <v>7</v>
      </c>
      <c r="H3084" s="4">
        <v>0.43</v>
      </c>
      <c r="I3084" s="1">
        <v>6</v>
      </c>
      <c r="J3084" s="4">
        <v>0.17</v>
      </c>
      <c r="K3084" s="1">
        <v>0</v>
      </c>
      <c r="L3084" s="1">
        <v>5</v>
      </c>
      <c r="M3084" s="32">
        <f>IF(Mecze[[#This Row],[PR]]=0,0,Mecze[[#This Row],[PR]]/Mecze[[#This Row],[CZAS]])</f>
        <v>5.0505050505050504E-2</v>
      </c>
      <c r="N3084" s="32">
        <f>IF(Mecze[[#This Row],[OU]]=0,0,Mecze[[#This Row],[OU]]/Mecze[[#This Row],[CZAS]])</f>
        <v>1.0101010101010102E-2</v>
      </c>
      <c r="O3084" s="32">
        <f>IF(Mecze[[#This Row],[PC]]=0,0,Mecze[[#This Row],[PC]]/Mecze[[#This Row],[CZAS]])</f>
        <v>3.0303030303030304E-2</v>
      </c>
      <c r="P3084" s="32">
        <f>IF(Mecze[[#This Row],[SC]]=0,0,Mecze[[#This Row],[SC]]/Mecze[[#This Row],[CZAS]])</f>
        <v>0</v>
      </c>
      <c r="Q3084" s="32">
        <f>IF(Mecze[[#This Row],[OB]]=0,0,Mecze[[#This Row],[OB]]/Mecze[[#This Row],[CZAS]])</f>
        <v>0</v>
      </c>
      <c r="R3084" s="32">
        <f>IF(Mecze[[#This Row],[BR]]=0,0,Mecze[[#This Row],[BR]]/Mecze[[#This Row],[CZAS]])</f>
        <v>0</v>
      </c>
      <c r="S3084" s="44">
        <f>IF(Mecze[[#This Row],[Role]]="BR",SUMPRODUCT(Mecze[[#This Row],[/PR:90]:[/BR:90]],Brudnopis!$E$23:$J$23),0)</f>
        <v>0</v>
      </c>
      <c r="T3084" s="44">
        <f>IF(Mecze[[#This Row],[Role]]&lt;&gt;"BR",SUMPRODUCT(Mecze[[#This Row],[/PR:90]:[/BR:90]],Brudnopis!$E$24:$J$24),0)</f>
        <v>9.5959595959595967E-2</v>
      </c>
      <c r="U3084" s="44">
        <f>IF(Mecze[[#This Row],[Role]]&lt;&gt;"BR",SUMPRODUCT(Mecze[[#This Row],[/PR:90]:[/BR:90]],Brudnopis!$E$25:$J$25),0)</f>
        <v>0.10606060606060606</v>
      </c>
      <c r="V3084" s="44">
        <f>IF(Mecze[[#This Row],[Role]]&lt;&gt;"BR",SUMPRODUCT(Mecze[[#This Row],[/PR:90]:[/BR:90]],Brudnopis!$E$26:$J$26),0)</f>
        <v>9.0909090909090912E-2</v>
      </c>
      <c r="W3084" s="44">
        <f>IF(Mecze[[#This Row],[Role]]&lt;&gt;"BR",SUMPRODUCT(Mecze[[#This Row],[/PR:90]:[/BR:90]],Brudnopis!$E$27:$J$27),0)</f>
        <v>9.0909090909090912E-2</v>
      </c>
      <c r="X3084" s="44">
        <f>IF(Mecze[[#This Row],[Role]]&lt;&gt;"BR",SUMPRODUCT(Mecze[[#This Row],[/PR:90]:[/BR:90]],Brudnopis!$E$28:$J$28),0)</f>
        <v>3.0303030303030304E-2</v>
      </c>
      <c r="Y3084" s="35">
        <f>IF(Mecze[[#This Row],[Role]]="BR",Mecze[[#This Row],[/OB:90]]+Mecze[[#This Row],[/PC:90]],SUM(Mecze[[#This Row],[/PR:90]:[/BR:90]]))</f>
        <v>9.0909090909090912E-2</v>
      </c>
      <c r="Z3084" s="35">
        <f>IF(Mecze[[#This Row],[KC]]=0,SUM(Mecze[[#This Row],[/BRI]:[/NPI]]),SUM(Mecze[[#This Row],[/BRI]:[/NPI]])*0.6)</f>
        <v>0.41414141414141414</v>
      </c>
      <c r="AA3084" s="10">
        <f>IFERROR(Mecze[[#This Row],[BR]]/Mecze[[#This Row],[ST]],0)</f>
        <v>0</v>
      </c>
      <c r="AB3084">
        <f>ROUND(Mecze[[#This Row],[PD]]*Mecze[[#This Row],[%PC]],0)</f>
        <v>3</v>
      </c>
      <c r="AC3084">
        <f>ROUND(Mecze[[#This Row],[OD]]*Mecze[[#This Row],[%OU]],0)</f>
        <v>1</v>
      </c>
      <c r="AD3084" s="36" t="s">
        <v>168</v>
      </c>
      <c r="AE3084" s="36">
        <v>173</v>
      </c>
      <c r="AF3084" s="71">
        <v>2.64</v>
      </c>
      <c r="AG3084" s="37">
        <v>0</v>
      </c>
      <c r="AH3084" s="37">
        <v>0</v>
      </c>
      <c r="AI3084" s="37">
        <v>99</v>
      </c>
      <c r="AJ3084" s="37">
        <v>1</v>
      </c>
      <c r="AK3084" s="37" t="str">
        <f>VLOOKUP(Mecze[[#This Row],[Match ID]],Meczusie[Mecz]:Meczusie[RodzajMeczu],2,FALSE)</f>
        <v>Towarzyski</v>
      </c>
    </row>
    <row r="3085" spans="1:37" x14ac:dyDescent="0.25">
      <c r="A3085" s="76">
        <v>52</v>
      </c>
      <c r="B3085" s="3" t="s">
        <v>408</v>
      </c>
      <c r="C3085" s="2" t="s">
        <v>160</v>
      </c>
      <c r="D3085" s="1">
        <v>0</v>
      </c>
      <c r="E3085" s="1">
        <v>0</v>
      </c>
      <c r="F3085" s="1">
        <v>0</v>
      </c>
      <c r="G3085" s="1">
        <v>18</v>
      </c>
      <c r="H3085" s="4">
        <v>0.39</v>
      </c>
      <c r="I3085" s="1">
        <v>2</v>
      </c>
      <c r="J3085" s="4">
        <v>0</v>
      </c>
      <c r="K3085" s="1">
        <v>0</v>
      </c>
      <c r="L3085" s="1">
        <v>13</v>
      </c>
      <c r="M3085" s="32">
        <f>IF(Mecze[[#This Row],[PR]]=0,0,Mecze[[#This Row],[PR]]/Mecze[[#This Row],[CZAS]])</f>
        <v>0.13131313131313133</v>
      </c>
      <c r="N3085" s="32">
        <f>IF(Mecze[[#This Row],[OU]]=0,0,Mecze[[#This Row],[OU]]/Mecze[[#This Row],[CZAS]])</f>
        <v>0</v>
      </c>
      <c r="O3085" s="32">
        <f>IF(Mecze[[#This Row],[PC]]=0,0,Mecze[[#This Row],[PC]]/Mecze[[#This Row],[CZAS]])</f>
        <v>7.0707070707070704E-2</v>
      </c>
      <c r="P3085" s="32">
        <f>IF(Mecze[[#This Row],[SC]]=0,0,Mecze[[#This Row],[SC]]/Mecze[[#This Row],[CZAS]])</f>
        <v>0</v>
      </c>
      <c r="Q3085" s="32">
        <f>IF(Mecze[[#This Row],[OB]]=0,0,Mecze[[#This Row],[OB]]/Mecze[[#This Row],[CZAS]])</f>
        <v>0</v>
      </c>
      <c r="R3085" s="32">
        <f>IF(Mecze[[#This Row],[BR]]=0,0,Mecze[[#This Row],[BR]]/Mecze[[#This Row],[CZAS]])</f>
        <v>0</v>
      </c>
      <c r="S3085" s="44">
        <f>IF(Mecze[[#This Row],[Role]]="BR",SUMPRODUCT(Mecze[[#This Row],[/PR:90]:[/BR:90]],Brudnopis!$E$23:$J$23),0)</f>
        <v>0</v>
      </c>
      <c r="T3085" s="44">
        <f>IF(Mecze[[#This Row],[Role]]&lt;&gt;"BR",SUMPRODUCT(Mecze[[#This Row],[/PR:90]:[/BR:90]],Brudnopis!$E$24:$J$24),0)</f>
        <v>0.20202020202020204</v>
      </c>
      <c r="U3085" s="44">
        <f>IF(Mecze[[#This Row],[Role]]&lt;&gt;"BR",SUMPRODUCT(Mecze[[#This Row],[/PR:90]:[/BR:90]],Brudnopis!$E$25:$J$25),0)</f>
        <v>0.23737373737373738</v>
      </c>
      <c r="V3085" s="44">
        <f>IF(Mecze[[#This Row],[Role]]&lt;&gt;"BR",SUMPRODUCT(Mecze[[#This Row],[/PR:90]:[/BR:90]],Brudnopis!$E$26:$J$26),0)</f>
        <v>0.20202020202020204</v>
      </c>
      <c r="W3085" s="44">
        <f>IF(Mecze[[#This Row],[Role]]&lt;&gt;"BR",SUMPRODUCT(Mecze[[#This Row],[/PR:90]:[/BR:90]],Brudnopis!$E$27:$J$27),0)</f>
        <v>0.20454545454545453</v>
      </c>
      <c r="X3085" s="44">
        <f>IF(Mecze[[#This Row],[Role]]&lt;&gt;"BR",SUMPRODUCT(Mecze[[#This Row],[/PR:90]:[/BR:90]],Brudnopis!$E$28:$J$28),0)</f>
        <v>7.0707070707070704E-2</v>
      </c>
      <c r="Y3085" s="35">
        <f>IF(Mecze[[#This Row],[Role]]="BR",Mecze[[#This Row],[/OB:90]]+Mecze[[#This Row],[/PC:90]],SUM(Mecze[[#This Row],[/PR:90]:[/BR:90]]))</f>
        <v>0.20202020202020204</v>
      </c>
      <c r="Z3085" s="35">
        <f>IF(Mecze[[#This Row],[KC]]=0,SUM(Mecze[[#This Row],[/BRI]:[/NPI]]),SUM(Mecze[[#This Row],[/BRI]:[/NPI]])*0.6)</f>
        <v>0.91666666666666674</v>
      </c>
      <c r="AA3085" s="10">
        <f>IFERROR(Mecze[[#This Row],[BR]]/Mecze[[#This Row],[ST]],0)</f>
        <v>0</v>
      </c>
      <c r="AB3085">
        <f>ROUND(Mecze[[#This Row],[PD]]*Mecze[[#This Row],[%PC]],0)</f>
        <v>7</v>
      </c>
      <c r="AC3085">
        <f>ROUND(Mecze[[#This Row],[OD]]*Mecze[[#This Row],[%OU]],0)</f>
        <v>0</v>
      </c>
      <c r="AD3085" s="36" t="s">
        <v>41</v>
      </c>
      <c r="AE3085" s="36">
        <v>173</v>
      </c>
      <c r="AF3085" s="71">
        <v>5.43</v>
      </c>
      <c r="AG3085" s="37">
        <v>0</v>
      </c>
      <c r="AH3085" s="37">
        <v>0</v>
      </c>
      <c r="AI3085" s="37">
        <v>99</v>
      </c>
      <c r="AJ3085" s="37">
        <v>1</v>
      </c>
      <c r="AK3085" s="37" t="str">
        <f>VLOOKUP(Mecze[[#This Row],[Match ID]],Meczusie[Mecz]:Meczusie[RodzajMeczu],2,FALSE)</f>
        <v>Towarzyski</v>
      </c>
    </row>
    <row r="3086" spans="1:37" x14ac:dyDescent="0.25">
      <c r="A3086" s="76">
        <v>40</v>
      </c>
      <c r="B3086" s="3" t="s">
        <v>453</v>
      </c>
      <c r="C3086" s="2" t="s">
        <v>160</v>
      </c>
      <c r="D3086" s="1">
        <v>0</v>
      </c>
      <c r="E3086" s="1">
        <v>2</v>
      </c>
      <c r="F3086" s="1">
        <v>2</v>
      </c>
      <c r="G3086" s="1">
        <v>14</v>
      </c>
      <c r="H3086" s="4">
        <v>0.71</v>
      </c>
      <c r="I3086" s="1">
        <v>6</v>
      </c>
      <c r="J3086" s="4">
        <v>0.67</v>
      </c>
      <c r="K3086" s="1">
        <v>0</v>
      </c>
      <c r="L3086" s="1">
        <v>9</v>
      </c>
      <c r="M3086" s="32">
        <f>IF(Mecze[[#This Row],[PR]]=0,0,Mecze[[#This Row],[PR]]/Mecze[[#This Row],[CZAS]])</f>
        <v>9.0909090909090912E-2</v>
      </c>
      <c r="N3086" s="32">
        <f>IF(Mecze[[#This Row],[OU]]=0,0,Mecze[[#This Row],[OU]]/Mecze[[#This Row],[CZAS]])</f>
        <v>4.0404040404040407E-2</v>
      </c>
      <c r="O3086" s="32">
        <f>IF(Mecze[[#This Row],[PC]]=0,0,Mecze[[#This Row],[PC]]/Mecze[[#This Row],[CZAS]])</f>
        <v>0.10101010101010101</v>
      </c>
      <c r="P3086" s="32">
        <f>IF(Mecze[[#This Row],[SC]]=0,0,Mecze[[#This Row],[SC]]/Mecze[[#This Row],[CZAS]])</f>
        <v>2.0202020202020204E-2</v>
      </c>
      <c r="Q3086" s="32">
        <f>IF(Mecze[[#This Row],[OB]]=0,0,Mecze[[#This Row],[OB]]/Mecze[[#This Row],[CZAS]])</f>
        <v>0</v>
      </c>
      <c r="R3086" s="32">
        <f>IF(Mecze[[#This Row],[BR]]=0,0,Mecze[[#This Row],[BR]]/Mecze[[#This Row],[CZAS]])</f>
        <v>0</v>
      </c>
      <c r="S3086" s="44">
        <f>IF(Mecze[[#This Row],[Role]]="BR",SUMPRODUCT(Mecze[[#This Row],[/PR:90]:[/BR:90]],Brudnopis!$E$23:$J$23),0)</f>
        <v>0</v>
      </c>
      <c r="T3086" s="44">
        <f>IF(Mecze[[#This Row],[Role]]&lt;&gt;"BR",SUMPRODUCT(Mecze[[#This Row],[/PR:90]:[/BR:90]],Brudnopis!$E$24:$J$24),0)</f>
        <v>0.27272727272727276</v>
      </c>
      <c r="U3086" s="44">
        <f>IF(Mecze[[#This Row],[Role]]&lt;&gt;"BR",SUMPRODUCT(Mecze[[#This Row],[/PR:90]:[/BR:90]],Brudnopis!$E$25:$J$25),0)</f>
        <v>0.30303030303030309</v>
      </c>
      <c r="V3086" s="44">
        <f>IF(Mecze[[#This Row],[Role]]&lt;&gt;"BR",SUMPRODUCT(Mecze[[#This Row],[/PR:90]:[/BR:90]],Brudnopis!$E$26:$J$26),0)</f>
        <v>0.25252525252525254</v>
      </c>
      <c r="W3086" s="44">
        <f>IF(Mecze[[#This Row],[Role]]&lt;&gt;"BR",SUMPRODUCT(Mecze[[#This Row],[/PR:90]:[/BR:90]],Brudnopis!$E$27:$J$27),0)</f>
        <v>0.27020202020202022</v>
      </c>
      <c r="X3086" s="44">
        <f>IF(Mecze[[#This Row],[Role]]&lt;&gt;"BR",SUMPRODUCT(Mecze[[#This Row],[/PR:90]:[/BR:90]],Brudnopis!$E$28:$J$28),0)</f>
        <v>0.14141414141414141</v>
      </c>
      <c r="Y3086" s="35">
        <f>IF(Mecze[[#This Row],[Role]]="BR",Mecze[[#This Row],[/OB:90]]+Mecze[[#This Row],[/PC:90]],SUM(Mecze[[#This Row],[/PR:90]:[/BR:90]]))</f>
        <v>0.25252525252525254</v>
      </c>
      <c r="Z3086" s="35">
        <f>IF(Mecze[[#This Row],[KC]]=0,SUM(Mecze[[#This Row],[/BRI]:[/NPI]]),SUM(Mecze[[#This Row],[/BRI]:[/NPI]])*0.6)</f>
        <v>1.2398989898989901</v>
      </c>
      <c r="AA3086" s="10">
        <f>IFERROR(Mecze[[#This Row],[BR]]/Mecze[[#This Row],[ST]],0)</f>
        <v>0</v>
      </c>
      <c r="AB3086">
        <f>ROUND(Mecze[[#This Row],[PD]]*Mecze[[#This Row],[%PC]],0)</f>
        <v>10</v>
      </c>
      <c r="AC3086">
        <f>ROUND(Mecze[[#This Row],[OD]]*Mecze[[#This Row],[%OU]],0)</f>
        <v>4</v>
      </c>
      <c r="AD3086" s="36" t="s">
        <v>41</v>
      </c>
      <c r="AE3086" s="36">
        <v>173</v>
      </c>
      <c r="AF3086" s="71">
        <v>6.26</v>
      </c>
      <c r="AG3086" s="37">
        <v>0</v>
      </c>
      <c r="AH3086" s="37">
        <v>0</v>
      </c>
      <c r="AI3086" s="37">
        <v>99</v>
      </c>
      <c r="AJ3086" s="37">
        <v>1</v>
      </c>
      <c r="AK3086" s="37" t="str">
        <f>VLOOKUP(Mecze[[#This Row],[Match ID]],Meczusie[Mecz]:Meczusie[RodzajMeczu],2,FALSE)</f>
        <v>Towarzyski</v>
      </c>
    </row>
    <row r="3087" spans="1:37" x14ac:dyDescent="0.25">
      <c r="A3087" s="76">
        <v>45</v>
      </c>
      <c r="B3087" s="3" t="s">
        <v>394</v>
      </c>
      <c r="C3087" s="2" t="s">
        <v>160</v>
      </c>
      <c r="D3087" s="1">
        <v>1</v>
      </c>
      <c r="E3087" s="1">
        <v>2</v>
      </c>
      <c r="F3087" s="1">
        <v>2</v>
      </c>
      <c r="G3087" s="1">
        <v>8</v>
      </c>
      <c r="H3087" s="4">
        <v>0.38</v>
      </c>
      <c r="I3087" s="1">
        <v>4</v>
      </c>
      <c r="J3087" s="4">
        <v>0.5</v>
      </c>
      <c r="K3087" s="1">
        <v>0</v>
      </c>
      <c r="L3087" s="1">
        <v>3</v>
      </c>
      <c r="M3087" s="32">
        <f>IF(Mecze[[#This Row],[PR]]=0,0,Mecze[[#This Row],[PR]]/Mecze[[#This Row],[CZAS]])</f>
        <v>3.0303030303030304E-2</v>
      </c>
      <c r="N3087" s="32">
        <f>IF(Mecze[[#This Row],[OU]]=0,0,Mecze[[#This Row],[OU]]/Mecze[[#This Row],[CZAS]])</f>
        <v>2.0202020202020204E-2</v>
      </c>
      <c r="O3087" s="32">
        <f>IF(Mecze[[#This Row],[PC]]=0,0,Mecze[[#This Row],[PC]]/Mecze[[#This Row],[CZAS]])</f>
        <v>3.0303030303030304E-2</v>
      </c>
      <c r="P3087" s="32">
        <f>IF(Mecze[[#This Row],[SC]]=0,0,Mecze[[#This Row],[SC]]/Mecze[[#This Row],[CZAS]])</f>
        <v>2.0202020202020204E-2</v>
      </c>
      <c r="Q3087" s="32">
        <f>IF(Mecze[[#This Row],[OB]]=0,0,Mecze[[#This Row],[OB]]/Mecze[[#This Row],[CZAS]])</f>
        <v>0</v>
      </c>
      <c r="R3087" s="32">
        <f>IF(Mecze[[#This Row],[BR]]=0,0,Mecze[[#This Row],[BR]]/Mecze[[#This Row],[CZAS]])</f>
        <v>1.0101010101010102E-2</v>
      </c>
      <c r="S3087" s="44">
        <f>IF(Mecze[[#This Row],[Role]]="BR",SUMPRODUCT(Mecze[[#This Row],[/PR:90]:[/BR:90]],Brudnopis!$E$23:$J$23),0)</f>
        <v>0</v>
      </c>
      <c r="T3087" s="44">
        <f>IF(Mecze[[#This Row],[Role]]&lt;&gt;"BR",SUMPRODUCT(Mecze[[#This Row],[/PR:90]:[/BR:90]],Brudnopis!$E$24:$J$24),0)</f>
        <v>0.12626262626262627</v>
      </c>
      <c r="U3087" s="44">
        <f>IF(Mecze[[#This Row],[Role]]&lt;&gt;"BR",SUMPRODUCT(Mecze[[#This Row],[/PR:90]:[/BR:90]],Brudnopis!$E$25:$J$25),0)</f>
        <v>0.13131313131313133</v>
      </c>
      <c r="V3087" s="44">
        <f>IF(Mecze[[#This Row],[Role]]&lt;&gt;"BR",SUMPRODUCT(Mecze[[#This Row],[/PR:90]:[/BR:90]],Brudnopis!$E$26:$J$26),0)</f>
        <v>0.12121212121212123</v>
      </c>
      <c r="W3087" s="44">
        <f>IF(Mecze[[#This Row],[Role]]&lt;&gt;"BR",SUMPRODUCT(Mecze[[#This Row],[/PR:90]:[/BR:90]],Brudnopis!$E$27:$J$27),0)</f>
        <v>0.12373737373737376</v>
      </c>
      <c r="X3087" s="44">
        <f>IF(Mecze[[#This Row],[Role]]&lt;&gt;"BR",SUMPRODUCT(Mecze[[#This Row],[/PR:90]:[/BR:90]],Brudnopis!$E$28:$J$28),0)</f>
        <v>0.10101010101010102</v>
      </c>
      <c r="Y3087" s="35">
        <f>IF(Mecze[[#This Row],[Role]]="BR",Mecze[[#This Row],[/OB:90]]+Mecze[[#This Row],[/PC:90]],SUM(Mecze[[#This Row],[/PR:90]:[/BR:90]]))</f>
        <v>0.11111111111111112</v>
      </c>
      <c r="Z3087" s="35">
        <f>IF(Mecze[[#This Row],[KC]]=0,SUM(Mecze[[#This Row],[/BRI]:[/NPI]]),SUM(Mecze[[#This Row],[/BRI]:[/NPI]])*0.6)</f>
        <v>0.60353535353535359</v>
      </c>
      <c r="AA3087" s="10">
        <f>IFERROR(Mecze[[#This Row],[BR]]/Mecze[[#This Row],[ST]],0)</f>
        <v>0.5</v>
      </c>
      <c r="AB3087">
        <f>ROUND(Mecze[[#This Row],[PD]]*Mecze[[#This Row],[%PC]],0)</f>
        <v>3</v>
      </c>
      <c r="AC3087">
        <f>ROUND(Mecze[[#This Row],[OD]]*Mecze[[#This Row],[%OU]],0)</f>
        <v>2</v>
      </c>
      <c r="AD3087" s="36" t="s">
        <v>44</v>
      </c>
      <c r="AE3087" s="36">
        <v>173</v>
      </c>
      <c r="AF3087" s="71">
        <v>5.9</v>
      </c>
      <c r="AG3087" s="37">
        <v>0</v>
      </c>
      <c r="AH3087" s="37">
        <v>0</v>
      </c>
      <c r="AI3087" s="37">
        <v>99</v>
      </c>
      <c r="AJ3087" s="37">
        <v>1</v>
      </c>
      <c r="AK3087" s="37" t="str">
        <f>VLOOKUP(Mecze[[#This Row],[Match ID]],Meczusie[Mecz]:Meczusie[RodzajMeczu],2,FALSE)</f>
        <v>Towarzyski</v>
      </c>
    </row>
    <row r="3088" spans="1:37" x14ac:dyDescent="0.25">
      <c r="A3088" s="76">
        <v>25</v>
      </c>
      <c r="B3088" s="3" t="s">
        <v>366</v>
      </c>
      <c r="C3088" s="2" t="s">
        <v>160</v>
      </c>
      <c r="D3088" s="1">
        <v>0</v>
      </c>
      <c r="E3088" s="1">
        <v>0</v>
      </c>
      <c r="F3088" s="1">
        <v>0</v>
      </c>
      <c r="G3088" s="1">
        <v>10</v>
      </c>
      <c r="H3088" s="4">
        <v>0.7</v>
      </c>
      <c r="I3088" s="1">
        <v>2</v>
      </c>
      <c r="J3088" s="4">
        <v>0.5</v>
      </c>
      <c r="K3088" s="1">
        <v>0</v>
      </c>
      <c r="L3088" s="1">
        <v>3</v>
      </c>
      <c r="M3088" s="32">
        <f>IF(Mecze[[#This Row],[PR]]=0,0,Mecze[[#This Row],[PR]]/Mecze[[#This Row],[CZAS]])</f>
        <v>3.0303030303030304E-2</v>
      </c>
      <c r="N3088" s="32">
        <f>IF(Mecze[[#This Row],[OU]]=0,0,Mecze[[#This Row],[OU]]/Mecze[[#This Row],[CZAS]])</f>
        <v>1.0101010101010102E-2</v>
      </c>
      <c r="O3088" s="32">
        <f>IF(Mecze[[#This Row],[PC]]=0,0,Mecze[[#This Row],[PC]]/Mecze[[#This Row],[CZAS]])</f>
        <v>7.0707070707070704E-2</v>
      </c>
      <c r="P3088" s="32">
        <f>IF(Mecze[[#This Row],[SC]]=0,0,Mecze[[#This Row],[SC]]/Mecze[[#This Row],[CZAS]])</f>
        <v>0</v>
      </c>
      <c r="Q3088" s="32">
        <f>IF(Mecze[[#This Row],[OB]]=0,0,Mecze[[#This Row],[OB]]/Mecze[[#This Row],[CZAS]])</f>
        <v>0</v>
      </c>
      <c r="R3088" s="32">
        <f>IF(Mecze[[#This Row],[BR]]=0,0,Mecze[[#This Row],[BR]]/Mecze[[#This Row],[CZAS]])</f>
        <v>0</v>
      </c>
      <c r="S3088" s="44">
        <f>IF(Mecze[[#This Row],[Role]]="BR",SUMPRODUCT(Mecze[[#This Row],[/PR:90]:[/BR:90]],Brudnopis!$E$23:$J$23),0)</f>
        <v>0</v>
      </c>
      <c r="T3088" s="44">
        <f>IF(Mecze[[#This Row],[Role]]&lt;&gt;"BR",SUMPRODUCT(Mecze[[#This Row],[/PR:90]:[/BR:90]],Brudnopis!$E$24:$J$24),0)</f>
        <v>0.11616161616161616</v>
      </c>
      <c r="U3088" s="44">
        <f>IF(Mecze[[#This Row],[Role]]&lt;&gt;"BR",SUMPRODUCT(Mecze[[#This Row],[/PR:90]:[/BR:90]],Brudnopis!$E$25:$J$25),0)</f>
        <v>0.14646464646464646</v>
      </c>
      <c r="V3088" s="44">
        <f>IF(Mecze[[#This Row],[Role]]&lt;&gt;"BR",SUMPRODUCT(Mecze[[#This Row],[/PR:90]:[/BR:90]],Brudnopis!$E$26:$J$26),0)</f>
        <v>0.1111111111111111</v>
      </c>
      <c r="W3088" s="44">
        <f>IF(Mecze[[#This Row],[Role]]&lt;&gt;"BR",SUMPRODUCT(Mecze[[#This Row],[/PR:90]:[/BR:90]],Brudnopis!$E$27:$J$27),0)</f>
        <v>0.13636363636363635</v>
      </c>
      <c r="X3088" s="44">
        <f>IF(Mecze[[#This Row],[Role]]&lt;&gt;"BR",SUMPRODUCT(Mecze[[#This Row],[/PR:90]:[/BR:90]],Brudnopis!$E$28:$J$28),0)</f>
        <v>7.0707070707070704E-2</v>
      </c>
      <c r="Y3088" s="35">
        <f>IF(Mecze[[#This Row],[Role]]="BR",Mecze[[#This Row],[/OB:90]]+Mecze[[#This Row],[/PC:90]],SUM(Mecze[[#This Row],[/PR:90]:[/BR:90]]))</f>
        <v>0.1111111111111111</v>
      </c>
      <c r="Z3088" s="35">
        <f>IF(Mecze[[#This Row],[KC]]=0,SUM(Mecze[[#This Row],[/BRI]:[/NPI]]),SUM(Mecze[[#This Row],[/BRI]:[/NPI]])*0.6)</f>
        <v>0.58080808080808088</v>
      </c>
      <c r="AA3088" s="10">
        <f>IFERROR(Mecze[[#This Row],[BR]]/Mecze[[#This Row],[ST]],0)</f>
        <v>0</v>
      </c>
      <c r="AB3088">
        <f>ROUND(Mecze[[#This Row],[PD]]*Mecze[[#This Row],[%PC]],0)</f>
        <v>7</v>
      </c>
      <c r="AC3088">
        <f>ROUND(Mecze[[#This Row],[OD]]*Mecze[[#This Row],[%OU]],0)</f>
        <v>1</v>
      </c>
      <c r="AD3088" s="36" t="s">
        <v>44</v>
      </c>
      <c r="AE3088" s="36">
        <v>173</v>
      </c>
      <c r="AF3088" s="71">
        <v>4.54</v>
      </c>
      <c r="AG3088" s="37">
        <v>0</v>
      </c>
      <c r="AH3088" s="37">
        <v>0</v>
      </c>
      <c r="AI3088" s="37">
        <v>99</v>
      </c>
      <c r="AJ3088" s="37">
        <v>1</v>
      </c>
      <c r="AK3088" s="37" t="str">
        <f>VLOOKUP(Mecze[[#This Row],[Match ID]],Meczusie[Mecz]:Meczusie[RodzajMeczu],2,FALSE)</f>
        <v>Towarzyski</v>
      </c>
    </row>
    <row r="3089" spans="1:37" x14ac:dyDescent="0.25">
      <c r="A3089" s="76">
        <v>31</v>
      </c>
      <c r="B3089" s="3" t="s">
        <v>365</v>
      </c>
      <c r="C3089" s="2" t="s">
        <v>165</v>
      </c>
      <c r="D3089" s="1">
        <v>0</v>
      </c>
      <c r="E3089" s="1">
        <v>3</v>
      </c>
      <c r="F3089" s="1">
        <v>3</v>
      </c>
      <c r="G3089" s="1">
        <v>9</v>
      </c>
      <c r="H3089" s="4">
        <v>0.56000000000000005</v>
      </c>
      <c r="I3089" s="1">
        <v>9</v>
      </c>
      <c r="J3089" s="4">
        <v>0.56000000000000005</v>
      </c>
      <c r="K3089" s="1">
        <v>0</v>
      </c>
      <c r="L3089" s="1">
        <v>0</v>
      </c>
      <c r="M3089" s="32">
        <f>IF(Mecze[[#This Row],[PR]]=0,0,Mecze[[#This Row],[PR]]/Mecze[[#This Row],[CZAS]])</f>
        <v>0</v>
      </c>
      <c r="N3089" s="32">
        <f>IF(Mecze[[#This Row],[OU]]=0,0,Mecze[[#This Row],[OU]]/Mecze[[#This Row],[CZAS]])</f>
        <v>5.0505050505050504E-2</v>
      </c>
      <c r="O3089" s="32">
        <f>IF(Mecze[[#This Row],[PC]]=0,0,Mecze[[#This Row],[PC]]/Mecze[[#This Row],[CZAS]])</f>
        <v>5.0505050505050504E-2</v>
      </c>
      <c r="P3089" s="32">
        <f>IF(Mecze[[#This Row],[SC]]=0,0,Mecze[[#This Row],[SC]]/Mecze[[#This Row],[CZAS]])</f>
        <v>3.0303030303030304E-2</v>
      </c>
      <c r="Q3089" s="32">
        <f>IF(Mecze[[#This Row],[OB]]=0,0,Mecze[[#This Row],[OB]]/Mecze[[#This Row],[CZAS]])</f>
        <v>0</v>
      </c>
      <c r="R3089" s="32">
        <f>IF(Mecze[[#This Row],[BR]]=0,0,Mecze[[#This Row],[BR]]/Mecze[[#This Row],[CZAS]])</f>
        <v>0</v>
      </c>
      <c r="S3089" s="44">
        <f>IF(Mecze[[#This Row],[Role]]="BR",SUMPRODUCT(Mecze[[#This Row],[/PR:90]:[/BR:90]],Brudnopis!$E$23:$J$23),0)</f>
        <v>0</v>
      </c>
      <c r="T3089" s="44">
        <f>IF(Mecze[[#This Row],[Role]]&lt;&gt;"BR",SUMPRODUCT(Mecze[[#This Row],[/PR:90]:[/BR:90]],Brudnopis!$E$24:$J$24),0)</f>
        <v>0.15656565656565657</v>
      </c>
      <c r="U3089" s="44">
        <f>IF(Mecze[[#This Row],[Role]]&lt;&gt;"BR",SUMPRODUCT(Mecze[[#This Row],[/PR:90]:[/BR:90]],Brudnopis!$E$25:$J$25),0)</f>
        <v>0.15656565656565657</v>
      </c>
      <c r="V3089" s="44">
        <f>IF(Mecze[[#This Row],[Role]]&lt;&gt;"BR",SUMPRODUCT(Mecze[[#This Row],[/PR:90]:[/BR:90]],Brudnopis!$E$26:$J$26),0)</f>
        <v>0.13131313131313133</v>
      </c>
      <c r="W3089" s="44">
        <f>IF(Mecze[[#This Row],[Role]]&lt;&gt;"BR",SUMPRODUCT(Mecze[[#This Row],[/PR:90]:[/BR:90]],Brudnopis!$E$27:$J$27),0)</f>
        <v>0.14393939393939395</v>
      </c>
      <c r="X3089" s="44">
        <f>IF(Mecze[[#This Row],[Role]]&lt;&gt;"BR",SUMPRODUCT(Mecze[[#This Row],[/PR:90]:[/BR:90]],Brudnopis!$E$28:$J$28),0)</f>
        <v>0.1111111111111111</v>
      </c>
      <c r="Y3089" s="35">
        <f>IF(Mecze[[#This Row],[Role]]="BR",Mecze[[#This Row],[/OB:90]]+Mecze[[#This Row],[/PC:90]],SUM(Mecze[[#This Row],[/PR:90]:[/BR:90]]))</f>
        <v>0.13131313131313133</v>
      </c>
      <c r="Z3089" s="35">
        <f>IF(Mecze[[#This Row],[KC]]=0,SUM(Mecze[[#This Row],[/BRI]:[/NPI]]),SUM(Mecze[[#This Row],[/BRI]:[/NPI]])*0.6)</f>
        <v>0.69949494949494961</v>
      </c>
      <c r="AA3089" s="10">
        <f>IFERROR(Mecze[[#This Row],[BR]]/Mecze[[#This Row],[ST]],0)</f>
        <v>0</v>
      </c>
      <c r="AB3089">
        <f>ROUND(Mecze[[#This Row],[PD]]*Mecze[[#This Row],[%PC]],0)</f>
        <v>5</v>
      </c>
      <c r="AC3089">
        <f>ROUND(Mecze[[#This Row],[OD]]*Mecze[[#This Row],[%OU]],0)</f>
        <v>5</v>
      </c>
      <c r="AD3089" s="36" t="s">
        <v>46</v>
      </c>
      <c r="AE3089" s="36">
        <v>173</v>
      </c>
      <c r="AF3089" s="71">
        <v>4.7</v>
      </c>
      <c r="AG3089" s="37">
        <v>0</v>
      </c>
      <c r="AH3089" s="37">
        <v>0</v>
      </c>
      <c r="AI3089" s="37">
        <v>99</v>
      </c>
      <c r="AJ3089" s="37">
        <v>1</v>
      </c>
      <c r="AK3089" s="37" t="str">
        <f>VLOOKUP(Mecze[[#This Row],[Match ID]],Meczusie[Mecz]:Meczusie[RodzajMeczu],2,FALSE)</f>
        <v>Towarzyski</v>
      </c>
    </row>
    <row r="3090" spans="1:37" x14ac:dyDescent="0.25">
      <c r="A3090" s="76">
        <v>61</v>
      </c>
      <c r="B3090" s="3" t="s">
        <v>454</v>
      </c>
      <c r="C3090" s="2" t="s">
        <v>165</v>
      </c>
      <c r="D3090" s="1">
        <v>0</v>
      </c>
      <c r="E3090" s="1">
        <v>7</v>
      </c>
      <c r="F3090" s="1">
        <v>7</v>
      </c>
      <c r="G3090" s="1">
        <v>6</v>
      </c>
      <c r="H3090" s="4">
        <v>0.67</v>
      </c>
      <c r="I3090" s="1">
        <v>7</v>
      </c>
      <c r="J3090" s="4">
        <v>0.56999999999999995</v>
      </c>
      <c r="K3090" s="1">
        <v>0</v>
      </c>
      <c r="L3090" s="1">
        <v>0</v>
      </c>
      <c r="M3090" s="32">
        <f>IF(Mecze[[#This Row],[PR]]=0,0,Mecze[[#This Row],[PR]]/Mecze[[#This Row],[CZAS]])</f>
        <v>0</v>
      </c>
      <c r="N3090" s="32">
        <f>IF(Mecze[[#This Row],[OU]]=0,0,Mecze[[#This Row],[OU]]/Mecze[[#This Row],[CZAS]])</f>
        <v>4.0404040404040407E-2</v>
      </c>
      <c r="O3090" s="32">
        <f>IF(Mecze[[#This Row],[PC]]=0,0,Mecze[[#This Row],[PC]]/Mecze[[#This Row],[CZAS]])</f>
        <v>4.0404040404040407E-2</v>
      </c>
      <c r="P3090" s="32">
        <f>IF(Mecze[[#This Row],[SC]]=0,0,Mecze[[#This Row],[SC]]/Mecze[[#This Row],[CZAS]])</f>
        <v>7.0707070707070704E-2</v>
      </c>
      <c r="Q3090" s="32">
        <f>IF(Mecze[[#This Row],[OB]]=0,0,Mecze[[#This Row],[OB]]/Mecze[[#This Row],[CZAS]])</f>
        <v>0</v>
      </c>
      <c r="R3090" s="32">
        <f>IF(Mecze[[#This Row],[BR]]=0,0,Mecze[[#This Row],[BR]]/Mecze[[#This Row],[CZAS]])</f>
        <v>0</v>
      </c>
      <c r="S3090" s="44">
        <f>IF(Mecze[[#This Row],[Role]]="BR",SUMPRODUCT(Mecze[[#This Row],[/PR:90]:[/BR:90]],Brudnopis!$E$23:$J$23),0)</f>
        <v>0</v>
      </c>
      <c r="T3090" s="44">
        <f>IF(Mecze[[#This Row],[Role]]&lt;&gt;"BR",SUMPRODUCT(Mecze[[#This Row],[/PR:90]:[/BR:90]],Brudnopis!$E$24:$J$24),0)</f>
        <v>0.17171717171717171</v>
      </c>
      <c r="U3090" s="44">
        <f>IF(Mecze[[#This Row],[Role]]&lt;&gt;"BR",SUMPRODUCT(Mecze[[#This Row],[/PR:90]:[/BR:90]],Brudnopis!$E$25:$J$25),0)</f>
        <v>0.17171717171717171</v>
      </c>
      <c r="V3090" s="44">
        <f>IF(Mecze[[#This Row],[Role]]&lt;&gt;"BR",SUMPRODUCT(Mecze[[#This Row],[/PR:90]:[/BR:90]],Brudnopis!$E$26:$J$26),0)</f>
        <v>0.15151515151515152</v>
      </c>
      <c r="W3090" s="44">
        <f>IF(Mecze[[#This Row],[Role]]&lt;&gt;"BR",SUMPRODUCT(Mecze[[#This Row],[/PR:90]:[/BR:90]],Brudnopis!$E$27:$J$27),0)</f>
        <v>0.1616161616161616</v>
      </c>
      <c r="X3090" s="44">
        <f>IF(Mecze[[#This Row],[Role]]&lt;&gt;"BR",SUMPRODUCT(Mecze[[#This Row],[/PR:90]:[/BR:90]],Brudnopis!$E$28:$J$28),0)</f>
        <v>0.18181818181818182</v>
      </c>
      <c r="Y3090" s="35">
        <f>IF(Mecze[[#This Row],[Role]]="BR",Mecze[[#This Row],[/OB:90]]+Mecze[[#This Row],[/PC:90]],SUM(Mecze[[#This Row],[/PR:90]:[/BR:90]]))</f>
        <v>0.15151515151515152</v>
      </c>
      <c r="Z3090" s="35">
        <f>IF(Mecze[[#This Row],[KC]]=0,SUM(Mecze[[#This Row],[/BRI]:[/NPI]]),SUM(Mecze[[#This Row],[/BRI]:[/NPI]])*0.6)</f>
        <v>0.83838383838383845</v>
      </c>
      <c r="AA3090" s="10">
        <f>IFERROR(Mecze[[#This Row],[BR]]/Mecze[[#This Row],[ST]],0)</f>
        <v>0</v>
      </c>
      <c r="AB3090">
        <f>ROUND(Mecze[[#This Row],[PD]]*Mecze[[#This Row],[%PC]],0)</f>
        <v>4</v>
      </c>
      <c r="AC3090">
        <f>ROUND(Mecze[[#This Row],[OD]]*Mecze[[#This Row],[%OU]],0)</f>
        <v>4</v>
      </c>
      <c r="AD3090" s="36" t="s">
        <v>46</v>
      </c>
      <c r="AE3090" s="36">
        <v>173</v>
      </c>
      <c r="AF3090" s="71">
        <v>5.58</v>
      </c>
      <c r="AG3090" s="37">
        <v>0</v>
      </c>
      <c r="AH3090" s="37">
        <v>0</v>
      </c>
      <c r="AI3090" s="37">
        <v>99</v>
      </c>
      <c r="AJ3090" s="37">
        <v>1</v>
      </c>
      <c r="AK3090" s="37" t="str">
        <f>VLOOKUP(Mecze[[#This Row],[Match ID]],Meczusie[Mecz]:Meczusie[RodzajMeczu],2,FALSE)</f>
        <v>Towarzyski</v>
      </c>
    </row>
    <row r="3091" spans="1:37" x14ac:dyDescent="0.25">
      <c r="A3091" s="76">
        <v>46</v>
      </c>
      <c r="B3091" s="3" t="s">
        <v>395</v>
      </c>
      <c r="C3091" s="2" t="s">
        <v>165</v>
      </c>
      <c r="D3091" s="1">
        <v>0</v>
      </c>
      <c r="E3091" s="1">
        <v>1</v>
      </c>
      <c r="F3091" s="1">
        <v>0</v>
      </c>
      <c r="G3091" s="1">
        <v>6</v>
      </c>
      <c r="H3091" s="4">
        <v>0.83</v>
      </c>
      <c r="I3091" s="1">
        <v>2</v>
      </c>
      <c r="J3091" s="4">
        <v>0</v>
      </c>
      <c r="K3091" s="1">
        <v>0</v>
      </c>
      <c r="L3091" s="1">
        <v>1</v>
      </c>
      <c r="M3091" s="32">
        <f>IF(Mecze[[#This Row],[PR]]=0,0,Mecze[[#This Row],[PR]]/Mecze[[#This Row],[CZAS]])</f>
        <v>1.0101010101010102E-2</v>
      </c>
      <c r="N3091" s="32">
        <f>IF(Mecze[[#This Row],[OU]]=0,0,Mecze[[#This Row],[OU]]/Mecze[[#This Row],[CZAS]])</f>
        <v>0</v>
      </c>
      <c r="O3091" s="32">
        <f>IF(Mecze[[#This Row],[PC]]=0,0,Mecze[[#This Row],[PC]]/Mecze[[#This Row],[CZAS]])</f>
        <v>5.0505050505050504E-2</v>
      </c>
      <c r="P3091" s="32">
        <f>IF(Mecze[[#This Row],[SC]]=0,0,Mecze[[#This Row],[SC]]/Mecze[[#This Row],[CZAS]])</f>
        <v>0</v>
      </c>
      <c r="Q3091" s="32">
        <f>IF(Mecze[[#This Row],[OB]]=0,0,Mecze[[#This Row],[OB]]/Mecze[[#This Row],[CZAS]])</f>
        <v>0</v>
      </c>
      <c r="R3091" s="32">
        <f>IF(Mecze[[#This Row],[BR]]=0,0,Mecze[[#This Row],[BR]]/Mecze[[#This Row],[CZAS]])</f>
        <v>0</v>
      </c>
      <c r="S3091" s="44">
        <f>IF(Mecze[[#This Row],[Role]]="BR",SUMPRODUCT(Mecze[[#This Row],[/PR:90]:[/BR:90]],Brudnopis!$E$23:$J$23),0)</f>
        <v>0</v>
      </c>
      <c r="T3091" s="44">
        <f>IF(Mecze[[#This Row],[Role]]&lt;&gt;"BR",SUMPRODUCT(Mecze[[#This Row],[/PR:90]:[/BR:90]],Brudnopis!$E$24:$J$24),0)</f>
        <v>6.0606060606060608E-2</v>
      </c>
      <c r="U3091" s="44">
        <f>IF(Mecze[[#This Row],[Role]]&lt;&gt;"BR",SUMPRODUCT(Mecze[[#This Row],[/PR:90]:[/BR:90]],Brudnopis!$E$25:$J$25),0)</f>
        <v>8.5858585858585856E-2</v>
      </c>
      <c r="V3091" s="44">
        <f>IF(Mecze[[#This Row],[Role]]&lt;&gt;"BR",SUMPRODUCT(Mecze[[#This Row],[/PR:90]:[/BR:90]],Brudnopis!$E$26:$J$26),0)</f>
        <v>6.0606060606060608E-2</v>
      </c>
      <c r="W3091" s="44">
        <f>IF(Mecze[[#This Row],[Role]]&lt;&gt;"BR",SUMPRODUCT(Mecze[[#This Row],[/PR:90]:[/BR:90]],Brudnopis!$E$27:$J$27),0)</f>
        <v>8.3333333333333343E-2</v>
      </c>
      <c r="X3091" s="44">
        <f>IF(Mecze[[#This Row],[Role]]&lt;&gt;"BR",SUMPRODUCT(Mecze[[#This Row],[/PR:90]:[/BR:90]],Brudnopis!$E$28:$J$28),0)</f>
        <v>5.0505050505050504E-2</v>
      </c>
      <c r="Y3091" s="35">
        <f>IF(Mecze[[#This Row],[Role]]="BR",Mecze[[#This Row],[/OB:90]]+Mecze[[#This Row],[/PC:90]],SUM(Mecze[[#This Row],[/PR:90]:[/BR:90]]))</f>
        <v>6.0606060606060608E-2</v>
      </c>
      <c r="Z3091" s="35">
        <f>IF(Mecze[[#This Row],[KC]]=0,SUM(Mecze[[#This Row],[/BRI]:[/NPI]]),SUM(Mecze[[#This Row],[/BRI]:[/NPI]])*0.6)</f>
        <v>0.34090909090909094</v>
      </c>
      <c r="AA3091" s="10">
        <f>IFERROR(Mecze[[#This Row],[BR]]/Mecze[[#This Row],[ST]],0)</f>
        <v>0</v>
      </c>
      <c r="AB3091">
        <f>ROUND(Mecze[[#This Row],[PD]]*Mecze[[#This Row],[%PC]],0)</f>
        <v>5</v>
      </c>
      <c r="AC3091">
        <f>ROUND(Mecze[[#This Row],[OD]]*Mecze[[#This Row],[%OU]],0)</f>
        <v>0</v>
      </c>
      <c r="AD3091" s="36" t="s">
        <v>46</v>
      </c>
      <c r="AE3091" s="36">
        <v>173</v>
      </c>
      <c r="AF3091" s="71">
        <v>4.96</v>
      </c>
      <c r="AG3091" s="37">
        <v>0</v>
      </c>
      <c r="AH3091" s="37">
        <v>0</v>
      </c>
      <c r="AI3091" s="37">
        <v>99</v>
      </c>
      <c r="AJ3091" s="37">
        <v>1</v>
      </c>
      <c r="AK3091" s="37" t="str">
        <f>VLOOKUP(Mecze[[#This Row],[Match ID]],Meczusie[Mecz]:Meczusie[RodzajMeczu],2,FALSE)</f>
        <v>Towarzyski</v>
      </c>
    </row>
    <row r="3092" spans="1:37" x14ac:dyDescent="0.25">
      <c r="A3092" s="76">
        <v>1</v>
      </c>
      <c r="B3092" s="3" t="s">
        <v>344</v>
      </c>
      <c r="C3092" s="2" t="s">
        <v>155</v>
      </c>
      <c r="D3092" s="1">
        <v>0</v>
      </c>
      <c r="E3092" s="1">
        <v>0</v>
      </c>
      <c r="F3092" s="1">
        <v>0</v>
      </c>
      <c r="G3092" s="1">
        <v>10</v>
      </c>
      <c r="H3092" s="4">
        <v>0.4</v>
      </c>
      <c r="I3092" s="1">
        <v>0</v>
      </c>
      <c r="J3092" s="4"/>
      <c r="K3092" s="1">
        <v>8</v>
      </c>
      <c r="L3092" s="1">
        <v>0</v>
      </c>
      <c r="M3092" s="32">
        <f>IF(Mecze[[#This Row],[PR]]=0,0,Mecze[[#This Row],[PR]]/Mecze[[#This Row],[CZAS]])</f>
        <v>0</v>
      </c>
      <c r="N3092" s="32">
        <f>IF(Mecze[[#This Row],[OU]]=0,0,Mecze[[#This Row],[OU]]/Mecze[[#This Row],[CZAS]])</f>
        <v>0</v>
      </c>
      <c r="O3092" s="32">
        <f>IF(Mecze[[#This Row],[PC]]=0,0,Mecze[[#This Row],[PC]]/Mecze[[#This Row],[CZAS]])</f>
        <v>4.1666666666666664E-2</v>
      </c>
      <c r="P3092" s="32">
        <f>IF(Mecze[[#This Row],[SC]]=0,0,Mecze[[#This Row],[SC]]/Mecze[[#This Row],[CZAS]])</f>
        <v>0</v>
      </c>
      <c r="Q3092" s="32">
        <f>IF(Mecze[[#This Row],[OB]]=0,0,Mecze[[#This Row],[OB]]/Mecze[[#This Row],[CZAS]])</f>
        <v>8.3333333333333329E-2</v>
      </c>
      <c r="R3092" s="32">
        <f>IF(Mecze[[#This Row],[BR]]=0,0,Mecze[[#This Row],[BR]]/Mecze[[#This Row],[CZAS]])</f>
        <v>0</v>
      </c>
      <c r="S3092" s="44">
        <f>IF(Mecze[[#This Row],[Role]]="BR",SUMPRODUCT(Mecze[[#This Row],[/PR:90]:[/BR:90]],Brudnopis!$E$23:$J$23),0)</f>
        <v>0.375</v>
      </c>
      <c r="T3092" s="44">
        <f>IF(Mecze[[#This Row],[Role]]&lt;&gt;"BR",SUMPRODUCT(Mecze[[#This Row],[/PR:90]:[/BR:90]],Brudnopis!$E$24:$J$24),0)</f>
        <v>0</v>
      </c>
      <c r="U3092" s="44">
        <f>IF(Mecze[[#This Row],[Role]]&lt;&gt;"BR",SUMPRODUCT(Mecze[[#This Row],[/PR:90]:[/BR:90]],Brudnopis!$E$25:$J$25),0)</f>
        <v>0</v>
      </c>
      <c r="V3092" s="44">
        <f>IF(Mecze[[#This Row],[Role]]&lt;&gt;"BR",SUMPRODUCT(Mecze[[#This Row],[/PR:90]:[/BR:90]],Brudnopis!$E$26:$J$26),0)</f>
        <v>0</v>
      </c>
      <c r="W3092" s="44">
        <f>IF(Mecze[[#This Row],[Role]]&lt;&gt;"BR",SUMPRODUCT(Mecze[[#This Row],[/PR:90]:[/BR:90]],Brudnopis!$E$27:$J$27),0)</f>
        <v>0</v>
      </c>
      <c r="X3092" s="44">
        <f>IF(Mecze[[#This Row],[Role]]&lt;&gt;"BR",SUMPRODUCT(Mecze[[#This Row],[/PR:90]:[/BR:90]],Brudnopis!$E$28:$J$28),0)</f>
        <v>0</v>
      </c>
      <c r="Y3092" s="35">
        <f>IF(Mecze[[#This Row],[Role]]="BR",Mecze[[#This Row],[/OB:90]]+Mecze[[#This Row],[/PC:90]],SUM(Mecze[[#This Row],[/PR:90]:[/BR:90]]))</f>
        <v>0.125</v>
      </c>
      <c r="Z3092" s="35">
        <f>IF(Mecze[[#This Row],[KC]]=0,SUM(Mecze[[#This Row],[/BRI]:[/NPI]]),SUM(Mecze[[#This Row],[/BRI]:[/NPI]])*0.6)</f>
        <v>0.375</v>
      </c>
      <c r="AA3092" s="10">
        <f>IFERROR(Mecze[[#This Row],[BR]]/Mecze[[#This Row],[ST]],0)</f>
        <v>0</v>
      </c>
      <c r="AB3092">
        <f>ROUND(Mecze[[#This Row],[PD]]*Mecze[[#This Row],[%PC]],0)</f>
        <v>4</v>
      </c>
      <c r="AC3092">
        <f>ROUND(Mecze[[#This Row],[OD]]*Mecze[[#This Row],[%OU]],0)</f>
        <v>0</v>
      </c>
      <c r="AD3092" s="36" t="s">
        <v>40</v>
      </c>
      <c r="AE3092" s="36">
        <v>174</v>
      </c>
      <c r="AF3092" s="71">
        <v>5.61</v>
      </c>
      <c r="AG3092" s="37">
        <v>0</v>
      </c>
      <c r="AH3092" s="37">
        <v>0</v>
      </c>
      <c r="AI3092" s="37">
        <v>96</v>
      </c>
      <c r="AJ3092" s="37">
        <v>5</v>
      </c>
      <c r="AK3092" s="37" t="str">
        <f>VLOOKUP(Mecze[[#This Row],[Match ID]],Meczusie[Mecz]:Meczusie[RodzajMeczu],2,FALSE)</f>
        <v>Liga</v>
      </c>
    </row>
    <row r="3093" spans="1:37" x14ac:dyDescent="0.25">
      <c r="A3093" s="76">
        <v>2</v>
      </c>
      <c r="B3093" s="3" t="s">
        <v>345</v>
      </c>
      <c r="C3093" s="2" t="s">
        <v>157</v>
      </c>
      <c r="D3093" s="1">
        <v>0</v>
      </c>
      <c r="E3093" s="1">
        <v>0</v>
      </c>
      <c r="F3093" s="1">
        <v>0</v>
      </c>
      <c r="G3093" s="1">
        <v>10</v>
      </c>
      <c r="H3093" s="4">
        <v>0.8</v>
      </c>
      <c r="I3093" s="1">
        <v>4</v>
      </c>
      <c r="J3093" s="4">
        <v>0.75</v>
      </c>
      <c r="K3093" s="1">
        <v>0</v>
      </c>
      <c r="L3093" s="1">
        <v>7</v>
      </c>
      <c r="M3093" s="32">
        <f>IF(Mecze[[#This Row],[PR]]=0,0,Mecze[[#This Row],[PR]]/Mecze[[#This Row],[CZAS]])</f>
        <v>7.2916666666666671E-2</v>
      </c>
      <c r="N3093" s="32">
        <f>IF(Mecze[[#This Row],[OU]]=0,0,Mecze[[#This Row],[OU]]/Mecze[[#This Row],[CZAS]])</f>
        <v>3.125E-2</v>
      </c>
      <c r="O3093" s="32">
        <f>IF(Mecze[[#This Row],[PC]]=0,0,Mecze[[#This Row],[PC]]/Mecze[[#This Row],[CZAS]])</f>
        <v>8.3333333333333329E-2</v>
      </c>
      <c r="P3093" s="32">
        <f>IF(Mecze[[#This Row],[SC]]=0,0,Mecze[[#This Row],[SC]]/Mecze[[#This Row],[CZAS]])</f>
        <v>0</v>
      </c>
      <c r="Q3093" s="32">
        <f>IF(Mecze[[#This Row],[OB]]=0,0,Mecze[[#This Row],[OB]]/Mecze[[#This Row],[CZAS]])</f>
        <v>0</v>
      </c>
      <c r="R3093" s="32">
        <f>IF(Mecze[[#This Row],[BR]]=0,0,Mecze[[#This Row],[BR]]/Mecze[[#This Row],[CZAS]])</f>
        <v>0</v>
      </c>
      <c r="S3093" s="44">
        <f>IF(Mecze[[#This Row],[Role]]="BR",SUMPRODUCT(Mecze[[#This Row],[/PR:90]:[/BR:90]],Brudnopis!$E$23:$J$23),0)</f>
        <v>0</v>
      </c>
      <c r="T3093" s="44">
        <f>IF(Mecze[[#This Row],[Role]]&lt;&gt;"BR",SUMPRODUCT(Mecze[[#This Row],[/PR:90]:[/BR:90]],Brudnopis!$E$24:$J$24),0)</f>
        <v>0.203125</v>
      </c>
      <c r="U3093" s="44">
        <f>IF(Mecze[[#This Row],[Role]]&lt;&gt;"BR",SUMPRODUCT(Mecze[[#This Row],[/PR:90]:[/BR:90]],Brudnopis!$E$25:$J$25),0)</f>
        <v>0.22916666666666669</v>
      </c>
      <c r="V3093" s="44">
        <f>IF(Mecze[[#This Row],[Role]]&lt;&gt;"BR",SUMPRODUCT(Mecze[[#This Row],[/PR:90]:[/BR:90]],Brudnopis!$E$26:$J$26),0)</f>
        <v>0.1875</v>
      </c>
      <c r="W3093" s="44">
        <f>IF(Mecze[[#This Row],[Role]]&lt;&gt;"BR",SUMPRODUCT(Mecze[[#This Row],[/PR:90]:[/BR:90]],Brudnopis!$E$27:$J$27),0)</f>
        <v>0.203125</v>
      </c>
      <c r="X3093" s="44">
        <f>IF(Mecze[[#This Row],[Role]]&lt;&gt;"BR",SUMPRODUCT(Mecze[[#This Row],[/PR:90]:[/BR:90]],Brudnopis!$E$28:$J$28),0)</f>
        <v>8.3333333333333329E-2</v>
      </c>
      <c r="Y3093" s="35">
        <f>IF(Mecze[[#This Row],[Role]]="BR",Mecze[[#This Row],[/OB:90]]+Mecze[[#This Row],[/PC:90]],SUM(Mecze[[#This Row],[/PR:90]:[/BR:90]]))</f>
        <v>0.1875</v>
      </c>
      <c r="Z3093" s="35">
        <f>IF(Mecze[[#This Row],[KC]]=0,SUM(Mecze[[#This Row],[/BRI]:[/NPI]]),SUM(Mecze[[#This Row],[/BRI]:[/NPI]])*0.6)</f>
        <v>0.90625000000000011</v>
      </c>
      <c r="AA3093" s="10">
        <f>IFERROR(Mecze[[#This Row],[BR]]/Mecze[[#This Row],[ST]],0)</f>
        <v>0</v>
      </c>
      <c r="AB3093">
        <f>ROUND(Mecze[[#This Row],[PD]]*Mecze[[#This Row],[%PC]],0)</f>
        <v>8</v>
      </c>
      <c r="AC3093">
        <f>ROUND(Mecze[[#This Row],[OD]]*Mecze[[#This Row],[%OU]],0)</f>
        <v>3</v>
      </c>
      <c r="AD3093" s="36" t="s">
        <v>47</v>
      </c>
      <c r="AE3093" s="36">
        <v>174</v>
      </c>
      <c r="AF3093" s="71">
        <v>5.4</v>
      </c>
      <c r="AG3093" s="37">
        <v>0</v>
      </c>
      <c r="AH3093" s="37">
        <v>0</v>
      </c>
      <c r="AI3093" s="37">
        <v>96</v>
      </c>
      <c r="AJ3093" s="37">
        <v>5</v>
      </c>
      <c r="AK3093" s="37" t="str">
        <f>VLOOKUP(Mecze[[#This Row],[Match ID]],Meczusie[Mecz]:Meczusie[RodzajMeczu],2,FALSE)</f>
        <v>Liga</v>
      </c>
    </row>
    <row r="3094" spans="1:37" x14ac:dyDescent="0.25">
      <c r="A3094" s="76">
        <v>4</v>
      </c>
      <c r="B3094" s="3" t="s">
        <v>346</v>
      </c>
      <c r="C3094" s="2" t="s">
        <v>157</v>
      </c>
      <c r="D3094" s="1">
        <v>0</v>
      </c>
      <c r="E3094" s="1">
        <v>0</v>
      </c>
      <c r="F3094" s="1">
        <v>0</v>
      </c>
      <c r="G3094" s="1">
        <v>10</v>
      </c>
      <c r="H3094" s="4">
        <v>0.7</v>
      </c>
      <c r="I3094" s="1">
        <v>5</v>
      </c>
      <c r="J3094" s="4">
        <v>0.4</v>
      </c>
      <c r="K3094" s="1">
        <v>0</v>
      </c>
      <c r="L3094" s="1">
        <v>3</v>
      </c>
      <c r="M3094" s="32">
        <f>IF(Mecze[[#This Row],[PR]]=0,0,Mecze[[#This Row],[PR]]/Mecze[[#This Row],[CZAS]])</f>
        <v>3.125E-2</v>
      </c>
      <c r="N3094" s="32">
        <f>IF(Mecze[[#This Row],[OU]]=0,0,Mecze[[#This Row],[OU]]/Mecze[[#This Row],[CZAS]])</f>
        <v>2.0833333333333332E-2</v>
      </c>
      <c r="O3094" s="32">
        <f>IF(Mecze[[#This Row],[PC]]=0,0,Mecze[[#This Row],[PC]]/Mecze[[#This Row],[CZAS]])</f>
        <v>7.2916666666666671E-2</v>
      </c>
      <c r="P3094" s="32">
        <f>IF(Mecze[[#This Row],[SC]]=0,0,Mecze[[#This Row],[SC]]/Mecze[[#This Row],[CZAS]])</f>
        <v>0</v>
      </c>
      <c r="Q3094" s="32">
        <f>IF(Mecze[[#This Row],[OB]]=0,0,Mecze[[#This Row],[OB]]/Mecze[[#This Row],[CZAS]])</f>
        <v>0</v>
      </c>
      <c r="R3094" s="32">
        <f>IF(Mecze[[#This Row],[BR]]=0,0,Mecze[[#This Row],[BR]]/Mecze[[#This Row],[CZAS]])</f>
        <v>0</v>
      </c>
      <c r="S3094" s="44">
        <f>IF(Mecze[[#This Row],[Role]]="BR",SUMPRODUCT(Mecze[[#This Row],[/PR:90]:[/BR:90]],Brudnopis!$E$23:$J$23),0)</f>
        <v>0</v>
      </c>
      <c r="T3094" s="44">
        <f>IF(Mecze[[#This Row],[Role]]&lt;&gt;"BR",SUMPRODUCT(Mecze[[#This Row],[/PR:90]:[/BR:90]],Brudnopis!$E$24:$J$24),0)</f>
        <v>0.13541666666666669</v>
      </c>
      <c r="U3094" s="44">
        <f>IF(Mecze[[#This Row],[Role]]&lt;&gt;"BR",SUMPRODUCT(Mecze[[#This Row],[/PR:90]:[/BR:90]],Brudnopis!$E$25:$J$25),0)</f>
        <v>0.16145833333333331</v>
      </c>
      <c r="V3094" s="44">
        <f>IF(Mecze[[#This Row],[Role]]&lt;&gt;"BR",SUMPRODUCT(Mecze[[#This Row],[/PR:90]:[/BR:90]],Brudnopis!$E$26:$J$26),0)</f>
        <v>0.125</v>
      </c>
      <c r="W3094" s="44">
        <f>IF(Mecze[[#This Row],[Role]]&lt;&gt;"BR",SUMPRODUCT(Mecze[[#This Row],[/PR:90]:[/BR:90]],Brudnopis!$E$27:$J$27),0)</f>
        <v>0.1484375</v>
      </c>
      <c r="X3094" s="44">
        <f>IF(Mecze[[#This Row],[Role]]&lt;&gt;"BR",SUMPRODUCT(Mecze[[#This Row],[/PR:90]:[/BR:90]],Brudnopis!$E$28:$J$28),0)</f>
        <v>7.2916666666666671E-2</v>
      </c>
      <c r="Y3094" s="35">
        <f>IF(Mecze[[#This Row],[Role]]="BR",Mecze[[#This Row],[/OB:90]]+Mecze[[#This Row],[/PC:90]],SUM(Mecze[[#This Row],[/PR:90]:[/BR:90]]))</f>
        <v>0.125</v>
      </c>
      <c r="Z3094" s="35">
        <f>IF(Mecze[[#This Row],[KC]]=0,SUM(Mecze[[#This Row],[/BRI]:[/NPI]]),SUM(Mecze[[#This Row],[/BRI]:[/NPI]])*0.6)</f>
        <v>0.64322916666666663</v>
      </c>
      <c r="AA3094" s="10">
        <f>IFERROR(Mecze[[#This Row],[BR]]/Mecze[[#This Row],[ST]],0)</f>
        <v>0</v>
      </c>
      <c r="AB3094">
        <f>ROUND(Mecze[[#This Row],[PD]]*Mecze[[#This Row],[%PC]],0)</f>
        <v>7</v>
      </c>
      <c r="AC3094">
        <f>ROUND(Mecze[[#This Row],[OD]]*Mecze[[#This Row],[%OU]],0)</f>
        <v>2</v>
      </c>
      <c r="AD3094" s="36" t="s">
        <v>47</v>
      </c>
      <c r="AE3094" s="36">
        <v>174</v>
      </c>
      <c r="AF3094" s="71">
        <v>3.44</v>
      </c>
      <c r="AG3094" s="37">
        <v>0</v>
      </c>
      <c r="AH3094" s="37">
        <v>0</v>
      </c>
      <c r="AI3094" s="37">
        <v>96</v>
      </c>
      <c r="AJ3094" s="37">
        <v>5</v>
      </c>
      <c r="AK3094" s="37" t="str">
        <f>VLOOKUP(Mecze[[#This Row],[Match ID]],Meczusie[Mecz]:Meczusie[RodzajMeczu],2,FALSE)</f>
        <v>Liga</v>
      </c>
    </row>
    <row r="3095" spans="1:37" x14ac:dyDescent="0.25">
      <c r="A3095" s="76">
        <v>5</v>
      </c>
      <c r="B3095" s="3" t="s">
        <v>347</v>
      </c>
      <c r="C3095" s="2" t="s">
        <v>157</v>
      </c>
      <c r="D3095" s="1">
        <v>0</v>
      </c>
      <c r="E3095" s="1">
        <v>0</v>
      </c>
      <c r="F3095" s="1">
        <v>0</v>
      </c>
      <c r="G3095" s="1">
        <v>1</v>
      </c>
      <c r="H3095" s="4">
        <v>0</v>
      </c>
      <c r="I3095" s="1">
        <v>0</v>
      </c>
      <c r="J3095" s="4"/>
      <c r="K3095" s="1">
        <v>0</v>
      </c>
      <c r="L3095" s="1">
        <v>0</v>
      </c>
      <c r="M3095" s="32">
        <f>IF(Mecze[[#This Row],[PR]]=0,0,Mecze[[#This Row],[PR]]/Mecze[[#This Row],[CZAS]])</f>
        <v>0</v>
      </c>
      <c r="N3095" s="32">
        <f>IF(Mecze[[#This Row],[OU]]=0,0,Mecze[[#This Row],[OU]]/Mecze[[#This Row],[CZAS]])</f>
        <v>0</v>
      </c>
      <c r="O3095" s="32">
        <f>IF(Mecze[[#This Row],[PC]]=0,0,Mecze[[#This Row],[PC]]/Mecze[[#This Row],[CZAS]])</f>
        <v>0</v>
      </c>
      <c r="P3095" s="32">
        <f>IF(Mecze[[#This Row],[SC]]=0,0,Mecze[[#This Row],[SC]]/Mecze[[#This Row],[CZAS]])</f>
        <v>0</v>
      </c>
      <c r="Q3095" s="32">
        <f>IF(Mecze[[#This Row],[OB]]=0,0,Mecze[[#This Row],[OB]]/Mecze[[#This Row],[CZAS]])</f>
        <v>0</v>
      </c>
      <c r="R3095" s="32">
        <f>IF(Mecze[[#This Row],[BR]]=0,0,Mecze[[#This Row],[BR]]/Mecze[[#This Row],[CZAS]])</f>
        <v>0</v>
      </c>
      <c r="S3095" s="44">
        <f>IF(Mecze[[#This Row],[Role]]="BR",SUMPRODUCT(Mecze[[#This Row],[/PR:90]:[/BR:90]],Brudnopis!$E$23:$J$23),0)</f>
        <v>0</v>
      </c>
      <c r="T3095" s="44">
        <f>IF(Mecze[[#This Row],[Role]]&lt;&gt;"BR",SUMPRODUCT(Mecze[[#This Row],[/PR:90]:[/BR:90]],Brudnopis!$E$24:$J$24),0)</f>
        <v>0</v>
      </c>
      <c r="U3095" s="44">
        <f>IF(Mecze[[#This Row],[Role]]&lt;&gt;"BR",SUMPRODUCT(Mecze[[#This Row],[/PR:90]:[/BR:90]],Brudnopis!$E$25:$J$25),0)</f>
        <v>0</v>
      </c>
      <c r="V3095" s="44">
        <f>IF(Mecze[[#This Row],[Role]]&lt;&gt;"BR",SUMPRODUCT(Mecze[[#This Row],[/PR:90]:[/BR:90]],Brudnopis!$E$26:$J$26),0)</f>
        <v>0</v>
      </c>
      <c r="W3095" s="44">
        <f>IF(Mecze[[#This Row],[Role]]&lt;&gt;"BR",SUMPRODUCT(Mecze[[#This Row],[/PR:90]:[/BR:90]],Brudnopis!$E$27:$J$27),0)</f>
        <v>0</v>
      </c>
      <c r="X3095" s="44">
        <f>IF(Mecze[[#This Row],[Role]]&lt;&gt;"BR",SUMPRODUCT(Mecze[[#This Row],[/PR:90]:[/BR:90]],Brudnopis!$E$28:$J$28),0)</f>
        <v>0</v>
      </c>
      <c r="Y3095" s="35">
        <f>IF(Mecze[[#This Row],[Role]]="BR",Mecze[[#This Row],[/OB:90]]+Mecze[[#This Row],[/PC:90]],SUM(Mecze[[#This Row],[/PR:90]:[/BR:90]]))</f>
        <v>0</v>
      </c>
      <c r="Z3095" s="35">
        <f>IF(Mecze[[#This Row],[KC]]=0,SUM(Mecze[[#This Row],[/BRI]:[/NPI]]),SUM(Mecze[[#This Row],[/BRI]:[/NPI]])*0.6)</f>
        <v>0</v>
      </c>
      <c r="AA3095" s="10">
        <f>IFERROR(Mecze[[#This Row],[BR]]/Mecze[[#This Row],[ST]],0)</f>
        <v>0</v>
      </c>
      <c r="AB3095">
        <f>ROUND(Mecze[[#This Row],[PD]]*Mecze[[#This Row],[%PC]],0)</f>
        <v>0</v>
      </c>
      <c r="AC3095">
        <f>ROUND(Mecze[[#This Row],[OD]]*Mecze[[#This Row],[%OU]],0)</f>
        <v>0</v>
      </c>
      <c r="AD3095" s="36" t="s">
        <v>175</v>
      </c>
      <c r="AE3095" s="36">
        <v>174</v>
      </c>
      <c r="AF3095" s="71">
        <v>2.81</v>
      </c>
      <c r="AG3095" s="37">
        <v>0</v>
      </c>
      <c r="AH3095" s="37">
        <v>0</v>
      </c>
      <c r="AI3095" s="37">
        <v>96</v>
      </c>
      <c r="AJ3095" s="37">
        <v>5</v>
      </c>
      <c r="AK3095" s="37" t="str">
        <f>VLOOKUP(Mecze[[#This Row],[Match ID]],Meczusie[Mecz]:Meczusie[RodzajMeczu],2,FALSE)</f>
        <v>Liga</v>
      </c>
    </row>
    <row r="3096" spans="1:37" x14ac:dyDescent="0.25">
      <c r="A3096" s="76">
        <v>3</v>
      </c>
      <c r="B3096" s="3" t="s">
        <v>348</v>
      </c>
      <c r="C3096" s="2" t="s">
        <v>157</v>
      </c>
      <c r="D3096" s="1">
        <v>0</v>
      </c>
      <c r="E3096" s="1">
        <v>0</v>
      </c>
      <c r="F3096" s="1">
        <v>0</v>
      </c>
      <c r="G3096" s="1">
        <v>3</v>
      </c>
      <c r="H3096" s="4">
        <v>1</v>
      </c>
      <c r="I3096" s="1">
        <v>5</v>
      </c>
      <c r="J3096" s="4">
        <v>0.2</v>
      </c>
      <c r="K3096" s="1">
        <v>0</v>
      </c>
      <c r="L3096" s="1">
        <v>3</v>
      </c>
      <c r="M3096" s="32">
        <f>IF(Mecze[[#This Row],[PR]]=0,0,Mecze[[#This Row],[PR]]/Mecze[[#This Row],[CZAS]])</f>
        <v>3.125E-2</v>
      </c>
      <c r="N3096" s="32">
        <f>IF(Mecze[[#This Row],[OU]]=0,0,Mecze[[#This Row],[OU]]/Mecze[[#This Row],[CZAS]])</f>
        <v>1.0416666666666666E-2</v>
      </c>
      <c r="O3096" s="32">
        <f>IF(Mecze[[#This Row],[PC]]=0,0,Mecze[[#This Row],[PC]]/Mecze[[#This Row],[CZAS]])</f>
        <v>3.125E-2</v>
      </c>
      <c r="P3096" s="32">
        <f>IF(Mecze[[#This Row],[SC]]=0,0,Mecze[[#This Row],[SC]]/Mecze[[#This Row],[CZAS]])</f>
        <v>0</v>
      </c>
      <c r="Q3096" s="32">
        <f>IF(Mecze[[#This Row],[OB]]=0,0,Mecze[[#This Row],[OB]]/Mecze[[#This Row],[CZAS]])</f>
        <v>0</v>
      </c>
      <c r="R3096" s="32">
        <f>IF(Mecze[[#This Row],[BR]]=0,0,Mecze[[#This Row],[BR]]/Mecze[[#This Row],[CZAS]])</f>
        <v>0</v>
      </c>
      <c r="S3096" s="44">
        <f>IF(Mecze[[#This Row],[Role]]="BR",SUMPRODUCT(Mecze[[#This Row],[/PR:90]:[/BR:90]],Brudnopis!$E$23:$J$23),0)</f>
        <v>0</v>
      </c>
      <c r="T3096" s="44">
        <f>IF(Mecze[[#This Row],[Role]]&lt;&gt;"BR",SUMPRODUCT(Mecze[[#This Row],[/PR:90]:[/BR:90]],Brudnopis!$E$24:$J$24),0)</f>
        <v>7.8125E-2</v>
      </c>
      <c r="U3096" s="44">
        <f>IF(Mecze[[#This Row],[Role]]&lt;&gt;"BR",SUMPRODUCT(Mecze[[#This Row],[/PR:90]:[/BR:90]],Brudnopis!$E$25:$J$25),0)</f>
        <v>8.8541666666666657E-2</v>
      </c>
      <c r="V3096" s="44">
        <f>IF(Mecze[[#This Row],[Role]]&lt;&gt;"BR",SUMPRODUCT(Mecze[[#This Row],[/PR:90]:[/BR:90]],Brudnopis!$E$26:$J$26),0)</f>
        <v>7.2916666666666657E-2</v>
      </c>
      <c r="W3096" s="44">
        <f>IF(Mecze[[#This Row],[Role]]&lt;&gt;"BR",SUMPRODUCT(Mecze[[#This Row],[/PR:90]:[/BR:90]],Brudnopis!$E$27:$J$27),0)</f>
        <v>7.8125E-2</v>
      </c>
      <c r="X3096" s="44">
        <f>IF(Mecze[[#This Row],[Role]]&lt;&gt;"BR",SUMPRODUCT(Mecze[[#This Row],[/PR:90]:[/BR:90]],Brudnopis!$E$28:$J$28),0)</f>
        <v>3.125E-2</v>
      </c>
      <c r="Y3096" s="35">
        <f>IF(Mecze[[#This Row],[Role]]="BR",Mecze[[#This Row],[/OB:90]]+Mecze[[#This Row],[/PC:90]],SUM(Mecze[[#This Row],[/PR:90]:[/BR:90]]))</f>
        <v>7.2916666666666657E-2</v>
      </c>
      <c r="Z3096" s="35">
        <f>IF(Mecze[[#This Row],[KC]]=0,SUM(Mecze[[#This Row],[/BRI]:[/NPI]]),SUM(Mecze[[#This Row],[/BRI]:[/NPI]])*0.6)</f>
        <v>0.34895833333333331</v>
      </c>
      <c r="AA3096" s="10">
        <f>IFERROR(Mecze[[#This Row],[BR]]/Mecze[[#This Row],[ST]],0)</f>
        <v>0</v>
      </c>
      <c r="AB3096">
        <f>ROUND(Mecze[[#This Row],[PD]]*Mecze[[#This Row],[%PC]],0)</f>
        <v>3</v>
      </c>
      <c r="AC3096">
        <f>ROUND(Mecze[[#This Row],[OD]]*Mecze[[#This Row],[%OU]],0)</f>
        <v>1</v>
      </c>
      <c r="AD3096" s="36" t="s">
        <v>174</v>
      </c>
      <c r="AE3096" s="36">
        <v>174</v>
      </c>
      <c r="AF3096" s="71">
        <v>3.44</v>
      </c>
      <c r="AG3096" s="37">
        <v>0</v>
      </c>
      <c r="AH3096" s="37">
        <v>0</v>
      </c>
      <c r="AI3096" s="37">
        <v>96</v>
      </c>
      <c r="AJ3096" s="37">
        <v>5</v>
      </c>
      <c r="AK3096" s="37" t="str">
        <f>VLOOKUP(Mecze[[#This Row],[Match ID]],Meczusie[Mecz]:Meczusie[RodzajMeczu],2,FALSE)</f>
        <v>Liga</v>
      </c>
    </row>
    <row r="3097" spans="1:37" x14ac:dyDescent="0.25">
      <c r="A3097" s="76">
        <v>6</v>
      </c>
      <c r="B3097" s="3" t="s">
        <v>349</v>
      </c>
      <c r="C3097" s="2" t="s">
        <v>160</v>
      </c>
      <c r="D3097" s="1">
        <v>0</v>
      </c>
      <c r="E3097" s="1">
        <v>0</v>
      </c>
      <c r="F3097" s="1">
        <v>0</v>
      </c>
      <c r="G3097" s="1">
        <v>24</v>
      </c>
      <c r="H3097" s="4">
        <v>0.79</v>
      </c>
      <c r="I3097" s="1">
        <v>6</v>
      </c>
      <c r="J3097" s="4">
        <v>1</v>
      </c>
      <c r="K3097" s="1">
        <v>0</v>
      </c>
      <c r="L3097" s="1">
        <v>14</v>
      </c>
      <c r="M3097" s="32">
        <f>IF(Mecze[[#This Row],[PR]]=0,0,Mecze[[#This Row],[PR]]/Mecze[[#This Row],[CZAS]])</f>
        <v>0.14583333333333334</v>
      </c>
      <c r="N3097" s="32">
        <f>IF(Mecze[[#This Row],[OU]]=0,0,Mecze[[#This Row],[OU]]/Mecze[[#This Row],[CZAS]])</f>
        <v>6.25E-2</v>
      </c>
      <c r="O3097" s="32">
        <f>IF(Mecze[[#This Row],[PC]]=0,0,Mecze[[#This Row],[PC]]/Mecze[[#This Row],[CZAS]])</f>
        <v>0.19791666666666666</v>
      </c>
      <c r="P3097" s="32">
        <f>IF(Mecze[[#This Row],[SC]]=0,0,Mecze[[#This Row],[SC]]/Mecze[[#This Row],[CZAS]])</f>
        <v>0</v>
      </c>
      <c r="Q3097" s="32">
        <f>IF(Mecze[[#This Row],[OB]]=0,0,Mecze[[#This Row],[OB]]/Mecze[[#This Row],[CZAS]])</f>
        <v>0</v>
      </c>
      <c r="R3097" s="32">
        <f>IF(Mecze[[#This Row],[BR]]=0,0,Mecze[[#This Row],[BR]]/Mecze[[#This Row],[CZAS]])</f>
        <v>0</v>
      </c>
      <c r="S3097" s="44">
        <f>IF(Mecze[[#This Row],[Role]]="BR",SUMPRODUCT(Mecze[[#This Row],[/PR:90]:[/BR:90]],Brudnopis!$E$23:$J$23),0)</f>
        <v>0</v>
      </c>
      <c r="T3097" s="44">
        <f>IF(Mecze[[#This Row],[Role]]&lt;&gt;"BR",SUMPRODUCT(Mecze[[#This Row],[/PR:90]:[/BR:90]],Brudnopis!$E$24:$J$24),0)</f>
        <v>0.4375</v>
      </c>
      <c r="U3097" s="44">
        <f>IF(Mecze[[#This Row],[Role]]&lt;&gt;"BR",SUMPRODUCT(Mecze[[#This Row],[/PR:90]:[/BR:90]],Brudnopis!$E$25:$J$25),0)</f>
        <v>0.50520833333333337</v>
      </c>
      <c r="V3097" s="44">
        <f>IF(Mecze[[#This Row],[Role]]&lt;&gt;"BR",SUMPRODUCT(Mecze[[#This Row],[/PR:90]:[/BR:90]],Brudnopis!$E$26:$J$26),0)</f>
        <v>0.40625</v>
      </c>
      <c r="W3097" s="44">
        <f>IF(Mecze[[#This Row],[Role]]&lt;&gt;"BR",SUMPRODUCT(Mecze[[#This Row],[/PR:90]:[/BR:90]],Brudnopis!$E$27:$J$27),0)</f>
        <v>0.453125</v>
      </c>
      <c r="X3097" s="44">
        <f>IF(Mecze[[#This Row],[Role]]&lt;&gt;"BR",SUMPRODUCT(Mecze[[#This Row],[/PR:90]:[/BR:90]],Brudnopis!$E$28:$J$28),0)</f>
        <v>0.19791666666666666</v>
      </c>
      <c r="Y3097" s="35">
        <f>IF(Mecze[[#This Row],[Role]]="BR",Mecze[[#This Row],[/OB:90]]+Mecze[[#This Row],[/PC:90]],SUM(Mecze[[#This Row],[/PR:90]:[/BR:90]]))</f>
        <v>0.40625</v>
      </c>
      <c r="Z3097" s="35">
        <f>IF(Mecze[[#This Row],[KC]]=0,SUM(Mecze[[#This Row],[/BRI]:[/NPI]]),SUM(Mecze[[#This Row],[/BRI]:[/NPI]])*0.6)</f>
        <v>2</v>
      </c>
      <c r="AA3097" s="10">
        <f>IFERROR(Mecze[[#This Row],[BR]]/Mecze[[#This Row],[ST]],0)</f>
        <v>0</v>
      </c>
      <c r="AB3097">
        <f>ROUND(Mecze[[#This Row],[PD]]*Mecze[[#This Row],[%PC]],0)</f>
        <v>19</v>
      </c>
      <c r="AC3097">
        <f>ROUND(Mecze[[#This Row],[OD]]*Mecze[[#This Row],[%OU]],0)</f>
        <v>6</v>
      </c>
      <c r="AD3097" s="36" t="s">
        <v>41</v>
      </c>
      <c r="AE3097" s="36">
        <v>174</v>
      </c>
      <c r="AF3097" s="71">
        <v>8.07</v>
      </c>
      <c r="AG3097" s="37">
        <v>0</v>
      </c>
      <c r="AH3097" s="37">
        <v>0</v>
      </c>
      <c r="AI3097" s="37">
        <v>96</v>
      </c>
      <c r="AJ3097" s="37">
        <v>5</v>
      </c>
      <c r="AK3097" s="37" t="str">
        <f>VLOOKUP(Mecze[[#This Row],[Match ID]],Meczusie[Mecz]:Meczusie[RodzajMeczu],2,FALSE)</f>
        <v>Liga</v>
      </c>
    </row>
    <row r="3098" spans="1:37" x14ac:dyDescent="0.25">
      <c r="A3098" s="76">
        <v>7</v>
      </c>
      <c r="B3098" s="3" t="s">
        <v>350</v>
      </c>
      <c r="C3098" s="2" t="s">
        <v>160</v>
      </c>
      <c r="D3098" s="1">
        <v>0</v>
      </c>
      <c r="E3098" s="1">
        <v>0</v>
      </c>
      <c r="F3098" s="1">
        <v>0</v>
      </c>
      <c r="G3098" s="1">
        <v>12</v>
      </c>
      <c r="H3098" s="4">
        <v>0.67</v>
      </c>
      <c r="I3098" s="1">
        <v>3</v>
      </c>
      <c r="J3098" s="4">
        <v>1</v>
      </c>
      <c r="K3098" s="1">
        <v>0</v>
      </c>
      <c r="L3098" s="1">
        <v>4</v>
      </c>
      <c r="M3098" s="32">
        <f>IF(Mecze[[#This Row],[PR]]=0,0,Mecze[[#This Row],[PR]]/Mecze[[#This Row],[CZAS]])</f>
        <v>4.1666666666666664E-2</v>
      </c>
      <c r="N3098" s="32">
        <f>IF(Mecze[[#This Row],[OU]]=0,0,Mecze[[#This Row],[OU]]/Mecze[[#This Row],[CZAS]])</f>
        <v>3.125E-2</v>
      </c>
      <c r="O3098" s="32">
        <f>IF(Mecze[[#This Row],[PC]]=0,0,Mecze[[#This Row],[PC]]/Mecze[[#This Row],[CZAS]])</f>
        <v>8.3333333333333329E-2</v>
      </c>
      <c r="P3098" s="32">
        <f>IF(Mecze[[#This Row],[SC]]=0,0,Mecze[[#This Row],[SC]]/Mecze[[#This Row],[CZAS]])</f>
        <v>0</v>
      </c>
      <c r="Q3098" s="32">
        <f>IF(Mecze[[#This Row],[OB]]=0,0,Mecze[[#This Row],[OB]]/Mecze[[#This Row],[CZAS]])</f>
        <v>0</v>
      </c>
      <c r="R3098" s="32">
        <f>IF(Mecze[[#This Row],[BR]]=0,0,Mecze[[#This Row],[BR]]/Mecze[[#This Row],[CZAS]])</f>
        <v>0</v>
      </c>
      <c r="S3098" s="44">
        <f>IF(Mecze[[#This Row],[Role]]="BR",SUMPRODUCT(Mecze[[#This Row],[/PR:90]:[/BR:90]],Brudnopis!$E$23:$J$23),0)</f>
        <v>0</v>
      </c>
      <c r="T3098" s="44">
        <f>IF(Mecze[[#This Row],[Role]]&lt;&gt;"BR",SUMPRODUCT(Mecze[[#This Row],[/PR:90]:[/BR:90]],Brudnopis!$E$24:$J$24),0)</f>
        <v>0.171875</v>
      </c>
      <c r="U3098" s="44">
        <f>IF(Mecze[[#This Row],[Role]]&lt;&gt;"BR",SUMPRODUCT(Mecze[[#This Row],[/PR:90]:[/BR:90]],Brudnopis!$E$25:$J$25),0)</f>
        <v>0.19791666666666666</v>
      </c>
      <c r="V3098" s="44">
        <f>IF(Mecze[[#This Row],[Role]]&lt;&gt;"BR",SUMPRODUCT(Mecze[[#This Row],[/PR:90]:[/BR:90]],Brudnopis!$E$26:$J$26),0)</f>
        <v>0.15625</v>
      </c>
      <c r="W3098" s="44">
        <f>IF(Mecze[[#This Row],[Role]]&lt;&gt;"BR",SUMPRODUCT(Mecze[[#This Row],[/PR:90]:[/BR:90]],Brudnopis!$E$27:$J$27),0)</f>
        <v>0.1796875</v>
      </c>
      <c r="X3098" s="44">
        <f>IF(Mecze[[#This Row],[Role]]&lt;&gt;"BR",SUMPRODUCT(Mecze[[#This Row],[/PR:90]:[/BR:90]],Brudnopis!$E$28:$J$28),0)</f>
        <v>8.3333333333333329E-2</v>
      </c>
      <c r="Y3098" s="35">
        <f>IF(Mecze[[#This Row],[Role]]="BR",Mecze[[#This Row],[/OB:90]]+Mecze[[#This Row],[/PC:90]],SUM(Mecze[[#This Row],[/PR:90]:[/BR:90]]))</f>
        <v>0.15625</v>
      </c>
      <c r="Z3098" s="35">
        <f>IF(Mecze[[#This Row],[KC]]=0,SUM(Mecze[[#This Row],[/BRI]:[/NPI]]),SUM(Mecze[[#This Row],[/BRI]:[/NPI]])*0.6)</f>
        <v>0.7890625</v>
      </c>
      <c r="AA3098" s="10">
        <f>IFERROR(Mecze[[#This Row],[BR]]/Mecze[[#This Row],[ST]],0)</f>
        <v>0</v>
      </c>
      <c r="AB3098">
        <f>ROUND(Mecze[[#This Row],[PD]]*Mecze[[#This Row],[%PC]],0)</f>
        <v>8</v>
      </c>
      <c r="AC3098">
        <f>ROUND(Mecze[[#This Row],[OD]]*Mecze[[#This Row],[%OU]],0)</f>
        <v>3</v>
      </c>
      <c r="AD3098" s="36" t="s">
        <v>67</v>
      </c>
      <c r="AE3098" s="36">
        <v>174</v>
      </c>
      <c r="AF3098" s="71">
        <v>5.97</v>
      </c>
      <c r="AG3098" s="37">
        <v>0</v>
      </c>
      <c r="AH3098" s="37">
        <v>0</v>
      </c>
      <c r="AI3098" s="37">
        <v>96</v>
      </c>
      <c r="AJ3098" s="37">
        <v>5</v>
      </c>
      <c r="AK3098" s="37" t="str">
        <f>VLOOKUP(Mecze[[#This Row],[Match ID]],Meczusie[Mecz]:Meczusie[RodzajMeczu],2,FALSE)</f>
        <v>Liga</v>
      </c>
    </row>
    <row r="3099" spans="1:37" x14ac:dyDescent="0.25">
      <c r="A3099" s="76">
        <v>8</v>
      </c>
      <c r="B3099" s="3" t="s">
        <v>351</v>
      </c>
      <c r="C3099" s="2" t="s">
        <v>160</v>
      </c>
      <c r="D3099" s="1">
        <v>0</v>
      </c>
      <c r="E3099" s="1">
        <v>1</v>
      </c>
      <c r="F3099" s="1">
        <v>0</v>
      </c>
      <c r="G3099" s="1">
        <v>10</v>
      </c>
      <c r="H3099" s="4">
        <v>0.6</v>
      </c>
      <c r="I3099" s="1">
        <v>4</v>
      </c>
      <c r="J3099" s="4">
        <v>0.25</v>
      </c>
      <c r="K3099" s="1">
        <v>0</v>
      </c>
      <c r="L3099" s="1">
        <v>0</v>
      </c>
      <c r="M3099" s="32">
        <f>IF(Mecze[[#This Row],[PR]]=0,0,Mecze[[#This Row],[PR]]/Mecze[[#This Row],[CZAS]])</f>
        <v>0</v>
      </c>
      <c r="N3099" s="32">
        <f>IF(Mecze[[#This Row],[OU]]=0,0,Mecze[[#This Row],[OU]]/Mecze[[#This Row],[CZAS]])</f>
        <v>1.0416666666666666E-2</v>
      </c>
      <c r="O3099" s="32">
        <f>IF(Mecze[[#This Row],[PC]]=0,0,Mecze[[#This Row],[PC]]/Mecze[[#This Row],[CZAS]])</f>
        <v>6.25E-2</v>
      </c>
      <c r="P3099" s="32">
        <f>IF(Mecze[[#This Row],[SC]]=0,0,Mecze[[#This Row],[SC]]/Mecze[[#This Row],[CZAS]])</f>
        <v>0</v>
      </c>
      <c r="Q3099" s="32">
        <f>IF(Mecze[[#This Row],[OB]]=0,0,Mecze[[#This Row],[OB]]/Mecze[[#This Row],[CZAS]])</f>
        <v>0</v>
      </c>
      <c r="R3099" s="32">
        <f>IF(Mecze[[#This Row],[BR]]=0,0,Mecze[[#This Row],[BR]]/Mecze[[#This Row],[CZAS]])</f>
        <v>0</v>
      </c>
      <c r="S3099" s="44">
        <f>IF(Mecze[[#This Row],[Role]]="BR",SUMPRODUCT(Mecze[[#This Row],[/PR:90]:[/BR:90]],Brudnopis!$E$23:$J$23),0)</f>
        <v>0</v>
      </c>
      <c r="T3099" s="44">
        <f>IF(Mecze[[#This Row],[Role]]&lt;&gt;"BR",SUMPRODUCT(Mecze[[#This Row],[/PR:90]:[/BR:90]],Brudnopis!$E$24:$J$24),0)</f>
        <v>7.8125E-2</v>
      </c>
      <c r="U3099" s="44">
        <f>IF(Mecze[[#This Row],[Role]]&lt;&gt;"BR",SUMPRODUCT(Mecze[[#This Row],[/PR:90]:[/BR:90]],Brudnopis!$E$25:$J$25),0)</f>
        <v>0.10416666666666667</v>
      </c>
      <c r="V3099" s="44">
        <f>IF(Mecze[[#This Row],[Role]]&lt;&gt;"BR",SUMPRODUCT(Mecze[[#This Row],[/PR:90]:[/BR:90]],Brudnopis!$E$26:$J$26),0)</f>
        <v>7.2916666666666671E-2</v>
      </c>
      <c r="W3099" s="44">
        <f>IF(Mecze[[#This Row],[Role]]&lt;&gt;"BR",SUMPRODUCT(Mecze[[#This Row],[/PR:90]:[/BR:90]],Brudnopis!$E$27:$J$27),0)</f>
        <v>0.1015625</v>
      </c>
      <c r="X3099" s="44">
        <f>IF(Mecze[[#This Row],[Role]]&lt;&gt;"BR",SUMPRODUCT(Mecze[[#This Row],[/PR:90]:[/BR:90]],Brudnopis!$E$28:$J$28),0)</f>
        <v>6.25E-2</v>
      </c>
      <c r="Y3099" s="35">
        <f>IF(Mecze[[#This Row],[Role]]="BR",Mecze[[#This Row],[/OB:90]]+Mecze[[#This Row],[/PC:90]],SUM(Mecze[[#This Row],[/PR:90]:[/BR:90]]))</f>
        <v>7.2916666666666671E-2</v>
      </c>
      <c r="Z3099" s="35">
        <f>IF(Mecze[[#This Row],[KC]]=0,SUM(Mecze[[#This Row],[/BRI]:[/NPI]]),SUM(Mecze[[#This Row],[/BRI]:[/NPI]])*0.6)</f>
        <v>0.41927083333333337</v>
      </c>
      <c r="AA3099" s="10">
        <f>IFERROR(Mecze[[#This Row],[BR]]/Mecze[[#This Row],[ST]],0)</f>
        <v>0</v>
      </c>
      <c r="AB3099">
        <f>ROUND(Mecze[[#This Row],[PD]]*Mecze[[#This Row],[%PC]],0)</f>
        <v>6</v>
      </c>
      <c r="AC3099">
        <f>ROUND(Mecze[[#This Row],[OD]]*Mecze[[#This Row],[%OU]],0)</f>
        <v>1</v>
      </c>
      <c r="AD3099" s="36" t="s">
        <v>67</v>
      </c>
      <c r="AE3099" s="36">
        <v>174</v>
      </c>
      <c r="AF3099" s="71">
        <v>5.13</v>
      </c>
      <c r="AG3099" s="37">
        <v>0</v>
      </c>
      <c r="AH3099" s="37">
        <v>0</v>
      </c>
      <c r="AI3099" s="37">
        <v>96</v>
      </c>
      <c r="AJ3099" s="37">
        <v>5</v>
      </c>
      <c r="AK3099" s="37" t="str">
        <f>VLOOKUP(Mecze[[#This Row],[Match ID]],Meczusie[Mecz]:Meczusie[RodzajMeczu],2,FALSE)</f>
        <v>Liga</v>
      </c>
    </row>
    <row r="3100" spans="1:37" x14ac:dyDescent="0.25">
      <c r="A3100" s="76">
        <v>11</v>
      </c>
      <c r="B3100" s="3" t="s">
        <v>353</v>
      </c>
      <c r="C3100" s="2" t="s">
        <v>165</v>
      </c>
      <c r="D3100" s="1">
        <v>1</v>
      </c>
      <c r="E3100" s="1">
        <v>4</v>
      </c>
      <c r="F3100" s="1">
        <v>2</v>
      </c>
      <c r="G3100" s="1">
        <v>8</v>
      </c>
      <c r="H3100" s="4">
        <v>0.5</v>
      </c>
      <c r="I3100" s="1">
        <v>3</v>
      </c>
      <c r="J3100" s="4">
        <v>0.33</v>
      </c>
      <c r="K3100" s="1">
        <v>0</v>
      </c>
      <c r="L3100" s="1">
        <v>1</v>
      </c>
      <c r="M3100" s="32">
        <f>IF(Mecze[[#This Row],[PR]]=0,0,Mecze[[#This Row],[PR]]/Mecze[[#This Row],[CZAS]])</f>
        <v>1.0416666666666666E-2</v>
      </c>
      <c r="N3100" s="32">
        <f>IF(Mecze[[#This Row],[OU]]=0,0,Mecze[[#This Row],[OU]]/Mecze[[#This Row],[CZAS]])</f>
        <v>1.0416666666666666E-2</v>
      </c>
      <c r="O3100" s="32">
        <f>IF(Mecze[[#This Row],[PC]]=0,0,Mecze[[#This Row],[PC]]/Mecze[[#This Row],[CZAS]])</f>
        <v>4.1666666666666664E-2</v>
      </c>
      <c r="P3100" s="32">
        <f>IF(Mecze[[#This Row],[SC]]=0,0,Mecze[[#This Row],[SC]]/Mecze[[#This Row],[CZAS]])</f>
        <v>2.0833333333333332E-2</v>
      </c>
      <c r="Q3100" s="32">
        <f>IF(Mecze[[#This Row],[OB]]=0,0,Mecze[[#This Row],[OB]]/Mecze[[#This Row],[CZAS]])</f>
        <v>0</v>
      </c>
      <c r="R3100" s="32">
        <f>IF(Mecze[[#This Row],[BR]]=0,0,Mecze[[#This Row],[BR]]/Mecze[[#This Row],[CZAS]])</f>
        <v>1.0416666666666666E-2</v>
      </c>
      <c r="S3100" s="44">
        <f>IF(Mecze[[#This Row],[Role]]="BR",SUMPRODUCT(Mecze[[#This Row],[/PR:90]:[/BR:90]],Brudnopis!$E$23:$J$23),0)</f>
        <v>0</v>
      </c>
      <c r="T3100" s="44">
        <f>IF(Mecze[[#This Row],[Role]]&lt;&gt;"BR",SUMPRODUCT(Mecze[[#This Row],[/PR:90]:[/BR:90]],Brudnopis!$E$24:$J$24),0)</f>
        <v>0.10416666666666666</v>
      </c>
      <c r="U3100" s="44">
        <f>IF(Mecze[[#This Row],[Role]]&lt;&gt;"BR",SUMPRODUCT(Mecze[[#This Row],[/PR:90]:[/BR:90]],Brudnopis!$E$25:$J$25),0)</f>
        <v>0.11979166666666666</v>
      </c>
      <c r="V3100" s="44">
        <f>IF(Mecze[[#This Row],[Role]]&lt;&gt;"BR",SUMPRODUCT(Mecze[[#This Row],[/PR:90]:[/BR:90]],Brudnopis!$E$26:$J$26),0)</f>
        <v>0.10416666666666666</v>
      </c>
      <c r="W3100" s="44">
        <f>IF(Mecze[[#This Row],[Role]]&lt;&gt;"BR",SUMPRODUCT(Mecze[[#This Row],[/PR:90]:[/BR:90]],Brudnopis!$E$27:$J$27),0)</f>
        <v>0.11979166666666666</v>
      </c>
      <c r="X3100" s="44">
        <f>IF(Mecze[[#This Row],[Role]]&lt;&gt;"BR",SUMPRODUCT(Mecze[[#This Row],[/PR:90]:[/BR:90]],Brudnopis!$E$28:$J$28),0)</f>
        <v>0.11458333333333333</v>
      </c>
      <c r="Y3100" s="35">
        <f>IF(Mecze[[#This Row],[Role]]="BR",Mecze[[#This Row],[/OB:90]]+Mecze[[#This Row],[/PC:90]],SUM(Mecze[[#This Row],[/PR:90]:[/BR:90]]))</f>
        <v>9.375E-2</v>
      </c>
      <c r="Z3100" s="35">
        <f>IF(Mecze[[#This Row],[KC]]=0,SUM(Mecze[[#This Row],[/BRI]:[/NPI]]),SUM(Mecze[[#This Row],[/BRI]:[/NPI]])*0.6)</f>
        <v>0.5625</v>
      </c>
      <c r="AA3100" s="10">
        <f>IFERROR(Mecze[[#This Row],[BR]]/Mecze[[#This Row],[ST]],0)</f>
        <v>0.25</v>
      </c>
      <c r="AB3100">
        <f>ROUND(Mecze[[#This Row],[PD]]*Mecze[[#This Row],[%PC]],0)</f>
        <v>4</v>
      </c>
      <c r="AC3100">
        <f>ROUND(Mecze[[#This Row],[OD]]*Mecze[[#This Row],[%OU]],0)</f>
        <v>1</v>
      </c>
      <c r="AD3100" s="36" t="s">
        <v>46</v>
      </c>
      <c r="AE3100" s="36">
        <v>174</v>
      </c>
      <c r="AF3100" s="71">
        <v>8</v>
      </c>
      <c r="AG3100" s="37">
        <v>0</v>
      </c>
      <c r="AH3100" s="37">
        <v>0</v>
      </c>
      <c r="AI3100" s="37">
        <v>96</v>
      </c>
      <c r="AJ3100" s="37">
        <v>5</v>
      </c>
      <c r="AK3100" s="37" t="str">
        <f>VLOOKUP(Mecze[[#This Row],[Match ID]],Meczusie[Mecz]:Meczusie[RodzajMeczu],2,FALSE)</f>
        <v>Liga</v>
      </c>
    </row>
    <row r="3101" spans="1:37" x14ac:dyDescent="0.25">
      <c r="A3101" s="76">
        <v>10</v>
      </c>
      <c r="B3101" s="3" t="s">
        <v>352</v>
      </c>
      <c r="C3101" s="2" t="s">
        <v>165</v>
      </c>
      <c r="D3101" s="1">
        <v>1</v>
      </c>
      <c r="E3101" s="1">
        <v>5</v>
      </c>
      <c r="F3101" s="1">
        <v>4</v>
      </c>
      <c r="G3101" s="1">
        <v>9</v>
      </c>
      <c r="H3101" s="4">
        <v>0.67</v>
      </c>
      <c r="I3101" s="1">
        <v>3</v>
      </c>
      <c r="J3101" s="4">
        <v>0.67</v>
      </c>
      <c r="K3101" s="1">
        <v>0</v>
      </c>
      <c r="L3101" s="1">
        <v>3</v>
      </c>
      <c r="M3101" s="32">
        <f>IF(Mecze[[#This Row],[PR]]=0,0,Mecze[[#This Row],[PR]]/Mecze[[#This Row],[CZAS]])</f>
        <v>3.125E-2</v>
      </c>
      <c r="N3101" s="32">
        <f>IF(Mecze[[#This Row],[OU]]=0,0,Mecze[[#This Row],[OU]]/Mecze[[#This Row],[CZAS]])</f>
        <v>2.0833333333333332E-2</v>
      </c>
      <c r="O3101" s="32">
        <f>IF(Mecze[[#This Row],[PC]]=0,0,Mecze[[#This Row],[PC]]/Mecze[[#This Row],[CZAS]])</f>
        <v>6.25E-2</v>
      </c>
      <c r="P3101" s="32">
        <f>IF(Mecze[[#This Row],[SC]]=0,0,Mecze[[#This Row],[SC]]/Mecze[[#This Row],[CZAS]])</f>
        <v>4.1666666666666664E-2</v>
      </c>
      <c r="Q3101" s="32">
        <f>IF(Mecze[[#This Row],[OB]]=0,0,Mecze[[#This Row],[OB]]/Mecze[[#This Row],[CZAS]])</f>
        <v>0</v>
      </c>
      <c r="R3101" s="32">
        <f>IF(Mecze[[#This Row],[BR]]=0,0,Mecze[[#This Row],[BR]]/Mecze[[#This Row],[CZAS]])</f>
        <v>1.0416666666666666E-2</v>
      </c>
      <c r="S3101" s="44">
        <f>IF(Mecze[[#This Row],[Role]]="BR",SUMPRODUCT(Mecze[[#This Row],[/PR:90]:[/BR:90]],Brudnopis!$E$23:$J$23),0)</f>
        <v>0</v>
      </c>
      <c r="T3101" s="44">
        <f>IF(Mecze[[#This Row],[Role]]&lt;&gt;"BR",SUMPRODUCT(Mecze[[#This Row],[/PR:90]:[/BR:90]],Brudnopis!$E$24:$J$24),0)</f>
        <v>0.18229166666666666</v>
      </c>
      <c r="U3101" s="44">
        <f>IF(Mecze[[#This Row],[Role]]&lt;&gt;"BR",SUMPRODUCT(Mecze[[#This Row],[/PR:90]:[/BR:90]],Brudnopis!$E$25:$J$25),0)</f>
        <v>0.20312499999999997</v>
      </c>
      <c r="V3101" s="44">
        <f>IF(Mecze[[#This Row],[Role]]&lt;&gt;"BR",SUMPRODUCT(Mecze[[#This Row],[/PR:90]:[/BR:90]],Brudnopis!$E$26:$J$26),0)</f>
        <v>0.17708333333333334</v>
      </c>
      <c r="W3101" s="44">
        <f>IF(Mecze[[#This Row],[Role]]&lt;&gt;"BR",SUMPRODUCT(Mecze[[#This Row],[/PR:90]:[/BR:90]],Brudnopis!$E$27:$J$27),0)</f>
        <v>0.1953125</v>
      </c>
      <c r="X3101" s="44">
        <f>IF(Mecze[[#This Row],[Role]]&lt;&gt;"BR",SUMPRODUCT(Mecze[[#This Row],[/PR:90]:[/BR:90]],Brudnopis!$E$28:$J$28),0)</f>
        <v>0.17708333333333331</v>
      </c>
      <c r="Y3101" s="35">
        <f>IF(Mecze[[#This Row],[Role]]="BR",Mecze[[#This Row],[/OB:90]]+Mecze[[#This Row],[/PC:90]],SUM(Mecze[[#This Row],[/PR:90]:[/BR:90]]))</f>
        <v>0.16666666666666666</v>
      </c>
      <c r="Z3101" s="35">
        <f>IF(Mecze[[#This Row],[KC]]=0,SUM(Mecze[[#This Row],[/BRI]:[/NPI]]),SUM(Mecze[[#This Row],[/BRI]:[/NPI]])*0.6)</f>
        <v>0.93489583333333326</v>
      </c>
      <c r="AA3101" s="10">
        <f>IFERROR(Mecze[[#This Row],[BR]]/Mecze[[#This Row],[ST]],0)</f>
        <v>0.2</v>
      </c>
      <c r="AB3101">
        <f>ROUND(Mecze[[#This Row],[PD]]*Mecze[[#This Row],[%PC]],0)</f>
        <v>6</v>
      </c>
      <c r="AC3101">
        <f>ROUND(Mecze[[#This Row],[OD]]*Mecze[[#This Row],[%OU]],0)</f>
        <v>2</v>
      </c>
      <c r="AD3101" s="36" t="s">
        <v>272</v>
      </c>
      <c r="AE3101" s="36">
        <v>174</v>
      </c>
      <c r="AF3101" s="71">
        <v>8.44</v>
      </c>
      <c r="AG3101" s="37">
        <v>0</v>
      </c>
      <c r="AH3101" s="37">
        <v>0</v>
      </c>
      <c r="AI3101" s="37">
        <v>96</v>
      </c>
      <c r="AJ3101" s="37">
        <v>5</v>
      </c>
      <c r="AK3101" s="37" t="str">
        <f>VLOOKUP(Mecze[[#This Row],[Match ID]],Meczusie[Mecz]:Meczusie[RodzajMeczu],2,FALSE)</f>
        <v>Liga</v>
      </c>
    </row>
    <row r="3102" spans="1:37" x14ac:dyDescent="0.25">
      <c r="A3102" s="76">
        <v>9</v>
      </c>
      <c r="B3102" s="3" t="s">
        <v>354</v>
      </c>
      <c r="C3102" s="2" t="s">
        <v>165</v>
      </c>
      <c r="D3102" s="1">
        <v>2</v>
      </c>
      <c r="E3102" s="1">
        <v>3</v>
      </c>
      <c r="F3102" s="1">
        <v>3</v>
      </c>
      <c r="G3102" s="1">
        <v>8</v>
      </c>
      <c r="H3102" s="4">
        <v>0.88</v>
      </c>
      <c r="I3102" s="1">
        <v>3</v>
      </c>
      <c r="J3102" s="4">
        <v>0</v>
      </c>
      <c r="K3102" s="1">
        <v>0</v>
      </c>
      <c r="L3102" s="1">
        <v>0</v>
      </c>
      <c r="M3102" s="32">
        <f>IF(Mecze[[#This Row],[PR]]=0,0,Mecze[[#This Row],[PR]]/Mecze[[#This Row],[CZAS]])</f>
        <v>0</v>
      </c>
      <c r="N3102" s="32">
        <f>IF(Mecze[[#This Row],[OU]]=0,0,Mecze[[#This Row],[OU]]/Mecze[[#This Row],[CZAS]])</f>
        <v>0</v>
      </c>
      <c r="O3102" s="32">
        <f>IF(Mecze[[#This Row],[PC]]=0,0,Mecze[[#This Row],[PC]]/Mecze[[#This Row],[CZAS]])</f>
        <v>7.2916666666666671E-2</v>
      </c>
      <c r="P3102" s="32">
        <f>IF(Mecze[[#This Row],[SC]]=0,0,Mecze[[#This Row],[SC]]/Mecze[[#This Row],[CZAS]])</f>
        <v>3.125E-2</v>
      </c>
      <c r="Q3102" s="32">
        <f>IF(Mecze[[#This Row],[OB]]=0,0,Mecze[[#This Row],[OB]]/Mecze[[#This Row],[CZAS]])</f>
        <v>0</v>
      </c>
      <c r="R3102" s="32">
        <f>IF(Mecze[[#This Row],[BR]]=0,0,Mecze[[#This Row],[BR]]/Mecze[[#This Row],[CZAS]])</f>
        <v>2.0833333333333332E-2</v>
      </c>
      <c r="S3102" s="44">
        <f>IF(Mecze[[#This Row],[Role]]="BR",SUMPRODUCT(Mecze[[#This Row],[/PR:90]:[/BR:90]],Brudnopis!$E$23:$J$23),0)</f>
        <v>0</v>
      </c>
      <c r="T3102" s="44">
        <f>IF(Mecze[[#This Row],[Role]]&lt;&gt;"BR",SUMPRODUCT(Mecze[[#This Row],[/PR:90]:[/BR:90]],Brudnopis!$E$24:$J$24),0)</f>
        <v>0.13541666666666669</v>
      </c>
      <c r="U3102" s="44">
        <f>IF(Mecze[[#This Row],[Role]]&lt;&gt;"BR",SUMPRODUCT(Mecze[[#This Row],[/PR:90]:[/BR:90]],Brudnopis!$E$25:$J$25),0)</f>
        <v>0.171875</v>
      </c>
      <c r="V3102" s="44">
        <f>IF(Mecze[[#This Row],[Role]]&lt;&gt;"BR",SUMPRODUCT(Mecze[[#This Row],[/PR:90]:[/BR:90]],Brudnopis!$E$26:$J$26),0)</f>
        <v>0.14583333333333334</v>
      </c>
      <c r="W3102" s="44">
        <f>IF(Mecze[[#This Row],[Role]]&lt;&gt;"BR",SUMPRODUCT(Mecze[[#This Row],[/PR:90]:[/BR:90]],Brudnopis!$E$27:$J$27),0)</f>
        <v>0.18229166666666666</v>
      </c>
      <c r="X3102" s="44">
        <f>IF(Mecze[[#This Row],[Role]]&lt;&gt;"BR",SUMPRODUCT(Mecze[[#This Row],[/PR:90]:[/BR:90]],Brudnopis!$E$28:$J$28),0)</f>
        <v>0.19791666666666669</v>
      </c>
      <c r="Y3102" s="35">
        <f>IF(Mecze[[#This Row],[Role]]="BR",Mecze[[#This Row],[/OB:90]]+Mecze[[#This Row],[/PC:90]],SUM(Mecze[[#This Row],[/PR:90]:[/BR:90]]))</f>
        <v>0.125</v>
      </c>
      <c r="Z3102" s="35">
        <f>IF(Mecze[[#This Row],[KC]]=0,SUM(Mecze[[#This Row],[/BRI]:[/NPI]]),SUM(Mecze[[#This Row],[/BRI]:[/NPI]])*0.6)</f>
        <v>0.83333333333333326</v>
      </c>
      <c r="AA3102" s="10">
        <f>IFERROR(Mecze[[#This Row],[BR]]/Mecze[[#This Row],[ST]],0)</f>
        <v>0.66666666666666663</v>
      </c>
      <c r="AB3102">
        <f>ROUND(Mecze[[#This Row],[PD]]*Mecze[[#This Row],[%PC]],0)</f>
        <v>7</v>
      </c>
      <c r="AC3102">
        <f>ROUND(Mecze[[#This Row],[OD]]*Mecze[[#This Row],[%OU]],0)</f>
        <v>0</v>
      </c>
      <c r="AD3102" s="36" t="s">
        <v>273</v>
      </c>
      <c r="AE3102" s="36">
        <v>174</v>
      </c>
      <c r="AF3102" s="71">
        <v>11.44</v>
      </c>
      <c r="AG3102" s="37">
        <v>0</v>
      </c>
      <c r="AH3102" s="37">
        <v>0</v>
      </c>
      <c r="AI3102" s="37">
        <v>96</v>
      </c>
      <c r="AJ3102" s="37">
        <v>5</v>
      </c>
      <c r="AK3102" s="37" t="str">
        <f>VLOOKUP(Mecze[[#This Row],[Match ID]],Meczusie[Mecz]:Meczusie[RodzajMeczu],2,FALSE)</f>
        <v>Liga</v>
      </c>
    </row>
    <row r="3103" spans="1:37" x14ac:dyDescent="0.25">
      <c r="A3103" s="76">
        <v>1</v>
      </c>
      <c r="B3103" s="3" t="s">
        <v>236</v>
      </c>
      <c r="C3103" s="2" t="s">
        <v>155</v>
      </c>
      <c r="D3103" s="1">
        <v>0</v>
      </c>
      <c r="E3103" s="1">
        <v>0</v>
      </c>
      <c r="F3103" s="1">
        <v>0</v>
      </c>
      <c r="G3103" s="1">
        <v>9</v>
      </c>
      <c r="H3103" s="4">
        <v>0.67</v>
      </c>
      <c r="I3103" s="1">
        <v>0</v>
      </c>
      <c r="J3103" s="4"/>
      <c r="K3103" s="1">
        <v>4</v>
      </c>
      <c r="L3103" s="1">
        <v>0</v>
      </c>
      <c r="M3103" s="32">
        <f>IF(Mecze[[#This Row],[PR]]=0,0,Mecze[[#This Row],[PR]]/Mecze[[#This Row],[CZAS]])</f>
        <v>0</v>
      </c>
      <c r="N3103" s="32">
        <f>IF(Mecze[[#This Row],[OU]]=0,0,Mecze[[#This Row],[OU]]/Mecze[[#This Row],[CZAS]])</f>
        <v>0</v>
      </c>
      <c r="O3103" s="32">
        <f>IF(Mecze[[#This Row],[PC]]=0,0,Mecze[[#This Row],[PC]]/Mecze[[#This Row],[CZAS]])</f>
        <v>6.25E-2</v>
      </c>
      <c r="P3103" s="32">
        <f>IF(Mecze[[#This Row],[SC]]=0,0,Mecze[[#This Row],[SC]]/Mecze[[#This Row],[CZAS]])</f>
        <v>0</v>
      </c>
      <c r="Q3103" s="32">
        <f>IF(Mecze[[#This Row],[OB]]=0,0,Mecze[[#This Row],[OB]]/Mecze[[#This Row],[CZAS]])</f>
        <v>4.1666666666666664E-2</v>
      </c>
      <c r="R3103" s="32">
        <f>IF(Mecze[[#This Row],[BR]]=0,0,Mecze[[#This Row],[BR]]/Mecze[[#This Row],[CZAS]])</f>
        <v>0</v>
      </c>
      <c r="S3103" s="44">
        <f>IF(Mecze[[#This Row],[Role]]="BR",SUMPRODUCT(Mecze[[#This Row],[/PR:90]:[/BR:90]],Brudnopis!$E$23:$J$23),0)</f>
        <v>0.3125</v>
      </c>
      <c r="T3103" s="44">
        <f>IF(Mecze[[#This Row],[Role]]&lt;&gt;"BR",SUMPRODUCT(Mecze[[#This Row],[/PR:90]:[/BR:90]],Brudnopis!$E$24:$J$24),0)</f>
        <v>0</v>
      </c>
      <c r="U3103" s="44">
        <f>IF(Mecze[[#This Row],[Role]]&lt;&gt;"BR",SUMPRODUCT(Mecze[[#This Row],[/PR:90]:[/BR:90]],Brudnopis!$E$25:$J$25),0)</f>
        <v>0</v>
      </c>
      <c r="V3103" s="44">
        <f>IF(Mecze[[#This Row],[Role]]&lt;&gt;"BR",SUMPRODUCT(Mecze[[#This Row],[/PR:90]:[/BR:90]],Brudnopis!$E$26:$J$26),0)</f>
        <v>0</v>
      </c>
      <c r="W3103" s="44">
        <f>IF(Mecze[[#This Row],[Role]]&lt;&gt;"BR",SUMPRODUCT(Mecze[[#This Row],[/PR:90]:[/BR:90]],Brudnopis!$E$27:$J$27),0)</f>
        <v>0</v>
      </c>
      <c r="X3103" s="44">
        <f>IF(Mecze[[#This Row],[Role]]&lt;&gt;"BR",SUMPRODUCT(Mecze[[#This Row],[/PR:90]:[/BR:90]],Brudnopis!$E$28:$J$28),0)</f>
        <v>0</v>
      </c>
      <c r="Y3103" s="35">
        <f>IF(Mecze[[#This Row],[Role]]="BR",Mecze[[#This Row],[/OB:90]]+Mecze[[#This Row],[/PC:90]],SUM(Mecze[[#This Row],[/PR:90]:[/BR:90]]))</f>
        <v>0.10416666666666666</v>
      </c>
      <c r="Z3103" s="35">
        <f>IF(Mecze[[#This Row],[KC]]=0,SUM(Mecze[[#This Row],[/BRI]:[/NPI]]),SUM(Mecze[[#This Row],[/BRI]:[/NPI]])*0.6)</f>
        <v>0.3125</v>
      </c>
      <c r="AA3103" s="10">
        <f>IFERROR(Mecze[[#This Row],[BR]]/Mecze[[#This Row],[ST]],0)</f>
        <v>0</v>
      </c>
      <c r="AB3103">
        <f>ROUND(Mecze[[#This Row],[PD]]*Mecze[[#This Row],[%PC]],0)</f>
        <v>6</v>
      </c>
      <c r="AC3103">
        <f>ROUND(Mecze[[#This Row],[OD]]*Mecze[[#This Row],[%OU]],0)</f>
        <v>0</v>
      </c>
      <c r="AD3103" s="36" t="s">
        <v>40</v>
      </c>
      <c r="AE3103" s="36">
        <v>174</v>
      </c>
      <c r="AF3103" s="71">
        <v>3.2</v>
      </c>
      <c r="AG3103" s="37">
        <v>0</v>
      </c>
      <c r="AH3103" s="37">
        <v>0</v>
      </c>
      <c r="AI3103" s="37">
        <v>96</v>
      </c>
      <c r="AJ3103" s="37">
        <v>10</v>
      </c>
      <c r="AK3103" s="37" t="str">
        <f>VLOOKUP(Mecze[[#This Row],[Match ID]],Meczusie[Mecz]:Meczusie[RodzajMeczu],2,FALSE)</f>
        <v>Liga</v>
      </c>
    </row>
    <row r="3104" spans="1:37" x14ac:dyDescent="0.25">
      <c r="A3104" s="76">
        <v>7</v>
      </c>
      <c r="B3104" s="3" t="s">
        <v>241</v>
      </c>
      <c r="C3104" s="2" t="s">
        <v>157</v>
      </c>
      <c r="D3104" s="1">
        <v>0</v>
      </c>
      <c r="E3104" s="1">
        <v>0</v>
      </c>
      <c r="F3104" s="1">
        <v>0</v>
      </c>
      <c r="G3104" s="1">
        <v>9</v>
      </c>
      <c r="H3104" s="4">
        <v>0.33</v>
      </c>
      <c r="I3104" s="1">
        <v>9</v>
      </c>
      <c r="J3104" s="4">
        <v>0.33</v>
      </c>
      <c r="K3104" s="1">
        <v>0</v>
      </c>
      <c r="L3104" s="1">
        <v>6</v>
      </c>
      <c r="M3104" s="32">
        <f>IF(Mecze[[#This Row],[PR]]=0,0,Mecze[[#This Row],[PR]]/Mecze[[#This Row],[CZAS]])</f>
        <v>6.25E-2</v>
      </c>
      <c r="N3104" s="32">
        <f>IF(Mecze[[#This Row],[OU]]=0,0,Mecze[[#This Row],[OU]]/Mecze[[#This Row],[CZAS]])</f>
        <v>3.125E-2</v>
      </c>
      <c r="O3104" s="32">
        <f>IF(Mecze[[#This Row],[PC]]=0,0,Mecze[[#This Row],[PC]]/Mecze[[#This Row],[CZAS]])</f>
        <v>3.125E-2</v>
      </c>
      <c r="P3104" s="32">
        <f>IF(Mecze[[#This Row],[SC]]=0,0,Mecze[[#This Row],[SC]]/Mecze[[#This Row],[CZAS]])</f>
        <v>0</v>
      </c>
      <c r="Q3104" s="32">
        <f>IF(Mecze[[#This Row],[OB]]=0,0,Mecze[[#This Row],[OB]]/Mecze[[#This Row],[CZAS]])</f>
        <v>0</v>
      </c>
      <c r="R3104" s="32">
        <f>IF(Mecze[[#This Row],[BR]]=0,0,Mecze[[#This Row],[BR]]/Mecze[[#This Row],[CZAS]])</f>
        <v>0</v>
      </c>
      <c r="S3104" s="44">
        <f>IF(Mecze[[#This Row],[Role]]="BR",SUMPRODUCT(Mecze[[#This Row],[/PR:90]:[/BR:90]],Brudnopis!$E$23:$J$23),0)</f>
        <v>0</v>
      </c>
      <c r="T3104" s="44">
        <f>IF(Mecze[[#This Row],[Role]]&lt;&gt;"BR",SUMPRODUCT(Mecze[[#This Row],[/PR:90]:[/BR:90]],Brudnopis!$E$24:$J$24),0)</f>
        <v>0.140625</v>
      </c>
      <c r="U3104" s="44">
        <f>IF(Mecze[[#This Row],[Role]]&lt;&gt;"BR",SUMPRODUCT(Mecze[[#This Row],[/PR:90]:[/BR:90]],Brudnopis!$E$25:$J$25),0)</f>
        <v>0.140625</v>
      </c>
      <c r="V3104" s="44">
        <f>IF(Mecze[[#This Row],[Role]]&lt;&gt;"BR",SUMPRODUCT(Mecze[[#This Row],[/PR:90]:[/BR:90]],Brudnopis!$E$26:$J$26),0)</f>
        <v>0.125</v>
      </c>
      <c r="W3104" s="44">
        <f>IF(Mecze[[#This Row],[Role]]&lt;&gt;"BR",SUMPRODUCT(Mecze[[#This Row],[/PR:90]:[/BR:90]],Brudnopis!$E$27:$J$27),0)</f>
        <v>0.1171875</v>
      </c>
      <c r="X3104" s="44">
        <f>IF(Mecze[[#This Row],[Role]]&lt;&gt;"BR",SUMPRODUCT(Mecze[[#This Row],[/PR:90]:[/BR:90]],Brudnopis!$E$28:$J$28),0)</f>
        <v>3.125E-2</v>
      </c>
      <c r="Y3104" s="35">
        <f>IF(Mecze[[#This Row],[Role]]="BR",Mecze[[#This Row],[/OB:90]]+Mecze[[#This Row],[/PC:90]],SUM(Mecze[[#This Row],[/PR:90]:[/BR:90]]))</f>
        <v>0.125</v>
      </c>
      <c r="Z3104" s="35">
        <f>IF(Mecze[[#This Row],[KC]]=0,SUM(Mecze[[#This Row],[/BRI]:[/NPI]]),SUM(Mecze[[#This Row],[/BRI]:[/NPI]])*0.6)</f>
        <v>0.5546875</v>
      </c>
      <c r="AA3104" s="10">
        <f>IFERROR(Mecze[[#This Row],[BR]]/Mecze[[#This Row],[ST]],0)</f>
        <v>0</v>
      </c>
      <c r="AB3104">
        <f>ROUND(Mecze[[#This Row],[PD]]*Mecze[[#This Row],[%PC]],0)</f>
        <v>3</v>
      </c>
      <c r="AC3104">
        <f>ROUND(Mecze[[#This Row],[OD]]*Mecze[[#This Row],[%OU]],0)</f>
        <v>3</v>
      </c>
      <c r="AD3104" s="36" t="s">
        <v>47</v>
      </c>
      <c r="AE3104" s="36">
        <v>174</v>
      </c>
      <c r="AF3104" s="71">
        <v>1.84</v>
      </c>
      <c r="AG3104" s="37">
        <v>0</v>
      </c>
      <c r="AH3104" s="37">
        <v>0</v>
      </c>
      <c r="AI3104" s="37">
        <v>96</v>
      </c>
      <c r="AJ3104" s="37">
        <v>10</v>
      </c>
      <c r="AK3104" s="37" t="str">
        <f>VLOOKUP(Mecze[[#This Row],[Match ID]],Meczusie[Mecz]:Meczusie[RodzajMeczu],2,FALSE)</f>
        <v>Liga</v>
      </c>
    </row>
    <row r="3105" spans="1:37" x14ac:dyDescent="0.25">
      <c r="A3105" s="76">
        <v>15</v>
      </c>
      <c r="B3105" s="3" t="s">
        <v>504</v>
      </c>
      <c r="C3105" s="2" t="s">
        <v>157</v>
      </c>
      <c r="D3105" s="1">
        <v>0</v>
      </c>
      <c r="E3105" s="1">
        <v>0</v>
      </c>
      <c r="F3105" s="1">
        <v>0</v>
      </c>
      <c r="G3105" s="1">
        <v>1</v>
      </c>
      <c r="H3105" s="4">
        <v>1</v>
      </c>
      <c r="I3105" s="1">
        <v>0</v>
      </c>
      <c r="J3105" s="4"/>
      <c r="K3105" s="1">
        <v>0</v>
      </c>
      <c r="L3105" s="1">
        <v>5</v>
      </c>
      <c r="M3105" s="32">
        <f>IF(Mecze[[#This Row],[PR]]=0,0,Mecze[[#This Row],[PR]]/Mecze[[#This Row],[CZAS]])</f>
        <v>5.2083333333333336E-2</v>
      </c>
      <c r="N3105" s="32">
        <f>IF(Mecze[[#This Row],[OU]]=0,0,Mecze[[#This Row],[OU]]/Mecze[[#This Row],[CZAS]])</f>
        <v>0</v>
      </c>
      <c r="O3105" s="32">
        <f>IF(Mecze[[#This Row],[PC]]=0,0,Mecze[[#This Row],[PC]]/Mecze[[#This Row],[CZAS]])</f>
        <v>1.0416666666666666E-2</v>
      </c>
      <c r="P3105" s="32">
        <f>IF(Mecze[[#This Row],[SC]]=0,0,Mecze[[#This Row],[SC]]/Mecze[[#This Row],[CZAS]])</f>
        <v>0</v>
      </c>
      <c r="Q3105" s="32">
        <f>IF(Mecze[[#This Row],[OB]]=0,0,Mecze[[#This Row],[OB]]/Mecze[[#This Row],[CZAS]])</f>
        <v>0</v>
      </c>
      <c r="R3105" s="32">
        <f>IF(Mecze[[#This Row],[BR]]=0,0,Mecze[[#This Row],[BR]]/Mecze[[#This Row],[CZAS]])</f>
        <v>0</v>
      </c>
      <c r="S3105" s="44">
        <f>IF(Mecze[[#This Row],[Role]]="BR",SUMPRODUCT(Mecze[[#This Row],[/PR:90]:[/BR:90]],Brudnopis!$E$23:$J$23),0)</f>
        <v>0</v>
      </c>
      <c r="T3105" s="44">
        <f>IF(Mecze[[#This Row],[Role]]&lt;&gt;"BR",SUMPRODUCT(Mecze[[#This Row],[/PR:90]:[/BR:90]],Brudnopis!$E$24:$J$24),0)</f>
        <v>6.25E-2</v>
      </c>
      <c r="U3105" s="44">
        <f>IF(Mecze[[#This Row],[Role]]&lt;&gt;"BR",SUMPRODUCT(Mecze[[#This Row],[/PR:90]:[/BR:90]],Brudnopis!$E$25:$J$25),0)</f>
        <v>6.7708333333333343E-2</v>
      </c>
      <c r="V3105" s="44">
        <f>IF(Mecze[[#This Row],[Role]]&lt;&gt;"BR",SUMPRODUCT(Mecze[[#This Row],[/PR:90]:[/BR:90]],Brudnopis!$E$26:$J$26),0)</f>
        <v>6.25E-2</v>
      </c>
      <c r="W3105" s="44">
        <f>IF(Mecze[[#This Row],[Role]]&lt;&gt;"BR",SUMPRODUCT(Mecze[[#This Row],[/PR:90]:[/BR:90]],Brudnopis!$E$27:$J$27),0)</f>
        <v>5.46875E-2</v>
      </c>
      <c r="X3105" s="44">
        <f>IF(Mecze[[#This Row],[Role]]&lt;&gt;"BR",SUMPRODUCT(Mecze[[#This Row],[/PR:90]:[/BR:90]],Brudnopis!$E$28:$J$28),0)</f>
        <v>1.0416666666666666E-2</v>
      </c>
      <c r="Y3105" s="35">
        <f>IF(Mecze[[#This Row],[Role]]="BR",Mecze[[#This Row],[/OB:90]]+Mecze[[#This Row],[/PC:90]],SUM(Mecze[[#This Row],[/PR:90]:[/BR:90]]))</f>
        <v>6.25E-2</v>
      </c>
      <c r="Z3105" s="35">
        <f>IF(Mecze[[#This Row],[KC]]=0,SUM(Mecze[[#This Row],[/BRI]:[/NPI]]),SUM(Mecze[[#This Row],[/BRI]:[/NPI]])*0.6)</f>
        <v>0.2578125</v>
      </c>
      <c r="AA3105" s="10">
        <f>IFERROR(Mecze[[#This Row],[BR]]/Mecze[[#This Row],[ST]],0)</f>
        <v>0</v>
      </c>
      <c r="AB3105">
        <f>ROUND(Mecze[[#This Row],[PD]]*Mecze[[#This Row],[%PC]],0)</f>
        <v>1</v>
      </c>
      <c r="AC3105">
        <f>ROUND(Mecze[[#This Row],[OD]]*Mecze[[#This Row],[%OU]],0)</f>
        <v>0</v>
      </c>
      <c r="AD3105" s="36" t="s">
        <v>47</v>
      </c>
      <c r="AE3105" s="36">
        <v>174</v>
      </c>
      <c r="AF3105" s="71">
        <v>1.63</v>
      </c>
      <c r="AG3105" s="37">
        <v>0</v>
      </c>
      <c r="AH3105" s="37">
        <v>0</v>
      </c>
      <c r="AI3105" s="37">
        <v>96</v>
      </c>
      <c r="AJ3105" s="37">
        <v>10</v>
      </c>
      <c r="AK3105" s="37" t="str">
        <f>VLOOKUP(Mecze[[#This Row],[Match ID]],Meczusie[Mecz]:Meczusie[RodzajMeczu],2,FALSE)</f>
        <v>Liga</v>
      </c>
    </row>
    <row r="3106" spans="1:37" x14ac:dyDescent="0.25">
      <c r="A3106" s="76">
        <v>2</v>
      </c>
      <c r="B3106" s="3" t="s">
        <v>240</v>
      </c>
      <c r="C3106" s="2" t="s">
        <v>157</v>
      </c>
      <c r="D3106" s="1">
        <v>0</v>
      </c>
      <c r="E3106" s="1">
        <v>0</v>
      </c>
      <c r="F3106" s="1">
        <v>0</v>
      </c>
      <c r="G3106" s="1">
        <v>6</v>
      </c>
      <c r="H3106" s="4">
        <v>1</v>
      </c>
      <c r="I3106" s="1">
        <v>6</v>
      </c>
      <c r="J3106" s="4">
        <v>0.83</v>
      </c>
      <c r="K3106" s="1">
        <v>0</v>
      </c>
      <c r="L3106" s="1">
        <v>2</v>
      </c>
      <c r="M3106" s="32">
        <f>IF(Mecze[[#This Row],[PR]]=0,0,Mecze[[#This Row],[PR]]/Mecze[[#This Row],[CZAS]])</f>
        <v>2.0833333333333332E-2</v>
      </c>
      <c r="N3106" s="32">
        <f>IF(Mecze[[#This Row],[OU]]=0,0,Mecze[[#This Row],[OU]]/Mecze[[#This Row],[CZAS]])</f>
        <v>5.2083333333333336E-2</v>
      </c>
      <c r="O3106" s="32">
        <f>IF(Mecze[[#This Row],[PC]]=0,0,Mecze[[#This Row],[PC]]/Mecze[[#This Row],[CZAS]])</f>
        <v>6.25E-2</v>
      </c>
      <c r="P3106" s="32">
        <f>IF(Mecze[[#This Row],[SC]]=0,0,Mecze[[#This Row],[SC]]/Mecze[[#This Row],[CZAS]])</f>
        <v>0</v>
      </c>
      <c r="Q3106" s="32">
        <f>IF(Mecze[[#This Row],[OB]]=0,0,Mecze[[#This Row],[OB]]/Mecze[[#This Row],[CZAS]])</f>
        <v>0</v>
      </c>
      <c r="R3106" s="32">
        <f>IF(Mecze[[#This Row],[BR]]=0,0,Mecze[[#This Row],[BR]]/Mecze[[#This Row],[CZAS]])</f>
        <v>0</v>
      </c>
      <c r="S3106" s="44">
        <f>IF(Mecze[[#This Row],[Role]]="BR",SUMPRODUCT(Mecze[[#This Row],[/PR:90]:[/BR:90]],Brudnopis!$E$23:$J$23),0)</f>
        <v>0</v>
      </c>
      <c r="T3106" s="44">
        <f>IF(Mecze[[#This Row],[Role]]&lt;&gt;"BR",SUMPRODUCT(Mecze[[#This Row],[/PR:90]:[/BR:90]],Brudnopis!$E$24:$J$24),0)</f>
        <v>0.16145833333333331</v>
      </c>
      <c r="U3106" s="44">
        <f>IF(Mecze[[#This Row],[Role]]&lt;&gt;"BR",SUMPRODUCT(Mecze[[#This Row],[/PR:90]:[/BR:90]],Brudnopis!$E$25:$J$25),0)</f>
        <v>0.16666666666666669</v>
      </c>
      <c r="V3106" s="44">
        <f>IF(Mecze[[#This Row],[Role]]&lt;&gt;"BR",SUMPRODUCT(Mecze[[#This Row],[/PR:90]:[/BR:90]],Brudnopis!$E$26:$J$26),0)</f>
        <v>0.13541666666666669</v>
      </c>
      <c r="W3106" s="44">
        <f>IF(Mecze[[#This Row],[Role]]&lt;&gt;"BR",SUMPRODUCT(Mecze[[#This Row],[/PR:90]:[/BR:90]],Brudnopis!$E$27:$J$27),0)</f>
        <v>0.1484375</v>
      </c>
      <c r="X3106" s="44">
        <f>IF(Mecze[[#This Row],[Role]]&lt;&gt;"BR",SUMPRODUCT(Mecze[[#This Row],[/PR:90]:[/BR:90]],Brudnopis!$E$28:$J$28),0)</f>
        <v>6.25E-2</v>
      </c>
      <c r="Y3106" s="35">
        <f>IF(Mecze[[#This Row],[Role]]="BR",Mecze[[#This Row],[/OB:90]]+Mecze[[#This Row],[/PC:90]],SUM(Mecze[[#This Row],[/PR:90]:[/BR:90]]))</f>
        <v>0.13541666666666669</v>
      </c>
      <c r="Z3106" s="35">
        <f>IF(Mecze[[#This Row],[KC]]=0,SUM(Mecze[[#This Row],[/BRI]:[/NPI]]),SUM(Mecze[[#This Row],[/BRI]:[/NPI]])*0.6)</f>
        <v>0.67447916666666674</v>
      </c>
      <c r="AA3106" s="10">
        <f>IFERROR(Mecze[[#This Row],[BR]]/Mecze[[#This Row],[ST]],0)</f>
        <v>0</v>
      </c>
      <c r="AB3106">
        <f>ROUND(Mecze[[#This Row],[PD]]*Mecze[[#This Row],[%PC]],0)</f>
        <v>6</v>
      </c>
      <c r="AC3106">
        <f>ROUND(Mecze[[#This Row],[OD]]*Mecze[[#This Row],[%OU]],0)</f>
        <v>5</v>
      </c>
      <c r="AD3106" s="36" t="s">
        <v>174</v>
      </c>
      <c r="AE3106" s="36">
        <v>174</v>
      </c>
      <c r="AF3106" s="71">
        <v>3.32</v>
      </c>
      <c r="AG3106" s="37">
        <v>0</v>
      </c>
      <c r="AH3106" s="37">
        <v>0</v>
      </c>
      <c r="AI3106" s="37">
        <v>96</v>
      </c>
      <c r="AJ3106" s="37">
        <v>10</v>
      </c>
      <c r="AK3106" s="37" t="str">
        <f>VLOOKUP(Mecze[[#This Row],[Match ID]],Meczusie[Mecz]:Meczusie[RodzajMeczu],2,FALSE)</f>
        <v>Liga</v>
      </c>
    </row>
    <row r="3107" spans="1:37" x14ac:dyDescent="0.25">
      <c r="A3107" s="76">
        <v>12</v>
      </c>
      <c r="B3107" s="3" t="s">
        <v>239</v>
      </c>
      <c r="C3107" s="2" t="s">
        <v>157</v>
      </c>
      <c r="D3107" s="1">
        <v>0</v>
      </c>
      <c r="E3107" s="1">
        <v>0</v>
      </c>
      <c r="F3107" s="1">
        <v>0</v>
      </c>
      <c r="G3107" s="1">
        <v>6</v>
      </c>
      <c r="H3107" s="4">
        <v>0.67</v>
      </c>
      <c r="I3107" s="1">
        <v>8</v>
      </c>
      <c r="J3107" s="4">
        <v>0.38</v>
      </c>
      <c r="K3107" s="1">
        <v>0</v>
      </c>
      <c r="L3107" s="1">
        <v>1</v>
      </c>
      <c r="M3107" s="32">
        <f>IF(Mecze[[#This Row],[PR]]=0,0,Mecze[[#This Row],[PR]]/Mecze[[#This Row],[CZAS]])</f>
        <v>1.0416666666666666E-2</v>
      </c>
      <c r="N3107" s="32">
        <f>IF(Mecze[[#This Row],[OU]]=0,0,Mecze[[#This Row],[OU]]/Mecze[[#This Row],[CZAS]])</f>
        <v>3.125E-2</v>
      </c>
      <c r="O3107" s="32">
        <f>IF(Mecze[[#This Row],[PC]]=0,0,Mecze[[#This Row],[PC]]/Mecze[[#This Row],[CZAS]])</f>
        <v>4.1666666666666664E-2</v>
      </c>
      <c r="P3107" s="32">
        <f>IF(Mecze[[#This Row],[SC]]=0,0,Mecze[[#This Row],[SC]]/Mecze[[#This Row],[CZAS]])</f>
        <v>0</v>
      </c>
      <c r="Q3107" s="32">
        <f>IF(Mecze[[#This Row],[OB]]=0,0,Mecze[[#This Row],[OB]]/Mecze[[#This Row],[CZAS]])</f>
        <v>0</v>
      </c>
      <c r="R3107" s="32">
        <f>IF(Mecze[[#This Row],[BR]]=0,0,Mecze[[#This Row],[BR]]/Mecze[[#This Row],[CZAS]])</f>
        <v>0</v>
      </c>
      <c r="S3107" s="44">
        <f>IF(Mecze[[#This Row],[Role]]="BR",SUMPRODUCT(Mecze[[#This Row],[/PR:90]:[/BR:90]],Brudnopis!$E$23:$J$23),0)</f>
        <v>0</v>
      </c>
      <c r="T3107" s="44">
        <f>IF(Mecze[[#This Row],[Role]]&lt;&gt;"BR",SUMPRODUCT(Mecze[[#This Row],[/PR:90]:[/BR:90]],Brudnopis!$E$24:$J$24),0)</f>
        <v>9.8958333333333329E-2</v>
      </c>
      <c r="U3107" s="44">
        <f>IF(Mecze[[#This Row],[Role]]&lt;&gt;"BR",SUMPRODUCT(Mecze[[#This Row],[/PR:90]:[/BR:90]],Brudnopis!$E$25:$J$25),0)</f>
        <v>0.10416666666666666</v>
      </c>
      <c r="V3107" s="44">
        <f>IF(Mecze[[#This Row],[Role]]&lt;&gt;"BR",SUMPRODUCT(Mecze[[#This Row],[/PR:90]:[/BR:90]],Brudnopis!$E$26:$J$26),0)</f>
        <v>8.3333333333333329E-2</v>
      </c>
      <c r="W3107" s="44">
        <f>IF(Mecze[[#This Row],[Role]]&lt;&gt;"BR",SUMPRODUCT(Mecze[[#This Row],[/PR:90]:[/BR:90]],Brudnopis!$E$27:$J$27),0)</f>
        <v>9.375E-2</v>
      </c>
      <c r="X3107" s="44">
        <f>IF(Mecze[[#This Row],[Role]]&lt;&gt;"BR",SUMPRODUCT(Mecze[[#This Row],[/PR:90]:[/BR:90]],Brudnopis!$E$28:$J$28),0)</f>
        <v>4.1666666666666664E-2</v>
      </c>
      <c r="Y3107" s="35">
        <f>IF(Mecze[[#This Row],[Role]]="BR",Mecze[[#This Row],[/OB:90]]+Mecze[[#This Row],[/PC:90]],SUM(Mecze[[#This Row],[/PR:90]:[/BR:90]]))</f>
        <v>8.3333333333333329E-2</v>
      </c>
      <c r="Z3107" s="35">
        <f>IF(Mecze[[#This Row],[KC]]=0,SUM(Mecze[[#This Row],[/BRI]:[/NPI]]),SUM(Mecze[[#This Row],[/BRI]:[/NPI]])*0.6)</f>
        <v>0.421875</v>
      </c>
      <c r="AA3107" s="10">
        <f>IFERROR(Mecze[[#This Row],[BR]]/Mecze[[#This Row],[ST]],0)</f>
        <v>0</v>
      </c>
      <c r="AB3107">
        <f>ROUND(Mecze[[#This Row],[PD]]*Mecze[[#This Row],[%PC]],0)</f>
        <v>4</v>
      </c>
      <c r="AC3107">
        <f>ROUND(Mecze[[#This Row],[OD]]*Mecze[[#This Row],[%OU]],0)</f>
        <v>3</v>
      </c>
      <c r="AD3107" s="36" t="s">
        <v>175</v>
      </c>
      <c r="AE3107" s="36">
        <v>174</v>
      </c>
      <c r="AF3107" s="71">
        <v>0.79</v>
      </c>
      <c r="AG3107" s="37">
        <v>0</v>
      </c>
      <c r="AH3107" s="37">
        <v>0</v>
      </c>
      <c r="AI3107" s="37">
        <v>96</v>
      </c>
      <c r="AJ3107" s="37">
        <v>10</v>
      </c>
      <c r="AK3107" s="37" t="str">
        <f>VLOOKUP(Mecze[[#This Row],[Match ID]],Meczusie[Mecz]:Meczusie[RodzajMeczu],2,FALSE)</f>
        <v>Liga</v>
      </c>
    </row>
    <row r="3108" spans="1:37" x14ac:dyDescent="0.25">
      <c r="A3108" s="76">
        <v>5</v>
      </c>
      <c r="B3108" s="3" t="s">
        <v>242</v>
      </c>
      <c r="C3108" s="2" t="s">
        <v>160</v>
      </c>
      <c r="D3108" s="1">
        <v>0</v>
      </c>
      <c r="E3108" s="1">
        <v>1</v>
      </c>
      <c r="F3108" s="1">
        <v>1</v>
      </c>
      <c r="G3108" s="1">
        <v>12</v>
      </c>
      <c r="H3108" s="4">
        <v>0.67</v>
      </c>
      <c r="I3108" s="1">
        <v>9</v>
      </c>
      <c r="J3108" s="4">
        <v>0.44</v>
      </c>
      <c r="K3108" s="1">
        <v>0</v>
      </c>
      <c r="L3108" s="1">
        <v>5</v>
      </c>
      <c r="M3108" s="32">
        <f>IF(Mecze[[#This Row],[PR]]=0,0,Mecze[[#This Row],[PR]]/Mecze[[#This Row],[CZAS]])</f>
        <v>5.2083333333333336E-2</v>
      </c>
      <c r="N3108" s="32">
        <f>IF(Mecze[[#This Row],[OU]]=0,0,Mecze[[#This Row],[OU]]/Mecze[[#This Row],[CZAS]])</f>
        <v>4.1666666666666664E-2</v>
      </c>
      <c r="O3108" s="32">
        <f>IF(Mecze[[#This Row],[PC]]=0,0,Mecze[[#This Row],[PC]]/Mecze[[#This Row],[CZAS]])</f>
        <v>8.3333333333333329E-2</v>
      </c>
      <c r="P3108" s="32">
        <f>IF(Mecze[[#This Row],[SC]]=0,0,Mecze[[#This Row],[SC]]/Mecze[[#This Row],[CZAS]])</f>
        <v>1.0416666666666666E-2</v>
      </c>
      <c r="Q3108" s="32">
        <f>IF(Mecze[[#This Row],[OB]]=0,0,Mecze[[#This Row],[OB]]/Mecze[[#This Row],[CZAS]])</f>
        <v>0</v>
      </c>
      <c r="R3108" s="32">
        <f>IF(Mecze[[#This Row],[BR]]=0,0,Mecze[[#This Row],[BR]]/Mecze[[#This Row],[CZAS]])</f>
        <v>0</v>
      </c>
      <c r="S3108" s="44">
        <f>IF(Mecze[[#This Row],[Role]]="BR",SUMPRODUCT(Mecze[[#This Row],[/PR:90]:[/BR:90]],Brudnopis!$E$23:$J$23),0)</f>
        <v>0</v>
      </c>
      <c r="T3108" s="44">
        <f>IF(Mecze[[#This Row],[Role]]&lt;&gt;"BR",SUMPRODUCT(Mecze[[#This Row],[/PR:90]:[/BR:90]],Brudnopis!$E$24:$J$24),0)</f>
        <v>0.20833333333333334</v>
      </c>
      <c r="U3108" s="44">
        <f>IF(Mecze[[#This Row],[Role]]&lt;&gt;"BR",SUMPRODUCT(Mecze[[#This Row],[/PR:90]:[/BR:90]],Brudnopis!$E$25:$J$25),0)</f>
        <v>0.22916666666666666</v>
      </c>
      <c r="V3108" s="44">
        <f>IF(Mecze[[#This Row],[Role]]&lt;&gt;"BR",SUMPRODUCT(Mecze[[#This Row],[/PR:90]:[/BR:90]],Brudnopis!$E$26:$J$26),0)</f>
        <v>0.18749999999999997</v>
      </c>
      <c r="W3108" s="44">
        <f>IF(Mecze[[#This Row],[Role]]&lt;&gt;"BR",SUMPRODUCT(Mecze[[#This Row],[/PR:90]:[/BR:90]],Brudnopis!$E$27:$J$27),0)</f>
        <v>0.20572916666666666</v>
      </c>
      <c r="X3108" s="44">
        <f>IF(Mecze[[#This Row],[Role]]&lt;&gt;"BR",SUMPRODUCT(Mecze[[#This Row],[/PR:90]:[/BR:90]],Brudnopis!$E$28:$J$28),0)</f>
        <v>0.10416666666666666</v>
      </c>
      <c r="Y3108" s="35">
        <f>IF(Mecze[[#This Row],[Role]]="BR",Mecze[[#This Row],[/OB:90]]+Mecze[[#This Row],[/PC:90]],SUM(Mecze[[#This Row],[/PR:90]:[/BR:90]]))</f>
        <v>0.18749999999999997</v>
      </c>
      <c r="Z3108" s="35">
        <f>IF(Mecze[[#This Row],[KC]]=0,SUM(Mecze[[#This Row],[/BRI]:[/NPI]]),SUM(Mecze[[#This Row],[/BRI]:[/NPI]])*0.6)</f>
        <v>0.93489583333333326</v>
      </c>
      <c r="AA3108" s="10">
        <f>IFERROR(Mecze[[#This Row],[BR]]/Mecze[[#This Row],[ST]],0)</f>
        <v>0</v>
      </c>
      <c r="AB3108">
        <f>ROUND(Mecze[[#This Row],[PD]]*Mecze[[#This Row],[%PC]],0)</f>
        <v>8</v>
      </c>
      <c r="AC3108">
        <f>ROUND(Mecze[[#This Row],[OD]]*Mecze[[#This Row],[%OU]],0)</f>
        <v>4</v>
      </c>
      <c r="AD3108" s="36" t="s">
        <v>41</v>
      </c>
      <c r="AE3108" s="36">
        <v>174</v>
      </c>
      <c r="AF3108" s="71">
        <v>5.19</v>
      </c>
      <c r="AG3108" s="37">
        <v>0</v>
      </c>
      <c r="AH3108" s="37">
        <v>0</v>
      </c>
      <c r="AI3108" s="37">
        <v>96</v>
      </c>
      <c r="AJ3108" s="37">
        <v>10</v>
      </c>
      <c r="AK3108" s="37" t="str">
        <f>VLOOKUP(Mecze[[#This Row],[Match ID]],Meczusie[Mecz]:Meczusie[RodzajMeczu],2,FALSE)</f>
        <v>Liga</v>
      </c>
    </row>
    <row r="3109" spans="1:37" x14ac:dyDescent="0.25">
      <c r="A3109" s="76">
        <v>13</v>
      </c>
      <c r="B3109" s="3" t="s">
        <v>403</v>
      </c>
      <c r="C3109" s="2" t="s">
        <v>160</v>
      </c>
      <c r="D3109" s="1">
        <v>0</v>
      </c>
      <c r="E3109" s="1">
        <v>0</v>
      </c>
      <c r="F3109" s="1">
        <v>0</v>
      </c>
      <c r="G3109" s="1">
        <v>19</v>
      </c>
      <c r="H3109" s="4">
        <v>0.37</v>
      </c>
      <c r="I3109" s="1">
        <v>7</v>
      </c>
      <c r="J3109" s="4">
        <v>0.56999999999999995</v>
      </c>
      <c r="K3109" s="1">
        <v>0</v>
      </c>
      <c r="L3109" s="1">
        <v>7</v>
      </c>
      <c r="M3109" s="32">
        <f>IF(Mecze[[#This Row],[PR]]=0,0,Mecze[[#This Row],[PR]]/Mecze[[#This Row],[CZAS]])</f>
        <v>7.2916666666666671E-2</v>
      </c>
      <c r="N3109" s="32">
        <f>IF(Mecze[[#This Row],[OU]]=0,0,Mecze[[#This Row],[OU]]/Mecze[[#This Row],[CZAS]])</f>
        <v>4.1666666666666664E-2</v>
      </c>
      <c r="O3109" s="32">
        <f>IF(Mecze[[#This Row],[PC]]=0,0,Mecze[[#This Row],[PC]]/Mecze[[#This Row],[CZAS]])</f>
        <v>7.2916666666666671E-2</v>
      </c>
      <c r="P3109" s="32">
        <f>IF(Mecze[[#This Row],[SC]]=0,0,Mecze[[#This Row],[SC]]/Mecze[[#This Row],[CZAS]])</f>
        <v>0</v>
      </c>
      <c r="Q3109" s="32">
        <f>IF(Mecze[[#This Row],[OB]]=0,0,Mecze[[#This Row],[OB]]/Mecze[[#This Row],[CZAS]])</f>
        <v>0</v>
      </c>
      <c r="R3109" s="32">
        <f>IF(Mecze[[#This Row],[BR]]=0,0,Mecze[[#This Row],[BR]]/Mecze[[#This Row],[CZAS]])</f>
        <v>0</v>
      </c>
      <c r="S3109" s="44">
        <f>IF(Mecze[[#This Row],[Role]]="BR",SUMPRODUCT(Mecze[[#This Row],[/PR:90]:[/BR:90]],Brudnopis!$E$23:$J$23),0)</f>
        <v>0</v>
      </c>
      <c r="T3109" s="44">
        <f>IF(Mecze[[#This Row],[Role]]&lt;&gt;"BR",SUMPRODUCT(Mecze[[#This Row],[/PR:90]:[/BR:90]],Brudnopis!$E$24:$J$24),0)</f>
        <v>0.20833333333333337</v>
      </c>
      <c r="U3109" s="44">
        <f>IF(Mecze[[#This Row],[Role]]&lt;&gt;"BR",SUMPRODUCT(Mecze[[#This Row],[/PR:90]:[/BR:90]],Brudnopis!$E$25:$J$25),0)</f>
        <v>0.22395833333333334</v>
      </c>
      <c r="V3109" s="44">
        <f>IF(Mecze[[#This Row],[Role]]&lt;&gt;"BR",SUMPRODUCT(Mecze[[#This Row],[/PR:90]:[/BR:90]],Brudnopis!$E$26:$J$26),0)</f>
        <v>0.1875</v>
      </c>
      <c r="W3109" s="44">
        <f>IF(Mecze[[#This Row],[Role]]&lt;&gt;"BR",SUMPRODUCT(Mecze[[#This Row],[/PR:90]:[/BR:90]],Brudnopis!$E$27:$J$27),0)</f>
        <v>0.1953125</v>
      </c>
      <c r="X3109" s="44">
        <f>IF(Mecze[[#This Row],[Role]]&lt;&gt;"BR",SUMPRODUCT(Mecze[[#This Row],[/PR:90]:[/BR:90]],Brudnopis!$E$28:$J$28),0)</f>
        <v>7.2916666666666671E-2</v>
      </c>
      <c r="Y3109" s="35">
        <f>IF(Mecze[[#This Row],[Role]]="BR",Mecze[[#This Row],[/OB:90]]+Mecze[[#This Row],[/PC:90]],SUM(Mecze[[#This Row],[/PR:90]:[/BR:90]]))</f>
        <v>0.1875</v>
      </c>
      <c r="Z3109" s="35">
        <f>IF(Mecze[[#This Row],[KC]]=0,SUM(Mecze[[#This Row],[/BRI]:[/NPI]]),SUM(Mecze[[#This Row],[/BRI]:[/NPI]])*0.6)</f>
        <v>0.88802083333333337</v>
      </c>
      <c r="AA3109" s="10">
        <f>IFERROR(Mecze[[#This Row],[BR]]/Mecze[[#This Row],[ST]],0)</f>
        <v>0</v>
      </c>
      <c r="AB3109">
        <f>ROUND(Mecze[[#This Row],[PD]]*Mecze[[#This Row],[%PC]],0)</f>
        <v>7</v>
      </c>
      <c r="AC3109">
        <f>ROUND(Mecze[[#This Row],[OD]]*Mecze[[#This Row],[%OU]],0)</f>
        <v>4</v>
      </c>
      <c r="AD3109" s="36" t="s">
        <v>41</v>
      </c>
      <c r="AE3109" s="36">
        <v>174</v>
      </c>
      <c r="AF3109" s="71">
        <v>4.17</v>
      </c>
      <c r="AG3109" s="37">
        <v>0</v>
      </c>
      <c r="AH3109" s="37">
        <v>0</v>
      </c>
      <c r="AI3109" s="37">
        <v>96</v>
      </c>
      <c r="AJ3109" s="37">
        <v>10</v>
      </c>
      <c r="AK3109" s="37" t="str">
        <f>VLOOKUP(Mecze[[#This Row],[Match ID]],Meczusie[Mecz]:Meczusie[RodzajMeczu],2,FALSE)</f>
        <v>Liga</v>
      </c>
    </row>
    <row r="3110" spans="1:37" x14ac:dyDescent="0.25">
      <c r="A3110" s="76">
        <v>11</v>
      </c>
      <c r="B3110" s="3" t="s">
        <v>243</v>
      </c>
      <c r="C3110" s="2" t="s">
        <v>160</v>
      </c>
      <c r="D3110" s="1">
        <v>0</v>
      </c>
      <c r="E3110" s="1">
        <v>1</v>
      </c>
      <c r="F3110" s="1">
        <v>1</v>
      </c>
      <c r="G3110" s="1">
        <v>16</v>
      </c>
      <c r="H3110" s="4">
        <v>0.81</v>
      </c>
      <c r="I3110" s="1">
        <v>5</v>
      </c>
      <c r="J3110" s="4">
        <v>0.2</v>
      </c>
      <c r="K3110" s="1">
        <v>0</v>
      </c>
      <c r="L3110" s="1">
        <v>2</v>
      </c>
      <c r="M3110" s="32">
        <f>IF(Mecze[[#This Row],[PR]]=0,0,Mecze[[#This Row],[PR]]/Mecze[[#This Row],[CZAS]])</f>
        <v>2.0833333333333332E-2</v>
      </c>
      <c r="N3110" s="32">
        <f>IF(Mecze[[#This Row],[OU]]=0,0,Mecze[[#This Row],[OU]]/Mecze[[#This Row],[CZAS]])</f>
        <v>1.0416666666666666E-2</v>
      </c>
      <c r="O3110" s="32">
        <f>IF(Mecze[[#This Row],[PC]]=0,0,Mecze[[#This Row],[PC]]/Mecze[[#This Row],[CZAS]])</f>
        <v>0.13541666666666666</v>
      </c>
      <c r="P3110" s="32">
        <f>IF(Mecze[[#This Row],[SC]]=0,0,Mecze[[#This Row],[SC]]/Mecze[[#This Row],[CZAS]])</f>
        <v>1.0416666666666666E-2</v>
      </c>
      <c r="Q3110" s="32">
        <f>IF(Mecze[[#This Row],[OB]]=0,0,Mecze[[#This Row],[OB]]/Mecze[[#This Row],[CZAS]])</f>
        <v>0</v>
      </c>
      <c r="R3110" s="32">
        <f>IF(Mecze[[#This Row],[BR]]=0,0,Mecze[[#This Row],[BR]]/Mecze[[#This Row],[CZAS]])</f>
        <v>0</v>
      </c>
      <c r="S3110" s="44">
        <f>IF(Mecze[[#This Row],[Role]]="BR",SUMPRODUCT(Mecze[[#This Row],[/PR:90]:[/BR:90]],Brudnopis!$E$23:$J$23),0)</f>
        <v>0</v>
      </c>
      <c r="T3110" s="44">
        <f>IF(Mecze[[#This Row],[Role]]&lt;&gt;"BR",SUMPRODUCT(Mecze[[#This Row],[/PR:90]:[/BR:90]],Brudnopis!$E$24:$J$24),0)</f>
        <v>0.18229166666666666</v>
      </c>
      <c r="U3110" s="44">
        <f>IF(Mecze[[#This Row],[Role]]&lt;&gt;"BR",SUMPRODUCT(Mecze[[#This Row],[/PR:90]:[/BR:90]],Brudnopis!$E$25:$J$25),0)</f>
        <v>0.24479166666666666</v>
      </c>
      <c r="V3110" s="44">
        <f>IF(Mecze[[#This Row],[Role]]&lt;&gt;"BR",SUMPRODUCT(Mecze[[#This Row],[/PR:90]:[/BR:90]],Brudnopis!$E$26:$J$26),0)</f>
        <v>0.17708333333333331</v>
      </c>
      <c r="W3110" s="44">
        <f>IF(Mecze[[#This Row],[Role]]&lt;&gt;"BR",SUMPRODUCT(Mecze[[#This Row],[/PR:90]:[/BR:90]],Brudnopis!$E$27:$J$27),0)</f>
        <v>0.23697916666666666</v>
      </c>
      <c r="X3110" s="44">
        <f>IF(Mecze[[#This Row],[Role]]&lt;&gt;"BR",SUMPRODUCT(Mecze[[#This Row],[/PR:90]:[/BR:90]],Brudnopis!$E$28:$J$28),0)</f>
        <v>0.15625</v>
      </c>
      <c r="Y3110" s="35">
        <f>IF(Mecze[[#This Row],[Role]]="BR",Mecze[[#This Row],[/OB:90]]+Mecze[[#This Row],[/PC:90]],SUM(Mecze[[#This Row],[/PR:90]:[/BR:90]]))</f>
        <v>0.17708333333333331</v>
      </c>
      <c r="Z3110" s="35">
        <f>IF(Mecze[[#This Row],[KC]]=0,SUM(Mecze[[#This Row],[/BRI]:[/NPI]]),SUM(Mecze[[#This Row],[/BRI]:[/NPI]])*0.6)</f>
        <v>0.99739583333333326</v>
      </c>
      <c r="AA3110" s="10">
        <f>IFERROR(Mecze[[#This Row],[BR]]/Mecze[[#This Row],[ST]],0)</f>
        <v>0</v>
      </c>
      <c r="AB3110">
        <f>ROUND(Mecze[[#This Row],[PD]]*Mecze[[#This Row],[%PC]],0)</f>
        <v>13</v>
      </c>
      <c r="AC3110">
        <f>ROUND(Mecze[[#This Row],[OD]]*Mecze[[#This Row],[%OU]],0)</f>
        <v>1</v>
      </c>
      <c r="AD3110" s="36" t="s">
        <v>67</v>
      </c>
      <c r="AE3110" s="36">
        <v>174</v>
      </c>
      <c r="AF3110" s="71">
        <v>5.47</v>
      </c>
      <c r="AG3110" s="37">
        <v>0</v>
      </c>
      <c r="AH3110" s="37">
        <v>0</v>
      </c>
      <c r="AI3110" s="37">
        <v>96</v>
      </c>
      <c r="AJ3110" s="37">
        <v>10</v>
      </c>
      <c r="AK3110" s="37" t="str">
        <f>VLOOKUP(Mecze[[#This Row],[Match ID]],Meczusie[Mecz]:Meczusie[RodzajMeczu],2,FALSE)</f>
        <v>Liga</v>
      </c>
    </row>
    <row r="3111" spans="1:37" x14ac:dyDescent="0.25">
      <c r="A3111" s="76">
        <v>14</v>
      </c>
      <c r="B3111" s="3" t="s">
        <v>244</v>
      </c>
      <c r="C3111" s="2" t="s">
        <v>165</v>
      </c>
      <c r="D3111" s="1">
        <v>0</v>
      </c>
      <c r="E3111" s="1">
        <v>0</v>
      </c>
      <c r="F3111" s="1">
        <v>0</v>
      </c>
      <c r="G3111" s="1">
        <v>6</v>
      </c>
      <c r="H3111" s="4">
        <v>1</v>
      </c>
      <c r="I3111" s="1">
        <v>3</v>
      </c>
      <c r="J3111" s="4">
        <v>0.33</v>
      </c>
      <c r="K3111" s="1">
        <v>0</v>
      </c>
      <c r="L3111" s="1">
        <v>5</v>
      </c>
      <c r="M3111" s="32">
        <f>IF(Mecze[[#This Row],[PR]]=0,0,Mecze[[#This Row],[PR]]/Mecze[[#This Row],[CZAS]])</f>
        <v>5.2083333333333336E-2</v>
      </c>
      <c r="N3111" s="32">
        <f>IF(Mecze[[#This Row],[OU]]=0,0,Mecze[[#This Row],[OU]]/Mecze[[#This Row],[CZAS]])</f>
        <v>1.0416666666666666E-2</v>
      </c>
      <c r="O3111" s="32">
        <f>IF(Mecze[[#This Row],[PC]]=0,0,Mecze[[#This Row],[PC]]/Mecze[[#This Row],[CZAS]])</f>
        <v>6.25E-2</v>
      </c>
      <c r="P3111" s="32">
        <f>IF(Mecze[[#This Row],[SC]]=0,0,Mecze[[#This Row],[SC]]/Mecze[[#This Row],[CZAS]])</f>
        <v>0</v>
      </c>
      <c r="Q3111" s="32">
        <f>IF(Mecze[[#This Row],[OB]]=0,0,Mecze[[#This Row],[OB]]/Mecze[[#This Row],[CZAS]])</f>
        <v>0</v>
      </c>
      <c r="R3111" s="32">
        <f>IF(Mecze[[#This Row],[BR]]=0,0,Mecze[[#This Row],[BR]]/Mecze[[#This Row],[CZAS]])</f>
        <v>0</v>
      </c>
      <c r="S3111" s="44">
        <f>IF(Mecze[[#This Row],[Role]]="BR",SUMPRODUCT(Mecze[[#This Row],[/PR:90]:[/BR:90]],Brudnopis!$E$23:$J$23),0)</f>
        <v>0</v>
      </c>
      <c r="T3111" s="44">
        <f>IF(Mecze[[#This Row],[Role]]&lt;&gt;"BR",SUMPRODUCT(Mecze[[#This Row],[/PR:90]:[/BR:90]],Brudnopis!$E$24:$J$24),0)</f>
        <v>0.13020833333333334</v>
      </c>
      <c r="U3111" s="44">
        <f>IF(Mecze[[#This Row],[Role]]&lt;&gt;"BR",SUMPRODUCT(Mecze[[#This Row],[/PR:90]:[/BR:90]],Brudnopis!$E$25:$J$25),0)</f>
        <v>0.15625</v>
      </c>
      <c r="V3111" s="44">
        <f>IF(Mecze[[#This Row],[Role]]&lt;&gt;"BR",SUMPRODUCT(Mecze[[#This Row],[/PR:90]:[/BR:90]],Brudnopis!$E$26:$J$26),0)</f>
        <v>0.125</v>
      </c>
      <c r="W3111" s="44">
        <f>IF(Mecze[[#This Row],[Role]]&lt;&gt;"BR",SUMPRODUCT(Mecze[[#This Row],[/PR:90]:[/BR:90]],Brudnopis!$E$27:$J$27),0)</f>
        <v>0.140625</v>
      </c>
      <c r="X3111" s="44">
        <f>IF(Mecze[[#This Row],[Role]]&lt;&gt;"BR",SUMPRODUCT(Mecze[[#This Row],[/PR:90]:[/BR:90]],Brudnopis!$E$28:$J$28),0)</f>
        <v>6.25E-2</v>
      </c>
      <c r="Y3111" s="35">
        <f>IF(Mecze[[#This Row],[Role]]="BR",Mecze[[#This Row],[/OB:90]]+Mecze[[#This Row],[/PC:90]],SUM(Mecze[[#This Row],[/PR:90]:[/BR:90]]))</f>
        <v>0.125</v>
      </c>
      <c r="Z3111" s="35">
        <f>IF(Mecze[[#This Row],[KC]]=0,SUM(Mecze[[#This Row],[/BRI]:[/NPI]]),SUM(Mecze[[#This Row],[/BRI]:[/NPI]])*0.6)</f>
        <v>0.61458333333333337</v>
      </c>
      <c r="AA3111" s="10">
        <f>IFERROR(Mecze[[#This Row],[BR]]/Mecze[[#This Row],[ST]],0)</f>
        <v>0</v>
      </c>
      <c r="AB3111">
        <f>ROUND(Mecze[[#This Row],[PD]]*Mecze[[#This Row],[%PC]],0)</f>
        <v>6</v>
      </c>
      <c r="AC3111">
        <f>ROUND(Mecze[[#This Row],[OD]]*Mecze[[#This Row],[%OU]],0)</f>
        <v>1</v>
      </c>
      <c r="AD3111" s="36" t="s">
        <v>46</v>
      </c>
      <c r="AE3111" s="36">
        <v>174</v>
      </c>
      <c r="AF3111" s="71">
        <v>4.74</v>
      </c>
      <c r="AG3111" s="37">
        <v>1</v>
      </c>
      <c r="AH3111" s="37">
        <v>0</v>
      </c>
      <c r="AI3111" s="37">
        <v>96</v>
      </c>
      <c r="AJ3111" s="37">
        <v>10</v>
      </c>
      <c r="AK3111" s="37" t="str">
        <f>VLOOKUP(Mecze[[#This Row],[Match ID]],Meczusie[Mecz]:Meczusie[RodzajMeczu],2,FALSE)</f>
        <v>Liga</v>
      </c>
    </row>
    <row r="3112" spans="1:37" x14ac:dyDescent="0.25">
      <c r="A3112" s="76">
        <v>9</v>
      </c>
      <c r="B3112" s="3" t="s">
        <v>451</v>
      </c>
      <c r="C3112" s="2" t="s">
        <v>165</v>
      </c>
      <c r="D3112" s="1">
        <v>0</v>
      </c>
      <c r="E3112" s="1">
        <v>5</v>
      </c>
      <c r="F3112" s="1">
        <v>4</v>
      </c>
      <c r="G3112" s="1">
        <v>8</v>
      </c>
      <c r="H3112" s="4">
        <v>0.63</v>
      </c>
      <c r="I3112" s="1">
        <v>1</v>
      </c>
      <c r="J3112" s="4">
        <v>1</v>
      </c>
      <c r="K3112" s="1">
        <v>0</v>
      </c>
      <c r="L3112" s="1">
        <v>0</v>
      </c>
      <c r="M3112" s="32">
        <f>IF(Mecze[[#This Row],[PR]]=0,0,Mecze[[#This Row],[PR]]/Mecze[[#This Row],[CZAS]])</f>
        <v>0</v>
      </c>
      <c r="N3112" s="32">
        <f>IF(Mecze[[#This Row],[OU]]=0,0,Mecze[[#This Row],[OU]]/Mecze[[#This Row],[CZAS]])</f>
        <v>1.0416666666666666E-2</v>
      </c>
      <c r="O3112" s="32">
        <f>IF(Mecze[[#This Row],[PC]]=0,0,Mecze[[#This Row],[PC]]/Mecze[[#This Row],[CZAS]])</f>
        <v>5.2083333333333336E-2</v>
      </c>
      <c r="P3112" s="32">
        <f>IF(Mecze[[#This Row],[SC]]=0,0,Mecze[[#This Row],[SC]]/Mecze[[#This Row],[CZAS]])</f>
        <v>4.1666666666666664E-2</v>
      </c>
      <c r="Q3112" s="32">
        <f>IF(Mecze[[#This Row],[OB]]=0,0,Mecze[[#This Row],[OB]]/Mecze[[#This Row],[CZAS]])</f>
        <v>0</v>
      </c>
      <c r="R3112" s="32">
        <f>IF(Mecze[[#This Row],[BR]]=0,0,Mecze[[#This Row],[BR]]/Mecze[[#This Row],[CZAS]])</f>
        <v>0</v>
      </c>
      <c r="S3112" s="44">
        <f>IF(Mecze[[#This Row],[Role]]="BR",SUMPRODUCT(Mecze[[#This Row],[/PR:90]:[/BR:90]],Brudnopis!$E$23:$J$23),0)</f>
        <v>0</v>
      </c>
      <c r="T3112" s="44">
        <f>IF(Mecze[[#This Row],[Role]]&lt;&gt;"BR",SUMPRODUCT(Mecze[[#This Row],[/PR:90]:[/BR:90]],Brudnopis!$E$24:$J$24),0)</f>
        <v>0.109375</v>
      </c>
      <c r="U3112" s="44">
        <f>IF(Mecze[[#This Row],[Role]]&lt;&gt;"BR",SUMPRODUCT(Mecze[[#This Row],[/PR:90]:[/BR:90]],Brudnopis!$E$25:$J$25),0)</f>
        <v>0.13020833333333334</v>
      </c>
      <c r="V3112" s="44">
        <f>IF(Mecze[[#This Row],[Role]]&lt;&gt;"BR",SUMPRODUCT(Mecze[[#This Row],[/PR:90]:[/BR:90]],Brudnopis!$E$26:$J$26),0)</f>
        <v>0.10416666666666666</v>
      </c>
      <c r="W3112" s="44">
        <f>IF(Mecze[[#This Row],[Role]]&lt;&gt;"BR",SUMPRODUCT(Mecze[[#This Row],[/PR:90]:[/BR:90]],Brudnopis!$E$27:$J$27),0)</f>
        <v>0.12760416666666666</v>
      </c>
      <c r="X3112" s="44">
        <f>IF(Mecze[[#This Row],[Role]]&lt;&gt;"BR",SUMPRODUCT(Mecze[[#This Row],[/PR:90]:[/BR:90]],Brudnopis!$E$28:$J$28),0)</f>
        <v>0.13541666666666666</v>
      </c>
      <c r="Y3112" s="35">
        <f>IF(Mecze[[#This Row],[Role]]="BR",Mecze[[#This Row],[/OB:90]]+Mecze[[#This Row],[/PC:90]],SUM(Mecze[[#This Row],[/PR:90]:[/BR:90]]))</f>
        <v>0.10416666666666666</v>
      </c>
      <c r="Z3112" s="35">
        <f>IF(Mecze[[#This Row],[KC]]=0,SUM(Mecze[[#This Row],[/BRI]:[/NPI]]),SUM(Mecze[[#This Row],[/BRI]:[/NPI]])*0.6)</f>
        <v>0.60677083333333326</v>
      </c>
      <c r="AA3112" s="10">
        <f>IFERROR(Mecze[[#This Row],[BR]]/Mecze[[#This Row],[ST]],0)</f>
        <v>0</v>
      </c>
      <c r="AB3112">
        <f>ROUND(Mecze[[#This Row],[PD]]*Mecze[[#This Row],[%PC]],0)</f>
        <v>5</v>
      </c>
      <c r="AC3112">
        <f>ROUND(Mecze[[#This Row],[OD]]*Mecze[[#This Row],[%OU]],0)</f>
        <v>1</v>
      </c>
      <c r="AD3112" s="36" t="s">
        <v>46</v>
      </c>
      <c r="AE3112" s="36">
        <v>174</v>
      </c>
      <c r="AF3112" s="71">
        <v>4.92</v>
      </c>
      <c r="AG3112" s="37">
        <v>0</v>
      </c>
      <c r="AH3112" s="37">
        <v>0</v>
      </c>
      <c r="AI3112" s="37">
        <v>96</v>
      </c>
      <c r="AJ3112" s="37">
        <v>10</v>
      </c>
      <c r="AK3112" s="37" t="str">
        <f>VLOOKUP(Mecze[[#This Row],[Match ID]],Meczusie[Mecz]:Meczusie[RodzajMeczu],2,FALSE)</f>
        <v>Liga</v>
      </c>
    </row>
    <row r="3113" spans="1:37" x14ac:dyDescent="0.25">
      <c r="A3113" s="76">
        <v>10</v>
      </c>
      <c r="B3113" s="3" t="s">
        <v>246</v>
      </c>
      <c r="C3113" s="2" t="s">
        <v>165</v>
      </c>
      <c r="D3113" s="1">
        <v>2</v>
      </c>
      <c r="E3113" s="1">
        <v>8</v>
      </c>
      <c r="F3113" s="1">
        <v>8</v>
      </c>
      <c r="G3113" s="1">
        <v>6</v>
      </c>
      <c r="H3113" s="4">
        <v>0.67</v>
      </c>
      <c r="I3113" s="1">
        <v>1</v>
      </c>
      <c r="J3113" s="4">
        <v>0</v>
      </c>
      <c r="K3113" s="1">
        <v>0</v>
      </c>
      <c r="L3113" s="1">
        <v>0</v>
      </c>
      <c r="M3113" s="32">
        <f>IF(Mecze[[#This Row],[PR]]=0,0,Mecze[[#This Row],[PR]]/Mecze[[#This Row],[CZAS]])</f>
        <v>0</v>
      </c>
      <c r="N3113" s="32">
        <f>IF(Mecze[[#This Row],[OU]]=0,0,Mecze[[#This Row],[OU]]/Mecze[[#This Row],[CZAS]])</f>
        <v>0</v>
      </c>
      <c r="O3113" s="32">
        <f>IF(Mecze[[#This Row],[PC]]=0,0,Mecze[[#This Row],[PC]]/Mecze[[#This Row],[CZAS]])</f>
        <v>4.1666666666666664E-2</v>
      </c>
      <c r="P3113" s="32">
        <f>IF(Mecze[[#This Row],[SC]]=0,0,Mecze[[#This Row],[SC]]/Mecze[[#This Row],[CZAS]])</f>
        <v>8.3333333333333329E-2</v>
      </c>
      <c r="Q3113" s="32">
        <f>IF(Mecze[[#This Row],[OB]]=0,0,Mecze[[#This Row],[OB]]/Mecze[[#This Row],[CZAS]])</f>
        <v>0</v>
      </c>
      <c r="R3113" s="32">
        <f>IF(Mecze[[#This Row],[BR]]=0,0,Mecze[[#This Row],[BR]]/Mecze[[#This Row],[CZAS]])</f>
        <v>2.0833333333333332E-2</v>
      </c>
      <c r="S3113" s="44">
        <f>IF(Mecze[[#This Row],[Role]]="BR",SUMPRODUCT(Mecze[[#This Row],[/PR:90]:[/BR:90]],Brudnopis!$E$23:$J$23),0)</f>
        <v>0</v>
      </c>
      <c r="T3113" s="44">
        <f>IF(Mecze[[#This Row],[Role]]&lt;&gt;"BR",SUMPRODUCT(Mecze[[#This Row],[/PR:90]:[/BR:90]],Brudnopis!$E$24:$J$24),0)</f>
        <v>0.15625</v>
      </c>
      <c r="U3113" s="44">
        <f>IF(Mecze[[#This Row],[Role]]&lt;&gt;"BR",SUMPRODUCT(Mecze[[#This Row],[/PR:90]:[/BR:90]],Brudnopis!$E$25:$J$25),0)</f>
        <v>0.17708333333333331</v>
      </c>
      <c r="V3113" s="44">
        <f>IF(Mecze[[#This Row],[Role]]&lt;&gt;"BR",SUMPRODUCT(Mecze[[#This Row],[/PR:90]:[/BR:90]],Brudnopis!$E$26:$J$26),0)</f>
        <v>0.16666666666666666</v>
      </c>
      <c r="W3113" s="44">
        <f>IF(Mecze[[#This Row],[Role]]&lt;&gt;"BR",SUMPRODUCT(Mecze[[#This Row],[/PR:90]:[/BR:90]],Brudnopis!$E$27:$J$27),0)</f>
        <v>0.18749999999999997</v>
      </c>
      <c r="X3113" s="44">
        <f>IF(Mecze[[#This Row],[Role]]&lt;&gt;"BR",SUMPRODUCT(Mecze[[#This Row],[/PR:90]:[/BR:90]],Brudnopis!$E$28:$J$28),0)</f>
        <v>0.27083333333333331</v>
      </c>
      <c r="Y3113" s="35">
        <f>IF(Mecze[[#This Row],[Role]]="BR",Mecze[[#This Row],[/OB:90]]+Mecze[[#This Row],[/PC:90]],SUM(Mecze[[#This Row],[/PR:90]:[/BR:90]]))</f>
        <v>0.14583333333333334</v>
      </c>
      <c r="Z3113" s="35">
        <f>IF(Mecze[[#This Row],[KC]]=0,SUM(Mecze[[#This Row],[/BRI]:[/NPI]]),SUM(Mecze[[#This Row],[/BRI]:[/NPI]])*0.6)</f>
        <v>0.95833333333333326</v>
      </c>
      <c r="AA3113" s="10">
        <f>IFERROR(Mecze[[#This Row],[BR]]/Mecze[[#This Row],[ST]],0)</f>
        <v>0.25</v>
      </c>
      <c r="AB3113">
        <f>ROUND(Mecze[[#This Row],[PD]]*Mecze[[#This Row],[%PC]],0)</f>
        <v>4</v>
      </c>
      <c r="AC3113">
        <f>ROUND(Mecze[[#This Row],[OD]]*Mecze[[#This Row],[%OU]],0)</f>
        <v>0</v>
      </c>
      <c r="AD3113" s="36" t="s">
        <v>46</v>
      </c>
      <c r="AE3113" s="36">
        <v>174</v>
      </c>
      <c r="AF3113" s="71">
        <v>10.4</v>
      </c>
      <c r="AG3113" s="37">
        <v>0</v>
      </c>
      <c r="AH3113" s="37">
        <v>0</v>
      </c>
      <c r="AI3113" s="37">
        <v>96</v>
      </c>
      <c r="AJ3113" s="37">
        <v>10</v>
      </c>
      <c r="AK3113" s="37" t="str">
        <f>VLOOKUP(Mecze[[#This Row],[Match ID]],Meczusie[Mecz]:Meczusie[RodzajMeczu],2,FALSE)</f>
        <v>Liga</v>
      </c>
    </row>
    <row r="3114" spans="1:37" x14ac:dyDescent="0.25">
      <c r="A3114" s="76">
        <v>1</v>
      </c>
      <c r="B3114" s="3" t="s">
        <v>320</v>
      </c>
      <c r="C3114" s="2" t="s">
        <v>155</v>
      </c>
      <c r="D3114" s="1">
        <v>0</v>
      </c>
      <c r="E3114" s="1">
        <v>0</v>
      </c>
      <c r="F3114" s="1">
        <v>0</v>
      </c>
      <c r="G3114" s="1">
        <v>2</v>
      </c>
      <c r="H3114" s="4">
        <v>1</v>
      </c>
      <c r="I3114" s="1">
        <v>0</v>
      </c>
      <c r="J3114" s="4"/>
      <c r="K3114" s="1">
        <v>4</v>
      </c>
      <c r="L3114" s="1">
        <v>0</v>
      </c>
      <c r="M3114" s="32">
        <f>IF(Mecze[[#This Row],[PR]]=0,0,Mecze[[#This Row],[PR]]/Mecze[[#This Row],[CZAS]])</f>
        <v>0</v>
      </c>
      <c r="N3114" s="32">
        <f>IF(Mecze[[#This Row],[OU]]=0,0,Mecze[[#This Row],[OU]]/Mecze[[#This Row],[CZAS]])</f>
        <v>0</v>
      </c>
      <c r="O3114" s="32">
        <f>IF(Mecze[[#This Row],[PC]]=0,0,Mecze[[#This Row],[PC]]/Mecze[[#This Row],[CZAS]])</f>
        <v>2.0408163265306121E-2</v>
      </c>
      <c r="P3114" s="32">
        <f>IF(Mecze[[#This Row],[SC]]=0,0,Mecze[[#This Row],[SC]]/Mecze[[#This Row],[CZAS]])</f>
        <v>0</v>
      </c>
      <c r="Q3114" s="32">
        <f>IF(Mecze[[#This Row],[OB]]=0,0,Mecze[[#This Row],[OB]]/Mecze[[#This Row],[CZAS]])</f>
        <v>4.0816326530612242E-2</v>
      </c>
      <c r="R3114" s="32">
        <f>IF(Mecze[[#This Row],[BR]]=0,0,Mecze[[#This Row],[BR]]/Mecze[[#This Row],[CZAS]])</f>
        <v>0</v>
      </c>
      <c r="S3114" s="44">
        <f>IF(Mecze[[#This Row],[Role]]="BR",SUMPRODUCT(Mecze[[#This Row],[/PR:90]:[/BR:90]],Brudnopis!$E$23:$J$23),0)</f>
        <v>0.18367346938775508</v>
      </c>
      <c r="T3114" s="44">
        <f>IF(Mecze[[#This Row],[Role]]&lt;&gt;"BR",SUMPRODUCT(Mecze[[#This Row],[/PR:90]:[/BR:90]],Brudnopis!$E$24:$J$24),0)</f>
        <v>0</v>
      </c>
      <c r="U3114" s="44">
        <f>IF(Mecze[[#This Row],[Role]]&lt;&gt;"BR",SUMPRODUCT(Mecze[[#This Row],[/PR:90]:[/BR:90]],Brudnopis!$E$25:$J$25),0)</f>
        <v>0</v>
      </c>
      <c r="V3114" s="44">
        <f>IF(Mecze[[#This Row],[Role]]&lt;&gt;"BR",SUMPRODUCT(Mecze[[#This Row],[/PR:90]:[/BR:90]],Brudnopis!$E$26:$J$26),0)</f>
        <v>0</v>
      </c>
      <c r="W3114" s="44">
        <f>IF(Mecze[[#This Row],[Role]]&lt;&gt;"BR",SUMPRODUCT(Mecze[[#This Row],[/PR:90]:[/BR:90]],Brudnopis!$E$27:$J$27),0)</f>
        <v>0</v>
      </c>
      <c r="X3114" s="44">
        <f>IF(Mecze[[#This Row],[Role]]&lt;&gt;"BR",SUMPRODUCT(Mecze[[#This Row],[/PR:90]:[/BR:90]],Brudnopis!$E$28:$J$28),0)</f>
        <v>0</v>
      </c>
      <c r="Y3114" s="35">
        <f>IF(Mecze[[#This Row],[Role]]="BR",Mecze[[#This Row],[/OB:90]]+Mecze[[#This Row],[/PC:90]],SUM(Mecze[[#This Row],[/PR:90]:[/BR:90]]))</f>
        <v>6.1224489795918366E-2</v>
      </c>
      <c r="Z3114" s="35">
        <f>IF(Mecze[[#This Row],[KC]]=0,SUM(Mecze[[#This Row],[/BRI]:[/NPI]]),SUM(Mecze[[#This Row],[/BRI]:[/NPI]])*0.6)</f>
        <v>0.18367346938775508</v>
      </c>
      <c r="AA3114" s="10">
        <f>IFERROR(Mecze[[#This Row],[BR]]/Mecze[[#This Row],[ST]],0)</f>
        <v>0</v>
      </c>
      <c r="AB3114">
        <f>ROUND(Mecze[[#This Row],[PD]]*Mecze[[#This Row],[%PC]],0)</f>
        <v>2</v>
      </c>
      <c r="AC3114">
        <f>ROUND(Mecze[[#This Row],[OD]]*Mecze[[#This Row],[%OU]],0)</f>
        <v>0</v>
      </c>
      <c r="AD3114" s="36" t="s">
        <v>40</v>
      </c>
      <c r="AE3114" s="36">
        <v>175</v>
      </c>
      <c r="AF3114" s="71">
        <v>8.44</v>
      </c>
      <c r="AG3114" s="37">
        <v>0</v>
      </c>
      <c r="AH3114" s="37">
        <v>0</v>
      </c>
      <c r="AI3114" s="37">
        <v>98</v>
      </c>
      <c r="AJ3114" s="37">
        <v>11</v>
      </c>
      <c r="AK3114" s="37" t="str">
        <f>VLOOKUP(Mecze[[#This Row],[Match ID]],Meczusie[Mecz]:Meczusie[RodzajMeczu],2,FALSE)</f>
        <v>Liga</v>
      </c>
    </row>
    <row r="3115" spans="1:37" x14ac:dyDescent="0.25">
      <c r="A3115" s="76">
        <v>4</v>
      </c>
      <c r="B3115" s="3" t="s">
        <v>321</v>
      </c>
      <c r="C3115" s="2" t="s">
        <v>157</v>
      </c>
      <c r="D3115" s="1">
        <v>0</v>
      </c>
      <c r="E3115" s="1">
        <v>0</v>
      </c>
      <c r="F3115" s="1">
        <v>0</v>
      </c>
      <c r="G3115" s="1">
        <v>12</v>
      </c>
      <c r="H3115" s="4">
        <v>0.75</v>
      </c>
      <c r="I3115" s="1">
        <v>5</v>
      </c>
      <c r="J3115" s="4">
        <v>1</v>
      </c>
      <c r="K3115" s="1">
        <v>0</v>
      </c>
      <c r="L3115" s="1">
        <v>12</v>
      </c>
      <c r="M3115" s="32">
        <f>IF(Mecze[[#This Row],[PR]]=0,0,Mecze[[#This Row],[PR]]/Mecze[[#This Row],[CZAS]])</f>
        <v>0.12244897959183673</v>
      </c>
      <c r="N3115" s="32">
        <f>IF(Mecze[[#This Row],[OU]]=0,0,Mecze[[#This Row],[OU]]/Mecze[[#This Row],[CZAS]])</f>
        <v>5.1020408163265307E-2</v>
      </c>
      <c r="O3115" s="32">
        <f>IF(Mecze[[#This Row],[PC]]=0,0,Mecze[[#This Row],[PC]]/Mecze[[#This Row],[CZAS]])</f>
        <v>9.1836734693877556E-2</v>
      </c>
      <c r="P3115" s="32">
        <f>IF(Mecze[[#This Row],[SC]]=0,0,Mecze[[#This Row],[SC]]/Mecze[[#This Row],[CZAS]])</f>
        <v>0</v>
      </c>
      <c r="Q3115" s="32">
        <f>IF(Mecze[[#This Row],[OB]]=0,0,Mecze[[#This Row],[OB]]/Mecze[[#This Row],[CZAS]])</f>
        <v>0</v>
      </c>
      <c r="R3115" s="32">
        <f>IF(Mecze[[#This Row],[BR]]=0,0,Mecze[[#This Row],[BR]]/Mecze[[#This Row],[CZAS]])</f>
        <v>0</v>
      </c>
      <c r="S3115" s="44">
        <f>IF(Mecze[[#This Row],[Role]]="BR",SUMPRODUCT(Mecze[[#This Row],[/PR:90]:[/BR:90]],Brudnopis!$E$23:$J$23),0)</f>
        <v>0</v>
      </c>
      <c r="T3115" s="44">
        <f>IF(Mecze[[#This Row],[Role]]&lt;&gt;"BR",SUMPRODUCT(Mecze[[#This Row],[/PR:90]:[/BR:90]],Brudnopis!$E$24:$J$24),0)</f>
        <v>0.29081632653061223</v>
      </c>
      <c r="U3115" s="44">
        <f>IF(Mecze[[#This Row],[Role]]&lt;&gt;"BR",SUMPRODUCT(Mecze[[#This Row],[/PR:90]:[/BR:90]],Brudnopis!$E$25:$J$25),0)</f>
        <v>0.31122448979591838</v>
      </c>
      <c r="V3115" s="44">
        <f>IF(Mecze[[#This Row],[Role]]&lt;&gt;"BR",SUMPRODUCT(Mecze[[#This Row],[/PR:90]:[/BR:90]],Brudnopis!$E$26:$J$26),0)</f>
        <v>0.26530612244897961</v>
      </c>
      <c r="W3115" s="44">
        <f>IF(Mecze[[#This Row],[Role]]&lt;&gt;"BR",SUMPRODUCT(Mecze[[#This Row],[/PR:90]:[/BR:90]],Brudnopis!$E$27:$J$27),0)</f>
        <v>0.2678571428571429</v>
      </c>
      <c r="X3115" s="44">
        <f>IF(Mecze[[#This Row],[Role]]&lt;&gt;"BR",SUMPRODUCT(Mecze[[#This Row],[/PR:90]:[/BR:90]],Brudnopis!$E$28:$J$28),0)</f>
        <v>9.1836734693877556E-2</v>
      </c>
      <c r="Y3115" s="35">
        <f>IF(Mecze[[#This Row],[Role]]="BR",Mecze[[#This Row],[/OB:90]]+Mecze[[#This Row],[/PC:90]],SUM(Mecze[[#This Row],[/PR:90]:[/BR:90]]))</f>
        <v>0.26530612244897961</v>
      </c>
      <c r="Z3115" s="35">
        <f>IF(Mecze[[#This Row],[KC]]=0,SUM(Mecze[[#This Row],[/BRI]:[/NPI]]),SUM(Mecze[[#This Row],[/BRI]:[/NPI]])*0.6)</f>
        <v>1.2270408163265305</v>
      </c>
      <c r="AA3115" s="10">
        <f>IFERROR(Mecze[[#This Row],[BR]]/Mecze[[#This Row],[ST]],0)</f>
        <v>0</v>
      </c>
      <c r="AB3115">
        <f>ROUND(Mecze[[#This Row],[PD]]*Mecze[[#This Row],[%PC]],0)</f>
        <v>9</v>
      </c>
      <c r="AC3115">
        <f>ROUND(Mecze[[#This Row],[OD]]*Mecze[[#This Row],[%OU]],0)</f>
        <v>5</v>
      </c>
      <c r="AD3115" s="36" t="s">
        <v>47</v>
      </c>
      <c r="AE3115" s="36">
        <v>175</v>
      </c>
      <c r="AF3115" s="71">
        <v>12.71</v>
      </c>
      <c r="AG3115" s="37">
        <v>0</v>
      </c>
      <c r="AH3115" s="37">
        <v>0</v>
      </c>
      <c r="AI3115" s="37">
        <v>98</v>
      </c>
      <c r="AJ3115" s="37">
        <v>11</v>
      </c>
      <c r="AK3115" s="37" t="str">
        <f>VLOOKUP(Mecze[[#This Row],[Match ID]],Meczusie[Mecz]:Meczusie[RodzajMeczu],2,FALSE)</f>
        <v>Liga</v>
      </c>
    </row>
    <row r="3116" spans="1:37" x14ac:dyDescent="0.25">
      <c r="A3116" s="76">
        <v>7</v>
      </c>
      <c r="B3116" s="3" t="s">
        <v>322</v>
      </c>
      <c r="C3116" s="2" t="s">
        <v>157</v>
      </c>
      <c r="D3116" s="1">
        <v>0</v>
      </c>
      <c r="E3116" s="1">
        <v>0</v>
      </c>
      <c r="F3116" s="1">
        <v>0</v>
      </c>
      <c r="G3116" s="1">
        <v>6</v>
      </c>
      <c r="H3116" s="4">
        <v>1</v>
      </c>
      <c r="I3116" s="1">
        <v>2</v>
      </c>
      <c r="J3116" s="4">
        <v>0</v>
      </c>
      <c r="K3116" s="1">
        <v>0</v>
      </c>
      <c r="L3116" s="1">
        <v>9</v>
      </c>
      <c r="M3116" s="32">
        <f>IF(Mecze[[#This Row],[PR]]=0,0,Mecze[[#This Row],[PR]]/Mecze[[#This Row],[CZAS]])</f>
        <v>9.1836734693877556E-2</v>
      </c>
      <c r="N3116" s="32">
        <f>IF(Mecze[[#This Row],[OU]]=0,0,Mecze[[#This Row],[OU]]/Mecze[[#This Row],[CZAS]])</f>
        <v>0</v>
      </c>
      <c r="O3116" s="32">
        <f>IF(Mecze[[#This Row],[PC]]=0,0,Mecze[[#This Row],[PC]]/Mecze[[#This Row],[CZAS]])</f>
        <v>6.1224489795918366E-2</v>
      </c>
      <c r="P3116" s="32">
        <f>IF(Mecze[[#This Row],[SC]]=0,0,Mecze[[#This Row],[SC]]/Mecze[[#This Row],[CZAS]])</f>
        <v>0</v>
      </c>
      <c r="Q3116" s="32">
        <f>IF(Mecze[[#This Row],[OB]]=0,0,Mecze[[#This Row],[OB]]/Mecze[[#This Row],[CZAS]])</f>
        <v>0</v>
      </c>
      <c r="R3116" s="32">
        <f>IF(Mecze[[#This Row],[BR]]=0,0,Mecze[[#This Row],[BR]]/Mecze[[#This Row],[CZAS]])</f>
        <v>0</v>
      </c>
      <c r="S3116" s="44">
        <f>IF(Mecze[[#This Row],[Role]]="BR",SUMPRODUCT(Mecze[[#This Row],[/PR:90]:[/BR:90]],Brudnopis!$E$23:$J$23),0)</f>
        <v>0</v>
      </c>
      <c r="T3116" s="44">
        <f>IF(Mecze[[#This Row],[Role]]&lt;&gt;"BR",SUMPRODUCT(Mecze[[#This Row],[/PR:90]:[/BR:90]],Brudnopis!$E$24:$J$24),0)</f>
        <v>0.15306122448979592</v>
      </c>
      <c r="U3116" s="44">
        <f>IF(Mecze[[#This Row],[Role]]&lt;&gt;"BR",SUMPRODUCT(Mecze[[#This Row],[/PR:90]:[/BR:90]],Brudnopis!$E$25:$J$25),0)</f>
        <v>0.18367346938775508</v>
      </c>
      <c r="V3116" s="44">
        <f>IF(Mecze[[#This Row],[Role]]&lt;&gt;"BR",SUMPRODUCT(Mecze[[#This Row],[/PR:90]:[/BR:90]],Brudnopis!$E$26:$J$26),0)</f>
        <v>0.15306122448979592</v>
      </c>
      <c r="W3116" s="44">
        <f>IF(Mecze[[#This Row],[Role]]&lt;&gt;"BR",SUMPRODUCT(Mecze[[#This Row],[/PR:90]:[/BR:90]],Brudnopis!$E$27:$J$27),0)</f>
        <v>0.1607142857142857</v>
      </c>
      <c r="X3116" s="44">
        <f>IF(Mecze[[#This Row],[Role]]&lt;&gt;"BR",SUMPRODUCT(Mecze[[#This Row],[/PR:90]:[/BR:90]],Brudnopis!$E$28:$J$28),0)</f>
        <v>6.1224489795918366E-2</v>
      </c>
      <c r="Y3116" s="35">
        <f>IF(Mecze[[#This Row],[Role]]="BR",Mecze[[#This Row],[/OB:90]]+Mecze[[#This Row],[/PC:90]],SUM(Mecze[[#This Row],[/PR:90]:[/BR:90]]))</f>
        <v>0.15306122448979592</v>
      </c>
      <c r="Z3116" s="35">
        <f>IF(Mecze[[#This Row],[KC]]=0,SUM(Mecze[[#This Row],[/BRI]:[/NPI]]),SUM(Mecze[[#This Row],[/BRI]:[/NPI]])*0.6)</f>
        <v>0.71173469387755095</v>
      </c>
      <c r="AA3116" s="10">
        <f>IFERROR(Mecze[[#This Row],[BR]]/Mecze[[#This Row],[ST]],0)</f>
        <v>0</v>
      </c>
      <c r="AB3116">
        <f>ROUND(Mecze[[#This Row],[PD]]*Mecze[[#This Row],[%PC]],0)</f>
        <v>6</v>
      </c>
      <c r="AC3116">
        <f>ROUND(Mecze[[#This Row],[OD]]*Mecze[[#This Row],[%OU]],0)</f>
        <v>0</v>
      </c>
      <c r="AD3116" s="36" t="s">
        <v>47</v>
      </c>
      <c r="AE3116" s="36">
        <v>175</v>
      </c>
      <c r="AF3116" s="71">
        <v>8.93</v>
      </c>
      <c r="AG3116" s="37">
        <v>0</v>
      </c>
      <c r="AH3116" s="37">
        <v>0</v>
      </c>
      <c r="AI3116" s="37">
        <v>98</v>
      </c>
      <c r="AJ3116" s="37">
        <v>11</v>
      </c>
      <c r="AK3116" s="37" t="str">
        <f>VLOOKUP(Mecze[[#This Row],[Match ID]],Meczusie[Mecz]:Meczusie[RodzajMeczu],2,FALSE)</f>
        <v>Liga</v>
      </c>
    </row>
    <row r="3117" spans="1:37" x14ac:dyDescent="0.25">
      <c r="A3117" s="76">
        <v>2</v>
      </c>
      <c r="B3117" s="3" t="s">
        <v>392</v>
      </c>
      <c r="C3117" s="2" t="s">
        <v>157</v>
      </c>
      <c r="D3117" s="1">
        <v>0</v>
      </c>
      <c r="E3117" s="1">
        <v>0</v>
      </c>
      <c r="F3117" s="1">
        <v>0</v>
      </c>
      <c r="G3117" s="1">
        <v>1</v>
      </c>
      <c r="H3117" s="4">
        <v>1</v>
      </c>
      <c r="I3117" s="1">
        <v>0</v>
      </c>
      <c r="J3117" s="4"/>
      <c r="K3117" s="1">
        <v>0</v>
      </c>
      <c r="L3117" s="1">
        <v>2</v>
      </c>
      <c r="M3117" s="32">
        <f>IF(Mecze[[#This Row],[PR]]=0,0,Mecze[[#This Row],[PR]]/Mecze[[#This Row],[CZAS]])</f>
        <v>2.0408163265306121E-2</v>
      </c>
      <c r="N3117" s="32">
        <f>IF(Mecze[[#This Row],[OU]]=0,0,Mecze[[#This Row],[OU]]/Mecze[[#This Row],[CZAS]])</f>
        <v>0</v>
      </c>
      <c r="O3117" s="32">
        <f>IF(Mecze[[#This Row],[PC]]=0,0,Mecze[[#This Row],[PC]]/Mecze[[#This Row],[CZAS]])</f>
        <v>1.020408163265306E-2</v>
      </c>
      <c r="P3117" s="32">
        <f>IF(Mecze[[#This Row],[SC]]=0,0,Mecze[[#This Row],[SC]]/Mecze[[#This Row],[CZAS]])</f>
        <v>0</v>
      </c>
      <c r="Q3117" s="32">
        <f>IF(Mecze[[#This Row],[OB]]=0,0,Mecze[[#This Row],[OB]]/Mecze[[#This Row],[CZAS]])</f>
        <v>0</v>
      </c>
      <c r="R3117" s="32">
        <f>IF(Mecze[[#This Row],[BR]]=0,0,Mecze[[#This Row],[BR]]/Mecze[[#This Row],[CZAS]])</f>
        <v>0</v>
      </c>
      <c r="S3117" s="44">
        <f>IF(Mecze[[#This Row],[Role]]="BR",SUMPRODUCT(Mecze[[#This Row],[/PR:90]:[/BR:90]],Brudnopis!$E$23:$J$23),0)</f>
        <v>0</v>
      </c>
      <c r="T3117" s="44">
        <f>IF(Mecze[[#This Row],[Role]]&lt;&gt;"BR",SUMPRODUCT(Mecze[[#This Row],[/PR:90]:[/BR:90]],Brudnopis!$E$24:$J$24),0)</f>
        <v>3.0612244897959183E-2</v>
      </c>
      <c r="U3117" s="44">
        <f>IF(Mecze[[#This Row],[Role]]&lt;&gt;"BR",SUMPRODUCT(Mecze[[#This Row],[/PR:90]:[/BR:90]],Brudnopis!$E$25:$J$25),0)</f>
        <v>3.5714285714285712E-2</v>
      </c>
      <c r="V3117" s="44">
        <f>IF(Mecze[[#This Row],[Role]]&lt;&gt;"BR",SUMPRODUCT(Mecze[[#This Row],[/PR:90]:[/BR:90]],Brudnopis!$E$26:$J$26),0)</f>
        <v>3.0612244897959183E-2</v>
      </c>
      <c r="W3117" s="44">
        <f>IF(Mecze[[#This Row],[Role]]&lt;&gt;"BR",SUMPRODUCT(Mecze[[#This Row],[/PR:90]:[/BR:90]],Brudnopis!$E$27:$J$27),0)</f>
        <v>3.0612244897959183E-2</v>
      </c>
      <c r="X3117" s="44">
        <f>IF(Mecze[[#This Row],[Role]]&lt;&gt;"BR",SUMPRODUCT(Mecze[[#This Row],[/PR:90]:[/BR:90]],Brudnopis!$E$28:$J$28),0)</f>
        <v>1.020408163265306E-2</v>
      </c>
      <c r="Y3117" s="35">
        <f>IF(Mecze[[#This Row],[Role]]="BR",Mecze[[#This Row],[/OB:90]]+Mecze[[#This Row],[/PC:90]],SUM(Mecze[[#This Row],[/PR:90]:[/BR:90]]))</f>
        <v>3.0612244897959183E-2</v>
      </c>
      <c r="Z3117" s="35">
        <f>IF(Mecze[[#This Row],[KC]]=0,SUM(Mecze[[#This Row],[/BRI]:[/NPI]]),SUM(Mecze[[#This Row],[/BRI]:[/NPI]])*0.6)</f>
        <v>0.13775510204081634</v>
      </c>
      <c r="AA3117" s="10">
        <f>IFERROR(Mecze[[#This Row],[BR]]/Mecze[[#This Row],[ST]],0)</f>
        <v>0</v>
      </c>
      <c r="AB3117">
        <f>ROUND(Mecze[[#This Row],[PD]]*Mecze[[#This Row],[%PC]],0)</f>
        <v>1</v>
      </c>
      <c r="AC3117">
        <f>ROUND(Mecze[[#This Row],[OD]]*Mecze[[#This Row],[%OU]],0)</f>
        <v>0</v>
      </c>
      <c r="AD3117" s="36" t="s">
        <v>175</v>
      </c>
      <c r="AE3117" s="36">
        <v>175</v>
      </c>
      <c r="AF3117" s="71">
        <v>7.46</v>
      </c>
      <c r="AG3117" s="37">
        <v>0</v>
      </c>
      <c r="AH3117" s="37">
        <v>0</v>
      </c>
      <c r="AI3117" s="37">
        <v>98</v>
      </c>
      <c r="AJ3117" s="37">
        <v>11</v>
      </c>
      <c r="AK3117" s="37" t="str">
        <f>VLOOKUP(Mecze[[#This Row],[Match ID]],Meczusie[Mecz]:Meczusie[RodzajMeczu],2,FALSE)</f>
        <v>Liga</v>
      </c>
    </row>
    <row r="3118" spans="1:37" x14ac:dyDescent="0.25">
      <c r="A3118" s="76">
        <v>6</v>
      </c>
      <c r="B3118" s="3" t="s">
        <v>324</v>
      </c>
      <c r="C3118" s="2" t="s">
        <v>157</v>
      </c>
      <c r="D3118" s="1">
        <v>0</v>
      </c>
      <c r="E3118" s="1">
        <v>0</v>
      </c>
      <c r="F3118" s="1">
        <v>0</v>
      </c>
      <c r="G3118" s="1">
        <v>2</v>
      </c>
      <c r="H3118" s="4">
        <v>1</v>
      </c>
      <c r="I3118" s="1">
        <v>0</v>
      </c>
      <c r="J3118" s="4"/>
      <c r="K3118" s="1">
        <v>0</v>
      </c>
      <c r="L3118" s="1">
        <v>0</v>
      </c>
      <c r="M3118" s="32">
        <f>IF(Mecze[[#This Row],[PR]]=0,0,Mecze[[#This Row],[PR]]/Mecze[[#This Row],[CZAS]])</f>
        <v>0</v>
      </c>
      <c r="N3118" s="32">
        <f>IF(Mecze[[#This Row],[OU]]=0,0,Mecze[[#This Row],[OU]]/Mecze[[#This Row],[CZAS]])</f>
        <v>0</v>
      </c>
      <c r="O3118" s="32">
        <f>IF(Mecze[[#This Row],[PC]]=0,0,Mecze[[#This Row],[PC]]/Mecze[[#This Row],[CZAS]])</f>
        <v>2.0408163265306121E-2</v>
      </c>
      <c r="P3118" s="32">
        <f>IF(Mecze[[#This Row],[SC]]=0,0,Mecze[[#This Row],[SC]]/Mecze[[#This Row],[CZAS]])</f>
        <v>0</v>
      </c>
      <c r="Q3118" s="32">
        <f>IF(Mecze[[#This Row],[OB]]=0,0,Mecze[[#This Row],[OB]]/Mecze[[#This Row],[CZAS]])</f>
        <v>0</v>
      </c>
      <c r="R3118" s="32">
        <f>IF(Mecze[[#This Row],[BR]]=0,0,Mecze[[#This Row],[BR]]/Mecze[[#This Row],[CZAS]])</f>
        <v>0</v>
      </c>
      <c r="S3118" s="44">
        <f>IF(Mecze[[#This Row],[Role]]="BR",SUMPRODUCT(Mecze[[#This Row],[/PR:90]:[/BR:90]],Brudnopis!$E$23:$J$23),0)</f>
        <v>0</v>
      </c>
      <c r="T3118" s="44">
        <f>IF(Mecze[[#This Row],[Role]]&lt;&gt;"BR",SUMPRODUCT(Mecze[[#This Row],[/PR:90]:[/BR:90]],Brudnopis!$E$24:$J$24),0)</f>
        <v>2.0408163265306121E-2</v>
      </c>
      <c r="U3118" s="44">
        <f>IF(Mecze[[#This Row],[Role]]&lt;&gt;"BR",SUMPRODUCT(Mecze[[#This Row],[/PR:90]:[/BR:90]],Brudnopis!$E$25:$J$25),0)</f>
        <v>3.0612244897959183E-2</v>
      </c>
      <c r="V3118" s="44">
        <f>IF(Mecze[[#This Row],[Role]]&lt;&gt;"BR",SUMPRODUCT(Mecze[[#This Row],[/PR:90]:[/BR:90]],Brudnopis!$E$26:$J$26),0)</f>
        <v>2.0408163265306121E-2</v>
      </c>
      <c r="W3118" s="44">
        <f>IF(Mecze[[#This Row],[Role]]&lt;&gt;"BR",SUMPRODUCT(Mecze[[#This Row],[/PR:90]:[/BR:90]],Brudnopis!$E$27:$J$27),0)</f>
        <v>3.0612244897959183E-2</v>
      </c>
      <c r="X3118" s="44">
        <f>IF(Mecze[[#This Row],[Role]]&lt;&gt;"BR",SUMPRODUCT(Mecze[[#This Row],[/PR:90]:[/BR:90]],Brudnopis!$E$28:$J$28),0)</f>
        <v>2.0408163265306121E-2</v>
      </c>
      <c r="Y3118" s="35">
        <f>IF(Mecze[[#This Row],[Role]]="BR",Mecze[[#This Row],[/OB:90]]+Mecze[[#This Row],[/PC:90]],SUM(Mecze[[#This Row],[/PR:90]:[/BR:90]]))</f>
        <v>2.0408163265306121E-2</v>
      </c>
      <c r="Z3118" s="35">
        <f>IF(Mecze[[#This Row],[KC]]=0,SUM(Mecze[[#This Row],[/BRI]:[/NPI]]),SUM(Mecze[[#This Row],[/BRI]:[/NPI]])*0.6)</f>
        <v>0.12244897959183673</v>
      </c>
      <c r="AA3118" s="10">
        <f>IFERROR(Mecze[[#This Row],[BR]]/Mecze[[#This Row],[ST]],0)</f>
        <v>0</v>
      </c>
      <c r="AB3118">
        <f>ROUND(Mecze[[#This Row],[PD]]*Mecze[[#This Row],[%PC]],0)</f>
        <v>2</v>
      </c>
      <c r="AC3118">
        <f>ROUND(Mecze[[#This Row],[OD]]*Mecze[[#This Row],[%OU]],0)</f>
        <v>0</v>
      </c>
      <c r="AD3118" s="36" t="s">
        <v>174</v>
      </c>
      <c r="AE3118" s="36">
        <v>175</v>
      </c>
      <c r="AF3118" s="71">
        <v>7.04</v>
      </c>
      <c r="AG3118" s="37">
        <v>0</v>
      </c>
      <c r="AH3118" s="37">
        <v>0</v>
      </c>
      <c r="AI3118" s="37">
        <v>98</v>
      </c>
      <c r="AJ3118" s="37">
        <v>11</v>
      </c>
      <c r="AK3118" s="37" t="str">
        <f>VLOOKUP(Mecze[[#This Row],[Match ID]],Meczusie[Mecz]:Meczusie[RodzajMeczu],2,FALSE)</f>
        <v>Liga</v>
      </c>
    </row>
    <row r="3119" spans="1:37" x14ac:dyDescent="0.25">
      <c r="A3119" s="76">
        <v>5</v>
      </c>
      <c r="B3119" s="3" t="s">
        <v>325</v>
      </c>
      <c r="C3119" s="2" t="s">
        <v>160</v>
      </c>
      <c r="D3119" s="1">
        <v>0</v>
      </c>
      <c r="E3119" s="1">
        <v>0</v>
      </c>
      <c r="F3119" s="1">
        <v>0</v>
      </c>
      <c r="G3119" s="1">
        <v>23</v>
      </c>
      <c r="H3119" s="4">
        <v>0.78</v>
      </c>
      <c r="I3119" s="1">
        <v>6</v>
      </c>
      <c r="J3119" s="4">
        <v>0.83</v>
      </c>
      <c r="K3119" s="1">
        <v>0</v>
      </c>
      <c r="L3119" s="1">
        <v>13</v>
      </c>
      <c r="M3119" s="32">
        <f>IF(Mecze[[#This Row],[PR]]=0,0,Mecze[[#This Row],[PR]]/Mecze[[#This Row],[CZAS]])</f>
        <v>0.1326530612244898</v>
      </c>
      <c r="N3119" s="32">
        <f>IF(Mecze[[#This Row],[OU]]=0,0,Mecze[[#This Row],[OU]]/Mecze[[#This Row],[CZAS]])</f>
        <v>5.1020408163265307E-2</v>
      </c>
      <c r="O3119" s="32">
        <f>IF(Mecze[[#This Row],[PC]]=0,0,Mecze[[#This Row],[PC]]/Mecze[[#This Row],[CZAS]])</f>
        <v>0.18367346938775511</v>
      </c>
      <c r="P3119" s="32">
        <f>IF(Mecze[[#This Row],[SC]]=0,0,Mecze[[#This Row],[SC]]/Mecze[[#This Row],[CZAS]])</f>
        <v>0</v>
      </c>
      <c r="Q3119" s="32">
        <f>IF(Mecze[[#This Row],[OB]]=0,0,Mecze[[#This Row],[OB]]/Mecze[[#This Row],[CZAS]])</f>
        <v>0</v>
      </c>
      <c r="R3119" s="32">
        <f>IF(Mecze[[#This Row],[BR]]=0,0,Mecze[[#This Row],[BR]]/Mecze[[#This Row],[CZAS]])</f>
        <v>0</v>
      </c>
      <c r="S3119" s="44">
        <f>IF(Mecze[[#This Row],[Role]]="BR",SUMPRODUCT(Mecze[[#This Row],[/PR:90]:[/BR:90]],Brudnopis!$E$23:$J$23),0)</f>
        <v>0</v>
      </c>
      <c r="T3119" s="44">
        <f>IF(Mecze[[#This Row],[Role]]&lt;&gt;"BR",SUMPRODUCT(Mecze[[#This Row],[/PR:90]:[/BR:90]],Brudnopis!$E$24:$J$24),0)</f>
        <v>0.3928571428571429</v>
      </c>
      <c r="U3119" s="44">
        <f>IF(Mecze[[#This Row],[Role]]&lt;&gt;"BR",SUMPRODUCT(Mecze[[#This Row],[/PR:90]:[/BR:90]],Brudnopis!$E$25:$J$25),0)</f>
        <v>0.45918367346938782</v>
      </c>
      <c r="V3119" s="44">
        <f>IF(Mecze[[#This Row],[Role]]&lt;&gt;"BR",SUMPRODUCT(Mecze[[#This Row],[/PR:90]:[/BR:90]],Brudnopis!$E$26:$J$26),0)</f>
        <v>0.36734693877551022</v>
      </c>
      <c r="W3119" s="44">
        <f>IF(Mecze[[#This Row],[Role]]&lt;&gt;"BR",SUMPRODUCT(Mecze[[#This Row],[/PR:90]:[/BR:90]],Brudnopis!$E$27:$J$27),0)</f>
        <v>0.41326530612244899</v>
      </c>
      <c r="X3119" s="44">
        <f>IF(Mecze[[#This Row],[Role]]&lt;&gt;"BR",SUMPRODUCT(Mecze[[#This Row],[/PR:90]:[/BR:90]],Brudnopis!$E$28:$J$28),0)</f>
        <v>0.18367346938775511</v>
      </c>
      <c r="Y3119" s="35">
        <f>IF(Mecze[[#This Row],[Role]]="BR",Mecze[[#This Row],[/OB:90]]+Mecze[[#This Row],[/PC:90]],SUM(Mecze[[#This Row],[/PR:90]:[/BR:90]]))</f>
        <v>0.36734693877551022</v>
      </c>
      <c r="Z3119" s="35">
        <f>IF(Mecze[[#This Row],[KC]]=0,SUM(Mecze[[#This Row],[/BRI]:[/NPI]]),SUM(Mecze[[#This Row],[/BRI]:[/NPI]])*0.6)</f>
        <v>1.8163265306122449</v>
      </c>
      <c r="AA3119" s="10">
        <f>IFERROR(Mecze[[#This Row],[BR]]/Mecze[[#This Row],[ST]],0)</f>
        <v>0</v>
      </c>
      <c r="AB3119">
        <f>ROUND(Mecze[[#This Row],[PD]]*Mecze[[#This Row],[%PC]],0)</f>
        <v>18</v>
      </c>
      <c r="AC3119">
        <f>ROUND(Mecze[[#This Row],[OD]]*Mecze[[#This Row],[%OU]],0)</f>
        <v>5</v>
      </c>
      <c r="AD3119" s="36" t="s">
        <v>41</v>
      </c>
      <c r="AE3119" s="36">
        <v>175</v>
      </c>
      <c r="AF3119" s="71">
        <v>10.98</v>
      </c>
      <c r="AG3119" s="37">
        <v>0</v>
      </c>
      <c r="AH3119" s="37">
        <v>0</v>
      </c>
      <c r="AI3119" s="37">
        <v>98</v>
      </c>
      <c r="AJ3119" s="37">
        <v>11</v>
      </c>
      <c r="AK3119" s="37" t="str">
        <f>VLOOKUP(Mecze[[#This Row],[Match ID]],Meczusie[Mecz]:Meczusie[RodzajMeczu],2,FALSE)</f>
        <v>Liga</v>
      </c>
    </row>
    <row r="3120" spans="1:37" x14ac:dyDescent="0.25">
      <c r="A3120" s="76">
        <v>8</v>
      </c>
      <c r="B3120" s="3" t="s">
        <v>326</v>
      </c>
      <c r="C3120" s="2" t="s">
        <v>160</v>
      </c>
      <c r="D3120" s="1">
        <v>1</v>
      </c>
      <c r="E3120" s="1">
        <v>3</v>
      </c>
      <c r="F3120" s="1">
        <v>2</v>
      </c>
      <c r="G3120" s="1">
        <v>7</v>
      </c>
      <c r="H3120" s="4">
        <v>1</v>
      </c>
      <c r="I3120" s="1">
        <v>2</v>
      </c>
      <c r="J3120" s="4">
        <v>1</v>
      </c>
      <c r="K3120" s="1">
        <v>0</v>
      </c>
      <c r="L3120" s="1">
        <v>2</v>
      </c>
      <c r="M3120" s="32">
        <f>IF(Mecze[[#This Row],[PR]]=0,0,Mecze[[#This Row],[PR]]/Mecze[[#This Row],[CZAS]])</f>
        <v>2.0408163265306121E-2</v>
      </c>
      <c r="N3120" s="32">
        <f>IF(Mecze[[#This Row],[OU]]=0,0,Mecze[[#This Row],[OU]]/Mecze[[#This Row],[CZAS]])</f>
        <v>2.0408163265306121E-2</v>
      </c>
      <c r="O3120" s="32">
        <f>IF(Mecze[[#This Row],[PC]]=0,0,Mecze[[#This Row],[PC]]/Mecze[[#This Row],[CZAS]])</f>
        <v>7.1428571428571425E-2</v>
      </c>
      <c r="P3120" s="32">
        <f>IF(Mecze[[#This Row],[SC]]=0,0,Mecze[[#This Row],[SC]]/Mecze[[#This Row],[CZAS]])</f>
        <v>2.0408163265306121E-2</v>
      </c>
      <c r="Q3120" s="32">
        <f>IF(Mecze[[#This Row],[OB]]=0,0,Mecze[[#This Row],[OB]]/Mecze[[#This Row],[CZAS]])</f>
        <v>0</v>
      </c>
      <c r="R3120" s="32">
        <f>IF(Mecze[[#This Row],[BR]]=0,0,Mecze[[#This Row],[BR]]/Mecze[[#This Row],[CZAS]])</f>
        <v>1.020408163265306E-2</v>
      </c>
      <c r="S3120" s="44">
        <f>IF(Mecze[[#This Row],[Role]]="BR",SUMPRODUCT(Mecze[[#This Row],[/PR:90]:[/BR:90]],Brudnopis!$E$23:$J$23),0)</f>
        <v>0</v>
      </c>
      <c r="T3120" s="44">
        <f>IF(Mecze[[#This Row],[Role]]&lt;&gt;"BR",SUMPRODUCT(Mecze[[#This Row],[/PR:90]:[/BR:90]],Brudnopis!$E$24:$J$24),0)</f>
        <v>0.15816326530612243</v>
      </c>
      <c r="U3120" s="44">
        <f>IF(Mecze[[#This Row],[Role]]&lt;&gt;"BR",SUMPRODUCT(Mecze[[#This Row],[/PR:90]:[/BR:90]],Brudnopis!$E$25:$J$25),0)</f>
        <v>0.18367346938775508</v>
      </c>
      <c r="V3120" s="44">
        <f>IF(Mecze[[#This Row],[Role]]&lt;&gt;"BR",SUMPRODUCT(Mecze[[#This Row],[/PR:90]:[/BR:90]],Brudnopis!$E$26:$J$26),0)</f>
        <v>0.15306122448979589</v>
      </c>
      <c r="W3120" s="44">
        <f>IF(Mecze[[#This Row],[Role]]&lt;&gt;"BR",SUMPRODUCT(Mecze[[#This Row],[/PR:90]:[/BR:90]],Brudnopis!$E$27:$J$27),0)</f>
        <v>0.17857142857142855</v>
      </c>
      <c r="X3120" s="44">
        <f>IF(Mecze[[#This Row],[Role]]&lt;&gt;"BR",SUMPRODUCT(Mecze[[#This Row],[/PR:90]:[/BR:90]],Brudnopis!$E$28:$J$28),0)</f>
        <v>0.14285714285714285</v>
      </c>
      <c r="Y3120" s="35">
        <f>IF(Mecze[[#This Row],[Role]]="BR",Mecze[[#This Row],[/OB:90]]+Mecze[[#This Row],[/PC:90]],SUM(Mecze[[#This Row],[/PR:90]:[/BR:90]]))</f>
        <v>0.14285714285714285</v>
      </c>
      <c r="Z3120" s="35">
        <f>IF(Mecze[[#This Row],[KC]]=0,SUM(Mecze[[#This Row],[/BRI]:[/NPI]]),SUM(Mecze[[#This Row],[/BRI]:[/NPI]])*0.6)</f>
        <v>0.81632653061224469</v>
      </c>
      <c r="AA3120" s="10">
        <f>IFERROR(Mecze[[#This Row],[BR]]/Mecze[[#This Row],[ST]],0)</f>
        <v>0.33333333333333331</v>
      </c>
      <c r="AB3120">
        <f>ROUND(Mecze[[#This Row],[PD]]*Mecze[[#This Row],[%PC]],0)</f>
        <v>7</v>
      </c>
      <c r="AC3120">
        <f>ROUND(Mecze[[#This Row],[OD]]*Mecze[[#This Row],[%OU]],0)</f>
        <v>2</v>
      </c>
      <c r="AD3120" s="36" t="s">
        <v>318</v>
      </c>
      <c r="AE3120" s="36">
        <v>175</v>
      </c>
      <c r="AF3120" s="71">
        <v>13.36</v>
      </c>
      <c r="AG3120" s="37">
        <v>0</v>
      </c>
      <c r="AH3120" s="37">
        <v>0</v>
      </c>
      <c r="AI3120" s="37">
        <v>98</v>
      </c>
      <c r="AJ3120" s="37">
        <v>11</v>
      </c>
      <c r="AK3120" s="37" t="str">
        <f>VLOOKUP(Mecze[[#This Row],[Match ID]],Meczusie[Mecz]:Meczusie[RodzajMeczu],2,FALSE)</f>
        <v>Liga</v>
      </c>
    </row>
    <row r="3121" spans="1:37" x14ac:dyDescent="0.25">
      <c r="A3121" s="76">
        <v>9</v>
      </c>
      <c r="B3121" s="3" t="s">
        <v>327</v>
      </c>
      <c r="C3121" s="2" t="s">
        <v>160</v>
      </c>
      <c r="D3121" s="1">
        <v>0</v>
      </c>
      <c r="E3121" s="1">
        <v>3</v>
      </c>
      <c r="F3121" s="1">
        <v>3</v>
      </c>
      <c r="G3121" s="1">
        <v>15</v>
      </c>
      <c r="H3121" s="4">
        <v>0.93</v>
      </c>
      <c r="I3121" s="1">
        <v>2</v>
      </c>
      <c r="J3121" s="4">
        <v>0.5</v>
      </c>
      <c r="K3121" s="1">
        <v>0</v>
      </c>
      <c r="L3121" s="1">
        <v>2</v>
      </c>
      <c r="M3121" s="32">
        <f>IF(Mecze[[#This Row],[PR]]=0,0,Mecze[[#This Row],[PR]]/Mecze[[#This Row],[CZAS]])</f>
        <v>2.0408163265306121E-2</v>
      </c>
      <c r="N3121" s="32">
        <f>IF(Mecze[[#This Row],[OU]]=0,0,Mecze[[#This Row],[OU]]/Mecze[[#This Row],[CZAS]])</f>
        <v>1.020408163265306E-2</v>
      </c>
      <c r="O3121" s="32">
        <f>IF(Mecze[[#This Row],[PC]]=0,0,Mecze[[#This Row],[PC]]/Mecze[[#This Row],[CZAS]])</f>
        <v>0.14285714285714285</v>
      </c>
      <c r="P3121" s="32">
        <f>IF(Mecze[[#This Row],[SC]]=0,0,Mecze[[#This Row],[SC]]/Mecze[[#This Row],[CZAS]])</f>
        <v>3.0612244897959183E-2</v>
      </c>
      <c r="Q3121" s="32">
        <f>IF(Mecze[[#This Row],[OB]]=0,0,Mecze[[#This Row],[OB]]/Mecze[[#This Row],[CZAS]])</f>
        <v>0</v>
      </c>
      <c r="R3121" s="32">
        <f>IF(Mecze[[#This Row],[BR]]=0,0,Mecze[[#This Row],[BR]]/Mecze[[#This Row],[CZAS]])</f>
        <v>0</v>
      </c>
      <c r="S3121" s="44">
        <f>IF(Mecze[[#This Row],[Role]]="BR",SUMPRODUCT(Mecze[[#This Row],[/PR:90]:[/BR:90]],Brudnopis!$E$23:$J$23),0)</f>
        <v>0</v>
      </c>
      <c r="T3121" s="44">
        <f>IF(Mecze[[#This Row],[Role]]&lt;&gt;"BR",SUMPRODUCT(Mecze[[#This Row],[/PR:90]:[/BR:90]],Brudnopis!$E$24:$J$24),0)</f>
        <v>0.20918367346938774</v>
      </c>
      <c r="U3121" s="44">
        <f>IF(Mecze[[#This Row],[Role]]&lt;&gt;"BR",SUMPRODUCT(Mecze[[#This Row],[/PR:90]:[/BR:90]],Brudnopis!$E$25:$J$25),0)</f>
        <v>0.27551020408163263</v>
      </c>
      <c r="V3121" s="44">
        <f>IF(Mecze[[#This Row],[Role]]&lt;&gt;"BR",SUMPRODUCT(Mecze[[#This Row],[/PR:90]:[/BR:90]],Brudnopis!$E$26:$J$26),0)</f>
        <v>0.20408163265306123</v>
      </c>
      <c r="W3121" s="44">
        <f>IF(Mecze[[#This Row],[Role]]&lt;&gt;"BR",SUMPRODUCT(Mecze[[#This Row],[/PR:90]:[/BR:90]],Brudnopis!$E$27:$J$27),0)</f>
        <v>0.26785714285714285</v>
      </c>
      <c r="X3121" s="44">
        <f>IF(Mecze[[#This Row],[Role]]&lt;&gt;"BR",SUMPRODUCT(Mecze[[#This Row],[/PR:90]:[/BR:90]],Brudnopis!$E$28:$J$28),0)</f>
        <v>0.20408163265306123</v>
      </c>
      <c r="Y3121" s="35">
        <f>IF(Mecze[[#This Row],[Role]]="BR",Mecze[[#This Row],[/OB:90]]+Mecze[[#This Row],[/PC:90]],SUM(Mecze[[#This Row],[/PR:90]:[/BR:90]]))</f>
        <v>0.20408163265306123</v>
      </c>
      <c r="Z3121" s="35">
        <f>IF(Mecze[[#This Row],[KC]]=0,SUM(Mecze[[#This Row],[/BRI]:[/NPI]]),SUM(Mecze[[#This Row],[/BRI]:[/NPI]])*0.6)</f>
        <v>1.1607142857142856</v>
      </c>
      <c r="AA3121" s="10">
        <f>IFERROR(Mecze[[#This Row],[BR]]/Mecze[[#This Row],[ST]],0)</f>
        <v>0</v>
      </c>
      <c r="AB3121">
        <f>ROUND(Mecze[[#This Row],[PD]]*Mecze[[#This Row],[%PC]],0)</f>
        <v>14</v>
      </c>
      <c r="AC3121">
        <f>ROUND(Mecze[[#This Row],[OD]]*Mecze[[#This Row],[%OU]],0)</f>
        <v>1</v>
      </c>
      <c r="AD3121" s="36" t="s">
        <v>44</v>
      </c>
      <c r="AE3121" s="36">
        <v>175</v>
      </c>
      <c r="AF3121" s="71">
        <v>10.27</v>
      </c>
      <c r="AG3121" s="37">
        <v>0</v>
      </c>
      <c r="AH3121" s="37">
        <v>0</v>
      </c>
      <c r="AI3121" s="37">
        <v>98</v>
      </c>
      <c r="AJ3121" s="37">
        <v>11</v>
      </c>
      <c r="AK3121" s="37" t="str">
        <f>VLOOKUP(Mecze[[#This Row],[Match ID]],Meczusie[Mecz]:Meczusie[RodzajMeczu],2,FALSE)</f>
        <v>Liga</v>
      </c>
    </row>
    <row r="3122" spans="1:37" x14ac:dyDescent="0.25">
      <c r="A3122" s="76">
        <v>10</v>
      </c>
      <c r="B3122" s="3" t="s">
        <v>328</v>
      </c>
      <c r="C3122" s="2" t="s">
        <v>165</v>
      </c>
      <c r="D3122" s="1">
        <v>1</v>
      </c>
      <c r="E3122" s="1">
        <v>3</v>
      </c>
      <c r="F3122" s="1">
        <v>2</v>
      </c>
      <c r="G3122" s="1">
        <v>6</v>
      </c>
      <c r="H3122" s="4">
        <v>0.33</v>
      </c>
      <c r="I3122" s="1">
        <v>0</v>
      </c>
      <c r="J3122" s="4"/>
      <c r="K3122" s="1">
        <v>0</v>
      </c>
      <c r="L3122" s="1">
        <v>3</v>
      </c>
      <c r="M3122" s="32">
        <f>IF(Mecze[[#This Row],[PR]]=0,0,Mecze[[#This Row],[PR]]/Mecze[[#This Row],[CZAS]])</f>
        <v>3.0612244897959183E-2</v>
      </c>
      <c r="N3122" s="32">
        <f>IF(Mecze[[#This Row],[OU]]=0,0,Mecze[[#This Row],[OU]]/Mecze[[#This Row],[CZAS]])</f>
        <v>0</v>
      </c>
      <c r="O3122" s="32">
        <f>IF(Mecze[[#This Row],[PC]]=0,0,Mecze[[#This Row],[PC]]/Mecze[[#This Row],[CZAS]])</f>
        <v>2.0408163265306121E-2</v>
      </c>
      <c r="P3122" s="32">
        <f>IF(Mecze[[#This Row],[SC]]=0,0,Mecze[[#This Row],[SC]]/Mecze[[#This Row],[CZAS]])</f>
        <v>2.0408163265306121E-2</v>
      </c>
      <c r="Q3122" s="32">
        <f>IF(Mecze[[#This Row],[OB]]=0,0,Mecze[[#This Row],[OB]]/Mecze[[#This Row],[CZAS]])</f>
        <v>0</v>
      </c>
      <c r="R3122" s="32">
        <f>IF(Mecze[[#This Row],[BR]]=0,0,Mecze[[#This Row],[BR]]/Mecze[[#This Row],[CZAS]])</f>
        <v>1.020408163265306E-2</v>
      </c>
      <c r="S3122" s="44">
        <f>IF(Mecze[[#This Row],[Role]]="BR",SUMPRODUCT(Mecze[[#This Row],[/PR:90]:[/BR:90]],Brudnopis!$E$23:$J$23),0)</f>
        <v>0</v>
      </c>
      <c r="T3122" s="44">
        <f>IF(Mecze[[#This Row],[Role]]&lt;&gt;"BR",SUMPRODUCT(Mecze[[#This Row],[/PR:90]:[/BR:90]],Brudnopis!$E$24:$J$24),0)</f>
        <v>8.673469387755102E-2</v>
      </c>
      <c r="U3122" s="44">
        <f>IF(Mecze[[#This Row],[Role]]&lt;&gt;"BR",SUMPRODUCT(Mecze[[#This Row],[/PR:90]:[/BR:90]],Brudnopis!$E$25:$J$25),0)</f>
        <v>9.6938775510204078E-2</v>
      </c>
      <c r="V3122" s="44">
        <f>IF(Mecze[[#This Row],[Role]]&lt;&gt;"BR",SUMPRODUCT(Mecze[[#This Row],[/PR:90]:[/BR:90]],Brudnopis!$E$26:$J$26),0)</f>
        <v>9.1836734693877542E-2</v>
      </c>
      <c r="W3122" s="44">
        <f>IF(Mecze[[#This Row],[Role]]&lt;&gt;"BR",SUMPRODUCT(Mecze[[#This Row],[/PR:90]:[/BR:90]],Brudnopis!$E$27:$J$27),0)</f>
        <v>9.438775510204081E-2</v>
      </c>
      <c r="X3122" s="44">
        <f>IF(Mecze[[#This Row],[Role]]&lt;&gt;"BR",SUMPRODUCT(Mecze[[#This Row],[/PR:90]:[/BR:90]],Brudnopis!$E$28:$J$28),0)</f>
        <v>9.1836734693877542E-2</v>
      </c>
      <c r="Y3122" s="35">
        <f>IF(Mecze[[#This Row],[Role]]="BR",Mecze[[#This Row],[/OB:90]]+Mecze[[#This Row],[/PC:90]],SUM(Mecze[[#This Row],[/PR:90]:[/BR:90]]))</f>
        <v>8.1632653061224483E-2</v>
      </c>
      <c r="Z3122" s="35">
        <f>IF(Mecze[[#This Row],[KC]]=0,SUM(Mecze[[#This Row],[/BRI]:[/NPI]]),SUM(Mecze[[#This Row],[/BRI]:[/NPI]])*0.6)</f>
        <v>0.46173469387755095</v>
      </c>
      <c r="AA3122" s="10">
        <f>IFERROR(Mecze[[#This Row],[BR]]/Mecze[[#This Row],[ST]],0)</f>
        <v>0.33333333333333331</v>
      </c>
      <c r="AB3122">
        <f>ROUND(Mecze[[#This Row],[PD]]*Mecze[[#This Row],[%PC]],0)</f>
        <v>2</v>
      </c>
      <c r="AC3122">
        <f>ROUND(Mecze[[#This Row],[OD]]*Mecze[[#This Row],[%OU]],0)</f>
        <v>0</v>
      </c>
      <c r="AD3122" s="36" t="s">
        <v>46</v>
      </c>
      <c r="AE3122" s="36">
        <v>175</v>
      </c>
      <c r="AF3122" s="71">
        <v>6.67</v>
      </c>
      <c r="AG3122" s="37">
        <v>0</v>
      </c>
      <c r="AH3122" s="37">
        <v>0</v>
      </c>
      <c r="AI3122" s="37">
        <v>98</v>
      </c>
      <c r="AJ3122" s="37">
        <v>11</v>
      </c>
      <c r="AK3122" s="37" t="str">
        <f>VLOOKUP(Mecze[[#This Row],[Match ID]],Meczusie[Mecz]:Meczusie[RodzajMeczu],2,FALSE)</f>
        <v>Liga</v>
      </c>
    </row>
    <row r="3123" spans="1:37" x14ac:dyDescent="0.25">
      <c r="A3123" s="76">
        <v>11</v>
      </c>
      <c r="B3123" s="3" t="s">
        <v>329</v>
      </c>
      <c r="C3123" s="2" t="s">
        <v>165</v>
      </c>
      <c r="D3123" s="1">
        <v>2</v>
      </c>
      <c r="E3123" s="1">
        <v>6</v>
      </c>
      <c r="F3123" s="1">
        <v>5</v>
      </c>
      <c r="G3123" s="1">
        <v>9</v>
      </c>
      <c r="H3123" s="4">
        <v>0.78</v>
      </c>
      <c r="I3123" s="1">
        <v>0</v>
      </c>
      <c r="J3123" s="4"/>
      <c r="K3123" s="1">
        <v>0</v>
      </c>
      <c r="L3123" s="1">
        <v>0</v>
      </c>
      <c r="M3123" s="32">
        <f>IF(Mecze[[#This Row],[PR]]=0,0,Mecze[[#This Row],[PR]]/Mecze[[#This Row],[CZAS]])</f>
        <v>0</v>
      </c>
      <c r="N3123" s="32">
        <f>IF(Mecze[[#This Row],[OU]]=0,0,Mecze[[#This Row],[OU]]/Mecze[[#This Row],[CZAS]])</f>
        <v>0</v>
      </c>
      <c r="O3123" s="32">
        <f>IF(Mecze[[#This Row],[PC]]=0,0,Mecze[[#This Row],[PC]]/Mecze[[#This Row],[CZAS]])</f>
        <v>7.1428571428571425E-2</v>
      </c>
      <c r="P3123" s="32">
        <f>IF(Mecze[[#This Row],[SC]]=0,0,Mecze[[#This Row],[SC]]/Mecze[[#This Row],[CZAS]])</f>
        <v>5.1020408163265307E-2</v>
      </c>
      <c r="Q3123" s="32">
        <f>IF(Mecze[[#This Row],[OB]]=0,0,Mecze[[#This Row],[OB]]/Mecze[[#This Row],[CZAS]])</f>
        <v>0</v>
      </c>
      <c r="R3123" s="32">
        <f>IF(Mecze[[#This Row],[BR]]=0,0,Mecze[[#This Row],[BR]]/Mecze[[#This Row],[CZAS]])</f>
        <v>2.0408163265306121E-2</v>
      </c>
      <c r="S3123" s="44">
        <f>IF(Mecze[[#This Row],[Role]]="BR",SUMPRODUCT(Mecze[[#This Row],[/PR:90]:[/BR:90]],Brudnopis!$E$23:$J$23),0)</f>
        <v>0</v>
      </c>
      <c r="T3123" s="44">
        <f>IF(Mecze[[#This Row],[Role]]&lt;&gt;"BR",SUMPRODUCT(Mecze[[#This Row],[/PR:90]:[/BR:90]],Brudnopis!$E$24:$J$24),0)</f>
        <v>0.15306122448979592</v>
      </c>
      <c r="U3123" s="44">
        <f>IF(Mecze[[#This Row],[Role]]&lt;&gt;"BR",SUMPRODUCT(Mecze[[#This Row],[/PR:90]:[/BR:90]],Brudnopis!$E$25:$J$25),0)</f>
        <v>0.18877551020408165</v>
      </c>
      <c r="V3123" s="44">
        <f>IF(Mecze[[#This Row],[Role]]&lt;&gt;"BR",SUMPRODUCT(Mecze[[#This Row],[/PR:90]:[/BR:90]],Brudnopis!$E$26:$J$26),0)</f>
        <v>0.16326530612244897</v>
      </c>
      <c r="W3123" s="44">
        <f>IF(Mecze[[#This Row],[Role]]&lt;&gt;"BR",SUMPRODUCT(Mecze[[#This Row],[/PR:90]:[/BR:90]],Brudnopis!$E$27:$J$27),0)</f>
        <v>0.19897959183673469</v>
      </c>
      <c r="X3123" s="44">
        <f>IF(Mecze[[#This Row],[Role]]&lt;&gt;"BR",SUMPRODUCT(Mecze[[#This Row],[/PR:90]:[/BR:90]],Brudnopis!$E$28:$J$28),0)</f>
        <v>0.23469387755102039</v>
      </c>
      <c r="Y3123" s="35">
        <f>IF(Mecze[[#This Row],[Role]]="BR",Mecze[[#This Row],[/OB:90]]+Mecze[[#This Row],[/PC:90]],SUM(Mecze[[#This Row],[/PR:90]:[/BR:90]]))</f>
        <v>0.14285714285714285</v>
      </c>
      <c r="Z3123" s="35">
        <f>IF(Mecze[[#This Row],[KC]]=0,SUM(Mecze[[#This Row],[/BRI]:[/NPI]]),SUM(Mecze[[#This Row],[/BRI]:[/NPI]])*0.6)</f>
        <v>0.93877551020408156</v>
      </c>
      <c r="AA3123" s="10">
        <f>IFERROR(Mecze[[#This Row],[BR]]/Mecze[[#This Row],[ST]],0)</f>
        <v>0.33333333333333331</v>
      </c>
      <c r="AB3123">
        <f>ROUND(Mecze[[#This Row],[PD]]*Mecze[[#This Row],[%PC]],0)</f>
        <v>7</v>
      </c>
      <c r="AC3123">
        <f>ROUND(Mecze[[#This Row],[OD]]*Mecze[[#This Row],[%OU]],0)</f>
        <v>0</v>
      </c>
      <c r="AD3123" s="36" t="s">
        <v>273</v>
      </c>
      <c r="AE3123" s="36">
        <v>175</v>
      </c>
      <c r="AF3123" s="71">
        <v>10.96</v>
      </c>
      <c r="AG3123" s="37">
        <v>0</v>
      </c>
      <c r="AH3123" s="37">
        <v>0</v>
      </c>
      <c r="AI3123" s="37">
        <v>98</v>
      </c>
      <c r="AJ3123" s="37">
        <v>11</v>
      </c>
      <c r="AK3123" s="37" t="str">
        <f>VLOOKUP(Mecze[[#This Row],[Match ID]],Meczusie[Mecz]:Meczusie[RodzajMeczu],2,FALSE)</f>
        <v>Liga</v>
      </c>
    </row>
    <row r="3124" spans="1:37" x14ac:dyDescent="0.25">
      <c r="A3124" s="76">
        <v>14</v>
      </c>
      <c r="B3124" s="3" t="s">
        <v>330</v>
      </c>
      <c r="C3124" s="2" t="s">
        <v>165</v>
      </c>
      <c r="D3124" s="1">
        <v>7</v>
      </c>
      <c r="E3124" s="1">
        <v>16</v>
      </c>
      <c r="F3124" s="1">
        <v>12</v>
      </c>
      <c r="G3124" s="1">
        <v>5</v>
      </c>
      <c r="H3124" s="4">
        <v>0.8</v>
      </c>
      <c r="I3124" s="1">
        <v>0</v>
      </c>
      <c r="J3124" s="4"/>
      <c r="K3124" s="1">
        <v>0</v>
      </c>
      <c r="L3124" s="1">
        <v>1</v>
      </c>
      <c r="M3124" s="32">
        <f>IF(Mecze[[#This Row],[PR]]=0,0,Mecze[[#This Row],[PR]]/Mecze[[#This Row],[CZAS]])</f>
        <v>1.020408163265306E-2</v>
      </c>
      <c r="N3124" s="32">
        <f>IF(Mecze[[#This Row],[OU]]=0,0,Mecze[[#This Row],[OU]]/Mecze[[#This Row],[CZAS]])</f>
        <v>0</v>
      </c>
      <c r="O3124" s="32">
        <f>IF(Mecze[[#This Row],[PC]]=0,0,Mecze[[#This Row],[PC]]/Mecze[[#This Row],[CZAS]])</f>
        <v>4.0816326530612242E-2</v>
      </c>
      <c r="P3124" s="32">
        <f>IF(Mecze[[#This Row],[SC]]=0,0,Mecze[[#This Row],[SC]]/Mecze[[#This Row],[CZAS]])</f>
        <v>0.12244897959183673</v>
      </c>
      <c r="Q3124" s="32">
        <f>IF(Mecze[[#This Row],[OB]]=0,0,Mecze[[#This Row],[OB]]/Mecze[[#This Row],[CZAS]])</f>
        <v>0</v>
      </c>
      <c r="R3124" s="32">
        <f>IF(Mecze[[#This Row],[BR]]=0,0,Mecze[[#This Row],[BR]]/Mecze[[#This Row],[CZAS]])</f>
        <v>7.1428571428571425E-2</v>
      </c>
      <c r="S3124" s="44">
        <f>IF(Mecze[[#This Row],[Role]]="BR",SUMPRODUCT(Mecze[[#This Row],[/PR:90]:[/BR:90]],Brudnopis!$E$23:$J$23),0)</f>
        <v>0</v>
      </c>
      <c r="T3124" s="44">
        <f>IF(Mecze[[#This Row],[Role]]&lt;&gt;"BR",SUMPRODUCT(Mecze[[#This Row],[/PR:90]:[/BR:90]],Brudnopis!$E$24:$J$24),0)</f>
        <v>0.28061224489795916</v>
      </c>
      <c r="U3124" s="44">
        <f>IF(Mecze[[#This Row],[Role]]&lt;&gt;"BR",SUMPRODUCT(Mecze[[#This Row],[/PR:90]:[/BR:90]],Brudnopis!$E$25:$J$25),0)</f>
        <v>0.30102040816326531</v>
      </c>
      <c r="V3124" s="44">
        <f>IF(Mecze[[#This Row],[Role]]&lt;&gt;"BR",SUMPRODUCT(Mecze[[#This Row],[/PR:90]:[/BR:90]],Brudnopis!$E$26:$J$26),0)</f>
        <v>0.31632653061224492</v>
      </c>
      <c r="W3124" s="44">
        <f>IF(Mecze[[#This Row],[Role]]&lt;&gt;"BR",SUMPRODUCT(Mecze[[#This Row],[/PR:90]:[/BR:90]],Brudnopis!$E$27:$J$27),0)</f>
        <v>0.33418367346938771</v>
      </c>
      <c r="X3124" s="44">
        <f>IF(Mecze[[#This Row],[Role]]&lt;&gt;"BR",SUMPRODUCT(Mecze[[#This Row],[/PR:90]:[/BR:90]],Brudnopis!$E$28:$J$28),0)</f>
        <v>0.5</v>
      </c>
      <c r="Y3124" s="35">
        <f>IF(Mecze[[#This Row],[Role]]="BR",Mecze[[#This Row],[/OB:90]]+Mecze[[#This Row],[/PC:90]],SUM(Mecze[[#This Row],[/PR:90]:[/BR:90]]))</f>
        <v>0.24489795918367346</v>
      </c>
      <c r="Z3124" s="35">
        <f>IF(Mecze[[#This Row],[KC]]=0,SUM(Mecze[[#This Row],[/BRI]:[/NPI]]),SUM(Mecze[[#This Row],[/BRI]:[/NPI]])*0.6)</f>
        <v>1.7321428571428572</v>
      </c>
      <c r="AA3124" s="10">
        <f>IFERROR(Mecze[[#This Row],[BR]]/Mecze[[#This Row],[ST]],0)</f>
        <v>0.4375</v>
      </c>
      <c r="AB3124">
        <f>ROUND(Mecze[[#This Row],[PD]]*Mecze[[#This Row],[%PC]],0)</f>
        <v>4</v>
      </c>
      <c r="AC3124">
        <f>ROUND(Mecze[[#This Row],[OD]]*Mecze[[#This Row],[%OU]],0)</f>
        <v>0</v>
      </c>
      <c r="AD3124" s="36" t="s">
        <v>272</v>
      </c>
      <c r="AE3124" s="36">
        <v>175</v>
      </c>
      <c r="AF3124" s="71">
        <v>24.92</v>
      </c>
      <c r="AG3124" s="37">
        <v>0</v>
      </c>
      <c r="AH3124" s="37">
        <v>0</v>
      </c>
      <c r="AI3124" s="37">
        <v>98</v>
      </c>
      <c r="AJ3124" s="37">
        <v>11</v>
      </c>
      <c r="AK3124" s="37" t="str">
        <f>VLOOKUP(Mecze[[#This Row],[Match ID]],Meczusie[Mecz]:Meczusie[RodzajMeczu],2,FALSE)</f>
        <v>Liga</v>
      </c>
    </row>
    <row r="3125" spans="1:37" x14ac:dyDescent="0.25">
      <c r="A3125" s="76">
        <v>3</v>
      </c>
      <c r="B3125" s="3" t="s">
        <v>222</v>
      </c>
      <c r="C3125" s="2" t="s">
        <v>155</v>
      </c>
      <c r="D3125" s="1">
        <v>0</v>
      </c>
      <c r="E3125" s="1">
        <v>0</v>
      </c>
      <c r="F3125" s="1">
        <v>0</v>
      </c>
      <c r="G3125" s="1">
        <v>14</v>
      </c>
      <c r="H3125" s="4">
        <v>0.56999999999999995</v>
      </c>
      <c r="I3125" s="1">
        <v>0</v>
      </c>
      <c r="J3125" s="4"/>
      <c r="K3125" s="1">
        <v>11</v>
      </c>
      <c r="L3125" s="1">
        <v>0</v>
      </c>
      <c r="M3125" s="32">
        <f>IF(Mecze[[#This Row],[PR]]=0,0,Mecze[[#This Row],[PR]]/Mecze[[#This Row],[CZAS]])</f>
        <v>0</v>
      </c>
      <c r="N3125" s="32">
        <f>IF(Mecze[[#This Row],[OU]]=0,0,Mecze[[#This Row],[OU]]/Mecze[[#This Row],[CZAS]])</f>
        <v>0</v>
      </c>
      <c r="O3125" s="32">
        <f>IF(Mecze[[#This Row],[PC]]=0,0,Mecze[[#This Row],[PC]]/Mecze[[#This Row],[CZAS]])</f>
        <v>8.1632653061224483E-2</v>
      </c>
      <c r="P3125" s="32">
        <f>IF(Mecze[[#This Row],[SC]]=0,0,Mecze[[#This Row],[SC]]/Mecze[[#This Row],[CZAS]])</f>
        <v>0</v>
      </c>
      <c r="Q3125" s="32">
        <f>IF(Mecze[[#This Row],[OB]]=0,0,Mecze[[#This Row],[OB]]/Mecze[[#This Row],[CZAS]])</f>
        <v>0.11224489795918367</v>
      </c>
      <c r="R3125" s="32">
        <f>IF(Mecze[[#This Row],[BR]]=0,0,Mecze[[#This Row],[BR]]/Mecze[[#This Row],[CZAS]])</f>
        <v>0</v>
      </c>
      <c r="S3125" s="44">
        <f>IF(Mecze[[#This Row],[Role]]="BR",SUMPRODUCT(Mecze[[#This Row],[/PR:90]:[/BR:90]],Brudnopis!$E$23:$J$23),0)</f>
        <v>0.58163265306122447</v>
      </c>
      <c r="T3125" s="44">
        <f>IF(Mecze[[#This Row],[Role]]&lt;&gt;"BR",SUMPRODUCT(Mecze[[#This Row],[/PR:90]:[/BR:90]],Brudnopis!$E$24:$J$24),0)</f>
        <v>0</v>
      </c>
      <c r="U3125" s="44">
        <f>IF(Mecze[[#This Row],[Role]]&lt;&gt;"BR",SUMPRODUCT(Mecze[[#This Row],[/PR:90]:[/BR:90]],Brudnopis!$E$25:$J$25),0)</f>
        <v>0</v>
      </c>
      <c r="V3125" s="44">
        <f>IF(Mecze[[#This Row],[Role]]&lt;&gt;"BR",SUMPRODUCT(Mecze[[#This Row],[/PR:90]:[/BR:90]],Brudnopis!$E$26:$J$26),0)</f>
        <v>0</v>
      </c>
      <c r="W3125" s="44">
        <f>IF(Mecze[[#This Row],[Role]]&lt;&gt;"BR",SUMPRODUCT(Mecze[[#This Row],[/PR:90]:[/BR:90]],Brudnopis!$E$27:$J$27),0)</f>
        <v>0</v>
      </c>
      <c r="X3125" s="44">
        <f>IF(Mecze[[#This Row],[Role]]&lt;&gt;"BR",SUMPRODUCT(Mecze[[#This Row],[/PR:90]:[/BR:90]],Brudnopis!$E$28:$J$28),0)</f>
        <v>0</v>
      </c>
      <c r="Y3125" s="35">
        <f>IF(Mecze[[#This Row],[Role]]="BR",Mecze[[#This Row],[/OB:90]]+Mecze[[#This Row],[/PC:90]],SUM(Mecze[[#This Row],[/PR:90]:[/BR:90]]))</f>
        <v>0.19387755102040816</v>
      </c>
      <c r="Z3125" s="35">
        <f>IF(Mecze[[#This Row],[KC]]=0,SUM(Mecze[[#This Row],[/BRI]:[/NPI]]),SUM(Mecze[[#This Row],[/BRI]:[/NPI]])*0.6)</f>
        <v>0.58163265306122447</v>
      </c>
      <c r="AA3125" s="10">
        <f>IFERROR(Mecze[[#This Row],[BR]]/Mecze[[#This Row],[ST]],0)</f>
        <v>0</v>
      </c>
      <c r="AB3125">
        <f>ROUND(Mecze[[#This Row],[PD]]*Mecze[[#This Row],[%PC]],0)</f>
        <v>8</v>
      </c>
      <c r="AC3125">
        <f>ROUND(Mecze[[#This Row],[OD]]*Mecze[[#This Row],[%OU]],0)</f>
        <v>0</v>
      </c>
      <c r="AD3125" s="36" t="s">
        <v>40</v>
      </c>
      <c r="AE3125" s="36">
        <v>175</v>
      </c>
      <c r="AF3125" s="71">
        <v>3.32</v>
      </c>
      <c r="AG3125" s="37">
        <v>0</v>
      </c>
      <c r="AH3125" s="37">
        <v>0</v>
      </c>
      <c r="AI3125" s="37">
        <v>98</v>
      </c>
      <c r="AJ3125" s="37">
        <v>2</v>
      </c>
      <c r="AK3125" s="37" t="str">
        <f>VLOOKUP(Mecze[[#This Row],[Match ID]],Meczusie[Mecz]:Meczusie[RodzajMeczu],2,FALSE)</f>
        <v>Liga</v>
      </c>
    </row>
    <row r="3126" spans="1:37" x14ac:dyDescent="0.25">
      <c r="A3126" s="76">
        <v>47</v>
      </c>
      <c r="B3126" s="3" t="s">
        <v>502</v>
      </c>
      <c r="C3126" s="2" t="s">
        <v>157</v>
      </c>
      <c r="D3126" s="1">
        <v>0</v>
      </c>
      <c r="E3126" s="1">
        <v>0</v>
      </c>
      <c r="F3126" s="1">
        <v>0</v>
      </c>
      <c r="G3126" s="1">
        <v>7</v>
      </c>
      <c r="H3126" s="4">
        <v>0.14000000000000001</v>
      </c>
      <c r="I3126" s="1">
        <v>7</v>
      </c>
      <c r="J3126" s="4">
        <v>0.14000000000000001</v>
      </c>
      <c r="K3126" s="1">
        <v>0</v>
      </c>
      <c r="L3126" s="1">
        <v>2</v>
      </c>
      <c r="M3126" s="32">
        <f>IF(Mecze[[#This Row],[PR]]=0,0,Mecze[[#This Row],[PR]]/Mecze[[#This Row],[CZAS]])</f>
        <v>2.0408163265306121E-2</v>
      </c>
      <c r="N3126" s="32">
        <f>IF(Mecze[[#This Row],[OU]]=0,0,Mecze[[#This Row],[OU]]/Mecze[[#This Row],[CZAS]])</f>
        <v>1.020408163265306E-2</v>
      </c>
      <c r="O3126" s="32">
        <f>IF(Mecze[[#This Row],[PC]]=0,0,Mecze[[#This Row],[PC]]/Mecze[[#This Row],[CZAS]])</f>
        <v>1.020408163265306E-2</v>
      </c>
      <c r="P3126" s="32">
        <f>IF(Mecze[[#This Row],[SC]]=0,0,Mecze[[#This Row],[SC]]/Mecze[[#This Row],[CZAS]])</f>
        <v>0</v>
      </c>
      <c r="Q3126" s="32">
        <f>IF(Mecze[[#This Row],[OB]]=0,0,Mecze[[#This Row],[OB]]/Mecze[[#This Row],[CZAS]])</f>
        <v>0</v>
      </c>
      <c r="R3126" s="32">
        <f>IF(Mecze[[#This Row],[BR]]=0,0,Mecze[[#This Row],[BR]]/Mecze[[#This Row],[CZAS]])</f>
        <v>0</v>
      </c>
      <c r="S3126" s="44">
        <f>IF(Mecze[[#This Row],[Role]]="BR",SUMPRODUCT(Mecze[[#This Row],[/PR:90]:[/BR:90]],Brudnopis!$E$23:$J$23),0)</f>
        <v>0</v>
      </c>
      <c r="T3126" s="44">
        <f>IF(Mecze[[#This Row],[Role]]&lt;&gt;"BR",SUMPRODUCT(Mecze[[#This Row],[/PR:90]:[/BR:90]],Brudnopis!$E$24:$J$24),0)</f>
        <v>4.5918367346938771E-2</v>
      </c>
      <c r="U3126" s="44">
        <f>IF(Mecze[[#This Row],[Role]]&lt;&gt;"BR",SUMPRODUCT(Mecze[[#This Row],[/PR:90]:[/BR:90]],Brudnopis!$E$25:$J$25),0)</f>
        <v>4.5918367346938771E-2</v>
      </c>
      <c r="V3126" s="44">
        <f>IF(Mecze[[#This Row],[Role]]&lt;&gt;"BR",SUMPRODUCT(Mecze[[#This Row],[/PR:90]:[/BR:90]],Brudnopis!$E$26:$J$26),0)</f>
        <v>4.0816326530612242E-2</v>
      </c>
      <c r="W3126" s="44">
        <f>IF(Mecze[[#This Row],[Role]]&lt;&gt;"BR",SUMPRODUCT(Mecze[[#This Row],[/PR:90]:[/BR:90]],Brudnopis!$E$27:$J$27),0)</f>
        <v>3.826530612244898E-2</v>
      </c>
      <c r="X3126" s="44">
        <f>IF(Mecze[[#This Row],[Role]]&lt;&gt;"BR",SUMPRODUCT(Mecze[[#This Row],[/PR:90]:[/BR:90]],Brudnopis!$E$28:$J$28),0)</f>
        <v>1.020408163265306E-2</v>
      </c>
      <c r="Y3126" s="35">
        <f>IF(Mecze[[#This Row],[Role]]="BR",Mecze[[#This Row],[/OB:90]]+Mecze[[#This Row],[/PC:90]],SUM(Mecze[[#This Row],[/PR:90]:[/BR:90]]))</f>
        <v>4.0816326530612242E-2</v>
      </c>
      <c r="Z3126" s="35">
        <f>IF(Mecze[[#This Row],[KC]]=0,SUM(Mecze[[#This Row],[/BRI]:[/NPI]]),SUM(Mecze[[#This Row],[/BRI]:[/NPI]])*0.6)</f>
        <v>0.18112244897959184</v>
      </c>
      <c r="AA3126" s="10">
        <f>IFERROR(Mecze[[#This Row],[BR]]/Mecze[[#This Row],[ST]],0)</f>
        <v>0</v>
      </c>
      <c r="AB3126">
        <f>ROUND(Mecze[[#This Row],[PD]]*Mecze[[#This Row],[%PC]],0)</f>
        <v>1</v>
      </c>
      <c r="AC3126">
        <f>ROUND(Mecze[[#This Row],[OD]]*Mecze[[#This Row],[%OU]],0)</f>
        <v>1</v>
      </c>
      <c r="AD3126" s="36" t="s">
        <v>174</v>
      </c>
      <c r="AE3126" s="36">
        <v>175</v>
      </c>
      <c r="AF3126" s="71">
        <v>-2.44</v>
      </c>
      <c r="AG3126" s="37">
        <v>1</v>
      </c>
      <c r="AH3126" s="37">
        <v>0</v>
      </c>
      <c r="AI3126" s="37">
        <v>98</v>
      </c>
      <c r="AJ3126" s="37">
        <v>2</v>
      </c>
      <c r="AK3126" s="37" t="str">
        <f>VLOOKUP(Mecze[[#This Row],[Match ID]],Meczusie[Mecz]:Meczusie[RodzajMeczu],2,FALSE)</f>
        <v>Liga</v>
      </c>
    </row>
    <row r="3127" spans="1:37" x14ac:dyDescent="0.25">
      <c r="A3127" s="76">
        <v>40</v>
      </c>
      <c r="B3127" s="3" t="s">
        <v>498</v>
      </c>
      <c r="C3127" s="2" t="s">
        <v>157</v>
      </c>
      <c r="D3127" s="1">
        <v>0</v>
      </c>
      <c r="E3127" s="1">
        <v>0</v>
      </c>
      <c r="F3127" s="1">
        <v>0</v>
      </c>
      <c r="G3127" s="1">
        <v>4</v>
      </c>
      <c r="H3127" s="4">
        <v>0</v>
      </c>
      <c r="I3127" s="1">
        <v>1</v>
      </c>
      <c r="J3127" s="4">
        <v>0</v>
      </c>
      <c r="K3127" s="1">
        <v>0</v>
      </c>
      <c r="L3127" s="1">
        <v>1</v>
      </c>
      <c r="M3127" s="32">
        <f>IF(Mecze[[#This Row],[PR]]=0,0,Mecze[[#This Row],[PR]]/Mecze[[#This Row],[CZAS]])</f>
        <v>1.020408163265306E-2</v>
      </c>
      <c r="N3127" s="32">
        <f>IF(Mecze[[#This Row],[OU]]=0,0,Mecze[[#This Row],[OU]]/Mecze[[#This Row],[CZAS]])</f>
        <v>0</v>
      </c>
      <c r="O3127" s="32">
        <f>IF(Mecze[[#This Row],[PC]]=0,0,Mecze[[#This Row],[PC]]/Mecze[[#This Row],[CZAS]])</f>
        <v>0</v>
      </c>
      <c r="P3127" s="32">
        <f>IF(Mecze[[#This Row],[SC]]=0,0,Mecze[[#This Row],[SC]]/Mecze[[#This Row],[CZAS]])</f>
        <v>0</v>
      </c>
      <c r="Q3127" s="32">
        <f>IF(Mecze[[#This Row],[OB]]=0,0,Mecze[[#This Row],[OB]]/Mecze[[#This Row],[CZAS]])</f>
        <v>0</v>
      </c>
      <c r="R3127" s="32">
        <f>IF(Mecze[[#This Row],[BR]]=0,0,Mecze[[#This Row],[BR]]/Mecze[[#This Row],[CZAS]])</f>
        <v>0</v>
      </c>
      <c r="S3127" s="44">
        <f>IF(Mecze[[#This Row],[Role]]="BR",SUMPRODUCT(Mecze[[#This Row],[/PR:90]:[/BR:90]],Brudnopis!$E$23:$J$23),0)</f>
        <v>0</v>
      </c>
      <c r="T3127" s="44">
        <f>IF(Mecze[[#This Row],[Role]]&lt;&gt;"BR",SUMPRODUCT(Mecze[[#This Row],[/PR:90]:[/BR:90]],Brudnopis!$E$24:$J$24),0)</f>
        <v>1.020408163265306E-2</v>
      </c>
      <c r="U3127" s="44">
        <f>IF(Mecze[[#This Row],[Role]]&lt;&gt;"BR",SUMPRODUCT(Mecze[[#This Row],[/PR:90]:[/BR:90]],Brudnopis!$E$25:$J$25),0)</f>
        <v>1.020408163265306E-2</v>
      </c>
      <c r="V3127" s="44">
        <f>IF(Mecze[[#This Row],[Role]]&lt;&gt;"BR",SUMPRODUCT(Mecze[[#This Row],[/PR:90]:[/BR:90]],Brudnopis!$E$26:$J$26),0)</f>
        <v>1.020408163265306E-2</v>
      </c>
      <c r="W3127" s="44">
        <f>IF(Mecze[[#This Row],[Role]]&lt;&gt;"BR",SUMPRODUCT(Mecze[[#This Row],[/PR:90]:[/BR:90]],Brudnopis!$E$27:$J$27),0)</f>
        <v>7.6530612244897957E-3</v>
      </c>
      <c r="X3127" s="44">
        <f>IF(Mecze[[#This Row],[Role]]&lt;&gt;"BR",SUMPRODUCT(Mecze[[#This Row],[/PR:90]:[/BR:90]],Brudnopis!$E$28:$J$28),0)</f>
        <v>0</v>
      </c>
      <c r="Y3127" s="35">
        <f>IF(Mecze[[#This Row],[Role]]="BR",Mecze[[#This Row],[/OB:90]]+Mecze[[#This Row],[/PC:90]],SUM(Mecze[[#This Row],[/PR:90]:[/BR:90]]))</f>
        <v>1.020408163265306E-2</v>
      </c>
      <c r="Z3127" s="35">
        <f>IF(Mecze[[#This Row],[KC]]=0,SUM(Mecze[[#This Row],[/BRI]:[/NPI]]),SUM(Mecze[[#This Row],[/BRI]:[/NPI]])*0.6)</f>
        <v>3.826530612244898E-2</v>
      </c>
      <c r="AA3127" s="10">
        <f>IFERROR(Mecze[[#This Row],[BR]]/Mecze[[#This Row],[ST]],0)</f>
        <v>0</v>
      </c>
      <c r="AB3127">
        <f>ROUND(Mecze[[#This Row],[PD]]*Mecze[[#This Row],[%PC]],0)</f>
        <v>0</v>
      </c>
      <c r="AC3127">
        <f>ROUND(Mecze[[#This Row],[OD]]*Mecze[[#This Row],[%OU]],0)</f>
        <v>0</v>
      </c>
      <c r="AD3127" s="36" t="s">
        <v>47</v>
      </c>
      <c r="AE3127" s="36">
        <v>175</v>
      </c>
      <c r="AF3127" s="71">
        <v>-1.54</v>
      </c>
      <c r="AG3127" s="37">
        <v>0</v>
      </c>
      <c r="AH3127" s="37">
        <v>0</v>
      </c>
      <c r="AI3127" s="37">
        <v>98</v>
      </c>
      <c r="AJ3127" s="37">
        <v>2</v>
      </c>
      <c r="AK3127" s="37" t="str">
        <f>VLOOKUP(Mecze[[#This Row],[Match ID]],Meczusie[Mecz]:Meczusie[RodzajMeczu],2,FALSE)</f>
        <v>Liga</v>
      </c>
    </row>
    <row r="3128" spans="1:37" x14ac:dyDescent="0.25">
      <c r="A3128" s="76">
        <v>37</v>
      </c>
      <c r="B3128" s="3" t="s">
        <v>499</v>
      </c>
      <c r="C3128" s="2" t="s">
        <v>157</v>
      </c>
      <c r="D3128" s="1">
        <v>0</v>
      </c>
      <c r="E3128" s="1">
        <v>0</v>
      </c>
      <c r="F3128" s="1">
        <v>0</v>
      </c>
      <c r="G3128" s="1">
        <v>12</v>
      </c>
      <c r="H3128" s="4">
        <v>0.5</v>
      </c>
      <c r="I3128" s="1">
        <v>7</v>
      </c>
      <c r="J3128" s="4">
        <v>0.28999999999999998</v>
      </c>
      <c r="K3128" s="1">
        <v>0</v>
      </c>
      <c r="L3128" s="1">
        <v>8</v>
      </c>
      <c r="M3128" s="32">
        <f>IF(Mecze[[#This Row],[PR]]=0,0,Mecze[[#This Row],[PR]]/Mecze[[#This Row],[CZAS]])</f>
        <v>8.1632653061224483E-2</v>
      </c>
      <c r="N3128" s="32">
        <f>IF(Mecze[[#This Row],[OU]]=0,0,Mecze[[#This Row],[OU]]/Mecze[[#This Row],[CZAS]])</f>
        <v>2.0408163265306121E-2</v>
      </c>
      <c r="O3128" s="32">
        <f>IF(Mecze[[#This Row],[PC]]=0,0,Mecze[[#This Row],[PC]]/Mecze[[#This Row],[CZAS]])</f>
        <v>6.1224489795918366E-2</v>
      </c>
      <c r="P3128" s="32">
        <f>IF(Mecze[[#This Row],[SC]]=0,0,Mecze[[#This Row],[SC]]/Mecze[[#This Row],[CZAS]])</f>
        <v>0</v>
      </c>
      <c r="Q3128" s="32">
        <f>IF(Mecze[[#This Row],[OB]]=0,0,Mecze[[#This Row],[OB]]/Mecze[[#This Row],[CZAS]])</f>
        <v>0</v>
      </c>
      <c r="R3128" s="32">
        <f>IF(Mecze[[#This Row],[BR]]=0,0,Mecze[[#This Row],[BR]]/Mecze[[#This Row],[CZAS]])</f>
        <v>0</v>
      </c>
      <c r="S3128" s="44">
        <f>IF(Mecze[[#This Row],[Role]]="BR",SUMPRODUCT(Mecze[[#This Row],[/PR:90]:[/BR:90]],Brudnopis!$E$23:$J$23),0)</f>
        <v>0</v>
      </c>
      <c r="T3128" s="44">
        <f>IF(Mecze[[#This Row],[Role]]&lt;&gt;"BR",SUMPRODUCT(Mecze[[#This Row],[/PR:90]:[/BR:90]],Brudnopis!$E$24:$J$24),0)</f>
        <v>0.17346938775510201</v>
      </c>
      <c r="U3128" s="44">
        <f>IF(Mecze[[#This Row],[Role]]&lt;&gt;"BR",SUMPRODUCT(Mecze[[#This Row],[/PR:90]:[/BR:90]],Brudnopis!$E$25:$J$25),0)</f>
        <v>0.19387755102040816</v>
      </c>
      <c r="V3128" s="44">
        <f>IF(Mecze[[#This Row],[Role]]&lt;&gt;"BR",SUMPRODUCT(Mecze[[#This Row],[/PR:90]:[/BR:90]],Brudnopis!$E$26:$J$26),0)</f>
        <v>0.16326530612244897</v>
      </c>
      <c r="W3128" s="44">
        <f>IF(Mecze[[#This Row],[Role]]&lt;&gt;"BR",SUMPRODUCT(Mecze[[#This Row],[/PR:90]:[/BR:90]],Brudnopis!$E$27:$J$27),0)</f>
        <v>0.1683673469387755</v>
      </c>
      <c r="X3128" s="44">
        <f>IF(Mecze[[#This Row],[Role]]&lt;&gt;"BR",SUMPRODUCT(Mecze[[#This Row],[/PR:90]:[/BR:90]],Brudnopis!$E$28:$J$28),0)</f>
        <v>6.1224489795918366E-2</v>
      </c>
      <c r="Y3128" s="35">
        <f>IF(Mecze[[#This Row],[Role]]="BR",Mecze[[#This Row],[/OB:90]]+Mecze[[#This Row],[/PC:90]],SUM(Mecze[[#This Row],[/PR:90]:[/BR:90]]))</f>
        <v>0.16326530612244897</v>
      </c>
      <c r="Z3128" s="35">
        <f>IF(Mecze[[#This Row],[KC]]=0,SUM(Mecze[[#This Row],[/BRI]:[/NPI]]),SUM(Mecze[[#This Row],[/BRI]:[/NPI]])*0.6)</f>
        <v>0.76020408163265296</v>
      </c>
      <c r="AA3128" s="10">
        <f>IFERROR(Mecze[[#This Row],[BR]]/Mecze[[#This Row],[ST]],0)</f>
        <v>0</v>
      </c>
      <c r="AB3128">
        <f>ROUND(Mecze[[#This Row],[PD]]*Mecze[[#This Row],[%PC]],0)</f>
        <v>6</v>
      </c>
      <c r="AC3128">
        <f>ROUND(Mecze[[#This Row],[OD]]*Mecze[[#This Row],[%OU]],0)</f>
        <v>2</v>
      </c>
      <c r="AD3128" s="36" t="s">
        <v>175</v>
      </c>
      <c r="AE3128" s="36">
        <v>175</v>
      </c>
      <c r="AF3128" s="71">
        <v>-7.0000000000000007E-2</v>
      </c>
      <c r="AG3128" s="37">
        <v>0</v>
      </c>
      <c r="AH3128" s="37">
        <v>0</v>
      </c>
      <c r="AI3128" s="37">
        <v>98</v>
      </c>
      <c r="AJ3128" s="37">
        <v>2</v>
      </c>
      <c r="AK3128" s="37" t="str">
        <f>VLOOKUP(Mecze[[#This Row],[Match ID]],Meczusie[Mecz]:Meczusie[RodzajMeczu],2,FALSE)</f>
        <v>Liga</v>
      </c>
    </row>
    <row r="3129" spans="1:37" x14ac:dyDescent="0.25">
      <c r="A3129" s="76">
        <v>34</v>
      </c>
      <c r="B3129" s="3" t="s">
        <v>500</v>
      </c>
      <c r="C3129" s="2" t="s">
        <v>157</v>
      </c>
      <c r="D3129" s="1">
        <v>0</v>
      </c>
      <c r="E3129" s="1">
        <v>0</v>
      </c>
      <c r="F3129" s="1">
        <v>0</v>
      </c>
      <c r="G3129" s="1">
        <v>7</v>
      </c>
      <c r="H3129" s="4">
        <v>0.43</v>
      </c>
      <c r="I3129" s="1">
        <v>3</v>
      </c>
      <c r="J3129" s="4">
        <v>0.67</v>
      </c>
      <c r="K3129" s="1">
        <v>0</v>
      </c>
      <c r="L3129" s="1">
        <v>2</v>
      </c>
      <c r="M3129" s="32">
        <f>IF(Mecze[[#This Row],[PR]]=0,0,Mecze[[#This Row],[PR]]/Mecze[[#This Row],[CZAS]])</f>
        <v>2.0408163265306121E-2</v>
      </c>
      <c r="N3129" s="32">
        <f>IF(Mecze[[#This Row],[OU]]=0,0,Mecze[[#This Row],[OU]]/Mecze[[#This Row],[CZAS]])</f>
        <v>2.0408163265306121E-2</v>
      </c>
      <c r="O3129" s="32">
        <f>IF(Mecze[[#This Row],[PC]]=0,0,Mecze[[#This Row],[PC]]/Mecze[[#This Row],[CZAS]])</f>
        <v>3.0612244897959183E-2</v>
      </c>
      <c r="P3129" s="32">
        <f>IF(Mecze[[#This Row],[SC]]=0,0,Mecze[[#This Row],[SC]]/Mecze[[#This Row],[CZAS]])</f>
        <v>0</v>
      </c>
      <c r="Q3129" s="32">
        <f>IF(Mecze[[#This Row],[OB]]=0,0,Mecze[[#This Row],[OB]]/Mecze[[#This Row],[CZAS]])</f>
        <v>0</v>
      </c>
      <c r="R3129" s="32">
        <f>IF(Mecze[[#This Row],[BR]]=0,0,Mecze[[#This Row],[BR]]/Mecze[[#This Row],[CZAS]])</f>
        <v>0</v>
      </c>
      <c r="S3129" s="44">
        <f>IF(Mecze[[#This Row],[Role]]="BR",SUMPRODUCT(Mecze[[#This Row],[/PR:90]:[/BR:90]],Brudnopis!$E$23:$J$23),0)</f>
        <v>0</v>
      </c>
      <c r="T3129" s="44">
        <f>IF(Mecze[[#This Row],[Role]]&lt;&gt;"BR",SUMPRODUCT(Mecze[[#This Row],[/PR:90]:[/BR:90]],Brudnopis!$E$24:$J$24),0)</f>
        <v>8.1632653061224497E-2</v>
      </c>
      <c r="U3129" s="44">
        <f>IF(Mecze[[#This Row],[Role]]&lt;&gt;"BR",SUMPRODUCT(Mecze[[#This Row],[/PR:90]:[/BR:90]],Brudnopis!$E$25:$J$25),0)</f>
        <v>8.6734693877551006E-2</v>
      </c>
      <c r="V3129" s="44">
        <f>IF(Mecze[[#This Row],[Role]]&lt;&gt;"BR",SUMPRODUCT(Mecze[[#This Row],[/PR:90]:[/BR:90]],Brudnopis!$E$26:$J$26),0)</f>
        <v>7.1428571428571425E-2</v>
      </c>
      <c r="W3129" s="44">
        <f>IF(Mecze[[#This Row],[Role]]&lt;&gt;"BR",SUMPRODUCT(Mecze[[#This Row],[/PR:90]:[/BR:90]],Brudnopis!$E$27:$J$27),0)</f>
        <v>7.6530612244897961E-2</v>
      </c>
      <c r="X3129" s="44">
        <f>IF(Mecze[[#This Row],[Role]]&lt;&gt;"BR",SUMPRODUCT(Mecze[[#This Row],[/PR:90]:[/BR:90]],Brudnopis!$E$28:$J$28),0)</f>
        <v>3.0612244897959183E-2</v>
      </c>
      <c r="Y3129" s="35">
        <f>IF(Mecze[[#This Row],[Role]]="BR",Mecze[[#This Row],[/OB:90]]+Mecze[[#This Row],[/PC:90]],SUM(Mecze[[#This Row],[/PR:90]:[/BR:90]]))</f>
        <v>7.1428571428571425E-2</v>
      </c>
      <c r="Z3129" s="35">
        <f>IF(Mecze[[#This Row],[KC]]=0,SUM(Mecze[[#This Row],[/BRI]:[/NPI]]),SUM(Mecze[[#This Row],[/BRI]:[/NPI]])*0.6)</f>
        <v>0.34693877551020408</v>
      </c>
      <c r="AA3129" s="10">
        <f>IFERROR(Mecze[[#This Row],[BR]]/Mecze[[#This Row],[ST]],0)</f>
        <v>0</v>
      </c>
      <c r="AB3129">
        <f>ROUND(Mecze[[#This Row],[PD]]*Mecze[[#This Row],[%PC]],0)</f>
        <v>3</v>
      </c>
      <c r="AC3129">
        <f>ROUND(Mecze[[#This Row],[OD]]*Mecze[[#This Row],[%OU]],0)</f>
        <v>2</v>
      </c>
      <c r="AD3129" s="36" t="s">
        <v>47</v>
      </c>
      <c r="AE3129" s="36">
        <v>175</v>
      </c>
      <c r="AF3129" s="71">
        <v>-0.21</v>
      </c>
      <c r="AG3129" s="37">
        <v>0</v>
      </c>
      <c r="AH3129" s="37">
        <v>0</v>
      </c>
      <c r="AI3129" s="37">
        <v>98</v>
      </c>
      <c r="AJ3129" s="37">
        <v>2</v>
      </c>
      <c r="AK3129" s="37" t="str">
        <f>VLOOKUP(Mecze[[#This Row],[Match ID]],Meczusie[Mecz]:Meczusie[RodzajMeczu],2,FALSE)</f>
        <v>Liga</v>
      </c>
    </row>
    <row r="3130" spans="1:37" x14ac:dyDescent="0.25">
      <c r="A3130" s="76">
        <v>39</v>
      </c>
      <c r="B3130" s="3" t="s">
        <v>511</v>
      </c>
      <c r="C3130" s="2" t="s">
        <v>160</v>
      </c>
      <c r="D3130" s="1">
        <v>0</v>
      </c>
      <c r="E3130" s="1">
        <v>0</v>
      </c>
      <c r="F3130" s="1">
        <v>0</v>
      </c>
      <c r="G3130" s="1">
        <v>3</v>
      </c>
      <c r="H3130" s="4">
        <v>0</v>
      </c>
      <c r="I3130" s="1">
        <v>0</v>
      </c>
      <c r="J3130" s="4"/>
      <c r="K3130" s="1">
        <v>0</v>
      </c>
      <c r="L3130" s="1">
        <v>2</v>
      </c>
      <c r="M3130" s="32">
        <f>IF(Mecze[[#This Row],[PR]]=0,0,Mecze[[#This Row],[PR]]/Mecze[[#This Row],[CZAS]])</f>
        <v>2.0408163265306121E-2</v>
      </c>
      <c r="N3130" s="32">
        <f>IF(Mecze[[#This Row],[OU]]=0,0,Mecze[[#This Row],[OU]]/Mecze[[#This Row],[CZAS]])</f>
        <v>0</v>
      </c>
      <c r="O3130" s="32">
        <f>IF(Mecze[[#This Row],[PC]]=0,0,Mecze[[#This Row],[PC]]/Mecze[[#This Row],[CZAS]])</f>
        <v>0</v>
      </c>
      <c r="P3130" s="32">
        <f>IF(Mecze[[#This Row],[SC]]=0,0,Mecze[[#This Row],[SC]]/Mecze[[#This Row],[CZAS]])</f>
        <v>0</v>
      </c>
      <c r="Q3130" s="32">
        <f>IF(Mecze[[#This Row],[OB]]=0,0,Mecze[[#This Row],[OB]]/Mecze[[#This Row],[CZAS]])</f>
        <v>0</v>
      </c>
      <c r="R3130" s="32">
        <f>IF(Mecze[[#This Row],[BR]]=0,0,Mecze[[#This Row],[BR]]/Mecze[[#This Row],[CZAS]])</f>
        <v>0</v>
      </c>
      <c r="S3130" s="44">
        <f>IF(Mecze[[#This Row],[Role]]="BR",SUMPRODUCT(Mecze[[#This Row],[/PR:90]:[/BR:90]],Brudnopis!$E$23:$J$23),0)</f>
        <v>0</v>
      </c>
      <c r="T3130" s="44">
        <f>IF(Mecze[[#This Row],[Role]]&lt;&gt;"BR",SUMPRODUCT(Mecze[[#This Row],[/PR:90]:[/BR:90]],Brudnopis!$E$24:$J$24),0)</f>
        <v>2.0408163265306121E-2</v>
      </c>
      <c r="U3130" s="44">
        <f>IF(Mecze[[#This Row],[Role]]&lt;&gt;"BR",SUMPRODUCT(Mecze[[#This Row],[/PR:90]:[/BR:90]],Brudnopis!$E$25:$J$25),0)</f>
        <v>2.0408163265306121E-2</v>
      </c>
      <c r="V3130" s="44">
        <f>IF(Mecze[[#This Row],[Role]]&lt;&gt;"BR",SUMPRODUCT(Mecze[[#This Row],[/PR:90]:[/BR:90]],Brudnopis!$E$26:$J$26),0)</f>
        <v>2.0408163265306121E-2</v>
      </c>
      <c r="W3130" s="44">
        <f>IF(Mecze[[#This Row],[Role]]&lt;&gt;"BR",SUMPRODUCT(Mecze[[#This Row],[/PR:90]:[/BR:90]],Brudnopis!$E$27:$J$27),0)</f>
        <v>1.5306122448979591E-2</v>
      </c>
      <c r="X3130" s="44">
        <f>IF(Mecze[[#This Row],[Role]]&lt;&gt;"BR",SUMPRODUCT(Mecze[[#This Row],[/PR:90]:[/BR:90]],Brudnopis!$E$28:$J$28),0)</f>
        <v>0</v>
      </c>
      <c r="Y3130" s="35">
        <f>IF(Mecze[[#This Row],[Role]]="BR",Mecze[[#This Row],[/OB:90]]+Mecze[[#This Row],[/PC:90]],SUM(Mecze[[#This Row],[/PR:90]:[/BR:90]]))</f>
        <v>2.0408163265306121E-2</v>
      </c>
      <c r="Z3130" s="35">
        <f>IF(Mecze[[#This Row],[KC]]=0,SUM(Mecze[[#This Row],[/BRI]:[/NPI]]),SUM(Mecze[[#This Row],[/BRI]:[/NPI]])*0.6)</f>
        <v>7.6530612244897961E-2</v>
      </c>
      <c r="AA3130" s="10">
        <f>IFERROR(Mecze[[#This Row],[BR]]/Mecze[[#This Row],[ST]],0)</f>
        <v>0</v>
      </c>
      <c r="AB3130">
        <f>ROUND(Mecze[[#This Row],[PD]]*Mecze[[#This Row],[%PC]],0)</f>
        <v>0</v>
      </c>
      <c r="AC3130">
        <f>ROUND(Mecze[[#This Row],[OD]]*Mecze[[#This Row],[%OU]],0)</f>
        <v>0</v>
      </c>
      <c r="AD3130" s="36" t="s">
        <v>319</v>
      </c>
      <c r="AE3130" s="36">
        <v>175</v>
      </c>
      <c r="AF3130" s="71">
        <v>3.12</v>
      </c>
      <c r="AG3130" s="37">
        <v>0</v>
      </c>
      <c r="AH3130" s="37">
        <v>0</v>
      </c>
      <c r="AI3130" s="37">
        <v>98</v>
      </c>
      <c r="AJ3130" s="37">
        <v>2</v>
      </c>
      <c r="AK3130" s="37" t="str">
        <f>VLOOKUP(Mecze[[#This Row],[Match ID]],Meczusie[Mecz]:Meczusie[RodzajMeczu],2,FALSE)</f>
        <v>Liga</v>
      </c>
    </row>
    <row r="3131" spans="1:37" x14ac:dyDescent="0.25">
      <c r="A3131" s="76">
        <v>72</v>
      </c>
      <c r="B3131" s="3" t="s">
        <v>488</v>
      </c>
      <c r="C3131" s="2" t="s">
        <v>160</v>
      </c>
      <c r="D3131" s="1">
        <v>0</v>
      </c>
      <c r="E3131" s="1">
        <v>0</v>
      </c>
      <c r="F3131" s="1">
        <v>0</v>
      </c>
      <c r="G3131" s="1">
        <v>5</v>
      </c>
      <c r="H3131" s="4">
        <v>0</v>
      </c>
      <c r="I3131" s="1">
        <v>1</v>
      </c>
      <c r="J3131" s="4">
        <v>0</v>
      </c>
      <c r="K3131" s="1">
        <v>0</v>
      </c>
      <c r="L3131" s="1">
        <v>0</v>
      </c>
      <c r="M3131" s="32">
        <f>IF(Mecze[[#This Row],[PR]]=0,0,Mecze[[#This Row],[PR]]/Mecze[[#This Row],[CZAS]])</f>
        <v>0</v>
      </c>
      <c r="N3131" s="32">
        <f>IF(Mecze[[#This Row],[OU]]=0,0,Mecze[[#This Row],[OU]]/Mecze[[#This Row],[CZAS]])</f>
        <v>0</v>
      </c>
      <c r="O3131" s="32">
        <f>IF(Mecze[[#This Row],[PC]]=0,0,Mecze[[#This Row],[PC]]/Mecze[[#This Row],[CZAS]])</f>
        <v>0</v>
      </c>
      <c r="P3131" s="32">
        <f>IF(Mecze[[#This Row],[SC]]=0,0,Mecze[[#This Row],[SC]]/Mecze[[#This Row],[CZAS]])</f>
        <v>0</v>
      </c>
      <c r="Q3131" s="32">
        <f>IF(Mecze[[#This Row],[OB]]=0,0,Mecze[[#This Row],[OB]]/Mecze[[#This Row],[CZAS]])</f>
        <v>0</v>
      </c>
      <c r="R3131" s="32">
        <f>IF(Mecze[[#This Row],[BR]]=0,0,Mecze[[#This Row],[BR]]/Mecze[[#This Row],[CZAS]])</f>
        <v>0</v>
      </c>
      <c r="S3131" s="44">
        <f>IF(Mecze[[#This Row],[Role]]="BR",SUMPRODUCT(Mecze[[#This Row],[/PR:90]:[/BR:90]],Brudnopis!$E$23:$J$23),0)</f>
        <v>0</v>
      </c>
      <c r="T3131" s="44">
        <f>IF(Mecze[[#This Row],[Role]]&lt;&gt;"BR",SUMPRODUCT(Mecze[[#This Row],[/PR:90]:[/BR:90]],Brudnopis!$E$24:$J$24),0)</f>
        <v>0</v>
      </c>
      <c r="U3131" s="44">
        <f>IF(Mecze[[#This Row],[Role]]&lt;&gt;"BR",SUMPRODUCT(Mecze[[#This Row],[/PR:90]:[/BR:90]],Brudnopis!$E$25:$J$25),0)</f>
        <v>0</v>
      </c>
      <c r="V3131" s="44">
        <f>IF(Mecze[[#This Row],[Role]]&lt;&gt;"BR",SUMPRODUCT(Mecze[[#This Row],[/PR:90]:[/BR:90]],Brudnopis!$E$26:$J$26),0)</f>
        <v>0</v>
      </c>
      <c r="W3131" s="44">
        <f>IF(Mecze[[#This Row],[Role]]&lt;&gt;"BR",SUMPRODUCT(Mecze[[#This Row],[/PR:90]:[/BR:90]],Brudnopis!$E$27:$J$27),0)</f>
        <v>0</v>
      </c>
      <c r="X3131" s="44">
        <f>IF(Mecze[[#This Row],[Role]]&lt;&gt;"BR",SUMPRODUCT(Mecze[[#This Row],[/PR:90]:[/BR:90]],Brudnopis!$E$28:$J$28),0)</f>
        <v>0</v>
      </c>
      <c r="Y3131" s="35">
        <f>IF(Mecze[[#This Row],[Role]]="BR",Mecze[[#This Row],[/OB:90]]+Mecze[[#This Row],[/PC:90]],SUM(Mecze[[#This Row],[/PR:90]:[/BR:90]]))</f>
        <v>0</v>
      </c>
      <c r="Z3131" s="35">
        <f>IF(Mecze[[#This Row],[KC]]=0,SUM(Mecze[[#This Row],[/BRI]:[/NPI]]),SUM(Mecze[[#This Row],[/BRI]:[/NPI]])*0.6)</f>
        <v>0</v>
      </c>
      <c r="AA3131" s="10">
        <f>IFERROR(Mecze[[#This Row],[BR]]/Mecze[[#This Row],[ST]],0)</f>
        <v>0</v>
      </c>
      <c r="AB3131">
        <f>ROUND(Mecze[[#This Row],[PD]]*Mecze[[#This Row],[%PC]],0)</f>
        <v>0</v>
      </c>
      <c r="AC3131">
        <f>ROUND(Mecze[[#This Row],[OD]]*Mecze[[#This Row],[%OU]],0)</f>
        <v>0</v>
      </c>
      <c r="AD3131" s="36" t="s">
        <v>67</v>
      </c>
      <c r="AE3131" s="36">
        <v>175</v>
      </c>
      <c r="AF3131" s="71">
        <v>2.7</v>
      </c>
      <c r="AG3131" s="37">
        <v>0</v>
      </c>
      <c r="AH3131" s="37">
        <v>0</v>
      </c>
      <c r="AI3131" s="37">
        <v>98</v>
      </c>
      <c r="AJ3131" s="37">
        <v>2</v>
      </c>
      <c r="AK3131" s="37" t="str">
        <f>VLOOKUP(Mecze[[#This Row],[Match ID]],Meczusie[Mecz]:Meczusie[RodzajMeczu],2,FALSE)</f>
        <v>Liga</v>
      </c>
    </row>
    <row r="3132" spans="1:37" x14ac:dyDescent="0.25">
      <c r="A3132" s="76">
        <v>43</v>
      </c>
      <c r="B3132" s="3" t="s">
        <v>503</v>
      </c>
      <c r="C3132" s="2" t="s">
        <v>160</v>
      </c>
      <c r="D3132" s="1">
        <v>0</v>
      </c>
      <c r="E3132" s="1">
        <v>0</v>
      </c>
      <c r="F3132" s="1">
        <v>0</v>
      </c>
      <c r="G3132" s="1">
        <v>2</v>
      </c>
      <c r="H3132" s="4">
        <v>0.5</v>
      </c>
      <c r="I3132" s="1">
        <v>0</v>
      </c>
      <c r="J3132" s="4"/>
      <c r="K3132" s="1">
        <v>0</v>
      </c>
      <c r="L3132" s="1">
        <v>0</v>
      </c>
      <c r="M3132" s="32">
        <f>IF(Mecze[[#This Row],[PR]]=0,0,Mecze[[#This Row],[PR]]/Mecze[[#This Row],[CZAS]])</f>
        <v>0</v>
      </c>
      <c r="N3132" s="32">
        <f>IF(Mecze[[#This Row],[OU]]=0,0,Mecze[[#This Row],[OU]]/Mecze[[#This Row],[CZAS]])</f>
        <v>0</v>
      </c>
      <c r="O3132" s="32">
        <f>IF(Mecze[[#This Row],[PC]]=0,0,Mecze[[#This Row],[PC]]/Mecze[[#This Row],[CZAS]])</f>
        <v>1.020408163265306E-2</v>
      </c>
      <c r="P3132" s="32">
        <f>IF(Mecze[[#This Row],[SC]]=0,0,Mecze[[#This Row],[SC]]/Mecze[[#This Row],[CZAS]])</f>
        <v>0</v>
      </c>
      <c r="Q3132" s="32">
        <f>IF(Mecze[[#This Row],[OB]]=0,0,Mecze[[#This Row],[OB]]/Mecze[[#This Row],[CZAS]])</f>
        <v>0</v>
      </c>
      <c r="R3132" s="32">
        <f>IF(Mecze[[#This Row],[BR]]=0,0,Mecze[[#This Row],[BR]]/Mecze[[#This Row],[CZAS]])</f>
        <v>0</v>
      </c>
      <c r="S3132" s="44">
        <f>IF(Mecze[[#This Row],[Role]]="BR",SUMPRODUCT(Mecze[[#This Row],[/PR:90]:[/BR:90]],Brudnopis!$E$23:$J$23),0)</f>
        <v>0</v>
      </c>
      <c r="T3132" s="44">
        <f>IF(Mecze[[#This Row],[Role]]&lt;&gt;"BR",SUMPRODUCT(Mecze[[#This Row],[/PR:90]:[/BR:90]],Brudnopis!$E$24:$J$24),0)</f>
        <v>1.020408163265306E-2</v>
      </c>
      <c r="U3132" s="44">
        <f>IF(Mecze[[#This Row],[Role]]&lt;&gt;"BR",SUMPRODUCT(Mecze[[#This Row],[/PR:90]:[/BR:90]],Brudnopis!$E$25:$J$25),0)</f>
        <v>1.5306122448979591E-2</v>
      </c>
      <c r="V3132" s="44">
        <f>IF(Mecze[[#This Row],[Role]]&lt;&gt;"BR",SUMPRODUCT(Mecze[[#This Row],[/PR:90]:[/BR:90]],Brudnopis!$E$26:$J$26),0)</f>
        <v>1.020408163265306E-2</v>
      </c>
      <c r="W3132" s="44">
        <f>IF(Mecze[[#This Row],[Role]]&lt;&gt;"BR",SUMPRODUCT(Mecze[[#This Row],[/PR:90]:[/BR:90]],Brudnopis!$E$27:$J$27),0)</f>
        <v>1.5306122448979591E-2</v>
      </c>
      <c r="X3132" s="44">
        <f>IF(Mecze[[#This Row],[Role]]&lt;&gt;"BR",SUMPRODUCT(Mecze[[#This Row],[/PR:90]:[/BR:90]],Brudnopis!$E$28:$J$28),0)</f>
        <v>1.020408163265306E-2</v>
      </c>
      <c r="Y3132" s="35">
        <f>IF(Mecze[[#This Row],[Role]]="BR",Mecze[[#This Row],[/OB:90]]+Mecze[[#This Row],[/PC:90]],SUM(Mecze[[#This Row],[/PR:90]:[/BR:90]]))</f>
        <v>1.020408163265306E-2</v>
      </c>
      <c r="Z3132" s="35">
        <f>IF(Mecze[[#This Row],[KC]]=0,SUM(Mecze[[#This Row],[/BRI]:[/NPI]]),SUM(Mecze[[#This Row],[/BRI]:[/NPI]])*0.6)</f>
        <v>6.1224489795918366E-2</v>
      </c>
      <c r="AA3132" s="10">
        <f>IFERROR(Mecze[[#This Row],[BR]]/Mecze[[#This Row],[ST]],0)</f>
        <v>0</v>
      </c>
      <c r="AB3132">
        <f>ROUND(Mecze[[#This Row],[PD]]*Mecze[[#This Row],[%PC]],0)</f>
        <v>1</v>
      </c>
      <c r="AC3132">
        <f>ROUND(Mecze[[#This Row],[OD]]*Mecze[[#This Row],[%OU]],0)</f>
        <v>0</v>
      </c>
      <c r="AD3132" s="36" t="s">
        <v>318</v>
      </c>
      <c r="AE3132" s="36">
        <v>175</v>
      </c>
      <c r="AF3132" s="71">
        <v>2.7</v>
      </c>
      <c r="AG3132" s="37">
        <v>0</v>
      </c>
      <c r="AH3132" s="37">
        <v>0</v>
      </c>
      <c r="AI3132" s="37">
        <v>98</v>
      </c>
      <c r="AJ3132" s="37">
        <v>2</v>
      </c>
      <c r="AK3132" s="37" t="str">
        <f>VLOOKUP(Mecze[[#This Row],[Match ID]],Meczusie[Mecz]:Meczusie[RodzajMeczu],2,FALSE)</f>
        <v>Liga</v>
      </c>
    </row>
    <row r="3133" spans="1:37" x14ac:dyDescent="0.25">
      <c r="A3133" s="76">
        <v>31</v>
      </c>
      <c r="B3133" s="3" t="s">
        <v>501</v>
      </c>
      <c r="C3133" s="2" t="s">
        <v>160</v>
      </c>
      <c r="D3133" s="1">
        <v>0</v>
      </c>
      <c r="E3133" s="1">
        <v>3</v>
      </c>
      <c r="F3133" s="1">
        <v>3</v>
      </c>
      <c r="G3133" s="1">
        <v>7</v>
      </c>
      <c r="H3133" s="4">
        <v>0.56999999999999995</v>
      </c>
      <c r="I3133" s="1">
        <v>17</v>
      </c>
      <c r="J3133" s="4">
        <v>0.35</v>
      </c>
      <c r="K3133" s="1">
        <v>0</v>
      </c>
      <c r="L3133" s="1">
        <v>0</v>
      </c>
      <c r="M3133" s="32">
        <f>IF(Mecze[[#This Row],[PR]]=0,0,Mecze[[#This Row],[PR]]/Mecze[[#This Row],[CZAS]])</f>
        <v>0</v>
      </c>
      <c r="N3133" s="32">
        <f>IF(Mecze[[#This Row],[OU]]=0,0,Mecze[[#This Row],[OU]]/Mecze[[#This Row],[CZAS]])</f>
        <v>6.1224489795918366E-2</v>
      </c>
      <c r="O3133" s="32">
        <f>IF(Mecze[[#This Row],[PC]]=0,0,Mecze[[#This Row],[PC]]/Mecze[[#This Row],[CZAS]])</f>
        <v>4.0816326530612242E-2</v>
      </c>
      <c r="P3133" s="32">
        <f>IF(Mecze[[#This Row],[SC]]=0,0,Mecze[[#This Row],[SC]]/Mecze[[#This Row],[CZAS]])</f>
        <v>3.0612244897959183E-2</v>
      </c>
      <c r="Q3133" s="32">
        <f>IF(Mecze[[#This Row],[OB]]=0,0,Mecze[[#This Row],[OB]]/Mecze[[#This Row],[CZAS]])</f>
        <v>0</v>
      </c>
      <c r="R3133" s="32">
        <f>IF(Mecze[[#This Row],[BR]]=0,0,Mecze[[#This Row],[BR]]/Mecze[[#This Row],[CZAS]])</f>
        <v>0</v>
      </c>
      <c r="S3133" s="44">
        <f>IF(Mecze[[#This Row],[Role]]="BR",SUMPRODUCT(Mecze[[#This Row],[/PR:90]:[/BR:90]],Brudnopis!$E$23:$J$23),0)</f>
        <v>0</v>
      </c>
      <c r="T3133" s="44">
        <f>IF(Mecze[[#This Row],[Role]]&lt;&gt;"BR",SUMPRODUCT(Mecze[[#This Row],[/PR:90]:[/BR:90]],Brudnopis!$E$24:$J$24),0)</f>
        <v>0.16326530612244897</v>
      </c>
      <c r="U3133" s="44">
        <f>IF(Mecze[[#This Row],[Role]]&lt;&gt;"BR",SUMPRODUCT(Mecze[[#This Row],[/PR:90]:[/BR:90]],Brudnopis!$E$25:$J$25),0)</f>
        <v>0.15306122448979592</v>
      </c>
      <c r="V3133" s="44">
        <f>IF(Mecze[[#This Row],[Role]]&lt;&gt;"BR",SUMPRODUCT(Mecze[[#This Row],[/PR:90]:[/BR:90]],Brudnopis!$E$26:$J$26),0)</f>
        <v>0.1326530612244898</v>
      </c>
      <c r="W3133" s="44">
        <f>IF(Mecze[[#This Row],[Role]]&lt;&gt;"BR",SUMPRODUCT(Mecze[[#This Row],[/PR:90]:[/BR:90]],Brudnopis!$E$27:$J$27),0)</f>
        <v>0.13775510204081631</v>
      </c>
      <c r="X3133" s="44">
        <f>IF(Mecze[[#This Row],[Role]]&lt;&gt;"BR",SUMPRODUCT(Mecze[[#This Row],[/PR:90]:[/BR:90]],Brudnopis!$E$28:$J$28),0)</f>
        <v>0.10204081632653061</v>
      </c>
      <c r="Y3133" s="35">
        <f>IF(Mecze[[#This Row],[Role]]="BR",Mecze[[#This Row],[/OB:90]]+Mecze[[#This Row],[/PC:90]],SUM(Mecze[[#This Row],[/PR:90]:[/BR:90]]))</f>
        <v>0.1326530612244898</v>
      </c>
      <c r="Z3133" s="35">
        <f>IF(Mecze[[#This Row],[KC]]=0,SUM(Mecze[[#This Row],[/BRI]:[/NPI]]),SUM(Mecze[[#This Row],[/BRI]:[/NPI]])*0.6)</f>
        <v>0.68877551020408168</v>
      </c>
      <c r="AA3133" s="10">
        <f>IFERROR(Mecze[[#This Row],[BR]]/Mecze[[#This Row],[ST]],0)</f>
        <v>0</v>
      </c>
      <c r="AB3133">
        <f>ROUND(Mecze[[#This Row],[PD]]*Mecze[[#This Row],[%PC]],0)</f>
        <v>4</v>
      </c>
      <c r="AC3133">
        <f>ROUND(Mecze[[#This Row],[OD]]*Mecze[[#This Row],[%OU]],0)</f>
        <v>6</v>
      </c>
      <c r="AD3133" s="36" t="s">
        <v>67</v>
      </c>
      <c r="AE3133" s="36">
        <v>175</v>
      </c>
      <c r="AF3133" s="71">
        <v>4.5999999999999996</v>
      </c>
      <c r="AG3133" s="37">
        <v>0</v>
      </c>
      <c r="AH3133" s="37">
        <v>0</v>
      </c>
      <c r="AI3133" s="37">
        <v>98</v>
      </c>
      <c r="AJ3133" s="37">
        <v>2</v>
      </c>
      <c r="AK3133" s="37" t="str">
        <f>VLOOKUP(Mecze[[#This Row],[Match ID]],Meczusie[Mecz]:Meczusie[RodzajMeczu],2,FALSE)</f>
        <v>Liga</v>
      </c>
    </row>
    <row r="3134" spans="1:37" x14ac:dyDescent="0.25">
      <c r="A3134" s="76">
        <v>99</v>
      </c>
      <c r="B3134" s="3" t="s">
        <v>513</v>
      </c>
      <c r="C3134" s="2" t="s">
        <v>165</v>
      </c>
      <c r="D3134" s="1">
        <v>0</v>
      </c>
      <c r="E3134" s="1">
        <v>0</v>
      </c>
      <c r="F3134" s="1">
        <v>0</v>
      </c>
      <c r="G3134" s="1">
        <v>3</v>
      </c>
      <c r="H3134" s="4">
        <v>0.33</v>
      </c>
      <c r="I3134" s="1">
        <v>3</v>
      </c>
      <c r="J3134" s="4">
        <v>0.33</v>
      </c>
      <c r="K3134" s="1">
        <v>0</v>
      </c>
      <c r="L3134" s="1">
        <v>1</v>
      </c>
      <c r="M3134" s="32">
        <f>IF(Mecze[[#This Row],[PR]]=0,0,Mecze[[#This Row],[PR]]/Mecze[[#This Row],[CZAS]])</f>
        <v>1.020408163265306E-2</v>
      </c>
      <c r="N3134" s="32">
        <f>IF(Mecze[[#This Row],[OU]]=0,0,Mecze[[#This Row],[OU]]/Mecze[[#This Row],[CZAS]])</f>
        <v>1.020408163265306E-2</v>
      </c>
      <c r="O3134" s="32">
        <f>IF(Mecze[[#This Row],[PC]]=0,0,Mecze[[#This Row],[PC]]/Mecze[[#This Row],[CZAS]])</f>
        <v>1.020408163265306E-2</v>
      </c>
      <c r="P3134" s="32">
        <f>IF(Mecze[[#This Row],[SC]]=0,0,Mecze[[#This Row],[SC]]/Mecze[[#This Row],[CZAS]])</f>
        <v>0</v>
      </c>
      <c r="Q3134" s="32">
        <f>IF(Mecze[[#This Row],[OB]]=0,0,Mecze[[#This Row],[OB]]/Mecze[[#This Row],[CZAS]])</f>
        <v>0</v>
      </c>
      <c r="R3134" s="32">
        <f>IF(Mecze[[#This Row],[BR]]=0,0,Mecze[[#This Row],[BR]]/Mecze[[#This Row],[CZAS]])</f>
        <v>0</v>
      </c>
      <c r="S3134" s="44">
        <f>IF(Mecze[[#This Row],[Role]]="BR",SUMPRODUCT(Mecze[[#This Row],[/PR:90]:[/BR:90]],Brudnopis!$E$23:$J$23),0)</f>
        <v>0</v>
      </c>
      <c r="T3134" s="44">
        <f>IF(Mecze[[#This Row],[Role]]&lt;&gt;"BR",SUMPRODUCT(Mecze[[#This Row],[/PR:90]:[/BR:90]],Brudnopis!$E$24:$J$24),0)</f>
        <v>3.5714285714285712E-2</v>
      </c>
      <c r="U3134" s="44">
        <f>IF(Mecze[[#This Row],[Role]]&lt;&gt;"BR",SUMPRODUCT(Mecze[[#This Row],[/PR:90]:[/BR:90]],Brudnopis!$E$25:$J$25),0)</f>
        <v>3.5714285714285712E-2</v>
      </c>
      <c r="V3134" s="44">
        <f>IF(Mecze[[#This Row],[Role]]&lt;&gt;"BR",SUMPRODUCT(Mecze[[#This Row],[/PR:90]:[/BR:90]],Brudnopis!$E$26:$J$26),0)</f>
        <v>3.0612244897959183E-2</v>
      </c>
      <c r="W3134" s="44">
        <f>IF(Mecze[[#This Row],[Role]]&lt;&gt;"BR",SUMPRODUCT(Mecze[[#This Row],[/PR:90]:[/BR:90]],Brudnopis!$E$27:$J$27),0)</f>
        <v>3.0612244897959183E-2</v>
      </c>
      <c r="X3134" s="44">
        <f>IF(Mecze[[#This Row],[Role]]&lt;&gt;"BR",SUMPRODUCT(Mecze[[#This Row],[/PR:90]:[/BR:90]],Brudnopis!$E$28:$J$28),0)</f>
        <v>1.020408163265306E-2</v>
      </c>
      <c r="Y3134" s="35">
        <f>IF(Mecze[[#This Row],[Role]]="BR",Mecze[[#This Row],[/OB:90]]+Mecze[[#This Row],[/PC:90]],SUM(Mecze[[#This Row],[/PR:90]:[/BR:90]]))</f>
        <v>3.0612244897959183E-2</v>
      </c>
      <c r="Z3134" s="35">
        <f>IF(Mecze[[#This Row],[KC]]=0,SUM(Mecze[[#This Row],[/BRI]:[/NPI]]),SUM(Mecze[[#This Row],[/BRI]:[/NPI]])*0.6)</f>
        <v>0.14285714285714288</v>
      </c>
      <c r="AA3134" s="10">
        <f>IFERROR(Mecze[[#This Row],[BR]]/Mecze[[#This Row],[ST]],0)</f>
        <v>0</v>
      </c>
      <c r="AB3134">
        <f>ROUND(Mecze[[#This Row],[PD]]*Mecze[[#This Row],[%PC]],0)</f>
        <v>1</v>
      </c>
      <c r="AC3134">
        <f>ROUND(Mecze[[#This Row],[OD]]*Mecze[[#This Row],[%OU]],0)</f>
        <v>1</v>
      </c>
      <c r="AD3134" s="36" t="s">
        <v>273</v>
      </c>
      <c r="AE3134" s="36">
        <v>175</v>
      </c>
      <c r="AF3134" s="71">
        <v>2.71</v>
      </c>
      <c r="AG3134" s="37">
        <v>0</v>
      </c>
      <c r="AH3134" s="37">
        <v>0</v>
      </c>
      <c r="AI3134" s="37">
        <v>98</v>
      </c>
      <c r="AJ3134" s="37">
        <v>2</v>
      </c>
      <c r="AK3134" s="37" t="str">
        <f>VLOOKUP(Mecze[[#This Row],[Match ID]],Meczusie[Mecz]:Meczusie[RodzajMeczu],2,FALSE)</f>
        <v>Liga</v>
      </c>
    </row>
    <row r="3135" spans="1:37" x14ac:dyDescent="0.25">
      <c r="A3135" s="76">
        <v>70</v>
      </c>
      <c r="B3135" s="3" t="s">
        <v>365</v>
      </c>
      <c r="C3135" s="2" t="s">
        <v>165</v>
      </c>
      <c r="D3135" s="1">
        <v>0</v>
      </c>
      <c r="E3135" s="1">
        <v>1</v>
      </c>
      <c r="F3135" s="1">
        <v>1</v>
      </c>
      <c r="G3135" s="1">
        <v>9</v>
      </c>
      <c r="H3135" s="4">
        <v>0.56000000000000005</v>
      </c>
      <c r="I3135" s="1">
        <v>1</v>
      </c>
      <c r="J3135" s="4">
        <v>1</v>
      </c>
      <c r="K3135" s="1">
        <v>0</v>
      </c>
      <c r="L3135" s="1">
        <v>0</v>
      </c>
      <c r="M3135" s="32">
        <f>IF(Mecze[[#This Row],[PR]]=0,0,Mecze[[#This Row],[PR]]/Mecze[[#This Row],[CZAS]])</f>
        <v>0</v>
      </c>
      <c r="N3135" s="32">
        <f>IF(Mecze[[#This Row],[OU]]=0,0,Mecze[[#This Row],[OU]]/Mecze[[#This Row],[CZAS]])</f>
        <v>1.020408163265306E-2</v>
      </c>
      <c r="O3135" s="32">
        <f>IF(Mecze[[#This Row],[PC]]=0,0,Mecze[[#This Row],[PC]]/Mecze[[#This Row],[CZAS]])</f>
        <v>5.1020408163265307E-2</v>
      </c>
      <c r="P3135" s="32">
        <f>IF(Mecze[[#This Row],[SC]]=0,0,Mecze[[#This Row],[SC]]/Mecze[[#This Row],[CZAS]])</f>
        <v>1.020408163265306E-2</v>
      </c>
      <c r="Q3135" s="32">
        <f>IF(Mecze[[#This Row],[OB]]=0,0,Mecze[[#This Row],[OB]]/Mecze[[#This Row],[CZAS]])</f>
        <v>0</v>
      </c>
      <c r="R3135" s="32">
        <f>IF(Mecze[[#This Row],[BR]]=0,0,Mecze[[#This Row],[BR]]/Mecze[[#This Row],[CZAS]])</f>
        <v>0</v>
      </c>
      <c r="S3135" s="44">
        <f>IF(Mecze[[#This Row],[Role]]="BR",SUMPRODUCT(Mecze[[#This Row],[/PR:90]:[/BR:90]],Brudnopis!$E$23:$J$23),0)</f>
        <v>0</v>
      </c>
      <c r="T3135" s="44">
        <f>IF(Mecze[[#This Row],[Role]]&lt;&gt;"BR",SUMPRODUCT(Mecze[[#This Row],[/PR:90]:[/BR:90]],Brudnopis!$E$24:$J$24),0)</f>
        <v>7.6530612244897961E-2</v>
      </c>
      <c r="U3135" s="44">
        <f>IF(Mecze[[#This Row],[Role]]&lt;&gt;"BR",SUMPRODUCT(Mecze[[#This Row],[/PR:90]:[/BR:90]],Brudnopis!$E$25:$J$25),0)</f>
        <v>9.6938775510204078E-2</v>
      </c>
      <c r="V3135" s="44">
        <f>IF(Mecze[[#This Row],[Role]]&lt;&gt;"BR",SUMPRODUCT(Mecze[[#This Row],[/PR:90]:[/BR:90]],Brudnopis!$E$26:$J$26),0)</f>
        <v>7.1428571428571425E-2</v>
      </c>
      <c r="W3135" s="44">
        <f>IF(Mecze[[#This Row],[Role]]&lt;&gt;"BR",SUMPRODUCT(Mecze[[#This Row],[/PR:90]:[/BR:90]],Brudnopis!$E$27:$J$27),0)</f>
        <v>9.438775510204081E-2</v>
      </c>
      <c r="X3135" s="44">
        <f>IF(Mecze[[#This Row],[Role]]&lt;&gt;"BR",SUMPRODUCT(Mecze[[#This Row],[/PR:90]:[/BR:90]],Brudnopis!$E$28:$J$28),0)</f>
        <v>7.1428571428571425E-2</v>
      </c>
      <c r="Y3135" s="35">
        <f>IF(Mecze[[#This Row],[Role]]="BR",Mecze[[#This Row],[/OB:90]]+Mecze[[#This Row],[/PC:90]],SUM(Mecze[[#This Row],[/PR:90]:[/BR:90]]))</f>
        <v>7.1428571428571425E-2</v>
      </c>
      <c r="Z3135" s="35">
        <f>IF(Mecze[[#This Row],[KC]]=0,SUM(Mecze[[#This Row],[/BRI]:[/NPI]]),SUM(Mecze[[#This Row],[/BRI]:[/NPI]])*0.6)</f>
        <v>0.4107142857142857</v>
      </c>
      <c r="AA3135" s="10">
        <f>IFERROR(Mecze[[#This Row],[BR]]/Mecze[[#This Row],[ST]],0)</f>
        <v>0</v>
      </c>
      <c r="AB3135">
        <f>ROUND(Mecze[[#This Row],[PD]]*Mecze[[#This Row],[%PC]],0)</f>
        <v>5</v>
      </c>
      <c r="AC3135">
        <f>ROUND(Mecze[[#This Row],[OD]]*Mecze[[#This Row],[%OU]],0)</f>
        <v>1</v>
      </c>
      <c r="AD3135" s="36" t="s">
        <v>272</v>
      </c>
      <c r="AE3135" s="36">
        <v>175</v>
      </c>
      <c r="AF3135" s="71">
        <v>4.26</v>
      </c>
      <c r="AG3135" s="37">
        <v>0</v>
      </c>
      <c r="AH3135" s="37">
        <v>0</v>
      </c>
      <c r="AI3135" s="37">
        <v>98</v>
      </c>
      <c r="AJ3135" s="37">
        <v>2</v>
      </c>
      <c r="AK3135" s="37" t="str">
        <f>VLOOKUP(Mecze[[#This Row],[Match ID]],Meczusie[Mecz]:Meczusie[RodzajMeczu],2,FALSE)</f>
        <v>Liga</v>
      </c>
    </row>
    <row r="3136" spans="1:37" x14ac:dyDescent="0.25">
      <c r="A3136" s="76">
        <v>208</v>
      </c>
      <c r="B3136" s="3" t="s">
        <v>436</v>
      </c>
      <c r="C3136" s="2" t="s">
        <v>155</v>
      </c>
      <c r="D3136" s="1">
        <v>0</v>
      </c>
      <c r="E3136" s="1">
        <v>0</v>
      </c>
      <c r="F3136" s="1">
        <v>0</v>
      </c>
      <c r="G3136" s="1">
        <v>1</v>
      </c>
      <c r="H3136" s="4">
        <v>1</v>
      </c>
      <c r="I3136" s="1">
        <v>0</v>
      </c>
      <c r="J3136" s="4"/>
      <c r="K3136" s="1">
        <v>0</v>
      </c>
      <c r="L3136" s="1">
        <v>0</v>
      </c>
      <c r="M3136" s="32">
        <f>IF(Mecze[[#This Row],[PR]]=0,0,Mecze[[#This Row],[PR]]/Mecze[[#This Row],[CZAS]])</f>
        <v>0</v>
      </c>
      <c r="N3136" s="32">
        <f>IF(Mecze[[#This Row],[OU]]=0,0,Mecze[[#This Row],[OU]]/Mecze[[#This Row],[CZAS]])</f>
        <v>0</v>
      </c>
      <c r="O3136" s="32">
        <f>IF(Mecze[[#This Row],[PC]]=0,0,Mecze[[#This Row],[PC]]/Mecze[[#This Row],[CZAS]])</f>
        <v>1.0101010101010102E-2</v>
      </c>
      <c r="P3136" s="32">
        <f>IF(Mecze[[#This Row],[SC]]=0,0,Mecze[[#This Row],[SC]]/Mecze[[#This Row],[CZAS]])</f>
        <v>0</v>
      </c>
      <c r="Q3136" s="32">
        <f>IF(Mecze[[#This Row],[OB]]=0,0,Mecze[[#This Row],[OB]]/Mecze[[#This Row],[CZAS]])</f>
        <v>0</v>
      </c>
      <c r="R3136" s="32">
        <f>IF(Mecze[[#This Row],[BR]]=0,0,Mecze[[#This Row],[BR]]/Mecze[[#This Row],[CZAS]])</f>
        <v>0</v>
      </c>
      <c r="S3136" s="44">
        <f>IF(Mecze[[#This Row],[Role]]="BR",SUMPRODUCT(Mecze[[#This Row],[/PR:90]:[/BR:90]],Brudnopis!$E$23:$J$23),0)</f>
        <v>3.0303030303030304E-2</v>
      </c>
      <c r="T3136" s="44">
        <f>IF(Mecze[[#This Row],[Role]]&lt;&gt;"BR",SUMPRODUCT(Mecze[[#This Row],[/PR:90]:[/BR:90]],Brudnopis!$E$24:$J$24),0)</f>
        <v>0</v>
      </c>
      <c r="U3136" s="44">
        <f>IF(Mecze[[#This Row],[Role]]&lt;&gt;"BR",SUMPRODUCT(Mecze[[#This Row],[/PR:90]:[/BR:90]],Brudnopis!$E$25:$J$25),0)</f>
        <v>0</v>
      </c>
      <c r="V3136" s="44">
        <f>IF(Mecze[[#This Row],[Role]]&lt;&gt;"BR",SUMPRODUCT(Mecze[[#This Row],[/PR:90]:[/BR:90]],Brudnopis!$E$26:$J$26),0)</f>
        <v>0</v>
      </c>
      <c r="W3136" s="44">
        <f>IF(Mecze[[#This Row],[Role]]&lt;&gt;"BR",SUMPRODUCT(Mecze[[#This Row],[/PR:90]:[/BR:90]],Brudnopis!$E$27:$J$27),0)</f>
        <v>0</v>
      </c>
      <c r="X3136" s="44">
        <f>IF(Mecze[[#This Row],[Role]]&lt;&gt;"BR",SUMPRODUCT(Mecze[[#This Row],[/PR:90]:[/BR:90]],Brudnopis!$E$28:$J$28),0)</f>
        <v>0</v>
      </c>
      <c r="Y3136" s="35">
        <f>IF(Mecze[[#This Row],[Role]]="BR",Mecze[[#This Row],[/OB:90]]+Mecze[[#This Row],[/PC:90]],SUM(Mecze[[#This Row],[/PR:90]:[/BR:90]]))</f>
        <v>1.0101010101010102E-2</v>
      </c>
      <c r="Z3136" s="35">
        <f>IF(Mecze[[#This Row],[KC]]=0,SUM(Mecze[[#This Row],[/BRI]:[/NPI]]),SUM(Mecze[[#This Row],[/BRI]:[/NPI]])*0.6)</f>
        <v>3.0303030303030304E-2</v>
      </c>
      <c r="AA3136" s="10">
        <f>IFERROR(Mecze[[#This Row],[BR]]/Mecze[[#This Row],[ST]],0)</f>
        <v>0</v>
      </c>
      <c r="AB3136">
        <f>ROUND(Mecze[[#This Row],[PD]]*Mecze[[#This Row],[%PC]],0)</f>
        <v>1</v>
      </c>
      <c r="AC3136">
        <f>ROUND(Mecze[[#This Row],[OD]]*Mecze[[#This Row],[%OU]],0)</f>
        <v>0</v>
      </c>
      <c r="AD3136" s="36" t="s">
        <v>40</v>
      </c>
      <c r="AE3136" s="36">
        <v>176</v>
      </c>
      <c r="AF3136" s="71">
        <v>7.04</v>
      </c>
      <c r="AG3136" s="37">
        <v>0</v>
      </c>
      <c r="AH3136" s="37">
        <v>0</v>
      </c>
      <c r="AI3136" s="37">
        <v>99</v>
      </c>
      <c r="AJ3136" s="37">
        <v>7</v>
      </c>
      <c r="AK3136" s="37" t="str">
        <f>VLOOKUP(Mecze[[#This Row],[Match ID]],Meczusie[Mecz]:Meczusie[RodzajMeczu],2,FALSE)</f>
        <v>Liga</v>
      </c>
    </row>
    <row r="3137" spans="1:37" x14ac:dyDescent="0.25">
      <c r="A3137" s="76">
        <v>204</v>
      </c>
      <c r="B3137" s="3" t="s">
        <v>334</v>
      </c>
      <c r="C3137" s="2" t="s">
        <v>157</v>
      </c>
      <c r="D3137" s="1">
        <v>1</v>
      </c>
      <c r="E3137" s="1">
        <v>2</v>
      </c>
      <c r="F3137" s="1">
        <v>2</v>
      </c>
      <c r="G3137" s="1">
        <v>15</v>
      </c>
      <c r="H3137" s="4">
        <v>0.73</v>
      </c>
      <c r="I3137" s="1">
        <v>5</v>
      </c>
      <c r="J3137" s="4">
        <v>1</v>
      </c>
      <c r="K3137" s="1">
        <v>0</v>
      </c>
      <c r="L3137" s="1">
        <v>7</v>
      </c>
      <c r="M3137" s="32">
        <f>IF(Mecze[[#This Row],[PR]]=0,0,Mecze[[#This Row],[PR]]/Mecze[[#This Row],[CZAS]])</f>
        <v>7.0707070707070704E-2</v>
      </c>
      <c r="N3137" s="32">
        <f>IF(Mecze[[#This Row],[OU]]=0,0,Mecze[[#This Row],[OU]]/Mecze[[#This Row],[CZAS]])</f>
        <v>5.0505050505050504E-2</v>
      </c>
      <c r="O3137" s="32">
        <f>IF(Mecze[[#This Row],[PC]]=0,0,Mecze[[#This Row],[PC]]/Mecze[[#This Row],[CZAS]])</f>
        <v>0.1111111111111111</v>
      </c>
      <c r="P3137" s="32">
        <f>IF(Mecze[[#This Row],[SC]]=0,0,Mecze[[#This Row],[SC]]/Mecze[[#This Row],[CZAS]])</f>
        <v>2.0202020202020204E-2</v>
      </c>
      <c r="Q3137" s="32">
        <f>IF(Mecze[[#This Row],[OB]]=0,0,Mecze[[#This Row],[OB]]/Mecze[[#This Row],[CZAS]])</f>
        <v>0</v>
      </c>
      <c r="R3137" s="32">
        <f>IF(Mecze[[#This Row],[BR]]=0,0,Mecze[[#This Row],[BR]]/Mecze[[#This Row],[CZAS]])</f>
        <v>1.0101010101010102E-2</v>
      </c>
      <c r="S3137" s="44">
        <f>IF(Mecze[[#This Row],[Role]]="BR",SUMPRODUCT(Mecze[[#This Row],[/PR:90]:[/BR:90]],Brudnopis!$E$23:$J$23),0)</f>
        <v>0</v>
      </c>
      <c r="T3137" s="44">
        <f>IF(Mecze[[#This Row],[Role]]&lt;&gt;"BR",SUMPRODUCT(Mecze[[#This Row],[/PR:90]:[/BR:90]],Brudnopis!$E$24:$J$24),0)</f>
        <v>0.29292929292929293</v>
      </c>
      <c r="U3137" s="44">
        <f>IF(Mecze[[#This Row],[Role]]&lt;&gt;"BR",SUMPRODUCT(Mecze[[#This Row],[/PR:90]:[/BR:90]],Brudnopis!$E$25:$J$25),0)</f>
        <v>0.3232323232323232</v>
      </c>
      <c r="V3137" s="44">
        <f>IF(Mecze[[#This Row],[Role]]&lt;&gt;"BR",SUMPRODUCT(Mecze[[#This Row],[/PR:90]:[/BR:90]],Brudnopis!$E$26:$J$26),0)</f>
        <v>0.27272727272727276</v>
      </c>
      <c r="W3137" s="44">
        <f>IF(Mecze[[#This Row],[Role]]&lt;&gt;"BR",SUMPRODUCT(Mecze[[#This Row],[/PR:90]:[/BR:90]],Brudnopis!$E$27:$J$27),0)</f>
        <v>0.29797979797979801</v>
      </c>
      <c r="X3137" s="44">
        <f>IF(Mecze[[#This Row],[Role]]&lt;&gt;"BR",SUMPRODUCT(Mecze[[#This Row],[/PR:90]:[/BR:90]],Brudnopis!$E$28:$J$28),0)</f>
        <v>0.18181818181818182</v>
      </c>
      <c r="Y3137" s="35">
        <f>IF(Mecze[[#This Row],[Role]]="BR",Mecze[[#This Row],[/OB:90]]+Mecze[[#This Row],[/PC:90]],SUM(Mecze[[#This Row],[/PR:90]:[/BR:90]]))</f>
        <v>0.26262626262626265</v>
      </c>
      <c r="Z3137" s="35">
        <f>IF(Mecze[[#This Row],[KC]]=0,SUM(Mecze[[#This Row],[/BRI]:[/NPI]]),SUM(Mecze[[#This Row],[/BRI]:[/NPI]])*0.6)</f>
        <v>1.3686868686868687</v>
      </c>
      <c r="AA3137" s="10">
        <f>IFERROR(Mecze[[#This Row],[BR]]/Mecze[[#This Row],[ST]],0)</f>
        <v>0.5</v>
      </c>
      <c r="AB3137">
        <f>ROUND(Mecze[[#This Row],[PD]]*Mecze[[#This Row],[%PC]],0)</f>
        <v>11</v>
      </c>
      <c r="AC3137">
        <f>ROUND(Mecze[[#This Row],[OD]]*Mecze[[#This Row],[%OU]],0)</f>
        <v>5</v>
      </c>
      <c r="AD3137" s="36" t="s">
        <v>47</v>
      </c>
      <c r="AE3137" s="36">
        <v>176</v>
      </c>
      <c r="AF3137" s="71">
        <v>11.66</v>
      </c>
      <c r="AG3137" s="37">
        <v>0</v>
      </c>
      <c r="AH3137" s="37">
        <v>0</v>
      </c>
      <c r="AI3137" s="37">
        <v>99</v>
      </c>
      <c r="AJ3137" s="37">
        <v>7</v>
      </c>
      <c r="AK3137" s="37" t="str">
        <f>VLOOKUP(Mecze[[#This Row],[Match ID]],Meczusie[Mecz]:Meczusie[RodzajMeczu],2,FALSE)</f>
        <v>Liga</v>
      </c>
    </row>
    <row r="3138" spans="1:37" x14ac:dyDescent="0.25">
      <c r="A3138" s="76">
        <v>156</v>
      </c>
      <c r="B3138" s="3" t="s">
        <v>443</v>
      </c>
      <c r="C3138" s="2" t="s">
        <v>157</v>
      </c>
      <c r="D3138" s="1">
        <v>0</v>
      </c>
      <c r="E3138" s="1">
        <v>0</v>
      </c>
      <c r="F3138" s="1">
        <v>0</v>
      </c>
      <c r="G3138" s="1">
        <v>1</v>
      </c>
      <c r="H3138" s="4">
        <v>1</v>
      </c>
      <c r="I3138" s="1">
        <v>1</v>
      </c>
      <c r="J3138" s="4">
        <v>1</v>
      </c>
      <c r="K3138" s="1">
        <v>0</v>
      </c>
      <c r="L3138" s="1">
        <v>0</v>
      </c>
      <c r="M3138" s="32">
        <f>IF(Mecze[[#This Row],[PR]]=0,0,Mecze[[#This Row],[PR]]/Mecze[[#This Row],[CZAS]])</f>
        <v>0</v>
      </c>
      <c r="N3138" s="32">
        <f>IF(Mecze[[#This Row],[OU]]=0,0,Mecze[[#This Row],[OU]]/Mecze[[#This Row],[CZAS]])</f>
        <v>1.0101010101010102E-2</v>
      </c>
      <c r="O3138" s="32">
        <f>IF(Mecze[[#This Row],[PC]]=0,0,Mecze[[#This Row],[PC]]/Mecze[[#This Row],[CZAS]])</f>
        <v>1.0101010101010102E-2</v>
      </c>
      <c r="P3138" s="32">
        <f>IF(Mecze[[#This Row],[SC]]=0,0,Mecze[[#This Row],[SC]]/Mecze[[#This Row],[CZAS]])</f>
        <v>0</v>
      </c>
      <c r="Q3138" s="32">
        <f>IF(Mecze[[#This Row],[OB]]=0,0,Mecze[[#This Row],[OB]]/Mecze[[#This Row],[CZAS]])</f>
        <v>0</v>
      </c>
      <c r="R3138" s="32">
        <f>IF(Mecze[[#This Row],[BR]]=0,0,Mecze[[#This Row],[BR]]/Mecze[[#This Row],[CZAS]])</f>
        <v>0</v>
      </c>
      <c r="S3138" s="44">
        <f>IF(Mecze[[#This Row],[Role]]="BR",SUMPRODUCT(Mecze[[#This Row],[/PR:90]:[/BR:90]],Brudnopis!$E$23:$J$23),0)</f>
        <v>0</v>
      </c>
      <c r="T3138" s="44">
        <f>IF(Mecze[[#This Row],[Role]]&lt;&gt;"BR",SUMPRODUCT(Mecze[[#This Row],[/PR:90]:[/BR:90]],Brudnopis!$E$24:$J$24),0)</f>
        <v>2.5252525252525256E-2</v>
      </c>
      <c r="U3138" s="44">
        <f>IF(Mecze[[#This Row],[Role]]&lt;&gt;"BR",SUMPRODUCT(Mecze[[#This Row],[/PR:90]:[/BR:90]],Brudnopis!$E$25:$J$25),0)</f>
        <v>2.5252525252525256E-2</v>
      </c>
      <c r="V3138" s="44">
        <f>IF(Mecze[[#This Row],[Role]]&lt;&gt;"BR",SUMPRODUCT(Mecze[[#This Row],[/PR:90]:[/BR:90]],Brudnopis!$E$26:$J$26),0)</f>
        <v>2.0202020202020204E-2</v>
      </c>
      <c r="W3138" s="44">
        <f>IF(Mecze[[#This Row],[Role]]&lt;&gt;"BR",SUMPRODUCT(Mecze[[#This Row],[/PR:90]:[/BR:90]],Brudnopis!$E$27:$J$27),0)</f>
        <v>2.2727272727272728E-2</v>
      </c>
      <c r="X3138" s="44">
        <f>IF(Mecze[[#This Row],[Role]]&lt;&gt;"BR",SUMPRODUCT(Mecze[[#This Row],[/PR:90]:[/BR:90]],Brudnopis!$E$28:$J$28),0)</f>
        <v>1.0101010101010102E-2</v>
      </c>
      <c r="Y3138" s="35">
        <f>IF(Mecze[[#This Row],[Role]]="BR",Mecze[[#This Row],[/OB:90]]+Mecze[[#This Row],[/PC:90]],SUM(Mecze[[#This Row],[/PR:90]:[/BR:90]]))</f>
        <v>2.0202020202020204E-2</v>
      </c>
      <c r="Z3138" s="35">
        <f>IF(Mecze[[#This Row],[KC]]=0,SUM(Mecze[[#This Row],[/BRI]:[/NPI]]),SUM(Mecze[[#This Row],[/BRI]:[/NPI]])*0.6)</f>
        <v>0.10353535353535355</v>
      </c>
      <c r="AA3138" s="10">
        <f>IFERROR(Mecze[[#This Row],[BR]]/Mecze[[#This Row],[ST]],0)</f>
        <v>0</v>
      </c>
      <c r="AB3138">
        <f>ROUND(Mecze[[#This Row],[PD]]*Mecze[[#This Row],[%PC]],0)</f>
        <v>1</v>
      </c>
      <c r="AC3138">
        <f>ROUND(Mecze[[#This Row],[OD]]*Mecze[[#This Row],[%OU]],0)</f>
        <v>1</v>
      </c>
      <c r="AD3138" s="36" t="s">
        <v>167</v>
      </c>
      <c r="AE3138" s="36">
        <v>176</v>
      </c>
      <c r="AF3138" s="71">
        <v>7.04</v>
      </c>
      <c r="AG3138" s="37">
        <v>0</v>
      </c>
      <c r="AH3138" s="37">
        <v>0</v>
      </c>
      <c r="AI3138" s="37">
        <v>99</v>
      </c>
      <c r="AJ3138" s="37">
        <v>7</v>
      </c>
      <c r="AK3138" s="37" t="str">
        <f>VLOOKUP(Mecze[[#This Row],[Match ID]],Meczusie[Mecz]:Meczusie[RodzajMeczu],2,FALSE)</f>
        <v>Liga</v>
      </c>
    </row>
    <row r="3139" spans="1:37" x14ac:dyDescent="0.25">
      <c r="A3139" s="76">
        <v>150</v>
      </c>
      <c r="B3139" s="3" t="s">
        <v>335</v>
      </c>
      <c r="C3139" s="2" t="s">
        <v>157</v>
      </c>
      <c r="D3139" s="1">
        <v>0</v>
      </c>
      <c r="E3139" s="1">
        <v>0</v>
      </c>
      <c r="F3139" s="1">
        <v>0</v>
      </c>
      <c r="G3139" s="1">
        <v>4</v>
      </c>
      <c r="H3139" s="4">
        <v>0.75</v>
      </c>
      <c r="I3139" s="1">
        <v>1</v>
      </c>
      <c r="J3139" s="4">
        <v>1</v>
      </c>
      <c r="K3139" s="1">
        <v>0</v>
      </c>
      <c r="L3139" s="1">
        <v>4</v>
      </c>
      <c r="M3139" s="32">
        <f>IF(Mecze[[#This Row],[PR]]=0,0,Mecze[[#This Row],[PR]]/Mecze[[#This Row],[CZAS]])</f>
        <v>4.0404040404040407E-2</v>
      </c>
      <c r="N3139" s="32">
        <f>IF(Mecze[[#This Row],[OU]]=0,0,Mecze[[#This Row],[OU]]/Mecze[[#This Row],[CZAS]])</f>
        <v>1.0101010101010102E-2</v>
      </c>
      <c r="O3139" s="32">
        <f>IF(Mecze[[#This Row],[PC]]=0,0,Mecze[[#This Row],[PC]]/Mecze[[#This Row],[CZAS]])</f>
        <v>3.0303030303030304E-2</v>
      </c>
      <c r="P3139" s="32">
        <f>IF(Mecze[[#This Row],[SC]]=0,0,Mecze[[#This Row],[SC]]/Mecze[[#This Row],[CZAS]])</f>
        <v>0</v>
      </c>
      <c r="Q3139" s="32">
        <f>IF(Mecze[[#This Row],[OB]]=0,0,Mecze[[#This Row],[OB]]/Mecze[[#This Row],[CZAS]])</f>
        <v>0</v>
      </c>
      <c r="R3139" s="32">
        <f>IF(Mecze[[#This Row],[BR]]=0,0,Mecze[[#This Row],[BR]]/Mecze[[#This Row],[CZAS]])</f>
        <v>0</v>
      </c>
      <c r="S3139" s="44">
        <f>IF(Mecze[[#This Row],[Role]]="BR",SUMPRODUCT(Mecze[[#This Row],[/PR:90]:[/BR:90]],Brudnopis!$E$23:$J$23),0)</f>
        <v>0</v>
      </c>
      <c r="T3139" s="44">
        <f>IF(Mecze[[#This Row],[Role]]&lt;&gt;"BR",SUMPRODUCT(Mecze[[#This Row],[/PR:90]:[/BR:90]],Brudnopis!$E$24:$J$24),0)</f>
        <v>8.5858585858585856E-2</v>
      </c>
      <c r="U3139" s="44">
        <f>IF(Mecze[[#This Row],[Role]]&lt;&gt;"BR",SUMPRODUCT(Mecze[[#This Row],[/PR:90]:[/BR:90]],Brudnopis!$E$25:$J$25),0)</f>
        <v>9.5959595959595967E-2</v>
      </c>
      <c r="V3139" s="44">
        <f>IF(Mecze[[#This Row],[Role]]&lt;&gt;"BR",SUMPRODUCT(Mecze[[#This Row],[/PR:90]:[/BR:90]],Brudnopis!$E$26:$J$26),0)</f>
        <v>8.0808080808080815E-2</v>
      </c>
      <c r="W3139" s="44">
        <f>IF(Mecze[[#This Row],[Role]]&lt;&gt;"BR",SUMPRODUCT(Mecze[[#This Row],[/PR:90]:[/BR:90]],Brudnopis!$E$27:$J$27),0)</f>
        <v>8.3333333333333343E-2</v>
      </c>
      <c r="X3139" s="44">
        <f>IF(Mecze[[#This Row],[Role]]&lt;&gt;"BR",SUMPRODUCT(Mecze[[#This Row],[/PR:90]:[/BR:90]],Brudnopis!$E$28:$J$28),0)</f>
        <v>3.0303030303030304E-2</v>
      </c>
      <c r="Y3139" s="35">
        <f>IF(Mecze[[#This Row],[Role]]="BR",Mecze[[#This Row],[/OB:90]]+Mecze[[#This Row],[/PC:90]],SUM(Mecze[[#This Row],[/PR:90]:[/BR:90]]))</f>
        <v>8.0808080808080815E-2</v>
      </c>
      <c r="Z3139" s="35">
        <f>IF(Mecze[[#This Row],[KC]]=0,SUM(Mecze[[#This Row],[/BRI]:[/NPI]]),SUM(Mecze[[#This Row],[/BRI]:[/NPI]])*0.6)</f>
        <v>0.3762626262626263</v>
      </c>
      <c r="AA3139" s="10">
        <f>IFERROR(Mecze[[#This Row],[BR]]/Mecze[[#This Row],[ST]],0)</f>
        <v>0</v>
      </c>
      <c r="AB3139">
        <f>ROUND(Mecze[[#This Row],[PD]]*Mecze[[#This Row],[%PC]],0)</f>
        <v>3</v>
      </c>
      <c r="AC3139">
        <f>ROUND(Mecze[[#This Row],[OD]]*Mecze[[#This Row],[%OU]],0)</f>
        <v>1</v>
      </c>
      <c r="AD3139" s="36" t="s">
        <v>168</v>
      </c>
      <c r="AE3139" s="36">
        <v>176</v>
      </c>
      <c r="AF3139" s="71">
        <v>7.88</v>
      </c>
      <c r="AG3139" s="37">
        <v>0</v>
      </c>
      <c r="AH3139" s="37">
        <v>0</v>
      </c>
      <c r="AI3139" s="37">
        <v>99</v>
      </c>
      <c r="AJ3139" s="37">
        <v>7</v>
      </c>
      <c r="AK3139" s="37" t="str">
        <f>VLOOKUP(Mecze[[#This Row],[Match ID]],Meczusie[Mecz]:Meczusie[RodzajMeczu],2,FALSE)</f>
        <v>Liga</v>
      </c>
    </row>
    <row r="3140" spans="1:37" x14ac:dyDescent="0.25">
      <c r="A3140" s="76">
        <v>157</v>
      </c>
      <c r="B3140" s="3" t="s">
        <v>512</v>
      </c>
      <c r="C3140" s="2" t="s">
        <v>157</v>
      </c>
      <c r="D3140" s="1">
        <v>0</v>
      </c>
      <c r="E3140" s="1">
        <v>0</v>
      </c>
      <c r="F3140" s="1">
        <v>0</v>
      </c>
      <c r="G3140" s="1">
        <v>0</v>
      </c>
      <c r="H3140" s="72"/>
      <c r="I3140" s="1">
        <v>0</v>
      </c>
      <c r="J3140" s="4"/>
      <c r="K3140" s="1">
        <v>0</v>
      </c>
      <c r="L3140" s="1">
        <v>0</v>
      </c>
      <c r="M3140" s="32">
        <f>IF(Mecze[[#This Row],[PR]]=0,0,Mecze[[#This Row],[PR]]/Mecze[[#This Row],[CZAS]])</f>
        <v>0</v>
      </c>
      <c r="N3140" s="32">
        <f>IF(Mecze[[#This Row],[OU]]=0,0,Mecze[[#This Row],[OU]]/Mecze[[#This Row],[CZAS]])</f>
        <v>0</v>
      </c>
      <c r="O3140" s="32">
        <f>IF(Mecze[[#This Row],[PC]]=0,0,Mecze[[#This Row],[PC]]/Mecze[[#This Row],[CZAS]])</f>
        <v>0</v>
      </c>
      <c r="P3140" s="32">
        <f>IF(Mecze[[#This Row],[SC]]=0,0,Mecze[[#This Row],[SC]]/Mecze[[#This Row],[CZAS]])</f>
        <v>0</v>
      </c>
      <c r="Q3140" s="32">
        <f>IF(Mecze[[#This Row],[OB]]=0,0,Mecze[[#This Row],[OB]]/Mecze[[#This Row],[CZAS]])</f>
        <v>0</v>
      </c>
      <c r="R3140" s="32">
        <f>IF(Mecze[[#This Row],[BR]]=0,0,Mecze[[#This Row],[BR]]/Mecze[[#This Row],[CZAS]])</f>
        <v>0</v>
      </c>
      <c r="S3140" s="44">
        <f>IF(Mecze[[#This Row],[Role]]="BR",SUMPRODUCT(Mecze[[#This Row],[/PR:90]:[/BR:90]],Brudnopis!$E$23:$J$23),0)</f>
        <v>0</v>
      </c>
      <c r="T3140" s="44">
        <f>IF(Mecze[[#This Row],[Role]]&lt;&gt;"BR",SUMPRODUCT(Mecze[[#This Row],[/PR:90]:[/BR:90]],Brudnopis!$E$24:$J$24),0)</f>
        <v>0</v>
      </c>
      <c r="U3140" s="44">
        <f>IF(Mecze[[#This Row],[Role]]&lt;&gt;"BR",SUMPRODUCT(Mecze[[#This Row],[/PR:90]:[/BR:90]],Brudnopis!$E$25:$J$25),0)</f>
        <v>0</v>
      </c>
      <c r="V3140" s="44">
        <f>IF(Mecze[[#This Row],[Role]]&lt;&gt;"BR",SUMPRODUCT(Mecze[[#This Row],[/PR:90]:[/BR:90]],Brudnopis!$E$26:$J$26),0)</f>
        <v>0</v>
      </c>
      <c r="W3140" s="44">
        <f>IF(Mecze[[#This Row],[Role]]&lt;&gt;"BR",SUMPRODUCT(Mecze[[#This Row],[/PR:90]:[/BR:90]],Brudnopis!$E$27:$J$27),0)</f>
        <v>0</v>
      </c>
      <c r="X3140" s="44">
        <f>IF(Mecze[[#This Row],[Role]]&lt;&gt;"BR",SUMPRODUCT(Mecze[[#This Row],[/PR:90]:[/BR:90]],Brudnopis!$E$28:$J$28),0)</f>
        <v>0</v>
      </c>
      <c r="Y3140" s="35">
        <f>IF(Mecze[[#This Row],[Role]]="BR",Mecze[[#This Row],[/OB:90]]+Mecze[[#This Row],[/PC:90]],SUM(Mecze[[#This Row],[/PR:90]:[/BR:90]]))</f>
        <v>0</v>
      </c>
      <c r="Z3140" s="35">
        <f>IF(Mecze[[#This Row],[KC]]=0,SUM(Mecze[[#This Row],[/BRI]:[/NPI]]),SUM(Mecze[[#This Row],[/BRI]:[/NPI]])*0.6)</f>
        <v>0</v>
      </c>
      <c r="AA3140" s="10">
        <f>IFERROR(Mecze[[#This Row],[BR]]/Mecze[[#This Row],[ST]],0)</f>
        <v>0</v>
      </c>
      <c r="AB3140">
        <f>ROUND(Mecze[[#This Row],[PD]]*Mecze[[#This Row],[%PC]],0)</f>
        <v>0</v>
      </c>
      <c r="AC3140">
        <f>ROUND(Mecze[[#This Row],[OD]]*Mecze[[#This Row],[%OU]],0)</f>
        <v>0</v>
      </c>
      <c r="AD3140" s="36" t="s">
        <v>175</v>
      </c>
      <c r="AE3140" s="36">
        <v>176</v>
      </c>
      <c r="AF3140" s="71">
        <v>7.04</v>
      </c>
      <c r="AG3140" s="37">
        <v>0</v>
      </c>
      <c r="AH3140" s="37">
        <v>0</v>
      </c>
      <c r="AI3140" s="37">
        <v>99</v>
      </c>
      <c r="AJ3140" s="37">
        <v>7</v>
      </c>
      <c r="AK3140" s="37" t="str">
        <f>VLOOKUP(Mecze[[#This Row],[Match ID]],Meczusie[Mecz]:Meczusie[RodzajMeczu],2,FALSE)</f>
        <v>Liga</v>
      </c>
    </row>
    <row r="3141" spans="1:37" x14ac:dyDescent="0.25">
      <c r="A3141" s="76">
        <v>153</v>
      </c>
      <c r="B3141" s="3" t="s">
        <v>432</v>
      </c>
      <c r="C3141" s="2" t="s">
        <v>157</v>
      </c>
      <c r="D3141" s="1">
        <v>0</v>
      </c>
      <c r="E3141" s="1">
        <v>0</v>
      </c>
      <c r="F3141" s="1">
        <v>0</v>
      </c>
      <c r="G3141" s="1">
        <v>1</v>
      </c>
      <c r="H3141" s="4">
        <v>1</v>
      </c>
      <c r="I3141" s="1">
        <v>0</v>
      </c>
      <c r="J3141" s="4"/>
      <c r="K3141" s="1">
        <v>0</v>
      </c>
      <c r="L3141" s="1">
        <v>1</v>
      </c>
      <c r="M3141" s="32">
        <f>IF(Mecze[[#This Row],[PR]]=0,0,Mecze[[#This Row],[PR]]/Mecze[[#This Row],[CZAS]])</f>
        <v>1.0101010101010102E-2</v>
      </c>
      <c r="N3141" s="32">
        <f>IF(Mecze[[#This Row],[OU]]=0,0,Mecze[[#This Row],[OU]]/Mecze[[#This Row],[CZAS]])</f>
        <v>0</v>
      </c>
      <c r="O3141" s="32">
        <f>IF(Mecze[[#This Row],[PC]]=0,0,Mecze[[#This Row],[PC]]/Mecze[[#This Row],[CZAS]])</f>
        <v>1.0101010101010102E-2</v>
      </c>
      <c r="P3141" s="32">
        <f>IF(Mecze[[#This Row],[SC]]=0,0,Mecze[[#This Row],[SC]]/Mecze[[#This Row],[CZAS]])</f>
        <v>0</v>
      </c>
      <c r="Q3141" s="32">
        <f>IF(Mecze[[#This Row],[OB]]=0,0,Mecze[[#This Row],[OB]]/Mecze[[#This Row],[CZAS]])</f>
        <v>0</v>
      </c>
      <c r="R3141" s="32">
        <f>IF(Mecze[[#This Row],[BR]]=0,0,Mecze[[#This Row],[BR]]/Mecze[[#This Row],[CZAS]])</f>
        <v>0</v>
      </c>
      <c r="S3141" s="44">
        <f>IF(Mecze[[#This Row],[Role]]="BR",SUMPRODUCT(Mecze[[#This Row],[/PR:90]:[/BR:90]],Brudnopis!$E$23:$J$23),0)</f>
        <v>0</v>
      </c>
      <c r="T3141" s="44">
        <f>IF(Mecze[[#This Row],[Role]]&lt;&gt;"BR",SUMPRODUCT(Mecze[[#This Row],[/PR:90]:[/BR:90]],Brudnopis!$E$24:$J$24),0)</f>
        <v>2.0202020202020204E-2</v>
      </c>
      <c r="U3141" s="44">
        <f>IF(Mecze[[#This Row],[Role]]&lt;&gt;"BR",SUMPRODUCT(Mecze[[#This Row],[/PR:90]:[/BR:90]],Brudnopis!$E$25:$J$25),0)</f>
        <v>2.5252525252525256E-2</v>
      </c>
      <c r="V3141" s="44">
        <f>IF(Mecze[[#This Row],[Role]]&lt;&gt;"BR",SUMPRODUCT(Mecze[[#This Row],[/PR:90]:[/BR:90]],Brudnopis!$E$26:$J$26),0)</f>
        <v>2.0202020202020204E-2</v>
      </c>
      <c r="W3141" s="44">
        <f>IF(Mecze[[#This Row],[Role]]&lt;&gt;"BR",SUMPRODUCT(Mecze[[#This Row],[/PR:90]:[/BR:90]],Brudnopis!$E$27:$J$27),0)</f>
        <v>2.2727272727272728E-2</v>
      </c>
      <c r="X3141" s="44">
        <f>IF(Mecze[[#This Row],[Role]]&lt;&gt;"BR",SUMPRODUCT(Mecze[[#This Row],[/PR:90]:[/BR:90]],Brudnopis!$E$28:$J$28),0)</f>
        <v>1.0101010101010102E-2</v>
      </c>
      <c r="Y3141" s="35">
        <f>IF(Mecze[[#This Row],[Role]]="BR",Mecze[[#This Row],[/OB:90]]+Mecze[[#This Row],[/PC:90]],SUM(Mecze[[#This Row],[/PR:90]:[/BR:90]]))</f>
        <v>2.0202020202020204E-2</v>
      </c>
      <c r="Z3141" s="35">
        <f>IF(Mecze[[#This Row],[KC]]=0,SUM(Mecze[[#This Row],[/BRI]:[/NPI]]),SUM(Mecze[[#This Row],[/BRI]:[/NPI]])*0.6)</f>
        <v>9.8484848484848495E-2</v>
      </c>
      <c r="AA3141" s="10">
        <f>IFERROR(Mecze[[#This Row],[BR]]/Mecze[[#This Row],[ST]],0)</f>
        <v>0</v>
      </c>
      <c r="AB3141">
        <f>ROUND(Mecze[[#This Row],[PD]]*Mecze[[#This Row],[%PC]],0)</f>
        <v>1</v>
      </c>
      <c r="AC3141">
        <f>ROUND(Mecze[[#This Row],[OD]]*Mecze[[#This Row],[%OU]],0)</f>
        <v>0</v>
      </c>
      <c r="AD3141" s="36" t="s">
        <v>174</v>
      </c>
      <c r="AE3141" s="36">
        <v>176</v>
      </c>
      <c r="AF3141" s="71">
        <v>7.25</v>
      </c>
      <c r="AG3141" s="37">
        <v>0</v>
      </c>
      <c r="AH3141" s="37">
        <v>0</v>
      </c>
      <c r="AI3141" s="37">
        <v>99</v>
      </c>
      <c r="AJ3141" s="37">
        <v>7</v>
      </c>
      <c r="AK3141" s="37" t="str">
        <f>VLOOKUP(Mecze[[#This Row],[Match ID]],Meczusie[Mecz]:Meczusie[RodzajMeczu],2,FALSE)</f>
        <v>Liga</v>
      </c>
    </row>
    <row r="3142" spans="1:37" x14ac:dyDescent="0.25">
      <c r="A3142" s="76">
        <v>159</v>
      </c>
      <c r="B3142" s="3" t="s">
        <v>338</v>
      </c>
      <c r="C3142" s="2" t="s">
        <v>160</v>
      </c>
      <c r="D3142" s="1">
        <v>0</v>
      </c>
      <c r="E3142" s="1">
        <v>0</v>
      </c>
      <c r="F3142" s="1">
        <v>0</v>
      </c>
      <c r="G3142" s="1">
        <v>10</v>
      </c>
      <c r="H3142" s="4">
        <v>0.9</v>
      </c>
      <c r="I3142" s="1">
        <v>4</v>
      </c>
      <c r="J3142" s="4">
        <v>0.5</v>
      </c>
      <c r="K3142" s="1">
        <v>0</v>
      </c>
      <c r="L3142" s="1">
        <v>8</v>
      </c>
      <c r="M3142" s="32">
        <f>IF(Mecze[[#This Row],[PR]]=0,0,Mecze[[#This Row],[PR]]/Mecze[[#This Row],[CZAS]])</f>
        <v>8.0808080808080815E-2</v>
      </c>
      <c r="N3142" s="32">
        <f>IF(Mecze[[#This Row],[OU]]=0,0,Mecze[[#This Row],[OU]]/Mecze[[#This Row],[CZAS]])</f>
        <v>2.0202020202020204E-2</v>
      </c>
      <c r="O3142" s="32">
        <f>IF(Mecze[[#This Row],[PC]]=0,0,Mecze[[#This Row],[PC]]/Mecze[[#This Row],[CZAS]])</f>
        <v>9.0909090909090912E-2</v>
      </c>
      <c r="P3142" s="32">
        <f>IF(Mecze[[#This Row],[SC]]=0,0,Mecze[[#This Row],[SC]]/Mecze[[#This Row],[CZAS]])</f>
        <v>0</v>
      </c>
      <c r="Q3142" s="32">
        <f>IF(Mecze[[#This Row],[OB]]=0,0,Mecze[[#This Row],[OB]]/Mecze[[#This Row],[CZAS]])</f>
        <v>0</v>
      </c>
      <c r="R3142" s="32">
        <f>IF(Mecze[[#This Row],[BR]]=0,0,Mecze[[#This Row],[BR]]/Mecze[[#This Row],[CZAS]])</f>
        <v>0</v>
      </c>
      <c r="S3142" s="44">
        <f>IF(Mecze[[#This Row],[Role]]="BR",SUMPRODUCT(Mecze[[#This Row],[/PR:90]:[/BR:90]],Brudnopis!$E$23:$J$23),0)</f>
        <v>0</v>
      </c>
      <c r="T3142" s="44">
        <f>IF(Mecze[[#This Row],[Role]]&lt;&gt;"BR",SUMPRODUCT(Mecze[[#This Row],[/PR:90]:[/BR:90]],Brudnopis!$E$24:$J$24),0)</f>
        <v>0.20202020202020204</v>
      </c>
      <c r="U3142" s="44">
        <f>IF(Mecze[[#This Row],[Role]]&lt;&gt;"BR",SUMPRODUCT(Mecze[[#This Row],[/PR:90]:[/BR:90]],Brudnopis!$E$25:$J$25),0)</f>
        <v>0.23737373737373738</v>
      </c>
      <c r="V3142" s="44">
        <f>IF(Mecze[[#This Row],[Role]]&lt;&gt;"BR",SUMPRODUCT(Mecze[[#This Row],[/PR:90]:[/BR:90]],Brudnopis!$E$26:$J$26),0)</f>
        <v>0.19191919191919193</v>
      </c>
      <c r="W3142" s="44">
        <f>IF(Mecze[[#This Row],[Role]]&lt;&gt;"BR",SUMPRODUCT(Mecze[[#This Row],[/PR:90]:[/BR:90]],Brudnopis!$E$27:$J$27),0)</f>
        <v>0.2121212121212121</v>
      </c>
      <c r="X3142" s="44">
        <f>IF(Mecze[[#This Row],[Role]]&lt;&gt;"BR",SUMPRODUCT(Mecze[[#This Row],[/PR:90]:[/BR:90]],Brudnopis!$E$28:$J$28),0)</f>
        <v>9.0909090909090912E-2</v>
      </c>
      <c r="Y3142" s="35">
        <f>IF(Mecze[[#This Row],[Role]]="BR",Mecze[[#This Row],[/OB:90]]+Mecze[[#This Row],[/PC:90]],SUM(Mecze[[#This Row],[/PR:90]:[/BR:90]]))</f>
        <v>0.19191919191919193</v>
      </c>
      <c r="Z3142" s="35">
        <f>IF(Mecze[[#This Row],[KC]]=0,SUM(Mecze[[#This Row],[/BRI]:[/NPI]]),SUM(Mecze[[#This Row],[/BRI]:[/NPI]])*0.6)</f>
        <v>0.93434343434343436</v>
      </c>
      <c r="AA3142" s="10">
        <f>IFERROR(Mecze[[#This Row],[BR]]/Mecze[[#This Row],[ST]],0)</f>
        <v>0</v>
      </c>
      <c r="AB3142">
        <f>ROUND(Mecze[[#This Row],[PD]]*Mecze[[#This Row],[%PC]],0)</f>
        <v>9</v>
      </c>
      <c r="AC3142">
        <f>ROUND(Mecze[[#This Row],[OD]]*Mecze[[#This Row],[%OU]],0)</f>
        <v>2</v>
      </c>
      <c r="AD3142" s="36" t="s">
        <v>41</v>
      </c>
      <c r="AE3142" s="36">
        <v>176</v>
      </c>
      <c r="AF3142" s="71">
        <v>10.84</v>
      </c>
      <c r="AG3142" s="37">
        <v>0</v>
      </c>
      <c r="AH3142" s="37">
        <v>0</v>
      </c>
      <c r="AI3142" s="37">
        <v>99</v>
      </c>
      <c r="AJ3142" s="37">
        <v>7</v>
      </c>
      <c r="AK3142" s="37" t="str">
        <f>VLOOKUP(Mecze[[#This Row],[Match ID]],Meczusie[Mecz]:Meczusie[RodzajMeczu],2,FALSE)</f>
        <v>Liga</v>
      </c>
    </row>
    <row r="3143" spans="1:37" x14ac:dyDescent="0.25">
      <c r="A3143" s="76">
        <v>200</v>
      </c>
      <c r="B3143" s="3" t="s">
        <v>339</v>
      </c>
      <c r="C3143" s="2" t="s">
        <v>160</v>
      </c>
      <c r="D3143" s="1">
        <v>0</v>
      </c>
      <c r="E3143" s="1">
        <v>1</v>
      </c>
      <c r="F3143" s="1">
        <v>1</v>
      </c>
      <c r="G3143" s="1">
        <v>16</v>
      </c>
      <c r="H3143" s="4">
        <v>0.88</v>
      </c>
      <c r="I3143" s="1">
        <v>3</v>
      </c>
      <c r="J3143" s="4">
        <v>1</v>
      </c>
      <c r="K3143" s="1">
        <v>0</v>
      </c>
      <c r="L3143" s="1">
        <v>11</v>
      </c>
      <c r="M3143" s="32">
        <f>IF(Mecze[[#This Row],[PR]]=0,0,Mecze[[#This Row],[PR]]/Mecze[[#This Row],[CZAS]])</f>
        <v>0.1111111111111111</v>
      </c>
      <c r="N3143" s="32">
        <f>IF(Mecze[[#This Row],[OU]]=0,0,Mecze[[#This Row],[OU]]/Mecze[[#This Row],[CZAS]])</f>
        <v>3.0303030303030304E-2</v>
      </c>
      <c r="O3143" s="32">
        <f>IF(Mecze[[#This Row],[PC]]=0,0,Mecze[[#This Row],[PC]]/Mecze[[#This Row],[CZAS]])</f>
        <v>0.14141414141414141</v>
      </c>
      <c r="P3143" s="32">
        <f>IF(Mecze[[#This Row],[SC]]=0,0,Mecze[[#This Row],[SC]]/Mecze[[#This Row],[CZAS]])</f>
        <v>1.0101010101010102E-2</v>
      </c>
      <c r="Q3143" s="32">
        <f>IF(Mecze[[#This Row],[OB]]=0,0,Mecze[[#This Row],[OB]]/Mecze[[#This Row],[CZAS]])</f>
        <v>0</v>
      </c>
      <c r="R3143" s="32">
        <f>IF(Mecze[[#This Row],[BR]]=0,0,Mecze[[#This Row],[BR]]/Mecze[[#This Row],[CZAS]])</f>
        <v>0</v>
      </c>
      <c r="S3143" s="44">
        <f>IF(Mecze[[#This Row],[Role]]="BR",SUMPRODUCT(Mecze[[#This Row],[/PR:90]:[/BR:90]],Brudnopis!$E$23:$J$23),0)</f>
        <v>0</v>
      </c>
      <c r="T3143" s="44">
        <f>IF(Mecze[[#This Row],[Role]]&lt;&gt;"BR",SUMPRODUCT(Mecze[[#This Row],[/PR:90]:[/BR:90]],Brudnopis!$E$24:$J$24),0)</f>
        <v>0.30808080808080812</v>
      </c>
      <c r="U3143" s="44">
        <f>IF(Mecze[[#This Row],[Role]]&lt;&gt;"BR",SUMPRODUCT(Mecze[[#This Row],[/PR:90]:[/BR:90]],Brudnopis!$E$25:$J$25),0)</f>
        <v>0.36363636363636359</v>
      </c>
      <c r="V3143" s="44">
        <f>IF(Mecze[[#This Row],[Role]]&lt;&gt;"BR",SUMPRODUCT(Mecze[[#This Row],[/PR:90]:[/BR:90]],Brudnopis!$E$26:$J$26),0)</f>
        <v>0.29292929292929293</v>
      </c>
      <c r="W3143" s="44">
        <f>IF(Mecze[[#This Row],[Role]]&lt;&gt;"BR",SUMPRODUCT(Mecze[[#This Row],[/PR:90]:[/BR:90]],Brudnopis!$E$27:$J$27),0)</f>
        <v>0.32828282828282823</v>
      </c>
      <c r="X3143" s="44">
        <f>IF(Mecze[[#This Row],[Role]]&lt;&gt;"BR",SUMPRODUCT(Mecze[[#This Row],[/PR:90]:[/BR:90]],Brudnopis!$E$28:$J$28),0)</f>
        <v>0.1616161616161616</v>
      </c>
      <c r="Y3143" s="35">
        <f>IF(Mecze[[#This Row],[Role]]="BR",Mecze[[#This Row],[/OB:90]]+Mecze[[#This Row],[/PC:90]],SUM(Mecze[[#This Row],[/PR:90]:[/BR:90]]))</f>
        <v>0.29292929292929293</v>
      </c>
      <c r="Z3143" s="35">
        <f>IF(Mecze[[#This Row],[KC]]=0,SUM(Mecze[[#This Row],[/BRI]:[/NPI]]),SUM(Mecze[[#This Row],[/BRI]:[/NPI]])*0.6)</f>
        <v>1.4545454545454544</v>
      </c>
      <c r="AA3143" s="10">
        <f>IFERROR(Mecze[[#This Row],[BR]]/Mecze[[#This Row],[ST]],0)</f>
        <v>0</v>
      </c>
      <c r="AB3143">
        <f>ROUND(Mecze[[#This Row],[PD]]*Mecze[[#This Row],[%PC]],0)</f>
        <v>14</v>
      </c>
      <c r="AC3143">
        <f>ROUND(Mecze[[#This Row],[OD]]*Mecze[[#This Row],[%OU]],0)</f>
        <v>3</v>
      </c>
      <c r="AD3143" s="36" t="s">
        <v>41</v>
      </c>
      <c r="AE3143" s="36">
        <v>176</v>
      </c>
      <c r="AF3143" s="71">
        <v>11.7</v>
      </c>
      <c r="AG3143" s="37">
        <v>0</v>
      </c>
      <c r="AH3143" s="37">
        <v>0</v>
      </c>
      <c r="AI3143" s="37">
        <v>99</v>
      </c>
      <c r="AJ3143" s="37">
        <v>7</v>
      </c>
      <c r="AK3143" s="37" t="str">
        <f>VLOOKUP(Mecze[[#This Row],[Match ID]],Meczusie[Mecz]:Meczusie[RodzajMeczu],2,FALSE)</f>
        <v>Liga</v>
      </c>
    </row>
    <row r="3144" spans="1:37" x14ac:dyDescent="0.25">
      <c r="A3144" s="76">
        <v>70</v>
      </c>
      <c r="B3144" s="3" t="s">
        <v>341</v>
      </c>
      <c r="C3144" s="2" t="s">
        <v>160</v>
      </c>
      <c r="D3144" s="1">
        <v>0</v>
      </c>
      <c r="E3144" s="1">
        <v>0</v>
      </c>
      <c r="F3144" s="1">
        <v>0</v>
      </c>
      <c r="G3144" s="1">
        <v>10</v>
      </c>
      <c r="H3144" s="4">
        <v>0.9</v>
      </c>
      <c r="I3144" s="1">
        <v>0</v>
      </c>
      <c r="J3144" s="4"/>
      <c r="K3144" s="1">
        <v>0</v>
      </c>
      <c r="L3144" s="1">
        <v>0</v>
      </c>
      <c r="M3144" s="32">
        <f>IF(Mecze[[#This Row],[PR]]=0,0,Mecze[[#This Row],[PR]]/Mecze[[#This Row],[CZAS]])</f>
        <v>0</v>
      </c>
      <c r="N3144" s="32">
        <f>IF(Mecze[[#This Row],[OU]]=0,0,Mecze[[#This Row],[OU]]/Mecze[[#This Row],[CZAS]])</f>
        <v>0</v>
      </c>
      <c r="O3144" s="32">
        <f>IF(Mecze[[#This Row],[PC]]=0,0,Mecze[[#This Row],[PC]]/Mecze[[#This Row],[CZAS]])</f>
        <v>9.0909090909090912E-2</v>
      </c>
      <c r="P3144" s="32">
        <f>IF(Mecze[[#This Row],[SC]]=0,0,Mecze[[#This Row],[SC]]/Mecze[[#This Row],[CZAS]])</f>
        <v>0</v>
      </c>
      <c r="Q3144" s="32">
        <f>IF(Mecze[[#This Row],[OB]]=0,0,Mecze[[#This Row],[OB]]/Mecze[[#This Row],[CZAS]])</f>
        <v>0</v>
      </c>
      <c r="R3144" s="32">
        <f>IF(Mecze[[#This Row],[BR]]=0,0,Mecze[[#This Row],[BR]]/Mecze[[#This Row],[CZAS]])</f>
        <v>0</v>
      </c>
      <c r="S3144" s="44">
        <f>IF(Mecze[[#This Row],[Role]]="BR",SUMPRODUCT(Mecze[[#This Row],[/PR:90]:[/BR:90]],Brudnopis!$E$23:$J$23),0)</f>
        <v>0</v>
      </c>
      <c r="T3144" s="44">
        <f>IF(Mecze[[#This Row],[Role]]&lt;&gt;"BR",SUMPRODUCT(Mecze[[#This Row],[/PR:90]:[/BR:90]],Brudnopis!$E$24:$J$24),0)</f>
        <v>9.0909090909090912E-2</v>
      </c>
      <c r="U3144" s="44">
        <f>IF(Mecze[[#This Row],[Role]]&lt;&gt;"BR",SUMPRODUCT(Mecze[[#This Row],[/PR:90]:[/BR:90]],Brudnopis!$E$25:$J$25),0)</f>
        <v>0.13636363636363635</v>
      </c>
      <c r="V3144" s="44">
        <f>IF(Mecze[[#This Row],[Role]]&lt;&gt;"BR",SUMPRODUCT(Mecze[[#This Row],[/PR:90]:[/BR:90]],Brudnopis!$E$26:$J$26),0)</f>
        <v>9.0909090909090912E-2</v>
      </c>
      <c r="W3144" s="44">
        <f>IF(Mecze[[#This Row],[Role]]&lt;&gt;"BR",SUMPRODUCT(Mecze[[#This Row],[/PR:90]:[/BR:90]],Brudnopis!$E$27:$J$27),0)</f>
        <v>0.13636363636363635</v>
      </c>
      <c r="X3144" s="44">
        <f>IF(Mecze[[#This Row],[Role]]&lt;&gt;"BR",SUMPRODUCT(Mecze[[#This Row],[/PR:90]:[/BR:90]],Brudnopis!$E$28:$J$28),0)</f>
        <v>9.0909090909090912E-2</v>
      </c>
      <c r="Y3144" s="35">
        <f>IF(Mecze[[#This Row],[Role]]="BR",Mecze[[#This Row],[/OB:90]]+Mecze[[#This Row],[/PC:90]],SUM(Mecze[[#This Row],[/PR:90]:[/BR:90]]))</f>
        <v>9.0909090909090912E-2</v>
      </c>
      <c r="Z3144" s="35">
        <f>IF(Mecze[[#This Row],[KC]]=0,SUM(Mecze[[#This Row],[/BRI]:[/NPI]]),SUM(Mecze[[#This Row],[/BRI]:[/NPI]])*0.6)</f>
        <v>0.54545454545454541</v>
      </c>
      <c r="AA3144" s="10">
        <f>IFERROR(Mecze[[#This Row],[BR]]/Mecze[[#This Row],[ST]],0)</f>
        <v>0</v>
      </c>
      <c r="AB3144">
        <f>ROUND(Mecze[[#This Row],[PD]]*Mecze[[#This Row],[%PC]],0)</f>
        <v>9</v>
      </c>
      <c r="AC3144">
        <f>ROUND(Mecze[[#This Row],[OD]]*Mecze[[#This Row],[%OU]],0)</f>
        <v>0</v>
      </c>
      <c r="AD3144" s="36" t="s">
        <v>299</v>
      </c>
      <c r="AE3144" s="36">
        <v>176</v>
      </c>
      <c r="AF3144" s="71">
        <v>9.16</v>
      </c>
      <c r="AG3144" s="37">
        <v>0</v>
      </c>
      <c r="AH3144" s="37">
        <v>0</v>
      </c>
      <c r="AI3144" s="37">
        <v>99</v>
      </c>
      <c r="AJ3144" s="37">
        <v>7</v>
      </c>
      <c r="AK3144" s="37" t="str">
        <f>VLOOKUP(Mecze[[#This Row],[Match ID]],Meczusie[Mecz]:Meczusie[RodzajMeczu],2,FALSE)</f>
        <v>Liga</v>
      </c>
    </row>
    <row r="3145" spans="1:37" x14ac:dyDescent="0.25">
      <c r="A3145" s="76">
        <v>203</v>
      </c>
      <c r="B3145" s="3" t="s">
        <v>342</v>
      </c>
      <c r="C3145" s="2" t="s">
        <v>165</v>
      </c>
      <c r="D3145" s="1">
        <v>8</v>
      </c>
      <c r="E3145" s="1">
        <v>18</v>
      </c>
      <c r="F3145" s="1">
        <v>15</v>
      </c>
      <c r="G3145" s="1">
        <v>2</v>
      </c>
      <c r="H3145" s="4">
        <v>0.5</v>
      </c>
      <c r="I3145" s="1">
        <v>2</v>
      </c>
      <c r="J3145" s="4">
        <v>0</v>
      </c>
      <c r="K3145" s="1">
        <v>0</v>
      </c>
      <c r="L3145" s="1">
        <v>1</v>
      </c>
      <c r="M3145" s="32">
        <f>IF(Mecze[[#This Row],[PR]]=0,0,Mecze[[#This Row],[PR]]/Mecze[[#This Row],[CZAS]])</f>
        <v>1.0101010101010102E-2</v>
      </c>
      <c r="N3145" s="32">
        <f>IF(Mecze[[#This Row],[OU]]=0,0,Mecze[[#This Row],[OU]]/Mecze[[#This Row],[CZAS]])</f>
        <v>0</v>
      </c>
      <c r="O3145" s="32">
        <f>IF(Mecze[[#This Row],[PC]]=0,0,Mecze[[#This Row],[PC]]/Mecze[[#This Row],[CZAS]])</f>
        <v>1.0101010101010102E-2</v>
      </c>
      <c r="P3145" s="32">
        <f>IF(Mecze[[#This Row],[SC]]=0,0,Mecze[[#This Row],[SC]]/Mecze[[#This Row],[CZAS]])</f>
        <v>0.15151515151515152</v>
      </c>
      <c r="Q3145" s="32">
        <f>IF(Mecze[[#This Row],[OB]]=0,0,Mecze[[#This Row],[OB]]/Mecze[[#This Row],[CZAS]])</f>
        <v>0</v>
      </c>
      <c r="R3145" s="32">
        <f>IF(Mecze[[#This Row],[BR]]=0,0,Mecze[[#This Row],[BR]]/Mecze[[#This Row],[CZAS]])</f>
        <v>8.0808080808080815E-2</v>
      </c>
      <c r="S3145" s="44">
        <f>IF(Mecze[[#This Row],[Role]]="BR",SUMPRODUCT(Mecze[[#This Row],[/PR:90]:[/BR:90]],Brudnopis!$E$23:$J$23),0)</f>
        <v>0</v>
      </c>
      <c r="T3145" s="44">
        <f>IF(Mecze[[#This Row],[Role]]&lt;&gt;"BR",SUMPRODUCT(Mecze[[#This Row],[/PR:90]:[/BR:90]],Brudnopis!$E$24:$J$24),0)</f>
        <v>0.29292929292929293</v>
      </c>
      <c r="U3145" s="44">
        <f>IF(Mecze[[#This Row],[Role]]&lt;&gt;"BR",SUMPRODUCT(Mecze[[#This Row],[/PR:90]:[/BR:90]],Brudnopis!$E$25:$J$25),0)</f>
        <v>0.29797979797979801</v>
      </c>
      <c r="V3145" s="44">
        <f>IF(Mecze[[#This Row],[Role]]&lt;&gt;"BR",SUMPRODUCT(Mecze[[#This Row],[/PR:90]:[/BR:90]],Brudnopis!$E$26:$J$26),0)</f>
        <v>0.33333333333333337</v>
      </c>
      <c r="W3145" s="44">
        <f>IF(Mecze[[#This Row],[Role]]&lt;&gt;"BR",SUMPRODUCT(Mecze[[#This Row],[/PR:90]:[/BR:90]],Brudnopis!$E$27:$J$27),0)</f>
        <v>0.33585858585858586</v>
      </c>
      <c r="X3145" s="44">
        <f>IF(Mecze[[#This Row],[Role]]&lt;&gt;"BR",SUMPRODUCT(Mecze[[#This Row],[/PR:90]:[/BR:90]],Brudnopis!$E$28:$J$28),0)</f>
        <v>0.55555555555555558</v>
      </c>
      <c r="Y3145" s="35">
        <f>IF(Mecze[[#This Row],[Role]]="BR",Mecze[[#This Row],[/OB:90]]+Mecze[[#This Row],[/PC:90]],SUM(Mecze[[#This Row],[/PR:90]:[/BR:90]]))</f>
        <v>0.25252525252525254</v>
      </c>
      <c r="Z3145" s="35">
        <f>IF(Mecze[[#This Row],[KC]]=0,SUM(Mecze[[#This Row],[/BRI]:[/NPI]]),SUM(Mecze[[#This Row],[/BRI]:[/NPI]])*0.6)</f>
        <v>1.8156565656565657</v>
      </c>
      <c r="AA3145" s="10">
        <f>IFERROR(Mecze[[#This Row],[BR]]/Mecze[[#This Row],[ST]],0)</f>
        <v>0.44444444444444442</v>
      </c>
      <c r="AB3145">
        <f>ROUND(Mecze[[#This Row],[PD]]*Mecze[[#This Row],[%PC]],0)</f>
        <v>1</v>
      </c>
      <c r="AC3145">
        <f>ROUND(Mecze[[#This Row],[OD]]*Mecze[[#This Row],[%OU]],0)</f>
        <v>0</v>
      </c>
      <c r="AD3145" s="36" t="s">
        <v>46</v>
      </c>
      <c r="AE3145" s="36">
        <v>176</v>
      </c>
      <c r="AF3145" s="71">
        <v>25.63</v>
      </c>
      <c r="AG3145" s="37">
        <v>0</v>
      </c>
      <c r="AH3145" s="37">
        <v>0</v>
      </c>
      <c r="AI3145" s="37">
        <v>99</v>
      </c>
      <c r="AJ3145" s="37">
        <v>7</v>
      </c>
      <c r="AK3145" s="37" t="str">
        <f>VLOOKUP(Mecze[[#This Row],[Match ID]],Meczusie[Mecz]:Meczusie[RodzajMeczu],2,FALSE)</f>
        <v>Liga</v>
      </c>
    </row>
    <row r="3146" spans="1:37" x14ac:dyDescent="0.25">
      <c r="A3146" s="76">
        <v>104</v>
      </c>
      <c r="B3146" s="3" t="s">
        <v>343</v>
      </c>
      <c r="C3146" s="2" t="s">
        <v>165</v>
      </c>
      <c r="D3146" s="1">
        <v>3</v>
      </c>
      <c r="E3146" s="1">
        <v>6</v>
      </c>
      <c r="F3146" s="1">
        <v>3</v>
      </c>
      <c r="G3146" s="1">
        <v>19</v>
      </c>
      <c r="H3146" s="4">
        <v>0.84</v>
      </c>
      <c r="I3146" s="1">
        <v>4</v>
      </c>
      <c r="J3146" s="4">
        <v>0.5</v>
      </c>
      <c r="K3146" s="1">
        <v>0</v>
      </c>
      <c r="L3146" s="1">
        <v>0</v>
      </c>
      <c r="M3146" s="32">
        <f>IF(Mecze[[#This Row],[PR]]=0,0,Mecze[[#This Row],[PR]]/Mecze[[#This Row],[CZAS]])</f>
        <v>0</v>
      </c>
      <c r="N3146" s="32">
        <f>IF(Mecze[[#This Row],[OU]]=0,0,Mecze[[#This Row],[OU]]/Mecze[[#This Row],[CZAS]])</f>
        <v>2.0202020202020204E-2</v>
      </c>
      <c r="O3146" s="32">
        <f>IF(Mecze[[#This Row],[PC]]=0,0,Mecze[[#This Row],[PC]]/Mecze[[#This Row],[CZAS]])</f>
        <v>0.16161616161616163</v>
      </c>
      <c r="P3146" s="32">
        <f>IF(Mecze[[#This Row],[SC]]=0,0,Mecze[[#This Row],[SC]]/Mecze[[#This Row],[CZAS]])</f>
        <v>3.0303030303030304E-2</v>
      </c>
      <c r="Q3146" s="32">
        <f>IF(Mecze[[#This Row],[OB]]=0,0,Mecze[[#This Row],[OB]]/Mecze[[#This Row],[CZAS]])</f>
        <v>0</v>
      </c>
      <c r="R3146" s="32">
        <f>IF(Mecze[[#This Row],[BR]]=0,0,Mecze[[#This Row],[BR]]/Mecze[[#This Row],[CZAS]])</f>
        <v>3.0303030303030304E-2</v>
      </c>
      <c r="S3146" s="44">
        <f>IF(Mecze[[#This Row],[Role]]="BR",SUMPRODUCT(Mecze[[#This Row],[/PR:90]:[/BR:90]],Brudnopis!$E$23:$J$23),0)</f>
        <v>0</v>
      </c>
      <c r="T3146" s="44">
        <f>IF(Mecze[[#This Row],[Role]]&lt;&gt;"BR",SUMPRODUCT(Mecze[[#This Row],[/PR:90]:[/BR:90]],Brudnopis!$E$24:$J$24),0)</f>
        <v>0.26767676767676768</v>
      </c>
      <c r="U3146" s="44">
        <f>IF(Mecze[[#This Row],[Role]]&lt;&gt;"BR",SUMPRODUCT(Mecze[[#This Row],[/PR:90]:[/BR:90]],Brudnopis!$E$25:$J$25),0)</f>
        <v>0.3383838383838384</v>
      </c>
      <c r="V3146" s="44">
        <f>IF(Mecze[[#This Row],[Role]]&lt;&gt;"BR",SUMPRODUCT(Mecze[[#This Row],[/PR:90]:[/BR:90]],Brudnopis!$E$26:$J$26),0)</f>
        <v>0.27272727272727271</v>
      </c>
      <c r="W3146" s="44">
        <f>IF(Mecze[[#This Row],[Role]]&lt;&gt;"BR",SUMPRODUCT(Mecze[[#This Row],[/PR:90]:[/BR:90]],Brudnopis!$E$27:$J$27),0)</f>
        <v>0.34848484848484845</v>
      </c>
      <c r="X3146" s="44">
        <f>IF(Mecze[[#This Row],[Role]]&lt;&gt;"BR",SUMPRODUCT(Mecze[[#This Row],[/PR:90]:[/BR:90]],Brudnopis!$E$28:$J$28),0)</f>
        <v>0.31313131313131315</v>
      </c>
      <c r="Y3146" s="35">
        <f>IF(Mecze[[#This Row],[Role]]="BR",Mecze[[#This Row],[/OB:90]]+Mecze[[#This Row],[/PC:90]],SUM(Mecze[[#This Row],[/PR:90]:[/BR:90]]))</f>
        <v>0.24242424242424243</v>
      </c>
      <c r="Z3146" s="35">
        <f>IF(Mecze[[#This Row],[KC]]=0,SUM(Mecze[[#This Row],[/BRI]:[/NPI]]),SUM(Mecze[[#This Row],[/BRI]:[/NPI]])*0.6)</f>
        <v>1.5404040404040404</v>
      </c>
      <c r="AA3146" s="10">
        <f>IFERROR(Mecze[[#This Row],[BR]]/Mecze[[#This Row],[ST]],0)</f>
        <v>0.5</v>
      </c>
      <c r="AB3146">
        <f>ROUND(Mecze[[#This Row],[PD]]*Mecze[[#This Row],[%PC]],0)</f>
        <v>16</v>
      </c>
      <c r="AC3146">
        <f>ROUND(Mecze[[#This Row],[OD]]*Mecze[[#This Row],[%OU]],0)</f>
        <v>2</v>
      </c>
      <c r="AD3146" s="36" t="s">
        <v>355</v>
      </c>
      <c r="AE3146" s="36">
        <v>176</v>
      </c>
      <c r="AF3146" s="71">
        <v>13.74</v>
      </c>
      <c r="AG3146" s="37">
        <v>0</v>
      </c>
      <c r="AH3146" s="37">
        <v>0</v>
      </c>
      <c r="AI3146" s="37">
        <v>99</v>
      </c>
      <c r="AJ3146" s="37">
        <v>7</v>
      </c>
      <c r="AK3146" s="37" t="str">
        <f>VLOOKUP(Mecze[[#This Row],[Match ID]],Meczusie[Mecz]:Meczusie[RodzajMeczu],2,FALSE)</f>
        <v>Liga</v>
      </c>
    </row>
    <row r="3147" spans="1:37" x14ac:dyDescent="0.25">
      <c r="A3147" s="76">
        <v>201</v>
      </c>
      <c r="B3147" s="3" t="s">
        <v>456</v>
      </c>
      <c r="C3147" s="2" t="s">
        <v>165</v>
      </c>
      <c r="D3147" s="1">
        <v>3</v>
      </c>
      <c r="E3147" s="1">
        <v>6</v>
      </c>
      <c r="F3147" s="1">
        <v>5</v>
      </c>
      <c r="G3147" s="1">
        <v>1</v>
      </c>
      <c r="H3147" s="4">
        <v>0</v>
      </c>
      <c r="I3147" s="1">
        <v>0</v>
      </c>
      <c r="J3147" s="4"/>
      <c r="K3147" s="1">
        <v>0</v>
      </c>
      <c r="L3147" s="1">
        <v>0</v>
      </c>
      <c r="M3147" s="32">
        <f>IF(Mecze[[#This Row],[PR]]=0,0,Mecze[[#This Row],[PR]]/Mecze[[#This Row],[CZAS]])</f>
        <v>0</v>
      </c>
      <c r="N3147" s="32">
        <f>IF(Mecze[[#This Row],[OU]]=0,0,Mecze[[#This Row],[OU]]/Mecze[[#This Row],[CZAS]])</f>
        <v>0</v>
      </c>
      <c r="O3147" s="32">
        <f>IF(Mecze[[#This Row],[PC]]=0,0,Mecze[[#This Row],[PC]]/Mecze[[#This Row],[CZAS]])</f>
        <v>0</v>
      </c>
      <c r="P3147" s="32">
        <f>IF(Mecze[[#This Row],[SC]]=0,0,Mecze[[#This Row],[SC]]/Mecze[[#This Row],[CZAS]])</f>
        <v>5.0505050505050504E-2</v>
      </c>
      <c r="Q3147" s="32">
        <f>IF(Mecze[[#This Row],[OB]]=0,0,Mecze[[#This Row],[OB]]/Mecze[[#This Row],[CZAS]])</f>
        <v>0</v>
      </c>
      <c r="R3147" s="32">
        <f>IF(Mecze[[#This Row],[BR]]=0,0,Mecze[[#This Row],[BR]]/Mecze[[#This Row],[CZAS]])</f>
        <v>3.0303030303030304E-2</v>
      </c>
      <c r="S3147" s="44">
        <f>IF(Mecze[[#This Row],[Role]]="BR",SUMPRODUCT(Mecze[[#This Row],[/PR:90]:[/BR:90]],Brudnopis!$E$23:$J$23),0)</f>
        <v>0</v>
      </c>
      <c r="T3147" s="44">
        <f>IF(Mecze[[#This Row],[Role]]&lt;&gt;"BR",SUMPRODUCT(Mecze[[#This Row],[/PR:90]:[/BR:90]],Brudnopis!$E$24:$J$24),0)</f>
        <v>9.5959595959595967E-2</v>
      </c>
      <c r="U3147" s="44">
        <f>IF(Mecze[[#This Row],[Role]]&lt;&gt;"BR",SUMPRODUCT(Mecze[[#This Row],[/PR:90]:[/BR:90]],Brudnopis!$E$25:$J$25),0)</f>
        <v>9.5959595959595967E-2</v>
      </c>
      <c r="V3147" s="44">
        <f>IF(Mecze[[#This Row],[Role]]&lt;&gt;"BR",SUMPRODUCT(Mecze[[#This Row],[/PR:90]:[/BR:90]],Brudnopis!$E$26:$J$26),0)</f>
        <v>0.1111111111111111</v>
      </c>
      <c r="W3147" s="44">
        <f>IF(Mecze[[#This Row],[Role]]&lt;&gt;"BR",SUMPRODUCT(Mecze[[#This Row],[/PR:90]:[/BR:90]],Brudnopis!$E$27:$J$27),0)</f>
        <v>0.1111111111111111</v>
      </c>
      <c r="X3147" s="44">
        <f>IF(Mecze[[#This Row],[Role]]&lt;&gt;"BR",SUMPRODUCT(Mecze[[#This Row],[/PR:90]:[/BR:90]],Brudnopis!$E$28:$J$28),0)</f>
        <v>0.19191919191919193</v>
      </c>
      <c r="Y3147" s="35">
        <f>IF(Mecze[[#This Row],[Role]]="BR",Mecze[[#This Row],[/OB:90]]+Mecze[[#This Row],[/PC:90]],SUM(Mecze[[#This Row],[/PR:90]:[/BR:90]]))</f>
        <v>8.0808080808080801E-2</v>
      </c>
      <c r="Z3147" s="35">
        <f>IF(Mecze[[#This Row],[KC]]=0,SUM(Mecze[[#This Row],[/BRI]:[/NPI]]),SUM(Mecze[[#This Row],[/BRI]:[/NPI]])*0.6)</f>
        <v>0.60606060606060608</v>
      </c>
      <c r="AA3147" s="10">
        <f>IFERROR(Mecze[[#This Row],[BR]]/Mecze[[#This Row],[ST]],0)</f>
        <v>0.5</v>
      </c>
      <c r="AB3147">
        <f>ROUND(Mecze[[#This Row],[PD]]*Mecze[[#This Row],[%PC]],0)</f>
        <v>0</v>
      </c>
      <c r="AC3147">
        <f>ROUND(Mecze[[#This Row],[OD]]*Mecze[[#This Row],[%OU]],0)</f>
        <v>0</v>
      </c>
      <c r="AD3147" s="36" t="s">
        <v>46</v>
      </c>
      <c r="AE3147" s="36">
        <v>176</v>
      </c>
      <c r="AF3147" s="71">
        <v>9.7200000000000006</v>
      </c>
      <c r="AG3147" s="37">
        <v>0</v>
      </c>
      <c r="AH3147" s="37">
        <v>0</v>
      </c>
      <c r="AI3147" s="37">
        <v>99</v>
      </c>
      <c r="AJ3147" s="37">
        <v>7</v>
      </c>
      <c r="AK3147" s="37" t="str">
        <f>VLOOKUP(Mecze[[#This Row],[Match ID]],Meczusie[Mecz]:Meczusie[RodzajMeczu],2,FALSE)</f>
        <v>Liga</v>
      </c>
    </row>
    <row r="3148" spans="1:37" x14ac:dyDescent="0.25">
      <c r="A3148" s="76">
        <v>101</v>
      </c>
      <c r="B3148" s="3" t="s">
        <v>444</v>
      </c>
      <c r="C3148" s="2" t="s">
        <v>165</v>
      </c>
      <c r="D3148" s="1">
        <v>1</v>
      </c>
      <c r="E3148" s="1">
        <v>3</v>
      </c>
      <c r="F3148" s="1">
        <v>2</v>
      </c>
      <c r="G3148" s="1">
        <v>4</v>
      </c>
      <c r="H3148" s="4">
        <v>1</v>
      </c>
      <c r="I3148" s="1">
        <v>2</v>
      </c>
      <c r="J3148" s="4">
        <v>1</v>
      </c>
      <c r="K3148" s="1">
        <v>0</v>
      </c>
      <c r="L3148" s="1">
        <v>0</v>
      </c>
      <c r="M3148" s="32">
        <f>IF(Mecze[[#This Row],[PR]]=0,0,Mecze[[#This Row],[PR]]/Mecze[[#This Row],[CZAS]])</f>
        <v>0</v>
      </c>
      <c r="N3148" s="32">
        <f>IF(Mecze[[#This Row],[OU]]=0,0,Mecze[[#This Row],[OU]]/Mecze[[#This Row],[CZAS]])</f>
        <v>2.0202020202020204E-2</v>
      </c>
      <c r="O3148" s="32">
        <f>IF(Mecze[[#This Row],[PC]]=0,0,Mecze[[#This Row],[PC]]/Mecze[[#This Row],[CZAS]])</f>
        <v>4.0404040404040407E-2</v>
      </c>
      <c r="P3148" s="32">
        <f>IF(Mecze[[#This Row],[SC]]=0,0,Mecze[[#This Row],[SC]]/Mecze[[#This Row],[CZAS]])</f>
        <v>2.0202020202020204E-2</v>
      </c>
      <c r="Q3148" s="32">
        <f>IF(Mecze[[#This Row],[OB]]=0,0,Mecze[[#This Row],[OB]]/Mecze[[#This Row],[CZAS]])</f>
        <v>0</v>
      </c>
      <c r="R3148" s="32">
        <f>IF(Mecze[[#This Row],[BR]]=0,0,Mecze[[#This Row],[BR]]/Mecze[[#This Row],[CZAS]])</f>
        <v>1.0101010101010102E-2</v>
      </c>
      <c r="S3148" s="44">
        <f>IF(Mecze[[#This Row],[Role]]="BR",SUMPRODUCT(Mecze[[#This Row],[/PR:90]:[/BR:90]],Brudnopis!$E$23:$J$23),0)</f>
        <v>0</v>
      </c>
      <c r="T3148" s="44">
        <f>IF(Mecze[[#This Row],[Role]]&lt;&gt;"BR",SUMPRODUCT(Mecze[[#This Row],[/PR:90]:[/BR:90]],Brudnopis!$E$24:$J$24),0)</f>
        <v>0.10606060606060608</v>
      </c>
      <c r="U3148" s="44">
        <f>IF(Mecze[[#This Row],[Role]]&lt;&gt;"BR",SUMPRODUCT(Mecze[[#This Row],[/PR:90]:[/BR:90]],Brudnopis!$E$25:$J$25),0)</f>
        <v>0.11616161616161617</v>
      </c>
      <c r="V3148" s="44">
        <f>IF(Mecze[[#This Row],[Role]]&lt;&gt;"BR",SUMPRODUCT(Mecze[[#This Row],[/PR:90]:[/BR:90]],Brudnopis!$E$26:$J$26),0)</f>
        <v>0.10101010101010102</v>
      </c>
      <c r="W3148" s="44">
        <f>IF(Mecze[[#This Row],[Role]]&lt;&gt;"BR",SUMPRODUCT(Mecze[[#This Row],[/PR:90]:[/BR:90]],Brudnopis!$E$27:$J$27),0)</f>
        <v>0.11616161616161617</v>
      </c>
      <c r="X3148" s="44">
        <f>IF(Mecze[[#This Row],[Role]]&lt;&gt;"BR",SUMPRODUCT(Mecze[[#This Row],[/PR:90]:[/BR:90]],Brudnopis!$E$28:$J$28),0)</f>
        <v>0.11111111111111112</v>
      </c>
      <c r="Y3148" s="35">
        <f>IF(Mecze[[#This Row],[Role]]="BR",Mecze[[#This Row],[/OB:90]]+Mecze[[#This Row],[/PC:90]],SUM(Mecze[[#This Row],[/PR:90]:[/BR:90]]))</f>
        <v>9.0909090909090912E-2</v>
      </c>
      <c r="Z3148" s="35">
        <f>IF(Mecze[[#This Row],[KC]]=0,SUM(Mecze[[#This Row],[/BRI]:[/NPI]]),SUM(Mecze[[#This Row],[/BRI]:[/NPI]])*0.6)</f>
        <v>0.55050505050505061</v>
      </c>
      <c r="AA3148" s="10">
        <f>IFERROR(Mecze[[#This Row],[BR]]/Mecze[[#This Row],[ST]],0)</f>
        <v>0.33333333333333331</v>
      </c>
      <c r="AB3148">
        <f>ROUND(Mecze[[#This Row],[PD]]*Mecze[[#This Row],[%PC]],0)</f>
        <v>4</v>
      </c>
      <c r="AC3148">
        <f>ROUND(Mecze[[#This Row],[OD]]*Mecze[[#This Row],[%OU]],0)</f>
        <v>2</v>
      </c>
      <c r="AD3148" s="36" t="s">
        <v>355</v>
      </c>
      <c r="AE3148" s="36">
        <v>176</v>
      </c>
      <c r="AF3148" s="71">
        <v>4.46</v>
      </c>
      <c r="AG3148" s="37">
        <v>0</v>
      </c>
      <c r="AH3148" s="37">
        <v>0</v>
      </c>
      <c r="AI3148" s="37">
        <v>99</v>
      </c>
      <c r="AJ3148" s="37">
        <v>7</v>
      </c>
      <c r="AK3148" s="37" t="str">
        <f>VLOOKUP(Mecze[[#This Row],[Match ID]],Meczusie[Mecz]:Meczusie[RodzajMeczu],2,FALSE)</f>
        <v>Liga</v>
      </c>
    </row>
    <row r="3149" spans="1:37" x14ac:dyDescent="0.25">
      <c r="A3149" s="76">
        <v>1</v>
      </c>
      <c r="B3149" s="3" t="s">
        <v>274</v>
      </c>
      <c r="C3149" s="2" t="s">
        <v>155</v>
      </c>
      <c r="D3149" s="1">
        <v>0</v>
      </c>
      <c r="E3149" s="1">
        <v>0</v>
      </c>
      <c r="F3149" s="1">
        <v>0</v>
      </c>
      <c r="G3149" s="1">
        <v>8</v>
      </c>
      <c r="H3149" s="4">
        <v>0.5</v>
      </c>
      <c r="I3149" s="1">
        <v>0</v>
      </c>
      <c r="J3149" s="4"/>
      <c r="K3149" s="1">
        <v>10</v>
      </c>
      <c r="L3149" s="1">
        <v>0</v>
      </c>
      <c r="M3149" s="32">
        <f>IF(Mecze[[#This Row],[PR]]=0,0,Mecze[[#This Row],[PR]]/Mecze[[#This Row],[CZAS]])</f>
        <v>0</v>
      </c>
      <c r="N3149" s="32">
        <f>IF(Mecze[[#This Row],[OU]]=0,0,Mecze[[#This Row],[OU]]/Mecze[[#This Row],[CZAS]])</f>
        <v>0</v>
      </c>
      <c r="O3149" s="32">
        <f>IF(Mecze[[#This Row],[PC]]=0,0,Mecze[[#This Row],[PC]]/Mecze[[#This Row],[CZAS]])</f>
        <v>4.1666666666666664E-2</v>
      </c>
      <c r="P3149" s="32">
        <f>IF(Mecze[[#This Row],[SC]]=0,0,Mecze[[#This Row],[SC]]/Mecze[[#This Row],[CZAS]])</f>
        <v>0</v>
      </c>
      <c r="Q3149" s="32">
        <f>IF(Mecze[[#This Row],[OB]]=0,0,Mecze[[#This Row],[OB]]/Mecze[[#This Row],[CZAS]])</f>
        <v>0.10416666666666667</v>
      </c>
      <c r="R3149" s="32">
        <f>IF(Mecze[[#This Row],[BR]]=0,0,Mecze[[#This Row],[BR]]/Mecze[[#This Row],[CZAS]])</f>
        <v>0</v>
      </c>
      <c r="S3149" s="44">
        <f>IF(Mecze[[#This Row],[Role]]="BR",SUMPRODUCT(Mecze[[#This Row],[/PR:90]:[/BR:90]],Brudnopis!$E$23:$J$23),0)</f>
        <v>0.4375</v>
      </c>
      <c r="T3149" s="44">
        <f>IF(Mecze[[#This Row],[Role]]&lt;&gt;"BR",SUMPRODUCT(Mecze[[#This Row],[/PR:90]:[/BR:90]],Brudnopis!$E$24:$J$24),0)</f>
        <v>0</v>
      </c>
      <c r="U3149" s="44">
        <f>IF(Mecze[[#This Row],[Role]]&lt;&gt;"BR",SUMPRODUCT(Mecze[[#This Row],[/PR:90]:[/BR:90]],Brudnopis!$E$25:$J$25),0)</f>
        <v>0</v>
      </c>
      <c r="V3149" s="44">
        <f>IF(Mecze[[#This Row],[Role]]&lt;&gt;"BR",SUMPRODUCT(Mecze[[#This Row],[/PR:90]:[/BR:90]],Brudnopis!$E$26:$J$26),0)</f>
        <v>0</v>
      </c>
      <c r="W3149" s="44">
        <f>IF(Mecze[[#This Row],[Role]]&lt;&gt;"BR",SUMPRODUCT(Mecze[[#This Row],[/PR:90]:[/BR:90]],Brudnopis!$E$27:$J$27),0)</f>
        <v>0</v>
      </c>
      <c r="X3149" s="44">
        <f>IF(Mecze[[#This Row],[Role]]&lt;&gt;"BR",SUMPRODUCT(Mecze[[#This Row],[/PR:90]:[/BR:90]],Brudnopis!$E$28:$J$28),0)</f>
        <v>0</v>
      </c>
      <c r="Y3149" s="35">
        <f>IF(Mecze[[#This Row],[Role]]="BR",Mecze[[#This Row],[/OB:90]]+Mecze[[#This Row],[/PC:90]],SUM(Mecze[[#This Row],[/PR:90]:[/BR:90]]))</f>
        <v>0.14583333333333334</v>
      </c>
      <c r="Z3149" s="35">
        <f>IF(Mecze[[#This Row],[KC]]=0,SUM(Mecze[[#This Row],[/BRI]:[/NPI]]),SUM(Mecze[[#This Row],[/BRI]:[/NPI]])*0.6)</f>
        <v>0.4375</v>
      </c>
      <c r="AA3149" s="10">
        <f>IFERROR(Mecze[[#This Row],[BR]]/Mecze[[#This Row],[ST]],0)</f>
        <v>0</v>
      </c>
      <c r="AB3149">
        <f>ROUND(Mecze[[#This Row],[PD]]*Mecze[[#This Row],[%PC]],0)</f>
        <v>4</v>
      </c>
      <c r="AC3149">
        <f>ROUND(Mecze[[#This Row],[OD]]*Mecze[[#This Row],[%OU]],0)</f>
        <v>0</v>
      </c>
      <c r="AD3149" s="36" t="s">
        <v>40</v>
      </c>
      <c r="AE3149" s="36">
        <v>177</v>
      </c>
      <c r="AF3149" s="71">
        <v>7.53</v>
      </c>
      <c r="AG3149" s="37">
        <v>0</v>
      </c>
      <c r="AH3149" s="37">
        <v>0</v>
      </c>
      <c r="AI3149" s="37">
        <v>96</v>
      </c>
      <c r="AJ3149" s="37">
        <v>4</v>
      </c>
      <c r="AK3149" s="37" t="str">
        <f>VLOOKUP(Mecze[[#This Row],[Match ID]],Meczusie[Mecz]:Meczusie[RodzajMeczu],2,FALSE)</f>
        <v>Liga</v>
      </c>
    </row>
    <row r="3150" spans="1:37" x14ac:dyDescent="0.25">
      <c r="A3150" s="76">
        <v>9</v>
      </c>
      <c r="B3150" s="3" t="s">
        <v>275</v>
      </c>
      <c r="C3150" s="2" t="s">
        <v>157</v>
      </c>
      <c r="D3150" s="1">
        <v>0</v>
      </c>
      <c r="E3150" s="1">
        <v>0</v>
      </c>
      <c r="F3150" s="1">
        <v>0</v>
      </c>
      <c r="G3150" s="1">
        <v>7</v>
      </c>
      <c r="H3150" s="4">
        <v>0.56999999999999995</v>
      </c>
      <c r="I3150" s="1">
        <v>5</v>
      </c>
      <c r="J3150" s="4">
        <v>0.8</v>
      </c>
      <c r="K3150" s="1">
        <v>0</v>
      </c>
      <c r="L3150" s="1">
        <v>7</v>
      </c>
      <c r="M3150" s="32">
        <f>IF(Mecze[[#This Row],[PR]]=0,0,Mecze[[#This Row],[PR]]/Mecze[[#This Row],[CZAS]])</f>
        <v>7.2916666666666671E-2</v>
      </c>
      <c r="N3150" s="32">
        <f>IF(Mecze[[#This Row],[OU]]=0,0,Mecze[[#This Row],[OU]]/Mecze[[#This Row],[CZAS]])</f>
        <v>4.1666666666666664E-2</v>
      </c>
      <c r="O3150" s="32">
        <f>IF(Mecze[[#This Row],[PC]]=0,0,Mecze[[#This Row],[PC]]/Mecze[[#This Row],[CZAS]])</f>
        <v>4.1666666666666664E-2</v>
      </c>
      <c r="P3150" s="32">
        <f>IF(Mecze[[#This Row],[SC]]=0,0,Mecze[[#This Row],[SC]]/Mecze[[#This Row],[CZAS]])</f>
        <v>0</v>
      </c>
      <c r="Q3150" s="32">
        <f>IF(Mecze[[#This Row],[OB]]=0,0,Mecze[[#This Row],[OB]]/Mecze[[#This Row],[CZAS]])</f>
        <v>0</v>
      </c>
      <c r="R3150" s="32">
        <f>IF(Mecze[[#This Row],[BR]]=0,0,Mecze[[#This Row],[BR]]/Mecze[[#This Row],[CZAS]])</f>
        <v>0</v>
      </c>
      <c r="S3150" s="44">
        <f>IF(Mecze[[#This Row],[Role]]="BR",SUMPRODUCT(Mecze[[#This Row],[/PR:90]:[/BR:90]],Brudnopis!$E$23:$J$23),0)</f>
        <v>0</v>
      </c>
      <c r="T3150" s="44">
        <f>IF(Mecze[[#This Row],[Role]]&lt;&gt;"BR",SUMPRODUCT(Mecze[[#This Row],[/PR:90]:[/BR:90]],Brudnopis!$E$24:$J$24),0)</f>
        <v>0.17708333333333334</v>
      </c>
      <c r="U3150" s="44">
        <f>IF(Mecze[[#This Row],[Role]]&lt;&gt;"BR",SUMPRODUCT(Mecze[[#This Row],[/PR:90]:[/BR:90]],Brudnopis!$E$25:$J$25),0)</f>
        <v>0.17708333333333334</v>
      </c>
      <c r="V3150" s="44">
        <f>IF(Mecze[[#This Row],[Role]]&lt;&gt;"BR",SUMPRODUCT(Mecze[[#This Row],[/PR:90]:[/BR:90]],Brudnopis!$E$26:$J$26),0)</f>
        <v>0.15625</v>
      </c>
      <c r="W3150" s="44">
        <f>IF(Mecze[[#This Row],[Role]]&lt;&gt;"BR",SUMPRODUCT(Mecze[[#This Row],[/PR:90]:[/BR:90]],Brudnopis!$E$27:$J$27),0)</f>
        <v>0.1484375</v>
      </c>
      <c r="X3150" s="44">
        <f>IF(Mecze[[#This Row],[Role]]&lt;&gt;"BR",SUMPRODUCT(Mecze[[#This Row],[/PR:90]:[/BR:90]],Brudnopis!$E$28:$J$28),0)</f>
        <v>4.1666666666666664E-2</v>
      </c>
      <c r="Y3150" s="35">
        <f>IF(Mecze[[#This Row],[Role]]="BR",Mecze[[#This Row],[/OB:90]]+Mecze[[#This Row],[/PC:90]],SUM(Mecze[[#This Row],[/PR:90]:[/BR:90]]))</f>
        <v>0.15625</v>
      </c>
      <c r="Z3150" s="35">
        <f>IF(Mecze[[#This Row],[KC]]=0,SUM(Mecze[[#This Row],[/BRI]:[/NPI]]),SUM(Mecze[[#This Row],[/BRI]:[/NPI]])*0.6)</f>
        <v>0.70052083333333337</v>
      </c>
      <c r="AA3150" s="10">
        <f>IFERROR(Mecze[[#This Row],[BR]]/Mecze[[#This Row],[ST]],0)</f>
        <v>0</v>
      </c>
      <c r="AB3150">
        <f>ROUND(Mecze[[#This Row],[PD]]*Mecze[[#This Row],[%PC]],0)</f>
        <v>4</v>
      </c>
      <c r="AC3150">
        <f>ROUND(Mecze[[#This Row],[OD]]*Mecze[[#This Row],[%OU]],0)</f>
        <v>4</v>
      </c>
      <c r="AD3150" s="36" t="s">
        <v>47</v>
      </c>
      <c r="AE3150" s="36">
        <v>177</v>
      </c>
      <c r="AF3150" s="71">
        <v>6.6</v>
      </c>
      <c r="AG3150" s="37">
        <v>0</v>
      </c>
      <c r="AH3150" s="37">
        <v>0</v>
      </c>
      <c r="AI3150" s="37">
        <v>96</v>
      </c>
      <c r="AJ3150" s="37">
        <v>4</v>
      </c>
      <c r="AK3150" s="37" t="str">
        <f>VLOOKUP(Mecze[[#This Row],[Match ID]],Meczusie[Mecz]:Meczusie[RodzajMeczu],2,FALSE)</f>
        <v>Liga</v>
      </c>
    </row>
    <row r="3151" spans="1:37" x14ac:dyDescent="0.25">
      <c r="A3151" s="76">
        <v>4</v>
      </c>
      <c r="B3151" s="3" t="s">
        <v>276</v>
      </c>
      <c r="C3151" s="2" t="s">
        <v>157</v>
      </c>
      <c r="D3151" s="1">
        <v>0</v>
      </c>
      <c r="E3151" s="1">
        <v>0</v>
      </c>
      <c r="F3151" s="1">
        <v>0</v>
      </c>
      <c r="G3151" s="1">
        <v>2</v>
      </c>
      <c r="H3151" s="4">
        <v>1</v>
      </c>
      <c r="I3151" s="1">
        <v>1</v>
      </c>
      <c r="J3151" s="4">
        <v>0</v>
      </c>
      <c r="K3151" s="1">
        <v>0</v>
      </c>
      <c r="L3151" s="1">
        <v>2</v>
      </c>
      <c r="M3151" s="32">
        <f>IF(Mecze[[#This Row],[PR]]=0,0,Mecze[[#This Row],[PR]]/Mecze[[#This Row],[CZAS]])</f>
        <v>2.0833333333333332E-2</v>
      </c>
      <c r="N3151" s="32">
        <f>IF(Mecze[[#This Row],[OU]]=0,0,Mecze[[#This Row],[OU]]/Mecze[[#This Row],[CZAS]])</f>
        <v>0</v>
      </c>
      <c r="O3151" s="32">
        <f>IF(Mecze[[#This Row],[PC]]=0,0,Mecze[[#This Row],[PC]]/Mecze[[#This Row],[CZAS]])</f>
        <v>2.0833333333333332E-2</v>
      </c>
      <c r="P3151" s="32">
        <f>IF(Mecze[[#This Row],[SC]]=0,0,Mecze[[#This Row],[SC]]/Mecze[[#This Row],[CZAS]])</f>
        <v>0</v>
      </c>
      <c r="Q3151" s="32">
        <f>IF(Mecze[[#This Row],[OB]]=0,0,Mecze[[#This Row],[OB]]/Mecze[[#This Row],[CZAS]])</f>
        <v>0</v>
      </c>
      <c r="R3151" s="32">
        <f>IF(Mecze[[#This Row],[BR]]=0,0,Mecze[[#This Row],[BR]]/Mecze[[#This Row],[CZAS]])</f>
        <v>0</v>
      </c>
      <c r="S3151" s="44">
        <f>IF(Mecze[[#This Row],[Role]]="BR",SUMPRODUCT(Mecze[[#This Row],[/PR:90]:[/BR:90]],Brudnopis!$E$23:$J$23),0)</f>
        <v>0</v>
      </c>
      <c r="T3151" s="44">
        <f>IF(Mecze[[#This Row],[Role]]&lt;&gt;"BR",SUMPRODUCT(Mecze[[#This Row],[/PR:90]:[/BR:90]],Brudnopis!$E$24:$J$24),0)</f>
        <v>4.1666666666666664E-2</v>
      </c>
      <c r="U3151" s="44">
        <f>IF(Mecze[[#This Row],[Role]]&lt;&gt;"BR",SUMPRODUCT(Mecze[[#This Row],[/PR:90]:[/BR:90]],Brudnopis!$E$25:$J$25),0)</f>
        <v>5.2083333333333329E-2</v>
      </c>
      <c r="V3151" s="44">
        <f>IF(Mecze[[#This Row],[Role]]&lt;&gt;"BR",SUMPRODUCT(Mecze[[#This Row],[/PR:90]:[/BR:90]],Brudnopis!$E$26:$J$26),0)</f>
        <v>4.1666666666666664E-2</v>
      </c>
      <c r="W3151" s="44">
        <f>IF(Mecze[[#This Row],[Role]]&lt;&gt;"BR",SUMPRODUCT(Mecze[[#This Row],[/PR:90]:[/BR:90]],Brudnopis!$E$27:$J$27),0)</f>
        <v>4.6875E-2</v>
      </c>
      <c r="X3151" s="44">
        <f>IF(Mecze[[#This Row],[Role]]&lt;&gt;"BR",SUMPRODUCT(Mecze[[#This Row],[/PR:90]:[/BR:90]],Brudnopis!$E$28:$J$28),0)</f>
        <v>2.0833333333333332E-2</v>
      </c>
      <c r="Y3151" s="35">
        <f>IF(Mecze[[#This Row],[Role]]="BR",Mecze[[#This Row],[/OB:90]]+Mecze[[#This Row],[/PC:90]],SUM(Mecze[[#This Row],[/PR:90]:[/BR:90]]))</f>
        <v>4.1666666666666664E-2</v>
      </c>
      <c r="Z3151" s="35">
        <f>IF(Mecze[[#This Row],[KC]]=0,SUM(Mecze[[#This Row],[/BRI]:[/NPI]]),SUM(Mecze[[#This Row],[/BRI]:[/NPI]])*0.6)</f>
        <v>0.203125</v>
      </c>
      <c r="AA3151" s="10">
        <f>IFERROR(Mecze[[#This Row],[BR]]/Mecze[[#This Row],[ST]],0)</f>
        <v>0</v>
      </c>
      <c r="AB3151">
        <f>ROUND(Mecze[[#This Row],[PD]]*Mecze[[#This Row],[%PC]],0)</f>
        <v>2</v>
      </c>
      <c r="AC3151">
        <f>ROUND(Mecze[[#This Row],[OD]]*Mecze[[#This Row],[%OU]],0)</f>
        <v>0</v>
      </c>
      <c r="AD3151" s="36" t="s">
        <v>168</v>
      </c>
      <c r="AE3151" s="36">
        <v>177</v>
      </c>
      <c r="AF3151" s="71">
        <v>3.23</v>
      </c>
      <c r="AG3151" s="37">
        <v>0</v>
      </c>
      <c r="AH3151" s="37">
        <v>0</v>
      </c>
      <c r="AI3151" s="37">
        <v>96</v>
      </c>
      <c r="AJ3151" s="37">
        <v>4</v>
      </c>
      <c r="AK3151" s="37" t="str">
        <f>VLOOKUP(Mecze[[#This Row],[Match ID]],Meczusie[Mecz]:Meczusie[RodzajMeczu],2,FALSE)</f>
        <v>Liga</v>
      </c>
    </row>
    <row r="3152" spans="1:37" x14ac:dyDescent="0.25">
      <c r="A3152" s="76">
        <v>5</v>
      </c>
      <c r="B3152" s="3" t="s">
        <v>277</v>
      </c>
      <c r="C3152" s="2" t="s">
        <v>157</v>
      </c>
      <c r="D3152" s="1">
        <v>0</v>
      </c>
      <c r="E3152" s="1">
        <v>0</v>
      </c>
      <c r="F3152" s="1">
        <v>0</v>
      </c>
      <c r="G3152" s="1">
        <v>3</v>
      </c>
      <c r="H3152" s="4">
        <v>0.33</v>
      </c>
      <c r="I3152" s="1">
        <v>1</v>
      </c>
      <c r="J3152" s="4">
        <v>1</v>
      </c>
      <c r="K3152" s="1">
        <v>0</v>
      </c>
      <c r="L3152" s="1">
        <v>6</v>
      </c>
      <c r="M3152" s="32">
        <f>IF(Mecze[[#This Row],[PR]]=0,0,Mecze[[#This Row],[PR]]/Mecze[[#This Row],[CZAS]])</f>
        <v>0.10526315789473684</v>
      </c>
      <c r="N3152" s="32">
        <f>IF(Mecze[[#This Row],[OU]]=0,0,Mecze[[#This Row],[OU]]/Mecze[[#This Row],[CZAS]])</f>
        <v>1.7543859649122806E-2</v>
      </c>
      <c r="O3152" s="32">
        <f>IF(Mecze[[#This Row],[PC]]=0,0,Mecze[[#This Row],[PC]]/Mecze[[#This Row],[CZAS]])</f>
        <v>1.7543859649122806E-2</v>
      </c>
      <c r="P3152" s="32">
        <f>IF(Mecze[[#This Row],[SC]]=0,0,Mecze[[#This Row],[SC]]/Mecze[[#This Row],[CZAS]])</f>
        <v>0</v>
      </c>
      <c r="Q3152" s="32">
        <f>IF(Mecze[[#This Row],[OB]]=0,0,Mecze[[#This Row],[OB]]/Mecze[[#This Row],[CZAS]])</f>
        <v>0</v>
      </c>
      <c r="R3152" s="32">
        <f>IF(Mecze[[#This Row],[BR]]=0,0,Mecze[[#This Row],[BR]]/Mecze[[#This Row],[CZAS]])</f>
        <v>0</v>
      </c>
      <c r="S3152" s="44">
        <f>IF(Mecze[[#This Row],[Role]]="BR",SUMPRODUCT(Mecze[[#This Row],[/PR:90]:[/BR:90]],Brudnopis!$E$23:$J$23),0)</f>
        <v>0</v>
      </c>
      <c r="T3152" s="44">
        <f>IF(Mecze[[#This Row],[Role]]&lt;&gt;"BR",SUMPRODUCT(Mecze[[#This Row],[/PR:90]:[/BR:90]],Brudnopis!$E$24:$J$24),0)</f>
        <v>0.14912280701754385</v>
      </c>
      <c r="U3152" s="44">
        <f>IF(Mecze[[#This Row],[Role]]&lt;&gt;"BR",SUMPRODUCT(Mecze[[#This Row],[/PR:90]:[/BR:90]],Brudnopis!$E$25:$J$25),0)</f>
        <v>0.14912280701754385</v>
      </c>
      <c r="V3152" s="44">
        <f>IF(Mecze[[#This Row],[Role]]&lt;&gt;"BR",SUMPRODUCT(Mecze[[#This Row],[/PR:90]:[/BR:90]],Brudnopis!$E$26:$J$26),0)</f>
        <v>0.14035087719298245</v>
      </c>
      <c r="W3152" s="44">
        <f>IF(Mecze[[#This Row],[Role]]&lt;&gt;"BR",SUMPRODUCT(Mecze[[#This Row],[/PR:90]:[/BR:90]],Brudnopis!$E$27:$J$27),0)</f>
        <v>0.11842105263157894</v>
      </c>
      <c r="X3152" s="44">
        <f>IF(Mecze[[#This Row],[Role]]&lt;&gt;"BR",SUMPRODUCT(Mecze[[#This Row],[/PR:90]:[/BR:90]],Brudnopis!$E$28:$J$28),0)</f>
        <v>1.7543859649122806E-2</v>
      </c>
      <c r="Y3152" s="35">
        <f>IF(Mecze[[#This Row],[Role]]="BR",Mecze[[#This Row],[/OB:90]]+Mecze[[#This Row],[/PC:90]],SUM(Mecze[[#This Row],[/PR:90]:[/BR:90]]))</f>
        <v>0.14035087719298245</v>
      </c>
      <c r="Z3152" s="35">
        <f>IF(Mecze[[#This Row],[KC]]=0,SUM(Mecze[[#This Row],[/BRI]:[/NPI]]),SUM(Mecze[[#This Row],[/BRI]:[/NPI]])*0.6)</f>
        <v>0.57456140350877183</v>
      </c>
      <c r="AA3152" s="10">
        <f>IFERROR(Mecze[[#This Row],[BR]]/Mecze[[#This Row],[ST]],0)</f>
        <v>0</v>
      </c>
      <c r="AB3152">
        <f>ROUND(Mecze[[#This Row],[PD]]*Mecze[[#This Row],[%PC]],0)</f>
        <v>1</v>
      </c>
      <c r="AC3152">
        <f>ROUND(Mecze[[#This Row],[OD]]*Mecze[[#This Row],[%OU]],0)</f>
        <v>1</v>
      </c>
      <c r="AD3152" s="36" t="s">
        <v>167</v>
      </c>
      <c r="AE3152" s="36">
        <v>177</v>
      </c>
      <c r="AF3152" s="71">
        <v>1.87</v>
      </c>
      <c r="AG3152" s="37">
        <v>0</v>
      </c>
      <c r="AH3152" s="37">
        <v>0</v>
      </c>
      <c r="AI3152" s="37">
        <v>57</v>
      </c>
      <c r="AJ3152" s="37">
        <v>4</v>
      </c>
      <c r="AK3152" s="37" t="str">
        <f>VLOOKUP(Mecze[[#This Row],[Match ID]],Meczusie[Mecz]:Meczusie[RodzajMeczu],2,FALSE)</f>
        <v>Liga</v>
      </c>
    </row>
    <row r="3153" spans="1:37" x14ac:dyDescent="0.25">
      <c r="A3153" s="76">
        <v>12</v>
      </c>
      <c r="B3153" s="3" t="s">
        <v>278</v>
      </c>
      <c r="C3153" s="2" t="s">
        <v>160</v>
      </c>
      <c r="D3153" s="1">
        <v>0</v>
      </c>
      <c r="E3153" s="1">
        <v>0</v>
      </c>
      <c r="F3153" s="1">
        <v>0</v>
      </c>
      <c r="G3153" s="1">
        <v>13</v>
      </c>
      <c r="H3153" s="4">
        <v>0.69</v>
      </c>
      <c r="I3153" s="1">
        <v>0</v>
      </c>
      <c r="J3153" s="4"/>
      <c r="K3153" s="1">
        <v>0</v>
      </c>
      <c r="L3153" s="1">
        <v>4</v>
      </c>
      <c r="M3153" s="32">
        <f>IF(Mecze[[#This Row],[PR]]=0,0,Mecze[[#This Row],[PR]]/Mecze[[#This Row],[CZAS]])</f>
        <v>4.1666666666666664E-2</v>
      </c>
      <c r="N3153" s="32">
        <f>IF(Mecze[[#This Row],[OU]]=0,0,Mecze[[#This Row],[OU]]/Mecze[[#This Row],[CZAS]])</f>
        <v>0</v>
      </c>
      <c r="O3153" s="32">
        <f>IF(Mecze[[#This Row],[PC]]=0,0,Mecze[[#This Row],[PC]]/Mecze[[#This Row],[CZAS]])</f>
        <v>9.375E-2</v>
      </c>
      <c r="P3153" s="32">
        <f>IF(Mecze[[#This Row],[SC]]=0,0,Mecze[[#This Row],[SC]]/Mecze[[#This Row],[CZAS]])</f>
        <v>0</v>
      </c>
      <c r="Q3153" s="32">
        <f>IF(Mecze[[#This Row],[OB]]=0,0,Mecze[[#This Row],[OB]]/Mecze[[#This Row],[CZAS]])</f>
        <v>0</v>
      </c>
      <c r="R3153" s="32">
        <f>IF(Mecze[[#This Row],[BR]]=0,0,Mecze[[#This Row],[BR]]/Mecze[[#This Row],[CZAS]])</f>
        <v>0</v>
      </c>
      <c r="S3153" s="44">
        <f>IF(Mecze[[#This Row],[Role]]="BR",SUMPRODUCT(Mecze[[#This Row],[/PR:90]:[/BR:90]],Brudnopis!$E$23:$J$23),0)</f>
        <v>0</v>
      </c>
      <c r="T3153" s="44">
        <f>IF(Mecze[[#This Row],[Role]]&lt;&gt;"BR",SUMPRODUCT(Mecze[[#This Row],[/PR:90]:[/BR:90]],Brudnopis!$E$24:$J$24),0)</f>
        <v>0.13541666666666666</v>
      </c>
      <c r="U3153" s="44">
        <f>IF(Mecze[[#This Row],[Role]]&lt;&gt;"BR",SUMPRODUCT(Mecze[[#This Row],[/PR:90]:[/BR:90]],Brudnopis!$E$25:$J$25),0)</f>
        <v>0.18229166666666666</v>
      </c>
      <c r="V3153" s="44">
        <f>IF(Mecze[[#This Row],[Role]]&lt;&gt;"BR",SUMPRODUCT(Mecze[[#This Row],[/PR:90]:[/BR:90]],Brudnopis!$E$26:$J$26),0)</f>
        <v>0.13541666666666666</v>
      </c>
      <c r="W3153" s="44">
        <f>IF(Mecze[[#This Row],[Role]]&lt;&gt;"BR",SUMPRODUCT(Mecze[[#This Row],[/PR:90]:[/BR:90]],Brudnopis!$E$27:$J$27),0)</f>
        <v>0.171875</v>
      </c>
      <c r="X3153" s="44">
        <f>IF(Mecze[[#This Row],[Role]]&lt;&gt;"BR",SUMPRODUCT(Mecze[[#This Row],[/PR:90]:[/BR:90]],Brudnopis!$E$28:$J$28),0)</f>
        <v>9.375E-2</v>
      </c>
      <c r="Y3153" s="35">
        <f>IF(Mecze[[#This Row],[Role]]="BR",Mecze[[#This Row],[/OB:90]]+Mecze[[#This Row],[/PC:90]],SUM(Mecze[[#This Row],[/PR:90]:[/BR:90]]))</f>
        <v>0.13541666666666666</v>
      </c>
      <c r="Z3153" s="35">
        <f>IF(Mecze[[#This Row],[KC]]=0,SUM(Mecze[[#This Row],[/BRI]:[/NPI]]),SUM(Mecze[[#This Row],[/BRI]:[/NPI]])*0.6)</f>
        <v>0.71875</v>
      </c>
      <c r="AA3153" s="10">
        <f>IFERROR(Mecze[[#This Row],[BR]]/Mecze[[#This Row],[ST]],0)</f>
        <v>0</v>
      </c>
      <c r="AB3153">
        <f>ROUND(Mecze[[#This Row],[PD]]*Mecze[[#This Row],[%PC]],0)</f>
        <v>9</v>
      </c>
      <c r="AC3153">
        <f>ROUND(Mecze[[#This Row],[OD]]*Mecze[[#This Row],[%OU]],0)</f>
        <v>0</v>
      </c>
      <c r="AD3153" s="36" t="s">
        <v>41</v>
      </c>
      <c r="AE3153" s="36">
        <v>177</v>
      </c>
      <c r="AF3153" s="71">
        <v>5.97</v>
      </c>
      <c r="AG3153" s="37">
        <v>0</v>
      </c>
      <c r="AH3153" s="37">
        <v>0</v>
      </c>
      <c r="AI3153" s="37">
        <v>96</v>
      </c>
      <c r="AJ3153" s="37">
        <v>4</v>
      </c>
      <c r="AK3153" s="37" t="str">
        <f>VLOOKUP(Mecze[[#This Row],[Match ID]],Meczusie[Mecz]:Meczusie[RodzajMeczu],2,FALSE)</f>
        <v>Liga</v>
      </c>
    </row>
    <row r="3154" spans="1:37" x14ac:dyDescent="0.25">
      <c r="A3154" s="76">
        <v>7</v>
      </c>
      <c r="B3154" s="3" t="s">
        <v>279</v>
      </c>
      <c r="C3154" s="2" t="s">
        <v>160</v>
      </c>
      <c r="D3154" s="1">
        <v>0</v>
      </c>
      <c r="E3154" s="1">
        <v>0</v>
      </c>
      <c r="F3154" s="1">
        <v>0</v>
      </c>
      <c r="G3154" s="1">
        <v>10</v>
      </c>
      <c r="H3154" s="4">
        <v>0.9</v>
      </c>
      <c r="I3154" s="1">
        <v>1</v>
      </c>
      <c r="J3154" s="4">
        <v>0</v>
      </c>
      <c r="K3154" s="1">
        <v>0</v>
      </c>
      <c r="L3154" s="1">
        <v>6</v>
      </c>
      <c r="M3154" s="32">
        <f>IF(Mecze[[#This Row],[PR]]=0,0,Mecze[[#This Row],[PR]]/Mecze[[#This Row],[CZAS]])</f>
        <v>6.25E-2</v>
      </c>
      <c r="N3154" s="32">
        <f>IF(Mecze[[#This Row],[OU]]=0,0,Mecze[[#This Row],[OU]]/Mecze[[#This Row],[CZAS]])</f>
        <v>0</v>
      </c>
      <c r="O3154" s="32">
        <f>IF(Mecze[[#This Row],[PC]]=0,0,Mecze[[#This Row],[PC]]/Mecze[[#This Row],[CZAS]])</f>
        <v>9.375E-2</v>
      </c>
      <c r="P3154" s="32">
        <f>IF(Mecze[[#This Row],[SC]]=0,0,Mecze[[#This Row],[SC]]/Mecze[[#This Row],[CZAS]])</f>
        <v>0</v>
      </c>
      <c r="Q3154" s="32">
        <f>IF(Mecze[[#This Row],[OB]]=0,0,Mecze[[#This Row],[OB]]/Mecze[[#This Row],[CZAS]])</f>
        <v>0</v>
      </c>
      <c r="R3154" s="32">
        <f>IF(Mecze[[#This Row],[BR]]=0,0,Mecze[[#This Row],[BR]]/Mecze[[#This Row],[CZAS]])</f>
        <v>0</v>
      </c>
      <c r="S3154" s="44">
        <f>IF(Mecze[[#This Row],[Role]]="BR",SUMPRODUCT(Mecze[[#This Row],[/PR:90]:[/BR:90]],Brudnopis!$E$23:$J$23),0)</f>
        <v>0</v>
      </c>
      <c r="T3154" s="44">
        <f>IF(Mecze[[#This Row],[Role]]&lt;&gt;"BR",SUMPRODUCT(Mecze[[#This Row],[/PR:90]:[/BR:90]],Brudnopis!$E$24:$J$24),0)</f>
        <v>0.15625</v>
      </c>
      <c r="U3154" s="44">
        <f>IF(Mecze[[#This Row],[Role]]&lt;&gt;"BR",SUMPRODUCT(Mecze[[#This Row],[/PR:90]:[/BR:90]],Brudnopis!$E$25:$J$25),0)</f>
        <v>0.203125</v>
      </c>
      <c r="V3154" s="44">
        <f>IF(Mecze[[#This Row],[Role]]&lt;&gt;"BR",SUMPRODUCT(Mecze[[#This Row],[/PR:90]:[/BR:90]],Brudnopis!$E$26:$J$26),0)</f>
        <v>0.15625</v>
      </c>
      <c r="W3154" s="44">
        <f>IF(Mecze[[#This Row],[Role]]&lt;&gt;"BR",SUMPRODUCT(Mecze[[#This Row],[/PR:90]:[/BR:90]],Brudnopis!$E$27:$J$27),0)</f>
        <v>0.1875</v>
      </c>
      <c r="X3154" s="44">
        <f>IF(Mecze[[#This Row],[Role]]&lt;&gt;"BR",SUMPRODUCT(Mecze[[#This Row],[/PR:90]:[/BR:90]],Brudnopis!$E$28:$J$28),0)</f>
        <v>9.375E-2</v>
      </c>
      <c r="Y3154" s="35">
        <f>IF(Mecze[[#This Row],[Role]]="BR",Mecze[[#This Row],[/OB:90]]+Mecze[[#This Row],[/PC:90]],SUM(Mecze[[#This Row],[/PR:90]:[/BR:90]]))</f>
        <v>0.15625</v>
      </c>
      <c r="Z3154" s="35">
        <f>IF(Mecze[[#This Row],[KC]]=0,SUM(Mecze[[#This Row],[/BRI]:[/NPI]]),SUM(Mecze[[#This Row],[/BRI]:[/NPI]])*0.6)</f>
        <v>0.796875</v>
      </c>
      <c r="AA3154" s="10">
        <f>IFERROR(Mecze[[#This Row],[BR]]/Mecze[[#This Row],[ST]],0)</f>
        <v>0</v>
      </c>
      <c r="AB3154">
        <f>ROUND(Mecze[[#This Row],[PD]]*Mecze[[#This Row],[%PC]],0)</f>
        <v>9</v>
      </c>
      <c r="AC3154">
        <f>ROUND(Mecze[[#This Row],[OD]]*Mecze[[#This Row],[%OU]],0)</f>
        <v>0</v>
      </c>
      <c r="AD3154" s="36" t="s">
        <v>41</v>
      </c>
      <c r="AE3154" s="36">
        <v>177</v>
      </c>
      <c r="AF3154" s="71">
        <v>7.3</v>
      </c>
      <c r="AG3154" s="37">
        <v>0</v>
      </c>
      <c r="AH3154" s="37">
        <v>0</v>
      </c>
      <c r="AI3154" s="37">
        <v>96</v>
      </c>
      <c r="AJ3154" s="37">
        <v>4</v>
      </c>
      <c r="AK3154" s="37" t="str">
        <f>VLOOKUP(Mecze[[#This Row],[Match ID]],Meczusie[Mecz]:Meczusie[RodzajMeczu],2,FALSE)</f>
        <v>Liga</v>
      </c>
    </row>
    <row r="3155" spans="1:37" x14ac:dyDescent="0.25">
      <c r="A3155" s="76">
        <v>6</v>
      </c>
      <c r="B3155" s="3" t="s">
        <v>280</v>
      </c>
      <c r="C3155" s="2" t="s">
        <v>160</v>
      </c>
      <c r="D3155" s="1">
        <v>0</v>
      </c>
      <c r="E3155" s="1">
        <v>1</v>
      </c>
      <c r="F3155" s="1">
        <v>1</v>
      </c>
      <c r="G3155" s="1">
        <v>15</v>
      </c>
      <c r="H3155" s="4">
        <v>0.8</v>
      </c>
      <c r="I3155" s="1">
        <v>6</v>
      </c>
      <c r="J3155" s="4">
        <v>0.5</v>
      </c>
      <c r="K3155" s="1">
        <v>0</v>
      </c>
      <c r="L3155" s="1">
        <v>5</v>
      </c>
      <c r="M3155" s="32">
        <f>IF(Mecze[[#This Row],[PR]]=0,0,Mecze[[#This Row],[PR]]/Mecze[[#This Row],[CZAS]])</f>
        <v>5.2083333333333336E-2</v>
      </c>
      <c r="N3155" s="32">
        <f>IF(Mecze[[#This Row],[OU]]=0,0,Mecze[[#This Row],[OU]]/Mecze[[#This Row],[CZAS]])</f>
        <v>3.125E-2</v>
      </c>
      <c r="O3155" s="32">
        <f>IF(Mecze[[#This Row],[PC]]=0,0,Mecze[[#This Row],[PC]]/Mecze[[#This Row],[CZAS]])</f>
        <v>0.125</v>
      </c>
      <c r="P3155" s="32">
        <f>IF(Mecze[[#This Row],[SC]]=0,0,Mecze[[#This Row],[SC]]/Mecze[[#This Row],[CZAS]])</f>
        <v>1.0416666666666666E-2</v>
      </c>
      <c r="Q3155" s="32">
        <f>IF(Mecze[[#This Row],[OB]]=0,0,Mecze[[#This Row],[OB]]/Mecze[[#This Row],[CZAS]])</f>
        <v>0</v>
      </c>
      <c r="R3155" s="32">
        <f>IF(Mecze[[#This Row],[BR]]=0,0,Mecze[[#This Row],[BR]]/Mecze[[#This Row],[CZAS]])</f>
        <v>0</v>
      </c>
      <c r="S3155" s="44">
        <f>IF(Mecze[[#This Row],[Role]]="BR",SUMPRODUCT(Mecze[[#This Row],[/PR:90]:[/BR:90]],Brudnopis!$E$23:$J$23),0)</f>
        <v>0</v>
      </c>
      <c r="T3155" s="44">
        <f>IF(Mecze[[#This Row],[Role]]&lt;&gt;"BR",SUMPRODUCT(Mecze[[#This Row],[/PR:90]:[/BR:90]],Brudnopis!$E$24:$J$24),0)</f>
        <v>0.234375</v>
      </c>
      <c r="U3155" s="44">
        <f>IF(Mecze[[#This Row],[Role]]&lt;&gt;"BR",SUMPRODUCT(Mecze[[#This Row],[/PR:90]:[/BR:90]],Brudnopis!$E$25:$J$25),0)</f>
        <v>0.28125000000000006</v>
      </c>
      <c r="V3155" s="44">
        <f>IF(Mecze[[#This Row],[Role]]&lt;&gt;"BR",SUMPRODUCT(Mecze[[#This Row],[/PR:90]:[/BR:90]],Brudnopis!$E$26:$J$26),0)</f>
        <v>0.21875</v>
      </c>
      <c r="W3155" s="44">
        <f>IF(Mecze[[#This Row],[Role]]&lt;&gt;"BR",SUMPRODUCT(Mecze[[#This Row],[/PR:90]:[/BR:90]],Brudnopis!$E$27:$J$27),0)</f>
        <v>0.26041666666666669</v>
      </c>
      <c r="X3155" s="44">
        <f>IF(Mecze[[#This Row],[Role]]&lt;&gt;"BR",SUMPRODUCT(Mecze[[#This Row],[/PR:90]:[/BR:90]],Brudnopis!$E$28:$J$28),0)</f>
        <v>0.14583333333333334</v>
      </c>
      <c r="Y3155" s="35">
        <f>IF(Mecze[[#This Row],[Role]]="BR",Mecze[[#This Row],[/OB:90]]+Mecze[[#This Row],[/PC:90]],SUM(Mecze[[#This Row],[/PR:90]:[/BR:90]]))</f>
        <v>0.21875</v>
      </c>
      <c r="Z3155" s="35">
        <f>IF(Mecze[[#This Row],[KC]]=0,SUM(Mecze[[#This Row],[/BRI]:[/NPI]]),SUM(Mecze[[#This Row],[/BRI]:[/NPI]])*0.6)</f>
        <v>1.140625</v>
      </c>
      <c r="AA3155" s="10">
        <f>IFERROR(Mecze[[#This Row],[BR]]/Mecze[[#This Row],[ST]],0)</f>
        <v>0</v>
      </c>
      <c r="AB3155">
        <f>ROUND(Mecze[[#This Row],[PD]]*Mecze[[#This Row],[%PC]],0)</f>
        <v>12</v>
      </c>
      <c r="AC3155">
        <f>ROUND(Mecze[[#This Row],[OD]]*Mecze[[#This Row],[%OU]],0)</f>
        <v>3</v>
      </c>
      <c r="AD3155" s="36" t="s">
        <v>67</v>
      </c>
      <c r="AE3155" s="36">
        <v>177</v>
      </c>
      <c r="AF3155" s="71">
        <v>7.32</v>
      </c>
      <c r="AG3155" s="37">
        <v>0</v>
      </c>
      <c r="AH3155" s="37">
        <v>0</v>
      </c>
      <c r="AI3155" s="37">
        <v>96</v>
      </c>
      <c r="AJ3155" s="37">
        <v>4</v>
      </c>
      <c r="AK3155" s="37" t="str">
        <f>VLOOKUP(Mecze[[#This Row],[Match ID]],Meczusie[Mecz]:Meczusie[RodzajMeczu],2,FALSE)</f>
        <v>Liga</v>
      </c>
    </row>
    <row r="3156" spans="1:37" x14ac:dyDescent="0.25">
      <c r="A3156" s="76">
        <v>13</v>
      </c>
      <c r="B3156" s="3" t="s">
        <v>287</v>
      </c>
      <c r="C3156" s="2" t="s">
        <v>160</v>
      </c>
      <c r="D3156" s="1">
        <v>0</v>
      </c>
      <c r="E3156" s="1">
        <v>0</v>
      </c>
      <c r="F3156" s="1">
        <v>0</v>
      </c>
      <c r="G3156" s="1">
        <v>8</v>
      </c>
      <c r="H3156" s="4">
        <v>1</v>
      </c>
      <c r="I3156" s="1">
        <v>2</v>
      </c>
      <c r="J3156" s="4">
        <v>1</v>
      </c>
      <c r="K3156" s="1">
        <v>0</v>
      </c>
      <c r="L3156" s="1">
        <v>1</v>
      </c>
      <c r="M3156" s="32">
        <f>IF(Mecze[[#This Row],[PR]]=0,0,Mecze[[#This Row],[PR]]/Mecze[[#This Row],[CZAS]])</f>
        <v>1.7543859649122806E-2</v>
      </c>
      <c r="N3156" s="32">
        <f>IF(Mecze[[#This Row],[OU]]=0,0,Mecze[[#This Row],[OU]]/Mecze[[#This Row],[CZAS]])</f>
        <v>3.5087719298245612E-2</v>
      </c>
      <c r="O3156" s="32">
        <f>IF(Mecze[[#This Row],[PC]]=0,0,Mecze[[#This Row],[PC]]/Mecze[[#This Row],[CZAS]])</f>
        <v>0.14035087719298245</v>
      </c>
      <c r="P3156" s="32">
        <f>IF(Mecze[[#This Row],[SC]]=0,0,Mecze[[#This Row],[SC]]/Mecze[[#This Row],[CZAS]])</f>
        <v>0</v>
      </c>
      <c r="Q3156" s="32">
        <f>IF(Mecze[[#This Row],[OB]]=0,0,Mecze[[#This Row],[OB]]/Mecze[[#This Row],[CZAS]])</f>
        <v>0</v>
      </c>
      <c r="R3156" s="32">
        <f>IF(Mecze[[#This Row],[BR]]=0,0,Mecze[[#This Row],[BR]]/Mecze[[#This Row],[CZAS]])</f>
        <v>0</v>
      </c>
      <c r="S3156" s="44">
        <f>IF(Mecze[[#This Row],[Role]]="BR",SUMPRODUCT(Mecze[[#This Row],[/PR:90]:[/BR:90]],Brudnopis!$E$23:$J$23),0)</f>
        <v>0</v>
      </c>
      <c r="T3156" s="44">
        <f>IF(Mecze[[#This Row],[Role]]&lt;&gt;"BR",SUMPRODUCT(Mecze[[#This Row],[/PR:90]:[/BR:90]],Brudnopis!$E$24:$J$24),0)</f>
        <v>0.21052631578947367</v>
      </c>
      <c r="U3156" s="44">
        <f>IF(Mecze[[#This Row],[Role]]&lt;&gt;"BR",SUMPRODUCT(Mecze[[#This Row],[/PR:90]:[/BR:90]],Brudnopis!$E$25:$J$25),0)</f>
        <v>0.26315789473684209</v>
      </c>
      <c r="V3156" s="44">
        <f>IF(Mecze[[#This Row],[Role]]&lt;&gt;"BR",SUMPRODUCT(Mecze[[#This Row],[/PR:90]:[/BR:90]],Brudnopis!$E$26:$J$26),0)</f>
        <v>0.19298245614035087</v>
      </c>
      <c r="W3156" s="44">
        <f>IF(Mecze[[#This Row],[Role]]&lt;&gt;"BR",SUMPRODUCT(Mecze[[#This Row],[/PR:90]:[/BR:90]],Brudnopis!$E$27:$J$27),0)</f>
        <v>0.25</v>
      </c>
      <c r="X3156" s="44">
        <f>IF(Mecze[[#This Row],[Role]]&lt;&gt;"BR",SUMPRODUCT(Mecze[[#This Row],[/PR:90]:[/BR:90]],Brudnopis!$E$28:$J$28),0)</f>
        <v>0.14035087719298245</v>
      </c>
      <c r="Y3156" s="35">
        <f>IF(Mecze[[#This Row],[Role]]="BR",Mecze[[#This Row],[/OB:90]]+Mecze[[#This Row],[/PC:90]],SUM(Mecze[[#This Row],[/PR:90]:[/BR:90]]))</f>
        <v>0.19298245614035087</v>
      </c>
      <c r="Z3156" s="35">
        <f>IF(Mecze[[#This Row],[KC]]=0,SUM(Mecze[[#This Row],[/BRI]:[/NPI]]),SUM(Mecze[[#This Row],[/BRI]:[/NPI]])*0.6)</f>
        <v>1.057017543859649</v>
      </c>
      <c r="AA3156" s="10">
        <f>IFERROR(Mecze[[#This Row],[BR]]/Mecze[[#This Row],[ST]],0)</f>
        <v>0</v>
      </c>
      <c r="AB3156">
        <f>ROUND(Mecze[[#This Row],[PD]]*Mecze[[#This Row],[%PC]],0)</f>
        <v>8</v>
      </c>
      <c r="AC3156">
        <f>ROUND(Mecze[[#This Row],[OD]]*Mecze[[#This Row],[%OU]],0)</f>
        <v>2</v>
      </c>
      <c r="AD3156" s="36" t="s">
        <v>171</v>
      </c>
      <c r="AE3156" s="36">
        <v>177</v>
      </c>
      <c r="AF3156" s="71">
        <v>5.26</v>
      </c>
      <c r="AG3156" s="37">
        <v>0</v>
      </c>
      <c r="AH3156" s="37">
        <v>0</v>
      </c>
      <c r="AI3156" s="37">
        <v>57</v>
      </c>
      <c r="AJ3156" s="37">
        <v>4</v>
      </c>
      <c r="AK3156" s="37" t="str">
        <f>VLOOKUP(Mecze[[#This Row],[Match ID]],Meczusie[Mecz]:Meczusie[RodzajMeczu],2,FALSE)</f>
        <v>Liga</v>
      </c>
    </row>
    <row r="3157" spans="1:37" x14ac:dyDescent="0.25">
      <c r="A3157" s="76">
        <v>11</v>
      </c>
      <c r="B3157" s="3" t="s">
        <v>282</v>
      </c>
      <c r="C3157" s="2" t="s">
        <v>165</v>
      </c>
      <c r="D3157" s="1">
        <v>0</v>
      </c>
      <c r="E3157" s="1">
        <v>2</v>
      </c>
      <c r="F3157" s="1">
        <v>1</v>
      </c>
      <c r="G3157" s="1">
        <v>1</v>
      </c>
      <c r="H3157" s="4">
        <v>1</v>
      </c>
      <c r="I3157" s="1">
        <v>1</v>
      </c>
      <c r="J3157" s="4">
        <v>0</v>
      </c>
      <c r="K3157" s="1">
        <v>0</v>
      </c>
      <c r="L3157" s="1">
        <v>1</v>
      </c>
      <c r="M3157" s="32">
        <f>IF(Mecze[[#This Row],[PR]]=0,0,Mecze[[#This Row],[PR]]/Mecze[[#This Row],[CZAS]])</f>
        <v>1.7543859649122806E-2</v>
      </c>
      <c r="N3157" s="32">
        <f>IF(Mecze[[#This Row],[OU]]=0,0,Mecze[[#This Row],[OU]]/Mecze[[#This Row],[CZAS]])</f>
        <v>0</v>
      </c>
      <c r="O3157" s="32">
        <f>IF(Mecze[[#This Row],[PC]]=0,0,Mecze[[#This Row],[PC]]/Mecze[[#This Row],[CZAS]])</f>
        <v>1.7543859649122806E-2</v>
      </c>
      <c r="P3157" s="32">
        <f>IF(Mecze[[#This Row],[SC]]=0,0,Mecze[[#This Row],[SC]]/Mecze[[#This Row],[CZAS]])</f>
        <v>1.7543859649122806E-2</v>
      </c>
      <c r="Q3157" s="32">
        <f>IF(Mecze[[#This Row],[OB]]=0,0,Mecze[[#This Row],[OB]]/Mecze[[#This Row],[CZAS]])</f>
        <v>0</v>
      </c>
      <c r="R3157" s="32">
        <f>IF(Mecze[[#This Row],[BR]]=0,0,Mecze[[#This Row],[BR]]/Mecze[[#This Row],[CZAS]])</f>
        <v>0</v>
      </c>
      <c r="S3157" s="44">
        <f>IF(Mecze[[#This Row],[Role]]="BR",SUMPRODUCT(Mecze[[#This Row],[/PR:90]:[/BR:90]],Brudnopis!$E$23:$J$23),0)</f>
        <v>0</v>
      </c>
      <c r="T3157" s="44">
        <f>IF(Mecze[[#This Row],[Role]]&lt;&gt;"BR",SUMPRODUCT(Mecze[[#This Row],[/PR:90]:[/BR:90]],Brudnopis!$E$24:$J$24),0)</f>
        <v>5.2631578947368418E-2</v>
      </c>
      <c r="U3157" s="44">
        <f>IF(Mecze[[#This Row],[Role]]&lt;&gt;"BR",SUMPRODUCT(Mecze[[#This Row],[/PR:90]:[/BR:90]],Brudnopis!$E$25:$J$25),0)</f>
        <v>6.1403508771929821E-2</v>
      </c>
      <c r="V3157" s="44">
        <f>IF(Mecze[[#This Row],[Role]]&lt;&gt;"BR",SUMPRODUCT(Mecze[[#This Row],[/PR:90]:[/BR:90]],Brudnopis!$E$26:$J$26),0)</f>
        <v>5.2631578947368418E-2</v>
      </c>
      <c r="W3157" s="44">
        <f>IF(Mecze[[#This Row],[Role]]&lt;&gt;"BR",SUMPRODUCT(Mecze[[#This Row],[/PR:90]:[/BR:90]],Brudnopis!$E$27:$J$27),0)</f>
        <v>5.701754385964912E-2</v>
      </c>
      <c r="X3157" s="44">
        <f>IF(Mecze[[#This Row],[Role]]&lt;&gt;"BR",SUMPRODUCT(Mecze[[#This Row],[/PR:90]:[/BR:90]],Brudnopis!$E$28:$J$28),0)</f>
        <v>5.2631578947368418E-2</v>
      </c>
      <c r="Y3157" s="35">
        <f>IF(Mecze[[#This Row],[Role]]="BR",Mecze[[#This Row],[/OB:90]]+Mecze[[#This Row],[/PC:90]],SUM(Mecze[[#This Row],[/PR:90]:[/BR:90]]))</f>
        <v>5.2631578947368418E-2</v>
      </c>
      <c r="Z3157" s="35">
        <f>IF(Mecze[[#This Row],[KC]]=0,SUM(Mecze[[#This Row],[/BRI]:[/NPI]]),SUM(Mecze[[#This Row],[/BRI]:[/NPI]])*0.6)</f>
        <v>0.27631578947368418</v>
      </c>
      <c r="AA3157" s="10">
        <f>IFERROR(Mecze[[#This Row],[BR]]/Mecze[[#This Row],[ST]],0)</f>
        <v>0</v>
      </c>
      <c r="AB3157">
        <f>ROUND(Mecze[[#This Row],[PD]]*Mecze[[#This Row],[%PC]],0)</f>
        <v>1</v>
      </c>
      <c r="AC3157">
        <f>ROUND(Mecze[[#This Row],[OD]]*Mecze[[#This Row],[%OU]],0)</f>
        <v>0</v>
      </c>
      <c r="AD3157" s="36" t="s">
        <v>46</v>
      </c>
      <c r="AE3157" s="36">
        <v>177</v>
      </c>
      <c r="AF3157" s="71">
        <v>1.94</v>
      </c>
      <c r="AG3157" s="37">
        <v>0</v>
      </c>
      <c r="AH3157" s="37">
        <v>0</v>
      </c>
      <c r="AI3157" s="37">
        <v>57</v>
      </c>
      <c r="AJ3157" s="37">
        <v>4</v>
      </c>
      <c r="AK3157" s="37" t="str">
        <f>VLOOKUP(Mecze[[#This Row],[Match ID]],Meczusie[Mecz]:Meczusie[RodzajMeczu],2,FALSE)</f>
        <v>Liga</v>
      </c>
    </row>
    <row r="3158" spans="1:37" x14ac:dyDescent="0.25">
      <c r="A3158" s="76">
        <v>8</v>
      </c>
      <c r="B3158" s="3" t="s">
        <v>283</v>
      </c>
      <c r="C3158" s="2" t="s">
        <v>165</v>
      </c>
      <c r="D3158" s="1">
        <v>1</v>
      </c>
      <c r="E3158" s="1">
        <v>5</v>
      </c>
      <c r="F3158" s="1">
        <v>4</v>
      </c>
      <c r="G3158" s="1">
        <v>6</v>
      </c>
      <c r="H3158" s="4">
        <v>0.5</v>
      </c>
      <c r="I3158" s="1">
        <v>4</v>
      </c>
      <c r="J3158" s="4">
        <v>0.5</v>
      </c>
      <c r="K3158" s="1">
        <v>0</v>
      </c>
      <c r="L3158" s="1">
        <v>0</v>
      </c>
      <c r="M3158" s="32">
        <f>IF(Mecze[[#This Row],[PR]]=0,0,Mecze[[#This Row],[PR]]/Mecze[[#This Row],[CZAS]])</f>
        <v>0</v>
      </c>
      <c r="N3158" s="32">
        <f>IF(Mecze[[#This Row],[OU]]=0,0,Mecze[[#This Row],[OU]]/Mecze[[#This Row],[CZAS]])</f>
        <v>2.0833333333333332E-2</v>
      </c>
      <c r="O3158" s="32">
        <f>IF(Mecze[[#This Row],[PC]]=0,0,Mecze[[#This Row],[PC]]/Mecze[[#This Row],[CZAS]])</f>
        <v>3.125E-2</v>
      </c>
      <c r="P3158" s="32">
        <f>IF(Mecze[[#This Row],[SC]]=0,0,Mecze[[#This Row],[SC]]/Mecze[[#This Row],[CZAS]])</f>
        <v>4.1666666666666664E-2</v>
      </c>
      <c r="Q3158" s="32">
        <f>IF(Mecze[[#This Row],[OB]]=0,0,Mecze[[#This Row],[OB]]/Mecze[[#This Row],[CZAS]])</f>
        <v>0</v>
      </c>
      <c r="R3158" s="32">
        <f>IF(Mecze[[#This Row],[BR]]=0,0,Mecze[[#This Row],[BR]]/Mecze[[#This Row],[CZAS]])</f>
        <v>1.0416666666666666E-2</v>
      </c>
      <c r="S3158" s="44">
        <f>IF(Mecze[[#This Row],[Role]]="BR",SUMPRODUCT(Mecze[[#This Row],[/PR:90]:[/BR:90]],Brudnopis!$E$23:$J$23),0)</f>
        <v>0</v>
      </c>
      <c r="T3158" s="44">
        <f>IF(Mecze[[#This Row],[Role]]&lt;&gt;"BR",SUMPRODUCT(Mecze[[#This Row],[/PR:90]:[/BR:90]],Brudnopis!$E$24:$J$24),0)</f>
        <v>0.11979166666666666</v>
      </c>
      <c r="U3158" s="44">
        <f>IF(Mecze[[#This Row],[Role]]&lt;&gt;"BR",SUMPRODUCT(Mecze[[#This Row],[/PR:90]:[/BR:90]],Brudnopis!$E$25:$J$25),0)</f>
        <v>0.125</v>
      </c>
      <c r="V3158" s="44">
        <f>IF(Mecze[[#This Row],[Role]]&lt;&gt;"BR",SUMPRODUCT(Mecze[[#This Row],[/PR:90]:[/BR:90]],Brudnopis!$E$26:$J$26),0)</f>
        <v>0.11458333333333333</v>
      </c>
      <c r="W3158" s="44">
        <f>IF(Mecze[[#This Row],[Role]]&lt;&gt;"BR",SUMPRODUCT(Mecze[[#This Row],[/PR:90]:[/BR:90]],Brudnopis!$E$27:$J$27),0)</f>
        <v>0.12499999999999999</v>
      </c>
      <c r="X3158" s="44">
        <f>IF(Mecze[[#This Row],[Role]]&lt;&gt;"BR",SUMPRODUCT(Mecze[[#This Row],[/PR:90]:[/BR:90]],Brudnopis!$E$28:$J$28),0)</f>
        <v>0.14583333333333331</v>
      </c>
      <c r="Y3158" s="35">
        <f>IF(Mecze[[#This Row],[Role]]="BR",Mecze[[#This Row],[/OB:90]]+Mecze[[#This Row],[/PC:90]],SUM(Mecze[[#This Row],[/PR:90]:[/BR:90]]))</f>
        <v>0.10416666666666667</v>
      </c>
      <c r="Z3158" s="35">
        <f>IF(Mecze[[#This Row],[KC]]=0,SUM(Mecze[[#This Row],[/BRI]:[/NPI]]),SUM(Mecze[[#This Row],[/BRI]:[/NPI]])*0.6)</f>
        <v>0.63020833333333326</v>
      </c>
      <c r="AA3158" s="10">
        <f>IFERROR(Mecze[[#This Row],[BR]]/Mecze[[#This Row],[ST]],0)</f>
        <v>0.2</v>
      </c>
      <c r="AB3158">
        <f>ROUND(Mecze[[#This Row],[PD]]*Mecze[[#This Row],[%PC]],0)</f>
        <v>3</v>
      </c>
      <c r="AC3158">
        <f>ROUND(Mecze[[#This Row],[OD]]*Mecze[[#This Row],[%OU]],0)</f>
        <v>2</v>
      </c>
      <c r="AD3158" s="36" t="s">
        <v>273</v>
      </c>
      <c r="AE3158" s="36">
        <v>177</v>
      </c>
      <c r="AF3158" s="71">
        <v>8.44</v>
      </c>
      <c r="AG3158" s="37">
        <v>0</v>
      </c>
      <c r="AH3158" s="37">
        <v>0</v>
      </c>
      <c r="AI3158" s="37">
        <v>96</v>
      </c>
      <c r="AJ3158" s="37">
        <v>4</v>
      </c>
      <c r="AK3158" s="37" t="str">
        <f>VLOOKUP(Mecze[[#This Row],[Match ID]],Meczusie[Mecz]:Meczusie[RodzajMeczu],2,FALSE)</f>
        <v>Liga</v>
      </c>
    </row>
    <row r="3159" spans="1:37" x14ac:dyDescent="0.25">
      <c r="A3159" s="76">
        <v>10</v>
      </c>
      <c r="B3159" s="3" t="s">
        <v>284</v>
      </c>
      <c r="C3159" s="2" t="s">
        <v>165</v>
      </c>
      <c r="D3159" s="1">
        <v>2</v>
      </c>
      <c r="E3159" s="1">
        <v>13</v>
      </c>
      <c r="F3159" s="1">
        <v>11</v>
      </c>
      <c r="G3159" s="1">
        <v>4</v>
      </c>
      <c r="H3159" s="4">
        <v>0.75</v>
      </c>
      <c r="I3159" s="1">
        <v>4</v>
      </c>
      <c r="J3159" s="4">
        <v>0.75</v>
      </c>
      <c r="K3159" s="1">
        <v>0</v>
      </c>
      <c r="L3159" s="1">
        <v>1</v>
      </c>
      <c r="M3159" s="32">
        <f>IF(Mecze[[#This Row],[PR]]=0,0,Mecze[[#This Row],[PR]]/Mecze[[#This Row],[CZAS]])</f>
        <v>1.0416666666666666E-2</v>
      </c>
      <c r="N3159" s="32">
        <f>IF(Mecze[[#This Row],[OU]]=0,0,Mecze[[#This Row],[OU]]/Mecze[[#This Row],[CZAS]])</f>
        <v>3.125E-2</v>
      </c>
      <c r="O3159" s="32">
        <f>IF(Mecze[[#This Row],[PC]]=0,0,Mecze[[#This Row],[PC]]/Mecze[[#This Row],[CZAS]])</f>
        <v>3.125E-2</v>
      </c>
      <c r="P3159" s="32">
        <f>IF(Mecze[[#This Row],[SC]]=0,0,Mecze[[#This Row],[SC]]/Mecze[[#This Row],[CZAS]])</f>
        <v>0.11458333333333333</v>
      </c>
      <c r="Q3159" s="32">
        <f>IF(Mecze[[#This Row],[OB]]=0,0,Mecze[[#This Row],[OB]]/Mecze[[#This Row],[CZAS]])</f>
        <v>0</v>
      </c>
      <c r="R3159" s="32">
        <f>IF(Mecze[[#This Row],[BR]]=0,0,Mecze[[#This Row],[BR]]/Mecze[[#This Row],[CZAS]])</f>
        <v>2.0833333333333332E-2</v>
      </c>
      <c r="S3159" s="44">
        <f>IF(Mecze[[#This Row],[Role]]="BR",SUMPRODUCT(Mecze[[#This Row],[/PR:90]:[/BR:90]],Brudnopis!$E$23:$J$23),0)</f>
        <v>0</v>
      </c>
      <c r="T3159" s="44">
        <f>IF(Mecze[[#This Row],[Role]]&lt;&gt;"BR",SUMPRODUCT(Mecze[[#This Row],[/PR:90]:[/BR:90]],Brudnopis!$E$24:$J$24),0)</f>
        <v>0.234375</v>
      </c>
      <c r="U3159" s="44">
        <f>IF(Mecze[[#This Row],[Role]]&lt;&gt;"BR",SUMPRODUCT(Mecze[[#This Row],[/PR:90]:[/BR:90]],Brudnopis!$E$25:$J$25),0)</f>
        <v>0.234375</v>
      </c>
      <c r="V3159" s="44">
        <f>IF(Mecze[[#This Row],[Role]]&lt;&gt;"BR",SUMPRODUCT(Mecze[[#This Row],[/PR:90]:[/BR:90]],Brudnopis!$E$26:$J$26),0)</f>
        <v>0.22916666666666666</v>
      </c>
      <c r="W3159" s="44">
        <f>IF(Mecze[[#This Row],[Role]]&lt;&gt;"BR",SUMPRODUCT(Mecze[[#This Row],[/PR:90]:[/BR:90]],Brudnopis!$E$27:$J$27),0)</f>
        <v>0.23437499999999997</v>
      </c>
      <c r="X3159" s="44">
        <f>IF(Mecze[[#This Row],[Role]]&lt;&gt;"BR",SUMPRODUCT(Mecze[[#This Row],[/PR:90]:[/BR:90]],Brudnopis!$E$28:$J$28),0)</f>
        <v>0.32291666666666663</v>
      </c>
      <c r="Y3159" s="35">
        <f>IF(Mecze[[#This Row],[Role]]="BR",Mecze[[#This Row],[/OB:90]]+Mecze[[#This Row],[/PC:90]],SUM(Mecze[[#This Row],[/PR:90]:[/BR:90]]))</f>
        <v>0.20833333333333334</v>
      </c>
      <c r="Z3159" s="35">
        <f>IF(Mecze[[#This Row],[KC]]=0,SUM(Mecze[[#This Row],[/BRI]:[/NPI]]),SUM(Mecze[[#This Row],[/BRI]:[/NPI]])*0.6)</f>
        <v>1.2552083333333333</v>
      </c>
      <c r="AA3159" s="10">
        <f>IFERROR(Mecze[[#This Row],[BR]]/Mecze[[#This Row],[ST]],0)</f>
        <v>0.15384615384615385</v>
      </c>
      <c r="AB3159">
        <f>ROUND(Mecze[[#This Row],[PD]]*Mecze[[#This Row],[%PC]],0)</f>
        <v>3</v>
      </c>
      <c r="AC3159">
        <f>ROUND(Mecze[[#This Row],[OD]]*Mecze[[#This Row],[%OU]],0)</f>
        <v>3</v>
      </c>
      <c r="AD3159" s="36" t="s">
        <v>46</v>
      </c>
      <c r="AE3159" s="36">
        <v>177</v>
      </c>
      <c r="AF3159" s="71">
        <v>10.95</v>
      </c>
      <c r="AG3159" s="37">
        <v>0</v>
      </c>
      <c r="AH3159" s="37">
        <v>0</v>
      </c>
      <c r="AI3159" s="37">
        <v>96</v>
      </c>
      <c r="AJ3159" s="37">
        <v>4</v>
      </c>
      <c r="AK3159" s="37" t="str">
        <f>VLOOKUP(Mecze[[#This Row],[Match ID]],Meczusie[Mecz]:Meczusie[RodzajMeczu],2,FALSE)</f>
        <v>Liga</v>
      </c>
    </row>
    <row r="3160" spans="1:37" x14ac:dyDescent="0.25">
      <c r="A3160" s="76">
        <v>3</v>
      </c>
      <c r="B3160" s="3" t="s">
        <v>495</v>
      </c>
      <c r="C3160" s="2" t="s">
        <v>157</v>
      </c>
      <c r="D3160" s="1">
        <v>0</v>
      </c>
      <c r="E3160" s="1">
        <v>0</v>
      </c>
      <c r="F3160" s="1">
        <v>0</v>
      </c>
      <c r="G3160" s="1">
        <v>4</v>
      </c>
      <c r="H3160" s="4">
        <v>1</v>
      </c>
      <c r="I3160" s="1">
        <v>4</v>
      </c>
      <c r="J3160" s="4">
        <v>0.5</v>
      </c>
      <c r="K3160" s="1">
        <v>0</v>
      </c>
      <c r="L3160" s="1">
        <v>1</v>
      </c>
      <c r="M3160" s="32">
        <f>IF(Mecze[[#This Row],[PR]]=0,0,Mecze[[#This Row],[PR]]/Mecze[[#This Row],[CZAS]])</f>
        <v>2.564102564102564E-2</v>
      </c>
      <c r="N3160" s="32">
        <f>IF(Mecze[[#This Row],[OU]]=0,0,Mecze[[#This Row],[OU]]/Mecze[[#This Row],[CZAS]])</f>
        <v>5.128205128205128E-2</v>
      </c>
      <c r="O3160" s="32">
        <f>IF(Mecze[[#This Row],[PC]]=0,0,Mecze[[#This Row],[PC]]/Mecze[[#This Row],[CZAS]])</f>
        <v>0.10256410256410256</v>
      </c>
      <c r="P3160" s="32">
        <f>IF(Mecze[[#This Row],[SC]]=0,0,Mecze[[#This Row],[SC]]/Mecze[[#This Row],[CZAS]])</f>
        <v>0</v>
      </c>
      <c r="Q3160" s="32">
        <f>IF(Mecze[[#This Row],[OB]]=0,0,Mecze[[#This Row],[OB]]/Mecze[[#This Row],[CZAS]])</f>
        <v>0</v>
      </c>
      <c r="R3160" s="32">
        <f>IF(Mecze[[#This Row],[BR]]=0,0,Mecze[[#This Row],[BR]]/Mecze[[#This Row],[CZAS]])</f>
        <v>0</v>
      </c>
      <c r="S3160" s="44">
        <f>IF(Mecze[[#This Row],[Role]]="BR",SUMPRODUCT(Mecze[[#This Row],[/PR:90]:[/BR:90]],Brudnopis!$E$23:$J$23),0)</f>
        <v>0</v>
      </c>
      <c r="T3160" s="44">
        <f>IF(Mecze[[#This Row],[Role]]&lt;&gt;"BR",SUMPRODUCT(Mecze[[#This Row],[/PR:90]:[/BR:90]],Brudnopis!$E$24:$J$24),0)</f>
        <v>0.20512820512820512</v>
      </c>
      <c r="U3160" s="44">
        <f>IF(Mecze[[#This Row],[Role]]&lt;&gt;"BR",SUMPRODUCT(Mecze[[#This Row],[/PR:90]:[/BR:90]],Brudnopis!$E$25:$J$25),0)</f>
        <v>0.23076923076923078</v>
      </c>
      <c r="V3160" s="44">
        <f>IF(Mecze[[#This Row],[Role]]&lt;&gt;"BR",SUMPRODUCT(Mecze[[#This Row],[/PR:90]:[/BR:90]],Brudnopis!$E$26:$J$26),0)</f>
        <v>0.17948717948717949</v>
      </c>
      <c r="W3160" s="44">
        <f>IF(Mecze[[#This Row],[Role]]&lt;&gt;"BR",SUMPRODUCT(Mecze[[#This Row],[/PR:90]:[/BR:90]],Brudnopis!$E$27:$J$27),0)</f>
        <v>0.21153846153846156</v>
      </c>
      <c r="X3160" s="44">
        <f>IF(Mecze[[#This Row],[Role]]&lt;&gt;"BR",SUMPRODUCT(Mecze[[#This Row],[/PR:90]:[/BR:90]],Brudnopis!$E$28:$J$28),0)</f>
        <v>0.10256410256410256</v>
      </c>
      <c r="Y3160" s="35">
        <f>IF(Mecze[[#This Row],[Role]]="BR",Mecze[[#This Row],[/OB:90]]+Mecze[[#This Row],[/PC:90]],SUM(Mecze[[#This Row],[/PR:90]:[/BR:90]]))</f>
        <v>0.17948717948717949</v>
      </c>
      <c r="Z3160" s="35">
        <f>IF(Mecze[[#This Row],[KC]]=0,SUM(Mecze[[#This Row],[/BRI]:[/NPI]]),SUM(Mecze[[#This Row],[/BRI]:[/NPI]])*0.6)</f>
        <v>0.92948717948717952</v>
      </c>
      <c r="AA3160" s="10">
        <f>IFERROR(Mecze[[#This Row],[BR]]/Mecze[[#This Row],[ST]],0)</f>
        <v>0</v>
      </c>
      <c r="AB3160">
        <f>ROUND(Mecze[[#This Row],[PD]]*Mecze[[#This Row],[%PC]],0)</f>
        <v>4</v>
      </c>
      <c r="AC3160">
        <f>ROUND(Mecze[[#This Row],[OD]]*Mecze[[#This Row],[%OU]],0)</f>
        <v>2</v>
      </c>
      <c r="AD3160" s="36" t="s">
        <v>167</v>
      </c>
      <c r="AE3160" s="36">
        <v>177</v>
      </c>
      <c r="AF3160" s="71">
        <v>1.94</v>
      </c>
      <c r="AG3160" s="37">
        <v>0</v>
      </c>
      <c r="AH3160" s="37">
        <v>0</v>
      </c>
      <c r="AI3160" s="37">
        <v>39</v>
      </c>
      <c r="AJ3160" s="37">
        <v>4</v>
      </c>
      <c r="AK3160" s="37" t="str">
        <f>VLOOKUP(Mecze[[#This Row],[Match ID]],Meczusie[Mecz]:Meczusie[RodzajMeczu],2,FALSE)</f>
        <v>Liga</v>
      </c>
    </row>
    <row r="3161" spans="1:37" x14ac:dyDescent="0.25">
      <c r="A3161" s="76">
        <v>15</v>
      </c>
      <c r="B3161" s="3" t="s">
        <v>286</v>
      </c>
      <c r="C3161" s="2" t="s">
        <v>160</v>
      </c>
      <c r="D3161" s="1">
        <v>0</v>
      </c>
      <c r="E3161" s="1">
        <v>0</v>
      </c>
      <c r="F3161" s="1">
        <v>0</v>
      </c>
      <c r="G3161" s="1">
        <v>4</v>
      </c>
      <c r="H3161" s="4">
        <v>0.75</v>
      </c>
      <c r="I3161" s="1">
        <v>3</v>
      </c>
      <c r="J3161" s="4">
        <v>0.67</v>
      </c>
      <c r="K3161" s="1">
        <v>0</v>
      </c>
      <c r="L3161" s="1">
        <v>2</v>
      </c>
      <c r="M3161" s="32">
        <f>IF(Mecze[[#This Row],[PR]]=0,0,Mecze[[#This Row],[PR]]/Mecze[[#This Row],[CZAS]])</f>
        <v>5.128205128205128E-2</v>
      </c>
      <c r="N3161" s="32">
        <f>IF(Mecze[[#This Row],[OU]]=0,0,Mecze[[#This Row],[OU]]/Mecze[[#This Row],[CZAS]])</f>
        <v>5.128205128205128E-2</v>
      </c>
      <c r="O3161" s="32">
        <f>IF(Mecze[[#This Row],[PC]]=0,0,Mecze[[#This Row],[PC]]/Mecze[[#This Row],[CZAS]])</f>
        <v>7.6923076923076927E-2</v>
      </c>
      <c r="P3161" s="32">
        <f>IF(Mecze[[#This Row],[SC]]=0,0,Mecze[[#This Row],[SC]]/Mecze[[#This Row],[CZAS]])</f>
        <v>0</v>
      </c>
      <c r="Q3161" s="32">
        <f>IF(Mecze[[#This Row],[OB]]=0,0,Mecze[[#This Row],[OB]]/Mecze[[#This Row],[CZAS]])</f>
        <v>0</v>
      </c>
      <c r="R3161" s="32">
        <f>IF(Mecze[[#This Row],[BR]]=0,0,Mecze[[#This Row],[BR]]/Mecze[[#This Row],[CZAS]])</f>
        <v>0</v>
      </c>
      <c r="S3161" s="44">
        <f>IF(Mecze[[#This Row],[Role]]="BR",SUMPRODUCT(Mecze[[#This Row],[/PR:90]:[/BR:90]],Brudnopis!$E$23:$J$23),0)</f>
        <v>0</v>
      </c>
      <c r="T3161" s="44">
        <f>IF(Mecze[[#This Row],[Role]]&lt;&gt;"BR",SUMPRODUCT(Mecze[[#This Row],[/PR:90]:[/BR:90]],Brudnopis!$E$24:$J$24),0)</f>
        <v>0.20512820512820512</v>
      </c>
      <c r="U3161" s="44">
        <f>IF(Mecze[[#This Row],[Role]]&lt;&gt;"BR",SUMPRODUCT(Mecze[[#This Row],[/PR:90]:[/BR:90]],Brudnopis!$E$25:$J$25),0)</f>
        <v>0.21794871794871795</v>
      </c>
      <c r="V3161" s="44">
        <f>IF(Mecze[[#This Row],[Role]]&lt;&gt;"BR",SUMPRODUCT(Mecze[[#This Row],[/PR:90]:[/BR:90]],Brudnopis!$E$26:$J$26),0)</f>
        <v>0.17948717948717949</v>
      </c>
      <c r="W3161" s="44">
        <f>IF(Mecze[[#This Row],[Role]]&lt;&gt;"BR",SUMPRODUCT(Mecze[[#This Row],[/PR:90]:[/BR:90]],Brudnopis!$E$27:$J$27),0)</f>
        <v>0.19230769230769232</v>
      </c>
      <c r="X3161" s="44">
        <f>IF(Mecze[[#This Row],[Role]]&lt;&gt;"BR",SUMPRODUCT(Mecze[[#This Row],[/PR:90]:[/BR:90]],Brudnopis!$E$28:$J$28),0)</f>
        <v>7.6923076923076927E-2</v>
      </c>
      <c r="Y3161" s="35">
        <f>IF(Mecze[[#This Row],[Role]]="BR",Mecze[[#This Row],[/OB:90]]+Mecze[[#This Row],[/PC:90]],SUM(Mecze[[#This Row],[/PR:90]:[/BR:90]]))</f>
        <v>0.17948717948717949</v>
      </c>
      <c r="Z3161" s="35">
        <f>IF(Mecze[[#This Row],[KC]]=0,SUM(Mecze[[#This Row],[/BRI]:[/NPI]]),SUM(Mecze[[#This Row],[/BRI]:[/NPI]])*0.6)</f>
        <v>0.87179487179487181</v>
      </c>
      <c r="AA3161" s="10">
        <f>IFERROR(Mecze[[#This Row],[BR]]/Mecze[[#This Row],[ST]],0)</f>
        <v>0</v>
      </c>
      <c r="AB3161">
        <f>ROUND(Mecze[[#This Row],[PD]]*Mecze[[#This Row],[%PC]],0)</f>
        <v>3</v>
      </c>
      <c r="AC3161">
        <f>ROUND(Mecze[[#This Row],[OD]]*Mecze[[#This Row],[%OU]],0)</f>
        <v>2</v>
      </c>
      <c r="AD3161" s="36" t="s">
        <v>171</v>
      </c>
      <c r="AE3161" s="36">
        <v>177</v>
      </c>
      <c r="AF3161" s="71">
        <v>2.14</v>
      </c>
      <c r="AG3161" s="37">
        <v>0</v>
      </c>
      <c r="AH3161" s="37">
        <v>0</v>
      </c>
      <c r="AI3161" s="37">
        <v>39</v>
      </c>
      <c r="AJ3161" s="37">
        <v>4</v>
      </c>
      <c r="AK3161" s="37" t="str">
        <f>VLOOKUP(Mecze[[#This Row],[Match ID]],Meczusie[Mecz]:Meczusie[RodzajMeczu],2,FALSE)</f>
        <v>Liga</v>
      </c>
    </row>
    <row r="3162" spans="1:37" x14ac:dyDescent="0.25">
      <c r="A3162" s="76">
        <v>14</v>
      </c>
      <c r="B3162" s="3" t="s">
        <v>281</v>
      </c>
      <c r="C3162" s="2" t="s">
        <v>165</v>
      </c>
      <c r="D3162" s="1">
        <v>0</v>
      </c>
      <c r="E3162" s="1">
        <v>2</v>
      </c>
      <c r="F3162" s="1">
        <v>1</v>
      </c>
      <c r="G3162" s="1">
        <v>1</v>
      </c>
      <c r="H3162" s="4">
        <v>1</v>
      </c>
      <c r="I3162" s="1">
        <v>0</v>
      </c>
      <c r="J3162" s="4"/>
      <c r="K3162" s="1">
        <v>0</v>
      </c>
      <c r="L3162" s="1">
        <v>1</v>
      </c>
      <c r="M3162" s="32">
        <f>IF(Mecze[[#This Row],[PR]]=0,0,Mecze[[#This Row],[PR]]/Mecze[[#This Row],[CZAS]])</f>
        <v>2.564102564102564E-2</v>
      </c>
      <c r="N3162" s="32">
        <f>IF(Mecze[[#This Row],[OU]]=0,0,Mecze[[#This Row],[OU]]/Mecze[[#This Row],[CZAS]])</f>
        <v>0</v>
      </c>
      <c r="O3162" s="32">
        <f>IF(Mecze[[#This Row],[PC]]=0,0,Mecze[[#This Row],[PC]]/Mecze[[#This Row],[CZAS]])</f>
        <v>2.564102564102564E-2</v>
      </c>
      <c r="P3162" s="32">
        <f>IF(Mecze[[#This Row],[SC]]=0,0,Mecze[[#This Row],[SC]]/Mecze[[#This Row],[CZAS]])</f>
        <v>2.564102564102564E-2</v>
      </c>
      <c r="Q3162" s="32">
        <f>IF(Mecze[[#This Row],[OB]]=0,0,Mecze[[#This Row],[OB]]/Mecze[[#This Row],[CZAS]])</f>
        <v>0</v>
      </c>
      <c r="R3162" s="32">
        <f>IF(Mecze[[#This Row],[BR]]=0,0,Mecze[[#This Row],[BR]]/Mecze[[#This Row],[CZAS]])</f>
        <v>0</v>
      </c>
      <c r="S3162" s="44">
        <f>IF(Mecze[[#This Row],[Role]]="BR",SUMPRODUCT(Mecze[[#This Row],[/PR:90]:[/BR:90]],Brudnopis!$E$23:$J$23),0)</f>
        <v>0</v>
      </c>
      <c r="T3162" s="44">
        <f>IF(Mecze[[#This Row],[Role]]&lt;&gt;"BR",SUMPRODUCT(Mecze[[#This Row],[/PR:90]:[/BR:90]],Brudnopis!$E$24:$J$24),0)</f>
        <v>7.6923076923076927E-2</v>
      </c>
      <c r="U3162" s="44">
        <f>IF(Mecze[[#This Row],[Role]]&lt;&gt;"BR",SUMPRODUCT(Mecze[[#This Row],[/PR:90]:[/BR:90]],Brudnopis!$E$25:$J$25),0)</f>
        <v>8.974358974358973E-2</v>
      </c>
      <c r="V3162" s="44">
        <f>IF(Mecze[[#This Row],[Role]]&lt;&gt;"BR",SUMPRODUCT(Mecze[[#This Row],[/PR:90]:[/BR:90]],Brudnopis!$E$26:$J$26),0)</f>
        <v>7.6923076923076927E-2</v>
      </c>
      <c r="W3162" s="44">
        <f>IF(Mecze[[#This Row],[Role]]&lt;&gt;"BR",SUMPRODUCT(Mecze[[#This Row],[/PR:90]:[/BR:90]],Brudnopis!$E$27:$J$27),0)</f>
        <v>8.3333333333333343E-2</v>
      </c>
      <c r="X3162" s="44">
        <f>IF(Mecze[[#This Row],[Role]]&lt;&gt;"BR",SUMPRODUCT(Mecze[[#This Row],[/PR:90]:[/BR:90]],Brudnopis!$E$28:$J$28),0)</f>
        <v>7.6923076923076927E-2</v>
      </c>
      <c r="Y3162" s="35">
        <f>IF(Mecze[[#This Row],[Role]]="BR",Mecze[[#This Row],[/OB:90]]+Mecze[[#This Row],[/PC:90]],SUM(Mecze[[#This Row],[/PR:90]:[/BR:90]]))</f>
        <v>7.6923076923076927E-2</v>
      </c>
      <c r="Z3162" s="35">
        <f>IF(Mecze[[#This Row],[KC]]=0,SUM(Mecze[[#This Row],[/BRI]:[/NPI]]),SUM(Mecze[[#This Row],[/BRI]:[/NPI]])*0.6)</f>
        <v>0.40384615384615385</v>
      </c>
      <c r="AA3162" s="10">
        <f>IFERROR(Mecze[[#This Row],[BR]]/Mecze[[#This Row],[ST]],0)</f>
        <v>0</v>
      </c>
      <c r="AB3162">
        <f>ROUND(Mecze[[#This Row],[PD]]*Mecze[[#This Row],[%PC]],0)</f>
        <v>1</v>
      </c>
      <c r="AC3162">
        <f>ROUND(Mecze[[#This Row],[OD]]*Mecze[[#This Row],[%OU]],0)</f>
        <v>0</v>
      </c>
      <c r="AD3162" s="36" t="s">
        <v>46</v>
      </c>
      <c r="AE3162" s="36">
        <v>177</v>
      </c>
      <c r="AF3162" s="71">
        <v>1.94</v>
      </c>
      <c r="AG3162" s="37">
        <v>0</v>
      </c>
      <c r="AH3162" s="37">
        <v>0</v>
      </c>
      <c r="AI3162" s="37">
        <v>39</v>
      </c>
      <c r="AJ3162" s="37">
        <v>4</v>
      </c>
      <c r="AK3162" s="37" t="str">
        <f>VLOOKUP(Mecze[[#This Row],[Match ID]],Meczusie[Mecz]:Meczusie[RodzajMeczu],2,FALSE)</f>
        <v>Liga</v>
      </c>
    </row>
    <row r="3163" spans="1:37" x14ac:dyDescent="0.25">
      <c r="A3163" s="76">
        <v>1</v>
      </c>
      <c r="B3163" s="3" t="s">
        <v>304</v>
      </c>
      <c r="C3163" s="2" t="s">
        <v>155</v>
      </c>
      <c r="D3163" s="1">
        <v>0</v>
      </c>
      <c r="E3163" s="1">
        <v>0</v>
      </c>
      <c r="F3163" s="1">
        <v>0</v>
      </c>
      <c r="G3163" s="1">
        <v>16</v>
      </c>
      <c r="H3163" s="4">
        <v>0.25</v>
      </c>
      <c r="I3163" s="1">
        <v>0</v>
      </c>
      <c r="J3163" s="4"/>
      <c r="K3163" s="1">
        <v>14</v>
      </c>
      <c r="L3163" s="1">
        <v>0</v>
      </c>
      <c r="M3163" s="32">
        <f>IF(Mecze[[#This Row],[PR]]=0,0,Mecze[[#This Row],[PR]]/Mecze[[#This Row],[CZAS]])</f>
        <v>0</v>
      </c>
      <c r="N3163" s="32">
        <f>IF(Mecze[[#This Row],[OU]]=0,0,Mecze[[#This Row],[OU]]/Mecze[[#This Row],[CZAS]])</f>
        <v>0</v>
      </c>
      <c r="O3163" s="32">
        <f>IF(Mecze[[#This Row],[PC]]=0,0,Mecze[[#This Row],[PC]]/Mecze[[#This Row],[CZAS]])</f>
        <v>4.1666666666666664E-2</v>
      </c>
      <c r="P3163" s="32">
        <f>IF(Mecze[[#This Row],[SC]]=0,0,Mecze[[#This Row],[SC]]/Mecze[[#This Row],[CZAS]])</f>
        <v>0</v>
      </c>
      <c r="Q3163" s="32">
        <f>IF(Mecze[[#This Row],[OB]]=0,0,Mecze[[#This Row],[OB]]/Mecze[[#This Row],[CZAS]])</f>
        <v>0.14583333333333334</v>
      </c>
      <c r="R3163" s="32">
        <f>IF(Mecze[[#This Row],[BR]]=0,0,Mecze[[#This Row],[BR]]/Mecze[[#This Row],[CZAS]])</f>
        <v>0</v>
      </c>
      <c r="S3163" s="44">
        <f>IF(Mecze[[#This Row],[Role]]="BR",SUMPRODUCT(Mecze[[#This Row],[/PR:90]:[/BR:90]],Brudnopis!$E$23:$J$23),0)</f>
        <v>0.5625</v>
      </c>
      <c r="T3163" s="44">
        <f>IF(Mecze[[#This Row],[Role]]&lt;&gt;"BR",SUMPRODUCT(Mecze[[#This Row],[/PR:90]:[/BR:90]],Brudnopis!$E$24:$J$24),0)</f>
        <v>0</v>
      </c>
      <c r="U3163" s="44">
        <f>IF(Mecze[[#This Row],[Role]]&lt;&gt;"BR",SUMPRODUCT(Mecze[[#This Row],[/PR:90]:[/BR:90]],Brudnopis!$E$25:$J$25),0)</f>
        <v>0</v>
      </c>
      <c r="V3163" s="44">
        <f>IF(Mecze[[#This Row],[Role]]&lt;&gt;"BR",SUMPRODUCT(Mecze[[#This Row],[/PR:90]:[/BR:90]],Brudnopis!$E$26:$J$26),0)</f>
        <v>0</v>
      </c>
      <c r="W3163" s="44">
        <f>IF(Mecze[[#This Row],[Role]]&lt;&gt;"BR",SUMPRODUCT(Mecze[[#This Row],[/PR:90]:[/BR:90]],Brudnopis!$E$27:$J$27),0)</f>
        <v>0</v>
      </c>
      <c r="X3163" s="44">
        <f>IF(Mecze[[#This Row],[Role]]&lt;&gt;"BR",SUMPRODUCT(Mecze[[#This Row],[/PR:90]:[/BR:90]],Brudnopis!$E$28:$J$28),0)</f>
        <v>0</v>
      </c>
      <c r="Y3163" s="35">
        <f>IF(Mecze[[#This Row],[Role]]="BR",Mecze[[#This Row],[/OB:90]]+Mecze[[#This Row],[/PC:90]],SUM(Mecze[[#This Row],[/PR:90]:[/BR:90]]))</f>
        <v>0.1875</v>
      </c>
      <c r="Z3163" s="35">
        <f>IF(Mecze[[#This Row],[KC]]=0,SUM(Mecze[[#This Row],[/BRI]:[/NPI]]),SUM(Mecze[[#This Row],[/BRI]:[/NPI]])*0.6)</f>
        <v>0.5625</v>
      </c>
      <c r="AA3163" s="10">
        <f>IFERROR(Mecze[[#This Row],[BR]]/Mecze[[#This Row],[ST]],0)</f>
        <v>0</v>
      </c>
      <c r="AB3163">
        <f>ROUND(Mecze[[#This Row],[PD]]*Mecze[[#This Row],[%PC]],0)</f>
        <v>4</v>
      </c>
      <c r="AC3163">
        <f>ROUND(Mecze[[#This Row],[OD]]*Mecze[[#This Row],[%OU]],0)</f>
        <v>0</v>
      </c>
      <c r="AD3163" s="36" t="s">
        <v>40</v>
      </c>
      <c r="AE3163" s="36">
        <v>177</v>
      </c>
      <c r="AF3163" s="71">
        <v>6.49</v>
      </c>
      <c r="AG3163" s="37">
        <v>0</v>
      </c>
      <c r="AH3163" s="37">
        <v>0</v>
      </c>
      <c r="AI3163" s="37">
        <v>96</v>
      </c>
      <c r="AJ3163" s="37">
        <v>8</v>
      </c>
      <c r="AK3163" s="37" t="str">
        <f>VLOOKUP(Mecze[[#This Row],[Match ID]],Meczusie[Mecz]:Meczusie[RodzajMeczu],2,FALSE)</f>
        <v>Liga</v>
      </c>
    </row>
    <row r="3164" spans="1:37" x14ac:dyDescent="0.25">
      <c r="A3164" s="76">
        <v>5</v>
      </c>
      <c r="B3164" s="3" t="s">
        <v>305</v>
      </c>
      <c r="C3164" s="2" t="s">
        <v>157</v>
      </c>
      <c r="D3164" s="1">
        <v>0</v>
      </c>
      <c r="E3164" s="1">
        <v>0</v>
      </c>
      <c r="F3164" s="1">
        <v>0</v>
      </c>
      <c r="G3164" s="1">
        <v>10</v>
      </c>
      <c r="H3164" s="4">
        <v>0.6</v>
      </c>
      <c r="I3164" s="1">
        <v>8</v>
      </c>
      <c r="J3164" s="4">
        <v>0.63</v>
      </c>
      <c r="K3164" s="1">
        <v>0</v>
      </c>
      <c r="L3164" s="1">
        <v>4</v>
      </c>
      <c r="M3164" s="32">
        <f>IF(Mecze[[#This Row],[PR]]=0,0,Mecze[[#This Row],[PR]]/Mecze[[#This Row],[CZAS]])</f>
        <v>4.1666666666666664E-2</v>
      </c>
      <c r="N3164" s="32">
        <f>IF(Mecze[[#This Row],[OU]]=0,0,Mecze[[#This Row],[OU]]/Mecze[[#This Row],[CZAS]])</f>
        <v>5.2083333333333336E-2</v>
      </c>
      <c r="O3164" s="32">
        <f>IF(Mecze[[#This Row],[PC]]=0,0,Mecze[[#This Row],[PC]]/Mecze[[#This Row],[CZAS]])</f>
        <v>6.25E-2</v>
      </c>
      <c r="P3164" s="32">
        <f>IF(Mecze[[#This Row],[SC]]=0,0,Mecze[[#This Row],[SC]]/Mecze[[#This Row],[CZAS]])</f>
        <v>0</v>
      </c>
      <c r="Q3164" s="32">
        <f>IF(Mecze[[#This Row],[OB]]=0,0,Mecze[[#This Row],[OB]]/Mecze[[#This Row],[CZAS]])</f>
        <v>0</v>
      </c>
      <c r="R3164" s="32">
        <f>IF(Mecze[[#This Row],[BR]]=0,0,Mecze[[#This Row],[BR]]/Mecze[[#This Row],[CZAS]])</f>
        <v>0</v>
      </c>
      <c r="S3164" s="44">
        <f>IF(Mecze[[#This Row],[Role]]="BR",SUMPRODUCT(Mecze[[#This Row],[/PR:90]:[/BR:90]],Brudnopis!$E$23:$J$23),0)</f>
        <v>0</v>
      </c>
      <c r="T3164" s="44">
        <f>IF(Mecze[[#This Row],[Role]]&lt;&gt;"BR",SUMPRODUCT(Mecze[[#This Row],[/PR:90]:[/BR:90]],Brudnopis!$E$24:$J$24),0)</f>
        <v>0.18229166666666666</v>
      </c>
      <c r="U3164" s="44">
        <f>IF(Mecze[[#This Row],[Role]]&lt;&gt;"BR",SUMPRODUCT(Mecze[[#This Row],[/PR:90]:[/BR:90]],Brudnopis!$E$25:$J$25),0)</f>
        <v>0.1875</v>
      </c>
      <c r="V3164" s="44">
        <f>IF(Mecze[[#This Row],[Role]]&lt;&gt;"BR",SUMPRODUCT(Mecze[[#This Row],[/PR:90]:[/BR:90]],Brudnopis!$E$26:$J$26),0)</f>
        <v>0.15625</v>
      </c>
      <c r="W3164" s="44">
        <f>IF(Mecze[[#This Row],[Role]]&lt;&gt;"BR",SUMPRODUCT(Mecze[[#This Row],[/PR:90]:[/BR:90]],Brudnopis!$E$27:$J$27),0)</f>
        <v>0.1640625</v>
      </c>
      <c r="X3164" s="44">
        <f>IF(Mecze[[#This Row],[Role]]&lt;&gt;"BR",SUMPRODUCT(Mecze[[#This Row],[/PR:90]:[/BR:90]],Brudnopis!$E$28:$J$28),0)</f>
        <v>6.25E-2</v>
      </c>
      <c r="Y3164" s="35">
        <f>IF(Mecze[[#This Row],[Role]]="BR",Mecze[[#This Row],[/OB:90]]+Mecze[[#This Row],[/PC:90]],SUM(Mecze[[#This Row],[/PR:90]:[/BR:90]]))</f>
        <v>0.15625</v>
      </c>
      <c r="Z3164" s="35">
        <f>IF(Mecze[[#This Row],[KC]]=0,SUM(Mecze[[#This Row],[/BRI]:[/NPI]]),SUM(Mecze[[#This Row],[/BRI]:[/NPI]])*0.6)</f>
        <v>0.75260416666666663</v>
      </c>
      <c r="AA3164" s="10">
        <f>IFERROR(Mecze[[#This Row],[BR]]/Mecze[[#This Row],[ST]],0)</f>
        <v>0</v>
      </c>
      <c r="AB3164">
        <f>ROUND(Mecze[[#This Row],[PD]]*Mecze[[#This Row],[%PC]],0)</f>
        <v>6</v>
      </c>
      <c r="AC3164">
        <f>ROUND(Mecze[[#This Row],[OD]]*Mecze[[#This Row],[%OU]],0)</f>
        <v>5</v>
      </c>
      <c r="AD3164" s="36" t="s">
        <v>47</v>
      </c>
      <c r="AE3164" s="36">
        <v>177</v>
      </c>
      <c r="AF3164" s="71">
        <v>2.44</v>
      </c>
      <c r="AG3164" s="37">
        <v>1</v>
      </c>
      <c r="AH3164" s="37">
        <v>0</v>
      </c>
      <c r="AI3164" s="37">
        <v>96</v>
      </c>
      <c r="AJ3164" s="37">
        <v>8</v>
      </c>
      <c r="AK3164" s="37" t="str">
        <f>VLOOKUP(Mecze[[#This Row],[Match ID]],Meczusie[Mecz]:Meczusie[RodzajMeczu],2,FALSE)</f>
        <v>Liga</v>
      </c>
    </row>
    <row r="3165" spans="1:37" x14ac:dyDescent="0.25">
      <c r="A3165" s="76">
        <v>73</v>
      </c>
      <c r="B3165" s="3" t="s">
        <v>431</v>
      </c>
      <c r="C3165" s="2" t="s">
        <v>157</v>
      </c>
      <c r="D3165" s="1">
        <v>0</v>
      </c>
      <c r="E3165" s="1">
        <v>0</v>
      </c>
      <c r="F3165" s="1">
        <v>0</v>
      </c>
      <c r="G3165" s="1">
        <v>1</v>
      </c>
      <c r="H3165" s="4">
        <v>1</v>
      </c>
      <c r="I3165" s="1">
        <v>4</v>
      </c>
      <c r="J3165" s="4">
        <v>0.25</v>
      </c>
      <c r="K3165" s="1">
        <v>0</v>
      </c>
      <c r="L3165" s="1">
        <v>4</v>
      </c>
      <c r="M3165" s="32">
        <f>IF(Mecze[[#This Row],[PR]]=0,0,Mecze[[#This Row],[PR]]/Mecze[[#This Row],[CZAS]])</f>
        <v>5.6338028169014086E-2</v>
      </c>
      <c r="N3165" s="32">
        <f>IF(Mecze[[#This Row],[OU]]=0,0,Mecze[[#This Row],[OU]]/Mecze[[#This Row],[CZAS]])</f>
        <v>1.4084507042253521E-2</v>
      </c>
      <c r="O3165" s="32">
        <f>IF(Mecze[[#This Row],[PC]]=0,0,Mecze[[#This Row],[PC]]/Mecze[[#This Row],[CZAS]])</f>
        <v>1.4084507042253521E-2</v>
      </c>
      <c r="P3165" s="32">
        <f>IF(Mecze[[#This Row],[SC]]=0,0,Mecze[[#This Row],[SC]]/Mecze[[#This Row],[CZAS]])</f>
        <v>0</v>
      </c>
      <c r="Q3165" s="32">
        <f>IF(Mecze[[#This Row],[OB]]=0,0,Mecze[[#This Row],[OB]]/Mecze[[#This Row],[CZAS]])</f>
        <v>0</v>
      </c>
      <c r="R3165" s="32">
        <f>IF(Mecze[[#This Row],[BR]]=0,0,Mecze[[#This Row],[BR]]/Mecze[[#This Row],[CZAS]])</f>
        <v>0</v>
      </c>
      <c r="S3165" s="44">
        <f>IF(Mecze[[#This Row],[Role]]="BR",SUMPRODUCT(Mecze[[#This Row],[/PR:90]:[/BR:90]],Brudnopis!$E$23:$J$23),0)</f>
        <v>0</v>
      </c>
      <c r="T3165" s="44">
        <f>IF(Mecze[[#This Row],[Role]]&lt;&gt;"BR",SUMPRODUCT(Mecze[[#This Row],[/PR:90]:[/BR:90]],Brudnopis!$E$24:$J$24),0)</f>
        <v>9.154929577464789E-2</v>
      </c>
      <c r="U3165" s="44">
        <f>IF(Mecze[[#This Row],[Role]]&lt;&gt;"BR",SUMPRODUCT(Mecze[[#This Row],[/PR:90]:[/BR:90]],Brudnopis!$E$25:$J$25),0)</f>
        <v>9.154929577464789E-2</v>
      </c>
      <c r="V3165" s="44">
        <f>IF(Mecze[[#This Row],[Role]]&lt;&gt;"BR",SUMPRODUCT(Mecze[[#This Row],[/PR:90]:[/BR:90]],Brudnopis!$E$26:$J$26),0)</f>
        <v>8.4507042253521125E-2</v>
      </c>
      <c r="W3165" s="44">
        <f>IF(Mecze[[#This Row],[Role]]&lt;&gt;"BR",SUMPRODUCT(Mecze[[#This Row],[/PR:90]:[/BR:90]],Brudnopis!$E$27:$J$27),0)</f>
        <v>7.3943661971830985E-2</v>
      </c>
      <c r="X3165" s="44">
        <f>IF(Mecze[[#This Row],[Role]]&lt;&gt;"BR",SUMPRODUCT(Mecze[[#This Row],[/PR:90]:[/BR:90]],Brudnopis!$E$28:$J$28),0)</f>
        <v>1.4084507042253521E-2</v>
      </c>
      <c r="Y3165" s="35">
        <f>IF(Mecze[[#This Row],[Role]]="BR",Mecze[[#This Row],[/OB:90]]+Mecze[[#This Row],[/PC:90]],SUM(Mecze[[#This Row],[/PR:90]:[/BR:90]]))</f>
        <v>8.4507042253521125E-2</v>
      </c>
      <c r="Z3165" s="35">
        <f>IF(Mecze[[#This Row],[KC]]=0,SUM(Mecze[[#This Row],[/BRI]:[/NPI]]),SUM(Mecze[[#This Row],[/BRI]:[/NPI]])*0.6)</f>
        <v>0.35563380281690138</v>
      </c>
      <c r="AA3165" s="10">
        <f>IFERROR(Mecze[[#This Row],[BR]]/Mecze[[#This Row],[ST]],0)</f>
        <v>0</v>
      </c>
      <c r="AB3165">
        <f>ROUND(Mecze[[#This Row],[PD]]*Mecze[[#This Row],[%PC]],0)</f>
        <v>1</v>
      </c>
      <c r="AC3165">
        <f>ROUND(Mecze[[#This Row],[OD]]*Mecze[[#This Row],[%OU]],0)</f>
        <v>1</v>
      </c>
      <c r="AD3165" s="36" t="s">
        <v>167</v>
      </c>
      <c r="AE3165" s="36">
        <v>177</v>
      </c>
      <c r="AF3165" s="71">
        <v>2.4300000000000002</v>
      </c>
      <c r="AG3165" s="37">
        <v>0</v>
      </c>
      <c r="AH3165" s="37">
        <v>0</v>
      </c>
      <c r="AI3165" s="37">
        <v>71</v>
      </c>
      <c r="AJ3165" s="37">
        <v>8</v>
      </c>
      <c r="AK3165" s="37" t="str">
        <f>VLOOKUP(Mecze[[#This Row],[Match ID]],Meczusie[Mecz]:Meczusie[RodzajMeczu],2,FALSE)</f>
        <v>Liga</v>
      </c>
    </row>
    <row r="3166" spans="1:37" x14ac:dyDescent="0.25">
      <c r="A3166" s="76">
        <v>23</v>
      </c>
      <c r="B3166" s="3" t="s">
        <v>306</v>
      </c>
      <c r="C3166" s="2" t="s">
        <v>157</v>
      </c>
      <c r="D3166" s="1">
        <v>0</v>
      </c>
      <c r="E3166" s="1">
        <v>0</v>
      </c>
      <c r="F3166" s="1">
        <v>0</v>
      </c>
      <c r="G3166" s="1">
        <v>2</v>
      </c>
      <c r="H3166" s="4">
        <v>0.5</v>
      </c>
      <c r="I3166" s="1">
        <v>1</v>
      </c>
      <c r="J3166" s="4">
        <v>0</v>
      </c>
      <c r="K3166" s="1">
        <v>0</v>
      </c>
      <c r="L3166" s="1">
        <v>4</v>
      </c>
      <c r="M3166" s="32">
        <f>IF(Mecze[[#This Row],[PR]]=0,0,Mecze[[#This Row],[PR]]/Mecze[[#This Row],[CZAS]])</f>
        <v>4.1666666666666664E-2</v>
      </c>
      <c r="N3166" s="32">
        <f>IF(Mecze[[#This Row],[OU]]=0,0,Mecze[[#This Row],[OU]]/Mecze[[#This Row],[CZAS]])</f>
        <v>0</v>
      </c>
      <c r="O3166" s="32">
        <f>IF(Mecze[[#This Row],[PC]]=0,0,Mecze[[#This Row],[PC]]/Mecze[[#This Row],[CZAS]])</f>
        <v>1.0416666666666666E-2</v>
      </c>
      <c r="P3166" s="32">
        <f>IF(Mecze[[#This Row],[SC]]=0,0,Mecze[[#This Row],[SC]]/Mecze[[#This Row],[CZAS]])</f>
        <v>0</v>
      </c>
      <c r="Q3166" s="32">
        <f>IF(Mecze[[#This Row],[OB]]=0,0,Mecze[[#This Row],[OB]]/Mecze[[#This Row],[CZAS]])</f>
        <v>0</v>
      </c>
      <c r="R3166" s="32">
        <f>IF(Mecze[[#This Row],[BR]]=0,0,Mecze[[#This Row],[BR]]/Mecze[[#This Row],[CZAS]])</f>
        <v>0</v>
      </c>
      <c r="S3166" s="44">
        <f>IF(Mecze[[#This Row],[Role]]="BR",SUMPRODUCT(Mecze[[#This Row],[/PR:90]:[/BR:90]],Brudnopis!$E$23:$J$23),0)</f>
        <v>0</v>
      </c>
      <c r="T3166" s="44">
        <f>IF(Mecze[[#This Row],[Role]]&lt;&gt;"BR",SUMPRODUCT(Mecze[[#This Row],[/PR:90]:[/BR:90]],Brudnopis!$E$24:$J$24),0)</f>
        <v>5.2083333333333329E-2</v>
      </c>
      <c r="U3166" s="44">
        <f>IF(Mecze[[#This Row],[Role]]&lt;&gt;"BR",SUMPRODUCT(Mecze[[#This Row],[/PR:90]:[/BR:90]],Brudnopis!$E$25:$J$25),0)</f>
        <v>5.7291666666666664E-2</v>
      </c>
      <c r="V3166" s="44">
        <f>IF(Mecze[[#This Row],[Role]]&lt;&gt;"BR",SUMPRODUCT(Mecze[[#This Row],[/PR:90]:[/BR:90]],Brudnopis!$E$26:$J$26),0)</f>
        <v>5.2083333333333329E-2</v>
      </c>
      <c r="W3166" s="44">
        <f>IF(Mecze[[#This Row],[Role]]&lt;&gt;"BR",SUMPRODUCT(Mecze[[#This Row],[/PR:90]:[/BR:90]],Brudnopis!$E$27:$J$27),0)</f>
        <v>4.6875E-2</v>
      </c>
      <c r="X3166" s="44">
        <f>IF(Mecze[[#This Row],[Role]]&lt;&gt;"BR",SUMPRODUCT(Mecze[[#This Row],[/PR:90]:[/BR:90]],Brudnopis!$E$28:$J$28),0)</f>
        <v>1.0416666666666666E-2</v>
      </c>
      <c r="Y3166" s="35">
        <f>IF(Mecze[[#This Row],[Role]]="BR",Mecze[[#This Row],[/OB:90]]+Mecze[[#This Row],[/PC:90]],SUM(Mecze[[#This Row],[/PR:90]:[/BR:90]]))</f>
        <v>5.2083333333333329E-2</v>
      </c>
      <c r="Z3166" s="35">
        <f>IF(Mecze[[#This Row],[KC]]=0,SUM(Mecze[[#This Row],[/BRI]:[/NPI]]),SUM(Mecze[[#This Row],[/BRI]:[/NPI]])*0.6)</f>
        <v>0.21874999999999997</v>
      </c>
      <c r="AA3166" s="10">
        <f>IFERROR(Mecze[[#This Row],[BR]]/Mecze[[#This Row],[ST]],0)</f>
        <v>0</v>
      </c>
      <c r="AB3166">
        <f>ROUND(Mecze[[#This Row],[PD]]*Mecze[[#This Row],[%PC]],0)</f>
        <v>1</v>
      </c>
      <c r="AC3166">
        <f>ROUND(Mecze[[#This Row],[OD]]*Mecze[[#This Row],[%OU]],0)</f>
        <v>0</v>
      </c>
      <c r="AD3166" s="36" t="s">
        <v>168</v>
      </c>
      <c r="AE3166" s="36">
        <v>177</v>
      </c>
      <c r="AF3166" s="71">
        <v>2.4300000000000002</v>
      </c>
      <c r="AG3166" s="37">
        <v>0</v>
      </c>
      <c r="AH3166" s="37">
        <v>0</v>
      </c>
      <c r="AI3166" s="37">
        <v>96</v>
      </c>
      <c r="AJ3166" s="37">
        <v>8</v>
      </c>
      <c r="AK3166" s="37" t="str">
        <f>VLOOKUP(Mecze[[#This Row],[Match ID]],Meczusie[Mecz]:Meczusie[RodzajMeczu],2,FALSE)</f>
        <v>Liga</v>
      </c>
    </row>
    <row r="3167" spans="1:37" x14ac:dyDescent="0.25">
      <c r="A3167" s="76">
        <v>16</v>
      </c>
      <c r="B3167" s="3" t="s">
        <v>309</v>
      </c>
      <c r="C3167" s="2" t="s">
        <v>160</v>
      </c>
      <c r="D3167" s="1">
        <v>0</v>
      </c>
      <c r="E3167" s="1">
        <v>0</v>
      </c>
      <c r="F3167" s="1">
        <v>0</v>
      </c>
      <c r="G3167" s="1">
        <v>7</v>
      </c>
      <c r="H3167" s="4">
        <v>0.56999999999999995</v>
      </c>
      <c r="I3167" s="1">
        <v>2</v>
      </c>
      <c r="J3167" s="4">
        <v>0.5</v>
      </c>
      <c r="K3167" s="1">
        <v>0</v>
      </c>
      <c r="L3167" s="1">
        <v>1</v>
      </c>
      <c r="M3167" s="32">
        <f>IF(Mecze[[#This Row],[PR]]=0,0,Mecze[[#This Row],[PR]]/Mecze[[#This Row],[CZAS]])</f>
        <v>1.0416666666666666E-2</v>
      </c>
      <c r="N3167" s="32">
        <f>IF(Mecze[[#This Row],[OU]]=0,0,Mecze[[#This Row],[OU]]/Mecze[[#This Row],[CZAS]])</f>
        <v>1.0416666666666666E-2</v>
      </c>
      <c r="O3167" s="32">
        <f>IF(Mecze[[#This Row],[PC]]=0,0,Mecze[[#This Row],[PC]]/Mecze[[#This Row],[CZAS]])</f>
        <v>4.1666666666666664E-2</v>
      </c>
      <c r="P3167" s="32">
        <f>IF(Mecze[[#This Row],[SC]]=0,0,Mecze[[#This Row],[SC]]/Mecze[[#This Row],[CZAS]])</f>
        <v>0</v>
      </c>
      <c r="Q3167" s="32">
        <f>IF(Mecze[[#This Row],[OB]]=0,0,Mecze[[#This Row],[OB]]/Mecze[[#This Row],[CZAS]])</f>
        <v>0</v>
      </c>
      <c r="R3167" s="32">
        <f>IF(Mecze[[#This Row],[BR]]=0,0,Mecze[[#This Row],[BR]]/Mecze[[#This Row],[CZAS]])</f>
        <v>0</v>
      </c>
      <c r="S3167" s="44">
        <f>IF(Mecze[[#This Row],[Role]]="BR",SUMPRODUCT(Mecze[[#This Row],[/PR:90]:[/BR:90]],Brudnopis!$E$23:$J$23),0)</f>
        <v>0</v>
      </c>
      <c r="T3167" s="44">
        <f>IF(Mecze[[#This Row],[Role]]&lt;&gt;"BR",SUMPRODUCT(Mecze[[#This Row],[/PR:90]:[/BR:90]],Brudnopis!$E$24:$J$24),0)</f>
        <v>6.7708333333333329E-2</v>
      </c>
      <c r="U3167" s="44">
        <f>IF(Mecze[[#This Row],[Role]]&lt;&gt;"BR",SUMPRODUCT(Mecze[[#This Row],[/PR:90]:[/BR:90]],Brudnopis!$E$25:$J$25),0)</f>
        <v>8.3333333333333329E-2</v>
      </c>
      <c r="V3167" s="44">
        <f>IF(Mecze[[#This Row],[Role]]&lt;&gt;"BR",SUMPRODUCT(Mecze[[#This Row],[/PR:90]:[/BR:90]],Brudnopis!$E$26:$J$26),0)</f>
        <v>6.25E-2</v>
      </c>
      <c r="W3167" s="44">
        <f>IF(Mecze[[#This Row],[Role]]&lt;&gt;"BR",SUMPRODUCT(Mecze[[#This Row],[/PR:90]:[/BR:90]],Brudnopis!$E$27:$J$27),0)</f>
        <v>7.8125E-2</v>
      </c>
      <c r="X3167" s="44">
        <f>IF(Mecze[[#This Row],[Role]]&lt;&gt;"BR",SUMPRODUCT(Mecze[[#This Row],[/PR:90]:[/BR:90]],Brudnopis!$E$28:$J$28),0)</f>
        <v>4.1666666666666664E-2</v>
      </c>
      <c r="Y3167" s="35">
        <f>IF(Mecze[[#This Row],[Role]]="BR",Mecze[[#This Row],[/OB:90]]+Mecze[[#This Row],[/PC:90]],SUM(Mecze[[#This Row],[/PR:90]:[/BR:90]]))</f>
        <v>6.25E-2</v>
      </c>
      <c r="Z3167" s="35">
        <f>IF(Mecze[[#This Row],[KC]]=0,SUM(Mecze[[#This Row],[/BRI]:[/NPI]]),SUM(Mecze[[#This Row],[/BRI]:[/NPI]])*0.6)</f>
        <v>0.33333333333333331</v>
      </c>
      <c r="AA3167" s="10">
        <f>IFERROR(Mecze[[#This Row],[BR]]/Mecze[[#This Row],[ST]],0)</f>
        <v>0</v>
      </c>
      <c r="AB3167">
        <f>ROUND(Mecze[[#This Row],[PD]]*Mecze[[#This Row],[%PC]],0)</f>
        <v>4</v>
      </c>
      <c r="AC3167">
        <f>ROUND(Mecze[[#This Row],[OD]]*Mecze[[#This Row],[%OU]],0)</f>
        <v>1</v>
      </c>
      <c r="AD3167" s="36" t="s">
        <v>41</v>
      </c>
      <c r="AE3167" s="36">
        <v>177</v>
      </c>
      <c r="AF3167" s="71">
        <v>4.12</v>
      </c>
      <c r="AG3167" s="37">
        <v>0</v>
      </c>
      <c r="AH3167" s="37">
        <v>0</v>
      </c>
      <c r="AI3167" s="37">
        <v>96</v>
      </c>
      <c r="AJ3167" s="37">
        <v>8</v>
      </c>
      <c r="AK3167" s="37" t="str">
        <f>VLOOKUP(Mecze[[#This Row],[Match ID]],Meczusie[Mecz]:Meczusie[RodzajMeczu],2,FALSE)</f>
        <v>Liga</v>
      </c>
    </row>
    <row r="3168" spans="1:37" x14ac:dyDescent="0.25">
      <c r="A3168" s="76">
        <v>71</v>
      </c>
      <c r="B3168" s="3" t="s">
        <v>429</v>
      </c>
      <c r="C3168" s="2" t="s">
        <v>160</v>
      </c>
      <c r="D3168" s="1">
        <v>0</v>
      </c>
      <c r="E3168" s="1">
        <v>0</v>
      </c>
      <c r="F3168" s="1">
        <v>0</v>
      </c>
      <c r="G3168" s="1">
        <v>11</v>
      </c>
      <c r="H3168" s="4">
        <v>0.36</v>
      </c>
      <c r="I3168" s="1">
        <v>8</v>
      </c>
      <c r="J3168" s="4">
        <v>0.5</v>
      </c>
      <c r="K3168" s="1">
        <v>0</v>
      </c>
      <c r="L3168" s="1">
        <v>5</v>
      </c>
      <c r="M3168" s="32">
        <f>IF(Mecze[[#This Row],[PR]]=0,0,Mecze[[#This Row],[PR]]/Mecze[[#This Row],[CZAS]])</f>
        <v>5.2083333333333336E-2</v>
      </c>
      <c r="N3168" s="32">
        <f>IF(Mecze[[#This Row],[OU]]=0,0,Mecze[[#This Row],[OU]]/Mecze[[#This Row],[CZAS]])</f>
        <v>4.1666666666666664E-2</v>
      </c>
      <c r="O3168" s="32">
        <f>IF(Mecze[[#This Row],[PC]]=0,0,Mecze[[#This Row],[PC]]/Mecze[[#This Row],[CZAS]])</f>
        <v>4.1666666666666664E-2</v>
      </c>
      <c r="P3168" s="32">
        <f>IF(Mecze[[#This Row],[SC]]=0,0,Mecze[[#This Row],[SC]]/Mecze[[#This Row],[CZAS]])</f>
        <v>0</v>
      </c>
      <c r="Q3168" s="32">
        <f>IF(Mecze[[#This Row],[OB]]=0,0,Mecze[[#This Row],[OB]]/Mecze[[#This Row],[CZAS]])</f>
        <v>0</v>
      </c>
      <c r="R3168" s="32">
        <f>IF(Mecze[[#This Row],[BR]]=0,0,Mecze[[#This Row],[BR]]/Mecze[[#This Row],[CZAS]])</f>
        <v>0</v>
      </c>
      <c r="S3168" s="44">
        <f>IF(Mecze[[#This Row],[Role]]="BR",SUMPRODUCT(Mecze[[#This Row],[/PR:90]:[/BR:90]],Brudnopis!$E$23:$J$23),0)</f>
        <v>0</v>
      </c>
      <c r="T3168" s="44">
        <f>IF(Mecze[[#This Row],[Role]]&lt;&gt;"BR",SUMPRODUCT(Mecze[[#This Row],[/PR:90]:[/BR:90]],Brudnopis!$E$24:$J$24),0)</f>
        <v>0.15625</v>
      </c>
      <c r="U3168" s="44">
        <f>IF(Mecze[[#This Row],[Role]]&lt;&gt;"BR",SUMPRODUCT(Mecze[[#This Row],[/PR:90]:[/BR:90]],Brudnopis!$E$25:$J$25),0)</f>
        <v>0.15625</v>
      </c>
      <c r="V3168" s="44">
        <f>IF(Mecze[[#This Row],[Role]]&lt;&gt;"BR",SUMPRODUCT(Mecze[[#This Row],[/PR:90]:[/BR:90]],Brudnopis!$E$26:$J$26),0)</f>
        <v>0.13541666666666666</v>
      </c>
      <c r="W3168" s="44">
        <f>IF(Mecze[[#This Row],[Role]]&lt;&gt;"BR",SUMPRODUCT(Mecze[[#This Row],[/PR:90]:[/BR:90]],Brudnopis!$E$27:$J$27),0)</f>
        <v>0.1328125</v>
      </c>
      <c r="X3168" s="44">
        <f>IF(Mecze[[#This Row],[Role]]&lt;&gt;"BR",SUMPRODUCT(Mecze[[#This Row],[/PR:90]:[/BR:90]],Brudnopis!$E$28:$J$28),0)</f>
        <v>4.1666666666666664E-2</v>
      </c>
      <c r="Y3168" s="35">
        <f>IF(Mecze[[#This Row],[Role]]="BR",Mecze[[#This Row],[/OB:90]]+Mecze[[#This Row],[/PC:90]],SUM(Mecze[[#This Row],[/PR:90]:[/BR:90]]))</f>
        <v>0.13541666666666666</v>
      </c>
      <c r="Z3168" s="35">
        <f>IF(Mecze[[#This Row],[KC]]=0,SUM(Mecze[[#This Row],[/BRI]:[/NPI]]),SUM(Mecze[[#This Row],[/BRI]:[/NPI]])*0.6)</f>
        <v>0.62239583333333326</v>
      </c>
      <c r="AA3168" s="10">
        <f>IFERROR(Mecze[[#This Row],[BR]]/Mecze[[#This Row],[ST]],0)</f>
        <v>0</v>
      </c>
      <c r="AB3168">
        <f>ROUND(Mecze[[#This Row],[PD]]*Mecze[[#This Row],[%PC]],0)</f>
        <v>4</v>
      </c>
      <c r="AC3168">
        <f>ROUND(Mecze[[#This Row],[OD]]*Mecze[[#This Row],[%OU]],0)</f>
        <v>4</v>
      </c>
      <c r="AD3168" s="36" t="s">
        <v>41</v>
      </c>
      <c r="AE3168" s="36">
        <v>177</v>
      </c>
      <c r="AF3168" s="71">
        <v>3.75</v>
      </c>
      <c r="AG3168" s="37">
        <v>0</v>
      </c>
      <c r="AH3168" s="37">
        <v>0</v>
      </c>
      <c r="AI3168" s="37">
        <v>96</v>
      </c>
      <c r="AJ3168" s="37">
        <v>8</v>
      </c>
      <c r="AK3168" s="37" t="str">
        <f>VLOOKUP(Mecze[[#This Row],[Match ID]],Meczusie[Mecz]:Meczusie[RodzajMeczu],2,FALSE)</f>
        <v>Liga</v>
      </c>
    </row>
    <row r="3169" spans="1:37" x14ac:dyDescent="0.25">
      <c r="A3169" s="76">
        <v>6</v>
      </c>
      <c r="B3169" s="3" t="s">
        <v>308</v>
      </c>
      <c r="C3169" s="2" t="s">
        <v>160</v>
      </c>
      <c r="D3169" s="1">
        <v>1</v>
      </c>
      <c r="E3169" s="1">
        <v>1</v>
      </c>
      <c r="F3169" s="1">
        <v>1</v>
      </c>
      <c r="G3169" s="1">
        <v>12</v>
      </c>
      <c r="H3169" s="4">
        <v>0.33</v>
      </c>
      <c r="I3169" s="1">
        <v>12</v>
      </c>
      <c r="J3169" s="4">
        <v>0.57999999999999996</v>
      </c>
      <c r="K3169" s="1">
        <v>0</v>
      </c>
      <c r="L3169" s="1">
        <v>1</v>
      </c>
      <c r="M3169" s="32">
        <f>IF(Mecze[[#This Row],[PR]]=0,0,Mecze[[#This Row],[PR]]/Mecze[[#This Row],[CZAS]])</f>
        <v>1.4084507042253521E-2</v>
      </c>
      <c r="N3169" s="32">
        <f>IF(Mecze[[#This Row],[OU]]=0,0,Mecze[[#This Row],[OU]]/Mecze[[#This Row],[CZAS]])</f>
        <v>9.8591549295774641E-2</v>
      </c>
      <c r="O3169" s="32">
        <f>IF(Mecze[[#This Row],[PC]]=0,0,Mecze[[#This Row],[PC]]/Mecze[[#This Row],[CZAS]])</f>
        <v>5.6338028169014086E-2</v>
      </c>
      <c r="P3169" s="32">
        <f>IF(Mecze[[#This Row],[SC]]=0,0,Mecze[[#This Row],[SC]]/Mecze[[#This Row],[CZAS]])</f>
        <v>1.4084507042253521E-2</v>
      </c>
      <c r="Q3169" s="32">
        <f>IF(Mecze[[#This Row],[OB]]=0,0,Mecze[[#This Row],[OB]]/Mecze[[#This Row],[CZAS]])</f>
        <v>0</v>
      </c>
      <c r="R3169" s="32">
        <f>IF(Mecze[[#This Row],[BR]]=0,0,Mecze[[#This Row],[BR]]/Mecze[[#This Row],[CZAS]])</f>
        <v>1.4084507042253521E-2</v>
      </c>
      <c r="S3169" s="44">
        <f>IF(Mecze[[#This Row],[Role]]="BR",SUMPRODUCT(Mecze[[#This Row],[/PR:90]:[/BR:90]],Brudnopis!$E$23:$J$23),0)</f>
        <v>0</v>
      </c>
      <c r="T3169" s="44">
        <f>IF(Mecze[[#This Row],[Role]]&lt;&gt;"BR",SUMPRODUCT(Mecze[[#This Row],[/PR:90]:[/BR:90]],Brudnopis!$E$24:$J$24),0)</f>
        <v>0.25352112676056338</v>
      </c>
      <c r="U3169" s="44">
        <f>IF(Mecze[[#This Row],[Role]]&lt;&gt;"BR",SUMPRODUCT(Mecze[[#This Row],[/PR:90]:[/BR:90]],Brudnopis!$E$25:$J$25),0)</f>
        <v>0.23239436619718309</v>
      </c>
      <c r="V3169" s="44">
        <f>IF(Mecze[[#This Row],[Role]]&lt;&gt;"BR",SUMPRODUCT(Mecze[[#This Row],[/PR:90]:[/BR:90]],Brudnopis!$E$26:$J$26),0)</f>
        <v>0.21126760563380281</v>
      </c>
      <c r="W3169" s="44">
        <f>IF(Mecze[[#This Row],[Role]]&lt;&gt;"BR",SUMPRODUCT(Mecze[[#This Row],[/PR:90]:[/BR:90]],Brudnopis!$E$27:$J$27),0)</f>
        <v>0.21126760563380281</v>
      </c>
      <c r="X3169" s="44">
        <f>IF(Mecze[[#This Row],[Role]]&lt;&gt;"BR",SUMPRODUCT(Mecze[[#This Row],[/PR:90]:[/BR:90]],Brudnopis!$E$28:$J$28),0)</f>
        <v>0.12676056338028169</v>
      </c>
      <c r="Y3169" s="35">
        <f>IF(Mecze[[#This Row],[Role]]="BR",Mecze[[#This Row],[/OB:90]]+Mecze[[#This Row],[/PC:90]],SUM(Mecze[[#This Row],[/PR:90]:[/BR:90]]))</f>
        <v>0.19718309859154931</v>
      </c>
      <c r="Z3169" s="35">
        <f>IF(Mecze[[#This Row],[KC]]=0,SUM(Mecze[[#This Row],[/BRI]:[/NPI]]),SUM(Mecze[[#This Row],[/BRI]:[/NPI]])*0.6)</f>
        <v>1.0352112676056338</v>
      </c>
      <c r="AA3169" s="10">
        <f>IFERROR(Mecze[[#This Row],[BR]]/Mecze[[#This Row],[ST]],0)</f>
        <v>1</v>
      </c>
      <c r="AB3169">
        <f>ROUND(Mecze[[#This Row],[PD]]*Mecze[[#This Row],[%PC]],0)</f>
        <v>4</v>
      </c>
      <c r="AC3169">
        <f>ROUND(Mecze[[#This Row],[OD]]*Mecze[[#This Row],[%OU]],0)</f>
        <v>7</v>
      </c>
      <c r="AD3169" s="36" t="s">
        <v>67</v>
      </c>
      <c r="AE3169" s="36">
        <v>177</v>
      </c>
      <c r="AF3169" s="71">
        <v>5.25</v>
      </c>
      <c r="AG3169" s="37">
        <v>0</v>
      </c>
      <c r="AH3169" s="37">
        <v>0</v>
      </c>
      <c r="AI3169" s="37">
        <v>71</v>
      </c>
      <c r="AJ3169" s="37">
        <v>8</v>
      </c>
      <c r="AK3169" s="37" t="str">
        <f>VLOOKUP(Mecze[[#This Row],[Match ID]],Meczusie[Mecz]:Meczusie[RodzajMeczu],2,FALSE)</f>
        <v>Liga</v>
      </c>
    </row>
    <row r="3170" spans="1:37" x14ac:dyDescent="0.25">
      <c r="A3170" s="76">
        <v>14</v>
      </c>
      <c r="B3170" s="3" t="s">
        <v>312</v>
      </c>
      <c r="C3170" s="2" t="s">
        <v>160</v>
      </c>
      <c r="D3170" s="1">
        <v>0</v>
      </c>
      <c r="E3170" s="1">
        <v>4</v>
      </c>
      <c r="F3170" s="1">
        <v>4</v>
      </c>
      <c r="G3170" s="1">
        <v>2</v>
      </c>
      <c r="H3170" s="4">
        <v>1</v>
      </c>
      <c r="I3170" s="1">
        <v>2</v>
      </c>
      <c r="J3170" s="4">
        <v>0</v>
      </c>
      <c r="K3170" s="1">
        <v>0</v>
      </c>
      <c r="L3170" s="1">
        <v>1</v>
      </c>
      <c r="M3170" s="32">
        <f>IF(Mecze[[#This Row],[PR]]=0,0,Mecze[[#This Row],[PR]]/Mecze[[#This Row],[CZAS]])</f>
        <v>1.0416666666666666E-2</v>
      </c>
      <c r="N3170" s="32">
        <f>IF(Mecze[[#This Row],[OU]]=0,0,Mecze[[#This Row],[OU]]/Mecze[[#This Row],[CZAS]])</f>
        <v>0</v>
      </c>
      <c r="O3170" s="32">
        <f>IF(Mecze[[#This Row],[PC]]=0,0,Mecze[[#This Row],[PC]]/Mecze[[#This Row],[CZAS]])</f>
        <v>2.0833333333333332E-2</v>
      </c>
      <c r="P3170" s="32">
        <f>IF(Mecze[[#This Row],[SC]]=0,0,Mecze[[#This Row],[SC]]/Mecze[[#This Row],[CZAS]])</f>
        <v>4.1666666666666664E-2</v>
      </c>
      <c r="Q3170" s="32">
        <f>IF(Mecze[[#This Row],[OB]]=0,0,Mecze[[#This Row],[OB]]/Mecze[[#This Row],[CZAS]])</f>
        <v>0</v>
      </c>
      <c r="R3170" s="32">
        <f>IF(Mecze[[#This Row],[BR]]=0,0,Mecze[[#This Row],[BR]]/Mecze[[#This Row],[CZAS]])</f>
        <v>0</v>
      </c>
      <c r="S3170" s="44">
        <f>IF(Mecze[[#This Row],[Role]]="BR",SUMPRODUCT(Mecze[[#This Row],[/PR:90]:[/BR:90]],Brudnopis!$E$23:$J$23),0)</f>
        <v>0</v>
      </c>
      <c r="T3170" s="44">
        <f>IF(Mecze[[#This Row],[Role]]&lt;&gt;"BR",SUMPRODUCT(Mecze[[#This Row],[/PR:90]:[/BR:90]],Brudnopis!$E$24:$J$24),0)</f>
        <v>7.2916666666666657E-2</v>
      </c>
      <c r="U3170" s="44">
        <f>IF(Mecze[[#This Row],[Role]]&lt;&gt;"BR",SUMPRODUCT(Mecze[[#This Row],[/PR:90]:[/BR:90]],Brudnopis!$E$25:$J$25),0)</f>
        <v>8.3333333333333329E-2</v>
      </c>
      <c r="V3170" s="44">
        <f>IF(Mecze[[#This Row],[Role]]&lt;&gt;"BR",SUMPRODUCT(Mecze[[#This Row],[/PR:90]:[/BR:90]],Brudnopis!$E$26:$J$26),0)</f>
        <v>7.2916666666666657E-2</v>
      </c>
      <c r="W3170" s="44">
        <f>IF(Mecze[[#This Row],[Role]]&lt;&gt;"BR",SUMPRODUCT(Mecze[[#This Row],[/PR:90]:[/BR:90]],Brudnopis!$E$27:$J$27),0)</f>
        <v>8.0729166666666657E-2</v>
      </c>
      <c r="X3170" s="44">
        <f>IF(Mecze[[#This Row],[Role]]&lt;&gt;"BR",SUMPRODUCT(Mecze[[#This Row],[/PR:90]:[/BR:90]],Brudnopis!$E$28:$J$28),0)</f>
        <v>0.10416666666666666</v>
      </c>
      <c r="Y3170" s="35">
        <f>IF(Mecze[[#This Row],[Role]]="BR",Mecze[[#This Row],[/OB:90]]+Mecze[[#This Row],[/PC:90]],SUM(Mecze[[#This Row],[/PR:90]:[/BR:90]]))</f>
        <v>7.2916666666666657E-2</v>
      </c>
      <c r="Z3170" s="35">
        <f>IF(Mecze[[#This Row],[KC]]=0,SUM(Mecze[[#This Row],[/BRI]:[/NPI]]),SUM(Mecze[[#This Row],[/BRI]:[/NPI]])*0.6)</f>
        <v>0.4140625</v>
      </c>
      <c r="AA3170" s="10">
        <f>IFERROR(Mecze[[#This Row],[BR]]/Mecze[[#This Row],[ST]],0)</f>
        <v>0</v>
      </c>
      <c r="AB3170">
        <f>ROUND(Mecze[[#This Row],[PD]]*Mecze[[#This Row],[%PC]],0)</f>
        <v>2</v>
      </c>
      <c r="AC3170">
        <f>ROUND(Mecze[[#This Row],[OD]]*Mecze[[#This Row],[%OU]],0)</f>
        <v>0</v>
      </c>
      <c r="AD3170" s="36" t="s">
        <v>44</v>
      </c>
      <c r="AE3170" s="36">
        <v>177</v>
      </c>
      <c r="AF3170" s="71">
        <v>3.83</v>
      </c>
      <c r="AG3170" s="37">
        <v>0</v>
      </c>
      <c r="AH3170" s="37">
        <v>0</v>
      </c>
      <c r="AI3170" s="37">
        <v>96</v>
      </c>
      <c r="AJ3170" s="37">
        <v>8</v>
      </c>
      <c r="AK3170" s="37" t="str">
        <f>VLOOKUP(Mecze[[#This Row],[Match ID]],Meczusie[Mecz]:Meczusie[RodzajMeczu],2,FALSE)</f>
        <v>Liga</v>
      </c>
    </row>
    <row r="3171" spans="1:37" x14ac:dyDescent="0.25">
      <c r="A3171" s="76">
        <v>7</v>
      </c>
      <c r="B3171" s="3" t="s">
        <v>311</v>
      </c>
      <c r="C3171" s="2" t="s">
        <v>165</v>
      </c>
      <c r="D3171" s="1">
        <v>0</v>
      </c>
      <c r="E3171" s="1">
        <v>0</v>
      </c>
      <c r="F3171" s="1">
        <v>0</v>
      </c>
      <c r="G3171" s="1">
        <v>4</v>
      </c>
      <c r="H3171" s="4">
        <v>1</v>
      </c>
      <c r="I3171" s="1">
        <v>1</v>
      </c>
      <c r="J3171" s="4">
        <v>0</v>
      </c>
      <c r="K3171" s="1">
        <v>0</v>
      </c>
      <c r="L3171" s="1">
        <v>0</v>
      </c>
      <c r="M3171" s="32">
        <f>IF(Mecze[[#This Row],[PR]]=0,0,Mecze[[#This Row],[PR]]/Mecze[[#This Row],[CZAS]])</f>
        <v>0</v>
      </c>
      <c r="N3171" s="32">
        <f>IF(Mecze[[#This Row],[OU]]=0,0,Mecze[[#This Row],[OU]]/Mecze[[#This Row],[CZAS]])</f>
        <v>0</v>
      </c>
      <c r="O3171" s="32">
        <f>IF(Mecze[[#This Row],[PC]]=0,0,Mecze[[#This Row],[PC]]/Mecze[[#This Row],[CZAS]])</f>
        <v>4.1666666666666664E-2</v>
      </c>
      <c r="P3171" s="32">
        <f>IF(Mecze[[#This Row],[SC]]=0,0,Mecze[[#This Row],[SC]]/Mecze[[#This Row],[CZAS]])</f>
        <v>0</v>
      </c>
      <c r="Q3171" s="32">
        <f>IF(Mecze[[#This Row],[OB]]=0,0,Mecze[[#This Row],[OB]]/Mecze[[#This Row],[CZAS]])</f>
        <v>0</v>
      </c>
      <c r="R3171" s="32">
        <f>IF(Mecze[[#This Row],[BR]]=0,0,Mecze[[#This Row],[BR]]/Mecze[[#This Row],[CZAS]])</f>
        <v>0</v>
      </c>
      <c r="S3171" s="44">
        <f>IF(Mecze[[#This Row],[Role]]="BR",SUMPRODUCT(Mecze[[#This Row],[/PR:90]:[/BR:90]],Brudnopis!$E$23:$J$23),0)</f>
        <v>0</v>
      </c>
      <c r="T3171" s="44">
        <f>IF(Mecze[[#This Row],[Role]]&lt;&gt;"BR",SUMPRODUCT(Mecze[[#This Row],[/PR:90]:[/BR:90]],Brudnopis!$E$24:$J$24),0)</f>
        <v>4.1666666666666664E-2</v>
      </c>
      <c r="U3171" s="44">
        <f>IF(Mecze[[#This Row],[Role]]&lt;&gt;"BR",SUMPRODUCT(Mecze[[#This Row],[/PR:90]:[/BR:90]],Brudnopis!$E$25:$J$25),0)</f>
        <v>6.25E-2</v>
      </c>
      <c r="V3171" s="44">
        <f>IF(Mecze[[#This Row],[Role]]&lt;&gt;"BR",SUMPRODUCT(Mecze[[#This Row],[/PR:90]:[/BR:90]],Brudnopis!$E$26:$J$26),0)</f>
        <v>4.1666666666666664E-2</v>
      </c>
      <c r="W3171" s="44">
        <f>IF(Mecze[[#This Row],[Role]]&lt;&gt;"BR",SUMPRODUCT(Mecze[[#This Row],[/PR:90]:[/BR:90]],Brudnopis!$E$27:$J$27),0)</f>
        <v>6.25E-2</v>
      </c>
      <c r="X3171" s="44">
        <f>IF(Mecze[[#This Row],[Role]]&lt;&gt;"BR",SUMPRODUCT(Mecze[[#This Row],[/PR:90]:[/BR:90]],Brudnopis!$E$28:$J$28),0)</f>
        <v>4.1666666666666664E-2</v>
      </c>
      <c r="Y3171" s="35">
        <f>IF(Mecze[[#This Row],[Role]]="BR",Mecze[[#This Row],[/OB:90]]+Mecze[[#This Row],[/PC:90]],SUM(Mecze[[#This Row],[/PR:90]:[/BR:90]]))</f>
        <v>4.1666666666666664E-2</v>
      </c>
      <c r="Z3171" s="35">
        <f>IF(Mecze[[#This Row],[KC]]=0,SUM(Mecze[[#This Row],[/BRI]:[/NPI]]),SUM(Mecze[[#This Row],[/BRI]:[/NPI]])*0.6)</f>
        <v>0.24999999999999997</v>
      </c>
      <c r="AA3171" s="10">
        <f>IFERROR(Mecze[[#This Row],[BR]]/Mecze[[#This Row],[ST]],0)</f>
        <v>0</v>
      </c>
      <c r="AB3171">
        <f>ROUND(Mecze[[#This Row],[PD]]*Mecze[[#This Row],[%PC]],0)</f>
        <v>4</v>
      </c>
      <c r="AC3171">
        <f>ROUND(Mecze[[#This Row],[OD]]*Mecze[[#This Row],[%OU]],0)</f>
        <v>0</v>
      </c>
      <c r="AD3171" s="36" t="s">
        <v>355</v>
      </c>
      <c r="AE3171" s="36">
        <v>177</v>
      </c>
      <c r="AF3171" s="71">
        <v>2.71</v>
      </c>
      <c r="AG3171" s="37">
        <v>0</v>
      </c>
      <c r="AH3171" s="37">
        <v>0</v>
      </c>
      <c r="AI3171" s="37">
        <v>96</v>
      </c>
      <c r="AJ3171" s="37">
        <v>8</v>
      </c>
      <c r="AK3171" s="37" t="str">
        <f>VLOOKUP(Mecze[[#This Row],[Match ID]],Meczusie[Mecz]:Meczusie[RodzajMeczu],2,FALSE)</f>
        <v>Liga</v>
      </c>
    </row>
    <row r="3172" spans="1:37" x14ac:dyDescent="0.25">
      <c r="A3172" s="76">
        <v>74</v>
      </c>
      <c r="B3172" s="3" t="s">
        <v>442</v>
      </c>
      <c r="C3172" s="2" t="s">
        <v>165</v>
      </c>
      <c r="D3172" s="1">
        <v>1</v>
      </c>
      <c r="E3172" s="1">
        <v>3</v>
      </c>
      <c r="F3172" s="1">
        <v>2</v>
      </c>
      <c r="G3172" s="1">
        <v>5</v>
      </c>
      <c r="H3172" s="4">
        <v>1</v>
      </c>
      <c r="I3172" s="1">
        <v>5</v>
      </c>
      <c r="J3172" s="4">
        <v>0.4</v>
      </c>
      <c r="K3172" s="1">
        <v>0</v>
      </c>
      <c r="L3172" s="1">
        <v>0</v>
      </c>
      <c r="M3172" s="32">
        <f>IF(Mecze[[#This Row],[PR]]=0,0,Mecze[[#This Row],[PR]]/Mecze[[#This Row],[CZAS]])</f>
        <v>0</v>
      </c>
      <c r="N3172" s="32">
        <f>IF(Mecze[[#This Row],[OU]]=0,0,Mecze[[#This Row],[OU]]/Mecze[[#This Row],[CZAS]])</f>
        <v>2.0833333333333332E-2</v>
      </c>
      <c r="O3172" s="32">
        <f>IF(Mecze[[#This Row],[PC]]=0,0,Mecze[[#This Row],[PC]]/Mecze[[#This Row],[CZAS]])</f>
        <v>5.2083333333333336E-2</v>
      </c>
      <c r="P3172" s="32">
        <f>IF(Mecze[[#This Row],[SC]]=0,0,Mecze[[#This Row],[SC]]/Mecze[[#This Row],[CZAS]])</f>
        <v>2.0833333333333332E-2</v>
      </c>
      <c r="Q3172" s="32">
        <f>IF(Mecze[[#This Row],[OB]]=0,0,Mecze[[#This Row],[OB]]/Mecze[[#This Row],[CZAS]])</f>
        <v>0</v>
      </c>
      <c r="R3172" s="32">
        <f>IF(Mecze[[#This Row],[BR]]=0,0,Mecze[[#This Row],[BR]]/Mecze[[#This Row],[CZAS]])</f>
        <v>1.0416666666666666E-2</v>
      </c>
      <c r="S3172" s="44">
        <f>IF(Mecze[[#This Row],[Role]]="BR",SUMPRODUCT(Mecze[[#This Row],[/PR:90]:[/BR:90]],Brudnopis!$E$23:$J$23),0)</f>
        <v>0</v>
      </c>
      <c r="T3172" s="44">
        <f>IF(Mecze[[#This Row],[Role]]&lt;&gt;"BR",SUMPRODUCT(Mecze[[#This Row],[/PR:90]:[/BR:90]],Brudnopis!$E$24:$J$24),0)</f>
        <v>0.11979166666666667</v>
      </c>
      <c r="U3172" s="44">
        <f>IF(Mecze[[#This Row],[Role]]&lt;&gt;"BR",SUMPRODUCT(Mecze[[#This Row],[/PR:90]:[/BR:90]],Brudnopis!$E$25:$J$25),0)</f>
        <v>0.13541666666666666</v>
      </c>
      <c r="V3172" s="44">
        <f>IF(Mecze[[#This Row],[Role]]&lt;&gt;"BR",SUMPRODUCT(Mecze[[#This Row],[/PR:90]:[/BR:90]],Brudnopis!$E$26:$J$26),0)</f>
        <v>0.11458333333333333</v>
      </c>
      <c r="W3172" s="44">
        <f>IF(Mecze[[#This Row],[Role]]&lt;&gt;"BR",SUMPRODUCT(Mecze[[#This Row],[/PR:90]:[/BR:90]],Brudnopis!$E$27:$J$27),0)</f>
        <v>0.13541666666666666</v>
      </c>
      <c r="X3172" s="44">
        <f>IF(Mecze[[#This Row],[Role]]&lt;&gt;"BR",SUMPRODUCT(Mecze[[#This Row],[/PR:90]:[/BR:90]],Brudnopis!$E$28:$J$28),0)</f>
        <v>0.125</v>
      </c>
      <c r="Y3172" s="35">
        <f>IF(Mecze[[#This Row],[Role]]="BR",Mecze[[#This Row],[/OB:90]]+Mecze[[#This Row],[/PC:90]],SUM(Mecze[[#This Row],[/PR:90]:[/BR:90]]))</f>
        <v>0.10416666666666667</v>
      </c>
      <c r="Z3172" s="35">
        <f>IF(Mecze[[#This Row],[KC]]=0,SUM(Mecze[[#This Row],[/BRI]:[/NPI]]),SUM(Mecze[[#This Row],[/BRI]:[/NPI]])*0.6)</f>
        <v>0.63020833333333326</v>
      </c>
      <c r="AA3172" s="10">
        <f>IFERROR(Mecze[[#This Row],[BR]]/Mecze[[#This Row],[ST]],0)</f>
        <v>0.33333333333333331</v>
      </c>
      <c r="AB3172">
        <f>ROUND(Mecze[[#This Row],[PD]]*Mecze[[#This Row],[%PC]],0)</f>
        <v>5</v>
      </c>
      <c r="AC3172">
        <f>ROUND(Mecze[[#This Row],[OD]]*Mecze[[#This Row],[%OU]],0)</f>
        <v>2</v>
      </c>
      <c r="AD3172" s="36" t="s">
        <v>46</v>
      </c>
      <c r="AE3172" s="36">
        <v>177</v>
      </c>
      <c r="AF3172" s="71">
        <v>8.59</v>
      </c>
      <c r="AG3172" s="37">
        <v>0</v>
      </c>
      <c r="AH3172" s="37">
        <v>0</v>
      </c>
      <c r="AI3172" s="37">
        <v>96</v>
      </c>
      <c r="AJ3172" s="37">
        <v>8</v>
      </c>
      <c r="AK3172" s="37" t="str">
        <f>VLOOKUP(Mecze[[#This Row],[Match ID]],Meczusie[Mecz]:Meczusie[RodzajMeczu],2,FALSE)</f>
        <v>Liga</v>
      </c>
    </row>
    <row r="3173" spans="1:37" x14ac:dyDescent="0.25">
      <c r="A3173" s="76">
        <v>13</v>
      </c>
      <c r="B3173" s="3" t="s">
        <v>313</v>
      </c>
      <c r="C3173" s="2" t="s">
        <v>165</v>
      </c>
      <c r="D3173" s="1">
        <v>0</v>
      </c>
      <c r="E3173" s="1">
        <v>4</v>
      </c>
      <c r="F3173" s="1">
        <v>3</v>
      </c>
      <c r="G3173" s="1">
        <v>10</v>
      </c>
      <c r="H3173" s="4">
        <v>0.8</v>
      </c>
      <c r="I3173" s="1">
        <v>3</v>
      </c>
      <c r="J3173" s="4">
        <v>0.33</v>
      </c>
      <c r="K3173" s="1">
        <v>0</v>
      </c>
      <c r="L3173" s="1">
        <v>0</v>
      </c>
      <c r="M3173" s="32">
        <f>IF(Mecze[[#This Row],[PR]]=0,0,Mecze[[#This Row],[PR]]/Mecze[[#This Row],[CZAS]])</f>
        <v>0</v>
      </c>
      <c r="N3173" s="32">
        <f>IF(Mecze[[#This Row],[OU]]=0,0,Mecze[[#This Row],[OU]]/Mecze[[#This Row],[CZAS]])</f>
        <v>1.3157894736842105E-2</v>
      </c>
      <c r="O3173" s="32">
        <f>IF(Mecze[[#This Row],[PC]]=0,0,Mecze[[#This Row],[PC]]/Mecze[[#This Row],[CZAS]])</f>
        <v>0.10526315789473684</v>
      </c>
      <c r="P3173" s="32">
        <f>IF(Mecze[[#This Row],[SC]]=0,0,Mecze[[#This Row],[SC]]/Mecze[[#This Row],[CZAS]])</f>
        <v>3.9473684210526314E-2</v>
      </c>
      <c r="Q3173" s="32">
        <f>IF(Mecze[[#This Row],[OB]]=0,0,Mecze[[#This Row],[OB]]/Mecze[[#This Row],[CZAS]])</f>
        <v>0</v>
      </c>
      <c r="R3173" s="32">
        <f>IF(Mecze[[#This Row],[BR]]=0,0,Mecze[[#This Row],[BR]]/Mecze[[#This Row],[CZAS]])</f>
        <v>0</v>
      </c>
      <c r="S3173" s="44">
        <f>IF(Mecze[[#This Row],[Role]]="BR",SUMPRODUCT(Mecze[[#This Row],[/PR:90]:[/BR:90]],Brudnopis!$E$23:$J$23),0)</f>
        <v>0</v>
      </c>
      <c r="T3173" s="44">
        <f>IF(Mecze[[#This Row],[Role]]&lt;&gt;"BR",SUMPRODUCT(Mecze[[#This Row],[/PR:90]:[/BR:90]],Brudnopis!$E$24:$J$24),0)</f>
        <v>0.16447368421052633</v>
      </c>
      <c r="U3173" s="44">
        <f>IF(Mecze[[#This Row],[Role]]&lt;&gt;"BR",SUMPRODUCT(Mecze[[#This Row],[/PR:90]:[/BR:90]],Brudnopis!$E$25:$J$25),0)</f>
        <v>0.21052631578947367</v>
      </c>
      <c r="V3173" s="44">
        <f>IF(Mecze[[#This Row],[Role]]&lt;&gt;"BR",SUMPRODUCT(Mecze[[#This Row],[/PR:90]:[/BR:90]],Brudnopis!$E$26:$J$26),0)</f>
        <v>0.15789473684210525</v>
      </c>
      <c r="W3173" s="44">
        <f>IF(Mecze[[#This Row],[Role]]&lt;&gt;"BR",SUMPRODUCT(Mecze[[#This Row],[/PR:90]:[/BR:90]],Brudnopis!$E$27:$J$27),0)</f>
        <v>0.20723684210526316</v>
      </c>
      <c r="X3173" s="44">
        <f>IF(Mecze[[#This Row],[Role]]&lt;&gt;"BR",SUMPRODUCT(Mecze[[#This Row],[/PR:90]:[/BR:90]],Brudnopis!$E$28:$J$28),0)</f>
        <v>0.18421052631578946</v>
      </c>
      <c r="Y3173" s="35">
        <f>IF(Mecze[[#This Row],[Role]]="BR",Mecze[[#This Row],[/OB:90]]+Mecze[[#This Row],[/PC:90]],SUM(Mecze[[#This Row],[/PR:90]:[/BR:90]]))</f>
        <v>0.15789473684210525</v>
      </c>
      <c r="Z3173" s="35">
        <f>IF(Mecze[[#This Row],[KC]]=0,SUM(Mecze[[#This Row],[/BRI]:[/NPI]]),SUM(Mecze[[#This Row],[/BRI]:[/NPI]])*0.6)</f>
        <v>0.92434210526315796</v>
      </c>
      <c r="AA3173" s="10">
        <f>IFERROR(Mecze[[#This Row],[BR]]/Mecze[[#This Row],[ST]],0)</f>
        <v>0</v>
      </c>
      <c r="AB3173">
        <f>ROUND(Mecze[[#This Row],[PD]]*Mecze[[#This Row],[%PC]],0)</f>
        <v>8</v>
      </c>
      <c r="AC3173">
        <f>ROUND(Mecze[[#This Row],[OD]]*Mecze[[#This Row],[%OU]],0)</f>
        <v>1</v>
      </c>
      <c r="AD3173" s="36" t="s">
        <v>46</v>
      </c>
      <c r="AE3173" s="36">
        <v>177</v>
      </c>
      <c r="AF3173" s="71">
        <v>5.62</v>
      </c>
      <c r="AG3173" s="37">
        <v>0</v>
      </c>
      <c r="AH3173" s="37">
        <v>0</v>
      </c>
      <c r="AI3173" s="37">
        <v>76</v>
      </c>
      <c r="AJ3173" s="37">
        <v>8</v>
      </c>
      <c r="AK3173" s="37" t="str">
        <f>VLOOKUP(Mecze[[#This Row],[Match ID]],Meczusie[Mecz]:Meczusie[RodzajMeczu],2,FALSE)</f>
        <v>Liga</v>
      </c>
    </row>
    <row r="3174" spans="1:37" x14ac:dyDescent="0.25">
      <c r="A3174" s="76">
        <v>15</v>
      </c>
      <c r="B3174" s="3" t="s">
        <v>310</v>
      </c>
      <c r="C3174" s="2" t="s">
        <v>160</v>
      </c>
      <c r="D3174" s="1">
        <v>0</v>
      </c>
      <c r="E3174" s="1">
        <v>0</v>
      </c>
      <c r="F3174" s="1">
        <v>0</v>
      </c>
      <c r="G3174" s="1">
        <v>2</v>
      </c>
      <c r="H3174" s="4">
        <v>1</v>
      </c>
      <c r="I3174" s="1">
        <v>4</v>
      </c>
      <c r="J3174" s="4">
        <v>0.75</v>
      </c>
      <c r="K3174" s="1">
        <v>0</v>
      </c>
      <c r="L3174" s="1">
        <v>0</v>
      </c>
      <c r="M3174" s="32">
        <f>IF(Mecze[[#This Row],[PR]]=0,0,Mecze[[#This Row],[PR]]/Mecze[[#This Row],[CZAS]])</f>
        <v>0</v>
      </c>
      <c r="N3174" s="32">
        <f>IF(Mecze[[#This Row],[OU]]=0,0,Mecze[[#This Row],[OU]]/Mecze[[#This Row],[CZAS]])</f>
        <v>0.12</v>
      </c>
      <c r="O3174" s="32">
        <f>IF(Mecze[[#This Row],[PC]]=0,0,Mecze[[#This Row],[PC]]/Mecze[[#This Row],[CZAS]])</f>
        <v>0.08</v>
      </c>
      <c r="P3174" s="32">
        <f>IF(Mecze[[#This Row],[SC]]=0,0,Mecze[[#This Row],[SC]]/Mecze[[#This Row],[CZAS]])</f>
        <v>0</v>
      </c>
      <c r="Q3174" s="32">
        <f>IF(Mecze[[#This Row],[OB]]=0,0,Mecze[[#This Row],[OB]]/Mecze[[#This Row],[CZAS]])</f>
        <v>0</v>
      </c>
      <c r="R3174" s="32">
        <f>IF(Mecze[[#This Row],[BR]]=0,0,Mecze[[#This Row],[BR]]/Mecze[[#This Row],[CZAS]])</f>
        <v>0</v>
      </c>
      <c r="S3174" s="44">
        <f>IF(Mecze[[#This Row],[Role]]="BR",SUMPRODUCT(Mecze[[#This Row],[/PR:90]:[/BR:90]],Brudnopis!$E$23:$J$23),0)</f>
        <v>0</v>
      </c>
      <c r="T3174" s="44">
        <f>IF(Mecze[[#This Row],[Role]]&lt;&gt;"BR",SUMPRODUCT(Mecze[[#This Row],[/PR:90]:[/BR:90]],Brudnopis!$E$24:$J$24),0)</f>
        <v>0.26</v>
      </c>
      <c r="U3174" s="44">
        <f>IF(Mecze[[#This Row],[Role]]&lt;&gt;"BR",SUMPRODUCT(Mecze[[#This Row],[/PR:90]:[/BR:90]],Brudnopis!$E$25:$J$25),0)</f>
        <v>0.24</v>
      </c>
      <c r="V3174" s="44">
        <f>IF(Mecze[[#This Row],[Role]]&lt;&gt;"BR",SUMPRODUCT(Mecze[[#This Row],[/PR:90]:[/BR:90]],Brudnopis!$E$26:$J$26),0)</f>
        <v>0.2</v>
      </c>
      <c r="W3174" s="44">
        <f>IF(Mecze[[#This Row],[Role]]&lt;&gt;"BR",SUMPRODUCT(Mecze[[#This Row],[/PR:90]:[/BR:90]],Brudnopis!$E$27:$J$27),0)</f>
        <v>0.21</v>
      </c>
      <c r="X3174" s="44">
        <f>IF(Mecze[[#This Row],[Role]]&lt;&gt;"BR",SUMPRODUCT(Mecze[[#This Row],[/PR:90]:[/BR:90]],Brudnopis!$E$28:$J$28),0)</f>
        <v>0.08</v>
      </c>
      <c r="Y3174" s="35">
        <f>IF(Mecze[[#This Row],[Role]]="BR",Mecze[[#This Row],[/OB:90]]+Mecze[[#This Row],[/PC:90]],SUM(Mecze[[#This Row],[/PR:90]:[/BR:90]]))</f>
        <v>0.2</v>
      </c>
      <c r="Z3174" s="35">
        <f>IF(Mecze[[#This Row],[KC]]=0,SUM(Mecze[[#This Row],[/BRI]:[/NPI]]),SUM(Mecze[[#This Row],[/BRI]:[/NPI]])*0.6)</f>
        <v>0.98999999999999988</v>
      </c>
      <c r="AA3174" s="10">
        <f>IFERROR(Mecze[[#This Row],[BR]]/Mecze[[#This Row],[ST]],0)</f>
        <v>0</v>
      </c>
      <c r="AB3174">
        <f>ROUND(Mecze[[#This Row],[PD]]*Mecze[[#This Row],[%PC]],0)</f>
        <v>2</v>
      </c>
      <c r="AC3174">
        <f>ROUND(Mecze[[#This Row],[OD]]*Mecze[[#This Row],[%OU]],0)</f>
        <v>3</v>
      </c>
      <c r="AD3174" s="36" t="s">
        <v>67</v>
      </c>
      <c r="AE3174" s="36">
        <v>177</v>
      </c>
      <c r="AF3174" s="71">
        <v>0.5</v>
      </c>
      <c r="AG3174" s="37">
        <v>0</v>
      </c>
      <c r="AH3174" s="37">
        <v>0</v>
      </c>
      <c r="AI3174" s="37">
        <v>25</v>
      </c>
      <c r="AJ3174" s="37">
        <v>8</v>
      </c>
      <c r="AK3174" s="37" t="str">
        <f>VLOOKUP(Mecze[[#This Row],[Match ID]],Meczusie[Mecz]:Meczusie[RodzajMeczu],2,FALSE)</f>
        <v>Liga</v>
      </c>
    </row>
    <row r="3175" spans="1:37" x14ac:dyDescent="0.25">
      <c r="A3175" s="76">
        <v>12</v>
      </c>
      <c r="B3175" s="3" t="s">
        <v>315</v>
      </c>
      <c r="C3175" s="2" t="s">
        <v>157</v>
      </c>
      <c r="D3175" s="1">
        <v>0</v>
      </c>
      <c r="E3175" s="1">
        <v>0</v>
      </c>
      <c r="F3175" s="1">
        <v>0</v>
      </c>
      <c r="G3175" s="1">
        <v>2</v>
      </c>
      <c r="H3175" s="4">
        <v>1</v>
      </c>
      <c r="I3175" s="1">
        <v>0</v>
      </c>
      <c r="J3175" s="4"/>
      <c r="K3175" s="1">
        <v>0</v>
      </c>
      <c r="L3175" s="1">
        <v>2</v>
      </c>
      <c r="M3175" s="32">
        <f>IF(Mecze[[#This Row],[PR]]=0,0,Mecze[[#This Row],[PR]]/Mecze[[#This Row],[CZAS]])</f>
        <v>0.08</v>
      </c>
      <c r="N3175" s="32">
        <f>IF(Mecze[[#This Row],[OU]]=0,0,Mecze[[#This Row],[OU]]/Mecze[[#This Row],[CZAS]])</f>
        <v>0</v>
      </c>
      <c r="O3175" s="32">
        <f>IF(Mecze[[#This Row],[PC]]=0,0,Mecze[[#This Row],[PC]]/Mecze[[#This Row],[CZAS]])</f>
        <v>0.08</v>
      </c>
      <c r="P3175" s="32">
        <f>IF(Mecze[[#This Row],[SC]]=0,0,Mecze[[#This Row],[SC]]/Mecze[[#This Row],[CZAS]])</f>
        <v>0</v>
      </c>
      <c r="Q3175" s="32">
        <f>IF(Mecze[[#This Row],[OB]]=0,0,Mecze[[#This Row],[OB]]/Mecze[[#This Row],[CZAS]])</f>
        <v>0</v>
      </c>
      <c r="R3175" s="32">
        <f>IF(Mecze[[#This Row],[BR]]=0,0,Mecze[[#This Row],[BR]]/Mecze[[#This Row],[CZAS]])</f>
        <v>0</v>
      </c>
      <c r="S3175" s="44">
        <f>IF(Mecze[[#This Row],[Role]]="BR",SUMPRODUCT(Mecze[[#This Row],[/PR:90]:[/BR:90]],Brudnopis!$E$23:$J$23),0)</f>
        <v>0</v>
      </c>
      <c r="T3175" s="44">
        <f>IF(Mecze[[#This Row],[Role]]&lt;&gt;"BR",SUMPRODUCT(Mecze[[#This Row],[/PR:90]:[/BR:90]],Brudnopis!$E$24:$J$24),0)</f>
        <v>0.16</v>
      </c>
      <c r="U3175" s="44">
        <f>IF(Mecze[[#This Row],[Role]]&lt;&gt;"BR",SUMPRODUCT(Mecze[[#This Row],[/PR:90]:[/BR:90]],Brudnopis!$E$25:$J$25),0)</f>
        <v>0.2</v>
      </c>
      <c r="V3175" s="44">
        <f>IF(Mecze[[#This Row],[Role]]&lt;&gt;"BR",SUMPRODUCT(Mecze[[#This Row],[/PR:90]:[/BR:90]],Brudnopis!$E$26:$J$26),0)</f>
        <v>0.16</v>
      </c>
      <c r="W3175" s="44">
        <f>IF(Mecze[[#This Row],[Role]]&lt;&gt;"BR",SUMPRODUCT(Mecze[[#This Row],[/PR:90]:[/BR:90]],Brudnopis!$E$27:$J$27),0)</f>
        <v>0.18</v>
      </c>
      <c r="X3175" s="44">
        <f>IF(Mecze[[#This Row],[Role]]&lt;&gt;"BR",SUMPRODUCT(Mecze[[#This Row],[/PR:90]:[/BR:90]],Brudnopis!$E$28:$J$28),0)</f>
        <v>0.08</v>
      </c>
      <c r="Y3175" s="35">
        <f>IF(Mecze[[#This Row],[Role]]="BR",Mecze[[#This Row],[/OB:90]]+Mecze[[#This Row],[/PC:90]],SUM(Mecze[[#This Row],[/PR:90]:[/BR:90]]))</f>
        <v>0.16</v>
      </c>
      <c r="Z3175" s="35">
        <f>IF(Mecze[[#This Row],[KC]]=0,SUM(Mecze[[#This Row],[/BRI]:[/NPI]]),SUM(Mecze[[#This Row],[/BRI]:[/NPI]])*0.6)</f>
        <v>0.77999999999999992</v>
      </c>
      <c r="AA3175" s="10">
        <f>IFERROR(Mecze[[#This Row],[BR]]/Mecze[[#This Row],[ST]],0)</f>
        <v>0</v>
      </c>
      <c r="AB3175">
        <f>ROUND(Mecze[[#This Row],[PD]]*Mecze[[#This Row],[%PC]],0)</f>
        <v>2</v>
      </c>
      <c r="AC3175">
        <f>ROUND(Mecze[[#This Row],[OD]]*Mecze[[#This Row],[%OU]],0)</f>
        <v>0</v>
      </c>
      <c r="AD3175" s="36" t="s">
        <v>167</v>
      </c>
      <c r="AE3175" s="36">
        <v>177</v>
      </c>
      <c r="AF3175" s="71">
        <v>-0.19</v>
      </c>
      <c r="AG3175" s="37">
        <v>0</v>
      </c>
      <c r="AH3175" s="37">
        <v>0</v>
      </c>
      <c r="AI3175" s="37">
        <v>25</v>
      </c>
      <c r="AJ3175" s="37">
        <v>8</v>
      </c>
      <c r="AK3175" s="37" t="str">
        <f>VLOOKUP(Mecze[[#This Row],[Match ID]],Meczusie[Mecz]:Meczusie[RodzajMeczu],2,FALSE)</f>
        <v>Liga</v>
      </c>
    </row>
    <row r="3176" spans="1:37" x14ac:dyDescent="0.25">
      <c r="A3176" s="76">
        <v>68</v>
      </c>
      <c r="B3176" s="3" t="s">
        <v>416</v>
      </c>
      <c r="C3176" s="2" t="s">
        <v>165</v>
      </c>
      <c r="D3176" s="1">
        <v>0</v>
      </c>
      <c r="E3176" s="1">
        <v>1</v>
      </c>
      <c r="F3176" s="1">
        <v>1</v>
      </c>
      <c r="G3176" s="1">
        <v>1</v>
      </c>
      <c r="H3176" s="4">
        <v>1</v>
      </c>
      <c r="I3176" s="1">
        <v>0</v>
      </c>
      <c r="J3176" s="4"/>
      <c r="K3176" s="1">
        <v>0</v>
      </c>
      <c r="L3176" s="1">
        <v>0</v>
      </c>
      <c r="M3176" s="32">
        <f>IF(Mecze[[#This Row],[PR]]=0,0,Mecze[[#This Row],[PR]]/Mecze[[#This Row],[CZAS]])</f>
        <v>0</v>
      </c>
      <c r="N3176" s="32">
        <f>IF(Mecze[[#This Row],[OU]]=0,0,Mecze[[#This Row],[OU]]/Mecze[[#This Row],[CZAS]])</f>
        <v>0</v>
      </c>
      <c r="O3176" s="32">
        <f>IF(Mecze[[#This Row],[PC]]=0,0,Mecze[[#This Row],[PC]]/Mecze[[#This Row],[CZAS]])</f>
        <v>0.05</v>
      </c>
      <c r="P3176" s="32">
        <f>IF(Mecze[[#This Row],[SC]]=0,0,Mecze[[#This Row],[SC]]/Mecze[[#This Row],[CZAS]])</f>
        <v>0.05</v>
      </c>
      <c r="Q3176" s="32">
        <f>IF(Mecze[[#This Row],[OB]]=0,0,Mecze[[#This Row],[OB]]/Mecze[[#This Row],[CZAS]])</f>
        <v>0</v>
      </c>
      <c r="R3176" s="32">
        <f>IF(Mecze[[#This Row],[BR]]=0,0,Mecze[[#This Row],[BR]]/Mecze[[#This Row],[CZAS]])</f>
        <v>0</v>
      </c>
      <c r="S3176" s="44">
        <f>IF(Mecze[[#This Row],[Role]]="BR",SUMPRODUCT(Mecze[[#This Row],[/PR:90]:[/BR:90]],Brudnopis!$E$23:$J$23),0)</f>
        <v>0</v>
      </c>
      <c r="T3176" s="44">
        <f>IF(Mecze[[#This Row],[Role]]&lt;&gt;"BR",SUMPRODUCT(Mecze[[#This Row],[/PR:90]:[/BR:90]],Brudnopis!$E$24:$J$24),0)</f>
        <v>0.1</v>
      </c>
      <c r="U3176" s="44">
        <f>IF(Mecze[[#This Row],[Role]]&lt;&gt;"BR",SUMPRODUCT(Mecze[[#This Row],[/PR:90]:[/BR:90]],Brudnopis!$E$25:$J$25),0)</f>
        <v>0.125</v>
      </c>
      <c r="V3176" s="44">
        <f>IF(Mecze[[#This Row],[Role]]&lt;&gt;"BR",SUMPRODUCT(Mecze[[#This Row],[/PR:90]:[/BR:90]],Brudnopis!$E$26:$J$26),0)</f>
        <v>0.1</v>
      </c>
      <c r="W3176" s="44">
        <f>IF(Mecze[[#This Row],[Role]]&lt;&gt;"BR",SUMPRODUCT(Mecze[[#This Row],[/PR:90]:[/BR:90]],Brudnopis!$E$27:$J$27),0)</f>
        <v>0.125</v>
      </c>
      <c r="X3176" s="44">
        <f>IF(Mecze[[#This Row],[Role]]&lt;&gt;"BR",SUMPRODUCT(Mecze[[#This Row],[/PR:90]:[/BR:90]],Brudnopis!$E$28:$J$28),0)</f>
        <v>0.15000000000000002</v>
      </c>
      <c r="Y3176" s="35">
        <f>IF(Mecze[[#This Row],[Role]]="BR",Mecze[[#This Row],[/OB:90]]+Mecze[[#This Row],[/PC:90]],SUM(Mecze[[#This Row],[/PR:90]:[/BR:90]]))</f>
        <v>0.1</v>
      </c>
      <c r="Z3176" s="35">
        <f>IF(Mecze[[#This Row],[KC]]=0,SUM(Mecze[[#This Row],[/BRI]:[/NPI]]),SUM(Mecze[[#This Row],[/BRI]:[/NPI]])*0.6)</f>
        <v>0.60000000000000009</v>
      </c>
      <c r="AA3176" s="10">
        <f>IFERROR(Mecze[[#This Row],[BR]]/Mecze[[#This Row],[ST]],0)</f>
        <v>0</v>
      </c>
      <c r="AB3176">
        <f>ROUND(Mecze[[#This Row],[PD]]*Mecze[[#This Row],[%PC]],0)</f>
        <v>1</v>
      </c>
      <c r="AC3176">
        <f>ROUND(Mecze[[#This Row],[OD]]*Mecze[[#This Row],[%OU]],0)</f>
        <v>0</v>
      </c>
      <c r="AD3176" s="36" t="s">
        <v>46</v>
      </c>
      <c r="AE3176" s="36">
        <v>177</v>
      </c>
      <c r="AF3176" s="71">
        <v>0.72</v>
      </c>
      <c r="AG3176" s="37">
        <v>0</v>
      </c>
      <c r="AH3176" s="37">
        <v>0</v>
      </c>
      <c r="AI3176" s="37">
        <v>20</v>
      </c>
      <c r="AJ3176" s="37">
        <v>8</v>
      </c>
      <c r="AK3176" s="37" t="str">
        <f>VLOOKUP(Mecze[[#This Row],[Match ID]],Meczusie[Mecz]:Meczusie[RodzajMeczu],2,FALSE)</f>
        <v>Liga</v>
      </c>
    </row>
    <row r="3177" spans="1:37" x14ac:dyDescent="0.25">
      <c r="A3177" s="76">
        <v>1</v>
      </c>
      <c r="B3177" s="3" t="s">
        <v>169</v>
      </c>
      <c r="C3177" s="2" t="s">
        <v>155</v>
      </c>
      <c r="D3177" s="1">
        <v>0</v>
      </c>
      <c r="E3177" s="1">
        <v>0</v>
      </c>
      <c r="F3177" s="1">
        <v>0</v>
      </c>
      <c r="G3177" s="1">
        <v>7</v>
      </c>
      <c r="H3177" s="4">
        <v>0.56999999999999995</v>
      </c>
      <c r="I3177" s="1">
        <v>0</v>
      </c>
      <c r="J3177" s="4"/>
      <c r="K3177" s="1">
        <v>2</v>
      </c>
      <c r="L3177" s="1">
        <v>0</v>
      </c>
      <c r="M3177" s="32">
        <f>IF(Mecze[[#This Row],[PR]]=0,0,Mecze[[#This Row],[PR]]/Mecze[[#This Row],[CZAS]])</f>
        <v>0</v>
      </c>
      <c r="N3177" s="32">
        <f>IF(Mecze[[#This Row],[OU]]=0,0,Mecze[[#This Row],[OU]]/Mecze[[#This Row],[CZAS]])</f>
        <v>0</v>
      </c>
      <c r="O3177" s="32">
        <f>IF(Mecze[[#This Row],[PC]]=0,0,Mecze[[#This Row],[PC]]/Mecze[[#This Row],[CZAS]])</f>
        <v>4.1666666666666664E-2</v>
      </c>
      <c r="P3177" s="32">
        <f>IF(Mecze[[#This Row],[SC]]=0,0,Mecze[[#This Row],[SC]]/Mecze[[#This Row],[CZAS]])</f>
        <v>0</v>
      </c>
      <c r="Q3177" s="32">
        <f>IF(Mecze[[#This Row],[OB]]=0,0,Mecze[[#This Row],[OB]]/Mecze[[#This Row],[CZAS]])</f>
        <v>2.0833333333333332E-2</v>
      </c>
      <c r="R3177" s="32">
        <f>IF(Mecze[[#This Row],[BR]]=0,0,Mecze[[#This Row],[BR]]/Mecze[[#This Row],[CZAS]])</f>
        <v>0</v>
      </c>
      <c r="S3177" s="44">
        <f>IF(Mecze[[#This Row],[Role]]="BR",SUMPRODUCT(Mecze[[#This Row],[/PR:90]:[/BR:90]],Brudnopis!$E$23:$J$23),0)</f>
        <v>0.1875</v>
      </c>
      <c r="T3177" s="44">
        <f>IF(Mecze[[#This Row],[Role]]&lt;&gt;"BR",SUMPRODUCT(Mecze[[#This Row],[/PR:90]:[/BR:90]],Brudnopis!$E$24:$J$24),0)</f>
        <v>0</v>
      </c>
      <c r="U3177" s="44">
        <f>IF(Mecze[[#This Row],[Role]]&lt;&gt;"BR",SUMPRODUCT(Mecze[[#This Row],[/PR:90]:[/BR:90]],Brudnopis!$E$25:$J$25),0)</f>
        <v>0</v>
      </c>
      <c r="V3177" s="44">
        <f>IF(Mecze[[#This Row],[Role]]&lt;&gt;"BR",SUMPRODUCT(Mecze[[#This Row],[/PR:90]:[/BR:90]],Brudnopis!$E$26:$J$26),0)</f>
        <v>0</v>
      </c>
      <c r="W3177" s="44">
        <f>IF(Mecze[[#This Row],[Role]]&lt;&gt;"BR",SUMPRODUCT(Mecze[[#This Row],[/PR:90]:[/BR:90]],Brudnopis!$E$27:$J$27),0)</f>
        <v>0</v>
      </c>
      <c r="X3177" s="44">
        <f>IF(Mecze[[#This Row],[Role]]&lt;&gt;"BR",SUMPRODUCT(Mecze[[#This Row],[/PR:90]:[/BR:90]],Brudnopis!$E$28:$J$28),0)</f>
        <v>0</v>
      </c>
      <c r="Y3177" s="35">
        <f>IF(Mecze[[#This Row],[Role]]="BR",Mecze[[#This Row],[/OB:90]]+Mecze[[#This Row],[/PC:90]],SUM(Mecze[[#This Row],[/PR:90]:[/BR:90]]))</f>
        <v>6.25E-2</v>
      </c>
      <c r="Z3177" s="35">
        <f>IF(Mecze[[#This Row],[KC]]=0,SUM(Mecze[[#This Row],[/BRI]:[/NPI]]),SUM(Mecze[[#This Row],[/BRI]:[/NPI]])*0.6)</f>
        <v>0.1875</v>
      </c>
      <c r="AA3177" s="10">
        <f>IFERROR(Mecze[[#This Row],[BR]]/Mecze[[#This Row],[ST]],0)</f>
        <v>0</v>
      </c>
      <c r="AB3177">
        <f>ROUND(Mecze[[#This Row],[PD]]*Mecze[[#This Row],[%PC]],0)</f>
        <v>4</v>
      </c>
      <c r="AC3177">
        <f>ROUND(Mecze[[#This Row],[OD]]*Mecze[[#This Row],[%OU]],0)</f>
        <v>0</v>
      </c>
      <c r="AD3177" s="36" t="s">
        <v>40</v>
      </c>
      <c r="AE3177" s="36">
        <v>178</v>
      </c>
      <c r="AF3177" s="71">
        <v>4.7300000000000004</v>
      </c>
      <c r="AG3177" s="37">
        <v>0</v>
      </c>
      <c r="AH3177" s="37">
        <v>0</v>
      </c>
      <c r="AI3177" s="37">
        <v>96</v>
      </c>
      <c r="AJ3177" s="37">
        <v>1</v>
      </c>
      <c r="AK3177" s="37" t="str">
        <f>VLOOKUP(Mecze[[#This Row],[Match ID]],Meczusie[Mecz]:Meczusie[RodzajMeczu],2,FALSE)</f>
        <v>Liga</v>
      </c>
    </row>
    <row r="3178" spans="1:37" x14ac:dyDescent="0.25">
      <c r="A3178" s="76">
        <v>18</v>
      </c>
      <c r="B3178" s="3" t="s">
        <v>211</v>
      </c>
      <c r="C3178" s="2" t="s">
        <v>157</v>
      </c>
      <c r="D3178" s="1">
        <v>0</v>
      </c>
      <c r="E3178" s="1">
        <v>0</v>
      </c>
      <c r="F3178" s="1">
        <v>0</v>
      </c>
      <c r="G3178" s="1">
        <v>6</v>
      </c>
      <c r="H3178" s="4">
        <v>0.67</v>
      </c>
      <c r="I3178" s="1">
        <v>2</v>
      </c>
      <c r="J3178" s="4">
        <v>1</v>
      </c>
      <c r="K3178" s="1">
        <v>0</v>
      </c>
      <c r="L3178" s="1">
        <v>4</v>
      </c>
      <c r="M3178" s="32">
        <f>IF(Mecze[[#This Row],[PR]]=0,0,Mecze[[#This Row],[PR]]/Mecze[[#This Row],[CZAS]])</f>
        <v>4.1666666666666664E-2</v>
      </c>
      <c r="N3178" s="32">
        <f>IF(Mecze[[#This Row],[OU]]=0,0,Mecze[[#This Row],[OU]]/Mecze[[#This Row],[CZAS]])</f>
        <v>2.0833333333333332E-2</v>
      </c>
      <c r="O3178" s="32">
        <f>IF(Mecze[[#This Row],[PC]]=0,0,Mecze[[#This Row],[PC]]/Mecze[[#This Row],[CZAS]])</f>
        <v>4.1666666666666664E-2</v>
      </c>
      <c r="P3178" s="32">
        <f>IF(Mecze[[#This Row],[SC]]=0,0,Mecze[[#This Row],[SC]]/Mecze[[#This Row],[CZAS]])</f>
        <v>0</v>
      </c>
      <c r="Q3178" s="32">
        <f>IF(Mecze[[#This Row],[OB]]=0,0,Mecze[[#This Row],[OB]]/Mecze[[#This Row],[CZAS]])</f>
        <v>0</v>
      </c>
      <c r="R3178" s="32">
        <f>IF(Mecze[[#This Row],[BR]]=0,0,Mecze[[#This Row],[BR]]/Mecze[[#This Row],[CZAS]])</f>
        <v>0</v>
      </c>
      <c r="S3178" s="44">
        <f>IF(Mecze[[#This Row],[Role]]="BR",SUMPRODUCT(Mecze[[#This Row],[/PR:90]:[/BR:90]],Brudnopis!$E$23:$J$23),0)</f>
        <v>0</v>
      </c>
      <c r="T3178" s="44">
        <f>IF(Mecze[[#This Row],[Role]]&lt;&gt;"BR",SUMPRODUCT(Mecze[[#This Row],[/PR:90]:[/BR:90]],Brudnopis!$E$24:$J$24),0)</f>
        <v>0.11458333333333331</v>
      </c>
      <c r="U3178" s="44">
        <f>IF(Mecze[[#This Row],[Role]]&lt;&gt;"BR",SUMPRODUCT(Mecze[[#This Row],[/PR:90]:[/BR:90]],Brudnopis!$E$25:$J$25),0)</f>
        <v>0.125</v>
      </c>
      <c r="V3178" s="44">
        <f>IF(Mecze[[#This Row],[Role]]&lt;&gt;"BR",SUMPRODUCT(Mecze[[#This Row],[/PR:90]:[/BR:90]],Brudnopis!$E$26:$J$26),0)</f>
        <v>0.10416666666666666</v>
      </c>
      <c r="W3178" s="44">
        <f>IF(Mecze[[#This Row],[Role]]&lt;&gt;"BR",SUMPRODUCT(Mecze[[#This Row],[/PR:90]:[/BR:90]],Brudnopis!$E$27:$J$27),0)</f>
        <v>0.109375</v>
      </c>
      <c r="X3178" s="44">
        <f>IF(Mecze[[#This Row],[Role]]&lt;&gt;"BR",SUMPRODUCT(Mecze[[#This Row],[/PR:90]:[/BR:90]],Brudnopis!$E$28:$J$28),0)</f>
        <v>4.1666666666666664E-2</v>
      </c>
      <c r="Y3178" s="35">
        <f>IF(Mecze[[#This Row],[Role]]="BR",Mecze[[#This Row],[/OB:90]]+Mecze[[#This Row],[/PC:90]],SUM(Mecze[[#This Row],[/PR:90]:[/BR:90]]))</f>
        <v>0.10416666666666666</v>
      </c>
      <c r="Z3178" s="35">
        <f>IF(Mecze[[#This Row],[KC]]=0,SUM(Mecze[[#This Row],[/BRI]:[/NPI]]),SUM(Mecze[[#This Row],[/BRI]:[/NPI]])*0.6)</f>
        <v>0.49479166666666669</v>
      </c>
      <c r="AA3178" s="10">
        <f>IFERROR(Mecze[[#This Row],[BR]]/Mecze[[#This Row],[ST]],0)</f>
        <v>0</v>
      </c>
      <c r="AB3178">
        <f>ROUND(Mecze[[#This Row],[PD]]*Mecze[[#This Row],[%PC]],0)</f>
        <v>4</v>
      </c>
      <c r="AC3178">
        <f>ROUND(Mecze[[#This Row],[OD]]*Mecze[[#This Row],[%OU]],0)</f>
        <v>2</v>
      </c>
      <c r="AD3178" s="36" t="s">
        <v>47</v>
      </c>
      <c r="AE3178" s="36">
        <v>178</v>
      </c>
      <c r="AF3178" s="71">
        <v>3.65</v>
      </c>
      <c r="AG3178" s="37">
        <v>0</v>
      </c>
      <c r="AH3178" s="37">
        <v>0</v>
      </c>
      <c r="AI3178" s="37">
        <v>96</v>
      </c>
      <c r="AJ3178" s="37">
        <v>1</v>
      </c>
      <c r="AK3178" s="37" t="str">
        <f>VLOOKUP(Mecze[[#This Row],[Match ID]],Meczusie[Mecz]:Meczusie[RodzajMeczu],2,FALSE)</f>
        <v>Liga</v>
      </c>
    </row>
    <row r="3179" spans="1:37" x14ac:dyDescent="0.25">
      <c r="A3179" s="76">
        <v>6</v>
      </c>
      <c r="B3179" s="3" t="s">
        <v>159</v>
      </c>
      <c r="C3179" s="2" t="s">
        <v>157</v>
      </c>
      <c r="D3179" s="1">
        <v>0</v>
      </c>
      <c r="E3179" s="1">
        <v>0</v>
      </c>
      <c r="F3179" s="1">
        <v>0</v>
      </c>
      <c r="G3179" s="1">
        <v>8</v>
      </c>
      <c r="H3179" s="4">
        <v>0.75</v>
      </c>
      <c r="I3179" s="1">
        <v>4</v>
      </c>
      <c r="J3179" s="4">
        <v>1</v>
      </c>
      <c r="K3179" s="1">
        <v>0</v>
      </c>
      <c r="L3179" s="1">
        <v>4</v>
      </c>
      <c r="M3179" s="32">
        <f>IF(Mecze[[#This Row],[PR]]=0,0,Mecze[[#This Row],[PR]]/Mecze[[#This Row],[CZAS]])</f>
        <v>4.1666666666666664E-2</v>
      </c>
      <c r="N3179" s="32">
        <f>IF(Mecze[[#This Row],[OU]]=0,0,Mecze[[#This Row],[OU]]/Mecze[[#This Row],[CZAS]])</f>
        <v>4.1666666666666664E-2</v>
      </c>
      <c r="O3179" s="32">
        <f>IF(Mecze[[#This Row],[PC]]=0,0,Mecze[[#This Row],[PC]]/Mecze[[#This Row],[CZAS]])</f>
        <v>6.25E-2</v>
      </c>
      <c r="P3179" s="32">
        <f>IF(Mecze[[#This Row],[SC]]=0,0,Mecze[[#This Row],[SC]]/Mecze[[#This Row],[CZAS]])</f>
        <v>0</v>
      </c>
      <c r="Q3179" s="32">
        <f>IF(Mecze[[#This Row],[OB]]=0,0,Mecze[[#This Row],[OB]]/Mecze[[#This Row],[CZAS]])</f>
        <v>0</v>
      </c>
      <c r="R3179" s="32">
        <f>IF(Mecze[[#This Row],[BR]]=0,0,Mecze[[#This Row],[BR]]/Mecze[[#This Row],[CZAS]])</f>
        <v>0</v>
      </c>
      <c r="S3179" s="44">
        <f>IF(Mecze[[#This Row],[Role]]="BR",SUMPRODUCT(Mecze[[#This Row],[/PR:90]:[/BR:90]],Brudnopis!$E$23:$J$23),0)</f>
        <v>0</v>
      </c>
      <c r="T3179" s="44">
        <f>IF(Mecze[[#This Row],[Role]]&lt;&gt;"BR",SUMPRODUCT(Mecze[[#This Row],[/PR:90]:[/BR:90]],Brudnopis!$E$24:$J$24),0)</f>
        <v>0.16666666666666666</v>
      </c>
      <c r="U3179" s="44">
        <f>IF(Mecze[[#This Row],[Role]]&lt;&gt;"BR",SUMPRODUCT(Mecze[[#This Row],[/PR:90]:[/BR:90]],Brudnopis!$E$25:$J$25),0)</f>
        <v>0.17708333333333331</v>
      </c>
      <c r="V3179" s="44">
        <f>IF(Mecze[[#This Row],[Role]]&lt;&gt;"BR",SUMPRODUCT(Mecze[[#This Row],[/PR:90]:[/BR:90]],Brudnopis!$E$26:$J$26),0)</f>
        <v>0.14583333333333331</v>
      </c>
      <c r="W3179" s="44">
        <f>IF(Mecze[[#This Row],[Role]]&lt;&gt;"BR",SUMPRODUCT(Mecze[[#This Row],[/PR:90]:[/BR:90]],Brudnopis!$E$27:$J$27),0)</f>
        <v>0.15625</v>
      </c>
      <c r="X3179" s="44">
        <f>IF(Mecze[[#This Row],[Role]]&lt;&gt;"BR",SUMPRODUCT(Mecze[[#This Row],[/PR:90]:[/BR:90]],Brudnopis!$E$28:$J$28),0)</f>
        <v>6.25E-2</v>
      </c>
      <c r="Y3179" s="35">
        <f>IF(Mecze[[#This Row],[Role]]="BR",Mecze[[#This Row],[/OB:90]]+Mecze[[#This Row],[/PC:90]],SUM(Mecze[[#This Row],[/PR:90]:[/BR:90]]))</f>
        <v>0.14583333333333331</v>
      </c>
      <c r="Z3179" s="35">
        <f>IF(Mecze[[#This Row],[KC]]=0,SUM(Mecze[[#This Row],[/BRI]:[/NPI]]),SUM(Mecze[[#This Row],[/BRI]:[/NPI]])*0.6)</f>
        <v>0.70833333333333326</v>
      </c>
      <c r="AA3179" s="10">
        <f>IFERROR(Mecze[[#This Row],[BR]]/Mecze[[#This Row],[ST]],0)</f>
        <v>0</v>
      </c>
      <c r="AB3179">
        <f>ROUND(Mecze[[#This Row],[PD]]*Mecze[[#This Row],[%PC]],0)</f>
        <v>6</v>
      </c>
      <c r="AC3179">
        <f>ROUND(Mecze[[#This Row],[OD]]*Mecze[[#This Row],[%OU]],0)</f>
        <v>4</v>
      </c>
      <c r="AD3179" s="36" t="s">
        <v>47</v>
      </c>
      <c r="AE3179" s="36">
        <v>178</v>
      </c>
      <c r="AF3179" s="71">
        <v>6.8</v>
      </c>
      <c r="AG3179" s="37">
        <v>0</v>
      </c>
      <c r="AH3179" s="37">
        <v>0</v>
      </c>
      <c r="AI3179" s="37">
        <v>96</v>
      </c>
      <c r="AJ3179" s="37">
        <v>1</v>
      </c>
      <c r="AK3179" s="37" t="str">
        <f>VLOOKUP(Mecze[[#This Row],[Match ID]],Meczusie[Mecz]:Meczusie[RodzajMeczu],2,FALSE)</f>
        <v>Liga</v>
      </c>
    </row>
    <row r="3180" spans="1:37" x14ac:dyDescent="0.25">
      <c r="A3180" s="76">
        <v>4</v>
      </c>
      <c r="B3180" s="3" t="s">
        <v>360</v>
      </c>
      <c r="C3180" s="2" t="s">
        <v>157</v>
      </c>
      <c r="D3180" s="1">
        <v>0</v>
      </c>
      <c r="E3180" s="1">
        <v>0</v>
      </c>
      <c r="F3180" s="1">
        <v>0</v>
      </c>
      <c r="G3180" s="1">
        <v>4</v>
      </c>
      <c r="H3180" s="4">
        <v>0.75</v>
      </c>
      <c r="I3180" s="1">
        <v>8</v>
      </c>
      <c r="J3180" s="4">
        <v>0.38</v>
      </c>
      <c r="K3180" s="1">
        <v>0</v>
      </c>
      <c r="L3180" s="1">
        <v>4</v>
      </c>
      <c r="M3180" s="32">
        <f>IF(Mecze[[#This Row],[PR]]=0,0,Mecze[[#This Row],[PR]]/Mecze[[#This Row],[CZAS]])</f>
        <v>4.1666666666666664E-2</v>
      </c>
      <c r="N3180" s="32">
        <f>IF(Mecze[[#This Row],[OU]]=0,0,Mecze[[#This Row],[OU]]/Mecze[[#This Row],[CZAS]])</f>
        <v>3.125E-2</v>
      </c>
      <c r="O3180" s="32">
        <f>IF(Mecze[[#This Row],[PC]]=0,0,Mecze[[#This Row],[PC]]/Mecze[[#This Row],[CZAS]])</f>
        <v>3.125E-2</v>
      </c>
      <c r="P3180" s="32">
        <f>IF(Mecze[[#This Row],[SC]]=0,0,Mecze[[#This Row],[SC]]/Mecze[[#This Row],[CZAS]])</f>
        <v>0</v>
      </c>
      <c r="Q3180" s="32">
        <f>IF(Mecze[[#This Row],[OB]]=0,0,Mecze[[#This Row],[OB]]/Mecze[[#This Row],[CZAS]])</f>
        <v>0</v>
      </c>
      <c r="R3180" s="32">
        <f>IF(Mecze[[#This Row],[BR]]=0,0,Mecze[[#This Row],[BR]]/Mecze[[#This Row],[CZAS]])</f>
        <v>0</v>
      </c>
      <c r="S3180" s="44">
        <f>IF(Mecze[[#This Row],[Role]]="BR",SUMPRODUCT(Mecze[[#This Row],[/PR:90]:[/BR:90]],Brudnopis!$E$23:$J$23),0)</f>
        <v>0</v>
      </c>
      <c r="T3180" s="44">
        <f>IF(Mecze[[#This Row],[Role]]&lt;&gt;"BR",SUMPRODUCT(Mecze[[#This Row],[/PR:90]:[/BR:90]],Brudnopis!$E$24:$J$24),0)</f>
        <v>0.11979166666666666</v>
      </c>
      <c r="U3180" s="44">
        <f>IF(Mecze[[#This Row],[Role]]&lt;&gt;"BR",SUMPRODUCT(Mecze[[#This Row],[/PR:90]:[/BR:90]],Brudnopis!$E$25:$J$25),0)</f>
        <v>0.11979166666666666</v>
      </c>
      <c r="V3180" s="44">
        <f>IF(Mecze[[#This Row],[Role]]&lt;&gt;"BR",SUMPRODUCT(Mecze[[#This Row],[/PR:90]:[/BR:90]],Brudnopis!$E$26:$J$26),0)</f>
        <v>0.10416666666666666</v>
      </c>
      <c r="W3180" s="44">
        <f>IF(Mecze[[#This Row],[Role]]&lt;&gt;"BR",SUMPRODUCT(Mecze[[#This Row],[/PR:90]:[/BR:90]],Brudnopis!$E$27:$J$27),0)</f>
        <v>0.1015625</v>
      </c>
      <c r="X3180" s="44">
        <f>IF(Mecze[[#This Row],[Role]]&lt;&gt;"BR",SUMPRODUCT(Mecze[[#This Row],[/PR:90]:[/BR:90]],Brudnopis!$E$28:$J$28),0)</f>
        <v>3.125E-2</v>
      </c>
      <c r="Y3180" s="35">
        <f>IF(Mecze[[#This Row],[Role]]="BR",Mecze[[#This Row],[/OB:90]]+Mecze[[#This Row],[/PC:90]],SUM(Mecze[[#This Row],[/PR:90]:[/BR:90]]))</f>
        <v>0.10416666666666666</v>
      </c>
      <c r="Z3180" s="35">
        <f>IF(Mecze[[#This Row],[KC]]=0,SUM(Mecze[[#This Row],[/BRI]:[/NPI]]),SUM(Mecze[[#This Row],[/BRI]:[/NPI]])*0.6)</f>
        <v>0.4765625</v>
      </c>
      <c r="AA3180" s="10">
        <f>IFERROR(Mecze[[#This Row],[BR]]/Mecze[[#This Row],[ST]],0)</f>
        <v>0</v>
      </c>
      <c r="AB3180">
        <f>ROUND(Mecze[[#This Row],[PD]]*Mecze[[#This Row],[%PC]],0)</f>
        <v>3</v>
      </c>
      <c r="AC3180">
        <f>ROUND(Mecze[[#This Row],[OD]]*Mecze[[#This Row],[%OU]],0)</f>
        <v>3</v>
      </c>
      <c r="AD3180" s="36" t="s">
        <v>175</v>
      </c>
      <c r="AE3180" s="36">
        <v>178</v>
      </c>
      <c r="AF3180" s="71">
        <v>3.65</v>
      </c>
      <c r="AG3180" s="37">
        <v>0</v>
      </c>
      <c r="AH3180" s="37">
        <v>0</v>
      </c>
      <c r="AI3180" s="37">
        <v>96</v>
      </c>
      <c r="AJ3180" s="37">
        <v>1</v>
      </c>
      <c r="AK3180" s="37" t="str">
        <f>VLOOKUP(Mecze[[#This Row],[Match ID]],Meczusie[Mecz]:Meczusie[RodzajMeczu],2,FALSE)</f>
        <v>Liga</v>
      </c>
    </row>
    <row r="3181" spans="1:37" x14ac:dyDescent="0.25">
      <c r="A3181" s="76">
        <v>3</v>
      </c>
      <c r="B3181" s="3" t="s">
        <v>158</v>
      </c>
      <c r="C3181" s="2" t="s">
        <v>157</v>
      </c>
      <c r="D3181" s="1">
        <v>0</v>
      </c>
      <c r="E3181" s="1">
        <v>0</v>
      </c>
      <c r="F3181" s="1">
        <v>0</v>
      </c>
      <c r="G3181" s="1">
        <v>2</v>
      </c>
      <c r="H3181" s="4">
        <v>0.5</v>
      </c>
      <c r="I3181" s="1">
        <v>10</v>
      </c>
      <c r="J3181" s="4">
        <v>0.2</v>
      </c>
      <c r="K3181" s="1">
        <v>0</v>
      </c>
      <c r="L3181" s="1">
        <v>6</v>
      </c>
      <c r="M3181" s="32">
        <f>IF(Mecze[[#This Row],[PR]]=0,0,Mecze[[#This Row],[PR]]/Mecze[[#This Row],[CZAS]])</f>
        <v>6.25E-2</v>
      </c>
      <c r="N3181" s="32">
        <f>IF(Mecze[[#This Row],[OU]]=0,0,Mecze[[#This Row],[OU]]/Mecze[[#This Row],[CZAS]])</f>
        <v>2.0833333333333332E-2</v>
      </c>
      <c r="O3181" s="32">
        <f>IF(Mecze[[#This Row],[PC]]=0,0,Mecze[[#This Row],[PC]]/Mecze[[#This Row],[CZAS]])</f>
        <v>1.0416666666666666E-2</v>
      </c>
      <c r="P3181" s="32">
        <f>IF(Mecze[[#This Row],[SC]]=0,0,Mecze[[#This Row],[SC]]/Mecze[[#This Row],[CZAS]])</f>
        <v>0</v>
      </c>
      <c r="Q3181" s="32">
        <f>IF(Mecze[[#This Row],[OB]]=0,0,Mecze[[#This Row],[OB]]/Mecze[[#This Row],[CZAS]])</f>
        <v>0</v>
      </c>
      <c r="R3181" s="32">
        <f>IF(Mecze[[#This Row],[BR]]=0,0,Mecze[[#This Row],[BR]]/Mecze[[#This Row],[CZAS]])</f>
        <v>0</v>
      </c>
      <c r="S3181" s="44">
        <f>IF(Mecze[[#This Row],[Role]]="BR",SUMPRODUCT(Mecze[[#This Row],[/PR:90]:[/BR:90]],Brudnopis!$E$23:$J$23),0)</f>
        <v>0</v>
      </c>
      <c r="T3181" s="44">
        <f>IF(Mecze[[#This Row],[Role]]&lt;&gt;"BR",SUMPRODUCT(Mecze[[#This Row],[/PR:90]:[/BR:90]],Brudnopis!$E$24:$J$24),0)</f>
        <v>0.10416666666666667</v>
      </c>
      <c r="U3181" s="44">
        <f>IF(Mecze[[#This Row],[Role]]&lt;&gt;"BR",SUMPRODUCT(Mecze[[#This Row],[/PR:90]:[/BR:90]],Brudnopis!$E$25:$J$25),0)</f>
        <v>9.8958333333333329E-2</v>
      </c>
      <c r="V3181" s="44">
        <f>IF(Mecze[[#This Row],[Role]]&lt;&gt;"BR",SUMPRODUCT(Mecze[[#This Row],[/PR:90]:[/BR:90]],Brudnopis!$E$26:$J$26),0)</f>
        <v>9.375E-2</v>
      </c>
      <c r="W3181" s="44">
        <f>IF(Mecze[[#This Row],[Role]]&lt;&gt;"BR",SUMPRODUCT(Mecze[[#This Row],[/PR:90]:[/BR:90]],Brudnopis!$E$27:$J$27),0)</f>
        <v>7.8125E-2</v>
      </c>
      <c r="X3181" s="44">
        <f>IF(Mecze[[#This Row],[Role]]&lt;&gt;"BR",SUMPRODUCT(Mecze[[#This Row],[/PR:90]:[/BR:90]],Brudnopis!$E$28:$J$28),0)</f>
        <v>1.0416666666666666E-2</v>
      </c>
      <c r="Y3181" s="35">
        <f>IF(Mecze[[#This Row],[Role]]="BR",Mecze[[#This Row],[/OB:90]]+Mecze[[#This Row],[/PC:90]],SUM(Mecze[[#This Row],[/PR:90]:[/BR:90]]))</f>
        <v>9.375E-2</v>
      </c>
      <c r="Z3181" s="35">
        <f>IF(Mecze[[#This Row],[KC]]=0,SUM(Mecze[[#This Row],[/BRI]:[/NPI]]),SUM(Mecze[[#This Row],[/BRI]:[/NPI]])*0.6)</f>
        <v>0.38541666666666669</v>
      </c>
      <c r="AA3181" s="10">
        <f>IFERROR(Mecze[[#This Row],[BR]]/Mecze[[#This Row],[ST]],0)</f>
        <v>0</v>
      </c>
      <c r="AB3181">
        <f>ROUND(Mecze[[#This Row],[PD]]*Mecze[[#This Row],[%PC]],0)</f>
        <v>1</v>
      </c>
      <c r="AC3181">
        <f>ROUND(Mecze[[#This Row],[OD]]*Mecze[[#This Row],[%OU]],0)</f>
        <v>2</v>
      </c>
      <c r="AD3181" s="36" t="s">
        <v>174</v>
      </c>
      <c r="AE3181" s="36">
        <v>178</v>
      </c>
      <c r="AF3181" s="71">
        <v>2.96</v>
      </c>
      <c r="AG3181" s="37">
        <v>1</v>
      </c>
      <c r="AH3181" s="37">
        <v>0</v>
      </c>
      <c r="AI3181" s="37">
        <v>96</v>
      </c>
      <c r="AJ3181" s="37">
        <v>1</v>
      </c>
      <c r="AK3181" s="37" t="str">
        <f>VLOOKUP(Mecze[[#This Row],[Match ID]],Meczusie[Mecz]:Meczusie[RodzajMeczu],2,FALSE)</f>
        <v>Liga</v>
      </c>
    </row>
    <row r="3182" spans="1:37" x14ac:dyDescent="0.25">
      <c r="A3182" s="76">
        <v>13</v>
      </c>
      <c r="B3182" s="3" t="s">
        <v>162</v>
      </c>
      <c r="C3182" s="2" t="s">
        <v>160</v>
      </c>
      <c r="D3182" s="1">
        <v>0</v>
      </c>
      <c r="E3182" s="1">
        <v>1</v>
      </c>
      <c r="F3182" s="1">
        <v>1</v>
      </c>
      <c r="G3182" s="1">
        <v>16</v>
      </c>
      <c r="H3182" s="4">
        <v>0.44</v>
      </c>
      <c r="I3182" s="1">
        <v>9</v>
      </c>
      <c r="J3182" s="4">
        <v>0.89</v>
      </c>
      <c r="K3182" s="1">
        <v>0</v>
      </c>
      <c r="L3182" s="1">
        <v>3</v>
      </c>
      <c r="M3182" s="32">
        <f>IF(Mecze[[#This Row],[PR]]=0,0,Mecze[[#This Row],[PR]]/Mecze[[#This Row],[CZAS]])</f>
        <v>3.125E-2</v>
      </c>
      <c r="N3182" s="32">
        <f>IF(Mecze[[#This Row],[OU]]=0,0,Mecze[[#This Row],[OU]]/Mecze[[#This Row],[CZAS]])</f>
        <v>8.3333333333333329E-2</v>
      </c>
      <c r="O3182" s="32">
        <f>IF(Mecze[[#This Row],[PC]]=0,0,Mecze[[#This Row],[PC]]/Mecze[[#This Row],[CZAS]])</f>
        <v>7.2916666666666671E-2</v>
      </c>
      <c r="P3182" s="32">
        <f>IF(Mecze[[#This Row],[SC]]=0,0,Mecze[[#This Row],[SC]]/Mecze[[#This Row],[CZAS]])</f>
        <v>1.0416666666666666E-2</v>
      </c>
      <c r="Q3182" s="32">
        <f>IF(Mecze[[#This Row],[OB]]=0,0,Mecze[[#This Row],[OB]]/Mecze[[#This Row],[CZAS]])</f>
        <v>0</v>
      </c>
      <c r="R3182" s="32">
        <f>IF(Mecze[[#This Row],[BR]]=0,0,Mecze[[#This Row],[BR]]/Mecze[[#This Row],[CZAS]])</f>
        <v>0</v>
      </c>
      <c r="S3182" s="44">
        <f>IF(Mecze[[#This Row],[Role]]="BR",SUMPRODUCT(Mecze[[#This Row],[/PR:90]:[/BR:90]],Brudnopis!$E$23:$J$23),0)</f>
        <v>0</v>
      </c>
      <c r="T3182" s="44">
        <f>IF(Mecze[[#This Row],[Role]]&lt;&gt;"BR",SUMPRODUCT(Mecze[[#This Row],[/PR:90]:[/BR:90]],Brudnopis!$E$24:$J$24),0)</f>
        <v>0.23958333333333334</v>
      </c>
      <c r="U3182" s="44">
        <f>IF(Mecze[[#This Row],[Role]]&lt;&gt;"BR",SUMPRODUCT(Mecze[[#This Row],[/PR:90]:[/BR:90]],Brudnopis!$E$25:$J$25),0)</f>
        <v>0.23437499999999997</v>
      </c>
      <c r="V3182" s="44">
        <f>IF(Mecze[[#This Row],[Role]]&lt;&gt;"BR",SUMPRODUCT(Mecze[[#This Row],[/PR:90]:[/BR:90]],Brudnopis!$E$26:$J$26),0)</f>
        <v>0.19791666666666666</v>
      </c>
      <c r="W3182" s="44">
        <f>IF(Mecze[[#This Row],[Role]]&lt;&gt;"BR",SUMPRODUCT(Mecze[[#This Row],[/PR:90]:[/BR:90]],Brudnopis!$E$27:$J$27),0)</f>
        <v>0.20572916666666666</v>
      </c>
      <c r="X3182" s="44">
        <f>IF(Mecze[[#This Row],[Role]]&lt;&gt;"BR",SUMPRODUCT(Mecze[[#This Row],[/PR:90]:[/BR:90]],Brudnopis!$E$28:$J$28),0)</f>
        <v>9.375E-2</v>
      </c>
      <c r="Y3182" s="35">
        <f>IF(Mecze[[#This Row],[Role]]="BR",Mecze[[#This Row],[/OB:90]]+Mecze[[#This Row],[/PC:90]],SUM(Mecze[[#This Row],[/PR:90]:[/BR:90]]))</f>
        <v>0.19791666666666666</v>
      </c>
      <c r="Z3182" s="35">
        <f>IF(Mecze[[#This Row],[KC]]=0,SUM(Mecze[[#This Row],[/BRI]:[/NPI]]),SUM(Mecze[[#This Row],[/BRI]:[/NPI]])*0.6)</f>
        <v>0.97135416666666663</v>
      </c>
      <c r="AA3182" s="10">
        <f>IFERROR(Mecze[[#This Row],[BR]]/Mecze[[#This Row],[ST]],0)</f>
        <v>0</v>
      </c>
      <c r="AB3182">
        <f>ROUND(Mecze[[#This Row],[PD]]*Mecze[[#This Row],[%PC]],0)</f>
        <v>7</v>
      </c>
      <c r="AC3182">
        <f>ROUND(Mecze[[#This Row],[OD]]*Mecze[[#This Row],[%OU]],0)</f>
        <v>8</v>
      </c>
      <c r="AD3182" s="36" t="s">
        <v>41</v>
      </c>
      <c r="AE3182" s="36">
        <v>178</v>
      </c>
      <c r="AF3182" s="71">
        <v>4.78</v>
      </c>
      <c r="AG3182" s="37">
        <v>0</v>
      </c>
      <c r="AH3182" s="37">
        <v>0</v>
      </c>
      <c r="AI3182" s="37">
        <v>96</v>
      </c>
      <c r="AJ3182" s="37">
        <v>1</v>
      </c>
      <c r="AK3182" s="37" t="str">
        <f>VLOOKUP(Mecze[[#This Row],[Match ID]],Meczusie[Mecz]:Meczusie[RodzajMeczu],2,FALSE)</f>
        <v>Liga</v>
      </c>
    </row>
    <row r="3183" spans="1:37" x14ac:dyDescent="0.25">
      <c r="A3183" s="76">
        <v>17</v>
      </c>
      <c r="B3183" s="3" t="s">
        <v>413</v>
      </c>
      <c r="C3183" s="2" t="s">
        <v>160</v>
      </c>
      <c r="D3183" s="1">
        <v>0</v>
      </c>
      <c r="E3183" s="1">
        <v>0</v>
      </c>
      <c r="F3183" s="1">
        <v>0</v>
      </c>
      <c r="G3183" s="1">
        <v>17</v>
      </c>
      <c r="H3183" s="4">
        <v>0.76</v>
      </c>
      <c r="I3183" s="1">
        <v>6</v>
      </c>
      <c r="J3183" s="4">
        <v>0.67</v>
      </c>
      <c r="K3183" s="1">
        <v>0</v>
      </c>
      <c r="L3183" s="1">
        <v>6</v>
      </c>
      <c r="M3183" s="32">
        <f>IF(Mecze[[#This Row],[PR]]=0,0,Mecze[[#This Row],[PR]]/Mecze[[#This Row],[CZAS]])</f>
        <v>6.25E-2</v>
      </c>
      <c r="N3183" s="32">
        <f>IF(Mecze[[#This Row],[OU]]=0,0,Mecze[[#This Row],[OU]]/Mecze[[#This Row],[CZAS]])</f>
        <v>4.1666666666666664E-2</v>
      </c>
      <c r="O3183" s="32">
        <f>IF(Mecze[[#This Row],[PC]]=0,0,Mecze[[#This Row],[PC]]/Mecze[[#This Row],[CZAS]])</f>
        <v>0.13541666666666666</v>
      </c>
      <c r="P3183" s="32">
        <f>IF(Mecze[[#This Row],[SC]]=0,0,Mecze[[#This Row],[SC]]/Mecze[[#This Row],[CZAS]])</f>
        <v>0</v>
      </c>
      <c r="Q3183" s="32">
        <f>IF(Mecze[[#This Row],[OB]]=0,0,Mecze[[#This Row],[OB]]/Mecze[[#This Row],[CZAS]])</f>
        <v>0</v>
      </c>
      <c r="R3183" s="32">
        <f>IF(Mecze[[#This Row],[BR]]=0,0,Mecze[[#This Row],[BR]]/Mecze[[#This Row],[CZAS]])</f>
        <v>0</v>
      </c>
      <c r="S3183" s="44">
        <f>IF(Mecze[[#This Row],[Role]]="BR",SUMPRODUCT(Mecze[[#This Row],[/PR:90]:[/BR:90]],Brudnopis!$E$23:$J$23),0)</f>
        <v>0</v>
      </c>
      <c r="T3183" s="44">
        <f>IF(Mecze[[#This Row],[Role]]&lt;&gt;"BR",SUMPRODUCT(Mecze[[#This Row],[/PR:90]:[/BR:90]],Brudnopis!$E$24:$J$24),0)</f>
        <v>0.26041666666666663</v>
      </c>
      <c r="U3183" s="44">
        <f>IF(Mecze[[#This Row],[Role]]&lt;&gt;"BR",SUMPRODUCT(Mecze[[#This Row],[/PR:90]:[/BR:90]],Brudnopis!$E$25:$J$25),0)</f>
        <v>0.30729166666666663</v>
      </c>
      <c r="V3183" s="44">
        <f>IF(Mecze[[#This Row],[Role]]&lt;&gt;"BR",SUMPRODUCT(Mecze[[#This Row],[/PR:90]:[/BR:90]],Brudnopis!$E$26:$J$26),0)</f>
        <v>0.23958333333333331</v>
      </c>
      <c r="W3183" s="44">
        <f>IF(Mecze[[#This Row],[Role]]&lt;&gt;"BR",SUMPRODUCT(Mecze[[#This Row],[/PR:90]:[/BR:90]],Brudnopis!$E$27:$J$27),0)</f>
        <v>0.28125</v>
      </c>
      <c r="X3183" s="44">
        <f>IF(Mecze[[#This Row],[Role]]&lt;&gt;"BR",SUMPRODUCT(Mecze[[#This Row],[/PR:90]:[/BR:90]],Brudnopis!$E$28:$J$28),0)</f>
        <v>0.13541666666666666</v>
      </c>
      <c r="Y3183" s="35">
        <f>IF(Mecze[[#This Row],[Role]]="BR",Mecze[[#This Row],[/OB:90]]+Mecze[[#This Row],[/PC:90]],SUM(Mecze[[#This Row],[/PR:90]:[/BR:90]]))</f>
        <v>0.23958333333333331</v>
      </c>
      <c r="Z3183" s="35">
        <f>IF(Mecze[[#This Row],[KC]]=0,SUM(Mecze[[#This Row],[/BRI]:[/NPI]]),SUM(Mecze[[#This Row],[/BRI]:[/NPI]])*0.6)</f>
        <v>1.2239583333333333</v>
      </c>
      <c r="AA3183" s="10">
        <f>IFERROR(Mecze[[#This Row],[BR]]/Mecze[[#This Row],[ST]],0)</f>
        <v>0</v>
      </c>
      <c r="AB3183">
        <f>ROUND(Mecze[[#This Row],[PD]]*Mecze[[#This Row],[%PC]],0)</f>
        <v>13</v>
      </c>
      <c r="AC3183">
        <f>ROUND(Mecze[[#This Row],[OD]]*Mecze[[#This Row],[%OU]],0)</f>
        <v>4</v>
      </c>
      <c r="AD3183" s="36" t="s">
        <v>41</v>
      </c>
      <c r="AE3183" s="36">
        <v>178</v>
      </c>
      <c r="AF3183" s="71">
        <v>6.39</v>
      </c>
      <c r="AG3183" s="37">
        <v>0</v>
      </c>
      <c r="AH3183" s="37">
        <v>0</v>
      </c>
      <c r="AI3183" s="37">
        <v>96</v>
      </c>
      <c r="AJ3183" s="37">
        <v>1</v>
      </c>
      <c r="AK3183" s="37" t="str">
        <f>VLOOKUP(Mecze[[#This Row],[Match ID]],Meczusie[Mecz]:Meczusie[RodzajMeczu],2,FALSE)</f>
        <v>Liga</v>
      </c>
    </row>
    <row r="3184" spans="1:37" x14ac:dyDescent="0.25">
      <c r="A3184" s="76">
        <v>15</v>
      </c>
      <c r="B3184" s="3" t="s">
        <v>170</v>
      </c>
      <c r="C3184" s="2" t="s">
        <v>160</v>
      </c>
      <c r="D3184" s="1">
        <v>0</v>
      </c>
      <c r="E3184" s="1">
        <v>3</v>
      </c>
      <c r="F3184" s="1">
        <v>3</v>
      </c>
      <c r="G3184" s="1">
        <v>7</v>
      </c>
      <c r="H3184" s="4">
        <v>0.56999999999999995</v>
      </c>
      <c r="I3184" s="1">
        <v>8</v>
      </c>
      <c r="J3184" s="4">
        <v>0.25</v>
      </c>
      <c r="K3184" s="1">
        <v>0</v>
      </c>
      <c r="L3184" s="1">
        <v>3</v>
      </c>
      <c r="M3184" s="32">
        <f>IF(Mecze[[#This Row],[PR]]=0,0,Mecze[[#This Row],[PR]]/Mecze[[#This Row],[CZAS]])</f>
        <v>3.125E-2</v>
      </c>
      <c r="N3184" s="32">
        <f>IF(Mecze[[#This Row],[OU]]=0,0,Mecze[[#This Row],[OU]]/Mecze[[#This Row],[CZAS]])</f>
        <v>2.0833333333333332E-2</v>
      </c>
      <c r="O3184" s="32">
        <f>IF(Mecze[[#This Row],[PC]]=0,0,Mecze[[#This Row],[PC]]/Mecze[[#This Row],[CZAS]])</f>
        <v>4.1666666666666664E-2</v>
      </c>
      <c r="P3184" s="32">
        <f>IF(Mecze[[#This Row],[SC]]=0,0,Mecze[[#This Row],[SC]]/Mecze[[#This Row],[CZAS]])</f>
        <v>3.125E-2</v>
      </c>
      <c r="Q3184" s="32">
        <f>IF(Mecze[[#This Row],[OB]]=0,0,Mecze[[#This Row],[OB]]/Mecze[[#This Row],[CZAS]])</f>
        <v>0</v>
      </c>
      <c r="R3184" s="32">
        <f>IF(Mecze[[#This Row],[BR]]=0,0,Mecze[[#This Row],[BR]]/Mecze[[#This Row],[CZAS]])</f>
        <v>0</v>
      </c>
      <c r="S3184" s="44">
        <f>IF(Mecze[[#This Row],[Role]]="BR",SUMPRODUCT(Mecze[[#This Row],[/PR:90]:[/BR:90]],Brudnopis!$E$23:$J$23),0)</f>
        <v>0</v>
      </c>
      <c r="T3184" s="44">
        <f>IF(Mecze[[#This Row],[Role]]&lt;&gt;"BR",SUMPRODUCT(Mecze[[#This Row],[/PR:90]:[/BR:90]],Brudnopis!$E$24:$J$24),0)</f>
        <v>0.13541666666666666</v>
      </c>
      <c r="U3184" s="44">
        <f>IF(Mecze[[#This Row],[Role]]&lt;&gt;"BR",SUMPRODUCT(Mecze[[#This Row],[/PR:90]:[/BR:90]],Brudnopis!$E$25:$J$25),0)</f>
        <v>0.14583333333333331</v>
      </c>
      <c r="V3184" s="44">
        <f>IF(Mecze[[#This Row],[Role]]&lt;&gt;"BR",SUMPRODUCT(Mecze[[#This Row],[/PR:90]:[/BR:90]],Brudnopis!$E$26:$J$26),0)</f>
        <v>0.125</v>
      </c>
      <c r="W3184" s="44">
        <f>IF(Mecze[[#This Row],[Role]]&lt;&gt;"BR",SUMPRODUCT(Mecze[[#This Row],[/PR:90]:[/BR:90]],Brudnopis!$E$27:$J$27),0)</f>
        <v>0.1328125</v>
      </c>
      <c r="X3184" s="44">
        <f>IF(Mecze[[#This Row],[Role]]&lt;&gt;"BR",SUMPRODUCT(Mecze[[#This Row],[/PR:90]:[/BR:90]],Brudnopis!$E$28:$J$28),0)</f>
        <v>0.10416666666666666</v>
      </c>
      <c r="Y3184" s="35">
        <f>IF(Mecze[[#This Row],[Role]]="BR",Mecze[[#This Row],[/OB:90]]+Mecze[[#This Row],[/PC:90]],SUM(Mecze[[#This Row],[/PR:90]:[/BR:90]]))</f>
        <v>0.125</v>
      </c>
      <c r="Z3184" s="35">
        <f>IF(Mecze[[#This Row],[KC]]=0,SUM(Mecze[[#This Row],[/BRI]:[/NPI]]),SUM(Mecze[[#This Row],[/BRI]:[/NPI]])*0.6)</f>
        <v>0.64322916666666663</v>
      </c>
      <c r="AA3184" s="10">
        <f>IFERROR(Mecze[[#This Row],[BR]]/Mecze[[#This Row],[ST]],0)</f>
        <v>0</v>
      </c>
      <c r="AB3184">
        <f>ROUND(Mecze[[#This Row],[PD]]*Mecze[[#This Row],[%PC]],0)</f>
        <v>4</v>
      </c>
      <c r="AC3184">
        <f>ROUND(Mecze[[#This Row],[OD]]*Mecze[[#This Row],[%OU]],0)</f>
        <v>2</v>
      </c>
      <c r="AD3184" s="36" t="s">
        <v>67</v>
      </c>
      <c r="AE3184" s="36">
        <v>178</v>
      </c>
      <c r="AF3184" s="71">
        <v>6.45</v>
      </c>
      <c r="AG3184" s="37">
        <v>0</v>
      </c>
      <c r="AH3184" s="37">
        <v>0</v>
      </c>
      <c r="AI3184" s="37">
        <v>96</v>
      </c>
      <c r="AJ3184" s="37">
        <v>1</v>
      </c>
      <c r="AK3184" s="37" t="str">
        <f>VLOOKUP(Mecze[[#This Row],[Match ID]],Meczusie[Mecz]:Meczusie[RodzajMeczu],2,FALSE)</f>
        <v>Liga</v>
      </c>
    </row>
    <row r="3185" spans="1:37" x14ac:dyDescent="0.25">
      <c r="A3185" s="76">
        <v>19</v>
      </c>
      <c r="B3185" s="3" t="s">
        <v>166</v>
      </c>
      <c r="C3185" s="2" t="s">
        <v>165</v>
      </c>
      <c r="D3185" s="1">
        <v>0</v>
      </c>
      <c r="E3185" s="1">
        <v>0</v>
      </c>
      <c r="F3185" s="1">
        <v>0</v>
      </c>
      <c r="G3185" s="1">
        <v>4</v>
      </c>
      <c r="H3185" s="4">
        <v>0.75</v>
      </c>
      <c r="I3185" s="1">
        <v>3</v>
      </c>
      <c r="J3185" s="4">
        <v>0.33</v>
      </c>
      <c r="K3185" s="1">
        <v>0</v>
      </c>
      <c r="L3185" s="1">
        <v>0</v>
      </c>
      <c r="M3185" s="32">
        <f>IF(Mecze[[#This Row],[PR]]=0,0,Mecze[[#This Row],[PR]]/Mecze[[#This Row],[CZAS]])</f>
        <v>0</v>
      </c>
      <c r="N3185" s="32">
        <f>IF(Mecze[[#This Row],[OU]]=0,0,Mecze[[#This Row],[OU]]/Mecze[[#This Row],[CZAS]])</f>
        <v>1.0416666666666666E-2</v>
      </c>
      <c r="O3185" s="32">
        <f>IF(Mecze[[#This Row],[PC]]=0,0,Mecze[[#This Row],[PC]]/Mecze[[#This Row],[CZAS]])</f>
        <v>3.125E-2</v>
      </c>
      <c r="P3185" s="32">
        <f>IF(Mecze[[#This Row],[SC]]=0,0,Mecze[[#This Row],[SC]]/Mecze[[#This Row],[CZAS]])</f>
        <v>0</v>
      </c>
      <c r="Q3185" s="32">
        <f>IF(Mecze[[#This Row],[OB]]=0,0,Mecze[[#This Row],[OB]]/Mecze[[#This Row],[CZAS]])</f>
        <v>0</v>
      </c>
      <c r="R3185" s="32">
        <f>IF(Mecze[[#This Row],[BR]]=0,0,Mecze[[#This Row],[BR]]/Mecze[[#This Row],[CZAS]])</f>
        <v>0</v>
      </c>
      <c r="S3185" s="44">
        <f>IF(Mecze[[#This Row],[Role]]="BR",SUMPRODUCT(Mecze[[#This Row],[/PR:90]:[/BR:90]],Brudnopis!$E$23:$J$23),0)</f>
        <v>0</v>
      </c>
      <c r="T3185" s="44">
        <f>IF(Mecze[[#This Row],[Role]]&lt;&gt;"BR",SUMPRODUCT(Mecze[[#This Row],[/PR:90]:[/BR:90]],Brudnopis!$E$24:$J$24),0)</f>
        <v>4.6875E-2</v>
      </c>
      <c r="U3185" s="44">
        <f>IF(Mecze[[#This Row],[Role]]&lt;&gt;"BR",SUMPRODUCT(Mecze[[#This Row],[/PR:90]:[/BR:90]],Brudnopis!$E$25:$J$25),0)</f>
        <v>5.7291666666666664E-2</v>
      </c>
      <c r="V3185" s="44">
        <f>IF(Mecze[[#This Row],[Role]]&lt;&gt;"BR",SUMPRODUCT(Mecze[[#This Row],[/PR:90]:[/BR:90]],Brudnopis!$E$26:$J$26),0)</f>
        <v>4.1666666666666664E-2</v>
      </c>
      <c r="W3185" s="44">
        <f>IF(Mecze[[#This Row],[Role]]&lt;&gt;"BR",SUMPRODUCT(Mecze[[#This Row],[/PR:90]:[/BR:90]],Brudnopis!$E$27:$J$27),0)</f>
        <v>5.46875E-2</v>
      </c>
      <c r="X3185" s="44">
        <f>IF(Mecze[[#This Row],[Role]]&lt;&gt;"BR",SUMPRODUCT(Mecze[[#This Row],[/PR:90]:[/BR:90]],Brudnopis!$E$28:$J$28),0)</f>
        <v>3.125E-2</v>
      </c>
      <c r="Y3185" s="35">
        <f>IF(Mecze[[#This Row],[Role]]="BR",Mecze[[#This Row],[/OB:90]]+Mecze[[#This Row],[/PC:90]],SUM(Mecze[[#This Row],[/PR:90]:[/BR:90]]))</f>
        <v>4.1666666666666664E-2</v>
      </c>
      <c r="Z3185" s="35">
        <f>IF(Mecze[[#This Row],[KC]]=0,SUM(Mecze[[#This Row],[/BRI]:[/NPI]]),SUM(Mecze[[#This Row],[/BRI]:[/NPI]])*0.6)</f>
        <v>0.23177083333333331</v>
      </c>
      <c r="AA3185" s="10">
        <f>IFERROR(Mecze[[#This Row],[BR]]/Mecze[[#This Row],[ST]],0)</f>
        <v>0</v>
      </c>
      <c r="AB3185">
        <f>ROUND(Mecze[[#This Row],[PD]]*Mecze[[#This Row],[%PC]],0)</f>
        <v>3</v>
      </c>
      <c r="AC3185">
        <f>ROUND(Mecze[[#This Row],[OD]]*Mecze[[#This Row],[%OU]],0)</f>
        <v>1</v>
      </c>
      <c r="AD3185" s="36" t="s">
        <v>46</v>
      </c>
      <c r="AE3185" s="36">
        <v>178</v>
      </c>
      <c r="AF3185" s="71">
        <v>3.93</v>
      </c>
      <c r="AG3185" s="37">
        <v>0</v>
      </c>
      <c r="AH3185" s="37">
        <v>0</v>
      </c>
      <c r="AI3185" s="37">
        <v>96</v>
      </c>
      <c r="AJ3185" s="37">
        <v>1</v>
      </c>
      <c r="AK3185" s="37" t="str">
        <f>VLOOKUP(Mecze[[#This Row],[Match ID]],Meczusie[Mecz]:Meczusie[RodzajMeczu],2,FALSE)</f>
        <v>Liga</v>
      </c>
    </row>
    <row r="3186" spans="1:37" x14ac:dyDescent="0.25">
      <c r="A3186" s="76">
        <v>14</v>
      </c>
      <c r="B3186" s="3" t="s">
        <v>164</v>
      </c>
      <c r="C3186" s="2" t="s">
        <v>165</v>
      </c>
      <c r="D3186" s="1">
        <v>2</v>
      </c>
      <c r="E3186" s="1">
        <v>8</v>
      </c>
      <c r="F3186" s="1">
        <v>7</v>
      </c>
      <c r="G3186" s="1">
        <v>5</v>
      </c>
      <c r="H3186" s="4">
        <v>0.8</v>
      </c>
      <c r="I3186" s="1">
        <v>7</v>
      </c>
      <c r="J3186" s="4">
        <v>0.56999999999999995</v>
      </c>
      <c r="K3186" s="1">
        <v>0</v>
      </c>
      <c r="L3186" s="1">
        <v>1</v>
      </c>
      <c r="M3186" s="32">
        <f>IF(Mecze[[#This Row],[PR]]=0,0,Mecze[[#This Row],[PR]]/Mecze[[#This Row],[CZAS]])</f>
        <v>1.0416666666666666E-2</v>
      </c>
      <c r="N3186" s="32">
        <f>IF(Mecze[[#This Row],[OU]]=0,0,Mecze[[#This Row],[OU]]/Mecze[[#This Row],[CZAS]])</f>
        <v>4.1666666666666664E-2</v>
      </c>
      <c r="O3186" s="32">
        <f>IF(Mecze[[#This Row],[PC]]=0,0,Mecze[[#This Row],[PC]]/Mecze[[#This Row],[CZAS]])</f>
        <v>4.1666666666666664E-2</v>
      </c>
      <c r="P3186" s="32">
        <f>IF(Mecze[[#This Row],[SC]]=0,0,Mecze[[#This Row],[SC]]/Mecze[[#This Row],[CZAS]])</f>
        <v>7.2916666666666671E-2</v>
      </c>
      <c r="Q3186" s="32">
        <f>IF(Mecze[[#This Row],[OB]]=0,0,Mecze[[#This Row],[OB]]/Mecze[[#This Row],[CZAS]])</f>
        <v>0</v>
      </c>
      <c r="R3186" s="32">
        <f>IF(Mecze[[#This Row],[BR]]=0,0,Mecze[[#This Row],[BR]]/Mecze[[#This Row],[CZAS]])</f>
        <v>2.0833333333333332E-2</v>
      </c>
      <c r="S3186" s="44">
        <f>IF(Mecze[[#This Row],[Role]]="BR",SUMPRODUCT(Mecze[[#This Row],[/PR:90]:[/BR:90]],Brudnopis!$E$23:$J$23),0)</f>
        <v>0</v>
      </c>
      <c r="T3186" s="44">
        <f>IF(Mecze[[#This Row],[Role]]&lt;&gt;"BR",SUMPRODUCT(Mecze[[#This Row],[/PR:90]:[/BR:90]],Brudnopis!$E$24:$J$24),0)</f>
        <v>0.21875</v>
      </c>
      <c r="U3186" s="44">
        <f>IF(Mecze[[#This Row],[Role]]&lt;&gt;"BR",SUMPRODUCT(Mecze[[#This Row],[/PR:90]:[/BR:90]],Brudnopis!$E$25:$J$25),0)</f>
        <v>0.21875</v>
      </c>
      <c r="V3186" s="44">
        <f>IF(Mecze[[#This Row],[Role]]&lt;&gt;"BR",SUMPRODUCT(Mecze[[#This Row],[/PR:90]:[/BR:90]],Brudnopis!$E$26:$J$26),0)</f>
        <v>0.20833333333333334</v>
      </c>
      <c r="W3186" s="44">
        <f>IF(Mecze[[#This Row],[Role]]&lt;&gt;"BR",SUMPRODUCT(Mecze[[#This Row],[/PR:90]:[/BR:90]],Brudnopis!$E$27:$J$27),0)</f>
        <v>0.21614583333333334</v>
      </c>
      <c r="X3186" s="44">
        <f>IF(Mecze[[#This Row],[Role]]&lt;&gt;"BR",SUMPRODUCT(Mecze[[#This Row],[/PR:90]:[/BR:90]],Brudnopis!$E$28:$J$28),0)</f>
        <v>0.25</v>
      </c>
      <c r="Y3186" s="35">
        <f>IF(Mecze[[#This Row],[Role]]="BR",Mecze[[#This Row],[/OB:90]]+Mecze[[#This Row],[/PC:90]],SUM(Mecze[[#This Row],[/PR:90]:[/BR:90]]))</f>
        <v>0.18750000000000003</v>
      </c>
      <c r="Z3186" s="35">
        <f>IF(Mecze[[#This Row],[KC]]=0,SUM(Mecze[[#This Row],[/BRI]:[/NPI]]),SUM(Mecze[[#This Row],[/BRI]:[/NPI]])*0.6)</f>
        <v>1.1119791666666667</v>
      </c>
      <c r="AA3186" s="10">
        <f>IFERROR(Mecze[[#This Row],[BR]]/Mecze[[#This Row],[ST]],0)</f>
        <v>0.25</v>
      </c>
      <c r="AB3186">
        <f>ROUND(Mecze[[#This Row],[PD]]*Mecze[[#This Row],[%PC]],0)</f>
        <v>4</v>
      </c>
      <c r="AC3186">
        <f>ROUND(Mecze[[#This Row],[OD]]*Mecze[[#This Row],[%OU]],0)</f>
        <v>4</v>
      </c>
      <c r="AD3186" s="36" t="s">
        <v>272</v>
      </c>
      <c r="AE3186" s="36">
        <v>178</v>
      </c>
      <c r="AF3186" s="71">
        <v>12.32</v>
      </c>
      <c r="AG3186" s="37">
        <v>0</v>
      </c>
      <c r="AH3186" s="37">
        <v>0</v>
      </c>
      <c r="AI3186" s="37">
        <v>96</v>
      </c>
      <c r="AJ3186" s="37">
        <v>1</v>
      </c>
      <c r="AK3186" s="37" t="str">
        <f>VLOOKUP(Mecze[[#This Row],[Match ID]],Meczusie[Mecz]:Meczusie[RodzajMeczu],2,FALSE)</f>
        <v>Liga</v>
      </c>
    </row>
    <row r="3187" spans="1:37" x14ac:dyDescent="0.25">
      <c r="A3187" s="76">
        <v>9</v>
      </c>
      <c r="B3187" s="3" t="s">
        <v>411</v>
      </c>
      <c r="C3187" s="2" t="s">
        <v>165</v>
      </c>
      <c r="D3187" s="1">
        <v>2</v>
      </c>
      <c r="E3187" s="1">
        <v>3</v>
      </c>
      <c r="F3187" s="1">
        <v>3</v>
      </c>
      <c r="G3187" s="1">
        <v>6</v>
      </c>
      <c r="H3187" s="4">
        <v>0.67</v>
      </c>
      <c r="I3187" s="1">
        <v>3</v>
      </c>
      <c r="J3187" s="4">
        <v>0.33</v>
      </c>
      <c r="K3187" s="1">
        <v>0</v>
      </c>
      <c r="L3187" s="1">
        <v>0</v>
      </c>
      <c r="M3187" s="32">
        <f>IF(Mecze[[#This Row],[PR]]=0,0,Mecze[[#This Row],[PR]]/Mecze[[#This Row],[CZAS]])</f>
        <v>0</v>
      </c>
      <c r="N3187" s="32">
        <f>IF(Mecze[[#This Row],[OU]]=0,0,Mecze[[#This Row],[OU]]/Mecze[[#This Row],[CZAS]])</f>
        <v>1.0416666666666666E-2</v>
      </c>
      <c r="O3187" s="32">
        <f>IF(Mecze[[#This Row],[PC]]=0,0,Mecze[[#This Row],[PC]]/Mecze[[#This Row],[CZAS]])</f>
        <v>4.1666666666666664E-2</v>
      </c>
      <c r="P3187" s="32">
        <f>IF(Mecze[[#This Row],[SC]]=0,0,Mecze[[#This Row],[SC]]/Mecze[[#This Row],[CZAS]])</f>
        <v>3.125E-2</v>
      </c>
      <c r="Q3187" s="32">
        <f>IF(Mecze[[#This Row],[OB]]=0,0,Mecze[[#This Row],[OB]]/Mecze[[#This Row],[CZAS]])</f>
        <v>0</v>
      </c>
      <c r="R3187" s="32">
        <f>IF(Mecze[[#This Row],[BR]]=0,0,Mecze[[#This Row],[BR]]/Mecze[[#This Row],[CZAS]])</f>
        <v>2.0833333333333332E-2</v>
      </c>
      <c r="S3187" s="44">
        <f>IF(Mecze[[#This Row],[Role]]="BR",SUMPRODUCT(Mecze[[#This Row],[/PR:90]:[/BR:90]],Brudnopis!$E$23:$J$23),0)</f>
        <v>0</v>
      </c>
      <c r="T3187" s="44">
        <f>IF(Mecze[[#This Row],[Role]]&lt;&gt;"BR",SUMPRODUCT(Mecze[[#This Row],[/PR:90]:[/BR:90]],Brudnopis!$E$24:$J$24),0)</f>
        <v>0.11979166666666666</v>
      </c>
      <c r="U3187" s="44">
        <f>IF(Mecze[[#This Row],[Role]]&lt;&gt;"BR",SUMPRODUCT(Mecze[[#This Row],[/PR:90]:[/BR:90]],Brudnopis!$E$25:$J$25),0)</f>
        <v>0.13541666666666669</v>
      </c>
      <c r="V3187" s="44">
        <f>IF(Mecze[[#This Row],[Role]]&lt;&gt;"BR",SUMPRODUCT(Mecze[[#This Row],[/PR:90]:[/BR:90]],Brudnopis!$E$26:$J$26),0)</f>
        <v>0.125</v>
      </c>
      <c r="W3187" s="44">
        <f>IF(Mecze[[#This Row],[Role]]&lt;&gt;"BR",SUMPRODUCT(Mecze[[#This Row],[/PR:90]:[/BR:90]],Brudnopis!$E$27:$J$27),0)</f>
        <v>0.14322916666666666</v>
      </c>
      <c r="X3187" s="44">
        <f>IF(Mecze[[#This Row],[Role]]&lt;&gt;"BR",SUMPRODUCT(Mecze[[#This Row],[/PR:90]:[/BR:90]],Brudnopis!$E$28:$J$28),0)</f>
        <v>0.16666666666666666</v>
      </c>
      <c r="Y3187" s="35">
        <f>IF(Mecze[[#This Row],[Role]]="BR",Mecze[[#This Row],[/OB:90]]+Mecze[[#This Row],[/PC:90]],SUM(Mecze[[#This Row],[/PR:90]:[/BR:90]]))</f>
        <v>0.10416666666666666</v>
      </c>
      <c r="Z3187" s="35">
        <f>IF(Mecze[[#This Row],[KC]]=0,SUM(Mecze[[#This Row],[/BRI]:[/NPI]]),SUM(Mecze[[#This Row],[/BRI]:[/NPI]])*0.6)</f>
        <v>0.69010416666666663</v>
      </c>
      <c r="AA3187" s="10">
        <f>IFERROR(Mecze[[#This Row],[BR]]/Mecze[[#This Row],[ST]],0)</f>
        <v>0.66666666666666663</v>
      </c>
      <c r="AB3187">
        <f>ROUND(Mecze[[#This Row],[PD]]*Mecze[[#This Row],[%PC]],0)</f>
        <v>4</v>
      </c>
      <c r="AC3187">
        <f>ROUND(Mecze[[#This Row],[OD]]*Mecze[[#This Row],[%OU]],0)</f>
        <v>1</v>
      </c>
      <c r="AD3187" s="36" t="s">
        <v>46</v>
      </c>
      <c r="AE3187" s="36">
        <v>178</v>
      </c>
      <c r="AF3187" s="71">
        <v>9.41</v>
      </c>
      <c r="AG3187" s="37">
        <v>1</v>
      </c>
      <c r="AH3187" s="37">
        <v>0</v>
      </c>
      <c r="AI3187" s="37">
        <v>96</v>
      </c>
      <c r="AJ3187" s="37">
        <v>1</v>
      </c>
      <c r="AK3187" s="37" t="str">
        <f>VLOOKUP(Mecze[[#This Row],[Match ID]],Meczusie[Mecz]:Meczusie[RodzajMeczu],2,FALSE)</f>
        <v>Liga</v>
      </c>
    </row>
    <row r="3188" spans="1:37" x14ac:dyDescent="0.25">
      <c r="A3188" s="76">
        <v>1</v>
      </c>
      <c r="B3188" s="3" t="s">
        <v>288</v>
      </c>
      <c r="C3188" s="2" t="s">
        <v>155</v>
      </c>
      <c r="D3188" s="1">
        <v>0</v>
      </c>
      <c r="E3188" s="1">
        <v>0</v>
      </c>
      <c r="F3188" s="1">
        <v>0</v>
      </c>
      <c r="G3188" s="1">
        <v>9</v>
      </c>
      <c r="H3188" s="4">
        <v>0.56000000000000005</v>
      </c>
      <c r="I3188" s="1">
        <v>0</v>
      </c>
      <c r="J3188" s="4"/>
      <c r="K3188" s="1">
        <v>9</v>
      </c>
      <c r="L3188" s="1">
        <v>0</v>
      </c>
      <c r="M3188" s="32">
        <f>IF(Mecze[[#This Row],[PR]]=0,0,Mecze[[#This Row],[PR]]/Mecze[[#This Row],[CZAS]])</f>
        <v>0</v>
      </c>
      <c r="N3188" s="32">
        <f>IF(Mecze[[#This Row],[OU]]=0,0,Mecze[[#This Row],[OU]]/Mecze[[#This Row],[CZAS]])</f>
        <v>0</v>
      </c>
      <c r="O3188" s="32">
        <f>IF(Mecze[[#This Row],[PC]]=0,0,Mecze[[#This Row],[PC]]/Mecze[[#This Row],[CZAS]])</f>
        <v>5.2083333333333336E-2</v>
      </c>
      <c r="P3188" s="32">
        <f>IF(Mecze[[#This Row],[SC]]=0,0,Mecze[[#This Row],[SC]]/Mecze[[#This Row],[CZAS]])</f>
        <v>0</v>
      </c>
      <c r="Q3188" s="32">
        <f>IF(Mecze[[#This Row],[OB]]=0,0,Mecze[[#This Row],[OB]]/Mecze[[#This Row],[CZAS]])</f>
        <v>9.375E-2</v>
      </c>
      <c r="R3188" s="32">
        <f>IF(Mecze[[#This Row],[BR]]=0,0,Mecze[[#This Row],[BR]]/Mecze[[#This Row],[CZAS]])</f>
        <v>0</v>
      </c>
      <c r="S3188" s="44">
        <f>IF(Mecze[[#This Row],[Role]]="BR",SUMPRODUCT(Mecze[[#This Row],[/PR:90]:[/BR:90]],Brudnopis!$E$23:$J$23),0)</f>
        <v>0.4375</v>
      </c>
      <c r="T3188" s="44">
        <f>IF(Mecze[[#This Row],[Role]]&lt;&gt;"BR",SUMPRODUCT(Mecze[[#This Row],[/PR:90]:[/BR:90]],Brudnopis!$E$24:$J$24),0)</f>
        <v>0</v>
      </c>
      <c r="U3188" s="44">
        <f>IF(Mecze[[#This Row],[Role]]&lt;&gt;"BR",SUMPRODUCT(Mecze[[#This Row],[/PR:90]:[/BR:90]],Brudnopis!$E$25:$J$25),0)</f>
        <v>0</v>
      </c>
      <c r="V3188" s="44">
        <f>IF(Mecze[[#This Row],[Role]]&lt;&gt;"BR",SUMPRODUCT(Mecze[[#This Row],[/PR:90]:[/BR:90]],Brudnopis!$E$26:$J$26),0)</f>
        <v>0</v>
      </c>
      <c r="W3188" s="44">
        <f>IF(Mecze[[#This Row],[Role]]&lt;&gt;"BR",SUMPRODUCT(Mecze[[#This Row],[/PR:90]:[/BR:90]],Brudnopis!$E$27:$J$27),0)</f>
        <v>0</v>
      </c>
      <c r="X3188" s="44">
        <f>IF(Mecze[[#This Row],[Role]]&lt;&gt;"BR",SUMPRODUCT(Mecze[[#This Row],[/PR:90]:[/BR:90]],Brudnopis!$E$28:$J$28),0)</f>
        <v>0</v>
      </c>
      <c r="Y3188" s="35">
        <f>IF(Mecze[[#This Row],[Role]]="BR",Mecze[[#This Row],[/OB:90]]+Mecze[[#This Row],[/PC:90]],SUM(Mecze[[#This Row],[/PR:90]:[/BR:90]]))</f>
        <v>0.14583333333333334</v>
      </c>
      <c r="Z3188" s="35">
        <f>IF(Mecze[[#This Row],[KC]]=0,SUM(Mecze[[#This Row],[/BRI]:[/NPI]]),SUM(Mecze[[#This Row],[/BRI]:[/NPI]])*0.6)</f>
        <v>0.4375</v>
      </c>
      <c r="AA3188" s="10">
        <f>IFERROR(Mecze[[#This Row],[BR]]/Mecze[[#This Row],[ST]],0)</f>
        <v>0</v>
      </c>
      <c r="AB3188">
        <f>ROUND(Mecze[[#This Row],[PD]]*Mecze[[#This Row],[%PC]],0)</f>
        <v>5</v>
      </c>
      <c r="AC3188">
        <f>ROUND(Mecze[[#This Row],[OD]]*Mecze[[#This Row],[%OU]],0)</f>
        <v>0</v>
      </c>
      <c r="AD3188" s="36" t="s">
        <v>40</v>
      </c>
      <c r="AE3188" s="36">
        <v>178</v>
      </c>
      <c r="AF3188" s="71">
        <v>4.95</v>
      </c>
      <c r="AG3188" s="37">
        <v>0</v>
      </c>
      <c r="AH3188" s="37">
        <v>0</v>
      </c>
      <c r="AI3188" s="37">
        <v>96</v>
      </c>
      <c r="AJ3188" s="37">
        <v>9</v>
      </c>
      <c r="AK3188" s="37" t="str">
        <f>VLOOKUP(Mecze[[#This Row],[Match ID]],Meczusie[Mecz]:Meczusie[RodzajMeczu],2,FALSE)</f>
        <v>Liga</v>
      </c>
    </row>
    <row r="3189" spans="1:37" x14ac:dyDescent="0.25">
      <c r="A3189" s="76">
        <v>4</v>
      </c>
      <c r="B3189" s="3" t="s">
        <v>289</v>
      </c>
      <c r="C3189" s="2" t="s">
        <v>157</v>
      </c>
      <c r="D3189" s="1">
        <v>0</v>
      </c>
      <c r="E3189" s="1">
        <v>0</v>
      </c>
      <c r="F3189" s="1">
        <v>0</v>
      </c>
      <c r="G3189" s="1">
        <v>0</v>
      </c>
      <c r="H3189" s="72"/>
      <c r="I3189" s="1">
        <v>10</v>
      </c>
      <c r="J3189" s="4">
        <v>0.3</v>
      </c>
      <c r="K3189" s="1">
        <v>0</v>
      </c>
      <c r="L3189" s="1">
        <v>6</v>
      </c>
      <c r="M3189" s="32">
        <f>IF(Mecze[[#This Row],[PR]]=0,0,Mecze[[#This Row],[PR]]/Mecze[[#This Row],[CZAS]])</f>
        <v>6.25E-2</v>
      </c>
      <c r="N3189" s="32">
        <f>IF(Mecze[[#This Row],[OU]]=0,0,Mecze[[#This Row],[OU]]/Mecze[[#This Row],[CZAS]])</f>
        <v>3.125E-2</v>
      </c>
      <c r="O3189" s="32">
        <f>IF(Mecze[[#This Row],[PC]]=0,0,Mecze[[#This Row],[PC]]/Mecze[[#This Row],[CZAS]])</f>
        <v>0</v>
      </c>
      <c r="P3189" s="32">
        <f>IF(Mecze[[#This Row],[SC]]=0,0,Mecze[[#This Row],[SC]]/Mecze[[#This Row],[CZAS]])</f>
        <v>0</v>
      </c>
      <c r="Q3189" s="32">
        <f>IF(Mecze[[#This Row],[OB]]=0,0,Mecze[[#This Row],[OB]]/Mecze[[#This Row],[CZAS]])</f>
        <v>0</v>
      </c>
      <c r="R3189" s="32">
        <f>IF(Mecze[[#This Row],[BR]]=0,0,Mecze[[#This Row],[BR]]/Mecze[[#This Row],[CZAS]])</f>
        <v>0</v>
      </c>
      <c r="S3189" s="44">
        <f>IF(Mecze[[#This Row],[Role]]="BR",SUMPRODUCT(Mecze[[#This Row],[/PR:90]:[/BR:90]],Brudnopis!$E$23:$J$23),0)</f>
        <v>0</v>
      </c>
      <c r="T3189" s="44">
        <f>IF(Mecze[[#This Row],[Role]]&lt;&gt;"BR",SUMPRODUCT(Mecze[[#This Row],[/PR:90]:[/BR:90]],Brudnopis!$E$24:$J$24),0)</f>
        <v>0.109375</v>
      </c>
      <c r="U3189" s="44">
        <f>IF(Mecze[[#This Row],[Role]]&lt;&gt;"BR",SUMPRODUCT(Mecze[[#This Row],[/PR:90]:[/BR:90]],Brudnopis!$E$25:$J$25),0)</f>
        <v>9.375E-2</v>
      </c>
      <c r="V3189" s="44">
        <f>IF(Mecze[[#This Row],[Role]]&lt;&gt;"BR",SUMPRODUCT(Mecze[[#This Row],[/PR:90]:[/BR:90]],Brudnopis!$E$26:$J$26),0)</f>
        <v>9.375E-2</v>
      </c>
      <c r="W3189" s="44">
        <f>IF(Mecze[[#This Row],[Role]]&lt;&gt;"BR",SUMPRODUCT(Mecze[[#This Row],[/PR:90]:[/BR:90]],Brudnopis!$E$27:$J$27),0)</f>
        <v>7.03125E-2</v>
      </c>
      <c r="X3189" s="44">
        <f>IF(Mecze[[#This Row],[Role]]&lt;&gt;"BR",SUMPRODUCT(Mecze[[#This Row],[/PR:90]:[/BR:90]],Brudnopis!$E$28:$J$28),0)</f>
        <v>0</v>
      </c>
      <c r="Y3189" s="35">
        <f>IF(Mecze[[#This Row],[Role]]="BR",Mecze[[#This Row],[/OB:90]]+Mecze[[#This Row],[/PC:90]],SUM(Mecze[[#This Row],[/PR:90]:[/BR:90]]))</f>
        <v>9.375E-2</v>
      </c>
      <c r="Z3189" s="35">
        <f>IF(Mecze[[#This Row],[KC]]=0,SUM(Mecze[[#This Row],[/BRI]:[/NPI]]),SUM(Mecze[[#This Row],[/BRI]:[/NPI]])*0.6)</f>
        <v>0.3671875</v>
      </c>
      <c r="AA3189" s="10">
        <f>IFERROR(Mecze[[#This Row],[BR]]/Mecze[[#This Row],[ST]],0)</f>
        <v>0</v>
      </c>
      <c r="AB3189">
        <f>ROUND(Mecze[[#This Row],[PD]]*Mecze[[#This Row],[%PC]],0)</f>
        <v>0</v>
      </c>
      <c r="AC3189">
        <f>ROUND(Mecze[[#This Row],[OD]]*Mecze[[#This Row],[%OU]],0)</f>
        <v>3</v>
      </c>
      <c r="AD3189" s="36" t="s">
        <v>168</v>
      </c>
      <c r="AE3189" s="36">
        <v>178</v>
      </c>
      <c r="AF3189" s="71">
        <v>1.84</v>
      </c>
      <c r="AG3189" s="37">
        <v>0</v>
      </c>
      <c r="AH3189" s="37">
        <v>0</v>
      </c>
      <c r="AI3189" s="37">
        <v>96</v>
      </c>
      <c r="AJ3189" s="37">
        <v>9</v>
      </c>
      <c r="AK3189" s="37" t="str">
        <f>VLOOKUP(Mecze[[#This Row],[Match ID]],Meczusie[Mecz]:Meczusie[RodzajMeczu],2,FALSE)</f>
        <v>Liga</v>
      </c>
    </row>
    <row r="3190" spans="1:37" x14ac:dyDescent="0.25">
      <c r="A3190" s="76">
        <v>2</v>
      </c>
      <c r="B3190" s="3" t="s">
        <v>290</v>
      </c>
      <c r="C3190" s="2" t="s">
        <v>157</v>
      </c>
      <c r="D3190" s="1">
        <v>0</v>
      </c>
      <c r="E3190" s="1">
        <v>1</v>
      </c>
      <c r="F3190" s="1">
        <v>1</v>
      </c>
      <c r="G3190" s="1">
        <v>19</v>
      </c>
      <c r="H3190" s="4">
        <v>0.79</v>
      </c>
      <c r="I3190" s="1">
        <v>8</v>
      </c>
      <c r="J3190" s="4">
        <v>0.38</v>
      </c>
      <c r="K3190" s="1">
        <v>0</v>
      </c>
      <c r="L3190" s="1">
        <v>7</v>
      </c>
      <c r="M3190" s="32">
        <f>IF(Mecze[[#This Row],[PR]]=0,0,Mecze[[#This Row],[PR]]/Mecze[[#This Row],[CZAS]])</f>
        <v>7.2916666666666671E-2</v>
      </c>
      <c r="N3190" s="32">
        <f>IF(Mecze[[#This Row],[OU]]=0,0,Mecze[[#This Row],[OU]]/Mecze[[#This Row],[CZAS]])</f>
        <v>3.125E-2</v>
      </c>
      <c r="O3190" s="32">
        <f>IF(Mecze[[#This Row],[PC]]=0,0,Mecze[[#This Row],[PC]]/Mecze[[#This Row],[CZAS]])</f>
        <v>0.15625</v>
      </c>
      <c r="P3190" s="32">
        <f>IF(Mecze[[#This Row],[SC]]=0,0,Mecze[[#This Row],[SC]]/Mecze[[#This Row],[CZAS]])</f>
        <v>1.0416666666666666E-2</v>
      </c>
      <c r="Q3190" s="32">
        <f>IF(Mecze[[#This Row],[OB]]=0,0,Mecze[[#This Row],[OB]]/Mecze[[#This Row],[CZAS]])</f>
        <v>0</v>
      </c>
      <c r="R3190" s="32">
        <f>IF(Mecze[[#This Row],[BR]]=0,0,Mecze[[#This Row],[BR]]/Mecze[[#This Row],[CZAS]])</f>
        <v>0</v>
      </c>
      <c r="S3190" s="44">
        <f>IF(Mecze[[#This Row],[Role]]="BR",SUMPRODUCT(Mecze[[#This Row],[/PR:90]:[/BR:90]],Brudnopis!$E$23:$J$23),0)</f>
        <v>0</v>
      </c>
      <c r="T3190" s="44">
        <f>IF(Mecze[[#This Row],[Role]]&lt;&gt;"BR",SUMPRODUCT(Mecze[[#This Row],[/PR:90]:[/BR:90]],Brudnopis!$E$24:$J$24),0)</f>
        <v>0.28645833333333337</v>
      </c>
      <c r="U3190" s="44">
        <f>IF(Mecze[[#This Row],[Role]]&lt;&gt;"BR",SUMPRODUCT(Mecze[[#This Row],[/PR:90]:[/BR:90]],Brudnopis!$E$25:$J$25),0)</f>
        <v>0.34895833333333337</v>
      </c>
      <c r="V3190" s="44">
        <f>IF(Mecze[[#This Row],[Role]]&lt;&gt;"BR",SUMPRODUCT(Mecze[[#This Row],[/PR:90]:[/BR:90]],Brudnopis!$E$26:$J$26),0)</f>
        <v>0.27083333333333337</v>
      </c>
      <c r="W3190" s="44">
        <f>IF(Mecze[[#This Row],[Role]]&lt;&gt;"BR",SUMPRODUCT(Mecze[[#This Row],[/PR:90]:[/BR:90]],Brudnopis!$E$27:$J$27),0)</f>
        <v>0.32291666666666669</v>
      </c>
      <c r="X3190" s="44">
        <f>IF(Mecze[[#This Row],[Role]]&lt;&gt;"BR",SUMPRODUCT(Mecze[[#This Row],[/PR:90]:[/BR:90]],Brudnopis!$E$28:$J$28),0)</f>
        <v>0.17708333333333334</v>
      </c>
      <c r="Y3190" s="35">
        <f>IF(Mecze[[#This Row],[Role]]="BR",Mecze[[#This Row],[/OB:90]]+Mecze[[#This Row],[/PC:90]],SUM(Mecze[[#This Row],[/PR:90]:[/BR:90]]))</f>
        <v>0.27083333333333337</v>
      </c>
      <c r="Z3190" s="35">
        <f>IF(Mecze[[#This Row],[KC]]=0,SUM(Mecze[[#This Row],[/BRI]:[/NPI]]),SUM(Mecze[[#This Row],[/BRI]:[/NPI]])*0.6)</f>
        <v>1.40625</v>
      </c>
      <c r="AA3190" s="10">
        <f>IFERROR(Mecze[[#This Row],[BR]]/Mecze[[#This Row],[ST]],0)</f>
        <v>0</v>
      </c>
      <c r="AB3190">
        <f>ROUND(Mecze[[#This Row],[PD]]*Mecze[[#This Row],[%PC]],0)</f>
        <v>15</v>
      </c>
      <c r="AC3190">
        <f>ROUND(Mecze[[#This Row],[OD]]*Mecze[[#This Row],[%OU]],0)</f>
        <v>3</v>
      </c>
      <c r="AD3190" s="36" t="s">
        <v>47</v>
      </c>
      <c r="AE3190" s="36">
        <v>178</v>
      </c>
      <c r="AF3190" s="71">
        <v>2.0499999999999998</v>
      </c>
      <c r="AG3190" s="37">
        <v>0</v>
      </c>
      <c r="AH3190" s="37">
        <v>0</v>
      </c>
      <c r="AI3190" s="37">
        <v>96</v>
      </c>
      <c r="AJ3190" s="37">
        <v>9</v>
      </c>
      <c r="AK3190" s="37" t="str">
        <f>VLOOKUP(Mecze[[#This Row],[Match ID]],Meczusie[Mecz]:Meczusie[RodzajMeczu],2,FALSE)</f>
        <v>Liga</v>
      </c>
    </row>
    <row r="3191" spans="1:37" x14ac:dyDescent="0.25">
      <c r="A3191" s="76">
        <v>16</v>
      </c>
      <c r="B3191" s="3" t="s">
        <v>405</v>
      </c>
      <c r="C3191" s="2" t="s">
        <v>157</v>
      </c>
      <c r="D3191" s="1">
        <v>0</v>
      </c>
      <c r="E3191" s="1">
        <v>0</v>
      </c>
      <c r="F3191" s="1">
        <v>0</v>
      </c>
      <c r="G3191" s="1">
        <v>8</v>
      </c>
      <c r="H3191" s="4">
        <v>0.75</v>
      </c>
      <c r="I3191" s="1">
        <v>5</v>
      </c>
      <c r="J3191" s="4">
        <v>0.6</v>
      </c>
      <c r="K3191" s="1">
        <v>0</v>
      </c>
      <c r="L3191" s="1">
        <v>5</v>
      </c>
      <c r="M3191" s="32">
        <f>IF(Mecze[[#This Row],[PR]]=0,0,Mecze[[#This Row],[PR]]/Mecze[[#This Row],[CZAS]])</f>
        <v>5.2083333333333336E-2</v>
      </c>
      <c r="N3191" s="32">
        <f>IF(Mecze[[#This Row],[OU]]=0,0,Mecze[[#This Row],[OU]]/Mecze[[#This Row],[CZAS]])</f>
        <v>3.125E-2</v>
      </c>
      <c r="O3191" s="32">
        <f>IF(Mecze[[#This Row],[PC]]=0,0,Mecze[[#This Row],[PC]]/Mecze[[#This Row],[CZAS]])</f>
        <v>6.25E-2</v>
      </c>
      <c r="P3191" s="32">
        <f>IF(Mecze[[#This Row],[SC]]=0,0,Mecze[[#This Row],[SC]]/Mecze[[#This Row],[CZAS]])</f>
        <v>0</v>
      </c>
      <c r="Q3191" s="32">
        <f>IF(Mecze[[#This Row],[OB]]=0,0,Mecze[[#This Row],[OB]]/Mecze[[#This Row],[CZAS]])</f>
        <v>0</v>
      </c>
      <c r="R3191" s="32">
        <f>IF(Mecze[[#This Row],[BR]]=0,0,Mecze[[#This Row],[BR]]/Mecze[[#This Row],[CZAS]])</f>
        <v>0</v>
      </c>
      <c r="S3191" s="44">
        <f>IF(Mecze[[#This Row],[Role]]="BR",SUMPRODUCT(Mecze[[#This Row],[/PR:90]:[/BR:90]],Brudnopis!$E$23:$J$23),0)</f>
        <v>0</v>
      </c>
      <c r="T3191" s="44">
        <f>IF(Mecze[[#This Row],[Role]]&lt;&gt;"BR",SUMPRODUCT(Mecze[[#This Row],[/PR:90]:[/BR:90]],Brudnopis!$E$24:$J$24),0)</f>
        <v>0.16145833333333334</v>
      </c>
      <c r="U3191" s="44">
        <f>IF(Mecze[[#This Row],[Role]]&lt;&gt;"BR",SUMPRODUCT(Mecze[[#This Row],[/PR:90]:[/BR:90]],Brudnopis!$E$25:$J$25),0)</f>
        <v>0.17708333333333334</v>
      </c>
      <c r="V3191" s="44">
        <f>IF(Mecze[[#This Row],[Role]]&lt;&gt;"BR",SUMPRODUCT(Mecze[[#This Row],[/PR:90]:[/BR:90]],Brudnopis!$E$26:$J$26),0)</f>
        <v>0.14583333333333334</v>
      </c>
      <c r="W3191" s="44">
        <f>IF(Mecze[[#This Row],[Role]]&lt;&gt;"BR",SUMPRODUCT(Mecze[[#This Row],[/PR:90]:[/BR:90]],Brudnopis!$E$27:$J$27),0)</f>
        <v>0.15625</v>
      </c>
      <c r="X3191" s="44">
        <f>IF(Mecze[[#This Row],[Role]]&lt;&gt;"BR",SUMPRODUCT(Mecze[[#This Row],[/PR:90]:[/BR:90]],Brudnopis!$E$28:$J$28),0)</f>
        <v>6.25E-2</v>
      </c>
      <c r="Y3191" s="35">
        <f>IF(Mecze[[#This Row],[Role]]="BR",Mecze[[#This Row],[/OB:90]]+Mecze[[#This Row],[/PC:90]],SUM(Mecze[[#This Row],[/PR:90]:[/BR:90]]))</f>
        <v>0.14583333333333334</v>
      </c>
      <c r="Z3191" s="35">
        <f>IF(Mecze[[#This Row],[KC]]=0,SUM(Mecze[[#This Row],[/BRI]:[/NPI]]),SUM(Mecze[[#This Row],[/BRI]:[/NPI]])*0.6)</f>
        <v>0.703125</v>
      </c>
      <c r="AA3191" s="10">
        <f>IFERROR(Mecze[[#This Row],[BR]]/Mecze[[#This Row],[ST]],0)</f>
        <v>0</v>
      </c>
      <c r="AB3191">
        <f>ROUND(Mecze[[#This Row],[PD]]*Mecze[[#This Row],[%PC]],0)</f>
        <v>6</v>
      </c>
      <c r="AC3191">
        <f>ROUND(Mecze[[#This Row],[OD]]*Mecze[[#This Row],[%OU]],0)</f>
        <v>3</v>
      </c>
      <c r="AD3191" s="36" t="s">
        <v>167</v>
      </c>
      <c r="AE3191" s="36">
        <v>178</v>
      </c>
      <c r="AF3191" s="71">
        <v>2.75</v>
      </c>
      <c r="AG3191" s="37">
        <v>0</v>
      </c>
      <c r="AH3191" s="37">
        <v>0</v>
      </c>
      <c r="AI3191" s="37">
        <v>96</v>
      </c>
      <c r="AJ3191" s="37">
        <v>9</v>
      </c>
      <c r="AK3191" s="37" t="str">
        <f>VLOOKUP(Mecze[[#This Row],[Match ID]],Meczusie[Mecz]:Meczusie[RodzajMeczu],2,FALSE)</f>
        <v>Liga</v>
      </c>
    </row>
    <row r="3192" spans="1:37" x14ac:dyDescent="0.25">
      <c r="A3192" s="76">
        <v>3</v>
      </c>
      <c r="B3192" s="3" t="s">
        <v>292</v>
      </c>
      <c r="C3192" s="2" t="s">
        <v>160</v>
      </c>
      <c r="D3192" s="1">
        <v>0</v>
      </c>
      <c r="E3192" s="1">
        <v>0</v>
      </c>
      <c r="F3192" s="1">
        <v>0</v>
      </c>
      <c r="G3192" s="1">
        <v>4</v>
      </c>
      <c r="H3192" s="4">
        <v>0.75</v>
      </c>
      <c r="I3192" s="1">
        <v>1</v>
      </c>
      <c r="J3192" s="4">
        <v>0</v>
      </c>
      <c r="K3192" s="1">
        <v>0</v>
      </c>
      <c r="L3192" s="1">
        <v>0</v>
      </c>
      <c r="M3192" s="32">
        <f>IF(Mecze[[#This Row],[PR]]=0,0,Mecze[[#This Row],[PR]]/Mecze[[#This Row],[CZAS]])</f>
        <v>0</v>
      </c>
      <c r="N3192" s="32">
        <f>IF(Mecze[[#This Row],[OU]]=0,0,Mecze[[#This Row],[OU]]/Mecze[[#This Row],[CZAS]])</f>
        <v>0</v>
      </c>
      <c r="O3192" s="32">
        <f>IF(Mecze[[#This Row],[PC]]=0,0,Mecze[[#This Row],[PC]]/Mecze[[#This Row],[CZAS]])</f>
        <v>3.125E-2</v>
      </c>
      <c r="P3192" s="32">
        <f>IF(Mecze[[#This Row],[SC]]=0,0,Mecze[[#This Row],[SC]]/Mecze[[#This Row],[CZAS]])</f>
        <v>0</v>
      </c>
      <c r="Q3192" s="32">
        <f>IF(Mecze[[#This Row],[OB]]=0,0,Mecze[[#This Row],[OB]]/Mecze[[#This Row],[CZAS]])</f>
        <v>0</v>
      </c>
      <c r="R3192" s="32">
        <f>IF(Mecze[[#This Row],[BR]]=0,0,Mecze[[#This Row],[BR]]/Mecze[[#This Row],[CZAS]])</f>
        <v>0</v>
      </c>
      <c r="S3192" s="44">
        <f>IF(Mecze[[#This Row],[Role]]="BR",SUMPRODUCT(Mecze[[#This Row],[/PR:90]:[/BR:90]],Brudnopis!$E$23:$J$23),0)</f>
        <v>0</v>
      </c>
      <c r="T3192" s="44">
        <f>IF(Mecze[[#This Row],[Role]]&lt;&gt;"BR",SUMPRODUCT(Mecze[[#This Row],[/PR:90]:[/BR:90]],Brudnopis!$E$24:$J$24),0)</f>
        <v>3.125E-2</v>
      </c>
      <c r="U3192" s="44">
        <f>IF(Mecze[[#This Row],[Role]]&lt;&gt;"BR",SUMPRODUCT(Mecze[[#This Row],[/PR:90]:[/BR:90]],Brudnopis!$E$25:$J$25),0)</f>
        <v>4.6875E-2</v>
      </c>
      <c r="V3192" s="44">
        <f>IF(Mecze[[#This Row],[Role]]&lt;&gt;"BR",SUMPRODUCT(Mecze[[#This Row],[/PR:90]:[/BR:90]],Brudnopis!$E$26:$J$26),0)</f>
        <v>3.125E-2</v>
      </c>
      <c r="W3192" s="44">
        <f>IF(Mecze[[#This Row],[Role]]&lt;&gt;"BR",SUMPRODUCT(Mecze[[#This Row],[/PR:90]:[/BR:90]],Brudnopis!$E$27:$J$27),0)</f>
        <v>4.6875E-2</v>
      </c>
      <c r="X3192" s="44">
        <f>IF(Mecze[[#This Row],[Role]]&lt;&gt;"BR",SUMPRODUCT(Mecze[[#This Row],[/PR:90]:[/BR:90]],Brudnopis!$E$28:$J$28),0)</f>
        <v>3.125E-2</v>
      </c>
      <c r="Y3192" s="35">
        <f>IF(Mecze[[#This Row],[Role]]="BR",Mecze[[#This Row],[/OB:90]]+Mecze[[#This Row],[/PC:90]],SUM(Mecze[[#This Row],[/PR:90]:[/BR:90]]))</f>
        <v>3.125E-2</v>
      </c>
      <c r="Z3192" s="35">
        <f>IF(Mecze[[#This Row],[KC]]=0,SUM(Mecze[[#This Row],[/BRI]:[/NPI]]),SUM(Mecze[[#This Row],[/BRI]:[/NPI]])*0.6)</f>
        <v>0.1875</v>
      </c>
      <c r="AA3192" s="10">
        <f>IFERROR(Mecze[[#This Row],[BR]]/Mecze[[#This Row],[ST]],0)</f>
        <v>0</v>
      </c>
      <c r="AB3192">
        <f>ROUND(Mecze[[#This Row],[PD]]*Mecze[[#This Row],[%PC]],0)</f>
        <v>3</v>
      </c>
      <c r="AC3192">
        <f>ROUND(Mecze[[#This Row],[OD]]*Mecze[[#This Row],[%OU]],0)</f>
        <v>0</v>
      </c>
      <c r="AD3192" s="36" t="s">
        <v>173</v>
      </c>
      <c r="AE3192" s="36">
        <v>178</v>
      </c>
      <c r="AF3192" s="71">
        <v>2.7</v>
      </c>
      <c r="AG3192" s="37">
        <v>0</v>
      </c>
      <c r="AH3192" s="37">
        <v>0</v>
      </c>
      <c r="AI3192" s="37">
        <v>96</v>
      </c>
      <c r="AJ3192" s="37">
        <v>9</v>
      </c>
      <c r="AK3192" s="37" t="str">
        <f>VLOOKUP(Mecze[[#This Row],[Match ID]],Meczusie[Mecz]:Meczusie[RodzajMeczu],2,FALSE)</f>
        <v>Liga</v>
      </c>
    </row>
    <row r="3193" spans="1:37" x14ac:dyDescent="0.25">
      <c r="A3193" s="76">
        <v>14</v>
      </c>
      <c r="B3193" s="3" t="s">
        <v>293</v>
      </c>
      <c r="C3193" s="2" t="s">
        <v>160</v>
      </c>
      <c r="D3193" s="1">
        <v>0</v>
      </c>
      <c r="E3193" s="1">
        <v>0</v>
      </c>
      <c r="F3193" s="1">
        <v>0</v>
      </c>
      <c r="G3193" s="1">
        <v>2</v>
      </c>
      <c r="H3193" s="4">
        <v>1</v>
      </c>
      <c r="I3193" s="1">
        <v>1</v>
      </c>
      <c r="J3193" s="4">
        <v>1</v>
      </c>
      <c r="K3193" s="1">
        <v>0</v>
      </c>
      <c r="L3193" s="1">
        <v>0</v>
      </c>
      <c r="M3193" s="32">
        <f>IF(Mecze[[#This Row],[PR]]=0,0,Mecze[[#This Row],[PR]]/Mecze[[#This Row],[CZAS]])</f>
        <v>0</v>
      </c>
      <c r="N3193" s="32">
        <f>IF(Mecze[[#This Row],[OU]]=0,0,Mecze[[#This Row],[OU]]/Mecze[[#This Row],[CZAS]])</f>
        <v>1.0416666666666666E-2</v>
      </c>
      <c r="O3193" s="32">
        <f>IF(Mecze[[#This Row],[PC]]=0,0,Mecze[[#This Row],[PC]]/Mecze[[#This Row],[CZAS]])</f>
        <v>2.0833333333333332E-2</v>
      </c>
      <c r="P3193" s="32">
        <f>IF(Mecze[[#This Row],[SC]]=0,0,Mecze[[#This Row],[SC]]/Mecze[[#This Row],[CZAS]])</f>
        <v>0</v>
      </c>
      <c r="Q3193" s="32">
        <f>IF(Mecze[[#This Row],[OB]]=0,0,Mecze[[#This Row],[OB]]/Mecze[[#This Row],[CZAS]])</f>
        <v>0</v>
      </c>
      <c r="R3193" s="32">
        <f>IF(Mecze[[#This Row],[BR]]=0,0,Mecze[[#This Row],[BR]]/Mecze[[#This Row],[CZAS]])</f>
        <v>0</v>
      </c>
      <c r="S3193" s="44">
        <f>IF(Mecze[[#This Row],[Role]]="BR",SUMPRODUCT(Mecze[[#This Row],[/PR:90]:[/BR:90]],Brudnopis!$E$23:$J$23),0)</f>
        <v>0</v>
      </c>
      <c r="T3193" s="44">
        <f>IF(Mecze[[#This Row],[Role]]&lt;&gt;"BR",SUMPRODUCT(Mecze[[#This Row],[/PR:90]:[/BR:90]],Brudnopis!$E$24:$J$24),0)</f>
        <v>3.6458333333333329E-2</v>
      </c>
      <c r="U3193" s="44">
        <f>IF(Mecze[[#This Row],[Role]]&lt;&gt;"BR",SUMPRODUCT(Mecze[[#This Row],[/PR:90]:[/BR:90]],Brudnopis!$E$25:$J$25),0)</f>
        <v>4.1666666666666664E-2</v>
      </c>
      <c r="V3193" s="44">
        <f>IF(Mecze[[#This Row],[Role]]&lt;&gt;"BR",SUMPRODUCT(Mecze[[#This Row],[/PR:90]:[/BR:90]],Brudnopis!$E$26:$J$26),0)</f>
        <v>3.125E-2</v>
      </c>
      <c r="W3193" s="44">
        <f>IF(Mecze[[#This Row],[Role]]&lt;&gt;"BR",SUMPRODUCT(Mecze[[#This Row],[/PR:90]:[/BR:90]],Brudnopis!$E$27:$J$27),0)</f>
        <v>3.90625E-2</v>
      </c>
      <c r="X3193" s="44">
        <f>IF(Mecze[[#This Row],[Role]]&lt;&gt;"BR",SUMPRODUCT(Mecze[[#This Row],[/PR:90]:[/BR:90]],Brudnopis!$E$28:$J$28),0)</f>
        <v>2.0833333333333332E-2</v>
      </c>
      <c r="Y3193" s="35">
        <f>IF(Mecze[[#This Row],[Role]]="BR",Mecze[[#This Row],[/OB:90]]+Mecze[[#This Row],[/PC:90]],SUM(Mecze[[#This Row],[/PR:90]:[/BR:90]]))</f>
        <v>3.125E-2</v>
      </c>
      <c r="Z3193" s="35">
        <f>IF(Mecze[[#This Row],[KC]]=0,SUM(Mecze[[#This Row],[/BRI]:[/NPI]]),SUM(Mecze[[#This Row],[/BRI]:[/NPI]])*0.6)</f>
        <v>0.16927083333333334</v>
      </c>
      <c r="AA3193" s="10">
        <f>IFERROR(Mecze[[#This Row],[BR]]/Mecze[[#This Row],[ST]],0)</f>
        <v>0</v>
      </c>
      <c r="AB3193">
        <f>ROUND(Mecze[[#This Row],[PD]]*Mecze[[#This Row],[%PC]],0)</f>
        <v>2</v>
      </c>
      <c r="AC3193">
        <f>ROUND(Mecze[[#This Row],[OD]]*Mecze[[#This Row],[%OU]],0)</f>
        <v>1</v>
      </c>
      <c r="AD3193" s="36" t="s">
        <v>172</v>
      </c>
      <c r="AE3193" s="36">
        <v>178</v>
      </c>
      <c r="AF3193" s="71">
        <v>2.7</v>
      </c>
      <c r="AG3193" s="37">
        <v>0</v>
      </c>
      <c r="AH3193" s="37">
        <v>0</v>
      </c>
      <c r="AI3193" s="37">
        <v>96</v>
      </c>
      <c r="AJ3193" s="37">
        <v>9</v>
      </c>
      <c r="AK3193" s="37" t="str">
        <f>VLOOKUP(Mecze[[#This Row],[Match ID]],Meczusie[Mecz]:Meczusie[RodzajMeczu],2,FALSE)</f>
        <v>Liga</v>
      </c>
    </row>
    <row r="3194" spans="1:37" x14ac:dyDescent="0.25">
      <c r="A3194" s="76">
        <v>8</v>
      </c>
      <c r="B3194" s="3" t="s">
        <v>294</v>
      </c>
      <c r="C3194" s="2" t="s">
        <v>160</v>
      </c>
      <c r="D3194" s="1">
        <v>1</v>
      </c>
      <c r="E3194" s="1">
        <v>1</v>
      </c>
      <c r="F3194" s="1">
        <v>1</v>
      </c>
      <c r="G3194" s="1">
        <v>28</v>
      </c>
      <c r="H3194" s="4">
        <v>0.64</v>
      </c>
      <c r="I3194" s="1">
        <v>16</v>
      </c>
      <c r="J3194" s="4">
        <v>0.56000000000000005</v>
      </c>
      <c r="K3194" s="1">
        <v>0</v>
      </c>
      <c r="L3194" s="1">
        <v>9</v>
      </c>
      <c r="M3194" s="32">
        <f>IF(Mecze[[#This Row],[PR]]=0,0,Mecze[[#This Row],[PR]]/Mecze[[#This Row],[CZAS]])</f>
        <v>9.375E-2</v>
      </c>
      <c r="N3194" s="32">
        <f>IF(Mecze[[#This Row],[OU]]=0,0,Mecze[[#This Row],[OU]]/Mecze[[#This Row],[CZAS]])</f>
        <v>9.375E-2</v>
      </c>
      <c r="O3194" s="32">
        <f>IF(Mecze[[#This Row],[PC]]=0,0,Mecze[[#This Row],[PC]]/Mecze[[#This Row],[CZAS]])</f>
        <v>0.1875</v>
      </c>
      <c r="P3194" s="32">
        <f>IF(Mecze[[#This Row],[SC]]=0,0,Mecze[[#This Row],[SC]]/Mecze[[#This Row],[CZAS]])</f>
        <v>1.0416666666666666E-2</v>
      </c>
      <c r="Q3194" s="32">
        <f>IF(Mecze[[#This Row],[OB]]=0,0,Mecze[[#This Row],[OB]]/Mecze[[#This Row],[CZAS]])</f>
        <v>0</v>
      </c>
      <c r="R3194" s="32">
        <f>IF(Mecze[[#This Row],[BR]]=0,0,Mecze[[#This Row],[BR]]/Mecze[[#This Row],[CZAS]])</f>
        <v>1.0416666666666666E-2</v>
      </c>
      <c r="S3194" s="44">
        <f>IF(Mecze[[#This Row],[Role]]="BR",SUMPRODUCT(Mecze[[#This Row],[/PR:90]:[/BR:90]],Brudnopis!$E$23:$J$23),0)</f>
        <v>0</v>
      </c>
      <c r="T3194" s="44">
        <f>IF(Mecze[[#This Row],[Role]]&lt;&gt;"BR",SUMPRODUCT(Mecze[[#This Row],[/PR:90]:[/BR:90]],Brudnopis!$E$24:$J$24),0)</f>
        <v>0.44791666666666669</v>
      </c>
      <c r="U3194" s="44">
        <f>IF(Mecze[[#This Row],[Role]]&lt;&gt;"BR",SUMPRODUCT(Mecze[[#This Row],[/PR:90]:[/BR:90]],Brudnopis!$E$25:$J$25),0)</f>
        <v>0.49479166666666669</v>
      </c>
      <c r="V3194" s="44">
        <f>IF(Mecze[[#This Row],[Role]]&lt;&gt;"BR",SUMPRODUCT(Mecze[[#This Row],[/PR:90]:[/BR:90]],Brudnopis!$E$26:$J$26),0)</f>
        <v>0.40625</v>
      </c>
      <c r="W3194" s="44">
        <f>IF(Mecze[[#This Row],[Role]]&lt;&gt;"BR",SUMPRODUCT(Mecze[[#This Row],[/PR:90]:[/BR:90]],Brudnopis!$E$27:$J$27),0)</f>
        <v>0.453125</v>
      </c>
      <c r="X3194" s="44">
        <f>IF(Mecze[[#This Row],[Role]]&lt;&gt;"BR",SUMPRODUCT(Mecze[[#This Row],[/PR:90]:[/BR:90]],Brudnopis!$E$28:$J$28),0)</f>
        <v>0.23958333333333334</v>
      </c>
      <c r="Y3194" s="35">
        <f>IF(Mecze[[#This Row],[Role]]="BR",Mecze[[#This Row],[/OB:90]]+Mecze[[#This Row],[/PC:90]],SUM(Mecze[[#This Row],[/PR:90]:[/BR:90]]))</f>
        <v>0.39583333333333337</v>
      </c>
      <c r="Z3194" s="35">
        <f>IF(Mecze[[#This Row],[KC]]=0,SUM(Mecze[[#This Row],[/BRI]:[/NPI]]),SUM(Mecze[[#This Row],[/BRI]:[/NPI]])*0.6)</f>
        <v>2.041666666666667</v>
      </c>
      <c r="AA3194" s="10">
        <f>IFERROR(Mecze[[#This Row],[BR]]/Mecze[[#This Row],[ST]],0)</f>
        <v>1</v>
      </c>
      <c r="AB3194">
        <f>ROUND(Mecze[[#This Row],[PD]]*Mecze[[#This Row],[%PC]],0)</f>
        <v>18</v>
      </c>
      <c r="AC3194">
        <f>ROUND(Mecze[[#This Row],[OD]]*Mecze[[#This Row],[%OU]],0)</f>
        <v>9</v>
      </c>
      <c r="AD3194" s="36" t="s">
        <v>67</v>
      </c>
      <c r="AE3194" s="36">
        <v>178</v>
      </c>
      <c r="AF3194" s="71">
        <v>8.14</v>
      </c>
      <c r="AG3194" s="37">
        <v>0</v>
      </c>
      <c r="AH3194" s="37">
        <v>0</v>
      </c>
      <c r="AI3194" s="37">
        <v>96</v>
      </c>
      <c r="AJ3194" s="37">
        <v>9</v>
      </c>
      <c r="AK3194" s="37" t="str">
        <f>VLOOKUP(Mecze[[#This Row],[Match ID]],Meczusie[Mecz]:Meczusie[RodzajMeczu],2,FALSE)</f>
        <v>Liga</v>
      </c>
    </row>
    <row r="3195" spans="1:37" x14ac:dyDescent="0.25">
      <c r="A3195" s="76">
        <v>11</v>
      </c>
      <c r="B3195" s="3" t="s">
        <v>410</v>
      </c>
      <c r="C3195" s="2" t="s">
        <v>160</v>
      </c>
      <c r="D3195" s="1">
        <v>0</v>
      </c>
      <c r="E3195" s="1">
        <v>1</v>
      </c>
      <c r="F3195" s="1">
        <v>0</v>
      </c>
      <c r="G3195" s="1">
        <v>4</v>
      </c>
      <c r="H3195" s="4">
        <v>0.75</v>
      </c>
      <c r="I3195" s="1">
        <v>2</v>
      </c>
      <c r="J3195" s="4">
        <v>0.5</v>
      </c>
      <c r="K3195" s="1">
        <v>0</v>
      </c>
      <c r="L3195" s="1">
        <v>1</v>
      </c>
      <c r="M3195" s="32">
        <f>IF(Mecze[[#This Row],[PR]]=0,0,Mecze[[#This Row],[PR]]/Mecze[[#This Row],[CZAS]])</f>
        <v>1.0416666666666666E-2</v>
      </c>
      <c r="N3195" s="32">
        <f>IF(Mecze[[#This Row],[OU]]=0,0,Mecze[[#This Row],[OU]]/Mecze[[#This Row],[CZAS]])</f>
        <v>1.0416666666666666E-2</v>
      </c>
      <c r="O3195" s="32">
        <f>IF(Mecze[[#This Row],[PC]]=0,0,Mecze[[#This Row],[PC]]/Mecze[[#This Row],[CZAS]])</f>
        <v>3.125E-2</v>
      </c>
      <c r="P3195" s="32">
        <f>IF(Mecze[[#This Row],[SC]]=0,0,Mecze[[#This Row],[SC]]/Mecze[[#This Row],[CZAS]])</f>
        <v>0</v>
      </c>
      <c r="Q3195" s="32">
        <f>IF(Mecze[[#This Row],[OB]]=0,0,Mecze[[#This Row],[OB]]/Mecze[[#This Row],[CZAS]])</f>
        <v>0</v>
      </c>
      <c r="R3195" s="32">
        <f>IF(Mecze[[#This Row],[BR]]=0,0,Mecze[[#This Row],[BR]]/Mecze[[#This Row],[CZAS]])</f>
        <v>0</v>
      </c>
      <c r="S3195" s="44">
        <f>IF(Mecze[[#This Row],[Role]]="BR",SUMPRODUCT(Mecze[[#This Row],[/PR:90]:[/BR:90]],Brudnopis!$E$23:$J$23),0)</f>
        <v>0</v>
      </c>
      <c r="T3195" s="44">
        <f>IF(Mecze[[#This Row],[Role]]&lt;&gt;"BR",SUMPRODUCT(Mecze[[#This Row],[/PR:90]:[/BR:90]],Brudnopis!$E$24:$J$24),0)</f>
        <v>5.7291666666666664E-2</v>
      </c>
      <c r="U3195" s="44">
        <f>IF(Mecze[[#This Row],[Role]]&lt;&gt;"BR",SUMPRODUCT(Mecze[[#This Row],[/PR:90]:[/BR:90]],Brudnopis!$E$25:$J$25),0)</f>
        <v>6.7708333333333329E-2</v>
      </c>
      <c r="V3195" s="44">
        <f>IF(Mecze[[#This Row],[Role]]&lt;&gt;"BR",SUMPRODUCT(Mecze[[#This Row],[/PR:90]:[/BR:90]],Brudnopis!$E$26:$J$26),0)</f>
        <v>5.2083333333333329E-2</v>
      </c>
      <c r="W3195" s="44">
        <f>IF(Mecze[[#This Row],[Role]]&lt;&gt;"BR",SUMPRODUCT(Mecze[[#This Row],[/PR:90]:[/BR:90]],Brudnopis!$E$27:$J$27),0)</f>
        <v>6.25E-2</v>
      </c>
      <c r="X3195" s="44">
        <f>IF(Mecze[[#This Row],[Role]]&lt;&gt;"BR",SUMPRODUCT(Mecze[[#This Row],[/PR:90]:[/BR:90]],Brudnopis!$E$28:$J$28),0)</f>
        <v>3.125E-2</v>
      </c>
      <c r="Y3195" s="35">
        <f>IF(Mecze[[#This Row],[Role]]="BR",Mecze[[#This Row],[/OB:90]]+Mecze[[#This Row],[/PC:90]],SUM(Mecze[[#This Row],[/PR:90]:[/BR:90]]))</f>
        <v>5.2083333333333329E-2</v>
      </c>
      <c r="Z3195" s="35">
        <f>IF(Mecze[[#This Row],[KC]]=0,SUM(Mecze[[#This Row],[/BRI]:[/NPI]]),SUM(Mecze[[#This Row],[/BRI]:[/NPI]])*0.6)</f>
        <v>0.27083333333333331</v>
      </c>
      <c r="AA3195" s="10">
        <f>IFERROR(Mecze[[#This Row],[BR]]/Mecze[[#This Row],[ST]],0)</f>
        <v>0</v>
      </c>
      <c r="AB3195">
        <f>ROUND(Mecze[[#This Row],[PD]]*Mecze[[#This Row],[%PC]],0)</f>
        <v>3</v>
      </c>
      <c r="AC3195">
        <f>ROUND(Mecze[[#This Row],[OD]]*Mecze[[#This Row],[%OU]],0)</f>
        <v>1</v>
      </c>
      <c r="AD3195" s="36" t="s">
        <v>299</v>
      </c>
      <c r="AE3195" s="36">
        <v>178</v>
      </c>
      <c r="AF3195" s="71">
        <v>2.91</v>
      </c>
      <c r="AG3195" s="37">
        <v>0</v>
      </c>
      <c r="AH3195" s="37">
        <v>0</v>
      </c>
      <c r="AI3195" s="37">
        <v>96</v>
      </c>
      <c r="AJ3195" s="37">
        <v>9</v>
      </c>
      <c r="AK3195" s="37" t="str">
        <f>VLOOKUP(Mecze[[#This Row],[Match ID]],Meczusie[Mecz]:Meczusie[RodzajMeczu],2,FALSE)</f>
        <v>Liga</v>
      </c>
    </row>
    <row r="3196" spans="1:37" x14ac:dyDescent="0.25">
      <c r="A3196" s="76">
        <v>13</v>
      </c>
      <c r="B3196" s="3" t="s">
        <v>295</v>
      </c>
      <c r="C3196" s="2" t="s">
        <v>160</v>
      </c>
      <c r="D3196" s="1">
        <v>0</v>
      </c>
      <c r="E3196" s="1">
        <v>0</v>
      </c>
      <c r="F3196" s="1">
        <v>0</v>
      </c>
      <c r="G3196" s="1">
        <v>8</v>
      </c>
      <c r="H3196" s="4">
        <v>0.75</v>
      </c>
      <c r="I3196" s="1">
        <v>0</v>
      </c>
      <c r="J3196" s="4"/>
      <c r="K3196" s="1">
        <v>0</v>
      </c>
      <c r="L3196" s="1">
        <v>0</v>
      </c>
      <c r="M3196" s="32">
        <f>IF(Mecze[[#This Row],[PR]]=0,0,Mecze[[#This Row],[PR]]/Mecze[[#This Row],[CZAS]])</f>
        <v>0</v>
      </c>
      <c r="N3196" s="32">
        <f>IF(Mecze[[#This Row],[OU]]=0,0,Mecze[[#This Row],[OU]]/Mecze[[#This Row],[CZAS]])</f>
        <v>0</v>
      </c>
      <c r="O3196" s="32">
        <f>IF(Mecze[[#This Row],[PC]]=0,0,Mecze[[#This Row],[PC]]/Mecze[[#This Row],[CZAS]])</f>
        <v>6.25E-2</v>
      </c>
      <c r="P3196" s="32">
        <f>IF(Mecze[[#This Row],[SC]]=0,0,Mecze[[#This Row],[SC]]/Mecze[[#This Row],[CZAS]])</f>
        <v>0</v>
      </c>
      <c r="Q3196" s="32">
        <f>IF(Mecze[[#This Row],[OB]]=0,0,Mecze[[#This Row],[OB]]/Mecze[[#This Row],[CZAS]])</f>
        <v>0</v>
      </c>
      <c r="R3196" s="32">
        <f>IF(Mecze[[#This Row],[BR]]=0,0,Mecze[[#This Row],[BR]]/Mecze[[#This Row],[CZAS]])</f>
        <v>0</v>
      </c>
      <c r="S3196" s="44">
        <f>IF(Mecze[[#This Row],[Role]]="BR",SUMPRODUCT(Mecze[[#This Row],[/PR:90]:[/BR:90]],Brudnopis!$E$23:$J$23),0)</f>
        <v>0</v>
      </c>
      <c r="T3196" s="44">
        <f>IF(Mecze[[#This Row],[Role]]&lt;&gt;"BR",SUMPRODUCT(Mecze[[#This Row],[/PR:90]:[/BR:90]],Brudnopis!$E$24:$J$24),0)</f>
        <v>6.25E-2</v>
      </c>
      <c r="U3196" s="44">
        <f>IF(Mecze[[#This Row],[Role]]&lt;&gt;"BR",SUMPRODUCT(Mecze[[#This Row],[/PR:90]:[/BR:90]],Brudnopis!$E$25:$J$25),0)</f>
        <v>9.375E-2</v>
      </c>
      <c r="V3196" s="44">
        <f>IF(Mecze[[#This Row],[Role]]&lt;&gt;"BR",SUMPRODUCT(Mecze[[#This Row],[/PR:90]:[/BR:90]],Brudnopis!$E$26:$J$26),0)</f>
        <v>6.25E-2</v>
      </c>
      <c r="W3196" s="44">
        <f>IF(Mecze[[#This Row],[Role]]&lt;&gt;"BR",SUMPRODUCT(Mecze[[#This Row],[/PR:90]:[/BR:90]],Brudnopis!$E$27:$J$27),0)</f>
        <v>9.375E-2</v>
      </c>
      <c r="X3196" s="44">
        <f>IF(Mecze[[#This Row],[Role]]&lt;&gt;"BR",SUMPRODUCT(Mecze[[#This Row],[/PR:90]:[/BR:90]],Brudnopis!$E$28:$J$28),0)</f>
        <v>6.25E-2</v>
      </c>
      <c r="Y3196" s="35">
        <f>IF(Mecze[[#This Row],[Role]]="BR",Mecze[[#This Row],[/OB:90]]+Mecze[[#This Row],[/PC:90]],SUM(Mecze[[#This Row],[/PR:90]:[/BR:90]]))</f>
        <v>6.25E-2</v>
      </c>
      <c r="Z3196" s="35">
        <f>IF(Mecze[[#This Row],[KC]]=0,SUM(Mecze[[#This Row],[/BRI]:[/NPI]]),SUM(Mecze[[#This Row],[/BRI]:[/NPI]])*0.6)</f>
        <v>0.375</v>
      </c>
      <c r="AA3196" s="10">
        <f>IFERROR(Mecze[[#This Row],[BR]]/Mecze[[#This Row],[ST]],0)</f>
        <v>0</v>
      </c>
      <c r="AB3196">
        <f>ROUND(Mecze[[#This Row],[PD]]*Mecze[[#This Row],[%PC]],0)</f>
        <v>6</v>
      </c>
      <c r="AC3196">
        <f>ROUND(Mecze[[#This Row],[OD]]*Mecze[[#This Row],[%OU]],0)</f>
        <v>0</v>
      </c>
      <c r="AD3196" s="36" t="s">
        <v>171</v>
      </c>
      <c r="AE3196" s="36">
        <v>178</v>
      </c>
      <c r="AF3196" s="71">
        <v>3.91</v>
      </c>
      <c r="AG3196" s="37">
        <v>0</v>
      </c>
      <c r="AH3196" s="37">
        <v>0</v>
      </c>
      <c r="AI3196" s="37">
        <v>96</v>
      </c>
      <c r="AJ3196" s="37">
        <v>9</v>
      </c>
      <c r="AK3196" s="37" t="str">
        <f>VLOOKUP(Mecze[[#This Row],[Match ID]],Meczusie[Mecz]:Meczusie[RodzajMeczu],2,FALSE)</f>
        <v>Liga</v>
      </c>
    </row>
    <row r="3197" spans="1:37" x14ac:dyDescent="0.25">
      <c r="A3197" s="76">
        <v>9</v>
      </c>
      <c r="B3197" s="3" t="s">
        <v>296</v>
      </c>
      <c r="C3197" s="2" t="s">
        <v>165</v>
      </c>
      <c r="D3197" s="1">
        <v>1</v>
      </c>
      <c r="E3197" s="1">
        <v>5</v>
      </c>
      <c r="F3197" s="1">
        <v>2</v>
      </c>
      <c r="G3197" s="1">
        <v>8</v>
      </c>
      <c r="H3197" s="4">
        <v>0.63</v>
      </c>
      <c r="I3197" s="1">
        <v>5</v>
      </c>
      <c r="J3197" s="4">
        <v>0.8</v>
      </c>
      <c r="K3197" s="1">
        <v>0</v>
      </c>
      <c r="L3197" s="1">
        <v>0</v>
      </c>
      <c r="M3197" s="32">
        <f>IF(Mecze[[#This Row],[PR]]=0,0,Mecze[[#This Row],[PR]]/Mecze[[#This Row],[CZAS]])</f>
        <v>0</v>
      </c>
      <c r="N3197" s="32">
        <f>IF(Mecze[[#This Row],[OU]]=0,0,Mecze[[#This Row],[OU]]/Mecze[[#This Row],[CZAS]])</f>
        <v>4.1666666666666664E-2</v>
      </c>
      <c r="O3197" s="32">
        <f>IF(Mecze[[#This Row],[PC]]=0,0,Mecze[[#This Row],[PC]]/Mecze[[#This Row],[CZAS]])</f>
        <v>5.2083333333333336E-2</v>
      </c>
      <c r="P3197" s="32">
        <f>IF(Mecze[[#This Row],[SC]]=0,0,Mecze[[#This Row],[SC]]/Mecze[[#This Row],[CZAS]])</f>
        <v>2.0833333333333332E-2</v>
      </c>
      <c r="Q3197" s="32">
        <f>IF(Mecze[[#This Row],[OB]]=0,0,Mecze[[#This Row],[OB]]/Mecze[[#This Row],[CZAS]])</f>
        <v>0</v>
      </c>
      <c r="R3197" s="32">
        <f>IF(Mecze[[#This Row],[BR]]=0,0,Mecze[[#This Row],[BR]]/Mecze[[#This Row],[CZAS]])</f>
        <v>1.0416666666666666E-2</v>
      </c>
      <c r="S3197" s="44">
        <f>IF(Mecze[[#This Row],[Role]]="BR",SUMPRODUCT(Mecze[[#This Row],[/PR:90]:[/BR:90]],Brudnopis!$E$23:$J$23),0)</f>
        <v>0</v>
      </c>
      <c r="T3197" s="44">
        <f>IF(Mecze[[#This Row],[Role]]&lt;&gt;"BR",SUMPRODUCT(Mecze[[#This Row],[/PR:90]:[/BR:90]],Brudnopis!$E$24:$J$24),0)</f>
        <v>0.15104166666666669</v>
      </c>
      <c r="U3197" s="44">
        <f>IF(Mecze[[#This Row],[Role]]&lt;&gt;"BR",SUMPRODUCT(Mecze[[#This Row],[/PR:90]:[/BR:90]],Brudnopis!$E$25:$J$25),0)</f>
        <v>0.15625</v>
      </c>
      <c r="V3197" s="44">
        <f>IF(Mecze[[#This Row],[Role]]&lt;&gt;"BR",SUMPRODUCT(Mecze[[#This Row],[/PR:90]:[/BR:90]],Brudnopis!$E$26:$J$26),0)</f>
        <v>0.13541666666666666</v>
      </c>
      <c r="W3197" s="44">
        <f>IF(Mecze[[#This Row],[Role]]&lt;&gt;"BR",SUMPRODUCT(Mecze[[#This Row],[/PR:90]:[/BR:90]],Brudnopis!$E$27:$J$27),0)</f>
        <v>0.15104166666666669</v>
      </c>
      <c r="X3197" s="44">
        <f>IF(Mecze[[#This Row],[Role]]&lt;&gt;"BR",SUMPRODUCT(Mecze[[#This Row],[/PR:90]:[/BR:90]],Brudnopis!$E$28:$J$28),0)</f>
        <v>0.125</v>
      </c>
      <c r="Y3197" s="35">
        <f>IF(Mecze[[#This Row],[Role]]="BR",Mecze[[#This Row],[/OB:90]]+Mecze[[#This Row],[/PC:90]],SUM(Mecze[[#This Row],[/PR:90]:[/BR:90]]))</f>
        <v>0.125</v>
      </c>
      <c r="Z3197" s="35">
        <f>IF(Mecze[[#This Row],[KC]]=0,SUM(Mecze[[#This Row],[/BRI]:[/NPI]]),SUM(Mecze[[#This Row],[/BRI]:[/NPI]])*0.6)</f>
        <v>0.71875</v>
      </c>
      <c r="AA3197" s="10">
        <f>IFERROR(Mecze[[#This Row],[BR]]/Mecze[[#This Row],[ST]],0)</f>
        <v>0.2</v>
      </c>
      <c r="AB3197">
        <f>ROUND(Mecze[[#This Row],[PD]]*Mecze[[#This Row],[%PC]],0)</f>
        <v>5</v>
      </c>
      <c r="AC3197">
        <f>ROUND(Mecze[[#This Row],[OD]]*Mecze[[#This Row],[%OU]],0)</f>
        <v>4</v>
      </c>
      <c r="AD3197" s="36" t="s">
        <v>272</v>
      </c>
      <c r="AE3197" s="36">
        <v>178</v>
      </c>
      <c r="AF3197" s="71">
        <v>6.78</v>
      </c>
      <c r="AG3197" s="37">
        <v>0</v>
      </c>
      <c r="AH3197" s="37">
        <v>0</v>
      </c>
      <c r="AI3197" s="37">
        <v>96</v>
      </c>
      <c r="AJ3197" s="37">
        <v>9</v>
      </c>
      <c r="AK3197" s="37" t="str">
        <f>VLOOKUP(Mecze[[#This Row],[Match ID]],Meczusie[Mecz]:Meczusie[RodzajMeczu],2,FALSE)</f>
        <v>Liga</v>
      </c>
    </row>
    <row r="3198" spans="1:37" x14ac:dyDescent="0.25">
      <c r="A3198" s="76">
        <v>6</v>
      </c>
      <c r="B3198" s="3" t="s">
        <v>297</v>
      </c>
      <c r="C3198" s="2" t="s">
        <v>165</v>
      </c>
      <c r="D3198" s="1">
        <v>1</v>
      </c>
      <c r="E3198" s="1">
        <v>2</v>
      </c>
      <c r="F3198" s="1">
        <v>2</v>
      </c>
      <c r="G3198" s="1">
        <v>12</v>
      </c>
      <c r="H3198" s="4">
        <v>0.67</v>
      </c>
      <c r="I3198" s="1">
        <v>4</v>
      </c>
      <c r="J3198" s="4">
        <v>0.75</v>
      </c>
      <c r="K3198" s="1">
        <v>0</v>
      </c>
      <c r="L3198" s="1">
        <v>1</v>
      </c>
      <c r="M3198" s="32">
        <f>IF(Mecze[[#This Row],[PR]]=0,0,Mecze[[#This Row],[PR]]/Mecze[[#This Row],[CZAS]])</f>
        <v>1.0416666666666666E-2</v>
      </c>
      <c r="N3198" s="32">
        <f>IF(Mecze[[#This Row],[OU]]=0,0,Mecze[[#This Row],[OU]]/Mecze[[#This Row],[CZAS]])</f>
        <v>3.125E-2</v>
      </c>
      <c r="O3198" s="32">
        <f>IF(Mecze[[#This Row],[PC]]=0,0,Mecze[[#This Row],[PC]]/Mecze[[#This Row],[CZAS]])</f>
        <v>8.3333333333333329E-2</v>
      </c>
      <c r="P3198" s="32">
        <f>IF(Mecze[[#This Row],[SC]]=0,0,Mecze[[#This Row],[SC]]/Mecze[[#This Row],[CZAS]])</f>
        <v>2.0833333333333332E-2</v>
      </c>
      <c r="Q3198" s="32">
        <f>IF(Mecze[[#This Row],[OB]]=0,0,Mecze[[#This Row],[OB]]/Mecze[[#This Row],[CZAS]])</f>
        <v>0</v>
      </c>
      <c r="R3198" s="32">
        <f>IF(Mecze[[#This Row],[BR]]=0,0,Mecze[[#This Row],[BR]]/Mecze[[#This Row],[CZAS]])</f>
        <v>1.0416666666666666E-2</v>
      </c>
      <c r="S3198" s="44">
        <f>IF(Mecze[[#This Row],[Role]]="BR",SUMPRODUCT(Mecze[[#This Row],[/PR:90]:[/BR:90]],Brudnopis!$E$23:$J$23),0)</f>
        <v>0</v>
      </c>
      <c r="T3198" s="44">
        <f>IF(Mecze[[#This Row],[Role]]&lt;&gt;"BR",SUMPRODUCT(Mecze[[#This Row],[/PR:90]:[/BR:90]],Brudnopis!$E$24:$J$24),0)</f>
        <v>0.17708333333333334</v>
      </c>
      <c r="U3198" s="44">
        <f>IF(Mecze[[#This Row],[Role]]&lt;&gt;"BR",SUMPRODUCT(Mecze[[#This Row],[/PR:90]:[/BR:90]],Brudnopis!$E$25:$J$25),0)</f>
        <v>0.203125</v>
      </c>
      <c r="V3198" s="44">
        <f>IF(Mecze[[#This Row],[Role]]&lt;&gt;"BR",SUMPRODUCT(Mecze[[#This Row],[/PR:90]:[/BR:90]],Brudnopis!$E$26:$J$26),0)</f>
        <v>0.16666666666666669</v>
      </c>
      <c r="W3198" s="44">
        <f>IF(Mecze[[#This Row],[Role]]&lt;&gt;"BR",SUMPRODUCT(Mecze[[#This Row],[/PR:90]:[/BR:90]],Brudnopis!$E$27:$J$27),0)</f>
        <v>0.19791666666666669</v>
      </c>
      <c r="X3198" s="44">
        <f>IF(Mecze[[#This Row],[Role]]&lt;&gt;"BR",SUMPRODUCT(Mecze[[#This Row],[/PR:90]:[/BR:90]],Brudnopis!$E$28:$J$28),0)</f>
        <v>0.15625</v>
      </c>
      <c r="Y3198" s="35">
        <f>IF(Mecze[[#This Row],[Role]]="BR",Mecze[[#This Row],[/OB:90]]+Mecze[[#This Row],[/PC:90]],SUM(Mecze[[#This Row],[/PR:90]:[/BR:90]]))</f>
        <v>0.15625</v>
      </c>
      <c r="Z3198" s="35">
        <f>IF(Mecze[[#This Row],[KC]]=0,SUM(Mecze[[#This Row],[/BRI]:[/NPI]]),SUM(Mecze[[#This Row],[/BRI]:[/NPI]])*0.6)</f>
        <v>0.90104166666666674</v>
      </c>
      <c r="AA3198" s="10">
        <f>IFERROR(Mecze[[#This Row],[BR]]/Mecze[[#This Row],[ST]],0)</f>
        <v>0.5</v>
      </c>
      <c r="AB3198">
        <f>ROUND(Mecze[[#This Row],[PD]]*Mecze[[#This Row],[%PC]],0)</f>
        <v>8</v>
      </c>
      <c r="AC3198">
        <f>ROUND(Mecze[[#This Row],[OD]]*Mecze[[#This Row],[%OU]],0)</f>
        <v>3</v>
      </c>
      <c r="AD3198" s="36" t="s">
        <v>46</v>
      </c>
      <c r="AE3198" s="36">
        <v>178</v>
      </c>
      <c r="AF3198" s="71">
        <v>6.78</v>
      </c>
      <c r="AG3198" s="37">
        <v>0</v>
      </c>
      <c r="AH3198" s="37">
        <v>0</v>
      </c>
      <c r="AI3198" s="37">
        <v>96</v>
      </c>
      <c r="AJ3198" s="37">
        <v>9</v>
      </c>
      <c r="AK3198" s="37" t="str">
        <f>VLOOKUP(Mecze[[#This Row],[Match ID]],Meczusie[Mecz]:Meczusie[RodzajMeczu],2,FALSE)</f>
        <v>Liga</v>
      </c>
    </row>
    <row r="3199" spans="1:37" x14ac:dyDescent="0.25">
      <c r="A3199" s="76">
        <v>102</v>
      </c>
      <c r="B3199" s="3" t="s">
        <v>417</v>
      </c>
      <c r="C3199" s="2" t="s">
        <v>155</v>
      </c>
      <c r="D3199" s="1">
        <v>0</v>
      </c>
      <c r="E3199" s="1">
        <v>0</v>
      </c>
      <c r="F3199" s="1">
        <v>0</v>
      </c>
      <c r="G3199" s="1">
        <v>2</v>
      </c>
      <c r="H3199" s="4">
        <v>0.5</v>
      </c>
      <c r="I3199" s="1">
        <v>0</v>
      </c>
      <c r="J3199" s="4"/>
      <c r="K3199" s="1">
        <v>1</v>
      </c>
      <c r="L3199" s="1">
        <v>0</v>
      </c>
      <c r="M3199" s="32">
        <f>IF(Mecze[[#This Row],[PR]]=0,0,Mecze[[#This Row],[PR]]/Mecze[[#This Row],[CZAS]])</f>
        <v>0</v>
      </c>
      <c r="N3199" s="32">
        <f>IF(Mecze[[#This Row],[OU]]=0,0,Mecze[[#This Row],[OU]]/Mecze[[#This Row],[CZAS]])</f>
        <v>0</v>
      </c>
      <c r="O3199" s="32">
        <f>IF(Mecze[[#This Row],[PC]]=0,0,Mecze[[#This Row],[PC]]/Mecze[[#This Row],[CZAS]])</f>
        <v>1.0416666666666666E-2</v>
      </c>
      <c r="P3199" s="32">
        <f>IF(Mecze[[#This Row],[SC]]=0,0,Mecze[[#This Row],[SC]]/Mecze[[#This Row],[CZAS]])</f>
        <v>0</v>
      </c>
      <c r="Q3199" s="32">
        <f>IF(Mecze[[#This Row],[OB]]=0,0,Mecze[[#This Row],[OB]]/Mecze[[#This Row],[CZAS]])</f>
        <v>1.0416666666666666E-2</v>
      </c>
      <c r="R3199" s="32">
        <f>IF(Mecze[[#This Row],[BR]]=0,0,Mecze[[#This Row],[BR]]/Mecze[[#This Row],[CZAS]])</f>
        <v>0</v>
      </c>
      <c r="S3199" s="44">
        <f>IF(Mecze[[#This Row],[Role]]="BR",SUMPRODUCT(Mecze[[#This Row],[/PR:90]:[/BR:90]],Brudnopis!$E$23:$J$23),0)</f>
        <v>6.25E-2</v>
      </c>
      <c r="T3199" s="44">
        <f>IF(Mecze[[#This Row],[Role]]&lt;&gt;"BR",SUMPRODUCT(Mecze[[#This Row],[/PR:90]:[/BR:90]],Brudnopis!$E$24:$J$24),0)</f>
        <v>0</v>
      </c>
      <c r="U3199" s="44">
        <f>IF(Mecze[[#This Row],[Role]]&lt;&gt;"BR",SUMPRODUCT(Mecze[[#This Row],[/PR:90]:[/BR:90]],Brudnopis!$E$25:$J$25),0)</f>
        <v>0</v>
      </c>
      <c r="V3199" s="44">
        <f>IF(Mecze[[#This Row],[Role]]&lt;&gt;"BR",SUMPRODUCT(Mecze[[#This Row],[/PR:90]:[/BR:90]],Brudnopis!$E$26:$J$26),0)</f>
        <v>0</v>
      </c>
      <c r="W3199" s="44">
        <f>IF(Mecze[[#This Row],[Role]]&lt;&gt;"BR",SUMPRODUCT(Mecze[[#This Row],[/PR:90]:[/BR:90]],Brudnopis!$E$27:$J$27),0)</f>
        <v>0</v>
      </c>
      <c r="X3199" s="44">
        <f>IF(Mecze[[#This Row],[Role]]&lt;&gt;"BR",SUMPRODUCT(Mecze[[#This Row],[/PR:90]:[/BR:90]],Brudnopis!$E$28:$J$28),0)</f>
        <v>0</v>
      </c>
      <c r="Y3199" s="35">
        <f>IF(Mecze[[#This Row],[Role]]="BR",Mecze[[#This Row],[/OB:90]]+Mecze[[#This Row],[/PC:90]],SUM(Mecze[[#This Row],[/PR:90]:[/BR:90]]))</f>
        <v>2.0833333333333332E-2</v>
      </c>
      <c r="Z3199" s="35">
        <f>IF(Mecze[[#This Row],[KC]]=0,SUM(Mecze[[#This Row],[/BRI]:[/NPI]]),SUM(Mecze[[#This Row],[/BRI]:[/NPI]])*0.6)</f>
        <v>6.25E-2</v>
      </c>
      <c r="AA3199" s="10">
        <f>IFERROR(Mecze[[#This Row],[BR]]/Mecze[[#This Row],[ST]],0)</f>
        <v>0</v>
      </c>
      <c r="AB3199">
        <f>ROUND(Mecze[[#This Row],[PD]]*Mecze[[#This Row],[%PC]],0)</f>
        <v>1</v>
      </c>
      <c r="AC3199">
        <f>ROUND(Mecze[[#This Row],[OD]]*Mecze[[#This Row],[%OU]],0)</f>
        <v>0</v>
      </c>
      <c r="AD3199" s="36" t="s">
        <v>40</v>
      </c>
      <c r="AE3199" s="36">
        <v>179</v>
      </c>
      <c r="AF3199" s="71">
        <v>4.2699999999999996</v>
      </c>
      <c r="AG3199" s="37">
        <v>0</v>
      </c>
      <c r="AH3199" s="37">
        <v>0</v>
      </c>
      <c r="AI3199" s="37">
        <v>96</v>
      </c>
      <c r="AJ3199" s="37">
        <v>6</v>
      </c>
      <c r="AK3199" s="37" t="str">
        <f>VLOOKUP(Mecze[[#This Row],[Match ID]],Meczusie[Mecz]:Meczusie[RodzajMeczu],2,FALSE)</f>
        <v>Liga</v>
      </c>
    </row>
    <row r="3200" spans="1:37" x14ac:dyDescent="0.25">
      <c r="A3200" s="76">
        <v>101</v>
      </c>
      <c r="B3200" s="3" t="s">
        <v>248</v>
      </c>
      <c r="C3200" s="2" t="s">
        <v>157</v>
      </c>
      <c r="D3200" s="1">
        <v>0</v>
      </c>
      <c r="E3200" s="1">
        <v>0</v>
      </c>
      <c r="F3200" s="1">
        <v>0</v>
      </c>
      <c r="G3200" s="1">
        <v>11</v>
      </c>
      <c r="H3200" s="4">
        <v>1</v>
      </c>
      <c r="I3200" s="1">
        <v>4</v>
      </c>
      <c r="J3200" s="4">
        <v>0.75</v>
      </c>
      <c r="K3200" s="1">
        <v>0</v>
      </c>
      <c r="L3200" s="1">
        <v>10</v>
      </c>
      <c r="M3200" s="32">
        <f>IF(Mecze[[#This Row],[PR]]=0,0,Mecze[[#This Row],[PR]]/Mecze[[#This Row],[CZAS]])</f>
        <v>0.10416666666666667</v>
      </c>
      <c r="N3200" s="32">
        <f>IF(Mecze[[#This Row],[OU]]=0,0,Mecze[[#This Row],[OU]]/Mecze[[#This Row],[CZAS]])</f>
        <v>3.125E-2</v>
      </c>
      <c r="O3200" s="32">
        <f>IF(Mecze[[#This Row],[PC]]=0,0,Mecze[[#This Row],[PC]]/Mecze[[#This Row],[CZAS]])</f>
        <v>0.11458333333333333</v>
      </c>
      <c r="P3200" s="32">
        <f>IF(Mecze[[#This Row],[SC]]=0,0,Mecze[[#This Row],[SC]]/Mecze[[#This Row],[CZAS]])</f>
        <v>0</v>
      </c>
      <c r="Q3200" s="32">
        <f>IF(Mecze[[#This Row],[OB]]=0,0,Mecze[[#This Row],[OB]]/Mecze[[#This Row],[CZAS]])</f>
        <v>0</v>
      </c>
      <c r="R3200" s="32">
        <f>IF(Mecze[[#This Row],[BR]]=0,0,Mecze[[#This Row],[BR]]/Mecze[[#This Row],[CZAS]])</f>
        <v>0</v>
      </c>
      <c r="S3200" s="44">
        <f>IF(Mecze[[#This Row],[Role]]="BR",SUMPRODUCT(Mecze[[#This Row],[/PR:90]:[/BR:90]],Brudnopis!$E$23:$J$23),0)</f>
        <v>0</v>
      </c>
      <c r="T3200" s="44">
        <f>IF(Mecze[[#This Row],[Role]]&lt;&gt;"BR",SUMPRODUCT(Mecze[[#This Row],[/PR:90]:[/BR:90]],Brudnopis!$E$24:$J$24),0)</f>
        <v>0.265625</v>
      </c>
      <c r="U3200" s="44">
        <f>IF(Mecze[[#This Row],[Role]]&lt;&gt;"BR",SUMPRODUCT(Mecze[[#This Row],[/PR:90]:[/BR:90]],Brudnopis!$E$25:$J$25),0)</f>
        <v>0.30729166666666669</v>
      </c>
      <c r="V3200" s="44">
        <f>IF(Mecze[[#This Row],[Role]]&lt;&gt;"BR",SUMPRODUCT(Mecze[[#This Row],[/PR:90]:[/BR:90]],Brudnopis!$E$26:$J$26),0)</f>
        <v>0.25</v>
      </c>
      <c r="W3200" s="44">
        <f>IF(Mecze[[#This Row],[Role]]&lt;&gt;"BR",SUMPRODUCT(Mecze[[#This Row],[/PR:90]:[/BR:90]],Brudnopis!$E$27:$J$27),0)</f>
        <v>0.2734375</v>
      </c>
      <c r="X3200" s="44">
        <f>IF(Mecze[[#This Row],[Role]]&lt;&gt;"BR",SUMPRODUCT(Mecze[[#This Row],[/PR:90]:[/BR:90]],Brudnopis!$E$28:$J$28),0)</f>
        <v>0.11458333333333333</v>
      </c>
      <c r="Y3200" s="35">
        <f>IF(Mecze[[#This Row],[Role]]="BR",Mecze[[#This Row],[/OB:90]]+Mecze[[#This Row],[/PC:90]],SUM(Mecze[[#This Row],[/PR:90]:[/BR:90]]))</f>
        <v>0.25</v>
      </c>
      <c r="Z3200" s="35">
        <f>IF(Mecze[[#This Row],[KC]]=0,SUM(Mecze[[#This Row],[/BRI]:[/NPI]]),SUM(Mecze[[#This Row],[/BRI]:[/NPI]])*0.6)</f>
        <v>1.2109375</v>
      </c>
      <c r="AA3200" s="10">
        <f>IFERROR(Mecze[[#This Row],[BR]]/Mecze[[#This Row],[ST]],0)</f>
        <v>0</v>
      </c>
      <c r="AB3200">
        <f>ROUND(Mecze[[#This Row],[PD]]*Mecze[[#This Row],[%PC]],0)</f>
        <v>11</v>
      </c>
      <c r="AC3200">
        <f>ROUND(Mecze[[#This Row],[OD]]*Mecze[[#This Row],[%OU]],0)</f>
        <v>3</v>
      </c>
      <c r="AD3200" s="36" t="s">
        <v>47</v>
      </c>
      <c r="AE3200" s="36">
        <v>179</v>
      </c>
      <c r="AF3200" s="71">
        <v>7.14</v>
      </c>
      <c r="AG3200" s="37">
        <v>0</v>
      </c>
      <c r="AH3200" s="37">
        <v>0</v>
      </c>
      <c r="AI3200" s="37">
        <v>96</v>
      </c>
      <c r="AJ3200" s="37">
        <v>6</v>
      </c>
      <c r="AK3200" s="37" t="str">
        <f>VLOOKUP(Mecze[[#This Row],[Match ID]],Meczusie[Mecz]:Meczusie[RodzajMeczu],2,FALSE)</f>
        <v>Liga</v>
      </c>
    </row>
    <row r="3201" spans="1:37" x14ac:dyDescent="0.25">
      <c r="A3201" s="76">
        <v>7</v>
      </c>
      <c r="B3201" s="3" t="s">
        <v>251</v>
      </c>
      <c r="C3201" s="2" t="s">
        <v>157</v>
      </c>
      <c r="D3201" s="1">
        <v>0</v>
      </c>
      <c r="E3201" s="1">
        <v>0</v>
      </c>
      <c r="F3201" s="1">
        <v>0</v>
      </c>
      <c r="G3201" s="1">
        <v>6</v>
      </c>
      <c r="H3201" s="4">
        <v>0.67</v>
      </c>
      <c r="I3201" s="1">
        <v>4</v>
      </c>
      <c r="J3201" s="4">
        <v>0.75</v>
      </c>
      <c r="K3201" s="1">
        <v>0</v>
      </c>
      <c r="L3201" s="1">
        <v>8</v>
      </c>
      <c r="M3201" s="32">
        <f>IF(Mecze[[#This Row],[PR]]=0,0,Mecze[[#This Row],[PR]]/Mecze[[#This Row],[CZAS]])</f>
        <v>8.3333333333333329E-2</v>
      </c>
      <c r="N3201" s="32">
        <f>IF(Mecze[[#This Row],[OU]]=0,0,Mecze[[#This Row],[OU]]/Mecze[[#This Row],[CZAS]])</f>
        <v>3.125E-2</v>
      </c>
      <c r="O3201" s="32">
        <f>IF(Mecze[[#This Row],[PC]]=0,0,Mecze[[#This Row],[PC]]/Mecze[[#This Row],[CZAS]])</f>
        <v>4.1666666666666664E-2</v>
      </c>
      <c r="P3201" s="32">
        <f>IF(Mecze[[#This Row],[SC]]=0,0,Mecze[[#This Row],[SC]]/Mecze[[#This Row],[CZAS]])</f>
        <v>0</v>
      </c>
      <c r="Q3201" s="32">
        <f>IF(Mecze[[#This Row],[OB]]=0,0,Mecze[[#This Row],[OB]]/Mecze[[#This Row],[CZAS]])</f>
        <v>0</v>
      </c>
      <c r="R3201" s="32">
        <f>IF(Mecze[[#This Row],[BR]]=0,0,Mecze[[#This Row],[BR]]/Mecze[[#This Row],[CZAS]])</f>
        <v>0</v>
      </c>
      <c r="S3201" s="44">
        <f>IF(Mecze[[#This Row],[Role]]="BR",SUMPRODUCT(Mecze[[#This Row],[/PR:90]:[/BR:90]],Brudnopis!$E$23:$J$23),0)</f>
        <v>0</v>
      </c>
      <c r="T3201" s="44">
        <f>IF(Mecze[[#This Row],[Role]]&lt;&gt;"BR",SUMPRODUCT(Mecze[[#This Row],[/PR:90]:[/BR:90]],Brudnopis!$E$24:$J$24),0)</f>
        <v>0.17187499999999997</v>
      </c>
      <c r="U3201" s="44">
        <f>IF(Mecze[[#This Row],[Role]]&lt;&gt;"BR",SUMPRODUCT(Mecze[[#This Row],[/PR:90]:[/BR:90]],Brudnopis!$E$25:$J$25),0)</f>
        <v>0.17708333333333331</v>
      </c>
      <c r="V3201" s="44">
        <f>IF(Mecze[[#This Row],[Role]]&lt;&gt;"BR",SUMPRODUCT(Mecze[[#This Row],[/PR:90]:[/BR:90]],Brudnopis!$E$26:$J$26),0)</f>
        <v>0.15625</v>
      </c>
      <c r="W3201" s="44">
        <f>IF(Mecze[[#This Row],[Role]]&lt;&gt;"BR",SUMPRODUCT(Mecze[[#This Row],[/PR:90]:[/BR:90]],Brudnopis!$E$27:$J$27),0)</f>
        <v>0.1484375</v>
      </c>
      <c r="X3201" s="44">
        <f>IF(Mecze[[#This Row],[Role]]&lt;&gt;"BR",SUMPRODUCT(Mecze[[#This Row],[/PR:90]:[/BR:90]],Brudnopis!$E$28:$J$28),0)</f>
        <v>4.1666666666666664E-2</v>
      </c>
      <c r="Y3201" s="35">
        <f>IF(Mecze[[#This Row],[Role]]="BR",Mecze[[#This Row],[/OB:90]]+Mecze[[#This Row],[/PC:90]],SUM(Mecze[[#This Row],[/PR:90]:[/BR:90]]))</f>
        <v>0.15625</v>
      </c>
      <c r="Z3201" s="35">
        <f>IF(Mecze[[#This Row],[KC]]=0,SUM(Mecze[[#This Row],[/BRI]:[/NPI]]),SUM(Mecze[[#This Row],[/BRI]:[/NPI]])*0.6)</f>
        <v>0.69531249999999989</v>
      </c>
      <c r="AA3201" s="10">
        <f>IFERROR(Mecze[[#This Row],[BR]]/Mecze[[#This Row],[ST]],0)</f>
        <v>0</v>
      </c>
      <c r="AB3201">
        <f>ROUND(Mecze[[#This Row],[PD]]*Mecze[[#This Row],[%PC]],0)</f>
        <v>4</v>
      </c>
      <c r="AC3201">
        <f>ROUND(Mecze[[#This Row],[OD]]*Mecze[[#This Row],[%OU]],0)</f>
        <v>3</v>
      </c>
      <c r="AD3201" s="36" t="s">
        <v>168</v>
      </c>
      <c r="AE3201" s="36">
        <v>179</v>
      </c>
      <c r="AF3201" s="71">
        <v>6.72</v>
      </c>
      <c r="AG3201" s="37">
        <v>0</v>
      </c>
      <c r="AH3201" s="37">
        <v>0</v>
      </c>
      <c r="AI3201" s="37">
        <v>96</v>
      </c>
      <c r="AJ3201" s="37">
        <v>6</v>
      </c>
      <c r="AK3201" s="37" t="str">
        <f>VLOOKUP(Mecze[[#This Row],[Match ID]],Meczusie[Mecz]:Meczusie[RodzajMeczu],2,FALSE)</f>
        <v>Liga</v>
      </c>
    </row>
    <row r="3202" spans="1:37" x14ac:dyDescent="0.25">
      <c r="A3202" s="76">
        <v>2</v>
      </c>
      <c r="B3202" s="3" t="s">
        <v>249</v>
      </c>
      <c r="C3202" s="2" t="s">
        <v>157</v>
      </c>
      <c r="D3202" s="1">
        <v>0</v>
      </c>
      <c r="E3202" s="1">
        <v>0</v>
      </c>
      <c r="F3202" s="1">
        <v>0</v>
      </c>
      <c r="G3202" s="1">
        <v>11</v>
      </c>
      <c r="H3202" s="4">
        <v>0.91</v>
      </c>
      <c r="I3202" s="1">
        <v>7</v>
      </c>
      <c r="J3202" s="4">
        <v>0.71</v>
      </c>
      <c r="K3202" s="1">
        <v>0</v>
      </c>
      <c r="L3202" s="1">
        <v>5</v>
      </c>
      <c r="M3202" s="32">
        <f>IF(Mecze[[#This Row],[PR]]=0,0,Mecze[[#This Row],[PR]]/Mecze[[#This Row],[CZAS]])</f>
        <v>5.8139534883720929E-2</v>
      </c>
      <c r="N3202" s="32">
        <f>IF(Mecze[[#This Row],[OU]]=0,0,Mecze[[#This Row],[OU]]/Mecze[[#This Row],[CZAS]])</f>
        <v>5.8139534883720929E-2</v>
      </c>
      <c r="O3202" s="32">
        <f>IF(Mecze[[#This Row],[PC]]=0,0,Mecze[[#This Row],[PC]]/Mecze[[#This Row],[CZAS]])</f>
        <v>0.11627906976744186</v>
      </c>
      <c r="P3202" s="32">
        <f>IF(Mecze[[#This Row],[SC]]=0,0,Mecze[[#This Row],[SC]]/Mecze[[#This Row],[CZAS]])</f>
        <v>0</v>
      </c>
      <c r="Q3202" s="32">
        <f>IF(Mecze[[#This Row],[OB]]=0,0,Mecze[[#This Row],[OB]]/Mecze[[#This Row],[CZAS]])</f>
        <v>0</v>
      </c>
      <c r="R3202" s="32">
        <f>IF(Mecze[[#This Row],[BR]]=0,0,Mecze[[#This Row],[BR]]/Mecze[[#This Row],[CZAS]])</f>
        <v>0</v>
      </c>
      <c r="S3202" s="44">
        <f>IF(Mecze[[#This Row],[Role]]="BR",SUMPRODUCT(Mecze[[#This Row],[/PR:90]:[/BR:90]],Brudnopis!$E$23:$J$23),0)</f>
        <v>0</v>
      </c>
      <c r="T3202" s="44">
        <f>IF(Mecze[[#This Row],[Role]]&lt;&gt;"BR",SUMPRODUCT(Mecze[[#This Row],[/PR:90]:[/BR:90]],Brudnopis!$E$24:$J$24),0)</f>
        <v>0.26162790697674421</v>
      </c>
      <c r="U3202" s="44">
        <f>IF(Mecze[[#This Row],[Role]]&lt;&gt;"BR",SUMPRODUCT(Mecze[[#This Row],[/PR:90]:[/BR:90]],Brudnopis!$E$25:$J$25),0)</f>
        <v>0.29069767441860467</v>
      </c>
      <c r="V3202" s="44">
        <f>IF(Mecze[[#This Row],[Role]]&lt;&gt;"BR",SUMPRODUCT(Mecze[[#This Row],[/PR:90]:[/BR:90]],Brudnopis!$E$26:$J$26),0)</f>
        <v>0.23255813953488372</v>
      </c>
      <c r="W3202" s="44">
        <f>IF(Mecze[[#This Row],[Role]]&lt;&gt;"BR",SUMPRODUCT(Mecze[[#This Row],[/PR:90]:[/BR:90]],Brudnopis!$E$27:$J$27),0)</f>
        <v>0.26162790697674421</v>
      </c>
      <c r="X3202" s="44">
        <f>IF(Mecze[[#This Row],[Role]]&lt;&gt;"BR",SUMPRODUCT(Mecze[[#This Row],[/PR:90]:[/BR:90]],Brudnopis!$E$28:$J$28),0)</f>
        <v>0.11627906976744186</v>
      </c>
      <c r="Y3202" s="35">
        <f>IF(Mecze[[#This Row],[Role]]="BR",Mecze[[#This Row],[/OB:90]]+Mecze[[#This Row],[/PC:90]],SUM(Mecze[[#This Row],[/PR:90]:[/BR:90]]))</f>
        <v>0.23255813953488372</v>
      </c>
      <c r="Z3202" s="35">
        <f>IF(Mecze[[#This Row],[KC]]=0,SUM(Mecze[[#This Row],[/BRI]:[/NPI]]),SUM(Mecze[[#This Row],[/BRI]:[/NPI]])*0.6)</f>
        <v>1.1627906976744187</v>
      </c>
      <c r="AA3202" s="10">
        <f>IFERROR(Mecze[[#This Row],[BR]]/Mecze[[#This Row],[ST]],0)</f>
        <v>0</v>
      </c>
      <c r="AB3202">
        <f>ROUND(Mecze[[#This Row],[PD]]*Mecze[[#This Row],[%PC]],0)</f>
        <v>10</v>
      </c>
      <c r="AC3202">
        <f>ROUND(Mecze[[#This Row],[OD]]*Mecze[[#This Row],[%OU]],0)</f>
        <v>5</v>
      </c>
      <c r="AD3202" s="36" t="s">
        <v>167</v>
      </c>
      <c r="AE3202" s="36">
        <v>179</v>
      </c>
      <c r="AF3202" s="71">
        <v>6.09</v>
      </c>
      <c r="AG3202" s="37">
        <v>0</v>
      </c>
      <c r="AH3202" s="37">
        <v>0</v>
      </c>
      <c r="AI3202" s="37">
        <v>86</v>
      </c>
      <c r="AJ3202" s="37">
        <v>6</v>
      </c>
      <c r="AK3202" s="37" t="str">
        <f>VLOOKUP(Mecze[[#This Row],[Match ID]],Meczusie[Mecz]:Meczusie[RodzajMeczu],2,FALSE)</f>
        <v>Liga</v>
      </c>
    </row>
    <row r="3203" spans="1:37" x14ac:dyDescent="0.25">
      <c r="A3203" s="76">
        <v>8</v>
      </c>
      <c r="B3203" s="3" t="s">
        <v>254</v>
      </c>
      <c r="C3203" s="2" t="s">
        <v>160</v>
      </c>
      <c r="D3203" s="1">
        <v>0</v>
      </c>
      <c r="E3203" s="1">
        <v>3</v>
      </c>
      <c r="F3203" s="1">
        <v>3</v>
      </c>
      <c r="G3203" s="1">
        <v>12</v>
      </c>
      <c r="H3203" s="4">
        <v>0.92</v>
      </c>
      <c r="I3203" s="1">
        <v>5</v>
      </c>
      <c r="J3203" s="4">
        <v>0.6</v>
      </c>
      <c r="K3203" s="1">
        <v>0</v>
      </c>
      <c r="L3203" s="1">
        <v>6</v>
      </c>
      <c r="M3203" s="32">
        <f>IF(Mecze[[#This Row],[PR]]=0,0,Mecze[[#This Row],[PR]]/Mecze[[#This Row],[CZAS]])</f>
        <v>6.25E-2</v>
      </c>
      <c r="N3203" s="32">
        <f>IF(Mecze[[#This Row],[OU]]=0,0,Mecze[[#This Row],[OU]]/Mecze[[#This Row],[CZAS]])</f>
        <v>3.125E-2</v>
      </c>
      <c r="O3203" s="32">
        <f>IF(Mecze[[#This Row],[PC]]=0,0,Mecze[[#This Row],[PC]]/Mecze[[#This Row],[CZAS]])</f>
        <v>0.11458333333333333</v>
      </c>
      <c r="P3203" s="32">
        <f>IF(Mecze[[#This Row],[SC]]=0,0,Mecze[[#This Row],[SC]]/Mecze[[#This Row],[CZAS]])</f>
        <v>3.125E-2</v>
      </c>
      <c r="Q3203" s="32">
        <f>IF(Mecze[[#This Row],[OB]]=0,0,Mecze[[#This Row],[OB]]/Mecze[[#This Row],[CZAS]])</f>
        <v>0</v>
      </c>
      <c r="R3203" s="32">
        <f>IF(Mecze[[#This Row],[BR]]=0,0,Mecze[[#This Row],[BR]]/Mecze[[#This Row],[CZAS]])</f>
        <v>0</v>
      </c>
      <c r="S3203" s="44">
        <f>IF(Mecze[[#This Row],[Role]]="BR",SUMPRODUCT(Mecze[[#This Row],[/PR:90]:[/BR:90]],Brudnopis!$E$23:$J$23),0)</f>
        <v>0</v>
      </c>
      <c r="T3203" s="44">
        <f>IF(Mecze[[#This Row],[Role]]&lt;&gt;"BR",SUMPRODUCT(Mecze[[#This Row],[/PR:90]:[/BR:90]],Brudnopis!$E$24:$J$24),0)</f>
        <v>0.25520833333333331</v>
      </c>
      <c r="U3203" s="44">
        <f>IF(Mecze[[#This Row],[Role]]&lt;&gt;"BR",SUMPRODUCT(Mecze[[#This Row],[/PR:90]:[/BR:90]],Brudnopis!$E$25:$J$25),0)</f>
        <v>0.296875</v>
      </c>
      <c r="V3203" s="44">
        <f>IF(Mecze[[#This Row],[Role]]&lt;&gt;"BR",SUMPRODUCT(Mecze[[#This Row],[/PR:90]:[/BR:90]],Brudnopis!$E$26:$J$26),0)</f>
        <v>0.23958333333333331</v>
      </c>
      <c r="W3203" s="44">
        <f>IF(Mecze[[#This Row],[Role]]&lt;&gt;"BR",SUMPRODUCT(Mecze[[#This Row],[/PR:90]:[/BR:90]],Brudnopis!$E$27:$J$27),0)</f>
        <v>0.2734375</v>
      </c>
      <c r="X3203" s="44">
        <f>IF(Mecze[[#This Row],[Role]]&lt;&gt;"BR",SUMPRODUCT(Mecze[[#This Row],[/PR:90]:[/BR:90]],Brudnopis!$E$28:$J$28),0)</f>
        <v>0.17708333333333331</v>
      </c>
      <c r="Y3203" s="35">
        <f>IF(Mecze[[#This Row],[Role]]="BR",Mecze[[#This Row],[/OB:90]]+Mecze[[#This Row],[/PC:90]],SUM(Mecze[[#This Row],[/PR:90]:[/BR:90]]))</f>
        <v>0.23958333333333331</v>
      </c>
      <c r="Z3203" s="35">
        <f>IF(Mecze[[#This Row],[KC]]=0,SUM(Mecze[[#This Row],[/BRI]:[/NPI]]),SUM(Mecze[[#This Row],[/BRI]:[/NPI]])*0.6)</f>
        <v>1.2421874999999998</v>
      </c>
      <c r="AA3203" s="10">
        <f>IFERROR(Mecze[[#This Row],[BR]]/Mecze[[#This Row],[ST]],0)</f>
        <v>0</v>
      </c>
      <c r="AB3203">
        <f>ROUND(Mecze[[#This Row],[PD]]*Mecze[[#This Row],[%PC]],0)</f>
        <v>11</v>
      </c>
      <c r="AC3203">
        <f>ROUND(Mecze[[#This Row],[OD]]*Mecze[[#This Row],[%OU]],0)</f>
        <v>3</v>
      </c>
      <c r="AD3203" s="36" t="s">
        <v>41</v>
      </c>
      <c r="AE3203" s="36">
        <v>179</v>
      </c>
      <c r="AF3203" s="71">
        <v>7.99</v>
      </c>
      <c r="AG3203" s="37">
        <v>0</v>
      </c>
      <c r="AH3203" s="37">
        <v>0</v>
      </c>
      <c r="AI3203" s="37">
        <v>96</v>
      </c>
      <c r="AJ3203" s="37">
        <v>6</v>
      </c>
      <c r="AK3203" s="37" t="str">
        <f>VLOOKUP(Mecze[[#This Row],[Match ID]],Meczusie[Mecz]:Meczusie[RodzajMeczu],2,FALSE)</f>
        <v>Liga</v>
      </c>
    </row>
    <row r="3204" spans="1:37" x14ac:dyDescent="0.25">
      <c r="A3204" s="76">
        <v>10</v>
      </c>
      <c r="B3204" s="3" t="s">
        <v>252</v>
      </c>
      <c r="C3204" s="2" t="s">
        <v>160</v>
      </c>
      <c r="D3204" s="1">
        <v>0</v>
      </c>
      <c r="E3204" s="1">
        <v>0</v>
      </c>
      <c r="F3204" s="1">
        <v>0</v>
      </c>
      <c r="G3204" s="1">
        <v>6</v>
      </c>
      <c r="H3204" s="4">
        <v>0.83</v>
      </c>
      <c r="I3204" s="1">
        <v>2</v>
      </c>
      <c r="J3204" s="4">
        <v>0.5</v>
      </c>
      <c r="K3204" s="1">
        <v>0</v>
      </c>
      <c r="L3204" s="1">
        <v>4</v>
      </c>
      <c r="M3204" s="32">
        <f>IF(Mecze[[#This Row],[PR]]=0,0,Mecze[[#This Row],[PR]]/Mecze[[#This Row],[CZAS]])</f>
        <v>4.1666666666666664E-2</v>
      </c>
      <c r="N3204" s="32">
        <f>IF(Mecze[[#This Row],[OU]]=0,0,Mecze[[#This Row],[OU]]/Mecze[[#This Row],[CZAS]])</f>
        <v>1.0416666666666666E-2</v>
      </c>
      <c r="O3204" s="32">
        <f>IF(Mecze[[#This Row],[PC]]=0,0,Mecze[[#This Row],[PC]]/Mecze[[#This Row],[CZAS]])</f>
        <v>5.2083333333333336E-2</v>
      </c>
      <c r="P3204" s="32">
        <f>IF(Mecze[[#This Row],[SC]]=0,0,Mecze[[#This Row],[SC]]/Mecze[[#This Row],[CZAS]])</f>
        <v>0</v>
      </c>
      <c r="Q3204" s="32">
        <f>IF(Mecze[[#This Row],[OB]]=0,0,Mecze[[#This Row],[OB]]/Mecze[[#This Row],[CZAS]])</f>
        <v>0</v>
      </c>
      <c r="R3204" s="32">
        <f>IF(Mecze[[#This Row],[BR]]=0,0,Mecze[[#This Row],[BR]]/Mecze[[#This Row],[CZAS]])</f>
        <v>0</v>
      </c>
      <c r="S3204" s="44">
        <f>IF(Mecze[[#This Row],[Role]]="BR",SUMPRODUCT(Mecze[[#This Row],[/PR:90]:[/BR:90]],Brudnopis!$E$23:$J$23),0)</f>
        <v>0</v>
      </c>
      <c r="T3204" s="44">
        <f>IF(Mecze[[#This Row],[Role]]&lt;&gt;"BR",SUMPRODUCT(Mecze[[#This Row],[/PR:90]:[/BR:90]],Brudnopis!$E$24:$J$24),0)</f>
        <v>0.109375</v>
      </c>
      <c r="U3204" s="44">
        <f>IF(Mecze[[#This Row],[Role]]&lt;&gt;"BR",SUMPRODUCT(Mecze[[#This Row],[/PR:90]:[/BR:90]],Brudnopis!$E$25:$J$25),0)</f>
        <v>0.13020833333333331</v>
      </c>
      <c r="V3204" s="44">
        <f>IF(Mecze[[#This Row],[Role]]&lt;&gt;"BR",SUMPRODUCT(Mecze[[#This Row],[/PR:90]:[/BR:90]],Brudnopis!$E$26:$J$26),0)</f>
        <v>0.10416666666666666</v>
      </c>
      <c r="W3204" s="44">
        <f>IF(Mecze[[#This Row],[Role]]&lt;&gt;"BR",SUMPRODUCT(Mecze[[#This Row],[/PR:90]:[/BR:90]],Brudnopis!$E$27:$J$27),0)</f>
        <v>0.1171875</v>
      </c>
      <c r="X3204" s="44">
        <f>IF(Mecze[[#This Row],[Role]]&lt;&gt;"BR",SUMPRODUCT(Mecze[[#This Row],[/PR:90]:[/BR:90]],Brudnopis!$E$28:$J$28),0)</f>
        <v>5.2083333333333336E-2</v>
      </c>
      <c r="Y3204" s="35">
        <f>IF(Mecze[[#This Row],[Role]]="BR",Mecze[[#This Row],[/OB:90]]+Mecze[[#This Row],[/PC:90]],SUM(Mecze[[#This Row],[/PR:90]:[/BR:90]]))</f>
        <v>0.10416666666666666</v>
      </c>
      <c r="Z3204" s="35">
        <f>IF(Mecze[[#This Row],[KC]]=0,SUM(Mecze[[#This Row],[/BRI]:[/NPI]]),SUM(Mecze[[#This Row],[/BRI]:[/NPI]])*0.6)</f>
        <v>0.51302083333333337</v>
      </c>
      <c r="AA3204" s="10">
        <f>IFERROR(Mecze[[#This Row],[BR]]/Mecze[[#This Row],[ST]],0)</f>
        <v>0</v>
      </c>
      <c r="AB3204">
        <f>ROUND(Mecze[[#This Row],[PD]]*Mecze[[#This Row],[%PC]],0)</f>
        <v>5</v>
      </c>
      <c r="AC3204">
        <f>ROUND(Mecze[[#This Row],[OD]]*Mecze[[#This Row],[%OU]],0)</f>
        <v>1</v>
      </c>
      <c r="AD3204" s="36" t="s">
        <v>318</v>
      </c>
      <c r="AE3204" s="36">
        <v>179</v>
      </c>
      <c r="AF3204" s="71">
        <v>6.88</v>
      </c>
      <c r="AG3204" s="37">
        <v>0</v>
      </c>
      <c r="AH3204" s="37">
        <v>0</v>
      </c>
      <c r="AI3204" s="37">
        <v>96</v>
      </c>
      <c r="AJ3204" s="37">
        <v>6</v>
      </c>
      <c r="AK3204" s="37" t="str">
        <f>VLOOKUP(Mecze[[#This Row],[Match ID]],Meczusie[Mecz]:Meczusie[RodzajMeczu],2,FALSE)</f>
        <v>Liga</v>
      </c>
    </row>
    <row r="3205" spans="1:37" x14ac:dyDescent="0.25">
      <c r="A3205" s="76">
        <v>11</v>
      </c>
      <c r="B3205" s="3" t="s">
        <v>250</v>
      </c>
      <c r="C3205" s="2" t="s">
        <v>160</v>
      </c>
      <c r="D3205" s="1">
        <v>0</v>
      </c>
      <c r="E3205" s="1">
        <v>3</v>
      </c>
      <c r="F3205" s="1">
        <v>3</v>
      </c>
      <c r="G3205" s="1">
        <v>7</v>
      </c>
      <c r="H3205" s="4">
        <v>0.86</v>
      </c>
      <c r="I3205" s="1">
        <v>3</v>
      </c>
      <c r="J3205" s="4">
        <v>0</v>
      </c>
      <c r="K3205" s="1">
        <v>0</v>
      </c>
      <c r="L3205" s="1">
        <v>6</v>
      </c>
      <c r="M3205" s="32">
        <f>IF(Mecze[[#This Row],[PR]]=0,0,Mecze[[#This Row],[PR]]/Mecze[[#This Row],[CZAS]])</f>
        <v>7.0588235294117646E-2</v>
      </c>
      <c r="N3205" s="32">
        <f>IF(Mecze[[#This Row],[OU]]=0,0,Mecze[[#This Row],[OU]]/Mecze[[#This Row],[CZAS]])</f>
        <v>0</v>
      </c>
      <c r="O3205" s="32">
        <f>IF(Mecze[[#This Row],[PC]]=0,0,Mecze[[#This Row],[PC]]/Mecze[[#This Row],[CZAS]])</f>
        <v>7.0588235294117646E-2</v>
      </c>
      <c r="P3205" s="32">
        <f>IF(Mecze[[#This Row],[SC]]=0,0,Mecze[[#This Row],[SC]]/Mecze[[#This Row],[CZAS]])</f>
        <v>3.5294117647058823E-2</v>
      </c>
      <c r="Q3205" s="32">
        <f>IF(Mecze[[#This Row],[OB]]=0,0,Mecze[[#This Row],[OB]]/Mecze[[#This Row],[CZAS]])</f>
        <v>0</v>
      </c>
      <c r="R3205" s="32">
        <f>IF(Mecze[[#This Row],[BR]]=0,0,Mecze[[#This Row],[BR]]/Mecze[[#This Row],[CZAS]])</f>
        <v>0</v>
      </c>
      <c r="S3205" s="44">
        <f>IF(Mecze[[#This Row],[Role]]="BR",SUMPRODUCT(Mecze[[#This Row],[/PR:90]:[/BR:90]],Brudnopis!$E$23:$J$23),0)</f>
        <v>0</v>
      </c>
      <c r="T3205" s="44">
        <f>IF(Mecze[[#This Row],[Role]]&lt;&gt;"BR",SUMPRODUCT(Mecze[[#This Row],[/PR:90]:[/BR:90]],Brudnopis!$E$24:$J$24),0)</f>
        <v>0.1764705882352941</v>
      </c>
      <c r="U3205" s="44">
        <f>IF(Mecze[[#This Row],[Role]]&lt;&gt;"BR",SUMPRODUCT(Mecze[[#This Row],[/PR:90]:[/BR:90]],Brudnopis!$E$25:$J$25),0)</f>
        <v>0.21176470588235291</v>
      </c>
      <c r="V3205" s="44">
        <f>IF(Mecze[[#This Row],[Role]]&lt;&gt;"BR",SUMPRODUCT(Mecze[[#This Row],[/PR:90]:[/BR:90]],Brudnopis!$E$26:$J$26),0)</f>
        <v>0.1764705882352941</v>
      </c>
      <c r="W3205" s="44">
        <f>IF(Mecze[[#This Row],[Role]]&lt;&gt;"BR",SUMPRODUCT(Mecze[[#This Row],[/PR:90]:[/BR:90]],Brudnopis!$E$27:$J$27),0)</f>
        <v>0.19411764705882351</v>
      </c>
      <c r="X3205" s="44">
        <f>IF(Mecze[[#This Row],[Role]]&lt;&gt;"BR",SUMPRODUCT(Mecze[[#This Row],[/PR:90]:[/BR:90]],Brudnopis!$E$28:$J$28),0)</f>
        <v>0.14117647058823529</v>
      </c>
      <c r="Y3205" s="35">
        <f>IF(Mecze[[#This Row],[Role]]="BR",Mecze[[#This Row],[/OB:90]]+Mecze[[#This Row],[/PC:90]],SUM(Mecze[[#This Row],[/PR:90]:[/BR:90]]))</f>
        <v>0.1764705882352941</v>
      </c>
      <c r="Z3205" s="35">
        <f>IF(Mecze[[#This Row],[KC]]=0,SUM(Mecze[[#This Row],[/BRI]:[/NPI]]),SUM(Mecze[[#This Row],[/BRI]:[/NPI]])*0.6)</f>
        <v>0.89999999999999991</v>
      </c>
      <c r="AA3205" s="10">
        <f>IFERROR(Mecze[[#This Row],[BR]]/Mecze[[#This Row],[ST]],0)</f>
        <v>0</v>
      </c>
      <c r="AB3205">
        <f>ROUND(Mecze[[#This Row],[PD]]*Mecze[[#This Row],[%PC]],0)</f>
        <v>6</v>
      </c>
      <c r="AC3205">
        <f>ROUND(Mecze[[#This Row],[OD]]*Mecze[[#This Row],[%OU]],0)</f>
        <v>0</v>
      </c>
      <c r="AD3205" s="36" t="s">
        <v>319</v>
      </c>
      <c r="AE3205" s="36">
        <v>179</v>
      </c>
      <c r="AF3205" s="71">
        <v>7.99</v>
      </c>
      <c r="AG3205" s="37">
        <v>0</v>
      </c>
      <c r="AH3205" s="37">
        <v>0</v>
      </c>
      <c r="AI3205" s="37">
        <v>85</v>
      </c>
      <c r="AJ3205" s="37">
        <v>6</v>
      </c>
      <c r="AK3205" s="37" t="str">
        <f>VLOOKUP(Mecze[[#This Row],[Match ID]],Meczusie[Mecz]:Meczusie[RodzajMeczu],2,FALSE)</f>
        <v>Liga</v>
      </c>
    </row>
    <row r="3206" spans="1:37" x14ac:dyDescent="0.25">
      <c r="A3206" s="76">
        <v>106</v>
      </c>
      <c r="B3206" s="3" t="s">
        <v>424</v>
      </c>
      <c r="C3206" s="2" t="s">
        <v>160</v>
      </c>
      <c r="D3206" s="1">
        <v>1</v>
      </c>
      <c r="E3206" s="1">
        <v>8</v>
      </c>
      <c r="F3206" s="1">
        <v>8</v>
      </c>
      <c r="G3206" s="1">
        <v>9</v>
      </c>
      <c r="H3206" s="4">
        <v>1</v>
      </c>
      <c r="I3206" s="1">
        <v>1</v>
      </c>
      <c r="J3206" s="4">
        <v>1</v>
      </c>
      <c r="K3206" s="1">
        <v>0</v>
      </c>
      <c r="L3206" s="1">
        <v>2</v>
      </c>
      <c r="M3206" s="32">
        <f>IF(Mecze[[#This Row],[PR]]=0,0,Mecze[[#This Row],[PR]]/Mecze[[#This Row],[CZAS]])</f>
        <v>2.0833333333333332E-2</v>
      </c>
      <c r="N3206" s="32">
        <f>IF(Mecze[[#This Row],[OU]]=0,0,Mecze[[#This Row],[OU]]/Mecze[[#This Row],[CZAS]])</f>
        <v>1.0416666666666666E-2</v>
      </c>
      <c r="O3206" s="32">
        <f>IF(Mecze[[#This Row],[PC]]=0,0,Mecze[[#This Row],[PC]]/Mecze[[#This Row],[CZAS]])</f>
        <v>9.375E-2</v>
      </c>
      <c r="P3206" s="32">
        <f>IF(Mecze[[#This Row],[SC]]=0,0,Mecze[[#This Row],[SC]]/Mecze[[#This Row],[CZAS]])</f>
        <v>8.3333333333333329E-2</v>
      </c>
      <c r="Q3206" s="32">
        <f>IF(Mecze[[#This Row],[OB]]=0,0,Mecze[[#This Row],[OB]]/Mecze[[#This Row],[CZAS]])</f>
        <v>0</v>
      </c>
      <c r="R3206" s="32">
        <f>IF(Mecze[[#This Row],[BR]]=0,0,Mecze[[#This Row],[BR]]/Mecze[[#This Row],[CZAS]])</f>
        <v>1.0416666666666666E-2</v>
      </c>
      <c r="S3206" s="44">
        <f>IF(Mecze[[#This Row],[Role]]="BR",SUMPRODUCT(Mecze[[#This Row],[/PR:90]:[/BR:90]],Brudnopis!$E$23:$J$23),0)</f>
        <v>0</v>
      </c>
      <c r="T3206" s="44">
        <f>IF(Mecze[[#This Row],[Role]]&lt;&gt;"BR",SUMPRODUCT(Mecze[[#This Row],[/PR:90]:[/BR:90]],Brudnopis!$E$24:$J$24),0)</f>
        <v>0.22916666666666663</v>
      </c>
      <c r="U3206" s="44">
        <f>IF(Mecze[[#This Row],[Role]]&lt;&gt;"BR",SUMPRODUCT(Mecze[[#This Row],[/PR:90]:[/BR:90]],Brudnopis!$E$25:$J$25),0)</f>
        <v>0.27083333333333331</v>
      </c>
      <c r="V3206" s="44">
        <f>IF(Mecze[[#This Row],[Role]]&lt;&gt;"BR",SUMPRODUCT(Mecze[[#This Row],[/PR:90]:[/BR:90]],Brudnopis!$E$26:$J$26),0)</f>
        <v>0.22916666666666666</v>
      </c>
      <c r="W3206" s="44">
        <f>IF(Mecze[[#This Row],[Role]]&lt;&gt;"BR",SUMPRODUCT(Mecze[[#This Row],[/PR:90]:[/BR:90]],Brudnopis!$E$27:$J$27),0)</f>
        <v>0.26822916666666663</v>
      </c>
      <c r="X3206" s="44">
        <f>IF(Mecze[[#This Row],[Role]]&lt;&gt;"BR",SUMPRODUCT(Mecze[[#This Row],[/PR:90]:[/BR:90]],Brudnopis!$E$28:$J$28),0)</f>
        <v>0.29166666666666663</v>
      </c>
      <c r="Y3206" s="35">
        <f>IF(Mecze[[#This Row],[Role]]="BR",Mecze[[#This Row],[/OB:90]]+Mecze[[#This Row],[/PC:90]],SUM(Mecze[[#This Row],[/PR:90]:[/BR:90]]))</f>
        <v>0.21874999999999997</v>
      </c>
      <c r="Z3206" s="35">
        <f>IF(Mecze[[#This Row],[KC]]=0,SUM(Mecze[[#This Row],[/BRI]:[/NPI]]),SUM(Mecze[[#This Row],[/BRI]:[/NPI]])*0.6)</f>
        <v>1.2890625</v>
      </c>
      <c r="AA3206" s="10">
        <f>IFERROR(Mecze[[#This Row],[BR]]/Mecze[[#This Row],[ST]],0)</f>
        <v>0.125</v>
      </c>
      <c r="AB3206">
        <f>ROUND(Mecze[[#This Row],[PD]]*Mecze[[#This Row],[%PC]],0)</f>
        <v>9</v>
      </c>
      <c r="AC3206">
        <f>ROUND(Mecze[[#This Row],[OD]]*Mecze[[#This Row],[%OU]],0)</f>
        <v>1</v>
      </c>
      <c r="AD3206" s="36" t="s">
        <v>44</v>
      </c>
      <c r="AE3206" s="36">
        <v>179</v>
      </c>
      <c r="AF3206" s="71">
        <v>11.62</v>
      </c>
      <c r="AG3206" s="37">
        <v>0</v>
      </c>
      <c r="AH3206" s="37">
        <v>0</v>
      </c>
      <c r="AI3206" s="37">
        <v>96</v>
      </c>
      <c r="AJ3206" s="37">
        <v>6</v>
      </c>
      <c r="AK3206" s="37" t="str">
        <f>VLOOKUP(Mecze[[#This Row],[Match ID]],Meczusie[Mecz]:Meczusie[RodzajMeczu],2,FALSE)</f>
        <v>Liga</v>
      </c>
    </row>
    <row r="3207" spans="1:37" x14ac:dyDescent="0.25">
      <c r="A3207" s="76">
        <v>6</v>
      </c>
      <c r="B3207" s="3" t="s">
        <v>255</v>
      </c>
      <c r="C3207" s="2" t="s">
        <v>165</v>
      </c>
      <c r="D3207" s="1">
        <v>0</v>
      </c>
      <c r="E3207" s="1">
        <v>0</v>
      </c>
      <c r="F3207" s="1">
        <v>0</v>
      </c>
      <c r="G3207" s="1">
        <v>3</v>
      </c>
      <c r="H3207" s="4">
        <v>0.33</v>
      </c>
      <c r="I3207" s="1">
        <v>0</v>
      </c>
      <c r="J3207" s="4"/>
      <c r="K3207" s="1">
        <v>0</v>
      </c>
      <c r="L3207" s="1">
        <v>0</v>
      </c>
      <c r="M3207" s="32">
        <f>IF(Mecze[[#This Row],[PR]]=0,0,Mecze[[#This Row],[PR]]/Mecze[[#This Row],[CZAS]])</f>
        <v>0</v>
      </c>
      <c r="N3207" s="32">
        <f>IF(Mecze[[#This Row],[OU]]=0,0,Mecze[[#This Row],[OU]]/Mecze[[#This Row],[CZAS]])</f>
        <v>0</v>
      </c>
      <c r="O3207" s="32">
        <f>IF(Mecze[[#This Row],[PC]]=0,0,Mecze[[#This Row],[PC]]/Mecze[[#This Row],[CZAS]])</f>
        <v>1.0416666666666666E-2</v>
      </c>
      <c r="P3207" s="32">
        <f>IF(Mecze[[#This Row],[SC]]=0,0,Mecze[[#This Row],[SC]]/Mecze[[#This Row],[CZAS]])</f>
        <v>0</v>
      </c>
      <c r="Q3207" s="32">
        <f>IF(Mecze[[#This Row],[OB]]=0,0,Mecze[[#This Row],[OB]]/Mecze[[#This Row],[CZAS]])</f>
        <v>0</v>
      </c>
      <c r="R3207" s="32">
        <f>IF(Mecze[[#This Row],[BR]]=0,0,Mecze[[#This Row],[BR]]/Mecze[[#This Row],[CZAS]])</f>
        <v>0</v>
      </c>
      <c r="S3207" s="44">
        <f>IF(Mecze[[#This Row],[Role]]="BR",SUMPRODUCT(Mecze[[#This Row],[/PR:90]:[/BR:90]],Brudnopis!$E$23:$J$23),0)</f>
        <v>0</v>
      </c>
      <c r="T3207" s="44">
        <f>IF(Mecze[[#This Row],[Role]]&lt;&gt;"BR",SUMPRODUCT(Mecze[[#This Row],[/PR:90]:[/BR:90]],Brudnopis!$E$24:$J$24),0)</f>
        <v>1.0416666666666666E-2</v>
      </c>
      <c r="U3207" s="44">
        <f>IF(Mecze[[#This Row],[Role]]&lt;&gt;"BR",SUMPRODUCT(Mecze[[#This Row],[/PR:90]:[/BR:90]],Brudnopis!$E$25:$J$25),0)</f>
        <v>1.5625E-2</v>
      </c>
      <c r="V3207" s="44">
        <f>IF(Mecze[[#This Row],[Role]]&lt;&gt;"BR",SUMPRODUCT(Mecze[[#This Row],[/PR:90]:[/BR:90]],Brudnopis!$E$26:$J$26),0)</f>
        <v>1.0416666666666666E-2</v>
      </c>
      <c r="W3207" s="44">
        <f>IF(Mecze[[#This Row],[Role]]&lt;&gt;"BR",SUMPRODUCT(Mecze[[#This Row],[/PR:90]:[/BR:90]],Brudnopis!$E$27:$J$27),0)</f>
        <v>1.5625E-2</v>
      </c>
      <c r="X3207" s="44">
        <f>IF(Mecze[[#This Row],[Role]]&lt;&gt;"BR",SUMPRODUCT(Mecze[[#This Row],[/PR:90]:[/BR:90]],Brudnopis!$E$28:$J$28),0)</f>
        <v>1.0416666666666666E-2</v>
      </c>
      <c r="Y3207" s="35">
        <f>IF(Mecze[[#This Row],[Role]]="BR",Mecze[[#This Row],[/OB:90]]+Mecze[[#This Row],[/PC:90]],SUM(Mecze[[#This Row],[/PR:90]:[/BR:90]]))</f>
        <v>1.0416666666666666E-2</v>
      </c>
      <c r="Z3207" s="35">
        <f>IF(Mecze[[#This Row],[KC]]=0,SUM(Mecze[[#This Row],[/BRI]:[/NPI]]),SUM(Mecze[[#This Row],[/BRI]:[/NPI]])*0.6)</f>
        <v>6.2499999999999993E-2</v>
      </c>
      <c r="AA3207" s="10">
        <f>IFERROR(Mecze[[#This Row],[BR]]/Mecze[[#This Row],[ST]],0)</f>
        <v>0</v>
      </c>
      <c r="AB3207">
        <f>ROUND(Mecze[[#This Row],[PD]]*Mecze[[#This Row],[%PC]],0)</f>
        <v>1</v>
      </c>
      <c r="AC3207">
        <f>ROUND(Mecze[[#This Row],[OD]]*Mecze[[#This Row],[%OU]],0)</f>
        <v>0</v>
      </c>
      <c r="AD3207" s="36" t="s">
        <v>232</v>
      </c>
      <c r="AE3207" s="36">
        <v>179</v>
      </c>
      <c r="AF3207" s="71">
        <v>3.93</v>
      </c>
      <c r="AG3207" s="37">
        <v>0</v>
      </c>
      <c r="AH3207" s="37">
        <v>0</v>
      </c>
      <c r="AI3207" s="37">
        <v>96</v>
      </c>
      <c r="AJ3207" s="37">
        <v>6</v>
      </c>
      <c r="AK3207" s="37" t="str">
        <f>VLOOKUP(Mecze[[#This Row],[Match ID]],Meczusie[Mecz]:Meczusie[RodzajMeczu],2,FALSE)</f>
        <v>Liga</v>
      </c>
    </row>
    <row r="3208" spans="1:37" x14ac:dyDescent="0.25">
      <c r="A3208" s="76">
        <v>5</v>
      </c>
      <c r="B3208" s="3" t="s">
        <v>256</v>
      </c>
      <c r="C3208" s="2" t="s">
        <v>165</v>
      </c>
      <c r="D3208" s="1">
        <v>4</v>
      </c>
      <c r="E3208" s="1">
        <v>19</v>
      </c>
      <c r="F3208" s="1">
        <v>19</v>
      </c>
      <c r="G3208" s="1">
        <v>6</v>
      </c>
      <c r="H3208" s="4">
        <v>0.83</v>
      </c>
      <c r="I3208" s="1">
        <v>0</v>
      </c>
      <c r="J3208" s="4"/>
      <c r="K3208" s="1">
        <v>0</v>
      </c>
      <c r="L3208" s="1">
        <v>0</v>
      </c>
      <c r="M3208" s="32">
        <f>IF(Mecze[[#This Row],[PR]]=0,0,Mecze[[#This Row],[PR]]/Mecze[[#This Row],[CZAS]])</f>
        <v>0</v>
      </c>
      <c r="N3208" s="32">
        <f>IF(Mecze[[#This Row],[OU]]=0,0,Mecze[[#This Row],[OU]]/Mecze[[#This Row],[CZAS]])</f>
        <v>0</v>
      </c>
      <c r="O3208" s="32">
        <f>IF(Mecze[[#This Row],[PC]]=0,0,Mecze[[#This Row],[PC]]/Mecze[[#This Row],[CZAS]])</f>
        <v>5.2083333333333336E-2</v>
      </c>
      <c r="P3208" s="32">
        <f>IF(Mecze[[#This Row],[SC]]=0,0,Mecze[[#This Row],[SC]]/Mecze[[#This Row],[CZAS]])</f>
        <v>0.19791666666666666</v>
      </c>
      <c r="Q3208" s="32">
        <f>IF(Mecze[[#This Row],[OB]]=0,0,Mecze[[#This Row],[OB]]/Mecze[[#This Row],[CZAS]])</f>
        <v>0</v>
      </c>
      <c r="R3208" s="32">
        <f>IF(Mecze[[#This Row],[BR]]=0,0,Mecze[[#This Row],[BR]]/Mecze[[#This Row],[CZAS]])</f>
        <v>4.1666666666666664E-2</v>
      </c>
      <c r="S3208" s="44">
        <f>IF(Mecze[[#This Row],[Role]]="BR",SUMPRODUCT(Mecze[[#This Row],[/PR:90]:[/BR:90]],Brudnopis!$E$23:$J$23),0)</f>
        <v>0</v>
      </c>
      <c r="T3208" s="44">
        <f>IF(Mecze[[#This Row],[Role]]&lt;&gt;"BR",SUMPRODUCT(Mecze[[#This Row],[/PR:90]:[/BR:90]],Brudnopis!$E$24:$J$24),0)</f>
        <v>0.3125</v>
      </c>
      <c r="U3208" s="44">
        <f>IF(Mecze[[#This Row],[Role]]&lt;&gt;"BR",SUMPRODUCT(Mecze[[#This Row],[/PR:90]:[/BR:90]],Brudnopis!$E$25:$J$25),0)</f>
        <v>0.33854166666666663</v>
      </c>
      <c r="V3208" s="44">
        <f>IF(Mecze[[#This Row],[Role]]&lt;&gt;"BR",SUMPRODUCT(Mecze[[#This Row],[/PR:90]:[/BR:90]],Brudnopis!$E$26:$J$26),0)</f>
        <v>0.33333333333333331</v>
      </c>
      <c r="W3208" s="44">
        <f>IF(Mecze[[#This Row],[Role]]&lt;&gt;"BR",SUMPRODUCT(Mecze[[#This Row],[/PR:90]:[/BR:90]],Brudnopis!$E$27:$J$27),0)</f>
        <v>0.35937499999999994</v>
      </c>
      <c r="X3208" s="44">
        <f>IF(Mecze[[#This Row],[Role]]&lt;&gt;"BR",SUMPRODUCT(Mecze[[#This Row],[/PR:90]:[/BR:90]],Brudnopis!$E$28:$J$28),0)</f>
        <v>0.57291666666666663</v>
      </c>
      <c r="Y3208" s="35">
        <f>IF(Mecze[[#This Row],[Role]]="BR",Mecze[[#This Row],[/OB:90]]+Mecze[[#This Row],[/PC:90]],SUM(Mecze[[#This Row],[/PR:90]:[/BR:90]]))</f>
        <v>0.29166666666666669</v>
      </c>
      <c r="Z3208" s="35">
        <f>IF(Mecze[[#This Row],[KC]]=0,SUM(Mecze[[#This Row],[/BRI]:[/NPI]]),SUM(Mecze[[#This Row],[/BRI]:[/NPI]])*0.6)</f>
        <v>1.9166666666666665</v>
      </c>
      <c r="AA3208" s="10">
        <f>IFERROR(Mecze[[#This Row],[BR]]/Mecze[[#This Row],[ST]],0)</f>
        <v>0.21052631578947367</v>
      </c>
      <c r="AB3208">
        <f>ROUND(Mecze[[#This Row],[PD]]*Mecze[[#This Row],[%PC]],0)</f>
        <v>5</v>
      </c>
      <c r="AC3208">
        <f>ROUND(Mecze[[#This Row],[OD]]*Mecze[[#This Row],[%OU]],0)</f>
        <v>0</v>
      </c>
      <c r="AD3208" s="36" t="s">
        <v>46</v>
      </c>
      <c r="AE3208" s="36">
        <v>179</v>
      </c>
      <c r="AF3208" s="71">
        <v>19.559999999999999</v>
      </c>
      <c r="AG3208" s="37">
        <v>0</v>
      </c>
      <c r="AH3208" s="37">
        <v>0</v>
      </c>
      <c r="AI3208" s="37">
        <v>96</v>
      </c>
      <c r="AJ3208" s="37">
        <v>6</v>
      </c>
      <c r="AK3208" s="37" t="str">
        <f>VLOOKUP(Mecze[[#This Row],[Match ID]],Meczusie[Mecz]:Meczusie[RodzajMeczu],2,FALSE)</f>
        <v>Liga</v>
      </c>
    </row>
    <row r="3209" spans="1:37" x14ac:dyDescent="0.25">
      <c r="A3209" s="76">
        <v>100</v>
      </c>
      <c r="B3209" s="3" t="s">
        <v>257</v>
      </c>
      <c r="C3209" s="2" t="s">
        <v>165</v>
      </c>
      <c r="D3209" s="1">
        <v>1</v>
      </c>
      <c r="E3209" s="1">
        <v>6</v>
      </c>
      <c r="F3209" s="1">
        <v>6</v>
      </c>
      <c r="G3209" s="1">
        <v>13</v>
      </c>
      <c r="H3209" s="4">
        <v>0.92</v>
      </c>
      <c r="I3209" s="1">
        <v>1</v>
      </c>
      <c r="J3209" s="4">
        <v>1</v>
      </c>
      <c r="K3209" s="1">
        <v>0</v>
      </c>
      <c r="L3209" s="1">
        <v>1</v>
      </c>
      <c r="M3209" s="32">
        <f>IF(Mecze[[#This Row],[PR]]=0,0,Mecze[[#This Row],[PR]]/Mecze[[#This Row],[CZAS]])</f>
        <v>1.0416666666666666E-2</v>
      </c>
      <c r="N3209" s="32">
        <f>IF(Mecze[[#This Row],[OU]]=0,0,Mecze[[#This Row],[OU]]/Mecze[[#This Row],[CZAS]])</f>
        <v>1.0416666666666666E-2</v>
      </c>
      <c r="O3209" s="32">
        <f>IF(Mecze[[#This Row],[PC]]=0,0,Mecze[[#This Row],[PC]]/Mecze[[#This Row],[CZAS]])</f>
        <v>0.125</v>
      </c>
      <c r="P3209" s="32">
        <f>IF(Mecze[[#This Row],[SC]]=0,0,Mecze[[#This Row],[SC]]/Mecze[[#This Row],[CZAS]])</f>
        <v>6.25E-2</v>
      </c>
      <c r="Q3209" s="32">
        <f>IF(Mecze[[#This Row],[OB]]=0,0,Mecze[[#This Row],[OB]]/Mecze[[#This Row],[CZAS]])</f>
        <v>0</v>
      </c>
      <c r="R3209" s="32">
        <f>IF(Mecze[[#This Row],[BR]]=0,0,Mecze[[#This Row],[BR]]/Mecze[[#This Row],[CZAS]])</f>
        <v>1.0416666666666666E-2</v>
      </c>
      <c r="S3209" s="44">
        <f>IF(Mecze[[#This Row],[Role]]="BR",SUMPRODUCT(Mecze[[#This Row],[/PR:90]:[/BR:90]],Brudnopis!$E$23:$J$23),0)</f>
        <v>0</v>
      </c>
      <c r="T3209" s="44">
        <f>IF(Mecze[[#This Row],[Role]]&lt;&gt;"BR",SUMPRODUCT(Mecze[[#This Row],[/PR:90]:[/BR:90]],Brudnopis!$E$24:$J$24),0)</f>
        <v>0.22916666666666666</v>
      </c>
      <c r="U3209" s="44">
        <f>IF(Mecze[[#This Row],[Role]]&lt;&gt;"BR",SUMPRODUCT(Mecze[[#This Row],[/PR:90]:[/BR:90]],Brudnopis!$E$25:$J$25),0)</f>
        <v>0.28645833333333337</v>
      </c>
      <c r="V3209" s="44">
        <f>IF(Mecze[[#This Row],[Role]]&lt;&gt;"BR",SUMPRODUCT(Mecze[[#This Row],[/PR:90]:[/BR:90]],Brudnopis!$E$26:$J$26),0)</f>
        <v>0.22916666666666669</v>
      </c>
      <c r="W3209" s="44">
        <f>IF(Mecze[[#This Row],[Role]]&lt;&gt;"BR",SUMPRODUCT(Mecze[[#This Row],[/PR:90]:[/BR:90]],Brudnopis!$E$27:$J$27),0)</f>
        <v>0.28645833333333331</v>
      </c>
      <c r="X3209" s="44">
        <f>IF(Mecze[[#This Row],[Role]]&lt;&gt;"BR",SUMPRODUCT(Mecze[[#This Row],[/PR:90]:[/BR:90]],Brudnopis!$E$28:$J$28),0)</f>
        <v>0.28125</v>
      </c>
      <c r="Y3209" s="35">
        <f>IF(Mecze[[#This Row],[Role]]="BR",Mecze[[#This Row],[/OB:90]]+Mecze[[#This Row],[/PC:90]],SUM(Mecze[[#This Row],[/PR:90]:[/BR:90]]))</f>
        <v>0.21875</v>
      </c>
      <c r="Z3209" s="35">
        <f>IF(Mecze[[#This Row],[KC]]=0,SUM(Mecze[[#This Row],[/BRI]:[/NPI]]),SUM(Mecze[[#This Row],[/BRI]:[/NPI]])*0.6)</f>
        <v>1.3125</v>
      </c>
      <c r="AA3209" s="10">
        <f>IFERROR(Mecze[[#This Row],[BR]]/Mecze[[#This Row],[ST]],0)</f>
        <v>0.16666666666666666</v>
      </c>
      <c r="AB3209">
        <f>ROUND(Mecze[[#This Row],[PD]]*Mecze[[#This Row],[%PC]],0)</f>
        <v>12</v>
      </c>
      <c r="AC3209">
        <f>ROUND(Mecze[[#This Row],[OD]]*Mecze[[#This Row],[%OU]],0)</f>
        <v>1</v>
      </c>
      <c r="AD3209" s="36" t="s">
        <v>46</v>
      </c>
      <c r="AE3209" s="36">
        <v>179</v>
      </c>
      <c r="AF3209" s="71">
        <v>9.8000000000000007</v>
      </c>
      <c r="AG3209" s="37">
        <v>0</v>
      </c>
      <c r="AH3209" s="37">
        <v>0</v>
      </c>
      <c r="AI3209" s="37">
        <v>96</v>
      </c>
      <c r="AJ3209" s="37">
        <v>6</v>
      </c>
      <c r="AK3209" s="37" t="str">
        <f>VLOOKUP(Mecze[[#This Row],[Match ID]],Meczusie[Mecz]:Meczusie[RodzajMeczu],2,FALSE)</f>
        <v>Liga</v>
      </c>
    </row>
    <row r="3210" spans="1:37" x14ac:dyDescent="0.25">
      <c r="A3210" s="76">
        <v>9</v>
      </c>
      <c r="B3210" s="3" t="s">
        <v>258</v>
      </c>
      <c r="C3210" s="2" t="s">
        <v>160</v>
      </c>
      <c r="D3210" s="1">
        <v>0</v>
      </c>
      <c r="E3210" s="1">
        <v>0</v>
      </c>
      <c r="F3210" s="1">
        <v>0</v>
      </c>
      <c r="G3210" s="1">
        <v>1</v>
      </c>
      <c r="H3210" s="4">
        <v>1</v>
      </c>
      <c r="I3210" s="1">
        <v>1</v>
      </c>
      <c r="J3210" s="4">
        <v>0</v>
      </c>
      <c r="K3210" s="1">
        <v>0</v>
      </c>
      <c r="L3210" s="1">
        <v>0</v>
      </c>
      <c r="M3210" s="32">
        <f>IF(Mecze[[#This Row],[PR]]=0,0,Mecze[[#This Row],[PR]]/Mecze[[#This Row],[CZAS]])</f>
        <v>0</v>
      </c>
      <c r="N3210" s="32">
        <f>IF(Mecze[[#This Row],[OU]]=0,0,Mecze[[#This Row],[OU]]/Mecze[[#This Row],[CZAS]])</f>
        <v>0</v>
      </c>
      <c r="O3210" s="32">
        <f>IF(Mecze[[#This Row],[PC]]=0,0,Mecze[[#This Row],[PC]]/Mecze[[#This Row],[CZAS]])</f>
        <v>9.0909090909090912E-2</v>
      </c>
      <c r="P3210" s="32">
        <f>IF(Mecze[[#This Row],[SC]]=0,0,Mecze[[#This Row],[SC]]/Mecze[[#This Row],[CZAS]])</f>
        <v>0</v>
      </c>
      <c r="Q3210" s="32">
        <f>IF(Mecze[[#This Row],[OB]]=0,0,Mecze[[#This Row],[OB]]/Mecze[[#This Row],[CZAS]])</f>
        <v>0</v>
      </c>
      <c r="R3210" s="32">
        <f>IF(Mecze[[#This Row],[BR]]=0,0,Mecze[[#This Row],[BR]]/Mecze[[#This Row],[CZAS]])</f>
        <v>0</v>
      </c>
      <c r="S3210" s="44">
        <f>IF(Mecze[[#This Row],[Role]]="BR",SUMPRODUCT(Mecze[[#This Row],[/PR:90]:[/BR:90]],Brudnopis!$E$23:$J$23),0)</f>
        <v>0</v>
      </c>
      <c r="T3210" s="44">
        <f>IF(Mecze[[#This Row],[Role]]&lt;&gt;"BR",SUMPRODUCT(Mecze[[#This Row],[/PR:90]:[/BR:90]],Brudnopis!$E$24:$J$24),0)</f>
        <v>9.0909090909090912E-2</v>
      </c>
      <c r="U3210" s="44">
        <f>IF(Mecze[[#This Row],[Role]]&lt;&gt;"BR",SUMPRODUCT(Mecze[[#This Row],[/PR:90]:[/BR:90]],Brudnopis!$E$25:$J$25),0)</f>
        <v>0.13636363636363635</v>
      </c>
      <c r="V3210" s="44">
        <f>IF(Mecze[[#This Row],[Role]]&lt;&gt;"BR",SUMPRODUCT(Mecze[[#This Row],[/PR:90]:[/BR:90]],Brudnopis!$E$26:$J$26),0)</f>
        <v>9.0909090909090912E-2</v>
      </c>
      <c r="W3210" s="44">
        <f>IF(Mecze[[#This Row],[Role]]&lt;&gt;"BR",SUMPRODUCT(Mecze[[#This Row],[/PR:90]:[/BR:90]],Brudnopis!$E$27:$J$27),0)</f>
        <v>0.13636363636363635</v>
      </c>
      <c r="X3210" s="44">
        <f>IF(Mecze[[#This Row],[Role]]&lt;&gt;"BR",SUMPRODUCT(Mecze[[#This Row],[/PR:90]:[/BR:90]],Brudnopis!$E$28:$J$28),0)</f>
        <v>9.0909090909090912E-2</v>
      </c>
      <c r="Y3210" s="35">
        <f>IF(Mecze[[#This Row],[Role]]="BR",Mecze[[#This Row],[/OB:90]]+Mecze[[#This Row],[/PC:90]],SUM(Mecze[[#This Row],[/PR:90]:[/BR:90]]))</f>
        <v>9.0909090909090912E-2</v>
      </c>
      <c r="Z3210" s="35">
        <f>IF(Mecze[[#This Row],[KC]]=0,SUM(Mecze[[#This Row],[/BRI]:[/NPI]]),SUM(Mecze[[#This Row],[/BRI]:[/NPI]])*0.6)</f>
        <v>0.54545454545454541</v>
      </c>
      <c r="AA3210" s="10">
        <f>IFERROR(Mecze[[#This Row],[BR]]/Mecze[[#This Row],[ST]],0)</f>
        <v>0</v>
      </c>
      <c r="AB3210">
        <f>ROUND(Mecze[[#This Row],[PD]]*Mecze[[#This Row],[%PC]],0)</f>
        <v>1</v>
      </c>
      <c r="AC3210">
        <f>ROUND(Mecze[[#This Row],[OD]]*Mecze[[#This Row],[%OU]],0)</f>
        <v>0</v>
      </c>
      <c r="AD3210" s="36" t="s">
        <v>319</v>
      </c>
      <c r="AE3210" s="36">
        <v>179</v>
      </c>
      <c r="AF3210" s="71">
        <v>1.72</v>
      </c>
      <c r="AG3210" s="37">
        <v>0</v>
      </c>
      <c r="AH3210" s="37">
        <v>0</v>
      </c>
      <c r="AI3210" s="37">
        <v>11</v>
      </c>
      <c r="AJ3210" s="37">
        <v>6</v>
      </c>
      <c r="AK3210" s="37" t="str">
        <f>VLOOKUP(Mecze[[#This Row],[Match ID]],Meczusie[Mecz]:Meczusie[RodzajMeczu],2,FALSE)</f>
        <v>Liga</v>
      </c>
    </row>
    <row r="3211" spans="1:37" x14ac:dyDescent="0.25">
      <c r="A3211" s="76">
        <v>105</v>
      </c>
      <c r="B3211" s="3" t="s">
        <v>423</v>
      </c>
      <c r="C3211" s="2" t="s">
        <v>157</v>
      </c>
      <c r="D3211" s="1">
        <v>0</v>
      </c>
      <c r="E3211" s="1">
        <v>0</v>
      </c>
      <c r="F3211" s="1">
        <v>0</v>
      </c>
      <c r="G3211" s="1">
        <v>1</v>
      </c>
      <c r="H3211" s="4">
        <v>1</v>
      </c>
      <c r="I3211" s="1">
        <v>0</v>
      </c>
      <c r="J3211" s="4"/>
      <c r="K3211" s="1">
        <v>0</v>
      </c>
      <c r="L3211" s="1">
        <v>1</v>
      </c>
      <c r="M3211" s="32">
        <f>IF(Mecze[[#This Row],[PR]]=0,0,Mecze[[#This Row],[PR]]/Mecze[[#This Row],[CZAS]])</f>
        <v>0.1</v>
      </c>
      <c r="N3211" s="32">
        <f>IF(Mecze[[#This Row],[OU]]=0,0,Mecze[[#This Row],[OU]]/Mecze[[#This Row],[CZAS]])</f>
        <v>0</v>
      </c>
      <c r="O3211" s="32">
        <f>IF(Mecze[[#This Row],[PC]]=0,0,Mecze[[#This Row],[PC]]/Mecze[[#This Row],[CZAS]])</f>
        <v>0.1</v>
      </c>
      <c r="P3211" s="32">
        <f>IF(Mecze[[#This Row],[SC]]=0,0,Mecze[[#This Row],[SC]]/Mecze[[#This Row],[CZAS]])</f>
        <v>0</v>
      </c>
      <c r="Q3211" s="32">
        <f>IF(Mecze[[#This Row],[OB]]=0,0,Mecze[[#This Row],[OB]]/Mecze[[#This Row],[CZAS]])</f>
        <v>0</v>
      </c>
      <c r="R3211" s="32">
        <f>IF(Mecze[[#This Row],[BR]]=0,0,Mecze[[#This Row],[BR]]/Mecze[[#This Row],[CZAS]])</f>
        <v>0</v>
      </c>
      <c r="S3211" s="44">
        <f>IF(Mecze[[#This Row],[Role]]="BR",SUMPRODUCT(Mecze[[#This Row],[/PR:90]:[/BR:90]],Brudnopis!$E$23:$J$23),0)</f>
        <v>0</v>
      </c>
      <c r="T3211" s="44">
        <f>IF(Mecze[[#This Row],[Role]]&lt;&gt;"BR",SUMPRODUCT(Mecze[[#This Row],[/PR:90]:[/BR:90]],Brudnopis!$E$24:$J$24),0)</f>
        <v>0.2</v>
      </c>
      <c r="U3211" s="44">
        <f>IF(Mecze[[#This Row],[Role]]&lt;&gt;"BR",SUMPRODUCT(Mecze[[#This Row],[/PR:90]:[/BR:90]],Brudnopis!$E$25:$J$25),0)</f>
        <v>0.25</v>
      </c>
      <c r="V3211" s="44">
        <f>IF(Mecze[[#This Row],[Role]]&lt;&gt;"BR",SUMPRODUCT(Mecze[[#This Row],[/PR:90]:[/BR:90]],Brudnopis!$E$26:$J$26),0)</f>
        <v>0.2</v>
      </c>
      <c r="W3211" s="44">
        <f>IF(Mecze[[#This Row],[Role]]&lt;&gt;"BR",SUMPRODUCT(Mecze[[#This Row],[/PR:90]:[/BR:90]],Brudnopis!$E$27:$J$27),0)</f>
        <v>0.22500000000000003</v>
      </c>
      <c r="X3211" s="44">
        <f>IF(Mecze[[#This Row],[Role]]&lt;&gt;"BR",SUMPRODUCT(Mecze[[#This Row],[/PR:90]:[/BR:90]],Brudnopis!$E$28:$J$28),0)</f>
        <v>0.1</v>
      </c>
      <c r="Y3211" s="35">
        <f>IF(Mecze[[#This Row],[Role]]="BR",Mecze[[#This Row],[/OB:90]]+Mecze[[#This Row],[/PC:90]],SUM(Mecze[[#This Row],[/PR:90]:[/BR:90]]))</f>
        <v>0.2</v>
      </c>
      <c r="Z3211" s="35">
        <f>IF(Mecze[[#This Row],[KC]]=0,SUM(Mecze[[#This Row],[/BRI]:[/NPI]]),SUM(Mecze[[#This Row],[/BRI]:[/NPI]])*0.6)</f>
        <v>0.97499999999999998</v>
      </c>
      <c r="AA3211" s="10">
        <f>IFERROR(Mecze[[#This Row],[BR]]/Mecze[[#This Row],[ST]],0)</f>
        <v>0</v>
      </c>
      <c r="AB3211">
        <f>ROUND(Mecze[[#This Row],[PD]]*Mecze[[#This Row],[%PC]],0)</f>
        <v>1</v>
      </c>
      <c r="AC3211">
        <f>ROUND(Mecze[[#This Row],[OD]]*Mecze[[#This Row],[%OU]],0)</f>
        <v>0</v>
      </c>
      <c r="AD3211" s="36" t="s">
        <v>167</v>
      </c>
      <c r="AE3211" s="36">
        <v>179</v>
      </c>
      <c r="AF3211" s="71">
        <v>1.93</v>
      </c>
      <c r="AG3211" s="37">
        <v>0</v>
      </c>
      <c r="AH3211" s="37">
        <v>0</v>
      </c>
      <c r="AI3211" s="37">
        <v>10</v>
      </c>
      <c r="AJ3211" s="37">
        <v>6</v>
      </c>
      <c r="AK3211" s="37" t="str">
        <f>VLOOKUP(Mecze[[#This Row],[Match ID]],Meczusie[Mecz]:Meczusie[RodzajMeczu],2,FALSE)</f>
        <v>Liga</v>
      </c>
    </row>
    <row r="3212" spans="1:37" x14ac:dyDescent="0.25">
      <c r="A3212" s="76">
        <v>1</v>
      </c>
      <c r="B3212" s="3" t="s">
        <v>261</v>
      </c>
      <c r="C3212" s="2" t="s">
        <v>155</v>
      </c>
      <c r="D3212" s="1">
        <v>0</v>
      </c>
      <c r="E3212" s="1">
        <v>0</v>
      </c>
      <c r="F3212" s="1">
        <v>0</v>
      </c>
      <c r="G3212" s="1">
        <v>29</v>
      </c>
      <c r="H3212" s="4">
        <v>0.38</v>
      </c>
      <c r="I3212" s="1">
        <v>0</v>
      </c>
      <c r="J3212" s="4"/>
      <c r="K3212" s="1">
        <v>31</v>
      </c>
      <c r="L3212" s="1">
        <v>0</v>
      </c>
      <c r="M3212" s="32">
        <f>IF(Mecze[[#This Row],[PR]]=0,0,Mecze[[#This Row],[PR]]/Mecze[[#This Row],[CZAS]])</f>
        <v>0</v>
      </c>
      <c r="N3212" s="32">
        <f>IF(Mecze[[#This Row],[OU]]=0,0,Mecze[[#This Row],[OU]]/Mecze[[#This Row],[CZAS]])</f>
        <v>0</v>
      </c>
      <c r="O3212" s="32">
        <f>IF(Mecze[[#This Row],[PC]]=0,0,Mecze[[#This Row],[PC]]/Mecze[[#This Row],[CZAS]])</f>
        <v>0.11458333333333333</v>
      </c>
      <c r="P3212" s="32">
        <f>IF(Mecze[[#This Row],[SC]]=0,0,Mecze[[#This Row],[SC]]/Mecze[[#This Row],[CZAS]])</f>
        <v>0</v>
      </c>
      <c r="Q3212" s="32">
        <f>IF(Mecze[[#This Row],[OB]]=0,0,Mecze[[#This Row],[OB]]/Mecze[[#This Row],[CZAS]])</f>
        <v>0.32291666666666669</v>
      </c>
      <c r="R3212" s="32">
        <f>IF(Mecze[[#This Row],[BR]]=0,0,Mecze[[#This Row],[BR]]/Mecze[[#This Row],[CZAS]])</f>
        <v>0</v>
      </c>
      <c r="S3212" s="44">
        <f>IF(Mecze[[#This Row],[Role]]="BR",SUMPRODUCT(Mecze[[#This Row],[/PR:90]:[/BR:90]],Brudnopis!$E$23:$J$23),0)</f>
        <v>1.3125</v>
      </c>
      <c r="T3212" s="44">
        <f>IF(Mecze[[#This Row],[Role]]&lt;&gt;"BR",SUMPRODUCT(Mecze[[#This Row],[/PR:90]:[/BR:90]],Brudnopis!$E$24:$J$24),0)</f>
        <v>0</v>
      </c>
      <c r="U3212" s="44">
        <f>IF(Mecze[[#This Row],[Role]]&lt;&gt;"BR",SUMPRODUCT(Mecze[[#This Row],[/PR:90]:[/BR:90]],Brudnopis!$E$25:$J$25),0)</f>
        <v>0</v>
      </c>
      <c r="V3212" s="44">
        <f>IF(Mecze[[#This Row],[Role]]&lt;&gt;"BR",SUMPRODUCT(Mecze[[#This Row],[/PR:90]:[/BR:90]],Brudnopis!$E$26:$J$26),0)</f>
        <v>0</v>
      </c>
      <c r="W3212" s="44">
        <f>IF(Mecze[[#This Row],[Role]]&lt;&gt;"BR",SUMPRODUCT(Mecze[[#This Row],[/PR:90]:[/BR:90]],Brudnopis!$E$27:$J$27),0)</f>
        <v>0</v>
      </c>
      <c r="X3212" s="44">
        <f>IF(Mecze[[#This Row],[Role]]&lt;&gt;"BR",SUMPRODUCT(Mecze[[#This Row],[/PR:90]:[/BR:90]],Brudnopis!$E$28:$J$28),0)</f>
        <v>0</v>
      </c>
      <c r="Y3212" s="35">
        <f>IF(Mecze[[#This Row],[Role]]="BR",Mecze[[#This Row],[/OB:90]]+Mecze[[#This Row],[/PC:90]],SUM(Mecze[[#This Row],[/PR:90]:[/BR:90]]))</f>
        <v>0.4375</v>
      </c>
      <c r="Z3212" s="35">
        <f>IF(Mecze[[#This Row],[KC]]=0,SUM(Mecze[[#This Row],[/BRI]:[/NPI]]),SUM(Mecze[[#This Row],[/BRI]:[/NPI]])*0.6)</f>
        <v>1.3125</v>
      </c>
      <c r="AA3212" s="10">
        <f>IFERROR(Mecze[[#This Row],[BR]]/Mecze[[#This Row],[ST]],0)</f>
        <v>0</v>
      </c>
      <c r="AB3212">
        <f>ROUND(Mecze[[#This Row],[PD]]*Mecze[[#This Row],[%PC]],0)</f>
        <v>11</v>
      </c>
      <c r="AC3212">
        <f>ROUND(Mecze[[#This Row],[OD]]*Mecze[[#This Row],[%OU]],0)</f>
        <v>0</v>
      </c>
      <c r="AD3212" s="36" t="s">
        <v>40</v>
      </c>
      <c r="AE3212" s="36">
        <v>179</v>
      </c>
      <c r="AF3212" s="71">
        <v>10.23</v>
      </c>
      <c r="AG3212" s="37">
        <v>0</v>
      </c>
      <c r="AH3212" s="37">
        <v>0</v>
      </c>
      <c r="AI3212" s="37">
        <v>96</v>
      </c>
      <c r="AJ3212" s="37">
        <v>3</v>
      </c>
      <c r="AK3212" s="37" t="str">
        <f>VLOOKUP(Mecze[[#This Row],[Match ID]],Meczusie[Mecz]:Meczusie[RodzajMeczu],2,FALSE)</f>
        <v>Liga</v>
      </c>
    </row>
    <row r="3213" spans="1:37" x14ac:dyDescent="0.25">
      <c r="A3213" s="76">
        <v>13</v>
      </c>
      <c r="B3213" s="3" t="s">
        <v>262</v>
      </c>
      <c r="C3213" s="2" t="s">
        <v>157</v>
      </c>
      <c r="D3213" s="1">
        <v>0</v>
      </c>
      <c r="E3213" s="1">
        <v>0</v>
      </c>
      <c r="F3213" s="1">
        <v>0</v>
      </c>
      <c r="G3213" s="1">
        <v>5</v>
      </c>
      <c r="H3213" s="4">
        <v>0.2</v>
      </c>
      <c r="I3213" s="1">
        <v>5</v>
      </c>
      <c r="J3213" s="4">
        <v>0.4</v>
      </c>
      <c r="K3213" s="1">
        <v>0</v>
      </c>
      <c r="L3213" s="1">
        <v>3</v>
      </c>
      <c r="M3213" s="32">
        <f>IF(Mecze[[#This Row],[PR]]=0,0,Mecze[[#This Row],[PR]]/Mecze[[#This Row],[CZAS]])</f>
        <v>3.125E-2</v>
      </c>
      <c r="N3213" s="32">
        <f>IF(Mecze[[#This Row],[OU]]=0,0,Mecze[[#This Row],[OU]]/Mecze[[#This Row],[CZAS]])</f>
        <v>2.0833333333333332E-2</v>
      </c>
      <c r="O3213" s="32">
        <f>IF(Mecze[[#This Row],[PC]]=0,0,Mecze[[#This Row],[PC]]/Mecze[[#This Row],[CZAS]])</f>
        <v>1.0416666666666666E-2</v>
      </c>
      <c r="P3213" s="32">
        <f>IF(Mecze[[#This Row],[SC]]=0,0,Mecze[[#This Row],[SC]]/Mecze[[#This Row],[CZAS]])</f>
        <v>0</v>
      </c>
      <c r="Q3213" s="32">
        <f>IF(Mecze[[#This Row],[OB]]=0,0,Mecze[[#This Row],[OB]]/Mecze[[#This Row],[CZAS]])</f>
        <v>0</v>
      </c>
      <c r="R3213" s="32">
        <f>IF(Mecze[[#This Row],[BR]]=0,0,Mecze[[#This Row],[BR]]/Mecze[[#This Row],[CZAS]])</f>
        <v>0</v>
      </c>
      <c r="S3213" s="44">
        <f>IF(Mecze[[#This Row],[Role]]="BR",SUMPRODUCT(Mecze[[#This Row],[/PR:90]:[/BR:90]],Brudnopis!$E$23:$J$23),0)</f>
        <v>0</v>
      </c>
      <c r="T3213" s="44">
        <f>IF(Mecze[[#This Row],[Role]]&lt;&gt;"BR",SUMPRODUCT(Mecze[[#This Row],[/PR:90]:[/BR:90]],Brudnopis!$E$24:$J$24),0)</f>
        <v>7.2916666666666671E-2</v>
      </c>
      <c r="U3213" s="44">
        <f>IF(Mecze[[#This Row],[Role]]&lt;&gt;"BR",SUMPRODUCT(Mecze[[#This Row],[/PR:90]:[/BR:90]],Brudnopis!$E$25:$J$25),0)</f>
        <v>6.7708333333333329E-2</v>
      </c>
      <c r="V3213" s="44">
        <f>IF(Mecze[[#This Row],[Role]]&lt;&gt;"BR",SUMPRODUCT(Mecze[[#This Row],[/PR:90]:[/BR:90]],Brudnopis!$E$26:$J$26),0)</f>
        <v>6.2499999999999993E-2</v>
      </c>
      <c r="W3213" s="44">
        <f>IF(Mecze[[#This Row],[Role]]&lt;&gt;"BR",SUMPRODUCT(Mecze[[#This Row],[/PR:90]:[/BR:90]],Brudnopis!$E$27:$J$27),0)</f>
        <v>5.46875E-2</v>
      </c>
      <c r="X3213" s="44">
        <f>IF(Mecze[[#This Row],[Role]]&lt;&gt;"BR",SUMPRODUCT(Mecze[[#This Row],[/PR:90]:[/BR:90]],Brudnopis!$E$28:$J$28),0)</f>
        <v>1.0416666666666666E-2</v>
      </c>
      <c r="Y3213" s="35">
        <f>IF(Mecze[[#This Row],[Role]]="BR",Mecze[[#This Row],[/OB:90]]+Mecze[[#This Row],[/PC:90]],SUM(Mecze[[#This Row],[/PR:90]:[/BR:90]]))</f>
        <v>6.2499999999999993E-2</v>
      </c>
      <c r="Z3213" s="35">
        <f>IF(Mecze[[#This Row],[KC]]=0,SUM(Mecze[[#This Row],[/BRI]:[/NPI]]),SUM(Mecze[[#This Row],[/BRI]:[/NPI]])*0.6)</f>
        <v>0.26822916666666669</v>
      </c>
      <c r="AA3213" s="10">
        <f>IFERROR(Mecze[[#This Row],[BR]]/Mecze[[#This Row],[ST]],0)</f>
        <v>0</v>
      </c>
      <c r="AB3213">
        <f>ROUND(Mecze[[#This Row],[PD]]*Mecze[[#This Row],[%PC]],0)</f>
        <v>1</v>
      </c>
      <c r="AC3213">
        <f>ROUND(Mecze[[#This Row],[OD]]*Mecze[[#This Row],[%OU]],0)</f>
        <v>2</v>
      </c>
      <c r="AD3213" s="36" t="s">
        <v>175</v>
      </c>
      <c r="AE3213" s="36">
        <v>179</v>
      </c>
      <c r="AF3213" s="71">
        <v>0.01</v>
      </c>
      <c r="AG3213" s="37">
        <v>0</v>
      </c>
      <c r="AH3213" s="37">
        <v>0</v>
      </c>
      <c r="AI3213" s="37">
        <v>96</v>
      </c>
      <c r="AJ3213" s="37">
        <v>3</v>
      </c>
      <c r="AK3213" s="37" t="str">
        <f>VLOOKUP(Mecze[[#This Row],[Match ID]],Meczusie[Mecz]:Meczusie[RodzajMeczu],2,FALSE)</f>
        <v>Liga</v>
      </c>
    </row>
    <row r="3214" spans="1:37" x14ac:dyDescent="0.25">
      <c r="A3214" s="76">
        <v>4</v>
      </c>
      <c r="B3214" s="3" t="s">
        <v>264</v>
      </c>
      <c r="C3214" s="2" t="s">
        <v>157</v>
      </c>
      <c r="D3214" s="1">
        <v>0</v>
      </c>
      <c r="E3214" s="1">
        <v>0</v>
      </c>
      <c r="F3214" s="1">
        <v>0</v>
      </c>
      <c r="G3214" s="1">
        <v>3</v>
      </c>
      <c r="H3214" s="4">
        <v>0.33</v>
      </c>
      <c r="I3214" s="1">
        <v>6</v>
      </c>
      <c r="J3214" s="4">
        <v>0.17</v>
      </c>
      <c r="K3214" s="1">
        <v>0</v>
      </c>
      <c r="L3214" s="1">
        <v>2</v>
      </c>
      <c r="M3214" s="32">
        <f>IF(Mecze[[#This Row],[PR]]=0,0,Mecze[[#This Row],[PR]]/Mecze[[#This Row],[CZAS]])</f>
        <v>2.0833333333333332E-2</v>
      </c>
      <c r="N3214" s="32">
        <f>IF(Mecze[[#This Row],[OU]]=0,0,Mecze[[#This Row],[OU]]/Mecze[[#This Row],[CZAS]])</f>
        <v>1.0416666666666666E-2</v>
      </c>
      <c r="O3214" s="32">
        <f>IF(Mecze[[#This Row],[PC]]=0,0,Mecze[[#This Row],[PC]]/Mecze[[#This Row],[CZAS]])</f>
        <v>1.0416666666666666E-2</v>
      </c>
      <c r="P3214" s="32">
        <f>IF(Mecze[[#This Row],[SC]]=0,0,Mecze[[#This Row],[SC]]/Mecze[[#This Row],[CZAS]])</f>
        <v>0</v>
      </c>
      <c r="Q3214" s="32">
        <f>IF(Mecze[[#This Row],[OB]]=0,0,Mecze[[#This Row],[OB]]/Mecze[[#This Row],[CZAS]])</f>
        <v>0</v>
      </c>
      <c r="R3214" s="32">
        <f>IF(Mecze[[#This Row],[BR]]=0,0,Mecze[[#This Row],[BR]]/Mecze[[#This Row],[CZAS]])</f>
        <v>0</v>
      </c>
      <c r="S3214" s="44">
        <f>IF(Mecze[[#This Row],[Role]]="BR",SUMPRODUCT(Mecze[[#This Row],[/PR:90]:[/BR:90]],Brudnopis!$E$23:$J$23),0)</f>
        <v>0</v>
      </c>
      <c r="T3214" s="44">
        <f>IF(Mecze[[#This Row],[Role]]&lt;&gt;"BR",SUMPRODUCT(Mecze[[#This Row],[/PR:90]:[/BR:90]],Brudnopis!$E$24:$J$24),0)</f>
        <v>4.6874999999999993E-2</v>
      </c>
      <c r="U3214" s="44">
        <f>IF(Mecze[[#This Row],[Role]]&lt;&gt;"BR",SUMPRODUCT(Mecze[[#This Row],[/PR:90]:[/BR:90]],Brudnopis!$E$25:$J$25),0)</f>
        <v>4.6875E-2</v>
      </c>
      <c r="V3214" s="44">
        <f>IF(Mecze[[#This Row],[Role]]&lt;&gt;"BR",SUMPRODUCT(Mecze[[#This Row],[/PR:90]:[/BR:90]],Brudnopis!$E$26:$J$26),0)</f>
        <v>4.1666666666666664E-2</v>
      </c>
      <c r="W3214" s="44">
        <f>IF(Mecze[[#This Row],[Role]]&lt;&gt;"BR",SUMPRODUCT(Mecze[[#This Row],[/PR:90]:[/BR:90]],Brudnopis!$E$27:$J$27),0)</f>
        <v>3.90625E-2</v>
      </c>
      <c r="X3214" s="44">
        <f>IF(Mecze[[#This Row],[Role]]&lt;&gt;"BR",SUMPRODUCT(Mecze[[#This Row],[/PR:90]:[/BR:90]],Brudnopis!$E$28:$J$28),0)</f>
        <v>1.0416666666666666E-2</v>
      </c>
      <c r="Y3214" s="35">
        <f>IF(Mecze[[#This Row],[Role]]="BR",Mecze[[#This Row],[/OB:90]]+Mecze[[#This Row],[/PC:90]],SUM(Mecze[[#This Row],[/PR:90]:[/BR:90]]))</f>
        <v>4.1666666666666664E-2</v>
      </c>
      <c r="Z3214" s="35">
        <f>IF(Mecze[[#This Row],[KC]]=0,SUM(Mecze[[#This Row],[/BRI]:[/NPI]]),SUM(Mecze[[#This Row],[/BRI]:[/NPI]])*0.6)</f>
        <v>0.18489583333333331</v>
      </c>
      <c r="AA3214" s="10">
        <f>IFERROR(Mecze[[#This Row],[BR]]/Mecze[[#This Row],[ST]],0)</f>
        <v>0</v>
      </c>
      <c r="AB3214">
        <f>ROUND(Mecze[[#This Row],[PD]]*Mecze[[#This Row],[%PC]],0)</f>
        <v>1</v>
      </c>
      <c r="AC3214">
        <f>ROUND(Mecze[[#This Row],[OD]]*Mecze[[#This Row],[%OU]],0)</f>
        <v>1</v>
      </c>
      <c r="AD3214" s="36" t="s">
        <v>174</v>
      </c>
      <c r="AE3214" s="36">
        <v>179</v>
      </c>
      <c r="AF3214" s="71">
        <v>-0.2</v>
      </c>
      <c r="AG3214" s="37">
        <v>0</v>
      </c>
      <c r="AH3214" s="37">
        <v>0</v>
      </c>
      <c r="AI3214" s="37">
        <v>96</v>
      </c>
      <c r="AJ3214" s="37">
        <v>3</v>
      </c>
      <c r="AK3214" s="37" t="str">
        <f>VLOOKUP(Mecze[[#This Row],[Match ID]],Meczusie[Mecz]:Meczusie[RodzajMeczu],2,FALSE)</f>
        <v>Liga</v>
      </c>
    </row>
    <row r="3215" spans="1:37" x14ac:dyDescent="0.25">
      <c r="A3215" s="76">
        <v>6</v>
      </c>
      <c r="B3215" s="3" t="s">
        <v>263</v>
      </c>
      <c r="C3215" s="2" t="s">
        <v>157</v>
      </c>
      <c r="D3215" s="1">
        <v>0</v>
      </c>
      <c r="E3215" s="1">
        <v>0</v>
      </c>
      <c r="F3215" s="1">
        <v>0</v>
      </c>
      <c r="G3215" s="1">
        <v>1</v>
      </c>
      <c r="H3215" s="4">
        <v>1</v>
      </c>
      <c r="I3215" s="1">
        <v>4</v>
      </c>
      <c r="J3215" s="4">
        <v>0.75</v>
      </c>
      <c r="K3215" s="1">
        <v>0</v>
      </c>
      <c r="L3215" s="1">
        <v>1</v>
      </c>
      <c r="M3215" s="32">
        <f>IF(Mecze[[#This Row],[PR]]=0,0,Mecze[[#This Row],[PR]]/Mecze[[#This Row],[CZAS]])</f>
        <v>2.5000000000000001E-2</v>
      </c>
      <c r="N3215" s="32">
        <f>IF(Mecze[[#This Row],[OU]]=0,0,Mecze[[#This Row],[OU]]/Mecze[[#This Row],[CZAS]])</f>
        <v>7.4999999999999997E-2</v>
      </c>
      <c r="O3215" s="32">
        <f>IF(Mecze[[#This Row],[PC]]=0,0,Mecze[[#This Row],[PC]]/Mecze[[#This Row],[CZAS]])</f>
        <v>2.5000000000000001E-2</v>
      </c>
      <c r="P3215" s="32">
        <f>IF(Mecze[[#This Row],[SC]]=0,0,Mecze[[#This Row],[SC]]/Mecze[[#This Row],[CZAS]])</f>
        <v>0</v>
      </c>
      <c r="Q3215" s="32">
        <f>IF(Mecze[[#This Row],[OB]]=0,0,Mecze[[#This Row],[OB]]/Mecze[[#This Row],[CZAS]])</f>
        <v>0</v>
      </c>
      <c r="R3215" s="32">
        <f>IF(Mecze[[#This Row],[BR]]=0,0,Mecze[[#This Row],[BR]]/Mecze[[#This Row],[CZAS]])</f>
        <v>0</v>
      </c>
      <c r="S3215" s="44">
        <f>IF(Mecze[[#This Row],[Role]]="BR",SUMPRODUCT(Mecze[[#This Row],[/PR:90]:[/BR:90]],Brudnopis!$E$23:$J$23),0)</f>
        <v>0</v>
      </c>
      <c r="T3215" s="44">
        <f>IF(Mecze[[#This Row],[Role]]&lt;&gt;"BR",SUMPRODUCT(Mecze[[#This Row],[/PR:90]:[/BR:90]],Brudnopis!$E$24:$J$24),0)</f>
        <v>0.16249999999999998</v>
      </c>
      <c r="U3215" s="44">
        <f>IF(Mecze[[#This Row],[Role]]&lt;&gt;"BR",SUMPRODUCT(Mecze[[#This Row],[/PR:90]:[/BR:90]],Brudnopis!$E$25:$J$25),0)</f>
        <v>0.13750000000000001</v>
      </c>
      <c r="V3215" s="44">
        <f>IF(Mecze[[#This Row],[Role]]&lt;&gt;"BR",SUMPRODUCT(Mecze[[#This Row],[/PR:90]:[/BR:90]],Brudnopis!$E$26:$J$26),0)</f>
        <v>0.125</v>
      </c>
      <c r="W3215" s="44">
        <f>IF(Mecze[[#This Row],[Role]]&lt;&gt;"BR",SUMPRODUCT(Mecze[[#This Row],[/PR:90]:[/BR:90]],Brudnopis!$E$27:$J$27),0)</f>
        <v>0.1125</v>
      </c>
      <c r="X3215" s="44">
        <f>IF(Mecze[[#This Row],[Role]]&lt;&gt;"BR",SUMPRODUCT(Mecze[[#This Row],[/PR:90]:[/BR:90]],Brudnopis!$E$28:$J$28),0)</f>
        <v>2.5000000000000001E-2</v>
      </c>
      <c r="Y3215" s="35">
        <f>IF(Mecze[[#This Row],[Role]]="BR",Mecze[[#This Row],[/OB:90]]+Mecze[[#This Row],[/PC:90]],SUM(Mecze[[#This Row],[/PR:90]:[/BR:90]]))</f>
        <v>0.125</v>
      </c>
      <c r="Z3215" s="35">
        <f>IF(Mecze[[#This Row],[KC]]=0,SUM(Mecze[[#This Row],[/BRI]:[/NPI]]),SUM(Mecze[[#This Row],[/BRI]:[/NPI]])*0.6)</f>
        <v>0.33749999999999997</v>
      </c>
      <c r="AA3215" s="10">
        <f>IFERROR(Mecze[[#This Row],[BR]]/Mecze[[#This Row],[ST]],0)</f>
        <v>0</v>
      </c>
      <c r="AB3215">
        <f>ROUND(Mecze[[#This Row],[PD]]*Mecze[[#This Row],[%PC]],0)</f>
        <v>1</v>
      </c>
      <c r="AC3215">
        <f>ROUND(Mecze[[#This Row],[OD]]*Mecze[[#This Row],[%OU]],0)</f>
        <v>3</v>
      </c>
      <c r="AD3215" s="36" t="s">
        <v>47</v>
      </c>
      <c r="AE3215" s="36">
        <v>179</v>
      </c>
      <c r="AF3215" s="71">
        <v>-3.7</v>
      </c>
      <c r="AG3215" s="37">
        <v>0</v>
      </c>
      <c r="AH3215" s="37">
        <v>1</v>
      </c>
      <c r="AI3215" s="37">
        <v>40</v>
      </c>
      <c r="AJ3215" s="37">
        <v>3</v>
      </c>
      <c r="AK3215" s="37" t="str">
        <f>VLOOKUP(Mecze[[#This Row],[Match ID]],Meczusie[Mecz]:Meczusie[RodzajMeczu],2,FALSE)</f>
        <v>Liga</v>
      </c>
    </row>
    <row r="3216" spans="1:37" x14ac:dyDescent="0.25">
      <c r="A3216" s="76">
        <v>7</v>
      </c>
      <c r="B3216" s="3" t="s">
        <v>509</v>
      </c>
      <c r="C3216" s="2" t="s">
        <v>160</v>
      </c>
      <c r="D3216" s="1">
        <v>1</v>
      </c>
      <c r="E3216" s="1">
        <v>2</v>
      </c>
      <c r="F3216" s="1">
        <v>2</v>
      </c>
      <c r="G3216" s="1">
        <v>6</v>
      </c>
      <c r="H3216" s="4">
        <v>0.67</v>
      </c>
      <c r="I3216" s="1">
        <v>4</v>
      </c>
      <c r="J3216" s="4">
        <v>0.25</v>
      </c>
      <c r="K3216" s="1">
        <v>0</v>
      </c>
      <c r="L3216" s="1">
        <v>0</v>
      </c>
      <c r="M3216" s="32">
        <f>IF(Mecze[[#This Row],[PR]]=0,0,Mecze[[#This Row],[PR]]/Mecze[[#This Row],[CZAS]])</f>
        <v>0</v>
      </c>
      <c r="N3216" s="32">
        <f>IF(Mecze[[#This Row],[OU]]=0,0,Mecze[[#This Row],[OU]]/Mecze[[#This Row],[CZAS]])</f>
        <v>1.0416666666666666E-2</v>
      </c>
      <c r="O3216" s="32">
        <f>IF(Mecze[[#This Row],[PC]]=0,0,Mecze[[#This Row],[PC]]/Mecze[[#This Row],[CZAS]])</f>
        <v>4.1666666666666664E-2</v>
      </c>
      <c r="P3216" s="32">
        <f>IF(Mecze[[#This Row],[SC]]=0,0,Mecze[[#This Row],[SC]]/Mecze[[#This Row],[CZAS]])</f>
        <v>2.0833333333333332E-2</v>
      </c>
      <c r="Q3216" s="32">
        <f>IF(Mecze[[#This Row],[OB]]=0,0,Mecze[[#This Row],[OB]]/Mecze[[#This Row],[CZAS]])</f>
        <v>0</v>
      </c>
      <c r="R3216" s="32">
        <f>IF(Mecze[[#This Row],[BR]]=0,0,Mecze[[#This Row],[BR]]/Mecze[[#This Row],[CZAS]])</f>
        <v>1.0416666666666666E-2</v>
      </c>
      <c r="S3216" s="44">
        <f>IF(Mecze[[#This Row],[Role]]="BR",SUMPRODUCT(Mecze[[#This Row],[/PR:90]:[/BR:90]],Brudnopis!$E$23:$J$23),0)</f>
        <v>0</v>
      </c>
      <c r="T3216" s="44">
        <f>IF(Mecze[[#This Row],[Role]]&lt;&gt;"BR",SUMPRODUCT(Mecze[[#This Row],[/PR:90]:[/BR:90]],Brudnopis!$E$24:$J$24),0)</f>
        <v>9.375E-2</v>
      </c>
      <c r="U3216" s="44">
        <f>IF(Mecze[[#This Row],[Role]]&lt;&gt;"BR",SUMPRODUCT(Mecze[[#This Row],[/PR:90]:[/BR:90]],Brudnopis!$E$25:$J$25),0)</f>
        <v>0.109375</v>
      </c>
      <c r="V3216" s="44">
        <f>IF(Mecze[[#This Row],[Role]]&lt;&gt;"BR",SUMPRODUCT(Mecze[[#This Row],[/PR:90]:[/BR:90]],Brudnopis!$E$26:$J$26),0)</f>
        <v>9.3749999999999986E-2</v>
      </c>
      <c r="W3216" s="44">
        <f>IF(Mecze[[#This Row],[Role]]&lt;&gt;"BR",SUMPRODUCT(Mecze[[#This Row],[/PR:90]:[/BR:90]],Brudnopis!$E$27:$J$27),0)</f>
        <v>0.11197916666666666</v>
      </c>
      <c r="X3216" s="44">
        <f>IF(Mecze[[#This Row],[Role]]&lt;&gt;"BR",SUMPRODUCT(Mecze[[#This Row],[/PR:90]:[/BR:90]],Brudnopis!$E$28:$J$28),0)</f>
        <v>0.11458333333333333</v>
      </c>
      <c r="Y3216" s="35">
        <f>IF(Mecze[[#This Row],[Role]]="BR",Mecze[[#This Row],[/OB:90]]+Mecze[[#This Row],[/PC:90]],SUM(Mecze[[#This Row],[/PR:90]:[/BR:90]]))</f>
        <v>8.3333333333333329E-2</v>
      </c>
      <c r="Z3216" s="35">
        <f>IF(Mecze[[#This Row],[KC]]=0,SUM(Mecze[[#This Row],[/BRI]:[/NPI]]),SUM(Mecze[[#This Row],[/BRI]:[/NPI]])*0.6)</f>
        <v>0.5234375</v>
      </c>
      <c r="AA3216" s="10">
        <f>IFERROR(Mecze[[#This Row],[BR]]/Mecze[[#This Row],[ST]],0)</f>
        <v>0.5</v>
      </c>
      <c r="AB3216">
        <f>ROUND(Mecze[[#This Row],[PD]]*Mecze[[#This Row],[%PC]],0)</f>
        <v>4</v>
      </c>
      <c r="AC3216">
        <f>ROUND(Mecze[[#This Row],[OD]]*Mecze[[#This Row],[%OU]],0)</f>
        <v>1</v>
      </c>
      <c r="AD3216" s="36" t="s">
        <v>67</v>
      </c>
      <c r="AE3216" s="36">
        <v>179</v>
      </c>
      <c r="AF3216" s="71">
        <v>6.48</v>
      </c>
      <c r="AG3216" s="37">
        <v>0</v>
      </c>
      <c r="AH3216" s="37">
        <v>0</v>
      </c>
      <c r="AI3216" s="37">
        <v>96</v>
      </c>
      <c r="AJ3216" s="37">
        <v>3</v>
      </c>
      <c r="AK3216" s="37" t="str">
        <f>VLOOKUP(Mecze[[#This Row],[Match ID]],Meczusie[Mecz]:Meczusie[RodzajMeczu],2,FALSE)</f>
        <v>Liga</v>
      </c>
    </row>
    <row r="3217" spans="1:37" x14ac:dyDescent="0.25">
      <c r="A3217" s="76">
        <v>5</v>
      </c>
      <c r="B3217" s="3" t="s">
        <v>267</v>
      </c>
      <c r="C3217" s="2" t="s">
        <v>160</v>
      </c>
      <c r="D3217" s="1">
        <v>0</v>
      </c>
      <c r="E3217" s="1">
        <v>0</v>
      </c>
      <c r="F3217" s="1">
        <v>0</v>
      </c>
      <c r="G3217" s="1">
        <v>15</v>
      </c>
      <c r="H3217" s="4">
        <v>0.93</v>
      </c>
      <c r="I3217" s="1">
        <v>9</v>
      </c>
      <c r="J3217" s="4">
        <v>0.44</v>
      </c>
      <c r="K3217" s="1">
        <v>0</v>
      </c>
      <c r="L3217" s="1">
        <v>2</v>
      </c>
      <c r="M3217" s="32">
        <f>IF(Mecze[[#This Row],[PR]]=0,0,Mecze[[#This Row],[PR]]/Mecze[[#This Row],[CZAS]])</f>
        <v>2.0833333333333332E-2</v>
      </c>
      <c r="N3217" s="32">
        <f>IF(Mecze[[#This Row],[OU]]=0,0,Mecze[[#This Row],[OU]]/Mecze[[#This Row],[CZAS]])</f>
        <v>4.1666666666666664E-2</v>
      </c>
      <c r="O3217" s="32">
        <f>IF(Mecze[[#This Row],[PC]]=0,0,Mecze[[#This Row],[PC]]/Mecze[[#This Row],[CZAS]])</f>
        <v>0.14583333333333334</v>
      </c>
      <c r="P3217" s="32">
        <f>IF(Mecze[[#This Row],[SC]]=0,0,Mecze[[#This Row],[SC]]/Mecze[[#This Row],[CZAS]])</f>
        <v>0</v>
      </c>
      <c r="Q3217" s="32">
        <f>IF(Mecze[[#This Row],[OB]]=0,0,Mecze[[#This Row],[OB]]/Mecze[[#This Row],[CZAS]])</f>
        <v>0</v>
      </c>
      <c r="R3217" s="32">
        <f>IF(Mecze[[#This Row],[BR]]=0,0,Mecze[[#This Row],[BR]]/Mecze[[#This Row],[CZAS]])</f>
        <v>0</v>
      </c>
      <c r="S3217" s="44">
        <f>IF(Mecze[[#This Row],[Role]]="BR",SUMPRODUCT(Mecze[[#This Row],[/PR:90]:[/BR:90]],Brudnopis!$E$23:$J$23),0)</f>
        <v>0</v>
      </c>
      <c r="T3217" s="44">
        <f>IF(Mecze[[#This Row],[Role]]&lt;&gt;"BR",SUMPRODUCT(Mecze[[#This Row],[/PR:90]:[/BR:90]],Brudnopis!$E$24:$J$24),0)</f>
        <v>0.22916666666666669</v>
      </c>
      <c r="U3217" s="44">
        <f>IF(Mecze[[#This Row],[Role]]&lt;&gt;"BR",SUMPRODUCT(Mecze[[#This Row],[/PR:90]:[/BR:90]],Brudnopis!$E$25:$J$25),0)</f>
        <v>0.28125</v>
      </c>
      <c r="V3217" s="44">
        <f>IF(Mecze[[#This Row],[Role]]&lt;&gt;"BR",SUMPRODUCT(Mecze[[#This Row],[/PR:90]:[/BR:90]],Brudnopis!$E$26:$J$26),0)</f>
        <v>0.20833333333333334</v>
      </c>
      <c r="W3217" s="44">
        <f>IF(Mecze[[#This Row],[Role]]&lt;&gt;"BR",SUMPRODUCT(Mecze[[#This Row],[/PR:90]:[/BR:90]],Brudnopis!$E$27:$J$27),0)</f>
        <v>0.265625</v>
      </c>
      <c r="X3217" s="44">
        <f>IF(Mecze[[#This Row],[Role]]&lt;&gt;"BR",SUMPRODUCT(Mecze[[#This Row],[/PR:90]:[/BR:90]],Brudnopis!$E$28:$J$28),0)</f>
        <v>0.14583333333333334</v>
      </c>
      <c r="Y3217" s="35">
        <f>IF(Mecze[[#This Row],[Role]]="BR",Mecze[[#This Row],[/OB:90]]+Mecze[[#This Row],[/PC:90]],SUM(Mecze[[#This Row],[/PR:90]:[/BR:90]]))</f>
        <v>0.20833333333333334</v>
      </c>
      <c r="Z3217" s="35">
        <f>IF(Mecze[[#This Row],[KC]]=0,SUM(Mecze[[#This Row],[/BRI]:[/NPI]]),SUM(Mecze[[#This Row],[/BRI]:[/NPI]])*0.6)</f>
        <v>1.1302083333333335</v>
      </c>
      <c r="AA3217" s="10">
        <f>IFERROR(Mecze[[#This Row],[BR]]/Mecze[[#This Row],[ST]],0)</f>
        <v>0</v>
      </c>
      <c r="AB3217">
        <f>ROUND(Mecze[[#This Row],[PD]]*Mecze[[#This Row],[%PC]],0)</f>
        <v>14</v>
      </c>
      <c r="AC3217">
        <f>ROUND(Mecze[[#This Row],[OD]]*Mecze[[#This Row],[%OU]],0)</f>
        <v>4</v>
      </c>
      <c r="AD3217" s="36" t="s">
        <v>67</v>
      </c>
      <c r="AE3217" s="36">
        <v>179</v>
      </c>
      <c r="AF3217" s="71">
        <v>5.24</v>
      </c>
      <c r="AG3217" s="37">
        <v>0</v>
      </c>
      <c r="AH3217" s="37">
        <v>0</v>
      </c>
      <c r="AI3217" s="37">
        <v>96</v>
      </c>
      <c r="AJ3217" s="37">
        <v>3</v>
      </c>
      <c r="AK3217" s="37" t="str">
        <f>VLOOKUP(Mecze[[#This Row],[Match ID]],Meczusie[Mecz]:Meczusie[RodzajMeczu],2,FALSE)</f>
        <v>Liga</v>
      </c>
    </row>
    <row r="3218" spans="1:37" x14ac:dyDescent="0.25">
      <c r="A3218" s="76">
        <v>3</v>
      </c>
      <c r="B3218" s="3" t="s">
        <v>268</v>
      </c>
      <c r="C3218" s="2" t="s">
        <v>160</v>
      </c>
      <c r="D3218" s="1">
        <v>0</v>
      </c>
      <c r="E3218" s="1">
        <v>0</v>
      </c>
      <c r="F3218" s="1">
        <v>0</v>
      </c>
      <c r="G3218" s="1">
        <v>10</v>
      </c>
      <c r="H3218" s="4">
        <v>0.7</v>
      </c>
      <c r="I3218" s="1">
        <v>2</v>
      </c>
      <c r="J3218" s="4">
        <v>0</v>
      </c>
      <c r="K3218" s="1">
        <v>0</v>
      </c>
      <c r="L3218" s="1">
        <v>1</v>
      </c>
      <c r="M3218" s="32">
        <f>IF(Mecze[[#This Row],[PR]]=0,0,Mecze[[#This Row],[PR]]/Mecze[[#This Row],[CZAS]])</f>
        <v>1.0416666666666666E-2</v>
      </c>
      <c r="N3218" s="32">
        <f>IF(Mecze[[#This Row],[OU]]=0,0,Mecze[[#This Row],[OU]]/Mecze[[#This Row],[CZAS]])</f>
        <v>0</v>
      </c>
      <c r="O3218" s="32">
        <f>IF(Mecze[[#This Row],[PC]]=0,0,Mecze[[#This Row],[PC]]/Mecze[[#This Row],[CZAS]])</f>
        <v>7.2916666666666671E-2</v>
      </c>
      <c r="P3218" s="32">
        <f>IF(Mecze[[#This Row],[SC]]=0,0,Mecze[[#This Row],[SC]]/Mecze[[#This Row],[CZAS]])</f>
        <v>0</v>
      </c>
      <c r="Q3218" s="32">
        <f>IF(Mecze[[#This Row],[OB]]=0,0,Mecze[[#This Row],[OB]]/Mecze[[#This Row],[CZAS]])</f>
        <v>0</v>
      </c>
      <c r="R3218" s="32">
        <f>IF(Mecze[[#This Row],[BR]]=0,0,Mecze[[#This Row],[BR]]/Mecze[[#This Row],[CZAS]])</f>
        <v>0</v>
      </c>
      <c r="S3218" s="44">
        <f>IF(Mecze[[#This Row],[Role]]="BR",SUMPRODUCT(Mecze[[#This Row],[/PR:90]:[/BR:90]],Brudnopis!$E$23:$J$23),0)</f>
        <v>0</v>
      </c>
      <c r="T3218" s="44">
        <f>IF(Mecze[[#This Row],[Role]]&lt;&gt;"BR",SUMPRODUCT(Mecze[[#This Row],[/PR:90]:[/BR:90]],Brudnopis!$E$24:$J$24),0)</f>
        <v>8.3333333333333343E-2</v>
      </c>
      <c r="U3218" s="44">
        <f>IF(Mecze[[#This Row],[Role]]&lt;&gt;"BR",SUMPRODUCT(Mecze[[#This Row],[/PR:90]:[/BR:90]],Brudnopis!$E$25:$J$25),0)</f>
        <v>0.11979166666666667</v>
      </c>
      <c r="V3218" s="44">
        <f>IF(Mecze[[#This Row],[Role]]&lt;&gt;"BR",SUMPRODUCT(Mecze[[#This Row],[/PR:90]:[/BR:90]],Brudnopis!$E$26:$J$26),0)</f>
        <v>8.3333333333333343E-2</v>
      </c>
      <c r="W3218" s="44">
        <f>IF(Mecze[[#This Row],[Role]]&lt;&gt;"BR",SUMPRODUCT(Mecze[[#This Row],[/PR:90]:[/BR:90]],Brudnopis!$E$27:$J$27),0)</f>
        <v>0.1171875</v>
      </c>
      <c r="X3218" s="44">
        <f>IF(Mecze[[#This Row],[Role]]&lt;&gt;"BR",SUMPRODUCT(Mecze[[#This Row],[/PR:90]:[/BR:90]],Brudnopis!$E$28:$J$28),0)</f>
        <v>7.2916666666666671E-2</v>
      </c>
      <c r="Y3218" s="35">
        <f>IF(Mecze[[#This Row],[Role]]="BR",Mecze[[#This Row],[/OB:90]]+Mecze[[#This Row],[/PC:90]],SUM(Mecze[[#This Row],[/PR:90]:[/BR:90]]))</f>
        <v>8.3333333333333343E-2</v>
      </c>
      <c r="Z3218" s="35">
        <f>IF(Mecze[[#This Row],[KC]]=0,SUM(Mecze[[#This Row],[/BRI]:[/NPI]]),SUM(Mecze[[#This Row],[/BRI]:[/NPI]])*0.6)</f>
        <v>0.47656250000000006</v>
      </c>
      <c r="AA3218" s="10">
        <f>IFERROR(Mecze[[#This Row],[BR]]/Mecze[[#This Row],[ST]],0)</f>
        <v>0</v>
      </c>
      <c r="AB3218">
        <f>ROUND(Mecze[[#This Row],[PD]]*Mecze[[#This Row],[%PC]],0)</f>
        <v>7</v>
      </c>
      <c r="AC3218">
        <f>ROUND(Mecze[[#This Row],[OD]]*Mecze[[#This Row],[%OU]],0)</f>
        <v>0</v>
      </c>
      <c r="AD3218" s="36" t="s">
        <v>44</v>
      </c>
      <c r="AE3218" s="36">
        <v>179</v>
      </c>
      <c r="AF3218" s="71">
        <v>4.12</v>
      </c>
      <c r="AG3218" s="37">
        <v>0</v>
      </c>
      <c r="AH3218" s="37">
        <v>0</v>
      </c>
      <c r="AI3218" s="37">
        <v>96</v>
      </c>
      <c r="AJ3218" s="37">
        <v>3</v>
      </c>
      <c r="AK3218" s="37" t="str">
        <f>VLOOKUP(Mecze[[#This Row],[Match ID]],Meczusie[Mecz]:Meczusie[RodzajMeczu],2,FALSE)</f>
        <v>Liga</v>
      </c>
    </row>
    <row r="3219" spans="1:37" x14ac:dyDescent="0.25">
      <c r="A3219" s="76">
        <v>8</v>
      </c>
      <c r="B3219" s="3" t="s">
        <v>269</v>
      </c>
      <c r="C3219" s="2" t="s">
        <v>165</v>
      </c>
      <c r="D3219" s="1">
        <v>0</v>
      </c>
      <c r="E3219" s="1">
        <v>0</v>
      </c>
      <c r="F3219" s="1">
        <v>0</v>
      </c>
      <c r="G3219" s="1">
        <v>8</v>
      </c>
      <c r="H3219" s="4">
        <v>0.63</v>
      </c>
      <c r="I3219" s="1">
        <v>6</v>
      </c>
      <c r="J3219" s="4">
        <v>0.17</v>
      </c>
      <c r="K3219" s="1">
        <v>0</v>
      </c>
      <c r="L3219" s="1">
        <v>2</v>
      </c>
      <c r="M3219" s="32">
        <f>IF(Mecze[[#This Row],[PR]]=0,0,Mecze[[#This Row],[PR]]/Mecze[[#This Row],[CZAS]])</f>
        <v>2.0833333333333332E-2</v>
      </c>
      <c r="N3219" s="32">
        <f>IF(Mecze[[#This Row],[OU]]=0,0,Mecze[[#This Row],[OU]]/Mecze[[#This Row],[CZAS]])</f>
        <v>1.0416666666666666E-2</v>
      </c>
      <c r="O3219" s="32">
        <f>IF(Mecze[[#This Row],[PC]]=0,0,Mecze[[#This Row],[PC]]/Mecze[[#This Row],[CZAS]])</f>
        <v>5.2083333333333336E-2</v>
      </c>
      <c r="P3219" s="32">
        <f>IF(Mecze[[#This Row],[SC]]=0,0,Mecze[[#This Row],[SC]]/Mecze[[#This Row],[CZAS]])</f>
        <v>0</v>
      </c>
      <c r="Q3219" s="32">
        <f>IF(Mecze[[#This Row],[OB]]=0,0,Mecze[[#This Row],[OB]]/Mecze[[#This Row],[CZAS]])</f>
        <v>0</v>
      </c>
      <c r="R3219" s="32">
        <f>IF(Mecze[[#This Row],[BR]]=0,0,Mecze[[#This Row],[BR]]/Mecze[[#This Row],[CZAS]])</f>
        <v>0</v>
      </c>
      <c r="S3219" s="44">
        <f>IF(Mecze[[#This Row],[Role]]="BR",SUMPRODUCT(Mecze[[#This Row],[/PR:90]:[/BR:90]],Brudnopis!$E$23:$J$23),0)</f>
        <v>0</v>
      </c>
      <c r="T3219" s="44">
        <f>IF(Mecze[[#This Row],[Role]]&lt;&gt;"BR",SUMPRODUCT(Mecze[[#This Row],[/PR:90]:[/BR:90]],Brudnopis!$E$24:$J$24),0)</f>
        <v>8.8541666666666657E-2</v>
      </c>
      <c r="U3219" s="44">
        <f>IF(Mecze[[#This Row],[Role]]&lt;&gt;"BR",SUMPRODUCT(Mecze[[#This Row],[/PR:90]:[/BR:90]],Brudnopis!$E$25:$J$25),0)</f>
        <v>0.109375</v>
      </c>
      <c r="V3219" s="44">
        <f>IF(Mecze[[#This Row],[Role]]&lt;&gt;"BR",SUMPRODUCT(Mecze[[#This Row],[/PR:90]:[/BR:90]],Brudnopis!$E$26:$J$26),0)</f>
        <v>8.3333333333333343E-2</v>
      </c>
      <c r="W3219" s="44">
        <f>IF(Mecze[[#This Row],[Role]]&lt;&gt;"BR",SUMPRODUCT(Mecze[[#This Row],[/PR:90]:[/BR:90]],Brudnopis!$E$27:$J$27),0)</f>
        <v>0.1015625</v>
      </c>
      <c r="X3219" s="44">
        <f>IF(Mecze[[#This Row],[Role]]&lt;&gt;"BR",SUMPRODUCT(Mecze[[#This Row],[/PR:90]:[/BR:90]],Brudnopis!$E$28:$J$28),0)</f>
        <v>5.2083333333333336E-2</v>
      </c>
      <c r="Y3219" s="35">
        <f>IF(Mecze[[#This Row],[Role]]="BR",Mecze[[#This Row],[/OB:90]]+Mecze[[#This Row],[/PC:90]],SUM(Mecze[[#This Row],[/PR:90]:[/BR:90]]))</f>
        <v>8.3333333333333343E-2</v>
      </c>
      <c r="Z3219" s="35">
        <f>IF(Mecze[[#This Row],[KC]]=0,SUM(Mecze[[#This Row],[/BRI]:[/NPI]]),SUM(Mecze[[#This Row],[/BRI]:[/NPI]])*0.6)</f>
        <v>0.43489583333333331</v>
      </c>
      <c r="AA3219" s="10">
        <f>IFERROR(Mecze[[#This Row],[BR]]/Mecze[[#This Row],[ST]],0)</f>
        <v>0</v>
      </c>
      <c r="AB3219">
        <f>ROUND(Mecze[[#This Row],[PD]]*Mecze[[#This Row],[%PC]],0)</f>
        <v>5</v>
      </c>
      <c r="AC3219">
        <f>ROUND(Mecze[[#This Row],[OD]]*Mecze[[#This Row],[%OU]],0)</f>
        <v>1</v>
      </c>
      <c r="AD3219" s="36" t="s">
        <v>272</v>
      </c>
      <c r="AE3219" s="36">
        <v>179</v>
      </c>
      <c r="AF3219" s="71">
        <v>4.04</v>
      </c>
      <c r="AG3219" s="37">
        <v>0</v>
      </c>
      <c r="AH3219" s="37">
        <v>0</v>
      </c>
      <c r="AI3219" s="37">
        <v>96</v>
      </c>
      <c r="AJ3219" s="37">
        <v>3</v>
      </c>
      <c r="AK3219" s="37" t="str">
        <f>VLOOKUP(Mecze[[#This Row],[Match ID]],Meczusie[Mecz]:Meczusie[RodzajMeczu],2,FALSE)</f>
        <v>Liga</v>
      </c>
    </row>
    <row r="3220" spans="1:37" x14ac:dyDescent="0.25">
      <c r="A3220" s="76">
        <v>11</v>
      </c>
      <c r="B3220" s="3" t="s">
        <v>270</v>
      </c>
      <c r="C3220" s="2" t="s">
        <v>165</v>
      </c>
      <c r="D3220" s="1">
        <v>0</v>
      </c>
      <c r="E3220" s="1">
        <v>0</v>
      </c>
      <c r="F3220" s="1">
        <v>0</v>
      </c>
      <c r="G3220" s="1">
        <v>8</v>
      </c>
      <c r="H3220" s="4">
        <v>0.38</v>
      </c>
      <c r="I3220" s="1">
        <v>4</v>
      </c>
      <c r="J3220" s="4">
        <v>0</v>
      </c>
      <c r="K3220" s="1">
        <v>0</v>
      </c>
      <c r="L3220" s="1">
        <v>0</v>
      </c>
      <c r="M3220" s="32">
        <f>IF(Mecze[[#This Row],[PR]]=0,0,Mecze[[#This Row],[PR]]/Mecze[[#This Row],[CZAS]])</f>
        <v>0</v>
      </c>
      <c r="N3220" s="32">
        <f>IF(Mecze[[#This Row],[OU]]=0,0,Mecze[[#This Row],[OU]]/Mecze[[#This Row],[CZAS]])</f>
        <v>0</v>
      </c>
      <c r="O3220" s="32">
        <f>IF(Mecze[[#This Row],[PC]]=0,0,Mecze[[#This Row],[PC]]/Mecze[[#This Row],[CZAS]])</f>
        <v>3.125E-2</v>
      </c>
      <c r="P3220" s="32">
        <f>IF(Mecze[[#This Row],[SC]]=0,0,Mecze[[#This Row],[SC]]/Mecze[[#This Row],[CZAS]])</f>
        <v>0</v>
      </c>
      <c r="Q3220" s="32">
        <f>IF(Mecze[[#This Row],[OB]]=0,0,Mecze[[#This Row],[OB]]/Mecze[[#This Row],[CZAS]])</f>
        <v>0</v>
      </c>
      <c r="R3220" s="32">
        <f>IF(Mecze[[#This Row],[BR]]=0,0,Mecze[[#This Row],[BR]]/Mecze[[#This Row],[CZAS]])</f>
        <v>0</v>
      </c>
      <c r="S3220" s="44">
        <f>IF(Mecze[[#This Row],[Role]]="BR",SUMPRODUCT(Mecze[[#This Row],[/PR:90]:[/BR:90]],Brudnopis!$E$23:$J$23),0)</f>
        <v>0</v>
      </c>
      <c r="T3220" s="44">
        <f>IF(Mecze[[#This Row],[Role]]&lt;&gt;"BR",SUMPRODUCT(Mecze[[#This Row],[/PR:90]:[/BR:90]],Brudnopis!$E$24:$J$24),0)</f>
        <v>3.125E-2</v>
      </c>
      <c r="U3220" s="44">
        <f>IF(Mecze[[#This Row],[Role]]&lt;&gt;"BR",SUMPRODUCT(Mecze[[#This Row],[/PR:90]:[/BR:90]],Brudnopis!$E$25:$J$25),0)</f>
        <v>4.6875E-2</v>
      </c>
      <c r="V3220" s="44">
        <f>IF(Mecze[[#This Row],[Role]]&lt;&gt;"BR",SUMPRODUCT(Mecze[[#This Row],[/PR:90]:[/BR:90]],Brudnopis!$E$26:$J$26),0)</f>
        <v>3.125E-2</v>
      </c>
      <c r="W3220" s="44">
        <f>IF(Mecze[[#This Row],[Role]]&lt;&gt;"BR",SUMPRODUCT(Mecze[[#This Row],[/PR:90]:[/BR:90]],Brudnopis!$E$27:$J$27),0)</f>
        <v>4.6875E-2</v>
      </c>
      <c r="X3220" s="44">
        <f>IF(Mecze[[#This Row],[Role]]&lt;&gt;"BR",SUMPRODUCT(Mecze[[#This Row],[/PR:90]:[/BR:90]],Brudnopis!$E$28:$J$28),0)</f>
        <v>3.125E-2</v>
      </c>
      <c r="Y3220" s="35">
        <f>IF(Mecze[[#This Row],[Role]]="BR",Mecze[[#This Row],[/OB:90]]+Mecze[[#This Row],[/PC:90]],SUM(Mecze[[#This Row],[/PR:90]:[/BR:90]]))</f>
        <v>3.125E-2</v>
      </c>
      <c r="Z3220" s="35">
        <f>IF(Mecze[[#This Row],[KC]]=0,SUM(Mecze[[#This Row],[/BRI]:[/NPI]]),SUM(Mecze[[#This Row],[/BRI]:[/NPI]])*0.6)</f>
        <v>0.1875</v>
      </c>
      <c r="AA3220" s="10">
        <f>IFERROR(Mecze[[#This Row],[BR]]/Mecze[[#This Row],[ST]],0)</f>
        <v>0</v>
      </c>
      <c r="AB3220">
        <f>ROUND(Mecze[[#This Row],[PD]]*Mecze[[#This Row],[%PC]],0)</f>
        <v>3</v>
      </c>
      <c r="AC3220">
        <f>ROUND(Mecze[[#This Row],[OD]]*Mecze[[#This Row],[%OU]],0)</f>
        <v>0</v>
      </c>
      <c r="AD3220" s="36" t="s">
        <v>273</v>
      </c>
      <c r="AE3220" s="36">
        <v>179</v>
      </c>
      <c r="AF3220" s="71">
        <v>2.71</v>
      </c>
      <c r="AG3220" s="37">
        <v>0</v>
      </c>
      <c r="AH3220" s="37">
        <v>0</v>
      </c>
      <c r="AI3220" s="37">
        <v>96</v>
      </c>
      <c r="AJ3220" s="37">
        <v>3</v>
      </c>
      <c r="AK3220" s="37" t="str">
        <f>VLOOKUP(Mecze[[#This Row],[Match ID]],Meczusie[Mecz]:Meczusie[RodzajMeczu],2,FALSE)</f>
        <v>Liga</v>
      </c>
    </row>
    <row r="3221" spans="1:37" x14ac:dyDescent="0.25">
      <c r="A3221" s="76">
        <v>10</v>
      </c>
      <c r="B3221" s="3" t="s">
        <v>271</v>
      </c>
      <c r="C3221" s="2" t="s">
        <v>165</v>
      </c>
      <c r="D3221" s="1">
        <v>0</v>
      </c>
      <c r="E3221" s="1">
        <v>0</v>
      </c>
      <c r="F3221" s="1">
        <v>0</v>
      </c>
      <c r="G3221" s="1">
        <v>9</v>
      </c>
      <c r="H3221" s="4">
        <v>0.44</v>
      </c>
      <c r="I3221" s="1">
        <v>5</v>
      </c>
      <c r="J3221" s="4">
        <v>0.4</v>
      </c>
      <c r="K3221" s="1">
        <v>0</v>
      </c>
      <c r="L3221" s="1">
        <v>0</v>
      </c>
      <c r="M3221" s="32">
        <f>IF(Mecze[[#This Row],[PR]]=0,0,Mecze[[#This Row],[PR]]/Mecze[[#This Row],[CZAS]])</f>
        <v>0</v>
      </c>
      <c r="N3221" s="32">
        <f>IF(Mecze[[#This Row],[OU]]=0,0,Mecze[[#This Row],[OU]]/Mecze[[#This Row],[CZAS]])</f>
        <v>2.0833333333333332E-2</v>
      </c>
      <c r="O3221" s="32">
        <f>IF(Mecze[[#This Row],[PC]]=0,0,Mecze[[#This Row],[PC]]/Mecze[[#This Row],[CZAS]])</f>
        <v>4.1666666666666664E-2</v>
      </c>
      <c r="P3221" s="32">
        <f>IF(Mecze[[#This Row],[SC]]=0,0,Mecze[[#This Row],[SC]]/Mecze[[#This Row],[CZAS]])</f>
        <v>0</v>
      </c>
      <c r="Q3221" s="32">
        <f>IF(Mecze[[#This Row],[OB]]=0,0,Mecze[[#This Row],[OB]]/Mecze[[#This Row],[CZAS]])</f>
        <v>0</v>
      </c>
      <c r="R3221" s="32">
        <f>IF(Mecze[[#This Row],[BR]]=0,0,Mecze[[#This Row],[BR]]/Mecze[[#This Row],[CZAS]])</f>
        <v>0</v>
      </c>
      <c r="S3221" s="44">
        <f>IF(Mecze[[#This Row],[Role]]="BR",SUMPRODUCT(Mecze[[#This Row],[/PR:90]:[/BR:90]],Brudnopis!$E$23:$J$23),0)</f>
        <v>0</v>
      </c>
      <c r="T3221" s="44">
        <f>IF(Mecze[[#This Row],[Role]]&lt;&gt;"BR",SUMPRODUCT(Mecze[[#This Row],[/PR:90]:[/BR:90]],Brudnopis!$E$24:$J$24),0)</f>
        <v>7.2916666666666657E-2</v>
      </c>
      <c r="U3221" s="44">
        <f>IF(Mecze[[#This Row],[Role]]&lt;&gt;"BR",SUMPRODUCT(Mecze[[#This Row],[/PR:90]:[/BR:90]],Brudnopis!$E$25:$J$25),0)</f>
        <v>8.3333333333333329E-2</v>
      </c>
      <c r="V3221" s="44">
        <f>IF(Mecze[[#This Row],[Role]]&lt;&gt;"BR",SUMPRODUCT(Mecze[[#This Row],[/PR:90]:[/BR:90]],Brudnopis!$E$26:$J$26),0)</f>
        <v>6.25E-2</v>
      </c>
      <c r="W3221" s="44">
        <f>IF(Mecze[[#This Row],[Role]]&lt;&gt;"BR",SUMPRODUCT(Mecze[[#This Row],[/PR:90]:[/BR:90]],Brudnopis!$E$27:$J$27),0)</f>
        <v>7.8125E-2</v>
      </c>
      <c r="X3221" s="44">
        <f>IF(Mecze[[#This Row],[Role]]&lt;&gt;"BR",SUMPRODUCT(Mecze[[#This Row],[/PR:90]:[/BR:90]],Brudnopis!$E$28:$J$28),0)</f>
        <v>4.1666666666666664E-2</v>
      </c>
      <c r="Y3221" s="35">
        <f>IF(Mecze[[#This Row],[Role]]="BR",Mecze[[#This Row],[/OB:90]]+Mecze[[#This Row],[/PC:90]],SUM(Mecze[[#This Row],[/PR:90]:[/BR:90]]))</f>
        <v>6.25E-2</v>
      </c>
      <c r="Z3221" s="35">
        <f>IF(Mecze[[#This Row],[KC]]=0,SUM(Mecze[[#This Row],[/BRI]:[/NPI]]),SUM(Mecze[[#This Row],[/BRI]:[/NPI]])*0.6)</f>
        <v>0.33854166666666669</v>
      </c>
      <c r="AA3221" s="10">
        <f>IFERROR(Mecze[[#This Row],[BR]]/Mecze[[#This Row],[ST]],0)</f>
        <v>0</v>
      </c>
      <c r="AB3221">
        <f>ROUND(Mecze[[#This Row],[PD]]*Mecze[[#This Row],[%PC]],0)</f>
        <v>4</v>
      </c>
      <c r="AC3221">
        <f>ROUND(Mecze[[#This Row],[OD]]*Mecze[[#This Row],[%OU]],0)</f>
        <v>2</v>
      </c>
      <c r="AD3221" s="36" t="s">
        <v>46</v>
      </c>
      <c r="AE3221" s="36">
        <v>179</v>
      </c>
      <c r="AF3221" s="71">
        <v>2.71</v>
      </c>
      <c r="AG3221" s="37">
        <v>0</v>
      </c>
      <c r="AH3221" s="37">
        <v>0</v>
      </c>
      <c r="AI3221" s="37">
        <v>96</v>
      </c>
      <c r="AJ3221" s="37">
        <v>3</v>
      </c>
      <c r="AK3221" s="37" t="str">
        <f>VLOOKUP(Mecze[[#This Row],[Match ID]],Meczusie[Mecz]:Meczusie[RodzajMeczu],2,FALSE)</f>
        <v>Liga</v>
      </c>
    </row>
    <row r="3222" spans="1:37" x14ac:dyDescent="0.25">
      <c r="A3222" s="76">
        <v>1</v>
      </c>
      <c r="B3222" s="3" t="s">
        <v>169</v>
      </c>
      <c r="C3222" s="2" t="s">
        <v>155</v>
      </c>
      <c r="D3222" s="1">
        <v>0</v>
      </c>
      <c r="E3222" s="1">
        <v>0</v>
      </c>
      <c r="F3222" s="1">
        <v>0</v>
      </c>
      <c r="G3222" s="1">
        <v>3</v>
      </c>
      <c r="H3222" s="4">
        <v>0.67</v>
      </c>
      <c r="I3222" s="1">
        <v>0</v>
      </c>
      <c r="J3222" s="4"/>
      <c r="K3222" s="1">
        <v>3</v>
      </c>
      <c r="L3222" s="1">
        <v>0</v>
      </c>
      <c r="M3222" s="32">
        <f>IF(Mecze[[#This Row],[PR]]=0,0,Mecze[[#This Row],[PR]]/Mecze[[#This Row],[CZAS]])</f>
        <v>0</v>
      </c>
      <c r="N3222" s="32">
        <f>IF(Mecze[[#This Row],[OU]]=0,0,Mecze[[#This Row],[OU]]/Mecze[[#This Row],[CZAS]])</f>
        <v>0</v>
      </c>
      <c r="O3222" s="32">
        <f>IF(Mecze[[#This Row],[PC]]=0,0,Mecze[[#This Row],[PC]]/Mecze[[#This Row],[CZAS]])</f>
        <v>2.0202020202020204E-2</v>
      </c>
      <c r="P3222" s="32">
        <f>IF(Mecze[[#This Row],[SC]]=0,0,Mecze[[#This Row],[SC]]/Mecze[[#This Row],[CZAS]])</f>
        <v>0</v>
      </c>
      <c r="Q3222" s="32">
        <f>IF(Mecze[[#This Row],[OB]]=0,0,Mecze[[#This Row],[OB]]/Mecze[[#This Row],[CZAS]])</f>
        <v>3.0303030303030304E-2</v>
      </c>
      <c r="R3222" s="32">
        <f>IF(Mecze[[#This Row],[BR]]=0,0,Mecze[[#This Row],[BR]]/Mecze[[#This Row],[CZAS]])</f>
        <v>0</v>
      </c>
      <c r="S3222" s="44">
        <f>IF(Mecze[[#This Row],[Role]]="BR",SUMPRODUCT(Mecze[[#This Row],[/PR:90]:[/BR:90]],Brudnopis!$E$23:$J$23),0)</f>
        <v>0.15151515151515152</v>
      </c>
      <c r="T3222" s="44">
        <f>IF(Mecze[[#This Row],[Role]]&lt;&gt;"BR",SUMPRODUCT(Mecze[[#This Row],[/PR:90]:[/BR:90]],Brudnopis!$E$24:$J$24),0)</f>
        <v>0</v>
      </c>
      <c r="U3222" s="44">
        <f>IF(Mecze[[#This Row],[Role]]&lt;&gt;"BR",SUMPRODUCT(Mecze[[#This Row],[/PR:90]:[/BR:90]],Brudnopis!$E$25:$J$25),0)</f>
        <v>0</v>
      </c>
      <c r="V3222" s="44">
        <f>IF(Mecze[[#This Row],[Role]]&lt;&gt;"BR",SUMPRODUCT(Mecze[[#This Row],[/PR:90]:[/BR:90]],Brudnopis!$E$26:$J$26),0)</f>
        <v>0</v>
      </c>
      <c r="W3222" s="44">
        <f>IF(Mecze[[#This Row],[Role]]&lt;&gt;"BR",SUMPRODUCT(Mecze[[#This Row],[/PR:90]:[/BR:90]],Brudnopis!$E$27:$J$27),0)</f>
        <v>0</v>
      </c>
      <c r="X3222" s="44">
        <f>IF(Mecze[[#This Row],[Role]]&lt;&gt;"BR",SUMPRODUCT(Mecze[[#This Row],[/PR:90]:[/BR:90]],Brudnopis!$E$28:$J$28),0)</f>
        <v>0</v>
      </c>
      <c r="Y3222" s="35">
        <f>IF(Mecze[[#This Row],[Role]]="BR",Mecze[[#This Row],[/OB:90]]+Mecze[[#This Row],[/PC:90]],SUM(Mecze[[#This Row],[/PR:90]:[/BR:90]]))</f>
        <v>5.0505050505050511E-2</v>
      </c>
      <c r="Z3222" s="35">
        <f>IF(Mecze[[#This Row],[KC]]=0,SUM(Mecze[[#This Row],[/BRI]:[/NPI]]),SUM(Mecze[[#This Row],[/BRI]:[/NPI]])*0.6)</f>
        <v>0.15151515151515152</v>
      </c>
      <c r="AA3222" s="10">
        <f>IFERROR(Mecze[[#This Row],[BR]]/Mecze[[#This Row],[ST]],0)</f>
        <v>0</v>
      </c>
      <c r="AB3222">
        <f>ROUND(Mecze[[#This Row],[PD]]*Mecze[[#This Row],[%PC]],0)</f>
        <v>2</v>
      </c>
      <c r="AC3222">
        <f>ROUND(Mecze[[#This Row],[OD]]*Mecze[[#This Row],[%OU]],0)</f>
        <v>0</v>
      </c>
      <c r="AD3222" s="36" t="s">
        <v>40</v>
      </c>
      <c r="AE3222" s="36">
        <v>180</v>
      </c>
      <c r="AF3222" s="71">
        <v>4.97</v>
      </c>
      <c r="AG3222" s="37">
        <v>0</v>
      </c>
      <c r="AH3222" s="37">
        <v>0</v>
      </c>
      <c r="AI3222" s="37">
        <v>99</v>
      </c>
      <c r="AJ3222" s="37">
        <v>1</v>
      </c>
      <c r="AK3222" s="37" t="str">
        <f>VLOOKUP(Mecze[[#This Row],[Match ID]],Meczusie[Mecz]:Meczusie[RodzajMeczu],2,FALSE)</f>
        <v>Towarzyski</v>
      </c>
    </row>
    <row r="3223" spans="1:37" x14ac:dyDescent="0.25">
      <c r="A3223" s="76">
        <v>5</v>
      </c>
      <c r="B3223" s="3" t="s">
        <v>161</v>
      </c>
      <c r="C3223" s="2" t="s">
        <v>157</v>
      </c>
      <c r="D3223" s="1">
        <v>0</v>
      </c>
      <c r="E3223" s="1">
        <v>0</v>
      </c>
      <c r="F3223" s="1">
        <v>0</v>
      </c>
      <c r="G3223" s="1">
        <v>5</v>
      </c>
      <c r="H3223" s="4">
        <v>0.6</v>
      </c>
      <c r="I3223" s="1">
        <v>2</v>
      </c>
      <c r="J3223" s="4">
        <v>0.5</v>
      </c>
      <c r="K3223" s="1">
        <v>0</v>
      </c>
      <c r="L3223" s="1">
        <v>6</v>
      </c>
      <c r="M3223" s="32">
        <f>IF(Mecze[[#This Row],[PR]]=0,0,Mecze[[#This Row],[PR]]/Mecze[[#This Row],[CZAS]])</f>
        <v>6.8965517241379309E-2</v>
      </c>
      <c r="N3223" s="32">
        <f>IF(Mecze[[#This Row],[OU]]=0,0,Mecze[[#This Row],[OU]]/Mecze[[#This Row],[CZAS]])</f>
        <v>1.1494252873563218E-2</v>
      </c>
      <c r="O3223" s="32">
        <f>IF(Mecze[[#This Row],[PC]]=0,0,Mecze[[#This Row],[PC]]/Mecze[[#This Row],[CZAS]])</f>
        <v>3.4482758620689655E-2</v>
      </c>
      <c r="P3223" s="32">
        <f>IF(Mecze[[#This Row],[SC]]=0,0,Mecze[[#This Row],[SC]]/Mecze[[#This Row],[CZAS]])</f>
        <v>0</v>
      </c>
      <c r="Q3223" s="32">
        <f>IF(Mecze[[#This Row],[OB]]=0,0,Mecze[[#This Row],[OB]]/Mecze[[#This Row],[CZAS]])</f>
        <v>0</v>
      </c>
      <c r="R3223" s="32">
        <f>IF(Mecze[[#This Row],[BR]]=0,0,Mecze[[#This Row],[BR]]/Mecze[[#This Row],[CZAS]])</f>
        <v>0</v>
      </c>
      <c r="S3223" s="44">
        <f>IF(Mecze[[#This Row],[Role]]="BR",SUMPRODUCT(Mecze[[#This Row],[/PR:90]:[/BR:90]],Brudnopis!$E$23:$J$23),0)</f>
        <v>0</v>
      </c>
      <c r="T3223" s="44">
        <f>IF(Mecze[[#This Row],[Role]]&lt;&gt;"BR",SUMPRODUCT(Mecze[[#This Row],[/PR:90]:[/BR:90]],Brudnopis!$E$24:$J$24),0)</f>
        <v>0.1206896551724138</v>
      </c>
      <c r="U3223" s="44">
        <f>IF(Mecze[[#This Row],[Role]]&lt;&gt;"BR",SUMPRODUCT(Mecze[[#This Row],[/PR:90]:[/BR:90]],Brudnopis!$E$25:$J$25),0)</f>
        <v>0.13218390804597702</v>
      </c>
      <c r="V3223" s="44">
        <f>IF(Mecze[[#This Row],[Role]]&lt;&gt;"BR",SUMPRODUCT(Mecze[[#This Row],[/PR:90]:[/BR:90]],Brudnopis!$E$26:$J$26),0)</f>
        <v>0.11494252873563218</v>
      </c>
      <c r="W3223" s="44">
        <f>IF(Mecze[[#This Row],[Role]]&lt;&gt;"BR",SUMPRODUCT(Mecze[[#This Row],[/PR:90]:[/BR:90]],Brudnopis!$E$27:$J$27),0)</f>
        <v>0.11206896551724138</v>
      </c>
      <c r="X3223" s="44">
        <f>IF(Mecze[[#This Row],[Role]]&lt;&gt;"BR",SUMPRODUCT(Mecze[[#This Row],[/PR:90]:[/BR:90]],Brudnopis!$E$28:$J$28),0)</f>
        <v>3.4482758620689655E-2</v>
      </c>
      <c r="Y3223" s="35">
        <f>IF(Mecze[[#This Row],[Role]]="BR",Mecze[[#This Row],[/OB:90]]+Mecze[[#This Row],[/PC:90]],SUM(Mecze[[#This Row],[/PR:90]:[/BR:90]]))</f>
        <v>0.11494252873563218</v>
      </c>
      <c r="Z3223" s="35">
        <f>IF(Mecze[[#This Row],[KC]]=0,SUM(Mecze[[#This Row],[/BRI]:[/NPI]]),SUM(Mecze[[#This Row],[/BRI]:[/NPI]])*0.6)</f>
        <v>0.30862068965517242</v>
      </c>
      <c r="AA3223" s="10">
        <f>IFERROR(Mecze[[#This Row],[BR]]/Mecze[[#This Row],[ST]],0)</f>
        <v>0</v>
      </c>
      <c r="AB3223">
        <f>ROUND(Mecze[[#This Row],[PD]]*Mecze[[#This Row],[%PC]],0)</f>
        <v>3</v>
      </c>
      <c r="AC3223">
        <f>ROUND(Mecze[[#This Row],[OD]]*Mecze[[#This Row],[%OU]],0)</f>
        <v>1</v>
      </c>
      <c r="AD3223" s="36" t="s">
        <v>47</v>
      </c>
      <c r="AE3223" s="36">
        <v>180</v>
      </c>
      <c r="AF3223" s="71">
        <v>2.97</v>
      </c>
      <c r="AG3223" s="37">
        <v>0</v>
      </c>
      <c r="AH3223" s="37">
        <v>1</v>
      </c>
      <c r="AI3223" s="37">
        <v>87</v>
      </c>
      <c r="AJ3223" s="37">
        <v>1</v>
      </c>
      <c r="AK3223" s="37" t="str">
        <f>VLOOKUP(Mecze[[#This Row],[Match ID]],Meczusie[Mecz]:Meczusie[RodzajMeczu],2,FALSE)</f>
        <v>Towarzyski</v>
      </c>
    </row>
    <row r="3224" spans="1:37" x14ac:dyDescent="0.25">
      <c r="A3224" s="76">
        <v>18</v>
      </c>
      <c r="B3224" s="3" t="s">
        <v>211</v>
      </c>
      <c r="C3224" s="2" t="s">
        <v>157</v>
      </c>
      <c r="D3224" s="1">
        <v>0</v>
      </c>
      <c r="E3224" s="1">
        <v>0</v>
      </c>
      <c r="F3224" s="1">
        <v>0</v>
      </c>
      <c r="G3224" s="1">
        <v>8</v>
      </c>
      <c r="H3224" s="4">
        <v>0.5</v>
      </c>
      <c r="I3224" s="1">
        <v>11</v>
      </c>
      <c r="J3224" s="4">
        <v>0.27</v>
      </c>
      <c r="K3224" s="1">
        <v>0</v>
      </c>
      <c r="L3224" s="1">
        <v>32</v>
      </c>
      <c r="M3224" s="32">
        <f>IF(Mecze[[#This Row],[PR]]=0,0,Mecze[[#This Row],[PR]]/Mecze[[#This Row],[CZAS]])</f>
        <v>0.32323232323232326</v>
      </c>
      <c r="N3224" s="32">
        <f>IF(Mecze[[#This Row],[OU]]=0,0,Mecze[[#This Row],[OU]]/Mecze[[#This Row],[CZAS]])</f>
        <v>3.0303030303030304E-2</v>
      </c>
      <c r="O3224" s="32">
        <f>IF(Mecze[[#This Row],[PC]]=0,0,Mecze[[#This Row],[PC]]/Mecze[[#This Row],[CZAS]])</f>
        <v>4.0404040404040407E-2</v>
      </c>
      <c r="P3224" s="32">
        <f>IF(Mecze[[#This Row],[SC]]=0,0,Mecze[[#This Row],[SC]]/Mecze[[#This Row],[CZAS]])</f>
        <v>0</v>
      </c>
      <c r="Q3224" s="32">
        <f>IF(Mecze[[#This Row],[OB]]=0,0,Mecze[[#This Row],[OB]]/Mecze[[#This Row],[CZAS]])</f>
        <v>0</v>
      </c>
      <c r="R3224" s="32">
        <f>IF(Mecze[[#This Row],[BR]]=0,0,Mecze[[#This Row],[BR]]/Mecze[[#This Row],[CZAS]])</f>
        <v>0</v>
      </c>
      <c r="S3224" s="44">
        <f>IF(Mecze[[#This Row],[Role]]="BR",SUMPRODUCT(Mecze[[#This Row],[/PR:90]:[/BR:90]],Brudnopis!$E$23:$J$23),0)</f>
        <v>0</v>
      </c>
      <c r="T3224" s="44">
        <f>IF(Mecze[[#This Row],[Role]]&lt;&gt;"BR",SUMPRODUCT(Mecze[[#This Row],[/PR:90]:[/BR:90]],Brudnopis!$E$24:$J$24),0)</f>
        <v>0.40909090909090912</v>
      </c>
      <c r="U3224" s="44">
        <f>IF(Mecze[[#This Row],[Role]]&lt;&gt;"BR",SUMPRODUCT(Mecze[[#This Row],[/PR:90]:[/BR:90]],Brudnopis!$E$25:$J$25),0)</f>
        <v>0.4141414141414142</v>
      </c>
      <c r="V3224" s="44">
        <f>IF(Mecze[[#This Row],[Role]]&lt;&gt;"BR",SUMPRODUCT(Mecze[[#This Row],[/PR:90]:[/BR:90]],Brudnopis!$E$26:$J$26),0)</f>
        <v>0.39393939393939398</v>
      </c>
      <c r="W3224" s="44">
        <f>IF(Mecze[[#This Row],[Role]]&lt;&gt;"BR",SUMPRODUCT(Mecze[[#This Row],[/PR:90]:[/BR:90]],Brudnopis!$E$27:$J$27),0)</f>
        <v>0.32575757575757575</v>
      </c>
      <c r="X3224" s="44">
        <f>IF(Mecze[[#This Row],[Role]]&lt;&gt;"BR",SUMPRODUCT(Mecze[[#This Row],[/PR:90]:[/BR:90]],Brudnopis!$E$28:$J$28),0)</f>
        <v>4.0404040404040407E-2</v>
      </c>
      <c r="Y3224" s="35">
        <f>IF(Mecze[[#This Row],[Role]]="BR",Mecze[[#This Row],[/OB:90]]+Mecze[[#This Row],[/PC:90]],SUM(Mecze[[#This Row],[/PR:90]:[/BR:90]]))</f>
        <v>0.39393939393939398</v>
      </c>
      <c r="Z3224" s="35">
        <f>IF(Mecze[[#This Row],[KC]]=0,SUM(Mecze[[#This Row],[/BRI]:[/NPI]]),SUM(Mecze[[#This Row],[/BRI]:[/NPI]])*0.6)</f>
        <v>1.5833333333333335</v>
      </c>
      <c r="AA3224" s="10">
        <f>IFERROR(Mecze[[#This Row],[BR]]/Mecze[[#This Row],[ST]],0)</f>
        <v>0</v>
      </c>
      <c r="AB3224">
        <f>ROUND(Mecze[[#This Row],[PD]]*Mecze[[#This Row],[%PC]],0)</f>
        <v>4</v>
      </c>
      <c r="AC3224">
        <f>ROUND(Mecze[[#This Row],[OD]]*Mecze[[#This Row],[%OU]],0)</f>
        <v>3</v>
      </c>
      <c r="AD3224" s="36" t="s">
        <v>167</v>
      </c>
      <c r="AE3224" s="36">
        <v>180</v>
      </c>
      <c r="AF3224" s="71">
        <v>10.64</v>
      </c>
      <c r="AG3224" s="37">
        <v>0</v>
      </c>
      <c r="AH3224" s="37">
        <v>0</v>
      </c>
      <c r="AI3224" s="37">
        <v>99</v>
      </c>
      <c r="AJ3224" s="37">
        <v>1</v>
      </c>
      <c r="AK3224" s="37" t="str">
        <f>VLOOKUP(Mecze[[#This Row],[Match ID]],Meczusie[Mecz]:Meczusie[RodzajMeczu],2,FALSE)</f>
        <v>Towarzyski</v>
      </c>
    </row>
    <row r="3225" spans="1:37" x14ac:dyDescent="0.25">
      <c r="A3225" s="76">
        <v>3</v>
      </c>
      <c r="B3225" s="3" t="s">
        <v>158</v>
      </c>
      <c r="C3225" s="2" t="s">
        <v>157</v>
      </c>
      <c r="D3225" s="1">
        <v>0</v>
      </c>
      <c r="E3225" s="1">
        <v>0</v>
      </c>
      <c r="F3225" s="1">
        <v>0</v>
      </c>
      <c r="G3225" s="1">
        <v>7</v>
      </c>
      <c r="H3225" s="4">
        <v>0.56999999999999995</v>
      </c>
      <c r="I3225" s="1">
        <v>2</v>
      </c>
      <c r="J3225" s="4">
        <v>1</v>
      </c>
      <c r="K3225" s="1">
        <v>0</v>
      </c>
      <c r="L3225" s="1">
        <v>8</v>
      </c>
      <c r="M3225" s="32">
        <f>IF(Mecze[[#This Row],[PR]]=0,0,Mecze[[#This Row],[PR]]/Mecze[[#This Row],[CZAS]])</f>
        <v>8.0808080808080815E-2</v>
      </c>
      <c r="N3225" s="32">
        <f>IF(Mecze[[#This Row],[OU]]=0,0,Mecze[[#This Row],[OU]]/Mecze[[#This Row],[CZAS]])</f>
        <v>2.0202020202020204E-2</v>
      </c>
      <c r="O3225" s="32">
        <f>IF(Mecze[[#This Row],[PC]]=0,0,Mecze[[#This Row],[PC]]/Mecze[[#This Row],[CZAS]])</f>
        <v>4.0404040404040407E-2</v>
      </c>
      <c r="P3225" s="32">
        <f>IF(Mecze[[#This Row],[SC]]=0,0,Mecze[[#This Row],[SC]]/Mecze[[#This Row],[CZAS]])</f>
        <v>0</v>
      </c>
      <c r="Q3225" s="32">
        <f>IF(Mecze[[#This Row],[OB]]=0,0,Mecze[[#This Row],[OB]]/Mecze[[#This Row],[CZAS]])</f>
        <v>0</v>
      </c>
      <c r="R3225" s="32">
        <f>IF(Mecze[[#This Row],[BR]]=0,0,Mecze[[#This Row],[BR]]/Mecze[[#This Row],[CZAS]])</f>
        <v>0</v>
      </c>
      <c r="S3225" s="44">
        <f>IF(Mecze[[#This Row],[Role]]="BR",SUMPRODUCT(Mecze[[#This Row],[/PR:90]:[/BR:90]],Brudnopis!$E$23:$J$23),0)</f>
        <v>0</v>
      </c>
      <c r="T3225" s="44">
        <f>IF(Mecze[[#This Row],[Role]]&lt;&gt;"BR",SUMPRODUCT(Mecze[[#This Row],[/PR:90]:[/BR:90]],Brudnopis!$E$24:$J$24),0)</f>
        <v>0.15151515151515152</v>
      </c>
      <c r="U3225" s="44">
        <f>IF(Mecze[[#This Row],[Role]]&lt;&gt;"BR",SUMPRODUCT(Mecze[[#This Row],[/PR:90]:[/BR:90]],Brudnopis!$E$25:$J$25),0)</f>
        <v>0.16161616161616163</v>
      </c>
      <c r="V3225" s="44">
        <f>IF(Mecze[[#This Row],[Role]]&lt;&gt;"BR",SUMPRODUCT(Mecze[[#This Row],[/PR:90]:[/BR:90]],Brudnopis!$E$26:$J$26),0)</f>
        <v>0.14141414141414144</v>
      </c>
      <c r="W3225" s="44">
        <f>IF(Mecze[[#This Row],[Role]]&lt;&gt;"BR",SUMPRODUCT(Mecze[[#This Row],[/PR:90]:[/BR:90]],Brudnopis!$E$27:$J$27),0)</f>
        <v>0.13636363636363635</v>
      </c>
      <c r="X3225" s="44">
        <f>IF(Mecze[[#This Row],[Role]]&lt;&gt;"BR",SUMPRODUCT(Mecze[[#This Row],[/PR:90]:[/BR:90]],Brudnopis!$E$28:$J$28),0)</f>
        <v>4.0404040404040407E-2</v>
      </c>
      <c r="Y3225" s="35">
        <f>IF(Mecze[[#This Row],[Role]]="BR",Mecze[[#This Row],[/OB:90]]+Mecze[[#This Row],[/PC:90]],SUM(Mecze[[#This Row],[/PR:90]:[/BR:90]]))</f>
        <v>0.14141414141414144</v>
      </c>
      <c r="Z3225" s="35">
        <f>IF(Mecze[[#This Row],[KC]]=0,SUM(Mecze[[#This Row],[/BRI]:[/NPI]]),SUM(Mecze[[#This Row],[/BRI]:[/NPI]])*0.6)</f>
        <v>0.63131313131313138</v>
      </c>
      <c r="AA3225" s="10">
        <f>IFERROR(Mecze[[#This Row],[BR]]/Mecze[[#This Row],[ST]],0)</f>
        <v>0</v>
      </c>
      <c r="AB3225">
        <f>ROUND(Mecze[[#This Row],[PD]]*Mecze[[#This Row],[%PC]],0)</f>
        <v>4</v>
      </c>
      <c r="AC3225">
        <f>ROUND(Mecze[[#This Row],[OD]]*Mecze[[#This Row],[%OU]],0)</f>
        <v>2</v>
      </c>
      <c r="AD3225" s="36" t="s">
        <v>168</v>
      </c>
      <c r="AE3225" s="36">
        <v>180</v>
      </c>
      <c r="AF3225" s="71">
        <v>5.6</v>
      </c>
      <c r="AG3225" s="37">
        <v>0</v>
      </c>
      <c r="AH3225" s="37">
        <v>0</v>
      </c>
      <c r="AI3225" s="37">
        <v>99</v>
      </c>
      <c r="AJ3225" s="37">
        <v>1</v>
      </c>
      <c r="AK3225" s="37" t="str">
        <f>VLOOKUP(Mecze[[#This Row],[Match ID]],Meczusie[Mecz]:Meczusie[RodzajMeczu],2,FALSE)</f>
        <v>Towarzyski</v>
      </c>
    </row>
    <row r="3226" spans="1:37" x14ac:dyDescent="0.25">
      <c r="A3226" s="76">
        <v>6</v>
      </c>
      <c r="B3226" s="3" t="s">
        <v>159</v>
      </c>
      <c r="C3226" s="2" t="s">
        <v>160</v>
      </c>
      <c r="D3226" s="1">
        <v>0</v>
      </c>
      <c r="E3226" s="1">
        <v>0</v>
      </c>
      <c r="F3226" s="1">
        <v>0</v>
      </c>
      <c r="G3226" s="1">
        <v>9</v>
      </c>
      <c r="H3226" s="4">
        <v>0.56000000000000005</v>
      </c>
      <c r="I3226" s="1">
        <v>0</v>
      </c>
      <c r="J3226" s="4"/>
      <c r="K3226" s="1">
        <v>0</v>
      </c>
      <c r="L3226" s="1">
        <v>8</v>
      </c>
      <c r="M3226" s="32">
        <f>IF(Mecze[[#This Row],[PR]]=0,0,Mecze[[#This Row],[PR]]/Mecze[[#This Row],[CZAS]])</f>
        <v>8.0808080808080815E-2</v>
      </c>
      <c r="N3226" s="32">
        <f>IF(Mecze[[#This Row],[OU]]=0,0,Mecze[[#This Row],[OU]]/Mecze[[#This Row],[CZAS]])</f>
        <v>0</v>
      </c>
      <c r="O3226" s="32">
        <f>IF(Mecze[[#This Row],[PC]]=0,0,Mecze[[#This Row],[PC]]/Mecze[[#This Row],[CZAS]])</f>
        <v>5.0505050505050504E-2</v>
      </c>
      <c r="P3226" s="32">
        <f>IF(Mecze[[#This Row],[SC]]=0,0,Mecze[[#This Row],[SC]]/Mecze[[#This Row],[CZAS]])</f>
        <v>0</v>
      </c>
      <c r="Q3226" s="32">
        <f>IF(Mecze[[#This Row],[OB]]=0,0,Mecze[[#This Row],[OB]]/Mecze[[#This Row],[CZAS]])</f>
        <v>0</v>
      </c>
      <c r="R3226" s="32">
        <f>IF(Mecze[[#This Row],[BR]]=0,0,Mecze[[#This Row],[BR]]/Mecze[[#This Row],[CZAS]])</f>
        <v>0</v>
      </c>
      <c r="S3226" s="44">
        <f>IF(Mecze[[#This Row],[Role]]="BR",SUMPRODUCT(Mecze[[#This Row],[/PR:90]:[/BR:90]],Brudnopis!$E$23:$J$23),0)</f>
        <v>0</v>
      </c>
      <c r="T3226" s="44">
        <f>IF(Mecze[[#This Row],[Role]]&lt;&gt;"BR",SUMPRODUCT(Mecze[[#This Row],[/PR:90]:[/BR:90]],Brudnopis!$E$24:$J$24),0)</f>
        <v>0.13131313131313133</v>
      </c>
      <c r="U3226" s="44">
        <f>IF(Mecze[[#This Row],[Role]]&lt;&gt;"BR",SUMPRODUCT(Mecze[[#This Row],[/PR:90]:[/BR:90]],Brudnopis!$E$25:$J$25),0)</f>
        <v>0.15656565656565657</v>
      </c>
      <c r="V3226" s="44">
        <f>IF(Mecze[[#This Row],[Role]]&lt;&gt;"BR",SUMPRODUCT(Mecze[[#This Row],[/PR:90]:[/BR:90]],Brudnopis!$E$26:$J$26),0)</f>
        <v>0.13131313131313133</v>
      </c>
      <c r="W3226" s="44">
        <f>IF(Mecze[[#This Row],[Role]]&lt;&gt;"BR",SUMPRODUCT(Mecze[[#This Row],[/PR:90]:[/BR:90]],Brudnopis!$E$27:$J$27),0)</f>
        <v>0.13636363636363635</v>
      </c>
      <c r="X3226" s="44">
        <f>IF(Mecze[[#This Row],[Role]]&lt;&gt;"BR",SUMPRODUCT(Mecze[[#This Row],[/PR:90]:[/BR:90]],Brudnopis!$E$28:$J$28),0)</f>
        <v>5.0505050505050504E-2</v>
      </c>
      <c r="Y3226" s="35">
        <f>IF(Mecze[[#This Row],[Role]]="BR",Mecze[[#This Row],[/OB:90]]+Mecze[[#This Row],[/PC:90]],SUM(Mecze[[#This Row],[/PR:90]:[/BR:90]]))</f>
        <v>0.13131313131313133</v>
      </c>
      <c r="Z3226" s="35">
        <f>IF(Mecze[[#This Row],[KC]]=0,SUM(Mecze[[#This Row],[/BRI]:[/NPI]]),SUM(Mecze[[#This Row],[/BRI]:[/NPI]])*0.6)</f>
        <v>0.60606060606060608</v>
      </c>
      <c r="AA3226" s="10">
        <f>IFERROR(Mecze[[#This Row],[BR]]/Mecze[[#This Row],[ST]],0)</f>
        <v>0</v>
      </c>
      <c r="AB3226">
        <f>ROUND(Mecze[[#This Row],[PD]]*Mecze[[#This Row],[%PC]],0)</f>
        <v>5</v>
      </c>
      <c r="AC3226">
        <f>ROUND(Mecze[[#This Row],[OD]]*Mecze[[#This Row],[%OU]],0)</f>
        <v>0</v>
      </c>
      <c r="AD3226" s="36" t="s">
        <v>41</v>
      </c>
      <c r="AE3226" s="36">
        <v>180</v>
      </c>
      <c r="AF3226" s="71">
        <v>6.81</v>
      </c>
      <c r="AG3226" s="37">
        <v>0</v>
      </c>
      <c r="AH3226" s="37">
        <v>0</v>
      </c>
      <c r="AI3226" s="37">
        <v>99</v>
      </c>
      <c r="AJ3226" s="37">
        <v>1</v>
      </c>
      <c r="AK3226" s="37" t="str">
        <f>VLOOKUP(Mecze[[#This Row],[Match ID]],Meczusie[Mecz]:Meczusie[RodzajMeczu],2,FALSE)</f>
        <v>Towarzyski</v>
      </c>
    </row>
    <row r="3227" spans="1:37" x14ac:dyDescent="0.25">
      <c r="A3227" s="76">
        <v>60</v>
      </c>
      <c r="B3227" s="3" t="s">
        <v>515</v>
      </c>
      <c r="C3227" s="2" t="s">
        <v>160</v>
      </c>
      <c r="D3227" s="1">
        <v>0</v>
      </c>
      <c r="E3227" s="1">
        <v>0</v>
      </c>
      <c r="F3227" s="1">
        <v>0</v>
      </c>
      <c r="G3227" s="1">
        <v>13</v>
      </c>
      <c r="H3227" s="4">
        <v>0.69</v>
      </c>
      <c r="I3227" s="1">
        <v>2</v>
      </c>
      <c r="J3227" s="4">
        <v>1</v>
      </c>
      <c r="K3227" s="1">
        <v>0</v>
      </c>
      <c r="L3227" s="1">
        <v>4</v>
      </c>
      <c r="M3227" s="32">
        <f>IF(Mecze[[#This Row],[PR]]=0,0,Mecze[[#This Row],[PR]]/Mecze[[#This Row],[CZAS]])</f>
        <v>4.0404040404040407E-2</v>
      </c>
      <c r="N3227" s="32">
        <f>IF(Mecze[[#This Row],[OU]]=0,0,Mecze[[#This Row],[OU]]/Mecze[[#This Row],[CZAS]])</f>
        <v>2.0202020202020204E-2</v>
      </c>
      <c r="O3227" s="32">
        <f>IF(Mecze[[#This Row],[PC]]=0,0,Mecze[[#This Row],[PC]]/Mecze[[#This Row],[CZAS]])</f>
        <v>9.0909090909090912E-2</v>
      </c>
      <c r="P3227" s="32">
        <f>IF(Mecze[[#This Row],[SC]]=0,0,Mecze[[#This Row],[SC]]/Mecze[[#This Row],[CZAS]])</f>
        <v>0</v>
      </c>
      <c r="Q3227" s="32">
        <f>IF(Mecze[[#This Row],[OB]]=0,0,Mecze[[#This Row],[OB]]/Mecze[[#This Row],[CZAS]])</f>
        <v>0</v>
      </c>
      <c r="R3227" s="32">
        <f>IF(Mecze[[#This Row],[BR]]=0,0,Mecze[[#This Row],[BR]]/Mecze[[#This Row],[CZAS]])</f>
        <v>0</v>
      </c>
      <c r="S3227" s="44">
        <f>IF(Mecze[[#This Row],[Role]]="BR",SUMPRODUCT(Mecze[[#This Row],[/PR:90]:[/BR:90]],Brudnopis!$E$23:$J$23),0)</f>
        <v>0</v>
      </c>
      <c r="T3227" s="44">
        <f>IF(Mecze[[#This Row],[Role]]&lt;&gt;"BR",SUMPRODUCT(Mecze[[#This Row],[/PR:90]:[/BR:90]],Brudnopis!$E$24:$J$24),0)</f>
        <v>0.16161616161616163</v>
      </c>
      <c r="U3227" s="44">
        <f>IF(Mecze[[#This Row],[Role]]&lt;&gt;"BR",SUMPRODUCT(Mecze[[#This Row],[/PR:90]:[/BR:90]],Brudnopis!$E$25:$J$25),0)</f>
        <v>0.19696969696969696</v>
      </c>
      <c r="V3227" s="44">
        <f>IF(Mecze[[#This Row],[Role]]&lt;&gt;"BR",SUMPRODUCT(Mecze[[#This Row],[/PR:90]:[/BR:90]],Brudnopis!$E$26:$J$26),0)</f>
        <v>0.15151515151515152</v>
      </c>
      <c r="W3227" s="44">
        <f>IF(Mecze[[#This Row],[Role]]&lt;&gt;"BR",SUMPRODUCT(Mecze[[#This Row],[/PR:90]:[/BR:90]],Brudnopis!$E$27:$J$27),0)</f>
        <v>0.18181818181818182</v>
      </c>
      <c r="X3227" s="44">
        <f>IF(Mecze[[#This Row],[Role]]&lt;&gt;"BR",SUMPRODUCT(Mecze[[#This Row],[/PR:90]:[/BR:90]],Brudnopis!$E$28:$J$28),0)</f>
        <v>9.0909090909090912E-2</v>
      </c>
      <c r="Y3227" s="35">
        <f>IF(Mecze[[#This Row],[Role]]="BR",Mecze[[#This Row],[/OB:90]]+Mecze[[#This Row],[/PC:90]],SUM(Mecze[[#This Row],[/PR:90]:[/BR:90]]))</f>
        <v>0.15151515151515152</v>
      </c>
      <c r="Z3227" s="35">
        <f>IF(Mecze[[#This Row],[KC]]=0,SUM(Mecze[[#This Row],[/BRI]:[/NPI]]),SUM(Mecze[[#This Row],[/BRI]:[/NPI]])*0.6)</f>
        <v>0.78282828282828276</v>
      </c>
      <c r="AA3227" s="10">
        <f>IFERROR(Mecze[[#This Row],[BR]]/Mecze[[#This Row],[ST]],0)</f>
        <v>0</v>
      </c>
      <c r="AB3227">
        <f>ROUND(Mecze[[#This Row],[PD]]*Mecze[[#This Row],[%PC]],0)</f>
        <v>9</v>
      </c>
      <c r="AC3227">
        <f>ROUND(Mecze[[#This Row],[OD]]*Mecze[[#This Row],[%OU]],0)</f>
        <v>2</v>
      </c>
      <c r="AD3227" s="36" t="s">
        <v>41</v>
      </c>
      <c r="AE3227" s="36">
        <v>180</v>
      </c>
      <c r="AF3227" s="71">
        <v>5.97</v>
      </c>
      <c r="AG3227" s="37">
        <v>0</v>
      </c>
      <c r="AH3227" s="37">
        <v>0</v>
      </c>
      <c r="AI3227" s="37">
        <v>99</v>
      </c>
      <c r="AJ3227" s="37">
        <v>1</v>
      </c>
      <c r="AK3227" s="37" t="str">
        <f>VLOOKUP(Mecze[[#This Row],[Match ID]],Meczusie[Mecz]:Meczusie[RodzajMeczu],2,FALSE)</f>
        <v>Towarzyski</v>
      </c>
    </row>
    <row r="3228" spans="1:37" x14ac:dyDescent="0.25">
      <c r="A3228" s="76">
        <v>15</v>
      </c>
      <c r="B3228" s="3" t="s">
        <v>170</v>
      </c>
      <c r="C3228" s="2" t="s">
        <v>160</v>
      </c>
      <c r="D3228" s="1">
        <v>0</v>
      </c>
      <c r="E3228" s="1">
        <v>1</v>
      </c>
      <c r="F3228" s="1">
        <v>1</v>
      </c>
      <c r="G3228" s="1">
        <v>16</v>
      </c>
      <c r="H3228" s="4">
        <v>0.81</v>
      </c>
      <c r="I3228" s="1">
        <v>1</v>
      </c>
      <c r="J3228" s="4">
        <v>1</v>
      </c>
      <c r="K3228" s="1">
        <v>0</v>
      </c>
      <c r="L3228" s="1">
        <v>3</v>
      </c>
      <c r="M3228" s="32">
        <f>IF(Mecze[[#This Row],[PR]]=0,0,Mecze[[#This Row],[PR]]/Mecze[[#This Row],[CZAS]])</f>
        <v>3.0303030303030304E-2</v>
      </c>
      <c r="N3228" s="32">
        <f>IF(Mecze[[#This Row],[OU]]=0,0,Mecze[[#This Row],[OU]]/Mecze[[#This Row],[CZAS]])</f>
        <v>1.0101010101010102E-2</v>
      </c>
      <c r="O3228" s="32">
        <f>IF(Mecze[[#This Row],[PC]]=0,0,Mecze[[#This Row],[PC]]/Mecze[[#This Row],[CZAS]])</f>
        <v>0.13131313131313133</v>
      </c>
      <c r="P3228" s="32">
        <f>IF(Mecze[[#This Row],[SC]]=0,0,Mecze[[#This Row],[SC]]/Mecze[[#This Row],[CZAS]])</f>
        <v>1.0101010101010102E-2</v>
      </c>
      <c r="Q3228" s="32">
        <f>IF(Mecze[[#This Row],[OB]]=0,0,Mecze[[#This Row],[OB]]/Mecze[[#This Row],[CZAS]])</f>
        <v>0</v>
      </c>
      <c r="R3228" s="32">
        <f>IF(Mecze[[#This Row],[BR]]=0,0,Mecze[[#This Row],[BR]]/Mecze[[#This Row],[CZAS]])</f>
        <v>0</v>
      </c>
      <c r="S3228" s="44">
        <f>IF(Mecze[[#This Row],[Role]]="BR",SUMPRODUCT(Mecze[[#This Row],[/PR:90]:[/BR:90]],Brudnopis!$E$23:$J$23),0)</f>
        <v>0</v>
      </c>
      <c r="T3228" s="44">
        <f>IF(Mecze[[#This Row],[Role]]&lt;&gt;"BR",SUMPRODUCT(Mecze[[#This Row],[/PR:90]:[/BR:90]],Brudnopis!$E$24:$J$24),0)</f>
        <v>0.18686868686868691</v>
      </c>
      <c r="U3228" s="44">
        <f>IF(Mecze[[#This Row],[Role]]&lt;&gt;"BR",SUMPRODUCT(Mecze[[#This Row],[/PR:90]:[/BR:90]],Brudnopis!$E$25:$J$25),0)</f>
        <v>0.24747474747474751</v>
      </c>
      <c r="V3228" s="44">
        <f>IF(Mecze[[#This Row],[Role]]&lt;&gt;"BR",SUMPRODUCT(Mecze[[#This Row],[/PR:90]:[/BR:90]],Brudnopis!$E$26:$J$26),0)</f>
        <v>0.18181818181818185</v>
      </c>
      <c r="W3228" s="44">
        <f>IF(Mecze[[#This Row],[Role]]&lt;&gt;"BR",SUMPRODUCT(Mecze[[#This Row],[/PR:90]:[/BR:90]],Brudnopis!$E$27:$J$27),0)</f>
        <v>0.2373737373737374</v>
      </c>
      <c r="X3228" s="44">
        <f>IF(Mecze[[#This Row],[Role]]&lt;&gt;"BR",SUMPRODUCT(Mecze[[#This Row],[/PR:90]:[/BR:90]],Brudnopis!$E$28:$J$28),0)</f>
        <v>0.15151515151515152</v>
      </c>
      <c r="Y3228" s="35">
        <f>IF(Mecze[[#This Row],[Role]]="BR",Mecze[[#This Row],[/OB:90]]+Mecze[[#This Row],[/PC:90]],SUM(Mecze[[#This Row],[/PR:90]:[/BR:90]]))</f>
        <v>0.18181818181818185</v>
      </c>
      <c r="Z3228" s="35">
        <f>IF(Mecze[[#This Row],[KC]]=0,SUM(Mecze[[#This Row],[/BRI]:[/NPI]]),SUM(Mecze[[#This Row],[/BRI]:[/NPI]])*0.6)</f>
        <v>1.0050505050505052</v>
      </c>
      <c r="AA3228" s="10">
        <f>IFERROR(Mecze[[#This Row],[BR]]/Mecze[[#This Row],[ST]],0)</f>
        <v>0</v>
      </c>
      <c r="AB3228">
        <f>ROUND(Mecze[[#This Row],[PD]]*Mecze[[#This Row],[%PC]],0)</f>
        <v>13</v>
      </c>
      <c r="AC3228">
        <f>ROUND(Mecze[[#This Row],[OD]]*Mecze[[#This Row],[%OU]],0)</f>
        <v>1</v>
      </c>
      <c r="AD3228" s="36" t="s">
        <v>67</v>
      </c>
      <c r="AE3228" s="36">
        <v>180</v>
      </c>
      <c r="AF3228" s="71">
        <v>6.9</v>
      </c>
      <c r="AG3228" s="37">
        <v>0</v>
      </c>
      <c r="AH3228" s="37">
        <v>0</v>
      </c>
      <c r="AI3228" s="37">
        <v>99</v>
      </c>
      <c r="AJ3228" s="37">
        <v>1</v>
      </c>
      <c r="AK3228" s="37" t="str">
        <f>VLOOKUP(Mecze[[#This Row],[Match ID]],Meczusie[Mecz]:Meczusie[RodzajMeczu],2,FALSE)</f>
        <v>Towarzyski</v>
      </c>
    </row>
    <row r="3229" spans="1:37" x14ac:dyDescent="0.25">
      <c r="A3229" s="76">
        <v>14</v>
      </c>
      <c r="B3229" s="3" t="s">
        <v>164</v>
      </c>
      <c r="C3229" s="2" t="s">
        <v>160</v>
      </c>
      <c r="D3229" s="1">
        <v>0</v>
      </c>
      <c r="E3229" s="1">
        <v>1</v>
      </c>
      <c r="F3229" s="1">
        <v>0</v>
      </c>
      <c r="G3229" s="1">
        <v>8</v>
      </c>
      <c r="H3229" s="4">
        <v>0.63</v>
      </c>
      <c r="I3229" s="1">
        <v>1</v>
      </c>
      <c r="J3229" s="4">
        <v>0</v>
      </c>
      <c r="K3229" s="1">
        <v>0</v>
      </c>
      <c r="L3229" s="1">
        <v>4</v>
      </c>
      <c r="M3229" s="32">
        <f>IF(Mecze[[#This Row],[PR]]=0,0,Mecze[[#This Row],[PR]]/Mecze[[#This Row],[CZAS]])</f>
        <v>4.0404040404040407E-2</v>
      </c>
      <c r="N3229" s="32">
        <f>IF(Mecze[[#This Row],[OU]]=0,0,Mecze[[#This Row],[OU]]/Mecze[[#This Row],[CZAS]])</f>
        <v>0</v>
      </c>
      <c r="O3229" s="32">
        <f>IF(Mecze[[#This Row],[PC]]=0,0,Mecze[[#This Row],[PC]]/Mecze[[#This Row],[CZAS]])</f>
        <v>5.0505050505050504E-2</v>
      </c>
      <c r="P3229" s="32">
        <f>IF(Mecze[[#This Row],[SC]]=0,0,Mecze[[#This Row],[SC]]/Mecze[[#This Row],[CZAS]])</f>
        <v>0</v>
      </c>
      <c r="Q3229" s="32">
        <f>IF(Mecze[[#This Row],[OB]]=0,0,Mecze[[#This Row],[OB]]/Mecze[[#This Row],[CZAS]])</f>
        <v>0</v>
      </c>
      <c r="R3229" s="32">
        <f>IF(Mecze[[#This Row],[BR]]=0,0,Mecze[[#This Row],[BR]]/Mecze[[#This Row],[CZAS]])</f>
        <v>0</v>
      </c>
      <c r="S3229" s="44">
        <f>IF(Mecze[[#This Row],[Role]]="BR",SUMPRODUCT(Mecze[[#This Row],[/PR:90]:[/BR:90]],Brudnopis!$E$23:$J$23),0)</f>
        <v>0</v>
      </c>
      <c r="T3229" s="44">
        <f>IF(Mecze[[#This Row],[Role]]&lt;&gt;"BR",SUMPRODUCT(Mecze[[#This Row],[/PR:90]:[/BR:90]],Brudnopis!$E$24:$J$24),0)</f>
        <v>9.0909090909090912E-2</v>
      </c>
      <c r="U3229" s="44">
        <f>IF(Mecze[[#This Row],[Role]]&lt;&gt;"BR",SUMPRODUCT(Mecze[[#This Row],[/PR:90]:[/BR:90]],Brudnopis!$E$25:$J$25),0)</f>
        <v>0.11616161616161616</v>
      </c>
      <c r="V3229" s="44">
        <f>IF(Mecze[[#This Row],[Role]]&lt;&gt;"BR",SUMPRODUCT(Mecze[[#This Row],[/PR:90]:[/BR:90]],Brudnopis!$E$26:$J$26),0)</f>
        <v>9.0909090909090912E-2</v>
      </c>
      <c r="W3229" s="44">
        <f>IF(Mecze[[#This Row],[Role]]&lt;&gt;"BR",SUMPRODUCT(Mecze[[#This Row],[/PR:90]:[/BR:90]],Brudnopis!$E$27:$J$27),0)</f>
        <v>0.10606060606060606</v>
      </c>
      <c r="X3229" s="44">
        <f>IF(Mecze[[#This Row],[Role]]&lt;&gt;"BR",SUMPRODUCT(Mecze[[#This Row],[/PR:90]:[/BR:90]],Brudnopis!$E$28:$J$28),0)</f>
        <v>5.0505050505050504E-2</v>
      </c>
      <c r="Y3229" s="35">
        <f>IF(Mecze[[#This Row],[Role]]="BR",Mecze[[#This Row],[/OB:90]]+Mecze[[#This Row],[/PC:90]],SUM(Mecze[[#This Row],[/PR:90]:[/BR:90]]))</f>
        <v>9.0909090909090912E-2</v>
      </c>
      <c r="Z3229" s="35">
        <f>IF(Mecze[[#This Row],[KC]]=0,SUM(Mecze[[#This Row],[/BRI]:[/NPI]]),SUM(Mecze[[#This Row],[/BRI]:[/NPI]])*0.6)</f>
        <v>0.45454545454545459</v>
      </c>
      <c r="AA3229" s="10">
        <f>IFERROR(Mecze[[#This Row],[BR]]/Mecze[[#This Row],[ST]],0)</f>
        <v>0</v>
      </c>
      <c r="AB3229">
        <f>ROUND(Mecze[[#This Row],[PD]]*Mecze[[#This Row],[%PC]],0)</f>
        <v>5</v>
      </c>
      <c r="AC3229">
        <f>ROUND(Mecze[[#This Row],[OD]]*Mecze[[#This Row],[%OU]],0)</f>
        <v>0</v>
      </c>
      <c r="AD3229" s="36" t="s">
        <v>44</v>
      </c>
      <c r="AE3229" s="36">
        <v>180</v>
      </c>
      <c r="AF3229" s="71">
        <v>5.97</v>
      </c>
      <c r="AG3229" s="37">
        <v>0</v>
      </c>
      <c r="AH3229" s="37">
        <v>0</v>
      </c>
      <c r="AI3229" s="37">
        <v>99</v>
      </c>
      <c r="AJ3229" s="37">
        <v>1</v>
      </c>
      <c r="AK3229" s="37" t="str">
        <f>VLOOKUP(Mecze[[#This Row],[Match ID]],Meczusie[Mecz]:Meczusie[RodzajMeczu],2,FALSE)</f>
        <v>Towarzyski</v>
      </c>
    </row>
    <row r="3230" spans="1:37" x14ac:dyDescent="0.25">
      <c r="A3230" s="76">
        <v>13</v>
      </c>
      <c r="B3230" s="3" t="s">
        <v>162</v>
      </c>
      <c r="C3230" s="2" t="s">
        <v>160</v>
      </c>
      <c r="D3230" s="1">
        <v>0</v>
      </c>
      <c r="E3230" s="1">
        <v>1</v>
      </c>
      <c r="F3230" s="1">
        <v>1</v>
      </c>
      <c r="G3230" s="1">
        <v>8</v>
      </c>
      <c r="H3230" s="4">
        <v>0.88</v>
      </c>
      <c r="I3230" s="1">
        <v>3</v>
      </c>
      <c r="J3230" s="4">
        <v>0</v>
      </c>
      <c r="K3230" s="1">
        <v>0</v>
      </c>
      <c r="L3230" s="1">
        <v>2</v>
      </c>
      <c r="M3230" s="32">
        <f>IF(Mecze[[#This Row],[PR]]=0,0,Mecze[[#This Row],[PR]]/Mecze[[#This Row],[CZAS]])</f>
        <v>2.0202020202020204E-2</v>
      </c>
      <c r="N3230" s="32">
        <f>IF(Mecze[[#This Row],[OU]]=0,0,Mecze[[#This Row],[OU]]/Mecze[[#This Row],[CZAS]])</f>
        <v>0</v>
      </c>
      <c r="O3230" s="32">
        <f>IF(Mecze[[#This Row],[PC]]=0,0,Mecze[[#This Row],[PC]]/Mecze[[#This Row],[CZAS]])</f>
        <v>7.0707070707070704E-2</v>
      </c>
      <c r="P3230" s="32">
        <f>IF(Mecze[[#This Row],[SC]]=0,0,Mecze[[#This Row],[SC]]/Mecze[[#This Row],[CZAS]])</f>
        <v>1.0101010101010102E-2</v>
      </c>
      <c r="Q3230" s="32">
        <f>IF(Mecze[[#This Row],[OB]]=0,0,Mecze[[#This Row],[OB]]/Mecze[[#This Row],[CZAS]])</f>
        <v>0</v>
      </c>
      <c r="R3230" s="32">
        <f>IF(Mecze[[#This Row],[BR]]=0,0,Mecze[[#This Row],[BR]]/Mecze[[#This Row],[CZAS]])</f>
        <v>0</v>
      </c>
      <c r="S3230" s="44">
        <f>IF(Mecze[[#This Row],[Role]]="BR",SUMPRODUCT(Mecze[[#This Row],[/PR:90]:[/BR:90]],Brudnopis!$E$23:$J$23),0)</f>
        <v>0</v>
      </c>
      <c r="T3230" s="44">
        <f>IF(Mecze[[#This Row],[Role]]&lt;&gt;"BR",SUMPRODUCT(Mecze[[#This Row],[/PR:90]:[/BR:90]],Brudnopis!$E$24:$J$24),0)</f>
        <v>0.10101010101010101</v>
      </c>
      <c r="U3230" s="44">
        <f>IF(Mecze[[#This Row],[Role]]&lt;&gt;"BR",SUMPRODUCT(Mecze[[#This Row],[/PR:90]:[/BR:90]],Brudnopis!$E$25:$J$25),0)</f>
        <v>0.13636363636363635</v>
      </c>
      <c r="V3230" s="44">
        <f>IF(Mecze[[#This Row],[Role]]&lt;&gt;"BR",SUMPRODUCT(Mecze[[#This Row],[/PR:90]:[/BR:90]],Brudnopis!$E$26:$J$26),0)</f>
        <v>0.10101010101010101</v>
      </c>
      <c r="W3230" s="44">
        <f>IF(Mecze[[#This Row],[Role]]&lt;&gt;"BR",SUMPRODUCT(Mecze[[#This Row],[/PR:90]:[/BR:90]],Brudnopis!$E$27:$J$27),0)</f>
        <v>0.1313131313131313</v>
      </c>
      <c r="X3230" s="44">
        <f>IF(Mecze[[#This Row],[Role]]&lt;&gt;"BR",SUMPRODUCT(Mecze[[#This Row],[/PR:90]:[/BR:90]],Brudnopis!$E$28:$J$28),0)</f>
        <v>9.0909090909090912E-2</v>
      </c>
      <c r="Y3230" s="35">
        <f>IF(Mecze[[#This Row],[Role]]="BR",Mecze[[#This Row],[/OB:90]]+Mecze[[#This Row],[/PC:90]],SUM(Mecze[[#This Row],[/PR:90]:[/BR:90]]))</f>
        <v>0.10101010101010101</v>
      </c>
      <c r="Z3230" s="35">
        <f>IF(Mecze[[#This Row],[KC]]=0,SUM(Mecze[[#This Row],[/BRI]:[/NPI]]),SUM(Mecze[[#This Row],[/BRI]:[/NPI]])*0.6)</f>
        <v>0.56060606060606055</v>
      </c>
      <c r="AA3230" s="10">
        <f>IFERROR(Mecze[[#This Row],[BR]]/Mecze[[#This Row],[ST]],0)</f>
        <v>0</v>
      </c>
      <c r="AB3230">
        <f>ROUND(Mecze[[#This Row],[PD]]*Mecze[[#This Row],[%PC]],0)</f>
        <v>7</v>
      </c>
      <c r="AC3230">
        <f>ROUND(Mecze[[#This Row],[OD]]*Mecze[[#This Row],[%OU]],0)</f>
        <v>0</v>
      </c>
      <c r="AD3230" s="36" t="s">
        <v>44</v>
      </c>
      <c r="AE3230" s="36">
        <v>180</v>
      </c>
      <c r="AF3230" s="71">
        <v>6.69</v>
      </c>
      <c r="AG3230" s="37">
        <v>0</v>
      </c>
      <c r="AH3230" s="37">
        <v>0</v>
      </c>
      <c r="AI3230" s="37">
        <v>99</v>
      </c>
      <c r="AJ3230" s="37">
        <v>1</v>
      </c>
      <c r="AK3230" s="37" t="str">
        <f>VLOOKUP(Mecze[[#This Row],[Match ID]],Meczusie[Mecz]:Meczusie[RodzajMeczu],2,FALSE)</f>
        <v>Towarzyski</v>
      </c>
    </row>
    <row r="3231" spans="1:37" x14ac:dyDescent="0.25">
      <c r="A3231" s="76">
        <v>9</v>
      </c>
      <c r="B3231" s="3" t="s">
        <v>411</v>
      </c>
      <c r="C3231" s="2" t="s">
        <v>165</v>
      </c>
      <c r="D3231" s="1">
        <v>2</v>
      </c>
      <c r="E3231" s="1">
        <v>8</v>
      </c>
      <c r="F3231" s="1">
        <v>7</v>
      </c>
      <c r="G3231" s="1">
        <v>5</v>
      </c>
      <c r="H3231" s="4">
        <v>1</v>
      </c>
      <c r="I3231" s="1">
        <v>0</v>
      </c>
      <c r="J3231" s="4"/>
      <c r="K3231" s="1">
        <v>0</v>
      </c>
      <c r="L3231" s="1">
        <v>2</v>
      </c>
      <c r="M3231" s="32">
        <f>IF(Mecze[[#This Row],[PR]]=0,0,Mecze[[#This Row],[PR]]/Mecze[[#This Row],[CZAS]])</f>
        <v>2.0202020202020204E-2</v>
      </c>
      <c r="N3231" s="32">
        <f>IF(Mecze[[#This Row],[OU]]=0,0,Mecze[[#This Row],[OU]]/Mecze[[#This Row],[CZAS]])</f>
        <v>0</v>
      </c>
      <c r="O3231" s="32">
        <f>IF(Mecze[[#This Row],[PC]]=0,0,Mecze[[#This Row],[PC]]/Mecze[[#This Row],[CZAS]])</f>
        <v>5.0505050505050504E-2</v>
      </c>
      <c r="P3231" s="32">
        <f>IF(Mecze[[#This Row],[SC]]=0,0,Mecze[[#This Row],[SC]]/Mecze[[#This Row],[CZAS]])</f>
        <v>7.0707070707070704E-2</v>
      </c>
      <c r="Q3231" s="32">
        <f>IF(Mecze[[#This Row],[OB]]=0,0,Mecze[[#This Row],[OB]]/Mecze[[#This Row],[CZAS]])</f>
        <v>0</v>
      </c>
      <c r="R3231" s="32">
        <f>IF(Mecze[[#This Row],[BR]]=0,0,Mecze[[#This Row],[BR]]/Mecze[[#This Row],[CZAS]])</f>
        <v>2.0202020202020204E-2</v>
      </c>
      <c r="S3231" s="44">
        <f>IF(Mecze[[#This Row],[Role]]="BR",SUMPRODUCT(Mecze[[#This Row],[/PR:90]:[/BR:90]],Brudnopis!$E$23:$J$23),0)</f>
        <v>0</v>
      </c>
      <c r="T3231" s="44">
        <f>IF(Mecze[[#This Row],[Role]]&lt;&gt;"BR",SUMPRODUCT(Mecze[[#This Row],[/PR:90]:[/BR:90]],Brudnopis!$E$24:$J$24),0)</f>
        <v>0.17171717171717171</v>
      </c>
      <c r="U3231" s="44">
        <f>IF(Mecze[[#This Row],[Role]]&lt;&gt;"BR",SUMPRODUCT(Mecze[[#This Row],[/PR:90]:[/BR:90]],Brudnopis!$E$25:$J$25),0)</f>
        <v>0.19696969696969699</v>
      </c>
      <c r="V3231" s="44">
        <f>IF(Mecze[[#This Row],[Role]]&lt;&gt;"BR",SUMPRODUCT(Mecze[[#This Row],[/PR:90]:[/BR:90]],Brudnopis!$E$26:$J$26),0)</f>
        <v>0.18181818181818182</v>
      </c>
      <c r="W3231" s="44">
        <f>IF(Mecze[[#This Row],[Role]]&lt;&gt;"BR",SUMPRODUCT(Mecze[[#This Row],[/PR:90]:[/BR:90]],Brudnopis!$E$27:$J$27),0)</f>
        <v>0.20202020202020202</v>
      </c>
      <c r="X3231" s="44">
        <f>IF(Mecze[[#This Row],[Role]]&lt;&gt;"BR",SUMPRODUCT(Mecze[[#This Row],[/PR:90]:[/BR:90]],Brudnopis!$E$28:$J$28),0)</f>
        <v>0.25252525252525249</v>
      </c>
      <c r="Y3231" s="35">
        <f>IF(Mecze[[#This Row],[Role]]="BR",Mecze[[#This Row],[/OB:90]]+Mecze[[#This Row],[/PC:90]],SUM(Mecze[[#This Row],[/PR:90]:[/BR:90]]))</f>
        <v>0.1616161616161616</v>
      </c>
      <c r="Z3231" s="35">
        <f>IF(Mecze[[#This Row],[KC]]=0,SUM(Mecze[[#This Row],[/BRI]:[/NPI]]),SUM(Mecze[[#This Row],[/BRI]:[/NPI]])*0.6)</f>
        <v>1.0050505050505052</v>
      </c>
      <c r="AA3231" s="10">
        <f>IFERROR(Mecze[[#This Row],[BR]]/Mecze[[#This Row],[ST]],0)</f>
        <v>0.25</v>
      </c>
      <c r="AB3231">
        <f>ROUND(Mecze[[#This Row],[PD]]*Mecze[[#This Row],[%PC]],0)</f>
        <v>5</v>
      </c>
      <c r="AC3231">
        <f>ROUND(Mecze[[#This Row],[OD]]*Mecze[[#This Row],[%OU]],0)</f>
        <v>0</v>
      </c>
      <c r="AD3231" s="36" t="s">
        <v>46</v>
      </c>
      <c r="AE3231" s="36">
        <v>180</v>
      </c>
      <c r="AF3231" s="71">
        <v>13.21</v>
      </c>
      <c r="AG3231" s="37">
        <v>0</v>
      </c>
      <c r="AH3231" s="37">
        <v>0</v>
      </c>
      <c r="AI3231" s="37">
        <v>99</v>
      </c>
      <c r="AJ3231" s="37">
        <v>1</v>
      </c>
      <c r="AK3231" s="37" t="str">
        <f>VLOOKUP(Mecze[[#This Row],[Match ID]],Meczusie[Mecz]:Meczusie[RodzajMeczu],2,FALSE)</f>
        <v>Towarzyski</v>
      </c>
    </row>
    <row r="3232" spans="1:37" x14ac:dyDescent="0.25">
      <c r="A3232" s="76">
        <v>19</v>
      </c>
      <c r="B3232" s="3" t="s">
        <v>166</v>
      </c>
      <c r="C3232" s="2" t="s">
        <v>165</v>
      </c>
      <c r="D3232" s="1">
        <v>5</v>
      </c>
      <c r="E3232" s="1">
        <v>12</v>
      </c>
      <c r="F3232" s="1">
        <v>11</v>
      </c>
      <c r="G3232" s="1">
        <v>5</v>
      </c>
      <c r="H3232" s="4">
        <v>1</v>
      </c>
      <c r="I3232" s="1">
        <v>4</v>
      </c>
      <c r="J3232" s="4">
        <v>0</v>
      </c>
      <c r="K3232" s="1">
        <v>0</v>
      </c>
      <c r="L3232" s="1">
        <v>0</v>
      </c>
      <c r="M3232" s="32">
        <f>IF(Mecze[[#This Row],[PR]]=0,0,Mecze[[#This Row],[PR]]/Mecze[[#This Row],[CZAS]])</f>
        <v>0</v>
      </c>
      <c r="N3232" s="32">
        <f>IF(Mecze[[#This Row],[OU]]=0,0,Mecze[[#This Row],[OU]]/Mecze[[#This Row],[CZAS]])</f>
        <v>0</v>
      </c>
      <c r="O3232" s="32">
        <f>IF(Mecze[[#This Row],[PC]]=0,0,Mecze[[#This Row],[PC]]/Mecze[[#This Row],[CZAS]])</f>
        <v>5.0505050505050504E-2</v>
      </c>
      <c r="P3232" s="32">
        <f>IF(Mecze[[#This Row],[SC]]=0,0,Mecze[[#This Row],[SC]]/Mecze[[#This Row],[CZAS]])</f>
        <v>0.1111111111111111</v>
      </c>
      <c r="Q3232" s="32">
        <f>IF(Mecze[[#This Row],[OB]]=0,0,Mecze[[#This Row],[OB]]/Mecze[[#This Row],[CZAS]])</f>
        <v>0</v>
      </c>
      <c r="R3232" s="32">
        <f>IF(Mecze[[#This Row],[BR]]=0,0,Mecze[[#This Row],[BR]]/Mecze[[#This Row],[CZAS]])</f>
        <v>5.0505050505050504E-2</v>
      </c>
      <c r="S3232" s="44">
        <f>IF(Mecze[[#This Row],[Role]]="BR",SUMPRODUCT(Mecze[[#This Row],[/PR:90]:[/BR:90]],Brudnopis!$E$23:$J$23),0)</f>
        <v>0</v>
      </c>
      <c r="T3232" s="44">
        <f>IF(Mecze[[#This Row],[Role]]&lt;&gt;"BR",SUMPRODUCT(Mecze[[#This Row],[/PR:90]:[/BR:90]],Brudnopis!$E$24:$J$24),0)</f>
        <v>0.23737373737373735</v>
      </c>
      <c r="U3232" s="44">
        <f>IF(Mecze[[#This Row],[Role]]&lt;&gt;"BR",SUMPRODUCT(Mecze[[#This Row],[/PR:90]:[/BR:90]],Brudnopis!$E$25:$J$25),0)</f>
        <v>0.2626262626262626</v>
      </c>
      <c r="V3232" s="44">
        <f>IF(Mecze[[#This Row],[Role]]&lt;&gt;"BR",SUMPRODUCT(Mecze[[#This Row],[/PR:90]:[/BR:90]],Brudnopis!$E$26:$J$26),0)</f>
        <v>0.2626262626262626</v>
      </c>
      <c r="W3232" s="44">
        <f>IF(Mecze[[#This Row],[Role]]&lt;&gt;"BR",SUMPRODUCT(Mecze[[#This Row],[/PR:90]:[/BR:90]],Brudnopis!$E$27:$J$27),0)</f>
        <v>0.28787878787878785</v>
      </c>
      <c r="X3232" s="44">
        <f>IF(Mecze[[#This Row],[Role]]&lt;&gt;"BR",SUMPRODUCT(Mecze[[#This Row],[/PR:90]:[/BR:90]],Brudnopis!$E$28:$J$28),0)</f>
        <v>0.4242424242424242</v>
      </c>
      <c r="Y3232" s="35">
        <f>IF(Mecze[[#This Row],[Role]]="BR",Mecze[[#This Row],[/OB:90]]+Mecze[[#This Row],[/PC:90]],SUM(Mecze[[#This Row],[/PR:90]:[/BR:90]]))</f>
        <v>0.2121212121212121</v>
      </c>
      <c r="Z3232" s="35">
        <f>IF(Mecze[[#This Row],[KC]]=0,SUM(Mecze[[#This Row],[/BRI]:[/NPI]]),SUM(Mecze[[#This Row],[/BRI]:[/NPI]])*0.6)</f>
        <v>1.4747474747474745</v>
      </c>
      <c r="AA3232" s="10">
        <f>IFERROR(Mecze[[#This Row],[BR]]/Mecze[[#This Row],[ST]],0)</f>
        <v>0.41666666666666669</v>
      </c>
      <c r="AB3232">
        <f>ROUND(Mecze[[#This Row],[PD]]*Mecze[[#This Row],[%PC]],0)</f>
        <v>5</v>
      </c>
      <c r="AC3232">
        <f>ROUND(Mecze[[#This Row],[OD]]*Mecze[[#This Row],[%OU]],0)</f>
        <v>0</v>
      </c>
      <c r="AD3232" s="36" t="s">
        <v>46</v>
      </c>
      <c r="AE3232" s="36">
        <v>180</v>
      </c>
      <c r="AF3232" s="71">
        <v>20.99</v>
      </c>
      <c r="AG3232" s="37">
        <v>0</v>
      </c>
      <c r="AH3232" s="37">
        <v>0</v>
      </c>
      <c r="AI3232" s="37">
        <v>99</v>
      </c>
      <c r="AJ3232" s="37">
        <v>1</v>
      </c>
      <c r="AK3232" s="37" t="str">
        <f>VLOOKUP(Mecze[[#This Row],[Match ID]],Meczusie[Mecz]:Meczusie[RodzajMeczu],2,FALSE)</f>
        <v>Towarzyski</v>
      </c>
    </row>
    <row r="3233" spans="1:37" x14ac:dyDescent="0.25">
      <c r="A3233" s="76">
        <v>1</v>
      </c>
      <c r="B3233" s="3" t="s">
        <v>169</v>
      </c>
      <c r="C3233" s="2" t="s">
        <v>155</v>
      </c>
      <c r="D3233" s="1">
        <v>0</v>
      </c>
      <c r="E3233" s="1">
        <v>0</v>
      </c>
      <c r="F3233" s="1">
        <v>0</v>
      </c>
      <c r="G3233" s="1">
        <v>2</v>
      </c>
      <c r="H3233" s="4">
        <v>1</v>
      </c>
      <c r="I3233" s="1">
        <v>0</v>
      </c>
      <c r="J3233" s="4"/>
      <c r="K3233" s="1">
        <v>1</v>
      </c>
      <c r="L3233" s="1">
        <v>0</v>
      </c>
      <c r="M3233" s="32">
        <f>IF(Mecze[[#This Row],[PR]]=0,0,Mecze[[#This Row],[PR]]/Mecze[[#This Row],[CZAS]])</f>
        <v>0</v>
      </c>
      <c r="N3233" s="32">
        <f>IF(Mecze[[#This Row],[OU]]=0,0,Mecze[[#This Row],[OU]]/Mecze[[#This Row],[CZAS]])</f>
        <v>0</v>
      </c>
      <c r="O3233" s="32">
        <f>IF(Mecze[[#This Row],[PC]]=0,0,Mecze[[#This Row],[PC]]/Mecze[[#This Row],[CZAS]])</f>
        <v>2.0202020202020204E-2</v>
      </c>
      <c r="P3233" s="32">
        <f>IF(Mecze[[#This Row],[SC]]=0,0,Mecze[[#This Row],[SC]]/Mecze[[#This Row],[CZAS]])</f>
        <v>0</v>
      </c>
      <c r="Q3233" s="32">
        <f>IF(Mecze[[#This Row],[OB]]=0,0,Mecze[[#This Row],[OB]]/Mecze[[#This Row],[CZAS]])</f>
        <v>1.0101010101010102E-2</v>
      </c>
      <c r="R3233" s="32">
        <f>IF(Mecze[[#This Row],[BR]]=0,0,Mecze[[#This Row],[BR]]/Mecze[[#This Row],[CZAS]])</f>
        <v>0</v>
      </c>
      <c r="S3233" s="44">
        <f>IF(Mecze[[#This Row],[Role]]="BR",SUMPRODUCT(Mecze[[#This Row],[/PR:90]:[/BR:90]],Brudnopis!$E$23:$J$23),0)</f>
        <v>9.0909090909090912E-2</v>
      </c>
      <c r="T3233" s="44">
        <f>IF(Mecze[[#This Row],[Role]]&lt;&gt;"BR",SUMPRODUCT(Mecze[[#This Row],[/PR:90]:[/BR:90]],Brudnopis!$E$24:$J$24),0)</f>
        <v>0</v>
      </c>
      <c r="U3233" s="44">
        <f>IF(Mecze[[#This Row],[Role]]&lt;&gt;"BR",SUMPRODUCT(Mecze[[#This Row],[/PR:90]:[/BR:90]],Brudnopis!$E$25:$J$25),0)</f>
        <v>0</v>
      </c>
      <c r="V3233" s="44">
        <f>IF(Mecze[[#This Row],[Role]]&lt;&gt;"BR",SUMPRODUCT(Mecze[[#This Row],[/PR:90]:[/BR:90]],Brudnopis!$E$26:$J$26),0)</f>
        <v>0</v>
      </c>
      <c r="W3233" s="44">
        <f>IF(Mecze[[#This Row],[Role]]&lt;&gt;"BR",SUMPRODUCT(Mecze[[#This Row],[/PR:90]:[/BR:90]],Brudnopis!$E$27:$J$27),0)</f>
        <v>0</v>
      </c>
      <c r="X3233" s="44">
        <f>IF(Mecze[[#This Row],[Role]]&lt;&gt;"BR",SUMPRODUCT(Mecze[[#This Row],[/PR:90]:[/BR:90]],Brudnopis!$E$28:$J$28),0)</f>
        <v>0</v>
      </c>
      <c r="Y3233" s="35">
        <f>IF(Mecze[[#This Row],[Role]]="BR",Mecze[[#This Row],[/OB:90]]+Mecze[[#This Row],[/PC:90]],SUM(Mecze[[#This Row],[/PR:90]:[/BR:90]]))</f>
        <v>3.0303030303030304E-2</v>
      </c>
      <c r="Z3233" s="35">
        <f>IF(Mecze[[#This Row],[KC]]=0,SUM(Mecze[[#This Row],[/BRI]:[/NPI]]),SUM(Mecze[[#This Row],[/BRI]:[/NPI]])*0.6)</f>
        <v>9.0909090909090912E-2</v>
      </c>
      <c r="AA3233" s="10">
        <f>IFERROR(Mecze[[#This Row],[BR]]/Mecze[[#This Row],[ST]],0)</f>
        <v>0</v>
      </c>
      <c r="AB3233">
        <f>ROUND(Mecze[[#This Row],[PD]]*Mecze[[#This Row],[%PC]],0)</f>
        <v>2</v>
      </c>
      <c r="AC3233">
        <f>ROUND(Mecze[[#This Row],[OD]]*Mecze[[#This Row],[%OU]],0)</f>
        <v>0</v>
      </c>
      <c r="AD3233" s="36" t="s">
        <v>40</v>
      </c>
      <c r="AE3233" s="36">
        <v>181</v>
      </c>
      <c r="AF3233" s="71">
        <v>7.39</v>
      </c>
      <c r="AG3233" s="37">
        <v>0</v>
      </c>
      <c r="AH3233" s="37">
        <v>0</v>
      </c>
      <c r="AI3233" s="37">
        <v>99</v>
      </c>
      <c r="AJ3233" s="37">
        <v>1</v>
      </c>
      <c r="AK3233" s="37" t="str">
        <f>VLOOKUP(Mecze[[#This Row],[Match ID]],Meczusie[Mecz]:Meczusie[RodzajMeczu],2,FALSE)</f>
        <v>Towarzyski</v>
      </c>
    </row>
    <row r="3234" spans="1:37" x14ac:dyDescent="0.25">
      <c r="A3234" s="76">
        <v>5</v>
      </c>
      <c r="B3234" s="3" t="s">
        <v>161</v>
      </c>
      <c r="C3234" s="2" t="s">
        <v>157</v>
      </c>
      <c r="D3234" s="1">
        <v>0</v>
      </c>
      <c r="E3234" s="1">
        <v>0</v>
      </c>
      <c r="F3234" s="1">
        <v>0</v>
      </c>
      <c r="G3234" s="1">
        <v>4</v>
      </c>
      <c r="H3234" s="4">
        <v>0.5</v>
      </c>
      <c r="I3234" s="1">
        <v>0</v>
      </c>
      <c r="J3234" s="4"/>
      <c r="K3234" s="1">
        <v>0</v>
      </c>
      <c r="L3234" s="1">
        <v>3</v>
      </c>
      <c r="M3234" s="32">
        <f>IF(Mecze[[#This Row],[PR]]=0,0,Mecze[[#This Row],[PR]]/Mecze[[#This Row],[CZAS]])</f>
        <v>3.0303030303030304E-2</v>
      </c>
      <c r="N3234" s="32">
        <f>IF(Mecze[[#This Row],[OU]]=0,0,Mecze[[#This Row],[OU]]/Mecze[[#This Row],[CZAS]])</f>
        <v>0</v>
      </c>
      <c r="O3234" s="32">
        <f>IF(Mecze[[#This Row],[PC]]=0,0,Mecze[[#This Row],[PC]]/Mecze[[#This Row],[CZAS]])</f>
        <v>2.0202020202020204E-2</v>
      </c>
      <c r="P3234" s="32">
        <f>IF(Mecze[[#This Row],[SC]]=0,0,Mecze[[#This Row],[SC]]/Mecze[[#This Row],[CZAS]])</f>
        <v>0</v>
      </c>
      <c r="Q3234" s="32">
        <f>IF(Mecze[[#This Row],[OB]]=0,0,Mecze[[#This Row],[OB]]/Mecze[[#This Row],[CZAS]])</f>
        <v>0</v>
      </c>
      <c r="R3234" s="32">
        <f>IF(Mecze[[#This Row],[BR]]=0,0,Mecze[[#This Row],[BR]]/Mecze[[#This Row],[CZAS]])</f>
        <v>0</v>
      </c>
      <c r="S3234" s="44">
        <f>IF(Mecze[[#This Row],[Role]]="BR",SUMPRODUCT(Mecze[[#This Row],[/PR:90]:[/BR:90]],Brudnopis!$E$23:$J$23),0)</f>
        <v>0</v>
      </c>
      <c r="T3234" s="44">
        <f>IF(Mecze[[#This Row],[Role]]&lt;&gt;"BR",SUMPRODUCT(Mecze[[#This Row],[/PR:90]:[/BR:90]],Brudnopis!$E$24:$J$24),0)</f>
        <v>5.0505050505050511E-2</v>
      </c>
      <c r="U3234" s="44">
        <f>IF(Mecze[[#This Row],[Role]]&lt;&gt;"BR",SUMPRODUCT(Mecze[[#This Row],[/PR:90]:[/BR:90]],Brudnopis!$E$25:$J$25),0)</f>
        <v>6.0606060606060608E-2</v>
      </c>
      <c r="V3234" s="44">
        <f>IF(Mecze[[#This Row],[Role]]&lt;&gt;"BR",SUMPRODUCT(Mecze[[#This Row],[/PR:90]:[/BR:90]],Brudnopis!$E$26:$J$26),0)</f>
        <v>5.0505050505050511E-2</v>
      </c>
      <c r="W3234" s="44">
        <f>IF(Mecze[[#This Row],[Role]]&lt;&gt;"BR",SUMPRODUCT(Mecze[[#This Row],[/PR:90]:[/BR:90]],Brudnopis!$E$27:$J$27),0)</f>
        <v>5.3030303030303032E-2</v>
      </c>
      <c r="X3234" s="44">
        <f>IF(Mecze[[#This Row],[Role]]&lt;&gt;"BR",SUMPRODUCT(Mecze[[#This Row],[/PR:90]:[/BR:90]],Brudnopis!$E$28:$J$28),0)</f>
        <v>2.0202020202020204E-2</v>
      </c>
      <c r="Y3234" s="35">
        <f>IF(Mecze[[#This Row],[Role]]="BR",Mecze[[#This Row],[/OB:90]]+Mecze[[#This Row],[/PC:90]],SUM(Mecze[[#This Row],[/PR:90]:[/BR:90]]))</f>
        <v>5.0505050505050511E-2</v>
      </c>
      <c r="Z3234" s="35">
        <f>IF(Mecze[[#This Row],[KC]]=0,SUM(Mecze[[#This Row],[/BRI]:[/NPI]]),SUM(Mecze[[#This Row],[/BRI]:[/NPI]])*0.6)</f>
        <v>0.23484848484848486</v>
      </c>
      <c r="AA3234" s="10">
        <f>IFERROR(Mecze[[#This Row],[BR]]/Mecze[[#This Row],[ST]],0)</f>
        <v>0</v>
      </c>
      <c r="AB3234">
        <f>ROUND(Mecze[[#This Row],[PD]]*Mecze[[#This Row],[%PC]],0)</f>
        <v>2</v>
      </c>
      <c r="AC3234">
        <f>ROUND(Mecze[[#This Row],[OD]]*Mecze[[#This Row],[%OU]],0)</f>
        <v>0</v>
      </c>
      <c r="AD3234" s="36" t="s">
        <v>47</v>
      </c>
      <c r="AE3234" s="36">
        <v>181</v>
      </c>
      <c r="AF3234" s="71">
        <v>7.67</v>
      </c>
      <c r="AG3234" s="37">
        <v>0</v>
      </c>
      <c r="AH3234" s="37">
        <v>0</v>
      </c>
      <c r="AI3234" s="37">
        <v>99</v>
      </c>
      <c r="AJ3234" s="37">
        <v>1</v>
      </c>
      <c r="AK3234" s="37" t="str">
        <f>VLOOKUP(Mecze[[#This Row],[Match ID]],Meczusie[Mecz]:Meczusie[RodzajMeczu],2,FALSE)</f>
        <v>Towarzyski</v>
      </c>
    </row>
    <row r="3235" spans="1:37" x14ac:dyDescent="0.25">
      <c r="A3235" s="76">
        <v>6</v>
      </c>
      <c r="B3235" s="3" t="s">
        <v>159</v>
      </c>
      <c r="C3235" s="2" t="s">
        <v>157</v>
      </c>
      <c r="D3235" s="1">
        <v>0</v>
      </c>
      <c r="E3235" s="1">
        <v>0</v>
      </c>
      <c r="F3235" s="1">
        <v>0</v>
      </c>
      <c r="G3235" s="1">
        <v>4</v>
      </c>
      <c r="H3235" s="4">
        <v>1</v>
      </c>
      <c r="I3235" s="1">
        <v>2</v>
      </c>
      <c r="J3235" s="4">
        <v>0</v>
      </c>
      <c r="K3235" s="1">
        <v>0</v>
      </c>
      <c r="L3235" s="1">
        <v>5</v>
      </c>
      <c r="M3235" s="32">
        <f>IF(Mecze[[#This Row],[PR]]=0,0,Mecze[[#This Row],[PR]]/Mecze[[#This Row],[CZAS]])</f>
        <v>5.0505050505050504E-2</v>
      </c>
      <c r="N3235" s="32">
        <f>IF(Mecze[[#This Row],[OU]]=0,0,Mecze[[#This Row],[OU]]/Mecze[[#This Row],[CZAS]])</f>
        <v>0</v>
      </c>
      <c r="O3235" s="32">
        <f>IF(Mecze[[#This Row],[PC]]=0,0,Mecze[[#This Row],[PC]]/Mecze[[#This Row],[CZAS]])</f>
        <v>4.0404040404040407E-2</v>
      </c>
      <c r="P3235" s="32">
        <f>IF(Mecze[[#This Row],[SC]]=0,0,Mecze[[#This Row],[SC]]/Mecze[[#This Row],[CZAS]])</f>
        <v>0</v>
      </c>
      <c r="Q3235" s="32">
        <f>IF(Mecze[[#This Row],[OB]]=0,0,Mecze[[#This Row],[OB]]/Mecze[[#This Row],[CZAS]])</f>
        <v>0</v>
      </c>
      <c r="R3235" s="32">
        <f>IF(Mecze[[#This Row],[BR]]=0,0,Mecze[[#This Row],[BR]]/Mecze[[#This Row],[CZAS]])</f>
        <v>0</v>
      </c>
      <c r="S3235" s="44">
        <f>IF(Mecze[[#This Row],[Role]]="BR",SUMPRODUCT(Mecze[[#This Row],[/PR:90]:[/BR:90]],Brudnopis!$E$23:$J$23),0)</f>
        <v>0</v>
      </c>
      <c r="T3235" s="44">
        <f>IF(Mecze[[#This Row],[Role]]&lt;&gt;"BR",SUMPRODUCT(Mecze[[#This Row],[/PR:90]:[/BR:90]],Brudnopis!$E$24:$J$24),0)</f>
        <v>9.0909090909090912E-2</v>
      </c>
      <c r="U3235" s="44">
        <f>IF(Mecze[[#This Row],[Role]]&lt;&gt;"BR",SUMPRODUCT(Mecze[[#This Row],[/PR:90]:[/BR:90]],Brudnopis!$E$25:$J$25),0)</f>
        <v>0.1111111111111111</v>
      </c>
      <c r="V3235" s="44">
        <f>IF(Mecze[[#This Row],[Role]]&lt;&gt;"BR",SUMPRODUCT(Mecze[[#This Row],[/PR:90]:[/BR:90]],Brudnopis!$E$26:$J$26),0)</f>
        <v>9.0909090909090912E-2</v>
      </c>
      <c r="W3235" s="44">
        <f>IF(Mecze[[#This Row],[Role]]&lt;&gt;"BR",SUMPRODUCT(Mecze[[#This Row],[/PR:90]:[/BR:90]],Brudnopis!$E$27:$J$27),0)</f>
        <v>9.8484848484848481E-2</v>
      </c>
      <c r="X3235" s="44">
        <f>IF(Mecze[[#This Row],[Role]]&lt;&gt;"BR",SUMPRODUCT(Mecze[[#This Row],[/PR:90]:[/BR:90]],Brudnopis!$E$28:$J$28),0)</f>
        <v>4.0404040404040407E-2</v>
      </c>
      <c r="Y3235" s="35">
        <f>IF(Mecze[[#This Row],[Role]]="BR",Mecze[[#This Row],[/OB:90]]+Mecze[[#This Row],[/PC:90]],SUM(Mecze[[#This Row],[/PR:90]:[/BR:90]]))</f>
        <v>9.0909090909090912E-2</v>
      </c>
      <c r="Z3235" s="35">
        <f>IF(Mecze[[#This Row],[KC]]=0,SUM(Mecze[[#This Row],[/BRI]:[/NPI]]),SUM(Mecze[[#This Row],[/BRI]:[/NPI]])*0.6)</f>
        <v>0.43181818181818182</v>
      </c>
      <c r="AA3235" s="10">
        <f>IFERROR(Mecze[[#This Row],[BR]]/Mecze[[#This Row],[ST]],0)</f>
        <v>0</v>
      </c>
      <c r="AB3235">
        <f>ROUND(Mecze[[#This Row],[PD]]*Mecze[[#This Row],[%PC]],0)</f>
        <v>4</v>
      </c>
      <c r="AC3235">
        <f>ROUND(Mecze[[#This Row],[OD]]*Mecze[[#This Row],[%OU]],0)</f>
        <v>0</v>
      </c>
      <c r="AD3235" s="36" t="s">
        <v>47</v>
      </c>
      <c r="AE3235" s="36">
        <v>181</v>
      </c>
      <c r="AF3235" s="71">
        <v>8.09</v>
      </c>
      <c r="AG3235" s="37">
        <v>0</v>
      </c>
      <c r="AH3235" s="37">
        <v>0</v>
      </c>
      <c r="AI3235" s="37">
        <v>99</v>
      </c>
      <c r="AJ3235" s="37">
        <v>1</v>
      </c>
      <c r="AK3235" s="37" t="str">
        <f>VLOOKUP(Mecze[[#This Row],[Match ID]],Meczusie[Mecz]:Meczusie[RodzajMeczu],2,FALSE)</f>
        <v>Towarzyski</v>
      </c>
    </row>
    <row r="3236" spans="1:37" x14ac:dyDescent="0.25">
      <c r="A3236" s="76">
        <v>18</v>
      </c>
      <c r="B3236" s="3" t="s">
        <v>211</v>
      </c>
      <c r="C3236" s="2" t="s">
        <v>157</v>
      </c>
      <c r="D3236" s="1">
        <v>0</v>
      </c>
      <c r="E3236" s="1">
        <v>0</v>
      </c>
      <c r="F3236" s="1">
        <v>0</v>
      </c>
      <c r="G3236" s="1">
        <v>11</v>
      </c>
      <c r="H3236" s="4">
        <v>0.45</v>
      </c>
      <c r="I3236" s="1">
        <v>6</v>
      </c>
      <c r="J3236" s="4">
        <v>1</v>
      </c>
      <c r="K3236" s="1">
        <v>0</v>
      </c>
      <c r="L3236" s="1">
        <v>22</v>
      </c>
      <c r="M3236" s="32">
        <f>IF(Mecze[[#This Row],[PR]]=0,0,Mecze[[#This Row],[PR]]/Mecze[[#This Row],[CZAS]])</f>
        <v>0.22222222222222221</v>
      </c>
      <c r="N3236" s="32">
        <f>IF(Mecze[[#This Row],[OU]]=0,0,Mecze[[#This Row],[OU]]/Mecze[[#This Row],[CZAS]])</f>
        <v>6.0606060606060608E-2</v>
      </c>
      <c r="O3236" s="32">
        <f>IF(Mecze[[#This Row],[PC]]=0,0,Mecze[[#This Row],[PC]]/Mecze[[#This Row],[CZAS]])</f>
        <v>5.0505050505050504E-2</v>
      </c>
      <c r="P3236" s="32">
        <f>IF(Mecze[[#This Row],[SC]]=0,0,Mecze[[#This Row],[SC]]/Mecze[[#This Row],[CZAS]])</f>
        <v>0</v>
      </c>
      <c r="Q3236" s="32">
        <f>IF(Mecze[[#This Row],[OB]]=0,0,Mecze[[#This Row],[OB]]/Mecze[[#This Row],[CZAS]])</f>
        <v>0</v>
      </c>
      <c r="R3236" s="32">
        <f>IF(Mecze[[#This Row],[BR]]=0,0,Mecze[[#This Row],[BR]]/Mecze[[#This Row],[CZAS]])</f>
        <v>0</v>
      </c>
      <c r="S3236" s="44">
        <f>IF(Mecze[[#This Row],[Role]]="BR",SUMPRODUCT(Mecze[[#This Row],[/PR:90]:[/BR:90]],Brudnopis!$E$23:$J$23),0)</f>
        <v>0</v>
      </c>
      <c r="T3236" s="44">
        <f>IF(Mecze[[#This Row],[Role]]&lt;&gt;"BR",SUMPRODUCT(Mecze[[#This Row],[/PR:90]:[/BR:90]],Brudnopis!$E$24:$J$24),0)</f>
        <v>0.36363636363636365</v>
      </c>
      <c r="U3236" s="44">
        <f>IF(Mecze[[#This Row],[Role]]&lt;&gt;"BR",SUMPRODUCT(Mecze[[#This Row],[/PR:90]:[/BR:90]],Brudnopis!$E$25:$J$25),0)</f>
        <v>0.35858585858585856</v>
      </c>
      <c r="V3236" s="44">
        <f>IF(Mecze[[#This Row],[Role]]&lt;&gt;"BR",SUMPRODUCT(Mecze[[#This Row],[/PR:90]:[/BR:90]],Brudnopis!$E$26:$J$26),0)</f>
        <v>0.33333333333333331</v>
      </c>
      <c r="W3236" s="44">
        <f>IF(Mecze[[#This Row],[Role]]&lt;&gt;"BR",SUMPRODUCT(Mecze[[#This Row],[/PR:90]:[/BR:90]],Brudnopis!$E$27:$J$27),0)</f>
        <v>0.28787878787878785</v>
      </c>
      <c r="X3236" s="44">
        <f>IF(Mecze[[#This Row],[Role]]&lt;&gt;"BR",SUMPRODUCT(Mecze[[#This Row],[/PR:90]:[/BR:90]],Brudnopis!$E$28:$J$28),0)</f>
        <v>5.0505050505050504E-2</v>
      </c>
      <c r="Y3236" s="35">
        <f>IF(Mecze[[#This Row],[Role]]="BR",Mecze[[#This Row],[/OB:90]]+Mecze[[#This Row],[/PC:90]],SUM(Mecze[[#This Row],[/PR:90]:[/BR:90]]))</f>
        <v>0.33333333333333331</v>
      </c>
      <c r="Z3236" s="35">
        <f>IF(Mecze[[#This Row],[KC]]=0,SUM(Mecze[[#This Row],[/BRI]:[/NPI]]),SUM(Mecze[[#This Row],[/BRI]:[/NPI]])*0.6)</f>
        <v>1.393939393939394</v>
      </c>
      <c r="AA3236" s="10">
        <f>IFERROR(Mecze[[#This Row],[BR]]/Mecze[[#This Row],[ST]],0)</f>
        <v>0</v>
      </c>
      <c r="AB3236">
        <f>ROUND(Mecze[[#This Row],[PD]]*Mecze[[#This Row],[%PC]],0)</f>
        <v>5</v>
      </c>
      <c r="AC3236">
        <f>ROUND(Mecze[[#This Row],[OD]]*Mecze[[#This Row],[%OU]],0)</f>
        <v>6</v>
      </c>
      <c r="AD3236" s="36" t="s">
        <v>175</v>
      </c>
      <c r="AE3236" s="36">
        <v>181</v>
      </c>
      <c r="AF3236" s="71">
        <v>13.7</v>
      </c>
      <c r="AG3236" s="37">
        <v>1</v>
      </c>
      <c r="AH3236" s="37">
        <v>0</v>
      </c>
      <c r="AI3236" s="37">
        <v>99</v>
      </c>
      <c r="AJ3236" s="37">
        <v>1</v>
      </c>
      <c r="AK3236" s="37" t="str">
        <f>VLOOKUP(Mecze[[#This Row],[Match ID]],Meczusie[Mecz]:Meczusie[RodzajMeczu],2,FALSE)</f>
        <v>Towarzyski</v>
      </c>
    </row>
    <row r="3237" spans="1:37" x14ac:dyDescent="0.25">
      <c r="A3237" s="76">
        <v>3</v>
      </c>
      <c r="B3237" s="3" t="s">
        <v>158</v>
      </c>
      <c r="C3237" s="2" t="s">
        <v>157</v>
      </c>
      <c r="D3237" s="1">
        <v>0</v>
      </c>
      <c r="E3237" s="1">
        <v>0</v>
      </c>
      <c r="F3237" s="1">
        <v>0</v>
      </c>
      <c r="G3237" s="1">
        <v>0</v>
      </c>
      <c r="H3237" s="72"/>
      <c r="I3237" s="1">
        <v>1</v>
      </c>
      <c r="J3237" s="4">
        <v>0</v>
      </c>
      <c r="K3237" s="1">
        <v>0</v>
      </c>
      <c r="L3237" s="1">
        <v>0</v>
      </c>
      <c r="M3237" s="32">
        <f>IF(Mecze[[#This Row],[PR]]=0,0,Mecze[[#This Row],[PR]]/Mecze[[#This Row],[CZAS]])</f>
        <v>0</v>
      </c>
      <c r="N3237" s="32">
        <f>IF(Mecze[[#This Row],[OU]]=0,0,Mecze[[#This Row],[OU]]/Mecze[[#This Row],[CZAS]])</f>
        <v>0</v>
      </c>
      <c r="O3237" s="32">
        <f>IF(Mecze[[#This Row],[PC]]=0,0,Mecze[[#This Row],[PC]]/Mecze[[#This Row],[CZAS]])</f>
        <v>0</v>
      </c>
      <c r="P3237" s="32">
        <f>IF(Mecze[[#This Row],[SC]]=0,0,Mecze[[#This Row],[SC]]/Mecze[[#This Row],[CZAS]])</f>
        <v>0</v>
      </c>
      <c r="Q3237" s="32">
        <f>IF(Mecze[[#This Row],[OB]]=0,0,Mecze[[#This Row],[OB]]/Mecze[[#This Row],[CZAS]])</f>
        <v>0</v>
      </c>
      <c r="R3237" s="32">
        <f>IF(Mecze[[#This Row],[BR]]=0,0,Mecze[[#This Row],[BR]]/Mecze[[#This Row],[CZAS]])</f>
        <v>0</v>
      </c>
      <c r="S3237" s="44">
        <f>IF(Mecze[[#This Row],[Role]]="BR",SUMPRODUCT(Mecze[[#This Row],[/PR:90]:[/BR:90]],Brudnopis!$E$23:$J$23),0)</f>
        <v>0</v>
      </c>
      <c r="T3237" s="44">
        <f>IF(Mecze[[#This Row],[Role]]&lt;&gt;"BR",SUMPRODUCT(Mecze[[#This Row],[/PR:90]:[/BR:90]],Brudnopis!$E$24:$J$24),0)</f>
        <v>0</v>
      </c>
      <c r="U3237" s="44">
        <f>IF(Mecze[[#This Row],[Role]]&lt;&gt;"BR",SUMPRODUCT(Mecze[[#This Row],[/PR:90]:[/BR:90]],Brudnopis!$E$25:$J$25),0)</f>
        <v>0</v>
      </c>
      <c r="V3237" s="44">
        <f>IF(Mecze[[#This Row],[Role]]&lt;&gt;"BR",SUMPRODUCT(Mecze[[#This Row],[/PR:90]:[/BR:90]],Brudnopis!$E$26:$J$26),0)</f>
        <v>0</v>
      </c>
      <c r="W3237" s="44">
        <f>IF(Mecze[[#This Row],[Role]]&lt;&gt;"BR",SUMPRODUCT(Mecze[[#This Row],[/PR:90]:[/BR:90]],Brudnopis!$E$27:$J$27),0)</f>
        <v>0</v>
      </c>
      <c r="X3237" s="44">
        <f>IF(Mecze[[#This Row],[Role]]&lt;&gt;"BR",SUMPRODUCT(Mecze[[#This Row],[/PR:90]:[/BR:90]],Brudnopis!$E$28:$J$28),0)</f>
        <v>0</v>
      </c>
      <c r="Y3237" s="35">
        <f>IF(Mecze[[#This Row],[Role]]="BR",Mecze[[#This Row],[/OB:90]]+Mecze[[#This Row],[/PC:90]],SUM(Mecze[[#This Row],[/PR:90]:[/BR:90]]))</f>
        <v>0</v>
      </c>
      <c r="Z3237" s="35">
        <f>IF(Mecze[[#This Row],[KC]]=0,SUM(Mecze[[#This Row],[/BRI]:[/NPI]]),SUM(Mecze[[#This Row],[/BRI]:[/NPI]])*0.6)</f>
        <v>0</v>
      </c>
      <c r="AA3237" s="10">
        <f>IFERROR(Mecze[[#This Row],[BR]]/Mecze[[#This Row],[ST]],0)</f>
        <v>0</v>
      </c>
      <c r="AB3237">
        <f>ROUND(Mecze[[#This Row],[PD]]*Mecze[[#This Row],[%PC]],0)</f>
        <v>0</v>
      </c>
      <c r="AC3237">
        <f>ROUND(Mecze[[#This Row],[OD]]*Mecze[[#This Row],[%OU]],0)</f>
        <v>0</v>
      </c>
      <c r="AD3237" s="36" t="s">
        <v>174</v>
      </c>
      <c r="AE3237" s="36">
        <v>181</v>
      </c>
      <c r="AF3237" s="71">
        <v>7.04</v>
      </c>
      <c r="AG3237" s="37">
        <v>0</v>
      </c>
      <c r="AH3237" s="37">
        <v>0</v>
      </c>
      <c r="AI3237" s="37">
        <v>99</v>
      </c>
      <c r="AJ3237" s="37">
        <v>1</v>
      </c>
      <c r="AK3237" s="37" t="str">
        <f>VLOOKUP(Mecze[[#This Row],[Match ID]],Meczusie[Mecz]:Meczusie[RodzajMeczu],2,FALSE)</f>
        <v>Towarzyski</v>
      </c>
    </row>
    <row r="3238" spans="1:37" x14ac:dyDescent="0.25">
      <c r="A3238" s="76">
        <v>13</v>
      </c>
      <c r="B3238" s="3" t="s">
        <v>162</v>
      </c>
      <c r="C3238" s="2" t="s">
        <v>160</v>
      </c>
      <c r="D3238" s="1">
        <v>0</v>
      </c>
      <c r="E3238" s="1">
        <v>1</v>
      </c>
      <c r="F3238" s="1">
        <v>1</v>
      </c>
      <c r="G3238" s="1">
        <v>11</v>
      </c>
      <c r="H3238" s="4">
        <v>0.64</v>
      </c>
      <c r="I3238" s="1">
        <v>3</v>
      </c>
      <c r="J3238" s="4">
        <v>0.33</v>
      </c>
      <c r="K3238" s="1">
        <v>0</v>
      </c>
      <c r="L3238" s="1">
        <v>6</v>
      </c>
      <c r="M3238" s="32">
        <f>IF(Mecze[[#This Row],[PR]]=0,0,Mecze[[#This Row],[PR]]/Mecze[[#This Row],[CZAS]])</f>
        <v>6.0606060606060608E-2</v>
      </c>
      <c r="N3238" s="32">
        <f>IF(Mecze[[#This Row],[OU]]=0,0,Mecze[[#This Row],[OU]]/Mecze[[#This Row],[CZAS]])</f>
        <v>1.0101010101010102E-2</v>
      </c>
      <c r="O3238" s="32">
        <f>IF(Mecze[[#This Row],[PC]]=0,0,Mecze[[#This Row],[PC]]/Mecze[[#This Row],[CZAS]])</f>
        <v>7.0707070707070704E-2</v>
      </c>
      <c r="P3238" s="32">
        <f>IF(Mecze[[#This Row],[SC]]=0,0,Mecze[[#This Row],[SC]]/Mecze[[#This Row],[CZAS]])</f>
        <v>1.0101010101010102E-2</v>
      </c>
      <c r="Q3238" s="32">
        <f>IF(Mecze[[#This Row],[OB]]=0,0,Mecze[[#This Row],[OB]]/Mecze[[#This Row],[CZAS]])</f>
        <v>0</v>
      </c>
      <c r="R3238" s="32">
        <f>IF(Mecze[[#This Row],[BR]]=0,0,Mecze[[#This Row],[BR]]/Mecze[[#This Row],[CZAS]])</f>
        <v>0</v>
      </c>
      <c r="S3238" s="44">
        <f>IF(Mecze[[#This Row],[Role]]="BR",SUMPRODUCT(Mecze[[#This Row],[/PR:90]:[/BR:90]],Brudnopis!$E$23:$J$23),0)</f>
        <v>0</v>
      </c>
      <c r="T3238" s="44">
        <f>IF(Mecze[[#This Row],[Role]]&lt;&gt;"BR",SUMPRODUCT(Mecze[[#This Row],[/PR:90]:[/BR:90]],Brudnopis!$E$24:$J$24),0)</f>
        <v>0.15656565656565657</v>
      </c>
      <c r="U3238" s="44">
        <f>IF(Mecze[[#This Row],[Role]]&lt;&gt;"BR",SUMPRODUCT(Mecze[[#This Row],[/PR:90]:[/BR:90]],Brudnopis!$E$25:$J$25),0)</f>
        <v>0.18686868686868685</v>
      </c>
      <c r="V3238" s="44">
        <f>IF(Mecze[[#This Row],[Role]]&lt;&gt;"BR",SUMPRODUCT(Mecze[[#This Row],[/PR:90]:[/BR:90]],Brudnopis!$E$26:$J$26),0)</f>
        <v>0.15151515151515152</v>
      </c>
      <c r="W3238" s="44">
        <f>IF(Mecze[[#This Row],[Role]]&lt;&gt;"BR",SUMPRODUCT(Mecze[[#This Row],[/PR:90]:[/BR:90]],Brudnopis!$E$27:$J$27),0)</f>
        <v>0.1691919191919192</v>
      </c>
      <c r="X3238" s="44">
        <f>IF(Mecze[[#This Row],[Role]]&lt;&gt;"BR",SUMPRODUCT(Mecze[[#This Row],[/PR:90]:[/BR:90]],Brudnopis!$E$28:$J$28),0)</f>
        <v>9.0909090909090912E-2</v>
      </c>
      <c r="Y3238" s="35">
        <f>IF(Mecze[[#This Row],[Role]]="BR",Mecze[[#This Row],[/OB:90]]+Mecze[[#This Row],[/PC:90]],SUM(Mecze[[#This Row],[/PR:90]:[/BR:90]]))</f>
        <v>0.15151515151515152</v>
      </c>
      <c r="Z3238" s="35">
        <f>IF(Mecze[[#This Row],[KC]]=0,SUM(Mecze[[#This Row],[/BRI]:[/NPI]]),SUM(Mecze[[#This Row],[/BRI]:[/NPI]])*0.6)</f>
        <v>0.75505050505050508</v>
      </c>
      <c r="AA3238" s="10">
        <f>IFERROR(Mecze[[#This Row],[BR]]/Mecze[[#This Row],[ST]],0)</f>
        <v>0</v>
      </c>
      <c r="AB3238">
        <f>ROUND(Mecze[[#This Row],[PD]]*Mecze[[#This Row],[%PC]],0)</f>
        <v>7</v>
      </c>
      <c r="AC3238">
        <f>ROUND(Mecze[[#This Row],[OD]]*Mecze[[#This Row],[%OU]],0)</f>
        <v>1</v>
      </c>
      <c r="AD3238" s="36" t="s">
        <v>41</v>
      </c>
      <c r="AE3238" s="36">
        <v>181</v>
      </c>
      <c r="AF3238" s="71">
        <v>9.74</v>
      </c>
      <c r="AG3238" s="37">
        <v>0</v>
      </c>
      <c r="AH3238" s="37">
        <v>0</v>
      </c>
      <c r="AI3238" s="37">
        <v>99</v>
      </c>
      <c r="AJ3238" s="37">
        <v>1</v>
      </c>
      <c r="AK3238" s="37" t="str">
        <f>VLOOKUP(Mecze[[#This Row],[Match ID]],Meczusie[Mecz]:Meczusie[RodzajMeczu],2,FALSE)</f>
        <v>Towarzyski</v>
      </c>
    </row>
    <row r="3239" spans="1:37" x14ac:dyDescent="0.25">
      <c r="A3239" s="76">
        <v>60</v>
      </c>
      <c r="B3239" s="3" t="s">
        <v>515</v>
      </c>
      <c r="C3239" s="2" t="s">
        <v>160</v>
      </c>
      <c r="D3239" s="1">
        <v>0</v>
      </c>
      <c r="E3239" s="1">
        <v>1</v>
      </c>
      <c r="F3239" s="1">
        <v>1</v>
      </c>
      <c r="G3239" s="1">
        <v>11</v>
      </c>
      <c r="H3239" s="4">
        <v>1</v>
      </c>
      <c r="I3239" s="1">
        <v>1</v>
      </c>
      <c r="J3239" s="4">
        <v>1</v>
      </c>
      <c r="K3239" s="1">
        <v>0</v>
      </c>
      <c r="L3239" s="1">
        <v>8</v>
      </c>
      <c r="M3239" s="32">
        <f>IF(Mecze[[#This Row],[PR]]=0,0,Mecze[[#This Row],[PR]]/Mecze[[#This Row],[CZAS]])</f>
        <v>8.0808080808080815E-2</v>
      </c>
      <c r="N3239" s="32">
        <f>IF(Mecze[[#This Row],[OU]]=0,0,Mecze[[#This Row],[OU]]/Mecze[[#This Row],[CZAS]])</f>
        <v>1.0101010101010102E-2</v>
      </c>
      <c r="O3239" s="32">
        <f>IF(Mecze[[#This Row],[PC]]=0,0,Mecze[[#This Row],[PC]]/Mecze[[#This Row],[CZAS]])</f>
        <v>0.1111111111111111</v>
      </c>
      <c r="P3239" s="32">
        <f>IF(Mecze[[#This Row],[SC]]=0,0,Mecze[[#This Row],[SC]]/Mecze[[#This Row],[CZAS]])</f>
        <v>1.0101010101010102E-2</v>
      </c>
      <c r="Q3239" s="32">
        <f>IF(Mecze[[#This Row],[OB]]=0,0,Mecze[[#This Row],[OB]]/Mecze[[#This Row],[CZAS]])</f>
        <v>0</v>
      </c>
      <c r="R3239" s="32">
        <f>IF(Mecze[[#This Row],[BR]]=0,0,Mecze[[#This Row],[BR]]/Mecze[[#This Row],[CZAS]])</f>
        <v>0</v>
      </c>
      <c r="S3239" s="44">
        <f>IF(Mecze[[#This Row],[Role]]="BR",SUMPRODUCT(Mecze[[#This Row],[/PR:90]:[/BR:90]],Brudnopis!$E$23:$J$23),0)</f>
        <v>0</v>
      </c>
      <c r="T3239" s="44">
        <f>IF(Mecze[[#This Row],[Role]]&lt;&gt;"BR",SUMPRODUCT(Mecze[[#This Row],[/PR:90]:[/BR:90]],Brudnopis!$E$24:$J$24),0)</f>
        <v>0.21717171717171718</v>
      </c>
      <c r="U3239" s="44">
        <f>IF(Mecze[[#This Row],[Role]]&lt;&gt;"BR",SUMPRODUCT(Mecze[[#This Row],[/PR:90]:[/BR:90]],Brudnopis!$E$25:$J$25),0)</f>
        <v>0.26767676767676768</v>
      </c>
      <c r="V3239" s="44">
        <f>IF(Mecze[[#This Row],[Role]]&lt;&gt;"BR",SUMPRODUCT(Mecze[[#This Row],[/PR:90]:[/BR:90]],Brudnopis!$E$26:$J$26),0)</f>
        <v>0.21212121212121213</v>
      </c>
      <c r="W3239" s="44">
        <f>IF(Mecze[[#This Row],[Role]]&lt;&gt;"BR",SUMPRODUCT(Mecze[[#This Row],[/PR:90]:[/BR:90]],Brudnopis!$E$27:$J$27),0)</f>
        <v>0.24494949494949494</v>
      </c>
      <c r="X3239" s="44">
        <f>IF(Mecze[[#This Row],[Role]]&lt;&gt;"BR",SUMPRODUCT(Mecze[[#This Row],[/PR:90]:[/BR:90]],Brudnopis!$E$28:$J$28),0)</f>
        <v>0.1313131313131313</v>
      </c>
      <c r="Y3239" s="35">
        <f>IF(Mecze[[#This Row],[Role]]="BR",Mecze[[#This Row],[/OB:90]]+Mecze[[#This Row],[/PC:90]],SUM(Mecze[[#This Row],[/PR:90]:[/BR:90]]))</f>
        <v>0.21212121212121213</v>
      </c>
      <c r="Z3239" s="35">
        <f>IF(Mecze[[#This Row],[KC]]=0,SUM(Mecze[[#This Row],[/BRI]:[/NPI]]),SUM(Mecze[[#This Row],[/BRI]:[/NPI]])*0.6)</f>
        <v>1.0732323232323233</v>
      </c>
      <c r="AA3239" s="10">
        <f>IFERROR(Mecze[[#This Row],[BR]]/Mecze[[#This Row],[ST]],0)</f>
        <v>0</v>
      </c>
      <c r="AB3239">
        <f>ROUND(Mecze[[#This Row],[PD]]*Mecze[[#This Row],[%PC]],0)</f>
        <v>11</v>
      </c>
      <c r="AC3239">
        <f>ROUND(Mecze[[#This Row],[OD]]*Mecze[[#This Row],[%OU]],0)</f>
        <v>1</v>
      </c>
      <c r="AD3239" s="36" t="s">
        <v>41</v>
      </c>
      <c r="AE3239" s="36">
        <v>181</v>
      </c>
      <c r="AF3239" s="71">
        <v>12.28</v>
      </c>
      <c r="AG3239" s="37">
        <v>0</v>
      </c>
      <c r="AH3239" s="37">
        <v>0</v>
      </c>
      <c r="AI3239" s="37">
        <v>99</v>
      </c>
      <c r="AJ3239" s="37">
        <v>1</v>
      </c>
      <c r="AK3239" s="37" t="str">
        <f>VLOOKUP(Mecze[[#This Row],[Match ID]],Meczusie[Mecz]:Meczusie[RodzajMeczu],2,FALSE)</f>
        <v>Towarzyski</v>
      </c>
    </row>
    <row r="3240" spans="1:37" x14ac:dyDescent="0.25">
      <c r="A3240" s="76">
        <v>15</v>
      </c>
      <c r="B3240" s="3" t="s">
        <v>170</v>
      </c>
      <c r="C3240" s="2" t="s">
        <v>160</v>
      </c>
      <c r="D3240" s="1">
        <v>0</v>
      </c>
      <c r="E3240" s="1">
        <v>1</v>
      </c>
      <c r="F3240" s="1">
        <v>1</v>
      </c>
      <c r="G3240" s="1">
        <v>17</v>
      </c>
      <c r="H3240" s="4">
        <v>0.82</v>
      </c>
      <c r="I3240" s="1">
        <v>6</v>
      </c>
      <c r="J3240" s="4">
        <v>0.67</v>
      </c>
      <c r="K3240" s="1">
        <v>0</v>
      </c>
      <c r="L3240" s="1">
        <v>6</v>
      </c>
      <c r="M3240" s="32">
        <f>IF(Mecze[[#This Row],[PR]]=0,0,Mecze[[#This Row],[PR]]/Mecze[[#This Row],[CZAS]])</f>
        <v>6.0606060606060608E-2</v>
      </c>
      <c r="N3240" s="32">
        <f>IF(Mecze[[#This Row],[OU]]=0,0,Mecze[[#This Row],[OU]]/Mecze[[#This Row],[CZAS]])</f>
        <v>4.0404040404040407E-2</v>
      </c>
      <c r="O3240" s="32">
        <f>IF(Mecze[[#This Row],[PC]]=0,0,Mecze[[#This Row],[PC]]/Mecze[[#This Row],[CZAS]])</f>
        <v>0.14141414141414141</v>
      </c>
      <c r="P3240" s="32">
        <f>IF(Mecze[[#This Row],[SC]]=0,0,Mecze[[#This Row],[SC]]/Mecze[[#This Row],[CZAS]])</f>
        <v>1.0101010101010102E-2</v>
      </c>
      <c r="Q3240" s="32">
        <f>IF(Mecze[[#This Row],[OB]]=0,0,Mecze[[#This Row],[OB]]/Mecze[[#This Row],[CZAS]])</f>
        <v>0</v>
      </c>
      <c r="R3240" s="32">
        <f>IF(Mecze[[#This Row],[BR]]=0,0,Mecze[[#This Row],[BR]]/Mecze[[#This Row],[CZAS]])</f>
        <v>0</v>
      </c>
      <c r="S3240" s="44">
        <f>IF(Mecze[[#This Row],[Role]]="BR",SUMPRODUCT(Mecze[[#This Row],[/PR:90]:[/BR:90]],Brudnopis!$E$23:$J$23),0)</f>
        <v>0</v>
      </c>
      <c r="T3240" s="44">
        <f>IF(Mecze[[#This Row],[Role]]&lt;&gt;"BR",SUMPRODUCT(Mecze[[#This Row],[/PR:90]:[/BR:90]],Brudnopis!$E$24:$J$24),0)</f>
        <v>0.27272727272727276</v>
      </c>
      <c r="U3240" s="44">
        <f>IF(Mecze[[#This Row],[Role]]&lt;&gt;"BR",SUMPRODUCT(Mecze[[#This Row],[/PR:90]:[/BR:90]],Brudnopis!$E$25:$J$25),0)</f>
        <v>0.32323232323232326</v>
      </c>
      <c r="V3240" s="44">
        <f>IF(Mecze[[#This Row],[Role]]&lt;&gt;"BR",SUMPRODUCT(Mecze[[#This Row],[/PR:90]:[/BR:90]],Brudnopis!$E$26:$J$26),0)</f>
        <v>0.25252525252525254</v>
      </c>
      <c r="W3240" s="44">
        <f>IF(Mecze[[#This Row],[Role]]&lt;&gt;"BR",SUMPRODUCT(Mecze[[#This Row],[/PR:90]:[/BR:90]],Brudnopis!$E$27:$J$27),0)</f>
        <v>0.29797979797979796</v>
      </c>
      <c r="X3240" s="44">
        <f>IF(Mecze[[#This Row],[Role]]&lt;&gt;"BR",SUMPRODUCT(Mecze[[#This Row],[/PR:90]:[/BR:90]],Brudnopis!$E$28:$J$28),0)</f>
        <v>0.1616161616161616</v>
      </c>
      <c r="Y3240" s="35">
        <f>IF(Mecze[[#This Row],[Role]]="BR",Mecze[[#This Row],[/OB:90]]+Mecze[[#This Row],[/PC:90]],SUM(Mecze[[#This Row],[/PR:90]:[/BR:90]]))</f>
        <v>0.25252525252525254</v>
      </c>
      <c r="Z3240" s="35">
        <f>IF(Mecze[[#This Row],[KC]]=0,SUM(Mecze[[#This Row],[/BRI]:[/NPI]]),SUM(Mecze[[#This Row],[/BRI]:[/NPI]])*0.6)</f>
        <v>1.3080808080808082</v>
      </c>
      <c r="AA3240" s="10">
        <f>IFERROR(Mecze[[#This Row],[BR]]/Mecze[[#This Row],[ST]],0)</f>
        <v>0</v>
      </c>
      <c r="AB3240">
        <f>ROUND(Mecze[[#This Row],[PD]]*Mecze[[#This Row],[%PC]],0)</f>
        <v>14</v>
      </c>
      <c r="AC3240">
        <f>ROUND(Mecze[[#This Row],[OD]]*Mecze[[#This Row],[%OU]],0)</f>
        <v>4</v>
      </c>
      <c r="AD3240" s="36" t="s">
        <v>67</v>
      </c>
      <c r="AE3240" s="36">
        <v>181</v>
      </c>
      <c r="AF3240" s="71">
        <v>10.65</v>
      </c>
      <c r="AG3240" s="37">
        <v>0</v>
      </c>
      <c r="AH3240" s="37">
        <v>0</v>
      </c>
      <c r="AI3240" s="37">
        <v>99</v>
      </c>
      <c r="AJ3240" s="37">
        <v>1</v>
      </c>
      <c r="AK3240" s="37" t="str">
        <f>VLOOKUP(Mecze[[#This Row],[Match ID]],Meczusie[Mecz]:Meczusie[RodzajMeczu],2,FALSE)</f>
        <v>Towarzyski</v>
      </c>
    </row>
    <row r="3241" spans="1:37" x14ac:dyDescent="0.25">
      <c r="A3241" s="76">
        <v>19</v>
      </c>
      <c r="B3241" s="3" t="s">
        <v>166</v>
      </c>
      <c r="C3241" s="2" t="s">
        <v>165</v>
      </c>
      <c r="D3241" s="1">
        <v>1</v>
      </c>
      <c r="E3241" s="1">
        <v>1</v>
      </c>
      <c r="F3241" s="1">
        <v>1</v>
      </c>
      <c r="G3241" s="1">
        <v>11</v>
      </c>
      <c r="H3241" s="4">
        <v>0.82</v>
      </c>
      <c r="I3241" s="1">
        <v>5</v>
      </c>
      <c r="J3241" s="4">
        <v>0</v>
      </c>
      <c r="K3241" s="1">
        <v>0</v>
      </c>
      <c r="L3241" s="1">
        <v>2</v>
      </c>
      <c r="M3241" s="32">
        <f>IF(Mecze[[#This Row],[PR]]=0,0,Mecze[[#This Row],[PR]]/Mecze[[#This Row],[CZAS]])</f>
        <v>2.0202020202020204E-2</v>
      </c>
      <c r="N3241" s="32">
        <f>IF(Mecze[[#This Row],[OU]]=0,0,Mecze[[#This Row],[OU]]/Mecze[[#This Row],[CZAS]])</f>
        <v>0</v>
      </c>
      <c r="O3241" s="32">
        <f>IF(Mecze[[#This Row],[PC]]=0,0,Mecze[[#This Row],[PC]]/Mecze[[#This Row],[CZAS]])</f>
        <v>9.0909090909090912E-2</v>
      </c>
      <c r="P3241" s="32">
        <f>IF(Mecze[[#This Row],[SC]]=0,0,Mecze[[#This Row],[SC]]/Mecze[[#This Row],[CZAS]])</f>
        <v>1.0101010101010102E-2</v>
      </c>
      <c r="Q3241" s="32">
        <f>IF(Mecze[[#This Row],[OB]]=0,0,Mecze[[#This Row],[OB]]/Mecze[[#This Row],[CZAS]])</f>
        <v>0</v>
      </c>
      <c r="R3241" s="32">
        <f>IF(Mecze[[#This Row],[BR]]=0,0,Mecze[[#This Row],[BR]]/Mecze[[#This Row],[CZAS]])</f>
        <v>1.0101010101010102E-2</v>
      </c>
      <c r="S3241" s="44">
        <f>IF(Mecze[[#This Row],[Role]]="BR",SUMPRODUCT(Mecze[[#This Row],[/PR:90]:[/BR:90]],Brudnopis!$E$23:$J$23),0)</f>
        <v>0</v>
      </c>
      <c r="T3241" s="44">
        <f>IF(Mecze[[#This Row],[Role]]&lt;&gt;"BR",SUMPRODUCT(Mecze[[#This Row],[/PR:90]:[/BR:90]],Brudnopis!$E$24:$J$24),0)</f>
        <v>0.13636363636363635</v>
      </c>
      <c r="U3241" s="44">
        <f>IF(Mecze[[#This Row],[Role]]&lt;&gt;"BR",SUMPRODUCT(Mecze[[#This Row],[/PR:90]:[/BR:90]],Brudnopis!$E$25:$J$25),0)</f>
        <v>0.18181818181818182</v>
      </c>
      <c r="V3241" s="44">
        <f>IF(Mecze[[#This Row],[Role]]&lt;&gt;"BR",SUMPRODUCT(Mecze[[#This Row],[/PR:90]:[/BR:90]],Brudnopis!$E$26:$J$26),0)</f>
        <v>0.14141414141414141</v>
      </c>
      <c r="W3241" s="44">
        <f>IF(Mecze[[#This Row],[Role]]&lt;&gt;"BR",SUMPRODUCT(Mecze[[#This Row],[/PR:90]:[/BR:90]],Brudnopis!$E$27:$J$27),0)</f>
        <v>0.1818181818181818</v>
      </c>
      <c r="X3241" s="44">
        <f>IF(Mecze[[#This Row],[Role]]&lt;&gt;"BR",SUMPRODUCT(Mecze[[#This Row],[/PR:90]:[/BR:90]],Brudnopis!$E$28:$J$28),0)</f>
        <v>0.14141414141414144</v>
      </c>
      <c r="Y3241" s="35">
        <f>IF(Mecze[[#This Row],[Role]]="BR",Mecze[[#This Row],[/OB:90]]+Mecze[[#This Row],[/PC:90]],SUM(Mecze[[#This Row],[/PR:90]:[/BR:90]]))</f>
        <v>0.13131313131313133</v>
      </c>
      <c r="Z3241" s="35">
        <f>IF(Mecze[[#This Row],[KC]]=0,SUM(Mecze[[#This Row],[/BRI]:[/NPI]]),SUM(Mecze[[#This Row],[/BRI]:[/NPI]])*0.6)</f>
        <v>0.78282828282828276</v>
      </c>
      <c r="AA3241" s="10">
        <f>IFERROR(Mecze[[#This Row],[BR]]/Mecze[[#This Row],[ST]],0)</f>
        <v>1</v>
      </c>
      <c r="AB3241">
        <f>ROUND(Mecze[[#This Row],[PD]]*Mecze[[#This Row],[%PC]],0)</f>
        <v>9</v>
      </c>
      <c r="AC3241">
        <f>ROUND(Mecze[[#This Row],[OD]]*Mecze[[#This Row],[%OU]],0)</f>
        <v>0</v>
      </c>
      <c r="AD3241" s="36" t="s">
        <v>46</v>
      </c>
      <c r="AE3241" s="36">
        <v>181</v>
      </c>
      <c r="AF3241" s="71">
        <v>8.6999999999999993</v>
      </c>
      <c r="AG3241" s="37">
        <v>0</v>
      </c>
      <c r="AH3241" s="37">
        <v>0</v>
      </c>
      <c r="AI3241" s="37">
        <v>99</v>
      </c>
      <c r="AJ3241" s="37">
        <v>1</v>
      </c>
      <c r="AK3241" s="37" t="str">
        <f>VLOOKUP(Mecze[[#This Row],[Match ID]],Meczusie[Mecz]:Meczusie[RodzajMeczu],2,FALSE)</f>
        <v>Towarzyski</v>
      </c>
    </row>
    <row r="3242" spans="1:37" x14ac:dyDescent="0.25">
      <c r="A3242" s="76">
        <v>14</v>
      </c>
      <c r="B3242" s="3" t="s">
        <v>164</v>
      </c>
      <c r="C3242" s="2" t="s">
        <v>165</v>
      </c>
      <c r="D3242" s="1">
        <v>2</v>
      </c>
      <c r="E3242" s="1">
        <v>3</v>
      </c>
      <c r="F3242" s="1">
        <v>3</v>
      </c>
      <c r="G3242" s="1">
        <v>8</v>
      </c>
      <c r="H3242" s="4">
        <v>0.63</v>
      </c>
      <c r="I3242" s="1">
        <v>3</v>
      </c>
      <c r="J3242" s="4">
        <v>0.33</v>
      </c>
      <c r="K3242" s="1">
        <v>0</v>
      </c>
      <c r="L3242" s="1">
        <v>4</v>
      </c>
      <c r="M3242" s="32">
        <f>IF(Mecze[[#This Row],[PR]]=0,0,Mecze[[#This Row],[PR]]/Mecze[[#This Row],[CZAS]])</f>
        <v>4.0404040404040407E-2</v>
      </c>
      <c r="N3242" s="32">
        <f>IF(Mecze[[#This Row],[OU]]=0,0,Mecze[[#This Row],[OU]]/Mecze[[#This Row],[CZAS]])</f>
        <v>1.0101010101010102E-2</v>
      </c>
      <c r="O3242" s="32">
        <f>IF(Mecze[[#This Row],[PC]]=0,0,Mecze[[#This Row],[PC]]/Mecze[[#This Row],[CZAS]])</f>
        <v>5.0505050505050504E-2</v>
      </c>
      <c r="P3242" s="32">
        <f>IF(Mecze[[#This Row],[SC]]=0,0,Mecze[[#This Row],[SC]]/Mecze[[#This Row],[CZAS]])</f>
        <v>3.0303030303030304E-2</v>
      </c>
      <c r="Q3242" s="32">
        <f>IF(Mecze[[#This Row],[OB]]=0,0,Mecze[[#This Row],[OB]]/Mecze[[#This Row],[CZAS]])</f>
        <v>0</v>
      </c>
      <c r="R3242" s="32">
        <f>IF(Mecze[[#This Row],[BR]]=0,0,Mecze[[#This Row],[BR]]/Mecze[[#This Row],[CZAS]])</f>
        <v>2.0202020202020204E-2</v>
      </c>
      <c r="S3242" s="44">
        <f>IF(Mecze[[#This Row],[Role]]="BR",SUMPRODUCT(Mecze[[#This Row],[/PR:90]:[/BR:90]],Brudnopis!$E$23:$J$23),0)</f>
        <v>0</v>
      </c>
      <c r="T3242" s="44">
        <f>IF(Mecze[[#This Row],[Role]]&lt;&gt;"BR",SUMPRODUCT(Mecze[[#This Row],[/PR:90]:[/BR:90]],Brudnopis!$E$24:$J$24),0)</f>
        <v>0.16666666666666666</v>
      </c>
      <c r="U3242" s="44">
        <f>IF(Mecze[[#This Row],[Role]]&lt;&gt;"BR",SUMPRODUCT(Mecze[[#This Row],[/PR:90]:[/BR:90]],Brudnopis!$E$25:$J$25),0)</f>
        <v>0.18686868686868688</v>
      </c>
      <c r="V3242" s="44">
        <f>IF(Mecze[[#This Row],[Role]]&lt;&gt;"BR",SUMPRODUCT(Mecze[[#This Row],[/PR:90]:[/BR:90]],Brudnopis!$E$26:$J$26),0)</f>
        <v>0.17171717171717174</v>
      </c>
      <c r="W3242" s="44">
        <f>IF(Mecze[[#This Row],[Role]]&lt;&gt;"BR",SUMPRODUCT(Mecze[[#This Row],[/PR:90]:[/BR:90]],Brudnopis!$E$27:$J$27),0)</f>
        <v>0.18434343434343436</v>
      </c>
      <c r="X3242" s="44">
        <f>IF(Mecze[[#This Row],[Role]]&lt;&gt;"BR",SUMPRODUCT(Mecze[[#This Row],[/PR:90]:[/BR:90]],Brudnopis!$E$28:$J$28),0)</f>
        <v>0.17171717171717171</v>
      </c>
      <c r="Y3242" s="35">
        <f>IF(Mecze[[#This Row],[Role]]="BR",Mecze[[#This Row],[/OB:90]]+Mecze[[#This Row],[/PC:90]],SUM(Mecze[[#This Row],[/PR:90]:[/BR:90]]))</f>
        <v>0.15151515151515152</v>
      </c>
      <c r="Z3242" s="35">
        <f>IF(Mecze[[#This Row],[KC]]=0,SUM(Mecze[[#This Row],[/BRI]:[/NPI]]),SUM(Mecze[[#This Row],[/BRI]:[/NPI]])*0.6)</f>
        <v>0.88131313131313138</v>
      </c>
      <c r="AA3242" s="10">
        <f>IFERROR(Mecze[[#This Row],[BR]]/Mecze[[#This Row],[ST]],0)</f>
        <v>0.66666666666666663</v>
      </c>
      <c r="AB3242">
        <f>ROUND(Mecze[[#This Row],[PD]]*Mecze[[#This Row],[%PC]],0)</f>
        <v>5</v>
      </c>
      <c r="AC3242">
        <f>ROUND(Mecze[[#This Row],[OD]]*Mecze[[#This Row],[%OU]],0)</f>
        <v>1</v>
      </c>
      <c r="AD3242" s="36" t="s">
        <v>46</v>
      </c>
      <c r="AE3242" s="36">
        <v>181</v>
      </c>
      <c r="AF3242" s="71">
        <v>10.52</v>
      </c>
      <c r="AG3242" s="37">
        <v>0</v>
      </c>
      <c r="AH3242" s="37">
        <v>0</v>
      </c>
      <c r="AI3242" s="37">
        <v>99</v>
      </c>
      <c r="AJ3242" s="37">
        <v>1</v>
      </c>
      <c r="AK3242" s="37" t="str">
        <f>VLOOKUP(Mecze[[#This Row],[Match ID]],Meczusie[Mecz]:Meczusie[RodzajMeczu],2,FALSE)</f>
        <v>Towarzyski</v>
      </c>
    </row>
    <row r="3243" spans="1:37" x14ac:dyDescent="0.25">
      <c r="A3243" s="76">
        <v>9</v>
      </c>
      <c r="B3243" s="3" t="s">
        <v>411</v>
      </c>
      <c r="C3243" s="2" t="s">
        <v>165</v>
      </c>
      <c r="D3243" s="1">
        <v>7</v>
      </c>
      <c r="E3243" s="1">
        <v>26</v>
      </c>
      <c r="F3243" s="1">
        <v>24</v>
      </c>
      <c r="G3243" s="1">
        <v>5</v>
      </c>
      <c r="H3243" s="4">
        <v>0.4</v>
      </c>
      <c r="I3243" s="1">
        <v>2</v>
      </c>
      <c r="J3243" s="4">
        <v>0</v>
      </c>
      <c r="K3243" s="1">
        <v>0</v>
      </c>
      <c r="L3243" s="1">
        <v>0</v>
      </c>
      <c r="M3243" s="32">
        <f>IF(Mecze[[#This Row],[PR]]=0,0,Mecze[[#This Row],[PR]]/Mecze[[#This Row],[CZAS]])</f>
        <v>0</v>
      </c>
      <c r="N3243" s="32">
        <f>IF(Mecze[[#This Row],[OU]]=0,0,Mecze[[#This Row],[OU]]/Mecze[[#This Row],[CZAS]])</f>
        <v>0</v>
      </c>
      <c r="O3243" s="32">
        <f>IF(Mecze[[#This Row],[PC]]=0,0,Mecze[[#This Row],[PC]]/Mecze[[#This Row],[CZAS]])</f>
        <v>2.0202020202020204E-2</v>
      </c>
      <c r="P3243" s="32">
        <f>IF(Mecze[[#This Row],[SC]]=0,0,Mecze[[#This Row],[SC]]/Mecze[[#This Row],[CZAS]])</f>
        <v>0.24242424242424243</v>
      </c>
      <c r="Q3243" s="32">
        <f>IF(Mecze[[#This Row],[OB]]=0,0,Mecze[[#This Row],[OB]]/Mecze[[#This Row],[CZAS]])</f>
        <v>0</v>
      </c>
      <c r="R3243" s="32">
        <f>IF(Mecze[[#This Row],[BR]]=0,0,Mecze[[#This Row],[BR]]/Mecze[[#This Row],[CZAS]])</f>
        <v>7.0707070707070704E-2</v>
      </c>
      <c r="S3243" s="44">
        <f>IF(Mecze[[#This Row],[Role]]="BR",SUMPRODUCT(Mecze[[#This Row],[/PR:90]:[/BR:90]],Brudnopis!$E$23:$J$23),0)</f>
        <v>0</v>
      </c>
      <c r="T3243" s="44">
        <f>IF(Mecze[[#This Row],[Role]]&lt;&gt;"BR",SUMPRODUCT(Mecze[[#This Row],[/PR:90]:[/BR:90]],Brudnopis!$E$24:$J$24),0)</f>
        <v>0.36868686868686873</v>
      </c>
      <c r="U3243" s="44">
        <f>IF(Mecze[[#This Row],[Role]]&lt;&gt;"BR",SUMPRODUCT(Mecze[[#This Row],[/PR:90]:[/BR:90]],Brudnopis!$E$25:$J$25),0)</f>
        <v>0.37878787878787878</v>
      </c>
      <c r="V3243" s="44">
        <f>IF(Mecze[[#This Row],[Role]]&lt;&gt;"BR",SUMPRODUCT(Mecze[[#This Row],[/PR:90]:[/BR:90]],Brudnopis!$E$26:$J$26),0)</f>
        <v>0.40404040404040409</v>
      </c>
      <c r="W3243" s="44">
        <f>IF(Mecze[[#This Row],[Role]]&lt;&gt;"BR",SUMPRODUCT(Mecze[[#This Row],[/PR:90]:[/BR:90]],Brudnopis!$E$27:$J$27),0)</f>
        <v>0.41414141414141414</v>
      </c>
      <c r="X3243" s="44">
        <f>IF(Mecze[[#This Row],[Role]]&lt;&gt;"BR",SUMPRODUCT(Mecze[[#This Row],[/PR:90]:[/BR:90]],Brudnopis!$E$28:$J$28),0)</f>
        <v>0.71717171717171713</v>
      </c>
      <c r="Y3243" s="35">
        <f>IF(Mecze[[#This Row],[Role]]="BR",Mecze[[#This Row],[/OB:90]]+Mecze[[#This Row],[/PC:90]],SUM(Mecze[[#This Row],[/PR:90]:[/BR:90]]))</f>
        <v>0.33333333333333337</v>
      </c>
      <c r="Z3243" s="35">
        <f>IF(Mecze[[#This Row],[KC]]=0,SUM(Mecze[[#This Row],[/BRI]:[/NPI]]),SUM(Mecze[[#This Row],[/BRI]:[/NPI]])*0.6)</f>
        <v>2.2828282828282829</v>
      </c>
      <c r="AA3243" s="10">
        <f>IFERROR(Mecze[[#This Row],[BR]]/Mecze[[#This Row],[ST]],0)</f>
        <v>0.26923076923076922</v>
      </c>
      <c r="AB3243">
        <f>ROUND(Mecze[[#This Row],[PD]]*Mecze[[#This Row],[%PC]],0)</f>
        <v>2</v>
      </c>
      <c r="AC3243">
        <f>ROUND(Mecze[[#This Row],[OD]]*Mecze[[#This Row],[%OU]],0)</f>
        <v>0</v>
      </c>
      <c r="AD3243" s="36" t="s">
        <v>46</v>
      </c>
      <c r="AE3243" s="36">
        <v>181</v>
      </c>
      <c r="AF3243" s="71">
        <v>25.31</v>
      </c>
      <c r="AG3243" s="37">
        <v>0</v>
      </c>
      <c r="AH3243" s="37">
        <v>0</v>
      </c>
      <c r="AI3243" s="37">
        <v>99</v>
      </c>
      <c r="AJ3243" s="37">
        <v>1</v>
      </c>
      <c r="AK3243" s="37" t="str">
        <f>VLOOKUP(Mecze[[#This Row],[Match ID]],Meczusie[Mecz]:Meczusie[RodzajMeczu],2,FALSE)</f>
        <v>Towarzyski</v>
      </c>
    </row>
    <row r="3244" spans="1:37" x14ac:dyDescent="0.25">
      <c r="A3244" s="76">
        <v>1</v>
      </c>
      <c r="B3244" s="3" t="s">
        <v>236</v>
      </c>
      <c r="C3244" s="2" t="s">
        <v>155</v>
      </c>
      <c r="D3244" s="1">
        <v>0</v>
      </c>
      <c r="E3244" s="1">
        <v>0</v>
      </c>
      <c r="F3244" s="1">
        <v>0</v>
      </c>
      <c r="G3244" s="1">
        <v>15</v>
      </c>
      <c r="H3244" s="4">
        <v>0.53</v>
      </c>
      <c r="I3244" s="1">
        <v>0</v>
      </c>
      <c r="J3244" s="4"/>
      <c r="K3244" s="1">
        <v>17</v>
      </c>
      <c r="L3244" s="1">
        <v>0</v>
      </c>
      <c r="M3244" s="32">
        <f>IF(Mecze[[#This Row],[PR]]=0,0,Mecze[[#This Row],[PR]]/Mecze[[#This Row],[CZAS]])</f>
        <v>0</v>
      </c>
      <c r="N3244" s="32">
        <f>IF(Mecze[[#This Row],[OU]]=0,0,Mecze[[#This Row],[OU]]/Mecze[[#This Row],[CZAS]])</f>
        <v>0</v>
      </c>
      <c r="O3244" s="32">
        <f>IF(Mecze[[#This Row],[PC]]=0,0,Mecze[[#This Row],[PC]]/Mecze[[#This Row],[CZAS]])</f>
        <v>8.3333333333333329E-2</v>
      </c>
      <c r="P3244" s="32">
        <f>IF(Mecze[[#This Row],[SC]]=0,0,Mecze[[#This Row],[SC]]/Mecze[[#This Row],[CZAS]])</f>
        <v>0</v>
      </c>
      <c r="Q3244" s="32">
        <f>IF(Mecze[[#This Row],[OB]]=0,0,Mecze[[#This Row],[OB]]/Mecze[[#This Row],[CZAS]])</f>
        <v>0.17708333333333334</v>
      </c>
      <c r="R3244" s="32">
        <f>IF(Mecze[[#This Row],[BR]]=0,0,Mecze[[#This Row],[BR]]/Mecze[[#This Row],[CZAS]])</f>
        <v>0</v>
      </c>
      <c r="S3244" s="44">
        <f>IF(Mecze[[#This Row],[Role]]="BR",SUMPRODUCT(Mecze[[#This Row],[/PR:90]:[/BR:90]],Brudnopis!$E$23:$J$23),0)</f>
        <v>0.78125</v>
      </c>
      <c r="T3244" s="44">
        <f>IF(Mecze[[#This Row],[Role]]&lt;&gt;"BR",SUMPRODUCT(Mecze[[#This Row],[/PR:90]:[/BR:90]],Brudnopis!$E$24:$J$24),0)</f>
        <v>0</v>
      </c>
      <c r="U3244" s="44">
        <f>IF(Mecze[[#This Row],[Role]]&lt;&gt;"BR",SUMPRODUCT(Mecze[[#This Row],[/PR:90]:[/BR:90]],Brudnopis!$E$25:$J$25),0)</f>
        <v>0</v>
      </c>
      <c r="V3244" s="44">
        <f>IF(Mecze[[#This Row],[Role]]&lt;&gt;"BR",SUMPRODUCT(Mecze[[#This Row],[/PR:90]:[/BR:90]],Brudnopis!$E$26:$J$26),0)</f>
        <v>0</v>
      </c>
      <c r="W3244" s="44">
        <f>IF(Mecze[[#This Row],[Role]]&lt;&gt;"BR",SUMPRODUCT(Mecze[[#This Row],[/PR:90]:[/BR:90]],Brudnopis!$E$27:$J$27),0)</f>
        <v>0</v>
      </c>
      <c r="X3244" s="44">
        <f>IF(Mecze[[#This Row],[Role]]&lt;&gt;"BR",SUMPRODUCT(Mecze[[#This Row],[/PR:90]:[/BR:90]],Brudnopis!$E$28:$J$28),0)</f>
        <v>0</v>
      </c>
      <c r="Y3244" s="35">
        <f>IF(Mecze[[#This Row],[Role]]="BR",Mecze[[#This Row],[/OB:90]]+Mecze[[#This Row],[/PC:90]],SUM(Mecze[[#This Row],[/PR:90]:[/BR:90]]))</f>
        <v>0.26041666666666669</v>
      </c>
      <c r="Z3244" s="35">
        <f>IF(Mecze[[#This Row],[KC]]=0,SUM(Mecze[[#This Row],[/BRI]:[/NPI]]),SUM(Mecze[[#This Row],[/BRI]:[/NPI]])*0.6)</f>
        <v>0.78125</v>
      </c>
      <c r="AA3244" s="10">
        <f>IFERROR(Mecze[[#This Row],[BR]]/Mecze[[#This Row],[ST]],0)</f>
        <v>0</v>
      </c>
      <c r="AB3244">
        <f>ROUND(Mecze[[#This Row],[PD]]*Mecze[[#This Row],[%PC]],0)</f>
        <v>8</v>
      </c>
      <c r="AC3244">
        <f>ROUND(Mecze[[#This Row],[OD]]*Mecze[[#This Row],[%OU]],0)</f>
        <v>0</v>
      </c>
      <c r="AD3244" s="36" t="s">
        <v>40</v>
      </c>
      <c r="AE3244" s="36">
        <v>182</v>
      </c>
      <c r="AF3244" s="71">
        <v>8.76</v>
      </c>
      <c r="AG3244" s="37">
        <v>0</v>
      </c>
      <c r="AH3244" s="37">
        <v>0</v>
      </c>
      <c r="AI3244" s="37">
        <v>96</v>
      </c>
      <c r="AJ3244" s="37">
        <v>10</v>
      </c>
      <c r="AK3244" s="37" t="str">
        <f>VLOOKUP(Mecze[[#This Row],[Match ID]],Meczusie[Mecz]:Meczusie[RodzajMeczu],2,FALSE)</f>
        <v>Liga</v>
      </c>
    </row>
    <row r="3245" spans="1:37" x14ac:dyDescent="0.25">
      <c r="A3245" s="76">
        <v>7</v>
      </c>
      <c r="B3245" s="3" t="s">
        <v>241</v>
      </c>
      <c r="C3245" s="2" t="s">
        <v>157</v>
      </c>
      <c r="D3245" s="1">
        <v>0</v>
      </c>
      <c r="E3245" s="1">
        <v>0</v>
      </c>
      <c r="F3245" s="1">
        <v>0</v>
      </c>
      <c r="G3245" s="1">
        <v>10</v>
      </c>
      <c r="H3245" s="4">
        <v>0.6</v>
      </c>
      <c r="I3245" s="1">
        <v>3</v>
      </c>
      <c r="J3245" s="4">
        <v>0.67</v>
      </c>
      <c r="K3245" s="1">
        <v>0</v>
      </c>
      <c r="L3245" s="1">
        <v>6</v>
      </c>
      <c r="M3245" s="32">
        <f>IF(Mecze[[#This Row],[PR]]=0,0,Mecze[[#This Row],[PR]]/Mecze[[#This Row],[CZAS]])</f>
        <v>6.25E-2</v>
      </c>
      <c r="N3245" s="32">
        <f>IF(Mecze[[#This Row],[OU]]=0,0,Mecze[[#This Row],[OU]]/Mecze[[#This Row],[CZAS]])</f>
        <v>2.0833333333333332E-2</v>
      </c>
      <c r="O3245" s="32">
        <f>IF(Mecze[[#This Row],[PC]]=0,0,Mecze[[#This Row],[PC]]/Mecze[[#This Row],[CZAS]])</f>
        <v>6.25E-2</v>
      </c>
      <c r="P3245" s="32">
        <f>IF(Mecze[[#This Row],[SC]]=0,0,Mecze[[#This Row],[SC]]/Mecze[[#This Row],[CZAS]])</f>
        <v>0</v>
      </c>
      <c r="Q3245" s="32">
        <f>IF(Mecze[[#This Row],[OB]]=0,0,Mecze[[#This Row],[OB]]/Mecze[[#This Row],[CZAS]])</f>
        <v>0</v>
      </c>
      <c r="R3245" s="32">
        <f>IF(Mecze[[#This Row],[BR]]=0,0,Mecze[[#This Row],[BR]]/Mecze[[#This Row],[CZAS]])</f>
        <v>0</v>
      </c>
      <c r="S3245" s="44">
        <f>IF(Mecze[[#This Row],[Role]]="BR",SUMPRODUCT(Mecze[[#This Row],[/PR:90]:[/BR:90]],Brudnopis!$E$23:$J$23),0)</f>
        <v>0</v>
      </c>
      <c r="T3245" s="44">
        <f>IF(Mecze[[#This Row],[Role]]&lt;&gt;"BR",SUMPRODUCT(Mecze[[#This Row],[/PR:90]:[/BR:90]],Brudnopis!$E$24:$J$24),0)</f>
        <v>0.15625</v>
      </c>
      <c r="U3245" s="44">
        <f>IF(Mecze[[#This Row],[Role]]&lt;&gt;"BR",SUMPRODUCT(Mecze[[#This Row],[/PR:90]:[/BR:90]],Brudnopis!$E$25:$J$25),0)</f>
        <v>0.17708333333333331</v>
      </c>
      <c r="V3245" s="44">
        <f>IF(Mecze[[#This Row],[Role]]&lt;&gt;"BR",SUMPRODUCT(Mecze[[#This Row],[/PR:90]:[/BR:90]],Brudnopis!$E$26:$J$26),0)</f>
        <v>0.14583333333333331</v>
      </c>
      <c r="W3245" s="44">
        <f>IF(Mecze[[#This Row],[Role]]&lt;&gt;"BR",SUMPRODUCT(Mecze[[#This Row],[/PR:90]:[/BR:90]],Brudnopis!$E$27:$J$27),0)</f>
        <v>0.15625</v>
      </c>
      <c r="X3245" s="44">
        <f>IF(Mecze[[#This Row],[Role]]&lt;&gt;"BR",SUMPRODUCT(Mecze[[#This Row],[/PR:90]:[/BR:90]],Brudnopis!$E$28:$J$28),0)</f>
        <v>6.25E-2</v>
      </c>
      <c r="Y3245" s="35">
        <f>IF(Mecze[[#This Row],[Role]]="BR",Mecze[[#This Row],[/OB:90]]+Mecze[[#This Row],[/PC:90]],SUM(Mecze[[#This Row],[/PR:90]:[/BR:90]]))</f>
        <v>0.14583333333333331</v>
      </c>
      <c r="Z3245" s="35">
        <f>IF(Mecze[[#This Row],[KC]]=0,SUM(Mecze[[#This Row],[/BRI]:[/NPI]]),SUM(Mecze[[#This Row],[/BRI]:[/NPI]])*0.6)</f>
        <v>0.69791666666666663</v>
      </c>
      <c r="AA3245" s="10">
        <f>IFERROR(Mecze[[#This Row],[BR]]/Mecze[[#This Row],[ST]],0)</f>
        <v>0</v>
      </c>
      <c r="AB3245">
        <f>ROUND(Mecze[[#This Row],[PD]]*Mecze[[#This Row],[%PC]],0)</f>
        <v>6</v>
      </c>
      <c r="AC3245">
        <f>ROUND(Mecze[[#This Row],[OD]]*Mecze[[#This Row],[%OU]],0)</f>
        <v>2</v>
      </c>
      <c r="AD3245" s="36" t="s">
        <v>47</v>
      </c>
      <c r="AE3245" s="36">
        <v>182</v>
      </c>
      <c r="AF3245" s="71">
        <v>3.97</v>
      </c>
      <c r="AG3245" s="37">
        <v>0</v>
      </c>
      <c r="AH3245" s="37">
        <v>0</v>
      </c>
      <c r="AI3245" s="37">
        <v>96</v>
      </c>
      <c r="AJ3245" s="37">
        <v>10</v>
      </c>
      <c r="AK3245" s="37" t="str">
        <f>VLOOKUP(Mecze[[#This Row],[Match ID]],Meczusie[Mecz]:Meczusie[RodzajMeczu],2,FALSE)</f>
        <v>Liga</v>
      </c>
    </row>
    <row r="3246" spans="1:37" x14ac:dyDescent="0.25">
      <c r="A3246" s="76">
        <v>4</v>
      </c>
      <c r="B3246" s="3" t="s">
        <v>238</v>
      </c>
      <c r="C3246" s="2" t="s">
        <v>157</v>
      </c>
      <c r="D3246" s="1">
        <v>0</v>
      </c>
      <c r="E3246" s="1">
        <v>0</v>
      </c>
      <c r="F3246" s="1">
        <v>0</v>
      </c>
      <c r="G3246" s="1">
        <v>8</v>
      </c>
      <c r="H3246" s="4">
        <v>0.63</v>
      </c>
      <c r="I3246" s="1">
        <v>7</v>
      </c>
      <c r="J3246" s="4">
        <v>0.43</v>
      </c>
      <c r="K3246" s="1">
        <v>0</v>
      </c>
      <c r="L3246" s="1">
        <v>4</v>
      </c>
      <c r="M3246" s="32">
        <f>IF(Mecze[[#This Row],[PR]]=0,0,Mecze[[#This Row],[PR]]/Mecze[[#This Row],[CZAS]])</f>
        <v>4.1666666666666664E-2</v>
      </c>
      <c r="N3246" s="32">
        <f>IF(Mecze[[#This Row],[OU]]=0,0,Mecze[[#This Row],[OU]]/Mecze[[#This Row],[CZAS]])</f>
        <v>3.125E-2</v>
      </c>
      <c r="O3246" s="32">
        <f>IF(Mecze[[#This Row],[PC]]=0,0,Mecze[[#This Row],[PC]]/Mecze[[#This Row],[CZAS]])</f>
        <v>5.2083333333333336E-2</v>
      </c>
      <c r="P3246" s="32">
        <f>IF(Mecze[[#This Row],[SC]]=0,0,Mecze[[#This Row],[SC]]/Mecze[[#This Row],[CZAS]])</f>
        <v>0</v>
      </c>
      <c r="Q3246" s="32">
        <f>IF(Mecze[[#This Row],[OB]]=0,0,Mecze[[#This Row],[OB]]/Mecze[[#This Row],[CZAS]])</f>
        <v>0</v>
      </c>
      <c r="R3246" s="32">
        <f>IF(Mecze[[#This Row],[BR]]=0,0,Mecze[[#This Row],[BR]]/Mecze[[#This Row],[CZAS]])</f>
        <v>0</v>
      </c>
      <c r="S3246" s="44">
        <f>IF(Mecze[[#This Row],[Role]]="BR",SUMPRODUCT(Mecze[[#This Row],[/PR:90]:[/BR:90]],Brudnopis!$E$23:$J$23),0)</f>
        <v>0</v>
      </c>
      <c r="T3246" s="44">
        <f>IF(Mecze[[#This Row],[Role]]&lt;&gt;"BR",SUMPRODUCT(Mecze[[#This Row],[/PR:90]:[/BR:90]],Brudnopis!$E$24:$J$24),0)</f>
        <v>0.140625</v>
      </c>
      <c r="U3246" s="44">
        <f>IF(Mecze[[#This Row],[Role]]&lt;&gt;"BR",SUMPRODUCT(Mecze[[#This Row],[/PR:90]:[/BR:90]],Brudnopis!$E$25:$J$25),0)</f>
        <v>0.15104166666666666</v>
      </c>
      <c r="V3246" s="44">
        <f>IF(Mecze[[#This Row],[Role]]&lt;&gt;"BR",SUMPRODUCT(Mecze[[#This Row],[/PR:90]:[/BR:90]],Brudnopis!$E$26:$J$26),0)</f>
        <v>0.125</v>
      </c>
      <c r="W3246" s="44">
        <f>IF(Mecze[[#This Row],[Role]]&lt;&gt;"BR",SUMPRODUCT(Mecze[[#This Row],[/PR:90]:[/BR:90]],Brudnopis!$E$27:$J$27),0)</f>
        <v>0.1328125</v>
      </c>
      <c r="X3246" s="44">
        <f>IF(Mecze[[#This Row],[Role]]&lt;&gt;"BR",SUMPRODUCT(Mecze[[#This Row],[/PR:90]:[/BR:90]],Brudnopis!$E$28:$J$28),0)</f>
        <v>5.2083333333333336E-2</v>
      </c>
      <c r="Y3246" s="35">
        <f>IF(Mecze[[#This Row],[Role]]="BR",Mecze[[#This Row],[/OB:90]]+Mecze[[#This Row],[/PC:90]],SUM(Mecze[[#This Row],[/PR:90]:[/BR:90]]))</f>
        <v>0.125</v>
      </c>
      <c r="Z3246" s="35">
        <f>IF(Mecze[[#This Row],[KC]]=0,SUM(Mecze[[#This Row],[/BRI]:[/NPI]]),SUM(Mecze[[#This Row],[/BRI]:[/NPI]])*0.6)</f>
        <v>0.6015625</v>
      </c>
      <c r="AA3246" s="10">
        <f>IFERROR(Mecze[[#This Row],[BR]]/Mecze[[#This Row],[ST]],0)</f>
        <v>0</v>
      </c>
      <c r="AB3246">
        <f>ROUND(Mecze[[#This Row],[PD]]*Mecze[[#This Row],[%PC]],0)</f>
        <v>5</v>
      </c>
      <c r="AC3246">
        <f>ROUND(Mecze[[#This Row],[OD]]*Mecze[[#This Row],[%OU]],0)</f>
        <v>3</v>
      </c>
      <c r="AD3246" s="36" t="s">
        <v>47</v>
      </c>
      <c r="AE3246" s="36">
        <v>182</v>
      </c>
      <c r="AF3246" s="71">
        <v>1.32</v>
      </c>
      <c r="AG3246" s="37">
        <v>1</v>
      </c>
      <c r="AH3246" s="37">
        <v>0</v>
      </c>
      <c r="AI3246" s="37">
        <v>96</v>
      </c>
      <c r="AJ3246" s="37">
        <v>10</v>
      </c>
      <c r="AK3246" s="37" t="str">
        <f>VLOOKUP(Mecze[[#This Row],[Match ID]],Meczusie[Mecz]:Meczusie[RodzajMeczu],2,FALSE)</f>
        <v>Liga</v>
      </c>
    </row>
    <row r="3247" spans="1:37" x14ac:dyDescent="0.25">
      <c r="A3247" s="76">
        <v>12</v>
      </c>
      <c r="B3247" s="3" t="s">
        <v>239</v>
      </c>
      <c r="C3247" s="2" t="s">
        <v>157</v>
      </c>
      <c r="D3247" s="1">
        <v>0</v>
      </c>
      <c r="E3247" s="1">
        <v>0</v>
      </c>
      <c r="F3247" s="1">
        <v>0</v>
      </c>
      <c r="G3247" s="1">
        <v>3</v>
      </c>
      <c r="H3247" s="4">
        <v>0.67</v>
      </c>
      <c r="I3247" s="1">
        <v>0</v>
      </c>
      <c r="J3247" s="4"/>
      <c r="K3247" s="1">
        <v>0</v>
      </c>
      <c r="L3247" s="1">
        <v>2</v>
      </c>
      <c r="M3247" s="32">
        <f>IF(Mecze[[#This Row],[PR]]=0,0,Mecze[[#This Row],[PR]]/Mecze[[#This Row],[CZAS]])</f>
        <v>2.0833333333333332E-2</v>
      </c>
      <c r="N3247" s="32">
        <f>IF(Mecze[[#This Row],[OU]]=0,0,Mecze[[#This Row],[OU]]/Mecze[[#This Row],[CZAS]])</f>
        <v>0</v>
      </c>
      <c r="O3247" s="32">
        <f>IF(Mecze[[#This Row],[PC]]=0,0,Mecze[[#This Row],[PC]]/Mecze[[#This Row],[CZAS]])</f>
        <v>2.0833333333333332E-2</v>
      </c>
      <c r="P3247" s="32">
        <f>IF(Mecze[[#This Row],[SC]]=0,0,Mecze[[#This Row],[SC]]/Mecze[[#This Row],[CZAS]])</f>
        <v>0</v>
      </c>
      <c r="Q3247" s="32">
        <f>IF(Mecze[[#This Row],[OB]]=0,0,Mecze[[#This Row],[OB]]/Mecze[[#This Row],[CZAS]])</f>
        <v>0</v>
      </c>
      <c r="R3247" s="32">
        <f>IF(Mecze[[#This Row],[BR]]=0,0,Mecze[[#This Row],[BR]]/Mecze[[#This Row],[CZAS]])</f>
        <v>0</v>
      </c>
      <c r="S3247" s="44">
        <f>IF(Mecze[[#This Row],[Role]]="BR",SUMPRODUCT(Mecze[[#This Row],[/PR:90]:[/BR:90]],Brudnopis!$E$23:$J$23),0)</f>
        <v>0</v>
      </c>
      <c r="T3247" s="44">
        <f>IF(Mecze[[#This Row],[Role]]&lt;&gt;"BR",SUMPRODUCT(Mecze[[#This Row],[/PR:90]:[/BR:90]],Brudnopis!$E$24:$J$24),0)</f>
        <v>4.1666666666666664E-2</v>
      </c>
      <c r="U3247" s="44">
        <f>IF(Mecze[[#This Row],[Role]]&lt;&gt;"BR",SUMPRODUCT(Mecze[[#This Row],[/PR:90]:[/BR:90]],Brudnopis!$E$25:$J$25),0)</f>
        <v>5.2083333333333329E-2</v>
      </c>
      <c r="V3247" s="44">
        <f>IF(Mecze[[#This Row],[Role]]&lt;&gt;"BR",SUMPRODUCT(Mecze[[#This Row],[/PR:90]:[/BR:90]],Brudnopis!$E$26:$J$26),0)</f>
        <v>4.1666666666666664E-2</v>
      </c>
      <c r="W3247" s="44">
        <f>IF(Mecze[[#This Row],[Role]]&lt;&gt;"BR",SUMPRODUCT(Mecze[[#This Row],[/PR:90]:[/BR:90]],Brudnopis!$E$27:$J$27),0)</f>
        <v>4.6875E-2</v>
      </c>
      <c r="X3247" s="44">
        <f>IF(Mecze[[#This Row],[Role]]&lt;&gt;"BR",SUMPRODUCT(Mecze[[#This Row],[/PR:90]:[/BR:90]],Brudnopis!$E$28:$J$28),0)</f>
        <v>2.0833333333333332E-2</v>
      </c>
      <c r="Y3247" s="35">
        <f>IF(Mecze[[#This Row],[Role]]="BR",Mecze[[#This Row],[/OB:90]]+Mecze[[#This Row],[/PC:90]],SUM(Mecze[[#This Row],[/PR:90]:[/BR:90]]))</f>
        <v>4.1666666666666664E-2</v>
      </c>
      <c r="Z3247" s="35">
        <f>IF(Mecze[[#This Row],[KC]]=0,SUM(Mecze[[#This Row],[/BRI]:[/NPI]]),SUM(Mecze[[#This Row],[/BRI]:[/NPI]])*0.6)</f>
        <v>0.203125</v>
      </c>
      <c r="AA3247" s="10">
        <f>IFERROR(Mecze[[#This Row],[BR]]/Mecze[[#This Row],[ST]],0)</f>
        <v>0</v>
      </c>
      <c r="AB3247">
        <f>ROUND(Mecze[[#This Row],[PD]]*Mecze[[#This Row],[%PC]],0)</f>
        <v>2</v>
      </c>
      <c r="AC3247">
        <f>ROUND(Mecze[[#This Row],[OD]]*Mecze[[#This Row],[%OU]],0)</f>
        <v>0</v>
      </c>
      <c r="AD3247" s="36" t="s">
        <v>175</v>
      </c>
      <c r="AE3247" s="36">
        <v>182</v>
      </c>
      <c r="AF3247" s="71">
        <v>2.0099999999999998</v>
      </c>
      <c r="AG3247" s="37">
        <v>0</v>
      </c>
      <c r="AH3247" s="37">
        <v>0</v>
      </c>
      <c r="AI3247" s="37">
        <v>96</v>
      </c>
      <c r="AJ3247" s="37">
        <v>10</v>
      </c>
      <c r="AK3247" s="37" t="str">
        <f>VLOOKUP(Mecze[[#This Row],[Match ID]],Meczusie[Mecz]:Meczusie[RodzajMeczu],2,FALSE)</f>
        <v>Liga</v>
      </c>
    </row>
    <row r="3248" spans="1:37" x14ac:dyDescent="0.25">
      <c r="A3248" s="76">
        <v>2</v>
      </c>
      <c r="B3248" s="3" t="s">
        <v>240</v>
      </c>
      <c r="C3248" s="2" t="s">
        <v>157</v>
      </c>
      <c r="D3248" s="1">
        <v>0</v>
      </c>
      <c r="E3248" s="1">
        <v>0</v>
      </c>
      <c r="F3248" s="1">
        <v>0</v>
      </c>
      <c r="G3248" s="1">
        <v>1</v>
      </c>
      <c r="H3248" s="4">
        <v>1</v>
      </c>
      <c r="I3248" s="1">
        <v>0</v>
      </c>
      <c r="J3248" s="4"/>
      <c r="K3248" s="1">
        <v>0</v>
      </c>
      <c r="L3248" s="1">
        <v>2</v>
      </c>
      <c r="M3248" s="32">
        <f>IF(Mecze[[#This Row],[PR]]=0,0,Mecze[[#This Row],[PR]]/Mecze[[#This Row],[CZAS]])</f>
        <v>2.0833333333333332E-2</v>
      </c>
      <c r="N3248" s="32">
        <f>IF(Mecze[[#This Row],[OU]]=0,0,Mecze[[#This Row],[OU]]/Mecze[[#This Row],[CZAS]])</f>
        <v>0</v>
      </c>
      <c r="O3248" s="32">
        <f>IF(Mecze[[#This Row],[PC]]=0,0,Mecze[[#This Row],[PC]]/Mecze[[#This Row],[CZAS]])</f>
        <v>1.0416666666666666E-2</v>
      </c>
      <c r="P3248" s="32">
        <f>IF(Mecze[[#This Row],[SC]]=0,0,Mecze[[#This Row],[SC]]/Mecze[[#This Row],[CZAS]])</f>
        <v>0</v>
      </c>
      <c r="Q3248" s="32">
        <f>IF(Mecze[[#This Row],[OB]]=0,0,Mecze[[#This Row],[OB]]/Mecze[[#This Row],[CZAS]])</f>
        <v>0</v>
      </c>
      <c r="R3248" s="32">
        <f>IF(Mecze[[#This Row],[BR]]=0,0,Mecze[[#This Row],[BR]]/Mecze[[#This Row],[CZAS]])</f>
        <v>0</v>
      </c>
      <c r="S3248" s="44">
        <f>IF(Mecze[[#This Row],[Role]]="BR",SUMPRODUCT(Mecze[[#This Row],[/PR:90]:[/BR:90]],Brudnopis!$E$23:$J$23),0)</f>
        <v>0</v>
      </c>
      <c r="T3248" s="44">
        <f>IF(Mecze[[#This Row],[Role]]&lt;&gt;"BR",SUMPRODUCT(Mecze[[#This Row],[/PR:90]:[/BR:90]],Brudnopis!$E$24:$J$24),0)</f>
        <v>3.125E-2</v>
      </c>
      <c r="U3248" s="44">
        <f>IF(Mecze[[#This Row],[Role]]&lt;&gt;"BR",SUMPRODUCT(Mecze[[#This Row],[/PR:90]:[/BR:90]],Brudnopis!$E$25:$J$25),0)</f>
        <v>3.6458333333333329E-2</v>
      </c>
      <c r="V3248" s="44">
        <f>IF(Mecze[[#This Row],[Role]]&lt;&gt;"BR",SUMPRODUCT(Mecze[[#This Row],[/PR:90]:[/BR:90]],Brudnopis!$E$26:$J$26),0)</f>
        <v>3.125E-2</v>
      </c>
      <c r="W3248" s="44">
        <f>IF(Mecze[[#This Row],[Role]]&lt;&gt;"BR",SUMPRODUCT(Mecze[[#This Row],[/PR:90]:[/BR:90]],Brudnopis!$E$27:$J$27),0)</f>
        <v>3.125E-2</v>
      </c>
      <c r="X3248" s="44">
        <f>IF(Mecze[[#This Row],[Role]]&lt;&gt;"BR",SUMPRODUCT(Mecze[[#This Row],[/PR:90]:[/BR:90]],Brudnopis!$E$28:$J$28),0)</f>
        <v>1.0416666666666666E-2</v>
      </c>
      <c r="Y3248" s="35">
        <f>IF(Mecze[[#This Row],[Role]]="BR",Mecze[[#This Row],[/OB:90]]+Mecze[[#This Row],[/PC:90]],SUM(Mecze[[#This Row],[/PR:90]:[/BR:90]]))</f>
        <v>3.125E-2</v>
      </c>
      <c r="Z3248" s="35">
        <f>IF(Mecze[[#This Row],[KC]]=0,SUM(Mecze[[#This Row],[/BRI]:[/NPI]]),SUM(Mecze[[#This Row],[/BRI]:[/NPI]])*0.6)</f>
        <v>0.14062499999999997</v>
      </c>
      <c r="AA3248" s="10">
        <f>IFERROR(Mecze[[#This Row],[BR]]/Mecze[[#This Row],[ST]],0)</f>
        <v>0</v>
      </c>
      <c r="AB3248">
        <f>ROUND(Mecze[[#This Row],[PD]]*Mecze[[#This Row],[%PC]],0)</f>
        <v>1</v>
      </c>
      <c r="AC3248">
        <f>ROUND(Mecze[[#This Row],[OD]]*Mecze[[#This Row],[%OU]],0)</f>
        <v>0</v>
      </c>
      <c r="AD3248" s="36" t="s">
        <v>174</v>
      </c>
      <c r="AE3248" s="36">
        <v>182</v>
      </c>
      <c r="AF3248" s="71">
        <v>2.0099999999999998</v>
      </c>
      <c r="AG3248" s="37">
        <v>0</v>
      </c>
      <c r="AH3248" s="37">
        <v>0</v>
      </c>
      <c r="AI3248" s="37">
        <v>96</v>
      </c>
      <c r="AJ3248" s="37">
        <v>10</v>
      </c>
      <c r="AK3248" s="37" t="str">
        <f>VLOOKUP(Mecze[[#This Row],[Match ID]],Meczusie[Mecz]:Meczusie[RodzajMeczu],2,FALSE)</f>
        <v>Liga</v>
      </c>
    </row>
    <row r="3249" spans="1:37" x14ac:dyDescent="0.25">
      <c r="A3249" s="76">
        <v>5</v>
      </c>
      <c r="B3249" s="3" t="s">
        <v>242</v>
      </c>
      <c r="C3249" s="2" t="s">
        <v>160</v>
      </c>
      <c r="D3249" s="1">
        <v>0</v>
      </c>
      <c r="E3249" s="1">
        <v>0</v>
      </c>
      <c r="F3249" s="1">
        <v>0</v>
      </c>
      <c r="G3249" s="1">
        <v>8</v>
      </c>
      <c r="H3249" s="4">
        <v>0.63</v>
      </c>
      <c r="I3249" s="1">
        <v>6</v>
      </c>
      <c r="J3249" s="4">
        <v>0.33</v>
      </c>
      <c r="K3249" s="1">
        <v>0</v>
      </c>
      <c r="L3249" s="1">
        <v>5</v>
      </c>
      <c r="M3249" s="32">
        <f>IF(Mecze[[#This Row],[PR]]=0,0,Mecze[[#This Row],[PR]]/Mecze[[#This Row],[CZAS]])</f>
        <v>5.2083333333333336E-2</v>
      </c>
      <c r="N3249" s="32">
        <f>IF(Mecze[[#This Row],[OU]]=0,0,Mecze[[#This Row],[OU]]/Mecze[[#This Row],[CZAS]])</f>
        <v>2.0833333333333332E-2</v>
      </c>
      <c r="O3249" s="32">
        <f>IF(Mecze[[#This Row],[PC]]=0,0,Mecze[[#This Row],[PC]]/Mecze[[#This Row],[CZAS]])</f>
        <v>5.2083333333333336E-2</v>
      </c>
      <c r="P3249" s="32">
        <f>IF(Mecze[[#This Row],[SC]]=0,0,Mecze[[#This Row],[SC]]/Mecze[[#This Row],[CZAS]])</f>
        <v>0</v>
      </c>
      <c r="Q3249" s="32">
        <f>IF(Mecze[[#This Row],[OB]]=0,0,Mecze[[#This Row],[OB]]/Mecze[[#This Row],[CZAS]])</f>
        <v>0</v>
      </c>
      <c r="R3249" s="32">
        <f>IF(Mecze[[#This Row],[BR]]=0,0,Mecze[[#This Row],[BR]]/Mecze[[#This Row],[CZAS]])</f>
        <v>0</v>
      </c>
      <c r="S3249" s="44">
        <f>IF(Mecze[[#This Row],[Role]]="BR",SUMPRODUCT(Mecze[[#This Row],[/PR:90]:[/BR:90]],Brudnopis!$E$23:$J$23),0)</f>
        <v>0</v>
      </c>
      <c r="T3249" s="44">
        <f>IF(Mecze[[#This Row],[Role]]&lt;&gt;"BR",SUMPRODUCT(Mecze[[#This Row],[/PR:90]:[/BR:90]],Brudnopis!$E$24:$J$24),0)</f>
        <v>0.13541666666666669</v>
      </c>
      <c r="U3249" s="44">
        <f>IF(Mecze[[#This Row],[Role]]&lt;&gt;"BR",SUMPRODUCT(Mecze[[#This Row],[/PR:90]:[/BR:90]],Brudnopis!$E$25:$J$25),0)</f>
        <v>0.15104166666666669</v>
      </c>
      <c r="V3249" s="44">
        <f>IF(Mecze[[#This Row],[Role]]&lt;&gt;"BR",SUMPRODUCT(Mecze[[#This Row],[/PR:90]:[/BR:90]],Brudnopis!$E$26:$J$26),0)</f>
        <v>0.125</v>
      </c>
      <c r="W3249" s="44">
        <f>IF(Mecze[[#This Row],[Role]]&lt;&gt;"BR",SUMPRODUCT(Mecze[[#This Row],[/PR:90]:[/BR:90]],Brudnopis!$E$27:$J$27),0)</f>
        <v>0.1328125</v>
      </c>
      <c r="X3249" s="44">
        <f>IF(Mecze[[#This Row],[Role]]&lt;&gt;"BR",SUMPRODUCT(Mecze[[#This Row],[/PR:90]:[/BR:90]],Brudnopis!$E$28:$J$28),0)</f>
        <v>5.2083333333333336E-2</v>
      </c>
      <c r="Y3249" s="35">
        <f>IF(Mecze[[#This Row],[Role]]="BR",Mecze[[#This Row],[/OB:90]]+Mecze[[#This Row],[/PC:90]],SUM(Mecze[[#This Row],[/PR:90]:[/BR:90]]))</f>
        <v>0.125</v>
      </c>
      <c r="Z3249" s="35">
        <f>IF(Mecze[[#This Row],[KC]]=0,SUM(Mecze[[#This Row],[/BRI]:[/NPI]]),SUM(Mecze[[#This Row],[/BRI]:[/NPI]])*0.6)</f>
        <v>0.59635416666666674</v>
      </c>
      <c r="AA3249" s="10">
        <f>IFERROR(Mecze[[#This Row],[BR]]/Mecze[[#This Row],[ST]],0)</f>
        <v>0</v>
      </c>
      <c r="AB3249">
        <f>ROUND(Mecze[[#This Row],[PD]]*Mecze[[#This Row],[%PC]],0)</f>
        <v>5</v>
      </c>
      <c r="AC3249">
        <f>ROUND(Mecze[[#This Row],[OD]]*Mecze[[#This Row],[%OU]],0)</f>
        <v>2</v>
      </c>
      <c r="AD3249" s="36" t="s">
        <v>41</v>
      </c>
      <c r="AE3249" s="36">
        <v>182</v>
      </c>
      <c r="AF3249" s="71">
        <v>4.96</v>
      </c>
      <c r="AG3249" s="37">
        <v>0</v>
      </c>
      <c r="AH3249" s="37">
        <v>0</v>
      </c>
      <c r="AI3249" s="37">
        <v>96</v>
      </c>
      <c r="AJ3249" s="37">
        <v>10</v>
      </c>
      <c r="AK3249" s="37" t="str">
        <f>VLOOKUP(Mecze[[#This Row],[Match ID]],Meczusie[Mecz]:Meczusie[RodzajMeczu],2,FALSE)</f>
        <v>Liga</v>
      </c>
    </row>
    <row r="3250" spans="1:37" x14ac:dyDescent="0.25">
      <c r="A3250" s="76">
        <v>13</v>
      </c>
      <c r="B3250" s="3" t="s">
        <v>403</v>
      </c>
      <c r="C3250" s="2" t="s">
        <v>160</v>
      </c>
      <c r="D3250" s="1">
        <v>0</v>
      </c>
      <c r="E3250" s="1">
        <v>0</v>
      </c>
      <c r="F3250" s="1">
        <v>0</v>
      </c>
      <c r="G3250" s="1">
        <v>11</v>
      </c>
      <c r="H3250" s="4">
        <v>0.64</v>
      </c>
      <c r="I3250" s="1">
        <v>3</v>
      </c>
      <c r="J3250" s="4">
        <v>0.67</v>
      </c>
      <c r="K3250" s="1">
        <v>0</v>
      </c>
      <c r="L3250" s="1">
        <v>4</v>
      </c>
      <c r="M3250" s="32">
        <f>IF(Mecze[[#This Row],[PR]]=0,0,Mecze[[#This Row],[PR]]/Mecze[[#This Row],[CZAS]])</f>
        <v>4.1666666666666664E-2</v>
      </c>
      <c r="N3250" s="32">
        <f>IF(Mecze[[#This Row],[OU]]=0,0,Mecze[[#This Row],[OU]]/Mecze[[#This Row],[CZAS]])</f>
        <v>2.0833333333333332E-2</v>
      </c>
      <c r="O3250" s="32">
        <f>IF(Mecze[[#This Row],[PC]]=0,0,Mecze[[#This Row],[PC]]/Mecze[[#This Row],[CZAS]])</f>
        <v>7.2916666666666671E-2</v>
      </c>
      <c r="P3250" s="32">
        <f>IF(Mecze[[#This Row],[SC]]=0,0,Mecze[[#This Row],[SC]]/Mecze[[#This Row],[CZAS]])</f>
        <v>0</v>
      </c>
      <c r="Q3250" s="32">
        <f>IF(Mecze[[#This Row],[OB]]=0,0,Mecze[[#This Row],[OB]]/Mecze[[#This Row],[CZAS]])</f>
        <v>0</v>
      </c>
      <c r="R3250" s="32">
        <f>IF(Mecze[[#This Row],[BR]]=0,0,Mecze[[#This Row],[BR]]/Mecze[[#This Row],[CZAS]])</f>
        <v>0</v>
      </c>
      <c r="S3250" s="44">
        <f>IF(Mecze[[#This Row],[Role]]="BR",SUMPRODUCT(Mecze[[#This Row],[/PR:90]:[/BR:90]],Brudnopis!$E$23:$J$23),0)</f>
        <v>0</v>
      </c>
      <c r="T3250" s="44">
        <f>IF(Mecze[[#This Row],[Role]]&lt;&gt;"BR",SUMPRODUCT(Mecze[[#This Row],[/PR:90]:[/BR:90]],Brudnopis!$E$24:$J$24),0)</f>
        <v>0.14583333333333331</v>
      </c>
      <c r="U3250" s="44">
        <f>IF(Mecze[[#This Row],[Role]]&lt;&gt;"BR",SUMPRODUCT(Mecze[[#This Row],[/PR:90]:[/BR:90]],Brudnopis!$E$25:$J$25),0)</f>
        <v>0.171875</v>
      </c>
      <c r="V3250" s="44">
        <f>IF(Mecze[[#This Row],[Role]]&lt;&gt;"BR",SUMPRODUCT(Mecze[[#This Row],[/PR:90]:[/BR:90]],Brudnopis!$E$26:$J$26),0)</f>
        <v>0.13541666666666669</v>
      </c>
      <c r="W3250" s="44">
        <f>IF(Mecze[[#This Row],[Role]]&lt;&gt;"BR",SUMPRODUCT(Mecze[[#This Row],[/PR:90]:[/BR:90]],Brudnopis!$E$27:$J$27),0)</f>
        <v>0.15625</v>
      </c>
      <c r="X3250" s="44">
        <f>IF(Mecze[[#This Row],[Role]]&lt;&gt;"BR",SUMPRODUCT(Mecze[[#This Row],[/PR:90]:[/BR:90]],Brudnopis!$E$28:$J$28),0)</f>
        <v>7.2916666666666671E-2</v>
      </c>
      <c r="Y3250" s="35">
        <f>IF(Mecze[[#This Row],[Role]]="BR",Mecze[[#This Row],[/OB:90]]+Mecze[[#This Row],[/PC:90]],SUM(Mecze[[#This Row],[/PR:90]:[/BR:90]]))</f>
        <v>0.13541666666666669</v>
      </c>
      <c r="Z3250" s="35">
        <f>IF(Mecze[[#This Row],[KC]]=0,SUM(Mecze[[#This Row],[/BRI]:[/NPI]]),SUM(Mecze[[#This Row],[/BRI]:[/NPI]])*0.6)</f>
        <v>0.68229166666666663</v>
      </c>
      <c r="AA3250" s="10">
        <f>IFERROR(Mecze[[#This Row],[BR]]/Mecze[[#This Row],[ST]],0)</f>
        <v>0</v>
      </c>
      <c r="AB3250">
        <f>ROUND(Mecze[[#This Row],[PD]]*Mecze[[#This Row],[%PC]],0)</f>
        <v>7</v>
      </c>
      <c r="AC3250">
        <f>ROUND(Mecze[[#This Row],[OD]]*Mecze[[#This Row],[%OU]],0)</f>
        <v>2</v>
      </c>
      <c r="AD3250" s="36" t="s">
        <v>41</v>
      </c>
      <c r="AE3250" s="36">
        <v>182</v>
      </c>
      <c r="AF3250" s="71">
        <v>4.75</v>
      </c>
      <c r="AG3250" s="37">
        <v>0</v>
      </c>
      <c r="AH3250" s="37">
        <v>0</v>
      </c>
      <c r="AI3250" s="37">
        <v>96</v>
      </c>
      <c r="AJ3250" s="37">
        <v>10</v>
      </c>
      <c r="AK3250" s="37" t="str">
        <f>VLOOKUP(Mecze[[#This Row],[Match ID]],Meczusie[Mecz]:Meczusie[RodzajMeczu],2,FALSE)</f>
        <v>Liga</v>
      </c>
    </row>
    <row r="3251" spans="1:37" x14ac:dyDescent="0.25">
      <c r="A3251" s="76">
        <v>11</v>
      </c>
      <c r="B3251" s="3" t="s">
        <v>243</v>
      </c>
      <c r="C3251" s="2" t="s">
        <v>160</v>
      </c>
      <c r="D3251" s="1">
        <v>0</v>
      </c>
      <c r="E3251" s="1">
        <v>1</v>
      </c>
      <c r="F3251" s="1">
        <v>1</v>
      </c>
      <c r="G3251" s="1">
        <v>12</v>
      </c>
      <c r="H3251" s="4">
        <v>0.83</v>
      </c>
      <c r="I3251" s="1">
        <v>8</v>
      </c>
      <c r="J3251" s="4">
        <v>0.38</v>
      </c>
      <c r="K3251" s="1">
        <v>0</v>
      </c>
      <c r="L3251" s="1">
        <v>3</v>
      </c>
      <c r="M3251" s="32">
        <f>IF(Mecze[[#This Row],[PR]]=0,0,Mecze[[#This Row],[PR]]/Mecze[[#This Row],[CZAS]])</f>
        <v>3.125E-2</v>
      </c>
      <c r="N3251" s="32">
        <f>IF(Mecze[[#This Row],[OU]]=0,0,Mecze[[#This Row],[OU]]/Mecze[[#This Row],[CZAS]])</f>
        <v>3.125E-2</v>
      </c>
      <c r="O3251" s="32">
        <f>IF(Mecze[[#This Row],[PC]]=0,0,Mecze[[#This Row],[PC]]/Mecze[[#This Row],[CZAS]])</f>
        <v>0.10416666666666667</v>
      </c>
      <c r="P3251" s="32">
        <f>IF(Mecze[[#This Row],[SC]]=0,0,Mecze[[#This Row],[SC]]/Mecze[[#This Row],[CZAS]])</f>
        <v>1.0416666666666666E-2</v>
      </c>
      <c r="Q3251" s="32">
        <f>IF(Mecze[[#This Row],[OB]]=0,0,Mecze[[#This Row],[OB]]/Mecze[[#This Row],[CZAS]])</f>
        <v>0</v>
      </c>
      <c r="R3251" s="32">
        <f>IF(Mecze[[#This Row],[BR]]=0,0,Mecze[[#This Row],[BR]]/Mecze[[#This Row],[CZAS]])</f>
        <v>0</v>
      </c>
      <c r="S3251" s="44">
        <f>IF(Mecze[[#This Row],[Role]]="BR",SUMPRODUCT(Mecze[[#This Row],[/PR:90]:[/BR:90]],Brudnopis!$E$23:$J$23),0)</f>
        <v>0</v>
      </c>
      <c r="T3251" s="44">
        <f>IF(Mecze[[#This Row],[Role]]&lt;&gt;"BR",SUMPRODUCT(Mecze[[#This Row],[/PR:90]:[/BR:90]],Brudnopis!$E$24:$J$24),0)</f>
        <v>0.19270833333333334</v>
      </c>
      <c r="U3251" s="44">
        <f>IF(Mecze[[#This Row],[Role]]&lt;&gt;"BR",SUMPRODUCT(Mecze[[#This Row],[/PR:90]:[/BR:90]],Brudnopis!$E$25:$J$25),0)</f>
        <v>0.22916666666666666</v>
      </c>
      <c r="V3251" s="44">
        <f>IF(Mecze[[#This Row],[Role]]&lt;&gt;"BR",SUMPRODUCT(Mecze[[#This Row],[/PR:90]:[/BR:90]],Brudnopis!$E$26:$J$26),0)</f>
        <v>0.17708333333333334</v>
      </c>
      <c r="W3251" s="44">
        <f>IF(Mecze[[#This Row],[Role]]&lt;&gt;"BR",SUMPRODUCT(Mecze[[#This Row],[/PR:90]:[/BR:90]],Brudnopis!$E$27:$J$27),0)</f>
        <v>0.21354166666666666</v>
      </c>
      <c r="X3251" s="44">
        <f>IF(Mecze[[#This Row],[Role]]&lt;&gt;"BR",SUMPRODUCT(Mecze[[#This Row],[/PR:90]:[/BR:90]],Brudnopis!$E$28:$J$28),0)</f>
        <v>0.125</v>
      </c>
      <c r="Y3251" s="35">
        <f>IF(Mecze[[#This Row],[Role]]="BR",Mecze[[#This Row],[/OB:90]]+Mecze[[#This Row],[/PC:90]],SUM(Mecze[[#This Row],[/PR:90]:[/BR:90]]))</f>
        <v>0.17708333333333334</v>
      </c>
      <c r="Z3251" s="35">
        <f>IF(Mecze[[#This Row],[KC]]=0,SUM(Mecze[[#This Row],[/BRI]:[/NPI]]),SUM(Mecze[[#This Row],[/BRI]:[/NPI]])*0.6)</f>
        <v>0.9375</v>
      </c>
      <c r="AA3251" s="10">
        <f>IFERROR(Mecze[[#This Row],[BR]]/Mecze[[#This Row],[ST]],0)</f>
        <v>0</v>
      </c>
      <c r="AB3251">
        <f>ROUND(Mecze[[#This Row],[PD]]*Mecze[[#This Row],[%PC]],0)</f>
        <v>10</v>
      </c>
      <c r="AC3251">
        <f>ROUND(Mecze[[#This Row],[OD]]*Mecze[[#This Row],[%OU]],0)</f>
        <v>3</v>
      </c>
      <c r="AD3251" s="36" t="s">
        <v>67</v>
      </c>
      <c r="AE3251" s="36">
        <v>182</v>
      </c>
      <c r="AF3251" s="71">
        <v>5.68</v>
      </c>
      <c r="AG3251" s="37">
        <v>0</v>
      </c>
      <c r="AH3251" s="37">
        <v>0</v>
      </c>
      <c r="AI3251" s="37">
        <v>96</v>
      </c>
      <c r="AJ3251" s="37">
        <v>10</v>
      </c>
      <c r="AK3251" s="37" t="str">
        <f>VLOOKUP(Mecze[[#This Row],[Match ID]],Meczusie[Mecz]:Meczusie[RodzajMeczu],2,FALSE)</f>
        <v>Liga</v>
      </c>
    </row>
    <row r="3252" spans="1:37" x14ac:dyDescent="0.25">
      <c r="A3252" s="76">
        <v>15</v>
      </c>
      <c r="B3252" s="3" t="s">
        <v>504</v>
      </c>
      <c r="C3252" s="2" t="s">
        <v>165</v>
      </c>
      <c r="D3252" s="1">
        <v>0</v>
      </c>
      <c r="E3252" s="1">
        <v>1</v>
      </c>
      <c r="F3252" s="1">
        <v>1</v>
      </c>
      <c r="G3252" s="1">
        <v>4</v>
      </c>
      <c r="H3252" s="4">
        <v>0.25</v>
      </c>
      <c r="I3252" s="1">
        <v>2</v>
      </c>
      <c r="J3252" s="4">
        <v>0.5</v>
      </c>
      <c r="K3252" s="1">
        <v>0</v>
      </c>
      <c r="L3252" s="1">
        <v>0</v>
      </c>
      <c r="M3252" s="32">
        <f>IF(Mecze[[#This Row],[PR]]=0,0,Mecze[[#This Row],[PR]]/Mecze[[#This Row],[CZAS]])</f>
        <v>0</v>
      </c>
      <c r="N3252" s="32">
        <f>IF(Mecze[[#This Row],[OU]]=0,0,Mecze[[#This Row],[OU]]/Mecze[[#This Row],[CZAS]])</f>
        <v>1.0416666666666666E-2</v>
      </c>
      <c r="O3252" s="32">
        <f>IF(Mecze[[#This Row],[PC]]=0,0,Mecze[[#This Row],[PC]]/Mecze[[#This Row],[CZAS]])</f>
        <v>1.0416666666666666E-2</v>
      </c>
      <c r="P3252" s="32">
        <f>IF(Mecze[[#This Row],[SC]]=0,0,Mecze[[#This Row],[SC]]/Mecze[[#This Row],[CZAS]])</f>
        <v>1.0416666666666666E-2</v>
      </c>
      <c r="Q3252" s="32">
        <f>IF(Mecze[[#This Row],[OB]]=0,0,Mecze[[#This Row],[OB]]/Mecze[[#This Row],[CZAS]])</f>
        <v>0</v>
      </c>
      <c r="R3252" s="32">
        <f>IF(Mecze[[#This Row],[BR]]=0,0,Mecze[[#This Row],[BR]]/Mecze[[#This Row],[CZAS]])</f>
        <v>0</v>
      </c>
      <c r="S3252" s="44">
        <f>IF(Mecze[[#This Row],[Role]]="BR",SUMPRODUCT(Mecze[[#This Row],[/PR:90]:[/BR:90]],Brudnopis!$E$23:$J$23),0)</f>
        <v>0</v>
      </c>
      <c r="T3252" s="44">
        <f>IF(Mecze[[#This Row],[Role]]&lt;&gt;"BR",SUMPRODUCT(Mecze[[#This Row],[/PR:90]:[/BR:90]],Brudnopis!$E$24:$J$24),0)</f>
        <v>3.6458333333333329E-2</v>
      </c>
      <c r="U3252" s="44">
        <f>IF(Mecze[[#This Row],[Role]]&lt;&gt;"BR",SUMPRODUCT(Mecze[[#This Row],[/PR:90]:[/BR:90]],Brudnopis!$E$25:$J$25),0)</f>
        <v>3.6458333333333329E-2</v>
      </c>
      <c r="V3252" s="44">
        <f>IF(Mecze[[#This Row],[Role]]&lt;&gt;"BR",SUMPRODUCT(Mecze[[#This Row],[/PR:90]:[/BR:90]],Brudnopis!$E$26:$J$26),0)</f>
        <v>3.125E-2</v>
      </c>
      <c r="W3252" s="44">
        <f>IF(Mecze[[#This Row],[Role]]&lt;&gt;"BR",SUMPRODUCT(Mecze[[#This Row],[/PR:90]:[/BR:90]],Brudnopis!$E$27:$J$27),0)</f>
        <v>3.3854166666666664E-2</v>
      </c>
      <c r="X3252" s="44">
        <f>IF(Mecze[[#This Row],[Role]]&lt;&gt;"BR",SUMPRODUCT(Mecze[[#This Row],[/PR:90]:[/BR:90]],Brudnopis!$E$28:$J$28),0)</f>
        <v>3.125E-2</v>
      </c>
      <c r="Y3252" s="35">
        <f>IF(Mecze[[#This Row],[Role]]="BR",Mecze[[#This Row],[/OB:90]]+Mecze[[#This Row],[/PC:90]],SUM(Mecze[[#This Row],[/PR:90]:[/BR:90]]))</f>
        <v>3.125E-2</v>
      </c>
      <c r="Z3252" s="35">
        <f>IF(Mecze[[#This Row],[KC]]=0,SUM(Mecze[[#This Row],[/BRI]:[/NPI]]),SUM(Mecze[[#This Row],[/BRI]:[/NPI]])*0.6)</f>
        <v>0.16927083333333331</v>
      </c>
      <c r="AA3252" s="10">
        <f>IFERROR(Mecze[[#This Row],[BR]]/Mecze[[#This Row],[ST]],0)</f>
        <v>0</v>
      </c>
      <c r="AB3252">
        <f>ROUND(Mecze[[#This Row],[PD]]*Mecze[[#This Row],[%PC]],0)</f>
        <v>1</v>
      </c>
      <c r="AC3252">
        <f>ROUND(Mecze[[#This Row],[OD]]*Mecze[[#This Row],[%OU]],0)</f>
        <v>1</v>
      </c>
      <c r="AD3252" s="36" t="s">
        <v>46</v>
      </c>
      <c r="AE3252" s="36">
        <v>182</v>
      </c>
      <c r="AF3252" s="71">
        <v>2.93</v>
      </c>
      <c r="AG3252" s="37">
        <v>0</v>
      </c>
      <c r="AH3252" s="37">
        <v>0</v>
      </c>
      <c r="AI3252" s="37">
        <v>96</v>
      </c>
      <c r="AJ3252" s="37">
        <v>10</v>
      </c>
      <c r="AK3252" s="37" t="str">
        <f>VLOOKUP(Mecze[[#This Row],[Match ID]],Meczusie[Mecz]:Meczusie[RodzajMeczu],2,FALSE)</f>
        <v>Liga</v>
      </c>
    </row>
    <row r="3253" spans="1:37" x14ac:dyDescent="0.25">
      <c r="A3253" s="76">
        <v>9</v>
      </c>
      <c r="B3253" s="3" t="s">
        <v>451</v>
      </c>
      <c r="C3253" s="2" t="s">
        <v>165</v>
      </c>
      <c r="D3253" s="1">
        <v>2</v>
      </c>
      <c r="E3253" s="1">
        <v>7</v>
      </c>
      <c r="F3253" s="1">
        <v>7</v>
      </c>
      <c r="G3253" s="1">
        <v>7</v>
      </c>
      <c r="H3253" s="4">
        <v>0.56999999999999995</v>
      </c>
      <c r="I3253" s="1">
        <v>0</v>
      </c>
      <c r="J3253" s="4"/>
      <c r="K3253" s="1">
        <v>0</v>
      </c>
      <c r="L3253" s="1">
        <v>1</v>
      </c>
      <c r="M3253" s="32">
        <f>IF(Mecze[[#This Row],[PR]]=0,0,Mecze[[#This Row],[PR]]/Mecze[[#This Row],[CZAS]])</f>
        <v>1.0416666666666666E-2</v>
      </c>
      <c r="N3253" s="32">
        <f>IF(Mecze[[#This Row],[OU]]=0,0,Mecze[[#This Row],[OU]]/Mecze[[#This Row],[CZAS]])</f>
        <v>0</v>
      </c>
      <c r="O3253" s="32">
        <f>IF(Mecze[[#This Row],[PC]]=0,0,Mecze[[#This Row],[PC]]/Mecze[[#This Row],[CZAS]])</f>
        <v>4.1666666666666664E-2</v>
      </c>
      <c r="P3253" s="32">
        <f>IF(Mecze[[#This Row],[SC]]=0,0,Mecze[[#This Row],[SC]]/Mecze[[#This Row],[CZAS]])</f>
        <v>7.2916666666666671E-2</v>
      </c>
      <c r="Q3253" s="32">
        <f>IF(Mecze[[#This Row],[OB]]=0,0,Mecze[[#This Row],[OB]]/Mecze[[#This Row],[CZAS]])</f>
        <v>0</v>
      </c>
      <c r="R3253" s="32">
        <f>IF(Mecze[[#This Row],[BR]]=0,0,Mecze[[#This Row],[BR]]/Mecze[[#This Row],[CZAS]])</f>
        <v>2.0833333333333332E-2</v>
      </c>
      <c r="S3253" s="44">
        <f>IF(Mecze[[#This Row],[Role]]="BR",SUMPRODUCT(Mecze[[#This Row],[/PR:90]:[/BR:90]],Brudnopis!$E$23:$J$23),0)</f>
        <v>0</v>
      </c>
      <c r="T3253" s="44">
        <f>IF(Mecze[[#This Row],[Role]]&lt;&gt;"BR",SUMPRODUCT(Mecze[[#This Row],[/PR:90]:[/BR:90]],Brudnopis!$E$24:$J$24),0)</f>
        <v>0.15625</v>
      </c>
      <c r="U3253" s="44">
        <f>IF(Mecze[[#This Row],[Role]]&lt;&gt;"BR",SUMPRODUCT(Mecze[[#This Row],[/PR:90]:[/BR:90]],Brudnopis!$E$25:$J$25),0)</f>
        <v>0.17708333333333334</v>
      </c>
      <c r="V3253" s="44">
        <f>IF(Mecze[[#This Row],[Role]]&lt;&gt;"BR",SUMPRODUCT(Mecze[[#This Row],[/PR:90]:[/BR:90]],Brudnopis!$E$26:$J$26),0)</f>
        <v>0.16666666666666666</v>
      </c>
      <c r="W3253" s="44">
        <f>IF(Mecze[[#This Row],[Role]]&lt;&gt;"BR",SUMPRODUCT(Mecze[[#This Row],[/PR:90]:[/BR:90]],Brudnopis!$E$27:$J$27),0)</f>
        <v>0.18489583333333334</v>
      </c>
      <c r="X3253" s="44">
        <f>IF(Mecze[[#This Row],[Role]]&lt;&gt;"BR",SUMPRODUCT(Mecze[[#This Row],[/PR:90]:[/BR:90]],Brudnopis!$E$28:$J$28),0)</f>
        <v>0.25</v>
      </c>
      <c r="Y3253" s="35">
        <f>IF(Mecze[[#This Row],[Role]]="BR",Mecze[[#This Row],[/OB:90]]+Mecze[[#This Row],[/PC:90]],SUM(Mecze[[#This Row],[/PR:90]:[/BR:90]]))</f>
        <v>0.14583333333333334</v>
      </c>
      <c r="Z3253" s="35">
        <f>IF(Mecze[[#This Row],[KC]]=0,SUM(Mecze[[#This Row],[/BRI]:[/NPI]]),SUM(Mecze[[#This Row],[/BRI]:[/NPI]])*0.6)</f>
        <v>0.93489583333333337</v>
      </c>
      <c r="AA3253" s="10">
        <f>IFERROR(Mecze[[#This Row],[BR]]/Mecze[[#This Row],[ST]],0)</f>
        <v>0.2857142857142857</v>
      </c>
      <c r="AB3253">
        <f>ROUND(Mecze[[#This Row],[PD]]*Mecze[[#This Row],[%PC]],0)</f>
        <v>4</v>
      </c>
      <c r="AC3253">
        <f>ROUND(Mecze[[#This Row],[OD]]*Mecze[[#This Row],[%OU]],0)</f>
        <v>0</v>
      </c>
      <c r="AD3253" s="36" t="s">
        <v>46</v>
      </c>
      <c r="AE3253" s="36">
        <v>182</v>
      </c>
      <c r="AF3253" s="71">
        <v>10.18</v>
      </c>
      <c r="AG3253" s="37">
        <v>0</v>
      </c>
      <c r="AH3253" s="37">
        <v>0</v>
      </c>
      <c r="AI3253" s="37">
        <v>96</v>
      </c>
      <c r="AJ3253" s="37">
        <v>10</v>
      </c>
      <c r="AK3253" s="37" t="str">
        <f>VLOOKUP(Mecze[[#This Row],[Match ID]],Meczusie[Mecz]:Meczusie[RodzajMeczu],2,FALSE)</f>
        <v>Liga</v>
      </c>
    </row>
    <row r="3254" spans="1:37" x14ac:dyDescent="0.25">
      <c r="A3254" s="76">
        <v>10</v>
      </c>
      <c r="B3254" s="3" t="s">
        <v>246</v>
      </c>
      <c r="C3254" s="2" t="s">
        <v>165</v>
      </c>
      <c r="D3254" s="1">
        <v>0</v>
      </c>
      <c r="E3254" s="1">
        <v>5</v>
      </c>
      <c r="F3254" s="1">
        <v>5</v>
      </c>
      <c r="G3254" s="1">
        <v>8</v>
      </c>
      <c r="H3254" s="4">
        <v>0.5</v>
      </c>
      <c r="I3254" s="1">
        <v>3</v>
      </c>
      <c r="J3254" s="4">
        <v>0</v>
      </c>
      <c r="K3254" s="1">
        <v>0</v>
      </c>
      <c r="L3254" s="1">
        <v>0</v>
      </c>
      <c r="M3254" s="32">
        <f>IF(Mecze[[#This Row],[PR]]=0,0,Mecze[[#This Row],[PR]]/Mecze[[#This Row],[CZAS]])</f>
        <v>0</v>
      </c>
      <c r="N3254" s="32">
        <f>IF(Mecze[[#This Row],[OU]]=0,0,Mecze[[#This Row],[OU]]/Mecze[[#This Row],[CZAS]])</f>
        <v>0</v>
      </c>
      <c r="O3254" s="32">
        <f>IF(Mecze[[#This Row],[PC]]=0,0,Mecze[[#This Row],[PC]]/Mecze[[#This Row],[CZAS]])</f>
        <v>4.1666666666666664E-2</v>
      </c>
      <c r="P3254" s="32">
        <f>IF(Mecze[[#This Row],[SC]]=0,0,Mecze[[#This Row],[SC]]/Mecze[[#This Row],[CZAS]])</f>
        <v>5.2083333333333336E-2</v>
      </c>
      <c r="Q3254" s="32">
        <f>IF(Mecze[[#This Row],[OB]]=0,0,Mecze[[#This Row],[OB]]/Mecze[[#This Row],[CZAS]])</f>
        <v>0</v>
      </c>
      <c r="R3254" s="32">
        <f>IF(Mecze[[#This Row],[BR]]=0,0,Mecze[[#This Row],[BR]]/Mecze[[#This Row],[CZAS]])</f>
        <v>0</v>
      </c>
      <c r="S3254" s="44">
        <f>IF(Mecze[[#This Row],[Role]]="BR",SUMPRODUCT(Mecze[[#This Row],[/PR:90]:[/BR:90]],Brudnopis!$E$23:$J$23),0)</f>
        <v>0</v>
      </c>
      <c r="T3254" s="44">
        <f>IF(Mecze[[#This Row],[Role]]&lt;&gt;"BR",SUMPRODUCT(Mecze[[#This Row],[/PR:90]:[/BR:90]],Brudnopis!$E$24:$J$24),0)</f>
        <v>9.375E-2</v>
      </c>
      <c r="U3254" s="44">
        <f>IF(Mecze[[#This Row],[Role]]&lt;&gt;"BR",SUMPRODUCT(Mecze[[#This Row],[/PR:90]:[/BR:90]],Brudnopis!$E$25:$J$25),0)</f>
        <v>0.11458333333333334</v>
      </c>
      <c r="V3254" s="44">
        <f>IF(Mecze[[#This Row],[Role]]&lt;&gt;"BR",SUMPRODUCT(Mecze[[#This Row],[/PR:90]:[/BR:90]],Brudnopis!$E$26:$J$26),0)</f>
        <v>9.375E-2</v>
      </c>
      <c r="W3254" s="44">
        <f>IF(Mecze[[#This Row],[Role]]&lt;&gt;"BR",SUMPRODUCT(Mecze[[#This Row],[/PR:90]:[/BR:90]],Brudnopis!$E$27:$J$27),0)</f>
        <v>0.11458333333333334</v>
      </c>
      <c r="X3254" s="44">
        <f>IF(Mecze[[#This Row],[Role]]&lt;&gt;"BR",SUMPRODUCT(Mecze[[#This Row],[/PR:90]:[/BR:90]],Brudnopis!$E$28:$J$28),0)</f>
        <v>0.14583333333333334</v>
      </c>
      <c r="Y3254" s="35">
        <f>IF(Mecze[[#This Row],[Role]]="BR",Mecze[[#This Row],[/OB:90]]+Mecze[[#This Row],[/PC:90]],SUM(Mecze[[#This Row],[/PR:90]:[/BR:90]]))</f>
        <v>9.375E-2</v>
      </c>
      <c r="Z3254" s="35">
        <f>IF(Mecze[[#This Row],[KC]]=0,SUM(Mecze[[#This Row],[/BRI]:[/NPI]]),SUM(Mecze[[#This Row],[/BRI]:[/NPI]])*0.6)</f>
        <v>0.56250000000000011</v>
      </c>
      <c r="AA3254" s="10">
        <f>IFERROR(Mecze[[#This Row],[BR]]/Mecze[[#This Row],[ST]],0)</f>
        <v>0</v>
      </c>
      <c r="AB3254">
        <f>ROUND(Mecze[[#This Row],[PD]]*Mecze[[#This Row],[%PC]],0)</f>
        <v>4</v>
      </c>
      <c r="AC3254">
        <f>ROUND(Mecze[[#This Row],[OD]]*Mecze[[#This Row],[%OU]],0)</f>
        <v>0</v>
      </c>
      <c r="AD3254" s="36" t="s">
        <v>46</v>
      </c>
      <c r="AE3254" s="36">
        <v>182</v>
      </c>
      <c r="AF3254" s="71">
        <v>5.14</v>
      </c>
      <c r="AG3254" s="37">
        <v>0</v>
      </c>
      <c r="AH3254" s="37">
        <v>0</v>
      </c>
      <c r="AI3254" s="37">
        <v>96</v>
      </c>
      <c r="AJ3254" s="37">
        <v>10</v>
      </c>
      <c r="AK3254" s="37" t="str">
        <f>VLOOKUP(Mecze[[#This Row],[Match ID]],Meczusie[Mecz]:Meczusie[RodzajMeczu],2,FALSE)</f>
        <v>Liga</v>
      </c>
    </row>
    <row r="3255" spans="1:37" x14ac:dyDescent="0.25">
      <c r="A3255" s="76">
        <v>102</v>
      </c>
      <c r="B3255" s="3" t="s">
        <v>417</v>
      </c>
      <c r="C3255" s="2" t="s">
        <v>155</v>
      </c>
      <c r="D3255" s="1">
        <v>0</v>
      </c>
      <c r="E3255" s="1">
        <v>0</v>
      </c>
      <c r="F3255" s="1">
        <v>0</v>
      </c>
      <c r="G3255" s="1">
        <v>11</v>
      </c>
      <c r="H3255" s="4">
        <v>0.82</v>
      </c>
      <c r="I3255" s="1">
        <v>0</v>
      </c>
      <c r="J3255" s="4"/>
      <c r="K3255" s="1">
        <v>11</v>
      </c>
      <c r="L3255" s="1">
        <v>0</v>
      </c>
      <c r="M3255" s="32">
        <f>IF(Mecze[[#This Row],[PR]]=0,0,Mecze[[#This Row],[PR]]/Mecze[[#This Row],[CZAS]])</f>
        <v>0</v>
      </c>
      <c r="N3255" s="32">
        <f>IF(Mecze[[#This Row],[OU]]=0,0,Mecze[[#This Row],[OU]]/Mecze[[#This Row],[CZAS]])</f>
        <v>0</v>
      </c>
      <c r="O3255" s="32">
        <f>IF(Mecze[[#This Row],[PC]]=0,0,Mecze[[#This Row],[PC]]/Mecze[[#This Row],[CZAS]])</f>
        <v>9.375E-2</v>
      </c>
      <c r="P3255" s="32">
        <f>IF(Mecze[[#This Row],[SC]]=0,0,Mecze[[#This Row],[SC]]/Mecze[[#This Row],[CZAS]])</f>
        <v>0</v>
      </c>
      <c r="Q3255" s="32">
        <f>IF(Mecze[[#This Row],[OB]]=0,0,Mecze[[#This Row],[OB]]/Mecze[[#This Row],[CZAS]])</f>
        <v>0.11458333333333333</v>
      </c>
      <c r="R3255" s="32">
        <f>IF(Mecze[[#This Row],[BR]]=0,0,Mecze[[#This Row],[BR]]/Mecze[[#This Row],[CZAS]])</f>
        <v>0</v>
      </c>
      <c r="S3255" s="44">
        <f>IF(Mecze[[#This Row],[Role]]="BR",SUMPRODUCT(Mecze[[#This Row],[/PR:90]:[/BR:90]],Brudnopis!$E$23:$J$23),0)</f>
        <v>0.625</v>
      </c>
      <c r="T3255" s="44">
        <f>IF(Mecze[[#This Row],[Role]]&lt;&gt;"BR",SUMPRODUCT(Mecze[[#This Row],[/PR:90]:[/BR:90]],Brudnopis!$E$24:$J$24),0)</f>
        <v>0</v>
      </c>
      <c r="U3255" s="44">
        <f>IF(Mecze[[#This Row],[Role]]&lt;&gt;"BR",SUMPRODUCT(Mecze[[#This Row],[/PR:90]:[/BR:90]],Brudnopis!$E$25:$J$25),0)</f>
        <v>0</v>
      </c>
      <c r="V3255" s="44">
        <f>IF(Mecze[[#This Row],[Role]]&lt;&gt;"BR",SUMPRODUCT(Mecze[[#This Row],[/PR:90]:[/BR:90]],Brudnopis!$E$26:$J$26),0)</f>
        <v>0</v>
      </c>
      <c r="W3255" s="44">
        <f>IF(Mecze[[#This Row],[Role]]&lt;&gt;"BR",SUMPRODUCT(Mecze[[#This Row],[/PR:90]:[/BR:90]],Brudnopis!$E$27:$J$27),0)</f>
        <v>0</v>
      </c>
      <c r="X3255" s="44">
        <f>IF(Mecze[[#This Row],[Role]]&lt;&gt;"BR",SUMPRODUCT(Mecze[[#This Row],[/PR:90]:[/BR:90]],Brudnopis!$E$28:$J$28),0)</f>
        <v>0</v>
      </c>
      <c r="Y3255" s="35">
        <f>IF(Mecze[[#This Row],[Role]]="BR",Mecze[[#This Row],[/OB:90]]+Mecze[[#This Row],[/PC:90]],SUM(Mecze[[#This Row],[/PR:90]:[/BR:90]]))</f>
        <v>0.20833333333333331</v>
      </c>
      <c r="Z3255" s="35">
        <f>IF(Mecze[[#This Row],[KC]]=0,SUM(Mecze[[#This Row],[/BRI]:[/NPI]]),SUM(Mecze[[#This Row],[/BRI]:[/NPI]])*0.6)</f>
        <v>0.625</v>
      </c>
      <c r="AA3255" s="10">
        <f>IFERROR(Mecze[[#This Row],[BR]]/Mecze[[#This Row],[ST]],0)</f>
        <v>0</v>
      </c>
      <c r="AB3255">
        <f>ROUND(Mecze[[#This Row],[PD]]*Mecze[[#This Row],[%PC]],0)</f>
        <v>9</v>
      </c>
      <c r="AC3255">
        <f>ROUND(Mecze[[#This Row],[OD]]*Mecze[[#This Row],[%OU]],0)</f>
        <v>0</v>
      </c>
      <c r="AD3255" s="36" t="s">
        <v>40</v>
      </c>
      <c r="AE3255" s="36">
        <v>182</v>
      </c>
      <c r="AF3255" s="71">
        <v>8.77</v>
      </c>
      <c r="AG3255" s="37">
        <v>0</v>
      </c>
      <c r="AH3255" s="37">
        <v>0</v>
      </c>
      <c r="AI3255" s="37">
        <v>96</v>
      </c>
      <c r="AJ3255" s="37">
        <v>6</v>
      </c>
      <c r="AK3255" s="37" t="str">
        <f>VLOOKUP(Mecze[[#This Row],[Match ID]],Meczusie[Mecz]:Meczusie[RodzajMeczu],2,FALSE)</f>
        <v>Liga</v>
      </c>
    </row>
    <row r="3256" spans="1:37" x14ac:dyDescent="0.25">
      <c r="A3256" s="76">
        <v>101</v>
      </c>
      <c r="B3256" s="3" t="s">
        <v>248</v>
      </c>
      <c r="C3256" s="2" t="s">
        <v>157</v>
      </c>
      <c r="D3256" s="1">
        <v>0</v>
      </c>
      <c r="E3256" s="1">
        <v>0</v>
      </c>
      <c r="F3256" s="1">
        <v>0</v>
      </c>
      <c r="G3256" s="1">
        <v>13</v>
      </c>
      <c r="H3256" s="4">
        <v>0.85</v>
      </c>
      <c r="I3256" s="1">
        <v>10</v>
      </c>
      <c r="J3256" s="4">
        <v>0.4</v>
      </c>
      <c r="K3256" s="1">
        <v>0</v>
      </c>
      <c r="L3256" s="1">
        <v>9</v>
      </c>
      <c r="M3256" s="32">
        <f>IF(Mecze[[#This Row],[PR]]=0,0,Mecze[[#This Row],[PR]]/Mecze[[#This Row],[CZAS]])</f>
        <v>9.375E-2</v>
      </c>
      <c r="N3256" s="32">
        <f>IF(Mecze[[#This Row],[OU]]=0,0,Mecze[[#This Row],[OU]]/Mecze[[#This Row],[CZAS]])</f>
        <v>4.1666666666666664E-2</v>
      </c>
      <c r="O3256" s="32">
        <f>IF(Mecze[[#This Row],[PC]]=0,0,Mecze[[#This Row],[PC]]/Mecze[[#This Row],[CZAS]])</f>
        <v>0.11458333333333333</v>
      </c>
      <c r="P3256" s="32">
        <f>IF(Mecze[[#This Row],[SC]]=0,0,Mecze[[#This Row],[SC]]/Mecze[[#This Row],[CZAS]])</f>
        <v>0</v>
      </c>
      <c r="Q3256" s="32">
        <f>IF(Mecze[[#This Row],[OB]]=0,0,Mecze[[#This Row],[OB]]/Mecze[[#This Row],[CZAS]])</f>
        <v>0</v>
      </c>
      <c r="R3256" s="32">
        <f>IF(Mecze[[#This Row],[BR]]=0,0,Mecze[[#This Row],[BR]]/Mecze[[#This Row],[CZAS]])</f>
        <v>0</v>
      </c>
      <c r="S3256" s="44">
        <f>IF(Mecze[[#This Row],[Role]]="BR",SUMPRODUCT(Mecze[[#This Row],[/PR:90]:[/BR:90]],Brudnopis!$E$23:$J$23),0)</f>
        <v>0</v>
      </c>
      <c r="T3256" s="44">
        <f>IF(Mecze[[#This Row],[Role]]&lt;&gt;"BR",SUMPRODUCT(Mecze[[#This Row],[/PR:90]:[/BR:90]],Brudnopis!$E$24:$J$24),0)</f>
        <v>0.27083333333333331</v>
      </c>
      <c r="U3256" s="44">
        <f>IF(Mecze[[#This Row],[Role]]&lt;&gt;"BR",SUMPRODUCT(Mecze[[#This Row],[/PR:90]:[/BR:90]],Brudnopis!$E$25:$J$25),0)</f>
        <v>0.30729166666666663</v>
      </c>
      <c r="V3256" s="44">
        <f>IF(Mecze[[#This Row],[Role]]&lt;&gt;"BR",SUMPRODUCT(Mecze[[#This Row],[/PR:90]:[/BR:90]],Brudnopis!$E$26:$J$26),0)</f>
        <v>0.25</v>
      </c>
      <c r="W3256" s="44">
        <f>IF(Mecze[[#This Row],[Role]]&lt;&gt;"BR",SUMPRODUCT(Mecze[[#This Row],[/PR:90]:[/BR:90]],Brudnopis!$E$27:$J$27),0)</f>
        <v>0.2734375</v>
      </c>
      <c r="X3256" s="44">
        <f>IF(Mecze[[#This Row],[Role]]&lt;&gt;"BR",SUMPRODUCT(Mecze[[#This Row],[/PR:90]:[/BR:90]],Brudnopis!$E$28:$J$28),0)</f>
        <v>0.11458333333333333</v>
      </c>
      <c r="Y3256" s="35">
        <f>IF(Mecze[[#This Row],[Role]]="BR",Mecze[[#This Row],[/OB:90]]+Mecze[[#This Row],[/PC:90]],SUM(Mecze[[#This Row],[/PR:90]:[/BR:90]]))</f>
        <v>0.25</v>
      </c>
      <c r="Z3256" s="35">
        <f>IF(Mecze[[#This Row],[KC]]=0,SUM(Mecze[[#This Row],[/BRI]:[/NPI]]),SUM(Mecze[[#This Row],[/BRI]:[/NPI]])*0.6)</f>
        <v>1.2161458333333333</v>
      </c>
      <c r="AA3256" s="10">
        <f>IFERROR(Mecze[[#This Row],[BR]]/Mecze[[#This Row],[ST]],0)</f>
        <v>0</v>
      </c>
      <c r="AB3256">
        <f>ROUND(Mecze[[#This Row],[PD]]*Mecze[[#This Row],[%PC]],0)</f>
        <v>11</v>
      </c>
      <c r="AC3256">
        <f>ROUND(Mecze[[#This Row],[OD]]*Mecze[[#This Row],[%OU]],0)</f>
        <v>4</v>
      </c>
      <c r="AD3256" s="36" t="s">
        <v>47</v>
      </c>
      <c r="AE3256" s="36">
        <v>182</v>
      </c>
      <c r="AF3256" s="71">
        <v>4.7</v>
      </c>
      <c r="AG3256" s="37">
        <v>0</v>
      </c>
      <c r="AH3256" s="37">
        <v>0</v>
      </c>
      <c r="AI3256" s="37">
        <v>96</v>
      </c>
      <c r="AJ3256" s="37">
        <v>6</v>
      </c>
      <c r="AK3256" s="37" t="str">
        <f>VLOOKUP(Mecze[[#This Row],[Match ID]],Meczusie[Mecz]:Meczusie[RodzajMeczu],2,FALSE)</f>
        <v>Liga</v>
      </c>
    </row>
    <row r="3257" spans="1:37" x14ac:dyDescent="0.25">
      <c r="A3257" s="76">
        <v>2</v>
      </c>
      <c r="B3257" s="3" t="s">
        <v>249</v>
      </c>
      <c r="C3257" s="2" t="s">
        <v>157</v>
      </c>
      <c r="D3257" s="1">
        <v>0</v>
      </c>
      <c r="E3257" s="1">
        <v>0</v>
      </c>
      <c r="F3257" s="1">
        <v>0</v>
      </c>
      <c r="G3257" s="1">
        <v>8</v>
      </c>
      <c r="H3257" s="4">
        <v>0.75</v>
      </c>
      <c r="I3257" s="1">
        <v>6</v>
      </c>
      <c r="J3257" s="4">
        <v>0.67</v>
      </c>
      <c r="K3257" s="1">
        <v>0</v>
      </c>
      <c r="L3257" s="1">
        <v>5</v>
      </c>
      <c r="M3257" s="32">
        <f>IF(Mecze[[#This Row],[PR]]=0,0,Mecze[[#This Row],[PR]]/Mecze[[#This Row],[CZAS]])</f>
        <v>5.5555555555555552E-2</v>
      </c>
      <c r="N3257" s="32">
        <f>IF(Mecze[[#This Row],[OU]]=0,0,Mecze[[#This Row],[OU]]/Mecze[[#This Row],[CZAS]])</f>
        <v>4.4444444444444446E-2</v>
      </c>
      <c r="O3257" s="32">
        <f>IF(Mecze[[#This Row],[PC]]=0,0,Mecze[[#This Row],[PC]]/Mecze[[#This Row],[CZAS]])</f>
        <v>6.6666666666666666E-2</v>
      </c>
      <c r="P3257" s="32">
        <f>IF(Mecze[[#This Row],[SC]]=0,0,Mecze[[#This Row],[SC]]/Mecze[[#This Row],[CZAS]])</f>
        <v>0</v>
      </c>
      <c r="Q3257" s="32">
        <f>IF(Mecze[[#This Row],[OB]]=0,0,Mecze[[#This Row],[OB]]/Mecze[[#This Row],[CZAS]])</f>
        <v>0</v>
      </c>
      <c r="R3257" s="32">
        <f>IF(Mecze[[#This Row],[BR]]=0,0,Mecze[[#This Row],[BR]]/Mecze[[#This Row],[CZAS]])</f>
        <v>0</v>
      </c>
      <c r="S3257" s="44">
        <f>IF(Mecze[[#This Row],[Role]]="BR",SUMPRODUCT(Mecze[[#This Row],[/PR:90]:[/BR:90]],Brudnopis!$E$23:$J$23),0)</f>
        <v>0</v>
      </c>
      <c r="T3257" s="44">
        <f>IF(Mecze[[#This Row],[Role]]&lt;&gt;"BR",SUMPRODUCT(Mecze[[#This Row],[/PR:90]:[/BR:90]],Brudnopis!$E$24:$J$24),0)</f>
        <v>0.18888888888888888</v>
      </c>
      <c r="U3257" s="44">
        <f>IF(Mecze[[#This Row],[Role]]&lt;&gt;"BR",SUMPRODUCT(Mecze[[#This Row],[/PR:90]:[/BR:90]],Brudnopis!$E$25:$J$25),0)</f>
        <v>0.2</v>
      </c>
      <c r="V3257" s="44">
        <f>IF(Mecze[[#This Row],[Role]]&lt;&gt;"BR",SUMPRODUCT(Mecze[[#This Row],[/PR:90]:[/BR:90]],Brudnopis!$E$26:$J$26),0)</f>
        <v>0.16666666666666669</v>
      </c>
      <c r="W3257" s="44">
        <f>IF(Mecze[[#This Row],[Role]]&lt;&gt;"BR",SUMPRODUCT(Mecze[[#This Row],[/PR:90]:[/BR:90]],Brudnopis!$E$27:$J$27),0)</f>
        <v>0.17499999999999999</v>
      </c>
      <c r="X3257" s="44">
        <f>IF(Mecze[[#This Row],[Role]]&lt;&gt;"BR",SUMPRODUCT(Mecze[[#This Row],[/PR:90]:[/BR:90]],Brudnopis!$E$28:$J$28),0)</f>
        <v>6.6666666666666666E-2</v>
      </c>
      <c r="Y3257" s="35">
        <f>IF(Mecze[[#This Row],[Role]]="BR",Mecze[[#This Row],[/OB:90]]+Mecze[[#This Row],[/PC:90]],SUM(Mecze[[#This Row],[/PR:90]:[/BR:90]]))</f>
        <v>0.16666666666666669</v>
      </c>
      <c r="Z3257" s="35">
        <f>IF(Mecze[[#This Row],[KC]]=0,SUM(Mecze[[#This Row],[/BRI]:[/NPI]]),SUM(Mecze[[#This Row],[/BRI]:[/NPI]])*0.6)</f>
        <v>0.79722222222222228</v>
      </c>
      <c r="AA3257" s="10">
        <f>IFERROR(Mecze[[#This Row],[BR]]/Mecze[[#This Row],[ST]],0)</f>
        <v>0</v>
      </c>
      <c r="AB3257">
        <f>ROUND(Mecze[[#This Row],[PD]]*Mecze[[#This Row],[%PC]],0)</f>
        <v>6</v>
      </c>
      <c r="AC3257">
        <f>ROUND(Mecze[[#This Row],[OD]]*Mecze[[#This Row],[%OU]],0)</f>
        <v>4</v>
      </c>
      <c r="AD3257" s="36" t="s">
        <v>167</v>
      </c>
      <c r="AE3257" s="36">
        <v>182</v>
      </c>
      <c r="AF3257" s="71">
        <v>4.9800000000000004</v>
      </c>
      <c r="AG3257" s="37">
        <v>0</v>
      </c>
      <c r="AH3257" s="37">
        <v>0</v>
      </c>
      <c r="AI3257" s="37">
        <v>90</v>
      </c>
      <c r="AJ3257" s="37">
        <v>6</v>
      </c>
      <c r="AK3257" s="37" t="str">
        <f>VLOOKUP(Mecze[[#This Row],[Match ID]],Meczusie[Mecz]:Meczusie[RodzajMeczu],2,FALSE)</f>
        <v>Liga</v>
      </c>
    </row>
    <row r="3258" spans="1:37" x14ac:dyDescent="0.25">
      <c r="A3258" s="76">
        <v>7</v>
      </c>
      <c r="B3258" s="3" t="s">
        <v>251</v>
      </c>
      <c r="C3258" s="2" t="s">
        <v>157</v>
      </c>
      <c r="D3258" s="1">
        <v>0</v>
      </c>
      <c r="E3258" s="1">
        <v>0</v>
      </c>
      <c r="F3258" s="1">
        <v>0</v>
      </c>
      <c r="G3258" s="1">
        <v>8</v>
      </c>
      <c r="H3258" s="4">
        <v>0.75</v>
      </c>
      <c r="I3258" s="1">
        <v>10</v>
      </c>
      <c r="J3258" s="4">
        <v>0.3</v>
      </c>
      <c r="K3258" s="1">
        <v>0</v>
      </c>
      <c r="L3258" s="1">
        <v>8</v>
      </c>
      <c r="M3258" s="32">
        <f>IF(Mecze[[#This Row],[PR]]=0,0,Mecze[[#This Row],[PR]]/Mecze[[#This Row],[CZAS]])</f>
        <v>8.3333333333333329E-2</v>
      </c>
      <c r="N3258" s="32">
        <f>IF(Mecze[[#This Row],[OU]]=0,0,Mecze[[#This Row],[OU]]/Mecze[[#This Row],[CZAS]])</f>
        <v>3.125E-2</v>
      </c>
      <c r="O3258" s="32">
        <f>IF(Mecze[[#This Row],[PC]]=0,0,Mecze[[#This Row],[PC]]/Mecze[[#This Row],[CZAS]])</f>
        <v>6.25E-2</v>
      </c>
      <c r="P3258" s="32">
        <f>IF(Mecze[[#This Row],[SC]]=0,0,Mecze[[#This Row],[SC]]/Mecze[[#This Row],[CZAS]])</f>
        <v>0</v>
      </c>
      <c r="Q3258" s="32">
        <f>IF(Mecze[[#This Row],[OB]]=0,0,Mecze[[#This Row],[OB]]/Mecze[[#This Row],[CZAS]])</f>
        <v>0</v>
      </c>
      <c r="R3258" s="32">
        <f>IF(Mecze[[#This Row],[BR]]=0,0,Mecze[[#This Row],[BR]]/Mecze[[#This Row],[CZAS]])</f>
        <v>0</v>
      </c>
      <c r="S3258" s="44">
        <f>IF(Mecze[[#This Row],[Role]]="BR",SUMPRODUCT(Mecze[[#This Row],[/PR:90]:[/BR:90]],Brudnopis!$E$23:$J$23),0)</f>
        <v>0</v>
      </c>
      <c r="T3258" s="44">
        <f>IF(Mecze[[#This Row],[Role]]&lt;&gt;"BR",SUMPRODUCT(Mecze[[#This Row],[/PR:90]:[/BR:90]],Brudnopis!$E$24:$J$24),0)</f>
        <v>0.19270833333333331</v>
      </c>
      <c r="U3258" s="44">
        <f>IF(Mecze[[#This Row],[Role]]&lt;&gt;"BR",SUMPRODUCT(Mecze[[#This Row],[/PR:90]:[/BR:90]],Brudnopis!$E$25:$J$25),0)</f>
        <v>0.20833333333333331</v>
      </c>
      <c r="V3258" s="44">
        <f>IF(Mecze[[#This Row],[Role]]&lt;&gt;"BR",SUMPRODUCT(Mecze[[#This Row],[/PR:90]:[/BR:90]],Brudnopis!$E$26:$J$26),0)</f>
        <v>0.17708333333333331</v>
      </c>
      <c r="W3258" s="44">
        <f>IF(Mecze[[#This Row],[Role]]&lt;&gt;"BR",SUMPRODUCT(Mecze[[#This Row],[/PR:90]:[/BR:90]],Brudnopis!$E$27:$J$27),0)</f>
        <v>0.1796875</v>
      </c>
      <c r="X3258" s="44">
        <f>IF(Mecze[[#This Row],[Role]]&lt;&gt;"BR",SUMPRODUCT(Mecze[[#This Row],[/PR:90]:[/BR:90]],Brudnopis!$E$28:$J$28),0)</f>
        <v>6.25E-2</v>
      </c>
      <c r="Y3258" s="35">
        <f>IF(Mecze[[#This Row],[Role]]="BR",Mecze[[#This Row],[/OB:90]]+Mecze[[#This Row],[/PC:90]],SUM(Mecze[[#This Row],[/PR:90]:[/BR:90]]))</f>
        <v>0.17708333333333331</v>
      </c>
      <c r="Z3258" s="35">
        <f>IF(Mecze[[#This Row],[KC]]=0,SUM(Mecze[[#This Row],[/BRI]:[/NPI]]),SUM(Mecze[[#This Row],[/BRI]:[/NPI]])*0.6)</f>
        <v>0.8203125</v>
      </c>
      <c r="AA3258" s="10">
        <f>IFERROR(Mecze[[#This Row],[BR]]/Mecze[[#This Row],[ST]],0)</f>
        <v>0</v>
      </c>
      <c r="AB3258">
        <f>ROUND(Mecze[[#This Row],[PD]]*Mecze[[#This Row],[%PC]],0)</f>
        <v>6</v>
      </c>
      <c r="AC3258">
        <f>ROUND(Mecze[[#This Row],[OD]]*Mecze[[#This Row],[%OU]],0)</f>
        <v>3</v>
      </c>
      <c r="AD3258" s="36" t="s">
        <v>168</v>
      </c>
      <c r="AE3258" s="36">
        <v>182</v>
      </c>
      <c r="AF3258" s="71">
        <v>4.49</v>
      </c>
      <c r="AG3258" s="37">
        <v>0</v>
      </c>
      <c r="AH3258" s="37">
        <v>0</v>
      </c>
      <c r="AI3258" s="37">
        <v>96</v>
      </c>
      <c r="AJ3258" s="37">
        <v>6</v>
      </c>
      <c r="AK3258" s="37" t="str">
        <f>VLOOKUP(Mecze[[#This Row],[Match ID]],Meczusie[Mecz]:Meczusie[RodzajMeczu],2,FALSE)</f>
        <v>Liga</v>
      </c>
    </row>
    <row r="3259" spans="1:37" x14ac:dyDescent="0.25">
      <c r="A3259" s="76">
        <v>8</v>
      </c>
      <c r="B3259" s="3" t="s">
        <v>254</v>
      </c>
      <c r="C3259" s="2" t="s">
        <v>160</v>
      </c>
      <c r="D3259" s="1">
        <v>0</v>
      </c>
      <c r="E3259" s="1">
        <v>0</v>
      </c>
      <c r="F3259" s="1">
        <v>0</v>
      </c>
      <c r="G3259" s="1">
        <v>16</v>
      </c>
      <c r="H3259" s="4">
        <v>0.63</v>
      </c>
      <c r="I3259" s="1">
        <v>10</v>
      </c>
      <c r="J3259" s="4">
        <v>0.6</v>
      </c>
      <c r="K3259" s="1">
        <v>0</v>
      </c>
      <c r="L3259" s="1">
        <v>5</v>
      </c>
      <c r="M3259" s="32">
        <f>IF(Mecze[[#This Row],[PR]]=0,0,Mecze[[#This Row],[PR]]/Mecze[[#This Row],[CZAS]])</f>
        <v>5.2083333333333336E-2</v>
      </c>
      <c r="N3259" s="32">
        <f>IF(Mecze[[#This Row],[OU]]=0,0,Mecze[[#This Row],[OU]]/Mecze[[#This Row],[CZAS]])</f>
        <v>6.25E-2</v>
      </c>
      <c r="O3259" s="32">
        <f>IF(Mecze[[#This Row],[PC]]=0,0,Mecze[[#This Row],[PC]]/Mecze[[#This Row],[CZAS]])</f>
        <v>0.10416666666666667</v>
      </c>
      <c r="P3259" s="32">
        <f>IF(Mecze[[#This Row],[SC]]=0,0,Mecze[[#This Row],[SC]]/Mecze[[#This Row],[CZAS]])</f>
        <v>0</v>
      </c>
      <c r="Q3259" s="32">
        <f>IF(Mecze[[#This Row],[OB]]=0,0,Mecze[[#This Row],[OB]]/Mecze[[#This Row],[CZAS]])</f>
        <v>0</v>
      </c>
      <c r="R3259" s="32">
        <f>IF(Mecze[[#This Row],[BR]]=0,0,Mecze[[#This Row],[BR]]/Mecze[[#This Row],[CZAS]])</f>
        <v>0</v>
      </c>
      <c r="S3259" s="44">
        <f>IF(Mecze[[#This Row],[Role]]="BR",SUMPRODUCT(Mecze[[#This Row],[/PR:90]:[/BR:90]],Brudnopis!$E$23:$J$23),0)</f>
        <v>0</v>
      </c>
      <c r="T3259" s="44">
        <f>IF(Mecze[[#This Row],[Role]]&lt;&gt;"BR",SUMPRODUCT(Mecze[[#This Row],[/PR:90]:[/BR:90]],Brudnopis!$E$24:$J$24),0)</f>
        <v>0.25</v>
      </c>
      <c r="U3259" s="44">
        <f>IF(Mecze[[#This Row],[Role]]&lt;&gt;"BR",SUMPRODUCT(Mecze[[#This Row],[/PR:90]:[/BR:90]],Brudnopis!$E$25:$J$25),0)</f>
        <v>0.27083333333333337</v>
      </c>
      <c r="V3259" s="44">
        <f>IF(Mecze[[#This Row],[Role]]&lt;&gt;"BR",SUMPRODUCT(Mecze[[#This Row],[/PR:90]:[/BR:90]],Brudnopis!$E$26:$J$26),0)</f>
        <v>0.21875</v>
      </c>
      <c r="W3259" s="44">
        <f>IF(Mecze[[#This Row],[Role]]&lt;&gt;"BR",SUMPRODUCT(Mecze[[#This Row],[/PR:90]:[/BR:90]],Brudnopis!$E$27:$J$27),0)</f>
        <v>0.2421875</v>
      </c>
      <c r="X3259" s="44">
        <f>IF(Mecze[[#This Row],[Role]]&lt;&gt;"BR",SUMPRODUCT(Mecze[[#This Row],[/PR:90]:[/BR:90]],Brudnopis!$E$28:$J$28),0)</f>
        <v>0.10416666666666667</v>
      </c>
      <c r="Y3259" s="35">
        <f>IF(Mecze[[#This Row],[Role]]="BR",Mecze[[#This Row],[/OB:90]]+Mecze[[#This Row],[/PC:90]],SUM(Mecze[[#This Row],[/PR:90]:[/BR:90]]))</f>
        <v>0.21875</v>
      </c>
      <c r="Z3259" s="35">
        <f>IF(Mecze[[#This Row],[KC]]=0,SUM(Mecze[[#This Row],[/BRI]:[/NPI]]),SUM(Mecze[[#This Row],[/BRI]:[/NPI]])*0.6)</f>
        <v>1.0859375</v>
      </c>
      <c r="AA3259" s="10">
        <f>IFERROR(Mecze[[#This Row],[BR]]/Mecze[[#This Row],[ST]],0)</f>
        <v>0</v>
      </c>
      <c r="AB3259">
        <f>ROUND(Mecze[[#This Row],[PD]]*Mecze[[#This Row],[%PC]],0)</f>
        <v>10</v>
      </c>
      <c r="AC3259">
        <f>ROUND(Mecze[[#This Row],[OD]]*Mecze[[#This Row],[%OU]],0)</f>
        <v>6</v>
      </c>
      <c r="AD3259" s="36" t="s">
        <v>41</v>
      </c>
      <c r="AE3259" s="36">
        <v>182</v>
      </c>
      <c r="AF3259" s="71">
        <v>6.18</v>
      </c>
      <c r="AG3259" s="37">
        <v>0</v>
      </c>
      <c r="AH3259" s="37">
        <v>0</v>
      </c>
      <c r="AI3259" s="37">
        <v>96</v>
      </c>
      <c r="AJ3259" s="37">
        <v>6</v>
      </c>
      <c r="AK3259" s="37" t="str">
        <f>VLOOKUP(Mecze[[#This Row],[Match ID]],Meczusie[Mecz]:Meczusie[RodzajMeczu],2,FALSE)</f>
        <v>Liga</v>
      </c>
    </row>
    <row r="3260" spans="1:37" x14ac:dyDescent="0.25">
      <c r="A3260" s="76">
        <v>10</v>
      </c>
      <c r="B3260" s="3" t="s">
        <v>252</v>
      </c>
      <c r="C3260" s="2" t="s">
        <v>160</v>
      </c>
      <c r="D3260" s="1">
        <v>0</v>
      </c>
      <c r="E3260" s="1">
        <v>4</v>
      </c>
      <c r="F3260" s="1">
        <v>4</v>
      </c>
      <c r="G3260" s="1">
        <v>11</v>
      </c>
      <c r="H3260" s="4">
        <v>0.73</v>
      </c>
      <c r="I3260" s="1">
        <v>3</v>
      </c>
      <c r="J3260" s="4">
        <v>0.33</v>
      </c>
      <c r="K3260" s="1">
        <v>0</v>
      </c>
      <c r="L3260" s="1">
        <v>2</v>
      </c>
      <c r="M3260" s="32">
        <f>IF(Mecze[[#This Row],[PR]]=0,0,Mecze[[#This Row],[PR]]/Mecze[[#This Row],[CZAS]])</f>
        <v>2.0833333333333332E-2</v>
      </c>
      <c r="N3260" s="32">
        <f>IF(Mecze[[#This Row],[OU]]=0,0,Mecze[[#This Row],[OU]]/Mecze[[#This Row],[CZAS]])</f>
        <v>1.0416666666666666E-2</v>
      </c>
      <c r="O3260" s="32">
        <f>IF(Mecze[[#This Row],[PC]]=0,0,Mecze[[#This Row],[PC]]/Mecze[[#This Row],[CZAS]])</f>
        <v>8.3333333333333329E-2</v>
      </c>
      <c r="P3260" s="32">
        <f>IF(Mecze[[#This Row],[SC]]=0,0,Mecze[[#This Row],[SC]]/Mecze[[#This Row],[CZAS]])</f>
        <v>4.1666666666666664E-2</v>
      </c>
      <c r="Q3260" s="32">
        <f>IF(Mecze[[#This Row],[OB]]=0,0,Mecze[[#This Row],[OB]]/Mecze[[#This Row],[CZAS]])</f>
        <v>0</v>
      </c>
      <c r="R3260" s="32">
        <f>IF(Mecze[[#This Row],[BR]]=0,0,Mecze[[#This Row],[BR]]/Mecze[[#This Row],[CZAS]])</f>
        <v>0</v>
      </c>
      <c r="S3260" s="44">
        <f>IF(Mecze[[#This Row],[Role]]="BR",SUMPRODUCT(Mecze[[#This Row],[/PR:90]:[/BR:90]],Brudnopis!$E$23:$J$23),0)</f>
        <v>0</v>
      </c>
      <c r="T3260" s="44">
        <f>IF(Mecze[[#This Row],[Role]]&lt;&gt;"BR",SUMPRODUCT(Mecze[[#This Row],[/PR:90]:[/BR:90]],Brudnopis!$E$24:$J$24),0)</f>
        <v>0.16145833333333331</v>
      </c>
      <c r="U3260" s="44">
        <f>IF(Mecze[[#This Row],[Role]]&lt;&gt;"BR",SUMPRODUCT(Mecze[[#This Row],[/PR:90]:[/BR:90]],Brudnopis!$E$25:$J$25),0)</f>
        <v>0.19791666666666666</v>
      </c>
      <c r="V3260" s="44">
        <f>IF(Mecze[[#This Row],[Role]]&lt;&gt;"BR",SUMPRODUCT(Mecze[[#This Row],[/PR:90]:[/BR:90]],Brudnopis!$E$26:$J$26),0)</f>
        <v>0.15625</v>
      </c>
      <c r="W3260" s="44">
        <f>IF(Mecze[[#This Row],[Role]]&lt;&gt;"BR",SUMPRODUCT(Mecze[[#This Row],[/PR:90]:[/BR:90]],Brudnopis!$E$27:$J$27),0)</f>
        <v>0.19010416666666666</v>
      </c>
      <c r="X3260" s="44">
        <f>IF(Mecze[[#This Row],[Role]]&lt;&gt;"BR",SUMPRODUCT(Mecze[[#This Row],[/PR:90]:[/BR:90]],Brudnopis!$E$28:$J$28),0)</f>
        <v>0.16666666666666666</v>
      </c>
      <c r="Y3260" s="35">
        <f>IF(Mecze[[#This Row],[Role]]="BR",Mecze[[#This Row],[/OB:90]]+Mecze[[#This Row],[/PC:90]],SUM(Mecze[[#This Row],[/PR:90]:[/BR:90]]))</f>
        <v>0.15625</v>
      </c>
      <c r="Z3260" s="35">
        <f>IF(Mecze[[#This Row],[KC]]=0,SUM(Mecze[[#This Row],[/BRI]:[/NPI]]),SUM(Mecze[[#This Row],[/BRI]:[/NPI]])*0.6)</f>
        <v>0.87239583333333326</v>
      </c>
      <c r="AA3260" s="10">
        <f>IFERROR(Mecze[[#This Row],[BR]]/Mecze[[#This Row],[ST]],0)</f>
        <v>0</v>
      </c>
      <c r="AB3260">
        <f>ROUND(Mecze[[#This Row],[PD]]*Mecze[[#This Row],[%PC]],0)</f>
        <v>8</v>
      </c>
      <c r="AC3260">
        <f>ROUND(Mecze[[#This Row],[OD]]*Mecze[[#This Row],[%OU]],0)</f>
        <v>1</v>
      </c>
      <c r="AD3260" s="36" t="s">
        <v>318</v>
      </c>
      <c r="AE3260" s="36">
        <v>182</v>
      </c>
      <c r="AF3260" s="71">
        <v>6.47</v>
      </c>
      <c r="AG3260" s="37">
        <v>0</v>
      </c>
      <c r="AH3260" s="37">
        <v>0</v>
      </c>
      <c r="AI3260" s="37">
        <v>96</v>
      </c>
      <c r="AJ3260" s="37">
        <v>6</v>
      </c>
      <c r="AK3260" s="37" t="str">
        <f>VLOOKUP(Mecze[[#This Row],[Match ID]],Meczusie[Mecz]:Meczusie[RodzajMeczu],2,FALSE)</f>
        <v>Liga</v>
      </c>
    </row>
    <row r="3261" spans="1:37" x14ac:dyDescent="0.25">
      <c r="A3261" s="76">
        <v>11</v>
      </c>
      <c r="B3261" s="3" t="s">
        <v>250</v>
      </c>
      <c r="C3261" s="2" t="s">
        <v>160</v>
      </c>
      <c r="D3261" s="1">
        <v>0</v>
      </c>
      <c r="E3261" s="1">
        <v>0</v>
      </c>
      <c r="F3261" s="1">
        <v>0</v>
      </c>
      <c r="G3261" s="1">
        <v>11</v>
      </c>
      <c r="H3261" s="4">
        <v>0.73</v>
      </c>
      <c r="I3261" s="1">
        <v>1</v>
      </c>
      <c r="J3261" s="4">
        <v>1</v>
      </c>
      <c r="K3261" s="1">
        <v>0</v>
      </c>
      <c r="L3261" s="1">
        <v>1</v>
      </c>
      <c r="M3261" s="32">
        <f>IF(Mecze[[#This Row],[PR]]=0,0,Mecze[[#This Row],[PR]]/Mecze[[#This Row],[CZAS]])</f>
        <v>1.3698630136986301E-2</v>
      </c>
      <c r="N3261" s="32">
        <f>IF(Mecze[[#This Row],[OU]]=0,0,Mecze[[#This Row],[OU]]/Mecze[[#This Row],[CZAS]])</f>
        <v>1.3698630136986301E-2</v>
      </c>
      <c r="O3261" s="32">
        <f>IF(Mecze[[#This Row],[PC]]=0,0,Mecze[[#This Row],[PC]]/Mecze[[#This Row],[CZAS]])</f>
        <v>0.1095890410958904</v>
      </c>
      <c r="P3261" s="32">
        <f>IF(Mecze[[#This Row],[SC]]=0,0,Mecze[[#This Row],[SC]]/Mecze[[#This Row],[CZAS]])</f>
        <v>0</v>
      </c>
      <c r="Q3261" s="32">
        <f>IF(Mecze[[#This Row],[OB]]=0,0,Mecze[[#This Row],[OB]]/Mecze[[#This Row],[CZAS]])</f>
        <v>0</v>
      </c>
      <c r="R3261" s="32">
        <f>IF(Mecze[[#This Row],[BR]]=0,0,Mecze[[#This Row],[BR]]/Mecze[[#This Row],[CZAS]])</f>
        <v>0</v>
      </c>
      <c r="S3261" s="44">
        <f>IF(Mecze[[#This Row],[Role]]="BR",SUMPRODUCT(Mecze[[#This Row],[/PR:90]:[/BR:90]],Brudnopis!$E$23:$J$23),0)</f>
        <v>0</v>
      </c>
      <c r="T3261" s="44">
        <f>IF(Mecze[[#This Row],[Role]]&lt;&gt;"BR",SUMPRODUCT(Mecze[[#This Row],[/PR:90]:[/BR:90]],Brudnopis!$E$24:$J$24),0)</f>
        <v>0.14383561643835616</v>
      </c>
      <c r="U3261" s="44">
        <f>IF(Mecze[[#This Row],[Role]]&lt;&gt;"BR",SUMPRODUCT(Mecze[[#This Row],[/PR:90]:[/BR:90]],Brudnopis!$E$25:$J$25),0)</f>
        <v>0.19178082191780821</v>
      </c>
      <c r="V3261" s="44">
        <f>IF(Mecze[[#This Row],[Role]]&lt;&gt;"BR",SUMPRODUCT(Mecze[[#This Row],[/PR:90]:[/BR:90]],Brudnopis!$E$26:$J$26),0)</f>
        <v>0.13698630136986301</v>
      </c>
      <c r="W3261" s="44">
        <f>IF(Mecze[[#This Row],[Role]]&lt;&gt;"BR",SUMPRODUCT(Mecze[[#This Row],[/PR:90]:[/BR:90]],Brudnopis!$E$27:$J$27),0)</f>
        <v>0.18493150684931506</v>
      </c>
      <c r="X3261" s="44">
        <f>IF(Mecze[[#This Row],[Role]]&lt;&gt;"BR",SUMPRODUCT(Mecze[[#This Row],[/PR:90]:[/BR:90]],Brudnopis!$E$28:$J$28),0)</f>
        <v>0.1095890410958904</v>
      </c>
      <c r="Y3261" s="35">
        <f>IF(Mecze[[#This Row],[Role]]="BR",Mecze[[#This Row],[/OB:90]]+Mecze[[#This Row],[/PC:90]],SUM(Mecze[[#This Row],[/PR:90]:[/BR:90]]))</f>
        <v>0.13698630136986301</v>
      </c>
      <c r="Z3261" s="35">
        <f>IF(Mecze[[#This Row],[KC]]=0,SUM(Mecze[[#This Row],[/BRI]:[/NPI]]),SUM(Mecze[[#This Row],[/BRI]:[/NPI]])*0.6)</f>
        <v>0.76712328767123283</v>
      </c>
      <c r="AA3261" s="10">
        <f>IFERROR(Mecze[[#This Row],[BR]]/Mecze[[#This Row],[ST]],0)</f>
        <v>0</v>
      </c>
      <c r="AB3261">
        <f>ROUND(Mecze[[#This Row],[PD]]*Mecze[[#This Row],[%PC]],0)</f>
        <v>8</v>
      </c>
      <c r="AC3261">
        <f>ROUND(Mecze[[#This Row],[OD]]*Mecze[[#This Row],[%OU]],0)</f>
        <v>1</v>
      </c>
      <c r="AD3261" s="36" t="s">
        <v>319</v>
      </c>
      <c r="AE3261" s="36">
        <v>182</v>
      </c>
      <c r="AF3261" s="71">
        <v>5.34</v>
      </c>
      <c r="AG3261" s="37">
        <v>0</v>
      </c>
      <c r="AH3261" s="37">
        <v>0</v>
      </c>
      <c r="AI3261" s="37">
        <v>73</v>
      </c>
      <c r="AJ3261" s="37">
        <v>6</v>
      </c>
      <c r="AK3261" s="37" t="str">
        <f>VLOOKUP(Mecze[[#This Row],[Match ID]],Meczusie[Mecz]:Meczusie[RodzajMeczu],2,FALSE)</f>
        <v>Liga</v>
      </c>
    </row>
    <row r="3262" spans="1:37" x14ac:dyDescent="0.25">
      <c r="A3262" s="76">
        <v>106</v>
      </c>
      <c r="B3262" s="3" t="s">
        <v>424</v>
      </c>
      <c r="C3262" s="2" t="s">
        <v>160</v>
      </c>
      <c r="D3262" s="1">
        <v>3</v>
      </c>
      <c r="E3262" s="1">
        <v>10</v>
      </c>
      <c r="F3262" s="1">
        <v>10</v>
      </c>
      <c r="G3262" s="1">
        <v>6</v>
      </c>
      <c r="H3262" s="4">
        <v>0.83</v>
      </c>
      <c r="I3262" s="1">
        <v>2</v>
      </c>
      <c r="J3262" s="4">
        <v>1</v>
      </c>
      <c r="K3262" s="1">
        <v>0</v>
      </c>
      <c r="L3262" s="1">
        <v>1</v>
      </c>
      <c r="M3262" s="32">
        <f>IF(Mecze[[#This Row],[PR]]=0,0,Mecze[[#This Row],[PR]]/Mecze[[#This Row],[CZAS]])</f>
        <v>1.0416666666666666E-2</v>
      </c>
      <c r="N3262" s="32">
        <f>IF(Mecze[[#This Row],[OU]]=0,0,Mecze[[#This Row],[OU]]/Mecze[[#This Row],[CZAS]])</f>
        <v>2.0833333333333332E-2</v>
      </c>
      <c r="O3262" s="32">
        <f>IF(Mecze[[#This Row],[PC]]=0,0,Mecze[[#This Row],[PC]]/Mecze[[#This Row],[CZAS]])</f>
        <v>5.2083333333333336E-2</v>
      </c>
      <c r="P3262" s="32">
        <f>IF(Mecze[[#This Row],[SC]]=0,0,Mecze[[#This Row],[SC]]/Mecze[[#This Row],[CZAS]])</f>
        <v>0.10416666666666667</v>
      </c>
      <c r="Q3262" s="32">
        <f>IF(Mecze[[#This Row],[OB]]=0,0,Mecze[[#This Row],[OB]]/Mecze[[#This Row],[CZAS]])</f>
        <v>0</v>
      </c>
      <c r="R3262" s="32">
        <f>IF(Mecze[[#This Row],[BR]]=0,0,Mecze[[#This Row],[BR]]/Mecze[[#This Row],[CZAS]])</f>
        <v>3.125E-2</v>
      </c>
      <c r="S3262" s="44">
        <f>IF(Mecze[[#This Row],[Role]]="BR",SUMPRODUCT(Mecze[[#This Row],[/PR:90]:[/BR:90]],Brudnopis!$E$23:$J$23),0)</f>
        <v>0</v>
      </c>
      <c r="T3262" s="44">
        <f>IF(Mecze[[#This Row],[Role]]&lt;&gt;"BR",SUMPRODUCT(Mecze[[#This Row],[/PR:90]:[/BR:90]],Brudnopis!$E$24:$J$24),0)</f>
        <v>0.24479166666666669</v>
      </c>
      <c r="U3262" s="44">
        <f>IF(Mecze[[#This Row],[Role]]&lt;&gt;"BR",SUMPRODUCT(Mecze[[#This Row],[/PR:90]:[/BR:90]],Brudnopis!$E$25:$J$25),0)</f>
        <v>0.26041666666666669</v>
      </c>
      <c r="V3262" s="44">
        <f>IF(Mecze[[#This Row],[Role]]&lt;&gt;"BR",SUMPRODUCT(Mecze[[#This Row],[/PR:90]:[/BR:90]],Brudnopis!$E$26:$J$26),0)</f>
        <v>0.25</v>
      </c>
      <c r="W3262" s="44">
        <f>IF(Mecze[[#This Row],[Role]]&lt;&gt;"BR",SUMPRODUCT(Mecze[[#This Row],[/PR:90]:[/BR:90]],Brudnopis!$E$27:$J$27),0)</f>
        <v>0.26822916666666669</v>
      </c>
      <c r="X3262" s="44">
        <f>IF(Mecze[[#This Row],[Role]]&lt;&gt;"BR",SUMPRODUCT(Mecze[[#This Row],[/PR:90]:[/BR:90]],Brudnopis!$E$28:$J$28),0)</f>
        <v>0.35416666666666669</v>
      </c>
      <c r="Y3262" s="35">
        <f>IF(Mecze[[#This Row],[Role]]="BR",Mecze[[#This Row],[/OB:90]]+Mecze[[#This Row],[/PC:90]],SUM(Mecze[[#This Row],[/PR:90]:[/BR:90]]))</f>
        <v>0.21875</v>
      </c>
      <c r="Z3262" s="35">
        <f>IF(Mecze[[#This Row],[KC]]=0,SUM(Mecze[[#This Row],[/BRI]:[/NPI]]),SUM(Mecze[[#This Row],[/BRI]:[/NPI]])*0.6)</f>
        <v>1.3776041666666667</v>
      </c>
      <c r="AA3262" s="10">
        <f>IFERROR(Mecze[[#This Row],[BR]]/Mecze[[#This Row],[ST]],0)</f>
        <v>0.3</v>
      </c>
      <c r="AB3262">
        <f>ROUND(Mecze[[#This Row],[PD]]*Mecze[[#This Row],[%PC]],0)</f>
        <v>5</v>
      </c>
      <c r="AC3262">
        <f>ROUND(Mecze[[#This Row],[OD]]*Mecze[[#This Row],[%OU]],0)</f>
        <v>2</v>
      </c>
      <c r="AD3262" s="36" t="s">
        <v>44</v>
      </c>
      <c r="AE3262" s="36">
        <v>182</v>
      </c>
      <c r="AF3262" s="71">
        <v>14.88</v>
      </c>
      <c r="AG3262" s="37">
        <v>0</v>
      </c>
      <c r="AH3262" s="37">
        <v>0</v>
      </c>
      <c r="AI3262" s="37">
        <v>96</v>
      </c>
      <c r="AJ3262" s="37">
        <v>6</v>
      </c>
      <c r="AK3262" s="37" t="str">
        <f>VLOOKUP(Mecze[[#This Row],[Match ID]],Meczusie[Mecz]:Meczusie[RodzajMeczu],2,FALSE)</f>
        <v>Liga</v>
      </c>
    </row>
    <row r="3263" spans="1:37" x14ac:dyDescent="0.25">
      <c r="A3263" s="76">
        <v>6</v>
      </c>
      <c r="B3263" s="3" t="s">
        <v>255</v>
      </c>
      <c r="C3263" s="2" t="s">
        <v>165</v>
      </c>
      <c r="D3263" s="1">
        <v>0</v>
      </c>
      <c r="E3263" s="1">
        <v>0</v>
      </c>
      <c r="F3263" s="1">
        <v>0</v>
      </c>
      <c r="G3263" s="1">
        <v>3</v>
      </c>
      <c r="H3263" s="4">
        <v>0.33</v>
      </c>
      <c r="I3263" s="1">
        <v>0</v>
      </c>
      <c r="J3263" s="4"/>
      <c r="K3263" s="1">
        <v>0</v>
      </c>
      <c r="L3263" s="1">
        <v>0</v>
      </c>
      <c r="M3263" s="32">
        <f>IF(Mecze[[#This Row],[PR]]=0,0,Mecze[[#This Row],[PR]]/Mecze[[#This Row],[CZAS]])</f>
        <v>0</v>
      </c>
      <c r="N3263" s="32">
        <f>IF(Mecze[[#This Row],[OU]]=0,0,Mecze[[#This Row],[OU]]/Mecze[[#This Row],[CZAS]])</f>
        <v>0</v>
      </c>
      <c r="O3263" s="32">
        <f>IF(Mecze[[#This Row],[PC]]=0,0,Mecze[[#This Row],[PC]]/Mecze[[#This Row],[CZAS]])</f>
        <v>1.0416666666666666E-2</v>
      </c>
      <c r="P3263" s="32">
        <f>IF(Mecze[[#This Row],[SC]]=0,0,Mecze[[#This Row],[SC]]/Mecze[[#This Row],[CZAS]])</f>
        <v>0</v>
      </c>
      <c r="Q3263" s="32">
        <f>IF(Mecze[[#This Row],[OB]]=0,0,Mecze[[#This Row],[OB]]/Mecze[[#This Row],[CZAS]])</f>
        <v>0</v>
      </c>
      <c r="R3263" s="32">
        <f>IF(Mecze[[#This Row],[BR]]=0,0,Mecze[[#This Row],[BR]]/Mecze[[#This Row],[CZAS]])</f>
        <v>0</v>
      </c>
      <c r="S3263" s="44">
        <f>IF(Mecze[[#This Row],[Role]]="BR",SUMPRODUCT(Mecze[[#This Row],[/PR:90]:[/BR:90]],Brudnopis!$E$23:$J$23),0)</f>
        <v>0</v>
      </c>
      <c r="T3263" s="44">
        <f>IF(Mecze[[#This Row],[Role]]&lt;&gt;"BR",SUMPRODUCT(Mecze[[#This Row],[/PR:90]:[/BR:90]],Brudnopis!$E$24:$J$24),0)</f>
        <v>1.0416666666666666E-2</v>
      </c>
      <c r="U3263" s="44">
        <f>IF(Mecze[[#This Row],[Role]]&lt;&gt;"BR",SUMPRODUCT(Mecze[[#This Row],[/PR:90]:[/BR:90]],Brudnopis!$E$25:$J$25),0)</f>
        <v>1.5625E-2</v>
      </c>
      <c r="V3263" s="44">
        <f>IF(Mecze[[#This Row],[Role]]&lt;&gt;"BR",SUMPRODUCT(Mecze[[#This Row],[/PR:90]:[/BR:90]],Brudnopis!$E$26:$J$26),0)</f>
        <v>1.0416666666666666E-2</v>
      </c>
      <c r="W3263" s="44">
        <f>IF(Mecze[[#This Row],[Role]]&lt;&gt;"BR",SUMPRODUCT(Mecze[[#This Row],[/PR:90]:[/BR:90]],Brudnopis!$E$27:$J$27),0)</f>
        <v>1.5625E-2</v>
      </c>
      <c r="X3263" s="44">
        <f>IF(Mecze[[#This Row],[Role]]&lt;&gt;"BR",SUMPRODUCT(Mecze[[#This Row],[/PR:90]:[/BR:90]],Brudnopis!$E$28:$J$28),0)</f>
        <v>1.0416666666666666E-2</v>
      </c>
      <c r="Y3263" s="35">
        <f>IF(Mecze[[#This Row],[Role]]="BR",Mecze[[#This Row],[/OB:90]]+Mecze[[#This Row],[/PC:90]],SUM(Mecze[[#This Row],[/PR:90]:[/BR:90]]))</f>
        <v>1.0416666666666666E-2</v>
      </c>
      <c r="Z3263" s="35">
        <f>IF(Mecze[[#This Row],[KC]]=0,SUM(Mecze[[#This Row],[/BRI]:[/NPI]]),SUM(Mecze[[#This Row],[/BRI]:[/NPI]])*0.6)</f>
        <v>6.2499999999999993E-2</v>
      </c>
      <c r="AA3263" s="10">
        <f>IFERROR(Mecze[[#This Row],[BR]]/Mecze[[#This Row],[ST]],0)</f>
        <v>0</v>
      </c>
      <c r="AB3263">
        <f>ROUND(Mecze[[#This Row],[PD]]*Mecze[[#This Row],[%PC]],0)</f>
        <v>1</v>
      </c>
      <c r="AC3263">
        <f>ROUND(Mecze[[#This Row],[OD]]*Mecze[[#This Row],[%OU]],0)</f>
        <v>0</v>
      </c>
      <c r="AD3263" s="36" t="s">
        <v>232</v>
      </c>
      <c r="AE3263" s="36">
        <v>182</v>
      </c>
      <c r="AF3263" s="71">
        <v>3.93</v>
      </c>
      <c r="AG3263" s="37">
        <v>0</v>
      </c>
      <c r="AH3263" s="37">
        <v>0</v>
      </c>
      <c r="AI3263" s="37">
        <v>96</v>
      </c>
      <c r="AJ3263" s="37">
        <v>6</v>
      </c>
      <c r="AK3263" s="37" t="str">
        <f>VLOOKUP(Mecze[[#This Row],[Match ID]],Meczusie[Mecz]:Meczusie[RodzajMeczu],2,FALSE)</f>
        <v>Liga</v>
      </c>
    </row>
    <row r="3264" spans="1:37" x14ac:dyDescent="0.25">
      <c r="A3264" s="76">
        <v>5</v>
      </c>
      <c r="B3264" s="3" t="s">
        <v>256</v>
      </c>
      <c r="C3264" s="2" t="s">
        <v>165</v>
      </c>
      <c r="D3264" s="1">
        <v>0</v>
      </c>
      <c r="E3264" s="1">
        <v>5</v>
      </c>
      <c r="F3264" s="1">
        <v>5</v>
      </c>
      <c r="G3264" s="1">
        <v>8</v>
      </c>
      <c r="H3264" s="4">
        <v>0.75</v>
      </c>
      <c r="I3264" s="1">
        <v>3</v>
      </c>
      <c r="J3264" s="4">
        <v>0.67</v>
      </c>
      <c r="K3264" s="1">
        <v>0</v>
      </c>
      <c r="L3264" s="1">
        <v>1</v>
      </c>
      <c r="M3264" s="32">
        <f>IF(Mecze[[#This Row],[PR]]=0,0,Mecze[[#This Row],[PR]]/Mecze[[#This Row],[CZAS]])</f>
        <v>1.0416666666666666E-2</v>
      </c>
      <c r="N3264" s="32">
        <f>IF(Mecze[[#This Row],[OU]]=0,0,Mecze[[#This Row],[OU]]/Mecze[[#This Row],[CZAS]])</f>
        <v>2.0833333333333332E-2</v>
      </c>
      <c r="O3264" s="32">
        <f>IF(Mecze[[#This Row],[PC]]=0,0,Mecze[[#This Row],[PC]]/Mecze[[#This Row],[CZAS]])</f>
        <v>6.25E-2</v>
      </c>
      <c r="P3264" s="32">
        <f>IF(Mecze[[#This Row],[SC]]=0,0,Mecze[[#This Row],[SC]]/Mecze[[#This Row],[CZAS]])</f>
        <v>5.2083333333333336E-2</v>
      </c>
      <c r="Q3264" s="32">
        <f>IF(Mecze[[#This Row],[OB]]=0,0,Mecze[[#This Row],[OB]]/Mecze[[#This Row],[CZAS]])</f>
        <v>0</v>
      </c>
      <c r="R3264" s="32">
        <f>IF(Mecze[[#This Row],[BR]]=0,0,Mecze[[#This Row],[BR]]/Mecze[[#This Row],[CZAS]])</f>
        <v>0</v>
      </c>
      <c r="S3264" s="44">
        <f>IF(Mecze[[#This Row],[Role]]="BR",SUMPRODUCT(Mecze[[#This Row],[/PR:90]:[/BR:90]],Brudnopis!$E$23:$J$23),0)</f>
        <v>0</v>
      </c>
      <c r="T3264" s="44">
        <f>IF(Mecze[[#This Row],[Role]]&lt;&gt;"BR",SUMPRODUCT(Mecze[[#This Row],[/PR:90]:[/BR:90]],Brudnopis!$E$24:$J$24),0)</f>
        <v>0.15625</v>
      </c>
      <c r="U3264" s="44">
        <f>IF(Mecze[[#This Row],[Role]]&lt;&gt;"BR",SUMPRODUCT(Mecze[[#This Row],[/PR:90]:[/BR:90]],Brudnopis!$E$25:$J$25),0)</f>
        <v>0.17708333333333334</v>
      </c>
      <c r="V3264" s="44">
        <f>IF(Mecze[[#This Row],[Role]]&lt;&gt;"BR",SUMPRODUCT(Mecze[[#This Row],[/PR:90]:[/BR:90]],Brudnopis!$E$26:$J$26),0)</f>
        <v>0.14583333333333334</v>
      </c>
      <c r="W3264" s="44">
        <f>IF(Mecze[[#This Row],[Role]]&lt;&gt;"BR",SUMPRODUCT(Mecze[[#This Row],[/PR:90]:[/BR:90]],Brudnopis!$E$27:$J$27),0)</f>
        <v>0.16927083333333334</v>
      </c>
      <c r="X3264" s="44">
        <f>IF(Mecze[[#This Row],[Role]]&lt;&gt;"BR",SUMPRODUCT(Mecze[[#This Row],[/PR:90]:[/BR:90]],Brudnopis!$E$28:$J$28),0)</f>
        <v>0.16666666666666669</v>
      </c>
      <c r="Y3264" s="35">
        <f>IF(Mecze[[#This Row],[Role]]="BR",Mecze[[#This Row],[/OB:90]]+Mecze[[#This Row],[/PC:90]],SUM(Mecze[[#This Row],[/PR:90]:[/BR:90]]))</f>
        <v>0.14583333333333334</v>
      </c>
      <c r="Z3264" s="35">
        <f>IF(Mecze[[#This Row],[KC]]=0,SUM(Mecze[[#This Row],[/BRI]:[/NPI]]),SUM(Mecze[[#This Row],[/BRI]:[/NPI]])*0.6)</f>
        <v>0.81510416666666674</v>
      </c>
      <c r="AA3264" s="10">
        <f>IFERROR(Mecze[[#This Row],[BR]]/Mecze[[#This Row],[ST]],0)</f>
        <v>0</v>
      </c>
      <c r="AB3264">
        <f>ROUND(Mecze[[#This Row],[PD]]*Mecze[[#This Row],[%PC]],0)</f>
        <v>6</v>
      </c>
      <c r="AC3264">
        <f>ROUND(Mecze[[#This Row],[OD]]*Mecze[[#This Row],[%OU]],0)</f>
        <v>2</v>
      </c>
      <c r="AD3264" s="36" t="s">
        <v>46</v>
      </c>
      <c r="AE3264" s="36">
        <v>182</v>
      </c>
      <c r="AF3264" s="71">
        <v>6.36</v>
      </c>
      <c r="AG3264" s="37">
        <v>0</v>
      </c>
      <c r="AH3264" s="37">
        <v>0</v>
      </c>
      <c r="AI3264" s="37">
        <v>96</v>
      </c>
      <c r="AJ3264" s="37">
        <v>6</v>
      </c>
      <c r="AK3264" s="37" t="str">
        <f>VLOOKUP(Mecze[[#This Row],[Match ID]],Meczusie[Mecz]:Meczusie[RodzajMeczu],2,FALSE)</f>
        <v>Liga</v>
      </c>
    </row>
    <row r="3265" spans="1:37" x14ac:dyDescent="0.25">
      <c r="A3265" s="76">
        <v>100</v>
      </c>
      <c r="B3265" s="3" t="s">
        <v>257</v>
      </c>
      <c r="C3265" s="2" t="s">
        <v>165</v>
      </c>
      <c r="D3265" s="1">
        <v>0</v>
      </c>
      <c r="E3265" s="1">
        <v>5</v>
      </c>
      <c r="F3265" s="1">
        <v>4</v>
      </c>
      <c r="G3265" s="1">
        <v>3</v>
      </c>
      <c r="H3265" s="4">
        <v>0.33</v>
      </c>
      <c r="I3265" s="1">
        <v>3</v>
      </c>
      <c r="J3265" s="4">
        <v>0</v>
      </c>
      <c r="K3265" s="1">
        <v>0</v>
      </c>
      <c r="L3265" s="1">
        <v>0</v>
      </c>
      <c r="M3265" s="32">
        <f>IF(Mecze[[#This Row],[PR]]=0,0,Mecze[[#This Row],[PR]]/Mecze[[#This Row],[CZAS]])</f>
        <v>0</v>
      </c>
      <c r="N3265" s="32">
        <f>IF(Mecze[[#This Row],[OU]]=0,0,Mecze[[#This Row],[OU]]/Mecze[[#This Row],[CZAS]])</f>
        <v>0</v>
      </c>
      <c r="O3265" s="32">
        <f>IF(Mecze[[#This Row],[PC]]=0,0,Mecze[[#This Row],[PC]]/Mecze[[#This Row],[CZAS]])</f>
        <v>1.0416666666666666E-2</v>
      </c>
      <c r="P3265" s="32">
        <f>IF(Mecze[[#This Row],[SC]]=0,0,Mecze[[#This Row],[SC]]/Mecze[[#This Row],[CZAS]])</f>
        <v>4.1666666666666664E-2</v>
      </c>
      <c r="Q3265" s="32">
        <f>IF(Mecze[[#This Row],[OB]]=0,0,Mecze[[#This Row],[OB]]/Mecze[[#This Row],[CZAS]])</f>
        <v>0</v>
      </c>
      <c r="R3265" s="32">
        <f>IF(Mecze[[#This Row],[BR]]=0,0,Mecze[[#This Row],[BR]]/Mecze[[#This Row],[CZAS]])</f>
        <v>0</v>
      </c>
      <c r="S3265" s="44">
        <f>IF(Mecze[[#This Row],[Role]]="BR",SUMPRODUCT(Mecze[[#This Row],[/PR:90]:[/BR:90]],Brudnopis!$E$23:$J$23),0)</f>
        <v>0</v>
      </c>
      <c r="T3265" s="44">
        <f>IF(Mecze[[#This Row],[Role]]&lt;&gt;"BR",SUMPRODUCT(Mecze[[#This Row],[/PR:90]:[/BR:90]],Brudnopis!$E$24:$J$24),0)</f>
        <v>5.2083333333333329E-2</v>
      </c>
      <c r="U3265" s="44">
        <f>IF(Mecze[[#This Row],[Role]]&lt;&gt;"BR",SUMPRODUCT(Mecze[[#This Row],[/PR:90]:[/BR:90]],Brudnopis!$E$25:$J$25),0)</f>
        <v>5.7291666666666664E-2</v>
      </c>
      <c r="V3265" s="44">
        <f>IF(Mecze[[#This Row],[Role]]&lt;&gt;"BR",SUMPRODUCT(Mecze[[#This Row],[/PR:90]:[/BR:90]],Brudnopis!$E$26:$J$26),0)</f>
        <v>5.2083333333333329E-2</v>
      </c>
      <c r="W3265" s="44">
        <f>IF(Mecze[[#This Row],[Role]]&lt;&gt;"BR",SUMPRODUCT(Mecze[[#This Row],[/PR:90]:[/BR:90]],Brudnopis!$E$27:$J$27),0)</f>
        <v>5.7291666666666664E-2</v>
      </c>
      <c r="X3265" s="44">
        <f>IF(Mecze[[#This Row],[Role]]&lt;&gt;"BR",SUMPRODUCT(Mecze[[#This Row],[/PR:90]:[/BR:90]],Brudnopis!$E$28:$J$28),0)</f>
        <v>9.375E-2</v>
      </c>
      <c r="Y3265" s="35">
        <f>IF(Mecze[[#This Row],[Role]]="BR",Mecze[[#This Row],[/OB:90]]+Mecze[[#This Row],[/PC:90]],SUM(Mecze[[#This Row],[/PR:90]:[/BR:90]]))</f>
        <v>5.2083333333333329E-2</v>
      </c>
      <c r="Z3265" s="35">
        <f>IF(Mecze[[#This Row],[KC]]=0,SUM(Mecze[[#This Row],[/BRI]:[/NPI]]),SUM(Mecze[[#This Row],[/BRI]:[/NPI]])*0.6)</f>
        <v>0.3125</v>
      </c>
      <c r="AA3265" s="10">
        <f>IFERROR(Mecze[[#This Row],[BR]]/Mecze[[#This Row],[ST]],0)</f>
        <v>0</v>
      </c>
      <c r="AB3265">
        <f>ROUND(Mecze[[#This Row],[PD]]*Mecze[[#This Row],[%PC]],0)</f>
        <v>1</v>
      </c>
      <c r="AC3265">
        <f>ROUND(Mecze[[#This Row],[OD]]*Mecze[[#This Row],[%OU]],0)</f>
        <v>0</v>
      </c>
      <c r="AD3265" s="36" t="s">
        <v>46</v>
      </c>
      <c r="AE3265" s="36">
        <v>182</v>
      </c>
      <c r="AF3265" s="71">
        <v>4.8099999999999996</v>
      </c>
      <c r="AG3265" s="37">
        <v>0</v>
      </c>
      <c r="AH3265" s="37">
        <v>0</v>
      </c>
      <c r="AI3265" s="37">
        <v>96</v>
      </c>
      <c r="AJ3265" s="37">
        <v>6</v>
      </c>
      <c r="AK3265" s="37" t="str">
        <f>VLOOKUP(Mecze[[#This Row],[Match ID]],Meczusie[Mecz]:Meczusie[RodzajMeczu],2,FALSE)</f>
        <v>Liga</v>
      </c>
    </row>
    <row r="3266" spans="1:37" x14ac:dyDescent="0.25">
      <c r="A3266" s="76">
        <v>105</v>
      </c>
      <c r="B3266" s="3" t="s">
        <v>423</v>
      </c>
      <c r="C3266" s="2" t="s">
        <v>157</v>
      </c>
      <c r="D3266" s="1">
        <v>0</v>
      </c>
      <c r="E3266" s="1">
        <v>0</v>
      </c>
      <c r="F3266" s="1">
        <v>0</v>
      </c>
      <c r="G3266" s="1">
        <v>0</v>
      </c>
      <c r="H3266" s="72"/>
      <c r="I3266" s="1">
        <v>0</v>
      </c>
      <c r="J3266" s="4"/>
      <c r="K3266" s="1">
        <v>0</v>
      </c>
      <c r="L3266" s="1">
        <v>2</v>
      </c>
      <c r="M3266" s="32">
        <f>IF(Mecze[[#This Row],[PR]]=0,0,Mecze[[#This Row],[PR]]/Mecze[[#This Row],[CZAS]])</f>
        <v>0.33333333333333331</v>
      </c>
      <c r="N3266" s="32">
        <f>IF(Mecze[[#This Row],[OU]]=0,0,Mecze[[#This Row],[OU]]/Mecze[[#This Row],[CZAS]])</f>
        <v>0</v>
      </c>
      <c r="O3266" s="32">
        <f>IF(Mecze[[#This Row],[PC]]=0,0,Mecze[[#This Row],[PC]]/Mecze[[#This Row],[CZAS]])</f>
        <v>0</v>
      </c>
      <c r="P3266" s="32">
        <f>IF(Mecze[[#This Row],[SC]]=0,0,Mecze[[#This Row],[SC]]/Mecze[[#This Row],[CZAS]])</f>
        <v>0</v>
      </c>
      <c r="Q3266" s="32">
        <f>IF(Mecze[[#This Row],[OB]]=0,0,Mecze[[#This Row],[OB]]/Mecze[[#This Row],[CZAS]])</f>
        <v>0</v>
      </c>
      <c r="R3266" s="32">
        <f>IF(Mecze[[#This Row],[BR]]=0,0,Mecze[[#This Row],[BR]]/Mecze[[#This Row],[CZAS]])</f>
        <v>0</v>
      </c>
      <c r="S3266" s="44">
        <f>IF(Mecze[[#This Row],[Role]]="BR",SUMPRODUCT(Mecze[[#This Row],[/PR:90]:[/BR:90]],Brudnopis!$E$23:$J$23),0)</f>
        <v>0</v>
      </c>
      <c r="T3266" s="44">
        <f>IF(Mecze[[#This Row],[Role]]&lt;&gt;"BR",SUMPRODUCT(Mecze[[#This Row],[/PR:90]:[/BR:90]],Brudnopis!$E$24:$J$24),0)</f>
        <v>0.33333333333333331</v>
      </c>
      <c r="U3266" s="44">
        <f>IF(Mecze[[#This Row],[Role]]&lt;&gt;"BR",SUMPRODUCT(Mecze[[#This Row],[/PR:90]:[/BR:90]],Brudnopis!$E$25:$J$25),0)</f>
        <v>0.33333333333333331</v>
      </c>
      <c r="V3266" s="44">
        <f>IF(Mecze[[#This Row],[Role]]&lt;&gt;"BR",SUMPRODUCT(Mecze[[#This Row],[/PR:90]:[/BR:90]],Brudnopis!$E$26:$J$26),0)</f>
        <v>0.33333333333333331</v>
      </c>
      <c r="W3266" s="44">
        <f>IF(Mecze[[#This Row],[Role]]&lt;&gt;"BR",SUMPRODUCT(Mecze[[#This Row],[/PR:90]:[/BR:90]],Brudnopis!$E$27:$J$27),0)</f>
        <v>0.25</v>
      </c>
      <c r="X3266" s="44">
        <f>IF(Mecze[[#This Row],[Role]]&lt;&gt;"BR",SUMPRODUCT(Mecze[[#This Row],[/PR:90]:[/BR:90]],Brudnopis!$E$28:$J$28),0)</f>
        <v>0</v>
      </c>
      <c r="Y3266" s="35">
        <f>IF(Mecze[[#This Row],[Role]]="BR",Mecze[[#This Row],[/OB:90]]+Mecze[[#This Row],[/PC:90]],SUM(Mecze[[#This Row],[/PR:90]:[/BR:90]]))</f>
        <v>0.33333333333333331</v>
      </c>
      <c r="Z3266" s="35">
        <f>IF(Mecze[[#This Row],[KC]]=0,SUM(Mecze[[#This Row],[/BRI]:[/NPI]]),SUM(Mecze[[#This Row],[/BRI]:[/NPI]])*0.6)</f>
        <v>1.25</v>
      </c>
      <c r="AA3266" s="10">
        <f>IFERROR(Mecze[[#This Row],[BR]]/Mecze[[#This Row],[ST]],0)</f>
        <v>0</v>
      </c>
      <c r="AB3266">
        <f>ROUND(Mecze[[#This Row],[PD]]*Mecze[[#This Row],[%PC]],0)</f>
        <v>0</v>
      </c>
      <c r="AC3266">
        <f>ROUND(Mecze[[#This Row],[OD]]*Mecze[[#This Row],[%OU]],0)</f>
        <v>0</v>
      </c>
      <c r="AD3266" s="36" t="s">
        <v>167</v>
      </c>
      <c r="AE3266" s="36">
        <v>182</v>
      </c>
      <c r="AF3266" s="71">
        <v>1.03</v>
      </c>
      <c r="AG3266" s="37">
        <v>0</v>
      </c>
      <c r="AH3266" s="37">
        <v>0</v>
      </c>
      <c r="AI3266" s="37">
        <v>6</v>
      </c>
      <c r="AJ3266" s="37">
        <v>6</v>
      </c>
      <c r="AK3266" s="37" t="str">
        <f>VLOOKUP(Mecze[[#This Row],[Match ID]],Meczusie[Mecz]:Meczusie[RodzajMeczu],2,FALSE)</f>
        <v>Liga</v>
      </c>
    </row>
    <row r="3267" spans="1:37" x14ac:dyDescent="0.25">
      <c r="A3267" s="76">
        <v>9</v>
      </c>
      <c r="B3267" s="3" t="s">
        <v>258</v>
      </c>
      <c r="C3267" s="2" t="s">
        <v>160</v>
      </c>
      <c r="D3267" s="1">
        <v>0</v>
      </c>
      <c r="E3267" s="1">
        <v>0</v>
      </c>
      <c r="F3267" s="1">
        <v>0</v>
      </c>
      <c r="G3267" s="1">
        <v>1</v>
      </c>
      <c r="H3267" s="4">
        <v>1</v>
      </c>
      <c r="I3267" s="1">
        <v>1</v>
      </c>
      <c r="J3267" s="4">
        <v>0</v>
      </c>
      <c r="K3267" s="1">
        <v>0</v>
      </c>
      <c r="L3267" s="1">
        <v>0</v>
      </c>
      <c r="M3267" s="32">
        <f>IF(Mecze[[#This Row],[PR]]=0,0,Mecze[[#This Row],[PR]]/Mecze[[#This Row],[CZAS]])</f>
        <v>0</v>
      </c>
      <c r="N3267" s="32">
        <f>IF(Mecze[[#This Row],[OU]]=0,0,Mecze[[#This Row],[OU]]/Mecze[[#This Row],[CZAS]])</f>
        <v>0</v>
      </c>
      <c r="O3267" s="32">
        <f>IF(Mecze[[#This Row],[PC]]=0,0,Mecze[[#This Row],[PC]]/Mecze[[#This Row],[CZAS]])</f>
        <v>4.3478260869565216E-2</v>
      </c>
      <c r="P3267" s="32">
        <f>IF(Mecze[[#This Row],[SC]]=0,0,Mecze[[#This Row],[SC]]/Mecze[[#This Row],[CZAS]])</f>
        <v>0</v>
      </c>
      <c r="Q3267" s="32">
        <f>IF(Mecze[[#This Row],[OB]]=0,0,Mecze[[#This Row],[OB]]/Mecze[[#This Row],[CZAS]])</f>
        <v>0</v>
      </c>
      <c r="R3267" s="32">
        <f>IF(Mecze[[#This Row],[BR]]=0,0,Mecze[[#This Row],[BR]]/Mecze[[#This Row],[CZAS]])</f>
        <v>0</v>
      </c>
      <c r="S3267" s="44">
        <f>IF(Mecze[[#This Row],[Role]]="BR",SUMPRODUCT(Mecze[[#This Row],[/PR:90]:[/BR:90]],Brudnopis!$E$23:$J$23),0)</f>
        <v>0</v>
      </c>
      <c r="T3267" s="44">
        <f>IF(Mecze[[#This Row],[Role]]&lt;&gt;"BR",SUMPRODUCT(Mecze[[#This Row],[/PR:90]:[/BR:90]],Brudnopis!$E$24:$J$24),0)</f>
        <v>4.3478260869565216E-2</v>
      </c>
      <c r="U3267" s="44">
        <f>IF(Mecze[[#This Row],[Role]]&lt;&gt;"BR",SUMPRODUCT(Mecze[[#This Row],[/PR:90]:[/BR:90]],Brudnopis!$E$25:$J$25),0)</f>
        <v>6.5217391304347824E-2</v>
      </c>
      <c r="V3267" s="44">
        <f>IF(Mecze[[#This Row],[Role]]&lt;&gt;"BR",SUMPRODUCT(Mecze[[#This Row],[/PR:90]:[/BR:90]],Brudnopis!$E$26:$J$26),0)</f>
        <v>4.3478260869565216E-2</v>
      </c>
      <c r="W3267" s="44">
        <f>IF(Mecze[[#This Row],[Role]]&lt;&gt;"BR",SUMPRODUCT(Mecze[[#This Row],[/PR:90]:[/BR:90]],Brudnopis!$E$27:$J$27),0)</f>
        <v>6.5217391304347824E-2</v>
      </c>
      <c r="X3267" s="44">
        <f>IF(Mecze[[#This Row],[Role]]&lt;&gt;"BR",SUMPRODUCT(Mecze[[#This Row],[/PR:90]:[/BR:90]],Brudnopis!$E$28:$J$28),0)</f>
        <v>4.3478260869565216E-2</v>
      </c>
      <c r="Y3267" s="35">
        <f>IF(Mecze[[#This Row],[Role]]="BR",Mecze[[#This Row],[/OB:90]]+Mecze[[#This Row],[/PC:90]],SUM(Mecze[[#This Row],[/PR:90]:[/BR:90]]))</f>
        <v>4.3478260869565216E-2</v>
      </c>
      <c r="Z3267" s="35">
        <f>IF(Mecze[[#This Row],[KC]]=0,SUM(Mecze[[#This Row],[/BRI]:[/NPI]]),SUM(Mecze[[#This Row],[/BRI]:[/NPI]])*0.6)</f>
        <v>0.26086956521739135</v>
      </c>
      <c r="AA3267" s="10">
        <f>IFERROR(Mecze[[#This Row],[BR]]/Mecze[[#This Row],[ST]],0)</f>
        <v>0</v>
      </c>
      <c r="AB3267">
        <f>ROUND(Mecze[[#This Row],[PD]]*Mecze[[#This Row],[%PC]],0)</f>
        <v>1</v>
      </c>
      <c r="AC3267">
        <f>ROUND(Mecze[[#This Row],[OD]]*Mecze[[#This Row],[%OU]],0)</f>
        <v>0</v>
      </c>
      <c r="AD3267" s="36" t="s">
        <v>319</v>
      </c>
      <c r="AE3267" s="36">
        <v>182</v>
      </c>
      <c r="AF3267" s="71">
        <v>1.72</v>
      </c>
      <c r="AG3267" s="37">
        <v>0</v>
      </c>
      <c r="AH3267" s="37">
        <v>0</v>
      </c>
      <c r="AI3267" s="37">
        <v>23</v>
      </c>
      <c r="AJ3267" s="37">
        <v>6</v>
      </c>
      <c r="AK3267" s="37" t="str">
        <f>VLOOKUP(Mecze[[#This Row],[Match ID]],Meczusie[Mecz]:Meczusie[RodzajMeczu],2,FALSE)</f>
        <v>Liga</v>
      </c>
    </row>
    <row r="3268" spans="1:37" x14ac:dyDescent="0.25">
      <c r="A3268" s="76">
        <v>1</v>
      </c>
      <c r="B3268" s="3" t="s">
        <v>261</v>
      </c>
      <c r="C3268" s="2" t="s">
        <v>155</v>
      </c>
      <c r="D3268" s="1">
        <v>0</v>
      </c>
      <c r="E3268" s="1">
        <v>0</v>
      </c>
      <c r="F3268" s="1">
        <v>0</v>
      </c>
      <c r="G3268" s="1">
        <v>7</v>
      </c>
      <c r="H3268" s="4">
        <v>0.56999999999999995</v>
      </c>
      <c r="I3268" s="1">
        <v>0</v>
      </c>
      <c r="J3268" s="4"/>
      <c r="K3268" s="1">
        <v>4</v>
      </c>
      <c r="L3268" s="1">
        <v>0</v>
      </c>
      <c r="M3268" s="32">
        <f>IF(Mecze[[#This Row],[PR]]=0,0,Mecze[[#This Row],[PR]]/Mecze[[#This Row],[CZAS]])</f>
        <v>0</v>
      </c>
      <c r="N3268" s="32">
        <f>IF(Mecze[[#This Row],[OU]]=0,0,Mecze[[#This Row],[OU]]/Mecze[[#This Row],[CZAS]])</f>
        <v>0</v>
      </c>
      <c r="O3268" s="32">
        <f>IF(Mecze[[#This Row],[PC]]=0,0,Mecze[[#This Row],[PC]]/Mecze[[#This Row],[CZAS]])</f>
        <v>4.0404040404040407E-2</v>
      </c>
      <c r="P3268" s="32">
        <f>IF(Mecze[[#This Row],[SC]]=0,0,Mecze[[#This Row],[SC]]/Mecze[[#This Row],[CZAS]])</f>
        <v>0</v>
      </c>
      <c r="Q3268" s="32">
        <f>IF(Mecze[[#This Row],[OB]]=0,0,Mecze[[#This Row],[OB]]/Mecze[[#This Row],[CZAS]])</f>
        <v>4.0404040404040407E-2</v>
      </c>
      <c r="R3268" s="32">
        <f>IF(Mecze[[#This Row],[BR]]=0,0,Mecze[[#This Row],[BR]]/Mecze[[#This Row],[CZAS]])</f>
        <v>0</v>
      </c>
      <c r="S3268" s="44">
        <f>IF(Mecze[[#This Row],[Role]]="BR",SUMPRODUCT(Mecze[[#This Row],[/PR:90]:[/BR:90]],Brudnopis!$E$23:$J$23),0)</f>
        <v>0.24242424242424243</v>
      </c>
      <c r="T3268" s="44">
        <f>IF(Mecze[[#This Row],[Role]]&lt;&gt;"BR",SUMPRODUCT(Mecze[[#This Row],[/PR:90]:[/BR:90]],Brudnopis!$E$24:$J$24),0)</f>
        <v>0</v>
      </c>
      <c r="U3268" s="44">
        <f>IF(Mecze[[#This Row],[Role]]&lt;&gt;"BR",SUMPRODUCT(Mecze[[#This Row],[/PR:90]:[/BR:90]],Brudnopis!$E$25:$J$25),0)</f>
        <v>0</v>
      </c>
      <c r="V3268" s="44">
        <f>IF(Mecze[[#This Row],[Role]]&lt;&gt;"BR",SUMPRODUCT(Mecze[[#This Row],[/PR:90]:[/BR:90]],Brudnopis!$E$26:$J$26),0)</f>
        <v>0</v>
      </c>
      <c r="W3268" s="44">
        <f>IF(Mecze[[#This Row],[Role]]&lt;&gt;"BR",SUMPRODUCT(Mecze[[#This Row],[/PR:90]:[/BR:90]],Brudnopis!$E$27:$J$27),0)</f>
        <v>0</v>
      </c>
      <c r="X3268" s="44">
        <f>IF(Mecze[[#This Row],[Role]]&lt;&gt;"BR",SUMPRODUCT(Mecze[[#This Row],[/PR:90]:[/BR:90]],Brudnopis!$E$28:$J$28),0)</f>
        <v>0</v>
      </c>
      <c r="Y3268" s="35">
        <f>IF(Mecze[[#This Row],[Role]]="BR",Mecze[[#This Row],[/OB:90]]+Mecze[[#This Row],[/PC:90]],SUM(Mecze[[#This Row],[/PR:90]:[/BR:90]]))</f>
        <v>8.0808080808080815E-2</v>
      </c>
      <c r="Z3268" s="35">
        <f>IF(Mecze[[#This Row],[KC]]=0,SUM(Mecze[[#This Row],[/BRI]:[/NPI]]),SUM(Mecze[[#This Row],[/BRI]:[/NPI]])*0.6)</f>
        <v>0.24242424242424243</v>
      </c>
      <c r="AA3268" s="10">
        <f>IFERROR(Mecze[[#This Row],[BR]]/Mecze[[#This Row],[ST]],0)</f>
        <v>0</v>
      </c>
      <c r="AB3268">
        <f>ROUND(Mecze[[#This Row],[PD]]*Mecze[[#This Row],[%PC]],0)</f>
        <v>4</v>
      </c>
      <c r="AC3268">
        <f>ROUND(Mecze[[#This Row],[OD]]*Mecze[[#This Row],[%OU]],0)</f>
        <v>0</v>
      </c>
      <c r="AD3268" s="36" t="s">
        <v>40</v>
      </c>
      <c r="AE3268" s="36">
        <v>183</v>
      </c>
      <c r="AF3268" s="71">
        <v>9.66</v>
      </c>
      <c r="AG3268" s="37">
        <v>0</v>
      </c>
      <c r="AH3268" s="37">
        <v>0</v>
      </c>
      <c r="AI3268" s="37">
        <v>99</v>
      </c>
      <c r="AJ3268" s="37">
        <v>3</v>
      </c>
      <c r="AK3268" s="37" t="str">
        <f>VLOOKUP(Mecze[[#This Row],[Match ID]],Meczusie[Mecz]:Meczusie[RodzajMeczu],2,FALSE)</f>
        <v>Liga</v>
      </c>
    </row>
    <row r="3269" spans="1:37" x14ac:dyDescent="0.25">
      <c r="A3269" s="76">
        <v>13</v>
      </c>
      <c r="B3269" s="3" t="s">
        <v>262</v>
      </c>
      <c r="C3269" s="2" t="s">
        <v>157</v>
      </c>
      <c r="D3269" s="1">
        <v>0</v>
      </c>
      <c r="E3269" s="1">
        <v>0</v>
      </c>
      <c r="F3269" s="1">
        <v>0</v>
      </c>
      <c r="G3269" s="1">
        <v>4</v>
      </c>
      <c r="H3269" s="4">
        <v>0.75</v>
      </c>
      <c r="I3269" s="1">
        <v>0</v>
      </c>
      <c r="J3269" s="4"/>
      <c r="K3269" s="1">
        <v>0</v>
      </c>
      <c r="L3269" s="1">
        <v>0</v>
      </c>
      <c r="M3269" s="32">
        <f>IF(Mecze[[#This Row],[PR]]=0,0,Mecze[[#This Row],[PR]]/Mecze[[#This Row],[CZAS]])</f>
        <v>0</v>
      </c>
      <c r="N3269" s="32">
        <f>IF(Mecze[[#This Row],[OU]]=0,0,Mecze[[#This Row],[OU]]/Mecze[[#This Row],[CZAS]])</f>
        <v>0</v>
      </c>
      <c r="O3269" s="32">
        <f>IF(Mecze[[#This Row],[PC]]=0,0,Mecze[[#This Row],[PC]]/Mecze[[#This Row],[CZAS]])</f>
        <v>3.0303030303030304E-2</v>
      </c>
      <c r="P3269" s="32">
        <f>IF(Mecze[[#This Row],[SC]]=0,0,Mecze[[#This Row],[SC]]/Mecze[[#This Row],[CZAS]])</f>
        <v>0</v>
      </c>
      <c r="Q3269" s="32">
        <f>IF(Mecze[[#This Row],[OB]]=0,0,Mecze[[#This Row],[OB]]/Mecze[[#This Row],[CZAS]])</f>
        <v>0</v>
      </c>
      <c r="R3269" s="32">
        <f>IF(Mecze[[#This Row],[BR]]=0,0,Mecze[[#This Row],[BR]]/Mecze[[#This Row],[CZAS]])</f>
        <v>0</v>
      </c>
      <c r="S3269" s="44">
        <f>IF(Mecze[[#This Row],[Role]]="BR",SUMPRODUCT(Mecze[[#This Row],[/PR:90]:[/BR:90]],Brudnopis!$E$23:$J$23),0)</f>
        <v>0</v>
      </c>
      <c r="T3269" s="44">
        <f>IF(Mecze[[#This Row],[Role]]&lt;&gt;"BR",SUMPRODUCT(Mecze[[#This Row],[/PR:90]:[/BR:90]],Brudnopis!$E$24:$J$24),0)</f>
        <v>3.0303030303030304E-2</v>
      </c>
      <c r="U3269" s="44">
        <f>IF(Mecze[[#This Row],[Role]]&lt;&gt;"BR",SUMPRODUCT(Mecze[[#This Row],[/PR:90]:[/BR:90]],Brudnopis!$E$25:$J$25),0)</f>
        <v>4.5454545454545456E-2</v>
      </c>
      <c r="V3269" s="44">
        <f>IF(Mecze[[#This Row],[Role]]&lt;&gt;"BR",SUMPRODUCT(Mecze[[#This Row],[/PR:90]:[/BR:90]],Brudnopis!$E$26:$J$26),0)</f>
        <v>3.0303030303030304E-2</v>
      </c>
      <c r="W3269" s="44">
        <f>IF(Mecze[[#This Row],[Role]]&lt;&gt;"BR",SUMPRODUCT(Mecze[[#This Row],[/PR:90]:[/BR:90]],Brudnopis!$E$27:$J$27),0)</f>
        <v>4.5454545454545456E-2</v>
      </c>
      <c r="X3269" s="44">
        <f>IF(Mecze[[#This Row],[Role]]&lt;&gt;"BR",SUMPRODUCT(Mecze[[#This Row],[/PR:90]:[/BR:90]],Brudnopis!$E$28:$J$28),0)</f>
        <v>3.0303030303030304E-2</v>
      </c>
      <c r="Y3269" s="35">
        <f>IF(Mecze[[#This Row],[Role]]="BR",Mecze[[#This Row],[/OB:90]]+Mecze[[#This Row],[/PC:90]],SUM(Mecze[[#This Row],[/PR:90]:[/BR:90]]))</f>
        <v>3.0303030303030304E-2</v>
      </c>
      <c r="Z3269" s="35">
        <f>IF(Mecze[[#This Row],[KC]]=0,SUM(Mecze[[#This Row],[/BRI]:[/NPI]]),SUM(Mecze[[#This Row],[/BRI]:[/NPI]])*0.6)</f>
        <v>0.18181818181818182</v>
      </c>
      <c r="AA3269" s="10">
        <f>IFERROR(Mecze[[#This Row],[BR]]/Mecze[[#This Row],[ST]],0)</f>
        <v>0</v>
      </c>
      <c r="AB3269">
        <f>ROUND(Mecze[[#This Row],[PD]]*Mecze[[#This Row],[%PC]],0)</f>
        <v>3</v>
      </c>
      <c r="AC3269">
        <f>ROUND(Mecze[[#This Row],[OD]]*Mecze[[#This Row],[%OU]],0)</f>
        <v>0</v>
      </c>
      <c r="AD3269" s="36" t="s">
        <v>175</v>
      </c>
      <c r="AE3269" s="36">
        <v>183</v>
      </c>
      <c r="AF3269" s="71">
        <v>7.04</v>
      </c>
      <c r="AG3269" s="37">
        <v>0</v>
      </c>
      <c r="AH3269" s="37">
        <v>0</v>
      </c>
      <c r="AI3269" s="37">
        <v>99</v>
      </c>
      <c r="AJ3269" s="37">
        <v>3</v>
      </c>
      <c r="AK3269" s="37" t="str">
        <f>VLOOKUP(Mecze[[#This Row],[Match ID]],Meczusie[Mecz]:Meczusie[RodzajMeczu],2,FALSE)</f>
        <v>Liga</v>
      </c>
    </row>
    <row r="3270" spans="1:37" x14ac:dyDescent="0.25">
      <c r="A3270" s="76">
        <v>4</v>
      </c>
      <c r="B3270" s="3" t="s">
        <v>264</v>
      </c>
      <c r="C3270" s="2" t="s">
        <v>157</v>
      </c>
      <c r="D3270" s="1">
        <v>0</v>
      </c>
      <c r="E3270" s="1">
        <v>0</v>
      </c>
      <c r="F3270" s="1">
        <v>0</v>
      </c>
      <c r="G3270" s="1">
        <v>7</v>
      </c>
      <c r="H3270" s="4">
        <v>1</v>
      </c>
      <c r="I3270" s="1">
        <v>3</v>
      </c>
      <c r="J3270" s="4">
        <v>0.33</v>
      </c>
      <c r="K3270" s="1">
        <v>0</v>
      </c>
      <c r="L3270" s="1">
        <v>4</v>
      </c>
      <c r="M3270" s="32">
        <f>IF(Mecze[[#This Row],[PR]]=0,0,Mecze[[#This Row],[PR]]/Mecze[[#This Row],[CZAS]])</f>
        <v>4.0404040404040407E-2</v>
      </c>
      <c r="N3270" s="32">
        <f>IF(Mecze[[#This Row],[OU]]=0,0,Mecze[[#This Row],[OU]]/Mecze[[#This Row],[CZAS]])</f>
        <v>1.0101010101010102E-2</v>
      </c>
      <c r="O3270" s="32">
        <f>IF(Mecze[[#This Row],[PC]]=0,0,Mecze[[#This Row],[PC]]/Mecze[[#This Row],[CZAS]])</f>
        <v>7.0707070707070704E-2</v>
      </c>
      <c r="P3270" s="32">
        <f>IF(Mecze[[#This Row],[SC]]=0,0,Mecze[[#This Row],[SC]]/Mecze[[#This Row],[CZAS]])</f>
        <v>0</v>
      </c>
      <c r="Q3270" s="32">
        <f>IF(Mecze[[#This Row],[OB]]=0,0,Mecze[[#This Row],[OB]]/Mecze[[#This Row],[CZAS]])</f>
        <v>0</v>
      </c>
      <c r="R3270" s="32">
        <f>IF(Mecze[[#This Row],[BR]]=0,0,Mecze[[#This Row],[BR]]/Mecze[[#This Row],[CZAS]])</f>
        <v>0</v>
      </c>
      <c r="S3270" s="44">
        <f>IF(Mecze[[#This Row],[Role]]="BR",SUMPRODUCT(Mecze[[#This Row],[/PR:90]:[/BR:90]],Brudnopis!$E$23:$J$23),0)</f>
        <v>0</v>
      </c>
      <c r="T3270" s="44">
        <f>IF(Mecze[[#This Row],[Role]]&lt;&gt;"BR",SUMPRODUCT(Mecze[[#This Row],[/PR:90]:[/BR:90]],Brudnopis!$E$24:$J$24),0)</f>
        <v>0.12626262626262627</v>
      </c>
      <c r="U3270" s="44">
        <f>IF(Mecze[[#This Row],[Role]]&lt;&gt;"BR",SUMPRODUCT(Mecze[[#This Row],[/PR:90]:[/BR:90]],Brudnopis!$E$25:$J$25),0)</f>
        <v>0.15656565656565657</v>
      </c>
      <c r="V3270" s="44">
        <f>IF(Mecze[[#This Row],[Role]]&lt;&gt;"BR",SUMPRODUCT(Mecze[[#This Row],[/PR:90]:[/BR:90]],Brudnopis!$E$26:$J$26),0)</f>
        <v>0.12121212121212122</v>
      </c>
      <c r="W3270" s="44">
        <f>IF(Mecze[[#This Row],[Role]]&lt;&gt;"BR",SUMPRODUCT(Mecze[[#This Row],[/PR:90]:[/BR:90]],Brudnopis!$E$27:$J$27),0)</f>
        <v>0.14393939393939392</v>
      </c>
      <c r="X3270" s="44">
        <f>IF(Mecze[[#This Row],[Role]]&lt;&gt;"BR",SUMPRODUCT(Mecze[[#This Row],[/PR:90]:[/BR:90]],Brudnopis!$E$28:$J$28),0)</f>
        <v>7.0707070707070704E-2</v>
      </c>
      <c r="Y3270" s="35">
        <f>IF(Mecze[[#This Row],[Role]]="BR",Mecze[[#This Row],[/OB:90]]+Mecze[[#This Row],[/PC:90]],SUM(Mecze[[#This Row],[/PR:90]:[/BR:90]]))</f>
        <v>0.12121212121212122</v>
      </c>
      <c r="Z3270" s="35">
        <f>IF(Mecze[[#This Row],[KC]]=0,SUM(Mecze[[#This Row],[/BRI]:[/NPI]]),SUM(Mecze[[#This Row],[/BRI]:[/NPI]])*0.6)</f>
        <v>0.61868686868686873</v>
      </c>
      <c r="AA3270" s="10">
        <f>IFERROR(Mecze[[#This Row],[BR]]/Mecze[[#This Row],[ST]],0)</f>
        <v>0</v>
      </c>
      <c r="AB3270">
        <f>ROUND(Mecze[[#This Row],[PD]]*Mecze[[#This Row],[%PC]],0)</f>
        <v>7</v>
      </c>
      <c r="AC3270">
        <f>ROUND(Mecze[[#This Row],[OD]]*Mecze[[#This Row],[%OU]],0)</f>
        <v>1</v>
      </c>
      <c r="AD3270" s="36" t="s">
        <v>47</v>
      </c>
      <c r="AE3270" s="36">
        <v>183</v>
      </c>
      <c r="AF3270" s="71">
        <v>7.88</v>
      </c>
      <c r="AG3270" s="37">
        <v>0</v>
      </c>
      <c r="AH3270" s="37">
        <v>0</v>
      </c>
      <c r="AI3270" s="37">
        <v>99</v>
      </c>
      <c r="AJ3270" s="37">
        <v>3</v>
      </c>
      <c r="AK3270" s="37" t="str">
        <f>VLOOKUP(Mecze[[#This Row],[Match ID]],Meczusie[Mecz]:Meczusie[RodzajMeczu],2,FALSE)</f>
        <v>Liga</v>
      </c>
    </row>
    <row r="3271" spans="1:37" x14ac:dyDescent="0.25">
      <c r="A3271" s="76">
        <v>57</v>
      </c>
      <c r="B3271" s="3" t="s">
        <v>516</v>
      </c>
      <c r="C3271" s="2" t="s">
        <v>157</v>
      </c>
      <c r="D3271" s="1">
        <v>0</v>
      </c>
      <c r="E3271" s="1">
        <v>0</v>
      </c>
      <c r="F3271" s="1">
        <v>0</v>
      </c>
      <c r="G3271" s="1">
        <v>5</v>
      </c>
      <c r="H3271" s="4">
        <v>0.6</v>
      </c>
      <c r="I3271" s="1">
        <v>2</v>
      </c>
      <c r="J3271" s="4">
        <v>0.5</v>
      </c>
      <c r="K3271" s="1">
        <v>0</v>
      </c>
      <c r="L3271" s="1">
        <v>3</v>
      </c>
      <c r="M3271" s="32">
        <f>IF(Mecze[[#This Row],[PR]]=0,0,Mecze[[#This Row],[PR]]/Mecze[[#This Row],[CZAS]])</f>
        <v>3.0303030303030304E-2</v>
      </c>
      <c r="N3271" s="32">
        <f>IF(Mecze[[#This Row],[OU]]=0,0,Mecze[[#This Row],[OU]]/Mecze[[#This Row],[CZAS]])</f>
        <v>1.0101010101010102E-2</v>
      </c>
      <c r="O3271" s="32">
        <f>IF(Mecze[[#This Row],[PC]]=0,0,Mecze[[#This Row],[PC]]/Mecze[[#This Row],[CZAS]])</f>
        <v>3.0303030303030304E-2</v>
      </c>
      <c r="P3271" s="32">
        <f>IF(Mecze[[#This Row],[SC]]=0,0,Mecze[[#This Row],[SC]]/Mecze[[#This Row],[CZAS]])</f>
        <v>0</v>
      </c>
      <c r="Q3271" s="32">
        <f>IF(Mecze[[#This Row],[OB]]=0,0,Mecze[[#This Row],[OB]]/Mecze[[#This Row],[CZAS]])</f>
        <v>0</v>
      </c>
      <c r="R3271" s="32">
        <f>IF(Mecze[[#This Row],[BR]]=0,0,Mecze[[#This Row],[BR]]/Mecze[[#This Row],[CZAS]])</f>
        <v>0</v>
      </c>
      <c r="S3271" s="44">
        <f>IF(Mecze[[#This Row],[Role]]="BR",SUMPRODUCT(Mecze[[#This Row],[/PR:90]:[/BR:90]],Brudnopis!$E$23:$J$23),0)</f>
        <v>0</v>
      </c>
      <c r="T3271" s="44">
        <f>IF(Mecze[[#This Row],[Role]]&lt;&gt;"BR",SUMPRODUCT(Mecze[[#This Row],[/PR:90]:[/BR:90]],Brudnopis!$E$24:$J$24),0)</f>
        <v>7.575757575757576E-2</v>
      </c>
      <c r="U3271" s="44">
        <f>IF(Mecze[[#This Row],[Role]]&lt;&gt;"BR",SUMPRODUCT(Mecze[[#This Row],[/PR:90]:[/BR:90]],Brudnopis!$E$25:$J$25),0)</f>
        <v>8.5858585858585856E-2</v>
      </c>
      <c r="V3271" s="44">
        <f>IF(Mecze[[#This Row],[Role]]&lt;&gt;"BR",SUMPRODUCT(Mecze[[#This Row],[/PR:90]:[/BR:90]],Brudnopis!$E$26:$J$26),0)</f>
        <v>7.0707070707070718E-2</v>
      </c>
      <c r="W3271" s="44">
        <f>IF(Mecze[[#This Row],[Role]]&lt;&gt;"BR",SUMPRODUCT(Mecze[[#This Row],[/PR:90]:[/BR:90]],Brudnopis!$E$27:$J$27),0)</f>
        <v>7.575757575757576E-2</v>
      </c>
      <c r="X3271" s="44">
        <f>IF(Mecze[[#This Row],[Role]]&lt;&gt;"BR",SUMPRODUCT(Mecze[[#This Row],[/PR:90]:[/BR:90]],Brudnopis!$E$28:$J$28),0)</f>
        <v>3.0303030303030304E-2</v>
      </c>
      <c r="Y3271" s="35">
        <f>IF(Mecze[[#This Row],[Role]]="BR",Mecze[[#This Row],[/OB:90]]+Mecze[[#This Row],[/PC:90]],SUM(Mecze[[#This Row],[/PR:90]:[/BR:90]]))</f>
        <v>7.0707070707070718E-2</v>
      </c>
      <c r="Z3271" s="35">
        <f>IF(Mecze[[#This Row],[KC]]=0,SUM(Mecze[[#This Row],[/BRI]:[/NPI]]),SUM(Mecze[[#This Row],[/BRI]:[/NPI]])*0.6)</f>
        <v>0.33838383838383834</v>
      </c>
      <c r="AA3271" s="10">
        <f>IFERROR(Mecze[[#This Row],[BR]]/Mecze[[#This Row],[ST]],0)</f>
        <v>0</v>
      </c>
      <c r="AB3271">
        <f>ROUND(Mecze[[#This Row],[PD]]*Mecze[[#This Row],[%PC]],0)</f>
        <v>3</v>
      </c>
      <c r="AC3271">
        <f>ROUND(Mecze[[#This Row],[OD]]*Mecze[[#This Row],[%OU]],0)</f>
        <v>1</v>
      </c>
      <c r="AD3271" s="36" t="s">
        <v>174</v>
      </c>
      <c r="AE3271" s="36">
        <v>183</v>
      </c>
      <c r="AF3271" s="71">
        <v>7.67</v>
      </c>
      <c r="AG3271" s="37">
        <v>0</v>
      </c>
      <c r="AH3271" s="37">
        <v>0</v>
      </c>
      <c r="AI3271" s="37">
        <v>99</v>
      </c>
      <c r="AJ3271" s="37">
        <v>3</v>
      </c>
      <c r="AK3271" s="37" t="str">
        <f>VLOOKUP(Mecze[[#This Row],[Match ID]],Meczusie[Mecz]:Meczusie[RodzajMeczu],2,FALSE)</f>
        <v>Liga</v>
      </c>
    </row>
    <row r="3272" spans="1:37" x14ac:dyDescent="0.25">
      <c r="A3272" s="76">
        <v>2</v>
      </c>
      <c r="B3272" s="3" t="s">
        <v>265</v>
      </c>
      <c r="C3272" s="2" t="s">
        <v>157</v>
      </c>
      <c r="D3272" s="1">
        <v>0</v>
      </c>
      <c r="E3272" s="1">
        <v>0</v>
      </c>
      <c r="F3272" s="1">
        <v>0</v>
      </c>
      <c r="G3272" s="1">
        <v>11</v>
      </c>
      <c r="H3272" s="4">
        <v>0.91</v>
      </c>
      <c r="I3272" s="1">
        <v>6</v>
      </c>
      <c r="J3272" s="4">
        <v>0.83</v>
      </c>
      <c r="K3272" s="1">
        <v>0</v>
      </c>
      <c r="L3272" s="1">
        <v>5</v>
      </c>
      <c r="M3272" s="32">
        <f>IF(Mecze[[#This Row],[PR]]=0,0,Mecze[[#This Row],[PR]]/Mecze[[#This Row],[CZAS]])</f>
        <v>5.0505050505050504E-2</v>
      </c>
      <c r="N3272" s="32">
        <f>IF(Mecze[[#This Row],[OU]]=0,0,Mecze[[#This Row],[OU]]/Mecze[[#This Row],[CZAS]])</f>
        <v>5.0505050505050504E-2</v>
      </c>
      <c r="O3272" s="32">
        <f>IF(Mecze[[#This Row],[PC]]=0,0,Mecze[[#This Row],[PC]]/Mecze[[#This Row],[CZAS]])</f>
        <v>0.10101010101010101</v>
      </c>
      <c r="P3272" s="32">
        <f>IF(Mecze[[#This Row],[SC]]=0,0,Mecze[[#This Row],[SC]]/Mecze[[#This Row],[CZAS]])</f>
        <v>0</v>
      </c>
      <c r="Q3272" s="32">
        <f>IF(Mecze[[#This Row],[OB]]=0,0,Mecze[[#This Row],[OB]]/Mecze[[#This Row],[CZAS]])</f>
        <v>0</v>
      </c>
      <c r="R3272" s="32">
        <f>IF(Mecze[[#This Row],[BR]]=0,0,Mecze[[#This Row],[BR]]/Mecze[[#This Row],[CZAS]])</f>
        <v>0</v>
      </c>
      <c r="S3272" s="44">
        <f>IF(Mecze[[#This Row],[Role]]="BR",SUMPRODUCT(Mecze[[#This Row],[/PR:90]:[/BR:90]],Brudnopis!$E$23:$J$23),0)</f>
        <v>0</v>
      </c>
      <c r="T3272" s="44">
        <f>IF(Mecze[[#This Row],[Role]]&lt;&gt;"BR",SUMPRODUCT(Mecze[[#This Row],[/PR:90]:[/BR:90]],Brudnopis!$E$24:$J$24),0)</f>
        <v>0.22727272727272729</v>
      </c>
      <c r="U3272" s="44">
        <f>IF(Mecze[[#This Row],[Role]]&lt;&gt;"BR",SUMPRODUCT(Mecze[[#This Row],[/PR:90]:[/BR:90]],Brudnopis!$E$25:$J$25),0)</f>
        <v>0.25252525252525254</v>
      </c>
      <c r="V3272" s="44">
        <f>IF(Mecze[[#This Row],[Role]]&lt;&gt;"BR",SUMPRODUCT(Mecze[[#This Row],[/PR:90]:[/BR:90]],Brudnopis!$E$26:$J$26),0)</f>
        <v>0.20202020202020202</v>
      </c>
      <c r="W3272" s="44">
        <f>IF(Mecze[[#This Row],[Role]]&lt;&gt;"BR",SUMPRODUCT(Mecze[[#This Row],[/PR:90]:[/BR:90]],Brudnopis!$E$27:$J$27),0)</f>
        <v>0.22727272727272729</v>
      </c>
      <c r="X3272" s="44">
        <f>IF(Mecze[[#This Row],[Role]]&lt;&gt;"BR",SUMPRODUCT(Mecze[[#This Row],[/PR:90]:[/BR:90]],Brudnopis!$E$28:$J$28),0)</f>
        <v>0.10101010101010101</v>
      </c>
      <c r="Y3272" s="35">
        <f>IF(Mecze[[#This Row],[Role]]="BR",Mecze[[#This Row],[/OB:90]]+Mecze[[#This Row],[/PC:90]],SUM(Mecze[[#This Row],[/PR:90]:[/BR:90]]))</f>
        <v>0.20202020202020202</v>
      </c>
      <c r="Z3272" s="35">
        <f>IF(Mecze[[#This Row],[KC]]=0,SUM(Mecze[[#This Row],[/BRI]:[/NPI]]),SUM(Mecze[[#This Row],[/BRI]:[/NPI]])*0.6)</f>
        <v>1.0101010101010102</v>
      </c>
      <c r="AA3272" s="10">
        <f>IFERROR(Mecze[[#This Row],[BR]]/Mecze[[#This Row],[ST]],0)</f>
        <v>0</v>
      </c>
      <c r="AB3272">
        <f>ROUND(Mecze[[#This Row],[PD]]*Mecze[[#This Row],[%PC]],0)</f>
        <v>10</v>
      </c>
      <c r="AC3272">
        <f>ROUND(Mecze[[#This Row],[OD]]*Mecze[[#This Row],[%OU]],0)</f>
        <v>5</v>
      </c>
      <c r="AD3272" s="36" t="s">
        <v>47</v>
      </c>
      <c r="AE3272" s="36">
        <v>183</v>
      </c>
      <c r="AF3272" s="71">
        <v>10.41</v>
      </c>
      <c r="AG3272" s="37">
        <v>0</v>
      </c>
      <c r="AH3272" s="37">
        <v>0</v>
      </c>
      <c r="AI3272" s="37">
        <v>99</v>
      </c>
      <c r="AJ3272" s="37">
        <v>3</v>
      </c>
      <c r="AK3272" s="37" t="str">
        <f>VLOOKUP(Mecze[[#This Row],[Match ID]],Meczusie[Mecz]:Meczusie[RodzajMeczu],2,FALSE)</f>
        <v>Liga</v>
      </c>
    </row>
    <row r="3273" spans="1:37" x14ac:dyDescent="0.25">
      <c r="A3273" s="76">
        <v>7</v>
      </c>
      <c r="B3273" s="3" t="s">
        <v>509</v>
      </c>
      <c r="C3273" s="2" t="s">
        <v>160</v>
      </c>
      <c r="D3273" s="1">
        <v>1</v>
      </c>
      <c r="E3273" s="1">
        <v>2</v>
      </c>
      <c r="F3273" s="1">
        <v>2</v>
      </c>
      <c r="G3273" s="1">
        <v>13</v>
      </c>
      <c r="H3273" s="4">
        <v>0.69</v>
      </c>
      <c r="I3273" s="1">
        <v>7</v>
      </c>
      <c r="J3273" s="4">
        <v>0.71</v>
      </c>
      <c r="K3273" s="1">
        <v>0</v>
      </c>
      <c r="L3273" s="1">
        <v>3</v>
      </c>
      <c r="M3273" s="32">
        <f>IF(Mecze[[#This Row],[PR]]=0,0,Mecze[[#This Row],[PR]]/Mecze[[#This Row],[CZAS]])</f>
        <v>3.0303030303030304E-2</v>
      </c>
      <c r="N3273" s="32">
        <f>IF(Mecze[[#This Row],[OU]]=0,0,Mecze[[#This Row],[OU]]/Mecze[[#This Row],[CZAS]])</f>
        <v>5.0505050505050504E-2</v>
      </c>
      <c r="O3273" s="32">
        <f>IF(Mecze[[#This Row],[PC]]=0,0,Mecze[[#This Row],[PC]]/Mecze[[#This Row],[CZAS]])</f>
        <v>9.0909090909090912E-2</v>
      </c>
      <c r="P3273" s="32">
        <f>IF(Mecze[[#This Row],[SC]]=0,0,Mecze[[#This Row],[SC]]/Mecze[[#This Row],[CZAS]])</f>
        <v>2.0202020202020204E-2</v>
      </c>
      <c r="Q3273" s="32">
        <f>IF(Mecze[[#This Row],[OB]]=0,0,Mecze[[#This Row],[OB]]/Mecze[[#This Row],[CZAS]])</f>
        <v>0</v>
      </c>
      <c r="R3273" s="32">
        <f>IF(Mecze[[#This Row],[BR]]=0,0,Mecze[[#This Row],[BR]]/Mecze[[#This Row],[CZAS]])</f>
        <v>1.0101010101010102E-2</v>
      </c>
      <c r="S3273" s="44">
        <f>IF(Mecze[[#This Row],[Role]]="BR",SUMPRODUCT(Mecze[[#This Row],[/PR:90]:[/BR:90]],Brudnopis!$E$23:$J$23),0)</f>
        <v>0</v>
      </c>
      <c r="T3273" s="44">
        <f>IF(Mecze[[#This Row],[Role]]&lt;&gt;"BR",SUMPRODUCT(Mecze[[#This Row],[/PR:90]:[/BR:90]],Brudnopis!$E$24:$J$24),0)</f>
        <v>0.23232323232323232</v>
      </c>
      <c r="U3273" s="44">
        <f>IF(Mecze[[#This Row],[Role]]&lt;&gt;"BR",SUMPRODUCT(Mecze[[#This Row],[/PR:90]:[/BR:90]],Brudnopis!$E$25:$J$25),0)</f>
        <v>0.25252525252525249</v>
      </c>
      <c r="V3273" s="44">
        <f>IF(Mecze[[#This Row],[Role]]&lt;&gt;"BR",SUMPRODUCT(Mecze[[#This Row],[/PR:90]:[/BR:90]],Brudnopis!$E$26:$J$26),0)</f>
        <v>0.2121212121212121</v>
      </c>
      <c r="W3273" s="44">
        <f>IF(Mecze[[#This Row],[Role]]&lt;&gt;"BR",SUMPRODUCT(Mecze[[#This Row],[/PR:90]:[/BR:90]],Brudnopis!$E$27:$J$27),0)</f>
        <v>0.23737373737373735</v>
      </c>
      <c r="X3273" s="44">
        <f>IF(Mecze[[#This Row],[Role]]&lt;&gt;"BR",SUMPRODUCT(Mecze[[#This Row],[/PR:90]:[/BR:90]],Brudnopis!$E$28:$J$28),0)</f>
        <v>0.16161616161616163</v>
      </c>
      <c r="Y3273" s="35">
        <f>IF(Mecze[[#This Row],[Role]]="BR",Mecze[[#This Row],[/OB:90]]+Mecze[[#This Row],[/PC:90]],SUM(Mecze[[#This Row],[/PR:90]:[/BR:90]]))</f>
        <v>0.20202020202020202</v>
      </c>
      <c r="Z3273" s="35">
        <f>IF(Mecze[[#This Row],[KC]]=0,SUM(Mecze[[#This Row],[/BRI]:[/NPI]]),SUM(Mecze[[#This Row],[/BRI]:[/NPI]])*0.6)</f>
        <v>1.0959595959595958</v>
      </c>
      <c r="AA3273" s="10">
        <f>IFERROR(Mecze[[#This Row],[BR]]/Mecze[[#This Row],[ST]],0)</f>
        <v>0.5</v>
      </c>
      <c r="AB3273">
        <f>ROUND(Mecze[[#This Row],[PD]]*Mecze[[#This Row],[%PC]],0)</f>
        <v>9</v>
      </c>
      <c r="AC3273">
        <f>ROUND(Mecze[[#This Row],[OD]]*Mecze[[#This Row],[%OU]],0)</f>
        <v>5</v>
      </c>
      <c r="AD3273" s="36" t="s">
        <v>67</v>
      </c>
      <c r="AE3273" s="36">
        <v>183</v>
      </c>
      <c r="AF3273" s="71">
        <v>11.45</v>
      </c>
      <c r="AG3273" s="37">
        <v>0</v>
      </c>
      <c r="AH3273" s="37">
        <v>0</v>
      </c>
      <c r="AI3273" s="37">
        <v>99</v>
      </c>
      <c r="AJ3273" s="37">
        <v>3</v>
      </c>
      <c r="AK3273" s="37" t="str">
        <f>VLOOKUP(Mecze[[#This Row],[Match ID]],Meczusie[Mecz]:Meczusie[RodzajMeczu],2,FALSE)</f>
        <v>Liga</v>
      </c>
    </row>
    <row r="3274" spans="1:37" x14ac:dyDescent="0.25">
      <c r="A3274" s="76">
        <v>5</v>
      </c>
      <c r="B3274" s="3" t="s">
        <v>267</v>
      </c>
      <c r="C3274" s="2" t="s">
        <v>160</v>
      </c>
      <c r="D3274" s="1">
        <v>1</v>
      </c>
      <c r="E3274" s="1">
        <v>1</v>
      </c>
      <c r="F3274" s="1">
        <v>1</v>
      </c>
      <c r="G3274" s="1">
        <v>12</v>
      </c>
      <c r="H3274" s="4">
        <v>0.83</v>
      </c>
      <c r="I3274" s="1">
        <v>2</v>
      </c>
      <c r="J3274" s="4">
        <v>0.5</v>
      </c>
      <c r="K3274" s="1">
        <v>0</v>
      </c>
      <c r="L3274" s="1">
        <v>8</v>
      </c>
      <c r="M3274" s="32">
        <f>IF(Mecze[[#This Row],[PR]]=0,0,Mecze[[#This Row],[PR]]/Mecze[[#This Row],[CZAS]])</f>
        <v>8.0808080808080815E-2</v>
      </c>
      <c r="N3274" s="32">
        <f>IF(Mecze[[#This Row],[OU]]=0,0,Mecze[[#This Row],[OU]]/Mecze[[#This Row],[CZAS]])</f>
        <v>1.0101010101010102E-2</v>
      </c>
      <c r="O3274" s="32">
        <f>IF(Mecze[[#This Row],[PC]]=0,0,Mecze[[#This Row],[PC]]/Mecze[[#This Row],[CZAS]])</f>
        <v>0.10101010101010101</v>
      </c>
      <c r="P3274" s="32">
        <f>IF(Mecze[[#This Row],[SC]]=0,0,Mecze[[#This Row],[SC]]/Mecze[[#This Row],[CZAS]])</f>
        <v>1.0101010101010102E-2</v>
      </c>
      <c r="Q3274" s="32">
        <f>IF(Mecze[[#This Row],[OB]]=0,0,Mecze[[#This Row],[OB]]/Mecze[[#This Row],[CZAS]])</f>
        <v>0</v>
      </c>
      <c r="R3274" s="32">
        <f>IF(Mecze[[#This Row],[BR]]=0,0,Mecze[[#This Row],[BR]]/Mecze[[#This Row],[CZAS]])</f>
        <v>1.0101010101010102E-2</v>
      </c>
      <c r="S3274" s="44">
        <f>IF(Mecze[[#This Row],[Role]]="BR",SUMPRODUCT(Mecze[[#This Row],[/PR:90]:[/BR:90]],Brudnopis!$E$23:$J$23),0)</f>
        <v>0</v>
      </c>
      <c r="T3274" s="44">
        <f>IF(Mecze[[#This Row],[Role]]&lt;&gt;"BR",SUMPRODUCT(Mecze[[#This Row],[/PR:90]:[/BR:90]],Brudnopis!$E$24:$J$24),0)</f>
        <v>0.22222222222222221</v>
      </c>
      <c r="U3274" s="44">
        <f>IF(Mecze[[#This Row],[Role]]&lt;&gt;"BR",SUMPRODUCT(Mecze[[#This Row],[/PR:90]:[/BR:90]],Brudnopis!$E$25:$J$25),0)</f>
        <v>0.26767676767676768</v>
      </c>
      <c r="V3274" s="44">
        <f>IF(Mecze[[#This Row],[Role]]&lt;&gt;"BR",SUMPRODUCT(Mecze[[#This Row],[/PR:90]:[/BR:90]],Brudnopis!$E$26:$J$26),0)</f>
        <v>0.22222222222222224</v>
      </c>
      <c r="W3274" s="44">
        <f>IF(Mecze[[#This Row],[Role]]&lt;&gt;"BR",SUMPRODUCT(Mecze[[#This Row],[/PR:90]:[/BR:90]],Brudnopis!$E$27:$J$27),0)</f>
        <v>0.25</v>
      </c>
      <c r="X3274" s="44">
        <f>IF(Mecze[[#This Row],[Role]]&lt;&gt;"BR",SUMPRODUCT(Mecze[[#This Row],[/PR:90]:[/BR:90]],Brudnopis!$E$28:$J$28),0)</f>
        <v>0.15151515151515152</v>
      </c>
      <c r="Y3274" s="35">
        <f>IF(Mecze[[#This Row],[Role]]="BR",Mecze[[#This Row],[/OB:90]]+Mecze[[#This Row],[/PC:90]],SUM(Mecze[[#This Row],[/PR:90]:[/BR:90]]))</f>
        <v>0.21212121212121215</v>
      </c>
      <c r="Z3274" s="35">
        <f>IF(Mecze[[#This Row],[KC]]=0,SUM(Mecze[[#This Row],[/BRI]:[/NPI]]),SUM(Mecze[[#This Row],[/BRI]:[/NPI]])*0.6)</f>
        <v>1.1136363636363638</v>
      </c>
      <c r="AA3274" s="10">
        <f>IFERROR(Mecze[[#This Row],[BR]]/Mecze[[#This Row],[ST]],0)</f>
        <v>1</v>
      </c>
      <c r="AB3274">
        <f>ROUND(Mecze[[#This Row],[PD]]*Mecze[[#This Row],[%PC]],0)</f>
        <v>10</v>
      </c>
      <c r="AC3274">
        <f>ROUND(Mecze[[#This Row],[OD]]*Mecze[[#This Row],[%OU]],0)</f>
        <v>1</v>
      </c>
      <c r="AD3274" s="36" t="s">
        <v>67</v>
      </c>
      <c r="AE3274" s="36">
        <v>183</v>
      </c>
      <c r="AF3274" s="71">
        <v>13.18</v>
      </c>
      <c r="AG3274" s="37">
        <v>0</v>
      </c>
      <c r="AH3274" s="37">
        <v>0</v>
      </c>
      <c r="AI3274" s="37">
        <v>99</v>
      </c>
      <c r="AJ3274" s="37">
        <v>3</v>
      </c>
      <c r="AK3274" s="37" t="str">
        <f>VLOOKUP(Mecze[[#This Row],[Match ID]],Meczusie[Mecz]:Meczusie[RodzajMeczu],2,FALSE)</f>
        <v>Liga</v>
      </c>
    </row>
    <row r="3275" spans="1:37" x14ac:dyDescent="0.25">
      <c r="A3275" s="76">
        <v>3</v>
      </c>
      <c r="B3275" s="3" t="s">
        <v>268</v>
      </c>
      <c r="C3275" s="2" t="s">
        <v>160</v>
      </c>
      <c r="D3275" s="1">
        <v>2</v>
      </c>
      <c r="E3275" s="1">
        <v>6</v>
      </c>
      <c r="F3275" s="1">
        <v>6</v>
      </c>
      <c r="G3275" s="1">
        <v>8</v>
      </c>
      <c r="H3275" s="4">
        <v>1</v>
      </c>
      <c r="I3275" s="1">
        <v>7</v>
      </c>
      <c r="J3275" s="4">
        <v>0.71</v>
      </c>
      <c r="K3275" s="1">
        <v>0</v>
      </c>
      <c r="L3275" s="1">
        <v>0</v>
      </c>
      <c r="M3275" s="32">
        <f>IF(Mecze[[#This Row],[PR]]=0,0,Mecze[[#This Row],[PR]]/Mecze[[#This Row],[CZAS]])</f>
        <v>0</v>
      </c>
      <c r="N3275" s="32">
        <f>IF(Mecze[[#This Row],[OU]]=0,0,Mecze[[#This Row],[OU]]/Mecze[[#This Row],[CZAS]])</f>
        <v>5.0505050505050504E-2</v>
      </c>
      <c r="O3275" s="32">
        <f>IF(Mecze[[#This Row],[PC]]=0,0,Mecze[[#This Row],[PC]]/Mecze[[#This Row],[CZAS]])</f>
        <v>8.0808080808080815E-2</v>
      </c>
      <c r="P3275" s="32">
        <f>IF(Mecze[[#This Row],[SC]]=0,0,Mecze[[#This Row],[SC]]/Mecze[[#This Row],[CZAS]])</f>
        <v>6.0606060606060608E-2</v>
      </c>
      <c r="Q3275" s="32">
        <f>IF(Mecze[[#This Row],[OB]]=0,0,Mecze[[#This Row],[OB]]/Mecze[[#This Row],[CZAS]])</f>
        <v>0</v>
      </c>
      <c r="R3275" s="32">
        <f>IF(Mecze[[#This Row],[BR]]=0,0,Mecze[[#This Row],[BR]]/Mecze[[#This Row],[CZAS]])</f>
        <v>2.0202020202020204E-2</v>
      </c>
      <c r="S3275" s="44">
        <f>IF(Mecze[[#This Row],[Role]]="BR",SUMPRODUCT(Mecze[[#This Row],[/PR:90]:[/BR:90]],Brudnopis!$E$23:$J$23),0)</f>
        <v>0</v>
      </c>
      <c r="T3275" s="44">
        <f>IF(Mecze[[#This Row],[Role]]&lt;&gt;"BR",SUMPRODUCT(Mecze[[#This Row],[/PR:90]:[/BR:90]],Brudnopis!$E$24:$J$24),0)</f>
        <v>0.24747474747474749</v>
      </c>
      <c r="U3275" s="44">
        <f>IF(Mecze[[#This Row],[Role]]&lt;&gt;"BR",SUMPRODUCT(Mecze[[#This Row],[/PR:90]:[/BR:90]],Brudnopis!$E$25:$J$25),0)</f>
        <v>0.26262626262626265</v>
      </c>
      <c r="V3275" s="44">
        <f>IF(Mecze[[#This Row],[Role]]&lt;&gt;"BR",SUMPRODUCT(Mecze[[#This Row],[/PR:90]:[/BR:90]],Brudnopis!$E$26:$J$26),0)</f>
        <v>0.23232323232323235</v>
      </c>
      <c r="W3275" s="44">
        <f>IF(Mecze[[#This Row],[Role]]&lt;&gt;"BR",SUMPRODUCT(Mecze[[#This Row],[/PR:90]:[/BR:90]],Brudnopis!$E$27:$J$27),0)</f>
        <v>0.26010101010101011</v>
      </c>
      <c r="X3275" s="44">
        <f>IF(Mecze[[#This Row],[Role]]&lt;&gt;"BR",SUMPRODUCT(Mecze[[#This Row],[/PR:90]:[/BR:90]],Brudnopis!$E$28:$J$28),0)</f>
        <v>0.26262626262626265</v>
      </c>
      <c r="Y3275" s="35">
        <f>IF(Mecze[[#This Row],[Role]]="BR",Mecze[[#This Row],[/OB:90]]+Mecze[[#This Row],[/PC:90]],SUM(Mecze[[#This Row],[/PR:90]:[/BR:90]]))</f>
        <v>0.21212121212121213</v>
      </c>
      <c r="Z3275" s="35">
        <f>IF(Mecze[[#This Row],[KC]]=0,SUM(Mecze[[#This Row],[/BRI]:[/NPI]]),SUM(Mecze[[#This Row],[/BRI]:[/NPI]])*0.6)</f>
        <v>1.2651515151515151</v>
      </c>
      <c r="AA3275" s="10">
        <f>IFERROR(Mecze[[#This Row],[BR]]/Mecze[[#This Row],[ST]],0)</f>
        <v>0.33333333333333331</v>
      </c>
      <c r="AB3275">
        <f>ROUND(Mecze[[#This Row],[PD]]*Mecze[[#This Row],[%PC]],0)</f>
        <v>8</v>
      </c>
      <c r="AC3275">
        <f>ROUND(Mecze[[#This Row],[OD]]*Mecze[[#This Row],[%OU]],0)</f>
        <v>5</v>
      </c>
      <c r="AD3275" s="36" t="s">
        <v>44</v>
      </c>
      <c r="AE3275" s="36">
        <v>183</v>
      </c>
      <c r="AF3275" s="71">
        <v>15.97</v>
      </c>
      <c r="AG3275" s="37">
        <v>0</v>
      </c>
      <c r="AH3275" s="37">
        <v>0</v>
      </c>
      <c r="AI3275" s="37">
        <v>99</v>
      </c>
      <c r="AJ3275" s="37">
        <v>3</v>
      </c>
      <c r="AK3275" s="37" t="str">
        <f>VLOOKUP(Mecze[[#This Row],[Match ID]],Meczusie[Mecz]:Meczusie[RodzajMeczu],2,FALSE)</f>
        <v>Liga</v>
      </c>
    </row>
    <row r="3276" spans="1:37" x14ac:dyDescent="0.25">
      <c r="A3276" s="76">
        <v>8</v>
      </c>
      <c r="B3276" s="3" t="s">
        <v>269</v>
      </c>
      <c r="C3276" s="2" t="s">
        <v>165</v>
      </c>
      <c r="D3276" s="1">
        <v>3</v>
      </c>
      <c r="E3276" s="1">
        <v>9</v>
      </c>
      <c r="F3276" s="1">
        <v>9</v>
      </c>
      <c r="G3276" s="1">
        <v>4</v>
      </c>
      <c r="H3276" s="4">
        <v>0.75</v>
      </c>
      <c r="I3276" s="1">
        <v>1</v>
      </c>
      <c r="J3276" s="4">
        <v>1</v>
      </c>
      <c r="K3276" s="1">
        <v>0</v>
      </c>
      <c r="L3276" s="1">
        <v>0</v>
      </c>
      <c r="M3276" s="32">
        <f>IF(Mecze[[#This Row],[PR]]=0,0,Mecze[[#This Row],[PR]]/Mecze[[#This Row],[CZAS]])</f>
        <v>0</v>
      </c>
      <c r="N3276" s="32">
        <f>IF(Mecze[[#This Row],[OU]]=0,0,Mecze[[#This Row],[OU]]/Mecze[[#This Row],[CZAS]])</f>
        <v>1.0101010101010102E-2</v>
      </c>
      <c r="O3276" s="32">
        <f>IF(Mecze[[#This Row],[PC]]=0,0,Mecze[[#This Row],[PC]]/Mecze[[#This Row],[CZAS]])</f>
        <v>3.0303030303030304E-2</v>
      </c>
      <c r="P3276" s="32">
        <f>IF(Mecze[[#This Row],[SC]]=0,0,Mecze[[#This Row],[SC]]/Mecze[[#This Row],[CZAS]])</f>
        <v>9.0909090909090912E-2</v>
      </c>
      <c r="Q3276" s="32">
        <f>IF(Mecze[[#This Row],[OB]]=0,0,Mecze[[#This Row],[OB]]/Mecze[[#This Row],[CZAS]])</f>
        <v>0</v>
      </c>
      <c r="R3276" s="32">
        <f>IF(Mecze[[#This Row],[BR]]=0,0,Mecze[[#This Row],[BR]]/Mecze[[#This Row],[CZAS]])</f>
        <v>3.0303030303030304E-2</v>
      </c>
      <c r="S3276" s="44">
        <f>IF(Mecze[[#This Row],[Role]]="BR",SUMPRODUCT(Mecze[[#This Row],[/PR:90]:[/BR:90]],Brudnopis!$E$23:$J$23),0)</f>
        <v>0</v>
      </c>
      <c r="T3276" s="44">
        <f>IF(Mecze[[#This Row],[Role]]&lt;&gt;"BR",SUMPRODUCT(Mecze[[#This Row],[/PR:90]:[/BR:90]],Brudnopis!$E$24:$J$24),0)</f>
        <v>0.18181818181818182</v>
      </c>
      <c r="U3276" s="44">
        <f>IF(Mecze[[#This Row],[Role]]&lt;&gt;"BR",SUMPRODUCT(Mecze[[#This Row],[/PR:90]:[/BR:90]],Brudnopis!$E$25:$J$25),0)</f>
        <v>0.19191919191919193</v>
      </c>
      <c r="V3276" s="44">
        <f>IF(Mecze[[#This Row],[Role]]&lt;&gt;"BR",SUMPRODUCT(Mecze[[#This Row],[/PR:90]:[/BR:90]],Brudnopis!$E$26:$J$26),0)</f>
        <v>0.19191919191919193</v>
      </c>
      <c r="W3276" s="44">
        <f>IF(Mecze[[#This Row],[Role]]&lt;&gt;"BR",SUMPRODUCT(Mecze[[#This Row],[/PR:90]:[/BR:90]],Brudnopis!$E$27:$J$27),0)</f>
        <v>0.20454545454545456</v>
      </c>
      <c r="X3276" s="44">
        <f>IF(Mecze[[#This Row],[Role]]&lt;&gt;"BR",SUMPRODUCT(Mecze[[#This Row],[/PR:90]:[/BR:90]],Brudnopis!$E$28:$J$28),0)</f>
        <v>0.30303030303030304</v>
      </c>
      <c r="Y3276" s="35">
        <f>IF(Mecze[[#This Row],[Role]]="BR",Mecze[[#This Row],[/OB:90]]+Mecze[[#This Row],[/PC:90]],SUM(Mecze[[#This Row],[/PR:90]:[/BR:90]]))</f>
        <v>0.16161616161616163</v>
      </c>
      <c r="Z3276" s="35">
        <f>IF(Mecze[[#This Row],[KC]]=0,SUM(Mecze[[#This Row],[/BRI]:[/NPI]]),SUM(Mecze[[#This Row],[/BRI]:[/NPI]])*0.6)</f>
        <v>1.0732323232323233</v>
      </c>
      <c r="AA3276" s="10">
        <f>IFERROR(Mecze[[#This Row],[BR]]/Mecze[[#This Row],[ST]],0)</f>
        <v>0.33333333333333331</v>
      </c>
      <c r="AB3276">
        <f>ROUND(Mecze[[#This Row],[PD]]*Mecze[[#This Row],[%PC]],0)</f>
        <v>3</v>
      </c>
      <c r="AC3276">
        <f>ROUND(Mecze[[#This Row],[OD]]*Mecze[[#This Row],[%OU]],0)</f>
        <v>1</v>
      </c>
      <c r="AD3276" s="36" t="s">
        <v>272</v>
      </c>
      <c r="AE3276" s="36">
        <v>183</v>
      </c>
      <c r="AF3276" s="71">
        <v>12.81</v>
      </c>
      <c r="AG3276" s="37">
        <v>0</v>
      </c>
      <c r="AH3276" s="37">
        <v>0</v>
      </c>
      <c r="AI3276" s="37">
        <v>99</v>
      </c>
      <c r="AJ3276" s="37">
        <v>3</v>
      </c>
      <c r="AK3276" s="37" t="str">
        <f>VLOOKUP(Mecze[[#This Row],[Match ID]],Meczusie[Mecz]:Meczusie[RodzajMeczu],2,FALSE)</f>
        <v>Liga</v>
      </c>
    </row>
    <row r="3277" spans="1:37" x14ac:dyDescent="0.25">
      <c r="A3277" s="76">
        <v>11</v>
      </c>
      <c r="B3277" s="3" t="s">
        <v>270</v>
      </c>
      <c r="C3277" s="2" t="s">
        <v>165</v>
      </c>
      <c r="D3277" s="1">
        <v>2</v>
      </c>
      <c r="E3277" s="1">
        <v>9</v>
      </c>
      <c r="F3277" s="1">
        <v>7</v>
      </c>
      <c r="G3277" s="1">
        <v>6</v>
      </c>
      <c r="H3277" s="4">
        <v>0.83</v>
      </c>
      <c r="I3277" s="1">
        <v>0</v>
      </c>
      <c r="J3277" s="4"/>
      <c r="K3277" s="1">
        <v>0</v>
      </c>
      <c r="L3277" s="1">
        <v>1</v>
      </c>
      <c r="M3277" s="32">
        <f>IF(Mecze[[#This Row],[PR]]=0,0,Mecze[[#This Row],[PR]]/Mecze[[#This Row],[CZAS]])</f>
        <v>1.0101010101010102E-2</v>
      </c>
      <c r="N3277" s="32">
        <f>IF(Mecze[[#This Row],[OU]]=0,0,Mecze[[#This Row],[OU]]/Mecze[[#This Row],[CZAS]])</f>
        <v>0</v>
      </c>
      <c r="O3277" s="32">
        <f>IF(Mecze[[#This Row],[PC]]=0,0,Mecze[[#This Row],[PC]]/Mecze[[#This Row],[CZAS]])</f>
        <v>5.0505050505050504E-2</v>
      </c>
      <c r="P3277" s="32">
        <f>IF(Mecze[[#This Row],[SC]]=0,0,Mecze[[#This Row],[SC]]/Mecze[[#This Row],[CZAS]])</f>
        <v>7.0707070707070704E-2</v>
      </c>
      <c r="Q3277" s="32">
        <f>IF(Mecze[[#This Row],[OB]]=0,0,Mecze[[#This Row],[OB]]/Mecze[[#This Row],[CZAS]])</f>
        <v>0</v>
      </c>
      <c r="R3277" s="32">
        <f>IF(Mecze[[#This Row],[BR]]=0,0,Mecze[[#This Row],[BR]]/Mecze[[#This Row],[CZAS]])</f>
        <v>2.0202020202020204E-2</v>
      </c>
      <c r="S3277" s="44">
        <f>IF(Mecze[[#This Row],[Role]]="BR",SUMPRODUCT(Mecze[[#This Row],[/PR:90]:[/BR:90]],Brudnopis!$E$23:$J$23),0)</f>
        <v>0</v>
      </c>
      <c r="T3277" s="44">
        <f>IF(Mecze[[#This Row],[Role]]&lt;&gt;"BR",SUMPRODUCT(Mecze[[#This Row],[/PR:90]:[/BR:90]],Brudnopis!$E$24:$J$24),0)</f>
        <v>0.16161616161616163</v>
      </c>
      <c r="U3277" s="44">
        <f>IF(Mecze[[#This Row],[Role]]&lt;&gt;"BR",SUMPRODUCT(Mecze[[#This Row],[/PR:90]:[/BR:90]],Brudnopis!$E$25:$J$25),0)</f>
        <v>0.18686868686868688</v>
      </c>
      <c r="V3277" s="44">
        <f>IF(Mecze[[#This Row],[Role]]&lt;&gt;"BR",SUMPRODUCT(Mecze[[#This Row],[/PR:90]:[/BR:90]],Brudnopis!$E$26:$J$26),0)</f>
        <v>0.17171717171717174</v>
      </c>
      <c r="W3277" s="44">
        <f>IF(Mecze[[#This Row],[Role]]&lt;&gt;"BR",SUMPRODUCT(Mecze[[#This Row],[/PR:90]:[/BR:90]],Brudnopis!$E$27:$J$27),0)</f>
        <v>0.19444444444444445</v>
      </c>
      <c r="X3277" s="44">
        <f>IF(Mecze[[#This Row],[Role]]&lt;&gt;"BR",SUMPRODUCT(Mecze[[#This Row],[/PR:90]:[/BR:90]],Brudnopis!$E$28:$J$28),0)</f>
        <v>0.25252525252525249</v>
      </c>
      <c r="Y3277" s="35">
        <f>IF(Mecze[[#This Row],[Role]]="BR",Mecze[[#This Row],[/OB:90]]+Mecze[[#This Row],[/PC:90]],SUM(Mecze[[#This Row],[/PR:90]:[/BR:90]]))</f>
        <v>0.15151515151515152</v>
      </c>
      <c r="Z3277" s="35">
        <f>IF(Mecze[[#This Row],[KC]]=0,SUM(Mecze[[#This Row],[/BRI]:[/NPI]]),SUM(Mecze[[#This Row],[/BRI]:[/NPI]])*0.6)</f>
        <v>0.96717171717171713</v>
      </c>
      <c r="AA3277" s="10">
        <f>IFERROR(Mecze[[#This Row],[BR]]/Mecze[[#This Row],[ST]],0)</f>
        <v>0.22222222222222221</v>
      </c>
      <c r="AB3277">
        <f>ROUND(Mecze[[#This Row],[PD]]*Mecze[[#This Row],[%PC]],0)</f>
        <v>5</v>
      </c>
      <c r="AC3277">
        <f>ROUND(Mecze[[#This Row],[OD]]*Mecze[[#This Row],[%OU]],0)</f>
        <v>0</v>
      </c>
      <c r="AD3277" s="36" t="s">
        <v>273</v>
      </c>
      <c r="AE3277" s="36">
        <v>183</v>
      </c>
      <c r="AF3277" s="71">
        <v>12.32</v>
      </c>
      <c r="AG3277" s="37">
        <v>0</v>
      </c>
      <c r="AH3277" s="37">
        <v>0</v>
      </c>
      <c r="AI3277" s="37">
        <v>99</v>
      </c>
      <c r="AJ3277" s="37">
        <v>3</v>
      </c>
      <c r="AK3277" s="37" t="str">
        <f>VLOOKUP(Mecze[[#This Row],[Match ID]],Meczusie[Mecz]:Meczusie[RodzajMeczu],2,FALSE)</f>
        <v>Liga</v>
      </c>
    </row>
    <row r="3278" spans="1:37" x14ac:dyDescent="0.25">
      <c r="A3278" s="76">
        <v>10</v>
      </c>
      <c r="B3278" s="3" t="s">
        <v>271</v>
      </c>
      <c r="C3278" s="2" t="s">
        <v>165</v>
      </c>
      <c r="D3278" s="1">
        <v>3</v>
      </c>
      <c r="E3278" s="1">
        <v>10</v>
      </c>
      <c r="F3278" s="1">
        <v>10</v>
      </c>
      <c r="G3278" s="1">
        <v>8</v>
      </c>
      <c r="H3278" s="4">
        <v>1</v>
      </c>
      <c r="I3278" s="1">
        <v>1</v>
      </c>
      <c r="J3278" s="4">
        <v>0</v>
      </c>
      <c r="K3278" s="1">
        <v>0</v>
      </c>
      <c r="L3278" s="1">
        <v>1</v>
      </c>
      <c r="M3278" s="32">
        <f>IF(Mecze[[#This Row],[PR]]=0,0,Mecze[[#This Row],[PR]]/Mecze[[#This Row],[CZAS]])</f>
        <v>1.0101010101010102E-2</v>
      </c>
      <c r="N3278" s="32">
        <f>IF(Mecze[[#This Row],[OU]]=0,0,Mecze[[#This Row],[OU]]/Mecze[[#This Row],[CZAS]])</f>
        <v>0</v>
      </c>
      <c r="O3278" s="32">
        <f>IF(Mecze[[#This Row],[PC]]=0,0,Mecze[[#This Row],[PC]]/Mecze[[#This Row],[CZAS]])</f>
        <v>8.0808080808080815E-2</v>
      </c>
      <c r="P3278" s="32">
        <f>IF(Mecze[[#This Row],[SC]]=0,0,Mecze[[#This Row],[SC]]/Mecze[[#This Row],[CZAS]])</f>
        <v>0.10101010101010101</v>
      </c>
      <c r="Q3278" s="32">
        <f>IF(Mecze[[#This Row],[OB]]=0,0,Mecze[[#This Row],[OB]]/Mecze[[#This Row],[CZAS]])</f>
        <v>0</v>
      </c>
      <c r="R3278" s="32">
        <f>IF(Mecze[[#This Row],[BR]]=0,0,Mecze[[#This Row],[BR]]/Mecze[[#This Row],[CZAS]])</f>
        <v>3.0303030303030304E-2</v>
      </c>
      <c r="S3278" s="44">
        <f>IF(Mecze[[#This Row],[Role]]="BR",SUMPRODUCT(Mecze[[#This Row],[/PR:90]:[/BR:90]],Brudnopis!$E$23:$J$23),0)</f>
        <v>0</v>
      </c>
      <c r="T3278" s="44">
        <f>IF(Mecze[[#This Row],[Role]]&lt;&gt;"BR",SUMPRODUCT(Mecze[[#This Row],[/PR:90]:[/BR:90]],Brudnopis!$E$24:$J$24),0)</f>
        <v>0.2373737373737374</v>
      </c>
      <c r="U3278" s="44">
        <f>IF(Mecze[[#This Row],[Role]]&lt;&gt;"BR",SUMPRODUCT(Mecze[[#This Row],[/PR:90]:[/BR:90]],Brudnopis!$E$25:$J$25),0)</f>
        <v>0.27777777777777779</v>
      </c>
      <c r="V3278" s="44">
        <f>IF(Mecze[[#This Row],[Role]]&lt;&gt;"BR",SUMPRODUCT(Mecze[[#This Row],[/PR:90]:[/BR:90]],Brudnopis!$E$26:$J$26),0)</f>
        <v>0.25252525252525254</v>
      </c>
      <c r="W3278" s="44">
        <f>IF(Mecze[[#This Row],[Role]]&lt;&gt;"BR",SUMPRODUCT(Mecze[[#This Row],[/PR:90]:[/BR:90]],Brudnopis!$E$27:$J$27),0)</f>
        <v>0.29040404040404039</v>
      </c>
      <c r="X3278" s="44">
        <f>IF(Mecze[[#This Row],[Role]]&lt;&gt;"BR",SUMPRODUCT(Mecze[[#This Row],[/PR:90]:[/BR:90]],Brudnopis!$E$28:$J$28),0)</f>
        <v>0.3737373737373737</v>
      </c>
      <c r="Y3278" s="35">
        <f>IF(Mecze[[#This Row],[Role]]="BR",Mecze[[#This Row],[/OB:90]]+Mecze[[#This Row],[/PC:90]],SUM(Mecze[[#This Row],[/PR:90]:[/BR:90]]))</f>
        <v>0.22222222222222224</v>
      </c>
      <c r="Z3278" s="35">
        <f>IF(Mecze[[#This Row],[KC]]=0,SUM(Mecze[[#This Row],[/BRI]:[/NPI]]),SUM(Mecze[[#This Row],[/BRI]:[/NPI]])*0.6)</f>
        <v>1.4318181818181819</v>
      </c>
      <c r="AA3278" s="10">
        <f>IFERROR(Mecze[[#This Row],[BR]]/Mecze[[#This Row],[ST]],0)</f>
        <v>0.3</v>
      </c>
      <c r="AB3278">
        <f>ROUND(Mecze[[#This Row],[PD]]*Mecze[[#This Row],[%PC]],0)</f>
        <v>8</v>
      </c>
      <c r="AC3278">
        <f>ROUND(Mecze[[#This Row],[OD]]*Mecze[[#This Row],[%OU]],0)</f>
        <v>0</v>
      </c>
      <c r="AD3278" s="36" t="s">
        <v>46</v>
      </c>
      <c r="AE3278" s="36">
        <v>183</v>
      </c>
      <c r="AF3278" s="71">
        <v>16.170000000000002</v>
      </c>
      <c r="AG3278" s="37">
        <v>0</v>
      </c>
      <c r="AH3278" s="37">
        <v>0</v>
      </c>
      <c r="AI3278" s="37">
        <v>99</v>
      </c>
      <c r="AJ3278" s="37">
        <v>3</v>
      </c>
      <c r="AK3278" s="37" t="str">
        <f>VLOOKUP(Mecze[[#This Row],[Match ID]],Meczusie[Mecz]:Meczusie[RodzajMeczu],2,FALSE)</f>
        <v>Liga</v>
      </c>
    </row>
    <row r="3279" spans="1:37" x14ac:dyDescent="0.25">
      <c r="A3279" s="76">
        <v>1</v>
      </c>
      <c r="B3279" s="3" t="s">
        <v>169</v>
      </c>
      <c r="C3279" s="2" t="s">
        <v>155</v>
      </c>
      <c r="D3279" s="1">
        <v>0</v>
      </c>
      <c r="E3279" s="1">
        <v>0</v>
      </c>
      <c r="F3279" s="1">
        <v>0</v>
      </c>
      <c r="G3279" s="1">
        <v>20</v>
      </c>
      <c r="H3279" s="4">
        <v>0.65</v>
      </c>
      <c r="I3279" s="1">
        <v>0</v>
      </c>
      <c r="J3279" s="4"/>
      <c r="K3279" s="1">
        <v>22</v>
      </c>
      <c r="L3279" s="1">
        <v>0</v>
      </c>
      <c r="M3279" s="32">
        <f>IF(Mecze[[#This Row],[PR]]=0,0,Mecze[[#This Row],[PR]]/Mecze[[#This Row],[CZAS]])</f>
        <v>0</v>
      </c>
      <c r="N3279" s="32">
        <f>IF(Mecze[[#This Row],[OU]]=0,0,Mecze[[#This Row],[OU]]/Mecze[[#This Row],[CZAS]])</f>
        <v>0</v>
      </c>
      <c r="O3279" s="32">
        <f>IF(Mecze[[#This Row],[PC]]=0,0,Mecze[[#This Row],[PC]]/Mecze[[#This Row],[CZAS]])</f>
        <v>0.13131313131313133</v>
      </c>
      <c r="P3279" s="32">
        <f>IF(Mecze[[#This Row],[SC]]=0,0,Mecze[[#This Row],[SC]]/Mecze[[#This Row],[CZAS]])</f>
        <v>0</v>
      </c>
      <c r="Q3279" s="32">
        <f>IF(Mecze[[#This Row],[OB]]=0,0,Mecze[[#This Row],[OB]]/Mecze[[#This Row],[CZAS]])</f>
        <v>0.22222222222222221</v>
      </c>
      <c r="R3279" s="32">
        <f>IF(Mecze[[#This Row],[BR]]=0,0,Mecze[[#This Row],[BR]]/Mecze[[#This Row],[CZAS]])</f>
        <v>0</v>
      </c>
      <c r="S3279" s="44">
        <f>IF(Mecze[[#This Row],[Role]]="BR",SUMPRODUCT(Mecze[[#This Row],[/PR:90]:[/BR:90]],Brudnopis!$E$23:$J$23),0)</f>
        <v>1.0606060606060606</v>
      </c>
      <c r="T3279" s="44">
        <f>IF(Mecze[[#This Row],[Role]]&lt;&gt;"BR",SUMPRODUCT(Mecze[[#This Row],[/PR:90]:[/BR:90]],Brudnopis!$E$24:$J$24),0)</f>
        <v>0</v>
      </c>
      <c r="U3279" s="44">
        <f>IF(Mecze[[#This Row],[Role]]&lt;&gt;"BR",SUMPRODUCT(Mecze[[#This Row],[/PR:90]:[/BR:90]],Brudnopis!$E$25:$J$25),0)</f>
        <v>0</v>
      </c>
      <c r="V3279" s="44">
        <f>IF(Mecze[[#This Row],[Role]]&lt;&gt;"BR",SUMPRODUCT(Mecze[[#This Row],[/PR:90]:[/BR:90]],Brudnopis!$E$26:$J$26),0)</f>
        <v>0</v>
      </c>
      <c r="W3279" s="44">
        <f>IF(Mecze[[#This Row],[Role]]&lt;&gt;"BR",SUMPRODUCT(Mecze[[#This Row],[/PR:90]:[/BR:90]],Brudnopis!$E$27:$J$27),0)</f>
        <v>0</v>
      </c>
      <c r="X3279" s="44">
        <f>IF(Mecze[[#This Row],[Role]]&lt;&gt;"BR",SUMPRODUCT(Mecze[[#This Row],[/PR:90]:[/BR:90]],Brudnopis!$E$28:$J$28),0)</f>
        <v>0</v>
      </c>
      <c r="Y3279" s="35">
        <f>IF(Mecze[[#This Row],[Role]]="BR",Mecze[[#This Row],[/OB:90]]+Mecze[[#This Row],[/PC:90]],SUM(Mecze[[#This Row],[/PR:90]:[/BR:90]]))</f>
        <v>0.35353535353535354</v>
      </c>
      <c r="Z3279" s="35">
        <f>IF(Mecze[[#This Row],[KC]]=0,SUM(Mecze[[#This Row],[/BRI]:[/NPI]]),SUM(Mecze[[#This Row],[/BRI]:[/NPI]])*0.6)</f>
        <v>1.0606060606060606</v>
      </c>
      <c r="AA3279" s="10">
        <f>IFERROR(Mecze[[#This Row],[BR]]/Mecze[[#This Row],[ST]],0)</f>
        <v>0</v>
      </c>
      <c r="AB3279">
        <f>ROUND(Mecze[[#This Row],[PD]]*Mecze[[#This Row],[%PC]],0)</f>
        <v>13</v>
      </c>
      <c r="AC3279">
        <f>ROUND(Mecze[[#This Row],[OD]]*Mecze[[#This Row],[%OU]],0)</f>
        <v>0</v>
      </c>
      <c r="AD3279" s="36" t="s">
        <v>40</v>
      </c>
      <c r="AE3279" s="36">
        <v>183</v>
      </c>
      <c r="AF3279" s="71">
        <v>7.17</v>
      </c>
      <c r="AG3279" s="37">
        <v>0</v>
      </c>
      <c r="AH3279" s="37">
        <v>0</v>
      </c>
      <c r="AI3279" s="37">
        <v>99</v>
      </c>
      <c r="AJ3279" s="37">
        <v>1</v>
      </c>
      <c r="AK3279" s="37" t="str">
        <f>VLOOKUP(Mecze[[#This Row],[Match ID]],Meczusie[Mecz]:Meczusie[RodzajMeczu],2,FALSE)</f>
        <v>Liga</v>
      </c>
    </row>
    <row r="3280" spans="1:37" x14ac:dyDescent="0.25">
      <c r="A3280" s="76">
        <v>5</v>
      </c>
      <c r="B3280" s="3" t="s">
        <v>161</v>
      </c>
      <c r="C3280" s="2" t="s">
        <v>157</v>
      </c>
      <c r="D3280" s="1">
        <v>0</v>
      </c>
      <c r="E3280" s="1">
        <v>0</v>
      </c>
      <c r="F3280" s="1">
        <v>0</v>
      </c>
      <c r="G3280" s="1">
        <v>4</v>
      </c>
      <c r="H3280" s="4">
        <v>0.75</v>
      </c>
      <c r="I3280" s="1">
        <v>8</v>
      </c>
      <c r="J3280" s="4">
        <v>0.13</v>
      </c>
      <c r="K3280" s="1">
        <v>0</v>
      </c>
      <c r="L3280" s="1">
        <v>4</v>
      </c>
      <c r="M3280" s="32">
        <f>IF(Mecze[[#This Row],[PR]]=0,0,Mecze[[#This Row],[PR]]/Mecze[[#This Row],[CZAS]])</f>
        <v>4.0404040404040407E-2</v>
      </c>
      <c r="N3280" s="32">
        <f>IF(Mecze[[#This Row],[OU]]=0,0,Mecze[[#This Row],[OU]]/Mecze[[#This Row],[CZAS]])</f>
        <v>1.0101010101010102E-2</v>
      </c>
      <c r="O3280" s="32">
        <f>IF(Mecze[[#This Row],[PC]]=0,0,Mecze[[#This Row],[PC]]/Mecze[[#This Row],[CZAS]])</f>
        <v>3.0303030303030304E-2</v>
      </c>
      <c r="P3280" s="32">
        <f>IF(Mecze[[#This Row],[SC]]=0,0,Mecze[[#This Row],[SC]]/Mecze[[#This Row],[CZAS]])</f>
        <v>0</v>
      </c>
      <c r="Q3280" s="32">
        <f>IF(Mecze[[#This Row],[OB]]=0,0,Mecze[[#This Row],[OB]]/Mecze[[#This Row],[CZAS]])</f>
        <v>0</v>
      </c>
      <c r="R3280" s="32">
        <f>IF(Mecze[[#This Row],[BR]]=0,0,Mecze[[#This Row],[BR]]/Mecze[[#This Row],[CZAS]])</f>
        <v>0</v>
      </c>
      <c r="S3280" s="44">
        <f>IF(Mecze[[#This Row],[Role]]="BR",SUMPRODUCT(Mecze[[#This Row],[/PR:90]:[/BR:90]],Brudnopis!$E$23:$J$23),0)</f>
        <v>0</v>
      </c>
      <c r="T3280" s="44">
        <f>IF(Mecze[[#This Row],[Role]]&lt;&gt;"BR",SUMPRODUCT(Mecze[[#This Row],[/PR:90]:[/BR:90]],Brudnopis!$E$24:$J$24),0)</f>
        <v>8.5858585858585856E-2</v>
      </c>
      <c r="U3280" s="44">
        <f>IF(Mecze[[#This Row],[Role]]&lt;&gt;"BR",SUMPRODUCT(Mecze[[#This Row],[/PR:90]:[/BR:90]],Brudnopis!$E$25:$J$25),0)</f>
        <v>9.5959595959595967E-2</v>
      </c>
      <c r="V3280" s="44">
        <f>IF(Mecze[[#This Row],[Role]]&lt;&gt;"BR",SUMPRODUCT(Mecze[[#This Row],[/PR:90]:[/BR:90]],Brudnopis!$E$26:$J$26),0)</f>
        <v>8.0808080808080815E-2</v>
      </c>
      <c r="W3280" s="44">
        <f>IF(Mecze[[#This Row],[Role]]&lt;&gt;"BR",SUMPRODUCT(Mecze[[#This Row],[/PR:90]:[/BR:90]],Brudnopis!$E$27:$J$27),0)</f>
        <v>8.3333333333333343E-2</v>
      </c>
      <c r="X3280" s="44">
        <f>IF(Mecze[[#This Row],[Role]]&lt;&gt;"BR",SUMPRODUCT(Mecze[[#This Row],[/PR:90]:[/BR:90]],Brudnopis!$E$28:$J$28),0)</f>
        <v>3.0303030303030304E-2</v>
      </c>
      <c r="Y3280" s="35">
        <f>IF(Mecze[[#This Row],[Role]]="BR",Mecze[[#This Row],[/OB:90]]+Mecze[[#This Row],[/PC:90]],SUM(Mecze[[#This Row],[/PR:90]:[/BR:90]]))</f>
        <v>8.0808080808080815E-2</v>
      </c>
      <c r="Z3280" s="35">
        <f>IF(Mecze[[#This Row],[KC]]=0,SUM(Mecze[[#This Row],[/BRI]:[/NPI]]),SUM(Mecze[[#This Row],[/BRI]:[/NPI]])*0.6)</f>
        <v>0.3762626262626263</v>
      </c>
      <c r="AA3280" s="10">
        <f>IFERROR(Mecze[[#This Row],[BR]]/Mecze[[#This Row],[ST]],0)</f>
        <v>0</v>
      </c>
      <c r="AB3280">
        <f>ROUND(Mecze[[#This Row],[PD]]*Mecze[[#This Row],[%PC]],0)</f>
        <v>3</v>
      </c>
      <c r="AC3280">
        <f>ROUND(Mecze[[#This Row],[OD]]*Mecze[[#This Row],[%OU]],0)</f>
        <v>1</v>
      </c>
      <c r="AD3280" s="36" t="s">
        <v>47</v>
      </c>
      <c r="AE3280" s="36">
        <v>183</v>
      </c>
      <c r="AF3280" s="71">
        <v>-0.91</v>
      </c>
      <c r="AG3280" s="37">
        <v>0</v>
      </c>
      <c r="AH3280" s="37">
        <v>0</v>
      </c>
      <c r="AI3280" s="37">
        <v>99</v>
      </c>
      <c r="AJ3280" s="37">
        <v>1</v>
      </c>
      <c r="AK3280" s="37" t="str">
        <f>VLOOKUP(Mecze[[#This Row],[Match ID]],Meczusie[Mecz]:Meczusie[RodzajMeczu],2,FALSE)</f>
        <v>Liga</v>
      </c>
    </row>
    <row r="3281" spans="1:37" x14ac:dyDescent="0.25">
      <c r="A3281" s="76">
        <v>6</v>
      </c>
      <c r="B3281" s="3" t="s">
        <v>159</v>
      </c>
      <c r="C3281" s="2" t="s">
        <v>157</v>
      </c>
      <c r="D3281" s="1">
        <v>0</v>
      </c>
      <c r="E3281" s="1">
        <v>0</v>
      </c>
      <c r="F3281" s="1">
        <v>0</v>
      </c>
      <c r="G3281" s="1">
        <v>11</v>
      </c>
      <c r="H3281" s="4">
        <v>0.73</v>
      </c>
      <c r="I3281" s="1">
        <v>7</v>
      </c>
      <c r="J3281" s="4">
        <v>0.14000000000000001</v>
      </c>
      <c r="K3281" s="1">
        <v>0</v>
      </c>
      <c r="L3281" s="1">
        <v>3</v>
      </c>
      <c r="M3281" s="32">
        <f>IF(Mecze[[#This Row],[PR]]=0,0,Mecze[[#This Row],[PR]]/Mecze[[#This Row],[CZAS]])</f>
        <v>3.0303030303030304E-2</v>
      </c>
      <c r="N3281" s="32">
        <f>IF(Mecze[[#This Row],[OU]]=0,0,Mecze[[#This Row],[OU]]/Mecze[[#This Row],[CZAS]])</f>
        <v>1.0101010101010102E-2</v>
      </c>
      <c r="O3281" s="32">
        <f>IF(Mecze[[#This Row],[PC]]=0,0,Mecze[[#This Row],[PC]]/Mecze[[#This Row],[CZAS]])</f>
        <v>8.0808080808080815E-2</v>
      </c>
      <c r="P3281" s="32">
        <f>IF(Mecze[[#This Row],[SC]]=0,0,Mecze[[#This Row],[SC]]/Mecze[[#This Row],[CZAS]])</f>
        <v>0</v>
      </c>
      <c r="Q3281" s="32">
        <f>IF(Mecze[[#This Row],[OB]]=0,0,Mecze[[#This Row],[OB]]/Mecze[[#This Row],[CZAS]])</f>
        <v>0</v>
      </c>
      <c r="R3281" s="32">
        <f>IF(Mecze[[#This Row],[BR]]=0,0,Mecze[[#This Row],[BR]]/Mecze[[#This Row],[CZAS]])</f>
        <v>0</v>
      </c>
      <c r="S3281" s="44">
        <f>IF(Mecze[[#This Row],[Role]]="BR",SUMPRODUCT(Mecze[[#This Row],[/PR:90]:[/BR:90]],Brudnopis!$E$23:$J$23),0)</f>
        <v>0</v>
      </c>
      <c r="T3281" s="44">
        <f>IF(Mecze[[#This Row],[Role]]&lt;&gt;"BR",SUMPRODUCT(Mecze[[#This Row],[/PR:90]:[/BR:90]],Brudnopis!$E$24:$J$24),0)</f>
        <v>0.12626262626262627</v>
      </c>
      <c r="U3281" s="44">
        <f>IF(Mecze[[#This Row],[Role]]&lt;&gt;"BR",SUMPRODUCT(Mecze[[#This Row],[/PR:90]:[/BR:90]],Brudnopis!$E$25:$J$25),0)</f>
        <v>0.16161616161616163</v>
      </c>
      <c r="V3281" s="44">
        <f>IF(Mecze[[#This Row],[Role]]&lt;&gt;"BR",SUMPRODUCT(Mecze[[#This Row],[/PR:90]:[/BR:90]],Brudnopis!$E$26:$J$26),0)</f>
        <v>0.12121212121212122</v>
      </c>
      <c r="W3281" s="44">
        <f>IF(Mecze[[#This Row],[Role]]&lt;&gt;"BR",SUMPRODUCT(Mecze[[#This Row],[/PR:90]:[/BR:90]],Brudnopis!$E$27:$J$27),0)</f>
        <v>0.15151515151515152</v>
      </c>
      <c r="X3281" s="44">
        <f>IF(Mecze[[#This Row],[Role]]&lt;&gt;"BR",SUMPRODUCT(Mecze[[#This Row],[/PR:90]:[/BR:90]],Brudnopis!$E$28:$J$28),0)</f>
        <v>8.0808080808080815E-2</v>
      </c>
      <c r="Y3281" s="35">
        <f>IF(Mecze[[#This Row],[Role]]="BR",Mecze[[#This Row],[/OB:90]]+Mecze[[#This Row],[/PC:90]],SUM(Mecze[[#This Row],[/PR:90]:[/BR:90]]))</f>
        <v>0.12121212121212122</v>
      </c>
      <c r="Z3281" s="35">
        <f>IF(Mecze[[#This Row],[KC]]=0,SUM(Mecze[[#This Row],[/BRI]:[/NPI]]),SUM(Mecze[[#This Row],[/BRI]:[/NPI]])*0.6)</f>
        <v>0.64141414141414144</v>
      </c>
      <c r="AA3281" s="10">
        <f>IFERROR(Mecze[[#This Row],[BR]]/Mecze[[#This Row],[ST]],0)</f>
        <v>0</v>
      </c>
      <c r="AB3281">
        <f>ROUND(Mecze[[#This Row],[PD]]*Mecze[[#This Row],[%PC]],0)</f>
        <v>8</v>
      </c>
      <c r="AC3281">
        <f>ROUND(Mecze[[#This Row],[OD]]*Mecze[[#This Row],[%OU]],0)</f>
        <v>1</v>
      </c>
      <c r="AD3281" s="36" t="s">
        <v>47</v>
      </c>
      <c r="AE3281" s="36">
        <v>183</v>
      </c>
      <c r="AF3281" s="71">
        <v>-2.23</v>
      </c>
      <c r="AG3281" s="37">
        <v>0</v>
      </c>
      <c r="AH3281" s="37">
        <v>0</v>
      </c>
      <c r="AI3281" s="37">
        <v>99</v>
      </c>
      <c r="AJ3281" s="37">
        <v>1</v>
      </c>
      <c r="AK3281" s="37" t="str">
        <f>VLOOKUP(Mecze[[#This Row],[Match ID]],Meczusie[Mecz]:Meczusie[RodzajMeczu],2,FALSE)</f>
        <v>Liga</v>
      </c>
    </row>
    <row r="3282" spans="1:37" x14ac:dyDescent="0.25">
      <c r="A3282" s="76">
        <v>18</v>
      </c>
      <c r="B3282" s="3" t="s">
        <v>211</v>
      </c>
      <c r="C3282" s="2" t="s">
        <v>157</v>
      </c>
      <c r="D3282" s="1">
        <v>0</v>
      </c>
      <c r="E3282" s="1">
        <v>0</v>
      </c>
      <c r="F3282" s="1">
        <v>0</v>
      </c>
      <c r="G3282" s="1">
        <v>0</v>
      </c>
      <c r="H3282" s="72"/>
      <c r="I3282" s="1">
        <v>1</v>
      </c>
      <c r="J3282" s="4">
        <v>0</v>
      </c>
      <c r="K3282" s="1">
        <v>0</v>
      </c>
      <c r="L3282" s="1">
        <v>1</v>
      </c>
      <c r="M3282" s="32">
        <f>IF(Mecze[[#This Row],[PR]]=0,0,Mecze[[#This Row],[PR]]/Mecze[[#This Row],[CZAS]])</f>
        <v>1.0101010101010102E-2</v>
      </c>
      <c r="N3282" s="32">
        <f>IF(Mecze[[#This Row],[OU]]=0,0,Mecze[[#This Row],[OU]]/Mecze[[#This Row],[CZAS]])</f>
        <v>0</v>
      </c>
      <c r="O3282" s="32">
        <f>IF(Mecze[[#This Row],[PC]]=0,0,Mecze[[#This Row],[PC]]/Mecze[[#This Row],[CZAS]])</f>
        <v>0</v>
      </c>
      <c r="P3282" s="32">
        <f>IF(Mecze[[#This Row],[SC]]=0,0,Mecze[[#This Row],[SC]]/Mecze[[#This Row],[CZAS]])</f>
        <v>0</v>
      </c>
      <c r="Q3282" s="32">
        <f>IF(Mecze[[#This Row],[OB]]=0,0,Mecze[[#This Row],[OB]]/Mecze[[#This Row],[CZAS]])</f>
        <v>0</v>
      </c>
      <c r="R3282" s="32">
        <f>IF(Mecze[[#This Row],[BR]]=0,0,Mecze[[#This Row],[BR]]/Mecze[[#This Row],[CZAS]])</f>
        <v>0</v>
      </c>
      <c r="S3282" s="44">
        <f>IF(Mecze[[#This Row],[Role]]="BR",SUMPRODUCT(Mecze[[#This Row],[/PR:90]:[/BR:90]],Brudnopis!$E$23:$J$23),0)</f>
        <v>0</v>
      </c>
      <c r="T3282" s="44">
        <f>IF(Mecze[[#This Row],[Role]]&lt;&gt;"BR",SUMPRODUCT(Mecze[[#This Row],[/PR:90]:[/BR:90]],Brudnopis!$E$24:$J$24),0)</f>
        <v>1.0101010101010102E-2</v>
      </c>
      <c r="U3282" s="44">
        <f>IF(Mecze[[#This Row],[Role]]&lt;&gt;"BR",SUMPRODUCT(Mecze[[#This Row],[/PR:90]:[/BR:90]],Brudnopis!$E$25:$J$25),0)</f>
        <v>1.0101010101010102E-2</v>
      </c>
      <c r="V3282" s="44">
        <f>IF(Mecze[[#This Row],[Role]]&lt;&gt;"BR",SUMPRODUCT(Mecze[[#This Row],[/PR:90]:[/BR:90]],Brudnopis!$E$26:$J$26),0)</f>
        <v>1.0101010101010102E-2</v>
      </c>
      <c r="W3282" s="44">
        <f>IF(Mecze[[#This Row],[Role]]&lt;&gt;"BR",SUMPRODUCT(Mecze[[#This Row],[/PR:90]:[/BR:90]],Brudnopis!$E$27:$J$27),0)</f>
        <v>7.575757575757576E-3</v>
      </c>
      <c r="X3282" s="44">
        <f>IF(Mecze[[#This Row],[Role]]&lt;&gt;"BR",SUMPRODUCT(Mecze[[#This Row],[/PR:90]:[/BR:90]],Brudnopis!$E$28:$J$28),0)</f>
        <v>0</v>
      </c>
      <c r="Y3282" s="35">
        <f>IF(Mecze[[#This Row],[Role]]="BR",Mecze[[#This Row],[/OB:90]]+Mecze[[#This Row],[/PC:90]],SUM(Mecze[[#This Row],[/PR:90]:[/BR:90]]))</f>
        <v>1.0101010101010102E-2</v>
      </c>
      <c r="Z3282" s="35">
        <f>IF(Mecze[[#This Row],[KC]]=0,SUM(Mecze[[#This Row],[/BRI]:[/NPI]]),SUM(Mecze[[#This Row],[/BRI]:[/NPI]])*0.6)</f>
        <v>3.787878787878788E-2</v>
      </c>
      <c r="AA3282" s="10">
        <f>IFERROR(Mecze[[#This Row],[BR]]/Mecze[[#This Row],[ST]],0)</f>
        <v>0</v>
      </c>
      <c r="AB3282">
        <f>ROUND(Mecze[[#This Row],[PD]]*Mecze[[#This Row],[%PC]],0)</f>
        <v>0</v>
      </c>
      <c r="AC3282">
        <f>ROUND(Mecze[[#This Row],[OD]]*Mecze[[#This Row],[%OU]],0)</f>
        <v>0</v>
      </c>
      <c r="AD3282" s="36" t="s">
        <v>175</v>
      </c>
      <c r="AE3282" s="36">
        <v>183</v>
      </c>
      <c r="AF3282" s="71">
        <v>-1.54</v>
      </c>
      <c r="AG3282" s="37">
        <v>0</v>
      </c>
      <c r="AH3282" s="37">
        <v>0</v>
      </c>
      <c r="AI3282" s="37">
        <v>99</v>
      </c>
      <c r="AJ3282" s="37">
        <v>1</v>
      </c>
      <c r="AK3282" s="37" t="str">
        <f>VLOOKUP(Mecze[[#This Row],[Match ID]],Meczusie[Mecz]:Meczusie[RodzajMeczu],2,FALSE)</f>
        <v>Liga</v>
      </c>
    </row>
    <row r="3283" spans="1:37" x14ac:dyDescent="0.25">
      <c r="A3283" s="76">
        <v>3</v>
      </c>
      <c r="B3283" s="3" t="s">
        <v>158</v>
      </c>
      <c r="C3283" s="2" t="s">
        <v>157</v>
      </c>
      <c r="D3283" s="1">
        <v>0</v>
      </c>
      <c r="E3283" s="1">
        <v>0</v>
      </c>
      <c r="F3283" s="1">
        <v>0</v>
      </c>
      <c r="G3283" s="1">
        <v>0</v>
      </c>
      <c r="H3283" s="72"/>
      <c r="I3283" s="1">
        <v>3</v>
      </c>
      <c r="J3283" s="4">
        <v>0</v>
      </c>
      <c r="K3283" s="1">
        <v>0</v>
      </c>
      <c r="L3283" s="1">
        <v>0</v>
      </c>
      <c r="M3283" s="32">
        <f>IF(Mecze[[#This Row],[PR]]=0,0,Mecze[[#This Row],[PR]]/Mecze[[#This Row],[CZAS]])</f>
        <v>0</v>
      </c>
      <c r="N3283" s="32">
        <f>IF(Mecze[[#This Row],[OU]]=0,0,Mecze[[#This Row],[OU]]/Mecze[[#This Row],[CZAS]])</f>
        <v>0</v>
      </c>
      <c r="O3283" s="32">
        <f>IF(Mecze[[#This Row],[PC]]=0,0,Mecze[[#This Row],[PC]]/Mecze[[#This Row],[CZAS]])</f>
        <v>0</v>
      </c>
      <c r="P3283" s="32">
        <f>IF(Mecze[[#This Row],[SC]]=0,0,Mecze[[#This Row],[SC]]/Mecze[[#This Row],[CZAS]])</f>
        <v>0</v>
      </c>
      <c r="Q3283" s="32">
        <f>IF(Mecze[[#This Row],[OB]]=0,0,Mecze[[#This Row],[OB]]/Mecze[[#This Row],[CZAS]])</f>
        <v>0</v>
      </c>
      <c r="R3283" s="32">
        <f>IF(Mecze[[#This Row],[BR]]=0,0,Mecze[[#This Row],[BR]]/Mecze[[#This Row],[CZAS]])</f>
        <v>0</v>
      </c>
      <c r="S3283" s="44">
        <f>IF(Mecze[[#This Row],[Role]]="BR",SUMPRODUCT(Mecze[[#This Row],[/PR:90]:[/BR:90]],Brudnopis!$E$23:$J$23),0)</f>
        <v>0</v>
      </c>
      <c r="T3283" s="44">
        <f>IF(Mecze[[#This Row],[Role]]&lt;&gt;"BR",SUMPRODUCT(Mecze[[#This Row],[/PR:90]:[/BR:90]],Brudnopis!$E$24:$J$24),0)</f>
        <v>0</v>
      </c>
      <c r="U3283" s="44">
        <f>IF(Mecze[[#This Row],[Role]]&lt;&gt;"BR",SUMPRODUCT(Mecze[[#This Row],[/PR:90]:[/BR:90]],Brudnopis!$E$25:$J$25),0)</f>
        <v>0</v>
      </c>
      <c r="V3283" s="44">
        <f>IF(Mecze[[#This Row],[Role]]&lt;&gt;"BR",SUMPRODUCT(Mecze[[#This Row],[/PR:90]:[/BR:90]],Brudnopis!$E$26:$J$26),0)</f>
        <v>0</v>
      </c>
      <c r="W3283" s="44">
        <f>IF(Mecze[[#This Row],[Role]]&lt;&gt;"BR",SUMPRODUCT(Mecze[[#This Row],[/PR:90]:[/BR:90]],Brudnopis!$E$27:$J$27),0)</f>
        <v>0</v>
      </c>
      <c r="X3283" s="44">
        <f>IF(Mecze[[#This Row],[Role]]&lt;&gt;"BR",SUMPRODUCT(Mecze[[#This Row],[/PR:90]:[/BR:90]],Brudnopis!$E$28:$J$28),0)</f>
        <v>0</v>
      </c>
      <c r="Y3283" s="35">
        <f>IF(Mecze[[#This Row],[Role]]="BR",Mecze[[#This Row],[/OB:90]]+Mecze[[#This Row],[/PC:90]],SUM(Mecze[[#This Row],[/PR:90]:[/BR:90]]))</f>
        <v>0</v>
      </c>
      <c r="Z3283" s="35">
        <f>IF(Mecze[[#This Row],[KC]]=0,SUM(Mecze[[#This Row],[/BRI]:[/NPI]]),SUM(Mecze[[#This Row],[/BRI]:[/NPI]])*0.6)</f>
        <v>0</v>
      </c>
      <c r="AA3283" s="10">
        <f>IFERROR(Mecze[[#This Row],[BR]]/Mecze[[#This Row],[ST]],0)</f>
        <v>0</v>
      </c>
      <c r="AB3283">
        <f>ROUND(Mecze[[#This Row],[PD]]*Mecze[[#This Row],[%PC]],0)</f>
        <v>0</v>
      </c>
      <c r="AC3283">
        <f>ROUND(Mecze[[#This Row],[OD]]*Mecze[[#This Row],[%OU]],0)</f>
        <v>0</v>
      </c>
      <c r="AD3283" s="36" t="s">
        <v>174</v>
      </c>
      <c r="AE3283" s="36">
        <v>183</v>
      </c>
      <c r="AF3283" s="71">
        <v>-1.75</v>
      </c>
      <c r="AG3283" s="37">
        <v>0</v>
      </c>
      <c r="AH3283" s="37">
        <v>0</v>
      </c>
      <c r="AI3283" s="37">
        <v>99</v>
      </c>
      <c r="AJ3283" s="37">
        <v>1</v>
      </c>
      <c r="AK3283" s="37" t="str">
        <f>VLOOKUP(Mecze[[#This Row],[Match ID]],Meczusie[Mecz]:Meczusie[RodzajMeczu],2,FALSE)</f>
        <v>Liga</v>
      </c>
    </row>
    <row r="3284" spans="1:37" x14ac:dyDescent="0.25">
      <c r="A3284" s="76">
        <v>60</v>
      </c>
      <c r="B3284" s="3" t="s">
        <v>515</v>
      </c>
      <c r="C3284" s="2" t="s">
        <v>160</v>
      </c>
      <c r="D3284" s="1">
        <v>0</v>
      </c>
      <c r="E3284" s="1">
        <v>0</v>
      </c>
      <c r="F3284" s="1">
        <v>0</v>
      </c>
      <c r="G3284" s="1">
        <v>10</v>
      </c>
      <c r="H3284" s="4">
        <v>0.8</v>
      </c>
      <c r="I3284" s="1">
        <v>4</v>
      </c>
      <c r="J3284" s="4">
        <v>0.25</v>
      </c>
      <c r="K3284" s="1">
        <v>0</v>
      </c>
      <c r="L3284" s="1">
        <v>3</v>
      </c>
      <c r="M3284" s="32">
        <f>IF(Mecze[[#This Row],[PR]]=0,0,Mecze[[#This Row],[PR]]/Mecze[[#This Row],[CZAS]])</f>
        <v>3.0303030303030304E-2</v>
      </c>
      <c r="N3284" s="32">
        <f>IF(Mecze[[#This Row],[OU]]=0,0,Mecze[[#This Row],[OU]]/Mecze[[#This Row],[CZAS]])</f>
        <v>1.0101010101010102E-2</v>
      </c>
      <c r="O3284" s="32">
        <f>IF(Mecze[[#This Row],[PC]]=0,0,Mecze[[#This Row],[PC]]/Mecze[[#This Row],[CZAS]])</f>
        <v>8.0808080808080815E-2</v>
      </c>
      <c r="P3284" s="32">
        <f>IF(Mecze[[#This Row],[SC]]=0,0,Mecze[[#This Row],[SC]]/Mecze[[#This Row],[CZAS]])</f>
        <v>0</v>
      </c>
      <c r="Q3284" s="32">
        <f>IF(Mecze[[#This Row],[OB]]=0,0,Mecze[[#This Row],[OB]]/Mecze[[#This Row],[CZAS]])</f>
        <v>0</v>
      </c>
      <c r="R3284" s="32">
        <f>IF(Mecze[[#This Row],[BR]]=0,0,Mecze[[#This Row],[BR]]/Mecze[[#This Row],[CZAS]])</f>
        <v>0</v>
      </c>
      <c r="S3284" s="44">
        <f>IF(Mecze[[#This Row],[Role]]="BR",SUMPRODUCT(Mecze[[#This Row],[/PR:90]:[/BR:90]],Brudnopis!$E$23:$J$23),0)</f>
        <v>0</v>
      </c>
      <c r="T3284" s="44">
        <f>IF(Mecze[[#This Row],[Role]]&lt;&gt;"BR",SUMPRODUCT(Mecze[[#This Row],[/PR:90]:[/BR:90]],Brudnopis!$E$24:$J$24),0)</f>
        <v>0.12626262626262627</v>
      </c>
      <c r="U3284" s="44">
        <f>IF(Mecze[[#This Row],[Role]]&lt;&gt;"BR",SUMPRODUCT(Mecze[[#This Row],[/PR:90]:[/BR:90]],Brudnopis!$E$25:$J$25),0)</f>
        <v>0.16161616161616163</v>
      </c>
      <c r="V3284" s="44">
        <f>IF(Mecze[[#This Row],[Role]]&lt;&gt;"BR",SUMPRODUCT(Mecze[[#This Row],[/PR:90]:[/BR:90]],Brudnopis!$E$26:$J$26),0)</f>
        <v>0.12121212121212122</v>
      </c>
      <c r="W3284" s="44">
        <f>IF(Mecze[[#This Row],[Role]]&lt;&gt;"BR",SUMPRODUCT(Mecze[[#This Row],[/PR:90]:[/BR:90]],Brudnopis!$E$27:$J$27),0)</f>
        <v>0.15151515151515152</v>
      </c>
      <c r="X3284" s="44">
        <f>IF(Mecze[[#This Row],[Role]]&lt;&gt;"BR",SUMPRODUCT(Mecze[[#This Row],[/PR:90]:[/BR:90]],Brudnopis!$E$28:$J$28),0)</f>
        <v>8.0808080808080815E-2</v>
      </c>
      <c r="Y3284" s="35">
        <f>IF(Mecze[[#This Row],[Role]]="BR",Mecze[[#This Row],[/OB:90]]+Mecze[[#This Row],[/PC:90]],SUM(Mecze[[#This Row],[/PR:90]:[/BR:90]]))</f>
        <v>0.12121212121212122</v>
      </c>
      <c r="Z3284" s="35">
        <f>IF(Mecze[[#This Row],[KC]]=0,SUM(Mecze[[#This Row],[/BRI]:[/NPI]]),SUM(Mecze[[#This Row],[/BRI]:[/NPI]])*0.6)</f>
        <v>0.64141414141414144</v>
      </c>
      <c r="AA3284" s="10">
        <f>IFERROR(Mecze[[#This Row],[BR]]/Mecze[[#This Row],[ST]],0)</f>
        <v>0</v>
      </c>
      <c r="AB3284">
        <f>ROUND(Mecze[[#This Row],[PD]]*Mecze[[#This Row],[%PC]],0)</f>
        <v>8</v>
      </c>
      <c r="AC3284">
        <f>ROUND(Mecze[[#This Row],[OD]]*Mecze[[#This Row],[%OU]],0)</f>
        <v>1</v>
      </c>
      <c r="AD3284" s="36" t="s">
        <v>41</v>
      </c>
      <c r="AE3284" s="36">
        <v>183</v>
      </c>
      <c r="AF3284" s="71">
        <v>5.45</v>
      </c>
      <c r="AG3284" s="37">
        <v>0</v>
      </c>
      <c r="AH3284" s="37">
        <v>0</v>
      </c>
      <c r="AI3284" s="37">
        <v>99</v>
      </c>
      <c r="AJ3284" s="37">
        <v>1</v>
      </c>
      <c r="AK3284" s="37" t="str">
        <f>VLOOKUP(Mecze[[#This Row],[Match ID]],Meczusie[Mecz]:Meczusie[RodzajMeczu],2,FALSE)</f>
        <v>Liga</v>
      </c>
    </row>
    <row r="3285" spans="1:37" x14ac:dyDescent="0.25">
      <c r="A3285" s="76">
        <v>13</v>
      </c>
      <c r="B3285" s="3" t="s">
        <v>162</v>
      </c>
      <c r="C3285" s="2" t="s">
        <v>160</v>
      </c>
      <c r="D3285" s="1">
        <v>0</v>
      </c>
      <c r="E3285" s="1">
        <v>0</v>
      </c>
      <c r="F3285" s="1">
        <v>0</v>
      </c>
      <c r="G3285" s="1">
        <v>8</v>
      </c>
      <c r="H3285" s="4">
        <v>0.63</v>
      </c>
      <c r="I3285" s="1">
        <v>7</v>
      </c>
      <c r="J3285" s="4">
        <v>0.28999999999999998</v>
      </c>
      <c r="K3285" s="1">
        <v>0</v>
      </c>
      <c r="L3285" s="1">
        <v>2</v>
      </c>
      <c r="M3285" s="32">
        <f>IF(Mecze[[#This Row],[PR]]=0,0,Mecze[[#This Row],[PR]]/Mecze[[#This Row],[CZAS]])</f>
        <v>2.7397260273972601E-2</v>
      </c>
      <c r="N3285" s="32">
        <f>IF(Mecze[[#This Row],[OU]]=0,0,Mecze[[#This Row],[OU]]/Mecze[[#This Row],[CZAS]])</f>
        <v>2.7397260273972601E-2</v>
      </c>
      <c r="O3285" s="32">
        <f>IF(Mecze[[#This Row],[PC]]=0,0,Mecze[[#This Row],[PC]]/Mecze[[#This Row],[CZAS]])</f>
        <v>6.8493150684931503E-2</v>
      </c>
      <c r="P3285" s="32">
        <f>IF(Mecze[[#This Row],[SC]]=0,0,Mecze[[#This Row],[SC]]/Mecze[[#This Row],[CZAS]])</f>
        <v>0</v>
      </c>
      <c r="Q3285" s="32">
        <f>IF(Mecze[[#This Row],[OB]]=0,0,Mecze[[#This Row],[OB]]/Mecze[[#This Row],[CZAS]])</f>
        <v>0</v>
      </c>
      <c r="R3285" s="32">
        <f>IF(Mecze[[#This Row],[BR]]=0,0,Mecze[[#This Row],[BR]]/Mecze[[#This Row],[CZAS]])</f>
        <v>0</v>
      </c>
      <c r="S3285" s="44">
        <f>IF(Mecze[[#This Row],[Role]]="BR",SUMPRODUCT(Mecze[[#This Row],[/PR:90]:[/BR:90]],Brudnopis!$E$23:$J$23),0)</f>
        <v>0</v>
      </c>
      <c r="T3285" s="44">
        <f>IF(Mecze[[#This Row],[Role]]&lt;&gt;"BR",SUMPRODUCT(Mecze[[#This Row],[/PR:90]:[/BR:90]],Brudnopis!$E$24:$J$24),0)</f>
        <v>0.13698630136986301</v>
      </c>
      <c r="U3285" s="44">
        <f>IF(Mecze[[#This Row],[Role]]&lt;&gt;"BR",SUMPRODUCT(Mecze[[#This Row],[/PR:90]:[/BR:90]],Brudnopis!$E$25:$J$25),0)</f>
        <v>0.15753424657534246</v>
      </c>
      <c r="V3285" s="44">
        <f>IF(Mecze[[#This Row],[Role]]&lt;&gt;"BR",SUMPRODUCT(Mecze[[#This Row],[/PR:90]:[/BR:90]],Brudnopis!$E$26:$J$26),0)</f>
        <v>0.12328767123287671</v>
      </c>
      <c r="W3285" s="44">
        <f>IF(Mecze[[#This Row],[Role]]&lt;&gt;"BR",SUMPRODUCT(Mecze[[#This Row],[/PR:90]:[/BR:90]],Brudnopis!$E$27:$J$27),0)</f>
        <v>0.14383561643835616</v>
      </c>
      <c r="X3285" s="44">
        <f>IF(Mecze[[#This Row],[Role]]&lt;&gt;"BR",SUMPRODUCT(Mecze[[#This Row],[/PR:90]:[/BR:90]],Brudnopis!$E$28:$J$28),0)</f>
        <v>6.8493150684931503E-2</v>
      </c>
      <c r="Y3285" s="35">
        <f>IF(Mecze[[#This Row],[Role]]="BR",Mecze[[#This Row],[/OB:90]]+Mecze[[#This Row],[/PC:90]],SUM(Mecze[[#This Row],[/PR:90]:[/BR:90]]))</f>
        <v>0.12328767123287671</v>
      </c>
      <c r="Z3285" s="35">
        <f>IF(Mecze[[#This Row],[KC]]=0,SUM(Mecze[[#This Row],[/BRI]:[/NPI]]),SUM(Mecze[[#This Row],[/BRI]:[/NPI]])*0.6)</f>
        <v>0.37808219178082181</v>
      </c>
      <c r="AA3285" s="10">
        <f>IFERROR(Mecze[[#This Row],[BR]]/Mecze[[#This Row],[ST]],0)</f>
        <v>0</v>
      </c>
      <c r="AB3285">
        <f>ROUND(Mecze[[#This Row],[PD]]*Mecze[[#This Row],[%PC]],0)</f>
        <v>5</v>
      </c>
      <c r="AC3285">
        <f>ROUND(Mecze[[#This Row],[OD]]*Mecze[[#This Row],[%OU]],0)</f>
        <v>2</v>
      </c>
      <c r="AD3285" s="36" t="s">
        <v>41</v>
      </c>
      <c r="AE3285" s="36">
        <v>183</v>
      </c>
      <c r="AF3285" s="71">
        <v>2.12</v>
      </c>
      <c r="AG3285" s="37">
        <v>0</v>
      </c>
      <c r="AH3285" s="37">
        <v>1</v>
      </c>
      <c r="AI3285" s="37">
        <v>73</v>
      </c>
      <c r="AJ3285" s="37">
        <v>1</v>
      </c>
      <c r="AK3285" s="37" t="str">
        <f>VLOOKUP(Mecze[[#This Row],[Match ID]],Meczusie[Mecz]:Meczusie[RodzajMeczu],2,FALSE)</f>
        <v>Liga</v>
      </c>
    </row>
    <row r="3286" spans="1:37" x14ac:dyDescent="0.25">
      <c r="A3286" s="76">
        <v>15</v>
      </c>
      <c r="B3286" s="3" t="s">
        <v>170</v>
      </c>
      <c r="C3286" s="2" t="s">
        <v>160</v>
      </c>
      <c r="D3286" s="1">
        <v>0</v>
      </c>
      <c r="E3286" s="1">
        <v>0</v>
      </c>
      <c r="F3286" s="1">
        <v>0</v>
      </c>
      <c r="G3286" s="1">
        <v>13</v>
      </c>
      <c r="H3286" s="4">
        <v>0.69</v>
      </c>
      <c r="I3286" s="1">
        <v>4</v>
      </c>
      <c r="J3286" s="4">
        <v>0.75</v>
      </c>
      <c r="K3286" s="1">
        <v>0</v>
      </c>
      <c r="L3286" s="1">
        <v>0</v>
      </c>
      <c r="M3286" s="32">
        <f>IF(Mecze[[#This Row],[PR]]=0,0,Mecze[[#This Row],[PR]]/Mecze[[#This Row],[CZAS]])</f>
        <v>0</v>
      </c>
      <c r="N3286" s="32">
        <f>IF(Mecze[[#This Row],[OU]]=0,0,Mecze[[#This Row],[OU]]/Mecze[[#This Row],[CZAS]])</f>
        <v>3.0303030303030304E-2</v>
      </c>
      <c r="O3286" s="32">
        <f>IF(Mecze[[#This Row],[PC]]=0,0,Mecze[[#This Row],[PC]]/Mecze[[#This Row],[CZAS]])</f>
        <v>9.0909090909090912E-2</v>
      </c>
      <c r="P3286" s="32">
        <f>IF(Mecze[[#This Row],[SC]]=0,0,Mecze[[#This Row],[SC]]/Mecze[[#This Row],[CZAS]])</f>
        <v>0</v>
      </c>
      <c r="Q3286" s="32">
        <f>IF(Mecze[[#This Row],[OB]]=0,0,Mecze[[#This Row],[OB]]/Mecze[[#This Row],[CZAS]])</f>
        <v>0</v>
      </c>
      <c r="R3286" s="32">
        <f>IF(Mecze[[#This Row],[BR]]=0,0,Mecze[[#This Row],[BR]]/Mecze[[#This Row],[CZAS]])</f>
        <v>0</v>
      </c>
      <c r="S3286" s="44">
        <f>IF(Mecze[[#This Row],[Role]]="BR",SUMPRODUCT(Mecze[[#This Row],[/PR:90]:[/BR:90]],Brudnopis!$E$23:$J$23),0)</f>
        <v>0</v>
      </c>
      <c r="T3286" s="44">
        <f>IF(Mecze[[#This Row],[Role]]&lt;&gt;"BR",SUMPRODUCT(Mecze[[#This Row],[/PR:90]:[/BR:90]],Brudnopis!$E$24:$J$24),0)</f>
        <v>0.13636363636363635</v>
      </c>
      <c r="U3286" s="44">
        <f>IF(Mecze[[#This Row],[Role]]&lt;&gt;"BR",SUMPRODUCT(Mecze[[#This Row],[/PR:90]:[/BR:90]],Brudnopis!$E$25:$J$25),0)</f>
        <v>0.16666666666666666</v>
      </c>
      <c r="V3286" s="44">
        <f>IF(Mecze[[#This Row],[Role]]&lt;&gt;"BR",SUMPRODUCT(Mecze[[#This Row],[/PR:90]:[/BR:90]],Brudnopis!$E$26:$J$26),0)</f>
        <v>0.12121212121212122</v>
      </c>
      <c r="W3286" s="44">
        <f>IF(Mecze[[#This Row],[Role]]&lt;&gt;"BR",SUMPRODUCT(Mecze[[#This Row],[/PR:90]:[/BR:90]],Brudnopis!$E$27:$J$27),0)</f>
        <v>0.15909090909090909</v>
      </c>
      <c r="X3286" s="44">
        <f>IF(Mecze[[#This Row],[Role]]&lt;&gt;"BR",SUMPRODUCT(Mecze[[#This Row],[/PR:90]:[/BR:90]],Brudnopis!$E$28:$J$28),0)</f>
        <v>9.0909090909090912E-2</v>
      </c>
      <c r="Y3286" s="35">
        <f>IF(Mecze[[#This Row],[Role]]="BR",Mecze[[#This Row],[/OB:90]]+Mecze[[#This Row],[/PC:90]],SUM(Mecze[[#This Row],[/PR:90]:[/BR:90]]))</f>
        <v>0.12121212121212122</v>
      </c>
      <c r="Z3286" s="35">
        <f>IF(Mecze[[#This Row],[KC]]=0,SUM(Mecze[[#This Row],[/BRI]:[/NPI]]),SUM(Mecze[[#This Row],[/BRI]:[/NPI]])*0.6)</f>
        <v>0.6742424242424242</v>
      </c>
      <c r="AA3286" s="10">
        <f>IFERROR(Mecze[[#This Row],[BR]]/Mecze[[#This Row],[ST]],0)</f>
        <v>0</v>
      </c>
      <c r="AB3286">
        <f>ROUND(Mecze[[#This Row],[PD]]*Mecze[[#This Row],[%PC]],0)</f>
        <v>9</v>
      </c>
      <c r="AC3286">
        <f>ROUND(Mecze[[#This Row],[OD]]*Mecze[[#This Row],[%OU]],0)</f>
        <v>3</v>
      </c>
      <c r="AD3286" s="36" t="s">
        <v>67</v>
      </c>
      <c r="AE3286" s="36">
        <v>183</v>
      </c>
      <c r="AF3286" s="71">
        <v>3.91</v>
      </c>
      <c r="AG3286" s="37">
        <v>0</v>
      </c>
      <c r="AH3286" s="37">
        <v>0</v>
      </c>
      <c r="AI3286" s="37">
        <v>99</v>
      </c>
      <c r="AJ3286" s="37">
        <v>1</v>
      </c>
      <c r="AK3286" s="37" t="str">
        <f>VLOOKUP(Mecze[[#This Row],[Match ID]],Meczusie[Mecz]:Meczusie[RodzajMeczu],2,FALSE)</f>
        <v>Liga</v>
      </c>
    </row>
    <row r="3287" spans="1:37" x14ac:dyDescent="0.25">
      <c r="A3287" s="76">
        <v>19</v>
      </c>
      <c r="B3287" s="3" t="s">
        <v>166</v>
      </c>
      <c r="C3287" s="2" t="s">
        <v>165</v>
      </c>
      <c r="D3287" s="1">
        <v>0</v>
      </c>
      <c r="E3287" s="1">
        <v>3</v>
      </c>
      <c r="F3287" s="1">
        <v>2</v>
      </c>
      <c r="G3287" s="1">
        <v>1</v>
      </c>
      <c r="H3287" s="4">
        <v>1</v>
      </c>
      <c r="I3287" s="1">
        <v>3</v>
      </c>
      <c r="J3287" s="4">
        <v>0</v>
      </c>
      <c r="K3287" s="1">
        <v>0</v>
      </c>
      <c r="L3287" s="1">
        <v>2</v>
      </c>
      <c r="M3287" s="32">
        <f>IF(Mecze[[#This Row],[PR]]=0,0,Mecze[[#This Row],[PR]]/Mecze[[#This Row],[CZAS]])</f>
        <v>2.0202020202020204E-2</v>
      </c>
      <c r="N3287" s="32">
        <f>IF(Mecze[[#This Row],[OU]]=0,0,Mecze[[#This Row],[OU]]/Mecze[[#This Row],[CZAS]])</f>
        <v>0</v>
      </c>
      <c r="O3287" s="32">
        <f>IF(Mecze[[#This Row],[PC]]=0,0,Mecze[[#This Row],[PC]]/Mecze[[#This Row],[CZAS]])</f>
        <v>1.0101010101010102E-2</v>
      </c>
      <c r="P3287" s="32">
        <f>IF(Mecze[[#This Row],[SC]]=0,0,Mecze[[#This Row],[SC]]/Mecze[[#This Row],[CZAS]])</f>
        <v>2.0202020202020204E-2</v>
      </c>
      <c r="Q3287" s="32">
        <f>IF(Mecze[[#This Row],[OB]]=0,0,Mecze[[#This Row],[OB]]/Mecze[[#This Row],[CZAS]])</f>
        <v>0</v>
      </c>
      <c r="R3287" s="32">
        <f>IF(Mecze[[#This Row],[BR]]=0,0,Mecze[[#This Row],[BR]]/Mecze[[#This Row],[CZAS]])</f>
        <v>0</v>
      </c>
      <c r="S3287" s="44">
        <f>IF(Mecze[[#This Row],[Role]]="BR",SUMPRODUCT(Mecze[[#This Row],[/PR:90]:[/BR:90]],Brudnopis!$E$23:$J$23),0)</f>
        <v>0</v>
      </c>
      <c r="T3287" s="44">
        <f>IF(Mecze[[#This Row],[Role]]&lt;&gt;"BR",SUMPRODUCT(Mecze[[#This Row],[/PR:90]:[/BR:90]],Brudnopis!$E$24:$J$24),0)</f>
        <v>5.0505050505050511E-2</v>
      </c>
      <c r="U3287" s="44">
        <f>IF(Mecze[[#This Row],[Role]]&lt;&gt;"BR",SUMPRODUCT(Mecze[[#This Row],[/PR:90]:[/BR:90]],Brudnopis!$E$25:$J$25),0)</f>
        <v>5.5555555555555566E-2</v>
      </c>
      <c r="V3287" s="44">
        <f>IF(Mecze[[#This Row],[Role]]&lt;&gt;"BR",SUMPRODUCT(Mecze[[#This Row],[/PR:90]:[/BR:90]],Brudnopis!$E$26:$J$26),0)</f>
        <v>5.0505050505050511E-2</v>
      </c>
      <c r="W3287" s="44">
        <f>IF(Mecze[[#This Row],[Role]]&lt;&gt;"BR",SUMPRODUCT(Mecze[[#This Row],[/PR:90]:[/BR:90]],Brudnopis!$E$27:$J$27),0)</f>
        <v>5.0505050505050511E-2</v>
      </c>
      <c r="X3287" s="44">
        <f>IF(Mecze[[#This Row],[Role]]&lt;&gt;"BR",SUMPRODUCT(Mecze[[#This Row],[/PR:90]:[/BR:90]],Brudnopis!$E$28:$J$28),0)</f>
        <v>5.0505050505050511E-2</v>
      </c>
      <c r="Y3287" s="35">
        <f>IF(Mecze[[#This Row],[Role]]="BR",Mecze[[#This Row],[/OB:90]]+Mecze[[#This Row],[/PC:90]],SUM(Mecze[[#This Row],[/PR:90]:[/BR:90]]))</f>
        <v>5.0505050505050511E-2</v>
      </c>
      <c r="Z3287" s="35">
        <f>IF(Mecze[[#This Row],[KC]]=0,SUM(Mecze[[#This Row],[/BRI]:[/NPI]]),SUM(Mecze[[#This Row],[/BRI]:[/NPI]])*0.6)</f>
        <v>0.25757575757575757</v>
      </c>
      <c r="AA3287" s="10">
        <f>IFERROR(Mecze[[#This Row],[BR]]/Mecze[[#This Row],[ST]],0)</f>
        <v>0</v>
      </c>
      <c r="AB3287">
        <f>ROUND(Mecze[[#This Row],[PD]]*Mecze[[#This Row],[%PC]],0)</f>
        <v>1</v>
      </c>
      <c r="AC3287">
        <f>ROUND(Mecze[[#This Row],[OD]]*Mecze[[#This Row],[%OU]],0)</f>
        <v>0</v>
      </c>
      <c r="AD3287" s="36" t="s">
        <v>46</v>
      </c>
      <c r="AE3287" s="36">
        <v>183</v>
      </c>
      <c r="AF3287" s="71">
        <v>3.15</v>
      </c>
      <c r="AG3287" s="37">
        <v>0</v>
      </c>
      <c r="AH3287" s="37">
        <v>0</v>
      </c>
      <c r="AI3287" s="37">
        <v>99</v>
      </c>
      <c r="AJ3287" s="37">
        <v>1</v>
      </c>
      <c r="AK3287" s="37" t="str">
        <f>VLOOKUP(Mecze[[#This Row],[Match ID]],Meczusie[Mecz]:Meczusie[RodzajMeczu],2,FALSE)</f>
        <v>Liga</v>
      </c>
    </row>
    <row r="3288" spans="1:37" x14ac:dyDescent="0.25">
      <c r="A3288" s="76">
        <v>14</v>
      </c>
      <c r="B3288" s="3" t="s">
        <v>164</v>
      </c>
      <c r="C3288" s="2" t="s">
        <v>165</v>
      </c>
      <c r="D3288" s="1">
        <v>0</v>
      </c>
      <c r="E3288" s="1">
        <v>2</v>
      </c>
      <c r="F3288" s="1">
        <v>1</v>
      </c>
      <c r="G3288" s="1">
        <v>10</v>
      </c>
      <c r="H3288" s="4">
        <v>0.8</v>
      </c>
      <c r="I3288" s="1">
        <v>1</v>
      </c>
      <c r="J3288" s="4">
        <v>0</v>
      </c>
      <c r="K3288" s="1">
        <v>0</v>
      </c>
      <c r="L3288" s="1">
        <v>0</v>
      </c>
      <c r="M3288" s="32">
        <f>IF(Mecze[[#This Row],[PR]]=0,0,Mecze[[#This Row],[PR]]/Mecze[[#This Row],[CZAS]])</f>
        <v>0</v>
      </c>
      <c r="N3288" s="32">
        <f>IF(Mecze[[#This Row],[OU]]=0,0,Mecze[[#This Row],[OU]]/Mecze[[#This Row],[CZAS]])</f>
        <v>0</v>
      </c>
      <c r="O3288" s="32">
        <f>IF(Mecze[[#This Row],[PC]]=0,0,Mecze[[#This Row],[PC]]/Mecze[[#This Row],[CZAS]])</f>
        <v>8.0808080808080815E-2</v>
      </c>
      <c r="P3288" s="32">
        <f>IF(Mecze[[#This Row],[SC]]=0,0,Mecze[[#This Row],[SC]]/Mecze[[#This Row],[CZAS]])</f>
        <v>1.0101010101010102E-2</v>
      </c>
      <c r="Q3288" s="32">
        <f>IF(Mecze[[#This Row],[OB]]=0,0,Mecze[[#This Row],[OB]]/Mecze[[#This Row],[CZAS]])</f>
        <v>0</v>
      </c>
      <c r="R3288" s="32">
        <f>IF(Mecze[[#This Row],[BR]]=0,0,Mecze[[#This Row],[BR]]/Mecze[[#This Row],[CZAS]])</f>
        <v>0</v>
      </c>
      <c r="S3288" s="44">
        <f>IF(Mecze[[#This Row],[Role]]="BR",SUMPRODUCT(Mecze[[#This Row],[/PR:90]:[/BR:90]],Brudnopis!$E$23:$J$23),0)</f>
        <v>0</v>
      </c>
      <c r="T3288" s="44">
        <f>IF(Mecze[[#This Row],[Role]]&lt;&gt;"BR",SUMPRODUCT(Mecze[[#This Row],[/PR:90]:[/BR:90]],Brudnopis!$E$24:$J$24),0)</f>
        <v>9.0909090909090912E-2</v>
      </c>
      <c r="U3288" s="44">
        <f>IF(Mecze[[#This Row],[Role]]&lt;&gt;"BR",SUMPRODUCT(Mecze[[#This Row],[/PR:90]:[/BR:90]],Brudnopis!$E$25:$J$25),0)</f>
        <v>0.13131313131313133</v>
      </c>
      <c r="V3288" s="44">
        <f>IF(Mecze[[#This Row],[Role]]&lt;&gt;"BR",SUMPRODUCT(Mecze[[#This Row],[/PR:90]:[/BR:90]],Brudnopis!$E$26:$J$26),0)</f>
        <v>9.0909090909090912E-2</v>
      </c>
      <c r="W3288" s="44">
        <f>IF(Mecze[[#This Row],[Role]]&lt;&gt;"BR",SUMPRODUCT(Mecze[[#This Row],[/PR:90]:[/BR:90]],Brudnopis!$E$27:$J$27),0)</f>
        <v>0.13131313131313133</v>
      </c>
      <c r="X3288" s="44">
        <f>IF(Mecze[[#This Row],[Role]]&lt;&gt;"BR",SUMPRODUCT(Mecze[[#This Row],[/PR:90]:[/BR:90]],Brudnopis!$E$28:$J$28),0)</f>
        <v>0.10101010101010102</v>
      </c>
      <c r="Y3288" s="35">
        <f>IF(Mecze[[#This Row],[Role]]="BR",Mecze[[#This Row],[/OB:90]]+Mecze[[#This Row],[/PC:90]],SUM(Mecze[[#This Row],[/PR:90]:[/BR:90]]))</f>
        <v>9.0909090909090912E-2</v>
      </c>
      <c r="Z3288" s="35">
        <f>IF(Mecze[[#This Row],[KC]]=0,SUM(Mecze[[#This Row],[/BRI]:[/NPI]]),SUM(Mecze[[#This Row],[/BRI]:[/NPI]])*0.6)</f>
        <v>0.54545454545454553</v>
      </c>
      <c r="AA3288" s="10">
        <f>IFERROR(Mecze[[#This Row],[BR]]/Mecze[[#This Row],[ST]],0)</f>
        <v>0</v>
      </c>
      <c r="AB3288">
        <f>ROUND(Mecze[[#This Row],[PD]]*Mecze[[#This Row],[%PC]],0)</f>
        <v>8</v>
      </c>
      <c r="AC3288">
        <f>ROUND(Mecze[[#This Row],[OD]]*Mecze[[#This Row],[%OU]],0)</f>
        <v>0</v>
      </c>
      <c r="AD3288" s="36" t="s">
        <v>46</v>
      </c>
      <c r="AE3288" s="36">
        <v>183</v>
      </c>
      <c r="AF3288" s="71">
        <v>5.18</v>
      </c>
      <c r="AG3288" s="37">
        <v>0</v>
      </c>
      <c r="AH3288" s="37">
        <v>0</v>
      </c>
      <c r="AI3288" s="37">
        <v>99</v>
      </c>
      <c r="AJ3288" s="37">
        <v>1</v>
      </c>
      <c r="AK3288" s="37" t="str">
        <f>VLOOKUP(Mecze[[#This Row],[Match ID]],Meczusie[Mecz]:Meczusie[RodzajMeczu],2,FALSE)</f>
        <v>Liga</v>
      </c>
    </row>
    <row r="3289" spans="1:37" x14ac:dyDescent="0.25">
      <c r="A3289" s="76">
        <v>9</v>
      </c>
      <c r="B3289" s="3" t="s">
        <v>411</v>
      </c>
      <c r="C3289" s="2" t="s">
        <v>165</v>
      </c>
      <c r="D3289" s="1">
        <v>0</v>
      </c>
      <c r="E3289" s="1">
        <v>1</v>
      </c>
      <c r="F3289" s="1">
        <v>1</v>
      </c>
      <c r="G3289" s="1">
        <v>10</v>
      </c>
      <c r="H3289" s="4">
        <v>0.7</v>
      </c>
      <c r="I3289" s="1">
        <v>4</v>
      </c>
      <c r="J3289" s="4">
        <v>0</v>
      </c>
      <c r="K3289" s="1">
        <v>0</v>
      </c>
      <c r="L3289" s="1">
        <v>0</v>
      </c>
      <c r="M3289" s="32">
        <f>IF(Mecze[[#This Row],[PR]]=0,0,Mecze[[#This Row],[PR]]/Mecze[[#This Row],[CZAS]])</f>
        <v>0</v>
      </c>
      <c r="N3289" s="32">
        <f>IF(Mecze[[#This Row],[OU]]=0,0,Mecze[[#This Row],[OU]]/Mecze[[#This Row],[CZAS]])</f>
        <v>0</v>
      </c>
      <c r="O3289" s="32">
        <f>IF(Mecze[[#This Row],[PC]]=0,0,Mecze[[#This Row],[PC]]/Mecze[[#This Row],[CZAS]])</f>
        <v>7.0707070707070704E-2</v>
      </c>
      <c r="P3289" s="32">
        <f>IF(Mecze[[#This Row],[SC]]=0,0,Mecze[[#This Row],[SC]]/Mecze[[#This Row],[CZAS]])</f>
        <v>1.0101010101010102E-2</v>
      </c>
      <c r="Q3289" s="32">
        <f>IF(Mecze[[#This Row],[OB]]=0,0,Mecze[[#This Row],[OB]]/Mecze[[#This Row],[CZAS]])</f>
        <v>0</v>
      </c>
      <c r="R3289" s="32">
        <f>IF(Mecze[[#This Row],[BR]]=0,0,Mecze[[#This Row],[BR]]/Mecze[[#This Row],[CZAS]])</f>
        <v>0</v>
      </c>
      <c r="S3289" s="44">
        <f>IF(Mecze[[#This Row],[Role]]="BR",SUMPRODUCT(Mecze[[#This Row],[/PR:90]:[/BR:90]],Brudnopis!$E$23:$J$23),0)</f>
        <v>0</v>
      </c>
      <c r="T3289" s="44">
        <f>IF(Mecze[[#This Row],[Role]]&lt;&gt;"BR",SUMPRODUCT(Mecze[[#This Row],[/PR:90]:[/BR:90]],Brudnopis!$E$24:$J$24),0)</f>
        <v>8.0808080808080801E-2</v>
      </c>
      <c r="U3289" s="44">
        <f>IF(Mecze[[#This Row],[Role]]&lt;&gt;"BR",SUMPRODUCT(Mecze[[#This Row],[/PR:90]:[/BR:90]],Brudnopis!$E$25:$J$25),0)</f>
        <v>0.11616161616161615</v>
      </c>
      <c r="V3289" s="44">
        <f>IF(Mecze[[#This Row],[Role]]&lt;&gt;"BR",SUMPRODUCT(Mecze[[#This Row],[/PR:90]:[/BR:90]],Brudnopis!$E$26:$J$26),0)</f>
        <v>8.0808080808080801E-2</v>
      </c>
      <c r="W3289" s="44">
        <f>IF(Mecze[[#This Row],[Role]]&lt;&gt;"BR",SUMPRODUCT(Mecze[[#This Row],[/PR:90]:[/BR:90]],Brudnopis!$E$27:$J$27),0)</f>
        <v>0.11616161616161615</v>
      </c>
      <c r="X3289" s="44">
        <f>IF(Mecze[[#This Row],[Role]]&lt;&gt;"BR",SUMPRODUCT(Mecze[[#This Row],[/PR:90]:[/BR:90]],Brudnopis!$E$28:$J$28),0)</f>
        <v>9.0909090909090912E-2</v>
      </c>
      <c r="Y3289" s="35">
        <f>IF(Mecze[[#This Row],[Role]]="BR",Mecze[[#This Row],[/OB:90]]+Mecze[[#This Row],[/PC:90]],SUM(Mecze[[#This Row],[/PR:90]:[/BR:90]]))</f>
        <v>8.0808080808080801E-2</v>
      </c>
      <c r="Z3289" s="35">
        <f>IF(Mecze[[#This Row],[KC]]=0,SUM(Mecze[[#This Row],[/BRI]:[/NPI]]),SUM(Mecze[[#This Row],[/BRI]:[/NPI]])*0.6)</f>
        <v>0.48484848484848486</v>
      </c>
      <c r="AA3289" s="10">
        <f>IFERROR(Mecze[[#This Row],[BR]]/Mecze[[#This Row],[ST]],0)</f>
        <v>0</v>
      </c>
      <c r="AB3289">
        <f>ROUND(Mecze[[#This Row],[PD]]*Mecze[[#This Row],[%PC]],0)</f>
        <v>7</v>
      </c>
      <c r="AC3289">
        <f>ROUND(Mecze[[#This Row],[OD]]*Mecze[[#This Row],[%OU]],0)</f>
        <v>0</v>
      </c>
      <c r="AD3289" s="36" t="s">
        <v>46</v>
      </c>
      <c r="AE3289" s="36">
        <v>183</v>
      </c>
      <c r="AF3289" s="71">
        <v>4.26</v>
      </c>
      <c r="AG3289" s="37">
        <v>0</v>
      </c>
      <c r="AH3289" s="37">
        <v>0</v>
      </c>
      <c r="AI3289" s="37">
        <v>99</v>
      </c>
      <c r="AJ3289" s="37">
        <v>1</v>
      </c>
      <c r="AK3289" s="37" t="str">
        <f>VLOOKUP(Mecze[[#This Row],[Match ID]],Meczusie[Mecz]:Meczusie[RodzajMeczu],2,FALSE)</f>
        <v>Liga</v>
      </c>
    </row>
    <row r="3290" spans="1:37" x14ac:dyDescent="0.25">
      <c r="A3290" s="76">
        <v>1</v>
      </c>
      <c r="B3290" s="3" t="s">
        <v>288</v>
      </c>
      <c r="C3290" s="2" t="s">
        <v>155</v>
      </c>
      <c r="D3290" s="1">
        <v>0</v>
      </c>
      <c r="E3290" s="1">
        <v>0</v>
      </c>
      <c r="F3290" s="1">
        <v>0</v>
      </c>
      <c r="G3290" s="1">
        <v>21</v>
      </c>
      <c r="H3290" s="4">
        <v>0.76</v>
      </c>
      <c r="I3290" s="1">
        <v>0</v>
      </c>
      <c r="J3290" s="4"/>
      <c r="K3290" s="1">
        <v>20</v>
      </c>
      <c r="L3290" s="1">
        <v>0</v>
      </c>
      <c r="M3290" s="32">
        <f>IF(Mecze[[#This Row],[PR]]=0,0,Mecze[[#This Row],[PR]]/Mecze[[#This Row],[CZAS]])</f>
        <v>0</v>
      </c>
      <c r="N3290" s="32">
        <f>IF(Mecze[[#This Row],[OU]]=0,0,Mecze[[#This Row],[OU]]/Mecze[[#This Row],[CZAS]])</f>
        <v>0</v>
      </c>
      <c r="O3290" s="32">
        <f>IF(Mecze[[#This Row],[PC]]=0,0,Mecze[[#This Row],[PC]]/Mecze[[#This Row],[CZAS]])</f>
        <v>0.16666666666666666</v>
      </c>
      <c r="P3290" s="32">
        <f>IF(Mecze[[#This Row],[SC]]=0,0,Mecze[[#This Row],[SC]]/Mecze[[#This Row],[CZAS]])</f>
        <v>0</v>
      </c>
      <c r="Q3290" s="32">
        <f>IF(Mecze[[#This Row],[OB]]=0,0,Mecze[[#This Row],[OB]]/Mecze[[#This Row],[CZAS]])</f>
        <v>0.20833333333333334</v>
      </c>
      <c r="R3290" s="32">
        <f>IF(Mecze[[#This Row],[BR]]=0,0,Mecze[[#This Row],[BR]]/Mecze[[#This Row],[CZAS]])</f>
        <v>0</v>
      </c>
      <c r="S3290" s="44">
        <f>IF(Mecze[[#This Row],[Role]]="BR",SUMPRODUCT(Mecze[[#This Row],[/PR:90]:[/BR:90]],Brudnopis!$E$23:$J$23),0)</f>
        <v>1.125</v>
      </c>
      <c r="T3290" s="44">
        <f>IF(Mecze[[#This Row],[Role]]&lt;&gt;"BR",SUMPRODUCT(Mecze[[#This Row],[/PR:90]:[/BR:90]],Brudnopis!$E$24:$J$24),0)</f>
        <v>0</v>
      </c>
      <c r="U3290" s="44">
        <f>IF(Mecze[[#This Row],[Role]]&lt;&gt;"BR",SUMPRODUCT(Mecze[[#This Row],[/PR:90]:[/BR:90]],Brudnopis!$E$25:$J$25),0)</f>
        <v>0</v>
      </c>
      <c r="V3290" s="44">
        <f>IF(Mecze[[#This Row],[Role]]&lt;&gt;"BR",SUMPRODUCT(Mecze[[#This Row],[/PR:90]:[/BR:90]],Brudnopis!$E$26:$J$26),0)</f>
        <v>0</v>
      </c>
      <c r="W3290" s="44">
        <f>IF(Mecze[[#This Row],[Role]]&lt;&gt;"BR",SUMPRODUCT(Mecze[[#This Row],[/PR:90]:[/BR:90]],Brudnopis!$E$27:$J$27),0)</f>
        <v>0</v>
      </c>
      <c r="X3290" s="44">
        <f>IF(Mecze[[#This Row],[Role]]&lt;&gt;"BR",SUMPRODUCT(Mecze[[#This Row],[/PR:90]:[/BR:90]],Brudnopis!$E$28:$J$28),0)</f>
        <v>0</v>
      </c>
      <c r="Y3290" s="35">
        <f>IF(Mecze[[#This Row],[Role]]="BR",Mecze[[#This Row],[/OB:90]]+Mecze[[#This Row],[/PC:90]],SUM(Mecze[[#This Row],[/PR:90]:[/BR:90]]))</f>
        <v>0.375</v>
      </c>
      <c r="Z3290" s="35">
        <f>IF(Mecze[[#This Row],[KC]]=0,SUM(Mecze[[#This Row],[/BRI]:[/NPI]]),SUM(Mecze[[#This Row],[/BRI]:[/NPI]])*0.6)</f>
        <v>1.125</v>
      </c>
      <c r="AA3290" s="10">
        <f>IFERROR(Mecze[[#This Row],[BR]]/Mecze[[#This Row],[ST]],0)</f>
        <v>0</v>
      </c>
      <c r="AB3290">
        <f>ROUND(Mecze[[#This Row],[PD]]*Mecze[[#This Row],[%PC]],0)</f>
        <v>16</v>
      </c>
      <c r="AC3290">
        <f>ROUND(Mecze[[#This Row],[OD]]*Mecze[[#This Row],[%OU]],0)</f>
        <v>0</v>
      </c>
      <c r="AD3290" s="36" t="s">
        <v>40</v>
      </c>
      <c r="AE3290" s="36">
        <v>184</v>
      </c>
      <c r="AF3290" s="71">
        <v>8.8000000000000007</v>
      </c>
      <c r="AG3290" s="37">
        <v>0</v>
      </c>
      <c r="AH3290" s="37">
        <v>0</v>
      </c>
      <c r="AI3290" s="37">
        <v>96</v>
      </c>
      <c r="AJ3290" s="37">
        <v>9</v>
      </c>
      <c r="AK3290" s="37" t="str">
        <f>VLOOKUP(Mecze[[#This Row],[Match ID]],Meczusie[Mecz]:Meczusie[RodzajMeczu],2,FALSE)</f>
        <v>Liga</v>
      </c>
    </row>
    <row r="3291" spans="1:37" x14ac:dyDescent="0.25">
      <c r="A3291" s="76">
        <v>4</v>
      </c>
      <c r="B3291" s="3" t="s">
        <v>289</v>
      </c>
      <c r="C3291" s="2" t="s">
        <v>157</v>
      </c>
      <c r="D3291" s="1">
        <v>0</v>
      </c>
      <c r="E3291" s="1">
        <v>0</v>
      </c>
      <c r="F3291" s="1">
        <v>0</v>
      </c>
      <c r="G3291" s="1">
        <v>2</v>
      </c>
      <c r="H3291" s="4">
        <v>0.5</v>
      </c>
      <c r="I3291" s="1">
        <v>0</v>
      </c>
      <c r="J3291" s="4"/>
      <c r="K3291" s="1">
        <v>0</v>
      </c>
      <c r="L3291" s="1">
        <v>1</v>
      </c>
      <c r="M3291" s="32">
        <f>IF(Mecze[[#This Row],[PR]]=0,0,Mecze[[#This Row],[PR]]/Mecze[[#This Row],[CZAS]])</f>
        <v>1.0416666666666666E-2</v>
      </c>
      <c r="N3291" s="32">
        <f>IF(Mecze[[#This Row],[OU]]=0,0,Mecze[[#This Row],[OU]]/Mecze[[#This Row],[CZAS]])</f>
        <v>0</v>
      </c>
      <c r="O3291" s="32">
        <f>IF(Mecze[[#This Row],[PC]]=0,0,Mecze[[#This Row],[PC]]/Mecze[[#This Row],[CZAS]])</f>
        <v>1.0416666666666666E-2</v>
      </c>
      <c r="P3291" s="32">
        <f>IF(Mecze[[#This Row],[SC]]=0,0,Mecze[[#This Row],[SC]]/Mecze[[#This Row],[CZAS]])</f>
        <v>0</v>
      </c>
      <c r="Q3291" s="32">
        <f>IF(Mecze[[#This Row],[OB]]=0,0,Mecze[[#This Row],[OB]]/Mecze[[#This Row],[CZAS]])</f>
        <v>0</v>
      </c>
      <c r="R3291" s="32">
        <f>IF(Mecze[[#This Row],[BR]]=0,0,Mecze[[#This Row],[BR]]/Mecze[[#This Row],[CZAS]])</f>
        <v>0</v>
      </c>
      <c r="S3291" s="44">
        <f>IF(Mecze[[#This Row],[Role]]="BR",SUMPRODUCT(Mecze[[#This Row],[/PR:90]:[/BR:90]],Brudnopis!$E$23:$J$23),0)</f>
        <v>0</v>
      </c>
      <c r="T3291" s="44">
        <f>IF(Mecze[[#This Row],[Role]]&lt;&gt;"BR",SUMPRODUCT(Mecze[[#This Row],[/PR:90]:[/BR:90]],Brudnopis!$E$24:$J$24),0)</f>
        <v>2.0833333333333332E-2</v>
      </c>
      <c r="U3291" s="44">
        <f>IF(Mecze[[#This Row],[Role]]&lt;&gt;"BR",SUMPRODUCT(Mecze[[#This Row],[/PR:90]:[/BR:90]],Brudnopis!$E$25:$J$25),0)</f>
        <v>2.6041666666666664E-2</v>
      </c>
      <c r="V3291" s="44">
        <f>IF(Mecze[[#This Row],[Role]]&lt;&gt;"BR",SUMPRODUCT(Mecze[[#This Row],[/PR:90]:[/BR:90]],Brudnopis!$E$26:$J$26),0)</f>
        <v>2.0833333333333332E-2</v>
      </c>
      <c r="W3291" s="44">
        <f>IF(Mecze[[#This Row],[Role]]&lt;&gt;"BR",SUMPRODUCT(Mecze[[#This Row],[/PR:90]:[/BR:90]],Brudnopis!$E$27:$J$27),0)</f>
        <v>2.34375E-2</v>
      </c>
      <c r="X3291" s="44">
        <f>IF(Mecze[[#This Row],[Role]]&lt;&gt;"BR",SUMPRODUCT(Mecze[[#This Row],[/PR:90]:[/BR:90]],Brudnopis!$E$28:$J$28),0)</f>
        <v>1.0416666666666666E-2</v>
      </c>
      <c r="Y3291" s="35">
        <f>IF(Mecze[[#This Row],[Role]]="BR",Mecze[[#This Row],[/OB:90]]+Mecze[[#This Row],[/PC:90]],SUM(Mecze[[#This Row],[/PR:90]:[/BR:90]]))</f>
        <v>2.0833333333333332E-2</v>
      </c>
      <c r="Z3291" s="35">
        <f>IF(Mecze[[#This Row],[KC]]=0,SUM(Mecze[[#This Row],[/BRI]:[/NPI]]),SUM(Mecze[[#This Row],[/BRI]:[/NPI]])*0.6)</f>
        <v>0.1015625</v>
      </c>
      <c r="AA3291" s="10">
        <f>IFERROR(Mecze[[#This Row],[BR]]/Mecze[[#This Row],[ST]],0)</f>
        <v>0</v>
      </c>
      <c r="AB3291">
        <f>ROUND(Mecze[[#This Row],[PD]]*Mecze[[#This Row],[%PC]],0)</f>
        <v>1</v>
      </c>
      <c r="AC3291">
        <f>ROUND(Mecze[[#This Row],[OD]]*Mecze[[#This Row],[%OU]],0)</f>
        <v>0</v>
      </c>
      <c r="AD3291" s="36" t="s">
        <v>168</v>
      </c>
      <c r="AE3291" s="36">
        <v>184</v>
      </c>
      <c r="AF3291" s="71">
        <v>0.79</v>
      </c>
      <c r="AG3291" s="37">
        <v>0</v>
      </c>
      <c r="AH3291" s="37">
        <v>0</v>
      </c>
      <c r="AI3291" s="37">
        <v>96</v>
      </c>
      <c r="AJ3291" s="37">
        <v>9</v>
      </c>
      <c r="AK3291" s="37" t="str">
        <f>VLOOKUP(Mecze[[#This Row],[Match ID]],Meczusie[Mecz]:Meczusie[RodzajMeczu],2,FALSE)</f>
        <v>Liga</v>
      </c>
    </row>
    <row r="3292" spans="1:37" x14ac:dyDescent="0.25">
      <c r="A3292" s="76">
        <v>2</v>
      </c>
      <c r="B3292" s="3" t="s">
        <v>290</v>
      </c>
      <c r="C3292" s="2" t="s">
        <v>157</v>
      </c>
      <c r="D3292" s="1">
        <v>0</v>
      </c>
      <c r="E3292" s="1">
        <v>0</v>
      </c>
      <c r="F3292" s="1">
        <v>0</v>
      </c>
      <c r="G3292" s="1">
        <v>12</v>
      </c>
      <c r="H3292" s="4">
        <v>0.33</v>
      </c>
      <c r="I3292" s="1">
        <v>10</v>
      </c>
      <c r="J3292" s="4">
        <v>0.3</v>
      </c>
      <c r="K3292" s="1">
        <v>0</v>
      </c>
      <c r="L3292" s="1">
        <v>4</v>
      </c>
      <c r="M3292" s="32">
        <f>IF(Mecze[[#This Row],[PR]]=0,0,Mecze[[#This Row],[PR]]/Mecze[[#This Row],[CZAS]])</f>
        <v>4.1666666666666664E-2</v>
      </c>
      <c r="N3292" s="32">
        <f>IF(Mecze[[#This Row],[OU]]=0,0,Mecze[[#This Row],[OU]]/Mecze[[#This Row],[CZAS]])</f>
        <v>3.125E-2</v>
      </c>
      <c r="O3292" s="32">
        <f>IF(Mecze[[#This Row],[PC]]=0,0,Mecze[[#This Row],[PC]]/Mecze[[#This Row],[CZAS]])</f>
        <v>4.1666666666666664E-2</v>
      </c>
      <c r="P3292" s="32">
        <f>IF(Mecze[[#This Row],[SC]]=0,0,Mecze[[#This Row],[SC]]/Mecze[[#This Row],[CZAS]])</f>
        <v>0</v>
      </c>
      <c r="Q3292" s="32">
        <f>IF(Mecze[[#This Row],[OB]]=0,0,Mecze[[#This Row],[OB]]/Mecze[[#This Row],[CZAS]])</f>
        <v>0</v>
      </c>
      <c r="R3292" s="32">
        <f>IF(Mecze[[#This Row],[BR]]=0,0,Mecze[[#This Row],[BR]]/Mecze[[#This Row],[CZAS]])</f>
        <v>0</v>
      </c>
      <c r="S3292" s="44">
        <f>IF(Mecze[[#This Row],[Role]]="BR",SUMPRODUCT(Mecze[[#This Row],[/PR:90]:[/BR:90]],Brudnopis!$E$23:$J$23),0)</f>
        <v>0</v>
      </c>
      <c r="T3292" s="44">
        <f>IF(Mecze[[#This Row],[Role]]&lt;&gt;"BR",SUMPRODUCT(Mecze[[#This Row],[/PR:90]:[/BR:90]],Brudnopis!$E$24:$J$24),0)</f>
        <v>0.13020833333333331</v>
      </c>
      <c r="U3292" s="44">
        <f>IF(Mecze[[#This Row],[Role]]&lt;&gt;"BR",SUMPRODUCT(Mecze[[#This Row],[/PR:90]:[/BR:90]],Brudnopis!$E$25:$J$25),0)</f>
        <v>0.13541666666666666</v>
      </c>
      <c r="V3292" s="44">
        <f>IF(Mecze[[#This Row],[Role]]&lt;&gt;"BR",SUMPRODUCT(Mecze[[#This Row],[/PR:90]:[/BR:90]],Brudnopis!$E$26:$J$26),0)</f>
        <v>0.11458333333333331</v>
      </c>
      <c r="W3292" s="44">
        <f>IF(Mecze[[#This Row],[Role]]&lt;&gt;"BR",SUMPRODUCT(Mecze[[#This Row],[/PR:90]:[/BR:90]],Brudnopis!$E$27:$J$27),0)</f>
        <v>0.1171875</v>
      </c>
      <c r="X3292" s="44">
        <f>IF(Mecze[[#This Row],[Role]]&lt;&gt;"BR",SUMPRODUCT(Mecze[[#This Row],[/PR:90]:[/BR:90]],Brudnopis!$E$28:$J$28),0)</f>
        <v>4.1666666666666664E-2</v>
      </c>
      <c r="Y3292" s="35">
        <f>IF(Mecze[[#This Row],[Role]]="BR",Mecze[[#This Row],[/OB:90]]+Mecze[[#This Row],[/PC:90]],SUM(Mecze[[#This Row],[/PR:90]:[/BR:90]]))</f>
        <v>0.11458333333333331</v>
      </c>
      <c r="Z3292" s="35">
        <f>IF(Mecze[[#This Row],[KC]]=0,SUM(Mecze[[#This Row],[/BRI]:[/NPI]]),SUM(Mecze[[#This Row],[/BRI]:[/NPI]])*0.6)</f>
        <v>0.5390625</v>
      </c>
      <c r="AA3292" s="10">
        <f>IFERROR(Mecze[[#This Row],[BR]]/Mecze[[#This Row],[ST]],0)</f>
        <v>0</v>
      </c>
      <c r="AB3292">
        <f>ROUND(Mecze[[#This Row],[PD]]*Mecze[[#This Row],[%PC]],0)</f>
        <v>4</v>
      </c>
      <c r="AC3292">
        <f>ROUND(Mecze[[#This Row],[OD]]*Mecze[[#This Row],[%OU]],0)</f>
        <v>3</v>
      </c>
      <c r="AD3292" s="36" t="s">
        <v>47</v>
      </c>
      <c r="AE3292" s="36">
        <v>184</v>
      </c>
      <c r="AF3292" s="71">
        <v>1.42</v>
      </c>
      <c r="AG3292" s="37">
        <v>0</v>
      </c>
      <c r="AH3292" s="37">
        <v>0</v>
      </c>
      <c r="AI3292" s="37">
        <v>96</v>
      </c>
      <c r="AJ3292" s="37">
        <v>9</v>
      </c>
      <c r="AK3292" s="37" t="str">
        <f>VLOOKUP(Mecze[[#This Row],[Match ID]],Meczusie[Mecz]:Meczusie[RodzajMeczu],2,FALSE)</f>
        <v>Liga</v>
      </c>
    </row>
    <row r="3293" spans="1:37" x14ac:dyDescent="0.25">
      <c r="A3293" s="76">
        <v>16</v>
      </c>
      <c r="B3293" s="3" t="s">
        <v>405</v>
      </c>
      <c r="C3293" s="2" t="s">
        <v>157</v>
      </c>
      <c r="D3293" s="1">
        <v>0</v>
      </c>
      <c r="E3293" s="1">
        <v>0</v>
      </c>
      <c r="F3293" s="1">
        <v>0</v>
      </c>
      <c r="G3293" s="1">
        <v>4</v>
      </c>
      <c r="H3293" s="4">
        <v>0.5</v>
      </c>
      <c r="I3293" s="1">
        <v>4</v>
      </c>
      <c r="J3293" s="4">
        <v>0.25</v>
      </c>
      <c r="K3293" s="1">
        <v>0</v>
      </c>
      <c r="L3293" s="1">
        <v>1</v>
      </c>
      <c r="M3293" s="32">
        <f>IF(Mecze[[#This Row],[PR]]=0,0,Mecze[[#This Row],[PR]]/Mecze[[#This Row],[CZAS]])</f>
        <v>1.0416666666666666E-2</v>
      </c>
      <c r="N3293" s="32">
        <f>IF(Mecze[[#This Row],[OU]]=0,0,Mecze[[#This Row],[OU]]/Mecze[[#This Row],[CZAS]])</f>
        <v>1.0416666666666666E-2</v>
      </c>
      <c r="O3293" s="32">
        <f>IF(Mecze[[#This Row],[PC]]=0,0,Mecze[[#This Row],[PC]]/Mecze[[#This Row],[CZAS]])</f>
        <v>2.0833333333333332E-2</v>
      </c>
      <c r="P3293" s="32">
        <f>IF(Mecze[[#This Row],[SC]]=0,0,Mecze[[#This Row],[SC]]/Mecze[[#This Row],[CZAS]])</f>
        <v>0</v>
      </c>
      <c r="Q3293" s="32">
        <f>IF(Mecze[[#This Row],[OB]]=0,0,Mecze[[#This Row],[OB]]/Mecze[[#This Row],[CZAS]])</f>
        <v>0</v>
      </c>
      <c r="R3293" s="32">
        <f>IF(Mecze[[#This Row],[BR]]=0,0,Mecze[[#This Row],[BR]]/Mecze[[#This Row],[CZAS]])</f>
        <v>0</v>
      </c>
      <c r="S3293" s="44">
        <f>IF(Mecze[[#This Row],[Role]]="BR",SUMPRODUCT(Mecze[[#This Row],[/PR:90]:[/BR:90]],Brudnopis!$E$23:$J$23),0)</f>
        <v>0</v>
      </c>
      <c r="T3293" s="44">
        <f>IF(Mecze[[#This Row],[Role]]&lt;&gt;"BR",SUMPRODUCT(Mecze[[#This Row],[/PR:90]:[/BR:90]],Brudnopis!$E$24:$J$24),0)</f>
        <v>4.6875E-2</v>
      </c>
      <c r="U3293" s="44">
        <f>IF(Mecze[[#This Row],[Role]]&lt;&gt;"BR",SUMPRODUCT(Mecze[[#This Row],[/PR:90]:[/BR:90]],Brudnopis!$E$25:$J$25),0)</f>
        <v>5.2083333333333329E-2</v>
      </c>
      <c r="V3293" s="44">
        <f>IF(Mecze[[#This Row],[Role]]&lt;&gt;"BR",SUMPRODUCT(Mecze[[#This Row],[/PR:90]:[/BR:90]],Brudnopis!$E$26:$J$26),0)</f>
        <v>4.1666666666666664E-2</v>
      </c>
      <c r="W3293" s="44">
        <f>IF(Mecze[[#This Row],[Role]]&lt;&gt;"BR",SUMPRODUCT(Mecze[[#This Row],[/PR:90]:[/BR:90]],Brudnopis!$E$27:$J$27),0)</f>
        <v>4.6875E-2</v>
      </c>
      <c r="X3293" s="44">
        <f>IF(Mecze[[#This Row],[Role]]&lt;&gt;"BR",SUMPRODUCT(Mecze[[#This Row],[/PR:90]:[/BR:90]],Brudnopis!$E$28:$J$28),0)</f>
        <v>2.0833333333333332E-2</v>
      </c>
      <c r="Y3293" s="35">
        <f>IF(Mecze[[#This Row],[Role]]="BR",Mecze[[#This Row],[/OB:90]]+Mecze[[#This Row],[/PC:90]],SUM(Mecze[[#This Row],[/PR:90]:[/BR:90]]))</f>
        <v>4.1666666666666664E-2</v>
      </c>
      <c r="Z3293" s="35">
        <f>IF(Mecze[[#This Row],[KC]]=0,SUM(Mecze[[#This Row],[/BRI]:[/NPI]]),SUM(Mecze[[#This Row],[/BRI]:[/NPI]])*0.6)</f>
        <v>0.20833333333333334</v>
      </c>
      <c r="AA3293" s="10">
        <f>IFERROR(Mecze[[#This Row],[BR]]/Mecze[[#This Row],[ST]],0)</f>
        <v>0</v>
      </c>
      <c r="AB3293">
        <f>ROUND(Mecze[[#This Row],[PD]]*Mecze[[#This Row],[%PC]],0)</f>
        <v>2</v>
      </c>
      <c r="AC3293">
        <f>ROUND(Mecze[[#This Row],[OD]]*Mecze[[#This Row],[%OU]],0)</f>
        <v>1</v>
      </c>
      <c r="AD3293" s="36" t="s">
        <v>167</v>
      </c>
      <c r="AE3293" s="36">
        <v>184</v>
      </c>
      <c r="AF3293" s="71">
        <v>0.79</v>
      </c>
      <c r="AG3293" s="37">
        <v>0</v>
      </c>
      <c r="AH3293" s="37">
        <v>0</v>
      </c>
      <c r="AI3293" s="37">
        <v>96</v>
      </c>
      <c r="AJ3293" s="37">
        <v>9</v>
      </c>
      <c r="AK3293" s="37" t="str">
        <f>VLOOKUP(Mecze[[#This Row],[Match ID]],Meczusie[Mecz]:Meczusie[RodzajMeczu],2,FALSE)</f>
        <v>Liga</v>
      </c>
    </row>
    <row r="3294" spans="1:37" x14ac:dyDescent="0.25">
      <c r="A3294" s="76">
        <v>14</v>
      </c>
      <c r="B3294" s="3" t="s">
        <v>293</v>
      </c>
      <c r="C3294" s="2" t="s">
        <v>160</v>
      </c>
      <c r="D3294" s="1">
        <v>0</v>
      </c>
      <c r="E3294" s="1">
        <v>0</v>
      </c>
      <c r="F3294" s="1">
        <v>0</v>
      </c>
      <c r="G3294" s="1">
        <v>6</v>
      </c>
      <c r="H3294" s="4">
        <v>1</v>
      </c>
      <c r="I3294" s="1">
        <v>2</v>
      </c>
      <c r="J3294" s="4">
        <v>0</v>
      </c>
      <c r="K3294" s="1">
        <v>0</v>
      </c>
      <c r="L3294" s="1">
        <v>4</v>
      </c>
      <c r="M3294" s="32">
        <f>IF(Mecze[[#This Row],[PR]]=0,0,Mecze[[#This Row],[PR]]/Mecze[[#This Row],[CZAS]])</f>
        <v>4.1666666666666664E-2</v>
      </c>
      <c r="N3294" s="32">
        <f>IF(Mecze[[#This Row],[OU]]=0,0,Mecze[[#This Row],[OU]]/Mecze[[#This Row],[CZAS]])</f>
        <v>0</v>
      </c>
      <c r="O3294" s="32">
        <f>IF(Mecze[[#This Row],[PC]]=0,0,Mecze[[#This Row],[PC]]/Mecze[[#This Row],[CZAS]])</f>
        <v>6.25E-2</v>
      </c>
      <c r="P3294" s="32">
        <f>IF(Mecze[[#This Row],[SC]]=0,0,Mecze[[#This Row],[SC]]/Mecze[[#This Row],[CZAS]])</f>
        <v>0</v>
      </c>
      <c r="Q3294" s="32">
        <f>IF(Mecze[[#This Row],[OB]]=0,0,Mecze[[#This Row],[OB]]/Mecze[[#This Row],[CZAS]])</f>
        <v>0</v>
      </c>
      <c r="R3294" s="32">
        <f>IF(Mecze[[#This Row],[BR]]=0,0,Mecze[[#This Row],[BR]]/Mecze[[#This Row],[CZAS]])</f>
        <v>0</v>
      </c>
      <c r="S3294" s="44">
        <f>IF(Mecze[[#This Row],[Role]]="BR",SUMPRODUCT(Mecze[[#This Row],[/PR:90]:[/BR:90]],Brudnopis!$E$23:$J$23),0)</f>
        <v>0</v>
      </c>
      <c r="T3294" s="44">
        <f>IF(Mecze[[#This Row],[Role]]&lt;&gt;"BR",SUMPRODUCT(Mecze[[#This Row],[/PR:90]:[/BR:90]],Brudnopis!$E$24:$J$24),0)</f>
        <v>0.10416666666666666</v>
      </c>
      <c r="U3294" s="44">
        <f>IF(Mecze[[#This Row],[Role]]&lt;&gt;"BR",SUMPRODUCT(Mecze[[#This Row],[/PR:90]:[/BR:90]],Brudnopis!$E$25:$J$25),0)</f>
        <v>0.13541666666666666</v>
      </c>
      <c r="V3294" s="44">
        <f>IF(Mecze[[#This Row],[Role]]&lt;&gt;"BR",SUMPRODUCT(Mecze[[#This Row],[/PR:90]:[/BR:90]],Brudnopis!$E$26:$J$26),0)</f>
        <v>0.10416666666666666</v>
      </c>
      <c r="W3294" s="44">
        <f>IF(Mecze[[#This Row],[Role]]&lt;&gt;"BR",SUMPRODUCT(Mecze[[#This Row],[/PR:90]:[/BR:90]],Brudnopis!$E$27:$J$27),0)</f>
        <v>0.125</v>
      </c>
      <c r="X3294" s="44">
        <f>IF(Mecze[[#This Row],[Role]]&lt;&gt;"BR",SUMPRODUCT(Mecze[[#This Row],[/PR:90]:[/BR:90]],Brudnopis!$E$28:$J$28),0)</f>
        <v>6.25E-2</v>
      </c>
      <c r="Y3294" s="35">
        <f>IF(Mecze[[#This Row],[Role]]="BR",Mecze[[#This Row],[/OB:90]]+Mecze[[#This Row],[/PC:90]],SUM(Mecze[[#This Row],[/PR:90]:[/BR:90]]))</f>
        <v>0.10416666666666666</v>
      </c>
      <c r="Z3294" s="35">
        <f>IF(Mecze[[#This Row],[KC]]=0,SUM(Mecze[[#This Row],[/BRI]:[/NPI]]),SUM(Mecze[[#This Row],[/BRI]:[/NPI]])*0.6)</f>
        <v>0.53125</v>
      </c>
      <c r="AA3294" s="10">
        <f>IFERROR(Mecze[[#This Row],[BR]]/Mecze[[#This Row],[ST]],0)</f>
        <v>0</v>
      </c>
      <c r="AB3294">
        <f>ROUND(Mecze[[#This Row],[PD]]*Mecze[[#This Row],[%PC]],0)</f>
        <v>6</v>
      </c>
      <c r="AC3294">
        <f>ROUND(Mecze[[#This Row],[OD]]*Mecze[[#This Row],[%OU]],0)</f>
        <v>0</v>
      </c>
      <c r="AD3294" s="36" t="s">
        <v>172</v>
      </c>
      <c r="AE3294" s="36">
        <v>184</v>
      </c>
      <c r="AF3294" s="71">
        <v>6.87</v>
      </c>
      <c r="AG3294" s="37">
        <v>0</v>
      </c>
      <c r="AH3294" s="37">
        <v>0</v>
      </c>
      <c r="AI3294" s="37">
        <v>96</v>
      </c>
      <c r="AJ3294" s="37">
        <v>9</v>
      </c>
      <c r="AK3294" s="37" t="str">
        <f>VLOOKUP(Mecze[[#This Row],[Match ID]],Meczusie[Mecz]:Meczusie[RodzajMeczu],2,FALSE)</f>
        <v>Liga</v>
      </c>
    </row>
    <row r="3295" spans="1:37" x14ac:dyDescent="0.25">
      <c r="A3295" s="76">
        <v>3</v>
      </c>
      <c r="B3295" s="3" t="s">
        <v>292</v>
      </c>
      <c r="C3295" s="2" t="s">
        <v>160</v>
      </c>
      <c r="D3295" s="1">
        <v>0</v>
      </c>
      <c r="E3295" s="1">
        <v>0</v>
      </c>
      <c r="F3295" s="1">
        <v>0</v>
      </c>
      <c r="G3295" s="1">
        <v>3</v>
      </c>
      <c r="H3295" s="4">
        <v>0.67</v>
      </c>
      <c r="I3295" s="1">
        <v>0</v>
      </c>
      <c r="J3295" s="4"/>
      <c r="K3295" s="1">
        <v>0</v>
      </c>
      <c r="L3295" s="1">
        <v>0</v>
      </c>
      <c r="M3295" s="32">
        <f>IF(Mecze[[#This Row],[PR]]=0,0,Mecze[[#This Row],[PR]]/Mecze[[#This Row],[CZAS]])</f>
        <v>0</v>
      </c>
      <c r="N3295" s="32">
        <f>IF(Mecze[[#This Row],[OU]]=0,0,Mecze[[#This Row],[OU]]/Mecze[[#This Row],[CZAS]])</f>
        <v>0</v>
      </c>
      <c r="O3295" s="32">
        <f>IF(Mecze[[#This Row],[PC]]=0,0,Mecze[[#This Row],[PC]]/Mecze[[#This Row],[CZAS]])</f>
        <v>2.0833333333333332E-2</v>
      </c>
      <c r="P3295" s="32">
        <f>IF(Mecze[[#This Row],[SC]]=0,0,Mecze[[#This Row],[SC]]/Mecze[[#This Row],[CZAS]])</f>
        <v>0</v>
      </c>
      <c r="Q3295" s="32">
        <f>IF(Mecze[[#This Row],[OB]]=0,0,Mecze[[#This Row],[OB]]/Mecze[[#This Row],[CZAS]])</f>
        <v>0</v>
      </c>
      <c r="R3295" s="32">
        <f>IF(Mecze[[#This Row],[BR]]=0,0,Mecze[[#This Row],[BR]]/Mecze[[#This Row],[CZAS]])</f>
        <v>0</v>
      </c>
      <c r="S3295" s="44">
        <f>IF(Mecze[[#This Row],[Role]]="BR",SUMPRODUCT(Mecze[[#This Row],[/PR:90]:[/BR:90]],Brudnopis!$E$23:$J$23),0)</f>
        <v>0</v>
      </c>
      <c r="T3295" s="44">
        <f>IF(Mecze[[#This Row],[Role]]&lt;&gt;"BR",SUMPRODUCT(Mecze[[#This Row],[/PR:90]:[/BR:90]],Brudnopis!$E$24:$J$24),0)</f>
        <v>2.0833333333333332E-2</v>
      </c>
      <c r="U3295" s="44">
        <f>IF(Mecze[[#This Row],[Role]]&lt;&gt;"BR",SUMPRODUCT(Mecze[[#This Row],[/PR:90]:[/BR:90]],Brudnopis!$E$25:$J$25),0)</f>
        <v>3.125E-2</v>
      </c>
      <c r="V3295" s="44">
        <f>IF(Mecze[[#This Row],[Role]]&lt;&gt;"BR",SUMPRODUCT(Mecze[[#This Row],[/PR:90]:[/BR:90]],Brudnopis!$E$26:$J$26),0)</f>
        <v>2.0833333333333332E-2</v>
      </c>
      <c r="W3295" s="44">
        <f>IF(Mecze[[#This Row],[Role]]&lt;&gt;"BR",SUMPRODUCT(Mecze[[#This Row],[/PR:90]:[/BR:90]],Brudnopis!$E$27:$J$27),0)</f>
        <v>3.125E-2</v>
      </c>
      <c r="X3295" s="44">
        <f>IF(Mecze[[#This Row],[Role]]&lt;&gt;"BR",SUMPRODUCT(Mecze[[#This Row],[/PR:90]:[/BR:90]],Brudnopis!$E$28:$J$28),0)</f>
        <v>2.0833333333333332E-2</v>
      </c>
      <c r="Y3295" s="35">
        <f>IF(Mecze[[#This Row],[Role]]="BR",Mecze[[#This Row],[/OB:90]]+Mecze[[#This Row],[/PC:90]],SUM(Mecze[[#This Row],[/PR:90]:[/BR:90]]))</f>
        <v>2.0833333333333332E-2</v>
      </c>
      <c r="Z3295" s="35">
        <f>IF(Mecze[[#This Row],[KC]]=0,SUM(Mecze[[#This Row],[/BRI]:[/NPI]]),SUM(Mecze[[#This Row],[/BRI]:[/NPI]])*0.6)</f>
        <v>0.12499999999999999</v>
      </c>
      <c r="AA3295" s="10">
        <f>IFERROR(Mecze[[#This Row],[BR]]/Mecze[[#This Row],[ST]],0)</f>
        <v>0</v>
      </c>
      <c r="AB3295">
        <f>ROUND(Mecze[[#This Row],[PD]]*Mecze[[#This Row],[%PC]],0)</f>
        <v>2</v>
      </c>
      <c r="AC3295">
        <f>ROUND(Mecze[[#This Row],[OD]]*Mecze[[#This Row],[%OU]],0)</f>
        <v>0</v>
      </c>
      <c r="AD3295" s="36" t="s">
        <v>173</v>
      </c>
      <c r="AE3295" s="36">
        <v>184</v>
      </c>
      <c r="AF3295" s="71">
        <v>2.7</v>
      </c>
      <c r="AG3295" s="37">
        <v>0</v>
      </c>
      <c r="AH3295" s="37">
        <v>0</v>
      </c>
      <c r="AI3295" s="37">
        <v>96</v>
      </c>
      <c r="AJ3295" s="37">
        <v>9</v>
      </c>
      <c r="AK3295" s="37" t="str">
        <f>VLOOKUP(Mecze[[#This Row],[Match ID]],Meczusie[Mecz]:Meczusie[RodzajMeczu],2,FALSE)</f>
        <v>Liga</v>
      </c>
    </row>
    <row r="3296" spans="1:37" x14ac:dyDescent="0.25">
      <c r="A3296" s="76">
        <v>8</v>
      </c>
      <c r="B3296" s="3" t="s">
        <v>294</v>
      </c>
      <c r="C3296" s="2" t="s">
        <v>160</v>
      </c>
      <c r="D3296" s="1">
        <v>0</v>
      </c>
      <c r="E3296" s="1">
        <v>0</v>
      </c>
      <c r="F3296" s="1">
        <v>0</v>
      </c>
      <c r="G3296" s="1">
        <v>19</v>
      </c>
      <c r="H3296" s="4">
        <v>0.74</v>
      </c>
      <c r="I3296" s="1">
        <v>12</v>
      </c>
      <c r="J3296" s="4">
        <v>0.42</v>
      </c>
      <c r="K3296" s="1">
        <v>0</v>
      </c>
      <c r="L3296" s="1">
        <v>6</v>
      </c>
      <c r="M3296" s="32">
        <f>IF(Mecze[[#This Row],[PR]]=0,0,Mecze[[#This Row],[PR]]/Mecze[[#This Row],[CZAS]])</f>
        <v>6.25E-2</v>
      </c>
      <c r="N3296" s="32">
        <f>IF(Mecze[[#This Row],[OU]]=0,0,Mecze[[#This Row],[OU]]/Mecze[[#This Row],[CZAS]])</f>
        <v>5.2083333333333336E-2</v>
      </c>
      <c r="O3296" s="32">
        <f>IF(Mecze[[#This Row],[PC]]=0,0,Mecze[[#This Row],[PC]]/Mecze[[#This Row],[CZAS]])</f>
        <v>0.14583333333333334</v>
      </c>
      <c r="P3296" s="32">
        <f>IF(Mecze[[#This Row],[SC]]=0,0,Mecze[[#This Row],[SC]]/Mecze[[#This Row],[CZAS]])</f>
        <v>0</v>
      </c>
      <c r="Q3296" s="32">
        <f>IF(Mecze[[#This Row],[OB]]=0,0,Mecze[[#This Row],[OB]]/Mecze[[#This Row],[CZAS]])</f>
        <v>0</v>
      </c>
      <c r="R3296" s="32">
        <f>IF(Mecze[[#This Row],[BR]]=0,0,Mecze[[#This Row],[BR]]/Mecze[[#This Row],[CZAS]])</f>
        <v>0</v>
      </c>
      <c r="S3296" s="44">
        <f>IF(Mecze[[#This Row],[Role]]="BR",SUMPRODUCT(Mecze[[#This Row],[/PR:90]:[/BR:90]],Brudnopis!$E$23:$J$23),0)</f>
        <v>0</v>
      </c>
      <c r="T3296" s="44">
        <f>IF(Mecze[[#This Row],[Role]]&lt;&gt;"BR",SUMPRODUCT(Mecze[[#This Row],[/PR:90]:[/BR:90]],Brudnopis!$E$24:$J$24),0)</f>
        <v>0.28645833333333337</v>
      </c>
      <c r="U3296" s="44">
        <f>IF(Mecze[[#This Row],[Role]]&lt;&gt;"BR",SUMPRODUCT(Mecze[[#This Row],[/PR:90]:[/BR:90]],Brudnopis!$E$25:$J$25),0)</f>
        <v>0.33333333333333337</v>
      </c>
      <c r="V3296" s="44">
        <f>IF(Mecze[[#This Row],[Role]]&lt;&gt;"BR",SUMPRODUCT(Mecze[[#This Row],[/PR:90]:[/BR:90]],Brudnopis!$E$26:$J$26),0)</f>
        <v>0.26041666666666669</v>
      </c>
      <c r="W3296" s="44">
        <f>IF(Mecze[[#This Row],[Role]]&lt;&gt;"BR",SUMPRODUCT(Mecze[[#This Row],[/PR:90]:[/BR:90]],Brudnopis!$E$27:$J$27),0)</f>
        <v>0.3046875</v>
      </c>
      <c r="X3296" s="44">
        <f>IF(Mecze[[#This Row],[Role]]&lt;&gt;"BR",SUMPRODUCT(Mecze[[#This Row],[/PR:90]:[/BR:90]],Brudnopis!$E$28:$J$28),0)</f>
        <v>0.14583333333333334</v>
      </c>
      <c r="Y3296" s="35">
        <f>IF(Mecze[[#This Row],[Role]]="BR",Mecze[[#This Row],[/OB:90]]+Mecze[[#This Row],[/PC:90]],SUM(Mecze[[#This Row],[/PR:90]:[/BR:90]]))</f>
        <v>0.26041666666666669</v>
      </c>
      <c r="Z3296" s="35">
        <f>IF(Mecze[[#This Row],[KC]]=0,SUM(Mecze[[#This Row],[/BRI]:[/NPI]]),SUM(Mecze[[#This Row],[/BRI]:[/NPI]])*0.6)</f>
        <v>1.3307291666666667</v>
      </c>
      <c r="AA3296" s="10">
        <f>IFERROR(Mecze[[#This Row],[BR]]/Mecze[[#This Row],[ST]],0)</f>
        <v>0</v>
      </c>
      <c r="AB3296">
        <f>ROUND(Mecze[[#This Row],[PD]]*Mecze[[#This Row],[%PC]],0)</f>
        <v>14</v>
      </c>
      <c r="AC3296">
        <f>ROUND(Mecze[[#This Row],[OD]]*Mecze[[#This Row],[%OU]],0)</f>
        <v>5</v>
      </c>
      <c r="AD3296" s="36" t="s">
        <v>67</v>
      </c>
      <c r="AE3296" s="36">
        <v>184</v>
      </c>
      <c r="AF3296" s="71">
        <v>4.0599999999999996</v>
      </c>
      <c r="AG3296" s="37">
        <v>1</v>
      </c>
      <c r="AH3296" s="37">
        <v>0</v>
      </c>
      <c r="AI3296" s="37">
        <v>96</v>
      </c>
      <c r="AJ3296" s="37">
        <v>9</v>
      </c>
      <c r="AK3296" s="37" t="str">
        <f>VLOOKUP(Mecze[[#This Row],[Match ID]],Meczusie[Mecz]:Meczusie[RodzajMeczu],2,FALSE)</f>
        <v>Liga</v>
      </c>
    </row>
    <row r="3297" spans="1:37" x14ac:dyDescent="0.25">
      <c r="A3297" s="76">
        <v>11</v>
      </c>
      <c r="B3297" s="3" t="s">
        <v>410</v>
      </c>
      <c r="C3297" s="2" t="s">
        <v>160</v>
      </c>
      <c r="D3297" s="1">
        <v>0</v>
      </c>
      <c r="E3297" s="1">
        <v>1</v>
      </c>
      <c r="F3297" s="1">
        <v>1</v>
      </c>
      <c r="G3297" s="1">
        <v>9</v>
      </c>
      <c r="H3297" s="4">
        <v>0.67</v>
      </c>
      <c r="I3297" s="1">
        <v>3</v>
      </c>
      <c r="J3297" s="4">
        <v>0.33</v>
      </c>
      <c r="K3297" s="1">
        <v>0</v>
      </c>
      <c r="L3297" s="1">
        <v>2</v>
      </c>
      <c r="M3297" s="32">
        <f>IF(Mecze[[#This Row],[PR]]=0,0,Mecze[[#This Row],[PR]]/Mecze[[#This Row],[CZAS]])</f>
        <v>2.0833333333333332E-2</v>
      </c>
      <c r="N3297" s="32">
        <f>IF(Mecze[[#This Row],[OU]]=0,0,Mecze[[#This Row],[OU]]/Mecze[[#This Row],[CZAS]])</f>
        <v>1.0416666666666666E-2</v>
      </c>
      <c r="O3297" s="32">
        <f>IF(Mecze[[#This Row],[PC]]=0,0,Mecze[[#This Row],[PC]]/Mecze[[#This Row],[CZAS]])</f>
        <v>6.25E-2</v>
      </c>
      <c r="P3297" s="32">
        <f>IF(Mecze[[#This Row],[SC]]=0,0,Mecze[[#This Row],[SC]]/Mecze[[#This Row],[CZAS]])</f>
        <v>1.0416666666666666E-2</v>
      </c>
      <c r="Q3297" s="32">
        <f>IF(Mecze[[#This Row],[OB]]=0,0,Mecze[[#This Row],[OB]]/Mecze[[#This Row],[CZAS]])</f>
        <v>0</v>
      </c>
      <c r="R3297" s="32">
        <f>IF(Mecze[[#This Row],[BR]]=0,0,Mecze[[#This Row],[BR]]/Mecze[[#This Row],[CZAS]])</f>
        <v>0</v>
      </c>
      <c r="S3297" s="44">
        <f>IF(Mecze[[#This Row],[Role]]="BR",SUMPRODUCT(Mecze[[#This Row],[/PR:90]:[/BR:90]],Brudnopis!$E$23:$J$23),0)</f>
        <v>0</v>
      </c>
      <c r="T3297" s="44">
        <f>IF(Mecze[[#This Row],[Role]]&lt;&gt;"BR",SUMPRODUCT(Mecze[[#This Row],[/PR:90]:[/BR:90]],Brudnopis!$E$24:$J$24),0)</f>
        <v>0.109375</v>
      </c>
      <c r="U3297" s="44">
        <f>IF(Mecze[[#This Row],[Role]]&lt;&gt;"BR",SUMPRODUCT(Mecze[[#This Row],[/PR:90]:[/BR:90]],Brudnopis!$E$25:$J$25),0)</f>
        <v>0.13541666666666666</v>
      </c>
      <c r="V3297" s="44">
        <f>IF(Mecze[[#This Row],[Role]]&lt;&gt;"BR",SUMPRODUCT(Mecze[[#This Row],[/PR:90]:[/BR:90]],Brudnopis!$E$26:$J$26),0)</f>
        <v>0.10416666666666667</v>
      </c>
      <c r="W3297" s="44">
        <f>IF(Mecze[[#This Row],[Role]]&lt;&gt;"BR",SUMPRODUCT(Mecze[[#This Row],[/PR:90]:[/BR:90]],Brudnopis!$E$27:$J$27),0)</f>
        <v>0.12760416666666666</v>
      </c>
      <c r="X3297" s="44">
        <f>IF(Mecze[[#This Row],[Role]]&lt;&gt;"BR",SUMPRODUCT(Mecze[[#This Row],[/PR:90]:[/BR:90]],Brudnopis!$E$28:$J$28),0)</f>
        <v>8.3333333333333329E-2</v>
      </c>
      <c r="Y3297" s="35">
        <f>IF(Mecze[[#This Row],[Role]]="BR",Mecze[[#This Row],[/OB:90]]+Mecze[[#This Row],[/PC:90]],SUM(Mecze[[#This Row],[/PR:90]:[/BR:90]]))</f>
        <v>0.10416666666666667</v>
      </c>
      <c r="Z3297" s="35">
        <f>IF(Mecze[[#This Row],[KC]]=0,SUM(Mecze[[#This Row],[/BRI]:[/NPI]]),SUM(Mecze[[#This Row],[/BRI]:[/NPI]])*0.6)</f>
        <v>0.55989583333333337</v>
      </c>
      <c r="AA3297" s="10">
        <f>IFERROR(Mecze[[#This Row],[BR]]/Mecze[[#This Row],[ST]],0)</f>
        <v>0</v>
      </c>
      <c r="AB3297">
        <f>ROUND(Mecze[[#This Row],[PD]]*Mecze[[#This Row],[%PC]],0)</f>
        <v>6</v>
      </c>
      <c r="AC3297">
        <f>ROUND(Mecze[[#This Row],[OD]]*Mecze[[#This Row],[%OU]],0)</f>
        <v>1</v>
      </c>
      <c r="AD3297" s="36" t="s">
        <v>299</v>
      </c>
      <c r="AE3297" s="36">
        <v>184</v>
      </c>
      <c r="AF3297" s="71">
        <v>4.5599999999999996</v>
      </c>
      <c r="AG3297" s="37">
        <v>0</v>
      </c>
      <c r="AH3297" s="37">
        <v>0</v>
      </c>
      <c r="AI3297" s="37">
        <v>96</v>
      </c>
      <c r="AJ3297" s="37">
        <v>9</v>
      </c>
      <c r="AK3297" s="37" t="str">
        <f>VLOOKUP(Mecze[[#This Row],[Match ID]],Meczusie[Mecz]:Meczusie[RodzajMeczu],2,FALSE)</f>
        <v>Liga</v>
      </c>
    </row>
    <row r="3298" spans="1:37" x14ac:dyDescent="0.25">
      <c r="A3298" s="76">
        <v>13</v>
      </c>
      <c r="B3298" s="3" t="s">
        <v>295</v>
      </c>
      <c r="C3298" s="2" t="s">
        <v>160</v>
      </c>
      <c r="D3298" s="1">
        <v>0</v>
      </c>
      <c r="E3298" s="1">
        <v>2</v>
      </c>
      <c r="F3298" s="1">
        <v>1</v>
      </c>
      <c r="G3298" s="1">
        <v>12</v>
      </c>
      <c r="H3298" s="4">
        <v>0.57999999999999996</v>
      </c>
      <c r="I3298" s="1">
        <v>3</v>
      </c>
      <c r="J3298" s="4">
        <v>0.33</v>
      </c>
      <c r="K3298" s="1">
        <v>0</v>
      </c>
      <c r="L3298" s="1">
        <v>1</v>
      </c>
      <c r="M3298" s="32">
        <f>IF(Mecze[[#This Row],[PR]]=0,0,Mecze[[#This Row],[PR]]/Mecze[[#This Row],[CZAS]])</f>
        <v>1.0416666666666666E-2</v>
      </c>
      <c r="N3298" s="32">
        <f>IF(Mecze[[#This Row],[OU]]=0,0,Mecze[[#This Row],[OU]]/Mecze[[#This Row],[CZAS]])</f>
        <v>1.0416666666666666E-2</v>
      </c>
      <c r="O3298" s="32">
        <f>IF(Mecze[[#This Row],[PC]]=0,0,Mecze[[#This Row],[PC]]/Mecze[[#This Row],[CZAS]])</f>
        <v>7.2916666666666671E-2</v>
      </c>
      <c r="P3298" s="32">
        <f>IF(Mecze[[#This Row],[SC]]=0,0,Mecze[[#This Row],[SC]]/Mecze[[#This Row],[CZAS]])</f>
        <v>1.0416666666666666E-2</v>
      </c>
      <c r="Q3298" s="32">
        <f>IF(Mecze[[#This Row],[OB]]=0,0,Mecze[[#This Row],[OB]]/Mecze[[#This Row],[CZAS]])</f>
        <v>0</v>
      </c>
      <c r="R3298" s="32">
        <f>IF(Mecze[[#This Row],[BR]]=0,0,Mecze[[#This Row],[BR]]/Mecze[[#This Row],[CZAS]])</f>
        <v>0</v>
      </c>
      <c r="S3298" s="44">
        <f>IF(Mecze[[#This Row],[Role]]="BR",SUMPRODUCT(Mecze[[#This Row],[/PR:90]:[/BR:90]],Brudnopis!$E$23:$J$23),0)</f>
        <v>0</v>
      </c>
      <c r="T3298" s="44">
        <f>IF(Mecze[[#This Row],[Role]]&lt;&gt;"BR",SUMPRODUCT(Mecze[[#This Row],[/PR:90]:[/BR:90]],Brudnopis!$E$24:$J$24),0)</f>
        <v>0.10937500000000001</v>
      </c>
      <c r="U3298" s="44">
        <f>IF(Mecze[[#This Row],[Role]]&lt;&gt;"BR",SUMPRODUCT(Mecze[[#This Row],[/PR:90]:[/BR:90]],Brudnopis!$E$25:$J$25),0)</f>
        <v>0.140625</v>
      </c>
      <c r="V3298" s="44">
        <f>IF(Mecze[[#This Row],[Role]]&lt;&gt;"BR",SUMPRODUCT(Mecze[[#This Row],[/PR:90]:[/BR:90]],Brudnopis!$E$26:$J$26),0)</f>
        <v>0.10416666666666667</v>
      </c>
      <c r="W3298" s="44">
        <f>IF(Mecze[[#This Row],[Role]]&lt;&gt;"BR",SUMPRODUCT(Mecze[[#This Row],[/PR:90]:[/BR:90]],Brudnopis!$E$27:$J$27),0)</f>
        <v>0.13541666666666666</v>
      </c>
      <c r="X3298" s="44">
        <f>IF(Mecze[[#This Row],[Role]]&lt;&gt;"BR",SUMPRODUCT(Mecze[[#This Row],[/PR:90]:[/BR:90]],Brudnopis!$E$28:$J$28),0)</f>
        <v>9.375E-2</v>
      </c>
      <c r="Y3298" s="35">
        <f>IF(Mecze[[#This Row],[Role]]="BR",Mecze[[#This Row],[/OB:90]]+Mecze[[#This Row],[/PC:90]],SUM(Mecze[[#This Row],[/PR:90]:[/BR:90]]))</f>
        <v>0.10416666666666667</v>
      </c>
      <c r="Z3298" s="35">
        <f>IF(Mecze[[#This Row],[KC]]=0,SUM(Mecze[[#This Row],[/BRI]:[/NPI]]),SUM(Mecze[[#This Row],[/BRI]:[/NPI]])*0.6)</f>
        <v>0.58333333333333337</v>
      </c>
      <c r="AA3298" s="10">
        <f>IFERROR(Mecze[[#This Row],[BR]]/Mecze[[#This Row],[ST]],0)</f>
        <v>0</v>
      </c>
      <c r="AB3298">
        <f>ROUND(Mecze[[#This Row],[PD]]*Mecze[[#This Row],[%PC]],0)</f>
        <v>7</v>
      </c>
      <c r="AC3298">
        <f>ROUND(Mecze[[#This Row],[OD]]*Mecze[[#This Row],[%OU]],0)</f>
        <v>1</v>
      </c>
      <c r="AD3298" s="36" t="s">
        <v>171</v>
      </c>
      <c r="AE3298" s="36">
        <v>184</v>
      </c>
      <c r="AF3298" s="71">
        <v>4.3499999999999996</v>
      </c>
      <c r="AG3298" s="37">
        <v>0</v>
      </c>
      <c r="AH3298" s="37">
        <v>0</v>
      </c>
      <c r="AI3298" s="37">
        <v>96</v>
      </c>
      <c r="AJ3298" s="37">
        <v>9</v>
      </c>
      <c r="AK3298" s="37" t="str">
        <f>VLOOKUP(Mecze[[#This Row],[Match ID]],Meczusie[Mecz]:Meczusie[RodzajMeczu],2,FALSE)</f>
        <v>Liga</v>
      </c>
    </row>
    <row r="3299" spans="1:37" x14ac:dyDescent="0.25">
      <c r="A3299" s="76">
        <v>9</v>
      </c>
      <c r="B3299" s="3" t="s">
        <v>296</v>
      </c>
      <c r="C3299" s="2" t="s">
        <v>165</v>
      </c>
      <c r="D3299" s="1">
        <v>1</v>
      </c>
      <c r="E3299" s="1">
        <v>2</v>
      </c>
      <c r="F3299" s="1">
        <v>1</v>
      </c>
      <c r="G3299" s="1">
        <v>1</v>
      </c>
      <c r="H3299" s="4">
        <v>1</v>
      </c>
      <c r="I3299" s="1">
        <v>1</v>
      </c>
      <c r="J3299" s="4">
        <v>0</v>
      </c>
      <c r="K3299" s="1">
        <v>0</v>
      </c>
      <c r="L3299" s="1">
        <v>0</v>
      </c>
      <c r="M3299" s="32">
        <f>IF(Mecze[[#This Row],[PR]]=0,0,Mecze[[#This Row],[PR]]/Mecze[[#This Row],[CZAS]])</f>
        <v>0</v>
      </c>
      <c r="N3299" s="32">
        <f>IF(Mecze[[#This Row],[OU]]=0,0,Mecze[[#This Row],[OU]]/Mecze[[#This Row],[CZAS]])</f>
        <v>0</v>
      </c>
      <c r="O3299" s="32">
        <f>IF(Mecze[[#This Row],[PC]]=0,0,Mecze[[#This Row],[PC]]/Mecze[[#This Row],[CZAS]])</f>
        <v>1.0416666666666666E-2</v>
      </c>
      <c r="P3299" s="32">
        <f>IF(Mecze[[#This Row],[SC]]=0,0,Mecze[[#This Row],[SC]]/Mecze[[#This Row],[CZAS]])</f>
        <v>1.0416666666666666E-2</v>
      </c>
      <c r="Q3299" s="32">
        <f>IF(Mecze[[#This Row],[OB]]=0,0,Mecze[[#This Row],[OB]]/Mecze[[#This Row],[CZAS]])</f>
        <v>0</v>
      </c>
      <c r="R3299" s="32">
        <f>IF(Mecze[[#This Row],[BR]]=0,0,Mecze[[#This Row],[BR]]/Mecze[[#This Row],[CZAS]])</f>
        <v>1.0416666666666666E-2</v>
      </c>
      <c r="S3299" s="44">
        <f>IF(Mecze[[#This Row],[Role]]="BR",SUMPRODUCT(Mecze[[#This Row],[/PR:90]:[/BR:90]],Brudnopis!$E$23:$J$23),0)</f>
        <v>0</v>
      </c>
      <c r="T3299" s="44">
        <f>IF(Mecze[[#This Row],[Role]]&lt;&gt;"BR",SUMPRODUCT(Mecze[[#This Row],[/PR:90]:[/BR:90]],Brudnopis!$E$24:$J$24),0)</f>
        <v>3.6458333333333329E-2</v>
      </c>
      <c r="U3299" s="44">
        <f>IF(Mecze[[#This Row],[Role]]&lt;&gt;"BR",SUMPRODUCT(Mecze[[#This Row],[/PR:90]:[/BR:90]],Brudnopis!$E$25:$J$25),0)</f>
        <v>4.1666666666666664E-2</v>
      </c>
      <c r="V3299" s="44">
        <f>IF(Mecze[[#This Row],[Role]]&lt;&gt;"BR",SUMPRODUCT(Mecze[[#This Row],[/PR:90]:[/BR:90]],Brudnopis!$E$26:$J$26),0)</f>
        <v>4.1666666666666664E-2</v>
      </c>
      <c r="W3299" s="44">
        <f>IF(Mecze[[#This Row],[Role]]&lt;&gt;"BR",SUMPRODUCT(Mecze[[#This Row],[/PR:90]:[/BR:90]],Brudnopis!$E$27:$J$27),0)</f>
        <v>4.6875E-2</v>
      </c>
      <c r="X3299" s="44">
        <f>IF(Mecze[[#This Row],[Role]]&lt;&gt;"BR",SUMPRODUCT(Mecze[[#This Row],[/PR:90]:[/BR:90]],Brudnopis!$E$28:$J$28),0)</f>
        <v>6.25E-2</v>
      </c>
      <c r="Y3299" s="35">
        <f>IF(Mecze[[#This Row],[Role]]="BR",Mecze[[#This Row],[/OB:90]]+Mecze[[#This Row],[/PC:90]],SUM(Mecze[[#This Row],[/PR:90]:[/BR:90]]))</f>
        <v>3.125E-2</v>
      </c>
      <c r="Z3299" s="35">
        <f>IF(Mecze[[#This Row],[KC]]=0,SUM(Mecze[[#This Row],[/BRI]:[/NPI]]),SUM(Mecze[[#This Row],[/BRI]:[/NPI]])*0.6)</f>
        <v>0.22916666666666666</v>
      </c>
      <c r="AA3299" s="10">
        <f>IFERROR(Mecze[[#This Row],[BR]]/Mecze[[#This Row],[ST]],0)</f>
        <v>0.5</v>
      </c>
      <c r="AB3299">
        <f>ROUND(Mecze[[#This Row],[PD]]*Mecze[[#This Row],[%PC]],0)</f>
        <v>1</v>
      </c>
      <c r="AC3299">
        <f>ROUND(Mecze[[#This Row],[OD]]*Mecze[[#This Row],[%OU]],0)</f>
        <v>0</v>
      </c>
      <c r="AD3299" s="36" t="s">
        <v>272</v>
      </c>
      <c r="AE3299" s="36">
        <v>184</v>
      </c>
      <c r="AF3299" s="71">
        <v>5.23</v>
      </c>
      <c r="AG3299" s="37">
        <v>0</v>
      </c>
      <c r="AH3299" s="37">
        <v>0</v>
      </c>
      <c r="AI3299" s="37">
        <v>96</v>
      </c>
      <c r="AJ3299" s="37">
        <v>9</v>
      </c>
      <c r="AK3299" s="37" t="str">
        <f>VLOOKUP(Mecze[[#This Row],[Match ID]],Meczusie[Mecz]:Meczusie[RodzajMeczu],2,FALSE)</f>
        <v>Liga</v>
      </c>
    </row>
    <row r="3300" spans="1:37" x14ac:dyDescent="0.25">
      <c r="A3300" s="76">
        <v>6</v>
      </c>
      <c r="B3300" s="3" t="s">
        <v>297</v>
      </c>
      <c r="C3300" s="2" t="s">
        <v>165</v>
      </c>
      <c r="D3300" s="1">
        <v>0</v>
      </c>
      <c r="E3300" s="1">
        <v>5</v>
      </c>
      <c r="F3300" s="1">
        <v>3</v>
      </c>
      <c r="G3300" s="1">
        <v>9</v>
      </c>
      <c r="H3300" s="4">
        <v>1</v>
      </c>
      <c r="I3300" s="1">
        <v>6</v>
      </c>
      <c r="J3300" s="4">
        <v>0.5</v>
      </c>
      <c r="K3300" s="1">
        <v>0</v>
      </c>
      <c r="L3300" s="1">
        <v>0</v>
      </c>
      <c r="M3300" s="32">
        <f>IF(Mecze[[#This Row],[PR]]=0,0,Mecze[[#This Row],[PR]]/Mecze[[#This Row],[CZAS]])</f>
        <v>0</v>
      </c>
      <c r="N3300" s="32">
        <f>IF(Mecze[[#This Row],[OU]]=0,0,Mecze[[#This Row],[OU]]/Mecze[[#This Row],[CZAS]])</f>
        <v>3.125E-2</v>
      </c>
      <c r="O3300" s="32">
        <f>IF(Mecze[[#This Row],[PC]]=0,0,Mecze[[#This Row],[PC]]/Mecze[[#This Row],[CZAS]])</f>
        <v>9.375E-2</v>
      </c>
      <c r="P3300" s="32">
        <f>IF(Mecze[[#This Row],[SC]]=0,0,Mecze[[#This Row],[SC]]/Mecze[[#This Row],[CZAS]])</f>
        <v>3.125E-2</v>
      </c>
      <c r="Q3300" s="32">
        <f>IF(Mecze[[#This Row],[OB]]=0,0,Mecze[[#This Row],[OB]]/Mecze[[#This Row],[CZAS]])</f>
        <v>0</v>
      </c>
      <c r="R3300" s="32">
        <f>IF(Mecze[[#This Row],[BR]]=0,0,Mecze[[#This Row],[BR]]/Mecze[[#This Row],[CZAS]])</f>
        <v>0</v>
      </c>
      <c r="S3300" s="44">
        <f>IF(Mecze[[#This Row],[Role]]="BR",SUMPRODUCT(Mecze[[#This Row],[/PR:90]:[/BR:90]],Brudnopis!$E$23:$J$23),0)</f>
        <v>0</v>
      </c>
      <c r="T3300" s="44">
        <f>IF(Mecze[[#This Row],[Role]]&lt;&gt;"BR",SUMPRODUCT(Mecze[[#This Row],[/PR:90]:[/BR:90]],Brudnopis!$E$24:$J$24),0)</f>
        <v>0.171875</v>
      </c>
      <c r="U3300" s="44">
        <f>IF(Mecze[[#This Row],[Role]]&lt;&gt;"BR",SUMPRODUCT(Mecze[[#This Row],[/PR:90]:[/BR:90]],Brudnopis!$E$25:$J$25),0)</f>
        <v>0.203125</v>
      </c>
      <c r="V3300" s="44">
        <f>IF(Mecze[[#This Row],[Role]]&lt;&gt;"BR",SUMPRODUCT(Mecze[[#This Row],[/PR:90]:[/BR:90]],Brudnopis!$E$26:$J$26),0)</f>
        <v>0.15625</v>
      </c>
      <c r="W3300" s="44">
        <f>IF(Mecze[[#This Row],[Role]]&lt;&gt;"BR",SUMPRODUCT(Mecze[[#This Row],[/PR:90]:[/BR:90]],Brudnopis!$E$27:$J$27),0)</f>
        <v>0.1953125</v>
      </c>
      <c r="X3300" s="44">
        <f>IF(Mecze[[#This Row],[Role]]&lt;&gt;"BR",SUMPRODUCT(Mecze[[#This Row],[/PR:90]:[/BR:90]],Brudnopis!$E$28:$J$28),0)</f>
        <v>0.15625</v>
      </c>
      <c r="Y3300" s="35">
        <f>IF(Mecze[[#This Row],[Role]]="BR",Mecze[[#This Row],[/OB:90]]+Mecze[[#This Row],[/PC:90]],SUM(Mecze[[#This Row],[/PR:90]:[/BR:90]]))</f>
        <v>0.15625</v>
      </c>
      <c r="Z3300" s="35">
        <f>IF(Mecze[[#This Row],[KC]]=0,SUM(Mecze[[#This Row],[/BRI]:[/NPI]]),SUM(Mecze[[#This Row],[/BRI]:[/NPI]])*0.6)</f>
        <v>0.8828125</v>
      </c>
      <c r="AA3300" s="10">
        <f>IFERROR(Mecze[[#This Row],[BR]]/Mecze[[#This Row],[ST]],0)</f>
        <v>0</v>
      </c>
      <c r="AB3300">
        <f>ROUND(Mecze[[#This Row],[PD]]*Mecze[[#This Row],[%PC]],0)</f>
        <v>9</v>
      </c>
      <c r="AC3300">
        <f>ROUND(Mecze[[#This Row],[OD]]*Mecze[[#This Row],[%OU]],0)</f>
        <v>3</v>
      </c>
      <c r="AD3300" s="36" t="s">
        <v>46</v>
      </c>
      <c r="AE3300" s="36">
        <v>184</v>
      </c>
      <c r="AF3300" s="71">
        <v>6.51</v>
      </c>
      <c r="AG3300" s="37">
        <v>0</v>
      </c>
      <c r="AH3300" s="37">
        <v>0</v>
      </c>
      <c r="AI3300" s="37">
        <v>96</v>
      </c>
      <c r="AJ3300" s="37">
        <v>9</v>
      </c>
      <c r="AK3300" s="37" t="str">
        <f>VLOOKUP(Mecze[[#This Row],[Match ID]],Meczusie[Mecz]:Meczusie[RodzajMeczu],2,FALSE)</f>
        <v>Liga</v>
      </c>
    </row>
    <row r="3301" spans="1:37" x14ac:dyDescent="0.25">
      <c r="A3301" s="76">
        <v>1</v>
      </c>
      <c r="B3301" s="3" t="s">
        <v>274</v>
      </c>
      <c r="C3301" s="2" t="s">
        <v>155</v>
      </c>
      <c r="D3301" s="1">
        <v>0</v>
      </c>
      <c r="E3301" s="1">
        <v>0</v>
      </c>
      <c r="F3301" s="1">
        <v>0</v>
      </c>
      <c r="G3301" s="1">
        <v>8</v>
      </c>
      <c r="H3301" s="4">
        <v>0.5</v>
      </c>
      <c r="I3301" s="1">
        <v>0</v>
      </c>
      <c r="J3301" s="4"/>
      <c r="K3301" s="1">
        <v>5</v>
      </c>
      <c r="L3301" s="1">
        <v>0</v>
      </c>
      <c r="M3301" s="32">
        <f>IF(Mecze[[#This Row],[PR]]=0,0,Mecze[[#This Row],[PR]]/Mecze[[#This Row],[CZAS]])</f>
        <v>0</v>
      </c>
      <c r="N3301" s="32">
        <f>IF(Mecze[[#This Row],[OU]]=0,0,Mecze[[#This Row],[OU]]/Mecze[[#This Row],[CZAS]])</f>
        <v>0</v>
      </c>
      <c r="O3301" s="32">
        <f>IF(Mecze[[#This Row],[PC]]=0,0,Mecze[[#This Row],[PC]]/Mecze[[#This Row],[CZAS]])</f>
        <v>4.1666666666666664E-2</v>
      </c>
      <c r="P3301" s="32">
        <f>IF(Mecze[[#This Row],[SC]]=0,0,Mecze[[#This Row],[SC]]/Mecze[[#This Row],[CZAS]])</f>
        <v>0</v>
      </c>
      <c r="Q3301" s="32">
        <f>IF(Mecze[[#This Row],[OB]]=0,0,Mecze[[#This Row],[OB]]/Mecze[[#This Row],[CZAS]])</f>
        <v>5.2083333333333336E-2</v>
      </c>
      <c r="R3301" s="32">
        <f>IF(Mecze[[#This Row],[BR]]=0,0,Mecze[[#This Row],[BR]]/Mecze[[#This Row],[CZAS]])</f>
        <v>0</v>
      </c>
      <c r="S3301" s="44">
        <f>IF(Mecze[[#This Row],[Role]]="BR",SUMPRODUCT(Mecze[[#This Row],[/PR:90]:[/BR:90]],Brudnopis!$E$23:$J$23),0)</f>
        <v>0.28125</v>
      </c>
      <c r="T3301" s="44">
        <f>IF(Mecze[[#This Row],[Role]]&lt;&gt;"BR",SUMPRODUCT(Mecze[[#This Row],[/PR:90]:[/BR:90]],Brudnopis!$E$24:$J$24),0)</f>
        <v>0</v>
      </c>
      <c r="U3301" s="44">
        <f>IF(Mecze[[#This Row],[Role]]&lt;&gt;"BR",SUMPRODUCT(Mecze[[#This Row],[/PR:90]:[/BR:90]],Brudnopis!$E$25:$J$25),0)</f>
        <v>0</v>
      </c>
      <c r="V3301" s="44">
        <f>IF(Mecze[[#This Row],[Role]]&lt;&gt;"BR",SUMPRODUCT(Mecze[[#This Row],[/PR:90]:[/BR:90]],Brudnopis!$E$26:$J$26),0)</f>
        <v>0</v>
      </c>
      <c r="W3301" s="44">
        <f>IF(Mecze[[#This Row],[Role]]&lt;&gt;"BR",SUMPRODUCT(Mecze[[#This Row],[/PR:90]:[/BR:90]],Brudnopis!$E$27:$J$27),0)</f>
        <v>0</v>
      </c>
      <c r="X3301" s="44">
        <f>IF(Mecze[[#This Row],[Role]]&lt;&gt;"BR",SUMPRODUCT(Mecze[[#This Row],[/PR:90]:[/BR:90]],Brudnopis!$E$28:$J$28),0)</f>
        <v>0</v>
      </c>
      <c r="Y3301" s="35">
        <f>IF(Mecze[[#This Row],[Role]]="BR",Mecze[[#This Row],[/OB:90]]+Mecze[[#This Row],[/PC:90]],SUM(Mecze[[#This Row],[/PR:90]:[/BR:90]]))</f>
        <v>9.375E-2</v>
      </c>
      <c r="Z3301" s="35">
        <f>IF(Mecze[[#This Row],[KC]]=0,SUM(Mecze[[#This Row],[/BRI]:[/NPI]]),SUM(Mecze[[#This Row],[/BRI]:[/NPI]])*0.6)</f>
        <v>0.28125</v>
      </c>
      <c r="AA3301" s="10">
        <f>IFERROR(Mecze[[#This Row],[BR]]/Mecze[[#This Row],[ST]],0)</f>
        <v>0</v>
      </c>
      <c r="AB3301">
        <f>ROUND(Mecze[[#This Row],[PD]]*Mecze[[#This Row],[%PC]],0)</f>
        <v>4</v>
      </c>
      <c r="AC3301">
        <f>ROUND(Mecze[[#This Row],[OD]]*Mecze[[#This Row],[%OU]],0)</f>
        <v>0</v>
      </c>
      <c r="AD3301" s="36" t="s">
        <v>40</v>
      </c>
      <c r="AE3301" s="36">
        <v>184</v>
      </c>
      <c r="AF3301" s="71">
        <v>6.89</v>
      </c>
      <c r="AG3301" s="37">
        <v>0</v>
      </c>
      <c r="AH3301" s="37">
        <v>0</v>
      </c>
      <c r="AI3301" s="37">
        <v>96</v>
      </c>
      <c r="AJ3301" s="37">
        <v>4</v>
      </c>
      <c r="AK3301" s="37" t="str">
        <f>VLOOKUP(Mecze[[#This Row],[Match ID]],Meczusie[Mecz]:Meczusie[RodzajMeczu],2,FALSE)</f>
        <v>Liga</v>
      </c>
    </row>
    <row r="3302" spans="1:37" x14ac:dyDescent="0.25">
      <c r="A3302" s="76">
        <v>9</v>
      </c>
      <c r="B3302" s="3" t="s">
        <v>275</v>
      </c>
      <c r="C3302" s="2" t="s">
        <v>157</v>
      </c>
      <c r="D3302" s="1">
        <v>0</v>
      </c>
      <c r="E3302" s="1">
        <v>0</v>
      </c>
      <c r="F3302" s="1">
        <v>0</v>
      </c>
      <c r="G3302" s="1">
        <v>5</v>
      </c>
      <c r="H3302" s="4">
        <v>1</v>
      </c>
      <c r="I3302" s="1">
        <v>4</v>
      </c>
      <c r="J3302" s="4">
        <v>0.5</v>
      </c>
      <c r="K3302" s="1">
        <v>0</v>
      </c>
      <c r="L3302" s="1">
        <v>2</v>
      </c>
      <c r="M3302" s="32">
        <f>IF(Mecze[[#This Row],[PR]]=0,0,Mecze[[#This Row],[PR]]/Mecze[[#This Row],[CZAS]])</f>
        <v>2.0833333333333332E-2</v>
      </c>
      <c r="N3302" s="32">
        <f>IF(Mecze[[#This Row],[OU]]=0,0,Mecze[[#This Row],[OU]]/Mecze[[#This Row],[CZAS]])</f>
        <v>2.0833333333333332E-2</v>
      </c>
      <c r="O3302" s="32">
        <f>IF(Mecze[[#This Row],[PC]]=0,0,Mecze[[#This Row],[PC]]/Mecze[[#This Row],[CZAS]])</f>
        <v>5.2083333333333336E-2</v>
      </c>
      <c r="P3302" s="32">
        <f>IF(Mecze[[#This Row],[SC]]=0,0,Mecze[[#This Row],[SC]]/Mecze[[#This Row],[CZAS]])</f>
        <v>0</v>
      </c>
      <c r="Q3302" s="32">
        <f>IF(Mecze[[#This Row],[OB]]=0,0,Mecze[[#This Row],[OB]]/Mecze[[#This Row],[CZAS]])</f>
        <v>0</v>
      </c>
      <c r="R3302" s="32">
        <f>IF(Mecze[[#This Row],[BR]]=0,0,Mecze[[#This Row],[BR]]/Mecze[[#This Row],[CZAS]])</f>
        <v>0</v>
      </c>
      <c r="S3302" s="44">
        <f>IF(Mecze[[#This Row],[Role]]="BR",SUMPRODUCT(Mecze[[#This Row],[/PR:90]:[/BR:90]],Brudnopis!$E$23:$J$23),0)</f>
        <v>0</v>
      </c>
      <c r="T3302" s="44">
        <f>IF(Mecze[[#This Row],[Role]]&lt;&gt;"BR",SUMPRODUCT(Mecze[[#This Row],[/PR:90]:[/BR:90]],Brudnopis!$E$24:$J$24),0)</f>
        <v>0.10416666666666666</v>
      </c>
      <c r="U3302" s="44">
        <f>IF(Mecze[[#This Row],[Role]]&lt;&gt;"BR",SUMPRODUCT(Mecze[[#This Row],[/PR:90]:[/BR:90]],Brudnopis!$E$25:$J$25),0)</f>
        <v>0.11979166666666666</v>
      </c>
      <c r="V3302" s="44">
        <f>IF(Mecze[[#This Row],[Role]]&lt;&gt;"BR",SUMPRODUCT(Mecze[[#This Row],[/PR:90]:[/BR:90]],Brudnopis!$E$26:$J$26),0)</f>
        <v>9.375E-2</v>
      </c>
      <c r="W3302" s="44">
        <f>IF(Mecze[[#This Row],[Role]]&lt;&gt;"BR",SUMPRODUCT(Mecze[[#This Row],[/PR:90]:[/BR:90]],Brudnopis!$E$27:$J$27),0)</f>
        <v>0.109375</v>
      </c>
      <c r="X3302" s="44">
        <f>IF(Mecze[[#This Row],[Role]]&lt;&gt;"BR",SUMPRODUCT(Mecze[[#This Row],[/PR:90]:[/BR:90]],Brudnopis!$E$28:$J$28),0)</f>
        <v>5.2083333333333336E-2</v>
      </c>
      <c r="Y3302" s="35">
        <f>IF(Mecze[[#This Row],[Role]]="BR",Mecze[[#This Row],[/OB:90]]+Mecze[[#This Row],[/PC:90]],SUM(Mecze[[#This Row],[/PR:90]:[/BR:90]]))</f>
        <v>9.375E-2</v>
      </c>
      <c r="Z3302" s="35">
        <f>IF(Mecze[[#This Row],[KC]]=0,SUM(Mecze[[#This Row],[/BRI]:[/NPI]]),SUM(Mecze[[#This Row],[/BRI]:[/NPI]])*0.6)</f>
        <v>0.47916666666666663</v>
      </c>
      <c r="AA3302" s="10">
        <f>IFERROR(Mecze[[#This Row],[BR]]/Mecze[[#This Row],[ST]],0)</f>
        <v>0</v>
      </c>
      <c r="AB3302">
        <f>ROUND(Mecze[[#This Row],[PD]]*Mecze[[#This Row],[%PC]],0)</f>
        <v>5</v>
      </c>
      <c r="AC3302">
        <f>ROUND(Mecze[[#This Row],[OD]]*Mecze[[#This Row],[%OU]],0)</f>
        <v>2</v>
      </c>
      <c r="AD3302" s="36" t="s">
        <v>47</v>
      </c>
      <c r="AE3302" s="36">
        <v>184</v>
      </c>
      <c r="AF3302" s="71">
        <v>5.46</v>
      </c>
      <c r="AG3302" s="37">
        <v>0</v>
      </c>
      <c r="AH3302" s="37">
        <v>0</v>
      </c>
      <c r="AI3302" s="37">
        <v>96</v>
      </c>
      <c r="AJ3302" s="37">
        <v>4</v>
      </c>
      <c r="AK3302" s="37" t="str">
        <f>VLOOKUP(Mecze[[#This Row],[Match ID]],Meczusie[Mecz]:Meczusie[RodzajMeczu],2,FALSE)</f>
        <v>Liga</v>
      </c>
    </row>
    <row r="3303" spans="1:37" x14ac:dyDescent="0.25">
      <c r="A3303" s="76">
        <v>4</v>
      </c>
      <c r="B3303" s="3" t="s">
        <v>276</v>
      </c>
      <c r="C3303" s="2" t="s">
        <v>157</v>
      </c>
      <c r="D3303" s="1">
        <v>0</v>
      </c>
      <c r="E3303" s="1">
        <v>0</v>
      </c>
      <c r="F3303" s="1">
        <v>0</v>
      </c>
      <c r="G3303" s="1">
        <v>5</v>
      </c>
      <c r="H3303" s="4">
        <v>0.8</v>
      </c>
      <c r="I3303" s="1">
        <v>5</v>
      </c>
      <c r="J3303" s="4">
        <v>0.6</v>
      </c>
      <c r="K3303" s="1">
        <v>0</v>
      </c>
      <c r="L3303" s="1">
        <v>2</v>
      </c>
      <c r="M3303" s="32">
        <f>IF(Mecze[[#This Row],[PR]]=0,0,Mecze[[#This Row],[PR]]/Mecze[[#This Row],[CZAS]])</f>
        <v>2.0833333333333332E-2</v>
      </c>
      <c r="N3303" s="32">
        <f>IF(Mecze[[#This Row],[OU]]=0,0,Mecze[[#This Row],[OU]]/Mecze[[#This Row],[CZAS]])</f>
        <v>3.125E-2</v>
      </c>
      <c r="O3303" s="32">
        <f>IF(Mecze[[#This Row],[PC]]=0,0,Mecze[[#This Row],[PC]]/Mecze[[#This Row],[CZAS]])</f>
        <v>4.1666666666666664E-2</v>
      </c>
      <c r="P3303" s="32">
        <f>IF(Mecze[[#This Row],[SC]]=0,0,Mecze[[#This Row],[SC]]/Mecze[[#This Row],[CZAS]])</f>
        <v>0</v>
      </c>
      <c r="Q3303" s="32">
        <f>IF(Mecze[[#This Row],[OB]]=0,0,Mecze[[#This Row],[OB]]/Mecze[[#This Row],[CZAS]])</f>
        <v>0</v>
      </c>
      <c r="R3303" s="32">
        <f>IF(Mecze[[#This Row],[BR]]=0,0,Mecze[[#This Row],[BR]]/Mecze[[#This Row],[CZAS]])</f>
        <v>0</v>
      </c>
      <c r="S3303" s="44">
        <f>IF(Mecze[[#This Row],[Role]]="BR",SUMPRODUCT(Mecze[[#This Row],[/PR:90]:[/BR:90]],Brudnopis!$E$23:$J$23),0)</f>
        <v>0</v>
      </c>
      <c r="T3303" s="44">
        <f>IF(Mecze[[#This Row],[Role]]&lt;&gt;"BR",SUMPRODUCT(Mecze[[#This Row],[/PR:90]:[/BR:90]],Brudnopis!$E$24:$J$24),0)</f>
        <v>0.109375</v>
      </c>
      <c r="U3303" s="44">
        <f>IF(Mecze[[#This Row],[Role]]&lt;&gt;"BR",SUMPRODUCT(Mecze[[#This Row],[/PR:90]:[/BR:90]],Brudnopis!$E$25:$J$25),0)</f>
        <v>0.11458333333333333</v>
      </c>
      <c r="V3303" s="44">
        <f>IF(Mecze[[#This Row],[Role]]&lt;&gt;"BR",SUMPRODUCT(Mecze[[#This Row],[/PR:90]:[/BR:90]],Brudnopis!$E$26:$J$26),0)</f>
        <v>9.375E-2</v>
      </c>
      <c r="W3303" s="44">
        <f>IF(Mecze[[#This Row],[Role]]&lt;&gt;"BR",SUMPRODUCT(Mecze[[#This Row],[/PR:90]:[/BR:90]],Brudnopis!$E$27:$J$27),0)</f>
        <v>0.1015625</v>
      </c>
      <c r="X3303" s="44">
        <f>IF(Mecze[[#This Row],[Role]]&lt;&gt;"BR",SUMPRODUCT(Mecze[[#This Row],[/PR:90]:[/BR:90]],Brudnopis!$E$28:$J$28),0)</f>
        <v>4.1666666666666664E-2</v>
      </c>
      <c r="Y3303" s="35">
        <f>IF(Mecze[[#This Row],[Role]]="BR",Mecze[[#This Row],[/OB:90]]+Mecze[[#This Row],[/PC:90]],SUM(Mecze[[#This Row],[/PR:90]:[/BR:90]]))</f>
        <v>9.375E-2</v>
      </c>
      <c r="Z3303" s="35">
        <f>IF(Mecze[[#This Row],[KC]]=0,SUM(Mecze[[#This Row],[/BRI]:[/NPI]]),SUM(Mecze[[#This Row],[/BRI]:[/NPI]])*0.6)</f>
        <v>0.4609375</v>
      </c>
      <c r="AA3303" s="10">
        <f>IFERROR(Mecze[[#This Row],[BR]]/Mecze[[#This Row],[ST]],0)</f>
        <v>0</v>
      </c>
      <c r="AB3303">
        <f>ROUND(Mecze[[#This Row],[PD]]*Mecze[[#This Row],[%PC]],0)</f>
        <v>4</v>
      </c>
      <c r="AC3303">
        <f>ROUND(Mecze[[#This Row],[OD]]*Mecze[[#This Row],[%OU]],0)</f>
        <v>3</v>
      </c>
      <c r="AD3303" s="36" t="s">
        <v>168</v>
      </c>
      <c r="AE3303" s="36">
        <v>184</v>
      </c>
      <c r="AF3303" s="71">
        <v>5.46</v>
      </c>
      <c r="AG3303" s="37">
        <v>0</v>
      </c>
      <c r="AH3303" s="37">
        <v>0</v>
      </c>
      <c r="AI3303" s="37">
        <v>96</v>
      </c>
      <c r="AJ3303" s="37">
        <v>4</v>
      </c>
      <c r="AK3303" s="37" t="str">
        <f>VLOOKUP(Mecze[[#This Row],[Match ID]],Meczusie[Mecz]:Meczusie[RodzajMeczu],2,FALSE)</f>
        <v>Liga</v>
      </c>
    </row>
    <row r="3304" spans="1:37" x14ac:dyDescent="0.25">
      <c r="A3304" s="76">
        <v>5</v>
      </c>
      <c r="B3304" s="3" t="s">
        <v>277</v>
      </c>
      <c r="C3304" s="2" t="s">
        <v>157</v>
      </c>
      <c r="D3304" s="1">
        <v>0</v>
      </c>
      <c r="E3304" s="1">
        <v>0</v>
      </c>
      <c r="F3304" s="1">
        <v>0</v>
      </c>
      <c r="G3304" s="1">
        <v>7</v>
      </c>
      <c r="H3304" s="4">
        <v>0.86</v>
      </c>
      <c r="I3304" s="1">
        <v>5</v>
      </c>
      <c r="J3304" s="4">
        <v>0.8</v>
      </c>
      <c r="K3304" s="1">
        <v>0</v>
      </c>
      <c r="L3304" s="1">
        <v>4</v>
      </c>
      <c r="M3304" s="32">
        <f>IF(Mecze[[#This Row],[PR]]=0,0,Mecze[[#This Row],[PR]]/Mecze[[#This Row],[CZAS]])</f>
        <v>6.4516129032258063E-2</v>
      </c>
      <c r="N3304" s="32">
        <f>IF(Mecze[[#This Row],[OU]]=0,0,Mecze[[#This Row],[OU]]/Mecze[[#This Row],[CZAS]])</f>
        <v>6.4516129032258063E-2</v>
      </c>
      <c r="O3304" s="32">
        <f>IF(Mecze[[#This Row],[PC]]=0,0,Mecze[[#This Row],[PC]]/Mecze[[#This Row],[CZAS]])</f>
        <v>9.6774193548387094E-2</v>
      </c>
      <c r="P3304" s="32">
        <f>IF(Mecze[[#This Row],[SC]]=0,0,Mecze[[#This Row],[SC]]/Mecze[[#This Row],[CZAS]])</f>
        <v>0</v>
      </c>
      <c r="Q3304" s="32">
        <f>IF(Mecze[[#This Row],[OB]]=0,0,Mecze[[#This Row],[OB]]/Mecze[[#This Row],[CZAS]])</f>
        <v>0</v>
      </c>
      <c r="R3304" s="32">
        <f>IF(Mecze[[#This Row],[BR]]=0,0,Mecze[[#This Row],[BR]]/Mecze[[#This Row],[CZAS]])</f>
        <v>0</v>
      </c>
      <c r="S3304" s="44">
        <f>IF(Mecze[[#This Row],[Role]]="BR",SUMPRODUCT(Mecze[[#This Row],[/PR:90]:[/BR:90]],Brudnopis!$E$23:$J$23),0)</f>
        <v>0</v>
      </c>
      <c r="T3304" s="44">
        <f>IF(Mecze[[#This Row],[Role]]&lt;&gt;"BR",SUMPRODUCT(Mecze[[#This Row],[/PR:90]:[/BR:90]],Brudnopis!$E$24:$J$24),0)</f>
        <v>0.25806451612903225</v>
      </c>
      <c r="U3304" s="44">
        <f>IF(Mecze[[#This Row],[Role]]&lt;&gt;"BR",SUMPRODUCT(Mecze[[#This Row],[/PR:90]:[/BR:90]],Brudnopis!$E$25:$J$25),0)</f>
        <v>0.27419354838709675</v>
      </c>
      <c r="V3304" s="44">
        <f>IF(Mecze[[#This Row],[Role]]&lt;&gt;"BR",SUMPRODUCT(Mecze[[#This Row],[/PR:90]:[/BR:90]],Brudnopis!$E$26:$J$26),0)</f>
        <v>0.22580645161290322</v>
      </c>
      <c r="W3304" s="44">
        <f>IF(Mecze[[#This Row],[Role]]&lt;&gt;"BR",SUMPRODUCT(Mecze[[#This Row],[/PR:90]:[/BR:90]],Brudnopis!$E$27:$J$27),0)</f>
        <v>0.24193548387096772</v>
      </c>
      <c r="X3304" s="44">
        <f>IF(Mecze[[#This Row],[Role]]&lt;&gt;"BR",SUMPRODUCT(Mecze[[#This Row],[/PR:90]:[/BR:90]],Brudnopis!$E$28:$J$28),0)</f>
        <v>9.6774193548387094E-2</v>
      </c>
      <c r="Y3304" s="35">
        <f>IF(Mecze[[#This Row],[Role]]="BR",Mecze[[#This Row],[/OB:90]]+Mecze[[#This Row],[/PC:90]],SUM(Mecze[[#This Row],[/PR:90]:[/BR:90]]))</f>
        <v>0.22580645161290322</v>
      </c>
      <c r="Z3304" s="35">
        <f>IF(Mecze[[#This Row],[KC]]=0,SUM(Mecze[[#This Row],[/BRI]:[/NPI]]),SUM(Mecze[[#This Row],[/BRI]:[/NPI]])*0.6)</f>
        <v>1.096774193548387</v>
      </c>
      <c r="AA3304" s="10">
        <f>IFERROR(Mecze[[#This Row],[BR]]/Mecze[[#This Row],[ST]],0)</f>
        <v>0</v>
      </c>
      <c r="AB3304">
        <f>ROUND(Mecze[[#This Row],[PD]]*Mecze[[#This Row],[%PC]],0)</f>
        <v>6</v>
      </c>
      <c r="AC3304">
        <f>ROUND(Mecze[[#This Row],[OD]]*Mecze[[#This Row],[%OU]],0)</f>
        <v>4</v>
      </c>
      <c r="AD3304" s="36" t="s">
        <v>167</v>
      </c>
      <c r="AE3304" s="36">
        <v>184</v>
      </c>
      <c r="AF3304" s="71">
        <v>7.08</v>
      </c>
      <c r="AG3304" s="37">
        <v>0</v>
      </c>
      <c r="AH3304" s="37">
        <v>0</v>
      </c>
      <c r="AI3304" s="37">
        <v>62</v>
      </c>
      <c r="AJ3304" s="37">
        <v>4</v>
      </c>
      <c r="AK3304" s="37" t="str">
        <f>VLOOKUP(Mecze[[#This Row],[Match ID]],Meczusie[Mecz]:Meczusie[RodzajMeczu],2,FALSE)</f>
        <v>Liga</v>
      </c>
    </row>
    <row r="3305" spans="1:37" x14ac:dyDescent="0.25">
      <c r="A3305" s="76">
        <v>12</v>
      </c>
      <c r="B3305" s="3" t="s">
        <v>278</v>
      </c>
      <c r="C3305" s="2" t="s">
        <v>160</v>
      </c>
      <c r="D3305" s="1">
        <v>0</v>
      </c>
      <c r="E3305" s="1">
        <v>0</v>
      </c>
      <c r="F3305" s="1">
        <v>0</v>
      </c>
      <c r="G3305" s="1">
        <v>11</v>
      </c>
      <c r="H3305" s="4">
        <v>0.91</v>
      </c>
      <c r="I3305" s="1">
        <v>3</v>
      </c>
      <c r="J3305" s="4">
        <v>0.67</v>
      </c>
      <c r="K3305" s="1">
        <v>0</v>
      </c>
      <c r="L3305" s="1">
        <v>3</v>
      </c>
      <c r="M3305" s="32">
        <f>IF(Mecze[[#This Row],[PR]]=0,0,Mecze[[#This Row],[PR]]/Mecze[[#This Row],[CZAS]])</f>
        <v>3.125E-2</v>
      </c>
      <c r="N3305" s="32">
        <f>IF(Mecze[[#This Row],[OU]]=0,0,Mecze[[#This Row],[OU]]/Mecze[[#This Row],[CZAS]])</f>
        <v>2.0833333333333332E-2</v>
      </c>
      <c r="O3305" s="32">
        <f>IF(Mecze[[#This Row],[PC]]=0,0,Mecze[[#This Row],[PC]]/Mecze[[#This Row],[CZAS]])</f>
        <v>0.10416666666666667</v>
      </c>
      <c r="P3305" s="32">
        <f>IF(Mecze[[#This Row],[SC]]=0,0,Mecze[[#This Row],[SC]]/Mecze[[#This Row],[CZAS]])</f>
        <v>0</v>
      </c>
      <c r="Q3305" s="32">
        <f>IF(Mecze[[#This Row],[OB]]=0,0,Mecze[[#This Row],[OB]]/Mecze[[#This Row],[CZAS]])</f>
        <v>0</v>
      </c>
      <c r="R3305" s="32">
        <f>IF(Mecze[[#This Row],[BR]]=0,0,Mecze[[#This Row],[BR]]/Mecze[[#This Row],[CZAS]])</f>
        <v>0</v>
      </c>
      <c r="S3305" s="44">
        <f>IF(Mecze[[#This Row],[Role]]="BR",SUMPRODUCT(Mecze[[#This Row],[/PR:90]:[/BR:90]],Brudnopis!$E$23:$J$23),0)</f>
        <v>0</v>
      </c>
      <c r="T3305" s="44">
        <f>IF(Mecze[[#This Row],[Role]]&lt;&gt;"BR",SUMPRODUCT(Mecze[[#This Row],[/PR:90]:[/BR:90]],Brudnopis!$E$24:$J$24),0)</f>
        <v>0.16666666666666669</v>
      </c>
      <c r="U3305" s="44">
        <f>IF(Mecze[[#This Row],[Role]]&lt;&gt;"BR",SUMPRODUCT(Mecze[[#This Row],[/PR:90]:[/BR:90]],Brudnopis!$E$25:$J$25),0)</f>
        <v>0.20833333333333331</v>
      </c>
      <c r="V3305" s="44">
        <f>IF(Mecze[[#This Row],[Role]]&lt;&gt;"BR",SUMPRODUCT(Mecze[[#This Row],[/PR:90]:[/BR:90]],Brudnopis!$E$26:$J$26),0)</f>
        <v>0.15625</v>
      </c>
      <c r="W3305" s="44">
        <f>IF(Mecze[[#This Row],[Role]]&lt;&gt;"BR",SUMPRODUCT(Mecze[[#This Row],[/PR:90]:[/BR:90]],Brudnopis!$E$27:$J$27),0)</f>
        <v>0.1953125</v>
      </c>
      <c r="X3305" s="44">
        <f>IF(Mecze[[#This Row],[Role]]&lt;&gt;"BR",SUMPRODUCT(Mecze[[#This Row],[/PR:90]:[/BR:90]],Brudnopis!$E$28:$J$28),0)</f>
        <v>0.10416666666666667</v>
      </c>
      <c r="Y3305" s="35">
        <f>IF(Mecze[[#This Row],[Role]]="BR",Mecze[[#This Row],[/OB:90]]+Mecze[[#This Row],[/PC:90]],SUM(Mecze[[#This Row],[/PR:90]:[/BR:90]]))</f>
        <v>0.15625</v>
      </c>
      <c r="Z3305" s="35">
        <f>IF(Mecze[[#This Row],[KC]]=0,SUM(Mecze[[#This Row],[/BRI]:[/NPI]]),SUM(Mecze[[#This Row],[/BRI]:[/NPI]])*0.6)</f>
        <v>0.83072916666666663</v>
      </c>
      <c r="AA3305" s="10">
        <f>IFERROR(Mecze[[#This Row],[BR]]/Mecze[[#This Row],[ST]],0)</f>
        <v>0</v>
      </c>
      <c r="AB3305">
        <f>ROUND(Mecze[[#This Row],[PD]]*Mecze[[#This Row],[%PC]],0)</f>
        <v>10</v>
      </c>
      <c r="AC3305">
        <f>ROUND(Mecze[[#This Row],[OD]]*Mecze[[#This Row],[%OU]],0)</f>
        <v>2</v>
      </c>
      <c r="AD3305" s="36" t="s">
        <v>41</v>
      </c>
      <c r="AE3305" s="36">
        <v>184</v>
      </c>
      <c r="AF3305" s="71">
        <v>6.67</v>
      </c>
      <c r="AG3305" s="37">
        <v>0</v>
      </c>
      <c r="AH3305" s="37">
        <v>0</v>
      </c>
      <c r="AI3305" s="37">
        <v>96</v>
      </c>
      <c r="AJ3305" s="37">
        <v>4</v>
      </c>
      <c r="AK3305" s="37" t="str">
        <f>VLOOKUP(Mecze[[#This Row],[Match ID]],Meczusie[Mecz]:Meczusie[RodzajMeczu],2,FALSE)</f>
        <v>Liga</v>
      </c>
    </row>
    <row r="3306" spans="1:37" x14ac:dyDescent="0.25">
      <c r="A3306" s="76">
        <v>7</v>
      </c>
      <c r="B3306" s="3" t="s">
        <v>279</v>
      </c>
      <c r="C3306" s="2" t="s">
        <v>160</v>
      </c>
      <c r="D3306" s="1">
        <v>0</v>
      </c>
      <c r="E3306" s="1">
        <v>0</v>
      </c>
      <c r="F3306" s="1">
        <v>0</v>
      </c>
      <c r="G3306" s="1">
        <v>16</v>
      </c>
      <c r="H3306" s="4">
        <v>0.81</v>
      </c>
      <c r="I3306" s="1">
        <v>9</v>
      </c>
      <c r="J3306" s="4">
        <v>0.56000000000000005</v>
      </c>
      <c r="K3306" s="1">
        <v>0</v>
      </c>
      <c r="L3306" s="1">
        <v>10</v>
      </c>
      <c r="M3306" s="32">
        <f>IF(Mecze[[#This Row],[PR]]=0,0,Mecze[[#This Row],[PR]]/Mecze[[#This Row],[CZAS]])</f>
        <v>0.10416666666666667</v>
      </c>
      <c r="N3306" s="32">
        <f>IF(Mecze[[#This Row],[OU]]=0,0,Mecze[[#This Row],[OU]]/Mecze[[#This Row],[CZAS]])</f>
        <v>5.2083333333333336E-2</v>
      </c>
      <c r="O3306" s="32">
        <f>IF(Mecze[[#This Row],[PC]]=0,0,Mecze[[#This Row],[PC]]/Mecze[[#This Row],[CZAS]])</f>
        <v>0.13541666666666666</v>
      </c>
      <c r="P3306" s="32">
        <f>IF(Mecze[[#This Row],[SC]]=0,0,Mecze[[#This Row],[SC]]/Mecze[[#This Row],[CZAS]])</f>
        <v>0</v>
      </c>
      <c r="Q3306" s="32">
        <f>IF(Mecze[[#This Row],[OB]]=0,0,Mecze[[#This Row],[OB]]/Mecze[[#This Row],[CZAS]])</f>
        <v>0</v>
      </c>
      <c r="R3306" s="32">
        <f>IF(Mecze[[#This Row],[BR]]=0,0,Mecze[[#This Row],[BR]]/Mecze[[#This Row],[CZAS]])</f>
        <v>0</v>
      </c>
      <c r="S3306" s="44">
        <f>IF(Mecze[[#This Row],[Role]]="BR",SUMPRODUCT(Mecze[[#This Row],[/PR:90]:[/BR:90]],Brudnopis!$E$23:$J$23),0)</f>
        <v>0</v>
      </c>
      <c r="T3306" s="44">
        <f>IF(Mecze[[#This Row],[Role]]&lt;&gt;"BR",SUMPRODUCT(Mecze[[#This Row],[/PR:90]:[/BR:90]],Brudnopis!$E$24:$J$24),0)</f>
        <v>0.31770833333333337</v>
      </c>
      <c r="U3306" s="44">
        <f>IF(Mecze[[#This Row],[Role]]&lt;&gt;"BR",SUMPRODUCT(Mecze[[#This Row],[/PR:90]:[/BR:90]],Brudnopis!$E$25:$J$25),0)</f>
        <v>0.359375</v>
      </c>
      <c r="V3306" s="44">
        <f>IF(Mecze[[#This Row],[Role]]&lt;&gt;"BR",SUMPRODUCT(Mecze[[#This Row],[/PR:90]:[/BR:90]],Brudnopis!$E$26:$J$26),0)</f>
        <v>0.29166666666666663</v>
      </c>
      <c r="W3306" s="44">
        <f>IF(Mecze[[#This Row],[Role]]&lt;&gt;"BR",SUMPRODUCT(Mecze[[#This Row],[/PR:90]:[/BR:90]],Brudnopis!$E$27:$J$27),0)</f>
        <v>0.3203125</v>
      </c>
      <c r="X3306" s="44">
        <f>IF(Mecze[[#This Row],[Role]]&lt;&gt;"BR",SUMPRODUCT(Mecze[[#This Row],[/PR:90]:[/BR:90]],Brudnopis!$E$28:$J$28),0)</f>
        <v>0.13541666666666666</v>
      </c>
      <c r="Y3306" s="35">
        <f>IF(Mecze[[#This Row],[Role]]="BR",Mecze[[#This Row],[/OB:90]]+Mecze[[#This Row],[/PC:90]],SUM(Mecze[[#This Row],[/PR:90]:[/BR:90]]))</f>
        <v>0.29166666666666663</v>
      </c>
      <c r="Z3306" s="35">
        <f>IF(Mecze[[#This Row],[KC]]=0,SUM(Mecze[[#This Row],[/BRI]:[/NPI]]),SUM(Mecze[[#This Row],[/BRI]:[/NPI]])*0.6)</f>
        <v>1.4244791666666667</v>
      </c>
      <c r="AA3306" s="10">
        <f>IFERROR(Mecze[[#This Row],[BR]]/Mecze[[#This Row],[ST]],0)</f>
        <v>0</v>
      </c>
      <c r="AB3306">
        <f>ROUND(Mecze[[#This Row],[PD]]*Mecze[[#This Row],[%PC]],0)</f>
        <v>13</v>
      </c>
      <c r="AC3306">
        <f>ROUND(Mecze[[#This Row],[OD]]*Mecze[[#This Row],[%OU]],0)</f>
        <v>5</v>
      </c>
      <c r="AD3306" s="36" t="s">
        <v>41</v>
      </c>
      <c r="AE3306" s="36">
        <v>184</v>
      </c>
      <c r="AF3306" s="71">
        <v>8.14</v>
      </c>
      <c r="AG3306" s="37">
        <v>0</v>
      </c>
      <c r="AH3306" s="37">
        <v>0</v>
      </c>
      <c r="AI3306" s="37">
        <v>96</v>
      </c>
      <c r="AJ3306" s="37">
        <v>4</v>
      </c>
      <c r="AK3306" s="37" t="str">
        <f>VLOOKUP(Mecze[[#This Row],[Match ID]],Meczusie[Mecz]:Meczusie[RodzajMeczu],2,FALSE)</f>
        <v>Liga</v>
      </c>
    </row>
    <row r="3307" spans="1:37" x14ac:dyDescent="0.25">
      <c r="A3307" s="76">
        <v>6</v>
      </c>
      <c r="B3307" s="3" t="s">
        <v>280</v>
      </c>
      <c r="C3307" s="2" t="s">
        <v>160</v>
      </c>
      <c r="D3307" s="1">
        <v>0</v>
      </c>
      <c r="E3307" s="1">
        <v>0</v>
      </c>
      <c r="F3307" s="1">
        <v>0</v>
      </c>
      <c r="G3307" s="1">
        <v>12</v>
      </c>
      <c r="H3307" s="4">
        <v>0.92</v>
      </c>
      <c r="I3307" s="1">
        <v>11</v>
      </c>
      <c r="J3307" s="4">
        <v>0.27</v>
      </c>
      <c r="K3307" s="1">
        <v>0</v>
      </c>
      <c r="L3307" s="1">
        <v>2</v>
      </c>
      <c r="M3307" s="32">
        <f>IF(Mecze[[#This Row],[PR]]=0,0,Mecze[[#This Row],[PR]]/Mecze[[#This Row],[CZAS]])</f>
        <v>2.0833333333333332E-2</v>
      </c>
      <c r="N3307" s="32">
        <f>IF(Mecze[[#This Row],[OU]]=0,0,Mecze[[#This Row],[OU]]/Mecze[[#This Row],[CZAS]])</f>
        <v>3.125E-2</v>
      </c>
      <c r="O3307" s="32">
        <f>IF(Mecze[[#This Row],[PC]]=0,0,Mecze[[#This Row],[PC]]/Mecze[[#This Row],[CZAS]])</f>
        <v>0.11458333333333333</v>
      </c>
      <c r="P3307" s="32">
        <f>IF(Mecze[[#This Row],[SC]]=0,0,Mecze[[#This Row],[SC]]/Mecze[[#This Row],[CZAS]])</f>
        <v>0</v>
      </c>
      <c r="Q3307" s="32">
        <f>IF(Mecze[[#This Row],[OB]]=0,0,Mecze[[#This Row],[OB]]/Mecze[[#This Row],[CZAS]])</f>
        <v>0</v>
      </c>
      <c r="R3307" s="32">
        <f>IF(Mecze[[#This Row],[BR]]=0,0,Mecze[[#This Row],[BR]]/Mecze[[#This Row],[CZAS]])</f>
        <v>0</v>
      </c>
      <c r="S3307" s="44">
        <f>IF(Mecze[[#This Row],[Role]]="BR",SUMPRODUCT(Mecze[[#This Row],[/PR:90]:[/BR:90]],Brudnopis!$E$23:$J$23),0)</f>
        <v>0</v>
      </c>
      <c r="T3307" s="44">
        <f>IF(Mecze[[#This Row],[Role]]&lt;&gt;"BR",SUMPRODUCT(Mecze[[#This Row],[/PR:90]:[/BR:90]],Brudnopis!$E$24:$J$24),0)</f>
        <v>0.18229166666666666</v>
      </c>
      <c r="U3307" s="44">
        <f>IF(Mecze[[#This Row],[Role]]&lt;&gt;"BR",SUMPRODUCT(Mecze[[#This Row],[/PR:90]:[/BR:90]],Brudnopis!$E$25:$J$25),0)</f>
        <v>0.22395833333333331</v>
      </c>
      <c r="V3307" s="44">
        <f>IF(Mecze[[#This Row],[Role]]&lt;&gt;"BR",SUMPRODUCT(Mecze[[#This Row],[/PR:90]:[/BR:90]],Brudnopis!$E$26:$J$26),0)</f>
        <v>0.16666666666666666</v>
      </c>
      <c r="W3307" s="44">
        <f>IF(Mecze[[#This Row],[Role]]&lt;&gt;"BR",SUMPRODUCT(Mecze[[#This Row],[/PR:90]:[/BR:90]],Brudnopis!$E$27:$J$27),0)</f>
        <v>0.2109375</v>
      </c>
      <c r="X3307" s="44">
        <f>IF(Mecze[[#This Row],[Role]]&lt;&gt;"BR",SUMPRODUCT(Mecze[[#This Row],[/PR:90]:[/BR:90]],Brudnopis!$E$28:$J$28),0)</f>
        <v>0.11458333333333333</v>
      </c>
      <c r="Y3307" s="35">
        <f>IF(Mecze[[#This Row],[Role]]="BR",Mecze[[#This Row],[/OB:90]]+Mecze[[#This Row],[/PC:90]],SUM(Mecze[[#This Row],[/PR:90]:[/BR:90]]))</f>
        <v>0.16666666666666666</v>
      </c>
      <c r="Z3307" s="35">
        <f>IF(Mecze[[#This Row],[KC]]=0,SUM(Mecze[[#This Row],[/BRI]:[/NPI]]),SUM(Mecze[[#This Row],[/BRI]:[/NPI]])*0.6)</f>
        <v>0.8984375</v>
      </c>
      <c r="AA3307" s="10">
        <f>IFERROR(Mecze[[#This Row],[BR]]/Mecze[[#This Row],[ST]],0)</f>
        <v>0</v>
      </c>
      <c r="AB3307">
        <f>ROUND(Mecze[[#This Row],[PD]]*Mecze[[#This Row],[%PC]],0)</f>
        <v>11</v>
      </c>
      <c r="AC3307">
        <f>ROUND(Mecze[[#This Row],[OD]]*Mecze[[#This Row],[%OU]],0)</f>
        <v>3</v>
      </c>
      <c r="AD3307" s="36" t="s">
        <v>67</v>
      </c>
      <c r="AE3307" s="36">
        <v>184</v>
      </c>
      <c r="AF3307" s="71">
        <v>6.46</v>
      </c>
      <c r="AG3307" s="37">
        <v>0</v>
      </c>
      <c r="AH3307" s="37">
        <v>0</v>
      </c>
      <c r="AI3307" s="37">
        <v>96</v>
      </c>
      <c r="AJ3307" s="37">
        <v>4</v>
      </c>
      <c r="AK3307" s="37" t="str">
        <f>VLOOKUP(Mecze[[#This Row],[Match ID]],Meczusie[Mecz]:Meczusie[RodzajMeczu],2,FALSE)</f>
        <v>Liga</v>
      </c>
    </row>
    <row r="3308" spans="1:37" x14ac:dyDescent="0.25">
      <c r="A3308" s="76">
        <v>13</v>
      </c>
      <c r="B3308" s="3" t="s">
        <v>287</v>
      </c>
      <c r="C3308" s="2" t="s">
        <v>160</v>
      </c>
      <c r="D3308" s="1">
        <v>0</v>
      </c>
      <c r="E3308" s="1">
        <v>1</v>
      </c>
      <c r="F3308" s="1">
        <v>1</v>
      </c>
      <c r="G3308" s="1">
        <v>8</v>
      </c>
      <c r="H3308" s="4">
        <v>0.75</v>
      </c>
      <c r="I3308" s="1">
        <v>3</v>
      </c>
      <c r="J3308" s="4">
        <v>0.33</v>
      </c>
      <c r="K3308" s="1">
        <v>0</v>
      </c>
      <c r="L3308" s="1">
        <v>2</v>
      </c>
      <c r="M3308" s="32">
        <f>IF(Mecze[[#This Row],[PR]]=0,0,Mecze[[#This Row],[PR]]/Mecze[[#This Row],[CZAS]])</f>
        <v>3.1746031746031744E-2</v>
      </c>
      <c r="N3308" s="32">
        <f>IF(Mecze[[#This Row],[OU]]=0,0,Mecze[[#This Row],[OU]]/Mecze[[#This Row],[CZAS]])</f>
        <v>1.5873015873015872E-2</v>
      </c>
      <c r="O3308" s="32">
        <f>IF(Mecze[[#This Row],[PC]]=0,0,Mecze[[#This Row],[PC]]/Mecze[[#This Row],[CZAS]])</f>
        <v>9.5238095238095233E-2</v>
      </c>
      <c r="P3308" s="32">
        <f>IF(Mecze[[#This Row],[SC]]=0,0,Mecze[[#This Row],[SC]]/Mecze[[#This Row],[CZAS]])</f>
        <v>1.5873015873015872E-2</v>
      </c>
      <c r="Q3308" s="32">
        <f>IF(Mecze[[#This Row],[OB]]=0,0,Mecze[[#This Row],[OB]]/Mecze[[#This Row],[CZAS]])</f>
        <v>0</v>
      </c>
      <c r="R3308" s="32">
        <f>IF(Mecze[[#This Row],[BR]]=0,0,Mecze[[#This Row],[BR]]/Mecze[[#This Row],[CZAS]])</f>
        <v>0</v>
      </c>
      <c r="S3308" s="44">
        <f>IF(Mecze[[#This Row],[Role]]="BR",SUMPRODUCT(Mecze[[#This Row],[/PR:90]:[/BR:90]],Brudnopis!$E$23:$J$23),0)</f>
        <v>0</v>
      </c>
      <c r="T3308" s="44">
        <f>IF(Mecze[[#This Row],[Role]]&lt;&gt;"BR",SUMPRODUCT(Mecze[[#This Row],[/PR:90]:[/BR:90]],Brudnopis!$E$24:$J$24),0)</f>
        <v>0.16666666666666666</v>
      </c>
      <c r="U3308" s="44">
        <f>IF(Mecze[[#This Row],[Role]]&lt;&gt;"BR",SUMPRODUCT(Mecze[[#This Row],[/PR:90]:[/BR:90]],Brudnopis!$E$25:$J$25),0)</f>
        <v>0.20634920634920634</v>
      </c>
      <c r="V3308" s="44">
        <f>IF(Mecze[[#This Row],[Role]]&lt;&gt;"BR",SUMPRODUCT(Mecze[[#This Row],[/PR:90]:[/BR:90]],Brudnopis!$E$26:$J$26),0)</f>
        <v>0.15873015873015872</v>
      </c>
      <c r="W3308" s="44">
        <f>IF(Mecze[[#This Row],[Role]]&lt;&gt;"BR",SUMPRODUCT(Mecze[[#This Row],[/PR:90]:[/BR:90]],Brudnopis!$E$27:$J$27),0)</f>
        <v>0.19444444444444442</v>
      </c>
      <c r="X3308" s="44">
        <f>IF(Mecze[[#This Row],[Role]]&lt;&gt;"BR",SUMPRODUCT(Mecze[[#This Row],[/PR:90]:[/BR:90]],Brudnopis!$E$28:$J$28),0)</f>
        <v>0.12698412698412698</v>
      </c>
      <c r="Y3308" s="35">
        <f>IF(Mecze[[#This Row],[Role]]="BR",Mecze[[#This Row],[/OB:90]]+Mecze[[#This Row],[/PC:90]],SUM(Mecze[[#This Row],[/PR:90]:[/BR:90]]))</f>
        <v>0.15873015873015872</v>
      </c>
      <c r="Z3308" s="35">
        <f>IF(Mecze[[#This Row],[KC]]=0,SUM(Mecze[[#This Row],[/BRI]:[/NPI]]),SUM(Mecze[[#This Row],[/BRI]:[/NPI]])*0.6)</f>
        <v>0.85317460317460314</v>
      </c>
      <c r="AA3308" s="10">
        <f>IFERROR(Mecze[[#This Row],[BR]]/Mecze[[#This Row],[ST]],0)</f>
        <v>0</v>
      </c>
      <c r="AB3308">
        <f>ROUND(Mecze[[#This Row],[PD]]*Mecze[[#This Row],[%PC]],0)</f>
        <v>6</v>
      </c>
      <c r="AC3308">
        <f>ROUND(Mecze[[#This Row],[OD]]*Mecze[[#This Row],[%OU]],0)</f>
        <v>1</v>
      </c>
      <c r="AD3308" s="36" t="s">
        <v>171</v>
      </c>
      <c r="AE3308" s="36">
        <v>184</v>
      </c>
      <c r="AF3308" s="71">
        <v>5.78</v>
      </c>
      <c r="AG3308" s="37">
        <v>0</v>
      </c>
      <c r="AH3308" s="37">
        <v>0</v>
      </c>
      <c r="AI3308" s="37">
        <v>63</v>
      </c>
      <c r="AJ3308" s="37">
        <v>4</v>
      </c>
      <c r="AK3308" s="37" t="str">
        <f>VLOOKUP(Mecze[[#This Row],[Match ID]],Meczusie[Mecz]:Meczusie[RodzajMeczu],2,FALSE)</f>
        <v>Liga</v>
      </c>
    </row>
    <row r="3309" spans="1:37" x14ac:dyDescent="0.25">
      <c r="A3309" s="76">
        <v>11</v>
      </c>
      <c r="B3309" s="3" t="s">
        <v>282</v>
      </c>
      <c r="C3309" s="2" t="s">
        <v>165</v>
      </c>
      <c r="D3309" s="1">
        <v>0</v>
      </c>
      <c r="E3309" s="1">
        <v>2</v>
      </c>
      <c r="F3309" s="1">
        <v>2</v>
      </c>
      <c r="G3309" s="1">
        <v>5</v>
      </c>
      <c r="H3309" s="4">
        <v>0.6</v>
      </c>
      <c r="I3309" s="1">
        <v>0</v>
      </c>
      <c r="J3309" s="4"/>
      <c r="K3309" s="1">
        <v>0</v>
      </c>
      <c r="L3309" s="1">
        <v>1</v>
      </c>
      <c r="M3309" s="32">
        <f>IF(Mecze[[#This Row],[PR]]=0,0,Mecze[[#This Row],[PR]]/Mecze[[#This Row],[CZAS]])</f>
        <v>1.6129032258064516E-2</v>
      </c>
      <c r="N3309" s="32">
        <f>IF(Mecze[[#This Row],[OU]]=0,0,Mecze[[#This Row],[OU]]/Mecze[[#This Row],[CZAS]])</f>
        <v>0</v>
      </c>
      <c r="O3309" s="32">
        <f>IF(Mecze[[#This Row],[PC]]=0,0,Mecze[[#This Row],[PC]]/Mecze[[#This Row],[CZAS]])</f>
        <v>4.8387096774193547E-2</v>
      </c>
      <c r="P3309" s="32">
        <f>IF(Mecze[[#This Row],[SC]]=0,0,Mecze[[#This Row],[SC]]/Mecze[[#This Row],[CZAS]])</f>
        <v>3.2258064516129031E-2</v>
      </c>
      <c r="Q3309" s="32">
        <f>IF(Mecze[[#This Row],[OB]]=0,0,Mecze[[#This Row],[OB]]/Mecze[[#This Row],[CZAS]])</f>
        <v>0</v>
      </c>
      <c r="R3309" s="32">
        <f>IF(Mecze[[#This Row],[BR]]=0,0,Mecze[[#This Row],[BR]]/Mecze[[#This Row],[CZAS]])</f>
        <v>0</v>
      </c>
      <c r="S3309" s="44">
        <f>IF(Mecze[[#This Row],[Role]]="BR",SUMPRODUCT(Mecze[[#This Row],[/PR:90]:[/BR:90]],Brudnopis!$E$23:$J$23),0)</f>
        <v>0</v>
      </c>
      <c r="T3309" s="44">
        <f>IF(Mecze[[#This Row],[Role]]&lt;&gt;"BR",SUMPRODUCT(Mecze[[#This Row],[/PR:90]:[/BR:90]],Brudnopis!$E$24:$J$24),0)</f>
        <v>9.6774193548387094E-2</v>
      </c>
      <c r="U3309" s="44">
        <f>IF(Mecze[[#This Row],[Role]]&lt;&gt;"BR",SUMPRODUCT(Mecze[[#This Row],[/PR:90]:[/BR:90]],Brudnopis!$E$25:$J$25),0)</f>
        <v>0.12096774193548386</v>
      </c>
      <c r="V3309" s="44">
        <f>IF(Mecze[[#This Row],[Role]]&lt;&gt;"BR",SUMPRODUCT(Mecze[[#This Row],[/PR:90]:[/BR:90]],Brudnopis!$E$26:$J$26),0)</f>
        <v>9.6774193548387094E-2</v>
      </c>
      <c r="W3309" s="44">
        <f>IF(Mecze[[#This Row],[Role]]&lt;&gt;"BR",SUMPRODUCT(Mecze[[#This Row],[/PR:90]:[/BR:90]],Brudnopis!$E$27:$J$27),0)</f>
        <v>0.11693548387096774</v>
      </c>
      <c r="X3309" s="44">
        <f>IF(Mecze[[#This Row],[Role]]&lt;&gt;"BR",SUMPRODUCT(Mecze[[#This Row],[/PR:90]:[/BR:90]],Brudnopis!$E$28:$J$28),0)</f>
        <v>0.11290322580645161</v>
      </c>
      <c r="Y3309" s="35">
        <f>IF(Mecze[[#This Row],[Role]]="BR",Mecze[[#This Row],[/OB:90]]+Mecze[[#This Row],[/PC:90]],SUM(Mecze[[#This Row],[/PR:90]:[/BR:90]]))</f>
        <v>9.6774193548387094E-2</v>
      </c>
      <c r="Z3309" s="35">
        <f>IF(Mecze[[#This Row],[KC]]=0,SUM(Mecze[[#This Row],[/BRI]:[/NPI]]),SUM(Mecze[[#This Row],[/BRI]:[/NPI]])*0.6)</f>
        <v>0.54435483870967738</v>
      </c>
      <c r="AA3309" s="10">
        <f>IFERROR(Mecze[[#This Row],[BR]]/Mecze[[#This Row],[ST]],0)</f>
        <v>0</v>
      </c>
      <c r="AB3309">
        <f>ROUND(Mecze[[#This Row],[PD]]*Mecze[[#This Row],[%PC]],0)</f>
        <v>3</v>
      </c>
      <c r="AC3309">
        <f>ROUND(Mecze[[#This Row],[OD]]*Mecze[[#This Row],[%OU]],0)</f>
        <v>0</v>
      </c>
      <c r="AD3309" s="36" t="s">
        <v>46</v>
      </c>
      <c r="AE3309" s="36">
        <v>184</v>
      </c>
      <c r="AF3309" s="71">
        <v>5.7</v>
      </c>
      <c r="AG3309" s="37">
        <v>0</v>
      </c>
      <c r="AH3309" s="37">
        <v>0</v>
      </c>
      <c r="AI3309" s="37">
        <v>62</v>
      </c>
      <c r="AJ3309" s="37">
        <v>4</v>
      </c>
      <c r="AK3309" s="37" t="str">
        <f>VLOOKUP(Mecze[[#This Row],[Match ID]],Meczusie[Mecz]:Meczusie[RodzajMeczu],2,FALSE)</f>
        <v>Liga</v>
      </c>
    </row>
    <row r="3310" spans="1:37" x14ac:dyDescent="0.25">
      <c r="A3310" s="76">
        <v>8</v>
      </c>
      <c r="B3310" s="3" t="s">
        <v>283</v>
      </c>
      <c r="C3310" s="2" t="s">
        <v>165</v>
      </c>
      <c r="D3310" s="1">
        <v>2</v>
      </c>
      <c r="E3310" s="1">
        <v>5</v>
      </c>
      <c r="F3310" s="1">
        <v>5</v>
      </c>
      <c r="G3310" s="1">
        <v>6</v>
      </c>
      <c r="H3310" s="4">
        <v>0.67</v>
      </c>
      <c r="I3310" s="1">
        <v>0</v>
      </c>
      <c r="J3310" s="4"/>
      <c r="K3310" s="1">
        <v>0</v>
      </c>
      <c r="L3310" s="1">
        <v>0</v>
      </c>
      <c r="M3310" s="32">
        <f>IF(Mecze[[#This Row],[PR]]=0,0,Mecze[[#This Row],[PR]]/Mecze[[#This Row],[CZAS]])</f>
        <v>0</v>
      </c>
      <c r="N3310" s="32">
        <f>IF(Mecze[[#This Row],[OU]]=0,0,Mecze[[#This Row],[OU]]/Mecze[[#This Row],[CZAS]])</f>
        <v>0</v>
      </c>
      <c r="O3310" s="32">
        <f>IF(Mecze[[#This Row],[PC]]=0,0,Mecze[[#This Row],[PC]]/Mecze[[#This Row],[CZAS]])</f>
        <v>4.1666666666666664E-2</v>
      </c>
      <c r="P3310" s="32">
        <f>IF(Mecze[[#This Row],[SC]]=0,0,Mecze[[#This Row],[SC]]/Mecze[[#This Row],[CZAS]])</f>
        <v>5.2083333333333336E-2</v>
      </c>
      <c r="Q3310" s="32">
        <f>IF(Mecze[[#This Row],[OB]]=0,0,Mecze[[#This Row],[OB]]/Mecze[[#This Row],[CZAS]])</f>
        <v>0</v>
      </c>
      <c r="R3310" s="32">
        <f>IF(Mecze[[#This Row],[BR]]=0,0,Mecze[[#This Row],[BR]]/Mecze[[#This Row],[CZAS]])</f>
        <v>2.0833333333333332E-2</v>
      </c>
      <c r="S3310" s="44">
        <f>IF(Mecze[[#This Row],[Role]]="BR",SUMPRODUCT(Mecze[[#This Row],[/PR:90]:[/BR:90]],Brudnopis!$E$23:$J$23),0)</f>
        <v>0</v>
      </c>
      <c r="T3310" s="44">
        <f>IF(Mecze[[#This Row],[Role]]&lt;&gt;"BR",SUMPRODUCT(Mecze[[#This Row],[/PR:90]:[/BR:90]],Brudnopis!$E$24:$J$24),0)</f>
        <v>0.125</v>
      </c>
      <c r="U3310" s="44">
        <f>IF(Mecze[[#This Row],[Role]]&lt;&gt;"BR",SUMPRODUCT(Mecze[[#This Row],[/PR:90]:[/BR:90]],Brudnopis!$E$25:$J$25),0)</f>
        <v>0.14583333333333334</v>
      </c>
      <c r="V3310" s="44">
        <f>IF(Mecze[[#This Row],[Role]]&lt;&gt;"BR",SUMPRODUCT(Mecze[[#This Row],[/PR:90]:[/BR:90]],Brudnopis!$E$26:$J$26),0)</f>
        <v>0.13541666666666666</v>
      </c>
      <c r="W3310" s="44">
        <f>IF(Mecze[[#This Row],[Role]]&lt;&gt;"BR",SUMPRODUCT(Mecze[[#This Row],[/PR:90]:[/BR:90]],Brudnopis!$E$27:$J$27),0)</f>
        <v>0.15625</v>
      </c>
      <c r="X3310" s="44">
        <f>IF(Mecze[[#This Row],[Role]]&lt;&gt;"BR",SUMPRODUCT(Mecze[[#This Row],[/PR:90]:[/BR:90]],Brudnopis!$E$28:$J$28),0)</f>
        <v>0.20833333333333334</v>
      </c>
      <c r="Y3310" s="35">
        <f>IF(Mecze[[#This Row],[Role]]="BR",Mecze[[#This Row],[/OB:90]]+Mecze[[#This Row],[/PC:90]],SUM(Mecze[[#This Row],[/PR:90]:[/BR:90]]))</f>
        <v>0.11458333333333333</v>
      </c>
      <c r="Z3310" s="35">
        <f>IF(Mecze[[#This Row],[KC]]=0,SUM(Mecze[[#This Row],[/BRI]:[/NPI]]),SUM(Mecze[[#This Row],[/BRI]:[/NPI]])*0.6)</f>
        <v>0.77083333333333337</v>
      </c>
      <c r="AA3310" s="10">
        <f>IFERROR(Mecze[[#This Row],[BR]]/Mecze[[#This Row],[ST]],0)</f>
        <v>0.4</v>
      </c>
      <c r="AB3310">
        <f>ROUND(Mecze[[#This Row],[PD]]*Mecze[[#This Row],[%PC]],0)</f>
        <v>4</v>
      </c>
      <c r="AC3310">
        <f>ROUND(Mecze[[#This Row],[OD]]*Mecze[[#This Row],[%OU]],0)</f>
        <v>0</v>
      </c>
      <c r="AD3310" s="36" t="s">
        <v>273</v>
      </c>
      <c r="AE3310" s="36">
        <v>184</v>
      </c>
      <c r="AF3310" s="71">
        <v>10.96</v>
      </c>
      <c r="AG3310" s="37">
        <v>0</v>
      </c>
      <c r="AH3310" s="37">
        <v>0</v>
      </c>
      <c r="AI3310" s="37">
        <v>96</v>
      </c>
      <c r="AJ3310" s="37">
        <v>4</v>
      </c>
      <c r="AK3310" s="37" t="str">
        <f>VLOOKUP(Mecze[[#This Row],[Match ID]],Meczusie[Mecz]:Meczusie[RodzajMeczu],2,FALSE)</f>
        <v>Liga</v>
      </c>
    </row>
    <row r="3311" spans="1:37" x14ac:dyDescent="0.25">
      <c r="A3311" s="76">
        <v>10</v>
      </c>
      <c r="B3311" s="3" t="s">
        <v>284</v>
      </c>
      <c r="C3311" s="2" t="s">
        <v>165</v>
      </c>
      <c r="D3311" s="1">
        <v>3</v>
      </c>
      <c r="E3311" s="1">
        <v>20</v>
      </c>
      <c r="F3311" s="1">
        <v>18</v>
      </c>
      <c r="G3311" s="1">
        <v>3</v>
      </c>
      <c r="H3311" s="4">
        <v>1</v>
      </c>
      <c r="I3311" s="1">
        <v>0</v>
      </c>
      <c r="J3311" s="4"/>
      <c r="K3311" s="1">
        <v>0</v>
      </c>
      <c r="L3311" s="1">
        <v>0</v>
      </c>
      <c r="M3311" s="32">
        <f>IF(Mecze[[#This Row],[PR]]=0,0,Mecze[[#This Row],[PR]]/Mecze[[#This Row],[CZAS]])</f>
        <v>0</v>
      </c>
      <c r="N3311" s="32">
        <f>IF(Mecze[[#This Row],[OU]]=0,0,Mecze[[#This Row],[OU]]/Mecze[[#This Row],[CZAS]])</f>
        <v>0</v>
      </c>
      <c r="O3311" s="32">
        <f>IF(Mecze[[#This Row],[PC]]=0,0,Mecze[[#This Row],[PC]]/Mecze[[#This Row],[CZAS]])</f>
        <v>3.125E-2</v>
      </c>
      <c r="P3311" s="32">
        <f>IF(Mecze[[#This Row],[SC]]=0,0,Mecze[[#This Row],[SC]]/Mecze[[#This Row],[CZAS]])</f>
        <v>0.1875</v>
      </c>
      <c r="Q3311" s="32">
        <f>IF(Mecze[[#This Row],[OB]]=0,0,Mecze[[#This Row],[OB]]/Mecze[[#This Row],[CZAS]])</f>
        <v>0</v>
      </c>
      <c r="R3311" s="32">
        <f>IF(Mecze[[#This Row],[BR]]=0,0,Mecze[[#This Row],[BR]]/Mecze[[#This Row],[CZAS]])</f>
        <v>3.125E-2</v>
      </c>
      <c r="S3311" s="44">
        <f>IF(Mecze[[#This Row],[Role]]="BR",SUMPRODUCT(Mecze[[#This Row],[/PR:90]:[/BR:90]],Brudnopis!$E$23:$J$23),0)</f>
        <v>0</v>
      </c>
      <c r="T3311" s="44">
        <f>IF(Mecze[[#This Row],[Role]]&lt;&gt;"BR",SUMPRODUCT(Mecze[[#This Row],[/PR:90]:[/BR:90]],Brudnopis!$E$24:$J$24),0)</f>
        <v>0.265625</v>
      </c>
      <c r="U3311" s="44">
        <f>IF(Mecze[[#This Row],[Role]]&lt;&gt;"BR",SUMPRODUCT(Mecze[[#This Row],[/PR:90]:[/BR:90]],Brudnopis!$E$25:$J$25),0)</f>
        <v>0.28125</v>
      </c>
      <c r="V3311" s="44">
        <f>IF(Mecze[[#This Row],[Role]]&lt;&gt;"BR",SUMPRODUCT(Mecze[[#This Row],[/PR:90]:[/BR:90]],Brudnopis!$E$26:$J$26),0)</f>
        <v>0.28125</v>
      </c>
      <c r="W3311" s="44">
        <f>IF(Mecze[[#This Row],[Role]]&lt;&gt;"BR",SUMPRODUCT(Mecze[[#This Row],[/PR:90]:[/BR:90]],Brudnopis!$E$27:$J$27),0)</f>
        <v>0.296875</v>
      </c>
      <c r="X3311" s="44">
        <f>IF(Mecze[[#This Row],[Role]]&lt;&gt;"BR",SUMPRODUCT(Mecze[[#This Row],[/PR:90]:[/BR:90]],Brudnopis!$E$28:$J$28),0)</f>
        <v>0.5</v>
      </c>
      <c r="Y3311" s="35">
        <f>IF(Mecze[[#This Row],[Role]]="BR",Mecze[[#This Row],[/OB:90]]+Mecze[[#This Row],[/PC:90]],SUM(Mecze[[#This Row],[/PR:90]:[/BR:90]]))</f>
        <v>0.25</v>
      </c>
      <c r="Z3311" s="35">
        <f>IF(Mecze[[#This Row],[KC]]=0,SUM(Mecze[[#This Row],[/BRI]:[/NPI]]),SUM(Mecze[[#This Row],[/BRI]:[/NPI]])*0.6)</f>
        <v>1.625</v>
      </c>
      <c r="AA3311" s="10">
        <f>IFERROR(Mecze[[#This Row],[BR]]/Mecze[[#This Row],[ST]],0)</f>
        <v>0.15</v>
      </c>
      <c r="AB3311">
        <f>ROUND(Mecze[[#This Row],[PD]]*Mecze[[#This Row],[%PC]],0)</f>
        <v>3</v>
      </c>
      <c r="AC3311">
        <f>ROUND(Mecze[[#This Row],[OD]]*Mecze[[#This Row],[%OU]],0)</f>
        <v>0</v>
      </c>
      <c r="AD3311" s="36" t="s">
        <v>46</v>
      </c>
      <c r="AE3311" s="36">
        <v>184</v>
      </c>
      <c r="AF3311" s="71">
        <v>14.79</v>
      </c>
      <c r="AG3311" s="37">
        <v>0</v>
      </c>
      <c r="AH3311" s="37">
        <v>0</v>
      </c>
      <c r="AI3311" s="37">
        <v>96</v>
      </c>
      <c r="AJ3311" s="37">
        <v>4</v>
      </c>
      <c r="AK3311" s="37" t="str">
        <f>VLOOKUP(Mecze[[#This Row],[Match ID]],Meczusie[Mecz]:Meczusie[RodzajMeczu],2,FALSE)</f>
        <v>Liga</v>
      </c>
    </row>
    <row r="3312" spans="1:37" x14ac:dyDescent="0.25">
      <c r="A3312" s="76">
        <v>3</v>
      </c>
      <c r="B3312" s="3" t="s">
        <v>495</v>
      </c>
      <c r="C3312" s="2" t="s">
        <v>157</v>
      </c>
      <c r="D3312" s="1">
        <v>0</v>
      </c>
      <c r="E3312" s="1">
        <v>0</v>
      </c>
      <c r="F3312" s="1">
        <v>0</v>
      </c>
      <c r="G3312" s="1">
        <v>3</v>
      </c>
      <c r="H3312" s="4">
        <v>1</v>
      </c>
      <c r="I3312" s="1">
        <v>1</v>
      </c>
      <c r="J3312" s="4">
        <v>0</v>
      </c>
      <c r="K3312" s="1">
        <v>0</v>
      </c>
      <c r="L3312" s="1">
        <v>4</v>
      </c>
      <c r="M3312" s="32">
        <f>IF(Mecze[[#This Row],[PR]]=0,0,Mecze[[#This Row],[PR]]/Mecze[[#This Row],[CZAS]])</f>
        <v>0.11764705882352941</v>
      </c>
      <c r="N3312" s="32">
        <f>IF(Mecze[[#This Row],[OU]]=0,0,Mecze[[#This Row],[OU]]/Mecze[[#This Row],[CZAS]])</f>
        <v>0</v>
      </c>
      <c r="O3312" s="32">
        <f>IF(Mecze[[#This Row],[PC]]=0,0,Mecze[[#This Row],[PC]]/Mecze[[#This Row],[CZAS]])</f>
        <v>8.8235294117647065E-2</v>
      </c>
      <c r="P3312" s="32">
        <f>IF(Mecze[[#This Row],[SC]]=0,0,Mecze[[#This Row],[SC]]/Mecze[[#This Row],[CZAS]])</f>
        <v>0</v>
      </c>
      <c r="Q3312" s="32">
        <f>IF(Mecze[[#This Row],[OB]]=0,0,Mecze[[#This Row],[OB]]/Mecze[[#This Row],[CZAS]])</f>
        <v>0</v>
      </c>
      <c r="R3312" s="32">
        <f>IF(Mecze[[#This Row],[BR]]=0,0,Mecze[[#This Row],[BR]]/Mecze[[#This Row],[CZAS]])</f>
        <v>0</v>
      </c>
      <c r="S3312" s="44">
        <f>IF(Mecze[[#This Row],[Role]]="BR",SUMPRODUCT(Mecze[[#This Row],[/PR:90]:[/BR:90]],Brudnopis!$E$23:$J$23),0)</f>
        <v>0</v>
      </c>
      <c r="T3312" s="44">
        <f>IF(Mecze[[#This Row],[Role]]&lt;&gt;"BR",SUMPRODUCT(Mecze[[#This Row],[/PR:90]:[/BR:90]],Brudnopis!$E$24:$J$24),0)</f>
        <v>0.20588235294117646</v>
      </c>
      <c r="U3312" s="44">
        <f>IF(Mecze[[#This Row],[Role]]&lt;&gt;"BR",SUMPRODUCT(Mecze[[#This Row],[/PR:90]:[/BR:90]],Brudnopis!$E$25:$J$25),0)</f>
        <v>0.25</v>
      </c>
      <c r="V3312" s="44">
        <f>IF(Mecze[[#This Row],[Role]]&lt;&gt;"BR",SUMPRODUCT(Mecze[[#This Row],[/PR:90]:[/BR:90]],Brudnopis!$E$26:$J$26),0)</f>
        <v>0.20588235294117646</v>
      </c>
      <c r="W3312" s="44">
        <f>IF(Mecze[[#This Row],[Role]]&lt;&gt;"BR",SUMPRODUCT(Mecze[[#This Row],[/PR:90]:[/BR:90]],Brudnopis!$E$27:$J$27),0)</f>
        <v>0.22058823529411764</v>
      </c>
      <c r="X3312" s="44">
        <f>IF(Mecze[[#This Row],[Role]]&lt;&gt;"BR",SUMPRODUCT(Mecze[[#This Row],[/PR:90]:[/BR:90]],Brudnopis!$E$28:$J$28),0)</f>
        <v>8.8235294117647065E-2</v>
      </c>
      <c r="Y3312" s="35">
        <f>IF(Mecze[[#This Row],[Role]]="BR",Mecze[[#This Row],[/OB:90]]+Mecze[[#This Row],[/PC:90]],SUM(Mecze[[#This Row],[/PR:90]:[/BR:90]]))</f>
        <v>0.20588235294117646</v>
      </c>
      <c r="Z3312" s="35">
        <f>IF(Mecze[[#This Row],[KC]]=0,SUM(Mecze[[#This Row],[/BRI]:[/NPI]]),SUM(Mecze[[#This Row],[/BRI]:[/NPI]])*0.6)</f>
        <v>0.97058823529411764</v>
      </c>
      <c r="AA3312" s="10">
        <f>IFERROR(Mecze[[#This Row],[BR]]/Mecze[[#This Row],[ST]],0)</f>
        <v>0</v>
      </c>
      <c r="AB3312">
        <f>ROUND(Mecze[[#This Row],[PD]]*Mecze[[#This Row],[%PC]],0)</f>
        <v>3</v>
      </c>
      <c r="AC3312">
        <f>ROUND(Mecze[[#This Row],[OD]]*Mecze[[#This Row],[%OU]],0)</f>
        <v>0</v>
      </c>
      <c r="AD3312" s="36" t="s">
        <v>167</v>
      </c>
      <c r="AE3312" s="36">
        <v>184</v>
      </c>
      <c r="AF3312" s="71">
        <v>2.56</v>
      </c>
      <c r="AG3312" s="37">
        <v>0</v>
      </c>
      <c r="AH3312" s="37">
        <v>0</v>
      </c>
      <c r="AI3312" s="37">
        <v>34</v>
      </c>
      <c r="AJ3312" s="37">
        <v>4</v>
      </c>
      <c r="AK3312" s="37" t="str">
        <f>VLOOKUP(Mecze[[#This Row],[Match ID]],Meczusie[Mecz]:Meczusie[RodzajMeczu],2,FALSE)</f>
        <v>Liga</v>
      </c>
    </row>
    <row r="3313" spans="1:37" x14ac:dyDescent="0.25">
      <c r="A3313" s="76">
        <v>14</v>
      </c>
      <c r="B3313" s="3" t="s">
        <v>281</v>
      </c>
      <c r="C3313" s="2" t="s">
        <v>165</v>
      </c>
      <c r="D3313" s="1">
        <v>0</v>
      </c>
      <c r="E3313" s="1">
        <v>1</v>
      </c>
      <c r="F3313" s="1">
        <v>1</v>
      </c>
      <c r="G3313" s="1">
        <v>3</v>
      </c>
      <c r="H3313" s="4">
        <v>1</v>
      </c>
      <c r="I3313" s="1">
        <v>1</v>
      </c>
      <c r="J3313" s="4">
        <v>1</v>
      </c>
      <c r="K3313" s="1">
        <v>0</v>
      </c>
      <c r="L3313" s="1">
        <v>0</v>
      </c>
      <c r="M3313" s="32">
        <f>IF(Mecze[[#This Row],[PR]]=0,0,Mecze[[#This Row],[PR]]/Mecze[[#This Row],[CZAS]])</f>
        <v>0</v>
      </c>
      <c r="N3313" s="32">
        <f>IF(Mecze[[#This Row],[OU]]=0,0,Mecze[[#This Row],[OU]]/Mecze[[#This Row],[CZAS]])</f>
        <v>2.9411764705882353E-2</v>
      </c>
      <c r="O3313" s="32">
        <f>IF(Mecze[[#This Row],[PC]]=0,0,Mecze[[#This Row],[PC]]/Mecze[[#This Row],[CZAS]])</f>
        <v>8.8235294117647065E-2</v>
      </c>
      <c r="P3313" s="32">
        <f>IF(Mecze[[#This Row],[SC]]=0,0,Mecze[[#This Row],[SC]]/Mecze[[#This Row],[CZAS]])</f>
        <v>2.9411764705882353E-2</v>
      </c>
      <c r="Q3313" s="32">
        <f>IF(Mecze[[#This Row],[OB]]=0,0,Mecze[[#This Row],[OB]]/Mecze[[#This Row],[CZAS]])</f>
        <v>0</v>
      </c>
      <c r="R3313" s="32">
        <f>IF(Mecze[[#This Row],[BR]]=0,0,Mecze[[#This Row],[BR]]/Mecze[[#This Row],[CZAS]])</f>
        <v>0</v>
      </c>
      <c r="S3313" s="44">
        <f>IF(Mecze[[#This Row],[Role]]="BR",SUMPRODUCT(Mecze[[#This Row],[/PR:90]:[/BR:90]],Brudnopis!$E$23:$J$23),0)</f>
        <v>0</v>
      </c>
      <c r="T3313" s="44">
        <f>IF(Mecze[[#This Row],[Role]]&lt;&gt;"BR",SUMPRODUCT(Mecze[[#This Row],[/PR:90]:[/BR:90]],Brudnopis!$E$24:$J$24),0)</f>
        <v>0.16176470588235295</v>
      </c>
      <c r="U3313" s="44">
        <f>IF(Mecze[[#This Row],[Role]]&lt;&gt;"BR",SUMPRODUCT(Mecze[[#This Row],[/PR:90]:[/BR:90]],Brudnopis!$E$25:$J$25),0)</f>
        <v>0.19117647058823531</v>
      </c>
      <c r="V3313" s="44">
        <f>IF(Mecze[[#This Row],[Role]]&lt;&gt;"BR",SUMPRODUCT(Mecze[[#This Row],[/PR:90]:[/BR:90]],Brudnopis!$E$26:$J$26),0)</f>
        <v>0.14705882352941177</v>
      </c>
      <c r="W3313" s="44">
        <f>IF(Mecze[[#This Row],[Role]]&lt;&gt;"BR",SUMPRODUCT(Mecze[[#This Row],[/PR:90]:[/BR:90]],Brudnopis!$E$27:$J$27),0)</f>
        <v>0.18382352941176472</v>
      </c>
      <c r="X3313" s="44">
        <f>IF(Mecze[[#This Row],[Role]]&lt;&gt;"BR",SUMPRODUCT(Mecze[[#This Row],[/PR:90]:[/BR:90]],Brudnopis!$E$28:$J$28),0)</f>
        <v>0.14705882352941177</v>
      </c>
      <c r="Y3313" s="35">
        <f>IF(Mecze[[#This Row],[Role]]="BR",Mecze[[#This Row],[/OB:90]]+Mecze[[#This Row],[/PC:90]],SUM(Mecze[[#This Row],[/PR:90]:[/BR:90]]))</f>
        <v>0.14705882352941177</v>
      </c>
      <c r="Z3313" s="35">
        <f>IF(Mecze[[#This Row],[KC]]=0,SUM(Mecze[[#This Row],[/BRI]:[/NPI]]),SUM(Mecze[[#This Row],[/BRI]:[/NPI]])*0.6)</f>
        <v>0.83088235294117652</v>
      </c>
      <c r="AA3313" s="10">
        <f>IFERROR(Mecze[[#This Row],[BR]]/Mecze[[#This Row],[ST]],0)</f>
        <v>0</v>
      </c>
      <c r="AB3313">
        <f>ROUND(Mecze[[#This Row],[PD]]*Mecze[[#This Row],[%PC]],0)</f>
        <v>3</v>
      </c>
      <c r="AC3313">
        <f>ROUND(Mecze[[#This Row],[OD]]*Mecze[[#This Row],[%OU]],0)</f>
        <v>1</v>
      </c>
      <c r="AD3313" s="36" t="s">
        <v>46</v>
      </c>
      <c r="AE3313" s="36">
        <v>184</v>
      </c>
      <c r="AF3313" s="71">
        <v>1.94</v>
      </c>
      <c r="AG3313" s="37">
        <v>0</v>
      </c>
      <c r="AH3313" s="37">
        <v>0</v>
      </c>
      <c r="AI3313" s="37">
        <v>34</v>
      </c>
      <c r="AJ3313" s="37">
        <v>4</v>
      </c>
      <c r="AK3313" s="37" t="str">
        <f>VLOOKUP(Mecze[[#This Row],[Match ID]],Meczusie[Mecz]:Meczusie[RodzajMeczu],2,FALSE)</f>
        <v>Liga</v>
      </c>
    </row>
    <row r="3314" spans="1:37" x14ac:dyDescent="0.25">
      <c r="A3314" s="76">
        <v>15</v>
      </c>
      <c r="B3314" s="3" t="s">
        <v>286</v>
      </c>
      <c r="C3314" s="2" t="s">
        <v>160</v>
      </c>
      <c r="D3314" s="1">
        <v>0</v>
      </c>
      <c r="E3314" s="1">
        <v>0</v>
      </c>
      <c r="F3314" s="1">
        <v>0</v>
      </c>
      <c r="G3314" s="1">
        <v>3</v>
      </c>
      <c r="H3314" s="4">
        <v>0.33</v>
      </c>
      <c r="I3314" s="1">
        <v>2</v>
      </c>
      <c r="J3314" s="4">
        <v>0.5</v>
      </c>
      <c r="K3314" s="1">
        <v>0</v>
      </c>
      <c r="L3314" s="1">
        <v>0</v>
      </c>
      <c r="M3314" s="32">
        <f>IF(Mecze[[#This Row],[PR]]=0,0,Mecze[[#This Row],[PR]]/Mecze[[#This Row],[CZAS]])</f>
        <v>0</v>
      </c>
      <c r="N3314" s="32">
        <f>IF(Mecze[[#This Row],[OU]]=0,0,Mecze[[#This Row],[OU]]/Mecze[[#This Row],[CZAS]])</f>
        <v>3.0303030303030304E-2</v>
      </c>
      <c r="O3314" s="32">
        <f>IF(Mecze[[#This Row],[PC]]=0,0,Mecze[[#This Row],[PC]]/Mecze[[#This Row],[CZAS]])</f>
        <v>3.0303030303030304E-2</v>
      </c>
      <c r="P3314" s="32">
        <f>IF(Mecze[[#This Row],[SC]]=0,0,Mecze[[#This Row],[SC]]/Mecze[[#This Row],[CZAS]])</f>
        <v>0</v>
      </c>
      <c r="Q3314" s="32">
        <f>IF(Mecze[[#This Row],[OB]]=0,0,Mecze[[#This Row],[OB]]/Mecze[[#This Row],[CZAS]])</f>
        <v>0</v>
      </c>
      <c r="R3314" s="32">
        <f>IF(Mecze[[#This Row],[BR]]=0,0,Mecze[[#This Row],[BR]]/Mecze[[#This Row],[CZAS]])</f>
        <v>0</v>
      </c>
      <c r="S3314" s="44">
        <f>IF(Mecze[[#This Row],[Role]]="BR",SUMPRODUCT(Mecze[[#This Row],[/PR:90]:[/BR:90]],Brudnopis!$E$23:$J$23),0)</f>
        <v>0</v>
      </c>
      <c r="T3314" s="44">
        <f>IF(Mecze[[#This Row],[Role]]&lt;&gt;"BR",SUMPRODUCT(Mecze[[#This Row],[/PR:90]:[/BR:90]],Brudnopis!$E$24:$J$24),0)</f>
        <v>7.575757575757576E-2</v>
      </c>
      <c r="U3314" s="44">
        <f>IF(Mecze[[#This Row],[Role]]&lt;&gt;"BR",SUMPRODUCT(Mecze[[#This Row],[/PR:90]:[/BR:90]],Brudnopis!$E$25:$J$25),0)</f>
        <v>7.575757575757576E-2</v>
      </c>
      <c r="V3314" s="44">
        <f>IF(Mecze[[#This Row],[Role]]&lt;&gt;"BR",SUMPRODUCT(Mecze[[#This Row],[/PR:90]:[/BR:90]],Brudnopis!$E$26:$J$26),0)</f>
        <v>6.0606060606060608E-2</v>
      </c>
      <c r="W3314" s="44">
        <f>IF(Mecze[[#This Row],[Role]]&lt;&gt;"BR",SUMPRODUCT(Mecze[[#This Row],[/PR:90]:[/BR:90]],Brudnopis!$E$27:$J$27),0)</f>
        <v>6.8181818181818177E-2</v>
      </c>
      <c r="X3314" s="44">
        <f>IF(Mecze[[#This Row],[Role]]&lt;&gt;"BR",SUMPRODUCT(Mecze[[#This Row],[/PR:90]:[/BR:90]],Brudnopis!$E$28:$J$28),0)</f>
        <v>3.0303030303030304E-2</v>
      </c>
      <c r="Y3314" s="35">
        <f>IF(Mecze[[#This Row],[Role]]="BR",Mecze[[#This Row],[/OB:90]]+Mecze[[#This Row],[/PC:90]],SUM(Mecze[[#This Row],[/PR:90]:[/BR:90]]))</f>
        <v>6.0606060606060608E-2</v>
      </c>
      <c r="Z3314" s="35">
        <f>IF(Mecze[[#This Row],[KC]]=0,SUM(Mecze[[#This Row],[/BRI]:[/NPI]]),SUM(Mecze[[#This Row],[/BRI]:[/NPI]])*0.6)</f>
        <v>0.31060606060606055</v>
      </c>
      <c r="AA3314" s="10">
        <f>IFERROR(Mecze[[#This Row],[BR]]/Mecze[[#This Row],[ST]],0)</f>
        <v>0</v>
      </c>
      <c r="AB3314">
        <f>ROUND(Mecze[[#This Row],[PD]]*Mecze[[#This Row],[%PC]],0)</f>
        <v>1</v>
      </c>
      <c r="AC3314">
        <f>ROUND(Mecze[[#This Row],[OD]]*Mecze[[#This Row],[%OU]],0)</f>
        <v>1</v>
      </c>
      <c r="AD3314" s="36" t="s">
        <v>171</v>
      </c>
      <c r="AE3314" s="36">
        <v>184</v>
      </c>
      <c r="AF3314" s="71">
        <v>1.72</v>
      </c>
      <c r="AG3314" s="37">
        <v>0</v>
      </c>
      <c r="AH3314" s="37">
        <v>0</v>
      </c>
      <c r="AI3314" s="37">
        <v>33</v>
      </c>
      <c r="AJ3314" s="37">
        <v>4</v>
      </c>
      <c r="AK3314" s="37" t="str">
        <f>VLOOKUP(Mecze[[#This Row],[Match ID]],Meczusie[Mecz]:Meczusie[RodzajMeczu],2,FALSE)</f>
        <v>Liga</v>
      </c>
    </row>
    <row r="3315" spans="1:37" x14ac:dyDescent="0.25">
      <c r="A3315" s="76">
        <v>1</v>
      </c>
      <c r="B3315" s="3" t="s">
        <v>304</v>
      </c>
      <c r="C3315" s="2" t="s">
        <v>155</v>
      </c>
      <c r="D3315" s="1">
        <v>0</v>
      </c>
      <c r="E3315" s="1">
        <v>0</v>
      </c>
      <c r="F3315" s="1">
        <v>0</v>
      </c>
      <c r="G3315" s="1">
        <v>2</v>
      </c>
      <c r="H3315" s="4">
        <v>0</v>
      </c>
      <c r="I3315" s="1">
        <v>0</v>
      </c>
      <c r="J3315" s="4"/>
      <c r="K3315" s="1">
        <v>2</v>
      </c>
      <c r="L3315" s="1">
        <v>0</v>
      </c>
      <c r="M3315" s="32">
        <f>IF(Mecze[[#This Row],[PR]]=0,0,Mecze[[#This Row],[PR]]/Mecze[[#This Row],[CZAS]])</f>
        <v>0</v>
      </c>
      <c r="N3315" s="32">
        <f>IF(Mecze[[#This Row],[OU]]=0,0,Mecze[[#This Row],[OU]]/Mecze[[#This Row],[CZAS]])</f>
        <v>0</v>
      </c>
      <c r="O3315" s="32">
        <f>IF(Mecze[[#This Row],[PC]]=0,0,Mecze[[#This Row],[PC]]/Mecze[[#This Row],[CZAS]])</f>
        <v>0</v>
      </c>
      <c r="P3315" s="32">
        <f>IF(Mecze[[#This Row],[SC]]=0,0,Mecze[[#This Row],[SC]]/Mecze[[#This Row],[CZAS]])</f>
        <v>0</v>
      </c>
      <c r="Q3315" s="32">
        <f>IF(Mecze[[#This Row],[OB]]=0,0,Mecze[[#This Row],[OB]]/Mecze[[#This Row],[CZAS]])</f>
        <v>2.0833333333333332E-2</v>
      </c>
      <c r="R3315" s="32">
        <f>IF(Mecze[[#This Row],[BR]]=0,0,Mecze[[#This Row],[BR]]/Mecze[[#This Row],[CZAS]])</f>
        <v>0</v>
      </c>
      <c r="S3315" s="44">
        <f>IF(Mecze[[#This Row],[Role]]="BR",SUMPRODUCT(Mecze[[#This Row],[/PR:90]:[/BR:90]],Brudnopis!$E$23:$J$23),0)</f>
        <v>6.25E-2</v>
      </c>
      <c r="T3315" s="44">
        <f>IF(Mecze[[#This Row],[Role]]&lt;&gt;"BR",SUMPRODUCT(Mecze[[#This Row],[/PR:90]:[/BR:90]],Brudnopis!$E$24:$J$24),0)</f>
        <v>0</v>
      </c>
      <c r="U3315" s="44">
        <f>IF(Mecze[[#This Row],[Role]]&lt;&gt;"BR",SUMPRODUCT(Mecze[[#This Row],[/PR:90]:[/BR:90]],Brudnopis!$E$25:$J$25),0)</f>
        <v>0</v>
      </c>
      <c r="V3315" s="44">
        <f>IF(Mecze[[#This Row],[Role]]&lt;&gt;"BR",SUMPRODUCT(Mecze[[#This Row],[/PR:90]:[/BR:90]],Brudnopis!$E$26:$J$26),0)</f>
        <v>0</v>
      </c>
      <c r="W3315" s="44">
        <f>IF(Mecze[[#This Row],[Role]]&lt;&gt;"BR",SUMPRODUCT(Mecze[[#This Row],[/PR:90]:[/BR:90]],Brudnopis!$E$27:$J$27),0)</f>
        <v>0</v>
      </c>
      <c r="X3315" s="44">
        <f>IF(Mecze[[#This Row],[Role]]&lt;&gt;"BR",SUMPRODUCT(Mecze[[#This Row],[/PR:90]:[/BR:90]],Brudnopis!$E$28:$J$28),0)</f>
        <v>0</v>
      </c>
      <c r="Y3315" s="35">
        <f>IF(Mecze[[#This Row],[Role]]="BR",Mecze[[#This Row],[/OB:90]]+Mecze[[#This Row],[/PC:90]],SUM(Mecze[[#This Row],[/PR:90]:[/BR:90]]))</f>
        <v>2.0833333333333332E-2</v>
      </c>
      <c r="Z3315" s="35">
        <f>IF(Mecze[[#This Row],[KC]]=0,SUM(Mecze[[#This Row],[/BRI]:[/NPI]]),SUM(Mecze[[#This Row],[/BRI]:[/NPI]])*0.6)</f>
        <v>6.25E-2</v>
      </c>
      <c r="AA3315" s="10">
        <f>IFERROR(Mecze[[#This Row],[BR]]/Mecze[[#This Row],[ST]],0)</f>
        <v>0</v>
      </c>
      <c r="AB3315">
        <f>ROUND(Mecze[[#This Row],[PD]]*Mecze[[#This Row],[%PC]],0)</f>
        <v>0</v>
      </c>
      <c r="AC3315">
        <f>ROUND(Mecze[[#This Row],[OD]]*Mecze[[#This Row],[%OU]],0)</f>
        <v>0</v>
      </c>
      <c r="AD3315" s="36" t="s">
        <v>40</v>
      </c>
      <c r="AE3315" s="36">
        <v>185</v>
      </c>
      <c r="AF3315" s="71">
        <v>7.74</v>
      </c>
      <c r="AG3315" s="37">
        <v>0</v>
      </c>
      <c r="AH3315" s="37">
        <v>0</v>
      </c>
      <c r="AI3315" s="37">
        <v>96</v>
      </c>
      <c r="AJ3315" s="37">
        <v>8</v>
      </c>
      <c r="AK3315" s="37" t="str">
        <f>VLOOKUP(Mecze[[#This Row],[Match ID]],Meczusie[Mecz]:Meczusie[RodzajMeczu],2,FALSE)</f>
        <v>Liga</v>
      </c>
    </row>
    <row r="3316" spans="1:37" x14ac:dyDescent="0.25">
      <c r="A3316" s="76">
        <v>5</v>
      </c>
      <c r="B3316" s="3" t="s">
        <v>305</v>
      </c>
      <c r="C3316" s="2" t="s">
        <v>157</v>
      </c>
      <c r="D3316" s="1">
        <v>0</v>
      </c>
      <c r="E3316" s="1">
        <v>0</v>
      </c>
      <c r="F3316" s="1">
        <v>0</v>
      </c>
      <c r="G3316" s="1">
        <v>3</v>
      </c>
      <c r="H3316" s="4">
        <v>1</v>
      </c>
      <c r="I3316" s="1">
        <v>0</v>
      </c>
      <c r="J3316" s="4"/>
      <c r="K3316" s="1">
        <v>0</v>
      </c>
      <c r="L3316" s="1">
        <v>2</v>
      </c>
      <c r="M3316" s="32">
        <f>IF(Mecze[[#This Row],[PR]]=0,0,Mecze[[#This Row],[PR]]/Mecze[[#This Row],[CZAS]])</f>
        <v>2.0833333333333332E-2</v>
      </c>
      <c r="N3316" s="32">
        <f>IF(Mecze[[#This Row],[OU]]=0,0,Mecze[[#This Row],[OU]]/Mecze[[#This Row],[CZAS]])</f>
        <v>0</v>
      </c>
      <c r="O3316" s="32">
        <f>IF(Mecze[[#This Row],[PC]]=0,0,Mecze[[#This Row],[PC]]/Mecze[[#This Row],[CZAS]])</f>
        <v>3.125E-2</v>
      </c>
      <c r="P3316" s="32">
        <f>IF(Mecze[[#This Row],[SC]]=0,0,Mecze[[#This Row],[SC]]/Mecze[[#This Row],[CZAS]])</f>
        <v>0</v>
      </c>
      <c r="Q3316" s="32">
        <f>IF(Mecze[[#This Row],[OB]]=0,0,Mecze[[#This Row],[OB]]/Mecze[[#This Row],[CZAS]])</f>
        <v>0</v>
      </c>
      <c r="R3316" s="32">
        <f>IF(Mecze[[#This Row],[BR]]=0,0,Mecze[[#This Row],[BR]]/Mecze[[#This Row],[CZAS]])</f>
        <v>0</v>
      </c>
      <c r="S3316" s="44">
        <f>IF(Mecze[[#This Row],[Role]]="BR",SUMPRODUCT(Mecze[[#This Row],[/PR:90]:[/BR:90]],Brudnopis!$E$23:$J$23),0)</f>
        <v>0</v>
      </c>
      <c r="T3316" s="44">
        <f>IF(Mecze[[#This Row],[Role]]&lt;&gt;"BR",SUMPRODUCT(Mecze[[#This Row],[/PR:90]:[/BR:90]],Brudnopis!$E$24:$J$24),0)</f>
        <v>5.2083333333333329E-2</v>
      </c>
      <c r="U3316" s="44">
        <f>IF(Mecze[[#This Row],[Role]]&lt;&gt;"BR",SUMPRODUCT(Mecze[[#This Row],[/PR:90]:[/BR:90]],Brudnopis!$E$25:$J$25),0)</f>
        <v>6.7708333333333329E-2</v>
      </c>
      <c r="V3316" s="44">
        <f>IF(Mecze[[#This Row],[Role]]&lt;&gt;"BR",SUMPRODUCT(Mecze[[#This Row],[/PR:90]:[/BR:90]],Brudnopis!$E$26:$J$26),0)</f>
        <v>5.2083333333333329E-2</v>
      </c>
      <c r="W3316" s="44">
        <f>IF(Mecze[[#This Row],[Role]]&lt;&gt;"BR",SUMPRODUCT(Mecze[[#This Row],[/PR:90]:[/BR:90]],Brudnopis!$E$27:$J$27),0)</f>
        <v>6.25E-2</v>
      </c>
      <c r="X3316" s="44">
        <f>IF(Mecze[[#This Row],[Role]]&lt;&gt;"BR",SUMPRODUCT(Mecze[[#This Row],[/PR:90]:[/BR:90]],Brudnopis!$E$28:$J$28),0)</f>
        <v>3.125E-2</v>
      </c>
      <c r="Y3316" s="35">
        <f>IF(Mecze[[#This Row],[Role]]="BR",Mecze[[#This Row],[/OB:90]]+Mecze[[#This Row],[/PC:90]],SUM(Mecze[[#This Row],[/PR:90]:[/BR:90]]))</f>
        <v>5.2083333333333329E-2</v>
      </c>
      <c r="Z3316" s="35">
        <f>IF(Mecze[[#This Row],[KC]]=0,SUM(Mecze[[#This Row],[/BRI]:[/NPI]]),SUM(Mecze[[#This Row],[/BRI]:[/NPI]])*0.6)</f>
        <v>0.265625</v>
      </c>
      <c r="AA3316" s="10">
        <f>IFERROR(Mecze[[#This Row],[BR]]/Mecze[[#This Row],[ST]],0)</f>
        <v>0</v>
      </c>
      <c r="AB3316">
        <f>ROUND(Mecze[[#This Row],[PD]]*Mecze[[#This Row],[%PC]],0)</f>
        <v>3</v>
      </c>
      <c r="AC3316">
        <f>ROUND(Mecze[[#This Row],[OD]]*Mecze[[#This Row],[%OU]],0)</f>
        <v>0</v>
      </c>
      <c r="AD3316" s="36" t="s">
        <v>47</v>
      </c>
      <c r="AE3316" s="36">
        <v>185</v>
      </c>
      <c r="AF3316" s="71">
        <v>7.46</v>
      </c>
      <c r="AG3316" s="37">
        <v>0</v>
      </c>
      <c r="AH3316" s="37">
        <v>0</v>
      </c>
      <c r="AI3316" s="37">
        <v>96</v>
      </c>
      <c r="AJ3316" s="37">
        <v>8</v>
      </c>
      <c r="AK3316" s="37" t="str">
        <f>VLOOKUP(Mecze[[#This Row],[Match ID]],Meczusie[Mecz]:Meczusie[RodzajMeczu],2,FALSE)</f>
        <v>Liga</v>
      </c>
    </row>
    <row r="3317" spans="1:37" x14ac:dyDescent="0.25">
      <c r="A3317" s="76">
        <v>23</v>
      </c>
      <c r="B3317" s="3" t="s">
        <v>306</v>
      </c>
      <c r="C3317" s="2" t="s">
        <v>157</v>
      </c>
      <c r="D3317" s="1">
        <v>0</v>
      </c>
      <c r="E3317" s="1">
        <v>0</v>
      </c>
      <c r="F3317" s="1">
        <v>0</v>
      </c>
      <c r="G3317" s="1">
        <v>1</v>
      </c>
      <c r="H3317" s="4">
        <v>1</v>
      </c>
      <c r="I3317" s="1">
        <v>0</v>
      </c>
      <c r="J3317" s="4"/>
      <c r="K3317" s="1">
        <v>0</v>
      </c>
      <c r="L3317" s="1">
        <v>1</v>
      </c>
      <c r="M3317" s="32">
        <f>IF(Mecze[[#This Row],[PR]]=0,0,Mecze[[#This Row],[PR]]/Mecze[[#This Row],[CZAS]])</f>
        <v>1.0416666666666666E-2</v>
      </c>
      <c r="N3317" s="32">
        <f>IF(Mecze[[#This Row],[OU]]=0,0,Mecze[[#This Row],[OU]]/Mecze[[#This Row],[CZAS]])</f>
        <v>0</v>
      </c>
      <c r="O3317" s="32">
        <f>IF(Mecze[[#This Row],[PC]]=0,0,Mecze[[#This Row],[PC]]/Mecze[[#This Row],[CZAS]])</f>
        <v>1.0416666666666666E-2</v>
      </c>
      <c r="P3317" s="32">
        <f>IF(Mecze[[#This Row],[SC]]=0,0,Mecze[[#This Row],[SC]]/Mecze[[#This Row],[CZAS]])</f>
        <v>0</v>
      </c>
      <c r="Q3317" s="32">
        <f>IF(Mecze[[#This Row],[OB]]=0,0,Mecze[[#This Row],[OB]]/Mecze[[#This Row],[CZAS]])</f>
        <v>0</v>
      </c>
      <c r="R3317" s="32">
        <f>IF(Mecze[[#This Row],[BR]]=0,0,Mecze[[#This Row],[BR]]/Mecze[[#This Row],[CZAS]])</f>
        <v>0</v>
      </c>
      <c r="S3317" s="44">
        <f>IF(Mecze[[#This Row],[Role]]="BR",SUMPRODUCT(Mecze[[#This Row],[/PR:90]:[/BR:90]],Brudnopis!$E$23:$J$23),0)</f>
        <v>0</v>
      </c>
      <c r="T3317" s="44">
        <f>IF(Mecze[[#This Row],[Role]]&lt;&gt;"BR",SUMPRODUCT(Mecze[[#This Row],[/PR:90]:[/BR:90]],Brudnopis!$E$24:$J$24),0)</f>
        <v>2.0833333333333332E-2</v>
      </c>
      <c r="U3317" s="44">
        <f>IF(Mecze[[#This Row],[Role]]&lt;&gt;"BR",SUMPRODUCT(Mecze[[#This Row],[/PR:90]:[/BR:90]],Brudnopis!$E$25:$J$25),0)</f>
        <v>2.6041666666666664E-2</v>
      </c>
      <c r="V3317" s="44">
        <f>IF(Mecze[[#This Row],[Role]]&lt;&gt;"BR",SUMPRODUCT(Mecze[[#This Row],[/PR:90]:[/BR:90]],Brudnopis!$E$26:$J$26),0)</f>
        <v>2.0833333333333332E-2</v>
      </c>
      <c r="W3317" s="44">
        <f>IF(Mecze[[#This Row],[Role]]&lt;&gt;"BR",SUMPRODUCT(Mecze[[#This Row],[/PR:90]:[/BR:90]],Brudnopis!$E$27:$J$27),0)</f>
        <v>2.34375E-2</v>
      </c>
      <c r="X3317" s="44">
        <f>IF(Mecze[[#This Row],[Role]]&lt;&gt;"BR",SUMPRODUCT(Mecze[[#This Row],[/PR:90]:[/BR:90]],Brudnopis!$E$28:$J$28),0)</f>
        <v>1.0416666666666666E-2</v>
      </c>
      <c r="Y3317" s="35">
        <f>IF(Mecze[[#This Row],[Role]]="BR",Mecze[[#This Row],[/OB:90]]+Mecze[[#This Row],[/PC:90]],SUM(Mecze[[#This Row],[/PR:90]:[/BR:90]]))</f>
        <v>2.0833333333333332E-2</v>
      </c>
      <c r="Z3317" s="35">
        <f>IF(Mecze[[#This Row],[KC]]=0,SUM(Mecze[[#This Row],[/BRI]:[/NPI]]),SUM(Mecze[[#This Row],[/BRI]:[/NPI]])*0.6)</f>
        <v>0.1015625</v>
      </c>
      <c r="AA3317" s="10">
        <f>IFERROR(Mecze[[#This Row],[BR]]/Mecze[[#This Row],[ST]],0)</f>
        <v>0</v>
      </c>
      <c r="AB3317">
        <f>ROUND(Mecze[[#This Row],[PD]]*Mecze[[#This Row],[%PC]],0)</f>
        <v>1</v>
      </c>
      <c r="AC3317">
        <f>ROUND(Mecze[[#This Row],[OD]]*Mecze[[#This Row],[%OU]],0)</f>
        <v>0</v>
      </c>
      <c r="AD3317" s="36" t="s">
        <v>167</v>
      </c>
      <c r="AE3317" s="36">
        <v>185</v>
      </c>
      <c r="AF3317" s="71">
        <v>7.25</v>
      </c>
      <c r="AG3317" s="37">
        <v>0</v>
      </c>
      <c r="AH3317" s="37">
        <v>0</v>
      </c>
      <c r="AI3317" s="37">
        <v>96</v>
      </c>
      <c r="AJ3317" s="37">
        <v>8</v>
      </c>
      <c r="AK3317" s="37" t="str">
        <f>VLOOKUP(Mecze[[#This Row],[Match ID]],Meczusie[Mecz]:Meczusie[RodzajMeczu],2,FALSE)</f>
        <v>Liga</v>
      </c>
    </row>
    <row r="3318" spans="1:37" x14ac:dyDescent="0.25">
      <c r="A3318" s="76">
        <v>73</v>
      </c>
      <c r="B3318" s="3" t="s">
        <v>431</v>
      </c>
      <c r="C3318" s="2" t="s">
        <v>157</v>
      </c>
      <c r="D3318" s="1">
        <v>0</v>
      </c>
      <c r="E3318" s="1">
        <v>0</v>
      </c>
      <c r="F3318" s="1">
        <v>0</v>
      </c>
      <c r="G3318" s="1">
        <v>5</v>
      </c>
      <c r="H3318" s="4">
        <v>0.6</v>
      </c>
      <c r="I3318" s="1">
        <v>1</v>
      </c>
      <c r="J3318" s="4">
        <v>1</v>
      </c>
      <c r="K3318" s="1">
        <v>0</v>
      </c>
      <c r="L3318" s="1">
        <v>5</v>
      </c>
      <c r="M3318" s="32">
        <f>IF(Mecze[[#This Row],[PR]]=0,0,Mecze[[#This Row],[PR]]/Mecze[[#This Row],[CZAS]])</f>
        <v>6.4935064935064929E-2</v>
      </c>
      <c r="N3318" s="32">
        <f>IF(Mecze[[#This Row],[OU]]=0,0,Mecze[[#This Row],[OU]]/Mecze[[#This Row],[CZAS]])</f>
        <v>1.2987012987012988E-2</v>
      </c>
      <c r="O3318" s="32">
        <f>IF(Mecze[[#This Row],[PC]]=0,0,Mecze[[#This Row],[PC]]/Mecze[[#This Row],[CZAS]])</f>
        <v>3.896103896103896E-2</v>
      </c>
      <c r="P3318" s="32">
        <f>IF(Mecze[[#This Row],[SC]]=0,0,Mecze[[#This Row],[SC]]/Mecze[[#This Row],[CZAS]])</f>
        <v>0</v>
      </c>
      <c r="Q3318" s="32">
        <f>IF(Mecze[[#This Row],[OB]]=0,0,Mecze[[#This Row],[OB]]/Mecze[[#This Row],[CZAS]])</f>
        <v>0</v>
      </c>
      <c r="R3318" s="32">
        <f>IF(Mecze[[#This Row],[BR]]=0,0,Mecze[[#This Row],[BR]]/Mecze[[#This Row],[CZAS]])</f>
        <v>0</v>
      </c>
      <c r="S3318" s="44">
        <f>IF(Mecze[[#This Row],[Role]]="BR",SUMPRODUCT(Mecze[[#This Row],[/PR:90]:[/BR:90]],Brudnopis!$E$23:$J$23),0)</f>
        <v>0</v>
      </c>
      <c r="T3318" s="44">
        <f>IF(Mecze[[#This Row],[Role]]&lt;&gt;"BR",SUMPRODUCT(Mecze[[#This Row],[/PR:90]:[/BR:90]],Brudnopis!$E$24:$J$24),0)</f>
        <v>0.12337662337662338</v>
      </c>
      <c r="U3318" s="44">
        <f>IF(Mecze[[#This Row],[Role]]&lt;&gt;"BR",SUMPRODUCT(Mecze[[#This Row],[/PR:90]:[/BR:90]],Brudnopis!$E$25:$J$25),0)</f>
        <v>0.13636363636363635</v>
      </c>
      <c r="V3318" s="44">
        <f>IF(Mecze[[#This Row],[Role]]&lt;&gt;"BR",SUMPRODUCT(Mecze[[#This Row],[/PR:90]:[/BR:90]],Brudnopis!$E$26:$J$26),0)</f>
        <v>0.11688311688311688</v>
      </c>
      <c r="W3318" s="44">
        <f>IF(Mecze[[#This Row],[Role]]&lt;&gt;"BR",SUMPRODUCT(Mecze[[#This Row],[/PR:90]:[/BR:90]],Brudnopis!$E$27:$J$27),0)</f>
        <v>0.11688311688311687</v>
      </c>
      <c r="X3318" s="44">
        <f>IF(Mecze[[#This Row],[Role]]&lt;&gt;"BR",SUMPRODUCT(Mecze[[#This Row],[/PR:90]:[/BR:90]],Brudnopis!$E$28:$J$28),0)</f>
        <v>3.896103896103896E-2</v>
      </c>
      <c r="Y3318" s="35">
        <f>IF(Mecze[[#This Row],[Role]]="BR",Mecze[[#This Row],[/OB:90]]+Mecze[[#This Row],[/PC:90]],SUM(Mecze[[#This Row],[/PR:90]:[/BR:90]]))</f>
        <v>0.11688311688311688</v>
      </c>
      <c r="Z3318" s="35">
        <f>IF(Mecze[[#This Row],[KC]]=0,SUM(Mecze[[#This Row],[/BRI]:[/NPI]]),SUM(Mecze[[#This Row],[/BRI]:[/NPI]])*0.6)</f>
        <v>0.53246753246753242</v>
      </c>
      <c r="AA3318" s="10">
        <f>IFERROR(Mecze[[#This Row],[BR]]/Mecze[[#This Row],[ST]],0)</f>
        <v>0</v>
      </c>
      <c r="AB3318">
        <f>ROUND(Mecze[[#This Row],[PD]]*Mecze[[#This Row],[%PC]],0)</f>
        <v>3</v>
      </c>
      <c r="AC3318">
        <f>ROUND(Mecze[[#This Row],[OD]]*Mecze[[#This Row],[%OU]],0)</f>
        <v>1</v>
      </c>
      <c r="AD3318" s="36" t="s">
        <v>168</v>
      </c>
      <c r="AE3318" s="36">
        <v>185</v>
      </c>
      <c r="AF3318" s="71">
        <v>8.09</v>
      </c>
      <c r="AG3318" s="37">
        <v>0</v>
      </c>
      <c r="AH3318" s="37">
        <v>0</v>
      </c>
      <c r="AI3318" s="37">
        <v>77</v>
      </c>
      <c r="AJ3318" s="37">
        <v>8</v>
      </c>
      <c r="AK3318" s="37" t="str">
        <f>VLOOKUP(Mecze[[#This Row],[Match ID]],Meczusie[Mecz]:Meczusie[RodzajMeczu],2,FALSE)</f>
        <v>Liga</v>
      </c>
    </row>
    <row r="3319" spans="1:37" x14ac:dyDescent="0.25">
      <c r="A3319" s="76">
        <v>71</v>
      </c>
      <c r="B3319" s="3" t="s">
        <v>429</v>
      </c>
      <c r="C3319" s="2" t="s">
        <v>160</v>
      </c>
      <c r="D3319" s="1">
        <v>0</v>
      </c>
      <c r="E3319" s="1">
        <v>2</v>
      </c>
      <c r="F3319" s="1">
        <v>1</v>
      </c>
      <c r="G3319" s="1">
        <v>16</v>
      </c>
      <c r="H3319" s="4">
        <v>0.75</v>
      </c>
      <c r="I3319" s="1">
        <v>5</v>
      </c>
      <c r="J3319" s="4">
        <v>0.8</v>
      </c>
      <c r="K3319" s="1">
        <v>0</v>
      </c>
      <c r="L3319" s="1">
        <v>19</v>
      </c>
      <c r="M3319" s="32">
        <f>IF(Mecze[[#This Row],[PR]]=0,0,Mecze[[#This Row],[PR]]/Mecze[[#This Row],[CZAS]])</f>
        <v>0.19791666666666666</v>
      </c>
      <c r="N3319" s="32">
        <f>IF(Mecze[[#This Row],[OU]]=0,0,Mecze[[#This Row],[OU]]/Mecze[[#This Row],[CZAS]])</f>
        <v>4.1666666666666664E-2</v>
      </c>
      <c r="O3319" s="32">
        <f>IF(Mecze[[#This Row],[PC]]=0,0,Mecze[[#This Row],[PC]]/Mecze[[#This Row],[CZAS]])</f>
        <v>0.125</v>
      </c>
      <c r="P3319" s="32">
        <f>IF(Mecze[[#This Row],[SC]]=0,0,Mecze[[#This Row],[SC]]/Mecze[[#This Row],[CZAS]])</f>
        <v>1.0416666666666666E-2</v>
      </c>
      <c r="Q3319" s="32">
        <f>IF(Mecze[[#This Row],[OB]]=0,0,Mecze[[#This Row],[OB]]/Mecze[[#This Row],[CZAS]])</f>
        <v>0</v>
      </c>
      <c r="R3319" s="32">
        <f>IF(Mecze[[#This Row],[BR]]=0,0,Mecze[[#This Row],[BR]]/Mecze[[#This Row],[CZAS]])</f>
        <v>0</v>
      </c>
      <c r="S3319" s="44">
        <f>IF(Mecze[[#This Row],[Role]]="BR",SUMPRODUCT(Mecze[[#This Row],[/PR:90]:[/BR:90]],Brudnopis!$E$23:$J$23),0)</f>
        <v>0</v>
      </c>
      <c r="T3319" s="44">
        <f>IF(Mecze[[#This Row],[Role]]&lt;&gt;"BR",SUMPRODUCT(Mecze[[#This Row],[/PR:90]:[/BR:90]],Brudnopis!$E$24:$J$24),0)</f>
        <v>0.39583333333333331</v>
      </c>
      <c r="U3319" s="44">
        <f>IF(Mecze[[#This Row],[Role]]&lt;&gt;"BR",SUMPRODUCT(Mecze[[#This Row],[/PR:90]:[/BR:90]],Brudnopis!$E$25:$J$25),0)</f>
        <v>0.4375</v>
      </c>
      <c r="V3319" s="44">
        <f>IF(Mecze[[#This Row],[Role]]&lt;&gt;"BR",SUMPRODUCT(Mecze[[#This Row],[/PR:90]:[/BR:90]],Brudnopis!$E$26:$J$26),0)</f>
        <v>0.375</v>
      </c>
      <c r="W3319" s="44">
        <f>IF(Mecze[[#This Row],[Role]]&lt;&gt;"BR",SUMPRODUCT(Mecze[[#This Row],[/PR:90]:[/BR:90]],Brudnopis!$E$27:$J$27),0)</f>
        <v>0.37760416666666669</v>
      </c>
      <c r="X3319" s="44">
        <f>IF(Mecze[[#This Row],[Role]]&lt;&gt;"BR",SUMPRODUCT(Mecze[[#This Row],[/PR:90]:[/BR:90]],Brudnopis!$E$28:$J$28),0)</f>
        <v>0.14583333333333334</v>
      </c>
      <c r="Y3319" s="35">
        <f>IF(Mecze[[#This Row],[Role]]="BR",Mecze[[#This Row],[/OB:90]]+Mecze[[#This Row],[/PC:90]],SUM(Mecze[[#This Row],[/PR:90]:[/BR:90]]))</f>
        <v>0.375</v>
      </c>
      <c r="Z3319" s="35">
        <f>IF(Mecze[[#This Row],[KC]]=0,SUM(Mecze[[#This Row],[/BRI]:[/NPI]]),SUM(Mecze[[#This Row],[/BRI]:[/NPI]])*0.6)</f>
        <v>1.7317708333333333</v>
      </c>
      <c r="AA3319" s="10">
        <f>IFERROR(Mecze[[#This Row],[BR]]/Mecze[[#This Row],[ST]],0)</f>
        <v>0</v>
      </c>
      <c r="AB3319">
        <f>ROUND(Mecze[[#This Row],[PD]]*Mecze[[#This Row],[%PC]],0)</f>
        <v>12</v>
      </c>
      <c r="AC3319">
        <f>ROUND(Mecze[[#This Row],[OD]]*Mecze[[#This Row],[%OU]],0)</f>
        <v>4</v>
      </c>
      <c r="AD3319" s="36" t="s">
        <v>41</v>
      </c>
      <c r="AE3319" s="36">
        <v>185</v>
      </c>
      <c r="AF3319" s="71">
        <v>12.47</v>
      </c>
      <c r="AG3319" s="37">
        <v>0</v>
      </c>
      <c r="AH3319" s="37">
        <v>0</v>
      </c>
      <c r="AI3319" s="37">
        <v>96</v>
      </c>
      <c r="AJ3319" s="37">
        <v>8</v>
      </c>
      <c r="AK3319" s="37" t="str">
        <f>VLOOKUP(Mecze[[#This Row],[Match ID]],Meczusie[Mecz]:Meczusie[RodzajMeczu],2,FALSE)</f>
        <v>Liga</v>
      </c>
    </row>
    <row r="3320" spans="1:37" x14ac:dyDescent="0.25">
      <c r="A3320" s="76">
        <v>16</v>
      </c>
      <c r="B3320" s="3" t="s">
        <v>309</v>
      </c>
      <c r="C3320" s="2" t="s">
        <v>160</v>
      </c>
      <c r="D3320" s="1">
        <v>0</v>
      </c>
      <c r="E3320" s="1">
        <v>0</v>
      </c>
      <c r="F3320" s="1">
        <v>0</v>
      </c>
      <c r="G3320" s="1">
        <v>11</v>
      </c>
      <c r="H3320" s="4">
        <v>0.82</v>
      </c>
      <c r="I3320" s="1">
        <v>2</v>
      </c>
      <c r="J3320" s="4">
        <v>0.5</v>
      </c>
      <c r="K3320" s="1">
        <v>0</v>
      </c>
      <c r="L3320" s="1">
        <v>8</v>
      </c>
      <c r="M3320" s="32">
        <f>IF(Mecze[[#This Row],[PR]]=0,0,Mecze[[#This Row],[PR]]/Mecze[[#This Row],[CZAS]])</f>
        <v>8.3333333333333329E-2</v>
      </c>
      <c r="N3320" s="32">
        <f>IF(Mecze[[#This Row],[OU]]=0,0,Mecze[[#This Row],[OU]]/Mecze[[#This Row],[CZAS]])</f>
        <v>1.0416666666666666E-2</v>
      </c>
      <c r="O3320" s="32">
        <f>IF(Mecze[[#This Row],[PC]]=0,0,Mecze[[#This Row],[PC]]/Mecze[[#This Row],[CZAS]])</f>
        <v>9.375E-2</v>
      </c>
      <c r="P3320" s="32">
        <f>IF(Mecze[[#This Row],[SC]]=0,0,Mecze[[#This Row],[SC]]/Mecze[[#This Row],[CZAS]])</f>
        <v>0</v>
      </c>
      <c r="Q3320" s="32">
        <f>IF(Mecze[[#This Row],[OB]]=0,0,Mecze[[#This Row],[OB]]/Mecze[[#This Row],[CZAS]])</f>
        <v>0</v>
      </c>
      <c r="R3320" s="32">
        <f>IF(Mecze[[#This Row],[BR]]=0,0,Mecze[[#This Row],[BR]]/Mecze[[#This Row],[CZAS]])</f>
        <v>0</v>
      </c>
      <c r="S3320" s="44">
        <f>IF(Mecze[[#This Row],[Role]]="BR",SUMPRODUCT(Mecze[[#This Row],[/PR:90]:[/BR:90]],Brudnopis!$E$23:$J$23),0)</f>
        <v>0</v>
      </c>
      <c r="T3320" s="44">
        <f>IF(Mecze[[#This Row],[Role]]&lt;&gt;"BR",SUMPRODUCT(Mecze[[#This Row],[/PR:90]:[/BR:90]],Brudnopis!$E$24:$J$24),0)</f>
        <v>0.19270833333333331</v>
      </c>
      <c r="U3320" s="44">
        <f>IF(Mecze[[#This Row],[Role]]&lt;&gt;"BR",SUMPRODUCT(Mecze[[#This Row],[/PR:90]:[/BR:90]],Brudnopis!$E$25:$J$25),0)</f>
        <v>0.234375</v>
      </c>
      <c r="V3320" s="44">
        <f>IF(Mecze[[#This Row],[Role]]&lt;&gt;"BR",SUMPRODUCT(Mecze[[#This Row],[/PR:90]:[/BR:90]],Brudnopis!$E$26:$J$26),0)</f>
        <v>0.1875</v>
      </c>
      <c r="W3320" s="44">
        <f>IF(Mecze[[#This Row],[Role]]&lt;&gt;"BR",SUMPRODUCT(Mecze[[#This Row],[/PR:90]:[/BR:90]],Brudnopis!$E$27:$J$27),0)</f>
        <v>0.2109375</v>
      </c>
      <c r="X3320" s="44">
        <f>IF(Mecze[[#This Row],[Role]]&lt;&gt;"BR",SUMPRODUCT(Mecze[[#This Row],[/PR:90]:[/BR:90]],Brudnopis!$E$28:$J$28),0)</f>
        <v>9.375E-2</v>
      </c>
      <c r="Y3320" s="35">
        <f>IF(Mecze[[#This Row],[Role]]="BR",Mecze[[#This Row],[/OB:90]]+Mecze[[#This Row],[/PC:90]],SUM(Mecze[[#This Row],[/PR:90]:[/BR:90]]))</f>
        <v>0.1875</v>
      </c>
      <c r="Z3320" s="35">
        <f>IF(Mecze[[#This Row],[KC]]=0,SUM(Mecze[[#This Row],[/BRI]:[/NPI]]),SUM(Mecze[[#This Row],[/BRI]:[/NPI]])*0.6)</f>
        <v>0.91927083333333326</v>
      </c>
      <c r="AA3320" s="10">
        <f>IFERROR(Mecze[[#This Row],[BR]]/Mecze[[#This Row],[ST]],0)</f>
        <v>0</v>
      </c>
      <c r="AB3320">
        <f>ROUND(Mecze[[#This Row],[PD]]*Mecze[[#This Row],[%PC]],0)</f>
        <v>9</v>
      </c>
      <c r="AC3320">
        <f>ROUND(Mecze[[#This Row],[OD]]*Mecze[[#This Row],[%OU]],0)</f>
        <v>1</v>
      </c>
      <c r="AD3320" s="36" t="s">
        <v>41</v>
      </c>
      <c r="AE3320" s="36">
        <v>185</v>
      </c>
      <c r="AF3320" s="71">
        <v>10.84</v>
      </c>
      <c r="AG3320" s="37">
        <v>0</v>
      </c>
      <c r="AH3320" s="37">
        <v>0</v>
      </c>
      <c r="AI3320" s="37">
        <v>96</v>
      </c>
      <c r="AJ3320" s="37">
        <v>8</v>
      </c>
      <c r="AK3320" s="37" t="str">
        <f>VLOOKUP(Mecze[[#This Row],[Match ID]],Meczusie[Mecz]:Meczusie[RodzajMeczu],2,FALSE)</f>
        <v>Liga</v>
      </c>
    </row>
    <row r="3321" spans="1:37" x14ac:dyDescent="0.25">
      <c r="A3321" s="76">
        <v>6</v>
      </c>
      <c r="B3321" s="3" t="s">
        <v>308</v>
      </c>
      <c r="C3321" s="2" t="s">
        <v>160</v>
      </c>
      <c r="D3321" s="1">
        <v>1</v>
      </c>
      <c r="E3321" s="1">
        <v>1</v>
      </c>
      <c r="F3321" s="1">
        <v>1</v>
      </c>
      <c r="G3321" s="1">
        <v>13</v>
      </c>
      <c r="H3321" s="4">
        <v>0.92</v>
      </c>
      <c r="I3321" s="1">
        <v>6</v>
      </c>
      <c r="J3321" s="4">
        <v>0.67</v>
      </c>
      <c r="K3321" s="1">
        <v>0</v>
      </c>
      <c r="L3321" s="1">
        <v>5</v>
      </c>
      <c r="M3321" s="32">
        <f>IF(Mecze[[#This Row],[PR]]=0,0,Mecze[[#This Row],[PR]]/Mecze[[#This Row],[CZAS]])</f>
        <v>6.4935064935064929E-2</v>
      </c>
      <c r="N3321" s="32">
        <f>IF(Mecze[[#This Row],[OU]]=0,0,Mecze[[#This Row],[OU]]/Mecze[[#This Row],[CZAS]])</f>
        <v>5.1948051948051951E-2</v>
      </c>
      <c r="O3321" s="32">
        <f>IF(Mecze[[#This Row],[PC]]=0,0,Mecze[[#This Row],[PC]]/Mecze[[#This Row],[CZAS]])</f>
        <v>0.15584415584415584</v>
      </c>
      <c r="P3321" s="32">
        <f>IF(Mecze[[#This Row],[SC]]=0,0,Mecze[[#This Row],[SC]]/Mecze[[#This Row],[CZAS]])</f>
        <v>1.2987012987012988E-2</v>
      </c>
      <c r="Q3321" s="32">
        <f>IF(Mecze[[#This Row],[OB]]=0,0,Mecze[[#This Row],[OB]]/Mecze[[#This Row],[CZAS]])</f>
        <v>0</v>
      </c>
      <c r="R3321" s="32">
        <f>IF(Mecze[[#This Row],[BR]]=0,0,Mecze[[#This Row],[BR]]/Mecze[[#This Row],[CZAS]])</f>
        <v>1.2987012987012988E-2</v>
      </c>
      <c r="S3321" s="44">
        <f>IF(Mecze[[#This Row],[Role]]="BR",SUMPRODUCT(Mecze[[#This Row],[/PR:90]:[/BR:90]],Brudnopis!$E$23:$J$23),0)</f>
        <v>0</v>
      </c>
      <c r="T3321" s="44">
        <f>IF(Mecze[[#This Row],[Role]]&lt;&gt;"BR",SUMPRODUCT(Mecze[[#This Row],[/PR:90]:[/BR:90]],Brudnopis!$E$24:$J$24),0)</f>
        <v>0.33116883116883117</v>
      </c>
      <c r="U3321" s="44">
        <f>IF(Mecze[[#This Row],[Role]]&lt;&gt;"BR",SUMPRODUCT(Mecze[[#This Row],[/PR:90]:[/BR:90]],Brudnopis!$E$25:$J$25),0)</f>
        <v>0.38311688311688313</v>
      </c>
      <c r="V3321" s="44">
        <f>IF(Mecze[[#This Row],[Role]]&lt;&gt;"BR",SUMPRODUCT(Mecze[[#This Row],[/PR:90]:[/BR:90]],Brudnopis!$E$26:$J$26),0)</f>
        <v>0.31168831168831168</v>
      </c>
      <c r="W3321" s="44">
        <f>IF(Mecze[[#This Row],[Role]]&lt;&gt;"BR",SUMPRODUCT(Mecze[[#This Row],[/PR:90]:[/BR:90]],Brudnopis!$E$27:$J$27),0)</f>
        <v>0.36038961038961037</v>
      </c>
      <c r="X3321" s="44">
        <f>IF(Mecze[[#This Row],[Role]]&lt;&gt;"BR",SUMPRODUCT(Mecze[[#This Row],[/PR:90]:[/BR:90]],Brudnopis!$E$28:$J$28),0)</f>
        <v>0.2207792207792208</v>
      </c>
      <c r="Y3321" s="35">
        <f>IF(Mecze[[#This Row],[Role]]="BR",Mecze[[#This Row],[/OB:90]]+Mecze[[#This Row],[/PC:90]],SUM(Mecze[[#This Row],[/PR:90]:[/BR:90]]))</f>
        <v>0.29870129870129869</v>
      </c>
      <c r="Z3321" s="35">
        <f>IF(Mecze[[#This Row],[KC]]=0,SUM(Mecze[[#This Row],[/BRI]:[/NPI]]),SUM(Mecze[[#This Row],[/BRI]:[/NPI]])*0.6)</f>
        <v>1.607142857142857</v>
      </c>
      <c r="AA3321" s="10">
        <f>IFERROR(Mecze[[#This Row],[BR]]/Mecze[[#This Row],[ST]],0)</f>
        <v>1</v>
      </c>
      <c r="AB3321">
        <f>ROUND(Mecze[[#This Row],[PD]]*Mecze[[#This Row],[%PC]],0)</f>
        <v>12</v>
      </c>
      <c r="AC3321">
        <f>ROUND(Mecze[[#This Row],[OD]]*Mecze[[#This Row],[%OU]],0)</f>
        <v>4</v>
      </c>
      <c r="AD3321" s="36" t="s">
        <v>67</v>
      </c>
      <c r="AE3321" s="36">
        <v>185</v>
      </c>
      <c r="AF3321" s="71">
        <v>12.55</v>
      </c>
      <c r="AG3321" s="37">
        <v>0</v>
      </c>
      <c r="AH3321" s="37">
        <v>0</v>
      </c>
      <c r="AI3321" s="37">
        <v>77</v>
      </c>
      <c r="AJ3321" s="37">
        <v>8</v>
      </c>
      <c r="AK3321" s="37" t="str">
        <f>VLOOKUP(Mecze[[#This Row],[Match ID]],Meczusie[Mecz]:Meczusie[RodzajMeczu],2,FALSE)</f>
        <v>Liga</v>
      </c>
    </row>
    <row r="3322" spans="1:37" x14ac:dyDescent="0.25">
      <c r="A3322" s="76">
        <v>74</v>
      </c>
      <c r="B3322" s="3" t="s">
        <v>442</v>
      </c>
      <c r="C3322" s="2" t="s">
        <v>160</v>
      </c>
      <c r="D3322" s="1">
        <v>0</v>
      </c>
      <c r="E3322" s="1">
        <v>2</v>
      </c>
      <c r="F3322" s="1">
        <v>1</v>
      </c>
      <c r="G3322" s="1">
        <v>19</v>
      </c>
      <c r="H3322" s="4">
        <v>0.89</v>
      </c>
      <c r="I3322" s="1">
        <v>2</v>
      </c>
      <c r="J3322" s="4">
        <v>1</v>
      </c>
      <c r="K3322" s="1">
        <v>0</v>
      </c>
      <c r="L3322" s="1">
        <v>2</v>
      </c>
      <c r="M3322" s="32">
        <f>IF(Mecze[[#This Row],[PR]]=0,0,Mecze[[#This Row],[PR]]/Mecze[[#This Row],[CZAS]])</f>
        <v>2.0833333333333332E-2</v>
      </c>
      <c r="N3322" s="32">
        <f>IF(Mecze[[#This Row],[OU]]=0,0,Mecze[[#This Row],[OU]]/Mecze[[#This Row],[CZAS]])</f>
        <v>2.0833333333333332E-2</v>
      </c>
      <c r="O3322" s="32">
        <f>IF(Mecze[[#This Row],[PC]]=0,0,Mecze[[#This Row],[PC]]/Mecze[[#This Row],[CZAS]])</f>
        <v>0.17708333333333334</v>
      </c>
      <c r="P3322" s="32">
        <f>IF(Mecze[[#This Row],[SC]]=0,0,Mecze[[#This Row],[SC]]/Mecze[[#This Row],[CZAS]])</f>
        <v>1.0416666666666666E-2</v>
      </c>
      <c r="Q3322" s="32">
        <f>IF(Mecze[[#This Row],[OB]]=0,0,Mecze[[#This Row],[OB]]/Mecze[[#This Row],[CZAS]])</f>
        <v>0</v>
      </c>
      <c r="R3322" s="32">
        <f>IF(Mecze[[#This Row],[BR]]=0,0,Mecze[[#This Row],[BR]]/Mecze[[#This Row],[CZAS]])</f>
        <v>0</v>
      </c>
      <c r="S3322" s="44">
        <f>IF(Mecze[[#This Row],[Role]]="BR",SUMPRODUCT(Mecze[[#This Row],[/PR:90]:[/BR:90]],Brudnopis!$E$23:$J$23),0)</f>
        <v>0</v>
      </c>
      <c r="T3322" s="44">
        <f>IF(Mecze[[#This Row],[Role]]&lt;&gt;"BR",SUMPRODUCT(Mecze[[#This Row],[/PR:90]:[/BR:90]],Brudnopis!$E$24:$J$24),0)</f>
        <v>0.23958333333333334</v>
      </c>
      <c r="U3322" s="44">
        <f>IF(Mecze[[#This Row],[Role]]&lt;&gt;"BR",SUMPRODUCT(Mecze[[#This Row],[/PR:90]:[/BR:90]],Brudnopis!$E$25:$J$25),0)</f>
        <v>0.31770833333333337</v>
      </c>
      <c r="V3322" s="44">
        <f>IF(Mecze[[#This Row],[Role]]&lt;&gt;"BR",SUMPRODUCT(Mecze[[#This Row],[/PR:90]:[/BR:90]],Brudnopis!$E$26:$J$26),0)</f>
        <v>0.22916666666666666</v>
      </c>
      <c r="W3322" s="44">
        <f>IF(Mecze[[#This Row],[Role]]&lt;&gt;"BR",SUMPRODUCT(Mecze[[#This Row],[/PR:90]:[/BR:90]],Brudnopis!$E$27:$J$27),0)</f>
        <v>0.30729166666666669</v>
      </c>
      <c r="X3322" s="44">
        <f>IF(Mecze[[#This Row],[Role]]&lt;&gt;"BR",SUMPRODUCT(Mecze[[#This Row],[/PR:90]:[/BR:90]],Brudnopis!$E$28:$J$28),0)</f>
        <v>0.19791666666666669</v>
      </c>
      <c r="Y3322" s="35">
        <f>IF(Mecze[[#This Row],[Role]]="BR",Mecze[[#This Row],[/OB:90]]+Mecze[[#This Row],[/PC:90]],SUM(Mecze[[#This Row],[/PR:90]:[/BR:90]]))</f>
        <v>0.22916666666666666</v>
      </c>
      <c r="Z3322" s="35">
        <f>IF(Mecze[[#This Row],[KC]]=0,SUM(Mecze[[#This Row],[/BRI]:[/NPI]]),SUM(Mecze[[#This Row],[/BRI]:[/NPI]])*0.6)</f>
        <v>1.2916666666666667</v>
      </c>
      <c r="AA3322" s="10">
        <f>IFERROR(Mecze[[#This Row],[BR]]/Mecze[[#This Row],[ST]],0)</f>
        <v>0</v>
      </c>
      <c r="AB3322">
        <f>ROUND(Mecze[[#This Row],[PD]]*Mecze[[#This Row],[%PC]],0)</f>
        <v>17</v>
      </c>
      <c r="AC3322">
        <f>ROUND(Mecze[[#This Row],[OD]]*Mecze[[#This Row],[%OU]],0)</f>
        <v>2</v>
      </c>
      <c r="AD3322" s="36" t="s">
        <v>44</v>
      </c>
      <c r="AE3322" s="36">
        <v>185</v>
      </c>
      <c r="AF3322" s="71">
        <v>9.81</v>
      </c>
      <c r="AG3322" s="37">
        <v>0</v>
      </c>
      <c r="AH3322" s="37">
        <v>0</v>
      </c>
      <c r="AI3322" s="37">
        <v>96</v>
      </c>
      <c r="AJ3322" s="37">
        <v>8</v>
      </c>
      <c r="AK3322" s="37" t="str">
        <f>VLOOKUP(Mecze[[#This Row],[Match ID]],Meczusie[Mecz]:Meczusie[RodzajMeczu],2,FALSE)</f>
        <v>Liga</v>
      </c>
    </row>
    <row r="3323" spans="1:37" x14ac:dyDescent="0.25">
      <c r="A3323" s="76">
        <v>7</v>
      </c>
      <c r="B3323" s="3" t="s">
        <v>311</v>
      </c>
      <c r="C3323" s="2" t="s">
        <v>165</v>
      </c>
      <c r="D3323" s="1">
        <v>0</v>
      </c>
      <c r="E3323" s="1">
        <v>2</v>
      </c>
      <c r="F3323" s="1">
        <v>2</v>
      </c>
      <c r="G3323" s="1">
        <v>4</v>
      </c>
      <c r="H3323" s="4">
        <v>1</v>
      </c>
      <c r="I3323" s="1">
        <v>0</v>
      </c>
      <c r="J3323" s="4"/>
      <c r="K3323" s="1">
        <v>0</v>
      </c>
      <c r="L3323" s="1">
        <v>0</v>
      </c>
      <c r="M3323" s="32">
        <f>IF(Mecze[[#This Row],[PR]]=0,0,Mecze[[#This Row],[PR]]/Mecze[[#This Row],[CZAS]])</f>
        <v>0</v>
      </c>
      <c r="N3323" s="32">
        <f>IF(Mecze[[#This Row],[OU]]=0,0,Mecze[[#This Row],[OU]]/Mecze[[#This Row],[CZAS]])</f>
        <v>0</v>
      </c>
      <c r="O3323" s="32">
        <f>IF(Mecze[[#This Row],[PC]]=0,0,Mecze[[#This Row],[PC]]/Mecze[[#This Row],[CZAS]])</f>
        <v>4.1666666666666664E-2</v>
      </c>
      <c r="P3323" s="32">
        <f>IF(Mecze[[#This Row],[SC]]=0,0,Mecze[[#This Row],[SC]]/Mecze[[#This Row],[CZAS]])</f>
        <v>2.0833333333333332E-2</v>
      </c>
      <c r="Q3323" s="32">
        <f>IF(Mecze[[#This Row],[OB]]=0,0,Mecze[[#This Row],[OB]]/Mecze[[#This Row],[CZAS]])</f>
        <v>0</v>
      </c>
      <c r="R3323" s="32">
        <f>IF(Mecze[[#This Row],[BR]]=0,0,Mecze[[#This Row],[BR]]/Mecze[[#This Row],[CZAS]])</f>
        <v>0</v>
      </c>
      <c r="S3323" s="44">
        <f>IF(Mecze[[#This Row],[Role]]="BR",SUMPRODUCT(Mecze[[#This Row],[/PR:90]:[/BR:90]],Brudnopis!$E$23:$J$23),0)</f>
        <v>0</v>
      </c>
      <c r="T3323" s="44">
        <f>IF(Mecze[[#This Row],[Role]]&lt;&gt;"BR",SUMPRODUCT(Mecze[[#This Row],[/PR:90]:[/BR:90]],Brudnopis!$E$24:$J$24),0)</f>
        <v>6.25E-2</v>
      </c>
      <c r="U3323" s="44">
        <f>IF(Mecze[[#This Row],[Role]]&lt;&gt;"BR",SUMPRODUCT(Mecze[[#This Row],[/PR:90]:[/BR:90]],Brudnopis!$E$25:$J$25),0)</f>
        <v>8.3333333333333329E-2</v>
      </c>
      <c r="V3323" s="44">
        <f>IF(Mecze[[#This Row],[Role]]&lt;&gt;"BR",SUMPRODUCT(Mecze[[#This Row],[/PR:90]:[/BR:90]],Brudnopis!$E$26:$J$26),0)</f>
        <v>6.25E-2</v>
      </c>
      <c r="W3323" s="44">
        <f>IF(Mecze[[#This Row],[Role]]&lt;&gt;"BR",SUMPRODUCT(Mecze[[#This Row],[/PR:90]:[/BR:90]],Brudnopis!$E$27:$J$27),0)</f>
        <v>8.3333333333333329E-2</v>
      </c>
      <c r="X3323" s="44">
        <f>IF(Mecze[[#This Row],[Role]]&lt;&gt;"BR",SUMPRODUCT(Mecze[[#This Row],[/PR:90]:[/BR:90]],Brudnopis!$E$28:$J$28),0)</f>
        <v>8.3333333333333329E-2</v>
      </c>
      <c r="Y3323" s="35">
        <f>IF(Mecze[[#This Row],[Role]]="BR",Mecze[[#This Row],[/OB:90]]+Mecze[[#This Row],[/PC:90]],SUM(Mecze[[#This Row],[/PR:90]:[/BR:90]]))</f>
        <v>6.25E-2</v>
      </c>
      <c r="Z3323" s="35">
        <f>IF(Mecze[[#This Row],[KC]]=0,SUM(Mecze[[#This Row],[/BRI]:[/NPI]]),SUM(Mecze[[#This Row],[/BRI]:[/NPI]])*0.6)</f>
        <v>0.37499999999999994</v>
      </c>
      <c r="AA3323" s="10">
        <f>IFERROR(Mecze[[#This Row],[BR]]/Mecze[[#This Row],[ST]],0)</f>
        <v>0</v>
      </c>
      <c r="AB3323">
        <f>ROUND(Mecze[[#This Row],[PD]]*Mecze[[#This Row],[%PC]],0)</f>
        <v>4</v>
      </c>
      <c r="AC3323">
        <f>ROUND(Mecze[[#This Row],[OD]]*Mecze[[#This Row],[%OU]],0)</f>
        <v>0</v>
      </c>
      <c r="AD3323" s="36" t="s">
        <v>355</v>
      </c>
      <c r="AE3323" s="36">
        <v>185</v>
      </c>
      <c r="AF3323" s="71">
        <v>4.37</v>
      </c>
      <c r="AG3323" s="37">
        <v>0</v>
      </c>
      <c r="AH3323" s="37">
        <v>0</v>
      </c>
      <c r="AI3323" s="37">
        <v>96</v>
      </c>
      <c r="AJ3323" s="37">
        <v>8</v>
      </c>
      <c r="AK3323" s="37" t="str">
        <f>VLOOKUP(Mecze[[#This Row],[Match ID]],Meczusie[Mecz]:Meczusie[RodzajMeczu],2,FALSE)</f>
        <v>Liga</v>
      </c>
    </row>
    <row r="3324" spans="1:37" x14ac:dyDescent="0.25">
      <c r="A3324" s="76">
        <v>8</v>
      </c>
      <c r="B3324" s="3" t="s">
        <v>314</v>
      </c>
      <c r="C3324" s="2" t="s">
        <v>165</v>
      </c>
      <c r="D3324" s="1">
        <v>2</v>
      </c>
      <c r="E3324" s="1">
        <v>4</v>
      </c>
      <c r="F3324" s="1">
        <v>3</v>
      </c>
      <c r="G3324" s="1">
        <v>7</v>
      </c>
      <c r="H3324" s="4">
        <v>0.71</v>
      </c>
      <c r="I3324" s="1">
        <v>2</v>
      </c>
      <c r="J3324" s="4">
        <v>0</v>
      </c>
      <c r="K3324" s="1">
        <v>0</v>
      </c>
      <c r="L3324" s="1">
        <v>2</v>
      </c>
      <c r="M3324" s="32">
        <f>IF(Mecze[[#This Row],[PR]]=0,0,Mecze[[#This Row],[PR]]/Mecze[[#This Row],[CZAS]])</f>
        <v>2.0833333333333332E-2</v>
      </c>
      <c r="N3324" s="32">
        <f>IF(Mecze[[#This Row],[OU]]=0,0,Mecze[[#This Row],[OU]]/Mecze[[#This Row],[CZAS]])</f>
        <v>0</v>
      </c>
      <c r="O3324" s="32">
        <f>IF(Mecze[[#This Row],[PC]]=0,0,Mecze[[#This Row],[PC]]/Mecze[[#This Row],[CZAS]])</f>
        <v>5.2083333333333336E-2</v>
      </c>
      <c r="P3324" s="32">
        <f>IF(Mecze[[#This Row],[SC]]=0,0,Mecze[[#This Row],[SC]]/Mecze[[#This Row],[CZAS]])</f>
        <v>3.125E-2</v>
      </c>
      <c r="Q3324" s="32">
        <f>IF(Mecze[[#This Row],[OB]]=0,0,Mecze[[#This Row],[OB]]/Mecze[[#This Row],[CZAS]])</f>
        <v>0</v>
      </c>
      <c r="R3324" s="32">
        <f>IF(Mecze[[#This Row],[BR]]=0,0,Mecze[[#This Row],[BR]]/Mecze[[#This Row],[CZAS]])</f>
        <v>2.0833333333333332E-2</v>
      </c>
      <c r="S3324" s="44">
        <f>IF(Mecze[[#This Row],[Role]]="BR",SUMPRODUCT(Mecze[[#This Row],[/PR:90]:[/BR:90]],Brudnopis!$E$23:$J$23),0)</f>
        <v>0</v>
      </c>
      <c r="T3324" s="44">
        <f>IF(Mecze[[#This Row],[Role]]&lt;&gt;"BR",SUMPRODUCT(Mecze[[#This Row],[/PR:90]:[/BR:90]],Brudnopis!$E$24:$J$24),0)</f>
        <v>0.13541666666666669</v>
      </c>
      <c r="U3324" s="44">
        <f>IF(Mecze[[#This Row],[Role]]&lt;&gt;"BR",SUMPRODUCT(Mecze[[#This Row],[/PR:90]:[/BR:90]],Brudnopis!$E$25:$J$25),0)</f>
        <v>0.16145833333333331</v>
      </c>
      <c r="V3324" s="44">
        <f>IF(Mecze[[#This Row],[Role]]&lt;&gt;"BR",SUMPRODUCT(Mecze[[#This Row],[/PR:90]:[/BR:90]],Brudnopis!$E$26:$J$26),0)</f>
        <v>0.14583333333333334</v>
      </c>
      <c r="W3324" s="44">
        <f>IF(Mecze[[#This Row],[Role]]&lt;&gt;"BR",SUMPRODUCT(Mecze[[#This Row],[/PR:90]:[/BR:90]],Brudnopis!$E$27:$J$27),0)</f>
        <v>0.16666666666666666</v>
      </c>
      <c r="X3324" s="44">
        <f>IF(Mecze[[#This Row],[Role]]&lt;&gt;"BR",SUMPRODUCT(Mecze[[#This Row],[/PR:90]:[/BR:90]],Brudnopis!$E$28:$J$28),0)</f>
        <v>0.17708333333333334</v>
      </c>
      <c r="Y3324" s="35">
        <f>IF(Mecze[[#This Row],[Role]]="BR",Mecze[[#This Row],[/OB:90]]+Mecze[[#This Row],[/PC:90]],SUM(Mecze[[#This Row],[/PR:90]:[/BR:90]]))</f>
        <v>0.125</v>
      </c>
      <c r="Z3324" s="35">
        <f>IF(Mecze[[#This Row],[KC]]=0,SUM(Mecze[[#This Row],[/BRI]:[/NPI]]),SUM(Mecze[[#This Row],[/BRI]:[/NPI]])*0.6)</f>
        <v>0.78645833333333337</v>
      </c>
      <c r="AA3324" s="10">
        <f>IFERROR(Mecze[[#This Row],[BR]]/Mecze[[#This Row],[ST]],0)</f>
        <v>0.5</v>
      </c>
      <c r="AB3324">
        <f>ROUND(Mecze[[#This Row],[PD]]*Mecze[[#This Row],[%PC]],0)</f>
        <v>5</v>
      </c>
      <c r="AC3324">
        <f>ROUND(Mecze[[#This Row],[OD]]*Mecze[[#This Row],[%OU]],0)</f>
        <v>0</v>
      </c>
      <c r="AD3324" s="36" t="s">
        <v>46</v>
      </c>
      <c r="AE3324" s="36">
        <v>185</v>
      </c>
      <c r="AF3324" s="71">
        <v>10.52</v>
      </c>
      <c r="AG3324" s="37">
        <v>0</v>
      </c>
      <c r="AH3324" s="37">
        <v>0</v>
      </c>
      <c r="AI3324" s="37">
        <v>96</v>
      </c>
      <c r="AJ3324" s="37">
        <v>8</v>
      </c>
      <c r="AK3324" s="37" t="str">
        <f>VLOOKUP(Mecze[[#This Row],[Match ID]],Meczusie[Mecz]:Meczusie[RodzajMeczu],2,FALSE)</f>
        <v>Liga</v>
      </c>
    </row>
    <row r="3325" spans="1:37" x14ac:dyDescent="0.25">
      <c r="A3325" s="76">
        <v>13</v>
      </c>
      <c r="B3325" s="3" t="s">
        <v>313</v>
      </c>
      <c r="C3325" s="2" t="s">
        <v>165</v>
      </c>
      <c r="D3325" s="1">
        <v>4</v>
      </c>
      <c r="E3325" s="1">
        <v>20</v>
      </c>
      <c r="F3325" s="1">
        <v>17</v>
      </c>
      <c r="G3325" s="1">
        <v>5</v>
      </c>
      <c r="H3325" s="4">
        <v>0.8</v>
      </c>
      <c r="I3325" s="1">
        <v>1</v>
      </c>
      <c r="J3325" s="4">
        <v>0</v>
      </c>
      <c r="K3325" s="1">
        <v>0</v>
      </c>
      <c r="L3325" s="1">
        <v>0</v>
      </c>
      <c r="M3325" s="32">
        <f>IF(Mecze[[#This Row],[PR]]=0,0,Mecze[[#This Row],[PR]]/Mecze[[#This Row],[CZAS]])</f>
        <v>0</v>
      </c>
      <c r="N3325" s="32">
        <f>IF(Mecze[[#This Row],[OU]]=0,0,Mecze[[#This Row],[OU]]/Mecze[[#This Row],[CZAS]])</f>
        <v>0</v>
      </c>
      <c r="O3325" s="32">
        <f>IF(Mecze[[#This Row],[PC]]=0,0,Mecze[[#This Row],[PC]]/Mecze[[#This Row],[CZAS]])</f>
        <v>5.1948051948051951E-2</v>
      </c>
      <c r="P3325" s="32">
        <f>IF(Mecze[[#This Row],[SC]]=0,0,Mecze[[#This Row],[SC]]/Mecze[[#This Row],[CZAS]])</f>
        <v>0.22077922077922077</v>
      </c>
      <c r="Q3325" s="32">
        <f>IF(Mecze[[#This Row],[OB]]=0,0,Mecze[[#This Row],[OB]]/Mecze[[#This Row],[CZAS]])</f>
        <v>0</v>
      </c>
      <c r="R3325" s="32">
        <f>IF(Mecze[[#This Row],[BR]]=0,0,Mecze[[#This Row],[BR]]/Mecze[[#This Row],[CZAS]])</f>
        <v>5.1948051948051951E-2</v>
      </c>
      <c r="S3325" s="44">
        <f>IF(Mecze[[#This Row],[Role]]="BR",SUMPRODUCT(Mecze[[#This Row],[/PR:90]:[/BR:90]],Brudnopis!$E$23:$J$23),0)</f>
        <v>0</v>
      </c>
      <c r="T3325" s="44">
        <f>IF(Mecze[[#This Row],[Role]]&lt;&gt;"BR",SUMPRODUCT(Mecze[[#This Row],[/PR:90]:[/BR:90]],Brudnopis!$E$24:$J$24),0)</f>
        <v>0.35064935064935066</v>
      </c>
      <c r="U3325" s="44">
        <f>IF(Mecze[[#This Row],[Role]]&lt;&gt;"BR",SUMPRODUCT(Mecze[[#This Row],[/PR:90]:[/BR:90]],Brudnopis!$E$25:$J$25),0)</f>
        <v>0.37662337662337664</v>
      </c>
      <c r="V3325" s="44">
        <f>IF(Mecze[[#This Row],[Role]]&lt;&gt;"BR",SUMPRODUCT(Mecze[[#This Row],[/PR:90]:[/BR:90]],Brudnopis!$E$26:$J$26),0)</f>
        <v>0.37662337662337664</v>
      </c>
      <c r="W3325" s="44">
        <f>IF(Mecze[[#This Row],[Role]]&lt;&gt;"BR",SUMPRODUCT(Mecze[[#This Row],[/PR:90]:[/BR:90]],Brudnopis!$E$27:$J$27),0)</f>
        <v>0.40259740259740262</v>
      </c>
      <c r="X3325" s="44">
        <f>IF(Mecze[[#This Row],[Role]]&lt;&gt;"BR",SUMPRODUCT(Mecze[[#This Row],[/PR:90]:[/BR:90]],Brudnopis!$E$28:$J$28),0)</f>
        <v>0.64935064935064934</v>
      </c>
      <c r="Y3325" s="35">
        <f>IF(Mecze[[#This Row],[Role]]="BR",Mecze[[#This Row],[/OB:90]]+Mecze[[#This Row],[/PC:90]],SUM(Mecze[[#This Row],[/PR:90]:[/BR:90]]))</f>
        <v>0.32467532467532467</v>
      </c>
      <c r="Z3325" s="35">
        <f>IF(Mecze[[#This Row],[KC]]=0,SUM(Mecze[[#This Row],[/BRI]:[/NPI]]),SUM(Mecze[[#This Row],[/BRI]:[/NPI]])*0.6)</f>
        <v>2.1558441558441559</v>
      </c>
      <c r="AA3325" s="10">
        <f>IFERROR(Mecze[[#This Row],[BR]]/Mecze[[#This Row],[ST]],0)</f>
        <v>0.2</v>
      </c>
      <c r="AB3325">
        <f>ROUND(Mecze[[#This Row],[PD]]*Mecze[[#This Row],[%PC]],0)</f>
        <v>4</v>
      </c>
      <c r="AC3325">
        <f>ROUND(Mecze[[#This Row],[OD]]*Mecze[[#This Row],[%OU]],0)</f>
        <v>0</v>
      </c>
      <c r="AD3325" s="36" t="s">
        <v>272</v>
      </c>
      <c r="AE3325" s="36">
        <v>185</v>
      </c>
      <c r="AF3325" s="71">
        <v>19.12</v>
      </c>
      <c r="AG3325" s="37">
        <v>0</v>
      </c>
      <c r="AH3325" s="37">
        <v>0</v>
      </c>
      <c r="AI3325" s="37">
        <v>77</v>
      </c>
      <c r="AJ3325" s="37">
        <v>8</v>
      </c>
      <c r="AK3325" s="37" t="str">
        <f>VLOOKUP(Mecze[[#This Row],[Match ID]],Meczusie[Mecz]:Meczusie[RodzajMeczu],2,FALSE)</f>
        <v>Liga</v>
      </c>
    </row>
    <row r="3326" spans="1:37" x14ac:dyDescent="0.25">
      <c r="A3326" s="76">
        <v>68</v>
      </c>
      <c r="B3326" s="3" t="s">
        <v>416</v>
      </c>
      <c r="C3326" s="2" t="s">
        <v>165</v>
      </c>
      <c r="D3326" s="1">
        <v>1</v>
      </c>
      <c r="E3326" s="1">
        <v>6</v>
      </c>
      <c r="F3326" s="1">
        <v>4</v>
      </c>
      <c r="G3326" s="1">
        <v>1</v>
      </c>
      <c r="H3326" s="4">
        <v>0</v>
      </c>
      <c r="I3326" s="1">
        <v>0</v>
      </c>
      <c r="J3326" s="4"/>
      <c r="K3326" s="1">
        <v>0</v>
      </c>
      <c r="L3326" s="1">
        <v>0</v>
      </c>
      <c r="M3326" s="32">
        <f>IF(Mecze[[#This Row],[PR]]=0,0,Mecze[[#This Row],[PR]]/Mecze[[#This Row],[CZAS]])</f>
        <v>0</v>
      </c>
      <c r="N3326" s="32">
        <f>IF(Mecze[[#This Row],[OU]]=0,0,Mecze[[#This Row],[OU]]/Mecze[[#This Row],[CZAS]])</f>
        <v>0</v>
      </c>
      <c r="O3326" s="32">
        <f>IF(Mecze[[#This Row],[PC]]=0,0,Mecze[[#This Row],[PC]]/Mecze[[#This Row],[CZAS]])</f>
        <v>0</v>
      </c>
      <c r="P3326" s="32">
        <f>IF(Mecze[[#This Row],[SC]]=0,0,Mecze[[#This Row],[SC]]/Mecze[[#This Row],[CZAS]])</f>
        <v>0.21052631578947367</v>
      </c>
      <c r="Q3326" s="32">
        <f>IF(Mecze[[#This Row],[OB]]=0,0,Mecze[[#This Row],[OB]]/Mecze[[#This Row],[CZAS]])</f>
        <v>0</v>
      </c>
      <c r="R3326" s="32">
        <f>IF(Mecze[[#This Row],[BR]]=0,0,Mecze[[#This Row],[BR]]/Mecze[[#This Row],[CZAS]])</f>
        <v>5.2631578947368418E-2</v>
      </c>
      <c r="S3326" s="44">
        <f>IF(Mecze[[#This Row],[Role]]="BR",SUMPRODUCT(Mecze[[#This Row],[/PR:90]:[/BR:90]],Brudnopis!$E$23:$J$23),0)</f>
        <v>0</v>
      </c>
      <c r="T3326" s="44">
        <f>IF(Mecze[[#This Row],[Role]]&lt;&gt;"BR",SUMPRODUCT(Mecze[[#This Row],[/PR:90]:[/BR:90]],Brudnopis!$E$24:$J$24),0)</f>
        <v>0.28947368421052633</v>
      </c>
      <c r="U3326" s="44">
        <f>IF(Mecze[[#This Row],[Role]]&lt;&gt;"BR",SUMPRODUCT(Mecze[[#This Row],[/PR:90]:[/BR:90]],Brudnopis!$E$25:$J$25),0)</f>
        <v>0.28947368421052633</v>
      </c>
      <c r="V3326" s="44">
        <f>IF(Mecze[[#This Row],[Role]]&lt;&gt;"BR",SUMPRODUCT(Mecze[[#This Row],[/PR:90]:[/BR:90]],Brudnopis!$E$26:$J$26),0)</f>
        <v>0.31578947368421051</v>
      </c>
      <c r="W3326" s="44">
        <f>IF(Mecze[[#This Row],[Role]]&lt;&gt;"BR",SUMPRODUCT(Mecze[[#This Row],[/PR:90]:[/BR:90]],Brudnopis!$E$27:$J$27),0)</f>
        <v>0.31578947368421051</v>
      </c>
      <c r="X3326" s="44">
        <f>IF(Mecze[[#This Row],[Role]]&lt;&gt;"BR",SUMPRODUCT(Mecze[[#This Row],[/PR:90]:[/BR:90]],Brudnopis!$E$28:$J$28),0)</f>
        <v>0.57894736842105265</v>
      </c>
      <c r="Y3326" s="35">
        <f>IF(Mecze[[#This Row],[Role]]="BR",Mecze[[#This Row],[/OB:90]]+Mecze[[#This Row],[/PC:90]],SUM(Mecze[[#This Row],[/PR:90]:[/BR:90]]))</f>
        <v>0.26315789473684209</v>
      </c>
      <c r="Z3326" s="35">
        <f>IF(Mecze[[#This Row],[KC]]=0,SUM(Mecze[[#This Row],[/BRI]:[/NPI]]),SUM(Mecze[[#This Row],[/BRI]:[/NPI]])*0.6)</f>
        <v>1.7894736842105263</v>
      </c>
      <c r="AA3326" s="10">
        <f>IFERROR(Mecze[[#This Row],[BR]]/Mecze[[#This Row],[ST]],0)</f>
        <v>0.16666666666666666</v>
      </c>
      <c r="AB3326">
        <f>ROUND(Mecze[[#This Row],[PD]]*Mecze[[#This Row],[%PC]],0)</f>
        <v>0</v>
      </c>
      <c r="AC3326">
        <f>ROUND(Mecze[[#This Row],[OD]]*Mecze[[#This Row],[%OU]],0)</f>
        <v>0</v>
      </c>
      <c r="AD3326" s="36" t="s">
        <v>272</v>
      </c>
      <c r="AE3326" s="36">
        <v>185</v>
      </c>
      <c r="AF3326" s="71">
        <v>4.9000000000000004</v>
      </c>
      <c r="AG3326" s="37">
        <v>0</v>
      </c>
      <c r="AH3326" s="37">
        <v>0</v>
      </c>
      <c r="AI3326" s="37">
        <v>19</v>
      </c>
      <c r="AJ3326" s="37">
        <v>8</v>
      </c>
      <c r="AK3326" s="37" t="str">
        <f>VLOOKUP(Mecze[[#This Row],[Match ID]],Meczusie[Mecz]:Meczusie[RodzajMeczu],2,FALSE)</f>
        <v>Liga</v>
      </c>
    </row>
    <row r="3327" spans="1:37" x14ac:dyDescent="0.25">
      <c r="A3327" s="76">
        <v>15</v>
      </c>
      <c r="B3327" s="3" t="s">
        <v>310</v>
      </c>
      <c r="C3327" s="2" t="s">
        <v>160</v>
      </c>
      <c r="D3327" s="1">
        <v>0</v>
      </c>
      <c r="E3327" s="1">
        <v>0</v>
      </c>
      <c r="F3327" s="1">
        <v>0</v>
      </c>
      <c r="G3327" s="1">
        <v>3</v>
      </c>
      <c r="H3327" s="4">
        <v>1</v>
      </c>
      <c r="I3327" s="1">
        <v>2</v>
      </c>
      <c r="J3327" s="4">
        <v>1</v>
      </c>
      <c r="K3327" s="1">
        <v>0</v>
      </c>
      <c r="L3327" s="1">
        <v>2</v>
      </c>
      <c r="M3327" s="32">
        <f>IF(Mecze[[#This Row],[PR]]=0,0,Mecze[[#This Row],[PR]]/Mecze[[#This Row],[CZAS]])</f>
        <v>0.10526315789473684</v>
      </c>
      <c r="N3327" s="32">
        <f>IF(Mecze[[#This Row],[OU]]=0,0,Mecze[[#This Row],[OU]]/Mecze[[#This Row],[CZAS]])</f>
        <v>0.10526315789473684</v>
      </c>
      <c r="O3327" s="32">
        <f>IF(Mecze[[#This Row],[PC]]=0,0,Mecze[[#This Row],[PC]]/Mecze[[#This Row],[CZAS]])</f>
        <v>0.15789473684210525</v>
      </c>
      <c r="P3327" s="32">
        <f>IF(Mecze[[#This Row],[SC]]=0,0,Mecze[[#This Row],[SC]]/Mecze[[#This Row],[CZAS]])</f>
        <v>0</v>
      </c>
      <c r="Q3327" s="32">
        <f>IF(Mecze[[#This Row],[OB]]=0,0,Mecze[[#This Row],[OB]]/Mecze[[#This Row],[CZAS]])</f>
        <v>0</v>
      </c>
      <c r="R3327" s="32">
        <f>IF(Mecze[[#This Row],[BR]]=0,0,Mecze[[#This Row],[BR]]/Mecze[[#This Row],[CZAS]])</f>
        <v>0</v>
      </c>
      <c r="S3327" s="44">
        <f>IF(Mecze[[#This Row],[Role]]="BR",SUMPRODUCT(Mecze[[#This Row],[/PR:90]:[/BR:90]],Brudnopis!$E$23:$J$23),0)</f>
        <v>0</v>
      </c>
      <c r="T3327" s="44">
        <f>IF(Mecze[[#This Row],[Role]]&lt;&gt;"BR",SUMPRODUCT(Mecze[[#This Row],[/PR:90]:[/BR:90]],Brudnopis!$E$24:$J$24),0)</f>
        <v>0.42105263157894735</v>
      </c>
      <c r="U3327" s="44">
        <f>IF(Mecze[[#This Row],[Role]]&lt;&gt;"BR",SUMPRODUCT(Mecze[[#This Row],[/PR:90]:[/BR:90]],Brudnopis!$E$25:$J$25),0)</f>
        <v>0.44736842105263153</v>
      </c>
      <c r="V3327" s="44">
        <f>IF(Mecze[[#This Row],[Role]]&lt;&gt;"BR",SUMPRODUCT(Mecze[[#This Row],[/PR:90]:[/BR:90]],Brudnopis!$E$26:$J$26),0)</f>
        <v>0.36842105263157893</v>
      </c>
      <c r="W3327" s="44">
        <f>IF(Mecze[[#This Row],[Role]]&lt;&gt;"BR",SUMPRODUCT(Mecze[[#This Row],[/PR:90]:[/BR:90]],Brudnopis!$E$27:$J$27),0)</f>
        <v>0.39473684210526316</v>
      </c>
      <c r="X3327" s="44">
        <f>IF(Mecze[[#This Row],[Role]]&lt;&gt;"BR",SUMPRODUCT(Mecze[[#This Row],[/PR:90]:[/BR:90]],Brudnopis!$E$28:$J$28),0)</f>
        <v>0.15789473684210525</v>
      </c>
      <c r="Y3327" s="35">
        <f>IF(Mecze[[#This Row],[Role]]="BR",Mecze[[#This Row],[/OB:90]]+Mecze[[#This Row],[/PC:90]],SUM(Mecze[[#This Row],[/PR:90]:[/BR:90]]))</f>
        <v>0.36842105263157893</v>
      </c>
      <c r="Z3327" s="35">
        <f>IF(Mecze[[#This Row],[KC]]=0,SUM(Mecze[[#This Row],[/BRI]:[/NPI]]),SUM(Mecze[[#This Row],[/BRI]:[/NPI]])*0.6)</f>
        <v>1.7894736842105261</v>
      </c>
      <c r="AA3327" s="10">
        <f>IFERROR(Mecze[[#This Row],[BR]]/Mecze[[#This Row],[ST]],0)</f>
        <v>0</v>
      </c>
      <c r="AB3327">
        <f>ROUND(Mecze[[#This Row],[PD]]*Mecze[[#This Row],[%PC]],0)</f>
        <v>3</v>
      </c>
      <c r="AC3327">
        <f>ROUND(Mecze[[#This Row],[OD]]*Mecze[[#This Row],[%OU]],0)</f>
        <v>2</v>
      </c>
      <c r="AD3327" s="36" t="s">
        <v>67</v>
      </c>
      <c r="AE3327" s="36">
        <v>185</v>
      </c>
      <c r="AF3327" s="71">
        <v>5.26</v>
      </c>
      <c r="AG3327" s="37">
        <v>0</v>
      </c>
      <c r="AH3327" s="37">
        <v>0</v>
      </c>
      <c r="AI3327" s="37">
        <v>19</v>
      </c>
      <c r="AJ3327" s="37">
        <v>8</v>
      </c>
      <c r="AK3327" s="37" t="str">
        <f>VLOOKUP(Mecze[[#This Row],[Match ID]],Meczusie[Mecz]:Meczusie[RodzajMeczu],2,FALSE)</f>
        <v>Liga</v>
      </c>
    </row>
    <row r="3328" spans="1:37" x14ac:dyDescent="0.25">
      <c r="A3328" s="76">
        <v>12</v>
      </c>
      <c r="B3328" s="3" t="s">
        <v>315</v>
      </c>
      <c r="C3328" s="2" t="s">
        <v>157</v>
      </c>
      <c r="D3328" s="1">
        <v>0</v>
      </c>
      <c r="E3328" s="1">
        <v>0</v>
      </c>
      <c r="F3328" s="1">
        <v>0</v>
      </c>
      <c r="G3328" s="1">
        <v>0</v>
      </c>
      <c r="H3328" s="72"/>
      <c r="I3328" s="1">
        <v>0</v>
      </c>
      <c r="J3328" s="4"/>
      <c r="K3328" s="1">
        <v>0</v>
      </c>
      <c r="L3328" s="1">
        <v>0</v>
      </c>
      <c r="M3328" s="32">
        <f>IF(Mecze[[#This Row],[PR]]=0,0,Mecze[[#This Row],[PR]]/Mecze[[#This Row],[CZAS]])</f>
        <v>0</v>
      </c>
      <c r="N3328" s="32">
        <f>IF(Mecze[[#This Row],[OU]]=0,0,Mecze[[#This Row],[OU]]/Mecze[[#This Row],[CZAS]])</f>
        <v>0</v>
      </c>
      <c r="O3328" s="32">
        <f>IF(Mecze[[#This Row],[PC]]=0,0,Mecze[[#This Row],[PC]]/Mecze[[#This Row],[CZAS]])</f>
        <v>0</v>
      </c>
      <c r="P3328" s="32">
        <f>IF(Mecze[[#This Row],[SC]]=0,0,Mecze[[#This Row],[SC]]/Mecze[[#This Row],[CZAS]])</f>
        <v>0</v>
      </c>
      <c r="Q3328" s="32">
        <f>IF(Mecze[[#This Row],[OB]]=0,0,Mecze[[#This Row],[OB]]/Mecze[[#This Row],[CZAS]])</f>
        <v>0</v>
      </c>
      <c r="R3328" s="32">
        <f>IF(Mecze[[#This Row],[BR]]=0,0,Mecze[[#This Row],[BR]]/Mecze[[#This Row],[CZAS]])</f>
        <v>0</v>
      </c>
      <c r="S3328" s="44">
        <f>IF(Mecze[[#This Row],[Role]]="BR",SUMPRODUCT(Mecze[[#This Row],[/PR:90]:[/BR:90]],Brudnopis!$E$23:$J$23),0)</f>
        <v>0</v>
      </c>
      <c r="T3328" s="44">
        <f>IF(Mecze[[#This Row],[Role]]&lt;&gt;"BR",SUMPRODUCT(Mecze[[#This Row],[/PR:90]:[/BR:90]],Brudnopis!$E$24:$J$24),0)</f>
        <v>0</v>
      </c>
      <c r="U3328" s="44">
        <f>IF(Mecze[[#This Row],[Role]]&lt;&gt;"BR",SUMPRODUCT(Mecze[[#This Row],[/PR:90]:[/BR:90]],Brudnopis!$E$25:$J$25),0)</f>
        <v>0</v>
      </c>
      <c r="V3328" s="44">
        <f>IF(Mecze[[#This Row],[Role]]&lt;&gt;"BR",SUMPRODUCT(Mecze[[#This Row],[/PR:90]:[/BR:90]],Brudnopis!$E$26:$J$26),0)</f>
        <v>0</v>
      </c>
      <c r="W3328" s="44">
        <f>IF(Mecze[[#This Row],[Role]]&lt;&gt;"BR",SUMPRODUCT(Mecze[[#This Row],[/PR:90]:[/BR:90]],Brudnopis!$E$27:$J$27),0)</f>
        <v>0</v>
      </c>
      <c r="X3328" s="44">
        <f>IF(Mecze[[#This Row],[Role]]&lt;&gt;"BR",SUMPRODUCT(Mecze[[#This Row],[/PR:90]:[/BR:90]],Brudnopis!$E$28:$J$28),0)</f>
        <v>0</v>
      </c>
      <c r="Y3328" s="35">
        <f>IF(Mecze[[#This Row],[Role]]="BR",Mecze[[#This Row],[/OB:90]]+Mecze[[#This Row],[/PC:90]],SUM(Mecze[[#This Row],[/PR:90]:[/BR:90]]))</f>
        <v>0</v>
      </c>
      <c r="Z3328" s="35">
        <f>IF(Mecze[[#This Row],[KC]]=0,SUM(Mecze[[#This Row],[/BRI]:[/NPI]]),SUM(Mecze[[#This Row],[/BRI]:[/NPI]])*0.6)</f>
        <v>0</v>
      </c>
      <c r="AA3328" s="10">
        <f>IFERROR(Mecze[[#This Row],[BR]]/Mecze[[#This Row],[ST]],0)</f>
        <v>0</v>
      </c>
      <c r="AB3328">
        <f>ROUND(Mecze[[#This Row],[PD]]*Mecze[[#This Row],[%PC]],0)</f>
        <v>0</v>
      </c>
      <c r="AC3328">
        <f>ROUND(Mecze[[#This Row],[OD]]*Mecze[[#This Row],[%OU]],0)</f>
        <v>0</v>
      </c>
      <c r="AD3328" s="36" t="s">
        <v>168</v>
      </c>
      <c r="AE3328" s="36">
        <v>185</v>
      </c>
      <c r="AF3328" s="71">
        <v>4.84</v>
      </c>
      <c r="AG3328" s="37">
        <v>0</v>
      </c>
      <c r="AH3328" s="37">
        <v>0</v>
      </c>
      <c r="AI3328" s="37">
        <v>19</v>
      </c>
      <c r="AJ3328" s="37">
        <v>8</v>
      </c>
      <c r="AK3328" s="37" t="str">
        <f>VLOOKUP(Mecze[[#This Row],[Match ID]],Meczusie[Mecz]:Meczusie[RodzajMeczu],2,FALSE)</f>
        <v>Liga</v>
      </c>
    </row>
    <row r="3329" spans="1:37" x14ac:dyDescent="0.25">
      <c r="A3329" s="76">
        <v>208</v>
      </c>
      <c r="B3329" s="3" t="s">
        <v>436</v>
      </c>
      <c r="C3329" s="2" t="s">
        <v>155</v>
      </c>
      <c r="D3329" s="1">
        <v>0</v>
      </c>
      <c r="E3329" s="1">
        <v>0</v>
      </c>
      <c r="F3329" s="1">
        <v>0</v>
      </c>
      <c r="G3329" s="1">
        <v>6</v>
      </c>
      <c r="H3329" s="4">
        <v>0.83</v>
      </c>
      <c r="I3329" s="1">
        <v>0</v>
      </c>
      <c r="J3329" s="4"/>
      <c r="K3329" s="1">
        <v>6</v>
      </c>
      <c r="L3329" s="1">
        <v>0</v>
      </c>
      <c r="M3329" s="32">
        <f>IF(Mecze[[#This Row],[PR]]=0,0,Mecze[[#This Row],[PR]]/Mecze[[#This Row],[CZAS]])</f>
        <v>0</v>
      </c>
      <c r="N3329" s="32">
        <f>IF(Mecze[[#This Row],[OU]]=0,0,Mecze[[#This Row],[OU]]/Mecze[[#This Row],[CZAS]])</f>
        <v>0</v>
      </c>
      <c r="O3329" s="32">
        <f>IF(Mecze[[#This Row],[PC]]=0,0,Mecze[[#This Row],[PC]]/Mecze[[#This Row],[CZAS]])</f>
        <v>5.2083333333333336E-2</v>
      </c>
      <c r="P3329" s="32">
        <f>IF(Mecze[[#This Row],[SC]]=0,0,Mecze[[#This Row],[SC]]/Mecze[[#This Row],[CZAS]])</f>
        <v>0</v>
      </c>
      <c r="Q3329" s="32">
        <f>IF(Mecze[[#This Row],[OB]]=0,0,Mecze[[#This Row],[OB]]/Mecze[[#This Row],[CZAS]])</f>
        <v>6.25E-2</v>
      </c>
      <c r="R3329" s="32">
        <f>IF(Mecze[[#This Row],[BR]]=0,0,Mecze[[#This Row],[BR]]/Mecze[[#This Row],[CZAS]])</f>
        <v>0</v>
      </c>
      <c r="S3329" s="44">
        <f>IF(Mecze[[#This Row],[Role]]="BR",SUMPRODUCT(Mecze[[#This Row],[/PR:90]:[/BR:90]],Brudnopis!$E$23:$J$23),0)</f>
        <v>0.34375</v>
      </c>
      <c r="T3329" s="44">
        <f>IF(Mecze[[#This Row],[Role]]&lt;&gt;"BR",SUMPRODUCT(Mecze[[#This Row],[/PR:90]:[/BR:90]],Brudnopis!$E$24:$J$24),0)</f>
        <v>0</v>
      </c>
      <c r="U3329" s="44">
        <f>IF(Mecze[[#This Row],[Role]]&lt;&gt;"BR",SUMPRODUCT(Mecze[[#This Row],[/PR:90]:[/BR:90]],Brudnopis!$E$25:$J$25),0)</f>
        <v>0</v>
      </c>
      <c r="V3329" s="44">
        <f>IF(Mecze[[#This Row],[Role]]&lt;&gt;"BR",SUMPRODUCT(Mecze[[#This Row],[/PR:90]:[/BR:90]],Brudnopis!$E$26:$J$26),0)</f>
        <v>0</v>
      </c>
      <c r="W3329" s="44">
        <f>IF(Mecze[[#This Row],[Role]]&lt;&gt;"BR",SUMPRODUCT(Mecze[[#This Row],[/PR:90]:[/BR:90]],Brudnopis!$E$27:$J$27),0)</f>
        <v>0</v>
      </c>
      <c r="X3329" s="44">
        <f>IF(Mecze[[#This Row],[Role]]&lt;&gt;"BR",SUMPRODUCT(Mecze[[#This Row],[/PR:90]:[/BR:90]],Brudnopis!$E$28:$J$28),0)</f>
        <v>0</v>
      </c>
      <c r="Y3329" s="35">
        <f>IF(Mecze[[#This Row],[Role]]="BR",Mecze[[#This Row],[/OB:90]]+Mecze[[#This Row],[/PC:90]],SUM(Mecze[[#This Row],[/PR:90]:[/BR:90]]))</f>
        <v>0.11458333333333334</v>
      </c>
      <c r="Z3329" s="35">
        <f>IF(Mecze[[#This Row],[KC]]=0,SUM(Mecze[[#This Row],[/BRI]:[/NPI]]),SUM(Mecze[[#This Row],[/BRI]:[/NPI]])*0.6)</f>
        <v>0.34375</v>
      </c>
      <c r="AA3329" s="10">
        <f>IFERROR(Mecze[[#This Row],[BR]]/Mecze[[#This Row],[ST]],0)</f>
        <v>0</v>
      </c>
      <c r="AB3329">
        <f>ROUND(Mecze[[#This Row],[PD]]*Mecze[[#This Row],[%PC]],0)</f>
        <v>5</v>
      </c>
      <c r="AC3329">
        <f>ROUND(Mecze[[#This Row],[OD]]*Mecze[[#This Row],[%OU]],0)</f>
        <v>0</v>
      </c>
      <c r="AD3329" s="36" t="s">
        <v>40</v>
      </c>
      <c r="AE3329" s="36">
        <v>186</v>
      </c>
      <c r="AF3329" s="71">
        <v>5.8</v>
      </c>
      <c r="AG3329" s="37">
        <v>0</v>
      </c>
      <c r="AH3329" s="37">
        <v>0</v>
      </c>
      <c r="AI3329" s="37">
        <v>96</v>
      </c>
      <c r="AJ3329" s="37">
        <v>7</v>
      </c>
      <c r="AK3329" s="37" t="str">
        <f>VLOOKUP(Mecze[[#This Row],[Match ID]],Meczusie[Mecz]:Meczusie[RodzajMeczu],2,FALSE)</f>
        <v>Liga</v>
      </c>
    </row>
    <row r="3330" spans="1:37" x14ac:dyDescent="0.25">
      <c r="A3330" s="76">
        <v>204</v>
      </c>
      <c r="B3330" s="3" t="s">
        <v>334</v>
      </c>
      <c r="C3330" s="2" t="s">
        <v>157</v>
      </c>
      <c r="D3330" s="1">
        <v>0</v>
      </c>
      <c r="E3330" s="1">
        <v>0</v>
      </c>
      <c r="F3330" s="1">
        <v>0</v>
      </c>
      <c r="G3330" s="1">
        <v>12</v>
      </c>
      <c r="H3330" s="4">
        <v>0.92</v>
      </c>
      <c r="I3330" s="1">
        <v>5</v>
      </c>
      <c r="J3330" s="4">
        <v>0.4</v>
      </c>
      <c r="K3330" s="1">
        <v>0</v>
      </c>
      <c r="L3330" s="1">
        <v>4</v>
      </c>
      <c r="M3330" s="32">
        <f>IF(Mecze[[#This Row],[PR]]=0,0,Mecze[[#This Row],[PR]]/Mecze[[#This Row],[CZAS]])</f>
        <v>4.1666666666666664E-2</v>
      </c>
      <c r="N3330" s="32">
        <f>IF(Mecze[[#This Row],[OU]]=0,0,Mecze[[#This Row],[OU]]/Mecze[[#This Row],[CZAS]])</f>
        <v>2.0833333333333332E-2</v>
      </c>
      <c r="O3330" s="32">
        <f>IF(Mecze[[#This Row],[PC]]=0,0,Mecze[[#This Row],[PC]]/Mecze[[#This Row],[CZAS]])</f>
        <v>0.11458333333333333</v>
      </c>
      <c r="P3330" s="32">
        <f>IF(Mecze[[#This Row],[SC]]=0,0,Mecze[[#This Row],[SC]]/Mecze[[#This Row],[CZAS]])</f>
        <v>0</v>
      </c>
      <c r="Q3330" s="32">
        <f>IF(Mecze[[#This Row],[OB]]=0,0,Mecze[[#This Row],[OB]]/Mecze[[#This Row],[CZAS]])</f>
        <v>0</v>
      </c>
      <c r="R3330" s="32">
        <f>IF(Mecze[[#This Row],[BR]]=0,0,Mecze[[#This Row],[BR]]/Mecze[[#This Row],[CZAS]])</f>
        <v>0</v>
      </c>
      <c r="S3330" s="44">
        <f>IF(Mecze[[#This Row],[Role]]="BR",SUMPRODUCT(Mecze[[#This Row],[/PR:90]:[/BR:90]],Brudnopis!$E$23:$J$23),0)</f>
        <v>0</v>
      </c>
      <c r="T3330" s="44">
        <f>IF(Mecze[[#This Row],[Role]]&lt;&gt;"BR",SUMPRODUCT(Mecze[[#This Row],[/PR:90]:[/BR:90]],Brudnopis!$E$24:$J$24),0)</f>
        <v>0.1875</v>
      </c>
      <c r="U3330" s="44">
        <f>IF(Mecze[[#This Row],[Role]]&lt;&gt;"BR",SUMPRODUCT(Mecze[[#This Row],[/PR:90]:[/BR:90]],Brudnopis!$E$25:$J$25),0)</f>
        <v>0.234375</v>
      </c>
      <c r="V3330" s="44">
        <f>IF(Mecze[[#This Row],[Role]]&lt;&gt;"BR",SUMPRODUCT(Mecze[[#This Row],[/PR:90]:[/BR:90]],Brudnopis!$E$26:$J$26),0)</f>
        <v>0.17708333333333331</v>
      </c>
      <c r="W3330" s="44">
        <f>IF(Mecze[[#This Row],[Role]]&lt;&gt;"BR",SUMPRODUCT(Mecze[[#This Row],[/PR:90]:[/BR:90]],Brudnopis!$E$27:$J$27),0)</f>
        <v>0.21875</v>
      </c>
      <c r="X3330" s="44">
        <f>IF(Mecze[[#This Row],[Role]]&lt;&gt;"BR",SUMPRODUCT(Mecze[[#This Row],[/PR:90]:[/BR:90]],Brudnopis!$E$28:$J$28),0)</f>
        <v>0.11458333333333333</v>
      </c>
      <c r="Y3330" s="35">
        <f>IF(Mecze[[#This Row],[Role]]="BR",Mecze[[#This Row],[/OB:90]]+Mecze[[#This Row],[/PC:90]],SUM(Mecze[[#This Row],[/PR:90]:[/BR:90]]))</f>
        <v>0.17708333333333331</v>
      </c>
      <c r="Z3330" s="35">
        <f>IF(Mecze[[#This Row],[KC]]=0,SUM(Mecze[[#This Row],[/BRI]:[/NPI]]),SUM(Mecze[[#This Row],[/BRI]:[/NPI]])*0.6)</f>
        <v>0.93229166666666663</v>
      </c>
      <c r="AA3330" s="10">
        <f>IFERROR(Mecze[[#This Row],[BR]]/Mecze[[#This Row],[ST]],0)</f>
        <v>0</v>
      </c>
      <c r="AB3330">
        <f>ROUND(Mecze[[#This Row],[PD]]*Mecze[[#This Row],[%PC]],0)</f>
        <v>11</v>
      </c>
      <c r="AC3330">
        <f>ROUND(Mecze[[#This Row],[OD]]*Mecze[[#This Row],[%OU]],0)</f>
        <v>2</v>
      </c>
      <c r="AD3330" s="36" t="s">
        <v>47</v>
      </c>
      <c r="AE3330" s="36">
        <v>186</v>
      </c>
      <c r="AF3330" s="71">
        <v>2.4300000000000002</v>
      </c>
      <c r="AG3330" s="37">
        <v>0</v>
      </c>
      <c r="AH3330" s="37">
        <v>0</v>
      </c>
      <c r="AI3330" s="37">
        <v>96</v>
      </c>
      <c r="AJ3330" s="37">
        <v>7</v>
      </c>
      <c r="AK3330" s="37" t="str">
        <f>VLOOKUP(Mecze[[#This Row],[Match ID]],Meczusie[Mecz]:Meczusie[RodzajMeczu],2,FALSE)</f>
        <v>Liga</v>
      </c>
    </row>
    <row r="3331" spans="1:37" x14ac:dyDescent="0.25">
      <c r="A3331" s="76">
        <v>156</v>
      </c>
      <c r="B3331" s="3" t="s">
        <v>443</v>
      </c>
      <c r="C3331" s="2" t="s">
        <v>157</v>
      </c>
      <c r="D3331" s="1">
        <v>0</v>
      </c>
      <c r="E3331" s="1">
        <v>0</v>
      </c>
      <c r="F3331" s="1">
        <v>0</v>
      </c>
      <c r="G3331" s="1">
        <v>10</v>
      </c>
      <c r="H3331" s="4">
        <v>0.9</v>
      </c>
      <c r="I3331" s="1">
        <v>6</v>
      </c>
      <c r="J3331" s="4">
        <v>0.67</v>
      </c>
      <c r="K3331" s="1">
        <v>0</v>
      </c>
      <c r="L3331" s="1">
        <v>6</v>
      </c>
      <c r="M3331" s="32">
        <f>IF(Mecze[[#This Row],[PR]]=0,0,Mecze[[#This Row],[PR]]/Mecze[[#This Row],[CZAS]])</f>
        <v>6.25E-2</v>
      </c>
      <c r="N3331" s="32">
        <f>IF(Mecze[[#This Row],[OU]]=0,0,Mecze[[#This Row],[OU]]/Mecze[[#This Row],[CZAS]])</f>
        <v>4.1666666666666664E-2</v>
      </c>
      <c r="O3331" s="32">
        <f>IF(Mecze[[#This Row],[PC]]=0,0,Mecze[[#This Row],[PC]]/Mecze[[#This Row],[CZAS]])</f>
        <v>9.375E-2</v>
      </c>
      <c r="P3331" s="32">
        <f>IF(Mecze[[#This Row],[SC]]=0,0,Mecze[[#This Row],[SC]]/Mecze[[#This Row],[CZAS]])</f>
        <v>0</v>
      </c>
      <c r="Q3331" s="32">
        <f>IF(Mecze[[#This Row],[OB]]=0,0,Mecze[[#This Row],[OB]]/Mecze[[#This Row],[CZAS]])</f>
        <v>0</v>
      </c>
      <c r="R3331" s="32">
        <f>IF(Mecze[[#This Row],[BR]]=0,0,Mecze[[#This Row],[BR]]/Mecze[[#This Row],[CZAS]])</f>
        <v>0</v>
      </c>
      <c r="S3331" s="44">
        <f>IF(Mecze[[#This Row],[Role]]="BR",SUMPRODUCT(Mecze[[#This Row],[/PR:90]:[/BR:90]],Brudnopis!$E$23:$J$23),0)</f>
        <v>0</v>
      </c>
      <c r="T3331" s="44">
        <f>IF(Mecze[[#This Row],[Role]]&lt;&gt;"BR",SUMPRODUCT(Mecze[[#This Row],[/PR:90]:[/BR:90]],Brudnopis!$E$24:$J$24),0)</f>
        <v>0.21875</v>
      </c>
      <c r="U3331" s="44">
        <f>IF(Mecze[[#This Row],[Role]]&lt;&gt;"BR",SUMPRODUCT(Mecze[[#This Row],[/PR:90]:[/BR:90]],Brudnopis!$E$25:$J$25),0)</f>
        <v>0.24479166666666666</v>
      </c>
      <c r="V3331" s="44">
        <f>IF(Mecze[[#This Row],[Role]]&lt;&gt;"BR",SUMPRODUCT(Mecze[[#This Row],[/PR:90]:[/BR:90]],Brudnopis!$E$26:$J$26),0)</f>
        <v>0.19791666666666666</v>
      </c>
      <c r="W3331" s="44">
        <f>IF(Mecze[[#This Row],[Role]]&lt;&gt;"BR",SUMPRODUCT(Mecze[[#This Row],[/PR:90]:[/BR:90]],Brudnopis!$E$27:$J$27),0)</f>
        <v>0.21875</v>
      </c>
      <c r="X3331" s="44">
        <f>IF(Mecze[[#This Row],[Role]]&lt;&gt;"BR",SUMPRODUCT(Mecze[[#This Row],[/PR:90]:[/BR:90]],Brudnopis!$E$28:$J$28),0)</f>
        <v>9.375E-2</v>
      </c>
      <c r="Y3331" s="35">
        <f>IF(Mecze[[#This Row],[Role]]="BR",Mecze[[#This Row],[/OB:90]]+Mecze[[#This Row],[/PC:90]],SUM(Mecze[[#This Row],[/PR:90]:[/BR:90]]))</f>
        <v>0.19791666666666666</v>
      </c>
      <c r="Z3331" s="35">
        <f>IF(Mecze[[#This Row],[KC]]=0,SUM(Mecze[[#This Row],[/BRI]:[/NPI]]),SUM(Mecze[[#This Row],[/BRI]:[/NPI]])*0.6)</f>
        <v>0.97395833333333326</v>
      </c>
      <c r="AA3331" s="10">
        <f>IFERROR(Mecze[[#This Row],[BR]]/Mecze[[#This Row],[ST]],0)</f>
        <v>0</v>
      </c>
      <c r="AB3331">
        <f>ROUND(Mecze[[#This Row],[PD]]*Mecze[[#This Row],[%PC]],0)</f>
        <v>9</v>
      </c>
      <c r="AC3331">
        <f>ROUND(Mecze[[#This Row],[OD]]*Mecze[[#This Row],[%OU]],0)</f>
        <v>4</v>
      </c>
      <c r="AD3331" s="36" t="s">
        <v>168</v>
      </c>
      <c r="AE3331" s="36">
        <v>186</v>
      </c>
      <c r="AF3331" s="71">
        <v>3.97</v>
      </c>
      <c r="AG3331" s="37">
        <v>0</v>
      </c>
      <c r="AH3331" s="37">
        <v>0</v>
      </c>
      <c r="AI3331" s="37">
        <v>96</v>
      </c>
      <c r="AJ3331" s="37">
        <v>7</v>
      </c>
      <c r="AK3331" s="37" t="str">
        <f>VLOOKUP(Mecze[[#This Row],[Match ID]],Meczusie[Mecz]:Meczusie[RodzajMeczu],2,FALSE)</f>
        <v>Liga</v>
      </c>
    </row>
    <row r="3332" spans="1:37" x14ac:dyDescent="0.25">
      <c r="A3332" s="76">
        <v>150</v>
      </c>
      <c r="B3332" s="3" t="s">
        <v>335</v>
      </c>
      <c r="C3332" s="2" t="s">
        <v>157</v>
      </c>
      <c r="D3332" s="1">
        <v>0</v>
      </c>
      <c r="E3332" s="1">
        <v>0</v>
      </c>
      <c r="F3332" s="1">
        <v>0</v>
      </c>
      <c r="G3332" s="1">
        <v>9</v>
      </c>
      <c r="H3332" s="4">
        <v>0.89</v>
      </c>
      <c r="I3332" s="1">
        <v>8</v>
      </c>
      <c r="J3332" s="4">
        <v>0.5</v>
      </c>
      <c r="K3332" s="1">
        <v>0</v>
      </c>
      <c r="L3332" s="1">
        <v>5</v>
      </c>
      <c r="M3332" s="32">
        <f>IF(Mecze[[#This Row],[PR]]=0,0,Mecze[[#This Row],[PR]]/Mecze[[#This Row],[CZAS]])</f>
        <v>5.2083333333333336E-2</v>
      </c>
      <c r="N3332" s="32">
        <f>IF(Mecze[[#This Row],[OU]]=0,0,Mecze[[#This Row],[OU]]/Mecze[[#This Row],[CZAS]])</f>
        <v>4.1666666666666664E-2</v>
      </c>
      <c r="O3332" s="32">
        <f>IF(Mecze[[#This Row],[PC]]=0,0,Mecze[[#This Row],[PC]]/Mecze[[#This Row],[CZAS]])</f>
        <v>8.3333333333333329E-2</v>
      </c>
      <c r="P3332" s="32">
        <f>IF(Mecze[[#This Row],[SC]]=0,0,Mecze[[#This Row],[SC]]/Mecze[[#This Row],[CZAS]])</f>
        <v>0</v>
      </c>
      <c r="Q3332" s="32">
        <f>IF(Mecze[[#This Row],[OB]]=0,0,Mecze[[#This Row],[OB]]/Mecze[[#This Row],[CZAS]])</f>
        <v>0</v>
      </c>
      <c r="R3332" s="32">
        <f>IF(Mecze[[#This Row],[BR]]=0,0,Mecze[[#This Row],[BR]]/Mecze[[#This Row],[CZAS]])</f>
        <v>0</v>
      </c>
      <c r="S3332" s="44">
        <f>IF(Mecze[[#This Row],[Role]]="BR",SUMPRODUCT(Mecze[[#This Row],[/PR:90]:[/BR:90]],Brudnopis!$E$23:$J$23),0)</f>
        <v>0</v>
      </c>
      <c r="T3332" s="44">
        <f>IF(Mecze[[#This Row],[Role]]&lt;&gt;"BR",SUMPRODUCT(Mecze[[#This Row],[/PR:90]:[/BR:90]],Brudnopis!$E$24:$J$24),0)</f>
        <v>0.19791666666666669</v>
      </c>
      <c r="U3332" s="44">
        <f>IF(Mecze[[#This Row],[Role]]&lt;&gt;"BR",SUMPRODUCT(Mecze[[#This Row],[/PR:90]:[/BR:90]],Brudnopis!$E$25:$J$25),0)</f>
        <v>0.21875</v>
      </c>
      <c r="V3332" s="44">
        <f>IF(Mecze[[#This Row],[Role]]&lt;&gt;"BR",SUMPRODUCT(Mecze[[#This Row],[/PR:90]:[/BR:90]],Brudnopis!$E$26:$J$26),0)</f>
        <v>0.17708333333333331</v>
      </c>
      <c r="W3332" s="44">
        <f>IF(Mecze[[#This Row],[Role]]&lt;&gt;"BR",SUMPRODUCT(Mecze[[#This Row],[/PR:90]:[/BR:90]],Brudnopis!$E$27:$J$27),0)</f>
        <v>0.1953125</v>
      </c>
      <c r="X3332" s="44">
        <f>IF(Mecze[[#This Row],[Role]]&lt;&gt;"BR",SUMPRODUCT(Mecze[[#This Row],[/PR:90]:[/BR:90]],Brudnopis!$E$28:$J$28),0)</f>
        <v>8.3333333333333329E-2</v>
      </c>
      <c r="Y3332" s="35">
        <f>IF(Mecze[[#This Row],[Role]]="BR",Mecze[[#This Row],[/OB:90]]+Mecze[[#This Row],[/PC:90]],SUM(Mecze[[#This Row],[/PR:90]:[/BR:90]]))</f>
        <v>0.17708333333333331</v>
      </c>
      <c r="Z3332" s="35">
        <f>IF(Mecze[[#This Row],[KC]]=0,SUM(Mecze[[#This Row],[/BRI]:[/NPI]]),SUM(Mecze[[#This Row],[/BRI]:[/NPI]])*0.6)</f>
        <v>0.87239583333333337</v>
      </c>
      <c r="AA3332" s="10">
        <f>IFERROR(Mecze[[#This Row],[BR]]/Mecze[[#This Row],[ST]],0)</f>
        <v>0</v>
      </c>
      <c r="AB3332">
        <f>ROUND(Mecze[[#This Row],[PD]]*Mecze[[#This Row],[%PC]],0)</f>
        <v>8</v>
      </c>
      <c r="AC3332">
        <f>ROUND(Mecze[[#This Row],[OD]]*Mecze[[#This Row],[%OU]],0)</f>
        <v>4</v>
      </c>
      <c r="AD3332" s="36" t="s">
        <v>167</v>
      </c>
      <c r="AE3332" s="36">
        <v>186</v>
      </c>
      <c r="AF3332" s="71">
        <v>3.76</v>
      </c>
      <c r="AG3332" s="37">
        <v>0</v>
      </c>
      <c r="AH3332" s="37">
        <v>0</v>
      </c>
      <c r="AI3332" s="37">
        <v>96</v>
      </c>
      <c r="AJ3332" s="37">
        <v>7</v>
      </c>
      <c r="AK3332" s="37" t="str">
        <f>VLOOKUP(Mecze[[#This Row],[Match ID]],Meczusie[Mecz]:Meczusie[RodzajMeczu],2,FALSE)</f>
        <v>Liga</v>
      </c>
    </row>
    <row r="3333" spans="1:37" x14ac:dyDescent="0.25">
      <c r="A3333" s="76">
        <v>153</v>
      </c>
      <c r="B3333" s="3" t="s">
        <v>432</v>
      </c>
      <c r="C3333" s="2" t="s">
        <v>160</v>
      </c>
      <c r="D3333" s="1">
        <v>0</v>
      </c>
      <c r="E3333" s="1">
        <v>0</v>
      </c>
      <c r="F3333" s="1">
        <v>0</v>
      </c>
      <c r="G3333" s="1">
        <v>12</v>
      </c>
      <c r="H3333" s="4">
        <v>0.42</v>
      </c>
      <c r="I3333" s="1">
        <v>11</v>
      </c>
      <c r="J3333" s="4">
        <v>0.45</v>
      </c>
      <c r="K3333" s="1">
        <v>0</v>
      </c>
      <c r="L3333" s="1">
        <v>6</v>
      </c>
      <c r="M3333" s="32">
        <f>IF(Mecze[[#This Row],[PR]]=0,0,Mecze[[#This Row],[PR]]/Mecze[[#This Row],[CZAS]])</f>
        <v>6.25E-2</v>
      </c>
      <c r="N3333" s="32">
        <f>IF(Mecze[[#This Row],[OU]]=0,0,Mecze[[#This Row],[OU]]/Mecze[[#This Row],[CZAS]])</f>
        <v>5.2083333333333336E-2</v>
      </c>
      <c r="O3333" s="32">
        <f>IF(Mecze[[#This Row],[PC]]=0,0,Mecze[[#This Row],[PC]]/Mecze[[#This Row],[CZAS]])</f>
        <v>5.2083333333333336E-2</v>
      </c>
      <c r="P3333" s="32">
        <f>IF(Mecze[[#This Row],[SC]]=0,0,Mecze[[#This Row],[SC]]/Mecze[[#This Row],[CZAS]])</f>
        <v>0</v>
      </c>
      <c r="Q3333" s="32">
        <f>IF(Mecze[[#This Row],[OB]]=0,0,Mecze[[#This Row],[OB]]/Mecze[[#This Row],[CZAS]])</f>
        <v>0</v>
      </c>
      <c r="R3333" s="32">
        <f>IF(Mecze[[#This Row],[BR]]=0,0,Mecze[[#This Row],[BR]]/Mecze[[#This Row],[CZAS]])</f>
        <v>0</v>
      </c>
      <c r="S3333" s="44">
        <f>IF(Mecze[[#This Row],[Role]]="BR",SUMPRODUCT(Mecze[[#This Row],[/PR:90]:[/BR:90]],Brudnopis!$E$23:$J$23),0)</f>
        <v>0</v>
      </c>
      <c r="T3333" s="44">
        <f>IF(Mecze[[#This Row],[Role]]&lt;&gt;"BR",SUMPRODUCT(Mecze[[#This Row],[/PR:90]:[/BR:90]],Brudnopis!$E$24:$J$24),0)</f>
        <v>0.19270833333333334</v>
      </c>
      <c r="U3333" s="44">
        <f>IF(Mecze[[#This Row],[Role]]&lt;&gt;"BR",SUMPRODUCT(Mecze[[#This Row],[/PR:90]:[/BR:90]],Brudnopis!$E$25:$J$25),0)</f>
        <v>0.19270833333333334</v>
      </c>
      <c r="V3333" s="44">
        <f>IF(Mecze[[#This Row],[Role]]&lt;&gt;"BR",SUMPRODUCT(Mecze[[#This Row],[/PR:90]:[/BR:90]],Brudnopis!$E$26:$J$26),0)</f>
        <v>0.16666666666666669</v>
      </c>
      <c r="W3333" s="44">
        <f>IF(Mecze[[#This Row],[Role]]&lt;&gt;"BR",SUMPRODUCT(Mecze[[#This Row],[/PR:90]:[/BR:90]],Brudnopis!$E$27:$J$27),0)</f>
        <v>0.1640625</v>
      </c>
      <c r="X3333" s="44">
        <f>IF(Mecze[[#This Row],[Role]]&lt;&gt;"BR",SUMPRODUCT(Mecze[[#This Row],[/PR:90]:[/BR:90]],Brudnopis!$E$28:$J$28),0)</f>
        <v>5.2083333333333336E-2</v>
      </c>
      <c r="Y3333" s="35">
        <f>IF(Mecze[[#This Row],[Role]]="BR",Mecze[[#This Row],[/OB:90]]+Mecze[[#This Row],[/PC:90]],SUM(Mecze[[#This Row],[/PR:90]:[/BR:90]]))</f>
        <v>0.16666666666666669</v>
      </c>
      <c r="Z3333" s="35">
        <f>IF(Mecze[[#This Row],[KC]]=0,SUM(Mecze[[#This Row],[/BRI]:[/NPI]]),SUM(Mecze[[#This Row],[/BRI]:[/NPI]])*0.6)</f>
        <v>0.76822916666666674</v>
      </c>
      <c r="AA3333" s="10">
        <f>IFERROR(Mecze[[#This Row],[BR]]/Mecze[[#This Row],[ST]],0)</f>
        <v>0</v>
      </c>
      <c r="AB3333">
        <f>ROUND(Mecze[[#This Row],[PD]]*Mecze[[#This Row],[%PC]],0)</f>
        <v>5</v>
      </c>
      <c r="AC3333">
        <f>ROUND(Mecze[[#This Row],[OD]]*Mecze[[#This Row],[%OU]],0)</f>
        <v>5</v>
      </c>
      <c r="AD3333" s="36" t="s">
        <v>41</v>
      </c>
      <c r="AE3333" s="36">
        <v>186</v>
      </c>
      <c r="AF3333" s="71">
        <v>3.96</v>
      </c>
      <c r="AG3333" s="37">
        <v>0</v>
      </c>
      <c r="AH3333" s="37">
        <v>0</v>
      </c>
      <c r="AI3333" s="37">
        <v>96</v>
      </c>
      <c r="AJ3333" s="37">
        <v>7</v>
      </c>
      <c r="AK3333" s="37" t="str">
        <f>VLOOKUP(Mecze[[#This Row],[Match ID]],Meczusie[Mecz]:Meczusie[RodzajMeczu],2,FALSE)</f>
        <v>Liga</v>
      </c>
    </row>
    <row r="3334" spans="1:37" x14ac:dyDescent="0.25">
      <c r="A3334" s="76">
        <v>159</v>
      </c>
      <c r="B3334" s="3" t="s">
        <v>338</v>
      </c>
      <c r="C3334" s="2" t="s">
        <v>160</v>
      </c>
      <c r="D3334" s="1">
        <v>0</v>
      </c>
      <c r="E3334" s="1">
        <v>0</v>
      </c>
      <c r="F3334" s="1">
        <v>0</v>
      </c>
      <c r="G3334" s="1">
        <v>12</v>
      </c>
      <c r="H3334" s="4">
        <v>0.67</v>
      </c>
      <c r="I3334" s="1">
        <v>7</v>
      </c>
      <c r="J3334" s="4">
        <v>0.56999999999999995</v>
      </c>
      <c r="K3334" s="1">
        <v>0</v>
      </c>
      <c r="L3334" s="1">
        <v>6</v>
      </c>
      <c r="M3334" s="32">
        <f>IF(Mecze[[#This Row],[PR]]=0,0,Mecze[[#This Row],[PR]]/Mecze[[#This Row],[CZAS]])</f>
        <v>6.25E-2</v>
      </c>
      <c r="N3334" s="32">
        <f>IF(Mecze[[#This Row],[OU]]=0,0,Mecze[[#This Row],[OU]]/Mecze[[#This Row],[CZAS]])</f>
        <v>4.1666666666666664E-2</v>
      </c>
      <c r="O3334" s="32">
        <f>IF(Mecze[[#This Row],[PC]]=0,0,Mecze[[#This Row],[PC]]/Mecze[[#This Row],[CZAS]])</f>
        <v>8.3333333333333329E-2</v>
      </c>
      <c r="P3334" s="32">
        <f>IF(Mecze[[#This Row],[SC]]=0,0,Mecze[[#This Row],[SC]]/Mecze[[#This Row],[CZAS]])</f>
        <v>0</v>
      </c>
      <c r="Q3334" s="32">
        <f>IF(Mecze[[#This Row],[OB]]=0,0,Mecze[[#This Row],[OB]]/Mecze[[#This Row],[CZAS]])</f>
        <v>0</v>
      </c>
      <c r="R3334" s="32">
        <f>IF(Mecze[[#This Row],[BR]]=0,0,Mecze[[#This Row],[BR]]/Mecze[[#This Row],[CZAS]])</f>
        <v>0</v>
      </c>
      <c r="S3334" s="44">
        <f>IF(Mecze[[#This Row],[Role]]="BR",SUMPRODUCT(Mecze[[#This Row],[/PR:90]:[/BR:90]],Brudnopis!$E$23:$J$23),0)</f>
        <v>0</v>
      </c>
      <c r="T3334" s="44">
        <f>IF(Mecze[[#This Row],[Role]]&lt;&gt;"BR",SUMPRODUCT(Mecze[[#This Row],[/PR:90]:[/BR:90]],Brudnopis!$E$24:$J$24),0)</f>
        <v>0.20833333333333331</v>
      </c>
      <c r="U3334" s="44">
        <f>IF(Mecze[[#This Row],[Role]]&lt;&gt;"BR",SUMPRODUCT(Mecze[[#This Row],[/PR:90]:[/BR:90]],Brudnopis!$E$25:$J$25),0)</f>
        <v>0.22916666666666666</v>
      </c>
      <c r="V3334" s="44">
        <f>IF(Mecze[[#This Row],[Role]]&lt;&gt;"BR",SUMPRODUCT(Mecze[[#This Row],[/PR:90]:[/BR:90]],Brudnopis!$E$26:$J$26),0)</f>
        <v>0.1875</v>
      </c>
      <c r="W3334" s="44">
        <f>IF(Mecze[[#This Row],[Role]]&lt;&gt;"BR",SUMPRODUCT(Mecze[[#This Row],[/PR:90]:[/BR:90]],Brudnopis!$E$27:$J$27),0)</f>
        <v>0.203125</v>
      </c>
      <c r="X3334" s="44">
        <f>IF(Mecze[[#This Row],[Role]]&lt;&gt;"BR",SUMPRODUCT(Mecze[[#This Row],[/PR:90]:[/BR:90]],Brudnopis!$E$28:$J$28),0)</f>
        <v>8.3333333333333329E-2</v>
      </c>
      <c r="Y3334" s="35">
        <f>IF(Mecze[[#This Row],[Role]]="BR",Mecze[[#This Row],[/OB:90]]+Mecze[[#This Row],[/PC:90]],SUM(Mecze[[#This Row],[/PR:90]:[/BR:90]]))</f>
        <v>0.1875</v>
      </c>
      <c r="Z3334" s="35">
        <f>IF(Mecze[[#This Row],[KC]]=0,SUM(Mecze[[#This Row],[/BRI]:[/NPI]]),SUM(Mecze[[#This Row],[/BRI]:[/NPI]])*0.6)</f>
        <v>0.91145833333333337</v>
      </c>
      <c r="AA3334" s="10">
        <f>IFERROR(Mecze[[#This Row],[BR]]/Mecze[[#This Row],[ST]],0)</f>
        <v>0</v>
      </c>
      <c r="AB3334">
        <f>ROUND(Mecze[[#This Row],[PD]]*Mecze[[#This Row],[%PC]],0)</f>
        <v>8</v>
      </c>
      <c r="AC3334">
        <f>ROUND(Mecze[[#This Row],[OD]]*Mecze[[#This Row],[%OU]],0)</f>
        <v>4</v>
      </c>
      <c r="AD3334" s="36" t="s">
        <v>41</v>
      </c>
      <c r="AE3334" s="36">
        <v>186</v>
      </c>
      <c r="AF3334" s="71">
        <v>5.17</v>
      </c>
      <c r="AG3334" s="37">
        <v>0</v>
      </c>
      <c r="AH3334" s="37">
        <v>0</v>
      </c>
      <c r="AI3334" s="37">
        <v>96</v>
      </c>
      <c r="AJ3334" s="37">
        <v>7</v>
      </c>
      <c r="AK3334" s="37" t="str">
        <f>VLOOKUP(Mecze[[#This Row],[Match ID]],Meczusie[Mecz]:Meczusie[RodzajMeczu],2,FALSE)</f>
        <v>Liga</v>
      </c>
    </row>
    <row r="3335" spans="1:37" x14ac:dyDescent="0.25">
      <c r="A3335" s="76">
        <v>200</v>
      </c>
      <c r="B3335" s="3" t="s">
        <v>339</v>
      </c>
      <c r="C3335" s="2" t="s">
        <v>160</v>
      </c>
      <c r="D3335" s="1">
        <v>0</v>
      </c>
      <c r="E3335" s="1">
        <v>1</v>
      </c>
      <c r="F3335" s="1">
        <v>1</v>
      </c>
      <c r="G3335" s="1">
        <v>13</v>
      </c>
      <c r="H3335" s="4">
        <v>0.85</v>
      </c>
      <c r="I3335" s="1">
        <v>3</v>
      </c>
      <c r="J3335" s="4">
        <v>0.67</v>
      </c>
      <c r="K3335" s="1">
        <v>0</v>
      </c>
      <c r="L3335" s="1">
        <v>5</v>
      </c>
      <c r="M3335" s="32">
        <f>IF(Mecze[[#This Row],[PR]]=0,0,Mecze[[#This Row],[PR]]/Mecze[[#This Row],[CZAS]])</f>
        <v>5.2083333333333336E-2</v>
      </c>
      <c r="N3335" s="32">
        <f>IF(Mecze[[#This Row],[OU]]=0,0,Mecze[[#This Row],[OU]]/Mecze[[#This Row],[CZAS]])</f>
        <v>2.0833333333333332E-2</v>
      </c>
      <c r="O3335" s="32">
        <f>IF(Mecze[[#This Row],[PC]]=0,0,Mecze[[#This Row],[PC]]/Mecze[[#This Row],[CZAS]])</f>
        <v>0.11458333333333333</v>
      </c>
      <c r="P3335" s="32">
        <f>IF(Mecze[[#This Row],[SC]]=0,0,Mecze[[#This Row],[SC]]/Mecze[[#This Row],[CZAS]])</f>
        <v>1.0416666666666666E-2</v>
      </c>
      <c r="Q3335" s="32">
        <f>IF(Mecze[[#This Row],[OB]]=0,0,Mecze[[#This Row],[OB]]/Mecze[[#This Row],[CZAS]])</f>
        <v>0</v>
      </c>
      <c r="R3335" s="32">
        <f>IF(Mecze[[#This Row],[BR]]=0,0,Mecze[[#This Row],[BR]]/Mecze[[#This Row],[CZAS]])</f>
        <v>0</v>
      </c>
      <c r="S3335" s="44">
        <f>IF(Mecze[[#This Row],[Role]]="BR",SUMPRODUCT(Mecze[[#This Row],[/PR:90]:[/BR:90]],Brudnopis!$E$23:$J$23),0)</f>
        <v>0</v>
      </c>
      <c r="T3335" s="44">
        <f>IF(Mecze[[#This Row],[Role]]&lt;&gt;"BR",SUMPRODUCT(Mecze[[#This Row],[/PR:90]:[/BR:90]],Brudnopis!$E$24:$J$24),0)</f>
        <v>0.20833333333333334</v>
      </c>
      <c r="U3335" s="44">
        <f>IF(Mecze[[#This Row],[Role]]&lt;&gt;"BR",SUMPRODUCT(Mecze[[#This Row],[/PR:90]:[/BR:90]],Brudnopis!$E$25:$J$25),0)</f>
        <v>0.25520833333333337</v>
      </c>
      <c r="V3335" s="44">
        <f>IF(Mecze[[#This Row],[Role]]&lt;&gt;"BR",SUMPRODUCT(Mecze[[#This Row],[/PR:90]:[/BR:90]],Brudnopis!$E$26:$J$26),0)</f>
        <v>0.19791666666666666</v>
      </c>
      <c r="W3335" s="44">
        <f>IF(Mecze[[#This Row],[Role]]&lt;&gt;"BR",SUMPRODUCT(Mecze[[#This Row],[/PR:90]:[/BR:90]],Brudnopis!$E$27:$J$27),0)</f>
        <v>0.23697916666666666</v>
      </c>
      <c r="X3335" s="44">
        <f>IF(Mecze[[#This Row],[Role]]&lt;&gt;"BR",SUMPRODUCT(Mecze[[#This Row],[/PR:90]:[/BR:90]],Brudnopis!$E$28:$J$28),0)</f>
        <v>0.13541666666666666</v>
      </c>
      <c r="Y3335" s="35">
        <f>IF(Mecze[[#This Row],[Role]]="BR",Mecze[[#This Row],[/OB:90]]+Mecze[[#This Row],[/PC:90]],SUM(Mecze[[#This Row],[/PR:90]:[/BR:90]]))</f>
        <v>0.19791666666666666</v>
      </c>
      <c r="Z3335" s="35">
        <f>IF(Mecze[[#This Row],[KC]]=0,SUM(Mecze[[#This Row],[/BRI]:[/NPI]]),SUM(Mecze[[#This Row],[/BRI]:[/NPI]])*0.6)</f>
        <v>1.0338541666666667</v>
      </c>
      <c r="AA3335" s="10">
        <f>IFERROR(Mecze[[#This Row],[BR]]/Mecze[[#This Row],[ST]],0)</f>
        <v>0</v>
      </c>
      <c r="AB3335">
        <f>ROUND(Mecze[[#This Row],[PD]]*Mecze[[#This Row],[%PC]],0)</f>
        <v>11</v>
      </c>
      <c r="AC3335">
        <f>ROUND(Mecze[[#This Row],[OD]]*Mecze[[#This Row],[%OU]],0)</f>
        <v>2</v>
      </c>
      <c r="AD3335" s="36" t="s">
        <v>67</v>
      </c>
      <c r="AE3335" s="36">
        <v>186</v>
      </c>
      <c r="AF3335" s="71">
        <v>6.1</v>
      </c>
      <c r="AG3335" s="37">
        <v>0</v>
      </c>
      <c r="AH3335" s="37">
        <v>0</v>
      </c>
      <c r="AI3335" s="37">
        <v>96</v>
      </c>
      <c r="AJ3335" s="37">
        <v>7</v>
      </c>
      <c r="AK3335" s="37" t="str">
        <f>VLOOKUP(Mecze[[#This Row],[Match ID]],Meczusie[Mecz]:Meczusie[RodzajMeczu],2,FALSE)</f>
        <v>Liga</v>
      </c>
    </row>
    <row r="3336" spans="1:37" x14ac:dyDescent="0.25">
      <c r="A3336" s="76">
        <v>101</v>
      </c>
      <c r="B3336" s="3" t="s">
        <v>444</v>
      </c>
      <c r="C3336" s="2" t="s">
        <v>160</v>
      </c>
      <c r="D3336" s="1">
        <v>0</v>
      </c>
      <c r="E3336" s="1">
        <v>0</v>
      </c>
      <c r="F3336" s="1">
        <v>0</v>
      </c>
      <c r="G3336" s="1">
        <v>18</v>
      </c>
      <c r="H3336" s="4">
        <v>0.5</v>
      </c>
      <c r="I3336" s="1">
        <v>2</v>
      </c>
      <c r="J3336" s="4">
        <v>1</v>
      </c>
      <c r="K3336" s="1">
        <v>0</v>
      </c>
      <c r="L3336" s="1">
        <v>0</v>
      </c>
      <c r="M3336" s="32">
        <f>IF(Mecze[[#This Row],[PR]]=0,0,Mecze[[#This Row],[PR]]/Mecze[[#This Row],[CZAS]])</f>
        <v>0</v>
      </c>
      <c r="N3336" s="32">
        <f>IF(Mecze[[#This Row],[OU]]=0,0,Mecze[[#This Row],[OU]]/Mecze[[#This Row],[CZAS]])</f>
        <v>2.5000000000000001E-2</v>
      </c>
      <c r="O3336" s="32">
        <f>IF(Mecze[[#This Row],[PC]]=0,0,Mecze[[#This Row],[PC]]/Mecze[[#This Row],[CZAS]])</f>
        <v>0.1125</v>
      </c>
      <c r="P3336" s="32">
        <f>IF(Mecze[[#This Row],[SC]]=0,0,Mecze[[#This Row],[SC]]/Mecze[[#This Row],[CZAS]])</f>
        <v>0</v>
      </c>
      <c r="Q3336" s="32">
        <f>IF(Mecze[[#This Row],[OB]]=0,0,Mecze[[#This Row],[OB]]/Mecze[[#This Row],[CZAS]])</f>
        <v>0</v>
      </c>
      <c r="R3336" s="32">
        <f>IF(Mecze[[#This Row],[BR]]=0,0,Mecze[[#This Row],[BR]]/Mecze[[#This Row],[CZAS]])</f>
        <v>0</v>
      </c>
      <c r="S3336" s="44">
        <f>IF(Mecze[[#This Row],[Role]]="BR",SUMPRODUCT(Mecze[[#This Row],[/PR:90]:[/BR:90]],Brudnopis!$E$23:$J$23),0)</f>
        <v>0</v>
      </c>
      <c r="T3336" s="44">
        <f>IF(Mecze[[#This Row],[Role]]&lt;&gt;"BR",SUMPRODUCT(Mecze[[#This Row],[/PR:90]:[/BR:90]],Brudnopis!$E$24:$J$24),0)</f>
        <v>0.15000000000000002</v>
      </c>
      <c r="U3336" s="44">
        <f>IF(Mecze[[#This Row],[Role]]&lt;&gt;"BR",SUMPRODUCT(Mecze[[#This Row],[/PR:90]:[/BR:90]],Brudnopis!$E$25:$J$25),0)</f>
        <v>0.19375000000000001</v>
      </c>
      <c r="V3336" s="44">
        <f>IF(Mecze[[#This Row],[Role]]&lt;&gt;"BR",SUMPRODUCT(Mecze[[#This Row],[/PR:90]:[/BR:90]],Brudnopis!$E$26:$J$26),0)</f>
        <v>0.13750000000000001</v>
      </c>
      <c r="W3336" s="44">
        <f>IF(Mecze[[#This Row],[Role]]&lt;&gt;"BR",SUMPRODUCT(Mecze[[#This Row],[/PR:90]:[/BR:90]],Brudnopis!$E$27:$J$27),0)</f>
        <v>0.1875</v>
      </c>
      <c r="X3336" s="44">
        <f>IF(Mecze[[#This Row],[Role]]&lt;&gt;"BR",SUMPRODUCT(Mecze[[#This Row],[/PR:90]:[/BR:90]],Brudnopis!$E$28:$J$28),0)</f>
        <v>0.1125</v>
      </c>
      <c r="Y3336" s="35">
        <f>IF(Mecze[[#This Row],[Role]]="BR",Mecze[[#This Row],[/OB:90]]+Mecze[[#This Row],[/PC:90]],SUM(Mecze[[#This Row],[/PR:90]:[/BR:90]]))</f>
        <v>0.13750000000000001</v>
      </c>
      <c r="Z3336" s="35">
        <f>IF(Mecze[[#This Row],[KC]]=0,SUM(Mecze[[#This Row],[/BRI]:[/NPI]]),SUM(Mecze[[#This Row],[/BRI]:[/NPI]])*0.6)</f>
        <v>0.78125</v>
      </c>
      <c r="AA3336" s="10">
        <f>IFERROR(Mecze[[#This Row],[BR]]/Mecze[[#This Row],[ST]],0)</f>
        <v>0</v>
      </c>
      <c r="AB3336">
        <f>ROUND(Mecze[[#This Row],[PD]]*Mecze[[#This Row],[%PC]],0)</f>
        <v>9</v>
      </c>
      <c r="AC3336">
        <f>ROUND(Mecze[[#This Row],[OD]]*Mecze[[#This Row],[%OU]],0)</f>
        <v>2</v>
      </c>
      <c r="AD3336" s="36" t="s">
        <v>44</v>
      </c>
      <c r="AE3336" s="36">
        <v>186</v>
      </c>
      <c r="AF3336" s="71">
        <v>3.91</v>
      </c>
      <c r="AG3336" s="37">
        <v>0</v>
      </c>
      <c r="AH3336" s="37">
        <v>0</v>
      </c>
      <c r="AI3336" s="37">
        <v>80</v>
      </c>
      <c r="AJ3336" s="37">
        <v>7</v>
      </c>
      <c r="AK3336" s="37" t="str">
        <f>VLOOKUP(Mecze[[#This Row],[Match ID]],Meczusie[Mecz]:Meczusie[RodzajMeczu],2,FALSE)</f>
        <v>Liga</v>
      </c>
    </row>
    <row r="3337" spans="1:37" x14ac:dyDescent="0.25">
      <c r="A3337" s="76">
        <v>201</v>
      </c>
      <c r="B3337" s="3" t="s">
        <v>456</v>
      </c>
      <c r="C3337" s="2" t="s">
        <v>160</v>
      </c>
      <c r="D3337" s="1">
        <v>0</v>
      </c>
      <c r="E3337" s="1">
        <v>2</v>
      </c>
      <c r="F3337" s="1">
        <v>2</v>
      </c>
      <c r="G3337" s="1">
        <v>4</v>
      </c>
      <c r="H3337" s="4">
        <v>0.5</v>
      </c>
      <c r="I3337" s="1">
        <v>7</v>
      </c>
      <c r="J3337" s="4">
        <v>0.56999999999999995</v>
      </c>
      <c r="K3337" s="1">
        <v>0</v>
      </c>
      <c r="L3337" s="1">
        <v>0</v>
      </c>
      <c r="M3337" s="32">
        <f>IF(Mecze[[#This Row],[PR]]=0,0,Mecze[[#This Row],[PR]]/Mecze[[#This Row],[CZAS]])</f>
        <v>0</v>
      </c>
      <c r="N3337" s="32">
        <f>IF(Mecze[[#This Row],[OU]]=0,0,Mecze[[#This Row],[OU]]/Mecze[[#This Row],[CZAS]])</f>
        <v>4.1666666666666664E-2</v>
      </c>
      <c r="O3337" s="32">
        <f>IF(Mecze[[#This Row],[PC]]=0,0,Mecze[[#This Row],[PC]]/Mecze[[#This Row],[CZAS]])</f>
        <v>2.0833333333333332E-2</v>
      </c>
      <c r="P3337" s="32">
        <f>IF(Mecze[[#This Row],[SC]]=0,0,Mecze[[#This Row],[SC]]/Mecze[[#This Row],[CZAS]])</f>
        <v>2.0833333333333332E-2</v>
      </c>
      <c r="Q3337" s="32">
        <f>IF(Mecze[[#This Row],[OB]]=0,0,Mecze[[#This Row],[OB]]/Mecze[[#This Row],[CZAS]])</f>
        <v>0</v>
      </c>
      <c r="R3337" s="32">
        <f>IF(Mecze[[#This Row],[BR]]=0,0,Mecze[[#This Row],[BR]]/Mecze[[#This Row],[CZAS]])</f>
        <v>0</v>
      </c>
      <c r="S3337" s="44">
        <f>IF(Mecze[[#This Row],[Role]]="BR",SUMPRODUCT(Mecze[[#This Row],[/PR:90]:[/BR:90]],Brudnopis!$E$23:$J$23),0)</f>
        <v>0</v>
      </c>
      <c r="T3337" s="44">
        <f>IF(Mecze[[#This Row],[Role]]&lt;&gt;"BR",SUMPRODUCT(Mecze[[#This Row],[/PR:90]:[/BR:90]],Brudnopis!$E$24:$J$24),0)</f>
        <v>0.10416666666666666</v>
      </c>
      <c r="U3337" s="44">
        <f>IF(Mecze[[#This Row],[Role]]&lt;&gt;"BR",SUMPRODUCT(Mecze[[#This Row],[/PR:90]:[/BR:90]],Brudnopis!$E$25:$J$25),0)</f>
        <v>9.3749999999999986E-2</v>
      </c>
      <c r="V3337" s="44">
        <f>IF(Mecze[[#This Row],[Role]]&lt;&gt;"BR",SUMPRODUCT(Mecze[[#This Row],[/PR:90]:[/BR:90]],Brudnopis!$E$26:$J$26),0)</f>
        <v>8.3333333333333329E-2</v>
      </c>
      <c r="W3337" s="44">
        <f>IF(Mecze[[#This Row],[Role]]&lt;&gt;"BR",SUMPRODUCT(Mecze[[#This Row],[/PR:90]:[/BR:90]],Brudnopis!$E$27:$J$27),0)</f>
        <v>8.3333333333333329E-2</v>
      </c>
      <c r="X3337" s="44">
        <f>IF(Mecze[[#This Row],[Role]]&lt;&gt;"BR",SUMPRODUCT(Mecze[[#This Row],[/PR:90]:[/BR:90]],Brudnopis!$E$28:$J$28),0)</f>
        <v>6.25E-2</v>
      </c>
      <c r="Y3337" s="35">
        <f>IF(Mecze[[#This Row],[Role]]="BR",Mecze[[#This Row],[/OB:90]]+Mecze[[#This Row],[/PC:90]],SUM(Mecze[[#This Row],[/PR:90]:[/BR:90]]))</f>
        <v>8.3333333333333329E-2</v>
      </c>
      <c r="Z3337" s="35">
        <f>IF(Mecze[[#This Row],[KC]]=0,SUM(Mecze[[#This Row],[/BRI]:[/NPI]]),SUM(Mecze[[#This Row],[/BRI]:[/NPI]])*0.6)</f>
        <v>0.42708333333333326</v>
      </c>
      <c r="AA3337" s="10">
        <f>IFERROR(Mecze[[#This Row],[BR]]/Mecze[[#This Row],[ST]],0)</f>
        <v>0</v>
      </c>
      <c r="AB3337">
        <f>ROUND(Mecze[[#This Row],[PD]]*Mecze[[#This Row],[%PC]],0)</f>
        <v>2</v>
      </c>
      <c r="AC3337">
        <f>ROUND(Mecze[[#This Row],[OD]]*Mecze[[#This Row],[%OU]],0)</f>
        <v>4</v>
      </c>
      <c r="AD3337" s="36" t="s">
        <v>299</v>
      </c>
      <c r="AE3337" s="36">
        <v>186</v>
      </c>
      <c r="AF3337" s="71">
        <v>3.16</v>
      </c>
      <c r="AG3337" s="37">
        <v>0</v>
      </c>
      <c r="AH3337" s="37">
        <v>0</v>
      </c>
      <c r="AI3337" s="37">
        <v>96</v>
      </c>
      <c r="AJ3337" s="37">
        <v>7</v>
      </c>
      <c r="AK3337" s="37" t="str">
        <f>VLOOKUP(Mecze[[#This Row],[Match ID]],Meczusie[Mecz]:Meczusie[RodzajMeczu],2,FALSE)</f>
        <v>Liga</v>
      </c>
    </row>
    <row r="3338" spans="1:37" x14ac:dyDescent="0.25">
      <c r="A3338" s="76">
        <v>203</v>
      </c>
      <c r="B3338" s="3" t="s">
        <v>342</v>
      </c>
      <c r="C3338" s="2" t="s">
        <v>165</v>
      </c>
      <c r="D3338" s="1">
        <v>0</v>
      </c>
      <c r="E3338" s="1">
        <v>12</v>
      </c>
      <c r="F3338" s="1">
        <v>10</v>
      </c>
      <c r="G3338" s="1">
        <v>7</v>
      </c>
      <c r="H3338" s="4">
        <v>0.56999999999999995</v>
      </c>
      <c r="I3338" s="1">
        <v>4</v>
      </c>
      <c r="J3338" s="4">
        <v>0.5</v>
      </c>
      <c r="K3338" s="1">
        <v>0</v>
      </c>
      <c r="L3338" s="1">
        <v>2</v>
      </c>
      <c r="M3338" s="32">
        <f>IF(Mecze[[#This Row],[PR]]=0,0,Mecze[[#This Row],[PR]]/Mecze[[#This Row],[CZAS]])</f>
        <v>2.0833333333333332E-2</v>
      </c>
      <c r="N3338" s="32">
        <f>IF(Mecze[[#This Row],[OU]]=0,0,Mecze[[#This Row],[OU]]/Mecze[[#This Row],[CZAS]])</f>
        <v>2.0833333333333332E-2</v>
      </c>
      <c r="O3338" s="32">
        <f>IF(Mecze[[#This Row],[PC]]=0,0,Mecze[[#This Row],[PC]]/Mecze[[#This Row],[CZAS]])</f>
        <v>4.1666666666666664E-2</v>
      </c>
      <c r="P3338" s="32">
        <f>IF(Mecze[[#This Row],[SC]]=0,0,Mecze[[#This Row],[SC]]/Mecze[[#This Row],[CZAS]])</f>
        <v>0.10416666666666667</v>
      </c>
      <c r="Q3338" s="32">
        <f>IF(Mecze[[#This Row],[OB]]=0,0,Mecze[[#This Row],[OB]]/Mecze[[#This Row],[CZAS]])</f>
        <v>0</v>
      </c>
      <c r="R3338" s="32">
        <f>IF(Mecze[[#This Row],[BR]]=0,0,Mecze[[#This Row],[BR]]/Mecze[[#This Row],[CZAS]])</f>
        <v>0</v>
      </c>
      <c r="S3338" s="44">
        <f>IF(Mecze[[#This Row],[Role]]="BR",SUMPRODUCT(Mecze[[#This Row],[/PR:90]:[/BR:90]],Brudnopis!$E$23:$J$23),0)</f>
        <v>0</v>
      </c>
      <c r="T3338" s="44">
        <f>IF(Mecze[[#This Row],[Role]]&lt;&gt;"BR",SUMPRODUCT(Mecze[[#This Row],[/PR:90]:[/BR:90]],Brudnopis!$E$24:$J$24),0)</f>
        <v>0.19791666666666669</v>
      </c>
      <c r="U3338" s="44">
        <f>IF(Mecze[[#This Row],[Role]]&lt;&gt;"BR",SUMPRODUCT(Mecze[[#This Row],[/PR:90]:[/BR:90]],Brudnopis!$E$25:$J$25),0)</f>
        <v>0.20833333333333331</v>
      </c>
      <c r="V3338" s="44">
        <f>IF(Mecze[[#This Row],[Role]]&lt;&gt;"BR",SUMPRODUCT(Mecze[[#This Row],[/PR:90]:[/BR:90]],Brudnopis!$E$26:$J$26),0)</f>
        <v>0.1875</v>
      </c>
      <c r="W3338" s="44">
        <f>IF(Mecze[[#This Row],[Role]]&lt;&gt;"BR",SUMPRODUCT(Mecze[[#This Row],[/PR:90]:[/BR:90]],Brudnopis!$E$27:$J$27),0)</f>
        <v>0.19791666666666669</v>
      </c>
      <c r="X3338" s="44">
        <f>IF(Mecze[[#This Row],[Role]]&lt;&gt;"BR",SUMPRODUCT(Mecze[[#This Row],[/PR:90]:[/BR:90]],Brudnopis!$E$28:$J$28),0)</f>
        <v>0.25</v>
      </c>
      <c r="Y3338" s="35">
        <f>IF(Mecze[[#This Row],[Role]]="BR",Mecze[[#This Row],[/OB:90]]+Mecze[[#This Row],[/PC:90]],SUM(Mecze[[#This Row],[/PR:90]:[/BR:90]]))</f>
        <v>0.1875</v>
      </c>
      <c r="Z3338" s="35">
        <f>IF(Mecze[[#This Row],[KC]]=0,SUM(Mecze[[#This Row],[/BRI]:[/NPI]]),SUM(Mecze[[#This Row],[/BRI]:[/NPI]])*0.6)</f>
        <v>1.0416666666666667</v>
      </c>
      <c r="AA3338" s="10">
        <f>IFERROR(Mecze[[#This Row],[BR]]/Mecze[[#This Row],[ST]],0)</f>
        <v>0</v>
      </c>
      <c r="AB3338">
        <f>ROUND(Mecze[[#This Row],[PD]]*Mecze[[#This Row],[%PC]],0)</f>
        <v>4</v>
      </c>
      <c r="AC3338">
        <f>ROUND(Mecze[[#This Row],[OD]]*Mecze[[#This Row],[%OU]],0)</f>
        <v>2</v>
      </c>
      <c r="AD3338" s="36" t="s">
        <v>46</v>
      </c>
      <c r="AE3338" s="36">
        <v>186</v>
      </c>
      <c r="AF3338" s="71">
        <v>6.24</v>
      </c>
      <c r="AG3338" s="37">
        <v>0</v>
      </c>
      <c r="AH3338" s="37">
        <v>0</v>
      </c>
      <c r="AI3338" s="37">
        <v>96</v>
      </c>
      <c r="AJ3338" s="37">
        <v>7</v>
      </c>
      <c r="AK3338" s="37" t="str">
        <f>VLOOKUP(Mecze[[#This Row],[Match ID]],Meczusie[Mecz]:Meczusie[RodzajMeczu],2,FALSE)</f>
        <v>Liga</v>
      </c>
    </row>
    <row r="3339" spans="1:37" x14ac:dyDescent="0.25">
      <c r="A3339" s="76">
        <v>104</v>
      </c>
      <c r="B3339" s="3" t="s">
        <v>343</v>
      </c>
      <c r="C3339" s="2" t="s">
        <v>165</v>
      </c>
      <c r="D3339" s="1">
        <v>0</v>
      </c>
      <c r="E3339" s="1">
        <v>0</v>
      </c>
      <c r="F3339" s="1">
        <v>0</v>
      </c>
      <c r="G3339" s="1">
        <v>16</v>
      </c>
      <c r="H3339" s="4">
        <v>0.5</v>
      </c>
      <c r="I3339" s="1">
        <v>6</v>
      </c>
      <c r="J3339" s="4">
        <v>0.33</v>
      </c>
      <c r="K3339" s="1">
        <v>0</v>
      </c>
      <c r="L3339" s="1">
        <v>0</v>
      </c>
      <c r="M3339" s="32">
        <f>IF(Mecze[[#This Row],[PR]]=0,0,Mecze[[#This Row],[PR]]/Mecze[[#This Row],[CZAS]])</f>
        <v>0</v>
      </c>
      <c r="N3339" s="32">
        <f>IF(Mecze[[#This Row],[OU]]=0,0,Mecze[[#This Row],[OU]]/Mecze[[#This Row],[CZAS]])</f>
        <v>2.0833333333333332E-2</v>
      </c>
      <c r="O3339" s="32">
        <f>IF(Mecze[[#This Row],[PC]]=0,0,Mecze[[#This Row],[PC]]/Mecze[[#This Row],[CZAS]])</f>
        <v>8.3333333333333329E-2</v>
      </c>
      <c r="P3339" s="32">
        <f>IF(Mecze[[#This Row],[SC]]=0,0,Mecze[[#This Row],[SC]]/Mecze[[#This Row],[CZAS]])</f>
        <v>0</v>
      </c>
      <c r="Q3339" s="32">
        <f>IF(Mecze[[#This Row],[OB]]=0,0,Mecze[[#This Row],[OB]]/Mecze[[#This Row],[CZAS]])</f>
        <v>0</v>
      </c>
      <c r="R3339" s="32">
        <f>IF(Mecze[[#This Row],[BR]]=0,0,Mecze[[#This Row],[BR]]/Mecze[[#This Row],[CZAS]])</f>
        <v>0</v>
      </c>
      <c r="S3339" s="44">
        <f>IF(Mecze[[#This Row],[Role]]="BR",SUMPRODUCT(Mecze[[#This Row],[/PR:90]:[/BR:90]],Brudnopis!$E$23:$J$23),0)</f>
        <v>0</v>
      </c>
      <c r="T3339" s="44">
        <f>IF(Mecze[[#This Row],[Role]]&lt;&gt;"BR",SUMPRODUCT(Mecze[[#This Row],[/PR:90]:[/BR:90]],Brudnopis!$E$24:$J$24),0)</f>
        <v>0.11458333333333333</v>
      </c>
      <c r="U3339" s="44">
        <f>IF(Mecze[[#This Row],[Role]]&lt;&gt;"BR",SUMPRODUCT(Mecze[[#This Row],[/PR:90]:[/BR:90]],Brudnopis!$E$25:$J$25),0)</f>
        <v>0.14583333333333334</v>
      </c>
      <c r="V3339" s="44">
        <f>IF(Mecze[[#This Row],[Role]]&lt;&gt;"BR",SUMPRODUCT(Mecze[[#This Row],[/PR:90]:[/BR:90]],Brudnopis!$E$26:$J$26),0)</f>
        <v>0.10416666666666666</v>
      </c>
      <c r="W3339" s="44">
        <f>IF(Mecze[[#This Row],[Role]]&lt;&gt;"BR",SUMPRODUCT(Mecze[[#This Row],[/PR:90]:[/BR:90]],Brudnopis!$E$27:$J$27),0)</f>
        <v>0.140625</v>
      </c>
      <c r="X3339" s="44">
        <f>IF(Mecze[[#This Row],[Role]]&lt;&gt;"BR",SUMPRODUCT(Mecze[[#This Row],[/PR:90]:[/BR:90]],Brudnopis!$E$28:$J$28),0)</f>
        <v>8.3333333333333329E-2</v>
      </c>
      <c r="Y3339" s="35">
        <f>IF(Mecze[[#This Row],[Role]]="BR",Mecze[[#This Row],[/OB:90]]+Mecze[[#This Row],[/PC:90]],SUM(Mecze[[#This Row],[/PR:90]:[/BR:90]]))</f>
        <v>0.10416666666666666</v>
      </c>
      <c r="Z3339" s="35">
        <f>IF(Mecze[[#This Row],[KC]]=0,SUM(Mecze[[#This Row],[/BRI]:[/NPI]]),SUM(Mecze[[#This Row],[/BRI]:[/NPI]])*0.6)</f>
        <v>0.58854166666666674</v>
      </c>
      <c r="AA3339" s="10">
        <f>IFERROR(Mecze[[#This Row],[BR]]/Mecze[[#This Row],[ST]],0)</f>
        <v>0</v>
      </c>
      <c r="AB3339">
        <f>ROUND(Mecze[[#This Row],[PD]]*Mecze[[#This Row],[%PC]],0)</f>
        <v>8</v>
      </c>
      <c r="AC3339">
        <f>ROUND(Mecze[[#This Row],[OD]]*Mecze[[#This Row],[%OU]],0)</f>
        <v>2</v>
      </c>
      <c r="AD3339" s="36" t="s">
        <v>355</v>
      </c>
      <c r="AE3339" s="36">
        <v>186</v>
      </c>
      <c r="AF3339" s="71">
        <v>4.04</v>
      </c>
      <c r="AG3339" s="37">
        <v>0</v>
      </c>
      <c r="AH3339" s="37">
        <v>0</v>
      </c>
      <c r="AI3339" s="37">
        <v>96</v>
      </c>
      <c r="AJ3339" s="37">
        <v>7</v>
      </c>
      <c r="AK3339" s="37" t="str">
        <f>VLOOKUP(Mecze[[#This Row],[Match ID]],Meczusie[Mecz]:Meczusie[RodzajMeczu],2,FALSE)</f>
        <v>Liga</v>
      </c>
    </row>
    <row r="3340" spans="1:37" x14ac:dyDescent="0.25">
      <c r="A3340" s="76">
        <v>70</v>
      </c>
      <c r="B3340" s="3" t="s">
        <v>341</v>
      </c>
      <c r="C3340" s="2" t="s">
        <v>160</v>
      </c>
      <c r="D3340" s="1">
        <v>0</v>
      </c>
      <c r="E3340" s="1">
        <v>0</v>
      </c>
      <c r="F3340" s="1">
        <v>0</v>
      </c>
      <c r="G3340" s="1">
        <v>4</v>
      </c>
      <c r="H3340" s="4">
        <v>1</v>
      </c>
      <c r="I3340" s="1">
        <v>0</v>
      </c>
      <c r="J3340" s="4"/>
      <c r="K3340" s="1">
        <v>0</v>
      </c>
      <c r="L3340" s="1">
        <v>0</v>
      </c>
      <c r="M3340" s="32">
        <f>IF(Mecze[[#This Row],[PR]]=0,0,Mecze[[#This Row],[PR]]/Mecze[[#This Row],[CZAS]])</f>
        <v>0</v>
      </c>
      <c r="N3340" s="32">
        <f>IF(Mecze[[#This Row],[OU]]=0,0,Mecze[[#This Row],[OU]]/Mecze[[#This Row],[CZAS]])</f>
        <v>0</v>
      </c>
      <c r="O3340" s="32">
        <f>IF(Mecze[[#This Row],[PC]]=0,0,Mecze[[#This Row],[PC]]/Mecze[[#This Row],[CZAS]])</f>
        <v>0.25</v>
      </c>
      <c r="P3340" s="32">
        <f>IF(Mecze[[#This Row],[SC]]=0,0,Mecze[[#This Row],[SC]]/Mecze[[#This Row],[CZAS]])</f>
        <v>0</v>
      </c>
      <c r="Q3340" s="32">
        <f>IF(Mecze[[#This Row],[OB]]=0,0,Mecze[[#This Row],[OB]]/Mecze[[#This Row],[CZAS]])</f>
        <v>0</v>
      </c>
      <c r="R3340" s="32">
        <f>IF(Mecze[[#This Row],[BR]]=0,0,Mecze[[#This Row],[BR]]/Mecze[[#This Row],[CZAS]])</f>
        <v>0</v>
      </c>
      <c r="S3340" s="44">
        <f>IF(Mecze[[#This Row],[Role]]="BR",SUMPRODUCT(Mecze[[#This Row],[/PR:90]:[/BR:90]],Brudnopis!$E$23:$J$23),0)</f>
        <v>0</v>
      </c>
      <c r="T3340" s="44">
        <f>IF(Mecze[[#This Row],[Role]]&lt;&gt;"BR",SUMPRODUCT(Mecze[[#This Row],[/PR:90]:[/BR:90]],Brudnopis!$E$24:$J$24),0)</f>
        <v>0.25</v>
      </c>
      <c r="U3340" s="44">
        <f>IF(Mecze[[#This Row],[Role]]&lt;&gt;"BR",SUMPRODUCT(Mecze[[#This Row],[/PR:90]:[/BR:90]],Brudnopis!$E$25:$J$25),0)</f>
        <v>0.375</v>
      </c>
      <c r="V3340" s="44">
        <f>IF(Mecze[[#This Row],[Role]]&lt;&gt;"BR",SUMPRODUCT(Mecze[[#This Row],[/PR:90]:[/BR:90]],Brudnopis!$E$26:$J$26),0)</f>
        <v>0.25</v>
      </c>
      <c r="W3340" s="44">
        <f>IF(Mecze[[#This Row],[Role]]&lt;&gt;"BR",SUMPRODUCT(Mecze[[#This Row],[/PR:90]:[/BR:90]],Brudnopis!$E$27:$J$27),0)</f>
        <v>0.375</v>
      </c>
      <c r="X3340" s="44">
        <f>IF(Mecze[[#This Row],[Role]]&lt;&gt;"BR",SUMPRODUCT(Mecze[[#This Row],[/PR:90]:[/BR:90]],Brudnopis!$E$28:$J$28),0)</f>
        <v>0.25</v>
      </c>
      <c r="Y3340" s="35">
        <f>IF(Mecze[[#This Row],[Role]]="BR",Mecze[[#This Row],[/OB:90]]+Mecze[[#This Row],[/PC:90]],SUM(Mecze[[#This Row],[/PR:90]:[/BR:90]]))</f>
        <v>0.25</v>
      </c>
      <c r="Z3340" s="35">
        <f>IF(Mecze[[#This Row],[KC]]=0,SUM(Mecze[[#This Row],[/BRI]:[/NPI]]),SUM(Mecze[[#This Row],[/BRI]:[/NPI]])*0.6)</f>
        <v>1.5</v>
      </c>
      <c r="AA3340" s="10">
        <f>IFERROR(Mecze[[#This Row],[BR]]/Mecze[[#This Row],[ST]],0)</f>
        <v>0</v>
      </c>
      <c r="AB3340">
        <f>ROUND(Mecze[[#This Row],[PD]]*Mecze[[#This Row],[%PC]],0)</f>
        <v>4</v>
      </c>
      <c r="AC3340">
        <f>ROUND(Mecze[[#This Row],[OD]]*Mecze[[#This Row],[%OU]],0)</f>
        <v>0</v>
      </c>
      <c r="AD3340" s="36" t="s">
        <v>44</v>
      </c>
      <c r="AE3340" s="36">
        <v>186</v>
      </c>
      <c r="AF3340" s="71">
        <v>0.5</v>
      </c>
      <c r="AG3340" s="37">
        <v>0</v>
      </c>
      <c r="AH3340" s="37">
        <v>0</v>
      </c>
      <c r="AI3340" s="37">
        <v>16</v>
      </c>
      <c r="AJ3340" s="37">
        <v>7</v>
      </c>
      <c r="AK3340" s="37" t="str">
        <f>VLOOKUP(Mecze[[#This Row],[Match ID]],Meczusie[Mecz]:Meczusie[RodzajMeczu],2,FALSE)</f>
        <v>Liga</v>
      </c>
    </row>
    <row r="3341" spans="1:37" x14ac:dyDescent="0.25">
      <c r="A3341" s="76">
        <v>1</v>
      </c>
      <c r="B3341" s="3" t="s">
        <v>320</v>
      </c>
      <c r="C3341" s="2" t="s">
        <v>155</v>
      </c>
      <c r="D3341" s="1">
        <v>0</v>
      </c>
      <c r="E3341" s="1">
        <v>0</v>
      </c>
      <c r="F3341" s="1">
        <v>0</v>
      </c>
      <c r="G3341" s="1">
        <v>15</v>
      </c>
      <c r="H3341" s="4">
        <v>0.73</v>
      </c>
      <c r="I3341" s="1">
        <v>0</v>
      </c>
      <c r="J3341" s="4"/>
      <c r="K3341" s="1">
        <v>11</v>
      </c>
      <c r="L3341" s="1">
        <v>0</v>
      </c>
      <c r="M3341" s="32">
        <f>IF(Mecze[[#This Row],[PR]]=0,0,Mecze[[#This Row],[PR]]/Mecze[[#This Row],[CZAS]])</f>
        <v>0</v>
      </c>
      <c r="N3341" s="32">
        <f>IF(Mecze[[#This Row],[OU]]=0,0,Mecze[[#This Row],[OU]]/Mecze[[#This Row],[CZAS]])</f>
        <v>0</v>
      </c>
      <c r="O3341" s="32">
        <f>IF(Mecze[[#This Row],[PC]]=0,0,Mecze[[#This Row],[PC]]/Mecze[[#This Row],[CZAS]])</f>
        <v>0.11458333333333333</v>
      </c>
      <c r="P3341" s="32">
        <f>IF(Mecze[[#This Row],[SC]]=0,0,Mecze[[#This Row],[SC]]/Mecze[[#This Row],[CZAS]])</f>
        <v>0</v>
      </c>
      <c r="Q3341" s="32">
        <f>IF(Mecze[[#This Row],[OB]]=0,0,Mecze[[#This Row],[OB]]/Mecze[[#This Row],[CZAS]])</f>
        <v>0.11458333333333333</v>
      </c>
      <c r="R3341" s="32">
        <f>IF(Mecze[[#This Row],[BR]]=0,0,Mecze[[#This Row],[BR]]/Mecze[[#This Row],[CZAS]])</f>
        <v>0</v>
      </c>
      <c r="S3341" s="44">
        <f>IF(Mecze[[#This Row],[Role]]="BR",SUMPRODUCT(Mecze[[#This Row],[/PR:90]:[/BR:90]],Brudnopis!$E$23:$J$23),0)</f>
        <v>0.6875</v>
      </c>
      <c r="T3341" s="44">
        <f>IF(Mecze[[#This Row],[Role]]&lt;&gt;"BR",SUMPRODUCT(Mecze[[#This Row],[/PR:90]:[/BR:90]],Brudnopis!$E$24:$J$24),0)</f>
        <v>0</v>
      </c>
      <c r="U3341" s="44">
        <f>IF(Mecze[[#This Row],[Role]]&lt;&gt;"BR",SUMPRODUCT(Mecze[[#This Row],[/PR:90]:[/BR:90]],Brudnopis!$E$25:$J$25),0)</f>
        <v>0</v>
      </c>
      <c r="V3341" s="44">
        <f>IF(Mecze[[#This Row],[Role]]&lt;&gt;"BR",SUMPRODUCT(Mecze[[#This Row],[/PR:90]:[/BR:90]],Brudnopis!$E$26:$J$26),0)</f>
        <v>0</v>
      </c>
      <c r="W3341" s="44">
        <f>IF(Mecze[[#This Row],[Role]]&lt;&gt;"BR",SUMPRODUCT(Mecze[[#This Row],[/PR:90]:[/BR:90]],Brudnopis!$E$27:$J$27),0)</f>
        <v>0</v>
      </c>
      <c r="X3341" s="44">
        <f>IF(Mecze[[#This Row],[Role]]&lt;&gt;"BR",SUMPRODUCT(Mecze[[#This Row],[/PR:90]:[/BR:90]],Brudnopis!$E$28:$J$28),0)</f>
        <v>0</v>
      </c>
      <c r="Y3341" s="35">
        <f>IF(Mecze[[#This Row],[Role]]="BR",Mecze[[#This Row],[/OB:90]]+Mecze[[#This Row],[/PC:90]],SUM(Mecze[[#This Row],[/PR:90]:[/BR:90]]))</f>
        <v>0.22916666666666666</v>
      </c>
      <c r="Z3341" s="35">
        <f>IF(Mecze[[#This Row],[KC]]=0,SUM(Mecze[[#This Row],[/BRI]:[/NPI]]),SUM(Mecze[[#This Row],[/BRI]:[/NPI]])*0.6)</f>
        <v>0.6875</v>
      </c>
      <c r="AA3341" s="10">
        <f>IFERROR(Mecze[[#This Row],[BR]]/Mecze[[#This Row],[ST]],0)</f>
        <v>0</v>
      </c>
      <c r="AB3341">
        <f>ROUND(Mecze[[#This Row],[PD]]*Mecze[[#This Row],[%PC]],0)</f>
        <v>11</v>
      </c>
      <c r="AC3341">
        <f>ROUND(Mecze[[#This Row],[OD]]*Mecze[[#This Row],[%OU]],0)</f>
        <v>0</v>
      </c>
      <c r="AD3341" s="36" t="s">
        <v>40</v>
      </c>
      <c r="AE3341" s="36">
        <v>186</v>
      </c>
      <c r="AF3341" s="71">
        <v>12.11</v>
      </c>
      <c r="AG3341" s="37">
        <v>0</v>
      </c>
      <c r="AH3341" s="37">
        <v>0</v>
      </c>
      <c r="AI3341" s="37">
        <v>96</v>
      </c>
      <c r="AJ3341" s="37">
        <v>11</v>
      </c>
      <c r="AK3341" s="37" t="str">
        <f>VLOOKUP(Mecze[[#This Row],[Match ID]],Meczusie[Mecz]:Meczusie[RodzajMeczu],2,FALSE)</f>
        <v>Liga</v>
      </c>
    </row>
    <row r="3342" spans="1:37" x14ac:dyDescent="0.25">
      <c r="A3342" s="76">
        <v>4</v>
      </c>
      <c r="B3342" s="3" t="s">
        <v>321</v>
      </c>
      <c r="C3342" s="2" t="s">
        <v>157</v>
      </c>
      <c r="D3342" s="1">
        <v>0</v>
      </c>
      <c r="E3342" s="1">
        <v>0</v>
      </c>
      <c r="F3342" s="1">
        <v>0</v>
      </c>
      <c r="G3342" s="1">
        <v>14</v>
      </c>
      <c r="H3342" s="4">
        <v>0.71</v>
      </c>
      <c r="I3342" s="1">
        <v>9</v>
      </c>
      <c r="J3342" s="4">
        <v>0.67</v>
      </c>
      <c r="K3342" s="1">
        <v>0</v>
      </c>
      <c r="L3342" s="1">
        <v>9</v>
      </c>
      <c r="M3342" s="32">
        <f>IF(Mecze[[#This Row],[PR]]=0,0,Mecze[[#This Row],[PR]]/Mecze[[#This Row],[CZAS]])</f>
        <v>9.375E-2</v>
      </c>
      <c r="N3342" s="32">
        <f>IF(Mecze[[#This Row],[OU]]=0,0,Mecze[[#This Row],[OU]]/Mecze[[#This Row],[CZAS]])</f>
        <v>6.25E-2</v>
      </c>
      <c r="O3342" s="32">
        <f>IF(Mecze[[#This Row],[PC]]=0,0,Mecze[[#This Row],[PC]]/Mecze[[#This Row],[CZAS]])</f>
        <v>0.10416666666666667</v>
      </c>
      <c r="P3342" s="32">
        <f>IF(Mecze[[#This Row],[SC]]=0,0,Mecze[[#This Row],[SC]]/Mecze[[#This Row],[CZAS]])</f>
        <v>0</v>
      </c>
      <c r="Q3342" s="32">
        <f>IF(Mecze[[#This Row],[OB]]=0,0,Mecze[[#This Row],[OB]]/Mecze[[#This Row],[CZAS]])</f>
        <v>0</v>
      </c>
      <c r="R3342" s="32">
        <f>IF(Mecze[[#This Row],[BR]]=0,0,Mecze[[#This Row],[BR]]/Mecze[[#This Row],[CZAS]])</f>
        <v>0</v>
      </c>
      <c r="S3342" s="44">
        <f>IF(Mecze[[#This Row],[Role]]="BR",SUMPRODUCT(Mecze[[#This Row],[/PR:90]:[/BR:90]],Brudnopis!$E$23:$J$23),0)</f>
        <v>0</v>
      </c>
      <c r="T3342" s="44">
        <f>IF(Mecze[[#This Row],[Role]]&lt;&gt;"BR",SUMPRODUCT(Mecze[[#This Row],[/PR:90]:[/BR:90]],Brudnopis!$E$24:$J$24),0)</f>
        <v>0.29166666666666669</v>
      </c>
      <c r="U3342" s="44">
        <f>IF(Mecze[[#This Row],[Role]]&lt;&gt;"BR",SUMPRODUCT(Mecze[[#This Row],[/PR:90]:[/BR:90]],Brudnopis!$E$25:$J$25),0)</f>
        <v>0.3125</v>
      </c>
      <c r="V3342" s="44">
        <f>IF(Mecze[[#This Row],[Role]]&lt;&gt;"BR",SUMPRODUCT(Mecze[[#This Row],[/PR:90]:[/BR:90]],Brudnopis!$E$26:$J$26),0)</f>
        <v>0.26041666666666669</v>
      </c>
      <c r="W3342" s="44">
        <f>IF(Mecze[[#This Row],[Role]]&lt;&gt;"BR",SUMPRODUCT(Mecze[[#This Row],[/PR:90]:[/BR:90]],Brudnopis!$E$27:$J$27),0)</f>
        <v>0.2734375</v>
      </c>
      <c r="X3342" s="44">
        <f>IF(Mecze[[#This Row],[Role]]&lt;&gt;"BR",SUMPRODUCT(Mecze[[#This Row],[/PR:90]:[/BR:90]],Brudnopis!$E$28:$J$28),0)</f>
        <v>0.10416666666666667</v>
      </c>
      <c r="Y3342" s="35">
        <f>IF(Mecze[[#This Row],[Role]]="BR",Mecze[[#This Row],[/OB:90]]+Mecze[[#This Row],[/PC:90]],SUM(Mecze[[#This Row],[/PR:90]:[/BR:90]]))</f>
        <v>0.26041666666666669</v>
      </c>
      <c r="Z3342" s="35">
        <f>IF(Mecze[[#This Row],[KC]]=0,SUM(Mecze[[#This Row],[/BRI]:[/NPI]]),SUM(Mecze[[#This Row],[/BRI]:[/NPI]])*0.6)</f>
        <v>1.2421875000000002</v>
      </c>
      <c r="AA3342" s="10">
        <f>IFERROR(Mecze[[#This Row],[BR]]/Mecze[[#This Row],[ST]],0)</f>
        <v>0</v>
      </c>
      <c r="AB3342">
        <f>ROUND(Mecze[[#This Row],[PD]]*Mecze[[#This Row],[%PC]],0)</f>
        <v>10</v>
      </c>
      <c r="AC3342">
        <f>ROUND(Mecze[[#This Row],[OD]]*Mecze[[#This Row],[%OU]],0)</f>
        <v>6</v>
      </c>
      <c r="AD3342" s="36" t="s">
        <v>47</v>
      </c>
      <c r="AE3342" s="36">
        <v>186</v>
      </c>
      <c r="AF3342" s="71">
        <v>10.050000000000001</v>
      </c>
      <c r="AG3342" s="37">
        <v>0</v>
      </c>
      <c r="AH3342" s="37">
        <v>0</v>
      </c>
      <c r="AI3342" s="37">
        <v>96</v>
      </c>
      <c r="AJ3342" s="37">
        <v>11</v>
      </c>
      <c r="AK3342" s="37" t="str">
        <f>VLOOKUP(Mecze[[#This Row],[Match ID]],Meczusie[Mecz]:Meczusie[RodzajMeczu],2,FALSE)</f>
        <v>Liga</v>
      </c>
    </row>
    <row r="3343" spans="1:37" x14ac:dyDescent="0.25">
      <c r="A3343" s="76">
        <v>7</v>
      </c>
      <c r="B3343" s="3" t="s">
        <v>322</v>
      </c>
      <c r="C3343" s="2" t="s">
        <v>157</v>
      </c>
      <c r="D3343" s="1">
        <v>0</v>
      </c>
      <c r="E3343" s="1">
        <v>0</v>
      </c>
      <c r="F3343" s="1">
        <v>0</v>
      </c>
      <c r="G3343" s="1">
        <v>7</v>
      </c>
      <c r="H3343" s="4">
        <v>0.56999999999999995</v>
      </c>
      <c r="I3343" s="1">
        <v>2</v>
      </c>
      <c r="J3343" s="4">
        <v>1</v>
      </c>
      <c r="K3343" s="1">
        <v>0</v>
      </c>
      <c r="L3343" s="1">
        <v>8</v>
      </c>
      <c r="M3343" s="32">
        <f>IF(Mecze[[#This Row],[PR]]=0,0,Mecze[[#This Row],[PR]]/Mecze[[#This Row],[CZAS]])</f>
        <v>8.3333333333333329E-2</v>
      </c>
      <c r="N3343" s="32">
        <f>IF(Mecze[[#This Row],[OU]]=0,0,Mecze[[#This Row],[OU]]/Mecze[[#This Row],[CZAS]])</f>
        <v>2.0833333333333332E-2</v>
      </c>
      <c r="O3343" s="32">
        <f>IF(Mecze[[#This Row],[PC]]=0,0,Mecze[[#This Row],[PC]]/Mecze[[#This Row],[CZAS]])</f>
        <v>4.1666666666666664E-2</v>
      </c>
      <c r="P3343" s="32">
        <f>IF(Mecze[[#This Row],[SC]]=0,0,Mecze[[#This Row],[SC]]/Mecze[[#This Row],[CZAS]])</f>
        <v>0</v>
      </c>
      <c r="Q3343" s="32">
        <f>IF(Mecze[[#This Row],[OB]]=0,0,Mecze[[#This Row],[OB]]/Mecze[[#This Row],[CZAS]])</f>
        <v>0</v>
      </c>
      <c r="R3343" s="32">
        <f>IF(Mecze[[#This Row],[BR]]=0,0,Mecze[[#This Row],[BR]]/Mecze[[#This Row],[CZAS]])</f>
        <v>0</v>
      </c>
      <c r="S3343" s="44">
        <f>IF(Mecze[[#This Row],[Role]]="BR",SUMPRODUCT(Mecze[[#This Row],[/PR:90]:[/BR:90]],Brudnopis!$E$23:$J$23),0)</f>
        <v>0</v>
      </c>
      <c r="T3343" s="44">
        <f>IF(Mecze[[#This Row],[Role]]&lt;&gt;"BR",SUMPRODUCT(Mecze[[#This Row],[/PR:90]:[/BR:90]],Brudnopis!$E$24:$J$24),0)</f>
        <v>0.15625</v>
      </c>
      <c r="U3343" s="44">
        <f>IF(Mecze[[#This Row],[Role]]&lt;&gt;"BR",SUMPRODUCT(Mecze[[#This Row],[/PR:90]:[/BR:90]],Brudnopis!$E$25:$J$25),0)</f>
        <v>0.16666666666666666</v>
      </c>
      <c r="V3343" s="44">
        <f>IF(Mecze[[#This Row],[Role]]&lt;&gt;"BR",SUMPRODUCT(Mecze[[#This Row],[/PR:90]:[/BR:90]],Brudnopis!$E$26:$J$26),0)</f>
        <v>0.14583333333333331</v>
      </c>
      <c r="W3343" s="44">
        <f>IF(Mecze[[#This Row],[Role]]&lt;&gt;"BR",SUMPRODUCT(Mecze[[#This Row],[/PR:90]:[/BR:90]],Brudnopis!$E$27:$J$27),0)</f>
        <v>0.140625</v>
      </c>
      <c r="X3343" s="44">
        <f>IF(Mecze[[#This Row],[Role]]&lt;&gt;"BR",SUMPRODUCT(Mecze[[#This Row],[/PR:90]:[/BR:90]],Brudnopis!$E$28:$J$28),0)</f>
        <v>4.1666666666666664E-2</v>
      </c>
      <c r="Y3343" s="35">
        <f>IF(Mecze[[#This Row],[Role]]="BR",Mecze[[#This Row],[/OB:90]]+Mecze[[#This Row],[/PC:90]],SUM(Mecze[[#This Row],[/PR:90]:[/BR:90]]))</f>
        <v>0.14583333333333331</v>
      </c>
      <c r="Z3343" s="35">
        <f>IF(Mecze[[#This Row],[KC]]=0,SUM(Mecze[[#This Row],[/BRI]:[/NPI]]),SUM(Mecze[[#This Row],[/BRI]:[/NPI]])*0.6)</f>
        <v>0.65104166666666663</v>
      </c>
      <c r="AA3343" s="10">
        <f>IFERROR(Mecze[[#This Row],[BR]]/Mecze[[#This Row],[ST]],0)</f>
        <v>0</v>
      </c>
      <c r="AB3343">
        <f>ROUND(Mecze[[#This Row],[PD]]*Mecze[[#This Row],[%PC]],0)</f>
        <v>4</v>
      </c>
      <c r="AC3343">
        <f>ROUND(Mecze[[#This Row],[OD]]*Mecze[[#This Row],[%OU]],0)</f>
        <v>2</v>
      </c>
      <c r="AD3343" s="36" t="s">
        <v>47</v>
      </c>
      <c r="AE3343" s="36">
        <v>186</v>
      </c>
      <c r="AF3343" s="71">
        <v>8.7200000000000006</v>
      </c>
      <c r="AG3343" s="37">
        <v>0</v>
      </c>
      <c r="AH3343" s="37">
        <v>0</v>
      </c>
      <c r="AI3343" s="37">
        <v>96</v>
      </c>
      <c r="AJ3343" s="37">
        <v>11</v>
      </c>
      <c r="AK3343" s="37" t="str">
        <f>VLOOKUP(Mecze[[#This Row],[Match ID]],Meczusie[Mecz]:Meczusie[RodzajMeczu],2,FALSE)</f>
        <v>Liga</v>
      </c>
    </row>
    <row r="3344" spans="1:37" x14ac:dyDescent="0.25">
      <c r="A3344" s="76">
        <v>2</v>
      </c>
      <c r="B3344" s="3" t="s">
        <v>392</v>
      </c>
      <c r="C3344" s="2" t="s">
        <v>157</v>
      </c>
      <c r="D3344" s="1">
        <v>0</v>
      </c>
      <c r="E3344" s="1">
        <v>0</v>
      </c>
      <c r="F3344" s="1">
        <v>0</v>
      </c>
      <c r="G3344" s="1">
        <v>4</v>
      </c>
      <c r="H3344" s="4">
        <v>0.75</v>
      </c>
      <c r="I3344" s="1">
        <v>2</v>
      </c>
      <c r="J3344" s="4">
        <v>0.5</v>
      </c>
      <c r="K3344" s="1">
        <v>0</v>
      </c>
      <c r="L3344" s="1">
        <v>1</v>
      </c>
      <c r="M3344" s="32">
        <f>IF(Mecze[[#This Row],[PR]]=0,0,Mecze[[#This Row],[PR]]/Mecze[[#This Row],[CZAS]])</f>
        <v>1.0416666666666666E-2</v>
      </c>
      <c r="N3344" s="32">
        <f>IF(Mecze[[#This Row],[OU]]=0,0,Mecze[[#This Row],[OU]]/Mecze[[#This Row],[CZAS]])</f>
        <v>1.0416666666666666E-2</v>
      </c>
      <c r="O3344" s="32">
        <f>IF(Mecze[[#This Row],[PC]]=0,0,Mecze[[#This Row],[PC]]/Mecze[[#This Row],[CZAS]])</f>
        <v>3.125E-2</v>
      </c>
      <c r="P3344" s="32">
        <f>IF(Mecze[[#This Row],[SC]]=0,0,Mecze[[#This Row],[SC]]/Mecze[[#This Row],[CZAS]])</f>
        <v>0</v>
      </c>
      <c r="Q3344" s="32">
        <f>IF(Mecze[[#This Row],[OB]]=0,0,Mecze[[#This Row],[OB]]/Mecze[[#This Row],[CZAS]])</f>
        <v>0</v>
      </c>
      <c r="R3344" s="32">
        <f>IF(Mecze[[#This Row],[BR]]=0,0,Mecze[[#This Row],[BR]]/Mecze[[#This Row],[CZAS]])</f>
        <v>0</v>
      </c>
      <c r="S3344" s="44">
        <f>IF(Mecze[[#This Row],[Role]]="BR",SUMPRODUCT(Mecze[[#This Row],[/PR:90]:[/BR:90]],Brudnopis!$E$23:$J$23),0)</f>
        <v>0</v>
      </c>
      <c r="T3344" s="44">
        <f>IF(Mecze[[#This Row],[Role]]&lt;&gt;"BR",SUMPRODUCT(Mecze[[#This Row],[/PR:90]:[/BR:90]],Brudnopis!$E$24:$J$24),0)</f>
        <v>5.7291666666666664E-2</v>
      </c>
      <c r="U3344" s="44">
        <f>IF(Mecze[[#This Row],[Role]]&lt;&gt;"BR",SUMPRODUCT(Mecze[[#This Row],[/PR:90]:[/BR:90]],Brudnopis!$E$25:$J$25),0)</f>
        <v>6.7708333333333329E-2</v>
      </c>
      <c r="V3344" s="44">
        <f>IF(Mecze[[#This Row],[Role]]&lt;&gt;"BR",SUMPRODUCT(Mecze[[#This Row],[/PR:90]:[/BR:90]],Brudnopis!$E$26:$J$26),0)</f>
        <v>5.2083333333333329E-2</v>
      </c>
      <c r="W3344" s="44">
        <f>IF(Mecze[[#This Row],[Role]]&lt;&gt;"BR",SUMPRODUCT(Mecze[[#This Row],[/PR:90]:[/BR:90]],Brudnopis!$E$27:$J$27),0)</f>
        <v>6.25E-2</v>
      </c>
      <c r="X3344" s="44">
        <f>IF(Mecze[[#This Row],[Role]]&lt;&gt;"BR",SUMPRODUCT(Mecze[[#This Row],[/PR:90]:[/BR:90]],Brudnopis!$E$28:$J$28),0)</f>
        <v>3.125E-2</v>
      </c>
      <c r="Y3344" s="35">
        <f>IF(Mecze[[#This Row],[Role]]="BR",Mecze[[#This Row],[/OB:90]]+Mecze[[#This Row],[/PC:90]],SUM(Mecze[[#This Row],[/PR:90]:[/BR:90]]))</f>
        <v>5.2083333333333329E-2</v>
      </c>
      <c r="Z3344" s="35">
        <f>IF(Mecze[[#This Row],[KC]]=0,SUM(Mecze[[#This Row],[/BRI]:[/NPI]]),SUM(Mecze[[#This Row],[/BRI]:[/NPI]])*0.6)</f>
        <v>0.27083333333333331</v>
      </c>
      <c r="AA3344" s="10">
        <f>IFERROR(Mecze[[#This Row],[BR]]/Mecze[[#This Row],[ST]],0)</f>
        <v>0</v>
      </c>
      <c r="AB3344">
        <f>ROUND(Mecze[[#This Row],[PD]]*Mecze[[#This Row],[%PC]],0)</f>
        <v>3</v>
      </c>
      <c r="AC3344">
        <f>ROUND(Mecze[[#This Row],[OD]]*Mecze[[#This Row],[%OU]],0)</f>
        <v>1</v>
      </c>
      <c r="AD3344" s="36" t="s">
        <v>175</v>
      </c>
      <c r="AE3344" s="36">
        <v>186</v>
      </c>
      <c r="AF3344" s="71">
        <v>7.25</v>
      </c>
      <c r="AG3344" s="37">
        <v>0</v>
      </c>
      <c r="AH3344" s="37">
        <v>0</v>
      </c>
      <c r="AI3344" s="37">
        <v>96</v>
      </c>
      <c r="AJ3344" s="37">
        <v>11</v>
      </c>
      <c r="AK3344" s="37" t="str">
        <f>VLOOKUP(Mecze[[#This Row],[Match ID]],Meczusie[Mecz]:Meczusie[RodzajMeczu],2,FALSE)</f>
        <v>Liga</v>
      </c>
    </row>
    <row r="3345" spans="1:37" x14ac:dyDescent="0.25">
      <c r="A3345" s="76">
        <v>6</v>
      </c>
      <c r="B3345" s="3" t="s">
        <v>324</v>
      </c>
      <c r="C3345" s="2" t="s">
        <v>157</v>
      </c>
      <c r="D3345" s="1">
        <v>0</v>
      </c>
      <c r="E3345" s="1">
        <v>0</v>
      </c>
      <c r="F3345" s="1">
        <v>0</v>
      </c>
      <c r="G3345" s="1">
        <v>17</v>
      </c>
      <c r="H3345" s="4">
        <v>0.65</v>
      </c>
      <c r="I3345" s="1">
        <v>17</v>
      </c>
      <c r="J3345" s="4">
        <v>0.65</v>
      </c>
      <c r="K3345" s="1">
        <v>0</v>
      </c>
      <c r="L3345" s="1">
        <v>18</v>
      </c>
      <c r="M3345" s="32">
        <f>IF(Mecze[[#This Row],[PR]]=0,0,Mecze[[#This Row],[PR]]/Mecze[[#This Row],[CZAS]])</f>
        <v>0.1875</v>
      </c>
      <c r="N3345" s="32">
        <f>IF(Mecze[[#This Row],[OU]]=0,0,Mecze[[#This Row],[OU]]/Mecze[[#This Row],[CZAS]])</f>
        <v>0.11458333333333333</v>
      </c>
      <c r="O3345" s="32">
        <f>IF(Mecze[[#This Row],[PC]]=0,0,Mecze[[#This Row],[PC]]/Mecze[[#This Row],[CZAS]])</f>
        <v>0.11458333333333333</v>
      </c>
      <c r="P3345" s="32">
        <f>IF(Mecze[[#This Row],[SC]]=0,0,Mecze[[#This Row],[SC]]/Mecze[[#This Row],[CZAS]])</f>
        <v>0</v>
      </c>
      <c r="Q3345" s="32">
        <f>IF(Mecze[[#This Row],[OB]]=0,0,Mecze[[#This Row],[OB]]/Mecze[[#This Row],[CZAS]])</f>
        <v>0</v>
      </c>
      <c r="R3345" s="32">
        <f>IF(Mecze[[#This Row],[BR]]=0,0,Mecze[[#This Row],[BR]]/Mecze[[#This Row],[CZAS]])</f>
        <v>0</v>
      </c>
      <c r="S3345" s="44">
        <f>IF(Mecze[[#This Row],[Role]]="BR",SUMPRODUCT(Mecze[[#This Row],[/PR:90]:[/BR:90]],Brudnopis!$E$23:$J$23),0)</f>
        <v>0</v>
      </c>
      <c r="T3345" s="44">
        <f>IF(Mecze[[#This Row],[Role]]&lt;&gt;"BR",SUMPRODUCT(Mecze[[#This Row],[/PR:90]:[/BR:90]],Brudnopis!$E$24:$J$24),0)</f>
        <v>0.47395833333333331</v>
      </c>
      <c r="U3345" s="44">
        <f>IF(Mecze[[#This Row],[Role]]&lt;&gt;"BR",SUMPRODUCT(Mecze[[#This Row],[/PR:90]:[/BR:90]],Brudnopis!$E$25:$J$25),0)</f>
        <v>0.47395833333333331</v>
      </c>
      <c r="V3345" s="44">
        <f>IF(Mecze[[#This Row],[Role]]&lt;&gt;"BR",SUMPRODUCT(Mecze[[#This Row],[/PR:90]:[/BR:90]],Brudnopis!$E$26:$J$26),0)</f>
        <v>0.41666666666666663</v>
      </c>
      <c r="W3345" s="44">
        <f>IF(Mecze[[#This Row],[Role]]&lt;&gt;"BR",SUMPRODUCT(Mecze[[#This Row],[/PR:90]:[/BR:90]],Brudnopis!$E$27:$J$27),0)</f>
        <v>0.3984375</v>
      </c>
      <c r="X3345" s="44">
        <f>IF(Mecze[[#This Row],[Role]]&lt;&gt;"BR",SUMPRODUCT(Mecze[[#This Row],[/PR:90]:[/BR:90]],Brudnopis!$E$28:$J$28),0)</f>
        <v>0.11458333333333333</v>
      </c>
      <c r="Y3345" s="35">
        <f>IF(Mecze[[#This Row],[Role]]="BR",Mecze[[#This Row],[/OB:90]]+Mecze[[#This Row],[/PC:90]],SUM(Mecze[[#This Row],[/PR:90]:[/BR:90]]))</f>
        <v>0.41666666666666663</v>
      </c>
      <c r="Z3345" s="35">
        <f>IF(Mecze[[#This Row],[KC]]=0,SUM(Mecze[[#This Row],[/BRI]:[/NPI]]),SUM(Mecze[[#This Row],[/BRI]:[/NPI]])*0.6)</f>
        <v>1.8776041666666665</v>
      </c>
      <c r="AA3345" s="10">
        <f>IFERROR(Mecze[[#This Row],[BR]]/Mecze[[#This Row],[ST]],0)</f>
        <v>0</v>
      </c>
      <c r="AB3345">
        <f>ROUND(Mecze[[#This Row],[PD]]*Mecze[[#This Row],[%PC]],0)</f>
        <v>11</v>
      </c>
      <c r="AC3345">
        <f>ROUND(Mecze[[#This Row],[OD]]*Mecze[[#This Row],[%OU]],0)</f>
        <v>11</v>
      </c>
      <c r="AD3345" s="36" t="s">
        <v>174</v>
      </c>
      <c r="AE3345" s="36">
        <v>186</v>
      </c>
      <c r="AF3345" s="71">
        <v>11.94</v>
      </c>
      <c r="AG3345" s="37">
        <v>0</v>
      </c>
      <c r="AH3345" s="37">
        <v>0</v>
      </c>
      <c r="AI3345" s="37">
        <v>96</v>
      </c>
      <c r="AJ3345" s="37">
        <v>11</v>
      </c>
      <c r="AK3345" s="37" t="str">
        <f>VLOOKUP(Mecze[[#This Row],[Match ID]],Meczusie[Mecz]:Meczusie[RodzajMeczu],2,FALSE)</f>
        <v>Liga</v>
      </c>
    </row>
    <row r="3346" spans="1:37" x14ac:dyDescent="0.25">
      <c r="A3346" s="76">
        <v>5</v>
      </c>
      <c r="B3346" s="3" t="s">
        <v>325</v>
      </c>
      <c r="C3346" s="2" t="s">
        <v>160</v>
      </c>
      <c r="D3346" s="1">
        <v>0</v>
      </c>
      <c r="E3346" s="1">
        <v>0</v>
      </c>
      <c r="F3346" s="1">
        <v>0</v>
      </c>
      <c r="G3346" s="1">
        <v>5</v>
      </c>
      <c r="H3346" s="4">
        <v>0.6</v>
      </c>
      <c r="I3346" s="1">
        <v>1</v>
      </c>
      <c r="J3346" s="4">
        <v>0</v>
      </c>
      <c r="K3346" s="1">
        <v>0</v>
      </c>
      <c r="L3346" s="1">
        <v>1</v>
      </c>
      <c r="M3346" s="32">
        <f>IF(Mecze[[#This Row],[PR]]=0,0,Mecze[[#This Row],[PR]]/Mecze[[#This Row],[CZAS]])</f>
        <v>1.0416666666666666E-2</v>
      </c>
      <c r="N3346" s="32">
        <f>IF(Mecze[[#This Row],[OU]]=0,0,Mecze[[#This Row],[OU]]/Mecze[[#This Row],[CZAS]])</f>
        <v>0</v>
      </c>
      <c r="O3346" s="32">
        <f>IF(Mecze[[#This Row],[PC]]=0,0,Mecze[[#This Row],[PC]]/Mecze[[#This Row],[CZAS]])</f>
        <v>3.125E-2</v>
      </c>
      <c r="P3346" s="32">
        <f>IF(Mecze[[#This Row],[SC]]=0,0,Mecze[[#This Row],[SC]]/Mecze[[#This Row],[CZAS]])</f>
        <v>0</v>
      </c>
      <c r="Q3346" s="32">
        <f>IF(Mecze[[#This Row],[OB]]=0,0,Mecze[[#This Row],[OB]]/Mecze[[#This Row],[CZAS]])</f>
        <v>0</v>
      </c>
      <c r="R3346" s="32">
        <f>IF(Mecze[[#This Row],[BR]]=0,0,Mecze[[#This Row],[BR]]/Mecze[[#This Row],[CZAS]])</f>
        <v>0</v>
      </c>
      <c r="S3346" s="44">
        <f>IF(Mecze[[#This Row],[Role]]="BR",SUMPRODUCT(Mecze[[#This Row],[/PR:90]:[/BR:90]],Brudnopis!$E$23:$J$23),0)</f>
        <v>0</v>
      </c>
      <c r="T3346" s="44">
        <f>IF(Mecze[[#This Row],[Role]]&lt;&gt;"BR",SUMPRODUCT(Mecze[[#This Row],[/PR:90]:[/BR:90]],Brudnopis!$E$24:$J$24),0)</f>
        <v>4.1666666666666664E-2</v>
      </c>
      <c r="U3346" s="44">
        <f>IF(Mecze[[#This Row],[Role]]&lt;&gt;"BR",SUMPRODUCT(Mecze[[#This Row],[/PR:90]:[/BR:90]],Brudnopis!$E$25:$J$25),0)</f>
        <v>5.7291666666666664E-2</v>
      </c>
      <c r="V3346" s="44">
        <f>IF(Mecze[[#This Row],[Role]]&lt;&gt;"BR",SUMPRODUCT(Mecze[[#This Row],[/PR:90]:[/BR:90]],Brudnopis!$E$26:$J$26),0)</f>
        <v>4.1666666666666664E-2</v>
      </c>
      <c r="W3346" s="44">
        <f>IF(Mecze[[#This Row],[Role]]&lt;&gt;"BR",SUMPRODUCT(Mecze[[#This Row],[/PR:90]:[/BR:90]],Brudnopis!$E$27:$J$27),0)</f>
        <v>5.46875E-2</v>
      </c>
      <c r="X3346" s="44">
        <f>IF(Mecze[[#This Row],[Role]]&lt;&gt;"BR",SUMPRODUCT(Mecze[[#This Row],[/PR:90]:[/BR:90]],Brudnopis!$E$28:$J$28),0)</f>
        <v>3.125E-2</v>
      </c>
      <c r="Y3346" s="35">
        <f>IF(Mecze[[#This Row],[Role]]="BR",Mecze[[#This Row],[/OB:90]]+Mecze[[#This Row],[/PC:90]],SUM(Mecze[[#This Row],[/PR:90]:[/BR:90]]))</f>
        <v>4.1666666666666664E-2</v>
      </c>
      <c r="Z3346" s="35">
        <f>IF(Mecze[[#This Row],[KC]]=0,SUM(Mecze[[#This Row],[/BRI]:[/NPI]]),SUM(Mecze[[#This Row],[/BRI]:[/NPI]])*0.6)</f>
        <v>0.2265625</v>
      </c>
      <c r="AA3346" s="10">
        <f>IFERROR(Mecze[[#This Row],[BR]]/Mecze[[#This Row],[ST]],0)</f>
        <v>0</v>
      </c>
      <c r="AB3346">
        <f>ROUND(Mecze[[#This Row],[PD]]*Mecze[[#This Row],[%PC]],0)</f>
        <v>3</v>
      </c>
      <c r="AC3346">
        <f>ROUND(Mecze[[#This Row],[OD]]*Mecze[[#This Row],[%OU]],0)</f>
        <v>0</v>
      </c>
      <c r="AD3346" s="36" t="s">
        <v>41</v>
      </c>
      <c r="AE3346" s="36">
        <v>186</v>
      </c>
      <c r="AF3346" s="71">
        <v>8.4600000000000009</v>
      </c>
      <c r="AG3346" s="37">
        <v>0</v>
      </c>
      <c r="AH3346" s="37">
        <v>0</v>
      </c>
      <c r="AI3346" s="37">
        <v>96</v>
      </c>
      <c r="AJ3346" s="37">
        <v>11</v>
      </c>
      <c r="AK3346" s="37" t="str">
        <f>VLOOKUP(Mecze[[#This Row],[Match ID]],Meczusie[Mecz]:Meczusie[RodzajMeczu],2,FALSE)</f>
        <v>Liga</v>
      </c>
    </row>
    <row r="3347" spans="1:37" x14ac:dyDescent="0.25">
      <c r="A3347" s="76">
        <v>8</v>
      </c>
      <c r="B3347" s="3" t="s">
        <v>326</v>
      </c>
      <c r="C3347" s="2" t="s">
        <v>160</v>
      </c>
      <c r="D3347" s="1">
        <v>0</v>
      </c>
      <c r="E3347" s="1">
        <v>0</v>
      </c>
      <c r="F3347" s="1">
        <v>0</v>
      </c>
      <c r="G3347" s="1">
        <v>10</v>
      </c>
      <c r="H3347" s="4">
        <v>0.7</v>
      </c>
      <c r="I3347" s="1">
        <v>1</v>
      </c>
      <c r="J3347" s="4">
        <v>0</v>
      </c>
      <c r="K3347" s="1">
        <v>0</v>
      </c>
      <c r="L3347" s="1">
        <v>0</v>
      </c>
      <c r="M3347" s="32">
        <f>IF(Mecze[[#This Row],[PR]]=0,0,Mecze[[#This Row],[PR]]/Mecze[[#This Row],[CZAS]])</f>
        <v>0</v>
      </c>
      <c r="N3347" s="32">
        <f>IF(Mecze[[#This Row],[OU]]=0,0,Mecze[[#This Row],[OU]]/Mecze[[#This Row],[CZAS]])</f>
        <v>0</v>
      </c>
      <c r="O3347" s="32">
        <f>IF(Mecze[[#This Row],[PC]]=0,0,Mecze[[#This Row],[PC]]/Mecze[[#This Row],[CZAS]])</f>
        <v>7.2916666666666671E-2</v>
      </c>
      <c r="P3347" s="32">
        <f>IF(Mecze[[#This Row],[SC]]=0,0,Mecze[[#This Row],[SC]]/Mecze[[#This Row],[CZAS]])</f>
        <v>0</v>
      </c>
      <c r="Q3347" s="32">
        <f>IF(Mecze[[#This Row],[OB]]=0,0,Mecze[[#This Row],[OB]]/Mecze[[#This Row],[CZAS]])</f>
        <v>0</v>
      </c>
      <c r="R3347" s="32">
        <f>IF(Mecze[[#This Row],[BR]]=0,0,Mecze[[#This Row],[BR]]/Mecze[[#This Row],[CZAS]])</f>
        <v>0</v>
      </c>
      <c r="S3347" s="44">
        <f>IF(Mecze[[#This Row],[Role]]="BR",SUMPRODUCT(Mecze[[#This Row],[/PR:90]:[/BR:90]],Brudnopis!$E$23:$J$23),0)</f>
        <v>0</v>
      </c>
      <c r="T3347" s="44">
        <f>IF(Mecze[[#This Row],[Role]]&lt;&gt;"BR",SUMPRODUCT(Mecze[[#This Row],[/PR:90]:[/BR:90]],Brudnopis!$E$24:$J$24),0)</f>
        <v>7.2916666666666671E-2</v>
      </c>
      <c r="U3347" s="44">
        <f>IF(Mecze[[#This Row],[Role]]&lt;&gt;"BR",SUMPRODUCT(Mecze[[#This Row],[/PR:90]:[/BR:90]],Brudnopis!$E$25:$J$25),0)</f>
        <v>0.109375</v>
      </c>
      <c r="V3347" s="44">
        <f>IF(Mecze[[#This Row],[Role]]&lt;&gt;"BR",SUMPRODUCT(Mecze[[#This Row],[/PR:90]:[/BR:90]],Brudnopis!$E$26:$J$26),0)</f>
        <v>7.2916666666666671E-2</v>
      </c>
      <c r="W3347" s="44">
        <f>IF(Mecze[[#This Row],[Role]]&lt;&gt;"BR",SUMPRODUCT(Mecze[[#This Row],[/PR:90]:[/BR:90]],Brudnopis!$E$27:$J$27),0)</f>
        <v>0.109375</v>
      </c>
      <c r="X3347" s="44">
        <f>IF(Mecze[[#This Row],[Role]]&lt;&gt;"BR",SUMPRODUCT(Mecze[[#This Row],[/PR:90]:[/BR:90]],Brudnopis!$E$28:$J$28),0)</f>
        <v>7.2916666666666671E-2</v>
      </c>
      <c r="Y3347" s="35">
        <f>IF(Mecze[[#This Row],[Role]]="BR",Mecze[[#This Row],[/OB:90]]+Mecze[[#This Row],[/PC:90]],SUM(Mecze[[#This Row],[/PR:90]:[/BR:90]]))</f>
        <v>7.2916666666666671E-2</v>
      </c>
      <c r="Z3347" s="35">
        <f>IF(Mecze[[#This Row],[KC]]=0,SUM(Mecze[[#This Row],[/BRI]:[/NPI]]),SUM(Mecze[[#This Row],[/BRI]:[/NPI]])*0.6)</f>
        <v>0.43750000000000006</v>
      </c>
      <c r="AA3347" s="10">
        <f>IFERROR(Mecze[[#This Row],[BR]]/Mecze[[#This Row],[ST]],0)</f>
        <v>0</v>
      </c>
      <c r="AB3347">
        <f>ROUND(Mecze[[#This Row],[PD]]*Mecze[[#This Row],[%PC]],0)</f>
        <v>7</v>
      </c>
      <c r="AC3347">
        <f>ROUND(Mecze[[#This Row],[OD]]*Mecze[[#This Row],[%OU]],0)</f>
        <v>0</v>
      </c>
      <c r="AD3347" s="36" t="s">
        <v>318</v>
      </c>
      <c r="AE3347" s="36">
        <v>186</v>
      </c>
      <c r="AF3347" s="71">
        <v>8.25</v>
      </c>
      <c r="AG3347" s="37">
        <v>0</v>
      </c>
      <c r="AH3347" s="37">
        <v>0</v>
      </c>
      <c r="AI3347" s="37">
        <v>96</v>
      </c>
      <c r="AJ3347" s="37">
        <v>11</v>
      </c>
      <c r="AK3347" s="37" t="str">
        <f>VLOOKUP(Mecze[[#This Row],[Match ID]],Meczusie[Mecz]:Meczusie[RodzajMeczu],2,FALSE)</f>
        <v>Liga</v>
      </c>
    </row>
    <row r="3348" spans="1:37" x14ac:dyDescent="0.25">
      <c r="A3348" s="76">
        <v>9</v>
      </c>
      <c r="B3348" s="3" t="s">
        <v>327</v>
      </c>
      <c r="C3348" s="2" t="s">
        <v>160</v>
      </c>
      <c r="D3348" s="1">
        <v>1</v>
      </c>
      <c r="E3348" s="1">
        <v>5</v>
      </c>
      <c r="F3348" s="1">
        <v>5</v>
      </c>
      <c r="G3348" s="1">
        <v>7</v>
      </c>
      <c r="H3348" s="4">
        <v>0.43</v>
      </c>
      <c r="I3348" s="1">
        <v>2</v>
      </c>
      <c r="J3348" s="4">
        <v>1</v>
      </c>
      <c r="K3348" s="1">
        <v>0</v>
      </c>
      <c r="L3348" s="1">
        <v>1</v>
      </c>
      <c r="M3348" s="32">
        <f>IF(Mecze[[#This Row],[PR]]=0,0,Mecze[[#This Row],[PR]]/Mecze[[#This Row],[CZAS]])</f>
        <v>1.0416666666666666E-2</v>
      </c>
      <c r="N3348" s="32">
        <f>IF(Mecze[[#This Row],[OU]]=0,0,Mecze[[#This Row],[OU]]/Mecze[[#This Row],[CZAS]])</f>
        <v>2.0833333333333332E-2</v>
      </c>
      <c r="O3348" s="32">
        <f>IF(Mecze[[#This Row],[PC]]=0,0,Mecze[[#This Row],[PC]]/Mecze[[#This Row],[CZAS]])</f>
        <v>3.125E-2</v>
      </c>
      <c r="P3348" s="32">
        <f>IF(Mecze[[#This Row],[SC]]=0,0,Mecze[[#This Row],[SC]]/Mecze[[#This Row],[CZAS]])</f>
        <v>5.2083333333333336E-2</v>
      </c>
      <c r="Q3348" s="32">
        <f>IF(Mecze[[#This Row],[OB]]=0,0,Mecze[[#This Row],[OB]]/Mecze[[#This Row],[CZAS]])</f>
        <v>0</v>
      </c>
      <c r="R3348" s="32">
        <f>IF(Mecze[[#This Row],[BR]]=0,0,Mecze[[#This Row],[BR]]/Mecze[[#This Row],[CZAS]])</f>
        <v>1.0416666666666666E-2</v>
      </c>
      <c r="S3348" s="44">
        <f>IF(Mecze[[#This Row],[Role]]="BR",SUMPRODUCT(Mecze[[#This Row],[/PR:90]:[/BR:90]],Brudnopis!$E$23:$J$23),0)</f>
        <v>0</v>
      </c>
      <c r="T3348" s="44">
        <f>IF(Mecze[[#This Row],[Role]]&lt;&gt;"BR",SUMPRODUCT(Mecze[[#This Row],[/PR:90]:[/BR:90]],Brudnopis!$E$24:$J$24),0)</f>
        <v>0.140625</v>
      </c>
      <c r="U3348" s="44">
        <f>IF(Mecze[[#This Row],[Role]]&lt;&gt;"BR",SUMPRODUCT(Mecze[[#This Row],[/PR:90]:[/BR:90]],Brudnopis!$E$25:$J$25),0)</f>
        <v>0.14583333333333334</v>
      </c>
      <c r="V3348" s="44">
        <f>IF(Mecze[[#This Row],[Role]]&lt;&gt;"BR",SUMPRODUCT(Mecze[[#This Row],[/PR:90]:[/BR:90]],Brudnopis!$E$26:$J$26),0)</f>
        <v>0.13541666666666669</v>
      </c>
      <c r="W3348" s="44">
        <f>IF(Mecze[[#This Row],[Role]]&lt;&gt;"BR",SUMPRODUCT(Mecze[[#This Row],[/PR:90]:[/BR:90]],Brudnopis!$E$27:$J$27),0)</f>
        <v>0.14322916666666669</v>
      </c>
      <c r="X3348" s="44">
        <f>IF(Mecze[[#This Row],[Role]]&lt;&gt;"BR",SUMPRODUCT(Mecze[[#This Row],[/PR:90]:[/BR:90]],Brudnopis!$E$28:$J$28),0)</f>
        <v>0.16666666666666669</v>
      </c>
      <c r="Y3348" s="35">
        <f>IF(Mecze[[#This Row],[Role]]="BR",Mecze[[#This Row],[/OB:90]]+Mecze[[#This Row],[/PC:90]],SUM(Mecze[[#This Row],[/PR:90]:[/BR:90]]))</f>
        <v>0.125</v>
      </c>
      <c r="Z3348" s="35">
        <f>IF(Mecze[[#This Row],[KC]]=0,SUM(Mecze[[#This Row],[/BRI]:[/NPI]]),SUM(Mecze[[#This Row],[/BRI]:[/NPI]])*0.6)</f>
        <v>0.73177083333333348</v>
      </c>
      <c r="AA3348" s="10">
        <f>IFERROR(Mecze[[#This Row],[BR]]/Mecze[[#This Row],[ST]],0)</f>
        <v>0.2</v>
      </c>
      <c r="AB3348">
        <f>ROUND(Mecze[[#This Row],[PD]]*Mecze[[#This Row],[%PC]],0)</f>
        <v>3</v>
      </c>
      <c r="AC3348">
        <f>ROUND(Mecze[[#This Row],[OD]]*Mecze[[#This Row],[%OU]],0)</f>
        <v>2</v>
      </c>
      <c r="AD3348" s="36" t="s">
        <v>44</v>
      </c>
      <c r="AE3348" s="36">
        <v>186</v>
      </c>
      <c r="AF3348" s="71">
        <v>10.51</v>
      </c>
      <c r="AG3348" s="37">
        <v>0</v>
      </c>
      <c r="AH3348" s="37">
        <v>0</v>
      </c>
      <c r="AI3348" s="37">
        <v>96</v>
      </c>
      <c r="AJ3348" s="37">
        <v>11</v>
      </c>
      <c r="AK3348" s="37" t="str">
        <f>VLOOKUP(Mecze[[#This Row],[Match ID]],Meczusie[Mecz]:Meczusie[RodzajMeczu],2,FALSE)</f>
        <v>Liga</v>
      </c>
    </row>
    <row r="3349" spans="1:37" x14ac:dyDescent="0.25">
      <c r="A3349" s="76">
        <v>10</v>
      </c>
      <c r="B3349" s="3" t="s">
        <v>328</v>
      </c>
      <c r="C3349" s="2" t="s">
        <v>165</v>
      </c>
      <c r="D3349" s="1">
        <v>1</v>
      </c>
      <c r="E3349" s="1">
        <v>2</v>
      </c>
      <c r="F3349" s="1">
        <v>2</v>
      </c>
      <c r="G3349" s="1">
        <v>11</v>
      </c>
      <c r="H3349" s="4">
        <v>0.82</v>
      </c>
      <c r="I3349" s="1">
        <v>1</v>
      </c>
      <c r="J3349" s="4">
        <v>1</v>
      </c>
      <c r="K3349" s="1">
        <v>0</v>
      </c>
      <c r="L3349" s="1">
        <v>1</v>
      </c>
      <c r="M3349" s="32">
        <f>IF(Mecze[[#This Row],[PR]]=0,0,Mecze[[#This Row],[PR]]/Mecze[[#This Row],[CZAS]])</f>
        <v>1.0416666666666666E-2</v>
      </c>
      <c r="N3349" s="32">
        <f>IF(Mecze[[#This Row],[OU]]=0,0,Mecze[[#This Row],[OU]]/Mecze[[#This Row],[CZAS]])</f>
        <v>1.0416666666666666E-2</v>
      </c>
      <c r="O3349" s="32">
        <f>IF(Mecze[[#This Row],[PC]]=0,0,Mecze[[#This Row],[PC]]/Mecze[[#This Row],[CZAS]])</f>
        <v>9.375E-2</v>
      </c>
      <c r="P3349" s="32">
        <f>IF(Mecze[[#This Row],[SC]]=0,0,Mecze[[#This Row],[SC]]/Mecze[[#This Row],[CZAS]])</f>
        <v>2.0833333333333332E-2</v>
      </c>
      <c r="Q3349" s="32">
        <f>IF(Mecze[[#This Row],[OB]]=0,0,Mecze[[#This Row],[OB]]/Mecze[[#This Row],[CZAS]])</f>
        <v>0</v>
      </c>
      <c r="R3349" s="32">
        <f>IF(Mecze[[#This Row],[BR]]=0,0,Mecze[[#This Row],[BR]]/Mecze[[#This Row],[CZAS]])</f>
        <v>1.0416666666666666E-2</v>
      </c>
      <c r="S3349" s="44">
        <f>IF(Mecze[[#This Row],[Role]]="BR",SUMPRODUCT(Mecze[[#This Row],[/PR:90]:[/BR:90]],Brudnopis!$E$23:$J$23),0)</f>
        <v>0</v>
      </c>
      <c r="T3349" s="44">
        <f>IF(Mecze[[#This Row],[Role]]&lt;&gt;"BR",SUMPRODUCT(Mecze[[#This Row],[/PR:90]:[/BR:90]],Brudnopis!$E$24:$J$24),0)</f>
        <v>0.15625</v>
      </c>
      <c r="U3349" s="44">
        <f>IF(Mecze[[#This Row],[Role]]&lt;&gt;"BR",SUMPRODUCT(Mecze[[#This Row],[/PR:90]:[/BR:90]],Brudnopis!$E$25:$J$25),0)</f>
        <v>0.19791666666666669</v>
      </c>
      <c r="V3349" s="44">
        <f>IF(Mecze[[#This Row],[Role]]&lt;&gt;"BR",SUMPRODUCT(Mecze[[#This Row],[/PR:90]:[/BR:90]],Brudnopis!$E$26:$J$26),0)</f>
        <v>0.15625</v>
      </c>
      <c r="W3349" s="44">
        <f>IF(Mecze[[#This Row],[Role]]&lt;&gt;"BR",SUMPRODUCT(Mecze[[#This Row],[/PR:90]:[/BR:90]],Brudnopis!$E$27:$J$27),0)</f>
        <v>0.19791666666666669</v>
      </c>
      <c r="X3349" s="44">
        <f>IF(Mecze[[#This Row],[Role]]&lt;&gt;"BR",SUMPRODUCT(Mecze[[#This Row],[/PR:90]:[/BR:90]],Brudnopis!$E$28:$J$28),0)</f>
        <v>0.16666666666666666</v>
      </c>
      <c r="Y3349" s="35">
        <f>IF(Mecze[[#This Row],[Role]]="BR",Mecze[[#This Row],[/OB:90]]+Mecze[[#This Row],[/PC:90]],SUM(Mecze[[#This Row],[/PR:90]:[/BR:90]]))</f>
        <v>0.14583333333333331</v>
      </c>
      <c r="Z3349" s="35">
        <f>IF(Mecze[[#This Row],[KC]]=0,SUM(Mecze[[#This Row],[/BRI]:[/NPI]]),SUM(Mecze[[#This Row],[/BRI]:[/NPI]])*0.6)</f>
        <v>0.87500000000000011</v>
      </c>
      <c r="AA3349" s="10">
        <f>IFERROR(Mecze[[#This Row],[BR]]/Mecze[[#This Row],[ST]],0)</f>
        <v>0.5</v>
      </c>
      <c r="AB3349">
        <f>ROUND(Mecze[[#This Row],[PD]]*Mecze[[#This Row],[%PC]],0)</f>
        <v>9</v>
      </c>
      <c r="AC3349">
        <f>ROUND(Mecze[[#This Row],[OD]]*Mecze[[#This Row],[%OU]],0)</f>
        <v>1</v>
      </c>
      <c r="AD3349" s="36" t="s">
        <v>46</v>
      </c>
      <c r="AE3349" s="36">
        <v>186</v>
      </c>
      <c r="AF3349" s="71">
        <v>8.92</v>
      </c>
      <c r="AG3349" s="37">
        <v>0</v>
      </c>
      <c r="AH3349" s="37">
        <v>0</v>
      </c>
      <c r="AI3349" s="37">
        <v>96</v>
      </c>
      <c r="AJ3349" s="37">
        <v>11</v>
      </c>
      <c r="AK3349" s="37" t="str">
        <f>VLOOKUP(Mecze[[#This Row],[Match ID]],Meczusie[Mecz]:Meczusie[RodzajMeczu],2,FALSE)</f>
        <v>Liga</v>
      </c>
    </row>
    <row r="3350" spans="1:37" x14ac:dyDescent="0.25">
      <c r="A3350" s="76">
        <v>11</v>
      </c>
      <c r="B3350" s="3" t="s">
        <v>329</v>
      </c>
      <c r="C3350" s="2" t="s">
        <v>165</v>
      </c>
      <c r="D3350" s="1">
        <v>0</v>
      </c>
      <c r="E3350" s="1">
        <v>0</v>
      </c>
      <c r="F3350" s="1">
        <v>0</v>
      </c>
      <c r="G3350" s="1">
        <v>8</v>
      </c>
      <c r="H3350" s="4">
        <v>0.5</v>
      </c>
      <c r="I3350" s="1">
        <v>0</v>
      </c>
      <c r="J3350" s="4"/>
      <c r="K3350" s="1">
        <v>0</v>
      </c>
      <c r="L3350" s="1">
        <v>0</v>
      </c>
      <c r="M3350" s="32">
        <f>IF(Mecze[[#This Row],[PR]]=0,0,Mecze[[#This Row],[PR]]/Mecze[[#This Row],[CZAS]])</f>
        <v>0</v>
      </c>
      <c r="N3350" s="32">
        <f>IF(Mecze[[#This Row],[OU]]=0,0,Mecze[[#This Row],[OU]]/Mecze[[#This Row],[CZAS]])</f>
        <v>0</v>
      </c>
      <c r="O3350" s="32">
        <f>IF(Mecze[[#This Row],[PC]]=0,0,Mecze[[#This Row],[PC]]/Mecze[[#This Row],[CZAS]])</f>
        <v>4.1666666666666664E-2</v>
      </c>
      <c r="P3350" s="32">
        <f>IF(Mecze[[#This Row],[SC]]=0,0,Mecze[[#This Row],[SC]]/Mecze[[#This Row],[CZAS]])</f>
        <v>0</v>
      </c>
      <c r="Q3350" s="32">
        <f>IF(Mecze[[#This Row],[OB]]=0,0,Mecze[[#This Row],[OB]]/Mecze[[#This Row],[CZAS]])</f>
        <v>0</v>
      </c>
      <c r="R3350" s="32">
        <f>IF(Mecze[[#This Row],[BR]]=0,0,Mecze[[#This Row],[BR]]/Mecze[[#This Row],[CZAS]])</f>
        <v>0</v>
      </c>
      <c r="S3350" s="44">
        <f>IF(Mecze[[#This Row],[Role]]="BR",SUMPRODUCT(Mecze[[#This Row],[/PR:90]:[/BR:90]],Brudnopis!$E$23:$J$23),0)</f>
        <v>0</v>
      </c>
      <c r="T3350" s="44">
        <f>IF(Mecze[[#This Row],[Role]]&lt;&gt;"BR",SUMPRODUCT(Mecze[[#This Row],[/PR:90]:[/BR:90]],Brudnopis!$E$24:$J$24),0)</f>
        <v>4.1666666666666664E-2</v>
      </c>
      <c r="U3350" s="44">
        <f>IF(Mecze[[#This Row],[Role]]&lt;&gt;"BR",SUMPRODUCT(Mecze[[#This Row],[/PR:90]:[/BR:90]],Brudnopis!$E$25:$J$25),0)</f>
        <v>6.25E-2</v>
      </c>
      <c r="V3350" s="44">
        <f>IF(Mecze[[#This Row],[Role]]&lt;&gt;"BR",SUMPRODUCT(Mecze[[#This Row],[/PR:90]:[/BR:90]],Brudnopis!$E$26:$J$26),0)</f>
        <v>4.1666666666666664E-2</v>
      </c>
      <c r="W3350" s="44">
        <f>IF(Mecze[[#This Row],[Role]]&lt;&gt;"BR",SUMPRODUCT(Mecze[[#This Row],[/PR:90]:[/BR:90]],Brudnopis!$E$27:$J$27),0)</f>
        <v>6.25E-2</v>
      </c>
      <c r="X3350" s="44">
        <f>IF(Mecze[[#This Row],[Role]]&lt;&gt;"BR",SUMPRODUCT(Mecze[[#This Row],[/PR:90]:[/BR:90]],Brudnopis!$E$28:$J$28),0)</f>
        <v>4.1666666666666664E-2</v>
      </c>
      <c r="Y3350" s="35">
        <f>IF(Mecze[[#This Row],[Role]]="BR",Mecze[[#This Row],[/OB:90]]+Mecze[[#This Row],[/PC:90]],SUM(Mecze[[#This Row],[/PR:90]:[/BR:90]]))</f>
        <v>4.1666666666666664E-2</v>
      </c>
      <c r="Z3350" s="35">
        <f>IF(Mecze[[#This Row],[KC]]=0,SUM(Mecze[[#This Row],[/BRI]:[/NPI]]),SUM(Mecze[[#This Row],[/BRI]:[/NPI]])*0.6)</f>
        <v>0.24999999999999997</v>
      </c>
      <c r="AA3350" s="10">
        <f>IFERROR(Mecze[[#This Row],[BR]]/Mecze[[#This Row],[ST]],0)</f>
        <v>0</v>
      </c>
      <c r="AB3350">
        <f>ROUND(Mecze[[#This Row],[PD]]*Mecze[[#This Row],[%PC]],0)</f>
        <v>4</v>
      </c>
      <c r="AC3350">
        <f>ROUND(Mecze[[#This Row],[OD]]*Mecze[[#This Row],[%OU]],0)</f>
        <v>0</v>
      </c>
      <c r="AD3350" s="36" t="s">
        <v>273</v>
      </c>
      <c r="AE3350" s="36">
        <v>186</v>
      </c>
      <c r="AF3350" s="71">
        <v>5.26</v>
      </c>
      <c r="AG3350" s="37">
        <v>0</v>
      </c>
      <c r="AH3350" s="37">
        <v>0</v>
      </c>
      <c r="AI3350" s="37">
        <v>96</v>
      </c>
      <c r="AJ3350" s="37">
        <v>11</v>
      </c>
      <c r="AK3350" s="37" t="str">
        <f>VLOOKUP(Mecze[[#This Row],[Match ID]],Meczusie[Mecz]:Meczusie[RodzajMeczu],2,FALSE)</f>
        <v>Liga</v>
      </c>
    </row>
    <row r="3351" spans="1:37" x14ac:dyDescent="0.25">
      <c r="A3351" s="76">
        <v>14</v>
      </c>
      <c r="B3351" s="3" t="s">
        <v>330</v>
      </c>
      <c r="C3351" s="2" t="s">
        <v>165</v>
      </c>
      <c r="D3351" s="1">
        <v>0</v>
      </c>
      <c r="E3351" s="1">
        <v>3</v>
      </c>
      <c r="F3351" s="1">
        <v>2</v>
      </c>
      <c r="G3351" s="1">
        <v>5</v>
      </c>
      <c r="H3351" s="4">
        <v>0.8</v>
      </c>
      <c r="I3351" s="1">
        <v>2</v>
      </c>
      <c r="J3351" s="4">
        <v>0</v>
      </c>
      <c r="K3351" s="1">
        <v>0</v>
      </c>
      <c r="L3351" s="1">
        <v>0</v>
      </c>
      <c r="M3351" s="32">
        <f>IF(Mecze[[#This Row],[PR]]=0,0,Mecze[[#This Row],[PR]]/Mecze[[#This Row],[CZAS]])</f>
        <v>0</v>
      </c>
      <c r="N3351" s="32">
        <f>IF(Mecze[[#This Row],[OU]]=0,0,Mecze[[#This Row],[OU]]/Mecze[[#This Row],[CZAS]])</f>
        <v>0</v>
      </c>
      <c r="O3351" s="32">
        <f>IF(Mecze[[#This Row],[PC]]=0,0,Mecze[[#This Row],[PC]]/Mecze[[#This Row],[CZAS]])</f>
        <v>4.1666666666666664E-2</v>
      </c>
      <c r="P3351" s="32">
        <f>IF(Mecze[[#This Row],[SC]]=0,0,Mecze[[#This Row],[SC]]/Mecze[[#This Row],[CZAS]])</f>
        <v>2.0833333333333332E-2</v>
      </c>
      <c r="Q3351" s="32">
        <f>IF(Mecze[[#This Row],[OB]]=0,0,Mecze[[#This Row],[OB]]/Mecze[[#This Row],[CZAS]])</f>
        <v>0</v>
      </c>
      <c r="R3351" s="32">
        <f>IF(Mecze[[#This Row],[BR]]=0,0,Mecze[[#This Row],[BR]]/Mecze[[#This Row],[CZAS]])</f>
        <v>0</v>
      </c>
      <c r="S3351" s="44">
        <f>IF(Mecze[[#This Row],[Role]]="BR",SUMPRODUCT(Mecze[[#This Row],[/PR:90]:[/BR:90]],Brudnopis!$E$23:$J$23),0)</f>
        <v>0</v>
      </c>
      <c r="T3351" s="44">
        <f>IF(Mecze[[#This Row],[Role]]&lt;&gt;"BR",SUMPRODUCT(Mecze[[#This Row],[/PR:90]:[/BR:90]],Brudnopis!$E$24:$J$24),0)</f>
        <v>6.25E-2</v>
      </c>
      <c r="U3351" s="44">
        <f>IF(Mecze[[#This Row],[Role]]&lt;&gt;"BR",SUMPRODUCT(Mecze[[#This Row],[/PR:90]:[/BR:90]],Brudnopis!$E$25:$J$25),0)</f>
        <v>8.3333333333333329E-2</v>
      </c>
      <c r="V3351" s="44">
        <f>IF(Mecze[[#This Row],[Role]]&lt;&gt;"BR",SUMPRODUCT(Mecze[[#This Row],[/PR:90]:[/BR:90]],Brudnopis!$E$26:$J$26),0)</f>
        <v>6.25E-2</v>
      </c>
      <c r="W3351" s="44">
        <f>IF(Mecze[[#This Row],[Role]]&lt;&gt;"BR",SUMPRODUCT(Mecze[[#This Row],[/PR:90]:[/BR:90]],Brudnopis!$E$27:$J$27),0)</f>
        <v>8.3333333333333329E-2</v>
      </c>
      <c r="X3351" s="44">
        <f>IF(Mecze[[#This Row],[Role]]&lt;&gt;"BR",SUMPRODUCT(Mecze[[#This Row],[/PR:90]:[/BR:90]],Brudnopis!$E$28:$J$28),0)</f>
        <v>8.3333333333333329E-2</v>
      </c>
      <c r="Y3351" s="35">
        <f>IF(Mecze[[#This Row],[Role]]="BR",Mecze[[#This Row],[/OB:90]]+Mecze[[#This Row],[/PC:90]],SUM(Mecze[[#This Row],[/PR:90]:[/BR:90]]))</f>
        <v>6.25E-2</v>
      </c>
      <c r="Z3351" s="35">
        <f>IF(Mecze[[#This Row],[KC]]=0,SUM(Mecze[[#This Row],[/BRI]:[/NPI]]),SUM(Mecze[[#This Row],[/BRI]:[/NPI]])*0.6)</f>
        <v>0.37499999999999994</v>
      </c>
      <c r="AA3351" s="10">
        <f>IFERROR(Mecze[[#This Row],[BR]]/Mecze[[#This Row],[ST]],0)</f>
        <v>0</v>
      </c>
      <c r="AB3351">
        <f>ROUND(Mecze[[#This Row],[PD]]*Mecze[[#This Row],[%PC]],0)</f>
        <v>4</v>
      </c>
      <c r="AC3351">
        <f>ROUND(Mecze[[#This Row],[OD]]*Mecze[[#This Row],[%OU]],0)</f>
        <v>0</v>
      </c>
      <c r="AD3351" s="36" t="s">
        <v>272</v>
      </c>
      <c r="AE3351" s="36">
        <v>186</v>
      </c>
      <c r="AF3351" s="71">
        <v>6.62</v>
      </c>
      <c r="AG3351" s="37">
        <v>0</v>
      </c>
      <c r="AH3351" s="37">
        <v>0</v>
      </c>
      <c r="AI3351" s="37">
        <v>96</v>
      </c>
      <c r="AJ3351" s="37">
        <v>11</v>
      </c>
      <c r="AK3351" s="37" t="str">
        <f>VLOOKUP(Mecze[[#This Row],[Match ID]],Meczusie[Mecz]:Meczusie[RodzajMeczu],2,FALSE)</f>
        <v>Liga</v>
      </c>
    </row>
    <row r="3352" spans="1:37" x14ac:dyDescent="0.25">
      <c r="A3352" s="76">
        <v>3</v>
      </c>
      <c r="B3352" s="3" t="s">
        <v>222</v>
      </c>
      <c r="C3352" s="2" t="s">
        <v>155</v>
      </c>
      <c r="D3352" s="1">
        <v>0</v>
      </c>
      <c r="E3352" s="1">
        <v>0</v>
      </c>
      <c r="F3352" s="1">
        <v>0</v>
      </c>
      <c r="G3352" s="1">
        <v>19</v>
      </c>
      <c r="H3352" s="4">
        <v>0.63</v>
      </c>
      <c r="I3352" s="1">
        <v>0</v>
      </c>
      <c r="J3352" s="4"/>
      <c r="K3352" s="1">
        <v>11</v>
      </c>
      <c r="L3352" s="1">
        <v>0</v>
      </c>
      <c r="M3352" s="32">
        <f>IF(Mecze[[#This Row],[PR]]=0,0,Mecze[[#This Row],[PR]]/Mecze[[#This Row],[CZAS]])</f>
        <v>0</v>
      </c>
      <c r="N3352" s="32">
        <f>IF(Mecze[[#This Row],[OU]]=0,0,Mecze[[#This Row],[OU]]/Mecze[[#This Row],[CZAS]])</f>
        <v>0</v>
      </c>
      <c r="O3352" s="32">
        <f>IF(Mecze[[#This Row],[PC]]=0,0,Mecze[[#This Row],[PC]]/Mecze[[#This Row],[CZAS]])</f>
        <v>0.125</v>
      </c>
      <c r="P3352" s="32">
        <f>IF(Mecze[[#This Row],[SC]]=0,0,Mecze[[#This Row],[SC]]/Mecze[[#This Row],[CZAS]])</f>
        <v>0</v>
      </c>
      <c r="Q3352" s="32">
        <f>IF(Mecze[[#This Row],[OB]]=0,0,Mecze[[#This Row],[OB]]/Mecze[[#This Row],[CZAS]])</f>
        <v>0.11458333333333333</v>
      </c>
      <c r="R3352" s="32">
        <f>IF(Mecze[[#This Row],[BR]]=0,0,Mecze[[#This Row],[BR]]/Mecze[[#This Row],[CZAS]])</f>
        <v>0</v>
      </c>
      <c r="S3352" s="44">
        <f>IF(Mecze[[#This Row],[Role]]="BR",SUMPRODUCT(Mecze[[#This Row],[/PR:90]:[/BR:90]],Brudnopis!$E$23:$J$23),0)</f>
        <v>0.71875</v>
      </c>
      <c r="T3352" s="44">
        <f>IF(Mecze[[#This Row],[Role]]&lt;&gt;"BR",SUMPRODUCT(Mecze[[#This Row],[/PR:90]:[/BR:90]],Brudnopis!$E$24:$J$24),0)</f>
        <v>0</v>
      </c>
      <c r="U3352" s="44">
        <f>IF(Mecze[[#This Row],[Role]]&lt;&gt;"BR",SUMPRODUCT(Mecze[[#This Row],[/PR:90]:[/BR:90]],Brudnopis!$E$25:$J$25),0)</f>
        <v>0</v>
      </c>
      <c r="V3352" s="44">
        <f>IF(Mecze[[#This Row],[Role]]&lt;&gt;"BR",SUMPRODUCT(Mecze[[#This Row],[/PR:90]:[/BR:90]],Brudnopis!$E$26:$J$26),0)</f>
        <v>0</v>
      </c>
      <c r="W3352" s="44">
        <f>IF(Mecze[[#This Row],[Role]]&lt;&gt;"BR",SUMPRODUCT(Mecze[[#This Row],[/PR:90]:[/BR:90]],Brudnopis!$E$27:$J$27),0)</f>
        <v>0</v>
      </c>
      <c r="X3352" s="44">
        <f>IF(Mecze[[#This Row],[Role]]&lt;&gt;"BR",SUMPRODUCT(Mecze[[#This Row],[/PR:90]:[/BR:90]],Brudnopis!$E$28:$J$28),0)</f>
        <v>0</v>
      </c>
      <c r="Y3352" s="35">
        <f>IF(Mecze[[#This Row],[Role]]="BR",Mecze[[#This Row],[/OB:90]]+Mecze[[#This Row],[/PC:90]],SUM(Mecze[[#This Row],[/PR:90]:[/BR:90]]))</f>
        <v>0.23958333333333331</v>
      </c>
      <c r="Z3352" s="35">
        <f>IF(Mecze[[#This Row],[KC]]=0,SUM(Mecze[[#This Row],[/BRI]:[/NPI]]),SUM(Mecze[[#This Row],[/BRI]:[/NPI]])*0.6)</f>
        <v>0.71875</v>
      </c>
      <c r="AA3352" s="10">
        <f>IFERROR(Mecze[[#This Row],[BR]]/Mecze[[#This Row],[ST]],0)</f>
        <v>0</v>
      </c>
      <c r="AB3352">
        <f>ROUND(Mecze[[#This Row],[PD]]*Mecze[[#This Row],[%PC]],0)</f>
        <v>12</v>
      </c>
      <c r="AC3352">
        <f>ROUND(Mecze[[#This Row],[OD]]*Mecze[[#This Row],[%OU]],0)</f>
        <v>0</v>
      </c>
      <c r="AD3352" s="36" t="s">
        <v>40</v>
      </c>
      <c r="AE3352" s="36">
        <v>187</v>
      </c>
      <c r="AF3352" s="71">
        <v>3.32</v>
      </c>
      <c r="AG3352" s="37">
        <v>0</v>
      </c>
      <c r="AH3352" s="37">
        <v>0</v>
      </c>
      <c r="AI3352" s="37">
        <v>96</v>
      </c>
      <c r="AJ3352" s="37">
        <v>2</v>
      </c>
      <c r="AK3352" s="37" t="str">
        <f>VLOOKUP(Mecze[[#This Row],[Match ID]],Meczusie[Mecz]:Meczusie[RodzajMeczu],2,FALSE)</f>
        <v>Liga</v>
      </c>
    </row>
    <row r="3353" spans="1:37" x14ac:dyDescent="0.25">
      <c r="A3353" s="76">
        <v>47</v>
      </c>
      <c r="B3353" s="3" t="s">
        <v>502</v>
      </c>
      <c r="C3353" s="2" t="s">
        <v>157</v>
      </c>
      <c r="D3353" s="1">
        <v>0</v>
      </c>
      <c r="E3353" s="1">
        <v>0</v>
      </c>
      <c r="F3353" s="1">
        <v>0</v>
      </c>
      <c r="G3353" s="1">
        <v>7</v>
      </c>
      <c r="H3353" s="4">
        <v>0</v>
      </c>
      <c r="I3353" s="1">
        <v>5</v>
      </c>
      <c r="J3353" s="4">
        <v>0.4</v>
      </c>
      <c r="K3353" s="1">
        <v>0</v>
      </c>
      <c r="L3353" s="1">
        <v>4</v>
      </c>
      <c r="M3353" s="32">
        <f>IF(Mecze[[#This Row],[PR]]=0,0,Mecze[[#This Row],[PR]]/Mecze[[#This Row],[CZAS]])</f>
        <v>4.1666666666666664E-2</v>
      </c>
      <c r="N3353" s="32">
        <f>IF(Mecze[[#This Row],[OU]]=0,0,Mecze[[#This Row],[OU]]/Mecze[[#This Row],[CZAS]])</f>
        <v>2.0833333333333332E-2</v>
      </c>
      <c r="O3353" s="32">
        <f>IF(Mecze[[#This Row],[PC]]=0,0,Mecze[[#This Row],[PC]]/Mecze[[#This Row],[CZAS]])</f>
        <v>0</v>
      </c>
      <c r="P3353" s="32">
        <f>IF(Mecze[[#This Row],[SC]]=0,0,Mecze[[#This Row],[SC]]/Mecze[[#This Row],[CZAS]])</f>
        <v>0</v>
      </c>
      <c r="Q3353" s="32">
        <f>IF(Mecze[[#This Row],[OB]]=0,0,Mecze[[#This Row],[OB]]/Mecze[[#This Row],[CZAS]])</f>
        <v>0</v>
      </c>
      <c r="R3353" s="32">
        <f>IF(Mecze[[#This Row],[BR]]=0,0,Mecze[[#This Row],[BR]]/Mecze[[#This Row],[CZAS]])</f>
        <v>0</v>
      </c>
      <c r="S3353" s="44">
        <f>IF(Mecze[[#This Row],[Role]]="BR",SUMPRODUCT(Mecze[[#This Row],[/PR:90]:[/BR:90]],Brudnopis!$E$23:$J$23),0)</f>
        <v>0</v>
      </c>
      <c r="T3353" s="44">
        <f>IF(Mecze[[#This Row],[Role]]&lt;&gt;"BR",SUMPRODUCT(Mecze[[#This Row],[/PR:90]:[/BR:90]],Brudnopis!$E$24:$J$24),0)</f>
        <v>7.2916666666666657E-2</v>
      </c>
      <c r="U3353" s="44">
        <f>IF(Mecze[[#This Row],[Role]]&lt;&gt;"BR",SUMPRODUCT(Mecze[[#This Row],[/PR:90]:[/BR:90]],Brudnopis!$E$25:$J$25),0)</f>
        <v>6.25E-2</v>
      </c>
      <c r="V3353" s="44">
        <f>IF(Mecze[[#This Row],[Role]]&lt;&gt;"BR",SUMPRODUCT(Mecze[[#This Row],[/PR:90]:[/BR:90]],Brudnopis!$E$26:$J$26),0)</f>
        <v>6.25E-2</v>
      </c>
      <c r="W3353" s="44">
        <f>IF(Mecze[[#This Row],[Role]]&lt;&gt;"BR",SUMPRODUCT(Mecze[[#This Row],[/PR:90]:[/BR:90]],Brudnopis!$E$27:$J$27),0)</f>
        <v>4.6875E-2</v>
      </c>
      <c r="X3353" s="44">
        <f>IF(Mecze[[#This Row],[Role]]&lt;&gt;"BR",SUMPRODUCT(Mecze[[#This Row],[/PR:90]:[/BR:90]],Brudnopis!$E$28:$J$28),0)</f>
        <v>0</v>
      </c>
      <c r="Y3353" s="35">
        <f>IF(Mecze[[#This Row],[Role]]="BR",Mecze[[#This Row],[/OB:90]]+Mecze[[#This Row],[/PC:90]],SUM(Mecze[[#This Row],[/PR:90]:[/BR:90]]))</f>
        <v>6.25E-2</v>
      </c>
      <c r="Z3353" s="35">
        <f>IF(Mecze[[#This Row],[KC]]=0,SUM(Mecze[[#This Row],[/BRI]:[/NPI]]),SUM(Mecze[[#This Row],[/BRI]:[/NPI]])*0.6)</f>
        <v>0.24479166666666666</v>
      </c>
      <c r="AA3353" s="10">
        <f>IFERROR(Mecze[[#This Row],[BR]]/Mecze[[#This Row],[ST]],0)</f>
        <v>0</v>
      </c>
      <c r="AB3353">
        <f>ROUND(Mecze[[#This Row],[PD]]*Mecze[[#This Row],[%PC]],0)</f>
        <v>0</v>
      </c>
      <c r="AC3353">
        <f>ROUND(Mecze[[#This Row],[OD]]*Mecze[[#This Row],[%OU]],0)</f>
        <v>2</v>
      </c>
      <c r="AD3353" s="36" t="s">
        <v>174</v>
      </c>
      <c r="AE3353" s="36">
        <v>187</v>
      </c>
      <c r="AF3353" s="71">
        <v>-2.02</v>
      </c>
      <c r="AG3353" s="37">
        <v>1</v>
      </c>
      <c r="AH3353" s="37">
        <v>0</v>
      </c>
      <c r="AI3353" s="37">
        <v>96</v>
      </c>
      <c r="AJ3353" s="37">
        <v>2</v>
      </c>
      <c r="AK3353" s="37" t="str">
        <f>VLOOKUP(Mecze[[#This Row],[Match ID]],Meczusie[Mecz]:Meczusie[RodzajMeczu],2,FALSE)</f>
        <v>Liga</v>
      </c>
    </row>
    <row r="3354" spans="1:37" x14ac:dyDescent="0.25">
      <c r="A3354" s="76">
        <v>40</v>
      </c>
      <c r="B3354" s="3" t="s">
        <v>498</v>
      </c>
      <c r="C3354" s="2" t="s">
        <v>157</v>
      </c>
      <c r="D3354" s="1">
        <v>0</v>
      </c>
      <c r="E3354" s="1">
        <v>0</v>
      </c>
      <c r="F3354" s="1">
        <v>0</v>
      </c>
      <c r="G3354" s="1">
        <v>2</v>
      </c>
      <c r="H3354" s="4">
        <v>0.5</v>
      </c>
      <c r="I3354" s="1">
        <v>0</v>
      </c>
      <c r="J3354" s="4"/>
      <c r="K3354" s="1">
        <v>0</v>
      </c>
      <c r="L3354" s="1">
        <v>1</v>
      </c>
      <c r="M3354" s="32">
        <f>IF(Mecze[[#This Row],[PR]]=0,0,Mecze[[#This Row],[PR]]/Mecze[[#This Row],[CZAS]])</f>
        <v>1.0416666666666666E-2</v>
      </c>
      <c r="N3354" s="32">
        <f>IF(Mecze[[#This Row],[OU]]=0,0,Mecze[[#This Row],[OU]]/Mecze[[#This Row],[CZAS]])</f>
        <v>0</v>
      </c>
      <c r="O3354" s="32">
        <f>IF(Mecze[[#This Row],[PC]]=0,0,Mecze[[#This Row],[PC]]/Mecze[[#This Row],[CZAS]])</f>
        <v>1.0416666666666666E-2</v>
      </c>
      <c r="P3354" s="32">
        <f>IF(Mecze[[#This Row],[SC]]=0,0,Mecze[[#This Row],[SC]]/Mecze[[#This Row],[CZAS]])</f>
        <v>0</v>
      </c>
      <c r="Q3354" s="32">
        <f>IF(Mecze[[#This Row],[OB]]=0,0,Mecze[[#This Row],[OB]]/Mecze[[#This Row],[CZAS]])</f>
        <v>0</v>
      </c>
      <c r="R3354" s="32">
        <f>IF(Mecze[[#This Row],[BR]]=0,0,Mecze[[#This Row],[BR]]/Mecze[[#This Row],[CZAS]])</f>
        <v>0</v>
      </c>
      <c r="S3354" s="44">
        <f>IF(Mecze[[#This Row],[Role]]="BR",SUMPRODUCT(Mecze[[#This Row],[/PR:90]:[/BR:90]],Brudnopis!$E$23:$J$23),0)</f>
        <v>0</v>
      </c>
      <c r="T3354" s="44">
        <f>IF(Mecze[[#This Row],[Role]]&lt;&gt;"BR",SUMPRODUCT(Mecze[[#This Row],[/PR:90]:[/BR:90]],Brudnopis!$E$24:$J$24),0)</f>
        <v>2.0833333333333332E-2</v>
      </c>
      <c r="U3354" s="44">
        <f>IF(Mecze[[#This Row],[Role]]&lt;&gt;"BR",SUMPRODUCT(Mecze[[#This Row],[/PR:90]:[/BR:90]],Brudnopis!$E$25:$J$25),0)</f>
        <v>2.6041666666666664E-2</v>
      </c>
      <c r="V3354" s="44">
        <f>IF(Mecze[[#This Row],[Role]]&lt;&gt;"BR",SUMPRODUCT(Mecze[[#This Row],[/PR:90]:[/BR:90]],Brudnopis!$E$26:$J$26),0)</f>
        <v>2.0833333333333332E-2</v>
      </c>
      <c r="W3354" s="44">
        <f>IF(Mecze[[#This Row],[Role]]&lt;&gt;"BR",SUMPRODUCT(Mecze[[#This Row],[/PR:90]:[/BR:90]],Brudnopis!$E$27:$J$27),0)</f>
        <v>2.34375E-2</v>
      </c>
      <c r="X3354" s="44">
        <f>IF(Mecze[[#This Row],[Role]]&lt;&gt;"BR",SUMPRODUCT(Mecze[[#This Row],[/PR:90]:[/BR:90]],Brudnopis!$E$28:$J$28),0)</f>
        <v>1.0416666666666666E-2</v>
      </c>
      <c r="Y3354" s="35">
        <f>IF(Mecze[[#This Row],[Role]]="BR",Mecze[[#This Row],[/OB:90]]+Mecze[[#This Row],[/PC:90]],SUM(Mecze[[#This Row],[/PR:90]:[/BR:90]]))</f>
        <v>2.0833333333333332E-2</v>
      </c>
      <c r="Z3354" s="35">
        <f>IF(Mecze[[#This Row],[KC]]=0,SUM(Mecze[[#This Row],[/BRI]:[/NPI]]),SUM(Mecze[[#This Row],[/BRI]:[/NPI]])*0.6)</f>
        <v>0.1015625</v>
      </c>
      <c r="AA3354" s="10">
        <f>IFERROR(Mecze[[#This Row],[BR]]/Mecze[[#This Row],[ST]],0)</f>
        <v>0</v>
      </c>
      <c r="AB3354">
        <f>ROUND(Mecze[[#This Row],[PD]]*Mecze[[#This Row],[%PC]],0)</f>
        <v>1</v>
      </c>
      <c r="AC3354">
        <f>ROUND(Mecze[[#This Row],[OD]]*Mecze[[#This Row],[%OU]],0)</f>
        <v>0</v>
      </c>
      <c r="AD3354" s="36" t="s">
        <v>47</v>
      </c>
      <c r="AE3354" s="36">
        <v>187</v>
      </c>
      <c r="AF3354" s="71">
        <v>-1.54</v>
      </c>
      <c r="AG3354" s="37">
        <v>0</v>
      </c>
      <c r="AH3354" s="37">
        <v>0</v>
      </c>
      <c r="AI3354" s="37">
        <v>96</v>
      </c>
      <c r="AJ3354" s="37">
        <v>2</v>
      </c>
      <c r="AK3354" s="37" t="str">
        <f>VLOOKUP(Mecze[[#This Row],[Match ID]],Meczusie[Mecz]:Meczusie[RodzajMeczu],2,FALSE)</f>
        <v>Liga</v>
      </c>
    </row>
    <row r="3355" spans="1:37" x14ac:dyDescent="0.25">
      <c r="A3355" s="76">
        <v>37</v>
      </c>
      <c r="B3355" s="3" t="s">
        <v>499</v>
      </c>
      <c r="C3355" s="2" t="s">
        <v>157</v>
      </c>
      <c r="D3355" s="1">
        <v>0</v>
      </c>
      <c r="E3355" s="1">
        <v>1</v>
      </c>
      <c r="F3355" s="1">
        <v>1</v>
      </c>
      <c r="G3355" s="1">
        <v>6</v>
      </c>
      <c r="H3355" s="4">
        <v>0.5</v>
      </c>
      <c r="I3355" s="1">
        <v>4</v>
      </c>
      <c r="J3355" s="4">
        <v>0.5</v>
      </c>
      <c r="K3355" s="1">
        <v>0</v>
      </c>
      <c r="L3355" s="1">
        <v>2</v>
      </c>
      <c r="M3355" s="32">
        <f>IF(Mecze[[#This Row],[PR]]=0,0,Mecze[[#This Row],[PR]]/Mecze[[#This Row],[CZAS]])</f>
        <v>2.0833333333333332E-2</v>
      </c>
      <c r="N3355" s="32">
        <f>IF(Mecze[[#This Row],[OU]]=0,0,Mecze[[#This Row],[OU]]/Mecze[[#This Row],[CZAS]])</f>
        <v>2.0833333333333332E-2</v>
      </c>
      <c r="O3355" s="32">
        <f>IF(Mecze[[#This Row],[PC]]=0,0,Mecze[[#This Row],[PC]]/Mecze[[#This Row],[CZAS]])</f>
        <v>3.125E-2</v>
      </c>
      <c r="P3355" s="32">
        <f>IF(Mecze[[#This Row],[SC]]=0,0,Mecze[[#This Row],[SC]]/Mecze[[#This Row],[CZAS]])</f>
        <v>1.0416666666666666E-2</v>
      </c>
      <c r="Q3355" s="32">
        <f>IF(Mecze[[#This Row],[OB]]=0,0,Mecze[[#This Row],[OB]]/Mecze[[#This Row],[CZAS]])</f>
        <v>0</v>
      </c>
      <c r="R3355" s="32">
        <f>IF(Mecze[[#This Row],[BR]]=0,0,Mecze[[#This Row],[BR]]/Mecze[[#This Row],[CZAS]])</f>
        <v>0</v>
      </c>
      <c r="S3355" s="44">
        <f>IF(Mecze[[#This Row],[Role]]="BR",SUMPRODUCT(Mecze[[#This Row],[/PR:90]:[/BR:90]],Brudnopis!$E$23:$J$23),0)</f>
        <v>0</v>
      </c>
      <c r="T3355" s="44">
        <f>IF(Mecze[[#This Row],[Role]]&lt;&gt;"BR",SUMPRODUCT(Mecze[[#This Row],[/PR:90]:[/BR:90]],Brudnopis!$E$24:$J$24),0)</f>
        <v>9.375E-2</v>
      </c>
      <c r="U3355" s="44">
        <f>IF(Mecze[[#This Row],[Role]]&lt;&gt;"BR",SUMPRODUCT(Mecze[[#This Row],[/PR:90]:[/BR:90]],Brudnopis!$E$25:$J$25),0)</f>
        <v>9.8958333333333329E-2</v>
      </c>
      <c r="V3355" s="44">
        <f>IF(Mecze[[#This Row],[Role]]&lt;&gt;"BR",SUMPRODUCT(Mecze[[#This Row],[/PR:90]:[/BR:90]],Brudnopis!$E$26:$J$26),0)</f>
        <v>8.3333333333333329E-2</v>
      </c>
      <c r="W3355" s="44">
        <f>IF(Mecze[[#This Row],[Role]]&lt;&gt;"BR",SUMPRODUCT(Mecze[[#This Row],[/PR:90]:[/BR:90]],Brudnopis!$E$27:$J$27),0)</f>
        <v>8.8541666666666671E-2</v>
      </c>
      <c r="X3355" s="44">
        <f>IF(Mecze[[#This Row],[Role]]&lt;&gt;"BR",SUMPRODUCT(Mecze[[#This Row],[/PR:90]:[/BR:90]],Brudnopis!$E$28:$J$28),0)</f>
        <v>5.2083333333333329E-2</v>
      </c>
      <c r="Y3355" s="35">
        <f>IF(Mecze[[#This Row],[Role]]="BR",Mecze[[#This Row],[/OB:90]]+Mecze[[#This Row],[/PC:90]],SUM(Mecze[[#This Row],[/PR:90]:[/BR:90]]))</f>
        <v>8.3333333333333329E-2</v>
      </c>
      <c r="Z3355" s="35">
        <f>IF(Mecze[[#This Row],[KC]]=0,SUM(Mecze[[#This Row],[/BRI]:[/NPI]]),SUM(Mecze[[#This Row],[/BRI]:[/NPI]])*0.6)</f>
        <v>0.41666666666666663</v>
      </c>
      <c r="AA3355" s="10">
        <f>IFERROR(Mecze[[#This Row],[BR]]/Mecze[[#This Row],[ST]],0)</f>
        <v>0</v>
      </c>
      <c r="AB3355">
        <f>ROUND(Mecze[[#This Row],[PD]]*Mecze[[#This Row],[%PC]],0)</f>
        <v>3</v>
      </c>
      <c r="AC3355">
        <f>ROUND(Mecze[[#This Row],[OD]]*Mecze[[#This Row],[%OU]],0)</f>
        <v>2</v>
      </c>
      <c r="AD3355" s="36" t="s">
        <v>175</v>
      </c>
      <c r="AE3355" s="36">
        <v>187</v>
      </c>
      <c r="AF3355" s="71">
        <v>-0.21</v>
      </c>
      <c r="AG3355" s="37">
        <v>0</v>
      </c>
      <c r="AH3355" s="37">
        <v>0</v>
      </c>
      <c r="AI3355" s="37">
        <v>96</v>
      </c>
      <c r="AJ3355" s="37">
        <v>2</v>
      </c>
      <c r="AK3355" s="37" t="str">
        <f>VLOOKUP(Mecze[[#This Row],[Match ID]],Meczusie[Mecz]:Meczusie[RodzajMeczu],2,FALSE)</f>
        <v>Liga</v>
      </c>
    </row>
    <row r="3356" spans="1:37" x14ac:dyDescent="0.25">
      <c r="A3356" s="76">
        <v>34</v>
      </c>
      <c r="B3356" s="3" t="s">
        <v>500</v>
      </c>
      <c r="C3356" s="2" t="s">
        <v>157</v>
      </c>
      <c r="D3356" s="1">
        <v>0</v>
      </c>
      <c r="E3356" s="1">
        <v>0</v>
      </c>
      <c r="F3356" s="1">
        <v>0</v>
      </c>
      <c r="G3356" s="1">
        <v>12</v>
      </c>
      <c r="H3356" s="4">
        <v>0.42</v>
      </c>
      <c r="I3356" s="1">
        <v>3</v>
      </c>
      <c r="J3356" s="4">
        <v>0</v>
      </c>
      <c r="K3356" s="1">
        <v>0</v>
      </c>
      <c r="L3356" s="1">
        <v>2</v>
      </c>
      <c r="M3356" s="32">
        <f>IF(Mecze[[#This Row],[PR]]=0,0,Mecze[[#This Row],[PR]]/Mecze[[#This Row],[CZAS]])</f>
        <v>2.0833333333333332E-2</v>
      </c>
      <c r="N3356" s="32">
        <f>IF(Mecze[[#This Row],[OU]]=0,0,Mecze[[#This Row],[OU]]/Mecze[[#This Row],[CZAS]])</f>
        <v>0</v>
      </c>
      <c r="O3356" s="32">
        <f>IF(Mecze[[#This Row],[PC]]=0,0,Mecze[[#This Row],[PC]]/Mecze[[#This Row],[CZAS]])</f>
        <v>5.2083333333333336E-2</v>
      </c>
      <c r="P3356" s="32">
        <f>IF(Mecze[[#This Row],[SC]]=0,0,Mecze[[#This Row],[SC]]/Mecze[[#This Row],[CZAS]])</f>
        <v>0</v>
      </c>
      <c r="Q3356" s="32">
        <f>IF(Mecze[[#This Row],[OB]]=0,0,Mecze[[#This Row],[OB]]/Mecze[[#This Row],[CZAS]])</f>
        <v>0</v>
      </c>
      <c r="R3356" s="32">
        <f>IF(Mecze[[#This Row],[BR]]=0,0,Mecze[[#This Row],[BR]]/Mecze[[#This Row],[CZAS]])</f>
        <v>0</v>
      </c>
      <c r="S3356" s="44">
        <f>IF(Mecze[[#This Row],[Role]]="BR",SUMPRODUCT(Mecze[[#This Row],[/PR:90]:[/BR:90]],Brudnopis!$E$23:$J$23),0)</f>
        <v>0</v>
      </c>
      <c r="T3356" s="44">
        <f>IF(Mecze[[#This Row],[Role]]&lt;&gt;"BR",SUMPRODUCT(Mecze[[#This Row],[/PR:90]:[/BR:90]],Brudnopis!$E$24:$J$24),0)</f>
        <v>7.2916666666666671E-2</v>
      </c>
      <c r="U3356" s="44">
        <f>IF(Mecze[[#This Row],[Role]]&lt;&gt;"BR",SUMPRODUCT(Mecze[[#This Row],[/PR:90]:[/BR:90]],Brudnopis!$E$25:$J$25),0)</f>
        <v>9.8958333333333329E-2</v>
      </c>
      <c r="V3356" s="44">
        <f>IF(Mecze[[#This Row],[Role]]&lt;&gt;"BR",SUMPRODUCT(Mecze[[#This Row],[/PR:90]:[/BR:90]],Brudnopis!$E$26:$J$26),0)</f>
        <v>7.2916666666666671E-2</v>
      </c>
      <c r="W3356" s="44">
        <f>IF(Mecze[[#This Row],[Role]]&lt;&gt;"BR",SUMPRODUCT(Mecze[[#This Row],[/PR:90]:[/BR:90]],Brudnopis!$E$27:$J$27),0)</f>
        <v>9.375E-2</v>
      </c>
      <c r="X3356" s="44">
        <f>IF(Mecze[[#This Row],[Role]]&lt;&gt;"BR",SUMPRODUCT(Mecze[[#This Row],[/PR:90]:[/BR:90]],Brudnopis!$E$28:$J$28),0)</f>
        <v>5.2083333333333336E-2</v>
      </c>
      <c r="Y3356" s="35">
        <f>IF(Mecze[[#This Row],[Role]]="BR",Mecze[[#This Row],[/OB:90]]+Mecze[[#This Row],[/PC:90]],SUM(Mecze[[#This Row],[/PR:90]:[/BR:90]]))</f>
        <v>7.2916666666666671E-2</v>
      </c>
      <c r="Z3356" s="35">
        <f>IF(Mecze[[#This Row],[KC]]=0,SUM(Mecze[[#This Row],[/BRI]:[/NPI]]),SUM(Mecze[[#This Row],[/BRI]:[/NPI]])*0.6)</f>
        <v>0.390625</v>
      </c>
      <c r="AA3356" s="10">
        <f>IFERROR(Mecze[[#This Row],[BR]]/Mecze[[#This Row],[ST]],0)</f>
        <v>0</v>
      </c>
      <c r="AB3356">
        <f>ROUND(Mecze[[#This Row],[PD]]*Mecze[[#This Row],[%PC]],0)</f>
        <v>5</v>
      </c>
      <c r="AC3356">
        <f>ROUND(Mecze[[#This Row],[OD]]*Mecze[[#This Row],[%OU]],0)</f>
        <v>0</v>
      </c>
      <c r="AD3356" s="36" t="s">
        <v>47</v>
      </c>
      <c r="AE3356" s="36">
        <v>187</v>
      </c>
      <c r="AF3356" s="71">
        <v>-1.33</v>
      </c>
      <c r="AG3356" s="37">
        <v>0</v>
      </c>
      <c r="AH3356" s="37">
        <v>0</v>
      </c>
      <c r="AI3356" s="37">
        <v>96</v>
      </c>
      <c r="AJ3356" s="37">
        <v>2</v>
      </c>
      <c r="AK3356" s="37" t="str">
        <f>VLOOKUP(Mecze[[#This Row],[Match ID]],Meczusie[Mecz]:Meczusie[RodzajMeczu],2,FALSE)</f>
        <v>Liga</v>
      </c>
    </row>
    <row r="3357" spans="1:37" x14ac:dyDescent="0.25">
      <c r="A3357" s="76">
        <v>39</v>
      </c>
      <c r="B3357" s="3" t="s">
        <v>511</v>
      </c>
      <c r="C3357" s="2" t="s">
        <v>160</v>
      </c>
      <c r="D3357" s="1">
        <v>0</v>
      </c>
      <c r="E3357" s="1">
        <v>0</v>
      </c>
      <c r="F3357" s="1">
        <v>0</v>
      </c>
      <c r="G3357" s="1">
        <v>4</v>
      </c>
      <c r="H3357" s="4">
        <v>0.5</v>
      </c>
      <c r="I3357" s="1">
        <v>0</v>
      </c>
      <c r="J3357" s="4"/>
      <c r="K3357" s="1">
        <v>0</v>
      </c>
      <c r="L3357" s="1">
        <v>1</v>
      </c>
      <c r="M3357" s="32">
        <f>IF(Mecze[[#This Row],[PR]]=0,0,Mecze[[#This Row],[PR]]/Mecze[[#This Row],[CZAS]])</f>
        <v>1.0416666666666666E-2</v>
      </c>
      <c r="N3357" s="32">
        <f>IF(Mecze[[#This Row],[OU]]=0,0,Mecze[[#This Row],[OU]]/Mecze[[#This Row],[CZAS]])</f>
        <v>0</v>
      </c>
      <c r="O3357" s="32">
        <f>IF(Mecze[[#This Row],[PC]]=0,0,Mecze[[#This Row],[PC]]/Mecze[[#This Row],[CZAS]])</f>
        <v>2.0833333333333332E-2</v>
      </c>
      <c r="P3357" s="32">
        <f>IF(Mecze[[#This Row],[SC]]=0,0,Mecze[[#This Row],[SC]]/Mecze[[#This Row],[CZAS]])</f>
        <v>0</v>
      </c>
      <c r="Q3357" s="32">
        <f>IF(Mecze[[#This Row],[OB]]=0,0,Mecze[[#This Row],[OB]]/Mecze[[#This Row],[CZAS]])</f>
        <v>0</v>
      </c>
      <c r="R3357" s="32">
        <f>IF(Mecze[[#This Row],[BR]]=0,0,Mecze[[#This Row],[BR]]/Mecze[[#This Row],[CZAS]])</f>
        <v>0</v>
      </c>
      <c r="S3357" s="44">
        <f>IF(Mecze[[#This Row],[Role]]="BR",SUMPRODUCT(Mecze[[#This Row],[/PR:90]:[/BR:90]],Brudnopis!$E$23:$J$23),0)</f>
        <v>0</v>
      </c>
      <c r="T3357" s="44">
        <f>IF(Mecze[[#This Row],[Role]]&lt;&gt;"BR",SUMPRODUCT(Mecze[[#This Row],[/PR:90]:[/BR:90]],Brudnopis!$E$24:$J$24),0)</f>
        <v>3.125E-2</v>
      </c>
      <c r="U3357" s="44">
        <f>IF(Mecze[[#This Row],[Role]]&lt;&gt;"BR",SUMPRODUCT(Mecze[[#This Row],[/PR:90]:[/BR:90]],Brudnopis!$E$25:$J$25),0)</f>
        <v>4.1666666666666664E-2</v>
      </c>
      <c r="V3357" s="44">
        <f>IF(Mecze[[#This Row],[Role]]&lt;&gt;"BR",SUMPRODUCT(Mecze[[#This Row],[/PR:90]:[/BR:90]],Brudnopis!$E$26:$J$26),0)</f>
        <v>3.125E-2</v>
      </c>
      <c r="W3357" s="44">
        <f>IF(Mecze[[#This Row],[Role]]&lt;&gt;"BR",SUMPRODUCT(Mecze[[#This Row],[/PR:90]:[/BR:90]],Brudnopis!$E$27:$J$27),0)</f>
        <v>3.90625E-2</v>
      </c>
      <c r="X3357" s="44">
        <f>IF(Mecze[[#This Row],[Role]]&lt;&gt;"BR",SUMPRODUCT(Mecze[[#This Row],[/PR:90]:[/BR:90]],Brudnopis!$E$28:$J$28),0)</f>
        <v>2.0833333333333332E-2</v>
      </c>
      <c r="Y3357" s="35">
        <f>IF(Mecze[[#This Row],[Role]]="BR",Mecze[[#This Row],[/OB:90]]+Mecze[[#This Row],[/PC:90]],SUM(Mecze[[#This Row],[/PR:90]:[/BR:90]]))</f>
        <v>3.125E-2</v>
      </c>
      <c r="Z3357" s="35">
        <f>IF(Mecze[[#This Row],[KC]]=0,SUM(Mecze[[#This Row],[/BRI]:[/NPI]]),SUM(Mecze[[#This Row],[/BRI]:[/NPI]])*0.6)</f>
        <v>0.1640625</v>
      </c>
      <c r="AA3357" s="10">
        <f>IFERROR(Mecze[[#This Row],[BR]]/Mecze[[#This Row],[ST]],0)</f>
        <v>0</v>
      </c>
      <c r="AB3357">
        <f>ROUND(Mecze[[#This Row],[PD]]*Mecze[[#This Row],[%PC]],0)</f>
        <v>2</v>
      </c>
      <c r="AC3357">
        <f>ROUND(Mecze[[#This Row],[OD]]*Mecze[[#This Row],[%OU]],0)</f>
        <v>0</v>
      </c>
      <c r="AD3357" s="36" t="s">
        <v>319</v>
      </c>
      <c r="AE3357" s="36">
        <v>187</v>
      </c>
      <c r="AF3357" s="71">
        <v>2.91</v>
      </c>
      <c r="AG3357" s="37">
        <v>0</v>
      </c>
      <c r="AH3357" s="37">
        <v>0</v>
      </c>
      <c r="AI3357" s="37">
        <v>96</v>
      </c>
      <c r="AJ3357" s="37">
        <v>2</v>
      </c>
      <c r="AK3357" s="37" t="str">
        <f>VLOOKUP(Mecze[[#This Row],[Match ID]],Meczusie[Mecz]:Meczusie[RodzajMeczu],2,FALSE)</f>
        <v>Liga</v>
      </c>
    </row>
    <row r="3358" spans="1:37" x14ac:dyDescent="0.25">
      <c r="A3358" s="76">
        <v>72</v>
      </c>
      <c r="B3358" s="3" t="s">
        <v>488</v>
      </c>
      <c r="C3358" s="2" t="s">
        <v>160</v>
      </c>
      <c r="D3358" s="1">
        <v>0</v>
      </c>
      <c r="E3358" s="1">
        <v>0</v>
      </c>
      <c r="F3358" s="1">
        <v>0</v>
      </c>
      <c r="G3358" s="1">
        <v>7</v>
      </c>
      <c r="H3358" s="4">
        <v>0.28999999999999998</v>
      </c>
      <c r="I3358" s="1">
        <v>9</v>
      </c>
      <c r="J3358" s="4">
        <v>0.22</v>
      </c>
      <c r="K3358" s="1">
        <v>0</v>
      </c>
      <c r="L3358" s="1">
        <v>1</v>
      </c>
      <c r="M3358" s="32">
        <f>IF(Mecze[[#This Row],[PR]]=0,0,Mecze[[#This Row],[PR]]/Mecze[[#This Row],[CZAS]])</f>
        <v>1.0416666666666666E-2</v>
      </c>
      <c r="N3358" s="32">
        <f>IF(Mecze[[#This Row],[OU]]=0,0,Mecze[[#This Row],[OU]]/Mecze[[#This Row],[CZAS]])</f>
        <v>2.0833333333333332E-2</v>
      </c>
      <c r="O3358" s="32">
        <f>IF(Mecze[[#This Row],[PC]]=0,0,Mecze[[#This Row],[PC]]/Mecze[[#This Row],[CZAS]])</f>
        <v>2.0833333333333332E-2</v>
      </c>
      <c r="P3358" s="32">
        <f>IF(Mecze[[#This Row],[SC]]=0,0,Mecze[[#This Row],[SC]]/Mecze[[#This Row],[CZAS]])</f>
        <v>0</v>
      </c>
      <c r="Q3358" s="32">
        <f>IF(Mecze[[#This Row],[OB]]=0,0,Mecze[[#This Row],[OB]]/Mecze[[#This Row],[CZAS]])</f>
        <v>0</v>
      </c>
      <c r="R3358" s="32">
        <f>IF(Mecze[[#This Row],[BR]]=0,0,Mecze[[#This Row],[BR]]/Mecze[[#This Row],[CZAS]])</f>
        <v>0</v>
      </c>
      <c r="S3358" s="44">
        <f>IF(Mecze[[#This Row],[Role]]="BR",SUMPRODUCT(Mecze[[#This Row],[/PR:90]:[/BR:90]],Brudnopis!$E$23:$J$23),0)</f>
        <v>0</v>
      </c>
      <c r="T3358" s="44">
        <f>IF(Mecze[[#This Row],[Role]]&lt;&gt;"BR",SUMPRODUCT(Mecze[[#This Row],[/PR:90]:[/BR:90]],Brudnopis!$E$24:$J$24),0)</f>
        <v>6.25E-2</v>
      </c>
      <c r="U3358" s="44">
        <f>IF(Mecze[[#This Row],[Role]]&lt;&gt;"BR",SUMPRODUCT(Mecze[[#This Row],[/PR:90]:[/BR:90]],Brudnopis!$E$25:$J$25),0)</f>
        <v>6.25E-2</v>
      </c>
      <c r="V3358" s="44">
        <f>IF(Mecze[[#This Row],[Role]]&lt;&gt;"BR",SUMPRODUCT(Mecze[[#This Row],[/PR:90]:[/BR:90]],Brudnopis!$E$26:$J$26),0)</f>
        <v>5.2083333333333329E-2</v>
      </c>
      <c r="W3358" s="44">
        <f>IF(Mecze[[#This Row],[Role]]&lt;&gt;"BR",SUMPRODUCT(Mecze[[#This Row],[/PR:90]:[/BR:90]],Brudnopis!$E$27:$J$27),0)</f>
        <v>5.46875E-2</v>
      </c>
      <c r="X3358" s="44">
        <f>IF(Mecze[[#This Row],[Role]]&lt;&gt;"BR",SUMPRODUCT(Mecze[[#This Row],[/PR:90]:[/BR:90]],Brudnopis!$E$28:$J$28),0)</f>
        <v>2.0833333333333332E-2</v>
      </c>
      <c r="Y3358" s="35">
        <f>IF(Mecze[[#This Row],[Role]]="BR",Mecze[[#This Row],[/OB:90]]+Mecze[[#This Row],[/PC:90]],SUM(Mecze[[#This Row],[/PR:90]:[/BR:90]]))</f>
        <v>5.2083333333333329E-2</v>
      </c>
      <c r="Z3358" s="35">
        <f>IF(Mecze[[#This Row],[KC]]=0,SUM(Mecze[[#This Row],[/BRI]:[/NPI]]),SUM(Mecze[[#This Row],[/BRI]:[/NPI]])*0.6)</f>
        <v>0.25260416666666663</v>
      </c>
      <c r="AA3358" s="10">
        <f>IFERROR(Mecze[[#This Row],[BR]]/Mecze[[#This Row],[ST]],0)</f>
        <v>0</v>
      </c>
      <c r="AB3358">
        <f>ROUND(Mecze[[#This Row],[PD]]*Mecze[[#This Row],[%PC]],0)</f>
        <v>2</v>
      </c>
      <c r="AC3358">
        <f>ROUND(Mecze[[#This Row],[OD]]*Mecze[[#This Row],[%OU]],0)</f>
        <v>2</v>
      </c>
      <c r="AD3358" s="36" t="s">
        <v>67</v>
      </c>
      <c r="AE3358" s="36">
        <v>187</v>
      </c>
      <c r="AF3358" s="71">
        <v>2.91</v>
      </c>
      <c r="AG3358" s="37">
        <v>0</v>
      </c>
      <c r="AH3358" s="37">
        <v>0</v>
      </c>
      <c r="AI3358" s="37">
        <v>96</v>
      </c>
      <c r="AJ3358" s="37">
        <v>2</v>
      </c>
      <c r="AK3358" s="37" t="str">
        <f>VLOOKUP(Mecze[[#This Row],[Match ID]],Meczusie[Mecz]:Meczusie[RodzajMeczu],2,FALSE)</f>
        <v>Liga</v>
      </c>
    </row>
    <row r="3359" spans="1:37" x14ac:dyDescent="0.25">
      <c r="A3359" s="76">
        <v>43</v>
      </c>
      <c r="B3359" s="3" t="s">
        <v>503</v>
      </c>
      <c r="C3359" s="2" t="s">
        <v>160</v>
      </c>
      <c r="D3359" s="1">
        <v>0</v>
      </c>
      <c r="E3359" s="1">
        <v>0</v>
      </c>
      <c r="F3359" s="1">
        <v>0</v>
      </c>
      <c r="G3359" s="1">
        <v>0</v>
      </c>
      <c r="H3359" s="72"/>
      <c r="I3359" s="1">
        <v>2</v>
      </c>
      <c r="J3359" s="4">
        <v>0</v>
      </c>
      <c r="K3359" s="1">
        <v>0</v>
      </c>
      <c r="L3359" s="1">
        <v>0</v>
      </c>
      <c r="M3359" s="32">
        <f>IF(Mecze[[#This Row],[PR]]=0,0,Mecze[[#This Row],[PR]]/Mecze[[#This Row],[CZAS]])</f>
        <v>0</v>
      </c>
      <c r="N3359" s="32">
        <f>IF(Mecze[[#This Row],[OU]]=0,0,Mecze[[#This Row],[OU]]/Mecze[[#This Row],[CZAS]])</f>
        <v>0</v>
      </c>
      <c r="O3359" s="32">
        <f>IF(Mecze[[#This Row],[PC]]=0,0,Mecze[[#This Row],[PC]]/Mecze[[#This Row],[CZAS]])</f>
        <v>0</v>
      </c>
      <c r="P3359" s="32">
        <f>IF(Mecze[[#This Row],[SC]]=0,0,Mecze[[#This Row],[SC]]/Mecze[[#This Row],[CZAS]])</f>
        <v>0</v>
      </c>
      <c r="Q3359" s="32">
        <f>IF(Mecze[[#This Row],[OB]]=0,0,Mecze[[#This Row],[OB]]/Mecze[[#This Row],[CZAS]])</f>
        <v>0</v>
      </c>
      <c r="R3359" s="32">
        <f>IF(Mecze[[#This Row],[BR]]=0,0,Mecze[[#This Row],[BR]]/Mecze[[#This Row],[CZAS]])</f>
        <v>0</v>
      </c>
      <c r="S3359" s="44">
        <f>IF(Mecze[[#This Row],[Role]]="BR",SUMPRODUCT(Mecze[[#This Row],[/PR:90]:[/BR:90]],Brudnopis!$E$23:$J$23),0)</f>
        <v>0</v>
      </c>
      <c r="T3359" s="44">
        <f>IF(Mecze[[#This Row],[Role]]&lt;&gt;"BR",SUMPRODUCT(Mecze[[#This Row],[/PR:90]:[/BR:90]],Brudnopis!$E$24:$J$24),0)</f>
        <v>0</v>
      </c>
      <c r="U3359" s="44">
        <f>IF(Mecze[[#This Row],[Role]]&lt;&gt;"BR",SUMPRODUCT(Mecze[[#This Row],[/PR:90]:[/BR:90]],Brudnopis!$E$25:$J$25),0)</f>
        <v>0</v>
      </c>
      <c r="V3359" s="44">
        <f>IF(Mecze[[#This Row],[Role]]&lt;&gt;"BR",SUMPRODUCT(Mecze[[#This Row],[/PR:90]:[/BR:90]],Brudnopis!$E$26:$J$26),0)</f>
        <v>0</v>
      </c>
      <c r="W3359" s="44">
        <f>IF(Mecze[[#This Row],[Role]]&lt;&gt;"BR",SUMPRODUCT(Mecze[[#This Row],[/PR:90]:[/BR:90]],Brudnopis!$E$27:$J$27),0)</f>
        <v>0</v>
      </c>
      <c r="X3359" s="44">
        <f>IF(Mecze[[#This Row],[Role]]&lt;&gt;"BR",SUMPRODUCT(Mecze[[#This Row],[/PR:90]:[/BR:90]],Brudnopis!$E$28:$J$28),0)</f>
        <v>0</v>
      </c>
      <c r="Y3359" s="35">
        <f>IF(Mecze[[#This Row],[Role]]="BR",Mecze[[#This Row],[/OB:90]]+Mecze[[#This Row],[/PC:90]],SUM(Mecze[[#This Row],[/PR:90]:[/BR:90]]))</f>
        <v>0</v>
      </c>
      <c r="Z3359" s="35">
        <f>IF(Mecze[[#This Row],[KC]]=0,SUM(Mecze[[#This Row],[/BRI]:[/NPI]]),SUM(Mecze[[#This Row],[/BRI]:[/NPI]])*0.6)</f>
        <v>0</v>
      </c>
      <c r="AA3359" s="10">
        <f>IFERROR(Mecze[[#This Row],[BR]]/Mecze[[#This Row],[ST]],0)</f>
        <v>0</v>
      </c>
      <c r="AB3359">
        <f>ROUND(Mecze[[#This Row],[PD]]*Mecze[[#This Row],[%PC]],0)</f>
        <v>0</v>
      </c>
      <c r="AC3359">
        <f>ROUND(Mecze[[#This Row],[OD]]*Mecze[[#This Row],[%OU]],0)</f>
        <v>0</v>
      </c>
      <c r="AD3359" s="36" t="s">
        <v>318</v>
      </c>
      <c r="AE3359" s="36">
        <v>187</v>
      </c>
      <c r="AF3359" s="71">
        <v>2.7</v>
      </c>
      <c r="AG3359" s="37">
        <v>0</v>
      </c>
      <c r="AH3359" s="37">
        <v>0</v>
      </c>
      <c r="AI3359" s="37">
        <v>96</v>
      </c>
      <c r="AJ3359" s="37">
        <v>2</v>
      </c>
      <c r="AK3359" s="37" t="str">
        <f>VLOOKUP(Mecze[[#This Row],[Match ID]],Meczusie[Mecz]:Meczusie[RodzajMeczu],2,FALSE)</f>
        <v>Liga</v>
      </c>
    </row>
    <row r="3360" spans="1:37" x14ac:dyDescent="0.25">
      <c r="A3360" s="76">
        <v>31</v>
      </c>
      <c r="B3360" s="3" t="s">
        <v>501</v>
      </c>
      <c r="C3360" s="2" t="s">
        <v>160</v>
      </c>
      <c r="D3360" s="1">
        <v>0</v>
      </c>
      <c r="E3360" s="1">
        <v>0</v>
      </c>
      <c r="F3360" s="1">
        <v>0</v>
      </c>
      <c r="G3360" s="1">
        <v>12</v>
      </c>
      <c r="H3360" s="4">
        <v>0.33</v>
      </c>
      <c r="I3360" s="1">
        <v>6</v>
      </c>
      <c r="J3360" s="4">
        <v>0.17</v>
      </c>
      <c r="K3360" s="1">
        <v>0</v>
      </c>
      <c r="L3360" s="1">
        <v>0</v>
      </c>
      <c r="M3360" s="32">
        <f>IF(Mecze[[#This Row],[PR]]=0,0,Mecze[[#This Row],[PR]]/Mecze[[#This Row],[CZAS]])</f>
        <v>0</v>
      </c>
      <c r="N3360" s="32">
        <f>IF(Mecze[[#This Row],[OU]]=0,0,Mecze[[#This Row],[OU]]/Mecze[[#This Row],[CZAS]])</f>
        <v>1.0416666666666666E-2</v>
      </c>
      <c r="O3360" s="32">
        <f>IF(Mecze[[#This Row],[PC]]=0,0,Mecze[[#This Row],[PC]]/Mecze[[#This Row],[CZAS]])</f>
        <v>4.1666666666666664E-2</v>
      </c>
      <c r="P3360" s="32">
        <f>IF(Mecze[[#This Row],[SC]]=0,0,Mecze[[#This Row],[SC]]/Mecze[[#This Row],[CZAS]])</f>
        <v>0</v>
      </c>
      <c r="Q3360" s="32">
        <f>IF(Mecze[[#This Row],[OB]]=0,0,Mecze[[#This Row],[OB]]/Mecze[[#This Row],[CZAS]])</f>
        <v>0</v>
      </c>
      <c r="R3360" s="32">
        <f>IF(Mecze[[#This Row],[BR]]=0,0,Mecze[[#This Row],[BR]]/Mecze[[#This Row],[CZAS]])</f>
        <v>0</v>
      </c>
      <c r="S3360" s="44">
        <f>IF(Mecze[[#This Row],[Role]]="BR",SUMPRODUCT(Mecze[[#This Row],[/PR:90]:[/BR:90]],Brudnopis!$E$23:$J$23),0)</f>
        <v>0</v>
      </c>
      <c r="T3360" s="44">
        <f>IF(Mecze[[#This Row],[Role]]&lt;&gt;"BR",SUMPRODUCT(Mecze[[#This Row],[/PR:90]:[/BR:90]],Brudnopis!$E$24:$J$24),0)</f>
        <v>5.7291666666666664E-2</v>
      </c>
      <c r="U3360" s="44">
        <f>IF(Mecze[[#This Row],[Role]]&lt;&gt;"BR",SUMPRODUCT(Mecze[[#This Row],[/PR:90]:[/BR:90]],Brudnopis!$E$25:$J$25),0)</f>
        <v>7.2916666666666671E-2</v>
      </c>
      <c r="V3360" s="44">
        <f>IF(Mecze[[#This Row],[Role]]&lt;&gt;"BR",SUMPRODUCT(Mecze[[#This Row],[/PR:90]:[/BR:90]],Brudnopis!$E$26:$J$26),0)</f>
        <v>5.2083333333333329E-2</v>
      </c>
      <c r="W3360" s="44">
        <f>IF(Mecze[[#This Row],[Role]]&lt;&gt;"BR",SUMPRODUCT(Mecze[[#This Row],[/PR:90]:[/BR:90]],Brudnopis!$E$27:$J$27),0)</f>
        <v>7.03125E-2</v>
      </c>
      <c r="X3360" s="44">
        <f>IF(Mecze[[#This Row],[Role]]&lt;&gt;"BR",SUMPRODUCT(Mecze[[#This Row],[/PR:90]:[/BR:90]],Brudnopis!$E$28:$J$28),0)</f>
        <v>4.1666666666666664E-2</v>
      </c>
      <c r="Y3360" s="35">
        <f>IF(Mecze[[#This Row],[Role]]="BR",Mecze[[#This Row],[/OB:90]]+Mecze[[#This Row],[/PC:90]],SUM(Mecze[[#This Row],[/PR:90]:[/BR:90]]))</f>
        <v>5.2083333333333329E-2</v>
      </c>
      <c r="Z3360" s="35">
        <f>IF(Mecze[[#This Row],[KC]]=0,SUM(Mecze[[#This Row],[/BRI]:[/NPI]]),SUM(Mecze[[#This Row],[/BRI]:[/NPI]])*0.6)</f>
        <v>0.29427083333333337</v>
      </c>
      <c r="AA3360" s="10">
        <f>IFERROR(Mecze[[#This Row],[BR]]/Mecze[[#This Row],[ST]],0)</f>
        <v>0</v>
      </c>
      <c r="AB3360">
        <f>ROUND(Mecze[[#This Row],[PD]]*Mecze[[#This Row],[%PC]],0)</f>
        <v>4</v>
      </c>
      <c r="AC3360">
        <f>ROUND(Mecze[[#This Row],[OD]]*Mecze[[#This Row],[%OU]],0)</f>
        <v>1</v>
      </c>
      <c r="AD3360" s="36" t="s">
        <v>67</v>
      </c>
      <c r="AE3360" s="36">
        <v>187</v>
      </c>
      <c r="AF3360" s="71">
        <v>2.7</v>
      </c>
      <c r="AG3360" s="37">
        <v>0</v>
      </c>
      <c r="AH3360" s="37">
        <v>0</v>
      </c>
      <c r="AI3360" s="37">
        <v>96</v>
      </c>
      <c r="AJ3360" s="37">
        <v>2</v>
      </c>
      <c r="AK3360" s="37" t="str">
        <f>VLOOKUP(Mecze[[#This Row],[Match ID]],Meczusie[Mecz]:Meczusie[RodzajMeczu],2,FALSE)</f>
        <v>Liga</v>
      </c>
    </row>
    <row r="3361" spans="1:37" x14ac:dyDescent="0.25">
      <c r="A3361" s="76">
        <v>99</v>
      </c>
      <c r="B3361" s="3" t="s">
        <v>513</v>
      </c>
      <c r="C3361" s="2" t="s">
        <v>165</v>
      </c>
      <c r="D3361" s="1">
        <v>0</v>
      </c>
      <c r="E3361" s="1">
        <v>0</v>
      </c>
      <c r="F3361" s="1">
        <v>0</v>
      </c>
      <c r="G3361" s="1">
        <v>1</v>
      </c>
      <c r="H3361" s="4">
        <v>1</v>
      </c>
      <c r="I3361" s="1">
        <v>4</v>
      </c>
      <c r="J3361" s="4">
        <v>0.25</v>
      </c>
      <c r="K3361" s="1">
        <v>0</v>
      </c>
      <c r="L3361" s="1">
        <v>0</v>
      </c>
      <c r="M3361" s="32">
        <f>IF(Mecze[[#This Row],[PR]]=0,0,Mecze[[#This Row],[PR]]/Mecze[[#This Row],[CZAS]])</f>
        <v>0</v>
      </c>
      <c r="N3361" s="32">
        <f>IF(Mecze[[#This Row],[OU]]=0,0,Mecze[[#This Row],[OU]]/Mecze[[#This Row],[CZAS]])</f>
        <v>1.0416666666666666E-2</v>
      </c>
      <c r="O3361" s="32">
        <f>IF(Mecze[[#This Row],[PC]]=0,0,Mecze[[#This Row],[PC]]/Mecze[[#This Row],[CZAS]])</f>
        <v>1.0416666666666666E-2</v>
      </c>
      <c r="P3361" s="32">
        <f>IF(Mecze[[#This Row],[SC]]=0,0,Mecze[[#This Row],[SC]]/Mecze[[#This Row],[CZAS]])</f>
        <v>0</v>
      </c>
      <c r="Q3361" s="32">
        <f>IF(Mecze[[#This Row],[OB]]=0,0,Mecze[[#This Row],[OB]]/Mecze[[#This Row],[CZAS]])</f>
        <v>0</v>
      </c>
      <c r="R3361" s="32">
        <f>IF(Mecze[[#This Row],[BR]]=0,0,Mecze[[#This Row],[BR]]/Mecze[[#This Row],[CZAS]])</f>
        <v>0</v>
      </c>
      <c r="S3361" s="44">
        <f>IF(Mecze[[#This Row],[Role]]="BR",SUMPRODUCT(Mecze[[#This Row],[/PR:90]:[/BR:90]],Brudnopis!$E$23:$J$23),0)</f>
        <v>0</v>
      </c>
      <c r="T3361" s="44">
        <f>IF(Mecze[[#This Row],[Role]]&lt;&gt;"BR",SUMPRODUCT(Mecze[[#This Row],[/PR:90]:[/BR:90]],Brudnopis!$E$24:$J$24),0)</f>
        <v>2.6041666666666664E-2</v>
      </c>
      <c r="U3361" s="44">
        <f>IF(Mecze[[#This Row],[Role]]&lt;&gt;"BR",SUMPRODUCT(Mecze[[#This Row],[/PR:90]:[/BR:90]],Brudnopis!$E$25:$J$25),0)</f>
        <v>2.6041666666666664E-2</v>
      </c>
      <c r="V3361" s="44">
        <f>IF(Mecze[[#This Row],[Role]]&lt;&gt;"BR",SUMPRODUCT(Mecze[[#This Row],[/PR:90]:[/BR:90]],Brudnopis!$E$26:$J$26),0)</f>
        <v>2.0833333333333332E-2</v>
      </c>
      <c r="W3361" s="44">
        <f>IF(Mecze[[#This Row],[Role]]&lt;&gt;"BR",SUMPRODUCT(Mecze[[#This Row],[/PR:90]:[/BR:90]],Brudnopis!$E$27:$J$27),0)</f>
        <v>2.34375E-2</v>
      </c>
      <c r="X3361" s="44">
        <f>IF(Mecze[[#This Row],[Role]]&lt;&gt;"BR",SUMPRODUCT(Mecze[[#This Row],[/PR:90]:[/BR:90]],Brudnopis!$E$28:$J$28),0)</f>
        <v>1.0416666666666666E-2</v>
      </c>
      <c r="Y3361" s="35">
        <f>IF(Mecze[[#This Row],[Role]]="BR",Mecze[[#This Row],[/OB:90]]+Mecze[[#This Row],[/PC:90]],SUM(Mecze[[#This Row],[/PR:90]:[/BR:90]]))</f>
        <v>2.0833333333333332E-2</v>
      </c>
      <c r="Z3361" s="35">
        <f>IF(Mecze[[#This Row],[KC]]=0,SUM(Mecze[[#This Row],[/BRI]:[/NPI]]),SUM(Mecze[[#This Row],[/BRI]:[/NPI]])*0.6)</f>
        <v>0.10677083333333333</v>
      </c>
      <c r="AA3361" s="10">
        <f>IFERROR(Mecze[[#This Row],[BR]]/Mecze[[#This Row],[ST]],0)</f>
        <v>0</v>
      </c>
      <c r="AB3361">
        <f>ROUND(Mecze[[#This Row],[PD]]*Mecze[[#This Row],[%PC]],0)</f>
        <v>1</v>
      </c>
      <c r="AC3361">
        <f>ROUND(Mecze[[#This Row],[OD]]*Mecze[[#This Row],[%OU]],0)</f>
        <v>1</v>
      </c>
      <c r="AD3361" s="36" t="s">
        <v>273</v>
      </c>
      <c r="AE3361" s="36">
        <v>187</v>
      </c>
      <c r="AF3361" s="71">
        <v>2.71</v>
      </c>
      <c r="AG3361" s="37">
        <v>0</v>
      </c>
      <c r="AH3361" s="37">
        <v>0</v>
      </c>
      <c r="AI3361" s="37">
        <v>96</v>
      </c>
      <c r="AJ3361" s="37">
        <v>2</v>
      </c>
      <c r="AK3361" s="37" t="str">
        <f>VLOOKUP(Mecze[[#This Row],[Match ID]],Meczusie[Mecz]:Meczusie[RodzajMeczu],2,FALSE)</f>
        <v>Liga</v>
      </c>
    </row>
    <row r="3362" spans="1:37" x14ac:dyDescent="0.25">
      <c r="A3362" s="76">
        <v>70</v>
      </c>
      <c r="B3362" s="3" t="s">
        <v>365</v>
      </c>
      <c r="C3362" s="2" t="s">
        <v>165</v>
      </c>
      <c r="D3362" s="1">
        <v>0</v>
      </c>
      <c r="E3362" s="1">
        <v>0</v>
      </c>
      <c r="F3362" s="1">
        <v>0</v>
      </c>
      <c r="G3362" s="1">
        <v>6</v>
      </c>
      <c r="H3362" s="4">
        <v>0.83</v>
      </c>
      <c r="I3362" s="1">
        <v>3</v>
      </c>
      <c r="J3362" s="4">
        <v>0.67</v>
      </c>
      <c r="K3362" s="1">
        <v>0</v>
      </c>
      <c r="L3362" s="1">
        <v>0</v>
      </c>
      <c r="M3362" s="32">
        <f>IF(Mecze[[#This Row],[PR]]=0,0,Mecze[[#This Row],[PR]]/Mecze[[#This Row],[CZAS]])</f>
        <v>0</v>
      </c>
      <c r="N3362" s="32">
        <f>IF(Mecze[[#This Row],[OU]]=0,0,Mecze[[#This Row],[OU]]/Mecze[[#This Row],[CZAS]])</f>
        <v>2.0833333333333332E-2</v>
      </c>
      <c r="O3362" s="32">
        <f>IF(Mecze[[#This Row],[PC]]=0,0,Mecze[[#This Row],[PC]]/Mecze[[#This Row],[CZAS]])</f>
        <v>5.2083333333333336E-2</v>
      </c>
      <c r="P3362" s="32">
        <f>IF(Mecze[[#This Row],[SC]]=0,0,Mecze[[#This Row],[SC]]/Mecze[[#This Row],[CZAS]])</f>
        <v>0</v>
      </c>
      <c r="Q3362" s="32">
        <f>IF(Mecze[[#This Row],[OB]]=0,0,Mecze[[#This Row],[OB]]/Mecze[[#This Row],[CZAS]])</f>
        <v>0</v>
      </c>
      <c r="R3362" s="32">
        <f>IF(Mecze[[#This Row],[BR]]=0,0,Mecze[[#This Row],[BR]]/Mecze[[#This Row],[CZAS]])</f>
        <v>0</v>
      </c>
      <c r="S3362" s="44">
        <f>IF(Mecze[[#This Row],[Role]]="BR",SUMPRODUCT(Mecze[[#This Row],[/PR:90]:[/BR:90]],Brudnopis!$E$23:$J$23),0)</f>
        <v>0</v>
      </c>
      <c r="T3362" s="44">
        <f>IF(Mecze[[#This Row],[Role]]&lt;&gt;"BR",SUMPRODUCT(Mecze[[#This Row],[/PR:90]:[/BR:90]],Brudnopis!$E$24:$J$24),0)</f>
        <v>8.3333333333333343E-2</v>
      </c>
      <c r="U3362" s="44">
        <f>IF(Mecze[[#This Row],[Role]]&lt;&gt;"BR",SUMPRODUCT(Mecze[[#This Row],[/PR:90]:[/BR:90]],Brudnopis!$E$25:$J$25),0)</f>
        <v>9.8958333333333329E-2</v>
      </c>
      <c r="V3362" s="44">
        <f>IF(Mecze[[#This Row],[Role]]&lt;&gt;"BR",SUMPRODUCT(Mecze[[#This Row],[/PR:90]:[/BR:90]],Brudnopis!$E$26:$J$26),0)</f>
        <v>7.2916666666666671E-2</v>
      </c>
      <c r="W3362" s="44">
        <f>IF(Mecze[[#This Row],[Role]]&lt;&gt;"BR",SUMPRODUCT(Mecze[[#This Row],[/PR:90]:[/BR:90]],Brudnopis!$E$27:$J$27),0)</f>
        <v>9.375E-2</v>
      </c>
      <c r="X3362" s="44">
        <f>IF(Mecze[[#This Row],[Role]]&lt;&gt;"BR",SUMPRODUCT(Mecze[[#This Row],[/PR:90]:[/BR:90]],Brudnopis!$E$28:$J$28),0)</f>
        <v>5.2083333333333336E-2</v>
      </c>
      <c r="Y3362" s="35">
        <f>IF(Mecze[[#This Row],[Role]]="BR",Mecze[[#This Row],[/OB:90]]+Mecze[[#This Row],[/PC:90]],SUM(Mecze[[#This Row],[/PR:90]:[/BR:90]]))</f>
        <v>7.2916666666666671E-2</v>
      </c>
      <c r="Z3362" s="35">
        <f>IF(Mecze[[#This Row],[KC]]=0,SUM(Mecze[[#This Row],[/BRI]:[/NPI]]),SUM(Mecze[[#This Row],[/BRI]:[/NPI]])*0.6)</f>
        <v>0.40104166666666669</v>
      </c>
      <c r="AA3362" s="10">
        <f>IFERROR(Mecze[[#This Row],[BR]]/Mecze[[#This Row],[ST]],0)</f>
        <v>0</v>
      </c>
      <c r="AB3362">
        <f>ROUND(Mecze[[#This Row],[PD]]*Mecze[[#This Row],[%PC]],0)</f>
        <v>5</v>
      </c>
      <c r="AC3362">
        <f>ROUND(Mecze[[#This Row],[OD]]*Mecze[[#This Row],[%OU]],0)</f>
        <v>2</v>
      </c>
      <c r="AD3362" s="36" t="s">
        <v>272</v>
      </c>
      <c r="AE3362" s="36">
        <v>187</v>
      </c>
      <c r="AF3362" s="71">
        <v>3.85</v>
      </c>
      <c r="AG3362" s="37">
        <v>1</v>
      </c>
      <c r="AH3362" s="37">
        <v>0</v>
      </c>
      <c r="AI3362" s="37">
        <v>96</v>
      </c>
      <c r="AJ3362" s="37">
        <v>2</v>
      </c>
      <c r="AK3362" s="37" t="str">
        <f>VLOOKUP(Mecze[[#This Row],[Match ID]],Meczusie[Mecz]:Meczusie[RodzajMeczu],2,FALSE)</f>
        <v>Liga</v>
      </c>
    </row>
    <row r="3363" spans="1:37" x14ac:dyDescent="0.25">
      <c r="A3363" s="76">
        <v>1</v>
      </c>
      <c r="B3363" s="3" t="s">
        <v>344</v>
      </c>
      <c r="C3363" s="2" t="s">
        <v>155</v>
      </c>
      <c r="D3363" s="1">
        <v>0</v>
      </c>
      <c r="E3363" s="1">
        <v>0</v>
      </c>
      <c r="F3363" s="1">
        <v>0</v>
      </c>
      <c r="G3363" s="1">
        <v>0</v>
      </c>
      <c r="H3363" s="72"/>
      <c r="I3363" s="1">
        <v>0</v>
      </c>
      <c r="J3363" s="4"/>
      <c r="K3363" s="1">
        <v>1</v>
      </c>
      <c r="L3363" s="1">
        <v>0</v>
      </c>
      <c r="M3363" s="32">
        <f>IF(Mecze[[#This Row],[PR]]=0,0,Mecze[[#This Row],[PR]]/Mecze[[#This Row],[CZAS]])</f>
        <v>0</v>
      </c>
      <c r="N3363" s="32">
        <f>IF(Mecze[[#This Row],[OU]]=0,0,Mecze[[#This Row],[OU]]/Mecze[[#This Row],[CZAS]])</f>
        <v>0</v>
      </c>
      <c r="O3363" s="32">
        <f>IF(Mecze[[#This Row],[PC]]=0,0,Mecze[[#This Row],[PC]]/Mecze[[#This Row],[CZAS]])</f>
        <v>0</v>
      </c>
      <c r="P3363" s="32">
        <f>IF(Mecze[[#This Row],[SC]]=0,0,Mecze[[#This Row],[SC]]/Mecze[[#This Row],[CZAS]])</f>
        <v>0</v>
      </c>
      <c r="Q3363" s="32">
        <f>IF(Mecze[[#This Row],[OB]]=0,0,Mecze[[#This Row],[OB]]/Mecze[[#This Row],[CZAS]])</f>
        <v>1.0416666666666666E-2</v>
      </c>
      <c r="R3363" s="32">
        <f>IF(Mecze[[#This Row],[BR]]=0,0,Mecze[[#This Row],[BR]]/Mecze[[#This Row],[CZAS]])</f>
        <v>0</v>
      </c>
      <c r="S3363" s="44">
        <f>IF(Mecze[[#This Row],[Role]]="BR",SUMPRODUCT(Mecze[[#This Row],[/PR:90]:[/BR:90]],Brudnopis!$E$23:$J$23),0)</f>
        <v>3.125E-2</v>
      </c>
      <c r="T3363" s="44">
        <f>IF(Mecze[[#This Row],[Role]]&lt;&gt;"BR",SUMPRODUCT(Mecze[[#This Row],[/PR:90]:[/BR:90]],Brudnopis!$E$24:$J$24),0)</f>
        <v>0</v>
      </c>
      <c r="U3363" s="44">
        <f>IF(Mecze[[#This Row],[Role]]&lt;&gt;"BR",SUMPRODUCT(Mecze[[#This Row],[/PR:90]:[/BR:90]],Brudnopis!$E$25:$J$25),0)</f>
        <v>0</v>
      </c>
      <c r="V3363" s="44">
        <f>IF(Mecze[[#This Row],[Role]]&lt;&gt;"BR",SUMPRODUCT(Mecze[[#This Row],[/PR:90]:[/BR:90]],Brudnopis!$E$26:$J$26),0)</f>
        <v>0</v>
      </c>
      <c r="W3363" s="44">
        <f>IF(Mecze[[#This Row],[Role]]&lt;&gt;"BR",SUMPRODUCT(Mecze[[#This Row],[/PR:90]:[/BR:90]],Brudnopis!$E$27:$J$27),0)</f>
        <v>0</v>
      </c>
      <c r="X3363" s="44">
        <f>IF(Mecze[[#This Row],[Role]]&lt;&gt;"BR",SUMPRODUCT(Mecze[[#This Row],[/PR:90]:[/BR:90]],Brudnopis!$E$28:$J$28),0)</f>
        <v>0</v>
      </c>
      <c r="Y3363" s="35">
        <f>IF(Mecze[[#This Row],[Role]]="BR",Mecze[[#This Row],[/OB:90]]+Mecze[[#This Row],[/PC:90]],SUM(Mecze[[#This Row],[/PR:90]:[/BR:90]]))</f>
        <v>1.0416666666666666E-2</v>
      </c>
      <c r="Z3363" s="35">
        <f>IF(Mecze[[#This Row],[KC]]=0,SUM(Mecze[[#This Row],[/BRI]:[/NPI]]),SUM(Mecze[[#This Row],[/BRI]:[/NPI]])*0.6)</f>
        <v>3.125E-2</v>
      </c>
      <c r="AA3363" s="10">
        <f>IFERROR(Mecze[[#This Row],[BR]]/Mecze[[#This Row],[ST]],0)</f>
        <v>0</v>
      </c>
      <c r="AB3363">
        <f>ROUND(Mecze[[#This Row],[PD]]*Mecze[[#This Row],[%PC]],0)</f>
        <v>0</v>
      </c>
      <c r="AC3363">
        <f>ROUND(Mecze[[#This Row],[OD]]*Mecze[[#This Row],[%OU]],0)</f>
        <v>0</v>
      </c>
      <c r="AD3363" s="36" t="s">
        <v>40</v>
      </c>
      <c r="AE3363" s="36">
        <v>187</v>
      </c>
      <c r="AF3363" s="71">
        <v>7.39</v>
      </c>
      <c r="AG3363" s="37">
        <v>0</v>
      </c>
      <c r="AH3363" s="37">
        <v>0</v>
      </c>
      <c r="AI3363" s="37">
        <v>96</v>
      </c>
      <c r="AJ3363" s="37">
        <v>5</v>
      </c>
      <c r="AK3363" s="37" t="str">
        <f>VLOOKUP(Mecze[[#This Row],[Match ID]],Meczusie[Mecz]:Meczusie[RodzajMeczu],2,FALSE)</f>
        <v>Liga</v>
      </c>
    </row>
    <row r="3364" spans="1:37" x14ac:dyDescent="0.25">
      <c r="A3364" s="76">
        <v>2</v>
      </c>
      <c r="B3364" s="3" t="s">
        <v>345</v>
      </c>
      <c r="C3364" s="2" t="s">
        <v>157</v>
      </c>
      <c r="D3364" s="1">
        <v>0</v>
      </c>
      <c r="E3364" s="1">
        <v>0</v>
      </c>
      <c r="F3364" s="1">
        <v>0</v>
      </c>
      <c r="G3364" s="1">
        <v>7</v>
      </c>
      <c r="H3364" s="4">
        <v>0.86</v>
      </c>
      <c r="I3364" s="1">
        <v>6</v>
      </c>
      <c r="J3364" s="4">
        <v>0.67</v>
      </c>
      <c r="K3364" s="1">
        <v>0</v>
      </c>
      <c r="L3364" s="1">
        <v>6</v>
      </c>
      <c r="M3364" s="32">
        <f>IF(Mecze[[#This Row],[PR]]=0,0,Mecze[[#This Row],[PR]]/Mecze[[#This Row],[CZAS]])</f>
        <v>6.25E-2</v>
      </c>
      <c r="N3364" s="32">
        <f>IF(Mecze[[#This Row],[OU]]=0,0,Mecze[[#This Row],[OU]]/Mecze[[#This Row],[CZAS]])</f>
        <v>4.1666666666666664E-2</v>
      </c>
      <c r="O3364" s="32">
        <f>IF(Mecze[[#This Row],[PC]]=0,0,Mecze[[#This Row],[PC]]/Mecze[[#This Row],[CZAS]])</f>
        <v>6.25E-2</v>
      </c>
      <c r="P3364" s="32">
        <f>IF(Mecze[[#This Row],[SC]]=0,0,Mecze[[#This Row],[SC]]/Mecze[[#This Row],[CZAS]])</f>
        <v>0</v>
      </c>
      <c r="Q3364" s="32">
        <f>IF(Mecze[[#This Row],[OB]]=0,0,Mecze[[#This Row],[OB]]/Mecze[[#This Row],[CZAS]])</f>
        <v>0</v>
      </c>
      <c r="R3364" s="32">
        <f>IF(Mecze[[#This Row],[BR]]=0,0,Mecze[[#This Row],[BR]]/Mecze[[#This Row],[CZAS]])</f>
        <v>0</v>
      </c>
      <c r="S3364" s="44">
        <f>IF(Mecze[[#This Row],[Role]]="BR",SUMPRODUCT(Mecze[[#This Row],[/PR:90]:[/BR:90]],Brudnopis!$E$23:$J$23),0)</f>
        <v>0</v>
      </c>
      <c r="T3364" s="44">
        <f>IF(Mecze[[#This Row],[Role]]&lt;&gt;"BR",SUMPRODUCT(Mecze[[#This Row],[/PR:90]:[/BR:90]],Brudnopis!$E$24:$J$24),0)</f>
        <v>0.1875</v>
      </c>
      <c r="U3364" s="44">
        <f>IF(Mecze[[#This Row],[Role]]&lt;&gt;"BR",SUMPRODUCT(Mecze[[#This Row],[/PR:90]:[/BR:90]],Brudnopis!$E$25:$J$25),0)</f>
        <v>0.19791666666666666</v>
      </c>
      <c r="V3364" s="44">
        <f>IF(Mecze[[#This Row],[Role]]&lt;&gt;"BR",SUMPRODUCT(Mecze[[#This Row],[/PR:90]:[/BR:90]],Brudnopis!$E$26:$J$26),0)</f>
        <v>0.16666666666666666</v>
      </c>
      <c r="W3364" s="44">
        <f>IF(Mecze[[#This Row],[Role]]&lt;&gt;"BR",SUMPRODUCT(Mecze[[#This Row],[/PR:90]:[/BR:90]],Brudnopis!$E$27:$J$27),0)</f>
        <v>0.171875</v>
      </c>
      <c r="X3364" s="44">
        <f>IF(Mecze[[#This Row],[Role]]&lt;&gt;"BR",SUMPRODUCT(Mecze[[#This Row],[/PR:90]:[/BR:90]],Brudnopis!$E$28:$J$28),0)</f>
        <v>6.25E-2</v>
      </c>
      <c r="Y3364" s="35">
        <f>IF(Mecze[[#This Row],[Role]]="BR",Mecze[[#This Row],[/OB:90]]+Mecze[[#This Row],[/PC:90]],SUM(Mecze[[#This Row],[/PR:90]:[/BR:90]]))</f>
        <v>0.16666666666666666</v>
      </c>
      <c r="Z3364" s="35">
        <f>IF(Mecze[[#This Row],[KC]]=0,SUM(Mecze[[#This Row],[/BRI]:[/NPI]]),SUM(Mecze[[#This Row],[/BRI]:[/NPI]])*0.6)</f>
        <v>0.78645833333333326</v>
      </c>
      <c r="AA3364" s="10">
        <f>IFERROR(Mecze[[#This Row],[BR]]/Mecze[[#This Row],[ST]],0)</f>
        <v>0</v>
      </c>
      <c r="AB3364">
        <f>ROUND(Mecze[[#This Row],[PD]]*Mecze[[#This Row],[%PC]],0)</f>
        <v>6</v>
      </c>
      <c r="AC3364">
        <f>ROUND(Mecze[[#This Row],[OD]]*Mecze[[#This Row],[%OU]],0)</f>
        <v>4</v>
      </c>
      <c r="AD3364" s="36" t="s">
        <v>47</v>
      </c>
      <c r="AE3364" s="36">
        <v>187</v>
      </c>
      <c r="AF3364" s="71">
        <v>9.42</v>
      </c>
      <c r="AG3364" s="37">
        <v>0</v>
      </c>
      <c r="AH3364" s="37">
        <v>0</v>
      </c>
      <c r="AI3364" s="37">
        <v>96</v>
      </c>
      <c r="AJ3364" s="37">
        <v>5</v>
      </c>
      <c r="AK3364" s="37" t="str">
        <f>VLOOKUP(Mecze[[#This Row],[Match ID]],Meczusie[Mecz]:Meczusie[RodzajMeczu],2,FALSE)</f>
        <v>Liga</v>
      </c>
    </row>
    <row r="3365" spans="1:37" x14ac:dyDescent="0.25">
      <c r="A3365" s="76">
        <v>4</v>
      </c>
      <c r="B3365" s="3" t="s">
        <v>346</v>
      </c>
      <c r="C3365" s="2" t="s">
        <v>157</v>
      </c>
      <c r="D3365" s="1">
        <v>0</v>
      </c>
      <c r="E3365" s="1">
        <v>1</v>
      </c>
      <c r="F3365" s="1">
        <v>1</v>
      </c>
      <c r="G3365" s="1">
        <v>13</v>
      </c>
      <c r="H3365" s="4">
        <v>0.85</v>
      </c>
      <c r="I3365" s="1">
        <v>4</v>
      </c>
      <c r="J3365" s="4">
        <v>1</v>
      </c>
      <c r="K3365" s="1">
        <v>0</v>
      </c>
      <c r="L3365" s="1">
        <v>11</v>
      </c>
      <c r="M3365" s="32">
        <f>IF(Mecze[[#This Row],[PR]]=0,0,Mecze[[#This Row],[PR]]/Mecze[[#This Row],[CZAS]])</f>
        <v>0.11458333333333333</v>
      </c>
      <c r="N3365" s="32">
        <f>IF(Mecze[[#This Row],[OU]]=0,0,Mecze[[#This Row],[OU]]/Mecze[[#This Row],[CZAS]])</f>
        <v>4.1666666666666664E-2</v>
      </c>
      <c r="O3365" s="32">
        <f>IF(Mecze[[#This Row],[PC]]=0,0,Mecze[[#This Row],[PC]]/Mecze[[#This Row],[CZAS]])</f>
        <v>0.11458333333333333</v>
      </c>
      <c r="P3365" s="32">
        <f>IF(Mecze[[#This Row],[SC]]=0,0,Mecze[[#This Row],[SC]]/Mecze[[#This Row],[CZAS]])</f>
        <v>1.0416666666666666E-2</v>
      </c>
      <c r="Q3365" s="32">
        <f>IF(Mecze[[#This Row],[OB]]=0,0,Mecze[[#This Row],[OB]]/Mecze[[#This Row],[CZAS]])</f>
        <v>0</v>
      </c>
      <c r="R3365" s="32">
        <f>IF(Mecze[[#This Row],[BR]]=0,0,Mecze[[#This Row],[BR]]/Mecze[[#This Row],[CZAS]])</f>
        <v>0</v>
      </c>
      <c r="S3365" s="44">
        <f>IF(Mecze[[#This Row],[Role]]="BR",SUMPRODUCT(Mecze[[#This Row],[/PR:90]:[/BR:90]],Brudnopis!$E$23:$J$23),0)</f>
        <v>0</v>
      </c>
      <c r="T3365" s="44">
        <f>IF(Mecze[[#This Row],[Role]]&lt;&gt;"BR",SUMPRODUCT(Mecze[[#This Row],[/PR:90]:[/BR:90]],Brudnopis!$E$24:$J$24),0)</f>
        <v>0.30208333333333331</v>
      </c>
      <c r="U3365" s="44">
        <f>IF(Mecze[[#This Row],[Role]]&lt;&gt;"BR",SUMPRODUCT(Mecze[[#This Row],[/PR:90]:[/BR:90]],Brudnopis!$E$25:$J$25),0)</f>
        <v>0.33854166666666669</v>
      </c>
      <c r="V3365" s="44">
        <f>IF(Mecze[[#This Row],[Role]]&lt;&gt;"BR",SUMPRODUCT(Mecze[[#This Row],[/PR:90]:[/BR:90]],Brudnopis!$E$26:$J$26),0)</f>
        <v>0.28125</v>
      </c>
      <c r="W3365" s="44">
        <f>IF(Mecze[[#This Row],[Role]]&lt;&gt;"BR",SUMPRODUCT(Mecze[[#This Row],[/PR:90]:[/BR:90]],Brudnopis!$E$27:$J$27),0)</f>
        <v>0.29947916666666669</v>
      </c>
      <c r="X3365" s="44">
        <f>IF(Mecze[[#This Row],[Role]]&lt;&gt;"BR",SUMPRODUCT(Mecze[[#This Row],[/PR:90]:[/BR:90]],Brudnopis!$E$28:$J$28),0)</f>
        <v>0.13541666666666666</v>
      </c>
      <c r="Y3365" s="35">
        <f>IF(Mecze[[#This Row],[Role]]="BR",Mecze[[#This Row],[/OB:90]]+Mecze[[#This Row],[/PC:90]],SUM(Mecze[[#This Row],[/PR:90]:[/BR:90]]))</f>
        <v>0.28125</v>
      </c>
      <c r="Z3365" s="35">
        <f>IF(Mecze[[#This Row],[KC]]=0,SUM(Mecze[[#This Row],[/BRI]:[/NPI]]),SUM(Mecze[[#This Row],[/BRI]:[/NPI]])*0.6)</f>
        <v>1.3567708333333335</v>
      </c>
      <c r="AA3365" s="10">
        <f>IFERROR(Mecze[[#This Row],[BR]]/Mecze[[#This Row],[ST]],0)</f>
        <v>0</v>
      </c>
      <c r="AB3365">
        <f>ROUND(Mecze[[#This Row],[PD]]*Mecze[[#This Row],[%PC]],0)</f>
        <v>11</v>
      </c>
      <c r="AC3365">
        <f>ROUND(Mecze[[#This Row],[OD]]*Mecze[[#This Row],[%OU]],0)</f>
        <v>4</v>
      </c>
      <c r="AD3365" s="36" t="s">
        <v>47</v>
      </c>
      <c r="AE3365" s="36">
        <v>187</v>
      </c>
      <c r="AF3365" s="71">
        <v>12.5</v>
      </c>
      <c r="AG3365" s="37">
        <v>0</v>
      </c>
      <c r="AH3365" s="37">
        <v>0</v>
      </c>
      <c r="AI3365" s="37">
        <v>96</v>
      </c>
      <c r="AJ3365" s="37">
        <v>5</v>
      </c>
      <c r="AK3365" s="37" t="str">
        <f>VLOOKUP(Mecze[[#This Row],[Match ID]],Meczusie[Mecz]:Meczusie[RodzajMeczu],2,FALSE)</f>
        <v>Liga</v>
      </c>
    </row>
    <row r="3366" spans="1:37" x14ac:dyDescent="0.25">
      <c r="A3366" s="76">
        <v>5</v>
      </c>
      <c r="B3366" s="3" t="s">
        <v>347</v>
      </c>
      <c r="C3366" s="2" t="s">
        <v>157</v>
      </c>
      <c r="D3366" s="1">
        <v>0</v>
      </c>
      <c r="E3366" s="1">
        <v>0</v>
      </c>
      <c r="F3366" s="1">
        <v>0</v>
      </c>
      <c r="G3366" s="1">
        <v>1</v>
      </c>
      <c r="H3366" s="4">
        <v>1</v>
      </c>
      <c r="I3366" s="1">
        <v>1</v>
      </c>
      <c r="J3366" s="4">
        <v>1</v>
      </c>
      <c r="K3366" s="1">
        <v>0</v>
      </c>
      <c r="L3366" s="1">
        <v>2</v>
      </c>
      <c r="M3366" s="32">
        <f>IF(Mecze[[#This Row],[PR]]=0,0,Mecze[[#This Row],[PR]]/Mecze[[#This Row],[CZAS]])</f>
        <v>2.0833333333333332E-2</v>
      </c>
      <c r="N3366" s="32">
        <f>IF(Mecze[[#This Row],[OU]]=0,0,Mecze[[#This Row],[OU]]/Mecze[[#This Row],[CZAS]])</f>
        <v>1.0416666666666666E-2</v>
      </c>
      <c r="O3366" s="32">
        <f>IF(Mecze[[#This Row],[PC]]=0,0,Mecze[[#This Row],[PC]]/Mecze[[#This Row],[CZAS]])</f>
        <v>1.0416666666666666E-2</v>
      </c>
      <c r="P3366" s="32">
        <f>IF(Mecze[[#This Row],[SC]]=0,0,Mecze[[#This Row],[SC]]/Mecze[[#This Row],[CZAS]])</f>
        <v>0</v>
      </c>
      <c r="Q3366" s="32">
        <f>IF(Mecze[[#This Row],[OB]]=0,0,Mecze[[#This Row],[OB]]/Mecze[[#This Row],[CZAS]])</f>
        <v>0</v>
      </c>
      <c r="R3366" s="32">
        <f>IF(Mecze[[#This Row],[BR]]=0,0,Mecze[[#This Row],[BR]]/Mecze[[#This Row],[CZAS]])</f>
        <v>0</v>
      </c>
      <c r="S3366" s="44">
        <f>IF(Mecze[[#This Row],[Role]]="BR",SUMPRODUCT(Mecze[[#This Row],[/PR:90]:[/BR:90]],Brudnopis!$E$23:$J$23),0)</f>
        <v>0</v>
      </c>
      <c r="T3366" s="44">
        <f>IF(Mecze[[#This Row],[Role]]&lt;&gt;"BR",SUMPRODUCT(Mecze[[#This Row],[/PR:90]:[/BR:90]],Brudnopis!$E$24:$J$24),0)</f>
        <v>4.6874999999999993E-2</v>
      </c>
      <c r="U3366" s="44">
        <f>IF(Mecze[[#This Row],[Role]]&lt;&gt;"BR",SUMPRODUCT(Mecze[[#This Row],[/PR:90]:[/BR:90]],Brudnopis!$E$25:$J$25),0)</f>
        <v>4.6875E-2</v>
      </c>
      <c r="V3366" s="44">
        <f>IF(Mecze[[#This Row],[Role]]&lt;&gt;"BR",SUMPRODUCT(Mecze[[#This Row],[/PR:90]:[/BR:90]],Brudnopis!$E$26:$J$26),0)</f>
        <v>4.1666666666666664E-2</v>
      </c>
      <c r="W3366" s="44">
        <f>IF(Mecze[[#This Row],[Role]]&lt;&gt;"BR",SUMPRODUCT(Mecze[[#This Row],[/PR:90]:[/BR:90]],Brudnopis!$E$27:$J$27),0)</f>
        <v>3.90625E-2</v>
      </c>
      <c r="X3366" s="44">
        <f>IF(Mecze[[#This Row],[Role]]&lt;&gt;"BR",SUMPRODUCT(Mecze[[#This Row],[/PR:90]:[/BR:90]],Brudnopis!$E$28:$J$28),0)</f>
        <v>1.0416666666666666E-2</v>
      </c>
      <c r="Y3366" s="35">
        <f>IF(Mecze[[#This Row],[Role]]="BR",Mecze[[#This Row],[/OB:90]]+Mecze[[#This Row],[/PC:90]],SUM(Mecze[[#This Row],[/PR:90]:[/BR:90]]))</f>
        <v>4.1666666666666664E-2</v>
      </c>
      <c r="Z3366" s="35">
        <f>IF(Mecze[[#This Row],[KC]]=0,SUM(Mecze[[#This Row],[/BRI]:[/NPI]]),SUM(Mecze[[#This Row],[/BRI]:[/NPI]])*0.6)</f>
        <v>0.18489583333333331</v>
      </c>
      <c r="AA3366" s="10">
        <f>IFERROR(Mecze[[#This Row],[BR]]/Mecze[[#This Row],[ST]],0)</f>
        <v>0</v>
      </c>
      <c r="AB3366">
        <f>ROUND(Mecze[[#This Row],[PD]]*Mecze[[#This Row],[%PC]],0)</f>
        <v>1</v>
      </c>
      <c r="AC3366">
        <f>ROUND(Mecze[[#This Row],[OD]]*Mecze[[#This Row],[%OU]],0)</f>
        <v>1</v>
      </c>
      <c r="AD3366" s="36" t="s">
        <v>175</v>
      </c>
      <c r="AE3366" s="36">
        <v>187</v>
      </c>
      <c r="AF3366" s="71">
        <v>7.46</v>
      </c>
      <c r="AG3366" s="37">
        <v>0</v>
      </c>
      <c r="AH3366" s="37">
        <v>0</v>
      </c>
      <c r="AI3366" s="37">
        <v>96</v>
      </c>
      <c r="AJ3366" s="37">
        <v>5</v>
      </c>
      <c r="AK3366" s="37" t="str">
        <f>VLOOKUP(Mecze[[#This Row],[Match ID]],Meczusie[Mecz]:Meczusie[RodzajMeczu],2,FALSE)</f>
        <v>Liga</v>
      </c>
    </row>
    <row r="3367" spans="1:37" x14ac:dyDescent="0.25">
      <c r="A3367" s="76">
        <v>3</v>
      </c>
      <c r="B3367" s="3" t="s">
        <v>348</v>
      </c>
      <c r="C3367" s="2" t="s">
        <v>157</v>
      </c>
      <c r="D3367" s="1">
        <v>0</v>
      </c>
      <c r="E3367" s="1">
        <v>0</v>
      </c>
      <c r="F3367" s="1">
        <v>0</v>
      </c>
      <c r="G3367" s="1">
        <v>2</v>
      </c>
      <c r="H3367" s="4">
        <v>1</v>
      </c>
      <c r="I3367" s="1">
        <v>0</v>
      </c>
      <c r="J3367" s="4"/>
      <c r="K3367" s="1">
        <v>0</v>
      </c>
      <c r="L3367" s="1">
        <v>1</v>
      </c>
      <c r="M3367" s="32">
        <f>IF(Mecze[[#This Row],[PR]]=0,0,Mecze[[#This Row],[PR]]/Mecze[[#This Row],[CZAS]])</f>
        <v>1.0416666666666666E-2</v>
      </c>
      <c r="N3367" s="32">
        <f>IF(Mecze[[#This Row],[OU]]=0,0,Mecze[[#This Row],[OU]]/Mecze[[#This Row],[CZAS]])</f>
        <v>0</v>
      </c>
      <c r="O3367" s="32">
        <f>IF(Mecze[[#This Row],[PC]]=0,0,Mecze[[#This Row],[PC]]/Mecze[[#This Row],[CZAS]])</f>
        <v>2.0833333333333332E-2</v>
      </c>
      <c r="P3367" s="32">
        <f>IF(Mecze[[#This Row],[SC]]=0,0,Mecze[[#This Row],[SC]]/Mecze[[#This Row],[CZAS]])</f>
        <v>0</v>
      </c>
      <c r="Q3367" s="32">
        <f>IF(Mecze[[#This Row],[OB]]=0,0,Mecze[[#This Row],[OB]]/Mecze[[#This Row],[CZAS]])</f>
        <v>0</v>
      </c>
      <c r="R3367" s="32">
        <f>IF(Mecze[[#This Row],[BR]]=0,0,Mecze[[#This Row],[BR]]/Mecze[[#This Row],[CZAS]])</f>
        <v>0</v>
      </c>
      <c r="S3367" s="44">
        <f>IF(Mecze[[#This Row],[Role]]="BR",SUMPRODUCT(Mecze[[#This Row],[/PR:90]:[/BR:90]],Brudnopis!$E$23:$J$23),0)</f>
        <v>0</v>
      </c>
      <c r="T3367" s="44">
        <f>IF(Mecze[[#This Row],[Role]]&lt;&gt;"BR",SUMPRODUCT(Mecze[[#This Row],[/PR:90]:[/BR:90]],Brudnopis!$E$24:$J$24),0)</f>
        <v>3.125E-2</v>
      </c>
      <c r="U3367" s="44">
        <f>IF(Mecze[[#This Row],[Role]]&lt;&gt;"BR",SUMPRODUCT(Mecze[[#This Row],[/PR:90]:[/BR:90]],Brudnopis!$E$25:$J$25),0)</f>
        <v>4.1666666666666664E-2</v>
      </c>
      <c r="V3367" s="44">
        <f>IF(Mecze[[#This Row],[Role]]&lt;&gt;"BR",SUMPRODUCT(Mecze[[#This Row],[/PR:90]:[/BR:90]],Brudnopis!$E$26:$J$26),0)</f>
        <v>3.125E-2</v>
      </c>
      <c r="W3367" s="44">
        <f>IF(Mecze[[#This Row],[Role]]&lt;&gt;"BR",SUMPRODUCT(Mecze[[#This Row],[/PR:90]:[/BR:90]],Brudnopis!$E$27:$J$27),0)</f>
        <v>3.90625E-2</v>
      </c>
      <c r="X3367" s="44">
        <f>IF(Mecze[[#This Row],[Role]]&lt;&gt;"BR",SUMPRODUCT(Mecze[[#This Row],[/PR:90]:[/BR:90]],Brudnopis!$E$28:$J$28),0)</f>
        <v>2.0833333333333332E-2</v>
      </c>
      <c r="Y3367" s="35">
        <f>IF(Mecze[[#This Row],[Role]]="BR",Mecze[[#This Row],[/OB:90]]+Mecze[[#This Row],[/PC:90]],SUM(Mecze[[#This Row],[/PR:90]:[/BR:90]]))</f>
        <v>3.125E-2</v>
      </c>
      <c r="Z3367" s="35">
        <f>IF(Mecze[[#This Row],[KC]]=0,SUM(Mecze[[#This Row],[/BRI]:[/NPI]]),SUM(Mecze[[#This Row],[/BRI]:[/NPI]])*0.6)</f>
        <v>0.1640625</v>
      </c>
      <c r="AA3367" s="10">
        <f>IFERROR(Mecze[[#This Row],[BR]]/Mecze[[#This Row],[ST]],0)</f>
        <v>0</v>
      </c>
      <c r="AB3367">
        <f>ROUND(Mecze[[#This Row],[PD]]*Mecze[[#This Row],[%PC]],0)</f>
        <v>2</v>
      </c>
      <c r="AC3367">
        <f>ROUND(Mecze[[#This Row],[OD]]*Mecze[[#This Row],[%OU]],0)</f>
        <v>0</v>
      </c>
      <c r="AD3367" s="36" t="s">
        <v>174</v>
      </c>
      <c r="AE3367" s="36">
        <v>187</v>
      </c>
      <c r="AF3367" s="71">
        <v>7.25</v>
      </c>
      <c r="AG3367" s="37">
        <v>0</v>
      </c>
      <c r="AH3367" s="37">
        <v>0</v>
      </c>
      <c r="AI3367" s="37">
        <v>96</v>
      </c>
      <c r="AJ3367" s="37">
        <v>5</v>
      </c>
      <c r="AK3367" s="37" t="str">
        <f>VLOOKUP(Mecze[[#This Row],[Match ID]],Meczusie[Mecz]:Meczusie[RodzajMeczu],2,FALSE)</f>
        <v>Liga</v>
      </c>
    </row>
    <row r="3368" spans="1:37" x14ac:dyDescent="0.25">
      <c r="A3368" s="76">
        <v>6</v>
      </c>
      <c r="B3368" s="3" t="s">
        <v>349</v>
      </c>
      <c r="C3368" s="2" t="s">
        <v>160</v>
      </c>
      <c r="D3368" s="1">
        <v>0</v>
      </c>
      <c r="E3368" s="1">
        <v>0</v>
      </c>
      <c r="F3368" s="1">
        <v>0</v>
      </c>
      <c r="G3368" s="1">
        <v>9</v>
      </c>
      <c r="H3368" s="4">
        <v>0.89</v>
      </c>
      <c r="I3368" s="1">
        <v>5</v>
      </c>
      <c r="J3368" s="4">
        <v>0.4</v>
      </c>
      <c r="K3368" s="1">
        <v>0</v>
      </c>
      <c r="L3368" s="1">
        <v>3</v>
      </c>
      <c r="M3368" s="32">
        <f>IF(Mecze[[#This Row],[PR]]=0,0,Mecze[[#This Row],[PR]]/Mecze[[#This Row],[CZAS]])</f>
        <v>3.125E-2</v>
      </c>
      <c r="N3368" s="32">
        <f>IF(Mecze[[#This Row],[OU]]=0,0,Mecze[[#This Row],[OU]]/Mecze[[#This Row],[CZAS]])</f>
        <v>2.0833333333333332E-2</v>
      </c>
      <c r="O3368" s="32">
        <f>IF(Mecze[[#This Row],[PC]]=0,0,Mecze[[#This Row],[PC]]/Mecze[[#This Row],[CZAS]])</f>
        <v>8.3333333333333329E-2</v>
      </c>
      <c r="P3368" s="32">
        <f>IF(Mecze[[#This Row],[SC]]=0,0,Mecze[[#This Row],[SC]]/Mecze[[#This Row],[CZAS]])</f>
        <v>0</v>
      </c>
      <c r="Q3368" s="32">
        <f>IF(Mecze[[#This Row],[OB]]=0,0,Mecze[[#This Row],[OB]]/Mecze[[#This Row],[CZAS]])</f>
        <v>0</v>
      </c>
      <c r="R3368" s="32">
        <f>IF(Mecze[[#This Row],[BR]]=0,0,Mecze[[#This Row],[BR]]/Mecze[[#This Row],[CZAS]])</f>
        <v>0</v>
      </c>
      <c r="S3368" s="44">
        <f>IF(Mecze[[#This Row],[Role]]="BR",SUMPRODUCT(Mecze[[#This Row],[/PR:90]:[/BR:90]],Brudnopis!$E$23:$J$23),0)</f>
        <v>0</v>
      </c>
      <c r="T3368" s="44">
        <f>IF(Mecze[[#This Row],[Role]]&lt;&gt;"BR",SUMPRODUCT(Mecze[[#This Row],[/PR:90]:[/BR:90]],Brudnopis!$E$24:$J$24),0)</f>
        <v>0.14583333333333331</v>
      </c>
      <c r="U3368" s="44">
        <f>IF(Mecze[[#This Row],[Role]]&lt;&gt;"BR",SUMPRODUCT(Mecze[[#This Row],[/PR:90]:[/BR:90]],Brudnopis!$E$25:$J$25),0)</f>
        <v>0.17708333333333331</v>
      </c>
      <c r="V3368" s="44">
        <f>IF(Mecze[[#This Row],[Role]]&lt;&gt;"BR",SUMPRODUCT(Mecze[[#This Row],[/PR:90]:[/BR:90]],Brudnopis!$E$26:$J$26),0)</f>
        <v>0.13541666666666666</v>
      </c>
      <c r="W3368" s="44">
        <f>IF(Mecze[[#This Row],[Role]]&lt;&gt;"BR",SUMPRODUCT(Mecze[[#This Row],[/PR:90]:[/BR:90]],Brudnopis!$E$27:$J$27),0)</f>
        <v>0.1640625</v>
      </c>
      <c r="X3368" s="44">
        <f>IF(Mecze[[#This Row],[Role]]&lt;&gt;"BR",SUMPRODUCT(Mecze[[#This Row],[/PR:90]:[/BR:90]],Brudnopis!$E$28:$J$28),0)</f>
        <v>8.3333333333333329E-2</v>
      </c>
      <c r="Y3368" s="35">
        <f>IF(Mecze[[#This Row],[Role]]="BR",Mecze[[#This Row],[/OB:90]]+Mecze[[#This Row],[/PC:90]],SUM(Mecze[[#This Row],[/PR:90]:[/BR:90]]))</f>
        <v>0.13541666666666666</v>
      </c>
      <c r="Z3368" s="35">
        <f>IF(Mecze[[#This Row],[KC]]=0,SUM(Mecze[[#This Row],[/BRI]:[/NPI]]),SUM(Mecze[[#This Row],[/BRI]:[/NPI]])*0.6)</f>
        <v>0.70572916666666663</v>
      </c>
      <c r="AA3368" s="10">
        <f>IFERROR(Mecze[[#This Row],[BR]]/Mecze[[#This Row],[ST]],0)</f>
        <v>0</v>
      </c>
      <c r="AB3368">
        <f>ROUND(Mecze[[#This Row],[PD]]*Mecze[[#This Row],[%PC]],0)</f>
        <v>8</v>
      </c>
      <c r="AC3368">
        <f>ROUND(Mecze[[#This Row],[OD]]*Mecze[[#This Row],[%OU]],0)</f>
        <v>2</v>
      </c>
      <c r="AD3368" s="36" t="s">
        <v>41</v>
      </c>
      <c r="AE3368" s="36">
        <v>187</v>
      </c>
      <c r="AF3368" s="71">
        <v>9.7899999999999991</v>
      </c>
      <c r="AG3368" s="37">
        <v>0</v>
      </c>
      <c r="AH3368" s="37">
        <v>0</v>
      </c>
      <c r="AI3368" s="37">
        <v>96</v>
      </c>
      <c r="AJ3368" s="37">
        <v>5</v>
      </c>
      <c r="AK3368" s="37" t="str">
        <f>VLOOKUP(Mecze[[#This Row],[Match ID]],Meczusie[Mecz]:Meczusie[RodzajMeczu],2,FALSE)</f>
        <v>Liga</v>
      </c>
    </row>
    <row r="3369" spans="1:37" x14ac:dyDescent="0.25">
      <c r="A3369" s="76">
        <v>7</v>
      </c>
      <c r="B3369" s="3" t="s">
        <v>350</v>
      </c>
      <c r="C3369" s="2" t="s">
        <v>160</v>
      </c>
      <c r="D3369" s="1">
        <v>1</v>
      </c>
      <c r="E3369" s="1">
        <v>1</v>
      </c>
      <c r="F3369" s="1">
        <v>1</v>
      </c>
      <c r="G3369" s="1">
        <v>13</v>
      </c>
      <c r="H3369" s="4">
        <v>0.85</v>
      </c>
      <c r="I3369" s="1">
        <v>1</v>
      </c>
      <c r="J3369" s="4">
        <v>0</v>
      </c>
      <c r="K3369" s="1">
        <v>0</v>
      </c>
      <c r="L3369" s="1">
        <v>7</v>
      </c>
      <c r="M3369" s="32">
        <f>IF(Mecze[[#This Row],[PR]]=0,0,Mecze[[#This Row],[PR]]/Mecze[[#This Row],[CZAS]])</f>
        <v>7.2916666666666671E-2</v>
      </c>
      <c r="N3369" s="32">
        <f>IF(Mecze[[#This Row],[OU]]=0,0,Mecze[[#This Row],[OU]]/Mecze[[#This Row],[CZAS]])</f>
        <v>0</v>
      </c>
      <c r="O3369" s="32">
        <f>IF(Mecze[[#This Row],[PC]]=0,0,Mecze[[#This Row],[PC]]/Mecze[[#This Row],[CZAS]])</f>
        <v>0.11458333333333333</v>
      </c>
      <c r="P3369" s="32">
        <f>IF(Mecze[[#This Row],[SC]]=0,0,Mecze[[#This Row],[SC]]/Mecze[[#This Row],[CZAS]])</f>
        <v>1.0416666666666666E-2</v>
      </c>
      <c r="Q3369" s="32">
        <f>IF(Mecze[[#This Row],[OB]]=0,0,Mecze[[#This Row],[OB]]/Mecze[[#This Row],[CZAS]])</f>
        <v>0</v>
      </c>
      <c r="R3369" s="32">
        <f>IF(Mecze[[#This Row],[BR]]=0,0,Mecze[[#This Row],[BR]]/Mecze[[#This Row],[CZAS]])</f>
        <v>1.0416666666666666E-2</v>
      </c>
      <c r="S3369" s="44">
        <f>IF(Mecze[[#This Row],[Role]]="BR",SUMPRODUCT(Mecze[[#This Row],[/PR:90]:[/BR:90]],Brudnopis!$E$23:$J$23),0)</f>
        <v>0</v>
      </c>
      <c r="T3369" s="44">
        <f>IF(Mecze[[#This Row],[Role]]&lt;&gt;"BR",SUMPRODUCT(Mecze[[#This Row],[/PR:90]:[/BR:90]],Brudnopis!$E$24:$J$24),0)</f>
        <v>0.21354166666666666</v>
      </c>
      <c r="U3369" s="44">
        <f>IF(Mecze[[#This Row],[Role]]&lt;&gt;"BR",SUMPRODUCT(Mecze[[#This Row],[/PR:90]:[/BR:90]],Brudnopis!$E$25:$J$25),0)</f>
        <v>0.27083333333333337</v>
      </c>
      <c r="V3369" s="44">
        <f>IF(Mecze[[#This Row],[Role]]&lt;&gt;"BR",SUMPRODUCT(Mecze[[#This Row],[/PR:90]:[/BR:90]],Brudnopis!$E$26:$J$26),0)</f>
        <v>0.21875</v>
      </c>
      <c r="W3369" s="44">
        <f>IF(Mecze[[#This Row],[Role]]&lt;&gt;"BR",SUMPRODUCT(Mecze[[#This Row],[/PR:90]:[/BR:90]],Brudnopis!$E$27:$J$27),0)</f>
        <v>0.2578125</v>
      </c>
      <c r="X3369" s="44">
        <f>IF(Mecze[[#This Row],[Role]]&lt;&gt;"BR",SUMPRODUCT(Mecze[[#This Row],[/PR:90]:[/BR:90]],Brudnopis!$E$28:$J$28),0)</f>
        <v>0.16666666666666666</v>
      </c>
      <c r="Y3369" s="35">
        <f>IF(Mecze[[#This Row],[Role]]="BR",Mecze[[#This Row],[/OB:90]]+Mecze[[#This Row],[/PC:90]],SUM(Mecze[[#This Row],[/PR:90]:[/BR:90]]))</f>
        <v>0.20833333333333331</v>
      </c>
      <c r="Z3369" s="35">
        <f>IF(Mecze[[#This Row],[KC]]=0,SUM(Mecze[[#This Row],[/BRI]:[/NPI]]),SUM(Mecze[[#This Row],[/BRI]:[/NPI]])*0.6)</f>
        <v>1.1276041666666667</v>
      </c>
      <c r="AA3369" s="10">
        <f>IFERROR(Mecze[[#This Row],[BR]]/Mecze[[#This Row],[ST]],0)</f>
        <v>1</v>
      </c>
      <c r="AB3369">
        <f>ROUND(Mecze[[#This Row],[PD]]*Mecze[[#This Row],[%PC]],0)</f>
        <v>11</v>
      </c>
      <c r="AC3369">
        <f>ROUND(Mecze[[#This Row],[OD]]*Mecze[[#This Row],[%OU]],0)</f>
        <v>0</v>
      </c>
      <c r="AD3369" s="36" t="s">
        <v>67</v>
      </c>
      <c r="AE3369" s="36">
        <v>187</v>
      </c>
      <c r="AF3369" s="71">
        <v>12.97</v>
      </c>
      <c r="AG3369" s="37">
        <v>0</v>
      </c>
      <c r="AH3369" s="37">
        <v>0</v>
      </c>
      <c r="AI3369" s="37">
        <v>96</v>
      </c>
      <c r="AJ3369" s="37">
        <v>5</v>
      </c>
      <c r="AK3369" s="37" t="str">
        <f>VLOOKUP(Mecze[[#This Row],[Match ID]],Meczusie[Mecz]:Meczusie[RodzajMeczu],2,FALSE)</f>
        <v>Liga</v>
      </c>
    </row>
    <row r="3370" spans="1:37" x14ac:dyDescent="0.25">
      <c r="A3370" s="76">
        <v>8</v>
      </c>
      <c r="B3370" s="3" t="s">
        <v>351</v>
      </c>
      <c r="C3370" s="2" t="s">
        <v>160</v>
      </c>
      <c r="D3370" s="1">
        <v>0</v>
      </c>
      <c r="E3370" s="1">
        <v>0</v>
      </c>
      <c r="F3370" s="1">
        <v>0</v>
      </c>
      <c r="G3370" s="1">
        <v>16</v>
      </c>
      <c r="H3370" s="4">
        <v>0.94</v>
      </c>
      <c r="I3370" s="1">
        <v>4</v>
      </c>
      <c r="J3370" s="4">
        <v>0.5</v>
      </c>
      <c r="K3370" s="1">
        <v>0</v>
      </c>
      <c r="L3370" s="1">
        <v>9</v>
      </c>
      <c r="M3370" s="32">
        <f>IF(Mecze[[#This Row],[PR]]=0,0,Mecze[[#This Row],[PR]]/Mecze[[#This Row],[CZAS]])</f>
        <v>9.375E-2</v>
      </c>
      <c r="N3370" s="32">
        <f>IF(Mecze[[#This Row],[OU]]=0,0,Mecze[[#This Row],[OU]]/Mecze[[#This Row],[CZAS]])</f>
        <v>2.0833333333333332E-2</v>
      </c>
      <c r="O3370" s="32">
        <f>IF(Mecze[[#This Row],[PC]]=0,0,Mecze[[#This Row],[PC]]/Mecze[[#This Row],[CZAS]])</f>
        <v>0.15625</v>
      </c>
      <c r="P3370" s="32">
        <f>IF(Mecze[[#This Row],[SC]]=0,0,Mecze[[#This Row],[SC]]/Mecze[[#This Row],[CZAS]])</f>
        <v>0</v>
      </c>
      <c r="Q3370" s="32">
        <f>IF(Mecze[[#This Row],[OB]]=0,0,Mecze[[#This Row],[OB]]/Mecze[[#This Row],[CZAS]])</f>
        <v>0</v>
      </c>
      <c r="R3370" s="32">
        <f>IF(Mecze[[#This Row],[BR]]=0,0,Mecze[[#This Row],[BR]]/Mecze[[#This Row],[CZAS]])</f>
        <v>0</v>
      </c>
      <c r="S3370" s="44">
        <f>IF(Mecze[[#This Row],[Role]]="BR",SUMPRODUCT(Mecze[[#This Row],[/PR:90]:[/BR:90]],Brudnopis!$E$23:$J$23),0)</f>
        <v>0</v>
      </c>
      <c r="T3370" s="44">
        <f>IF(Mecze[[#This Row],[Role]]&lt;&gt;"BR",SUMPRODUCT(Mecze[[#This Row],[/PR:90]:[/BR:90]],Brudnopis!$E$24:$J$24),0)</f>
        <v>0.28125</v>
      </c>
      <c r="U3370" s="44">
        <f>IF(Mecze[[#This Row],[Role]]&lt;&gt;"BR",SUMPRODUCT(Mecze[[#This Row],[/PR:90]:[/BR:90]],Brudnopis!$E$25:$J$25),0)</f>
        <v>0.34895833333333331</v>
      </c>
      <c r="V3370" s="44">
        <f>IF(Mecze[[#This Row],[Role]]&lt;&gt;"BR",SUMPRODUCT(Mecze[[#This Row],[/PR:90]:[/BR:90]],Brudnopis!$E$26:$J$26),0)</f>
        <v>0.27083333333333331</v>
      </c>
      <c r="W3370" s="44">
        <f>IF(Mecze[[#This Row],[Role]]&lt;&gt;"BR",SUMPRODUCT(Mecze[[#This Row],[/PR:90]:[/BR:90]],Brudnopis!$E$27:$J$27),0)</f>
        <v>0.3203125</v>
      </c>
      <c r="X3370" s="44">
        <f>IF(Mecze[[#This Row],[Role]]&lt;&gt;"BR",SUMPRODUCT(Mecze[[#This Row],[/PR:90]:[/BR:90]],Brudnopis!$E$28:$J$28),0)</f>
        <v>0.15625</v>
      </c>
      <c r="Y3370" s="35">
        <f>IF(Mecze[[#This Row],[Role]]="BR",Mecze[[#This Row],[/OB:90]]+Mecze[[#This Row],[/PC:90]],SUM(Mecze[[#This Row],[/PR:90]:[/BR:90]]))</f>
        <v>0.27083333333333331</v>
      </c>
      <c r="Z3370" s="35">
        <f>IF(Mecze[[#This Row],[KC]]=0,SUM(Mecze[[#This Row],[/BRI]:[/NPI]]),SUM(Mecze[[#This Row],[/BRI]:[/NPI]])*0.6)</f>
        <v>1.3776041666666665</v>
      </c>
      <c r="AA3370" s="10">
        <f>IFERROR(Mecze[[#This Row],[BR]]/Mecze[[#This Row],[ST]],0)</f>
        <v>0</v>
      </c>
      <c r="AB3370">
        <f>ROUND(Mecze[[#This Row],[PD]]*Mecze[[#This Row],[%PC]],0)</f>
        <v>15</v>
      </c>
      <c r="AC3370">
        <f>ROUND(Mecze[[#This Row],[OD]]*Mecze[[#This Row],[%OU]],0)</f>
        <v>2</v>
      </c>
      <c r="AD3370" s="36" t="s">
        <v>67</v>
      </c>
      <c r="AE3370" s="36">
        <v>187</v>
      </c>
      <c r="AF3370" s="71">
        <v>11.05</v>
      </c>
      <c r="AG3370" s="37">
        <v>0</v>
      </c>
      <c r="AH3370" s="37">
        <v>0</v>
      </c>
      <c r="AI3370" s="37">
        <v>96</v>
      </c>
      <c r="AJ3370" s="37">
        <v>5</v>
      </c>
      <c r="AK3370" s="37" t="str">
        <f>VLOOKUP(Mecze[[#This Row],[Match ID]],Meczusie[Mecz]:Meczusie[RodzajMeczu],2,FALSE)</f>
        <v>Liga</v>
      </c>
    </row>
    <row r="3371" spans="1:37" x14ac:dyDescent="0.25">
      <c r="A3371" s="76">
        <v>11</v>
      </c>
      <c r="B3371" s="3" t="s">
        <v>353</v>
      </c>
      <c r="C3371" s="2" t="s">
        <v>165</v>
      </c>
      <c r="D3371" s="1">
        <v>0</v>
      </c>
      <c r="E3371" s="1">
        <v>1</v>
      </c>
      <c r="F3371" s="1">
        <v>1</v>
      </c>
      <c r="G3371" s="1">
        <v>8</v>
      </c>
      <c r="H3371" s="4">
        <v>0.75</v>
      </c>
      <c r="I3371" s="1">
        <v>0</v>
      </c>
      <c r="J3371" s="4"/>
      <c r="K3371" s="1">
        <v>0</v>
      </c>
      <c r="L3371" s="1">
        <v>2</v>
      </c>
      <c r="M3371" s="32">
        <f>IF(Mecze[[#This Row],[PR]]=0,0,Mecze[[#This Row],[PR]]/Mecze[[#This Row],[CZAS]])</f>
        <v>2.0833333333333332E-2</v>
      </c>
      <c r="N3371" s="32">
        <f>IF(Mecze[[#This Row],[OU]]=0,0,Mecze[[#This Row],[OU]]/Mecze[[#This Row],[CZAS]])</f>
        <v>0</v>
      </c>
      <c r="O3371" s="32">
        <f>IF(Mecze[[#This Row],[PC]]=0,0,Mecze[[#This Row],[PC]]/Mecze[[#This Row],[CZAS]])</f>
        <v>6.25E-2</v>
      </c>
      <c r="P3371" s="32">
        <f>IF(Mecze[[#This Row],[SC]]=0,0,Mecze[[#This Row],[SC]]/Mecze[[#This Row],[CZAS]])</f>
        <v>1.0416666666666666E-2</v>
      </c>
      <c r="Q3371" s="32">
        <f>IF(Mecze[[#This Row],[OB]]=0,0,Mecze[[#This Row],[OB]]/Mecze[[#This Row],[CZAS]])</f>
        <v>0</v>
      </c>
      <c r="R3371" s="32">
        <f>IF(Mecze[[#This Row],[BR]]=0,0,Mecze[[#This Row],[BR]]/Mecze[[#This Row],[CZAS]])</f>
        <v>0</v>
      </c>
      <c r="S3371" s="44">
        <f>IF(Mecze[[#This Row],[Role]]="BR",SUMPRODUCT(Mecze[[#This Row],[/PR:90]:[/BR:90]],Brudnopis!$E$23:$J$23),0)</f>
        <v>0</v>
      </c>
      <c r="T3371" s="44">
        <f>IF(Mecze[[#This Row],[Role]]&lt;&gt;"BR",SUMPRODUCT(Mecze[[#This Row],[/PR:90]:[/BR:90]],Brudnopis!$E$24:$J$24),0)</f>
        <v>9.375E-2</v>
      </c>
      <c r="U3371" s="44">
        <f>IF(Mecze[[#This Row],[Role]]&lt;&gt;"BR",SUMPRODUCT(Mecze[[#This Row],[/PR:90]:[/BR:90]],Brudnopis!$E$25:$J$25),0)</f>
        <v>0.125</v>
      </c>
      <c r="V3371" s="44">
        <f>IF(Mecze[[#This Row],[Role]]&lt;&gt;"BR",SUMPRODUCT(Mecze[[#This Row],[/PR:90]:[/BR:90]],Brudnopis!$E$26:$J$26),0)</f>
        <v>9.375E-2</v>
      </c>
      <c r="W3371" s="44">
        <f>IF(Mecze[[#This Row],[Role]]&lt;&gt;"BR",SUMPRODUCT(Mecze[[#This Row],[/PR:90]:[/BR:90]],Brudnopis!$E$27:$J$27),0)</f>
        <v>0.11979166666666667</v>
      </c>
      <c r="X3371" s="44">
        <f>IF(Mecze[[#This Row],[Role]]&lt;&gt;"BR",SUMPRODUCT(Mecze[[#This Row],[/PR:90]:[/BR:90]],Brudnopis!$E$28:$J$28),0)</f>
        <v>8.3333333333333329E-2</v>
      </c>
      <c r="Y3371" s="35">
        <f>IF(Mecze[[#This Row],[Role]]="BR",Mecze[[#This Row],[/OB:90]]+Mecze[[#This Row],[/PC:90]],SUM(Mecze[[#This Row],[/PR:90]:[/BR:90]]))</f>
        <v>9.375E-2</v>
      </c>
      <c r="Z3371" s="35">
        <f>IF(Mecze[[#This Row],[KC]]=0,SUM(Mecze[[#This Row],[/BRI]:[/NPI]]),SUM(Mecze[[#This Row],[/BRI]:[/NPI]])*0.6)</f>
        <v>0.515625</v>
      </c>
      <c r="AA3371" s="10">
        <f>IFERROR(Mecze[[#This Row],[BR]]/Mecze[[#This Row],[ST]],0)</f>
        <v>0</v>
      </c>
      <c r="AB3371">
        <f>ROUND(Mecze[[#This Row],[PD]]*Mecze[[#This Row],[%PC]],0)</f>
        <v>6</v>
      </c>
      <c r="AC3371">
        <f>ROUND(Mecze[[#This Row],[OD]]*Mecze[[#This Row],[%OU]],0)</f>
        <v>0</v>
      </c>
      <c r="AD3371" s="36" t="s">
        <v>46</v>
      </c>
      <c r="AE3371" s="36">
        <v>187</v>
      </c>
      <c r="AF3371" s="71">
        <v>5.48</v>
      </c>
      <c r="AG3371" s="37">
        <v>0</v>
      </c>
      <c r="AH3371" s="37">
        <v>0</v>
      </c>
      <c r="AI3371" s="37">
        <v>96</v>
      </c>
      <c r="AJ3371" s="37">
        <v>5</v>
      </c>
      <c r="AK3371" s="37" t="str">
        <f>VLOOKUP(Mecze[[#This Row],[Match ID]],Meczusie[Mecz]:Meczusie[RodzajMeczu],2,FALSE)</f>
        <v>Liga</v>
      </c>
    </row>
    <row r="3372" spans="1:37" x14ac:dyDescent="0.25">
      <c r="A3372" s="76">
        <v>10</v>
      </c>
      <c r="B3372" s="3" t="s">
        <v>352</v>
      </c>
      <c r="C3372" s="2" t="s">
        <v>165</v>
      </c>
      <c r="D3372" s="1">
        <v>4</v>
      </c>
      <c r="E3372" s="1">
        <v>15</v>
      </c>
      <c r="F3372" s="1">
        <v>8</v>
      </c>
      <c r="G3372" s="1">
        <v>4</v>
      </c>
      <c r="H3372" s="4">
        <v>0.75</v>
      </c>
      <c r="I3372" s="1">
        <v>1</v>
      </c>
      <c r="J3372" s="4">
        <v>0</v>
      </c>
      <c r="K3372" s="1">
        <v>0</v>
      </c>
      <c r="L3372" s="1">
        <v>0</v>
      </c>
      <c r="M3372" s="32">
        <f>IF(Mecze[[#This Row],[PR]]=0,0,Mecze[[#This Row],[PR]]/Mecze[[#This Row],[CZAS]])</f>
        <v>0</v>
      </c>
      <c r="N3372" s="32">
        <f>IF(Mecze[[#This Row],[OU]]=0,0,Mecze[[#This Row],[OU]]/Mecze[[#This Row],[CZAS]])</f>
        <v>0</v>
      </c>
      <c r="O3372" s="32">
        <f>IF(Mecze[[#This Row],[PC]]=0,0,Mecze[[#This Row],[PC]]/Mecze[[#This Row],[CZAS]])</f>
        <v>3.125E-2</v>
      </c>
      <c r="P3372" s="32">
        <f>IF(Mecze[[#This Row],[SC]]=0,0,Mecze[[#This Row],[SC]]/Mecze[[#This Row],[CZAS]])</f>
        <v>8.3333333333333329E-2</v>
      </c>
      <c r="Q3372" s="32">
        <f>IF(Mecze[[#This Row],[OB]]=0,0,Mecze[[#This Row],[OB]]/Mecze[[#This Row],[CZAS]])</f>
        <v>0</v>
      </c>
      <c r="R3372" s="32">
        <f>IF(Mecze[[#This Row],[BR]]=0,0,Mecze[[#This Row],[BR]]/Mecze[[#This Row],[CZAS]])</f>
        <v>4.1666666666666664E-2</v>
      </c>
      <c r="S3372" s="44">
        <f>IF(Mecze[[#This Row],[Role]]="BR",SUMPRODUCT(Mecze[[#This Row],[/PR:90]:[/BR:90]],Brudnopis!$E$23:$J$23),0)</f>
        <v>0</v>
      </c>
      <c r="T3372" s="44">
        <f>IF(Mecze[[#This Row],[Role]]&lt;&gt;"BR",SUMPRODUCT(Mecze[[#This Row],[/PR:90]:[/BR:90]],Brudnopis!$E$24:$J$24),0)</f>
        <v>0.17708333333333331</v>
      </c>
      <c r="U3372" s="44">
        <f>IF(Mecze[[#This Row],[Role]]&lt;&gt;"BR",SUMPRODUCT(Mecze[[#This Row],[/PR:90]:[/BR:90]],Brudnopis!$E$25:$J$25),0)</f>
        <v>0.19270833333333331</v>
      </c>
      <c r="V3372" s="44">
        <f>IF(Mecze[[#This Row],[Role]]&lt;&gt;"BR",SUMPRODUCT(Mecze[[#This Row],[/PR:90]:[/BR:90]],Brudnopis!$E$26:$J$26),0)</f>
        <v>0.19791666666666666</v>
      </c>
      <c r="W3372" s="44">
        <f>IF(Mecze[[#This Row],[Role]]&lt;&gt;"BR",SUMPRODUCT(Mecze[[#This Row],[/PR:90]:[/BR:90]],Brudnopis!$E$27:$J$27),0)</f>
        <v>0.21354166666666663</v>
      </c>
      <c r="X3372" s="44">
        <f>IF(Mecze[[#This Row],[Role]]&lt;&gt;"BR",SUMPRODUCT(Mecze[[#This Row],[/PR:90]:[/BR:90]],Brudnopis!$E$28:$J$28),0)</f>
        <v>0.32291666666666663</v>
      </c>
      <c r="Y3372" s="35">
        <f>IF(Mecze[[#This Row],[Role]]="BR",Mecze[[#This Row],[/OB:90]]+Mecze[[#This Row],[/PC:90]],SUM(Mecze[[#This Row],[/PR:90]:[/BR:90]]))</f>
        <v>0.15625</v>
      </c>
      <c r="Z3372" s="35">
        <f>IF(Mecze[[#This Row],[KC]]=0,SUM(Mecze[[#This Row],[/BRI]:[/NPI]]),SUM(Mecze[[#This Row],[/BRI]:[/NPI]])*0.6)</f>
        <v>1.1041666666666665</v>
      </c>
      <c r="AA3372" s="10">
        <f>IFERROR(Mecze[[#This Row],[BR]]/Mecze[[#This Row],[ST]],0)</f>
        <v>0.26666666666666666</v>
      </c>
      <c r="AB3372">
        <f>ROUND(Mecze[[#This Row],[PD]]*Mecze[[#This Row],[%PC]],0)</f>
        <v>3</v>
      </c>
      <c r="AC3372">
        <f>ROUND(Mecze[[#This Row],[OD]]*Mecze[[#This Row],[%OU]],0)</f>
        <v>0</v>
      </c>
      <c r="AD3372" s="36" t="s">
        <v>272</v>
      </c>
      <c r="AE3372" s="36">
        <v>187</v>
      </c>
      <c r="AF3372" s="71">
        <v>14.89</v>
      </c>
      <c r="AG3372" s="37">
        <v>0</v>
      </c>
      <c r="AH3372" s="37">
        <v>0</v>
      </c>
      <c r="AI3372" s="37">
        <v>96</v>
      </c>
      <c r="AJ3372" s="37">
        <v>5</v>
      </c>
      <c r="AK3372" s="37" t="str">
        <f>VLOOKUP(Mecze[[#This Row],[Match ID]],Meczusie[Mecz]:Meczusie[RodzajMeczu],2,FALSE)</f>
        <v>Liga</v>
      </c>
    </row>
    <row r="3373" spans="1:37" x14ac:dyDescent="0.25">
      <c r="A3373" s="76">
        <v>9</v>
      </c>
      <c r="B3373" s="3" t="s">
        <v>354</v>
      </c>
      <c r="C3373" s="2" t="s">
        <v>165</v>
      </c>
      <c r="D3373" s="1">
        <v>4</v>
      </c>
      <c r="E3373" s="1">
        <v>13</v>
      </c>
      <c r="F3373" s="1">
        <v>12</v>
      </c>
      <c r="G3373" s="1">
        <v>7</v>
      </c>
      <c r="H3373" s="4">
        <v>0.86</v>
      </c>
      <c r="I3373" s="1">
        <v>0</v>
      </c>
      <c r="J3373" s="4"/>
      <c r="K3373" s="1">
        <v>0</v>
      </c>
      <c r="L3373" s="1">
        <v>0</v>
      </c>
      <c r="M3373" s="32">
        <f>IF(Mecze[[#This Row],[PR]]=0,0,Mecze[[#This Row],[PR]]/Mecze[[#This Row],[CZAS]])</f>
        <v>0</v>
      </c>
      <c r="N3373" s="32">
        <f>IF(Mecze[[#This Row],[OU]]=0,0,Mecze[[#This Row],[OU]]/Mecze[[#This Row],[CZAS]])</f>
        <v>0</v>
      </c>
      <c r="O3373" s="32">
        <f>IF(Mecze[[#This Row],[PC]]=0,0,Mecze[[#This Row],[PC]]/Mecze[[#This Row],[CZAS]])</f>
        <v>6.25E-2</v>
      </c>
      <c r="P3373" s="32">
        <f>IF(Mecze[[#This Row],[SC]]=0,0,Mecze[[#This Row],[SC]]/Mecze[[#This Row],[CZAS]])</f>
        <v>0.125</v>
      </c>
      <c r="Q3373" s="32">
        <f>IF(Mecze[[#This Row],[OB]]=0,0,Mecze[[#This Row],[OB]]/Mecze[[#This Row],[CZAS]])</f>
        <v>0</v>
      </c>
      <c r="R3373" s="32">
        <f>IF(Mecze[[#This Row],[BR]]=0,0,Mecze[[#This Row],[BR]]/Mecze[[#This Row],[CZAS]])</f>
        <v>4.1666666666666664E-2</v>
      </c>
      <c r="S3373" s="44">
        <f>IF(Mecze[[#This Row],[Role]]="BR",SUMPRODUCT(Mecze[[#This Row],[/PR:90]:[/BR:90]],Brudnopis!$E$23:$J$23),0)</f>
        <v>0</v>
      </c>
      <c r="T3373" s="44">
        <f>IF(Mecze[[#This Row],[Role]]&lt;&gt;"BR",SUMPRODUCT(Mecze[[#This Row],[/PR:90]:[/BR:90]],Brudnopis!$E$24:$J$24),0)</f>
        <v>0.25</v>
      </c>
      <c r="U3373" s="44">
        <f>IF(Mecze[[#This Row],[Role]]&lt;&gt;"BR",SUMPRODUCT(Mecze[[#This Row],[/PR:90]:[/BR:90]],Brudnopis!$E$25:$J$25),0)</f>
        <v>0.28125</v>
      </c>
      <c r="V3373" s="44">
        <f>IF(Mecze[[#This Row],[Role]]&lt;&gt;"BR",SUMPRODUCT(Mecze[[#This Row],[/PR:90]:[/BR:90]],Brudnopis!$E$26:$J$26),0)</f>
        <v>0.27083333333333331</v>
      </c>
      <c r="W3373" s="44">
        <f>IF(Mecze[[#This Row],[Role]]&lt;&gt;"BR",SUMPRODUCT(Mecze[[#This Row],[/PR:90]:[/BR:90]],Brudnopis!$E$27:$J$27),0)</f>
        <v>0.30208333333333331</v>
      </c>
      <c r="X3373" s="44">
        <f>IF(Mecze[[#This Row],[Role]]&lt;&gt;"BR",SUMPRODUCT(Mecze[[#This Row],[/PR:90]:[/BR:90]],Brudnopis!$E$28:$J$28),0)</f>
        <v>0.4375</v>
      </c>
      <c r="Y3373" s="35">
        <f>IF(Mecze[[#This Row],[Role]]="BR",Mecze[[#This Row],[/OB:90]]+Mecze[[#This Row],[/PC:90]],SUM(Mecze[[#This Row],[/PR:90]:[/BR:90]]))</f>
        <v>0.22916666666666666</v>
      </c>
      <c r="Z3373" s="35">
        <f>IF(Mecze[[#This Row],[KC]]=0,SUM(Mecze[[#This Row],[/BRI]:[/NPI]]),SUM(Mecze[[#This Row],[/BRI]:[/NPI]])*0.6)</f>
        <v>1.5416666666666665</v>
      </c>
      <c r="AA3373" s="10">
        <f>IFERROR(Mecze[[#This Row],[BR]]/Mecze[[#This Row],[ST]],0)</f>
        <v>0.30769230769230771</v>
      </c>
      <c r="AB3373">
        <f>ROUND(Mecze[[#This Row],[PD]]*Mecze[[#This Row],[%PC]],0)</f>
        <v>6</v>
      </c>
      <c r="AC3373">
        <f>ROUND(Mecze[[#This Row],[OD]]*Mecze[[#This Row],[%OU]],0)</f>
        <v>0</v>
      </c>
      <c r="AD3373" s="36" t="s">
        <v>273</v>
      </c>
      <c r="AE3373" s="36">
        <v>187</v>
      </c>
      <c r="AF3373" s="71">
        <v>18.02</v>
      </c>
      <c r="AG3373" s="37">
        <v>0</v>
      </c>
      <c r="AH3373" s="37">
        <v>0</v>
      </c>
      <c r="AI3373" s="37">
        <v>96</v>
      </c>
      <c r="AJ3373" s="37">
        <v>5</v>
      </c>
      <c r="AK3373" s="37" t="str">
        <f>VLOOKUP(Mecze[[#This Row],[Match ID]],Meczusie[Mecz]:Meczusie[RodzajMeczu],2,FALSE)</f>
        <v>Liga</v>
      </c>
    </row>
    <row r="3374" spans="1:37" x14ac:dyDescent="0.25">
      <c r="A3374" s="76">
        <v>39</v>
      </c>
      <c r="B3374" s="3" t="s">
        <v>450</v>
      </c>
      <c r="C3374" s="2" t="s">
        <v>155</v>
      </c>
      <c r="D3374" s="1">
        <v>0</v>
      </c>
      <c r="E3374" s="1">
        <v>0</v>
      </c>
      <c r="F3374" s="1">
        <v>0</v>
      </c>
      <c r="G3374" s="1">
        <v>12</v>
      </c>
      <c r="H3374" s="4">
        <v>0.17</v>
      </c>
      <c r="I3374" s="1">
        <v>0</v>
      </c>
      <c r="J3374" s="4"/>
      <c r="K3374" s="1">
        <v>6</v>
      </c>
      <c r="L3374" s="1">
        <v>0</v>
      </c>
      <c r="M3374" s="32">
        <f>IF(Mecze[[#This Row],[PR]]=0,0,Mecze[[#This Row],[PR]]/Mecze[[#This Row],[CZAS]])</f>
        <v>0</v>
      </c>
      <c r="N3374" s="32">
        <f>IF(Mecze[[#This Row],[OU]]=0,0,Mecze[[#This Row],[OU]]/Mecze[[#This Row],[CZAS]])</f>
        <v>0</v>
      </c>
      <c r="O3374" s="32">
        <f>IF(Mecze[[#This Row],[PC]]=0,0,Mecze[[#This Row],[PC]]/Mecze[[#This Row],[CZAS]])</f>
        <v>2.1052631578947368E-2</v>
      </c>
      <c r="P3374" s="32">
        <f>IF(Mecze[[#This Row],[SC]]=0,0,Mecze[[#This Row],[SC]]/Mecze[[#This Row],[CZAS]])</f>
        <v>0</v>
      </c>
      <c r="Q3374" s="32">
        <f>IF(Mecze[[#This Row],[OB]]=0,0,Mecze[[#This Row],[OB]]/Mecze[[#This Row],[CZAS]])</f>
        <v>6.3157894736842107E-2</v>
      </c>
      <c r="R3374" s="32">
        <f>IF(Mecze[[#This Row],[BR]]=0,0,Mecze[[#This Row],[BR]]/Mecze[[#This Row],[CZAS]])</f>
        <v>0</v>
      </c>
      <c r="S3374" s="44">
        <f>IF(Mecze[[#This Row],[Role]]="BR",SUMPRODUCT(Mecze[[#This Row],[/PR:90]:[/BR:90]],Brudnopis!$E$23:$J$23),0)</f>
        <v>0.25263157894736843</v>
      </c>
      <c r="T3374" s="44">
        <f>IF(Mecze[[#This Row],[Role]]&lt;&gt;"BR",SUMPRODUCT(Mecze[[#This Row],[/PR:90]:[/BR:90]],Brudnopis!$E$24:$J$24),0)</f>
        <v>0</v>
      </c>
      <c r="U3374" s="44">
        <f>IF(Mecze[[#This Row],[Role]]&lt;&gt;"BR",SUMPRODUCT(Mecze[[#This Row],[/PR:90]:[/BR:90]],Brudnopis!$E$25:$J$25),0)</f>
        <v>0</v>
      </c>
      <c r="V3374" s="44">
        <f>IF(Mecze[[#This Row],[Role]]&lt;&gt;"BR",SUMPRODUCT(Mecze[[#This Row],[/PR:90]:[/BR:90]],Brudnopis!$E$26:$J$26),0)</f>
        <v>0</v>
      </c>
      <c r="W3374" s="44">
        <f>IF(Mecze[[#This Row],[Role]]&lt;&gt;"BR",SUMPRODUCT(Mecze[[#This Row],[/PR:90]:[/BR:90]],Brudnopis!$E$27:$J$27),0)</f>
        <v>0</v>
      </c>
      <c r="X3374" s="44">
        <f>IF(Mecze[[#This Row],[Role]]&lt;&gt;"BR",SUMPRODUCT(Mecze[[#This Row],[/PR:90]:[/BR:90]],Brudnopis!$E$28:$J$28),0)</f>
        <v>0</v>
      </c>
      <c r="Y3374" s="35">
        <f>IF(Mecze[[#This Row],[Role]]="BR",Mecze[[#This Row],[/OB:90]]+Mecze[[#This Row],[/PC:90]],SUM(Mecze[[#This Row],[/PR:90]:[/BR:90]]))</f>
        <v>8.4210526315789472E-2</v>
      </c>
      <c r="Z3374" s="35">
        <f>IF(Mecze[[#This Row],[KC]]=0,SUM(Mecze[[#This Row],[/BRI]:[/NPI]]),SUM(Mecze[[#This Row],[/BRI]:[/NPI]])*0.6)</f>
        <v>0.25263157894736843</v>
      </c>
      <c r="AA3374" s="10">
        <f>IFERROR(Mecze[[#This Row],[BR]]/Mecze[[#This Row],[ST]],0)</f>
        <v>0</v>
      </c>
      <c r="AB3374">
        <f>ROUND(Mecze[[#This Row],[PD]]*Mecze[[#This Row],[%PC]],0)</f>
        <v>2</v>
      </c>
      <c r="AC3374">
        <f>ROUND(Mecze[[#This Row],[OD]]*Mecze[[#This Row],[%OU]],0)</f>
        <v>0</v>
      </c>
      <c r="AD3374" s="36" t="s">
        <v>40</v>
      </c>
      <c r="AE3374" s="36">
        <v>188</v>
      </c>
      <c r="AF3374" s="71">
        <v>9.14</v>
      </c>
      <c r="AG3374" s="37">
        <v>0</v>
      </c>
      <c r="AH3374" s="37">
        <v>0</v>
      </c>
      <c r="AI3374" s="37">
        <v>95</v>
      </c>
      <c r="AJ3374" s="37">
        <v>1</v>
      </c>
      <c r="AK3374" s="37" t="str">
        <f>VLOOKUP(Mecze[[#This Row],[Match ID]],Meczusie[Mecz]:Meczusie[RodzajMeczu],2,FALSE)</f>
        <v>Towarzyski</v>
      </c>
    </row>
    <row r="3375" spans="1:37" x14ac:dyDescent="0.25">
      <c r="A3375" s="76">
        <v>3</v>
      </c>
      <c r="B3375" s="3" t="s">
        <v>158</v>
      </c>
      <c r="C3375" s="2" t="s">
        <v>157</v>
      </c>
      <c r="D3375" s="1">
        <v>0</v>
      </c>
      <c r="E3375" s="1">
        <v>0</v>
      </c>
      <c r="F3375" s="1">
        <v>0</v>
      </c>
      <c r="G3375" s="1">
        <v>5</v>
      </c>
      <c r="H3375" s="4">
        <v>0.4</v>
      </c>
      <c r="I3375" s="1">
        <v>2</v>
      </c>
      <c r="J3375" s="4">
        <v>0</v>
      </c>
      <c r="K3375" s="1">
        <v>0</v>
      </c>
      <c r="L3375" s="1">
        <v>5</v>
      </c>
      <c r="M3375" s="32">
        <f>IF(Mecze[[#This Row],[PR]]=0,0,Mecze[[#This Row],[PR]]/Mecze[[#This Row],[CZAS]])</f>
        <v>5.2631578947368418E-2</v>
      </c>
      <c r="N3375" s="32">
        <f>IF(Mecze[[#This Row],[OU]]=0,0,Mecze[[#This Row],[OU]]/Mecze[[#This Row],[CZAS]])</f>
        <v>0</v>
      </c>
      <c r="O3375" s="32">
        <f>IF(Mecze[[#This Row],[PC]]=0,0,Mecze[[#This Row],[PC]]/Mecze[[#This Row],[CZAS]])</f>
        <v>2.1052631578947368E-2</v>
      </c>
      <c r="P3375" s="32">
        <f>IF(Mecze[[#This Row],[SC]]=0,0,Mecze[[#This Row],[SC]]/Mecze[[#This Row],[CZAS]])</f>
        <v>0</v>
      </c>
      <c r="Q3375" s="32">
        <f>IF(Mecze[[#This Row],[OB]]=0,0,Mecze[[#This Row],[OB]]/Mecze[[#This Row],[CZAS]])</f>
        <v>0</v>
      </c>
      <c r="R3375" s="32">
        <f>IF(Mecze[[#This Row],[BR]]=0,0,Mecze[[#This Row],[BR]]/Mecze[[#This Row],[CZAS]])</f>
        <v>0</v>
      </c>
      <c r="S3375" s="44">
        <f>IF(Mecze[[#This Row],[Role]]="BR",SUMPRODUCT(Mecze[[#This Row],[/PR:90]:[/BR:90]],Brudnopis!$E$23:$J$23),0)</f>
        <v>0</v>
      </c>
      <c r="T3375" s="44">
        <f>IF(Mecze[[#This Row],[Role]]&lt;&gt;"BR",SUMPRODUCT(Mecze[[#This Row],[/PR:90]:[/BR:90]],Brudnopis!$E$24:$J$24),0)</f>
        <v>7.3684210526315783E-2</v>
      </c>
      <c r="U3375" s="44">
        <f>IF(Mecze[[#This Row],[Role]]&lt;&gt;"BR",SUMPRODUCT(Mecze[[#This Row],[/PR:90]:[/BR:90]],Brudnopis!$E$25:$J$25),0)</f>
        <v>8.4210526315789472E-2</v>
      </c>
      <c r="V3375" s="44">
        <f>IF(Mecze[[#This Row],[Role]]&lt;&gt;"BR",SUMPRODUCT(Mecze[[#This Row],[/PR:90]:[/BR:90]],Brudnopis!$E$26:$J$26),0)</f>
        <v>7.3684210526315783E-2</v>
      </c>
      <c r="W3375" s="44">
        <f>IF(Mecze[[#This Row],[Role]]&lt;&gt;"BR",SUMPRODUCT(Mecze[[#This Row],[/PR:90]:[/BR:90]],Brudnopis!$E$27:$J$27),0)</f>
        <v>7.1052631578947367E-2</v>
      </c>
      <c r="X3375" s="44">
        <f>IF(Mecze[[#This Row],[Role]]&lt;&gt;"BR",SUMPRODUCT(Mecze[[#This Row],[/PR:90]:[/BR:90]],Brudnopis!$E$28:$J$28),0)</f>
        <v>2.1052631578947368E-2</v>
      </c>
      <c r="Y3375" s="35">
        <f>IF(Mecze[[#This Row],[Role]]="BR",Mecze[[#This Row],[/OB:90]]+Mecze[[#This Row],[/PC:90]],SUM(Mecze[[#This Row],[/PR:90]:[/BR:90]]))</f>
        <v>7.3684210526315783E-2</v>
      </c>
      <c r="Z3375" s="35">
        <f>IF(Mecze[[#This Row],[KC]]=0,SUM(Mecze[[#This Row],[/BRI]:[/NPI]]),SUM(Mecze[[#This Row],[/BRI]:[/NPI]])*0.6)</f>
        <v>0.3236842105263158</v>
      </c>
      <c r="AA3375" s="10">
        <f>IFERROR(Mecze[[#This Row],[BR]]/Mecze[[#This Row],[ST]],0)</f>
        <v>0</v>
      </c>
      <c r="AB3375">
        <f>ROUND(Mecze[[#This Row],[PD]]*Mecze[[#This Row],[%PC]],0)</f>
        <v>2</v>
      </c>
      <c r="AC3375">
        <f>ROUND(Mecze[[#This Row],[OD]]*Mecze[[#This Row],[%OU]],0)</f>
        <v>0</v>
      </c>
      <c r="AD3375" s="36" t="s">
        <v>47</v>
      </c>
      <c r="AE3375" s="36">
        <v>188</v>
      </c>
      <c r="AF3375" s="71">
        <v>8.09</v>
      </c>
      <c r="AG3375" s="37">
        <v>0</v>
      </c>
      <c r="AH3375" s="37">
        <v>0</v>
      </c>
      <c r="AI3375" s="37">
        <v>95</v>
      </c>
      <c r="AJ3375" s="37">
        <v>1</v>
      </c>
      <c r="AK3375" s="37" t="str">
        <f>VLOOKUP(Mecze[[#This Row],[Match ID]],Meczusie[Mecz]:Meczusie[RodzajMeczu],2,FALSE)</f>
        <v>Towarzyski</v>
      </c>
    </row>
    <row r="3376" spans="1:37" x14ac:dyDescent="0.25">
      <c r="A3376" s="76">
        <v>17</v>
      </c>
      <c r="B3376" s="3" t="s">
        <v>413</v>
      </c>
      <c r="C3376" s="2" t="s">
        <v>157</v>
      </c>
      <c r="D3376" s="1">
        <v>0</v>
      </c>
      <c r="E3376" s="1">
        <v>0</v>
      </c>
      <c r="F3376" s="1">
        <v>0</v>
      </c>
      <c r="G3376" s="1">
        <v>4</v>
      </c>
      <c r="H3376" s="4">
        <v>0.75</v>
      </c>
      <c r="I3376" s="1">
        <v>1</v>
      </c>
      <c r="J3376" s="4">
        <v>0</v>
      </c>
      <c r="K3376" s="1">
        <v>0</v>
      </c>
      <c r="L3376" s="1">
        <v>2</v>
      </c>
      <c r="M3376" s="32">
        <f>IF(Mecze[[#This Row],[PR]]=0,0,Mecze[[#This Row],[PR]]/Mecze[[#This Row],[CZAS]])</f>
        <v>2.1052631578947368E-2</v>
      </c>
      <c r="N3376" s="32">
        <f>IF(Mecze[[#This Row],[OU]]=0,0,Mecze[[#This Row],[OU]]/Mecze[[#This Row],[CZAS]])</f>
        <v>0</v>
      </c>
      <c r="O3376" s="32">
        <f>IF(Mecze[[#This Row],[PC]]=0,0,Mecze[[#This Row],[PC]]/Mecze[[#This Row],[CZAS]])</f>
        <v>3.1578947368421054E-2</v>
      </c>
      <c r="P3376" s="32">
        <f>IF(Mecze[[#This Row],[SC]]=0,0,Mecze[[#This Row],[SC]]/Mecze[[#This Row],[CZAS]])</f>
        <v>0</v>
      </c>
      <c r="Q3376" s="32">
        <f>IF(Mecze[[#This Row],[OB]]=0,0,Mecze[[#This Row],[OB]]/Mecze[[#This Row],[CZAS]])</f>
        <v>0</v>
      </c>
      <c r="R3376" s="32">
        <f>IF(Mecze[[#This Row],[BR]]=0,0,Mecze[[#This Row],[BR]]/Mecze[[#This Row],[CZAS]])</f>
        <v>0</v>
      </c>
      <c r="S3376" s="44">
        <f>IF(Mecze[[#This Row],[Role]]="BR",SUMPRODUCT(Mecze[[#This Row],[/PR:90]:[/BR:90]],Brudnopis!$E$23:$J$23),0)</f>
        <v>0</v>
      </c>
      <c r="T3376" s="44">
        <f>IF(Mecze[[#This Row],[Role]]&lt;&gt;"BR",SUMPRODUCT(Mecze[[#This Row],[/PR:90]:[/BR:90]],Brudnopis!$E$24:$J$24),0)</f>
        <v>5.2631578947368418E-2</v>
      </c>
      <c r="U3376" s="44">
        <f>IF(Mecze[[#This Row],[Role]]&lt;&gt;"BR",SUMPRODUCT(Mecze[[#This Row],[/PR:90]:[/BR:90]],Brudnopis!$E$25:$J$25),0)</f>
        <v>6.8421052631578952E-2</v>
      </c>
      <c r="V3376" s="44">
        <f>IF(Mecze[[#This Row],[Role]]&lt;&gt;"BR",SUMPRODUCT(Mecze[[#This Row],[/PR:90]:[/BR:90]],Brudnopis!$E$26:$J$26),0)</f>
        <v>5.2631578947368418E-2</v>
      </c>
      <c r="W3376" s="44">
        <f>IF(Mecze[[#This Row],[Role]]&lt;&gt;"BR",SUMPRODUCT(Mecze[[#This Row],[/PR:90]:[/BR:90]],Brudnopis!$E$27:$J$27),0)</f>
        <v>6.3157894736842107E-2</v>
      </c>
      <c r="X3376" s="44">
        <f>IF(Mecze[[#This Row],[Role]]&lt;&gt;"BR",SUMPRODUCT(Mecze[[#This Row],[/PR:90]:[/BR:90]],Brudnopis!$E$28:$J$28),0)</f>
        <v>3.1578947368421054E-2</v>
      </c>
      <c r="Y3376" s="35">
        <f>IF(Mecze[[#This Row],[Role]]="BR",Mecze[[#This Row],[/OB:90]]+Mecze[[#This Row],[/PC:90]],SUM(Mecze[[#This Row],[/PR:90]:[/BR:90]]))</f>
        <v>5.2631578947368418E-2</v>
      </c>
      <c r="Z3376" s="35">
        <f>IF(Mecze[[#This Row],[KC]]=0,SUM(Mecze[[#This Row],[/BRI]:[/NPI]]),SUM(Mecze[[#This Row],[/BRI]:[/NPI]])*0.6)</f>
        <v>0.26842105263157895</v>
      </c>
      <c r="AA3376" s="10">
        <f>IFERROR(Mecze[[#This Row],[BR]]/Mecze[[#This Row],[ST]],0)</f>
        <v>0</v>
      </c>
      <c r="AB3376">
        <f>ROUND(Mecze[[#This Row],[PD]]*Mecze[[#This Row],[%PC]],0)</f>
        <v>3</v>
      </c>
      <c r="AC3376">
        <f>ROUND(Mecze[[#This Row],[OD]]*Mecze[[#This Row],[%OU]],0)</f>
        <v>0</v>
      </c>
      <c r="AD3376" s="36" t="s">
        <v>167</v>
      </c>
      <c r="AE3376" s="36">
        <v>188</v>
      </c>
      <c r="AF3376" s="71">
        <v>7.46</v>
      </c>
      <c r="AG3376" s="37">
        <v>0</v>
      </c>
      <c r="AH3376" s="37">
        <v>0</v>
      </c>
      <c r="AI3376" s="37">
        <v>95</v>
      </c>
      <c r="AJ3376" s="37">
        <v>1</v>
      </c>
      <c r="AK3376" s="37" t="str">
        <f>VLOOKUP(Mecze[[#This Row],[Match ID]],Meczusie[Mecz]:Meczusie[RodzajMeczu],2,FALSE)</f>
        <v>Towarzyski</v>
      </c>
    </row>
    <row r="3377" spans="1:37" x14ac:dyDescent="0.25">
      <c r="A3377" s="76">
        <v>50</v>
      </c>
      <c r="B3377" s="3" t="s">
        <v>496</v>
      </c>
      <c r="C3377" s="2" t="s">
        <v>157</v>
      </c>
      <c r="D3377" s="1">
        <v>0</v>
      </c>
      <c r="E3377" s="1">
        <v>0</v>
      </c>
      <c r="F3377" s="1">
        <v>0</v>
      </c>
      <c r="G3377" s="1">
        <v>9</v>
      </c>
      <c r="H3377" s="4">
        <v>0.44</v>
      </c>
      <c r="I3377" s="1">
        <v>6</v>
      </c>
      <c r="J3377" s="4">
        <v>0.17</v>
      </c>
      <c r="K3377" s="1">
        <v>0</v>
      </c>
      <c r="L3377" s="1">
        <v>8</v>
      </c>
      <c r="M3377" s="32">
        <f>IF(Mecze[[#This Row],[PR]]=0,0,Mecze[[#This Row],[PR]]/Mecze[[#This Row],[CZAS]])</f>
        <v>8.4210526315789472E-2</v>
      </c>
      <c r="N3377" s="32">
        <f>IF(Mecze[[#This Row],[OU]]=0,0,Mecze[[#This Row],[OU]]/Mecze[[#This Row],[CZAS]])</f>
        <v>1.0526315789473684E-2</v>
      </c>
      <c r="O3377" s="32">
        <f>IF(Mecze[[#This Row],[PC]]=0,0,Mecze[[#This Row],[PC]]/Mecze[[#This Row],[CZAS]])</f>
        <v>4.2105263157894736E-2</v>
      </c>
      <c r="P3377" s="32">
        <f>IF(Mecze[[#This Row],[SC]]=0,0,Mecze[[#This Row],[SC]]/Mecze[[#This Row],[CZAS]])</f>
        <v>0</v>
      </c>
      <c r="Q3377" s="32">
        <f>IF(Mecze[[#This Row],[OB]]=0,0,Mecze[[#This Row],[OB]]/Mecze[[#This Row],[CZAS]])</f>
        <v>0</v>
      </c>
      <c r="R3377" s="32">
        <f>IF(Mecze[[#This Row],[BR]]=0,0,Mecze[[#This Row],[BR]]/Mecze[[#This Row],[CZAS]])</f>
        <v>0</v>
      </c>
      <c r="S3377" s="44">
        <f>IF(Mecze[[#This Row],[Role]]="BR",SUMPRODUCT(Mecze[[#This Row],[/PR:90]:[/BR:90]],Brudnopis!$E$23:$J$23),0)</f>
        <v>0</v>
      </c>
      <c r="T3377" s="44">
        <f>IF(Mecze[[#This Row],[Role]]&lt;&gt;"BR",SUMPRODUCT(Mecze[[#This Row],[/PR:90]:[/BR:90]],Brudnopis!$E$24:$J$24),0)</f>
        <v>0.14210526315789473</v>
      </c>
      <c r="U3377" s="44">
        <f>IF(Mecze[[#This Row],[Role]]&lt;&gt;"BR",SUMPRODUCT(Mecze[[#This Row],[/PR:90]:[/BR:90]],Brudnopis!$E$25:$J$25),0)</f>
        <v>0.15789473684210525</v>
      </c>
      <c r="V3377" s="44">
        <f>IF(Mecze[[#This Row],[Role]]&lt;&gt;"BR",SUMPRODUCT(Mecze[[#This Row],[/PR:90]:[/BR:90]],Brudnopis!$E$26:$J$26),0)</f>
        <v>0.1368421052631579</v>
      </c>
      <c r="W3377" s="44">
        <f>IF(Mecze[[#This Row],[Role]]&lt;&gt;"BR",SUMPRODUCT(Mecze[[#This Row],[/PR:90]:[/BR:90]],Brudnopis!$E$27:$J$27),0)</f>
        <v>0.13421052631578947</v>
      </c>
      <c r="X3377" s="44">
        <f>IF(Mecze[[#This Row],[Role]]&lt;&gt;"BR",SUMPRODUCT(Mecze[[#This Row],[/PR:90]:[/BR:90]],Brudnopis!$E$28:$J$28),0)</f>
        <v>4.2105263157894736E-2</v>
      </c>
      <c r="Y3377" s="35">
        <f>IF(Mecze[[#This Row],[Role]]="BR",Mecze[[#This Row],[/OB:90]]+Mecze[[#This Row],[/PC:90]],SUM(Mecze[[#This Row],[/PR:90]:[/BR:90]]))</f>
        <v>0.1368421052631579</v>
      </c>
      <c r="Z3377" s="35">
        <f>IF(Mecze[[#This Row],[KC]]=0,SUM(Mecze[[#This Row],[/BRI]:[/NPI]]),SUM(Mecze[[#This Row],[/BRI]:[/NPI]])*0.6)</f>
        <v>0.61315789473684212</v>
      </c>
      <c r="AA3377" s="10">
        <f>IFERROR(Mecze[[#This Row],[BR]]/Mecze[[#This Row],[ST]],0)</f>
        <v>0</v>
      </c>
      <c r="AB3377">
        <f>ROUND(Mecze[[#This Row],[PD]]*Mecze[[#This Row],[%PC]],0)</f>
        <v>4</v>
      </c>
      <c r="AC3377">
        <f>ROUND(Mecze[[#This Row],[OD]]*Mecze[[#This Row],[%OU]],0)</f>
        <v>1</v>
      </c>
      <c r="AD3377" s="36" t="s">
        <v>168</v>
      </c>
      <c r="AE3377" s="36">
        <v>188</v>
      </c>
      <c r="AF3377" s="71">
        <v>8.7200000000000006</v>
      </c>
      <c r="AG3377" s="37">
        <v>0</v>
      </c>
      <c r="AH3377" s="37">
        <v>0</v>
      </c>
      <c r="AI3377" s="37">
        <v>95</v>
      </c>
      <c r="AJ3377" s="37">
        <v>1</v>
      </c>
      <c r="AK3377" s="37" t="str">
        <f>VLOOKUP(Mecze[[#This Row],[Match ID]],Meczusie[Mecz]:Meczusie[RodzajMeczu],2,FALSE)</f>
        <v>Towarzyski</v>
      </c>
    </row>
    <row r="3378" spans="1:37" x14ac:dyDescent="0.25">
      <c r="A3378" s="76">
        <v>52</v>
      </c>
      <c r="B3378" s="3" t="s">
        <v>408</v>
      </c>
      <c r="C3378" s="2" t="s">
        <v>160</v>
      </c>
      <c r="D3378" s="1">
        <v>0</v>
      </c>
      <c r="E3378" s="1">
        <v>3</v>
      </c>
      <c r="F3378" s="1">
        <v>1</v>
      </c>
      <c r="G3378" s="1">
        <v>14</v>
      </c>
      <c r="H3378" s="4">
        <v>0.5</v>
      </c>
      <c r="I3378" s="1">
        <v>6</v>
      </c>
      <c r="J3378" s="4">
        <v>0.33</v>
      </c>
      <c r="K3378" s="1">
        <v>0</v>
      </c>
      <c r="L3378" s="1">
        <v>7</v>
      </c>
      <c r="M3378" s="32">
        <f>IF(Mecze[[#This Row],[PR]]=0,0,Mecze[[#This Row],[PR]]/Mecze[[#This Row],[CZAS]])</f>
        <v>7.3684210526315783E-2</v>
      </c>
      <c r="N3378" s="32">
        <f>IF(Mecze[[#This Row],[OU]]=0,0,Mecze[[#This Row],[OU]]/Mecze[[#This Row],[CZAS]])</f>
        <v>2.1052631578947368E-2</v>
      </c>
      <c r="O3378" s="32">
        <f>IF(Mecze[[#This Row],[PC]]=0,0,Mecze[[#This Row],[PC]]/Mecze[[#This Row],[CZAS]])</f>
        <v>7.3684210526315783E-2</v>
      </c>
      <c r="P3378" s="32">
        <f>IF(Mecze[[#This Row],[SC]]=0,0,Mecze[[#This Row],[SC]]/Mecze[[#This Row],[CZAS]])</f>
        <v>1.0526315789473684E-2</v>
      </c>
      <c r="Q3378" s="32">
        <f>IF(Mecze[[#This Row],[OB]]=0,0,Mecze[[#This Row],[OB]]/Mecze[[#This Row],[CZAS]])</f>
        <v>0</v>
      </c>
      <c r="R3378" s="32">
        <f>IF(Mecze[[#This Row],[BR]]=0,0,Mecze[[#This Row],[BR]]/Mecze[[#This Row],[CZAS]])</f>
        <v>0</v>
      </c>
      <c r="S3378" s="44">
        <f>IF(Mecze[[#This Row],[Role]]="BR",SUMPRODUCT(Mecze[[#This Row],[/PR:90]:[/BR:90]],Brudnopis!$E$23:$J$23),0)</f>
        <v>0</v>
      </c>
      <c r="T3378" s="44">
        <f>IF(Mecze[[#This Row],[Role]]&lt;&gt;"BR",SUMPRODUCT(Mecze[[#This Row],[/PR:90]:[/BR:90]],Brudnopis!$E$24:$J$24),0)</f>
        <v>0.18947368421052632</v>
      </c>
      <c r="U3378" s="44">
        <f>IF(Mecze[[#This Row],[Role]]&lt;&gt;"BR",SUMPRODUCT(Mecze[[#This Row],[/PR:90]:[/BR:90]],Brudnopis!$E$25:$J$25),0)</f>
        <v>0.2157894736842105</v>
      </c>
      <c r="V3378" s="44">
        <f>IF(Mecze[[#This Row],[Role]]&lt;&gt;"BR",SUMPRODUCT(Mecze[[#This Row],[/PR:90]:[/BR:90]],Brudnopis!$E$26:$J$26),0)</f>
        <v>0.1789473684210526</v>
      </c>
      <c r="W3378" s="44">
        <f>IF(Mecze[[#This Row],[Role]]&lt;&gt;"BR",SUMPRODUCT(Mecze[[#This Row],[/PR:90]:[/BR:90]],Brudnopis!$E$27:$J$27),0)</f>
        <v>0.19210526315789472</v>
      </c>
      <c r="X3378" s="44">
        <f>IF(Mecze[[#This Row],[Role]]&lt;&gt;"BR",SUMPRODUCT(Mecze[[#This Row],[/PR:90]:[/BR:90]],Brudnopis!$E$28:$J$28),0)</f>
        <v>9.4736842105263147E-2</v>
      </c>
      <c r="Y3378" s="35">
        <f>IF(Mecze[[#This Row],[Role]]="BR",Mecze[[#This Row],[/OB:90]]+Mecze[[#This Row],[/PC:90]],SUM(Mecze[[#This Row],[/PR:90]:[/BR:90]]))</f>
        <v>0.1789473684210526</v>
      </c>
      <c r="Z3378" s="35">
        <f>IF(Mecze[[#This Row],[KC]]=0,SUM(Mecze[[#This Row],[/BRI]:[/NPI]]),SUM(Mecze[[#This Row],[/BRI]:[/NPI]])*0.6)</f>
        <v>0.87105263157894719</v>
      </c>
      <c r="AA3378" s="10">
        <f>IFERROR(Mecze[[#This Row],[BR]]/Mecze[[#This Row],[ST]],0)</f>
        <v>0</v>
      </c>
      <c r="AB3378">
        <f>ROUND(Mecze[[#This Row],[PD]]*Mecze[[#This Row],[%PC]],0)</f>
        <v>7</v>
      </c>
      <c r="AC3378">
        <f>ROUND(Mecze[[#This Row],[OD]]*Mecze[[#This Row],[%OU]],0)</f>
        <v>2</v>
      </c>
      <c r="AD3378" s="36" t="s">
        <v>41</v>
      </c>
      <c r="AE3378" s="36">
        <v>188</v>
      </c>
      <c r="AF3378" s="71">
        <v>9.9499999999999993</v>
      </c>
      <c r="AG3378" s="37">
        <v>0</v>
      </c>
      <c r="AH3378" s="37">
        <v>0</v>
      </c>
      <c r="AI3378" s="37">
        <v>95</v>
      </c>
      <c r="AJ3378" s="37">
        <v>1</v>
      </c>
      <c r="AK3378" s="37" t="str">
        <f>VLOOKUP(Mecze[[#This Row],[Match ID]],Meczusie[Mecz]:Meczusie[RodzajMeczu],2,FALSE)</f>
        <v>Towarzyski</v>
      </c>
    </row>
    <row r="3379" spans="1:37" x14ac:dyDescent="0.25">
      <c r="A3379" s="76">
        <v>40</v>
      </c>
      <c r="B3379" s="3" t="s">
        <v>453</v>
      </c>
      <c r="C3379" s="2" t="s">
        <v>160</v>
      </c>
      <c r="D3379" s="1">
        <v>0</v>
      </c>
      <c r="E3379" s="1">
        <v>1</v>
      </c>
      <c r="F3379" s="1">
        <v>1</v>
      </c>
      <c r="G3379" s="1">
        <v>26</v>
      </c>
      <c r="H3379" s="4">
        <v>0.65</v>
      </c>
      <c r="I3379" s="1">
        <v>12</v>
      </c>
      <c r="J3379" s="4">
        <v>0.25</v>
      </c>
      <c r="K3379" s="1">
        <v>0</v>
      </c>
      <c r="L3379" s="1">
        <v>14</v>
      </c>
      <c r="M3379" s="32">
        <f>IF(Mecze[[#This Row],[PR]]=0,0,Mecze[[#This Row],[PR]]/Mecze[[#This Row],[CZAS]])</f>
        <v>0.14736842105263157</v>
      </c>
      <c r="N3379" s="32">
        <f>IF(Mecze[[#This Row],[OU]]=0,0,Mecze[[#This Row],[OU]]/Mecze[[#This Row],[CZAS]])</f>
        <v>3.1578947368421054E-2</v>
      </c>
      <c r="O3379" s="32">
        <f>IF(Mecze[[#This Row],[PC]]=0,0,Mecze[[#This Row],[PC]]/Mecze[[#This Row],[CZAS]])</f>
        <v>0.17894736842105263</v>
      </c>
      <c r="P3379" s="32">
        <f>IF(Mecze[[#This Row],[SC]]=0,0,Mecze[[#This Row],[SC]]/Mecze[[#This Row],[CZAS]])</f>
        <v>1.0526315789473684E-2</v>
      </c>
      <c r="Q3379" s="32">
        <f>IF(Mecze[[#This Row],[OB]]=0,0,Mecze[[#This Row],[OB]]/Mecze[[#This Row],[CZAS]])</f>
        <v>0</v>
      </c>
      <c r="R3379" s="32">
        <f>IF(Mecze[[#This Row],[BR]]=0,0,Mecze[[#This Row],[BR]]/Mecze[[#This Row],[CZAS]])</f>
        <v>0</v>
      </c>
      <c r="S3379" s="44">
        <f>IF(Mecze[[#This Row],[Role]]="BR",SUMPRODUCT(Mecze[[#This Row],[/PR:90]:[/BR:90]],Brudnopis!$E$23:$J$23),0)</f>
        <v>0</v>
      </c>
      <c r="T3379" s="44">
        <f>IF(Mecze[[#This Row],[Role]]&lt;&gt;"BR",SUMPRODUCT(Mecze[[#This Row],[/PR:90]:[/BR:90]],Brudnopis!$E$24:$J$24),0)</f>
        <v>0.38421052631578945</v>
      </c>
      <c r="U3379" s="44">
        <f>IF(Mecze[[#This Row],[Role]]&lt;&gt;"BR",SUMPRODUCT(Mecze[[#This Row],[/PR:90]:[/BR:90]],Brudnopis!$E$25:$J$25),0)</f>
        <v>0.45789473684210524</v>
      </c>
      <c r="V3379" s="44">
        <f>IF(Mecze[[#This Row],[Role]]&lt;&gt;"BR",SUMPRODUCT(Mecze[[#This Row],[/PR:90]:[/BR:90]],Brudnopis!$E$26:$J$26),0)</f>
        <v>0.36842105263157893</v>
      </c>
      <c r="W3379" s="44">
        <f>IF(Mecze[[#This Row],[Role]]&lt;&gt;"BR",SUMPRODUCT(Mecze[[#This Row],[/PR:90]:[/BR:90]],Brudnopis!$E$27:$J$27),0)</f>
        <v>0.41315789473684206</v>
      </c>
      <c r="X3379" s="44">
        <f>IF(Mecze[[#This Row],[Role]]&lt;&gt;"BR",SUMPRODUCT(Mecze[[#This Row],[/PR:90]:[/BR:90]],Brudnopis!$E$28:$J$28),0)</f>
        <v>0.2</v>
      </c>
      <c r="Y3379" s="35">
        <f>IF(Mecze[[#This Row],[Role]]="BR",Mecze[[#This Row],[/OB:90]]+Mecze[[#This Row],[/PC:90]],SUM(Mecze[[#This Row],[/PR:90]:[/BR:90]]))</f>
        <v>0.36842105263157893</v>
      </c>
      <c r="Z3379" s="35">
        <f>IF(Mecze[[#This Row],[KC]]=0,SUM(Mecze[[#This Row],[/BRI]:[/NPI]]),SUM(Mecze[[#This Row],[/BRI]:[/NPI]])*0.6)</f>
        <v>1.8236842105263158</v>
      </c>
      <c r="AA3379" s="10">
        <f>IFERROR(Mecze[[#This Row],[BR]]/Mecze[[#This Row],[ST]],0)</f>
        <v>0</v>
      </c>
      <c r="AB3379">
        <f>ROUND(Mecze[[#This Row],[PD]]*Mecze[[#This Row],[%PC]],0)</f>
        <v>17</v>
      </c>
      <c r="AC3379">
        <f>ROUND(Mecze[[#This Row],[OD]]*Mecze[[#This Row],[%OU]],0)</f>
        <v>3</v>
      </c>
      <c r="AD3379" s="36" t="s">
        <v>41</v>
      </c>
      <c r="AE3379" s="36">
        <v>188</v>
      </c>
      <c r="AF3379" s="71">
        <v>11.42</v>
      </c>
      <c r="AG3379" s="37">
        <v>0</v>
      </c>
      <c r="AH3379" s="37">
        <v>0</v>
      </c>
      <c r="AI3379" s="37">
        <v>95</v>
      </c>
      <c r="AJ3379" s="37">
        <v>1</v>
      </c>
      <c r="AK3379" s="37" t="str">
        <f>VLOOKUP(Mecze[[#This Row],[Match ID]],Meczusie[Mecz]:Meczusie[RodzajMeczu],2,FALSE)</f>
        <v>Towarzyski</v>
      </c>
    </row>
    <row r="3380" spans="1:37" x14ac:dyDescent="0.25">
      <c r="A3380" s="76">
        <v>45</v>
      </c>
      <c r="B3380" s="3" t="s">
        <v>394</v>
      </c>
      <c r="C3380" s="2" t="s">
        <v>160</v>
      </c>
      <c r="D3380" s="1">
        <v>1</v>
      </c>
      <c r="E3380" s="1">
        <v>2</v>
      </c>
      <c r="F3380" s="1">
        <v>2</v>
      </c>
      <c r="G3380" s="1">
        <v>7</v>
      </c>
      <c r="H3380" s="4">
        <v>0.86</v>
      </c>
      <c r="I3380" s="1">
        <v>3</v>
      </c>
      <c r="J3380" s="4">
        <v>0</v>
      </c>
      <c r="K3380" s="1">
        <v>0</v>
      </c>
      <c r="L3380" s="1">
        <v>3</v>
      </c>
      <c r="M3380" s="32">
        <f>IF(Mecze[[#This Row],[PR]]=0,0,Mecze[[#This Row],[PR]]/Mecze[[#This Row],[CZAS]])</f>
        <v>3.1578947368421054E-2</v>
      </c>
      <c r="N3380" s="32">
        <f>IF(Mecze[[#This Row],[OU]]=0,0,Mecze[[#This Row],[OU]]/Mecze[[#This Row],[CZAS]])</f>
        <v>0</v>
      </c>
      <c r="O3380" s="32">
        <f>IF(Mecze[[#This Row],[PC]]=0,0,Mecze[[#This Row],[PC]]/Mecze[[#This Row],[CZAS]])</f>
        <v>6.3157894736842107E-2</v>
      </c>
      <c r="P3380" s="32">
        <f>IF(Mecze[[#This Row],[SC]]=0,0,Mecze[[#This Row],[SC]]/Mecze[[#This Row],[CZAS]])</f>
        <v>2.1052631578947368E-2</v>
      </c>
      <c r="Q3380" s="32">
        <f>IF(Mecze[[#This Row],[OB]]=0,0,Mecze[[#This Row],[OB]]/Mecze[[#This Row],[CZAS]])</f>
        <v>0</v>
      </c>
      <c r="R3380" s="32">
        <f>IF(Mecze[[#This Row],[BR]]=0,0,Mecze[[#This Row],[BR]]/Mecze[[#This Row],[CZAS]])</f>
        <v>1.0526315789473684E-2</v>
      </c>
      <c r="S3380" s="44">
        <f>IF(Mecze[[#This Row],[Role]]="BR",SUMPRODUCT(Mecze[[#This Row],[/PR:90]:[/BR:90]],Brudnopis!$E$23:$J$23),0)</f>
        <v>0</v>
      </c>
      <c r="T3380" s="44">
        <f>IF(Mecze[[#This Row],[Role]]&lt;&gt;"BR",SUMPRODUCT(Mecze[[#This Row],[/PR:90]:[/BR:90]],Brudnopis!$E$24:$J$24),0)</f>
        <v>0.13157894736842105</v>
      </c>
      <c r="U3380" s="44">
        <f>IF(Mecze[[#This Row],[Role]]&lt;&gt;"BR",SUMPRODUCT(Mecze[[#This Row],[/PR:90]:[/BR:90]],Brudnopis!$E$25:$J$25),0)</f>
        <v>0.16315789473684211</v>
      </c>
      <c r="V3380" s="44">
        <f>IF(Mecze[[#This Row],[Role]]&lt;&gt;"BR",SUMPRODUCT(Mecze[[#This Row],[/PR:90]:[/BR:90]],Brudnopis!$E$26:$J$26),0)</f>
        <v>0.1368421052631579</v>
      </c>
      <c r="W3380" s="44">
        <f>IF(Mecze[[#This Row],[Role]]&lt;&gt;"BR",SUMPRODUCT(Mecze[[#This Row],[/PR:90]:[/BR:90]],Brudnopis!$E$27:$J$27),0)</f>
        <v>0.16052631578947371</v>
      </c>
      <c r="X3380" s="44">
        <f>IF(Mecze[[#This Row],[Role]]&lt;&gt;"BR",SUMPRODUCT(Mecze[[#This Row],[/PR:90]:[/BR:90]],Brudnopis!$E$28:$J$28),0)</f>
        <v>0.13684210526315788</v>
      </c>
      <c r="Y3380" s="35">
        <f>IF(Mecze[[#This Row],[Role]]="BR",Mecze[[#This Row],[/OB:90]]+Mecze[[#This Row],[/PC:90]],SUM(Mecze[[#This Row],[/PR:90]:[/BR:90]]))</f>
        <v>0.12631578947368421</v>
      </c>
      <c r="Z3380" s="35">
        <f>IF(Mecze[[#This Row],[KC]]=0,SUM(Mecze[[#This Row],[/BRI]:[/NPI]]),SUM(Mecze[[#This Row],[/BRI]:[/NPI]])*0.6)</f>
        <v>0.72894736842105268</v>
      </c>
      <c r="AA3380" s="10">
        <f>IFERROR(Mecze[[#This Row],[BR]]/Mecze[[#This Row],[ST]],0)</f>
        <v>0.5</v>
      </c>
      <c r="AB3380">
        <f>ROUND(Mecze[[#This Row],[PD]]*Mecze[[#This Row],[%PC]],0)</f>
        <v>6</v>
      </c>
      <c r="AC3380">
        <f>ROUND(Mecze[[#This Row],[OD]]*Mecze[[#This Row],[%OU]],0)</f>
        <v>0</v>
      </c>
      <c r="AD3380" s="36" t="s">
        <v>44</v>
      </c>
      <c r="AE3380" s="36">
        <v>188</v>
      </c>
      <c r="AF3380" s="71">
        <v>12.36</v>
      </c>
      <c r="AG3380" s="37">
        <v>0</v>
      </c>
      <c r="AH3380" s="37">
        <v>0</v>
      </c>
      <c r="AI3380" s="37">
        <v>95</v>
      </c>
      <c r="AJ3380" s="37">
        <v>1</v>
      </c>
      <c r="AK3380" s="37" t="str">
        <f>VLOOKUP(Mecze[[#This Row],[Match ID]],Meczusie[Mecz]:Meczusie[RodzajMeczu],2,FALSE)</f>
        <v>Towarzyski</v>
      </c>
    </row>
    <row r="3381" spans="1:37" x14ac:dyDescent="0.25">
      <c r="A3381" s="76">
        <v>53</v>
      </c>
      <c r="B3381" s="3" t="s">
        <v>415</v>
      </c>
      <c r="C3381" s="2" t="s">
        <v>160</v>
      </c>
      <c r="D3381" s="1">
        <v>0</v>
      </c>
      <c r="E3381" s="1">
        <v>0</v>
      </c>
      <c r="F3381" s="1">
        <v>0</v>
      </c>
      <c r="G3381" s="1">
        <v>7</v>
      </c>
      <c r="H3381" s="4">
        <v>0.14000000000000001</v>
      </c>
      <c r="I3381" s="1">
        <v>1</v>
      </c>
      <c r="J3381" s="4">
        <v>1</v>
      </c>
      <c r="K3381" s="1">
        <v>0</v>
      </c>
      <c r="L3381" s="1">
        <v>5</v>
      </c>
      <c r="M3381" s="32">
        <f>IF(Mecze[[#This Row],[PR]]=0,0,Mecze[[#This Row],[PR]]/Mecze[[#This Row],[CZAS]])</f>
        <v>5.2631578947368418E-2</v>
      </c>
      <c r="N3381" s="32">
        <f>IF(Mecze[[#This Row],[OU]]=0,0,Mecze[[#This Row],[OU]]/Mecze[[#This Row],[CZAS]])</f>
        <v>1.0526315789473684E-2</v>
      </c>
      <c r="O3381" s="32">
        <f>IF(Mecze[[#This Row],[PC]]=0,0,Mecze[[#This Row],[PC]]/Mecze[[#This Row],[CZAS]])</f>
        <v>1.0526315789473684E-2</v>
      </c>
      <c r="P3381" s="32">
        <f>IF(Mecze[[#This Row],[SC]]=0,0,Mecze[[#This Row],[SC]]/Mecze[[#This Row],[CZAS]])</f>
        <v>0</v>
      </c>
      <c r="Q3381" s="32">
        <f>IF(Mecze[[#This Row],[OB]]=0,0,Mecze[[#This Row],[OB]]/Mecze[[#This Row],[CZAS]])</f>
        <v>0</v>
      </c>
      <c r="R3381" s="32">
        <f>IF(Mecze[[#This Row],[BR]]=0,0,Mecze[[#This Row],[BR]]/Mecze[[#This Row],[CZAS]])</f>
        <v>0</v>
      </c>
      <c r="S3381" s="44">
        <f>IF(Mecze[[#This Row],[Role]]="BR",SUMPRODUCT(Mecze[[#This Row],[/PR:90]:[/BR:90]],Brudnopis!$E$23:$J$23),0)</f>
        <v>0</v>
      </c>
      <c r="T3381" s="44">
        <f>IF(Mecze[[#This Row],[Role]]&lt;&gt;"BR",SUMPRODUCT(Mecze[[#This Row],[/PR:90]:[/BR:90]],Brudnopis!$E$24:$J$24),0)</f>
        <v>7.8947368421052627E-2</v>
      </c>
      <c r="U3381" s="44">
        <f>IF(Mecze[[#This Row],[Role]]&lt;&gt;"BR",SUMPRODUCT(Mecze[[#This Row],[/PR:90]:[/BR:90]],Brudnopis!$E$25:$J$25),0)</f>
        <v>7.8947368421052627E-2</v>
      </c>
      <c r="V3381" s="44">
        <f>IF(Mecze[[#This Row],[Role]]&lt;&gt;"BR",SUMPRODUCT(Mecze[[#This Row],[/PR:90]:[/BR:90]],Brudnopis!$E$26:$J$26),0)</f>
        <v>7.3684210526315796E-2</v>
      </c>
      <c r="W3381" s="44">
        <f>IF(Mecze[[#This Row],[Role]]&lt;&gt;"BR",SUMPRODUCT(Mecze[[#This Row],[/PR:90]:[/BR:90]],Brudnopis!$E$27:$J$27),0)</f>
        <v>6.3157894736842107E-2</v>
      </c>
      <c r="X3381" s="44">
        <f>IF(Mecze[[#This Row],[Role]]&lt;&gt;"BR",SUMPRODUCT(Mecze[[#This Row],[/PR:90]:[/BR:90]],Brudnopis!$E$28:$J$28),0)</f>
        <v>1.0526315789473684E-2</v>
      </c>
      <c r="Y3381" s="35">
        <f>IF(Mecze[[#This Row],[Role]]="BR",Mecze[[#This Row],[/OB:90]]+Mecze[[#This Row],[/PC:90]],SUM(Mecze[[#This Row],[/PR:90]:[/BR:90]]))</f>
        <v>7.3684210526315796E-2</v>
      </c>
      <c r="Z3381" s="35">
        <f>IF(Mecze[[#This Row],[KC]]=0,SUM(Mecze[[#This Row],[/BRI]:[/NPI]]),SUM(Mecze[[#This Row],[/BRI]:[/NPI]])*0.6)</f>
        <v>0.30526315789473685</v>
      </c>
      <c r="AA3381" s="10">
        <f>IFERROR(Mecze[[#This Row],[BR]]/Mecze[[#This Row],[ST]],0)</f>
        <v>0</v>
      </c>
      <c r="AB3381">
        <f>ROUND(Mecze[[#This Row],[PD]]*Mecze[[#This Row],[%PC]],0)</f>
        <v>1</v>
      </c>
      <c r="AC3381">
        <f>ROUND(Mecze[[#This Row],[OD]]*Mecze[[#This Row],[%OU]],0)</f>
        <v>1</v>
      </c>
      <c r="AD3381" s="36" t="s">
        <v>44</v>
      </c>
      <c r="AE3381" s="36">
        <v>188</v>
      </c>
      <c r="AF3381" s="71">
        <v>8.09</v>
      </c>
      <c r="AG3381" s="37">
        <v>0</v>
      </c>
      <c r="AH3381" s="37">
        <v>0</v>
      </c>
      <c r="AI3381" s="37">
        <v>95</v>
      </c>
      <c r="AJ3381" s="37">
        <v>1</v>
      </c>
      <c r="AK3381" s="37" t="str">
        <f>VLOOKUP(Mecze[[#This Row],[Match ID]],Meczusie[Mecz]:Meczusie[RodzajMeczu],2,FALSE)</f>
        <v>Towarzyski</v>
      </c>
    </row>
    <row r="3382" spans="1:37" x14ac:dyDescent="0.25">
      <c r="A3382" s="76">
        <v>31</v>
      </c>
      <c r="B3382" s="3" t="s">
        <v>365</v>
      </c>
      <c r="C3382" s="2" t="s">
        <v>165</v>
      </c>
      <c r="D3382" s="1">
        <v>0</v>
      </c>
      <c r="E3382" s="1">
        <v>1</v>
      </c>
      <c r="F3382" s="1">
        <v>1</v>
      </c>
      <c r="G3382" s="1">
        <v>8</v>
      </c>
      <c r="H3382" s="4">
        <v>0.75</v>
      </c>
      <c r="I3382" s="1">
        <v>8</v>
      </c>
      <c r="J3382" s="4">
        <v>0</v>
      </c>
      <c r="K3382" s="1">
        <v>0</v>
      </c>
      <c r="L3382" s="1">
        <v>1</v>
      </c>
      <c r="M3382" s="32">
        <f>IF(Mecze[[#This Row],[PR]]=0,0,Mecze[[#This Row],[PR]]/Mecze[[#This Row],[CZAS]])</f>
        <v>1.0526315789473684E-2</v>
      </c>
      <c r="N3382" s="32">
        <f>IF(Mecze[[#This Row],[OU]]=0,0,Mecze[[#This Row],[OU]]/Mecze[[#This Row],[CZAS]])</f>
        <v>0</v>
      </c>
      <c r="O3382" s="32">
        <f>IF(Mecze[[#This Row],[PC]]=0,0,Mecze[[#This Row],[PC]]/Mecze[[#This Row],[CZAS]])</f>
        <v>6.3157894736842107E-2</v>
      </c>
      <c r="P3382" s="32">
        <f>IF(Mecze[[#This Row],[SC]]=0,0,Mecze[[#This Row],[SC]]/Mecze[[#This Row],[CZAS]])</f>
        <v>1.0526315789473684E-2</v>
      </c>
      <c r="Q3382" s="32">
        <f>IF(Mecze[[#This Row],[OB]]=0,0,Mecze[[#This Row],[OB]]/Mecze[[#This Row],[CZAS]])</f>
        <v>0</v>
      </c>
      <c r="R3382" s="32">
        <f>IF(Mecze[[#This Row],[BR]]=0,0,Mecze[[#This Row],[BR]]/Mecze[[#This Row],[CZAS]])</f>
        <v>0</v>
      </c>
      <c r="S3382" s="44">
        <f>IF(Mecze[[#This Row],[Role]]="BR",SUMPRODUCT(Mecze[[#This Row],[/PR:90]:[/BR:90]],Brudnopis!$E$23:$J$23),0)</f>
        <v>0</v>
      </c>
      <c r="T3382" s="44">
        <f>IF(Mecze[[#This Row],[Role]]&lt;&gt;"BR",SUMPRODUCT(Mecze[[#This Row],[/PR:90]:[/BR:90]],Brudnopis!$E$24:$J$24),0)</f>
        <v>8.4210526315789486E-2</v>
      </c>
      <c r="U3382" s="44">
        <f>IF(Mecze[[#This Row],[Role]]&lt;&gt;"BR",SUMPRODUCT(Mecze[[#This Row],[/PR:90]:[/BR:90]],Brudnopis!$E$25:$J$25),0)</f>
        <v>0.11578947368421054</v>
      </c>
      <c r="V3382" s="44">
        <f>IF(Mecze[[#This Row],[Role]]&lt;&gt;"BR",SUMPRODUCT(Mecze[[#This Row],[/PR:90]:[/BR:90]],Brudnopis!$E$26:$J$26),0)</f>
        <v>8.4210526315789486E-2</v>
      </c>
      <c r="W3382" s="44">
        <f>IF(Mecze[[#This Row],[Role]]&lt;&gt;"BR",SUMPRODUCT(Mecze[[#This Row],[/PR:90]:[/BR:90]],Brudnopis!$E$27:$J$27),0)</f>
        <v>0.11315789473684211</v>
      </c>
      <c r="X3382" s="44">
        <f>IF(Mecze[[#This Row],[Role]]&lt;&gt;"BR",SUMPRODUCT(Mecze[[#This Row],[/PR:90]:[/BR:90]],Brudnopis!$E$28:$J$28),0)</f>
        <v>8.4210526315789472E-2</v>
      </c>
      <c r="Y3382" s="35">
        <f>IF(Mecze[[#This Row],[Role]]="BR",Mecze[[#This Row],[/OB:90]]+Mecze[[#This Row],[/PC:90]],SUM(Mecze[[#This Row],[/PR:90]:[/BR:90]]))</f>
        <v>8.4210526315789486E-2</v>
      </c>
      <c r="Z3382" s="35">
        <f>IF(Mecze[[#This Row],[KC]]=0,SUM(Mecze[[#This Row],[/BRI]:[/NPI]]),SUM(Mecze[[#This Row],[/BRI]:[/NPI]])*0.6)</f>
        <v>0.48157894736842105</v>
      </c>
      <c r="AA3382" s="10">
        <f>IFERROR(Mecze[[#This Row],[BR]]/Mecze[[#This Row],[ST]],0)</f>
        <v>0</v>
      </c>
      <c r="AB3382">
        <f>ROUND(Mecze[[#This Row],[PD]]*Mecze[[#This Row],[%PC]],0)</f>
        <v>6</v>
      </c>
      <c r="AC3382">
        <f>ROUND(Mecze[[#This Row],[OD]]*Mecze[[#This Row],[%OU]],0)</f>
        <v>0</v>
      </c>
      <c r="AD3382" s="36" t="s">
        <v>46</v>
      </c>
      <c r="AE3382" s="36">
        <v>188</v>
      </c>
      <c r="AF3382" s="71">
        <v>5.48</v>
      </c>
      <c r="AG3382" s="37">
        <v>0</v>
      </c>
      <c r="AH3382" s="37">
        <v>0</v>
      </c>
      <c r="AI3382" s="37">
        <v>95</v>
      </c>
      <c r="AJ3382" s="37">
        <v>1</v>
      </c>
      <c r="AK3382" s="37" t="str">
        <f>VLOOKUP(Mecze[[#This Row],[Match ID]],Meczusie[Mecz]:Meczusie[RodzajMeczu],2,FALSE)</f>
        <v>Towarzyski</v>
      </c>
    </row>
    <row r="3383" spans="1:37" x14ac:dyDescent="0.25">
      <c r="A3383" s="76">
        <v>46</v>
      </c>
      <c r="B3383" s="3" t="s">
        <v>395</v>
      </c>
      <c r="C3383" s="2" t="s">
        <v>165</v>
      </c>
      <c r="D3383" s="1">
        <v>0</v>
      </c>
      <c r="E3383" s="1">
        <v>0</v>
      </c>
      <c r="F3383" s="1">
        <v>0</v>
      </c>
      <c r="G3383" s="1">
        <v>4</v>
      </c>
      <c r="H3383" s="4">
        <v>0.25</v>
      </c>
      <c r="I3383" s="1">
        <v>1</v>
      </c>
      <c r="J3383" s="4">
        <v>0</v>
      </c>
      <c r="K3383" s="1">
        <v>0</v>
      </c>
      <c r="L3383" s="1">
        <v>0</v>
      </c>
      <c r="M3383" s="32">
        <f>IF(Mecze[[#This Row],[PR]]=0,0,Mecze[[#This Row],[PR]]/Mecze[[#This Row],[CZAS]])</f>
        <v>0</v>
      </c>
      <c r="N3383" s="32">
        <f>IF(Mecze[[#This Row],[OU]]=0,0,Mecze[[#This Row],[OU]]/Mecze[[#This Row],[CZAS]])</f>
        <v>0</v>
      </c>
      <c r="O3383" s="32">
        <f>IF(Mecze[[#This Row],[PC]]=0,0,Mecze[[#This Row],[PC]]/Mecze[[#This Row],[CZAS]])</f>
        <v>1.0526315789473684E-2</v>
      </c>
      <c r="P3383" s="32">
        <f>IF(Mecze[[#This Row],[SC]]=0,0,Mecze[[#This Row],[SC]]/Mecze[[#This Row],[CZAS]])</f>
        <v>0</v>
      </c>
      <c r="Q3383" s="32">
        <f>IF(Mecze[[#This Row],[OB]]=0,0,Mecze[[#This Row],[OB]]/Mecze[[#This Row],[CZAS]])</f>
        <v>0</v>
      </c>
      <c r="R3383" s="32">
        <f>IF(Mecze[[#This Row],[BR]]=0,0,Mecze[[#This Row],[BR]]/Mecze[[#This Row],[CZAS]])</f>
        <v>0</v>
      </c>
      <c r="S3383" s="44">
        <f>IF(Mecze[[#This Row],[Role]]="BR",SUMPRODUCT(Mecze[[#This Row],[/PR:90]:[/BR:90]],Brudnopis!$E$23:$J$23),0)</f>
        <v>0</v>
      </c>
      <c r="T3383" s="44">
        <f>IF(Mecze[[#This Row],[Role]]&lt;&gt;"BR",SUMPRODUCT(Mecze[[#This Row],[/PR:90]:[/BR:90]],Brudnopis!$E$24:$J$24),0)</f>
        <v>1.0526315789473684E-2</v>
      </c>
      <c r="U3383" s="44">
        <f>IF(Mecze[[#This Row],[Role]]&lt;&gt;"BR",SUMPRODUCT(Mecze[[#This Row],[/PR:90]:[/BR:90]],Brudnopis!$E$25:$J$25),0)</f>
        <v>1.5789473684210527E-2</v>
      </c>
      <c r="V3383" s="44">
        <f>IF(Mecze[[#This Row],[Role]]&lt;&gt;"BR",SUMPRODUCT(Mecze[[#This Row],[/PR:90]:[/BR:90]],Brudnopis!$E$26:$J$26),0)</f>
        <v>1.0526315789473684E-2</v>
      </c>
      <c r="W3383" s="44">
        <f>IF(Mecze[[#This Row],[Role]]&lt;&gt;"BR",SUMPRODUCT(Mecze[[#This Row],[/PR:90]:[/BR:90]],Brudnopis!$E$27:$J$27),0)</f>
        <v>1.5789473684210527E-2</v>
      </c>
      <c r="X3383" s="44">
        <f>IF(Mecze[[#This Row],[Role]]&lt;&gt;"BR",SUMPRODUCT(Mecze[[#This Row],[/PR:90]:[/BR:90]],Brudnopis!$E$28:$J$28),0)</f>
        <v>1.0526315789473684E-2</v>
      </c>
      <c r="Y3383" s="35">
        <f>IF(Mecze[[#This Row],[Role]]="BR",Mecze[[#This Row],[/OB:90]]+Mecze[[#This Row],[/PC:90]],SUM(Mecze[[#This Row],[/PR:90]:[/BR:90]]))</f>
        <v>1.0526315789473684E-2</v>
      </c>
      <c r="Z3383" s="35">
        <f>IF(Mecze[[#This Row],[KC]]=0,SUM(Mecze[[#This Row],[/BRI]:[/NPI]]),SUM(Mecze[[#This Row],[/BRI]:[/NPI]])*0.6)</f>
        <v>6.3157894736842107E-2</v>
      </c>
      <c r="AA3383" s="10">
        <f>IFERROR(Mecze[[#This Row],[BR]]/Mecze[[#This Row],[ST]],0)</f>
        <v>0</v>
      </c>
      <c r="AB3383">
        <f>ROUND(Mecze[[#This Row],[PD]]*Mecze[[#This Row],[%PC]],0)</f>
        <v>1</v>
      </c>
      <c r="AC3383">
        <f>ROUND(Mecze[[#This Row],[OD]]*Mecze[[#This Row],[%OU]],0)</f>
        <v>0</v>
      </c>
      <c r="AD3383" s="36" t="s">
        <v>46</v>
      </c>
      <c r="AE3383" s="36">
        <v>188</v>
      </c>
      <c r="AF3383" s="71">
        <v>3.93</v>
      </c>
      <c r="AG3383" s="37">
        <v>0</v>
      </c>
      <c r="AH3383" s="37">
        <v>0</v>
      </c>
      <c r="AI3383" s="37">
        <v>95</v>
      </c>
      <c r="AJ3383" s="37">
        <v>1</v>
      </c>
      <c r="AK3383" s="37" t="str">
        <f>VLOOKUP(Mecze[[#This Row],[Match ID]],Meczusie[Mecz]:Meczusie[RodzajMeczu],2,FALSE)</f>
        <v>Towarzyski</v>
      </c>
    </row>
    <row r="3384" spans="1:37" x14ac:dyDescent="0.25">
      <c r="A3384" s="76">
        <v>51</v>
      </c>
      <c r="B3384" s="3" t="s">
        <v>517</v>
      </c>
      <c r="C3384" s="2" t="s">
        <v>165</v>
      </c>
      <c r="D3384" s="1">
        <v>0</v>
      </c>
      <c r="E3384" s="1">
        <v>1</v>
      </c>
      <c r="F3384" s="1">
        <v>1</v>
      </c>
      <c r="G3384" s="1">
        <v>7</v>
      </c>
      <c r="H3384" s="4">
        <v>0.71</v>
      </c>
      <c r="I3384" s="1">
        <v>5</v>
      </c>
      <c r="J3384" s="4">
        <v>0</v>
      </c>
      <c r="K3384" s="1">
        <v>0</v>
      </c>
      <c r="L3384" s="1">
        <v>1</v>
      </c>
      <c r="M3384" s="32">
        <f>IF(Mecze[[#This Row],[PR]]=0,0,Mecze[[#This Row],[PR]]/Mecze[[#This Row],[CZAS]])</f>
        <v>1.0526315789473684E-2</v>
      </c>
      <c r="N3384" s="32">
        <f>IF(Mecze[[#This Row],[OU]]=0,0,Mecze[[#This Row],[OU]]/Mecze[[#This Row],[CZAS]])</f>
        <v>0</v>
      </c>
      <c r="O3384" s="32">
        <f>IF(Mecze[[#This Row],[PC]]=0,0,Mecze[[#This Row],[PC]]/Mecze[[#This Row],[CZAS]])</f>
        <v>5.2631578947368418E-2</v>
      </c>
      <c r="P3384" s="32">
        <f>IF(Mecze[[#This Row],[SC]]=0,0,Mecze[[#This Row],[SC]]/Mecze[[#This Row],[CZAS]])</f>
        <v>1.0526315789473684E-2</v>
      </c>
      <c r="Q3384" s="32">
        <f>IF(Mecze[[#This Row],[OB]]=0,0,Mecze[[#This Row],[OB]]/Mecze[[#This Row],[CZAS]])</f>
        <v>0</v>
      </c>
      <c r="R3384" s="32">
        <f>IF(Mecze[[#This Row],[BR]]=0,0,Mecze[[#This Row],[BR]]/Mecze[[#This Row],[CZAS]])</f>
        <v>0</v>
      </c>
      <c r="S3384" s="44">
        <f>IF(Mecze[[#This Row],[Role]]="BR",SUMPRODUCT(Mecze[[#This Row],[/PR:90]:[/BR:90]],Brudnopis!$E$23:$J$23),0)</f>
        <v>0</v>
      </c>
      <c r="T3384" s="44">
        <f>IF(Mecze[[#This Row],[Role]]&lt;&gt;"BR",SUMPRODUCT(Mecze[[#This Row],[/PR:90]:[/BR:90]],Brudnopis!$E$24:$J$24),0)</f>
        <v>7.3684210526315796E-2</v>
      </c>
      <c r="U3384" s="44">
        <f>IF(Mecze[[#This Row],[Role]]&lt;&gt;"BR",SUMPRODUCT(Mecze[[#This Row],[/PR:90]:[/BR:90]],Brudnopis!$E$25:$J$25),0)</f>
        <v>0.1</v>
      </c>
      <c r="V3384" s="44">
        <f>IF(Mecze[[#This Row],[Role]]&lt;&gt;"BR",SUMPRODUCT(Mecze[[#This Row],[/PR:90]:[/BR:90]],Brudnopis!$E$26:$J$26),0)</f>
        <v>7.3684210526315796E-2</v>
      </c>
      <c r="W3384" s="44">
        <f>IF(Mecze[[#This Row],[Role]]&lt;&gt;"BR",SUMPRODUCT(Mecze[[#This Row],[/PR:90]:[/BR:90]],Brudnopis!$E$27:$J$27),0)</f>
        <v>9.7368421052631576E-2</v>
      </c>
      <c r="X3384" s="44">
        <f>IF(Mecze[[#This Row],[Role]]&lt;&gt;"BR",SUMPRODUCT(Mecze[[#This Row],[/PR:90]:[/BR:90]],Brudnopis!$E$28:$J$28),0)</f>
        <v>7.3684210526315783E-2</v>
      </c>
      <c r="Y3384" s="35">
        <f>IF(Mecze[[#This Row],[Role]]="BR",Mecze[[#This Row],[/OB:90]]+Mecze[[#This Row],[/PC:90]],SUM(Mecze[[#This Row],[/PR:90]:[/BR:90]]))</f>
        <v>7.3684210526315796E-2</v>
      </c>
      <c r="Z3384" s="35">
        <f>IF(Mecze[[#This Row],[KC]]=0,SUM(Mecze[[#This Row],[/BRI]:[/NPI]]),SUM(Mecze[[#This Row],[/BRI]:[/NPI]])*0.6)</f>
        <v>0.41842105263157897</v>
      </c>
      <c r="AA3384" s="10">
        <f>IFERROR(Mecze[[#This Row],[BR]]/Mecze[[#This Row],[ST]],0)</f>
        <v>0</v>
      </c>
      <c r="AB3384">
        <f>ROUND(Mecze[[#This Row],[PD]]*Mecze[[#This Row],[%PC]],0)</f>
        <v>5</v>
      </c>
      <c r="AC3384">
        <f>ROUND(Mecze[[#This Row],[OD]]*Mecze[[#This Row],[%OU]],0)</f>
        <v>0</v>
      </c>
      <c r="AD3384" s="36" t="s">
        <v>46</v>
      </c>
      <c r="AE3384" s="36">
        <v>188</v>
      </c>
      <c r="AF3384" s="71">
        <v>5.48</v>
      </c>
      <c r="AG3384" s="37">
        <v>0</v>
      </c>
      <c r="AH3384" s="37">
        <v>0</v>
      </c>
      <c r="AI3384" s="37">
        <v>95</v>
      </c>
      <c r="AJ3384" s="37">
        <v>1</v>
      </c>
      <c r="AK3384" s="37" t="str">
        <f>VLOOKUP(Mecze[[#This Row],[Match ID]],Meczusie[Mecz]:Meczusie[RodzajMeczu],2,FALSE)</f>
        <v>Towarzyski</v>
      </c>
    </row>
    <row r="3385" spans="1:37" x14ac:dyDescent="0.25">
      <c r="A3385" s="76">
        <v>39</v>
      </c>
      <c r="B3385" s="3" t="s">
        <v>450</v>
      </c>
      <c r="C3385" s="2" t="s">
        <v>155</v>
      </c>
      <c r="D3385" s="1">
        <v>0</v>
      </c>
      <c r="E3385" s="1">
        <v>0</v>
      </c>
      <c r="F3385" s="1">
        <v>0</v>
      </c>
      <c r="G3385" s="1">
        <v>10</v>
      </c>
      <c r="H3385" s="4">
        <v>0.2</v>
      </c>
      <c r="I3385" s="1">
        <v>0</v>
      </c>
      <c r="J3385" s="4"/>
      <c r="K3385" s="1">
        <v>8</v>
      </c>
      <c r="L3385" s="1">
        <v>0</v>
      </c>
      <c r="M3385" s="32">
        <f>IF(Mecze[[#This Row],[PR]]=0,0,Mecze[[#This Row],[PR]]/Mecze[[#This Row],[CZAS]])</f>
        <v>0</v>
      </c>
      <c r="N3385" s="32">
        <f>IF(Mecze[[#This Row],[OU]]=0,0,Mecze[[#This Row],[OU]]/Mecze[[#This Row],[CZAS]])</f>
        <v>0</v>
      </c>
      <c r="O3385" s="32">
        <f>IF(Mecze[[#This Row],[PC]]=0,0,Mecze[[#This Row],[PC]]/Mecze[[#This Row],[CZAS]])</f>
        <v>2.0408163265306121E-2</v>
      </c>
      <c r="P3385" s="32">
        <f>IF(Mecze[[#This Row],[SC]]=0,0,Mecze[[#This Row],[SC]]/Mecze[[#This Row],[CZAS]])</f>
        <v>0</v>
      </c>
      <c r="Q3385" s="32">
        <f>IF(Mecze[[#This Row],[OB]]=0,0,Mecze[[#This Row],[OB]]/Mecze[[#This Row],[CZAS]])</f>
        <v>8.1632653061224483E-2</v>
      </c>
      <c r="R3385" s="32">
        <f>IF(Mecze[[#This Row],[BR]]=0,0,Mecze[[#This Row],[BR]]/Mecze[[#This Row],[CZAS]])</f>
        <v>0</v>
      </c>
      <c r="S3385" s="44">
        <f>IF(Mecze[[#This Row],[Role]]="BR",SUMPRODUCT(Mecze[[#This Row],[/PR:90]:[/BR:90]],Brudnopis!$E$23:$J$23),0)</f>
        <v>0.30612244897959184</v>
      </c>
      <c r="T3385" s="44">
        <f>IF(Mecze[[#This Row],[Role]]&lt;&gt;"BR",SUMPRODUCT(Mecze[[#This Row],[/PR:90]:[/BR:90]],Brudnopis!$E$24:$J$24),0)</f>
        <v>0</v>
      </c>
      <c r="U3385" s="44">
        <f>IF(Mecze[[#This Row],[Role]]&lt;&gt;"BR",SUMPRODUCT(Mecze[[#This Row],[/PR:90]:[/BR:90]],Brudnopis!$E$25:$J$25),0)</f>
        <v>0</v>
      </c>
      <c r="V3385" s="44">
        <f>IF(Mecze[[#This Row],[Role]]&lt;&gt;"BR",SUMPRODUCT(Mecze[[#This Row],[/PR:90]:[/BR:90]],Brudnopis!$E$26:$J$26),0)</f>
        <v>0</v>
      </c>
      <c r="W3385" s="44">
        <f>IF(Mecze[[#This Row],[Role]]&lt;&gt;"BR",SUMPRODUCT(Mecze[[#This Row],[/PR:90]:[/BR:90]],Brudnopis!$E$27:$J$27),0)</f>
        <v>0</v>
      </c>
      <c r="X3385" s="44">
        <f>IF(Mecze[[#This Row],[Role]]&lt;&gt;"BR",SUMPRODUCT(Mecze[[#This Row],[/PR:90]:[/BR:90]],Brudnopis!$E$28:$J$28),0)</f>
        <v>0</v>
      </c>
      <c r="Y3385" s="35">
        <f>IF(Mecze[[#This Row],[Role]]="BR",Mecze[[#This Row],[/OB:90]]+Mecze[[#This Row],[/PC:90]],SUM(Mecze[[#This Row],[/PR:90]:[/BR:90]]))</f>
        <v>0.1020408163265306</v>
      </c>
      <c r="Z3385" s="35">
        <f>IF(Mecze[[#This Row],[KC]]=0,SUM(Mecze[[#This Row],[/BRI]:[/NPI]]),SUM(Mecze[[#This Row],[/BRI]:[/NPI]])*0.6)</f>
        <v>0.30612244897959184</v>
      </c>
      <c r="AA3385" s="10">
        <f>IFERROR(Mecze[[#This Row],[BR]]/Mecze[[#This Row],[ST]],0)</f>
        <v>0</v>
      </c>
      <c r="AB3385">
        <f>ROUND(Mecze[[#This Row],[PD]]*Mecze[[#This Row],[%PC]],0)</f>
        <v>2</v>
      </c>
      <c r="AC3385">
        <f>ROUND(Mecze[[#This Row],[OD]]*Mecze[[#This Row],[%OU]],0)</f>
        <v>0</v>
      </c>
      <c r="AD3385" s="36" t="s">
        <v>40</v>
      </c>
      <c r="AE3385" s="36">
        <v>189</v>
      </c>
      <c r="AF3385" s="71">
        <v>5.61</v>
      </c>
      <c r="AG3385" s="37">
        <v>0</v>
      </c>
      <c r="AH3385" s="37">
        <v>0</v>
      </c>
      <c r="AI3385" s="37">
        <v>98</v>
      </c>
      <c r="AJ3385" s="37">
        <v>1</v>
      </c>
      <c r="AK3385" s="37" t="str">
        <f>VLOOKUP(Mecze[[#This Row],[Match ID]],Meczusie[Mecz]:Meczusie[RodzajMeczu],2,FALSE)</f>
        <v>Towarzyski</v>
      </c>
    </row>
    <row r="3386" spans="1:37" x14ac:dyDescent="0.25">
      <c r="A3386" s="76">
        <v>3</v>
      </c>
      <c r="B3386" s="3" t="s">
        <v>158</v>
      </c>
      <c r="C3386" s="2" t="s">
        <v>157</v>
      </c>
      <c r="D3386" s="1">
        <v>0</v>
      </c>
      <c r="E3386" s="1">
        <v>0</v>
      </c>
      <c r="F3386" s="1">
        <v>0</v>
      </c>
      <c r="G3386" s="1">
        <v>10</v>
      </c>
      <c r="H3386" s="4">
        <v>0.8</v>
      </c>
      <c r="I3386" s="1">
        <v>5</v>
      </c>
      <c r="J3386" s="4">
        <v>0.4</v>
      </c>
      <c r="K3386" s="1">
        <v>0</v>
      </c>
      <c r="L3386" s="1">
        <v>7</v>
      </c>
      <c r="M3386" s="32">
        <f>IF(Mecze[[#This Row],[PR]]=0,0,Mecze[[#This Row],[PR]]/Mecze[[#This Row],[CZAS]])</f>
        <v>7.1428571428571425E-2</v>
      </c>
      <c r="N3386" s="32">
        <f>IF(Mecze[[#This Row],[OU]]=0,0,Mecze[[#This Row],[OU]]/Mecze[[#This Row],[CZAS]])</f>
        <v>2.0408163265306121E-2</v>
      </c>
      <c r="O3386" s="32">
        <f>IF(Mecze[[#This Row],[PC]]=0,0,Mecze[[#This Row],[PC]]/Mecze[[#This Row],[CZAS]])</f>
        <v>8.1632653061224483E-2</v>
      </c>
      <c r="P3386" s="32">
        <f>IF(Mecze[[#This Row],[SC]]=0,0,Mecze[[#This Row],[SC]]/Mecze[[#This Row],[CZAS]])</f>
        <v>0</v>
      </c>
      <c r="Q3386" s="32">
        <f>IF(Mecze[[#This Row],[OB]]=0,0,Mecze[[#This Row],[OB]]/Mecze[[#This Row],[CZAS]])</f>
        <v>0</v>
      </c>
      <c r="R3386" s="32">
        <f>IF(Mecze[[#This Row],[BR]]=0,0,Mecze[[#This Row],[BR]]/Mecze[[#This Row],[CZAS]])</f>
        <v>0</v>
      </c>
      <c r="S3386" s="44">
        <f>IF(Mecze[[#This Row],[Role]]="BR",SUMPRODUCT(Mecze[[#This Row],[/PR:90]:[/BR:90]],Brudnopis!$E$23:$J$23),0)</f>
        <v>0</v>
      </c>
      <c r="T3386" s="44">
        <f>IF(Mecze[[#This Row],[Role]]&lt;&gt;"BR",SUMPRODUCT(Mecze[[#This Row],[/PR:90]:[/BR:90]],Brudnopis!$E$24:$J$24),0)</f>
        <v>0.18367346938775508</v>
      </c>
      <c r="U3386" s="44">
        <f>IF(Mecze[[#This Row],[Role]]&lt;&gt;"BR",SUMPRODUCT(Mecze[[#This Row],[/PR:90]:[/BR:90]],Brudnopis!$E$25:$J$25),0)</f>
        <v>0.21428571428571427</v>
      </c>
      <c r="V3386" s="44">
        <f>IF(Mecze[[#This Row],[Role]]&lt;&gt;"BR",SUMPRODUCT(Mecze[[#This Row],[/PR:90]:[/BR:90]],Brudnopis!$E$26:$J$26),0)</f>
        <v>0.17346938775510201</v>
      </c>
      <c r="W3386" s="44">
        <f>IF(Mecze[[#This Row],[Role]]&lt;&gt;"BR",SUMPRODUCT(Mecze[[#This Row],[/PR:90]:[/BR:90]],Brudnopis!$E$27:$J$27),0)</f>
        <v>0.19132653061224489</v>
      </c>
      <c r="X3386" s="44">
        <f>IF(Mecze[[#This Row],[Role]]&lt;&gt;"BR",SUMPRODUCT(Mecze[[#This Row],[/PR:90]:[/BR:90]],Brudnopis!$E$28:$J$28),0)</f>
        <v>8.1632653061224483E-2</v>
      </c>
      <c r="Y3386" s="35">
        <f>IF(Mecze[[#This Row],[Role]]="BR",Mecze[[#This Row],[/OB:90]]+Mecze[[#This Row],[/PC:90]],SUM(Mecze[[#This Row],[/PR:90]:[/BR:90]]))</f>
        <v>0.17346938775510201</v>
      </c>
      <c r="Z3386" s="35">
        <f>IF(Mecze[[#This Row],[KC]]=0,SUM(Mecze[[#This Row],[/BRI]:[/NPI]]),SUM(Mecze[[#This Row],[/BRI]:[/NPI]])*0.6)</f>
        <v>0.84438775510204078</v>
      </c>
      <c r="AA3386" s="10">
        <f>IFERROR(Mecze[[#This Row],[BR]]/Mecze[[#This Row],[ST]],0)</f>
        <v>0</v>
      </c>
      <c r="AB3386">
        <f>ROUND(Mecze[[#This Row],[PD]]*Mecze[[#This Row],[%PC]],0)</f>
        <v>8</v>
      </c>
      <c r="AC3386">
        <f>ROUND(Mecze[[#This Row],[OD]]*Mecze[[#This Row],[%OU]],0)</f>
        <v>2</v>
      </c>
      <c r="AD3386" s="36" t="s">
        <v>47</v>
      </c>
      <c r="AE3386" s="36">
        <v>189</v>
      </c>
      <c r="AF3386" s="71">
        <v>4.28</v>
      </c>
      <c r="AG3386" s="37">
        <v>0</v>
      </c>
      <c r="AH3386" s="37">
        <v>0</v>
      </c>
      <c r="AI3386" s="37">
        <v>98</v>
      </c>
      <c r="AJ3386" s="37">
        <v>1</v>
      </c>
      <c r="AK3386" s="37" t="str">
        <f>VLOOKUP(Mecze[[#This Row],[Match ID]],Meczusie[Mecz]:Meczusie[RodzajMeczu],2,FALSE)</f>
        <v>Towarzyski</v>
      </c>
    </row>
    <row r="3387" spans="1:37" x14ac:dyDescent="0.25">
      <c r="A3387" s="76">
        <v>53</v>
      </c>
      <c r="B3387" s="3" t="s">
        <v>415</v>
      </c>
      <c r="C3387" s="2" t="s">
        <v>157</v>
      </c>
      <c r="D3387" s="1">
        <v>0</v>
      </c>
      <c r="E3387" s="1">
        <v>0</v>
      </c>
      <c r="F3387" s="1">
        <v>0</v>
      </c>
      <c r="G3387" s="1">
        <v>7</v>
      </c>
      <c r="H3387" s="4">
        <v>0.56999999999999995</v>
      </c>
      <c r="I3387" s="1">
        <v>8</v>
      </c>
      <c r="J3387" s="4">
        <v>0.13</v>
      </c>
      <c r="K3387" s="1">
        <v>0</v>
      </c>
      <c r="L3387" s="1">
        <v>6</v>
      </c>
      <c r="M3387" s="32">
        <f>IF(Mecze[[#This Row],[PR]]=0,0,Mecze[[#This Row],[PR]]/Mecze[[#This Row],[CZAS]])</f>
        <v>6.1224489795918366E-2</v>
      </c>
      <c r="N3387" s="32">
        <f>IF(Mecze[[#This Row],[OU]]=0,0,Mecze[[#This Row],[OU]]/Mecze[[#This Row],[CZAS]])</f>
        <v>1.020408163265306E-2</v>
      </c>
      <c r="O3387" s="32">
        <f>IF(Mecze[[#This Row],[PC]]=0,0,Mecze[[#This Row],[PC]]/Mecze[[#This Row],[CZAS]])</f>
        <v>4.0816326530612242E-2</v>
      </c>
      <c r="P3387" s="32">
        <f>IF(Mecze[[#This Row],[SC]]=0,0,Mecze[[#This Row],[SC]]/Mecze[[#This Row],[CZAS]])</f>
        <v>0</v>
      </c>
      <c r="Q3387" s="32">
        <f>IF(Mecze[[#This Row],[OB]]=0,0,Mecze[[#This Row],[OB]]/Mecze[[#This Row],[CZAS]])</f>
        <v>0</v>
      </c>
      <c r="R3387" s="32">
        <f>IF(Mecze[[#This Row],[BR]]=0,0,Mecze[[#This Row],[BR]]/Mecze[[#This Row],[CZAS]])</f>
        <v>0</v>
      </c>
      <c r="S3387" s="44">
        <f>IF(Mecze[[#This Row],[Role]]="BR",SUMPRODUCT(Mecze[[#This Row],[/PR:90]:[/BR:90]],Brudnopis!$E$23:$J$23),0)</f>
        <v>0</v>
      </c>
      <c r="T3387" s="44">
        <f>IF(Mecze[[#This Row],[Role]]&lt;&gt;"BR",SUMPRODUCT(Mecze[[#This Row],[/PR:90]:[/BR:90]],Brudnopis!$E$24:$J$24),0)</f>
        <v>0.1173469387755102</v>
      </c>
      <c r="U3387" s="44">
        <f>IF(Mecze[[#This Row],[Role]]&lt;&gt;"BR",SUMPRODUCT(Mecze[[#This Row],[/PR:90]:[/BR:90]],Brudnopis!$E$25:$J$25),0)</f>
        <v>0.13265306122448978</v>
      </c>
      <c r="V3387" s="44">
        <f>IF(Mecze[[#This Row],[Role]]&lt;&gt;"BR",SUMPRODUCT(Mecze[[#This Row],[/PR:90]:[/BR:90]],Brudnopis!$E$26:$J$26),0)</f>
        <v>0.11224489795918366</v>
      </c>
      <c r="W3387" s="44">
        <f>IF(Mecze[[#This Row],[Role]]&lt;&gt;"BR",SUMPRODUCT(Mecze[[#This Row],[/PR:90]:[/BR:90]],Brudnopis!$E$27:$J$27),0)</f>
        <v>0.11479591836734693</v>
      </c>
      <c r="X3387" s="44">
        <f>IF(Mecze[[#This Row],[Role]]&lt;&gt;"BR",SUMPRODUCT(Mecze[[#This Row],[/PR:90]:[/BR:90]],Brudnopis!$E$28:$J$28),0)</f>
        <v>4.0816326530612242E-2</v>
      </c>
      <c r="Y3387" s="35">
        <f>IF(Mecze[[#This Row],[Role]]="BR",Mecze[[#This Row],[/OB:90]]+Mecze[[#This Row],[/PC:90]],SUM(Mecze[[#This Row],[/PR:90]:[/BR:90]]))</f>
        <v>0.11224489795918366</v>
      </c>
      <c r="Z3387" s="35">
        <f>IF(Mecze[[#This Row],[KC]]=0,SUM(Mecze[[#This Row],[/BRI]:[/NPI]]),SUM(Mecze[[#This Row],[/BRI]:[/NPI]])*0.6)</f>
        <v>0.51785714285714279</v>
      </c>
      <c r="AA3387" s="10">
        <f>IFERROR(Mecze[[#This Row],[BR]]/Mecze[[#This Row],[ST]],0)</f>
        <v>0</v>
      </c>
      <c r="AB3387">
        <f>ROUND(Mecze[[#This Row],[PD]]*Mecze[[#This Row],[%PC]],0)</f>
        <v>4</v>
      </c>
      <c r="AC3387">
        <f>ROUND(Mecze[[#This Row],[OD]]*Mecze[[#This Row],[%OU]],0)</f>
        <v>1</v>
      </c>
      <c r="AD3387" s="36" t="s">
        <v>167</v>
      </c>
      <c r="AE3387" s="36">
        <v>189</v>
      </c>
      <c r="AF3387" s="71">
        <v>4.07</v>
      </c>
      <c r="AG3387" s="37">
        <v>0</v>
      </c>
      <c r="AH3387" s="37">
        <v>0</v>
      </c>
      <c r="AI3387" s="37">
        <v>98</v>
      </c>
      <c r="AJ3387" s="37">
        <v>1</v>
      </c>
      <c r="AK3387" s="37" t="str">
        <f>VLOOKUP(Mecze[[#This Row],[Match ID]],Meczusie[Mecz]:Meczusie[RodzajMeczu],2,FALSE)</f>
        <v>Towarzyski</v>
      </c>
    </row>
    <row r="3388" spans="1:37" x14ac:dyDescent="0.25">
      <c r="A3388" s="76">
        <v>50</v>
      </c>
      <c r="B3388" s="3" t="s">
        <v>496</v>
      </c>
      <c r="C3388" s="2" t="s">
        <v>157</v>
      </c>
      <c r="D3388" s="1">
        <v>0</v>
      </c>
      <c r="E3388" s="1">
        <v>0</v>
      </c>
      <c r="F3388" s="1">
        <v>0</v>
      </c>
      <c r="G3388" s="1">
        <v>12</v>
      </c>
      <c r="H3388" s="4">
        <v>0.5</v>
      </c>
      <c r="I3388" s="1">
        <v>4</v>
      </c>
      <c r="J3388" s="4">
        <v>0.75</v>
      </c>
      <c r="K3388" s="1">
        <v>0</v>
      </c>
      <c r="L3388" s="1">
        <v>9</v>
      </c>
      <c r="M3388" s="32">
        <f>IF(Mecze[[#This Row],[PR]]=0,0,Mecze[[#This Row],[PR]]/Mecze[[#This Row],[CZAS]])</f>
        <v>9.1836734693877556E-2</v>
      </c>
      <c r="N3388" s="32">
        <f>IF(Mecze[[#This Row],[OU]]=0,0,Mecze[[#This Row],[OU]]/Mecze[[#This Row],[CZAS]])</f>
        <v>3.0612244897959183E-2</v>
      </c>
      <c r="O3388" s="32">
        <f>IF(Mecze[[#This Row],[PC]]=0,0,Mecze[[#This Row],[PC]]/Mecze[[#This Row],[CZAS]])</f>
        <v>6.1224489795918366E-2</v>
      </c>
      <c r="P3388" s="32">
        <f>IF(Mecze[[#This Row],[SC]]=0,0,Mecze[[#This Row],[SC]]/Mecze[[#This Row],[CZAS]])</f>
        <v>0</v>
      </c>
      <c r="Q3388" s="32">
        <f>IF(Mecze[[#This Row],[OB]]=0,0,Mecze[[#This Row],[OB]]/Mecze[[#This Row],[CZAS]])</f>
        <v>0</v>
      </c>
      <c r="R3388" s="32">
        <f>IF(Mecze[[#This Row],[BR]]=0,0,Mecze[[#This Row],[BR]]/Mecze[[#This Row],[CZAS]])</f>
        <v>0</v>
      </c>
      <c r="S3388" s="44">
        <f>IF(Mecze[[#This Row],[Role]]="BR",SUMPRODUCT(Mecze[[#This Row],[/PR:90]:[/BR:90]],Brudnopis!$E$23:$J$23),0)</f>
        <v>0</v>
      </c>
      <c r="T3388" s="44">
        <f>IF(Mecze[[#This Row],[Role]]&lt;&gt;"BR",SUMPRODUCT(Mecze[[#This Row],[/PR:90]:[/BR:90]],Brudnopis!$E$24:$J$24),0)</f>
        <v>0.19897959183673469</v>
      </c>
      <c r="U3388" s="44">
        <f>IF(Mecze[[#This Row],[Role]]&lt;&gt;"BR",SUMPRODUCT(Mecze[[#This Row],[/PR:90]:[/BR:90]],Brudnopis!$E$25:$J$25),0)</f>
        <v>0.21428571428571427</v>
      </c>
      <c r="V3388" s="44">
        <f>IF(Mecze[[#This Row],[Role]]&lt;&gt;"BR",SUMPRODUCT(Mecze[[#This Row],[/PR:90]:[/BR:90]],Brudnopis!$E$26:$J$26),0)</f>
        <v>0.18367346938775508</v>
      </c>
      <c r="W3388" s="44">
        <f>IF(Mecze[[#This Row],[Role]]&lt;&gt;"BR",SUMPRODUCT(Mecze[[#This Row],[/PR:90]:[/BR:90]],Brudnopis!$E$27:$J$27),0)</f>
        <v>0.18367346938775508</v>
      </c>
      <c r="X3388" s="44">
        <f>IF(Mecze[[#This Row],[Role]]&lt;&gt;"BR",SUMPRODUCT(Mecze[[#This Row],[/PR:90]:[/BR:90]],Brudnopis!$E$28:$J$28),0)</f>
        <v>6.1224489795918366E-2</v>
      </c>
      <c r="Y3388" s="35">
        <f>IF(Mecze[[#This Row],[Role]]="BR",Mecze[[#This Row],[/OB:90]]+Mecze[[#This Row],[/PC:90]],SUM(Mecze[[#This Row],[/PR:90]:[/BR:90]]))</f>
        <v>0.18367346938775508</v>
      </c>
      <c r="Z3388" s="35">
        <f>IF(Mecze[[#This Row],[KC]]=0,SUM(Mecze[[#This Row],[/BRI]:[/NPI]]),SUM(Mecze[[#This Row],[/BRI]:[/NPI]])*0.6)</f>
        <v>0.84183673469387743</v>
      </c>
      <c r="AA3388" s="10">
        <f>IFERROR(Mecze[[#This Row],[BR]]/Mecze[[#This Row],[ST]],0)</f>
        <v>0</v>
      </c>
      <c r="AB3388">
        <f>ROUND(Mecze[[#This Row],[PD]]*Mecze[[#This Row],[%PC]],0)</f>
        <v>6</v>
      </c>
      <c r="AC3388">
        <f>ROUND(Mecze[[#This Row],[OD]]*Mecze[[#This Row],[%OU]],0)</f>
        <v>3</v>
      </c>
      <c r="AD3388" s="36" t="s">
        <v>168</v>
      </c>
      <c r="AE3388" s="36">
        <v>189</v>
      </c>
      <c r="AF3388" s="71">
        <v>5.82</v>
      </c>
      <c r="AG3388" s="37">
        <v>0</v>
      </c>
      <c r="AH3388" s="37">
        <v>0</v>
      </c>
      <c r="AI3388" s="37">
        <v>98</v>
      </c>
      <c r="AJ3388" s="37">
        <v>1</v>
      </c>
      <c r="AK3388" s="37" t="str">
        <f>VLOOKUP(Mecze[[#This Row],[Match ID]],Meczusie[Mecz]:Meczusie[RodzajMeczu],2,FALSE)</f>
        <v>Towarzyski</v>
      </c>
    </row>
    <row r="3389" spans="1:37" x14ac:dyDescent="0.25">
      <c r="A3389" s="76">
        <v>52</v>
      </c>
      <c r="B3389" s="3" t="s">
        <v>408</v>
      </c>
      <c r="C3389" s="2" t="s">
        <v>160</v>
      </c>
      <c r="D3389" s="1">
        <v>0</v>
      </c>
      <c r="E3389" s="1">
        <v>0</v>
      </c>
      <c r="F3389" s="1">
        <v>0</v>
      </c>
      <c r="G3389" s="1">
        <v>13</v>
      </c>
      <c r="H3389" s="4">
        <v>0.31</v>
      </c>
      <c r="I3389" s="1">
        <v>6</v>
      </c>
      <c r="J3389" s="4">
        <v>0.33</v>
      </c>
      <c r="K3389" s="1">
        <v>0</v>
      </c>
      <c r="L3389" s="1">
        <v>8</v>
      </c>
      <c r="M3389" s="32">
        <f>IF(Mecze[[#This Row],[PR]]=0,0,Mecze[[#This Row],[PR]]/Mecze[[#This Row],[CZAS]])</f>
        <v>8.1632653061224483E-2</v>
      </c>
      <c r="N3389" s="32">
        <f>IF(Mecze[[#This Row],[OU]]=0,0,Mecze[[#This Row],[OU]]/Mecze[[#This Row],[CZAS]])</f>
        <v>2.0408163265306121E-2</v>
      </c>
      <c r="O3389" s="32">
        <f>IF(Mecze[[#This Row],[PC]]=0,0,Mecze[[#This Row],[PC]]/Mecze[[#This Row],[CZAS]])</f>
        <v>4.0816326530612242E-2</v>
      </c>
      <c r="P3389" s="32">
        <f>IF(Mecze[[#This Row],[SC]]=0,0,Mecze[[#This Row],[SC]]/Mecze[[#This Row],[CZAS]])</f>
        <v>0</v>
      </c>
      <c r="Q3389" s="32">
        <f>IF(Mecze[[#This Row],[OB]]=0,0,Mecze[[#This Row],[OB]]/Mecze[[#This Row],[CZAS]])</f>
        <v>0</v>
      </c>
      <c r="R3389" s="32">
        <f>IF(Mecze[[#This Row],[BR]]=0,0,Mecze[[#This Row],[BR]]/Mecze[[#This Row],[CZAS]])</f>
        <v>0</v>
      </c>
      <c r="S3389" s="44">
        <f>IF(Mecze[[#This Row],[Role]]="BR",SUMPRODUCT(Mecze[[#This Row],[/PR:90]:[/BR:90]],Brudnopis!$E$23:$J$23),0)</f>
        <v>0</v>
      </c>
      <c r="T3389" s="44">
        <f>IF(Mecze[[#This Row],[Role]]&lt;&gt;"BR",SUMPRODUCT(Mecze[[#This Row],[/PR:90]:[/BR:90]],Brudnopis!$E$24:$J$24),0)</f>
        <v>0.15306122448979589</v>
      </c>
      <c r="U3389" s="44">
        <f>IF(Mecze[[#This Row],[Role]]&lt;&gt;"BR",SUMPRODUCT(Mecze[[#This Row],[/PR:90]:[/BR:90]],Brudnopis!$E$25:$J$25),0)</f>
        <v>0.16326530612244897</v>
      </c>
      <c r="V3389" s="44">
        <f>IF(Mecze[[#This Row],[Role]]&lt;&gt;"BR",SUMPRODUCT(Mecze[[#This Row],[/PR:90]:[/BR:90]],Brudnopis!$E$26:$J$26),0)</f>
        <v>0.14285714285714285</v>
      </c>
      <c r="W3389" s="44">
        <f>IF(Mecze[[#This Row],[Role]]&lt;&gt;"BR",SUMPRODUCT(Mecze[[#This Row],[/PR:90]:[/BR:90]],Brudnopis!$E$27:$J$27),0)</f>
        <v>0.13775510204081631</v>
      </c>
      <c r="X3389" s="44">
        <f>IF(Mecze[[#This Row],[Role]]&lt;&gt;"BR",SUMPRODUCT(Mecze[[#This Row],[/PR:90]:[/BR:90]],Brudnopis!$E$28:$J$28),0)</f>
        <v>4.0816326530612242E-2</v>
      </c>
      <c r="Y3389" s="35">
        <f>IF(Mecze[[#This Row],[Role]]="BR",Mecze[[#This Row],[/OB:90]]+Mecze[[#This Row],[/PC:90]],SUM(Mecze[[#This Row],[/PR:90]:[/BR:90]]))</f>
        <v>0.14285714285714285</v>
      </c>
      <c r="Z3389" s="35">
        <f>IF(Mecze[[#This Row],[KC]]=0,SUM(Mecze[[#This Row],[/BRI]:[/NPI]]),SUM(Mecze[[#This Row],[/BRI]:[/NPI]])*0.6)</f>
        <v>0.63775510204081631</v>
      </c>
      <c r="AA3389" s="10">
        <f>IFERROR(Mecze[[#This Row],[BR]]/Mecze[[#This Row],[ST]],0)</f>
        <v>0</v>
      </c>
      <c r="AB3389">
        <f>ROUND(Mecze[[#This Row],[PD]]*Mecze[[#This Row],[%PC]],0)</f>
        <v>4</v>
      </c>
      <c r="AC3389">
        <f>ROUND(Mecze[[#This Row],[OD]]*Mecze[[#This Row],[%OU]],0)</f>
        <v>2</v>
      </c>
      <c r="AD3389" s="36" t="s">
        <v>41</v>
      </c>
      <c r="AE3389" s="36">
        <v>189</v>
      </c>
      <c r="AF3389" s="71">
        <v>5.6</v>
      </c>
      <c r="AG3389" s="37">
        <v>0</v>
      </c>
      <c r="AH3389" s="37">
        <v>0</v>
      </c>
      <c r="AI3389" s="37">
        <v>98</v>
      </c>
      <c r="AJ3389" s="37">
        <v>1</v>
      </c>
      <c r="AK3389" s="37" t="str">
        <f>VLOOKUP(Mecze[[#This Row],[Match ID]],Meczusie[Mecz]:Meczusie[RodzajMeczu],2,FALSE)</f>
        <v>Towarzyski</v>
      </c>
    </row>
    <row r="3390" spans="1:37" x14ac:dyDescent="0.25">
      <c r="A3390" s="76">
        <v>40</v>
      </c>
      <c r="B3390" s="3" t="s">
        <v>453</v>
      </c>
      <c r="C3390" s="2" t="s">
        <v>160</v>
      </c>
      <c r="D3390" s="1">
        <v>0</v>
      </c>
      <c r="E3390" s="1">
        <v>1</v>
      </c>
      <c r="F3390" s="1">
        <v>1</v>
      </c>
      <c r="G3390" s="1">
        <v>14</v>
      </c>
      <c r="H3390" s="4">
        <v>0.5</v>
      </c>
      <c r="I3390" s="1">
        <v>8</v>
      </c>
      <c r="J3390" s="4">
        <v>0.25</v>
      </c>
      <c r="K3390" s="1">
        <v>0</v>
      </c>
      <c r="L3390" s="1">
        <v>8</v>
      </c>
      <c r="M3390" s="32">
        <f>IF(Mecze[[#This Row],[PR]]=0,0,Mecze[[#This Row],[PR]]/Mecze[[#This Row],[CZAS]])</f>
        <v>8.1632653061224483E-2</v>
      </c>
      <c r="N3390" s="32">
        <f>IF(Mecze[[#This Row],[OU]]=0,0,Mecze[[#This Row],[OU]]/Mecze[[#This Row],[CZAS]])</f>
        <v>2.0408163265306121E-2</v>
      </c>
      <c r="O3390" s="32">
        <f>IF(Mecze[[#This Row],[PC]]=0,0,Mecze[[#This Row],[PC]]/Mecze[[#This Row],[CZAS]])</f>
        <v>7.1428571428571425E-2</v>
      </c>
      <c r="P3390" s="32">
        <f>IF(Mecze[[#This Row],[SC]]=0,0,Mecze[[#This Row],[SC]]/Mecze[[#This Row],[CZAS]])</f>
        <v>1.020408163265306E-2</v>
      </c>
      <c r="Q3390" s="32">
        <f>IF(Mecze[[#This Row],[OB]]=0,0,Mecze[[#This Row],[OB]]/Mecze[[#This Row],[CZAS]])</f>
        <v>0</v>
      </c>
      <c r="R3390" s="32">
        <f>IF(Mecze[[#This Row],[BR]]=0,0,Mecze[[#This Row],[BR]]/Mecze[[#This Row],[CZAS]])</f>
        <v>0</v>
      </c>
      <c r="S3390" s="44">
        <f>IF(Mecze[[#This Row],[Role]]="BR",SUMPRODUCT(Mecze[[#This Row],[/PR:90]:[/BR:90]],Brudnopis!$E$23:$J$23),0)</f>
        <v>0</v>
      </c>
      <c r="T3390" s="44">
        <f>IF(Mecze[[#This Row],[Role]]&lt;&gt;"BR",SUMPRODUCT(Mecze[[#This Row],[/PR:90]:[/BR:90]],Brudnopis!$E$24:$J$24),0)</f>
        <v>0.19387755102040816</v>
      </c>
      <c r="U3390" s="44">
        <f>IF(Mecze[[#This Row],[Role]]&lt;&gt;"BR",SUMPRODUCT(Mecze[[#This Row],[/PR:90]:[/BR:90]],Brudnopis!$E$25:$J$25),0)</f>
        <v>0.21938775510204081</v>
      </c>
      <c r="V3390" s="44">
        <f>IF(Mecze[[#This Row],[Role]]&lt;&gt;"BR",SUMPRODUCT(Mecze[[#This Row],[/PR:90]:[/BR:90]],Brudnopis!$E$26:$J$26),0)</f>
        <v>0.18367346938775508</v>
      </c>
      <c r="W3390" s="44">
        <f>IF(Mecze[[#This Row],[Role]]&lt;&gt;"BR",SUMPRODUCT(Mecze[[#This Row],[/PR:90]:[/BR:90]],Brudnopis!$E$27:$J$27),0)</f>
        <v>0.19387755102040816</v>
      </c>
      <c r="X3390" s="44">
        <f>IF(Mecze[[#This Row],[Role]]&lt;&gt;"BR",SUMPRODUCT(Mecze[[#This Row],[/PR:90]:[/BR:90]],Brudnopis!$E$28:$J$28),0)</f>
        <v>9.1836734693877542E-2</v>
      </c>
      <c r="Y3390" s="35">
        <f>IF(Mecze[[#This Row],[Role]]="BR",Mecze[[#This Row],[/OB:90]]+Mecze[[#This Row],[/PC:90]],SUM(Mecze[[#This Row],[/PR:90]:[/BR:90]]))</f>
        <v>0.18367346938775508</v>
      </c>
      <c r="Z3390" s="35">
        <f>IF(Mecze[[#This Row],[KC]]=0,SUM(Mecze[[#This Row],[/BRI]:[/NPI]]),SUM(Mecze[[#This Row],[/BRI]:[/NPI]])*0.6)</f>
        <v>0.88265306122448972</v>
      </c>
      <c r="AA3390" s="10">
        <f>IFERROR(Mecze[[#This Row],[BR]]/Mecze[[#This Row],[ST]],0)</f>
        <v>0</v>
      </c>
      <c r="AB3390">
        <f>ROUND(Mecze[[#This Row],[PD]]*Mecze[[#This Row],[%PC]],0)</f>
        <v>7</v>
      </c>
      <c r="AC3390">
        <f>ROUND(Mecze[[#This Row],[OD]]*Mecze[[#This Row],[%OU]],0)</f>
        <v>2</v>
      </c>
      <c r="AD3390" s="36" t="s">
        <v>41</v>
      </c>
      <c r="AE3390" s="36">
        <v>189</v>
      </c>
      <c r="AF3390" s="71">
        <v>7.04</v>
      </c>
      <c r="AG3390" s="37">
        <v>0</v>
      </c>
      <c r="AH3390" s="37">
        <v>0</v>
      </c>
      <c r="AI3390" s="37">
        <v>98</v>
      </c>
      <c r="AJ3390" s="37">
        <v>1</v>
      </c>
      <c r="AK3390" s="37" t="str">
        <f>VLOOKUP(Mecze[[#This Row],[Match ID]],Meczusie[Mecz]:Meczusie[RodzajMeczu],2,FALSE)</f>
        <v>Towarzyski</v>
      </c>
    </row>
    <row r="3391" spans="1:37" x14ac:dyDescent="0.25">
      <c r="A3391" s="76">
        <v>25</v>
      </c>
      <c r="B3391" s="3" t="s">
        <v>366</v>
      </c>
      <c r="C3391" s="2" t="s">
        <v>160</v>
      </c>
      <c r="D3391" s="1">
        <v>0</v>
      </c>
      <c r="E3391" s="1">
        <v>0</v>
      </c>
      <c r="F3391" s="1">
        <v>0</v>
      </c>
      <c r="G3391" s="1">
        <v>6</v>
      </c>
      <c r="H3391" s="4">
        <v>0.5</v>
      </c>
      <c r="I3391" s="1">
        <v>3</v>
      </c>
      <c r="J3391" s="4">
        <v>0.33</v>
      </c>
      <c r="K3391" s="1">
        <v>0</v>
      </c>
      <c r="L3391" s="1">
        <v>1</v>
      </c>
      <c r="M3391" s="32">
        <f>IF(Mecze[[#This Row],[PR]]=0,0,Mecze[[#This Row],[PR]]/Mecze[[#This Row],[CZAS]])</f>
        <v>1.020408163265306E-2</v>
      </c>
      <c r="N3391" s="32">
        <f>IF(Mecze[[#This Row],[OU]]=0,0,Mecze[[#This Row],[OU]]/Mecze[[#This Row],[CZAS]])</f>
        <v>1.020408163265306E-2</v>
      </c>
      <c r="O3391" s="32">
        <f>IF(Mecze[[#This Row],[PC]]=0,0,Mecze[[#This Row],[PC]]/Mecze[[#This Row],[CZAS]])</f>
        <v>3.0612244897959183E-2</v>
      </c>
      <c r="P3391" s="32">
        <f>IF(Mecze[[#This Row],[SC]]=0,0,Mecze[[#This Row],[SC]]/Mecze[[#This Row],[CZAS]])</f>
        <v>0</v>
      </c>
      <c r="Q3391" s="32">
        <f>IF(Mecze[[#This Row],[OB]]=0,0,Mecze[[#This Row],[OB]]/Mecze[[#This Row],[CZAS]])</f>
        <v>0</v>
      </c>
      <c r="R3391" s="32">
        <f>IF(Mecze[[#This Row],[BR]]=0,0,Mecze[[#This Row],[BR]]/Mecze[[#This Row],[CZAS]])</f>
        <v>0</v>
      </c>
      <c r="S3391" s="44">
        <f>IF(Mecze[[#This Row],[Role]]="BR",SUMPRODUCT(Mecze[[#This Row],[/PR:90]:[/BR:90]],Brudnopis!$E$23:$J$23),0)</f>
        <v>0</v>
      </c>
      <c r="T3391" s="44">
        <f>IF(Mecze[[#This Row],[Role]]&lt;&gt;"BR",SUMPRODUCT(Mecze[[#This Row],[/PR:90]:[/BR:90]],Brudnopis!$E$24:$J$24),0)</f>
        <v>5.6122448979591837E-2</v>
      </c>
      <c r="U3391" s="44">
        <f>IF(Mecze[[#This Row],[Role]]&lt;&gt;"BR",SUMPRODUCT(Mecze[[#This Row],[/PR:90]:[/BR:90]],Brudnopis!$E$25:$J$25),0)</f>
        <v>6.6326530612244888E-2</v>
      </c>
      <c r="V3391" s="44">
        <f>IF(Mecze[[#This Row],[Role]]&lt;&gt;"BR",SUMPRODUCT(Mecze[[#This Row],[/PR:90]:[/BR:90]],Brudnopis!$E$26:$J$26),0)</f>
        <v>5.1020408163265307E-2</v>
      </c>
      <c r="W3391" s="44">
        <f>IF(Mecze[[#This Row],[Role]]&lt;&gt;"BR",SUMPRODUCT(Mecze[[#This Row],[/PR:90]:[/BR:90]],Brudnopis!$E$27:$J$27),0)</f>
        <v>6.1224489795918366E-2</v>
      </c>
      <c r="X3391" s="44">
        <f>IF(Mecze[[#This Row],[Role]]&lt;&gt;"BR",SUMPRODUCT(Mecze[[#This Row],[/PR:90]:[/BR:90]],Brudnopis!$E$28:$J$28),0)</f>
        <v>3.0612244897959183E-2</v>
      </c>
      <c r="Y3391" s="35">
        <f>IF(Mecze[[#This Row],[Role]]="BR",Mecze[[#This Row],[/OB:90]]+Mecze[[#This Row],[/PC:90]],SUM(Mecze[[#This Row],[/PR:90]:[/BR:90]]))</f>
        <v>5.1020408163265307E-2</v>
      </c>
      <c r="Z3391" s="35">
        <f>IF(Mecze[[#This Row],[KC]]=0,SUM(Mecze[[#This Row],[/BRI]:[/NPI]]),SUM(Mecze[[#This Row],[/BRI]:[/NPI]])*0.6)</f>
        <v>0.26530612244897955</v>
      </c>
      <c r="AA3391" s="10">
        <f>IFERROR(Mecze[[#This Row],[BR]]/Mecze[[#This Row],[ST]],0)</f>
        <v>0</v>
      </c>
      <c r="AB3391">
        <f>ROUND(Mecze[[#This Row],[PD]]*Mecze[[#This Row],[%PC]],0)</f>
        <v>3</v>
      </c>
      <c r="AC3391">
        <f>ROUND(Mecze[[#This Row],[OD]]*Mecze[[#This Row],[%OU]],0)</f>
        <v>1</v>
      </c>
      <c r="AD3391" s="36" t="s">
        <v>44</v>
      </c>
      <c r="AE3391" s="36">
        <v>189</v>
      </c>
      <c r="AF3391" s="71">
        <v>5.34</v>
      </c>
      <c r="AG3391" s="37">
        <v>0</v>
      </c>
      <c r="AH3391" s="37">
        <v>0</v>
      </c>
      <c r="AI3391" s="37">
        <v>98</v>
      </c>
      <c r="AJ3391" s="37">
        <v>1</v>
      </c>
      <c r="AK3391" s="37" t="str">
        <f>VLOOKUP(Mecze[[#This Row],[Match ID]],Meczusie[Mecz]:Meczusie[RodzajMeczu],2,FALSE)</f>
        <v>Towarzyski</v>
      </c>
    </row>
    <row r="3392" spans="1:37" x14ac:dyDescent="0.25">
      <c r="A3392" s="76">
        <v>45</v>
      </c>
      <c r="B3392" s="3" t="s">
        <v>394</v>
      </c>
      <c r="C3392" s="2" t="s">
        <v>160</v>
      </c>
      <c r="D3392" s="1">
        <v>0</v>
      </c>
      <c r="E3392" s="1">
        <v>0</v>
      </c>
      <c r="F3392" s="1">
        <v>0</v>
      </c>
      <c r="G3392" s="1">
        <v>4</v>
      </c>
      <c r="H3392" s="4">
        <v>0.5</v>
      </c>
      <c r="I3392" s="1">
        <v>3</v>
      </c>
      <c r="J3392" s="4">
        <v>0.33</v>
      </c>
      <c r="K3392" s="1">
        <v>0</v>
      </c>
      <c r="L3392" s="1">
        <v>1</v>
      </c>
      <c r="M3392" s="32">
        <f>IF(Mecze[[#This Row],[PR]]=0,0,Mecze[[#This Row],[PR]]/Mecze[[#This Row],[CZAS]])</f>
        <v>1.020408163265306E-2</v>
      </c>
      <c r="N3392" s="32">
        <f>IF(Mecze[[#This Row],[OU]]=0,0,Mecze[[#This Row],[OU]]/Mecze[[#This Row],[CZAS]])</f>
        <v>1.020408163265306E-2</v>
      </c>
      <c r="O3392" s="32">
        <f>IF(Mecze[[#This Row],[PC]]=0,0,Mecze[[#This Row],[PC]]/Mecze[[#This Row],[CZAS]])</f>
        <v>2.0408163265306121E-2</v>
      </c>
      <c r="P3392" s="32">
        <f>IF(Mecze[[#This Row],[SC]]=0,0,Mecze[[#This Row],[SC]]/Mecze[[#This Row],[CZAS]])</f>
        <v>0</v>
      </c>
      <c r="Q3392" s="32">
        <f>IF(Mecze[[#This Row],[OB]]=0,0,Mecze[[#This Row],[OB]]/Mecze[[#This Row],[CZAS]])</f>
        <v>0</v>
      </c>
      <c r="R3392" s="32">
        <f>IF(Mecze[[#This Row],[BR]]=0,0,Mecze[[#This Row],[BR]]/Mecze[[#This Row],[CZAS]])</f>
        <v>0</v>
      </c>
      <c r="S3392" s="44">
        <f>IF(Mecze[[#This Row],[Role]]="BR",SUMPRODUCT(Mecze[[#This Row],[/PR:90]:[/BR:90]],Brudnopis!$E$23:$J$23),0)</f>
        <v>0</v>
      </c>
      <c r="T3392" s="44">
        <f>IF(Mecze[[#This Row],[Role]]&lt;&gt;"BR",SUMPRODUCT(Mecze[[#This Row],[/PR:90]:[/BR:90]],Brudnopis!$E$24:$J$24),0)</f>
        <v>4.5918367346938771E-2</v>
      </c>
      <c r="U3392" s="44">
        <f>IF(Mecze[[#This Row],[Role]]&lt;&gt;"BR",SUMPRODUCT(Mecze[[#This Row],[/PR:90]:[/BR:90]],Brudnopis!$E$25:$J$25),0)</f>
        <v>5.1020408163265307E-2</v>
      </c>
      <c r="V3392" s="44">
        <f>IF(Mecze[[#This Row],[Role]]&lt;&gt;"BR",SUMPRODUCT(Mecze[[#This Row],[/PR:90]:[/BR:90]],Brudnopis!$E$26:$J$26),0)</f>
        <v>4.0816326530612242E-2</v>
      </c>
      <c r="W3392" s="44">
        <f>IF(Mecze[[#This Row],[Role]]&lt;&gt;"BR",SUMPRODUCT(Mecze[[#This Row],[/PR:90]:[/BR:90]],Brudnopis!$E$27:$J$27),0)</f>
        <v>4.5918367346938771E-2</v>
      </c>
      <c r="X3392" s="44">
        <f>IF(Mecze[[#This Row],[Role]]&lt;&gt;"BR",SUMPRODUCT(Mecze[[#This Row],[/PR:90]:[/BR:90]],Brudnopis!$E$28:$J$28),0)</f>
        <v>2.0408163265306121E-2</v>
      </c>
      <c r="Y3392" s="35">
        <f>IF(Mecze[[#This Row],[Role]]="BR",Mecze[[#This Row],[/OB:90]]+Mecze[[#This Row],[/PC:90]],SUM(Mecze[[#This Row],[/PR:90]:[/BR:90]]))</f>
        <v>4.0816326530612242E-2</v>
      </c>
      <c r="Z3392" s="35">
        <f>IF(Mecze[[#This Row],[KC]]=0,SUM(Mecze[[#This Row],[/BRI]:[/NPI]]),SUM(Mecze[[#This Row],[/BRI]:[/NPI]])*0.6)</f>
        <v>0.2040816326530612</v>
      </c>
      <c r="AA3392" s="10">
        <f>IFERROR(Mecze[[#This Row],[BR]]/Mecze[[#This Row],[ST]],0)</f>
        <v>0</v>
      </c>
      <c r="AB3392">
        <f>ROUND(Mecze[[#This Row],[PD]]*Mecze[[#This Row],[%PC]],0)</f>
        <v>2</v>
      </c>
      <c r="AC3392">
        <f>ROUND(Mecze[[#This Row],[OD]]*Mecze[[#This Row],[%OU]],0)</f>
        <v>1</v>
      </c>
      <c r="AD3392" s="36" t="s">
        <v>44</v>
      </c>
      <c r="AE3392" s="36">
        <v>189</v>
      </c>
      <c r="AF3392" s="71">
        <v>4.13</v>
      </c>
      <c r="AG3392" s="37">
        <v>0</v>
      </c>
      <c r="AH3392" s="37">
        <v>0</v>
      </c>
      <c r="AI3392" s="37">
        <v>98</v>
      </c>
      <c r="AJ3392" s="37">
        <v>1</v>
      </c>
      <c r="AK3392" s="37" t="str">
        <f>VLOOKUP(Mecze[[#This Row],[Match ID]],Meczusie[Mecz]:Meczusie[RodzajMeczu],2,FALSE)</f>
        <v>Towarzyski</v>
      </c>
    </row>
    <row r="3393" spans="1:37" x14ac:dyDescent="0.25">
      <c r="A3393" s="76">
        <v>31</v>
      </c>
      <c r="B3393" s="3" t="s">
        <v>365</v>
      </c>
      <c r="C3393" s="2" t="s">
        <v>165</v>
      </c>
      <c r="D3393" s="1">
        <v>4</v>
      </c>
      <c r="E3393" s="1">
        <v>9</v>
      </c>
      <c r="F3393" s="1">
        <v>9</v>
      </c>
      <c r="G3393" s="1">
        <v>9</v>
      </c>
      <c r="H3393" s="4">
        <v>0.11</v>
      </c>
      <c r="I3393" s="1">
        <v>7</v>
      </c>
      <c r="J3393" s="4">
        <v>0.43</v>
      </c>
      <c r="K3393" s="1">
        <v>0</v>
      </c>
      <c r="L3393" s="1">
        <v>2</v>
      </c>
      <c r="M3393" s="32">
        <f>IF(Mecze[[#This Row],[PR]]=0,0,Mecze[[#This Row],[PR]]/Mecze[[#This Row],[CZAS]])</f>
        <v>2.0408163265306121E-2</v>
      </c>
      <c r="N3393" s="32">
        <f>IF(Mecze[[#This Row],[OU]]=0,0,Mecze[[#This Row],[OU]]/Mecze[[#This Row],[CZAS]])</f>
        <v>3.0612244897959183E-2</v>
      </c>
      <c r="O3393" s="32">
        <f>IF(Mecze[[#This Row],[PC]]=0,0,Mecze[[#This Row],[PC]]/Mecze[[#This Row],[CZAS]])</f>
        <v>1.020408163265306E-2</v>
      </c>
      <c r="P3393" s="32">
        <f>IF(Mecze[[#This Row],[SC]]=0,0,Mecze[[#This Row],[SC]]/Mecze[[#This Row],[CZAS]])</f>
        <v>9.1836734693877556E-2</v>
      </c>
      <c r="Q3393" s="32">
        <f>IF(Mecze[[#This Row],[OB]]=0,0,Mecze[[#This Row],[OB]]/Mecze[[#This Row],[CZAS]])</f>
        <v>0</v>
      </c>
      <c r="R3393" s="32">
        <f>IF(Mecze[[#This Row],[BR]]=0,0,Mecze[[#This Row],[BR]]/Mecze[[#This Row],[CZAS]])</f>
        <v>4.0816326530612242E-2</v>
      </c>
      <c r="S3393" s="44">
        <f>IF(Mecze[[#This Row],[Role]]="BR",SUMPRODUCT(Mecze[[#This Row],[/PR:90]:[/BR:90]],Brudnopis!$E$23:$J$23),0)</f>
        <v>0</v>
      </c>
      <c r="T3393" s="44">
        <f>IF(Mecze[[#This Row],[Role]]&lt;&gt;"BR",SUMPRODUCT(Mecze[[#This Row],[/PR:90]:[/BR:90]],Brudnopis!$E$24:$J$24),0)</f>
        <v>0.22959183673469385</v>
      </c>
      <c r="U3393" s="44">
        <f>IF(Mecze[[#This Row],[Role]]&lt;&gt;"BR",SUMPRODUCT(Mecze[[#This Row],[/PR:90]:[/BR:90]],Brudnopis!$E$25:$J$25),0)</f>
        <v>0.21938775510204084</v>
      </c>
      <c r="V3393" s="44">
        <f>IF(Mecze[[#This Row],[Role]]&lt;&gt;"BR",SUMPRODUCT(Mecze[[#This Row],[/PR:90]:[/BR:90]],Brudnopis!$E$26:$J$26),0)</f>
        <v>0.23469387755102039</v>
      </c>
      <c r="W3393" s="44">
        <f>IF(Mecze[[#This Row],[Role]]&lt;&gt;"BR",SUMPRODUCT(Mecze[[#This Row],[/PR:90]:[/BR:90]],Brudnopis!$E$27:$J$27),0)</f>
        <v>0.22704081632653061</v>
      </c>
      <c r="X3393" s="44">
        <f>IF(Mecze[[#This Row],[Role]]&lt;&gt;"BR",SUMPRODUCT(Mecze[[#This Row],[/PR:90]:[/BR:90]],Brudnopis!$E$28:$J$28),0)</f>
        <v>0.31632653061224492</v>
      </c>
      <c r="Y3393" s="35">
        <f>IF(Mecze[[#This Row],[Role]]="BR",Mecze[[#This Row],[/OB:90]]+Mecze[[#This Row],[/PC:90]],SUM(Mecze[[#This Row],[/PR:90]:[/BR:90]]))</f>
        <v>0.19387755102040816</v>
      </c>
      <c r="Z3393" s="35">
        <f>IF(Mecze[[#This Row],[KC]]=0,SUM(Mecze[[#This Row],[/BRI]:[/NPI]]),SUM(Mecze[[#This Row],[/BRI]:[/NPI]])*0.6)</f>
        <v>1.2270408163265305</v>
      </c>
      <c r="AA3393" s="10">
        <f>IFERROR(Mecze[[#This Row],[BR]]/Mecze[[#This Row],[ST]],0)</f>
        <v>0.44444444444444442</v>
      </c>
      <c r="AB3393">
        <f>ROUND(Mecze[[#This Row],[PD]]*Mecze[[#This Row],[%PC]],0)</f>
        <v>1</v>
      </c>
      <c r="AC3393">
        <f>ROUND(Mecze[[#This Row],[OD]]*Mecze[[#This Row],[%OU]],0)</f>
        <v>3</v>
      </c>
      <c r="AD3393" s="36" t="s">
        <v>46</v>
      </c>
      <c r="AE3393" s="36">
        <v>189</v>
      </c>
      <c r="AF3393" s="71">
        <v>15.11</v>
      </c>
      <c r="AG3393" s="37">
        <v>0</v>
      </c>
      <c r="AH3393" s="37">
        <v>0</v>
      </c>
      <c r="AI3393" s="37">
        <v>98</v>
      </c>
      <c r="AJ3393" s="37">
        <v>1</v>
      </c>
      <c r="AK3393" s="37" t="str">
        <f>VLOOKUP(Mecze[[#This Row],[Match ID]],Meczusie[Mecz]:Meczusie[RodzajMeczu],2,FALSE)</f>
        <v>Towarzyski</v>
      </c>
    </row>
    <row r="3394" spans="1:37" x14ac:dyDescent="0.25">
      <c r="A3394" s="76">
        <v>51</v>
      </c>
      <c r="B3394" s="3" t="s">
        <v>517</v>
      </c>
      <c r="C3394" s="2" t="s">
        <v>165</v>
      </c>
      <c r="D3394" s="1">
        <v>0</v>
      </c>
      <c r="E3394" s="1">
        <v>1</v>
      </c>
      <c r="F3394" s="1">
        <v>1</v>
      </c>
      <c r="G3394" s="1">
        <v>3</v>
      </c>
      <c r="H3394" s="4">
        <v>1</v>
      </c>
      <c r="I3394" s="1">
        <v>4</v>
      </c>
      <c r="J3394" s="4">
        <v>0.5</v>
      </c>
      <c r="K3394" s="1">
        <v>0</v>
      </c>
      <c r="L3394" s="1">
        <v>0</v>
      </c>
      <c r="M3394" s="32">
        <f>IF(Mecze[[#This Row],[PR]]=0,0,Mecze[[#This Row],[PR]]/Mecze[[#This Row],[CZAS]])</f>
        <v>0</v>
      </c>
      <c r="N3394" s="32">
        <f>IF(Mecze[[#This Row],[OU]]=0,0,Mecze[[#This Row],[OU]]/Mecze[[#This Row],[CZAS]])</f>
        <v>2.0408163265306121E-2</v>
      </c>
      <c r="O3394" s="32">
        <f>IF(Mecze[[#This Row],[PC]]=0,0,Mecze[[#This Row],[PC]]/Mecze[[#This Row],[CZAS]])</f>
        <v>3.0612244897959183E-2</v>
      </c>
      <c r="P3394" s="32">
        <f>IF(Mecze[[#This Row],[SC]]=0,0,Mecze[[#This Row],[SC]]/Mecze[[#This Row],[CZAS]])</f>
        <v>1.020408163265306E-2</v>
      </c>
      <c r="Q3394" s="32">
        <f>IF(Mecze[[#This Row],[OB]]=0,0,Mecze[[#This Row],[OB]]/Mecze[[#This Row],[CZAS]])</f>
        <v>0</v>
      </c>
      <c r="R3394" s="32">
        <f>IF(Mecze[[#This Row],[BR]]=0,0,Mecze[[#This Row],[BR]]/Mecze[[#This Row],[CZAS]])</f>
        <v>0</v>
      </c>
      <c r="S3394" s="44">
        <f>IF(Mecze[[#This Row],[Role]]="BR",SUMPRODUCT(Mecze[[#This Row],[/PR:90]:[/BR:90]],Brudnopis!$E$23:$J$23),0)</f>
        <v>0</v>
      </c>
      <c r="T3394" s="44">
        <f>IF(Mecze[[#This Row],[Role]]&lt;&gt;"BR",SUMPRODUCT(Mecze[[#This Row],[/PR:90]:[/BR:90]],Brudnopis!$E$24:$J$24),0)</f>
        <v>7.1428571428571425E-2</v>
      </c>
      <c r="U3394" s="44">
        <f>IF(Mecze[[#This Row],[Role]]&lt;&gt;"BR",SUMPRODUCT(Mecze[[#This Row],[/PR:90]:[/BR:90]],Brudnopis!$E$25:$J$25),0)</f>
        <v>7.6530612244897947E-2</v>
      </c>
      <c r="V3394" s="44">
        <f>IF(Mecze[[#This Row],[Role]]&lt;&gt;"BR",SUMPRODUCT(Mecze[[#This Row],[/PR:90]:[/BR:90]],Brudnopis!$E$26:$J$26),0)</f>
        <v>6.1224489795918366E-2</v>
      </c>
      <c r="W3394" s="44">
        <f>IF(Mecze[[#This Row],[Role]]&lt;&gt;"BR",SUMPRODUCT(Mecze[[#This Row],[/PR:90]:[/BR:90]],Brudnopis!$E$27:$J$27),0)</f>
        <v>7.1428571428571425E-2</v>
      </c>
      <c r="X3394" s="44">
        <f>IF(Mecze[[#This Row],[Role]]&lt;&gt;"BR",SUMPRODUCT(Mecze[[#This Row],[/PR:90]:[/BR:90]],Brudnopis!$E$28:$J$28),0)</f>
        <v>5.1020408163265307E-2</v>
      </c>
      <c r="Y3394" s="35">
        <f>IF(Mecze[[#This Row],[Role]]="BR",Mecze[[#This Row],[/OB:90]]+Mecze[[#This Row],[/PC:90]],SUM(Mecze[[#This Row],[/PR:90]:[/BR:90]]))</f>
        <v>6.1224489795918366E-2</v>
      </c>
      <c r="Z3394" s="35">
        <f>IF(Mecze[[#This Row],[KC]]=0,SUM(Mecze[[#This Row],[/BRI]:[/NPI]]),SUM(Mecze[[#This Row],[/BRI]:[/NPI]])*0.6)</f>
        <v>0.33163265306122452</v>
      </c>
      <c r="AA3394" s="10">
        <f>IFERROR(Mecze[[#This Row],[BR]]/Mecze[[#This Row],[ST]],0)</f>
        <v>0</v>
      </c>
      <c r="AB3394">
        <f>ROUND(Mecze[[#This Row],[PD]]*Mecze[[#This Row],[%PC]],0)</f>
        <v>3</v>
      </c>
      <c r="AC3394">
        <f>ROUND(Mecze[[#This Row],[OD]]*Mecze[[#This Row],[%OU]],0)</f>
        <v>2</v>
      </c>
      <c r="AD3394" s="36" t="s">
        <v>46</v>
      </c>
      <c r="AE3394" s="36">
        <v>189</v>
      </c>
      <c r="AF3394" s="71">
        <v>4.1500000000000004</v>
      </c>
      <c r="AG3394" s="37">
        <v>0</v>
      </c>
      <c r="AH3394" s="37">
        <v>0</v>
      </c>
      <c r="AI3394" s="37">
        <v>98</v>
      </c>
      <c r="AJ3394" s="37">
        <v>1</v>
      </c>
      <c r="AK3394" s="37" t="str">
        <f>VLOOKUP(Mecze[[#This Row],[Match ID]],Meczusie[Mecz]:Meczusie[RodzajMeczu],2,FALSE)</f>
        <v>Towarzyski</v>
      </c>
    </row>
    <row r="3395" spans="1:37" x14ac:dyDescent="0.25">
      <c r="A3395" s="76">
        <v>46</v>
      </c>
      <c r="B3395" s="3" t="s">
        <v>395</v>
      </c>
      <c r="C3395" s="2" t="s">
        <v>165</v>
      </c>
      <c r="D3395" s="1">
        <v>0</v>
      </c>
      <c r="E3395" s="1">
        <v>0</v>
      </c>
      <c r="F3395" s="1">
        <v>0</v>
      </c>
      <c r="G3395" s="1">
        <v>2</v>
      </c>
      <c r="H3395" s="4">
        <v>0.5</v>
      </c>
      <c r="I3395" s="1">
        <v>2</v>
      </c>
      <c r="J3395" s="4">
        <v>0</v>
      </c>
      <c r="K3395" s="1">
        <v>0</v>
      </c>
      <c r="L3395" s="1">
        <v>0</v>
      </c>
      <c r="M3395" s="32">
        <f>IF(Mecze[[#This Row],[PR]]=0,0,Mecze[[#This Row],[PR]]/Mecze[[#This Row],[CZAS]])</f>
        <v>0</v>
      </c>
      <c r="N3395" s="32">
        <f>IF(Mecze[[#This Row],[OU]]=0,0,Mecze[[#This Row],[OU]]/Mecze[[#This Row],[CZAS]])</f>
        <v>0</v>
      </c>
      <c r="O3395" s="32">
        <f>IF(Mecze[[#This Row],[PC]]=0,0,Mecze[[#This Row],[PC]]/Mecze[[#This Row],[CZAS]])</f>
        <v>1.020408163265306E-2</v>
      </c>
      <c r="P3395" s="32">
        <f>IF(Mecze[[#This Row],[SC]]=0,0,Mecze[[#This Row],[SC]]/Mecze[[#This Row],[CZAS]])</f>
        <v>0</v>
      </c>
      <c r="Q3395" s="32">
        <f>IF(Mecze[[#This Row],[OB]]=0,0,Mecze[[#This Row],[OB]]/Mecze[[#This Row],[CZAS]])</f>
        <v>0</v>
      </c>
      <c r="R3395" s="32">
        <f>IF(Mecze[[#This Row],[BR]]=0,0,Mecze[[#This Row],[BR]]/Mecze[[#This Row],[CZAS]])</f>
        <v>0</v>
      </c>
      <c r="S3395" s="44">
        <f>IF(Mecze[[#This Row],[Role]]="BR",SUMPRODUCT(Mecze[[#This Row],[/PR:90]:[/BR:90]],Brudnopis!$E$23:$J$23),0)</f>
        <v>0</v>
      </c>
      <c r="T3395" s="44">
        <f>IF(Mecze[[#This Row],[Role]]&lt;&gt;"BR",SUMPRODUCT(Mecze[[#This Row],[/PR:90]:[/BR:90]],Brudnopis!$E$24:$J$24),0)</f>
        <v>1.020408163265306E-2</v>
      </c>
      <c r="U3395" s="44">
        <f>IF(Mecze[[#This Row],[Role]]&lt;&gt;"BR",SUMPRODUCT(Mecze[[#This Row],[/PR:90]:[/BR:90]],Brudnopis!$E$25:$J$25),0)</f>
        <v>1.5306122448979591E-2</v>
      </c>
      <c r="V3395" s="44">
        <f>IF(Mecze[[#This Row],[Role]]&lt;&gt;"BR",SUMPRODUCT(Mecze[[#This Row],[/PR:90]:[/BR:90]],Brudnopis!$E$26:$J$26),0)</f>
        <v>1.020408163265306E-2</v>
      </c>
      <c r="W3395" s="44">
        <f>IF(Mecze[[#This Row],[Role]]&lt;&gt;"BR",SUMPRODUCT(Mecze[[#This Row],[/PR:90]:[/BR:90]],Brudnopis!$E$27:$J$27),0)</f>
        <v>1.5306122448979591E-2</v>
      </c>
      <c r="X3395" s="44">
        <f>IF(Mecze[[#This Row],[Role]]&lt;&gt;"BR",SUMPRODUCT(Mecze[[#This Row],[/PR:90]:[/BR:90]],Brudnopis!$E$28:$J$28),0)</f>
        <v>1.020408163265306E-2</v>
      </c>
      <c r="Y3395" s="35">
        <f>IF(Mecze[[#This Row],[Role]]="BR",Mecze[[#This Row],[/OB:90]]+Mecze[[#This Row],[/PC:90]],SUM(Mecze[[#This Row],[/PR:90]:[/BR:90]]))</f>
        <v>1.020408163265306E-2</v>
      </c>
      <c r="Z3395" s="35">
        <f>IF(Mecze[[#This Row],[KC]]=0,SUM(Mecze[[#This Row],[/BRI]:[/NPI]]),SUM(Mecze[[#This Row],[/BRI]:[/NPI]])*0.6)</f>
        <v>6.1224489795918366E-2</v>
      </c>
      <c r="AA3395" s="10">
        <f>IFERROR(Mecze[[#This Row],[BR]]/Mecze[[#This Row],[ST]],0)</f>
        <v>0</v>
      </c>
      <c r="AB3395">
        <f>ROUND(Mecze[[#This Row],[PD]]*Mecze[[#This Row],[%PC]],0)</f>
        <v>1</v>
      </c>
      <c r="AC3395">
        <f>ROUND(Mecze[[#This Row],[OD]]*Mecze[[#This Row],[%OU]],0)</f>
        <v>0</v>
      </c>
      <c r="AD3395" s="36" t="s">
        <v>46</v>
      </c>
      <c r="AE3395" s="36">
        <v>189</v>
      </c>
      <c r="AF3395" s="71">
        <v>3.93</v>
      </c>
      <c r="AG3395" s="37">
        <v>0</v>
      </c>
      <c r="AH3395" s="37">
        <v>0</v>
      </c>
      <c r="AI3395" s="37">
        <v>98</v>
      </c>
      <c r="AJ3395" s="37">
        <v>1</v>
      </c>
      <c r="AK3395" s="37" t="str">
        <f>VLOOKUP(Mecze[[#This Row],[Match ID]],Meczusie[Mecz]:Meczusie[RodzajMeczu],2,FALSE)</f>
        <v>Towarzyski</v>
      </c>
    </row>
    <row r="3396" spans="1:37" x14ac:dyDescent="0.25">
      <c r="A3396" s="76">
        <v>39</v>
      </c>
      <c r="B3396" s="3" t="s">
        <v>450</v>
      </c>
      <c r="C3396" s="2" t="s">
        <v>155</v>
      </c>
      <c r="D3396" s="1">
        <v>0</v>
      </c>
      <c r="E3396" s="1">
        <v>0</v>
      </c>
      <c r="F3396" s="1">
        <v>0</v>
      </c>
      <c r="G3396" s="1">
        <v>18</v>
      </c>
      <c r="H3396" s="4">
        <v>0.44</v>
      </c>
      <c r="I3396" s="1">
        <v>0</v>
      </c>
      <c r="J3396" s="4"/>
      <c r="K3396" s="1">
        <v>15</v>
      </c>
      <c r="L3396" s="1">
        <v>0</v>
      </c>
      <c r="M3396" s="32">
        <f>IF(Mecze[[#This Row],[PR]]=0,0,Mecze[[#This Row],[PR]]/Mecze[[#This Row],[CZAS]])</f>
        <v>0</v>
      </c>
      <c r="N3396" s="32">
        <f>IF(Mecze[[#This Row],[OU]]=0,0,Mecze[[#This Row],[OU]]/Mecze[[#This Row],[CZAS]])</f>
        <v>0</v>
      </c>
      <c r="O3396" s="32">
        <f>IF(Mecze[[#This Row],[PC]]=0,0,Mecze[[#This Row],[PC]]/Mecze[[#This Row],[CZAS]])</f>
        <v>8.247422680412371E-2</v>
      </c>
      <c r="P3396" s="32">
        <f>IF(Mecze[[#This Row],[SC]]=0,0,Mecze[[#This Row],[SC]]/Mecze[[#This Row],[CZAS]])</f>
        <v>0</v>
      </c>
      <c r="Q3396" s="32">
        <f>IF(Mecze[[#This Row],[OB]]=0,0,Mecze[[#This Row],[OB]]/Mecze[[#This Row],[CZAS]])</f>
        <v>0.15463917525773196</v>
      </c>
      <c r="R3396" s="32">
        <f>IF(Mecze[[#This Row],[BR]]=0,0,Mecze[[#This Row],[BR]]/Mecze[[#This Row],[CZAS]])</f>
        <v>0</v>
      </c>
      <c r="S3396" s="44">
        <f>IF(Mecze[[#This Row],[Role]]="BR",SUMPRODUCT(Mecze[[#This Row],[/PR:90]:[/BR:90]],Brudnopis!$E$23:$J$23),0)</f>
        <v>0.71134020618556704</v>
      </c>
      <c r="T3396" s="44">
        <f>IF(Mecze[[#This Row],[Role]]&lt;&gt;"BR",SUMPRODUCT(Mecze[[#This Row],[/PR:90]:[/BR:90]],Brudnopis!$E$24:$J$24),0)</f>
        <v>0</v>
      </c>
      <c r="U3396" s="44">
        <f>IF(Mecze[[#This Row],[Role]]&lt;&gt;"BR",SUMPRODUCT(Mecze[[#This Row],[/PR:90]:[/BR:90]],Brudnopis!$E$25:$J$25),0)</f>
        <v>0</v>
      </c>
      <c r="V3396" s="44">
        <f>IF(Mecze[[#This Row],[Role]]&lt;&gt;"BR",SUMPRODUCT(Mecze[[#This Row],[/PR:90]:[/BR:90]],Brudnopis!$E$26:$J$26),0)</f>
        <v>0</v>
      </c>
      <c r="W3396" s="44">
        <f>IF(Mecze[[#This Row],[Role]]&lt;&gt;"BR",SUMPRODUCT(Mecze[[#This Row],[/PR:90]:[/BR:90]],Brudnopis!$E$27:$J$27),0)</f>
        <v>0</v>
      </c>
      <c r="X3396" s="44">
        <f>IF(Mecze[[#This Row],[Role]]&lt;&gt;"BR",SUMPRODUCT(Mecze[[#This Row],[/PR:90]:[/BR:90]],Brudnopis!$E$28:$J$28),0)</f>
        <v>0</v>
      </c>
      <c r="Y3396" s="35">
        <f>IF(Mecze[[#This Row],[Role]]="BR",Mecze[[#This Row],[/OB:90]]+Mecze[[#This Row],[/PC:90]],SUM(Mecze[[#This Row],[/PR:90]:[/BR:90]]))</f>
        <v>0.23711340206185566</v>
      </c>
      <c r="Z3396" s="35">
        <f>IF(Mecze[[#This Row],[KC]]=0,SUM(Mecze[[#This Row],[/BRI]:[/NPI]]),SUM(Mecze[[#This Row],[/BRI]:[/NPI]])*0.6)</f>
        <v>0.71134020618556704</v>
      </c>
      <c r="AA3396" s="10">
        <f>IFERROR(Mecze[[#This Row],[BR]]/Mecze[[#This Row],[ST]],0)</f>
        <v>0</v>
      </c>
      <c r="AB3396">
        <f>ROUND(Mecze[[#This Row],[PD]]*Mecze[[#This Row],[%PC]],0)</f>
        <v>8</v>
      </c>
      <c r="AC3396">
        <f>ROUND(Mecze[[#This Row],[OD]]*Mecze[[#This Row],[%OU]],0)</f>
        <v>0</v>
      </c>
      <c r="AD3396" s="36" t="s">
        <v>40</v>
      </c>
      <c r="AE3396" s="36">
        <v>190</v>
      </c>
      <c r="AF3396" s="71">
        <v>5.83</v>
      </c>
      <c r="AG3396" s="37">
        <v>0</v>
      </c>
      <c r="AH3396" s="37">
        <v>0</v>
      </c>
      <c r="AI3396" s="37">
        <v>97</v>
      </c>
      <c r="AJ3396" s="37">
        <v>1</v>
      </c>
      <c r="AK3396" s="37" t="str">
        <f>VLOOKUP(Mecze[[#This Row],[Match ID]],Meczusie[Mecz]:Meczusie[RodzajMeczu],2,FALSE)</f>
        <v>Towarzyski</v>
      </c>
    </row>
    <row r="3397" spans="1:37" x14ac:dyDescent="0.25">
      <c r="A3397" s="76">
        <v>3</v>
      </c>
      <c r="B3397" s="3" t="s">
        <v>158</v>
      </c>
      <c r="C3397" s="2" t="s">
        <v>157</v>
      </c>
      <c r="D3397" s="1">
        <v>0</v>
      </c>
      <c r="E3397" s="1">
        <v>0</v>
      </c>
      <c r="F3397" s="1">
        <v>0</v>
      </c>
      <c r="G3397" s="1">
        <v>15</v>
      </c>
      <c r="H3397" s="4">
        <v>0.67</v>
      </c>
      <c r="I3397" s="1">
        <v>12</v>
      </c>
      <c r="J3397" s="4">
        <v>0.5</v>
      </c>
      <c r="K3397" s="1">
        <v>0</v>
      </c>
      <c r="L3397" s="1">
        <v>9</v>
      </c>
      <c r="M3397" s="32">
        <f>IF(Mecze[[#This Row],[PR]]=0,0,Mecze[[#This Row],[PR]]/Mecze[[#This Row],[CZAS]])</f>
        <v>9.2783505154639179E-2</v>
      </c>
      <c r="N3397" s="32">
        <f>IF(Mecze[[#This Row],[OU]]=0,0,Mecze[[#This Row],[OU]]/Mecze[[#This Row],[CZAS]])</f>
        <v>6.1855670103092786E-2</v>
      </c>
      <c r="O3397" s="32">
        <f>IF(Mecze[[#This Row],[PC]]=0,0,Mecze[[#This Row],[PC]]/Mecze[[#This Row],[CZAS]])</f>
        <v>0.10309278350515463</v>
      </c>
      <c r="P3397" s="32">
        <f>IF(Mecze[[#This Row],[SC]]=0,0,Mecze[[#This Row],[SC]]/Mecze[[#This Row],[CZAS]])</f>
        <v>0</v>
      </c>
      <c r="Q3397" s="32">
        <f>IF(Mecze[[#This Row],[OB]]=0,0,Mecze[[#This Row],[OB]]/Mecze[[#This Row],[CZAS]])</f>
        <v>0</v>
      </c>
      <c r="R3397" s="32">
        <f>IF(Mecze[[#This Row],[BR]]=0,0,Mecze[[#This Row],[BR]]/Mecze[[#This Row],[CZAS]])</f>
        <v>0</v>
      </c>
      <c r="S3397" s="44">
        <f>IF(Mecze[[#This Row],[Role]]="BR",SUMPRODUCT(Mecze[[#This Row],[/PR:90]:[/BR:90]],Brudnopis!$E$23:$J$23),0)</f>
        <v>0</v>
      </c>
      <c r="T3397" s="44">
        <f>IF(Mecze[[#This Row],[Role]]&lt;&gt;"BR",SUMPRODUCT(Mecze[[#This Row],[/PR:90]:[/BR:90]],Brudnopis!$E$24:$J$24),0)</f>
        <v>0.28865979381443296</v>
      </c>
      <c r="U3397" s="44">
        <f>IF(Mecze[[#This Row],[Role]]&lt;&gt;"BR",SUMPRODUCT(Mecze[[#This Row],[/PR:90]:[/BR:90]],Brudnopis!$E$25:$J$25),0)</f>
        <v>0.30927835051546393</v>
      </c>
      <c r="V3397" s="44">
        <f>IF(Mecze[[#This Row],[Role]]&lt;&gt;"BR",SUMPRODUCT(Mecze[[#This Row],[/PR:90]:[/BR:90]],Brudnopis!$E$26:$J$26),0)</f>
        <v>0.25773195876288657</v>
      </c>
      <c r="W3397" s="44">
        <f>IF(Mecze[[#This Row],[Role]]&lt;&gt;"BR",SUMPRODUCT(Mecze[[#This Row],[/PR:90]:[/BR:90]],Brudnopis!$E$27:$J$27),0)</f>
        <v>0.27061855670103097</v>
      </c>
      <c r="X3397" s="44">
        <f>IF(Mecze[[#This Row],[Role]]&lt;&gt;"BR",SUMPRODUCT(Mecze[[#This Row],[/PR:90]:[/BR:90]],Brudnopis!$E$28:$J$28),0)</f>
        <v>0.10309278350515463</v>
      </c>
      <c r="Y3397" s="35">
        <f>IF(Mecze[[#This Row],[Role]]="BR",Mecze[[#This Row],[/OB:90]]+Mecze[[#This Row],[/PC:90]],SUM(Mecze[[#This Row],[/PR:90]:[/BR:90]]))</f>
        <v>0.25773195876288657</v>
      </c>
      <c r="Z3397" s="35">
        <f>IF(Mecze[[#This Row],[KC]]=0,SUM(Mecze[[#This Row],[/BRI]:[/NPI]]),SUM(Mecze[[#This Row],[/BRI]:[/NPI]])*0.6)</f>
        <v>1.2293814432989691</v>
      </c>
      <c r="AA3397" s="10">
        <f>IFERROR(Mecze[[#This Row],[BR]]/Mecze[[#This Row],[ST]],0)</f>
        <v>0</v>
      </c>
      <c r="AB3397">
        <f>ROUND(Mecze[[#This Row],[PD]]*Mecze[[#This Row],[%PC]],0)</f>
        <v>10</v>
      </c>
      <c r="AC3397">
        <f>ROUND(Mecze[[#This Row],[OD]]*Mecze[[#This Row],[%OU]],0)</f>
        <v>6</v>
      </c>
      <c r="AD3397" s="36" t="s">
        <v>47</v>
      </c>
      <c r="AE3397" s="36">
        <v>190</v>
      </c>
      <c r="AF3397" s="71">
        <v>3.59</v>
      </c>
      <c r="AG3397" s="37">
        <v>0</v>
      </c>
      <c r="AH3397" s="37">
        <v>0</v>
      </c>
      <c r="AI3397" s="37">
        <v>97</v>
      </c>
      <c r="AJ3397" s="37">
        <v>1</v>
      </c>
      <c r="AK3397" s="37" t="str">
        <f>VLOOKUP(Mecze[[#This Row],[Match ID]],Meczusie[Mecz]:Meczusie[RodzajMeczu],2,FALSE)</f>
        <v>Towarzyski</v>
      </c>
    </row>
    <row r="3398" spans="1:37" x14ac:dyDescent="0.25">
      <c r="A3398" s="76">
        <v>53</v>
      </c>
      <c r="B3398" s="3" t="s">
        <v>415</v>
      </c>
      <c r="C3398" s="2" t="s">
        <v>157</v>
      </c>
      <c r="D3398" s="1">
        <v>0</v>
      </c>
      <c r="E3398" s="1">
        <v>0</v>
      </c>
      <c r="F3398" s="1">
        <v>0</v>
      </c>
      <c r="G3398" s="1">
        <v>4</v>
      </c>
      <c r="H3398" s="4">
        <v>0</v>
      </c>
      <c r="I3398" s="1">
        <v>3</v>
      </c>
      <c r="J3398" s="4">
        <v>0</v>
      </c>
      <c r="K3398" s="1">
        <v>0</v>
      </c>
      <c r="L3398" s="1">
        <v>5</v>
      </c>
      <c r="M3398" s="32">
        <f>IF(Mecze[[#This Row],[PR]]=0,0,Mecze[[#This Row],[PR]]/Mecze[[#This Row],[CZAS]])</f>
        <v>5.1546391752577317E-2</v>
      </c>
      <c r="N3398" s="32">
        <f>IF(Mecze[[#This Row],[OU]]=0,0,Mecze[[#This Row],[OU]]/Mecze[[#This Row],[CZAS]])</f>
        <v>0</v>
      </c>
      <c r="O3398" s="32">
        <f>IF(Mecze[[#This Row],[PC]]=0,0,Mecze[[#This Row],[PC]]/Mecze[[#This Row],[CZAS]])</f>
        <v>0</v>
      </c>
      <c r="P3398" s="32">
        <f>IF(Mecze[[#This Row],[SC]]=0,0,Mecze[[#This Row],[SC]]/Mecze[[#This Row],[CZAS]])</f>
        <v>0</v>
      </c>
      <c r="Q3398" s="32">
        <f>IF(Mecze[[#This Row],[OB]]=0,0,Mecze[[#This Row],[OB]]/Mecze[[#This Row],[CZAS]])</f>
        <v>0</v>
      </c>
      <c r="R3398" s="32">
        <f>IF(Mecze[[#This Row],[BR]]=0,0,Mecze[[#This Row],[BR]]/Mecze[[#This Row],[CZAS]])</f>
        <v>0</v>
      </c>
      <c r="S3398" s="44">
        <f>IF(Mecze[[#This Row],[Role]]="BR",SUMPRODUCT(Mecze[[#This Row],[/PR:90]:[/BR:90]],Brudnopis!$E$23:$J$23),0)</f>
        <v>0</v>
      </c>
      <c r="T3398" s="44">
        <f>IF(Mecze[[#This Row],[Role]]&lt;&gt;"BR",SUMPRODUCT(Mecze[[#This Row],[/PR:90]:[/BR:90]],Brudnopis!$E$24:$J$24),0)</f>
        <v>5.1546391752577317E-2</v>
      </c>
      <c r="U3398" s="44">
        <f>IF(Mecze[[#This Row],[Role]]&lt;&gt;"BR",SUMPRODUCT(Mecze[[#This Row],[/PR:90]:[/BR:90]],Brudnopis!$E$25:$J$25),0)</f>
        <v>5.1546391752577317E-2</v>
      </c>
      <c r="V3398" s="44">
        <f>IF(Mecze[[#This Row],[Role]]&lt;&gt;"BR",SUMPRODUCT(Mecze[[#This Row],[/PR:90]:[/BR:90]],Brudnopis!$E$26:$J$26),0)</f>
        <v>5.1546391752577317E-2</v>
      </c>
      <c r="W3398" s="44">
        <f>IF(Mecze[[#This Row],[Role]]&lt;&gt;"BR",SUMPRODUCT(Mecze[[#This Row],[/PR:90]:[/BR:90]],Brudnopis!$E$27:$J$27),0)</f>
        <v>3.8659793814432991E-2</v>
      </c>
      <c r="X3398" s="44">
        <f>IF(Mecze[[#This Row],[Role]]&lt;&gt;"BR",SUMPRODUCT(Mecze[[#This Row],[/PR:90]:[/BR:90]],Brudnopis!$E$28:$J$28),0)</f>
        <v>0</v>
      </c>
      <c r="Y3398" s="35">
        <f>IF(Mecze[[#This Row],[Role]]="BR",Mecze[[#This Row],[/OB:90]]+Mecze[[#This Row],[/PC:90]],SUM(Mecze[[#This Row],[/PR:90]:[/BR:90]]))</f>
        <v>5.1546391752577317E-2</v>
      </c>
      <c r="Z3398" s="35">
        <f>IF(Mecze[[#This Row],[KC]]=0,SUM(Mecze[[#This Row],[/BRI]:[/NPI]]),SUM(Mecze[[#This Row],[/BRI]:[/NPI]])*0.6)</f>
        <v>0.19329896907216496</v>
      </c>
      <c r="AA3398" s="10">
        <f>IFERROR(Mecze[[#This Row],[BR]]/Mecze[[#This Row],[ST]],0)</f>
        <v>0</v>
      </c>
      <c r="AB3398">
        <f>ROUND(Mecze[[#This Row],[PD]]*Mecze[[#This Row],[%PC]],0)</f>
        <v>0</v>
      </c>
      <c r="AC3398">
        <f>ROUND(Mecze[[#This Row],[OD]]*Mecze[[#This Row],[%OU]],0)</f>
        <v>0</v>
      </c>
      <c r="AD3398" s="36" t="s">
        <v>167</v>
      </c>
      <c r="AE3398" s="36">
        <v>190</v>
      </c>
      <c r="AF3398" s="71">
        <v>1.63</v>
      </c>
      <c r="AG3398" s="37">
        <v>0</v>
      </c>
      <c r="AH3398" s="37">
        <v>0</v>
      </c>
      <c r="AI3398" s="37">
        <v>97</v>
      </c>
      <c r="AJ3398" s="37">
        <v>1</v>
      </c>
      <c r="AK3398" s="37" t="str">
        <f>VLOOKUP(Mecze[[#This Row],[Match ID]],Meczusie[Mecz]:Meczusie[RodzajMeczu],2,FALSE)</f>
        <v>Towarzyski</v>
      </c>
    </row>
    <row r="3399" spans="1:37" x14ac:dyDescent="0.25">
      <c r="A3399" s="76">
        <v>50</v>
      </c>
      <c r="B3399" s="3" t="s">
        <v>496</v>
      </c>
      <c r="C3399" s="2" t="s">
        <v>157</v>
      </c>
      <c r="D3399" s="1">
        <v>0</v>
      </c>
      <c r="E3399" s="1">
        <v>0</v>
      </c>
      <c r="F3399" s="1">
        <v>0</v>
      </c>
      <c r="G3399" s="1">
        <v>2</v>
      </c>
      <c r="H3399" s="4">
        <v>1</v>
      </c>
      <c r="I3399" s="1">
        <v>3</v>
      </c>
      <c r="J3399" s="4">
        <v>0</v>
      </c>
      <c r="K3399" s="1">
        <v>0</v>
      </c>
      <c r="L3399" s="1">
        <v>2</v>
      </c>
      <c r="M3399" s="32">
        <f>IF(Mecze[[#This Row],[PR]]=0,0,Mecze[[#This Row],[PR]]/Mecze[[#This Row],[CZAS]])</f>
        <v>2.0618556701030927E-2</v>
      </c>
      <c r="N3399" s="32">
        <f>IF(Mecze[[#This Row],[OU]]=0,0,Mecze[[#This Row],[OU]]/Mecze[[#This Row],[CZAS]])</f>
        <v>0</v>
      </c>
      <c r="O3399" s="32">
        <f>IF(Mecze[[#This Row],[PC]]=0,0,Mecze[[#This Row],[PC]]/Mecze[[#This Row],[CZAS]])</f>
        <v>2.0618556701030927E-2</v>
      </c>
      <c r="P3399" s="32">
        <f>IF(Mecze[[#This Row],[SC]]=0,0,Mecze[[#This Row],[SC]]/Mecze[[#This Row],[CZAS]])</f>
        <v>0</v>
      </c>
      <c r="Q3399" s="32">
        <f>IF(Mecze[[#This Row],[OB]]=0,0,Mecze[[#This Row],[OB]]/Mecze[[#This Row],[CZAS]])</f>
        <v>0</v>
      </c>
      <c r="R3399" s="32">
        <f>IF(Mecze[[#This Row],[BR]]=0,0,Mecze[[#This Row],[BR]]/Mecze[[#This Row],[CZAS]])</f>
        <v>0</v>
      </c>
      <c r="S3399" s="44">
        <f>IF(Mecze[[#This Row],[Role]]="BR",SUMPRODUCT(Mecze[[#This Row],[/PR:90]:[/BR:90]],Brudnopis!$E$23:$J$23),0)</f>
        <v>0</v>
      </c>
      <c r="T3399" s="44">
        <f>IF(Mecze[[#This Row],[Role]]&lt;&gt;"BR",SUMPRODUCT(Mecze[[#This Row],[/PR:90]:[/BR:90]],Brudnopis!$E$24:$J$24),0)</f>
        <v>4.1237113402061855E-2</v>
      </c>
      <c r="U3399" s="44">
        <f>IF(Mecze[[#This Row],[Role]]&lt;&gt;"BR",SUMPRODUCT(Mecze[[#This Row],[/PR:90]:[/BR:90]],Brudnopis!$E$25:$J$25),0)</f>
        <v>5.1546391752577317E-2</v>
      </c>
      <c r="V3399" s="44">
        <f>IF(Mecze[[#This Row],[Role]]&lt;&gt;"BR",SUMPRODUCT(Mecze[[#This Row],[/PR:90]:[/BR:90]],Brudnopis!$E$26:$J$26),0)</f>
        <v>4.1237113402061855E-2</v>
      </c>
      <c r="W3399" s="44">
        <f>IF(Mecze[[#This Row],[Role]]&lt;&gt;"BR",SUMPRODUCT(Mecze[[#This Row],[/PR:90]:[/BR:90]],Brudnopis!$E$27:$J$27),0)</f>
        <v>4.6391752577319589E-2</v>
      </c>
      <c r="X3399" s="44">
        <f>IF(Mecze[[#This Row],[Role]]&lt;&gt;"BR",SUMPRODUCT(Mecze[[#This Row],[/PR:90]:[/BR:90]],Brudnopis!$E$28:$J$28),0)</f>
        <v>2.0618556701030927E-2</v>
      </c>
      <c r="Y3399" s="35">
        <f>IF(Mecze[[#This Row],[Role]]="BR",Mecze[[#This Row],[/OB:90]]+Mecze[[#This Row],[/PC:90]],SUM(Mecze[[#This Row],[/PR:90]:[/BR:90]]))</f>
        <v>4.1237113402061855E-2</v>
      </c>
      <c r="Z3399" s="35">
        <f>IF(Mecze[[#This Row],[KC]]=0,SUM(Mecze[[#This Row],[/BRI]:[/NPI]]),SUM(Mecze[[#This Row],[/BRI]:[/NPI]])*0.6)</f>
        <v>0.20103092783505155</v>
      </c>
      <c r="AA3399" s="10">
        <f>IFERROR(Mecze[[#This Row],[BR]]/Mecze[[#This Row],[ST]],0)</f>
        <v>0</v>
      </c>
      <c r="AB3399">
        <f>ROUND(Mecze[[#This Row],[PD]]*Mecze[[#This Row],[%PC]],0)</f>
        <v>2</v>
      </c>
      <c r="AC3399">
        <f>ROUND(Mecze[[#This Row],[OD]]*Mecze[[#This Row],[%OU]],0)</f>
        <v>0</v>
      </c>
      <c r="AD3399" s="36" t="s">
        <v>168</v>
      </c>
      <c r="AE3399" s="36">
        <v>190</v>
      </c>
      <c r="AF3399" s="71">
        <v>1</v>
      </c>
      <c r="AG3399" s="37">
        <v>0</v>
      </c>
      <c r="AH3399" s="37">
        <v>0</v>
      </c>
      <c r="AI3399" s="37">
        <v>97</v>
      </c>
      <c r="AJ3399" s="37">
        <v>1</v>
      </c>
      <c r="AK3399" s="37" t="str">
        <f>VLOOKUP(Mecze[[#This Row],[Match ID]],Meczusie[Mecz]:Meczusie[RodzajMeczu],2,FALSE)</f>
        <v>Towarzyski</v>
      </c>
    </row>
    <row r="3400" spans="1:37" x14ac:dyDescent="0.25">
      <c r="A3400" s="76">
        <v>52</v>
      </c>
      <c r="B3400" s="3" t="s">
        <v>408</v>
      </c>
      <c r="C3400" s="2" t="s">
        <v>160</v>
      </c>
      <c r="D3400" s="1">
        <v>0</v>
      </c>
      <c r="E3400" s="1">
        <v>2</v>
      </c>
      <c r="F3400" s="1">
        <v>2</v>
      </c>
      <c r="G3400" s="1">
        <v>7</v>
      </c>
      <c r="H3400" s="4">
        <v>0.28999999999999998</v>
      </c>
      <c r="I3400" s="1">
        <v>5</v>
      </c>
      <c r="J3400" s="4">
        <v>0.2</v>
      </c>
      <c r="K3400" s="1">
        <v>0</v>
      </c>
      <c r="L3400" s="1">
        <v>2</v>
      </c>
      <c r="M3400" s="32">
        <f>IF(Mecze[[#This Row],[PR]]=0,0,Mecze[[#This Row],[PR]]/Mecze[[#This Row],[CZAS]])</f>
        <v>2.0618556701030927E-2</v>
      </c>
      <c r="N3400" s="32">
        <f>IF(Mecze[[#This Row],[OU]]=0,0,Mecze[[#This Row],[OU]]/Mecze[[#This Row],[CZAS]])</f>
        <v>1.0309278350515464E-2</v>
      </c>
      <c r="O3400" s="32">
        <f>IF(Mecze[[#This Row],[PC]]=0,0,Mecze[[#This Row],[PC]]/Mecze[[#This Row],[CZAS]])</f>
        <v>2.0618556701030927E-2</v>
      </c>
      <c r="P3400" s="32">
        <f>IF(Mecze[[#This Row],[SC]]=0,0,Mecze[[#This Row],[SC]]/Mecze[[#This Row],[CZAS]])</f>
        <v>2.0618556701030927E-2</v>
      </c>
      <c r="Q3400" s="32">
        <f>IF(Mecze[[#This Row],[OB]]=0,0,Mecze[[#This Row],[OB]]/Mecze[[#This Row],[CZAS]])</f>
        <v>0</v>
      </c>
      <c r="R3400" s="32">
        <f>IF(Mecze[[#This Row],[BR]]=0,0,Mecze[[#This Row],[BR]]/Mecze[[#This Row],[CZAS]])</f>
        <v>0</v>
      </c>
      <c r="S3400" s="44">
        <f>IF(Mecze[[#This Row],[Role]]="BR",SUMPRODUCT(Mecze[[#This Row],[/PR:90]:[/BR:90]],Brudnopis!$E$23:$J$23),0)</f>
        <v>0</v>
      </c>
      <c r="T3400" s="44">
        <f>IF(Mecze[[#This Row],[Role]]&lt;&gt;"BR",SUMPRODUCT(Mecze[[#This Row],[/PR:90]:[/BR:90]],Brudnopis!$E$24:$J$24),0)</f>
        <v>7.7319587628865968E-2</v>
      </c>
      <c r="U3400" s="44">
        <f>IF(Mecze[[#This Row],[Role]]&lt;&gt;"BR",SUMPRODUCT(Mecze[[#This Row],[/PR:90]:[/BR:90]],Brudnopis!$E$25:$J$25),0)</f>
        <v>8.247422680412371E-2</v>
      </c>
      <c r="V3400" s="44">
        <f>IF(Mecze[[#This Row],[Role]]&lt;&gt;"BR",SUMPRODUCT(Mecze[[#This Row],[/PR:90]:[/BR:90]],Brudnopis!$E$26:$J$26),0)</f>
        <v>7.2164948453608241E-2</v>
      </c>
      <c r="W3400" s="44">
        <f>IF(Mecze[[#This Row],[Role]]&lt;&gt;"BR",SUMPRODUCT(Mecze[[#This Row],[/PR:90]:[/BR:90]],Brudnopis!$E$27:$J$27),0)</f>
        <v>7.4742268041237112E-2</v>
      </c>
      <c r="X3400" s="44">
        <f>IF(Mecze[[#This Row],[Role]]&lt;&gt;"BR",SUMPRODUCT(Mecze[[#This Row],[/PR:90]:[/BR:90]],Brudnopis!$E$28:$J$28),0)</f>
        <v>6.1855670103092786E-2</v>
      </c>
      <c r="Y3400" s="35">
        <f>IF(Mecze[[#This Row],[Role]]="BR",Mecze[[#This Row],[/OB:90]]+Mecze[[#This Row],[/PC:90]],SUM(Mecze[[#This Row],[/PR:90]:[/BR:90]]))</f>
        <v>7.2164948453608241E-2</v>
      </c>
      <c r="Z3400" s="35">
        <f>IF(Mecze[[#This Row],[KC]]=0,SUM(Mecze[[#This Row],[/BRI]:[/NPI]]),SUM(Mecze[[#This Row],[/BRI]:[/NPI]])*0.6)</f>
        <v>0.3685567010309278</v>
      </c>
      <c r="AA3400" s="10">
        <f>IFERROR(Mecze[[#This Row],[BR]]/Mecze[[#This Row],[ST]],0)</f>
        <v>0</v>
      </c>
      <c r="AB3400">
        <f>ROUND(Mecze[[#This Row],[PD]]*Mecze[[#This Row],[%PC]],0)</f>
        <v>2</v>
      </c>
      <c r="AC3400">
        <f>ROUND(Mecze[[#This Row],[OD]]*Mecze[[#This Row],[%OU]],0)</f>
        <v>1</v>
      </c>
      <c r="AD3400" s="36" t="s">
        <v>41</v>
      </c>
      <c r="AE3400" s="36">
        <v>190</v>
      </c>
      <c r="AF3400" s="71">
        <v>3.58</v>
      </c>
      <c r="AG3400" s="37">
        <v>0</v>
      </c>
      <c r="AH3400" s="37">
        <v>0</v>
      </c>
      <c r="AI3400" s="37">
        <v>97</v>
      </c>
      <c r="AJ3400" s="37">
        <v>1</v>
      </c>
      <c r="AK3400" s="37" t="str">
        <f>VLOOKUP(Mecze[[#This Row],[Match ID]],Meczusie[Mecz]:Meczusie[RodzajMeczu],2,FALSE)</f>
        <v>Towarzyski</v>
      </c>
    </row>
    <row r="3401" spans="1:37" x14ac:dyDescent="0.25">
      <c r="A3401" s="76">
        <v>40</v>
      </c>
      <c r="B3401" s="3" t="s">
        <v>453</v>
      </c>
      <c r="C3401" s="2" t="s">
        <v>160</v>
      </c>
      <c r="D3401" s="1">
        <v>0</v>
      </c>
      <c r="E3401" s="1">
        <v>0</v>
      </c>
      <c r="F3401" s="1">
        <v>0</v>
      </c>
      <c r="G3401" s="1">
        <v>15</v>
      </c>
      <c r="H3401" s="4">
        <v>0.27</v>
      </c>
      <c r="I3401" s="1">
        <v>9</v>
      </c>
      <c r="J3401" s="4">
        <v>0.33</v>
      </c>
      <c r="K3401" s="1">
        <v>0</v>
      </c>
      <c r="L3401" s="1">
        <v>4</v>
      </c>
      <c r="M3401" s="32">
        <f>IF(Mecze[[#This Row],[PR]]=0,0,Mecze[[#This Row],[PR]]/Mecze[[#This Row],[CZAS]])</f>
        <v>4.1237113402061855E-2</v>
      </c>
      <c r="N3401" s="32">
        <f>IF(Mecze[[#This Row],[OU]]=0,0,Mecze[[#This Row],[OU]]/Mecze[[#This Row],[CZAS]])</f>
        <v>3.0927835051546393E-2</v>
      </c>
      <c r="O3401" s="32">
        <f>IF(Mecze[[#This Row],[PC]]=0,0,Mecze[[#This Row],[PC]]/Mecze[[#This Row],[CZAS]])</f>
        <v>4.1237113402061855E-2</v>
      </c>
      <c r="P3401" s="32">
        <f>IF(Mecze[[#This Row],[SC]]=0,0,Mecze[[#This Row],[SC]]/Mecze[[#This Row],[CZAS]])</f>
        <v>0</v>
      </c>
      <c r="Q3401" s="32">
        <f>IF(Mecze[[#This Row],[OB]]=0,0,Mecze[[#This Row],[OB]]/Mecze[[#This Row],[CZAS]])</f>
        <v>0</v>
      </c>
      <c r="R3401" s="32">
        <f>IF(Mecze[[#This Row],[BR]]=0,0,Mecze[[#This Row],[BR]]/Mecze[[#This Row],[CZAS]])</f>
        <v>0</v>
      </c>
      <c r="S3401" s="44">
        <f>IF(Mecze[[#This Row],[Role]]="BR",SUMPRODUCT(Mecze[[#This Row],[/PR:90]:[/BR:90]],Brudnopis!$E$23:$J$23),0)</f>
        <v>0</v>
      </c>
      <c r="T3401" s="44">
        <f>IF(Mecze[[#This Row],[Role]]&lt;&gt;"BR",SUMPRODUCT(Mecze[[#This Row],[/PR:90]:[/BR:90]],Brudnopis!$E$24:$J$24),0)</f>
        <v>0.12886597938144329</v>
      </c>
      <c r="U3401" s="44">
        <f>IF(Mecze[[#This Row],[Role]]&lt;&gt;"BR",SUMPRODUCT(Mecze[[#This Row],[/PR:90]:[/BR:90]],Brudnopis!$E$25:$J$25),0)</f>
        <v>0.13402061855670103</v>
      </c>
      <c r="V3401" s="44">
        <f>IF(Mecze[[#This Row],[Role]]&lt;&gt;"BR",SUMPRODUCT(Mecze[[#This Row],[/PR:90]:[/BR:90]],Brudnopis!$E$26:$J$26),0)</f>
        <v>0.11340206185567009</v>
      </c>
      <c r="W3401" s="44">
        <f>IF(Mecze[[#This Row],[Role]]&lt;&gt;"BR",SUMPRODUCT(Mecze[[#This Row],[/PR:90]:[/BR:90]],Brudnopis!$E$27:$J$27),0)</f>
        <v>0.11597938144329897</v>
      </c>
      <c r="X3401" s="44">
        <f>IF(Mecze[[#This Row],[Role]]&lt;&gt;"BR",SUMPRODUCT(Mecze[[#This Row],[/PR:90]:[/BR:90]],Brudnopis!$E$28:$J$28),0)</f>
        <v>4.1237113402061855E-2</v>
      </c>
      <c r="Y3401" s="35">
        <f>IF(Mecze[[#This Row],[Role]]="BR",Mecze[[#This Row],[/OB:90]]+Mecze[[#This Row],[/PC:90]],SUM(Mecze[[#This Row],[/PR:90]:[/BR:90]]))</f>
        <v>0.11340206185567009</v>
      </c>
      <c r="Z3401" s="35">
        <f>IF(Mecze[[#This Row],[KC]]=0,SUM(Mecze[[#This Row],[/BRI]:[/NPI]]),SUM(Mecze[[#This Row],[/BRI]:[/NPI]])*0.6)</f>
        <v>0.53350515463917514</v>
      </c>
      <c r="AA3401" s="10">
        <f>IFERROR(Mecze[[#This Row],[BR]]/Mecze[[#This Row],[ST]],0)</f>
        <v>0</v>
      </c>
      <c r="AB3401">
        <f>ROUND(Mecze[[#This Row],[PD]]*Mecze[[#This Row],[%PC]],0)</f>
        <v>4</v>
      </c>
      <c r="AC3401">
        <f>ROUND(Mecze[[#This Row],[OD]]*Mecze[[#This Row],[%OU]],0)</f>
        <v>3</v>
      </c>
      <c r="AD3401" s="36" t="s">
        <v>41</v>
      </c>
      <c r="AE3401" s="36">
        <v>190</v>
      </c>
      <c r="AF3401" s="71">
        <v>3.54</v>
      </c>
      <c r="AG3401" s="37">
        <v>0</v>
      </c>
      <c r="AH3401" s="37">
        <v>0</v>
      </c>
      <c r="AI3401" s="37">
        <v>97</v>
      </c>
      <c r="AJ3401" s="37">
        <v>1</v>
      </c>
      <c r="AK3401" s="37" t="str">
        <f>VLOOKUP(Mecze[[#This Row],[Match ID]],Meczusie[Mecz]:Meczusie[RodzajMeczu],2,FALSE)</f>
        <v>Towarzyski</v>
      </c>
    </row>
    <row r="3402" spans="1:37" x14ac:dyDescent="0.25">
      <c r="A3402" s="76">
        <v>25</v>
      </c>
      <c r="B3402" s="3" t="s">
        <v>366</v>
      </c>
      <c r="C3402" s="2" t="s">
        <v>160</v>
      </c>
      <c r="D3402" s="1">
        <v>0</v>
      </c>
      <c r="E3402" s="1">
        <v>1</v>
      </c>
      <c r="F3402" s="1">
        <v>1</v>
      </c>
      <c r="G3402" s="1">
        <v>5</v>
      </c>
      <c r="H3402" s="4">
        <v>0</v>
      </c>
      <c r="I3402" s="1">
        <v>4</v>
      </c>
      <c r="J3402" s="4">
        <v>0.5</v>
      </c>
      <c r="K3402" s="1">
        <v>0</v>
      </c>
      <c r="L3402" s="1">
        <v>4</v>
      </c>
      <c r="M3402" s="32">
        <f>IF(Mecze[[#This Row],[PR]]=0,0,Mecze[[#This Row],[PR]]/Mecze[[#This Row],[CZAS]])</f>
        <v>6.0606060606060608E-2</v>
      </c>
      <c r="N3402" s="32">
        <f>IF(Mecze[[#This Row],[OU]]=0,0,Mecze[[#This Row],[OU]]/Mecze[[#This Row],[CZAS]])</f>
        <v>3.0303030303030304E-2</v>
      </c>
      <c r="O3402" s="32">
        <f>IF(Mecze[[#This Row],[PC]]=0,0,Mecze[[#This Row],[PC]]/Mecze[[#This Row],[CZAS]])</f>
        <v>0</v>
      </c>
      <c r="P3402" s="32">
        <f>IF(Mecze[[#This Row],[SC]]=0,0,Mecze[[#This Row],[SC]]/Mecze[[#This Row],[CZAS]])</f>
        <v>1.5151515151515152E-2</v>
      </c>
      <c r="Q3402" s="32">
        <f>IF(Mecze[[#This Row],[OB]]=0,0,Mecze[[#This Row],[OB]]/Mecze[[#This Row],[CZAS]])</f>
        <v>0</v>
      </c>
      <c r="R3402" s="32">
        <f>IF(Mecze[[#This Row],[BR]]=0,0,Mecze[[#This Row],[BR]]/Mecze[[#This Row],[CZAS]])</f>
        <v>0</v>
      </c>
      <c r="S3402" s="44">
        <f>IF(Mecze[[#This Row],[Role]]="BR",SUMPRODUCT(Mecze[[#This Row],[/PR:90]:[/BR:90]],Brudnopis!$E$23:$J$23),0)</f>
        <v>0</v>
      </c>
      <c r="T3402" s="44">
        <f>IF(Mecze[[#This Row],[Role]]&lt;&gt;"BR",SUMPRODUCT(Mecze[[#This Row],[/PR:90]:[/BR:90]],Brudnopis!$E$24:$J$24),0)</f>
        <v>0.12121212121212122</v>
      </c>
      <c r="U3402" s="44">
        <f>IF(Mecze[[#This Row],[Role]]&lt;&gt;"BR",SUMPRODUCT(Mecze[[#This Row],[/PR:90]:[/BR:90]],Brudnopis!$E$25:$J$25),0)</f>
        <v>0.10606060606060606</v>
      </c>
      <c r="V3402" s="44">
        <f>IF(Mecze[[#This Row],[Role]]&lt;&gt;"BR",SUMPRODUCT(Mecze[[#This Row],[/PR:90]:[/BR:90]],Brudnopis!$E$26:$J$26),0)</f>
        <v>0.10606060606060606</v>
      </c>
      <c r="W3402" s="44">
        <f>IF(Mecze[[#This Row],[Role]]&lt;&gt;"BR",SUMPRODUCT(Mecze[[#This Row],[/PR:90]:[/BR:90]],Brudnopis!$E$27:$J$27),0)</f>
        <v>8.3333333333333329E-2</v>
      </c>
      <c r="X3402" s="44">
        <f>IF(Mecze[[#This Row],[Role]]&lt;&gt;"BR",SUMPRODUCT(Mecze[[#This Row],[/PR:90]:[/BR:90]],Brudnopis!$E$28:$J$28),0)</f>
        <v>3.0303030303030304E-2</v>
      </c>
      <c r="Y3402" s="35">
        <f>IF(Mecze[[#This Row],[Role]]="BR",Mecze[[#This Row],[/OB:90]]+Mecze[[#This Row],[/PC:90]],SUM(Mecze[[#This Row],[/PR:90]:[/BR:90]]))</f>
        <v>0.10606060606060606</v>
      </c>
      <c r="Z3402" s="35">
        <f>IF(Mecze[[#This Row],[KC]]=0,SUM(Mecze[[#This Row],[/BRI]:[/NPI]]),SUM(Mecze[[#This Row],[/BRI]:[/NPI]])*0.6)</f>
        <v>0.26818181818181819</v>
      </c>
      <c r="AA3402" s="10">
        <f>IFERROR(Mecze[[#This Row],[BR]]/Mecze[[#This Row],[ST]],0)</f>
        <v>0</v>
      </c>
      <c r="AB3402">
        <f>ROUND(Mecze[[#This Row],[PD]]*Mecze[[#This Row],[%PC]],0)</f>
        <v>0</v>
      </c>
      <c r="AC3402">
        <f>ROUND(Mecze[[#This Row],[OD]]*Mecze[[#This Row],[%OU]],0)</f>
        <v>2</v>
      </c>
      <c r="AD3402" s="36" t="s">
        <v>44</v>
      </c>
      <c r="AE3402" s="36">
        <v>190</v>
      </c>
      <c r="AF3402" s="71">
        <v>2.66</v>
      </c>
      <c r="AG3402" s="37">
        <v>2</v>
      </c>
      <c r="AH3402" s="37">
        <v>1</v>
      </c>
      <c r="AI3402" s="37">
        <v>66</v>
      </c>
      <c r="AJ3402" s="37">
        <v>1</v>
      </c>
      <c r="AK3402" s="37" t="str">
        <f>VLOOKUP(Mecze[[#This Row],[Match ID]],Meczusie[Mecz]:Meczusie[RodzajMeczu],2,FALSE)</f>
        <v>Towarzyski</v>
      </c>
    </row>
    <row r="3403" spans="1:37" x14ac:dyDescent="0.25">
      <c r="A3403" s="76">
        <v>45</v>
      </c>
      <c r="B3403" s="3" t="s">
        <v>394</v>
      </c>
      <c r="C3403" s="2" t="s">
        <v>160</v>
      </c>
      <c r="D3403" s="1">
        <v>0</v>
      </c>
      <c r="E3403" s="1">
        <v>0</v>
      </c>
      <c r="F3403" s="1">
        <v>0</v>
      </c>
      <c r="G3403" s="1">
        <v>9</v>
      </c>
      <c r="H3403" s="4">
        <v>0.22</v>
      </c>
      <c r="I3403" s="1">
        <v>2</v>
      </c>
      <c r="J3403" s="4">
        <v>0</v>
      </c>
      <c r="K3403" s="1">
        <v>0</v>
      </c>
      <c r="L3403" s="1">
        <v>2</v>
      </c>
      <c r="M3403" s="32">
        <f>IF(Mecze[[#This Row],[PR]]=0,0,Mecze[[#This Row],[PR]]/Mecze[[#This Row],[CZAS]])</f>
        <v>2.0618556701030927E-2</v>
      </c>
      <c r="N3403" s="32">
        <f>IF(Mecze[[#This Row],[OU]]=0,0,Mecze[[#This Row],[OU]]/Mecze[[#This Row],[CZAS]])</f>
        <v>0</v>
      </c>
      <c r="O3403" s="32">
        <f>IF(Mecze[[#This Row],[PC]]=0,0,Mecze[[#This Row],[PC]]/Mecze[[#This Row],[CZAS]])</f>
        <v>2.0618556701030927E-2</v>
      </c>
      <c r="P3403" s="32">
        <f>IF(Mecze[[#This Row],[SC]]=0,0,Mecze[[#This Row],[SC]]/Mecze[[#This Row],[CZAS]])</f>
        <v>0</v>
      </c>
      <c r="Q3403" s="32">
        <f>IF(Mecze[[#This Row],[OB]]=0,0,Mecze[[#This Row],[OB]]/Mecze[[#This Row],[CZAS]])</f>
        <v>0</v>
      </c>
      <c r="R3403" s="32">
        <f>IF(Mecze[[#This Row],[BR]]=0,0,Mecze[[#This Row],[BR]]/Mecze[[#This Row],[CZAS]])</f>
        <v>0</v>
      </c>
      <c r="S3403" s="44">
        <f>IF(Mecze[[#This Row],[Role]]="BR",SUMPRODUCT(Mecze[[#This Row],[/PR:90]:[/BR:90]],Brudnopis!$E$23:$J$23),0)</f>
        <v>0</v>
      </c>
      <c r="T3403" s="44">
        <f>IF(Mecze[[#This Row],[Role]]&lt;&gt;"BR",SUMPRODUCT(Mecze[[#This Row],[/PR:90]:[/BR:90]],Brudnopis!$E$24:$J$24),0)</f>
        <v>4.1237113402061855E-2</v>
      </c>
      <c r="U3403" s="44">
        <f>IF(Mecze[[#This Row],[Role]]&lt;&gt;"BR",SUMPRODUCT(Mecze[[#This Row],[/PR:90]:[/BR:90]],Brudnopis!$E$25:$J$25),0)</f>
        <v>5.1546391752577317E-2</v>
      </c>
      <c r="V3403" s="44">
        <f>IF(Mecze[[#This Row],[Role]]&lt;&gt;"BR",SUMPRODUCT(Mecze[[#This Row],[/PR:90]:[/BR:90]],Brudnopis!$E$26:$J$26),0)</f>
        <v>4.1237113402061855E-2</v>
      </c>
      <c r="W3403" s="44">
        <f>IF(Mecze[[#This Row],[Role]]&lt;&gt;"BR",SUMPRODUCT(Mecze[[#This Row],[/PR:90]:[/BR:90]],Brudnopis!$E$27:$J$27),0)</f>
        <v>4.6391752577319589E-2</v>
      </c>
      <c r="X3403" s="44">
        <f>IF(Mecze[[#This Row],[Role]]&lt;&gt;"BR",SUMPRODUCT(Mecze[[#This Row],[/PR:90]:[/BR:90]],Brudnopis!$E$28:$J$28),0)</f>
        <v>2.0618556701030927E-2</v>
      </c>
      <c r="Y3403" s="35">
        <f>IF(Mecze[[#This Row],[Role]]="BR",Mecze[[#This Row],[/OB:90]]+Mecze[[#This Row],[/PC:90]],SUM(Mecze[[#This Row],[/PR:90]:[/BR:90]]))</f>
        <v>4.1237113402061855E-2</v>
      </c>
      <c r="Z3403" s="35">
        <f>IF(Mecze[[#This Row],[KC]]=0,SUM(Mecze[[#This Row],[/BRI]:[/NPI]]),SUM(Mecze[[#This Row],[/BRI]:[/NPI]])*0.6)</f>
        <v>0.20103092783505155</v>
      </c>
      <c r="AA3403" s="10">
        <f>IFERROR(Mecze[[#This Row],[BR]]/Mecze[[#This Row],[ST]],0)</f>
        <v>0</v>
      </c>
      <c r="AB3403">
        <f>ROUND(Mecze[[#This Row],[PD]]*Mecze[[#This Row],[%PC]],0)</f>
        <v>2</v>
      </c>
      <c r="AC3403">
        <f>ROUND(Mecze[[#This Row],[OD]]*Mecze[[#This Row],[%OU]],0)</f>
        <v>0</v>
      </c>
      <c r="AD3403" s="36" t="s">
        <v>44</v>
      </c>
      <c r="AE3403" s="36">
        <v>190</v>
      </c>
      <c r="AF3403" s="71">
        <v>3.12</v>
      </c>
      <c r="AG3403" s="37">
        <v>0</v>
      </c>
      <c r="AH3403" s="37">
        <v>0</v>
      </c>
      <c r="AI3403" s="37">
        <v>97</v>
      </c>
      <c r="AJ3403" s="37">
        <v>1</v>
      </c>
      <c r="AK3403" s="37" t="str">
        <f>VLOOKUP(Mecze[[#This Row],[Match ID]],Meczusie[Mecz]:Meczusie[RodzajMeczu],2,FALSE)</f>
        <v>Towarzyski</v>
      </c>
    </row>
    <row r="3404" spans="1:37" x14ac:dyDescent="0.25">
      <c r="A3404" s="76">
        <v>31</v>
      </c>
      <c r="B3404" s="3" t="s">
        <v>365</v>
      </c>
      <c r="C3404" s="2" t="s">
        <v>165</v>
      </c>
      <c r="D3404" s="1">
        <v>0</v>
      </c>
      <c r="E3404" s="1">
        <v>1</v>
      </c>
      <c r="F3404" s="1">
        <v>1</v>
      </c>
      <c r="G3404" s="1">
        <v>4</v>
      </c>
      <c r="H3404" s="4">
        <v>0.5</v>
      </c>
      <c r="I3404" s="1">
        <v>2</v>
      </c>
      <c r="J3404" s="4">
        <v>1</v>
      </c>
      <c r="K3404" s="1">
        <v>0</v>
      </c>
      <c r="L3404" s="1">
        <v>1</v>
      </c>
      <c r="M3404" s="32">
        <f>IF(Mecze[[#This Row],[PR]]=0,0,Mecze[[#This Row],[PR]]/Mecze[[#This Row],[CZAS]])</f>
        <v>1.0309278350515464E-2</v>
      </c>
      <c r="N3404" s="32">
        <f>IF(Mecze[[#This Row],[OU]]=0,0,Mecze[[#This Row],[OU]]/Mecze[[#This Row],[CZAS]])</f>
        <v>2.0618556701030927E-2</v>
      </c>
      <c r="O3404" s="32">
        <f>IF(Mecze[[#This Row],[PC]]=0,0,Mecze[[#This Row],[PC]]/Mecze[[#This Row],[CZAS]])</f>
        <v>2.0618556701030927E-2</v>
      </c>
      <c r="P3404" s="32">
        <f>IF(Mecze[[#This Row],[SC]]=0,0,Mecze[[#This Row],[SC]]/Mecze[[#This Row],[CZAS]])</f>
        <v>1.0309278350515464E-2</v>
      </c>
      <c r="Q3404" s="32">
        <f>IF(Mecze[[#This Row],[OB]]=0,0,Mecze[[#This Row],[OB]]/Mecze[[#This Row],[CZAS]])</f>
        <v>0</v>
      </c>
      <c r="R3404" s="32">
        <f>IF(Mecze[[#This Row],[BR]]=0,0,Mecze[[#This Row],[BR]]/Mecze[[#This Row],[CZAS]])</f>
        <v>0</v>
      </c>
      <c r="S3404" s="44">
        <f>IF(Mecze[[#This Row],[Role]]="BR",SUMPRODUCT(Mecze[[#This Row],[/PR:90]:[/BR:90]],Brudnopis!$E$23:$J$23),0)</f>
        <v>0</v>
      </c>
      <c r="T3404" s="44">
        <f>IF(Mecze[[#This Row],[Role]]&lt;&gt;"BR",SUMPRODUCT(Mecze[[#This Row],[/PR:90]:[/BR:90]],Brudnopis!$E$24:$J$24),0)</f>
        <v>7.2164948453608255E-2</v>
      </c>
      <c r="U3404" s="44">
        <f>IF(Mecze[[#This Row],[Role]]&lt;&gt;"BR",SUMPRODUCT(Mecze[[#This Row],[/PR:90]:[/BR:90]],Brudnopis!$E$25:$J$25),0)</f>
        <v>7.2164948453608255E-2</v>
      </c>
      <c r="V3404" s="44">
        <f>IF(Mecze[[#This Row],[Role]]&lt;&gt;"BR",SUMPRODUCT(Mecze[[#This Row],[/PR:90]:[/BR:90]],Brudnopis!$E$26:$J$26),0)</f>
        <v>6.1855670103092779E-2</v>
      </c>
      <c r="W3404" s="44">
        <f>IF(Mecze[[#This Row],[Role]]&lt;&gt;"BR",SUMPRODUCT(Mecze[[#This Row],[/PR:90]:[/BR:90]],Brudnopis!$E$27:$J$27),0)</f>
        <v>6.4432989690721656E-2</v>
      </c>
      <c r="X3404" s="44">
        <f>IF(Mecze[[#This Row],[Role]]&lt;&gt;"BR",SUMPRODUCT(Mecze[[#This Row],[/PR:90]:[/BR:90]],Brudnopis!$E$28:$J$28),0)</f>
        <v>4.1237113402061855E-2</v>
      </c>
      <c r="Y3404" s="35">
        <f>IF(Mecze[[#This Row],[Role]]="BR",Mecze[[#This Row],[/OB:90]]+Mecze[[#This Row],[/PC:90]],SUM(Mecze[[#This Row],[/PR:90]:[/BR:90]]))</f>
        <v>6.1855670103092779E-2</v>
      </c>
      <c r="Z3404" s="35">
        <f>IF(Mecze[[#This Row],[KC]]=0,SUM(Mecze[[#This Row],[/BRI]:[/NPI]]),SUM(Mecze[[#This Row],[/BRI]:[/NPI]])*0.6)</f>
        <v>0.31185567010309284</v>
      </c>
      <c r="AA3404" s="10">
        <f>IFERROR(Mecze[[#This Row],[BR]]/Mecze[[#This Row],[ST]],0)</f>
        <v>0</v>
      </c>
      <c r="AB3404">
        <f>ROUND(Mecze[[#This Row],[PD]]*Mecze[[#This Row],[%PC]],0)</f>
        <v>2</v>
      </c>
      <c r="AC3404">
        <f>ROUND(Mecze[[#This Row],[OD]]*Mecze[[#This Row],[%OU]],0)</f>
        <v>2</v>
      </c>
      <c r="AD3404" s="36" t="s">
        <v>46</v>
      </c>
      <c r="AE3404" s="36">
        <v>190</v>
      </c>
      <c r="AF3404" s="71">
        <v>2.93</v>
      </c>
      <c r="AG3404" s="37">
        <v>0</v>
      </c>
      <c r="AH3404" s="37">
        <v>0</v>
      </c>
      <c r="AI3404" s="37">
        <v>97</v>
      </c>
      <c r="AJ3404" s="37">
        <v>1</v>
      </c>
      <c r="AK3404" s="37" t="str">
        <f>VLOOKUP(Mecze[[#This Row],[Match ID]],Meczusie[Mecz]:Meczusie[RodzajMeczu],2,FALSE)</f>
        <v>Towarzyski</v>
      </c>
    </row>
    <row r="3405" spans="1:37" x14ac:dyDescent="0.25">
      <c r="A3405" s="76">
        <v>51</v>
      </c>
      <c r="B3405" s="3" t="s">
        <v>517</v>
      </c>
      <c r="C3405" s="2" t="s">
        <v>165</v>
      </c>
      <c r="D3405" s="1">
        <v>0</v>
      </c>
      <c r="E3405" s="1">
        <v>0</v>
      </c>
      <c r="F3405" s="1">
        <v>0</v>
      </c>
      <c r="G3405" s="1">
        <v>6</v>
      </c>
      <c r="H3405" s="4">
        <v>0.83</v>
      </c>
      <c r="I3405" s="1">
        <v>2</v>
      </c>
      <c r="J3405" s="4">
        <v>0.5</v>
      </c>
      <c r="K3405" s="1">
        <v>0</v>
      </c>
      <c r="L3405" s="1">
        <v>0</v>
      </c>
      <c r="M3405" s="32">
        <f>IF(Mecze[[#This Row],[PR]]=0,0,Mecze[[#This Row],[PR]]/Mecze[[#This Row],[CZAS]])</f>
        <v>0</v>
      </c>
      <c r="N3405" s="32">
        <f>IF(Mecze[[#This Row],[OU]]=0,0,Mecze[[#This Row],[OU]]/Mecze[[#This Row],[CZAS]])</f>
        <v>1.0309278350515464E-2</v>
      </c>
      <c r="O3405" s="32">
        <f>IF(Mecze[[#This Row],[PC]]=0,0,Mecze[[#This Row],[PC]]/Mecze[[#This Row],[CZAS]])</f>
        <v>5.1546391752577317E-2</v>
      </c>
      <c r="P3405" s="32">
        <f>IF(Mecze[[#This Row],[SC]]=0,0,Mecze[[#This Row],[SC]]/Mecze[[#This Row],[CZAS]])</f>
        <v>0</v>
      </c>
      <c r="Q3405" s="32">
        <f>IF(Mecze[[#This Row],[OB]]=0,0,Mecze[[#This Row],[OB]]/Mecze[[#This Row],[CZAS]])</f>
        <v>0</v>
      </c>
      <c r="R3405" s="32">
        <f>IF(Mecze[[#This Row],[BR]]=0,0,Mecze[[#This Row],[BR]]/Mecze[[#This Row],[CZAS]])</f>
        <v>0</v>
      </c>
      <c r="S3405" s="44">
        <f>IF(Mecze[[#This Row],[Role]]="BR",SUMPRODUCT(Mecze[[#This Row],[/PR:90]:[/BR:90]],Brudnopis!$E$23:$J$23),0)</f>
        <v>0</v>
      </c>
      <c r="T3405" s="44">
        <f>IF(Mecze[[#This Row],[Role]]&lt;&gt;"BR",SUMPRODUCT(Mecze[[#This Row],[/PR:90]:[/BR:90]],Brudnopis!$E$24:$J$24),0)</f>
        <v>6.7010309278350513E-2</v>
      </c>
      <c r="U3405" s="44">
        <f>IF(Mecze[[#This Row],[Role]]&lt;&gt;"BR",SUMPRODUCT(Mecze[[#This Row],[/PR:90]:[/BR:90]],Brudnopis!$E$25:$J$25),0)</f>
        <v>8.7628865979381451E-2</v>
      </c>
      <c r="V3405" s="44">
        <f>IF(Mecze[[#This Row],[Role]]&lt;&gt;"BR",SUMPRODUCT(Mecze[[#This Row],[/PR:90]:[/BR:90]],Brudnopis!$E$26:$J$26),0)</f>
        <v>6.1855670103092779E-2</v>
      </c>
      <c r="W3405" s="44">
        <f>IF(Mecze[[#This Row],[Role]]&lt;&gt;"BR",SUMPRODUCT(Mecze[[#This Row],[/PR:90]:[/BR:90]],Brudnopis!$E$27:$J$27),0)</f>
        <v>8.505154639175258E-2</v>
      </c>
      <c r="X3405" s="44">
        <f>IF(Mecze[[#This Row],[Role]]&lt;&gt;"BR",SUMPRODUCT(Mecze[[#This Row],[/PR:90]:[/BR:90]],Brudnopis!$E$28:$J$28),0)</f>
        <v>5.1546391752577317E-2</v>
      </c>
      <c r="Y3405" s="35">
        <f>IF(Mecze[[#This Row],[Role]]="BR",Mecze[[#This Row],[/OB:90]]+Mecze[[#This Row],[/PC:90]],SUM(Mecze[[#This Row],[/PR:90]:[/BR:90]]))</f>
        <v>6.1855670103092779E-2</v>
      </c>
      <c r="Z3405" s="35">
        <f>IF(Mecze[[#This Row],[KC]]=0,SUM(Mecze[[#This Row],[/BRI]:[/NPI]]),SUM(Mecze[[#This Row],[/BRI]:[/NPI]])*0.6)</f>
        <v>0.35309278350515466</v>
      </c>
      <c r="AA3405" s="10">
        <f>IFERROR(Mecze[[#This Row],[BR]]/Mecze[[#This Row],[ST]],0)</f>
        <v>0</v>
      </c>
      <c r="AB3405">
        <f>ROUND(Mecze[[#This Row],[PD]]*Mecze[[#This Row],[%PC]],0)</f>
        <v>5</v>
      </c>
      <c r="AC3405">
        <f>ROUND(Mecze[[#This Row],[OD]]*Mecze[[#This Row],[%OU]],0)</f>
        <v>1</v>
      </c>
      <c r="AD3405" s="36" t="s">
        <v>46</v>
      </c>
      <c r="AE3405" s="36">
        <v>190</v>
      </c>
      <c r="AF3405" s="71">
        <v>4.96</v>
      </c>
      <c r="AG3405" s="37">
        <v>0</v>
      </c>
      <c r="AH3405" s="37">
        <v>0</v>
      </c>
      <c r="AI3405" s="37">
        <v>97</v>
      </c>
      <c r="AJ3405" s="37">
        <v>1</v>
      </c>
      <c r="AK3405" s="37" t="str">
        <f>VLOOKUP(Mecze[[#This Row],[Match ID]],Meczusie[Mecz]:Meczusie[RodzajMeczu],2,FALSE)</f>
        <v>Towarzyski</v>
      </c>
    </row>
    <row r="3406" spans="1:37" x14ac:dyDescent="0.25">
      <c r="A3406" s="76">
        <v>46</v>
      </c>
      <c r="B3406" s="3" t="s">
        <v>395</v>
      </c>
      <c r="C3406" s="2" t="s">
        <v>165</v>
      </c>
      <c r="D3406" s="1">
        <v>0</v>
      </c>
      <c r="E3406" s="1">
        <v>0</v>
      </c>
      <c r="F3406" s="1">
        <v>0</v>
      </c>
      <c r="G3406" s="1">
        <v>2</v>
      </c>
      <c r="H3406" s="4">
        <v>0</v>
      </c>
      <c r="I3406" s="1">
        <v>1</v>
      </c>
      <c r="J3406" s="4">
        <v>0</v>
      </c>
      <c r="K3406" s="1">
        <v>0</v>
      </c>
      <c r="L3406" s="1">
        <v>0</v>
      </c>
      <c r="M3406" s="32">
        <f>IF(Mecze[[#This Row],[PR]]=0,0,Mecze[[#This Row],[PR]]/Mecze[[#This Row],[CZAS]])</f>
        <v>0</v>
      </c>
      <c r="N3406" s="32">
        <f>IF(Mecze[[#This Row],[OU]]=0,0,Mecze[[#This Row],[OU]]/Mecze[[#This Row],[CZAS]])</f>
        <v>0</v>
      </c>
      <c r="O3406" s="32">
        <f>IF(Mecze[[#This Row],[PC]]=0,0,Mecze[[#This Row],[PC]]/Mecze[[#This Row],[CZAS]])</f>
        <v>0</v>
      </c>
      <c r="P3406" s="32">
        <f>IF(Mecze[[#This Row],[SC]]=0,0,Mecze[[#This Row],[SC]]/Mecze[[#This Row],[CZAS]])</f>
        <v>0</v>
      </c>
      <c r="Q3406" s="32">
        <f>IF(Mecze[[#This Row],[OB]]=0,0,Mecze[[#This Row],[OB]]/Mecze[[#This Row],[CZAS]])</f>
        <v>0</v>
      </c>
      <c r="R3406" s="32">
        <f>IF(Mecze[[#This Row],[BR]]=0,0,Mecze[[#This Row],[BR]]/Mecze[[#This Row],[CZAS]])</f>
        <v>0</v>
      </c>
      <c r="S3406" s="44">
        <f>IF(Mecze[[#This Row],[Role]]="BR",SUMPRODUCT(Mecze[[#This Row],[/PR:90]:[/BR:90]],Brudnopis!$E$23:$J$23),0)</f>
        <v>0</v>
      </c>
      <c r="T3406" s="44">
        <f>IF(Mecze[[#This Row],[Role]]&lt;&gt;"BR",SUMPRODUCT(Mecze[[#This Row],[/PR:90]:[/BR:90]],Brudnopis!$E$24:$J$24),0)</f>
        <v>0</v>
      </c>
      <c r="U3406" s="44">
        <f>IF(Mecze[[#This Row],[Role]]&lt;&gt;"BR",SUMPRODUCT(Mecze[[#This Row],[/PR:90]:[/BR:90]],Brudnopis!$E$25:$J$25),0)</f>
        <v>0</v>
      </c>
      <c r="V3406" s="44">
        <f>IF(Mecze[[#This Row],[Role]]&lt;&gt;"BR",SUMPRODUCT(Mecze[[#This Row],[/PR:90]:[/BR:90]],Brudnopis!$E$26:$J$26),0)</f>
        <v>0</v>
      </c>
      <c r="W3406" s="44">
        <f>IF(Mecze[[#This Row],[Role]]&lt;&gt;"BR",SUMPRODUCT(Mecze[[#This Row],[/PR:90]:[/BR:90]],Brudnopis!$E$27:$J$27),0)</f>
        <v>0</v>
      </c>
      <c r="X3406" s="44">
        <f>IF(Mecze[[#This Row],[Role]]&lt;&gt;"BR",SUMPRODUCT(Mecze[[#This Row],[/PR:90]:[/BR:90]],Brudnopis!$E$28:$J$28),0)</f>
        <v>0</v>
      </c>
      <c r="Y3406" s="35">
        <f>IF(Mecze[[#This Row],[Role]]="BR",Mecze[[#This Row],[/OB:90]]+Mecze[[#This Row],[/PC:90]],SUM(Mecze[[#This Row],[/PR:90]:[/BR:90]]))</f>
        <v>0</v>
      </c>
      <c r="Z3406" s="35">
        <f>IF(Mecze[[#This Row],[KC]]=0,SUM(Mecze[[#This Row],[/BRI]:[/NPI]]),SUM(Mecze[[#This Row],[/BRI]:[/NPI]])*0.6)</f>
        <v>0</v>
      </c>
      <c r="AA3406" s="10">
        <f>IFERROR(Mecze[[#This Row],[BR]]/Mecze[[#This Row],[ST]],0)</f>
        <v>0</v>
      </c>
      <c r="AB3406">
        <f>ROUND(Mecze[[#This Row],[PD]]*Mecze[[#This Row],[%PC]],0)</f>
        <v>0</v>
      </c>
      <c r="AC3406">
        <f>ROUND(Mecze[[#This Row],[OD]]*Mecze[[#This Row],[%OU]],0)</f>
        <v>0</v>
      </c>
      <c r="AD3406" s="36" t="s">
        <v>46</v>
      </c>
      <c r="AE3406" s="36">
        <v>190</v>
      </c>
      <c r="AF3406" s="71">
        <v>2.71</v>
      </c>
      <c r="AG3406" s="37">
        <v>0</v>
      </c>
      <c r="AH3406" s="37">
        <v>0</v>
      </c>
      <c r="AI3406" s="37">
        <v>97</v>
      </c>
      <c r="AJ3406" s="37">
        <v>1</v>
      </c>
      <c r="AK3406" s="37" t="str">
        <f>VLOOKUP(Mecze[[#This Row],[Match ID]],Meczusie[Mecz]:Meczusie[RodzajMeczu],2,FALSE)</f>
        <v>Towarzyski</v>
      </c>
    </row>
    <row r="3407" spans="1:37" x14ac:dyDescent="0.25">
      <c r="A3407" s="76">
        <v>39</v>
      </c>
      <c r="B3407" s="3" t="s">
        <v>450</v>
      </c>
      <c r="C3407" s="2" t="s">
        <v>155</v>
      </c>
      <c r="D3407" s="1">
        <v>0</v>
      </c>
      <c r="E3407" s="1">
        <v>0</v>
      </c>
      <c r="F3407" s="1">
        <v>0</v>
      </c>
      <c r="G3407" s="1">
        <v>15</v>
      </c>
      <c r="H3407" s="4">
        <v>0.13</v>
      </c>
      <c r="I3407" s="1">
        <v>0</v>
      </c>
      <c r="J3407" s="4"/>
      <c r="K3407" s="1">
        <v>14</v>
      </c>
      <c r="L3407" s="1">
        <v>0</v>
      </c>
      <c r="M3407" s="32">
        <f>IF(Mecze[[#This Row],[PR]]=0,0,Mecze[[#This Row],[PR]]/Mecze[[#This Row],[CZAS]])</f>
        <v>0</v>
      </c>
      <c r="N3407" s="32">
        <f>IF(Mecze[[#This Row],[OU]]=0,0,Mecze[[#This Row],[OU]]/Mecze[[#This Row],[CZAS]])</f>
        <v>0</v>
      </c>
      <c r="O3407" s="32">
        <f>IF(Mecze[[#This Row],[PC]]=0,0,Mecze[[#This Row],[PC]]/Mecze[[#This Row],[CZAS]])</f>
        <v>2.0618556701030927E-2</v>
      </c>
      <c r="P3407" s="32">
        <f>IF(Mecze[[#This Row],[SC]]=0,0,Mecze[[#This Row],[SC]]/Mecze[[#This Row],[CZAS]])</f>
        <v>0</v>
      </c>
      <c r="Q3407" s="32">
        <f>IF(Mecze[[#This Row],[OB]]=0,0,Mecze[[#This Row],[OB]]/Mecze[[#This Row],[CZAS]])</f>
        <v>0.14432989690721648</v>
      </c>
      <c r="R3407" s="32">
        <f>IF(Mecze[[#This Row],[BR]]=0,0,Mecze[[#This Row],[BR]]/Mecze[[#This Row],[CZAS]])</f>
        <v>0</v>
      </c>
      <c r="S3407" s="44">
        <f>IF(Mecze[[#This Row],[Role]]="BR",SUMPRODUCT(Mecze[[#This Row],[/PR:90]:[/BR:90]],Brudnopis!$E$23:$J$23),0)</f>
        <v>0.49484536082474223</v>
      </c>
      <c r="T3407" s="44">
        <f>IF(Mecze[[#This Row],[Role]]&lt;&gt;"BR",SUMPRODUCT(Mecze[[#This Row],[/PR:90]:[/BR:90]],Brudnopis!$E$24:$J$24),0)</f>
        <v>0</v>
      </c>
      <c r="U3407" s="44">
        <f>IF(Mecze[[#This Row],[Role]]&lt;&gt;"BR",SUMPRODUCT(Mecze[[#This Row],[/PR:90]:[/BR:90]],Brudnopis!$E$25:$J$25),0)</f>
        <v>0</v>
      </c>
      <c r="V3407" s="44">
        <f>IF(Mecze[[#This Row],[Role]]&lt;&gt;"BR",SUMPRODUCT(Mecze[[#This Row],[/PR:90]:[/BR:90]],Brudnopis!$E$26:$J$26),0)</f>
        <v>0</v>
      </c>
      <c r="W3407" s="44">
        <f>IF(Mecze[[#This Row],[Role]]&lt;&gt;"BR",SUMPRODUCT(Mecze[[#This Row],[/PR:90]:[/BR:90]],Brudnopis!$E$27:$J$27),0)</f>
        <v>0</v>
      </c>
      <c r="X3407" s="44">
        <f>IF(Mecze[[#This Row],[Role]]&lt;&gt;"BR",SUMPRODUCT(Mecze[[#This Row],[/PR:90]:[/BR:90]],Brudnopis!$E$28:$J$28),0)</f>
        <v>0</v>
      </c>
      <c r="Y3407" s="35">
        <f>IF(Mecze[[#This Row],[Role]]="BR",Mecze[[#This Row],[/OB:90]]+Mecze[[#This Row],[/PC:90]],SUM(Mecze[[#This Row],[/PR:90]:[/BR:90]]))</f>
        <v>0.16494845360824742</v>
      </c>
      <c r="Z3407" s="35">
        <f>IF(Mecze[[#This Row],[KC]]=0,SUM(Mecze[[#This Row],[/BRI]:[/NPI]]),SUM(Mecze[[#This Row],[/BRI]:[/NPI]])*0.6)</f>
        <v>0.49484536082474223</v>
      </c>
      <c r="AA3407" s="10">
        <f>IFERROR(Mecze[[#This Row],[BR]]/Mecze[[#This Row],[ST]],0)</f>
        <v>0</v>
      </c>
      <c r="AB3407">
        <f>ROUND(Mecze[[#This Row],[PD]]*Mecze[[#This Row],[%PC]],0)</f>
        <v>2</v>
      </c>
      <c r="AC3407">
        <f>ROUND(Mecze[[#This Row],[OD]]*Mecze[[#This Row],[%OU]],0)</f>
        <v>0</v>
      </c>
      <c r="AD3407" s="36" t="s">
        <v>40</v>
      </c>
      <c r="AE3407" s="36">
        <v>191</v>
      </c>
      <c r="AF3407" s="71">
        <v>4.28</v>
      </c>
      <c r="AG3407" s="37">
        <v>0</v>
      </c>
      <c r="AH3407" s="37">
        <v>0</v>
      </c>
      <c r="AI3407" s="37">
        <v>97</v>
      </c>
      <c r="AJ3407" s="37">
        <v>1</v>
      </c>
      <c r="AK3407" s="37" t="str">
        <f>VLOOKUP(Mecze[[#This Row],[Match ID]],Meczusie[Mecz]:Meczusie[RodzajMeczu],2,FALSE)</f>
        <v>Towarzyski</v>
      </c>
    </row>
    <row r="3408" spans="1:37" x14ac:dyDescent="0.25">
      <c r="A3408" s="76">
        <v>3</v>
      </c>
      <c r="B3408" s="3" t="s">
        <v>158</v>
      </c>
      <c r="C3408" s="2" t="s">
        <v>157</v>
      </c>
      <c r="D3408" s="1">
        <v>0</v>
      </c>
      <c r="E3408" s="1">
        <v>0</v>
      </c>
      <c r="F3408" s="1">
        <v>0</v>
      </c>
      <c r="G3408" s="1">
        <v>8</v>
      </c>
      <c r="H3408" s="4">
        <v>0.63</v>
      </c>
      <c r="I3408" s="1">
        <v>7</v>
      </c>
      <c r="J3408" s="4">
        <v>0.28999999999999998</v>
      </c>
      <c r="K3408" s="1">
        <v>0</v>
      </c>
      <c r="L3408" s="1">
        <v>4</v>
      </c>
      <c r="M3408" s="32">
        <f>IF(Mecze[[#This Row],[PR]]=0,0,Mecze[[#This Row],[PR]]/Mecze[[#This Row],[CZAS]])</f>
        <v>4.1237113402061855E-2</v>
      </c>
      <c r="N3408" s="32">
        <f>IF(Mecze[[#This Row],[OU]]=0,0,Mecze[[#This Row],[OU]]/Mecze[[#This Row],[CZAS]])</f>
        <v>2.0618556701030927E-2</v>
      </c>
      <c r="O3408" s="32">
        <f>IF(Mecze[[#This Row],[PC]]=0,0,Mecze[[#This Row],[PC]]/Mecze[[#This Row],[CZAS]])</f>
        <v>5.1546391752577317E-2</v>
      </c>
      <c r="P3408" s="32">
        <f>IF(Mecze[[#This Row],[SC]]=0,0,Mecze[[#This Row],[SC]]/Mecze[[#This Row],[CZAS]])</f>
        <v>0</v>
      </c>
      <c r="Q3408" s="32">
        <f>IF(Mecze[[#This Row],[OB]]=0,0,Mecze[[#This Row],[OB]]/Mecze[[#This Row],[CZAS]])</f>
        <v>0</v>
      </c>
      <c r="R3408" s="32">
        <f>IF(Mecze[[#This Row],[BR]]=0,0,Mecze[[#This Row],[BR]]/Mecze[[#This Row],[CZAS]])</f>
        <v>0</v>
      </c>
      <c r="S3408" s="44">
        <f>IF(Mecze[[#This Row],[Role]]="BR",SUMPRODUCT(Mecze[[#This Row],[/PR:90]:[/BR:90]],Brudnopis!$E$23:$J$23),0)</f>
        <v>0</v>
      </c>
      <c r="T3408" s="44">
        <f>IF(Mecze[[#This Row],[Role]]&lt;&gt;"BR",SUMPRODUCT(Mecze[[#This Row],[/PR:90]:[/BR:90]],Brudnopis!$E$24:$J$24),0)</f>
        <v>0.12371134020618556</v>
      </c>
      <c r="U3408" s="44">
        <f>IF(Mecze[[#This Row],[Role]]&lt;&gt;"BR",SUMPRODUCT(Mecze[[#This Row],[/PR:90]:[/BR:90]],Brudnopis!$E$25:$J$25),0)</f>
        <v>0.13917525773195877</v>
      </c>
      <c r="V3408" s="44">
        <f>IF(Mecze[[#This Row],[Role]]&lt;&gt;"BR",SUMPRODUCT(Mecze[[#This Row],[/PR:90]:[/BR:90]],Brudnopis!$E$26:$J$26),0)</f>
        <v>0.1134020618556701</v>
      </c>
      <c r="W3408" s="44">
        <f>IF(Mecze[[#This Row],[Role]]&lt;&gt;"BR",SUMPRODUCT(Mecze[[#This Row],[/PR:90]:[/BR:90]],Brudnopis!$E$27:$J$27),0)</f>
        <v>0.12371134020618557</v>
      </c>
      <c r="X3408" s="44">
        <f>IF(Mecze[[#This Row],[Role]]&lt;&gt;"BR",SUMPRODUCT(Mecze[[#This Row],[/PR:90]:[/BR:90]],Brudnopis!$E$28:$J$28),0)</f>
        <v>5.1546391752577317E-2</v>
      </c>
      <c r="Y3408" s="35">
        <f>IF(Mecze[[#This Row],[Role]]="BR",Mecze[[#This Row],[/OB:90]]+Mecze[[#This Row],[/PC:90]],SUM(Mecze[[#This Row],[/PR:90]:[/BR:90]]))</f>
        <v>0.1134020618556701</v>
      </c>
      <c r="Z3408" s="35">
        <f>IF(Mecze[[#This Row],[KC]]=0,SUM(Mecze[[#This Row],[/BRI]:[/NPI]]),SUM(Mecze[[#This Row],[/BRI]:[/NPI]])*0.6)</f>
        <v>0.55154639175257736</v>
      </c>
      <c r="AA3408" s="10">
        <f>IFERROR(Mecze[[#This Row],[BR]]/Mecze[[#This Row],[ST]],0)</f>
        <v>0</v>
      </c>
      <c r="AB3408">
        <f>ROUND(Mecze[[#This Row],[PD]]*Mecze[[#This Row],[%PC]],0)</f>
        <v>5</v>
      </c>
      <c r="AC3408">
        <f>ROUND(Mecze[[#This Row],[OD]]*Mecze[[#This Row],[%OU]],0)</f>
        <v>2</v>
      </c>
      <c r="AD3408" s="36" t="s">
        <v>47</v>
      </c>
      <c r="AE3408" s="36">
        <v>191</v>
      </c>
      <c r="AF3408" s="71">
        <v>-0.89</v>
      </c>
      <c r="AG3408" s="37">
        <v>1</v>
      </c>
      <c r="AH3408" s="37">
        <v>0</v>
      </c>
      <c r="AI3408" s="37">
        <v>97</v>
      </c>
      <c r="AJ3408" s="37">
        <v>1</v>
      </c>
      <c r="AK3408" s="37" t="str">
        <f>VLOOKUP(Mecze[[#This Row],[Match ID]],Meczusie[Mecz]:Meczusie[RodzajMeczu],2,FALSE)</f>
        <v>Towarzyski</v>
      </c>
    </row>
    <row r="3409" spans="1:37" x14ac:dyDescent="0.25">
      <c r="A3409" s="76">
        <v>53</v>
      </c>
      <c r="B3409" s="3" t="s">
        <v>415</v>
      </c>
      <c r="C3409" s="2" t="s">
        <v>157</v>
      </c>
      <c r="D3409" s="1">
        <v>0</v>
      </c>
      <c r="E3409" s="1">
        <v>0</v>
      </c>
      <c r="F3409" s="1">
        <v>0</v>
      </c>
      <c r="G3409" s="1">
        <v>8</v>
      </c>
      <c r="H3409" s="4">
        <v>0.5</v>
      </c>
      <c r="I3409" s="1">
        <v>4</v>
      </c>
      <c r="J3409" s="4">
        <v>0</v>
      </c>
      <c r="K3409" s="1">
        <v>0</v>
      </c>
      <c r="L3409" s="1">
        <v>10</v>
      </c>
      <c r="M3409" s="32">
        <f>IF(Mecze[[#This Row],[PR]]=0,0,Mecze[[#This Row],[PR]]/Mecze[[#This Row],[CZAS]])</f>
        <v>0.10309278350515463</v>
      </c>
      <c r="N3409" s="32">
        <f>IF(Mecze[[#This Row],[OU]]=0,0,Mecze[[#This Row],[OU]]/Mecze[[#This Row],[CZAS]])</f>
        <v>0</v>
      </c>
      <c r="O3409" s="32">
        <f>IF(Mecze[[#This Row],[PC]]=0,0,Mecze[[#This Row],[PC]]/Mecze[[#This Row],[CZAS]])</f>
        <v>4.1237113402061855E-2</v>
      </c>
      <c r="P3409" s="32">
        <f>IF(Mecze[[#This Row],[SC]]=0,0,Mecze[[#This Row],[SC]]/Mecze[[#This Row],[CZAS]])</f>
        <v>0</v>
      </c>
      <c r="Q3409" s="32">
        <f>IF(Mecze[[#This Row],[OB]]=0,0,Mecze[[#This Row],[OB]]/Mecze[[#This Row],[CZAS]])</f>
        <v>0</v>
      </c>
      <c r="R3409" s="32">
        <f>IF(Mecze[[#This Row],[BR]]=0,0,Mecze[[#This Row],[BR]]/Mecze[[#This Row],[CZAS]])</f>
        <v>0</v>
      </c>
      <c r="S3409" s="44">
        <f>IF(Mecze[[#This Row],[Role]]="BR",SUMPRODUCT(Mecze[[#This Row],[/PR:90]:[/BR:90]],Brudnopis!$E$23:$J$23),0)</f>
        <v>0</v>
      </c>
      <c r="T3409" s="44">
        <f>IF(Mecze[[#This Row],[Role]]&lt;&gt;"BR",SUMPRODUCT(Mecze[[#This Row],[/PR:90]:[/BR:90]],Brudnopis!$E$24:$J$24),0)</f>
        <v>0.14432989690721648</v>
      </c>
      <c r="U3409" s="44">
        <f>IF(Mecze[[#This Row],[Role]]&lt;&gt;"BR",SUMPRODUCT(Mecze[[#This Row],[/PR:90]:[/BR:90]],Brudnopis!$E$25:$J$25),0)</f>
        <v>0.16494845360824742</v>
      </c>
      <c r="V3409" s="44">
        <f>IF(Mecze[[#This Row],[Role]]&lt;&gt;"BR",SUMPRODUCT(Mecze[[#This Row],[/PR:90]:[/BR:90]],Brudnopis!$E$26:$J$26),0)</f>
        <v>0.14432989690721648</v>
      </c>
      <c r="W3409" s="44">
        <f>IF(Mecze[[#This Row],[Role]]&lt;&gt;"BR",SUMPRODUCT(Mecze[[#This Row],[/PR:90]:[/BR:90]],Brudnopis!$E$27:$J$27),0)</f>
        <v>0.13917525773195877</v>
      </c>
      <c r="X3409" s="44">
        <f>IF(Mecze[[#This Row],[Role]]&lt;&gt;"BR",SUMPRODUCT(Mecze[[#This Row],[/PR:90]:[/BR:90]],Brudnopis!$E$28:$J$28),0)</f>
        <v>4.1237113402061855E-2</v>
      </c>
      <c r="Y3409" s="35">
        <f>IF(Mecze[[#This Row],[Role]]="BR",Mecze[[#This Row],[/OB:90]]+Mecze[[#This Row],[/PC:90]],SUM(Mecze[[#This Row],[/PR:90]:[/BR:90]]))</f>
        <v>0.14432989690721648</v>
      </c>
      <c r="Z3409" s="35">
        <f>IF(Mecze[[#This Row],[KC]]=0,SUM(Mecze[[#This Row],[/BRI]:[/NPI]]),SUM(Mecze[[#This Row],[/BRI]:[/NPI]])*0.6)</f>
        <v>0.634020618556701</v>
      </c>
      <c r="AA3409" s="10">
        <f>IFERROR(Mecze[[#This Row],[BR]]/Mecze[[#This Row],[ST]],0)</f>
        <v>0</v>
      </c>
      <c r="AB3409">
        <f>ROUND(Mecze[[#This Row],[PD]]*Mecze[[#This Row],[%PC]],0)</f>
        <v>4</v>
      </c>
      <c r="AC3409">
        <f>ROUND(Mecze[[#This Row],[OD]]*Mecze[[#This Row],[%OU]],0)</f>
        <v>0</v>
      </c>
      <c r="AD3409" s="36" t="s">
        <v>167</v>
      </c>
      <c r="AE3409" s="36">
        <v>191</v>
      </c>
      <c r="AF3409" s="71">
        <v>1.48</v>
      </c>
      <c r="AG3409" s="37">
        <v>0</v>
      </c>
      <c r="AH3409" s="37">
        <v>0</v>
      </c>
      <c r="AI3409" s="37">
        <v>97</v>
      </c>
      <c r="AJ3409" s="37">
        <v>1</v>
      </c>
      <c r="AK3409" s="37" t="str">
        <f>VLOOKUP(Mecze[[#This Row],[Match ID]],Meczusie[Mecz]:Meczusie[RodzajMeczu],2,FALSE)</f>
        <v>Towarzyski</v>
      </c>
    </row>
    <row r="3410" spans="1:37" x14ac:dyDescent="0.25">
      <c r="A3410" s="76">
        <v>50</v>
      </c>
      <c r="B3410" s="3" t="s">
        <v>496</v>
      </c>
      <c r="C3410" s="2" t="s">
        <v>157</v>
      </c>
      <c r="D3410" s="1">
        <v>0</v>
      </c>
      <c r="E3410" s="1">
        <v>0</v>
      </c>
      <c r="F3410" s="1">
        <v>0</v>
      </c>
      <c r="G3410" s="1">
        <v>6</v>
      </c>
      <c r="H3410" s="4">
        <v>0</v>
      </c>
      <c r="I3410" s="1">
        <v>4</v>
      </c>
      <c r="J3410" s="4">
        <v>0.25</v>
      </c>
      <c r="K3410" s="1">
        <v>0</v>
      </c>
      <c r="L3410" s="1">
        <v>9</v>
      </c>
      <c r="M3410" s="32">
        <f>IF(Mecze[[#This Row],[PR]]=0,0,Mecze[[#This Row],[PR]]/Mecze[[#This Row],[CZAS]])</f>
        <v>9.2783505154639179E-2</v>
      </c>
      <c r="N3410" s="32">
        <f>IF(Mecze[[#This Row],[OU]]=0,0,Mecze[[#This Row],[OU]]/Mecze[[#This Row],[CZAS]])</f>
        <v>1.0309278350515464E-2</v>
      </c>
      <c r="O3410" s="32">
        <f>IF(Mecze[[#This Row],[PC]]=0,0,Mecze[[#This Row],[PC]]/Mecze[[#This Row],[CZAS]])</f>
        <v>0</v>
      </c>
      <c r="P3410" s="32">
        <f>IF(Mecze[[#This Row],[SC]]=0,0,Mecze[[#This Row],[SC]]/Mecze[[#This Row],[CZAS]])</f>
        <v>0</v>
      </c>
      <c r="Q3410" s="32">
        <f>IF(Mecze[[#This Row],[OB]]=0,0,Mecze[[#This Row],[OB]]/Mecze[[#This Row],[CZAS]])</f>
        <v>0</v>
      </c>
      <c r="R3410" s="32">
        <f>IF(Mecze[[#This Row],[BR]]=0,0,Mecze[[#This Row],[BR]]/Mecze[[#This Row],[CZAS]])</f>
        <v>0</v>
      </c>
      <c r="S3410" s="44">
        <f>IF(Mecze[[#This Row],[Role]]="BR",SUMPRODUCT(Mecze[[#This Row],[/PR:90]:[/BR:90]],Brudnopis!$E$23:$J$23),0)</f>
        <v>0</v>
      </c>
      <c r="T3410" s="44">
        <f>IF(Mecze[[#This Row],[Role]]&lt;&gt;"BR",SUMPRODUCT(Mecze[[#This Row],[/PR:90]:[/BR:90]],Brudnopis!$E$24:$J$24),0)</f>
        <v>0.10824742268041238</v>
      </c>
      <c r="U3410" s="44">
        <f>IF(Mecze[[#This Row],[Role]]&lt;&gt;"BR",SUMPRODUCT(Mecze[[#This Row],[/PR:90]:[/BR:90]],Brudnopis!$E$25:$J$25),0)</f>
        <v>0.10309278350515465</v>
      </c>
      <c r="V3410" s="44">
        <f>IF(Mecze[[#This Row],[Role]]&lt;&gt;"BR",SUMPRODUCT(Mecze[[#This Row],[/PR:90]:[/BR:90]],Brudnopis!$E$26:$J$26),0)</f>
        <v>0.10309278350515465</v>
      </c>
      <c r="W3410" s="44">
        <f>IF(Mecze[[#This Row],[Role]]&lt;&gt;"BR",SUMPRODUCT(Mecze[[#This Row],[/PR:90]:[/BR:90]],Brudnopis!$E$27:$J$27),0)</f>
        <v>7.7319587628865982E-2</v>
      </c>
      <c r="X3410" s="44">
        <f>IF(Mecze[[#This Row],[Role]]&lt;&gt;"BR",SUMPRODUCT(Mecze[[#This Row],[/PR:90]:[/BR:90]],Brudnopis!$E$28:$J$28),0)</f>
        <v>0</v>
      </c>
      <c r="Y3410" s="35">
        <f>IF(Mecze[[#This Row],[Role]]="BR",Mecze[[#This Row],[/OB:90]]+Mecze[[#This Row],[/PC:90]],SUM(Mecze[[#This Row],[/PR:90]:[/BR:90]]))</f>
        <v>0.10309278350515465</v>
      </c>
      <c r="Z3410" s="35">
        <f>IF(Mecze[[#This Row],[KC]]=0,SUM(Mecze[[#This Row],[/BRI]:[/NPI]]),SUM(Mecze[[#This Row],[/BRI]:[/NPI]])*0.6)</f>
        <v>0.39175257731958768</v>
      </c>
      <c r="AA3410" s="10">
        <f>IFERROR(Mecze[[#This Row],[BR]]/Mecze[[#This Row],[ST]],0)</f>
        <v>0</v>
      </c>
      <c r="AB3410">
        <f>ROUND(Mecze[[#This Row],[PD]]*Mecze[[#This Row],[%PC]],0)</f>
        <v>0</v>
      </c>
      <c r="AC3410">
        <f>ROUND(Mecze[[#This Row],[OD]]*Mecze[[#This Row],[%OU]],0)</f>
        <v>1</v>
      </c>
      <c r="AD3410" s="36" t="s">
        <v>168</v>
      </c>
      <c r="AE3410" s="36">
        <v>191</v>
      </c>
      <c r="AF3410" s="71">
        <v>1.27</v>
      </c>
      <c r="AG3410" s="37">
        <v>0</v>
      </c>
      <c r="AH3410" s="37">
        <v>0</v>
      </c>
      <c r="AI3410" s="37">
        <v>97</v>
      </c>
      <c r="AJ3410" s="37">
        <v>1</v>
      </c>
      <c r="AK3410" s="37" t="str">
        <f>VLOOKUP(Mecze[[#This Row],[Match ID]],Meczusie[Mecz]:Meczusie[RodzajMeczu],2,FALSE)</f>
        <v>Towarzyski</v>
      </c>
    </row>
    <row r="3411" spans="1:37" x14ac:dyDescent="0.25">
      <c r="A3411" s="76">
        <v>52</v>
      </c>
      <c r="B3411" s="3" t="s">
        <v>408</v>
      </c>
      <c r="C3411" s="2" t="s">
        <v>160</v>
      </c>
      <c r="D3411" s="1">
        <v>0</v>
      </c>
      <c r="E3411" s="1">
        <v>0</v>
      </c>
      <c r="F3411" s="1">
        <v>0</v>
      </c>
      <c r="G3411" s="1">
        <v>14</v>
      </c>
      <c r="H3411" s="4">
        <v>0.21</v>
      </c>
      <c r="I3411" s="1">
        <v>5</v>
      </c>
      <c r="J3411" s="4">
        <v>0</v>
      </c>
      <c r="K3411" s="1">
        <v>0</v>
      </c>
      <c r="L3411" s="1">
        <v>5</v>
      </c>
      <c r="M3411" s="32">
        <f>IF(Mecze[[#This Row],[PR]]=0,0,Mecze[[#This Row],[PR]]/Mecze[[#This Row],[CZAS]])</f>
        <v>5.1546391752577317E-2</v>
      </c>
      <c r="N3411" s="32">
        <f>IF(Mecze[[#This Row],[OU]]=0,0,Mecze[[#This Row],[OU]]/Mecze[[#This Row],[CZAS]])</f>
        <v>0</v>
      </c>
      <c r="O3411" s="32">
        <f>IF(Mecze[[#This Row],[PC]]=0,0,Mecze[[#This Row],[PC]]/Mecze[[#This Row],[CZAS]])</f>
        <v>3.0927835051546393E-2</v>
      </c>
      <c r="P3411" s="32">
        <f>IF(Mecze[[#This Row],[SC]]=0,0,Mecze[[#This Row],[SC]]/Mecze[[#This Row],[CZAS]])</f>
        <v>0</v>
      </c>
      <c r="Q3411" s="32">
        <f>IF(Mecze[[#This Row],[OB]]=0,0,Mecze[[#This Row],[OB]]/Mecze[[#This Row],[CZAS]])</f>
        <v>0</v>
      </c>
      <c r="R3411" s="32">
        <f>IF(Mecze[[#This Row],[BR]]=0,0,Mecze[[#This Row],[BR]]/Mecze[[#This Row],[CZAS]])</f>
        <v>0</v>
      </c>
      <c r="S3411" s="44">
        <f>IF(Mecze[[#This Row],[Role]]="BR",SUMPRODUCT(Mecze[[#This Row],[/PR:90]:[/BR:90]],Brudnopis!$E$23:$J$23),0)</f>
        <v>0</v>
      </c>
      <c r="T3411" s="44">
        <f>IF(Mecze[[#This Row],[Role]]&lt;&gt;"BR",SUMPRODUCT(Mecze[[#This Row],[/PR:90]:[/BR:90]],Brudnopis!$E$24:$J$24),0)</f>
        <v>8.247422680412371E-2</v>
      </c>
      <c r="U3411" s="44">
        <f>IF(Mecze[[#This Row],[Role]]&lt;&gt;"BR",SUMPRODUCT(Mecze[[#This Row],[/PR:90]:[/BR:90]],Brudnopis!$E$25:$J$25),0)</f>
        <v>9.7938144329896906E-2</v>
      </c>
      <c r="V3411" s="44">
        <f>IF(Mecze[[#This Row],[Role]]&lt;&gt;"BR",SUMPRODUCT(Mecze[[#This Row],[/PR:90]:[/BR:90]],Brudnopis!$E$26:$J$26),0)</f>
        <v>8.247422680412371E-2</v>
      </c>
      <c r="W3411" s="44">
        <f>IF(Mecze[[#This Row],[Role]]&lt;&gt;"BR",SUMPRODUCT(Mecze[[#This Row],[/PR:90]:[/BR:90]],Brudnopis!$E$27:$J$27),0)</f>
        <v>8.505154639175258E-2</v>
      </c>
      <c r="X3411" s="44">
        <f>IF(Mecze[[#This Row],[Role]]&lt;&gt;"BR",SUMPRODUCT(Mecze[[#This Row],[/PR:90]:[/BR:90]],Brudnopis!$E$28:$J$28),0)</f>
        <v>3.0927835051546393E-2</v>
      </c>
      <c r="Y3411" s="35">
        <f>IF(Mecze[[#This Row],[Role]]="BR",Mecze[[#This Row],[/OB:90]]+Mecze[[#This Row],[/PC:90]],SUM(Mecze[[#This Row],[/PR:90]:[/BR:90]]))</f>
        <v>8.247422680412371E-2</v>
      </c>
      <c r="Z3411" s="35">
        <f>IF(Mecze[[#This Row],[KC]]=0,SUM(Mecze[[#This Row],[/BRI]:[/NPI]]),SUM(Mecze[[#This Row],[/BRI]:[/NPI]])*0.6)</f>
        <v>0.37886597938144329</v>
      </c>
      <c r="AA3411" s="10">
        <f>IFERROR(Mecze[[#This Row],[BR]]/Mecze[[#This Row],[ST]],0)</f>
        <v>0</v>
      </c>
      <c r="AB3411">
        <f>ROUND(Mecze[[#This Row],[PD]]*Mecze[[#This Row],[%PC]],0)</f>
        <v>3</v>
      </c>
      <c r="AC3411">
        <f>ROUND(Mecze[[#This Row],[OD]]*Mecze[[#This Row],[%OU]],0)</f>
        <v>0</v>
      </c>
      <c r="AD3411" s="36" t="s">
        <v>41</v>
      </c>
      <c r="AE3411" s="36">
        <v>191</v>
      </c>
      <c r="AF3411" s="71">
        <v>3.75</v>
      </c>
      <c r="AG3411" s="37">
        <v>0</v>
      </c>
      <c r="AH3411" s="37">
        <v>0</v>
      </c>
      <c r="AI3411" s="37">
        <v>97</v>
      </c>
      <c r="AJ3411" s="37">
        <v>1</v>
      </c>
      <c r="AK3411" s="37" t="str">
        <f>VLOOKUP(Mecze[[#This Row],[Match ID]],Meczusie[Mecz]:Meczusie[RodzajMeczu],2,FALSE)</f>
        <v>Towarzyski</v>
      </c>
    </row>
    <row r="3412" spans="1:37" x14ac:dyDescent="0.25">
      <c r="A3412" s="76">
        <v>40</v>
      </c>
      <c r="B3412" s="3" t="s">
        <v>453</v>
      </c>
      <c r="C3412" s="2" t="s">
        <v>160</v>
      </c>
      <c r="D3412" s="1">
        <v>0</v>
      </c>
      <c r="E3412" s="1">
        <v>0</v>
      </c>
      <c r="F3412" s="1">
        <v>0</v>
      </c>
      <c r="G3412" s="1">
        <v>9</v>
      </c>
      <c r="H3412" s="4">
        <v>0.44</v>
      </c>
      <c r="I3412" s="1">
        <v>11</v>
      </c>
      <c r="J3412" s="4">
        <v>0.27</v>
      </c>
      <c r="K3412" s="1">
        <v>0</v>
      </c>
      <c r="L3412" s="1">
        <v>5</v>
      </c>
      <c r="M3412" s="32">
        <f>IF(Mecze[[#This Row],[PR]]=0,0,Mecze[[#This Row],[PR]]/Mecze[[#This Row],[CZAS]])</f>
        <v>5.1546391752577317E-2</v>
      </c>
      <c r="N3412" s="32">
        <f>IF(Mecze[[#This Row],[OU]]=0,0,Mecze[[#This Row],[OU]]/Mecze[[#This Row],[CZAS]])</f>
        <v>3.0927835051546393E-2</v>
      </c>
      <c r="O3412" s="32">
        <f>IF(Mecze[[#This Row],[PC]]=0,0,Mecze[[#This Row],[PC]]/Mecze[[#This Row],[CZAS]])</f>
        <v>4.1237113402061855E-2</v>
      </c>
      <c r="P3412" s="32">
        <f>IF(Mecze[[#This Row],[SC]]=0,0,Mecze[[#This Row],[SC]]/Mecze[[#This Row],[CZAS]])</f>
        <v>0</v>
      </c>
      <c r="Q3412" s="32">
        <f>IF(Mecze[[#This Row],[OB]]=0,0,Mecze[[#This Row],[OB]]/Mecze[[#This Row],[CZAS]])</f>
        <v>0</v>
      </c>
      <c r="R3412" s="32">
        <f>IF(Mecze[[#This Row],[BR]]=0,0,Mecze[[#This Row],[BR]]/Mecze[[#This Row],[CZAS]])</f>
        <v>0</v>
      </c>
      <c r="S3412" s="44">
        <f>IF(Mecze[[#This Row],[Role]]="BR",SUMPRODUCT(Mecze[[#This Row],[/PR:90]:[/BR:90]],Brudnopis!$E$23:$J$23),0)</f>
        <v>0</v>
      </c>
      <c r="T3412" s="44">
        <f>IF(Mecze[[#This Row],[Role]]&lt;&gt;"BR",SUMPRODUCT(Mecze[[#This Row],[/PR:90]:[/BR:90]],Brudnopis!$E$24:$J$24),0)</f>
        <v>0.13917525773195877</v>
      </c>
      <c r="U3412" s="44">
        <f>IF(Mecze[[#This Row],[Role]]&lt;&gt;"BR",SUMPRODUCT(Mecze[[#This Row],[/PR:90]:[/BR:90]],Brudnopis!$E$25:$J$25),0)</f>
        <v>0.14432989690721648</v>
      </c>
      <c r="V3412" s="44">
        <f>IF(Mecze[[#This Row],[Role]]&lt;&gt;"BR",SUMPRODUCT(Mecze[[#This Row],[/PR:90]:[/BR:90]],Brudnopis!$E$26:$J$26),0)</f>
        <v>0.12371134020618557</v>
      </c>
      <c r="W3412" s="44">
        <f>IF(Mecze[[#This Row],[Role]]&lt;&gt;"BR",SUMPRODUCT(Mecze[[#This Row],[/PR:90]:[/BR:90]],Brudnopis!$E$27:$J$27),0)</f>
        <v>0.12371134020618557</v>
      </c>
      <c r="X3412" s="44">
        <f>IF(Mecze[[#This Row],[Role]]&lt;&gt;"BR",SUMPRODUCT(Mecze[[#This Row],[/PR:90]:[/BR:90]],Brudnopis!$E$28:$J$28),0)</f>
        <v>4.1237113402061855E-2</v>
      </c>
      <c r="Y3412" s="35">
        <f>IF(Mecze[[#This Row],[Role]]="BR",Mecze[[#This Row],[/OB:90]]+Mecze[[#This Row],[/PC:90]],SUM(Mecze[[#This Row],[/PR:90]:[/BR:90]]))</f>
        <v>0.12371134020618557</v>
      </c>
      <c r="Z3412" s="35">
        <f>IF(Mecze[[#This Row],[KC]]=0,SUM(Mecze[[#This Row],[/BRI]:[/NPI]]),SUM(Mecze[[#This Row],[/BRI]:[/NPI]])*0.6)</f>
        <v>0.57216494845360821</v>
      </c>
      <c r="AA3412" s="10">
        <f>IFERROR(Mecze[[#This Row],[BR]]/Mecze[[#This Row],[ST]],0)</f>
        <v>0</v>
      </c>
      <c r="AB3412">
        <f>ROUND(Mecze[[#This Row],[PD]]*Mecze[[#This Row],[%PC]],0)</f>
        <v>4</v>
      </c>
      <c r="AC3412">
        <f>ROUND(Mecze[[#This Row],[OD]]*Mecze[[#This Row],[%OU]],0)</f>
        <v>3</v>
      </c>
      <c r="AD3412" s="36" t="s">
        <v>41</v>
      </c>
      <c r="AE3412" s="36">
        <v>191</v>
      </c>
      <c r="AF3412" s="71">
        <v>3.75</v>
      </c>
      <c r="AG3412" s="37">
        <v>0</v>
      </c>
      <c r="AH3412" s="37">
        <v>0</v>
      </c>
      <c r="AI3412" s="37">
        <v>97</v>
      </c>
      <c r="AJ3412" s="37">
        <v>1</v>
      </c>
      <c r="AK3412" s="37" t="str">
        <f>VLOOKUP(Mecze[[#This Row],[Match ID]],Meczusie[Mecz]:Meczusie[RodzajMeczu],2,FALSE)</f>
        <v>Towarzyski</v>
      </c>
    </row>
    <row r="3413" spans="1:37" x14ac:dyDescent="0.25">
      <c r="A3413" s="76">
        <v>25</v>
      </c>
      <c r="B3413" s="3" t="s">
        <v>366</v>
      </c>
      <c r="C3413" s="2" t="s">
        <v>160</v>
      </c>
      <c r="D3413" s="1">
        <v>0</v>
      </c>
      <c r="E3413" s="1">
        <v>0</v>
      </c>
      <c r="F3413" s="1">
        <v>0</v>
      </c>
      <c r="G3413" s="1">
        <v>8</v>
      </c>
      <c r="H3413" s="4">
        <v>0.13</v>
      </c>
      <c r="I3413" s="1">
        <v>3</v>
      </c>
      <c r="J3413" s="4">
        <v>0.33</v>
      </c>
      <c r="K3413" s="1">
        <v>0</v>
      </c>
      <c r="L3413" s="1">
        <v>4</v>
      </c>
      <c r="M3413" s="32">
        <f>IF(Mecze[[#This Row],[PR]]=0,0,Mecze[[#This Row],[PR]]/Mecze[[#This Row],[CZAS]])</f>
        <v>4.1237113402061855E-2</v>
      </c>
      <c r="N3413" s="32">
        <f>IF(Mecze[[#This Row],[OU]]=0,0,Mecze[[#This Row],[OU]]/Mecze[[#This Row],[CZAS]])</f>
        <v>1.0309278350515464E-2</v>
      </c>
      <c r="O3413" s="32">
        <f>IF(Mecze[[#This Row],[PC]]=0,0,Mecze[[#This Row],[PC]]/Mecze[[#This Row],[CZAS]])</f>
        <v>1.0309278350515464E-2</v>
      </c>
      <c r="P3413" s="32">
        <f>IF(Mecze[[#This Row],[SC]]=0,0,Mecze[[#This Row],[SC]]/Mecze[[#This Row],[CZAS]])</f>
        <v>0</v>
      </c>
      <c r="Q3413" s="32">
        <f>IF(Mecze[[#This Row],[OB]]=0,0,Mecze[[#This Row],[OB]]/Mecze[[#This Row],[CZAS]])</f>
        <v>0</v>
      </c>
      <c r="R3413" s="32">
        <f>IF(Mecze[[#This Row],[BR]]=0,0,Mecze[[#This Row],[BR]]/Mecze[[#This Row],[CZAS]])</f>
        <v>0</v>
      </c>
      <c r="S3413" s="44">
        <f>IF(Mecze[[#This Row],[Role]]="BR",SUMPRODUCT(Mecze[[#This Row],[/PR:90]:[/BR:90]],Brudnopis!$E$23:$J$23),0)</f>
        <v>0</v>
      </c>
      <c r="T3413" s="44">
        <f>IF(Mecze[[#This Row],[Role]]&lt;&gt;"BR",SUMPRODUCT(Mecze[[#This Row],[/PR:90]:[/BR:90]],Brudnopis!$E$24:$J$24),0)</f>
        <v>6.7010309278350513E-2</v>
      </c>
      <c r="U3413" s="44">
        <f>IF(Mecze[[#This Row],[Role]]&lt;&gt;"BR",SUMPRODUCT(Mecze[[#This Row],[/PR:90]:[/BR:90]],Brudnopis!$E$25:$J$25),0)</f>
        <v>6.7010309278350513E-2</v>
      </c>
      <c r="V3413" s="44">
        <f>IF(Mecze[[#This Row],[Role]]&lt;&gt;"BR",SUMPRODUCT(Mecze[[#This Row],[/PR:90]:[/BR:90]],Brudnopis!$E$26:$J$26),0)</f>
        <v>6.1855670103092779E-2</v>
      </c>
      <c r="W3413" s="44">
        <f>IF(Mecze[[#This Row],[Role]]&lt;&gt;"BR",SUMPRODUCT(Mecze[[#This Row],[/PR:90]:[/BR:90]],Brudnopis!$E$27:$J$27),0)</f>
        <v>5.4123711340206188E-2</v>
      </c>
      <c r="X3413" s="44">
        <f>IF(Mecze[[#This Row],[Role]]&lt;&gt;"BR",SUMPRODUCT(Mecze[[#This Row],[/PR:90]:[/BR:90]],Brudnopis!$E$28:$J$28),0)</f>
        <v>1.0309278350515464E-2</v>
      </c>
      <c r="Y3413" s="35">
        <f>IF(Mecze[[#This Row],[Role]]="BR",Mecze[[#This Row],[/OB:90]]+Mecze[[#This Row],[/PC:90]],SUM(Mecze[[#This Row],[/PR:90]:[/BR:90]]))</f>
        <v>6.1855670103092779E-2</v>
      </c>
      <c r="Z3413" s="35">
        <f>IF(Mecze[[#This Row],[KC]]=0,SUM(Mecze[[#This Row],[/BRI]:[/NPI]]),SUM(Mecze[[#This Row],[/BRI]:[/NPI]])*0.6)</f>
        <v>0.26030927835051548</v>
      </c>
      <c r="AA3413" s="10">
        <f>IFERROR(Mecze[[#This Row],[BR]]/Mecze[[#This Row],[ST]],0)</f>
        <v>0</v>
      </c>
      <c r="AB3413">
        <f>ROUND(Mecze[[#This Row],[PD]]*Mecze[[#This Row],[%PC]],0)</f>
        <v>1</v>
      </c>
      <c r="AC3413">
        <f>ROUND(Mecze[[#This Row],[OD]]*Mecze[[#This Row],[%OU]],0)</f>
        <v>1</v>
      </c>
      <c r="AD3413" s="36" t="s">
        <v>44</v>
      </c>
      <c r="AE3413" s="36">
        <v>191</v>
      </c>
      <c r="AF3413" s="71">
        <v>2.4300000000000002</v>
      </c>
      <c r="AG3413" s="37">
        <v>1</v>
      </c>
      <c r="AH3413" s="37">
        <v>0</v>
      </c>
      <c r="AI3413" s="37">
        <v>97</v>
      </c>
      <c r="AJ3413" s="37">
        <v>1</v>
      </c>
      <c r="AK3413" s="37" t="str">
        <f>VLOOKUP(Mecze[[#This Row],[Match ID]],Meczusie[Mecz]:Meczusie[RodzajMeczu],2,FALSE)</f>
        <v>Towarzyski</v>
      </c>
    </row>
    <row r="3414" spans="1:37" x14ac:dyDescent="0.25">
      <c r="A3414" s="76">
        <v>45</v>
      </c>
      <c r="B3414" s="3" t="s">
        <v>394</v>
      </c>
      <c r="C3414" s="2" t="s">
        <v>160</v>
      </c>
      <c r="D3414" s="1">
        <v>0</v>
      </c>
      <c r="E3414" s="1">
        <v>0</v>
      </c>
      <c r="F3414" s="1">
        <v>0</v>
      </c>
      <c r="G3414" s="1">
        <v>1</v>
      </c>
      <c r="H3414" s="4">
        <v>0</v>
      </c>
      <c r="I3414" s="1">
        <v>4</v>
      </c>
      <c r="J3414" s="4">
        <v>0</v>
      </c>
      <c r="K3414" s="1">
        <v>0</v>
      </c>
      <c r="L3414" s="1">
        <v>1</v>
      </c>
      <c r="M3414" s="32">
        <f>IF(Mecze[[#This Row],[PR]]=0,0,Mecze[[#This Row],[PR]]/Mecze[[#This Row],[CZAS]])</f>
        <v>1.0309278350515464E-2</v>
      </c>
      <c r="N3414" s="32">
        <f>IF(Mecze[[#This Row],[OU]]=0,0,Mecze[[#This Row],[OU]]/Mecze[[#This Row],[CZAS]])</f>
        <v>0</v>
      </c>
      <c r="O3414" s="32">
        <f>IF(Mecze[[#This Row],[PC]]=0,0,Mecze[[#This Row],[PC]]/Mecze[[#This Row],[CZAS]])</f>
        <v>0</v>
      </c>
      <c r="P3414" s="32">
        <f>IF(Mecze[[#This Row],[SC]]=0,0,Mecze[[#This Row],[SC]]/Mecze[[#This Row],[CZAS]])</f>
        <v>0</v>
      </c>
      <c r="Q3414" s="32">
        <f>IF(Mecze[[#This Row],[OB]]=0,0,Mecze[[#This Row],[OB]]/Mecze[[#This Row],[CZAS]])</f>
        <v>0</v>
      </c>
      <c r="R3414" s="32">
        <f>IF(Mecze[[#This Row],[BR]]=0,0,Mecze[[#This Row],[BR]]/Mecze[[#This Row],[CZAS]])</f>
        <v>0</v>
      </c>
      <c r="S3414" s="44">
        <f>IF(Mecze[[#This Row],[Role]]="BR",SUMPRODUCT(Mecze[[#This Row],[/PR:90]:[/BR:90]],Brudnopis!$E$23:$J$23),0)</f>
        <v>0</v>
      </c>
      <c r="T3414" s="44">
        <f>IF(Mecze[[#This Row],[Role]]&lt;&gt;"BR",SUMPRODUCT(Mecze[[#This Row],[/PR:90]:[/BR:90]],Brudnopis!$E$24:$J$24),0)</f>
        <v>1.0309278350515464E-2</v>
      </c>
      <c r="U3414" s="44">
        <f>IF(Mecze[[#This Row],[Role]]&lt;&gt;"BR",SUMPRODUCT(Mecze[[#This Row],[/PR:90]:[/BR:90]],Brudnopis!$E$25:$J$25),0)</f>
        <v>1.0309278350515464E-2</v>
      </c>
      <c r="V3414" s="44">
        <f>IF(Mecze[[#This Row],[Role]]&lt;&gt;"BR",SUMPRODUCT(Mecze[[#This Row],[/PR:90]:[/BR:90]],Brudnopis!$E$26:$J$26),0)</f>
        <v>1.0309278350515464E-2</v>
      </c>
      <c r="W3414" s="44">
        <f>IF(Mecze[[#This Row],[Role]]&lt;&gt;"BR",SUMPRODUCT(Mecze[[#This Row],[/PR:90]:[/BR:90]],Brudnopis!$E$27:$J$27),0)</f>
        <v>7.7319587628865982E-3</v>
      </c>
      <c r="X3414" s="44">
        <f>IF(Mecze[[#This Row],[Role]]&lt;&gt;"BR",SUMPRODUCT(Mecze[[#This Row],[/PR:90]:[/BR:90]],Brudnopis!$E$28:$J$28),0)</f>
        <v>0</v>
      </c>
      <c r="Y3414" s="35">
        <f>IF(Mecze[[#This Row],[Role]]="BR",Mecze[[#This Row],[/OB:90]]+Mecze[[#This Row],[/PC:90]],SUM(Mecze[[#This Row],[/PR:90]:[/BR:90]]))</f>
        <v>1.0309278350515464E-2</v>
      </c>
      <c r="Z3414" s="35">
        <f>IF(Mecze[[#This Row],[KC]]=0,SUM(Mecze[[#This Row],[/BRI]:[/NPI]]),SUM(Mecze[[#This Row],[/BRI]:[/NPI]])*0.6)</f>
        <v>3.8659793814432991E-2</v>
      </c>
      <c r="AA3414" s="10">
        <f>IFERROR(Mecze[[#This Row],[BR]]/Mecze[[#This Row],[ST]],0)</f>
        <v>0</v>
      </c>
      <c r="AB3414">
        <f>ROUND(Mecze[[#This Row],[PD]]*Mecze[[#This Row],[%PC]],0)</f>
        <v>0</v>
      </c>
      <c r="AC3414">
        <f>ROUND(Mecze[[#This Row],[OD]]*Mecze[[#This Row],[%OU]],0)</f>
        <v>0</v>
      </c>
      <c r="AD3414" s="36" t="s">
        <v>44</v>
      </c>
      <c r="AE3414" s="36">
        <v>191</v>
      </c>
      <c r="AF3414" s="71">
        <v>2.91</v>
      </c>
      <c r="AG3414" s="37">
        <v>0</v>
      </c>
      <c r="AH3414" s="37">
        <v>0</v>
      </c>
      <c r="AI3414" s="37">
        <v>97</v>
      </c>
      <c r="AJ3414" s="37">
        <v>1</v>
      </c>
      <c r="AK3414" s="37" t="str">
        <f>VLOOKUP(Mecze[[#This Row],[Match ID]],Meczusie[Mecz]:Meczusie[RodzajMeczu],2,FALSE)</f>
        <v>Towarzyski</v>
      </c>
    </row>
    <row r="3415" spans="1:37" x14ac:dyDescent="0.25">
      <c r="A3415" s="76">
        <v>31</v>
      </c>
      <c r="B3415" s="3" t="s">
        <v>365</v>
      </c>
      <c r="C3415" s="2" t="s">
        <v>165</v>
      </c>
      <c r="D3415" s="1">
        <v>0</v>
      </c>
      <c r="E3415" s="1">
        <v>1</v>
      </c>
      <c r="F3415" s="1">
        <v>1</v>
      </c>
      <c r="G3415" s="1">
        <v>3</v>
      </c>
      <c r="H3415" s="4">
        <v>0.33</v>
      </c>
      <c r="I3415" s="1">
        <v>3</v>
      </c>
      <c r="J3415" s="4">
        <v>0.33</v>
      </c>
      <c r="K3415" s="1">
        <v>0</v>
      </c>
      <c r="L3415" s="1">
        <v>1</v>
      </c>
      <c r="M3415" s="32">
        <f>IF(Mecze[[#This Row],[PR]]=0,0,Mecze[[#This Row],[PR]]/Mecze[[#This Row],[CZAS]])</f>
        <v>1.0309278350515464E-2</v>
      </c>
      <c r="N3415" s="32">
        <f>IF(Mecze[[#This Row],[OU]]=0,0,Mecze[[#This Row],[OU]]/Mecze[[#This Row],[CZAS]])</f>
        <v>1.0309278350515464E-2</v>
      </c>
      <c r="O3415" s="32">
        <f>IF(Mecze[[#This Row],[PC]]=0,0,Mecze[[#This Row],[PC]]/Mecze[[#This Row],[CZAS]])</f>
        <v>1.0309278350515464E-2</v>
      </c>
      <c r="P3415" s="32">
        <f>IF(Mecze[[#This Row],[SC]]=0,0,Mecze[[#This Row],[SC]]/Mecze[[#This Row],[CZAS]])</f>
        <v>1.0309278350515464E-2</v>
      </c>
      <c r="Q3415" s="32">
        <f>IF(Mecze[[#This Row],[OB]]=0,0,Mecze[[#This Row],[OB]]/Mecze[[#This Row],[CZAS]])</f>
        <v>0</v>
      </c>
      <c r="R3415" s="32">
        <f>IF(Mecze[[#This Row],[BR]]=0,0,Mecze[[#This Row],[BR]]/Mecze[[#This Row],[CZAS]])</f>
        <v>0</v>
      </c>
      <c r="S3415" s="44">
        <f>IF(Mecze[[#This Row],[Role]]="BR",SUMPRODUCT(Mecze[[#This Row],[/PR:90]:[/BR:90]],Brudnopis!$E$23:$J$23),0)</f>
        <v>0</v>
      </c>
      <c r="T3415" s="44">
        <f>IF(Mecze[[#This Row],[Role]]&lt;&gt;"BR",SUMPRODUCT(Mecze[[#This Row],[/PR:90]:[/BR:90]],Brudnopis!$E$24:$J$24),0)</f>
        <v>4.6391752577319582E-2</v>
      </c>
      <c r="U3415" s="44">
        <f>IF(Mecze[[#This Row],[Role]]&lt;&gt;"BR",SUMPRODUCT(Mecze[[#This Row],[/PR:90]:[/BR:90]],Brudnopis!$E$25:$J$25),0)</f>
        <v>4.6391752577319582E-2</v>
      </c>
      <c r="V3415" s="44">
        <f>IF(Mecze[[#This Row],[Role]]&lt;&gt;"BR",SUMPRODUCT(Mecze[[#This Row],[/PR:90]:[/BR:90]],Brudnopis!$E$26:$J$26),0)</f>
        <v>4.1237113402061855E-2</v>
      </c>
      <c r="W3415" s="44">
        <f>IF(Mecze[[#This Row],[Role]]&lt;&gt;"BR",SUMPRODUCT(Mecze[[#This Row],[/PR:90]:[/BR:90]],Brudnopis!$E$27:$J$27),0)</f>
        <v>4.1237113402061855E-2</v>
      </c>
      <c r="X3415" s="44">
        <f>IF(Mecze[[#This Row],[Role]]&lt;&gt;"BR",SUMPRODUCT(Mecze[[#This Row],[/PR:90]:[/BR:90]],Brudnopis!$E$28:$J$28),0)</f>
        <v>3.0927835051546393E-2</v>
      </c>
      <c r="Y3415" s="35">
        <f>IF(Mecze[[#This Row],[Role]]="BR",Mecze[[#This Row],[/OB:90]]+Mecze[[#This Row],[/PC:90]],SUM(Mecze[[#This Row],[/PR:90]:[/BR:90]]))</f>
        <v>4.1237113402061855E-2</v>
      </c>
      <c r="Z3415" s="35">
        <f>IF(Mecze[[#This Row],[KC]]=0,SUM(Mecze[[#This Row],[/BRI]:[/NPI]]),SUM(Mecze[[#This Row],[/BRI]:[/NPI]])*0.6)</f>
        <v>0.20618556701030927</v>
      </c>
      <c r="AA3415" s="10">
        <f>IFERROR(Mecze[[#This Row],[BR]]/Mecze[[#This Row],[ST]],0)</f>
        <v>0</v>
      </c>
      <c r="AB3415">
        <f>ROUND(Mecze[[#This Row],[PD]]*Mecze[[#This Row],[%PC]],0)</f>
        <v>1</v>
      </c>
      <c r="AC3415">
        <f>ROUND(Mecze[[#This Row],[OD]]*Mecze[[#This Row],[%OU]],0)</f>
        <v>1</v>
      </c>
      <c r="AD3415" s="36" t="s">
        <v>46</v>
      </c>
      <c r="AE3415" s="36">
        <v>191</v>
      </c>
      <c r="AF3415" s="71">
        <v>2.93</v>
      </c>
      <c r="AG3415" s="37">
        <v>0</v>
      </c>
      <c r="AH3415" s="37">
        <v>0</v>
      </c>
      <c r="AI3415" s="37">
        <v>97</v>
      </c>
      <c r="AJ3415" s="37">
        <v>1</v>
      </c>
      <c r="AK3415" s="37" t="str">
        <f>VLOOKUP(Mecze[[#This Row],[Match ID]],Meczusie[Mecz]:Meczusie[RodzajMeczu],2,FALSE)</f>
        <v>Towarzyski</v>
      </c>
    </row>
    <row r="3416" spans="1:37" x14ac:dyDescent="0.25">
      <c r="A3416" s="76">
        <v>51</v>
      </c>
      <c r="B3416" s="3" t="s">
        <v>517</v>
      </c>
      <c r="C3416" s="2" t="s">
        <v>165</v>
      </c>
      <c r="D3416" s="1">
        <v>0</v>
      </c>
      <c r="E3416" s="1">
        <v>3</v>
      </c>
      <c r="F3416" s="1">
        <v>2</v>
      </c>
      <c r="G3416" s="1">
        <v>7</v>
      </c>
      <c r="H3416" s="4">
        <v>0.86</v>
      </c>
      <c r="I3416" s="1">
        <v>3</v>
      </c>
      <c r="J3416" s="4">
        <v>0</v>
      </c>
      <c r="K3416" s="1">
        <v>0</v>
      </c>
      <c r="L3416" s="1">
        <v>0</v>
      </c>
      <c r="M3416" s="32">
        <f>IF(Mecze[[#This Row],[PR]]=0,0,Mecze[[#This Row],[PR]]/Mecze[[#This Row],[CZAS]])</f>
        <v>0</v>
      </c>
      <c r="N3416" s="32">
        <f>IF(Mecze[[#This Row],[OU]]=0,0,Mecze[[#This Row],[OU]]/Mecze[[#This Row],[CZAS]])</f>
        <v>0</v>
      </c>
      <c r="O3416" s="32">
        <f>IF(Mecze[[#This Row],[PC]]=0,0,Mecze[[#This Row],[PC]]/Mecze[[#This Row],[CZAS]])</f>
        <v>6.1855670103092786E-2</v>
      </c>
      <c r="P3416" s="32">
        <f>IF(Mecze[[#This Row],[SC]]=0,0,Mecze[[#This Row],[SC]]/Mecze[[#This Row],[CZAS]])</f>
        <v>2.0618556701030927E-2</v>
      </c>
      <c r="Q3416" s="32">
        <f>IF(Mecze[[#This Row],[OB]]=0,0,Mecze[[#This Row],[OB]]/Mecze[[#This Row],[CZAS]])</f>
        <v>0</v>
      </c>
      <c r="R3416" s="32">
        <f>IF(Mecze[[#This Row],[BR]]=0,0,Mecze[[#This Row],[BR]]/Mecze[[#This Row],[CZAS]])</f>
        <v>0</v>
      </c>
      <c r="S3416" s="44">
        <f>IF(Mecze[[#This Row],[Role]]="BR",SUMPRODUCT(Mecze[[#This Row],[/PR:90]:[/BR:90]],Brudnopis!$E$23:$J$23),0)</f>
        <v>0</v>
      </c>
      <c r="T3416" s="44">
        <f>IF(Mecze[[#This Row],[Role]]&lt;&gt;"BR",SUMPRODUCT(Mecze[[#This Row],[/PR:90]:[/BR:90]],Brudnopis!$E$24:$J$24),0)</f>
        <v>8.247422680412371E-2</v>
      </c>
      <c r="U3416" s="44">
        <f>IF(Mecze[[#This Row],[Role]]&lt;&gt;"BR",SUMPRODUCT(Mecze[[#This Row],[/PR:90]:[/BR:90]],Brudnopis!$E$25:$J$25),0)</f>
        <v>0.1134020618556701</v>
      </c>
      <c r="V3416" s="44">
        <f>IF(Mecze[[#This Row],[Role]]&lt;&gt;"BR",SUMPRODUCT(Mecze[[#This Row],[/PR:90]:[/BR:90]],Brudnopis!$E$26:$J$26),0)</f>
        <v>8.247422680412371E-2</v>
      </c>
      <c r="W3416" s="44">
        <f>IF(Mecze[[#This Row],[Role]]&lt;&gt;"BR",SUMPRODUCT(Mecze[[#This Row],[/PR:90]:[/BR:90]],Brudnopis!$E$27:$J$27),0)</f>
        <v>0.1134020618556701</v>
      </c>
      <c r="X3416" s="44">
        <f>IF(Mecze[[#This Row],[Role]]&lt;&gt;"BR",SUMPRODUCT(Mecze[[#This Row],[/PR:90]:[/BR:90]],Brudnopis!$E$28:$J$28),0)</f>
        <v>0.10309278350515463</v>
      </c>
      <c r="Y3416" s="35">
        <f>IF(Mecze[[#This Row],[Role]]="BR",Mecze[[#This Row],[/OB:90]]+Mecze[[#This Row],[/PC:90]],SUM(Mecze[[#This Row],[/PR:90]:[/BR:90]]))</f>
        <v>8.247422680412371E-2</v>
      </c>
      <c r="Z3416" s="35">
        <f>IF(Mecze[[#This Row],[KC]]=0,SUM(Mecze[[#This Row],[/BRI]:[/NPI]]),SUM(Mecze[[#This Row],[/BRI]:[/NPI]])*0.6)</f>
        <v>0.49484536082474229</v>
      </c>
      <c r="AA3416" s="10">
        <f>IFERROR(Mecze[[#This Row],[BR]]/Mecze[[#This Row],[ST]],0)</f>
        <v>0</v>
      </c>
      <c r="AB3416">
        <f>ROUND(Mecze[[#This Row],[PD]]*Mecze[[#This Row],[%PC]],0)</f>
        <v>6</v>
      </c>
      <c r="AC3416">
        <f>ROUND(Mecze[[#This Row],[OD]]*Mecze[[#This Row],[%OU]],0)</f>
        <v>0</v>
      </c>
      <c r="AD3416" s="36" t="s">
        <v>46</v>
      </c>
      <c r="AE3416" s="36">
        <v>191</v>
      </c>
      <c r="AF3416" s="71">
        <v>5.4</v>
      </c>
      <c r="AG3416" s="37">
        <v>0</v>
      </c>
      <c r="AH3416" s="37">
        <v>0</v>
      </c>
      <c r="AI3416" s="37">
        <v>97</v>
      </c>
      <c r="AJ3416" s="37">
        <v>1</v>
      </c>
      <c r="AK3416" s="37" t="str">
        <f>VLOOKUP(Mecze[[#This Row],[Match ID]],Meczusie[Mecz]:Meczusie[RodzajMeczu],2,FALSE)</f>
        <v>Towarzyski</v>
      </c>
    </row>
    <row r="3417" spans="1:37" x14ac:dyDescent="0.25">
      <c r="A3417" s="76">
        <v>46</v>
      </c>
      <c r="B3417" s="3" t="s">
        <v>395</v>
      </c>
      <c r="C3417" s="2" t="s">
        <v>165</v>
      </c>
      <c r="D3417" s="1">
        <v>0</v>
      </c>
      <c r="E3417" s="1">
        <v>3</v>
      </c>
      <c r="F3417" s="1">
        <v>2</v>
      </c>
      <c r="G3417" s="1">
        <v>2</v>
      </c>
      <c r="H3417" s="4">
        <v>0.5</v>
      </c>
      <c r="I3417" s="1">
        <v>1</v>
      </c>
      <c r="J3417" s="4">
        <v>0</v>
      </c>
      <c r="K3417" s="1">
        <v>0</v>
      </c>
      <c r="L3417" s="1">
        <v>1</v>
      </c>
      <c r="M3417" s="32">
        <f>IF(Mecze[[#This Row],[PR]]=0,0,Mecze[[#This Row],[PR]]/Mecze[[#This Row],[CZAS]])</f>
        <v>1.0309278350515464E-2</v>
      </c>
      <c r="N3417" s="32">
        <f>IF(Mecze[[#This Row],[OU]]=0,0,Mecze[[#This Row],[OU]]/Mecze[[#This Row],[CZAS]])</f>
        <v>0</v>
      </c>
      <c r="O3417" s="32">
        <f>IF(Mecze[[#This Row],[PC]]=0,0,Mecze[[#This Row],[PC]]/Mecze[[#This Row],[CZAS]])</f>
        <v>1.0309278350515464E-2</v>
      </c>
      <c r="P3417" s="32">
        <f>IF(Mecze[[#This Row],[SC]]=0,0,Mecze[[#This Row],[SC]]/Mecze[[#This Row],[CZAS]])</f>
        <v>2.0618556701030927E-2</v>
      </c>
      <c r="Q3417" s="32">
        <f>IF(Mecze[[#This Row],[OB]]=0,0,Mecze[[#This Row],[OB]]/Mecze[[#This Row],[CZAS]])</f>
        <v>0</v>
      </c>
      <c r="R3417" s="32">
        <f>IF(Mecze[[#This Row],[BR]]=0,0,Mecze[[#This Row],[BR]]/Mecze[[#This Row],[CZAS]])</f>
        <v>0</v>
      </c>
      <c r="S3417" s="44">
        <f>IF(Mecze[[#This Row],[Role]]="BR",SUMPRODUCT(Mecze[[#This Row],[/PR:90]:[/BR:90]],Brudnopis!$E$23:$J$23),0)</f>
        <v>0</v>
      </c>
      <c r="T3417" s="44">
        <f>IF(Mecze[[#This Row],[Role]]&lt;&gt;"BR",SUMPRODUCT(Mecze[[#This Row],[/PR:90]:[/BR:90]],Brudnopis!$E$24:$J$24),0)</f>
        <v>4.1237113402061855E-2</v>
      </c>
      <c r="U3417" s="44">
        <f>IF(Mecze[[#This Row],[Role]]&lt;&gt;"BR",SUMPRODUCT(Mecze[[#This Row],[/PR:90]:[/BR:90]],Brudnopis!$E$25:$J$25),0)</f>
        <v>4.6391752577319589E-2</v>
      </c>
      <c r="V3417" s="44">
        <f>IF(Mecze[[#This Row],[Role]]&lt;&gt;"BR",SUMPRODUCT(Mecze[[#This Row],[/PR:90]:[/BR:90]],Brudnopis!$E$26:$J$26),0)</f>
        <v>4.1237113402061855E-2</v>
      </c>
      <c r="W3417" s="44">
        <f>IF(Mecze[[#This Row],[Role]]&lt;&gt;"BR",SUMPRODUCT(Mecze[[#This Row],[/PR:90]:[/BR:90]],Brudnopis!$E$27:$J$27),0)</f>
        <v>4.3814432989690719E-2</v>
      </c>
      <c r="X3417" s="44">
        <f>IF(Mecze[[#This Row],[Role]]&lt;&gt;"BR",SUMPRODUCT(Mecze[[#This Row],[/PR:90]:[/BR:90]],Brudnopis!$E$28:$J$28),0)</f>
        <v>5.1546391752577317E-2</v>
      </c>
      <c r="Y3417" s="35">
        <f>IF(Mecze[[#This Row],[Role]]="BR",Mecze[[#This Row],[/OB:90]]+Mecze[[#This Row],[/PC:90]],SUM(Mecze[[#This Row],[/PR:90]:[/BR:90]]))</f>
        <v>4.1237113402061855E-2</v>
      </c>
      <c r="Z3417" s="35">
        <f>IF(Mecze[[#This Row],[KC]]=0,SUM(Mecze[[#This Row],[/BRI]:[/NPI]]),SUM(Mecze[[#This Row],[/BRI]:[/NPI]])*0.6)</f>
        <v>0.22422680412371132</v>
      </c>
      <c r="AA3417" s="10">
        <f>IFERROR(Mecze[[#This Row],[BR]]/Mecze[[#This Row],[ST]],0)</f>
        <v>0</v>
      </c>
      <c r="AB3417">
        <f>ROUND(Mecze[[#This Row],[PD]]*Mecze[[#This Row],[%PC]],0)</f>
        <v>1</v>
      </c>
      <c r="AC3417">
        <f>ROUND(Mecze[[#This Row],[OD]]*Mecze[[#This Row],[%OU]],0)</f>
        <v>0</v>
      </c>
      <c r="AD3417" s="36" t="s">
        <v>46</v>
      </c>
      <c r="AE3417" s="36">
        <v>191</v>
      </c>
      <c r="AF3417" s="71">
        <v>3.15</v>
      </c>
      <c r="AG3417" s="37">
        <v>0</v>
      </c>
      <c r="AH3417" s="37">
        <v>0</v>
      </c>
      <c r="AI3417" s="37">
        <v>97</v>
      </c>
      <c r="AJ3417" s="37">
        <v>1</v>
      </c>
      <c r="AK3417" s="37" t="str">
        <f>VLOOKUP(Mecze[[#This Row],[Match ID]],Meczusie[Mecz]:Meczusie[RodzajMeczu],2,FALSE)</f>
        <v>Towarzyski</v>
      </c>
    </row>
    <row r="3418" spans="1:37" x14ac:dyDescent="0.25">
      <c r="A3418" s="76">
        <v>39</v>
      </c>
      <c r="B3418" s="3" t="s">
        <v>450</v>
      </c>
      <c r="C3418" s="2" t="s">
        <v>155</v>
      </c>
      <c r="D3418" s="1">
        <v>0</v>
      </c>
      <c r="E3418" s="1">
        <v>0</v>
      </c>
      <c r="F3418" s="1">
        <v>0</v>
      </c>
      <c r="G3418" s="1">
        <v>12</v>
      </c>
      <c r="H3418" s="4">
        <v>0.57999999999999996</v>
      </c>
      <c r="I3418" s="1">
        <v>0</v>
      </c>
      <c r="J3418" s="4"/>
      <c r="K3418" s="1">
        <v>8</v>
      </c>
      <c r="L3418" s="1">
        <v>0</v>
      </c>
      <c r="M3418" s="32">
        <f>IF(Mecze[[#This Row],[PR]]=0,0,Mecze[[#This Row],[PR]]/Mecze[[#This Row],[CZAS]])</f>
        <v>0</v>
      </c>
      <c r="N3418" s="32">
        <f>IF(Mecze[[#This Row],[OU]]=0,0,Mecze[[#This Row],[OU]]/Mecze[[#This Row],[CZAS]])</f>
        <v>0</v>
      </c>
      <c r="O3418" s="32">
        <f>IF(Mecze[[#This Row],[PC]]=0,0,Mecze[[#This Row],[PC]]/Mecze[[#This Row],[CZAS]])</f>
        <v>7.1428571428571425E-2</v>
      </c>
      <c r="P3418" s="32">
        <f>IF(Mecze[[#This Row],[SC]]=0,0,Mecze[[#This Row],[SC]]/Mecze[[#This Row],[CZAS]])</f>
        <v>0</v>
      </c>
      <c r="Q3418" s="32">
        <f>IF(Mecze[[#This Row],[OB]]=0,0,Mecze[[#This Row],[OB]]/Mecze[[#This Row],[CZAS]])</f>
        <v>8.1632653061224483E-2</v>
      </c>
      <c r="R3418" s="32">
        <f>IF(Mecze[[#This Row],[BR]]=0,0,Mecze[[#This Row],[BR]]/Mecze[[#This Row],[CZAS]])</f>
        <v>0</v>
      </c>
      <c r="S3418" s="44">
        <f>IF(Mecze[[#This Row],[Role]]="BR",SUMPRODUCT(Mecze[[#This Row],[/PR:90]:[/BR:90]],Brudnopis!$E$23:$J$23),0)</f>
        <v>0.45918367346938771</v>
      </c>
      <c r="T3418" s="44">
        <f>IF(Mecze[[#This Row],[Role]]&lt;&gt;"BR",SUMPRODUCT(Mecze[[#This Row],[/PR:90]:[/BR:90]],Brudnopis!$E$24:$J$24),0)</f>
        <v>0</v>
      </c>
      <c r="U3418" s="44">
        <f>IF(Mecze[[#This Row],[Role]]&lt;&gt;"BR",SUMPRODUCT(Mecze[[#This Row],[/PR:90]:[/BR:90]],Brudnopis!$E$25:$J$25),0)</f>
        <v>0</v>
      </c>
      <c r="V3418" s="44">
        <f>IF(Mecze[[#This Row],[Role]]&lt;&gt;"BR",SUMPRODUCT(Mecze[[#This Row],[/PR:90]:[/BR:90]],Brudnopis!$E$26:$J$26),0)</f>
        <v>0</v>
      </c>
      <c r="W3418" s="44">
        <f>IF(Mecze[[#This Row],[Role]]&lt;&gt;"BR",SUMPRODUCT(Mecze[[#This Row],[/PR:90]:[/BR:90]],Brudnopis!$E$27:$J$27),0)</f>
        <v>0</v>
      </c>
      <c r="X3418" s="44">
        <f>IF(Mecze[[#This Row],[Role]]&lt;&gt;"BR",SUMPRODUCT(Mecze[[#This Row],[/PR:90]:[/BR:90]],Brudnopis!$E$28:$J$28),0)</f>
        <v>0</v>
      </c>
      <c r="Y3418" s="35">
        <f>IF(Mecze[[#This Row],[Role]]="BR",Mecze[[#This Row],[/OB:90]]+Mecze[[#This Row],[/PC:90]],SUM(Mecze[[#This Row],[/PR:90]:[/BR:90]]))</f>
        <v>0.15306122448979592</v>
      </c>
      <c r="Z3418" s="35">
        <f>IF(Mecze[[#This Row],[KC]]=0,SUM(Mecze[[#This Row],[/BRI]:[/NPI]]),SUM(Mecze[[#This Row],[/BRI]:[/NPI]])*0.6)</f>
        <v>0.45918367346938771</v>
      </c>
      <c r="AA3418" s="10">
        <f>IFERROR(Mecze[[#This Row],[BR]]/Mecze[[#This Row],[ST]],0)</f>
        <v>0</v>
      </c>
      <c r="AB3418">
        <f>ROUND(Mecze[[#This Row],[PD]]*Mecze[[#This Row],[%PC]],0)</f>
        <v>7</v>
      </c>
      <c r="AC3418">
        <f>ROUND(Mecze[[#This Row],[OD]]*Mecze[[#This Row],[%OU]],0)</f>
        <v>0</v>
      </c>
      <c r="AD3418" s="36" t="s">
        <v>40</v>
      </c>
      <c r="AE3418" s="36">
        <v>192</v>
      </c>
      <c r="AF3418" s="71">
        <v>7.94</v>
      </c>
      <c r="AG3418" s="37">
        <v>0</v>
      </c>
      <c r="AH3418" s="37">
        <v>0</v>
      </c>
      <c r="AI3418" s="37">
        <v>98</v>
      </c>
      <c r="AJ3418" s="37">
        <v>1</v>
      </c>
      <c r="AK3418" s="37" t="str">
        <f>VLOOKUP(Mecze[[#This Row],[Match ID]],Meczusie[Mecz]:Meczusie[RodzajMeczu],2,FALSE)</f>
        <v>Towarzyski</v>
      </c>
    </row>
    <row r="3419" spans="1:37" x14ac:dyDescent="0.25">
      <c r="A3419" s="76">
        <v>3</v>
      </c>
      <c r="B3419" s="3" t="s">
        <v>158</v>
      </c>
      <c r="C3419" s="2" t="s">
        <v>157</v>
      </c>
      <c r="D3419" s="1">
        <v>0</v>
      </c>
      <c r="E3419" s="1">
        <v>0</v>
      </c>
      <c r="F3419" s="1">
        <v>0</v>
      </c>
      <c r="G3419" s="1">
        <v>2</v>
      </c>
      <c r="H3419" s="4">
        <v>1</v>
      </c>
      <c r="I3419" s="1">
        <v>3</v>
      </c>
      <c r="J3419" s="4">
        <v>1</v>
      </c>
      <c r="K3419" s="1">
        <v>0</v>
      </c>
      <c r="L3419" s="1">
        <v>6</v>
      </c>
      <c r="M3419" s="32">
        <f>IF(Mecze[[#This Row],[PR]]=0,0,Mecze[[#This Row],[PR]]/Mecze[[#This Row],[CZAS]])</f>
        <v>6.1224489795918366E-2</v>
      </c>
      <c r="N3419" s="32">
        <f>IF(Mecze[[#This Row],[OU]]=0,0,Mecze[[#This Row],[OU]]/Mecze[[#This Row],[CZAS]])</f>
        <v>3.0612244897959183E-2</v>
      </c>
      <c r="O3419" s="32">
        <f>IF(Mecze[[#This Row],[PC]]=0,0,Mecze[[#This Row],[PC]]/Mecze[[#This Row],[CZAS]])</f>
        <v>2.0408163265306121E-2</v>
      </c>
      <c r="P3419" s="32">
        <f>IF(Mecze[[#This Row],[SC]]=0,0,Mecze[[#This Row],[SC]]/Mecze[[#This Row],[CZAS]])</f>
        <v>0</v>
      </c>
      <c r="Q3419" s="32">
        <f>IF(Mecze[[#This Row],[OB]]=0,0,Mecze[[#This Row],[OB]]/Mecze[[#This Row],[CZAS]])</f>
        <v>0</v>
      </c>
      <c r="R3419" s="32">
        <f>IF(Mecze[[#This Row],[BR]]=0,0,Mecze[[#This Row],[BR]]/Mecze[[#This Row],[CZAS]])</f>
        <v>0</v>
      </c>
      <c r="S3419" s="44">
        <f>IF(Mecze[[#This Row],[Role]]="BR",SUMPRODUCT(Mecze[[#This Row],[/PR:90]:[/BR:90]],Brudnopis!$E$23:$J$23),0)</f>
        <v>0</v>
      </c>
      <c r="T3419" s="44">
        <f>IF(Mecze[[#This Row],[Role]]&lt;&gt;"BR",SUMPRODUCT(Mecze[[#This Row],[/PR:90]:[/BR:90]],Brudnopis!$E$24:$J$24),0)</f>
        <v>0.12755102040816327</v>
      </c>
      <c r="U3419" s="44">
        <f>IF(Mecze[[#This Row],[Role]]&lt;&gt;"BR",SUMPRODUCT(Mecze[[#This Row],[/PR:90]:[/BR:90]],Brudnopis!$E$25:$J$25),0)</f>
        <v>0.12244897959183673</v>
      </c>
      <c r="V3419" s="44">
        <f>IF(Mecze[[#This Row],[Role]]&lt;&gt;"BR",SUMPRODUCT(Mecze[[#This Row],[/PR:90]:[/BR:90]],Brudnopis!$E$26:$J$26),0)</f>
        <v>0.11224489795918366</v>
      </c>
      <c r="W3419" s="44">
        <f>IF(Mecze[[#This Row],[Role]]&lt;&gt;"BR",SUMPRODUCT(Mecze[[#This Row],[/PR:90]:[/BR:90]],Brudnopis!$E$27:$J$27),0)</f>
        <v>9.9489795918367346E-2</v>
      </c>
      <c r="X3419" s="44">
        <f>IF(Mecze[[#This Row],[Role]]&lt;&gt;"BR",SUMPRODUCT(Mecze[[#This Row],[/PR:90]:[/BR:90]],Brudnopis!$E$28:$J$28),0)</f>
        <v>2.0408163265306121E-2</v>
      </c>
      <c r="Y3419" s="35">
        <f>IF(Mecze[[#This Row],[Role]]="BR",Mecze[[#This Row],[/OB:90]]+Mecze[[#This Row],[/PC:90]],SUM(Mecze[[#This Row],[/PR:90]:[/BR:90]]))</f>
        <v>0.11224489795918366</v>
      </c>
      <c r="Z3419" s="35">
        <f>IF(Mecze[[#This Row],[KC]]=0,SUM(Mecze[[#This Row],[/BRI]:[/NPI]]),SUM(Mecze[[#This Row],[/BRI]:[/NPI]])*0.6)</f>
        <v>0.48214285714285721</v>
      </c>
      <c r="AA3419" s="10">
        <f>IFERROR(Mecze[[#This Row],[BR]]/Mecze[[#This Row],[ST]],0)</f>
        <v>0</v>
      </c>
      <c r="AB3419">
        <f>ROUND(Mecze[[#This Row],[PD]]*Mecze[[#This Row],[%PC]],0)</f>
        <v>2</v>
      </c>
      <c r="AC3419">
        <f>ROUND(Mecze[[#This Row],[OD]]*Mecze[[#This Row],[%OU]],0)</f>
        <v>3</v>
      </c>
      <c r="AD3419" s="36" t="s">
        <v>47</v>
      </c>
      <c r="AE3419" s="36">
        <v>192</v>
      </c>
      <c r="AF3419" s="71">
        <v>8.33</v>
      </c>
      <c r="AG3419" s="37">
        <v>0</v>
      </c>
      <c r="AH3419" s="37">
        <v>0</v>
      </c>
      <c r="AI3419" s="37">
        <v>98</v>
      </c>
      <c r="AJ3419" s="37">
        <v>1</v>
      </c>
      <c r="AK3419" s="37" t="str">
        <f>VLOOKUP(Mecze[[#This Row],[Match ID]],Meczusie[Mecz]:Meczusie[RodzajMeczu],2,FALSE)</f>
        <v>Towarzyski</v>
      </c>
    </row>
    <row r="3420" spans="1:37" x14ac:dyDescent="0.25">
      <c r="A3420" s="76">
        <v>53</v>
      </c>
      <c r="B3420" s="3" t="s">
        <v>415</v>
      </c>
      <c r="C3420" s="2" t="s">
        <v>157</v>
      </c>
      <c r="D3420" s="1">
        <v>0</v>
      </c>
      <c r="E3420" s="1">
        <v>0</v>
      </c>
      <c r="F3420" s="1">
        <v>0</v>
      </c>
      <c r="G3420" s="1">
        <v>7</v>
      </c>
      <c r="H3420" s="4">
        <v>0.43</v>
      </c>
      <c r="I3420" s="1">
        <v>4</v>
      </c>
      <c r="J3420" s="4">
        <v>0</v>
      </c>
      <c r="K3420" s="1">
        <v>0</v>
      </c>
      <c r="L3420" s="1">
        <v>8</v>
      </c>
      <c r="M3420" s="32">
        <f>IF(Mecze[[#This Row],[PR]]=0,0,Mecze[[#This Row],[PR]]/Mecze[[#This Row],[CZAS]])</f>
        <v>8.1632653061224483E-2</v>
      </c>
      <c r="N3420" s="32">
        <f>IF(Mecze[[#This Row],[OU]]=0,0,Mecze[[#This Row],[OU]]/Mecze[[#This Row],[CZAS]])</f>
        <v>0</v>
      </c>
      <c r="O3420" s="32">
        <f>IF(Mecze[[#This Row],[PC]]=0,0,Mecze[[#This Row],[PC]]/Mecze[[#This Row],[CZAS]])</f>
        <v>3.0612244897959183E-2</v>
      </c>
      <c r="P3420" s="32">
        <f>IF(Mecze[[#This Row],[SC]]=0,0,Mecze[[#This Row],[SC]]/Mecze[[#This Row],[CZAS]])</f>
        <v>0</v>
      </c>
      <c r="Q3420" s="32">
        <f>IF(Mecze[[#This Row],[OB]]=0,0,Mecze[[#This Row],[OB]]/Mecze[[#This Row],[CZAS]])</f>
        <v>0</v>
      </c>
      <c r="R3420" s="32">
        <f>IF(Mecze[[#This Row],[BR]]=0,0,Mecze[[#This Row],[BR]]/Mecze[[#This Row],[CZAS]])</f>
        <v>0</v>
      </c>
      <c r="S3420" s="44">
        <f>IF(Mecze[[#This Row],[Role]]="BR",SUMPRODUCT(Mecze[[#This Row],[/PR:90]:[/BR:90]],Brudnopis!$E$23:$J$23),0)</f>
        <v>0</v>
      </c>
      <c r="T3420" s="44">
        <f>IF(Mecze[[#This Row],[Role]]&lt;&gt;"BR",SUMPRODUCT(Mecze[[#This Row],[/PR:90]:[/BR:90]],Brudnopis!$E$24:$J$24),0)</f>
        <v>0.11224489795918366</v>
      </c>
      <c r="U3420" s="44">
        <f>IF(Mecze[[#This Row],[Role]]&lt;&gt;"BR",SUMPRODUCT(Mecze[[#This Row],[/PR:90]:[/BR:90]],Brudnopis!$E$25:$J$25),0)</f>
        <v>0.12755102040816324</v>
      </c>
      <c r="V3420" s="44">
        <f>IF(Mecze[[#This Row],[Role]]&lt;&gt;"BR",SUMPRODUCT(Mecze[[#This Row],[/PR:90]:[/BR:90]],Brudnopis!$E$26:$J$26),0)</f>
        <v>0.11224489795918366</v>
      </c>
      <c r="W3420" s="44">
        <f>IF(Mecze[[#This Row],[Role]]&lt;&gt;"BR",SUMPRODUCT(Mecze[[#This Row],[/PR:90]:[/BR:90]],Brudnopis!$E$27:$J$27),0)</f>
        <v>0.10714285714285714</v>
      </c>
      <c r="X3420" s="44">
        <f>IF(Mecze[[#This Row],[Role]]&lt;&gt;"BR",SUMPRODUCT(Mecze[[#This Row],[/PR:90]:[/BR:90]],Brudnopis!$E$28:$J$28),0)</f>
        <v>3.0612244897959183E-2</v>
      </c>
      <c r="Y3420" s="35">
        <f>IF(Mecze[[#This Row],[Role]]="BR",Mecze[[#This Row],[/OB:90]]+Mecze[[#This Row],[/PC:90]],SUM(Mecze[[#This Row],[/PR:90]:[/BR:90]]))</f>
        <v>0.11224489795918366</v>
      </c>
      <c r="Z3420" s="35">
        <f>IF(Mecze[[#This Row],[KC]]=0,SUM(Mecze[[#This Row],[/BRI]:[/NPI]]),SUM(Mecze[[#This Row],[/BRI]:[/NPI]])*0.6)</f>
        <v>0.48979591836734687</v>
      </c>
      <c r="AA3420" s="10">
        <f>IFERROR(Mecze[[#This Row],[BR]]/Mecze[[#This Row],[ST]],0)</f>
        <v>0</v>
      </c>
      <c r="AB3420">
        <f>ROUND(Mecze[[#This Row],[PD]]*Mecze[[#This Row],[%PC]],0)</f>
        <v>3</v>
      </c>
      <c r="AC3420">
        <f>ROUND(Mecze[[#This Row],[OD]]*Mecze[[#This Row],[%OU]],0)</f>
        <v>0</v>
      </c>
      <c r="AD3420" s="36" t="s">
        <v>167</v>
      </c>
      <c r="AE3420" s="36">
        <v>192</v>
      </c>
      <c r="AF3420" s="71">
        <v>5.6</v>
      </c>
      <c r="AG3420" s="37">
        <v>0</v>
      </c>
      <c r="AH3420" s="37">
        <v>0</v>
      </c>
      <c r="AI3420" s="37">
        <v>98</v>
      </c>
      <c r="AJ3420" s="37">
        <v>1</v>
      </c>
      <c r="AK3420" s="37" t="str">
        <f>VLOOKUP(Mecze[[#This Row],[Match ID]],Meczusie[Mecz]:Meczusie[RodzajMeczu],2,FALSE)</f>
        <v>Towarzyski</v>
      </c>
    </row>
    <row r="3421" spans="1:37" x14ac:dyDescent="0.25">
      <c r="A3421" s="76">
        <v>50</v>
      </c>
      <c r="B3421" s="3" t="s">
        <v>496</v>
      </c>
      <c r="C3421" s="2" t="s">
        <v>157</v>
      </c>
      <c r="D3421" s="1">
        <v>0</v>
      </c>
      <c r="E3421" s="1">
        <v>0</v>
      </c>
      <c r="F3421" s="1">
        <v>0</v>
      </c>
      <c r="G3421" s="1">
        <v>5</v>
      </c>
      <c r="H3421" s="4">
        <v>0.2</v>
      </c>
      <c r="I3421" s="1">
        <v>4</v>
      </c>
      <c r="J3421" s="4">
        <v>0</v>
      </c>
      <c r="K3421" s="1">
        <v>0</v>
      </c>
      <c r="L3421" s="1">
        <v>6</v>
      </c>
      <c r="M3421" s="32">
        <f>IF(Mecze[[#This Row],[PR]]=0,0,Mecze[[#This Row],[PR]]/Mecze[[#This Row],[CZAS]])</f>
        <v>6.1224489795918366E-2</v>
      </c>
      <c r="N3421" s="32">
        <f>IF(Mecze[[#This Row],[OU]]=0,0,Mecze[[#This Row],[OU]]/Mecze[[#This Row],[CZAS]])</f>
        <v>0</v>
      </c>
      <c r="O3421" s="32">
        <f>IF(Mecze[[#This Row],[PC]]=0,0,Mecze[[#This Row],[PC]]/Mecze[[#This Row],[CZAS]])</f>
        <v>1.020408163265306E-2</v>
      </c>
      <c r="P3421" s="32">
        <f>IF(Mecze[[#This Row],[SC]]=0,0,Mecze[[#This Row],[SC]]/Mecze[[#This Row],[CZAS]])</f>
        <v>0</v>
      </c>
      <c r="Q3421" s="32">
        <f>IF(Mecze[[#This Row],[OB]]=0,0,Mecze[[#This Row],[OB]]/Mecze[[#This Row],[CZAS]])</f>
        <v>0</v>
      </c>
      <c r="R3421" s="32">
        <f>IF(Mecze[[#This Row],[BR]]=0,0,Mecze[[#This Row],[BR]]/Mecze[[#This Row],[CZAS]])</f>
        <v>0</v>
      </c>
      <c r="S3421" s="44">
        <f>IF(Mecze[[#This Row],[Role]]="BR",SUMPRODUCT(Mecze[[#This Row],[/PR:90]:[/BR:90]],Brudnopis!$E$23:$J$23),0)</f>
        <v>0</v>
      </c>
      <c r="T3421" s="44">
        <f>IF(Mecze[[#This Row],[Role]]&lt;&gt;"BR",SUMPRODUCT(Mecze[[#This Row],[/PR:90]:[/BR:90]],Brudnopis!$E$24:$J$24),0)</f>
        <v>7.1428571428571425E-2</v>
      </c>
      <c r="U3421" s="44">
        <f>IF(Mecze[[#This Row],[Role]]&lt;&gt;"BR",SUMPRODUCT(Mecze[[#This Row],[/PR:90]:[/BR:90]],Brudnopis!$E$25:$J$25),0)</f>
        <v>7.6530612244897961E-2</v>
      </c>
      <c r="V3421" s="44">
        <f>IF(Mecze[[#This Row],[Role]]&lt;&gt;"BR",SUMPRODUCT(Mecze[[#This Row],[/PR:90]:[/BR:90]],Brudnopis!$E$26:$J$26),0)</f>
        <v>7.1428571428571425E-2</v>
      </c>
      <c r="W3421" s="44">
        <f>IF(Mecze[[#This Row],[Role]]&lt;&gt;"BR",SUMPRODUCT(Mecze[[#This Row],[/PR:90]:[/BR:90]],Brudnopis!$E$27:$J$27),0)</f>
        <v>6.1224489795918366E-2</v>
      </c>
      <c r="X3421" s="44">
        <f>IF(Mecze[[#This Row],[Role]]&lt;&gt;"BR",SUMPRODUCT(Mecze[[#This Row],[/PR:90]:[/BR:90]],Brudnopis!$E$28:$J$28),0)</f>
        <v>1.020408163265306E-2</v>
      </c>
      <c r="Y3421" s="35">
        <f>IF(Mecze[[#This Row],[Role]]="BR",Mecze[[#This Row],[/OB:90]]+Mecze[[#This Row],[/PC:90]],SUM(Mecze[[#This Row],[/PR:90]:[/BR:90]]))</f>
        <v>7.1428571428571425E-2</v>
      </c>
      <c r="Z3421" s="35">
        <f>IF(Mecze[[#This Row],[KC]]=0,SUM(Mecze[[#This Row],[/BRI]:[/NPI]]),SUM(Mecze[[#This Row],[/BRI]:[/NPI]])*0.6)</f>
        <v>0.29081632653061223</v>
      </c>
      <c r="AA3421" s="10">
        <f>IFERROR(Mecze[[#This Row],[BR]]/Mecze[[#This Row],[ST]],0)</f>
        <v>0</v>
      </c>
      <c r="AB3421">
        <f>ROUND(Mecze[[#This Row],[PD]]*Mecze[[#This Row],[%PC]],0)</f>
        <v>1</v>
      </c>
      <c r="AC3421">
        <f>ROUND(Mecze[[#This Row],[OD]]*Mecze[[#This Row],[%OU]],0)</f>
        <v>0</v>
      </c>
      <c r="AD3421" s="36" t="s">
        <v>168</v>
      </c>
      <c r="AE3421" s="36">
        <v>192</v>
      </c>
      <c r="AF3421" s="71">
        <v>5.18</v>
      </c>
      <c r="AG3421" s="37">
        <v>0</v>
      </c>
      <c r="AH3421" s="37">
        <v>0</v>
      </c>
      <c r="AI3421" s="37">
        <v>98</v>
      </c>
      <c r="AJ3421" s="37">
        <v>1</v>
      </c>
      <c r="AK3421" s="37" t="str">
        <f>VLOOKUP(Mecze[[#This Row],[Match ID]],Meczusie[Mecz]:Meczusie[RodzajMeczu],2,FALSE)</f>
        <v>Towarzyski</v>
      </c>
    </row>
    <row r="3422" spans="1:37" x14ac:dyDescent="0.25">
      <c r="A3422" s="76">
        <v>52</v>
      </c>
      <c r="B3422" s="3" t="s">
        <v>408</v>
      </c>
      <c r="C3422" s="2" t="s">
        <v>160</v>
      </c>
      <c r="D3422" s="1">
        <v>0</v>
      </c>
      <c r="E3422" s="1">
        <v>1</v>
      </c>
      <c r="F3422" s="1">
        <v>0</v>
      </c>
      <c r="G3422" s="1">
        <v>11</v>
      </c>
      <c r="H3422" s="4">
        <v>0.73</v>
      </c>
      <c r="I3422" s="1">
        <v>2</v>
      </c>
      <c r="J3422" s="4">
        <v>0</v>
      </c>
      <c r="K3422" s="1">
        <v>0</v>
      </c>
      <c r="L3422" s="1">
        <v>7</v>
      </c>
      <c r="M3422" s="32">
        <f>IF(Mecze[[#This Row],[PR]]=0,0,Mecze[[#This Row],[PR]]/Mecze[[#This Row],[CZAS]])</f>
        <v>7.1428571428571425E-2</v>
      </c>
      <c r="N3422" s="32">
        <f>IF(Mecze[[#This Row],[OU]]=0,0,Mecze[[#This Row],[OU]]/Mecze[[#This Row],[CZAS]])</f>
        <v>0</v>
      </c>
      <c r="O3422" s="32">
        <f>IF(Mecze[[#This Row],[PC]]=0,0,Mecze[[#This Row],[PC]]/Mecze[[#This Row],[CZAS]])</f>
        <v>8.1632653061224483E-2</v>
      </c>
      <c r="P3422" s="32">
        <f>IF(Mecze[[#This Row],[SC]]=0,0,Mecze[[#This Row],[SC]]/Mecze[[#This Row],[CZAS]])</f>
        <v>0</v>
      </c>
      <c r="Q3422" s="32">
        <f>IF(Mecze[[#This Row],[OB]]=0,0,Mecze[[#This Row],[OB]]/Mecze[[#This Row],[CZAS]])</f>
        <v>0</v>
      </c>
      <c r="R3422" s="32">
        <f>IF(Mecze[[#This Row],[BR]]=0,0,Mecze[[#This Row],[BR]]/Mecze[[#This Row],[CZAS]])</f>
        <v>0</v>
      </c>
      <c r="S3422" s="44">
        <f>IF(Mecze[[#This Row],[Role]]="BR",SUMPRODUCT(Mecze[[#This Row],[/PR:90]:[/BR:90]],Brudnopis!$E$23:$J$23),0)</f>
        <v>0</v>
      </c>
      <c r="T3422" s="44">
        <f>IF(Mecze[[#This Row],[Role]]&lt;&gt;"BR",SUMPRODUCT(Mecze[[#This Row],[/PR:90]:[/BR:90]],Brudnopis!$E$24:$J$24),0)</f>
        <v>0.15306122448979592</v>
      </c>
      <c r="U3422" s="44">
        <f>IF(Mecze[[#This Row],[Role]]&lt;&gt;"BR",SUMPRODUCT(Mecze[[#This Row],[/PR:90]:[/BR:90]],Brudnopis!$E$25:$J$25),0)</f>
        <v>0.19387755102040816</v>
      </c>
      <c r="V3422" s="44">
        <f>IF(Mecze[[#This Row],[Role]]&lt;&gt;"BR",SUMPRODUCT(Mecze[[#This Row],[/PR:90]:[/BR:90]],Brudnopis!$E$26:$J$26),0)</f>
        <v>0.15306122448979592</v>
      </c>
      <c r="W3422" s="44">
        <f>IF(Mecze[[#This Row],[Role]]&lt;&gt;"BR",SUMPRODUCT(Mecze[[#This Row],[/PR:90]:[/BR:90]],Brudnopis!$E$27:$J$27),0)</f>
        <v>0.17602040816326531</v>
      </c>
      <c r="X3422" s="44">
        <f>IF(Mecze[[#This Row],[Role]]&lt;&gt;"BR",SUMPRODUCT(Mecze[[#This Row],[/PR:90]:[/BR:90]],Brudnopis!$E$28:$J$28),0)</f>
        <v>8.1632653061224483E-2</v>
      </c>
      <c r="Y3422" s="35">
        <f>IF(Mecze[[#This Row],[Role]]="BR",Mecze[[#This Row],[/OB:90]]+Mecze[[#This Row],[/PC:90]],SUM(Mecze[[#This Row],[/PR:90]:[/BR:90]]))</f>
        <v>0.15306122448979592</v>
      </c>
      <c r="Z3422" s="35">
        <f>IF(Mecze[[#This Row],[KC]]=0,SUM(Mecze[[#This Row],[/BRI]:[/NPI]]),SUM(Mecze[[#This Row],[/BRI]:[/NPI]])*0.6)</f>
        <v>0.75765306122448972</v>
      </c>
      <c r="AA3422" s="10">
        <f>IFERROR(Mecze[[#This Row],[BR]]/Mecze[[#This Row],[ST]],0)</f>
        <v>0</v>
      </c>
      <c r="AB3422">
        <f>ROUND(Mecze[[#This Row],[PD]]*Mecze[[#This Row],[%PC]],0)</f>
        <v>8</v>
      </c>
      <c r="AC3422">
        <f>ROUND(Mecze[[#This Row],[OD]]*Mecze[[#This Row],[%OU]],0)</f>
        <v>0</v>
      </c>
      <c r="AD3422" s="36" t="s">
        <v>41</v>
      </c>
      <c r="AE3422" s="36">
        <v>192</v>
      </c>
      <c r="AF3422" s="71">
        <v>6.6</v>
      </c>
      <c r="AG3422" s="37">
        <v>0</v>
      </c>
      <c r="AH3422" s="37">
        <v>0</v>
      </c>
      <c r="AI3422" s="37">
        <v>98</v>
      </c>
      <c r="AJ3422" s="37">
        <v>1</v>
      </c>
      <c r="AK3422" s="37" t="str">
        <f>VLOOKUP(Mecze[[#This Row],[Match ID]],Meczusie[Mecz]:Meczusie[RodzajMeczu],2,FALSE)</f>
        <v>Towarzyski</v>
      </c>
    </row>
    <row r="3423" spans="1:37" x14ac:dyDescent="0.25">
      <c r="A3423" s="76">
        <v>40</v>
      </c>
      <c r="B3423" s="3" t="s">
        <v>453</v>
      </c>
      <c r="C3423" s="2" t="s">
        <v>160</v>
      </c>
      <c r="D3423" s="1">
        <v>1</v>
      </c>
      <c r="E3423" s="1">
        <v>2</v>
      </c>
      <c r="F3423" s="1">
        <v>2</v>
      </c>
      <c r="G3423" s="1">
        <v>17</v>
      </c>
      <c r="H3423" s="4">
        <v>0.88</v>
      </c>
      <c r="I3423" s="1">
        <v>6</v>
      </c>
      <c r="J3423" s="4">
        <v>0.17</v>
      </c>
      <c r="K3423" s="1">
        <v>0</v>
      </c>
      <c r="L3423" s="1">
        <v>8</v>
      </c>
      <c r="M3423" s="32">
        <f>IF(Mecze[[#This Row],[PR]]=0,0,Mecze[[#This Row],[PR]]/Mecze[[#This Row],[CZAS]])</f>
        <v>8.1632653061224483E-2</v>
      </c>
      <c r="N3423" s="32">
        <f>IF(Mecze[[#This Row],[OU]]=0,0,Mecze[[#This Row],[OU]]/Mecze[[#This Row],[CZAS]])</f>
        <v>1.020408163265306E-2</v>
      </c>
      <c r="O3423" s="32">
        <f>IF(Mecze[[#This Row],[PC]]=0,0,Mecze[[#This Row],[PC]]/Mecze[[#This Row],[CZAS]])</f>
        <v>0.15306122448979592</v>
      </c>
      <c r="P3423" s="32">
        <f>IF(Mecze[[#This Row],[SC]]=0,0,Mecze[[#This Row],[SC]]/Mecze[[#This Row],[CZAS]])</f>
        <v>2.0408163265306121E-2</v>
      </c>
      <c r="Q3423" s="32">
        <f>IF(Mecze[[#This Row],[OB]]=0,0,Mecze[[#This Row],[OB]]/Mecze[[#This Row],[CZAS]])</f>
        <v>0</v>
      </c>
      <c r="R3423" s="32">
        <f>IF(Mecze[[#This Row],[BR]]=0,0,Mecze[[#This Row],[BR]]/Mecze[[#This Row],[CZAS]])</f>
        <v>1.020408163265306E-2</v>
      </c>
      <c r="S3423" s="44">
        <f>IF(Mecze[[#This Row],[Role]]="BR",SUMPRODUCT(Mecze[[#This Row],[/PR:90]:[/BR:90]],Brudnopis!$E$23:$J$23),0)</f>
        <v>0</v>
      </c>
      <c r="T3423" s="44">
        <f>IF(Mecze[[#This Row],[Role]]&lt;&gt;"BR",SUMPRODUCT(Mecze[[#This Row],[/PR:90]:[/BR:90]],Brudnopis!$E$24:$J$24),0)</f>
        <v>0.28571428571428575</v>
      </c>
      <c r="U3423" s="44">
        <f>IF(Mecze[[#This Row],[Role]]&lt;&gt;"BR",SUMPRODUCT(Mecze[[#This Row],[/PR:90]:[/BR:90]],Brudnopis!$E$25:$J$25),0)</f>
        <v>0.35714285714285715</v>
      </c>
      <c r="V3423" s="44">
        <f>IF(Mecze[[#This Row],[Role]]&lt;&gt;"BR",SUMPRODUCT(Mecze[[#This Row],[/PR:90]:[/BR:90]],Brudnopis!$E$26:$J$26),0)</f>
        <v>0.28571428571428575</v>
      </c>
      <c r="W3423" s="44">
        <f>IF(Mecze[[#This Row],[Role]]&lt;&gt;"BR",SUMPRODUCT(Mecze[[#This Row],[/PR:90]:[/BR:90]],Brudnopis!$E$27:$J$27),0)</f>
        <v>0.3392857142857143</v>
      </c>
      <c r="X3423" s="44">
        <f>IF(Mecze[[#This Row],[Role]]&lt;&gt;"BR",SUMPRODUCT(Mecze[[#This Row],[/PR:90]:[/BR:90]],Brudnopis!$E$28:$J$28),0)</f>
        <v>0.22448979591836735</v>
      </c>
      <c r="Y3423" s="35">
        <f>IF(Mecze[[#This Row],[Role]]="BR",Mecze[[#This Row],[/OB:90]]+Mecze[[#This Row],[/PC:90]],SUM(Mecze[[#This Row],[/PR:90]:[/BR:90]]))</f>
        <v>0.27551020408163268</v>
      </c>
      <c r="Z3423" s="35">
        <f>IF(Mecze[[#This Row],[KC]]=0,SUM(Mecze[[#This Row],[/BRI]:[/NPI]]),SUM(Mecze[[#This Row],[/BRI]:[/NPI]])*0.6)</f>
        <v>1.4923469387755102</v>
      </c>
      <c r="AA3423" s="10">
        <f>IFERROR(Mecze[[#This Row],[BR]]/Mecze[[#This Row],[ST]],0)</f>
        <v>0.5</v>
      </c>
      <c r="AB3423">
        <f>ROUND(Mecze[[#This Row],[PD]]*Mecze[[#This Row],[%PC]],0)</f>
        <v>15</v>
      </c>
      <c r="AC3423">
        <f>ROUND(Mecze[[#This Row],[OD]]*Mecze[[#This Row],[%OU]],0)</f>
        <v>1</v>
      </c>
      <c r="AD3423" s="36" t="s">
        <v>41</v>
      </c>
      <c r="AE3423" s="36">
        <v>192</v>
      </c>
      <c r="AF3423" s="71">
        <v>10.29</v>
      </c>
      <c r="AG3423" s="37">
        <v>0</v>
      </c>
      <c r="AH3423" s="37">
        <v>0</v>
      </c>
      <c r="AI3423" s="37">
        <v>98</v>
      </c>
      <c r="AJ3423" s="37">
        <v>1</v>
      </c>
      <c r="AK3423" s="37" t="str">
        <f>VLOOKUP(Mecze[[#This Row],[Match ID]],Meczusie[Mecz]:Meczusie[RodzajMeczu],2,FALSE)</f>
        <v>Towarzyski</v>
      </c>
    </row>
    <row r="3424" spans="1:37" x14ac:dyDescent="0.25">
      <c r="A3424" s="76">
        <v>45</v>
      </c>
      <c r="B3424" s="3" t="s">
        <v>394</v>
      </c>
      <c r="C3424" s="2" t="s">
        <v>160</v>
      </c>
      <c r="D3424" s="1">
        <v>1</v>
      </c>
      <c r="E3424" s="1">
        <v>1</v>
      </c>
      <c r="F3424" s="1">
        <v>1</v>
      </c>
      <c r="G3424" s="1">
        <v>7</v>
      </c>
      <c r="H3424" s="4">
        <v>0.56999999999999995</v>
      </c>
      <c r="I3424" s="1">
        <v>1</v>
      </c>
      <c r="J3424" s="4">
        <v>0</v>
      </c>
      <c r="K3424" s="1">
        <v>0</v>
      </c>
      <c r="L3424" s="1">
        <v>2</v>
      </c>
      <c r="M3424" s="32">
        <f>IF(Mecze[[#This Row],[PR]]=0,0,Mecze[[#This Row],[PR]]/Mecze[[#This Row],[CZAS]])</f>
        <v>2.0408163265306121E-2</v>
      </c>
      <c r="N3424" s="32">
        <f>IF(Mecze[[#This Row],[OU]]=0,0,Mecze[[#This Row],[OU]]/Mecze[[#This Row],[CZAS]])</f>
        <v>0</v>
      </c>
      <c r="O3424" s="32">
        <f>IF(Mecze[[#This Row],[PC]]=0,0,Mecze[[#This Row],[PC]]/Mecze[[#This Row],[CZAS]])</f>
        <v>4.0816326530612242E-2</v>
      </c>
      <c r="P3424" s="32">
        <f>IF(Mecze[[#This Row],[SC]]=0,0,Mecze[[#This Row],[SC]]/Mecze[[#This Row],[CZAS]])</f>
        <v>1.020408163265306E-2</v>
      </c>
      <c r="Q3424" s="32">
        <f>IF(Mecze[[#This Row],[OB]]=0,0,Mecze[[#This Row],[OB]]/Mecze[[#This Row],[CZAS]])</f>
        <v>0</v>
      </c>
      <c r="R3424" s="32">
        <f>IF(Mecze[[#This Row],[BR]]=0,0,Mecze[[#This Row],[BR]]/Mecze[[#This Row],[CZAS]])</f>
        <v>1.020408163265306E-2</v>
      </c>
      <c r="S3424" s="44">
        <f>IF(Mecze[[#This Row],[Role]]="BR",SUMPRODUCT(Mecze[[#This Row],[/PR:90]:[/BR:90]],Brudnopis!$E$23:$J$23),0)</f>
        <v>0</v>
      </c>
      <c r="T3424" s="44">
        <f>IF(Mecze[[#This Row],[Role]]&lt;&gt;"BR",SUMPRODUCT(Mecze[[#This Row],[/PR:90]:[/BR:90]],Brudnopis!$E$24:$J$24),0)</f>
        <v>8.673469387755102E-2</v>
      </c>
      <c r="U3424" s="44">
        <f>IF(Mecze[[#This Row],[Role]]&lt;&gt;"BR",SUMPRODUCT(Mecze[[#This Row],[/PR:90]:[/BR:90]],Brudnopis!$E$25:$J$25),0)</f>
        <v>0.10714285714285714</v>
      </c>
      <c r="V3424" s="44">
        <f>IF(Mecze[[#This Row],[Role]]&lt;&gt;"BR",SUMPRODUCT(Mecze[[#This Row],[/PR:90]:[/BR:90]],Brudnopis!$E$26:$J$26),0)</f>
        <v>9.1836734693877542E-2</v>
      </c>
      <c r="W3424" s="44">
        <f>IF(Mecze[[#This Row],[Role]]&lt;&gt;"BR",SUMPRODUCT(Mecze[[#This Row],[/PR:90]:[/BR:90]],Brudnopis!$E$27:$J$27),0)</f>
        <v>0.10714285714285714</v>
      </c>
      <c r="X3424" s="44">
        <f>IF(Mecze[[#This Row],[Role]]&lt;&gt;"BR",SUMPRODUCT(Mecze[[#This Row],[/PR:90]:[/BR:90]],Brudnopis!$E$28:$J$28),0)</f>
        <v>9.1836734693877542E-2</v>
      </c>
      <c r="Y3424" s="35">
        <f>IF(Mecze[[#This Row],[Role]]="BR",Mecze[[#This Row],[/OB:90]]+Mecze[[#This Row],[/PC:90]],SUM(Mecze[[#This Row],[/PR:90]:[/BR:90]]))</f>
        <v>8.1632653061224483E-2</v>
      </c>
      <c r="Z3424" s="35">
        <f>IF(Mecze[[#This Row],[KC]]=0,SUM(Mecze[[#This Row],[/BRI]:[/NPI]]),SUM(Mecze[[#This Row],[/BRI]:[/NPI]])*0.6)</f>
        <v>0.48469387755102039</v>
      </c>
      <c r="AA3424" s="10">
        <f>IFERROR(Mecze[[#This Row],[BR]]/Mecze[[#This Row],[ST]],0)</f>
        <v>1</v>
      </c>
      <c r="AB3424">
        <f>ROUND(Mecze[[#This Row],[PD]]*Mecze[[#This Row],[%PC]],0)</f>
        <v>4</v>
      </c>
      <c r="AC3424">
        <f>ROUND(Mecze[[#This Row],[OD]]*Mecze[[#This Row],[%OU]],0)</f>
        <v>0</v>
      </c>
      <c r="AD3424" s="36" t="s">
        <v>44</v>
      </c>
      <c r="AE3424" s="36">
        <v>192</v>
      </c>
      <c r="AF3424" s="71">
        <v>7.89</v>
      </c>
      <c r="AG3424" s="37">
        <v>0</v>
      </c>
      <c r="AH3424" s="37">
        <v>0</v>
      </c>
      <c r="AI3424" s="37">
        <v>98</v>
      </c>
      <c r="AJ3424" s="37">
        <v>1</v>
      </c>
      <c r="AK3424" s="37" t="str">
        <f>VLOOKUP(Mecze[[#This Row],[Match ID]],Meczusie[Mecz]:Meczusie[RodzajMeczu],2,FALSE)</f>
        <v>Towarzyski</v>
      </c>
    </row>
    <row r="3425" spans="1:37" x14ac:dyDescent="0.25">
      <c r="A3425" s="76">
        <v>25</v>
      </c>
      <c r="B3425" s="3" t="s">
        <v>366</v>
      </c>
      <c r="C3425" s="2" t="s">
        <v>160</v>
      </c>
      <c r="D3425" s="1">
        <v>0</v>
      </c>
      <c r="E3425" s="1">
        <v>1</v>
      </c>
      <c r="F3425" s="1">
        <v>0</v>
      </c>
      <c r="G3425" s="1">
        <v>6</v>
      </c>
      <c r="H3425" s="4">
        <v>0.67</v>
      </c>
      <c r="I3425" s="1">
        <v>2</v>
      </c>
      <c r="J3425" s="4">
        <v>0</v>
      </c>
      <c r="K3425" s="1">
        <v>0</v>
      </c>
      <c r="L3425" s="1">
        <v>0</v>
      </c>
      <c r="M3425" s="32">
        <f>IF(Mecze[[#This Row],[PR]]=0,0,Mecze[[#This Row],[PR]]/Mecze[[#This Row],[CZAS]])</f>
        <v>0</v>
      </c>
      <c r="N3425" s="32">
        <f>IF(Mecze[[#This Row],[OU]]=0,0,Mecze[[#This Row],[OU]]/Mecze[[#This Row],[CZAS]])</f>
        <v>0</v>
      </c>
      <c r="O3425" s="32">
        <f>IF(Mecze[[#This Row],[PC]]=0,0,Mecze[[#This Row],[PC]]/Mecze[[#This Row],[CZAS]])</f>
        <v>4.0816326530612242E-2</v>
      </c>
      <c r="P3425" s="32">
        <f>IF(Mecze[[#This Row],[SC]]=0,0,Mecze[[#This Row],[SC]]/Mecze[[#This Row],[CZAS]])</f>
        <v>0</v>
      </c>
      <c r="Q3425" s="32">
        <f>IF(Mecze[[#This Row],[OB]]=0,0,Mecze[[#This Row],[OB]]/Mecze[[#This Row],[CZAS]])</f>
        <v>0</v>
      </c>
      <c r="R3425" s="32">
        <f>IF(Mecze[[#This Row],[BR]]=0,0,Mecze[[#This Row],[BR]]/Mecze[[#This Row],[CZAS]])</f>
        <v>0</v>
      </c>
      <c r="S3425" s="44">
        <f>IF(Mecze[[#This Row],[Role]]="BR",SUMPRODUCT(Mecze[[#This Row],[/PR:90]:[/BR:90]],Brudnopis!$E$23:$J$23),0)</f>
        <v>0</v>
      </c>
      <c r="T3425" s="44">
        <f>IF(Mecze[[#This Row],[Role]]&lt;&gt;"BR",SUMPRODUCT(Mecze[[#This Row],[/PR:90]:[/BR:90]],Brudnopis!$E$24:$J$24),0)</f>
        <v>4.0816326530612242E-2</v>
      </c>
      <c r="U3425" s="44">
        <f>IF(Mecze[[#This Row],[Role]]&lt;&gt;"BR",SUMPRODUCT(Mecze[[#This Row],[/PR:90]:[/BR:90]],Brudnopis!$E$25:$J$25),0)</f>
        <v>6.1224489795918366E-2</v>
      </c>
      <c r="V3425" s="44">
        <f>IF(Mecze[[#This Row],[Role]]&lt;&gt;"BR",SUMPRODUCT(Mecze[[#This Row],[/PR:90]:[/BR:90]],Brudnopis!$E$26:$J$26),0)</f>
        <v>4.0816326530612242E-2</v>
      </c>
      <c r="W3425" s="44">
        <f>IF(Mecze[[#This Row],[Role]]&lt;&gt;"BR",SUMPRODUCT(Mecze[[#This Row],[/PR:90]:[/BR:90]],Brudnopis!$E$27:$J$27),0)</f>
        <v>6.1224489795918366E-2</v>
      </c>
      <c r="X3425" s="44">
        <f>IF(Mecze[[#This Row],[Role]]&lt;&gt;"BR",SUMPRODUCT(Mecze[[#This Row],[/PR:90]:[/BR:90]],Brudnopis!$E$28:$J$28),0)</f>
        <v>4.0816326530612242E-2</v>
      </c>
      <c r="Y3425" s="35">
        <f>IF(Mecze[[#This Row],[Role]]="BR",Mecze[[#This Row],[/OB:90]]+Mecze[[#This Row],[/PC:90]],SUM(Mecze[[#This Row],[/PR:90]:[/BR:90]]))</f>
        <v>4.0816326530612242E-2</v>
      </c>
      <c r="Z3425" s="35">
        <f>IF(Mecze[[#This Row],[KC]]=0,SUM(Mecze[[#This Row],[/BRI]:[/NPI]]),SUM(Mecze[[#This Row],[/BRI]:[/NPI]])*0.6)</f>
        <v>0.24489795918367346</v>
      </c>
      <c r="AA3425" s="10">
        <f>IFERROR(Mecze[[#This Row],[BR]]/Mecze[[#This Row],[ST]],0)</f>
        <v>0</v>
      </c>
      <c r="AB3425">
        <f>ROUND(Mecze[[#This Row],[PD]]*Mecze[[#This Row],[%PC]],0)</f>
        <v>4</v>
      </c>
      <c r="AC3425">
        <f>ROUND(Mecze[[#This Row],[OD]]*Mecze[[#This Row],[%OU]],0)</f>
        <v>0</v>
      </c>
      <c r="AD3425" s="36" t="s">
        <v>44</v>
      </c>
      <c r="AE3425" s="36">
        <v>192</v>
      </c>
      <c r="AF3425" s="71">
        <v>5.13</v>
      </c>
      <c r="AG3425" s="37">
        <v>0</v>
      </c>
      <c r="AH3425" s="37">
        <v>0</v>
      </c>
      <c r="AI3425" s="37">
        <v>98</v>
      </c>
      <c r="AJ3425" s="37">
        <v>1</v>
      </c>
      <c r="AK3425" s="37" t="str">
        <f>VLOOKUP(Mecze[[#This Row],[Match ID]],Meczusie[Mecz]:Meczusie[RodzajMeczu],2,FALSE)</f>
        <v>Towarzyski</v>
      </c>
    </row>
    <row r="3426" spans="1:37" x14ac:dyDescent="0.25">
      <c r="A3426" s="76">
        <v>31</v>
      </c>
      <c r="B3426" s="3" t="s">
        <v>365</v>
      </c>
      <c r="C3426" s="2" t="s">
        <v>165</v>
      </c>
      <c r="D3426" s="1">
        <v>4</v>
      </c>
      <c r="E3426" s="1">
        <v>11</v>
      </c>
      <c r="F3426" s="1">
        <v>9</v>
      </c>
      <c r="G3426" s="1">
        <v>6</v>
      </c>
      <c r="H3426" s="4">
        <v>0.67</v>
      </c>
      <c r="I3426" s="1">
        <v>6</v>
      </c>
      <c r="J3426" s="4">
        <v>0.67</v>
      </c>
      <c r="K3426" s="1">
        <v>0</v>
      </c>
      <c r="L3426" s="1">
        <v>1</v>
      </c>
      <c r="M3426" s="32">
        <f>IF(Mecze[[#This Row],[PR]]=0,0,Mecze[[#This Row],[PR]]/Mecze[[#This Row],[CZAS]])</f>
        <v>1.020408163265306E-2</v>
      </c>
      <c r="N3426" s="32">
        <f>IF(Mecze[[#This Row],[OU]]=0,0,Mecze[[#This Row],[OU]]/Mecze[[#This Row],[CZAS]])</f>
        <v>4.0816326530612242E-2</v>
      </c>
      <c r="O3426" s="32">
        <f>IF(Mecze[[#This Row],[PC]]=0,0,Mecze[[#This Row],[PC]]/Mecze[[#This Row],[CZAS]])</f>
        <v>4.0816326530612242E-2</v>
      </c>
      <c r="P3426" s="32">
        <f>IF(Mecze[[#This Row],[SC]]=0,0,Mecze[[#This Row],[SC]]/Mecze[[#This Row],[CZAS]])</f>
        <v>9.1836734693877556E-2</v>
      </c>
      <c r="Q3426" s="32">
        <f>IF(Mecze[[#This Row],[OB]]=0,0,Mecze[[#This Row],[OB]]/Mecze[[#This Row],[CZAS]])</f>
        <v>0</v>
      </c>
      <c r="R3426" s="32">
        <f>IF(Mecze[[#This Row],[BR]]=0,0,Mecze[[#This Row],[BR]]/Mecze[[#This Row],[CZAS]])</f>
        <v>4.0816326530612242E-2</v>
      </c>
      <c r="S3426" s="44">
        <f>IF(Mecze[[#This Row],[Role]]="BR",SUMPRODUCT(Mecze[[#This Row],[/PR:90]:[/BR:90]],Brudnopis!$E$23:$J$23),0)</f>
        <v>0</v>
      </c>
      <c r="T3426" s="44">
        <f>IF(Mecze[[#This Row],[Role]]&lt;&gt;"BR",SUMPRODUCT(Mecze[[#This Row],[/PR:90]:[/BR:90]],Brudnopis!$E$24:$J$24),0)</f>
        <v>0.26530612244897961</v>
      </c>
      <c r="U3426" s="44">
        <f>IF(Mecze[[#This Row],[Role]]&lt;&gt;"BR",SUMPRODUCT(Mecze[[#This Row],[/PR:90]:[/BR:90]],Brudnopis!$E$25:$J$25),0)</f>
        <v>0.26530612244897961</v>
      </c>
      <c r="V3426" s="44">
        <f>IF(Mecze[[#This Row],[Role]]&lt;&gt;"BR",SUMPRODUCT(Mecze[[#This Row],[/PR:90]:[/BR:90]],Brudnopis!$E$26:$J$26),0)</f>
        <v>0.26530612244897955</v>
      </c>
      <c r="W3426" s="44">
        <f>IF(Mecze[[#This Row],[Role]]&lt;&gt;"BR",SUMPRODUCT(Mecze[[#This Row],[/PR:90]:[/BR:90]],Brudnopis!$E$27:$J$27),0)</f>
        <v>0.27295918367346939</v>
      </c>
      <c r="X3426" s="44">
        <f>IF(Mecze[[#This Row],[Role]]&lt;&gt;"BR",SUMPRODUCT(Mecze[[#This Row],[/PR:90]:[/BR:90]],Brudnopis!$E$28:$J$28),0)</f>
        <v>0.34693877551020408</v>
      </c>
      <c r="Y3426" s="35">
        <f>IF(Mecze[[#This Row],[Role]]="BR",Mecze[[#This Row],[/OB:90]]+Mecze[[#This Row],[/PC:90]],SUM(Mecze[[#This Row],[/PR:90]:[/BR:90]]))</f>
        <v>0.22448979591836732</v>
      </c>
      <c r="Z3426" s="35">
        <f>IF(Mecze[[#This Row],[KC]]=0,SUM(Mecze[[#This Row],[/BRI]:[/NPI]]),SUM(Mecze[[#This Row],[/BRI]:[/NPI]])*0.6)</f>
        <v>1.4158163265306121</v>
      </c>
      <c r="AA3426" s="10">
        <f>IFERROR(Mecze[[#This Row],[BR]]/Mecze[[#This Row],[ST]],0)</f>
        <v>0.36363636363636365</v>
      </c>
      <c r="AB3426">
        <f>ROUND(Mecze[[#This Row],[PD]]*Mecze[[#This Row],[%PC]],0)</f>
        <v>4</v>
      </c>
      <c r="AC3426">
        <f>ROUND(Mecze[[#This Row],[OD]]*Mecze[[#This Row],[%OU]],0)</f>
        <v>4</v>
      </c>
      <c r="AD3426" s="36" t="s">
        <v>46</v>
      </c>
      <c r="AE3426" s="36">
        <v>192</v>
      </c>
      <c r="AF3426" s="71">
        <v>16.440000000000001</v>
      </c>
      <c r="AG3426" s="37">
        <v>0</v>
      </c>
      <c r="AH3426" s="37">
        <v>0</v>
      </c>
      <c r="AI3426" s="37">
        <v>98</v>
      </c>
      <c r="AJ3426" s="37">
        <v>1</v>
      </c>
      <c r="AK3426" s="37" t="str">
        <f>VLOOKUP(Mecze[[#This Row],[Match ID]],Meczusie[Mecz]:Meczusie[RodzajMeczu],2,FALSE)</f>
        <v>Towarzyski</v>
      </c>
    </row>
    <row r="3427" spans="1:37" x14ac:dyDescent="0.25">
      <c r="A3427" s="76">
        <v>51</v>
      </c>
      <c r="B3427" s="3" t="s">
        <v>517</v>
      </c>
      <c r="C3427" s="2" t="s">
        <v>165</v>
      </c>
      <c r="D3427" s="1">
        <v>0</v>
      </c>
      <c r="E3427" s="1">
        <v>1</v>
      </c>
      <c r="F3427" s="1">
        <v>1</v>
      </c>
      <c r="G3427" s="1">
        <v>5</v>
      </c>
      <c r="H3427" s="4">
        <v>0.8</v>
      </c>
      <c r="I3427" s="1">
        <v>3</v>
      </c>
      <c r="J3427" s="4">
        <v>0.33</v>
      </c>
      <c r="K3427" s="1">
        <v>0</v>
      </c>
      <c r="L3427" s="1">
        <v>0</v>
      </c>
      <c r="M3427" s="32">
        <f>IF(Mecze[[#This Row],[PR]]=0,0,Mecze[[#This Row],[PR]]/Mecze[[#This Row],[CZAS]])</f>
        <v>0</v>
      </c>
      <c r="N3427" s="32">
        <f>IF(Mecze[[#This Row],[OU]]=0,0,Mecze[[#This Row],[OU]]/Mecze[[#This Row],[CZAS]])</f>
        <v>1.020408163265306E-2</v>
      </c>
      <c r="O3427" s="32">
        <f>IF(Mecze[[#This Row],[PC]]=0,0,Mecze[[#This Row],[PC]]/Mecze[[#This Row],[CZAS]])</f>
        <v>4.0816326530612242E-2</v>
      </c>
      <c r="P3427" s="32">
        <f>IF(Mecze[[#This Row],[SC]]=0,0,Mecze[[#This Row],[SC]]/Mecze[[#This Row],[CZAS]])</f>
        <v>1.020408163265306E-2</v>
      </c>
      <c r="Q3427" s="32">
        <f>IF(Mecze[[#This Row],[OB]]=0,0,Mecze[[#This Row],[OB]]/Mecze[[#This Row],[CZAS]])</f>
        <v>0</v>
      </c>
      <c r="R3427" s="32">
        <f>IF(Mecze[[#This Row],[BR]]=0,0,Mecze[[#This Row],[BR]]/Mecze[[#This Row],[CZAS]])</f>
        <v>0</v>
      </c>
      <c r="S3427" s="44">
        <f>IF(Mecze[[#This Row],[Role]]="BR",SUMPRODUCT(Mecze[[#This Row],[/PR:90]:[/BR:90]],Brudnopis!$E$23:$J$23),0)</f>
        <v>0</v>
      </c>
      <c r="T3427" s="44">
        <f>IF(Mecze[[#This Row],[Role]]&lt;&gt;"BR",SUMPRODUCT(Mecze[[#This Row],[/PR:90]:[/BR:90]],Brudnopis!$E$24:$J$24),0)</f>
        <v>6.6326530612244888E-2</v>
      </c>
      <c r="U3427" s="44">
        <f>IF(Mecze[[#This Row],[Role]]&lt;&gt;"BR",SUMPRODUCT(Mecze[[#This Row],[/PR:90]:[/BR:90]],Brudnopis!$E$25:$J$25),0)</f>
        <v>8.1632653061224483E-2</v>
      </c>
      <c r="V3427" s="44">
        <f>IF(Mecze[[#This Row],[Role]]&lt;&gt;"BR",SUMPRODUCT(Mecze[[#This Row],[/PR:90]:[/BR:90]],Brudnopis!$E$26:$J$26),0)</f>
        <v>6.1224489795918359E-2</v>
      </c>
      <c r="W3427" s="44">
        <f>IF(Mecze[[#This Row],[Role]]&lt;&gt;"BR",SUMPRODUCT(Mecze[[#This Row],[/PR:90]:[/BR:90]],Brudnopis!$E$27:$J$27),0)</f>
        <v>7.9081632653061215E-2</v>
      </c>
      <c r="X3427" s="44">
        <f>IF(Mecze[[#This Row],[Role]]&lt;&gt;"BR",SUMPRODUCT(Mecze[[#This Row],[/PR:90]:[/BR:90]],Brudnopis!$E$28:$J$28),0)</f>
        <v>6.1224489795918366E-2</v>
      </c>
      <c r="Y3427" s="35">
        <f>IF(Mecze[[#This Row],[Role]]="BR",Mecze[[#This Row],[/OB:90]]+Mecze[[#This Row],[/PC:90]],SUM(Mecze[[#This Row],[/PR:90]:[/BR:90]]))</f>
        <v>6.1224489795918359E-2</v>
      </c>
      <c r="Z3427" s="35">
        <f>IF(Mecze[[#This Row],[KC]]=0,SUM(Mecze[[#This Row],[/BRI]:[/NPI]]),SUM(Mecze[[#This Row],[/BRI]:[/NPI]])*0.6)</f>
        <v>0.34948979591836732</v>
      </c>
      <c r="AA3427" s="10">
        <f>IFERROR(Mecze[[#This Row],[BR]]/Mecze[[#This Row],[ST]],0)</f>
        <v>0</v>
      </c>
      <c r="AB3427">
        <f>ROUND(Mecze[[#This Row],[PD]]*Mecze[[#This Row],[%PC]],0)</f>
        <v>4</v>
      </c>
      <c r="AC3427">
        <f>ROUND(Mecze[[#This Row],[OD]]*Mecze[[#This Row],[%OU]],0)</f>
        <v>1</v>
      </c>
      <c r="AD3427" s="36" t="s">
        <v>46</v>
      </c>
      <c r="AE3427" s="36">
        <v>192</v>
      </c>
      <c r="AF3427" s="71">
        <v>5.29</v>
      </c>
      <c r="AG3427" s="37">
        <v>1</v>
      </c>
      <c r="AH3427" s="37">
        <v>0</v>
      </c>
      <c r="AI3427" s="37">
        <v>98</v>
      </c>
      <c r="AJ3427" s="37">
        <v>1</v>
      </c>
      <c r="AK3427" s="37" t="str">
        <f>VLOOKUP(Mecze[[#This Row],[Match ID]],Meczusie[Mecz]:Meczusie[RodzajMeczu],2,FALSE)</f>
        <v>Towarzyski</v>
      </c>
    </row>
    <row r="3428" spans="1:37" x14ac:dyDescent="0.25">
      <c r="A3428" s="76">
        <v>46</v>
      </c>
      <c r="B3428" s="3" t="s">
        <v>395</v>
      </c>
      <c r="C3428" s="2" t="s">
        <v>165</v>
      </c>
      <c r="D3428" s="1">
        <v>0</v>
      </c>
      <c r="E3428" s="1">
        <v>2</v>
      </c>
      <c r="F3428" s="1">
        <v>2</v>
      </c>
      <c r="G3428" s="1">
        <v>5</v>
      </c>
      <c r="H3428" s="4">
        <v>0.6</v>
      </c>
      <c r="I3428" s="1">
        <v>2</v>
      </c>
      <c r="J3428" s="4">
        <v>0</v>
      </c>
      <c r="K3428" s="1">
        <v>0</v>
      </c>
      <c r="L3428" s="1">
        <v>2</v>
      </c>
      <c r="M3428" s="32">
        <f>IF(Mecze[[#This Row],[PR]]=0,0,Mecze[[#This Row],[PR]]/Mecze[[#This Row],[CZAS]])</f>
        <v>2.0408163265306121E-2</v>
      </c>
      <c r="N3428" s="32">
        <f>IF(Mecze[[#This Row],[OU]]=0,0,Mecze[[#This Row],[OU]]/Mecze[[#This Row],[CZAS]])</f>
        <v>0</v>
      </c>
      <c r="O3428" s="32">
        <f>IF(Mecze[[#This Row],[PC]]=0,0,Mecze[[#This Row],[PC]]/Mecze[[#This Row],[CZAS]])</f>
        <v>3.0612244897959183E-2</v>
      </c>
      <c r="P3428" s="32">
        <f>IF(Mecze[[#This Row],[SC]]=0,0,Mecze[[#This Row],[SC]]/Mecze[[#This Row],[CZAS]])</f>
        <v>2.0408163265306121E-2</v>
      </c>
      <c r="Q3428" s="32">
        <f>IF(Mecze[[#This Row],[OB]]=0,0,Mecze[[#This Row],[OB]]/Mecze[[#This Row],[CZAS]])</f>
        <v>0</v>
      </c>
      <c r="R3428" s="32">
        <f>IF(Mecze[[#This Row],[BR]]=0,0,Mecze[[#This Row],[BR]]/Mecze[[#This Row],[CZAS]])</f>
        <v>0</v>
      </c>
      <c r="S3428" s="44">
        <f>IF(Mecze[[#This Row],[Role]]="BR",SUMPRODUCT(Mecze[[#This Row],[/PR:90]:[/BR:90]],Brudnopis!$E$23:$J$23),0)</f>
        <v>0</v>
      </c>
      <c r="T3428" s="44">
        <f>IF(Mecze[[#This Row],[Role]]&lt;&gt;"BR",SUMPRODUCT(Mecze[[#This Row],[/PR:90]:[/BR:90]],Brudnopis!$E$24:$J$24),0)</f>
        <v>7.1428571428571425E-2</v>
      </c>
      <c r="U3428" s="44">
        <f>IF(Mecze[[#This Row],[Role]]&lt;&gt;"BR",SUMPRODUCT(Mecze[[#This Row],[/PR:90]:[/BR:90]],Brudnopis!$E$25:$J$25),0)</f>
        <v>8.6734693877551006E-2</v>
      </c>
      <c r="V3428" s="44">
        <f>IF(Mecze[[#This Row],[Role]]&lt;&gt;"BR",SUMPRODUCT(Mecze[[#This Row],[/PR:90]:[/BR:90]],Brudnopis!$E$26:$J$26),0)</f>
        <v>7.1428571428571425E-2</v>
      </c>
      <c r="W3428" s="44">
        <f>IF(Mecze[[#This Row],[Role]]&lt;&gt;"BR",SUMPRODUCT(Mecze[[#This Row],[/PR:90]:[/BR:90]],Brudnopis!$E$27:$J$27),0)</f>
        <v>8.1632653061224483E-2</v>
      </c>
      <c r="X3428" s="44">
        <f>IF(Mecze[[#This Row],[Role]]&lt;&gt;"BR",SUMPRODUCT(Mecze[[#This Row],[/PR:90]:[/BR:90]],Brudnopis!$E$28:$J$28),0)</f>
        <v>7.1428571428571425E-2</v>
      </c>
      <c r="Y3428" s="35">
        <f>IF(Mecze[[#This Row],[Role]]="BR",Mecze[[#This Row],[/OB:90]]+Mecze[[#This Row],[/PC:90]],SUM(Mecze[[#This Row],[/PR:90]:[/BR:90]]))</f>
        <v>7.1428571428571425E-2</v>
      </c>
      <c r="Z3428" s="35">
        <f>IF(Mecze[[#This Row],[KC]]=0,SUM(Mecze[[#This Row],[/BRI]:[/NPI]]),SUM(Mecze[[#This Row],[/BRI]:[/NPI]])*0.6)</f>
        <v>0.38265306122448972</v>
      </c>
      <c r="AA3428" s="10">
        <f>IFERROR(Mecze[[#This Row],[BR]]/Mecze[[#This Row],[ST]],0)</f>
        <v>0</v>
      </c>
      <c r="AB3428">
        <f>ROUND(Mecze[[#This Row],[PD]]*Mecze[[#This Row],[%PC]],0)</f>
        <v>3</v>
      </c>
      <c r="AC3428">
        <f>ROUND(Mecze[[#This Row],[OD]]*Mecze[[#This Row],[%OU]],0)</f>
        <v>0</v>
      </c>
      <c r="AD3428" s="36" t="s">
        <v>46</v>
      </c>
      <c r="AE3428" s="36">
        <v>192</v>
      </c>
      <c r="AF3428" s="71">
        <v>5.7</v>
      </c>
      <c r="AG3428" s="37">
        <v>0</v>
      </c>
      <c r="AH3428" s="37">
        <v>0</v>
      </c>
      <c r="AI3428" s="37">
        <v>98</v>
      </c>
      <c r="AJ3428" s="37">
        <v>1</v>
      </c>
      <c r="AK3428" s="37" t="str">
        <f>VLOOKUP(Mecze[[#This Row],[Match ID]],Meczusie[Mecz]:Meczusie[RodzajMeczu],2,FALSE)</f>
        <v>Towarzyski</v>
      </c>
    </row>
    <row r="3429" spans="1:37" x14ac:dyDescent="0.25">
      <c r="A3429" s="76">
        <v>39</v>
      </c>
      <c r="B3429" s="3" t="s">
        <v>450</v>
      </c>
      <c r="C3429" s="2" t="s">
        <v>155</v>
      </c>
      <c r="D3429" s="1">
        <v>0</v>
      </c>
      <c r="E3429" s="1">
        <v>0</v>
      </c>
      <c r="F3429" s="1">
        <v>0</v>
      </c>
      <c r="G3429" s="1">
        <v>12</v>
      </c>
      <c r="H3429" s="4">
        <v>0.5</v>
      </c>
      <c r="I3429" s="1">
        <v>0</v>
      </c>
      <c r="J3429" s="4"/>
      <c r="K3429" s="1">
        <v>12</v>
      </c>
      <c r="L3429" s="1">
        <v>0</v>
      </c>
      <c r="M3429" s="32">
        <f>IF(Mecze[[#This Row],[PR]]=0,0,Mecze[[#This Row],[PR]]/Mecze[[#This Row],[CZAS]])</f>
        <v>0</v>
      </c>
      <c r="N3429" s="32">
        <f>IF(Mecze[[#This Row],[OU]]=0,0,Mecze[[#This Row],[OU]]/Mecze[[#This Row],[CZAS]])</f>
        <v>0</v>
      </c>
      <c r="O3429" s="32">
        <f>IF(Mecze[[#This Row],[PC]]=0,0,Mecze[[#This Row],[PC]]/Mecze[[#This Row],[CZAS]])</f>
        <v>6.1855670103092786E-2</v>
      </c>
      <c r="P3429" s="32">
        <f>IF(Mecze[[#This Row],[SC]]=0,0,Mecze[[#This Row],[SC]]/Mecze[[#This Row],[CZAS]])</f>
        <v>0</v>
      </c>
      <c r="Q3429" s="32">
        <f>IF(Mecze[[#This Row],[OB]]=0,0,Mecze[[#This Row],[OB]]/Mecze[[#This Row],[CZAS]])</f>
        <v>0.12371134020618557</v>
      </c>
      <c r="R3429" s="32">
        <f>IF(Mecze[[#This Row],[BR]]=0,0,Mecze[[#This Row],[BR]]/Mecze[[#This Row],[CZAS]])</f>
        <v>0</v>
      </c>
      <c r="S3429" s="44">
        <f>IF(Mecze[[#This Row],[Role]]="BR",SUMPRODUCT(Mecze[[#This Row],[/PR:90]:[/BR:90]],Brudnopis!$E$23:$J$23),0)</f>
        <v>0.55670103092783507</v>
      </c>
      <c r="T3429" s="44">
        <f>IF(Mecze[[#This Row],[Role]]&lt;&gt;"BR",SUMPRODUCT(Mecze[[#This Row],[/PR:90]:[/BR:90]],Brudnopis!$E$24:$J$24),0)</f>
        <v>0</v>
      </c>
      <c r="U3429" s="44">
        <f>IF(Mecze[[#This Row],[Role]]&lt;&gt;"BR",SUMPRODUCT(Mecze[[#This Row],[/PR:90]:[/BR:90]],Brudnopis!$E$25:$J$25),0)</f>
        <v>0</v>
      </c>
      <c r="V3429" s="44">
        <f>IF(Mecze[[#This Row],[Role]]&lt;&gt;"BR",SUMPRODUCT(Mecze[[#This Row],[/PR:90]:[/BR:90]],Brudnopis!$E$26:$J$26),0)</f>
        <v>0</v>
      </c>
      <c r="W3429" s="44">
        <f>IF(Mecze[[#This Row],[Role]]&lt;&gt;"BR",SUMPRODUCT(Mecze[[#This Row],[/PR:90]:[/BR:90]],Brudnopis!$E$27:$J$27),0)</f>
        <v>0</v>
      </c>
      <c r="X3429" s="44">
        <f>IF(Mecze[[#This Row],[Role]]&lt;&gt;"BR",SUMPRODUCT(Mecze[[#This Row],[/PR:90]:[/BR:90]],Brudnopis!$E$28:$J$28),0)</f>
        <v>0</v>
      </c>
      <c r="Y3429" s="35">
        <f>IF(Mecze[[#This Row],[Role]]="BR",Mecze[[#This Row],[/OB:90]]+Mecze[[#This Row],[/PC:90]],SUM(Mecze[[#This Row],[/PR:90]:[/BR:90]]))</f>
        <v>0.18556701030927836</v>
      </c>
      <c r="Z3429" s="35">
        <f>IF(Mecze[[#This Row],[KC]]=0,SUM(Mecze[[#This Row],[/BRI]:[/NPI]]),SUM(Mecze[[#This Row],[/BRI]:[/NPI]])*0.6)</f>
        <v>0.55670103092783507</v>
      </c>
      <c r="AA3429" s="10">
        <f>IFERROR(Mecze[[#This Row],[BR]]/Mecze[[#This Row],[ST]],0)</f>
        <v>0</v>
      </c>
      <c r="AB3429">
        <f>ROUND(Mecze[[#This Row],[PD]]*Mecze[[#This Row],[%PC]],0)</f>
        <v>6</v>
      </c>
      <c r="AC3429">
        <f>ROUND(Mecze[[#This Row],[OD]]*Mecze[[#This Row],[%OU]],0)</f>
        <v>0</v>
      </c>
      <c r="AD3429" s="36" t="s">
        <v>40</v>
      </c>
      <c r="AE3429" s="36">
        <v>193</v>
      </c>
      <c r="AF3429" s="71">
        <v>8.1199999999999992</v>
      </c>
      <c r="AG3429" s="37">
        <v>0</v>
      </c>
      <c r="AH3429" s="37">
        <v>0</v>
      </c>
      <c r="AI3429" s="37">
        <v>97</v>
      </c>
      <c r="AJ3429" s="37">
        <v>1</v>
      </c>
      <c r="AK3429" s="37" t="str">
        <f>VLOOKUP(Mecze[[#This Row],[Match ID]],Meczusie[Mecz]:Meczusie[RodzajMeczu],2,FALSE)</f>
        <v>Towarzyski</v>
      </c>
    </row>
    <row r="3430" spans="1:37" x14ac:dyDescent="0.25">
      <c r="A3430" s="76">
        <v>50</v>
      </c>
      <c r="B3430" s="3" t="s">
        <v>496</v>
      </c>
      <c r="C3430" s="2" t="s">
        <v>157</v>
      </c>
      <c r="D3430" s="1">
        <v>0</v>
      </c>
      <c r="E3430" s="1">
        <v>0</v>
      </c>
      <c r="F3430" s="1">
        <v>0</v>
      </c>
      <c r="G3430" s="1">
        <v>5</v>
      </c>
      <c r="H3430" s="4">
        <v>0.4</v>
      </c>
      <c r="I3430" s="1">
        <v>0</v>
      </c>
      <c r="J3430" s="4"/>
      <c r="K3430" s="1">
        <v>0</v>
      </c>
      <c r="L3430" s="1">
        <v>5</v>
      </c>
      <c r="M3430" s="32">
        <f>IF(Mecze[[#This Row],[PR]]=0,0,Mecze[[#This Row],[PR]]/Mecze[[#This Row],[CZAS]])</f>
        <v>5.1546391752577317E-2</v>
      </c>
      <c r="N3430" s="32">
        <f>IF(Mecze[[#This Row],[OU]]=0,0,Mecze[[#This Row],[OU]]/Mecze[[#This Row],[CZAS]])</f>
        <v>0</v>
      </c>
      <c r="O3430" s="32">
        <f>IF(Mecze[[#This Row],[PC]]=0,0,Mecze[[#This Row],[PC]]/Mecze[[#This Row],[CZAS]])</f>
        <v>2.0618556701030927E-2</v>
      </c>
      <c r="P3430" s="32">
        <f>IF(Mecze[[#This Row],[SC]]=0,0,Mecze[[#This Row],[SC]]/Mecze[[#This Row],[CZAS]])</f>
        <v>0</v>
      </c>
      <c r="Q3430" s="32">
        <f>IF(Mecze[[#This Row],[OB]]=0,0,Mecze[[#This Row],[OB]]/Mecze[[#This Row],[CZAS]])</f>
        <v>0</v>
      </c>
      <c r="R3430" s="32">
        <f>IF(Mecze[[#This Row],[BR]]=0,0,Mecze[[#This Row],[BR]]/Mecze[[#This Row],[CZAS]])</f>
        <v>0</v>
      </c>
      <c r="S3430" s="44">
        <f>IF(Mecze[[#This Row],[Role]]="BR",SUMPRODUCT(Mecze[[#This Row],[/PR:90]:[/BR:90]],Brudnopis!$E$23:$J$23),0)</f>
        <v>0</v>
      </c>
      <c r="T3430" s="44">
        <f>IF(Mecze[[#This Row],[Role]]&lt;&gt;"BR",SUMPRODUCT(Mecze[[#This Row],[/PR:90]:[/BR:90]],Brudnopis!$E$24:$J$24),0)</f>
        <v>7.2164948453608241E-2</v>
      </c>
      <c r="U3430" s="44">
        <f>IF(Mecze[[#This Row],[Role]]&lt;&gt;"BR",SUMPRODUCT(Mecze[[#This Row],[/PR:90]:[/BR:90]],Brudnopis!$E$25:$J$25),0)</f>
        <v>8.247422680412371E-2</v>
      </c>
      <c r="V3430" s="44">
        <f>IF(Mecze[[#This Row],[Role]]&lt;&gt;"BR",SUMPRODUCT(Mecze[[#This Row],[/PR:90]:[/BR:90]],Brudnopis!$E$26:$J$26),0)</f>
        <v>7.2164948453608241E-2</v>
      </c>
      <c r="W3430" s="44">
        <f>IF(Mecze[[#This Row],[Role]]&lt;&gt;"BR",SUMPRODUCT(Mecze[[#This Row],[/PR:90]:[/BR:90]],Brudnopis!$E$27:$J$27),0)</f>
        <v>6.9587628865979384E-2</v>
      </c>
      <c r="X3430" s="44">
        <f>IF(Mecze[[#This Row],[Role]]&lt;&gt;"BR",SUMPRODUCT(Mecze[[#This Row],[/PR:90]:[/BR:90]],Brudnopis!$E$28:$J$28),0)</f>
        <v>2.0618556701030927E-2</v>
      </c>
      <c r="Y3430" s="35">
        <f>IF(Mecze[[#This Row],[Role]]="BR",Mecze[[#This Row],[/OB:90]]+Mecze[[#This Row],[/PC:90]],SUM(Mecze[[#This Row],[/PR:90]:[/BR:90]]))</f>
        <v>7.2164948453608241E-2</v>
      </c>
      <c r="Z3430" s="35">
        <f>IF(Mecze[[#This Row],[KC]]=0,SUM(Mecze[[#This Row],[/BRI]:[/NPI]]),SUM(Mecze[[#This Row],[/BRI]:[/NPI]])*0.6)</f>
        <v>0.3170103092783505</v>
      </c>
      <c r="AA3430" s="10">
        <f>IFERROR(Mecze[[#This Row],[BR]]/Mecze[[#This Row],[ST]],0)</f>
        <v>0</v>
      </c>
      <c r="AB3430">
        <f>ROUND(Mecze[[#This Row],[PD]]*Mecze[[#This Row],[%PC]],0)</f>
        <v>2</v>
      </c>
      <c r="AC3430">
        <f>ROUND(Mecze[[#This Row],[OD]]*Mecze[[#This Row],[%OU]],0)</f>
        <v>0</v>
      </c>
      <c r="AD3430" s="36" t="s">
        <v>47</v>
      </c>
      <c r="AE3430" s="36">
        <v>193</v>
      </c>
      <c r="AF3430" s="71">
        <v>3.75</v>
      </c>
      <c r="AG3430" s="37">
        <v>0</v>
      </c>
      <c r="AH3430" s="37">
        <v>0</v>
      </c>
      <c r="AI3430" s="37">
        <v>97</v>
      </c>
      <c r="AJ3430" s="37">
        <v>1</v>
      </c>
      <c r="AK3430" s="37" t="str">
        <f>VLOOKUP(Mecze[[#This Row],[Match ID]],Meczusie[Mecz]:Meczusie[RodzajMeczu],2,FALSE)</f>
        <v>Towarzyski</v>
      </c>
    </row>
    <row r="3431" spans="1:37" x14ac:dyDescent="0.25">
      <c r="A3431" s="76">
        <v>53</v>
      </c>
      <c r="B3431" s="3" t="s">
        <v>415</v>
      </c>
      <c r="C3431" s="2" t="s">
        <v>157</v>
      </c>
      <c r="D3431" s="1">
        <v>0</v>
      </c>
      <c r="E3431" s="1">
        <v>0</v>
      </c>
      <c r="F3431" s="1">
        <v>0</v>
      </c>
      <c r="G3431" s="1">
        <v>14</v>
      </c>
      <c r="H3431" s="4">
        <v>0.56999999999999995</v>
      </c>
      <c r="I3431" s="1">
        <v>4</v>
      </c>
      <c r="J3431" s="4">
        <v>0.25</v>
      </c>
      <c r="K3431" s="1">
        <v>0</v>
      </c>
      <c r="L3431" s="1">
        <v>11</v>
      </c>
      <c r="M3431" s="32">
        <f>IF(Mecze[[#This Row],[PR]]=0,0,Mecze[[#This Row],[PR]]/Mecze[[#This Row],[CZAS]])</f>
        <v>0.1134020618556701</v>
      </c>
      <c r="N3431" s="32">
        <f>IF(Mecze[[#This Row],[OU]]=0,0,Mecze[[#This Row],[OU]]/Mecze[[#This Row],[CZAS]])</f>
        <v>1.0309278350515464E-2</v>
      </c>
      <c r="O3431" s="32">
        <f>IF(Mecze[[#This Row],[PC]]=0,0,Mecze[[#This Row],[PC]]/Mecze[[#This Row],[CZAS]])</f>
        <v>8.247422680412371E-2</v>
      </c>
      <c r="P3431" s="32">
        <f>IF(Mecze[[#This Row],[SC]]=0,0,Mecze[[#This Row],[SC]]/Mecze[[#This Row],[CZAS]])</f>
        <v>0</v>
      </c>
      <c r="Q3431" s="32">
        <f>IF(Mecze[[#This Row],[OB]]=0,0,Mecze[[#This Row],[OB]]/Mecze[[#This Row],[CZAS]])</f>
        <v>0</v>
      </c>
      <c r="R3431" s="32">
        <f>IF(Mecze[[#This Row],[BR]]=0,0,Mecze[[#This Row],[BR]]/Mecze[[#This Row],[CZAS]])</f>
        <v>0</v>
      </c>
      <c r="S3431" s="44">
        <f>IF(Mecze[[#This Row],[Role]]="BR",SUMPRODUCT(Mecze[[#This Row],[/PR:90]:[/BR:90]],Brudnopis!$E$23:$J$23),0)</f>
        <v>0</v>
      </c>
      <c r="T3431" s="44">
        <f>IF(Mecze[[#This Row],[Role]]&lt;&gt;"BR",SUMPRODUCT(Mecze[[#This Row],[/PR:90]:[/BR:90]],Brudnopis!$E$24:$J$24),0)</f>
        <v>0.21134020618556698</v>
      </c>
      <c r="U3431" s="44">
        <f>IF(Mecze[[#This Row],[Role]]&lt;&gt;"BR",SUMPRODUCT(Mecze[[#This Row],[/PR:90]:[/BR:90]],Brudnopis!$E$25:$J$25),0)</f>
        <v>0.24742268041237114</v>
      </c>
      <c r="V3431" s="44">
        <f>IF(Mecze[[#This Row],[Role]]&lt;&gt;"BR",SUMPRODUCT(Mecze[[#This Row],[/PR:90]:[/BR:90]],Brudnopis!$E$26:$J$26),0)</f>
        <v>0.20618556701030927</v>
      </c>
      <c r="W3431" s="44">
        <f>IF(Mecze[[#This Row],[Role]]&lt;&gt;"BR",SUMPRODUCT(Mecze[[#This Row],[/PR:90]:[/BR:90]],Brudnopis!$E$27:$J$27),0)</f>
        <v>0.21649484536082475</v>
      </c>
      <c r="X3431" s="44">
        <f>IF(Mecze[[#This Row],[Role]]&lt;&gt;"BR",SUMPRODUCT(Mecze[[#This Row],[/PR:90]:[/BR:90]],Brudnopis!$E$28:$J$28),0)</f>
        <v>8.247422680412371E-2</v>
      </c>
      <c r="Y3431" s="35">
        <f>IF(Mecze[[#This Row],[Role]]="BR",Mecze[[#This Row],[/OB:90]]+Mecze[[#This Row],[/PC:90]],SUM(Mecze[[#This Row],[/PR:90]:[/BR:90]]))</f>
        <v>0.20618556701030927</v>
      </c>
      <c r="Z3431" s="35">
        <f>IF(Mecze[[#This Row],[KC]]=0,SUM(Mecze[[#This Row],[/BRI]:[/NPI]]),SUM(Mecze[[#This Row],[/BRI]:[/NPI]])*0.6)</f>
        <v>0.96391752577319589</v>
      </c>
      <c r="AA3431" s="10">
        <f>IFERROR(Mecze[[#This Row],[BR]]/Mecze[[#This Row],[ST]],0)</f>
        <v>0</v>
      </c>
      <c r="AB3431">
        <f>ROUND(Mecze[[#This Row],[PD]]*Mecze[[#This Row],[%PC]],0)</f>
        <v>8</v>
      </c>
      <c r="AC3431">
        <f>ROUND(Mecze[[#This Row],[OD]]*Mecze[[#This Row],[%OU]],0)</f>
        <v>1</v>
      </c>
      <c r="AD3431" s="36" t="s">
        <v>167</v>
      </c>
      <c r="AE3431" s="36">
        <v>193</v>
      </c>
      <c r="AF3431" s="71">
        <v>5.01</v>
      </c>
      <c r="AG3431" s="37">
        <v>0</v>
      </c>
      <c r="AH3431" s="37">
        <v>0</v>
      </c>
      <c r="AI3431" s="37">
        <v>97</v>
      </c>
      <c r="AJ3431" s="37">
        <v>1</v>
      </c>
      <c r="AK3431" s="37" t="str">
        <f>VLOOKUP(Mecze[[#This Row],[Match ID]],Meczusie[Mecz]:Meczusie[RodzajMeczu],2,FALSE)</f>
        <v>Towarzyski</v>
      </c>
    </row>
    <row r="3432" spans="1:37" x14ac:dyDescent="0.25">
      <c r="A3432" s="76">
        <v>42</v>
      </c>
      <c r="B3432" s="3" t="s">
        <v>361</v>
      </c>
      <c r="C3432" s="2" t="s">
        <v>157</v>
      </c>
      <c r="D3432" s="1">
        <v>0</v>
      </c>
      <c r="E3432" s="1">
        <v>0</v>
      </c>
      <c r="F3432" s="1">
        <v>0</v>
      </c>
      <c r="G3432" s="1">
        <v>14</v>
      </c>
      <c r="H3432" s="4">
        <v>0.43</v>
      </c>
      <c r="I3432" s="1">
        <v>9</v>
      </c>
      <c r="J3432" s="4">
        <v>0.33</v>
      </c>
      <c r="K3432" s="1">
        <v>0</v>
      </c>
      <c r="L3432" s="1">
        <v>10</v>
      </c>
      <c r="M3432" s="32">
        <f>IF(Mecze[[#This Row],[PR]]=0,0,Mecze[[#This Row],[PR]]/Mecze[[#This Row],[CZAS]])</f>
        <v>0.10309278350515463</v>
      </c>
      <c r="N3432" s="32">
        <f>IF(Mecze[[#This Row],[OU]]=0,0,Mecze[[#This Row],[OU]]/Mecze[[#This Row],[CZAS]])</f>
        <v>3.0927835051546393E-2</v>
      </c>
      <c r="O3432" s="32">
        <f>IF(Mecze[[#This Row],[PC]]=0,0,Mecze[[#This Row],[PC]]/Mecze[[#This Row],[CZAS]])</f>
        <v>6.1855670103092786E-2</v>
      </c>
      <c r="P3432" s="32">
        <f>IF(Mecze[[#This Row],[SC]]=0,0,Mecze[[#This Row],[SC]]/Mecze[[#This Row],[CZAS]])</f>
        <v>0</v>
      </c>
      <c r="Q3432" s="32">
        <f>IF(Mecze[[#This Row],[OB]]=0,0,Mecze[[#This Row],[OB]]/Mecze[[#This Row],[CZAS]])</f>
        <v>0</v>
      </c>
      <c r="R3432" s="32">
        <f>IF(Mecze[[#This Row],[BR]]=0,0,Mecze[[#This Row],[BR]]/Mecze[[#This Row],[CZAS]])</f>
        <v>0</v>
      </c>
      <c r="S3432" s="44">
        <f>IF(Mecze[[#This Row],[Role]]="BR",SUMPRODUCT(Mecze[[#This Row],[/PR:90]:[/BR:90]],Brudnopis!$E$23:$J$23),0)</f>
        <v>0</v>
      </c>
      <c r="T3432" s="44">
        <f>IF(Mecze[[#This Row],[Role]]&lt;&gt;"BR",SUMPRODUCT(Mecze[[#This Row],[/PR:90]:[/BR:90]],Brudnopis!$E$24:$J$24),0)</f>
        <v>0.21134020618556701</v>
      </c>
      <c r="U3432" s="44">
        <f>IF(Mecze[[#This Row],[Role]]&lt;&gt;"BR",SUMPRODUCT(Mecze[[#This Row],[/PR:90]:[/BR:90]],Brudnopis!$E$25:$J$25),0)</f>
        <v>0.22680412371134021</v>
      </c>
      <c r="V3432" s="44">
        <f>IF(Mecze[[#This Row],[Role]]&lt;&gt;"BR",SUMPRODUCT(Mecze[[#This Row],[/PR:90]:[/BR:90]],Brudnopis!$E$26:$J$26),0)</f>
        <v>0.19587628865979381</v>
      </c>
      <c r="W3432" s="44">
        <f>IF(Mecze[[#This Row],[Role]]&lt;&gt;"BR",SUMPRODUCT(Mecze[[#This Row],[/PR:90]:[/BR:90]],Brudnopis!$E$27:$J$27),0)</f>
        <v>0.19329896907216496</v>
      </c>
      <c r="X3432" s="44">
        <f>IF(Mecze[[#This Row],[Role]]&lt;&gt;"BR",SUMPRODUCT(Mecze[[#This Row],[/PR:90]:[/BR:90]],Brudnopis!$E$28:$J$28),0)</f>
        <v>6.1855670103092786E-2</v>
      </c>
      <c r="Y3432" s="35">
        <f>IF(Mecze[[#This Row],[Role]]="BR",Mecze[[#This Row],[/OB:90]]+Mecze[[#This Row],[/PC:90]],SUM(Mecze[[#This Row],[/PR:90]:[/BR:90]]))</f>
        <v>0.19587628865979381</v>
      </c>
      <c r="Z3432" s="35">
        <f>IF(Mecze[[#This Row],[KC]]=0,SUM(Mecze[[#This Row],[/BRI]:[/NPI]]),SUM(Mecze[[#This Row],[/BRI]:[/NPI]])*0.6)</f>
        <v>0.88917525773195871</v>
      </c>
      <c r="AA3432" s="10">
        <f>IFERROR(Mecze[[#This Row],[BR]]/Mecze[[#This Row],[ST]],0)</f>
        <v>0</v>
      </c>
      <c r="AB3432">
        <f>ROUND(Mecze[[#This Row],[PD]]*Mecze[[#This Row],[%PC]],0)</f>
        <v>6</v>
      </c>
      <c r="AC3432">
        <f>ROUND(Mecze[[#This Row],[OD]]*Mecze[[#This Row],[%OU]],0)</f>
        <v>3</v>
      </c>
      <c r="AD3432" s="36" t="s">
        <v>168</v>
      </c>
      <c r="AE3432" s="36">
        <v>193</v>
      </c>
      <c r="AF3432" s="71">
        <v>4.8</v>
      </c>
      <c r="AG3432" s="37">
        <v>0</v>
      </c>
      <c r="AH3432" s="37">
        <v>0</v>
      </c>
      <c r="AI3432" s="37">
        <v>97</v>
      </c>
      <c r="AJ3432" s="37">
        <v>1</v>
      </c>
      <c r="AK3432" s="37" t="str">
        <f>VLOOKUP(Mecze[[#This Row],[Match ID]],Meczusie[Mecz]:Meczusie[RodzajMeczu],2,FALSE)</f>
        <v>Towarzyski</v>
      </c>
    </row>
    <row r="3433" spans="1:37" x14ac:dyDescent="0.25">
      <c r="A3433" s="76">
        <v>52</v>
      </c>
      <c r="B3433" s="3" t="s">
        <v>408</v>
      </c>
      <c r="C3433" s="2" t="s">
        <v>160</v>
      </c>
      <c r="D3433" s="1">
        <v>0</v>
      </c>
      <c r="E3433" s="1">
        <v>0</v>
      </c>
      <c r="F3433" s="1">
        <v>0</v>
      </c>
      <c r="G3433" s="1">
        <v>7</v>
      </c>
      <c r="H3433" s="4">
        <v>0.56999999999999995</v>
      </c>
      <c r="I3433" s="1">
        <v>2</v>
      </c>
      <c r="J3433" s="4">
        <v>0.5</v>
      </c>
      <c r="K3433" s="1">
        <v>0</v>
      </c>
      <c r="L3433" s="1">
        <v>7</v>
      </c>
      <c r="M3433" s="32">
        <f>IF(Mecze[[#This Row],[PR]]=0,0,Mecze[[#This Row],[PR]]/Mecze[[#This Row],[CZAS]])</f>
        <v>7.2164948453608241E-2</v>
      </c>
      <c r="N3433" s="32">
        <f>IF(Mecze[[#This Row],[OU]]=0,0,Mecze[[#This Row],[OU]]/Mecze[[#This Row],[CZAS]])</f>
        <v>1.0309278350515464E-2</v>
      </c>
      <c r="O3433" s="32">
        <f>IF(Mecze[[#This Row],[PC]]=0,0,Mecze[[#This Row],[PC]]/Mecze[[#This Row],[CZAS]])</f>
        <v>4.1237113402061855E-2</v>
      </c>
      <c r="P3433" s="32">
        <f>IF(Mecze[[#This Row],[SC]]=0,0,Mecze[[#This Row],[SC]]/Mecze[[#This Row],[CZAS]])</f>
        <v>0</v>
      </c>
      <c r="Q3433" s="32">
        <f>IF(Mecze[[#This Row],[OB]]=0,0,Mecze[[#This Row],[OB]]/Mecze[[#This Row],[CZAS]])</f>
        <v>0</v>
      </c>
      <c r="R3433" s="32">
        <f>IF(Mecze[[#This Row],[BR]]=0,0,Mecze[[#This Row],[BR]]/Mecze[[#This Row],[CZAS]])</f>
        <v>0</v>
      </c>
      <c r="S3433" s="44">
        <f>IF(Mecze[[#This Row],[Role]]="BR",SUMPRODUCT(Mecze[[#This Row],[/PR:90]:[/BR:90]],Brudnopis!$E$23:$J$23),0)</f>
        <v>0</v>
      </c>
      <c r="T3433" s="44">
        <f>IF(Mecze[[#This Row],[Role]]&lt;&gt;"BR",SUMPRODUCT(Mecze[[#This Row],[/PR:90]:[/BR:90]],Brudnopis!$E$24:$J$24),0)</f>
        <v>0.12886597938144329</v>
      </c>
      <c r="U3433" s="44">
        <f>IF(Mecze[[#This Row],[Role]]&lt;&gt;"BR",SUMPRODUCT(Mecze[[#This Row],[/PR:90]:[/BR:90]],Brudnopis!$E$25:$J$25),0)</f>
        <v>0.14432989690721648</v>
      </c>
      <c r="V3433" s="44">
        <f>IF(Mecze[[#This Row],[Role]]&lt;&gt;"BR",SUMPRODUCT(Mecze[[#This Row],[/PR:90]:[/BR:90]],Brudnopis!$E$26:$J$26),0)</f>
        <v>0.12371134020618557</v>
      </c>
      <c r="W3433" s="44">
        <f>IF(Mecze[[#This Row],[Role]]&lt;&gt;"BR",SUMPRODUCT(Mecze[[#This Row],[/PR:90]:[/BR:90]],Brudnopis!$E$27:$J$27),0)</f>
        <v>0.12371134020618557</v>
      </c>
      <c r="X3433" s="44">
        <f>IF(Mecze[[#This Row],[Role]]&lt;&gt;"BR",SUMPRODUCT(Mecze[[#This Row],[/PR:90]:[/BR:90]],Brudnopis!$E$28:$J$28),0)</f>
        <v>4.1237113402061855E-2</v>
      </c>
      <c r="Y3433" s="35">
        <f>IF(Mecze[[#This Row],[Role]]="BR",Mecze[[#This Row],[/OB:90]]+Mecze[[#This Row],[/PC:90]],SUM(Mecze[[#This Row],[/PR:90]:[/BR:90]]))</f>
        <v>0.12371134020618557</v>
      </c>
      <c r="Z3433" s="35">
        <f>IF(Mecze[[#This Row],[KC]]=0,SUM(Mecze[[#This Row],[/BRI]:[/NPI]]),SUM(Mecze[[#This Row],[/BRI]:[/NPI]])*0.6)</f>
        <v>0.56185567010309267</v>
      </c>
      <c r="AA3433" s="10">
        <f>IFERROR(Mecze[[#This Row],[BR]]/Mecze[[#This Row],[ST]],0)</f>
        <v>0</v>
      </c>
      <c r="AB3433">
        <f>ROUND(Mecze[[#This Row],[PD]]*Mecze[[#This Row],[%PC]],0)</f>
        <v>4</v>
      </c>
      <c r="AC3433">
        <f>ROUND(Mecze[[#This Row],[OD]]*Mecze[[#This Row],[%OU]],0)</f>
        <v>1</v>
      </c>
      <c r="AD3433" s="36" t="s">
        <v>41</v>
      </c>
      <c r="AE3433" s="36">
        <v>193</v>
      </c>
      <c r="AF3433" s="71">
        <v>5.38</v>
      </c>
      <c r="AG3433" s="37">
        <v>0</v>
      </c>
      <c r="AH3433" s="37">
        <v>0</v>
      </c>
      <c r="AI3433" s="37">
        <v>97</v>
      </c>
      <c r="AJ3433" s="37">
        <v>1</v>
      </c>
      <c r="AK3433" s="37" t="str">
        <f>VLOOKUP(Mecze[[#This Row],[Match ID]],Meczusie[Mecz]:Meczusie[RodzajMeczu],2,FALSE)</f>
        <v>Towarzyski</v>
      </c>
    </row>
    <row r="3434" spans="1:37" x14ac:dyDescent="0.25">
      <c r="A3434" s="76">
        <v>40</v>
      </c>
      <c r="B3434" s="3" t="s">
        <v>453</v>
      </c>
      <c r="C3434" s="2" t="s">
        <v>160</v>
      </c>
      <c r="D3434" s="1">
        <v>0</v>
      </c>
      <c r="E3434" s="1">
        <v>0</v>
      </c>
      <c r="F3434" s="1">
        <v>0</v>
      </c>
      <c r="G3434" s="1">
        <v>14</v>
      </c>
      <c r="H3434" s="4">
        <v>0.43</v>
      </c>
      <c r="I3434" s="1">
        <v>9</v>
      </c>
      <c r="J3434" s="4">
        <v>0.33</v>
      </c>
      <c r="K3434" s="1">
        <v>0</v>
      </c>
      <c r="L3434" s="1">
        <v>10</v>
      </c>
      <c r="M3434" s="32">
        <f>IF(Mecze[[#This Row],[PR]]=0,0,Mecze[[#This Row],[PR]]/Mecze[[#This Row],[CZAS]])</f>
        <v>0.10309278350515463</v>
      </c>
      <c r="N3434" s="32">
        <f>IF(Mecze[[#This Row],[OU]]=0,0,Mecze[[#This Row],[OU]]/Mecze[[#This Row],[CZAS]])</f>
        <v>3.0927835051546393E-2</v>
      </c>
      <c r="O3434" s="32">
        <f>IF(Mecze[[#This Row],[PC]]=0,0,Mecze[[#This Row],[PC]]/Mecze[[#This Row],[CZAS]])</f>
        <v>6.1855670103092786E-2</v>
      </c>
      <c r="P3434" s="32">
        <f>IF(Mecze[[#This Row],[SC]]=0,0,Mecze[[#This Row],[SC]]/Mecze[[#This Row],[CZAS]])</f>
        <v>0</v>
      </c>
      <c r="Q3434" s="32">
        <f>IF(Mecze[[#This Row],[OB]]=0,0,Mecze[[#This Row],[OB]]/Mecze[[#This Row],[CZAS]])</f>
        <v>0</v>
      </c>
      <c r="R3434" s="32">
        <f>IF(Mecze[[#This Row],[BR]]=0,0,Mecze[[#This Row],[BR]]/Mecze[[#This Row],[CZAS]])</f>
        <v>0</v>
      </c>
      <c r="S3434" s="44">
        <f>IF(Mecze[[#This Row],[Role]]="BR",SUMPRODUCT(Mecze[[#This Row],[/PR:90]:[/BR:90]],Brudnopis!$E$23:$J$23),0)</f>
        <v>0</v>
      </c>
      <c r="T3434" s="44">
        <f>IF(Mecze[[#This Row],[Role]]&lt;&gt;"BR",SUMPRODUCT(Mecze[[#This Row],[/PR:90]:[/BR:90]],Brudnopis!$E$24:$J$24),0)</f>
        <v>0.21134020618556701</v>
      </c>
      <c r="U3434" s="44">
        <f>IF(Mecze[[#This Row],[Role]]&lt;&gt;"BR",SUMPRODUCT(Mecze[[#This Row],[/PR:90]:[/BR:90]],Brudnopis!$E$25:$J$25),0)</f>
        <v>0.22680412371134021</v>
      </c>
      <c r="V3434" s="44">
        <f>IF(Mecze[[#This Row],[Role]]&lt;&gt;"BR",SUMPRODUCT(Mecze[[#This Row],[/PR:90]:[/BR:90]],Brudnopis!$E$26:$J$26),0)</f>
        <v>0.19587628865979381</v>
      </c>
      <c r="W3434" s="44">
        <f>IF(Mecze[[#This Row],[Role]]&lt;&gt;"BR",SUMPRODUCT(Mecze[[#This Row],[/PR:90]:[/BR:90]],Brudnopis!$E$27:$J$27),0)</f>
        <v>0.19329896907216496</v>
      </c>
      <c r="X3434" s="44">
        <f>IF(Mecze[[#This Row],[Role]]&lt;&gt;"BR",SUMPRODUCT(Mecze[[#This Row],[/PR:90]:[/BR:90]],Brudnopis!$E$28:$J$28),0)</f>
        <v>6.1855670103092786E-2</v>
      </c>
      <c r="Y3434" s="35">
        <f>IF(Mecze[[#This Row],[Role]]="BR",Mecze[[#This Row],[/OB:90]]+Mecze[[#This Row],[/PC:90]],SUM(Mecze[[#This Row],[/PR:90]:[/BR:90]]))</f>
        <v>0.19587628865979381</v>
      </c>
      <c r="Z3434" s="35">
        <f>IF(Mecze[[#This Row],[KC]]=0,SUM(Mecze[[#This Row],[/BRI]:[/NPI]]),SUM(Mecze[[#This Row],[/BRI]:[/NPI]])*0.6)</f>
        <v>0.88917525773195871</v>
      </c>
      <c r="AA3434" s="10">
        <f>IFERROR(Mecze[[#This Row],[BR]]/Mecze[[#This Row],[ST]],0)</f>
        <v>0</v>
      </c>
      <c r="AB3434">
        <f>ROUND(Mecze[[#This Row],[PD]]*Mecze[[#This Row],[%PC]],0)</f>
        <v>6</v>
      </c>
      <c r="AC3434">
        <f>ROUND(Mecze[[#This Row],[OD]]*Mecze[[#This Row],[%OU]],0)</f>
        <v>3</v>
      </c>
      <c r="AD3434" s="36" t="s">
        <v>41</v>
      </c>
      <c r="AE3434" s="36">
        <v>193</v>
      </c>
      <c r="AF3434" s="71">
        <v>4.8</v>
      </c>
      <c r="AG3434" s="37">
        <v>0</v>
      </c>
      <c r="AH3434" s="37">
        <v>0</v>
      </c>
      <c r="AI3434" s="37">
        <v>97</v>
      </c>
      <c r="AJ3434" s="37">
        <v>1</v>
      </c>
      <c r="AK3434" s="37" t="str">
        <f>VLOOKUP(Mecze[[#This Row],[Match ID]],Meczusie[Mecz]:Meczusie[RodzajMeczu],2,FALSE)</f>
        <v>Towarzyski</v>
      </c>
    </row>
    <row r="3435" spans="1:37" x14ac:dyDescent="0.25">
      <c r="A3435" s="76">
        <v>25</v>
      </c>
      <c r="B3435" s="3" t="s">
        <v>366</v>
      </c>
      <c r="C3435" s="2" t="s">
        <v>160</v>
      </c>
      <c r="D3435" s="1">
        <v>0</v>
      </c>
      <c r="E3435" s="1">
        <v>0</v>
      </c>
      <c r="F3435" s="1">
        <v>0</v>
      </c>
      <c r="G3435" s="1">
        <v>6</v>
      </c>
      <c r="H3435" s="4">
        <v>0.5</v>
      </c>
      <c r="I3435" s="1">
        <v>6</v>
      </c>
      <c r="J3435" s="4">
        <v>0.5</v>
      </c>
      <c r="K3435" s="1">
        <v>0</v>
      </c>
      <c r="L3435" s="1">
        <v>1</v>
      </c>
      <c r="M3435" s="32">
        <f>IF(Mecze[[#This Row],[PR]]=0,0,Mecze[[#This Row],[PR]]/Mecze[[#This Row],[CZAS]])</f>
        <v>1.0309278350515464E-2</v>
      </c>
      <c r="N3435" s="32">
        <f>IF(Mecze[[#This Row],[OU]]=0,0,Mecze[[#This Row],[OU]]/Mecze[[#This Row],[CZAS]])</f>
        <v>3.0927835051546393E-2</v>
      </c>
      <c r="O3435" s="32">
        <f>IF(Mecze[[#This Row],[PC]]=0,0,Mecze[[#This Row],[PC]]/Mecze[[#This Row],[CZAS]])</f>
        <v>3.0927835051546393E-2</v>
      </c>
      <c r="P3435" s="32">
        <f>IF(Mecze[[#This Row],[SC]]=0,0,Mecze[[#This Row],[SC]]/Mecze[[#This Row],[CZAS]])</f>
        <v>0</v>
      </c>
      <c r="Q3435" s="32">
        <f>IF(Mecze[[#This Row],[OB]]=0,0,Mecze[[#This Row],[OB]]/Mecze[[#This Row],[CZAS]])</f>
        <v>0</v>
      </c>
      <c r="R3435" s="32">
        <f>IF(Mecze[[#This Row],[BR]]=0,0,Mecze[[#This Row],[BR]]/Mecze[[#This Row],[CZAS]])</f>
        <v>0</v>
      </c>
      <c r="S3435" s="44">
        <f>IF(Mecze[[#This Row],[Role]]="BR",SUMPRODUCT(Mecze[[#This Row],[/PR:90]:[/BR:90]],Brudnopis!$E$23:$J$23),0)</f>
        <v>0</v>
      </c>
      <c r="T3435" s="44">
        <f>IF(Mecze[[#This Row],[Role]]&lt;&gt;"BR",SUMPRODUCT(Mecze[[#This Row],[/PR:90]:[/BR:90]],Brudnopis!$E$24:$J$24),0)</f>
        <v>8.7628865979381437E-2</v>
      </c>
      <c r="U3435" s="44">
        <f>IF(Mecze[[#This Row],[Role]]&lt;&gt;"BR",SUMPRODUCT(Mecze[[#This Row],[/PR:90]:[/BR:90]],Brudnopis!$E$25:$J$25),0)</f>
        <v>8.7628865979381437E-2</v>
      </c>
      <c r="V3435" s="44">
        <f>IF(Mecze[[#This Row],[Role]]&lt;&gt;"BR",SUMPRODUCT(Mecze[[#This Row],[/PR:90]:[/BR:90]],Brudnopis!$E$26:$J$26),0)</f>
        <v>7.2164948453608241E-2</v>
      </c>
      <c r="W3435" s="44">
        <f>IF(Mecze[[#This Row],[Role]]&lt;&gt;"BR",SUMPRODUCT(Mecze[[#This Row],[/PR:90]:[/BR:90]],Brudnopis!$E$27:$J$27),0)</f>
        <v>7.7319587628865982E-2</v>
      </c>
      <c r="X3435" s="44">
        <f>IF(Mecze[[#This Row],[Role]]&lt;&gt;"BR",SUMPRODUCT(Mecze[[#This Row],[/PR:90]:[/BR:90]],Brudnopis!$E$28:$J$28),0)</f>
        <v>3.0927835051546393E-2</v>
      </c>
      <c r="Y3435" s="35">
        <f>IF(Mecze[[#This Row],[Role]]="BR",Mecze[[#This Row],[/OB:90]]+Mecze[[#This Row],[/PC:90]],SUM(Mecze[[#This Row],[/PR:90]:[/BR:90]]))</f>
        <v>7.2164948453608241E-2</v>
      </c>
      <c r="Z3435" s="35">
        <f>IF(Mecze[[#This Row],[KC]]=0,SUM(Mecze[[#This Row],[/BRI]:[/NPI]]),SUM(Mecze[[#This Row],[/BRI]:[/NPI]])*0.6)</f>
        <v>0.35567010309278346</v>
      </c>
      <c r="AA3435" s="10">
        <f>IFERROR(Mecze[[#This Row],[BR]]/Mecze[[#This Row],[ST]],0)</f>
        <v>0</v>
      </c>
      <c r="AB3435">
        <f>ROUND(Mecze[[#This Row],[PD]]*Mecze[[#This Row],[%PC]],0)</f>
        <v>3</v>
      </c>
      <c r="AC3435">
        <f>ROUND(Mecze[[#This Row],[OD]]*Mecze[[#This Row],[%OU]],0)</f>
        <v>3</v>
      </c>
      <c r="AD3435" s="36" t="s">
        <v>44</v>
      </c>
      <c r="AE3435" s="36">
        <v>193</v>
      </c>
      <c r="AF3435" s="71">
        <v>4.12</v>
      </c>
      <c r="AG3435" s="37">
        <v>0</v>
      </c>
      <c r="AH3435" s="37">
        <v>0</v>
      </c>
      <c r="AI3435" s="37">
        <v>97</v>
      </c>
      <c r="AJ3435" s="37">
        <v>1</v>
      </c>
      <c r="AK3435" s="37" t="str">
        <f>VLOOKUP(Mecze[[#This Row],[Match ID]],Meczusie[Mecz]:Meczusie[RodzajMeczu],2,FALSE)</f>
        <v>Towarzyski</v>
      </c>
    </row>
    <row r="3436" spans="1:37" x14ac:dyDescent="0.25">
      <c r="A3436" s="76">
        <v>45</v>
      </c>
      <c r="B3436" s="3" t="s">
        <v>394</v>
      </c>
      <c r="C3436" s="2" t="s">
        <v>160</v>
      </c>
      <c r="D3436" s="1">
        <v>0</v>
      </c>
      <c r="E3436" s="1">
        <v>1</v>
      </c>
      <c r="F3436" s="1">
        <v>1</v>
      </c>
      <c r="G3436" s="1">
        <v>9</v>
      </c>
      <c r="H3436" s="4">
        <v>0.67</v>
      </c>
      <c r="I3436" s="1">
        <v>5</v>
      </c>
      <c r="J3436" s="4">
        <v>0.4</v>
      </c>
      <c r="K3436" s="1">
        <v>0</v>
      </c>
      <c r="L3436" s="1">
        <v>1</v>
      </c>
      <c r="M3436" s="32">
        <f>IF(Mecze[[#This Row],[PR]]=0,0,Mecze[[#This Row],[PR]]/Mecze[[#This Row],[CZAS]])</f>
        <v>1.0309278350515464E-2</v>
      </c>
      <c r="N3436" s="32">
        <f>IF(Mecze[[#This Row],[OU]]=0,0,Mecze[[#This Row],[OU]]/Mecze[[#This Row],[CZAS]])</f>
        <v>2.0618556701030927E-2</v>
      </c>
      <c r="O3436" s="32">
        <f>IF(Mecze[[#This Row],[PC]]=0,0,Mecze[[#This Row],[PC]]/Mecze[[#This Row],[CZAS]])</f>
        <v>6.1855670103092786E-2</v>
      </c>
      <c r="P3436" s="32">
        <f>IF(Mecze[[#This Row],[SC]]=0,0,Mecze[[#This Row],[SC]]/Mecze[[#This Row],[CZAS]])</f>
        <v>1.0309278350515464E-2</v>
      </c>
      <c r="Q3436" s="32">
        <f>IF(Mecze[[#This Row],[OB]]=0,0,Mecze[[#This Row],[OB]]/Mecze[[#This Row],[CZAS]])</f>
        <v>0</v>
      </c>
      <c r="R3436" s="32">
        <f>IF(Mecze[[#This Row],[BR]]=0,0,Mecze[[#This Row],[BR]]/Mecze[[#This Row],[CZAS]])</f>
        <v>0</v>
      </c>
      <c r="S3436" s="44">
        <f>IF(Mecze[[#This Row],[Role]]="BR",SUMPRODUCT(Mecze[[#This Row],[/PR:90]:[/BR:90]],Brudnopis!$E$23:$J$23),0)</f>
        <v>0</v>
      </c>
      <c r="T3436" s="44">
        <f>IF(Mecze[[#This Row],[Role]]&lt;&gt;"BR",SUMPRODUCT(Mecze[[#This Row],[/PR:90]:[/BR:90]],Brudnopis!$E$24:$J$24),0)</f>
        <v>0.1134020618556701</v>
      </c>
      <c r="U3436" s="44">
        <f>IF(Mecze[[#This Row],[Role]]&lt;&gt;"BR",SUMPRODUCT(Mecze[[#This Row],[/PR:90]:[/BR:90]],Brudnopis!$E$25:$J$25),0)</f>
        <v>0.13402061855670103</v>
      </c>
      <c r="V3436" s="44">
        <f>IF(Mecze[[#This Row],[Role]]&lt;&gt;"BR",SUMPRODUCT(Mecze[[#This Row],[/PR:90]:[/BR:90]],Brudnopis!$E$26:$J$26),0)</f>
        <v>0.10309278350515465</v>
      </c>
      <c r="W3436" s="44">
        <f>IF(Mecze[[#This Row],[Role]]&lt;&gt;"BR",SUMPRODUCT(Mecze[[#This Row],[/PR:90]:[/BR:90]],Brudnopis!$E$27:$J$27),0)</f>
        <v>0.12628865979381443</v>
      </c>
      <c r="X3436" s="44">
        <f>IF(Mecze[[#This Row],[Role]]&lt;&gt;"BR",SUMPRODUCT(Mecze[[#This Row],[/PR:90]:[/BR:90]],Brudnopis!$E$28:$J$28),0)</f>
        <v>8.247422680412371E-2</v>
      </c>
      <c r="Y3436" s="35">
        <f>IF(Mecze[[#This Row],[Role]]="BR",Mecze[[#This Row],[/OB:90]]+Mecze[[#This Row],[/PC:90]],SUM(Mecze[[#This Row],[/PR:90]:[/BR:90]]))</f>
        <v>0.10309278350515465</v>
      </c>
      <c r="Z3436" s="35">
        <f>IF(Mecze[[#This Row],[KC]]=0,SUM(Mecze[[#This Row],[/BRI]:[/NPI]]),SUM(Mecze[[#This Row],[/BRI]:[/NPI]])*0.6)</f>
        <v>0.55927835051546393</v>
      </c>
      <c r="AA3436" s="10">
        <f>IFERROR(Mecze[[#This Row],[BR]]/Mecze[[#This Row],[ST]],0)</f>
        <v>0</v>
      </c>
      <c r="AB3436">
        <f>ROUND(Mecze[[#This Row],[PD]]*Mecze[[#This Row],[%PC]],0)</f>
        <v>6</v>
      </c>
      <c r="AC3436">
        <f>ROUND(Mecze[[#This Row],[OD]]*Mecze[[#This Row],[%OU]],0)</f>
        <v>2</v>
      </c>
      <c r="AD3436" s="36" t="s">
        <v>44</v>
      </c>
      <c r="AE3436" s="36">
        <v>193</v>
      </c>
      <c r="AF3436" s="71">
        <v>4.3499999999999996</v>
      </c>
      <c r="AG3436" s="37">
        <v>0</v>
      </c>
      <c r="AH3436" s="37">
        <v>0</v>
      </c>
      <c r="AI3436" s="37">
        <v>97</v>
      </c>
      <c r="AJ3436" s="37">
        <v>1</v>
      </c>
      <c r="AK3436" s="37" t="str">
        <f>VLOOKUP(Mecze[[#This Row],[Match ID]],Meczusie[Mecz]:Meczusie[RodzajMeczu],2,FALSE)</f>
        <v>Towarzyski</v>
      </c>
    </row>
    <row r="3437" spans="1:37" x14ac:dyDescent="0.25">
      <c r="A3437" s="76">
        <v>31</v>
      </c>
      <c r="B3437" s="3" t="s">
        <v>365</v>
      </c>
      <c r="C3437" s="2" t="s">
        <v>165</v>
      </c>
      <c r="D3437" s="1">
        <v>0</v>
      </c>
      <c r="E3437" s="1">
        <v>3</v>
      </c>
      <c r="F3437" s="1">
        <v>2</v>
      </c>
      <c r="G3437" s="1">
        <v>9</v>
      </c>
      <c r="H3437" s="4">
        <v>0.67</v>
      </c>
      <c r="I3437" s="1">
        <v>5</v>
      </c>
      <c r="J3437" s="4">
        <v>0.2</v>
      </c>
      <c r="K3437" s="1">
        <v>0</v>
      </c>
      <c r="L3437" s="1">
        <v>1</v>
      </c>
      <c r="M3437" s="32">
        <f>IF(Mecze[[#This Row],[PR]]=0,0,Mecze[[#This Row],[PR]]/Mecze[[#This Row],[CZAS]])</f>
        <v>1.0309278350515464E-2</v>
      </c>
      <c r="N3437" s="32">
        <f>IF(Mecze[[#This Row],[OU]]=0,0,Mecze[[#This Row],[OU]]/Mecze[[#This Row],[CZAS]])</f>
        <v>1.0309278350515464E-2</v>
      </c>
      <c r="O3437" s="32">
        <f>IF(Mecze[[#This Row],[PC]]=0,0,Mecze[[#This Row],[PC]]/Mecze[[#This Row],[CZAS]])</f>
        <v>6.1855670103092786E-2</v>
      </c>
      <c r="P3437" s="32">
        <f>IF(Mecze[[#This Row],[SC]]=0,0,Mecze[[#This Row],[SC]]/Mecze[[#This Row],[CZAS]])</f>
        <v>2.0618556701030927E-2</v>
      </c>
      <c r="Q3437" s="32">
        <f>IF(Mecze[[#This Row],[OB]]=0,0,Mecze[[#This Row],[OB]]/Mecze[[#This Row],[CZAS]])</f>
        <v>0</v>
      </c>
      <c r="R3437" s="32">
        <f>IF(Mecze[[#This Row],[BR]]=0,0,Mecze[[#This Row],[BR]]/Mecze[[#This Row],[CZAS]])</f>
        <v>0</v>
      </c>
      <c r="S3437" s="44">
        <f>IF(Mecze[[#This Row],[Role]]="BR",SUMPRODUCT(Mecze[[#This Row],[/PR:90]:[/BR:90]],Brudnopis!$E$23:$J$23),0)</f>
        <v>0</v>
      </c>
      <c r="T3437" s="44">
        <f>IF(Mecze[[#This Row],[Role]]&lt;&gt;"BR",SUMPRODUCT(Mecze[[#This Row],[/PR:90]:[/BR:90]],Brudnopis!$E$24:$J$24),0)</f>
        <v>0.10824742268041236</v>
      </c>
      <c r="U3437" s="44">
        <f>IF(Mecze[[#This Row],[Role]]&lt;&gt;"BR",SUMPRODUCT(Mecze[[#This Row],[/PR:90]:[/BR:90]],Brudnopis!$E$25:$J$25),0)</f>
        <v>0.13402061855670103</v>
      </c>
      <c r="V3437" s="44">
        <f>IF(Mecze[[#This Row],[Role]]&lt;&gt;"BR",SUMPRODUCT(Mecze[[#This Row],[/PR:90]:[/BR:90]],Brudnopis!$E$26:$J$26),0)</f>
        <v>0.10309278350515463</v>
      </c>
      <c r="W3437" s="44">
        <f>IF(Mecze[[#This Row],[Role]]&lt;&gt;"BR",SUMPRODUCT(Mecze[[#This Row],[/PR:90]:[/BR:90]],Brudnopis!$E$27:$J$27),0)</f>
        <v>0.12886597938144331</v>
      </c>
      <c r="X3437" s="44">
        <f>IF(Mecze[[#This Row],[Role]]&lt;&gt;"BR",SUMPRODUCT(Mecze[[#This Row],[/PR:90]:[/BR:90]],Brudnopis!$E$28:$J$28),0)</f>
        <v>0.10309278350515463</v>
      </c>
      <c r="Y3437" s="35">
        <f>IF(Mecze[[#This Row],[Role]]="BR",Mecze[[#This Row],[/OB:90]]+Mecze[[#This Row],[/PC:90]],SUM(Mecze[[#This Row],[/PR:90]:[/BR:90]]))</f>
        <v>0.10309278350515463</v>
      </c>
      <c r="Z3437" s="35">
        <f>IF(Mecze[[#This Row],[KC]]=0,SUM(Mecze[[#This Row],[/BRI]:[/NPI]]),SUM(Mecze[[#This Row],[/BRI]:[/NPI]])*0.6)</f>
        <v>0.57731958762886593</v>
      </c>
      <c r="AA3437" s="10">
        <f>IFERROR(Mecze[[#This Row],[BR]]/Mecze[[#This Row],[ST]],0)</f>
        <v>0</v>
      </c>
      <c r="AB3437">
        <f>ROUND(Mecze[[#This Row],[PD]]*Mecze[[#This Row],[%PC]],0)</f>
        <v>6</v>
      </c>
      <c r="AC3437">
        <f>ROUND(Mecze[[#This Row],[OD]]*Mecze[[#This Row],[%OU]],0)</f>
        <v>1</v>
      </c>
      <c r="AD3437" s="36" t="s">
        <v>46</v>
      </c>
      <c r="AE3437" s="36">
        <v>193</v>
      </c>
      <c r="AF3437" s="71">
        <v>4.4800000000000004</v>
      </c>
      <c r="AG3437" s="37">
        <v>0</v>
      </c>
      <c r="AH3437" s="37">
        <v>0</v>
      </c>
      <c r="AI3437" s="37">
        <v>97</v>
      </c>
      <c r="AJ3437" s="37">
        <v>1</v>
      </c>
      <c r="AK3437" s="37" t="str">
        <f>VLOOKUP(Mecze[[#This Row],[Match ID]],Meczusie[Mecz]:Meczusie[RodzajMeczu],2,FALSE)</f>
        <v>Towarzyski</v>
      </c>
    </row>
    <row r="3438" spans="1:37" x14ac:dyDescent="0.25">
      <c r="A3438" s="76">
        <v>51</v>
      </c>
      <c r="B3438" s="3" t="s">
        <v>517</v>
      </c>
      <c r="C3438" s="2" t="s">
        <v>165</v>
      </c>
      <c r="D3438" s="1">
        <v>0</v>
      </c>
      <c r="E3438" s="1">
        <v>0</v>
      </c>
      <c r="F3438" s="1">
        <v>0</v>
      </c>
      <c r="G3438" s="1">
        <v>9</v>
      </c>
      <c r="H3438" s="4">
        <v>0.33</v>
      </c>
      <c r="I3438" s="1">
        <v>6</v>
      </c>
      <c r="J3438" s="4">
        <v>0.17</v>
      </c>
      <c r="K3438" s="1">
        <v>0</v>
      </c>
      <c r="L3438" s="1">
        <v>1</v>
      </c>
      <c r="M3438" s="32">
        <f>IF(Mecze[[#This Row],[PR]]=0,0,Mecze[[#This Row],[PR]]/Mecze[[#This Row],[CZAS]])</f>
        <v>1.0309278350515464E-2</v>
      </c>
      <c r="N3438" s="32">
        <f>IF(Mecze[[#This Row],[OU]]=0,0,Mecze[[#This Row],[OU]]/Mecze[[#This Row],[CZAS]])</f>
        <v>1.0309278350515464E-2</v>
      </c>
      <c r="O3438" s="32">
        <f>IF(Mecze[[#This Row],[PC]]=0,0,Mecze[[#This Row],[PC]]/Mecze[[#This Row],[CZAS]])</f>
        <v>3.0927835051546393E-2</v>
      </c>
      <c r="P3438" s="32">
        <f>IF(Mecze[[#This Row],[SC]]=0,0,Mecze[[#This Row],[SC]]/Mecze[[#This Row],[CZAS]])</f>
        <v>0</v>
      </c>
      <c r="Q3438" s="32">
        <f>IF(Mecze[[#This Row],[OB]]=0,0,Mecze[[#This Row],[OB]]/Mecze[[#This Row],[CZAS]])</f>
        <v>0</v>
      </c>
      <c r="R3438" s="32">
        <f>IF(Mecze[[#This Row],[BR]]=0,0,Mecze[[#This Row],[BR]]/Mecze[[#This Row],[CZAS]])</f>
        <v>0</v>
      </c>
      <c r="S3438" s="44">
        <f>IF(Mecze[[#This Row],[Role]]="BR",SUMPRODUCT(Mecze[[#This Row],[/PR:90]:[/BR:90]],Brudnopis!$E$23:$J$23),0)</f>
        <v>0</v>
      </c>
      <c r="T3438" s="44">
        <f>IF(Mecze[[#This Row],[Role]]&lt;&gt;"BR",SUMPRODUCT(Mecze[[#This Row],[/PR:90]:[/BR:90]],Brudnopis!$E$24:$J$24),0)</f>
        <v>5.6701030927835051E-2</v>
      </c>
      <c r="U3438" s="44">
        <f>IF(Mecze[[#This Row],[Role]]&lt;&gt;"BR",SUMPRODUCT(Mecze[[#This Row],[/PR:90]:[/BR:90]],Brudnopis!$E$25:$J$25),0)</f>
        <v>6.7010309278350513E-2</v>
      </c>
      <c r="V3438" s="44">
        <f>IF(Mecze[[#This Row],[Role]]&lt;&gt;"BR",SUMPRODUCT(Mecze[[#This Row],[/PR:90]:[/BR:90]],Brudnopis!$E$26:$J$26),0)</f>
        <v>5.1546391752577317E-2</v>
      </c>
      <c r="W3438" s="44">
        <f>IF(Mecze[[#This Row],[Role]]&lt;&gt;"BR",SUMPRODUCT(Mecze[[#This Row],[/PR:90]:[/BR:90]],Brudnopis!$E$27:$J$27),0)</f>
        <v>6.1855670103092786E-2</v>
      </c>
      <c r="X3438" s="44">
        <f>IF(Mecze[[#This Row],[Role]]&lt;&gt;"BR",SUMPRODUCT(Mecze[[#This Row],[/PR:90]:[/BR:90]],Brudnopis!$E$28:$J$28),0)</f>
        <v>3.0927835051546393E-2</v>
      </c>
      <c r="Y3438" s="35">
        <f>IF(Mecze[[#This Row],[Role]]="BR",Mecze[[#This Row],[/OB:90]]+Mecze[[#This Row],[/PC:90]],SUM(Mecze[[#This Row],[/PR:90]:[/BR:90]]))</f>
        <v>5.1546391752577317E-2</v>
      </c>
      <c r="Z3438" s="35">
        <f>IF(Mecze[[#This Row],[KC]]=0,SUM(Mecze[[#This Row],[/BRI]:[/NPI]]),SUM(Mecze[[#This Row],[/BRI]:[/NPI]])*0.6)</f>
        <v>0.26804123711340205</v>
      </c>
      <c r="AA3438" s="10">
        <f>IFERROR(Mecze[[#This Row],[BR]]/Mecze[[#This Row],[ST]],0)</f>
        <v>0</v>
      </c>
      <c r="AB3438">
        <f>ROUND(Mecze[[#This Row],[PD]]*Mecze[[#This Row],[%PC]],0)</f>
        <v>3</v>
      </c>
      <c r="AC3438">
        <f>ROUND(Mecze[[#This Row],[OD]]*Mecze[[#This Row],[%OU]],0)</f>
        <v>1</v>
      </c>
      <c r="AD3438" s="36" t="s">
        <v>46</v>
      </c>
      <c r="AE3438" s="36">
        <v>193</v>
      </c>
      <c r="AF3438" s="71">
        <v>1.6</v>
      </c>
      <c r="AG3438" s="37">
        <v>1</v>
      </c>
      <c r="AH3438" s="37">
        <v>0</v>
      </c>
      <c r="AI3438" s="37">
        <v>97</v>
      </c>
      <c r="AJ3438" s="37">
        <v>1</v>
      </c>
      <c r="AK3438" s="37" t="str">
        <f>VLOOKUP(Mecze[[#This Row],[Match ID]],Meczusie[Mecz]:Meczusie[RodzajMeczu],2,FALSE)</f>
        <v>Towarzyski</v>
      </c>
    </row>
    <row r="3439" spans="1:37" x14ac:dyDescent="0.25">
      <c r="A3439" s="76">
        <v>46</v>
      </c>
      <c r="B3439" s="3" t="s">
        <v>395</v>
      </c>
      <c r="C3439" s="2" t="s">
        <v>165</v>
      </c>
      <c r="D3439" s="1">
        <v>0</v>
      </c>
      <c r="E3439" s="1">
        <v>2</v>
      </c>
      <c r="F3439" s="1">
        <v>2</v>
      </c>
      <c r="G3439" s="1">
        <v>4</v>
      </c>
      <c r="H3439" s="4">
        <v>0.5</v>
      </c>
      <c r="I3439" s="1">
        <v>7</v>
      </c>
      <c r="J3439" s="4">
        <v>0.14000000000000001</v>
      </c>
      <c r="K3439" s="1">
        <v>0</v>
      </c>
      <c r="L3439" s="1">
        <v>1</v>
      </c>
      <c r="M3439" s="32">
        <f>IF(Mecze[[#This Row],[PR]]=0,0,Mecze[[#This Row],[PR]]/Mecze[[#This Row],[CZAS]])</f>
        <v>1.0309278350515464E-2</v>
      </c>
      <c r="N3439" s="32">
        <f>IF(Mecze[[#This Row],[OU]]=0,0,Mecze[[#This Row],[OU]]/Mecze[[#This Row],[CZAS]])</f>
        <v>1.0309278350515464E-2</v>
      </c>
      <c r="O3439" s="32">
        <f>IF(Mecze[[#This Row],[PC]]=0,0,Mecze[[#This Row],[PC]]/Mecze[[#This Row],[CZAS]])</f>
        <v>2.0618556701030927E-2</v>
      </c>
      <c r="P3439" s="32">
        <f>IF(Mecze[[#This Row],[SC]]=0,0,Mecze[[#This Row],[SC]]/Mecze[[#This Row],[CZAS]])</f>
        <v>2.0618556701030927E-2</v>
      </c>
      <c r="Q3439" s="32">
        <f>IF(Mecze[[#This Row],[OB]]=0,0,Mecze[[#This Row],[OB]]/Mecze[[#This Row],[CZAS]])</f>
        <v>0</v>
      </c>
      <c r="R3439" s="32">
        <f>IF(Mecze[[#This Row],[BR]]=0,0,Mecze[[#This Row],[BR]]/Mecze[[#This Row],[CZAS]])</f>
        <v>0</v>
      </c>
      <c r="S3439" s="44">
        <f>IF(Mecze[[#This Row],[Role]]="BR",SUMPRODUCT(Mecze[[#This Row],[/PR:90]:[/BR:90]],Brudnopis!$E$23:$J$23),0)</f>
        <v>0</v>
      </c>
      <c r="T3439" s="44">
        <f>IF(Mecze[[#This Row],[Role]]&lt;&gt;"BR",SUMPRODUCT(Mecze[[#This Row],[/PR:90]:[/BR:90]],Brudnopis!$E$24:$J$24),0)</f>
        <v>6.7010309278350513E-2</v>
      </c>
      <c r="U3439" s="44">
        <f>IF(Mecze[[#This Row],[Role]]&lt;&gt;"BR",SUMPRODUCT(Mecze[[#This Row],[/PR:90]:[/BR:90]],Brudnopis!$E$25:$J$25),0)</f>
        <v>7.2164948453608241E-2</v>
      </c>
      <c r="V3439" s="44">
        <f>IF(Mecze[[#This Row],[Role]]&lt;&gt;"BR",SUMPRODUCT(Mecze[[#This Row],[/PR:90]:[/BR:90]],Brudnopis!$E$26:$J$26),0)</f>
        <v>6.1855670103092786E-2</v>
      </c>
      <c r="W3439" s="44">
        <f>IF(Mecze[[#This Row],[Role]]&lt;&gt;"BR",SUMPRODUCT(Mecze[[#This Row],[/PR:90]:[/BR:90]],Brudnopis!$E$27:$J$27),0)</f>
        <v>6.7010309278350513E-2</v>
      </c>
      <c r="X3439" s="44">
        <f>IF(Mecze[[#This Row],[Role]]&lt;&gt;"BR",SUMPRODUCT(Mecze[[#This Row],[/PR:90]:[/BR:90]],Brudnopis!$E$28:$J$28),0)</f>
        <v>6.1855670103092786E-2</v>
      </c>
      <c r="Y3439" s="35">
        <f>IF(Mecze[[#This Row],[Role]]="BR",Mecze[[#This Row],[/OB:90]]+Mecze[[#This Row],[/PC:90]],SUM(Mecze[[#This Row],[/PR:90]:[/BR:90]]))</f>
        <v>6.1855670103092786E-2</v>
      </c>
      <c r="Z3439" s="35">
        <f>IF(Mecze[[#This Row],[KC]]=0,SUM(Mecze[[#This Row],[/BRI]:[/NPI]]),SUM(Mecze[[#This Row],[/BRI]:[/NPI]])*0.6)</f>
        <v>0.32989690721649484</v>
      </c>
      <c r="AA3439" s="10">
        <f>IFERROR(Mecze[[#This Row],[BR]]/Mecze[[#This Row],[ST]],0)</f>
        <v>0</v>
      </c>
      <c r="AB3439">
        <f>ROUND(Mecze[[#This Row],[PD]]*Mecze[[#This Row],[%PC]],0)</f>
        <v>2</v>
      </c>
      <c r="AC3439">
        <f>ROUND(Mecze[[#This Row],[OD]]*Mecze[[#This Row],[%OU]],0)</f>
        <v>1</v>
      </c>
      <c r="AD3439" s="36" t="s">
        <v>46</v>
      </c>
      <c r="AE3439" s="36">
        <v>193</v>
      </c>
      <c r="AF3439" s="71">
        <v>3.15</v>
      </c>
      <c r="AG3439" s="37">
        <v>0</v>
      </c>
      <c r="AH3439" s="37">
        <v>0</v>
      </c>
      <c r="AI3439" s="37">
        <v>97</v>
      </c>
      <c r="AJ3439" s="37">
        <v>1</v>
      </c>
      <c r="AK3439" s="37" t="str">
        <f>VLOOKUP(Mecze[[#This Row],[Match ID]],Meczusie[Mecz]:Meczusie[RodzajMeczu],2,FALSE)</f>
        <v>Towarzyski</v>
      </c>
    </row>
    <row r="3440" spans="1:37" x14ac:dyDescent="0.25">
      <c r="A3440" s="76">
        <v>102</v>
      </c>
      <c r="B3440" s="3" t="s">
        <v>417</v>
      </c>
      <c r="C3440" s="2" t="s">
        <v>155</v>
      </c>
      <c r="D3440" s="1">
        <v>0</v>
      </c>
      <c r="E3440" s="1">
        <v>0</v>
      </c>
      <c r="F3440" s="1">
        <v>0</v>
      </c>
      <c r="G3440" s="1">
        <v>1</v>
      </c>
      <c r="H3440" s="4">
        <v>1</v>
      </c>
      <c r="I3440" s="1">
        <v>0</v>
      </c>
      <c r="J3440" s="4"/>
      <c r="K3440" s="1">
        <v>1</v>
      </c>
      <c r="L3440" s="1">
        <v>0</v>
      </c>
      <c r="M3440" s="32">
        <f>IF(Mecze[[#This Row],[PR]]=0,0,Mecze[[#This Row],[PR]]/Mecze[[#This Row],[CZAS]])</f>
        <v>0</v>
      </c>
      <c r="N3440" s="32">
        <f>IF(Mecze[[#This Row],[OU]]=0,0,Mecze[[#This Row],[OU]]/Mecze[[#This Row],[CZAS]])</f>
        <v>0</v>
      </c>
      <c r="O3440" s="32">
        <f>IF(Mecze[[#This Row],[PC]]=0,0,Mecze[[#This Row],[PC]]/Mecze[[#This Row],[CZAS]])</f>
        <v>1.0309278350515464E-2</v>
      </c>
      <c r="P3440" s="32">
        <f>IF(Mecze[[#This Row],[SC]]=0,0,Mecze[[#This Row],[SC]]/Mecze[[#This Row],[CZAS]])</f>
        <v>0</v>
      </c>
      <c r="Q3440" s="32">
        <f>IF(Mecze[[#This Row],[OB]]=0,0,Mecze[[#This Row],[OB]]/Mecze[[#This Row],[CZAS]])</f>
        <v>1.0309278350515464E-2</v>
      </c>
      <c r="R3440" s="32">
        <f>IF(Mecze[[#This Row],[BR]]=0,0,Mecze[[#This Row],[BR]]/Mecze[[#This Row],[CZAS]])</f>
        <v>0</v>
      </c>
      <c r="S3440" s="44">
        <f>IF(Mecze[[#This Row],[Role]]="BR",SUMPRODUCT(Mecze[[#This Row],[/PR:90]:[/BR:90]],Brudnopis!$E$23:$J$23),0)</f>
        <v>6.1855670103092786E-2</v>
      </c>
      <c r="T3440" s="44">
        <f>IF(Mecze[[#This Row],[Role]]&lt;&gt;"BR",SUMPRODUCT(Mecze[[#This Row],[/PR:90]:[/BR:90]],Brudnopis!$E$24:$J$24),0)</f>
        <v>0</v>
      </c>
      <c r="U3440" s="44">
        <f>IF(Mecze[[#This Row],[Role]]&lt;&gt;"BR",SUMPRODUCT(Mecze[[#This Row],[/PR:90]:[/BR:90]],Brudnopis!$E$25:$J$25),0)</f>
        <v>0</v>
      </c>
      <c r="V3440" s="44">
        <f>IF(Mecze[[#This Row],[Role]]&lt;&gt;"BR",SUMPRODUCT(Mecze[[#This Row],[/PR:90]:[/BR:90]],Brudnopis!$E$26:$J$26),0)</f>
        <v>0</v>
      </c>
      <c r="W3440" s="44">
        <f>IF(Mecze[[#This Row],[Role]]&lt;&gt;"BR",SUMPRODUCT(Mecze[[#This Row],[/PR:90]:[/BR:90]],Brudnopis!$E$27:$J$27),0)</f>
        <v>0</v>
      </c>
      <c r="X3440" s="44">
        <f>IF(Mecze[[#This Row],[Role]]&lt;&gt;"BR",SUMPRODUCT(Mecze[[#This Row],[/PR:90]:[/BR:90]],Brudnopis!$E$28:$J$28),0)</f>
        <v>0</v>
      </c>
      <c r="Y3440" s="35">
        <f>IF(Mecze[[#This Row],[Role]]="BR",Mecze[[#This Row],[/OB:90]]+Mecze[[#This Row],[/PC:90]],SUM(Mecze[[#This Row],[/PR:90]:[/BR:90]]))</f>
        <v>2.0618556701030927E-2</v>
      </c>
      <c r="Z3440" s="35">
        <f>IF(Mecze[[#This Row],[KC]]=0,SUM(Mecze[[#This Row],[/BRI]:[/NPI]]),SUM(Mecze[[#This Row],[/BRI]:[/NPI]])*0.6)</f>
        <v>6.1855670103092786E-2</v>
      </c>
      <c r="AA3440" s="10">
        <f>IFERROR(Mecze[[#This Row],[BR]]/Mecze[[#This Row],[ST]],0)</f>
        <v>0</v>
      </c>
      <c r="AB3440">
        <f>ROUND(Mecze[[#This Row],[PD]]*Mecze[[#This Row],[%PC]],0)</f>
        <v>1</v>
      </c>
      <c r="AC3440">
        <f>ROUND(Mecze[[#This Row],[OD]]*Mecze[[#This Row],[%OU]],0)</f>
        <v>0</v>
      </c>
      <c r="AD3440" s="36" t="s">
        <v>40</v>
      </c>
      <c r="AE3440" s="36">
        <v>194</v>
      </c>
      <c r="AF3440" s="71">
        <v>7.39</v>
      </c>
      <c r="AG3440" s="37">
        <v>0</v>
      </c>
      <c r="AH3440" s="37">
        <v>0</v>
      </c>
      <c r="AI3440" s="37">
        <v>97</v>
      </c>
      <c r="AJ3440" s="37">
        <v>6</v>
      </c>
      <c r="AK3440" s="37" t="str">
        <f>VLOOKUP(Mecze[[#This Row],[Match ID]],Meczusie[Mecz]:Meczusie[RodzajMeczu],2,FALSE)</f>
        <v>Liga</v>
      </c>
    </row>
    <row r="3441" spans="1:37" x14ac:dyDescent="0.25">
      <c r="A3441" s="76">
        <v>101</v>
      </c>
      <c r="B3441" s="3" t="s">
        <v>248</v>
      </c>
      <c r="C3441" s="2" t="s">
        <v>157</v>
      </c>
      <c r="D3441" s="1">
        <v>0</v>
      </c>
      <c r="E3441" s="1">
        <v>0</v>
      </c>
      <c r="F3441" s="1">
        <v>0</v>
      </c>
      <c r="G3441" s="1">
        <v>4</v>
      </c>
      <c r="H3441" s="4">
        <v>0.75</v>
      </c>
      <c r="I3441" s="1">
        <v>0</v>
      </c>
      <c r="J3441" s="4"/>
      <c r="K3441" s="1">
        <v>0</v>
      </c>
      <c r="L3441" s="1">
        <v>9</v>
      </c>
      <c r="M3441" s="32">
        <f>IF(Mecze[[#This Row],[PR]]=0,0,Mecze[[#This Row],[PR]]/Mecze[[#This Row],[CZAS]])</f>
        <v>9.2783505154639179E-2</v>
      </c>
      <c r="N3441" s="32">
        <f>IF(Mecze[[#This Row],[OU]]=0,0,Mecze[[#This Row],[OU]]/Mecze[[#This Row],[CZAS]])</f>
        <v>0</v>
      </c>
      <c r="O3441" s="32">
        <f>IF(Mecze[[#This Row],[PC]]=0,0,Mecze[[#This Row],[PC]]/Mecze[[#This Row],[CZAS]])</f>
        <v>3.0927835051546393E-2</v>
      </c>
      <c r="P3441" s="32">
        <f>IF(Mecze[[#This Row],[SC]]=0,0,Mecze[[#This Row],[SC]]/Mecze[[#This Row],[CZAS]])</f>
        <v>0</v>
      </c>
      <c r="Q3441" s="32">
        <f>IF(Mecze[[#This Row],[OB]]=0,0,Mecze[[#This Row],[OB]]/Mecze[[#This Row],[CZAS]])</f>
        <v>0</v>
      </c>
      <c r="R3441" s="32">
        <f>IF(Mecze[[#This Row],[BR]]=0,0,Mecze[[#This Row],[BR]]/Mecze[[#This Row],[CZAS]])</f>
        <v>0</v>
      </c>
      <c r="S3441" s="44">
        <f>IF(Mecze[[#This Row],[Role]]="BR",SUMPRODUCT(Mecze[[#This Row],[/PR:90]:[/BR:90]],Brudnopis!$E$23:$J$23),0)</f>
        <v>0</v>
      </c>
      <c r="T3441" s="44">
        <f>IF(Mecze[[#This Row],[Role]]&lt;&gt;"BR",SUMPRODUCT(Mecze[[#This Row],[/PR:90]:[/BR:90]],Brudnopis!$E$24:$J$24),0)</f>
        <v>0.12371134020618557</v>
      </c>
      <c r="U3441" s="44">
        <f>IF(Mecze[[#This Row],[Role]]&lt;&gt;"BR",SUMPRODUCT(Mecze[[#This Row],[/PR:90]:[/BR:90]],Brudnopis!$E$25:$J$25),0)</f>
        <v>0.13917525773195877</v>
      </c>
      <c r="V3441" s="44">
        <f>IF(Mecze[[#This Row],[Role]]&lt;&gt;"BR",SUMPRODUCT(Mecze[[#This Row],[/PR:90]:[/BR:90]],Brudnopis!$E$26:$J$26),0)</f>
        <v>0.12371134020618557</v>
      </c>
      <c r="W3441" s="44">
        <f>IF(Mecze[[#This Row],[Role]]&lt;&gt;"BR",SUMPRODUCT(Mecze[[#This Row],[/PR:90]:[/BR:90]],Brudnopis!$E$27:$J$27),0)</f>
        <v>0.11597938144329897</v>
      </c>
      <c r="X3441" s="44">
        <f>IF(Mecze[[#This Row],[Role]]&lt;&gt;"BR",SUMPRODUCT(Mecze[[#This Row],[/PR:90]:[/BR:90]],Brudnopis!$E$28:$J$28),0)</f>
        <v>3.0927835051546393E-2</v>
      </c>
      <c r="Y3441" s="35">
        <f>IF(Mecze[[#This Row],[Role]]="BR",Mecze[[#This Row],[/OB:90]]+Mecze[[#This Row],[/PC:90]],SUM(Mecze[[#This Row],[/PR:90]:[/BR:90]]))</f>
        <v>0.12371134020618557</v>
      </c>
      <c r="Z3441" s="35">
        <f>IF(Mecze[[#This Row],[KC]]=0,SUM(Mecze[[#This Row],[/BRI]:[/NPI]]),SUM(Mecze[[#This Row],[/BRI]:[/NPI]])*0.6)</f>
        <v>0.53350515463917525</v>
      </c>
      <c r="AA3441" s="10">
        <f>IFERROR(Mecze[[#This Row],[BR]]/Mecze[[#This Row],[ST]],0)</f>
        <v>0</v>
      </c>
      <c r="AB3441">
        <f>ROUND(Mecze[[#This Row],[PD]]*Mecze[[#This Row],[%PC]],0)</f>
        <v>3</v>
      </c>
      <c r="AC3441">
        <f>ROUND(Mecze[[#This Row],[OD]]*Mecze[[#This Row],[%OU]],0)</f>
        <v>0</v>
      </c>
      <c r="AD3441" s="36" t="s">
        <v>47</v>
      </c>
      <c r="AE3441" s="36">
        <v>194</v>
      </c>
      <c r="AF3441" s="71">
        <v>8.93</v>
      </c>
      <c r="AG3441" s="37">
        <v>0</v>
      </c>
      <c r="AH3441" s="37">
        <v>0</v>
      </c>
      <c r="AI3441" s="37">
        <v>97</v>
      </c>
      <c r="AJ3441" s="37">
        <v>6</v>
      </c>
      <c r="AK3441" s="37" t="str">
        <f>VLOOKUP(Mecze[[#This Row],[Match ID]],Meczusie[Mecz]:Meczusie[RodzajMeczu],2,FALSE)</f>
        <v>Liga</v>
      </c>
    </row>
    <row r="3442" spans="1:37" x14ac:dyDescent="0.25">
      <c r="A3442" s="76">
        <v>2</v>
      </c>
      <c r="B3442" s="3" t="s">
        <v>249</v>
      </c>
      <c r="C3442" s="2" t="s">
        <v>157</v>
      </c>
      <c r="D3442" s="1">
        <v>0</v>
      </c>
      <c r="E3442" s="1">
        <v>0</v>
      </c>
      <c r="F3442" s="1">
        <v>0</v>
      </c>
      <c r="G3442" s="1">
        <v>7</v>
      </c>
      <c r="H3442" s="4">
        <v>0.86</v>
      </c>
      <c r="I3442" s="1">
        <v>2</v>
      </c>
      <c r="J3442" s="4">
        <v>1</v>
      </c>
      <c r="K3442" s="1">
        <v>0</v>
      </c>
      <c r="L3442" s="1">
        <v>8</v>
      </c>
      <c r="M3442" s="32">
        <f>IF(Mecze[[#This Row],[PR]]=0,0,Mecze[[#This Row],[PR]]/Mecze[[#This Row],[CZAS]])</f>
        <v>8.247422680412371E-2</v>
      </c>
      <c r="N3442" s="32">
        <f>IF(Mecze[[#This Row],[OU]]=0,0,Mecze[[#This Row],[OU]]/Mecze[[#This Row],[CZAS]])</f>
        <v>2.0618556701030927E-2</v>
      </c>
      <c r="O3442" s="32">
        <f>IF(Mecze[[#This Row],[PC]]=0,0,Mecze[[#This Row],[PC]]/Mecze[[#This Row],[CZAS]])</f>
        <v>6.1855670103092786E-2</v>
      </c>
      <c r="P3442" s="32">
        <f>IF(Mecze[[#This Row],[SC]]=0,0,Mecze[[#This Row],[SC]]/Mecze[[#This Row],[CZAS]])</f>
        <v>0</v>
      </c>
      <c r="Q3442" s="32">
        <f>IF(Mecze[[#This Row],[OB]]=0,0,Mecze[[#This Row],[OB]]/Mecze[[#This Row],[CZAS]])</f>
        <v>0</v>
      </c>
      <c r="R3442" s="32">
        <f>IF(Mecze[[#This Row],[BR]]=0,0,Mecze[[#This Row],[BR]]/Mecze[[#This Row],[CZAS]])</f>
        <v>0</v>
      </c>
      <c r="S3442" s="44">
        <f>IF(Mecze[[#This Row],[Role]]="BR",SUMPRODUCT(Mecze[[#This Row],[/PR:90]:[/BR:90]],Brudnopis!$E$23:$J$23),0)</f>
        <v>0</v>
      </c>
      <c r="T3442" s="44">
        <f>IF(Mecze[[#This Row],[Role]]&lt;&gt;"BR",SUMPRODUCT(Mecze[[#This Row],[/PR:90]:[/BR:90]],Brudnopis!$E$24:$J$24),0)</f>
        <v>0.17525773195876287</v>
      </c>
      <c r="U3442" s="44">
        <f>IF(Mecze[[#This Row],[Role]]&lt;&gt;"BR",SUMPRODUCT(Mecze[[#This Row],[/PR:90]:[/BR:90]],Brudnopis!$E$25:$J$25),0)</f>
        <v>0.19587628865979381</v>
      </c>
      <c r="V3442" s="44">
        <f>IF(Mecze[[#This Row],[Role]]&lt;&gt;"BR",SUMPRODUCT(Mecze[[#This Row],[/PR:90]:[/BR:90]],Brudnopis!$E$26:$J$26),0)</f>
        <v>0.16494845360824742</v>
      </c>
      <c r="W3442" s="44">
        <f>IF(Mecze[[#This Row],[Role]]&lt;&gt;"BR",SUMPRODUCT(Mecze[[#This Row],[/PR:90]:[/BR:90]],Brudnopis!$E$27:$J$27),0)</f>
        <v>0.17010309278350516</v>
      </c>
      <c r="X3442" s="44">
        <f>IF(Mecze[[#This Row],[Role]]&lt;&gt;"BR",SUMPRODUCT(Mecze[[#This Row],[/PR:90]:[/BR:90]],Brudnopis!$E$28:$J$28),0)</f>
        <v>6.1855670103092786E-2</v>
      </c>
      <c r="Y3442" s="35">
        <f>IF(Mecze[[#This Row],[Role]]="BR",Mecze[[#This Row],[/OB:90]]+Mecze[[#This Row],[/PC:90]],SUM(Mecze[[#This Row],[/PR:90]:[/BR:90]]))</f>
        <v>0.16494845360824742</v>
      </c>
      <c r="Z3442" s="35">
        <f>IF(Mecze[[#This Row],[KC]]=0,SUM(Mecze[[#This Row],[/BRI]:[/NPI]]),SUM(Mecze[[#This Row],[/BRI]:[/NPI]])*0.6)</f>
        <v>0.768041237113402</v>
      </c>
      <c r="AA3442" s="10">
        <f>IFERROR(Mecze[[#This Row],[BR]]/Mecze[[#This Row],[ST]],0)</f>
        <v>0</v>
      </c>
      <c r="AB3442">
        <f>ROUND(Mecze[[#This Row],[PD]]*Mecze[[#This Row],[%PC]],0)</f>
        <v>6</v>
      </c>
      <c r="AC3442">
        <f>ROUND(Mecze[[#This Row],[OD]]*Mecze[[#This Row],[%OU]],0)</f>
        <v>2</v>
      </c>
      <c r="AD3442" s="36" t="s">
        <v>167</v>
      </c>
      <c r="AE3442" s="36">
        <v>194</v>
      </c>
      <c r="AF3442" s="71">
        <v>8.7200000000000006</v>
      </c>
      <c r="AG3442" s="37">
        <v>0</v>
      </c>
      <c r="AH3442" s="37">
        <v>0</v>
      </c>
      <c r="AI3442" s="37">
        <v>97</v>
      </c>
      <c r="AJ3442" s="37">
        <v>6</v>
      </c>
      <c r="AK3442" s="37" t="str">
        <f>VLOOKUP(Mecze[[#This Row],[Match ID]],Meczusie[Mecz]:Meczusie[RodzajMeczu],2,FALSE)</f>
        <v>Liga</v>
      </c>
    </row>
    <row r="3443" spans="1:37" x14ac:dyDescent="0.25">
      <c r="A3443" s="76">
        <v>7</v>
      </c>
      <c r="B3443" s="3" t="s">
        <v>251</v>
      </c>
      <c r="C3443" s="2" t="s">
        <v>157</v>
      </c>
      <c r="D3443" s="1">
        <v>0</v>
      </c>
      <c r="E3443" s="1">
        <v>0</v>
      </c>
      <c r="F3443" s="1">
        <v>0</v>
      </c>
      <c r="G3443" s="1">
        <v>11</v>
      </c>
      <c r="H3443" s="4">
        <v>0.64</v>
      </c>
      <c r="I3443" s="1">
        <v>8</v>
      </c>
      <c r="J3443" s="4">
        <v>0.88</v>
      </c>
      <c r="K3443" s="1">
        <v>0</v>
      </c>
      <c r="L3443" s="1">
        <v>11</v>
      </c>
      <c r="M3443" s="32">
        <f>IF(Mecze[[#This Row],[PR]]=0,0,Mecze[[#This Row],[PR]]/Mecze[[#This Row],[CZAS]])</f>
        <v>0.1134020618556701</v>
      </c>
      <c r="N3443" s="32">
        <f>IF(Mecze[[#This Row],[OU]]=0,0,Mecze[[#This Row],[OU]]/Mecze[[#This Row],[CZAS]])</f>
        <v>7.2164948453608241E-2</v>
      </c>
      <c r="O3443" s="32">
        <f>IF(Mecze[[#This Row],[PC]]=0,0,Mecze[[#This Row],[PC]]/Mecze[[#This Row],[CZAS]])</f>
        <v>7.2164948453608241E-2</v>
      </c>
      <c r="P3443" s="32">
        <f>IF(Mecze[[#This Row],[SC]]=0,0,Mecze[[#This Row],[SC]]/Mecze[[#This Row],[CZAS]])</f>
        <v>0</v>
      </c>
      <c r="Q3443" s="32">
        <f>IF(Mecze[[#This Row],[OB]]=0,0,Mecze[[#This Row],[OB]]/Mecze[[#This Row],[CZAS]])</f>
        <v>0</v>
      </c>
      <c r="R3443" s="32">
        <f>IF(Mecze[[#This Row],[BR]]=0,0,Mecze[[#This Row],[BR]]/Mecze[[#This Row],[CZAS]])</f>
        <v>0</v>
      </c>
      <c r="S3443" s="44">
        <f>IF(Mecze[[#This Row],[Role]]="BR",SUMPRODUCT(Mecze[[#This Row],[/PR:90]:[/BR:90]],Brudnopis!$E$23:$J$23),0)</f>
        <v>0</v>
      </c>
      <c r="T3443" s="44">
        <f>IF(Mecze[[#This Row],[Role]]&lt;&gt;"BR",SUMPRODUCT(Mecze[[#This Row],[/PR:90]:[/BR:90]],Brudnopis!$E$24:$J$24),0)</f>
        <v>0.29381443298969068</v>
      </c>
      <c r="U3443" s="44">
        <f>IF(Mecze[[#This Row],[Role]]&lt;&gt;"BR",SUMPRODUCT(Mecze[[#This Row],[/PR:90]:[/BR:90]],Brudnopis!$E$25:$J$25),0)</f>
        <v>0.29381443298969073</v>
      </c>
      <c r="V3443" s="44">
        <f>IF(Mecze[[#This Row],[Role]]&lt;&gt;"BR",SUMPRODUCT(Mecze[[#This Row],[/PR:90]:[/BR:90]],Brudnopis!$E$26:$J$26),0)</f>
        <v>0.25773195876288657</v>
      </c>
      <c r="W3443" s="44">
        <f>IF(Mecze[[#This Row],[Role]]&lt;&gt;"BR",SUMPRODUCT(Mecze[[#This Row],[/PR:90]:[/BR:90]],Brudnopis!$E$27:$J$27),0)</f>
        <v>0.24742268041237114</v>
      </c>
      <c r="X3443" s="44">
        <f>IF(Mecze[[#This Row],[Role]]&lt;&gt;"BR",SUMPRODUCT(Mecze[[#This Row],[/PR:90]:[/BR:90]],Brudnopis!$E$28:$J$28),0)</f>
        <v>7.2164948453608241E-2</v>
      </c>
      <c r="Y3443" s="35">
        <f>IF(Mecze[[#This Row],[Role]]="BR",Mecze[[#This Row],[/OB:90]]+Mecze[[#This Row],[/PC:90]],SUM(Mecze[[#This Row],[/PR:90]:[/BR:90]]))</f>
        <v>0.25773195876288657</v>
      </c>
      <c r="Z3443" s="35">
        <f>IF(Mecze[[#This Row],[KC]]=0,SUM(Mecze[[#This Row],[/BRI]:[/NPI]]),SUM(Mecze[[#This Row],[/BRI]:[/NPI]])*0.6)</f>
        <v>1.1649484536082473</v>
      </c>
      <c r="AA3443" s="10">
        <f>IFERROR(Mecze[[#This Row],[BR]]/Mecze[[#This Row],[ST]],0)</f>
        <v>0</v>
      </c>
      <c r="AB3443">
        <f>ROUND(Mecze[[#This Row],[PD]]*Mecze[[#This Row],[%PC]],0)</f>
        <v>7</v>
      </c>
      <c r="AC3443">
        <f>ROUND(Mecze[[#This Row],[OD]]*Mecze[[#This Row],[%OU]],0)</f>
        <v>7</v>
      </c>
      <c r="AD3443" s="36" t="s">
        <v>168</v>
      </c>
      <c r="AE3443" s="36">
        <v>194</v>
      </c>
      <c r="AF3443" s="71">
        <v>11.67</v>
      </c>
      <c r="AG3443" s="37">
        <v>0</v>
      </c>
      <c r="AH3443" s="37">
        <v>0</v>
      </c>
      <c r="AI3443" s="37">
        <v>97</v>
      </c>
      <c r="AJ3443" s="37">
        <v>6</v>
      </c>
      <c r="AK3443" s="37" t="str">
        <f>VLOOKUP(Mecze[[#This Row],[Match ID]],Meczusie[Mecz]:Meczusie[RodzajMeczu],2,FALSE)</f>
        <v>Liga</v>
      </c>
    </row>
    <row r="3444" spans="1:37" x14ac:dyDescent="0.25">
      <c r="A3444" s="76">
        <v>105</v>
      </c>
      <c r="B3444" s="3" t="s">
        <v>423</v>
      </c>
      <c r="C3444" s="2" t="s">
        <v>160</v>
      </c>
      <c r="D3444" s="1">
        <v>0</v>
      </c>
      <c r="E3444" s="1">
        <v>0</v>
      </c>
      <c r="F3444" s="1">
        <v>0</v>
      </c>
      <c r="G3444" s="1">
        <v>14</v>
      </c>
      <c r="H3444" s="4">
        <v>0.64</v>
      </c>
      <c r="I3444" s="1">
        <v>9</v>
      </c>
      <c r="J3444" s="4">
        <v>0.44</v>
      </c>
      <c r="K3444" s="1">
        <v>0</v>
      </c>
      <c r="L3444" s="1">
        <v>7</v>
      </c>
      <c r="M3444" s="32">
        <f>IF(Mecze[[#This Row],[PR]]=0,0,Mecze[[#This Row],[PR]]/Mecze[[#This Row],[CZAS]])</f>
        <v>7.2164948453608241E-2</v>
      </c>
      <c r="N3444" s="32">
        <f>IF(Mecze[[#This Row],[OU]]=0,0,Mecze[[#This Row],[OU]]/Mecze[[#This Row],[CZAS]])</f>
        <v>4.1237113402061855E-2</v>
      </c>
      <c r="O3444" s="32">
        <f>IF(Mecze[[#This Row],[PC]]=0,0,Mecze[[#This Row],[PC]]/Mecze[[#This Row],[CZAS]])</f>
        <v>9.2783505154639179E-2</v>
      </c>
      <c r="P3444" s="32">
        <f>IF(Mecze[[#This Row],[SC]]=0,0,Mecze[[#This Row],[SC]]/Mecze[[#This Row],[CZAS]])</f>
        <v>0</v>
      </c>
      <c r="Q3444" s="32">
        <f>IF(Mecze[[#This Row],[OB]]=0,0,Mecze[[#This Row],[OB]]/Mecze[[#This Row],[CZAS]])</f>
        <v>0</v>
      </c>
      <c r="R3444" s="32">
        <f>IF(Mecze[[#This Row],[BR]]=0,0,Mecze[[#This Row],[BR]]/Mecze[[#This Row],[CZAS]])</f>
        <v>0</v>
      </c>
      <c r="S3444" s="44">
        <f>IF(Mecze[[#This Row],[Role]]="BR",SUMPRODUCT(Mecze[[#This Row],[/PR:90]:[/BR:90]],Brudnopis!$E$23:$J$23),0)</f>
        <v>0</v>
      </c>
      <c r="T3444" s="44">
        <f>IF(Mecze[[#This Row],[Role]]&lt;&gt;"BR",SUMPRODUCT(Mecze[[#This Row],[/PR:90]:[/BR:90]],Brudnopis!$E$24:$J$24),0)</f>
        <v>0.22680412371134021</v>
      </c>
      <c r="U3444" s="44">
        <f>IF(Mecze[[#This Row],[Role]]&lt;&gt;"BR",SUMPRODUCT(Mecze[[#This Row],[/PR:90]:[/BR:90]],Brudnopis!$E$25:$J$25),0)</f>
        <v>0.25257731958762886</v>
      </c>
      <c r="V3444" s="44">
        <f>IF(Mecze[[#This Row],[Role]]&lt;&gt;"BR",SUMPRODUCT(Mecze[[#This Row],[/PR:90]:[/BR:90]],Brudnopis!$E$26:$J$26),0)</f>
        <v>0.20618556701030927</v>
      </c>
      <c r="W3444" s="44">
        <f>IF(Mecze[[#This Row],[Role]]&lt;&gt;"BR",SUMPRODUCT(Mecze[[#This Row],[/PR:90]:[/BR:90]],Brudnopis!$E$27:$J$27),0)</f>
        <v>0.22422680412371135</v>
      </c>
      <c r="X3444" s="44">
        <f>IF(Mecze[[#This Row],[Role]]&lt;&gt;"BR",SUMPRODUCT(Mecze[[#This Row],[/PR:90]:[/BR:90]],Brudnopis!$E$28:$J$28),0)</f>
        <v>9.2783505154639179E-2</v>
      </c>
      <c r="Y3444" s="35">
        <f>IF(Mecze[[#This Row],[Role]]="BR",Mecze[[#This Row],[/OB:90]]+Mecze[[#This Row],[/PC:90]],SUM(Mecze[[#This Row],[/PR:90]:[/BR:90]]))</f>
        <v>0.20618556701030927</v>
      </c>
      <c r="Z3444" s="35">
        <f>IF(Mecze[[#This Row],[KC]]=0,SUM(Mecze[[#This Row],[/BRI]:[/NPI]]),SUM(Mecze[[#This Row],[/BRI]:[/NPI]])*0.6)</f>
        <v>1.0025773195876289</v>
      </c>
      <c r="AA3444" s="10">
        <f>IFERROR(Mecze[[#This Row],[BR]]/Mecze[[#This Row],[ST]],0)</f>
        <v>0</v>
      </c>
      <c r="AB3444">
        <f>ROUND(Mecze[[#This Row],[PD]]*Mecze[[#This Row],[%PC]],0)</f>
        <v>9</v>
      </c>
      <c r="AC3444">
        <f>ROUND(Mecze[[#This Row],[OD]]*Mecze[[#This Row],[%OU]],0)</f>
        <v>4</v>
      </c>
      <c r="AD3444" s="36" t="s">
        <v>41</v>
      </c>
      <c r="AE3444" s="36">
        <v>194</v>
      </c>
      <c r="AF3444" s="71">
        <v>9.7200000000000006</v>
      </c>
      <c r="AG3444" s="37">
        <v>0</v>
      </c>
      <c r="AH3444" s="37">
        <v>0</v>
      </c>
      <c r="AI3444" s="37">
        <v>97</v>
      </c>
      <c r="AJ3444" s="37">
        <v>6</v>
      </c>
      <c r="AK3444" s="37" t="str">
        <f>VLOOKUP(Mecze[[#This Row],[Match ID]],Meczusie[Mecz]:Meczusie[RodzajMeczu],2,FALSE)</f>
        <v>Liga</v>
      </c>
    </row>
    <row r="3445" spans="1:37" x14ac:dyDescent="0.25">
      <c r="A3445" s="76">
        <v>9</v>
      </c>
      <c r="B3445" s="3" t="s">
        <v>258</v>
      </c>
      <c r="C3445" s="2" t="s">
        <v>160</v>
      </c>
      <c r="D3445" s="1">
        <v>0</v>
      </c>
      <c r="E3445" s="1">
        <v>0</v>
      </c>
      <c r="F3445" s="1">
        <v>0</v>
      </c>
      <c r="G3445" s="1">
        <v>2</v>
      </c>
      <c r="H3445" s="4">
        <v>1</v>
      </c>
      <c r="I3445" s="1">
        <v>2</v>
      </c>
      <c r="J3445" s="4">
        <v>0</v>
      </c>
      <c r="K3445" s="1">
        <v>0</v>
      </c>
      <c r="L3445" s="1">
        <v>2</v>
      </c>
      <c r="M3445" s="32">
        <f>IF(Mecze[[#This Row],[PR]]=0,0,Mecze[[#This Row],[PR]]/Mecze[[#This Row],[CZAS]])</f>
        <v>2.0618556701030927E-2</v>
      </c>
      <c r="N3445" s="32">
        <f>IF(Mecze[[#This Row],[OU]]=0,0,Mecze[[#This Row],[OU]]/Mecze[[#This Row],[CZAS]])</f>
        <v>0</v>
      </c>
      <c r="O3445" s="32">
        <f>IF(Mecze[[#This Row],[PC]]=0,0,Mecze[[#This Row],[PC]]/Mecze[[#This Row],[CZAS]])</f>
        <v>2.0618556701030927E-2</v>
      </c>
      <c r="P3445" s="32">
        <f>IF(Mecze[[#This Row],[SC]]=0,0,Mecze[[#This Row],[SC]]/Mecze[[#This Row],[CZAS]])</f>
        <v>0</v>
      </c>
      <c r="Q3445" s="32">
        <f>IF(Mecze[[#This Row],[OB]]=0,0,Mecze[[#This Row],[OB]]/Mecze[[#This Row],[CZAS]])</f>
        <v>0</v>
      </c>
      <c r="R3445" s="32">
        <f>IF(Mecze[[#This Row],[BR]]=0,0,Mecze[[#This Row],[BR]]/Mecze[[#This Row],[CZAS]])</f>
        <v>0</v>
      </c>
      <c r="S3445" s="44">
        <f>IF(Mecze[[#This Row],[Role]]="BR",SUMPRODUCT(Mecze[[#This Row],[/PR:90]:[/BR:90]],Brudnopis!$E$23:$J$23),0)</f>
        <v>0</v>
      </c>
      <c r="T3445" s="44">
        <f>IF(Mecze[[#This Row],[Role]]&lt;&gt;"BR",SUMPRODUCT(Mecze[[#This Row],[/PR:90]:[/BR:90]],Brudnopis!$E$24:$J$24),0)</f>
        <v>4.1237113402061855E-2</v>
      </c>
      <c r="U3445" s="44">
        <f>IF(Mecze[[#This Row],[Role]]&lt;&gt;"BR",SUMPRODUCT(Mecze[[#This Row],[/PR:90]:[/BR:90]],Brudnopis!$E$25:$J$25),0)</f>
        <v>5.1546391752577317E-2</v>
      </c>
      <c r="V3445" s="44">
        <f>IF(Mecze[[#This Row],[Role]]&lt;&gt;"BR",SUMPRODUCT(Mecze[[#This Row],[/PR:90]:[/BR:90]],Brudnopis!$E$26:$J$26),0)</f>
        <v>4.1237113402061855E-2</v>
      </c>
      <c r="W3445" s="44">
        <f>IF(Mecze[[#This Row],[Role]]&lt;&gt;"BR",SUMPRODUCT(Mecze[[#This Row],[/PR:90]:[/BR:90]],Brudnopis!$E$27:$J$27),0)</f>
        <v>4.6391752577319589E-2</v>
      </c>
      <c r="X3445" s="44">
        <f>IF(Mecze[[#This Row],[Role]]&lt;&gt;"BR",SUMPRODUCT(Mecze[[#This Row],[/PR:90]:[/BR:90]],Brudnopis!$E$28:$J$28),0)</f>
        <v>2.0618556701030927E-2</v>
      </c>
      <c r="Y3445" s="35">
        <f>IF(Mecze[[#This Row],[Role]]="BR",Mecze[[#This Row],[/OB:90]]+Mecze[[#This Row],[/PC:90]],SUM(Mecze[[#This Row],[/PR:90]:[/BR:90]]))</f>
        <v>4.1237113402061855E-2</v>
      </c>
      <c r="Z3445" s="35">
        <f>IF(Mecze[[#This Row],[KC]]=0,SUM(Mecze[[#This Row],[/BRI]:[/NPI]]),SUM(Mecze[[#This Row],[/BRI]:[/NPI]])*0.6)</f>
        <v>0.20103092783505155</v>
      </c>
      <c r="AA3445" s="10">
        <f>IFERROR(Mecze[[#This Row],[BR]]/Mecze[[#This Row],[ST]],0)</f>
        <v>0</v>
      </c>
      <c r="AB3445">
        <f>ROUND(Mecze[[#This Row],[PD]]*Mecze[[#This Row],[%PC]],0)</f>
        <v>2</v>
      </c>
      <c r="AC3445">
        <f>ROUND(Mecze[[#This Row],[OD]]*Mecze[[#This Row],[%OU]],0)</f>
        <v>0</v>
      </c>
      <c r="AD3445" s="36" t="s">
        <v>319</v>
      </c>
      <c r="AE3445" s="36">
        <v>194</v>
      </c>
      <c r="AF3445" s="71">
        <v>7.46</v>
      </c>
      <c r="AG3445" s="37">
        <v>0</v>
      </c>
      <c r="AH3445" s="37">
        <v>0</v>
      </c>
      <c r="AI3445" s="37">
        <v>97</v>
      </c>
      <c r="AJ3445" s="37">
        <v>6</v>
      </c>
      <c r="AK3445" s="37" t="str">
        <f>VLOOKUP(Mecze[[#This Row],[Match ID]],Meczusie[Mecz]:Meczusie[RodzajMeczu],2,FALSE)</f>
        <v>Liga</v>
      </c>
    </row>
    <row r="3446" spans="1:37" x14ac:dyDescent="0.25">
      <c r="A3446" s="76">
        <v>8</v>
      </c>
      <c r="B3446" s="3" t="s">
        <v>254</v>
      </c>
      <c r="C3446" s="2" t="s">
        <v>160</v>
      </c>
      <c r="D3446" s="1">
        <v>0</v>
      </c>
      <c r="E3446" s="1">
        <v>0</v>
      </c>
      <c r="F3446" s="1">
        <v>0</v>
      </c>
      <c r="G3446" s="1">
        <v>11</v>
      </c>
      <c r="H3446" s="4">
        <v>0.82</v>
      </c>
      <c r="I3446" s="1">
        <v>2</v>
      </c>
      <c r="J3446" s="4">
        <v>0.5</v>
      </c>
      <c r="K3446" s="1">
        <v>0</v>
      </c>
      <c r="L3446" s="1">
        <v>5</v>
      </c>
      <c r="M3446" s="32">
        <f>IF(Mecze[[#This Row],[PR]]=0,0,Mecze[[#This Row],[PR]]/Mecze[[#This Row],[CZAS]])</f>
        <v>5.1546391752577317E-2</v>
      </c>
      <c r="N3446" s="32">
        <f>IF(Mecze[[#This Row],[OU]]=0,0,Mecze[[#This Row],[OU]]/Mecze[[#This Row],[CZAS]])</f>
        <v>1.0309278350515464E-2</v>
      </c>
      <c r="O3446" s="32">
        <f>IF(Mecze[[#This Row],[PC]]=0,0,Mecze[[#This Row],[PC]]/Mecze[[#This Row],[CZAS]])</f>
        <v>9.2783505154639179E-2</v>
      </c>
      <c r="P3446" s="32">
        <f>IF(Mecze[[#This Row],[SC]]=0,0,Mecze[[#This Row],[SC]]/Mecze[[#This Row],[CZAS]])</f>
        <v>0</v>
      </c>
      <c r="Q3446" s="32">
        <f>IF(Mecze[[#This Row],[OB]]=0,0,Mecze[[#This Row],[OB]]/Mecze[[#This Row],[CZAS]])</f>
        <v>0</v>
      </c>
      <c r="R3446" s="32">
        <f>IF(Mecze[[#This Row],[BR]]=0,0,Mecze[[#This Row],[BR]]/Mecze[[#This Row],[CZAS]])</f>
        <v>0</v>
      </c>
      <c r="S3446" s="44">
        <f>IF(Mecze[[#This Row],[Role]]="BR",SUMPRODUCT(Mecze[[#This Row],[/PR:90]:[/BR:90]],Brudnopis!$E$23:$J$23),0)</f>
        <v>0</v>
      </c>
      <c r="T3446" s="44">
        <f>IF(Mecze[[#This Row],[Role]]&lt;&gt;"BR",SUMPRODUCT(Mecze[[#This Row],[/PR:90]:[/BR:90]],Brudnopis!$E$24:$J$24),0)</f>
        <v>0.15979381443298968</v>
      </c>
      <c r="U3446" s="44">
        <f>IF(Mecze[[#This Row],[Role]]&lt;&gt;"BR",SUMPRODUCT(Mecze[[#This Row],[/PR:90]:[/BR:90]],Brudnopis!$E$25:$J$25),0)</f>
        <v>0.20103092783505155</v>
      </c>
      <c r="V3446" s="44">
        <f>IF(Mecze[[#This Row],[Role]]&lt;&gt;"BR",SUMPRODUCT(Mecze[[#This Row],[/PR:90]:[/BR:90]],Brudnopis!$E$26:$J$26),0)</f>
        <v>0.15463917525773196</v>
      </c>
      <c r="W3446" s="44">
        <f>IF(Mecze[[#This Row],[Role]]&lt;&gt;"BR",SUMPRODUCT(Mecze[[#This Row],[/PR:90]:[/BR:90]],Brudnopis!$E$27:$J$27),0)</f>
        <v>0.18556701030927836</v>
      </c>
      <c r="X3446" s="44">
        <f>IF(Mecze[[#This Row],[Role]]&lt;&gt;"BR",SUMPRODUCT(Mecze[[#This Row],[/PR:90]:[/BR:90]],Brudnopis!$E$28:$J$28),0)</f>
        <v>9.2783505154639179E-2</v>
      </c>
      <c r="Y3446" s="35">
        <f>IF(Mecze[[#This Row],[Role]]="BR",Mecze[[#This Row],[/OB:90]]+Mecze[[#This Row],[/PC:90]],SUM(Mecze[[#This Row],[/PR:90]:[/BR:90]]))</f>
        <v>0.15463917525773196</v>
      </c>
      <c r="Z3446" s="35">
        <f>IF(Mecze[[#This Row],[KC]]=0,SUM(Mecze[[#This Row],[/BRI]:[/NPI]]),SUM(Mecze[[#This Row],[/BRI]:[/NPI]])*0.6)</f>
        <v>0.79381443298969068</v>
      </c>
      <c r="AA3446" s="10">
        <f>IFERROR(Mecze[[#This Row],[BR]]/Mecze[[#This Row],[ST]],0)</f>
        <v>0</v>
      </c>
      <c r="AB3446">
        <f>ROUND(Mecze[[#This Row],[PD]]*Mecze[[#This Row],[%PC]],0)</f>
        <v>9</v>
      </c>
      <c r="AC3446">
        <f>ROUND(Mecze[[#This Row],[OD]]*Mecze[[#This Row],[%OU]],0)</f>
        <v>1</v>
      </c>
      <c r="AD3446" s="36" t="s">
        <v>318</v>
      </c>
      <c r="AE3446" s="36">
        <v>194</v>
      </c>
      <c r="AF3446" s="71">
        <v>10.210000000000001</v>
      </c>
      <c r="AG3446" s="37">
        <v>0</v>
      </c>
      <c r="AH3446" s="37">
        <v>0</v>
      </c>
      <c r="AI3446" s="37">
        <v>97</v>
      </c>
      <c r="AJ3446" s="37">
        <v>6</v>
      </c>
      <c r="AK3446" s="37" t="str">
        <f>VLOOKUP(Mecze[[#This Row],[Match ID]],Meczusie[Mecz]:Meczusie[RodzajMeczu],2,FALSE)</f>
        <v>Liga</v>
      </c>
    </row>
    <row r="3447" spans="1:37" x14ac:dyDescent="0.25">
      <c r="A3447" s="76">
        <v>106</v>
      </c>
      <c r="B3447" s="3" t="s">
        <v>424</v>
      </c>
      <c r="C3447" s="2" t="s">
        <v>160</v>
      </c>
      <c r="D3447" s="1">
        <v>0</v>
      </c>
      <c r="E3447" s="1">
        <v>3</v>
      </c>
      <c r="F3447" s="1">
        <v>2</v>
      </c>
      <c r="G3447" s="1">
        <v>9</v>
      </c>
      <c r="H3447" s="4">
        <v>0.89</v>
      </c>
      <c r="I3447" s="1">
        <v>3</v>
      </c>
      <c r="J3447" s="4">
        <v>0.67</v>
      </c>
      <c r="K3447" s="1">
        <v>0</v>
      </c>
      <c r="L3447" s="1">
        <v>1</v>
      </c>
      <c r="M3447" s="32">
        <f>IF(Mecze[[#This Row],[PR]]=0,0,Mecze[[#This Row],[PR]]/Mecze[[#This Row],[CZAS]])</f>
        <v>1.0309278350515464E-2</v>
      </c>
      <c r="N3447" s="32">
        <f>IF(Mecze[[#This Row],[OU]]=0,0,Mecze[[#This Row],[OU]]/Mecze[[#This Row],[CZAS]])</f>
        <v>2.0618556701030927E-2</v>
      </c>
      <c r="O3447" s="32">
        <f>IF(Mecze[[#This Row],[PC]]=0,0,Mecze[[#This Row],[PC]]/Mecze[[#This Row],[CZAS]])</f>
        <v>8.247422680412371E-2</v>
      </c>
      <c r="P3447" s="32">
        <f>IF(Mecze[[#This Row],[SC]]=0,0,Mecze[[#This Row],[SC]]/Mecze[[#This Row],[CZAS]])</f>
        <v>2.0618556701030927E-2</v>
      </c>
      <c r="Q3447" s="32">
        <f>IF(Mecze[[#This Row],[OB]]=0,0,Mecze[[#This Row],[OB]]/Mecze[[#This Row],[CZAS]])</f>
        <v>0</v>
      </c>
      <c r="R3447" s="32">
        <f>IF(Mecze[[#This Row],[BR]]=0,0,Mecze[[#This Row],[BR]]/Mecze[[#This Row],[CZAS]])</f>
        <v>0</v>
      </c>
      <c r="S3447" s="44">
        <f>IF(Mecze[[#This Row],[Role]]="BR",SUMPRODUCT(Mecze[[#This Row],[/PR:90]:[/BR:90]],Brudnopis!$E$23:$J$23),0)</f>
        <v>0</v>
      </c>
      <c r="T3447" s="44">
        <f>IF(Mecze[[#This Row],[Role]]&lt;&gt;"BR",SUMPRODUCT(Mecze[[#This Row],[/PR:90]:[/BR:90]],Brudnopis!$E$24:$J$24),0)</f>
        <v>0.14432989690721651</v>
      </c>
      <c r="U3447" s="44">
        <f>IF(Mecze[[#This Row],[Role]]&lt;&gt;"BR",SUMPRODUCT(Mecze[[#This Row],[/PR:90]:[/BR:90]],Brudnopis!$E$25:$J$25),0)</f>
        <v>0.1752577319587629</v>
      </c>
      <c r="V3447" s="44">
        <f>IF(Mecze[[#This Row],[Role]]&lt;&gt;"BR",SUMPRODUCT(Mecze[[#This Row],[/PR:90]:[/BR:90]],Brudnopis!$E$26:$J$26),0)</f>
        <v>0.13402061855670103</v>
      </c>
      <c r="W3447" s="44">
        <f>IF(Mecze[[#This Row],[Role]]&lt;&gt;"BR",SUMPRODUCT(Mecze[[#This Row],[/PR:90]:[/BR:90]],Brudnopis!$E$27:$J$27),0)</f>
        <v>0.1675257731958763</v>
      </c>
      <c r="X3447" s="44">
        <f>IF(Mecze[[#This Row],[Role]]&lt;&gt;"BR",SUMPRODUCT(Mecze[[#This Row],[/PR:90]:[/BR:90]],Brudnopis!$E$28:$J$28),0)</f>
        <v>0.12371134020618557</v>
      </c>
      <c r="Y3447" s="35">
        <f>IF(Mecze[[#This Row],[Role]]="BR",Mecze[[#This Row],[/OB:90]]+Mecze[[#This Row],[/PC:90]],SUM(Mecze[[#This Row],[/PR:90]:[/BR:90]]))</f>
        <v>0.13402061855670103</v>
      </c>
      <c r="Z3447" s="35">
        <f>IF(Mecze[[#This Row],[KC]]=0,SUM(Mecze[[#This Row],[/BRI]:[/NPI]]),SUM(Mecze[[#This Row],[/BRI]:[/NPI]])*0.6)</f>
        <v>0.74484536082474229</v>
      </c>
      <c r="AA3447" s="10">
        <f>IFERROR(Mecze[[#This Row],[BR]]/Mecze[[#This Row],[ST]],0)</f>
        <v>0</v>
      </c>
      <c r="AB3447">
        <f>ROUND(Mecze[[#This Row],[PD]]*Mecze[[#This Row],[%PC]],0)</f>
        <v>8</v>
      </c>
      <c r="AC3447">
        <f>ROUND(Mecze[[#This Row],[OD]]*Mecze[[#This Row],[%OU]],0)</f>
        <v>2</v>
      </c>
      <c r="AD3447" s="36" t="s">
        <v>44</v>
      </c>
      <c r="AE3447" s="36">
        <v>194</v>
      </c>
      <c r="AF3447" s="71">
        <v>9.83</v>
      </c>
      <c r="AG3447" s="37">
        <v>0</v>
      </c>
      <c r="AH3447" s="37">
        <v>0</v>
      </c>
      <c r="AI3447" s="37">
        <v>97</v>
      </c>
      <c r="AJ3447" s="37">
        <v>6</v>
      </c>
      <c r="AK3447" s="37" t="str">
        <f>VLOOKUP(Mecze[[#This Row],[Match ID]],Meczusie[Mecz]:Meczusie[RodzajMeczu],2,FALSE)</f>
        <v>Liga</v>
      </c>
    </row>
    <row r="3448" spans="1:37" x14ac:dyDescent="0.25">
      <c r="A3448" s="76">
        <v>6</v>
      </c>
      <c r="B3448" s="3" t="s">
        <v>255</v>
      </c>
      <c r="C3448" s="2" t="s">
        <v>165</v>
      </c>
      <c r="D3448" s="1">
        <v>0</v>
      </c>
      <c r="E3448" s="1">
        <v>0</v>
      </c>
      <c r="F3448" s="1">
        <v>0</v>
      </c>
      <c r="G3448" s="1">
        <v>7</v>
      </c>
      <c r="H3448" s="4">
        <v>1</v>
      </c>
      <c r="I3448" s="1">
        <v>0</v>
      </c>
      <c r="J3448" s="4"/>
      <c r="K3448" s="1">
        <v>0</v>
      </c>
      <c r="L3448" s="1">
        <v>0</v>
      </c>
      <c r="M3448" s="32">
        <f>IF(Mecze[[#This Row],[PR]]=0,0,Mecze[[#This Row],[PR]]/Mecze[[#This Row],[CZAS]])</f>
        <v>0</v>
      </c>
      <c r="N3448" s="32">
        <f>IF(Mecze[[#This Row],[OU]]=0,0,Mecze[[#This Row],[OU]]/Mecze[[#This Row],[CZAS]])</f>
        <v>0</v>
      </c>
      <c r="O3448" s="32">
        <f>IF(Mecze[[#This Row],[PC]]=0,0,Mecze[[#This Row],[PC]]/Mecze[[#This Row],[CZAS]])</f>
        <v>7.2164948453608241E-2</v>
      </c>
      <c r="P3448" s="32">
        <f>IF(Mecze[[#This Row],[SC]]=0,0,Mecze[[#This Row],[SC]]/Mecze[[#This Row],[CZAS]])</f>
        <v>0</v>
      </c>
      <c r="Q3448" s="32">
        <f>IF(Mecze[[#This Row],[OB]]=0,0,Mecze[[#This Row],[OB]]/Mecze[[#This Row],[CZAS]])</f>
        <v>0</v>
      </c>
      <c r="R3448" s="32">
        <f>IF(Mecze[[#This Row],[BR]]=0,0,Mecze[[#This Row],[BR]]/Mecze[[#This Row],[CZAS]])</f>
        <v>0</v>
      </c>
      <c r="S3448" s="44">
        <f>IF(Mecze[[#This Row],[Role]]="BR",SUMPRODUCT(Mecze[[#This Row],[/PR:90]:[/BR:90]],Brudnopis!$E$23:$J$23),0)</f>
        <v>0</v>
      </c>
      <c r="T3448" s="44">
        <f>IF(Mecze[[#This Row],[Role]]&lt;&gt;"BR",SUMPRODUCT(Mecze[[#This Row],[/PR:90]:[/BR:90]],Brudnopis!$E$24:$J$24),0)</f>
        <v>7.2164948453608241E-2</v>
      </c>
      <c r="U3448" s="44">
        <f>IF(Mecze[[#This Row],[Role]]&lt;&gt;"BR",SUMPRODUCT(Mecze[[#This Row],[/PR:90]:[/BR:90]],Brudnopis!$E$25:$J$25),0)</f>
        <v>0.10824742268041236</v>
      </c>
      <c r="V3448" s="44">
        <f>IF(Mecze[[#This Row],[Role]]&lt;&gt;"BR",SUMPRODUCT(Mecze[[#This Row],[/PR:90]:[/BR:90]],Brudnopis!$E$26:$J$26),0)</f>
        <v>7.2164948453608241E-2</v>
      </c>
      <c r="W3448" s="44">
        <f>IF(Mecze[[#This Row],[Role]]&lt;&gt;"BR",SUMPRODUCT(Mecze[[#This Row],[/PR:90]:[/BR:90]],Brudnopis!$E$27:$J$27),0)</f>
        <v>0.10824742268041236</v>
      </c>
      <c r="X3448" s="44">
        <f>IF(Mecze[[#This Row],[Role]]&lt;&gt;"BR",SUMPRODUCT(Mecze[[#This Row],[/PR:90]:[/BR:90]],Brudnopis!$E$28:$J$28),0)</f>
        <v>7.2164948453608241E-2</v>
      </c>
      <c r="Y3448" s="35">
        <f>IF(Mecze[[#This Row],[Role]]="BR",Mecze[[#This Row],[/OB:90]]+Mecze[[#This Row],[/PC:90]],SUM(Mecze[[#This Row],[/PR:90]:[/BR:90]]))</f>
        <v>7.2164948453608241E-2</v>
      </c>
      <c r="Z3448" s="35">
        <f>IF(Mecze[[#This Row],[KC]]=0,SUM(Mecze[[#This Row],[/BRI]:[/NPI]]),SUM(Mecze[[#This Row],[/BRI]:[/NPI]])*0.6)</f>
        <v>0.4329896907216495</v>
      </c>
      <c r="AA3448" s="10">
        <f>IFERROR(Mecze[[#This Row],[BR]]/Mecze[[#This Row],[ST]],0)</f>
        <v>0</v>
      </c>
      <c r="AB3448">
        <f>ROUND(Mecze[[#This Row],[PD]]*Mecze[[#This Row],[%PC]],0)</f>
        <v>7</v>
      </c>
      <c r="AC3448">
        <f>ROUND(Mecze[[#This Row],[OD]]*Mecze[[#This Row],[%OU]],0)</f>
        <v>0</v>
      </c>
      <c r="AD3448" s="36" t="s">
        <v>232</v>
      </c>
      <c r="AE3448" s="36">
        <v>194</v>
      </c>
      <c r="AF3448" s="71">
        <v>7.07</v>
      </c>
      <c r="AG3448" s="37">
        <v>0</v>
      </c>
      <c r="AH3448" s="37">
        <v>0</v>
      </c>
      <c r="AI3448" s="37">
        <v>97</v>
      </c>
      <c r="AJ3448" s="37">
        <v>6</v>
      </c>
      <c r="AK3448" s="37" t="str">
        <f>VLOOKUP(Mecze[[#This Row],[Match ID]],Meczusie[Mecz]:Meczusie[RodzajMeczu],2,FALSE)</f>
        <v>Liga</v>
      </c>
    </row>
    <row r="3449" spans="1:37" x14ac:dyDescent="0.25">
      <c r="A3449" s="76">
        <v>5</v>
      </c>
      <c r="B3449" s="3" t="s">
        <v>256</v>
      </c>
      <c r="C3449" s="2" t="s">
        <v>165</v>
      </c>
      <c r="D3449" s="1">
        <v>1</v>
      </c>
      <c r="E3449" s="1">
        <v>14</v>
      </c>
      <c r="F3449" s="1">
        <v>11</v>
      </c>
      <c r="G3449" s="1">
        <v>7</v>
      </c>
      <c r="H3449" s="4">
        <v>0.71</v>
      </c>
      <c r="I3449" s="1">
        <v>0</v>
      </c>
      <c r="J3449" s="4"/>
      <c r="K3449" s="1">
        <v>0</v>
      </c>
      <c r="L3449" s="1">
        <v>0</v>
      </c>
      <c r="M3449" s="32">
        <f>IF(Mecze[[#This Row],[PR]]=0,0,Mecze[[#This Row],[PR]]/Mecze[[#This Row],[CZAS]])</f>
        <v>0</v>
      </c>
      <c r="N3449" s="32">
        <f>IF(Mecze[[#This Row],[OU]]=0,0,Mecze[[#This Row],[OU]]/Mecze[[#This Row],[CZAS]])</f>
        <v>0</v>
      </c>
      <c r="O3449" s="32">
        <f>IF(Mecze[[#This Row],[PC]]=0,0,Mecze[[#This Row],[PC]]/Mecze[[#This Row],[CZAS]])</f>
        <v>5.1546391752577317E-2</v>
      </c>
      <c r="P3449" s="32">
        <f>IF(Mecze[[#This Row],[SC]]=0,0,Mecze[[#This Row],[SC]]/Mecze[[#This Row],[CZAS]])</f>
        <v>0.1134020618556701</v>
      </c>
      <c r="Q3449" s="32">
        <f>IF(Mecze[[#This Row],[OB]]=0,0,Mecze[[#This Row],[OB]]/Mecze[[#This Row],[CZAS]])</f>
        <v>0</v>
      </c>
      <c r="R3449" s="32">
        <f>IF(Mecze[[#This Row],[BR]]=0,0,Mecze[[#This Row],[BR]]/Mecze[[#This Row],[CZAS]])</f>
        <v>1.0309278350515464E-2</v>
      </c>
      <c r="S3449" s="44">
        <f>IF(Mecze[[#This Row],[Role]]="BR",SUMPRODUCT(Mecze[[#This Row],[/PR:90]:[/BR:90]],Brudnopis!$E$23:$J$23),0)</f>
        <v>0</v>
      </c>
      <c r="T3449" s="44">
        <f>IF(Mecze[[#This Row],[Role]]&lt;&gt;"BR",SUMPRODUCT(Mecze[[#This Row],[/PR:90]:[/BR:90]],Brudnopis!$E$24:$J$24),0)</f>
        <v>0.18041237113402062</v>
      </c>
      <c r="U3449" s="44">
        <f>IF(Mecze[[#This Row],[Role]]&lt;&gt;"BR",SUMPRODUCT(Mecze[[#This Row],[/PR:90]:[/BR:90]],Brudnopis!$E$25:$J$25),0)</f>
        <v>0.20618556701030927</v>
      </c>
      <c r="V3449" s="44">
        <f>IF(Mecze[[#This Row],[Role]]&lt;&gt;"BR",SUMPRODUCT(Mecze[[#This Row],[/PR:90]:[/BR:90]],Brudnopis!$E$26:$J$26),0)</f>
        <v>0.18556701030927836</v>
      </c>
      <c r="W3449" s="44">
        <f>IF(Mecze[[#This Row],[Role]]&lt;&gt;"BR",SUMPRODUCT(Mecze[[#This Row],[/PR:90]:[/BR:90]],Brudnopis!$E$27:$J$27),0)</f>
        <v>0.21134020618556701</v>
      </c>
      <c r="X3449" s="44">
        <f>IF(Mecze[[#This Row],[Role]]&lt;&gt;"BR",SUMPRODUCT(Mecze[[#This Row],[/PR:90]:[/BR:90]],Brudnopis!$E$28:$J$28),0)</f>
        <v>0.30927835051546393</v>
      </c>
      <c r="Y3449" s="35">
        <f>IF(Mecze[[#This Row],[Role]]="BR",Mecze[[#This Row],[/OB:90]]+Mecze[[#This Row],[/PC:90]],SUM(Mecze[[#This Row],[/PR:90]:[/BR:90]]))</f>
        <v>0.17525773195876287</v>
      </c>
      <c r="Z3449" s="35">
        <f>IF(Mecze[[#This Row],[KC]]=0,SUM(Mecze[[#This Row],[/BRI]:[/NPI]]),SUM(Mecze[[#This Row],[/BRI]:[/NPI]])*0.6)</f>
        <v>1.0927835051546393</v>
      </c>
      <c r="AA3449" s="10">
        <f>IFERROR(Mecze[[#This Row],[BR]]/Mecze[[#This Row],[ST]],0)</f>
        <v>7.1428571428571425E-2</v>
      </c>
      <c r="AB3449">
        <f>ROUND(Mecze[[#This Row],[PD]]*Mecze[[#This Row],[%PC]],0)</f>
        <v>5</v>
      </c>
      <c r="AC3449">
        <f>ROUND(Mecze[[#This Row],[OD]]*Mecze[[#This Row],[%OU]],0)</f>
        <v>0</v>
      </c>
      <c r="AD3449" s="36" t="s">
        <v>46</v>
      </c>
      <c r="AE3449" s="36">
        <v>194</v>
      </c>
      <c r="AF3449" s="71">
        <v>9.98</v>
      </c>
      <c r="AG3449" s="37">
        <v>0</v>
      </c>
      <c r="AH3449" s="37">
        <v>0</v>
      </c>
      <c r="AI3449" s="37">
        <v>97</v>
      </c>
      <c r="AJ3449" s="37">
        <v>6</v>
      </c>
      <c r="AK3449" s="37" t="str">
        <f>VLOOKUP(Mecze[[#This Row],[Match ID]],Meczusie[Mecz]:Meczusie[RodzajMeczu],2,FALSE)</f>
        <v>Liga</v>
      </c>
    </row>
    <row r="3450" spans="1:37" x14ac:dyDescent="0.25">
      <c r="A3450" s="76">
        <v>100</v>
      </c>
      <c r="B3450" s="3" t="s">
        <v>257</v>
      </c>
      <c r="C3450" s="2" t="s">
        <v>165</v>
      </c>
      <c r="D3450" s="1">
        <v>8</v>
      </c>
      <c r="E3450" s="1">
        <v>16</v>
      </c>
      <c r="F3450" s="1">
        <v>14</v>
      </c>
      <c r="G3450" s="1">
        <v>10</v>
      </c>
      <c r="H3450" s="4">
        <v>0.7</v>
      </c>
      <c r="I3450" s="1">
        <v>1</v>
      </c>
      <c r="J3450" s="4">
        <v>1</v>
      </c>
      <c r="K3450" s="1">
        <v>0</v>
      </c>
      <c r="L3450" s="1">
        <v>0</v>
      </c>
      <c r="M3450" s="32">
        <f>IF(Mecze[[#This Row],[PR]]=0,0,Mecze[[#This Row],[PR]]/Mecze[[#This Row],[CZAS]])</f>
        <v>0</v>
      </c>
      <c r="N3450" s="32">
        <f>IF(Mecze[[#This Row],[OU]]=0,0,Mecze[[#This Row],[OU]]/Mecze[[#This Row],[CZAS]])</f>
        <v>1.0309278350515464E-2</v>
      </c>
      <c r="O3450" s="32">
        <f>IF(Mecze[[#This Row],[PC]]=0,0,Mecze[[#This Row],[PC]]/Mecze[[#This Row],[CZAS]])</f>
        <v>7.2164948453608241E-2</v>
      </c>
      <c r="P3450" s="32">
        <f>IF(Mecze[[#This Row],[SC]]=0,0,Mecze[[#This Row],[SC]]/Mecze[[#This Row],[CZAS]])</f>
        <v>0.14432989690721648</v>
      </c>
      <c r="Q3450" s="32">
        <f>IF(Mecze[[#This Row],[OB]]=0,0,Mecze[[#This Row],[OB]]/Mecze[[#This Row],[CZAS]])</f>
        <v>0</v>
      </c>
      <c r="R3450" s="32">
        <f>IF(Mecze[[#This Row],[BR]]=0,0,Mecze[[#This Row],[BR]]/Mecze[[#This Row],[CZAS]])</f>
        <v>8.247422680412371E-2</v>
      </c>
      <c r="S3450" s="44">
        <f>IF(Mecze[[#This Row],[Role]]="BR",SUMPRODUCT(Mecze[[#This Row],[/PR:90]:[/BR:90]],Brudnopis!$E$23:$J$23),0)</f>
        <v>0</v>
      </c>
      <c r="T3450" s="44">
        <f>IF(Mecze[[#This Row],[Role]]&lt;&gt;"BR",SUMPRODUCT(Mecze[[#This Row],[/PR:90]:[/BR:90]],Brudnopis!$E$24:$J$24),0)</f>
        <v>0.35567010309278346</v>
      </c>
      <c r="U3450" s="44">
        <f>IF(Mecze[[#This Row],[Role]]&lt;&gt;"BR",SUMPRODUCT(Mecze[[#This Row],[/PR:90]:[/BR:90]],Brudnopis!$E$25:$J$25),0)</f>
        <v>0.38659793814432986</v>
      </c>
      <c r="V3450" s="44">
        <f>IF(Mecze[[#This Row],[Role]]&lt;&gt;"BR",SUMPRODUCT(Mecze[[#This Row],[/PR:90]:[/BR:90]],Brudnopis!$E$26:$J$26),0)</f>
        <v>0.39175257731958757</v>
      </c>
      <c r="W3450" s="44">
        <f>IF(Mecze[[#This Row],[Role]]&lt;&gt;"BR",SUMPRODUCT(Mecze[[#This Row],[/PR:90]:[/BR:90]],Brudnopis!$E$27:$J$27),0)</f>
        <v>0.42525773195876282</v>
      </c>
      <c r="X3450" s="44">
        <f>IF(Mecze[[#This Row],[Role]]&lt;&gt;"BR",SUMPRODUCT(Mecze[[#This Row],[/PR:90]:[/BR:90]],Brudnopis!$E$28:$J$28),0)</f>
        <v>0.60824742268041232</v>
      </c>
      <c r="Y3450" s="35">
        <f>IF(Mecze[[#This Row],[Role]]="BR",Mecze[[#This Row],[/OB:90]]+Mecze[[#This Row],[/PC:90]],SUM(Mecze[[#This Row],[/PR:90]:[/BR:90]]))</f>
        <v>0.30927835051546387</v>
      </c>
      <c r="Z3450" s="35">
        <f>IF(Mecze[[#This Row],[KC]]=0,SUM(Mecze[[#This Row],[/BRI]:[/NPI]]),SUM(Mecze[[#This Row],[/BRI]:[/NPI]])*0.6)</f>
        <v>2.1675257731958761</v>
      </c>
      <c r="AA3450" s="10">
        <f>IFERROR(Mecze[[#This Row],[BR]]/Mecze[[#This Row],[ST]],0)</f>
        <v>0.5</v>
      </c>
      <c r="AB3450">
        <f>ROUND(Mecze[[#This Row],[PD]]*Mecze[[#This Row],[%PC]],0)</f>
        <v>7</v>
      </c>
      <c r="AC3450">
        <f>ROUND(Mecze[[#This Row],[OD]]*Mecze[[#This Row],[%OU]],0)</f>
        <v>1</v>
      </c>
      <c r="AD3450" s="36" t="s">
        <v>46</v>
      </c>
      <c r="AE3450" s="36">
        <v>194</v>
      </c>
      <c r="AF3450" s="71">
        <v>26.74</v>
      </c>
      <c r="AG3450" s="37">
        <v>0</v>
      </c>
      <c r="AH3450" s="37">
        <v>0</v>
      </c>
      <c r="AI3450" s="37">
        <v>97</v>
      </c>
      <c r="AJ3450" s="37">
        <v>6</v>
      </c>
      <c r="AK3450" s="37" t="str">
        <f>VLOOKUP(Mecze[[#This Row],[Match ID]],Meczusie[Mecz]:Meczusie[RodzajMeczu],2,FALSE)</f>
        <v>Liga</v>
      </c>
    </row>
    <row r="3451" spans="1:37" x14ac:dyDescent="0.25">
      <c r="A3451" s="76">
        <v>3</v>
      </c>
      <c r="B3451" s="3" t="s">
        <v>222</v>
      </c>
      <c r="C3451" s="2" t="s">
        <v>155</v>
      </c>
      <c r="D3451" s="1">
        <v>0</v>
      </c>
      <c r="E3451" s="1">
        <v>0</v>
      </c>
      <c r="F3451" s="1">
        <v>0</v>
      </c>
      <c r="G3451" s="1">
        <v>19</v>
      </c>
      <c r="H3451" s="4">
        <v>0.57999999999999996</v>
      </c>
      <c r="I3451" s="1">
        <v>0</v>
      </c>
      <c r="J3451" s="4"/>
      <c r="K3451" s="1">
        <v>18</v>
      </c>
      <c r="L3451" s="1">
        <v>0</v>
      </c>
      <c r="M3451" s="32">
        <f>IF(Mecze[[#This Row],[PR]]=0,0,Mecze[[#This Row],[PR]]/Mecze[[#This Row],[CZAS]])</f>
        <v>0</v>
      </c>
      <c r="N3451" s="32">
        <f>IF(Mecze[[#This Row],[OU]]=0,0,Mecze[[#This Row],[OU]]/Mecze[[#This Row],[CZAS]])</f>
        <v>0</v>
      </c>
      <c r="O3451" s="32">
        <f>IF(Mecze[[#This Row],[PC]]=0,0,Mecze[[#This Row],[PC]]/Mecze[[#This Row],[CZAS]])</f>
        <v>0.1134020618556701</v>
      </c>
      <c r="P3451" s="32">
        <f>IF(Mecze[[#This Row],[SC]]=0,0,Mecze[[#This Row],[SC]]/Mecze[[#This Row],[CZAS]])</f>
        <v>0</v>
      </c>
      <c r="Q3451" s="32">
        <f>IF(Mecze[[#This Row],[OB]]=0,0,Mecze[[#This Row],[OB]]/Mecze[[#This Row],[CZAS]])</f>
        <v>0.18556701030927836</v>
      </c>
      <c r="R3451" s="32">
        <f>IF(Mecze[[#This Row],[BR]]=0,0,Mecze[[#This Row],[BR]]/Mecze[[#This Row],[CZAS]])</f>
        <v>0</v>
      </c>
      <c r="S3451" s="44">
        <f>IF(Mecze[[#This Row],[Role]]="BR",SUMPRODUCT(Mecze[[#This Row],[/PR:90]:[/BR:90]],Brudnopis!$E$23:$J$23),0)</f>
        <v>0.89690721649484539</v>
      </c>
      <c r="T3451" s="44">
        <f>IF(Mecze[[#This Row],[Role]]&lt;&gt;"BR",SUMPRODUCT(Mecze[[#This Row],[/PR:90]:[/BR:90]],Brudnopis!$E$24:$J$24),0)</f>
        <v>0</v>
      </c>
      <c r="U3451" s="44">
        <f>IF(Mecze[[#This Row],[Role]]&lt;&gt;"BR",SUMPRODUCT(Mecze[[#This Row],[/PR:90]:[/BR:90]],Brudnopis!$E$25:$J$25),0)</f>
        <v>0</v>
      </c>
      <c r="V3451" s="44">
        <f>IF(Mecze[[#This Row],[Role]]&lt;&gt;"BR",SUMPRODUCT(Mecze[[#This Row],[/PR:90]:[/BR:90]],Brudnopis!$E$26:$J$26),0)</f>
        <v>0</v>
      </c>
      <c r="W3451" s="44">
        <f>IF(Mecze[[#This Row],[Role]]&lt;&gt;"BR",SUMPRODUCT(Mecze[[#This Row],[/PR:90]:[/BR:90]],Brudnopis!$E$27:$J$27),0)</f>
        <v>0</v>
      </c>
      <c r="X3451" s="44">
        <f>IF(Mecze[[#This Row],[Role]]&lt;&gt;"BR",SUMPRODUCT(Mecze[[#This Row],[/PR:90]:[/BR:90]],Brudnopis!$E$28:$J$28),0)</f>
        <v>0</v>
      </c>
      <c r="Y3451" s="35">
        <f>IF(Mecze[[#This Row],[Role]]="BR",Mecze[[#This Row],[/OB:90]]+Mecze[[#This Row],[/PC:90]],SUM(Mecze[[#This Row],[/PR:90]:[/BR:90]]))</f>
        <v>0.29896907216494845</v>
      </c>
      <c r="Z3451" s="35">
        <f>IF(Mecze[[#This Row],[KC]]=0,SUM(Mecze[[#This Row],[/BRI]:[/NPI]]),SUM(Mecze[[#This Row],[/BRI]:[/NPI]])*0.6)</f>
        <v>0.89690721649484539</v>
      </c>
      <c r="AA3451" s="10">
        <f>IFERROR(Mecze[[#This Row],[BR]]/Mecze[[#This Row],[ST]],0)</f>
        <v>0</v>
      </c>
      <c r="AB3451">
        <f>ROUND(Mecze[[#This Row],[PD]]*Mecze[[#This Row],[%PC]],0)</f>
        <v>11</v>
      </c>
      <c r="AC3451">
        <f>ROUND(Mecze[[#This Row],[OD]]*Mecze[[#This Row],[%OU]],0)</f>
        <v>0</v>
      </c>
      <c r="AD3451" s="36" t="s">
        <v>40</v>
      </c>
      <c r="AE3451" s="36">
        <v>194</v>
      </c>
      <c r="AF3451" s="71">
        <v>5.77</v>
      </c>
      <c r="AG3451" s="37">
        <v>0</v>
      </c>
      <c r="AH3451" s="37">
        <v>0</v>
      </c>
      <c r="AI3451" s="37">
        <v>97</v>
      </c>
      <c r="AJ3451" s="37">
        <v>2</v>
      </c>
      <c r="AK3451" s="37" t="str">
        <f>VLOOKUP(Mecze[[#This Row],[Match ID]],Meczusie[Mecz]:Meczusie[RodzajMeczu],2,FALSE)</f>
        <v>Liga</v>
      </c>
    </row>
    <row r="3452" spans="1:37" x14ac:dyDescent="0.25">
      <c r="A3452" s="76">
        <v>47</v>
      </c>
      <c r="B3452" s="3" t="s">
        <v>502</v>
      </c>
      <c r="C3452" s="2" t="s">
        <v>157</v>
      </c>
      <c r="D3452" s="1">
        <v>0</v>
      </c>
      <c r="E3452" s="1">
        <v>0</v>
      </c>
      <c r="F3452" s="1">
        <v>0</v>
      </c>
      <c r="G3452" s="1">
        <v>2</v>
      </c>
      <c r="H3452" s="4">
        <v>0.5</v>
      </c>
      <c r="I3452" s="1">
        <v>2</v>
      </c>
      <c r="J3452" s="4">
        <v>0</v>
      </c>
      <c r="K3452" s="1">
        <v>0</v>
      </c>
      <c r="L3452" s="1">
        <v>2</v>
      </c>
      <c r="M3452" s="32">
        <f>IF(Mecze[[#This Row],[PR]]=0,0,Mecze[[#This Row],[PR]]/Mecze[[#This Row],[CZAS]])</f>
        <v>2.0618556701030927E-2</v>
      </c>
      <c r="N3452" s="32">
        <f>IF(Mecze[[#This Row],[OU]]=0,0,Mecze[[#This Row],[OU]]/Mecze[[#This Row],[CZAS]])</f>
        <v>0</v>
      </c>
      <c r="O3452" s="32">
        <f>IF(Mecze[[#This Row],[PC]]=0,0,Mecze[[#This Row],[PC]]/Mecze[[#This Row],[CZAS]])</f>
        <v>1.0309278350515464E-2</v>
      </c>
      <c r="P3452" s="32">
        <f>IF(Mecze[[#This Row],[SC]]=0,0,Mecze[[#This Row],[SC]]/Mecze[[#This Row],[CZAS]])</f>
        <v>0</v>
      </c>
      <c r="Q3452" s="32">
        <f>IF(Mecze[[#This Row],[OB]]=0,0,Mecze[[#This Row],[OB]]/Mecze[[#This Row],[CZAS]])</f>
        <v>0</v>
      </c>
      <c r="R3452" s="32">
        <f>IF(Mecze[[#This Row],[BR]]=0,0,Mecze[[#This Row],[BR]]/Mecze[[#This Row],[CZAS]])</f>
        <v>0</v>
      </c>
      <c r="S3452" s="44">
        <f>IF(Mecze[[#This Row],[Role]]="BR",SUMPRODUCT(Mecze[[#This Row],[/PR:90]:[/BR:90]],Brudnopis!$E$23:$J$23),0)</f>
        <v>0</v>
      </c>
      <c r="T3452" s="44">
        <f>IF(Mecze[[#This Row],[Role]]&lt;&gt;"BR",SUMPRODUCT(Mecze[[#This Row],[/PR:90]:[/BR:90]],Brudnopis!$E$24:$J$24),0)</f>
        <v>3.0927835051546393E-2</v>
      </c>
      <c r="U3452" s="44">
        <f>IF(Mecze[[#This Row],[Role]]&lt;&gt;"BR",SUMPRODUCT(Mecze[[#This Row],[/PR:90]:[/BR:90]],Brudnopis!$E$25:$J$25),0)</f>
        <v>3.608247422680412E-2</v>
      </c>
      <c r="V3452" s="44">
        <f>IF(Mecze[[#This Row],[Role]]&lt;&gt;"BR",SUMPRODUCT(Mecze[[#This Row],[/PR:90]:[/BR:90]],Brudnopis!$E$26:$J$26),0)</f>
        <v>3.0927835051546393E-2</v>
      </c>
      <c r="W3452" s="44">
        <f>IF(Mecze[[#This Row],[Role]]&lt;&gt;"BR",SUMPRODUCT(Mecze[[#This Row],[/PR:90]:[/BR:90]],Brudnopis!$E$27:$J$27),0)</f>
        <v>3.0927835051546393E-2</v>
      </c>
      <c r="X3452" s="44">
        <f>IF(Mecze[[#This Row],[Role]]&lt;&gt;"BR",SUMPRODUCT(Mecze[[#This Row],[/PR:90]:[/BR:90]],Brudnopis!$E$28:$J$28),0)</f>
        <v>1.0309278350515464E-2</v>
      </c>
      <c r="Y3452" s="35">
        <f>IF(Mecze[[#This Row],[Role]]="BR",Mecze[[#This Row],[/OB:90]]+Mecze[[#This Row],[/PC:90]],SUM(Mecze[[#This Row],[/PR:90]:[/BR:90]]))</f>
        <v>3.0927835051546393E-2</v>
      </c>
      <c r="Z3452" s="35">
        <f>IF(Mecze[[#This Row],[KC]]=0,SUM(Mecze[[#This Row],[/BRI]:[/NPI]]),SUM(Mecze[[#This Row],[/BRI]:[/NPI]])*0.6)</f>
        <v>0.13917525773195874</v>
      </c>
      <c r="AA3452" s="10">
        <f>IFERROR(Mecze[[#This Row],[BR]]/Mecze[[#This Row],[ST]],0)</f>
        <v>0</v>
      </c>
      <c r="AB3452">
        <f>ROUND(Mecze[[#This Row],[PD]]*Mecze[[#This Row],[%PC]],0)</f>
        <v>1</v>
      </c>
      <c r="AC3452">
        <f>ROUND(Mecze[[#This Row],[OD]]*Mecze[[#This Row],[%OU]],0)</f>
        <v>0</v>
      </c>
      <c r="AD3452" s="36" t="s">
        <v>174</v>
      </c>
      <c r="AE3452" s="36">
        <v>194</v>
      </c>
      <c r="AF3452" s="71">
        <v>-1.33</v>
      </c>
      <c r="AG3452" s="37">
        <v>0</v>
      </c>
      <c r="AH3452" s="37">
        <v>0</v>
      </c>
      <c r="AI3452" s="37">
        <v>97</v>
      </c>
      <c r="AJ3452" s="37">
        <v>2</v>
      </c>
      <c r="AK3452" s="37" t="str">
        <f>VLOOKUP(Mecze[[#This Row],[Match ID]],Meczusie[Mecz]:Meczusie[RodzajMeczu],2,FALSE)</f>
        <v>Liga</v>
      </c>
    </row>
    <row r="3453" spans="1:37" x14ac:dyDescent="0.25">
      <c r="A3453" s="76">
        <v>40</v>
      </c>
      <c r="B3453" s="3" t="s">
        <v>498</v>
      </c>
      <c r="C3453" s="2" t="s">
        <v>157</v>
      </c>
      <c r="D3453" s="1">
        <v>0</v>
      </c>
      <c r="E3453" s="1">
        <v>0</v>
      </c>
      <c r="F3453" s="1">
        <v>0</v>
      </c>
      <c r="G3453" s="1">
        <v>16</v>
      </c>
      <c r="H3453" s="4">
        <v>0.31</v>
      </c>
      <c r="I3453" s="1">
        <v>4</v>
      </c>
      <c r="J3453" s="4">
        <v>0.5</v>
      </c>
      <c r="K3453" s="1">
        <v>0</v>
      </c>
      <c r="L3453" s="1">
        <v>9</v>
      </c>
      <c r="M3453" s="32">
        <f>IF(Mecze[[#This Row],[PR]]=0,0,Mecze[[#This Row],[PR]]/Mecze[[#This Row],[CZAS]])</f>
        <v>9.2783505154639179E-2</v>
      </c>
      <c r="N3453" s="32">
        <f>IF(Mecze[[#This Row],[OU]]=0,0,Mecze[[#This Row],[OU]]/Mecze[[#This Row],[CZAS]])</f>
        <v>2.0618556701030927E-2</v>
      </c>
      <c r="O3453" s="32">
        <f>IF(Mecze[[#This Row],[PC]]=0,0,Mecze[[#This Row],[PC]]/Mecze[[#This Row],[CZAS]])</f>
        <v>5.1546391752577317E-2</v>
      </c>
      <c r="P3453" s="32">
        <f>IF(Mecze[[#This Row],[SC]]=0,0,Mecze[[#This Row],[SC]]/Mecze[[#This Row],[CZAS]])</f>
        <v>0</v>
      </c>
      <c r="Q3453" s="32">
        <f>IF(Mecze[[#This Row],[OB]]=0,0,Mecze[[#This Row],[OB]]/Mecze[[#This Row],[CZAS]])</f>
        <v>0</v>
      </c>
      <c r="R3453" s="32">
        <f>IF(Mecze[[#This Row],[BR]]=0,0,Mecze[[#This Row],[BR]]/Mecze[[#This Row],[CZAS]])</f>
        <v>0</v>
      </c>
      <c r="S3453" s="44">
        <f>IF(Mecze[[#This Row],[Role]]="BR",SUMPRODUCT(Mecze[[#This Row],[/PR:90]:[/BR:90]],Brudnopis!$E$23:$J$23),0)</f>
        <v>0</v>
      </c>
      <c r="T3453" s="44">
        <f>IF(Mecze[[#This Row],[Role]]&lt;&gt;"BR",SUMPRODUCT(Mecze[[#This Row],[/PR:90]:[/BR:90]],Brudnopis!$E$24:$J$24),0)</f>
        <v>0.17525773195876287</v>
      </c>
      <c r="U3453" s="44">
        <f>IF(Mecze[[#This Row],[Role]]&lt;&gt;"BR",SUMPRODUCT(Mecze[[#This Row],[/PR:90]:[/BR:90]],Brudnopis!$E$25:$J$25),0)</f>
        <v>0.19072164948453607</v>
      </c>
      <c r="V3453" s="44">
        <f>IF(Mecze[[#This Row],[Role]]&lt;&gt;"BR",SUMPRODUCT(Mecze[[#This Row],[/PR:90]:[/BR:90]],Brudnopis!$E$26:$J$26),0)</f>
        <v>0.16494845360824742</v>
      </c>
      <c r="W3453" s="44">
        <f>IF(Mecze[[#This Row],[Role]]&lt;&gt;"BR",SUMPRODUCT(Mecze[[#This Row],[/PR:90]:[/BR:90]],Brudnopis!$E$27:$J$27),0)</f>
        <v>0.16237113402061856</v>
      </c>
      <c r="X3453" s="44">
        <f>IF(Mecze[[#This Row],[Role]]&lt;&gt;"BR",SUMPRODUCT(Mecze[[#This Row],[/PR:90]:[/BR:90]],Brudnopis!$E$28:$J$28),0)</f>
        <v>5.1546391752577317E-2</v>
      </c>
      <c r="Y3453" s="35">
        <f>IF(Mecze[[#This Row],[Role]]="BR",Mecze[[#This Row],[/OB:90]]+Mecze[[#This Row],[/PC:90]],SUM(Mecze[[#This Row],[/PR:90]:[/BR:90]]))</f>
        <v>0.16494845360824742</v>
      </c>
      <c r="Z3453" s="35">
        <f>IF(Mecze[[#This Row],[KC]]=0,SUM(Mecze[[#This Row],[/BRI]:[/NPI]]),SUM(Mecze[[#This Row],[/BRI]:[/NPI]])*0.6)</f>
        <v>0.74484536082474229</v>
      </c>
      <c r="AA3453" s="10">
        <f>IFERROR(Mecze[[#This Row],[BR]]/Mecze[[#This Row],[ST]],0)</f>
        <v>0</v>
      </c>
      <c r="AB3453">
        <f>ROUND(Mecze[[#This Row],[PD]]*Mecze[[#This Row],[%PC]],0)</f>
        <v>5</v>
      </c>
      <c r="AC3453">
        <f>ROUND(Mecze[[#This Row],[OD]]*Mecze[[#This Row],[%OU]],0)</f>
        <v>2</v>
      </c>
      <c r="AD3453" s="36" t="s">
        <v>47</v>
      </c>
      <c r="AE3453" s="36">
        <v>194</v>
      </c>
      <c r="AF3453" s="71">
        <v>0.15</v>
      </c>
      <c r="AG3453" s="37">
        <v>1</v>
      </c>
      <c r="AH3453" s="37">
        <v>0</v>
      </c>
      <c r="AI3453" s="37">
        <v>97</v>
      </c>
      <c r="AJ3453" s="37">
        <v>2</v>
      </c>
      <c r="AK3453" s="37" t="str">
        <f>VLOOKUP(Mecze[[#This Row],[Match ID]],Meczusie[Mecz]:Meczusie[RodzajMeczu],2,FALSE)</f>
        <v>Liga</v>
      </c>
    </row>
    <row r="3454" spans="1:37" x14ac:dyDescent="0.25">
      <c r="A3454" s="76">
        <v>37</v>
      </c>
      <c r="B3454" s="3" t="s">
        <v>499</v>
      </c>
      <c r="C3454" s="2" t="s">
        <v>157</v>
      </c>
      <c r="D3454" s="1">
        <v>0</v>
      </c>
      <c r="E3454" s="1">
        <v>0</v>
      </c>
      <c r="F3454" s="1">
        <v>0</v>
      </c>
      <c r="G3454" s="1">
        <v>3</v>
      </c>
      <c r="H3454" s="4">
        <v>0.33</v>
      </c>
      <c r="I3454" s="1">
        <v>1</v>
      </c>
      <c r="J3454" s="4">
        <v>0</v>
      </c>
      <c r="K3454" s="1">
        <v>0</v>
      </c>
      <c r="L3454" s="1">
        <v>1</v>
      </c>
      <c r="M3454" s="32">
        <f>IF(Mecze[[#This Row],[PR]]=0,0,Mecze[[#This Row],[PR]]/Mecze[[#This Row],[CZAS]])</f>
        <v>1.0309278350515464E-2</v>
      </c>
      <c r="N3454" s="32">
        <f>IF(Mecze[[#This Row],[OU]]=0,0,Mecze[[#This Row],[OU]]/Mecze[[#This Row],[CZAS]])</f>
        <v>0</v>
      </c>
      <c r="O3454" s="32">
        <f>IF(Mecze[[#This Row],[PC]]=0,0,Mecze[[#This Row],[PC]]/Mecze[[#This Row],[CZAS]])</f>
        <v>1.0309278350515464E-2</v>
      </c>
      <c r="P3454" s="32">
        <f>IF(Mecze[[#This Row],[SC]]=0,0,Mecze[[#This Row],[SC]]/Mecze[[#This Row],[CZAS]])</f>
        <v>0</v>
      </c>
      <c r="Q3454" s="32">
        <f>IF(Mecze[[#This Row],[OB]]=0,0,Mecze[[#This Row],[OB]]/Mecze[[#This Row],[CZAS]])</f>
        <v>0</v>
      </c>
      <c r="R3454" s="32">
        <f>IF(Mecze[[#This Row],[BR]]=0,0,Mecze[[#This Row],[BR]]/Mecze[[#This Row],[CZAS]])</f>
        <v>0</v>
      </c>
      <c r="S3454" s="44">
        <f>IF(Mecze[[#This Row],[Role]]="BR",SUMPRODUCT(Mecze[[#This Row],[/PR:90]:[/BR:90]],Brudnopis!$E$23:$J$23),0)</f>
        <v>0</v>
      </c>
      <c r="T3454" s="44">
        <f>IF(Mecze[[#This Row],[Role]]&lt;&gt;"BR",SUMPRODUCT(Mecze[[#This Row],[/PR:90]:[/BR:90]],Brudnopis!$E$24:$J$24),0)</f>
        <v>2.0618556701030927E-2</v>
      </c>
      <c r="U3454" s="44">
        <f>IF(Mecze[[#This Row],[Role]]&lt;&gt;"BR",SUMPRODUCT(Mecze[[#This Row],[/PR:90]:[/BR:90]],Brudnopis!$E$25:$J$25),0)</f>
        <v>2.5773195876288658E-2</v>
      </c>
      <c r="V3454" s="44">
        <f>IF(Mecze[[#This Row],[Role]]&lt;&gt;"BR",SUMPRODUCT(Mecze[[#This Row],[/PR:90]:[/BR:90]],Brudnopis!$E$26:$J$26),0)</f>
        <v>2.0618556701030927E-2</v>
      </c>
      <c r="W3454" s="44">
        <f>IF(Mecze[[#This Row],[Role]]&lt;&gt;"BR",SUMPRODUCT(Mecze[[#This Row],[/PR:90]:[/BR:90]],Brudnopis!$E$27:$J$27),0)</f>
        <v>2.3195876288659795E-2</v>
      </c>
      <c r="X3454" s="44">
        <f>IF(Mecze[[#This Row],[Role]]&lt;&gt;"BR",SUMPRODUCT(Mecze[[#This Row],[/PR:90]:[/BR:90]],Brudnopis!$E$28:$J$28),0)</f>
        <v>1.0309278350515464E-2</v>
      </c>
      <c r="Y3454" s="35">
        <f>IF(Mecze[[#This Row],[Role]]="BR",Mecze[[#This Row],[/OB:90]]+Mecze[[#This Row],[/PC:90]],SUM(Mecze[[#This Row],[/PR:90]:[/BR:90]]))</f>
        <v>2.0618556701030927E-2</v>
      </c>
      <c r="Z3454" s="35">
        <f>IF(Mecze[[#This Row],[KC]]=0,SUM(Mecze[[#This Row],[/BRI]:[/NPI]]),SUM(Mecze[[#This Row],[/BRI]:[/NPI]])*0.6)</f>
        <v>0.10051546391752578</v>
      </c>
      <c r="AA3454" s="10">
        <f>IFERROR(Mecze[[#This Row],[BR]]/Mecze[[#This Row],[ST]],0)</f>
        <v>0</v>
      </c>
      <c r="AB3454">
        <f>ROUND(Mecze[[#This Row],[PD]]*Mecze[[#This Row],[%PC]],0)</f>
        <v>1</v>
      </c>
      <c r="AC3454">
        <f>ROUND(Mecze[[#This Row],[OD]]*Mecze[[#This Row],[%OU]],0)</f>
        <v>0</v>
      </c>
      <c r="AD3454" s="36" t="s">
        <v>175</v>
      </c>
      <c r="AE3454" s="36">
        <v>194</v>
      </c>
      <c r="AF3454" s="71">
        <v>-1.54</v>
      </c>
      <c r="AG3454" s="37">
        <v>0</v>
      </c>
      <c r="AH3454" s="37">
        <v>0</v>
      </c>
      <c r="AI3454" s="37">
        <v>97</v>
      </c>
      <c r="AJ3454" s="37">
        <v>2</v>
      </c>
      <c r="AK3454" s="37" t="str">
        <f>VLOOKUP(Mecze[[#This Row],[Match ID]],Meczusie[Mecz]:Meczusie[RodzajMeczu],2,FALSE)</f>
        <v>Liga</v>
      </c>
    </row>
    <row r="3455" spans="1:37" x14ac:dyDescent="0.25">
      <c r="A3455" s="76">
        <v>34</v>
      </c>
      <c r="B3455" s="3" t="s">
        <v>500</v>
      </c>
      <c r="C3455" s="2" t="s">
        <v>157</v>
      </c>
      <c r="D3455" s="1">
        <v>0</v>
      </c>
      <c r="E3455" s="1">
        <v>0</v>
      </c>
      <c r="F3455" s="1">
        <v>0</v>
      </c>
      <c r="G3455" s="1">
        <v>7</v>
      </c>
      <c r="H3455" s="4">
        <v>0.28999999999999998</v>
      </c>
      <c r="I3455" s="1">
        <v>7</v>
      </c>
      <c r="J3455" s="4">
        <v>0.28999999999999998</v>
      </c>
      <c r="K3455" s="1">
        <v>0</v>
      </c>
      <c r="L3455" s="1">
        <v>2</v>
      </c>
      <c r="M3455" s="32">
        <f>IF(Mecze[[#This Row],[PR]]=0,0,Mecze[[#This Row],[PR]]/Mecze[[#This Row],[CZAS]])</f>
        <v>2.0618556701030927E-2</v>
      </c>
      <c r="N3455" s="32">
        <f>IF(Mecze[[#This Row],[OU]]=0,0,Mecze[[#This Row],[OU]]/Mecze[[#This Row],[CZAS]])</f>
        <v>2.0618556701030927E-2</v>
      </c>
      <c r="O3455" s="32">
        <f>IF(Mecze[[#This Row],[PC]]=0,0,Mecze[[#This Row],[PC]]/Mecze[[#This Row],[CZAS]])</f>
        <v>2.0618556701030927E-2</v>
      </c>
      <c r="P3455" s="32">
        <f>IF(Mecze[[#This Row],[SC]]=0,0,Mecze[[#This Row],[SC]]/Mecze[[#This Row],[CZAS]])</f>
        <v>0</v>
      </c>
      <c r="Q3455" s="32">
        <f>IF(Mecze[[#This Row],[OB]]=0,0,Mecze[[#This Row],[OB]]/Mecze[[#This Row],[CZAS]])</f>
        <v>0</v>
      </c>
      <c r="R3455" s="32">
        <f>IF(Mecze[[#This Row],[BR]]=0,0,Mecze[[#This Row],[BR]]/Mecze[[#This Row],[CZAS]])</f>
        <v>0</v>
      </c>
      <c r="S3455" s="44">
        <f>IF(Mecze[[#This Row],[Role]]="BR",SUMPRODUCT(Mecze[[#This Row],[/PR:90]:[/BR:90]],Brudnopis!$E$23:$J$23),0)</f>
        <v>0</v>
      </c>
      <c r="T3455" s="44">
        <f>IF(Mecze[[#This Row],[Role]]&lt;&gt;"BR",SUMPRODUCT(Mecze[[#This Row],[/PR:90]:[/BR:90]],Brudnopis!$E$24:$J$24),0)</f>
        <v>7.2164948453608241E-2</v>
      </c>
      <c r="U3455" s="44">
        <f>IF(Mecze[[#This Row],[Role]]&lt;&gt;"BR",SUMPRODUCT(Mecze[[#This Row],[/PR:90]:[/BR:90]],Brudnopis!$E$25:$J$25),0)</f>
        <v>7.2164948453608241E-2</v>
      </c>
      <c r="V3455" s="44">
        <f>IF(Mecze[[#This Row],[Role]]&lt;&gt;"BR",SUMPRODUCT(Mecze[[#This Row],[/PR:90]:[/BR:90]],Brudnopis!$E$26:$J$26),0)</f>
        <v>6.1855670103092786E-2</v>
      </c>
      <c r="W3455" s="44">
        <f>IF(Mecze[[#This Row],[Role]]&lt;&gt;"BR",SUMPRODUCT(Mecze[[#This Row],[/PR:90]:[/BR:90]],Brudnopis!$E$27:$J$27),0)</f>
        <v>6.1855670103092786E-2</v>
      </c>
      <c r="X3455" s="44">
        <f>IF(Mecze[[#This Row],[Role]]&lt;&gt;"BR",SUMPRODUCT(Mecze[[#This Row],[/PR:90]:[/BR:90]],Brudnopis!$E$28:$J$28),0)</f>
        <v>2.0618556701030927E-2</v>
      </c>
      <c r="Y3455" s="35">
        <f>IF(Mecze[[#This Row],[Role]]="BR",Mecze[[#This Row],[/OB:90]]+Mecze[[#This Row],[/PC:90]],SUM(Mecze[[#This Row],[/PR:90]:[/BR:90]]))</f>
        <v>6.1855670103092786E-2</v>
      </c>
      <c r="Z3455" s="35">
        <f>IF(Mecze[[#This Row],[KC]]=0,SUM(Mecze[[#This Row],[/BRI]:[/NPI]]),SUM(Mecze[[#This Row],[/BRI]:[/NPI]])*0.6)</f>
        <v>0.28865979381443296</v>
      </c>
      <c r="AA3455" s="10">
        <f>IFERROR(Mecze[[#This Row],[BR]]/Mecze[[#This Row],[ST]],0)</f>
        <v>0</v>
      </c>
      <c r="AB3455">
        <f>ROUND(Mecze[[#This Row],[PD]]*Mecze[[#This Row],[%PC]],0)</f>
        <v>2</v>
      </c>
      <c r="AC3455">
        <f>ROUND(Mecze[[#This Row],[OD]]*Mecze[[#This Row],[%OU]],0)</f>
        <v>2</v>
      </c>
      <c r="AD3455" s="36" t="s">
        <v>47</v>
      </c>
      <c r="AE3455" s="36">
        <v>194</v>
      </c>
      <c r="AF3455" s="71">
        <v>-2.44</v>
      </c>
      <c r="AG3455" s="37">
        <v>1</v>
      </c>
      <c r="AH3455" s="37">
        <v>0</v>
      </c>
      <c r="AI3455" s="37">
        <v>97</v>
      </c>
      <c r="AJ3455" s="37">
        <v>2</v>
      </c>
      <c r="AK3455" s="37" t="str">
        <f>VLOOKUP(Mecze[[#This Row],[Match ID]],Meczusie[Mecz]:Meczusie[RodzajMeczu],2,FALSE)</f>
        <v>Liga</v>
      </c>
    </row>
    <row r="3456" spans="1:37" x14ac:dyDescent="0.25">
      <c r="A3456" s="76">
        <v>39</v>
      </c>
      <c r="B3456" s="3" t="s">
        <v>511</v>
      </c>
      <c r="C3456" s="2" t="s">
        <v>160</v>
      </c>
      <c r="D3456" s="1">
        <v>0</v>
      </c>
      <c r="E3456" s="1">
        <v>0</v>
      </c>
      <c r="F3456" s="1">
        <v>0</v>
      </c>
      <c r="G3456" s="1">
        <v>4</v>
      </c>
      <c r="H3456" s="4">
        <v>0.5</v>
      </c>
      <c r="I3456" s="1">
        <v>4</v>
      </c>
      <c r="J3456" s="4">
        <v>0</v>
      </c>
      <c r="K3456" s="1">
        <v>0</v>
      </c>
      <c r="L3456" s="1">
        <v>1</v>
      </c>
      <c r="M3456" s="32">
        <f>IF(Mecze[[#This Row],[PR]]=0,0,Mecze[[#This Row],[PR]]/Mecze[[#This Row],[CZAS]])</f>
        <v>1.0309278350515464E-2</v>
      </c>
      <c r="N3456" s="32">
        <f>IF(Mecze[[#This Row],[OU]]=0,0,Mecze[[#This Row],[OU]]/Mecze[[#This Row],[CZAS]])</f>
        <v>0</v>
      </c>
      <c r="O3456" s="32">
        <f>IF(Mecze[[#This Row],[PC]]=0,0,Mecze[[#This Row],[PC]]/Mecze[[#This Row],[CZAS]])</f>
        <v>2.0618556701030927E-2</v>
      </c>
      <c r="P3456" s="32">
        <f>IF(Mecze[[#This Row],[SC]]=0,0,Mecze[[#This Row],[SC]]/Mecze[[#This Row],[CZAS]])</f>
        <v>0</v>
      </c>
      <c r="Q3456" s="32">
        <f>IF(Mecze[[#This Row],[OB]]=0,0,Mecze[[#This Row],[OB]]/Mecze[[#This Row],[CZAS]])</f>
        <v>0</v>
      </c>
      <c r="R3456" s="32">
        <f>IF(Mecze[[#This Row],[BR]]=0,0,Mecze[[#This Row],[BR]]/Mecze[[#This Row],[CZAS]])</f>
        <v>0</v>
      </c>
      <c r="S3456" s="44">
        <f>IF(Mecze[[#This Row],[Role]]="BR",SUMPRODUCT(Mecze[[#This Row],[/PR:90]:[/BR:90]],Brudnopis!$E$23:$J$23),0)</f>
        <v>0</v>
      </c>
      <c r="T3456" s="44">
        <f>IF(Mecze[[#This Row],[Role]]&lt;&gt;"BR",SUMPRODUCT(Mecze[[#This Row],[/PR:90]:[/BR:90]],Brudnopis!$E$24:$J$24),0)</f>
        <v>3.0927835051546393E-2</v>
      </c>
      <c r="U3456" s="44">
        <f>IF(Mecze[[#This Row],[Role]]&lt;&gt;"BR",SUMPRODUCT(Mecze[[#This Row],[/PR:90]:[/BR:90]],Brudnopis!$E$25:$J$25),0)</f>
        <v>4.1237113402061855E-2</v>
      </c>
      <c r="V3456" s="44">
        <f>IF(Mecze[[#This Row],[Role]]&lt;&gt;"BR",SUMPRODUCT(Mecze[[#This Row],[/PR:90]:[/BR:90]],Brudnopis!$E$26:$J$26),0)</f>
        <v>3.0927835051546393E-2</v>
      </c>
      <c r="W3456" s="44">
        <f>IF(Mecze[[#This Row],[Role]]&lt;&gt;"BR",SUMPRODUCT(Mecze[[#This Row],[/PR:90]:[/BR:90]],Brudnopis!$E$27:$J$27),0)</f>
        <v>3.8659793814432991E-2</v>
      </c>
      <c r="X3456" s="44">
        <f>IF(Mecze[[#This Row],[Role]]&lt;&gt;"BR",SUMPRODUCT(Mecze[[#This Row],[/PR:90]:[/BR:90]],Brudnopis!$E$28:$J$28),0)</f>
        <v>2.0618556701030927E-2</v>
      </c>
      <c r="Y3456" s="35">
        <f>IF(Mecze[[#This Row],[Role]]="BR",Mecze[[#This Row],[/OB:90]]+Mecze[[#This Row],[/PC:90]],SUM(Mecze[[#This Row],[/PR:90]:[/BR:90]]))</f>
        <v>3.0927835051546393E-2</v>
      </c>
      <c r="Z3456" s="35">
        <f>IF(Mecze[[#This Row],[KC]]=0,SUM(Mecze[[#This Row],[/BRI]:[/NPI]]),SUM(Mecze[[#This Row],[/BRI]:[/NPI]])*0.6)</f>
        <v>0.16237113402061856</v>
      </c>
      <c r="AA3456" s="10">
        <f>IFERROR(Mecze[[#This Row],[BR]]/Mecze[[#This Row],[ST]],0)</f>
        <v>0</v>
      </c>
      <c r="AB3456">
        <f>ROUND(Mecze[[#This Row],[PD]]*Mecze[[#This Row],[%PC]],0)</f>
        <v>2</v>
      </c>
      <c r="AC3456">
        <f>ROUND(Mecze[[#This Row],[OD]]*Mecze[[#This Row],[%OU]],0)</f>
        <v>0</v>
      </c>
      <c r="AD3456" s="36" t="s">
        <v>319</v>
      </c>
      <c r="AE3456" s="36">
        <v>194</v>
      </c>
      <c r="AF3456" s="71">
        <v>2.91</v>
      </c>
      <c r="AG3456" s="37">
        <v>0</v>
      </c>
      <c r="AH3456" s="37">
        <v>0</v>
      </c>
      <c r="AI3456" s="37">
        <v>97</v>
      </c>
      <c r="AJ3456" s="37">
        <v>2</v>
      </c>
      <c r="AK3456" s="37" t="str">
        <f>VLOOKUP(Mecze[[#This Row],[Match ID]],Meczusie[Mecz]:Meczusie[RodzajMeczu],2,FALSE)</f>
        <v>Liga</v>
      </c>
    </row>
    <row r="3457" spans="1:37" x14ac:dyDescent="0.25">
      <c r="A3457" s="76">
        <v>72</v>
      </c>
      <c r="B3457" s="3" t="s">
        <v>488</v>
      </c>
      <c r="C3457" s="2" t="s">
        <v>160</v>
      </c>
      <c r="D3457" s="1">
        <v>0</v>
      </c>
      <c r="E3457" s="1">
        <v>0</v>
      </c>
      <c r="F3457" s="1">
        <v>0</v>
      </c>
      <c r="G3457" s="1">
        <v>10</v>
      </c>
      <c r="H3457" s="4">
        <v>0.7</v>
      </c>
      <c r="I3457" s="1">
        <v>2</v>
      </c>
      <c r="J3457" s="4">
        <v>0</v>
      </c>
      <c r="K3457" s="1">
        <v>0</v>
      </c>
      <c r="L3457" s="1">
        <v>1</v>
      </c>
      <c r="M3457" s="32">
        <f>IF(Mecze[[#This Row],[PR]]=0,0,Mecze[[#This Row],[PR]]/Mecze[[#This Row],[CZAS]])</f>
        <v>1.0309278350515464E-2</v>
      </c>
      <c r="N3457" s="32">
        <f>IF(Mecze[[#This Row],[OU]]=0,0,Mecze[[#This Row],[OU]]/Mecze[[#This Row],[CZAS]])</f>
        <v>0</v>
      </c>
      <c r="O3457" s="32">
        <f>IF(Mecze[[#This Row],[PC]]=0,0,Mecze[[#This Row],[PC]]/Mecze[[#This Row],[CZAS]])</f>
        <v>7.2164948453608241E-2</v>
      </c>
      <c r="P3457" s="32">
        <f>IF(Mecze[[#This Row],[SC]]=0,0,Mecze[[#This Row],[SC]]/Mecze[[#This Row],[CZAS]])</f>
        <v>0</v>
      </c>
      <c r="Q3457" s="32">
        <f>IF(Mecze[[#This Row],[OB]]=0,0,Mecze[[#This Row],[OB]]/Mecze[[#This Row],[CZAS]])</f>
        <v>0</v>
      </c>
      <c r="R3457" s="32">
        <f>IF(Mecze[[#This Row],[BR]]=0,0,Mecze[[#This Row],[BR]]/Mecze[[#This Row],[CZAS]])</f>
        <v>0</v>
      </c>
      <c r="S3457" s="44">
        <f>IF(Mecze[[#This Row],[Role]]="BR",SUMPRODUCT(Mecze[[#This Row],[/PR:90]:[/BR:90]],Brudnopis!$E$23:$J$23),0)</f>
        <v>0</v>
      </c>
      <c r="T3457" s="44">
        <f>IF(Mecze[[#This Row],[Role]]&lt;&gt;"BR",SUMPRODUCT(Mecze[[#This Row],[/PR:90]:[/BR:90]],Brudnopis!$E$24:$J$24),0)</f>
        <v>8.247422680412371E-2</v>
      </c>
      <c r="U3457" s="44">
        <f>IF(Mecze[[#This Row],[Role]]&lt;&gt;"BR",SUMPRODUCT(Mecze[[#This Row],[/PR:90]:[/BR:90]],Brudnopis!$E$25:$J$25),0)</f>
        <v>0.11855670103092783</v>
      </c>
      <c r="V3457" s="44">
        <f>IF(Mecze[[#This Row],[Role]]&lt;&gt;"BR",SUMPRODUCT(Mecze[[#This Row],[/PR:90]:[/BR:90]],Brudnopis!$E$26:$J$26),0)</f>
        <v>8.247422680412371E-2</v>
      </c>
      <c r="W3457" s="44">
        <f>IF(Mecze[[#This Row],[Role]]&lt;&gt;"BR",SUMPRODUCT(Mecze[[#This Row],[/PR:90]:[/BR:90]],Brudnopis!$E$27:$J$27),0)</f>
        <v>0.11597938144329896</v>
      </c>
      <c r="X3457" s="44">
        <f>IF(Mecze[[#This Row],[Role]]&lt;&gt;"BR",SUMPRODUCT(Mecze[[#This Row],[/PR:90]:[/BR:90]],Brudnopis!$E$28:$J$28),0)</f>
        <v>7.2164948453608241E-2</v>
      </c>
      <c r="Y3457" s="35">
        <f>IF(Mecze[[#This Row],[Role]]="BR",Mecze[[#This Row],[/OB:90]]+Mecze[[#This Row],[/PC:90]],SUM(Mecze[[#This Row],[/PR:90]:[/BR:90]]))</f>
        <v>8.247422680412371E-2</v>
      </c>
      <c r="Z3457" s="35">
        <f>IF(Mecze[[#This Row],[KC]]=0,SUM(Mecze[[#This Row],[/BRI]:[/NPI]]),SUM(Mecze[[#This Row],[/BRI]:[/NPI]])*0.6)</f>
        <v>0.47164948453608246</v>
      </c>
      <c r="AA3457" s="10">
        <f>IFERROR(Mecze[[#This Row],[BR]]/Mecze[[#This Row],[ST]],0)</f>
        <v>0</v>
      </c>
      <c r="AB3457">
        <f>ROUND(Mecze[[#This Row],[PD]]*Mecze[[#This Row],[%PC]],0)</f>
        <v>7</v>
      </c>
      <c r="AC3457">
        <f>ROUND(Mecze[[#This Row],[OD]]*Mecze[[#This Row],[%OU]],0)</f>
        <v>0</v>
      </c>
      <c r="AD3457" s="36" t="s">
        <v>67</v>
      </c>
      <c r="AE3457" s="36">
        <v>194</v>
      </c>
      <c r="AF3457" s="71">
        <v>4.12</v>
      </c>
      <c r="AG3457" s="37">
        <v>0</v>
      </c>
      <c r="AH3457" s="37">
        <v>0</v>
      </c>
      <c r="AI3457" s="37">
        <v>97</v>
      </c>
      <c r="AJ3457" s="37">
        <v>2</v>
      </c>
      <c r="AK3457" s="37" t="str">
        <f>VLOOKUP(Mecze[[#This Row],[Match ID]],Meczusie[Mecz]:Meczusie[RodzajMeczu],2,FALSE)</f>
        <v>Liga</v>
      </c>
    </row>
    <row r="3458" spans="1:37" x14ac:dyDescent="0.25">
      <c r="A3458" s="76">
        <v>43</v>
      </c>
      <c r="B3458" s="3" t="s">
        <v>503</v>
      </c>
      <c r="C3458" s="2" t="s">
        <v>160</v>
      </c>
      <c r="D3458" s="1">
        <v>0</v>
      </c>
      <c r="E3458" s="1">
        <v>0</v>
      </c>
      <c r="F3458" s="1">
        <v>0</v>
      </c>
      <c r="G3458" s="1">
        <v>4</v>
      </c>
      <c r="H3458" s="4">
        <v>0.25</v>
      </c>
      <c r="I3458" s="1">
        <v>2</v>
      </c>
      <c r="J3458" s="4">
        <v>0</v>
      </c>
      <c r="K3458" s="1">
        <v>0</v>
      </c>
      <c r="L3458" s="1">
        <v>2</v>
      </c>
      <c r="M3458" s="32">
        <f>IF(Mecze[[#This Row],[PR]]=0,0,Mecze[[#This Row],[PR]]/Mecze[[#This Row],[CZAS]])</f>
        <v>2.0618556701030927E-2</v>
      </c>
      <c r="N3458" s="32">
        <f>IF(Mecze[[#This Row],[OU]]=0,0,Mecze[[#This Row],[OU]]/Mecze[[#This Row],[CZAS]])</f>
        <v>0</v>
      </c>
      <c r="O3458" s="32">
        <f>IF(Mecze[[#This Row],[PC]]=0,0,Mecze[[#This Row],[PC]]/Mecze[[#This Row],[CZAS]])</f>
        <v>1.0309278350515464E-2</v>
      </c>
      <c r="P3458" s="32">
        <f>IF(Mecze[[#This Row],[SC]]=0,0,Mecze[[#This Row],[SC]]/Mecze[[#This Row],[CZAS]])</f>
        <v>0</v>
      </c>
      <c r="Q3458" s="32">
        <f>IF(Mecze[[#This Row],[OB]]=0,0,Mecze[[#This Row],[OB]]/Mecze[[#This Row],[CZAS]])</f>
        <v>0</v>
      </c>
      <c r="R3458" s="32">
        <f>IF(Mecze[[#This Row],[BR]]=0,0,Mecze[[#This Row],[BR]]/Mecze[[#This Row],[CZAS]])</f>
        <v>0</v>
      </c>
      <c r="S3458" s="44">
        <f>IF(Mecze[[#This Row],[Role]]="BR",SUMPRODUCT(Mecze[[#This Row],[/PR:90]:[/BR:90]],Brudnopis!$E$23:$J$23),0)</f>
        <v>0</v>
      </c>
      <c r="T3458" s="44">
        <f>IF(Mecze[[#This Row],[Role]]&lt;&gt;"BR",SUMPRODUCT(Mecze[[#This Row],[/PR:90]:[/BR:90]],Brudnopis!$E$24:$J$24),0)</f>
        <v>3.0927835051546393E-2</v>
      </c>
      <c r="U3458" s="44">
        <f>IF(Mecze[[#This Row],[Role]]&lt;&gt;"BR",SUMPRODUCT(Mecze[[#This Row],[/PR:90]:[/BR:90]],Brudnopis!$E$25:$J$25),0)</f>
        <v>3.608247422680412E-2</v>
      </c>
      <c r="V3458" s="44">
        <f>IF(Mecze[[#This Row],[Role]]&lt;&gt;"BR",SUMPRODUCT(Mecze[[#This Row],[/PR:90]:[/BR:90]],Brudnopis!$E$26:$J$26),0)</f>
        <v>3.0927835051546393E-2</v>
      </c>
      <c r="W3458" s="44">
        <f>IF(Mecze[[#This Row],[Role]]&lt;&gt;"BR",SUMPRODUCT(Mecze[[#This Row],[/PR:90]:[/BR:90]],Brudnopis!$E$27:$J$27),0)</f>
        <v>3.0927835051546393E-2</v>
      </c>
      <c r="X3458" s="44">
        <f>IF(Mecze[[#This Row],[Role]]&lt;&gt;"BR",SUMPRODUCT(Mecze[[#This Row],[/PR:90]:[/BR:90]],Brudnopis!$E$28:$J$28),0)</f>
        <v>1.0309278350515464E-2</v>
      </c>
      <c r="Y3458" s="35">
        <f>IF(Mecze[[#This Row],[Role]]="BR",Mecze[[#This Row],[/OB:90]]+Mecze[[#This Row],[/PC:90]],SUM(Mecze[[#This Row],[/PR:90]:[/BR:90]]))</f>
        <v>3.0927835051546393E-2</v>
      </c>
      <c r="Z3458" s="35">
        <f>IF(Mecze[[#This Row],[KC]]=0,SUM(Mecze[[#This Row],[/BRI]:[/NPI]]),SUM(Mecze[[#This Row],[/BRI]:[/NPI]])*0.6)</f>
        <v>0.13917525773195874</v>
      </c>
      <c r="AA3458" s="10">
        <f>IFERROR(Mecze[[#This Row],[BR]]/Mecze[[#This Row],[ST]],0)</f>
        <v>0</v>
      </c>
      <c r="AB3458">
        <f>ROUND(Mecze[[#This Row],[PD]]*Mecze[[#This Row],[%PC]],0)</f>
        <v>1</v>
      </c>
      <c r="AC3458">
        <f>ROUND(Mecze[[#This Row],[OD]]*Mecze[[#This Row],[%OU]],0)</f>
        <v>0</v>
      </c>
      <c r="AD3458" s="36" t="s">
        <v>318</v>
      </c>
      <c r="AE3458" s="36">
        <v>194</v>
      </c>
      <c r="AF3458" s="71">
        <v>3.12</v>
      </c>
      <c r="AG3458" s="37">
        <v>0</v>
      </c>
      <c r="AH3458" s="37">
        <v>0</v>
      </c>
      <c r="AI3458" s="37">
        <v>97</v>
      </c>
      <c r="AJ3458" s="37">
        <v>2</v>
      </c>
      <c r="AK3458" s="37" t="str">
        <f>VLOOKUP(Mecze[[#This Row],[Match ID]],Meczusie[Mecz]:Meczusie[RodzajMeczu],2,FALSE)</f>
        <v>Liga</v>
      </c>
    </row>
    <row r="3459" spans="1:37" x14ac:dyDescent="0.25">
      <c r="A3459" s="76">
        <v>31</v>
      </c>
      <c r="B3459" s="3" t="s">
        <v>501</v>
      </c>
      <c r="C3459" s="2" t="s">
        <v>160</v>
      </c>
      <c r="D3459" s="1">
        <v>0</v>
      </c>
      <c r="E3459" s="1">
        <v>0</v>
      </c>
      <c r="F3459" s="1">
        <v>0</v>
      </c>
      <c r="G3459" s="1">
        <v>10</v>
      </c>
      <c r="H3459" s="4">
        <v>0.5</v>
      </c>
      <c r="I3459" s="1">
        <v>3</v>
      </c>
      <c r="J3459" s="4">
        <v>0</v>
      </c>
      <c r="K3459" s="1">
        <v>0</v>
      </c>
      <c r="L3459" s="1">
        <v>0</v>
      </c>
      <c r="M3459" s="32">
        <f>IF(Mecze[[#This Row],[PR]]=0,0,Mecze[[#This Row],[PR]]/Mecze[[#This Row],[CZAS]])</f>
        <v>0</v>
      </c>
      <c r="N3459" s="32">
        <f>IF(Mecze[[#This Row],[OU]]=0,0,Mecze[[#This Row],[OU]]/Mecze[[#This Row],[CZAS]])</f>
        <v>0</v>
      </c>
      <c r="O3459" s="32">
        <f>IF(Mecze[[#This Row],[PC]]=0,0,Mecze[[#This Row],[PC]]/Mecze[[#This Row],[CZAS]])</f>
        <v>5.1546391752577317E-2</v>
      </c>
      <c r="P3459" s="32">
        <f>IF(Mecze[[#This Row],[SC]]=0,0,Mecze[[#This Row],[SC]]/Mecze[[#This Row],[CZAS]])</f>
        <v>0</v>
      </c>
      <c r="Q3459" s="32">
        <f>IF(Mecze[[#This Row],[OB]]=0,0,Mecze[[#This Row],[OB]]/Mecze[[#This Row],[CZAS]])</f>
        <v>0</v>
      </c>
      <c r="R3459" s="32">
        <f>IF(Mecze[[#This Row],[BR]]=0,0,Mecze[[#This Row],[BR]]/Mecze[[#This Row],[CZAS]])</f>
        <v>0</v>
      </c>
      <c r="S3459" s="44">
        <f>IF(Mecze[[#This Row],[Role]]="BR",SUMPRODUCT(Mecze[[#This Row],[/PR:90]:[/BR:90]],Brudnopis!$E$23:$J$23),0)</f>
        <v>0</v>
      </c>
      <c r="T3459" s="44">
        <f>IF(Mecze[[#This Row],[Role]]&lt;&gt;"BR",SUMPRODUCT(Mecze[[#This Row],[/PR:90]:[/BR:90]],Brudnopis!$E$24:$J$24),0)</f>
        <v>5.1546391752577317E-2</v>
      </c>
      <c r="U3459" s="44">
        <f>IF(Mecze[[#This Row],[Role]]&lt;&gt;"BR",SUMPRODUCT(Mecze[[#This Row],[/PR:90]:[/BR:90]],Brudnopis!$E$25:$J$25),0)</f>
        <v>7.7319587628865982E-2</v>
      </c>
      <c r="V3459" s="44">
        <f>IF(Mecze[[#This Row],[Role]]&lt;&gt;"BR",SUMPRODUCT(Mecze[[#This Row],[/PR:90]:[/BR:90]],Brudnopis!$E$26:$J$26),0)</f>
        <v>5.1546391752577317E-2</v>
      </c>
      <c r="W3459" s="44">
        <f>IF(Mecze[[#This Row],[Role]]&lt;&gt;"BR",SUMPRODUCT(Mecze[[#This Row],[/PR:90]:[/BR:90]],Brudnopis!$E$27:$J$27),0)</f>
        <v>7.7319587628865982E-2</v>
      </c>
      <c r="X3459" s="44">
        <f>IF(Mecze[[#This Row],[Role]]&lt;&gt;"BR",SUMPRODUCT(Mecze[[#This Row],[/PR:90]:[/BR:90]],Brudnopis!$E$28:$J$28),0)</f>
        <v>5.1546391752577317E-2</v>
      </c>
      <c r="Y3459" s="35">
        <f>IF(Mecze[[#This Row],[Role]]="BR",Mecze[[#This Row],[/OB:90]]+Mecze[[#This Row],[/PC:90]],SUM(Mecze[[#This Row],[/PR:90]:[/BR:90]]))</f>
        <v>5.1546391752577317E-2</v>
      </c>
      <c r="Z3459" s="35">
        <f>IF(Mecze[[#This Row],[KC]]=0,SUM(Mecze[[#This Row],[/BRI]:[/NPI]]),SUM(Mecze[[#This Row],[/BRI]:[/NPI]])*0.6)</f>
        <v>0.30927835051546387</v>
      </c>
      <c r="AA3459" s="10">
        <f>IFERROR(Mecze[[#This Row],[BR]]/Mecze[[#This Row],[ST]],0)</f>
        <v>0</v>
      </c>
      <c r="AB3459">
        <f>ROUND(Mecze[[#This Row],[PD]]*Mecze[[#This Row],[%PC]],0)</f>
        <v>5</v>
      </c>
      <c r="AC3459">
        <f>ROUND(Mecze[[#This Row],[OD]]*Mecze[[#This Row],[%OU]],0)</f>
        <v>0</v>
      </c>
      <c r="AD3459" s="36" t="s">
        <v>67</v>
      </c>
      <c r="AE3459" s="36">
        <v>194</v>
      </c>
      <c r="AF3459" s="71">
        <v>3.91</v>
      </c>
      <c r="AG3459" s="37">
        <v>0</v>
      </c>
      <c r="AH3459" s="37">
        <v>0</v>
      </c>
      <c r="AI3459" s="37">
        <v>97</v>
      </c>
      <c r="AJ3459" s="37">
        <v>2</v>
      </c>
      <c r="AK3459" s="37" t="str">
        <f>VLOOKUP(Mecze[[#This Row],[Match ID]],Meczusie[Mecz]:Meczusie[RodzajMeczu],2,FALSE)</f>
        <v>Liga</v>
      </c>
    </row>
    <row r="3460" spans="1:37" x14ac:dyDescent="0.25">
      <c r="A3460" s="76">
        <v>99</v>
      </c>
      <c r="B3460" s="3" t="s">
        <v>513</v>
      </c>
      <c r="C3460" s="2" t="s">
        <v>165</v>
      </c>
      <c r="D3460" s="1">
        <v>0</v>
      </c>
      <c r="E3460" s="1">
        <v>0</v>
      </c>
      <c r="F3460" s="1">
        <v>0</v>
      </c>
      <c r="G3460" s="1">
        <v>2</v>
      </c>
      <c r="H3460" s="4">
        <v>0.5</v>
      </c>
      <c r="I3460" s="1">
        <v>1</v>
      </c>
      <c r="J3460" s="4">
        <v>0</v>
      </c>
      <c r="K3460" s="1">
        <v>0</v>
      </c>
      <c r="L3460" s="1">
        <v>0</v>
      </c>
      <c r="M3460" s="32">
        <f>IF(Mecze[[#This Row],[PR]]=0,0,Mecze[[#This Row],[PR]]/Mecze[[#This Row],[CZAS]])</f>
        <v>0</v>
      </c>
      <c r="N3460" s="32">
        <f>IF(Mecze[[#This Row],[OU]]=0,0,Mecze[[#This Row],[OU]]/Mecze[[#This Row],[CZAS]])</f>
        <v>0</v>
      </c>
      <c r="O3460" s="32">
        <f>IF(Mecze[[#This Row],[PC]]=0,0,Mecze[[#This Row],[PC]]/Mecze[[#This Row],[CZAS]])</f>
        <v>1.0309278350515464E-2</v>
      </c>
      <c r="P3460" s="32">
        <f>IF(Mecze[[#This Row],[SC]]=0,0,Mecze[[#This Row],[SC]]/Mecze[[#This Row],[CZAS]])</f>
        <v>0</v>
      </c>
      <c r="Q3460" s="32">
        <f>IF(Mecze[[#This Row],[OB]]=0,0,Mecze[[#This Row],[OB]]/Mecze[[#This Row],[CZAS]])</f>
        <v>0</v>
      </c>
      <c r="R3460" s="32">
        <f>IF(Mecze[[#This Row],[BR]]=0,0,Mecze[[#This Row],[BR]]/Mecze[[#This Row],[CZAS]])</f>
        <v>0</v>
      </c>
      <c r="S3460" s="44">
        <f>IF(Mecze[[#This Row],[Role]]="BR",SUMPRODUCT(Mecze[[#This Row],[/PR:90]:[/BR:90]],Brudnopis!$E$23:$J$23),0)</f>
        <v>0</v>
      </c>
      <c r="T3460" s="44">
        <f>IF(Mecze[[#This Row],[Role]]&lt;&gt;"BR",SUMPRODUCT(Mecze[[#This Row],[/PR:90]:[/BR:90]],Brudnopis!$E$24:$J$24),0)</f>
        <v>1.0309278350515464E-2</v>
      </c>
      <c r="U3460" s="44">
        <f>IF(Mecze[[#This Row],[Role]]&lt;&gt;"BR",SUMPRODUCT(Mecze[[#This Row],[/PR:90]:[/BR:90]],Brudnopis!$E$25:$J$25),0)</f>
        <v>1.5463917525773196E-2</v>
      </c>
      <c r="V3460" s="44">
        <f>IF(Mecze[[#This Row],[Role]]&lt;&gt;"BR",SUMPRODUCT(Mecze[[#This Row],[/PR:90]:[/BR:90]],Brudnopis!$E$26:$J$26),0)</f>
        <v>1.0309278350515464E-2</v>
      </c>
      <c r="W3460" s="44">
        <f>IF(Mecze[[#This Row],[Role]]&lt;&gt;"BR",SUMPRODUCT(Mecze[[#This Row],[/PR:90]:[/BR:90]],Brudnopis!$E$27:$J$27),0)</f>
        <v>1.5463917525773196E-2</v>
      </c>
      <c r="X3460" s="44">
        <f>IF(Mecze[[#This Row],[Role]]&lt;&gt;"BR",SUMPRODUCT(Mecze[[#This Row],[/PR:90]:[/BR:90]],Brudnopis!$E$28:$J$28),0)</f>
        <v>1.0309278350515464E-2</v>
      </c>
      <c r="Y3460" s="35">
        <f>IF(Mecze[[#This Row],[Role]]="BR",Mecze[[#This Row],[/OB:90]]+Mecze[[#This Row],[/PC:90]],SUM(Mecze[[#This Row],[/PR:90]:[/BR:90]]))</f>
        <v>1.0309278350515464E-2</v>
      </c>
      <c r="Z3460" s="35">
        <f>IF(Mecze[[#This Row],[KC]]=0,SUM(Mecze[[#This Row],[/BRI]:[/NPI]]),SUM(Mecze[[#This Row],[/BRI]:[/NPI]])*0.6)</f>
        <v>6.1855670103092779E-2</v>
      </c>
      <c r="AA3460" s="10">
        <f>IFERROR(Mecze[[#This Row],[BR]]/Mecze[[#This Row],[ST]],0)</f>
        <v>0</v>
      </c>
      <c r="AB3460">
        <f>ROUND(Mecze[[#This Row],[PD]]*Mecze[[#This Row],[%PC]],0)</f>
        <v>1</v>
      </c>
      <c r="AC3460">
        <f>ROUND(Mecze[[#This Row],[OD]]*Mecze[[#This Row],[%OU]],0)</f>
        <v>0</v>
      </c>
      <c r="AD3460" s="36" t="s">
        <v>273</v>
      </c>
      <c r="AE3460" s="36">
        <v>194</v>
      </c>
      <c r="AF3460" s="71">
        <v>2.71</v>
      </c>
      <c r="AG3460" s="37">
        <v>0</v>
      </c>
      <c r="AH3460" s="37">
        <v>0</v>
      </c>
      <c r="AI3460" s="37">
        <v>97</v>
      </c>
      <c r="AJ3460" s="37">
        <v>2</v>
      </c>
      <c r="AK3460" s="37" t="str">
        <f>VLOOKUP(Mecze[[#This Row],[Match ID]],Meczusie[Mecz]:Meczusie[RodzajMeczu],2,FALSE)</f>
        <v>Liga</v>
      </c>
    </row>
    <row r="3461" spans="1:37" x14ac:dyDescent="0.25">
      <c r="A3461" s="76">
        <v>70</v>
      </c>
      <c r="B3461" s="3" t="s">
        <v>365</v>
      </c>
      <c r="C3461" s="2" t="s">
        <v>165</v>
      </c>
      <c r="D3461" s="1">
        <v>0</v>
      </c>
      <c r="E3461" s="1">
        <v>1</v>
      </c>
      <c r="F3461" s="1">
        <v>1</v>
      </c>
      <c r="G3461" s="1">
        <v>7</v>
      </c>
      <c r="H3461" s="4">
        <v>0.71</v>
      </c>
      <c r="I3461" s="1">
        <v>6</v>
      </c>
      <c r="J3461" s="4">
        <v>0.33</v>
      </c>
      <c r="K3461" s="1">
        <v>0</v>
      </c>
      <c r="L3461" s="1">
        <v>0</v>
      </c>
      <c r="M3461" s="32">
        <f>IF(Mecze[[#This Row],[PR]]=0,0,Mecze[[#This Row],[PR]]/Mecze[[#This Row],[CZAS]])</f>
        <v>0</v>
      </c>
      <c r="N3461" s="32">
        <f>IF(Mecze[[#This Row],[OU]]=0,0,Mecze[[#This Row],[OU]]/Mecze[[#This Row],[CZAS]])</f>
        <v>2.0618556701030927E-2</v>
      </c>
      <c r="O3461" s="32">
        <f>IF(Mecze[[#This Row],[PC]]=0,0,Mecze[[#This Row],[PC]]/Mecze[[#This Row],[CZAS]])</f>
        <v>5.1546391752577317E-2</v>
      </c>
      <c r="P3461" s="32">
        <f>IF(Mecze[[#This Row],[SC]]=0,0,Mecze[[#This Row],[SC]]/Mecze[[#This Row],[CZAS]])</f>
        <v>1.0309278350515464E-2</v>
      </c>
      <c r="Q3461" s="32">
        <f>IF(Mecze[[#This Row],[OB]]=0,0,Mecze[[#This Row],[OB]]/Mecze[[#This Row],[CZAS]])</f>
        <v>0</v>
      </c>
      <c r="R3461" s="32">
        <f>IF(Mecze[[#This Row],[BR]]=0,0,Mecze[[#This Row],[BR]]/Mecze[[#This Row],[CZAS]])</f>
        <v>0</v>
      </c>
      <c r="S3461" s="44">
        <f>IF(Mecze[[#This Row],[Role]]="BR",SUMPRODUCT(Mecze[[#This Row],[/PR:90]:[/BR:90]],Brudnopis!$E$23:$J$23),0)</f>
        <v>0</v>
      </c>
      <c r="T3461" s="44">
        <f>IF(Mecze[[#This Row],[Role]]&lt;&gt;"BR",SUMPRODUCT(Mecze[[#This Row],[/PR:90]:[/BR:90]],Brudnopis!$E$24:$J$24),0)</f>
        <v>9.2783505154639179E-2</v>
      </c>
      <c r="U3461" s="44">
        <f>IF(Mecze[[#This Row],[Role]]&lt;&gt;"BR",SUMPRODUCT(Mecze[[#This Row],[/PR:90]:[/BR:90]],Brudnopis!$E$25:$J$25),0)</f>
        <v>0.10824742268041238</v>
      </c>
      <c r="V3461" s="44">
        <f>IF(Mecze[[#This Row],[Role]]&lt;&gt;"BR",SUMPRODUCT(Mecze[[#This Row],[/PR:90]:[/BR:90]],Brudnopis!$E$26:$J$26),0)</f>
        <v>8.247422680412371E-2</v>
      </c>
      <c r="W3461" s="44">
        <f>IF(Mecze[[#This Row],[Role]]&lt;&gt;"BR",SUMPRODUCT(Mecze[[#This Row],[/PR:90]:[/BR:90]],Brudnopis!$E$27:$J$27),0)</f>
        <v>0.10309278350515465</v>
      </c>
      <c r="X3461" s="44">
        <f>IF(Mecze[[#This Row],[Role]]&lt;&gt;"BR",SUMPRODUCT(Mecze[[#This Row],[/PR:90]:[/BR:90]],Brudnopis!$E$28:$J$28),0)</f>
        <v>7.2164948453608241E-2</v>
      </c>
      <c r="Y3461" s="35">
        <f>IF(Mecze[[#This Row],[Role]]="BR",Mecze[[#This Row],[/OB:90]]+Mecze[[#This Row],[/PC:90]],SUM(Mecze[[#This Row],[/PR:90]:[/BR:90]]))</f>
        <v>8.247422680412371E-2</v>
      </c>
      <c r="Z3461" s="35">
        <f>IF(Mecze[[#This Row],[KC]]=0,SUM(Mecze[[#This Row],[/BRI]:[/NPI]]),SUM(Mecze[[#This Row],[/BRI]:[/NPI]])*0.6)</f>
        <v>0.45876288659793818</v>
      </c>
      <c r="AA3461" s="10">
        <f>IFERROR(Mecze[[#This Row],[BR]]/Mecze[[#This Row],[ST]],0)</f>
        <v>0</v>
      </c>
      <c r="AB3461">
        <f>ROUND(Mecze[[#This Row],[PD]]*Mecze[[#This Row],[%PC]],0)</f>
        <v>5</v>
      </c>
      <c r="AC3461">
        <f>ROUND(Mecze[[#This Row],[OD]]*Mecze[[#This Row],[%OU]],0)</f>
        <v>2</v>
      </c>
      <c r="AD3461" s="36" t="s">
        <v>272</v>
      </c>
      <c r="AE3461" s="36">
        <v>194</v>
      </c>
      <c r="AF3461" s="71">
        <v>4.26</v>
      </c>
      <c r="AG3461" s="37">
        <v>0</v>
      </c>
      <c r="AH3461" s="37">
        <v>0</v>
      </c>
      <c r="AI3461" s="37">
        <v>97</v>
      </c>
      <c r="AJ3461" s="37">
        <v>2</v>
      </c>
      <c r="AK3461" s="37" t="str">
        <f>VLOOKUP(Mecze[[#This Row],[Match ID]],Meczusie[Mecz]:Meczusie[RodzajMeczu],2,FALSE)</f>
        <v>Liga</v>
      </c>
    </row>
    <row r="3462" spans="1:37" x14ac:dyDescent="0.25">
      <c r="A3462" s="76">
        <v>1</v>
      </c>
      <c r="B3462" s="3" t="s">
        <v>169</v>
      </c>
      <c r="C3462" s="2" t="s">
        <v>155</v>
      </c>
      <c r="D3462" s="1">
        <v>0</v>
      </c>
      <c r="E3462" s="1">
        <v>0</v>
      </c>
      <c r="F3462" s="1">
        <v>0</v>
      </c>
      <c r="G3462" s="1">
        <v>8</v>
      </c>
      <c r="H3462" s="4">
        <v>0.38</v>
      </c>
      <c r="I3462" s="1">
        <v>0</v>
      </c>
      <c r="J3462" s="4"/>
      <c r="K3462" s="1">
        <v>11</v>
      </c>
      <c r="L3462" s="1">
        <v>0</v>
      </c>
      <c r="M3462" s="32">
        <f>IF(Mecze[[#This Row],[PR]]=0,0,Mecze[[#This Row],[PR]]/Mecze[[#This Row],[CZAS]])</f>
        <v>0</v>
      </c>
      <c r="N3462" s="32">
        <f>IF(Mecze[[#This Row],[OU]]=0,0,Mecze[[#This Row],[OU]]/Mecze[[#This Row],[CZAS]])</f>
        <v>0</v>
      </c>
      <c r="O3462" s="32">
        <f>IF(Mecze[[#This Row],[PC]]=0,0,Mecze[[#This Row],[PC]]/Mecze[[#This Row],[CZAS]])</f>
        <v>3.0303030303030304E-2</v>
      </c>
      <c r="P3462" s="32">
        <f>IF(Mecze[[#This Row],[SC]]=0,0,Mecze[[#This Row],[SC]]/Mecze[[#This Row],[CZAS]])</f>
        <v>0</v>
      </c>
      <c r="Q3462" s="32">
        <f>IF(Mecze[[#This Row],[OB]]=0,0,Mecze[[#This Row],[OB]]/Mecze[[#This Row],[CZAS]])</f>
        <v>0.1111111111111111</v>
      </c>
      <c r="R3462" s="32">
        <f>IF(Mecze[[#This Row],[BR]]=0,0,Mecze[[#This Row],[BR]]/Mecze[[#This Row],[CZAS]])</f>
        <v>0</v>
      </c>
      <c r="S3462" s="44">
        <f>IF(Mecze[[#This Row],[Role]]="BR",SUMPRODUCT(Mecze[[#This Row],[/PR:90]:[/BR:90]],Brudnopis!$E$23:$J$23),0)</f>
        <v>0.4242424242424242</v>
      </c>
      <c r="T3462" s="44">
        <f>IF(Mecze[[#This Row],[Role]]&lt;&gt;"BR",SUMPRODUCT(Mecze[[#This Row],[/PR:90]:[/BR:90]],Brudnopis!$E$24:$J$24),0)</f>
        <v>0</v>
      </c>
      <c r="U3462" s="44">
        <f>IF(Mecze[[#This Row],[Role]]&lt;&gt;"BR",SUMPRODUCT(Mecze[[#This Row],[/PR:90]:[/BR:90]],Brudnopis!$E$25:$J$25),0)</f>
        <v>0</v>
      </c>
      <c r="V3462" s="44">
        <f>IF(Mecze[[#This Row],[Role]]&lt;&gt;"BR",SUMPRODUCT(Mecze[[#This Row],[/PR:90]:[/BR:90]],Brudnopis!$E$26:$J$26),0)</f>
        <v>0</v>
      </c>
      <c r="W3462" s="44">
        <f>IF(Mecze[[#This Row],[Role]]&lt;&gt;"BR",SUMPRODUCT(Mecze[[#This Row],[/PR:90]:[/BR:90]],Brudnopis!$E$27:$J$27),0)</f>
        <v>0</v>
      </c>
      <c r="X3462" s="44">
        <f>IF(Mecze[[#This Row],[Role]]&lt;&gt;"BR",SUMPRODUCT(Mecze[[#This Row],[/PR:90]:[/BR:90]],Brudnopis!$E$28:$J$28),0)</f>
        <v>0</v>
      </c>
      <c r="Y3462" s="35">
        <f>IF(Mecze[[#This Row],[Role]]="BR",Mecze[[#This Row],[/OB:90]]+Mecze[[#This Row],[/PC:90]],SUM(Mecze[[#This Row],[/PR:90]:[/BR:90]]))</f>
        <v>0.14141414141414141</v>
      </c>
      <c r="Z3462" s="35">
        <f>IF(Mecze[[#This Row],[KC]]=0,SUM(Mecze[[#This Row],[/BRI]:[/NPI]]),SUM(Mecze[[#This Row],[/BRI]:[/NPI]])*0.6)</f>
        <v>0.4242424242424242</v>
      </c>
      <c r="AA3462" s="10">
        <f>IFERROR(Mecze[[#This Row],[BR]]/Mecze[[#This Row],[ST]],0)</f>
        <v>0</v>
      </c>
      <c r="AB3462">
        <f>ROUND(Mecze[[#This Row],[PD]]*Mecze[[#This Row],[%PC]],0)</f>
        <v>3</v>
      </c>
      <c r="AC3462">
        <f>ROUND(Mecze[[#This Row],[OD]]*Mecze[[#This Row],[%OU]],0)</f>
        <v>0</v>
      </c>
      <c r="AD3462" s="36" t="s">
        <v>40</v>
      </c>
      <c r="AE3462" s="36">
        <v>195</v>
      </c>
      <c r="AF3462" s="71">
        <v>10.89</v>
      </c>
      <c r="AG3462" s="37">
        <v>0</v>
      </c>
      <c r="AH3462" s="37">
        <v>0</v>
      </c>
      <c r="AI3462" s="37">
        <v>99</v>
      </c>
      <c r="AJ3462" s="37">
        <v>1</v>
      </c>
      <c r="AK3462" s="37" t="str">
        <f>VLOOKUP(Mecze[[#This Row],[Match ID]],Meczusie[Mecz]:Meczusie[RodzajMeczu],2,FALSE)</f>
        <v>Liga</v>
      </c>
    </row>
    <row r="3463" spans="1:37" x14ac:dyDescent="0.25">
      <c r="A3463" s="76">
        <v>5</v>
      </c>
      <c r="B3463" s="3" t="s">
        <v>161</v>
      </c>
      <c r="C3463" s="2" t="s">
        <v>157</v>
      </c>
      <c r="D3463" s="1">
        <v>0</v>
      </c>
      <c r="E3463" s="1">
        <v>0</v>
      </c>
      <c r="F3463" s="1">
        <v>0</v>
      </c>
      <c r="G3463" s="1">
        <v>14</v>
      </c>
      <c r="H3463" s="4">
        <v>0.36</v>
      </c>
      <c r="I3463" s="1">
        <v>6</v>
      </c>
      <c r="J3463" s="4">
        <v>0.33</v>
      </c>
      <c r="K3463" s="1">
        <v>0</v>
      </c>
      <c r="L3463" s="1">
        <v>16</v>
      </c>
      <c r="M3463" s="32">
        <f>IF(Mecze[[#This Row],[PR]]=0,0,Mecze[[#This Row],[PR]]/Mecze[[#This Row],[CZAS]])</f>
        <v>0.16161616161616163</v>
      </c>
      <c r="N3463" s="32">
        <f>IF(Mecze[[#This Row],[OU]]=0,0,Mecze[[#This Row],[OU]]/Mecze[[#This Row],[CZAS]])</f>
        <v>2.0202020202020204E-2</v>
      </c>
      <c r="O3463" s="32">
        <f>IF(Mecze[[#This Row],[PC]]=0,0,Mecze[[#This Row],[PC]]/Mecze[[#This Row],[CZAS]])</f>
        <v>5.0505050505050504E-2</v>
      </c>
      <c r="P3463" s="32">
        <f>IF(Mecze[[#This Row],[SC]]=0,0,Mecze[[#This Row],[SC]]/Mecze[[#This Row],[CZAS]])</f>
        <v>0</v>
      </c>
      <c r="Q3463" s="32">
        <f>IF(Mecze[[#This Row],[OB]]=0,0,Mecze[[#This Row],[OB]]/Mecze[[#This Row],[CZAS]])</f>
        <v>0</v>
      </c>
      <c r="R3463" s="32">
        <f>IF(Mecze[[#This Row],[BR]]=0,0,Mecze[[#This Row],[BR]]/Mecze[[#This Row],[CZAS]])</f>
        <v>0</v>
      </c>
      <c r="S3463" s="44">
        <f>IF(Mecze[[#This Row],[Role]]="BR",SUMPRODUCT(Mecze[[#This Row],[/PR:90]:[/BR:90]],Brudnopis!$E$23:$J$23),0)</f>
        <v>0</v>
      </c>
      <c r="T3463" s="44">
        <f>IF(Mecze[[#This Row],[Role]]&lt;&gt;"BR",SUMPRODUCT(Mecze[[#This Row],[/PR:90]:[/BR:90]],Brudnopis!$E$24:$J$24),0)</f>
        <v>0.24242424242424243</v>
      </c>
      <c r="U3463" s="44">
        <f>IF(Mecze[[#This Row],[Role]]&lt;&gt;"BR",SUMPRODUCT(Mecze[[#This Row],[/PR:90]:[/BR:90]],Brudnopis!$E$25:$J$25),0)</f>
        <v>0.25757575757575757</v>
      </c>
      <c r="V3463" s="44">
        <f>IF(Mecze[[#This Row],[Role]]&lt;&gt;"BR",SUMPRODUCT(Mecze[[#This Row],[/PR:90]:[/BR:90]],Brudnopis!$E$26:$J$26),0)</f>
        <v>0.23232323232323232</v>
      </c>
      <c r="W3463" s="44">
        <f>IF(Mecze[[#This Row],[Role]]&lt;&gt;"BR",SUMPRODUCT(Mecze[[#This Row],[/PR:90]:[/BR:90]],Brudnopis!$E$27:$J$27),0)</f>
        <v>0.2121212121212121</v>
      </c>
      <c r="X3463" s="44">
        <f>IF(Mecze[[#This Row],[Role]]&lt;&gt;"BR",SUMPRODUCT(Mecze[[#This Row],[/PR:90]:[/BR:90]],Brudnopis!$E$28:$J$28),0)</f>
        <v>5.0505050505050504E-2</v>
      </c>
      <c r="Y3463" s="35">
        <f>IF(Mecze[[#This Row],[Role]]="BR",Mecze[[#This Row],[/OB:90]]+Mecze[[#This Row],[/PC:90]],SUM(Mecze[[#This Row],[/PR:90]:[/BR:90]]))</f>
        <v>0.23232323232323232</v>
      </c>
      <c r="Z3463" s="35">
        <f>IF(Mecze[[#This Row],[KC]]=0,SUM(Mecze[[#This Row],[/BRI]:[/NPI]]),SUM(Mecze[[#This Row],[/BRI]:[/NPI]])*0.6)</f>
        <v>0.99494949494949492</v>
      </c>
      <c r="AA3463" s="10">
        <f>IFERROR(Mecze[[#This Row],[BR]]/Mecze[[#This Row],[ST]],0)</f>
        <v>0</v>
      </c>
      <c r="AB3463">
        <f>ROUND(Mecze[[#This Row],[PD]]*Mecze[[#This Row],[%PC]],0)</f>
        <v>5</v>
      </c>
      <c r="AC3463">
        <f>ROUND(Mecze[[#This Row],[OD]]*Mecze[[#This Row],[%OU]],0)</f>
        <v>2</v>
      </c>
      <c r="AD3463" s="36" t="s">
        <v>47</v>
      </c>
      <c r="AE3463" s="36">
        <v>195</v>
      </c>
      <c r="AF3463" s="71">
        <v>10.4</v>
      </c>
      <c r="AG3463" s="37">
        <v>0</v>
      </c>
      <c r="AH3463" s="37">
        <v>0</v>
      </c>
      <c r="AI3463" s="37">
        <v>99</v>
      </c>
      <c r="AJ3463" s="37">
        <v>1</v>
      </c>
      <c r="AK3463" s="37" t="str">
        <f>VLOOKUP(Mecze[[#This Row],[Match ID]],Meczusie[Mecz]:Meczusie[RodzajMeczu],2,FALSE)</f>
        <v>Liga</v>
      </c>
    </row>
    <row r="3464" spans="1:37" x14ac:dyDescent="0.25">
      <c r="A3464" s="76">
        <v>3</v>
      </c>
      <c r="B3464" s="3" t="s">
        <v>158</v>
      </c>
      <c r="C3464" s="2" t="s">
        <v>157</v>
      </c>
      <c r="D3464" s="1">
        <v>0</v>
      </c>
      <c r="E3464" s="1">
        <v>0</v>
      </c>
      <c r="F3464" s="1">
        <v>0</v>
      </c>
      <c r="G3464" s="1">
        <v>2</v>
      </c>
      <c r="H3464" s="4">
        <v>0.5</v>
      </c>
      <c r="I3464" s="1">
        <v>5</v>
      </c>
      <c r="J3464" s="4">
        <v>0</v>
      </c>
      <c r="K3464" s="1">
        <v>0</v>
      </c>
      <c r="L3464" s="1">
        <v>4</v>
      </c>
      <c r="M3464" s="32">
        <f>IF(Mecze[[#This Row],[PR]]=0,0,Mecze[[#This Row],[PR]]/Mecze[[#This Row],[CZAS]])</f>
        <v>4.0404040404040407E-2</v>
      </c>
      <c r="N3464" s="32">
        <f>IF(Mecze[[#This Row],[OU]]=0,0,Mecze[[#This Row],[OU]]/Mecze[[#This Row],[CZAS]])</f>
        <v>0</v>
      </c>
      <c r="O3464" s="32">
        <f>IF(Mecze[[#This Row],[PC]]=0,0,Mecze[[#This Row],[PC]]/Mecze[[#This Row],[CZAS]])</f>
        <v>1.0101010101010102E-2</v>
      </c>
      <c r="P3464" s="32">
        <f>IF(Mecze[[#This Row],[SC]]=0,0,Mecze[[#This Row],[SC]]/Mecze[[#This Row],[CZAS]])</f>
        <v>0</v>
      </c>
      <c r="Q3464" s="32">
        <f>IF(Mecze[[#This Row],[OB]]=0,0,Mecze[[#This Row],[OB]]/Mecze[[#This Row],[CZAS]])</f>
        <v>0</v>
      </c>
      <c r="R3464" s="32">
        <f>IF(Mecze[[#This Row],[BR]]=0,0,Mecze[[#This Row],[BR]]/Mecze[[#This Row],[CZAS]])</f>
        <v>0</v>
      </c>
      <c r="S3464" s="44">
        <f>IF(Mecze[[#This Row],[Role]]="BR",SUMPRODUCT(Mecze[[#This Row],[/PR:90]:[/BR:90]],Brudnopis!$E$23:$J$23),0)</f>
        <v>0</v>
      </c>
      <c r="T3464" s="44">
        <f>IF(Mecze[[#This Row],[Role]]&lt;&gt;"BR",SUMPRODUCT(Mecze[[#This Row],[/PR:90]:[/BR:90]],Brudnopis!$E$24:$J$24),0)</f>
        <v>5.0505050505050511E-2</v>
      </c>
      <c r="U3464" s="44">
        <f>IF(Mecze[[#This Row],[Role]]&lt;&gt;"BR",SUMPRODUCT(Mecze[[#This Row],[/PR:90]:[/BR:90]],Brudnopis!$E$25:$J$25),0)</f>
        <v>5.5555555555555559E-2</v>
      </c>
      <c r="V3464" s="44">
        <f>IF(Mecze[[#This Row],[Role]]&lt;&gt;"BR",SUMPRODUCT(Mecze[[#This Row],[/PR:90]:[/BR:90]],Brudnopis!$E$26:$J$26),0)</f>
        <v>5.0505050505050511E-2</v>
      </c>
      <c r="W3464" s="44">
        <f>IF(Mecze[[#This Row],[Role]]&lt;&gt;"BR",SUMPRODUCT(Mecze[[#This Row],[/PR:90]:[/BR:90]],Brudnopis!$E$27:$J$27),0)</f>
        <v>4.5454545454545456E-2</v>
      </c>
      <c r="X3464" s="44">
        <f>IF(Mecze[[#This Row],[Role]]&lt;&gt;"BR",SUMPRODUCT(Mecze[[#This Row],[/PR:90]:[/BR:90]],Brudnopis!$E$28:$J$28),0)</f>
        <v>1.0101010101010102E-2</v>
      </c>
      <c r="Y3464" s="35">
        <f>IF(Mecze[[#This Row],[Role]]="BR",Mecze[[#This Row],[/OB:90]]+Mecze[[#This Row],[/PC:90]],SUM(Mecze[[#This Row],[/PR:90]:[/BR:90]]))</f>
        <v>5.0505050505050511E-2</v>
      </c>
      <c r="Z3464" s="35">
        <f>IF(Mecze[[#This Row],[KC]]=0,SUM(Mecze[[#This Row],[/BRI]:[/NPI]]),SUM(Mecze[[#This Row],[/BRI]:[/NPI]])*0.6)</f>
        <v>0.21212121212121215</v>
      </c>
      <c r="AA3464" s="10">
        <f>IFERROR(Mecze[[#This Row],[BR]]/Mecze[[#This Row],[ST]],0)</f>
        <v>0</v>
      </c>
      <c r="AB3464">
        <f>ROUND(Mecze[[#This Row],[PD]]*Mecze[[#This Row],[%PC]],0)</f>
        <v>1</v>
      </c>
      <c r="AC3464">
        <f>ROUND(Mecze[[#This Row],[OD]]*Mecze[[#This Row],[%OU]],0)</f>
        <v>0</v>
      </c>
      <c r="AD3464" s="36" t="s">
        <v>168</v>
      </c>
      <c r="AE3464" s="36">
        <v>195</v>
      </c>
      <c r="AF3464" s="71">
        <v>7.88</v>
      </c>
      <c r="AG3464" s="37">
        <v>0</v>
      </c>
      <c r="AH3464" s="37">
        <v>0</v>
      </c>
      <c r="AI3464" s="37">
        <v>99</v>
      </c>
      <c r="AJ3464" s="37">
        <v>1</v>
      </c>
      <c r="AK3464" s="37" t="str">
        <f>VLOOKUP(Mecze[[#This Row],[Match ID]],Meczusie[Mecz]:Meczusie[RodzajMeczu],2,FALSE)</f>
        <v>Liga</v>
      </c>
    </row>
    <row r="3465" spans="1:37" x14ac:dyDescent="0.25">
      <c r="A3465" s="76">
        <v>18</v>
      </c>
      <c r="B3465" s="3" t="s">
        <v>211</v>
      </c>
      <c r="C3465" s="2" t="s">
        <v>157</v>
      </c>
      <c r="D3465" s="1">
        <v>0</v>
      </c>
      <c r="E3465" s="1">
        <v>0</v>
      </c>
      <c r="F3465" s="1">
        <v>0</v>
      </c>
      <c r="G3465" s="1">
        <v>9</v>
      </c>
      <c r="H3465" s="4">
        <v>0.22</v>
      </c>
      <c r="I3465" s="1">
        <v>3</v>
      </c>
      <c r="J3465" s="4">
        <v>0</v>
      </c>
      <c r="K3465" s="1">
        <v>0</v>
      </c>
      <c r="L3465" s="1">
        <v>8</v>
      </c>
      <c r="M3465" s="32">
        <f>IF(Mecze[[#This Row],[PR]]=0,0,Mecze[[#This Row],[PR]]/Mecze[[#This Row],[CZAS]])</f>
        <v>8.0808080808080815E-2</v>
      </c>
      <c r="N3465" s="32">
        <f>IF(Mecze[[#This Row],[OU]]=0,0,Mecze[[#This Row],[OU]]/Mecze[[#This Row],[CZAS]])</f>
        <v>0</v>
      </c>
      <c r="O3465" s="32">
        <f>IF(Mecze[[#This Row],[PC]]=0,0,Mecze[[#This Row],[PC]]/Mecze[[#This Row],[CZAS]])</f>
        <v>2.0202020202020204E-2</v>
      </c>
      <c r="P3465" s="32">
        <f>IF(Mecze[[#This Row],[SC]]=0,0,Mecze[[#This Row],[SC]]/Mecze[[#This Row],[CZAS]])</f>
        <v>0</v>
      </c>
      <c r="Q3465" s="32">
        <f>IF(Mecze[[#This Row],[OB]]=0,0,Mecze[[#This Row],[OB]]/Mecze[[#This Row],[CZAS]])</f>
        <v>0</v>
      </c>
      <c r="R3465" s="32">
        <f>IF(Mecze[[#This Row],[BR]]=0,0,Mecze[[#This Row],[BR]]/Mecze[[#This Row],[CZAS]])</f>
        <v>0</v>
      </c>
      <c r="S3465" s="44">
        <f>IF(Mecze[[#This Row],[Role]]="BR",SUMPRODUCT(Mecze[[#This Row],[/PR:90]:[/BR:90]],Brudnopis!$E$23:$J$23),0)</f>
        <v>0</v>
      </c>
      <c r="T3465" s="44">
        <f>IF(Mecze[[#This Row],[Role]]&lt;&gt;"BR",SUMPRODUCT(Mecze[[#This Row],[/PR:90]:[/BR:90]],Brudnopis!$E$24:$J$24),0)</f>
        <v>0.10101010101010102</v>
      </c>
      <c r="U3465" s="44">
        <f>IF(Mecze[[#This Row],[Role]]&lt;&gt;"BR",SUMPRODUCT(Mecze[[#This Row],[/PR:90]:[/BR:90]],Brudnopis!$E$25:$J$25),0)</f>
        <v>0.11111111111111112</v>
      </c>
      <c r="V3465" s="44">
        <f>IF(Mecze[[#This Row],[Role]]&lt;&gt;"BR",SUMPRODUCT(Mecze[[#This Row],[/PR:90]:[/BR:90]],Brudnopis!$E$26:$J$26),0)</f>
        <v>0.10101010101010102</v>
      </c>
      <c r="W3465" s="44">
        <f>IF(Mecze[[#This Row],[Role]]&lt;&gt;"BR",SUMPRODUCT(Mecze[[#This Row],[/PR:90]:[/BR:90]],Brudnopis!$E$27:$J$27),0)</f>
        <v>9.0909090909090912E-2</v>
      </c>
      <c r="X3465" s="44">
        <f>IF(Mecze[[#This Row],[Role]]&lt;&gt;"BR",SUMPRODUCT(Mecze[[#This Row],[/PR:90]:[/BR:90]],Brudnopis!$E$28:$J$28),0)</f>
        <v>2.0202020202020204E-2</v>
      </c>
      <c r="Y3465" s="35">
        <f>IF(Mecze[[#This Row],[Role]]="BR",Mecze[[#This Row],[/OB:90]]+Mecze[[#This Row],[/PC:90]],SUM(Mecze[[#This Row],[/PR:90]:[/BR:90]]))</f>
        <v>0.10101010101010102</v>
      </c>
      <c r="Z3465" s="35">
        <f>IF(Mecze[[#This Row],[KC]]=0,SUM(Mecze[[#This Row],[/BRI]:[/NPI]]),SUM(Mecze[[#This Row],[/BRI]:[/NPI]])*0.6)</f>
        <v>0.42424242424242431</v>
      </c>
      <c r="AA3465" s="10">
        <f>IFERROR(Mecze[[#This Row],[BR]]/Mecze[[#This Row],[ST]],0)</f>
        <v>0</v>
      </c>
      <c r="AB3465">
        <f>ROUND(Mecze[[#This Row],[PD]]*Mecze[[#This Row],[%PC]],0)</f>
        <v>2</v>
      </c>
      <c r="AC3465">
        <f>ROUND(Mecze[[#This Row],[OD]]*Mecze[[#This Row],[%OU]],0)</f>
        <v>0</v>
      </c>
      <c r="AD3465" s="36" t="s">
        <v>167</v>
      </c>
      <c r="AE3465" s="36">
        <v>195</v>
      </c>
      <c r="AF3465" s="71">
        <v>8.7200000000000006</v>
      </c>
      <c r="AG3465" s="37">
        <v>0</v>
      </c>
      <c r="AH3465" s="37">
        <v>0</v>
      </c>
      <c r="AI3465" s="37">
        <v>99</v>
      </c>
      <c r="AJ3465" s="37">
        <v>1</v>
      </c>
      <c r="AK3465" s="37" t="str">
        <f>VLOOKUP(Mecze[[#This Row],[Match ID]],Meczusie[Mecz]:Meczusie[RodzajMeczu],2,FALSE)</f>
        <v>Liga</v>
      </c>
    </row>
    <row r="3466" spans="1:37" x14ac:dyDescent="0.25">
      <c r="A3466" s="76">
        <v>6</v>
      </c>
      <c r="B3466" s="3" t="s">
        <v>159</v>
      </c>
      <c r="C3466" s="2" t="s">
        <v>160</v>
      </c>
      <c r="D3466" s="1">
        <v>0</v>
      </c>
      <c r="E3466" s="1">
        <v>0</v>
      </c>
      <c r="F3466" s="1">
        <v>0</v>
      </c>
      <c r="G3466" s="1">
        <v>8</v>
      </c>
      <c r="H3466" s="4">
        <v>0.88</v>
      </c>
      <c r="I3466" s="1">
        <v>6</v>
      </c>
      <c r="J3466" s="4">
        <v>0.5</v>
      </c>
      <c r="K3466" s="1">
        <v>0</v>
      </c>
      <c r="L3466" s="1">
        <v>3</v>
      </c>
      <c r="M3466" s="32">
        <f>IF(Mecze[[#This Row],[PR]]=0,0,Mecze[[#This Row],[PR]]/Mecze[[#This Row],[CZAS]])</f>
        <v>3.0303030303030304E-2</v>
      </c>
      <c r="N3466" s="32">
        <f>IF(Mecze[[#This Row],[OU]]=0,0,Mecze[[#This Row],[OU]]/Mecze[[#This Row],[CZAS]])</f>
        <v>3.0303030303030304E-2</v>
      </c>
      <c r="O3466" s="32">
        <f>IF(Mecze[[#This Row],[PC]]=0,0,Mecze[[#This Row],[PC]]/Mecze[[#This Row],[CZAS]])</f>
        <v>7.0707070707070704E-2</v>
      </c>
      <c r="P3466" s="32">
        <f>IF(Mecze[[#This Row],[SC]]=0,0,Mecze[[#This Row],[SC]]/Mecze[[#This Row],[CZAS]])</f>
        <v>0</v>
      </c>
      <c r="Q3466" s="32">
        <f>IF(Mecze[[#This Row],[OB]]=0,0,Mecze[[#This Row],[OB]]/Mecze[[#This Row],[CZAS]])</f>
        <v>0</v>
      </c>
      <c r="R3466" s="32">
        <f>IF(Mecze[[#This Row],[BR]]=0,0,Mecze[[#This Row],[BR]]/Mecze[[#This Row],[CZAS]])</f>
        <v>0</v>
      </c>
      <c r="S3466" s="44">
        <f>IF(Mecze[[#This Row],[Role]]="BR",SUMPRODUCT(Mecze[[#This Row],[/PR:90]:[/BR:90]],Brudnopis!$E$23:$J$23),0)</f>
        <v>0</v>
      </c>
      <c r="T3466" s="44">
        <f>IF(Mecze[[#This Row],[Role]]&lt;&gt;"BR",SUMPRODUCT(Mecze[[#This Row],[/PR:90]:[/BR:90]],Brudnopis!$E$24:$J$24),0)</f>
        <v>0.14646464646464646</v>
      </c>
      <c r="U3466" s="44">
        <f>IF(Mecze[[#This Row],[Role]]&lt;&gt;"BR",SUMPRODUCT(Mecze[[#This Row],[/PR:90]:[/BR:90]],Brudnopis!$E$25:$J$25),0)</f>
        <v>0.16666666666666666</v>
      </c>
      <c r="V3466" s="44">
        <f>IF(Mecze[[#This Row],[Role]]&lt;&gt;"BR",SUMPRODUCT(Mecze[[#This Row],[/PR:90]:[/BR:90]],Brudnopis!$E$26:$J$26),0)</f>
        <v>0.13131313131313133</v>
      </c>
      <c r="W3466" s="44">
        <f>IF(Mecze[[#This Row],[Role]]&lt;&gt;"BR",SUMPRODUCT(Mecze[[#This Row],[/PR:90]:[/BR:90]],Brudnopis!$E$27:$J$27),0)</f>
        <v>0.15151515151515149</v>
      </c>
      <c r="X3466" s="44">
        <f>IF(Mecze[[#This Row],[Role]]&lt;&gt;"BR",SUMPRODUCT(Mecze[[#This Row],[/PR:90]:[/BR:90]],Brudnopis!$E$28:$J$28),0)</f>
        <v>7.0707070707070704E-2</v>
      </c>
      <c r="Y3466" s="35">
        <f>IF(Mecze[[#This Row],[Role]]="BR",Mecze[[#This Row],[/OB:90]]+Mecze[[#This Row],[/PC:90]],SUM(Mecze[[#This Row],[/PR:90]:[/BR:90]]))</f>
        <v>0.13131313131313133</v>
      </c>
      <c r="Z3466" s="35">
        <f>IF(Mecze[[#This Row],[KC]]=0,SUM(Mecze[[#This Row],[/BRI]:[/NPI]]),SUM(Mecze[[#This Row],[/BRI]:[/NPI]])*0.6)</f>
        <v>0.66666666666666674</v>
      </c>
      <c r="AA3466" s="10">
        <f>IFERROR(Mecze[[#This Row],[BR]]/Mecze[[#This Row],[ST]],0)</f>
        <v>0</v>
      </c>
      <c r="AB3466">
        <f>ROUND(Mecze[[#This Row],[PD]]*Mecze[[#This Row],[%PC]],0)</f>
        <v>7</v>
      </c>
      <c r="AC3466">
        <f>ROUND(Mecze[[#This Row],[OD]]*Mecze[[#This Row],[%OU]],0)</f>
        <v>3</v>
      </c>
      <c r="AD3466" s="36" t="s">
        <v>41</v>
      </c>
      <c r="AE3466" s="36">
        <v>195</v>
      </c>
      <c r="AF3466" s="71">
        <v>9.7899999999999991</v>
      </c>
      <c r="AG3466" s="37">
        <v>0</v>
      </c>
      <c r="AH3466" s="37">
        <v>0</v>
      </c>
      <c r="AI3466" s="37">
        <v>99</v>
      </c>
      <c r="AJ3466" s="37">
        <v>1</v>
      </c>
      <c r="AK3466" s="37" t="str">
        <f>VLOOKUP(Mecze[[#This Row],[Match ID]],Meczusie[Mecz]:Meczusie[RodzajMeczu],2,FALSE)</f>
        <v>Liga</v>
      </c>
    </row>
    <row r="3467" spans="1:37" x14ac:dyDescent="0.25">
      <c r="A3467" s="76">
        <v>60</v>
      </c>
      <c r="B3467" s="3" t="s">
        <v>515</v>
      </c>
      <c r="C3467" s="2" t="s">
        <v>160</v>
      </c>
      <c r="D3467" s="1">
        <v>0</v>
      </c>
      <c r="E3467" s="1">
        <v>1</v>
      </c>
      <c r="F3467" s="1">
        <v>1</v>
      </c>
      <c r="G3467" s="1">
        <v>23</v>
      </c>
      <c r="H3467" s="4">
        <v>0.48</v>
      </c>
      <c r="I3467" s="1">
        <v>14</v>
      </c>
      <c r="J3467" s="4">
        <v>0.5</v>
      </c>
      <c r="K3467" s="1">
        <v>0</v>
      </c>
      <c r="L3467" s="1">
        <v>12</v>
      </c>
      <c r="M3467" s="32">
        <f>IF(Mecze[[#This Row],[PR]]=0,0,Mecze[[#This Row],[PR]]/Mecze[[#This Row],[CZAS]])</f>
        <v>0.12121212121212122</v>
      </c>
      <c r="N3467" s="32">
        <f>IF(Mecze[[#This Row],[OU]]=0,0,Mecze[[#This Row],[OU]]/Mecze[[#This Row],[CZAS]])</f>
        <v>7.0707070707070704E-2</v>
      </c>
      <c r="O3467" s="32">
        <f>IF(Mecze[[#This Row],[PC]]=0,0,Mecze[[#This Row],[PC]]/Mecze[[#This Row],[CZAS]])</f>
        <v>0.1111111111111111</v>
      </c>
      <c r="P3467" s="32">
        <f>IF(Mecze[[#This Row],[SC]]=0,0,Mecze[[#This Row],[SC]]/Mecze[[#This Row],[CZAS]])</f>
        <v>1.0101010101010102E-2</v>
      </c>
      <c r="Q3467" s="32">
        <f>IF(Mecze[[#This Row],[OB]]=0,0,Mecze[[#This Row],[OB]]/Mecze[[#This Row],[CZAS]])</f>
        <v>0</v>
      </c>
      <c r="R3467" s="32">
        <f>IF(Mecze[[#This Row],[BR]]=0,0,Mecze[[#This Row],[BR]]/Mecze[[#This Row],[CZAS]])</f>
        <v>0</v>
      </c>
      <c r="S3467" s="44">
        <f>IF(Mecze[[#This Row],[Role]]="BR",SUMPRODUCT(Mecze[[#This Row],[/PR:90]:[/BR:90]],Brudnopis!$E$23:$J$23),0)</f>
        <v>0</v>
      </c>
      <c r="T3467" s="44">
        <f>IF(Mecze[[#This Row],[Role]]&lt;&gt;"BR",SUMPRODUCT(Mecze[[#This Row],[/PR:90]:[/BR:90]],Brudnopis!$E$24:$J$24),0)</f>
        <v>0.34848484848484845</v>
      </c>
      <c r="U3467" s="44">
        <f>IF(Mecze[[#This Row],[Role]]&lt;&gt;"BR",SUMPRODUCT(Mecze[[#This Row],[/PR:90]:[/BR:90]],Brudnopis!$E$25:$J$25),0)</f>
        <v>0.36868686868686867</v>
      </c>
      <c r="V3467" s="44">
        <f>IF(Mecze[[#This Row],[Role]]&lt;&gt;"BR",SUMPRODUCT(Mecze[[#This Row],[/PR:90]:[/BR:90]],Brudnopis!$E$26:$J$26),0)</f>
        <v>0.31313131313131315</v>
      </c>
      <c r="W3467" s="44">
        <f>IF(Mecze[[#This Row],[Role]]&lt;&gt;"BR",SUMPRODUCT(Mecze[[#This Row],[/PR:90]:[/BR:90]],Brudnopis!$E$27:$J$27),0)</f>
        <v>0.32070707070707066</v>
      </c>
      <c r="X3467" s="44">
        <f>IF(Mecze[[#This Row],[Role]]&lt;&gt;"BR",SUMPRODUCT(Mecze[[#This Row],[/PR:90]:[/BR:90]],Brudnopis!$E$28:$J$28),0)</f>
        <v>0.1313131313131313</v>
      </c>
      <c r="Y3467" s="35">
        <f>IF(Mecze[[#This Row],[Role]]="BR",Mecze[[#This Row],[/OB:90]]+Mecze[[#This Row],[/PC:90]],SUM(Mecze[[#This Row],[/PR:90]:[/BR:90]]))</f>
        <v>0.31313131313131315</v>
      </c>
      <c r="Z3467" s="35">
        <f>IF(Mecze[[#This Row],[KC]]=0,SUM(Mecze[[#This Row],[/BRI]:[/NPI]]),SUM(Mecze[[#This Row],[/BRI]:[/NPI]])*0.6)</f>
        <v>1.4823232323232323</v>
      </c>
      <c r="AA3467" s="10">
        <f>IFERROR(Mecze[[#This Row],[BR]]/Mecze[[#This Row],[ST]],0)</f>
        <v>0</v>
      </c>
      <c r="AB3467">
        <f>ROUND(Mecze[[#This Row],[PD]]*Mecze[[#This Row],[%PC]],0)</f>
        <v>11</v>
      </c>
      <c r="AC3467">
        <f>ROUND(Mecze[[#This Row],[OD]]*Mecze[[#This Row],[%OU]],0)</f>
        <v>7</v>
      </c>
      <c r="AD3467" s="36" t="s">
        <v>41</v>
      </c>
      <c r="AE3467" s="36">
        <v>195</v>
      </c>
      <c r="AF3467" s="71">
        <v>9.7899999999999991</v>
      </c>
      <c r="AG3467" s="37">
        <v>0</v>
      </c>
      <c r="AH3467" s="37">
        <v>0</v>
      </c>
      <c r="AI3467" s="37">
        <v>99</v>
      </c>
      <c r="AJ3467" s="37">
        <v>1</v>
      </c>
      <c r="AK3467" s="37" t="str">
        <f>VLOOKUP(Mecze[[#This Row],[Match ID]],Meczusie[Mecz]:Meczusie[RodzajMeczu],2,FALSE)</f>
        <v>Liga</v>
      </c>
    </row>
    <row r="3468" spans="1:37" x14ac:dyDescent="0.25">
      <c r="A3468" s="76">
        <v>15</v>
      </c>
      <c r="B3468" s="3" t="s">
        <v>170</v>
      </c>
      <c r="C3468" s="2" t="s">
        <v>160</v>
      </c>
      <c r="D3468" s="1">
        <v>0</v>
      </c>
      <c r="E3468" s="1">
        <v>0</v>
      </c>
      <c r="F3468" s="1">
        <v>0</v>
      </c>
      <c r="G3468" s="1">
        <v>13</v>
      </c>
      <c r="H3468" s="4">
        <v>0.62</v>
      </c>
      <c r="I3468" s="1">
        <v>10</v>
      </c>
      <c r="J3468" s="4">
        <v>0.4</v>
      </c>
      <c r="K3468" s="1">
        <v>0</v>
      </c>
      <c r="L3468" s="1">
        <v>5</v>
      </c>
      <c r="M3468" s="32">
        <f>IF(Mecze[[#This Row],[PR]]=0,0,Mecze[[#This Row],[PR]]/Mecze[[#This Row],[CZAS]])</f>
        <v>5.0505050505050504E-2</v>
      </c>
      <c r="N3468" s="32">
        <f>IF(Mecze[[#This Row],[OU]]=0,0,Mecze[[#This Row],[OU]]/Mecze[[#This Row],[CZAS]])</f>
        <v>4.0404040404040407E-2</v>
      </c>
      <c r="O3468" s="32">
        <f>IF(Mecze[[#This Row],[PC]]=0,0,Mecze[[#This Row],[PC]]/Mecze[[#This Row],[CZAS]])</f>
        <v>8.0808080808080815E-2</v>
      </c>
      <c r="P3468" s="32">
        <f>IF(Mecze[[#This Row],[SC]]=0,0,Mecze[[#This Row],[SC]]/Mecze[[#This Row],[CZAS]])</f>
        <v>0</v>
      </c>
      <c r="Q3468" s="32">
        <f>IF(Mecze[[#This Row],[OB]]=0,0,Mecze[[#This Row],[OB]]/Mecze[[#This Row],[CZAS]])</f>
        <v>0</v>
      </c>
      <c r="R3468" s="32">
        <f>IF(Mecze[[#This Row],[BR]]=0,0,Mecze[[#This Row],[BR]]/Mecze[[#This Row],[CZAS]])</f>
        <v>0</v>
      </c>
      <c r="S3468" s="44">
        <f>IF(Mecze[[#This Row],[Role]]="BR",SUMPRODUCT(Mecze[[#This Row],[/PR:90]:[/BR:90]],Brudnopis!$E$23:$J$23),0)</f>
        <v>0</v>
      </c>
      <c r="T3468" s="44">
        <f>IF(Mecze[[#This Row],[Role]]&lt;&gt;"BR",SUMPRODUCT(Mecze[[#This Row],[/PR:90]:[/BR:90]],Brudnopis!$E$24:$J$24),0)</f>
        <v>0.19191919191919193</v>
      </c>
      <c r="U3468" s="44">
        <f>IF(Mecze[[#This Row],[Role]]&lt;&gt;"BR",SUMPRODUCT(Mecze[[#This Row],[/PR:90]:[/BR:90]],Brudnopis!$E$25:$J$25),0)</f>
        <v>0.21212121212121213</v>
      </c>
      <c r="V3468" s="44">
        <f>IF(Mecze[[#This Row],[Role]]&lt;&gt;"BR",SUMPRODUCT(Mecze[[#This Row],[/PR:90]:[/BR:90]],Brudnopis!$E$26:$J$26),0)</f>
        <v>0.17171717171717171</v>
      </c>
      <c r="W3468" s="44">
        <f>IF(Mecze[[#This Row],[Role]]&lt;&gt;"BR",SUMPRODUCT(Mecze[[#This Row],[/PR:90]:[/BR:90]],Brudnopis!$E$27:$J$27),0)</f>
        <v>0.18939393939393939</v>
      </c>
      <c r="X3468" s="44">
        <f>IF(Mecze[[#This Row],[Role]]&lt;&gt;"BR",SUMPRODUCT(Mecze[[#This Row],[/PR:90]:[/BR:90]],Brudnopis!$E$28:$J$28),0)</f>
        <v>8.0808080808080815E-2</v>
      </c>
      <c r="Y3468" s="35">
        <f>IF(Mecze[[#This Row],[Role]]="BR",Mecze[[#This Row],[/OB:90]]+Mecze[[#This Row],[/PC:90]],SUM(Mecze[[#This Row],[/PR:90]:[/BR:90]]))</f>
        <v>0.17171717171717171</v>
      </c>
      <c r="Z3468" s="35">
        <f>IF(Mecze[[#This Row],[KC]]=0,SUM(Mecze[[#This Row],[/BRI]:[/NPI]]),SUM(Mecze[[#This Row],[/BRI]:[/NPI]])*0.6)</f>
        <v>0.84595959595959591</v>
      </c>
      <c r="AA3468" s="10">
        <f>IFERROR(Mecze[[#This Row],[BR]]/Mecze[[#This Row],[ST]],0)</f>
        <v>0</v>
      </c>
      <c r="AB3468">
        <f>ROUND(Mecze[[#This Row],[PD]]*Mecze[[#This Row],[%PC]],0)</f>
        <v>8</v>
      </c>
      <c r="AC3468">
        <f>ROUND(Mecze[[#This Row],[OD]]*Mecze[[#This Row],[%OU]],0)</f>
        <v>4</v>
      </c>
      <c r="AD3468" s="36" t="s">
        <v>67</v>
      </c>
      <c r="AE3468" s="36">
        <v>195</v>
      </c>
      <c r="AF3468" s="71">
        <v>9.3000000000000007</v>
      </c>
      <c r="AG3468" s="37">
        <v>0</v>
      </c>
      <c r="AH3468" s="37">
        <v>0</v>
      </c>
      <c r="AI3468" s="37">
        <v>99</v>
      </c>
      <c r="AJ3468" s="37">
        <v>1</v>
      </c>
      <c r="AK3468" s="37" t="str">
        <f>VLOOKUP(Mecze[[#This Row],[Match ID]],Meczusie[Mecz]:Meczusie[RodzajMeczu],2,FALSE)</f>
        <v>Liga</v>
      </c>
    </row>
    <row r="3469" spans="1:37" x14ac:dyDescent="0.25">
      <c r="A3469" s="76">
        <v>11</v>
      </c>
      <c r="B3469" s="3" t="s">
        <v>163</v>
      </c>
      <c r="C3469" s="2" t="s">
        <v>160</v>
      </c>
      <c r="D3469" s="1">
        <v>0</v>
      </c>
      <c r="E3469" s="1">
        <v>1</v>
      </c>
      <c r="F3469" s="1">
        <v>1</v>
      </c>
      <c r="G3469" s="1">
        <v>2</v>
      </c>
      <c r="H3469" s="4">
        <v>0.5</v>
      </c>
      <c r="I3469" s="1">
        <v>2</v>
      </c>
      <c r="J3469" s="4">
        <v>0</v>
      </c>
      <c r="K3469" s="1">
        <v>0</v>
      </c>
      <c r="L3469" s="1">
        <v>0</v>
      </c>
      <c r="M3469" s="32">
        <f>IF(Mecze[[#This Row],[PR]]=0,0,Mecze[[#This Row],[PR]]/Mecze[[#This Row],[CZAS]])</f>
        <v>0</v>
      </c>
      <c r="N3469" s="32">
        <f>IF(Mecze[[#This Row],[OU]]=0,0,Mecze[[#This Row],[OU]]/Mecze[[#This Row],[CZAS]])</f>
        <v>0</v>
      </c>
      <c r="O3469" s="32">
        <f>IF(Mecze[[#This Row],[PC]]=0,0,Mecze[[#This Row],[PC]]/Mecze[[#This Row],[CZAS]])</f>
        <v>2.0833333333333332E-2</v>
      </c>
      <c r="P3469" s="32">
        <f>IF(Mecze[[#This Row],[SC]]=0,0,Mecze[[#This Row],[SC]]/Mecze[[#This Row],[CZAS]])</f>
        <v>2.0833333333333332E-2</v>
      </c>
      <c r="Q3469" s="32">
        <f>IF(Mecze[[#This Row],[OB]]=0,0,Mecze[[#This Row],[OB]]/Mecze[[#This Row],[CZAS]])</f>
        <v>0</v>
      </c>
      <c r="R3469" s="32">
        <f>IF(Mecze[[#This Row],[BR]]=0,0,Mecze[[#This Row],[BR]]/Mecze[[#This Row],[CZAS]])</f>
        <v>0</v>
      </c>
      <c r="S3469" s="44">
        <f>IF(Mecze[[#This Row],[Role]]="BR",SUMPRODUCT(Mecze[[#This Row],[/PR:90]:[/BR:90]],Brudnopis!$E$23:$J$23),0)</f>
        <v>0</v>
      </c>
      <c r="T3469" s="44">
        <f>IF(Mecze[[#This Row],[Role]]&lt;&gt;"BR",SUMPRODUCT(Mecze[[#This Row],[/PR:90]:[/BR:90]],Brudnopis!$E$24:$J$24),0)</f>
        <v>4.1666666666666664E-2</v>
      </c>
      <c r="U3469" s="44">
        <f>IF(Mecze[[#This Row],[Role]]&lt;&gt;"BR",SUMPRODUCT(Mecze[[#This Row],[/PR:90]:[/BR:90]],Brudnopis!$E$25:$J$25),0)</f>
        <v>5.2083333333333329E-2</v>
      </c>
      <c r="V3469" s="44">
        <f>IF(Mecze[[#This Row],[Role]]&lt;&gt;"BR",SUMPRODUCT(Mecze[[#This Row],[/PR:90]:[/BR:90]],Brudnopis!$E$26:$J$26),0)</f>
        <v>4.1666666666666664E-2</v>
      </c>
      <c r="W3469" s="44">
        <f>IF(Mecze[[#This Row],[Role]]&lt;&gt;"BR",SUMPRODUCT(Mecze[[#This Row],[/PR:90]:[/BR:90]],Brudnopis!$E$27:$J$27),0)</f>
        <v>5.2083333333333329E-2</v>
      </c>
      <c r="X3469" s="44">
        <f>IF(Mecze[[#This Row],[Role]]&lt;&gt;"BR",SUMPRODUCT(Mecze[[#This Row],[/PR:90]:[/BR:90]],Brudnopis!$E$28:$J$28),0)</f>
        <v>6.25E-2</v>
      </c>
      <c r="Y3469" s="35">
        <f>IF(Mecze[[#This Row],[Role]]="BR",Mecze[[#This Row],[/OB:90]]+Mecze[[#This Row],[/PC:90]],SUM(Mecze[[#This Row],[/PR:90]:[/BR:90]]))</f>
        <v>4.1666666666666664E-2</v>
      </c>
      <c r="Z3469" s="35">
        <f>IF(Mecze[[#This Row],[KC]]=0,SUM(Mecze[[#This Row],[/BRI]:[/NPI]]),SUM(Mecze[[#This Row],[/BRI]:[/NPI]])*0.6)</f>
        <v>0.25</v>
      </c>
      <c r="AA3469" s="10">
        <f>IFERROR(Mecze[[#This Row],[BR]]/Mecze[[#This Row],[ST]],0)</f>
        <v>0</v>
      </c>
      <c r="AB3469">
        <f>ROUND(Mecze[[#This Row],[PD]]*Mecze[[#This Row],[%PC]],0)</f>
        <v>1</v>
      </c>
      <c r="AC3469">
        <f>ROUND(Mecze[[#This Row],[OD]]*Mecze[[#This Row],[%OU]],0)</f>
        <v>0</v>
      </c>
      <c r="AD3469" s="36" t="s">
        <v>44</v>
      </c>
      <c r="AE3469" s="36">
        <v>195</v>
      </c>
      <c r="AF3469" s="71">
        <v>5.07</v>
      </c>
      <c r="AG3469" s="37">
        <v>0</v>
      </c>
      <c r="AH3469" s="37">
        <v>0</v>
      </c>
      <c r="AI3469" s="37">
        <v>48</v>
      </c>
      <c r="AJ3469" s="37">
        <v>1</v>
      </c>
      <c r="AK3469" s="37" t="str">
        <f>VLOOKUP(Mecze[[#This Row],[Match ID]],Meczusie[Mecz]:Meczusie[RodzajMeczu],2,FALSE)</f>
        <v>Liga</v>
      </c>
    </row>
    <row r="3470" spans="1:37" x14ac:dyDescent="0.25">
      <c r="A3470" s="76">
        <v>14</v>
      </c>
      <c r="B3470" s="3" t="s">
        <v>164</v>
      </c>
      <c r="C3470" s="2" t="s">
        <v>160</v>
      </c>
      <c r="D3470" s="1">
        <v>0</v>
      </c>
      <c r="E3470" s="1">
        <v>0</v>
      </c>
      <c r="F3470" s="1">
        <v>0</v>
      </c>
      <c r="G3470" s="1">
        <v>1</v>
      </c>
      <c r="H3470" s="4">
        <v>0</v>
      </c>
      <c r="I3470" s="1">
        <v>0</v>
      </c>
      <c r="J3470" s="4"/>
      <c r="K3470" s="1">
        <v>0</v>
      </c>
      <c r="L3470" s="1">
        <v>2</v>
      </c>
      <c r="M3470" s="32">
        <f>IF(Mecze[[#This Row],[PR]]=0,0,Mecze[[#This Row],[PR]]/Mecze[[#This Row],[CZAS]])</f>
        <v>4.1666666666666664E-2</v>
      </c>
      <c r="N3470" s="32">
        <f>IF(Mecze[[#This Row],[OU]]=0,0,Mecze[[#This Row],[OU]]/Mecze[[#This Row],[CZAS]])</f>
        <v>0</v>
      </c>
      <c r="O3470" s="32">
        <f>IF(Mecze[[#This Row],[PC]]=0,0,Mecze[[#This Row],[PC]]/Mecze[[#This Row],[CZAS]])</f>
        <v>0</v>
      </c>
      <c r="P3470" s="32">
        <f>IF(Mecze[[#This Row],[SC]]=0,0,Mecze[[#This Row],[SC]]/Mecze[[#This Row],[CZAS]])</f>
        <v>0</v>
      </c>
      <c r="Q3470" s="32">
        <f>IF(Mecze[[#This Row],[OB]]=0,0,Mecze[[#This Row],[OB]]/Mecze[[#This Row],[CZAS]])</f>
        <v>0</v>
      </c>
      <c r="R3470" s="32">
        <f>IF(Mecze[[#This Row],[BR]]=0,0,Mecze[[#This Row],[BR]]/Mecze[[#This Row],[CZAS]])</f>
        <v>0</v>
      </c>
      <c r="S3470" s="44">
        <f>IF(Mecze[[#This Row],[Role]]="BR",SUMPRODUCT(Mecze[[#This Row],[/PR:90]:[/BR:90]],Brudnopis!$E$23:$J$23),0)</f>
        <v>0</v>
      </c>
      <c r="T3470" s="44">
        <f>IF(Mecze[[#This Row],[Role]]&lt;&gt;"BR",SUMPRODUCT(Mecze[[#This Row],[/PR:90]:[/BR:90]],Brudnopis!$E$24:$J$24),0)</f>
        <v>4.1666666666666664E-2</v>
      </c>
      <c r="U3470" s="44">
        <f>IF(Mecze[[#This Row],[Role]]&lt;&gt;"BR",SUMPRODUCT(Mecze[[#This Row],[/PR:90]:[/BR:90]],Brudnopis!$E$25:$J$25),0)</f>
        <v>4.1666666666666664E-2</v>
      </c>
      <c r="V3470" s="44">
        <f>IF(Mecze[[#This Row],[Role]]&lt;&gt;"BR",SUMPRODUCT(Mecze[[#This Row],[/PR:90]:[/BR:90]],Brudnopis!$E$26:$J$26),0)</f>
        <v>4.1666666666666664E-2</v>
      </c>
      <c r="W3470" s="44">
        <f>IF(Mecze[[#This Row],[Role]]&lt;&gt;"BR",SUMPRODUCT(Mecze[[#This Row],[/PR:90]:[/BR:90]],Brudnopis!$E$27:$J$27),0)</f>
        <v>3.125E-2</v>
      </c>
      <c r="X3470" s="44">
        <f>IF(Mecze[[#This Row],[Role]]&lt;&gt;"BR",SUMPRODUCT(Mecze[[#This Row],[/PR:90]:[/BR:90]],Brudnopis!$E$28:$J$28),0)</f>
        <v>0</v>
      </c>
      <c r="Y3470" s="35">
        <f>IF(Mecze[[#This Row],[Role]]="BR",Mecze[[#This Row],[/OB:90]]+Mecze[[#This Row],[/PC:90]],SUM(Mecze[[#This Row],[/PR:90]:[/BR:90]]))</f>
        <v>4.1666666666666664E-2</v>
      </c>
      <c r="Z3470" s="35">
        <f>IF(Mecze[[#This Row],[KC]]=0,SUM(Mecze[[#This Row],[/BRI]:[/NPI]]),SUM(Mecze[[#This Row],[/BRI]:[/NPI]])*0.6)</f>
        <v>0.15625</v>
      </c>
      <c r="AA3470" s="10">
        <f>IFERROR(Mecze[[#This Row],[BR]]/Mecze[[#This Row],[ST]],0)</f>
        <v>0</v>
      </c>
      <c r="AB3470">
        <f>ROUND(Mecze[[#This Row],[PD]]*Mecze[[#This Row],[%PC]],0)</f>
        <v>0</v>
      </c>
      <c r="AC3470">
        <f>ROUND(Mecze[[#This Row],[OD]]*Mecze[[#This Row],[%OU]],0)</f>
        <v>0</v>
      </c>
      <c r="AD3470" s="36" t="s">
        <v>44</v>
      </c>
      <c r="AE3470" s="36">
        <v>195</v>
      </c>
      <c r="AF3470" s="71">
        <v>5.26</v>
      </c>
      <c r="AG3470" s="37">
        <v>0</v>
      </c>
      <c r="AH3470" s="37">
        <v>0</v>
      </c>
      <c r="AI3470" s="37">
        <v>48</v>
      </c>
      <c r="AJ3470" s="37">
        <v>1</v>
      </c>
      <c r="AK3470" s="37" t="str">
        <f>VLOOKUP(Mecze[[#This Row],[Match ID]],Meczusie[Mecz]:Meczusie[RodzajMeczu],2,FALSE)</f>
        <v>Liga</v>
      </c>
    </row>
    <row r="3471" spans="1:37" x14ac:dyDescent="0.25">
      <c r="A3471" s="76">
        <v>9</v>
      </c>
      <c r="B3471" s="3" t="s">
        <v>411</v>
      </c>
      <c r="C3471" s="2" t="s">
        <v>165</v>
      </c>
      <c r="D3471" s="1">
        <v>1</v>
      </c>
      <c r="E3471" s="1">
        <v>8</v>
      </c>
      <c r="F3471" s="1">
        <v>8</v>
      </c>
      <c r="G3471" s="1">
        <v>5</v>
      </c>
      <c r="H3471" s="4">
        <v>0.8</v>
      </c>
      <c r="I3471" s="1">
        <v>5</v>
      </c>
      <c r="J3471" s="4">
        <v>0.4</v>
      </c>
      <c r="K3471" s="1">
        <v>0</v>
      </c>
      <c r="L3471" s="1">
        <v>0</v>
      </c>
      <c r="M3471" s="32">
        <f>IF(Mecze[[#This Row],[PR]]=0,0,Mecze[[#This Row],[PR]]/Mecze[[#This Row],[CZAS]])</f>
        <v>0</v>
      </c>
      <c r="N3471" s="32">
        <f>IF(Mecze[[#This Row],[OU]]=0,0,Mecze[[#This Row],[OU]]/Mecze[[#This Row],[CZAS]])</f>
        <v>2.0202020202020204E-2</v>
      </c>
      <c r="O3471" s="32">
        <f>IF(Mecze[[#This Row],[PC]]=0,0,Mecze[[#This Row],[PC]]/Mecze[[#This Row],[CZAS]])</f>
        <v>4.0404040404040407E-2</v>
      </c>
      <c r="P3471" s="32">
        <f>IF(Mecze[[#This Row],[SC]]=0,0,Mecze[[#This Row],[SC]]/Mecze[[#This Row],[CZAS]])</f>
        <v>8.0808080808080815E-2</v>
      </c>
      <c r="Q3471" s="32">
        <f>IF(Mecze[[#This Row],[OB]]=0,0,Mecze[[#This Row],[OB]]/Mecze[[#This Row],[CZAS]])</f>
        <v>0</v>
      </c>
      <c r="R3471" s="32">
        <f>IF(Mecze[[#This Row],[BR]]=0,0,Mecze[[#This Row],[BR]]/Mecze[[#This Row],[CZAS]])</f>
        <v>1.0101010101010102E-2</v>
      </c>
      <c r="S3471" s="44">
        <f>IF(Mecze[[#This Row],[Role]]="BR",SUMPRODUCT(Mecze[[#This Row],[/PR:90]:[/BR:90]],Brudnopis!$E$23:$J$23),0)</f>
        <v>0</v>
      </c>
      <c r="T3471" s="44">
        <f>IF(Mecze[[#This Row],[Role]]&lt;&gt;"BR",SUMPRODUCT(Mecze[[#This Row],[/PR:90]:[/BR:90]],Brudnopis!$E$24:$J$24),0)</f>
        <v>0.16666666666666669</v>
      </c>
      <c r="U3471" s="44">
        <f>IF(Mecze[[#This Row],[Role]]&lt;&gt;"BR",SUMPRODUCT(Mecze[[#This Row],[/PR:90]:[/BR:90]],Brudnopis!$E$25:$J$25),0)</f>
        <v>0.1767676767676768</v>
      </c>
      <c r="V3471" s="44">
        <f>IF(Mecze[[#This Row],[Role]]&lt;&gt;"BR",SUMPRODUCT(Mecze[[#This Row],[/PR:90]:[/BR:90]],Brudnopis!$E$26:$J$26),0)</f>
        <v>0.16161616161616163</v>
      </c>
      <c r="W3471" s="44">
        <f>IF(Mecze[[#This Row],[Role]]&lt;&gt;"BR",SUMPRODUCT(Mecze[[#This Row],[/PR:90]:[/BR:90]],Brudnopis!$E$27:$J$27),0)</f>
        <v>0.17676767676767677</v>
      </c>
      <c r="X3471" s="44">
        <f>IF(Mecze[[#This Row],[Role]]&lt;&gt;"BR",SUMPRODUCT(Mecze[[#This Row],[/PR:90]:[/BR:90]],Brudnopis!$E$28:$J$28),0)</f>
        <v>0.23232323232323235</v>
      </c>
      <c r="Y3471" s="35">
        <f>IF(Mecze[[#This Row],[Role]]="BR",Mecze[[#This Row],[/OB:90]]+Mecze[[#This Row],[/PC:90]],SUM(Mecze[[#This Row],[/PR:90]:[/BR:90]]))</f>
        <v>0.15151515151515155</v>
      </c>
      <c r="Z3471" s="35">
        <f>IF(Mecze[[#This Row],[KC]]=0,SUM(Mecze[[#This Row],[/BRI]:[/NPI]]),SUM(Mecze[[#This Row],[/BRI]:[/NPI]])*0.6)</f>
        <v>0.91414141414141425</v>
      </c>
      <c r="AA3471" s="10">
        <f>IFERROR(Mecze[[#This Row],[BR]]/Mecze[[#This Row],[ST]],0)</f>
        <v>0.125</v>
      </c>
      <c r="AB3471">
        <f>ROUND(Mecze[[#This Row],[PD]]*Mecze[[#This Row],[%PC]],0)</f>
        <v>4</v>
      </c>
      <c r="AC3471">
        <f>ROUND(Mecze[[#This Row],[OD]]*Mecze[[#This Row],[%OU]],0)</f>
        <v>2</v>
      </c>
      <c r="AD3471" s="36" t="s">
        <v>46</v>
      </c>
      <c r="AE3471" s="36">
        <v>195</v>
      </c>
      <c r="AF3471" s="71">
        <v>10.24</v>
      </c>
      <c r="AG3471" s="37">
        <v>0</v>
      </c>
      <c r="AH3471" s="37">
        <v>0</v>
      </c>
      <c r="AI3471" s="37">
        <v>99</v>
      </c>
      <c r="AJ3471" s="37">
        <v>1</v>
      </c>
      <c r="AK3471" s="37" t="str">
        <f>VLOOKUP(Mecze[[#This Row],[Match ID]],Meczusie[Mecz]:Meczusie[RodzajMeczu],2,FALSE)</f>
        <v>Liga</v>
      </c>
    </row>
    <row r="3472" spans="1:37" x14ac:dyDescent="0.25">
      <c r="A3472" s="76">
        <v>19</v>
      </c>
      <c r="B3472" s="3" t="s">
        <v>166</v>
      </c>
      <c r="C3472" s="2" t="s">
        <v>165</v>
      </c>
      <c r="D3472" s="1">
        <v>0</v>
      </c>
      <c r="E3472" s="1">
        <v>2</v>
      </c>
      <c r="F3472" s="1">
        <v>1</v>
      </c>
      <c r="G3472" s="1">
        <v>6</v>
      </c>
      <c r="H3472" s="4">
        <v>0.5</v>
      </c>
      <c r="I3472" s="1">
        <v>5</v>
      </c>
      <c r="J3472" s="4">
        <v>0</v>
      </c>
      <c r="K3472" s="1">
        <v>0</v>
      </c>
      <c r="L3472" s="1">
        <v>0</v>
      </c>
      <c r="M3472" s="32">
        <f>IF(Mecze[[#This Row],[PR]]=0,0,Mecze[[#This Row],[PR]]/Mecze[[#This Row],[CZAS]])</f>
        <v>0</v>
      </c>
      <c r="N3472" s="32">
        <f>IF(Mecze[[#This Row],[OU]]=0,0,Mecze[[#This Row],[OU]]/Mecze[[#This Row],[CZAS]])</f>
        <v>0</v>
      </c>
      <c r="O3472" s="32">
        <f>IF(Mecze[[#This Row],[PC]]=0,0,Mecze[[#This Row],[PC]]/Mecze[[#This Row],[CZAS]])</f>
        <v>3.0303030303030304E-2</v>
      </c>
      <c r="P3472" s="32">
        <f>IF(Mecze[[#This Row],[SC]]=0,0,Mecze[[#This Row],[SC]]/Mecze[[#This Row],[CZAS]])</f>
        <v>1.0101010101010102E-2</v>
      </c>
      <c r="Q3472" s="32">
        <f>IF(Mecze[[#This Row],[OB]]=0,0,Mecze[[#This Row],[OB]]/Mecze[[#This Row],[CZAS]])</f>
        <v>0</v>
      </c>
      <c r="R3472" s="32">
        <f>IF(Mecze[[#This Row],[BR]]=0,0,Mecze[[#This Row],[BR]]/Mecze[[#This Row],[CZAS]])</f>
        <v>0</v>
      </c>
      <c r="S3472" s="44">
        <f>IF(Mecze[[#This Row],[Role]]="BR",SUMPRODUCT(Mecze[[#This Row],[/PR:90]:[/BR:90]],Brudnopis!$E$23:$J$23),0)</f>
        <v>0</v>
      </c>
      <c r="T3472" s="44">
        <f>IF(Mecze[[#This Row],[Role]]&lt;&gt;"BR",SUMPRODUCT(Mecze[[#This Row],[/PR:90]:[/BR:90]],Brudnopis!$E$24:$J$24),0)</f>
        <v>4.0404040404040407E-2</v>
      </c>
      <c r="U3472" s="44">
        <f>IF(Mecze[[#This Row],[Role]]&lt;&gt;"BR",SUMPRODUCT(Mecze[[#This Row],[/PR:90]:[/BR:90]],Brudnopis!$E$25:$J$25),0)</f>
        <v>5.5555555555555559E-2</v>
      </c>
      <c r="V3472" s="44">
        <f>IF(Mecze[[#This Row],[Role]]&lt;&gt;"BR",SUMPRODUCT(Mecze[[#This Row],[/PR:90]:[/BR:90]],Brudnopis!$E$26:$J$26),0)</f>
        <v>4.0404040404040407E-2</v>
      </c>
      <c r="W3472" s="44">
        <f>IF(Mecze[[#This Row],[Role]]&lt;&gt;"BR",SUMPRODUCT(Mecze[[#This Row],[/PR:90]:[/BR:90]],Brudnopis!$E$27:$J$27),0)</f>
        <v>5.5555555555555559E-2</v>
      </c>
      <c r="X3472" s="44">
        <f>IF(Mecze[[#This Row],[Role]]&lt;&gt;"BR",SUMPRODUCT(Mecze[[#This Row],[/PR:90]:[/BR:90]],Brudnopis!$E$28:$J$28),0)</f>
        <v>5.0505050505050511E-2</v>
      </c>
      <c r="Y3472" s="35">
        <f>IF(Mecze[[#This Row],[Role]]="BR",Mecze[[#This Row],[/OB:90]]+Mecze[[#This Row],[/PC:90]],SUM(Mecze[[#This Row],[/PR:90]:[/BR:90]]))</f>
        <v>4.0404040404040407E-2</v>
      </c>
      <c r="Z3472" s="35">
        <f>IF(Mecze[[#This Row],[KC]]=0,SUM(Mecze[[#This Row],[/BRI]:[/NPI]]),SUM(Mecze[[#This Row],[/BRI]:[/NPI]])*0.6)</f>
        <v>0.24242424242424243</v>
      </c>
      <c r="AA3472" s="10">
        <f>IFERROR(Mecze[[#This Row],[BR]]/Mecze[[#This Row],[ST]],0)</f>
        <v>0</v>
      </c>
      <c r="AB3472">
        <f>ROUND(Mecze[[#This Row],[PD]]*Mecze[[#This Row],[%PC]],0)</f>
        <v>3</v>
      </c>
      <c r="AC3472">
        <f>ROUND(Mecze[[#This Row],[OD]]*Mecze[[#This Row],[%OU]],0)</f>
        <v>0</v>
      </c>
      <c r="AD3472" s="36" t="s">
        <v>46</v>
      </c>
      <c r="AE3472" s="36">
        <v>195</v>
      </c>
      <c r="AF3472" s="71">
        <v>5.48</v>
      </c>
      <c r="AG3472" s="37">
        <v>0</v>
      </c>
      <c r="AH3472" s="37">
        <v>0</v>
      </c>
      <c r="AI3472" s="37">
        <v>99</v>
      </c>
      <c r="AJ3472" s="37">
        <v>1</v>
      </c>
      <c r="AK3472" s="37" t="str">
        <f>VLOOKUP(Mecze[[#This Row],[Match ID]],Meczusie[Mecz]:Meczusie[RodzajMeczu],2,FALSE)</f>
        <v>Liga</v>
      </c>
    </row>
    <row r="3473" spans="1:37" x14ac:dyDescent="0.25">
      <c r="A3473" s="76">
        <v>25</v>
      </c>
      <c r="B3473" s="3" t="s">
        <v>366</v>
      </c>
      <c r="C3473" s="2" t="s">
        <v>160</v>
      </c>
      <c r="D3473" s="1">
        <v>0</v>
      </c>
      <c r="E3473" s="1">
        <v>0</v>
      </c>
      <c r="F3473" s="1">
        <v>0</v>
      </c>
      <c r="G3473" s="1">
        <v>5</v>
      </c>
      <c r="H3473" s="4">
        <v>0.4</v>
      </c>
      <c r="I3473" s="1">
        <v>1</v>
      </c>
      <c r="J3473" s="4">
        <v>0</v>
      </c>
      <c r="K3473" s="1">
        <v>0</v>
      </c>
      <c r="L3473" s="1">
        <v>3</v>
      </c>
      <c r="M3473" s="32">
        <f>IF(Mecze[[#This Row],[PR]]=0,0,Mecze[[#This Row],[PR]]/Mecze[[#This Row],[CZAS]])</f>
        <v>5.8823529411764705E-2</v>
      </c>
      <c r="N3473" s="32">
        <f>IF(Mecze[[#This Row],[OU]]=0,0,Mecze[[#This Row],[OU]]/Mecze[[#This Row],[CZAS]])</f>
        <v>0</v>
      </c>
      <c r="O3473" s="32">
        <f>IF(Mecze[[#This Row],[PC]]=0,0,Mecze[[#This Row],[PC]]/Mecze[[#This Row],[CZAS]])</f>
        <v>3.9215686274509803E-2</v>
      </c>
      <c r="P3473" s="32">
        <f>IF(Mecze[[#This Row],[SC]]=0,0,Mecze[[#This Row],[SC]]/Mecze[[#This Row],[CZAS]])</f>
        <v>0</v>
      </c>
      <c r="Q3473" s="32">
        <f>IF(Mecze[[#This Row],[OB]]=0,0,Mecze[[#This Row],[OB]]/Mecze[[#This Row],[CZAS]])</f>
        <v>0</v>
      </c>
      <c r="R3473" s="32">
        <f>IF(Mecze[[#This Row],[BR]]=0,0,Mecze[[#This Row],[BR]]/Mecze[[#This Row],[CZAS]])</f>
        <v>0</v>
      </c>
      <c r="S3473" s="44">
        <f>IF(Mecze[[#This Row],[Role]]="BR",SUMPRODUCT(Mecze[[#This Row],[/PR:90]:[/BR:90]],Brudnopis!$E$23:$J$23),0)</f>
        <v>0</v>
      </c>
      <c r="T3473" s="44">
        <f>IF(Mecze[[#This Row],[Role]]&lt;&gt;"BR",SUMPRODUCT(Mecze[[#This Row],[/PR:90]:[/BR:90]],Brudnopis!$E$24:$J$24),0)</f>
        <v>9.8039215686274508E-2</v>
      </c>
      <c r="U3473" s="44">
        <f>IF(Mecze[[#This Row],[Role]]&lt;&gt;"BR",SUMPRODUCT(Mecze[[#This Row],[/PR:90]:[/BR:90]],Brudnopis!$E$25:$J$25),0)</f>
        <v>0.11764705882352941</v>
      </c>
      <c r="V3473" s="44">
        <f>IF(Mecze[[#This Row],[Role]]&lt;&gt;"BR",SUMPRODUCT(Mecze[[#This Row],[/PR:90]:[/BR:90]],Brudnopis!$E$26:$J$26),0)</f>
        <v>9.8039215686274508E-2</v>
      </c>
      <c r="W3473" s="44">
        <f>IF(Mecze[[#This Row],[Role]]&lt;&gt;"BR",SUMPRODUCT(Mecze[[#This Row],[/PR:90]:[/BR:90]],Brudnopis!$E$27:$J$27),0)</f>
        <v>0.10294117647058823</v>
      </c>
      <c r="X3473" s="44">
        <f>IF(Mecze[[#This Row],[Role]]&lt;&gt;"BR",SUMPRODUCT(Mecze[[#This Row],[/PR:90]:[/BR:90]],Brudnopis!$E$28:$J$28),0)</f>
        <v>3.9215686274509803E-2</v>
      </c>
      <c r="Y3473" s="35">
        <f>IF(Mecze[[#This Row],[Role]]="BR",Mecze[[#This Row],[/OB:90]]+Mecze[[#This Row],[/PC:90]],SUM(Mecze[[#This Row],[/PR:90]:[/BR:90]]))</f>
        <v>9.8039215686274508E-2</v>
      </c>
      <c r="Z3473" s="35">
        <f>IF(Mecze[[#This Row],[KC]]=0,SUM(Mecze[[#This Row],[/BRI]:[/NPI]]),SUM(Mecze[[#This Row],[/BRI]:[/NPI]])*0.6)</f>
        <v>0.45588235294117641</v>
      </c>
      <c r="AA3473" s="10">
        <f>IFERROR(Mecze[[#This Row],[BR]]/Mecze[[#This Row],[ST]],0)</f>
        <v>0</v>
      </c>
      <c r="AB3473">
        <f>ROUND(Mecze[[#This Row],[PD]]*Mecze[[#This Row],[%PC]],0)</f>
        <v>2</v>
      </c>
      <c r="AC3473">
        <f>ROUND(Mecze[[#This Row],[OD]]*Mecze[[#This Row],[%OU]],0)</f>
        <v>0</v>
      </c>
      <c r="AD3473" s="36" t="s">
        <v>44</v>
      </c>
      <c r="AE3473" s="36">
        <v>195</v>
      </c>
      <c r="AF3473" s="71">
        <v>5.47</v>
      </c>
      <c r="AG3473" s="37">
        <v>0</v>
      </c>
      <c r="AH3473" s="37">
        <v>0</v>
      </c>
      <c r="AI3473" s="37">
        <v>51</v>
      </c>
      <c r="AJ3473" s="37">
        <v>1</v>
      </c>
      <c r="AK3473" s="37" t="str">
        <f>VLOOKUP(Mecze[[#This Row],[Match ID]],Meczusie[Mecz]:Meczusie[RodzajMeczu],2,FALSE)</f>
        <v>Liga</v>
      </c>
    </row>
    <row r="3474" spans="1:37" x14ac:dyDescent="0.25">
      <c r="A3474" s="76">
        <v>26</v>
      </c>
      <c r="B3474" s="3" t="s">
        <v>368</v>
      </c>
      <c r="C3474" s="2" t="s">
        <v>160</v>
      </c>
      <c r="D3474" s="1">
        <v>0</v>
      </c>
      <c r="E3474" s="1">
        <v>2</v>
      </c>
      <c r="F3474" s="1">
        <v>2</v>
      </c>
      <c r="G3474" s="1">
        <v>4</v>
      </c>
      <c r="H3474" s="4">
        <v>0.25</v>
      </c>
      <c r="I3474" s="1">
        <v>1</v>
      </c>
      <c r="J3474" s="4">
        <v>1</v>
      </c>
      <c r="K3474" s="1">
        <v>0</v>
      </c>
      <c r="L3474" s="1">
        <v>2</v>
      </c>
      <c r="M3474" s="32">
        <f>IF(Mecze[[#This Row],[PR]]=0,0,Mecze[[#This Row],[PR]]/Mecze[[#This Row],[CZAS]])</f>
        <v>3.9215686274509803E-2</v>
      </c>
      <c r="N3474" s="32">
        <f>IF(Mecze[[#This Row],[OU]]=0,0,Mecze[[#This Row],[OU]]/Mecze[[#This Row],[CZAS]])</f>
        <v>1.9607843137254902E-2</v>
      </c>
      <c r="O3474" s="32">
        <f>IF(Mecze[[#This Row],[PC]]=0,0,Mecze[[#This Row],[PC]]/Mecze[[#This Row],[CZAS]])</f>
        <v>1.9607843137254902E-2</v>
      </c>
      <c r="P3474" s="32">
        <f>IF(Mecze[[#This Row],[SC]]=0,0,Mecze[[#This Row],[SC]]/Mecze[[#This Row],[CZAS]])</f>
        <v>3.9215686274509803E-2</v>
      </c>
      <c r="Q3474" s="32">
        <f>IF(Mecze[[#This Row],[OB]]=0,0,Mecze[[#This Row],[OB]]/Mecze[[#This Row],[CZAS]])</f>
        <v>0</v>
      </c>
      <c r="R3474" s="32">
        <f>IF(Mecze[[#This Row],[BR]]=0,0,Mecze[[#This Row],[BR]]/Mecze[[#This Row],[CZAS]])</f>
        <v>0</v>
      </c>
      <c r="S3474" s="44">
        <f>IF(Mecze[[#This Row],[Role]]="BR",SUMPRODUCT(Mecze[[#This Row],[/PR:90]:[/BR:90]],Brudnopis!$E$23:$J$23),0)</f>
        <v>0</v>
      </c>
      <c r="T3474" s="44">
        <f>IF(Mecze[[#This Row],[Role]]&lt;&gt;"BR",SUMPRODUCT(Mecze[[#This Row],[/PR:90]:[/BR:90]],Brudnopis!$E$24:$J$24),0)</f>
        <v>0.12745098039215685</v>
      </c>
      <c r="U3474" s="44">
        <f>IF(Mecze[[#This Row],[Role]]&lt;&gt;"BR",SUMPRODUCT(Mecze[[#This Row],[/PR:90]:[/BR:90]],Brudnopis!$E$25:$J$25),0)</f>
        <v>0.12745098039215685</v>
      </c>
      <c r="V3474" s="44">
        <f>IF(Mecze[[#This Row],[Role]]&lt;&gt;"BR",SUMPRODUCT(Mecze[[#This Row],[/PR:90]:[/BR:90]],Brudnopis!$E$26:$J$26),0)</f>
        <v>0.11764705882352941</v>
      </c>
      <c r="W3474" s="44">
        <f>IF(Mecze[[#This Row],[Role]]&lt;&gt;"BR",SUMPRODUCT(Mecze[[#This Row],[/PR:90]:[/BR:90]],Brudnopis!$E$27:$J$27),0)</f>
        <v>0.11274509803921567</v>
      </c>
      <c r="X3474" s="44">
        <f>IF(Mecze[[#This Row],[Role]]&lt;&gt;"BR",SUMPRODUCT(Mecze[[#This Row],[/PR:90]:[/BR:90]],Brudnopis!$E$28:$J$28),0)</f>
        <v>9.8039215686274508E-2</v>
      </c>
      <c r="Y3474" s="35">
        <f>IF(Mecze[[#This Row],[Role]]="BR",Mecze[[#This Row],[/OB:90]]+Mecze[[#This Row],[/PC:90]],SUM(Mecze[[#This Row],[/PR:90]:[/BR:90]]))</f>
        <v>0.11764705882352941</v>
      </c>
      <c r="Z3474" s="35">
        <f>IF(Mecze[[#This Row],[KC]]=0,SUM(Mecze[[#This Row],[/BRI]:[/NPI]]),SUM(Mecze[[#This Row],[/BRI]:[/NPI]])*0.6)</f>
        <v>0.58333333333333337</v>
      </c>
      <c r="AA3474" s="10">
        <f>IFERROR(Mecze[[#This Row],[BR]]/Mecze[[#This Row],[ST]],0)</f>
        <v>0</v>
      </c>
      <c r="AB3474">
        <f>ROUND(Mecze[[#This Row],[PD]]*Mecze[[#This Row],[%PC]],0)</f>
        <v>1</v>
      </c>
      <c r="AC3474">
        <f>ROUND(Mecze[[#This Row],[OD]]*Mecze[[#This Row],[%OU]],0)</f>
        <v>1</v>
      </c>
      <c r="AD3474" s="36" t="s">
        <v>44</v>
      </c>
      <c r="AE3474" s="36">
        <v>195</v>
      </c>
      <c r="AF3474" s="71">
        <v>5.72</v>
      </c>
      <c r="AG3474" s="37">
        <v>0</v>
      </c>
      <c r="AH3474" s="37">
        <v>0</v>
      </c>
      <c r="AI3474" s="37">
        <v>51</v>
      </c>
      <c r="AJ3474" s="37">
        <v>1</v>
      </c>
      <c r="AK3474" s="37" t="str">
        <f>VLOOKUP(Mecze[[#This Row],[Match ID]],Meczusie[Mecz]:Meczusie[RodzajMeczu],2,FALSE)</f>
        <v>Liga</v>
      </c>
    </row>
    <row r="3475" spans="1:37" x14ac:dyDescent="0.25">
      <c r="A3475" s="76">
        <v>1</v>
      </c>
      <c r="B3475" s="3" t="s">
        <v>236</v>
      </c>
      <c r="C3475" s="2" t="s">
        <v>155</v>
      </c>
      <c r="D3475" s="1">
        <v>0</v>
      </c>
      <c r="E3475" s="1">
        <v>0</v>
      </c>
      <c r="F3475" s="1">
        <v>0</v>
      </c>
      <c r="G3475" s="1">
        <v>12</v>
      </c>
      <c r="H3475" s="4">
        <v>0.42</v>
      </c>
      <c r="I3475" s="1">
        <v>0</v>
      </c>
      <c r="J3475" s="4"/>
      <c r="K3475" s="1">
        <v>12</v>
      </c>
      <c r="L3475" s="1">
        <v>0</v>
      </c>
      <c r="M3475" s="32">
        <f>IF(Mecze[[#This Row],[PR]]=0,0,Mecze[[#This Row],[PR]]/Mecze[[#This Row],[CZAS]])</f>
        <v>0</v>
      </c>
      <c r="N3475" s="32">
        <f>IF(Mecze[[#This Row],[OU]]=0,0,Mecze[[#This Row],[OU]]/Mecze[[#This Row],[CZAS]])</f>
        <v>0</v>
      </c>
      <c r="O3475" s="32">
        <f>IF(Mecze[[#This Row],[PC]]=0,0,Mecze[[#This Row],[PC]]/Mecze[[#This Row],[CZAS]])</f>
        <v>5.0505050505050504E-2</v>
      </c>
      <c r="P3475" s="32">
        <f>IF(Mecze[[#This Row],[SC]]=0,0,Mecze[[#This Row],[SC]]/Mecze[[#This Row],[CZAS]])</f>
        <v>0</v>
      </c>
      <c r="Q3475" s="32">
        <f>IF(Mecze[[#This Row],[OB]]=0,0,Mecze[[#This Row],[OB]]/Mecze[[#This Row],[CZAS]])</f>
        <v>0.12121212121212122</v>
      </c>
      <c r="R3475" s="32">
        <f>IF(Mecze[[#This Row],[BR]]=0,0,Mecze[[#This Row],[BR]]/Mecze[[#This Row],[CZAS]])</f>
        <v>0</v>
      </c>
      <c r="S3475" s="44">
        <f>IF(Mecze[[#This Row],[Role]]="BR",SUMPRODUCT(Mecze[[#This Row],[/PR:90]:[/BR:90]],Brudnopis!$E$23:$J$23),0)</f>
        <v>0.51515151515151514</v>
      </c>
      <c r="T3475" s="44">
        <f>IF(Mecze[[#This Row],[Role]]&lt;&gt;"BR",SUMPRODUCT(Mecze[[#This Row],[/PR:90]:[/BR:90]],Brudnopis!$E$24:$J$24),0)</f>
        <v>0</v>
      </c>
      <c r="U3475" s="44">
        <f>IF(Mecze[[#This Row],[Role]]&lt;&gt;"BR",SUMPRODUCT(Mecze[[#This Row],[/PR:90]:[/BR:90]],Brudnopis!$E$25:$J$25),0)</f>
        <v>0</v>
      </c>
      <c r="V3475" s="44">
        <f>IF(Mecze[[#This Row],[Role]]&lt;&gt;"BR",SUMPRODUCT(Mecze[[#This Row],[/PR:90]:[/BR:90]],Brudnopis!$E$26:$J$26),0)</f>
        <v>0</v>
      </c>
      <c r="W3475" s="44">
        <f>IF(Mecze[[#This Row],[Role]]&lt;&gt;"BR",SUMPRODUCT(Mecze[[#This Row],[/PR:90]:[/BR:90]],Brudnopis!$E$27:$J$27),0)</f>
        <v>0</v>
      </c>
      <c r="X3475" s="44">
        <f>IF(Mecze[[#This Row],[Role]]&lt;&gt;"BR",SUMPRODUCT(Mecze[[#This Row],[/PR:90]:[/BR:90]],Brudnopis!$E$28:$J$28),0)</f>
        <v>0</v>
      </c>
      <c r="Y3475" s="35">
        <f>IF(Mecze[[#This Row],[Role]]="BR",Mecze[[#This Row],[/OB:90]]+Mecze[[#This Row],[/PC:90]],SUM(Mecze[[#This Row],[/PR:90]:[/BR:90]]))</f>
        <v>0.17171717171717171</v>
      </c>
      <c r="Z3475" s="35">
        <f>IF(Mecze[[#This Row],[KC]]=0,SUM(Mecze[[#This Row],[/BRI]:[/NPI]]),SUM(Mecze[[#This Row],[/BRI]:[/NPI]])*0.6)</f>
        <v>0.51515151515151514</v>
      </c>
      <c r="AA3475" s="10">
        <f>IFERROR(Mecze[[#This Row],[BR]]/Mecze[[#This Row],[ST]],0)</f>
        <v>0</v>
      </c>
      <c r="AB3475">
        <f>ROUND(Mecze[[#This Row],[PD]]*Mecze[[#This Row],[%PC]],0)</f>
        <v>5</v>
      </c>
      <c r="AC3475">
        <f>ROUND(Mecze[[#This Row],[OD]]*Mecze[[#This Row],[%OU]],0)</f>
        <v>0</v>
      </c>
      <c r="AD3475" s="36" t="s">
        <v>40</v>
      </c>
      <c r="AE3475" s="36">
        <v>195</v>
      </c>
      <c r="AF3475" s="71">
        <v>6.9</v>
      </c>
      <c r="AG3475" s="37">
        <v>0</v>
      </c>
      <c r="AH3475" s="37">
        <v>0</v>
      </c>
      <c r="AI3475" s="37">
        <v>99</v>
      </c>
      <c r="AJ3475" s="37">
        <v>10</v>
      </c>
      <c r="AK3475" s="37" t="str">
        <f>VLOOKUP(Mecze[[#This Row],[Match ID]],Meczusie[Mecz]:Meczusie[RodzajMeczu],2,FALSE)</f>
        <v>Liga</v>
      </c>
    </row>
    <row r="3476" spans="1:37" x14ac:dyDescent="0.25">
      <c r="A3476" s="76">
        <v>7</v>
      </c>
      <c r="B3476" s="3" t="s">
        <v>241</v>
      </c>
      <c r="C3476" s="2" t="s">
        <v>157</v>
      </c>
      <c r="D3476" s="1">
        <v>0</v>
      </c>
      <c r="E3476" s="1">
        <v>0</v>
      </c>
      <c r="F3476" s="1">
        <v>0</v>
      </c>
      <c r="G3476" s="1">
        <v>8</v>
      </c>
      <c r="H3476" s="4">
        <v>0.75</v>
      </c>
      <c r="I3476" s="1">
        <v>7</v>
      </c>
      <c r="J3476" s="4">
        <v>0.56999999999999995</v>
      </c>
      <c r="K3476" s="1">
        <v>0</v>
      </c>
      <c r="L3476" s="1">
        <v>8</v>
      </c>
      <c r="M3476" s="32">
        <f>IF(Mecze[[#This Row],[PR]]=0,0,Mecze[[#This Row],[PR]]/Mecze[[#This Row],[CZAS]])</f>
        <v>8.0808080808080815E-2</v>
      </c>
      <c r="N3476" s="32">
        <f>IF(Mecze[[#This Row],[OU]]=0,0,Mecze[[#This Row],[OU]]/Mecze[[#This Row],[CZAS]])</f>
        <v>4.0404040404040407E-2</v>
      </c>
      <c r="O3476" s="32">
        <f>IF(Mecze[[#This Row],[PC]]=0,0,Mecze[[#This Row],[PC]]/Mecze[[#This Row],[CZAS]])</f>
        <v>6.0606060606060608E-2</v>
      </c>
      <c r="P3476" s="32">
        <f>IF(Mecze[[#This Row],[SC]]=0,0,Mecze[[#This Row],[SC]]/Mecze[[#This Row],[CZAS]])</f>
        <v>0</v>
      </c>
      <c r="Q3476" s="32">
        <f>IF(Mecze[[#This Row],[OB]]=0,0,Mecze[[#This Row],[OB]]/Mecze[[#This Row],[CZAS]])</f>
        <v>0</v>
      </c>
      <c r="R3476" s="32">
        <f>IF(Mecze[[#This Row],[BR]]=0,0,Mecze[[#This Row],[BR]]/Mecze[[#This Row],[CZAS]])</f>
        <v>0</v>
      </c>
      <c r="S3476" s="44">
        <f>IF(Mecze[[#This Row],[Role]]="BR",SUMPRODUCT(Mecze[[#This Row],[/PR:90]:[/BR:90]],Brudnopis!$E$23:$J$23),0)</f>
        <v>0</v>
      </c>
      <c r="T3476" s="44">
        <f>IF(Mecze[[#This Row],[Role]]&lt;&gt;"BR",SUMPRODUCT(Mecze[[#This Row],[/PR:90]:[/BR:90]],Brudnopis!$E$24:$J$24),0)</f>
        <v>0.20202020202020204</v>
      </c>
      <c r="U3476" s="44">
        <f>IF(Mecze[[#This Row],[Role]]&lt;&gt;"BR",SUMPRODUCT(Mecze[[#This Row],[/PR:90]:[/BR:90]],Brudnopis!$E$25:$J$25),0)</f>
        <v>0.21212121212121213</v>
      </c>
      <c r="V3476" s="44">
        <f>IF(Mecze[[#This Row],[Role]]&lt;&gt;"BR",SUMPRODUCT(Mecze[[#This Row],[/PR:90]:[/BR:90]],Brudnopis!$E$26:$J$26),0)</f>
        <v>0.18181818181818182</v>
      </c>
      <c r="W3476" s="44">
        <f>IF(Mecze[[#This Row],[Role]]&lt;&gt;"BR",SUMPRODUCT(Mecze[[#This Row],[/PR:90]:[/BR:90]],Brudnopis!$E$27:$J$27),0)</f>
        <v>0.18181818181818182</v>
      </c>
      <c r="X3476" s="44">
        <f>IF(Mecze[[#This Row],[Role]]&lt;&gt;"BR",SUMPRODUCT(Mecze[[#This Row],[/PR:90]:[/BR:90]],Brudnopis!$E$28:$J$28),0)</f>
        <v>6.0606060606060608E-2</v>
      </c>
      <c r="Y3476" s="35">
        <f>IF(Mecze[[#This Row],[Role]]="BR",Mecze[[#This Row],[/OB:90]]+Mecze[[#This Row],[/PC:90]],SUM(Mecze[[#This Row],[/PR:90]:[/BR:90]]))</f>
        <v>0.18181818181818182</v>
      </c>
      <c r="Z3476" s="35">
        <f>IF(Mecze[[#This Row],[KC]]=0,SUM(Mecze[[#This Row],[/BRI]:[/NPI]]),SUM(Mecze[[#This Row],[/BRI]:[/NPI]])*0.6)</f>
        <v>0.83838383838383845</v>
      </c>
      <c r="AA3476" s="10">
        <f>IFERROR(Mecze[[#This Row],[BR]]/Mecze[[#This Row],[ST]],0)</f>
        <v>0</v>
      </c>
      <c r="AB3476">
        <f>ROUND(Mecze[[#This Row],[PD]]*Mecze[[#This Row],[%PC]],0)</f>
        <v>6</v>
      </c>
      <c r="AC3476">
        <f>ROUND(Mecze[[#This Row],[OD]]*Mecze[[#This Row],[%OU]],0)</f>
        <v>4</v>
      </c>
      <c r="AD3476" s="36" t="s">
        <v>47</v>
      </c>
      <c r="AE3476" s="36">
        <v>195</v>
      </c>
      <c r="AF3476" s="71">
        <v>4.3899999999999997</v>
      </c>
      <c r="AG3476" s="37">
        <v>1</v>
      </c>
      <c r="AH3476" s="37">
        <v>0</v>
      </c>
      <c r="AI3476" s="37">
        <v>99</v>
      </c>
      <c r="AJ3476" s="37">
        <v>10</v>
      </c>
      <c r="AK3476" s="37" t="str">
        <f>VLOOKUP(Mecze[[#This Row],[Match ID]],Meczusie[Mecz]:Meczusie[RodzajMeczu],2,FALSE)</f>
        <v>Liga</v>
      </c>
    </row>
    <row r="3477" spans="1:37" x14ac:dyDescent="0.25">
      <c r="A3477" s="76">
        <v>4</v>
      </c>
      <c r="B3477" s="3" t="s">
        <v>238</v>
      </c>
      <c r="C3477" s="2" t="s">
        <v>157</v>
      </c>
      <c r="D3477" s="1">
        <v>0</v>
      </c>
      <c r="E3477" s="1">
        <v>0</v>
      </c>
      <c r="F3477" s="1">
        <v>0</v>
      </c>
      <c r="G3477" s="1">
        <v>13</v>
      </c>
      <c r="H3477" s="4">
        <v>0.31</v>
      </c>
      <c r="I3477" s="1">
        <v>2</v>
      </c>
      <c r="J3477" s="4">
        <v>0.5</v>
      </c>
      <c r="K3477" s="1">
        <v>0</v>
      </c>
      <c r="L3477" s="1">
        <v>12</v>
      </c>
      <c r="M3477" s="32">
        <f>IF(Mecze[[#This Row],[PR]]=0,0,Mecze[[#This Row],[PR]]/Mecze[[#This Row],[CZAS]])</f>
        <v>0.12121212121212122</v>
      </c>
      <c r="N3477" s="32">
        <f>IF(Mecze[[#This Row],[OU]]=0,0,Mecze[[#This Row],[OU]]/Mecze[[#This Row],[CZAS]])</f>
        <v>1.0101010101010102E-2</v>
      </c>
      <c r="O3477" s="32">
        <f>IF(Mecze[[#This Row],[PC]]=0,0,Mecze[[#This Row],[PC]]/Mecze[[#This Row],[CZAS]])</f>
        <v>4.0404040404040407E-2</v>
      </c>
      <c r="P3477" s="32">
        <f>IF(Mecze[[#This Row],[SC]]=0,0,Mecze[[#This Row],[SC]]/Mecze[[#This Row],[CZAS]])</f>
        <v>0</v>
      </c>
      <c r="Q3477" s="32">
        <f>IF(Mecze[[#This Row],[OB]]=0,0,Mecze[[#This Row],[OB]]/Mecze[[#This Row],[CZAS]])</f>
        <v>0</v>
      </c>
      <c r="R3477" s="32">
        <f>IF(Mecze[[#This Row],[BR]]=0,0,Mecze[[#This Row],[BR]]/Mecze[[#This Row],[CZAS]])</f>
        <v>0</v>
      </c>
      <c r="S3477" s="44">
        <f>IF(Mecze[[#This Row],[Role]]="BR",SUMPRODUCT(Mecze[[#This Row],[/PR:90]:[/BR:90]],Brudnopis!$E$23:$J$23),0)</f>
        <v>0</v>
      </c>
      <c r="T3477" s="44">
        <f>IF(Mecze[[#This Row],[Role]]&lt;&gt;"BR",SUMPRODUCT(Mecze[[#This Row],[/PR:90]:[/BR:90]],Brudnopis!$E$24:$J$24),0)</f>
        <v>0.17676767676767677</v>
      </c>
      <c r="U3477" s="44">
        <f>IF(Mecze[[#This Row],[Role]]&lt;&gt;"BR",SUMPRODUCT(Mecze[[#This Row],[/PR:90]:[/BR:90]],Brudnopis!$E$25:$J$25),0)</f>
        <v>0.19191919191919193</v>
      </c>
      <c r="V3477" s="44">
        <f>IF(Mecze[[#This Row],[Role]]&lt;&gt;"BR",SUMPRODUCT(Mecze[[#This Row],[/PR:90]:[/BR:90]],Brudnopis!$E$26:$J$26),0)</f>
        <v>0.17171717171717174</v>
      </c>
      <c r="W3477" s="44">
        <f>IF(Mecze[[#This Row],[Role]]&lt;&gt;"BR",SUMPRODUCT(Mecze[[#This Row],[/PR:90]:[/BR:90]],Brudnopis!$E$27:$J$27),0)</f>
        <v>0.15909090909090909</v>
      </c>
      <c r="X3477" s="44">
        <f>IF(Mecze[[#This Row],[Role]]&lt;&gt;"BR",SUMPRODUCT(Mecze[[#This Row],[/PR:90]:[/BR:90]],Brudnopis!$E$28:$J$28),0)</f>
        <v>4.0404040404040407E-2</v>
      </c>
      <c r="Y3477" s="35">
        <f>IF(Mecze[[#This Row],[Role]]="BR",Mecze[[#This Row],[/OB:90]]+Mecze[[#This Row],[/PC:90]],SUM(Mecze[[#This Row],[/PR:90]:[/BR:90]]))</f>
        <v>0.17171717171717174</v>
      </c>
      <c r="Z3477" s="35">
        <f>IF(Mecze[[#This Row],[KC]]=0,SUM(Mecze[[#This Row],[/BRI]:[/NPI]]),SUM(Mecze[[#This Row],[/BRI]:[/NPI]])*0.6)</f>
        <v>0.73989898989898994</v>
      </c>
      <c r="AA3477" s="10">
        <f>IFERROR(Mecze[[#This Row],[BR]]/Mecze[[#This Row],[ST]],0)</f>
        <v>0</v>
      </c>
      <c r="AB3477">
        <f>ROUND(Mecze[[#This Row],[PD]]*Mecze[[#This Row],[%PC]],0)</f>
        <v>4</v>
      </c>
      <c r="AC3477">
        <f>ROUND(Mecze[[#This Row],[OD]]*Mecze[[#This Row],[%OU]],0)</f>
        <v>1</v>
      </c>
      <c r="AD3477" s="36" t="s">
        <v>47</v>
      </c>
      <c r="AE3477" s="36">
        <v>195</v>
      </c>
      <c r="AF3477" s="71">
        <v>5.22</v>
      </c>
      <c r="AG3477" s="37">
        <v>0</v>
      </c>
      <c r="AH3477" s="37">
        <v>0</v>
      </c>
      <c r="AI3477" s="37">
        <v>99</v>
      </c>
      <c r="AJ3477" s="37">
        <v>10</v>
      </c>
      <c r="AK3477" s="37" t="str">
        <f>VLOOKUP(Mecze[[#This Row],[Match ID]],Meczusie[Mecz]:Meczusie[RodzajMeczu],2,FALSE)</f>
        <v>Liga</v>
      </c>
    </row>
    <row r="3478" spans="1:37" x14ac:dyDescent="0.25">
      <c r="A3478" s="76">
        <v>12</v>
      </c>
      <c r="B3478" s="3" t="s">
        <v>239</v>
      </c>
      <c r="C3478" s="2" t="s">
        <v>157</v>
      </c>
      <c r="D3478" s="1">
        <v>0</v>
      </c>
      <c r="E3478" s="1">
        <v>0</v>
      </c>
      <c r="F3478" s="1">
        <v>0</v>
      </c>
      <c r="G3478" s="1">
        <v>3</v>
      </c>
      <c r="H3478" s="4">
        <v>0.33</v>
      </c>
      <c r="I3478" s="1">
        <v>1</v>
      </c>
      <c r="J3478" s="4">
        <v>0</v>
      </c>
      <c r="K3478" s="1">
        <v>0</v>
      </c>
      <c r="L3478" s="1">
        <v>1</v>
      </c>
      <c r="M3478" s="32">
        <f>IF(Mecze[[#This Row],[PR]]=0,0,Mecze[[#This Row],[PR]]/Mecze[[#This Row],[CZAS]])</f>
        <v>1.0101010101010102E-2</v>
      </c>
      <c r="N3478" s="32">
        <f>IF(Mecze[[#This Row],[OU]]=0,0,Mecze[[#This Row],[OU]]/Mecze[[#This Row],[CZAS]])</f>
        <v>0</v>
      </c>
      <c r="O3478" s="32">
        <f>IF(Mecze[[#This Row],[PC]]=0,0,Mecze[[#This Row],[PC]]/Mecze[[#This Row],[CZAS]])</f>
        <v>1.0101010101010102E-2</v>
      </c>
      <c r="P3478" s="32">
        <f>IF(Mecze[[#This Row],[SC]]=0,0,Mecze[[#This Row],[SC]]/Mecze[[#This Row],[CZAS]])</f>
        <v>0</v>
      </c>
      <c r="Q3478" s="32">
        <f>IF(Mecze[[#This Row],[OB]]=0,0,Mecze[[#This Row],[OB]]/Mecze[[#This Row],[CZAS]])</f>
        <v>0</v>
      </c>
      <c r="R3478" s="32">
        <f>IF(Mecze[[#This Row],[BR]]=0,0,Mecze[[#This Row],[BR]]/Mecze[[#This Row],[CZAS]])</f>
        <v>0</v>
      </c>
      <c r="S3478" s="44">
        <f>IF(Mecze[[#This Row],[Role]]="BR",SUMPRODUCT(Mecze[[#This Row],[/PR:90]:[/BR:90]],Brudnopis!$E$23:$J$23),0)</f>
        <v>0</v>
      </c>
      <c r="T3478" s="44">
        <f>IF(Mecze[[#This Row],[Role]]&lt;&gt;"BR",SUMPRODUCT(Mecze[[#This Row],[/PR:90]:[/BR:90]],Brudnopis!$E$24:$J$24),0)</f>
        <v>2.0202020202020204E-2</v>
      </c>
      <c r="U3478" s="44">
        <f>IF(Mecze[[#This Row],[Role]]&lt;&gt;"BR",SUMPRODUCT(Mecze[[#This Row],[/PR:90]:[/BR:90]],Brudnopis!$E$25:$J$25),0)</f>
        <v>2.5252525252525256E-2</v>
      </c>
      <c r="V3478" s="44">
        <f>IF(Mecze[[#This Row],[Role]]&lt;&gt;"BR",SUMPRODUCT(Mecze[[#This Row],[/PR:90]:[/BR:90]],Brudnopis!$E$26:$J$26),0)</f>
        <v>2.0202020202020204E-2</v>
      </c>
      <c r="W3478" s="44">
        <f>IF(Mecze[[#This Row],[Role]]&lt;&gt;"BR",SUMPRODUCT(Mecze[[#This Row],[/PR:90]:[/BR:90]],Brudnopis!$E$27:$J$27),0)</f>
        <v>2.2727272727272728E-2</v>
      </c>
      <c r="X3478" s="44">
        <f>IF(Mecze[[#This Row],[Role]]&lt;&gt;"BR",SUMPRODUCT(Mecze[[#This Row],[/PR:90]:[/BR:90]],Brudnopis!$E$28:$J$28),0)</f>
        <v>1.0101010101010102E-2</v>
      </c>
      <c r="Y3478" s="35">
        <f>IF(Mecze[[#This Row],[Role]]="BR",Mecze[[#This Row],[/OB:90]]+Mecze[[#This Row],[/PC:90]],SUM(Mecze[[#This Row],[/PR:90]:[/BR:90]]))</f>
        <v>2.0202020202020204E-2</v>
      </c>
      <c r="Z3478" s="35">
        <f>IF(Mecze[[#This Row],[KC]]=0,SUM(Mecze[[#This Row],[/BRI]:[/NPI]]),SUM(Mecze[[#This Row],[/BRI]:[/NPI]])*0.6)</f>
        <v>9.8484848484848495E-2</v>
      </c>
      <c r="AA3478" s="10">
        <f>IFERROR(Mecze[[#This Row],[BR]]/Mecze[[#This Row],[ST]],0)</f>
        <v>0</v>
      </c>
      <c r="AB3478">
        <f>ROUND(Mecze[[#This Row],[PD]]*Mecze[[#This Row],[%PC]],0)</f>
        <v>1</v>
      </c>
      <c r="AC3478">
        <f>ROUND(Mecze[[#This Row],[OD]]*Mecze[[#This Row],[%OU]],0)</f>
        <v>0</v>
      </c>
      <c r="AD3478" s="36" t="s">
        <v>175</v>
      </c>
      <c r="AE3478" s="36">
        <v>195</v>
      </c>
      <c r="AF3478" s="71">
        <v>2.91</v>
      </c>
      <c r="AG3478" s="37">
        <v>0</v>
      </c>
      <c r="AH3478" s="37">
        <v>0</v>
      </c>
      <c r="AI3478" s="37">
        <v>99</v>
      </c>
      <c r="AJ3478" s="37">
        <v>10</v>
      </c>
      <c r="AK3478" s="37" t="str">
        <f>VLOOKUP(Mecze[[#This Row],[Match ID]],Meczusie[Mecz]:Meczusie[RodzajMeczu],2,FALSE)</f>
        <v>Liga</v>
      </c>
    </row>
    <row r="3479" spans="1:37" x14ac:dyDescent="0.25">
      <c r="A3479" s="76">
        <v>2</v>
      </c>
      <c r="B3479" s="3" t="s">
        <v>240</v>
      </c>
      <c r="C3479" s="2" t="s">
        <v>157</v>
      </c>
      <c r="D3479" s="1">
        <v>0</v>
      </c>
      <c r="E3479" s="1">
        <v>1</v>
      </c>
      <c r="F3479" s="1">
        <v>0</v>
      </c>
      <c r="G3479" s="1">
        <v>7</v>
      </c>
      <c r="H3479" s="4">
        <v>0.56999999999999995</v>
      </c>
      <c r="I3479" s="1">
        <v>3</v>
      </c>
      <c r="J3479" s="4">
        <v>0.33</v>
      </c>
      <c r="K3479" s="1">
        <v>0</v>
      </c>
      <c r="L3479" s="1">
        <v>4</v>
      </c>
      <c r="M3479" s="32">
        <f>IF(Mecze[[#This Row],[PR]]=0,0,Mecze[[#This Row],[PR]]/Mecze[[#This Row],[CZAS]])</f>
        <v>4.0404040404040407E-2</v>
      </c>
      <c r="N3479" s="32">
        <f>IF(Mecze[[#This Row],[OU]]=0,0,Mecze[[#This Row],[OU]]/Mecze[[#This Row],[CZAS]])</f>
        <v>1.0101010101010102E-2</v>
      </c>
      <c r="O3479" s="32">
        <f>IF(Mecze[[#This Row],[PC]]=0,0,Mecze[[#This Row],[PC]]/Mecze[[#This Row],[CZAS]])</f>
        <v>4.0404040404040407E-2</v>
      </c>
      <c r="P3479" s="32">
        <f>IF(Mecze[[#This Row],[SC]]=0,0,Mecze[[#This Row],[SC]]/Mecze[[#This Row],[CZAS]])</f>
        <v>0</v>
      </c>
      <c r="Q3479" s="32">
        <f>IF(Mecze[[#This Row],[OB]]=0,0,Mecze[[#This Row],[OB]]/Mecze[[#This Row],[CZAS]])</f>
        <v>0</v>
      </c>
      <c r="R3479" s="32">
        <f>IF(Mecze[[#This Row],[BR]]=0,0,Mecze[[#This Row],[BR]]/Mecze[[#This Row],[CZAS]])</f>
        <v>0</v>
      </c>
      <c r="S3479" s="44">
        <f>IF(Mecze[[#This Row],[Role]]="BR",SUMPRODUCT(Mecze[[#This Row],[/PR:90]:[/BR:90]],Brudnopis!$E$23:$J$23),0)</f>
        <v>0</v>
      </c>
      <c r="T3479" s="44">
        <f>IF(Mecze[[#This Row],[Role]]&lt;&gt;"BR",SUMPRODUCT(Mecze[[#This Row],[/PR:90]:[/BR:90]],Brudnopis!$E$24:$J$24),0)</f>
        <v>9.5959595959595967E-2</v>
      </c>
      <c r="U3479" s="44">
        <f>IF(Mecze[[#This Row],[Role]]&lt;&gt;"BR",SUMPRODUCT(Mecze[[#This Row],[/PR:90]:[/BR:90]],Brudnopis!$E$25:$J$25),0)</f>
        <v>0.11111111111111112</v>
      </c>
      <c r="V3479" s="44">
        <f>IF(Mecze[[#This Row],[Role]]&lt;&gt;"BR",SUMPRODUCT(Mecze[[#This Row],[/PR:90]:[/BR:90]],Brudnopis!$E$26:$J$26),0)</f>
        <v>9.0909090909090912E-2</v>
      </c>
      <c r="W3479" s="44">
        <f>IF(Mecze[[#This Row],[Role]]&lt;&gt;"BR",SUMPRODUCT(Mecze[[#This Row],[/PR:90]:[/BR:90]],Brudnopis!$E$27:$J$27),0)</f>
        <v>9.8484848484848481E-2</v>
      </c>
      <c r="X3479" s="44">
        <f>IF(Mecze[[#This Row],[Role]]&lt;&gt;"BR",SUMPRODUCT(Mecze[[#This Row],[/PR:90]:[/BR:90]],Brudnopis!$E$28:$J$28),0)</f>
        <v>4.0404040404040407E-2</v>
      </c>
      <c r="Y3479" s="35">
        <f>IF(Mecze[[#This Row],[Role]]="BR",Mecze[[#This Row],[/OB:90]]+Mecze[[#This Row],[/PC:90]],SUM(Mecze[[#This Row],[/PR:90]:[/BR:90]]))</f>
        <v>9.0909090909090912E-2</v>
      </c>
      <c r="Z3479" s="35">
        <f>IF(Mecze[[#This Row],[KC]]=0,SUM(Mecze[[#This Row],[/BRI]:[/NPI]]),SUM(Mecze[[#This Row],[/BRI]:[/NPI]])*0.6)</f>
        <v>0.43686868686868691</v>
      </c>
      <c r="AA3479" s="10">
        <f>IFERROR(Mecze[[#This Row],[BR]]/Mecze[[#This Row],[ST]],0)</f>
        <v>0</v>
      </c>
      <c r="AB3479">
        <f>ROUND(Mecze[[#This Row],[PD]]*Mecze[[#This Row],[%PC]],0)</f>
        <v>4</v>
      </c>
      <c r="AC3479">
        <f>ROUND(Mecze[[#This Row],[OD]]*Mecze[[#This Row],[%OU]],0)</f>
        <v>1</v>
      </c>
      <c r="AD3479" s="36" t="s">
        <v>174</v>
      </c>
      <c r="AE3479" s="36">
        <v>195</v>
      </c>
      <c r="AF3479" s="71">
        <v>3.54</v>
      </c>
      <c r="AG3479" s="37">
        <v>0</v>
      </c>
      <c r="AH3479" s="37">
        <v>0</v>
      </c>
      <c r="AI3479" s="37">
        <v>99</v>
      </c>
      <c r="AJ3479" s="37">
        <v>10</v>
      </c>
      <c r="AK3479" s="37" t="str">
        <f>VLOOKUP(Mecze[[#This Row],[Match ID]],Meczusie[Mecz]:Meczusie[RodzajMeczu],2,FALSE)</f>
        <v>Liga</v>
      </c>
    </row>
    <row r="3480" spans="1:37" x14ac:dyDescent="0.25">
      <c r="A3480" s="76">
        <v>5</v>
      </c>
      <c r="B3480" s="3" t="s">
        <v>242</v>
      </c>
      <c r="C3480" s="2" t="s">
        <v>160</v>
      </c>
      <c r="D3480" s="1">
        <v>0</v>
      </c>
      <c r="E3480" s="1">
        <v>0</v>
      </c>
      <c r="F3480" s="1">
        <v>0</v>
      </c>
      <c r="G3480" s="1">
        <v>9</v>
      </c>
      <c r="H3480" s="4">
        <v>0.78</v>
      </c>
      <c r="I3480" s="1">
        <v>3</v>
      </c>
      <c r="J3480" s="4">
        <v>0.67</v>
      </c>
      <c r="K3480" s="1">
        <v>0</v>
      </c>
      <c r="L3480" s="1">
        <v>5</v>
      </c>
      <c r="M3480" s="32">
        <f>IF(Mecze[[#This Row],[PR]]=0,0,Mecze[[#This Row],[PR]]/Mecze[[#This Row],[CZAS]])</f>
        <v>5.0505050505050504E-2</v>
      </c>
      <c r="N3480" s="32">
        <f>IF(Mecze[[#This Row],[OU]]=0,0,Mecze[[#This Row],[OU]]/Mecze[[#This Row],[CZAS]])</f>
        <v>2.0202020202020204E-2</v>
      </c>
      <c r="O3480" s="32">
        <f>IF(Mecze[[#This Row],[PC]]=0,0,Mecze[[#This Row],[PC]]/Mecze[[#This Row],[CZAS]])</f>
        <v>7.0707070707070704E-2</v>
      </c>
      <c r="P3480" s="32">
        <f>IF(Mecze[[#This Row],[SC]]=0,0,Mecze[[#This Row],[SC]]/Mecze[[#This Row],[CZAS]])</f>
        <v>0</v>
      </c>
      <c r="Q3480" s="32">
        <f>IF(Mecze[[#This Row],[OB]]=0,0,Mecze[[#This Row],[OB]]/Mecze[[#This Row],[CZAS]])</f>
        <v>0</v>
      </c>
      <c r="R3480" s="32">
        <f>IF(Mecze[[#This Row],[BR]]=0,0,Mecze[[#This Row],[BR]]/Mecze[[#This Row],[CZAS]])</f>
        <v>0</v>
      </c>
      <c r="S3480" s="44">
        <f>IF(Mecze[[#This Row],[Role]]="BR",SUMPRODUCT(Mecze[[#This Row],[/PR:90]:[/BR:90]],Brudnopis!$E$23:$J$23),0)</f>
        <v>0</v>
      </c>
      <c r="T3480" s="44">
        <f>IF(Mecze[[#This Row],[Role]]&lt;&gt;"BR",SUMPRODUCT(Mecze[[#This Row],[/PR:90]:[/BR:90]],Brudnopis!$E$24:$J$24),0)</f>
        <v>0.15151515151515149</v>
      </c>
      <c r="U3480" s="44">
        <f>IF(Mecze[[#This Row],[Role]]&lt;&gt;"BR",SUMPRODUCT(Mecze[[#This Row],[/PR:90]:[/BR:90]],Brudnopis!$E$25:$J$25),0)</f>
        <v>0.17676767676767674</v>
      </c>
      <c r="V3480" s="44">
        <f>IF(Mecze[[#This Row],[Role]]&lt;&gt;"BR",SUMPRODUCT(Mecze[[#This Row],[/PR:90]:[/BR:90]],Brudnopis!$E$26:$J$26),0)</f>
        <v>0.14141414141414141</v>
      </c>
      <c r="W3480" s="44">
        <f>IF(Mecze[[#This Row],[Role]]&lt;&gt;"BR",SUMPRODUCT(Mecze[[#This Row],[/PR:90]:[/BR:90]],Brudnopis!$E$27:$J$27),0)</f>
        <v>0.15909090909090909</v>
      </c>
      <c r="X3480" s="44">
        <f>IF(Mecze[[#This Row],[Role]]&lt;&gt;"BR",SUMPRODUCT(Mecze[[#This Row],[/PR:90]:[/BR:90]],Brudnopis!$E$28:$J$28),0)</f>
        <v>7.0707070707070704E-2</v>
      </c>
      <c r="Y3480" s="35">
        <f>IF(Mecze[[#This Row],[Role]]="BR",Mecze[[#This Row],[/OB:90]]+Mecze[[#This Row],[/PC:90]],SUM(Mecze[[#This Row],[/PR:90]:[/BR:90]]))</f>
        <v>0.14141414141414141</v>
      </c>
      <c r="Z3480" s="35">
        <f>IF(Mecze[[#This Row],[KC]]=0,SUM(Mecze[[#This Row],[/BRI]:[/NPI]]),SUM(Mecze[[#This Row],[/BRI]:[/NPI]])*0.6)</f>
        <v>0.69949494949494939</v>
      </c>
      <c r="AA3480" s="10">
        <f>IFERROR(Mecze[[#This Row],[BR]]/Mecze[[#This Row],[ST]],0)</f>
        <v>0</v>
      </c>
      <c r="AB3480">
        <f>ROUND(Mecze[[#This Row],[PD]]*Mecze[[#This Row],[%PC]],0)</f>
        <v>7</v>
      </c>
      <c r="AC3480">
        <f>ROUND(Mecze[[#This Row],[OD]]*Mecze[[#This Row],[%OU]],0)</f>
        <v>2</v>
      </c>
      <c r="AD3480" s="36" t="s">
        <v>41</v>
      </c>
      <c r="AE3480" s="36">
        <v>195</v>
      </c>
      <c r="AF3480" s="71">
        <v>4.96</v>
      </c>
      <c r="AG3480" s="37">
        <v>0</v>
      </c>
      <c r="AH3480" s="37">
        <v>0</v>
      </c>
      <c r="AI3480" s="37">
        <v>99</v>
      </c>
      <c r="AJ3480" s="37">
        <v>10</v>
      </c>
      <c r="AK3480" s="37" t="str">
        <f>VLOOKUP(Mecze[[#This Row],[Match ID]],Meczusie[Mecz]:Meczusie[RodzajMeczu],2,FALSE)</f>
        <v>Liga</v>
      </c>
    </row>
    <row r="3481" spans="1:37" x14ac:dyDescent="0.25">
      <c r="A3481" s="76">
        <v>13</v>
      </c>
      <c r="B3481" s="3" t="s">
        <v>403</v>
      </c>
      <c r="C3481" s="2" t="s">
        <v>160</v>
      </c>
      <c r="D3481" s="1">
        <v>0</v>
      </c>
      <c r="E3481" s="1">
        <v>0</v>
      </c>
      <c r="F3481" s="1">
        <v>0</v>
      </c>
      <c r="G3481" s="1">
        <v>15</v>
      </c>
      <c r="H3481" s="4">
        <v>0.6</v>
      </c>
      <c r="I3481" s="1">
        <v>4</v>
      </c>
      <c r="J3481" s="4">
        <v>0.75</v>
      </c>
      <c r="K3481" s="1">
        <v>0</v>
      </c>
      <c r="L3481" s="1">
        <v>10</v>
      </c>
      <c r="M3481" s="32">
        <f>IF(Mecze[[#This Row],[PR]]=0,0,Mecze[[#This Row],[PR]]/Mecze[[#This Row],[CZAS]])</f>
        <v>0.10101010101010101</v>
      </c>
      <c r="N3481" s="32">
        <f>IF(Mecze[[#This Row],[OU]]=0,0,Mecze[[#This Row],[OU]]/Mecze[[#This Row],[CZAS]])</f>
        <v>3.0303030303030304E-2</v>
      </c>
      <c r="O3481" s="32">
        <f>IF(Mecze[[#This Row],[PC]]=0,0,Mecze[[#This Row],[PC]]/Mecze[[#This Row],[CZAS]])</f>
        <v>9.0909090909090912E-2</v>
      </c>
      <c r="P3481" s="32">
        <f>IF(Mecze[[#This Row],[SC]]=0,0,Mecze[[#This Row],[SC]]/Mecze[[#This Row],[CZAS]])</f>
        <v>0</v>
      </c>
      <c r="Q3481" s="32">
        <f>IF(Mecze[[#This Row],[OB]]=0,0,Mecze[[#This Row],[OB]]/Mecze[[#This Row],[CZAS]])</f>
        <v>0</v>
      </c>
      <c r="R3481" s="32">
        <f>IF(Mecze[[#This Row],[BR]]=0,0,Mecze[[#This Row],[BR]]/Mecze[[#This Row],[CZAS]])</f>
        <v>0</v>
      </c>
      <c r="S3481" s="44">
        <f>IF(Mecze[[#This Row],[Role]]="BR",SUMPRODUCT(Mecze[[#This Row],[/PR:90]:[/BR:90]],Brudnopis!$E$23:$J$23),0)</f>
        <v>0</v>
      </c>
      <c r="T3481" s="44">
        <f>IF(Mecze[[#This Row],[Role]]&lt;&gt;"BR",SUMPRODUCT(Mecze[[#This Row],[/PR:90]:[/BR:90]],Brudnopis!$E$24:$J$24),0)</f>
        <v>0.23737373737373738</v>
      </c>
      <c r="U3481" s="44">
        <f>IF(Mecze[[#This Row],[Role]]&lt;&gt;"BR",SUMPRODUCT(Mecze[[#This Row],[/PR:90]:[/BR:90]],Brudnopis!$E$25:$J$25),0)</f>
        <v>0.26767676767676768</v>
      </c>
      <c r="V3481" s="44">
        <f>IF(Mecze[[#This Row],[Role]]&lt;&gt;"BR",SUMPRODUCT(Mecze[[#This Row],[/PR:90]:[/BR:90]],Brudnopis!$E$26:$J$26),0)</f>
        <v>0.22222222222222224</v>
      </c>
      <c r="W3481" s="44">
        <f>IF(Mecze[[#This Row],[Role]]&lt;&gt;"BR",SUMPRODUCT(Mecze[[#This Row],[/PR:90]:[/BR:90]],Brudnopis!$E$27:$J$27),0)</f>
        <v>0.23484848484848483</v>
      </c>
      <c r="X3481" s="44">
        <f>IF(Mecze[[#This Row],[Role]]&lt;&gt;"BR",SUMPRODUCT(Mecze[[#This Row],[/PR:90]:[/BR:90]],Brudnopis!$E$28:$J$28),0)</f>
        <v>9.0909090909090912E-2</v>
      </c>
      <c r="Y3481" s="35">
        <f>IF(Mecze[[#This Row],[Role]]="BR",Mecze[[#This Row],[/OB:90]]+Mecze[[#This Row],[/PC:90]],SUM(Mecze[[#This Row],[/PR:90]:[/BR:90]]))</f>
        <v>0.22222222222222224</v>
      </c>
      <c r="Z3481" s="35">
        <f>IF(Mecze[[#This Row],[KC]]=0,SUM(Mecze[[#This Row],[/BRI]:[/NPI]]),SUM(Mecze[[#This Row],[/BRI]:[/NPI]])*0.6)</f>
        <v>1.053030303030303</v>
      </c>
      <c r="AA3481" s="10">
        <f>IFERROR(Mecze[[#This Row],[BR]]/Mecze[[#This Row],[ST]],0)</f>
        <v>0</v>
      </c>
      <c r="AB3481">
        <f>ROUND(Mecze[[#This Row],[PD]]*Mecze[[#This Row],[%PC]],0)</f>
        <v>9</v>
      </c>
      <c r="AC3481">
        <f>ROUND(Mecze[[#This Row],[OD]]*Mecze[[#This Row],[%OU]],0)</f>
        <v>3</v>
      </c>
      <c r="AD3481" s="36" t="s">
        <v>41</v>
      </c>
      <c r="AE3481" s="36">
        <v>195</v>
      </c>
      <c r="AF3481" s="71">
        <v>6.01</v>
      </c>
      <c r="AG3481" s="37">
        <v>0</v>
      </c>
      <c r="AH3481" s="37">
        <v>0</v>
      </c>
      <c r="AI3481" s="37">
        <v>99</v>
      </c>
      <c r="AJ3481" s="37">
        <v>10</v>
      </c>
      <c r="AK3481" s="37" t="str">
        <f>VLOOKUP(Mecze[[#This Row],[Match ID]],Meczusie[Mecz]:Meczusie[RodzajMeczu],2,FALSE)</f>
        <v>Liga</v>
      </c>
    </row>
    <row r="3482" spans="1:37" x14ac:dyDescent="0.25">
      <c r="A3482" s="76">
        <v>11</v>
      </c>
      <c r="B3482" s="3" t="s">
        <v>243</v>
      </c>
      <c r="C3482" s="2" t="s">
        <v>160</v>
      </c>
      <c r="D3482" s="1">
        <v>0</v>
      </c>
      <c r="E3482" s="1">
        <v>1</v>
      </c>
      <c r="F3482" s="1">
        <v>1</v>
      </c>
      <c r="G3482" s="1">
        <v>21</v>
      </c>
      <c r="H3482" s="4">
        <v>0.62</v>
      </c>
      <c r="I3482" s="1">
        <v>6</v>
      </c>
      <c r="J3482" s="4">
        <v>0.67</v>
      </c>
      <c r="K3482" s="1">
        <v>0</v>
      </c>
      <c r="L3482" s="1">
        <v>6</v>
      </c>
      <c r="M3482" s="32">
        <f>IF(Mecze[[#This Row],[PR]]=0,0,Mecze[[#This Row],[PR]]/Mecze[[#This Row],[CZAS]])</f>
        <v>6.0606060606060608E-2</v>
      </c>
      <c r="N3482" s="32">
        <f>IF(Mecze[[#This Row],[OU]]=0,0,Mecze[[#This Row],[OU]]/Mecze[[#This Row],[CZAS]])</f>
        <v>4.0404040404040407E-2</v>
      </c>
      <c r="O3482" s="32">
        <f>IF(Mecze[[#This Row],[PC]]=0,0,Mecze[[#This Row],[PC]]/Mecze[[#This Row],[CZAS]])</f>
        <v>0.13131313131313133</v>
      </c>
      <c r="P3482" s="32">
        <f>IF(Mecze[[#This Row],[SC]]=0,0,Mecze[[#This Row],[SC]]/Mecze[[#This Row],[CZAS]])</f>
        <v>1.0101010101010102E-2</v>
      </c>
      <c r="Q3482" s="32">
        <f>IF(Mecze[[#This Row],[OB]]=0,0,Mecze[[#This Row],[OB]]/Mecze[[#This Row],[CZAS]])</f>
        <v>0</v>
      </c>
      <c r="R3482" s="32">
        <f>IF(Mecze[[#This Row],[BR]]=0,0,Mecze[[#This Row],[BR]]/Mecze[[#This Row],[CZAS]])</f>
        <v>0</v>
      </c>
      <c r="S3482" s="44">
        <f>IF(Mecze[[#This Row],[Role]]="BR",SUMPRODUCT(Mecze[[#This Row],[/PR:90]:[/BR:90]],Brudnopis!$E$23:$J$23),0)</f>
        <v>0</v>
      </c>
      <c r="T3482" s="44">
        <f>IF(Mecze[[#This Row],[Role]]&lt;&gt;"BR",SUMPRODUCT(Mecze[[#This Row],[/PR:90]:[/BR:90]],Brudnopis!$E$24:$J$24),0)</f>
        <v>0.26262626262626265</v>
      </c>
      <c r="U3482" s="44">
        <f>IF(Mecze[[#This Row],[Role]]&lt;&gt;"BR",SUMPRODUCT(Mecze[[#This Row],[/PR:90]:[/BR:90]],Brudnopis!$E$25:$J$25),0)</f>
        <v>0.30808080808080812</v>
      </c>
      <c r="V3482" s="44">
        <f>IF(Mecze[[#This Row],[Role]]&lt;&gt;"BR",SUMPRODUCT(Mecze[[#This Row],[/PR:90]:[/BR:90]],Brudnopis!$E$26:$J$26),0)</f>
        <v>0.24242424242424246</v>
      </c>
      <c r="W3482" s="44">
        <f>IF(Mecze[[#This Row],[Role]]&lt;&gt;"BR",SUMPRODUCT(Mecze[[#This Row],[/PR:90]:[/BR:90]],Brudnopis!$E$27:$J$27),0)</f>
        <v>0.28282828282828287</v>
      </c>
      <c r="X3482" s="44">
        <f>IF(Mecze[[#This Row],[Role]]&lt;&gt;"BR",SUMPRODUCT(Mecze[[#This Row],[/PR:90]:[/BR:90]],Brudnopis!$E$28:$J$28),0)</f>
        <v>0.15151515151515152</v>
      </c>
      <c r="Y3482" s="35">
        <f>IF(Mecze[[#This Row],[Role]]="BR",Mecze[[#This Row],[/OB:90]]+Mecze[[#This Row],[/PC:90]],SUM(Mecze[[#This Row],[/PR:90]:[/BR:90]]))</f>
        <v>0.24242424242424246</v>
      </c>
      <c r="Z3482" s="35">
        <f>IF(Mecze[[#This Row],[KC]]=0,SUM(Mecze[[#This Row],[/BRI]:[/NPI]]),SUM(Mecze[[#This Row],[/BRI]:[/NPI]])*0.6)</f>
        <v>1.2474747474747476</v>
      </c>
      <c r="AA3482" s="10">
        <f>IFERROR(Mecze[[#This Row],[BR]]/Mecze[[#This Row],[ST]],0)</f>
        <v>0</v>
      </c>
      <c r="AB3482">
        <f>ROUND(Mecze[[#This Row],[PD]]*Mecze[[#This Row],[%PC]],0)</f>
        <v>13</v>
      </c>
      <c r="AC3482">
        <f>ROUND(Mecze[[#This Row],[OD]]*Mecze[[#This Row],[%OU]],0)</f>
        <v>4</v>
      </c>
      <c r="AD3482" s="36" t="s">
        <v>67</v>
      </c>
      <c r="AE3482" s="36">
        <v>195</v>
      </c>
      <c r="AF3482" s="71">
        <v>5.4</v>
      </c>
      <c r="AG3482" s="37">
        <v>0</v>
      </c>
      <c r="AH3482" s="37">
        <v>0</v>
      </c>
      <c r="AI3482" s="37">
        <v>99</v>
      </c>
      <c r="AJ3482" s="37">
        <v>10</v>
      </c>
      <c r="AK3482" s="37" t="str">
        <f>VLOOKUP(Mecze[[#This Row],[Match ID]],Meczusie[Mecz]:Meczusie[RodzajMeczu],2,FALSE)</f>
        <v>Liga</v>
      </c>
    </row>
    <row r="3483" spans="1:37" x14ac:dyDescent="0.25">
      <c r="A3483" s="76">
        <v>14</v>
      </c>
      <c r="B3483" s="3" t="s">
        <v>244</v>
      </c>
      <c r="C3483" s="2" t="s">
        <v>165</v>
      </c>
      <c r="D3483" s="1">
        <v>0</v>
      </c>
      <c r="E3483" s="1">
        <v>2</v>
      </c>
      <c r="F3483" s="1">
        <v>2</v>
      </c>
      <c r="G3483" s="1">
        <v>13</v>
      </c>
      <c r="H3483" s="4">
        <v>0.54</v>
      </c>
      <c r="I3483" s="1">
        <v>8</v>
      </c>
      <c r="J3483" s="4">
        <v>0.5</v>
      </c>
      <c r="K3483" s="1">
        <v>0</v>
      </c>
      <c r="L3483" s="1">
        <v>4</v>
      </c>
      <c r="M3483" s="32">
        <f>IF(Mecze[[#This Row],[PR]]=0,0,Mecze[[#This Row],[PR]]/Mecze[[#This Row],[CZAS]])</f>
        <v>4.0404040404040407E-2</v>
      </c>
      <c r="N3483" s="32">
        <f>IF(Mecze[[#This Row],[OU]]=0,0,Mecze[[#This Row],[OU]]/Mecze[[#This Row],[CZAS]])</f>
        <v>4.0404040404040407E-2</v>
      </c>
      <c r="O3483" s="32">
        <f>IF(Mecze[[#This Row],[PC]]=0,0,Mecze[[#This Row],[PC]]/Mecze[[#This Row],[CZAS]])</f>
        <v>7.0707070707070704E-2</v>
      </c>
      <c r="P3483" s="32">
        <f>IF(Mecze[[#This Row],[SC]]=0,0,Mecze[[#This Row],[SC]]/Mecze[[#This Row],[CZAS]])</f>
        <v>2.0202020202020204E-2</v>
      </c>
      <c r="Q3483" s="32">
        <f>IF(Mecze[[#This Row],[OB]]=0,0,Mecze[[#This Row],[OB]]/Mecze[[#This Row],[CZAS]])</f>
        <v>0</v>
      </c>
      <c r="R3483" s="32">
        <f>IF(Mecze[[#This Row],[BR]]=0,0,Mecze[[#This Row],[BR]]/Mecze[[#This Row],[CZAS]])</f>
        <v>0</v>
      </c>
      <c r="S3483" s="44">
        <f>IF(Mecze[[#This Row],[Role]]="BR",SUMPRODUCT(Mecze[[#This Row],[/PR:90]:[/BR:90]],Brudnopis!$E$23:$J$23),0)</f>
        <v>0</v>
      </c>
      <c r="T3483" s="44">
        <f>IF(Mecze[[#This Row],[Role]]&lt;&gt;"BR",SUMPRODUCT(Mecze[[#This Row],[/PR:90]:[/BR:90]],Brudnopis!$E$24:$J$24),0)</f>
        <v>0.19191919191919191</v>
      </c>
      <c r="U3483" s="44">
        <f>IF(Mecze[[#This Row],[Role]]&lt;&gt;"BR",SUMPRODUCT(Mecze[[#This Row],[/PR:90]:[/BR:90]],Brudnopis!$E$25:$J$25),0)</f>
        <v>0.20707070707070704</v>
      </c>
      <c r="V3483" s="44">
        <f>IF(Mecze[[#This Row],[Role]]&lt;&gt;"BR",SUMPRODUCT(Mecze[[#This Row],[/PR:90]:[/BR:90]],Brudnopis!$E$26:$J$26),0)</f>
        <v>0.17171717171717171</v>
      </c>
      <c r="W3483" s="44">
        <f>IF(Mecze[[#This Row],[Role]]&lt;&gt;"BR",SUMPRODUCT(Mecze[[#This Row],[/PR:90]:[/BR:90]],Brudnopis!$E$27:$J$27),0)</f>
        <v>0.18686868686868685</v>
      </c>
      <c r="X3483" s="44">
        <f>IF(Mecze[[#This Row],[Role]]&lt;&gt;"BR",SUMPRODUCT(Mecze[[#This Row],[/PR:90]:[/BR:90]],Brudnopis!$E$28:$J$28),0)</f>
        <v>0.1111111111111111</v>
      </c>
      <c r="Y3483" s="35">
        <f>IF(Mecze[[#This Row],[Role]]="BR",Mecze[[#This Row],[/OB:90]]+Mecze[[#This Row],[/PC:90]],SUM(Mecze[[#This Row],[/PR:90]:[/BR:90]]))</f>
        <v>0.17171717171717171</v>
      </c>
      <c r="Z3483" s="35">
        <f>IF(Mecze[[#This Row],[KC]]=0,SUM(Mecze[[#This Row],[/BRI]:[/NPI]]),SUM(Mecze[[#This Row],[/BRI]:[/NPI]])*0.6)</f>
        <v>0.86868686868686873</v>
      </c>
      <c r="AA3483" s="10">
        <f>IFERROR(Mecze[[#This Row],[BR]]/Mecze[[#This Row],[ST]],0)</f>
        <v>0</v>
      </c>
      <c r="AB3483">
        <f>ROUND(Mecze[[#This Row],[PD]]*Mecze[[#This Row],[%PC]],0)</f>
        <v>7</v>
      </c>
      <c r="AC3483">
        <f>ROUND(Mecze[[#This Row],[OD]]*Mecze[[#This Row],[%OU]],0)</f>
        <v>4</v>
      </c>
      <c r="AD3483" s="36" t="s">
        <v>46</v>
      </c>
      <c r="AE3483" s="36">
        <v>195</v>
      </c>
      <c r="AF3483" s="71">
        <v>3.37</v>
      </c>
      <c r="AG3483" s="37">
        <v>1</v>
      </c>
      <c r="AH3483" s="37">
        <v>0</v>
      </c>
      <c r="AI3483" s="37">
        <v>99</v>
      </c>
      <c r="AJ3483" s="37">
        <v>10</v>
      </c>
      <c r="AK3483" s="37" t="str">
        <f>VLOOKUP(Mecze[[#This Row],[Match ID]],Meczusie[Mecz]:Meczusie[RodzajMeczu],2,FALSE)</f>
        <v>Liga</v>
      </c>
    </row>
    <row r="3484" spans="1:37" x14ac:dyDescent="0.25">
      <c r="A3484" s="76">
        <v>9</v>
      </c>
      <c r="B3484" s="3" t="s">
        <v>451</v>
      </c>
      <c r="C3484" s="2" t="s">
        <v>165</v>
      </c>
      <c r="D3484" s="1">
        <v>0</v>
      </c>
      <c r="E3484" s="1">
        <v>2</v>
      </c>
      <c r="F3484" s="1">
        <v>2</v>
      </c>
      <c r="G3484" s="1">
        <v>11</v>
      </c>
      <c r="H3484" s="4">
        <v>0.55000000000000004</v>
      </c>
      <c r="I3484" s="1">
        <v>3</v>
      </c>
      <c r="J3484" s="4">
        <v>0</v>
      </c>
      <c r="K3484" s="1">
        <v>0</v>
      </c>
      <c r="L3484" s="1">
        <v>1</v>
      </c>
      <c r="M3484" s="32">
        <f>IF(Mecze[[#This Row],[PR]]=0,0,Mecze[[#This Row],[PR]]/Mecze[[#This Row],[CZAS]])</f>
        <v>1.0101010101010102E-2</v>
      </c>
      <c r="N3484" s="32">
        <f>IF(Mecze[[#This Row],[OU]]=0,0,Mecze[[#This Row],[OU]]/Mecze[[#This Row],[CZAS]])</f>
        <v>0</v>
      </c>
      <c r="O3484" s="32">
        <f>IF(Mecze[[#This Row],[PC]]=0,0,Mecze[[#This Row],[PC]]/Mecze[[#This Row],[CZAS]])</f>
        <v>6.0606060606060608E-2</v>
      </c>
      <c r="P3484" s="32">
        <f>IF(Mecze[[#This Row],[SC]]=0,0,Mecze[[#This Row],[SC]]/Mecze[[#This Row],[CZAS]])</f>
        <v>2.0202020202020204E-2</v>
      </c>
      <c r="Q3484" s="32">
        <f>IF(Mecze[[#This Row],[OB]]=0,0,Mecze[[#This Row],[OB]]/Mecze[[#This Row],[CZAS]])</f>
        <v>0</v>
      </c>
      <c r="R3484" s="32">
        <f>IF(Mecze[[#This Row],[BR]]=0,0,Mecze[[#This Row],[BR]]/Mecze[[#This Row],[CZAS]])</f>
        <v>0</v>
      </c>
      <c r="S3484" s="44">
        <f>IF(Mecze[[#This Row],[Role]]="BR",SUMPRODUCT(Mecze[[#This Row],[/PR:90]:[/BR:90]],Brudnopis!$E$23:$J$23),0)</f>
        <v>0</v>
      </c>
      <c r="T3484" s="44">
        <f>IF(Mecze[[#This Row],[Role]]&lt;&gt;"BR",SUMPRODUCT(Mecze[[#This Row],[/PR:90]:[/BR:90]],Brudnopis!$E$24:$J$24),0)</f>
        <v>9.0909090909090912E-2</v>
      </c>
      <c r="U3484" s="44">
        <f>IF(Mecze[[#This Row],[Role]]&lt;&gt;"BR",SUMPRODUCT(Mecze[[#This Row],[/PR:90]:[/BR:90]],Brudnopis!$E$25:$J$25),0)</f>
        <v>0.12121212121212122</v>
      </c>
      <c r="V3484" s="44">
        <f>IF(Mecze[[#This Row],[Role]]&lt;&gt;"BR",SUMPRODUCT(Mecze[[#This Row],[/PR:90]:[/BR:90]],Brudnopis!$E$26:$J$26),0)</f>
        <v>9.0909090909090912E-2</v>
      </c>
      <c r="W3484" s="44">
        <f>IF(Mecze[[#This Row],[Role]]&lt;&gt;"BR",SUMPRODUCT(Mecze[[#This Row],[/PR:90]:[/BR:90]],Brudnopis!$E$27:$J$27),0)</f>
        <v>0.11868686868686869</v>
      </c>
      <c r="X3484" s="44">
        <f>IF(Mecze[[#This Row],[Role]]&lt;&gt;"BR",SUMPRODUCT(Mecze[[#This Row],[/PR:90]:[/BR:90]],Brudnopis!$E$28:$J$28),0)</f>
        <v>0.10101010101010102</v>
      </c>
      <c r="Y3484" s="35">
        <f>IF(Mecze[[#This Row],[Role]]="BR",Mecze[[#This Row],[/OB:90]]+Mecze[[#This Row],[/PC:90]],SUM(Mecze[[#This Row],[/PR:90]:[/BR:90]]))</f>
        <v>9.0909090909090912E-2</v>
      </c>
      <c r="Z3484" s="35">
        <f>IF(Mecze[[#This Row],[KC]]=0,SUM(Mecze[[#This Row],[/BRI]:[/NPI]]),SUM(Mecze[[#This Row],[/BRI]:[/NPI]])*0.6)</f>
        <v>0.52272727272727271</v>
      </c>
      <c r="AA3484" s="10">
        <f>IFERROR(Mecze[[#This Row],[BR]]/Mecze[[#This Row],[ST]],0)</f>
        <v>0</v>
      </c>
      <c r="AB3484">
        <f>ROUND(Mecze[[#This Row],[PD]]*Mecze[[#This Row],[%PC]],0)</f>
        <v>6</v>
      </c>
      <c r="AC3484">
        <f>ROUND(Mecze[[#This Row],[OD]]*Mecze[[#This Row],[%OU]],0)</f>
        <v>0</v>
      </c>
      <c r="AD3484" s="36" t="s">
        <v>46</v>
      </c>
      <c r="AE3484" s="36">
        <v>195</v>
      </c>
      <c r="AF3484" s="71">
        <v>4.4800000000000004</v>
      </c>
      <c r="AG3484" s="37">
        <v>0</v>
      </c>
      <c r="AH3484" s="37">
        <v>0</v>
      </c>
      <c r="AI3484" s="37">
        <v>99</v>
      </c>
      <c r="AJ3484" s="37">
        <v>10</v>
      </c>
      <c r="AK3484" s="37" t="str">
        <f>VLOOKUP(Mecze[[#This Row],[Match ID]],Meczusie[Mecz]:Meczusie[RodzajMeczu],2,FALSE)</f>
        <v>Liga</v>
      </c>
    </row>
    <row r="3485" spans="1:37" x14ac:dyDescent="0.25">
      <c r="A3485" s="76">
        <v>10</v>
      </c>
      <c r="B3485" s="3" t="s">
        <v>246</v>
      </c>
      <c r="C3485" s="2" t="s">
        <v>165</v>
      </c>
      <c r="D3485" s="1">
        <v>0</v>
      </c>
      <c r="E3485" s="1">
        <v>6</v>
      </c>
      <c r="F3485" s="1">
        <v>6</v>
      </c>
      <c r="G3485" s="1">
        <v>10</v>
      </c>
      <c r="H3485" s="4">
        <v>0.5</v>
      </c>
      <c r="I3485" s="1">
        <v>9</v>
      </c>
      <c r="J3485" s="4">
        <v>0.33</v>
      </c>
      <c r="K3485" s="1">
        <v>0</v>
      </c>
      <c r="L3485" s="1">
        <v>1</v>
      </c>
      <c r="M3485" s="32">
        <f>IF(Mecze[[#This Row],[PR]]=0,0,Mecze[[#This Row],[PR]]/Mecze[[#This Row],[CZAS]])</f>
        <v>1.0101010101010102E-2</v>
      </c>
      <c r="N3485" s="32">
        <f>IF(Mecze[[#This Row],[OU]]=0,0,Mecze[[#This Row],[OU]]/Mecze[[#This Row],[CZAS]])</f>
        <v>3.0303030303030304E-2</v>
      </c>
      <c r="O3485" s="32">
        <f>IF(Mecze[[#This Row],[PC]]=0,0,Mecze[[#This Row],[PC]]/Mecze[[#This Row],[CZAS]])</f>
        <v>5.0505050505050504E-2</v>
      </c>
      <c r="P3485" s="32">
        <f>IF(Mecze[[#This Row],[SC]]=0,0,Mecze[[#This Row],[SC]]/Mecze[[#This Row],[CZAS]])</f>
        <v>6.0606060606060608E-2</v>
      </c>
      <c r="Q3485" s="32">
        <f>IF(Mecze[[#This Row],[OB]]=0,0,Mecze[[#This Row],[OB]]/Mecze[[#This Row],[CZAS]])</f>
        <v>0</v>
      </c>
      <c r="R3485" s="32">
        <f>IF(Mecze[[#This Row],[BR]]=0,0,Mecze[[#This Row],[BR]]/Mecze[[#This Row],[CZAS]])</f>
        <v>0</v>
      </c>
      <c r="S3485" s="44">
        <f>IF(Mecze[[#This Row],[Role]]="BR",SUMPRODUCT(Mecze[[#This Row],[/PR:90]:[/BR:90]],Brudnopis!$E$23:$J$23),0)</f>
        <v>0</v>
      </c>
      <c r="T3485" s="44">
        <f>IF(Mecze[[#This Row],[Role]]&lt;&gt;"BR",SUMPRODUCT(Mecze[[#This Row],[/PR:90]:[/BR:90]],Brudnopis!$E$24:$J$24),0)</f>
        <v>0.16666666666666669</v>
      </c>
      <c r="U3485" s="44">
        <f>IF(Mecze[[#This Row],[Role]]&lt;&gt;"BR",SUMPRODUCT(Mecze[[#This Row],[/PR:90]:[/BR:90]],Brudnopis!$E$25:$J$25),0)</f>
        <v>0.17676767676767677</v>
      </c>
      <c r="V3485" s="44">
        <f>IF(Mecze[[#This Row],[Role]]&lt;&gt;"BR",SUMPRODUCT(Mecze[[#This Row],[/PR:90]:[/BR:90]],Brudnopis!$E$26:$J$26),0)</f>
        <v>0.15151515151515152</v>
      </c>
      <c r="W3485" s="44">
        <f>IF(Mecze[[#This Row],[Role]]&lt;&gt;"BR",SUMPRODUCT(Mecze[[#This Row],[/PR:90]:[/BR:90]],Brudnopis!$E$27:$J$27),0)</f>
        <v>0.16666666666666669</v>
      </c>
      <c r="X3485" s="44">
        <f>IF(Mecze[[#This Row],[Role]]&lt;&gt;"BR",SUMPRODUCT(Mecze[[#This Row],[/PR:90]:[/BR:90]],Brudnopis!$E$28:$J$28),0)</f>
        <v>0.17171717171717171</v>
      </c>
      <c r="Y3485" s="35">
        <f>IF(Mecze[[#This Row],[Role]]="BR",Mecze[[#This Row],[/OB:90]]+Mecze[[#This Row],[/PC:90]],SUM(Mecze[[#This Row],[/PR:90]:[/BR:90]]))</f>
        <v>0.15151515151515152</v>
      </c>
      <c r="Z3485" s="35">
        <f>IF(Mecze[[#This Row],[KC]]=0,SUM(Mecze[[#This Row],[/BRI]:[/NPI]]),SUM(Mecze[[#This Row],[/BRI]:[/NPI]])*0.6)</f>
        <v>0.83333333333333326</v>
      </c>
      <c r="AA3485" s="10">
        <f>IFERROR(Mecze[[#This Row],[BR]]/Mecze[[#This Row],[ST]],0)</f>
        <v>0</v>
      </c>
      <c r="AB3485">
        <f>ROUND(Mecze[[#This Row],[PD]]*Mecze[[#This Row],[%PC]],0)</f>
        <v>5</v>
      </c>
      <c r="AC3485">
        <f>ROUND(Mecze[[#This Row],[OD]]*Mecze[[#This Row],[%OU]],0)</f>
        <v>3</v>
      </c>
      <c r="AD3485" s="36" t="s">
        <v>46</v>
      </c>
      <c r="AE3485" s="36">
        <v>195</v>
      </c>
      <c r="AF3485" s="71">
        <v>5.36</v>
      </c>
      <c r="AG3485" s="37">
        <v>0</v>
      </c>
      <c r="AH3485" s="37">
        <v>0</v>
      </c>
      <c r="AI3485" s="37">
        <v>99</v>
      </c>
      <c r="AJ3485" s="37">
        <v>10</v>
      </c>
      <c r="AK3485" s="37" t="str">
        <f>VLOOKUP(Mecze[[#This Row],[Match ID]],Meczusie[Mecz]:Meczusie[RodzajMeczu],2,FALSE)</f>
        <v>Liga</v>
      </c>
    </row>
    <row r="3486" spans="1:37" x14ac:dyDescent="0.25">
      <c r="A3486" s="76">
        <v>1</v>
      </c>
      <c r="B3486" s="3" t="s">
        <v>274</v>
      </c>
      <c r="C3486" s="2" t="s">
        <v>155</v>
      </c>
      <c r="D3486" s="1">
        <v>0</v>
      </c>
      <c r="E3486" s="1">
        <v>0</v>
      </c>
      <c r="F3486" s="1">
        <v>0</v>
      </c>
      <c r="G3486" s="1">
        <v>11</v>
      </c>
      <c r="H3486" s="4">
        <v>0.36</v>
      </c>
      <c r="I3486" s="1">
        <v>0</v>
      </c>
      <c r="J3486" s="4"/>
      <c r="K3486" s="1">
        <v>11</v>
      </c>
      <c r="L3486" s="1">
        <v>0</v>
      </c>
      <c r="M3486" s="32">
        <f>IF(Mecze[[#This Row],[PR]]=0,0,Mecze[[#This Row],[PR]]/Mecze[[#This Row],[CZAS]])</f>
        <v>0</v>
      </c>
      <c r="N3486" s="32">
        <f>IF(Mecze[[#This Row],[OU]]=0,0,Mecze[[#This Row],[OU]]/Mecze[[#This Row],[CZAS]])</f>
        <v>0</v>
      </c>
      <c r="O3486" s="32">
        <f>IF(Mecze[[#This Row],[PC]]=0,0,Mecze[[#This Row],[PC]]/Mecze[[#This Row],[CZAS]])</f>
        <v>4.1237113402061855E-2</v>
      </c>
      <c r="P3486" s="32">
        <f>IF(Mecze[[#This Row],[SC]]=0,0,Mecze[[#This Row],[SC]]/Mecze[[#This Row],[CZAS]])</f>
        <v>0</v>
      </c>
      <c r="Q3486" s="32">
        <f>IF(Mecze[[#This Row],[OB]]=0,0,Mecze[[#This Row],[OB]]/Mecze[[#This Row],[CZAS]])</f>
        <v>0.1134020618556701</v>
      </c>
      <c r="R3486" s="32">
        <f>IF(Mecze[[#This Row],[BR]]=0,0,Mecze[[#This Row],[BR]]/Mecze[[#This Row],[CZAS]])</f>
        <v>0</v>
      </c>
      <c r="S3486" s="44">
        <f>IF(Mecze[[#This Row],[Role]]="BR",SUMPRODUCT(Mecze[[#This Row],[/PR:90]:[/BR:90]],Brudnopis!$E$23:$J$23),0)</f>
        <v>0.46391752577319589</v>
      </c>
      <c r="T3486" s="44">
        <f>IF(Mecze[[#This Row],[Role]]&lt;&gt;"BR",SUMPRODUCT(Mecze[[#This Row],[/PR:90]:[/BR:90]],Brudnopis!$E$24:$J$24),0)</f>
        <v>0</v>
      </c>
      <c r="U3486" s="44">
        <f>IF(Mecze[[#This Row],[Role]]&lt;&gt;"BR",SUMPRODUCT(Mecze[[#This Row],[/PR:90]:[/BR:90]],Brudnopis!$E$25:$J$25),0)</f>
        <v>0</v>
      </c>
      <c r="V3486" s="44">
        <f>IF(Mecze[[#This Row],[Role]]&lt;&gt;"BR",SUMPRODUCT(Mecze[[#This Row],[/PR:90]:[/BR:90]],Brudnopis!$E$26:$J$26),0)</f>
        <v>0</v>
      </c>
      <c r="W3486" s="44">
        <f>IF(Mecze[[#This Row],[Role]]&lt;&gt;"BR",SUMPRODUCT(Mecze[[#This Row],[/PR:90]:[/BR:90]],Brudnopis!$E$27:$J$27),0)</f>
        <v>0</v>
      </c>
      <c r="X3486" s="44">
        <f>IF(Mecze[[#This Row],[Role]]&lt;&gt;"BR",SUMPRODUCT(Mecze[[#This Row],[/PR:90]:[/BR:90]],Brudnopis!$E$28:$J$28),0)</f>
        <v>0</v>
      </c>
      <c r="Y3486" s="35">
        <f>IF(Mecze[[#This Row],[Role]]="BR",Mecze[[#This Row],[/OB:90]]+Mecze[[#This Row],[/PC:90]],SUM(Mecze[[#This Row],[/PR:90]:[/BR:90]]))</f>
        <v>0.15463917525773196</v>
      </c>
      <c r="Z3486" s="35">
        <f>IF(Mecze[[#This Row],[KC]]=0,SUM(Mecze[[#This Row],[/BRI]:[/NPI]]),SUM(Mecze[[#This Row],[/BRI]:[/NPI]])*0.6)</f>
        <v>0.46391752577319589</v>
      </c>
      <c r="AA3486" s="10">
        <f>IFERROR(Mecze[[#This Row],[BR]]/Mecze[[#This Row],[ST]],0)</f>
        <v>0</v>
      </c>
      <c r="AB3486">
        <f>ROUND(Mecze[[#This Row],[PD]]*Mecze[[#This Row],[%PC]],0)</f>
        <v>4</v>
      </c>
      <c r="AC3486">
        <f>ROUND(Mecze[[#This Row],[OD]]*Mecze[[#This Row],[%OU]],0)</f>
        <v>0</v>
      </c>
      <c r="AD3486" s="36" t="s">
        <v>40</v>
      </c>
      <c r="AE3486" s="36">
        <v>196</v>
      </c>
      <c r="AF3486" s="71">
        <v>7.77</v>
      </c>
      <c r="AG3486" s="37">
        <v>0</v>
      </c>
      <c r="AH3486" s="37">
        <v>0</v>
      </c>
      <c r="AI3486" s="37">
        <v>97</v>
      </c>
      <c r="AJ3486" s="37">
        <v>4</v>
      </c>
      <c r="AK3486" s="37" t="str">
        <f>VLOOKUP(Mecze[[#This Row],[Match ID]],Meczusie[Mecz]:Meczusie[RodzajMeczu],2,FALSE)</f>
        <v>Liga</v>
      </c>
    </row>
    <row r="3487" spans="1:37" x14ac:dyDescent="0.25">
      <c r="A3487" s="76">
        <v>9</v>
      </c>
      <c r="B3487" s="3" t="s">
        <v>275</v>
      </c>
      <c r="C3487" s="2" t="s">
        <v>157</v>
      </c>
      <c r="D3487" s="1">
        <v>0</v>
      </c>
      <c r="E3487" s="1">
        <v>0</v>
      </c>
      <c r="F3487" s="1">
        <v>0</v>
      </c>
      <c r="G3487" s="1">
        <v>10</v>
      </c>
      <c r="H3487" s="4">
        <v>0.6</v>
      </c>
      <c r="I3487" s="1">
        <v>3</v>
      </c>
      <c r="J3487" s="4">
        <v>0.67</v>
      </c>
      <c r="K3487" s="1">
        <v>0</v>
      </c>
      <c r="L3487" s="1">
        <v>3</v>
      </c>
      <c r="M3487" s="32">
        <f>IF(Mecze[[#This Row],[PR]]=0,0,Mecze[[#This Row],[PR]]/Mecze[[#This Row],[CZAS]])</f>
        <v>3.0927835051546393E-2</v>
      </c>
      <c r="N3487" s="32">
        <f>IF(Mecze[[#This Row],[OU]]=0,0,Mecze[[#This Row],[OU]]/Mecze[[#This Row],[CZAS]])</f>
        <v>2.0618556701030927E-2</v>
      </c>
      <c r="O3487" s="32">
        <f>IF(Mecze[[#This Row],[PC]]=0,0,Mecze[[#This Row],[PC]]/Mecze[[#This Row],[CZAS]])</f>
        <v>6.1855670103092786E-2</v>
      </c>
      <c r="P3487" s="32">
        <f>IF(Mecze[[#This Row],[SC]]=0,0,Mecze[[#This Row],[SC]]/Mecze[[#This Row],[CZAS]])</f>
        <v>0</v>
      </c>
      <c r="Q3487" s="32">
        <f>IF(Mecze[[#This Row],[OB]]=0,0,Mecze[[#This Row],[OB]]/Mecze[[#This Row],[CZAS]])</f>
        <v>0</v>
      </c>
      <c r="R3487" s="32">
        <f>IF(Mecze[[#This Row],[BR]]=0,0,Mecze[[#This Row],[BR]]/Mecze[[#This Row],[CZAS]])</f>
        <v>0</v>
      </c>
      <c r="S3487" s="44">
        <f>IF(Mecze[[#This Row],[Role]]="BR",SUMPRODUCT(Mecze[[#This Row],[/PR:90]:[/BR:90]],Brudnopis!$E$23:$J$23),0)</f>
        <v>0</v>
      </c>
      <c r="T3487" s="44">
        <f>IF(Mecze[[#This Row],[Role]]&lt;&gt;"BR",SUMPRODUCT(Mecze[[#This Row],[/PR:90]:[/BR:90]],Brudnopis!$E$24:$J$24),0)</f>
        <v>0.12371134020618557</v>
      </c>
      <c r="U3487" s="44">
        <f>IF(Mecze[[#This Row],[Role]]&lt;&gt;"BR",SUMPRODUCT(Mecze[[#This Row],[/PR:90]:[/BR:90]],Brudnopis!$E$25:$J$25),0)</f>
        <v>0.14432989690721648</v>
      </c>
      <c r="V3487" s="44">
        <f>IF(Mecze[[#This Row],[Role]]&lt;&gt;"BR",SUMPRODUCT(Mecze[[#This Row],[/PR:90]:[/BR:90]],Brudnopis!$E$26:$J$26),0)</f>
        <v>0.1134020618556701</v>
      </c>
      <c r="W3487" s="44">
        <f>IF(Mecze[[#This Row],[Role]]&lt;&gt;"BR",SUMPRODUCT(Mecze[[#This Row],[/PR:90]:[/BR:90]],Brudnopis!$E$27:$J$27),0)</f>
        <v>0.13144329896907217</v>
      </c>
      <c r="X3487" s="44">
        <f>IF(Mecze[[#This Row],[Role]]&lt;&gt;"BR",SUMPRODUCT(Mecze[[#This Row],[/PR:90]:[/BR:90]],Brudnopis!$E$28:$J$28),0)</f>
        <v>6.1855670103092786E-2</v>
      </c>
      <c r="Y3487" s="35">
        <f>IF(Mecze[[#This Row],[Role]]="BR",Mecze[[#This Row],[/OB:90]]+Mecze[[#This Row],[/PC:90]],SUM(Mecze[[#This Row],[/PR:90]:[/BR:90]]))</f>
        <v>0.1134020618556701</v>
      </c>
      <c r="Z3487" s="35">
        <f>IF(Mecze[[#This Row],[KC]]=0,SUM(Mecze[[#This Row],[/BRI]:[/NPI]]),SUM(Mecze[[#This Row],[/BRI]:[/NPI]])*0.6)</f>
        <v>0.57474226804123707</v>
      </c>
      <c r="AA3487" s="10">
        <f>IFERROR(Mecze[[#This Row],[BR]]/Mecze[[#This Row],[ST]],0)</f>
        <v>0</v>
      </c>
      <c r="AB3487">
        <f>ROUND(Mecze[[#This Row],[PD]]*Mecze[[#This Row],[%PC]],0)</f>
        <v>6</v>
      </c>
      <c r="AC3487">
        <f>ROUND(Mecze[[#This Row],[OD]]*Mecze[[#This Row],[%OU]],0)</f>
        <v>2</v>
      </c>
      <c r="AD3487" s="36" t="s">
        <v>47</v>
      </c>
      <c r="AE3487" s="36">
        <v>196</v>
      </c>
      <c r="AF3487" s="71">
        <v>5.67</v>
      </c>
      <c r="AG3487" s="37">
        <v>0</v>
      </c>
      <c r="AH3487" s="37">
        <v>0</v>
      </c>
      <c r="AI3487" s="37">
        <v>97</v>
      </c>
      <c r="AJ3487" s="37">
        <v>4</v>
      </c>
      <c r="AK3487" s="37" t="str">
        <f>VLOOKUP(Mecze[[#This Row],[Match ID]],Meczusie[Mecz]:Meczusie[RodzajMeczu],2,FALSE)</f>
        <v>Liga</v>
      </c>
    </row>
    <row r="3488" spans="1:37" x14ac:dyDescent="0.25">
      <c r="A3488" s="76">
        <v>4</v>
      </c>
      <c r="B3488" s="3" t="s">
        <v>276</v>
      </c>
      <c r="C3488" s="2" t="s">
        <v>157</v>
      </c>
      <c r="D3488" s="1">
        <v>0</v>
      </c>
      <c r="E3488" s="1">
        <v>0</v>
      </c>
      <c r="F3488" s="1">
        <v>0</v>
      </c>
      <c r="G3488" s="1">
        <v>3</v>
      </c>
      <c r="H3488" s="4">
        <v>1</v>
      </c>
      <c r="I3488" s="1">
        <v>5</v>
      </c>
      <c r="J3488" s="4">
        <v>0.4</v>
      </c>
      <c r="K3488" s="1">
        <v>0</v>
      </c>
      <c r="L3488" s="1">
        <v>4</v>
      </c>
      <c r="M3488" s="32">
        <f>IF(Mecze[[#This Row],[PR]]=0,0,Mecze[[#This Row],[PR]]/Mecze[[#This Row],[CZAS]])</f>
        <v>4.1237113402061855E-2</v>
      </c>
      <c r="N3488" s="32">
        <f>IF(Mecze[[#This Row],[OU]]=0,0,Mecze[[#This Row],[OU]]/Mecze[[#This Row],[CZAS]])</f>
        <v>2.0618556701030927E-2</v>
      </c>
      <c r="O3488" s="32">
        <f>IF(Mecze[[#This Row],[PC]]=0,0,Mecze[[#This Row],[PC]]/Mecze[[#This Row],[CZAS]])</f>
        <v>3.0927835051546393E-2</v>
      </c>
      <c r="P3488" s="32">
        <f>IF(Mecze[[#This Row],[SC]]=0,0,Mecze[[#This Row],[SC]]/Mecze[[#This Row],[CZAS]])</f>
        <v>0</v>
      </c>
      <c r="Q3488" s="32">
        <f>IF(Mecze[[#This Row],[OB]]=0,0,Mecze[[#This Row],[OB]]/Mecze[[#This Row],[CZAS]])</f>
        <v>0</v>
      </c>
      <c r="R3488" s="32">
        <f>IF(Mecze[[#This Row],[BR]]=0,0,Mecze[[#This Row],[BR]]/Mecze[[#This Row],[CZAS]])</f>
        <v>0</v>
      </c>
      <c r="S3488" s="44">
        <f>IF(Mecze[[#This Row],[Role]]="BR",SUMPRODUCT(Mecze[[#This Row],[/PR:90]:[/BR:90]],Brudnopis!$E$23:$J$23),0)</f>
        <v>0</v>
      </c>
      <c r="T3488" s="44">
        <f>IF(Mecze[[#This Row],[Role]]&lt;&gt;"BR",SUMPRODUCT(Mecze[[#This Row],[/PR:90]:[/BR:90]],Brudnopis!$E$24:$J$24),0)</f>
        <v>0.10309278350515463</v>
      </c>
      <c r="U3488" s="44">
        <f>IF(Mecze[[#This Row],[Role]]&lt;&gt;"BR",SUMPRODUCT(Mecze[[#This Row],[/PR:90]:[/BR:90]],Brudnopis!$E$25:$J$25),0)</f>
        <v>0.10824742268041238</v>
      </c>
      <c r="V3488" s="44">
        <f>IF(Mecze[[#This Row],[Role]]&lt;&gt;"BR",SUMPRODUCT(Mecze[[#This Row],[/PR:90]:[/BR:90]],Brudnopis!$E$26:$J$26),0)</f>
        <v>9.2783505154639179E-2</v>
      </c>
      <c r="W3488" s="44">
        <f>IF(Mecze[[#This Row],[Role]]&lt;&gt;"BR",SUMPRODUCT(Mecze[[#This Row],[/PR:90]:[/BR:90]],Brudnopis!$E$27:$J$27),0)</f>
        <v>9.2783505154639179E-2</v>
      </c>
      <c r="X3488" s="44">
        <f>IF(Mecze[[#This Row],[Role]]&lt;&gt;"BR",SUMPRODUCT(Mecze[[#This Row],[/PR:90]:[/BR:90]],Brudnopis!$E$28:$J$28),0)</f>
        <v>3.0927835051546393E-2</v>
      </c>
      <c r="Y3488" s="35">
        <f>IF(Mecze[[#This Row],[Role]]="BR",Mecze[[#This Row],[/OB:90]]+Mecze[[#This Row],[/PC:90]],SUM(Mecze[[#This Row],[/PR:90]:[/BR:90]]))</f>
        <v>9.2783505154639179E-2</v>
      </c>
      <c r="Z3488" s="35">
        <f>IF(Mecze[[#This Row],[KC]]=0,SUM(Mecze[[#This Row],[/BRI]:[/NPI]]),SUM(Mecze[[#This Row],[/BRI]:[/NPI]])*0.6)</f>
        <v>0.42783505154639179</v>
      </c>
      <c r="AA3488" s="10">
        <f>IFERROR(Mecze[[#This Row],[BR]]/Mecze[[#This Row],[ST]],0)</f>
        <v>0</v>
      </c>
      <c r="AB3488">
        <f>ROUND(Mecze[[#This Row],[PD]]*Mecze[[#This Row],[%PC]],0)</f>
        <v>3</v>
      </c>
      <c r="AC3488">
        <f>ROUND(Mecze[[#This Row],[OD]]*Mecze[[#This Row],[%OU]],0)</f>
        <v>2</v>
      </c>
      <c r="AD3488" s="36" t="s">
        <v>168</v>
      </c>
      <c r="AE3488" s="36">
        <v>196</v>
      </c>
      <c r="AF3488" s="71">
        <v>4.76</v>
      </c>
      <c r="AG3488" s="37">
        <v>0</v>
      </c>
      <c r="AH3488" s="37">
        <v>0</v>
      </c>
      <c r="AI3488" s="37">
        <v>97</v>
      </c>
      <c r="AJ3488" s="37">
        <v>4</v>
      </c>
      <c r="AK3488" s="37" t="str">
        <f>VLOOKUP(Mecze[[#This Row],[Match ID]],Meczusie[Mecz]:Meczusie[RodzajMeczu],2,FALSE)</f>
        <v>Liga</v>
      </c>
    </row>
    <row r="3489" spans="1:37" x14ac:dyDescent="0.25">
      <c r="A3489" s="76">
        <v>5</v>
      </c>
      <c r="B3489" s="3" t="s">
        <v>277</v>
      </c>
      <c r="C3489" s="2" t="s">
        <v>157</v>
      </c>
      <c r="D3489" s="1">
        <v>0</v>
      </c>
      <c r="E3489" s="1">
        <v>0</v>
      </c>
      <c r="F3489" s="1">
        <v>0</v>
      </c>
      <c r="G3489" s="1">
        <v>3</v>
      </c>
      <c r="H3489" s="4">
        <v>1</v>
      </c>
      <c r="I3489" s="1">
        <v>3</v>
      </c>
      <c r="J3489" s="4">
        <v>0.33</v>
      </c>
      <c r="K3489" s="1">
        <v>0</v>
      </c>
      <c r="L3489" s="1">
        <v>2</v>
      </c>
      <c r="M3489" s="32">
        <f>IF(Mecze[[#This Row],[PR]]=0,0,Mecze[[#This Row],[PR]]/Mecze[[#This Row],[CZAS]])</f>
        <v>3.2258064516129031E-2</v>
      </c>
      <c r="N3489" s="32">
        <f>IF(Mecze[[#This Row],[OU]]=0,0,Mecze[[#This Row],[OU]]/Mecze[[#This Row],[CZAS]])</f>
        <v>1.6129032258064516E-2</v>
      </c>
      <c r="O3489" s="32">
        <f>IF(Mecze[[#This Row],[PC]]=0,0,Mecze[[#This Row],[PC]]/Mecze[[#This Row],[CZAS]])</f>
        <v>4.8387096774193547E-2</v>
      </c>
      <c r="P3489" s="32">
        <f>IF(Mecze[[#This Row],[SC]]=0,0,Mecze[[#This Row],[SC]]/Mecze[[#This Row],[CZAS]])</f>
        <v>0</v>
      </c>
      <c r="Q3489" s="32">
        <f>IF(Mecze[[#This Row],[OB]]=0,0,Mecze[[#This Row],[OB]]/Mecze[[#This Row],[CZAS]])</f>
        <v>0</v>
      </c>
      <c r="R3489" s="32">
        <f>IF(Mecze[[#This Row],[BR]]=0,0,Mecze[[#This Row],[BR]]/Mecze[[#This Row],[CZAS]])</f>
        <v>0</v>
      </c>
      <c r="S3489" s="44">
        <f>IF(Mecze[[#This Row],[Role]]="BR",SUMPRODUCT(Mecze[[#This Row],[/PR:90]:[/BR:90]],Brudnopis!$E$23:$J$23),0)</f>
        <v>0</v>
      </c>
      <c r="T3489" s="44">
        <f>IF(Mecze[[#This Row],[Role]]&lt;&gt;"BR",SUMPRODUCT(Mecze[[#This Row],[/PR:90]:[/BR:90]],Brudnopis!$E$24:$J$24),0)</f>
        <v>0.10483870967741934</v>
      </c>
      <c r="U3489" s="44">
        <f>IF(Mecze[[#This Row],[Role]]&lt;&gt;"BR",SUMPRODUCT(Mecze[[#This Row],[/PR:90]:[/BR:90]],Brudnopis!$E$25:$J$25),0)</f>
        <v>0.12096774193548386</v>
      </c>
      <c r="V3489" s="44">
        <f>IF(Mecze[[#This Row],[Role]]&lt;&gt;"BR",SUMPRODUCT(Mecze[[#This Row],[/PR:90]:[/BR:90]],Brudnopis!$E$26:$J$26),0)</f>
        <v>9.6774193548387094E-2</v>
      </c>
      <c r="W3489" s="44">
        <f>IF(Mecze[[#This Row],[Role]]&lt;&gt;"BR",SUMPRODUCT(Mecze[[#This Row],[/PR:90]:[/BR:90]],Brudnopis!$E$27:$J$27),0)</f>
        <v>0.10887096774193547</v>
      </c>
      <c r="X3489" s="44">
        <f>IF(Mecze[[#This Row],[Role]]&lt;&gt;"BR",SUMPRODUCT(Mecze[[#This Row],[/PR:90]:[/BR:90]],Brudnopis!$E$28:$J$28),0)</f>
        <v>4.8387096774193547E-2</v>
      </c>
      <c r="Y3489" s="35">
        <f>IF(Mecze[[#This Row],[Role]]="BR",Mecze[[#This Row],[/OB:90]]+Mecze[[#This Row],[/PC:90]],SUM(Mecze[[#This Row],[/PR:90]:[/BR:90]]))</f>
        <v>9.6774193548387094E-2</v>
      </c>
      <c r="Z3489" s="35">
        <f>IF(Mecze[[#This Row],[KC]]=0,SUM(Mecze[[#This Row],[/BRI]:[/NPI]]),SUM(Mecze[[#This Row],[/BRI]:[/NPI]])*0.6)</f>
        <v>0.47983870967741932</v>
      </c>
      <c r="AA3489" s="10">
        <f>IFERROR(Mecze[[#This Row],[BR]]/Mecze[[#This Row],[ST]],0)</f>
        <v>0</v>
      </c>
      <c r="AB3489">
        <f>ROUND(Mecze[[#This Row],[PD]]*Mecze[[#This Row],[%PC]],0)</f>
        <v>3</v>
      </c>
      <c r="AC3489">
        <f>ROUND(Mecze[[#This Row],[OD]]*Mecze[[#This Row],[%OU]],0)</f>
        <v>1</v>
      </c>
      <c r="AD3489" s="36" t="s">
        <v>167</v>
      </c>
      <c r="AE3489" s="36">
        <v>196</v>
      </c>
      <c r="AF3489" s="71">
        <v>4.34</v>
      </c>
      <c r="AG3489" s="37">
        <v>0</v>
      </c>
      <c r="AH3489" s="37">
        <v>0</v>
      </c>
      <c r="AI3489" s="37">
        <v>62</v>
      </c>
      <c r="AJ3489" s="37">
        <v>4</v>
      </c>
      <c r="AK3489" s="37" t="str">
        <f>VLOOKUP(Mecze[[#This Row],[Match ID]],Meczusie[Mecz]:Meczusie[RodzajMeczu],2,FALSE)</f>
        <v>Liga</v>
      </c>
    </row>
    <row r="3490" spans="1:37" x14ac:dyDescent="0.25">
      <c r="A3490" s="76">
        <v>12</v>
      </c>
      <c r="B3490" s="3" t="s">
        <v>278</v>
      </c>
      <c r="C3490" s="2" t="s">
        <v>160</v>
      </c>
      <c r="D3490" s="1">
        <v>0</v>
      </c>
      <c r="E3490" s="1">
        <v>0</v>
      </c>
      <c r="F3490" s="1">
        <v>0</v>
      </c>
      <c r="G3490" s="1">
        <v>9</v>
      </c>
      <c r="H3490" s="4">
        <v>0.67</v>
      </c>
      <c r="I3490" s="1">
        <v>3</v>
      </c>
      <c r="J3490" s="4">
        <v>1</v>
      </c>
      <c r="K3490" s="1">
        <v>0</v>
      </c>
      <c r="L3490" s="1">
        <v>4</v>
      </c>
      <c r="M3490" s="32">
        <f>IF(Mecze[[#This Row],[PR]]=0,0,Mecze[[#This Row],[PR]]/Mecze[[#This Row],[CZAS]])</f>
        <v>4.1237113402061855E-2</v>
      </c>
      <c r="N3490" s="32">
        <f>IF(Mecze[[#This Row],[OU]]=0,0,Mecze[[#This Row],[OU]]/Mecze[[#This Row],[CZAS]])</f>
        <v>3.0927835051546393E-2</v>
      </c>
      <c r="O3490" s="32">
        <f>IF(Mecze[[#This Row],[PC]]=0,0,Mecze[[#This Row],[PC]]/Mecze[[#This Row],[CZAS]])</f>
        <v>6.1855670103092786E-2</v>
      </c>
      <c r="P3490" s="32">
        <f>IF(Mecze[[#This Row],[SC]]=0,0,Mecze[[#This Row],[SC]]/Mecze[[#This Row],[CZAS]])</f>
        <v>0</v>
      </c>
      <c r="Q3490" s="32">
        <f>IF(Mecze[[#This Row],[OB]]=0,0,Mecze[[#This Row],[OB]]/Mecze[[#This Row],[CZAS]])</f>
        <v>0</v>
      </c>
      <c r="R3490" s="32">
        <f>IF(Mecze[[#This Row],[BR]]=0,0,Mecze[[#This Row],[BR]]/Mecze[[#This Row],[CZAS]])</f>
        <v>0</v>
      </c>
      <c r="S3490" s="44">
        <f>IF(Mecze[[#This Row],[Role]]="BR",SUMPRODUCT(Mecze[[#This Row],[/PR:90]:[/BR:90]],Brudnopis!$E$23:$J$23),0)</f>
        <v>0</v>
      </c>
      <c r="T3490" s="44">
        <f>IF(Mecze[[#This Row],[Role]]&lt;&gt;"BR",SUMPRODUCT(Mecze[[#This Row],[/PR:90]:[/BR:90]],Brudnopis!$E$24:$J$24),0)</f>
        <v>0.14948453608247422</v>
      </c>
      <c r="U3490" s="44">
        <f>IF(Mecze[[#This Row],[Role]]&lt;&gt;"BR",SUMPRODUCT(Mecze[[#This Row],[/PR:90]:[/BR:90]],Brudnopis!$E$25:$J$25),0)</f>
        <v>0.16494845360824742</v>
      </c>
      <c r="V3490" s="44">
        <f>IF(Mecze[[#This Row],[Role]]&lt;&gt;"BR",SUMPRODUCT(Mecze[[#This Row],[/PR:90]:[/BR:90]],Brudnopis!$E$26:$J$26),0)</f>
        <v>0.13402061855670103</v>
      </c>
      <c r="W3490" s="44">
        <f>IF(Mecze[[#This Row],[Role]]&lt;&gt;"BR",SUMPRODUCT(Mecze[[#This Row],[/PR:90]:[/BR:90]],Brudnopis!$E$27:$J$27),0)</f>
        <v>0.14690721649484537</v>
      </c>
      <c r="X3490" s="44">
        <f>IF(Mecze[[#This Row],[Role]]&lt;&gt;"BR",SUMPRODUCT(Mecze[[#This Row],[/PR:90]:[/BR:90]],Brudnopis!$E$28:$J$28),0)</f>
        <v>6.1855670103092786E-2</v>
      </c>
      <c r="Y3490" s="35">
        <f>IF(Mecze[[#This Row],[Role]]="BR",Mecze[[#This Row],[/OB:90]]+Mecze[[#This Row],[/PC:90]],SUM(Mecze[[#This Row],[/PR:90]:[/BR:90]]))</f>
        <v>0.13402061855670103</v>
      </c>
      <c r="Z3490" s="35">
        <f>IF(Mecze[[#This Row],[KC]]=0,SUM(Mecze[[#This Row],[/BRI]:[/NPI]]),SUM(Mecze[[#This Row],[/BRI]:[/NPI]])*0.6)</f>
        <v>0.65721649484536082</v>
      </c>
      <c r="AA3490" s="10">
        <f>IFERROR(Mecze[[#This Row],[BR]]/Mecze[[#This Row],[ST]],0)</f>
        <v>0</v>
      </c>
      <c r="AB3490">
        <f>ROUND(Mecze[[#This Row],[PD]]*Mecze[[#This Row],[%PC]],0)</f>
        <v>6</v>
      </c>
      <c r="AC3490">
        <f>ROUND(Mecze[[#This Row],[OD]]*Mecze[[#This Row],[%OU]],0)</f>
        <v>3</v>
      </c>
      <c r="AD3490" s="36" t="s">
        <v>41</v>
      </c>
      <c r="AE3490" s="36">
        <v>196</v>
      </c>
      <c r="AF3490" s="71">
        <v>5.97</v>
      </c>
      <c r="AG3490" s="37">
        <v>0</v>
      </c>
      <c r="AH3490" s="37">
        <v>0</v>
      </c>
      <c r="AI3490" s="37">
        <v>97</v>
      </c>
      <c r="AJ3490" s="37">
        <v>4</v>
      </c>
      <c r="AK3490" s="37" t="str">
        <f>VLOOKUP(Mecze[[#This Row],[Match ID]],Meczusie[Mecz]:Meczusie[RodzajMeczu],2,FALSE)</f>
        <v>Liga</v>
      </c>
    </row>
    <row r="3491" spans="1:37" x14ac:dyDescent="0.25">
      <c r="A3491" s="76">
        <v>7</v>
      </c>
      <c r="B3491" s="3" t="s">
        <v>279</v>
      </c>
      <c r="C3491" s="2" t="s">
        <v>160</v>
      </c>
      <c r="D3491" s="1">
        <v>0</v>
      </c>
      <c r="E3491" s="1">
        <v>1</v>
      </c>
      <c r="F3491" s="1">
        <v>1</v>
      </c>
      <c r="G3491" s="1">
        <v>14</v>
      </c>
      <c r="H3491" s="4">
        <v>0.71</v>
      </c>
      <c r="I3491" s="1">
        <v>10</v>
      </c>
      <c r="J3491" s="4">
        <v>0.7</v>
      </c>
      <c r="K3491" s="1">
        <v>0</v>
      </c>
      <c r="L3491" s="1">
        <v>4</v>
      </c>
      <c r="M3491" s="32">
        <f>IF(Mecze[[#This Row],[PR]]=0,0,Mecze[[#This Row],[PR]]/Mecze[[#This Row],[CZAS]])</f>
        <v>4.1237113402061855E-2</v>
      </c>
      <c r="N3491" s="32">
        <f>IF(Mecze[[#This Row],[OU]]=0,0,Mecze[[#This Row],[OU]]/Mecze[[#This Row],[CZAS]])</f>
        <v>7.2164948453608241E-2</v>
      </c>
      <c r="O3491" s="32">
        <f>IF(Mecze[[#This Row],[PC]]=0,0,Mecze[[#This Row],[PC]]/Mecze[[#This Row],[CZAS]])</f>
        <v>0.10309278350515463</v>
      </c>
      <c r="P3491" s="32">
        <f>IF(Mecze[[#This Row],[SC]]=0,0,Mecze[[#This Row],[SC]]/Mecze[[#This Row],[CZAS]])</f>
        <v>1.0309278350515464E-2</v>
      </c>
      <c r="Q3491" s="32">
        <f>IF(Mecze[[#This Row],[OB]]=0,0,Mecze[[#This Row],[OB]]/Mecze[[#This Row],[CZAS]])</f>
        <v>0</v>
      </c>
      <c r="R3491" s="32">
        <f>IF(Mecze[[#This Row],[BR]]=0,0,Mecze[[#This Row],[BR]]/Mecze[[#This Row],[CZAS]])</f>
        <v>0</v>
      </c>
      <c r="S3491" s="44">
        <f>IF(Mecze[[#This Row],[Role]]="BR",SUMPRODUCT(Mecze[[#This Row],[/PR:90]:[/BR:90]],Brudnopis!$E$23:$J$23),0)</f>
        <v>0</v>
      </c>
      <c r="T3491" s="44">
        <f>IF(Mecze[[#This Row],[Role]]&lt;&gt;"BR",SUMPRODUCT(Mecze[[#This Row],[/PR:90]:[/BR:90]],Brudnopis!$E$24:$J$24),0)</f>
        <v>0.26288659793814434</v>
      </c>
      <c r="U3491" s="44">
        <f>IF(Mecze[[#This Row],[Role]]&lt;&gt;"BR",SUMPRODUCT(Mecze[[#This Row],[/PR:90]:[/BR:90]],Brudnopis!$E$25:$J$25),0)</f>
        <v>0.27835051546391754</v>
      </c>
      <c r="V3491" s="44">
        <f>IF(Mecze[[#This Row],[Role]]&lt;&gt;"BR",SUMPRODUCT(Mecze[[#This Row],[/PR:90]:[/BR:90]],Brudnopis!$E$26:$J$26),0)</f>
        <v>0.22680412371134018</v>
      </c>
      <c r="W3491" s="44">
        <f>IF(Mecze[[#This Row],[Role]]&lt;&gt;"BR",SUMPRODUCT(Mecze[[#This Row],[/PR:90]:[/BR:90]],Brudnopis!$E$27:$J$27),0)</f>
        <v>0.25</v>
      </c>
      <c r="X3491" s="44">
        <f>IF(Mecze[[#This Row],[Role]]&lt;&gt;"BR",SUMPRODUCT(Mecze[[#This Row],[/PR:90]:[/BR:90]],Brudnopis!$E$28:$J$28),0)</f>
        <v>0.12371134020618556</v>
      </c>
      <c r="Y3491" s="35">
        <f>IF(Mecze[[#This Row],[Role]]="BR",Mecze[[#This Row],[/OB:90]]+Mecze[[#This Row],[/PC:90]],SUM(Mecze[[#This Row],[/PR:90]:[/BR:90]]))</f>
        <v>0.22680412371134018</v>
      </c>
      <c r="Z3491" s="35">
        <f>IF(Mecze[[#This Row],[KC]]=0,SUM(Mecze[[#This Row],[/BRI]:[/NPI]]),SUM(Mecze[[#This Row],[/BRI]:[/NPI]])*0.6)</f>
        <v>1.1417525773195876</v>
      </c>
      <c r="AA3491" s="10">
        <f>IFERROR(Mecze[[#This Row],[BR]]/Mecze[[#This Row],[ST]],0)</f>
        <v>0</v>
      </c>
      <c r="AB3491">
        <f>ROUND(Mecze[[#This Row],[PD]]*Mecze[[#This Row],[%PC]],0)</f>
        <v>10</v>
      </c>
      <c r="AC3491">
        <f>ROUND(Mecze[[#This Row],[OD]]*Mecze[[#This Row],[%OU]],0)</f>
        <v>7</v>
      </c>
      <c r="AD3491" s="36" t="s">
        <v>41</v>
      </c>
      <c r="AE3491" s="36">
        <v>196</v>
      </c>
      <c r="AF3491" s="71">
        <v>6.2</v>
      </c>
      <c r="AG3491" s="37">
        <v>0</v>
      </c>
      <c r="AH3491" s="37">
        <v>0</v>
      </c>
      <c r="AI3491" s="37">
        <v>97</v>
      </c>
      <c r="AJ3491" s="37">
        <v>4</v>
      </c>
      <c r="AK3491" s="37" t="str">
        <f>VLOOKUP(Mecze[[#This Row],[Match ID]],Meczusie[Mecz]:Meczusie[RodzajMeczu],2,FALSE)</f>
        <v>Liga</v>
      </c>
    </row>
    <row r="3492" spans="1:37" x14ac:dyDescent="0.25">
      <c r="A3492" s="76">
        <v>6</v>
      </c>
      <c r="B3492" s="3" t="s">
        <v>280</v>
      </c>
      <c r="C3492" s="2" t="s">
        <v>160</v>
      </c>
      <c r="D3492" s="1">
        <v>0</v>
      </c>
      <c r="E3492" s="1">
        <v>3</v>
      </c>
      <c r="F3492" s="1">
        <v>3</v>
      </c>
      <c r="G3492" s="1">
        <v>15</v>
      </c>
      <c r="H3492" s="4">
        <v>0.8</v>
      </c>
      <c r="I3492" s="1">
        <v>13</v>
      </c>
      <c r="J3492" s="4">
        <v>0.54</v>
      </c>
      <c r="K3492" s="1">
        <v>0</v>
      </c>
      <c r="L3492" s="1">
        <v>4</v>
      </c>
      <c r="M3492" s="32">
        <f>IF(Mecze[[#This Row],[PR]]=0,0,Mecze[[#This Row],[PR]]/Mecze[[#This Row],[CZAS]])</f>
        <v>4.1237113402061855E-2</v>
      </c>
      <c r="N3492" s="32">
        <f>IF(Mecze[[#This Row],[OU]]=0,0,Mecze[[#This Row],[OU]]/Mecze[[#This Row],[CZAS]])</f>
        <v>7.2164948453608241E-2</v>
      </c>
      <c r="O3492" s="32">
        <f>IF(Mecze[[#This Row],[PC]]=0,0,Mecze[[#This Row],[PC]]/Mecze[[#This Row],[CZAS]])</f>
        <v>0.12371134020618557</v>
      </c>
      <c r="P3492" s="32">
        <f>IF(Mecze[[#This Row],[SC]]=0,0,Mecze[[#This Row],[SC]]/Mecze[[#This Row],[CZAS]])</f>
        <v>3.0927835051546393E-2</v>
      </c>
      <c r="Q3492" s="32">
        <f>IF(Mecze[[#This Row],[OB]]=0,0,Mecze[[#This Row],[OB]]/Mecze[[#This Row],[CZAS]])</f>
        <v>0</v>
      </c>
      <c r="R3492" s="32">
        <f>IF(Mecze[[#This Row],[BR]]=0,0,Mecze[[#This Row],[BR]]/Mecze[[#This Row],[CZAS]])</f>
        <v>0</v>
      </c>
      <c r="S3492" s="44">
        <f>IF(Mecze[[#This Row],[Role]]="BR",SUMPRODUCT(Mecze[[#This Row],[/PR:90]:[/BR:90]],Brudnopis!$E$23:$J$23),0)</f>
        <v>0</v>
      </c>
      <c r="T3492" s="44">
        <f>IF(Mecze[[#This Row],[Role]]&lt;&gt;"BR",SUMPRODUCT(Mecze[[#This Row],[/PR:90]:[/BR:90]],Brudnopis!$E$24:$J$24),0)</f>
        <v>0.30412371134020622</v>
      </c>
      <c r="U3492" s="44">
        <f>IF(Mecze[[#This Row],[Role]]&lt;&gt;"BR",SUMPRODUCT(Mecze[[#This Row],[/PR:90]:[/BR:90]],Brudnopis!$E$25:$J$25),0)</f>
        <v>0.32989690721649484</v>
      </c>
      <c r="V3492" s="44">
        <f>IF(Mecze[[#This Row],[Role]]&lt;&gt;"BR",SUMPRODUCT(Mecze[[#This Row],[/PR:90]:[/BR:90]],Brudnopis!$E$26:$J$26),0)</f>
        <v>0.26804123711340205</v>
      </c>
      <c r="W3492" s="44">
        <f>IF(Mecze[[#This Row],[Role]]&lt;&gt;"BR",SUMPRODUCT(Mecze[[#This Row],[/PR:90]:[/BR:90]],Brudnopis!$E$27:$J$27),0)</f>
        <v>0.30154639175257736</v>
      </c>
      <c r="X3492" s="44">
        <f>IF(Mecze[[#This Row],[Role]]&lt;&gt;"BR",SUMPRODUCT(Mecze[[#This Row],[/PR:90]:[/BR:90]],Brudnopis!$E$28:$J$28),0)</f>
        <v>0.18556701030927836</v>
      </c>
      <c r="Y3492" s="35">
        <f>IF(Mecze[[#This Row],[Role]]="BR",Mecze[[#This Row],[/OB:90]]+Mecze[[#This Row],[/PC:90]],SUM(Mecze[[#This Row],[/PR:90]:[/BR:90]]))</f>
        <v>0.26804123711340205</v>
      </c>
      <c r="Z3492" s="35">
        <f>IF(Mecze[[#This Row],[KC]]=0,SUM(Mecze[[#This Row],[/BRI]:[/NPI]]),SUM(Mecze[[#This Row],[/BRI]:[/NPI]])*0.6)</f>
        <v>1.3891752577319587</v>
      </c>
      <c r="AA3492" s="10">
        <f>IFERROR(Mecze[[#This Row],[BR]]/Mecze[[#This Row],[ST]],0)</f>
        <v>0</v>
      </c>
      <c r="AB3492">
        <f>ROUND(Mecze[[#This Row],[PD]]*Mecze[[#This Row],[%PC]],0)</f>
        <v>12</v>
      </c>
      <c r="AC3492">
        <f>ROUND(Mecze[[#This Row],[OD]]*Mecze[[#This Row],[%OU]],0)</f>
        <v>7</v>
      </c>
      <c r="AD3492" s="36" t="s">
        <v>67</v>
      </c>
      <c r="AE3492" s="36">
        <v>196</v>
      </c>
      <c r="AF3492" s="71">
        <v>7.57</v>
      </c>
      <c r="AG3492" s="37">
        <v>0</v>
      </c>
      <c r="AH3492" s="37">
        <v>0</v>
      </c>
      <c r="AI3492" s="37">
        <v>97</v>
      </c>
      <c r="AJ3492" s="37">
        <v>4</v>
      </c>
      <c r="AK3492" s="37" t="str">
        <f>VLOOKUP(Mecze[[#This Row],[Match ID]],Meczusie[Mecz]:Meczusie[RodzajMeczu],2,FALSE)</f>
        <v>Liga</v>
      </c>
    </row>
    <row r="3493" spans="1:37" x14ac:dyDescent="0.25">
      <c r="A3493" s="76">
        <v>13</v>
      </c>
      <c r="B3493" s="3" t="s">
        <v>287</v>
      </c>
      <c r="C3493" s="2" t="s">
        <v>160</v>
      </c>
      <c r="D3493" s="1">
        <v>0</v>
      </c>
      <c r="E3493" s="1">
        <v>0</v>
      </c>
      <c r="F3493" s="1">
        <v>0</v>
      </c>
      <c r="G3493" s="1">
        <v>4</v>
      </c>
      <c r="H3493" s="4">
        <v>0.75</v>
      </c>
      <c r="I3493" s="1">
        <v>2</v>
      </c>
      <c r="J3493" s="4">
        <v>0.5</v>
      </c>
      <c r="K3493" s="1">
        <v>0</v>
      </c>
      <c r="L3493" s="1">
        <v>1</v>
      </c>
      <c r="M3493" s="32">
        <f>IF(Mecze[[#This Row],[PR]]=0,0,Mecze[[#This Row],[PR]]/Mecze[[#This Row],[CZAS]])</f>
        <v>1.6393442622950821E-2</v>
      </c>
      <c r="N3493" s="32">
        <f>IF(Mecze[[#This Row],[OU]]=0,0,Mecze[[#This Row],[OU]]/Mecze[[#This Row],[CZAS]])</f>
        <v>1.6393442622950821E-2</v>
      </c>
      <c r="O3493" s="32">
        <f>IF(Mecze[[#This Row],[PC]]=0,0,Mecze[[#This Row],[PC]]/Mecze[[#This Row],[CZAS]])</f>
        <v>4.9180327868852458E-2</v>
      </c>
      <c r="P3493" s="32">
        <f>IF(Mecze[[#This Row],[SC]]=0,0,Mecze[[#This Row],[SC]]/Mecze[[#This Row],[CZAS]])</f>
        <v>0</v>
      </c>
      <c r="Q3493" s="32">
        <f>IF(Mecze[[#This Row],[OB]]=0,0,Mecze[[#This Row],[OB]]/Mecze[[#This Row],[CZAS]])</f>
        <v>0</v>
      </c>
      <c r="R3493" s="32">
        <f>IF(Mecze[[#This Row],[BR]]=0,0,Mecze[[#This Row],[BR]]/Mecze[[#This Row],[CZAS]])</f>
        <v>0</v>
      </c>
      <c r="S3493" s="44">
        <f>IF(Mecze[[#This Row],[Role]]="BR",SUMPRODUCT(Mecze[[#This Row],[/PR:90]:[/BR:90]],Brudnopis!$E$23:$J$23),0)</f>
        <v>0</v>
      </c>
      <c r="T3493" s="44">
        <f>IF(Mecze[[#This Row],[Role]]&lt;&gt;"BR",SUMPRODUCT(Mecze[[#This Row],[/PR:90]:[/BR:90]],Brudnopis!$E$24:$J$24),0)</f>
        <v>9.0163934426229511E-2</v>
      </c>
      <c r="U3493" s="44">
        <f>IF(Mecze[[#This Row],[Role]]&lt;&gt;"BR",SUMPRODUCT(Mecze[[#This Row],[/PR:90]:[/BR:90]],Brudnopis!$E$25:$J$25),0)</f>
        <v>0.10655737704918034</v>
      </c>
      <c r="V3493" s="44">
        <f>IF(Mecze[[#This Row],[Role]]&lt;&gt;"BR",SUMPRODUCT(Mecze[[#This Row],[/PR:90]:[/BR:90]],Brudnopis!$E$26:$J$26),0)</f>
        <v>8.1967213114754106E-2</v>
      </c>
      <c r="W3493" s="44">
        <f>IF(Mecze[[#This Row],[Role]]&lt;&gt;"BR",SUMPRODUCT(Mecze[[#This Row],[/PR:90]:[/BR:90]],Brudnopis!$E$27:$J$27),0)</f>
        <v>9.8360655737704916E-2</v>
      </c>
      <c r="X3493" s="44">
        <f>IF(Mecze[[#This Row],[Role]]&lt;&gt;"BR",SUMPRODUCT(Mecze[[#This Row],[/PR:90]:[/BR:90]],Brudnopis!$E$28:$J$28),0)</f>
        <v>4.9180327868852458E-2</v>
      </c>
      <c r="Y3493" s="35">
        <f>IF(Mecze[[#This Row],[Role]]="BR",Mecze[[#This Row],[/OB:90]]+Mecze[[#This Row],[/PC:90]],SUM(Mecze[[#This Row],[/PR:90]:[/BR:90]]))</f>
        <v>8.1967213114754106E-2</v>
      </c>
      <c r="Z3493" s="35">
        <f>IF(Mecze[[#This Row],[KC]]=0,SUM(Mecze[[#This Row],[/BRI]:[/NPI]]),SUM(Mecze[[#This Row],[/BRI]:[/NPI]])*0.6)</f>
        <v>0.42622950819672129</v>
      </c>
      <c r="AA3493" s="10">
        <f>IFERROR(Mecze[[#This Row],[BR]]/Mecze[[#This Row],[ST]],0)</f>
        <v>0</v>
      </c>
      <c r="AB3493">
        <f>ROUND(Mecze[[#This Row],[PD]]*Mecze[[#This Row],[%PC]],0)</f>
        <v>3</v>
      </c>
      <c r="AC3493">
        <f>ROUND(Mecze[[#This Row],[OD]]*Mecze[[#This Row],[%OU]],0)</f>
        <v>1</v>
      </c>
      <c r="AD3493" s="36" t="s">
        <v>171</v>
      </c>
      <c r="AE3493" s="36">
        <v>196</v>
      </c>
      <c r="AF3493" s="71">
        <v>4.13</v>
      </c>
      <c r="AG3493" s="37">
        <v>0</v>
      </c>
      <c r="AH3493" s="37">
        <v>0</v>
      </c>
      <c r="AI3493" s="37">
        <v>61</v>
      </c>
      <c r="AJ3493" s="37">
        <v>4</v>
      </c>
      <c r="AK3493" s="37" t="str">
        <f>VLOOKUP(Mecze[[#This Row],[Match ID]],Meczusie[Mecz]:Meczusie[RodzajMeczu],2,FALSE)</f>
        <v>Liga</v>
      </c>
    </row>
    <row r="3494" spans="1:37" x14ac:dyDescent="0.25">
      <c r="A3494" s="76">
        <v>11</v>
      </c>
      <c r="B3494" s="3" t="s">
        <v>282</v>
      </c>
      <c r="C3494" s="2" t="s">
        <v>165</v>
      </c>
      <c r="D3494" s="1">
        <v>0</v>
      </c>
      <c r="E3494" s="1">
        <v>3</v>
      </c>
      <c r="F3494" s="1">
        <v>3</v>
      </c>
      <c r="G3494" s="1">
        <v>4</v>
      </c>
      <c r="H3494" s="4">
        <v>0.75</v>
      </c>
      <c r="I3494" s="1">
        <v>0</v>
      </c>
      <c r="J3494" s="4"/>
      <c r="K3494" s="1">
        <v>0</v>
      </c>
      <c r="L3494" s="1">
        <v>2</v>
      </c>
      <c r="M3494" s="32">
        <f>IF(Mecze[[#This Row],[PR]]=0,0,Mecze[[#This Row],[PR]]/Mecze[[#This Row],[CZAS]])</f>
        <v>3.2258064516129031E-2</v>
      </c>
      <c r="N3494" s="32">
        <f>IF(Mecze[[#This Row],[OU]]=0,0,Mecze[[#This Row],[OU]]/Mecze[[#This Row],[CZAS]])</f>
        <v>0</v>
      </c>
      <c r="O3494" s="32">
        <f>IF(Mecze[[#This Row],[PC]]=0,0,Mecze[[#This Row],[PC]]/Mecze[[#This Row],[CZAS]])</f>
        <v>4.8387096774193547E-2</v>
      </c>
      <c r="P3494" s="32">
        <f>IF(Mecze[[#This Row],[SC]]=0,0,Mecze[[#This Row],[SC]]/Mecze[[#This Row],[CZAS]])</f>
        <v>4.8387096774193547E-2</v>
      </c>
      <c r="Q3494" s="32">
        <f>IF(Mecze[[#This Row],[OB]]=0,0,Mecze[[#This Row],[OB]]/Mecze[[#This Row],[CZAS]])</f>
        <v>0</v>
      </c>
      <c r="R3494" s="32">
        <f>IF(Mecze[[#This Row],[BR]]=0,0,Mecze[[#This Row],[BR]]/Mecze[[#This Row],[CZAS]])</f>
        <v>0</v>
      </c>
      <c r="S3494" s="44">
        <f>IF(Mecze[[#This Row],[Role]]="BR",SUMPRODUCT(Mecze[[#This Row],[/PR:90]:[/BR:90]],Brudnopis!$E$23:$J$23),0)</f>
        <v>0</v>
      </c>
      <c r="T3494" s="44">
        <f>IF(Mecze[[#This Row],[Role]]&lt;&gt;"BR",SUMPRODUCT(Mecze[[#This Row],[/PR:90]:[/BR:90]],Brudnopis!$E$24:$J$24),0)</f>
        <v>0.12903225806451613</v>
      </c>
      <c r="U3494" s="44">
        <f>IF(Mecze[[#This Row],[Role]]&lt;&gt;"BR",SUMPRODUCT(Mecze[[#This Row],[/PR:90]:[/BR:90]],Brudnopis!$E$25:$J$25),0)</f>
        <v>0.15322580645161288</v>
      </c>
      <c r="V3494" s="44">
        <f>IF(Mecze[[#This Row],[Role]]&lt;&gt;"BR",SUMPRODUCT(Mecze[[#This Row],[/PR:90]:[/BR:90]],Brudnopis!$E$26:$J$26),0)</f>
        <v>0.12903225806451613</v>
      </c>
      <c r="W3494" s="44">
        <f>IF(Mecze[[#This Row],[Role]]&lt;&gt;"BR",SUMPRODUCT(Mecze[[#This Row],[/PR:90]:[/BR:90]],Brudnopis!$E$27:$J$27),0)</f>
        <v>0.14516129032258063</v>
      </c>
      <c r="X3494" s="44">
        <f>IF(Mecze[[#This Row],[Role]]&lt;&gt;"BR",SUMPRODUCT(Mecze[[#This Row],[/PR:90]:[/BR:90]],Brudnopis!$E$28:$J$28),0)</f>
        <v>0.14516129032258063</v>
      </c>
      <c r="Y3494" s="35">
        <f>IF(Mecze[[#This Row],[Role]]="BR",Mecze[[#This Row],[/OB:90]]+Mecze[[#This Row],[/PC:90]],SUM(Mecze[[#This Row],[/PR:90]:[/BR:90]]))</f>
        <v>0.12903225806451613</v>
      </c>
      <c r="Z3494" s="35">
        <f>IF(Mecze[[#This Row],[KC]]=0,SUM(Mecze[[#This Row],[/BRI]:[/NPI]]),SUM(Mecze[[#This Row],[/BRI]:[/NPI]])*0.6)</f>
        <v>0.70161290322580638</v>
      </c>
      <c r="AA3494" s="10">
        <f>IFERROR(Mecze[[#This Row],[BR]]/Mecze[[#This Row],[ST]],0)</f>
        <v>0</v>
      </c>
      <c r="AB3494">
        <f>ROUND(Mecze[[#This Row],[PD]]*Mecze[[#This Row],[%PC]],0)</f>
        <v>3</v>
      </c>
      <c r="AC3494">
        <f>ROUND(Mecze[[#This Row],[OD]]*Mecze[[#This Row],[%OU]],0)</f>
        <v>0</v>
      </c>
      <c r="AD3494" s="36" t="s">
        <v>46</v>
      </c>
      <c r="AE3494" s="36">
        <v>196</v>
      </c>
      <c r="AF3494" s="71">
        <v>4.59</v>
      </c>
      <c r="AG3494" s="37">
        <v>0</v>
      </c>
      <c r="AH3494" s="37">
        <v>0</v>
      </c>
      <c r="AI3494" s="37">
        <v>62</v>
      </c>
      <c r="AJ3494" s="37">
        <v>4</v>
      </c>
      <c r="AK3494" s="37" t="str">
        <f>VLOOKUP(Mecze[[#This Row],[Match ID]],Meczusie[Mecz]:Meczusie[RodzajMeczu],2,FALSE)</f>
        <v>Liga</v>
      </c>
    </row>
    <row r="3495" spans="1:37" x14ac:dyDescent="0.25">
      <c r="A3495" s="76">
        <v>8</v>
      </c>
      <c r="B3495" s="3" t="s">
        <v>283</v>
      </c>
      <c r="C3495" s="2" t="s">
        <v>165</v>
      </c>
      <c r="D3495" s="1">
        <v>1</v>
      </c>
      <c r="E3495" s="1">
        <v>4</v>
      </c>
      <c r="F3495" s="1">
        <v>4</v>
      </c>
      <c r="G3495" s="1">
        <v>12</v>
      </c>
      <c r="H3495" s="4">
        <v>0.42</v>
      </c>
      <c r="I3495" s="1">
        <v>1</v>
      </c>
      <c r="J3495" s="4">
        <v>1</v>
      </c>
      <c r="K3495" s="1">
        <v>0</v>
      </c>
      <c r="L3495" s="1">
        <v>0</v>
      </c>
      <c r="M3495" s="32">
        <f>IF(Mecze[[#This Row],[PR]]=0,0,Mecze[[#This Row],[PR]]/Mecze[[#This Row],[CZAS]])</f>
        <v>0</v>
      </c>
      <c r="N3495" s="32">
        <f>IF(Mecze[[#This Row],[OU]]=0,0,Mecze[[#This Row],[OU]]/Mecze[[#This Row],[CZAS]])</f>
        <v>1.0309278350515464E-2</v>
      </c>
      <c r="O3495" s="32">
        <f>IF(Mecze[[#This Row],[PC]]=0,0,Mecze[[#This Row],[PC]]/Mecze[[#This Row],[CZAS]])</f>
        <v>5.1546391752577317E-2</v>
      </c>
      <c r="P3495" s="32">
        <f>IF(Mecze[[#This Row],[SC]]=0,0,Mecze[[#This Row],[SC]]/Mecze[[#This Row],[CZAS]])</f>
        <v>4.1237113402061855E-2</v>
      </c>
      <c r="Q3495" s="32">
        <f>IF(Mecze[[#This Row],[OB]]=0,0,Mecze[[#This Row],[OB]]/Mecze[[#This Row],[CZAS]])</f>
        <v>0</v>
      </c>
      <c r="R3495" s="32">
        <f>IF(Mecze[[#This Row],[BR]]=0,0,Mecze[[#This Row],[BR]]/Mecze[[#This Row],[CZAS]])</f>
        <v>1.0309278350515464E-2</v>
      </c>
      <c r="S3495" s="44">
        <f>IF(Mecze[[#This Row],[Role]]="BR",SUMPRODUCT(Mecze[[#This Row],[/PR:90]:[/BR:90]],Brudnopis!$E$23:$J$23),0)</f>
        <v>0</v>
      </c>
      <c r="T3495" s="44">
        <f>IF(Mecze[[#This Row],[Role]]&lt;&gt;"BR",SUMPRODUCT(Mecze[[#This Row],[/PR:90]:[/BR:90]],Brudnopis!$E$24:$J$24),0)</f>
        <v>0.12371134020618557</v>
      </c>
      <c r="U3495" s="44">
        <f>IF(Mecze[[#This Row],[Role]]&lt;&gt;"BR",SUMPRODUCT(Mecze[[#This Row],[/PR:90]:[/BR:90]],Brudnopis!$E$25:$J$25),0)</f>
        <v>0.14432989690721651</v>
      </c>
      <c r="V3495" s="44">
        <f>IF(Mecze[[#This Row],[Role]]&lt;&gt;"BR",SUMPRODUCT(Mecze[[#This Row],[/PR:90]:[/BR:90]],Brudnopis!$E$26:$J$26),0)</f>
        <v>0.12371134020618556</v>
      </c>
      <c r="W3495" s="44">
        <f>IF(Mecze[[#This Row],[Role]]&lt;&gt;"BR",SUMPRODUCT(Mecze[[#This Row],[/PR:90]:[/BR:90]],Brudnopis!$E$27:$J$27),0)</f>
        <v>0.14690721649484537</v>
      </c>
      <c r="X3495" s="44">
        <f>IF(Mecze[[#This Row],[Role]]&lt;&gt;"BR",SUMPRODUCT(Mecze[[#This Row],[/PR:90]:[/BR:90]],Brudnopis!$E$28:$J$28),0)</f>
        <v>0.16494845360824742</v>
      </c>
      <c r="Y3495" s="35">
        <f>IF(Mecze[[#This Row],[Role]]="BR",Mecze[[#This Row],[/OB:90]]+Mecze[[#This Row],[/PC:90]],SUM(Mecze[[#This Row],[/PR:90]:[/BR:90]]))</f>
        <v>0.1134020618556701</v>
      </c>
      <c r="Z3495" s="35">
        <f>IF(Mecze[[#This Row],[KC]]=0,SUM(Mecze[[#This Row],[/BRI]:[/NPI]]),SUM(Mecze[[#This Row],[/BRI]:[/NPI]])*0.6)</f>
        <v>0.70360824742268047</v>
      </c>
      <c r="AA3495" s="10">
        <f>IFERROR(Mecze[[#This Row],[BR]]/Mecze[[#This Row],[ST]],0)</f>
        <v>0.25</v>
      </c>
      <c r="AB3495">
        <f>ROUND(Mecze[[#This Row],[PD]]*Mecze[[#This Row],[%PC]],0)</f>
        <v>5</v>
      </c>
      <c r="AC3495">
        <f>ROUND(Mecze[[#This Row],[OD]]*Mecze[[#This Row],[%OU]],0)</f>
        <v>1</v>
      </c>
      <c r="AD3495" s="36" t="s">
        <v>273</v>
      </c>
      <c r="AE3495" s="36">
        <v>196</v>
      </c>
      <c r="AF3495" s="71">
        <v>7.11</v>
      </c>
      <c r="AG3495" s="37">
        <v>0</v>
      </c>
      <c r="AH3495" s="37">
        <v>0</v>
      </c>
      <c r="AI3495" s="37">
        <v>97</v>
      </c>
      <c r="AJ3495" s="37">
        <v>4</v>
      </c>
      <c r="AK3495" s="37" t="str">
        <f>VLOOKUP(Mecze[[#This Row],[Match ID]],Meczusie[Mecz]:Meczusie[RodzajMeczu],2,FALSE)</f>
        <v>Liga</v>
      </c>
    </row>
    <row r="3496" spans="1:37" x14ac:dyDescent="0.25">
      <c r="A3496" s="76">
        <v>10</v>
      </c>
      <c r="B3496" s="3" t="s">
        <v>284</v>
      </c>
      <c r="C3496" s="2" t="s">
        <v>165</v>
      </c>
      <c r="D3496" s="1">
        <v>0</v>
      </c>
      <c r="E3496" s="1">
        <v>3</v>
      </c>
      <c r="F3496" s="1">
        <v>3</v>
      </c>
      <c r="G3496" s="1">
        <v>6</v>
      </c>
      <c r="H3496" s="4">
        <v>0.83</v>
      </c>
      <c r="I3496" s="1">
        <v>1</v>
      </c>
      <c r="J3496" s="4">
        <v>1</v>
      </c>
      <c r="K3496" s="1">
        <v>0</v>
      </c>
      <c r="L3496" s="1">
        <v>0</v>
      </c>
      <c r="M3496" s="32">
        <f>IF(Mecze[[#This Row],[PR]]=0,0,Mecze[[#This Row],[PR]]/Mecze[[#This Row],[CZAS]])</f>
        <v>0</v>
      </c>
      <c r="N3496" s="32">
        <f>IF(Mecze[[#This Row],[OU]]=0,0,Mecze[[#This Row],[OU]]/Mecze[[#This Row],[CZAS]])</f>
        <v>1.0309278350515464E-2</v>
      </c>
      <c r="O3496" s="32">
        <f>IF(Mecze[[#This Row],[PC]]=0,0,Mecze[[#This Row],[PC]]/Mecze[[#This Row],[CZAS]])</f>
        <v>5.1546391752577317E-2</v>
      </c>
      <c r="P3496" s="32">
        <f>IF(Mecze[[#This Row],[SC]]=0,0,Mecze[[#This Row],[SC]]/Mecze[[#This Row],[CZAS]])</f>
        <v>3.0927835051546393E-2</v>
      </c>
      <c r="Q3496" s="32">
        <f>IF(Mecze[[#This Row],[OB]]=0,0,Mecze[[#This Row],[OB]]/Mecze[[#This Row],[CZAS]])</f>
        <v>0</v>
      </c>
      <c r="R3496" s="32">
        <f>IF(Mecze[[#This Row],[BR]]=0,0,Mecze[[#This Row],[BR]]/Mecze[[#This Row],[CZAS]])</f>
        <v>0</v>
      </c>
      <c r="S3496" s="44">
        <f>IF(Mecze[[#This Row],[Role]]="BR",SUMPRODUCT(Mecze[[#This Row],[/PR:90]:[/BR:90]],Brudnopis!$E$23:$J$23),0)</f>
        <v>0</v>
      </c>
      <c r="T3496" s="44">
        <f>IF(Mecze[[#This Row],[Role]]&lt;&gt;"BR",SUMPRODUCT(Mecze[[#This Row],[/PR:90]:[/BR:90]],Brudnopis!$E$24:$J$24),0)</f>
        <v>9.7938144329896906E-2</v>
      </c>
      <c r="U3496" s="44">
        <f>IF(Mecze[[#This Row],[Role]]&lt;&gt;"BR",SUMPRODUCT(Mecze[[#This Row],[/PR:90]:[/BR:90]],Brudnopis!$E$25:$J$25),0)</f>
        <v>0.11855670103092784</v>
      </c>
      <c r="V3496" s="44">
        <f>IF(Mecze[[#This Row],[Role]]&lt;&gt;"BR",SUMPRODUCT(Mecze[[#This Row],[/PR:90]:[/BR:90]],Brudnopis!$E$26:$J$26),0)</f>
        <v>9.2783505154639179E-2</v>
      </c>
      <c r="W3496" s="44">
        <f>IF(Mecze[[#This Row],[Role]]&lt;&gt;"BR",SUMPRODUCT(Mecze[[#This Row],[/PR:90]:[/BR:90]],Brudnopis!$E$27:$J$27),0)</f>
        <v>0.11597938144329897</v>
      </c>
      <c r="X3496" s="44">
        <f>IF(Mecze[[#This Row],[Role]]&lt;&gt;"BR",SUMPRODUCT(Mecze[[#This Row],[/PR:90]:[/BR:90]],Brudnopis!$E$28:$J$28),0)</f>
        <v>0.1134020618556701</v>
      </c>
      <c r="Y3496" s="35">
        <f>IF(Mecze[[#This Row],[Role]]="BR",Mecze[[#This Row],[/OB:90]]+Mecze[[#This Row],[/PC:90]],SUM(Mecze[[#This Row],[/PR:90]:[/BR:90]]))</f>
        <v>9.2783505154639179E-2</v>
      </c>
      <c r="Z3496" s="35">
        <f>IF(Mecze[[#This Row],[KC]]=0,SUM(Mecze[[#This Row],[/BRI]:[/NPI]]),SUM(Mecze[[#This Row],[/BRI]:[/NPI]])*0.6)</f>
        <v>0.53865979381443307</v>
      </c>
      <c r="AA3496" s="10">
        <f>IFERROR(Mecze[[#This Row],[BR]]/Mecze[[#This Row],[ST]],0)</f>
        <v>0</v>
      </c>
      <c r="AB3496">
        <f>ROUND(Mecze[[#This Row],[PD]]*Mecze[[#This Row],[%PC]],0)</f>
        <v>5</v>
      </c>
      <c r="AC3496">
        <f>ROUND(Mecze[[#This Row],[OD]]*Mecze[[#This Row],[%OU]],0)</f>
        <v>1</v>
      </c>
      <c r="AD3496" s="36" t="s">
        <v>46</v>
      </c>
      <c r="AE3496" s="36">
        <v>196</v>
      </c>
      <c r="AF3496" s="71">
        <v>6.84</v>
      </c>
      <c r="AG3496" s="37">
        <v>0</v>
      </c>
      <c r="AH3496" s="37">
        <v>0</v>
      </c>
      <c r="AI3496" s="37">
        <v>97</v>
      </c>
      <c r="AJ3496" s="37">
        <v>4</v>
      </c>
      <c r="AK3496" s="37" t="str">
        <f>VLOOKUP(Mecze[[#This Row],[Match ID]],Meczusie[Mecz]:Meczusie[RodzajMeczu],2,FALSE)</f>
        <v>Liga</v>
      </c>
    </row>
    <row r="3497" spans="1:37" x14ac:dyDescent="0.25">
      <c r="A3497" s="76">
        <v>3</v>
      </c>
      <c r="B3497" s="3" t="s">
        <v>495</v>
      </c>
      <c r="C3497" s="2" t="s">
        <v>157</v>
      </c>
      <c r="D3497" s="1">
        <v>0</v>
      </c>
      <c r="E3497" s="1">
        <v>1</v>
      </c>
      <c r="F3497" s="1">
        <v>1</v>
      </c>
      <c r="G3497" s="1">
        <v>1</v>
      </c>
      <c r="H3497" s="4">
        <v>1</v>
      </c>
      <c r="I3497" s="1">
        <v>4</v>
      </c>
      <c r="J3497" s="4">
        <v>0.75</v>
      </c>
      <c r="K3497" s="1">
        <v>0</v>
      </c>
      <c r="L3497" s="1">
        <v>1</v>
      </c>
      <c r="M3497" s="32">
        <f>IF(Mecze[[#This Row],[PR]]=0,0,Mecze[[#This Row],[PR]]/Mecze[[#This Row],[CZAS]])</f>
        <v>2.8571428571428571E-2</v>
      </c>
      <c r="N3497" s="32">
        <f>IF(Mecze[[#This Row],[OU]]=0,0,Mecze[[#This Row],[OU]]/Mecze[[#This Row],[CZAS]])</f>
        <v>8.5714285714285715E-2</v>
      </c>
      <c r="O3497" s="32">
        <f>IF(Mecze[[#This Row],[PC]]=0,0,Mecze[[#This Row],[PC]]/Mecze[[#This Row],[CZAS]])</f>
        <v>2.8571428571428571E-2</v>
      </c>
      <c r="P3497" s="32">
        <f>IF(Mecze[[#This Row],[SC]]=0,0,Mecze[[#This Row],[SC]]/Mecze[[#This Row],[CZAS]])</f>
        <v>2.8571428571428571E-2</v>
      </c>
      <c r="Q3497" s="32">
        <f>IF(Mecze[[#This Row],[OB]]=0,0,Mecze[[#This Row],[OB]]/Mecze[[#This Row],[CZAS]])</f>
        <v>0</v>
      </c>
      <c r="R3497" s="32">
        <f>IF(Mecze[[#This Row],[BR]]=0,0,Mecze[[#This Row],[BR]]/Mecze[[#This Row],[CZAS]])</f>
        <v>0</v>
      </c>
      <c r="S3497" s="44">
        <f>IF(Mecze[[#This Row],[Role]]="BR",SUMPRODUCT(Mecze[[#This Row],[/PR:90]:[/BR:90]],Brudnopis!$E$23:$J$23),0)</f>
        <v>0</v>
      </c>
      <c r="T3497" s="44">
        <f>IF(Mecze[[#This Row],[Role]]&lt;&gt;"BR",SUMPRODUCT(Mecze[[#This Row],[/PR:90]:[/BR:90]],Brudnopis!$E$24:$J$24),0)</f>
        <v>0.2142857142857143</v>
      </c>
      <c r="U3497" s="44">
        <f>IF(Mecze[[#This Row],[Role]]&lt;&gt;"BR",SUMPRODUCT(Mecze[[#This Row],[/PR:90]:[/BR:90]],Brudnopis!$E$25:$J$25),0)</f>
        <v>0.18571428571428572</v>
      </c>
      <c r="V3497" s="44">
        <f>IF(Mecze[[#This Row],[Role]]&lt;&gt;"BR",SUMPRODUCT(Mecze[[#This Row],[/PR:90]:[/BR:90]],Brudnopis!$E$26:$J$26),0)</f>
        <v>0.17142857142857143</v>
      </c>
      <c r="W3497" s="44">
        <f>IF(Mecze[[#This Row],[Role]]&lt;&gt;"BR",SUMPRODUCT(Mecze[[#This Row],[/PR:90]:[/BR:90]],Brudnopis!$E$27:$J$27),0)</f>
        <v>0.15714285714285714</v>
      </c>
      <c r="X3497" s="44">
        <f>IF(Mecze[[#This Row],[Role]]&lt;&gt;"BR",SUMPRODUCT(Mecze[[#This Row],[/PR:90]:[/BR:90]],Brudnopis!$E$28:$J$28),0)</f>
        <v>8.5714285714285715E-2</v>
      </c>
      <c r="Y3497" s="35">
        <f>IF(Mecze[[#This Row],[Role]]="BR",Mecze[[#This Row],[/OB:90]]+Mecze[[#This Row],[/PC:90]],SUM(Mecze[[#This Row],[/PR:90]:[/BR:90]]))</f>
        <v>0.17142857142857143</v>
      </c>
      <c r="Z3497" s="35">
        <f>IF(Mecze[[#This Row],[KC]]=0,SUM(Mecze[[#This Row],[/BRI]:[/NPI]]),SUM(Mecze[[#This Row],[/BRI]:[/NPI]])*0.6)</f>
        <v>0.81428571428571428</v>
      </c>
      <c r="AA3497" s="10">
        <f>IFERROR(Mecze[[#This Row],[BR]]/Mecze[[#This Row],[ST]],0)</f>
        <v>0</v>
      </c>
      <c r="AB3497">
        <f>ROUND(Mecze[[#This Row],[PD]]*Mecze[[#This Row],[%PC]],0)</f>
        <v>1</v>
      </c>
      <c r="AC3497">
        <f>ROUND(Mecze[[#This Row],[OD]]*Mecze[[#This Row],[%OU]],0)</f>
        <v>3</v>
      </c>
      <c r="AD3497" s="36" t="s">
        <v>167</v>
      </c>
      <c r="AE3497" s="36">
        <v>196</v>
      </c>
      <c r="AF3497" s="71">
        <v>3.05</v>
      </c>
      <c r="AG3497" s="37">
        <v>0</v>
      </c>
      <c r="AH3497" s="37">
        <v>0</v>
      </c>
      <c r="AI3497" s="37">
        <v>35</v>
      </c>
      <c r="AJ3497" s="37">
        <v>4</v>
      </c>
      <c r="AK3497" s="37" t="str">
        <f>VLOOKUP(Mecze[[#This Row],[Match ID]],Meczusie[Mecz]:Meczusie[RodzajMeczu],2,FALSE)</f>
        <v>Liga</v>
      </c>
    </row>
    <row r="3498" spans="1:37" x14ac:dyDescent="0.25">
      <c r="A3498" s="76">
        <v>14</v>
      </c>
      <c r="B3498" s="3" t="s">
        <v>281</v>
      </c>
      <c r="C3498" s="2" t="s">
        <v>165</v>
      </c>
      <c r="D3498" s="1">
        <v>1</v>
      </c>
      <c r="E3498" s="1">
        <v>2</v>
      </c>
      <c r="F3498" s="1">
        <v>2</v>
      </c>
      <c r="G3498" s="1">
        <v>3</v>
      </c>
      <c r="H3498" s="4">
        <v>0.67</v>
      </c>
      <c r="I3498" s="1">
        <v>2</v>
      </c>
      <c r="J3498" s="4">
        <v>0.5</v>
      </c>
      <c r="K3498" s="1">
        <v>0</v>
      </c>
      <c r="L3498" s="1">
        <v>1</v>
      </c>
      <c r="M3498" s="32">
        <f>IF(Mecze[[#This Row],[PR]]=0,0,Mecze[[#This Row],[PR]]/Mecze[[#This Row],[CZAS]])</f>
        <v>2.8571428571428571E-2</v>
      </c>
      <c r="N3498" s="32">
        <f>IF(Mecze[[#This Row],[OU]]=0,0,Mecze[[#This Row],[OU]]/Mecze[[#This Row],[CZAS]])</f>
        <v>2.8571428571428571E-2</v>
      </c>
      <c r="O3498" s="32">
        <f>IF(Mecze[[#This Row],[PC]]=0,0,Mecze[[#This Row],[PC]]/Mecze[[#This Row],[CZAS]])</f>
        <v>5.7142857142857141E-2</v>
      </c>
      <c r="P3498" s="32">
        <f>IF(Mecze[[#This Row],[SC]]=0,0,Mecze[[#This Row],[SC]]/Mecze[[#This Row],[CZAS]])</f>
        <v>5.7142857142857141E-2</v>
      </c>
      <c r="Q3498" s="32">
        <f>IF(Mecze[[#This Row],[OB]]=0,0,Mecze[[#This Row],[OB]]/Mecze[[#This Row],[CZAS]])</f>
        <v>0</v>
      </c>
      <c r="R3498" s="32">
        <f>IF(Mecze[[#This Row],[BR]]=0,0,Mecze[[#This Row],[BR]]/Mecze[[#This Row],[CZAS]])</f>
        <v>2.8571428571428571E-2</v>
      </c>
      <c r="S3498" s="44">
        <f>IF(Mecze[[#This Row],[Role]]="BR",SUMPRODUCT(Mecze[[#This Row],[/PR:90]:[/BR:90]],Brudnopis!$E$23:$J$23),0)</f>
        <v>0</v>
      </c>
      <c r="T3498" s="44">
        <f>IF(Mecze[[#This Row],[Role]]&lt;&gt;"BR",SUMPRODUCT(Mecze[[#This Row],[/PR:90]:[/BR:90]],Brudnopis!$E$24:$J$24),0)</f>
        <v>0.22857142857142854</v>
      </c>
      <c r="U3498" s="44">
        <f>IF(Mecze[[#This Row],[Role]]&lt;&gt;"BR",SUMPRODUCT(Mecze[[#This Row],[/PR:90]:[/BR:90]],Brudnopis!$E$25:$J$25),0)</f>
        <v>0.24285714285714283</v>
      </c>
      <c r="V3498" s="44">
        <f>IF(Mecze[[#This Row],[Role]]&lt;&gt;"BR",SUMPRODUCT(Mecze[[#This Row],[/PR:90]:[/BR:90]],Brudnopis!$E$26:$J$26),0)</f>
        <v>0.22857142857142856</v>
      </c>
      <c r="W3498" s="44">
        <f>IF(Mecze[[#This Row],[Role]]&lt;&gt;"BR",SUMPRODUCT(Mecze[[#This Row],[/PR:90]:[/BR:90]],Brudnopis!$E$27:$J$27),0)</f>
        <v>0.24285714285714283</v>
      </c>
      <c r="X3498" s="44">
        <f>IF(Mecze[[#This Row],[Role]]&lt;&gt;"BR",SUMPRODUCT(Mecze[[#This Row],[/PR:90]:[/BR:90]],Brudnopis!$E$28:$J$28),0)</f>
        <v>0.25714285714285712</v>
      </c>
      <c r="Y3498" s="35">
        <f>IF(Mecze[[#This Row],[Role]]="BR",Mecze[[#This Row],[/OB:90]]+Mecze[[#This Row],[/PC:90]],SUM(Mecze[[#This Row],[/PR:90]:[/BR:90]]))</f>
        <v>0.2</v>
      </c>
      <c r="Z3498" s="35">
        <f>IF(Mecze[[#This Row],[KC]]=0,SUM(Mecze[[#This Row],[/BRI]:[/NPI]]),SUM(Mecze[[#This Row],[/BRI]:[/NPI]])*0.6)</f>
        <v>1.2</v>
      </c>
      <c r="AA3498" s="10">
        <f>IFERROR(Mecze[[#This Row],[BR]]/Mecze[[#This Row],[ST]],0)</f>
        <v>0.5</v>
      </c>
      <c r="AB3498">
        <f>ROUND(Mecze[[#This Row],[PD]]*Mecze[[#This Row],[%PC]],0)</f>
        <v>2</v>
      </c>
      <c r="AC3498">
        <f>ROUND(Mecze[[#This Row],[OD]]*Mecze[[#This Row],[%OU]],0)</f>
        <v>1</v>
      </c>
      <c r="AD3498" s="36" t="s">
        <v>46</v>
      </c>
      <c r="AE3498" s="36">
        <v>196</v>
      </c>
      <c r="AF3498" s="71">
        <v>4.46</v>
      </c>
      <c r="AG3498" s="37">
        <v>0</v>
      </c>
      <c r="AH3498" s="37">
        <v>0</v>
      </c>
      <c r="AI3498" s="37">
        <v>35</v>
      </c>
      <c r="AJ3498" s="37">
        <v>4</v>
      </c>
      <c r="AK3498" s="37" t="str">
        <f>VLOOKUP(Mecze[[#This Row],[Match ID]],Meczusie[Mecz]:Meczusie[RodzajMeczu],2,FALSE)</f>
        <v>Liga</v>
      </c>
    </row>
    <row r="3499" spans="1:37" x14ac:dyDescent="0.25">
      <c r="A3499" s="76">
        <v>15</v>
      </c>
      <c r="B3499" s="3" t="s">
        <v>286</v>
      </c>
      <c r="C3499" s="2" t="s">
        <v>160</v>
      </c>
      <c r="D3499" s="1">
        <v>0</v>
      </c>
      <c r="E3499" s="1">
        <v>1</v>
      </c>
      <c r="F3499" s="1">
        <v>1</v>
      </c>
      <c r="G3499" s="1">
        <v>4</v>
      </c>
      <c r="H3499" s="4">
        <v>0.75</v>
      </c>
      <c r="I3499" s="1">
        <v>1</v>
      </c>
      <c r="J3499" s="4">
        <v>1</v>
      </c>
      <c r="K3499" s="1">
        <v>0</v>
      </c>
      <c r="L3499" s="1">
        <v>2</v>
      </c>
      <c r="M3499" s="32">
        <f>IF(Mecze[[#This Row],[PR]]=0,0,Mecze[[#This Row],[PR]]/Mecze[[#This Row],[CZAS]])</f>
        <v>5.5555555555555552E-2</v>
      </c>
      <c r="N3499" s="32">
        <f>IF(Mecze[[#This Row],[OU]]=0,0,Mecze[[#This Row],[OU]]/Mecze[[#This Row],[CZAS]])</f>
        <v>2.7777777777777776E-2</v>
      </c>
      <c r="O3499" s="32">
        <f>IF(Mecze[[#This Row],[PC]]=0,0,Mecze[[#This Row],[PC]]/Mecze[[#This Row],[CZAS]])</f>
        <v>8.3333333333333329E-2</v>
      </c>
      <c r="P3499" s="32">
        <f>IF(Mecze[[#This Row],[SC]]=0,0,Mecze[[#This Row],[SC]]/Mecze[[#This Row],[CZAS]])</f>
        <v>2.7777777777777776E-2</v>
      </c>
      <c r="Q3499" s="32">
        <f>IF(Mecze[[#This Row],[OB]]=0,0,Mecze[[#This Row],[OB]]/Mecze[[#This Row],[CZAS]])</f>
        <v>0</v>
      </c>
      <c r="R3499" s="32">
        <f>IF(Mecze[[#This Row],[BR]]=0,0,Mecze[[#This Row],[BR]]/Mecze[[#This Row],[CZAS]])</f>
        <v>0</v>
      </c>
      <c r="S3499" s="44">
        <f>IF(Mecze[[#This Row],[Role]]="BR",SUMPRODUCT(Mecze[[#This Row],[/PR:90]:[/BR:90]],Brudnopis!$E$23:$J$23),0)</f>
        <v>0</v>
      </c>
      <c r="T3499" s="44">
        <f>IF(Mecze[[#This Row],[Role]]&lt;&gt;"BR",SUMPRODUCT(Mecze[[#This Row],[/PR:90]:[/BR:90]],Brudnopis!$E$24:$J$24),0)</f>
        <v>0.20833333333333331</v>
      </c>
      <c r="U3499" s="44">
        <f>IF(Mecze[[#This Row],[Role]]&lt;&gt;"BR",SUMPRODUCT(Mecze[[#This Row],[/PR:90]:[/BR:90]],Brudnopis!$E$25:$J$25),0)</f>
        <v>0.2361111111111111</v>
      </c>
      <c r="V3499" s="44">
        <f>IF(Mecze[[#This Row],[Role]]&lt;&gt;"BR",SUMPRODUCT(Mecze[[#This Row],[/PR:90]:[/BR:90]],Brudnopis!$E$26:$J$26),0)</f>
        <v>0.19444444444444442</v>
      </c>
      <c r="W3499" s="44">
        <f>IF(Mecze[[#This Row],[Role]]&lt;&gt;"BR",SUMPRODUCT(Mecze[[#This Row],[/PR:90]:[/BR:90]],Brudnopis!$E$27:$J$27),0)</f>
        <v>0.21527777777777779</v>
      </c>
      <c r="X3499" s="44">
        <f>IF(Mecze[[#This Row],[Role]]&lt;&gt;"BR",SUMPRODUCT(Mecze[[#This Row],[/PR:90]:[/BR:90]],Brudnopis!$E$28:$J$28),0)</f>
        <v>0.1388888888888889</v>
      </c>
      <c r="Y3499" s="35">
        <f>IF(Mecze[[#This Row],[Role]]="BR",Mecze[[#This Row],[/OB:90]]+Mecze[[#This Row],[/PC:90]],SUM(Mecze[[#This Row],[/PR:90]:[/BR:90]]))</f>
        <v>0.19444444444444442</v>
      </c>
      <c r="Z3499" s="35">
        <f>IF(Mecze[[#This Row],[KC]]=0,SUM(Mecze[[#This Row],[/BRI]:[/NPI]]),SUM(Mecze[[#This Row],[/BRI]:[/NPI]])*0.6)</f>
        <v>0.99305555555555558</v>
      </c>
      <c r="AA3499" s="10">
        <f>IFERROR(Mecze[[#This Row],[BR]]/Mecze[[#This Row],[ST]],0)</f>
        <v>0</v>
      </c>
      <c r="AB3499">
        <f>ROUND(Mecze[[#This Row],[PD]]*Mecze[[#This Row],[%PC]],0)</f>
        <v>3</v>
      </c>
      <c r="AC3499">
        <f>ROUND(Mecze[[#This Row],[OD]]*Mecze[[#This Row],[%OU]],0)</f>
        <v>1</v>
      </c>
      <c r="AD3499" s="36" t="s">
        <v>171</v>
      </c>
      <c r="AE3499" s="36">
        <v>196</v>
      </c>
      <c r="AF3499" s="71">
        <v>1.26</v>
      </c>
      <c r="AG3499" s="37">
        <v>1</v>
      </c>
      <c r="AH3499" s="37">
        <v>0</v>
      </c>
      <c r="AI3499" s="37">
        <v>36</v>
      </c>
      <c r="AJ3499" s="37">
        <v>4</v>
      </c>
      <c r="AK3499" s="37" t="str">
        <f>VLOOKUP(Mecze[[#This Row],[Match ID]],Meczusie[Mecz]:Meczusie[RodzajMeczu],2,FALSE)</f>
        <v>Liga</v>
      </c>
    </row>
    <row r="3500" spans="1:37" x14ac:dyDescent="0.25">
      <c r="A3500" s="76">
        <v>1</v>
      </c>
      <c r="B3500" s="3" t="s">
        <v>261</v>
      </c>
      <c r="C3500" s="2" t="s">
        <v>155</v>
      </c>
      <c r="D3500" s="1">
        <v>0</v>
      </c>
      <c r="E3500" s="1">
        <v>0</v>
      </c>
      <c r="F3500" s="1">
        <v>0</v>
      </c>
      <c r="G3500" s="1">
        <v>12</v>
      </c>
      <c r="H3500" s="4">
        <v>0.5</v>
      </c>
      <c r="I3500" s="1">
        <v>0</v>
      </c>
      <c r="J3500" s="4"/>
      <c r="K3500" s="1">
        <v>14</v>
      </c>
      <c r="L3500" s="1">
        <v>0</v>
      </c>
      <c r="M3500" s="32">
        <f>IF(Mecze[[#This Row],[PR]]=0,0,Mecze[[#This Row],[PR]]/Mecze[[#This Row],[CZAS]])</f>
        <v>0</v>
      </c>
      <c r="N3500" s="32">
        <f>IF(Mecze[[#This Row],[OU]]=0,0,Mecze[[#This Row],[OU]]/Mecze[[#This Row],[CZAS]])</f>
        <v>0</v>
      </c>
      <c r="O3500" s="32">
        <f>IF(Mecze[[#This Row],[PC]]=0,0,Mecze[[#This Row],[PC]]/Mecze[[#This Row],[CZAS]])</f>
        <v>6.1855670103092786E-2</v>
      </c>
      <c r="P3500" s="32">
        <f>IF(Mecze[[#This Row],[SC]]=0,0,Mecze[[#This Row],[SC]]/Mecze[[#This Row],[CZAS]])</f>
        <v>0</v>
      </c>
      <c r="Q3500" s="32">
        <f>IF(Mecze[[#This Row],[OB]]=0,0,Mecze[[#This Row],[OB]]/Mecze[[#This Row],[CZAS]])</f>
        <v>0.14432989690721648</v>
      </c>
      <c r="R3500" s="32">
        <f>IF(Mecze[[#This Row],[BR]]=0,0,Mecze[[#This Row],[BR]]/Mecze[[#This Row],[CZAS]])</f>
        <v>0</v>
      </c>
      <c r="S3500" s="44">
        <f>IF(Mecze[[#This Row],[Role]]="BR",SUMPRODUCT(Mecze[[#This Row],[/PR:90]:[/BR:90]],Brudnopis!$E$23:$J$23),0)</f>
        <v>0.61855670103092786</v>
      </c>
      <c r="T3500" s="44">
        <f>IF(Mecze[[#This Row],[Role]]&lt;&gt;"BR",SUMPRODUCT(Mecze[[#This Row],[/PR:90]:[/BR:90]],Brudnopis!$E$24:$J$24),0)</f>
        <v>0</v>
      </c>
      <c r="U3500" s="44">
        <f>IF(Mecze[[#This Row],[Role]]&lt;&gt;"BR",SUMPRODUCT(Mecze[[#This Row],[/PR:90]:[/BR:90]],Brudnopis!$E$25:$J$25),0)</f>
        <v>0</v>
      </c>
      <c r="V3500" s="44">
        <f>IF(Mecze[[#This Row],[Role]]&lt;&gt;"BR",SUMPRODUCT(Mecze[[#This Row],[/PR:90]:[/BR:90]],Brudnopis!$E$26:$J$26),0)</f>
        <v>0</v>
      </c>
      <c r="W3500" s="44">
        <f>IF(Mecze[[#This Row],[Role]]&lt;&gt;"BR",SUMPRODUCT(Mecze[[#This Row],[/PR:90]:[/BR:90]],Brudnopis!$E$27:$J$27),0)</f>
        <v>0</v>
      </c>
      <c r="X3500" s="44">
        <f>IF(Mecze[[#This Row],[Role]]&lt;&gt;"BR",SUMPRODUCT(Mecze[[#This Row],[/PR:90]:[/BR:90]],Brudnopis!$E$28:$J$28),0)</f>
        <v>0</v>
      </c>
      <c r="Y3500" s="35">
        <f>IF(Mecze[[#This Row],[Role]]="BR",Mecze[[#This Row],[/OB:90]]+Mecze[[#This Row],[/PC:90]],SUM(Mecze[[#This Row],[/PR:90]:[/BR:90]]))</f>
        <v>0.20618556701030927</v>
      </c>
      <c r="Z3500" s="35">
        <f>IF(Mecze[[#This Row],[KC]]=0,SUM(Mecze[[#This Row],[/BRI]:[/NPI]]),SUM(Mecze[[#This Row],[/BRI]:[/NPI]])*0.6)</f>
        <v>0.61855670103092786</v>
      </c>
      <c r="AA3500" s="10">
        <f>IFERROR(Mecze[[#This Row],[BR]]/Mecze[[#This Row],[ST]],0)</f>
        <v>0</v>
      </c>
      <c r="AB3500">
        <f>ROUND(Mecze[[#This Row],[PD]]*Mecze[[#This Row],[%PC]],0)</f>
        <v>6</v>
      </c>
      <c r="AC3500">
        <f>ROUND(Mecze[[#This Row],[OD]]*Mecze[[#This Row],[%OU]],0)</f>
        <v>0</v>
      </c>
      <c r="AD3500" s="36" t="s">
        <v>40</v>
      </c>
      <c r="AE3500" s="36">
        <v>196</v>
      </c>
      <c r="AF3500" s="71">
        <v>7.71</v>
      </c>
      <c r="AG3500" s="37">
        <v>0</v>
      </c>
      <c r="AH3500" s="37">
        <v>0</v>
      </c>
      <c r="AI3500" s="37">
        <v>97</v>
      </c>
      <c r="AJ3500" s="37">
        <v>3</v>
      </c>
      <c r="AK3500" s="37" t="str">
        <f>VLOOKUP(Mecze[[#This Row],[Match ID]],Meczusie[Mecz]:Meczusie[RodzajMeczu],2,FALSE)</f>
        <v>Liga</v>
      </c>
    </row>
    <row r="3501" spans="1:37" x14ac:dyDescent="0.25">
      <c r="A3501" s="76">
        <v>6</v>
      </c>
      <c r="B3501" s="3" t="s">
        <v>263</v>
      </c>
      <c r="C3501" s="2" t="s">
        <v>157</v>
      </c>
      <c r="D3501" s="1">
        <v>0</v>
      </c>
      <c r="E3501" s="1">
        <v>0</v>
      </c>
      <c r="F3501" s="1">
        <v>0</v>
      </c>
      <c r="G3501" s="1">
        <v>12</v>
      </c>
      <c r="H3501" s="4">
        <v>0.75</v>
      </c>
      <c r="I3501" s="1">
        <v>2</v>
      </c>
      <c r="J3501" s="4">
        <v>0.5</v>
      </c>
      <c r="K3501" s="1">
        <v>0</v>
      </c>
      <c r="L3501" s="1">
        <v>5</v>
      </c>
      <c r="M3501" s="32">
        <f>IF(Mecze[[#This Row],[PR]]=0,0,Mecze[[#This Row],[PR]]/Mecze[[#This Row],[CZAS]])</f>
        <v>5.1546391752577317E-2</v>
      </c>
      <c r="N3501" s="32">
        <f>IF(Mecze[[#This Row],[OU]]=0,0,Mecze[[#This Row],[OU]]/Mecze[[#This Row],[CZAS]])</f>
        <v>1.0309278350515464E-2</v>
      </c>
      <c r="O3501" s="32">
        <f>IF(Mecze[[#This Row],[PC]]=0,0,Mecze[[#This Row],[PC]]/Mecze[[#This Row],[CZAS]])</f>
        <v>9.2783505154639179E-2</v>
      </c>
      <c r="P3501" s="32">
        <f>IF(Mecze[[#This Row],[SC]]=0,0,Mecze[[#This Row],[SC]]/Mecze[[#This Row],[CZAS]])</f>
        <v>0</v>
      </c>
      <c r="Q3501" s="32">
        <f>IF(Mecze[[#This Row],[OB]]=0,0,Mecze[[#This Row],[OB]]/Mecze[[#This Row],[CZAS]])</f>
        <v>0</v>
      </c>
      <c r="R3501" s="32">
        <f>IF(Mecze[[#This Row],[BR]]=0,0,Mecze[[#This Row],[BR]]/Mecze[[#This Row],[CZAS]])</f>
        <v>0</v>
      </c>
      <c r="S3501" s="44">
        <f>IF(Mecze[[#This Row],[Role]]="BR",SUMPRODUCT(Mecze[[#This Row],[/PR:90]:[/BR:90]],Brudnopis!$E$23:$J$23),0)</f>
        <v>0</v>
      </c>
      <c r="T3501" s="44">
        <f>IF(Mecze[[#This Row],[Role]]&lt;&gt;"BR",SUMPRODUCT(Mecze[[#This Row],[/PR:90]:[/BR:90]],Brudnopis!$E$24:$J$24),0)</f>
        <v>0.15979381443298968</v>
      </c>
      <c r="U3501" s="44">
        <f>IF(Mecze[[#This Row],[Role]]&lt;&gt;"BR",SUMPRODUCT(Mecze[[#This Row],[/PR:90]:[/BR:90]],Brudnopis!$E$25:$J$25),0)</f>
        <v>0.20103092783505155</v>
      </c>
      <c r="V3501" s="44">
        <f>IF(Mecze[[#This Row],[Role]]&lt;&gt;"BR",SUMPRODUCT(Mecze[[#This Row],[/PR:90]:[/BR:90]],Brudnopis!$E$26:$J$26),0)</f>
        <v>0.15463917525773196</v>
      </c>
      <c r="W3501" s="44">
        <f>IF(Mecze[[#This Row],[Role]]&lt;&gt;"BR",SUMPRODUCT(Mecze[[#This Row],[/PR:90]:[/BR:90]],Brudnopis!$E$27:$J$27),0)</f>
        <v>0.18556701030927836</v>
      </c>
      <c r="X3501" s="44">
        <f>IF(Mecze[[#This Row],[Role]]&lt;&gt;"BR",SUMPRODUCT(Mecze[[#This Row],[/PR:90]:[/BR:90]],Brudnopis!$E$28:$J$28),0)</f>
        <v>9.2783505154639179E-2</v>
      </c>
      <c r="Y3501" s="35">
        <f>IF(Mecze[[#This Row],[Role]]="BR",Mecze[[#This Row],[/OB:90]]+Mecze[[#This Row],[/PC:90]],SUM(Mecze[[#This Row],[/PR:90]:[/BR:90]]))</f>
        <v>0.15463917525773196</v>
      </c>
      <c r="Z3501" s="35">
        <f>IF(Mecze[[#This Row],[KC]]=0,SUM(Mecze[[#This Row],[/BRI]:[/NPI]]),SUM(Mecze[[#This Row],[/BRI]:[/NPI]])*0.6)</f>
        <v>0.79381443298969068</v>
      </c>
      <c r="AA3501" s="10">
        <f>IFERROR(Mecze[[#This Row],[BR]]/Mecze[[#This Row],[ST]],0)</f>
        <v>0</v>
      </c>
      <c r="AB3501">
        <f>ROUND(Mecze[[#This Row],[PD]]*Mecze[[#This Row],[%PC]],0)</f>
        <v>9</v>
      </c>
      <c r="AC3501">
        <f>ROUND(Mecze[[#This Row],[OD]]*Mecze[[#This Row],[%OU]],0)</f>
        <v>1</v>
      </c>
      <c r="AD3501" s="36" t="s">
        <v>47</v>
      </c>
      <c r="AE3501" s="36">
        <v>196</v>
      </c>
      <c r="AF3501" s="71">
        <v>2.64</v>
      </c>
      <c r="AG3501" s="37">
        <v>0</v>
      </c>
      <c r="AH3501" s="37">
        <v>0</v>
      </c>
      <c r="AI3501" s="37">
        <v>97</v>
      </c>
      <c r="AJ3501" s="37">
        <v>3</v>
      </c>
      <c r="AK3501" s="37" t="str">
        <f>VLOOKUP(Mecze[[#This Row],[Match ID]],Meczusie[Mecz]:Meczusie[RodzajMeczu],2,FALSE)</f>
        <v>Liga</v>
      </c>
    </row>
    <row r="3502" spans="1:37" x14ac:dyDescent="0.25">
      <c r="A3502" s="76">
        <v>13</v>
      </c>
      <c r="B3502" s="3" t="s">
        <v>262</v>
      </c>
      <c r="C3502" s="2" t="s">
        <v>157</v>
      </c>
      <c r="D3502" s="1">
        <v>0</v>
      </c>
      <c r="E3502" s="1">
        <v>0</v>
      </c>
      <c r="F3502" s="1">
        <v>0</v>
      </c>
      <c r="G3502" s="1">
        <v>8</v>
      </c>
      <c r="H3502" s="4">
        <v>0.38</v>
      </c>
      <c r="I3502" s="1">
        <v>9</v>
      </c>
      <c r="J3502" s="4">
        <v>0.56000000000000005</v>
      </c>
      <c r="K3502" s="1">
        <v>0</v>
      </c>
      <c r="L3502" s="1">
        <v>10</v>
      </c>
      <c r="M3502" s="32">
        <f>IF(Mecze[[#This Row],[PR]]=0,0,Mecze[[#This Row],[PR]]/Mecze[[#This Row],[CZAS]])</f>
        <v>0.10309278350515463</v>
      </c>
      <c r="N3502" s="32">
        <f>IF(Mecze[[#This Row],[OU]]=0,0,Mecze[[#This Row],[OU]]/Mecze[[#This Row],[CZAS]])</f>
        <v>5.1546391752577317E-2</v>
      </c>
      <c r="O3502" s="32">
        <f>IF(Mecze[[#This Row],[PC]]=0,0,Mecze[[#This Row],[PC]]/Mecze[[#This Row],[CZAS]])</f>
        <v>3.0927835051546393E-2</v>
      </c>
      <c r="P3502" s="32">
        <f>IF(Mecze[[#This Row],[SC]]=0,0,Mecze[[#This Row],[SC]]/Mecze[[#This Row],[CZAS]])</f>
        <v>0</v>
      </c>
      <c r="Q3502" s="32">
        <f>IF(Mecze[[#This Row],[OB]]=0,0,Mecze[[#This Row],[OB]]/Mecze[[#This Row],[CZAS]])</f>
        <v>0</v>
      </c>
      <c r="R3502" s="32">
        <f>IF(Mecze[[#This Row],[BR]]=0,0,Mecze[[#This Row],[BR]]/Mecze[[#This Row],[CZAS]])</f>
        <v>0</v>
      </c>
      <c r="S3502" s="44">
        <f>IF(Mecze[[#This Row],[Role]]="BR",SUMPRODUCT(Mecze[[#This Row],[/PR:90]:[/BR:90]],Brudnopis!$E$23:$J$23),0)</f>
        <v>0</v>
      </c>
      <c r="T3502" s="44">
        <f>IF(Mecze[[#This Row],[Role]]&lt;&gt;"BR",SUMPRODUCT(Mecze[[#This Row],[/PR:90]:[/BR:90]],Brudnopis!$E$24:$J$24),0)</f>
        <v>0.21134020618556701</v>
      </c>
      <c r="U3502" s="44">
        <f>IF(Mecze[[#This Row],[Role]]&lt;&gt;"BR",SUMPRODUCT(Mecze[[#This Row],[/PR:90]:[/BR:90]],Brudnopis!$E$25:$J$25),0)</f>
        <v>0.20103092783505155</v>
      </c>
      <c r="V3502" s="44">
        <f>IF(Mecze[[#This Row],[Role]]&lt;&gt;"BR",SUMPRODUCT(Mecze[[#This Row],[/PR:90]:[/BR:90]],Brudnopis!$E$26:$J$26),0)</f>
        <v>0.18556701030927836</v>
      </c>
      <c r="W3502" s="44">
        <f>IF(Mecze[[#This Row],[Role]]&lt;&gt;"BR",SUMPRODUCT(Mecze[[#This Row],[/PR:90]:[/BR:90]],Brudnopis!$E$27:$J$27),0)</f>
        <v>0.16237113402061856</v>
      </c>
      <c r="X3502" s="44">
        <f>IF(Mecze[[#This Row],[Role]]&lt;&gt;"BR",SUMPRODUCT(Mecze[[#This Row],[/PR:90]:[/BR:90]],Brudnopis!$E$28:$J$28),0)</f>
        <v>3.0927835051546393E-2</v>
      </c>
      <c r="Y3502" s="35">
        <f>IF(Mecze[[#This Row],[Role]]="BR",Mecze[[#This Row],[/OB:90]]+Mecze[[#This Row],[/PC:90]],SUM(Mecze[[#This Row],[/PR:90]:[/BR:90]]))</f>
        <v>0.18556701030927836</v>
      </c>
      <c r="Z3502" s="35">
        <f>IF(Mecze[[#This Row],[KC]]=0,SUM(Mecze[[#This Row],[/BRI]:[/NPI]]),SUM(Mecze[[#This Row],[/BRI]:[/NPI]])*0.6)</f>
        <v>0.79123711340206182</v>
      </c>
      <c r="AA3502" s="10">
        <f>IFERROR(Mecze[[#This Row],[BR]]/Mecze[[#This Row],[ST]],0)</f>
        <v>0</v>
      </c>
      <c r="AB3502">
        <f>ROUND(Mecze[[#This Row],[PD]]*Mecze[[#This Row],[%PC]],0)</f>
        <v>3</v>
      </c>
      <c r="AC3502">
        <f>ROUND(Mecze[[#This Row],[OD]]*Mecze[[#This Row],[%OU]],0)</f>
        <v>5</v>
      </c>
      <c r="AD3502" s="36" t="s">
        <v>175</v>
      </c>
      <c r="AE3502" s="36">
        <v>196</v>
      </c>
      <c r="AF3502" s="71">
        <v>4.8099999999999996</v>
      </c>
      <c r="AG3502" s="37">
        <v>0</v>
      </c>
      <c r="AH3502" s="37">
        <v>0</v>
      </c>
      <c r="AI3502" s="37">
        <v>97</v>
      </c>
      <c r="AJ3502" s="37">
        <v>3</v>
      </c>
      <c r="AK3502" s="37" t="str">
        <f>VLOOKUP(Mecze[[#This Row],[Match ID]],Meczusie[Mecz]:Meczusie[RodzajMeczu],2,FALSE)</f>
        <v>Liga</v>
      </c>
    </row>
    <row r="3503" spans="1:37" x14ac:dyDescent="0.25">
      <c r="A3503" s="76">
        <v>4</v>
      </c>
      <c r="B3503" s="3" t="s">
        <v>264</v>
      </c>
      <c r="C3503" s="2" t="s">
        <v>157</v>
      </c>
      <c r="D3503" s="1">
        <v>0</v>
      </c>
      <c r="E3503" s="1">
        <v>0</v>
      </c>
      <c r="F3503" s="1">
        <v>0</v>
      </c>
      <c r="G3503" s="1">
        <v>2</v>
      </c>
      <c r="H3503" s="4">
        <v>0.5</v>
      </c>
      <c r="I3503" s="1">
        <v>1</v>
      </c>
      <c r="J3503" s="4">
        <v>1</v>
      </c>
      <c r="K3503" s="1">
        <v>0</v>
      </c>
      <c r="L3503" s="1">
        <v>0</v>
      </c>
      <c r="M3503" s="32">
        <f>IF(Mecze[[#This Row],[PR]]=0,0,Mecze[[#This Row],[PR]]/Mecze[[#This Row],[CZAS]])</f>
        <v>0</v>
      </c>
      <c r="N3503" s="32">
        <f>IF(Mecze[[#This Row],[OU]]=0,0,Mecze[[#This Row],[OU]]/Mecze[[#This Row],[CZAS]])</f>
        <v>1.0309278350515464E-2</v>
      </c>
      <c r="O3503" s="32">
        <f>IF(Mecze[[#This Row],[PC]]=0,0,Mecze[[#This Row],[PC]]/Mecze[[#This Row],[CZAS]])</f>
        <v>1.0309278350515464E-2</v>
      </c>
      <c r="P3503" s="32">
        <f>IF(Mecze[[#This Row],[SC]]=0,0,Mecze[[#This Row],[SC]]/Mecze[[#This Row],[CZAS]])</f>
        <v>0</v>
      </c>
      <c r="Q3503" s="32">
        <f>IF(Mecze[[#This Row],[OB]]=0,0,Mecze[[#This Row],[OB]]/Mecze[[#This Row],[CZAS]])</f>
        <v>0</v>
      </c>
      <c r="R3503" s="32">
        <f>IF(Mecze[[#This Row],[BR]]=0,0,Mecze[[#This Row],[BR]]/Mecze[[#This Row],[CZAS]])</f>
        <v>0</v>
      </c>
      <c r="S3503" s="44">
        <f>IF(Mecze[[#This Row],[Role]]="BR",SUMPRODUCT(Mecze[[#This Row],[/PR:90]:[/BR:90]],Brudnopis!$E$23:$J$23),0)</f>
        <v>0</v>
      </c>
      <c r="T3503" s="44">
        <f>IF(Mecze[[#This Row],[Role]]&lt;&gt;"BR",SUMPRODUCT(Mecze[[#This Row],[/PR:90]:[/BR:90]],Brudnopis!$E$24:$J$24),0)</f>
        <v>2.5773195876288658E-2</v>
      </c>
      <c r="U3503" s="44">
        <f>IF(Mecze[[#This Row],[Role]]&lt;&gt;"BR",SUMPRODUCT(Mecze[[#This Row],[/PR:90]:[/BR:90]],Brudnopis!$E$25:$J$25),0)</f>
        <v>2.5773195876288658E-2</v>
      </c>
      <c r="V3503" s="44">
        <f>IF(Mecze[[#This Row],[Role]]&lt;&gt;"BR",SUMPRODUCT(Mecze[[#This Row],[/PR:90]:[/BR:90]],Brudnopis!$E$26:$J$26),0)</f>
        <v>2.0618556701030927E-2</v>
      </c>
      <c r="W3503" s="44">
        <f>IF(Mecze[[#This Row],[Role]]&lt;&gt;"BR",SUMPRODUCT(Mecze[[#This Row],[/PR:90]:[/BR:90]],Brudnopis!$E$27:$J$27),0)</f>
        <v>2.3195876288659795E-2</v>
      </c>
      <c r="X3503" s="44">
        <f>IF(Mecze[[#This Row],[Role]]&lt;&gt;"BR",SUMPRODUCT(Mecze[[#This Row],[/PR:90]:[/BR:90]],Brudnopis!$E$28:$J$28),0)</f>
        <v>1.0309278350515464E-2</v>
      </c>
      <c r="Y3503" s="35">
        <f>IF(Mecze[[#This Row],[Role]]="BR",Mecze[[#This Row],[/OB:90]]+Mecze[[#This Row],[/PC:90]],SUM(Mecze[[#This Row],[/PR:90]:[/BR:90]]))</f>
        <v>2.0618556701030927E-2</v>
      </c>
      <c r="Z3503" s="35">
        <f>IF(Mecze[[#This Row],[KC]]=0,SUM(Mecze[[#This Row],[/BRI]:[/NPI]]),SUM(Mecze[[#This Row],[/BRI]:[/NPI]])*0.6)</f>
        <v>0.1056701030927835</v>
      </c>
      <c r="AA3503" s="10">
        <f>IFERROR(Mecze[[#This Row],[BR]]/Mecze[[#This Row],[ST]],0)</f>
        <v>0</v>
      </c>
      <c r="AB3503">
        <f>ROUND(Mecze[[#This Row],[PD]]*Mecze[[#This Row],[%PC]],0)</f>
        <v>1</v>
      </c>
      <c r="AC3503">
        <f>ROUND(Mecze[[#This Row],[OD]]*Mecze[[#This Row],[%OU]],0)</f>
        <v>1</v>
      </c>
      <c r="AD3503" s="36" t="s">
        <v>174</v>
      </c>
      <c r="AE3503" s="36">
        <v>196</v>
      </c>
      <c r="AF3503" s="71">
        <v>1.59</v>
      </c>
      <c r="AG3503" s="37">
        <v>0</v>
      </c>
      <c r="AH3503" s="37">
        <v>0</v>
      </c>
      <c r="AI3503" s="37">
        <v>97</v>
      </c>
      <c r="AJ3503" s="37">
        <v>3</v>
      </c>
      <c r="AK3503" s="37" t="str">
        <f>VLOOKUP(Mecze[[#This Row],[Match ID]],Meczusie[Mecz]:Meczusie[RodzajMeczu],2,FALSE)</f>
        <v>Liga</v>
      </c>
    </row>
    <row r="3504" spans="1:37" x14ac:dyDescent="0.25">
      <c r="A3504" s="76">
        <v>2</v>
      </c>
      <c r="B3504" s="3" t="s">
        <v>265</v>
      </c>
      <c r="C3504" s="2" t="s">
        <v>157</v>
      </c>
      <c r="D3504" s="1">
        <v>0</v>
      </c>
      <c r="E3504" s="1">
        <v>0</v>
      </c>
      <c r="F3504" s="1">
        <v>0</v>
      </c>
      <c r="G3504" s="1">
        <v>9</v>
      </c>
      <c r="H3504" s="4">
        <v>0.89</v>
      </c>
      <c r="I3504" s="1">
        <v>11</v>
      </c>
      <c r="J3504" s="4">
        <v>0.55000000000000004</v>
      </c>
      <c r="K3504" s="1">
        <v>0</v>
      </c>
      <c r="L3504" s="1">
        <v>5</v>
      </c>
      <c r="M3504" s="32">
        <f>IF(Mecze[[#This Row],[PR]]=0,0,Mecze[[#This Row],[PR]]/Mecze[[#This Row],[CZAS]])</f>
        <v>5.1546391752577317E-2</v>
      </c>
      <c r="N3504" s="32">
        <f>IF(Mecze[[#This Row],[OU]]=0,0,Mecze[[#This Row],[OU]]/Mecze[[#This Row],[CZAS]])</f>
        <v>6.1855670103092786E-2</v>
      </c>
      <c r="O3504" s="32">
        <f>IF(Mecze[[#This Row],[PC]]=0,0,Mecze[[#This Row],[PC]]/Mecze[[#This Row],[CZAS]])</f>
        <v>8.247422680412371E-2</v>
      </c>
      <c r="P3504" s="32">
        <f>IF(Mecze[[#This Row],[SC]]=0,0,Mecze[[#This Row],[SC]]/Mecze[[#This Row],[CZAS]])</f>
        <v>0</v>
      </c>
      <c r="Q3504" s="32">
        <f>IF(Mecze[[#This Row],[OB]]=0,0,Mecze[[#This Row],[OB]]/Mecze[[#This Row],[CZAS]])</f>
        <v>0</v>
      </c>
      <c r="R3504" s="32">
        <f>IF(Mecze[[#This Row],[BR]]=0,0,Mecze[[#This Row],[BR]]/Mecze[[#This Row],[CZAS]])</f>
        <v>0</v>
      </c>
      <c r="S3504" s="44">
        <f>IF(Mecze[[#This Row],[Role]]="BR",SUMPRODUCT(Mecze[[#This Row],[/PR:90]:[/BR:90]],Brudnopis!$E$23:$J$23),0)</f>
        <v>0</v>
      </c>
      <c r="T3504" s="44">
        <f>IF(Mecze[[#This Row],[Role]]&lt;&gt;"BR",SUMPRODUCT(Mecze[[#This Row],[/PR:90]:[/BR:90]],Brudnopis!$E$24:$J$24),0)</f>
        <v>0.22680412371134018</v>
      </c>
      <c r="U3504" s="44">
        <f>IF(Mecze[[#This Row],[Role]]&lt;&gt;"BR",SUMPRODUCT(Mecze[[#This Row],[/PR:90]:[/BR:90]],Brudnopis!$E$25:$J$25),0)</f>
        <v>0.23711340206185566</v>
      </c>
      <c r="V3504" s="44">
        <f>IF(Mecze[[#This Row],[Role]]&lt;&gt;"BR",SUMPRODUCT(Mecze[[#This Row],[/PR:90]:[/BR:90]],Brudnopis!$E$26:$J$26),0)</f>
        <v>0.19587628865979381</v>
      </c>
      <c r="W3504" s="44">
        <f>IF(Mecze[[#This Row],[Role]]&lt;&gt;"BR",SUMPRODUCT(Mecze[[#This Row],[/PR:90]:[/BR:90]],Brudnopis!$E$27:$J$27),0)</f>
        <v>0.20876288659793815</v>
      </c>
      <c r="X3504" s="44">
        <f>IF(Mecze[[#This Row],[Role]]&lt;&gt;"BR",SUMPRODUCT(Mecze[[#This Row],[/PR:90]:[/BR:90]],Brudnopis!$E$28:$J$28),0)</f>
        <v>8.247422680412371E-2</v>
      </c>
      <c r="Y3504" s="35">
        <f>IF(Mecze[[#This Row],[Role]]="BR",Mecze[[#This Row],[/OB:90]]+Mecze[[#This Row],[/PC:90]],SUM(Mecze[[#This Row],[/PR:90]:[/BR:90]]))</f>
        <v>0.19587628865979381</v>
      </c>
      <c r="Z3504" s="35">
        <f>IF(Mecze[[#This Row],[KC]]=0,SUM(Mecze[[#This Row],[/BRI]:[/NPI]]),SUM(Mecze[[#This Row],[/BRI]:[/NPI]])*0.6)</f>
        <v>0.95103092783505161</v>
      </c>
      <c r="AA3504" s="10">
        <f>IFERROR(Mecze[[#This Row],[BR]]/Mecze[[#This Row],[ST]],0)</f>
        <v>0</v>
      </c>
      <c r="AB3504">
        <f>ROUND(Mecze[[#This Row],[PD]]*Mecze[[#This Row],[%PC]],0)</f>
        <v>8</v>
      </c>
      <c r="AC3504">
        <f>ROUND(Mecze[[#This Row],[OD]]*Mecze[[#This Row],[%OU]],0)</f>
        <v>6</v>
      </c>
      <c r="AD3504" s="36" t="s">
        <v>47</v>
      </c>
      <c r="AE3504" s="36">
        <v>196</v>
      </c>
      <c r="AF3504" s="71">
        <v>3.76</v>
      </c>
      <c r="AG3504" s="37">
        <v>0</v>
      </c>
      <c r="AH3504" s="37">
        <v>0</v>
      </c>
      <c r="AI3504" s="37">
        <v>97</v>
      </c>
      <c r="AJ3504" s="37">
        <v>3</v>
      </c>
      <c r="AK3504" s="37" t="str">
        <f>VLOOKUP(Mecze[[#This Row],[Match ID]],Meczusie[Mecz]:Meczusie[RodzajMeczu],2,FALSE)</f>
        <v>Liga</v>
      </c>
    </row>
    <row r="3505" spans="1:37" x14ac:dyDescent="0.25">
      <c r="A3505" s="76">
        <v>7</v>
      </c>
      <c r="B3505" s="3" t="s">
        <v>509</v>
      </c>
      <c r="C3505" s="2" t="s">
        <v>160</v>
      </c>
      <c r="D3505" s="1">
        <v>0</v>
      </c>
      <c r="E3505" s="1">
        <v>0</v>
      </c>
      <c r="F3505" s="1">
        <v>0</v>
      </c>
      <c r="G3505" s="1">
        <v>16</v>
      </c>
      <c r="H3505" s="4">
        <v>0.75</v>
      </c>
      <c r="I3505" s="1">
        <v>3</v>
      </c>
      <c r="J3505" s="4">
        <v>0.67</v>
      </c>
      <c r="K3505" s="1">
        <v>0</v>
      </c>
      <c r="L3505" s="1">
        <v>5</v>
      </c>
      <c r="M3505" s="32">
        <f>IF(Mecze[[#This Row],[PR]]=0,0,Mecze[[#This Row],[PR]]/Mecze[[#This Row],[CZAS]])</f>
        <v>5.1546391752577317E-2</v>
      </c>
      <c r="N3505" s="32">
        <f>IF(Mecze[[#This Row],[OU]]=0,0,Mecze[[#This Row],[OU]]/Mecze[[#This Row],[CZAS]])</f>
        <v>2.0618556701030927E-2</v>
      </c>
      <c r="O3505" s="32">
        <f>IF(Mecze[[#This Row],[PC]]=0,0,Mecze[[#This Row],[PC]]/Mecze[[#This Row],[CZAS]])</f>
        <v>0.12371134020618557</v>
      </c>
      <c r="P3505" s="32">
        <f>IF(Mecze[[#This Row],[SC]]=0,0,Mecze[[#This Row],[SC]]/Mecze[[#This Row],[CZAS]])</f>
        <v>0</v>
      </c>
      <c r="Q3505" s="32">
        <f>IF(Mecze[[#This Row],[OB]]=0,0,Mecze[[#This Row],[OB]]/Mecze[[#This Row],[CZAS]])</f>
        <v>0</v>
      </c>
      <c r="R3505" s="32">
        <f>IF(Mecze[[#This Row],[BR]]=0,0,Mecze[[#This Row],[BR]]/Mecze[[#This Row],[CZAS]])</f>
        <v>0</v>
      </c>
      <c r="S3505" s="44">
        <f>IF(Mecze[[#This Row],[Role]]="BR",SUMPRODUCT(Mecze[[#This Row],[/PR:90]:[/BR:90]],Brudnopis!$E$23:$J$23),0)</f>
        <v>0</v>
      </c>
      <c r="T3505" s="44">
        <f>IF(Mecze[[#This Row],[Role]]&lt;&gt;"BR",SUMPRODUCT(Mecze[[#This Row],[/PR:90]:[/BR:90]],Brudnopis!$E$24:$J$24),0)</f>
        <v>0.20618556701030927</v>
      </c>
      <c r="U3505" s="44">
        <f>IF(Mecze[[#This Row],[Role]]&lt;&gt;"BR",SUMPRODUCT(Mecze[[#This Row],[/PR:90]:[/BR:90]],Brudnopis!$E$25:$J$25),0)</f>
        <v>0.25773195876288657</v>
      </c>
      <c r="V3505" s="44">
        <f>IF(Mecze[[#This Row],[Role]]&lt;&gt;"BR",SUMPRODUCT(Mecze[[#This Row],[/PR:90]:[/BR:90]],Brudnopis!$E$26:$J$26),0)</f>
        <v>0.19587628865979381</v>
      </c>
      <c r="W3505" s="44">
        <f>IF(Mecze[[#This Row],[Role]]&lt;&gt;"BR",SUMPRODUCT(Mecze[[#This Row],[/PR:90]:[/BR:90]],Brudnopis!$E$27:$J$27),0)</f>
        <v>0.23969072164948454</v>
      </c>
      <c r="X3505" s="44">
        <f>IF(Mecze[[#This Row],[Role]]&lt;&gt;"BR",SUMPRODUCT(Mecze[[#This Row],[/PR:90]:[/BR:90]],Brudnopis!$E$28:$J$28),0)</f>
        <v>0.12371134020618557</v>
      </c>
      <c r="Y3505" s="35">
        <f>IF(Mecze[[#This Row],[Role]]="BR",Mecze[[#This Row],[/OB:90]]+Mecze[[#This Row],[/PC:90]],SUM(Mecze[[#This Row],[/PR:90]:[/BR:90]]))</f>
        <v>0.19587628865979381</v>
      </c>
      <c r="Z3505" s="35">
        <f>IF(Mecze[[#This Row],[KC]]=0,SUM(Mecze[[#This Row],[/BRI]:[/NPI]]),SUM(Mecze[[#This Row],[/BRI]:[/NPI]])*0.6)</f>
        <v>1.0231958762886597</v>
      </c>
      <c r="AA3505" s="10">
        <f>IFERROR(Mecze[[#This Row],[BR]]/Mecze[[#This Row],[ST]],0)</f>
        <v>0</v>
      </c>
      <c r="AB3505">
        <f>ROUND(Mecze[[#This Row],[PD]]*Mecze[[#This Row],[%PC]],0)</f>
        <v>12</v>
      </c>
      <c r="AC3505">
        <f>ROUND(Mecze[[#This Row],[OD]]*Mecze[[#This Row],[%OU]],0)</f>
        <v>2</v>
      </c>
      <c r="AD3505" s="36" t="s">
        <v>67</v>
      </c>
      <c r="AE3505" s="36">
        <v>196</v>
      </c>
      <c r="AF3505" s="71">
        <v>4.96</v>
      </c>
      <c r="AG3505" s="37">
        <v>0</v>
      </c>
      <c r="AH3505" s="37">
        <v>0</v>
      </c>
      <c r="AI3505" s="37">
        <v>97</v>
      </c>
      <c r="AJ3505" s="37">
        <v>3</v>
      </c>
      <c r="AK3505" s="37" t="str">
        <f>VLOOKUP(Mecze[[#This Row],[Match ID]],Meczusie[Mecz]:Meczusie[RodzajMeczu],2,FALSE)</f>
        <v>Liga</v>
      </c>
    </row>
    <row r="3506" spans="1:37" x14ac:dyDescent="0.25">
      <c r="A3506" s="76">
        <v>5</v>
      </c>
      <c r="B3506" s="3" t="s">
        <v>267</v>
      </c>
      <c r="C3506" s="2" t="s">
        <v>160</v>
      </c>
      <c r="D3506" s="1">
        <v>0</v>
      </c>
      <c r="E3506" s="1">
        <v>1</v>
      </c>
      <c r="F3506" s="1">
        <v>1</v>
      </c>
      <c r="G3506" s="1">
        <v>20</v>
      </c>
      <c r="H3506" s="4">
        <v>0.8</v>
      </c>
      <c r="I3506" s="1">
        <v>5</v>
      </c>
      <c r="J3506" s="4">
        <v>0.4</v>
      </c>
      <c r="K3506" s="1">
        <v>0</v>
      </c>
      <c r="L3506" s="1">
        <v>4</v>
      </c>
      <c r="M3506" s="32">
        <f>IF(Mecze[[#This Row],[PR]]=0,0,Mecze[[#This Row],[PR]]/Mecze[[#This Row],[CZAS]])</f>
        <v>4.1237113402061855E-2</v>
      </c>
      <c r="N3506" s="32">
        <f>IF(Mecze[[#This Row],[OU]]=0,0,Mecze[[#This Row],[OU]]/Mecze[[#This Row],[CZAS]])</f>
        <v>2.0618556701030927E-2</v>
      </c>
      <c r="O3506" s="32">
        <f>IF(Mecze[[#This Row],[PC]]=0,0,Mecze[[#This Row],[PC]]/Mecze[[#This Row],[CZAS]])</f>
        <v>0.16494845360824742</v>
      </c>
      <c r="P3506" s="32">
        <f>IF(Mecze[[#This Row],[SC]]=0,0,Mecze[[#This Row],[SC]]/Mecze[[#This Row],[CZAS]])</f>
        <v>1.0309278350515464E-2</v>
      </c>
      <c r="Q3506" s="32">
        <f>IF(Mecze[[#This Row],[OB]]=0,0,Mecze[[#This Row],[OB]]/Mecze[[#This Row],[CZAS]])</f>
        <v>0</v>
      </c>
      <c r="R3506" s="32">
        <f>IF(Mecze[[#This Row],[BR]]=0,0,Mecze[[#This Row],[BR]]/Mecze[[#This Row],[CZAS]])</f>
        <v>0</v>
      </c>
      <c r="S3506" s="44">
        <f>IF(Mecze[[#This Row],[Role]]="BR",SUMPRODUCT(Mecze[[#This Row],[/PR:90]:[/BR:90]],Brudnopis!$E$23:$J$23),0)</f>
        <v>0</v>
      </c>
      <c r="T3506" s="44">
        <f>IF(Mecze[[#This Row],[Role]]&lt;&gt;"BR",SUMPRODUCT(Mecze[[#This Row],[/PR:90]:[/BR:90]],Brudnopis!$E$24:$J$24),0)</f>
        <v>0.24742268041237112</v>
      </c>
      <c r="U3506" s="44">
        <f>IF(Mecze[[#This Row],[Role]]&lt;&gt;"BR",SUMPRODUCT(Mecze[[#This Row],[/PR:90]:[/BR:90]],Brudnopis!$E$25:$J$25),0)</f>
        <v>0.31958762886597941</v>
      </c>
      <c r="V3506" s="44">
        <f>IF(Mecze[[#This Row],[Role]]&lt;&gt;"BR",SUMPRODUCT(Mecze[[#This Row],[/PR:90]:[/BR:90]],Brudnopis!$E$26:$J$26),0)</f>
        <v>0.23711340206185566</v>
      </c>
      <c r="W3506" s="44">
        <f>IF(Mecze[[#This Row],[Role]]&lt;&gt;"BR",SUMPRODUCT(Mecze[[#This Row],[/PR:90]:[/BR:90]],Brudnopis!$E$27:$J$27),0)</f>
        <v>0.30412371134020622</v>
      </c>
      <c r="X3506" s="44">
        <f>IF(Mecze[[#This Row],[Role]]&lt;&gt;"BR",SUMPRODUCT(Mecze[[#This Row],[/PR:90]:[/BR:90]],Brudnopis!$E$28:$J$28),0)</f>
        <v>0.18556701030927836</v>
      </c>
      <c r="Y3506" s="35">
        <f>IF(Mecze[[#This Row],[Role]]="BR",Mecze[[#This Row],[/OB:90]]+Mecze[[#This Row],[/PC:90]],SUM(Mecze[[#This Row],[/PR:90]:[/BR:90]]))</f>
        <v>0.23711340206185566</v>
      </c>
      <c r="Z3506" s="35">
        <f>IF(Mecze[[#This Row],[KC]]=0,SUM(Mecze[[#This Row],[/BRI]:[/NPI]]),SUM(Mecze[[#This Row],[/BRI]:[/NPI]])*0.6)</f>
        <v>1.2938144329896908</v>
      </c>
      <c r="AA3506" s="10">
        <f>IFERROR(Mecze[[#This Row],[BR]]/Mecze[[#This Row],[ST]],0)</f>
        <v>0</v>
      </c>
      <c r="AB3506">
        <f>ROUND(Mecze[[#This Row],[PD]]*Mecze[[#This Row],[%PC]],0)</f>
        <v>16</v>
      </c>
      <c r="AC3506">
        <f>ROUND(Mecze[[#This Row],[OD]]*Mecze[[#This Row],[%OU]],0)</f>
        <v>2</v>
      </c>
      <c r="AD3506" s="36" t="s">
        <v>67</v>
      </c>
      <c r="AE3506" s="36">
        <v>196</v>
      </c>
      <c r="AF3506" s="71">
        <v>5.89</v>
      </c>
      <c r="AG3506" s="37">
        <v>0</v>
      </c>
      <c r="AH3506" s="37">
        <v>0</v>
      </c>
      <c r="AI3506" s="37">
        <v>97</v>
      </c>
      <c r="AJ3506" s="37">
        <v>3</v>
      </c>
      <c r="AK3506" s="37" t="str">
        <f>VLOOKUP(Mecze[[#This Row],[Match ID]],Meczusie[Mecz]:Meczusie[RodzajMeczu],2,FALSE)</f>
        <v>Liga</v>
      </c>
    </row>
    <row r="3507" spans="1:37" x14ac:dyDescent="0.25">
      <c r="A3507" s="76">
        <v>20</v>
      </c>
      <c r="B3507" s="3" t="s">
        <v>518</v>
      </c>
      <c r="C3507" s="2" t="s">
        <v>160</v>
      </c>
      <c r="D3507" s="1">
        <v>0</v>
      </c>
      <c r="E3507" s="1">
        <v>1</v>
      </c>
      <c r="F3507" s="1">
        <v>0</v>
      </c>
      <c r="G3507" s="1">
        <v>16</v>
      </c>
      <c r="H3507" s="4">
        <v>0.88</v>
      </c>
      <c r="I3507" s="1">
        <v>6</v>
      </c>
      <c r="J3507" s="4">
        <v>0.33</v>
      </c>
      <c r="K3507" s="1">
        <v>0</v>
      </c>
      <c r="L3507" s="1">
        <v>3</v>
      </c>
      <c r="M3507" s="32">
        <f>IF(Mecze[[#This Row],[PR]]=0,0,Mecze[[#This Row],[PR]]/Mecze[[#This Row],[CZAS]])</f>
        <v>3.0927835051546393E-2</v>
      </c>
      <c r="N3507" s="32">
        <f>IF(Mecze[[#This Row],[OU]]=0,0,Mecze[[#This Row],[OU]]/Mecze[[#This Row],[CZAS]])</f>
        <v>2.0618556701030927E-2</v>
      </c>
      <c r="O3507" s="32">
        <f>IF(Mecze[[#This Row],[PC]]=0,0,Mecze[[#This Row],[PC]]/Mecze[[#This Row],[CZAS]])</f>
        <v>0.14432989690721648</v>
      </c>
      <c r="P3507" s="32">
        <f>IF(Mecze[[#This Row],[SC]]=0,0,Mecze[[#This Row],[SC]]/Mecze[[#This Row],[CZAS]])</f>
        <v>0</v>
      </c>
      <c r="Q3507" s="32">
        <f>IF(Mecze[[#This Row],[OB]]=0,0,Mecze[[#This Row],[OB]]/Mecze[[#This Row],[CZAS]])</f>
        <v>0</v>
      </c>
      <c r="R3507" s="32">
        <f>IF(Mecze[[#This Row],[BR]]=0,0,Mecze[[#This Row],[BR]]/Mecze[[#This Row],[CZAS]])</f>
        <v>0</v>
      </c>
      <c r="S3507" s="44">
        <f>IF(Mecze[[#This Row],[Role]]="BR",SUMPRODUCT(Mecze[[#This Row],[/PR:90]:[/BR:90]],Brudnopis!$E$23:$J$23),0)</f>
        <v>0</v>
      </c>
      <c r="T3507" s="44">
        <f>IF(Mecze[[#This Row],[Role]]&lt;&gt;"BR",SUMPRODUCT(Mecze[[#This Row],[/PR:90]:[/BR:90]],Brudnopis!$E$24:$J$24),0)</f>
        <v>0.20618556701030927</v>
      </c>
      <c r="U3507" s="44">
        <f>IF(Mecze[[#This Row],[Role]]&lt;&gt;"BR",SUMPRODUCT(Mecze[[#This Row],[/PR:90]:[/BR:90]],Brudnopis!$E$25:$J$25),0)</f>
        <v>0.26804123711340205</v>
      </c>
      <c r="V3507" s="44">
        <f>IF(Mecze[[#This Row],[Role]]&lt;&gt;"BR",SUMPRODUCT(Mecze[[#This Row],[/PR:90]:[/BR:90]],Brudnopis!$E$26:$J$26),0)</f>
        <v>0.19587628865979378</v>
      </c>
      <c r="W3507" s="44">
        <f>IF(Mecze[[#This Row],[Role]]&lt;&gt;"BR",SUMPRODUCT(Mecze[[#This Row],[/PR:90]:[/BR:90]],Brudnopis!$E$27:$J$27),0)</f>
        <v>0.25515463917525771</v>
      </c>
      <c r="X3507" s="44">
        <f>IF(Mecze[[#This Row],[Role]]&lt;&gt;"BR",SUMPRODUCT(Mecze[[#This Row],[/PR:90]:[/BR:90]],Brudnopis!$E$28:$J$28),0)</f>
        <v>0.14432989690721648</v>
      </c>
      <c r="Y3507" s="35">
        <f>IF(Mecze[[#This Row],[Role]]="BR",Mecze[[#This Row],[/OB:90]]+Mecze[[#This Row],[/PC:90]],SUM(Mecze[[#This Row],[/PR:90]:[/BR:90]]))</f>
        <v>0.19587628865979378</v>
      </c>
      <c r="Z3507" s="35">
        <f>IF(Mecze[[#This Row],[KC]]=0,SUM(Mecze[[#This Row],[/BRI]:[/NPI]]),SUM(Mecze[[#This Row],[/BRI]:[/NPI]])*0.6)</f>
        <v>1.0695876288659794</v>
      </c>
      <c r="AA3507" s="10">
        <f>IFERROR(Mecze[[#This Row],[BR]]/Mecze[[#This Row],[ST]],0)</f>
        <v>0</v>
      </c>
      <c r="AB3507">
        <f>ROUND(Mecze[[#This Row],[PD]]*Mecze[[#This Row],[%PC]],0)</f>
        <v>14</v>
      </c>
      <c r="AC3507">
        <f>ROUND(Mecze[[#This Row],[OD]]*Mecze[[#This Row],[%OU]],0)</f>
        <v>2</v>
      </c>
      <c r="AD3507" s="36" t="s">
        <v>44</v>
      </c>
      <c r="AE3507" s="36">
        <v>196</v>
      </c>
      <c r="AF3507" s="71">
        <v>5.45</v>
      </c>
      <c r="AG3507" s="37">
        <v>0</v>
      </c>
      <c r="AH3507" s="37">
        <v>0</v>
      </c>
      <c r="AI3507" s="37">
        <v>97</v>
      </c>
      <c r="AJ3507" s="37">
        <v>3</v>
      </c>
      <c r="AK3507" s="37" t="str">
        <f>VLOOKUP(Mecze[[#This Row],[Match ID]],Meczusie[Mecz]:Meczusie[RodzajMeczu],2,FALSE)</f>
        <v>Liga</v>
      </c>
    </row>
    <row r="3508" spans="1:37" x14ac:dyDescent="0.25">
      <c r="A3508" s="76">
        <v>8</v>
      </c>
      <c r="B3508" s="3" t="s">
        <v>269</v>
      </c>
      <c r="C3508" s="2" t="s">
        <v>165</v>
      </c>
      <c r="D3508" s="1">
        <v>1</v>
      </c>
      <c r="E3508" s="1">
        <v>2</v>
      </c>
      <c r="F3508" s="1">
        <v>2</v>
      </c>
      <c r="G3508" s="1">
        <v>6</v>
      </c>
      <c r="H3508" s="4">
        <v>0.83</v>
      </c>
      <c r="I3508" s="1">
        <v>4</v>
      </c>
      <c r="J3508" s="4">
        <v>0.25</v>
      </c>
      <c r="K3508" s="1">
        <v>0</v>
      </c>
      <c r="L3508" s="1">
        <v>0</v>
      </c>
      <c r="M3508" s="32">
        <f>IF(Mecze[[#This Row],[PR]]=0,0,Mecze[[#This Row],[PR]]/Mecze[[#This Row],[CZAS]])</f>
        <v>0</v>
      </c>
      <c r="N3508" s="32">
        <f>IF(Mecze[[#This Row],[OU]]=0,0,Mecze[[#This Row],[OU]]/Mecze[[#This Row],[CZAS]])</f>
        <v>1.0309278350515464E-2</v>
      </c>
      <c r="O3508" s="32">
        <f>IF(Mecze[[#This Row],[PC]]=0,0,Mecze[[#This Row],[PC]]/Mecze[[#This Row],[CZAS]])</f>
        <v>5.1546391752577317E-2</v>
      </c>
      <c r="P3508" s="32">
        <f>IF(Mecze[[#This Row],[SC]]=0,0,Mecze[[#This Row],[SC]]/Mecze[[#This Row],[CZAS]])</f>
        <v>2.0618556701030927E-2</v>
      </c>
      <c r="Q3508" s="32">
        <f>IF(Mecze[[#This Row],[OB]]=0,0,Mecze[[#This Row],[OB]]/Mecze[[#This Row],[CZAS]])</f>
        <v>0</v>
      </c>
      <c r="R3508" s="32">
        <f>IF(Mecze[[#This Row],[BR]]=0,0,Mecze[[#This Row],[BR]]/Mecze[[#This Row],[CZAS]])</f>
        <v>1.0309278350515464E-2</v>
      </c>
      <c r="S3508" s="44">
        <f>IF(Mecze[[#This Row],[Role]]="BR",SUMPRODUCT(Mecze[[#This Row],[/PR:90]:[/BR:90]],Brudnopis!$E$23:$J$23),0)</f>
        <v>0</v>
      </c>
      <c r="T3508" s="44">
        <f>IF(Mecze[[#This Row],[Role]]&lt;&gt;"BR",SUMPRODUCT(Mecze[[#This Row],[/PR:90]:[/BR:90]],Brudnopis!$E$24:$J$24),0)</f>
        <v>0.10309278350515463</v>
      </c>
      <c r="U3508" s="44">
        <f>IF(Mecze[[#This Row],[Role]]&lt;&gt;"BR",SUMPRODUCT(Mecze[[#This Row],[/PR:90]:[/BR:90]],Brudnopis!$E$25:$J$25),0)</f>
        <v>0.12371134020618557</v>
      </c>
      <c r="V3508" s="44">
        <f>IF(Mecze[[#This Row],[Role]]&lt;&gt;"BR",SUMPRODUCT(Mecze[[#This Row],[/PR:90]:[/BR:90]],Brudnopis!$E$26:$J$26),0)</f>
        <v>0.10309278350515463</v>
      </c>
      <c r="W3508" s="44">
        <f>IF(Mecze[[#This Row],[Role]]&lt;&gt;"BR",SUMPRODUCT(Mecze[[#This Row],[/PR:90]:[/BR:90]],Brudnopis!$E$27:$J$27),0)</f>
        <v>0.12628865979381443</v>
      </c>
      <c r="X3508" s="44">
        <f>IF(Mecze[[#This Row],[Role]]&lt;&gt;"BR",SUMPRODUCT(Mecze[[#This Row],[/PR:90]:[/BR:90]],Brudnopis!$E$28:$J$28),0)</f>
        <v>0.12371134020618557</v>
      </c>
      <c r="Y3508" s="35">
        <f>IF(Mecze[[#This Row],[Role]]="BR",Mecze[[#This Row],[/OB:90]]+Mecze[[#This Row],[/PC:90]],SUM(Mecze[[#This Row],[/PR:90]:[/BR:90]]))</f>
        <v>9.2783505154639179E-2</v>
      </c>
      <c r="Z3508" s="35">
        <f>IF(Mecze[[#This Row],[KC]]=0,SUM(Mecze[[#This Row],[/BRI]:[/NPI]]),SUM(Mecze[[#This Row],[/BRI]:[/NPI]])*0.6)</f>
        <v>0.57989690721649478</v>
      </c>
      <c r="AA3508" s="10">
        <f>IFERROR(Mecze[[#This Row],[BR]]/Mecze[[#This Row],[ST]],0)</f>
        <v>0.5</v>
      </c>
      <c r="AB3508">
        <f>ROUND(Mecze[[#This Row],[PD]]*Mecze[[#This Row],[%PC]],0)</f>
        <v>5</v>
      </c>
      <c r="AC3508">
        <f>ROUND(Mecze[[#This Row],[OD]]*Mecze[[#This Row],[%OU]],0)</f>
        <v>1</v>
      </c>
      <c r="AD3508" s="36" t="s">
        <v>272</v>
      </c>
      <c r="AE3508" s="36">
        <v>196</v>
      </c>
      <c r="AF3508" s="71">
        <v>7.7</v>
      </c>
      <c r="AG3508" s="37">
        <v>0</v>
      </c>
      <c r="AH3508" s="37">
        <v>0</v>
      </c>
      <c r="AI3508" s="37">
        <v>97</v>
      </c>
      <c r="AJ3508" s="37">
        <v>3</v>
      </c>
      <c r="AK3508" s="37" t="str">
        <f>VLOOKUP(Mecze[[#This Row],[Match ID]],Meczusie[Mecz]:Meczusie[RodzajMeczu],2,FALSE)</f>
        <v>Liga</v>
      </c>
    </row>
    <row r="3509" spans="1:37" x14ac:dyDescent="0.25">
      <c r="A3509" s="76">
        <v>79</v>
      </c>
      <c r="B3509" s="3" t="s">
        <v>519</v>
      </c>
      <c r="C3509" s="2" t="s">
        <v>165</v>
      </c>
      <c r="D3509" s="1">
        <v>0</v>
      </c>
      <c r="E3509" s="1">
        <v>2</v>
      </c>
      <c r="F3509" s="1">
        <v>2</v>
      </c>
      <c r="G3509" s="1">
        <v>5</v>
      </c>
      <c r="H3509" s="4">
        <v>0.8</v>
      </c>
      <c r="I3509" s="1">
        <v>3</v>
      </c>
      <c r="J3509" s="4">
        <v>0.67</v>
      </c>
      <c r="K3509" s="1">
        <v>0</v>
      </c>
      <c r="L3509" s="1">
        <v>1</v>
      </c>
      <c r="M3509" s="32">
        <f>IF(Mecze[[#This Row],[PR]]=0,0,Mecze[[#This Row],[PR]]/Mecze[[#This Row],[CZAS]])</f>
        <v>1.0309278350515464E-2</v>
      </c>
      <c r="N3509" s="32">
        <f>IF(Mecze[[#This Row],[OU]]=0,0,Mecze[[#This Row],[OU]]/Mecze[[#This Row],[CZAS]])</f>
        <v>2.0618556701030927E-2</v>
      </c>
      <c r="O3509" s="32">
        <f>IF(Mecze[[#This Row],[PC]]=0,0,Mecze[[#This Row],[PC]]/Mecze[[#This Row],[CZAS]])</f>
        <v>4.1237113402061855E-2</v>
      </c>
      <c r="P3509" s="32">
        <f>IF(Mecze[[#This Row],[SC]]=0,0,Mecze[[#This Row],[SC]]/Mecze[[#This Row],[CZAS]])</f>
        <v>2.0618556701030927E-2</v>
      </c>
      <c r="Q3509" s="32">
        <f>IF(Mecze[[#This Row],[OB]]=0,0,Mecze[[#This Row],[OB]]/Mecze[[#This Row],[CZAS]])</f>
        <v>0</v>
      </c>
      <c r="R3509" s="32">
        <f>IF(Mecze[[#This Row],[BR]]=0,0,Mecze[[#This Row],[BR]]/Mecze[[#This Row],[CZAS]])</f>
        <v>0</v>
      </c>
      <c r="S3509" s="44">
        <f>IF(Mecze[[#This Row],[Role]]="BR",SUMPRODUCT(Mecze[[#This Row],[/PR:90]:[/BR:90]],Brudnopis!$E$23:$J$23),0)</f>
        <v>0</v>
      </c>
      <c r="T3509" s="44">
        <f>IF(Mecze[[#This Row],[Role]]&lt;&gt;"BR",SUMPRODUCT(Mecze[[#This Row],[/PR:90]:[/BR:90]],Brudnopis!$E$24:$J$24),0)</f>
        <v>0.10309278350515463</v>
      </c>
      <c r="U3509" s="44">
        <f>IF(Mecze[[#This Row],[Role]]&lt;&gt;"BR",SUMPRODUCT(Mecze[[#This Row],[/PR:90]:[/BR:90]],Brudnopis!$E$25:$J$25),0)</f>
        <v>0.1134020618556701</v>
      </c>
      <c r="V3509" s="44">
        <f>IF(Mecze[[#This Row],[Role]]&lt;&gt;"BR",SUMPRODUCT(Mecze[[#This Row],[/PR:90]:[/BR:90]],Brudnopis!$E$26:$J$26),0)</f>
        <v>9.2783505154639165E-2</v>
      </c>
      <c r="W3509" s="44">
        <f>IF(Mecze[[#This Row],[Role]]&lt;&gt;"BR",SUMPRODUCT(Mecze[[#This Row],[/PR:90]:[/BR:90]],Brudnopis!$E$27:$J$27),0)</f>
        <v>0.1056701030927835</v>
      </c>
      <c r="X3509" s="44">
        <f>IF(Mecze[[#This Row],[Role]]&lt;&gt;"BR",SUMPRODUCT(Mecze[[#This Row],[/PR:90]:[/BR:90]],Brudnopis!$E$28:$J$28),0)</f>
        <v>8.247422680412371E-2</v>
      </c>
      <c r="Y3509" s="35">
        <f>IF(Mecze[[#This Row],[Role]]="BR",Mecze[[#This Row],[/OB:90]]+Mecze[[#This Row],[/PC:90]],SUM(Mecze[[#This Row],[/PR:90]:[/BR:90]]))</f>
        <v>9.2783505154639165E-2</v>
      </c>
      <c r="Z3509" s="35">
        <f>IF(Mecze[[#This Row],[KC]]=0,SUM(Mecze[[#This Row],[/BRI]:[/NPI]]),SUM(Mecze[[#This Row],[/BRI]:[/NPI]])*0.6)</f>
        <v>0.49742268041237114</v>
      </c>
      <c r="AA3509" s="10">
        <f>IFERROR(Mecze[[#This Row],[BR]]/Mecze[[#This Row],[ST]],0)</f>
        <v>0</v>
      </c>
      <c r="AB3509">
        <f>ROUND(Mecze[[#This Row],[PD]]*Mecze[[#This Row],[%PC]],0)</f>
        <v>4</v>
      </c>
      <c r="AC3509">
        <f>ROUND(Mecze[[#This Row],[OD]]*Mecze[[#This Row],[%OU]],0)</f>
        <v>2</v>
      </c>
      <c r="AD3509" s="36" t="s">
        <v>273</v>
      </c>
      <c r="AE3509" s="36">
        <v>196</v>
      </c>
      <c r="AF3509" s="71">
        <v>5.4</v>
      </c>
      <c r="AG3509" s="37">
        <v>0</v>
      </c>
      <c r="AH3509" s="37">
        <v>0</v>
      </c>
      <c r="AI3509" s="37">
        <v>97</v>
      </c>
      <c r="AJ3509" s="37">
        <v>3</v>
      </c>
      <c r="AK3509" s="37" t="str">
        <f>VLOOKUP(Mecze[[#This Row],[Match ID]],Meczusie[Mecz]:Meczusie[RodzajMeczu],2,FALSE)</f>
        <v>Liga</v>
      </c>
    </row>
    <row r="3510" spans="1:37" x14ac:dyDescent="0.25">
      <c r="A3510" s="76">
        <v>10</v>
      </c>
      <c r="B3510" s="3" t="s">
        <v>271</v>
      </c>
      <c r="C3510" s="2" t="s">
        <v>165</v>
      </c>
      <c r="D3510" s="1">
        <v>0</v>
      </c>
      <c r="E3510" s="1">
        <v>9</v>
      </c>
      <c r="F3510" s="1">
        <v>7</v>
      </c>
      <c r="G3510" s="1">
        <v>5</v>
      </c>
      <c r="H3510" s="4">
        <v>1</v>
      </c>
      <c r="I3510" s="1">
        <v>5</v>
      </c>
      <c r="J3510" s="4">
        <v>0.2</v>
      </c>
      <c r="K3510" s="1">
        <v>0</v>
      </c>
      <c r="L3510" s="1">
        <v>0</v>
      </c>
      <c r="M3510" s="32">
        <f>IF(Mecze[[#This Row],[PR]]=0,0,Mecze[[#This Row],[PR]]/Mecze[[#This Row],[CZAS]])</f>
        <v>0</v>
      </c>
      <c r="N3510" s="32">
        <f>IF(Mecze[[#This Row],[OU]]=0,0,Mecze[[#This Row],[OU]]/Mecze[[#This Row],[CZAS]])</f>
        <v>1.0309278350515464E-2</v>
      </c>
      <c r="O3510" s="32">
        <f>IF(Mecze[[#This Row],[PC]]=0,0,Mecze[[#This Row],[PC]]/Mecze[[#This Row],[CZAS]])</f>
        <v>5.1546391752577317E-2</v>
      </c>
      <c r="P3510" s="32">
        <f>IF(Mecze[[#This Row],[SC]]=0,0,Mecze[[#This Row],[SC]]/Mecze[[#This Row],[CZAS]])</f>
        <v>7.2164948453608241E-2</v>
      </c>
      <c r="Q3510" s="32">
        <f>IF(Mecze[[#This Row],[OB]]=0,0,Mecze[[#This Row],[OB]]/Mecze[[#This Row],[CZAS]])</f>
        <v>0</v>
      </c>
      <c r="R3510" s="32">
        <f>IF(Mecze[[#This Row],[BR]]=0,0,Mecze[[#This Row],[BR]]/Mecze[[#This Row],[CZAS]])</f>
        <v>0</v>
      </c>
      <c r="S3510" s="44">
        <f>IF(Mecze[[#This Row],[Role]]="BR",SUMPRODUCT(Mecze[[#This Row],[/PR:90]:[/BR:90]],Brudnopis!$E$23:$J$23),0)</f>
        <v>0</v>
      </c>
      <c r="T3510" s="44">
        <f>IF(Mecze[[#This Row],[Role]]&lt;&gt;"BR",SUMPRODUCT(Mecze[[#This Row],[/PR:90]:[/BR:90]],Brudnopis!$E$24:$J$24),0)</f>
        <v>0.13917525773195877</v>
      </c>
      <c r="U3510" s="44">
        <f>IF(Mecze[[#This Row],[Role]]&lt;&gt;"BR",SUMPRODUCT(Mecze[[#This Row],[/PR:90]:[/BR:90]],Brudnopis!$E$25:$J$25),0)</f>
        <v>0.15979381443298968</v>
      </c>
      <c r="V3510" s="44">
        <f>IF(Mecze[[#This Row],[Role]]&lt;&gt;"BR",SUMPRODUCT(Mecze[[#This Row],[/PR:90]:[/BR:90]],Brudnopis!$E$26:$J$26),0)</f>
        <v>0.13402061855670103</v>
      </c>
      <c r="W3510" s="44">
        <f>IF(Mecze[[#This Row],[Role]]&lt;&gt;"BR",SUMPRODUCT(Mecze[[#This Row],[/PR:90]:[/BR:90]],Brudnopis!$E$27:$J$27),0)</f>
        <v>0.15721649484536082</v>
      </c>
      <c r="X3510" s="44">
        <f>IF(Mecze[[#This Row],[Role]]&lt;&gt;"BR",SUMPRODUCT(Mecze[[#This Row],[/PR:90]:[/BR:90]],Brudnopis!$E$28:$J$28),0)</f>
        <v>0.19587628865979378</v>
      </c>
      <c r="Y3510" s="35">
        <f>IF(Mecze[[#This Row],[Role]]="BR",Mecze[[#This Row],[/OB:90]]+Mecze[[#This Row],[/PC:90]],SUM(Mecze[[#This Row],[/PR:90]:[/BR:90]]))</f>
        <v>0.13402061855670103</v>
      </c>
      <c r="Z3510" s="35">
        <f>IF(Mecze[[#This Row],[KC]]=0,SUM(Mecze[[#This Row],[/BRI]:[/NPI]]),SUM(Mecze[[#This Row],[/BRI]:[/NPI]])*0.6)</f>
        <v>0.78608247422680411</v>
      </c>
      <c r="AA3510" s="10">
        <f>IFERROR(Mecze[[#This Row],[BR]]/Mecze[[#This Row],[ST]],0)</f>
        <v>0</v>
      </c>
      <c r="AB3510">
        <f>ROUND(Mecze[[#This Row],[PD]]*Mecze[[#This Row],[%PC]],0)</f>
        <v>5</v>
      </c>
      <c r="AC3510">
        <f>ROUND(Mecze[[#This Row],[OD]]*Mecze[[#This Row],[%OU]],0)</f>
        <v>1</v>
      </c>
      <c r="AD3510" s="36" t="s">
        <v>46</v>
      </c>
      <c r="AE3510" s="36">
        <v>196</v>
      </c>
      <c r="AF3510" s="71">
        <v>7.39</v>
      </c>
      <c r="AG3510" s="37">
        <v>0</v>
      </c>
      <c r="AH3510" s="37">
        <v>0</v>
      </c>
      <c r="AI3510" s="37">
        <v>97</v>
      </c>
      <c r="AJ3510" s="37">
        <v>3</v>
      </c>
      <c r="AK3510" s="37" t="str">
        <f>VLOOKUP(Mecze[[#This Row],[Match ID]],Meczusie[Mecz]:Meczusie[RodzajMeczu],2,FALSE)</f>
        <v>Liga</v>
      </c>
    </row>
    <row r="3511" spans="1:37" x14ac:dyDescent="0.25">
      <c r="A3511" s="76">
        <v>1</v>
      </c>
      <c r="B3511" s="3" t="s">
        <v>288</v>
      </c>
      <c r="C3511" s="2" t="s">
        <v>155</v>
      </c>
      <c r="D3511" s="1">
        <v>0</v>
      </c>
      <c r="E3511" s="1">
        <v>0</v>
      </c>
      <c r="F3511" s="1">
        <v>0</v>
      </c>
      <c r="G3511" s="1">
        <v>3</v>
      </c>
      <c r="H3511" s="4">
        <v>0.67</v>
      </c>
      <c r="I3511" s="1">
        <v>0</v>
      </c>
      <c r="J3511" s="4"/>
      <c r="K3511" s="1">
        <v>2</v>
      </c>
      <c r="L3511" s="1">
        <v>0</v>
      </c>
      <c r="M3511" s="32">
        <f>IF(Mecze[[#This Row],[PR]]=0,0,Mecze[[#This Row],[PR]]/Mecze[[#This Row],[CZAS]])</f>
        <v>0</v>
      </c>
      <c r="N3511" s="32">
        <f>IF(Mecze[[#This Row],[OU]]=0,0,Mecze[[#This Row],[OU]]/Mecze[[#This Row],[CZAS]])</f>
        <v>0</v>
      </c>
      <c r="O3511" s="32">
        <f>IF(Mecze[[#This Row],[PC]]=0,0,Mecze[[#This Row],[PC]]/Mecze[[#This Row],[CZAS]])</f>
        <v>2.0618556701030927E-2</v>
      </c>
      <c r="P3511" s="32">
        <f>IF(Mecze[[#This Row],[SC]]=0,0,Mecze[[#This Row],[SC]]/Mecze[[#This Row],[CZAS]])</f>
        <v>0</v>
      </c>
      <c r="Q3511" s="32">
        <f>IF(Mecze[[#This Row],[OB]]=0,0,Mecze[[#This Row],[OB]]/Mecze[[#This Row],[CZAS]])</f>
        <v>2.0618556701030927E-2</v>
      </c>
      <c r="R3511" s="32">
        <f>IF(Mecze[[#This Row],[BR]]=0,0,Mecze[[#This Row],[BR]]/Mecze[[#This Row],[CZAS]])</f>
        <v>0</v>
      </c>
      <c r="S3511" s="44">
        <f>IF(Mecze[[#This Row],[Role]]="BR",SUMPRODUCT(Mecze[[#This Row],[/PR:90]:[/BR:90]],Brudnopis!$E$23:$J$23),0)</f>
        <v>0.12371134020618557</v>
      </c>
      <c r="T3511" s="44">
        <f>IF(Mecze[[#This Row],[Role]]&lt;&gt;"BR",SUMPRODUCT(Mecze[[#This Row],[/PR:90]:[/BR:90]],Brudnopis!$E$24:$J$24),0)</f>
        <v>0</v>
      </c>
      <c r="U3511" s="44">
        <f>IF(Mecze[[#This Row],[Role]]&lt;&gt;"BR",SUMPRODUCT(Mecze[[#This Row],[/PR:90]:[/BR:90]],Brudnopis!$E$25:$J$25),0)</f>
        <v>0</v>
      </c>
      <c r="V3511" s="44">
        <f>IF(Mecze[[#This Row],[Role]]&lt;&gt;"BR",SUMPRODUCT(Mecze[[#This Row],[/PR:90]:[/BR:90]],Brudnopis!$E$26:$J$26),0)</f>
        <v>0</v>
      </c>
      <c r="W3511" s="44">
        <f>IF(Mecze[[#This Row],[Role]]&lt;&gt;"BR",SUMPRODUCT(Mecze[[#This Row],[/PR:90]:[/BR:90]],Brudnopis!$E$27:$J$27),0)</f>
        <v>0</v>
      </c>
      <c r="X3511" s="44">
        <f>IF(Mecze[[#This Row],[Role]]&lt;&gt;"BR",SUMPRODUCT(Mecze[[#This Row],[/PR:90]:[/BR:90]],Brudnopis!$E$28:$J$28),0)</f>
        <v>0</v>
      </c>
      <c r="Y3511" s="35">
        <f>IF(Mecze[[#This Row],[Role]]="BR",Mecze[[#This Row],[/OB:90]]+Mecze[[#This Row],[/PC:90]],SUM(Mecze[[#This Row],[/PR:90]:[/BR:90]]))</f>
        <v>4.1237113402061855E-2</v>
      </c>
      <c r="Z3511" s="35">
        <f>IF(Mecze[[#This Row],[KC]]=0,SUM(Mecze[[#This Row],[/BRI]:[/NPI]]),SUM(Mecze[[#This Row],[/BRI]:[/NPI]])*0.6)</f>
        <v>0.12371134020618557</v>
      </c>
      <c r="AA3511" s="10">
        <f>IFERROR(Mecze[[#This Row],[BR]]/Mecze[[#This Row],[ST]],0)</f>
        <v>0</v>
      </c>
      <c r="AB3511">
        <f>ROUND(Mecze[[#This Row],[PD]]*Mecze[[#This Row],[%PC]],0)</f>
        <v>2</v>
      </c>
      <c r="AC3511">
        <f>ROUND(Mecze[[#This Row],[OD]]*Mecze[[#This Row],[%OU]],0)</f>
        <v>0</v>
      </c>
      <c r="AD3511" s="36" t="s">
        <v>40</v>
      </c>
      <c r="AE3511" s="36">
        <v>197</v>
      </c>
      <c r="AF3511" s="71">
        <v>4.62</v>
      </c>
      <c r="AG3511" s="37">
        <v>0</v>
      </c>
      <c r="AH3511" s="37">
        <v>0</v>
      </c>
      <c r="AI3511" s="37">
        <v>97</v>
      </c>
      <c r="AJ3511" s="37">
        <v>9</v>
      </c>
      <c r="AK3511" s="37" t="str">
        <f>VLOOKUP(Mecze[[#This Row],[Match ID]],Meczusie[Mecz]:Meczusie[RodzajMeczu],2,FALSE)</f>
        <v>Liga</v>
      </c>
    </row>
    <row r="3512" spans="1:37" x14ac:dyDescent="0.25">
      <c r="A3512" s="76">
        <v>2</v>
      </c>
      <c r="B3512" s="3" t="s">
        <v>290</v>
      </c>
      <c r="C3512" s="2" t="s">
        <v>157</v>
      </c>
      <c r="D3512" s="1">
        <v>0</v>
      </c>
      <c r="E3512" s="1">
        <v>1</v>
      </c>
      <c r="F3512" s="1">
        <v>1</v>
      </c>
      <c r="G3512" s="1">
        <v>10</v>
      </c>
      <c r="H3512" s="4">
        <v>0.9</v>
      </c>
      <c r="I3512" s="1">
        <v>2</v>
      </c>
      <c r="J3512" s="4">
        <v>1</v>
      </c>
      <c r="K3512" s="1">
        <v>0</v>
      </c>
      <c r="L3512" s="1">
        <v>15</v>
      </c>
      <c r="M3512" s="32">
        <f>IF(Mecze[[#This Row],[PR]]=0,0,Mecze[[#This Row],[PR]]/Mecze[[#This Row],[CZAS]])</f>
        <v>0.15463917525773196</v>
      </c>
      <c r="N3512" s="32">
        <f>IF(Mecze[[#This Row],[OU]]=0,0,Mecze[[#This Row],[OU]]/Mecze[[#This Row],[CZAS]])</f>
        <v>2.0618556701030927E-2</v>
      </c>
      <c r="O3512" s="32">
        <f>IF(Mecze[[#This Row],[PC]]=0,0,Mecze[[#This Row],[PC]]/Mecze[[#This Row],[CZAS]])</f>
        <v>9.2783505154639179E-2</v>
      </c>
      <c r="P3512" s="32">
        <f>IF(Mecze[[#This Row],[SC]]=0,0,Mecze[[#This Row],[SC]]/Mecze[[#This Row],[CZAS]])</f>
        <v>1.0309278350515464E-2</v>
      </c>
      <c r="Q3512" s="32">
        <f>IF(Mecze[[#This Row],[OB]]=0,0,Mecze[[#This Row],[OB]]/Mecze[[#This Row],[CZAS]])</f>
        <v>0</v>
      </c>
      <c r="R3512" s="32">
        <f>IF(Mecze[[#This Row],[BR]]=0,0,Mecze[[#This Row],[BR]]/Mecze[[#This Row],[CZAS]])</f>
        <v>0</v>
      </c>
      <c r="S3512" s="44">
        <f>IF(Mecze[[#This Row],[Role]]="BR",SUMPRODUCT(Mecze[[#This Row],[/PR:90]:[/BR:90]],Brudnopis!$E$23:$J$23),0)</f>
        <v>0</v>
      </c>
      <c r="T3512" s="44">
        <f>IF(Mecze[[#This Row],[Role]]&lt;&gt;"BR",SUMPRODUCT(Mecze[[#This Row],[/PR:90]:[/BR:90]],Brudnopis!$E$24:$J$24),0)</f>
        <v>0.28865979381443302</v>
      </c>
      <c r="U3512" s="44">
        <f>IF(Mecze[[#This Row],[Role]]&lt;&gt;"BR",SUMPRODUCT(Mecze[[#This Row],[/PR:90]:[/BR:90]],Brudnopis!$E$25:$J$25),0)</f>
        <v>0.32474226804123713</v>
      </c>
      <c r="V3512" s="44">
        <f>IF(Mecze[[#This Row],[Role]]&lt;&gt;"BR",SUMPRODUCT(Mecze[[#This Row],[/PR:90]:[/BR:90]],Brudnopis!$E$26:$J$26),0)</f>
        <v>0.27835051546391759</v>
      </c>
      <c r="W3512" s="44">
        <f>IF(Mecze[[#This Row],[Role]]&lt;&gt;"BR",SUMPRODUCT(Mecze[[#This Row],[/PR:90]:[/BR:90]],Brudnopis!$E$27:$J$27),0)</f>
        <v>0.28092783505154645</v>
      </c>
      <c r="X3512" s="44">
        <f>IF(Mecze[[#This Row],[Role]]&lt;&gt;"BR",SUMPRODUCT(Mecze[[#This Row],[/PR:90]:[/BR:90]],Brudnopis!$E$28:$J$28),0)</f>
        <v>0.1134020618556701</v>
      </c>
      <c r="Y3512" s="35">
        <f>IF(Mecze[[#This Row],[Role]]="BR",Mecze[[#This Row],[/OB:90]]+Mecze[[#This Row],[/PC:90]],SUM(Mecze[[#This Row],[/PR:90]:[/BR:90]]))</f>
        <v>0.27835051546391759</v>
      </c>
      <c r="Z3512" s="35">
        <f>IF(Mecze[[#This Row],[KC]]=0,SUM(Mecze[[#This Row],[/BRI]:[/NPI]]),SUM(Mecze[[#This Row],[/BRI]:[/NPI]])*0.6)</f>
        <v>1.2860824742268044</v>
      </c>
      <c r="AA3512" s="10">
        <f>IFERROR(Mecze[[#This Row],[BR]]/Mecze[[#This Row],[ST]],0)</f>
        <v>0</v>
      </c>
      <c r="AB3512">
        <f>ROUND(Mecze[[#This Row],[PD]]*Mecze[[#This Row],[%PC]],0)</f>
        <v>9</v>
      </c>
      <c r="AC3512">
        <f>ROUND(Mecze[[#This Row],[OD]]*Mecze[[#This Row],[%OU]],0)</f>
        <v>2</v>
      </c>
      <c r="AD3512" s="36" t="s">
        <v>47</v>
      </c>
      <c r="AE3512" s="36">
        <v>197</v>
      </c>
      <c r="AF3512" s="71">
        <v>7.07</v>
      </c>
      <c r="AG3512" s="37">
        <v>0</v>
      </c>
      <c r="AH3512" s="37">
        <v>0</v>
      </c>
      <c r="AI3512" s="37">
        <v>97</v>
      </c>
      <c r="AJ3512" s="37">
        <v>9</v>
      </c>
      <c r="AK3512" s="37" t="str">
        <f>VLOOKUP(Mecze[[#This Row],[Match ID]],Meczusie[Mecz]:Meczusie[RodzajMeczu],2,FALSE)</f>
        <v>Liga</v>
      </c>
    </row>
    <row r="3513" spans="1:37" x14ac:dyDescent="0.25">
      <c r="A3513" s="76">
        <v>4</v>
      </c>
      <c r="B3513" s="3" t="s">
        <v>289</v>
      </c>
      <c r="C3513" s="2" t="s">
        <v>157</v>
      </c>
      <c r="D3513" s="1">
        <v>0</v>
      </c>
      <c r="E3513" s="1">
        <v>0</v>
      </c>
      <c r="F3513" s="1">
        <v>0</v>
      </c>
      <c r="G3513" s="1">
        <v>3</v>
      </c>
      <c r="H3513" s="4">
        <v>1</v>
      </c>
      <c r="I3513" s="1">
        <v>1</v>
      </c>
      <c r="J3513" s="4">
        <v>0</v>
      </c>
      <c r="K3513" s="1">
        <v>0</v>
      </c>
      <c r="L3513" s="1">
        <v>5</v>
      </c>
      <c r="M3513" s="32">
        <f>IF(Mecze[[#This Row],[PR]]=0,0,Mecze[[#This Row],[PR]]/Mecze[[#This Row],[CZAS]])</f>
        <v>5.1546391752577317E-2</v>
      </c>
      <c r="N3513" s="32">
        <f>IF(Mecze[[#This Row],[OU]]=0,0,Mecze[[#This Row],[OU]]/Mecze[[#This Row],[CZAS]])</f>
        <v>0</v>
      </c>
      <c r="O3513" s="32">
        <f>IF(Mecze[[#This Row],[PC]]=0,0,Mecze[[#This Row],[PC]]/Mecze[[#This Row],[CZAS]])</f>
        <v>3.0927835051546393E-2</v>
      </c>
      <c r="P3513" s="32">
        <f>IF(Mecze[[#This Row],[SC]]=0,0,Mecze[[#This Row],[SC]]/Mecze[[#This Row],[CZAS]])</f>
        <v>0</v>
      </c>
      <c r="Q3513" s="32">
        <f>IF(Mecze[[#This Row],[OB]]=0,0,Mecze[[#This Row],[OB]]/Mecze[[#This Row],[CZAS]])</f>
        <v>0</v>
      </c>
      <c r="R3513" s="32">
        <f>IF(Mecze[[#This Row],[BR]]=0,0,Mecze[[#This Row],[BR]]/Mecze[[#This Row],[CZAS]])</f>
        <v>0</v>
      </c>
      <c r="S3513" s="44">
        <f>IF(Mecze[[#This Row],[Role]]="BR",SUMPRODUCT(Mecze[[#This Row],[/PR:90]:[/BR:90]],Brudnopis!$E$23:$J$23),0)</f>
        <v>0</v>
      </c>
      <c r="T3513" s="44">
        <f>IF(Mecze[[#This Row],[Role]]&lt;&gt;"BR",SUMPRODUCT(Mecze[[#This Row],[/PR:90]:[/BR:90]],Brudnopis!$E$24:$J$24),0)</f>
        <v>8.247422680412371E-2</v>
      </c>
      <c r="U3513" s="44">
        <f>IF(Mecze[[#This Row],[Role]]&lt;&gt;"BR",SUMPRODUCT(Mecze[[#This Row],[/PR:90]:[/BR:90]],Brudnopis!$E$25:$J$25),0)</f>
        <v>9.7938144329896906E-2</v>
      </c>
      <c r="V3513" s="44">
        <f>IF(Mecze[[#This Row],[Role]]&lt;&gt;"BR",SUMPRODUCT(Mecze[[#This Row],[/PR:90]:[/BR:90]],Brudnopis!$E$26:$J$26),0)</f>
        <v>8.247422680412371E-2</v>
      </c>
      <c r="W3513" s="44">
        <f>IF(Mecze[[#This Row],[Role]]&lt;&gt;"BR",SUMPRODUCT(Mecze[[#This Row],[/PR:90]:[/BR:90]],Brudnopis!$E$27:$J$27),0)</f>
        <v>8.505154639175258E-2</v>
      </c>
      <c r="X3513" s="44">
        <f>IF(Mecze[[#This Row],[Role]]&lt;&gt;"BR",SUMPRODUCT(Mecze[[#This Row],[/PR:90]:[/BR:90]],Brudnopis!$E$28:$J$28),0)</f>
        <v>3.0927835051546393E-2</v>
      </c>
      <c r="Y3513" s="35">
        <f>IF(Mecze[[#This Row],[Role]]="BR",Mecze[[#This Row],[/OB:90]]+Mecze[[#This Row],[/PC:90]],SUM(Mecze[[#This Row],[/PR:90]:[/BR:90]]))</f>
        <v>8.247422680412371E-2</v>
      </c>
      <c r="Z3513" s="35">
        <f>IF(Mecze[[#This Row],[KC]]=0,SUM(Mecze[[#This Row],[/BRI]:[/NPI]]),SUM(Mecze[[#This Row],[/BRI]:[/NPI]])*0.6)</f>
        <v>0.37886597938144329</v>
      </c>
      <c r="AA3513" s="10">
        <f>IFERROR(Mecze[[#This Row],[BR]]/Mecze[[#This Row],[ST]],0)</f>
        <v>0</v>
      </c>
      <c r="AB3513">
        <f>ROUND(Mecze[[#This Row],[PD]]*Mecze[[#This Row],[%PC]],0)</f>
        <v>3</v>
      </c>
      <c r="AC3513">
        <f>ROUND(Mecze[[#This Row],[OD]]*Mecze[[#This Row],[%OU]],0)</f>
        <v>0</v>
      </c>
      <c r="AD3513" s="36" t="s">
        <v>168</v>
      </c>
      <c r="AE3513" s="36">
        <v>197</v>
      </c>
      <c r="AF3513" s="71">
        <v>4.97</v>
      </c>
      <c r="AG3513" s="37">
        <v>0</v>
      </c>
      <c r="AH3513" s="37">
        <v>0</v>
      </c>
      <c r="AI3513" s="37">
        <v>97</v>
      </c>
      <c r="AJ3513" s="37">
        <v>9</v>
      </c>
      <c r="AK3513" s="37" t="str">
        <f>VLOOKUP(Mecze[[#This Row],[Match ID]],Meczusie[Mecz]:Meczusie[RodzajMeczu],2,FALSE)</f>
        <v>Liga</v>
      </c>
    </row>
    <row r="3514" spans="1:37" x14ac:dyDescent="0.25">
      <c r="A3514" s="76">
        <v>16</v>
      </c>
      <c r="B3514" s="3" t="s">
        <v>405</v>
      </c>
      <c r="C3514" s="2" t="s">
        <v>157</v>
      </c>
      <c r="D3514" s="1">
        <v>0</v>
      </c>
      <c r="E3514" s="1">
        <v>0</v>
      </c>
      <c r="F3514" s="1">
        <v>0</v>
      </c>
      <c r="G3514" s="1">
        <v>0</v>
      </c>
      <c r="H3514" s="72"/>
      <c r="I3514" s="1">
        <v>0</v>
      </c>
      <c r="J3514" s="4"/>
      <c r="K3514" s="1">
        <v>0</v>
      </c>
      <c r="L3514" s="1">
        <v>1</v>
      </c>
      <c r="M3514" s="32">
        <f>IF(Mecze[[#This Row],[PR]]=0,0,Mecze[[#This Row],[PR]]/Mecze[[#This Row],[CZAS]])</f>
        <v>1.0309278350515464E-2</v>
      </c>
      <c r="N3514" s="32">
        <f>IF(Mecze[[#This Row],[OU]]=0,0,Mecze[[#This Row],[OU]]/Mecze[[#This Row],[CZAS]])</f>
        <v>0</v>
      </c>
      <c r="O3514" s="32">
        <f>IF(Mecze[[#This Row],[PC]]=0,0,Mecze[[#This Row],[PC]]/Mecze[[#This Row],[CZAS]])</f>
        <v>0</v>
      </c>
      <c r="P3514" s="32">
        <f>IF(Mecze[[#This Row],[SC]]=0,0,Mecze[[#This Row],[SC]]/Mecze[[#This Row],[CZAS]])</f>
        <v>0</v>
      </c>
      <c r="Q3514" s="32">
        <f>IF(Mecze[[#This Row],[OB]]=0,0,Mecze[[#This Row],[OB]]/Mecze[[#This Row],[CZAS]])</f>
        <v>0</v>
      </c>
      <c r="R3514" s="32">
        <f>IF(Mecze[[#This Row],[BR]]=0,0,Mecze[[#This Row],[BR]]/Mecze[[#This Row],[CZAS]])</f>
        <v>0</v>
      </c>
      <c r="S3514" s="44">
        <f>IF(Mecze[[#This Row],[Role]]="BR",SUMPRODUCT(Mecze[[#This Row],[/PR:90]:[/BR:90]],Brudnopis!$E$23:$J$23),0)</f>
        <v>0</v>
      </c>
      <c r="T3514" s="44">
        <f>IF(Mecze[[#This Row],[Role]]&lt;&gt;"BR",SUMPRODUCT(Mecze[[#This Row],[/PR:90]:[/BR:90]],Brudnopis!$E$24:$J$24),0)</f>
        <v>1.0309278350515464E-2</v>
      </c>
      <c r="U3514" s="44">
        <f>IF(Mecze[[#This Row],[Role]]&lt;&gt;"BR",SUMPRODUCT(Mecze[[#This Row],[/PR:90]:[/BR:90]],Brudnopis!$E$25:$J$25),0)</f>
        <v>1.0309278350515464E-2</v>
      </c>
      <c r="V3514" s="44">
        <f>IF(Mecze[[#This Row],[Role]]&lt;&gt;"BR",SUMPRODUCT(Mecze[[#This Row],[/PR:90]:[/BR:90]],Brudnopis!$E$26:$J$26),0)</f>
        <v>1.0309278350515464E-2</v>
      </c>
      <c r="W3514" s="44">
        <f>IF(Mecze[[#This Row],[Role]]&lt;&gt;"BR",SUMPRODUCT(Mecze[[#This Row],[/PR:90]:[/BR:90]],Brudnopis!$E$27:$J$27),0)</f>
        <v>7.7319587628865982E-3</v>
      </c>
      <c r="X3514" s="44">
        <f>IF(Mecze[[#This Row],[Role]]&lt;&gt;"BR",SUMPRODUCT(Mecze[[#This Row],[/PR:90]:[/BR:90]],Brudnopis!$E$28:$J$28),0)</f>
        <v>0</v>
      </c>
      <c r="Y3514" s="35">
        <f>IF(Mecze[[#This Row],[Role]]="BR",Mecze[[#This Row],[/OB:90]]+Mecze[[#This Row],[/PC:90]],SUM(Mecze[[#This Row],[/PR:90]:[/BR:90]]))</f>
        <v>1.0309278350515464E-2</v>
      </c>
      <c r="Z3514" s="35">
        <f>IF(Mecze[[#This Row],[KC]]=0,SUM(Mecze[[#This Row],[/BRI]:[/NPI]]),SUM(Mecze[[#This Row],[/BRI]:[/NPI]])*0.6)</f>
        <v>3.8659793814432991E-2</v>
      </c>
      <c r="AA3514" s="10">
        <f>IFERROR(Mecze[[#This Row],[BR]]/Mecze[[#This Row],[ST]],0)</f>
        <v>0</v>
      </c>
      <c r="AB3514">
        <f>ROUND(Mecze[[#This Row],[PD]]*Mecze[[#This Row],[%PC]],0)</f>
        <v>0</v>
      </c>
      <c r="AC3514">
        <f>ROUND(Mecze[[#This Row],[OD]]*Mecze[[#This Row],[%OU]],0)</f>
        <v>0</v>
      </c>
      <c r="AD3514" s="36" t="s">
        <v>167</v>
      </c>
      <c r="AE3514" s="36">
        <v>197</v>
      </c>
      <c r="AF3514" s="71">
        <v>4.13</v>
      </c>
      <c r="AG3514" s="37">
        <v>0</v>
      </c>
      <c r="AH3514" s="37">
        <v>0</v>
      </c>
      <c r="AI3514" s="37">
        <v>97</v>
      </c>
      <c r="AJ3514" s="37">
        <v>9</v>
      </c>
      <c r="AK3514" s="37" t="str">
        <f>VLOOKUP(Mecze[[#This Row],[Match ID]],Meczusie[Mecz]:Meczusie[RodzajMeczu],2,FALSE)</f>
        <v>Liga</v>
      </c>
    </row>
    <row r="3515" spans="1:37" x14ac:dyDescent="0.25">
      <c r="A3515" s="76">
        <v>3</v>
      </c>
      <c r="B3515" s="3" t="s">
        <v>292</v>
      </c>
      <c r="C3515" s="2" t="s">
        <v>160</v>
      </c>
      <c r="D3515" s="1">
        <v>0</v>
      </c>
      <c r="E3515" s="1">
        <v>0</v>
      </c>
      <c r="F3515" s="1">
        <v>0</v>
      </c>
      <c r="G3515" s="1">
        <v>1</v>
      </c>
      <c r="H3515" s="4">
        <v>1</v>
      </c>
      <c r="I3515" s="1">
        <v>0</v>
      </c>
      <c r="J3515" s="4"/>
      <c r="K3515" s="1">
        <v>0</v>
      </c>
      <c r="L3515" s="1">
        <v>2</v>
      </c>
      <c r="M3515" s="32">
        <f>IF(Mecze[[#This Row],[PR]]=0,0,Mecze[[#This Row],[PR]]/Mecze[[#This Row],[CZAS]])</f>
        <v>2.0618556701030927E-2</v>
      </c>
      <c r="N3515" s="32">
        <f>IF(Mecze[[#This Row],[OU]]=0,0,Mecze[[#This Row],[OU]]/Mecze[[#This Row],[CZAS]])</f>
        <v>0</v>
      </c>
      <c r="O3515" s="32">
        <f>IF(Mecze[[#This Row],[PC]]=0,0,Mecze[[#This Row],[PC]]/Mecze[[#This Row],[CZAS]])</f>
        <v>1.0309278350515464E-2</v>
      </c>
      <c r="P3515" s="32">
        <f>IF(Mecze[[#This Row],[SC]]=0,0,Mecze[[#This Row],[SC]]/Mecze[[#This Row],[CZAS]])</f>
        <v>0</v>
      </c>
      <c r="Q3515" s="32">
        <f>IF(Mecze[[#This Row],[OB]]=0,0,Mecze[[#This Row],[OB]]/Mecze[[#This Row],[CZAS]])</f>
        <v>0</v>
      </c>
      <c r="R3515" s="32">
        <f>IF(Mecze[[#This Row],[BR]]=0,0,Mecze[[#This Row],[BR]]/Mecze[[#This Row],[CZAS]])</f>
        <v>0</v>
      </c>
      <c r="S3515" s="44">
        <f>IF(Mecze[[#This Row],[Role]]="BR",SUMPRODUCT(Mecze[[#This Row],[/PR:90]:[/BR:90]],Brudnopis!$E$23:$J$23),0)</f>
        <v>0</v>
      </c>
      <c r="T3515" s="44">
        <f>IF(Mecze[[#This Row],[Role]]&lt;&gt;"BR",SUMPRODUCT(Mecze[[#This Row],[/PR:90]:[/BR:90]],Brudnopis!$E$24:$J$24),0)</f>
        <v>3.0927835051546393E-2</v>
      </c>
      <c r="U3515" s="44">
        <f>IF(Mecze[[#This Row],[Role]]&lt;&gt;"BR",SUMPRODUCT(Mecze[[#This Row],[/PR:90]:[/BR:90]],Brudnopis!$E$25:$J$25),0)</f>
        <v>3.608247422680412E-2</v>
      </c>
      <c r="V3515" s="44">
        <f>IF(Mecze[[#This Row],[Role]]&lt;&gt;"BR",SUMPRODUCT(Mecze[[#This Row],[/PR:90]:[/BR:90]],Brudnopis!$E$26:$J$26),0)</f>
        <v>3.0927835051546393E-2</v>
      </c>
      <c r="W3515" s="44">
        <f>IF(Mecze[[#This Row],[Role]]&lt;&gt;"BR",SUMPRODUCT(Mecze[[#This Row],[/PR:90]:[/BR:90]],Brudnopis!$E$27:$J$27),0)</f>
        <v>3.0927835051546393E-2</v>
      </c>
      <c r="X3515" s="44">
        <f>IF(Mecze[[#This Row],[Role]]&lt;&gt;"BR",SUMPRODUCT(Mecze[[#This Row],[/PR:90]:[/BR:90]],Brudnopis!$E$28:$J$28),0)</f>
        <v>1.0309278350515464E-2</v>
      </c>
      <c r="Y3515" s="35">
        <f>IF(Mecze[[#This Row],[Role]]="BR",Mecze[[#This Row],[/OB:90]]+Mecze[[#This Row],[/PC:90]],SUM(Mecze[[#This Row],[/PR:90]:[/BR:90]]))</f>
        <v>3.0927835051546393E-2</v>
      </c>
      <c r="Z3515" s="35">
        <f>IF(Mecze[[#This Row],[KC]]=0,SUM(Mecze[[#This Row],[/BRI]:[/NPI]]),SUM(Mecze[[#This Row],[/BRI]:[/NPI]])*0.6)</f>
        <v>0.13917525773195874</v>
      </c>
      <c r="AA3515" s="10">
        <f>IFERROR(Mecze[[#This Row],[BR]]/Mecze[[#This Row],[ST]],0)</f>
        <v>0</v>
      </c>
      <c r="AB3515">
        <f>ROUND(Mecze[[#This Row],[PD]]*Mecze[[#This Row],[%PC]],0)</f>
        <v>1</v>
      </c>
      <c r="AC3515">
        <f>ROUND(Mecze[[#This Row],[OD]]*Mecze[[#This Row],[%OU]],0)</f>
        <v>0</v>
      </c>
      <c r="AD3515" s="36" t="s">
        <v>173</v>
      </c>
      <c r="AE3515" s="36">
        <v>197</v>
      </c>
      <c r="AF3515" s="71">
        <v>4.34</v>
      </c>
      <c r="AG3515" s="37">
        <v>0</v>
      </c>
      <c r="AH3515" s="37">
        <v>0</v>
      </c>
      <c r="AI3515" s="37">
        <v>97</v>
      </c>
      <c r="AJ3515" s="37">
        <v>9</v>
      </c>
      <c r="AK3515" s="37" t="str">
        <f>VLOOKUP(Mecze[[#This Row],[Match ID]],Meczusie[Mecz]:Meczusie[RodzajMeczu],2,FALSE)</f>
        <v>Liga</v>
      </c>
    </row>
    <row r="3516" spans="1:37" x14ac:dyDescent="0.25">
      <c r="A3516" s="76">
        <v>14</v>
      </c>
      <c r="B3516" s="3" t="s">
        <v>293</v>
      </c>
      <c r="C3516" s="2" t="s">
        <v>160</v>
      </c>
      <c r="D3516" s="1">
        <v>0</v>
      </c>
      <c r="E3516" s="1">
        <v>0</v>
      </c>
      <c r="F3516" s="1">
        <v>0</v>
      </c>
      <c r="G3516" s="1">
        <v>4</v>
      </c>
      <c r="H3516" s="4">
        <v>0.25</v>
      </c>
      <c r="I3516" s="1">
        <v>0</v>
      </c>
      <c r="J3516" s="4"/>
      <c r="K3516" s="1">
        <v>0</v>
      </c>
      <c r="L3516" s="1">
        <v>2</v>
      </c>
      <c r="M3516" s="32">
        <f>IF(Mecze[[#This Row],[PR]]=0,0,Mecze[[#This Row],[PR]]/Mecze[[#This Row],[CZAS]])</f>
        <v>2.0618556701030927E-2</v>
      </c>
      <c r="N3516" s="32">
        <f>IF(Mecze[[#This Row],[OU]]=0,0,Mecze[[#This Row],[OU]]/Mecze[[#This Row],[CZAS]])</f>
        <v>0</v>
      </c>
      <c r="O3516" s="32">
        <f>IF(Mecze[[#This Row],[PC]]=0,0,Mecze[[#This Row],[PC]]/Mecze[[#This Row],[CZAS]])</f>
        <v>1.0309278350515464E-2</v>
      </c>
      <c r="P3516" s="32">
        <f>IF(Mecze[[#This Row],[SC]]=0,0,Mecze[[#This Row],[SC]]/Mecze[[#This Row],[CZAS]])</f>
        <v>0</v>
      </c>
      <c r="Q3516" s="32">
        <f>IF(Mecze[[#This Row],[OB]]=0,0,Mecze[[#This Row],[OB]]/Mecze[[#This Row],[CZAS]])</f>
        <v>0</v>
      </c>
      <c r="R3516" s="32">
        <f>IF(Mecze[[#This Row],[BR]]=0,0,Mecze[[#This Row],[BR]]/Mecze[[#This Row],[CZAS]])</f>
        <v>0</v>
      </c>
      <c r="S3516" s="44">
        <f>IF(Mecze[[#This Row],[Role]]="BR",SUMPRODUCT(Mecze[[#This Row],[/PR:90]:[/BR:90]],Brudnopis!$E$23:$J$23),0)</f>
        <v>0</v>
      </c>
      <c r="T3516" s="44">
        <f>IF(Mecze[[#This Row],[Role]]&lt;&gt;"BR",SUMPRODUCT(Mecze[[#This Row],[/PR:90]:[/BR:90]],Brudnopis!$E$24:$J$24),0)</f>
        <v>3.0927835051546393E-2</v>
      </c>
      <c r="U3516" s="44">
        <f>IF(Mecze[[#This Row],[Role]]&lt;&gt;"BR",SUMPRODUCT(Mecze[[#This Row],[/PR:90]:[/BR:90]],Brudnopis!$E$25:$J$25),0)</f>
        <v>3.608247422680412E-2</v>
      </c>
      <c r="V3516" s="44">
        <f>IF(Mecze[[#This Row],[Role]]&lt;&gt;"BR",SUMPRODUCT(Mecze[[#This Row],[/PR:90]:[/BR:90]],Brudnopis!$E$26:$J$26),0)</f>
        <v>3.0927835051546393E-2</v>
      </c>
      <c r="W3516" s="44">
        <f>IF(Mecze[[#This Row],[Role]]&lt;&gt;"BR",SUMPRODUCT(Mecze[[#This Row],[/PR:90]:[/BR:90]],Brudnopis!$E$27:$J$27),0)</f>
        <v>3.0927835051546393E-2</v>
      </c>
      <c r="X3516" s="44">
        <f>IF(Mecze[[#This Row],[Role]]&lt;&gt;"BR",SUMPRODUCT(Mecze[[#This Row],[/PR:90]:[/BR:90]],Brudnopis!$E$28:$J$28),0)</f>
        <v>1.0309278350515464E-2</v>
      </c>
      <c r="Y3516" s="35">
        <f>IF(Mecze[[#This Row],[Role]]="BR",Mecze[[#This Row],[/OB:90]]+Mecze[[#This Row],[/PC:90]],SUM(Mecze[[#This Row],[/PR:90]:[/BR:90]]))</f>
        <v>3.0927835051546393E-2</v>
      </c>
      <c r="Z3516" s="35">
        <f>IF(Mecze[[#This Row],[KC]]=0,SUM(Mecze[[#This Row],[/BRI]:[/NPI]]),SUM(Mecze[[#This Row],[/BRI]:[/NPI]])*0.6)</f>
        <v>0.13917525773195874</v>
      </c>
      <c r="AA3516" s="10">
        <f>IFERROR(Mecze[[#This Row],[BR]]/Mecze[[#This Row],[ST]],0)</f>
        <v>0</v>
      </c>
      <c r="AB3516">
        <f>ROUND(Mecze[[#This Row],[PD]]*Mecze[[#This Row],[%PC]],0)</f>
        <v>1</v>
      </c>
      <c r="AC3516">
        <f>ROUND(Mecze[[#This Row],[OD]]*Mecze[[#This Row],[%OU]],0)</f>
        <v>0</v>
      </c>
      <c r="AD3516" s="36" t="s">
        <v>172</v>
      </c>
      <c r="AE3516" s="36">
        <v>197</v>
      </c>
      <c r="AF3516" s="71">
        <v>4.34</v>
      </c>
      <c r="AG3516" s="37">
        <v>0</v>
      </c>
      <c r="AH3516" s="37">
        <v>0</v>
      </c>
      <c r="AI3516" s="37">
        <v>97</v>
      </c>
      <c r="AJ3516" s="37">
        <v>9</v>
      </c>
      <c r="AK3516" s="37" t="str">
        <f>VLOOKUP(Mecze[[#This Row],[Match ID]],Meczusie[Mecz]:Meczusie[RodzajMeczu],2,FALSE)</f>
        <v>Liga</v>
      </c>
    </row>
    <row r="3517" spans="1:37" x14ac:dyDescent="0.25">
      <c r="A3517" s="76">
        <v>8</v>
      </c>
      <c r="B3517" s="3" t="s">
        <v>294</v>
      </c>
      <c r="C3517" s="2" t="s">
        <v>160</v>
      </c>
      <c r="D3517" s="1">
        <v>0</v>
      </c>
      <c r="E3517" s="1">
        <v>0</v>
      </c>
      <c r="F3517" s="1">
        <v>0</v>
      </c>
      <c r="G3517" s="1">
        <v>29</v>
      </c>
      <c r="H3517" s="4">
        <v>0.79</v>
      </c>
      <c r="I3517" s="1">
        <v>10</v>
      </c>
      <c r="J3517" s="4">
        <v>0.7</v>
      </c>
      <c r="K3517" s="1">
        <v>0</v>
      </c>
      <c r="L3517" s="1">
        <v>14</v>
      </c>
      <c r="M3517" s="32">
        <f>IF(Mecze[[#This Row],[PR]]=0,0,Mecze[[#This Row],[PR]]/Mecze[[#This Row],[CZAS]])</f>
        <v>0.14432989690721648</v>
      </c>
      <c r="N3517" s="32">
        <f>IF(Mecze[[#This Row],[OU]]=0,0,Mecze[[#This Row],[OU]]/Mecze[[#This Row],[CZAS]])</f>
        <v>7.2164948453608241E-2</v>
      </c>
      <c r="O3517" s="32">
        <f>IF(Mecze[[#This Row],[PC]]=0,0,Mecze[[#This Row],[PC]]/Mecze[[#This Row],[CZAS]])</f>
        <v>0.23711340206185566</v>
      </c>
      <c r="P3517" s="32">
        <f>IF(Mecze[[#This Row],[SC]]=0,0,Mecze[[#This Row],[SC]]/Mecze[[#This Row],[CZAS]])</f>
        <v>0</v>
      </c>
      <c r="Q3517" s="32">
        <f>IF(Mecze[[#This Row],[OB]]=0,0,Mecze[[#This Row],[OB]]/Mecze[[#This Row],[CZAS]])</f>
        <v>0</v>
      </c>
      <c r="R3517" s="32">
        <f>IF(Mecze[[#This Row],[BR]]=0,0,Mecze[[#This Row],[BR]]/Mecze[[#This Row],[CZAS]])</f>
        <v>0</v>
      </c>
      <c r="S3517" s="44">
        <f>IF(Mecze[[#This Row],[Role]]="BR",SUMPRODUCT(Mecze[[#This Row],[/PR:90]:[/BR:90]],Brudnopis!$E$23:$J$23),0)</f>
        <v>0</v>
      </c>
      <c r="T3517" s="44">
        <f>IF(Mecze[[#This Row],[Role]]&lt;&gt;"BR",SUMPRODUCT(Mecze[[#This Row],[/PR:90]:[/BR:90]],Brudnopis!$E$24:$J$24),0)</f>
        <v>0.48969072164948452</v>
      </c>
      <c r="U3517" s="44">
        <f>IF(Mecze[[#This Row],[Role]]&lt;&gt;"BR",SUMPRODUCT(Mecze[[#This Row],[/PR:90]:[/BR:90]],Brudnopis!$E$25:$J$25),0)</f>
        <v>0.57216494845360821</v>
      </c>
      <c r="V3517" s="44">
        <f>IF(Mecze[[#This Row],[Role]]&lt;&gt;"BR",SUMPRODUCT(Mecze[[#This Row],[/PR:90]:[/BR:90]],Brudnopis!$E$26:$J$26),0)</f>
        <v>0.45360824742268036</v>
      </c>
      <c r="W3517" s="44">
        <f>IF(Mecze[[#This Row],[Role]]&lt;&gt;"BR",SUMPRODUCT(Mecze[[#This Row],[/PR:90]:[/BR:90]],Brudnopis!$E$27:$J$27),0)</f>
        <v>0.518041237113402</v>
      </c>
      <c r="X3517" s="44">
        <f>IF(Mecze[[#This Row],[Role]]&lt;&gt;"BR",SUMPRODUCT(Mecze[[#This Row],[/PR:90]:[/BR:90]],Brudnopis!$E$28:$J$28),0)</f>
        <v>0.23711340206185566</v>
      </c>
      <c r="Y3517" s="35">
        <f>IF(Mecze[[#This Row],[Role]]="BR",Mecze[[#This Row],[/OB:90]]+Mecze[[#This Row],[/PC:90]],SUM(Mecze[[#This Row],[/PR:90]:[/BR:90]]))</f>
        <v>0.45360824742268036</v>
      </c>
      <c r="Z3517" s="35">
        <f>IF(Mecze[[#This Row],[KC]]=0,SUM(Mecze[[#This Row],[/BRI]:[/NPI]]),SUM(Mecze[[#This Row],[/BRI]:[/NPI]])*0.6)</f>
        <v>2.2706185567010309</v>
      </c>
      <c r="AA3517" s="10">
        <f>IFERROR(Mecze[[#This Row],[BR]]/Mecze[[#This Row],[ST]],0)</f>
        <v>0</v>
      </c>
      <c r="AB3517">
        <f>ROUND(Mecze[[#This Row],[PD]]*Mecze[[#This Row],[%PC]],0)</f>
        <v>23</v>
      </c>
      <c r="AC3517">
        <f>ROUND(Mecze[[#This Row],[OD]]*Mecze[[#This Row],[%OU]],0)</f>
        <v>7</v>
      </c>
      <c r="AD3517" s="36" t="s">
        <v>67</v>
      </c>
      <c r="AE3517" s="36">
        <v>197</v>
      </c>
      <c r="AF3517" s="71">
        <v>8.07</v>
      </c>
      <c r="AG3517" s="37">
        <v>0</v>
      </c>
      <c r="AH3517" s="37">
        <v>0</v>
      </c>
      <c r="AI3517" s="37">
        <v>97</v>
      </c>
      <c r="AJ3517" s="37">
        <v>9</v>
      </c>
      <c r="AK3517" s="37" t="str">
        <f>VLOOKUP(Mecze[[#This Row],[Match ID]],Meczusie[Mecz]:Meczusie[RodzajMeczu],2,FALSE)</f>
        <v>Liga</v>
      </c>
    </row>
    <row r="3518" spans="1:37" x14ac:dyDescent="0.25">
      <c r="A3518" s="76">
        <v>11</v>
      </c>
      <c r="B3518" s="3" t="s">
        <v>410</v>
      </c>
      <c r="C3518" s="2" t="s">
        <v>160</v>
      </c>
      <c r="D3518" s="1">
        <v>0</v>
      </c>
      <c r="E3518" s="1">
        <v>5</v>
      </c>
      <c r="F3518" s="1">
        <v>2</v>
      </c>
      <c r="G3518" s="1">
        <v>8</v>
      </c>
      <c r="H3518" s="4">
        <v>0.75</v>
      </c>
      <c r="I3518" s="1">
        <v>0</v>
      </c>
      <c r="J3518" s="4"/>
      <c r="K3518" s="1">
        <v>0</v>
      </c>
      <c r="L3518" s="1">
        <v>3</v>
      </c>
      <c r="M3518" s="32">
        <f>IF(Mecze[[#This Row],[PR]]=0,0,Mecze[[#This Row],[PR]]/Mecze[[#This Row],[CZAS]])</f>
        <v>3.0927835051546393E-2</v>
      </c>
      <c r="N3518" s="32">
        <f>IF(Mecze[[#This Row],[OU]]=0,0,Mecze[[#This Row],[OU]]/Mecze[[#This Row],[CZAS]])</f>
        <v>0</v>
      </c>
      <c r="O3518" s="32">
        <f>IF(Mecze[[#This Row],[PC]]=0,0,Mecze[[#This Row],[PC]]/Mecze[[#This Row],[CZAS]])</f>
        <v>6.1855670103092786E-2</v>
      </c>
      <c r="P3518" s="32">
        <f>IF(Mecze[[#This Row],[SC]]=0,0,Mecze[[#This Row],[SC]]/Mecze[[#This Row],[CZAS]])</f>
        <v>2.0618556701030927E-2</v>
      </c>
      <c r="Q3518" s="32">
        <f>IF(Mecze[[#This Row],[OB]]=0,0,Mecze[[#This Row],[OB]]/Mecze[[#This Row],[CZAS]])</f>
        <v>0</v>
      </c>
      <c r="R3518" s="32">
        <f>IF(Mecze[[#This Row],[BR]]=0,0,Mecze[[#This Row],[BR]]/Mecze[[#This Row],[CZAS]])</f>
        <v>0</v>
      </c>
      <c r="S3518" s="44">
        <f>IF(Mecze[[#This Row],[Role]]="BR",SUMPRODUCT(Mecze[[#This Row],[/PR:90]:[/BR:90]],Brudnopis!$E$23:$J$23),0)</f>
        <v>0</v>
      </c>
      <c r="T3518" s="44">
        <f>IF(Mecze[[#This Row],[Role]]&lt;&gt;"BR",SUMPRODUCT(Mecze[[#This Row],[/PR:90]:[/BR:90]],Brudnopis!$E$24:$J$24),0)</f>
        <v>0.1134020618556701</v>
      </c>
      <c r="U3518" s="44">
        <f>IF(Mecze[[#This Row],[Role]]&lt;&gt;"BR",SUMPRODUCT(Mecze[[#This Row],[/PR:90]:[/BR:90]],Brudnopis!$E$25:$J$25),0)</f>
        <v>0.14432989690721651</v>
      </c>
      <c r="V3518" s="44">
        <f>IF(Mecze[[#This Row],[Role]]&lt;&gt;"BR",SUMPRODUCT(Mecze[[#This Row],[/PR:90]:[/BR:90]],Brudnopis!$E$26:$J$26),0)</f>
        <v>0.1134020618556701</v>
      </c>
      <c r="W3518" s="44">
        <f>IF(Mecze[[#This Row],[Role]]&lt;&gt;"BR",SUMPRODUCT(Mecze[[#This Row],[/PR:90]:[/BR:90]],Brudnopis!$E$27:$J$27),0)</f>
        <v>0.13659793814432991</v>
      </c>
      <c r="X3518" s="44">
        <f>IF(Mecze[[#This Row],[Role]]&lt;&gt;"BR",SUMPRODUCT(Mecze[[#This Row],[/PR:90]:[/BR:90]],Brudnopis!$E$28:$J$28),0)</f>
        <v>0.10309278350515463</v>
      </c>
      <c r="Y3518" s="35">
        <f>IF(Mecze[[#This Row],[Role]]="BR",Mecze[[#This Row],[/OB:90]]+Mecze[[#This Row],[/PC:90]],SUM(Mecze[[#This Row],[/PR:90]:[/BR:90]]))</f>
        <v>0.1134020618556701</v>
      </c>
      <c r="Z3518" s="35">
        <f>IF(Mecze[[#This Row],[KC]]=0,SUM(Mecze[[#This Row],[/BRI]:[/NPI]]),SUM(Mecze[[#This Row],[/BRI]:[/NPI]])*0.6)</f>
        <v>0.61082474226804118</v>
      </c>
      <c r="AA3518" s="10">
        <f>IFERROR(Mecze[[#This Row],[BR]]/Mecze[[#This Row],[ST]],0)</f>
        <v>0</v>
      </c>
      <c r="AB3518">
        <f>ROUND(Mecze[[#This Row],[PD]]*Mecze[[#This Row],[%PC]],0)</f>
        <v>6</v>
      </c>
      <c r="AC3518">
        <f>ROUND(Mecze[[#This Row],[OD]]*Mecze[[#This Row],[%OU]],0)</f>
        <v>0</v>
      </c>
      <c r="AD3518" s="36" t="s">
        <v>299</v>
      </c>
      <c r="AE3518" s="36">
        <v>197</v>
      </c>
      <c r="AF3518" s="71">
        <v>6.22</v>
      </c>
      <c r="AG3518" s="37">
        <v>0</v>
      </c>
      <c r="AH3518" s="37">
        <v>0</v>
      </c>
      <c r="AI3518" s="37">
        <v>97</v>
      </c>
      <c r="AJ3518" s="37">
        <v>9</v>
      </c>
      <c r="AK3518" s="37" t="str">
        <f>VLOOKUP(Mecze[[#This Row],[Match ID]],Meczusie[Mecz]:Meczusie[RodzajMeczu],2,FALSE)</f>
        <v>Liga</v>
      </c>
    </row>
    <row r="3519" spans="1:37" x14ac:dyDescent="0.25">
      <c r="A3519" s="76">
        <v>13</v>
      </c>
      <c r="B3519" s="3" t="s">
        <v>295</v>
      </c>
      <c r="C3519" s="2" t="s">
        <v>160</v>
      </c>
      <c r="D3519" s="1">
        <v>1</v>
      </c>
      <c r="E3519" s="1">
        <v>1</v>
      </c>
      <c r="F3519" s="1">
        <v>1</v>
      </c>
      <c r="G3519" s="1">
        <v>10</v>
      </c>
      <c r="H3519" s="4">
        <v>0.9</v>
      </c>
      <c r="I3519" s="1">
        <v>2</v>
      </c>
      <c r="J3519" s="4">
        <v>1</v>
      </c>
      <c r="K3519" s="1">
        <v>0</v>
      </c>
      <c r="L3519" s="1">
        <v>3</v>
      </c>
      <c r="M3519" s="32">
        <f>IF(Mecze[[#This Row],[PR]]=0,0,Mecze[[#This Row],[PR]]/Mecze[[#This Row],[CZAS]])</f>
        <v>3.0927835051546393E-2</v>
      </c>
      <c r="N3519" s="32">
        <f>IF(Mecze[[#This Row],[OU]]=0,0,Mecze[[#This Row],[OU]]/Mecze[[#This Row],[CZAS]])</f>
        <v>2.0618556701030927E-2</v>
      </c>
      <c r="O3519" s="32">
        <f>IF(Mecze[[#This Row],[PC]]=0,0,Mecze[[#This Row],[PC]]/Mecze[[#This Row],[CZAS]])</f>
        <v>9.2783505154639179E-2</v>
      </c>
      <c r="P3519" s="32">
        <f>IF(Mecze[[#This Row],[SC]]=0,0,Mecze[[#This Row],[SC]]/Mecze[[#This Row],[CZAS]])</f>
        <v>1.0309278350515464E-2</v>
      </c>
      <c r="Q3519" s="32">
        <f>IF(Mecze[[#This Row],[OB]]=0,0,Mecze[[#This Row],[OB]]/Mecze[[#This Row],[CZAS]])</f>
        <v>0</v>
      </c>
      <c r="R3519" s="32">
        <f>IF(Mecze[[#This Row],[BR]]=0,0,Mecze[[#This Row],[BR]]/Mecze[[#This Row],[CZAS]])</f>
        <v>1.0309278350515464E-2</v>
      </c>
      <c r="S3519" s="44">
        <f>IF(Mecze[[#This Row],[Role]]="BR",SUMPRODUCT(Mecze[[#This Row],[/PR:90]:[/BR:90]],Brudnopis!$E$23:$J$23),0)</f>
        <v>0</v>
      </c>
      <c r="T3519" s="44">
        <f>IF(Mecze[[#This Row],[Role]]&lt;&gt;"BR",SUMPRODUCT(Mecze[[#This Row],[/PR:90]:[/BR:90]],Brudnopis!$E$24:$J$24),0)</f>
        <v>0.18041237113402062</v>
      </c>
      <c r="U3519" s="44">
        <f>IF(Mecze[[#This Row],[Role]]&lt;&gt;"BR",SUMPRODUCT(Mecze[[#This Row],[/PR:90]:[/BR:90]],Brudnopis!$E$25:$J$25),0)</f>
        <v>0.21649484536082472</v>
      </c>
      <c r="V3519" s="44">
        <f>IF(Mecze[[#This Row],[Role]]&lt;&gt;"BR",SUMPRODUCT(Mecze[[#This Row],[/PR:90]:[/BR:90]],Brudnopis!$E$26:$J$26),0)</f>
        <v>0.17525773195876287</v>
      </c>
      <c r="W3519" s="44">
        <f>IF(Mecze[[#This Row],[Role]]&lt;&gt;"BR",SUMPRODUCT(Mecze[[#This Row],[/PR:90]:[/BR:90]],Brudnopis!$E$27:$J$27),0)</f>
        <v>0.20876288659793815</v>
      </c>
      <c r="X3519" s="44">
        <f>IF(Mecze[[#This Row],[Role]]&lt;&gt;"BR",SUMPRODUCT(Mecze[[#This Row],[/PR:90]:[/BR:90]],Brudnopis!$E$28:$J$28),0)</f>
        <v>0.14432989690721648</v>
      </c>
      <c r="Y3519" s="35">
        <f>IF(Mecze[[#This Row],[Role]]="BR",Mecze[[#This Row],[/OB:90]]+Mecze[[#This Row],[/PC:90]],SUM(Mecze[[#This Row],[/PR:90]:[/BR:90]]))</f>
        <v>0.16494845360824739</v>
      </c>
      <c r="Z3519" s="35">
        <f>IF(Mecze[[#This Row],[KC]]=0,SUM(Mecze[[#This Row],[/BRI]:[/NPI]]),SUM(Mecze[[#This Row],[/BRI]:[/NPI]])*0.6)</f>
        <v>0.92525773195876293</v>
      </c>
      <c r="AA3519" s="10">
        <f>IFERROR(Mecze[[#This Row],[BR]]/Mecze[[#This Row],[ST]],0)</f>
        <v>1</v>
      </c>
      <c r="AB3519">
        <f>ROUND(Mecze[[#This Row],[PD]]*Mecze[[#This Row],[%PC]],0)</f>
        <v>9</v>
      </c>
      <c r="AC3519">
        <f>ROUND(Mecze[[#This Row],[OD]]*Mecze[[#This Row],[%OU]],0)</f>
        <v>2</v>
      </c>
      <c r="AD3519" s="36" t="s">
        <v>171</v>
      </c>
      <c r="AE3519" s="36">
        <v>197</v>
      </c>
      <c r="AF3519" s="71">
        <v>9.01</v>
      </c>
      <c r="AG3519" s="37">
        <v>0</v>
      </c>
      <c r="AH3519" s="37">
        <v>0</v>
      </c>
      <c r="AI3519" s="37">
        <v>97</v>
      </c>
      <c r="AJ3519" s="37">
        <v>9</v>
      </c>
      <c r="AK3519" s="37" t="str">
        <f>VLOOKUP(Mecze[[#This Row],[Match ID]],Meczusie[Mecz]:Meczusie[RodzajMeczu],2,FALSE)</f>
        <v>Liga</v>
      </c>
    </row>
    <row r="3520" spans="1:37" x14ac:dyDescent="0.25">
      <c r="A3520" s="76">
        <v>9</v>
      </c>
      <c r="B3520" s="3" t="s">
        <v>296</v>
      </c>
      <c r="C3520" s="2" t="s">
        <v>165</v>
      </c>
      <c r="D3520" s="1">
        <v>4</v>
      </c>
      <c r="E3520" s="1">
        <v>10</v>
      </c>
      <c r="F3520" s="1">
        <v>9</v>
      </c>
      <c r="G3520" s="1">
        <v>11</v>
      </c>
      <c r="H3520" s="4">
        <v>0.64</v>
      </c>
      <c r="I3520" s="1">
        <v>1</v>
      </c>
      <c r="J3520" s="4">
        <v>1</v>
      </c>
      <c r="K3520" s="1">
        <v>0</v>
      </c>
      <c r="L3520" s="1">
        <v>1</v>
      </c>
      <c r="M3520" s="32">
        <f>IF(Mecze[[#This Row],[PR]]=0,0,Mecze[[#This Row],[PR]]/Mecze[[#This Row],[CZAS]])</f>
        <v>1.0309278350515464E-2</v>
      </c>
      <c r="N3520" s="32">
        <f>IF(Mecze[[#This Row],[OU]]=0,0,Mecze[[#This Row],[OU]]/Mecze[[#This Row],[CZAS]])</f>
        <v>1.0309278350515464E-2</v>
      </c>
      <c r="O3520" s="32">
        <f>IF(Mecze[[#This Row],[PC]]=0,0,Mecze[[#This Row],[PC]]/Mecze[[#This Row],[CZAS]])</f>
        <v>7.2164948453608241E-2</v>
      </c>
      <c r="P3520" s="32">
        <f>IF(Mecze[[#This Row],[SC]]=0,0,Mecze[[#This Row],[SC]]/Mecze[[#This Row],[CZAS]])</f>
        <v>9.2783505154639179E-2</v>
      </c>
      <c r="Q3520" s="32">
        <f>IF(Mecze[[#This Row],[OB]]=0,0,Mecze[[#This Row],[OB]]/Mecze[[#This Row],[CZAS]])</f>
        <v>0</v>
      </c>
      <c r="R3520" s="32">
        <f>IF(Mecze[[#This Row],[BR]]=0,0,Mecze[[#This Row],[BR]]/Mecze[[#This Row],[CZAS]])</f>
        <v>4.1237113402061855E-2</v>
      </c>
      <c r="S3520" s="44">
        <f>IF(Mecze[[#This Row],[Role]]="BR",SUMPRODUCT(Mecze[[#This Row],[/PR:90]:[/BR:90]],Brudnopis!$E$23:$J$23),0)</f>
        <v>0</v>
      </c>
      <c r="T3520" s="44">
        <f>IF(Mecze[[#This Row],[Role]]&lt;&gt;"BR",SUMPRODUCT(Mecze[[#This Row],[/PR:90]:[/BR:90]],Brudnopis!$E$24:$J$24),0)</f>
        <v>0.25257731958762886</v>
      </c>
      <c r="U3520" s="44">
        <f>IF(Mecze[[#This Row],[Role]]&lt;&gt;"BR",SUMPRODUCT(Mecze[[#This Row],[/PR:90]:[/BR:90]],Brudnopis!$E$25:$J$25),0)</f>
        <v>0.28350515463917525</v>
      </c>
      <c r="V3520" s="44">
        <f>IF(Mecze[[#This Row],[Role]]&lt;&gt;"BR",SUMPRODUCT(Mecze[[#This Row],[/PR:90]:[/BR:90]],Brudnopis!$E$26:$J$26),0)</f>
        <v>0.26804123711340205</v>
      </c>
      <c r="W3520" s="44">
        <f>IF(Mecze[[#This Row],[Role]]&lt;&gt;"BR",SUMPRODUCT(Mecze[[#This Row],[/PR:90]:[/BR:90]],Brudnopis!$E$27:$J$27),0)</f>
        <v>0.29896907216494845</v>
      </c>
      <c r="X3520" s="44">
        <f>IF(Mecze[[#This Row],[Role]]&lt;&gt;"BR",SUMPRODUCT(Mecze[[#This Row],[/PR:90]:[/BR:90]],Brudnopis!$E$28:$J$28),0)</f>
        <v>0.38144329896907214</v>
      </c>
      <c r="Y3520" s="35">
        <f>IF(Mecze[[#This Row],[Role]]="BR",Mecze[[#This Row],[/OB:90]]+Mecze[[#This Row],[/PC:90]],SUM(Mecze[[#This Row],[/PR:90]:[/BR:90]]))</f>
        <v>0.22680412371134021</v>
      </c>
      <c r="Z3520" s="35">
        <f>IF(Mecze[[#This Row],[KC]]=0,SUM(Mecze[[#This Row],[/BRI]:[/NPI]]),SUM(Mecze[[#This Row],[/BRI]:[/NPI]])*0.6)</f>
        <v>1.4845360824742269</v>
      </c>
      <c r="AA3520" s="10">
        <f>IFERROR(Mecze[[#This Row],[BR]]/Mecze[[#This Row],[ST]],0)</f>
        <v>0.4</v>
      </c>
      <c r="AB3520">
        <f>ROUND(Mecze[[#This Row],[PD]]*Mecze[[#This Row],[%PC]],0)</f>
        <v>7</v>
      </c>
      <c r="AC3520">
        <f>ROUND(Mecze[[#This Row],[OD]]*Mecze[[#This Row],[%OU]],0)</f>
        <v>1</v>
      </c>
      <c r="AD3520" s="36" t="s">
        <v>272</v>
      </c>
      <c r="AE3520" s="36">
        <v>197</v>
      </c>
      <c r="AF3520" s="71">
        <v>16.440000000000001</v>
      </c>
      <c r="AG3520" s="37">
        <v>0</v>
      </c>
      <c r="AH3520" s="37">
        <v>0</v>
      </c>
      <c r="AI3520" s="37">
        <v>97</v>
      </c>
      <c r="AJ3520" s="37">
        <v>9</v>
      </c>
      <c r="AK3520" s="37" t="str">
        <f>VLOOKUP(Mecze[[#This Row],[Match ID]],Meczusie[Mecz]:Meczusie[RodzajMeczu],2,FALSE)</f>
        <v>Liga</v>
      </c>
    </row>
    <row r="3521" spans="1:37" x14ac:dyDescent="0.25">
      <c r="A3521" s="76">
        <v>6</v>
      </c>
      <c r="B3521" s="3" t="s">
        <v>297</v>
      </c>
      <c r="C3521" s="2" t="s">
        <v>165</v>
      </c>
      <c r="D3521" s="1">
        <v>4</v>
      </c>
      <c r="E3521" s="1">
        <v>14</v>
      </c>
      <c r="F3521" s="1">
        <v>12</v>
      </c>
      <c r="G3521" s="1">
        <v>11</v>
      </c>
      <c r="H3521" s="4">
        <v>0.91</v>
      </c>
      <c r="I3521" s="1">
        <v>1</v>
      </c>
      <c r="J3521" s="4">
        <v>1</v>
      </c>
      <c r="K3521" s="1">
        <v>0</v>
      </c>
      <c r="L3521" s="1">
        <v>3</v>
      </c>
      <c r="M3521" s="32">
        <f>IF(Mecze[[#This Row],[PR]]=0,0,Mecze[[#This Row],[PR]]/Mecze[[#This Row],[CZAS]])</f>
        <v>3.0927835051546393E-2</v>
      </c>
      <c r="N3521" s="32">
        <f>IF(Mecze[[#This Row],[OU]]=0,0,Mecze[[#This Row],[OU]]/Mecze[[#This Row],[CZAS]])</f>
        <v>1.0309278350515464E-2</v>
      </c>
      <c r="O3521" s="32">
        <f>IF(Mecze[[#This Row],[PC]]=0,0,Mecze[[#This Row],[PC]]/Mecze[[#This Row],[CZAS]])</f>
        <v>0.10309278350515463</v>
      </c>
      <c r="P3521" s="32">
        <f>IF(Mecze[[#This Row],[SC]]=0,0,Mecze[[#This Row],[SC]]/Mecze[[#This Row],[CZAS]])</f>
        <v>0.12371134020618557</v>
      </c>
      <c r="Q3521" s="32">
        <f>IF(Mecze[[#This Row],[OB]]=0,0,Mecze[[#This Row],[OB]]/Mecze[[#This Row],[CZAS]])</f>
        <v>0</v>
      </c>
      <c r="R3521" s="32">
        <f>IF(Mecze[[#This Row],[BR]]=0,0,Mecze[[#This Row],[BR]]/Mecze[[#This Row],[CZAS]])</f>
        <v>4.1237113402061855E-2</v>
      </c>
      <c r="S3521" s="44">
        <f>IF(Mecze[[#This Row],[Role]]="BR",SUMPRODUCT(Mecze[[#This Row],[/PR:90]:[/BR:90]],Brudnopis!$E$23:$J$23),0)</f>
        <v>0</v>
      </c>
      <c r="T3521" s="44">
        <f>IF(Mecze[[#This Row],[Role]]&lt;&gt;"BR",SUMPRODUCT(Mecze[[#This Row],[/PR:90]:[/BR:90]],Brudnopis!$E$24:$J$24),0)</f>
        <v>0.33505154639175261</v>
      </c>
      <c r="U3521" s="44">
        <f>IF(Mecze[[#This Row],[Role]]&lt;&gt;"BR",SUMPRODUCT(Mecze[[#This Row],[/PR:90]:[/BR:90]],Brudnopis!$E$25:$J$25),0)</f>
        <v>0.38144329896907214</v>
      </c>
      <c r="V3521" s="44">
        <f>IF(Mecze[[#This Row],[Role]]&lt;&gt;"BR",SUMPRODUCT(Mecze[[#This Row],[/PR:90]:[/BR:90]],Brudnopis!$E$26:$J$26),0)</f>
        <v>0.35051546391752575</v>
      </c>
      <c r="W3521" s="44">
        <f>IF(Mecze[[#This Row],[Role]]&lt;&gt;"BR",SUMPRODUCT(Mecze[[#This Row],[/PR:90]:[/BR:90]],Brudnopis!$E$27:$J$27),0)</f>
        <v>0.39175257731958762</v>
      </c>
      <c r="X3521" s="44">
        <f>IF(Mecze[[#This Row],[Role]]&lt;&gt;"BR",SUMPRODUCT(Mecze[[#This Row],[/PR:90]:[/BR:90]],Brudnopis!$E$28:$J$28),0)</f>
        <v>0.47422680412371132</v>
      </c>
      <c r="Y3521" s="35">
        <f>IF(Mecze[[#This Row],[Role]]="BR",Mecze[[#This Row],[/OB:90]]+Mecze[[#This Row],[/PC:90]],SUM(Mecze[[#This Row],[/PR:90]:[/BR:90]]))</f>
        <v>0.30927835051546393</v>
      </c>
      <c r="Z3521" s="35">
        <f>IF(Mecze[[#This Row],[KC]]=0,SUM(Mecze[[#This Row],[/BRI]:[/NPI]]),SUM(Mecze[[#This Row],[/BRI]:[/NPI]])*0.6)</f>
        <v>1.9329896907216493</v>
      </c>
      <c r="AA3521" s="10">
        <f>IFERROR(Mecze[[#This Row],[BR]]/Mecze[[#This Row],[ST]],0)</f>
        <v>0.2857142857142857</v>
      </c>
      <c r="AB3521">
        <f>ROUND(Mecze[[#This Row],[PD]]*Mecze[[#This Row],[%PC]],0)</f>
        <v>10</v>
      </c>
      <c r="AC3521">
        <f>ROUND(Mecze[[#This Row],[OD]]*Mecze[[#This Row],[%OU]],0)</f>
        <v>1</v>
      </c>
      <c r="AD3521" s="36" t="s">
        <v>46</v>
      </c>
      <c r="AE3521" s="36">
        <v>197</v>
      </c>
      <c r="AF3521" s="71">
        <v>18.02</v>
      </c>
      <c r="AG3521" s="37">
        <v>0</v>
      </c>
      <c r="AH3521" s="37">
        <v>0</v>
      </c>
      <c r="AI3521" s="37">
        <v>97</v>
      </c>
      <c r="AJ3521" s="37">
        <v>9</v>
      </c>
      <c r="AK3521" s="37" t="str">
        <f>VLOOKUP(Mecze[[#This Row],[Match ID]],Meczusie[Mecz]:Meczusie[RodzajMeczu],2,FALSE)</f>
        <v>Liga</v>
      </c>
    </row>
    <row r="3522" spans="1:37" x14ac:dyDescent="0.25">
      <c r="A3522" s="76">
        <v>1</v>
      </c>
      <c r="B3522" s="3" t="s">
        <v>320</v>
      </c>
      <c r="C3522" s="2" t="s">
        <v>155</v>
      </c>
      <c r="D3522" s="1">
        <v>0</v>
      </c>
      <c r="E3522" s="1">
        <v>0</v>
      </c>
      <c r="F3522" s="1">
        <v>0</v>
      </c>
      <c r="G3522" s="1">
        <v>10</v>
      </c>
      <c r="H3522" s="4">
        <v>0.7</v>
      </c>
      <c r="I3522" s="1">
        <v>0</v>
      </c>
      <c r="J3522" s="4"/>
      <c r="K3522" s="1">
        <v>7</v>
      </c>
      <c r="L3522" s="1">
        <v>0</v>
      </c>
      <c r="M3522" s="32">
        <f>IF(Mecze[[#This Row],[PR]]=0,0,Mecze[[#This Row],[PR]]/Mecze[[#This Row],[CZAS]])</f>
        <v>0</v>
      </c>
      <c r="N3522" s="32">
        <f>IF(Mecze[[#This Row],[OU]]=0,0,Mecze[[#This Row],[OU]]/Mecze[[#This Row],[CZAS]])</f>
        <v>0</v>
      </c>
      <c r="O3522" s="32">
        <f>IF(Mecze[[#This Row],[PC]]=0,0,Mecze[[#This Row],[PC]]/Mecze[[#This Row],[CZAS]])</f>
        <v>7.2164948453608241E-2</v>
      </c>
      <c r="P3522" s="32">
        <f>IF(Mecze[[#This Row],[SC]]=0,0,Mecze[[#This Row],[SC]]/Mecze[[#This Row],[CZAS]])</f>
        <v>0</v>
      </c>
      <c r="Q3522" s="32">
        <f>IF(Mecze[[#This Row],[OB]]=0,0,Mecze[[#This Row],[OB]]/Mecze[[#This Row],[CZAS]])</f>
        <v>7.2164948453608241E-2</v>
      </c>
      <c r="R3522" s="32">
        <f>IF(Mecze[[#This Row],[BR]]=0,0,Mecze[[#This Row],[BR]]/Mecze[[#This Row],[CZAS]])</f>
        <v>0</v>
      </c>
      <c r="S3522" s="44">
        <f>IF(Mecze[[#This Row],[Role]]="BR",SUMPRODUCT(Mecze[[#This Row],[/PR:90]:[/BR:90]],Brudnopis!$E$23:$J$23),0)</f>
        <v>0.43298969072164945</v>
      </c>
      <c r="T3522" s="44">
        <f>IF(Mecze[[#This Row],[Role]]&lt;&gt;"BR",SUMPRODUCT(Mecze[[#This Row],[/PR:90]:[/BR:90]],Brudnopis!$E$24:$J$24),0)</f>
        <v>0</v>
      </c>
      <c r="U3522" s="44">
        <f>IF(Mecze[[#This Row],[Role]]&lt;&gt;"BR",SUMPRODUCT(Mecze[[#This Row],[/PR:90]:[/BR:90]],Brudnopis!$E$25:$J$25),0)</f>
        <v>0</v>
      </c>
      <c r="V3522" s="44">
        <f>IF(Mecze[[#This Row],[Role]]&lt;&gt;"BR",SUMPRODUCT(Mecze[[#This Row],[/PR:90]:[/BR:90]],Brudnopis!$E$26:$J$26),0)</f>
        <v>0</v>
      </c>
      <c r="W3522" s="44">
        <f>IF(Mecze[[#This Row],[Role]]&lt;&gt;"BR",SUMPRODUCT(Mecze[[#This Row],[/PR:90]:[/BR:90]],Brudnopis!$E$27:$J$27),0)</f>
        <v>0</v>
      </c>
      <c r="X3522" s="44">
        <f>IF(Mecze[[#This Row],[Role]]&lt;&gt;"BR",SUMPRODUCT(Mecze[[#This Row],[/PR:90]:[/BR:90]],Brudnopis!$E$28:$J$28),0)</f>
        <v>0</v>
      </c>
      <c r="Y3522" s="35">
        <f>IF(Mecze[[#This Row],[Role]]="BR",Mecze[[#This Row],[/OB:90]]+Mecze[[#This Row],[/PC:90]],SUM(Mecze[[#This Row],[/PR:90]:[/BR:90]]))</f>
        <v>0.14432989690721648</v>
      </c>
      <c r="Z3522" s="35">
        <f>IF(Mecze[[#This Row],[KC]]=0,SUM(Mecze[[#This Row],[/BRI]:[/NPI]]),SUM(Mecze[[#This Row],[/BRI]:[/NPI]])*0.6)</f>
        <v>0.43298969072164945</v>
      </c>
      <c r="AA3522" s="10">
        <f>IFERROR(Mecze[[#This Row],[BR]]/Mecze[[#This Row],[ST]],0)</f>
        <v>0</v>
      </c>
      <c r="AB3522">
        <f>ROUND(Mecze[[#This Row],[PD]]*Mecze[[#This Row],[%PC]],0)</f>
        <v>7</v>
      </c>
      <c r="AC3522">
        <f>ROUND(Mecze[[#This Row],[OD]]*Mecze[[#This Row],[%OU]],0)</f>
        <v>0</v>
      </c>
      <c r="AD3522" s="36" t="s">
        <v>40</v>
      </c>
      <c r="AE3522" s="36">
        <v>198</v>
      </c>
      <c r="AF3522" s="71">
        <v>9.49</v>
      </c>
      <c r="AG3522" s="37">
        <v>0</v>
      </c>
      <c r="AH3522" s="37">
        <v>0</v>
      </c>
      <c r="AI3522" s="37">
        <v>97</v>
      </c>
      <c r="AJ3522" s="37">
        <v>11</v>
      </c>
      <c r="AK3522" s="37" t="str">
        <f>VLOOKUP(Mecze[[#This Row],[Match ID]],Meczusie[Mecz]:Meczusie[RodzajMeczu],2,FALSE)</f>
        <v>Liga</v>
      </c>
    </row>
    <row r="3523" spans="1:37" x14ac:dyDescent="0.25">
      <c r="A3523" s="76">
        <v>4</v>
      </c>
      <c r="B3523" s="3" t="s">
        <v>321</v>
      </c>
      <c r="C3523" s="2" t="s">
        <v>157</v>
      </c>
      <c r="D3523" s="1">
        <v>0</v>
      </c>
      <c r="E3523" s="1">
        <v>0</v>
      </c>
      <c r="F3523" s="1">
        <v>0</v>
      </c>
      <c r="G3523" s="1">
        <v>8</v>
      </c>
      <c r="H3523" s="4">
        <v>0.63</v>
      </c>
      <c r="I3523" s="1">
        <v>6</v>
      </c>
      <c r="J3523" s="4">
        <v>0.83</v>
      </c>
      <c r="K3523" s="1">
        <v>0</v>
      </c>
      <c r="L3523" s="1">
        <v>7</v>
      </c>
      <c r="M3523" s="32">
        <f>IF(Mecze[[#This Row],[PR]]=0,0,Mecze[[#This Row],[PR]]/Mecze[[#This Row],[CZAS]])</f>
        <v>7.2164948453608241E-2</v>
      </c>
      <c r="N3523" s="32">
        <f>IF(Mecze[[#This Row],[OU]]=0,0,Mecze[[#This Row],[OU]]/Mecze[[#This Row],[CZAS]])</f>
        <v>5.1546391752577317E-2</v>
      </c>
      <c r="O3523" s="32">
        <f>IF(Mecze[[#This Row],[PC]]=0,0,Mecze[[#This Row],[PC]]/Mecze[[#This Row],[CZAS]])</f>
        <v>5.1546391752577317E-2</v>
      </c>
      <c r="P3523" s="32">
        <f>IF(Mecze[[#This Row],[SC]]=0,0,Mecze[[#This Row],[SC]]/Mecze[[#This Row],[CZAS]])</f>
        <v>0</v>
      </c>
      <c r="Q3523" s="32">
        <f>IF(Mecze[[#This Row],[OB]]=0,0,Mecze[[#This Row],[OB]]/Mecze[[#This Row],[CZAS]])</f>
        <v>0</v>
      </c>
      <c r="R3523" s="32">
        <f>IF(Mecze[[#This Row],[BR]]=0,0,Mecze[[#This Row],[BR]]/Mecze[[#This Row],[CZAS]])</f>
        <v>0</v>
      </c>
      <c r="S3523" s="44">
        <f>IF(Mecze[[#This Row],[Role]]="BR",SUMPRODUCT(Mecze[[#This Row],[/PR:90]:[/BR:90]],Brudnopis!$E$23:$J$23),0)</f>
        <v>0</v>
      </c>
      <c r="T3523" s="44">
        <f>IF(Mecze[[#This Row],[Role]]&lt;&gt;"BR",SUMPRODUCT(Mecze[[#This Row],[/PR:90]:[/BR:90]],Brudnopis!$E$24:$J$24),0)</f>
        <v>0.20103092783505155</v>
      </c>
      <c r="U3523" s="44">
        <f>IF(Mecze[[#This Row],[Role]]&lt;&gt;"BR",SUMPRODUCT(Mecze[[#This Row],[/PR:90]:[/BR:90]],Brudnopis!$E$25:$J$25),0)</f>
        <v>0.20103092783505155</v>
      </c>
      <c r="V3523" s="44">
        <f>IF(Mecze[[#This Row],[Role]]&lt;&gt;"BR",SUMPRODUCT(Mecze[[#This Row],[/PR:90]:[/BR:90]],Brudnopis!$E$26:$J$26),0)</f>
        <v>0.17525773195876287</v>
      </c>
      <c r="W3523" s="44">
        <f>IF(Mecze[[#This Row],[Role]]&lt;&gt;"BR",SUMPRODUCT(Mecze[[#This Row],[/PR:90]:[/BR:90]],Brudnopis!$E$27:$J$27),0)</f>
        <v>0.17010309278350516</v>
      </c>
      <c r="X3523" s="44">
        <f>IF(Mecze[[#This Row],[Role]]&lt;&gt;"BR",SUMPRODUCT(Mecze[[#This Row],[/PR:90]:[/BR:90]],Brudnopis!$E$28:$J$28),0)</f>
        <v>5.1546391752577317E-2</v>
      </c>
      <c r="Y3523" s="35">
        <f>IF(Mecze[[#This Row],[Role]]="BR",Mecze[[#This Row],[/OB:90]]+Mecze[[#This Row],[/PC:90]],SUM(Mecze[[#This Row],[/PR:90]:[/BR:90]]))</f>
        <v>0.17525773195876287</v>
      </c>
      <c r="Z3523" s="35">
        <f>IF(Mecze[[#This Row],[KC]]=0,SUM(Mecze[[#This Row],[/BRI]:[/NPI]]),SUM(Mecze[[#This Row],[/BRI]:[/NPI]])*0.6)</f>
        <v>0.7989690721649485</v>
      </c>
      <c r="AA3523" s="10">
        <f>IFERROR(Mecze[[#This Row],[BR]]/Mecze[[#This Row],[ST]],0)</f>
        <v>0</v>
      </c>
      <c r="AB3523">
        <f>ROUND(Mecze[[#This Row],[PD]]*Mecze[[#This Row],[%PC]],0)</f>
        <v>5</v>
      </c>
      <c r="AC3523">
        <f>ROUND(Mecze[[#This Row],[OD]]*Mecze[[#This Row],[%OU]],0)</f>
        <v>5</v>
      </c>
      <c r="AD3523" s="36" t="s">
        <v>47</v>
      </c>
      <c r="AE3523" s="36">
        <v>198</v>
      </c>
      <c r="AF3523" s="71">
        <v>9.61</v>
      </c>
      <c r="AG3523" s="37">
        <v>0</v>
      </c>
      <c r="AH3523" s="37">
        <v>0</v>
      </c>
      <c r="AI3523" s="37">
        <v>97</v>
      </c>
      <c r="AJ3523" s="37">
        <v>11</v>
      </c>
      <c r="AK3523" s="37" t="str">
        <f>VLOOKUP(Mecze[[#This Row],[Match ID]],Meczusie[Mecz]:Meczusie[RodzajMeczu],2,FALSE)</f>
        <v>Liga</v>
      </c>
    </row>
    <row r="3524" spans="1:37" x14ac:dyDescent="0.25">
      <c r="A3524" s="76">
        <v>7</v>
      </c>
      <c r="B3524" s="3" t="s">
        <v>322</v>
      </c>
      <c r="C3524" s="2" t="s">
        <v>157</v>
      </c>
      <c r="D3524" s="1">
        <v>0</v>
      </c>
      <c r="E3524" s="1">
        <v>0</v>
      </c>
      <c r="F3524" s="1">
        <v>0</v>
      </c>
      <c r="G3524" s="1">
        <v>7</v>
      </c>
      <c r="H3524" s="4">
        <v>0.86</v>
      </c>
      <c r="I3524" s="1">
        <v>1</v>
      </c>
      <c r="J3524" s="4">
        <v>0</v>
      </c>
      <c r="K3524" s="1">
        <v>0</v>
      </c>
      <c r="L3524" s="1">
        <v>7</v>
      </c>
      <c r="M3524" s="32">
        <f>IF(Mecze[[#This Row],[PR]]=0,0,Mecze[[#This Row],[PR]]/Mecze[[#This Row],[CZAS]])</f>
        <v>7.2164948453608241E-2</v>
      </c>
      <c r="N3524" s="32">
        <f>IF(Mecze[[#This Row],[OU]]=0,0,Mecze[[#This Row],[OU]]/Mecze[[#This Row],[CZAS]])</f>
        <v>0</v>
      </c>
      <c r="O3524" s="32">
        <f>IF(Mecze[[#This Row],[PC]]=0,0,Mecze[[#This Row],[PC]]/Mecze[[#This Row],[CZAS]])</f>
        <v>6.1855670103092786E-2</v>
      </c>
      <c r="P3524" s="32">
        <f>IF(Mecze[[#This Row],[SC]]=0,0,Mecze[[#This Row],[SC]]/Mecze[[#This Row],[CZAS]])</f>
        <v>0</v>
      </c>
      <c r="Q3524" s="32">
        <f>IF(Mecze[[#This Row],[OB]]=0,0,Mecze[[#This Row],[OB]]/Mecze[[#This Row],[CZAS]])</f>
        <v>0</v>
      </c>
      <c r="R3524" s="32">
        <f>IF(Mecze[[#This Row],[BR]]=0,0,Mecze[[#This Row],[BR]]/Mecze[[#This Row],[CZAS]])</f>
        <v>0</v>
      </c>
      <c r="S3524" s="44">
        <f>IF(Mecze[[#This Row],[Role]]="BR",SUMPRODUCT(Mecze[[#This Row],[/PR:90]:[/BR:90]],Brudnopis!$E$23:$J$23),0)</f>
        <v>0</v>
      </c>
      <c r="T3524" s="44">
        <f>IF(Mecze[[#This Row],[Role]]&lt;&gt;"BR",SUMPRODUCT(Mecze[[#This Row],[/PR:90]:[/BR:90]],Brudnopis!$E$24:$J$24),0)</f>
        <v>0.13402061855670103</v>
      </c>
      <c r="U3524" s="44">
        <f>IF(Mecze[[#This Row],[Role]]&lt;&gt;"BR",SUMPRODUCT(Mecze[[#This Row],[/PR:90]:[/BR:90]],Brudnopis!$E$25:$J$25),0)</f>
        <v>0.16494845360824742</v>
      </c>
      <c r="V3524" s="44">
        <f>IF(Mecze[[#This Row],[Role]]&lt;&gt;"BR",SUMPRODUCT(Mecze[[#This Row],[/PR:90]:[/BR:90]],Brudnopis!$E$26:$J$26),0)</f>
        <v>0.13402061855670103</v>
      </c>
      <c r="W3524" s="44">
        <f>IF(Mecze[[#This Row],[Role]]&lt;&gt;"BR",SUMPRODUCT(Mecze[[#This Row],[/PR:90]:[/BR:90]],Brudnopis!$E$27:$J$27),0)</f>
        <v>0.14690721649484537</v>
      </c>
      <c r="X3524" s="44">
        <f>IF(Mecze[[#This Row],[Role]]&lt;&gt;"BR",SUMPRODUCT(Mecze[[#This Row],[/PR:90]:[/BR:90]],Brudnopis!$E$28:$J$28),0)</f>
        <v>6.1855670103092786E-2</v>
      </c>
      <c r="Y3524" s="35">
        <f>IF(Mecze[[#This Row],[Role]]="BR",Mecze[[#This Row],[/OB:90]]+Mecze[[#This Row],[/PC:90]],SUM(Mecze[[#This Row],[/PR:90]:[/BR:90]]))</f>
        <v>0.13402061855670103</v>
      </c>
      <c r="Z3524" s="35">
        <f>IF(Mecze[[#This Row],[KC]]=0,SUM(Mecze[[#This Row],[/BRI]:[/NPI]]),SUM(Mecze[[#This Row],[/BRI]:[/NPI]])*0.6)</f>
        <v>0.64175257731958768</v>
      </c>
      <c r="AA3524" s="10">
        <f>IFERROR(Mecze[[#This Row],[BR]]/Mecze[[#This Row],[ST]],0)</f>
        <v>0</v>
      </c>
      <c r="AB3524">
        <f>ROUND(Mecze[[#This Row],[PD]]*Mecze[[#This Row],[%PC]],0)</f>
        <v>6</v>
      </c>
      <c r="AC3524">
        <f>ROUND(Mecze[[#This Row],[OD]]*Mecze[[#This Row],[%OU]],0)</f>
        <v>0</v>
      </c>
      <c r="AD3524" s="36" t="s">
        <v>47</v>
      </c>
      <c r="AE3524" s="36">
        <v>198</v>
      </c>
      <c r="AF3524" s="71">
        <v>7.29</v>
      </c>
      <c r="AG3524" s="37">
        <v>0</v>
      </c>
      <c r="AH3524" s="37">
        <v>0</v>
      </c>
      <c r="AI3524" s="37">
        <v>97</v>
      </c>
      <c r="AJ3524" s="37">
        <v>11</v>
      </c>
      <c r="AK3524" s="37" t="str">
        <f>VLOOKUP(Mecze[[#This Row],[Match ID]],Meczusie[Mecz]:Meczusie[RodzajMeczu],2,FALSE)</f>
        <v>Liga</v>
      </c>
    </row>
    <row r="3525" spans="1:37" x14ac:dyDescent="0.25">
      <c r="A3525" s="76">
        <v>2</v>
      </c>
      <c r="B3525" s="3" t="s">
        <v>392</v>
      </c>
      <c r="C3525" s="2" t="s">
        <v>157</v>
      </c>
      <c r="D3525" s="1">
        <v>0</v>
      </c>
      <c r="E3525" s="1">
        <v>0</v>
      </c>
      <c r="F3525" s="1">
        <v>0</v>
      </c>
      <c r="G3525" s="1">
        <v>18</v>
      </c>
      <c r="H3525" s="4">
        <v>0.61</v>
      </c>
      <c r="I3525" s="1">
        <v>9</v>
      </c>
      <c r="J3525" s="4">
        <v>0.44</v>
      </c>
      <c r="K3525" s="1">
        <v>0</v>
      </c>
      <c r="L3525" s="1">
        <v>12</v>
      </c>
      <c r="M3525" s="32">
        <f>IF(Mecze[[#This Row],[PR]]=0,0,Mecze[[#This Row],[PR]]/Mecze[[#This Row],[CZAS]])</f>
        <v>0.12371134020618557</v>
      </c>
      <c r="N3525" s="32">
        <f>IF(Mecze[[#This Row],[OU]]=0,0,Mecze[[#This Row],[OU]]/Mecze[[#This Row],[CZAS]])</f>
        <v>4.1237113402061855E-2</v>
      </c>
      <c r="O3525" s="32">
        <f>IF(Mecze[[#This Row],[PC]]=0,0,Mecze[[#This Row],[PC]]/Mecze[[#This Row],[CZAS]])</f>
        <v>0.1134020618556701</v>
      </c>
      <c r="P3525" s="32">
        <f>IF(Mecze[[#This Row],[SC]]=0,0,Mecze[[#This Row],[SC]]/Mecze[[#This Row],[CZAS]])</f>
        <v>0</v>
      </c>
      <c r="Q3525" s="32">
        <f>IF(Mecze[[#This Row],[OB]]=0,0,Mecze[[#This Row],[OB]]/Mecze[[#This Row],[CZAS]])</f>
        <v>0</v>
      </c>
      <c r="R3525" s="32">
        <f>IF(Mecze[[#This Row],[BR]]=0,0,Mecze[[#This Row],[BR]]/Mecze[[#This Row],[CZAS]])</f>
        <v>0</v>
      </c>
      <c r="S3525" s="44">
        <f>IF(Mecze[[#This Row],[Role]]="BR",SUMPRODUCT(Mecze[[#This Row],[/PR:90]:[/BR:90]],Brudnopis!$E$23:$J$23),0)</f>
        <v>0</v>
      </c>
      <c r="T3525" s="44">
        <f>IF(Mecze[[#This Row],[Role]]&lt;&gt;"BR",SUMPRODUCT(Mecze[[#This Row],[/PR:90]:[/BR:90]],Brudnopis!$E$24:$J$24),0)</f>
        <v>0.29896907216494845</v>
      </c>
      <c r="U3525" s="44">
        <f>IF(Mecze[[#This Row],[Role]]&lt;&gt;"BR",SUMPRODUCT(Mecze[[#This Row],[/PR:90]:[/BR:90]],Brudnopis!$E$25:$J$25),0)</f>
        <v>0.33505154639175261</v>
      </c>
      <c r="V3525" s="44">
        <f>IF(Mecze[[#This Row],[Role]]&lt;&gt;"BR",SUMPRODUCT(Mecze[[#This Row],[/PR:90]:[/BR:90]],Brudnopis!$E$26:$J$26),0)</f>
        <v>0.27835051546391754</v>
      </c>
      <c r="W3525" s="44">
        <f>IF(Mecze[[#This Row],[Role]]&lt;&gt;"BR",SUMPRODUCT(Mecze[[#This Row],[/PR:90]:[/BR:90]],Brudnopis!$E$27:$J$27),0)</f>
        <v>0.29381443298969073</v>
      </c>
      <c r="X3525" s="44">
        <f>IF(Mecze[[#This Row],[Role]]&lt;&gt;"BR",SUMPRODUCT(Mecze[[#This Row],[/PR:90]:[/BR:90]],Brudnopis!$E$28:$J$28),0)</f>
        <v>0.1134020618556701</v>
      </c>
      <c r="Y3525" s="35">
        <f>IF(Mecze[[#This Row],[Role]]="BR",Mecze[[#This Row],[/OB:90]]+Mecze[[#This Row],[/PC:90]],SUM(Mecze[[#This Row],[/PR:90]:[/BR:90]]))</f>
        <v>0.27835051546391754</v>
      </c>
      <c r="Z3525" s="35">
        <f>IF(Mecze[[#This Row],[KC]]=0,SUM(Mecze[[#This Row],[/BRI]:[/NPI]]),SUM(Mecze[[#This Row],[/BRI]:[/NPI]])*0.6)</f>
        <v>1.3195876288659794</v>
      </c>
      <c r="AA3525" s="10">
        <f>IFERROR(Mecze[[#This Row],[BR]]/Mecze[[#This Row],[ST]],0)</f>
        <v>0</v>
      </c>
      <c r="AB3525">
        <f>ROUND(Mecze[[#This Row],[PD]]*Mecze[[#This Row],[%PC]],0)</f>
        <v>11</v>
      </c>
      <c r="AC3525">
        <f>ROUND(Mecze[[#This Row],[OD]]*Mecze[[#This Row],[%OU]],0)</f>
        <v>4</v>
      </c>
      <c r="AD3525" s="36" t="s">
        <v>175</v>
      </c>
      <c r="AE3525" s="36">
        <v>198</v>
      </c>
      <c r="AF3525" s="71">
        <v>8.34</v>
      </c>
      <c r="AG3525" s="37">
        <v>0</v>
      </c>
      <c r="AH3525" s="37">
        <v>0</v>
      </c>
      <c r="AI3525" s="37">
        <v>97</v>
      </c>
      <c r="AJ3525" s="37">
        <v>11</v>
      </c>
      <c r="AK3525" s="37" t="str">
        <f>VLOOKUP(Mecze[[#This Row],[Match ID]],Meczusie[Mecz]:Meczusie[RodzajMeczu],2,FALSE)</f>
        <v>Liga</v>
      </c>
    </row>
    <row r="3526" spans="1:37" x14ac:dyDescent="0.25">
      <c r="A3526" s="76">
        <v>6</v>
      </c>
      <c r="B3526" s="3" t="s">
        <v>324</v>
      </c>
      <c r="C3526" s="2" t="s">
        <v>157</v>
      </c>
      <c r="D3526" s="1">
        <v>0</v>
      </c>
      <c r="E3526" s="1">
        <v>0</v>
      </c>
      <c r="F3526" s="1">
        <v>0</v>
      </c>
      <c r="G3526" s="1">
        <v>8</v>
      </c>
      <c r="H3526" s="4">
        <v>0.75</v>
      </c>
      <c r="I3526" s="1">
        <v>3</v>
      </c>
      <c r="J3526" s="4">
        <v>0.33</v>
      </c>
      <c r="K3526" s="1">
        <v>0</v>
      </c>
      <c r="L3526" s="1">
        <v>9</v>
      </c>
      <c r="M3526" s="32">
        <f>IF(Mecze[[#This Row],[PR]]=0,0,Mecze[[#This Row],[PR]]/Mecze[[#This Row],[CZAS]])</f>
        <v>9.2783505154639179E-2</v>
      </c>
      <c r="N3526" s="32">
        <f>IF(Mecze[[#This Row],[OU]]=0,0,Mecze[[#This Row],[OU]]/Mecze[[#This Row],[CZAS]])</f>
        <v>1.0309278350515464E-2</v>
      </c>
      <c r="O3526" s="32">
        <f>IF(Mecze[[#This Row],[PC]]=0,0,Mecze[[#This Row],[PC]]/Mecze[[#This Row],[CZAS]])</f>
        <v>6.1855670103092786E-2</v>
      </c>
      <c r="P3526" s="32">
        <f>IF(Mecze[[#This Row],[SC]]=0,0,Mecze[[#This Row],[SC]]/Mecze[[#This Row],[CZAS]])</f>
        <v>0</v>
      </c>
      <c r="Q3526" s="32">
        <f>IF(Mecze[[#This Row],[OB]]=0,0,Mecze[[#This Row],[OB]]/Mecze[[#This Row],[CZAS]])</f>
        <v>0</v>
      </c>
      <c r="R3526" s="32">
        <f>IF(Mecze[[#This Row],[BR]]=0,0,Mecze[[#This Row],[BR]]/Mecze[[#This Row],[CZAS]])</f>
        <v>0</v>
      </c>
      <c r="S3526" s="44">
        <f>IF(Mecze[[#This Row],[Role]]="BR",SUMPRODUCT(Mecze[[#This Row],[/PR:90]:[/BR:90]],Brudnopis!$E$23:$J$23),0)</f>
        <v>0</v>
      </c>
      <c r="T3526" s="44">
        <f>IF(Mecze[[#This Row],[Role]]&lt;&gt;"BR",SUMPRODUCT(Mecze[[#This Row],[/PR:90]:[/BR:90]],Brudnopis!$E$24:$J$24),0)</f>
        <v>0.17010309278350516</v>
      </c>
      <c r="U3526" s="44">
        <f>IF(Mecze[[#This Row],[Role]]&lt;&gt;"BR",SUMPRODUCT(Mecze[[#This Row],[/PR:90]:[/BR:90]],Brudnopis!$E$25:$J$25),0)</f>
        <v>0.19587628865979384</v>
      </c>
      <c r="V3526" s="44">
        <f>IF(Mecze[[#This Row],[Role]]&lt;&gt;"BR",SUMPRODUCT(Mecze[[#This Row],[/PR:90]:[/BR:90]],Brudnopis!$E$26:$J$26),0)</f>
        <v>0.16494845360824745</v>
      </c>
      <c r="W3526" s="44">
        <f>IF(Mecze[[#This Row],[Role]]&lt;&gt;"BR",SUMPRODUCT(Mecze[[#This Row],[/PR:90]:[/BR:90]],Brudnopis!$E$27:$J$27),0)</f>
        <v>0.17010309278350516</v>
      </c>
      <c r="X3526" s="44">
        <f>IF(Mecze[[#This Row],[Role]]&lt;&gt;"BR",SUMPRODUCT(Mecze[[#This Row],[/PR:90]:[/BR:90]],Brudnopis!$E$28:$J$28),0)</f>
        <v>6.1855670103092786E-2</v>
      </c>
      <c r="Y3526" s="35">
        <f>IF(Mecze[[#This Row],[Role]]="BR",Mecze[[#This Row],[/OB:90]]+Mecze[[#This Row],[/PC:90]],SUM(Mecze[[#This Row],[/PR:90]:[/BR:90]]))</f>
        <v>0.16494845360824745</v>
      </c>
      <c r="Z3526" s="35">
        <f>IF(Mecze[[#This Row],[KC]]=0,SUM(Mecze[[#This Row],[/BRI]:[/NPI]]),SUM(Mecze[[#This Row],[/BRI]:[/NPI]])*0.6)</f>
        <v>0.76288659793814451</v>
      </c>
      <c r="AA3526" s="10">
        <f>IFERROR(Mecze[[#This Row],[BR]]/Mecze[[#This Row],[ST]],0)</f>
        <v>0</v>
      </c>
      <c r="AB3526">
        <f>ROUND(Mecze[[#This Row],[PD]]*Mecze[[#This Row],[%PC]],0)</f>
        <v>6</v>
      </c>
      <c r="AC3526">
        <f>ROUND(Mecze[[#This Row],[OD]]*Mecze[[#This Row],[%OU]],0)</f>
        <v>1</v>
      </c>
      <c r="AD3526" s="36" t="s">
        <v>174</v>
      </c>
      <c r="AE3526" s="36">
        <v>198</v>
      </c>
      <c r="AF3526" s="71">
        <v>7.71</v>
      </c>
      <c r="AG3526" s="37">
        <v>0</v>
      </c>
      <c r="AH3526" s="37">
        <v>0</v>
      </c>
      <c r="AI3526" s="37">
        <v>97</v>
      </c>
      <c r="AJ3526" s="37">
        <v>11</v>
      </c>
      <c r="AK3526" s="37" t="str">
        <f>VLOOKUP(Mecze[[#This Row],[Match ID]],Meczusie[Mecz]:Meczusie[RodzajMeczu],2,FALSE)</f>
        <v>Liga</v>
      </c>
    </row>
    <row r="3527" spans="1:37" x14ac:dyDescent="0.25">
      <c r="A3527" s="76">
        <v>5</v>
      </c>
      <c r="B3527" s="3" t="s">
        <v>325</v>
      </c>
      <c r="C3527" s="2" t="s">
        <v>160</v>
      </c>
      <c r="D3527" s="1">
        <v>0</v>
      </c>
      <c r="E3527" s="1">
        <v>1</v>
      </c>
      <c r="F3527" s="1">
        <v>1</v>
      </c>
      <c r="G3527" s="1">
        <v>16</v>
      </c>
      <c r="H3527" s="4">
        <v>0.69</v>
      </c>
      <c r="I3527" s="1">
        <v>9</v>
      </c>
      <c r="J3527" s="4">
        <v>0.67</v>
      </c>
      <c r="K3527" s="1">
        <v>0</v>
      </c>
      <c r="L3527" s="1">
        <v>5</v>
      </c>
      <c r="M3527" s="32">
        <f>IF(Mecze[[#This Row],[PR]]=0,0,Mecze[[#This Row],[PR]]/Mecze[[#This Row],[CZAS]])</f>
        <v>5.1546391752577317E-2</v>
      </c>
      <c r="N3527" s="32">
        <f>IF(Mecze[[#This Row],[OU]]=0,0,Mecze[[#This Row],[OU]]/Mecze[[#This Row],[CZAS]])</f>
        <v>6.1855670103092786E-2</v>
      </c>
      <c r="O3527" s="32">
        <f>IF(Mecze[[#This Row],[PC]]=0,0,Mecze[[#This Row],[PC]]/Mecze[[#This Row],[CZAS]])</f>
        <v>0.1134020618556701</v>
      </c>
      <c r="P3527" s="32">
        <f>IF(Mecze[[#This Row],[SC]]=0,0,Mecze[[#This Row],[SC]]/Mecze[[#This Row],[CZAS]])</f>
        <v>1.0309278350515464E-2</v>
      </c>
      <c r="Q3527" s="32">
        <f>IF(Mecze[[#This Row],[OB]]=0,0,Mecze[[#This Row],[OB]]/Mecze[[#This Row],[CZAS]])</f>
        <v>0</v>
      </c>
      <c r="R3527" s="32">
        <f>IF(Mecze[[#This Row],[BR]]=0,0,Mecze[[#This Row],[BR]]/Mecze[[#This Row],[CZAS]])</f>
        <v>0</v>
      </c>
      <c r="S3527" s="44">
        <f>IF(Mecze[[#This Row],[Role]]="BR",SUMPRODUCT(Mecze[[#This Row],[/PR:90]:[/BR:90]],Brudnopis!$E$23:$J$23),0)</f>
        <v>0</v>
      </c>
      <c r="T3527" s="44">
        <f>IF(Mecze[[#This Row],[Role]]&lt;&gt;"BR",SUMPRODUCT(Mecze[[#This Row],[/PR:90]:[/BR:90]],Brudnopis!$E$24:$J$24),0)</f>
        <v>0.26804123711340205</v>
      </c>
      <c r="U3527" s="44">
        <f>IF(Mecze[[#This Row],[Role]]&lt;&gt;"BR",SUMPRODUCT(Mecze[[#This Row],[/PR:90]:[/BR:90]],Brudnopis!$E$25:$J$25),0)</f>
        <v>0.29381443298969073</v>
      </c>
      <c r="V3527" s="44">
        <f>IF(Mecze[[#This Row],[Role]]&lt;&gt;"BR",SUMPRODUCT(Mecze[[#This Row],[/PR:90]:[/BR:90]],Brudnopis!$E$26:$J$26),0)</f>
        <v>0.23711340206185566</v>
      </c>
      <c r="W3527" s="44">
        <f>IF(Mecze[[#This Row],[Role]]&lt;&gt;"BR",SUMPRODUCT(Mecze[[#This Row],[/PR:90]:[/BR:90]],Brudnopis!$E$27:$J$27),0)</f>
        <v>0.2654639175257732</v>
      </c>
      <c r="X3527" s="44">
        <f>IF(Mecze[[#This Row],[Role]]&lt;&gt;"BR",SUMPRODUCT(Mecze[[#This Row],[/PR:90]:[/BR:90]],Brudnopis!$E$28:$J$28),0)</f>
        <v>0.13402061855670103</v>
      </c>
      <c r="Y3527" s="35">
        <f>IF(Mecze[[#This Row],[Role]]="BR",Mecze[[#This Row],[/OB:90]]+Mecze[[#This Row],[/PC:90]],SUM(Mecze[[#This Row],[/PR:90]:[/BR:90]]))</f>
        <v>0.23711340206185566</v>
      </c>
      <c r="Z3527" s="35">
        <f>IF(Mecze[[#This Row],[KC]]=0,SUM(Mecze[[#This Row],[/BRI]:[/NPI]]),SUM(Mecze[[#This Row],[/BRI]:[/NPI]])*0.6)</f>
        <v>1.1984536082474226</v>
      </c>
      <c r="AA3527" s="10">
        <f>IFERROR(Mecze[[#This Row],[BR]]/Mecze[[#This Row],[ST]],0)</f>
        <v>0</v>
      </c>
      <c r="AB3527">
        <f>ROUND(Mecze[[#This Row],[PD]]*Mecze[[#This Row],[%PC]],0)</f>
        <v>11</v>
      </c>
      <c r="AC3527">
        <f>ROUND(Mecze[[#This Row],[OD]]*Mecze[[#This Row],[%OU]],0)</f>
        <v>6</v>
      </c>
      <c r="AD3527" s="36" t="s">
        <v>41</v>
      </c>
      <c r="AE3527" s="36">
        <v>198</v>
      </c>
      <c r="AF3527" s="71">
        <v>7.2</v>
      </c>
      <c r="AG3527" s="37">
        <v>1</v>
      </c>
      <c r="AH3527" s="37">
        <v>0</v>
      </c>
      <c r="AI3527" s="37">
        <v>97</v>
      </c>
      <c r="AJ3527" s="37">
        <v>11</v>
      </c>
      <c r="AK3527" s="37" t="str">
        <f>VLOOKUP(Mecze[[#This Row],[Match ID]],Meczusie[Mecz]:Meczusie[RodzajMeczu],2,FALSE)</f>
        <v>Liga</v>
      </c>
    </row>
    <row r="3528" spans="1:37" x14ac:dyDescent="0.25">
      <c r="A3528" s="76">
        <v>8</v>
      </c>
      <c r="B3528" s="3" t="s">
        <v>326</v>
      </c>
      <c r="C3528" s="2" t="s">
        <v>160</v>
      </c>
      <c r="D3528" s="1">
        <v>0</v>
      </c>
      <c r="E3528" s="1">
        <v>1</v>
      </c>
      <c r="F3528" s="1">
        <v>1</v>
      </c>
      <c r="G3528" s="1">
        <v>9</v>
      </c>
      <c r="H3528" s="4">
        <v>0.67</v>
      </c>
      <c r="I3528" s="1">
        <v>6</v>
      </c>
      <c r="J3528" s="4">
        <v>0.67</v>
      </c>
      <c r="K3528" s="1">
        <v>0</v>
      </c>
      <c r="L3528" s="1">
        <v>2</v>
      </c>
      <c r="M3528" s="32">
        <f>IF(Mecze[[#This Row],[PR]]=0,0,Mecze[[#This Row],[PR]]/Mecze[[#This Row],[CZAS]])</f>
        <v>2.0618556701030927E-2</v>
      </c>
      <c r="N3528" s="32">
        <f>IF(Mecze[[#This Row],[OU]]=0,0,Mecze[[#This Row],[OU]]/Mecze[[#This Row],[CZAS]])</f>
        <v>4.1237113402061855E-2</v>
      </c>
      <c r="O3528" s="32">
        <f>IF(Mecze[[#This Row],[PC]]=0,0,Mecze[[#This Row],[PC]]/Mecze[[#This Row],[CZAS]])</f>
        <v>6.1855670103092786E-2</v>
      </c>
      <c r="P3528" s="32">
        <f>IF(Mecze[[#This Row],[SC]]=0,0,Mecze[[#This Row],[SC]]/Mecze[[#This Row],[CZAS]])</f>
        <v>1.0309278350515464E-2</v>
      </c>
      <c r="Q3528" s="32">
        <f>IF(Mecze[[#This Row],[OB]]=0,0,Mecze[[#This Row],[OB]]/Mecze[[#This Row],[CZAS]])</f>
        <v>0</v>
      </c>
      <c r="R3528" s="32">
        <f>IF(Mecze[[#This Row],[BR]]=0,0,Mecze[[#This Row],[BR]]/Mecze[[#This Row],[CZAS]])</f>
        <v>0</v>
      </c>
      <c r="S3528" s="44">
        <f>IF(Mecze[[#This Row],[Role]]="BR",SUMPRODUCT(Mecze[[#This Row],[/PR:90]:[/BR:90]],Brudnopis!$E$23:$J$23),0)</f>
        <v>0</v>
      </c>
      <c r="T3528" s="44">
        <f>IF(Mecze[[#This Row],[Role]]&lt;&gt;"BR",SUMPRODUCT(Mecze[[#This Row],[/PR:90]:[/BR:90]],Brudnopis!$E$24:$J$24),0)</f>
        <v>0.15463917525773194</v>
      </c>
      <c r="U3528" s="44">
        <f>IF(Mecze[[#This Row],[Role]]&lt;&gt;"BR",SUMPRODUCT(Mecze[[#This Row],[/PR:90]:[/BR:90]],Brudnopis!$E$25:$J$25),0)</f>
        <v>0.16494845360824742</v>
      </c>
      <c r="V3528" s="44">
        <f>IF(Mecze[[#This Row],[Role]]&lt;&gt;"BR",SUMPRODUCT(Mecze[[#This Row],[/PR:90]:[/BR:90]],Brudnopis!$E$26:$J$26),0)</f>
        <v>0.13402061855670103</v>
      </c>
      <c r="W3528" s="44">
        <f>IF(Mecze[[#This Row],[Role]]&lt;&gt;"BR",SUMPRODUCT(Mecze[[#This Row],[/PR:90]:[/BR:90]],Brudnopis!$E$27:$J$27),0)</f>
        <v>0.14948453608247422</v>
      </c>
      <c r="X3528" s="44">
        <f>IF(Mecze[[#This Row],[Role]]&lt;&gt;"BR",SUMPRODUCT(Mecze[[#This Row],[/PR:90]:[/BR:90]],Brudnopis!$E$28:$J$28),0)</f>
        <v>8.247422680412371E-2</v>
      </c>
      <c r="Y3528" s="35">
        <f>IF(Mecze[[#This Row],[Role]]="BR",Mecze[[#This Row],[/OB:90]]+Mecze[[#This Row],[/PC:90]],SUM(Mecze[[#This Row],[/PR:90]:[/BR:90]]))</f>
        <v>0.13402061855670103</v>
      </c>
      <c r="Z3528" s="35">
        <f>IF(Mecze[[#This Row],[KC]]=0,SUM(Mecze[[#This Row],[/BRI]:[/NPI]]),SUM(Mecze[[#This Row],[/BRI]:[/NPI]])*0.6)</f>
        <v>0.68556701030927836</v>
      </c>
      <c r="AA3528" s="10">
        <f>IFERROR(Mecze[[#This Row],[BR]]/Mecze[[#This Row],[ST]],0)</f>
        <v>0</v>
      </c>
      <c r="AB3528">
        <f>ROUND(Mecze[[#This Row],[PD]]*Mecze[[#This Row],[%PC]],0)</f>
        <v>6</v>
      </c>
      <c r="AC3528">
        <f>ROUND(Mecze[[#This Row],[OD]]*Mecze[[#This Row],[%OU]],0)</f>
        <v>4</v>
      </c>
      <c r="AD3528" s="36" t="s">
        <v>318</v>
      </c>
      <c r="AE3528" s="36">
        <v>198</v>
      </c>
      <c r="AF3528" s="71">
        <v>6.57</v>
      </c>
      <c r="AG3528" s="37">
        <v>1</v>
      </c>
      <c r="AH3528" s="37">
        <v>0</v>
      </c>
      <c r="AI3528" s="37">
        <v>97</v>
      </c>
      <c r="AJ3528" s="37">
        <v>11</v>
      </c>
      <c r="AK3528" s="37" t="str">
        <f>VLOOKUP(Mecze[[#This Row],[Match ID]],Meczusie[Mecz]:Meczusie[RodzajMeczu],2,FALSE)</f>
        <v>Liga</v>
      </c>
    </row>
    <row r="3529" spans="1:37" x14ac:dyDescent="0.25">
      <c r="A3529" s="76">
        <v>9</v>
      </c>
      <c r="B3529" s="3" t="s">
        <v>327</v>
      </c>
      <c r="C3529" s="2" t="s">
        <v>160</v>
      </c>
      <c r="D3529" s="1">
        <v>0</v>
      </c>
      <c r="E3529" s="1">
        <v>2</v>
      </c>
      <c r="F3529" s="1">
        <v>2</v>
      </c>
      <c r="G3529" s="1">
        <v>9</v>
      </c>
      <c r="H3529" s="4">
        <v>0.78</v>
      </c>
      <c r="I3529" s="1">
        <v>5</v>
      </c>
      <c r="J3529" s="4">
        <v>0</v>
      </c>
      <c r="K3529" s="1">
        <v>0</v>
      </c>
      <c r="L3529" s="1">
        <v>1</v>
      </c>
      <c r="M3529" s="32">
        <f>IF(Mecze[[#This Row],[PR]]=0,0,Mecze[[#This Row],[PR]]/Mecze[[#This Row],[CZAS]])</f>
        <v>1.0309278350515464E-2</v>
      </c>
      <c r="N3529" s="32">
        <f>IF(Mecze[[#This Row],[OU]]=0,0,Mecze[[#This Row],[OU]]/Mecze[[#This Row],[CZAS]])</f>
        <v>0</v>
      </c>
      <c r="O3529" s="32">
        <f>IF(Mecze[[#This Row],[PC]]=0,0,Mecze[[#This Row],[PC]]/Mecze[[#This Row],[CZAS]])</f>
        <v>7.2164948453608241E-2</v>
      </c>
      <c r="P3529" s="32">
        <f>IF(Mecze[[#This Row],[SC]]=0,0,Mecze[[#This Row],[SC]]/Mecze[[#This Row],[CZAS]])</f>
        <v>2.0618556701030927E-2</v>
      </c>
      <c r="Q3529" s="32">
        <f>IF(Mecze[[#This Row],[OB]]=0,0,Mecze[[#This Row],[OB]]/Mecze[[#This Row],[CZAS]])</f>
        <v>0</v>
      </c>
      <c r="R3529" s="32">
        <f>IF(Mecze[[#This Row],[BR]]=0,0,Mecze[[#This Row],[BR]]/Mecze[[#This Row],[CZAS]])</f>
        <v>0</v>
      </c>
      <c r="S3529" s="44">
        <f>IF(Mecze[[#This Row],[Role]]="BR",SUMPRODUCT(Mecze[[#This Row],[/PR:90]:[/BR:90]],Brudnopis!$E$23:$J$23),0)</f>
        <v>0</v>
      </c>
      <c r="T3529" s="44">
        <f>IF(Mecze[[#This Row],[Role]]&lt;&gt;"BR",SUMPRODUCT(Mecze[[#This Row],[/PR:90]:[/BR:90]],Brudnopis!$E$24:$J$24),0)</f>
        <v>0.10309278350515463</v>
      </c>
      <c r="U3529" s="44">
        <f>IF(Mecze[[#This Row],[Role]]&lt;&gt;"BR",SUMPRODUCT(Mecze[[#This Row],[/PR:90]:[/BR:90]],Brudnopis!$E$25:$J$25),0)</f>
        <v>0.13917525773195877</v>
      </c>
      <c r="V3529" s="44">
        <f>IF(Mecze[[#This Row],[Role]]&lt;&gt;"BR",SUMPRODUCT(Mecze[[#This Row],[/PR:90]:[/BR:90]],Brudnopis!$E$26:$J$26),0)</f>
        <v>0.10309278350515463</v>
      </c>
      <c r="W3529" s="44">
        <f>IF(Mecze[[#This Row],[Role]]&lt;&gt;"BR",SUMPRODUCT(Mecze[[#This Row],[/PR:90]:[/BR:90]],Brudnopis!$E$27:$J$27),0)</f>
        <v>0.13659793814432988</v>
      </c>
      <c r="X3529" s="44">
        <f>IF(Mecze[[#This Row],[Role]]&lt;&gt;"BR",SUMPRODUCT(Mecze[[#This Row],[/PR:90]:[/BR:90]],Brudnopis!$E$28:$J$28),0)</f>
        <v>0.11340206185567009</v>
      </c>
      <c r="Y3529" s="35">
        <f>IF(Mecze[[#This Row],[Role]]="BR",Mecze[[#This Row],[/OB:90]]+Mecze[[#This Row],[/PC:90]],SUM(Mecze[[#This Row],[/PR:90]:[/BR:90]]))</f>
        <v>0.10309278350515463</v>
      </c>
      <c r="Z3529" s="35">
        <f>IF(Mecze[[#This Row],[KC]]=0,SUM(Mecze[[#This Row],[/BRI]:[/NPI]]),SUM(Mecze[[#This Row],[/BRI]:[/NPI]])*0.6)</f>
        <v>0.59536082474226792</v>
      </c>
      <c r="AA3529" s="10">
        <f>IFERROR(Mecze[[#This Row],[BR]]/Mecze[[#This Row],[ST]],0)</f>
        <v>0</v>
      </c>
      <c r="AB3529">
        <f>ROUND(Mecze[[#This Row],[PD]]*Mecze[[#This Row],[%PC]],0)</f>
        <v>7</v>
      </c>
      <c r="AC3529">
        <f>ROUND(Mecze[[#This Row],[OD]]*Mecze[[#This Row],[%OU]],0)</f>
        <v>0</v>
      </c>
      <c r="AD3529" s="36" t="s">
        <v>44</v>
      </c>
      <c r="AE3529" s="36">
        <v>198</v>
      </c>
      <c r="AF3529" s="71">
        <v>7.7</v>
      </c>
      <c r="AG3529" s="37">
        <v>0</v>
      </c>
      <c r="AH3529" s="37">
        <v>0</v>
      </c>
      <c r="AI3529" s="37">
        <v>97</v>
      </c>
      <c r="AJ3529" s="37">
        <v>11</v>
      </c>
      <c r="AK3529" s="37" t="str">
        <f>VLOOKUP(Mecze[[#This Row],[Match ID]],Meczusie[Mecz]:Meczusie[RodzajMeczu],2,FALSE)</f>
        <v>Liga</v>
      </c>
    </row>
    <row r="3530" spans="1:37" x14ac:dyDescent="0.25">
      <c r="A3530" s="76">
        <v>10</v>
      </c>
      <c r="B3530" s="3" t="s">
        <v>328</v>
      </c>
      <c r="C3530" s="2" t="s">
        <v>165</v>
      </c>
      <c r="D3530" s="1">
        <v>0</v>
      </c>
      <c r="E3530" s="1">
        <v>6</v>
      </c>
      <c r="F3530" s="1">
        <v>6</v>
      </c>
      <c r="G3530" s="1">
        <v>6</v>
      </c>
      <c r="H3530" s="4">
        <v>0.5</v>
      </c>
      <c r="I3530" s="1">
        <v>7</v>
      </c>
      <c r="J3530" s="4">
        <v>0.56999999999999995</v>
      </c>
      <c r="K3530" s="1">
        <v>0</v>
      </c>
      <c r="L3530" s="1">
        <v>0</v>
      </c>
      <c r="M3530" s="32">
        <f>IF(Mecze[[#This Row],[PR]]=0,0,Mecze[[#This Row],[PR]]/Mecze[[#This Row],[CZAS]])</f>
        <v>0</v>
      </c>
      <c r="N3530" s="32">
        <f>IF(Mecze[[#This Row],[OU]]=0,0,Mecze[[#This Row],[OU]]/Mecze[[#This Row],[CZAS]])</f>
        <v>4.1237113402061855E-2</v>
      </c>
      <c r="O3530" s="32">
        <f>IF(Mecze[[#This Row],[PC]]=0,0,Mecze[[#This Row],[PC]]/Mecze[[#This Row],[CZAS]])</f>
        <v>3.0927835051546393E-2</v>
      </c>
      <c r="P3530" s="32">
        <f>IF(Mecze[[#This Row],[SC]]=0,0,Mecze[[#This Row],[SC]]/Mecze[[#This Row],[CZAS]])</f>
        <v>6.1855670103092786E-2</v>
      </c>
      <c r="Q3530" s="32">
        <f>IF(Mecze[[#This Row],[OB]]=0,0,Mecze[[#This Row],[OB]]/Mecze[[#This Row],[CZAS]])</f>
        <v>0</v>
      </c>
      <c r="R3530" s="32">
        <f>IF(Mecze[[#This Row],[BR]]=0,0,Mecze[[#This Row],[BR]]/Mecze[[#This Row],[CZAS]])</f>
        <v>0</v>
      </c>
      <c r="S3530" s="44">
        <f>IF(Mecze[[#This Row],[Role]]="BR",SUMPRODUCT(Mecze[[#This Row],[/PR:90]:[/BR:90]],Brudnopis!$E$23:$J$23),0)</f>
        <v>0</v>
      </c>
      <c r="T3530" s="44">
        <f>IF(Mecze[[#This Row],[Role]]&lt;&gt;"BR",SUMPRODUCT(Mecze[[#This Row],[/PR:90]:[/BR:90]],Brudnopis!$E$24:$J$24),0)</f>
        <v>0.15463917525773196</v>
      </c>
      <c r="U3530" s="44">
        <f>IF(Mecze[[#This Row],[Role]]&lt;&gt;"BR",SUMPRODUCT(Mecze[[#This Row],[/PR:90]:[/BR:90]],Brudnopis!$E$25:$J$25),0)</f>
        <v>0.14948453608247422</v>
      </c>
      <c r="V3530" s="44">
        <f>IF(Mecze[[#This Row],[Role]]&lt;&gt;"BR",SUMPRODUCT(Mecze[[#This Row],[/PR:90]:[/BR:90]],Brudnopis!$E$26:$J$26),0)</f>
        <v>0.13402061855670103</v>
      </c>
      <c r="W3530" s="44">
        <f>IF(Mecze[[#This Row],[Role]]&lt;&gt;"BR",SUMPRODUCT(Mecze[[#This Row],[/PR:90]:[/BR:90]],Brudnopis!$E$27:$J$27),0)</f>
        <v>0.13917525773195877</v>
      </c>
      <c r="X3530" s="44">
        <f>IF(Mecze[[#This Row],[Role]]&lt;&gt;"BR",SUMPRODUCT(Mecze[[#This Row],[/PR:90]:[/BR:90]],Brudnopis!$E$28:$J$28),0)</f>
        <v>0.15463917525773196</v>
      </c>
      <c r="Y3530" s="35">
        <f>IF(Mecze[[#This Row],[Role]]="BR",Mecze[[#This Row],[/OB:90]]+Mecze[[#This Row],[/PC:90]],SUM(Mecze[[#This Row],[/PR:90]:[/BR:90]]))</f>
        <v>0.13402061855670103</v>
      </c>
      <c r="Z3530" s="35">
        <f>IF(Mecze[[#This Row],[KC]]=0,SUM(Mecze[[#This Row],[/BRI]:[/NPI]]),SUM(Mecze[[#This Row],[/BRI]:[/NPI]])*0.6)</f>
        <v>0.73195876288659789</v>
      </c>
      <c r="AA3530" s="10">
        <f>IFERROR(Mecze[[#This Row],[BR]]/Mecze[[#This Row],[ST]],0)</f>
        <v>0</v>
      </c>
      <c r="AB3530">
        <f>ROUND(Mecze[[#This Row],[PD]]*Mecze[[#This Row],[%PC]],0)</f>
        <v>3</v>
      </c>
      <c r="AC3530">
        <f>ROUND(Mecze[[#This Row],[OD]]*Mecze[[#This Row],[%OU]],0)</f>
        <v>4</v>
      </c>
      <c r="AD3530" s="36" t="s">
        <v>46</v>
      </c>
      <c r="AE3530" s="36">
        <v>198</v>
      </c>
      <c r="AF3530" s="71">
        <v>4.25</v>
      </c>
      <c r="AG3530" s="37">
        <v>1</v>
      </c>
      <c r="AH3530" s="37">
        <v>0</v>
      </c>
      <c r="AI3530" s="37">
        <v>97</v>
      </c>
      <c r="AJ3530" s="37">
        <v>11</v>
      </c>
      <c r="AK3530" s="37" t="str">
        <f>VLOOKUP(Mecze[[#This Row],[Match ID]],Meczusie[Mecz]:Meczusie[RodzajMeczu],2,FALSE)</f>
        <v>Liga</v>
      </c>
    </row>
    <row r="3531" spans="1:37" x14ac:dyDescent="0.25">
      <c r="A3531" s="76">
        <v>14</v>
      </c>
      <c r="B3531" s="3" t="s">
        <v>330</v>
      </c>
      <c r="C3531" s="2" t="s">
        <v>165</v>
      </c>
      <c r="D3531" s="1">
        <v>0</v>
      </c>
      <c r="E3531" s="1">
        <v>1</v>
      </c>
      <c r="F3531" s="1">
        <v>1</v>
      </c>
      <c r="G3531" s="1">
        <v>7</v>
      </c>
      <c r="H3531" s="4">
        <v>0.71</v>
      </c>
      <c r="I3531" s="1">
        <v>3</v>
      </c>
      <c r="J3531" s="4">
        <v>0.33</v>
      </c>
      <c r="K3531" s="1">
        <v>0</v>
      </c>
      <c r="L3531" s="1">
        <v>0</v>
      </c>
      <c r="M3531" s="32">
        <f>IF(Mecze[[#This Row],[PR]]=0,0,Mecze[[#This Row],[PR]]/Mecze[[#This Row],[CZAS]])</f>
        <v>0</v>
      </c>
      <c r="N3531" s="32">
        <f>IF(Mecze[[#This Row],[OU]]=0,0,Mecze[[#This Row],[OU]]/Mecze[[#This Row],[CZAS]])</f>
        <v>1.0309278350515464E-2</v>
      </c>
      <c r="O3531" s="32">
        <f>IF(Mecze[[#This Row],[PC]]=0,0,Mecze[[#This Row],[PC]]/Mecze[[#This Row],[CZAS]])</f>
        <v>5.1546391752577317E-2</v>
      </c>
      <c r="P3531" s="32">
        <f>IF(Mecze[[#This Row],[SC]]=0,0,Mecze[[#This Row],[SC]]/Mecze[[#This Row],[CZAS]])</f>
        <v>1.0309278350515464E-2</v>
      </c>
      <c r="Q3531" s="32">
        <f>IF(Mecze[[#This Row],[OB]]=0,0,Mecze[[#This Row],[OB]]/Mecze[[#This Row],[CZAS]])</f>
        <v>0</v>
      </c>
      <c r="R3531" s="32">
        <f>IF(Mecze[[#This Row],[BR]]=0,0,Mecze[[#This Row],[BR]]/Mecze[[#This Row],[CZAS]])</f>
        <v>0</v>
      </c>
      <c r="S3531" s="44">
        <f>IF(Mecze[[#This Row],[Role]]="BR",SUMPRODUCT(Mecze[[#This Row],[/PR:90]:[/BR:90]],Brudnopis!$E$23:$J$23),0)</f>
        <v>0</v>
      </c>
      <c r="T3531" s="44">
        <f>IF(Mecze[[#This Row],[Role]]&lt;&gt;"BR",SUMPRODUCT(Mecze[[#This Row],[/PR:90]:[/BR:90]],Brudnopis!$E$24:$J$24),0)</f>
        <v>7.7319587628865982E-2</v>
      </c>
      <c r="U3531" s="44">
        <f>IF(Mecze[[#This Row],[Role]]&lt;&gt;"BR",SUMPRODUCT(Mecze[[#This Row],[/PR:90]:[/BR:90]],Brudnopis!$E$25:$J$25),0)</f>
        <v>9.793814432989692E-2</v>
      </c>
      <c r="V3531" s="44">
        <f>IF(Mecze[[#This Row],[Role]]&lt;&gt;"BR",SUMPRODUCT(Mecze[[#This Row],[/PR:90]:[/BR:90]],Brudnopis!$E$26:$J$26),0)</f>
        <v>7.2164948453608241E-2</v>
      </c>
      <c r="W3531" s="44">
        <f>IF(Mecze[[#This Row],[Role]]&lt;&gt;"BR",SUMPRODUCT(Mecze[[#This Row],[/PR:90]:[/BR:90]],Brudnopis!$E$27:$J$27),0)</f>
        <v>9.5360824742268049E-2</v>
      </c>
      <c r="X3531" s="44">
        <f>IF(Mecze[[#This Row],[Role]]&lt;&gt;"BR",SUMPRODUCT(Mecze[[#This Row],[/PR:90]:[/BR:90]],Brudnopis!$E$28:$J$28),0)</f>
        <v>7.2164948453608241E-2</v>
      </c>
      <c r="Y3531" s="35">
        <f>IF(Mecze[[#This Row],[Role]]="BR",Mecze[[#This Row],[/OB:90]]+Mecze[[#This Row],[/PC:90]],SUM(Mecze[[#This Row],[/PR:90]:[/BR:90]]))</f>
        <v>7.2164948453608241E-2</v>
      </c>
      <c r="Z3531" s="35">
        <f>IF(Mecze[[#This Row],[KC]]=0,SUM(Mecze[[#This Row],[/BRI]:[/NPI]]),SUM(Mecze[[#This Row],[/BRI]:[/NPI]])*0.6)</f>
        <v>0.41494845360824739</v>
      </c>
      <c r="AA3531" s="10">
        <f>IFERROR(Mecze[[#This Row],[BR]]/Mecze[[#This Row],[ST]],0)</f>
        <v>0</v>
      </c>
      <c r="AB3531">
        <f>ROUND(Mecze[[#This Row],[PD]]*Mecze[[#This Row],[%PC]],0)</f>
        <v>5</v>
      </c>
      <c r="AC3531">
        <f>ROUND(Mecze[[#This Row],[OD]]*Mecze[[#This Row],[%OU]],0)</f>
        <v>1</v>
      </c>
      <c r="AD3531" s="36" t="s">
        <v>272</v>
      </c>
      <c r="AE3531" s="36">
        <v>198</v>
      </c>
      <c r="AF3531" s="71">
        <v>4.26</v>
      </c>
      <c r="AG3531" s="37">
        <v>0</v>
      </c>
      <c r="AH3531" s="37">
        <v>0</v>
      </c>
      <c r="AI3531" s="37">
        <v>97</v>
      </c>
      <c r="AJ3531" s="37">
        <v>11</v>
      </c>
      <c r="AK3531" s="37" t="str">
        <f>VLOOKUP(Mecze[[#This Row],[Match ID]],Meczusie[Mecz]:Meczusie[RodzajMeczu],2,FALSE)</f>
        <v>Liga</v>
      </c>
    </row>
    <row r="3532" spans="1:37" x14ac:dyDescent="0.25">
      <c r="A3532" s="76">
        <v>11</v>
      </c>
      <c r="B3532" s="3" t="s">
        <v>329</v>
      </c>
      <c r="C3532" s="2" t="s">
        <v>165</v>
      </c>
      <c r="D3532" s="1">
        <v>0</v>
      </c>
      <c r="E3532" s="1">
        <v>1</v>
      </c>
      <c r="F3532" s="1">
        <v>0</v>
      </c>
      <c r="G3532" s="1">
        <v>10</v>
      </c>
      <c r="H3532" s="4">
        <v>0.4</v>
      </c>
      <c r="I3532" s="1">
        <v>1</v>
      </c>
      <c r="J3532" s="4">
        <v>1</v>
      </c>
      <c r="K3532" s="1">
        <v>0</v>
      </c>
      <c r="L3532" s="1">
        <v>0</v>
      </c>
      <c r="M3532" s="32">
        <f>IF(Mecze[[#This Row],[PR]]=0,0,Mecze[[#This Row],[PR]]/Mecze[[#This Row],[CZAS]])</f>
        <v>0</v>
      </c>
      <c r="N3532" s="32">
        <f>IF(Mecze[[#This Row],[OU]]=0,0,Mecze[[#This Row],[OU]]/Mecze[[#This Row],[CZAS]])</f>
        <v>1.0309278350515464E-2</v>
      </c>
      <c r="O3532" s="32">
        <f>IF(Mecze[[#This Row],[PC]]=0,0,Mecze[[#This Row],[PC]]/Mecze[[#This Row],[CZAS]])</f>
        <v>4.1237113402061855E-2</v>
      </c>
      <c r="P3532" s="32">
        <f>IF(Mecze[[#This Row],[SC]]=0,0,Mecze[[#This Row],[SC]]/Mecze[[#This Row],[CZAS]])</f>
        <v>0</v>
      </c>
      <c r="Q3532" s="32">
        <f>IF(Mecze[[#This Row],[OB]]=0,0,Mecze[[#This Row],[OB]]/Mecze[[#This Row],[CZAS]])</f>
        <v>0</v>
      </c>
      <c r="R3532" s="32">
        <f>IF(Mecze[[#This Row],[BR]]=0,0,Mecze[[#This Row],[BR]]/Mecze[[#This Row],[CZAS]])</f>
        <v>0</v>
      </c>
      <c r="S3532" s="44">
        <f>IF(Mecze[[#This Row],[Role]]="BR",SUMPRODUCT(Mecze[[#This Row],[/PR:90]:[/BR:90]],Brudnopis!$E$23:$J$23),0)</f>
        <v>0</v>
      </c>
      <c r="T3532" s="44">
        <f>IF(Mecze[[#This Row],[Role]]&lt;&gt;"BR",SUMPRODUCT(Mecze[[#This Row],[/PR:90]:[/BR:90]],Brudnopis!$E$24:$J$24),0)</f>
        <v>5.6701030927835051E-2</v>
      </c>
      <c r="U3532" s="44">
        <f>IF(Mecze[[#This Row],[Role]]&lt;&gt;"BR",SUMPRODUCT(Mecze[[#This Row],[/PR:90]:[/BR:90]],Brudnopis!$E$25:$J$25),0)</f>
        <v>7.2164948453608255E-2</v>
      </c>
      <c r="V3532" s="44">
        <f>IF(Mecze[[#This Row],[Role]]&lt;&gt;"BR",SUMPRODUCT(Mecze[[#This Row],[/PR:90]:[/BR:90]],Brudnopis!$E$26:$J$26),0)</f>
        <v>5.1546391752577317E-2</v>
      </c>
      <c r="W3532" s="44">
        <f>IF(Mecze[[#This Row],[Role]]&lt;&gt;"BR",SUMPRODUCT(Mecze[[#This Row],[/PR:90]:[/BR:90]],Brudnopis!$E$27:$J$27),0)</f>
        <v>6.9587628865979384E-2</v>
      </c>
      <c r="X3532" s="44">
        <f>IF(Mecze[[#This Row],[Role]]&lt;&gt;"BR",SUMPRODUCT(Mecze[[#This Row],[/PR:90]:[/BR:90]],Brudnopis!$E$28:$J$28),0)</f>
        <v>4.1237113402061855E-2</v>
      </c>
      <c r="Y3532" s="35">
        <f>IF(Mecze[[#This Row],[Role]]="BR",Mecze[[#This Row],[/OB:90]]+Mecze[[#This Row],[/PC:90]],SUM(Mecze[[#This Row],[/PR:90]:[/BR:90]]))</f>
        <v>5.1546391752577317E-2</v>
      </c>
      <c r="Z3532" s="35">
        <f>IF(Mecze[[#This Row],[KC]]=0,SUM(Mecze[[#This Row],[/BRI]:[/NPI]]),SUM(Mecze[[#This Row],[/BRI]:[/NPI]])*0.6)</f>
        <v>0.29123711340206188</v>
      </c>
      <c r="AA3532" s="10">
        <f>IFERROR(Mecze[[#This Row],[BR]]/Mecze[[#This Row],[ST]],0)</f>
        <v>0</v>
      </c>
      <c r="AB3532">
        <f>ROUND(Mecze[[#This Row],[PD]]*Mecze[[#This Row],[%PC]],0)</f>
        <v>4</v>
      </c>
      <c r="AC3532">
        <f>ROUND(Mecze[[#This Row],[OD]]*Mecze[[#This Row],[%OU]],0)</f>
        <v>1</v>
      </c>
      <c r="AD3532" s="36" t="s">
        <v>273</v>
      </c>
      <c r="AE3532" s="36">
        <v>198</v>
      </c>
      <c r="AF3532" s="71">
        <v>2.71</v>
      </c>
      <c r="AG3532" s="37">
        <v>0</v>
      </c>
      <c r="AH3532" s="37">
        <v>0</v>
      </c>
      <c r="AI3532" s="37">
        <v>97</v>
      </c>
      <c r="AJ3532" s="37">
        <v>11</v>
      </c>
      <c r="AK3532" s="37" t="str">
        <f>VLOOKUP(Mecze[[#This Row],[Match ID]],Meczusie[Mecz]:Meczusie[RodzajMeczu],2,FALSE)</f>
        <v>Liga</v>
      </c>
    </row>
    <row r="3533" spans="1:37" x14ac:dyDescent="0.25">
      <c r="A3533" s="76">
        <v>1</v>
      </c>
      <c r="B3533" s="3" t="s">
        <v>304</v>
      </c>
      <c r="C3533" s="2" t="s">
        <v>155</v>
      </c>
      <c r="D3533" s="1">
        <v>0</v>
      </c>
      <c r="E3533" s="1">
        <v>0</v>
      </c>
      <c r="F3533" s="1">
        <v>0</v>
      </c>
      <c r="G3533" s="1">
        <v>12</v>
      </c>
      <c r="H3533" s="4">
        <v>0.5</v>
      </c>
      <c r="I3533" s="1">
        <v>0</v>
      </c>
      <c r="J3533" s="4"/>
      <c r="K3533" s="1">
        <v>11</v>
      </c>
      <c r="L3533" s="1">
        <v>0</v>
      </c>
      <c r="M3533" s="32">
        <f>IF(Mecze[[#This Row],[PR]]=0,0,Mecze[[#This Row],[PR]]/Mecze[[#This Row],[CZAS]])</f>
        <v>0</v>
      </c>
      <c r="N3533" s="32">
        <f>IF(Mecze[[#This Row],[OU]]=0,0,Mecze[[#This Row],[OU]]/Mecze[[#This Row],[CZAS]])</f>
        <v>0</v>
      </c>
      <c r="O3533" s="32">
        <f>IF(Mecze[[#This Row],[PC]]=0,0,Mecze[[#This Row],[PC]]/Mecze[[#This Row],[CZAS]])</f>
        <v>6.1855670103092786E-2</v>
      </c>
      <c r="P3533" s="32">
        <f>IF(Mecze[[#This Row],[SC]]=0,0,Mecze[[#This Row],[SC]]/Mecze[[#This Row],[CZAS]])</f>
        <v>0</v>
      </c>
      <c r="Q3533" s="32">
        <f>IF(Mecze[[#This Row],[OB]]=0,0,Mecze[[#This Row],[OB]]/Mecze[[#This Row],[CZAS]])</f>
        <v>0.1134020618556701</v>
      </c>
      <c r="R3533" s="32">
        <f>IF(Mecze[[#This Row],[BR]]=0,0,Mecze[[#This Row],[BR]]/Mecze[[#This Row],[CZAS]])</f>
        <v>0</v>
      </c>
      <c r="S3533" s="44">
        <f>IF(Mecze[[#This Row],[Role]]="BR",SUMPRODUCT(Mecze[[#This Row],[/PR:90]:[/BR:90]],Brudnopis!$E$23:$J$23),0)</f>
        <v>0.52577319587628868</v>
      </c>
      <c r="T3533" s="44">
        <f>IF(Mecze[[#This Row],[Role]]&lt;&gt;"BR",SUMPRODUCT(Mecze[[#This Row],[/PR:90]:[/BR:90]],Brudnopis!$E$24:$J$24),0)</f>
        <v>0</v>
      </c>
      <c r="U3533" s="44">
        <f>IF(Mecze[[#This Row],[Role]]&lt;&gt;"BR",SUMPRODUCT(Mecze[[#This Row],[/PR:90]:[/BR:90]],Brudnopis!$E$25:$J$25),0)</f>
        <v>0</v>
      </c>
      <c r="V3533" s="44">
        <f>IF(Mecze[[#This Row],[Role]]&lt;&gt;"BR",SUMPRODUCT(Mecze[[#This Row],[/PR:90]:[/BR:90]],Brudnopis!$E$26:$J$26),0)</f>
        <v>0</v>
      </c>
      <c r="W3533" s="44">
        <f>IF(Mecze[[#This Row],[Role]]&lt;&gt;"BR",SUMPRODUCT(Mecze[[#This Row],[/PR:90]:[/BR:90]],Brudnopis!$E$27:$J$27),0)</f>
        <v>0</v>
      </c>
      <c r="X3533" s="44">
        <f>IF(Mecze[[#This Row],[Role]]&lt;&gt;"BR",SUMPRODUCT(Mecze[[#This Row],[/PR:90]:[/BR:90]],Brudnopis!$E$28:$J$28),0)</f>
        <v>0</v>
      </c>
      <c r="Y3533" s="35">
        <f>IF(Mecze[[#This Row],[Role]]="BR",Mecze[[#This Row],[/OB:90]]+Mecze[[#This Row],[/PC:90]],SUM(Mecze[[#This Row],[/PR:90]:[/BR:90]]))</f>
        <v>0.17525773195876287</v>
      </c>
      <c r="Z3533" s="35">
        <f>IF(Mecze[[#This Row],[KC]]=0,SUM(Mecze[[#This Row],[/BRI]:[/NPI]]),SUM(Mecze[[#This Row],[/BRI]:[/NPI]])*0.6)</f>
        <v>0.52577319587628868</v>
      </c>
      <c r="AA3533" s="10">
        <f>IFERROR(Mecze[[#This Row],[BR]]/Mecze[[#This Row],[ST]],0)</f>
        <v>0</v>
      </c>
      <c r="AB3533">
        <f>ROUND(Mecze[[#This Row],[PD]]*Mecze[[#This Row],[%PC]],0)</f>
        <v>6</v>
      </c>
      <c r="AC3533">
        <f>ROUND(Mecze[[#This Row],[OD]]*Mecze[[#This Row],[%OU]],0)</f>
        <v>0</v>
      </c>
      <c r="AD3533" s="36" t="s">
        <v>40</v>
      </c>
      <c r="AE3533" s="36">
        <v>198</v>
      </c>
      <c r="AF3533" s="71">
        <v>10.89</v>
      </c>
      <c r="AG3533" s="37">
        <v>0</v>
      </c>
      <c r="AH3533" s="37">
        <v>0</v>
      </c>
      <c r="AI3533" s="37">
        <v>97</v>
      </c>
      <c r="AJ3533" s="37">
        <v>8</v>
      </c>
      <c r="AK3533" s="37" t="str">
        <f>VLOOKUP(Mecze[[#This Row],[Match ID]],Meczusie[Mecz]:Meczusie[RodzajMeczu],2,FALSE)</f>
        <v>Liga</v>
      </c>
    </row>
    <row r="3534" spans="1:37" x14ac:dyDescent="0.25">
      <c r="A3534" s="76">
        <v>73</v>
      </c>
      <c r="B3534" s="3" t="s">
        <v>431</v>
      </c>
      <c r="C3534" s="2" t="s">
        <v>157</v>
      </c>
      <c r="D3534" s="1">
        <v>0</v>
      </c>
      <c r="E3534" s="1">
        <v>0</v>
      </c>
      <c r="F3534" s="1">
        <v>0</v>
      </c>
      <c r="G3534" s="1">
        <v>4</v>
      </c>
      <c r="H3534" s="4">
        <v>0.5</v>
      </c>
      <c r="I3534" s="1">
        <v>5</v>
      </c>
      <c r="J3534" s="4">
        <v>0.6</v>
      </c>
      <c r="K3534" s="1">
        <v>0</v>
      </c>
      <c r="L3534" s="1">
        <v>4</v>
      </c>
      <c r="M3534" s="32">
        <f>IF(Mecze[[#This Row],[PR]]=0,0,Mecze[[#This Row],[PR]]/Mecze[[#This Row],[CZAS]])</f>
        <v>5.4794520547945202E-2</v>
      </c>
      <c r="N3534" s="32">
        <f>IF(Mecze[[#This Row],[OU]]=0,0,Mecze[[#This Row],[OU]]/Mecze[[#This Row],[CZAS]])</f>
        <v>4.1095890410958902E-2</v>
      </c>
      <c r="O3534" s="32">
        <f>IF(Mecze[[#This Row],[PC]]=0,0,Mecze[[#This Row],[PC]]/Mecze[[#This Row],[CZAS]])</f>
        <v>2.7397260273972601E-2</v>
      </c>
      <c r="P3534" s="32">
        <f>IF(Mecze[[#This Row],[SC]]=0,0,Mecze[[#This Row],[SC]]/Mecze[[#This Row],[CZAS]])</f>
        <v>0</v>
      </c>
      <c r="Q3534" s="32">
        <f>IF(Mecze[[#This Row],[OB]]=0,0,Mecze[[#This Row],[OB]]/Mecze[[#This Row],[CZAS]])</f>
        <v>0</v>
      </c>
      <c r="R3534" s="32">
        <f>IF(Mecze[[#This Row],[BR]]=0,0,Mecze[[#This Row],[BR]]/Mecze[[#This Row],[CZAS]])</f>
        <v>0</v>
      </c>
      <c r="S3534" s="44">
        <f>IF(Mecze[[#This Row],[Role]]="BR",SUMPRODUCT(Mecze[[#This Row],[/PR:90]:[/BR:90]],Brudnopis!$E$23:$J$23),0)</f>
        <v>0</v>
      </c>
      <c r="T3534" s="44">
        <f>IF(Mecze[[#This Row],[Role]]&lt;&gt;"BR",SUMPRODUCT(Mecze[[#This Row],[/PR:90]:[/BR:90]],Brudnopis!$E$24:$J$24),0)</f>
        <v>0.14383561643835616</v>
      </c>
      <c r="U3534" s="44">
        <f>IF(Mecze[[#This Row],[Role]]&lt;&gt;"BR",SUMPRODUCT(Mecze[[#This Row],[/PR:90]:[/BR:90]],Brudnopis!$E$25:$J$25),0)</f>
        <v>0.13698630136986301</v>
      </c>
      <c r="V3534" s="44">
        <f>IF(Mecze[[#This Row],[Role]]&lt;&gt;"BR",SUMPRODUCT(Mecze[[#This Row],[/PR:90]:[/BR:90]],Brudnopis!$E$26:$J$26),0)</f>
        <v>0.12328767123287671</v>
      </c>
      <c r="W3534" s="44">
        <f>IF(Mecze[[#This Row],[Role]]&lt;&gt;"BR",SUMPRODUCT(Mecze[[#This Row],[/PR:90]:[/BR:90]],Brudnopis!$E$27:$J$27),0)</f>
        <v>0.11301369863013698</v>
      </c>
      <c r="X3534" s="44">
        <f>IF(Mecze[[#This Row],[Role]]&lt;&gt;"BR",SUMPRODUCT(Mecze[[#This Row],[/PR:90]:[/BR:90]],Brudnopis!$E$28:$J$28),0)</f>
        <v>2.7397260273972601E-2</v>
      </c>
      <c r="Y3534" s="35">
        <f>IF(Mecze[[#This Row],[Role]]="BR",Mecze[[#This Row],[/OB:90]]+Mecze[[#This Row],[/PC:90]],SUM(Mecze[[#This Row],[/PR:90]:[/BR:90]]))</f>
        <v>0.12328767123287671</v>
      </c>
      <c r="Z3534" s="35">
        <f>IF(Mecze[[#This Row],[KC]]=0,SUM(Mecze[[#This Row],[/BRI]:[/NPI]]),SUM(Mecze[[#This Row],[/BRI]:[/NPI]])*0.6)</f>
        <v>0.54452054794520544</v>
      </c>
      <c r="AA3534" s="10">
        <f>IFERROR(Mecze[[#This Row],[BR]]/Mecze[[#This Row],[ST]],0)</f>
        <v>0</v>
      </c>
      <c r="AB3534">
        <f>ROUND(Mecze[[#This Row],[PD]]*Mecze[[#This Row],[%PC]],0)</f>
        <v>2</v>
      </c>
      <c r="AC3534">
        <f>ROUND(Mecze[[#This Row],[OD]]*Mecze[[#This Row],[%OU]],0)</f>
        <v>3</v>
      </c>
      <c r="AD3534" s="36" t="s">
        <v>168</v>
      </c>
      <c r="AE3534" s="36">
        <v>198</v>
      </c>
      <c r="AF3534" s="71">
        <v>7.78</v>
      </c>
      <c r="AG3534" s="37">
        <v>0</v>
      </c>
      <c r="AH3534" s="37">
        <v>0</v>
      </c>
      <c r="AI3534" s="37">
        <v>73</v>
      </c>
      <c r="AJ3534" s="37">
        <v>8</v>
      </c>
      <c r="AK3534" s="37" t="str">
        <f>VLOOKUP(Mecze[[#This Row],[Match ID]],Meczusie[Mecz]:Meczusie[RodzajMeczu],2,FALSE)</f>
        <v>Liga</v>
      </c>
    </row>
    <row r="3535" spans="1:37" x14ac:dyDescent="0.25">
      <c r="A3535" s="76">
        <v>23</v>
      </c>
      <c r="B3535" s="3" t="s">
        <v>306</v>
      </c>
      <c r="C3535" s="2" t="s">
        <v>157</v>
      </c>
      <c r="D3535" s="1">
        <v>0</v>
      </c>
      <c r="E3535" s="1">
        <v>0</v>
      </c>
      <c r="F3535" s="1">
        <v>0</v>
      </c>
      <c r="G3535" s="1">
        <v>10</v>
      </c>
      <c r="H3535" s="4">
        <v>0.6</v>
      </c>
      <c r="I3535" s="1">
        <v>5</v>
      </c>
      <c r="J3535" s="4">
        <v>0.4</v>
      </c>
      <c r="K3535" s="1">
        <v>0</v>
      </c>
      <c r="L3535" s="1">
        <v>13</v>
      </c>
      <c r="M3535" s="32">
        <f>IF(Mecze[[#This Row],[PR]]=0,0,Mecze[[#This Row],[PR]]/Mecze[[#This Row],[CZAS]])</f>
        <v>0.13402061855670103</v>
      </c>
      <c r="N3535" s="32">
        <f>IF(Mecze[[#This Row],[OU]]=0,0,Mecze[[#This Row],[OU]]/Mecze[[#This Row],[CZAS]])</f>
        <v>2.0618556701030927E-2</v>
      </c>
      <c r="O3535" s="32">
        <f>IF(Mecze[[#This Row],[PC]]=0,0,Mecze[[#This Row],[PC]]/Mecze[[#This Row],[CZAS]])</f>
        <v>6.1855670103092786E-2</v>
      </c>
      <c r="P3535" s="32">
        <f>IF(Mecze[[#This Row],[SC]]=0,0,Mecze[[#This Row],[SC]]/Mecze[[#This Row],[CZAS]])</f>
        <v>0</v>
      </c>
      <c r="Q3535" s="32">
        <f>IF(Mecze[[#This Row],[OB]]=0,0,Mecze[[#This Row],[OB]]/Mecze[[#This Row],[CZAS]])</f>
        <v>0</v>
      </c>
      <c r="R3535" s="32">
        <f>IF(Mecze[[#This Row],[BR]]=0,0,Mecze[[#This Row],[BR]]/Mecze[[#This Row],[CZAS]])</f>
        <v>0</v>
      </c>
      <c r="S3535" s="44">
        <f>IF(Mecze[[#This Row],[Role]]="BR",SUMPRODUCT(Mecze[[#This Row],[/PR:90]:[/BR:90]],Brudnopis!$E$23:$J$23),0)</f>
        <v>0</v>
      </c>
      <c r="T3535" s="44">
        <f>IF(Mecze[[#This Row],[Role]]&lt;&gt;"BR",SUMPRODUCT(Mecze[[#This Row],[/PR:90]:[/BR:90]],Brudnopis!$E$24:$J$24),0)</f>
        <v>0.22680412371134021</v>
      </c>
      <c r="U3535" s="44">
        <f>IF(Mecze[[#This Row],[Role]]&lt;&gt;"BR",SUMPRODUCT(Mecze[[#This Row],[/PR:90]:[/BR:90]],Brudnopis!$E$25:$J$25),0)</f>
        <v>0.24742268041237114</v>
      </c>
      <c r="V3535" s="44">
        <f>IF(Mecze[[#This Row],[Role]]&lt;&gt;"BR",SUMPRODUCT(Mecze[[#This Row],[/PR:90]:[/BR:90]],Brudnopis!$E$26:$J$26),0)</f>
        <v>0.21649484536082475</v>
      </c>
      <c r="W3535" s="44">
        <f>IF(Mecze[[#This Row],[Role]]&lt;&gt;"BR",SUMPRODUCT(Mecze[[#This Row],[/PR:90]:[/BR:90]],Brudnopis!$E$27:$J$27),0)</f>
        <v>0.20876288659793815</v>
      </c>
      <c r="X3535" s="44">
        <f>IF(Mecze[[#This Row],[Role]]&lt;&gt;"BR",SUMPRODUCT(Mecze[[#This Row],[/PR:90]:[/BR:90]],Brudnopis!$E$28:$J$28),0)</f>
        <v>6.1855670103092786E-2</v>
      </c>
      <c r="Y3535" s="35">
        <f>IF(Mecze[[#This Row],[Role]]="BR",Mecze[[#This Row],[/OB:90]]+Mecze[[#This Row],[/PC:90]],SUM(Mecze[[#This Row],[/PR:90]:[/BR:90]]))</f>
        <v>0.21649484536082475</v>
      </c>
      <c r="Z3535" s="35">
        <f>IF(Mecze[[#This Row],[KC]]=0,SUM(Mecze[[#This Row],[/BRI]:[/NPI]]),SUM(Mecze[[#This Row],[/BRI]:[/NPI]])*0.6)</f>
        <v>0.96134020618556704</v>
      </c>
      <c r="AA3535" s="10">
        <f>IFERROR(Mecze[[#This Row],[BR]]/Mecze[[#This Row],[ST]],0)</f>
        <v>0</v>
      </c>
      <c r="AB3535">
        <f>ROUND(Mecze[[#This Row],[PD]]*Mecze[[#This Row],[%PC]],0)</f>
        <v>6</v>
      </c>
      <c r="AC3535">
        <f>ROUND(Mecze[[#This Row],[OD]]*Mecze[[#This Row],[%OU]],0)</f>
        <v>2</v>
      </c>
      <c r="AD3535" s="36" t="s">
        <v>167</v>
      </c>
      <c r="AE3535" s="36">
        <v>198</v>
      </c>
      <c r="AF3535" s="71">
        <v>8.5500000000000007</v>
      </c>
      <c r="AG3535" s="37">
        <v>0</v>
      </c>
      <c r="AH3535" s="37">
        <v>0</v>
      </c>
      <c r="AI3535" s="37">
        <v>97</v>
      </c>
      <c r="AJ3535" s="37">
        <v>8</v>
      </c>
      <c r="AK3535" s="37" t="str">
        <f>VLOOKUP(Mecze[[#This Row],[Match ID]],Meczusie[Mecz]:Meczusie[RodzajMeczu],2,FALSE)</f>
        <v>Liga</v>
      </c>
    </row>
    <row r="3536" spans="1:37" x14ac:dyDescent="0.25">
      <c r="A3536" s="76">
        <v>5</v>
      </c>
      <c r="B3536" s="3" t="s">
        <v>305</v>
      </c>
      <c r="C3536" s="2" t="s">
        <v>157</v>
      </c>
      <c r="D3536" s="1">
        <v>0</v>
      </c>
      <c r="E3536" s="1">
        <v>0</v>
      </c>
      <c r="F3536" s="1">
        <v>0</v>
      </c>
      <c r="G3536" s="1">
        <v>11</v>
      </c>
      <c r="H3536" s="4">
        <v>0.73</v>
      </c>
      <c r="I3536" s="1">
        <v>10</v>
      </c>
      <c r="J3536" s="4">
        <v>0.6</v>
      </c>
      <c r="K3536" s="1">
        <v>0</v>
      </c>
      <c r="L3536" s="1">
        <v>6</v>
      </c>
      <c r="M3536" s="32">
        <f>IF(Mecze[[#This Row],[PR]]=0,0,Mecze[[#This Row],[PR]]/Mecze[[#This Row],[CZAS]])</f>
        <v>6.1855670103092786E-2</v>
      </c>
      <c r="N3536" s="32">
        <f>IF(Mecze[[#This Row],[OU]]=0,0,Mecze[[#This Row],[OU]]/Mecze[[#This Row],[CZAS]])</f>
        <v>6.1855670103092786E-2</v>
      </c>
      <c r="O3536" s="32">
        <f>IF(Mecze[[#This Row],[PC]]=0,0,Mecze[[#This Row],[PC]]/Mecze[[#This Row],[CZAS]])</f>
        <v>8.247422680412371E-2</v>
      </c>
      <c r="P3536" s="32">
        <f>IF(Mecze[[#This Row],[SC]]=0,0,Mecze[[#This Row],[SC]]/Mecze[[#This Row],[CZAS]])</f>
        <v>0</v>
      </c>
      <c r="Q3536" s="32">
        <f>IF(Mecze[[#This Row],[OB]]=0,0,Mecze[[#This Row],[OB]]/Mecze[[#This Row],[CZAS]])</f>
        <v>0</v>
      </c>
      <c r="R3536" s="32">
        <f>IF(Mecze[[#This Row],[BR]]=0,0,Mecze[[#This Row],[BR]]/Mecze[[#This Row],[CZAS]])</f>
        <v>0</v>
      </c>
      <c r="S3536" s="44">
        <f>IF(Mecze[[#This Row],[Role]]="BR",SUMPRODUCT(Mecze[[#This Row],[/PR:90]:[/BR:90]],Brudnopis!$E$23:$J$23),0)</f>
        <v>0</v>
      </c>
      <c r="T3536" s="44">
        <f>IF(Mecze[[#This Row],[Role]]&lt;&gt;"BR",SUMPRODUCT(Mecze[[#This Row],[/PR:90]:[/BR:90]],Brudnopis!$E$24:$J$24),0)</f>
        <v>0.23711340206185566</v>
      </c>
      <c r="U3536" s="44">
        <f>IF(Mecze[[#This Row],[Role]]&lt;&gt;"BR",SUMPRODUCT(Mecze[[#This Row],[/PR:90]:[/BR:90]],Brudnopis!$E$25:$J$25),0)</f>
        <v>0.24742268041237114</v>
      </c>
      <c r="V3536" s="44">
        <f>IF(Mecze[[#This Row],[Role]]&lt;&gt;"BR",SUMPRODUCT(Mecze[[#This Row],[/PR:90]:[/BR:90]],Brudnopis!$E$26:$J$26),0)</f>
        <v>0.20618556701030927</v>
      </c>
      <c r="W3536" s="44">
        <f>IF(Mecze[[#This Row],[Role]]&lt;&gt;"BR",SUMPRODUCT(Mecze[[#This Row],[/PR:90]:[/BR:90]],Brudnopis!$E$27:$J$27),0)</f>
        <v>0.21649484536082475</v>
      </c>
      <c r="X3536" s="44">
        <f>IF(Mecze[[#This Row],[Role]]&lt;&gt;"BR",SUMPRODUCT(Mecze[[#This Row],[/PR:90]:[/BR:90]],Brudnopis!$E$28:$J$28),0)</f>
        <v>8.247422680412371E-2</v>
      </c>
      <c r="Y3536" s="35">
        <f>IF(Mecze[[#This Row],[Role]]="BR",Mecze[[#This Row],[/OB:90]]+Mecze[[#This Row],[/PC:90]],SUM(Mecze[[#This Row],[/PR:90]:[/BR:90]]))</f>
        <v>0.20618556701030927</v>
      </c>
      <c r="Z3536" s="35">
        <f>IF(Mecze[[#This Row],[KC]]=0,SUM(Mecze[[#This Row],[/BRI]:[/NPI]]),SUM(Mecze[[#This Row],[/BRI]:[/NPI]])*0.6)</f>
        <v>0.98969072164948457</v>
      </c>
      <c r="AA3536" s="10">
        <f>IFERROR(Mecze[[#This Row],[BR]]/Mecze[[#This Row],[ST]],0)</f>
        <v>0</v>
      </c>
      <c r="AB3536">
        <f>ROUND(Mecze[[#This Row],[PD]]*Mecze[[#This Row],[%PC]],0)</f>
        <v>8</v>
      </c>
      <c r="AC3536">
        <f>ROUND(Mecze[[#This Row],[OD]]*Mecze[[#This Row],[%OU]],0)</f>
        <v>6</v>
      </c>
      <c r="AD3536" s="36" t="s">
        <v>47</v>
      </c>
      <c r="AE3536" s="36">
        <v>198</v>
      </c>
      <c r="AF3536" s="71">
        <v>8.1999999999999993</v>
      </c>
      <c r="AG3536" s="37">
        <v>0</v>
      </c>
      <c r="AH3536" s="37">
        <v>0</v>
      </c>
      <c r="AI3536" s="37">
        <v>97</v>
      </c>
      <c r="AJ3536" s="37">
        <v>8</v>
      </c>
      <c r="AK3536" s="37" t="str">
        <f>VLOOKUP(Mecze[[#This Row],[Match ID]],Meczusie[Mecz]:Meczusie[RodzajMeczu],2,FALSE)</f>
        <v>Liga</v>
      </c>
    </row>
    <row r="3537" spans="1:37" x14ac:dyDescent="0.25">
      <c r="A3537" s="76">
        <v>16</v>
      </c>
      <c r="B3537" s="3" t="s">
        <v>309</v>
      </c>
      <c r="C3537" s="2" t="s">
        <v>160</v>
      </c>
      <c r="D3537" s="1">
        <v>0</v>
      </c>
      <c r="E3537" s="1">
        <v>0</v>
      </c>
      <c r="F3537" s="1">
        <v>0</v>
      </c>
      <c r="G3537" s="1">
        <v>8</v>
      </c>
      <c r="H3537" s="4">
        <v>0.38</v>
      </c>
      <c r="I3537" s="1">
        <v>10</v>
      </c>
      <c r="J3537" s="4">
        <v>0.8</v>
      </c>
      <c r="K3537" s="1">
        <v>0</v>
      </c>
      <c r="L3537" s="1">
        <v>2</v>
      </c>
      <c r="M3537" s="32">
        <f>IF(Mecze[[#This Row],[PR]]=0,0,Mecze[[#This Row],[PR]]/Mecze[[#This Row],[CZAS]])</f>
        <v>2.0618556701030927E-2</v>
      </c>
      <c r="N3537" s="32">
        <f>IF(Mecze[[#This Row],[OU]]=0,0,Mecze[[#This Row],[OU]]/Mecze[[#This Row],[CZAS]])</f>
        <v>8.247422680412371E-2</v>
      </c>
      <c r="O3537" s="32">
        <f>IF(Mecze[[#This Row],[PC]]=0,0,Mecze[[#This Row],[PC]]/Mecze[[#This Row],[CZAS]])</f>
        <v>3.0927835051546393E-2</v>
      </c>
      <c r="P3537" s="32">
        <f>IF(Mecze[[#This Row],[SC]]=0,0,Mecze[[#This Row],[SC]]/Mecze[[#This Row],[CZAS]])</f>
        <v>0</v>
      </c>
      <c r="Q3537" s="32">
        <f>IF(Mecze[[#This Row],[OB]]=0,0,Mecze[[#This Row],[OB]]/Mecze[[#This Row],[CZAS]])</f>
        <v>0</v>
      </c>
      <c r="R3537" s="32">
        <f>IF(Mecze[[#This Row],[BR]]=0,0,Mecze[[#This Row],[BR]]/Mecze[[#This Row],[CZAS]])</f>
        <v>0</v>
      </c>
      <c r="S3537" s="44">
        <f>IF(Mecze[[#This Row],[Role]]="BR",SUMPRODUCT(Mecze[[#This Row],[/PR:90]:[/BR:90]],Brudnopis!$E$23:$J$23),0)</f>
        <v>0</v>
      </c>
      <c r="T3537" s="44">
        <f>IF(Mecze[[#This Row],[Role]]&lt;&gt;"BR",SUMPRODUCT(Mecze[[#This Row],[/PR:90]:[/BR:90]],Brudnopis!$E$24:$J$24),0)</f>
        <v>0.1752577319587629</v>
      </c>
      <c r="U3537" s="44">
        <f>IF(Mecze[[#This Row],[Role]]&lt;&gt;"BR",SUMPRODUCT(Mecze[[#This Row],[/PR:90]:[/BR:90]],Brudnopis!$E$25:$J$25),0)</f>
        <v>0.14948453608247422</v>
      </c>
      <c r="V3537" s="44">
        <f>IF(Mecze[[#This Row],[Role]]&lt;&gt;"BR",SUMPRODUCT(Mecze[[#This Row],[/PR:90]:[/BR:90]],Brudnopis!$E$26:$J$26),0)</f>
        <v>0.13402061855670103</v>
      </c>
      <c r="W3537" s="44">
        <f>IF(Mecze[[#This Row],[Role]]&lt;&gt;"BR",SUMPRODUCT(Mecze[[#This Row],[/PR:90]:[/BR:90]],Brudnopis!$E$27:$J$27),0)</f>
        <v>0.12371134020618557</v>
      </c>
      <c r="X3537" s="44">
        <f>IF(Mecze[[#This Row],[Role]]&lt;&gt;"BR",SUMPRODUCT(Mecze[[#This Row],[/PR:90]:[/BR:90]],Brudnopis!$E$28:$J$28),0)</f>
        <v>3.0927835051546393E-2</v>
      </c>
      <c r="Y3537" s="35">
        <f>IF(Mecze[[#This Row],[Role]]="BR",Mecze[[#This Row],[/OB:90]]+Mecze[[#This Row],[/PC:90]],SUM(Mecze[[#This Row],[/PR:90]:[/BR:90]]))</f>
        <v>0.13402061855670103</v>
      </c>
      <c r="Z3537" s="35">
        <f>IF(Mecze[[#This Row],[KC]]=0,SUM(Mecze[[#This Row],[/BRI]:[/NPI]]),SUM(Mecze[[#This Row],[/BRI]:[/NPI]])*0.6)</f>
        <v>0.61340206185567014</v>
      </c>
      <c r="AA3537" s="10">
        <f>IFERROR(Mecze[[#This Row],[BR]]/Mecze[[#This Row],[ST]],0)</f>
        <v>0</v>
      </c>
      <c r="AB3537">
        <f>ROUND(Mecze[[#This Row],[PD]]*Mecze[[#This Row],[%PC]],0)</f>
        <v>3</v>
      </c>
      <c r="AC3537">
        <f>ROUND(Mecze[[#This Row],[OD]]*Mecze[[#This Row],[%OU]],0)</f>
        <v>8</v>
      </c>
      <c r="AD3537" s="36" t="s">
        <v>172</v>
      </c>
      <c r="AE3537" s="36">
        <v>198</v>
      </c>
      <c r="AF3537" s="71">
        <v>6.24</v>
      </c>
      <c r="AG3537" s="37">
        <v>0</v>
      </c>
      <c r="AH3537" s="37">
        <v>0</v>
      </c>
      <c r="AI3537" s="37">
        <v>97</v>
      </c>
      <c r="AJ3537" s="37">
        <v>8</v>
      </c>
      <c r="AK3537" s="37" t="str">
        <f>VLOOKUP(Mecze[[#This Row],[Match ID]],Meczusie[Mecz]:Meczusie[RodzajMeczu],2,FALSE)</f>
        <v>Liga</v>
      </c>
    </row>
    <row r="3538" spans="1:37" x14ac:dyDescent="0.25">
      <c r="A3538" s="76">
        <v>7</v>
      </c>
      <c r="B3538" s="3" t="s">
        <v>311</v>
      </c>
      <c r="C3538" s="2" t="s">
        <v>160</v>
      </c>
      <c r="D3538" s="1">
        <v>0</v>
      </c>
      <c r="E3538" s="1">
        <v>0</v>
      </c>
      <c r="F3538" s="1">
        <v>0</v>
      </c>
      <c r="G3538" s="1">
        <v>3</v>
      </c>
      <c r="H3538" s="4">
        <v>0.33</v>
      </c>
      <c r="I3538" s="1">
        <v>3</v>
      </c>
      <c r="J3538" s="4">
        <v>0.33</v>
      </c>
      <c r="K3538" s="1">
        <v>0</v>
      </c>
      <c r="L3538" s="1">
        <v>1</v>
      </c>
      <c r="M3538" s="32">
        <f>IF(Mecze[[#This Row],[PR]]=0,0,Mecze[[#This Row],[PR]]/Mecze[[#This Row],[CZAS]])</f>
        <v>1.5625E-2</v>
      </c>
      <c r="N3538" s="32">
        <f>IF(Mecze[[#This Row],[OU]]=0,0,Mecze[[#This Row],[OU]]/Mecze[[#This Row],[CZAS]])</f>
        <v>1.5625E-2</v>
      </c>
      <c r="O3538" s="32">
        <f>IF(Mecze[[#This Row],[PC]]=0,0,Mecze[[#This Row],[PC]]/Mecze[[#This Row],[CZAS]])</f>
        <v>1.5625E-2</v>
      </c>
      <c r="P3538" s="32">
        <f>IF(Mecze[[#This Row],[SC]]=0,0,Mecze[[#This Row],[SC]]/Mecze[[#This Row],[CZAS]])</f>
        <v>0</v>
      </c>
      <c r="Q3538" s="32">
        <f>IF(Mecze[[#This Row],[OB]]=0,0,Mecze[[#This Row],[OB]]/Mecze[[#This Row],[CZAS]])</f>
        <v>0</v>
      </c>
      <c r="R3538" s="32">
        <f>IF(Mecze[[#This Row],[BR]]=0,0,Mecze[[#This Row],[BR]]/Mecze[[#This Row],[CZAS]])</f>
        <v>0</v>
      </c>
      <c r="S3538" s="44">
        <f>IF(Mecze[[#This Row],[Role]]="BR",SUMPRODUCT(Mecze[[#This Row],[/PR:90]:[/BR:90]],Brudnopis!$E$23:$J$23),0)</f>
        <v>0</v>
      </c>
      <c r="T3538" s="44">
        <f>IF(Mecze[[#This Row],[Role]]&lt;&gt;"BR",SUMPRODUCT(Mecze[[#This Row],[/PR:90]:[/BR:90]],Brudnopis!$E$24:$J$24),0)</f>
        <v>5.46875E-2</v>
      </c>
      <c r="U3538" s="44">
        <f>IF(Mecze[[#This Row],[Role]]&lt;&gt;"BR",SUMPRODUCT(Mecze[[#This Row],[/PR:90]:[/BR:90]],Brudnopis!$E$25:$J$25),0)</f>
        <v>5.46875E-2</v>
      </c>
      <c r="V3538" s="44">
        <f>IF(Mecze[[#This Row],[Role]]&lt;&gt;"BR",SUMPRODUCT(Mecze[[#This Row],[/PR:90]:[/BR:90]],Brudnopis!$E$26:$J$26),0)</f>
        <v>4.6875E-2</v>
      </c>
      <c r="W3538" s="44">
        <f>IF(Mecze[[#This Row],[Role]]&lt;&gt;"BR",SUMPRODUCT(Mecze[[#This Row],[/PR:90]:[/BR:90]],Brudnopis!$E$27:$J$27),0)</f>
        <v>4.6875E-2</v>
      </c>
      <c r="X3538" s="44">
        <f>IF(Mecze[[#This Row],[Role]]&lt;&gt;"BR",SUMPRODUCT(Mecze[[#This Row],[/PR:90]:[/BR:90]],Brudnopis!$E$28:$J$28),0)</f>
        <v>1.5625E-2</v>
      </c>
      <c r="Y3538" s="35">
        <f>IF(Mecze[[#This Row],[Role]]="BR",Mecze[[#This Row],[/OB:90]]+Mecze[[#This Row],[/PC:90]],SUM(Mecze[[#This Row],[/PR:90]:[/BR:90]]))</f>
        <v>4.6875E-2</v>
      </c>
      <c r="Z3538" s="35">
        <f>IF(Mecze[[#This Row],[KC]]=0,SUM(Mecze[[#This Row],[/BRI]:[/NPI]]),SUM(Mecze[[#This Row],[/BRI]:[/NPI]])*0.6)</f>
        <v>0.21875</v>
      </c>
      <c r="AA3538" s="10">
        <f>IFERROR(Mecze[[#This Row],[BR]]/Mecze[[#This Row],[ST]],0)</f>
        <v>0</v>
      </c>
      <c r="AB3538">
        <f>ROUND(Mecze[[#This Row],[PD]]*Mecze[[#This Row],[%PC]],0)</f>
        <v>1</v>
      </c>
      <c r="AC3538">
        <f>ROUND(Mecze[[#This Row],[OD]]*Mecze[[#This Row],[%OU]],0)</f>
        <v>1</v>
      </c>
      <c r="AD3538" s="36" t="s">
        <v>173</v>
      </c>
      <c r="AE3538" s="36">
        <v>198</v>
      </c>
      <c r="AF3538" s="71">
        <v>6.03</v>
      </c>
      <c r="AG3538" s="37">
        <v>0</v>
      </c>
      <c r="AH3538" s="37">
        <v>0</v>
      </c>
      <c r="AI3538" s="37">
        <v>64</v>
      </c>
      <c r="AJ3538" s="37">
        <v>8</v>
      </c>
      <c r="AK3538" s="37" t="str">
        <f>VLOOKUP(Mecze[[#This Row],[Match ID]],Meczusie[Mecz]:Meczusie[RodzajMeczu],2,FALSE)</f>
        <v>Liga</v>
      </c>
    </row>
    <row r="3539" spans="1:37" x14ac:dyDescent="0.25">
      <c r="A3539" s="76">
        <v>6</v>
      </c>
      <c r="B3539" s="3" t="s">
        <v>308</v>
      </c>
      <c r="C3539" s="2" t="s">
        <v>160</v>
      </c>
      <c r="D3539" s="1">
        <v>0</v>
      </c>
      <c r="E3539" s="1">
        <v>0</v>
      </c>
      <c r="F3539" s="1">
        <v>0</v>
      </c>
      <c r="G3539" s="1">
        <v>9</v>
      </c>
      <c r="H3539" s="4">
        <v>0.89</v>
      </c>
      <c r="I3539" s="1">
        <v>5</v>
      </c>
      <c r="J3539" s="4">
        <v>0.6</v>
      </c>
      <c r="K3539" s="1">
        <v>0</v>
      </c>
      <c r="L3539" s="1">
        <v>8</v>
      </c>
      <c r="M3539" s="32">
        <f>IF(Mecze[[#This Row],[PR]]=0,0,Mecze[[#This Row],[PR]]/Mecze[[#This Row],[CZAS]])</f>
        <v>8.247422680412371E-2</v>
      </c>
      <c r="N3539" s="32">
        <f>IF(Mecze[[#This Row],[OU]]=0,0,Mecze[[#This Row],[OU]]/Mecze[[#This Row],[CZAS]])</f>
        <v>3.0927835051546393E-2</v>
      </c>
      <c r="O3539" s="32">
        <f>IF(Mecze[[#This Row],[PC]]=0,0,Mecze[[#This Row],[PC]]/Mecze[[#This Row],[CZAS]])</f>
        <v>8.247422680412371E-2</v>
      </c>
      <c r="P3539" s="32">
        <f>IF(Mecze[[#This Row],[SC]]=0,0,Mecze[[#This Row],[SC]]/Mecze[[#This Row],[CZAS]])</f>
        <v>0</v>
      </c>
      <c r="Q3539" s="32">
        <f>IF(Mecze[[#This Row],[OB]]=0,0,Mecze[[#This Row],[OB]]/Mecze[[#This Row],[CZAS]])</f>
        <v>0</v>
      </c>
      <c r="R3539" s="32">
        <f>IF(Mecze[[#This Row],[BR]]=0,0,Mecze[[#This Row],[BR]]/Mecze[[#This Row],[CZAS]])</f>
        <v>0</v>
      </c>
      <c r="S3539" s="44">
        <f>IF(Mecze[[#This Row],[Role]]="BR",SUMPRODUCT(Mecze[[#This Row],[/PR:90]:[/BR:90]],Brudnopis!$E$23:$J$23),0)</f>
        <v>0</v>
      </c>
      <c r="T3539" s="44">
        <f>IF(Mecze[[#This Row],[Role]]&lt;&gt;"BR",SUMPRODUCT(Mecze[[#This Row],[/PR:90]:[/BR:90]],Brudnopis!$E$24:$J$24),0)</f>
        <v>0.21134020618556698</v>
      </c>
      <c r="U3539" s="44">
        <f>IF(Mecze[[#This Row],[Role]]&lt;&gt;"BR",SUMPRODUCT(Mecze[[#This Row],[/PR:90]:[/BR:90]],Brudnopis!$E$25:$J$25),0)</f>
        <v>0.23711340206185566</v>
      </c>
      <c r="V3539" s="44">
        <f>IF(Mecze[[#This Row],[Role]]&lt;&gt;"BR",SUMPRODUCT(Mecze[[#This Row],[/PR:90]:[/BR:90]],Brudnopis!$E$26:$J$26),0)</f>
        <v>0.19587628865979381</v>
      </c>
      <c r="W3539" s="44">
        <f>IF(Mecze[[#This Row],[Role]]&lt;&gt;"BR",SUMPRODUCT(Mecze[[#This Row],[/PR:90]:[/BR:90]],Brudnopis!$E$27:$J$27),0)</f>
        <v>0.20876288659793815</v>
      </c>
      <c r="X3539" s="44">
        <f>IF(Mecze[[#This Row],[Role]]&lt;&gt;"BR",SUMPRODUCT(Mecze[[#This Row],[/PR:90]:[/BR:90]],Brudnopis!$E$28:$J$28),0)</f>
        <v>8.247422680412371E-2</v>
      </c>
      <c r="Y3539" s="35">
        <f>IF(Mecze[[#This Row],[Role]]="BR",Mecze[[#This Row],[/OB:90]]+Mecze[[#This Row],[/PC:90]],SUM(Mecze[[#This Row],[/PR:90]:[/BR:90]]))</f>
        <v>0.19587628865979381</v>
      </c>
      <c r="Z3539" s="35">
        <f>IF(Mecze[[#This Row],[KC]]=0,SUM(Mecze[[#This Row],[/BRI]:[/NPI]]),SUM(Mecze[[#This Row],[/BRI]:[/NPI]])*0.6)</f>
        <v>0.93556701030927836</v>
      </c>
      <c r="AA3539" s="10">
        <f>IFERROR(Mecze[[#This Row],[BR]]/Mecze[[#This Row],[ST]],0)</f>
        <v>0</v>
      </c>
      <c r="AB3539">
        <f>ROUND(Mecze[[#This Row],[PD]]*Mecze[[#This Row],[%PC]],0)</f>
        <v>8</v>
      </c>
      <c r="AC3539">
        <f>ROUND(Mecze[[#This Row],[OD]]*Mecze[[#This Row],[%OU]],0)</f>
        <v>3</v>
      </c>
      <c r="AD3539" s="36" t="s">
        <v>41</v>
      </c>
      <c r="AE3539" s="36">
        <v>198</v>
      </c>
      <c r="AF3539" s="71">
        <v>9.6199999999999992</v>
      </c>
      <c r="AG3539" s="37">
        <v>0</v>
      </c>
      <c r="AH3539" s="37">
        <v>0</v>
      </c>
      <c r="AI3539" s="37">
        <v>97</v>
      </c>
      <c r="AJ3539" s="37">
        <v>8</v>
      </c>
      <c r="AK3539" s="37" t="str">
        <f>VLOOKUP(Mecze[[#This Row],[Match ID]],Meczusie[Mecz]:Meczusie[RodzajMeczu],2,FALSE)</f>
        <v>Liga</v>
      </c>
    </row>
    <row r="3540" spans="1:37" x14ac:dyDescent="0.25">
      <c r="A3540" s="76">
        <v>14</v>
      </c>
      <c r="B3540" s="3" t="s">
        <v>312</v>
      </c>
      <c r="C3540" s="2" t="s">
        <v>160</v>
      </c>
      <c r="D3540" s="1">
        <v>0</v>
      </c>
      <c r="E3540" s="1">
        <v>1</v>
      </c>
      <c r="F3540" s="1">
        <v>1</v>
      </c>
      <c r="G3540" s="1">
        <v>12</v>
      </c>
      <c r="H3540" s="4">
        <v>0.83</v>
      </c>
      <c r="I3540" s="1">
        <v>9</v>
      </c>
      <c r="J3540" s="4">
        <v>0.33</v>
      </c>
      <c r="K3540" s="1">
        <v>0</v>
      </c>
      <c r="L3540" s="1">
        <v>2</v>
      </c>
      <c r="M3540" s="32">
        <f>IF(Mecze[[#This Row],[PR]]=0,0,Mecze[[#This Row],[PR]]/Mecze[[#This Row],[CZAS]])</f>
        <v>2.0618556701030927E-2</v>
      </c>
      <c r="N3540" s="32">
        <f>IF(Mecze[[#This Row],[OU]]=0,0,Mecze[[#This Row],[OU]]/Mecze[[#This Row],[CZAS]])</f>
        <v>3.0927835051546393E-2</v>
      </c>
      <c r="O3540" s="32">
        <f>IF(Mecze[[#This Row],[PC]]=0,0,Mecze[[#This Row],[PC]]/Mecze[[#This Row],[CZAS]])</f>
        <v>0.10309278350515463</v>
      </c>
      <c r="P3540" s="32">
        <f>IF(Mecze[[#This Row],[SC]]=0,0,Mecze[[#This Row],[SC]]/Mecze[[#This Row],[CZAS]])</f>
        <v>1.0309278350515464E-2</v>
      </c>
      <c r="Q3540" s="32">
        <f>IF(Mecze[[#This Row],[OB]]=0,0,Mecze[[#This Row],[OB]]/Mecze[[#This Row],[CZAS]])</f>
        <v>0</v>
      </c>
      <c r="R3540" s="32">
        <f>IF(Mecze[[#This Row],[BR]]=0,0,Mecze[[#This Row],[BR]]/Mecze[[#This Row],[CZAS]])</f>
        <v>0</v>
      </c>
      <c r="S3540" s="44">
        <f>IF(Mecze[[#This Row],[Role]]="BR",SUMPRODUCT(Mecze[[#This Row],[/PR:90]:[/BR:90]],Brudnopis!$E$23:$J$23),0)</f>
        <v>0</v>
      </c>
      <c r="T3540" s="44">
        <f>IF(Mecze[[#This Row],[Role]]&lt;&gt;"BR",SUMPRODUCT(Mecze[[#This Row],[/PR:90]:[/BR:90]],Brudnopis!$E$24:$J$24),0)</f>
        <v>0.18041237113402062</v>
      </c>
      <c r="U3540" s="44">
        <f>IF(Mecze[[#This Row],[Role]]&lt;&gt;"BR",SUMPRODUCT(Mecze[[#This Row],[/PR:90]:[/BR:90]],Brudnopis!$E$25:$J$25),0)</f>
        <v>0.21649484536082472</v>
      </c>
      <c r="V3540" s="44">
        <f>IF(Mecze[[#This Row],[Role]]&lt;&gt;"BR",SUMPRODUCT(Mecze[[#This Row],[/PR:90]:[/BR:90]],Brudnopis!$E$26:$J$26),0)</f>
        <v>0.16494845360824742</v>
      </c>
      <c r="W3540" s="44">
        <f>IF(Mecze[[#This Row],[Role]]&lt;&gt;"BR",SUMPRODUCT(Mecze[[#This Row],[/PR:90]:[/BR:90]],Brudnopis!$E$27:$J$27),0)</f>
        <v>0.20360824742268041</v>
      </c>
      <c r="X3540" s="44">
        <f>IF(Mecze[[#This Row],[Role]]&lt;&gt;"BR",SUMPRODUCT(Mecze[[#This Row],[/PR:90]:[/BR:90]],Brudnopis!$E$28:$J$28),0)</f>
        <v>0.12371134020618556</v>
      </c>
      <c r="Y3540" s="35">
        <f>IF(Mecze[[#This Row],[Role]]="BR",Mecze[[#This Row],[/OB:90]]+Mecze[[#This Row],[/PC:90]],SUM(Mecze[[#This Row],[/PR:90]:[/BR:90]]))</f>
        <v>0.16494845360824742</v>
      </c>
      <c r="Z3540" s="35">
        <f>IF(Mecze[[#This Row],[KC]]=0,SUM(Mecze[[#This Row],[/BRI]:[/NPI]]),SUM(Mecze[[#This Row],[/BRI]:[/NPI]])*0.6)</f>
        <v>0.88917525773195871</v>
      </c>
      <c r="AA3540" s="10">
        <f>IFERROR(Mecze[[#This Row],[BR]]/Mecze[[#This Row],[ST]],0)</f>
        <v>0</v>
      </c>
      <c r="AB3540">
        <f>ROUND(Mecze[[#This Row],[PD]]*Mecze[[#This Row],[%PC]],0)</f>
        <v>10</v>
      </c>
      <c r="AC3540">
        <f>ROUND(Mecze[[#This Row],[OD]]*Mecze[[#This Row],[%OU]],0)</f>
        <v>3</v>
      </c>
      <c r="AD3540" s="36" t="s">
        <v>44</v>
      </c>
      <c r="AE3540" s="36">
        <v>198</v>
      </c>
      <c r="AF3540" s="71">
        <v>8.59</v>
      </c>
      <c r="AG3540" s="37">
        <v>0</v>
      </c>
      <c r="AH3540" s="37">
        <v>0</v>
      </c>
      <c r="AI3540" s="37">
        <v>97</v>
      </c>
      <c r="AJ3540" s="37">
        <v>8</v>
      </c>
      <c r="AK3540" s="37" t="str">
        <f>VLOOKUP(Mecze[[#This Row],[Match ID]],Meczusie[Mecz]:Meczusie[RodzajMeczu],2,FALSE)</f>
        <v>Liga</v>
      </c>
    </row>
    <row r="3541" spans="1:37" x14ac:dyDescent="0.25">
      <c r="A3541" s="76">
        <v>13</v>
      </c>
      <c r="B3541" s="3" t="s">
        <v>313</v>
      </c>
      <c r="C3541" s="2" t="s">
        <v>165</v>
      </c>
      <c r="D3541" s="1">
        <v>0</v>
      </c>
      <c r="E3541" s="1">
        <v>1</v>
      </c>
      <c r="F3541" s="1">
        <v>1</v>
      </c>
      <c r="G3541" s="1">
        <v>4</v>
      </c>
      <c r="H3541" s="4">
        <v>0.5</v>
      </c>
      <c r="I3541" s="1">
        <v>1</v>
      </c>
      <c r="J3541" s="4">
        <v>0</v>
      </c>
      <c r="K3541" s="1">
        <v>0</v>
      </c>
      <c r="L3541" s="1">
        <v>0</v>
      </c>
      <c r="M3541" s="32">
        <f>IF(Mecze[[#This Row],[PR]]=0,0,Mecze[[#This Row],[PR]]/Mecze[[#This Row],[CZAS]])</f>
        <v>0</v>
      </c>
      <c r="N3541" s="32">
        <f>IF(Mecze[[#This Row],[OU]]=0,0,Mecze[[#This Row],[OU]]/Mecze[[#This Row],[CZAS]])</f>
        <v>0</v>
      </c>
      <c r="O3541" s="32">
        <f>IF(Mecze[[#This Row],[PC]]=0,0,Mecze[[#This Row],[PC]]/Mecze[[#This Row],[CZAS]])</f>
        <v>2.5974025974025976E-2</v>
      </c>
      <c r="P3541" s="32">
        <f>IF(Mecze[[#This Row],[SC]]=0,0,Mecze[[#This Row],[SC]]/Mecze[[#This Row],[CZAS]])</f>
        <v>1.2987012987012988E-2</v>
      </c>
      <c r="Q3541" s="32">
        <f>IF(Mecze[[#This Row],[OB]]=0,0,Mecze[[#This Row],[OB]]/Mecze[[#This Row],[CZAS]])</f>
        <v>0</v>
      </c>
      <c r="R3541" s="32">
        <f>IF(Mecze[[#This Row],[BR]]=0,0,Mecze[[#This Row],[BR]]/Mecze[[#This Row],[CZAS]])</f>
        <v>0</v>
      </c>
      <c r="S3541" s="44">
        <f>IF(Mecze[[#This Row],[Role]]="BR",SUMPRODUCT(Mecze[[#This Row],[/PR:90]:[/BR:90]],Brudnopis!$E$23:$J$23),0)</f>
        <v>0</v>
      </c>
      <c r="T3541" s="44">
        <f>IF(Mecze[[#This Row],[Role]]&lt;&gt;"BR",SUMPRODUCT(Mecze[[#This Row],[/PR:90]:[/BR:90]],Brudnopis!$E$24:$J$24),0)</f>
        <v>3.896103896103896E-2</v>
      </c>
      <c r="U3541" s="44">
        <f>IF(Mecze[[#This Row],[Role]]&lt;&gt;"BR",SUMPRODUCT(Mecze[[#This Row],[/PR:90]:[/BR:90]],Brudnopis!$E$25:$J$25),0)</f>
        <v>5.1948051948051951E-2</v>
      </c>
      <c r="V3541" s="44">
        <f>IF(Mecze[[#This Row],[Role]]&lt;&gt;"BR",SUMPRODUCT(Mecze[[#This Row],[/PR:90]:[/BR:90]],Brudnopis!$E$26:$J$26),0)</f>
        <v>3.896103896103896E-2</v>
      </c>
      <c r="W3541" s="44">
        <f>IF(Mecze[[#This Row],[Role]]&lt;&gt;"BR",SUMPRODUCT(Mecze[[#This Row],[/PR:90]:[/BR:90]],Brudnopis!$E$27:$J$27),0)</f>
        <v>5.1948051948051951E-2</v>
      </c>
      <c r="X3541" s="44">
        <f>IF(Mecze[[#This Row],[Role]]&lt;&gt;"BR",SUMPRODUCT(Mecze[[#This Row],[/PR:90]:[/BR:90]],Brudnopis!$E$28:$J$28),0)</f>
        <v>5.1948051948051951E-2</v>
      </c>
      <c r="Y3541" s="35">
        <f>IF(Mecze[[#This Row],[Role]]="BR",Mecze[[#This Row],[/OB:90]]+Mecze[[#This Row],[/PC:90]],SUM(Mecze[[#This Row],[/PR:90]:[/BR:90]]))</f>
        <v>3.896103896103896E-2</v>
      </c>
      <c r="Z3541" s="35">
        <f>IF(Mecze[[#This Row],[KC]]=0,SUM(Mecze[[#This Row],[/BRI]:[/NPI]]),SUM(Mecze[[#This Row],[/BRI]:[/NPI]])*0.6)</f>
        <v>0.23376623376623379</v>
      </c>
      <c r="AA3541" s="10">
        <f>IFERROR(Mecze[[#This Row],[BR]]/Mecze[[#This Row],[ST]],0)</f>
        <v>0</v>
      </c>
      <c r="AB3541">
        <f>ROUND(Mecze[[#This Row],[PD]]*Mecze[[#This Row],[%PC]],0)</f>
        <v>2</v>
      </c>
      <c r="AC3541">
        <f>ROUND(Mecze[[#This Row],[OD]]*Mecze[[#This Row],[%OU]],0)</f>
        <v>0</v>
      </c>
      <c r="AD3541" s="36" t="s">
        <v>273</v>
      </c>
      <c r="AE3541" s="36">
        <v>198</v>
      </c>
      <c r="AF3541" s="71">
        <v>2.93</v>
      </c>
      <c r="AG3541" s="37">
        <v>0</v>
      </c>
      <c r="AH3541" s="37">
        <v>0</v>
      </c>
      <c r="AI3541" s="37">
        <v>77</v>
      </c>
      <c r="AJ3541" s="37">
        <v>8</v>
      </c>
      <c r="AK3541" s="37" t="str">
        <f>VLOOKUP(Mecze[[#This Row],[Match ID]],Meczusie[Mecz]:Meczusie[RodzajMeczu],2,FALSE)</f>
        <v>Liga</v>
      </c>
    </row>
    <row r="3542" spans="1:37" x14ac:dyDescent="0.25">
      <c r="A3542" s="76">
        <v>74</v>
      </c>
      <c r="B3542" s="3" t="s">
        <v>442</v>
      </c>
      <c r="C3542" s="2" t="s">
        <v>165</v>
      </c>
      <c r="D3542" s="1">
        <v>0</v>
      </c>
      <c r="E3542" s="1">
        <v>1</v>
      </c>
      <c r="F3542" s="1">
        <v>0</v>
      </c>
      <c r="G3542" s="1">
        <v>9</v>
      </c>
      <c r="H3542" s="4">
        <v>0.33</v>
      </c>
      <c r="I3542" s="1">
        <v>0</v>
      </c>
      <c r="J3542" s="4"/>
      <c r="K3542" s="1">
        <v>0</v>
      </c>
      <c r="L3542" s="1">
        <v>0</v>
      </c>
      <c r="M3542" s="32">
        <f>IF(Mecze[[#This Row],[PR]]=0,0,Mecze[[#This Row],[PR]]/Mecze[[#This Row],[CZAS]])</f>
        <v>0</v>
      </c>
      <c r="N3542" s="32">
        <f>IF(Mecze[[#This Row],[OU]]=0,0,Mecze[[#This Row],[OU]]/Mecze[[#This Row],[CZAS]])</f>
        <v>0</v>
      </c>
      <c r="O3542" s="32">
        <f>IF(Mecze[[#This Row],[PC]]=0,0,Mecze[[#This Row],[PC]]/Mecze[[#This Row],[CZAS]])</f>
        <v>3.0927835051546393E-2</v>
      </c>
      <c r="P3542" s="32">
        <f>IF(Mecze[[#This Row],[SC]]=0,0,Mecze[[#This Row],[SC]]/Mecze[[#This Row],[CZAS]])</f>
        <v>0</v>
      </c>
      <c r="Q3542" s="32">
        <f>IF(Mecze[[#This Row],[OB]]=0,0,Mecze[[#This Row],[OB]]/Mecze[[#This Row],[CZAS]])</f>
        <v>0</v>
      </c>
      <c r="R3542" s="32">
        <f>IF(Mecze[[#This Row],[BR]]=0,0,Mecze[[#This Row],[BR]]/Mecze[[#This Row],[CZAS]])</f>
        <v>0</v>
      </c>
      <c r="S3542" s="44">
        <f>IF(Mecze[[#This Row],[Role]]="BR",SUMPRODUCT(Mecze[[#This Row],[/PR:90]:[/BR:90]],Brudnopis!$E$23:$J$23),0)</f>
        <v>0</v>
      </c>
      <c r="T3542" s="44">
        <f>IF(Mecze[[#This Row],[Role]]&lt;&gt;"BR",SUMPRODUCT(Mecze[[#This Row],[/PR:90]:[/BR:90]],Brudnopis!$E$24:$J$24),0)</f>
        <v>3.0927835051546393E-2</v>
      </c>
      <c r="U3542" s="44">
        <f>IF(Mecze[[#This Row],[Role]]&lt;&gt;"BR",SUMPRODUCT(Mecze[[#This Row],[/PR:90]:[/BR:90]],Brudnopis!$E$25:$J$25),0)</f>
        <v>4.6391752577319589E-2</v>
      </c>
      <c r="V3542" s="44">
        <f>IF(Mecze[[#This Row],[Role]]&lt;&gt;"BR",SUMPRODUCT(Mecze[[#This Row],[/PR:90]:[/BR:90]],Brudnopis!$E$26:$J$26),0)</f>
        <v>3.0927835051546393E-2</v>
      </c>
      <c r="W3542" s="44">
        <f>IF(Mecze[[#This Row],[Role]]&lt;&gt;"BR",SUMPRODUCT(Mecze[[#This Row],[/PR:90]:[/BR:90]],Brudnopis!$E$27:$J$27),0)</f>
        <v>4.6391752577319589E-2</v>
      </c>
      <c r="X3542" s="44">
        <f>IF(Mecze[[#This Row],[Role]]&lt;&gt;"BR",SUMPRODUCT(Mecze[[#This Row],[/PR:90]:[/BR:90]],Brudnopis!$E$28:$J$28),0)</f>
        <v>3.0927835051546393E-2</v>
      </c>
      <c r="Y3542" s="35">
        <f>IF(Mecze[[#This Row],[Role]]="BR",Mecze[[#This Row],[/OB:90]]+Mecze[[#This Row],[/PC:90]],SUM(Mecze[[#This Row],[/PR:90]:[/BR:90]]))</f>
        <v>3.0927835051546393E-2</v>
      </c>
      <c r="Z3542" s="35">
        <f>IF(Mecze[[#This Row],[KC]]=0,SUM(Mecze[[#This Row],[/BRI]:[/NPI]]),SUM(Mecze[[#This Row],[/BRI]:[/NPI]])*0.6)</f>
        <v>0.18556701030927836</v>
      </c>
      <c r="AA3542" s="10">
        <f>IFERROR(Mecze[[#This Row],[BR]]/Mecze[[#This Row],[ST]],0)</f>
        <v>0</v>
      </c>
      <c r="AB3542">
        <f>ROUND(Mecze[[#This Row],[PD]]*Mecze[[#This Row],[%PC]],0)</f>
        <v>3</v>
      </c>
      <c r="AC3542">
        <f>ROUND(Mecze[[#This Row],[OD]]*Mecze[[#This Row],[%OU]],0)</f>
        <v>0</v>
      </c>
      <c r="AD3542" s="36" t="s">
        <v>272</v>
      </c>
      <c r="AE3542" s="36">
        <v>198</v>
      </c>
      <c r="AF3542" s="71">
        <v>2.71</v>
      </c>
      <c r="AG3542" s="37">
        <v>0</v>
      </c>
      <c r="AH3542" s="37">
        <v>0</v>
      </c>
      <c r="AI3542" s="37">
        <v>97</v>
      </c>
      <c r="AJ3542" s="37">
        <v>8</v>
      </c>
      <c r="AK3542" s="37" t="str">
        <f>VLOOKUP(Mecze[[#This Row],[Match ID]],Meczusie[Mecz]:Meczusie[RodzajMeczu],2,FALSE)</f>
        <v>Liga</v>
      </c>
    </row>
    <row r="3543" spans="1:37" x14ac:dyDescent="0.25">
      <c r="A3543" s="76">
        <v>8</v>
      </c>
      <c r="B3543" s="3" t="s">
        <v>314</v>
      </c>
      <c r="C3543" s="2" t="s">
        <v>165</v>
      </c>
      <c r="D3543" s="1">
        <v>0</v>
      </c>
      <c r="E3543" s="1">
        <v>3</v>
      </c>
      <c r="F3543" s="1">
        <v>3</v>
      </c>
      <c r="G3543" s="1">
        <v>8</v>
      </c>
      <c r="H3543" s="4">
        <v>0.5</v>
      </c>
      <c r="I3543" s="1">
        <v>4</v>
      </c>
      <c r="J3543" s="4">
        <v>0.25</v>
      </c>
      <c r="K3543" s="1">
        <v>0</v>
      </c>
      <c r="L3543" s="1">
        <v>0</v>
      </c>
      <c r="M3543" s="32">
        <f>IF(Mecze[[#This Row],[PR]]=0,0,Mecze[[#This Row],[PR]]/Mecze[[#This Row],[CZAS]])</f>
        <v>0</v>
      </c>
      <c r="N3543" s="32">
        <f>IF(Mecze[[#This Row],[OU]]=0,0,Mecze[[#This Row],[OU]]/Mecze[[#This Row],[CZAS]])</f>
        <v>1.0309278350515464E-2</v>
      </c>
      <c r="O3543" s="32">
        <f>IF(Mecze[[#This Row],[PC]]=0,0,Mecze[[#This Row],[PC]]/Mecze[[#This Row],[CZAS]])</f>
        <v>4.1237113402061855E-2</v>
      </c>
      <c r="P3543" s="32">
        <f>IF(Mecze[[#This Row],[SC]]=0,0,Mecze[[#This Row],[SC]]/Mecze[[#This Row],[CZAS]])</f>
        <v>3.0927835051546393E-2</v>
      </c>
      <c r="Q3543" s="32">
        <f>IF(Mecze[[#This Row],[OB]]=0,0,Mecze[[#This Row],[OB]]/Mecze[[#This Row],[CZAS]])</f>
        <v>0</v>
      </c>
      <c r="R3543" s="32">
        <f>IF(Mecze[[#This Row],[BR]]=0,0,Mecze[[#This Row],[BR]]/Mecze[[#This Row],[CZAS]])</f>
        <v>0</v>
      </c>
      <c r="S3543" s="44">
        <f>IF(Mecze[[#This Row],[Role]]="BR",SUMPRODUCT(Mecze[[#This Row],[/PR:90]:[/BR:90]],Brudnopis!$E$23:$J$23),0)</f>
        <v>0</v>
      </c>
      <c r="T3543" s="44">
        <f>IF(Mecze[[#This Row],[Role]]&lt;&gt;"BR",SUMPRODUCT(Mecze[[#This Row],[/PR:90]:[/BR:90]],Brudnopis!$E$24:$J$24),0)</f>
        <v>8.7628865979381437E-2</v>
      </c>
      <c r="U3543" s="44">
        <f>IF(Mecze[[#This Row],[Role]]&lt;&gt;"BR",SUMPRODUCT(Mecze[[#This Row],[/PR:90]:[/BR:90]],Brudnopis!$E$25:$J$25),0)</f>
        <v>0.10309278350515465</v>
      </c>
      <c r="V3543" s="44">
        <f>IF(Mecze[[#This Row],[Role]]&lt;&gt;"BR",SUMPRODUCT(Mecze[[#This Row],[/PR:90]:[/BR:90]],Brudnopis!$E$26:$J$26),0)</f>
        <v>8.247422680412371E-2</v>
      </c>
      <c r="W3543" s="44">
        <f>IF(Mecze[[#This Row],[Role]]&lt;&gt;"BR",SUMPRODUCT(Mecze[[#This Row],[/PR:90]:[/BR:90]],Brudnopis!$E$27:$J$27),0)</f>
        <v>0.10051546391752578</v>
      </c>
      <c r="X3543" s="44">
        <f>IF(Mecze[[#This Row],[Role]]&lt;&gt;"BR",SUMPRODUCT(Mecze[[#This Row],[/PR:90]:[/BR:90]],Brudnopis!$E$28:$J$28),0)</f>
        <v>0.10309278350515463</v>
      </c>
      <c r="Y3543" s="35">
        <f>IF(Mecze[[#This Row],[Role]]="BR",Mecze[[#This Row],[/OB:90]]+Mecze[[#This Row],[/PC:90]],SUM(Mecze[[#This Row],[/PR:90]:[/BR:90]]))</f>
        <v>8.247422680412371E-2</v>
      </c>
      <c r="Z3543" s="35">
        <f>IF(Mecze[[#This Row],[KC]]=0,SUM(Mecze[[#This Row],[/BRI]:[/NPI]]),SUM(Mecze[[#This Row],[/BRI]:[/NPI]])*0.6)</f>
        <v>0.47680412371134018</v>
      </c>
      <c r="AA3543" s="10">
        <f>IFERROR(Mecze[[#This Row],[BR]]/Mecze[[#This Row],[ST]],0)</f>
        <v>0</v>
      </c>
      <c r="AB3543">
        <f>ROUND(Mecze[[#This Row],[PD]]*Mecze[[#This Row],[%PC]],0)</f>
        <v>4</v>
      </c>
      <c r="AC3543">
        <f>ROUND(Mecze[[#This Row],[OD]]*Mecze[[#This Row],[%OU]],0)</f>
        <v>1</v>
      </c>
      <c r="AD3543" s="36" t="s">
        <v>46</v>
      </c>
      <c r="AE3543" s="36">
        <v>198</v>
      </c>
      <c r="AF3543" s="71">
        <v>4.7</v>
      </c>
      <c r="AG3543" s="37">
        <v>0</v>
      </c>
      <c r="AH3543" s="37">
        <v>0</v>
      </c>
      <c r="AI3543" s="37">
        <v>97</v>
      </c>
      <c r="AJ3543" s="37">
        <v>8</v>
      </c>
      <c r="AK3543" s="37" t="str">
        <f>VLOOKUP(Mecze[[#This Row],[Match ID]],Meczusie[Mecz]:Meczusie[RodzajMeczu],2,FALSE)</f>
        <v>Liga</v>
      </c>
    </row>
    <row r="3544" spans="1:37" x14ac:dyDescent="0.25">
      <c r="A3544" s="76">
        <v>68</v>
      </c>
      <c r="B3544" s="3" t="s">
        <v>416</v>
      </c>
      <c r="C3544" s="2" t="s">
        <v>165</v>
      </c>
      <c r="D3544" s="1">
        <v>0</v>
      </c>
      <c r="E3544" s="1">
        <v>3</v>
      </c>
      <c r="F3544" s="1">
        <v>2</v>
      </c>
      <c r="G3544" s="1">
        <v>3</v>
      </c>
      <c r="H3544" s="4">
        <v>0</v>
      </c>
      <c r="I3544" s="1">
        <v>1</v>
      </c>
      <c r="J3544" s="4">
        <v>0</v>
      </c>
      <c r="K3544" s="1">
        <v>0</v>
      </c>
      <c r="L3544" s="1">
        <v>0</v>
      </c>
      <c r="M3544" s="32">
        <f>IF(Mecze[[#This Row],[PR]]=0,0,Mecze[[#This Row],[PR]]/Mecze[[#This Row],[CZAS]])</f>
        <v>0</v>
      </c>
      <c r="N3544" s="32">
        <f>IF(Mecze[[#This Row],[OU]]=0,0,Mecze[[#This Row],[OU]]/Mecze[[#This Row],[CZAS]])</f>
        <v>0</v>
      </c>
      <c r="O3544" s="32">
        <f>IF(Mecze[[#This Row],[PC]]=0,0,Mecze[[#This Row],[PC]]/Mecze[[#This Row],[CZAS]])</f>
        <v>0</v>
      </c>
      <c r="P3544" s="32">
        <f>IF(Mecze[[#This Row],[SC]]=0,0,Mecze[[#This Row],[SC]]/Mecze[[#This Row],[CZAS]])</f>
        <v>0.1</v>
      </c>
      <c r="Q3544" s="32">
        <f>IF(Mecze[[#This Row],[OB]]=0,0,Mecze[[#This Row],[OB]]/Mecze[[#This Row],[CZAS]])</f>
        <v>0</v>
      </c>
      <c r="R3544" s="32">
        <f>IF(Mecze[[#This Row],[BR]]=0,0,Mecze[[#This Row],[BR]]/Mecze[[#This Row],[CZAS]])</f>
        <v>0</v>
      </c>
      <c r="S3544" s="44">
        <f>IF(Mecze[[#This Row],[Role]]="BR",SUMPRODUCT(Mecze[[#This Row],[/PR:90]:[/BR:90]],Brudnopis!$E$23:$J$23),0)</f>
        <v>0</v>
      </c>
      <c r="T3544" s="44">
        <f>IF(Mecze[[#This Row],[Role]]&lt;&gt;"BR",SUMPRODUCT(Mecze[[#This Row],[/PR:90]:[/BR:90]],Brudnopis!$E$24:$J$24),0)</f>
        <v>0.1</v>
      </c>
      <c r="U3544" s="44">
        <f>IF(Mecze[[#This Row],[Role]]&lt;&gt;"BR",SUMPRODUCT(Mecze[[#This Row],[/PR:90]:[/BR:90]],Brudnopis!$E$25:$J$25),0)</f>
        <v>0.1</v>
      </c>
      <c r="V3544" s="44">
        <f>IF(Mecze[[#This Row],[Role]]&lt;&gt;"BR",SUMPRODUCT(Mecze[[#This Row],[/PR:90]:[/BR:90]],Brudnopis!$E$26:$J$26),0)</f>
        <v>0.1</v>
      </c>
      <c r="W3544" s="44">
        <f>IF(Mecze[[#This Row],[Role]]&lt;&gt;"BR",SUMPRODUCT(Mecze[[#This Row],[/PR:90]:[/BR:90]],Brudnopis!$E$27:$J$27),0)</f>
        <v>0.1</v>
      </c>
      <c r="X3544" s="44">
        <f>IF(Mecze[[#This Row],[Role]]&lt;&gt;"BR",SUMPRODUCT(Mecze[[#This Row],[/PR:90]:[/BR:90]],Brudnopis!$E$28:$J$28),0)</f>
        <v>0.2</v>
      </c>
      <c r="Y3544" s="35">
        <f>IF(Mecze[[#This Row],[Role]]="BR",Mecze[[#This Row],[/OB:90]]+Mecze[[#This Row],[/PC:90]],SUM(Mecze[[#This Row],[/PR:90]:[/BR:90]]))</f>
        <v>0.1</v>
      </c>
      <c r="Z3544" s="35">
        <f>IF(Mecze[[#This Row],[KC]]=0,SUM(Mecze[[#This Row],[/BRI]:[/NPI]]),SUM(Mecze[[#This Row],[/BRI]:[/NPI]])*0.6)</f>
        <v>0.60000000000000009</v>
      </c>
      <c r="AA3544" s="10">
        <f>IFERROR(Mecze[[#This Row],[BR]]/Mecze[[#This Row],[ST]],0)</f>
        <v>0</v>
      </c>
      <c r="AB3544">
        <f>ROUND(Mecze[[#This Row],[PD]]*Mecze[[#This Row],[%PC]],0)</f>
        <v>0</v>
      </c>
      <c r="AC3544">
        <f>ROUND(Mecze[[#This Row],[OD]]*Mecze[[#This Row],[%OU]],0)</f>
        <v>0</v>
      </c>
      <c r="AD3544" s="36" t="s">
        <v>273</v>
      </c>
      <c r="AE3544" s="36">
        <v>198</v>
      </c>
      <c r="AF3544" s="71">
        <v>0.94</v>
      </c>
      <c r="AG3544" s="37">
        <v>0</v>
      </c>
      <c r="AH3544" s="37">
        <v>0</v>
      </c>
      <c r="AI3544" s="37">
        <v>20</v>
      </c>
      <c r="AJ3544" s="37">
        <v>8</v>
      </c>
      <c r="AK3544" s="37" t="str">
        <f>VLOOKUP(Mecze[[#This Row],[Match ID]],Meczusie[Mecz]:Meczusie[RodzajMeczu],2,FALSE)</f>
        <v>Liga</v>
      </c>
    </row>
    <row r="3545" spans="1:37" x14ac:dyDescent="0.25">
      <c r="A3545" s="76">
        <v>71</v>
      </c>
      <c r="B3545" s="3" t="s">
        <v>429</v>
      </c>
      <c r="C3545" s="2" t="s">
        <v>157</v>
      </c>
      <c r="D3545" s="1">
        <v>0</v>
      </c>
      <c r="E3545" s="1">
        <v>0</v>
      </c>
      <c r="F3545" s="1">
        <v>0</v>
      </c>
      <c r="G3545" s="1">
        <v>2</v>
      </c>
      <c r="H3545" s="4">
        <v>0.5</v>
      </c>
      <c r="I3545" s="1">
        <v>3</v>
      </c>
      <c r="J3545" s="4">
        <v>0.33</v>
      </c>
      <c r="K3545" s="1">
        <v>0</v>
      </c>
      <c r="L3545" s="1">
        <v>1</v>
      </c>
      <c r="M3545" s="32">
        <f>IF(Mecze[[#This Row],[PR]]=0,0,Mecze[[#This Row],[PR]]/Mecze[[#This Row],[CZAS]])</f>
        <v>4.1666666666666664E-2</v>
      </c>
      <c r="N3545" s="32">
        <f>IF(Mecze[[#This Row],[OU]]=0,0,Mecze[[#This Row],[OU]]/Mecze[[#This Row],[CZAS]])</f>
        <v>4.1666666666666664E-2</v>
      </c>
      <c r="O3545" s="32">
        <f>IF(Mecze[[#This Row],[PC]]=0,0,Mecze[[#This Row],[PC]]/Mecze[[#This Row],[CZAS]])</f>
        <v>4.1666666666666664E-2</v>
      </c>
      <c r="P3545" s="32">
        <f>IF(Mecze[[#This Row],[SC]]=0,0,Mecze[[#This Row],[SC]]/Mecze[[#This Row],[CZAS]])</f>
        <v>0</v>
      </c>
      <c r="Q3545" s="32">
        <f>IF(Mecze[[#This Row],[OB]]=0,0,Mecze[[#This Row],[OB]]/Mecze[[#This Row],[CZAS]])</f>
        <v>0</v>
      </c>
      <c r="R3545" s="32">
        <f>IF(Mecze[[#This Row],[BR]]=0,0,Mecze[[#This Row],[BR]]/Mecze[[#This Row],[CZAS]])</f>
        <v>0</v>
      </c>
      <c r="S3545" s="44">
        <f>IF(Mecze[[#This Row],[Role]]="BR",SUMPRODUCT(Mecze[[#This Row],[/PR:90]:[/BR:90]],Brudnopis!$E$23:$J$23),0)</f>
        <v>0</v>
      </c>
      <c r="T3545" s="44">
        <f>IF(Mecze[[#This Row],[Role]]&lt;&gt;"BR",SUMPRODUCT(Mecze[[#This Row],[/PR:90]:[/BR:90]],Brudnopis!$E$24:$J$24),0)</f>
        <v>0.14583333333333331</v>
      </c>
      <c r="U3545" s="44">
        <f>IF(Mecze[[#This Row],[Role]]&lt;&gt;"BR",SUMPRODUCT(Mecze[[#This Row],[/PR:90]:[/BR:90]],Brudnopis!$E$25:$J$25),0)</f>
        <v>0.14583333333333331</v>
      </c>
      <c r="V3545" s="44">
        <f>IF(Mecze[[#This Row],[Role]]&lt;&gt;"BR",SUMPRODUCT(Mecze[[#This Row],[/PR:90]:[/BR:90]],Brudnopis!$E$26:$J$26),0)</f>
        <v>0.125</v>
      </c>
      <c r="W3545" s="44">
        <f>IF(Mecze[[#This Row],[Role]]&lt;&gt;"BR",SUMPRODUCT(Mecze[[#This Row],[/PR:90]:[/BR:90]],Brudnopis!$E$27:$J$27),0)</f>
        <v>0.125</v>
      </c>
      <c r="X3545" s="44">
        <f>IF(Mecze[[#This Row],[Role]]&lt;&gt;"BR",SUMPRODUCT(Mecze[[#This Row],[/PR:90]:[/BR:90]],Brudnopis!$E$28:$J$28),0)</f>
        <v>4.1666666666666664E-2</v>
      </c>
      <c r="Y3545" s="35">
        <f>IF(Mecze[[#This Row],[Role]]="BR",Mecze[[#This Row],[/OB:90]]+Mecze[[#This Row],[/PC:90]],SUM(Mecze[[#This Row],[/PR:90]:[/BR:90]]))</f>
        <v>0.125</v>
      </c>
      <c r="Z3545" s="35">
        <f>IF(Mecze[[#This Row],[KC]]=0,SUM(Mecze[[#This Row],[/BRI]:[/NPI]]),SUM(Mecze[[#This Row],[/BRI]:[/NPI]])*0.6)</f>
        <v>0.58333333333333326</v>
      </c>
      <c r="AA3545" s="10">
        <f>IFERROR(Mecze[[#This Row],[BR]]/Mecze[[#This Row],[ST]],0)</f>
        <v>0</v>
      </c>
      <c r="AB3545">
        <f>ROUND(Mecze[[#This Row],[PD]]*Mecze[[#This Row],[%PC]],0)</f>
        <v>1</v>
      </c>
      <c r="AC3545">
        <f>ROUND(Mecze[[#This Row],[OD]]*Mecze[[#This Row],[%OU]],0)</f>
        <v>1</v>
      </c>
      <c r="AD3545" s="36" t="s">
        <v>168</v>
      </c>
      <c r="AE3545" s="36">
        <v>198</v>
      </c>
      <c r="AF3545" s="71">
        <v>3.83</v>
      </c>
      <c r="AG3545" s="37">
        <v>0</v>
      </c>
      <c r="AH3545" s="37">
        <v>0</v>
      </c>
      <c r="AI3545" s="37">
        <v>24</v>
      </c>
      <c r="AJ3545" s="37">
        <v>8</v>
      </c>
      <c r="AK3545" s="37" t="str">
        <f>VLOOKUP(Mecze[[#This Row],[Match ID]],Meczusie[Mecz]:Meczusie[RodzajMeczu],2,FALSE)</f>
        <v>Liga</v>
      </c>
    </row>
    <row r="3546" spans="1:37" x14ac:dyDescent="0.25">
      <c r="A3546" s="76">
        <v>15</v>
      </c>
      <c r="B3546" s="3" t="s">
        <v>310</v>
      </c>
      <c r="C3546" s="2" t="s">
        <v>160</v>
      </c>
      <c r="D3546" s="1">
        <v>0</v>
      </c>
      <c r="E3546" s="1">
        <v>0</v>
      </c>
      <c r="F3546" s="1">
        <v>0</v>
      </c>
      <c r="G3546" s="1">
        <v>3</v>
      </c>
      <c r="H3546" s="4">
        <v>0.33</v>
      </c>
      <c r="I3546" s="1">
        <v>1</v>
      </c>
      <c r="J3546" s="4">
        <v>1</v>
      </c>
      <c r="K3546" s="1">
        <v>0</v>
      </c>
      <c r="L3546" s="1">
        <v>0</v>
      </c>
      <c r="M3546" s="32">
        <f>IF(Mecze[[#This Row],[PR]]=0,0,Mecze[[#This Row],[PR]]/Mecze[[#This Row],[CZAS]])</f>
        <v>0</v>
      </c>
      <c r="N3546" s="32">
        <f>IF(Mecze[[#This Row],[OU]]=0,0,Mecze[[#This Row],[OU]]/Mecze[[#This Row],[CZAS]])</f>
        <v>3.0303030303030304E-2</v>
      </c>
      <c r="O3546" s="32">
        <f>IF(Mecze[[#This Row],[PC]]=0,0,Mecze[[#This Row],[PC]]/Mecze[[#This Row],[CZAS]])</f>
        <v>3.0303030303030304E-2</v>
      </c>
      <c r="P3546" s="32">
        <f>IF(Mecze[[#This Row],[SC]]=0,0,Mecze[[#This Row],[SC]]/Mecze[[#This Row],[CZAS]])</f>
        <v>0</v>
      </c>
      <c r="Q3546" s="32">
        <f>IF(Mecze[[#This Row],[OB]]=0,0,Mecze[[#This Row],[OB]]/Mecze[[#This Row],[CZAS]])</f>
        <v>0</v>
      </c>
      <c r="R3546" s="32">
        <f>IF(Mecze[[#This Row],[BR]]=0,0,Mecze[[#This Row],[BR]]/Mecze[[#This Row],[CZAS]])</f>
        <v>0</v>
      </c>
      <c r="S3546" s="44">
        <f>IF(Mecze[[#This Row],[Role]]="BR",SUMPRODUCT(Mecze[[#This Row],[/PR:90]:[/BR:90]],Brudnopis!$E$23:$J$23),0)</f>
        <v>0</v>
      </c>
      <c r="T3546" s="44">
        <f>IF(Mecze[[#This Row],[Role]]&lt;&gt;"BR",SUMPRODUCT(Mecze[[#This Row],[/PR:90]:[/BR:90]],Brudnopis!$E$24:$J$24),0)</f>
        <v>7.575757575757576E-2</v>
      </c>
      <c r="U3546" s="44">
        <f>IF(Mecze[[#This Row],[Role]]&lt;&gt;"BR",SUMPRODUCT(Mecze[[#This Row],[/PR:90]:[/BR:90]],Brudnopis!$E$25:$J$25),0)</f>
        <v>7.575757575757576E-2</v>
      </c>
      <c r="V3546" s="44">
        <f>IF(Mecze[[#This Row],[Role]]&lt;&gt;"BR",SUMPRODUCT(Mecze[[#This Row],[/PR:90]:[/BR:90]],Brudnopis!$E$26:$J$26),0)</f>
        <v>6.0606060606060608E-2</v>
      </c>
      <c r="W3546" s="44">
        <f>IF(Mecze[[#This Row],[Role]]&lt;&gt;"BR",SUMPRODUCT(Mecze[[#This Row],[/PR:90]:[/BR:90]],Brudnopis!$E$27:$J$27),0)</f>
        <v>6.8181818181818177E-2</v>
      </c>
      <c r="X3546" s="44">
        <f>IF(Mecze[[#This Row],[Role]]&lt;&gt;"BR",SUMPRODUCT(Mecze[[#This Row],[/PR:90]:[/BR:90]],Brudnopis!$E$28:$J$28),0)</f>
        <v>3.0303030303030304E-2</v>
      </c>
      <c r="Y3546" s="35">
        <f>IF(Mecze[[#This Row],[Role]]="BR",Mecze[[#This Row],[/OB:90]]+Mecze[[#This Row],[/PC:90]],SUM(Mecze[[#This Row],[/PR:90]:[/BR:90]]))</f>
        <v>6.0606060606060608E-2</v>
      </c>
      <c r="Z3546" s="35">
        <f>IF(Mecze[[#This Row],[KC]]=0,SUM(Mecze[[#This Row],[/BRI]:[/NPI]]),SUM(Mecze[[#This Row],[/BRI]:[/NPI]])*0.6)</f>
        <v>0.31060606060606055</v>
      </c>
      <c r="AA3546" s="10">
        <f>IFERROR(Mecze[[#This Row],[BR]]/Mecze[[#This Row],[ST]],0)</f>
        <v>0</v>
      </c>
      <c r="AB3546">
        <f>ROUND(Mecze[[#This Row],[PD]]*Mecze[[#This Row],[%PC]],0)</f>
        <v>1</v>
      </c>
      <c r="AC3546">
        <f>ROUND(Mecze[[#This Row],[OD]]*Mecze[[#This Row],[%OU]],0)</f>
        <v>1</v>
      </c>
      <c r="AD3546" s="36" t="s">
        <v>173</v>
      </c>
      <c r="AE3546" s="36">
        <v>198</v>
      </c>
      <c r="AF3546" s="71">
        <v>3.62</v>
      </c>
      <c r="AG3546" s="37">
        <v>0</v>
      </c>
      <c r="AH3546" s="37">
        <v>0</v>
      </c>
      <c r="AI3546" s="37">
        <v>33</v>
      </c>
      <c r="AJ3546" s="37">
        <v>8</v>
      </c>
      <c r="AK3546" s="37" t="str">
        <f>VLOOKUP(Mecze[[#This Row],[Match ID]],Meczusie[Mecz]:Meczusie[RodzajMeczu],2,FALSE)</f>
        <v>Liga</v>
      </c>
    </row>
    <row r="3547" spans="1:37" x14ac:dyDescent="0.25">
      <c r="A3547" s="76">
        <v>1</v>
      </c>
      <c r="B3547" s="3" t="s">
        <v>344</v>
      </c>
      <c r="C3547" s="2" t="s">
        <v>155</v>
      </c>
      <c r="D3547" s="1">
        <v>0</v>
      </c>
      <c r="E3547" s="1">
        <v>0</v>
      </c>
      <c r="F3547" s="1">
        <v>0</v>
      </c>
      <c r="G3547" s="1">
        <v>5</v>
      </c>
      <c r="H3547" s="4">
        <v>0.6</v>
      </c>
      <c r="I3547" s="1">
        <v>0</v>
      </c>
      <c r="J3547" s="4"/>
      <c r="K3547" s="1">
        <v>4</v>
      </c>
      <c r="L3547" s="1">
        <v>0</v>
      </c>
      <c r="M3547" s="32">
        <f>IF(Mecze[[#This Row],[PR]]=0,0,Mecze[[#This Row],[PR]]/Mecze[[#This Row],[CZAS]])</f>
        <v>0</v>
      </c>
      <c r="N3547" s="32">
        <f>IF(Mecze[[#This Row],[OU]]=0,0,Mecze[[#This Row],[OU]]/Mecze[[#This Row],[CZAS]])</f>
        <v>0</v>
      </c>
      <c r="O3547" s="32">
        <f>IF(Mecze[[#This Row],[PC]]=0,0,Mecze[[#This Row],[PC]]/Mecze[[#This Row],[CZAS]])</f>
        <v>3.1578947368421054E-2</v>
      </c>
      <c r="P3547" s="32">
        <f>IF(Mecze[[#This Row],[SC]]=0,0,Mecze[[#This Row],[SC]]/Mecze[[#This Row],[CZAS]])</f>
        <v>0</v>
      </c>
      <c r="Q3547" s="32">
        <f>IF(Mecze[[#This Row],[OB]]=0,0,Mecze[[#This Row],[OB]]/Mecze[[#This Row],[CZAS]])</f>
        <v>4.2105263157894736E-2</v>
      </c>
      <c r="R3547" s="32">
        <f>IF(Mecze[[#This Row],[BR]]=0,0,Mecze[[#This Row],[BR]]/Mecze[[#This Row],[CZAS]])</f>
        <v>0</v>
      </c>
      <c r="S3547" s="44">
        <f>IF(Mecze[[#This Row],[Role]]="BR",SUMPRODUCT(Mecze[[#This Row],[/PR:90]:[/BR:90]],Brudnopis!$E$23:$J$23),0)</f>
        <v>0.22105263157894739</v>
      </c>
      <c r="T3547" s="44">
        <f>IF(Mecze[[#This Row],[Role]]&lt;&gt;"BR",SUMPRODUCT(Mecze[[#This Row],[/PR:90]:[/BR:90]],Brudnopis!$E$24:$J$24),0)</f>
        <v>0</v>
      </c>
      <c r="U3547" s="44">
        <f>IF(Mecze[[#This Row],[Role]]&lt;&gt;"BR",SUMPRODUCT(Mecze[[#This Row],[/PR:90]:[/BR:90]],Brudnopis!$E$25:$J$25),0)</f>
        <v>0</v>
      </c>
      <c r="V3547" s="44">
        <f>IF(Mecze[[#This Row],[Role]]&lt;&gt;"BR",SUMPRODUCT(Mecze[[#This Row],[/PR:90]:[/BR:90]],Brudnopis!$E$26:$J$26),0)</f>
        <v>0</v>
      </c>
      <c r="W3547" s="44">
        <f>IF(Mecze[[#This Row],[Role]]&lt;&gt;"BR",SUMPRODUCT(Mecze[[#This Row],[/PR:90]:[/BR:90]],Brudnopis!$E$27:$J$27),0)</f>
        <v>0</v>
      </c>
      <c r="X3547" s="44">
        <f>IF(Mecze[[#This Row],[Role]]&lt;&gt;"BR",SUMPRODUCT(Mecze[[#This Row],[/PR:90]:[/BR:90]],Brudnopis!$E$28:$J$28),0)</f>
        <v>0</v>
      </c>
      <c r="Y3547" s="35">
        <f>IF(Mecze[[#This Row],[Role]]="BR",Mecze[[#This Row],[/OB:90]]+Mecze[[#This Row],[/PC:90]],SUM(Mecze[[#This Row],[/PR:90]:[/BR:90]]))</f>
        <v>7.3684210526315796E-2</v>
      </c>
      <c r="Z3547" s="35">
        <f>IF(Mecze[[#This Row],[KC]]=0,SUM(Mecze[[#This Row],[/BRI]:[/NPI]]),SUM(Mecze[[#This Row],[/BRI]:[/NPI]])*0.6)</f>
        <v>0.22105263157894739</v>
      </c>
      <c r="AA3547" s="10">
        <f>IFERROR(Mecze[[#This Row],[BR]]/Mecze[[#This Row],[ST]],0)</f>
        <v>0</v>
      </c>
      <c r="AB3547">
        <f>ROUND(Mecze[[#This Row],[PD]]*Mecze[[#This Row],[%PC]],0)</f>
        <v>3</v>
      </c>
      <c r="AC3547">
        <f>ROUND(Mecze[[#This Row],[OD]]*Mecze[[#This Row],[%OU]],0)</f>
        <v>0</v>
      </c>
      <c r="AD3547" s="36" t="s">
        <v>40</v>
      </c>
      <c r="AE3547" s="36">
        <v>199</v>
      </c>
      <c r="AF3547" s="71">
        <v>3.2</v>
      </c>
      <c r="AG3547" s="37">
        <v>0</v>
      </c>
      <c r="AH3547" s="37">
        <v>0</v>
      </c>
      <c r="AI3547" s="37">
        <v>95</v>
      </c>
      <c r="AJ3547" s="37">
        <v>5</v>
      </c>
      <c r="AK3547" s="37" t="str">
        <f>VLOOKUP(Mecze[[#This Row],[Match ID]],Meczusie[Mecz]:Meczusie[RodzajMeczu],2,FALSE)</f>
        <v>Liga</v>
      </c>
    </row>
    <row r="3548" spans="1:37" x14ac:dyDescent="0.25">
      <c r="A3548" s="76">
        <v>2</v>
      </c>
      <c r="B3548" s="3" t="s">
        <v>345</v>
      </c>
      <c r="C3548" s="2" t="s">
        <v>157</v>
      </c>
      <c r="D3548" s="1">
        <v>0</v>
      </c>
      <c r="E3548" s="1">
        <v>0</v>
      </c>
      <c r="F3548" s="1">
        <v>0</v>
      </c>
      <c r="G3548" s="1">
        <v>12</v>
      </c>
      <c r="H3548" s="4">
        <v>0.57999999999999996</v>
      </c>
      <c r="I3548" s="1">
        <v>5</v>
      </c>
      <c r="J3548" s="4">
        <v>0.4</v>
      </c>
      <c r="K3548" s="1">
        <v>0</v>
      </c>
      <c r="L3548" s="1">
        <v>8</v>
      </c>
      <c r="M3548" s="32">
        <f>IF(Mecze[[#This Row],[PR]]=0,0,Mecze[[#This Row],[PR]]/Mecze[[#This Row],[CZAS]])</f>
        <v>8.4210526315789472E-2</v>
      </c>
      <c r="N3548" s="32">
        <f>IF(Mecze[[#This Row],[OU]]=0,0,Mecze[[#This Row],[OU]]/Mecze[[#This Row],[CZAS]])</f>
        <v>2.1052631578947368E-2</v>
      </c>
      <c r="O3548" s="32">
        <f>IF(Mecze[[#This Row],[PC]]=0,0,Mecze[[#This Row],[PC]]/Mecze[[#This Row],[CZAS]])</f>
        <v>7.3684210526315783E-2</v>
      </c>
      <c r="P3548" s="32">
        <f>IF(Mecze[[#This Row],[SC]]=0,0,Mecze[[#This Row],[SC]]/Mecze[[#This Row],[CZAS]])</f>
        <v>0</v>
      </c>
      <c r="Q3548" s="32">
        <f>IF(Mecze[[#This Row],[OB]]=0,0,Mecze[[#This Row],[OB]]/Mecze[[#This Row],[CZAS]])</f>
        <v>0</v>
      </c>
      <c r="R3548" s="32">
        <f>IF(Mecze[[#This Row],[BR]]=0,0,Mecze[[#This Row],[BR]]/Mecze[[#This Row],[CZAS]])</f>
        <v>0</v>
      </c>
      <c r="S3548" s="44">
        <f>IF(Mecze[[#This Row],[Role]]="BR",SUMPRODUCT(Mecze[[#This Row],[/PR:90]:[/BR:90]],Brudnopis!$E$23:$J$23),0)</f>
        <v>0</v>
      </c>
      <c r="T3548" s="44">
        <f>IF(Mecze[[#This Row],[Role]]&lt;&gt;"BR",SUMPRODUCT(Mecze[[#This Row],[/PR:90]:[/BR:90]],Brudnopis!$E$24:$J$24),0)</f>
        <v>0.18947368421052629</v>
      </c>
      <c r="U3548" s="44">
        <f>IF(Mecze[[#This Row],[Role]]&lt;&gt;"BR",SUMPRODUCT(Mecze[[#This Row],[/PR:90]:[/BR:90]],Brudnopis!$E$25:$J$25),0)</f>
        <v>0.2157894736842105</v>
      </c>
      <c r="V3548" s="44">
        <f>IF(Mecze[[#This Row],[Role]]&lt;&gt;"BR",SUMPRODUCT(Mecze[[#This Row],[/PR:90]:[/BR:90]],Brudnopis!$E$26:$J$26),0)</f>
        <v>0.17894736842105263</v>
      </c>
      <c r="W3548" s="44">
        <f>IF(Mecze[[#This Row],[Role]]&lt;&gt;"BR",SUMPRODUCT(Mecze[[#This Row],[/PR:90]:[/BR:90]],Brudnopis!$E$27:$J$27),0)</f>
        <v>0.18947368421052629</v>
      </c>
      <c r="X3548" s="44">
        <f>IF(Mecze[[#This Row],[Role]]&lt;&gt;"BR",SUMPRODUCT(Mecze[[#This Row],[/PR:90]:[/BR:90]],Brudnopis!$E$28:$J$28),0)</f>
        <v>7.3684210526315783E-2</v>
      </c>
      <c r="Y3548" s="35">
        <f>IF(Mecze[[#This Row],[Role]]="BR",Mecze[[#This Row],[/OB:90]]+Mecze[[#This Row],[/PC:90]],SUM(Mecze[[#This Row],[/PR:90]:[/BR:90]]))</f>
        <v>0.17894736842105263</v>
      </c>
      <c r="Z3548" s="35">
        <f>IF(Mecze[[#This Row],[KC]]=0,SUM(Mecze[[#This Row],[/BRI]:[/NPI]]),SUM(Mecze[[#This Row],[/BRI]:[/NPI]])*0.6)</f>
        <v>0.84736842105263155</v>
      </c>
      <c r="AA3548" s="10">
        <f>IFERROR(Mecze[[#This Row],[BR]]/Mecze[[#This Row],[ST]],0)</f>
        <v>0</v>
      </c>
      <c r="AB3548">
        <f>ROUND(Mecze[[#This Row],[PD]]*Mecze[[#This Row],[%PC]],0)</f>
        <v>7</v>
      </c>
      <c r="AC3548">
        <f>ROUND(Mecze[[#This Row],[OD]]*Mecze[[#This Row],[%OU]],0)</f>
        <v>2</v>
      </c>
      <c r="AD3548" s="36" t="s">
        <v>47</v>
      </c>
      <c r="AE3548" s="36">
        <v>199</v>
      </c>
      <c r="AF3548" s="71">
        <v>2.2599999999999998</v>
      </c>
      <c r="AG3548" s="37">
        <v>0</v>
      </c>
      <c r="AH3548" s="37">
        <v>0</v>
      </c>
      <c r="AI3548" s="37">
        <v>95</v>
      </c>
      <c r="AJ3548" s="37">
        <v>5</v>
      </c>
      <c r="AK3548" s="37" t="str">
        <f>VLOOKUP(Mecze[[#This Row],[Match ID]],Meczusie[Mecz]:Meczusie[RodzajMeczu],2,FALSE)</f>
        <v>Liga</v>
      </c>
    </row>
    <row r="3549" spans="1:37" x14ac:dyDescent="0.25">
      <c r="A3549" s="76">
        <v>4</v>
      </c>
      <c r="B3549" s="3" t="s">
        <v>346</v>
      </c>
      <c r="C3549" s="2" t="s">
        <v>157</v>
      </c>
      <c r="D3549" s="1">
        <v>0</v>
      </c>
      <c r="E3549" s="1">
        <v>0</v>
      </c>
      <c r="F3549" s="1">
        <v>0</v>
      </c>
      <c r="G3549" s="1">
        <v>12</v>
      </c>
      <c r="H3549" s="4">
        <v>0.83</v>
      </c>
      <c r="I3549" s="1">
        <v>3</v>
      </c>
      <c r="J3549" s="4">
        <v>0.67</v>
      </c>
      <c r="K3549" s="1">
        <v>0</v>
      </c>
      <c r="L3549" s="1">
        <v>5</v>
      </c>
      <c r="M3549" s="32">
        <f>IF(Mecze[[#This Row],[PR]]=0,0,Mecze[[#This Row],[PR]]/Mecze[[#This Row],[CZAS]])</f>
        <v>5.2631578947368418E-2</v>
      </c>
      <c r="N3549" s="32">
        <f>IF(Mecze[[#This Row],[OU]]=0,0,Mecze[[#This Row],[OU]]/Mecze[[#This Row],[CZAS]])</f>
        <v>2.1052631578947368E-2</v>
      </c>
      <c r="O3549" s="32">
        <f>IF(Mecze[[#This Row],[PC]]=0,0,Mecze[[#This Row],[PC]]/Mecze[[#This Row],[CZAS]])</f>
        <v>0.10526315789473684</v>
      </c>
      <c r="P3549" s="32">
        <f>IF(Mecze[[#This Row],[SC]]=0,0,Mecze[[#This Row],[SC]]/Mecze[[#This Row],[CZAS]])</f>
        <v>0</v>
      </c>
      <c r="Q3549" s="32">
        <f>IF(Mecze[[#This Row],[OB]]=0,0,Mecze[[#This Row],[OB]]/Mecze[[#This Row],[CZAS]])</f>
        <v>0</v>
      </c>
      <c r="R3549" s="32">
        <f>IF(Mecze[[#This Row],[BR]]=0,0,Mecze[[#This Row],[BR]]/Mecze[[#This Row],[CZAS]])</f>
        <v>0</v>
      </c>
      <c r="S3549" s="44">
        <f>IF(Mecze[[#This Row],[Role]]="BR",SUMPRODUCT(Mecze[[#This Row],[/PR:90]:[/BR:90]],Brudnopis!$E$23:$J$23),0)</f>
        <v>0</v>
      </c>
      <c r="T3549" s="44">
        <f>IF(Mecze[[#This Row],[Role]]&lt;&gt;"BR",SUMPRODUCT(Mecze[[#This Row],[/PR:90]:[/BR:90]],Brudnopis!$E$24:$J$24),0)</f>
        <v>0.18947368421052629</v>
      </c>
      <c r="U3549" s="44">
        <f>IF(Mecze[[#This Row],[Role]]&lt;&gt;"BR",SUMPRODUCT(Mecze[[#This Row],[/PR:90]:[/BR:90]],Brudnopis!$E$25:$J$25),0)</f>
        <v>0.23157894736842105</v>
      </c>
      <c r="V3549" s="44">
        <f>IF(Mecze[[#This Row],[Role]]&lt;&gt;"BR",SUMPRODUCT(Mecze[[#This Row],[/PR:90]:[/BR:90]],Brudnopis!$E$26:$J$26),0)</f>
        <v>0.17894736842105263</v>
      </c>
      <c r="W3549" s="44">
        <f>IF(Mecze[[#This Row],[Role]]&lt;&gt;"BR",SUMPRODUCT(Mecze[[#This Row],[/PR:90]:[/BR:90]],Brudnopis!$E$27:$J$27),0)</f>
        <v>0.2131578947368421</v>
      </c>
      <c r="X3549" s="44">
        <f>IF(Mecze[[#This Row],[Role]]&lt;&gt;"BR",SUMPRODUCT(Mecze[[#This Row],[/PR:90]:[/BR:90]],Brudnopis!$E$28:$J$28),0)</f>
        <v>0.10526315789473684</v>
      </c>
      <c r="Y3549" s="35">
        <f>IF(Mecze[[#This Row],[Role]]="BR",Mecze[[#This Row],[/OB:90]]+Mecze[[#This Row],[/PC:90]],SUM(Mecze[[#This Row],[/PR:90]:[/BR:90]]))</f>
        <v>0.17894736842105263</v>
      </c>
      <c r="Z3549" s="35">
        <f>IF(Mecze[[#This Row],[KC]]=0,SUM(Mecze[[#This Row],[/BRI]:[/NPI]]),SUM(Mecze[[#This Row],[/BRI]:[/NPI]])*0.6)</f>
        <v>0.91842105263157892</v>
      </c>
      <c r="AA3549" s="10">
        <f>IFERROR(Mecze[[#This Row],[BR]]/Mecze[[#This Row],[ST]],0)</f>
        <v>0</v>
      </c>
      <c r="AB3549">
        <f>ROUND(Mecze[[#This Row],[PD]]*Mecze[[#This Row],[%PC]],0)</f>
        <v>10</v>
      </c>
      <c r="AC3549">
        <f>ROUND(Mecze[[#This Row],[OD]]*Mecze[[#This Row],[%OU]],0)</f>
        <v>2</v>
      </c>
      <c r="AD3549" s="36" t="s">
        <v>47</v>
      </c>
      <c r="AE3549" s="36">
        <v>199</v>
      </c>
      <c r="AF3549" s="71">
        <v>2.75</v>
      </c>
      <c r="AG3549" s="37">
        <v>0</v>
      </c>
      <c r="AH3549" s="37">
        <v>0</v>
      </c>
      <c r="AI3549" s="37">
        <v>95</v>
      </c>
      <c r="AJ3549" s="37">
        <v>5</v>
      </c>
      <c r="AK3549" s="37" t="str">
        <f>VLOOKUP(Mecze[[#This Row],[Match ID]],Meczusie[Mecz]:Meczusie[RodzajMeczu],2,FALSE)</f>
        <v>Liga</v>
      </c>
    </row>
    <row r="3550" spans="1:37" x14ac:dyDescent="0.25">
      <c r="A3550" s="76">
        <v>5</v>
      </c>
      <c r="B3550" s="3" t="s">
        <v>347</v>
      </c>
      <c r="C3550" s="2" t="s">
        <v>157</v>
      </c>
      <c r="D3550" s="1">
        <v>0</v>
      </c>
      <c r="E3550" s="1">
        <v>0</v>
      </c>
      <c r="F3550" s="1">
        <v>0</v>
      </c>
      <c r="G3550" s="1">
        <v>5</v>
      </c>
      <c r="H3550" s="4">
        <v>0.8</v>
      </c>
      <c r="I3550" s="1">
        <v>0</v>
      </c>
      <c r="J3550" s="4"/>
      <c r="K3550" s="1">
        <v>0</v>
      </c>
      <c r="L3550" s="1">
        <v>1</v>
      </c>
      <c r="M3550" s="32">
        <f>IF(Mecze[[#This Row],[PR]]=0,0,Mecze[[#This Row],[PR]]/Mecze[[#This Row],[CZAS]])</f>
        <v>1.0526315789473684E-2</v>
      </c>
      <c r="N3550" s="32">
        <f>IF(Mecze[[#This Row],[OU]]=0,0,Mecze[[#This Row],[OU]]/Mecze[[#This Row],[CZAS]])</f>
        <v>0</v>
      </c>
      <c r="O3550" s="32">
        <f>IF(Mecze[[#This Row],[PC]]=0,0,Mecze[[#This Row],[PC]]/Mecze[[#This Row],[CZAS]])</f>
        <v>4.2105263157894736E-2</v>
      </c>
      <c r="P3550" s="32">
        <f>IF(Mecze[[#This Row],[SC]]=0,0,Mecze[[#This Row],[SC]]/Mecze[[#This Row],[CZAS]])</f>
        <v>0</v>
      </c>
      <c r="Q3550" s="32">
        <f>IF(Mecze[[#This Row],[OB]]=0,0,Mecze[[#This Row],[OB]]/Mecze[[#This Row],[CZAS]])</f>
        <v>0</v>
      </c>
      <c r="R3550" s="32">
        <f>IF(Mecze[[#This Row],[BR]]=0,0,Mecze[[#This Row],[BR]]/Mecze[[#This Row],[CZAS]])</f>
        <v>0</v>
      </c>
      <c r="S3550" s="44">
        <f>IF(Mecze[[#This Row],[Role]]="BR",SUMPRODUCT(Mecze[[#This Row],[/PR:90]:[/BR:90]],Brudnopis!$E$23:$J$23),0)</f>
        <v>0</v>
      </c>
      <c r="T3550" s="44">
        <f>IF(Mecze[[#This Row],[Role]]&lt;&gt;"BR",SUMPRODUCT(Mecze[[#This Row],[/PR:90]:[/BR:90]],Brudnopis!$E$24:$J$24),0)</f>
        <v>5.2631578947368418E-2</v>
      </c>
      <c r="U3550" s="44">
        <f>IF(Mecze[[#This Row],[Role]]&lt;&gt;"BR",SUMPRODUCT(Mecze[[#This Row],[/PR:90]:[/BR:90]],Brudnopis!$E$25:$J$25),0)</f>
        <v>7.3684210526315796E-2</v>
      </c>
      <c r="V3550" s="44">
        <f>IF(Mecze[[#This Row],[Role]]&lt;&gt;"BR",SUMPRODUCT(Mecze[[#This Row],[/PR:90]:[/BR:90]],Brudnopis!$E$26:$J$26),0)</f>
        <v>5.2631578947368418E-2</v>
      </c>
      <c r="W3550" s="44">
        <f>IF(Mecze[[#This Row],[Role]]&lt;&gt;"BR",SUMPRODUCT(Mecze[[#This Row],[/PR:90]:[/BR:90]],Brudnopis!$E$27:$J$27),0)</f>
        <v>7.1052631578947367E-2</v>
      </c>
      <c r="X3550" s="44">
        <f>IF(Mecze[[#This Row],[Role]]&lt;&gt;"BR",SUMPRODUCT(Mecze[[#This Row],[/PR:90]:[/BR:90]],Brudnopis!$E$28:$J$28),0)</f>
        <v>4.2105263157894736E-2</v>
      </c>
      <c r="Y3550" s="35">
        <f>IF(Mecze[[#This Row],[Role]]="BR",Mecze[[#This Row],[/OB:90]]+Mecze[[#This Row],[/PC:90]],SUM(Mecze[[#This Row],[/PR:90]:[/BR:90]]))</f>
        <v>5.2631578947368418E-2</v>
      </c>
      <c r="Z3550" s="35">
        <f>IF(Mecze[[#This Row],[KC]]=0,SUM(Mecze[[#This Row],[/BRI]:[/NPI]]),SUM(Mecze[[#This Row],[/BRI]:[/NPI]])*0.6)</f>
        <v>0.29210526315789476</v>
      </c>
      <c r="AA3550" s="10">
        <f>IFERROR(Mecze[[#This Row],[BR]]/Mecze[[#This Row],[ST]],0)</f>
        <v>0</v>
      </c>
      <c r="AB3550">
        <f>ROUND(Mecze[[#This Row],[PD]]*Mecze[[#This Row],[%PC]],0)</f>
        <v>4</v>
      </c>
      <c r="AC3550">
        <f>ROUND(Mecze[[#This Row],[OD]]*Mecze[[#This Row],[%OU]],0)</f>
        <v>0</v>
      </c>
      <c r="AD3550" s="36" t="s">
        <v>175</v>
      </c>
      <c r="AE3550" s="36">
        <v>199</v>
      </c>
      <c r="AF3550" s="71">
        <v>0.79</v>
      </c>
      <c r="AG3550" s="37">
        <v>0</v>
      </c>
      <c r="AH3550" s="37">
        <v>0</v>
      </c>
      <c r="AI3550" s="37">
        <v>95</v>
      </c>
      <c r="AJ3550" s="37">
        <v>5</v>
      </c>
      <c r="AK3550" s="37" t="str">
        <f>VLOOKUP(Mecze[[#This Row],[Match ID]],Meczusie[Mecz]:Meczusie[RodzajMeczu],2,FALSE)</f>
        <v>Liga</v>
      </c>
    </row>
    <row r="3551" spans="1:37" x14ac:dyDescent="0.25">
      <c r="A3551" s="76">
        <v>3</v>
      </c>
      <c r="B3551" s="3" t="s">
        <v>348</v>
      </c>
      <c r="C3551" s="2" t="s">
        <v>157</v>
      </c>
      <c r="D3551" s="1">
        <v>0</v>
      </c>
      <c r="E3551" s="1">
        <v>0</v>
      </c>
      <c r="F3551" s="1">
        <v>0</v>
      </c>
      <c r="G3551" s="1">
        <v>21</v>
      </c>
      <c r="H3551" s="4">
        <v>0.71</v>
      </c>
      <c r="I3551" s="1">
        <v>25</v>
      </c>
      <c r="J3551" s="4">
        <v>0.44</v>
      </c>
      <c r="K3551" s="1">
        <v>0</v>
      </c>
      <c r="L3551" s="1">
        <v>15</v>
      </c>
      <c r="M3551" s="32">
        <f>IF(Mecze[[#This Row],[PR]]=0,0,Mecze[[#This Row],[PR]]/Mecze[[#This Row],[CZAS]])</f>
        <v>0.15789473684210525</v>
      </c>
      <c r="N3551" s="32">
        <f>IF(Mecze[[#This Row],[OU]]=0,0,Mecze[[#This Row],[OU]]/Mecze[[#This Row],[CZAS]])</f>
        <v>0.11578947368421053</v>
      </c>
      <c r="O3551" s="32">
        <f>IF(Mecze[[#This Row],[PC]]=0,0,Mecze[[#This Row],[PC]]/Mecze[[#This Row],[CZAS]])</f>
        <v>0.15789473684210525</v>
      </c>
      <c r="P3551" s="32">
        <f>IF(Mecze[[#This Row],[SC]]=0,0,Mecze[[#This Row],[SC]]/Mecze[[#This Row],[CZAS]])</f>
        <v>0</v>
      </c>
      <c r="Q3551" s="32">
        <f>IF(Mecze[[#This Row],[OB]]=0,0,Mecze[[#This Row],[OB]]/Mecze[[#This Row],[CZAS]])</f>
        <v>0</v>
      </c>
      <c r="R3551" s="32">
        <f>IF(Mecze[[#This Row],[BR]]=0,0,Mecze[[#This Row],[BR]]/Mecze[[#This Row],[CZAS]])</f>
        <v>0</v>
      </c>
      <c r="S3551" s="44">
        <f>IF(Mecze[[#This Row],[Role]]="BR",SUMPRODUCT(Mecze[[#This Row],[/PR:90]:[/BR:90]],Brudnopis!$E$23:$J$23),0)</f>
        <v>0</v>
      </c>
      <c r="T3551" s="44">
        <f>IF(Mecze[[#This Row],[Role]]&lt;&gt;"BR",SUMPRODUCT(Mecze[[#This Row],[/PR:90]:[/BR:90]],Brudnopis!$E$24:$J$24),0)</f>
        <v>0.48947368421052628</v>
      </c>
      <c r="U3551" s="44">
        <f>IF(Mecze[[#This Row],[Role]]&lt;&gt;"BR",SUMPRODUCT(Mecze[[#This Row],[/PR:90]:[/BR:90]],Brudnopis!$E$25:$J$25),0)</f>
        <v>0.51052631578947361</v>
      </c>
      <c r="V3551" s="44">
        <f>IF(Mecze[[#This Row],[Role]]&lt;&gt;"BR",SUMPRODUCT(Mecze[[#This Row],[/PR:90]:[/BR:90]],Brudnopis!$E$26:$J$26),0)</f>
        <v>0.43157894736842101</v>
      </c>
      <c r="W3551" s="44">
        <f>IF(Mecze[[#This Row],[Role]]&lt;&gt;"BR",SUMPRODUCT(Mecze[[#This Row],[/PR:90]:[/BR:90]],Brudnopis!$E$27:$J$27),0)</f>
        <v>0.44210526315789467</v>
      </c>
      <c r="X3551" s="44">
        <f>IF(Mecze[[#This Row],[Role]]&lt;&gt;"BR",SUMPRODUCT(Mecze[[#This Row],[/PR:90]:[/BR:90]],Brudnopis!$E$28:$J$28),0)</f>
        <v>0.15789473684210525</v>
      </c>
      <c r="Y3551" s="35">
        <f>IF(Mecze[[#This Row],[Role]]="BR",Mecze[[#This Row],[/OB:90]]+Mecze[[#This Row],[/PC:90]],SUM(Mecze[[#This Row],[/PR:90]:[/BR:90]]))</f>
        <v>0.43157894736842101</v>
      </c>
      <c r="Z3551" s="35">
        <f>IF(Mecze[[#This Row],[KC]]=0,SUM(Mecze[[#This Row],[/BRI]:[/NPI]]),SUM(Mecze[[#This Row],[/BRI]:[/NPI]])*0.6)</f>
        <v>2.0315789473684207</v>
      </c>
      <c r="AA3551" s="10">
        <f>IFERROR(Mecze[[#This Row],[BR]]/Mecze[[#This Row],[ST]],0)</f>
        <v>0</v>
      </c>
      <c r="AB3551">
        <f>ROUND(Mecze[[#This Row],[PD]]*Mecze[[#This Row],[%PC]],0)</f>
        <v>15</v>
      </c>
      <c r="AC3551">
        <f>ROUND(Mecze[[#This Row],[OD]]*Mecze[[#This Row],[%OU]],0)</f>
        <v>11</v>
      </c>
      <c r="AD3551" s="36" t="s">
        <v>174</v>
      </c>
      <c r="AE3551" s="36">
        <v>199</v>
      </c>
      <c r="AF3551" s="71">
        <v>3.73</v>
      </c>
      <c r="AG3551" s="37">
        <v>0</v>
      </c>
      <c r="AH3551" s="37">
        <v>0</v>
      </c>
      <c r="AI3551" s="37">
        <v>95</v>
      </c>
      <c r="AJ3551" s="37">
        <v>5</v>
      </c>
      <c r="AK3551" s="37" t="str">
        <f>VLOOKUP(Mecze[[#This Row],[Match ID]],Meczusie[Mecz]:Meczusie[RodzajMeczu],2,FALSE)</f>
        <v>Liga</v>
      </c>
    </row>
    <row r="3552" spans="1:37" x14ac:dyDescent="0.25">
      <c r="A3552" s="76">
        <v>6</v>
      </c>
      <c r="B3552" s="3" t="s">
        <v>349</v>
      </c>
      <c r="C3552" s="2" t="s">
        <v>160</v>
      </c>
      <c r="D3552" s="1">
        <v>0</v>
      </c>
      <c r="E3552" s="1">
        <v>0</v>
      </c>
      <c r="F3552" s="1">
        <v>0</v>
      </c>
      <c r="G3552" s="1">
        <v>3</v>
      </c>
      <c r="H3552" s="4">
        <v>1</v>
      </c>
      <c r="I3552" s="1">
        <v>1</v>
      </c>
      <c r="J3552" s="4">
        <v>1</v>
      </c>
      <c r="K3552" s="1">
        <v>0</v>
      </c>
      <c r="L3552" s="1">
        <v>1</v>
      </c>
      <c r="M3552" s="32">
        <f>IF(Mecze[[#This Row],[PR]]=0,0,Mecze[[#This Row],[PR]]/Mecze[[#This Row],[CZAS]])</f>
        <v>6.25E-2</v>
      </c>
      <c r="N3552" s="32">
        <f>IF(Mecze[[#This Row],[OU]]=0,0,Mecze[[#This Row],[OU]]/Mecze[[#This Row],[CZAS]])</f>
        <v>6.25E-2</v>
      </c>
      <c r="O3552" s="32">
        <f>IF(Mecze[[#This Row],[PC]]=0,0,Mecze[[#This Row],[PC]]/Mecze[[#This Row],[CZAS]])</f>
        <v>0.1875</v>
      </c>
      <c r="P3552" s="32">
        <f>IF(Mecze[[#This Row],[SC]]=0,0,Mecze[[#This Row],[SC]]/Mecze[[#This Row],[CZAS]])</f>
        <v>0</v>
      </c>
      <c r="Q3552" s="32">
        <f>IF(Mecze[[#This Row],[OB]]=0,0,Mecze[[#This Row],[OB]]/Mecze[[#This Row],[CZAS]])</f>
        <v>0</v>
      </c>
      <c r="R3552" s="32">
        <f>IF(Mecze[[#This Row],[BR]]=0,0,Mecze[[#This Row],[BR]]/Mecze[[#This Row],[CZAS]])</f>
        <v>0</v>
      </c>
      <c r="S3552" s="44">
        <f>IF(Mecze[[#This Row],[Role]]="BR",SUMPRODUCT(Mecze[[#This Row],[/PR:90]:[/BR:90]],Brudnopis!$E$23:$J$23),0)</f>
        <v>0</v>
      </c>
      <c r="T3552" s="44">
        <f>IF(Mecze[[#This Row],[Role]]&lt;&gt;"BR",SUMPRODUCT(Mecze[[#This Row],[/PR:90]:[/BR:90]],Brudnopis!$E$24:$J$24),0)</f>
        <v>0.34375</v>
      </c>
      <c r="U3552" s="44">
        <f>IF(Mecze[[#This Row],[Role]]&lt;&gt;"BR",SUMPRODUCT(Mecze[[#This Row],[/PR:90]:[/BR:90]],Brudnopis!$E$25:$J$25),0)</f>
        <v>0.40625</v>
      </c>
      <c r="V3552" s="44">
        <f>IF(Mecze[[#This Row],[Role]]&lt;&gt;"BR",SUMPRODUCT(Mecze[[#This Row],[/PR:90]:[/BR:90]],Brudnopis!$E$26:$J$26),0)</f>
        <v>0.3125</v>
      </c>
      <c r="W3552" s="44">
        <f>IF(Mecze[[#This Row],[Role]]&lt;&gt;"BR",SUMPRODUCT(Mecze[[#This Row],[/PR:90]:[/BR:90]],Brudnopis!$E$27:$J$27),0)</f>
        <v>0.375</v>
      </c>
      <c r="X3552" s="44">
        <f>IF(Mecze[[#This Row],[Role]]&lt;&gt;"BR",SUMPRODUCT(Mecze[[#This Row],[/PR:90]:[/BR:90]],Brudnopis!$E$28:$J$28),0)</f>
        <v>0.1875</v>
      </c>
      <c r="Y3552" s="35">
        <f>IF(Mecze[[#This Row],[Role]]="BR",Mecze[[#This Row],[/OB:90]]+Mecze[[#This Row],[/PC:90]],SUM(Mecze[[#This Row],[/PR:90]:[/BR:90]]))</f>
        <v>0.3125</v>
      </c>
      <c r="Z3552" s="35">
        <f>IF(Mecze[[#This Row],[KC]]=0,SUM(Mecze[[#This Row],[/BRI]:[/NPI]]),SUM(Mecze[[#This Row],[/BRI]:[/NPI]])*0.6)</f>
        <v>0.97499999999999998</v>
      </c>
      <c r="AA3552" s="10">
        <f>IFERROR(Mecze[[#This Row],[BR]]/Mecze[[#This Row],[ST]],0)</f>
        <v>0</v>
      </c>
      <c r="AB3552">
        <f>ROUND(Mecze[[#This Row],[PD]]*Mecze[[#This Row],[%PC]],0)</f>
        <v>3</v>
      </c>
      <c r="AC3552">
        <f>ROUND(Mecze[[#This Row],[OD]]*Mecze[[#This Row],[%OU]],0)</f>
        <v>1</v>
      </c>
      <c r="AD3552" s="36" t="s">
        <v>41</v>
      </c>
      <c r="AE3552" s="36">
        <v>199</v>
      </c>
      <c r="AF3552" s="71">
        <v>-1.5</v>
      </c>
      <c r="AG3552" s="37">
        <v>0</v>
      </c>
      <c r="AH3552" s="37">
        <v>1</v>
      </c>
      <c r="AI3552" s="37">
        <v>16</v>
      </c>
      <c r="AJ3552" s="37">
        <v>5</v>
      </c>
      <c r="AK3552" s="37" t="str">
        <f>VLOOKUP(Mecze[[#This Row],[Match ID]],Meczusie[Mecz]:Meczusie[RodzajMeczu],2,FALSE)</f>
        <v>Liga</v>
      </c>
    </row>
    <row r="3553" spans="1:37" x14ac:dyDescent="0.25">
      <c r="A3553" s="76">
        <v>7</v>
      </c>
      <c r="B3553" s="3" t="s">
        <v>350</v>
      </c>
      <c r="C3553" s="2" t="s">
        <v>160</v>
      </c>
      <c r="D3553" s="1">
        <v>0</v>
      </c>
      <c r="E3553" s="1">
        <v>1</v>
      </c>
      <c r="F3553" s="1">
        <v>1</v>
      </c>
      <c r="G3553" s="1">
        <v>12</v>
      </c>
      <c r="H3553" s="4">
        <v>0.92</v>
      </c>
      <c r="I3553" s="1">
        <v>3</v>
      </c>
      <c r="J3553" s="4">
        <v>0.67</v>
      </c>
      <c r="K3553" s="1">
        <v>0</v>
      </c>
      <c r="L3553" s="1">
        <v>2</v>
      </c>
      <c r="M3553" s="32">
        <f>IF(Mecze[[#This Row],[PR]]=0,0,Mecze[[#This Row],[PR]]/Mecze[[#This Row],[CZAS]])</f>
        <v>2.1052631578947368E-2</v>
      </c>
      <c r="N3553" s="32">
        <f>IF(Mecze[[#This Row],[OU]]=0,0,Mecze[[#This Row],[OU]]/Mecze[[#This Row],[CZAS]])</f>
        <v>2.1052631578947368E-2</v>
      </c>
      <c r="O3553" s="32">
        <f>IF(Mecze[[#This Row],[PC]]=0,0,Mecze[[#This Row],[PC]]/Mecze[[#This Row],[CZAS]])</f>
        <v>0.11578947368421053</v>
      </c>
      <c r="P3553" s="32">
        <f>IF(Mecze[[#This Row],[SC]]=0,0,Mecze[[#This Row],[SC]]/Mecze[[#This Row],[CZAS]])</f>
        <v>1.0526315789473684E-2</v>
      </c>
      <c r="Q3553" s="32">
        <f>IF(Mecze[[#This Row],[OB]]=0,0,Mecze[[#This Row],[OB]]/Mecze[[#This Row],[CZAS]])</f>
        <v>0</v>
      </c>
      <c r="R3553" s="32">
        <f>IF(Mecze[[#This Row],[BR]]=0,0,Mecze[[#This Row],[BR]]/Mecze[[#This Row],[CZAS]])</f>
        <v>0</v>
      </c>
      <c r="S3553" s="44">
        <f>IF(Mecze[[#This Row],[Role]]="BR",SUMPRODUCT(Mecze[[#This Row],[/PR:90]:[/BR:90]],Brudnopis!$E$23:$J$23),0)</f>
        <v>0</v>
      </c>
      <c r="T3553" s="44">
        <f>IF(Mecze[[#This Row],[Role]]&lt;&gt;"BR",SUMPRODUCT(Mecze[[#This Row],[/PR:90]:[/BR:90]],Brudnopis!$E$24:$J$24),0)</f>
        <v>0.17894736842105263</v>
      </c>
      <c r="U3553" s="44">
        <f>IF(Mecze[[#This Row],[Role]]&lt;&gt;"BR",SUMPRODUCT(Mecze[[#This Row],[/PR:90]:[/BR:90]],Brudnopis!$E$25:$J$25),0)</f>
        <v>0.22631578947368419</v>
      </c>
      <c r="V3553" s="44">
        <f>IF(Mecze[[#This Row],[Role]]&lt;&gt;"BR",SUMPRODUCT(Mecze[[#This Row],[/PR:90]:[/BR:90]],Brudnopis!$E$26:$J$26),0)</f>
        <v>0.16842105263157894</v>
      </c>
      <c r="W3553" s="44">
        <f>IF(Mecze[[#This Row],[Role]]&lt;&gt;"BR",SUMPRODUCT(Mecze[[#This Row],[/PR:90]:[/BR:90]],Brudnopis!$E$27:$J$27),0)</f>
        <v>0.2157894736842105</v>
      </c>
      <c r="X3553" s="44">
        <f>IF(Mecze[[#This Row],[Role]]&lt;&gt;"BR",SUMPRODUCT(Mecze[[#This Row],[/PR:90]:[/BR:90]],Brudnopis!$E$28:$J$28),0)</f>
        <v>0.1368421052631579</v>
      </c>
      <c r="Y3553" s="35">
        <f>IF(Mecze[[#This Row],[Role]]="BR",Mecze[[#This Row],[/OB:90]]+Mecze[[#This Row],[/PC:90]],SUM(Mecze[[#This Row],[/PR:90]:[/BR:90]]))</f>
        <v>0.16842105263157894</v>
      </c>
      <c r="Z3553" s="35">
        <f>IF(Mecze[[#This Row],[KC]]=0,SUM(Mecze[[#This Row],[/BRI]:[/NPI]]),SUM(Mecze[[#This Row],[/BRI]:[/NPI]])*0.6)</f>
        <v>0.9263157894736842</v>
      </c>
      <c r="AA3553" s="10">
        <f>IFERROR(Mecze[[#This Row],[BR]]/Mecze[[#This Row],[ST]],0)</f>
        <v>0</v>
      </c>
      <c r="AB3553">
        <f>ROUND(Mecze[[#This Row],[PD]]*Mecze[[#This Row],[%PC]],0)</f>
        <v>11</v>
      </c>
      <c r="AC3553">
        <f>ROUND(Mecze[[#This Row],[OD]]*Mecze[[#This Row],[%OU]],0)</f>
        <v>2</v>
      </c>
      <c r="AD3553" s="36" t="s">
        <v>67</v>
      </c>
      <c r="AE3553" s="36">
        <v>199</v>
      </c>
      <c r="AF3553" s="71">
        <v>5.47</v>
      </c>
      <c r="AG3553" s="37">
        <v>0</v>
      </c>
      <c r="AH3553" s="37">
        <v>0</v>
      </c>
      <c r="AI3553" s="37">
        <v>95</v>
      </c>
      <c r="AJ3553" s="37">
        <v>5</v>
      </c>
      <c r="AK3553" s="37" t="str">
        <f>VLOOKUP(Mecze[[#This Row],[Match ID]],Meczusie[Mecz]:Meczusie[RodzajMeczu],2,FALSE)</f>
        <v>Liga</v>
      </c>
    </row>
    <row r="3554" spans="1:37" x14ac:dyDescent="0.25">
      <c r="A3554" s="76">
        <v>8</v>
      </c>
      <c r="B3554" s="3" t="s">
        <v>351</v>
      </c>
      <c r="C3554" s="2" t="s">
        <v>160</v>
      </c>
      <c r="D3554" s="1">
        <v>0</v>
      </c>
      <c r="E3554" s="1">
        <v>2</v>
      </c>
      <c r="F3554" s="1">
        <v>2</v>
      </c>
      <c r="G3554" s="1">
        <v>20</v>
      </c>
      <c r="H3554" s="4">
        <v>0.7</v>
      </c>
      <c r="I3554" s="1">
        <v>2</v>
      </c>
      <c r="J3554" s="4">
        <v>0</v>
      </c>
      <c r="K3554" s="1">
        <v>0</v>
      </c>
      <c r="L3554" s="1">
        <v>3</v>
      </c>
      <c r="M3554" s="32">
        <f>IF(Mecze[[#This Row],[PR]]=0,0,Mecze[[#This Row],[PR]]/Mecze[[#This Row],[CZAS]])</f>
        <v>3.1578947368421054E-2</v>
      </c>
      <c r="N3554" s="32">
        <f>IF(Mecze[[#This Row],[OU]]=0,0,Mecze[[#This Row],[OU]]/Mecze[[#This Row],[CZAS]])</f>
        <v>0</v>
      </c>
      <c r="O3554" s="32">
        <f>IF(Mecze[[#This Row],[PC]]=0,0,Mecze[[#This Row],[PC]]/Mecze[[#This Row],[CZAS]])</f>
        <v>0.14736842105263157</v>
      </c>
      <c r="P3554" s="32">
        <f>IF(Mecze[[#This Row],[SC]]=0,0,Mecze[[#This Row],[SC]]/Mecze[[#This Row],[CZAS]])</f>
        <v>2.1052631578947368E-2</v>
      </c>
      <c r="Q3554" s="32">
        <f>IF(Mecze[[#This Row],[OB]]=0,0,Mecze[[#This Row],[OB]]/Mecze[[#This Row],[CZAS]])</f>
        <v>0</v>
      </c>
      <c r="R3554" s="32">
        <f>IF(Mecze[[#This Row],[BR]]=0,0,Mecze[[#This Row],[BR]]/Mecze[[#This Row],[CZAS]])</f>
        <v>0</v>
      </c>
      <c r="S3554" s="44">
        <f>IF(Mecze[[#This Row],[Role]]="BR",SUMPRODUCT(Mecze[[#This Row],[/PR:90]:[/BR:90]],Brudnopis!$E$23:$J$23),0)</f>
        <v>0</v>
      </c>
      <c r="T3554" s="44">
        <f>IF(Mecze[[#This Row],[Role]]&lt;&gt;"BR",SUMPRODUCT(Mecze[[#This Row],[/PR:90]:[/BR:90]],Brudnopis!$E$24:$J$24),0)</f>
        <v>0.2</v>
      </c>
      <c r="U3554" s="44">
        <f>IF(Mecze[[#This Row],[Role]]&lt;&gt;"BR",SUMPRODUCT(Mecze[[#This Row],[/PR:90]:[/BR:90]],Brudnopis!$E$25:$J$25),0)</f>
        <v>0.27368421052631575</v>
      </c>
      <c r="V3554" s="44">
        <f>IF(Mecze[[#This Row],[Role]]&lt;&gt;"BR",SUMPRODUCT(Mecze[[#This Row],[/PR:90]:[/BR:90]],Brudnopis!$E$26:$J$26),0)</f>
        <v>0.2</v>
      </c>
      <c r="W3554" s="44">
        <f>IF(Mecze[[#This Row],[Role]]&lt;&gt;"BR",SUMPRODUCT(Mecze[[#This Row],[/PR:90]:[/BR:90]],Brudnopis!$E$27:$J$27),0)</f>
        <v>0.26578947368421046</v>
      </c>
      <c r="X3554" s="44">
        <f>IF(Mecze[[#This Row],[Role]]&lt;&gt;"BR",SUMPRODUCT(Mecze[[#This Row],[/PR:90]:[/BR:90]],Brudnopis!$E$28:$J$28),0)</f>
        <v>0.18947368421052629</v>
      </c>
      <c r="Y3554" s="35">
        <f>IF(Mecze[[#This Row],[Role]]="BR",Mecze[[#This Row],[/OB:90]]+Mecze[[#This Row],[/PC:90]],SUM(Mecze[[#This Row],[/PR:90]:[/BR:90]]))</f>
        <v>0.2</v>
      </c>
      <c r="Z3554" s="35">
        <f>IF(Mecze[[#This Row],[KC]]=0,SUM(Mecze[[#This Row],[/BRI]:[/NPI]]),SUM(Mecze[[#This Row],[/BRI]:[/NPI]])*0.6)</f>
        <v>1.1289473684210525</v>
      </c>
      <c r="AA3554" s="10">
        <f>IFERROR(Mecze[[#This Row],[BR]]/Mecze[[#This Row],[ST]],0)</f>
        <v>0</v>
      </c>
      <c r="AB3554">
        <f>ROUND(Mecze[[#This Row],[PD]]*Mecze[[#This Row],[%PC]],0)</f>
        <v>14</v>
      </c>
      <c r="AC3554">
        <f>ROUND(Mecze[[#This Row],[OD]]*Mecze[[#This Row],[%OU]],0)</f>
        <v>0</v>
      </c>
      <c r="AD3554" s="36" t="s">
        <v>67</v>
      </c>
      <c r="AE3554" s="36">
        <v>199</v>
      </c>
      <c r="AF3554" s="71">
        <v>5</v>
      </c>
      <c r="AG3554" s="37">
        <v>0</v>
      </c>
      <c r="AH3554" s="37">
        <v>0</v>
      </c>
      <c r="AI3554" s="37">
        <v>95</v>
      </c>
      <c r="AJ3554" s="37">
        <v>5</v>
      </c>
      <c r="AK3554" s="37" t="str">
        <f>VLOOKUP(Mecze[[#This Row],[Match ID]],Meczusie[Mecz]:Meczusie[RodzajMeczu],2,FALSE)</f>
        <v>Liga</v>
      </c>
    </row>
    <row r="3555" spans="1:37" x14ac:dyDescent="0.25">
      <c r="A3555" s="76">
        <v>11</v>
      </c>
      <c r="B3555" s="3" t="s">
        <v>353</v>
      </c>
      <c r="C3555" s="2" t="s">
        <v>165</v>
      </c>
      <c r="D3555" s="1">
        <v>0</v>
      </c>
      <c r="E3555" s="1">
        <v>11</v>
      </c>
      <c r="F3555" s="1">
        <v>11</v>
      </c>
      <c r="G3555" s="1">
        <v>9</v>
      </c>
      <c r="H3555" s="4">
        <v>0.44</v>
      </c>
      <c r="I3555" s="1">
        <v>1</v>
      </c>
      <c r="J3555" s="4">
        <v>0</v>
      </c>
      <c r="K3555" s="1">
        <v>0</v>
      </c>
      <c r="L3555" s="1">
        <v>0</v>
      </c>
      <c r="M3555" s="32">
        <f>IF(Mecze[[#This Row],[PR]]=0,0,Mecze[[#This Row],[PR]]/Mecze[[#This Row],[CZAS]])</f>
        <v>0</v>
      </c>
      <c r="N3555" s="32">
        <f>IF(Mecze[[#This Row],[OU]]=0,0,Mecze[[#This Row],[OU]]/Mecze[[#This Row],[CZAS]])</f>
        <v>0</v>
      </c>
      <c r="O3555" s="32">
        <f>IF(Mecze[[#This Row],[PC]]=0,0,Mecze[[#This Row],[PC]]/Mecze[[#This Row],[CZAS]])</f>
        <v>4.2105263157894736E-2</v>
      </c>
      <c r="P3555" s="32">
        <f>IF(Mecze[[#This Row],[SC]]=0,0,Mecze[[#This Row],[SC]]/Mecze[[#This Row],[CZAS]])</f>
        <v>0.11578947368421053</v>
      </c>
      <c r="Q3555" s="32">
        <f>IF(Mecze[[#This Row],[OB]]=0,0,Mecze[[#This Row],[OB]]/Mecze[[#This Row],[CZAS]])</f>
        <v>0</v>
      </c>
      <c r="R3555" s="32">
        <f>IF(Mecze[[#This Row],[BR]]=0,0,Mecze[[#This Row],[BR]]/Mecze[[#This Row],[CZAS]])</f>
        <v>0</v>
      </c>
      <c r="S3555" s="44">
        <f>IF(Mecze[[#This Row],[Role]]="BR",SUMPRODUCT(Mecze[[#This Row],[/PR:90]:[/BR:90]],Brudnopis!$E$23:$J$23),0)</f>
        <v>0</v>
      </c>
      <c r="T3555" s="44">
        <f>IF(Mecze[[#This Row],[Role]]&lt;&gt;"BR",SUMPRODUCT(Mecze[[#This Row],[/PR:90]:[/BR:90]],Brudnopis!$E$24:$J$24),0)</f>
        <v>0.15789473684210525</v>
      </c>
      <c r="U3555" s="44">
        <f>IF(Mecze[[#This Row],[Role]]&lt;&gt;"BR",SUMPRODUCT(Mecze[[#This Row],[/PR:90]:[/BR:90]],Brudnopis!$E$25:$J$25),0)</f>
        <v>0.17894736842105263</v>
      </c>
      <c r="V3555" s="44">
        <f>IF(Mecze[[#This Row],[Role]]&lt;&gt;"BR",SUMPRODUCT(Mecze[[#This Row],[/PR:90]:[/BR:90]],Brudnopis!$E$26:$J$26),0)</f>
        <v>0.15789473684210525</v>
      </c>
      <c r="W3555" s="44">
        <f>IF(Mecze[[#This Row],[Role]]&lt;&gt;"BR",SUMPRODUCT(Mecze[[#This Row],[/PR:90]:[/BR:90]],Brudnopis!$E$27:$J$27),0)</f>
        <v>0.17894736842105263</v>
      </c>
      <c r="X3555" s="44">
        <f>IF(Mecze[[#This Row],[Role]]&lt;&gt;"BR",SUMPRODUCT(Mecze[[#This Row],[/PR:90]:[/BR:90]],Brudnopis!$E$28:$J$28),0)</f>
        <v>0.27368421052631581</v>
      </c>
      <c r="Y3555" s="35">
        <f>IF(Mecze[[#This Row],[Role]]="BR",Mecze[[#This Row],[/OB:90]]+Mecze[[#This Row],[/PC:90]],SUM(Mecze[[#This Row],[/PR:90]:[/BR:90]]))</f>
        <v>0.15789473684210525</v>
      </c>
      <c r="Z3555" s="35">
        <f>IF(Mecze[[#This Row],[KC]]=0,SUM(Mecze[[#This Row],[/BRI]:[/NPI]]),SUM(Mecze[[#This Row],[/BRI]:[/NPI]])*0.6)</f>
        <v>0.94736842105263164</v>
      </c>
      <c r="AA3555" s="10">
        <f>IFERROR(Mecze[[#This Row],[BR]]/Mecze[[#This Row],[ST]],0)</f>
        <v>0</v>
      </c>
      <c r="AB3555">
        <f>ROUND(Mecze[[#This Row],[PD]]*Mecze[[#This Row],[%PC]],0)</f>
        <v>4</v>
      </c>
      <c r="AC3555">
        <f>ROUND(Mecze[[#This Row],[OD]]*Mecze[[#This Row],[%OU]],0)</f>
        <v>0</v>
      </c>
      <c r="AD3555" s="36" t="s">
        <v>46</v>
      </c>
      <c r="AE3555" s="36">
        <v>199</v>
      </c>
      <c r="AF3555" s="71">
        <v>5.13</v>
      </c>
      <c r="AG3555" s="37">
        <v>0</v>
      </c>
      <c r="AH3555" s="37">
        <v>0</v>
      </c>
      <c r="AI3555" s="37">
        <v>95</v>
      </c>
      <c r="AJ3555" s="37">
        <v>5</v>
      </c>
      <c r="AK3555" s="37" t="str">
        <f>VLOOKUP(Mecze[[#This Row],[Match ID]],Meczusie[Mecz]:Meczusie[RodzajMeczu],2,FALSE)</f>
        <v>Liga</v>
      </c>
    </row>
    <row r="3556" spans="1:37" x14ac:dyDescent="0.25">
      <c r="A3556" s="76">
        <v>10</v>
      </c>
      <c r="B3556" s="3" t="s">
        <v>352</v>
      </c>
      <c r="C3556" s="2" t="s">
        <v>165</v>
      </c>
      <c r="D3556" s="1">
        <v>0</v>
      </c>
      <c r="E3556" s="1">
        <v>9</v>
      </c>
      <c r="F3556" s="1">
        <v>8</v>
      </c>
      <c r="G3556" s="1">
        <v>13</v>
      </c>
      <c r="H3556" s="4">
        <v>0.69</v>
      </c>
      <c r="I3556" s="1">
        <v>2</v>
      </c>
      <c r="J3556" s="4">
        <v>1</v>
      </c>
      <c r="K3556" s="1">
        <v>0</v>
      </c>
      <c r="L3556" s="1">
        <v>0</v>
      </c>
      <c r="M3556" s="32">
        <f>IF(Mecze[[#This Row],[PR]]=0,0,Mecze[[#This Row],[PR]]/Mecze[[#This Row],[CZAS]])</f>
        <v>0</v>
      </c>
      <c r="N3556" s="32">
        <f>IF(Mecze[[#This Row],[OU]]=0,0,Mecze[[#This Row],[OU]]/Mecze[[#This Row],[CZAS]])</f>
        <v>2.1052631578947368E-2</v>
      </c>
      <c r="O3556" s="32">
        <f>IF(Mecze[[#This Row],[PC]]=0,0,Mecze[[#This Row],[PC]]/Mecze[[#This Row],[CZAS]])</f>
        <v>9.4736842105263161E-2</v>
      </c>
      <c r="P3556" s="32">
        <f>IF(Mecze[[#This Row],[SC]]=0,0,Mecze[[#This Row],[SC]]/Mecze[[#This Row],[CZAS]])</f>
        <v>8.4210526315789472E-2</v>
      </c>
      <c r="Q3556" s="32">
        <f>IF(Mecze[[#This Row],[OB]]=0,0,Mecze[[#This Row],[OB]]/Mecze[[#This Row],[CZAS]])</f>
        <v>0</v>
      </c>
      <c r="R3556" s="32">
        <f>IF(Mecze[[#This Row],[BR]]=0,0,Mecze[[#This Row],[BR]]/Mecze[[#This Row],[CZAS]])</f>
        <v>0</v>
      </c>
      <c r="S3556" s="44">
        <f>IF(Mecze[[#This Row],[Role]]="BR",SUMPRODUCT(Mecze[[#This Row],[/PR:90]:[/BR:90]],Brudnopis!$E$23:$J$23),0)</f>
        <v>0</v>
      </c>
      <c r="T3556" s="44">
        <f>IF(Mecze[[#This Row],[Role]]&lt;&gt;"BR",SUMPRODUCT(Mecze[[#This Row],[/PR:90]:[/BR:90]],Brudnopis!$E$24:$J$24),0)</f>
        <v>0.21052631578947367</v>
      </c>
      <c r="U3556" s="44">
        <f>IF(Mecze[[#This Row],[Role]]&lt;&gt;"BR",SUMPRODUCT(Mecze[[#This Row],[/PR:90]:[/BR:90]],Brudnopis!$E$25:$J$25),0)</f>
        <v>0.24736842105263157</v>
      </c>
      <c r="V3556" s="44">
        <f>IF(Mecze[[#This Row],[Role]]&lt;&gt;"BR",SUMPRODUCT(Mecze[[#This Row],[/PR:90]:[/BR:90]],Brudnopis!$E$26:$J$26),0)</f>
        <v>0.2</v>
      </c>
      <c r="W3556" s="44">
        <f>IF(Mecze[[#This Row],[Role]]&lt;&gt;"BR",SUMPRODUCT(Mecze[[#This Row],[/PR:90]:[/BR:90]],Brudnopis!$E$27:$J$27),0)</f>
        <v>0.24210526315789471</v>
      </c>
      <c r="X3556" s="44">
        <f>IF(Mecze[[#This Row],[Role]]&lt;&gt;"BR",SUMPRODUCT(Mecze[[#This Row],[/PR:90]:[/BR:90]],Brudnopis!$E$28:$J$28),0)</f>
        <v>0.26315789473684209</v>
      </c>
      <c r="Y3556" s="35">
        <f>IF(Mecze[[#This Row],[Role]]="BR",Mecze[[#This Row],[/OB:90]]+Mecze[[#This Row],[/PC:90]],SUM(Mecze[[#This Row],[/PR:90]:[/BR:90]]))</f>
        <v>0.2</v>
      </c>
      <c r="Z3556" s="35">
        <f>IF(Mecze[[#This Row],[KC]]=0,SUM(Mecze[[#This Row],[/BRI]:[/NPI]]),SUM(Mecze[[#This Row],[/BRI]:[/NPI]])*0.6)</f>
        <v>1.1631578947368422</v>
      </c>
      <c r="AA3556" s="10">
        <f>IFERROR(Mecze[[#This Row],[BR]]/Mecze[[#This Row],[ST]],0)</f>
        <v>0</v>
      </c>
      <c r="AB3556">
        <f>ROUND(Mecze[[#This Row],[PD]]*Mecze[[#This Row],[%PC]],0)</f>
        <v>9</v>
      </c>
      <c r="AC3556">
        <f>ROUND(Mecze[[#This Row],[OD]]*Mecze[[#This Row],[%OU]],0)</f>
        <v>2</v>
      </c>
      <c r="AD3556" s="36" t="s">
        <v>272</v>
      </c>
      <c r="AE3556" s="36">
        <v>199</v>
      </c>
      <c r="AF3556" s="71">
        <v>5.8</v>
      </c>
      <c r="AG3556" s="37">
        <v>0</v>
      </c>
      <c r="AH3556" s="37">
        <v>0</v>
      </c>
      <c r="AI3556" s="37">
        <v>95</v>
      </c>
      <c r="AJ3556" s="37">
        <v>5</v>
      </c>
      <c r="AK3556" s="37" t="str">
        <f>VLOOKUP(Mecze[[#This Row],[Match ID]],Meczusie[Mecz]:Meczusie[RodzajMeczu],2,FALSE)</f>
        <v>Liga</v>
      </c>
    </row>
    <row r="3557" spans="1:37" x14ac:dyDescent="0.25">
      <c r="A3557" s="76">
        <v>9</v>
      </c>
      <c r="B3557" s="3" t="s">
        <v>354</v>
      </c>
      <c r="C3557" s="2" t="s">
        <v>165</v>
      </c>
      <c r="D3557" s="1">
        <v>0</v>
      </c>
      <c r="E3557" s="1">
        <v>1</v>
      </c>
      <c r="F3557" s="1">
        <v>1</v>
      </c>
      <c r="G3557" s="1">
        <v>16</v>
      </c>
      <c r="H3557" s="4">
        <v>0.88</v>
      </c>
      <c r="I3557" s="1">
        <v>4</v>
      </c>
      <c r="J3557" s="4">
        <v>0.5</v>
      </c>
      <c r="K3557" s="1">
        <v>0</v>
      </c>
      <c r="L3557" s="1">
        <v>1</v>
      </c>
      <c r="M3557" s="32">
        <f>IF(Mecze[[#This Row],[PR]]=0,0,Mecze[[#This Row],[PR]]/Mecze[[#This Row],[CZAS]])</f>
        <v>1.0526315789473684E-2</v>
      </c>
      <c r="N3557" s="32">
        <f>IF(Mecze[[#This Row],[OU]]=0,0,Mecze[[#This Row],[OU]]/Mecze[[#This Row],[CZAS]])</f>
        <v>2.1052631578947368E-2</v>
      </c>
      <c r="O3557" s="32">
        <f>IF(Mecze[[#This Row],[PC]]=0,0,Mecze[[#This Row],[PC]]/Mecze[[#This Row],[CZAS]])</f>
        <v>0.14736842105263157</v>
      </c>
      <c r="P3557" s="32">
        <f>IF(Mecze[[#This Row],[SC]]=0,0,Mecze[[#This Row],[SC]]/Mecze[[#This Row],[CZAS]])</f>
        <v>1.0526315789473684E-2</v>
      </c>
      <c r="Q3557" s="32">
        <f>IF(Mecze[[#This Row],[OB]]=0,0,Mecze[[#This Row],[OB]]/Mecze[[#This Row],[CZAS]])</f>
        <v>0</v>
      </c>
      <c r="R3557" s="32">
        <f>IF(Mecze[[#This Row],[BR]]=0,0,Mecze[[#This Row],[BR]]/Mecze[[#This Row],[CZAS]])</f>
        <v>0</v>
      </c>
      <c r="S3557" s="44">
        <f>IF(Mecze[[#This Row],[Role]]="BR",SUMPRODUCT(Mecze[[#This Row],[/PR:90]:[/BR:90]],Brudnopis!$E$23:$J$23),0)</f>
        <v>0</v>
      </c>
      <c r="T3557" s="44">
        <f>IF(Mecze[[#This Row],[Role]]&lt;&gt;"BR",SUMPRODUCT(Mecze[[#This Row],[/PR:90]:[/BR:90]],Brudnopis!$E$24:$J$24),0)</f>
        <v>0.19999999999999998</v>
      </c>
      <c r="U3557" s="44">
        <f>IF(Mecze[[#This Row],[Role]]&lt;&gt;"BR",SUMPRODUCT(Mecze[[#This Row],[/PR:90]:[/BR:90]],Brudnopis!$E$25:$J$25),0)</f>
        <v>0.26315789473684204</v>
      </c>
      <c r="V3557" s="44">
        <f>IF(Mecze[[#This Row],[Role]]&lt;&gt;"BR",SUMPRODUCT(Mecze[[#This Row],[/PR:90]:[/BR:90]],Brudnopis!$E$26:$J$26),0)</f>
        <v>0.18947368421052632</v>
      </c>
      <c r="W3557" s="44">
        <f>IF(Mecze[[#This Row],[Role]]&lt;&gt;"BR",SUMPRODUCT(Mecze[[#This Row],[/PR:90]:[/BR:90]],Brudnopis!$E$27:$J$27),0)</f>
        <v>0.2552631578947368</v>
      </c>
      <c r="X3557" s="44">
        <f>IF(Mecze[[#This Row],[Role]]&lt;&gt;"BR",SUMPRODUCT(Mecze[[#This Row],[/PR:90]:[/BR:90]],Brudnopis!$E$28:$J$28),0)</f>
        <v>0.16842105263157894</v>
      </c>
      <c r="Y3557" s="35">
        <f>IF(Mecze[[#This Row],[Role]]="BR",Mecze[[#This Row],[/OB:90]]+Mecze[[#This Row],[/PC:90]],SUM(Mecze[[#This Row],[/PR:90]:[/BR:90]]))</f>
        <v>0.18947368421052632</v>
      </c>
      <c r="Z3557" s="35">
        <f>IF(Mecze[[#This Row],[KC]]=0,SUM(Mecze[[#This Row],[/BRI]:[/NPI]]),SUM(Mecze[[#This Row],[/BRI]:[/NPI]])*0.6)</f>
        <v>1.0763157894736841</v>
      </c>
      <c r="AA3557" s="10">
        <f>IFERROR(Mecze[[#This Row],[BR]]/Mecze[[#This Row],[ST]],0)</f>
        <v>0</v>
      </c>
      <c r="AB3557">
        <f>ROUND(Mecze[[#This Row],[PD]]*Mecze[[#This Row],[%PC]],0)</f>
        <v>14</v>
      </c>
      <c r="AC3557">
        <f>ROUND(Mecze[[#This Row],[OD]]*Mecze[[#This Row],[%OU]],0)</f>
        <v>2</v>
      </c>
      <c r="AD3557" s="36" t="s">
        <v>273</v>
      </c>
      <c r="AE3557" s="36">
        <v>199</v>
      </c>
      <c r="AF3557" s="71">
        <v>5.18</v>
      </c>
      <c r="AG3557" s="37">
        <v>0</v>
      </c>
      <c r="AH3557" s="37">
        <v>0</v>
      </c>
      <c r="AI3557" s="37">
        <v>95</v>
      </c>
      <c r="AJ3557" s="37">
        <v>5</v>
      </c>
      <c r="AK3557" s="37" t="str">
        <f>VLOOKUP(Mecze[[#This Row],[Match ID]],Meczusie[Mecz]:Meczusie[RodzajMeczu],2,FALSE)</f>
        <v>Liga</v>
      </c>
    </row>
    <row r="3558" spans="1:37" x14ac:dyDescent="0.25">
      <c r="A3558" s="76">
        <v>208</v>
      </c>
      <c r="B3558" s="3" t="s">
        <v>436</v>
      </c>
      <c r="C3558" s="2" t="s">
        <v>155</v>
      </c>
      <c r="D3558" s="1">
        <v>0</v>
      </c>
      <c r="E3558" s="1">
        <v>0</v>
      </c>
      <c r="F3558" s="1">
        <v>0</v>
      </c>
      <c r="G3558" s="1">
        <v>18</v>
      </c>
      <c r="H3558" s="4">
        <v>0.56000000000000005</v>
      </c>
      <c r="I3558" s="1">
        <v>0</v>
      </c>
      <c r="J3558" s="4"/>
      <c r="K3558" s="1">
        <v>22</v>
      </c>
      <c r="L3558" s="1">
        <v>0</v>
      </c>
      <c r="M3558" s="32">
        <f>IF(Mecze[[#This Row],[PR]]=0,0,Mecze[[#This Row],[PR]]/Mecze[[#This Row],[CZAS]])</f>
        <v>0</v>
      </c>
      <c r="N3558" s="32">
        <f>IF(Mecze[[#This Row],[OU]]=0,0,Mecze[[#This Row],[OU]]/Mecze[[#This Row],[CZAS]])</f>
        <v>0</v>
      </c>
      <c r="O3558" s="32">
        <f>IF(Mecze[[#This Row],[PC]]=0,0,Mecze[[#This Row],[PC]]/Mecze[[#This Row],[CZAS]])</f>
        <v>0.10526315789473684</v>
      </c>
      <c r="P3558" s="32">
        <f>IF(Mecze[[#This Row],[SC]]=0,0,Mecze[[#This Row],[SC]]/Mecze[[#This Row],[CZAS]])</f>
        <v>0</v>
      </c>
      <c r="Q3558" s="32">
        <f>IF(Mecze[[#This Row],[OB]]=0,0,Mecze[[#This Row],[OB]]/Mecze[[#This Row],[CZAS]])</f>
        <v>0.23157894736842105</v>
      </c>
      <c r="R3558" s="32">
        <f>IF(Mecze[[#This Row],[BR]]=0,0,Mecze[[#This Row],[BR]]/Mecze[[#This Row],[CZAS]])</f>
        <v>0</v>
      </c>
      <c r="S3558" s="44">
        <f>IF(Mecze[[#This Row],[Role]]="BR",SUMPRODUCT(Mecze[[#This Row],[/PR:90]:[/BR:90]],Brudnopis!$E$23:$J$23),0)</f>
        <v>1.0105263157894737</v>
      </c>
      <c r="T3558" s="44">
        <f>IF(Mecze[[#This Row],[Role]]&lt;&gt;"BR",SUMPRODUCT(Mecze[[#This Row],[/PR:90]:[/BR:90]],Brudnopis!$E$24:$J$24),0)</f>
        <v>0</v>
      </c>
      <c r="U3558" s="44">
        <f>IF(Mecze[[#This Row],[Role]]&lt;&gt;"BR",SUMPRODUCT(Mecze[[#This Row],[/PR:90]:[/BR:90]],Brudnopis!$E$25:$J$25),0)</f>
        <v>0</v>
      </c>
      <c r="V3558" s="44">
        <f>IF(Mecze[[#This Row],[Role]]&lt;&gt;"BR",SUMPRODUCT(Mecze[[#This Row],[/PR:90]:[/BR:90]],Brudnopis!$E$26:$J$26),0)</f>
        <v>0</v>
      </c>
      <c r="W3558" s="44">
        <f>IF(Mecze[[#This Row],[Role]]&lt;&gt;"BR",SUMPRODUCT(Mecze[[#This Row],[/PR:90]:[/BR:90]],Brudnopis!$E$27:$J$27),0)</f>
        <v>0</v>
      </c>
      <c r="X3558" s="44">
        <f>IF(Mecze[[#This Row],[Role]]&lt;&gt;"BR",SUMPRODUCT(Mecze[[#This Row],[/PR:90]:[/BR:90]],Brudnopis!$E$28:$J$28),0)</f>
        <v>0</v>
      </c>
      <c r="Y3558" s="35">
        <f>IF(Mecze[[#This Row],[Role]]="BR",Mecze[[#This Row],[/OB:90]]+Mecze[[#This Row],[/PC:90]],SUM(Mecze[[#This Row],[/PR:90]:[/BR:90]]))</f>
        <v>0.33684210526315789</v>
      </c>
      <c r="Z3558" s="35">
        <f>IF(Mecze[[#This Row],[KC]]=0,SUM(Mecze[[#This Row],[/BRI]:[/NPI]]),SUM(Mecze[[#This Row],[/BRI]:[/NPI]])*0.6)</f>
        <v>1.0105263157894737</v>
      </c>
      <c r="AA3558" s="10">
        <f>IFERROR(Mecze[[#This Row],[BR]]/Mecze[[#This Row],[ST]],0)</f>
        <v>0</v>
      </c>
      <c r="AB3558">
        <f>ROUND(Mecze[[#This Row],[PD]]*Mecze[[#This Row],[%PC]],0)</f>
        <v>10</v>
      </c>
      <c r="AC3558">
        <f>ROUND(Mecze[[#This Row],[OD]]*Mecze[[#This Row],[%OU]],0)</f>
        <v>0</v>
      </c>
      <c r="AD3558" s="36" t="s">
        <v>40</v>
      </c>
      <c r="AE3558" s="36">
        <v>199</v>
      </c>
      <c r="AF3558" s="71">
        <v>15.96</v>
      </c>
      <c r="AG3558" s="37">
        <v>0</v>
      </c>
      <c r="AH3558" s="37">
        <v>0</v>
      </c>
      <c r="AI3558" s="37">
        <v>95</v>
      </c>
      <c r="AJ3558" s="37">
        <v>7</v>
      </c>
      <c r="AK3558" s="37" t="str">
        <f>VLOOKUP(Mecze[[#This Row],[Match ID]],Meczusie[Mecz]:Meczusie[RodzajMeczu],2,FALSE)</f>
        <v>Liga</v>
      </c>
    </row>
    <row r="3559" spans="1:37" x14ac:dyDescent="0.25">
      <c r="A3559" s="76">
        <v>204</v>
      </c>
      <c r="B3559" s="3" t="s">
        <v>334</v>
      </c>
      <c r="C3559" s="2" t="s">
        <v>157</v>
      </c>
      <c r="D3559" s="1">
        <v>1</v>
      </c>
      <c r="E3559" s="1">
        <v>1</v>
      </c>
      <c r="F3559" s="1">
        <v>1</v>
      </c>
      <c r="G3559" s="1">
        <v>6</v>
      </c>
      <c r="H3559" s="4">
        <v>0.67</v>
      </c>
      <c r="I3559" s="1">
        <v>11</v>
      </c>
      <c r="J3559" s="4">
        <v>0.36</v>
      </c>
      <c r="K3559" s="1">
        <v>0</v>
      </c>
      <c r="L3559" s="1">
        <v>2</v>
      </c>
      <c r="M3559" s="32">
        <f>IF(Mecze[[#This Row],[PR]]=0,0,Mecze[[#This Row],[PR]]/Mecze[[#This Row],[CZAS]])</f>
        <v>2.1052631578947368E-2</v>
      </c>
      <c r="N3559" s="32">
        <f>IF(Mecze[[#This Row],[OU]]=0,0,Mecze[[#This Row],[OU]]/Mecze[[#This Row],[CZAS]])</f>
        <v>4.2105263157894736E-2</v>
      </c>
      <c r="O3559" s="32">
        <f>IF(Mecze[[#This Row],[PC]]=0,0,Mecze[[#This Row],[PC]]/Mecze[[#This Row],[CZAS]])</f>
        <v>4.2105263157894736E-2</v>
      </c>
      <c r="P3559" s="32">
        <f>IF(Mecze[[#This Row],[SC]]=0,0,Mecze[[#This Row],[SC]]/Mecze[[#This Row],[CZAS]])</f>
        <v>1.0526315789473684E-2</v>
      </c>
      <c r="Q3559" s="32">
        <f>IF(Mecze[[#This Row],[OB]]=0,0,Mecze[[#This Row],[OB]]/Mecze[[#This Row],[CZAS]])</f>
        <v>0</v>
      </c>
      <c r="R3559" s="32">
        <f>IF(Mecze[[#This Row],[BR]]=0,0,Mecze[[#This Row],[BR]]/Mecze[[#This Row],[CZAS]])</f>
        <v>1.0526315789473684E-2</v>
      </c>
      <c r="S3559" s="44">
        <f>IF(Mecze[[#This Row],[Role]]="BR",SUMPRODUCT(Mecze[[#This Row],[/PR:90]:[/BR:90]],Brudnopis!$E$23:$J$23),0)</f>
        <v>0</v>
      </c>
      <c r="T3559" s="44">
        <f>IF(Mecze[[#This Row],[Role]]&lt;&gt;"BR",SUMPRODUCT(Mecze[[#This Row],[/PR:90]:[/BR:90]],Brudnopis!$E$24:$J$24),0)</f>
        <v>0.15263157894736842</v>
      </c>
      <c r="U3559" s="44">
        <f>IF(Mecze[[#This Row],[Role]]&lt;&gt;"BR",SUMPRODUCT(Mecze[[#This Row],[/PR:90]:[/BR:90]],Brudnopis!$E$25:$J$25),0)</f>
        <v>0.15263157894736842</v>
      </c>
      <c r="V3559" s="44">
        <f>IF(Mecze[[#This Row],[Role]]&lt;&gt;"BR",SUMPRODUCT(Mecze[[#This Row],[/PR:90]:[/BR:90]],Brudnopis!$E$26:$J$26),0)</f>
        <v>0.1368421052631579</v>
      </c>
      <c r="W3559" s="44">
        <f>IF(Mecze[[#This Row],[Role]]&lt;&gt;"BR",SUMPRODUCT(Mecze[[#This Row],[/PR:90]:[/BR:90]],Brudnopis!$E$27:$J$27),0)</f>
        <v>0.14210526315789476</v>
      </c>
      <c r="X3559" s="44">
        <f>IF(Mecze[[#This Row],[Role]]&lt;&gt;"BR",SUMPRODUCT(Mecze[[#This Row],[/PR:90]:[/BR:90]],Brudnopis!$E$28:$J$28),0)</f>
        <v>9.4736842105263161E-2</v>
      </c>
      <c r="Y3559" s="35">
        <f>IF(Mecze[[#This Row],[Role]]="BR",Mecze[[#This Row],[/OB:90]]+Mecze[[#This Row],[/PC:90]],SUM(Mecze[[#This Row],[/PR:90]:[/BR:90]]))</f>
        <v>0.12631578947368421</v>
      </c>
      <c r="Z3559" s="35">
        <f>IF(Mecze[[#This Row],[KC]]=0,SUM(Mecze[[#This Row],[/BRI]:[/NPI]]),SUM(Mecze[[#This Row],[/BRI]:[/NPI]])*0.6)</f>
        <v>0.67894736842105263</v>
      </c>
      <c r="AA3559" s="10">
        <f>IFERROR(Mecze[[#This Row],[BR]]/Mecze[[#This Row],[ST]],0)</f>
        <v>1</v>
      </c>
      <c r="AB3559">
        <f>ROUND(Mecze[[#This Row],[PD]]*Mecze[[#This Row],[%PC]],0)</f>
        <v>4</v>
      </c>
      <c r="AC3559">
        <f>ROUND(Mecze[[#This Row],[OD]]*Mecze[[#This Row],[%OU]],0)</f>
        <v>4</v>
      </c>
      <c r="AD3559" s="36" t="s">
        <v>47</v>
      </c>
      <c r="AE3559" s="36">
        <v>199</v>
      </c>
      <c r="AF3559" s="71">
        <v>7.46</v>
      </c>
      <c r="AG3559" s="37">
        <v>0</v>
      </c>
      <c r="AH3559" s="37">
        <v>0</v>
      </c>
      <c r="AI3559" s="37">
        <v>95</v>
      </c>
      <c r="AJ3559" s="37">
        <v>7</v>
      </c>
      <c r="AK3559" s="37" t="str">
        <f>VLOOKUP(Mecze[[#This Row],[Match ID]],Meczusie[Mecz]:Meczusie[RodzajMeczu],2,FALSE)</f>
        <v>Liga</v>
      </c>
    </row>
    <row r="3560" spans="1:37" x14ac:dyDescent="0.25">
      <c r="A3560" s="76">
        <v>156</v>
      </c>
      <c r="B3560" s="3" t="s">
        <v>443</v>
      </c>
      <c r="C3560" s="2" t="s">
        <v>157</v>
      </c>
      <c r="D3560" s="1">
        <v>0</v>
      </c>
      <c r="E3560" s="1">
        <v>0</v>
      </c>
      <c r="F3560" s="1">
        <v>0</v>
      </c>
      <c r="G3560" s="1">
        <v>4</v>
      </c>
      <c r="H3560" s="4">
        <v>0.75</v>
      </c>
      <c r="I3560" s="1">
        <v>6</v>
      </c>
      <c r="J3560" s="4">
        <v>0</v>
      </c>
      <c r="K3560" s="1">
        <v>0</v>
      </c>
      <c r="L3560" s="1">
        <v>5</v>
      </c>
      <c r="M3560" s="32">
        <f>IF(Mecze[[#This Row],[PR]]=0,0,Mecze[[#This Row],[PR]]/Mecze[[#This Row],[CZAS]])</f>
        <v>5.2631578947368418E-2</v>
      </c>
      <c r="N3560" s="32">
        <f>IF(Mecze[[#This Row],[OU]]=0,0,Mecze[[#This Row],[OU]]/Mecze[[#This Row],[CZAS]])</f>
        <v>0</v>
      </c>
      <c r="O3560" s="32">
        <f>IF(Mecze[[#This Row],[PC]]=0,0,Mecze[[#This Row],[PC]]/Mecze[[#This Row],[CZAS]])</f>
        <v>3.1578947368421054E-2</v>
      </c>
      <c r="P3560" s="32">
        <f>IF(Mecze[[#This Row],[SC]]=0,0,Mecze[[#This Row],[SC]]/Mecze[[#This Row],[CZAS]])</f>
        <v>0</v>
      </c>
      <c r="Q3560" s="32">
        <f>IF(Mecze[[#This Row],[OB]]=0,0,Mecze[[#This Row],[OB]]/Mecze[[#This Row],[CZAS]])</f>
        <v>0</v>
      </c>
      <c r="R3560" s="32">
        <f>IF(Mecze[[#This Row],[BR]]=0,0,Mecze[[#This Row],[BR]]/Mecze[[#This Row],[CZAS]])</f>
        <v>0</v>
      </c>
      <c r="S3560" s="44">
        <f>IF(Mecze[[#This Row],[Role]]="BR",SUMPRODUCT(Mecze[[#This Row],[/PR:90]:[/BR:90]],Brudnopis!$E$23:$J$23),0)</f>
        <v>0</v>
      </c>
      <c r="T3560" s="44">
        <f>IF(Mecze[[#This Row],[Role]]&lt;&gt;"BR",SUMPRODUCT(Mecze[[#This Row],[/PR:90]:[/BR:90]],Brudnopis!$E$24:$J$24),0)</f>
        <v>8.4210526315789472E-2</v>
      </c>
      <c r="U3560" s="44">
        <f>IF(Mecze[[#This Row],[Role]]&lt;&gt;"BR",SUMPRODUCT(Mecze[[#This Row],[/PR:90]:[/BR:90]],Brudnopis!$E$25:$J$25),0)</f>
        <v>0.1</v>
      </c>
      <c r="V3560" s="44">
        <f>IF(Mecze[[#This Row],[Role]]&lt;&gt;"BR",SUMPRODUCT(Mecze[[#This Row],[/PR:90]:[/BR:90]],Brudnopis!$E$26:$J$26),0)</f>
        <v>8.4210526315789472E-2</v>
      </c>
      <c r="W3560" s="44">
        <f>IF(Mecze[[#This Row],[Role]]&lt;&gt;"BR",SUMPRODUCT(Mecze[[#This Row],[/PR:90]:[/BR:90]],Brudnopis!$E$27:$J$27),0)</f>
        <v>8.6842105263157887E-2</v>
      </c>
      <c r="X3560" s="44">
        <f>IF(Mecze[[#This Row],[Role]]&lt;&gt;"BR",SUMPRODUCT(Mecze[[#This Row],[/PR:90]:[/BR:90]],Brudnopis!$E$28:$J$28),0)</f>
        <v>3.1578947368421054E-2</v>
      </c>
      <c r="Y3560" s="35">
        <f>IF(Mecze[[#This Row],[Role]]="BR",Mecze[[#This Row],[/OB:90]]+Mecze[[#This Row],[/PC:90]],SUM(Mecze[[#This Row],[/PR:90]:[/BR:90]]))</f>
        <v>8.4210526315789472E-2</v>
      </c>
      <c r="Z3560" s="35">
        <f>IF(Mecze[[#This Row],[KC]]=0,SUM(Mecze[[#This Row],[/BRI]:[/NPI]]),SUM(Mecze[[#This Row],[/BRI]:[/NPI]])*0.6)</f>
        <v>0.38684210526315788</v>
      </c>
      <c r="AA3560" s="10">
        <f>IFERROR(Mecze[[#This Row],[BR]]/Mecze[[#This Row],[ST]],0)</f>
        <v>0</v>
      </c>
      <c r="AB3560">
        <f>ROUND(Mecze[[#This Row],[PD]]*Mecze[[#This Row],[%PC]],0)</f>
        <v>3</v>
      </c>
      <c r="AC3560">
        <f>ROUND(Mecze[[#This Row],[OD]]*Mecze[[#This Row],[%OU]],0)</f>
        <v>0</v>
      </c>
      <c r="AD3560" s="36" t="s">
        <v>168</v>
      </c>
      <c r="AE3560" s="36">
        <v>199</v>
      </c>
      <c r="AF3560" s="71">
        <v>8.09</v>
      </c>
      <c r="AG3560" s="37">
        <v>0</v>
      </c>
      <c r="AH3560" s="37">
        <v>0</v>
      </c>
      <c r="AI3560" s="37">
        <v>95</v>
      </c>
      <c r="AJ3560" s="37">
        <v>7</v>
      </c>
      <c r="AK3560" s="37" t="str">
        <f>VLOOKUP(Mecze[[#This Row],[Match ID]],Meczusie[Mecz]:Meczusie[RodzajMeczu],2,FALSE)</f>
        <v>Liga</v>
      </c>
    </row>
    <row r="3561" spans="1:37" x14ac:dyDescent="0.25">
      <c r="A3561" s="76">
        <v>150</v>
      </c>
      <c r="B3561" s="3" t="s">
        <v>335</v>
      </c>
      <c r="C3561" s="2" t="s">
        <v>157</v>
      </c>
      <c r="D3561" s="1">
        <v>0</v>
      </c>
      <c r="E3561" s="1">
        <v>0</v>
      </c>
      <c r="F3561" s="1">
        <v>0</v>
      </c>
      <c r="G3561" s="1">
        <v>3</v>
      </c>
      <c r="H3561" s="4">
        <v>1</v>
      </c>
      <c r="I3561" s="1">
        <v>1</v>
      </c>
      <c r="J3561" s="4">
        <v>0</v>
      </c>
      <c r="K3561" s="1">
        <v>0</v>
      </c>
      <c r="L3561" s="1">
        <v>3</v>
      </c>
      <c r="M3561" s="32">
        <f>IF(Mecze[[#This Row],[PR]]=0,0,Mecze[[#This Row],[PR]]/Mecze[[#This Row],[CZAS]])</f>
        <v>3.1578947368421054E-2</v>
      </c>
      <c r="N3561" s="32">
        <f>IF(Mecze[[#This Row],[OU]]=0,0,Mecze[[#This Row],[OU]]/Mecze[[#This Row],[CZAS]])</f>
        <v>0</v>
      </c>
      <c r="O3561" s="32">
        <f>IF(Mecze[[#This Row],[PC]]=0,0,Mecze[[#This Row],[PC]]/Mecze[[#This Row],[CZAS]])</f>
        <v>3.1578947368421054E-2</v>
      </c>
      <c r="P3561" s="32">
        <f>IF(Mecze[[#This Row],[SC]]=0,0,Mecze[[#This Row],[SC]]/Mecze[[#This Row],[CZAS]])</f>
        <v>0</v>
      </c>
      <c r="Q3561" s="32">
        <f>IF(Mecze[[#This Row],[OB]]=0,0,Mecze[[#This Row],[OB]]/Mecze[[#This Row],[CZAS]])</f>
        <v>0</v>
      </c>
      <c r="R3561" s="32">
        <f>IF(Mecze[[#This Row],[BR]]=0,0,Mecze[[#This Row],[BR]]/Mecze[[#This Row],[CZAS]])</f>
        <v>0</v>
      </c>
      <c r="S3561" s="44">
        <f>IF(Mecze[[#This Row],[Role]]="BR",SUMPRODUCT(Mecze[[#This Row],[/PR:90]:[/BR:90]],Brudnopis!$E$23:$J$23),0)</f>
        <v>0</v>
      </c>
      <c r="T3561" s="44">
        <f>IF(Mecze[[#This Row],[Role]]&lt;&gt;"BR",SUMPRODUCT(Mecze[[#This Row],[/PR:90]:[/BR:90]],Brudnopis!$E$24:$J$24),0)</f>
        <v>6.3157894736842107E-2</v>
      </c>
      <c r="U3561" s="44">
        <f>IF(Mecze[[#This Row],[Role]]&lt;&gt;"BR",SUMPRODUCT(Mecze[[#This Row],[/PR:90]:[/BR:90]],Brudnopis!$E$25:$J$25),0)</f>
        <v>7.8947368421052627E-2</v>
      </c>
      <c r="V3561" s="44">
        <f>IF(Mecze[[#This Row],[Role]]&lt;&gt;"BR",SUMPRODUCT(Mecze[[#This Row],[/PR:90]:[/BR:90]],Brudnopis!$E$26:$J$26),0)</f>
        <v>6.3157894736842107E-2</v>
      </c>
      <c r="W3561" s="44">
        <f>IF(Mecze[[#This Row],[Role]]&lt;&gt;"BR",SUMPRODUCT(Mecze[[#This Row],[/PR:90]:[/BR:90]],Brudnopis!$E$27:$J$27),0)</f>
        <v>7.1052631578947367E-2</v>
      </c>
      <c r="X3561" s="44">
        <f>IF(Mecze[[#This Row],[Role]]&lt;&gt;"BR",SUMPRODUCT(Mecze[[#This Row],[/PR:90]:[/BR:90]],Brudnopis!$E$28:$J$28),0)</f>
        <v>3.1578947368421054E-2</v>
      </c>
      <c r="Y3561" s="35">
        <f>IF(Mecze[[#This Row],[Role]]="BR",Mecze[[#This Row],[/OB:90]]+Mecze[[#This Row],[/PC:90]],SUM(Mecze[[#This Row],[/PR:90]:[/BR:90]]))</f>
        <v>6.3157894736842107E-2</v>
      </c>
      <c r="Z3561" s="35">
        <f>IF(Mecze[[#This Row],[KC]]=0,SUM(Mecze[[#This Row],[/BRI]:[/NPI]]),SUM(Mecze[[#This Row],[/BRI]:[/NPI]])*0.6)</f>
        <v>0.30789473684210522</v>
      </c>
      <c r="AA3561" s="10">
        <f>IFERROR(Mecze[[#This Row],[BR]]/Mecze[[#This Row],[ST]],0)</f>
        <v>0</v>
      </c>
      <c r="AB3561">
        <f>ROUND(Mecze[[#This Row],[PD]]*Mecze[[#This Row],[%PC]],0)</f>
        <v>3</v>
      </c>
      <c r="AC3561">
        <f>ROUND(Mecze[[#This Row],[OD]]*Mecze[[#This Row],[%OU]],0)</f>
        <v>0</v>
      </c>
      <c r="AD3561" s="36" t="s">
        <v>167</v>
      </c>
      <c r="AE3561" s="36">
        <v>199</v>
      </c>
      <c r="AF3561" s="71">
        <v>7.67</v>
      </c>
      <c r="AG3561" s="37">
        <v>0</v>
      </c>
      <c r="AH3561" s="37">
        <v>0</v>
      </c>
      <c r="AI3561" s="37">
        <v>95</v>
      </c>
      <c r="AJ3561" s="37">
        <v>7</v>
      </c>
      <c r="AK3561" s="37" t="str">
        <f>VLOOKUP(Mecze[[#This Row],[Match ID]],Meczusie[Mecz]:Meczusie[RodzajMeczu],2,FALSE)</f>
        <v>Liga</v>
      </c>
    </row>
    <row r="3562" spans="1:37" x14ac:dyDescent="0.25">
      <c r="A3562" s="76">
        <v>153</v>
      </c>
      <c r="B3562" s="3" t="s">
        <v>432</v>
      </c>
      <c r="C3562" s="2" t="s">
        <v>160</v>
      </c>
      <c r="D3562" s="1">
        <v>0</v>
      </c>
      <c r="E3562" s="1">
        <v>0</v>
      </c>
      <c r="F3562" s="1">
        <v>0</v>
      </c>
      <c r="G3562" s="1">
        <v>14</v>
      </c>
      <c r="H3562" s="4">
        <v>0.56999999999999995</v>
      </c>
      <c r="I3562" s="1">
        <v>16</v>
      </c>
      <c r="J3562" s="4">
        <v>0.25</v>
      </c>
      <c r="K3562" s="1">
        <v>0</v>
      </c>
      <c r="L3562" s="1">
        <v>5</v>
      </c>
      <c r="M3562" s="32">
        <f>IF(Mecze[[#This Row],[PR]]=0,0,Mecze[[#This Row],[PR]]/Mecze[[#This Row],[CZAS]])</f>
        <v>5.2631578947368418E-2</v>
      </c>
      <c r="N3562" s="32">
        <f>IF(Mecze[[#This Row],[OU]]=0,0,Mecze[[#This Row],[OU]]/Mecze[[#This Row],[CZAS]])</f>
        <v>4.2105263157894736E-2</v>
      </c>
      <c r="O3562" s="32">
        <f>IF(Mecze[[#This Row],[PC]]=0,0,Mecze[[#This Row],[PC]]/Mecze[[#This Row],[CZAS]])</f>
        <v>8.4210526315789472E-2</v>
      </c>
      <c r="P3562" s="32">
        <f>IF(Mecze[[#This Row],[SC]]=0,0,Mecze[[#This Row],[SC]]/Mecze[[#This Row],[CZAS]])</f>
        <v>0</v>
      </c>
      <c r="Q3562" s="32">
        <f>IF(Mecze[[#This Row],[OB]]=0,0,Mecze[[#This Row],[OB]]/Mecze[[#This Row],[CZAS]])</f>
        <v>0</v>
      </c>
      <c r="R3562" s="32">
        <f>IF(Mecze[[#This Row],[BR]]=0,0,Mecze[[#This Row],[BR]]/Mecze[[#This Row],[CZAS]])</f>
        <v>0</v>
      </c>
      <c r="S3562" s="44">
        <f>IF(Mecze[[#This Row],[Role]]="BR",SUMPRODUCT(Mecze[[#This Row],[/PR:90]:[/BR:90]],Brudnopis!$E$23:$J$23),0)</f>
        <v>0</v>
      </c>
      <c r="T3562" s="44">
        <f>IF(Mecze[[#This Row],[Role]]&lt;&gt;"BR",SUMPRODUCT(Mecze[[#This Row],[/PR:90]:[/BR:90]],Brudnopis!$E$24:$J$24),0)</f>
        <v>0.2</v>
      </c>
      <c r="U3562" s="44">
        <f>IF(Mecze[[#This Row],[Role]]&lt;&gt;"BR",SUMPRODUCT(Mecze[[#This Row],[/PR:90]:[/BR:90]],Brudnopis!$E$25:$J$25),0)</f>
        <v>0.22105263157894736</v>
      </c>
      <c r="V3562" s="44">
        <f>IF(Mecze[[#This Row],[Role]]&lt;&gt;"BR",SUMPRODUCT(Mecze[[#This Row],[/PR:90]:[/BR:90]],Brudnopis!$E$26:$J$26),0)</f>
        <v>0.17894736842105263</v>
      </c>
      <c r="W3562" s="44">
        <f>IF(Mecze[[#This Row],[Role]]&lt;&gt;"BR",SUMPRODUCT(Mecze[[#This Row],[/PR:90]:[/BR:90]],Brudnopis!$E$27:$J$27),0)</f>
        <v>0.19736842105263158</v>
      </c>
      <c r="X3562" s="44">
        <f>IF(Mecze[[#This Row],[Role]]&lt;&gt;"BR",SUMPRODUCT(Mecze[[#This Row],[/PR:90]:[/BR:90]],Brudnopis!$E$28:$J$28),0)</f>
        <v>8.4210526315789472E-2</v>
      </c>
      <c r="Y3562" s="35">
        <f>IF(Mecze[[#This Row],[Role]]="BR",Mecze[[#This Row],[/OB:90]]+Mecze[[#This Row],[/PC:90]],SUM(Mecze[[#This Row],[/PR:90]:[/BR:90]]))</f>
        <v>0.17894736842105263</v>
      </c>
      <c r="Z3562" s="35">
        <f>IF(Mecze[[#This Row],[KC]]=0,SUM(Mecze[[#This Row],[/BRI]:[/NPI]]),SUM(Mecze[[#This Row],[/BRI]:[/NPI]])*0.6)</f>
        <v>0.88157894736842102</v>
      </c>
      <c r="AA3562" s="10">
        <f>IFERROR(Mecze[[#This Row],[BR]]/Mecze[[#This Row],[ST]],0)</f>
        <v>0</v>
      </c>
      <c r="AB3562">
        <f>ROUND(Mecze[[#This Row],[PD]]*Mecze[[#This Row],[%PC]],0)</f>
        <v>8</v>
      </c>
      <c r="AC3562">
        <f>ROUND(Mecze[[#This Row],[OD]]*Mecze[[#This Row],[%OU]],0)</f>
        <v>4</v>
      </c>
      <c r="AD3562" s="36" t="s">
        <v>41</v>
      </c>
      <c r="AE3562" s="36">
        <v>199</v>
      </c>
      <c r="AF3562" s="71">
        <v>9.3000000000000007</v>
      </c>
      <c r="AG3562" s="37">
        <v>0</v>
      </c>
      <c r="AH3562" s="37">
        <v>0</v>
      </c>
      <c r="AI3562" s="37">
        <v>95</v>
      </c>
      <c r="AJ3562" s="37">
        <v>7</v>
      </c>
      <c r="AK3562" s="37" t="str">
        <f>VLOOKUP(Mecze[[#This Row],[Match ID]],Meczusie[Mecz]:Meczusie[RodzajMeczu],2,FALSE)</f>
        <v>Liga</v>
      </c>
    </row>
    <row r="3563" spans="1:37" x14ac:dyDescent="0.25">
      <c r="A3563" s="76">
        <v>159</v>
      </c>
      <c r="B3563" s="3" t="s">
        <v>338</v>
      </c>
      <c r="C3563" s="2" t="s">
        <v>160</v>
      </c>
      <c r="D3563" s="1">
        <v>0</v>
      </c>
      <c r="E3563" s="1">
        <v>0</v>
      </c>
      <c r="F3563" s="1">
        <v>0</v>
      </c>
      <c r="G3563" s="1">
        <v>9</v>
      </c>
      <c r="H3563" s="4">
        <v>0.89</v>
      </c>
      <c r="I3563" s="1">
        <v>6</v>
      </c>
      <c r="J3563" s="4">
        <v>0</v>
      </c>
      <c r="K3563" s="1">
        <v>0</v>
      </c>
      <c r="L3563" s="1">
        <v>6</v>
      </c>
      <c r="M3563" s="32">
        <f>IF(Mecze[[#This Row],[PR]]=0,0,Mecze[[#This Row],[PR]]/Mecze[[#This Row],[CZAS]])</f>
        <v>6.3157894736842107E-2</v>
      </c>
      <c r="N3563" s="32">
        <f>IF(Mecze[[#This Row],[OU]]=0,0,Mecze[[#This Row],[OU]]/Mecze[[#This Row],[CZAS]])</f>
        <v>0</v>
      </c>
      <c r="O3563" s="32">
        <f>IF(Mecze[[#This Row],[PC]]=0,0,Mecze[[#This Row],[PC]]/Mecze[[#This Row],[CZAS]])</f>
        <v>8.4210526315789472E-2</v>
      </c>
      <c r="P3563" s="32">
        <f>IF(Mecze[[#This Row],[SC]]=0,0,Mecze[[#This Row],[SC]]/Mecze[[#This Row],[CZAS]])</f>
        <v>0</v>
      </c>
      <c r="Q3563" s="32">
        <f>IF(Mecze[[#This Row],[OB]]=0,0,Mecze[[#This Row],[OB]]/Mecze[[#This Row],[CZAS]])</f>
        <v>0</v>
      </c>
      <c r="R3563" s="32">
        <f>IF(Mecze[[#This Row],[BR]]=0,0,Mecze[[#This Row],[BR]]/Mecze[[#This Row],[CZAS]])</f>
        <v>0</v>
      </c>
      <c r="S3563" s="44">
        <f>IF(Mecze[[#This Row],[Role]]="BR",SUMPRODUCT(Mecze[[#This Row],[/PR:90]:[/BR:90]],Brudnopis!$E$23:$J$23),0)</f>
        <v>0</v>
      </c>
      <c r="T3563" s="44">
        <f>IF(Mecze[[#This Row],[Role]]&lt;&gt;"BR",SUMPRODUCT(Mecze[[#This Row],[/PR:90]:[/BR:90]],Brudnopis!$E$24:$J$24),0)</f>
        <v>0.14736842105263159</v>
      </c>
      <c r="U3563" s="44">
        <f>IF(Mecze[[#This Row],[Role]]&lt;&gt;"BR",SUMPRODUCT(Mecze[[#This Row],[/PR:90]:[/BR:90]],Brudnopis!$E$25:$J$25),0)</f>
        <v>0.18947368421052632</v>
      </c>
      <c r="V3563" s="44">
        <f>IF(Mecze[[#This Row],[Role]]&lt;&gt;"BR",SUMPRODUCT(Mecze[[#This Row],[/PR:90]:[/BR:90]],Brudnopis!$E$26:$J$26),0)</f>
        <v>0.14736842105263159</v>
      </c>
      <c r="W3563" s="44">
        <f>IF(Mecze[[#This Row],[Role]]&lt;&gt;"BR",SUMPRODUCT(Mecze[[#This Row],[/PR:90]:[/BR:90]],Brudnopis!$E$27:$J$27),0)</f>
        <v>0.1736842105263158</v>
      </c>
      <c r="X3563" s="44">
        <f>IF(Mecze[[#This Row],[Role]]&lt;&gt;"BR",SUMPRODUCT(Mecze[[#This Row],[/PR:90]:[/BR:90]],Brudnopis!$E$28:$J$28),0)</f>
        <v>8.4210526315789472E-2</v>
      </c>
      <c r="Y3563" s="35">
        <f>IF(Mecze[[#This Row],[Role]]="BR",Mecze[[#This Row],[/OB:90]]+Mecze[[#This Row],[/PC:90]],SUM(Mecze[[#This Row],[/PR:90]:[/BR:90]]))</f>
        <v>0.14736842105263159</v>
      </c>
      <c r="Z3563" s="35">
        <f>IF(Mecze[[#This Row],[KC]]=0,SUM(Mecze[[#This Row],[/BRI]:[/NPI]]),SUM(Mecze[[#This Row],[/BRI]:[/NPI]])*0.6)</f>
        <v>0.74210526315789482</v>
      </c>
      <c r="AA3563" s="10">
        <f>IFERROR(Mecze[[#This Row],[BR]]/Mecze[[#This Row],[ST]],0)</f>
        <v>0</v>
      </c>
      <c r="AB3563">
        <f>ROUND(Mecze[[#This Row],[PD]]*Mecze[[#This Row],[%PC]],0)</f>
        <v>8</v>
      </c>
      <c r="AC3563">
        <f>ROUND(Mecze[[#This Row],[OD]]*Mecze[[#This Row],[%OU]],0)</f>
        <v>0</v>
      </c>
      <c r="AD3563" s="36" t="s">
        <v>41</v>
      </c>
      <c r="AE3563" s="36">
        <v>199</v>
      </c>
      <c r="AF3563" s="71">
        <v>10.42</v>
      </c>
      <c r="AG3563" s="37">
        <v>0</v>
      </c>
      <c r="AH3563" s="37">
        <v>0</v>
      </c>
      <c r="AI3563" s="37">
        <v>95</v>
      </c>
      <c r="AJ3563" s="37">
        <v>7</v>
      </c>
      <c r="AK3563" s="37" t="str">
        <f>VLOOKUP(Mecze[[#This Row],[Match ID]],Meczusie[Mecz]:Meczusie[RodzajMeczu],2,FALSE)</f>
        <v>Liga</v>
      </c>
    </row>
    <row r="3564" spans="1:37" x14ac:dyDescent="0.25">
      <c r="A3564" s="76">
        <v>200</v>
      </c>
      <c r="B3564" s="3" t="s">
        <v>339</v>
      </c>
      <c r="C3564" s="2" t="s">
        <v>160</v>
      </c>
      <c r="D3564" s="1">
        <v>0</v>
      </c>
      <c r="E3564" s="1">
        <v>0</v>
      </c>
      <c r="F3564" s="1">
        <v>0</v>
      </c>
      <c r="G3564" s="1">
        <v>11</v>
      </c>
      <c r="H3564" s="4">
        <v>0.55000000000000004</v>
      </c>
      <c r="I3564" s="1">
        <v>3</v>
      </c>
      <c r="J3564" s="4">
        <v>0.33</v>
      </c>
      <c r="K3564" s="1">
        <v>0</v>
      </c>
      <c r="L3564" s="1">
        <v>7</v>
      </c>
      <c r="M3564" s="32">
        <f>IF(Mecze[[#This Row],[PR]]=0,0,Mecze[[#This Row],[PR]]/Mecze[[#This Row],[CZAS]])</f>
        <v>7.3684210526315783E-2</v>
      </c>
      <c r="N3564" s="32">
        <f>IF(Mecze[[#This Row],[OU]]=0,0,Mecze[[#This Row],[OU]]/Mecze[[#This Row],[CZAS]])</f>
        <v>1.0526315789473684E-2</v>
      </c>
      <c r="O3564" s="32">
        <f>IF(Mecze[[#This Row],[PC]]=0,0,Mecze[[#This Row],[PC]]/Mecze[[#This Row],[CZAS]])</f>
        <v>6.3157894736842107E-2</v>
      </c>
      <c r="P3564" s="32">
        <f>IF(Mecze[[#This Row],[SC]]=0,0,Mecze[[#This Row],[SC]]/Mecze[[#This Row],[CZAS]])</f>
        <v>0</v>
      </c>
      <c r="Q3564" s="32">
        <f>IF(Mecze[[#This Row],[OB]]=0,0,Mecze[[#This Row],[OB]]/Mecze[[#This Row],[CZAS]])</f>
        <v>0</v>
      </c>
      <c r="R3564" s="32">
        <f>IF(Mecze[[#This Row],[BR]]=0,0,Mecze[[#This Row],[BR]]/Mecze[[#This Row],[CZAS]])</f>
        <v>0</v>
      </c>
      <c r="S3564" s="44">
        <f>IF(Mecze[[#This Row],[Role]]="BR",SUMPRODUCT(Mecze[[#This Row],[/PR:90]:[/BR:90]],Brudnopis!$E$23:$J$23),0)</f>
        <v>0</v>
      </c>
      <c r="T3564" s="44">
        <f>IF(Mecze[[#This Row],[Role]]&lt;&gt;"BR",SUMPRODUCT(Mecze[[#This Row],[/PR:90]:[/BR:90]],Brudnopis!$E$24:$J$24),0)</f>
        <v>0.15263157894736842</v>
      </c>
      <c r="U3564" s="44">
        <f>IF(Mecze[[#This Row],[Role]]&lt;&gt;"BR",SUMPRODUCT(Mecze[[#This Row],[/PR:90]:[/BR:90]],Brudnopis!$E$25:$J$25),0)</f>
        <v>0.17894736842105263</v>
      </c>
      <c r="V3564" s="44">
        <f>IF(Mecze[[#This Row],[Role]]&lt;&gt;"BR",SUMPRODUCT(Mecze[[#This Row],[/PR:90]:[/BR:90]],Brudnopis!$E$26:$J$26),0)</f>
        <v>0.14736842105263159</v>
      </c>
      <c r="W3564" s="44">
        <f>IF(Mecze[[#This Row],[Role]]&lt;&gt;"BR",SUMPRODUCT(Mecze[[#This Row],[/PR:90]:[/BR:90]],Brudnopis!$E$27:$J$27),0)</f>
        <v>0.15789473684210525</v>
      </c>
      <c r="X3564" s="44">
        <f>IF(Mecze[[#This Row],[Role]]&lt;&gt;"BR",SUMPRODUCT(Mecze[[#This Row],[/PR:90]:[/BR:90]],Brudnopis!$E$28:$J$28),0)</f>
        <v>6.3157894736842107E-2</v>
      </c>
      <c r="Y3564" s="35">
        <f>IF(Mecze[[#This Row],[Role]]="BR",Mecze[[#This Row],[/OB:90]]+Mecze[[#This Row],[/PC:90]],SUM(Mecze[[#This Row],[/PR:90]:[/BR:90]]))</f>
        <v>0.14736842105263159</v>
      </c>
      <c r="Z3564" s="35">
        <f>IF(Mecze[[#This Row],[KC]]=0,SUM(Mecze[[#This Row],[/BRI]:[/NPI]]),SUM(Mecze[[#This Row],[/BRI]:[/NPI]])*0.6)</f>
        <v>0.7</v>
      </c>
      <c r="AA3564" s="10">
        <f>IFERROR(Mecze[[#This Row],[BR]]/Mecze[[#This Row],[ST]],0)</f>
        <v>0</v>
      </c>
      <c r="AB3564">
        <f>ROUND(Mecze[[#This Row],[PD]]*Mecze[[#This Row],[%PC]],0)</f>
        <v>6</v>
      </c>
      <c r="AC3564">
        <f>ROUND(Mecze[[#This Row],[OD]]*Mecze[[#This Row],[%OU]],0)</f>
        <v>1</v>
      </c>
      <c r="AD3564" s="36" t="s">
        <v>67</v>
      </c>
      <c r="AE3564" s="36">
        <v>199</v>
      </c>
      <c r="AF3564" s="71">
        <v>9.7200000000000006</v>
      </c>
      <c r="AG3564" s="37">
        <v>0</v>
      </c>
      <c r="AH3564" s="37">
        <v>0</v>
      </c>
      <c r="AI3564" s="37">
        <v>95</v>
      </c>
      <c r="AJ3564" s="37">
        <v>7</v>
      </c>
      <c r="AK3564" s="37" t="str">
        <f>VLOOKUP(Mecze[[#This Row],[Match ID]],Meczusie[Mecz]:Meczusie[RodzajMeczu],2,FALSE)</f>
        <v>Liga</v>
      </c>
    </row>
    <row r="3565" spans="1:37" x14ac:dyDescent="0.25">
      <c r="A3565" s="76">
        <v>101</v>
      </c>
      <c r="B3565" s="3" t="s">
        <v>444</v>
      </c>
      <c r="C3565" s="2" t="s">
        <v>160</v>
      </c>
      <c r="D3565" s="1">
        <v>0</v>
      </c>
      <c r="E3565" s="1">
        <v>0</v>
      </c>
      <c r="F3565" s="1">
        <v>0</v>
      </c>
      <c r="G3565" s="1">
        <v>5</v>
      </c>
      <c r="H3565" s="4">
        <v>0.6</v>
      </c>
      <c r="I3565" s="1">
        <v>0</v>
      </c>
      <c r="J3565" s="4"/>
      <c r="K3565" s="1">
        <v>0</v>
      </c>
      <c r="L3565" s="1">
        <v>0</v>
      </c>
      <c r="M3565" s="32">
        <f>IF(Mecze[[#This Row],[PR]]=0,0,Mecze[[#This Row],[PR]]/Mecze[[#This Row],[CZAS]])</f>
        <v>0</v>
      </c>
      <c r="N3565" s="32">
        <f>IF(Mecze[[#This Row],[OU]]=0,0,Mecze[[#This Row],[OU]]/Mecze[[#This Row],[CZAS]])</f>
        <v>0</v>
      </c>
      <c r="O3565" s="32">
        <f>IF(Mecze[[#This Row],[PC]]=0,0,Mecze[[#This Row],[PC]]/Mecze[[#This Row],[CZAS]])</f>
        <v>3.896103896103896E-2</v>
      </c>
      <c r="P3565" s="32">
        <f>IF(Mecze[[#This Row],[SC]]=0,0,Mecze[[#This Row],[SC]]/Mecze[[#This Row],[CZAS]])</f>
        <v>0</v>
      </c>
      <c r="Q3565" s="32">
        <f>IF(Mecze[[#This Row],[OB]]=0,0,Mecze[[#This Row],[OB]]/Mecze[[#This Row],[CZAS]])</f>
        <v>0</v>
      </c>
      <c r="R3565" s="32">
        <f>IF(Mecze[[#This Row],[BR]]=0,0,Mecze[[#This Row],[BR]]/Mecze[[#This Row],[CZAS]])</f>
        <v>0</v>
      </c>
      <c r="S3565" s="44">
        <f>IF(Mecze[[#This Row],[Role]]="BR",SUMPRODUCT(Mecze[[#This Row],[/PR:90]:[/BR:90]],Brudnopis!$E$23:$J$23),0)</f>
        <v>0</v>
      </c>
      <c r="T3565" s="44">
        <f>IF(Mecze[[#This Row],[Role]]&lt;&gt;"BR",SUMPRODUCT(Mecze[[#This Row],[/PR:90]:[/BR:90]],Brudnopis!$E$24:$J$24),0)</f>
        <v>3.896103896103896E-2</v>
      </c>
      <c r="U3565" s="44">
        <f>IF(Mecze[[#This Row],[Role]]&lt;&gt;"BR",SUMPRODUCT(Mecze[[#This Row],[/PR:90]:[/BR:90]],Brudnopis!$E$25:$J$25),0)</f>
        <v>5.844155844155844E-2</v>
      </c>
      <c r="V3565" s="44">
        <f>IF(Mecze[[#This Row],[Role]]&lt;&gt;"BR",SUMPRODUCT(Mecze[[#This Row],[/PR:90]:[/BR:90]],Brudnopis!$E$26:$J$26),0)</f>
        <v>3.896103896103896E-2</v>
      </c>
      <c r="W3565" s="44">
        <f>IF(Mecze[[#This Row],[Role]]&lt;&gt;"BR",SUMPRODUCT(Mecze[[#This Row],[/PR:90]:[/BR:90]],Brudnopis!$E$27:$J$27),0)</f>
        <v>5.844155844155844E-2</v>
      </c>
      <c r="X3565" s="44">
        <f>IF(Mecze[[#This Row],[Role]]&lt;&gt;"BR",SUMPRODUCT(Mecze[[#This Row],[/PR:90]:[/BR:90]],Brudnopis!$E$28:$J$28),0)</f>
        <v>3.896103896103896E-2</v>
      </c>
      <c r="Y3565" s="35">
        <f>IF(Mecze[[#This Row],[Role]]="BR",Mecze[[#This Row],[/OB:90]]+Mecze[[#This Row],[/PC:90]],SUM(Mecze[[#This Row],[/PR:90]:[/BR:90]]))</f>
        <v>3.896103896103896E-2</v>
      </c>
      <c r="Z3565" s="35">
        <f>IF(Mecze[[#This Row],[KC]]=0,SUM(Mecze[[#This Row],[/BRI]:[/NPI]]),SUM(Mecze[[#This Row],[/BRI]:[/NPI]])*0.6)</f>
        <v>0.23376623376623373</v>
      </c>
      <c r="AA3565" s="10">
        <f>IFERROR(Mecze[[#This Row],[BR]]/Mecze[[#This Row],[ST]],0)</f>
        <v>0</v>
      </c>
      <c r="AB3565">
        <f>ROUND(Mecze[[#This Row],[PD]]*Mecze[[#This Row],[%PC]],0)</f>
        <v>3</v>
      </c>
      <c r="AC3565">
        <f>ROUND(Mecze[[#This Row],[OD]]*Mecze[[#This Row],[%OU]],0)</f>
        <v>0</v>
      </c>
      <c r="AD3565" s="36" t="s">
        <v>299</v>
      </c>
      <c r="AE3565" s="36">
        <v>199</v>
      </c>
      <c r="AF3565" s="71">
        <v>8.25</v>
      </c>
      <c r="AG3565" s="37">
        <v>0</v>
      </c>
      <c r="AH3565" s="37">
        <v>0</v>
      </c>
      <c r="AI3565" s="37">
        <v>77</v>
      </c>
      <c r="AJ3565" s="37">
        <v>7</v>
      </c>
      <c r="AK3565" s="37" t="str">
        <f>VLOOKUP(Mecze[[#This Row],[Match ID]],Meczusie[Mecz]:Meczusie[RodzajMeczu],2,FALSE)</f>
        <v>Liga</v>
      </c>
    </row>
    <row r="3566" spans="1:37" x14ac:dyDescent="0.25">
      <c r="A3566" s="76">
        <v>201</v>
      </c>
      <c r="B3566" s="3" t="s">
        <v>456</v>
      </c>
      <c r="C3566" s="2" t="s">
        <v>160</v>
      </c>
      <c r="D3566" s="1">
        <v>1</v>
      </c>
      <c r="E3566" s="1">
        <v>1</v>
      </c>
      <c r="F3566" s="1">
        <v>1</v>
      </c>
      <c r="G3566" s="1">
        <v>5</v>
      </c>
      <c r="H3566" s="4">
        <v>0.2</v>
      </c>
      <c r="I3566" s="1">
        <v>3</v>
      </c>
      <c r="J3566" s="4">
        <v>0</v>
      </c>
      <c r="K3566" s="1">
        <v>0</v>
      </c>
      <c r="L3566" s="1">
        <v>1</v>
      </c>
      <c r="M3566" s="32">
        <f>IF(Mecze[[#This Row],[PR]]=0,0,Mecze[[#This Row],[PR]]/Mecze[[#This Row],[CZAS]])</f>
        <v>1.0526315789473684E-2</v>
      </c>
      <c r="N3566" s="32">
        <f>IF(Mecze[[#This Row],[OU]]=0,0,Mecze[[#This Row],[OU]]/Mecze[[#This Row],[CZAS]])</f>
        <v>0</v>
      </c>
      <c r="O3566" s="32">
        <f>IF(Mecze[[#This Row],[PC]]=0,0,Mecze[[#This Row],[PC]]/Mecze[[#This Row],[CZAS]])</f>
        <v>1.0526315789473684E-2</v>
      </c>
      <c r="P3566" s="32">
        <f>IF(Mecze[[#This Row],[SC]]=0,0,Mecze[[#This Row],[SC]]/Mecze[[#This Row],[CZAS]])</f>
        <v>1.0526315789473684E-2</v>
      </c>
      <c r="Q3566" s="32">
        <f>IF(Mecze[[#This Row],[OB]]=0,0,Mecze[[#This Row],[OB]]/Mecze[[#This Row],[CZAS]])</f>
        <v>0</v>
      </c>
      <c r="R3566" s="32">
        <f>IF(Mecze[[#This Row],[BR]]=0,0,Mecze[[#This Row],[BR]]/Mecze[[#This Row],[CZAS]])</f>
        <v>1.0526315789473684E-2</v>
      </c>
      <c r="S3566" s="44">
        <f>IF(Mecze[[#This Row],[Role]]="BR",SUMPRODUCT(Mecze[[#This Row],[/PR:90]:[/BR:90]],Brudnopis!$E$23:$J$23),0)</f>
        <v>0</v>
      </c>
      <c r="T3566" s="44">
        <f>IF(Mecze[[#This Row],[Role]]&lt;&gt;"BR",SUMPRODUCT(Mecze[[#This Row],[/PR:90]:[/BR:90]],Brudnopis!$E$24:$J$24),0)</f>
        <v>4.736842105263158E-2</v>
      </c>
      <c r="U3566" s="44">
        <f>IF(Mecze[[#This Row],[Role]]&lt;&gt;"BR",SUMPRODUCT(Mecze[[#This Row],[/PR:90]:[/BR:90]],Brudnopis!$E$25:$J$25),0)</f>
        <v>5.2631578947368418E-2</v>
      </c>
      <c r="V3566" s="44">
        <f>IF(Mecze[[#This Row],[Role]]&lt;&gt;"BR",SUMPRODUCT(Mecze[[#This Row],[/PR:90]:[/BR:90]],Brudnopis!$E$26:$J$26),0)</f>
        <v>5.2631578947368418E-2</v>
      </c>
      <c r="W3566" s="44">
        <f>IF(Mecze[[#This Row],[Role]]&lt;&gt;"BR",SUMPRODUCT(Mecze[[#This Row],[/PR:90]:[/BR:90]],Brudnopis!$E$27:$J$27),0)</f>
        <v>5.5263157894736847E-2</v>
      </c>
      <c r="X3566" s="44">
        <f>IF(Mecze[[#This Row],[Role]]&lt;&gt;"BR",SUMPRODUCT(Mecze[[#This Row],[/PR:90]:[/BR:90]],Brudnopis!$E$28:$J$28),0)</f>
        <v>6.3157894736842107E-2</v>
      </c>
      <c r="Y3566" s="35">
        <f>IF(Mecze[[#This Row],[Role]]="BR",Mecze[[#This Row],[/OB:90]]+Mecze[[#This Row],[/PC:90]],SUM(Mecze[[#This Row],[/PR:90]:[/BR:90]]))</f>
        <v>4.2105263157894736E-2</v>
      </c>
      <c r="Z3566" s="35">
        <f>IF(Mecze[[#This Row],[KC]]=0,SUM(Mecze[[#This Row],[/BRI]:[/NPI]]),SUM(Mecze[[#This Row],[/BRI]:[/NPI]])*0.6)</f>
        <v>0.27105263157894738</v>
      </c>
      <c r="AA3566" s="10">
        <f>IFERROR(Mecze[[#This Row],[BR]]/Mecze[[#This Row],[ST]],0)</f>
        <v>1</v>
      </c>
      <c r="AB3566">
        <f>ROUND(Mecze[[#This Row],[PD]]*Mecze[[#This Row],[%PC]],0)</f>
        <v>1</v>
      </c>
      <c r="AC3566">
        <f>ROUND(Mecze[[#This Row],[OD]]*Mecze[[#This Row],[%OU]],0)</f>
        <v>0</v>
      </c>
      <c r="AD3566" s="36" t="s">
        <v>44</v>
      </c>
      <c r="AE3566" s="36">
        <v>199</v>
      </c>
      <c r="AF3566" s="71">
        <v>9.59</v>
      </c>
      <c r="AG3566" s="37">
        <v>0</v>
      </c>
      <c r="AH3566" s="37">
        <v>0</v>
      </c>
      <c r="AI3566" s="37">
        <v>95</v>
      </c>
      <c r="AJ3566" s="37">
        <v>7</v>
      </c>
      <c r="AK3566" s="37" t="str">
        <f>VLOOKUP(Mecze[[#This Row],[Match ID]],Meczusie[Mecz]:Meczusie[RodzajMeczu],2,FALSE)</f>
        <v>Liga</v>
      </c>
    </row>
    <row r="3567" spans="1:37" x14ac:dyDescent="0.25">
      <c r="A3567" s="76">
        <v>203</v>
      </c>
      <c r="B3567" s="3" t="s">
        <v>342</v>
      </c>
      <c r="C3567" s="2" t="s">
        <v>165</v>
      </c>
      <c r="D3567" s="1">
        <v>1</v>
      </c>
      <c r="E3567" s="1">
        <v>6</v>
      </c>
      <c r="F3567" s="1">
        <v>4</v>
      </c>
      <c r="G3567" s="1">
        <v>7</v>
      </c>
      <c r="H3567" s="4">
        <v>0.43</v>
      </c>
      <c r="I3567" s="1">
        <v>1</v>
      </c>
      <c r="J3567" s="4">
        <v>0</v>
      </c>
      <c r="K3567" s="1">
        <v>0</v>
      </c>
      <c r="L3567" s="1">
        <v>5</v>
      </c>
      <c r="M3567" s="32">
        <f>IF(Mecze[[#This Row],[PR]]=0,0,Mecze[[#This Row],[PR]]/Mecze[[#This Row],[CZAS]])</f>
        <v>5.2631578947368418E-2</v>
      </c>
      <c r="N3567" s="32">
        <f>IF(Mecze[[#This Row],[OU]]=0,0,Mecze[[#This Row],[OU]]/Mecze[[#This Row],[CZAS]])</f>
        <v>0</v>
      </c>
      <c r="O3567" s="32">
        <f>IF(Mecze[[#This Row],[PC]]=0,0,Mecze[[#This Row],[PC]]/Mecze[[#This Row],[CZAS]])</f>
        <v>3.1578947368421054E-2</v>
      </c>
      <c r="P3567" s="32">
        <f>IF(Mecze[[#This Row],[SC]]=0,0,Mecze[[#This Row],[SC]]/Mecze[[#This Row],[CZAS]])</f>
        <v>4.2105263157894736E-2</v>
      </c>
      <c r="Q3567" s="32">
        <f>IF(Mecze[[#This Row],[OB]]=0,0,Mecze[[#This Row],[OB]]/Mecze[[#This Row],[CZAS]])</f>
        <v>0</v>
      </c>
      <c r="R3567" s="32">
        <f>IF(Mecze[[#This Row],[BR]]=0,0,Mecze[[#This Row],[BR]]/Mecze[[#This Row],[CZAS]])</f>
        <v>1.0526315789473684E-2</v>
      </c>
      <c r="S3567" s="44">
        <f>IF(Mecze[[#This Row],[Role]]="BR",SUMPRODUCT(Mecze[[#This Row],[/PR:90]:[/BR:90]],Brudnopis!$E$23:$J$23),0)</f>
        <v>0</v>
      </c>
      <c r="T3567" s="44">
        <f>IF(Mecze[[#This Row],[Role]]&lt;&gt;"BR",SUMPRODUCT(Mecze[[#This Row],[/PR:90]:[/BR:90]],Brudnopis!$E$24:$J$24),0)</f>
        <v>0.14210526315789473</v>
      </c>
      <c r="U3567" s="44">
        <f>IF(Mecze[[#This Row],[Role]]&lt;&gt;"BR",SUMPRODUCT(Mecze[[#This Row],[/PR:90]:[/BR:90]],Brudnopis!$E$25:$J$25),0)</f>
        <v>0.15789473684210525</v>
      </c>
      <c r="V3567" s="44">
        <f>IF(Mecze[[#This Row],[Role]]&lt;&gt;"BR",SUMPRODUCT(Mecze[[#This Row],[/PR:90]:[/BR:90]],Brudnopis!$E$26:$J$26),0)</f>
        <v>0.14736842105263159</v>
      </c>
      <c r="W3567" s="44">
        <f>IF(Mecze[[#This Row],[Role]]&lt;&gt;"BR",SUMPRODUCT(Mecze[[#This Row],[/PR:90]:[/BR:90]],Brudnopis!$E$27:$J$27),0)</f>
        <v>0.15</v>
      </c>
      <c r="X3567" s="44">
        <f>IF(Mecze[[#This Row],[Role]]&lt;&gt;"BR",SUMPRODUCT(Mecze[[#This Row],[/PR:90]:[/BR:90]],Brudnopis!$E$28:$J$28),0)</f>
        <v>0.14736842105263159</v>
      </c>
      <c r="Y3567" s="35">
        <f>IF(Mecze[[#This Row],[Role]]="BR",Mecze[[#This Row],[/OB:90]]+Mecze[[#This Row],[/PC:90]],SUM(Mecze[[#This Row],[/PR:90]:[/BR:90]]))</f>
        <v>0.1368421052631579</v>
      </c>
      <c r="Z3567" s="35">
        <f>IF(Mecze[[#This Row],[KC]]=0,SUM(Mecze[[#This Row],[/BRI]:[/NPI]]),SUM(Mecze[[#This Row],[/BRI]:[/NPI]])*0.6)</f>
        <v>0.74473684210526314</v>
      </c>
      <c r="AA3567" s="10">
        <f>IFERROR(Mecze[[#This Row],[BR]]/Mecze[[#This Row],[ST]],0)</f>
        <v>0.16666666666666666</v>
      </c>
      <c r="AB3567">
        <f>ROUND(Mecze[[#This Row],[PD]]*Mecze[[#This Row],[%PC]],0)</f>
        <v>3</v>
      </c>
      <c r="AC3567">
        <f>ROUND(Mecze[[#This Row],[OD]]*Mecze[[#This Row],[%OU]],0)</f>
        <v>0</v>
      </c>
      <c r="AD3567" s="36" t="s">
        <v>46</v>
      </c>
      <c r="AE3567" s="36">
        <v>199</v>
      </c>
      <c r="AF3567" s="71">
        <v>7.11</v>
      </c>
      <c r="AG3567" s="37">
        <v>0</v>
      </c>
      <c r="AH3567" s="37">
        <v>0</v>
      </c>
      <c r="AI3567" s="37">
        <v>95</v>
      </c>
      <c r="AJ3567" s="37">
        <v>7</v>
      </c>
      <c r="AK3567" s="37" t="str">
        <f>VLOOKUP(Mecze[[#This Row],[Match ID]],Meczusie[Mecz]:Meczusie[RodzajMeczu],2,FALSE)</f>
        <v>Liga</v>
      </c>
    </row>
    <row r="3568" spans="1:37" x14ac:dyDescent="0.25">
      <c r="A3568" s="76">
        <v>104</v>
      </c>
      <c r="B3568" s="3" t="s">
        <v>343</v>
      </c>
      <c r="C3568" s="2" t="s">
        <v>165</v>
      </c>
      <c r="D3568" s="1">
        <v>1</v>
      </c>
      <c r="E3568" s="1">
        <v>1</v>
      </c>
      <c r="F3568" s="1">
        <v>1</v>
      </c>
      <c r="G3568" s="1">
        <v>10</v>
      </c>
      <c r="H3568" s="4">
        <v>0.7</v>
      </c>
      <c r="I3568" s="1">
        <v>5</v>
      </c>
      <c r="J3568" s="4">
        <v>0.2</v>
      </c>
      <c r="K3568" s="1">
        <v>0</v>
      </c>
      <c r="L3568" s="1">
        <v>0</v>
      </c>
      <c r="M3568" s="32">
        <f>IF(Mecze[[#This Row],[PR]]=0,0,Mecze[[#This Row],[PR]]/Mecze[[#This Row],[CZAS]])</f>
        <v>0</v>
      </c>
      <c r="N3568" s="32">
        <f>IF(Mecze[[#This Row],[OU]]=0,0,Mecze[[#This Row],[OU]]/Mecze[[#This Row],[CZAS]])</f>
        <v>1.0526315789473684E-2</v>
      </c>
      <c r="O3568" s="32">
        <f>IF(Mecze[[#This Row],[PC]]=0,0,Mecze[[#This Row],[PC]]/Mecze[[#This Row],[CZAS]])</f>
        <v>7.3684210526315783E-2</v>
      </c>
      <c r="P3568" s="32">
        <f>IF(Mecze[[#This Row],[SC]]=0,0,Mecze[[#This Row],[SC]]/Mecze[[#This Row],[CZAS]])</f>
        <v>1.0526315789473684E-2</v>
      </c>
      <c r="Q3568" s="32">
        <f>IF(Mecze[[#This Row],[OB]]=0,0,Mecze[[#This Row],[OB]]/Mecze[[#This Row],[CZAS]])</f>
        <v>0</v>
      </c>
      <c r="R3568" s="32">
        <f>IF(Mecze[[#This Row],[BR]]=0,0,Mecze[[#This Row],[BR]]/Mecze[[#This Row],[CZAS]])</f>
        <v>1.0526315789473684E-2</v>
      </c>
      <c r="S3568" s="44">
        <f>IF(Mecze[[#This Row],[Role]]="BR",SUMPRODUCT(Mecze[[#This Row],[/PR:90]:[/BR:90]],Brudnopis!$E$23:$J$23),0)</f>
        <v>0</v>
      </c>
      <c r="T3568" s="44">
        <f>IF(Mecze[[#This Row],[Role]]&lt;&gt;"BR",SUMPRODUCT(Mecze[[#This Row],[/PR:90]:[/BR:90]],Brudnopis!$E$24:$J$24),0)</f>
        <v>0.11578947368421053</v>
      </c>
      <c r="U3568" s="44">
        <f>IF(Mecze[[#This Row],[Role]]&lt;&gt;"BR",SUMPRODUCT(Mecze[[#This Row],[/PR:90]:[/BR:90]],Brudnopis!$E$25:$J$25),0)</f>
        <v>0.14736842105263157</v>
      </c>
      <c r="V3568" s="44">
        <f>IF(Mecze[[#This Row],[Role]]&lt;&gt;"BR",SUMPRODUCT(Mecze[[#This Row],[/PR:90]:[/BR:90]],Brudnopis!$E$26:$J$26),0)</f>
        <v>0.11578947368421053</v>
      </c>
      <c r="W3568" s="44">
        <f>IF(Mecze[[#This Row],[Role]]&lt;&gt;"BR",SUMPRODUCT(Mecze[[#This Row],[/PR:90]:[/BR:90]],Brudnopis!$E$27:$J$27),0)</f>
        <v>0.15</v>
      </c>
      <c r="X3568" s="44">
        <f>IF(Mecze[[#This Row],[Role]]&lt;&gt;"BR",SUMPRODUCT(Mecze[[#This Row],[/PR:90]:[/BR:90]],Brudnopis!$E$28:$J$28),0)</f>
        <v>0.12631578947368421</v>
      </c>
      <c r="Y3568" s="35">
        <f>IF(Mecze[[#This Row],[Role]]="BR",Mecze[[#This Row],[/OB:90]]+Mecze[[#This Row],[/PC:90]],SUM(Mecze[[#This Row],[/PR:90]:[/BR:90]]))</f>
        <v>0.10526315789473685</v>
      </c>
      <c r="Z3568" s="35">
        <f>IF(Mecze[[#This Row],[KC]]=0,SUM(Mecze[[#This Row],[/BRI]:[/NPI]]),SUM(Mecze[[#This Row],[/BRI]:[/NPI]])*0.6)</f>
        <v>0.65526315789473677</v>
      </c>
      <c r="AA3568" s="10">
        <f>IFERROR(Mecze[[#This Row],[BR]]/Mecze[[#This Row],[ST]],0)</f>
        <v>1</v>
      </c>
      <c r="AB3568">
        <f>ROUND(Mecze[[#This Row],[PD]]*Mecze[[#This Row],[%PC]],0)</f>
        <v>7</v>
      </c>
      <c r="AC3568">
        <f>ROUND(Mecze[[#This Row],[OD]]*Mecze[[#This Row],[%OU]],0)</f>
        <v>1</v>
      </c>
      <c r="AD3568" s="36" t="s">
        <v>355</v>
      </c>
      <c r="AE3568" s="36">
        <v>199</v>
      </c>
      <c r="AF3568" s="71">
        <v>7.78</v>
      </c>
      <c r="AG3568" s="37">
        <v>0</v>
      </c>
      <c r="AH3568" s="37">
        <v>0</v>
      </c>
      <c r="AI3568" s="37">
        <v>95</v>
      </c>
      <c r="AJ3568" s="37">
        <v>7</v>
      </c>
      <c r="AK3568" s="37" t="str">
        <f>VLOOKUP(Mecze[[#This Row],[Match ID]],Meczusie[Mecz]:Meczusie[RodzajMeczu],2,FALSE)</f>
        <v>Liga</v>
      </c>
    </row>
    <row r="3569" spans="1:37" x14ac:dyDescent="0.25">
      <c r="A3569" s="76">
        <v>70</v>
      </c>
      <c r="B3569" s="3" t="s">
        <v>341</v>
      </c>
      <c r="C3569" s="2" t="s">
        <v>160</v>
      </c>
      <c r="D3569" s="1">
        <v>0</v>
      </c>
      <c r="E3569" s="1">
        <v>0</v>
      </c>
      <c r="F3569" s="1">
        <v>0</v>
      </c>
      <c r="G3569" s="1">
        <v>2</v>
      </c>
      <c r="H3569" s="4">
        <v>1</v>
      </c>
      <c r="I3569" s="1">
        <v>0</v>
      </c>
      <c r="J3569" s="4"/>
      <c r="K3569" s="1">
        <v>0</v>
      </c>
      <c r="L3569" s="1">
        <v>0</v>
      </c>
      <c r="M3569" s="32">
        <f>IF(Mecze[[#This Row],[PR]]=0,0,Mecze[[#This Row],[PR]]/Mecze[[#This Row],[CZAS]])</f>
        <v>0</v>
      </c>
      <c r="N3569" s="32">
        <f>IF(Mecze[[#This Row],[OU]]=0,0,Mecze[[#This Row],[OU]]/Mecze[[#This Row],[CZAS]])</f>
        <v>0</v>
      </c>
      <c r="O3569" s="32">
        <f>IF(Mecze[[#This Row],[PC]]=0,0,Mecze[[#This Row],[PC]]/Mecze[[#This Row],[CZAS]])</f>
        <v>0.1111111111111111</v>
      </c>
      <c r="P3569" s="32">
        <f>IF(Mecze[[#This Row],[SC]]=0,0,Mecze[[#This Row],[SC]]/Mecze[[#This Row],[CZAS]])</f>
        <v>0</v>
      </c>
      <c r="Q3569" s="32">
        <f>IF(Mecze[[#This Row],[OB]]=0,0,Mecze[[#This Row],[OB]]/Mecze[[#This Row],[CZAS]])</f>
        <v>0</v>
      </c>
      <c r="R3569" s="32">
        <f>IF(Mecze[[#This Row],[BR]]=0,0,Mecze[[#This Row],[BR]]/Mecze[[#This Row],[CZAS]])</f>
        <v>0</v>
      </c>
      <c r="S3569" s="44">
        <f>IF(Mecze[[#This Row],[Role]]="BR",SUMPRODUCT(Mecze[[#This Row],[/PR:90]:[/BR:90]],Brudnopis!$E$23:$J$23),0)</f>
        <v>0</v>
      </c>
      <c r="T3569" s="44">
        <f>IF(Mecze[[#This Row],[Role]]&lt;&gt;"BR",SUMPRODUCT(Mecze[[#This Row],[/PR:90]:[/BR:90]],Brudnopis!$E$24:$J$24),0)</f>
        <v>0.1111111111111111</v>
      </c>
      <c r="U3569" s="44">
        <f>IF(Mecze[[#This Row],[Role]]&lt;&gt;"BR",SUMPRODUCT(Mecze[[#This Row],[/PR:90]:[/BR:90]],Brudnopis!$E$25:$J$25),0)</f>
        <v>0.16666666666666666</v>
      </c>
      <c r="V3569" s="44">
        <f>IF(Mecze[[#This Row],[Role]]&lt;&gt;"BR",SUMPRODUCT(Mecze[[#This Row],[/PR:90]:[/BR:90]],Brudnopis!$E$26:$J$26),0)</f>
        <v>0.1111111111111111</v>
      </c>
      <c r="W3569" s="44">
        <f>IF(Mecze[[#This Row],[Role]]&lt;&gt;"BR",SUMPRODUCT(Mecze[[#This Row],[/PR:90]:[/BR:90]],Brudnopis!$E$27:$J$27),0)</f>
        <v>0.16666666666666666</v>
      </c>
      <c r="X3569" s="44">
        <f>IF(Mecze[[#This Row],[Role]]&lt;&gt;"BR",SUMPRODUCT(Mecze[[#This Row],[/PR:90]:[/BR:90]],Brudnopis!$E$28:$J$28),0)</f>
        <v>0.1111111111111111</v>
      </c>
      <c r="Y3569" s="35">
        <f>IF(Mecze[[#This Row],[Role]]="BR",Mecze[[#This Row],[/OB:90]]+Mecze[[#This Row],[/PC:90]],SUM(Mecze[[#This Row],[/PR:90]:[/BR:90]]))</f>
        <v>0.1111111111111111</v>
      </c>
      <c r="Z3569" s="35">
        <f>IF(Mecze[[#This Row],[KC]]=0,SUM(Mecze[[#This Row],[/BRI]:[/NPI]]),SUM(Mecze[[#This Row],[/BRI]:[/NPI]])*0.6)</f>
        <v>0.66666666666666674</v>
      </c>
      <c r="AA3569" s="10">
        <f>IFERROR(Mecze[[#This Row],[BR]]/Mecze[[#This Row],[ST]],0)</f>
        <v>0</v>
      </c>
      <c r="AB3569">
        <f>ROUND(Mecze[[#This Row],[PD]]*Mecze[[#This Row],[%PC]],0)</f>
        <v>2</v>
      </c>
      <c r="AC3569">
        <f>ROUND(Mecze[[#This Row],[OD]]*Mecze[[#This Row],[%OU]],0)</f>
        <v>0</v>
      </c>
      <c r="AD3569" s="36" t="s">
        <v>299</v>
      </c>
      <c r="AE3569" s="36">
        <v>199</v>
      </c>
      <c r="AF3569" s="71">
        <v>4.84</v>
      </c>
      <c r="AG3569" s="37">
        <v>0</v>
      </c>
      <c r="AH3569" s="37">
        <v>0</v>
      </c>
      <c r="AI3569" s="37">
        <v>18</v>
      </c>
      <c r="AJ3569" s="37">
        <v>7</v>
      </c>
      <c r="AK3569" s="37" t="str">
        <f>VLOOKUP(Mecze[[#This Row],[Match ID]],Meczusie[Mecz]:Meczusie[RodzajMeczu],2,FALSE)</f>
        <v>Liga</v>
      </c>
    </row>
    <row r="3570" spans="1:37" x14ac:dyDescent="0.25">
      <c r="A3570" s="76">
        <v>39</v>
      </c>
      <c r="B3570" s="3" t="s">
        <v>450</v>
      </c>
      <c r="C3570" s="2" t="s">
        <v>155</v>
      </c>
      <c r="D3570" s="1">
        <v>0</v>
      </c>
      <c r="E3570" s="1">
        <v>0</v>
      </c>
      <c r="F3570" s="1">
        <v>0</v>
      </c>
      <c r="G3570" s="1">
        <v>14</v>
      </c>
      <c r="H3570" s="4">
        <v>0.14000000000000001</v>
      </c>
      <c r="I3570" s="1">
        <v>0</v>
      </c>
      <c r="J3570" s="4"/>
      <c r="K3570" s="1">
        <v>12</v>
      </c>
      <c r="L3570" s="1">
        <v>0</v>
      </c>
      <c r="M3570" s="32">
        <f>IF(Mecze[[#This Row],[PR]]=0,0,Mecze[[#This Row],[PR]]/Mecze[[#This Row],[CZAS]])</f>
        <v>0</v>
      </c>
      <c r="N3570" s="32">
        <f>IF(Mecze[[#This Row],[OU]]=0,0,Mecze[[#This Row],[OU]]/Mecze[[#This Row],[CZAS]])</f>
        <v>0</v>
      </c>
      <c r="O3570" s="32">
        <f>IF(Mecze[[#This Row],[PC]]=0,0,Mecze[[#This Row],[PC]]/Mecze[[#This Row],[CZAS]])</f>
        <v>2.1052631578947368E-2</v>
      </c>
      <c r="P3570" s="32">
        <f>IF(Mecze[[#This Row],[SC]]=0,0,Mecze[[#This Row],[SC]]/Mecze[[#This Row],[CZAS]])</f>
        <v>0</v>
      </c>
      <c r="Q3570" s="32">
        <f>IF(Mecze[[#This Row],[OB]]=0,0,Mecze[[#This Row],[OB]]/Mecze[[#This Row],[CZAS]])</f>
        <v>0.12631578947368421</v>
      </c>
      <c r="R3570" s="32">
        <f>IF(Mecze[[#This Row],[BR]]=0,0,Mecze[[#This Row],[BR]]/Mecze[[#This Row],[CZAS]])</f>
        <v>0</v>
      </c>
      <c r="S3570" s="44">
        <f>IF(Mecze[[#This Row],[Role]]="BR",SUMPRODUCT(Mecze[[#This Row],[/PR:90]:[/BR:90]],Brudnopis!$E$23:$J$23),0)</f>
        <v>0.44210526315789478</v>
      </c>
      <c r="T3570" s="44">
        <f>IF(Mecze[[#This Row],[Role]]&lt;&gt;"BR",SUMPRODUCT(Mecze[[#This Row],[/PR:90]:[/BR:90]],Brudnopis!$E$24:$J$24),0)</f>
        <v>0</v>
      </c>
      <c r="U3570" s="44">
        <f>IF(Mecze[[#This Row],[Role]]&lt;&gt;"BR",SUMPRODUCT(Mecze[[#This Row],[/PR:90]:[/BR:90]],Brudnopis!$E$25:$J$25),0)</f>
        <v>0</v>
      </c>
      <c r="V3570" s="44">
        <f>IF(Mecze[[#This Row],[Role]]&lt;&gt;"BR",SUMPRODUCT(Mecze[[#This Row],[/PR:90]:[/BR:90]],Brudnopis!$E$26:$J$26),0)</f>
        <v>0</v>
      </c>
      <c r="W3570" s="44">
        <f>IF(Mecze[[#This Row],[Role]]&lt;&gt;"BR",SUMPRODUCT(Mecze[[#This Row],[/PR:90]:[/BR:90]],Brudnopis!$E$27:$J$27),0)</f>
        <v>0</v>
      </c>
      <c r="X3570" s="44">
        <f>IF(Mecze[[#This Row],[Role]]&lt;&gt;"BR",SUMPRODUCT(Mecze[[#This Row],[/PR:90]:[/BR:90]],Brudnopis!$E$28:$J$28),0)</f>
        <v>0</v>
      </c>
      <c r="Y3570" s="35">
        <f>IF(Mecze[[#This Row],[Role]]="BR",Mecze[[#This Row],[/OB:90]]+Mecze[[#This Row],[/PC:90]],SUM(Mecze[[#This Row],[/PR:90]:[/BR:90]]))</f>
        <v>0.14736842105263159</v>
      </c>
      <c r="Z3570" s="35">
        <f>IF(Mecze[[#This Row],[KC]]=0,SUM(Mecze[[#This Row],[/BRI]:[/NPI]]),SUM(Mecze[[#This Row],[/BRI]:[/NPI]])*0.6)</f>
        <v>0.44210526315789478</v>
      </c>
      <c r="AA3570" s="10">
        <f>IFERROR(Mecze[[#This Row],[BR]]/Mecze[[#This Row],[ST]],0)</f>
        <v>0</v>
      </c>
      <c r="AB3570">
        <f>ROUND(Mecze[[#This Row],[PD]]*Mecze[[#This Row],[%PC]],0)</f>
        <v>2</v>
      </c>
      <c r="AC3570">
        <f>ROUND(Mecze[[#This Row],[OD]]*Mecze[[#This Row],[%OU]],0)</f>
        <v>0</v>
      </c>
      <c r="AD3570" s="36" t="s">
        <v>40</v>
      </c>
      <c r="AE3570" s="36">
        <v>200</v>
      </c>
      <c r="AF3570" s="71">
        <v>11.24</v>
      </c>
      <c r="AG3570" s="37">
        <v>0</v>
      </c>
      <c r="AH3570" s="37">
        <v>0</v>
      </c>
      <c r="AI3570" s="37">
        <v>95</v>
      </c>
      <c r="AJ3570" s="37">
        <v>1</v>
      </c>
      <c r="AK3570" s="37" t="str">
        <f>VLOOKUP(Mecze[[#This Row],[Match ID]],Meczusie[Mecz]:Meczusie[RodzajMeczu],2,FALSE)</f>
        <v>Towarzyski</v>
      </c>
    </row>
    <row r="3571" spans="1:37" x14ac:dyDescent="0.25">
      <c r="A3571" s="76">
        <v>50</v>
      </c>
      <c r="B3571" s="3" t="s">
        <v>496</v>
      </c>
      <c r="C3571" s="2" t="s">
        <v>157</v>
      </c>
      <c r="D3571" s="1">
        <v>0</v>
      </c>
      <c r="E3571" s="1">
        <v>0</v>
      </c>
      <c r="F3571" s="1">
        <v>0</v>
      </c>
      <c r="G3571" s="1">
        <v>5</v>
      </c>
      <c r="H3571" s="4">
        <v>0.4</v>
      </c>
      <c r="I3571" s="1">
        <v>4</v>
      </c>
      <c r="J3571" s="4">
        <v>0</v>
      </c>
      <c r="K3571" s="1">
        <v>0</v>
      </c>
      <c r="L3571" s="1">
        <v>4</v>
      </c>
      <c r="M3571" s="32">
        <f>IF(Mecze[[#This Row],[PR]]=0,0,Mecze[[#This Row],[PR]]/Mecze[[#This Row],[CZAS]])</f>
        <v>4.2105263157894736E-2</v>
      </c>
      <c r="N3571" s="32">
        <f>IF(Mecze[[#This Row],[OU]]=0,0,Mecze[[#This Row],[OU]]/Mecze[[#This Row],[CZAS]])</f>
        <v>0</v>
      </c>
      <c r="O3571" s="32">
        <f>IF(Mecze[[#This Row],[PC]]=0,0,Mecze[[#This Row],[PC]]/Mecze[[#This Row],[CZAS]])</f>
        <v>2.1052631578947368E-2</v>
      </c>
      <c r="P3571" s="32">
        <f>IF(Mecze[[#This Row],[SC]]=0,0,Mecze[[#This Row],[SC]]/Mecze[[#This Row],[CZAS]])</f>
        <v>0</v>
      </c>
      <c r="Q3571" s="32">
        <f>IF(Mecze[[#This Row],[OB]]=0,0,Mecze[[#This Row],[OB]]/Mecze[[#This Row],[CZAS]])</f>
        <v>0</v>
      </c>
      <c r="R3571" s="32">
        <f>IF(Mecze[[#This Row],[BR]]=0,0,Mecze[[#This Row],[BR]]/Mecze[[#This Row],[CZAS]])</f>
        <v>0</v>
      </c>
      <c r="S3571" s="44">
        <f>IF(Mecze[[#This Row],[Role]]="BR",SUMPRODUCT(Mecze[[#This Row],[/PR:90]:[/BR:90]],Brudnopis!$E$23:$J$23),0)</f>
        <v>0</v>
      </c>
      <c r="T3571" s="44">
        <f>IF(Mecze[[#This Row],[Role]]&lt;&gt;"BR",SUMPRODUCT(Mecze[[#This Row],[/PR:90]:[/BR:90]],Brudnopis!$E$24:$J$24),0)</f>
        <v>6.3157894736842107E-2</v>
      </c>
      <c r="U3571" s="44">
        <f>IF(Mecze[[#This Row],[Role]]&lt;&gt;"BR",SUMPRODUCT(Mecze[[#This Row],[/PR:90]:[/BR:90]],Brudnopis!$E$25:$J$25),0)</f>
        <v>7.3684210526315796E-2</v>
      </c>
      <c r="V3571" s="44">
        <f>IF(Mecze[[#This Row],[Role]]&lt;&gt;"BR",SUMPRODUCT(Mecze[[#This Row],[/PR:90]:[/BR:90]],Brudnopis!$E$26:$J$26),0)</f>
        <v>6.3157894736842107E-2</v>
      </c>
      <c r="W3571" s="44">
        <f>IF(Mecze[[#This Row],[Role]]&lt;&gt;"BR",SUMPRODUCT(Mecze[[#This Row],[/PR:90]:[/BR:90]],Brudnopis!$E$27:$J$27),0)</f>
        <v>6.3157894736842107E-2</v>
      </c>
      <c r="X3571" s="44">
        <f>IF(Mecze[[#This Row],[Role]]&lt;&gt;"BR",SUMPRODUCT(Mecze[[#This Row],[/PR:90]:[/BR:90]],Brudnopis!$E$28:$J$28),0)</f>
        <v>2.1052631578947368E-2</v>
      </c>
      <c r="Y3571" s="35">
        <f>IF(Mecze[[#This Row],[Role]]="BR",Mecze[[#This Row],[/OB:90]]+Mecze[[#This Row],[/PC:90]],SUM(Mecze[[#This Row],[/PR:90]:[/BR:90]]))</f>
        <v>6.3157894736842107E-2</v>
      </c>
      <c r="Z3571" s="35">
        <f>IF(Mecze[[#This Row],[KC]]=0,SUM(Mecze[[#This Row],[/BRI]:[/NPI]]),SUM(Mecze[[#This Row],[/BRI]:[/NPI]])*0.6)</f>
        <v>0.28421052631578952</v>
      </c>
      <c r="AA3571" s="10">
        <f>IFERROR(Mecze[[#This Row],[BR]]/Mecze[[#This Row],[ST]],0)</f>
        <v>0</v>
      </c>
      <c r="AB3571">
        <f>ROUND(Mecze[[#This Row],[PD]]*Mecze[[#This Row],[%PC]],0)</f>
        <v>2</v>
      </c>
      <c r="AC3571">
        <f>ROUND(Mecze[[#This Row],[OD]]*Mecze[[#This Row],[%OU]],0)</f>
        <v>0</v>
      </c>
      <c r="AD3571" s="36" t="s">
        <v>47</v>
      </c>
      <c r="AE3571" s="36">
        <v>200</v>
      </c>
      <c r="AF3571" s="71">
        <v>7.88</v>
      </c>
      <c r="AG3571" s="37">
        <v>0</v>
      </c>
      <c r="AH3571" s="37">
        <v>0</v>
      </c>
      <c r="AI3571" s="37">
        <v>95</v>
      </c>
      <c r="AJ3571" s="37">
        <v>1</v>
      </c>
      <c r="AK3571" s="37" t="str">
        <f>VLOOKUP(Mecze[[#This Row],[Match ID]],Meczusie[Mecz]:Meczusie[RodzajMeczu],2,FALSE)</f>
        <v>Towarzyski</v>
      </c>
    </row>
    <row r="3572" spans="1:37" x14ac:dyDescent="0.25">
      <c r="A3572" s="76">
        <v>53</v>
      </c>
      <c r="B3572" s="3" t="s">
        <v>415</v>
      </c>
      <c r="C3572" s="2" t="s">
        <v>157</v>
      </c>
      <c r="D3572" s="1">
        <v>0</v>
      </c>
      <c r="E3572" s="1">
        <v>0</v>
      </c>
      <c r="F3572" s="1">
        <v>0</v>
      </c>
      <c r="G3572" s="1">
        <v>11</v>
      </c>
      <c r="H3572" s="4">
        <v>0.64</v>
      </c>
      <c r="I3572" s="1">
        <v>2</v>
      </c>
      <c r="J3572" s="4">
        <v>1</v>
      </c>
      <c r="K3572" s="1">
        <v>0</v>
      </c>
      <c r="L3572" s="1">
        <v>10</v>
      </c>
      <c r="M3572" s="32">
        <f>IF(Mecze[[#This Row],[PR]]=0,0,Mecze[[#This Row],[PR]]/Mecze[[#This Row],[CZAS]])</f>
        <v>0.10526315789473684</v>
      </c>
      <c r="N3572" s="32">
        <f>IF(Mecze[[#This Row],[OU]]=0,0,Mecze[[#This Row],[OU]]/Mecze[[#This Row],[CZAS]])</f>
        <v>2.1052631578947368E-2</v>
      </c>
      <c r="O3572" s="32">
        <f>IF(Mecze[[#This Row],[PC]]=0,0,Mecze[[#This Row],[PC]]/Mecze[[#This Row],[CZAS]])</f>
        <v>7.3684210526315783E-2</v>
      </c>
      <c r="P3572" s="32">
        <f>IF(Mecze[[#This Row],[SC]]=0,0,Mecze[[#This Row],[SC]]/Mecze[[#This Row],[CZAS]])</f>
        <v>0</v>
      </c>
      <c r="Q3572" s="32">
        <f>IF(Mecze[[#This Row],[OB]]=0,0,Mecze[[#This Row],[OB]]/Mecze[[#This Row],[CZAS]])</f>
        <v>0</v>
      </c>
      <c r="R3572" s="32">
        <f>IF(Mecze[[#This Row],[BR]]=0,0,Mecze[[#This Row],[BR]]/Mecze[[#This Row],[CZAS]])</f>
        <v>0</v>
      </c>
      <c r="S3572" s="44">
        <f>IF(Mecze[[#This Row],[Role]]="BR",SUMPRODUCT(Mecze[[#This Row],[/PR:90]:[/BR:90]],Brudnopis!$E$23:$J$23),0)</f>
        <v>0</v>
      </c>
      <c r="T3572" s="44">
        <f>IF(Mecze[[#This Row],[Role]]&lt;&gt;"BR",SUMPRODUCT(Mecze[[#This Row],[/PR:90]:[/BR:90]],Brudnopis!$E$24:$J$24),0)</f>
        <v>0.21052631578947367</v>
      </c>
      <c r="U3572" s="44">
        <f>IF(Mecze[[#This Row],[Role]]&lt;&gt;"BR",SUMPRODUCT(Mecze[[#This Row],[/PR:90]:[/BR:90]],Brudnopis!$E$25:$J$25),0)</f>
        <v>0.23684210526315788</v>
      </c>
      <c r="V3572" s="44">
        <f>IF(Mecze[[#This Row],[Role]]&lt;&gt;"BR",SUMPRODUCT(Mecze[[#This Row],[/PR:90]:[/BR:90]],Brudnopis!$E$26:$J$26),0)</f>
        <v>0.2</v>
      </c>
      <c r="W3572" s="44">
        <f>IF(Mecze[[#This Row],[Role]]&lt;&gt;"BR",SUMPRODUCT(Mecze[[#This Row],[/PR:90]:[/BR:90]],Brudnopis!$E$27:$J$27),0)</f>
        <v>0.20526315789473681</v>
      </c>
      <c r="X3572" s="44">
        <f>IF(Mecze[[#This Row],[Role]]&lt;&gt;"BR",SUMPRODUCT(Mecze[[#This Row],[/PR:90]:[/BR:90]],Brudnopis!$E$28:$J$28),0)</f>
        <v>7.3684210526315783E-2</v>
      </c>
      <c r="Y3572" s="35">
        <f>IF(Mecze[[#This Row],[Role]]="BR",Mecze[[#This Row],[/OB:90]]+Mecze[[#This Row],[/PC:90]],SUM(Mecze[[#This Row],[/PR:90]:[/BR:90]]))</f>
        <v>0.2</v>
      </c>
      <c r="Z3572" s="35">
        <f>IF(Mecze[[#This Row],[KC]]=0,SUM(Mecze[[#This Row],[/BRI]:[/NPI]]),SUM(Mecze[[#This Row],[/BRI]:[/NPI]])*0.6)</f>
        <v>0.9263157894736842</v>
      </c>
      <c r="AA3572" s="10">
        <f>IFERROR(Mecze[[#This Row],[BR]]/Mecze[[#This Row],[ST]],0)</f>
        <v>0</v>
      </c>
      <c r="AB3572">
        <f>ROUND(Mecze[[#This Row],[PD]]*Mecze[[#This Row],[%PC]],0)</f>
        <v>7</v>
      </c>
      <c r="AC3572">
        <f>ROUND(Mecze[[#This Row],[OD]]*Mecze[[#This Row],[%OU]],0)</f>
        <v>2</v>
      </c>
      <c r="AD3572" s="36" t="s">
        <v>167</v>
      </c>
      <c r="AE3572" s="36">
        <v>200</v>
      </c>
      <c r="AF3572" s="71">
        <v>9.14</v>
      </c>
      <c r="AG3572" s="37">
        <v>0</v>
      </c>
      <c r="AH3572" s="37">
        <v>0</v>
      </c>
      <c r="AI3572" s="37">
        <v>95</v>
      </c>
      <c r="AJ3572" s="37">
        <v>1</v>
      </c>
      <c r="AK3572" s="37" t="str">
        <f>VLOOKUP(Mecze[[#This Row],[Match ID]],Meczusie[Mecz]:Meczusie[RodzajMeczu],2,FALSE)</f>
        <v>Towarzyski</v>
      </c>
    </row>
    <row r="3573" spans="1:37" x14ac:dyDescent="0.25">
      <c r="A3573" s="76">
        <v>42</v>
      </c>
      <c r="B3573" s="3" t="s">
        <v>361</v>
      </c>
      <c r="C3573" s="2" t="s">
        <v>157</v>
      </c>
      <c r="D3573" s="1">
        <v>0</v>
      </c>
      <c r="E3573" s="1">
        <v>1</v>
      </c>
      <c r="F3573" s="1">
        <v>1</v>
      </c>
      <c r="G3573" s="1">
        <v>12</v>
      </c>
      <c r="H3573" s="4">
        <v>0.5</v>
      </c>
      <c r="I3573" s="1">
        <v>7</v>
      </c>
      <c r="J3573" s="4">
        <v>0.43</v>
      </c>
      <c r="K3573" s="1">
        <v>0</v>
      </c>
      <c r="L3573" s="1">
        <v>13</v>
      </c>
      <c r="M3573" s="32">
        <f>IF(Mecze[[#This Row],[PR]]=0,0,Mecze[[#This Row],[PR]]/Mecze[[#This Row],[CZAS]])</f>
        <v>0.1368421052631579</v>
      </c>
      <c r="N3573" s="32">
        <f>IF(Mecze[[#This Row],[OU]]=0,0,Mecze[[#This Row],[OU]]/Mecze[[#This Row],[CZAS]])</f>
        <v>3.1578947368421054E-2</v>
      </c>
      <c r="O3573" s="32">
        <f>IF(Mecze[[#This Row],[PC]]=0,0,Mecze[[#This Row],[PC]]/Mecze[[#This Row],[CZAS]])</f>
        <v>6.3157894736842107E-2</v>
      </c>
      <c r="P3573" s="32">
        <f>IF(Mecze[[#This Row],[SC]]=0,0,Mecze[[#This Row],[SC]]/Mecze[[#This Row],[CZAS]])</f>
        <v>1.0526315789473684E-2</v>
      </c>
      <c r="Q3573" s="32">
        <f>IF(Mecze[[#This Row],[OB]]=0,0,Mecze[[#This Row],[OB]]/Mecze[[#This Row],[CZAS]])</f>
        <v>0</v>
      </c>
      <c r="R3573" s="32">
        <f>IF(Mecze[[#This Row],[BR]]=0,0,Mecze[[#This Row],[BR]]/Mecze[[#This Row],[CZAS]])</f>
        <v>0</v>
      </c>
      <c r="S3573" s="44">
        <f>IF(Mecze[[#This Row],[Role]]="BR",SUMPRODUCT(Mecze[[#This Row],[/PR:90]:[/BR:90]],Brudnopis!$E$23:$J$23),0)</f>
        <v>0</v>
      </c>
      <c r="T3573" s="44">
        <f>IF(Mecze[[#This Row],[Role]]&lt;&gt;"BR",SUMPRODUCT(Mecze[[#This Row],[/PR:90]:[/BR:90]],Brudnopis!$E$24:$J$24),0)</f>
        <v>0.25789473684210529</v>
      </c>
      <c r="U3573" s="44">
        <f>IF(Mecze[[#This Row],[Role]]&lt;&gt;"BR",SUMPRODUCT(Mecze[[#This Row],[/PR:90]:[/BR:90]],Brudnopis!$E$25:$J$25),0)</f>
        <v>0.27368421052631581</v>
      </c>
      <c r="V3573" s="44">
        <f>IF(Mecze[[#This Row],[Role]]&lt;&gt;"BR",SUMPRODUCT(Mecze[[#This Row],[/PR:90]:[/BR:90]],Brudnopis!$E$26:$J$26),0)</f>
        <v>0.24210526315789477</v>
      </c>
      <c r="W3573" s="44">
        <f>IF(Mecze[[#This Row],[Role]]&lt;&gt;"BR",SUMPRODUCT(Mecze[[#This Row],[/PR:90]:[/BR:90]],Brudnopis!$E$27:$J$27),0)</f>
        <v>0.23157894736842108</v>
      </c>
      <c r="X3573" s="44">
        <f>IF(Mecze[[#This Row],[Role]]&lt;&gt;"BR",SUMPRODUCT(Mecze[[#This Row],[/PR:90]:[/BR:90]],Brudnopis!$E$28:$J$28),0)</f>
        <v>8.4210526315789472E-2</v>
      </c>
      <c r="Y3573" s="35">
        <f>IF(Mecze[[#This Row],[Role]]="BR",Mecze[[#This Row],[/OB:90]]+Mecze[[#This Row],[/PC:90]],SUM(Mecze[[#This Row],[/PR:90]:[/BR:90]]))</f>
        <v>0.24210526315789477</v>
      </c>
      <c r="Z3573" s="35">
        <f>IF(Mecze[[#This Row],[KC]]=0,SUM(Mecze[[#This Row],[/BRI]:[/NPI]]),SUM(Mecze[[#This Row],[/BRI]:[/NPI]])*0.6)</f>
        <v>1.0894736842105266</v>
      </c>
      <c r="AA3573" s="10">
        <f>IFERROR(Mecze[[#This Row],[BR]]/Mecze[[#This Row],[ST]],0)</f>
        <v>0</v>
      </c>
      <c r="AB3573">
        <f>ROUND(Mecze[[#This Row],[PD]]*Mecze[[#This Row],[%PC]],0)</f>
        <v>6</v>
      </c>
      <c r="AC3573">
        <f>ROUND(Mecze[[#This Row],[OD]]*Mecze[[#This Row],[%OU]],0)</f>
        <v>3</v>
      </c>
      <c r="AD3573" s="36" t="s">
        <v>168</v>
      </c>
      <c r="AE3573" s="36">
        <v>200</v>
      </c>
      <c r="AF3573" s="71">
        <v>8.66</v>
      </c>
      <c r="AG3573" s="37">
        <v>1</v>
      </c>
      <c r="AH3573" s="37">
        <v>0</v>
      </c>
      <c r="AI3573" s="37">
        <v>95</v>
      </c>
      <c r="AJ3573" s="37">
        <v>1</v>
      </c>
      <c r="AK3573" s="37" t="str">
        <f>VLOOKUP(Mecze[[#This Row],[Match ID]],Meczusie[Mecz]:Meczusie[RodzajMeczu],2,FALSE)</f>
        <v>Towarzyski</v>
      </c>
    </row>
    <row r="3574" spans="1:37" x14ac:dyDescent="0.25">
      <c r="A3574" s="76">
        <v>52</v>
      </c>
      <c r="B3574" s="3" t="s">
        <v>408</v>
      </c>
      <c r="C3574" s="2" t="s">
        <v>160</v>
      </c>
      <c r="D3574" s="1">
        <v>0</v>
      </c>
      <c r="E3574" s="1">
        <v>0</v>
      </c>
      <c r="F3574" s="1">
        <v>0</v>
      </c>
      <c r="G3574" s="1">
        <v>11</v>
      </c>
      <c r="H3574" s="4">
        <v>0.36</v>
      </c>
      <c r="I3574" s="1">
        <v>5</v>
      </c>
      <c r="J3574" s="4">
        <v>0.2</v>
      </c>
      <c r="K3574" s="1">
        <v>0</v>
      </c>
      <c r="L3574" s="1">
        <v>6</v>
      </c>
      <c r="M3574" s="32">
        <f>IF(Mecze[[#This Row],[PR]]=0,0,Mecze[[#This Row],[PR]]/Mecze[[#This Row],[CZAS]])</f>
        <v>6.3157894736842107E-2</v>
      </c>
      <c r="N3574" s="32">
        <f>IF(Mecze[[#This Row],[OU]]=0,0,Mecze[[#This Row],[OU]]/Mecze[[#This Row],[CZAS]])</f>
        <v>1.0526315789473684E-2</v>
      </c>
      <c r="O3574" s="32">
        <f>IF(Mecze[[#This Row],[PC]]=0,0,Mecze[[#This Row],[PC]]/Mecze[[#This Row],[CZAS]])</f>
        <v>4.2105263157894736E-2</v>
      </c>
      <c r="P3574" s="32">
        <f>IF(Mecze[[#This Row],[SC]]=0,0,Mecze[[#This Row],[SC]]/Mecze[[#This Row],[CZAS]])</f>
        <v>0</v>
      </c>
      <c r="Q3574" s="32">
        <f>IF(Mecze[[#This Row],[OB]]=0,0,Mecze[[#This Row],[OB]]/Mecze[[#This Row],[CZAS]])</f>
        <v>0</v>
      </c>
      <c r="R3574" s="32">
        <f>IF(Mecze[[#This Row],[BR]]=0,0,Mecze[[#This Row],[BR]]/Mecze[[#This Row],[CZAS]])</f>
        <v>0</v>
      </c>
      <c r="S3574" s="44">
        <f>IF(Mecze[[#This Row],[Role]]="BR",SUMPRODUCT(Mecze[[#This Row],[/PR:90]:[/BR:90]],Brudnopis!$E$23:$J$23),0)</f>
        <v>0</v>
      </c>
      <c r="T3574" s="44">
        <f>IF(Mecze[[#This Row],[Role]]&lt;&gt;"BR",SUMPRODUCT(Mecze[[#This Row],[/PR:90]:[/BR:90]],Brudnopis!$E$24:$J$24),0)</f>
        <v>0.12105263157894736</v>
      </c>
      <c r="U3574" s="44">
        <f>IF(Mecze[[#This Row],[Role]]&lt;&gt;"BR",SUMPRODUCT(Mecze[[#This Row],[/PR:90]:[/BR:90]],Brudnopis!$E$25:$J$25),0)</f>
        <v>0.1368421052631579</v>
      </c>
      <c r="V3574" s="44">
        <f>IF(Mecze[[#This Row],[Role]]&lt;&gt;"BR",SUMPRODUCT(Mecze[[#This Row],[/PR:90]:[/BR:90]],Brudnopis!$E$26:$J$26),0)</f>
        <v>0.11578947368421053</v>
      </c>
      <c r="W3574" s="44">
        <f>IF(Mecze[[#This Row],[Role]]&lt;&gt;"BR",SUMPRODUCT(Mecze[[#This Row],[/PR:90]:[/BR:90]],Brudnopis!$E$27:$J$27),0)</f>
        <v>0.11842105263157895</v>
      </c>
      <c r="X3574" s="44">
        <f>IF(Mecze[[#This Row],[Role]]&lt;&gt;"BR",SUMPRODUCT(Mecze[[#This Row],[/PR:90]:[/BR:90]],Brudnopis!$E$28:$J$28),0)</f>
        <v>4.2105263157894736E-2</v>
      </c>
      <c r="Y3574" s="35">
        <f>IF(Mecze[[#This Row],[Role]]="BR",Mecze[[#This Row],[/OB:90]]+Mecze[[#This Row],[/PC:90]],SUM(Mecze[[#This Row],[/PR:90]:[/BR:90]]))</f>
        <v>0.11578947368421053</v>
      </c>
      <c r="Z3574" s="35">
        <f>IF(Mecze[[#This Row],[KC]]=0,SUM(Mecze[[#This Row],[/BRI]:[/NPI]]),SUM(Mecze[[#This Row],[/BRI]:[/NPI]])*0.6)</f>
        <v>0.53421052631578958</v>
      </c>
      <c r="AA3574" s="10">
        <f>IFERROR(Mecze[[#This Row],[BR]]/Mecze[[#This Row],[ST]],0)</f>
        <v>0</v>
      </c>
      <c r="AB3574">
        <f>ROUND(Mecze[[#This Row],[PD]]*Mecze[[#This Row],[%PC]],0)</f>
        <v>4</v>
      </c>
      <c r="AC3574">
        <f>ROUND(Mecze[[#This Row],[OD]]*Mecze[[#This Row],[%OU]],0)</f>
        <v>1</v>
      </c>
      <c r="AD3574" s="36" t="s">
        <v>41</v>
      </c>
      <c r="AE3574" s="36">
        <v>200</v>
      </c>
      <c r="AF3574" s="71">
        <v>8.3000000000000007</v>
      </c>
      <c r="AG3574" s="37">
        <v>0</v>
      </c>
      <c r="AH3574" s="37">
        <v>0</v>
      </c>
      <c r="AI3574" s="37">
        <v>95</v>
      </c>
      <c r="AJ3574" s="37">
        <v>1</v>
      </c>
      <c r="AK3574" s="37" t="str">
        <f>VLOOKUP(Mecze[[#This Row],[Match ID]],Meczusie[Mecz]:Meczusie[RodzajMeczu],2,FALSE)</f>
        <v>Towarzyski</v>
      </c>
    </row>
    <row r="3575" spans="1:37" x14ac:dyDescent="0.25">
      <c r="A3575" s="76">
        <v>40</v>
      </c>
      <c r="B3575" s="3" t="s">
        <v>453</v>
      </c>
      <c r="C3575" s="2" t="s">
        <v>160</v>
      </c>
      <c r="D3575" s="1">
        <v>0</v>
      </c>
      <c r="E3575" s="1">
        <v>0</v>
      </c>
      <c r="F3575" s="1">
        <v>0</v>
      </c>
      <c r="G3575" s="1">
        <v>10</v>
      </c>
      <c r="H3575" s="4">
        <v>0.7</v>
      </c>
      <c r="I3575" s="1">
        <v>4</v>
      </c>
      <c r="J3575" s="4">
        <v>0.5</v>
      </c>
      <c r="K3575" s="1">
        <v>0</v>
      </c>
      <c r="L3575" s="1">
        <v>3</v>
      </c>
      <c r="M3575" s="32">
        <f>IF(Mecze[[#This Row],[PR]]=0,0,Mecze[[#This Row],[PR]]/Mecze[[#This Row],[CZAS]])</f>
        <v>3.1578947368421054E-2</v>
      </c>
      <c r="N3575" s="32">
        <f>IF(Mecze[[#This Row],[OU]]=0,0,Mecze[[#This Row],[OU]]/Mecze[[#This Row],[CZAS]])</f>
        <v>2.1052631578947368E-2</v>
      </c>
      <c r="O3575" s="32">
        <f>IF(Mecze[[#This Row],[PC]]=0,0,Mecze[[#This Row],[PC]]/Mecze[[#This Row],[CZAS]])</f>
        <v>7.3684210526315783E-2</v>
      </c>
      <c r="P3575" s="32">
        <f>IF(Mecze[[#This Row],[SC]]=0,0,Mecze[[#This Row],[SC]]/Mecze[[#This Row],[CZAS]])</f>
        <v>0</v>
      </c>
      <c r="Q3575" s="32">
        <f>IF(Mecze[[#This Row],[OB]]=0,0,Mecze[[#This Row],[OB]]/Mecze[[#This Row],[CZAS]])</f>
        <v>0</v>
      </c>
      <c r="R3575" s="32">
        <f>IF(Mecze[[#This Row],[BR]]=0,0,Mecze[[#This Row],[BR]]/Mecze[[#This Row],[CZAS]])</f>
        <v>0</v>
      </c>
      <c r="S3575" s="44">
        <f>IF(Mecze[[#This Row],[Role]]="BR",SUMPRODUCT(Mecze[[#This Row],[/PR:90]:[/BR:90]],Brudnopis!$E$23:$J$23),0)</f>
        <v>0</v>
      </c>
      <c r="T3575" s="44">
        <f>IF(Mecze[[#This Row],[Role]]&lt;&gt;"BR",SUMPRODUCT(Mecze[[#This Row],[/PR:90]:[/BR:90]],Brudnopis!$E$24:$J$24),0)</f>
        <v>0.13684210526315788</v>
      </c>
      <c r="U3575" s="44">
        <f>IF(Mecze[[#This Row],[Role]]&lt;&gt;"BR",SUMPRODUCT(Mecze[[#This Row],[/PR:90]:[/BR:90]],Brudnopis!$E$25:$J$25),0)</f>
        <v>0.16315789473684209</v>
      </c>
      <c r="V3575" s="44">
        <f>IF(Mecze[[#This Row],[Role]]&lt;&gt;"BR",SUMPRODUCT(Mecze[[#This Row],[/PR:90]:[/BR:90]],Brudnopis!$E$26:$J$26),0)</f>
        <v>0.12631578947368421</v>
      </c>
      <c r="W3575" s="44">
        <f>IF(Mecze[[#This Row],[Role]]&lt;&gt;"BR",SUMPRODUCT(Mecze[[#This Row],[/PR:90]:[/BR:90]],Brudnopis!$E$27:$J$27),0)</f>
        <v>0.14999999999999997</v>
      </c>
      <c r="X3575" s="44">
        <f>IF(Mecze[[#This Row],[Role]]&lt;&gt;"BR",SUMPRODUCT(Mecze[[#This Row],[/PR:90]:[/BR:90]],Brudnopis!$E$28:$J$28),0)</f>
        <v>7.3684210526315783E-2</v>
      </c>
      <c r="Y3575" s="35">
        <f>IF(Mecze[[#This Row],[Role]]="BR",Mecze[[#This Row],[/OB:90]]+Mecze[[#This Row],[/PC:90]],SUM(Mecze[[#This Row],[/PR:90]:[/BR:90]]))</f>
        <v>0.12631578947368421</v>
      </c>
      <c r="Z3575" s="35">
        <f>IF(Mecze[[#This Row],[KC]]=0,SUM(Mecze[[#This Row],[/BRI]:[/NPI]]),SUM(Mecze[[#This Row],[/BRI]:[/NPI]])*0.6)</f>
        <v>0.64999999999999991</v>
      </c>
      <c r="AA3575" s="10">
        <f>IFERROR(Mecze[[#This Row],[BR]]/Mecze[[#This Row],[ST]],0)</f>
        <v>0</v>
      </c>
      <c r="AB3575">
        <f>ROUND(Mecze[[#This Row],[PD]]*Mecze[[#This Row],[%PC]],0)</f>
        <v>7</v>
      </c>
      <c r="AC3575">
        <f>ROUND(Mecze[[#This Row],[OD]]*Mecze[[#This Row],[%OU]],0)</f>
        <v>2</v>
      </c>
      <c r="AD3575" s="36" t="s">
        <v>41</v>
      </c>
      <c r="AE3575" s="36">
        <v>200</v>
      </c>
      <c r="AF3575" s="71">
        <v>8.8800000000000008</v>
      </c>
      <c r="AG3575" s="37">
        <v>0</v>
      </c>
      <c r="AH3575" s="37">
        <v>0</v>
      </c>
      <c r="AI3575" s="37">
        <v>95</v>
      </c>
      <c r="AJ3575" s="37">
        <v>1</v>
      </c>
      <c r="AK3575" s="37" t="str">
        <f>VLOOKUP(Mecze[[#This Row],[Match ID]],Meczusie[Mecz]:Meczusie[RodzajMeczu],2,FALSE)</f>
        <v>Towarzyski</v>
      </c>
    </row>
    <row r="3576" spans="1:37" x14ac:dyDescent="0.25">
      <c r="A3576" s="76">
        <v>45</v>
      </c>
      <c r="B3576" s="3" t="s">
        <v>394</v>
      </c>
      <c r="C3576" s="2" t="s">
        <v>160</v>
      </c>
      <c r="D3576" s="1">
        <v>0</v>
      </c>
      <c r="E3576" s="1">
        <v>2</v>
      </c>
      <c r="F3576" s="1">
        <v>2</v>
      </c>
      <c r="G3576" s="1">
        <v>6</v>
      </c>
      <c r="H3576" s="4">
        <v>0.17</v>
      </c>
      <c r="I3576" s="1">
        <v>4</v>
      </c>
      <c r="J3576" s="4">
        <v>0.25</v>
      </c>
      <c r="K3576" s="1">
        <v>0</v>
      </c>
      <c r="L3576" s="1">
        <v>3</v>
      </c>
      <c r="M3576" s="32">
        <f>IF(Mecze[[#This Row],[PR]]=0,0,Mecze[[#This Row],[PR]]/Mecze[[#This Row],[CZAS]])</f>
        <v>3.1578947368421054E-2</v>
      </c>
      <c r="N3576" s="32">
        <f>IF(Mecze[[#This Row],[OU]]=0,0,Mecze[[#This Row],[OU]]/Mecze[[#This Row],[CZAS]])</f>
        <v>1.0526315789473684E-2</v>
      </c>
      <c r="O3576" s="32">
        <f>IF(Mecze[[#This Row],[PC]]=0,0,Mecze[[#This Row],[PC]]/Mecze[[#This Row],[CZAS]])</f>
        <v>1.0526315789473684E-2</v>
      </c>
      <c r="P3576" s="32">
        <f>IF(Mecze[[#This Row],[SC]]=0,0,Mecze[[#This Row],[SC]]/Mecze[[#This Row],[CZAS]])</f>
        <v>2.1052631578947368E-2</v>
      </c>
      <c r="Q3576" s="32">
        <f>IF(Mecze[[#This Row],[OB]]=0,0,Mecze[[#This Row],[OB]]/Mecze[[#This Row],[CZAS]])</f>
        <v>0</v>
      </c>
      <c r="R3576" s="32">
        <f>IF(Mecze[[#This Row],[BR]]=0,0,Mecze[[#This Row],[BR]]/Mecze[[#This Row],[CZAS]])</f>
        <v>0</v>
      </c>
      <c r="S3576" s="44">
        <f>IF(Mecze[[#This Row],[Role]]="BR",SUMPRODUCT(Mecze[[#This Row],[/PR:90]:[/BR:90]],Brudnopis!$E$23:$J$23),0)</f>
        <v>0</v>
      </c>
      <c r="T3576" s="44">
        <f>IF(Mecze[[#This Row],[Role]]&lt;&gt;"BR",SUMPRODUCT(Mecze[[#This Row],[/PR:90]:[/BR:90]],Brudnopis!$E$24:$J$24),0)</f>
        <v>7.8947368421052627E-2</v>
      </c>
      <c r="U3576" s="44">
        <f>IF(Mecze[[#This Row],[Role]]&lt;&gt;"BR",SUMPRODUCT(Mecze[[#This Row],[/PR:90]:[/BR:90]],Brudnopis!$E$25:$J$25),0)</f>
        <v>7.8947368421052627E-2</v>
      </c>
      <c r="V3576" s="44">
        <f>IF(Mecze[[#This Row],[Role]]&lt;&gt;"BR",SUMPRODUCT(Mecze[[#This Row],[/PR:90]:[/BR:90]],Brudnopis!$E$26:$J$26),0)</f>
        <v>7.3684210526315783E-2</v>
      </c>
      <c r="W3576" s="44">
        <f>IF(Mecze[[#This Row],[Role]]&lt;&gt;"BR",SUMPRODUCT(Mecze[[#This Row],[/PR:90]:[/BR:90]],Brudnopis!$E$27:$J$27),0)</f>
        <v>6.8421052631578952E-2</v>
      </c>
      <c r="X3576" s="44">
        <f>IF(Mecze[[#This Row],[Role]]&lt;&gt;"BR",SUMPRODUCT(Mecze[[#This Row],[/PR:90]:[/BR:90]],Brudnopis!$E$28:$J$28),0)</f>
        <v>5.2631578947368418E-2</v>
      </c>
      <c r="Y3576" s="35">
        <f>IF(Mecze[[#This Row],[Role]]="BR",Mecze[[#This Row],[/OB:90]]+Mecze[[#This Row],[/PC:90]],SUM(Mecze[[#This Row],[/PR:90]:[/BR:90]]))</f>
        <v>7.3684210526315783E-2</v>
      </c>
      <c r="Z3576" s="35">
        <f>IF(Mecze[[#This Row],[KC]]=0,SUM(Mecze[[#This Row],[/BRI]:[/NPI]]),SUM(Mecze[[#This Row],[/BRI]:[/NPI]])*0.6)</f>
        <v>0.35263157894736841</v>
      </c>
      <c r="AA3576" s="10">
        <f>IFERROR(Mecze[[#This Row],[BR]]/Mecze[[#This Row],[ST]],0)</f>
        <v>0</v>
      </c>
      <c r="AB3576">
        <f>ROUND(Mecze[[#This Row],[PD]]*Mecze[[#This Row],[%PC]],0)</f>
        <v>1</v>
      </c>
      <c r="AC3576">
        <f>ROUND(Mecze[[#This Row],[OD]]*Mecze[[#This Row],[%OU]],0)</f>
        <v>1</v>
      </c>
      <c r="AD3576" s="36" t="s">
        <v>44</v>
      </c>
      <c r="AE3576" s="36">
        <v>200</v>
      </c>
      <c r="AF3576" s="71">
        <v>8.1300000000000008</v>
      </c>
      <c r="AG3576" s="37">
        <v>0</v>
      </c>
      <c r="AH3576" s="37">
        <v>0</v>
      </c>
      <c r="AI3576" s="37">
        <v>95</v>
      </c>
      <c r="AJ3576" s="37">
        <v>1</v>
      </c>
      <c r="AK3576" s="37" t="str">
        <f>VLOOKUP(Mecze[[#This Row],[Match ID]],Meczusie[Mecz]:Meczusie[RodzajMeczu],2,FALSE)</f>
        <v>Towarzyski</v>
      </c>
    </row>
    <row r="3577" spans="1:37" x14ac:dyDescent="0.25">
      <c r="A3577" s="76">
        <v>25</v>
      </c>
      <c r="B3577" s="3" t="s">
        <v>366</v>
      </c>
      <c r="C3577" s="2" t="s">
        <v>160</v>
      </c>
      <c r="D3577" s="1">
        <v>0</v>
      </c>
      <c r="E3577" s="1">
        <v>0</v>
      </c>
      <c r="F3577" s="1">
        <v>0</v>
      </c>
      <c r="G3577" s="1">
        <v>6</v>
      </c>
      <c r="H3577" s="4">
        <v>0.5</v>
      </c>
      <c r="I3577" s="1">
        <v>1</v>
      </c>
      <c r="J3577" s="4">
        <v>0</v>
      </c>
      <c r="K3577" s="1">
        <v>0</v>
      </c>
      <c r="L3577" s="1">
        <v>4</v>
      </c>
      <c r="M3577" s="32">
        <f>IF(Mecze[[#This Row],[PR]]=0,0,Mecze[[#This Row],[PR]]/Mecze[[#This Row],[CZAS]])</f>
        <v>4.2105263157894736E-2</v>
      </c>
      <c r="N3577" s="32">
        <f>IF(Mecze[[#This Row],[OU]]=0,0,Mecze[[#This Row],[OU]]/Mecze[[#This Row],[CZAS]])</f>
        <v>0</v>
      </c>
      <c r="O3577" s="32">
        <f>IF(Mecze[[#This Row],[PC]]=0,0,Mecze[[#This Row],[PC]]/Mecze[[#This Row],[CZAS]])</f>
        <v>3.1578947368421054E-2</v>
      </c>
      <c r="P3577" s="32">
        <f>IF(Mecze[[#This Row],[SC]]=0,0,Mecze[[#This Row],[SC]]/Mecze[[#This Row],[CZAS]])</f>
        <v>0</v>
      </c>
      <c r="Q3577" s="32">
        <f>IF(Mecze[[#This Row],[OB]]=0,0,Mecze[[#This Row],[OB]]/Mecze[[#This Row],[CZAS]])</f>
        <v>0</v>
      </c>
      <c r="R3577" s="32">
        <f>IF(Mecze[[#This Row],[BR]]=0,0,Mecze[[#This Row],[BR]]/Mecze[[#This Row],[CZAS]])</f>
        <v>0</v>
      </c>
      <c r="S3577" s="44">
        <f>IF(Mecze[[#This Row],[Role]]="BR",SUMPRODUCT(Mecze[[#This Row],[/PR:90]:[/BR:90]],Brudnopis!$E$23:$J$23),0)</f>
        <v>0</v>
      </c>
      <c r="T3577" s="44">
        <f>IF(Mecze[[#This Row],[Role]]&lt;&gt;"BR",SUMPRODUCT(Mecze[[#This Row],[/PR:90]:[/BR:90]],Brudnopis!$E$24:$J$24),0)</f>
        <v>7.3684210526315796E-2</v>
      </c>
      <c r="U3577" s="44">
        <f>IF(Mecze[[#This Row],[Role]]&lt;&gt;"BR",SUMPRODUCT(Mecze[[#This Row],[/PR:90]:[/BR:90]],Brudnopis!$E$25:$J$25),0)</f>
        <v>8.9473684210526316E-2</v>
      </c>
      <c r="V3577" s="44">
        <f>IF(Mecze[[#This Row],[Role]]&lt;&gt;"BR",SUMPRODUCT(Mecze[[#This Row],[/PR:90]:[/BR:90]],Brudnopis!$E$26:$J$26),0)</f>
        <v>7.3684210526315796E-2</v>
      </c>
      <c r="W3577" s="44">
        <f>IF(Mecze[[#This Row],[Role]]&lt;&gt;"BR",SUMPRODUCT(Mecze[[#This Row],[/PR:90]:[/BR:90]],Brudnopis!$E$27:$J$27),0)</f>
        <v>7.8947368421052627E-2</v>
      </c>
      <c r="X3577" s="44">
        <f>IF(Mecze[[#This Row],[Role]]&lt;&gt;"BR",SUMPRODUCT(Mecze[[#This Row],[/PR:90]:[/BR:90]],Brudnopis!$E$28:$J$28),0)</f>
        <v>3.1578947368421054E-2</v>
      </c>
      <c r="Y3577" s="35">
        <f>IF(Mecze[[#This Row],[Role]]="BR",Mecze[[#This Row],[/OB:90]]+Mecze[[#This Row],[/PC:90]],SUM(Mecze[[#This Row],[/PR:90]:[/BR:90]]))</f>
        <v>7.3684210526315796E-2</v>
      </c>
      <c r="Z3577" s="35">
        <f>IF(Mecze[[#This Row],[KC]]=0,SUM(Mecze[[#This Row],[/BRI]:[/NPI]]),SUM(Mecze[[#This Row],[/BRI]:[/NPI]])*0.6)</f>
        <v>0.34736842105263155</v>
      </c>
      <c r="AA3577" s="10">
        <f>IFERROR(Mecze[[#This Row],[BR]]/Mecze[[#This Row],[ST]],0)</f>
        <v>0</v>
      </c>
      <c r="AB3577">
        <f>ROUND(Mecze[[#This Row],[PD]]*Mecze[[#This Row],[%PC]],0)</f>
        <v>3</v>
      </c>
      <c r="AC3577">
        <f>ROUND(Mecze[[#This Row],[OD]]*Mecze[[#This Row],[%OU]],0)</f>
        <v>0</v>
      </c>
      <c r="AD3577" s="36" t="s">
        <v>44</v>
      </c>
      <c r="AE3577" s="36">
        <v>200</v>
      </c>
      <c r="AF3577" s="71">
        <v>9.09</v>
      </c>
      <c r="AG3577" s="37">
        <v>0</v>
      </c>
      <c r="AH3577" s="37">
        <v>0</v>
      </c>
      <c r="AI3577" s="37">
        <v>95</v>
      </c>
      <c r="AJ3577" s="37">
        <v>1</v>
      </c>
      <c r="AK3577" s="37" t="str">
        <f>VLOOKUP(Mecze[[#This Row],[Match ID]],Meczusie[Mecz]:Meczusie[RodzajMeczu],2,FALSE)</f>
        <v>Towarzyski</v>
      </c>
    </row>
    <row r="3578" spans="1:37" x14ac:dyDescent="0.25">
      <c r="A3578" s="76">
        <v>31</v>
      </c>
      <c r="B3578" s="3" t="s">
        <v>365</v>
      </c>
      <c r="C3578" s="2" t="s">
        <v>165</v>
      </c>
      <c r="D3578" s="1">
        <v>1</v>
      </c>
      <c r="E3578" s="1">
        <v>5</v>
      </c>
      <c r="F3578" s="1">
        <v>3</v>
      </c>
      <c r="G3578" s="1">
        <v>8</v>
      </c>
      <c r="H3578" s="4">
        <v>0.5</v>
      </c>
      <c r="I3578" s="1">
        <v>10</v>
      </c>
      <c r="J3578" s="4">
        <v>0.2</v>
      </c>
      <c r="K3578" s="1">
        <v>0</v>
      </c>
      <c r="L3578" s="1">
        <v>1</v>
      </c>
      <c r="M3578" s="32">
        <f>IF(Mecze[[#This Row],[PR]]=0,0,Mecze[[#This Row],[PR]]/Mecze[[#This Row],[CZAS]])</f>
        <v>1.0526315789473684E-2</v>
      </c>
      <c r="N3578" s="32">
        <f>IF(Mecze[[#This Row],[OU]]=0,0,Mecze[[#This Row],[OU]]/Mecze[[#This Row],[CZAS]])</f>
        <v>2.1052631578947368E-2</v>
      </c>
      <c r="O3578" s="32">
        <f>IF(Mecze[[#This Row],[PC]]=0,0,Mecze[[#This Row],[PC]]/Mecze[[#This Row],[CZAS]])</f>
        <v>4.2105263157894736E-2</v>
      </c>
      <c r="P3578" s="32">
        <f>IF(Mecze[[#This Row],[SC]]=0,0,Mecze[[#This Row],[SC]]/Mecze[[#This Row],[CZAS]])</f>
        <v>3.1578947368421054E-2</v>
      </c>
      <c r="Q3578" s="32">
        <f>IF(Mecze[[#This Row],[OB]]=0,0,Mecze[[#This Row],[OB]]/Mecze[[#This Row],[CZAS]])</f>
        <v>0</v>
      </c>
      <c r="R3578" s="32">
        <f>IF(Mecze[[#This Row],[BR]]=0,0,Mecze[[#This Row],[BR]]/Mecze[[#This Row],[CZAS]])</f>
        <v>1.0526315789473684E-2</v>
      </c>
      <c r="S3578" s="44">
        <f>IF(Mecze[[#This Row],[Role]]="BR",SUMPRODUCT(Mecze[[#This Row],[/PR:90]:[/BR:90]],Brudnopis!$E$23:$J$23),0)</f>
        <v>0</v>
      </c>
      <c r="T3578" s="44">
        <f>IF(Mecze[[#This Row],[Role]]&lt;&gt;"BR",SUMPRODUCT(Mecze[[#This Row],[/PR:90]:[/BR:90]],Brudnopis!$E$24:$J$24),0)</f>
        <v>0.13157894736842105</v>
      </c>
      <c r="U3578" s="44">
        <f>IF(Mecze[[#This Row],[Role]]&lt;&gt;"BR",SUMPRODUCT(Mecze[[#This Row],[/PR:90]:[/BR:90]],Brudnopis!$E$25:$J$25),0)</f>
        <v>0.14210526315789473</v>
      </c>
      <c r="V3578" s="44">
        <f>IF(Mecze[[#This Row],[Role]]&lt;&gt;"BR",SUMPRODUCT(Mecze[[#This Row],[/PR:90]:[/BR:90]],Brudnopis!$E$26:$J$26),0)</f>
        <v>0.12631578947368421</v>
      </c>
      <c r="W3578" s="44">
        <f>IF(Mecze[[#This Row],[Role]]&lt;&gt;"BR",SUMPRODUCT(Mecze[[#This Row],[/PR:90]:[/BR:90]],Brudnopis!$E$27:$J$27),0)</f>
        <v>0.13947368421052633</v>
      </c>
      <c r="X3578" s="44">
        <f>IF(Mecze[[#This Row],[Role]]&lt;&gt;"BR",SUMPRODUCT(Mecze[[#This Row],[/PR:90]:[/BR:90]],Brudnopis!$E$28:$J$28),0)</f>
        <v>0.13684210526315788</v>
      </c>
      <c r="Y3578" s="35">
        <f>IF(Mecze[[#This Row],[Role]]="BR",Mecze[[#This Row],[/OB:90]]+Mecze[[#This Row],[/PC:90]],SUM(Mecze[[#This Row],[/PR:90]:[/BR:90]]))</f>
        <v>0.11578947368421054</v>
      </c>
      <c r="Z3578" s="35">
        <f>IF(Mecze[[#This Row],[KC]]=0,SUM(Mecze[[#This Row],[/BRI]:[/NPI]]),SUM(Mecze[[#This Row],[/BRI]:[/NPI]])*0.6)</f>
        <v>0.6763157894736842</v>
      </c>
      <c r="AA3578" s="10">
        <f>IFERROR(Mecze[[#This Row],[BR]]/Mecze[[#This Row],[ST]],0)</f>
        <v>0.2</v>
      </c>
      <c r="AB3578">
        <f>ROUND(Mecze[[#This Row],[PD]]*Mecze[[#This Row],[%PC]],0)</f>
        <v>4</v>
      </c>
      <c r="AC3578">
        <f>ROUND(Mecze[[#This Row],[OD]]*Mecze[[#This Row],[%OU]],0)</f>
        <v>2</v>
      </c>
      <c r="AD3578" s="36" t="s">
        <v>46</v>
      </c>
      <c r="AE3578" s="36">
        <v>200</v>
      </c>
      <c r="AF3578" s="71">
        <v>8.2200000000000006</v>
      </c>
      <c r="AG3578" s="37">
        <v>0</v>
      </c>
      <c r="AH3578" s="37">
        <v>0</v>
      </c>
      <c r="AI3578" s="37">
        <v>95</v>
      </c>
      <c r="AJ3578" s="37">
        <v>1</v>
      </c>
      <c r="AK3578" s="37" t="str">
        <f>VLOOKUP(Mecze[[#This Row],[Match ID]],Meczusie[Mecz]:Meczusie[RodzajMeczu],2,FALSE)</f>
        <v>Towarzyski</v>
      </c>
    </row>
    <row r="3579" spans="1:37" x14ac:dyDescent="0.25">
      <c r="A3579" s="76">
        <v>51</v>
      </c>
      <c r="B3579" s="3" t="s">
        <v>517</v>
      </c>
      <c r="C3579" s="2" t="s">
        <v>165</v>
      </c>
      <c r="D3579" s="1">
        <v>1</v>
      </c>
      <c r="E3579" s="1">
        <v>1</v>
      </c>
      <c r="F3579" s="1">
        <v>1</v>
      </c>
      <c r="G3579" s="1">
        <v>5</v>
      </c>
      <c r="H3579" s="4">
        <v>0.6</v>
      </c>
      <c r="I3579" s="1">
        <v>6</v>
      </c>
      <c r="J3579" s="4">
        <v>0.33</v>
      </c>
      <c r="K3579" s="1">
        <v>0</v>
      </c>
      <c r="L3579" s="1">
        <v>1</v>
      </c>
      <c r="M3579" s="32">
        <f>IF(Mecze[[#This Row],[PR]]=0,0,Mecze[[#This Row],[PR]]/Mecze[[#This Row],[CZAS]])</f>
        <v>1.0526315789473684E-2</v>
      </c>
      <c r="N3579" s="32">
        <f>IF(Mecze[[#This Row],[OU]]=0,0,Mecze[[#This Row],[OU]]/Mecze[[#This Row],[CZAS]])</f>
        <v>2.1052631578947368E-2</v>
      </c>
      <c r="O3579" s="32">
        <f>IF(Mecze[[#This Row],[PC]]=0,0,Mecze[[#This Row],[PC]]/Mecze[[#This Row],[CZAS]])</f>
        <v>3.1578947368421054E-2</v>
      </c>
      <c r="P3579" s="32">
        <f>IF(Mecze[[#This Row],[SC]]=0,0,Mecze[[#This Row],[SC]]/Mecze[[#This Row],[CZAS]])</f>
        <v>1.0526315789473684E-2</v>
      </c>
      <c r="Q3579" s="32">
        <f>IF(Mecze[[#This Row],[OB]]=0,0,Mecze[[#This Row],[OB]]/Mecze[[#This Row],[CZAS]])</f>
        <v>0</v>
      </c>
      <c r="R3579" s="32">
        <f>IF(Mecze[[#This Row],[BR]]=0,0,Mecze[[#This Row],[BR]]/Mecze[[#This Row],[CZAS]])</f>
        <v>1.0526315789473684E-2</v>
      </c>
      <c r="S3579" s="44">
        <f>IF(Mecze[[#This Row],[Role]]="BR",SUMPRODUCT(Mecze[[#This Row],[/PR:90]:[/BR:90]],Brudnopis!$E$23:$J$23),0)</f>
        <v>0</v>
      </c>
      <c r="T3579" s="44">
        <f>IF(Mecze[[#This Row],[Role]]&lt;&gt;"BR",SUMPRODUCT(Mecze[[#This Row],[/PR:90]:[/BR:90]],Brudnopis!$E$24:$J$24),0)</f>
        <v>0.1</v>
      </c>
      <c r="U3579" s="44">
        <f>IF(Mecze[[#This Row],[Role]]&lt;&gt;"BR",SUMPRODUCT(Mecze[[#This Row],[/PR:90]:[/BR:90]],Brudnopis!$E$25:$J$25),0)</f>
        <v>0.10526315789473684</v>
      </c>
      <c r="V3579" s="44">
        <f>IF(Mecze[[#This Row],[Role]]&lt;&gt;"BR",SUMPRODUCT(Mecze[[#This Row],[/PR:90]:[/BR:90]],Brudnopis!$E$26:$J$26),0)</f>
        <v>9.4736842105263161E-2</v>
      </c>
      <c r="W3579" s="44">
        <f>IF(Mecze[[#This Row],[Role]]&lt;&gt;"BR",SUMPRODUCT(Mecze[[#This Row],[/PR:90]:[/BR:90]],Brudnopis!$E$27:$J$27),0)</f>
        <v>0.10263157894736842</v>
      </c>
      <c r="X3579" s="44">
        <f>IF(Mecze[[#This Row],[Role]]&lt;&gt;"BR",SUMPRODUCT(Mecze[[#This Row],[/PR:90]:[/BR:90]],Brudnopis!$E$28:$J$28),0)</f>
        <v>8.4210526315789472E-2</v>
      </c>
      <c r="Y3579" s="35">
        <f>IF(Mecze[[#This Row],[Role]]="BR",Mecze[[#This Row],[/OB:90]]+Mecze[[#This Row],[/PC:90]],SUM(Mecze[[#This Row],[/PR:90]:[/BR:90]]))</f>
        <v>8.4210526315789486E-2</v>
      </c>
      <c r="Z3579" s="35">
        <f>IF(Mecze[[#This Row],[KC]]=0,SUM(Mecze[[#This Row],[/BRI]:[/NPI]]),SUM(Mecze[[#This Row],[/BRI]:[/NPI]])*0.6)</f>
        <v>0.48684210526315785</v>
      </c>
      <c r="AA3579" s="10">
        <f>IFERROR(Mecze[[#This Row],[BR]]/Mecze[[#This Row],[ST]],0)</f>
        <v>1</v>
      </c>
      <c r="AB3579">
        <f>ROUND(Mecze[[#This Row],[PD]]*Mecze[[#This Row],[%PC]],0)</f>
        <v>3</v>
      </c>
      <c r="AC3579">
        <f>ROUND(Mecze[[#This Row],[OD]]*Mecze[[#This Row],[%OU]],0)</f>
        <v>2</v>
      </c>
      <c r="AD3579" s="36" t="s">
        <v>46</v>
      </c>
      <c r="AE3579" s="36">
        <v>200</v>
      </c>
      <c r="AF3579" s="71">
        <v>7.78</v>
      </c>
      <c r="AG3579" s="37">
        <v>0</v>
      </c>
      <c r="AH3579" s="37">
        <v>0</v>
      </c>
      <c r="AI3579" s="37">
        <v>95</v>
      </c>
      <c r="AJ3579" s="37">
        <v>1</v>
      </c>
      <c r="AK3579" s="37" t="str">
        <f>VLOOKUP(Mecze[[#This Row],[Match ID]],Meczusie[Mecz]:Meczusie[RodzajMeczu],2,FALSE)</f>
        <v>Towarzyski</v>
      </c>
    </row>
    <row r="3580" spans="1:37" x14ac:dyDescent="0.25">
      <c r="A3580" s="76">
        <v>46</v>
      </c>
      <c r="B3580" s="3" t="s">
        <v>395</v>
      </c>
      <c r="C3580" s="2" t="s">
        <v>165</v>
      </c>
      <c r="D3580" s="1">
        <v>0</v>
      </c>
      <c r="E3580" s="1">
        <v>3</v>
      </c>
      <c r="F3580" s="1">
        <v>2</v>
      </c>
      <c r="G3580" s="1">
        <v>5</v>
      </c>
      <c r="H3580" s="4">
        <v>0.2</v>
      </c>
      <c r="I3580" s="1">
        <v>2</v>
      </c>
      <c r="J3580" s="4">
        <v>0</v>
      </c>
      <c r="K3580" s="1">
        <v>0</v>
      </c>
      <c r="L3580" s="1">
        <v>1</v>
      </c>
      <c r="M3580" s="32">
        <f>IF(Mecze[[#This Row],[PR]]=0,0,Mecze[[#This Row],[PR]]/Mecze[[#This Row],[CZAS]])</f>
        <v>1.0526315789473684E-2</v>
      </c>
      <c r="N3580" s="32">
        <f>IF(Mecze[[#This Row],[OU]]=0,0,Mecze[[#This Row],[OU]]/Mecze[[#This Row],[CZAS]])</f>
        <v>0</v>
      </c>
      <c r="O3580" s="32">
        <f>IF(Mecze[[#This Row],[PC]]=0,0,Mecze[[#This Row],[PC]]/Mecze[[#This Row],[CZAS]])</f>
        <v>1.0526315789473684E-2</v>
      </c>
      <c r="P3580" s="32">
        <f>IF(Mecze[[#This Row],[SC]]=0,0,Mecze[[#This Row],[SC]]/Mecze[[#This Row],[CZAS]])</f>
        <v>2.1052631578947368E-2</v>
      </c>
      <c r="Q3580" s="32">
        <f>IF(Mecze[[#This Row],[OB]]=0,0,Mecze[[#This Row],[OB]]/Mecze[[#This Row],[CZAS]])</f>
        <v>0</v>
      </c>
      <c r="R3580" s="32">
        <f>IF(Mecze[[#This Row],[BR]]=0,0,Mecze[[#This Row],[BR]]/Mecze[[#This Row],[CZAS]])</f>
        <v>0</v>
      </c>
      <c r="S3580" s="44">
        <f>IF(Mecze[[#This Row],[Role]]="BR",SUMPRODUCT(Mecze[[#This Row],[/PR:90]:[/BR:90]],Brudnopis!$E$23:$J$23),0)</f>
        <v>0</v>
      </c>
      <c r="T3580" s="44">
        <f>IF(Mecze[[#This Row],[Role]]&lt;&gt;"BR",SUMPRODUCT(Mecze[[#This Row],[/PR:90]:[/BR:90]],Brudnopis!$E$24:$J$24),0)</f>
        <v>4.2105263157894736E-2</v>
      </c>
      <c r="U3580" s="44">
        <f>IF(Mecze[[#This Row],[Role]]&lt;&gt;"BR",SUMPRODUCT(Mecze[[#This Row],[/PR:90]:[/BR:90]],Brudnopis!$E$25:$J$25),0)</f>
        <v>4.7368421052631574E-2</v>
      </c>
      <c r="V3580" s="44">
        <f>IF(Mecze[[#This Row],[Role]]&lt;&gt;"BR",SUMPRODUCT(Mecze[[#This Row],[/PR:90]:[/BR:90]],Brudnopis!$E$26:$J$26),0)</f>
        <v>4.2105263157894736E-2</v>
      </c>
      <c r="W3580" s="44">
        <f>IF(Mecze[[#This Row],[Role]]&lt;&gt;"BR",SUMPRODUCT(Mecze[[#This Row],[/PR:90]:[/BR:90]],Brudnopis!$E$27:$J$27),0)</f>
        <v>4.4736842105263158E-2</v>
      </c>
      <c r="X3580" s="44">
        <f>IF(Mecze[[#This Row],[Role]]&lt;&gt;"BR",SUMPRODUCT(Mecze[[#This Row],[/PR:90]:[/BR:90]],Brudnopis!$E$28:$J$28),0)</f>
        <v>5.2631578947368418E-2</v>
      </c>
      <c r="Y3580" s="35">
        <f>IF(Mecze[[#This Row],[Role]]="BR",Mecze[[#This Row],[/OB:90]]+Mecze[[#This Row],[/PC:90]],SUM(Mecze[[#This Row],[/PR:90]:[/BR:90]]))</f>
        <v>4.2105263157894736E-2</v>
      </c>
      <c r="Z3580" s="35">
        <f>IF(Mecze[[#This Row],[KC]]=0,SUM(Mecze[[#This Row],[/BRI]:[/NPI]]),SUM(Mecze[[#This Row],[/BRI]:[/NPI]])*0.6)</f>
        <v>0.22894736842105262</v>
      </c>
      <c r="AA3580" s="10">
        <f>IFERROR(Mecze[[#This Row],[BR]]/Mecze[[#This Row],[ST]],0)</f>
        <v>0</v>
      </c>
      <c r="AB3580">
        <f>ROUND(Mecze[[#This Row],[PD]]*Mecze[[#This Row],[%PC]],0)</f>
        <v>1</v>
      </c>
      <c r="AC3580">
        <f>ROUND(Mecze[[#This Row],[OD]]*Mecze[[#This Row],[%OU]],0)</f>
        <v>0</v>
      </c>
      <c r="AD3580" s="36" t="s">
        <v>46</v>
      </c>
      <c r="AE3580" s="36">
        <v>200</v>
      </c>
      <c r="AF3580" s="71">
        <v>4.37</v>
      </c>
      <c r="AG3580" s="37">
        <v>0</v>
      </c>
      <c r="AH3580" s="37">
        <v>0</v>
      </c>
      <c r="AI3580" s="37">
        <v>95</v>
      </c>
      <c r="AJ3580" s="37">
        <v>1</v>
      </c>
      <c r="AK3580" s="37" t="str">
        <f>VLOOKUP(Mecze[[#This Row],[Match ID]],Meczusie[Mecz]:Meczusie[RodzajMeczu],2,FALSE)</f>
        <v>Towarzyski</v>
      </c>
    </row>
    <row r="3581" spans="1:37" x14ac:dyDescent="0.25">
      <c r="A3581" s="76">
        <v>39</v>
      </c>
      <c r="B3581" s="3" t="s">
        <v>450</v>
      </c>
      <c r="C3581" s="2" t="s">
        <v>155</v>
      </c>
      <c r="D3581" s="1">
        <v>0</v>
      </c>
      <c r="E3581" s="1">
        <v>0</v>
      </c>
      <c r="F3581" s="1">
        <v>0</v>
      </c>
      <c r="G3581" s="1">
        <v>11</v>
      </c>
      <c r="H3581" s="4">
        <v>0.27</v>
      </c>
      <c r="I3581" s="1">
        <v>0</v>
      </c>
      <c r="J3581" s="4"/>
      <c r="K3581" s="1">
        <v>5</v>
      </c>
      <c r="L3581" s="1">
        <v>0</v>
      </c>
      <c r="M3581" s="32">
        <f>IF(Mecze[[#This Row],[PR]]=0,0,Mecze[[#This Row],[PR]]/Mecze[[#This Row],[CZAS]])</f>
        <v>0</v>
      </c>
      <c r="N3581" s="32">
        <f>IF(Mecze[[#This Row],[OU]]=0,0,Mecze[[#This Row],[OU]]/Mecze[[#This Row],[CZAS]])</f>
        <v>0</v>
      </c>
      <c r="O3581" s="32">
        <f>IF(Mecze[[#This Row],[PC]]=0,0,Mecze[[#This Row],[PC]]/Mecze[[#This Row],[CZAS]])</f>
        <v>0.03</v>
      </c>
      <c r="P3581" s="32">
        <f>IF(Mecze[[#This Row],[SC]]=0,0,Mecze[[#This Row],[SC]]/Mecze[[#This Row],[CZAS]])</f>
        <v>0</v>
      </c>
      <c r="Q3581" s="32">
        <f>IF(Mecze[[#This Row],[OB]]=0,0,Mecze[[#This Row],[OB]]/Mecze[[#This Row],[CZAS]])</f>
        <v>0.05</v>
      </c>
      <c r="R3581" s="32">
        <f>IF(Mecze[[#This Row],[BR]]=0,0,Mecze[[#This Row],[BR]]/Mecze[[#This Row],[CZAS]])</f>
        <v>0</v>
      </c>
      <c r="S3581" s="44">
        <f>IF(Mecze[[#This Row],[Role]]="BR",SUMPRODUCT(Mecze[[#This Row],[/PR:90]:[/BR:90]],Brudnopis!$E$23:$J$23),0)</f>
        <v>0.24000000000000002</v>
      </c>
      <c r="T3581" s="44">
        <f>IF(Mecze[[#This Row],[Role]]&lt;&gt;"BR",SUMPRODUCT(Mecze[[#This Row],[/PR:90]:[/BR:90]],Brudnopis!$E$24:$J$24),0)</f>
        <v>0</v>
      </c>
      <c r="U3581" s="44">
        <f>IF(Mecze[[#This Row],[Role]]&lt;&gt;"BR",SUMPRODUCT(Mecze[[#This Row],[/PR:90]:[/BR:90]],Brudnopis!$E$25:$J$25),0)</f>
        <v>0</v>
      </c>
      <c r="V3581" s="44">
        <f>IF(Mecze[[#This Row],[Role]]&lt;&gt;"BR",SUMPRODUCT(Mecze[[#This Row],[/PR:90]:[/BR:90]],Brudnopis!$E$26:$J$26),0)</f>
        <v>0</v>
      </c>
      <c r="W3581" s="44">
        <f>IF(Mecze[[#This Row],[Role]]&lt;&gt;"BR",SUMPRODUCT(Mecze[[#This Row],[/PR:90]:[/BR:90]],Brudnopis!$E$27:$J$27),0)</f>
        <v>0</v>
      </c>
      <c r="X3581" s="44">
        <f>IF(Mecze[[#This Row],[Role]]&lt;&gt;"BR",SUMPRODUCT(Mecze[[#This Row],[/PR:90]:[/BR:90]],Brudnopis!$E$28:$J$28),0)</f>
        <v>0</v>
      </c>
      <c r="Y3581" s="35">
        <f>IF(Mecze[[#This Row],[Role]]="BR",Mecze[[#This Row],[/OB:90]]+Mecze[[#This Row],[/PC:90]],SUM(Mecze[[#This Row],[/PR:90]:[/BR:90]]))</f>
        <v>0.08</v>
      </c>
      <c r="Z3581" s="35">
        <f>IF(Mecze[[#This Row],[KC]]=0,SUM(Mecze[[#This Row],[/BRI]:[/NPI]]),SUM(Mecze[[#This Row],[/BRI]:[/NPI]])*0.6)</f>
        <v>0.24000000000000002</v>
      </c>
      <c r="AA3581" s="10">
        <f>IFERROR(Mecze[[#This Row],[BR]]/Mecze[[#This Row],[ST]],0)</f>
        <v>0</v>
      </c>
      <c r="AB3581">
        <f>ROUND(Mecze[[#This Row],[PD]]*Mecze[[#This Row],[%PC]],0)</f>
        <v>3</v>
      </c>
      <c r="AC3581">
        <f>ROUND(Mecze[[#This Row],[OD]]*Mecze[[#This Row],[%OU]],0)</f>
        <v>0</v>
      </c>
      <c r="AD3581" s="36" t="s">
        <v>40</v>
      </c>
      <c r="AE3581" s="36">
        <v>201</v>
      </c>
      <c r="AF3581" s="71">
        <v>5.67</v>
      </c>
      <c r="AG3581" s="37">
        <v>0</v>
      </c>
      <c r="AH3581" s="37">
        <v>0</v>
      </c>
      <c r="AI3581" s="37">
        <v>100</v>
      </c>
      <c r="AJ3581" s="37">
        <v>1</v>
      </c>
      <c r="AK3581" s="37" t="str">
        <f>VLOOKUP(Mecze[[#This Row],[Match ID]],Meczusie[Mecz]:Meczusie[RodzajMeczu],2,FALSE)</f>
        <v>Towarzyski</v>
      </c>
    </row>
    <row r="3582" spans="1:37" x14ac:dyDescent="0.25">
      <c r="A3582" s="76">
        <v>50</v>
      </c>
      <c r="B3582" s="3" t="s">
        <v>496</v>
      </c>
      <c r="C3582" s="2" t="s">
        <v>157</v>
      </c>
      <c r="D3582" s="1">
        <v>0</v>
      </c>
      <c r="E3582" s="1">
        <v>0</v>
      </c>
      <c r="F3582" s="1">
        <v>0</v>
      </c>
      <c r="G3582" s="1">
        <v>8</v>
      </c>
      <c r="H3582" s="4">
        <v>0.63</v>
      </c>
      <c r="I3582" s="1">
        <v>0</v>
      </c>
      <c r="J3582" s="4"/>
      <c r="K3582" s="1">
        <v>0</v>
      </c>
      <c r="L3582" s="1">
        <v>6</v>
      </c>
      <c r="M3582" s="32">
        <f>IF(Mecze[[#This Row],[PR]]=0,0,Mecze[[#This Row],[PR]]/Mecze[[#This Row],[CZAS]])</f>
        <v>0.06</v>
      </c>
      <c r="N3582" s="32">
        <f>IF(Mecze[[#This Row],[OU]]=0,0,Mecze[[#This Row],[OU]]/Mecze[[#This Row],[CZAS]])</f>
        <v>0</v>
      </c>
      <c r="O3582" s="32">
        <f>IF(Mecze[[#This Row],[PC]]=0,0,Mecze[[#This Row],[PC]]/Mecze[[#This Row],[CZAS]])</f>
        <v>0.05</v>
      </c>
      <c r="P3582" s="32">
        <f>IF(Mecze[[#This Row],[SC]]=0,0,Mecze[[#This Row],[SC]]/Mecze[[#This Row],[CZAS]])</f>
        <v>0</v>
      </c>
      <c r="Q3582" s="32">
        <f>IF(Mecze[[#This Row],[OB]]=0,0,Mecze[[#This Row],[OB]]/Mecze[[#This Row],[CZAS]])</f>
        <v>0</v>
      </c>
      <c r="R3582" s="32">
        <f>IF(Mecze[[#This Row],[BR]]=0,0,Mecze[[#This Row],[BR]]/Mecze[[#This Row],[CZAS]])</f>
        <v>0</v>
      </c>
      <c r="S3582" s="44">
        <f>IF(Mecze[[#This Row],[Role]]="BR",SUMPRODUCT(Mecze[[#This Row],[/PR:90]:[/BR:90]],Brudnopis!$E$23:$J$23),0)</f>
        <v>0</v>
      </c>
      <c r="T3582" s="44">
        <f>IF(Mecze[[#This Row],[Role]]&lt;&gt;"BR",SUMPRODUCT(Mecze[[#This Row],[/PR:90]:[/BR:90]],Brudnopis!$E$24:$J$24),0)</f>
        <v>0.11</v>
      </c>
      <c r="U3582" s="44">
        <f>IF(Mecze[[#This Row],[Role]]&lt;&gt;"BR",SUMPRODUCT(Mecze[[#This Row],[/PR:90]:[/BR:90]],Brudnopis!$E$25:$J$25),0)</f>
        <v>0.13500000000000001</v>
      </c>
      <c r="V3582" s="44">
        <f>IF(Mecze[[#This Row],[Role]]&lt;&gt;"BR",SUMPRODUCT(Mecze[[#This Row],[/PR:90]:[/BR:90]],Brudnopis!$E$26:$J$26),0)</f>
        <v>0.11</v>
      </c>
      <c r="W3582" s="44">
        <f>IF(Mecze[[#This Row],[Role]]&lt;&gt;"BR",SUMPRODUCT(Mecze[[#This Row],[/PR:90]:[/BR:90]],Brudnopis!$E$27:$J$27),0)</f>
        <v>0.12000000000000001</v>
      </c>
      <c r="X3582" s="44">
        <f>IF(Mecze[[#This Row],[Role]]&lt;&gt;"BR",SUMPRODUCT(Mecze[[#This Row],[/PR:90]:[/BR:90]],Brudnopis!$E$28:$J$28),0)</f>
        <v>0.05</v>
      </c>
      <c r="Y3582" s="35">
        <f>IF(Mecze[[#This Row],[Role]]="BR",Mecze[[#This Row],[/OB:90]]+Mecze[[#This Row],[/PC:90]],SUM(Mecze[[#This Row],[/PR:90]:[/BR:90]]))</f>
        <v>0.11</v>
      </c>
      <c r="Z3582" s="35">
        <f>IF(Mecze[[#This Row],[KC]]=0,SUM(Mecze[[#This Row],[/BRI]:[/NPI]]),SUM(Mecze[[#This Row],[/BRI]:[/NPI]])*0.6)</f>
        <v>0.52500000000000002</v>
      </c>
      <c r="AA3582" s="10">
        <f>IFERROR(Mecze[[#This Row],[BR]]/Mecze[[#This Row],[ST]],0)</f>
        <v>0</v>
      </c>
      <c r="AB3582">
        <f>ROUND(Mecze[[#This Row],[PD]]*Mecze[[#This Row],[%PC]],0)</f>
        <v>5</v>
      </c>
      <c r="AC3582">
        <f>ROUND(Mecze[[#This Row],[OD]]*Mecze[[#This Row],[%OU]],0)</f>
        <v>0</v>
      </c>
      <c r="AD3582" s="36" t="s">
        <v>47</v>
      </c>
      <c r="AE3582" s="36">
        <v>201</v>
      </c>
      <c r="AF3582" s="71">
        <v>5.18</v>
      </c>
      <c r="AG3582" s="37">
        <v>0</v>
      </c>
      <c r="AH3582" s="37">
        <v>0</v>
      </c>
      <c r="AI3582" s="37">
        <v>100</v>
      </c>
      <c r="AJ3582" s="37">
        <v>1</v>
      </c>
      <c r="AK3582" s="37" t="str">
        <f>VLOOKUP(Mecze[[#This Row],[Match ID]],Meczusie[Mecz]:Meczusie[RodzajMeczu],2,FALSE)</f>
        <v>Towarzyski</v>
      </c>
    </row>
    <row r="3583" spans="1:37" x14ac:dyDescent="0.25">
      <c r="A3583" s="76">
        <v>53</v>
      </c>
      <c r="B3583" s="3" t="s">
        <v>415</v>
      </c>
      <c r="C3583" s="2" t="s">
        <v>157</v>
      </c>
      <c r="D3583" s="1">
        <v>0</v>
      </c>
      <c r="E3583" s="1">
        <v>0</v>
      </c>
      <c r="F3583" s="1">
        <v>0</v>
      </c>
      <c r="G3583" s="1">
        <v>7</v>
      </c>
      <c r="H3583" s="4">
        <v>0.43</v>
      </c>
      <c r="I3583" s="1">
        <v>5</v>
      </c>
      <c r="J3583" s="4">
        <v>0.2</v>
      </c>
      <c r="K3583" s="1">
        <v>0</v>
      </c>
      <c r="L3583" s="1">
        <v>7</v>
      </c>
      <c r="M3583" s="32">
        <f>IF(Mecze[[#This Row],[PR]]=0,0,Mecze[[#This Row],[PR]]/Mecze[[#This Row],[CZAS]])</f>
        <v>7.0000000000000007E-2</v>
      </c>
      <c r="N3583" s="32">
        <f>IF(Mecze[[#This Row],[OU]]=0,0,Mecze[[#This Row],[OU]]/Mecze[[#This Row],[CZAS]])</f>
        <v>0.01</v>
      </c>
      <c r="O3583" s="32">
        <f>IF(Mecze[[#This Row],[PC]]=0,0,Mecze[[#This Row],[PC]]/Mecze[[#This Row],[CZAS]])</f>
        <v>0.03</v>
      </c>
      <c r="P3583" s="32">
        <f>IF(Mecze[[#This Row],[SC]]=0,0,Mecze[[#This Row],[SC]]/Mecze[[#This Row],[CZAS]])</f>
        <v>0</v>
      </c>
      <c r="Q3583" s="32">
        <f>IF(Mecze[[#This Row],[OB]]=0,0,Mecze[[#This Row],[OB]]/Mecze[[#This Row],[CZAS]])</f>
        <v>0</v>
      </c>
      <c r="R3583" s="32">
        <f>IF(Mecze[[#This Row],[BR]]=0,0,Mecze[[#This Row],[BR]]/Mecze[[#This Row],[CZAS]])</f>
        <v>0</v>
      </c>
      <c r="S3583" s="44">
        <f>IF(Mecze[[#This Row],[Role]]="BR",SUMPRODUCT(Mecze[[#This Row],[/PR:90]:[/BR:90]],Brudnopis!$E$23:$J$23),0)</f>
        <v>0</v>
      </c>
      <c r="T3583" s="44">
        <f>IF(Mecze[[#This Row],[Role]]&lt;&gt;"BR",SUMPRODUCT(Mecze[[#This Row],[/PR:90]:[/BR:90]],Brudnopis!$E$24:$J$24),0)</f>
        <v>0.115</v>
      </c>
      <c r="U3583" s="44">
        <f>IF(Mecze[[#This Row],[Role]]&lt;&gt;"BR",SUMPRODUCT(Mecze[[#This Row],[/PR:90]:[/BR:90]],Brudnopis!$E$25:$J$25),0)</f>
        <v>0.125</v>
      </c>
      <c r="V3583" s="44">
        <f>IF(Mecze[[#This Row],[Role]]&lt;&gt;"BR",SUMPRODUCT(Mecze[[#This Row],[/PR:90]:[/BR:90]],Brudnopis!$E$26:$J$26),0)</f>
        <v>0.11</v>
      </c>
      <c r="W3583" s="44">
        <f>IF(Mecze[[#This Row],[Role]]&lt;&gt;"BR",SUMPRODUCT(Mecze[[#This Row],[/PR:90]:[/BR:90]],Brudnopis!$E$27:$J$27),0)</f>
        <v>0.10500000000000001</v>
      </c>
      <c r="X3583" s="44">
        <f>IF(Mecze[[#This Row],[Role]]&lt;&gt;"BR",SUMPRODUCT(Mecze[[#This Row],[/PR:90]:[/BR:90]],Brudnopis!$E$28:$J$28),0)</f>
        <v>0.03</v>
      </c>
      <c r="Y3583" s="35">
        <f>IF(Mecze[[#This Row],[Role]]="BR",Mecze[[#This Row],[/OB:90]]+Mecze[[#This Row],[/PC:90]],SUM(Mecze[[#This Row],[/PR:90]:[/BR:90]]))</f>
        <v>0.11</v>
      </c>
      <c r="Z3583" s="35">
        <f>IF(Mecze[[#This Row],[KC]]=0,SUM(Mecze[[#This Row],[/BRI]:[/NPI]]),SUM(Mecze[[#This Row],[/BRI]:[/NPI]])*0.6)</f>
        <v>0.48499999999999999</v>
      </c>
      <c r="AA3583" s="10">
        <f>IFERROR(Mecze[[#This Row],[BR]]/Mecze[[#This Row],[ST]],0)</f>
        <v>0</v>
      </c>
      <c r="AB3583">
        <f>ROUND(Mecze[[#This Row],[PD]]*Mecze[[#This Row],[%PC]],0)</f>
        <v>3</v>
      </c>
      <c r="AC3583">
        <f>ROUND(Mecze[[#This Row],[OD]]*Mecze[[#This Row],[%OU]],0)</f>
        <v>1</v>
      </c>
      <c r="AD3583" s="36" t="s">
        <v>167</v>
      </c>
      <c r="AE3583" s="36">
        <v>201</v>
      </c>
      <c r="AF3583" s="71">
        <v>5.39</v>
      </c>
      <c r="AG3583" s="37">
        <v>0</v>
      </c>
      <c r="AH3583" s="37">
        <v>0</v>
      </c>
      <c r="AI3583" s="37">
        <v>100</v>
      </c>
      <c r="AJ3583" s="37">
        <v>1</v>
      </c>
      <c r="AK3583" s="37" t="str">
        <f>VLOOKUP(Mecze[[#This Row],[Match ID]],Meczusie[Mecz]:Meczusie[RodzajMeczu],2,FALSE)</f>
        <v>Towarzyski</v>
      </c>
    </row>
    <row r="3584" spans="1:37" x14ac:dyDescent="0.25">
      <c r="A3584" s="76">
        <v>42</v>
      </c>
      <c r="B3584" s="3" t="s">
        <v>361</v>
      </c>
      <c r="C3584" s="2" t="s">
        <v>157</v>
      </c>
      <c r="D3584" s="1">
        <v>0</v>
      </c>
      <c r="E3584" s="1">
        <v>0</v>
      </c>
      <c r="F3584" s="1">
        <v>0</v>
      </c>
      <c r="G3584" s="1">
        <v>8</v>
      </c>
      <c r="H3584" s="4">
        <v>0.75</v>
      </c>
      <c r="I3584" s="1">
        <v>5</v>
      </c>
      <c r="J3584" s="4">
        <v>0.2</v>
      </c>
      <c r="K3584" s="1">
        <v>0</v>
      </c>
      <c r="L3584" s="1">
        <v>12</v>
      </c>
      <c r="M3584" s="32">
        <f>IF(Mecze[[#This Row],[PR]]=0,0,Mecze[[#This Row],[PR]]/Mecze[[#This Row],[CZAS]])</f>
        <v>0.12</v>
      </c>
      <c r="N3584" s="32">
        <f>IF(Mecze[[#This Row],[OU]]=0,0,Mecze[[#This Row],[OU]]/Mecze[[#This Row],[CZAS]])</f>
        <v>0.01</v>
      </c>
      <c r="O3584" s="32">
        <f>IF(Mecze[[#This Row],[PC]]=0,0,Mecze[[#This Row],[PC]]/Mecze[[#This Row],[CZAS]])</f>
        <v>0.06</v>
      </c>
      <c r="P3584" s="32">
        <f>IF(Mecze[[#This Row],[SC]]=0,0,Mecze[[#This Row],[SC]]/Mecze[[#This Row],[CZAS]])</f>
        <v>0</v>
      </c>
      <c r="Q3584" s="32">
        <f>IF(Mecze[[#This Row],[OB]]=0,0,Mecze[[#This Row],[OB]]/Mecze[[#This Row],[CZAS]])</f>
        <v>0</v>
      </c>
      <c r="R3584" s="32">
        <f>IF(Mecze[[#This Row],[BR]]=0,0,Mecze[[#This Row],[BR]]/Mecze[[#This Row],[CZAS]])</f>
        <v>0</v>
      </c>
      <c r="S3584" s="44">
        <f>IF(Mecze[[#This Row],[Role]]="BR",SUMPRODUCT(Mecze[[#This Row],[/PR:90]:[/BR:90]],Brudnopis!$E$23:$J$23),0)</f>
        <v>0</v>
      </c>
      <c r="T3584" s="44">
        <f>IF(Mecze[[#This Row],[Role]]&lt;&gt;"BR",SUMPRODUCT(Mecze[[#This Row],[/PR:90]:[/BR:90]],Brudnopis!$E$24:$J$24),0)</f>
        <v>0.19500000000000001</v>
      </c>
      <c r="U3584" s="44">
        <f>IF(Mecze[[#This Row],[Role]]&lt;&gt;"BR",SUMPRODUCT(Mecze[[#This Row],[/PR:90]:[/BR:90]],Brudnopis!$E$25:$J$25),0)</f>
        <v>0.22</v>
      </c>
      <c r="V3584" s="44">
        <f>IF(Mecze[[#This Row],[Role]]&lt;&gt;"BR",SUMPRODUCT(Mecze[[#This Row],[/PR:90]:[/BR:90]],Brudnopis!$E$26:$J$26),0)</f>
        <v>0.19</v>
      </c>
      <c r="W3584" s="44">
        <f>IF(Mecze[[#This Row],[Role]]&lt;&gt;"BR",SUMPRODUCT(Mecze[[#This Row],[/PR:90]:[/BR:90]],Brudnopis!$E$27:$J$27),0)</f>
        <v>0.1875</v>
      </c>
      <c r="X3584" s="44">
        <f>IF(Mecze[[#This Row],[Role]]&lt;&gt;"BR",SUMPRODUCT(Mecze[[#This Row],[/PR:90]:[/BR:90]],Brudnopis!$E$28:$J$28),0)</f>
        <v>0.06</v>
      </c>
      <c r="Y3584" s="35">
        <f>IF(Mecze[[#This Row],[Role]]="BR",Mecze[[#This Row],[/OB:90]]+Mecze[[#This Row],[/PC:90]],SUM(Mecze[[#This Row],[/PR:90]:[/BR:90]]))</f>
        <v>0.19</v>
      </c>
      <c r="Z3584" s="35">
        <f>IF(Mecze[[#This Row],[KC]]=0,SUM(Mecze[[#This Row],[/BRI]:[/NPI]]),SUM(Mecze[[#This Row],[/BRI]:[/NPI]])*0.6)</f>
        <v>0.85250000000000004</v>
      </c>
      <c r="AA3584" s="10">
        <f>IFERROR(Mecze[[#This Row],[BR]]/Mecze[[#This Row],[ST]],0)</f>
        <v>0</v>
      </c>
      <c r="AB3584">
        <f>ROUND(Mecze[[#This Row],[PD]]*Mecze[[#This Row],[%PC]],0)</f>
        <v>6</v>
      </c>
      <c r="AC3584">
        <f>ROUND(Mecze[[#This Row],[OD]]*Mecze[[#This Row],[%OU]],0)</f>
        <v>1</v>
      </c>
      <c r="AD3584" s="36" t="s">
        <v>168</v>
      </c>
      <c r="AE3584" s="36">
        <v>201</v>
      </c>
      <c r="AF3584" s="71">
        <v>6.44</v>
      </c>
      <c r="AG3584" s="37">
        <v>0</v>
      </c>
      <c r="AH3584" s="37">
        <v>0</v>
      </c>
      <c r="AI3584" s="37">
        <v>100</v>
      </c>
      <c r="AJ3584" s="37">
        <v>1</v>
      </c>
      <c r="AK3584" s="37" t="str">
        <f>VLOOKUP(Mecze[[#This Row],[Match ID]],Meczusie[Mecz]:Meczusie[RodzajMeczu],2,FALSE)</f>
        <v>Towarzyski</v>
      </c>
    </row>
    <row r="3585" spans="1:37" x14ac:dyDescent="0.25">
      <c r="A3585" s="76">
        <v>52</v>
      </c>
      <c r="B3585" s="3" t="s">
        <v>408</v>
      </c>
      <c r="C3585" s="2" t="s">
        <v>160</v>
      </c>
      <c r="D3585" s="1">
        <v>0</v>
      </c>
      <c r="E3585" s="1">
        <v>0</v>
      </c>
      <c r="F3585" s="1">
        <v>0</v>
      </c>
      <c r="G3585" s="1">
        <v>13</v>
      </c>
      <c r="H3585" s="4">
        <v>0.54</v>
      </c>
      <c r="I3585" s="1">
        <v>11</v>
      </c>
      <c r="J3585" s="4">
        <v>0.18</v>
      </c>
      <c r="K3585" s="1">
        <v>0</v>
      </c>
      <c r="L3585" s="1">
        <v>5</v>
      </c>
      <c r="M3585" s="32">
        <f>IF(Mecze[[#This Row],[PR]]=0,0,Mecze[[#This Row],[PR]]/Mecze[[#This Row],[CZAS]])</f>
        <v>0.05</v>
      </c>
      <c r="N3585" s="32">
        <f>IF(Mecze[[#This Row],[OU]]=0,0,Mecze[[#This Row],[OU]]/Mecze[[#This Row],[CZAS]])</f>
        <v>0.02</v>
      </c>
      <c r="O3585" s="32">
        <f>IF(Mecze[[#This Row],[PC]]=0,0,Mecze[[#This Row],[PC]]/Mecze[[#This Row],[CZAS]])</f>
        <v>7.0000000000000007E-2</v>
      </c>
      <c r="P3585" s="32">
        <f>IF(Mecze[[#This Row],[SC]]=0,0,Mecze[[#This Row],[SC]]/Mecze[[#This Row],[CZAS]])</f>
        <v>0</v>
      </c>
      <c r="Q3585" s="32">
        <f>IF(Mecze[[#This Row],[OB]]=0,0,Mecze[[#This Row],[OB]]/Mecze[[#This Row],[CZAS]])</f>
        <v>0</v>
      </c>
      <c r="R3585" s="32">
        <f>IF(Mecze[[#This Row],[BR]]=0,0,Mecze[[#This Row],[BR]]/Mecze[[#This Row],[CZAS]])</f>
        <v>0</v>
      </c>
      <c r="S3585" s="44">
        <f>IF(Mecze[[#This Row],[Role]]="BR",SUMPRODUCT(Mecze[[#This Row],[/PR:90]:[/BR:90]],Brudnopis!$E$23:$J$23),0)</f>
        <v>0</v>
      </c>
      <c r="T3585" s="44">
        <f>IF(Mecze[[#This Row],[Role]]&lt;&gt;"BR",SUMPRODUCT(Mecze[[#This Row],[/PR:90]:[/BR:90]],Brudnopis!$E$24:$J$24),0)</f>
        <v>0.15000000000000002</v>
      </c>
      <c r="U3585" s="44">
        <f>IF(Mecze[[#This Row],[Role]]&lt;&gt;"BR",SUMPRODUCT(Mecze[[#This Row],[/PR:90]:[/BR:90]],Brudnopis!$E$25:$J$25),0)</f>
        <v>0.17500000000000002</v>
      </c>
      <c r="V3585" s="44">
        <f>IF(Mecze[[#This Row],[Role]]&lt;&gt;"BR",SUMPRODUCT(Mecze[[#This Row],[/PR:90]:[/BR:90]],Brudnopis!$E$26:$J$26),0)</f>
        <v>0.14000000000000001</v>
      </c>
      <c r="W3585" s="44">
        <f>IF(Mecze[[#This Row],[Role]]&lt;&gt;"BR",SUMPRODUCT(Mecze[[#This Row],[/PR:90]:[/BR:90]],Brudnopis!$E$27:$J$27),0)</f>
        <v>0.15750000000000003</v>
      </c>
      <c r="X3585" s="44">
        <f>IF(Mecze[[#This Row],[Role]]&lt;&gt;"BR",SUMPRODUCT(Mecze[[#This Row],[/PR:90]:[/BR:90]],Brudnopis!$E$28:$J$28),0)</f>
        <v>7.0000000000000007E-2</v>
      </c>
      <c r="Y3585" s="35">
        <f>IF(Mecze[[#This Row],[Role]]="BR",Mecze[[#This Row],[/OB:90]]+Mecze[[#This Row],[/PC:90]],SUM(Mecze[[#This Row],[/PR:90]:[/BR:90]]))</f>
        <v>0.14000000000000001</v>
      </c>
      <c r="Z3585" s="35">
        <f>IF(Mecze[[#This Row],[KC]]=0,SUM(Mecze[[#This Row],[/BRI]:[/NPI]]),SUM(Mecze[[#This Row],[/BRI]:[/NPI]])*0.6)</f>
        <v>0.69250000000000012</v>
      </c>
      <c r="AA3585" s="10">
        <f>IFERROR(Mecze[[#This Row],[BR]]/Mecze[[#This Row],[ST]],0)</f>
        <v>0</v>
      </c>
      <c r="AB3585">
        <f>ROUND(Mecze[[#This Row],[PD]]*Mecze[[#This Row],[%PC]],0)</f>
        <v>7</v>
      </c>
      <c r="AC3585">
        <f>ROUND(Mecze[[#This Row],[OD]]*Mecze[[#This Row],[%OU]],0)</f>
        <v>2</v>
      </c>
      <c r="AD3585" s="36" t="s">
        <v>41</v>
      </c>
      <c r="AE3585" s="36">
        <v>201</v>
      </c>
      <c r="AF3585" s="71">
        <v>6.18</v>
      </c>
      <c r="AG3585" s="37">
        <v>0</v>
      </c>
      <c r="AH3585" s="37">
        <v>0</v>
      </c>
      <c r="AI3585" s="37">
        <v>100</v>
      </c>
      <c r="AJ3585" s="37">
        <v>1</v>
      </c>
      <c r="AK3585" s="37" t="str">
        <f>VLOOKUP(Mecze[[#This Row],[Match ID]],Meczusie[Mecz]:Meczusie[RodzajMeczu],2,FALSE)</f>
        <v>Towarzyski</v>
      </c>
    </row>
    <row r="3586" spans="1:37" x14ac:dyDescent="0.25">
      <c r="A3586" s="76">
        <v>40</v>
      </c>
      <c r="B3586" s="3" t="s">
        <v>453</v>
      </c>
      <c r="C3586" s="2" t="s">
        <v>160</v>
      </c>
      <c r="D3586" s="1">
        <v>0</v>
      </c>
      <c r="E3586" s="1">
        <v>0</v>
      </c>
      <c r="F3586" s="1">
        <v>0</v>
      </c>
      <c r="G3586" s="1">
        <v>13</v>
      </c>
      <c r="H3586" s="4">
        <v>0.54</v>
      </c>
      <c r="I3586" s="1">
        <v>8</v>
      </c>
      <c r="J3586" s="4">
        <v>0.25</v>
      </c>
      <c r="K3586" s="1">
        <v>0</v>
      </c>
      <c r="L3586" s="1">
        <v>7</v>
      </c>
      <c r="M3586" s="32">
        <f>IF(Mecze[[#This Row],[PR]]=0,0,Mecze[[#This Row],[PR]]/Mecze[[#This Row],[CZAS]])</f>
        <v>7.0000000000000007E-2</v>
      </c>
      <c r="N3586" s="32">
        <f>IF(Mecze[[#This Row],[OU]]=0,0,Mecze[[#This Row],[OU]]/Mecze[[#This Row],[CZAS]])</f>
        <v>0.02</v>
      </c>
      <c r="O3586" s="32">
        <f>IF(Mecze[[#This Row],[PC]]=0,0,Mecze[[#This Row],[PC]]/Mecze[[#This Row],[CZAS]])</f>
        <v>7.0000000000000007E-2</v>
      </c>
      <c r="P3586" s="32">
        <f>IF(Mecze[[#This Row],[SC]]=0,0,Mecze[[#This Row],[SC]]/Mecze[[#This Row],[CZAS]])</f>
        <v>0</v>
      </c>
      <c r="Q3586" s="32">
        <f>IF(Mecze[[#This Row],[OB]]=0,0,Mecze[[#This Row],[OB]]/Mecze[[#This Row],[CZAS]])</f>
        <v>0</v>
      </c>
      <c r="R3586" s="32">
        <f>IF(Mecze[[#This Row],[BR]]=0,0,Mecze[[#This Row],[BR]]/Mecze[[#This Row],[CZAS]])</f>
        <v>0</v>
      </c>
      <c r="S3586" s="44">
        <f>IF(Mecze[[#This Row],[Role]]="BR",SUMPRODUCT(Mecze[[#This Row],[/PR:90]:[/BR:90]],Brudnopis!$E$23:$J$23),0)</f>
        <v>0</v>
      </c>
      <c r="T3586" s="44">
        <f>IF(Mecze[[#This Row],[Role]]&lt;&gt;"BR",SUMPRODUCT(Mecze[[#This Row],[/PR:90]:[/BR:90]],Brudnopis!$E$24:$J$24),0)</f>
        <v>0.17</v>
      </c>
      <c r="U3586" s="44">
        <f>IF(Mecze[[#This Row],[Role]]&lt;&gt;"BR",SUMPRODUCT(Mecze[[#This Row],[/PR:90]:[/BR:90]],Brudnopis!$E$25:$J$25),0)</f>
        <v>0.19500000000000001</v>
      </c>
      <c r="V3586" s="44">
        <f>IF(Mecze[[#This Row],[Role]]&lt;&gt;"BR",SUMPRODUCT(Mecze[[#This Row],[/PR:90]:[/BR:90]],Brudnopis!$E$26:$J$26),0)</f>
        <v>0.16000000000000003</v>
      </c>
      <c r="W3586" s="44">
        <f>IF(Mecze[[#This Row],[Role]]&lt;&gt;"BR",SUMPRODUCT(Mecze[[#This Row],[/PR:90]:[/BR:90]],Brudnopis!$E$27:$J$27),0)</f>
        <v>0.17250000000000001</v>
      </c>
      <c r="X3586" s="44">
        <f>IF(Mecze[[#This Row],[Role]]&lt;&gt;"BR",SUMPRODUCT(Mecze[[#This Row],[/PR:90]:[/BR:90]],Brudnopis!$E$28:$J$28),0)</f>
        <v>7.0000000000000007E-2</v>
      </c>
      <c r="Y3586" s="35">
        <f>IF(Mecze[[#This Row],[Role]]="BR",Mecze[[#This Row],[/OB:90]]+Mecze[[#This Row],[/PC:90]],SUM(Mecze[[#This Row],[/PR:90]:[/BR:90]]))</f>
        <v>0.16000000000000003</v>
      </c>
      <c r="Z3586" s="35">
        <f>IF(Mecze[[#This Row],[KC]]=0,SUM(Mecze[[#This Row],[/BRI]:[/NPI]]),SUM(Mecze[[#This Row],[/BRI]:[/NPI]])*0.6)</f>
        <v>0.76750000000000007</v>
      </c>
      <c r="AA3586" s="10">
        <f>IFERROR(Mecze[[#This Row],[BR]]/Mecze[[#This Row],[ST]],0)</f>
        <v>0</v>
      </c>
      <c r="AB3586">
        <f>ROUND(Mecze[[#This Row],[PD]]*Mecze[[#This Row],[%PC]],0)</f>
        <v>7</v>
      </c>
      <c r="AC3586">
        <f>ROUND(Mecze[[#This Row],[OD]]*Mecze[[#This Row],[%OU]],0)</f>
        <v>2</v>
      </c>
      <c r="AD3586" s="36" t="s">
        <v>41</v>
      </c>
      <c r="AE3586" s="36">
        <v>201</v>
      </c>
      <c r="AF3586" s="71">
        <v>6.6</v>
      </c>
      <c r="AG3586" s="37">
        <v>0</v>
      </c>
      <c r="AH3586" s="37">
        <v>0</v>
      </c>
      <c r="AI3586" s="37">
        <v>100</v>
      </c>
      <c r="AJ3586" s="37">
        <v>1</v>
      </c>
      <c r="AK3586" s="37" t="str">
        <f>VLOOKUP(Mecze[[#This Row],[Match ID]],Meczusie[Mecz]:Meczusie[RodzajMeczu],2,FALSE)</f>
        <v>Towarzyski</v>
      </c>
    </row>
    <row r="3587" spans="1:37" x14ac:dyDescent="0.25">
      <c r="A3587" s="76">
        <v>26</v>
      </c>
      <c r="B3587" s="3" t="s">
        <v>368</v>
      </c>
      <c r="C3587" s="2" t="s">
        <v>160</v>
      </c>
      <c r="D3587" s="1">
        <v>0</v>
      </c>
      <c r="E3587" s="1">
        <v>0</v>
      </c>
      <c r="F3587" s="1">
        <v>0</v>
      </c>
      <c r="G3587" s="1">
        <v>0</v>
      </c>
      <c r="H3587" s="72"/>
      <c r="I3587" s="1">
        <v>1</v>
      </c>
      <c r="J3587" s="4">
        <v>0</v>
      </c>
      <c r="K3587" s="1">
        <v>0</v>
      </c>
      <c r="L3587" s="1">
        <v>1</v>
      </c>
      <c r="M3587" s="32">
        <f>IF(Mecze[[#This Row],[PR]]=0,0,Mecze[[#This Row],[PR]]/Mecze[[#This Row],[CZAS]])</f>
        <v>0.01</v>
      </c>
      <c r="N3587" s="32">
        <f>IF(Mecze[[#This Row],[OU]]=0,0,Mecze[[#This Row],[OU]]/Mecze[[#This Row],[CZAS]])</f>
        <v>0</v>
      </c>
      <c r="O3587" s="32">
        <f>IF(Mecze[[#This Row],[PC]]=0,0,Mecze[[#This Row],[PC]]/Mecze[[#This Row],[CZAS]])</f>
        <v>0</v>
      </c>
      <c r="P3587" s="32">
        <f>IF(Mecze[[#This Row],[SC]]=0,0,Mecze[[#This Row],[SC]]/Mecze[[#This Row],[CZAS]])</f>
        <v>0</v>
      </c>
      <c r="Q3587" s="32">
        <f>IF(Mecze[[#This Row],[OB]]=0,0,Mecze[[#This Row],[OB]]/Mecze[[#This Row],[CZAS]])</f>
        <v>0</v>
      </c>
      <c r="R3587" s="32">
        <f>IF(Mecze[[#This Row],[BR]]=0,0,Mecze[[#This Row],[BR]]/Mecze[[#This Row],[CZAS]])</f>
        <v>0</v>
      </c>
      <c r="S3587" s="44">
        <f>IF(Mecze[[#This Row],[Role]]="BR",SUMPRODUCT(Mecze[[#This Row],[/PR:90]:[/BR:90]],Brudnopis!$E$23:$J$23),0)</f>
        <v>0</v>
      </c>
      <c r="T3587" s="44">
        <f>IF(Mecze[[#This Row],[Role]]&lt;&gt;"BR",SUMPRODUCT(Mecze[[#This Row],[/PR:90]:[/BR:90]],Brudnopis!$E$24:$J$24),0)</f>
        <v>0.01</v>
      </c>
      <c r="U3587" s="44">
        <f>IF(Mecze[[#This Row],[Role]]&lt;&gt;"BR",SUMPRODUCT(Mecze[[#This Row],[/PR:90]:[/BR:90]],Brudnopis!$E$25:$J$25),0)</f>
        <v>0.01</v>
      </c>
      <c r="V3587" s="44">
        <f>IF(Mecze[[#This Row],[Role]]&lt;&gt;"BR",SUMPRODUCT(Mecze[[#This Row],[/PR:90]:[/BR:90]],Brudnopis!$E$26:$J$26),0)</f>
        <v>0.01</v>
      </c>
      <c r="W3587" s="44">
        <f>IF(Mecze[[#This Row],[Role]]&lt;&gt;"BR",SUMPRODUCT(Mecze[[#This Row],[/PR:90]:[/BR:90]],Brudnopis!$E$27:$J$27),0)</f>
        <v>7.4999999999999997E-3</v>
      </c>
      <c r="X3587" s="44">
        <f>IF(Mecze[[#This Row],[Role]]&lt;&gt;"BR",SUMPRODUCT(Mecze[[#This Row],[/PR:90]:[/BR:90]],Brudnopis!$E$28:$J$28),0)</f>
        <v>0</v>
      </c>
      <c r="Y3587" s="35">
        <f>IF(Mecze[[#This Row],[Role]]="BR",Mecze[[#This Row],[/OB:90]]+Mecze[[#This Row],[/PC:90]],SUM(Mecze[[#This Row],[/PR:90]:[/BR:90]]))</f>
        <v>0.01</v>
      </c>
      <c r="Z3587" s="35">
        <f>IF(Mecze[[#This Row],[KC]]=0,SUM(Mecze[[#This Row],[/BRI]:[/NPI]]),SUM(Mecze[[#This Row],[/BRI]:[/NPI]])*0.6)</f>
        <v>3.7499999999999999E-2</v>
      </c>
      <c r="AA3587" s="10">
        <f>IFERROR(Mecze[[#This Row],[BR]]/Mecze[[#This Row],[ST]],0)</f>
        <v>0</v>
      </c>
      <c r="AB3587">
        <f>ROUND(Mecze[[#This Row],[PD]]*Mecze[[#This Row],[%PC]],0)</f>
        <v>0</v>
      </c>
      <c r="AC3587">
        <f>ROUND(Mecze[[#This Row],[OD]]*Mecze[[#This Row],[%OU]],0)</f>
        <v>0</v>
      </c>
      <c r="AD3587" s="36" t="s">
        <v>44</v>
      </c>
      <c r="AE3587" s="36">
        <v>201</v>
      </c>
      <c r="AF3587" s="71">
        <v>4.13</v>
      </c>
      <c r="AG3587" s="37">
        <v>0</v>
      </c>
      <c r="AH3587" s="37">
        <v>0</v>
      </c>
      <c r="AI3587" s="37">
        <v>100</v>
      </c>
      <c r="AJ3587" s="37">
        <v>1</v>
      </c>
      <c r="AK3587" s="37" t="str">
        <f>VLOOKUP(Mecze[[#This Row],[Match ID]],Meczusie[Mecz]:Meczusie[RodzajMeczu],2,FALSE)</f>
        <v>Towarzyski</v>
      </c>
    </row>
    <row r="3588" spans="1:37" x14ac:dyDescent="0.25">
      <c r="A3588" s="76">
        <v>45</v>
      </c>
      <c r="B3588" s="3" t="s">
        <v>394</v>
      </c>
      <c r="C3588" s="2" t="s">
        <v>160</v>
      </c>
      <c r="D3588" s="1">
        <v>0</v>
      </c>
      <c r="E3588" s="1">
        <v>1</v>
      </c>
      <c r="F3588" s="1">
        <v>0</v>
      </c>
      <c r="G3588" s="1">
        <v>7</v>
      </c>
      <c r="H3588" s="4">
        <v>0.28999999999999998</v>
      </c>
      <c r="I3588" s="1">
        <v>5</v>
      </c>
      <c r="J3588" s="4">
        <v>0.8</v>
      </c>
      <c r="K3588" s="1">
        <v>0</v>
      </c>
      <c r="L3588" s="1">
        <v>2</v>
      </c>
      <c r="M3588" s="32">
        <f>IF(Mecze[[#This Row],[PR]]=0,0,Mecze[[#This Row],[PR]]/Mecze[[#This Row],[CZAS]])</f>
        <v>0.02</v>
      </c>
      <c r="N3588" s="32">
        <f>IF(Mecze[[#This Row],[OU]]=0,0,Mecze[[#This Row],[OU]]/Mecze[[#This Row],[CZAS]])</f>
        <v>0.04</v>
      </c>
      <c r="O3588" s="32">
        <f>IF(Mecze[[#This Row],[PC]]=0,0,Mecze[[#This Row],[PC]]/Mecze[[#This Row],[CZAS]])</f>
        <v>0.02</v>
      </c>
      <c r="P3588" s="32">
        <f>IF(Mecze[[#This Row],[SC]]=0,0,Mecze[[#This Row],[SC]]/Mecze[[#This Row],[CZAS]])</f>
        <v>0</v>
      </c>
      <c r="Q3588" s="32">
        <f>IF(Mecze[[#This Row],[OB]]=0,0,Mecze[[#This Row],[OB]]/Mecze[[#This Row],[CZAS]])</f>
        <v>0</v>
      </c>
      <c r="R3588" s="32">
        <f>IF(Mecze[[#This Row],[BR]]=0,0,Mecze[[#This Row],[BR]]/Mecze[[#This Row],[CZAS]])</f>
        <v>0</v>
      </c>
      <c r="S3588" s="44">
        <f>IF(Mecze[[#This Row],[Role]]="BR",SUMPRODUCT(Mecze[[#This Row],[/PR:90]:[/BR:90]],Brudnopis!$E$23:$J$23),0)</f>
        <v>0</v>
      </c>
      <c r="T3588" s="44">
        <f>IF(Mecze[[#This Row],[Role]]&lt;&gt;"BR",SUMPRODUCT(Mecze[[#This Row],[/PR:90]:[/BR:90]],Brudnopis!$E$24:$J$24),0)</f>
        <v>0.1</v>
      </c>
      <c r="U3588" s="44">
        <f>IF(Mecze[[#This Row],[Role]]&lt;&gt;"BR",SUMPRODUCT(Mecze[[#This Row],[/PR:90]:[/BR:90]],Brudnopis!$E$25:$J$25),0)</f>
        <v>0.09</v>
      </c>
      <c r="V3588" s="44">
        <f>IF(Mecze[[#This Row],[Role]]&lt;&gt;"BR",SUMPRODUCT(Mecze[[#This Row],[/PR:90]:[/BR:90]],Brudnopis!$E$26:$J$26),0)</f>
        <v>0.08</v>
      </c>
      <c r="W3588" s="44">
        <f>IF(Mecze[[#This Row],[Role]]&lt;&gt;"BR",SUMPRODUCT(Mecze[[#This Row],[/PR:90]:[/BR:90]],Brudnopis!$E$27:$J$27),0)</f>
        <v>7.4999999999999997E-2</v>
      </c>
      <c r="X3588" s="44">
        <f>IF(Mecze[[#This Row],[Role]]&lt;&gt;"BR",SUMPRODUCT(Mecze[[#This Row],[/PR:90]:[/BR:90]],Brudnopis!$E$28:$J$28),0)</f>
        <v>0.02</v>
      </c>
      <c r="Y3588" s="35">
        <f>IF(Mecze[[#This Row],[Role]]="BR",Mecze[[#This Row],[/OB:90]]+Mecze[[#This Row],[/PC:90]],SUM(Mecze[[#This Row],[/PR:90]:[/BR:90]]))</f>
        <v>0.08</v>
      </c>
      <c r="Z3588" s="35">
        <f>IF(Mecze[[#This Row],[KC]]=0,SUM(Mecze[[#This Row],[/BRI]:[/NPI]]),SUM(Mecze[[#This Row],[/BRI]:[/NPI]])*0.6)</f>
        <v>0.36500000000000005</v>
      </c>
      <c r="AA3588" s="10">
        <f>IFERROR(Mecze[[#This Row],[BR]]/Mecze[[#This Row],[ST]],0)</f>
        <v>0</v>
      </c>
      <c r="AB3588">
        <f>ROUND(Mecze[[#This Row],[PD]]*Mecze[[#This Row],[%PC]],0)</f>
        <v>2</v>
      </c>
      <c r="AC3588">
        <f>ROUND(Mecze[[#This Row],[OD]]*Mecze[[#This Row],[%OU]],0)</f>
        <v>4</v>
      </c>
      <c r="AD3588" s="36" t="s">
        <v>44</v>
      </c>
      <c r="AE3588" s="36">
        <v>201</v>
      </c>
      <c r="AF3588" s="71">
        <v>3.23</v>
      </c>
      <c r="AG3588" s="37">
        <v>1</v>
      </c>
      <c r="AH3588" s="37">
        <v>0</v>
      </c>
      <c r="AI3588" s="37">
        <v>100</v>
      </c>
      <c r="AJ3588" s="37">
        <v>1</v>
      </c>
      <c r="AK3588" s="37" t="str">
        <f>VLOOKUP(Mecze[[#This Row],[Match ID]],Meczusie[Mecz]:Meczusie[RodzajMeczu],2,FALSE)</f>
        <v>Towarzyski</v>
      </c>
    </row>
    <row r="3589" spans="1:37" x14ac:dyDescent="0.25">
      <c r="A3589" s="76">
        <v>25</v>
      </c>
      <c r="B3589" s="3" t="s">
        <v>366</v>
      </c>
      <c r="C3589" s="2" t="s">
        <v>160</v>
      </c>
      <c r="D3589" s="1">
        <v>1</v>
      </c>
      <c r="E3589" s="1">
        <v>2</v>
      </c>
      <c r="F3589" s="1">
        <v>2</v>
      </c>
      <c r="G3589" s="1">
        <v>3</v>
      </c>
      <c r="H3589" s="4">
        <v>0</v>
      </c>
      <c r="I3589" s="1">
        <v>3</v>
      </c>
      <c r="J3589" s="4">
        <v>0.33</v>
      </c>
      <c r="K3589" s="1">
        <v>0</v>
      </c>
      <c r="L3589" s="1">
        <v>3</v>
      </c>
      <c r="M3589" s="32">
        <f>IF(Mecze[[#This Row],[PR]]=0,0,Mecze[[#This Row],[PR]]/Mecze[[#This Row],[CZAS]])</f>
        <v>0.03</v>
      </c>
      <c r="N3589" s="32">
        <f>IF(Mecze[[#This Row],[OU]]=0,0,Mecze[[#This Row],[OU]]/Mecze[[#This Row],[CZAS]])</f>
        <v>0.01</v>
      </c>
      <c r="O3589" s="32">
        <f>IF(Mecze[[#This Row],[PC]]=0,0,Mecze[[#This Row],[PC]]/Mecze[[#This Row],[CZAS]])</f>
        <v>0</v>
      </c>
      <c r="P3589" s="32">
        <f>IF(Mecze[[#This Row],[SC]]=0,0,Mecze[[#This Row],[SC]]/Mecze[[#This Row],[CZAS]])</f>
        <v>0.02</v>
      </c>
      <c r="Q3589" s="32">
        <f>IF(Mecze[[#This Row],[OB]]=0,0,Mecze[[#This Row],[OB]]/Mecze[[#This Row],[CZAS]])</f>
        <v>0</v>
      </c>
      <c r="R3589" s="32">
        <f>IF(Mecze[[#This Row],[BR]]=0,0,Mecze[[#This Row],[BR]]/Mecze[[#This Row],[CZAS]])</f>
        <v>0.01</v>
      </c>
      <c r="S3589" s="44">
        <f>IF(Mecze[[#This Row],[Role]]="BR",SUMPRODUCT(Mecze[[#This Row],[/PR:90]:[/BR:90]],Brudnopis!$E$23:$J$23),0)</f>
        <v>0</v>
      </c>
      <c r="T3589" s="44">
        <f>IF(Mecze[[#This Row],[Role]]&lt;&gt;"BR",SUMPRODUCT(Mecze[[#This Row],[/PR:90]:[/BR:90]],Brudnopis!$E$24:$J$24),0)</f>
        <v>0.08</v>
      </c>
      <c r="U3589" s="44">
        <f>IF(Mecze[[#This Row],[Role]]&lt;&gt;"BR",SUMPRODUCT(Mecze[[#This Row],[/PR:90]:[/BR:90]],Brudnopis!$E$25:$J$25),0)</f>
        <v>7.4999999999999997E-2</v>
      </c>
      <c r="V3589" s="44">
        <f>IF(Mecze[[#This Row],[Role]]&lt;&gt;"BR",SUMPRODUCT(Mecze[[#This Row],[/PR:90]:[/BR:90]],Brudnopis!$E$26:$J$26),0)</f>
        <v>0.08</v>
      </c>
      <c r="W3589" s="44">
        <f>IF(Mecze[[#This Row],[Role]]&lt;&gt;"BR",SUMPRODUCT(Mecze[[#This Row],[/PR:90]:[/BR:90]],Brudnopis!$E$27:$J$27),0)</f>
        <v>7.0000000000000007E-2</v>
      </c>
      <c r="X3589" s="44">
        <f>IF(Mecze[[#This Row],[Role]]&lt;&gt;"BR",SUMPRODUCT(Mecze[[#This Row],[/PR:90]:[/BR:90]],Brudnopis!$E$28:$J$28),0)</f>
        <v>7.0000000000000007E-2</v>
      </c>
      <c r="Y3589" s="35">
        <f>IF(Mecze[[#This Row],[Role]]="BR",Mecze[[#This Row],[/OB:90]]+Mecze[[#This Row],[/PC:90]],SUM(Mecze[[#This Row],[/PR:90]:[/BR:90]]))</f>
        <v>6.9999999999999993E-2</v>
      </c>
      <c r="Z3589" s="35">
        <f>IF(Mecze[[#This Row],[KC]]=0,SUM(Mecze[[#This Row],[/BRI]:[/NPI]]),SUM(Mecze[[#This Row],[/BRI]:[/NPI]])*0.6)</f>
        <v>0.375</v>
      </c>
      <c r="AA3589" s="10">
        <f>IFERROR(Mecze[[#This Row],[BR]]/Mecze[[#This Row],[ST]],0)</f>
        <v>0.5</v>
      </c>
      <c r="AB3589">
        <f>ROUND(Mecze[[#This Row],[PD]]*Mecze[[#This Row],[%PC]],0)</f>
        <v>0</v>
      </c>
      <c r="AC3589">
        <f>ROUND(Mecze[[#This Row],[OD]]*Mecze[[#This Row],[%OU]],0)</f>
        <v>1</v>
      </c>
      <c r="AD3589" s="36" t="s">
        <v>46</v>
      </c>
      <c r="AE3589" s="36">
        <v>201</v>
      </c>
      <c r="AF3589" s="71">
        <v>7.12</v>
      </c>
      <c r="AG3589" s="37">
        <v>0</v>
      </c>
      <c r="AH3589" s="37">
        <v>0</v>
      </c>
      <c r="AI3589" s="37">
        <v>100</v>
      </c>
      <c r="AJ3589" s="37">
        <v>1</v>
      </c>
      <c r="AK3589" s="37" t="str">
        <f>VLOOKUP(Mecze[[#This Row],[Match ID]],Meczusie[Mecz]:Meczusie[RodzajMeczu],2,FALSE)</f>
        <v>Towarzyski</v>
      </c>
    </row>
    <row r="3590" spans="1:37" x14ac:dyDescent="0.25">
      <c r="A3590" s="76">
        <v>31</v>
      </c>
      <c r="B3590" s="3" t="s">
        <v>365</v>
      </c>
      <c r="C3590" s="2" t="s">
        <v>165</v>
      </c>
      <c r="D3590" s="1">
        <v>2</v>
      </c>
      <c r="E3590" s="1">
        <v>6</v>
      </c>
      <c r="F3590" s="1">
        <v>6</v>
      </c>
      <c r="G3590" s="1">
        <v>7</v>
      </c>
      <c r="H3590" s="4">
        <v>0.43</v>
      </c>
      <c r="I3590" s="1">
        <v>4</v>
      </c>
      <c r="J3590" s="4">
        <v>0.5</v>
      </c>
      <c r="K3590" s="1">
        <v>0</v>
      </c>
      <c r="L3590" s="1">
        <v>0</v>
      </c>
      <c r="M3590" s="32">
        <f>IF(Mecze[[#This Row],[PR]]=0,0,Mecze[[#This Row],[PR]]/Mecze[[#This Row],[CZAS]])</f>
        <v>0</v>
      </c>
      <c r="N3590" s="32">
        <f>IF(Mecze[[#This Row],[OU]]=0,0,Mecze[[#This Row],[OU]]/Mecze[[#This Row],[CZAS]])</f>
        <v>0.02</v>
      </c>
      <c r="O3590" s="32">
        <f>IF(Mecze[[#This Row],[PC]]=0,0,Mecze[[#This Row],[PC]]/Mecze[[#This Row],[CZAS]])</f>
        <v>0.03</v>
      </c>
      <c r="P3590" s="32">
        <f>IF(Mecze[[#This Row],[SC]]=0,0,Mecze[[#This Row],[SC]]/Mecze[[#This Row],[CZAS]])</f>
        <v>0.06</v>
      </c>
      <c r="Q3590" s="32">
        <f>IF(Mecze[[#This Row],[OB]]=0,0,Mecze[[#This Row],[OB]]/Mecze[[#This Row],[CZAS]])</f>
        <v>0</v>
      </c>
      <c r="R3590" s="32">
        <f>IF(Mecze[[#This Row],[BR]]=0,0,Mecze[[#This Row],[BR]]/Mecze[[#This Row],[CZAS]])</f>
        <v>0.02</v>
      </c>
      <c r="S3590" s="44">
        <f>IF(Mecze[[#This Row],[Role]]="BR",SUMPRODUCT(Mecze[[#This Row],[/PR:90]:[/BR:90]],Brudnopis!$E$23:$J$23),0)</f>
        <v>0</v>
      </c>
      <c r="T3590" s="44">
        <f>IF(Mecze[[#This Row],[Role]]&lt;&gt;"BR",SUMPRODUCT(Mecze[[#This Row],[/PR:90]:[/BR:90]],Brudnopis!$E$24:$J$24),0)</f>
        <v>0.15</v>
      </c>
      <c r="U3590" s="44">
        <f>IF(Mecze[[#This Row],[Role]]&lt;&gt;"BR",SUMPRODUCT(Mecze[[#This Row],[/PR:90]:[/BR:90]],Brudnopis!$E$25:$J$25),0)</f>
        <v>0.155</v>
      </c>
      <c r="V3590" s="44">
        <f>IF(Mecze[[#This Row],[Role]]&lt;&gt;"BR",SUMPRODUCT(Mecze[[#This Row],[/PR:90]:[/BR:90]],Brudnopis!$E$26:$J$26),0)</f>
        <v>0.15</v>
      </c>
      <c r="W3590" s="44">
        <f>IF(Mecze[[#This Row],[Role]]&lt;&gt;"BR",SUMPRODUCT(Mecze[[#This Row],[/PR:90]:[/BR:90]],Brudnopis!$E$27:$J$27),0)</f>
        <v>0.16</v>
      </c>
      <c r="X3590" s="44">
        <f>IF(Mecze[[#This Row],[Role]]&lt;&gt;"BR",SUMPRODUCT(Mecze[[#This Row],[/PR:90]:[/BR:90]],Brudnopis!$E$28:$J$28),0)</f>
        <v>0.21</v>
      </c>
      <c r="Y3590" s="35">
        <f>IF(Mecze[[#This Row],[Role]]="BR",Mecze[[#This Row],[/OB:90]]+Mecze[[#This Row],[/PC:90]],SUM(Mecze[[#This Row],[/PR:90]:[/BR:90]]))</f>
        <v>0.13</v>
      </c>
      <c r="Z3590" s="35">
        <f>IF(Mecze[[#This Row],[KC]]=0,SUM(Mecze[[#This Row],[/BRI]:[/NPI]]),SUM(Mecze[[#This Row],[/BRI]:[/NPI]])*0.6)</f>
        <v>0.82499999999999996</v>
      </c>
      <c r="AA3590" s="10">
        <f>IFERROR(Mecze[[#This Row],[BR]]/Mecze[[#This Row],[ST]],0)</f>
        <v>0.33333333333333331</v>
      </c>
      <c r="AB3590">
        <f>ROUND(Mecze[[#This Row],[PD]]*Mecze[[#This Row],[%PC]],0)</f>
        <v>3</v>
      </c>
      <c r="AC3590">
        <f>ROUND(Mecze[[#This Row],[OD]]*Mecze[[#This Row],[%OU]],0)</f>
        <v>2</v>
      </c>
      <c r="AD3590" s="36" t="s">
        <v>46</v>
      </c>
      <c r="AE3590" s="36">
        <v>201</v>
      </c>
      <c r="AF3590" s="71">
        <v>9.85</v>
      </c>
      <c r="AG3590" s="37">
        <v>0</v>
      </c>
      <c r="AH3590" s="37">
        <v>0</v>
      </c>
      <c r="AI3590" s="37">
        <v>100</v>
      </c>
      <c r="AJ3590" s="37">
        <v>1</v>
      </c>
      <c r="AK3590" s="37" t="str">
        <f>VLOOKUP(Mecze[[#This Row],[Match ID]],Meczusie[Mecz]:Meczusie[RodzajMeczu],2,FALSE)</f>
        <v>Towarzyski</v>
      </c>
    </row>
    <row r="3591" spans="1:37" x14ac:dyDescent="0.25">
      <c r="A3591" s="76">
        <v>46</v>
      </c>
      <c r="B3591" s="3" t="s">
        <v>395</v>
      </c>
      <c r="C3591" s="2" t="s">
        <v>165</v>
      </c>
      <c r="D3591" s="1">
        <v>1</v>
      </c>
      <c r="E3591" s="1">
        <v>3</v>
      </c>
      <c r="F3591" s="1">
        <v>3</v>
      </c>
      <c r="G3591" s="1">
        <v>5</v>
      </c>
      <c r="H3591" s="4">
        <v>0.8</v>
      </c>
      <c r="I3591" s="1">
        <v>2</v>
      </c>
      <c r="J3591" s="4">
        <v>0</v>
      </c>
      <c r="K3591" s="1">
        <v>0</v>
      </c>
      <c r="L3591" s="1">
        <v>1</v>
      </c>
      <c r="M3591" s="32">
        <f>IF(Mecze[[#This Row],[PR]]=0,0,Mecze[[#This Row],[PR]]/Mecze[[#This Row],[CZAS]])</f>
        <v>0.01</v>
      </c>
      <c r="N3591" s="32">
        <f>IF(Mecze[[#This Row],[OU]]=0,0,Mecze[[#This Row],[OU]]/Mecze[[#This Row],[CZAS]])</f>
        <v>0</v>
      </c>
      <c r="O3591" s="32">
        <f>IF(Mecze[[#This Row],[PC]]=0,0,Mecze[[#This Row],[PC]]/Mecze[[#This Row],[CZAS]])</f>
        <v>0.04</v>
      </c>
      <c r="P3591" s="32">
        <f>IF(Mecze[[#This Row],[SC]]=0,0,Mecze[[#This Row],[SC]]/Mecze[[#This Row],[CZAS]])</f>
        <v>0.03</v>
      </c>
      <c r="Q3591" s="32">
        <f>IF(Mecze[[#This Row],[OB]]=0,0,Mecze[[#This Row],[OB]]/Mecze[[#This Row],[CZAS]])</f>
        <v>0</v>
      </c>
      <c r="R3591" s="32">
        <f>IF(Mecze[[#This Row],[BR]]=0,0,Mecze[[#This Row],[BR]]/Mecze[[#This Row],[CZAS]])</f>
        <v>0.01</v>
      </c>
      <c r="S3591" s="44">
        <f>IF(Mecze[[#This Row],[Role]]="BR",SUMPRODUCT(Mecze[[#This Row],[/PR:90]:[/BR:90]],Brudnopis!$E$23:$J$23),0)</f>
        <v>0</v>
      </c>
      <c r="T3591" s="44">
        <f>IF(Mecze[[#This Row],[Role]]&lt;&gt;"BR",SUMPRODUCT(Mecze[[#This Row],[/PR:90]:[/BR:90]],Brudnopis!$E$24:$J$24),0)</f>
        <v>9.5000000000000001E-2</v>
      </c>
      <c r="U3591" s="44">
        <f>IF(Mecze[[#This Row],[Role]]&lt;&gt;"BR",SUMPRODUCT(Mecze[[#This Row],[/PR:90]:[/BR:90]],Brudnopis!$E$25:$J$25),0)</f>
        <v>0.11499999999999999</v>
      </c>
      <c r="V3591" s="44">
        <f>IF(Mecze[[#This Row],[Role]]&lt;&gt;"BR",SUMPRODUCT(Mecze[[#This Row],[/PR:90]:[/BR:90]],Brudnopis!$E$26:$J$26),0)</f>
        <v>0.1</v>
      </c>
      <c r="W3591" s="44">
        <f>IF(Mecze[[#This Row],[Role]]&lt;&gt;"BR",SUMPRODUCT(Mecze[[#This Row],[/PR:90]:[/BR:90]],Brudnopis!$E$27:$J$27),0)</f>
        <v>0.11750000000000001</v>
      </c>
      <c r="X3591" s="44">
        <f>IF(Mecze[[#This Row],[Role]]&lt;&gt;"BR",SUMPRODUCT(Mecze[[#This Row],[/PR:90]:[/BR:90]],Brudnopis!$E$28:$J$28),0)</f>
        <v>0.13</v>
      </c>
      <c r="Y3591" s="35">
        <f>IF(Mecze[[#This Row],[Role]]="BR",Mecze[[#This Row],[/OB:90]]+Mecze[[#This Row],[/PC:90]],SUM(Mecze[[#This Row],[/PR:90]:[/BR:90]]))</f>
        <v>0.09</v>
      </c>
      <c r="Z3591" s="35">
        <f>IF(Mecze[[#This Row],[KC]]=0,SUM(Mecze[[#This Row],[/BRI]:[/NPI]]),SUM(Mecze[[#This Row],[/BRI]:[/NPI]])*0.6)</f>
        <v>0.5575</v>
      </c>
      <c r="AA3591" s="10">
        <f>IFERROR(Mecze[[#This Row],[BR]]/Mecze[[#This Row],[ST]],0)</f>
        <v>0.33333333333333331</v>
      </c>
      <c r="AB3591">
        <f>ROUND(Mecze[[#This Row],[PD]]*Mecze[[#This Row],[%PC]],0)</f>
        <v>4</v>
      </c>
      <c r="AC3591">
        <f>ROUND(Mecze[[#This Row],[OD]]*Mecze[[#This Row],[%OU]],0)</f>
        <v>0</v>
      </c>
      <c r="AD3591" s="36" t="s">
        <v>46</v>
      </c>
      <c r="AE3591" s="36">
        <v>201</v>
      </c>
      <c r="AF3591" s="71">
        <v>9.14</v>
      </c>
      <c r="AG3591" s="37">
        <v>0</v>
      </c>
      <c r="AH3591" s="37">
        <v>0</v>
      </c>
      <c r="AI3591" s="37">
        <v>100</v>
      </c>
      <c r="AJ3591" s="37">
        <v>1</v>
      </c>
      <c r="AK3591" s="37" t="str">
        <f>VLOOKUP(Mecze[[#This Row],[Match ID]],Meczusie[Mecz]:Meczusie[RodzajMeczu],2,FALSE)</f>
        <v>Towarzyski</v>
      </c>
    </row>
    <row r="3592" spans="1:37" x14ac:dyDescent="0.25">
      <c r="A3592" s="76">
        <v>39</v>
      </c>
      <c r="B3592" s="3" t="s">
        <v>450</v>
      </c>
      <c r="C3592" s="2" t="s">
        <v>155</v>
      </c>
      <c r="D3592" s="1">
        <v>0</v>
      </c>
      <c r="E3592" s="1">
        <v>0</v>
      </c>
      <c r="F3592" s="1">
        <v>0</v>
      </c>
      <c r="G3592" s="1">
        <v>13</v>
      </c>
      <c r="H3592" s="4">
        <v>0.54</v>
      </c>
      <c r="I3592" s="1">
        <v>0</v>
      </c>
      <c r="J3592" s="4"/>
      <c r="K3592" s="1">
        <v>10</v>
      </c>
      <c r="L3592" s="1">
        <v>0</v>
      </c>
      <c r="M3592" s="32">
        <f>IF(Mecze[[#This Row],[PR]]=0,0,Mecze[[#This Row],[PR]]/Mecze[[#This Row],[CZAS]])</f>
        <v>0</v>
      </c>
      <c r="N3592" s="32">
        <f>IF(Mecze[[#This Row],[OU]]=0,0,Mecze[[#This Row],[OU]]/Mecze[[#This Row],[CZAS]])</f>
        <v>0</v>
      </c>
      <c r="O3592" s="32">
        <f>IF(Mecze[[#This Row],[PC]]=0,0,Mecze[[#This Row],[PC]]/Mecze[[#This Row],[CZAS]])</f>
        <v>7.2164948453608241E-2</v>
      </c>
      <c r="P3592" s="32">
        <f>IF(Mecze[[#This Row],[SC]]=0,0,Mecze[[#This Row],[SC]]/Mecze[[#This Row],[CZAS]])</f>
        <v>0</v>
      </c>
      <c r="Q3592" s="32">
        <f>IF(Mecze[[#This Row],[OB]]=0,0,Mecze[[#This Row],[OB]]/Mecze[[#This Row],[CZAS]])</f>
        <v>0.10309278350515463</v>
      </c>
      <c r="R3592" s="32">
        <f>IF(Mecze[[#This Row],[BR]]=0,0,Mecze[[#This Row],[BR]]/Mecze[[#This Row],[CZAS]])</f>
        <v>0</v>
      </c>
      <c r="S3592" s="44">
        <f>IF(Mecze[[#This Row],[Role]]="BR",SUMPRODUCT(Mecze[[#This Row],[/PR:90]:[/BR:90]],Brudnopis!$E$23:$J$23),0)</f>
        <v>0.52577319587628868</v>
      </c>
      <c r="T3592" s="44">
        <f>IF(Mecze[[#This Row],[Role]]&lt;&gt;"BR",SUMPRODUCT(Mecze[[#This Row],[/PR:90]:[/BR:90]],Brudnopis!$E$24:$J$24),0)</f>
        <v>0</v>
      </c>
      <c r="U3592" s="44">
        <f>IF(Mecze[[#This Row],[Role]]&lt;&gt;"BR",SUMPRODUCT(Mecze[[#This Row],[/PR:90]:[/BR:90]],Brudnopis!$E$25:$J$25),0)</f>
        <v>0</v>
      </c>
      <c r="V3592" s="44">
        <f>IF(Mecze[[#This Row],[Role]]&lt;&gt;"BR",SUMPRODUCT(Mecze[[#This Row],[/PR:90]:[/BR:90]],Brudnopis!$E$26:$J$26),0)</f>
        <v>0</v>
      </c>
      <c r="W3592" s="44">
        <f>IF(Mecze[[#This Row],[Role]]&lt;&gt;"BR",SUMPRODUCT(Mecze[[#This Row],[/PR:90]:[/BR:90]],Brudnopis!$E$27:$J$27),0)</f>
        <v>0</v>
      </c>
      <c r="X3592" s="44">
        <f>IF(Mecze[[#This Row],[Role]]&lt;&gt;"BR",SUMPRODUCT(Mecze[[#This Row],[/PR:90]:[/BR:90]],Brudnopis!$E$28:$J$28),0)</f>
        <v>0</v>
      </c>
      <c r="Y3592" s="35">
        <f>IF(Mecze[[#This Row],[Role]]="BR",Mecze[[#This Row],[/OB:90]]+Mecze[[#This Row],[/PC:90]],SUM(Mecze[[#This Row],[/PR:90]:[/BR:90]]))</f>
        <v>0.17525773195876287</v>
      </c>
      <c r="Z3592" s="35">
        <f>IF(Mecze[[#This Row],[KC]]=0,SUM(Mecze[[#This Row],[/BRI]:[/NPI]]),SUM(Mecze[[#This Row],[/BRI]:[/NPI]])*0.6)</f>
        <v>0.52577319587628868</v>
      </c>
      <c r="AA3592" s="10">
        <f>IFERROR(Mecze[[#This Row],[BR]]/Mecze[[#This Row],[ST]],0)</f>
        <v>0</v>
      </c>
      <c r="AB3592">
        <f>ROUND(Mecze[[#This Row],[PD]]*Mecze[[#This Row],[%PC]],0)</f>
        <v>7</v>
      </c>
      <c r="AC3592">
        <f>ROUND(Mecze[[#This Row],[OD]]*Mecze[[#This Row],[%OU]],0)</f>
        <v>0</v>
      </c>
      <c r="AD3592" s="36" t="s">
        <v>40</v>
      </c>
      <c r="AE3592" s="36">
        <v>202</v>
      </c>
      <c r="AF3592" s="71">
        <v>2.97</v>
      </c>
      <c r="AG3592" s="37">
        <v>0</v>
      </c>
      <c r="AH3592" s="37">
        <v>0</v>
      </c>
      <c r="AI3592" s="37">
        <v>97</v>
      </c>
      <c r="AJ3592" s="37">
        <v>1</v>
      </c>
      <c r="AK3592" s="37" t="str">
        <f>VLOOKUP(Mecze[[#This Row],[Match ID]],Meczusie[Mecz]:Meczusie[RodzajMeczu],2,FALSE)</f>
        <v>Towarzyski</v>
      </c>
    </row>
    <row r="3593" spans="1:37" x14ac:dyDescent="0.25">
      <c r="A3593" s="76">
        <v>50</v>
      </c>
      <c r="B3593" s="3" t="s">
        <v>496</v>
      </c>
      <c r="C3593" s="2" t="s">
        <v>157</v>
      </c>
      <c r="D3593" s="1">
        <v>0</v>
      </c>
      <c r="E3593" s="1">
        <v>0</v>
      </c>
      <c r="F3593" s="1">
        <v>0</v>
      </c>
      <c r="G3593" s="1">
        <v>11</v>
      </c>
      <c r="H3593" s="4">
        <v>0.64</v>
      </c>
      <c r="I3593" s="1">
        <v>11</v>
      </c>
      <c r="J3593" s="4">
        <v>0.18</v>
      </c>
      <c r="K3593" s="1">
        <v>0</v>
      </c>
      <c r="L3593" s="1">
        <v>3</v>
      </c>
      <c r="M3593" s="32">
        <f>IF(Mecze[[#This Row],[PR]]=0,0,Mecze[[#This Row],[PR]]/Mecze[[#This Row],[CZAS]])</f>
        <v>3.0927835051546393E-2</v>
      </c>
      <c r="N3593" s="32">
        <f>IF(Mecze[[#This Row],[OU]]=0,0,Mecze[[#This Row],[OU]]/Mecze[[#This Row],[CZAS]])</f>
        <v>2.0618556701030927E-2</v>
      </c>
      <c r="O3593" s="32">
        <f>IF(Mecze[[#This Row],[PC]]=0,0,Mecze[[#This Row],[PC]]/Mecze[[#This Row],[CZAS]])</f>
        <v>7.2164948453608241E-2</v>
      </c>
      <c r="P3593" s="32">
        <f>IF(Mecze[[#This Row],[SC]]=0,0,Mecze[[#This Row],[SC]]/Mecze[[#This Row],[CZAS]])</f>
        <v>0</v>
      </c>
      <c r="Q3593" s="32">
        <f>IF(Mecze[[#This Row],[OB]]=0,0,Mecze[[#This Row],[OB]]/Mecze[[#This Row],[CZAS]])</f>
        <v>0</v>
      </c>
      <c r="R3593" s="32">
        <f>IF(Mecze[[#This Row],[BR]]=0,0,Mecze[[#This Row],[BR]]/Mecze[[#This Row],[CZAS]])</f>
        <v>0</v>
      </c>
      <c r="S3593" s="44">
        <f>IF(Mecze[[#This Row],[Role]]="BR",SUMPRODUCT(Mecze[[#This Row],[/PR:90]:[/BR:90]],Brudnopis!$E$23:$J$23),0)</f>
        <v>0</v>
      </c>
      <c r="T3593" s="44">
        <f>IF(Mecze[[#This Row],[Role]]&lt;&gt;"BR",SUMPRODUCT(Mecze[[#This Row],[/PR:90]:[/BR:90]],Brudnopis!$E$24:$J$24),0)</f>
        <v>0.13402061855670103</v>
      </c>
      <c r="U3593" s="44">
        <f>IF(Mecze[[#This Row],[Role]]&lt;&gt;"BR",SUMPRODUCT(Mecze[[#This Row],[/PR:90]:[/BR:90]],Brudnopis!$E$25:$J$25),0)</f>
        <v>0.15979381443298968</v>
      </c>
      <c r="V3593" s="44">
        <f>IF(Mecze[[#This Row],[Role]]&lt;&gt;"BR",SUMPRODUCT(Mecze[[#This Row],[/PR:90]:[/BR:90]],Brudnopis!$E$26:$J$26),0)</f>
        <v>0.12371134020618556</v>
      </c>
      <c r="W3593" s="44">
        <f>IF(Mecze[[#This Row],[Role]]&lt;&gt;"BR",SUMPRODUCT(Mecze[[#This Row],[/PR:90]:[/BR:90]],Brudnopis!$E$27:$J$27),0)</f>
        <v>0.14690721649484534</v>
      </c>
      <c r="X3593" s="44">
        <f>IF(Mecze[[#This Row],[Role]]&lt;&gt;"BR",SUMPRODUCT(Mecze[[#This Row],[/PR:90]:[/BR:90]],Brudnopis!$E$28:$J$28),0)</f>
        <v>7.2164948453608241E-2</v>
      </c>
      <c r="Y3593" s="35">
        <f>IF(Mecze[[#This Row],[Role]]="BR",Mecze[[#This Row],[/OB:90]]+Mecze[[#This Row],[/PC:90]],SUM(Mecze[[#This Row],[/PR:90]:[/BR:90]]))</f>
        <v>0.12371134020618556</v>
      </c>
      <c r="Z3593" s="35">
        <f>IF(Mecze[[#This Row],[KC]]=0,SUM(Mecze[[#This Row],[/BRI]:[/NPI]]),SUM(Mecze[[#This Row],[/BRI]:[/NPI]])*0.6)</f>
        <v>0.63659793814432986</v>
      </c>
      <c r="AA3593" s="10">
        <f>IFERROR(Mecze[[#This Row],[BR]]/Mecze[[#This Row],[ST]],0)</f>
        <v>0</v>
      </c>
      <c r="AB3593">
        <f>ROUND(Mecze[[#This Row],[PD]]*Mecze[[#This Row],[%PC]],0)</f>
        <v>7</v>
      </c>
      <c r="AC3593">
        <f>ROUND(Mecze[[#This Row],[OD]]*Mecze[[#This Row],[%OU]],0)</f>
        <v>2</v>
      </c>
      <c r="AD3593" s="36" t="s">
        <v>47</v>
      </c>
      <c r="AE3593" s="36">
        <v>202</v>
      </c>
      <c r="AF3593" s="71">
        <v>-1.1200000000000001</v>
      </c>
      <c r="AG3593" s="37">
        <v>0</v>
      </c>
      <c r="AH3593" s="37">
        <v>0</v>
      </c>
      <c r="AI3593" s="37">
        <v>97</v>
      </c>
      <c r="AJ3593" s="37">
        <v>1</v>
      </c>
      <c r="AK3593" s="37" t="str">
        <f>VLOOKUP(Mecze[[#This Row],[Match ID]],Meczusie[Mecz]:Meczusie[RodzajMeczu],2,FALSE)</f>
        <v>Towarzyski</v>
      </c>
    </row>
    <row r="3594" spans="1:37" x14ac:dyDescent="0.25">
      <c r="A3594" s="76">
        <v>53</v>
      </c>
      <c r="B3594" s="3" t="s">
        <v>415</v>
      </c>
      <c r="C3594" s="2" t="s">
        <v>157</v>
      </c>
      <c r="D3594" s="1">
        <v>0</v>
      </c>
      <c r="E3594" s="1">
        <v>0</v>
      </c>
      <c r="F3594" s="1">
        <v>0</v>
      </c>
      <c r="G3594" s="1">
        <v>2</v>
      </c>
      <c r="H3594" s="4">
        <v>1</v>
      </c>
      <c r="I3594" s="1">
        <v>6</v>
      </c>
      <c r="J3594" s="4">
        <v>0.5</v>
      </c>
      <c r="K3594" s="1">
        <v>0</v>
      </c>
      <c r="L3594" s="1">
        <v>2</v>
      </c>
      <c r="M3594" s="32">
        <f>IF(Mecze[[#This Row],[PR]]=0,0,Mecze[[#This Row],[PR]]/Mecze[[#This Row],[CZAS]])</f>
        <v>2.0618556701030927E-2</v>
      </c>
      <c r="N3594" s="32">
        <f>IF(Mecze[[#This Row],[OU]]=0,0,Mecze[[#This Row],[OU]]/Mecze[[#This Row],[CZAS]])</f>
        <v>3.0927835051546393E-2</v>
      </c>
      <c r="O3594" s="32">
        <f>IF(Mecze[[#This Row],[PC]]=0,0,Mecze[[#This Row],[PC]]/Mecze[[#This Row],[CZAS]])</f>
        <v>2.0618556701030927E-2</v>
      </c>
      <c r="P3594" s="32">
        <f>IF(Mecze[[#This Row],[SC]]=0,0,Mecze[[#This Row],[SC]]/Mecze[[#This Row],[CZAS]])</f>
        <v>0</v>
      </c>
      <c r="Q3594" s="32">
        <f>IF(Mecze[[#This Row],[OB]]=0,0,Mecze[[#This Row],[OB]]/Mecze[[#This Row],[CZAS]])</f>
        <v>0</v>
      </c>
      <c r="R3594" s="32">
        <f>IF(Mecze[[#This Row],[BR]]=0,0,Mecze[[#This Row],[BR]]/Mecze[[#This Row],[CZAS]])</f>
        <v>0</v>
      </c>
      <c r="S3594" s="44">
        <f>IF(Mecze[[#This Row],[Role]]="BR",SUMPRODUCT(Mecze[[#This Row],[/PR:90]:[/BR:90]],Brudnopis!$E$23:$J$23),0)</f>
        <v>0</v>
      </c>
      <c r="T3594" s="44">
        <f>IF(Mecze[[#This Row],[Role]]&lt;&gt;"BR",SUMPRODUCT(Mecze[[#This Row],[/PR:90]:[/BR:90]],Brudnopis!$E$24:$J$24),0)</f>
        <v>8.7628865979381437E-2</v>
      </c>
      <c r="U3594" s="44">
        <f>IF(Mecze[[#This Row],[Role]]&lt;&gt;"BR",SUMPRODUCT(Mecze[[#This Row],[/PR:90]:[/BR:90]],Brudnopis!$E$25:$J$25),0)</f>
        <v>8.247422680412371E-2</v>
      </c>
      <c r="V3594" s="44">
        <f>IF(Mecze[[#This Row],[Role]]&lt;&gt;"BR",SUMPRODUCT(Mecze[[#This Row],[/PR:90]:[/BR:90]],Brudnopis!$E$26:$J$26),0)</f>
        <v>7.2164948453608241E-2</v>
      </c>
      <c r="W3594" s="44">
        <f>IF(Mecze[[#This Row],[Role]]&lt;&gt;"BR",SUMPRODUCT(Mecze[[#This Row],[/PR:90]:[/BR:90]],Brudnopis!$E$27:$J$27),0)</f>
        <v>6.9587628865979384E-2</v>
      </c>
      <c r="X3594" s="44">
        <f>IF(Mecze[[#This Row],[Role]]&lt;&gt;"BR",SUMPRODUCT(Mecze[[#This Row],[/PR:90]:[/BR:90]],Brudnopis!$E$28:$J$28),0)</f>
        <v>2.0618556701030927E-2</v>
      </c>
      <c r="Y3594" s="35">
        <f>IF(Mecze[[#This Row],[Role]]="BR",Mecze[[#This Row],[/OB:90]]+Mecze[[#This Row],[/PC:90]],SUM(Mecze[[#This Row],[/PR:90]:[/BR:90]]))</f>
        <v>7.2164948453608241E-2</v>
      </c>
      <c r="Z3594" s="35">
        <f>IF(Mecze[[#This Row],[KC]]=0,SUM(Mecze[[#This Row],[/BRI]:[/NPI]]),SUM(Mecze[[#This Row],[/BRI]:[/NPI]])*0.6)</f>
        <v>0.3324742268041237</v>
      </c>
      <c r="AA3594" s="10">
        <f>IFERROR(Mecze[[#This Row],[BR]]/Mecze[[#This Row],[ST]],0)</f>
        <v>0</v>
      </c>
      <c r="AB3594">
        <f>ROUND(Mecze[[#This Row],[PD]]*Mecze[[#This Row],[%PC]],0)</f>
        <v>2</v>
      </c>
      <c r="AC3594">
        <f>ROUND(Mecze[[#This Row],[OD]]*Mecze[[#This Row],[%OU]],0)</f>
        <v>3</v>
      </c>
      <c r="AD3594" s="36" t="s">
        <v>167</v>
      </c>
      <c r="AE3594" s="36">
        <v>202</v>
      </c>
      <c r="AF3594" s="71">
        <v>-1.32</v>
      </c>
      <c r="AG3594" s="37">
        <v>1</v>
      </c>
      <c r="AH3594" s="37">
        <v>0</v>
      </c>
      <c r="AI3594" s="37">
        <v>97</v>
      </c>
      <c r="AJ3594" s="37">
        <v>1</v>
      </c>
      <c r="AK3594" s="37" t="str">
        <f>VLOOKUP(Mecze[[#This Row],[Match ID]],Meczusie[Mecz]:Meczusie[RodzajMeczu],2,FALSE)</f>
        <v>Towarzyski</v>
      </c>
    </row>
    <row r="3595" spans="1:37" x14ac:dyDescent="0.25">
      <c r="A3595" s="76">
        <v>42</v>
      </c>
      <c r="B3595" s="3" t="s">
        <v>361</v>
      </c>
      <c r="C3595" s="2" t="s">
        <v>157</v>
      </c>
      <c r="D3595" s="1">
        <v>0</v>
      </c>
      <c r="E3595" s="1">
        <v>0</v>
      </c>
      <c r="F3595" s="1">
        <v>0</v>
      </c>
      <c r="G3595" s="1">
        <v>6</v>
      </c>
      <c r="H3595" s="4">
        <v>0.17</v>
      </c>
      <c r="I3595" s="1">
        <v>9</v>
      </c>
      <c r="J3595" s="4">
        <v>0.22</v>
      </c>
      <c r="K3595" s="1">
        <v>0</v>
      </c>
      <c r="L3595" s="1">
        <v>6</v>
      </c>
      <c r="M3595" s="32">
        <f>IF(Mecze[[#This Row],[PR]]=0,0,Mecze[[#This Row],[PR]]/Mecze[[#This Row],[CZAS]])</f>
        <v>6.1855670103092786E-2</v>
      </c>
      <c r="N3595" s="32">
        <f>IF(Mecze[[#This Row],[OU]]=0,0,Mecze[[#This Row],[OU]]/Mecze[[#This Row],[CZAS]])</f>
        <v>2.0618556701030927E-2</v>
      </c>
      <c r="O3595" s="32">
        <f>IF(Mecze[[#This Row],[PC]]=0,0,Mecze[[#This Row],[PC]]/Mecze[[#This Row],[CZAS]])</f>
        <v>1.0309278350515464E-2</v>
      </c>
      <c r="P3595" s="32">
        <f>IF(Mecze[[#This Row],[SC]]=0,0,Mecze[[#This Row],[SC]]/Mecze[[#This Row],[CZAS]])</f>
        <v>0</v>
      </c>
      <c r="Q3595" s="32">
        <f>IF(Mecze[[#This Row],[OB]]=0,0,Mecze[[#This Row],[OB]]/Mecze[[#This Row],[CZAS]])</f>
        <v>0</v>
      </c>
      <c r="R3595" s="32">
        <f>IF(Mecze[[#This Row],[BR]]=0,0,Mecze[[#This Row],[BR]]/Mecze[[#This Row],[CZAS]])</f>
        <v>0</v>
      </c>
      <c r="S3595" s="44">
        <f>IF(Mecze[[#This Row],[Role]]="BR",SUMPRODUCT(Mecze[[#This Row],[/PR:90]:[/BR:90]],Brudnopis!$E$23:$J$23),0)</f>
        <v>0</v>
      </c>
      <c r="T3595" s="44">
        <f>IF(Mecze[[#This Row],[Role]]&lt;&gt;"BR",SUMPRODUCT(Mecze[[#This Row],[/PR:90]:[/BR:90]],Brudnopis!$E$24:$J$24),0)</f>
        <v>0.10309278350515465</v>
      </c>
      <c r="U3595" s="44">
        <f>IF(Mecze[[#This Row],[Role]]&lt;&gt;"BR",SUMPRODUCT(Mecze[[#This Row],[/PR:90]:[/BR:90]],Brudnopis!$E$25:$J$25),0)</f>
        <v>9.7938144329896906E-2</v>
      </c>
      <c r="V3595" s="44">
        <f>IF(Mecze[[#This Row],[Role]]&lt;&gt;"BR",SUMPRODUCT(Mecze[[#This Row],[/PR:90]:[/BR:90]],Brudnopis!$E$26:$J$26),0)</f>
        <v>9.2783505154639179E-2</v>
      </c>
      <c r="W3595" s="44">
        <f>IF(Mecze[[#This Row],[Role]]&lt;&gt;"BR",SUMPRODUCT(Mecze[[#This Row],[/PR:90]:[/BR:90]],Brudnopis!$E$27:$J$27),0)</f>
        <v>7.7319587628865982E-2</v>
      </c>
      <c r="X3595" s="44">
        <f>IF(Mecze[[#This Row],[Role]]&lt;&gt;"BR",SUMPRODUCT(Mecze[[#This Row],[/PR:90]:[/BR:90]],Brudnopis!$E$28:$J$28),0)</f>
        <v>1.0309278350515464E-2</v>
      </c>
      <c r="Y3595" s="35">
        <f>IF(Mecze[[#This Row],[Role]]="BR",Mecze[[#This Row],[/OB:90]]+Mecze[[#This Row],[/PC:90]],SUM(Mecze[[#This Row],[/PR:90]:[/BR:90]]))</f>
        <v>9.2783505154639179E-2</v>
      </c>
      <c r="Z3595" s="35">
        <f>IF(Mecze[[#This Row],[KC]]=0,SUM(Mecze[[#This Row],[/BRI]:[/NPI]]),SUM(Mecze[[#This Row],[/BRI]:[/NPI]])*0.6)</f>
        <v>0.3814432989690722</v>
      </c>
      <c r="AA3595" s="10">
        <f>IFERROR(Mecze[[#This Row],[BR]]/Mecze[[#This Row],[ST]],0)</f>
        <v>0</v>
      </c>
      <c r="AB3595">
        <f>ROUND(Mecze[[#This Row],[PD]]*Mecze[[#This Row],[%PC]],0)</f>
        <v>1</v>
      </c>
      <c r="AC3595">
        <f>ROUND(Mecze[[#This Row],[OD]]*Mecze[[#This Row],[%OU]],0)</f>
        <v>2</v>
      </c>
      <c r="AD3595" s="36" t="s">
        <v>168</v>
      </c>
      <c r="AE3595" s="36">
        <v>202</v>
      </c>
      <c r="AF3595" s="71">
        <v>-0.49</v>
      </c>
      <c r="AG3595" s="37">
        <v>0</v>
      </c>
      <c r="AH3595" s="37">
        <v>0</v>
      </c>
      <c r="AI3595" s="37">
        <v>97</v>
      </c>
      <c r="AJ3595" s="37">
        <v>1</v>
      </c>
      <c r="AK3595" s="37" t="str">
        <f>VLOOKUP(Mecze[[#This Row],[Match ID]],Meczusie[Mecz]:Meczusie[RodzajMeczu],2,FALSE)</f>
        <v>Towarzyski</v>
      </c>
    </row>
    <row r="3596" spans="1:37" x14ac:dyDescent="0.25">
      <c r="A3596" s="76">
        <v>52</v>
      </c>
      <c r="B3596" s="3" t="s">
        <v>408</v>
      </c>
      <c r="C3596" s="2" t="s">
        <v>160</v>
      </c>
      <c r="D3596" s="1">
        <v>0</v>
      </c>
      <c r="E3596" s="1">
        <v>0</v>
      </c>
      <c r="F3596" s="1">
        <v>0</v>
      </c>
      <c r="G3596" s="1">
        <v>10</v>
      </c>
      <c r="H3596" s="4">
        <v>0.6</v>
      </c>
      <c r="I3596" s="1">
        <v>0</v>
      </c>
      <c r="J3596" s="4"/>
      <c r="K3596" s="1">
        <v>0</v>
      </c>
      <c r="L3596" s="1">
        <v>4</v>
      </c>
      <c r="M3596" s="32">
        <f>IF(Mecze[[#This Row],[PR]]=0,0,Mecze[[#This Row],[PR]]/Mecze[[#This Row],[CZAS]])</f>
        <v>4.1237113402061855E-2</v>
      </c>
      <c r="N3596" s="32">
        <f>IF(Mecze[[#This Row],[OU]]=0,0,Mecze[[#This Row],[OU]]/Mecze[[#This Row],[CZAS]])</f>
        <v>0</v>
      </c>
      <c r="O3596" s="32">
        <f>IF(Mecze[[#This Row],[PC]]=0,0,Mecze[[#This Row],[PC]]/Mecze[[#This Row],[CZAS]])</f>
        <v>6.1855670103092786E-2</v>
      </c>
      <c r="P3596" s="32">
        <f>IF(Mecze[[#This Row],[SC]]=0,0,Mecze[[#This Row],[SC]]/Mecze[[#This Row],[CZAS]])</f>
        <v>0</v>
      </c>
      <c r="Q3596" s="32">
        <f>IF(Mecze[[#This Row],[OB]]=0,0,Mecze[[#This Row],[OB]]/Mecze[[#This Row],[CZAS]])</f>
        <v>0</v>
      </c>
      <c r="R3596" s="32">
        <f>IF(Mecze[[#This Row],[BR]]=0,0,Mecze[[#This Row],[BR]]/Mecze[[#This Row],[CZAS]])</f>
        <v>0</v>
      </c>
      <c r="S3596" s="44">
        <f>IF(Mecze[[#This Row],[Role]]="BR",SUMPRODUCT(Mecze[[#This Row],[/PR:90]:[/BR:90]],Brudnopis!$E$23:$J$23),0)</f>
        <v>0</v>
      </c>
      <c r="T3596" s="44">
        <f>IF(Mecze[[#This Row],[Role]]&lt;&gt;"BR",SUMPRODUCT(Mecze[[#This Row],[/PR:90]:[/BR:90]],Brudnopis!$E$24:$J$24),0)</f>
        <v>0.10309278350515463</v>
      </c>
      <c r="U3596" s="44">
        <f>IF(Mecze[[#This Row],[Role]]&lt;&gt;"BR",SUMPRODUCT(Mecze[[#This Row],[/PR:90]:[/BR:90]],Brudnopis!$E$25:$J$25),0)</f>
        <v>0.13402061855670103</v>
      </c>
      <c r="V3596" s="44">
        <f>IF(Mecze[[#This Row],[Role]]&lt;&gt;"BR",SUMPRODUCT(Mecze[[#This Row],[/PR:90]:[/BR:90]],Brudnopis!$E$26:$J$26),0)</f>
        <v>0.10309278350515463</v>
      </c>
      <c r="W3596" s="44">
        <f>IF(Mecze[[#This Row],[Role]]&lt;&gt;"BR",SUMPRODUCT(Mecze[[#This Row],[/PR:90]:[/BR:90]],Brudnopis!$E$27:$J$27),0)</f>
        <v>0.12371134020618557</v>
      </c>
      <c r="X3596" s="44">
        <f>IF(Mecze[[#This Row],[Role]]&lt;&gt;"BR",SUMPRODUCT(Mecze[[#This Row],[/PR:90]:[/BR:90]],Brudnopis!$E$28:$J$28),0)</f>
        <v>6.1855670103092786E-2</v>
      </c>
      <c r="Y3596" s="35">
        <f>IF(Mecze[[#This Row],[Role]]="BR",Mecze[[#This Row],[/OB:90]]+Mecze[[#This Row],[/PC:90]],SUM(Mecze[[#This Row],[/PR:90]:[/BR:90]]))</f>
        <v>0.10309278350515463</v>
      </c>
      <c r="Z3596" s="35">
        <f>IF(Mecze[[#This Row],[KC]]=0,SUM(Mecze[[#This Row],[/BRI]:[/NPI]]),SUM(Mecze[[#This Row],[/BRI]:[/NPI]])*0.6)</f>
        <v>0.52577319587628868</v>
      </c>
      <c r="AA3596" s="10">
        <f>IFERROR(Mecze[[#This Row],[BR]]/Mecze[[#This Row],[ST]],0)</f>
        <v>0</v>
      </c>
      <c r="AB3596">
        <f>ROUND(Mecze[[#This Row],[PD]]*Mecze[[#This Row],[%PC]],0)</f>
        <v>6</v>
      </c>
      <c r="AC3596">
        <f>ROUND(Mecze[[#This Row],[OD]]*Mecze[[#This Row],[%OU]],0)</f>
        <v>0</v>
      </c>
      <c r="AD3596" s="36" t="s">
        <v>41</v>
      </c>
      <c r="AE3596" s="36">
        <v>202</v>
      </c>
      <c r="AF3596" s="71">
        <v>4.75</v>
      </c>
      <c r="AG3596" s="37">
        <v>0</v>
      </c>
      <c r="AH3596" s="37">
        <v>0</v>
      </c>
      <c r="AI3596" s="37">
        <v>97</v>
      </c>
      <c r="AJ3596" s="37">
        <v>1</v>
      </c>
      <c r="AK3596" s="37" t="str">
        <f>VLOOKUP(Mecze[[#This Row],[Match ID]],Meczusie[Mecz]:Meczusie[RodzajMeczu],2,FALSE)</f>
        <v>Towarzyski</v>
      </c>
    </row>
    <row r="3597" spans="1:37" x14ac:dyDescent="0.25">
      <c r="A3597" s="76">
        <v>40</v>
      </c>
      <c r="B3597" s="3" t="s">
        <v>453</v>
      </c>
      <c r="C3597" s="2" t="s">
        <v>160</v>
      </c>
      <c r="D3597" s="1">
        <v>0</v>
      </c>
      <c r="E3597" s="1">
        <v>0</v>
      </c>
      <c r="F3597" s="1">
        <v>0</v>
      </c>
      <c r="G3597" s="1">
        <v>12</v>
      </c>
      <c r="H3597" s="4">
        <v>0.5</v>
      </c>
      <c r="I3597" s="1">
        <v>13</v>
      </c>
      <c r="J3597" s="4">
        <v>0.31</v>
      </c>
      <c r="K3597" s="1">
        <v>0</v>
      </c>
      <c r="L3597" s="1">
        <v>3</v>
      </c>
      <c r="M3597" s="32">
        <f>IF(Mecze[[#This Row],[PR]]=0,0,Mecze[[#This Row],[PR]]/Mecze[[#This Row],[CZAS]])</f>
        <v>3.0927835051546393E-2</v>
      </c>
      <c r="N3597" s="32">
        <f>IF(Mecze[[#This Row],[OU]]=0,0,Mecze[[#This Row],[OU]]/Mecze[[#This Row],[CZAS]])</f>
        <v>4.1237113402061855E-2</v>
      </c>
      <c r="O3597" s="32">
        <f>IF(Mecze[[#This Row],[PC]]=0,0,Mecze[[#This Row],[PC]]/Mecze[[#This Row],[CZAS]])</f>
        <v>6.1855670103092786E-2</v>
      </c>
      <c r="P3597" s="32">
        <f>IF(Mecze[[#This Row],[SC]]=0,0,Mecze[[#This Row],[SC]]/Mecze[[#This Row],[CZAS]])</f>
        <v>0</v>
      </c>
      <c r="Q3597" s="32">
        <f>IF(Mecze[[#This Row],[OB]]=0,0,Mecze[[#This Row],[OB]]/Mecze[[#This Row],[CZAS]])</f>
        <v>0</v>
      </c>
      <c r="R3597" s="32">
        <f>IF(Mecze[[#This Row],[BR]]=0,0,Mecze[[#This Row],[BR]]/Mecze[[#This Row],[CZAS]])</f>
        <v>0</v>
      </c>
      <c r="S3597" s="44">
        <f>IF(Mecze[[#This Row],[Role]]="BR",SUMPRODUCT(Mecze[[#This Row],[/PR:90]:[/BR:90]],Brudnopis!$E$23:$J$23),0)</f>
        <v>0</v>
      </c>
      <c r="T3597" s="44">
        <f>IF(Mecze[[#This Row],[Role]]&lt;&gt;"BR",SUMPRODUCT(Mecze[[#This Row],[/PR:90]:[/BR:90]],Brudnopis!$E$24:$J$24),0)</f>
        <v>0.15463917525773196</v>
      </c>
      <c r="U3597" s="44">
        <f>IF(Mecze[[#This Row],[Role]]&lt;&gt;"BR",SUMPRODUCT(Mecze[[#This Row],[/PR:90]:[/BR:90]],Brudnopis!$E$25:$J$25),0)</f>
        <v>0.16494845360824742</v>
      </c>
      <c r="V3597" s="44">
        <f>IF(Mecze[[#This Row],[Role]]&lt;&gt;"BR",SUMPRODUCT(Mecze[[#This Row],[/PR:90]:[/BR:90]],Brudnopis!$E$26:$J$26),0)</f>
        <v>0.13402061855670103</v>
      </c>
      <c r="W3597" s="44">
        <f>IF(Mecze[[#This Row],[Role]]&lt;&gt;"BR",SUMPRODUCT(Mecze[[#This Row],[/PR:90]:[/BR:90]],Brudnopis!$E$27:$J$27),0)</f>
        <v>0.14690721649484537</v>
      </c>
      <c r="X3597" s="44">
        <f>IF(Mecze[[#This Row],[Role]]&lt;&gt;"BR",SUMPRODUCT(Mecze[[#This Row],[/PR:90]:[/BR:90]],Brudnopis!$E$28:$J$28),0)</f>
        <v>6.1855670103092786E-2</v>
      </c>
      <c r="Y3597" s="35">
        <f>IF(Mecze[[#This Row],[Role]]="BR",Mecze[[#This Row],[/OB:90]]+Mecze[[#This Row],[/PC:90]],SUM(Mecze[[#This Row],[/PR:90]:[/BR:90]]))</f>
        <v>0.13402061855670103</v>
      </c>
      <c r="Z3597" s="35">
        <f>IF(Mecze[[#This Row],[KC]]=0,SUM(Mecze[[#This Row],[/BRI]:[/NPI]]),SUM(Mecze[[#This Row],[/BRI]:[/NPI]])*0.6)</f>
        <v>0.66237113402061853</v>
      </c>
      <c r="AA3597" s="10">
        <f>IFERROR(Mecze[[#This Row],[BR]]/Mecze[[#This Row],[ST]],0)</f>
        <v>0</v>
      </c>
      <c r="AB3597">
        <f>ROUND(Mecze[[#This Row],[PD]]*Mecze[[#This Row],[%PC]],0)</f>
        <v>6</v>
      </c>
      <c r="AC3597">
        <f>ROUND(Mecze[[#This Row],[OD]]*Mecze[[#This Row],[%OU]],0)</f>
        <v>4</v>
      </c>
      <c r="AD3597" s="36" t="s">
        <v>41</v>
      </c>
      <c r="AE3597" s="36">
        <v>202</v>
      </c>
      <c r="AF3597" s="71">
        <v>3.43</v>
      </c>
      <c r="AG3597" s="37">
        <v>0</v>
      </c>
      <c r="AH3597" s="37">
        <v>0</v>
      </c>
      <c r="AI3597" s="37">
        <v>97</v>
      </c>
      <c r="AJ3597" s="37">
        <v>1</v>
      </c>
      <c r="AK3597" s="37" t="str">
        <f>VLOOKUP(Mecze[[#This Row],[Match ID]],Meczusie[Mecz]:Meczusie[RodzajMeczu],2,FALSE)</f>
        <v>Towarzyski</v>
      </c>
    </row>
    <row r="3598" spans="1:37" x14ac:dyDescent="0.25">
      <c r="A3598" s="76">
        <v>26</v>
      </c>
      <c r="B3598" s="3" t="s">
        <v>368</v>
      </c>
      <c r="C3598" s="2" t="s">
        <v>160</v>
      </c>
      <c r="D3598" s="1">
        <v>0</v>
      </c>
      <c r="E3598" s="1">
        <v>0</v>
      </c>
      <c r="F3598" s="1">
        <v>0</v>
      </c>
      <c r="G3598" s="1">
        <v>3</v>
      </c>
      <c r="H3598" s="4">
        <v>0.33</v>
      </c>
      <c r="I3598" s="1">
        <v>0</v>
      </c>
      <c r="J3598" s="4"/>
      <c r="K3598" s="1">
        <v>0</v>
      </c>
      <c r="L3598" s="1">
        <v>0</v>
      </c>
      <c r="M3598" s="32">
        <f>IF(Mecze[[#This Row],[PR]]=0,0,Mecze[[#This Row],[PR]]/Mecze[[#This Row],[CZAS]])</f>
        <v>0</v>
      </c>
      <c r="N3598" s="32">
        <f>IF(Mecze[[#This Row],[OU]]=0,0,Mecze[[#This Row],[OU]]/Mecze[[#This Row],[CZAS]])</f>
        <v>0</v>
      </c>
      <c r="O3598" s="32">
        <f>IF(Mecze[[#This Row],[PC]]=0,0,Mecze[[#This Row],[PC]]/Mecze[[#This Row],[CZAS]])</f>
        <v>1.0309278350515464E-2</v>
      </c>
      <c r="P3598" s="32">
        <f>IF(Mecze[[#This Row],[SC]]=0,0,Mecze[[#This Row],[SC]]/Mecze[[#This Row],[CZAS]])</f>
        <v>0</v>
      </c>
      <c r="Q3598" s="32">
        <f>IF(Mecze[[#This Row],[OB]]=0,0,Mecze[[#This Row],[OB]]/Mecze[[#This Row],[CZAS]])</f>
        <v>0</v>
      </c>
      <c r="R3598" s="32">
        <f>IF(Mecze[[#This Row],[BR]]=0,0,Mecze[[#This Row],[BR]]/Mecze[[#This Row],[CZAS]])</f>
        <v>0</v>
      </c>
      <c r="S3598" s="44">
        <f>IF(Mecze[[#This Row],[Role]]="BR",SUMPRODUCT(Mecze[[#This Row],[/PR:90]:[/BR:90]],Brudnopis!$E$23:$J$23),0)</f>
        <v>0</v>
      </c>
      <c r="T3598" s="44">
        <f>IF(Mecze[[#This Row],[Role]]&lt;&gt;"BR",SUMPRODUCT(Mecze[[#This Row],[/PR:90]:[/BR:90]],Brudnopis!$E$24:$J$24),0)</f>
        <v>1.0309278350515464E-2</v>
      </c>
      <c r="U3598" s="44">
        <f>IF(Mecze[[#This Row],[Role]]&lt;&gt;"BR",SUMPRODUCT(Mecze[[#This Row],[/PR:90]:[/BR:90]],Brudnopis!$E$25:$J$25),0)</f>
        <v>1.5463917525773196E-2</v>
      </c>
      <c r="V3598" s="44">
        <f>IF(Mecze[[#This Row],[Role]]&lt;&gt;"BR",SUMPRODUCT(Mecze[[#This Row],[/PR:90]:[/BR:90]],Brudnopis!$E$26:$J$26),0)</f>
        <v>1.0309278350515464E-2</v>
      </c>
      <c r="W3598" s="44">
        <f>IF(Mecze[[#This Row],[Role]]&lt;&gt;"BR",SUMPRODUCT(Mecze[[#This Row],[/PR:90]:[/BR:90]],Brudnopis!$E$27:$J$27),0)</f>
        <v>1.5463917525773196E-2</v>
      </c>
      <c r="X3598" s="44">
        <f>IF(Mecze[[#This Row],[Role]]&lt;&gt;"BR",SUMPRODUCT(Mecze[[#This Row],[/PR:90]:[/BR:90]],Brudnopis!$E$28:$J$28),0)</f>
        <v>1.0309278350515464E-2</v>
      </c>
      <c r="Y3598" s="35">
        <f>IF(Mecze[[#This Row],[Role]]="BR",Mecze[[#This Row],[/OB:90]]+Mecze[[#This Row],[/PC:90]],SUM(Mecze[[#This Row],[/PR:90]:[/BR:90]]))</f>
        <v>1.0309278350515464E-2</v>
      </c>
      <c r="Z3598" s="35">
        <f>IF(Mecze[[#This Row],[KC]]=0,SUM(Mecze[[#This Row],[/BRI]:[/NPI]]),SUM(Mecze[[#This Row],[/BRI]:[/NPI]])*0.6)</f>
        <v>6.1855670103092779E-2</v>
      </c>
      <c r="AA3598" s="10">
        <f>IFERROR(Mecze[[#This Row],[BR]]/Mecze[[#This Row],[ST]],0)</f>
        <v>0</v>
      </c>
      <c r="AB3598">
        <f>ROUND(Mecze[[#This Row],[PD]]*Mecze[[#This Row],[%PC]],0)</f>
        <v>1</v>
      </c>
      <c r="AC3598">
        <f>ROUND(Mecze[[#This Row],[OD]]*Mecze[[#This Row],[%OU]],0)</f>
        <v>0</v>
      </c>
      <c r="AD3598" s="36" t="s">
        <v>522</v>
      </c>
      <c r="AE3598" s="36">
        <v>202</v>
      </c>
      <c r="AF3598" s="71">
        <v>2.7</v>
      </c>
      <c r="AG3598" s="37">
        <v>0</v>
      </c>
      <c r="AH3598" s="37">
        <v>0</v>
      </c>
      <c r="AI3598" s="37">
        <v>97</v>
      </c>
      <c r="AJ3598" s="37">
        <v>1</v>
      </c>
      <c r="AK3598" s="37" t="str">
        <f>VLOOKUP(Mecze[[#This Row],[Match ID]],Meczusie[Mecz]:Meczusie[RodzajMeczu],2,FALSE)</f>
        <v>Towarzyski</v>
      </c>
    </row>
    <row r="3599" spans="1:37" x14ac:dyDescent="0.25">
      <c r="A3599" s="76">
        <v>25</v>
      </c>
      <c r="B3599" s="3" t="s">
        <v>366</v>
      </c>
      <c r="C3599" s="2" t="s">
        <v>160</v>
      </c>
      <c r="D3599" s="1">
        <v>0</v>
      </c>
      <c r="E3599" s="1">
        <v>0</v>
      </c>
      <c r="F3599" s="1">
        <v>0</v>
      </c>
      <c r="G3599" s="1">
        <v>9</v>
      </c>
      <c r="H3599" s="4">
        <v>0.33</v>
      </c>
      <c r="I3599" s="1">
        <v>3</v>
      </c>
      <c r="J3599" s="4">
        <v>0</v>
      </c>
      <c r="K3599" s="1">
        <v>0</v>
      </c>
      <c r="L3599" s="1">
        <v>5</v>
      </c>
      <c r="M3599" s="32">
        <f>IF(Mecze[[#This Row],[PR]]=0,0,Mecze[[#This Row],[PR]]/Mecze[[#This Row],[CZAS]])</f>
        <v>5.1546391752577317E-2</v>
      </c>
      <c r="N3599" s="32">
        <f>IF(Mecze[[#This Row],[OU]]=0,0,Mecze[[#This Row],[OU]]/Mecze[[#This Row],[CZAS]])</f>
        <v>0</v>
      </c>
      <c r="O3599" s="32">
        <f>IF(Mecze[[#This Row],[PC]]=0,0,Mecze[[#This Row],[PC]]/Mecze[[#This Row],[CZAS]])</f>
        <v>3.0927835051546393E-2</v>
      </c>
      <c r="P3599" s="32">
        <f>IF(Mecze[[#This Row],[SC]]=0,0,Mecze[[#This Row],[SC]]/Mecze[[#This Row],[CZAS]])</f>
        <v>0</v>
      </c>
      <c r="Q3599" s="32">
        <f>IF(Mecze[[#This Row],[OB]]=0,0,Mecze[[#This Row],[OB]]/Mecze[[#This Row],[CZAS]])</f>
        <v>0</v>
      </c>
      <c r="R3599" s="32">
        <f>IF(Mecze[[#This Row],[BR]]=0,0,Mecze[[#This Row],[BR]]/Mecze[[#This Row],[CZAS]])</f>
        <v>0</v>
      </c>
      <c r="S3599" s="44">
        <f>IF(Mecze[[#This Row],[Role]]="BR",SUMPRODUCT(Mecze[[#This Row],[/PR:90]:[/BR:90]],Brudnopis!$E$23:$J$23),0)</f>
        <v>0</v>
      </c>
      <c r="T3599" s="44">
        <f>IF(Mecze[[#This Row],[Role]]&lt;&gt;"BR",SUMPRODUCT(Mecze[[#This Row],[/PR:90]:[/BR:90]],Brudnopis!$E$24:$J$24),0)</f>
        <v>8.247422680412371E-2</v>
      </c>
      <c r="U3599" s="44">
        <f>IF(Mecze[[#This Row],[Role]]&lt;&gt;"BR",SUMPRODUCT(Mecze[[#This Row],[/PR:90]:[/BR:90]],Brudnopis!$E$25:$J$25),0)</f>
        <v>9.7938144329896906E-2</v>
      </c>
      <c r="V3599" s="44">
        <f>IF(Mecze[[#This Row],[Role]]&lt;&gt;"BR",SUMPRODUCT(Mecze[[#This Row],[/PR:90]:[/BR:90]],Brudnopis!$E$26:$J$26),0)</f>
        <v>8.247422680412371E-2</v>
      </c>
      <c r="W3599" s="44">
        <f>IF(Mecze[[#This Row],[Role]]&lt;&gt;"BR",SUMPRODUCT(Mecze[[#This Row],[/PR:90]:[/BR:90]],Brudnopis!$E$27:$J$27),0)</f>
        <v>8.505154639175258E-2</v>
      </c>
      <c r="X3599" s="44">
        <f>IF(Mecze[[#This Row],[Role]]&lt;&gt;"BR",SUMPRODUCT(Mecze[[#This Row],[/PR:90]:[/BR:90]],Brudnopis!$E$28:$J$28),0)</f>
        <v>3.0927835051546393E-2</v>
      </c>
      <c r="Y3599" s="35">
        <f>IF(Mecze[[#This Row],[Role]]="BR",Mecze[[#This Row],[/OB:90]]+Mecze[[#This Row],[/PC:90]],SUM(Mecze[[#This Row],[/PR:90]:[/BR:90]]))</f>
        <v>8.247422680412371E-2</v>
      </c>
      <c r="Z3599" s="35">
        <f>IF(Mecze[[#This Row],[KC]]=0,SUM(Mecze[[#This Row],[/BRI]:[/NPI]]),SUM(Mecze[[#This Row],[/BRI]:[/NPI]])*0.6)</f>
        <v>0.37886597938144329</v>
      </c>
      <c r="AA3599" s="10">
        <f>IFERROR(Mecze[[#This Row],[BR]]/Mecze[[#This Row],[ST]],0)</f>
        <v>0</v>
      </c>
      <c r="AB3599">
        <f>ROUND(Mecze[[#This Row],[PD]]*Mecze[[#This Row],[%PC]],0)</f>
        <v>3</v>
      </c>
      <c r="AC3599">
        <f>ROUND(Mecze[[#This Row],[OD]]*Mecze[[#This Row],[%OU]],0)</f>
        <v>0</v>
      </c>
      <c r="AD3599" s="36" t="s">
        <v>44</v>
      </c>
      <c r="AE3599" s="36">
        <v>202</v>
      </c>
      <c r="AF3599" s="71">
        <v>3.75</v>
      </c>
      <c r="AG3599" s="37">
        <v>0</v>
      </c>
      <c r="AH3599" s="37">
        <v>0</v>
      </c>
      <c r="AI3599" s="37">
        <v>97</v>
      </c>
      <c r="AJ3599" s="37">
        <v>1</v>
      </c>
      <c r="AK3599" s="37" t="str">
        <f>VLOOKUP(Mecze[[#This Row],[Match ID]],Meczusie[Mecz]:Meczusie[RodzajMeczu],2,FALSE)</f>
        <v>Towarzyski</v>
      </c>
    </row>
    <row r="3600" spans="1:37" x14ac:dyDescent="0.25">
      <c r="A3600" s="76">
        <v>45</v>
      </c>
      <c r="B3600" s="3" t="s">
        <v>394</v>
      </c>
      <c r="C3600" s="2" t="s">
        <v>160</v>
      </c>
      <c r="D3600" s="1">
        <v>0</v>
      </c>
      <c r="E3600" s="1">
        <v>0</v>
      </c>
      <c r="F3600" s="1">
        <v>0</v>
      </c>
      <c r="G3600" s="1">
        <v>6</v>
      </c>
      <c r="H3600" s="4">
        <v>0.67</v>
      </c>
      <c r="I3600" s="1">
        <v>2</v>
      </c>
      <c r="J3600" s="4">
        <v>0.5</v>
      </c>
      <c r="K3600" s="1">
        <v>0</v>
      </c>
      <c r="L3600" s="1">
        <v>2</v>
      </c>
      <c r="M3600" s="32">
        <f>IF(Mecze[[#This Row],[PR]]=0,0,Mecze[[#This Row],[PR]]/Mecze[[#This Row],[CZAS]])</f>
        <v>2.0618556701030927E-2</v>
      </c>
      <c r="N3600" s="32">
        <f>IF(Mecze[[#This Row],[OU]]=0,0,Mecze[[#This Row],[OU]]/Mecze[[#This Row],[CZAS]])</f>
        <v>1.0309278350515464E-2</v>
      </c>
      <c r="O3600" s="32">
        <f>IF(Mecze[[#This Row],[PC]]=0,0,Mecze[[#This Row],[PC]]/Mecze[[#This Row],[CZAS]])</f>
        <v>4.1237113402061855E-2</v>
      </c>
      <c r="P3600" s="32">
        <f>IF(Mecze[[#This Row],[SC]]=0,0,Mecze[[#This Row],[SC]]/Mecze[[#This Row],[CZAS]])</f>
        <v>0</v>
      </c>
      <c r="Q3600" s="32">
        <f>IF(Mecze[[#This Row],[OB]]=0,0,Mecze[[#This Row],[OB]]/Mecze[[#This Row],[CZAS]])</f>
        <v>0</v>
      </c>
      <c r="R3600" s="32">
        <f>IF(Mecze[[#This Row],[BR]]=0,0,Mecze[[#This Row],[BR]]/Mecze[[#This Row],[CZAS]])</f>
        <v>0</v>
      </c>
      <c r="S3600" s="44">
        <f>IF(Mecze[[#This Row],[Role]]="BR",SUMPRODUCT(Mecze[[#This Row],[/PR:90]:[/BR:90]],Brudnopis!$E$23:$J$23),0)</f>
        <v>0</v>
      </c>
      <c r="T3600" s="44">
        <f>IF(Mecze[[#This Row],[Role]]&lt;&gt;"BR",SUMPRODUCT(Mecze[[#This Row],[/PR:90]:[/BR:90]],Brudnopis!$E$24:$J$24),0)</f>
        <v>7.7319587628865982E-2</v>
      </c>
      <c r="U3600" s="44">
        <f>IF(Mecze[[#This Row],[Role]]&lt;&gt;"BR",SUMPRODUCT(Mecze[[#This Row],[/PR:90]:[/BR:90]],Brudnopis!$E$25:$J$25),0)</f>
        <v>9.2783505154639179E-2</v>
      </c>
      <c r="V3600" s="44">
        <f>IF(Mecze[[#This Row],[Role]]&lt;&gt;"BR",SUMPRODUCT(Mecze[[#This Row],[/PR:90]:[/BR:90]],Brudnopis!$E$26:$J$26),0)</f>
        <v>7.2164948453608241E-2</v>
      </c>
      <c r="W3600" s="44">
        <f>IF(Mecze[[#This Row],[Role]]&lt;&gt;"BR",SUMPRODUCT(Mecze[[#This Row],[/PR:90]:[/BR:90]],Brudnopis!$E$27:$J$27),0)</f>
        <v>8.505154639175258E-2</v>
      </c>
      <c r="X3600" s="44">
        <f>IF(Mecze[[#This Row],[Role]]&lt;&gt;"BR",SUMPRODUCT(Mecze[[#This Row],[/PR:90]:[/BR:90]],Brudnopis!$E$28:$J$28),0)</f>
        <v>4.1237113402061855E-2</v>
      </c>
      <c r="Y3600" s="35">
        <f>IF(Mecze[[#This Row],[Role]]="BR",Mecze[[#This Row],[/OB:90]]+Mecze[[#This Row],[/PC:90]],SUM(Mecze[[#This Row],[/PR:90]:[/BR:90]]))</f>
        <v>7.2164948453608241E-2</v>
      </c>
      <c r="Z3600" s="35">
        <f>IF(Mecze[[#This Row],[KC]]=0,SUM(Mecze[[#This Row],[/BRI]:[/NPI]]),SUM(Mecze[[#This Row],[/BRI]:[/NPI]])*0.6)</f>
        <v>0.36855670103092786</v>
      </c>
      <c r="AA3600" s="10">
        <f>IFERROR(Mecze[[#This Row],[BR]]/Mecze[[#This Row],[ST]],0)</f>
        <v>0</v>
      </c>
      <c r="AB3600">
        <f>ROUND(Mecze[[#This Row],[PD]]*Mecze[[#This Row],[%PC]],0)</f>
        <v>4</v>
      </c>
      <c r="AC3600">
        <f>ROUND(Mecze[[#This Row],[OD]]*Mecze[[#This Row],[%OU]],0)</f>
        <v>1</v>
      </c>
      <c r="AD3600" s="36" t="s">
        <v>44</v>
      </c>
      <c r="AE3600" s="36">
        <v>202</v>
      </c>
      <c r="AF3600" s="71">
        <v>3.22</v>
      </c>
      <c r="AG3600" s="37">
        <v>1</v>
      </c>
      <c r="AH3600" s="37">
        <v>0</v>
      </c>
      <c r="AI3600" s="37">
        <v>97</v>
      </c>
      <c r="AJ3600" s="37">
        <v>1</v>
      </c>
      <c r="AK3600" s="37" t="str">
        <f>VLOOKUP(Mecze[[#This Row],[Match ID]],Meczusie[Mecz]:Meczusie[RodzajMeczu],2,FALSE)</f>
        <v>Towarzyski</v>
      </c>
    </row>
    <row r="3601" spans="1:37" x14ac:dyDescent="0.25">
      <c r="A3601" s="76">
        <v>31</v>
      </c>
      <c r="B3601" s="3" t="s">
        <v>365</v>
      </c>
      <c r="C3601" s="2" t="s">
        <v>165</v>
      </c>
      <c r="D3601" s="1">
        <v>0</v>
      </c>
      <c r="E3601" s="1">
        <v>0</v>
      </c>
      <c r="F3601" s="1">
        <v>0</v>
      </c>
      <c r="G3601" s="1">
        <v>9</v>
      </c>
      <c r="H3601" s="4">
        <v>0.56000000000000005</v>
      </c>
      <c r="I3601" s="1">
        <v>2</v>
      </c>
      <c r="J3601" s="4">
        <v>0</v>
      </c>
      <c r="K3601" s="1">
        <v>0</v>
      </c>
      <c r="L3601" s="1">
        <v>1</v>
      </c>
      <c r="M3601" s="32">
        <f>IF(Mecze[[#This Row],[PR]]=0,0,Mecze[[#This Row],[PR]]/Mecze[[#This Row],[CZAS]])</f>
        <v>1.0309278350515464E-2</v>
      </c>
      <c r="N3601" s="32">
        <f>IF(Mecze[[#This Row],[OU]]=0,0,Mecze[[#This Row],[OU]]/Mecze[[#This Row],[CZAS]])</f>
        <v>0</v>
      </c>
      <c r="O3601" s="32">
        <f>IF(Mecze[[#This Row],[PC]]=0,0,Mecze[[#This Row],[PC]]/Mecze[[#This Row],[CZAS]])</f>
        <v>5.1546391752577317E-2</v>
      </c>
      <c r="P3601" s="32">
        <f>IF(Mecze[[#This Row],[SC]]=0,0,Mecze[[#This Row],[SC]]/Mecze[[#This Row],[CZAS]])</f>
        <v>0</v>
      </c>
      <c r="Q3601" s="32">
        <f>IF(Mecze[[#This Row],[OB]]=0,0,Mecze[[#This Row],[OB]]/Mecze[[#This Row],[CZAS]])</f>
        <v>0</v>
      </c>
      <c r="R3601" s="32">
        <f>IF(Mecze[[#This Row],[BR]]=0,0,Mecze[[#This Row],[BR]]/Mecze[[#This Row],[CZAS]])</f>
        <v>0</v>
      </c>
      <c r="S3601" s="44">
        <f>IF(Mecze[[#This Row],[Role]]="BR",SUMPRODUCT(Mecze[[#This Row],[/PR:90]:[/BR:90]],Brudnopis!$E$23:$J$23),0)</f>
        <v>0</v>
      </c>
      <c r="T3601" s="44">
        <f>IF(Mecze[[#This Row],[Role]]&lt;&gt;"BR",SUMPRODUCT(Mecze[[#This Row],[/PR:90]:[/BR:90]],Brudnopis!$E$24:$J$24),0)</f>
        <v>6.1855670103092779E-2</v>
      </c>
      <c r="U3601" s="44">
        <f>IF(Mecze[[#This Row],[Role]]&lt;&gt;"BR",SUMPRODUCT(Mecze[[#This Row],[/PR:90]:[/BR:90]],Brudnopis!$E$25:$J$25),0)</f>
        <v>8.7628865979381451E-2</v>
      </c>
      <c r="V3601" s="44">
        <f>IF(Mecze[[#This Row],[Role]]&lt;&gt;"BR",SUMPRODUCT(Mecze[[#This Row],[/PR:90]:[/BR:90]],Brudnopis!$E$26:$J$26),0)</f>
        <v>6.1855670103092779E-2</v>
      </c>
      <c r="W3601" s="44">
        <f>IF(Mecze[[#This Row],[Role]]&lt;&gt;"BR",SUMPRODUCT(Mecze[[#This Row],[/PR:90]:[/BR:90]],Brudnopis!$E$27:$J$27),0)</f>
        <v>8.505154639175258E-2</v>
      </c>
      <c r="X3601" s="44">
        <f>IF(Mecze[[#This Row],[Role]]&lt;&gt;"BR",SUMPRODUCT(Mecze[[#This Row],[/PR:90]:[/BR:90]],Brudnopis!$E$28:$J$28),0)</f>
        <v>5.1546391752577317E-2</v>
      </c>
      <c r="Y3601" s="35">
        <f>IF(Mecze[[#This Row],[Role]]="BR",Mecze[[#This Row],[/OB:90]]+Mecze[[#This Row],[/PC:90]],SUM(Mecze[[#This Row],[/PR:90]:[/BR:90]]))</f>
        <v>6.1855670103092779E-2</v>
      </c>
      <c r="Z3601" s="35">
        <f>IF(Mecze[[#This Row],[KC]]=0,SUM(Mecze[[#This Row],[/BRI]:[/NPI]]),SUM(Mecze[[#This Row],[/BRI]:[/NPI]])*0.6)</f>
        <v>0.34793814432989689</v>
      </c>
      <c r="AA3601" s="10">
        <f>IFERROR(Mecze[[#This Row],[BR]]/Mecze[[#This Row],[ST]],0)</f>
        <v>0</v>
      </c>
      <c r="AB3601">
        <f>ROUND(Mecze[[#This Row],[PD]]*Mecze[[#This Row],[%PC]],0)</f>
        <v>5</v>
      </c>
      <c r="AC3601">
        <f>ROUND(Mecze[[#This Row],[OD]]*Mecze[[#This Row],[%OU]],0)</f>
        <v>0</v>
      </c>
      <c r="AD3601" s="36" t="s">
        <v>46</v>
      </c>
      <c r="AE3601" s="36">
        <v>202</v>
      </c>
      <c r="AF3601" s="71">
        <v>4.04</v>
      </c>
      <c r="AG3601" s="37">
        <v>0</v>
      </c>
      <c r="AH3601" s="37">
        <v>0</v>
      </c>
      <c r="AI3601" s="37">
        <v>97</v>
      </c>
      <c r="AJ3601" s="37">
        <v>1</v>
      </c>
      <c r="AK3601" s="37" t="str">
        <f>VLOOKUP(Mecze[[#This Row],[Match ID]],Meczusie[Mecz]:Meczusie[RodzajMeczu],2,FALSE)</f>
        <v>Towarzyski</v>
      </c>
    </row>
    <row r="3602" spans="1:37" x14ac:dyDescent="0.25">
      <c r="A3602" s="76">
        <v>46</v>
      </c>
      <c r="B3602" s="3" t="s">
        <v>395</v>
      </c>
      <c r="C3602" s="2" t="s">
        <v>165</v>
      </c>
      <c r="D3602" s="1">
        <v>0</v>
      </c>
      <c r="E3602" s="1">
        <v>3</v>
      </c>
      <c r="F3602" s="1">
        <v>3</v>
      </c>
      <c r="G3602" s="1">
        <v>11</v>
      </c>
      <c r="H3602" s="4">
        <v>0.55000000000000004</v>
      </c>
      <c r="I3602" s="1">
        <v>2</v>
      </c>
      <c r="J3602" s="4">
        <v>0</v>
      </c>
      <c r="K3602" s="1">
        <v>0</v>
      </c>
      <c r="L3602" s="1">
        <v>1</v>
      </c>
      <c r="M3602" s="32">
        <f>IF(Mecze[[#This Row],[PR]]=0,0,Mecze[[#This Row],[PR]]/Mecze[[#This Row],[CZAS]])</f>
        <v>1.0309278350515464E-2</v>
      </c>
      <c r="N3602" s="32">
        <f>IF(Mecze[[#This Row],[OU]]=0,0,Mecze[[#This Row],[OU]]/Mecze[[#This Row],[CZAS]])</f>
        <v>0</v>
      </c>
      <c r="O3602" s="32">
        <f>IF(Mecze[[#This Row],[PC]]=0,0,Mecze[[#This Row],[PC]]/Mecze[[#This Row],[CZAS]])</f>
        <v>6.1855670103092786E-2</v>
      </c>
      <c r="P3602" s="32">
        <f>IF(Mecze[[#This Row],[SC]]=0,0,Mecze[[#This Row],[SC]]/Mecze[[#This Row],[CZAS]])</f>
        <v>3.0927835051546393E-2</v>
      </c>
      <c r="Q3602" s="32">
        <f>IF(Mecze[[#This Row],[OB]]=0,0,Mecze[[#This Row],[OB]]/Mecze[[#This Row],[CZAS]])</f>
        <v>0</v>
      </c>
      <c r="R3602" s="32">
        <f>IF(Mecze[[#This Row],[BR]]=0,0,Mecze[[#This Row],[BR]]/Mecze[[#This Row],[CZAS]])</f>
        <v>0</v>
      </c>
      <c r="S3602" s="44">
        <f>IF(Mecze[[#This Row],[Role]]="BR",SUMPRODUCT(Mecze[[#This Row],[/PR:90]:[/BR:90]],Brudnopis!$E$23:$J$23),0)</f>
        <v>0</v>
      </c>
      <c r="T3602" s="44">
        <f>IF(Mecze[[#This Row],[Role]]&lt;&gt;"BR",SUMPRODUCT(Mecze[[#This Row],[/PR:90]:[/BR:90]],Brudnopis!$E$24:$J$24),0)</f>
        <v>0.10309278350515465</v>
      </c>
      <c r="U3602" s="44">
        <f>IF(Mecze[[#This Row],[Role]]&lt;&gt;"BR",SUMPRODUCT(Mecze[[#This Row],[/PR:90]:[/BR:90]],Brudnopis!$E$25:$J$25),0)</f>
        <v>0.13402061855670105</v>
      </c>
      <c r="V3602" s="44">
        <f>IF(Mecze[[#This Row],[Role]]&lt;&gt;"BR",SUMPRODUCT(Mecze[[#This Row],[/PR:90]:[/BR:90]],Brudnopis!$E$26:$J$26),0)</f>
        <v>0.10309278350515465</v>
      </c>
      <c r="W3602" s="44">
        <f>IF(Mecze[[#This Row],[Role]]&lt;&gt;"BR",SUMPRODUCT(Mecze[[#This Row],[/PR:90]:[/BR:90]],Brudnopis!$E$27:$J$27),0)</f>
        <v>0.13144329896907217</v>
      </c>
      <c r="X3602" s="44">
        <f>IF(Mecze[[#This Row],[Role]]&lt;&gt;"BR",SUMPRODUCT(Mecze[[#This Row],[/PR:90]:[/BR:90]],Brudnopis!$E$28:$J$28),0)</f>
        <v>0.12371134020618557</v>
      </c>
      <c r="Y3602" s="35">
        <f>IF(Mecze[[#This Row],[Role]]="BR",Mecze[[#This Row],[/OB:90]]+Mecze[[#This Row],[/PC:90]],SUM(Mecze[[#This Row],[/PR:90]:[/BR:90]]))</f>
        <v>0.10309278350515465</v>
      </c>
      <c r="Z3602" s="35">
        <f>IF(Mecze[[#This Row],[KC]]=0,SUM(Mecze[[#This Row],[/BRI]:[/NPI]]),SUM(Mecze[[#This Row],[/BRI]:[/NPI]])*0.6)</f>
        <v>0.59536082474226815</v>
      </c>
      <c r="AA3602" s="10">
        <f>IFERROR(Mecze[[#This Row],[BR]]/Mecze[[#This Row],[ST]],0)</f>
        <v>0</v>
      </c>
      <c r="AB3602">
        <f>ROUND(Mecze[[#This Row],[PD]]*Mecze[[#This Row],[%PC]],0)</f>
        <v>6</v>
      </c>
      <c r="AC3602">
        <f>ROUND(Mecze[[#This Row],[OD]]*Mecze[[#This Row],[%OU]],0)</f>
        <v>0</v>
      </c>
      <c r="AD3602" s="36" t="s">
        <v>46</v>
      </c>
      <c r="AE3602" s="36">
        <v>202</v>
      </c>
      <c r="AF3602" s="71">
        <v>4.7</v>
      </c>
      <c r="AG3602" s="37">
        <v>0</v>
      </c>
      <c r="AH3602" s="37">
        <v>0</v>
      </c>
      <c r="AI3602" s="37">
        <v>97</v>
      </c>
      <c r="AJ3602" s="37">
        <v>1</v>
      </c>
      <c r="AK3602" s="37" t="str">
        <f>VLOOKUP(Mecze[[#This Row],[Match ID]],Meczusie[Mecz]:Meczusie[RodzajMeczu],2,FALSE)</f>
        <v>Towarzyski</v>
      </c>
    </row>
    <row r="3603" spans="1:37" x14ac:dyDescent="0.25">
      <c r="A3603" s="76">
        <v>1</v>
      </c>
      <c r="B3603" s="3" t="s">
        <v>169</v>
      </c>
      <c r="C3603" s="2" t="s">
        <v>155</v>
      </c>
      <c r="D3603" s="1">
        <v>0</v>
      </c>
      <c r="E3603" s="1">
        <v>0</v>
      </c>
      <c r="F3603" s="1">
        <v>0</v>
      </c>
      <c r="G3603" s="1">
        <v>20</v>
      </c>
      <c r="H3603" s="4">
        <v>0.8</v>
      </c>
      <c r="I3603" s="1">
        <v>0</v>
      </c>
      <c r="J3603" s="4"/>
      <c r="K3603" s="1">
        <v>17</v>
      </c>
      <c r="L3603" s="1">
        <v>0</v>
      </c>
      <c r="M3603" s="32">
        <f>IF(Mecze[[#This Row],[PR]]=0,0,Mecze[[#This Row],[PR]]/Mecze[[#This Row],[CZAS]])</f>
        <v>0</v>
      </c>
      <c r="N3603" s="32">
        <f>IF(Mecze[[#This Row],[OU]]=0,0,Mecze[[#This Row],[OU]]/Mecze[[#This Row],[CZAS]])</f>
        <v>0</v>
      </c>
      <c r="O3603" s="32">
        <f>IF(Mecze[[#This Row],[PC]]=0,0,Mecze[[#This Row],[PC]]/Mecze[[#This Row],[CZAS]])</f>
        <v>0.16666666666666666</v>
      </c>
      <c r="P3603" s="32">
        <f>IF(Mecze[[#This Row],[SC]]=0,0,Mecze[[#This Row],[SC]]/Mecze[[#This Row],[CZAS]])</f>
        <v>0</v>
      </c>
      <c r="Q3603" s="32">
        <f>IF(Mecze[[#This Row],[OB]]=0,0,Mecze[[#This Row],[OB]]/Mecze[[#This Row],[CZAS]])</f>
        <v>0.17708333333333334</v>
      </c>
      <c r="R3603" s="32">
        <f>IF(Mecze[[#This Row],[BR]]=0,0,Mecze[[#This Row],[BR]]/Mecze[[#This Row],[CZAS]])</f>
        <v>0</v>
      </c>
      <c r="S3603" s="44">
        <f>IF(Mecze[[#This Row],[Role]]="BR",SUMPRODUCT(Mecze[[#This Row],[/PR:90]:[/BR:90]],Brudnopis!$E$23:$J$23),0)</f>
        <v>1.03125</v>
      </c>
      <c r="T3603" s="44">
        <f>IF(Mecze[[#This Row],[Role]]&lt;&gt;"BR",SUMPRODUCT(Mecze[[#This Row],[/PR:90]:[/BR:90]],Brudnopis!$E$24:$J$24),0)</f>
        <v>0</v>
      </c>
      <c r="U3603" s="44">
        <f>IF(Mecze[[#This Row],[Role]]&lt;&gt;"BR",SUMPRODUCT(Mecze[[#This Row],[/PR:90]:[/BR:90]],Brudnopis!$E$25:$J$25),0)</f>
        <v>0</v>
      </c>
      <c r="V3603" s="44">
        <f>IF(Mecze[[#This Row],[Role]]&lt;&gt;"BR",SUMPRODUCT(Mecze[[#This Row],[/PR:90]:[/BR:90]],Brudnopis!$E$26:$J$26),0)</f>
        <v>0</v>
      </c>
      <c r="W3603" s="44">
        <f>IF(Mecze[[#This Row],[Role]]&lt;&gt;"BR",SUMPRODUCT(Mecze[[#This Row],[/PR:90]:[/BR:90]],Brudnopis!$E$27:$J$27),0)</f>
        <v>0</v>
      </c>
      <c r="X3603" s="44">
        <f>IF(Mecze[[#This Row],[Role]]&lt;&gt;"BR",SUMPRODUCT(Mecze[[#This Row],[/PR:90]:[/BR:90]],Brudnopis!$E$28:$J$28),0)</f>
        <v>0</v>
      </c>
      <c r="Y3603" s="35">
        <f>IF(Mecze[[#This Row],[Role]]="BR",Mecze[[#This Row],[/OB:90]]+Mecze[[#This Row],[/PC:90]],SUM(Mecze[[#This Row],[/PR:90]:[/BR:90]]))</f>
        <v>0.34375</v>
      </c>
      <c r="Z3603" s="35">
        <f>IF(Mecze[[#This Row],[KC]]=0,SUM(Mecze[[#This Row],[/BRI]:[/NPI]]),SUM(Mecze[[#This Row],[/BRI]:[/NPI]])*0.6)</f>
        <v>1.03125</v>
      </c>
      <c r="AA3603" s="10">
        <f>IFERROR(Mecze[[#This Row],[BR]]/Mecze[[#This Row],[ST]],0)</f>
        <v>0</v>
      </c>
      <c r="AB3603">
        <f>ROUND(Mecze[[#This Row],[PD]]*Mecze[[#This Row],[%PC]],0)</f>
        <v>16</v>
      </c>
      <c r="AC3603">
        <f>ROUND(Mecze[[#This Row],[OD]]*Mecze[[#This Row],[%OU]],0)</f>
        <v>0</v>
      </c>
      <c r="AD3603" s="36" t="s">
        <v>40</v>
      </c>
      <c r="AE3603" s="36">
        <v>203</v>
      </c>
      <c r="AF3603" s="71">
        <v>10.76</v>
      </c>
      <c r="AG3603" s="37">
        <v>0</v>
      </c>
      <c r="AH3603" s="37">
        <v>0</v>
      </c>
      <c r="AI3603" s="37">
        <v>96</v>
      </c>
      <c r="AJ3603" s="37">
        <v>1</v>
      </c>
      <c r="AK3603" s="37" t="str">
        <f>VLOOKUP(Mecze[[#This Row],[Match ID]],Meczusie[Mecz]:Meczusie[RodzajMeczu],2,FALSE)</f>
        <v>Towarzyski</v>
      </c>
    </row>
    <row r="3604" spans="1:37" x14ac:dyDescent="0.25">
      <c r="A3604" s="76">
        <v>5</v>
      </c>
      <c r="B3604" s="3" t="s">
        <v>161</v>
      </c>
      <c r="C3604" s="2" t="s">
        <v>157</v>
      </c>
      <c r="D3604" s="1">
        <v>0</v>
      </c>
      <c r="E3604" s="1">
        <v>0</v>
      </c>
      <c r="F3604" s="1">
        <v>0</v>
      </c>
      <c r="G3604" s="1">
        <v>13</v>
      </c>
      <c r="H3604" s="4">
        <v>0.46</v>
      </c>
      <c r="I3604" s="1">
        <v>12</v>
      </c>
      <c r="J3604" s="4">
        <v>0.57999999999999996</v>
      </c>
      <c r="K3604" s="1">
        <v>0</v>
      </c>
      <c r="L3604" s="1">
        <v>8</v>
      </c>
      <c r="M3604" s="32">
        <f>IF(Mecze[[#This Row],[PR]]=0,0,Mecze[[#This Row],[PR]]/Mecze[[#This Row],[CZAS]])</f>
        <v>8.3333333333333329E-2</v>
      </c>
      <c r="N3604" s="32">
        <f>IF(Mecze[[#This Row],[OU]]=0,0,Mecze[[#This Row],[OU]]/Mecze[[#This Row],[CZAS]])</f>
        <v>7.2916666666666671E-2</v>
      </c>
      <c r="O3604" s="32">
        <f>IF(Mecze[[#This Row],[PC]]=0,0,Mecze[[#This Row],[PC]]/Mecze[[#This Row],[CZAS]])</f>
        <v>6.25E-2</v>
      </c>
      <c r="P3604" s="32">
        <f>IF(Mecze[[#This Row],[SC]]=0,0,Mecze[[#This Row],[SC]]/Mecze[[#This Row],[CZAS]])</f>
        <v>0</v>
      </c>
      <c r="Q3604" s="32">
        <f>IF(Mecze[[#This Row],[OB]]=0,0,Mecze[[#This Row],[OB]]/Mecze[[#This Row],[CZAS]])</f>
        <v>0</v>
      </c>
      <c r="R3604" s="32">
        <f>IF(Mecze[[#This Row],[BR]]=0,0,Mecze[[#This Row],[BR]]/Mecze[[#This Row],[CZAS]])</f>
        <v>0</v>
      </c>
      <c r="S3604" s="44">
        <f>IF(Mecze[[#This Row],[Role]]="BR",SUMPRODUCT(Mecze[[#This Row],[/PR:90]:[/BR:90]],Brudnopis!$E$23:$J$23),0)</f>
        <v>0</v>
      </c>
      <c r="T3604" s="44">
        <f>IF(Mecze[[#This Row],[Role]]&lt;&gt;"BR",SUMPRODUCT(Mecze[[#This Row],[/PR:90]:[/BR:90]],Brudnopis!$E$24:$J$24),0)</f>
        <v>0.25520833333333331</v>
      </c>
      <c r="U3604" s="44">
        <f>IF(Mecze[[#This Row],[Role]]&lt;&gt;"BR",SUMPRODUCT(Mecze[[#This Row],[/PR:90]:[/BR:90]],Brudnopis!$E$25:$J$25),0)</f>
        <v>0.25</v>
      </c>
      <c r="V3604" s="44">
        <f>IF(Mecze[[#This Row],[Role]]&lt;&gt;"BR",SUMPRODUCT(Mecze[[#This Row],[/PR:90]:[/BR:90]],Brudnopis!$E$26:$J$26),0)</f>
        <v>0.21875</v>
      </c>
      <c r="W3604" s="44">
        <f>IF(Mecze[[#This Row],[Role]]&lt;&gt;"BR",SUMPRODUCT(Mecze[[#This Row],[/PR:90]:[/BR:90]],Brudnopis!$E$27:$J$27),0)</f>
        <v>0.2109375</v>
      </c>
      <c r="X3604" s="44">
        <f>IF(Mecze[[#This Row],[Role]]&lt;&gt;"BR",SUMPRODUCT(Mecze[[#This Row],[/PR:90]:[/BR:90]],Brudnopis!$E$28:$J$28),0)</f>
        <v>6.25E-2</v>
      </c>
      <c r="Y3604" s="35">
        <f>IF(Mecze[[#This Row],[Role]]="BR",Mecze[[#This Row],[/OB:90]]+Mecze[[#This Row],[/PC:90]],SUM(Mecze[[#This Row],[/PR:90]:[/BR:90]]))</f>
        <v>0.21875</v>
      </c>
      <c r="Z3604" s="35">
        <f>IF(Mecze[[#This Row],[KC]]=0,SUM(Mecze[[#This Row],[/BRI]:[/NPI]]),SUM(Mecze[[#This Row],[/BRI]:[/NPI]])*0.6)</f>
        <v>0.99739583333333326</v>
      </c>
      <c r="AA3604" s="10">
        <f>IFERROR(Mecze[[#This Row],[BR]]/Mecze[[#This Row],[ST]],0)</f>
        <v>0</v>
      </c>
      <c r="AB3604">
        <f>ROUND(Mecze[[#This Row],[PD]]*Mecze[[#This Row],[%PC]],0)</f>
        <v>6</v>
      </c>
      <c r="AC3604">
        <f>ROUND(Mecze[[#This Row],[OD]]*Mecze[[#This Row],[%OU]],0)</f>
        <v>7</v>
      </c>
      <c r="AD3604" s="36" t="s">
        <v>47</v>
      </c>
      <c r="AE3604" s="36">
        <v>203</v>
      </c>
      <c r="AF3604" s="71">
        <v>5.5</v>
      </c>
      <c r="AG3604" s="37">
        <v>0</v>
      </c>
      <c r="AH3604" s="37">
        <v>0</v>
      </c>
      <c r="AI3604" s="37">
        <v>96</v>
      </c>
      <c r="AJ3604" s="37">
        <v>1</v>
      </c>
      <c r="AK3604" s="37" t="str">
        <f>VLOOKUP(Mecze[[#This Row],[Match ID]],Meczusie[Mecz]:Meczusie[RodzajMeczu],2,FALSE)</f>
        <v>Towarzyski</v>
      </c>
    </row>
    <row r="3605" spans="1:37" x14ac:dyDescent="0.25">
      <c r="A3605" s="76">
        <v>18</v>
      </c>
      <c r="B3605" s="3" t="s">
        <v>211</v>
      </c>
      <c r="C3605" s="2" t="s">
        <v>157</v>
      </c>
      <c r="D3605" s="1">
        <v>0</v>
      </c>
      <c r="E3605" s="1">
        <v>0</v>
      </c>
      <c r="F3605" s="1">
        <v>0</v>
      </c>
      <c r="G3605" s="1">
        <v>14</v>
      </c>
      <c r="H3605" s="4">
        <v>0.64</v>
      </c>
      <c r="I3605" s="1">
        <v>8</v>
      </c>
      <c r="J3605" s="4">
        <v>0.75</v>
      </c>
      <c r="K3605" s="1">
        <v>0</v>
      </c>
      <c r="L3605" s="1">
        <v>11</v>
      </c>
      <c r="M3605" s="32">
        <f>IF(Mecze[[#This Row],[PR]]=0,0,Mecze[[#This Row],[PR]]/Mecze[[#This Row],[CZAS]])</f>
        <v>0.11458333333333333</v>
      </c>
      <c r="N3605" s="32">
        <f>IF(Mecze[[#This Row],[OU]]=0,0,Mecze[[#This Row],[OU]]/Mecze[[#This Row],[CZAS]])</f>
        <v>6.25E-2</v>
      </c>
      <c r="O3605" s="32">
        <f>IF(Mecze[[#This Row],[PC]]=0,0,Mecze[[#This Row],[PC]]/Mecze[[#This Row],[CZAS]])</f>
        <v>9.375E-2</v>
      </c>
      <c r="P3605" s="32">
        <f>IF(Mecze[[#This Row],[SC]]=0,0,Mecze[[#This Row],[SC]]/Mecze[[#This Row],[CZAS]])</f>
        <v>0</v>
      </c>
      <c r="Q3605" s="32">
        <f>IF(Mecze[[#This Row],[OB]]=0,0,Mecze[[#This Row],[OB]]/Mecze[[#This Row],[CZAS]])</f>
        <v>0</v>
      </c>
      <c r="R3605" s="32">
        <f>IF(Mecze[[#This Row],[BR]]=0,0,Mecze[[#This Row],[BR]]/Mecze[[#This Row],[CZAS]])</f>
        <v>0</v>
      </c>
      <c r="S3605" s="44">
        <f>IF(Mecze[[#This Row],[Role]]="BR",SUMPRODUCT(Mecze[[#This Row],[/PR:90]:[/BR:90]],Brudnopis!$E$23:$J$23),0)</f>
        <v>0</v>
      </c>
      <c r="T3605" s="44">
        <f>IF(Mecze[[#This Row],[Role]]&lt;&gt;"BR",SUMPRODUCT(Mecze[[#This Row],[/PR:90]:[/BR:90]],Brudnopis!$E$24:$J$24),0)</f>
        <v>0.30208333333333331</v>
      </c>
      <c r="U3605" s="44">
        <f>IF(Mecze[[#This Row],[Role]]&lt;&gt;"BR",SUMPRODUCT(Mecze[[#This Row],[/PR:90]:[/BR:90]],Brudnopis!$E$25:$J$25),0)</f>
        <v>0.31770833333333331</v>
      </c>
      <c r="V3605" s="44">
        <f>IF(Mecze[[#This Row],[Role]]&lt;&gt;"BR",SUMPRODUCT(Mecze[[#This Row],[/PR:90]:[/BR:90]],Brudnopis!$E$26:$J$26),0)</f>
        <v>0.27083333333333331</v>
      </c>
      <c r="W3605" s="44">
        <f>IF(Mecze[[#This Row],[Role]]&lt;&gt;"BR",SUMPRODUCT(Mecze[[#This Row],[/PR:90]:[/BR:90]],Brudnopis!$E$27:$J$27),0)</f>
        <v>0.2734375</v>
      </c>
      <c r="X3605" s="44">
        <f>IF(Mecze[[#This Row],[Role]]&lt;&gt;"BR",SUMPRODUCT(Mecze[[#This Row],[/PR:90]:[/BR:90]],Brudnopis!$E$28:$J$28),0)</f>
        <v>9.375E-2</v>
      </c>
      <c r="Y3605" s="35">
        <f>IF(Mecze[[#This Row],[Role]]="BR",Mecze[[#This Row],[/OB:90]]+Mecze[[#This Row],[/PC:90]],SUM(Mecze[[#This Row],[/PR:90]:[/BR:90]]))</f>
        <v>0.27083333333333331</v>
      </c>
      <c r="Z3605" s="35">
        <f>IF(Mecze[[#This Row],[KC]]=0,SUM(Mecze[[#This Row],[/BRI]:[/NPI]]),SUM(Mecze[[#This Row],[/BRI]:[/NPI]])*0.6)</f>
        <v>1.2578125</v>
      </c>
      <c r="AA3605" s="10">
        <f>IFERROR(Mecze[[#This Row],[BR]]/Mecze[[#This Row],[ST]],0)</f>
        <v>0</v>
      </c>
      <c r="AB3605">
        <f>ROUND(Mecze[[#This Row],[PD]]*Mecze[[#This Row],[%PC]],0)</f>
        <v>9</v>
      </c>
      <c r="AC3605">
        <f>ROUND(Mecze[[#This Row],[OD]]*Mecze[[#This Row],[%OU]],0)</f>
        <v>6</v>
      </c>
      <c r="AD3605" s="36" t="s">
        <v>47</v>
      </c>
      <c r="AE3605" s="36">
        <v>203</v>
      </c>
      <c r="AF3605" s="71">
        <v>6.13</v>
      </c>
      <c r="AG3605" s="37">
        <v>0</v>
      </c>
      <c r="AH3605" s="37">
        <v>0</v>
      </c>
      <c r="AI3605" s="37">
        <v>96</v>
      </c>
      <c r="AJ3605" s="37">
        <v>1</v>
      </c>
      <c r="AK3605" s="37" t="str">
        <f>VLOOKUP(Mecze[[#This Row],[Match ID]],Meczusie[Mecz]:Meczusie[RodzajMeczu],2,FALSE)</f>
        <v>Towarzyski</v>
      </c>
    </row>
    <row r="3606" spans="1:37" x14ac:dyDescent="0.25">
      <c r="A3606" s="76">
        <v>3</v>
      </c>
      <c r="B3606" s="3" t="s">
        <v>158</v>
      </c>
      <c r="C3606" s="2" t="s">
        <v>157</v>
      </c>
      <c r="D3606" s="1">
        <v>0</v>
      </c>
      <c r="E3606" s="1">
        <v>0</v>
      </c>
      <c r="F3606" s="1">
        <v>0</v>
      </c>
      <c r="G3606" s="1">
        <v>1</v>
      </c>
      <c r="H3606" s="4">
        <v>0</v>
      </c>
      <c r="I3606" s="1">
        <v>3</v>
      </c>
      <c r="J3606" s="4">
        <v>0</v>
      </c>
      <c r="K3606" s="1">
        <v>0</v>
      </c>
      <c r="L3606" s="1">
        <v>1</v>
      </c>
      <c r="M3606" s="32">
        <f>IF(Mecze[[#This Row],[PR]]=0,0,Mecze[[#This Row],[PR]]/Mecze[[#This Row],[CZAS]])</f>
        <v>1.0416666666666666E-2</v>
      </c>
      <c r="N3606" s="32">
        <f>IF(Mecze[[#This Row],[OU]]=0,0,Mecze[[#This Row],[OU]]/Mecze[[#This Row],[CZAS]])</f>
        <v>0</v>
      </c>
      <c r="O3606" s="32">
        <f>IF(Mecze[[#This Row],[PC]]=0,0,Mecze[[#This Row],[PC]]/Mecze[[#This Row],[CZAS]])</f>
        <v>0</v>
      </c>
      <c r="P3606" s="32">
        <f>IF(Mecze[[#This Row],[SC]]=0,0,Mecze[[#This Row],[SC]]/Mecze[[#This Row],[CZAS]])</f>
        <v>0</v>
      </c>
      <c r="Q3606" s="32">
        <f>IF(Mecze[[#This Row],[OB]]=0,0,Mecze[[#This Row],[OB]]/Mecze[[#This Row],[CZAS]])</f>
        <v>0</v>
      </c>
      <c r="R3606" s="32">
        <f>IF(Mecze[[#This Row],[BR]]=0,0,Mecze[[#This Row],[BR]]/Mecze[[#This Row],[CZAS]])</f>
        <v>0</v>
      </c>
      <c r="S3606" s="44">
        <f>IF(Mecze[[#This Row],[Role]]="BR",SUMPRODUCT(Mecze[[#This Row],[/PR:90]:[/BR:90]],Brudnopis!$E$23:$J$23),0)</f>
        <v>0</v>
      </c>
      <c r="T3606" s="44">
        <f>IF(Mecze[[#This Row],[Role]]&lt;&gt;"BR",SUMPRODUCT(Mecze[[#This Row],[/PR:90]:[/BR:90]],Brudnopis!$E$24:$J$24),0)</f>
        <v>1.0416666666666666E-2</v>
      </c>
      <c r="U3606" s="44">
        <f>IF(Mecze[[#This Row],[Role]]&lt;&gt;"BR",SUMPRODUCT(Mecze[[#This Row],[/PR:90]:[/BR:90]],Brudnopis!$E$25:$J$25),0)</f>
        <v>1.0416666666666666E-2</v>
      </c>
      <c r="V3606" s="44">
        <f>IF(Mecze[[#This Row],[Role]]&lt;&gt;"BR",SUMPRODUCT(Mecze[[#This Row],[/PR:90]:[/BR:90]],Brudnopis!$E$26:$J$26),0)</f>
        <v>1.0416666666666666E-2</v>
      </c>
      <c r="W3606" s="44">
        <f>IF(Mecze[[#This Row],[Role]]&lt;&gt;"BR",SUMPRODUCT(Mecze[[#This Row],[/PR:90]:[/BR:90]],Brudnopis!$E$27:$J$27),0)</f>
        <v>7.8125E-3</v>
      </c>
      <c r="X3606" s="44">
        <f>IF(Mecze[[#This Row],[Role]]&lt;&gt;"BR",SUMPRODUCT(Mecze[[#This Row],[/PR:90]:[/BR:90]],Brudnopis!$E$28:$J$28),0)</f>
        <v>0</v>
      </c>
      <c r="Y3606" s="35">
        <f>IF(Mecze[[#This Row],[Role]]="BR",Mecze[[#This Row],[/OB:90]]+Mecze[[#This Row],[/PC:90]],SUM(Mecze[[#This Row],[/PR:90]:[/BR:90]]))</f>
        <v>1.0416666666666666E-2</v>
      </c>
      <c r="Z3606" s="35">
        <f>IF(Mecze[[#This Row],[KC]]=0,SUM(Mecze[[#This Row],[/BRI]:[/NPI]]),SUM(Mecze[[#This Row],[/BRI]:[/NPI]])*0.6)</f>
        <v>3.90625E-2</v>
      </c>
      <c r="AA3606" s="10">
        <f>IFERROR(Mecze[[#This Row],[BR]]/Mecze[[#This Row],[ST]],0)</f>
        <v>0</v>
      </c>
      <c r="AB3606">
        <f>ROUND(Mecze[[#This Row],[PD]]*Mecze[[#This Row],[%PC]],0)</f>
        <v>0</v>
      </c>
      <c r="AC3606">
        <f>ROUND(Mecze[[#This Row],[OD]]*Mecze[[#This Row],[%OU]],0)</f>
        <v>0</v>
      </c>
      <c r="AD3606" s="36" t="s">
        <v>174</v>
      </c>
      <c r="AE3606" s="36">
        <v>203</v>
      </c>
      <c r="AF3606" s="71">
        <v>2.91</v>
      </c>
      <c r="AG3606" s="37">
        <v>0</v>
      </c>
      <c r="AH3606" s="37">
        <v>0</v>
      </c>
      <c r="AI3606" s="37">
        <v>96</v>
      </c>
      <c r="AJ3606" s="37">
        <v>1</v>
      </c>
      <c r="AK3606" s="37" t="str">
        <f>VLOOKUP(Mecze[[#This Row],[Match ID]],Meczusie[Mecz]:Meczusie[RodzajMeczu],2,FALSE)</f>
        <v>Towarzyski</v>
      </c>
    </row>
    <row r="3607" spans="1:37" x14ac:dyDescent="0.25">
      <c r="A3607" s="76">
        <v>4</v>
      </c>
      <c r="B3607" s="3" t="s">
        <v>360</v>
      </c>
      <c r="C3607" s="2" t="s">
        <v>157</v>
      </c>
      <c r="D3607" s="1">
        <v>0</v>
      </c>
      <c r="E3607" s="1">
        <v>0</v>
      </c>
      <c r="F3607" s="1">
        <v>0</v>
      </c>
      <c r="G3607" s="1">
        <v>3</v>
      </c>
      <c r="H3607" s="4">
        <v>0.67</v>
      </c>
      <c r="I3607" s="1">
        <v>7</v>
      </c>
      <c r="J3607" s="4">
        <v>0.56999999999999995</v>
      </c>
      <c r="K3607" s="1">
        <v>0</v>
      </c>
      <c r="L3607" s="1">
        <v>1</v>
      </c>
      <c r="M3607" s="32">
        <f>IF(Mecze[[#This Row],[PR]]=0,0,Mecze[[#This Row],[PR]]/Mecze[[#This Row],[CZAS]])</f>
        <v>1.0416666666666666E-2</v>
      </c>
      <c r="N3607" s="32">
        <f>IF(Mecze[[#This Row],[OU]]=0,0,Mecze[[#This Row],[OU]]/Mecze[[#This Row],[CZAS]])</f>
        <v>4.1666666666666664E-2</v>
      </c>
      <c r="O3607" s="32">
        <f>IF(Mecze[[#This Row],[PC]]=0,0,Mecze[[#This Row],[PC]]/Mecze[[#This Row],[CZAS]])</f>
        <v>2.0833333333333332E-2</v>
      </c>
      <c r="P3607" s="32">
        <f>IF(Mecze[[#This Row],[SC]]=0,0,Mecze[[#This Row],[SC]]/Mecze[[#This Row],[CZAS]])</f>
        <v>0</v>
      </c>
      <c r="Q3607" s="32">
        <f>IF(Mecze[[#This Row],[OB]]=0,0,Mecze[[#This Row],[OB]]/Mecze[[#This Row],[CZAS]])</f>
        <v>0</v>
      </c>
      <c r="R3607" s="32">
        <f>IF(Mecze[[#This Row],[BR]]=0,0,Mecze[[#This Row],[BR]]/Mecze[[#This Row],[CZAS]])</f>
        <v>0</v>
      </c>
      <c r="S3607" s="44">
        <f>IF(Mecze[[#This Row],[Role]]="BR",SUMPRODUCT(Mecze[[#This Row],[/PR:90]:[/BR:90]],Brudnopis!$E$23:$J$23),0)</f>
        <v>0</v>
      </c>
      <c r="T3607" s="44">
        <f>IF(Mecze[[#This Row],[Role]]&lt;&gt;"BR",SUMPRODUCT(Mecze[[#This Row],[/PR:90]:[/BR:90]],Brudnopis!$E$24:$J$24),0)</f>
        <v>9.375E-2</v>
      </c>
      <c r="U3607" s="44">
        <f>IF(Mecze[[#This Row],[Role]]&lt;&gt;"BR",SUMPRODUCT(Mecze[[#This Row],[/PR:90]:[/BR:90]],Brudnopis!$E$25:$J$25),0)</f>
        <v>8.3333333333333329E-2</v>
      </c>
      <c r="V3607" s="44">
        <f>IF(Mecze[[#This Row],[Role]]&lt;&gt;"BR",SUMPRODUCT(Mecze[[#This Row],[/PR:90]:[/BR:90]],Brudnopis!$E$26:$J$26),0)</f>
        <v>7.2916666666666657E-2</v>
      </c>
      <c r="W3607" s="44">
        <f>IF(Mecze[[#This Row],[Role]]&lt;&gt;"BR",SUMPRODUCT(Mecze[[#This Row],[/PR:90]:[/BR:90]],Brudnopis!$E$27:$J$27),0)</f>
        <v>7.03125E-2</v>
      </c>
      <c r="X3607" s="44">
        <f>IF(Mecze[[#This Row],[Role]]&lt;&gt;"BR",SUMPRODUCT(Mecze[[#This Row],[/PR:90]:[/BR:90]],Brudnopis!$E$28:$J$28),0)</f>
        <v>2.0833333333333332E-2</v>
      </c>
      <c r="Y3607" s="35">
        <f>IF(Mecze[[#This Row],[Role]]="BR",Mecze[[#This Row],[/OB:90]]+Mecze[[#This Row],[/PC:90]],SUM(Mecze[[#This Row],[/PR:90]:[/BR:90]]))</f>
        <v>7.2916666666666657E-2</v>
      </c>
      <c r="Z3607" s="35">
        <f>IF(Mecze[[#This Row],[KC]]=0,SUM(Mecze[[#This Row],[/BRI]:[/NPI]]),SUM(Mecze[[#This Row],[/BRI]:[/NPI]])*0.6)</f>
        <v>0.34114583333333331</v>
      </c>
      <c r="AA3607" s="10">
        <f>IFERROR(Mecze[[#This Row],[BR]]/Mecze[[#This Row],[ST]],0)</f>
        <v>0</v>
      </c>
      <c r="AB3607">
        <f>ROUND(Mecze[[#This Row],[PD]]*Mecze[[#This Row],[%PC]],0)</f>
        <v>2</v>
      </c>
      <c r="AC3607">
        <f>ROUND(Mecze[[#This Row],[OD]]*Mecze[[#This Row],[%OU]],0)</f>
        <v>4</v>
      </c>
      <c r="AD3607" s="36" t="s">
        <v>175</v>
      </c>
      <c r="AE3607" s="36">
        <v>203</v>
      </c>
      <c r="AF3607" s="71">
        <v>4.03</v>
      </c>
      <c r="AG3607" s="37">
        <v>0</v>
      </c>
      <c r="AH3607" s="37">
        <v>0</v>
      </c>
      <c r="AI3607" s="37">
        <v>96</v>
      </c>
      <c r="AJ3607" s="37">
        <v>1</v>
      </c>
      <c r="AK3607" s="37" t="str">
        <f>VLOOKUP(Mecze[[#This Row],[Match ID]],Meczusie[Mecz]:Meczusie[RodzajMeczu],2,FALSE)</f>
        <v>Towarzyski</v>
      </c>
    </row>
    <row r="3608" spans="1:37" x14ac:dyDescent="0.25">
      <c r="A3608" s="76">
        <v>15</v>
      </c>
      <c r="B3608" s="3" t="s">
        <v>170</v>
      </c>
      <c r="C3608" s="2" t="s">
        <v>160</v>
      </c>
      <c r="D3608" s="1">
        <v>0</v>
      </c>
      <c r="E3608" s="1">
        <v>0</v>
      </c>
      <c r="F3608" s="1">
        <v>0</v>
      </c>
      <c r="G3608" s="1">
        <v>20</v>
      </c>
      <c r="H3608" s="4">
        <v>0.55000000000000004</v>
      </c>
      <c r="I3608" s="1">
        <v>5</v>
      </c>
      <c r="J3608" s="4">
        <v>0.6</v>
      </c>
      <c r="K3608" s="1">
        <v>0</v>
      </c>
      <c r="L3608" s="1">
        <v>3</v>
      </c>
      <c r="M3608" s="32">
        <f>IF(Mecze[[#This Row],[PR]]=0,0,Mecze[[#This Row],[PR]]/Mecze[[#This Row],[CZAS]])</f>
        <v>3.125E-2</v>
      </c>
      <c r="N3608" s="32">
        <f>IF(Mecze[[#This Row],[OU]]=0,0,Mecze[[#This Row],[OU]]/Mecze[[#This Row],[CZAS]])</f>
        <v>3.125E-2</v>
      </c>
      <c r="O3608" s="32">
        <f>IF(Mecze[[#This Row],[PC]]=0,0,Mecze[[#This Row],[PC]]/Mecze[[#This Row],[CZAS]])</f>
        <v>0.11458333333333333</v>
      </c>
      <c r="P3608" s="32">
        <f>IF(Mecze[[#This Row],[SC]]=0,0,Mecze[[#This Row],[SC]]/Mecze[[#This Row],[CZAS]])</f>
        <v>0</v>
      </c>
      <c r="Q3608" s="32">
        <f>IF(Mecze[[#This Row],[OB]]=0,0,Mecze[[#This Row],[OB]]/Mecze[[#This Row],[CZAS]])</f>
        <v>0</v>
      </c>
      <c r="R3608" s="32">
        <f>IF(Mecze[[#This Row],[BR]]=0,0,Mecze[[#This Row],[BR]]/Mecze[[#This Row],[CZAS]])</f>
        <v>0</v>
      </c>
      <c r="S3608" s="44">
        <f>IF(Mecze[[#This Row],[Role]]="BR",SUMPRODUCT(Mecze[[#This Row],[/PR:90]:[/BR:90]],Brudnopis!$E$23:$J$23),0)</f>
        <v>0</v>
      </c>
      <c r="T3608" s="44">
        <f>IF(Mecze[[#This Row],[Role]]&lt;&gt;"BR",SUMPRODUCT(Mecze[[#This Row],[/PR:90]:[/BR:90]],Brudnopis!$E$24:$J$24),0)</f>
        <v>0.19270833333333331</v>
      </c>
      <c r="U3608" s="44">
        <f>IF(Mecze[[#This Row],[Role]]&lt;&gt;"BR",SUMPRODUCT(Mecze[[#This Row],[/PR:90]:[/BR:90]],Brudnopis!$E$25:$J$25),0)</f>
        <v>0.234375</v>
      </c>
      <c r="V3608" s="44">
        <f>IF(Mecze[[#This Row],[Role]]&lt;&gt;"BR",SUMPRODUCT(Mecze[[#This Row],[/PR:90]:[/BR:90]],Brudnopis!$E$26:$J$26),0)</f>
        <v>0.17708333333333331</v>
      </c>
      <c r="W3608" s="44">
        <f>IF(Mecze[[#This Row],[Role]]&lt;&gt;"BR",SUMPRODUCT(Mecze[[#This Row],[/PR:90]:[/BR:90]],Brudnopis!$E$27:$J$27),0)</f>
        <v>0.21875</v>
      </c>
      <c r="X3608" s="44">
        <f>IF(Mecze[[#This Row],[Role]]&lt;&gt;"BR",SUMPRODUCT(Mecze[[#This Row],[/PR:90]:[/BR:90]],Brudnopis!$E$28:$J$28),0)</f>
        <v>0.11458333333333333</v>
      </c>
      <c r="Y3608" s="35">
        <f>IF(Mecze[[#This Row],[Role]]="BR",Mecze[[#This Row],[/OB:90]]+Mecze[[#This Row],[/PC:90]],SUM(Mecze[[#This Row],[/PR:90]:[/BR:90]]))</f>
        <v>0.17708333333333331</v>
      </c>
      <c r="Z3608" s="35">
        <f>IF(Mecze[[#This Row],[KC]]=0,SUM(Mecze[[#This Row],[/BRI]:[/NPI]]),SUM(Mecze[[#This Row],[/BRI]:[/NPI]])*0.6)</f>
        <v>0.9375</v>
      </c>
      <c r="AA3608" s="10">
        <f>IFERROR(Mecze[[#This Row],[BR]]/Mecze[[#This Row],[ST]],0)</f>
        <v>0</v>
      </c>
      <c r="AB3608">
        <f>ROUND(Mecze[[#This Row],[PD]]*Mecze[[#This Row],[%PC]],0)</f>
        <v>11</v>
      </c>
      <c r="AC3608">
        <f>ROUND(Mecze[[#This Row],[OD]]*Mecze[[#This Row],[%OU]],0)</f>
        <v>3</v>
      </c>
      <c r="AD3608" s="36" t="s">
        <v>41</v>
      </c>
      <c r="AE3608" s="36">
        <v>203</v>
      </c>
      <c r="AF3608" s="71">
        <v>4.54</v>
      </c>
      <c r="AG3608" s="37">
        <v>0</v>
      </c>
      <c r="AH3608" s="37">
        <v>0</v>
      </c>
      <c r="AI3608" s="37">
        <v>96</v>
      </c>
      <c r="AJ3608" s="37">
        <v>1</v>
      </c>
      <c r="AK3608" s="37" t="str">
        <f>VLOOKUP(Mecze[[#This Row],[Match ID]],Meczusie[Mecz]:Meczusie[RodzajMeczu],2,FALSE)</f>
        <v>Towarzyski</v>
      </c>
    </row>
    <row r="3609" spans="1:37" x14ac:dyDescent="0.25">
      <c r="A3609" s="76">
        <v>60</v>
      </c>
      <c r="B3609" s="3" t="s">
        <v>515</v>
      </c>
      <c r="C3609" s="2" t="s">
        <v>160</v>
      </c>
      <c r="D3609" s="1">
        <v>0</v>
      </c>
      <c r="E3609" s="1">
        <v>0</v>
      </c>
      <c r="F3609" s="1">
        <v>0</v>
      </c>
      <c r="G3609" s="1">
        <v>5</v>
      </c>
      <c r="H3609" s="4">
        <v>0.6</v>
      </c>
      <c r="I3609" s="1">
        <v>1</v>
      </c>
      <c r="J3609" s="4">
        <v>0</v>
      </c>
      <c r="K3609" s="1">
        <v>0</v>
      </c>
      <c r="L3609" s="1">
        <v>4</v>
      </c>
      <c r="M3609" s="32">
        <f>IF(Mecze[[#This Row],[PR]]=0,0,Mecze[[#This Row],[PR]]/Mecze[[#This Row],[CZAS]])</f>
        <v>4.1666666666666664E-2</v>
      </c>
      <c r="N3609" s="32">
        <f>IF(Mecze[[#This Row],[OU]]=0,0,Mecze[[#This Row],[OU]]/Mecze[[#This Row],[CZAS]])</f>
        <v>0</v>
      </c>
      <c r="O3609" s="32">
        <f>IF(Mecze[[#This Row],[PC]]=0,0,Mecze[[#This Row],[PC]]/Mecze[[#This Row],[CZAS]])</f>
        <v>3.125E-2</v>
      </c>
      <c r="P3609" s="32">
        <f>IF(Mecze[[#This Row],[SC]]=0,0,Mecze[[#This Row],[SC]]/Mecze[[#This Row],[CZAS]])</f>
        <v>0</v>
      </c>
      <c r="Q3609" s="32">
        <f>IF(Mecze[[#This Row],[OB]]=0,0,Mecze[[#This Row],[OB]]/Mecze[[#This Row],[CZAS]])</f>
        <v>0</v>
      </c>
      <c r="R3609" s="32">
        <f>IF(Mecze[[#This Row],[BR]]=0,0,Mecze[[#This Row],[BR]]/Mecze[[#This Row],[CZAS]])</f>
        <v>0</v>
      </c>
      <c r="S3609" s="44">
        <f>IF(Mecze[[#This Row],[Role]]="BR",SUMPRODUCT(Mecze[[#This Row],[/PR:90]:[/BR:90]],Brudnopis!$E$23:$J$23),0)</f>
        <v>0</v>
      </c>
      <c r="T3609" s="44">
        <f>IF(Mecze[[#This Row],[Role]]&lt;&gt;"BR",SUMPRODUCT(Mecze[[#This Row],[/PR:90]:[/BR:90]],Brudnopis!$E$24:$J$24),0)</f>
        <v>7.2916666666666657E-2</v>
      </c>
      <c r="U3609" s="44">
        <f>IF(Mecze[[#This Row],[Role]]&lt;&gt;"BR",SUMPRODUCT(Mecze[[#This Row],[/PR:90]:[/BR:90]],Brudnopis!$E$25:$J$25),0)</f>
        <v>8.8541666666666657E-2</v>
      </c>
      <c r="V3609" s="44">
        <f>IF(Mecze[[#This Row],[Role]]&lt;&gt;"BR",SUMPRODUCT(Mecze[[#This Row],[/PR:90]:[/BR:90]],Brudnopis!$E$26:$J$26),0)</f>
        <v>7.2916666666666657E-2</v>
      </c>
      <c r="W3609" s="44">
        <f>IF(Mecze[[#This Row],[Role]]&lt;&gt;"BR",SUMPRODUCT(Mecze[[#This Row],[/PR:90]:[/BR:90]],Brudnopis!$E$27:$J$27),0)</f>
        <v>7.8125E-2</v>
      </c>
      <c r="X3609" s="44">
        <f>IF(Mecze[[#This Row],[Role]]&lt;&gt;"BR",SUMPRODUCT(Mecze[[#This Row],[/PR:90]:[/BR:90]],Brudnopis!$E$28:$J$28),0)</f>
        <v>3.125E-2</v>
      </c>
      <c r="Y3609" s="35">
        <f>IF(Mecze[[#This Row],[Role]]="BR",Mecze[[#This Row],[/OB:90]]+Mecze[[#This Row],[/PC:90]],SUM(Mecze[[#This Row],[/PR:90]:[/BR:90]]))</f>
        <v>7.2916666666666657E-2</v>
      </c>
      <c r="Z3609" s="35">
        <f>IF(Mecze[[#This Row],[KC]]=0,SUM(Mecze[[#This Row],[/BRI]:[/NPI]]),SUM(Mecze[[#This Row],[/BRI]:[/NPI]])*0.6)</f>
        <v>0.34375</v>
      </c>
      <c r="AA3609" s="10">
        <f>IFERROR(Mecze[[#This Row],[BR]]/Mecze[[#This Row],[ST]],0)</f>
        <v>0</v>
      </c>
      <c r="AB3609">
        <f>ROUND(Mecze[[#This Row],[PD]]*Mecze[[#This Row],[%PC]],0)</f>
        <v>3</v>
      </c>
      <c r="AC3609">
        <f>ROUND(Mecze[[#This Row],[OD]]*Mecze[[#This Row],[%OU]],0)</f>
        <v>0</v>
      </c>
      <c r="AD3609" s="36" t="s">
        <v>172</v>
      </c>
      <c r="AE3609" s="36">
        <v>203</v>
      </c>
      <c r="AF3609" s="71">
        <v>4.75</v>
      </c>
      <c r="AG3609" s="37">
        <v>0</v>
      </c>
      <c r="AH3609" s="37">
        <v>0</v>
      </c>
      <c r="AI3609" s="37">
        <v>96</v>
      </c>
      <c r="AJ3609" s="37">
        <v>1</v>
      </c>
      <c r="AK3609" s="37" t="str">
        <f>VLOOKUP(Mecze[[#This Row],[Match ID]],Meczusie[Mecz]:Meczusie[RodzajMeczu],2,FALSE)</f>
        <v>Towarzyski</v>
      </c>
    </row>
    <row r="3610" spans="1:37" x14ac:dyDescent="0.25">
      <c r="A3610" s="76">
        <v>13</v>
      </c>
      <c r="B3610" s="3" t="s">
        <v>162</v>
      </c>
      <c r="C3610" s="2" t="s">
        <v>160</v>
      </c>
      <c r="D3610" s="1">
        <v>0</v>
      </c>
      <c r="E3610" s="1">
        <v>0</v>
      </c>
      <c r="F3610" s="1">
        <v>0</v>
      </c>
      <c r="G3610" s="1">
        <v>10</v>
      </c>
      <c r="H3610" s="4">
        <v>0.7</v>
      </c>
      <c r="I3610" s="1">
        <v>4</v>
      </c>
      <c r="J3610" s="4">
        <v>0.75</v>
      </c>
      <c r="K3610" s="1">
        <v>0</v>
      </c>
      <c r="L3610" s="1">
        <v>3</v>
      </c>
      <c r="M3610" s="32">
        <f>IF(Mecze[[#This Row],[PR]]=0,0,Mecze[[#This Row],[PR]]/Mecze[[#This Row],[CZAS]])</f>
        <v>3.125E-2</v>
      </c>
      <c r="N3610" s="32">
        <f>IF(Mecze[[#This Row],[OU]]=0,0,Mecze[[#This Row],[OU]]/Mecze[[#This Row],[CZAS]])</f>
        <v>3.125E-2</v>
      </c>
      <c r="O3610" s="32">
        <f>IF(Mecze[[#This Row],[PC]]=0,0,Mecze[[#This Row],[PC]]/Mecze[[#This Row],[CZAS]])</f>
        <v>7.2916666666666671E-2</v>
      </c>
      <c r="P3610" s="32">
        <f>IF(Mecze[[#This Row],[SC]]=0,0,Mecze[[#This Row],[SC]]/Mecze[[#This Row],[CZAS]])</f>
        <v>0</v>
      </c>
      <c r="Q3610" s="32">
        <f>IF(Mecze[[#This Row],[OB]]=0,0,Mecze[[#This Row],[OB]]/Mecze[[#This Row],[CZAS]])</f>
        <v>0</v>
      </c>
      <c r="R3610" s="32">
        <f>IF(Mecze[[#This Row],[BR]]=0,0,Mecze[[#This Row],[BR]]/Mecze[[#This Row],[CZAS]])</f>
        <v>0</v>
      </c>
      <c r="S3610" s="44">
        <f>IF(Mecze[[#This Row],[Role]]="BR",SUMPRODUCT(Mecze[[#This Row],[/PR:90]:[/BR:90]],Brudnopis!$E$23:$J$23),0)</f>
        <v>0</v>
      </c>
      <c r="T3610" s="44">
        <f>IF(Mecze[[#This Row],[Role]]&lt;&gt;"BR",SUMPRODUCT(Mecze[[#This Row],[/PR:90]:[/BR:90]],Brudnopis!$E$24:$J$24),0)</f>
        <v>0.15104166666666669</v>
      </c>
      <c r="U3610" s="44">
        <f>IF(Mecze[[#This Row],[Role]]&lt;&gt;"BR",SUMPRODUCT(Mecze[[#This Row],[/PR:90]:[/BR:90]],Brudnopis!$E$25:$J$25),0)</f>
        <v>0.171875</v>
      </c>
      <c r="V3610" s="44">
        <f>IF(Mecze[[#This Row],[Role]]&lt;&gt;"BR",SUMPRODUCT(Mecze[[#This Row],[/PR:90]:[/BR:90]],Brudnopis!$E$26:$J$26),0)</f>
        <v>0.13541666666666669</v>
      </c>
      <c r="W3610" s="44">
        <f>IF(Mecze[[#This Row],[Role]]&lt;&gt;"BR",SUMPRODUCT(Mecze[[#This Row],[/PR:90]:[/BR:90]],Brudnopis!$E$27:$J$27),0)</f>
        <v>0.15625</v>
      </c>
      <c r="X3610" s="44">
        <f>IF(Mecze[[#This Row],[Role]]&lt;&gt;"BR",SUMPRODUCT(Mecze[[#This Row],[/PR:90]:[/BR:90]],Brudnopis!$E$28:$J$28),0)</f>
        <v>7.2916666666666671E-2</v>
      </c>
      <c r="Y3610" s="35">
        <f>IF(Mecze[[#This Row],[Role]]="BR",Mecze[[#This Row],[/OB:90]]+Mecze[[#This Row],[/PC:90]],SUM(Mecze[[#This Row],[/PR:90]:[/BR:90]]))</f>
        <v>0.13541666666666669</v>
      </c>
      <c r="Z3610" s="35">
        <f>IF(Mecze[[#This Row],[KC]]=0,SUM(Mecze[[#This Row],[/BRI]:[/NPI]]),SUM(Mecze[[#This Row],[/BRI]:[/NPI]])*0.6)</f>
        <v>0.6875</v>
      </c>
      <c r="AA3610" s="10">
        <f>IFERROR(Mecze[[#This Row],[BR]]/Mecze[[#This Row],[ST]],0)</f>
        <v>0</v>
      </c>
      <c r="AB3610">
        <f>ROUND(Mecze[[#This Row],[PD]]*Mecze[[#This Row],[%PC]],0)</f>
        <v>7</v>
      </c>
      <c r="AC3610">
        <f>ROUND(Mecze[[#This Row],[OD]]*Mecze[[#This Row],[%OU]],0)</f>
        <v>3</v>
      </c>
      <c r="AD3610" s="36" t="s">
        <v>173</v>
      </c>
      <c r="AE3610" s="36">
        <v>203</v>
      </c>
      <c r="AF3610" s="71">
        <v>4.54</v>
      </c>
      <c r="AG3610" s="37">
        <v>0</v>
      </c>
      <c r="AH3610" s="37">
        <v>0</v>
      </c>
      <c r="AI3610" s="37">
        <v>96</v>
      </c>
      <c r="AJ3610" s="37">
        <v>1</v>
      </c>
      <c r="AK3610" s="37" t="str">
        <f>VLOOKUP(Mecze[[#This Row],[Match ID]],Meczusie[Mecz]:Meczusie[RodzajMeczu],2,FALSE)</f>
        <v>Towarzyski</v>
      </c>
    </row>
    <row r="3611" spans="1:37" x14ac:dyDescent="0.25">
      <c r="A3611" s="76">
        <v>9</v>
      </c>
      <c r="B3611" s="3" t="s">
        <v>411</v>
      </c>
      <c r="C3611" s="2" t="s">
        <v>160</v>
      </c>
      <c r="D3611" s="1">
        <v>0</v>
      </c>
      <c r="E3611" s="1">
        <v>1</v>
      </c>
      <c r="F3611" s="1">
        <v>0</v>
      </c>
      <c r="G3611" s="1">
        <v>8</v>
      </c>
      <c r="H3611" s="4">
        <v>0.38</v>
      </c>
      <c r="I3611" s="1">
        <v>5</v>
      </c>
      <c r="J3611" s="4">
        <v>0.4</v>
      </c>
      <c r="K3611" s="1">
        <v>0</v>
      </c>
      <c r="L3611" s="1">
        <v>1</v>
      </c>
      <c r="M3611" s="32">
        <f>IF(Mecze[[#This Row],[PR]]=0,0,Mecze[[#This Row],[PR]]/Mecze[[#This Row],[CZAS]])</f>
        <v>1.0416666666666666E-2</v>
      </c>
      <c r="N3611" s="32">
        <f>IF(Mecze[[#This Row],[OU]]=0,0,Mecze[[#This Row],[OU]]/Mecze[[#This Row],[CZAS]])</f>
        <v>2.0833333333333332E-2</v>
      </c>
      <c r="O3611" s="32">
        <f>IF(Mecze[[#This Row],[PC]]=0,0,Mecze[[#This Row],[PC]]/Mecze[[#This Row],[CZAS]])</f>
        <v>3.125E-2</v>
      </c>
      <c r="P3611" s="32">
        <f>IF(Mecze[[#This Row],[SC]]=0,0,Mecze[[#This Row],[SC]]/Mecze[[#This Row],[CZAS]])</f>
        <v>0</v>
      </c>
      <c r="Q3611" s="32">
        <f>IF(Mecze[[#This Row],[OB]]=0,0,Mecze[[#This Row],[OB]]/Mecze[[#This Row],[CZAS]])</f>
        <v>0</v>
      </c>
      <c r="R3611" s="32">
        <f>IF(Mecze[[#This Row],[BR]]=0,0,Mecze[[#This Row],[BR]]/Mecze[[#This Row],[CZAS]])</f>
        <v>0</v>
      </c>
      <c r="S3611" s="44">
        <f>IF(Mecze[[#This Row],[Role]]="BR",SUMPRODUCT(Mecze[[#This Row],[/PR:90]:[/BR:90]],Brudnopis!$E$23:$J$23),0)</f>
        <v>0</v>
      </c>
      <c r="T3611" s="44">
        <f>IF(Mecze[[#This Row],[Role]]&lt;&gt;"BR",SUMPRODUCT(Mecze[[#This Row],[/PR:90]:[/BR:90]],Brudnopis!$E$24:$J$24),0)</f>
        <v>7.2916666666666657E-2</v>
      </c>
      <c r="U3611" s="44">
        <f>IF(Mecze[[#This Row],[Role]]&lt;&gt;"BR",SUMPRODUCT(Mecze[[#This Row],[/PR:90]:[/BR:90]],Brudnopis!$E$25:$J$25),0)</f>
        <v>7.8125E-2</v>
      </c>
      <c r="V3611" s="44">
        <f>IF(Mecze[[#This Row],[Role]]&lt;&gt;"BR",SUMPRODUCT(Mecze[[#This Row],[/PR:90]:[/BR:90]],Brudnopis!$E$26:$J$26),0)</f>
        <v>6.25E-2</v>
      </c>
      <c r="W3611" s="44">
        <f>IF(Mecze[[#This Row],[Role]]&lt;&gt;"BR",SUMPRODUCT(Mecze[[#This Row],[/PR:90]:[/BR:90]],Brudnopis!$E$27:$J$27),0)</f>
        <v>7.03125E-2</v>
      </c>
      <c r="X3611" s="44">
        <f>IF(Mecze[[#This Row],[Role]]&lt;&gt;"BR",SUMPRODUCT(Mecze[[#This Row],[/PR:90]:[/BR:90]],Brudnopis!$E$28:$J$28),0)</f>
        <v>3.125E-2</v>
      </c>
      <c r="Y3611" s="35">
        <f>IF(Mecze[[#This Row],[Role]]="BR",Mecze[[#This Row],[/OB:90]]+Mecze[[#This Row],[/PC:90]],SUM(Mecze[[#This Row],[/PR:90]:[/BR:90]]))</f>
        <v>6.25E-2</v>
      </c>
      <c r="Z3611" s="35">
        <f>IF(Mecze[[#This Row],[KC]]=0,SUM(Mecze[[#This Row],[/BRI]:[/NPI]]),SUM(Mecze[[#This Row],[/BRI]:[/NPI]])*0.6)</f>
        <v>0.31510416666666663</v>
      </c>
      <c r="AA3611" s="10">
        <f>IFERROR(Mecze[[#This Row],[BR]]/Mecze[[#This Row],[ST]],0)</f>
        <v>0</v>
      </c>
      <c r="AB3611">
        <f>ROUND(Mecze[[#This Row],[PD]]*Mecze[[#This Row],[%PC]],0)</f>
        <v>3</v>
      </c>
      <c r="AC3611">
        <f>ROUND(Mecze[[#This Row],[OD]]*Mecze[[#This Row],[%OU]],0)</f>
        <v>2</v>
      </c>
      <c r="AD3611" s="36" t="s">
        <v>44</v>
      </c>
      <c r="AE3611" s="36">
        <v>203</v>
      </c>
      <c r="AF3611" s="71">
        <v>2.91</v>
      </c>
      <c r="AG3611" s="37">
        <v>0</v>
      </c>
      <c r="AH3611" s="37">
        <v>0</v>
      </c>
      <c r="AI3611" s="37">
        <v>96</v>
      </c>
      <c r="AJ3611" s="37">
        <v>1</v>
      </c>
      <c r="AK3611" s="37" t="str">
        <f>VLOOKUP(Mecze[[#This Row],[Match ID]],Meczusie[Mecz]:Meczusie[RodzajMeczu],2,FALSE)</f>
        <v>Towarzyski</v>
      </c>
    </row>
    <row r="3612" spans="1:37" x14ac:dyDescent="0.25">
      <c r="A3612" s="76">
        <v>14</v>
      </c>
      <c r="B3612" s="3" t="s">
        <v>164</v>
      </c>
      <c r="C3612" s="2" t="s">
        <v>160</v>
      </c>
      <c r="D3612" s="1">
        <v>0</v>
      </c>
      <c r="E3612" s="1">
        <v>0</v>
      </c>
      <c r="F3612" s="1">
        <v>0</v>
      </c>
      <c r="G3612" s="1">
        <v>7</v>
      </c>
      <c r="H3612" s="4">
        <v>0.56999999999999995</v>
      </c>
      <c r="I3612" s="1">
        <v>7</v>
      </c>
      <c r="J3612" s="4">
        <v>0.14000000000000001</v>
      </c>
      <c r="K3612" s="1">
        <v>0</v>
      </c>
      <c r="L3612" s="1">
        <v>1</v>
      </c>
      <c r="M3612" s="32">
        <f>IF(Mecze[[#This Row],[PR]]=0,0,Mecze[[#This Row],[PR]]/Mecze[[#This Row],[CZAS]])</f>
        <v>1.0416666666666666E-2</v>
      </c>
      <c r="N3612" s="32">
        <f>IF(Mecze[[#This Row],[OU]]=0,0,Mecze[[#This Row],[OU]]/Mecze[[#This Row],[CZAS]])</f>
        <v>1.0416666666666666E-2</v>
      </c>
      <c r="O3612" s="32">
        <f>IF(Mecze[[#This Row],[PC]]=0,0,Mecze[[#This Row],[PC]]/Mecze[[#This Row],[CZAS]])</f>
        <v>4.1666666666666664E-2</v>
      </c>
      <c r="P3612" s="32">
        <f>IF(Mecze[[#This Row],[SC]]=0,0,Mecze[[#This Row],[SC]]/Mecze[[#This Row],[CZAS]])</f>
        <v>0</v>
      </c>
      <c r="Q3612" s="32">
        <f>IF(Mecze[[#This Row],[OB]]=0,0,Mecze[[#This Row],[OB]]/Mecze[[#This Row],[CZAS]])</f>
        <v>0</v>
      </c>
      <c r="R3612" s="32">
        <f>IF(Mecze[[#This Row],[BR]]=0,0,Mecze[[#This Row],[BR]]/Mecze[[#This Row],[CZAS]])</f>
        <v>0</v>
      </c>
      <c r="S3612" s="44">
        <f>IF(Mecze[[#This Row],[Role]]="BR",SUMPRODUCT(Mecze[[#This Row],[/PR:90]:[/BR:90]],Brudnopis!$E$23:$J$23),0)</f>
        <v>0</v>
      </c>
      <c r="T3612" s="44">
        <f>IF(Mecze[[#This Row],[Role]]&lt;&gt;"BR",SUMPRODUCT(Mecze[[#This Row],[/PR:90]:[/BR:90]],Brudnopis!$E$24:$J$24),0)</f>
        <v>6.7708333333333329E-2</v>
      </c>
      <c r="U3612" s="44">
        <f>IF(Mecze[[#This Row],[Role]]&lt;&gt;"BR",SUMPRODUCT(Mecze[[#This Row],[/PR:90]:[/BR:90]],Brudnopis!$E$25:$J$25),0)</f>
        <v>8.3333333333333329E-2</v>
      </c>
      <c r="V3612" s="44">
        <f>IF(Mecze[[#This Row],[Role]]&lt;&gt;"BR",SUMPRODUCT(Mecze[[#This Row],[/PR:90]:[/BR:90]],Brudnopis!$E$26:$J$26),0)</f>
        <v>6.25E-2</v>
      </c>
      <c r="W3612" s="44">
        <f>IF(Mecze[[#This Row],[Role]]&lt;&gt;"BR",SUMPRODUCT(Mecze[[#This Row],[/PR:90]:[/BR:90]],Brudnopis!$E$27:$J$27),0)</f>
        <v>7.8125E-2</v>
      </c>
      <c r="X3612" s="44">
        <f>IF(Mecze[[#This Row],[Role]]&lt;&gt;"BR",SUMPRODUCT(Mecze[[#This Row],[/PR:90]:[/BR:90]],Brudnopis!$E$28:$J$28),0)</f>
        <v>4.1666666666666664E-2</v>
      </c>
      <c r="Y3612" s="35">
        <f>IF(Mecze[[#This Row],[Role]]="BR",Mecze[[#This Row],[/OB:90]]+Mecze[[#This Row],[/PC:90]],SUM(Mecze[[#This Row],[/PR:90]:[/BR:90]]))</f>
        <v>6.25E-2</v>
      </c>
      <c r="Z3612" s="35">
        <f>IF(Mecze[[#This Row],[KC]]=0,SUM(Mecze[[#This Row],[/BRI]:[/NPI]]),SUM(Mecze[[#This Row],[/BRI]:[/NPI]])*0.6)</f>
        <v>0.33333333333333331</v>
      </c>
      <c r="AA3612" s="10">
        <f>IFERROR(Mecze[[#This Row],[BR]]/Mecze[[#This Row],[ST]],0)</f>
        <v>0</v>
      </c>
      <c r="AB3612">
        <f>ROUND(Mecze[[#This Row],[PD]]*Mecze[[#This Row],[%PC]],0)</f>
        <v>4</v>
      </c>
      <c r="AC3612">
        <f>ROUND(Mecze[[#This Row],[OD]]*Mecze[[#This Row],[%OU]],0)</f>
        <v>1</v>
      </c>
      <c r="AD3612" s="36" t="s">
        <v>44</v>
      </c>
      <c r="AE3612" s="36">
        <v>203</v>
      </c>
      <c r="AF3612" s="71">
        <v>4.12</v>
      </c>
      <c r="AG3612" s="37">
        <v>0</v>
      </c>
      <c r="AH3612" s="37">
        <v>0</v>
      </c>
      <c r="AI3612" s="37">
        <v>96</v>
      </c>
      <c r="AJ3612" s="37">
        <v>1</v>
      </c>
      <c r="AK3612" s="37" t="str">
        <f>VLOOKUP(Mecze[[#This Row],[Match ID]],Meczusie[Mecz]:Meczusie[RodzajMeczu],2,FALSE)</f>
        <v>Towarzyski</v>
      </c>
    </row>
    <row r="3613" spans="1:37" x14ac:dyDescent="0.25">
      <c r="A3613" s="76">
        <v>19</v>
      </c>
      <c r="B3613" s="3" t="s">
        <v>166</v>
      </c>
      <c r="C3613" s="2" t="s">
        <v>165</v>
      </c>
      <c r="D3613" s="1">
        <v>0</v>
      </c>
      <c r="E3613" s="1">
        <v>10</v>
      </c>
      <c r="F3613" s="1">
        <v>6</v>
      </c>
      <c r="G3613" s="1">
        <v>7</v>
      </c>
      <c r="H3613" s="4">
        <v>0.56999999999999995</v>
      </c>
      <c r="I3613" s="1">
        <v>7</v>
      </c>
      <c r="J3613" s="4">
        <v>0.14000000000000001</v>
      </c>
      <c r="K3613" s="1">
        <v>0</v>
      </c>
      <c r="L3613" s="1">
        <v>0</v>
      </c>
      <c r="M3613" s="32">
        <f>IF(Mecze[[#This Row],[PR]]=0,0,Mecze[[#This Row],[PR]]/Mecze[[#This Row],[CZAS]])</f>
        <v>0</v>
      </c>
      <c r="N3613" s="32">
        <f>IF(Mecze[[#This Row],[OU]]=0,0,Mecze[[#This Row],[OU]]/Mecze[[#This Row],[CZAS]])</f>
        <v>1.0416666666666666E-2</v>
      </c>
      <c r="O3613" s="32">
        <f>IF(Mecze[[#This Row],[PC]]=0,0,Mecze[[#This Row],[PC]]/Mecze[[#This Row],[CZAS]])</f>
        <v>4.1666666666666664E-2</v>
      </c>
      <c r="P3613" s="32">
        <f>IF(Mecze[[#This Row],[SC]]=0,0,Mecze[[#This Row],[SC]]/Mecze[[#This Row],[CZAS]])</f>
        <v>6.25E-2</v>
      </c>
      <c r="Q3613" s="32">
        <f>IF(Mecze[[#This Row],[OB]]=0,0,Mecze[[#This Row],[OB]]/Mecze[[#This Row],[CZAS]])</f>
        <v>0</v>
      </c>
      <c r="R3613" s="32">
        <f>IF(Mecze[[#This Row],[BR]]=0,0,Mecze[[#This Row],[BR]]/Mecze[[#This Row],[CZAS]])</f>
        <v>0</v>
      </c>
      <c r="S3613" s="44">
        <f>IF(Mecze[[#This Row],[Role]]="BR",SUMPRODUCT(Mecze[[#This Row],[/PR:90]:[/BR:90]],Brudnopis!$E$23:$J$23),0)</f>
        <v>0</v>
      </c>
      <c r="T3613" s="44">
        <f>IF(Mecze[[#This Row],[Role]]&lt;&gt;"BR",SUMPRODUCT(Mecze[[#This Row],[/PR:90]:[/BR:90]],Brudnopis!$E$24:$J$24),0)</f>
        <v>0.11979166666666666</v>
      </c>
      <c r="U3613" s="44">
        <f>IF(Mecze[[#This Row],[Role]]&lt;&gt;"BR",SUMPRODUCT(Mecze[[#This Row],[/PR:90]:[/BR:90]],Brudnopis!$E$25:$J$25),0)</f>
        <v>0.13541666666666669</v>
      </c>
      <c r="V3613" s="44">
        <f>IF(Mecze[[#This Row],[Role]]&lt;&gt;"BR",SUMPRODUCT(Mecze[[#This Row],[/PR:90]:[/BR:90]],Brudnopis!$E$26:$J$26),0)</f>
        <v>0.11458333333333333</v>
      </c>
      <c r="W3613" s="44">
        <f>IF(Mecze[[#This Row],[Role]]&lt;&gt;"BR",SUMPRODUCT(Mecze[[#This Row],[/PR:90]:[/BR:90]],Brudnopis!$E$27:$J$27),0)</f>
        <v>0.1328125</v>
      </c>
      <c r="X3613" s="44">
        <f>IF(Mecze[[#This Row],[Role]]&lt;&gt;"BR",SUMPRODUCT(Mecze[[#This Row],[/PR:90]:[/BR:90]],Brudnopis!$E$28:$J$28),0)</f>
        <v>0.16666666666666666</v>
      </c>
      <c r="Y3613" s="35">
        <f>IF(Mecze[[#This Row],[Role]]="BR",Mecze[[#This Row],[/OB:90]]+Mecze[[#This Row],[/PC:90]],SUM(Mecze[[#This Row],[/PR:90]:[/BR:90]]))</f>
        <v>0.11458333333333333</v>
      </c>
      <c r="Z3613" s="35">
        <f>IF(Mecze[[#This Row],[KC]]=0,SUM(Mecze[[#This Row],[/BRI]:[/NPI]]),SUM(Mecze[[#This Row],[/BRI]:[/NPI]])*0.6)</f>
        <v>0.66927083333333337</v>
      </c>
      <c r="AA3613" s="10">
        <f>IFERROR(Mecze[[#This Row],[BR]]/Mecze[[#This Row],[ST]],0)</f>
        <v>0</v>
      </c>
      <c r="AB3613">
        <f>ROUND(Mecze[[#This Row],[PD]]*Mecze[[#This Row],[%PC]],0)</f>
        <v>4</v>
      </c>
      <c r="AC3613">
        <f>ROUND(Mecze[[#This Row],[OD]]*Mecze[[#This Row],[%OU]],0)</f>
        <v>1</v>
      </c>
      <c r="AD3613" s="36" t="s">
        <v>46</v>
      </c>
      <c r="AE3613" s="36">
        <v>203</v>
      </c>
      <c r="AF3613" s="71">
        <v>4.25</v>
      </c>
      <c r="AG3613" s="37">
        <v>1</v>
      </c>
      <c r="AH3613" s="37">
        <v>0</v>
      </c>
      <c r="AI3613" s="37">
        <v>96</v>
      </c>
      <c r="AJ3613" s="37">
        <v>1</v>
      </c>
      <c r="AK3613" s="37" t="str">
        <f>VLOOKUP(Mecze[[#This Row],[Match ID]],Meczusie[Mecz]:Meczusie[RodzajMeczu],2,FALSE)</f>
        <v>Towarzyski</v>
      </c>
    </row>
    <row r="3614" spans="1:37" x14ac:dyDescent="0.25">
      <c r="A3614" s="76">
        <v>1</v>
      </c>
      <c r="B3614" s="3" t="s">
        <v>169</v>
      </c>
      <c r="C3614" s="2" t="s">
        <v>155</v>
      </c>
      <c r="D3614" s="1">
        <v>0</v>
      </c>
      <c r="E3614" s="1">
        <v>0</v>
      </c>
      <c r="F3614" s="1">
        <v>0</v>
      </c>
      <c r="G3614" s="1">
        <v>10</v>
      </c>
      <c r="H3614" s="4">
        <v>0.4</v>
      </c>
      <c r="I3614" s="1">
        <v>0</v>
      </c>
      <c r="J3614" s="4"/>
      <c r="K3614" s="1">
        <v>9</v>
      </c>
      <c r="L3614" s="1">
        <v>0</v>
      </c>
      <c r="M3614" s="32">
        <f>IF(Mecze[[#This Row],[PR]]=0,0,Mecze[[#This Row],[PR]]/Mecze[[#This Row],[CZAS]])</f>
        <v>0</v>
      </c>
      <c r="N3614" s="32">
        <f>IF(Mecze[[#This Row],[OU]]=0,0,Mecze[[#This Row],[OU]]/Mecze[[#This Row],[CZAS]])</f>
        <v>0</v>
      </c>
      <c r="O3614" s="32">
        <f>IF(Mecze[[#This Row],[PC]]=0,0,Mecze[[#This Row],[PC]]/Mecze[[#This Row],[CZAS]])</f>
        <v>4.0404040404040407E-2</v>
      </c>
      <c r="P3614" s="32">
        <f>IF(Mecze[[#This Row],[SC]]=0,0,Mecze[[#This Row],[SC]]/Mecze[[#This Row],[CZAS]])</f>
        <v>0</v>
      </c>
      <c r="Q3614" s="32">
        <f>IF(Mecze[[#This Row],[OB]]=0,0,Mecze[[#This Row],[OB]]/Mecze[[#This Row],[CZAS]])</f>
        <v>9.0909090909090912E-2</v>
      </c>
      <c r="R3614" s="32">
        <f>IF(Mecze[[#This Row],[BR]]=0,0,Mecze[[#This Row],[BR]]/Mecze[[#This Row],[CZAS]])</f>
        <v>0</v>
      </c>
      <c r="S3614" s="44">
        <f>IF(Mecze[[#This Row],[Role]]="BR",SUMPRODUCT(Mecze[[#This Row],[/PR:90]:[/BR:90]],Brudnopis!$E$23:$J$23),0)</f>
        <v>0.39393939393939392</v>
      </c>
      <c r="T3614" s="44">
        <f>IF(Mecze[[#This Row],[Role]]&lt;&gt;"BR",SUMPRODUCT(Mecze[[#This Row],[/PR:90]:[/BR:90]],Brudnopis!$E$24:$J$24),0)</f>
        <v>0</v>
      </c>
      <c r="U3614" s="44">
        <f>IF(Mecze[[#This Row],[Role]]&lt;&gt;"BR",SUMPRODUCT(Mecze[[#This Row],[/PR:90]:[/BR:90]],Brudnopis!$E$25:$J$25),0)</f>
        <v>0</v>
      </c>
      <c r="V3614" s="44">
        <f>IF(Mecze[[#This Row],[Role]]&lt;&gt;"BR",SUMPRODUCT(Mecze[[#This Row],[/PR:90]:[/BR:90]],Brudnopis!$E$26:$J$26),0)</f>
        <v>0</v>
      </c>
      <c r="W3614" s="44">
        <f>IF(Mecze[[#This Row],[Role]]&lt;&gt;"BR",SUMPRODUCT(Mecze[[#This Row],[/PR:90]:[/BR:90]],Brudnopis!$E$27:$J$27),0)</f>
        <v>0</v>
      </c>
      <c r="X3614" s="44">
        <f>IF(Mecze[[#This Row],[Role]]&lt;&gt;"BR",SUMPRODUCT(Mecze[[#This Row],[/PR:90]:[/BR:90]],Brudnopis!$E$28:$J$28),0)</f>
        <v>0</v>
      </c>
      <c r="Y3614" s="35">
        <f>IF(Mecze[[#This Row],[Role]]="BR",Mecze[[#This Row],[/OB:90]]+Mecze[[#This Row],[/PC:90]],SUM(Mecze[[#This Row],[/PR:90]:[/BR:90]]))</f>
        <v>0.13131313131313133</v>
      </c>
      <c r="Z3614" s="35">
        <f>IF(Mecze[[#This Row],[KC]]=0,SUM(Mecze[[#This Row],[/BRI]:[/NPI]]),SUM(Mecze[[#This Row],[/BRI]:[/NPI]])*0.6)</f>
        <v>0.39393939393939392</v>
      </c>
      <c r="AA3614" s="10">
        <f>IFERROR(Mecze[[#This Row],[BR]]/Mecze[[#This Row],[ST]],0)</f>
        <v>0</v>
      </c>
      <c r="AB3614">
        <f>ROUND(Mecze[[#This Row],[PD]]*Mecze[[#This Row],[%PC]],0)</f>
        <v>4</v>
      </c>
      <c r="AC3614">
        <f>ROUND(Mecze[[#This Row],[OD]]*Mecze[[#This Row],[%OU]],0)</f>
        <v>0</v>
      </c>
      <c r="AD3614" s="36" t="s">
        <v>40</v>
      </c>
      <c r="AE3614" s="36">
        <v>204</v>
      </c>
      <c r="AF3614" s="71">
        <v>4.74</v>
      </c>
      <c r="AG3614" s="37">
        <v>0</v>
      </c>
      <c r="AH3614" s="37">
        <v>0</v>
      </c>
      <c r="AI3614" s="37">
        <v>99</v>
      </c>
      <c r="AJ3614" s="37">
        <v>1</v>
      </c>
      <c r="AK3614" s="37" t="str">
        <f>VLOOKUP(Mecze[[#This Row],[Match ID]],Meczusie[Mecz]:Meczusie[RodzajMeczu],2,FALSE)</f>
        <v>Baraże</v>
      </c>
    </row>
    <row r="3615" spans="1:37" x14ac:dyDescent="0.25">
      <c r="A3615" s="76">
        <v>5</v>
      </c>
      <c r="B3615" s="3" t="s">
        <v>161</v>
      </c>
      <c r="C3615" s="2" t="s">
        <v>157</v>
      </c>
      <c r="D3615" s="1">
        <v>0</v>
      </c>
      <c r="E3615" s="1">
        <v>0</v>
      </c>
      <c r="F3615" s="1">
        <v>0</v>
      </c>
      <c r="G3615" s="1">
        <v>11</v>
      </c>
      <c r="H3615" s="4">
        <v>0.73</v>
      </c>
      <c r="I3615" s="1">
        <v>12</v>
      </c>
      <c r="J3615" s="4">
        <v>0.5</v>
      </c>
      <c r="K3615" s="1">
        <v>0</v>
      </c>
      <c r="L3615" s="1">
        <v>3</v>
      </c>
      <c r="M3615" s="32">
        <f>IF(Mecze[[#This Row],[PR]]=0,0,Mecze[[#This Row],[PR]]/Mecze[[#This Row],[CZAS]])</f>
        <v>3.0303030303030304E-2</v>
      </c>
      <c r="N3615" s="32">
        <f>IF(Mecze[[#This Row],[OU]]=0,0,Mecze[[#This Row],[OU]]/Mecze[[#This Row],[CZAS]])</f>
        <v>6.0606060606060608E-2</v>
      </c>
      <c r="O3615" s="32">
        <f>IF(Mecze[[#This Row],[PC]]=0,0,Mecze[[#This Row],[PC]]/Mecze[[#This Row],[CZAS]])</f>
        <v>8.0808080808080815E-2</v>
      </c>
      <c r="P3615" s="32">
        <f>IF(Mecze[[#This Row],[SC]]=0,0,Mecze[[#This Row],[SC]]/Mecze[[#This Row],[CZAS]])</f>
        <v>0</v>
      </c>
      <c r="Q3615" s="32">
        <f>IF(Mecze[[#This Row],[OB]]=0,0,Mecze[[#This Row],[OB]]/Mecze[[#This Row],[CZAS]])</f>
        <v>0</v>
      </c>
      <c r="R3615" s="32">
        <f>IF(Mecze[[#This Row],[BR]]=0,0,Mecze[[#This Row],[BR]]/Mecze[[#This Row],[CZAS]])</f>
        <v>0</v>
      </c>
      <c r="S3615" s="44">
        <f>IF(Mecze[[#This Row],[Role]]="BR",SUMPRODUCT(Mecze[[#This Row],[/PR:90]:[/BR:90]],Brudnopis!$E$23:$J$23),0)</f>
        <v>0</v>
      </c>
      <c r="T3615" s="44">
        <f>IF(Mecze[[#This Row],[Role]]&lt;&gt;"BR",SUMPRODUCT(Mecze[[#This Row],[/PR:90]:[/BR:90]],Brudnopis!$E$24:$J$24),0)</f>
        <v>0.20202020202020204</v>
      </c>
      <c r="U3615" s="44">
        <f>IF(Mecze[[#This Row],[Role]]&lt;&gt;"BR",SUMPRODUCT(Mecze[[#This Row],[/PR:90]:[/BR:90]],Brudnopis!$E$25:$J$25),0)</f>
        <v>0.21212121212121213</v>
      </c>
      <c r="V3615" s="44">
        <f>IF(Mecze[[#This Row],[Role]]&lt;&gt;"BR",SUMPRODUCT(Mecze[[#This Row],[/PR:90]:[/BR:90]],Brudnopis!$E$26:$J$26),0)</f>
        <v>0.17171717171717171</v>
      </c>
      <c r="W3615" s="44">
        <f>IF(Mecze[[#This Row],[Role]]&lt;&gt;"BR",SUMPRODUCT(Mecze[[#This Row],[/PR:90]:[/BR:90]],Brudnopis!$E$27:$J$27),0)</f>
        <v>0.18939393939393939</v>
      </c>
      <c r="X3615" s="44">
        <f>IF(Mecze[[#This Row],[Role]]&lt;&gt;"BR",SUMPRODUCT(Mecze[[#This Row],[/PR:90]:[/BR:90]],Brudnopis!$E$28:$J$28),0)</f>
        <v>8.0808080808080815E-2</v>
      </c>
      <c r="Y3615" s="35">
        <f>IF(Mecze[[#This Row],[Role]]="BR",Mecze[[#This Row],[/OB:90]]+Mecze[[#This Row],[/PC:90]],SUM(Mecze[[#This Row],[/PR:90]:[/BR:90]]))</f>
        <v>0.17171717171717171</v>
      </c>
      <c r="Z3615" s="35">
        <f>IF(Mecze[[#This Row],[KC]]=0,SUM(Mecze[[#This Row],[/BRI]:[/NPI]]),SUM(Mecze[[#This Row],[/BRI]:[/NPI]])*0.6)</f>
        <v>0.85606060606060608</v>
      </c>
      <c r="AA3615" s="10">
        <f>IFERROR(Mecze[[#This Row],[BR]]/Mecze[[#This Row],[ST]],0)</f>
        <v>0</v>
      </c>
      <c r="AB3615">
        <f>ROUND(Mecze[[#This Row],[PD]]*Mecze[[#This Row],[%PC]],0)</f>
        <v>8</v>
      </c>
      <c r="AC3615">
        <f>ROUND(Mecze[[#This Row],[OD]]*Mecze[[#This Row],[%OU]],0)</f>
        <v>6</v>
      </c>
      <c r="AD3615" s="36" t="s">
        <v>47</v>
      </c>
      <c r="AE3615" s="36">
        <v>204</v>
      </c>
      <c r="AF3615" s="71">
        <v>3.34</v>
      </c>
      <c r="AG3615" s="37">
        <v>0</v>
      </c>
      <c r="AH3615" s="37">
        <v>0</v>
      </c>
      <c r="AI3615" s="37">
        <v>99</v>
      </c>
      <c r="AJ3615" s="37">
        <v>1</v>
      </c>
      <c r="AK3615" s="37" t="str">
        <f>VLOOKUP(Mecze[[#This Row],[Match ID]],Meczusie[Mecz]:Meczusie[RodzajMeczu],2,FALSE)</f>
        <v>Baraże</v>
      </c>
    </row>
    <row r="3616" spans="1:37" x14ac:dyDescent="0.25">
      <c r="A3616" s="76">
        <v>3</v>
      </c>
      <c r="B3616" s="3" t="s">
        <v>158</v>
      </c>
      <c r="C3616" s="2" t="s">
        <v>157</v>
      </c>
      <c r="D3616" s="1">
        <v>0</v>
      </c>
      <c r="E3616" s="1">
        <v>0</v>
      </c>
      <c r="F3616" s="1">
        <v>0</v>
      </c>
      <c r="G3616" s="1">
        <v>10</v>
      </c>
      <c r="H3616" s="4">
        <v>0.6</v>
      </c>
      <c r="I3616" s="1">
        <v>9</v>
      </c>
      <c r="J3616" s="4">
        <v>0.56000000000000005</v>
      </c>
      <c r="K3616" s="1">
        <v>0</v>
      </c>
      <c r="L3616" s="1">
        <v>9</v>
      </c>
      <c r="M3616" s="32">
        <f>IF(Mecze[[#This Row],[PR]]=0,0,Mecze[[#This Row],[PR]]/Mecze[[#This Row],[CZAS]])</f>
        <v>9.0909090909090912E-2</v>
      </c>
      <c r="N3616" s="32">
        <f>IF(Mecze[[#This Row],[OU]]=0,0,Mecze[[#This Row],[OU]]/Mecze[[#This Row],[CZAS]])</f>
        <v>5.0505050505050504E-2</v>
      </c>
      <c r="O3616" s="32">
        <f>IF(Mecze[[#This Row],[PC]]=0,0,Mecze[[#This Row],[PC]]/Mecze[[#This Row],[CZAS]])</f>
        <v>6.0606060606060608E-2</v>
      </c>
      <c r="P3616" s="32">
        <f>IF(Mecze[[#This Row],[SC]]=0,0,Mecze[[#This Row],[SC]]/Mecze[[#This Row],[CZAS]])</f>
        <v>0</v>
      </c>
      <c r="Q3616" s="32">
        <f>IF(Mecze[[#This Row],[OB]]=0,0,Mecze[[#This Row],[OB]]/Mecze[[#This Row],[CZAS]])</f>
        <v>0</v>
      </c>
      <c r="R3616" s="32">
        <f>IF(Mecze[[#This Row],[BR]]=0,0,Mecze[[#This Row],[BR]]/Mecze[[#This Row],[CZAS]])</f>
        <v>0</v>
      </c>
      <c r="S3616" s="44">
        <f>IF(Mecze[[#This Row],[Role]]="BR",SUMPRODUCT(Mecze[[#This Row],[/PR:90]:[/BR:90]],Brudnopis!$E$23:$J$23),0)</f>
        <v>0</v>
      </c>
      <c r="T3616" s="44">
        <f>IF(Mecze[[#This Row],[Role]]&lt;&gt;"BR",SUMPRODUCT(Mecze[[#This Row],[/PR:90]:[/BR:90]],Brudnopis!$E$24:$J$24),0)</f>
        <v>0.22727272727272729</v>
      </c>
      <c r="U3616" s="44">
        <f>IF(Mecze[[#This Row],[Role]]&lt;&gt;"BR",SUMPRODUCT(Mecze[[#This Row],[/PR:90]:[/BR:90]],Brudnopis!$E$25:$J$25),0)</f>
        <v>0.23232323232323232</v>
      </c>
      <c r="V3616" s="44">
        <f>IF(Mecze[[#This Row],[Role]]&lt;&gt;"BR",SUMPRODUCT(Mecze[[#This Row],[/PR:90]:[/BR:90]],Brudnopis!$E$26:$J$26),0)</f>
        <v>0.20202020202020202</v>
      </c>
      <c r="W3616" s="44">
        <f>IF(Mecze[[#This Row],[Role]]&lt;&gt;"BR",SUMPRODUCT(Mecze[[#This Row],[/PR:90]:[/BR:90]],Brudnopis!$E$27:$J$27),0)</f>
        <v>0.19696969696969696</v>
      </c>
      <c r="X3616" s="44">
        <f>IF(Mecze[[#This Row],[Role]]&lt;&gt;"BR",SUMPRODUCT(Mecze[[#This Row],[/PR:90]:[/BR:90]],Brudnopis!$E$28:$J$28),0)</f>
        <v>6.0606060606060608E-2</v>
      </c>
      <c r="Y3616" s="35">
        <f>IF(Mecze[[#This Row],[Role]]="BR",Mecze[[#This Row],[/OB:90]]+Mecze[[#This Row],[/PC:90]],SUM(Mecze[[#This Row],[/PR:90]:[/BR:90]]))</f>
        <v>0.20202020202020202</v>
      </c>
      <c r="Z3616" s="35">
        <f>IF(Mecze[[#This Row],[KC]]=0,SUM(Mecze[[#This Row],[/BRI]:[/NPI]]),SUM(Mecze[[#This Row],[/BRI]:[/NPI]])*0.6)</f>
        <v>0.91919191919191912</v>
      </c>
      <c r="AA3616" s="10">
        <f>IFERROR(Mecze[[#This Row],[BR]]/Mecze[[#This Row],[ST]],0)</f>
        <v>0</v>
      </c>
      <c r="AB3616">
        <f>ROUND(Mecze[[#This Row],[PD]]*Mecze[[#This Row],[%PC]],0)</f>
        <v>6</v>
      </c>
      <c r="AC3616">
        <f>ROUND(Mecze[[#This Row],[OD]]*Mecze[[#This Row],[%OU]],0)</f>
        <v>5</v>
      </c>
      <c r="AD3616" s="36" t="s">
        <v>168</v>
      </c>
      <c r="AE3616" s="36">
        <v>204</v>
      </c>
      <c r="AF3616" s="71">
        <v>4.5999999999999996</v>
      </c>
      <c r="AG3616" s="37">
        <v>0</v>
      </c>
      <c r="AH3616" s="37">
        <v>0</v>
      </c>
      <c r="AI3616" s="37">
        <v>99</v>
      </c>
      <c r="AJ3616" s="37">
        <v>1</v>
      </c>
      <c r="AK3616" s="37" t="str">
        <f>VLOOKUP(Mecze[[#This Row],[Match ID]],Meczusie[Mecz]:Meczusie[RodzajMeczu],2,FALSE)</f>
        <v>Baraże</v>
      </c>
    </row>
    <row r="3617" spans="1:37" x14ac:dyDescent="0.25">
      <c r="A3617" s="76">
        <v>18</v>
      </c>
      <c r="B3617" s="3" t="s">
        <v>211</v>
      </c>
      <c r="C3617" s="2" t="s">
        <v>157</v>
      </c>
      <c r="D3617" s="1">
        <v>0</v>
      </c>
      <c r="E3617" s="1">
        <v>0</v>
      </c>
      <c r="F3617" s="1">
        <v>0</v>
      </c>
      <c r="G3617" s="1">
        <v>4</v>
      </c>
      <c r="H3617" s="4">
        <v>0.75</v>
      </c>
      <c r="I3617" s="1">
        <v>5</v>
      </c>
      <c r="J3617" s="4">
        <v>0.6</v>
      </c>
      <c r="K3617" s="1">
        <v>0</v>
      </c>
      <c r="L3617" s="1">
        <v>7</v>
      </c>
      <c r="M3617" s="32">
        <f>IF(Mecze[[#This Row],[PR]]=0,0,Mecze[[#This Row],[PR]]/Mecze[[#This Row],[CZAS]])</f>
        <v>7.0707070707070704E-2</v>
      </c>
      <c r="N3617" s="32">
        <f>IF(Mecze[[#This Row],[OU]]=0,0,Mecze[[#This Row],[OU]]/Mecze[[#This Row],[CZAS]])</f>
        <v>3.0303030303030304E-2</v>
      </c>
      <c r="O3617" s="32">
        <f>IF(Mecze[[#This Row],[PC]]=0,0,Mecze[[#This Row],[PC]]/Mecze[[#This Row],[CZAS]])</f>
        <v>3.0303030303030304E-2</v>
      </c>
      <c r="P3617" s="32">
        <f>IF(Mecze[[#This Row],[SC]]=0,0,Mecze[[#This Row],[SC]]/Mecze[[#This Row],[CZAS]])</f>
        <v>0</v>
      </c>
      <c r="Q3617" s="32">
        <f>IF(Mecze[[#This Row],[OB]]=0,0,Mecze[[#This Row],[OB]]/Mecze[[#This Row],[CZAS]])</f>
        <v>0</v>
      </c>
      <c r="R3617" s="32">
        <f>IF(Mecze[[#This Row],[BR]]=0,0,Mecze[[#This Row],[BR]]/Mecze[[#This Row],[CZAS]])</f>
        <v>0</v>
      </c>
      <c r="S3617" s="44">
        <f>IF(Mecze[[#This Row],[Role]]="BR",SUMPRODUCT(Mecze[[#This Row],[/PR:90]:[/BR:90]],Brudnopis!$E$23:$J$23),0)</f>
        <v>0</v>
      </c>
      <c r="T3617" s="44">
        <f>IF(Mecze[[#This Row],[Role]]&lt;&gt;"BR",SUMPRODUCT(Mecze[[#This Row],[/PR:90]:[/BR:90]],Brudnopis!$E$24:$J$24),0)</f>
        <v>0.14646464646464646</v>
      </c>
      <c r="U3617" s="44">
        <f>IF(Mecze[[#This Row],[Role]]&lt;&gt;"BR",SUMPRODUCT(Mecze[[#This Row],[/PR:90]:[/BR:90]],Brudnopis!$E$25:$J$25),0)</f>
        <v>0.14646464646464646</v>
      </c>
      <c r="V3617" s="44">
        <f>IF(Mecze[[#This Row],[Role]]&lt;&gt;"BR",SUMPRODUCT(Mecze[[#This Row],[/PR:90]:[/BR:90]],Brudnopis!$E$26:$J$26),0)</f>
        <v>0.13131313131313133</v>
      </c>
      <c r="W3617" s="44">
        <f>IF(Mecze[[#This Row],[Role]]&lt;&gt;"BR",SUMPRODUCT(Mecze[[#This Row],[/PR:90]:[/BR:90]],Brudnopis!$E$27:$J$27),0)</f>
        <v>0.1212121212121212</v>
      </c>
      <c r="X3617" s="44">
        <f>IF(Mecze[[#This Row],[Role]]&lt;&gt;"BR",SUMPRODUCT(Mecze[[#This Row],[/PR:90]:[/BR:90]],Brudnopis!$E$28:$J$28),0)</f>
        <v>3.0303030303030304E-2</v>
      </c>
      <c r="Y3617" s="35">
        <f>IF(Mecze[[#This Row],[Role]]="BR",Mecze[[#This Row],[/OB:90]]+Mecze[[#This Row],[/PC:90]],SUM(Mecze[[#This Row],[/PR:90]:[/BR:90]]))</f>
        <v>0.13131313131313133</v>
      </c>
      <c r="Z3617" s="35">
        <f>IF(Mecze[[#This Row],[KC]]=0,SUM(Mecze[[#This Row],[/BRI]:[/NPI]]),SUM(Mecze[[#This Row],[/BRI]:[/NPI]])*0.6)</f>
        <v>0.57575757575757569</v>
      </c>
      <c r="AA3617" s="10">
        <f>IFERROR(Mecze[[#This Row],[BR]]/Mecze[[#This Row],[ST]],0)</f>
        <v>0</v>
      </c>
      <c r="AB3617">
        <f>ROUND(Mecze[[#This Row],[PD]]*Mecze[[#This Row],[%PC]],0)</f>
        <v>3</v>
      </c>
      <c r="AC3617">
        <f>ROUND(Mecze[[#This Row],[OD]]*Mecze[[#This Row],[%OU]],0)</f>
        <v>3</v>
      </c>
      <c r="AD3617" s="36" t="s">
        <v>167</v>
      </c>
      <c r="AE3617" s="36">
        <v>204</v>
      </c>
      <c r="AF3617" s="71">
        <v>4.18</v>
      </c>
      <c r="AG3617" s="37">
        <v>0</v>
      </c>
      <c r="AH3617" s="37">
        <v>0</v>
      </c>
      <c r="AI3617" s="37">
        <v>99</v>
      </c>
      <c r="AJ3617" s="37">
        <v>1</v>
      </c>
      <c r="AK3617" s="37" t="str">
        <f>VLOOKUP(Mecze[[#This Row],[Match ID]],Meczusie[Mecz]:Meczusie[RodzajMeczu],2,FALSE)</f>
        <v>Baraże</v>
      </c>
    </row>
    <row r="3618" spans="1:37" x14ac:dyDescent="0.25">
      <c r="A3618" s="76">
        <v>13</v>
      </c>
      <c r="B3618" s="3" t="s">
        <v>162</v>
      </c>
      <c r="C3618" s="2" t="s">
        <v>160</v>
      </c>
      <c r="D3618" s="1">
        <v>0</v>
      </c>
      <c r="E3618" s="1">
        <v>0</v>
      </c>
      <c r="F3618" s="1">
        <v>0</v>
      </c>
      <c r="G3618" s="1">
        <v>8</v>
      </c>
      <c r="H3618" s="4">
        <v>0.88</v>
      </c>
      <c r="I3618" s="1">
        <v>7</v>
      </c>
      <c r="J3618" s="4">
        <v>0.71</v>
      </c>
      <c r="K3618" s="1">
        <v>0</v>
      </c>
      <c r="L3618" s="1">
        <v>6</v>
      </c>
      <c r="M3618" s="32">
        <f>IF(Mecze[[#This Row],[PR]]=0,0,Mecze[[#This Row],[PR]]/Mecze[[#This Row],[CZAS]])</f>
        <v>6.0606060606060608E-2</v>
      </c>
      <c r="N3618" s="32">
        <f>IF(Mecze[[#This Row],[OU]]=0,0,Mecze[[#This Row],[OU]]/Mecze[[#This Row],[CZAS]])</f>
        <v>5.0505050505050504E-2</v>
      </c>
      <c r="O3618" s="32">
        <f>IF(Mecze[[#This Row],[PC]]=0,0,Mecze[[#This Row],[PC]]/Mecze[[#This Row],[CZAS]])</f>
        <v>7.0707070707070704E-2</v>
      </c>
      <c r="P3618" s="32">
        <f>IF(Mecze[[#This Row],[SC]]=0,0,Mecze[[#This Row],[SC]]/Mecze[[#This Row],[CZAS]])</f>
        <v>0</v>
      </c>
      <c r="Q3618" s="32">
        <f>IF(Mecze[[#This Row],[OB]]=0,0,Mecze[[#This Row],[OB]]/Mecze[[#This Row],[CZAS]])</f>
        <v>0</v>
      </c>
      <c r="R3618" s="32">
        <f>IF(Mecze[[#This Row],[BR]]=0,0,Mecze[[#This Row],[BR]]/Mecze[[#This Row],[CZAS]])</f>
        <v>0</v>
      </c>
      <c r="S3618" s="44">
        <f>IF(Mecze[[#This Row],[Role]]="BR",SUMPRODUCT(Mecze[[#This Row],[/PR:90]:[/BR:90]],Brudnopis!$E$23:$J$23),0)</f>
        <v>0</v>
      </c>
      <c r="T3618" s="44">
        <f>IF(Mecze[[#This Row],[Role]]&lt;&gt;"BR",SUMPRODUCT(Mecze[[#This Row],[/PR:90]:[/BR:90]],Brudnopis!$E$24:$J$24),0)</f>
        <v>0.20707070707070707</v>
      </c>
      <c r="U3618" s="44">
        <f>IF(Mecze[[#This Row],[Role]]&lt;&gt;"BR",SUMPRODUCT(Mecze[[#This Row],[/PR:90]:[/BR:90]],Brudnopis!$E$25:$J$25),0)</f>
        <v>0.21717171717171715</v>
      </c>
      <c r="V3618" s="44">
        <f>IF(Mecze[[#This Row],[Role]]&lt;&gt;"BR",SUMPRODUCT(Mecze[[#This Row],[/PR:90]:[/BR:90]],Brudnopis!$E$26:$J$26),0)</f>
        <v>0.18181818181818182</v>
      </c>
      <c r="W3618" s="44">
        <f>IF(Mecze[[#This Row],[Role]]&lt;&gt;"BR",SUMPRODUCT(Mecze[[#This Row],[/PR:90]:[/BR:90]],Brudnopis!$E$27:$J$27),0)</f>
        <v>0.18939393939393939</v>
      </c>
      <c r="X3618" s="44">
        <f>IF(Mecze[[#This Row],[Role]]&lt;&gt;"BR",SUMPRODUCT(Mecze[[#This Row],[/PR:90]:[/BR:90]],Brudnopis!$E$28:$J$28),0)</f>
        <v>7.0707070707070704E-2</v>
      </c>
      <c r="Y3618" s="35">
        <f>IF(Mecze[[#This Row],[Role]]="BR",Mecze[[#This Row],[/OB:90]]+Mecze[[#This Row],[/PC:90]],SUM(Mecze[[#This Row],[/PR:90]:[/BR:90]]))</f>
        <v>0.18181818181818182</v>
      </c>
      <c r="Z3618" s="35">
        <f>IF(Mecze[[#This Row],[KC]]=0,SUM(Mecze[[#This Row],[/BRI]:[/NPI]]),SUM(Mecze[[#This Row],[/BRI]:[/NPI]])*0.6)</f>
        <v>0.86616161616161613</v>
      </c>
      <c r="AA3618" s="10">
        <f>IFERROR(Mecze[[#This Row],[BR]]/Mecze[[#This Row],[ST]],0)</f>
        <v>0</v>
      </c>
      <c r="AB3618">
        <f>ROUND(Mecze[[#This Row],[PD]]*Mecze[[#This Row],[%PC]],0)</f>
        <v>7</v>
      </c>
      <c r="AC3618">
        <f>ROUND(Mecze[[#This Row],[OD]]*Mecze[[#This Row],[%OU]],0)</f>
        <v>5</v>
      </c>
      <c r="AD3618" s="36" t="s">
        <v>41</v>
      </c>
      <c r="AE3618" s="36">
        <v>204</v>
      </c>
      <c r="AF3618" s="71">
        <v>6.08</v>
      </c>
      <c r="AG3618" s="37">
        <v>0</v>
      </c>
      <c r="AH3618" s="37">
        <v>0</v>
      </c>
      <c r="AI3618" s="37">
        <v>99</v>
      </c>
      <c r="AJ3618" s="37">
        <v>1</v>
      </c>
      <c r="AK3618" s="37" t="str">
        <f>VLOOKUP(Mecze[[#This Row],[Match ID]],Meczusie[Mecz]:Meczusie[RodzajMeczu],2,FALSE)</f>
        <v>Baraże</v>
      </c>
    </row>
    <row r="3619" spans="1:37" x14ac:dyDescent="0.25">
      <c r="A3619" s="76">
        <v>60</v>
      </c>
      <c r="B3619" s="3" t="s">
        <v>515</v>
      </c>
      <c r="C3619" s="2" t="s">
        <v>160</v>
      </c>
      <c r="D3619" s="1">
        <v>0</v>
      </c>
      <c r="E3619" s="1">
        <v>0</v>
      </c>
      <c r="F3619" s="1">
        <v>0</v>
      </c>
      <c r="G3619" s="1">
        <v>11</v>
      </c>
      <c r="H3619" s="4">
        <v>0.55000000000000004</v>
      </c>
      <c r="I3619" s="1">
        <v>4</v>
      </c>
      <c r="J3619" s="4">
        <v>0.25</v>
      </c>
      <c r="K3619" s="1">
        <v>0</v>
      </c>
      <c r="L3619" s="1">
        <v>4</v>
      </c>
      <c r="M3619" s="32">
        <f>IF(Mecze[[#This Row],[PR]]=0,0,Mecze[[#This Row],[PR]]/Mecze[[#This Row],[CZAS]])</f>
        <v>4.0404040404040407E-2</v>
      </c>
      <c r="N3619" s="32">
        <f>IF(Mecze[[#This Row],[OU]]=0,0,Mecze[[#This Row],[OU]]/Mecze[[#This Row],[CZAS]])</f>
        <v>1.0101010101010102E-2</v>
      </c>
      <c r="O3619" s="32">
        <f>IF(Mecze[[#This Row],[PC]]=0,0,Mecze[[#This Row],[PC]]/Mecze[[#This Row],[CZAS]])</f>
        <v>6.0606060606060608E-2</v>
      </c>
      <c r="P3619" s="32">
        <f>IF(Mecze[[#This Row],[SC]]=0,0,Mecze[[#This Row],[SC]]/Mecze[[#This Row],[CZAS]])</f>
        <v>0</v>
      </c>
      <c r="Q3619" s="32">
        <f>IF(Mecze[[#This Row],[OB]]=0,0,Mecze[[#This Row],[OB]]/Mecze[[#This Row],[CZAS]])</f>
        <v>0</v>
      </c>
      <c r="R3619" s="32">
        <f>IF(Mecze[[#This Row],[BR]]=0,0,Mecze[[#This Row],[BR]]/Mecze[[#This Row],[CZAS]])</f>
        <v>0</v>
      </c>
      <c r="S3619" s="44">
        <f>IF(Mecze[[#This Row],[Role]]="BR",SUMPRODUCT(Mecze[[#This Row],[/PR:90]:[/BR:90]],Brudnopis!$E$23:$J$23),0)</f>
        <v>0</v>
      </c>
      <c r="T3619" s="44">
        <f>IF(Mecze[[#This Row],[Role]]&lt;&gt;"BR",SUMPRODUCT(Mecze[[#This Row],[/PR:90]:[/BR:90]],Brudnopis!$E$24:$J$24),0)</f>
        <v>0.11616161616161616</v>
      </c>
      <c r="U3619" s="44">
        <f>IF(Mecze[[#This Row],[Role]]&lt;&gt;"BR",SUMPRODUCT(Mecze[[#This Row],[/PR:90]:[/BR:90]],Brudnopis!$E$25:$J$25),0)</f>
        <v>0.14141414141414144</v>
      </c>
      <c r="V3619" s="44">
        <f>IF(Mecze[[#This Row],[Role]]&lt;&gt;"BR",SUMPRODUCT(Mecze[[#This Row],[/PR:90]:[/BR:90]],Brudnopis!$E$26:$J$26),0)</f>
        <v>0.11111111111111112</v>
      </c>
      <c r="W3619" s="44">
        <f>IF(Mecze[[#This Row],[Role]]&lt;&gt;"BR",SUMPRODUCT(Mecze[[#This Row],[/PR:90]:[/BR:90]],Brudnopis!$E$27:$J$27),0)</f>
        <v>0.12878787878787878</v>
      </c>
      <c r="X3619" s="44">
        <f>IF(Mecze[[#This Row],[Role]]&lt;&gt;"BR",SUMPRODUCT(Mecze[[#This Row],[/PR:90]:[/BR:90]],Brudnopis!$E$28:$J$28),0)</f>
        <v>6.0606060606060608E-2</v>
      </c>
      <c r="Y3619" s="35">
        <f>IF(Mecze[[#This Row],[Role]]="BR",Mecze[[#This Row],[/OB:90]]+Mecze[[#This Row],[/PC:90]],SUM(Mecze[[#This Row],[/PR:90]:[/BR:90]]))</f>
        <v>0.11111111111111112</v>
      </c>
      <c r="Z3619" s="35">
        <f>IF(Mecze[[#This Row],[KC]]=0,SUM(Mecze[[#This Row],[/BRI]:[/NPI]]),SUM(Mecze[[#This Row],[/BRI]:[/NPI]])*0.6)</f>
        <v>0.55808080808080807</v>
      </c>
      <c r="AA3619" s="10">
        <f>IFERROR(Mecze[[#This Row],[BR]]/Mecze[[#This Row],[ST]],0)</f>
        <v>0</v>
      </c>
      <c r="AB3619">
        <f>ROUND(Mecze[[#This Row],[PD]]*Mecze[[#This Row],[%PC]],0)</f>
        <v>6</v>
      </c>
      <c r="AC3619">
        <f>ROUND(Mecze[[#This Row],[OD]]*Mecze[[#This Row],[%OU]],0)</f>
        <v>1</v>
      </c>
      <c r="AD3619" s="36" t="s">
        <v>41</v>
      </c>
      <c r="AE3619" s="36">
        <v>204</v>
      </c>
      <c r="AF3619" s="71">
        <v>4.75</v>
      </c>
      <c r="AG3619" s="37">
        <v>0</v>
      </c>
      <c r="AH3619" s="37">
        <v>0</v>
      </c>
      <c r="AI3619" s="37">
        <v>99</v>
      </c>
      <c r="AJ3619" s="37">
        <v>1</v>
      </c>
      <c r="AK3619" s="37" t="str">
        <f>VLOOKUP(Mecze[[#This Row],[Match ID]],Meczusie[Mecz]:Meczusie[RodzajMeczu],2,FALSE)</f>
        <v>Baraże</v>
      </c>
    </row>
    <row r="3620" spans="1:37" x14ac:dyDescent="0.25">
      <c r="A3620" s="76">
        <v>15</v>
      </c>
      <c r="B3620" s="3" t="s">
        <v>170</v>
      </c>
      <c r="C3620" s="2" t="s">
        <v>160</v>
      </c>
      <c r="D3620" s="1">
        <v>0</v>
      </c>
      <c r="E3620" s="1">
        <v>2</v>
      </c>
      <c r="F3620" s="1">
        <v>2</v>
      </c>
      <c r="G3620" s="1">
        <v>17</v>
      </c>
      <c r="H3620" s="4">
        <v>0.76</v>
      </c>
      <c r="I3620" s="1">
        <v>8</v>
      </c>
      <c r="J3620" s="4">
        <v>0.5</v>
      </c>
      <c r="K3620" s="1">
        <v>0</v>
      </c>
      <c r="L3620" s="1">
        <v>6</v>
      </c>
      <c r="M3620" s="32">
        <f>IF(Mecze[[#This Row],[PR]]=0,0,Mecze[[#This Row],[PR]]/Mecze[[#This Row],[CZAS]])</f>
        <v>6.0606060606060608E-2</v>
      </c>
      <c r="N3620" s="32">
        <f>IF(Mecze[[#This Row],[OU]]=0,0,Mecze[[#This Row],[OU]]/Mecze[[#This Row],[CZAS]])</f>
        <v>4.0404040404040407E-2</v>
      </c>
      <c r="O3620" s="32">
        <f>IF(Mecze[[#This Row],[PC]]=0,0,Mecze[[#This Row],[PC]]/Mecze[[#This Row],[CZAS]])</f>
        <v>0.13131313131313133</v>
      </c>
      <c r="P3620" s="32">
        <f>IF(Mecze[[#This Row],[SC]]=0,0,Mecze[[#This Row],[SC]]/Mecze[[#This Row],[CZAS]])</f>
        <v>2.0202020202020204E-2</v>
      </c>
      <c r="Q3620" s="32">
        <f>IF(Mecze[[#This Row],[OB]]=0,0,Mecze[[#This Row],[OB]]/Mecze[[#This Row],[CZAS]])</f>
        <v>0</v>
      </c>
      <c r="R3620" s="32">
        <f>IF(Mecze[[#This Row],[BR]]=0,0,Mecze[[#This Row],[BR]]/Mecze[[#This Row],[CZAS]])</f>
        <v>0</v>
      </c>
      <c r="S3620" s="44">
        <f>IF(Mecze[[#This Row],[Role]]="BR",SUMPRODUCT(Mecze[[#This Row],[/PR:90]:[/BR:90]],Brudnopis!$E$23:$J$23),0)</f>
        <v>0</v>
      </c>
      <c r="T3620" s="44">
        <f>IF(Mecze[[#This Row],[Role]]&lt;&gt;"BR",SUMPRODUCT(Mecze[[#This Row],[/PR:90]:[/BR:90]],Brudnopis!$E$24:$J$24),0)</f>
        <v>0.27272727272727276</v>
      </c>
      <c r="U3620" s="44">
        <f>IF(Mecze[[#This Row],[Role]]&lt;&gt;"BR",SUMPRODUCT(Mecze[[#This Row],[/PR:90]:[/BR:90]],Brudnopis!$E$25:$J$25),0)</f>
        <v>0.31818181818181823</v>
      </c>
      <c r="V3620" s="44">
        <f>IF(Mecze[[#This Row],[Role]]&lt;&gt;"BR",SUMPRODUCT(Mecze[[#This Row],[/PR:90]:[/BR:90]],Brudnopis!$E$26:$J$26),0)</f>
        <v>0.25252525252525254</v>
      </c>
      <c r="W3620" s="44">
        <f>IF(Mecze[[#This Row],[Role]]&lt;&gt;"BR",SUMPRODUCT(Mecze[[#This Row],[/PR:90]:[/BR:90]],Brudnopis!$E$27:$J$27),0)</f>
        <v>0.29292929292929298</v>
      </c>
      <c r="X3620" s="44">
        <f>IF(Mecze[[#This Row],[Role]]&lt;&gt;"BR",SUMPRODUCT(Mecze[[#This Row],[/PR:90]:[/BR:90]],Brudnopis!$E$28:$J$28),0)</f>
        <v>0.17171717171717174</v>
      </c>
      <c r="Y3620" s="35">
        <f>IF(Mecze[[#This Row],[Role]]="BR",Mecze[[#This Row],[/OB:90]]+Mecze[[#This Row],[/PC:90]],SUM(Mecze[[#This Row],[/PR:90]:[/BR:90]]))</f>
        <v>0.25252525252525254</v>
      </c>
      <c r="Z3620" s="35">
        <f>IF(Mecze[[#This Row],[KC]]=0,SUM(Mecze[[#This Row],[/BRI]:[/NPI]]),SUM(Mecze[[#This Row],[/BRI]:[/NPI]])*0.6)</f>
        <v>1.3080808080808084</v>
      </c>
      <c r="AA3620" s="10">
        <f>IFERROR(Mecze[[#This Row],[BR]]/Mecze[[#This Row],[ST]],0)</f>
        <v>0</v>
      </c>
      <c r="AB3620">
        <f>ROUND(Mecze[[#This Row],[PD]]*Mecze[[#This Row],[%PC]],0)</f>
        <v>13</v>
      </c>
      <c r="AC3620">
        <f>ROUND(Mecze[[#This Row],[OD]]*Mecze[[#This Row],[%OU]],0)</f>
        <v>4</v>
      </c>
      <c r="AD3620" s="36" t="s">
        <v>67</v>
      </c>
      <c r="AE3620" s="36">
        <v>204</v>
      </c>
      <c r="AF3620" s="71">
        <v>5.63</v>
      </c>
      <c r="AG3620" s="37">
        <v>0</v>
      </c>
      <c r="AH3620" s="37">
        <v>0</v>
      </c>
      <c r="AI3620" s="37">
        <v>99</v>
      </c>
      <c r="AJ3620" s="37">
        <v>1</v>
      </c>
      <c r="AK3620" s="37" t="str">
        <f>VLOOKUP(Mecze[[#This Row],[Match ID]],Meczusie[Mecz]:Meczusie[RodzajMeczu],2,FALSE)</f>
        <v>Baraże</v>
      </c>
    </row>
    <row r="3621" spans="1:37" x14ac:dyDescent="0.25">
      <c r="A3621" s="76">
        <v>11</v>
      </c>
      <c r="B3621" s="3" t="s">
        <v>163</v>
      </c>
      <c r="C3621" s="2" t="s">
        <v>160</v>
      </c>
      <c r="D3621" s="1">
        <v>0</v>
      </c>
      <c r="E3621" s="1">
        <v>0</v>
      </c>
      <c r="F3621" s="1">
        <v>0</v>
      </c>
      <c r="G3621" s="1">
        <v>2</v>
      </c>
      <c r="H3621" s="4">
        <v>0.5</v>
      </c>
      <c r="I3621" s="1">
        <v>0</v>
      </c>
      <c r="J3621" s="4"/>
      <c r="K3621" s="1">
        <v>0</v>
      </c>
      <c r="L3621" s="1">
        <v>1</v>
      </c>
      <c r="M3621" s="32">
        <f>IF(Mecze[[#This Row],[PR]]=0,0,Mecze[[#This Row],[PR]]/Mecze[[#This Row],[CZAS]])</f>
        <v>0.02</v>
      </c>
      <c r="N3621" s="32">
        <f>IF(Mecze[[#This Row],[OU]]=0,0,Mecze[[#This Row],[OU]]/Mecze[[#This Row],[CZAS]])</f>
        <v>0</v>
      </c>
      <c r="O3621" s="32">
        <f>IF(Mecze[[#This Row],[PC]]=0,0,Mecze[[#This Row],[PC]]/Mecze[[#This Row],[CZAS]])</f>
        <v>0.02</v>
      </c>
      <c r="P3621" s="32">
        <f>IF(Mecze[[#This Row],[SC]]=0,0,Mecze[[#This Row],[SC]]/Mecze[[#This Row],[CZAS]])</f>
        <v>0</v>
      </c>
      <c r="Q3621" s="32">
        <f>IF(Mecze[[#This Row],[OB]]=0,0,Mecze[[#This Row],[OB]]/Mecze[[#This Row],[CZAS]])</f>
        <v>0</v>
      </c>
      <c r="R3621" s="32">
        <f>IF(Mecze[[#This Row],[BR]]=0,0,Mecze[[#This Row],[BR]]/Mecze[[#This Row],[CZAS]])</f>
        <v>0</v>
      </c>
      <c r="S3621" s="44">
        <f>IF(Mecze[[#This Row],[Role]]="BR",SUMPRODUCT(Mecze[[#This Row],[/PR:90]:[/BR:90]],Brudnopis!$E$23:$J$23),0)</f>
        <v>0</v>
      </c>
      <c r="T3621" s="44">
        <f>IF(Mecze[[#This Row],[Role]]&lt;&gt;"BR",SUMPRODUCT(Mecze[[#This Row],[/PR:90]:[/BR:90]],Brudnopis!$E$24:$J$24),0)</f>
        <v>0.04</v>
      </c>
      <c r="U3621" s="44">
        <f>IF(Mecze[[#This Row],[Role]]&lt;&gt;"BR",SUMPRODUCT(Mecze[[#This Row],[/PR:90]:[/BR:90]],Brudnopis!$E$25:$J$25),0)</f>
        <v>0.05</v>
      </c>
      <c r="V3621" s="44">
        <f>IF(Mecze[[#This Row],[Role]]&lt;&gt;"BR",SUMPRODUCT(Mecze[[#This Row],[/PR:90]:[/BR:90]],Brudnopis!$E$26:$J$26),0)</f>
        <v>0.04</v>
      </c>
      <c r="W3621" s="44">
        <f>IF(Mecze[[#This Row],[Role]]&lt;&gt;"BR",SUMPRODUCT(Mecze[[#This Row],[/PR:90]:[/BR:90]],Brudnopis!$E$27:$J$27),0)</f>
        <v>4.4999999999999998E-2</v>
      </c>
      <c r="X3621" s="44">
        <f>IF(Mecze[[#This Row],[Role]]&lt;&gt;"BR",SUMPRODUCT(Mecze[[#This Row],[/PR:90]:[/BR:90]],Brudnopis!$E$28:$J$28),0)</f>
        <v>0.02</v>
      </c>
      <c r="Y3621" s="35">
        <f>IF(Mecze[[#This Row],[Role]]="BR",Mecze[[#This Row],[/OB:90]]+Mecze[[#This Row],[/PC:90]],SUM(Mecze[[#This Row],[/PR:90]:[/BR:90]]))</f>
        <v>0.04</v>
      </c>
      <c r="Z3621" s="35">
        <f>IF(Mecze[[#This Row],[KC]]=0,SUM(Mecze[[#This Row],[/BRI]:[/NPI]]),SUM(Mecze[[#This Row],[/BRI]:[/NPI]])*0.6)</f>
        <v>0.19499999999999998</v>
      </c>
      <c r="AA3621" s="10">
        <f>IFERROR(Mecze[[#This Row],[BR]]/Mecze[[#This Row],[ST]],0)</f>
        <v>0</v>
      </c>
      <c r="AB3621">
        <f>ROUND(Mecze[[#This Row],[PD]]*Mecze[[#This Row],[%PC]],0)</f>
        <v>1</v>
      </c>
      <c r="AC3621">
        <f>ROUND(Mecze[[#This Row],[OD]]*Mecze[[#This Row],[%OU]],0)</f>
        <v>0</v>
      </c>
      <c r="AD3621" s="36" t="s">
        <v>44</v>
      </c>
      <c r="AE3621" s="36">
        <v>204</v>
      </c>
      <c r="AF3621" s="71">
        <v>0.71</v>
      </c>
      <c r="AG3621" s="37">
        <v>0</v>
      </c>
      <c r="AH3621" s="37">
        <v>0</v>
      </c>
      <c r="AI3621" s="37">
        <v>50</v>
      </c>
      <c r="AJ3621" s="37">
        <v>1</v>
      </c>
      <c r="AK3621" s="37" t="str">
        <f>VLOOKUP(Mecze[[#This Row],[Match ID]],Meczusie[Mecz]:Meczusie[RodzajMeczu],2,FALSE)</f>
        <v>Baraże</v>
      </c>
    </row>
    <row r="3622" spans="1:37" x14ac:dyDescent="0.25">
      <c r="A3622" s="76">
        <v>14</v>
      </c>
      <c r="B3622" s="3" t="s">
        <v>164</v>
      </c>
      <c r="C3622" s="2" t="s">
        <v>160</v>
      </c>
      <c r="D3622" s="1">
        <v>0</v>
      </c>
      <c r="E3622" s="1">
        <v>1</v>
      </c>
      <c r="F3622" s="1">
        <v>1</v>
      </c>
      <c r="G3622" s="1">
        <v>5</v>
      </c>
      <c r="H3622" s="4">
        <v>0.8</v>
      </c>
      <c r="I3622" s="1">
        <v>1</v>
      </c>
      <c r="J3622" s="4">
        <v>0</v>
      </c>
      <c r="K3622" s="1">
        <v>0</v>
      </c>
      <c r="L3622" s="1">
        <v>1</v>
      </c>
      <c r="M3622" s="32">
        <f>IF(Mecze[[#This Row],[PR]]=0,0,Mecze[[#This Row],[PR]]/Mecze[[#This Row],[CZAS]])</f>
        <v>0.02</v>
      </c>
      <c r="N3622" s="32">
        <f>IF(Mecze[[#This Row],[OU]]=0,0,Mecze[[#This Row],[OU]]/Mecze[[#This Row],[CZAS]])</f>
        <v>0</v>
      </c>
      <c r="O3622" s="32">
        <f>IF(Mecze[[#This Row],[PC]]=0,0,Mecze[[#This Row],[PC]]/Mecze[[#This Row],[CZAS]])</f>
        <v>0.08</v>
      </c>
      <c r="P3622" s="32">
        <f>IF(Mecze[[#This Row],[SC]]=0,0,Mecze[[#This Row],[SC]]/Mecze[[#This Row],[CZAS]])</f>
        <v>0.02</v>
      </c>
      <c r="Q3622" s="32">
        <f>IF(Mecze[[#This Row],[OB]]=0,0,Mecze[[#This Row],[OB]]/Mecze[[#This Row],[CZAS]])</f>
        <v>0</v>
      </c>
      <c r="R3622" s="32">
        <f>IF(Mecze[[#This Row],[BR]]=0,0,Mecze[[#This Row],[BR]]/Mecze[[#This Row],[CZAS]])</f>
        <v>0</v>
      </c>
      <c r="S3622" s="44">
        <f>IF(Mecze[[#This Row],[Role]]="BR",SUMPRODUCT(Mecze[[#This Row],[/PR:90]:[/BR:90]],Brudnopis!$E$23:$J$23),0)</f>
        <v>0</v>
      </c>
      <c r="T3622" s="44">
        <f>IF(Mecze[[#This Row],[Role]]&lt;&gt;"BR",SUMPRODUCT(Mecze[[#This Row],[/PR:90]:[/BR:90]],Brudnopis!$E$24:$J$24),0)</f>
        <v>0.12000000000000001</v>
      </c>
      <c r="U3622" s="44">
        <f>IF(Mecze[[#This Row],[Role]]&lt;&gt;"BR",SUMPRODUCT(Mecze[[#This Row],[/PR:90]:[/BR:90]],Brudnopis!$E$25:$J$25),0)</f>
        <v>0.15999999999999998</v>
      </c>
      <c r="V3622" s="44">
        <f>IF(Mecze[[#This Row],[Role]]&lt;&gt;"BR",SUMPRODUCT(Mecze[[#This Row],[/PR:90]:[/BR:90]],Brudnopis!$E$26:$J$26),0)</f>
        <v>0.12000000000000001</v>
      </c>
      <c r="W3622" s="44">
        <f>IF(Mecze[[#This Row],[Role]]&lt;&gt;"BR",SUMPRODUCT(Mecze[[#This Row],[/PR:90]:[/BR:90]],Brudnopis!$E$27:$J$27),0)</f>
        <v>0.155</v>
      </c>
      <c r="X3622" s="44">
        <f>IF(Mecze[[#This Row],[Role]]&lt;&gt;"BR",SUMPRODUCT(Mecze[[#This Row],[/PR:90]:[/BR:90]],Brudnopis!$E$28:$J$28),0)</f>
        <v>0.12</v>
      </c>
      <c r="Y3622" s="35">
        <f>IF(Mecze[[#This Row],[Role]]="BR",Mecze[[#This Row],[/OB:90]]+Mecze[[#This Row],[/PC:90]],SUM(Mecze[[#This Row],[/PR:90]:[/BR:90]]))</f>
        <v>0.12000000000000001</v>
      </c>
      <c r="Z3622" s="35">
        <f>IF(Mecze[[#This Row],[KC]]=0,SUM(Mecze[[#This Row],[/BRI]:[/NPI]]),SUM(Mecze[[#This Row],[/BRI]:[/NPI]])*0.6)</f>
        <v>0.67499999999999993</v>
      </c>
      <c r="AA3622" s="10">
        <f>IFERROR(Mecze[[#This Row],[BR]]/Mecze[[#This Row],[ST]],0)</f>
        <v>0</v>
      </c>
      <c r="AB3622">
        <f>ROUND(Mecze[[#This Row],[PD]]*Mecze[[#This Row],[%PC]],0)</f>
        <v>4</v>
      </c>
      <c r="AC3622">
        <f>ROUND(Mecze[[#This Row],[OD]]*Mecze[[#This Row],[%OU]],0)</f>
        <v>0</v>
      </c>
      <c r="AD3622" s="36" t="s">
        <v>44</v>
      </c>
      <c r="AE3622" s="36">
        <v>204</v>
      </c>
      <c r="AF3622" s="71">
        <v>3.06</v>
      </c>
      <c r="AG3622" s="37">
        <v>0</v>
      </c>
      <c r="AH3622" s="37">
        <v>0</v>
      </c>
      <c r="AI3622" s="37">
        <v>50</v>
      </c>
      <c r="AJ3622" s="37">
        <v>1</v>
      </c>
      <c r="AK3622" s="37" t="str">
        <f>VLOOKUP(Mecze[[#This Row],[Match ID]],Meczusie[Mecz]:Meczusie[RodzajMeczu],2,FALSE)</f>
        <v>Baraże</v>
      </c>
    </row>
    <row r="3623" spans="1:37" x14ac:dyDescent="0.25">
      <c r="A3623" s="76">
        <v>19</v>
      </c>
      <c r="B3623" s="3" t="s">
        <v>166</v>
      </c>
      <c r="C3623" s="2" t="s">
        <v>165</v>
      </c>
      <c r="D3623" s="1">
        <v>0</v>
      </c>
      <c r="E3623" s="1">
        <v>5</v>
      </c>
      <c r="F3623" s="1">
        <v>2</v>
      </c>
      <c r="G3623" s="1">
        <v>12</v>
      </c>
      <c r="H3623" s="4">
        <v>0.67</v>
      </c>
      <c r="I3623" s="1">
        <v>1</v>
      </c>
      <c r="J3623" s="4">
        <v>0</v>
      </c>
      <c r="K3623" s="1">
        <v>0</v>
      </c>
      <c r="L3623" s="1">
        <v>0</v>
      </c>
      <c r="M3623" s="32">
        <f>IF(Mecze[[#This Row],[PR]]=0,0,Mecze[[#This Row],[PR]]/Mecze[[#This Row],[CZAS]])</f>
        <v>0</v>
      </c>
      <c r="N3623" s="32">
        <f>IF(Mecze[[#This Row],[OU]]=0,0,Mecze[[#This Row],[OU]]/Mecze[[#This Row],[CZAS]])</f>
        <v>0</v>
      </c>
      <c r="O3623" s="32">
        <f>IF(Mecze[[#This Row],[PC]]=0,0,Mecze[[#This Row],[PC]]/Mecze[[#This Row],[CZAS]])</f>
        <v>8.0808080808080815E-2</v>
      </c>
      <c r="P3623" s="32">
        <f>IF(Mecze[[#This Row],[SC]]=0,0,Mecze[[#This Row],[SC]]/Mecze[[#This Row],[CZAS]])</f>
        <v>2.0202020202020204E-2</v>
      </c>
      <c r="Q3623" s="32">
        <f>IF(Mecze[[#This Row],[OB]]=0,0,Mecze[[#This Row],[OB]]/Mecze[[#This Row],[CZAS]])</f>
        <v>0</v>
      </c>
      <c r="R3623" s="32">
        <f>IF(Mecze[[#This Row],[BR]]=0,0,Mecze[[#This Row],[BR]]/Mecze[[#This Row],[CZAS]])</f>
        <v>0</v>
      </c>
      <c r="S3623" s="44">
        <f>IF(Mecze[[#This Row],[Role]]="BR",SUMPRODUCT(Mecze[[#This Row],[/PR:90]:[/BR:90]],Brudnopis!$E$23:$J$23),0)</f>
        <v>0</v>
      </c>
      <c r="T3623" s="44">
        <f>IF(Mecze[[#This Row],[Role]]&lt;&gt;"BR",SUMPRODUCT(Mecze[[#This Row],[/PR:90]:[/BR:90]],Brudnopis!$E$24:$J$24),0)</f>
        <v>0.10101010101010102</v>
      </c>
      <c r="U3623" s="44">
        <f>IF(Mecze[[#This Row],[Role]]&lt;&gt;"BR",SUMPRODUCT(Mecze[[#This Row],[/PR:90]:[/BR:90]],Brudnopis!$E$25:$J$25),0)</f>
        <v>0.14141414141414141</v>
      </c>
      <c r="V3623" s="44">
        <f>IF(Mecze[[#This Row],[Role]]&lt;&gt;"BR",SUMPRODUCT(Mecze[[#This Row],[/PR:90]:[/BR:90]],Brudnopis!$E$26:$J$26),0)</f>
        <v>0.10101010101010102</v>
      </c>
      <c r="W3623" s="44">
        <f>IF(Mecze[[#This Row],[Role]]&lt;&gt;"BR",SUMPRODUCT(Mecze[[#This Row],[/PR:90]:[/BR:90]],Brudnopis!$E$27:$J$27),0)</f>
        <v>0.14141414141414141</v>
      </c>
      <c r="X3623" s="44">
        <f>IF(Mecze[[#This Row],[Role]]&lt;&gt;"BR",SUMPRODUCT(Mecze[[#This Row],[/PR:90]:[/BR:90]],Brudnopis!$E$28:$J$28),0)</f>
        <v>0.12121212121212122</v>
      </c>
      <c r="Y3623" s="35">
        <f>IF(Mecze[[#This Row],[Role]]="BR",Mecze[[#This Row],[/OB:90]]+Mecze[[#This Row],[/PC:90]],SUM(Mecze[[#This Row],[/PR:90]:[/BR:90]]))</f>
        <v>0.10101010101010102</v>
      </c>
      <c r="Z3623" s="35">
        <f>IF(Mecze[[#This Row],[KC]]=0,SUM(Mecze[[#This Row],[/BRI]:[/NPI]]),SUM(Mecze[[#This Row],[/BRI]:[/NPI]])*0.6)</f>
        <v>0.60606060606060608</v>
      </c>
      <c r="AA3623" s="10">
        <f>IFERROR(Mecze[[#This Row],[BR]]/Mecze[[#This Row],[ST]],0)</f>
        <v>0</v>
      </c>
      <c r="AB3623">
        <f>ROUND(Mecze[[#This Row],[PD]]*Mecze[[#This Row],[%PC]],0)</f>
        <v>8</v>
      </c>
      <c r="AC3623">
        <f>ROUND(Mecze[[#This Row],[OD]]*Mecze[[#This Row],[%OU]],0)</f>
        <v>0</v>
      </c>
      <c r="AD3623" s="36" t="s">
        <v>46</v>
      </c>
      <c r="AE3623" s="36">
        <v>204</v>
      </c>
      <c r="AF3623" s="71">
        <v>4.4800000000000004</v>
      </c>
      <c r="AG3623" s="37">
        <v>0</v>
      </c>
      <c r="AH3623" s="37">
        <v>0</v>
      </c>
      <c r="AI3623" s="37">
        <v>99</v>
      </c>
      <c r="AJ3623" s="37">
        <v>1</v>
      </c>
      <c r="AK3623" s="37" t="str">
        <f>VLOOKUP(Mecze[[#This Row],[Match ID]],Meczusie[Mecz]:Meczusie[RodzajMeczu],2,FALSE)</f>
        <v>Baraże</v>
      </c>
    </row>
    <row r="3624" spans="1:37" x14ac:dyDescent="0.25">
      <c r="A3624" s="76">
        <v>9</v>
      </c>
      <c r="B3624" s="3" t="s">
        <v>411</v>
      </c>
      <c r="C3624" s="2" t="s">
        <v>165</v>
      </c>
      <c r="D3624" s="1">
        <v>0</v>
      </c>
      <c r="E3624" s="1">
        <v>7</v>
      </c>
      <c r="F3624" s="1">
        <v>6</v>
      </c>
      <c r="G3624" s="1">
        <v>10</v>
      </c>
      <c r="H3624" s="4">
        <v>0.6</v>
      </c>
      <c r="I3624" s="1">
        <v>3</v>
      </c>
      <c r="J3624" s="4">
        <v>0.33</v>
      </c>
      <c r="K3624" s="1">
        <v>0</v>
      </c>
      <c r="L3624" s="1">
        <v>0</v>
      </c>
      <c r="M3624" s="32">
        <f>IF(Mecze[[#This Row],[PR]]=0,0,Mecze[[#This Row],[PR]]/Mecze[[#This Row],[CZAS]])</f>
        <v>0</v>
      </c>
      <c r="N3624" s="32">
        <f>IF(Mecze[[#This Row],[OU]]=0,0,Mecze[[#This Row],[OU]]/Mecze[[#This Row],[CZAS]])</f>
        <v>1.0101010101010102E-2</v>
      </c>
      <c r="O3624" s="32">
        <f>IF(Mecze[[#This Row],[PC]]=0,0,Mecze[[#This Row],[PC]]/Mecze[[#This Row],[CZAS]])</f>
        <v>6.0606060606060608E-2</v>
      </c>
      <c r="P3624" s="32">
        <f>IF(Mecze[[#This Row],[SC]]=0,0,Mecze[[#This Row],[SC]]/Mecze[[#This Row],[CZAS]])</f>
        <v>6.0606060606060608E-2</v>
      </c>
      <c r="Q3624" s="32">
        <f>IF(Mecze[[#This Row],[OB]]=0,0,Mecze[[#This Row],[OB]]/Mecze[[#This Row],[CZAS]])</f>
        <v>0</v>
      </c>
      <c r="R3624" s="32">
        <f>IF(Mecze[[#This Row],[BR]]=0,0,Mecze[[#This Row],[BR]]/Mecze[[#This Row],[CZAS]])</f>
        <v>0</v>
      </c>
      <c r="S3624" s="44">
        <f>IF(Mecze[[#This Row],[Role]]="BR",SUMPRODUCT(Mecze[[#This Row],[/PR:90]:[/BR:90]],Brudnopis!$E$23:$J$23),0)</f>
        <v>0</v>
      </c>
      <c r="T3624" s="44">
        <f>IF(Mecze[[#This Row],[Role]]&lt;&gt;"BR",SUMPRODUCT(Mecze[[#This Row],[/PR:90]:[/BR:90]],Brudnopis!$E$24:$J$24),0)</f>
        <v>0.13636363636363635</v>
      </c>
      <c r="U3624" s="44">
        <f>IF(Mecze[[#This Row],[Role]]&lt;&gt;"BR",SUMPRODUCT(Mecze[[#This Row],[/PR:90]:[/BR:90]],Brudnopis!$E$25:$J$25),0)</f>
        <v>0.1616161616161616</v>
      </c>
      <c r="V3624" s="44">
        <f>IF(Mecze[[#This Row],[Role]]&lt;&gt;"BR",SUMPRODUCT(Mecze[[#This Row],[/PR:90]:[/BR:90]],Brudnopis!$E$26:$J$26),0)</f>
        <v>0.13131313131313133</v>
      </c>
      <c r="W3624" s="44">
        <f>IF(Mecze[[#This Row],[Role]]&lt;&gt;"BR",SUMPRODUCT(Mecze[[#This Row],[/PR:90]:[/BR:90]],Brudnopis!$E$27:$J$27),0)</f>
        <v>0.15909090909090909</v>
      </c>
      <c r="X3624" s="44">
        <f>IF(Mecze[[#This Row],[Role]]&lt;&gt;"BR",SUMPRODUCT(Mecze[[#This Row],[/PR:90]:[/BR:90]],Brudnopis!$E$28:$J$28),0)</f>
        <v>0.18181818181818182</v>
      </c>
      <c r="Y3624" s="35">
        <f>IF(Mecze[[#This Row],[Role]]="BR",Mecze[[#This Row],[/OB:90]]+Mecze[[#This Row],[/PC:90]],SUM(Mecze[[#This Row],[/PR:90]:[/BR:90]]))</f>
        <v>0.13131313131313133</v>
      </c>
      <c r="Z3624" s="35">
        <f>IF(Mecze[[#This Row],[KC]]=0,SUM(Mecze[[#This Row],[/BRI]:[/NPI]]),SUM(Mecze[[#This Row],[/BRI]:[/NPI]])*0.6)</f>
        <v>0.77020202020202011</v>
      </c>
      <c r="AA3624" s="10">
        <f>IFERROR(Mecze[[#This Row],[BR]]/Mecze[[#This Row],[ST]],0)</f>
        <v>0</v>
      </c>
      <c r="AB3624">
        <f>ROUND(Mecze[[#This Row],[PD]]*Mecze[[#This Row],[%PC]],0)</f>
        <v>6</v>
      </c>
      <c r="AC3624">
        <f>ROUND(Mecze[[#This Row],[OD]]*Mecze[[#This Row],[%OU]],0)</f>
        <v>1</v>
      </c>
      <c r="AD3624" s="36" t="s">
        <v>46</v>
      </c>
      <c r="AE3624" s="36">
        <v>204</v>
      </c>
      <c r="AF3624" s="71">
        <v>5.36</v>
      </c>
      <c r="AG3624" s="37">
        <v>0</v>
      </c>
      <c r="AH3624" s="37">
        <v>0</v>
      </c>
      <c r="AI3624" s="37">
        <v>99</v>
      </c>
      <c r="AJ3624" s="37">
        <v>1</v>
      </c>
      <c r="AK3624" s="37" t="str">
        <f>VLOOKUP(Mecze[[#This Row],[Match ID]],Meczusie[Mecz]:Meczusie[RodzajMeczu],2,FALSE)</f>
        <v>Baraże</v>
      </c>
    </row>
    <row r="3625" spans="1:37" x14ac:dyDescent="0.25">
      <c r="A3625" s="76">
        <v>25</v>
      </c>
      <c r="B3625" s="3" t="s">
        <v>366</v>
      </c>
      <c r="C3625" s="2" t="s">
        <v>160</v>
      </c>
      <c r="D3625" s="1">
        <v>0</v>
      </c>
      <c r="E3625" s="1">
        <v>0</v>
      </c>
      <c r="F3625" s="1">
        <v>0</v>
      </c>
      <c r="G3625" s="1">
        <v>3</v>
      </c>
      <c r="H3625" s="4">
        <v>1</v>
      </c>
      <c r="I3625" s="1">
        <v>0</v>
      </c>
      <c r="J3625" s="4"/>
      <c r="K3625" s="1">
        <v>0</v>
      </c>
      <c r="L3625" s="1">
        <v>0</v>
      </c>
      <c r="M3625" s="32">
        <f>IF(Mecze[[#This Row],[PR]]=0,0,Mecze[[#This Row],[PR]]/Mecze[[#This Row],[CZAS]])</f>
        <v>0</v>
      </c>
      <c r="N3625" s="32">
        <f>IF(Mecze[[#This Row],[OU]]=0,0,Mecze[[#This Row],[OU]]/Mecze[[#This Row],[CZAS]])</f>
        <v>0</v>
      </c>
      <c r="O3625" s="32">
        <f>IF(Mecze[[#This Row],[PC]]=0,0,Mecze[[#This Row],[PC]]/Mecze[[#This Row],[CZAS]])</f>
        <v>6.1224489795918366E-2</v>
      </c>
      <c r="P3625" s="32">
        <f>IF(Mecze[[#This Row],[SC]]=0,0,Mecze[[#This Row],[SC]]/Mecze[[#This Row],[CZAS]])</f>
        <v>0</v>
      </c>
      <c r="Q3625" s="32">
        <f>IF(Mecze[[#This Row],[OB]]=0,0,Mecze[[#This Row],[OB]]/Mecze[[#This Row],[CZAS]])</f>
        <v>0</v>
      </c>
      <c r="R3625" s="32">
        <f>IF(Mecze[[#This Row],[BR]]=0,0,Mecze[[#This Row],[BR]]/Mecze[[#This Row],[CZAS]])</f>
        <v>0</v>
      </c>
      <c r="S3625" s="44">
        <f>IF(Mecze[[#This Row],[Role]]="BR",SUMPRODUCT(Mecze[[#This Row],[/PR:90]:[/BR:90]],Brudnopis!$E$23:$J$23),0)</f>
        <v>0</v>
      </c>
      <c r="T3625" s="44">
        <f>IF(Mecze[[#This Row],[Role]]&lt;&gt;"BR",SUMPRODUCT(Mecze[[#This Row],[/PR:90]:[/BR:90]],Brudnopis!$E$24:$J$24),0)</f>
        <v>6.1224489795918366E-2</v>
      </c>
      <c r="U3625" s="44">
        <f>IF(Mecze[[#This Row],[Role]]&lt;&gt;"BR",SUMPRODUCT(Mecze[[#This Row],[/PR:90]:[/BR:90]],Brudnopis!$E$25:$J$25),0)</f>
        <v>9.1836734693877542E-2</v>
      </c>
      <c r="V3625" s="44">
        <f>IF(Mecze[[#This Row],[Role]]&lt;&gt;"BR",SUMPRODUCT(Mecze[[#This Row],[/PR:90]:[/BR:90]],Brudnopis!$E$26:$J$26),0)</f>
        <v>6.1224489795918366E-2</v>
      </c>
      <c r="W3625" s="44">
        <f>IF(Mecze[[#This Row],[Role]]&lt;&gt;"BR",SUMPRODUCT(Mecze[[#This Row],[/PR:90]:[/BR:90]],Brudnopis!$E$27:$J$27),0)</f>
        <v>9.1836734693877542E-2</v>
      </c>
      <c r="X3625" s="44">
        <f>IF(Mecze[[#This Row],[Role]]&lt;&gt;"BR",SUMPRODUCT(Mecze[[#This Row],[/PR:90]:[/BR:90]],Brudnopis!$E$28:$J$28),0)</f>
        <v>6.1224489795918366E-2</v>
      </c>
      <c r="Y3625" s="35">
        <f>IF(Mecze[[#This Row],[Role]]="BR",Mecze[[#This Row],[/OB:90]]+Mecze[[#This Row],[/PC:90]],SUM(Mecze[[#This Row],[/PR:90]:[/BR:90]]))</f>
        <v>6.1224489795918366E-2</v>
      </c>
      <c r="Z3625" s="35">
        <f>IF(Mecze[[#This Row],[KC]]=0,SUM(Mecze[[#This Row],[/BRI]:[/NPI]]),SUM(Mecze[[#This Row],[/BRI]:[/NPI]])*0.6)</f>
        <v>0.36734693877551022</v>
      </c>
      <c r="AA3625" s="10">
        <f>IFERROR(Mecze[[#This Row],[BR]]/Mecze[[#This Row],[ST]],0)</f>
        <v>0</v>
      </c>
      <c r="AB3625">
        <f>ROUND(Mecze[[#This Row],[PD]]*Mecze[[#This Row],[%PC]],0)</f>
        <v>3</v>
      </c>
      <c r="AC3625">
        <f>ROUND(Mecze[[#This Row],[OD]]*Mecze[[#This Row],[%OU]],0)</f>
        <v>0</v>
      </c>
      <c r="AD3625" s="36" t="s">
        <v>44</v>
      </c>
      <c r="AE3625" s="36">
        <v>204</v>
      </c>
      <c r="AF3625" s="71">
        <v>0.5</v>
      </c>
      <c r="AG3625" s="37">
        <v>0</v>
      </c>
      <c r="AH3625" s="37">
        <v>0</v>
      </c>
      <c r="AI3625" s="37">
        <v>49</v>
      </c>
      <c r="AJ3625" s="37">
        <v>1</v>
      </c>
      <c r="AK3625" s="37" t="str">
        <f>VLOOKUP(Mecze[[#This Row],[Match ID]],Meczusie[Mecz]:Meczusie[RodzajMeczu],2,FALSE)</f>
        <v>Baraże</v>
      </c>
    </row>
    <row r="3626" spans="1:37" x14ac:dyDescent="0.25">
      <c r="A3626" s="76">
        <v>26</v>
      </c>
      <c r="B3626" s="3" t="s">
        <v>368</v>
      </c>
      <c r="C3626" s="2" t="s">
        <v>160</v>
      </c>
      <c r="D3626" s="1">
        <v>0</v>
      </c>
      <c r="E3626" s="1">
        <v>0</v>
      </c>
      <c r="F3626" s="1">
        <v>0</v>
      </c>
      <c r="G3626" s="1">
        <v>0</v>
      </c>
      <c r="H3626" s="72"/>
      <c r="I3626" s="1">
        <v>3</v>
      </c>
      <c r="J3626" s="4">
        <v>0.33</v>
      </c>
      <c r="K3626" s="1">
        <v>0</v>
      </c>
      <c r="L3626" s="1">
        <v>0</v>
      </c>
      <c r="M3626" s="32">
        <f>IF(Mecze[[#This Row],[PR]]=0,0,Mecze[[#This Row],[PR]]/Mecze[[#This Row],[CZAS]])</f>
        <v>0</v>
      </c>
      <c r="N3626" s="32">
        <f>IF(Mecze[[#This Row],[OU]]=0,0,Mecze[[#This Row],[OU]]/Mecze[[#This Row],[CZAS]])</f>
        <v>2.0408163265306121E-2</v>
      </c>
      <c r="O3626" s="32">
        <f>IF(Mecze[[#This Row],[PC]]=0,0,Mecze[[#This Row],[PC]]/Mecze[[#This Row],[CZAS]])</f>
        <v>0</v>
      </c>
      <c r="P3626" s="32">
        <f>IF(Mecze[[#This Row],[SC]]=0,0,Mecze[[#This Row],[SC]]/Mecze[[#This Row],[CZAS]])</f>
        <v>0</v>
      </c>
      <c r="Q3626" s="32">
        <f>IF(Mecze[[#This Row],[OB]]=0,0,Mecze[[#This Row],[OB]]/Mecze[[#This Row],[CZAS]])</f>
        <v>0</v>
      </c>
      <c r="R3626" s="32">
        <f>IF(Mecze[[#This Row],[BR]]=0,0,Mecze[[#This Row],[BR]]/Mecze[[#This Row],[CZAS]])</f>
        <v>0</v>
      </c>
      <c r="S3626" s="44">
        <f>IF(Mecze[[#This Row],[Role]]="BR",SUMPRODUCT(Mecze[[#This Row],[/PR:90]:[/BR:90]],Brudnopis!$E$23:$J$23),0)</f>
        <v>0</v>
      </c>
      <c r="T3626" s="44">
        <f>IF(Mecze[[#This Row],[Role]]&lt;&gt;"BR",SUMPRODUCT(Mecze[[#This Row],[/PR:90]:[/BR:90]],Brudnopis!$E$24:$J$24),0)</f>
        <v>3.0612244897959183E-2</v>
      </c>
      <c r="U3626" s="44">
        <f>IF(Mecze[[#This Row],[Role]]&lt;&gt;"BR",SUMPRODUCT(Mecze[[#This Row],[/PR:90]:[/BR:90]],Brudnopis!$E$25:$J$25),0)</f>
        <v>2.0408163265306121E-2</v>
      </c>
      <c r="V3626" s="44">
        <f>IF(Mecze[[#This Row],[Role]]&lt;&gt;"BR",SUMPRODUCT(Mecze[[#This Row],[/PR:90]:[/BR:90]],Brudnopis!$E$26:$J$26),0)</f>
        <v>2.0408163265306121E-2</v>
      </c>
      <c r="W3626" s="44">
        <f>IF(Mecze[[#This Row],[Role]]&lt;&gt;"BR",SUMPRODUCT(Mecze[[#This Row],[/PR:90]:[/BR:90]],Brudnopis!$E$27:$J$27),0)</f>
        <v>1.5306122448979591E-2</v>
      </c>
      <c r="X3626" s="44">
        <f>IF(Mecze[[#This Row],[Role]]&lt;&gt;"BR",SUMPRODUCT(Mecze[[#This Row],[/PR:90]:[/BR:90]],Brudnopis!$E$28:$J$28),0)</f>
        <v>0</v>
      </c>
      <c r="Y3626" s="35">
        <f>IF(Mecze[[#This Row],[Role]]="BR",Mecze[[#This Row],[/OB:90]]+Mecze[[#This Row],[/PC:90]],SUM(Mecze[[#This Row],[/PR:90]:[/BR:90]]))</f>
        <v>2.0408163265306121E-2</v>
      </c>
      <c r="Z3626" s="35">
        <f>IF(Mecze[[#This Row],[KC]]=0,SUM(Mecze[[#This Row],[/BRI]:[/NPI]]),SUM(Mecze[[#This Row],[/BRI]:[/NPI]])*0.6)</f>
        <v>8.673469387755102E-2</v>
      </c>
      <c r="AA3626" s="10">
        <f>IFERROR(Mecze[[#This Row],[BR]]/Mecze[[#This Row],[ST]],0)</f>
        <v>0</v>
      </c>
      <c r="AB3626">
        <f>ROUND(Mecze[[#This Row],[PD]]*Mecze[[#This Row],[%PC]],0)</f>
        <v>0</v>
      </c>
      <c r="AC3626">
        <f>ROUND(Mecze[[#This Row],[OD]]*Mecze[[#This Row],[%OU]],0)</f>
        <v>1</v>
      </c>
      <c r="AD3626" s="36" t="s">
        <v>44</v>
      </c>
      <c r="AE3626" s="36">
        <v>204</v>
      </c>
      <c r="AF3626" s="71">
        <v>0.5</v>
      </c>
      <c r="AG3626" s="37">
        <v>0</v>
      </c>
      <c r="AH3626" s="37">
        <v>0</v>
      </c>
      <c r="AI3626" s="37">
        <v>49</v>
      </c>
      <c r="AJ3626" s="37">
        <v>1</v>
      </c>
      <c r="AK3626" s="37" t="str">
        <f>VLOOKUP(Mecze[[#This Row],[Match ID]],Meczusie[Mecz]:Meczusie[RodzajMeczu],2,FALSE)</f>
        <v>Baraże</v>
      </c>
    </row>
    <row r="3627" spans="1:37" x14ac:dyDescent="0.25">
      <c r="A3627" s="76">
        <v>1</v>
      </c>
      <c r="B3627" s="3" t="s">
        <v>169</v>
      </c>
      <c r="C3627" s="2" t="s">
        <v>155</v>
      </c>
      <c r="D3627" s="1">
        <v>0</v>
      </c>
      <c r="E3627" s="1">
        <v>0</v>
      </c>
      <c r="F3627" s="1">
        <v>0</v>
      </c>
      <c r="G3627" s="1">
        <v>1</v>
      </c>
      <c r="H3627" s="4">
        <v>0</v>
      </c>
      <c r="I3627" s="1">
        <v>0</v>
      </c>
      <c r="J3627" s="4"/>
      <c r="K3627" s="1">
        <v>0</v>
      </c>
      <c r="L3627" s="1">
        <v>0</v>
      </c>
      <c r="M3627" s="32">
        <f>IF(Mecze[[#This Row],[PR]]=0,0,Mecze[[#This Row],[PR]]/Mecze[[#This Row],[CZAS]])</f>
        <v>0</v>
      </c>
      <c r="N3627" s="32">
        <f>IF(Mecze[[#This Row],[OU]]=0,0,Mecze[[#This Row],[OU]]/Mecze[[#This Row],[CZAS]])</f>
        <v>0</v>
      </c>
      <c r="O3627" s="32">
        <f>IF(Mecze[[#This Row],[PC]]=0,0,Mecze[[#This Row],[PC]]/Mecze[[#This Row],[CZAS]])</f>
        <v>0</v>
      </c>
      <c r="P3627" s="32">
        <f>IF(Mecze[[#This Row],[SC]]=0,0,Mecze[[#This Row],[SC]]/Mecze[[#This Row],[CZAS]])</f>
        <v>0</v>
      </c>
      <c r="Q3627" s="32">
        <f>IF(Mecze[[#This Row],[OB]]=0,0,Mecze[[#This Row],[OB]]/Mecze[[#This Row],[CZAS]])</f>
        <v>0</v>
      </c>
      <c r="R3627" s="32">
        <f>IF(Mecze[[#This Row],[BR]]=0,0,Mecze[[#This Row],[BR]]/Mecze[[#This Row],[CZAS]])</f>
        <v>0</v>
      </c>
      <c r="S3627" s="44">
        <f>IF(Mecze[[#This Row],[Role]]="BR",SUMPRODUCT(Mecze[[#This Row],[/PR:90]:[/BR:90]],Brudnopis!$E$23:$J$23),0)</f>
        <v>0</v>
      </c>
      <c r="T3627" s="44">
        <f>IF(Mecze[[#This Row],[Role]]&lt;&gt;"BR",SUMPRODUCT(Mecze[[#This Row],[/PR:90]:[/BR:90]],Brudnopis!$E$24:$J$24),0)</f>
        <v>0</v>
      </c>
      <c r="U3627" s="44">
        <f>IF(Mecze[[#This Row],[Role]]&lt;&gt;"BR",SUMPRODUCT(Mecze[[#This Row],[/PR:90]:[/BR:90]],Brudnopis!$E$25:$J$25),0)</f>
        <v>0</v>
      </c>
      <c r="V3627" s="44">
        <f>IF(Mecze[[#This Row],[Role]]&lt;&gt;"BR",SUMPRODUCT(Mecze[[#This Row],[/PR:90]:[/BR:90]],Brudnopis!$E$26:$J$26),0)</f>
        <v>0</v>
      </c>
      <c r="W3627" s="44">
        <f>IF(Mecze[[#This Row],[Role]]&lt;&gt;"BR",SUMPRODUCT(Mecze[[#This Row],[/PR:90]:[/BR:90]],Brudnopis!$E$27:$J$27),0)</f>
        <v>0</v>
      </c>
      <c r="X3627" s="44">
        <f>IF(Mecze[[#This Row],[Role]]&lt;&gt;"BR",SUMPRODUCT(Mecze[[#This Row],[/PR:90]:[/BR:90]],Brudnopis!$E$28:$J$28),0)</f>
        <v>0</v>
      </c>
      <c r="Y3627" s="35">
        <f>IF(Mecze[[#This Row],[Role]]="BR",Mecze[[#This Row],[/OB:90]]+Mecze[[#This Row],[/PC:90]],SUM(Mecze[[#This Row],[/PR:90]:[/BR:90]]))</f>
        <v>0</v>
      </c>
      <c r="Z3627" s="35">
        <f>IF(Mecze[[#This Row],[KC]]=0,SUM(Mecze[[#This Row],[/BRI]:[/NPI]]),SUM(Mecze[[#This Row],[/BRI]:[/NPI]])*0.6)</f>
        <v>0</v>
      </c>
      <c r="AA3627" s="10">
        <f>IFERROR(Mecze[[#This Row],[BR]]/Mecze[[#This Row],[ST]],0)</f>
        <v>0</v>
      </c>
      <c r="AB3627">
        <f>ROUND(Mecze[[#This Row],[PD]]*Mecze[[#This Row],[%PC]],0)</f>
        <v>0</v>
      </c>
      <c r="AC3627">
        <f>ROUND(Mecze[[#This Row],[OD]]*Mecze[[#This Row],[%OU]],0)</f>
        <v>0</v>
      </c>
      <c r="AD3627" s="36" t="s">
        <v>40</v>
      </c>
      <c r="AE3627" s="36">
        <v>205</v>
      </c>
      <c r="AF3627" s="71">
        <v>3.92</v>
      </c>
      <c r="AG3627" s="37">
        <v>0</v>
      </c>
      <c r="AH3627" s="37">
        <v>0</v>
      </c>
      <c r="AI3627" s="37">
        <v>97</v>
      </c>
      <c r="AJ3627" s="37">
        <v>1</v>
      </c>
      <c r="AK3627" s="37" t="str">
        <f>VLOOKUP(Mecze[[#This Row],[Match ID]],Meczusie[Mecz]:Meczusie[RodzajMeczu],2,FALSE)</f>
        <v>Towarzyski</v>
      </c>
    </row>
    <row r="3628" spans="1:37" x14ac:dyDescent="0.25">
      <c r="A3628" s="76">
        <v>5</v>
      </c>
      <c r="B3628" s="3" t="s">
        <v>161</v>
      </c>
      <c r="C3628" s="2" t="s">
        <v>157</v>
      </c>
      <c r="D3628" s="1">
        <v>0</v>
      </c>
      <c r="E3628" s="1">
        <v>0</v>
      </c>
      <c r="F3628" s="1">
        <v>0</v>
      </c>
      <c r="G3628" s="1">
        <v>10</v>
      </c>
      <c r="H3628" s="4">
        <v>1</v>
      </c>
      <c r="I3628" s="1">
        <v>6</v>
      </c>
      <c r="J3628" s="4">
        <v>0.33</v>
      </c>
      <c r="K3628" s="1">
        <v>0</v>
      </c>
      <c r="L3628" s="1">
        <v>7</v>
      </c>
      <c r="M3628" s="32">
        <f>IF(Mecze[[#This Row],[PR]]=0,0,Mecze[[#This Row],[PR]]/Mecze[[#This Row],[CZAS]])</f>
        <v>7.2164948453608241E-2</v>
      </c>
      <c r="N3628" s="32">
        <f>IF(Mecze[[#This Row],[OU]]=0,0,Mecze[[#This Row],[OU]]/Mecze[[#This Row],[CZAS]])</f>
        <v>2.0618556701030927E-2</v>
      </c>
      <c r="O3628" s="32">
        <f>IF(Mecze[[#This Row],[PC]]=0,0,Mecze[[#This Row],[PC]]/Mecze[[#This Row],[CZAS]])</f>
        <v>0.10309278350515463</v>
      </c>
      <c r="P3628" s="32">
        <f>IF(Mecze[[#This Row],[SC]]=0,0,Mecze[[#This Row],[SC]]/Mecze[[#This Row],[CZAS]])</f>
        <v>0</v>
      </c>
      <c r="Q3628" s="32">
        <f>IF(Mecze[[#This Row],[OB]]=0,0,Mecze[[#This Row],[OB]]/Mecze[[#This Row],[CZAS]])</f>
        <v>0</v>
      </c>
      <c r="R3628" s="32">
        <f>IF(Mecze[[#This Row],[BR]]=0,0,Mecze[[#This Row],[BR]]/Mecze[[#This Row],[CZAS]])</f>
        <v>0</v>
      </c>
      <c r="S3628" s="44">
        <f>IF(Mecze[[#This Row],[Role]]="BR",SUMPRODUCT(Mecze[[#This Row],[/PR:90]:[/BR:90]],Brudnopis!$E$23:$J$23),0)</f>
        <v>0</v>
      </c>
      <c r="T3628" s="44">
        <f>IF(Mecze[[#This Row],[Role]]&lt;&gt;"BR",SUMPRODUCT(Mecze[[#This Row],[/PR:90]:[/BR:90]],Brudnopis!$E$24:$J$24),0)</f>
        <v>0.20618556701030927</v>
      </c>
      <c r="U3628" s="44">
        <f>IF(Mecze[[#This Row],[Role]]&lt;&gt;"BR",SUMPRODUCT(Mecze[[#This Row],[/PR:90]:[/BR:90]],Brudnopis!$E$25:$J$25),0)</f>
        <v>0.24742268041237114</v>
      </c>
      <c r="V3628" s="44">
        <f>IF(Mecze[[#This Row],[Role]]&lt;&gt;"BR",SUMPRODUCT(Mecze[[#This Row],[/PR:90]:[/BR:90]],Brudnopis!$E$26:$J$26),0)</f>
        <v>0.19587628865979378</v>
      </c>
      <c r="W3628" s="44">
        <f>IF(Mecze[[#This Row],[Role]]&lt;&gt;"BR",SUMPRODUCT(Mecze[[#This Row],[/PR:90]:[/BR:90]],Brudnopis!$E$27:$J$27),0)</f>
        <v>0.22422680412371135</v>
      </c>
      <c r="X3628" s="44">
        <f>IF(Mecze[[#This Row],[Role]]&lt;&gt;"BR",SUMPRODUCT(Mecze[[#This Row],[/PR:90]:[/BR:90]],Brudnopis!$E$28:$J$28),0)</f>
        <v>0.10309278350515463</v>
      </c>
      <c r="Y3628" s="35">
        <f>IF(Mecze[[#This Row],[Role]]="BR",Mecze[[#This Row],[/OB:90]]+Mecze[[#This Row],[/PC:90]],SUM(Mecze[[#This Row],[/PR:90]:[/BR:90]]))</f>
        <v>0.19587628865979378</v>
      </c>
      <c r="Z3628" s="35">
        <f>IF(Mecze[[#This Row],[KC]]=0,SUM(Mecze[[#This Row],[/BRI]:[/NPI]]),SUM(Mecze[[#This Row],[/BRI]:[/NPI]])*0.6)</f>
        <v>0.97680412371134007</v>
      </c>
      <c r="AA3628" s="10">
        <f>IFERROR(Mecze[[#This Row],[BR]]/Mecze[[#This Row],[ST]],0)</f>
        <v>0</v>
      </c>
      <c r="AB3628">
        <f>ROUND(Mecze[[#This Row],[PD]]*Mecze[[#This Row],[%PC]],0)</f>
        <v>10</v>
      </c>
      <c r="AC3628">
        <f>ROUND(Mecze[[#This Row],[OD]]*Mecze[[#This Row],[%OU]],0)</f>
        <v>2</v>
      </c>
      <c r="AD3628" s="36" t="s">
        <v>47</v>
      </c>
      <c r="AE3628" s="36">
        <v>205</v>
      </c>
      <c r="AF3628" s="71">
        <v>5.39</v>
      </c>
      <c r="AG3628" s="37">
        <v>0</v>
      </c>
      <c r="AH3628" s="37">
        <v>0</v>
      </c>
      <c r="AI3628" s="37">
        <v>97</v>
      </c>
      <c r="AJ3628" s="37">
        <v>1</v>
      </c>
      <c r="AK3628" s="37" t="str">
        <f>VLOOKUP(Mecze[[#This Row],[Match ID]],Meczusie[Mecz]:Meczusie[RodzajMeczu],2,FALSE)</f>
        <v>Towarzyski</v>
      </c>
    </row>
    <row r="3629" spans="1:37" x14ac:dyDescent="0.25">
      <c r="A3629" s="76">
        <v>18</v>
      </c>
      <c r="B3629" s="3" t="s">
        <v>211</v>
      </c>
      <c r="C3629" s="2" t="s">
        <v>157</v>
      </c>
      <c r="D3629" s="1">
        <v>0</v>
      </c>
      <c r="E3629" s="1">
        <v>0</v>
      </c>
      <c r="F3629" s="1">
        <v>0</v>
      </c>
      <c r="G3629" s="1">
        <v>16</v>
      </c>
      <c r="H3629" s="4">
        <v>0.56000000000000005</v>
      </c>
      <c r="I3629" s="1">
        <v>2</v>
      </c>
      <c r="J3629" s="4">
        <v>0.5</v>
      </c>
      <c r="K3629" s="1">
        <v>0</v>
      </c>
      <c r="L3629" s="1">
        <v>11</v>
      </c>
      <c r="M3629" s="32">
        <f>IF(Mecze[[#This Row],[PR]]=0,0,Mecze[[#This Row],[PR]]/Mecze[[#This Row],[CZAS]])</f>
        <v>0.1134020618556701</v>
      </c>
      <c r="N3629" s="32">
        <f>IF(Mecze[[#This Row],[OU]]=0,0,Mecze[[#This Row],[OU]]/Mecze[[#This Row],[CZAS]])</f>
        <v>1.0309278350515464E-2</v>
      </c>
      <c r="O3629" s="32">
        <f>IF(Mecze[[#This Row],[PC]]=0,0,Mecze[[#This Row],[PC]]/Mecze[[#This Row],[CZAS]])</f>
        <v>9.2783505154639179E-2</v>
      </c>
      <c r="P3629" s="32">
        <f>IF(Mecze[[#This Row],[SC]]=0,0,Mecze[[#This Row],[SC]]/Mecze[[#This Row],[CZAS]])</f>
        <v>0</v>
      </c>
      <c r="Q3629" s="32">
        <f>IF(Mecze[[#This Row],[OB]]=0,0,Mecze[[#This Row],[OB]]/Mecze[[#This Row],[CZAS]])</f>
        <v>0</v>
      </c>
      <c r="R3629" s="32">
        <f>IF(Mecze[[#This Row],[BR]]=0,0,Mecze[[#This Row],[BR]]/Mecze[[#This Row],[CZAS]])</f>
        <v>0</v>
      </c>
      <c r="S3629" s="44">
        <f>IF(Mecze[[#This Row],[Role]]="BR",SUMPRODUCT(Mecze[[#This Row],[/PR:90]:[/BR:90]],Brudnopis!$E$23:$J$23),0)</f>
        <v>0</v>
      </c>
      <c r="T3629" s="44">
        <f>IF(Mecze[[#This Row],[Role]]&lt;&gt;"BR",SUMPRODUCT(Mecze[[#This Row],[/PR:90]:[/BR:90]],Brudnopis!$E$24:$J$24),0)</f>
        <v>0.22164948453608246</v>
      </c>
      <c r="U3629" s="44">
        <f>IF(Mecze[[#This Row],[Role]]&lt;&gt;"BR",SUMPRODUCT(Mecze[[#This Row],[/PR:90]:[/BR:90]],Brudnopis!$E$25:$J$25),0)</f>
        <v>0.26288659793814434</v>
      </c>
      <c r="V3629" s="44">
        <f>IF(Mecze[[#This Row],[Role]]&lt;&gt;"BR",SUMPRODUCT(Mecze[[#This Row],[/PR:90]:[/BR:90]],Brudnopis!$E$26:$J$26),0)</f>
        <v>0.21649484536082475</v>
      </c>
      <c r="W3629" s="44">
        <f>IF(Mecze[[#This Row],[Role]]&lt;&gt;"BR",SUMPRODUCT(Mecze[[#This Row],[/PR:90]:[/BR:90]],Brudnopis!$E$27:$J$27),0)</f>
        <v>0.23195876288659795</v>
      </c>
      <c r="X3629" s="44">
        <f>IF(Mecze[[#This Row],[Role]]&lt;&gt;"BR",SUMPRODUCT(Mecze[[#This Row],[/PR:90]:[/BR:90]],Brudnopis!$E$28:$J$28),0)</f>
        <v>9.2783505154639179E-2</v>
      </c>
      <c r="Y3629" s="35">
        <f>IF(Mecze[[#This Row],[Role]]="BR",Mecze[[#This Row],[/OB:90]]+Mecze[[#This Row],[/PC:90]],SUM(Mecze[[#This Row],[/PR:90]:[/BR:90]]))</f>
        <v>0.21649484536082475</v>
      </c>
      <c r="Z3629" s="35">
        <f>IF(Mecze[[#This Row],[KC]]=0,SUM(Mecze[[#This Row],[/BRI]:[/NPI]]),SUM(Mecze[[#This Row],[/BRI]:[/NPI]])*0.6)</f>
        <v>1.0257731958762886</v>
      </c>
      <c r="AA3629" s="10">
        <f>IFERROR(Mecze[[#This Row],[BR]]/Mecze[[#This Row],[ST]],0)</f>
        <v>0</v>
      </c>
      <c r="AB3629">
        <f>ROUND(Mecze[[#This Row],[PD]]*Mecze[[#This Row],[%PC]],0)</f>
        <v>9</v>
      </c>
      <c r="AC3629">
        <f>ROUND(Mecze[[#This Row],[OD]]*Mecze[[#This Row],[%OU]],0)</f>
        <v>1</v>
      </c>
      <c r="AD3629" s="36" t="s">
        <v>47</v>
      </c>
      <c r="AE3629" s="36">
        <v>205</v>
      </c>
      <c r="AF3629" s="71">
        <v>6.23</v>
      </c>
      <c r="AG3629" s="37">
        <v>0</v>
      </c>
      <c r="AH3629" s="37">
        <v>0</v>
      </c>
      <c r="AI3629" s="37">
        <v>97</v>
      </c>
      <c r="AJ3629" s="37">
        <v>1</v>
      </c>
      <c r="AK3629" s="37" t="str">
        <f>VLOOKUP(Mecze[[#This Row],[Match ID]],Meczusie[Mecz]:Meczusie[RodzajMeczu],2,FALSE)</f>
        <v>Towarzyski</v>
      </c>
    </row>
    <row r="3630" spans="1:37" x14ac:dyDescent="0.25">
      <c r="A3630" s="76">
        <v>3</v>
      </c>
      <c r="B3630" s="3" t="s">
        <v>158</v>
      </c>
      <c r="C3630" s="2" t="s">
        <v>157</v>
      </c>
      <c r="D3630" s="1">
        <v>0</v>
      </c>
      <c r="E3630" s="1">
        <v>0</v>
      </c>
      <c r="F3630" s="1">
        <v>0</v>
      </c>
      <c r="G3630" s="1">
        <v>7</v>
      </c>
      <c r="H3630" s="4">
        <v>1</v>
      </c>
      <c r="I3630" s="1">
        <v>5</v>
      </c>
      <c r="J3630" s="4">
        <v>0.8</v>
      </c>
      <c r="K3630" s="1">
        <v>0</v>
      </c>
      <c r="L3630" s="1">
        <v>6</v>
      </c>
      <c r="M3630" s="32">
        <f>IF(Mecze[[#This Row],[PR]]=0,0,Mecze[[#This Row],[PR]]/Mecze[[#This Row],[CZAS]])</f>
        <v>6.1855670103092786E-2</v>
      </c>
      <c r="N3630" s="32">
        <f>IF(Mecze[[#This Row],[OU]]=0,0,Mecze[[#This Row],[OU]]/Mecze[[#This Row],[CZAS]])</f>
        <v>4.1237113402061855E-2</v>
      </c>
      <c r="O3630" s="32">
        <f>IF(Mecze[[#This Row],[PC]]=0,0,Mecze[[#This Row],[PC]]/Mecze[[#This Row],[CZAS]])</f>
        <v>7.2164948453608241E-2</v>
      </c>
      <c r="P3630" s="32">
        <f>IF(Mecze[[#This Row],[SC]]=0,0,Mecze[[#This Row],[SC]]/Mecze[[#This Row],[CZAS]])</f>
        <v>0</v>
      </c>
      <c r="Q3630" s="32">
        <f>IF(Mecze[[#This Row],[OB]]=0,0,Mecze[[#This Row],[OB]]/Mecze[[#This Row],[CZAS]])</f>
        <v>0</v>
      </c>
      <c r="R3630" s="32">
        <f>IF(Mecze[[#This Row],[BR]]=0,0,Mecze[[#This Row],[BR]]/Mecze[[#This Row],[CZAS]])</f>
        <v>0</v>
      </c>
      <c r="S3630" s="44">
        <f>IF(Mecze[[#This Row],[Role]]="BR",SUMPRODUCT(Mecze[[#This Row],[/PR:90]:[/BR:90]],Brudnopis!$E$23:$J$23),0)</f>
        <v>0</v>
      </c>
      <c r="T3630" s="44">
        <f>IF(Mecze[[#This Row],[Role]]&lt;&gt;"BR",SUMPRODUCT(Mecze[[#This Row],[/PR:90]:[/BR:90]],Brudnopis!$E$24:$J$24),0)</f>
        <v>0.19587628865979381</v>
      </c>
      <c r="U3630" s="44">
        <f>IF(Mecze[[#This Row],[Role]]&lt;&gt;"BR",SUMPRODUCT(Mecze[[#This Row],[/PR:90]:[/BR:90]],Brudnopis!$E$25:$J$25),0)</f>
        <v>0.21134020618556698</v>
      </c>
      <c r="V3630" s="44">
        <f>IF(Mecze[[#This Row],[Role]]&lt;&gt;"BR",SUMPRODUCT(Mecze[[#This Row],[/PR:90]:[/BR:90]],Brudnopis!$E$26:$J$26),0)</f>
        <v>0.17525773195876287</v>
      </c>
      <c r="W3630" s="44">
        <f>IF(Mecze[[#This Row],[Role]]&lt;&gt;"BR",SUMPRODUCT(Mecze[[#This Row],[/PR:90]:[/BR:90]],Brudnopis!$E$27:$J$27),0)</f>
        <v>0.18556701030927836</v>
      </c>
      <c r="X3630" s="44">
        <f>IF(Mecze[[#This Row],[Role]]&lt;&gt;"BR",SUMPRODUCT(Mecze[[#This Row],[/PR:90]:[/BR:90]],Brudnopis!$E$28:$J$28),0)</f>
        <v>7.2164948453608241E-2</v>
      </c>
      <c r="Y3630" s="35">
        <f>IF(Mecze[[#This Row],[Role]]="BR",Mecze[[#This Row],[/OB:90]]+Mecze[[#This Row],[/PC:90]],SUM(Mecze[[#This Row],[/PR:90]:[/BR:90]]))</f>
        <v>0.17525773195876287</v>
      </c>
      <c r="Z3630" s="35">
        <f>IF(Mecze[[#This Row],[KC]]=0,SUM(Mecze[[#This Row],[/BRI]:[/NPI]]),SUM(Mecze[[#This Row],[/BRI]:[/NPI]])*0.6)</f>
        <v>0.84020618556701021</v>
      </c>
      <c r="AA3630" s="10">
        <f>IFERROR(Mecze[[#This Row],[BR]]/Mecze[[#This Row],[ST]],0)</f>
        <v>0</v>
      </c>
      <c r="AB3630">
        <f>ROUND(Mecze[[#This Row],[PD]]*Mecze[[#This Row],[%PC]],0)</f>
        <v>7</v>
      </c>
      <c r="AC3630">
        <f>ROUND(Mecze[[#This Row],[OD]]*Mecze[[#This Row],[%OU]],0)</f>
        <v>4</v>
      </c>
      <c r="AD3630" s="36" t="s">
        <v>174</v>
      </c>
      <c r="AE3630" s="36">
        <v>205</v>
      </c>
      <c r="AF3630" s="71">
        <v>7.5</v>
      </c>
      <c r="AG3630" s="37">
        <v>0</v>
      </c>
      <c r="AH3630" s="37">
        <v>0</v>
      </c>
      <c r="AI3630" s="37">
        <v>97</v>
      </c>
      <c r="AJ3630" s="37">
        <v>1</v>
      </c>
      <c r="AK3630" s="37" t="str">
        <f>VLOOKUP(Mecze[[#This Row],[Match ID]],Meczusie[Mecz]:Meczusie[RodzajMeczu],2,FALSE)</f>
        <v>Towarzyski</v>
      </c>
    </row>
    <row r="3631" spans="1:37" x14ac:dyDescent="0.25">
      <c r="A3631" s="76">
        <v>4</v>
      </c>
      <c r="B3631" s="3" t="s">
        <v>360</v>
      </c>
      <c r="C3631" s="2" t="s">
        <v>157</v>
      </c>
      <c r="D3631" s="1">
        <v>0</v>
      </c>
      <c r="E3631" s="1">
        <v>0</v>
      </c>
      <c r="F3631" s="1">
        <v>0</v>
      </c>
      <c r="G3631" s="1">
        <v>6</v>
      </c>
      <c r="H3631" s="4">
        <v>0.83</v>
      </c>
      <c r="I3631" s="1">
        <v>2</v>
      </c>
      <c r="J3631" s="4">
        <v>1</v>
      </c>
      <c r="K3631" s="1">
        <v>0</v>
      </c>
      <c r="L3631" s="1">
        <v>3</v>
      </c>
      <c r="M3631" s="32">
        <f>IF(Mecze[[#This Row],[PR]]=0,0,Mecze[[#This Row],[PR]]/Mecze[[#This Row],[CZAS]])</f>
        <v>3.0927835051546393E-2</v>
      </c>
      <c r="N3631" s="32">
        <f>IF(Mecze[[#This Row],[OU]]=0,0,Mecze[[#This Row],[OU]]/Mecze[[#This Row],[CZAS]])</f>
        <v>2.0618556701030927E-2</v>
      </c>
      <c r="O3631" s="32">
        <f>IF(Mecze[[#This Row],[PC]]=0,0,Mecze[[#This Row],[PC]]/Mecze[[#This Row],[CZAS]])</f>
        <v>5.1546391752577317E-2</v>
      </c>
      <c r="P3631" s="32">
        <f>IF(Mecze[[#This Row],[SC]]=0,0,Mecze[[#This Row],[SC]]/Mecze[[#This Row],[CZAS]])</f>
        <v>0</v>
      </c>
      <c r="Q3631" s="32">
        <f>IF(Mecze[[#This Row],[OB]]=0,0,Mecze[[#This Row],[OB]]/Mecze[[#This Row],[CZAS]])</f>
        <v>0</v>
      </c>
      <c r="R3631" s="32">
        <f>IF(Mecze[[#This Row],[BR]]=0,0,Mecze[[#This Row],[BR]]/Mecze[[#This Row],[CZAS]])</f>
        <v>0</v>
      </c>
      <c r="S3631" s="44">
        <f>IF(Mecze[[#This Row],[Role]]="BR",SUMPRODUCT(Mecze[[#This Row],[/PR:90]:[/BR:90]],Brudnopis!$E$23:$J$23),0)</f>
        <v>0</v>
      </c>
      <c r="T3631" s="44">
        <f>IF(Mecze[[#This Row],[Role]]&lt;&gt;"BR",SUMPRODUCT(Mecze[[#This Row],[/PR:90]:[/BR:90]],Brudnopis!$E$24:$J$24),0)</f>
        <v>0.1134020618556701</v>
      </c>
      <c r="U3631" s="44">
        <f>IF(Mecze[[#This Row],[Role]]&lt;&gt;"BR",SUMPRODUCT(Mecze[[#This Row],[/PR:90]:[/BR:90]],Brudnopis!$E$25:$J$25),0)</f>
        <v>0.12886597938144329</v>
      </c>
      <c r="V3631" s="44">
        <f>IF(Mecze[[#This Row],[Role]]&lt;&gt;"BR",SUMPRODUCT(Mecze[[#This Row],[/PR:90]:[/BR:90]],Brudnopis!$E$26:$J$26),0)</f>
        <v>0.10309278350515463</v>
      </c>
      <c r="W3631" s="44">
        <f>IF(Mecze[[#This Row],[Role]]&lt;&gt;"BR",SUMPRODUCT(Mecze[[#This Row],[/PR:90]:[/BR:90]],Brudnopis!$E$27:$J$27),0)</f>
        <v>0.11597938144329897</v>
      </c>
      <c r="X3631" s="44">
        <f>IF(Mecze[[#This Row],[Role]]&lt;&gt;"BR",SUMPRODUCT(Mecze[[#This Row],[/PR:90]:[/BR:90]],Brudnopis!$E$28:$J$28),0)</f>
        <v>5.1546391752577317E-2</v>
      </c>
      <c r="Y3631" s="35">
        <f>IF(Mecze[[#This Row],[Role]]="BR",Mecze[[#This Row],[/OB:90]]+Mecze[[#This Row],[/PC:90]],SUM(Mecze[[#This Row],[/PR:90]:[/BR:90]]))</f>
        <v>0.10309278350515463</v>
      </c>
      <c r="Z3631" s="35">
        <f>IF(Mecze[[#This Row],[KC]]=0,SUM(Mecze[[#This Row],[/BRI]:[/NPI]]),SUM(Mecze[[#This Row],[/BRI]:[/NPI]])*0.6)</f>
        <v>0.5128865979381444</v>
      </c>
      <c r="AA3631" s="10">
        <f>IFERROR(Mecze[[#This Row],[BR]]/Mecze[[#This Row],[ST]],0)</f>
        <v>0</v>
      </c>
      <c r="AB3631">
        <f>ROUND(Mecze[[#This Row],[PD]]*Mecze[[#This Row],[%PC]],0)</f>
        <v>5</v>
      </c>
      <c r="AC3631">
        <f>ROUND(Mecze[[#This Row],[OD]]*Mecze[[#This Row],[%OU]],0)</f>
        <v>2</v>
      </c>
      <c r="AD3631" s="36" t="s">
        <v>175</v>
      </c>
      <c r="AE3631" s="36">
        <v>205</v>
      </c>
      <c r="AF3631" s="71">
        <v>4.55</v>
      </c>
      <c r="AG3631" s="37">
        <v>0</v>
      </c>
      <c r="AH3631" s="37">
        <v>0</v>
      </c>
      <c r="AI3631" s="37">
        <v>97</v>
      </c>
      <c r="AJ3631" s="37">
        <v>1</v>
      </c>
      <c r="AK3631" s="37" t="str">
        <f>VLOOKUP(Mecze[[#This Row],[Match ID]],Meczusie[Mecz]:Meczusie[RodzajMeczu],2,FALSE)</f>
        <v>Towarzyski</v>
      </c>
    </row>
    <row r="3632" spans="1:37" x14ac:dyDescent="0.25">
      <c r="A3632" s="76">
        <v>60</v>
      </c>
      <c r="B3632" s="3" t="s">
        <v>515</v>
      </c>
      <c r="C3632" s="2" t="s">
        <v>160</v>
      </c>
      <c r="D3632" s="1">
        <v>1</v>
      </c>
      <c r="E3632" s="1">
        <v>2</v>
      </c>
      <c r="F3632" s="1">
        <v>2</v>
      </c>
      <c r="G3632" s="1">
        <v>13</v>
      </c>
      <c r="H3632" s="4">
        <v>0.85</v>
      </c>
      <c r="I3632" s="1">
        <v>9</v>
      </c>
      <c r="J3632" s="4">
        <v>0.56000000000000005</v>
      </c>
      <c r="K3632" s="1">
        <v>0</v>
      </c>
      <c r="L3632" s="1">
        <v>9</v>
      </c>
      <c r="M3632" s="32">
        <f>IF(Mecze[[#This Row],[PR]]=0,0,Mecze[[#This Row],[PR]]/Mecze[[#This Row],[CZAS]])</f>
        <v>9.2783505154639179E-2</v>
      </c>
      <c r="N3632" s="32">
        <f>IF(Mecze[[#This Row],[OU]]=0,0,Mecze[[#This Row],[OU]]/Mecze[[#This Row],[CZAS]])</f>
        <v>5.1546391752577317E-2</v>
      </c>
      <c r="O3632" s="32">
        <f>IF(Mecze[[#This Row],[PC]]=0,0,Mecze[[#This Row],[PC]]/Mecze[[#This Row],[CZAS]])</f>
        <v>0.1134020618556701</v>
      </c>
      <c r="P3632" s="32">
        <f>IF(Mecze[[#This Row],[SC]]=0,0,Mecze[[#This Row],[SC]]/Mecze[[#This Row],[CZAS]])</f>
        <v>2.0618556701030927E-2</v>
      </c>
      <c r="Q3632" s="32">
        <f>IF(Mecze[[#This Row],[OB]]=0,0,Mecze[[#This Row],[OB]]/Mecze[[#This Row],[CZAS]])</f>
        <v>0</v>
      </c>
      <c r="R3632" s="32">
        <f>IF(Mecze[[#This Row],[BR]]=0,0,Mecze[[#This Row],[BR]]/Mecze[[#This Row],[CZAS]])</f>
        <v>1.0309278350515464E-2</v>
      </c>
      <c r="S3632" s="44">
        <f>IF(Mecze[[#This Row],[Role]]="BR",SUMPRODUCT(Mecze[[#This Row],[/PR:90]:[/BR:90]],Brudnopis!$E$23:$J$23),0)</f>
        <v>0</v>
      </c>
      <c r="T3632" s="44">
        <f>IF(Mecze[[#This Row],[Role]]&lt;&gt;"BR",SUMPRODUCT(Mecze[[#This Row],[/PR:90]:[/BR:90]],Brudnopis!$E$24:$J$24),0)</f>
        <v>0.31958762886597936</v>
      </c>
      <c r="U3632" s="44">
        <f>IF(Mecze[[#This Row],[Role]]&lt;&gt;"BR",SUMPRODUCT(Mecze[[#This Row],[/PR:90]:[/BR:90]],Brudnopis!$E$25:$J$25),0)</f>
        <v>0.35051546391752575</v>
      </c>
      <c r="V3632" s="44">
        <f>IF(Mecze[[#This Row],[Role]]&lt;&gt;"BR",SUMPRODUCT(Mecze[[#This Row],[/PR:90]:[/BR:90]],Brudnopis!$E$26:$J$26),0)</f>
        <v>0.29896907216494839</v>
      </c>
      <c r="W3632" s="44">
        <f>IF(Mecze[[#This Row],[Role]]&lt;&gt;"BR",SUMPRODUCT(Mecze[[#This Row],[/PR:90]:[/BR:90]],Brudnopis!$E$27:$J$27),0)</f>
        <v>0.31958762886597936</v>
      </c>
      <c r="X3632" s="44">
        <f>IF(Mecze[[#This Row],[Role]]&lt;&gt;"BR",SUMPRODUCT(Mecze[[#This Row],[/PR:90]:[/BR:90]],Brudnopis!$E$28:$J$28),0)</f>
        <v>0.18556701030927836</v>
      </c>
      <c r="Y3632" s="35">
        <f>IF(Mecze[[#This Row],[Role]]="BR",Mecze[[#This Row],[/OB:90]]+Mecze[[#This Row],[/PC:90]],SUM(Mecze[[#This Row],[/PR:90]:[/BR:90]]))</f>
        <v>0.28865979381443296</v>
      </c>
      <c r="Z3632" s="35">
        <f>IF(Mecze[[#This Row],[KC]]=0,SUM(Mecze[[#This Row],[/BRI]:[/NPI]]),SUM(Mecze[[#This Row],[/BRI]:[/NPI]])*0.6)</f>
        <v>1.4742268041237112</v>
      </c>
      <c r="AA3632" s="10">
        <f>IFERROR(Mecze[[#This Row],[BR]]/Mecze[[#This Row],[ST]],0)</f>
        <v>0.5</v>
      </c>
      <c r="AB3632">
        <f>ROUND(Mecze[[#This Row],[PD]]*Mecze[[#This Row],[%PC]],0)</f>
        <v>11</v>
      </c>
      <c r="AC3632">
        <f>ROUND(Mecze[[#This Row],[OD]]*Mecze[[#This Row],[%OU]],0)</f>
        <v>5</v>
      </c>
      <c r="AD3632" s="36" t="s">
        <v>67</v>
      </c>
      <c r="AE3632" s="36">
        <v>205</v>
      </c>
      <c r="AF3632" s="71">
        <v>10.5</v>
      </c>
      <c r="AG3632" s="37">
        <v>0</v>
      </c>
      <c r="AH3632" s="37">
        <v>0</v>
      </c>
      <c r="AI3632" s="37">
        <v>97</v>
      </c>
      <c r="AJ3632" s="37">
        <v>1</v>
      </c>
      <c r="AK3632" s="37" t="str">
        <f>VLOOKUP(Mecze[[#This Row],[Match ID]],Meczusie[Mecz]:Meczusie[RodzajMeczu],2,FALSE)</f>
        <v>Towarzyski</v>
      </c>
    </row>
    <row r="3633" spans="1:37" x14ac:dyDescent="0.25">
      <c r="A3633" s="76">
        <v>13</v>
      </c>
      <c r="B3633" s="3" t="s">
        <v>162</v>
      </c>
      <c r="C3633" s="2" t="s">
        <v>160</v>
      </c>
      <c r="D3633" s="1">
        <v>0</v>
      </c>
      <c r="E3633" s="1">
        <v>1</v>
      </c>
      <c r="F3633" s="1">
        <v>0</v>
      </c>
      <c r="G3633" s="1">
        <v>6</v>
      </c>
      <c r="H3633" s="4">
        <v>0.5</v>
      </c>
      <c r="I3633" s="1">
        <v>2</v>
      </c>
      <c r="J3633" s="4">
        <v>0</v>
      </c>
      <c r="K3633" s="1">
        <v>0</v>
      </c>
      <c r="L3633" s="1">
        <v>3</v>
      </c>
      <c r="M3633" s="32">
        <f>IF(Mecze[[#This Row],[PR]]=0,0,Mecze[[#This Row],[PR]]/Mecze[[#This Row],[CZAS]])</f>
        <v>3.0927835051546393E-2</v>
      </c>
      <c r="N3633" s="32">
        <f>IF(Mecze[[#This Row],[OU]]=0,0,Mecze[[#This Row],[OU]]/Mecze[[#This Row],[CZAS]])</f>
        <v>0</v>
      </c>
      <c r="O3633" s="32">
        <f>IF(Mecze[[#This Row],[PC]]=0,0,Mecze[[#This Row],[PC]]/Mecze[[#This Row],[CZAS]])</f>
        <v>3.0927835051546393E-2</v>
      </c>
      <c r="P3633" s="32">
        <f>IF(Mecze[[#This Row],[SC]]=0,0,Mecze[[#This Row],[SC]]/Mecze[[#This Row],[CZAS]])</f>
        <v>0</v>
      </c>
      <c r="Q3633" s="32">
        <f>IF(Mecze[[#This Row],[OB]]=0,0,Mecze[[#This Row],[OB]]/Mecze[[#This Row],[CZAS]])</f>
        <v>0</v>
      </c>
      <c r="R3633" s="32">
        <f>IF(Mecze[[#This Row],[BR]]=0,0,Mecze[[#This Row],[BR]]/Mecze[[#This Row],[CZAS]])</f>
        <v>0</v>
      </c>
      <c r="S3633" s="44">
        <f>IF(Mecze[[#This Row],[Role]]="BR",SUMPRODUCT(Mecze[[#This Row],[/PR:90]:[/BR:90]],Brudnopis!$E$23:$J$23),0)</f>
        <v>0</v>
      </c>
      <c r="T3633" s="44">
        <f>IF(Mecze[[#This Row],[Role]]&lt;&gt;"BR",SUMPRODUCT(Mecze[[#This Row],[/PR:90]:[/BR:90]],Brudnopis!$E$24:$J$24),0)</f>
        <v>6.1855670103092786E-2</v>
      </c>
      <c r="U3633" s="44">
        <f>IF(Mecze[[#This Row],[Role]]&lt;&gt;"BR",SUMPRODUCT(Mecze[[#This Row],[/PR:90]:[/BR:90]],Brudnopis!$E$25:$J$25),0)</f>
        <v>7.7319587628865982E-2</v>
      </c>
      <c r="V3633" s="44">
        <f>IF(Mecze[[#This Row],[Role]]&lt;&gt;"BR",SUMPRODUCT(Mecze[[#This Row],[/PR:90]:[/BR:90]],Brudnopis!$E$26:$J$26),0)</f>
        <v>6.1855670103092786E-2</v>
      </c>
      <c r="W3633" s="44">
        <f>IF(Mecze[[#This Row],[Role]]&lt;&gt;"BR",SUMPRODUCT(Mecze[[#This Row],[/PR:90]:[/BR:90]],Brudnopis!$E$27:$J$27),0)</f>
        <v>6.9587628865979384E-2</v>
      </c>
      <c r="X3633" s="44">
        <f>IF(Mecze[[#This Row],[Role]]&lt;&gt;"BR",SUMPRODUCT(Mecze[[#This Row],[/PR:90]:[/BR:90]],Brudnopis!$E$28:$J$28),0)</f>
        <v>3.0927835051546393E-2</v>
      </c>
      <c r="Y3633" s="35">
        <f>IF(Mecze[[#This Row],[Role]]="BR",Mecze[[#This Row],[/OB:90]]+Mecze[[#This Row],[/PC:90]],SUM(Mecze[[#This Row],[/PR:90]:[/BR:90]]))</f>
        <v>6.1855670103092786E-2</v>
      </c>
      <c r="Z3633" s="35">
        <f>IF(Mecze[[#This Row],[KC]]=0,SUM(Mecze[[#This Row],[/BRI]:[/NPI]]),SUM(Mecze[[#This Row],[/BRI]:[/NPI]])*0.6)</f>
        <v>0.30154639175257736</v>
      </c>
      <c r="AA3633" s="10">
        <f>IFERROR(Mecze[[#This Row],[BR]]/Mecze[[#This Row],[ST]],0)</f>
        <v>0</v>
      </c>
      <c r="AB3633">
        <f>ROUND(Mecze[[#This Row],[PD]]*Mecze[[#This Row],[%PC]],0)</f>
        <v>3</v>
      </c>
      <c r="AC3633">
        <f>ROUND(Mecze[[#This Row],[OD]]*Mecze[[#This Row],[%OU]],0)</f>
        <v>0</v>
      </c>
      <c r="AD3633" s="36" t="s">
        <v>67</v>
      </c>
      <c r="AE3633" s="36">
        <v>205</v>
      </c>
      <c r="AF3633" s="71">
        <v>5.76</v>
      </c>
      <c r="AG3633" s="37">
        <v>0</v>
      </c>
      <c r="AH3633" s="37">
        <v>0</v>
      </c>
      <c r="AI3633" s="37">
        <v>97</v>
      </c>
      <c r="AJ3633" s="37">
        <v>1</v>
      </c>
      <c r="AK3633" s="37" t="str">
        <f>VLOOKUP(Mecze[[#This Row],[Match ID]],Meczusie[Mecz]:Meczusie[RodzajMeczu],2,FALSE)</f>
        <v>Towarzyski</v>
      </c>
    </row>
    <row r="3634" spans="1:37" x14ac:dyDescent="0.25">
      <c r="A3634" s="76">
        <v>15</v>
      </c>
      <c r="B3634" s="3" t="s">
        <v>170</v>
      </c>
      <c r="C3634" s="2" t="s">
        <v>160</v>
      </c>
      <c r="D3634" s="1">
        <v>0</v>
      </c>
      <c r="E3634" s="1">
        <v>0</v>
      </c>
      <c r="F3634" s="1">
        <v>0</v>
      </c>
      <c r="G3634" s="1">
        <v>5</v>
      </c>
      <c r="H3634" s="4">
        <v>0.8</v>
      </c>
      <c r="I3634" s="1">
        <v>0</v>
      </c>
      <c r="J3634" s="4"/>
      <c r="K3634" s="1">
        <v>0</v>
      </c>
      <c r="L3634" s="1">
        <v>5</v>
      </c>
      <c r="M3634" s="32">
        <f>IF(Mecze[[#This Row],[PR]]=0,0,Mecze[[#This Row],[PR]]/Mecze[[#This Row],[CZAS]])</f>
        <v>5.1546391752577317E-2</v>
      </c>
      <c r="N3634" s="32">
        <f>IF(Mecze[[#This Row],[OU]]=0,0,Mecze[[#This Row],[OU]]/Mecze[[#This Row],[CZAS]])</f>
        <v>0</v>
      </c>
      <c r="O3634" s="32">
        <f>IF(Mecze[[#This Row],[PC]]=0,0,Mecze[[#This Row],[PC]]/Mecze[[#This Row],[CZAS]])</f>
        <v>4.1237113402061855E-2</v>
      </c>
      <c r="P3634" s="32">
        <f>IF(Mecze[[#This Row],[SC]]=0,0,Mecze[[#This Row],[SC]]/Mecze[[#This Row],[CZAS]])</f>
        <v>0</v>
      </c>
      <c r="Q3634" s="32">
        <f>IF(Mecze[[#This Row],[OB]]=0,0,Mecze[[#This Row],[OB]]/Mecze[[#This Row],[CZAS]])</f>
        <v>0</v>
      </c>
      <c r="R3634" s="32">
        <f>IF(Mecze[[#This Row],[BR]]=0,0,Mecze[[#This Row],[BR]]/Mecze[[#This Row],[CZAS]])</f>
        <v>0</v>
      </c>
      <c r="S3634" s="44">
        <f>IF(Mecze[[#This Row],[Role]]="BR",SUMPRODUCT(Mecze[[#This Row],[/PR:90]:[/BR:90]],Brudnopis!$E$23:$J$23),0)</f>
        <v>0</v>
      </c>
      <c r="T3634" s="44">
        <f>IF(Mecze[[#This Row],[Role]]&lt;&gt;"BR",SUMPRODUCT(Mecze[[#This Row],[/PR:90]:[/BR:90]],Brudnopis!$E$24:$J$24),0)</f>
        <v>9.2783505154639179E-2</v>
      </c>
      <c r="U3634" s="44">
        <f>IF(Mecze[[#This Row],[Role]]&lt;&gt;"BR",SUMPRODUCT(Mecze[[#This Row],[/PR:90]:[/BR:90]],Brudnopis!$E$25:$J$25),0)</f>
        <v>0.1134020618556701</v>
      </c>
      <c r="V3634" s="44">
        <f>IF(Mecze[[#This Row],[Role]]&lt;&gt;"BR",SUMPRODUCT(Mecze[[#This Row],[/PR:90]:[/BR:90]],Brudnopis!$E$26:$J$26),0)</f>
        <v>9.2783505154639179E-2</v>
      </c>
      <c r="W3634" s="44">
        <f>IF(Mecze[[#This Row],[Role]]&lt;&gt;"BR",SUMPRODUCT(Mecze[[#This Row],[/PR:90]:[/BR:90]],Brudnopis!$E$27:$J$27),0)</f>
        <v>0.10051546391752578</v>
      </c>
      <c r="X3634" s="44">
        <f>IF(Mecze[[#This Row],[Role]]&lt;&gt;"BR",SUMPRODUCT(Mecze[[#This Row],[/PR:90]:[/BR:90]],Brudnopis!$E$28:$J$28),0)</f>
        <v>4.1237113402061855E-2</v>
      </c>
      <c r="Y3634" s="35">
        <f>IF(Mecze[[#This Row],[Role]]="BR",Mecze[[#This Row],[/OB:90]]+Mecze[[#This Row],[/PC:90]],SUM(Mecze[[#This Row],[/PR:90]:[/BR:90]]))</f>
        <v>9.2783505154639179E-2</v>
      </c>
      <c r="Z3634" s="35">
        <f>IF(Mecze[[#This Row],[KC]]=0,SUM(Mecze[[#This Row],[/BRI]:[/NPI]]),SUM(Mecze[[#This Row],[/BRI]:[/NPI]])*0.6)</f>
        <v>0.44072164948453613</v>
      </c>
      <c r="AA3634" s="10">
        <f>IFERROR(Mecze[[#This Row],[BR]]/Mecze[[#This Row],[ST]],0)</f>
        <v>0</v>
      </c>
      <c r="AB3634">
        <f>ROUND(Mecze[[#This Row],[PD]]*Mecze[[#This Row],[%PC]],0)</f>
        <v>4</v>
      </c>
      <c r="AC3634">
        <f>ROUND(Mecze[[#This Row],[OD]]*Mecze[[#This Row],[%OU]],0)</f>
        <v>0</v>
      </c>
      <c r="AD3634" s="36" t="s">
        <v>67</v>
      </c>
      <c r="AE3634" s="36">
        <v>205</v>
      </c>
      <c r="AF3634" s="71">
        <v>7.09</v>
      </c>
      <c r="AG3634" s="37">
        <v>0</v>
      </c>
      <c r="AH3634" s="37">
        <v>0</v>
      </c>
      <c r="AI3634" s="37">
        <v>97</v>
      </c>
      <c r="AJ3634" s="37">
        <v>1</v>
      </c>
      <c r="AK3634" s="37" t="str">
        <f>VLOOKUP(Mecze[[#This Row],[Match ID]],Meczusie[Mecz]:Meczusie[RodzajMeczu],2,FALSE)</f>
        <v>Towarzyski</v>
      </c>
    </row>
    <row r="3635" spans="1:37" x14ac:dyDescent="0.25">
      <c r="A3635" s="76">
        <v>14</v>
      </c>
      <c r="B3635" s="3" t="s">
        <v>164</v>
      </c>
      <c r="C3635" s="2" t="s">
        <v>165</v>
      </c>
      <c r="D3635" s="1">
        <v>3</v>
      </c>
      <c r="E3635" s="1">
        <v>5</v>
      </c>
      <c r="F3635" s="1">
        <v>5</v>
      </c>
      <c r="G3635" s="1">
        <v>12</v>
      </c>
      <c r="H3635" s="4">
        <v>0.57999999999999996</v>
      </c>
      <c r="I3635" s="1">
        <v>2</v>
      </c>
      <c r="J3635" s="4">
        <v>1</v>
      </c>
      <c r="K3635" s="1">
        <v>0</v>
      </c>
      <c r="L3635" s="1">
        <v>6</v>
      </c>
      <c r="M3635" s="32">
        <f>IF(Mecze[[#This Row],[PR]]=0,0,Mecze[[#This Row],[PR]]/Mecze[[#This Row],[CZAS]])</f>
        <v>6.1855670103092786E-2</v>
      </c>
      <c r="N3635" s="32">
        <f>IF(Mecze[[#This Row],[OU]]=0,0,Mecze[[#This Row],[OU]]/Mecze[[#This Row],[CZAS]])</f>
        <v>2.0618556701030927E-2</v>
      </c>
      <c r="O3635" s="32">
        <f>IF(Mecze[[#This Row],[PC]]=0,0,Mecze[[#This Row],[PC]]/Mecze[[#This Row],[CZAS]])</f>
        <v>7.2164948453608241E-2</v>
      </c>
      <c r="P3635" s="32">
        <f>IF(Mecze[[#This Row],[SC]]=0,0,Mecze[[#This Row],[SC]]/Mecze[[#This Row],[CZAS]])</f>
        <v>5.1546391752577317E-2</v>
      </c>
      <c r="Q3635" s="32">
        <f>IF(Mecze[[#This Row],[OB]]=0,0,Mecze[[#This Row],[OB]]/Mecze[[#This Row],[CZAS]])</f>
        <v>0</v>
      </c>
      <c r="R3635" s="32">
        <f>IF(Mecze[[#This Row],[BR]]=0,0,Mecze[[#This Row],[BR]]/Mecze[[#This Row],[CZAS]])</f>
        <v>3.0927835051546393E-2</v>
      </c>
      <c r="S3635" s="44">
        <f>IF(Mecze[[#This Row],[Role]]="BR",SUMPRODUCT(Mecze[[#This Row],[/PR:90]:[/BR:90]],Brudnopis!$E$23:$J$23),0)</f>
        <v>0</v>
      </c>
      <c r="T3635" s="44">
        <f>IF(Mecze[[#This Row],[Role]]&lt;&gt;"BR",SUMPRODUCT(Mecze[[#This Row],[/PR:90]:[/BR:90]],Brudnopis!$E$24:$J$24),0)</f>
        <v>0.26288659793814434</v>
      </c>
      <c r="U3635" s="44">
        <f>IF(Mecze[[#This Row],[Role]]&lt;&gt;"BR",SUMPRODUCT(Mecze[[#This Row],[/PR:90]:[/BR:90]],Brudnopis!$E$25:$J$25),0)</f>
        <v>0.28865979381443296</v>
      </c>
      <c r="V3635" s="44">
        <f>IF(Mecze[[#This Row],[Role]]&lt;&gt;"BR",SUMPRODUCT(Mecze[[#This Row],[/PR:90]:[/BR:90]],Brudnopis!$E$26:$J$26),0)</f>
        <v>0.26804123711340205</v>
      </c>
      <c r="W3635" s="44">
        <f>IF(Mecze[[#This Row],[Role]]&lt;&gt;"BR",SUMPRODUCT(Mecze[[#This Row],[/PR:90]:[/BR:90]],Brudnopis!$E$27:$J$27),0)</f>
        <v>0.28350515463917525</v>
      </c>
      <c r="X3635" s="44">
        <f>IF(Mecze[[#This Row],[Role]]&lt;&gt;"BR",SUMPRODUCT(Mecze[[#This Row],[/PR:90]:[/BR:90]],Brudnopis!$E$28:$J$28),0)</f>
        <v>0.26804123711340205</v>
      </c>
      <c r="Y3635" s="35">
        <f>IF(Mecze[[#This Row],[Role]]="BR",Mecze[[#This Row],[/OB:90]]+Mecze[[#This Row],[/PC:90]],SUM(Mecze[[#This Row],[/PR:90]:[/BR:90]]))</f>
        <v>0.23711340206185566</v>
      </c>
      <c r="Z3635" s="35">
        <f>IF(Mecze[[#This Row],[KC]]=0,SUM(Mecze[[#This Row],[/BRI]:[/NPI]]),SUM(Mecze[[#This Row],[/BRI]:[/NPI]])*0.6)</f>
        <v>1.3711340206185567</v>
      </c>
      <c r="AA3635" s="10">
        <f>IFERROR(Mecze[[#This Row],[BR]]/Mecze[[#This Row],[ST]],0)</f>
        <v>0.6</v>
      </c>
      <c r="AB3635">
        <f>ROUND(Mecze[[#This Row],[PD]]*Mecze[[#This Row],[%PC]],0)</f>
        <v>7</v>
      </c>
      <c r="AC3635">
        <f>ROUND(Mecze[[#This Row],[OD]]*Mecze[[#This Row],[%OU]],0)</f>
        <v>2</v>
      </c>
      <c r="AD3635" s="36" t="s">
        <v>46</v>
      </c>
      <c r="AE3635" s="36">
        <v>205</v>
      </c>
      <c r="AF3635" s="71">
        <v>13.26</v>
      </c>
      <c r="AG3635" s="37">
        <v>0</v>
      </c>
      <c r="AH3635" s="37">
        <v>0</v>
      </c>
      <c r="AI3635" s="37">
        <v>97</v>
      </c>
      <c r="AJ3635" s="37">
        <v>1</v>
      </c>
      <c r="AK3635" s="37" t="str">
        <f>VLOOKUP(Mecze[[#This Row],[Match ID]],Meczusie[Mecz]:Meczusie[RodzajMeczu],2,FALSE)</f>
        <v>Towarzyski</v>
      </c>
    </row>
    <row r="3636" spans="1:37" x14ac:dyDescent="0.25">
      <c r="A3636" s="76">
        <v>19</v>
      </c>
      <c r="B3636" s="3" t="s">
        <v>166</v>
      </c>
      <c r="C3636" s="2" t="s">
        <v>165</v>
      </c>
      <c r="D3636" s="1">
        <v>4</v>
      </c>
      <c r="E3636" s="1">
        <v>5</v>
      </c>
      <c r="F3636" s="1">
        <v>5</v>
      </c>
      <c r="G3636" s="1">
        <v>8</v>
      </c>
      <c r="H3636" s="4">
        <v>0.63</v>
      </c>
      <c r="I3636" s="1">
        <v>3</v>
      </c>
      <c r="J3636" s="4">
        <v>0.33</v>
      </c>
      <c r="K3636" s="1">
        <v>0</v>
      </c>
      <c r="L3636" s="1">
        <v>2</v>
      </c>
      <c r="M3636" s="32">
        <f>IF(Mecze[[#This Row],[PR]]=0,0,Mecze[[#This Row],[PR]]/Mecze[[#This Row],[CZAS]])</f>
        <v>2.0618556701030927E-2</v>
      </c>
      <c r="N3636" s="32">
        <f>IF(Mecze[[#This Row],[OU]]=0,0,Mecze[[#This Row],[OU]]/Mecze[[#This Row],[CZAS]])</f>
        <v>1.0309278350515464E-2</v>
      </c>
      <c r="O3636" s="32">
        <f>IF(Mecze[[#This Row],[PC]]=0,0,Mecze[[#This Row],[PC]]/Mecze[[#This Row],[CZAS]])</f>
        <v>5.1546391752577317E-2</v>
      </c>
      <c r="P3636" s="32">
        <f>IF(Mecze[[#This Row],[SC]]=0,0,Mecze[[#This Row],[SC]]/Mecze[[#This Row],[CZAS]])</f>
        <v>5.1546391752577317E-2</v>
      </c>
      <c r="Q3636" s="32">
        <f>IF(Mecze[[#This Row],[OB]]=0,0,Mecze[[#This Row],[OB]]/Mecze[[#This Row],[CZAS]])</f>
        <v>0</v>
      </c>
      <c r="R3636" s="32">
        <f>IF(Mecze[[#This Row],[BR]]=0,0,Mecze[[#This Row],[BR]]/Mecze[[#This Row],[CZAS]])</f>
        <v>4.1237113402061855E-2</v>
      </c>
      <c r="S3636" s="44">
        <f>IF(Mecze[[#This Row],[Role]]="BR",SUMPRODUCT(Mecze[[#This Row],[/PR:90]:[/BR:90]],Brudnopis!$E$23:$J$23),0)</f>
        <v>0</v>
      </c>
      <c r="T3636" s="44">
        <f>IF(Mecze[[#This Row],[Role]]&lt;&gt;"BR",SUMPRODUCT(Mecze[[#This Row],[/PR:90]:[/BR:90]],Brudnopis!$E$24:$J$24),0)</f>
        <v>0.20103092783505155</v>
      </c>
      <c r="U3636" s="44">
        <f>IF(Mecze[[#This Row],[Role]]&lt;&gt;"BR",SUMPRODUCT(Mecze[[#This Row],[/PR:90]:[/BR:90]],Brudnopis!$E$25:$J$25),0)</f>
        <v>0.22164948453608246</v>
      </c>
      <c r="V3636" s="44">
        <f>IF(Mecze[[#This Row],[Role]]&lt;&gt;"BR",SUMPRODUCT(Mecze[[#This Row],[/PR:90]:[/BR:90]],Brudnopis!$E$26:$J$26),0)</f>
        <v>0.21649484536082475</v>
      </c>
      <c r="W3636" s="44">
        <f>IF(Mecze[[#This Row],[Role]]&lt;&gt;"BR",SUMPRODUCT(Mecze[[#This Row],[/PR:90]:[/BR:90]],Brudnopis!$E$27:$J$27),0)</f>
        <v>0.2345360824742268</v>
      </c>
      <c r="X3636" s="44">
        <f>IF(Mecze[[#This Row],[Role]]&lt;&gt;"BR",SUMPRODUCT(Mecze[[#This Row],[/PR:90]:[/BR:90]],Brudnopis!$E$28:$J$28),0)</f>
        <v>0.27835051546391754</v>
      </c>
      <c r="Y3636" s="35">
        <f>IF(Mecze[[#This Row],[Role]]="BR",Mecze[[#This Row],[/OB:90]]+Mecze[[#This Row],[/PC:90]],SUM(Mecze[[#This Row],[/PR:90]:[/BR:90]]))</f>
        <v>0.17525773195876287</v>
      </c>
      <c r="Z3636" s="35">
        <f>IF(Mecze[[#This Row],[KC]]=0,SUM(Mecze[[#This Row],[/BRI]:[/NPI]]),SUM(Mecze[[#This Row],[/BRI]:[/NPI]])*0.6)</f>
        <v>1.152061855670103</v>
      </c>
      <c r="AA3636" s="10">
        <f>IFERROR(Mecze[[#This Row],[BR]]/Mecze[[#This Row],[ST]],0)</f>
        <v>0.8</v>
      </c>
      <c r="AB3636">
        <f>ROUND(Mecze[[#This Row],[PD]]*Mecze[[#This Row],[%PC]],0)</f>
        <v>5</v>
      </c>
      <c r="AC3636">
        <f>ROUND(Mecze[[#This Row],[OD]]*Mecze[[#This Row],[%OU]],0)</f>
        <v>1</v>
      </c>
      <c r="AD3636" s="36" t="s">
        <v>46</v>
      </c>
      <c r="AE3636" s="36">
        <v>205</v>
      </c>
      <c r="AF3636" s="71">
        <v>15.56</v>
      </c>
      <c r="AG3636" s="37">
        <v>0</v>
      </c>
      <c r="AH3636" s="37">
        <v>0</v>
      </c>
      <c r="AI3636" s="37">
        <v>97</v>
      </c>
      <c r="AJ3636" s="37">
        <v>1</v>
      </c>
      <c r="AK3636" s="37" t="str">
        <f>VLOOKUP(Mecze[[#This Row],[Match ID]],Meczusie[Mecz]:Meczusie[RodzajMeczu],2,FALSE)</f>
        <v>Towarzyski</v>
      </c>
    </row>
    <row r="3637" spans="1:37" x14ac:dyDescent="0.25">
      <c r="A3637" s="76">
        <v>9</v>
      </c>
      <c r="B3637" s="3" t="s">
        <v>411</v>
      </c>
      <c r="C3637" s="2" t="s">
        <v>165</v>
      </c>
      <c r="D3637" s="1">
        <v>5</v>
      </c>
      <c r="E3637" s="1">
        <v>8</v>
      </c>
      <c r="F3637" s="1">
        <v>8</v>
      </c>
      <c r="G3637" s="1">
        <v>7</v>
      </c>
      <c r="H3637" s="4">
        <v>0.56999999999999995</v>
      </c>
      <c r="I3637" s="1">
        <v>4</v>
      </c>
      <c r="J3637" s="4">
        <v>0.25</v>
      </c>
      <c r="K3637" s="1">
        <v>0</v>
      </c>
      <c r="L3637" s="1">
        <v>0</v>
      </c>
      <c r="M3637" s="32">
        <f>IF(Mecze[[#This Row],[PR]]=0,0,Mecze[[#This Row],[PR]]/Mecze[[#This Row],[CZAS]])</f>
        <v>0</v>
      </c>
      <c r="N3637" s="32">
        <f>IF(Mecze[[#This Row],[OU]]=0,0,Mecze[[#This Row],[OU]]/Mecze[[#This Row],[CZAS]])</f>
        <v>1.0309278350515464E-2</v>
      </c>
      <c r="O3637" s="32">
        <f>IF(Mecze[[#This Row],[PC]]=0,0,Mecze[[#This Row],[PC]]/Mecze[[#This Row],[CZAS]])</f>
        <v>4.1237113402061855E-2</v>
      </c>
      <c r="P3637" s="32">
        <f>IF(Mecze[[#This Row],[SC]]=0,0,Mecze[[#This Row],[SC]]/Mecze[[#This Row],[CZAS]])</f>
        <v>8.247422680412371E-2</v>
      </c>
      <c r="Q3637" s="32">
        <f>IF(Mecze[[#This Row],[OB]]=0,0,Mecze[[#This Row],[OB]]/Mecze[[#This Row],[CZAS]])</f>
        <v>0</v>
      </c>
      <c r="R3637" s="32">
        <f>IF(Mecze[[#This Row],[BR]]=0,0,Mecze[[#This Row],[BR]]/Mecze[[#This Row],[CZAS]])</f>
        <v>5.1546391752577317E-2</v>
      </c>
      <c r="S3637" s="44">
        <f>IF(Mecze[[#This Row],[Role]]="BR",SUMPRODUCT(Mecze[[#This Row],[/PR:90]:[/BR:90]],Brudnopis!$E$23:$J$23),0)</f>
        <v>0</v>
      </c>
      <c r="T3637" s="44">
        <f>IF(Mecze[[#This Row],[Role]]&lt;&gt;"BR",SUMPRODUCT(Mecze[[#This Row],[/PR:90]:[/BR:90]],Brudnopis!$E$24:$J$24),0)</f>
        <v>0.21649484536082475</v>
      </c>
      <c r="U3637" s="44">
        <f>IF(Mecze[[#This Row],[Role]]&lt;&gt;"BR",SUMPRODUCT(Mecze[[#This Row],[/PR:90]:[/BR:90]],Brudnopis!$E$25:$J$25),0)</f>
        <v>0.23195876288659795</v>
      </c>
      <c r="V3637" s="44">
        <f>IF(Mecze[[#This Row],[Role]]&lt;&gt;"BR",SUMPRODUCT(Mecze[[#This Row],[/PR:90]:[/BR:90]],Brudnopis!$E$26:$J$26),0)</f>
        <v>0.23711340206185566</v>
      </c>
      <c r="W3637" s="44">
        <f>IF(Mecze[[#This Row],[Role]]&lt;&gt;"BR",SUMPRODUCT(Mecze[[#This Row],[/PR:90]:[/BR:90]],Brudnopis!$E$27:$J$27),0)</f>
        <v>0.25515463917525771</v>
      </c>
      <c r="X3637" s="44">
        <f>IF(Mecze[[#This Row],[Role]]&lt;&gt;"BR",SUMPRODUCT(Mecze[[#This Row],[/PR:90]:[/BR:90]],Brudnopis!$E$28:$J$28),0)</f>
        <v>0.36082474226804123</v>
      </c>
      <c r="Y3637" s="35">
        <f>IF(Mecze[[#This Row],[Role]]="BR",Mecze[[#This Row],[/OB:90]]+Mecze[[#This Row],[/PC:90]],SUM(Mecze[[#This Row],[/PR:90]:[/BR:90]]))</f>
        <v>0.18556701030927836</v>
      </c>
      <c r="Z3637" s="35">
        <f>IF(Mecze[[#This Row],[KC]]=0,SUM(Mecze[[#This Row],[/BRI]:[/NPI]]),SUM(Mecze[[#This Row],[/BRI]:[/NPI]])*0.6)</f>
        <v>1.3015463917525774</v>
      </c>
      <c r="AA3637" s="10">
        <f>IFERROR(Mecze[[#This Row],[BR]]/Mecze[[#This Row],[ST]],0)</f>
        <v>0.625</v>
      </c>
      <c r="AB3637">
        <f>ROUND(Mecze[[#This Row],[PD]]*Mecze[[#This Row],[%PC]],0)</f>
        <v>4</v>
      </c>
      <c r="AC3637">
        <f>ROUND(Mecze[[#This Row],[OD]]*Mecze[[#This Row],[%OU]],0)</f>
        <v>1</v>
      </c>
      <c r="AD3637" s="36" t="s">
        <v>46</v>
      </c>
      <c r="AE3637" s="36">
        <v>205</v>
      </c>
      <c r="AF3637" s="71">
        <v>18.52</v>
      </c>
      <c r="AG3637" s="37">
        <v>0</v>
      </c>
      <c r="AH3637" s="37">
        <v>0</v>
      </c>
      <c r="AI3637" s="37">
        <v>97</v>
      </c>
      <c r="AJ3637" s="37">
        <v>1</v>
      </c>
      <c r="AK3637" s="37" t="str">
        <f>VLOOKUP(Mecze[[#This Row],[Match ID]],Meczusie[Mecz]:Meczusie[RodzajMeczu],2,FALSE)</f>
        <v>Towarzyski</v>
      </c>
    </row>
    <row r="3638" spans="1:37" x14ac:dyDescent="0.25">
      <c r="A3638" s="76">
        <v>1</v>
      </c>
      <c r="B3638" s="3" t="s">
        <v>169</v>
      </c>
      <c r="C3638" s="2" t="s">
        <v>155</v>
      </c>
      <c r="D3638" s="1">
        <v>0</v>
      </c>
      <c r="E3638" s="1">
        <v>0</v>
      </c>
      <c r="F3638" s="1">
        <v>0</v>
      </c>
      <c r="G3638" s="1">
        <v>0</v>
      </c>
      <c r="H3638" s="72"/>
      <c r="I3638" s="1">
        <v>0</v>
      </c>
      <c r="J3638" s="4"/>
      <c r="K3638" s="1">
        <v>0</v>
      </c>
      <c r="L3638" s="1">
        <v>0</v>
      </c>
      <c r="M3638" s="32">
        <f>IF(Mecze[[#This Row],[PR]]=0,0,Mecze[[#This Row],[PR]]/Mecze[[#This Row],[CZAS]])</f>
        <v>0</v>
      </c>
      <c r="N3638" s="32">
        <f>IF(Mecze[[#This Row],[OU]]=0,0,Mecze[[#This Row],[OU]]/Mecze[[#This Row],[CZAS]])</f>
        <v>0</v>
      </c>
      <c r="O3638" s="32">
        <f>IF(Mecze[[#This Row],[PC]]=0,0,Mecze[[#This Row],[PC]]/Mecze[[#This Row],[CZAS]])</f>
        <v>0</v>
      </c>
      <c r="P3638" s="32">
        <f>IF(Mecze[[#This Row],[SC]]=0,0,Mecze[[#This Row],[SC]]/Mecze[[#This Row],[CZAS]])</f>
        <v>0</v>
      </c>
      <c r="Q3638" s="32">
        <f>IF(Mecze[[#This Row],[OB]]=0,0,Mecze[[#This Row],[OB]]/Mecze[[#This Row],[CZAS]])</f>
        <v>0</v>
      </c>
      <c r="R3638" s="32">
        <f>IF(Mecze[[#This Row],[BR]]=0,0,Mecze[[#This Row],[BR]]/Mecze[[#This Row],[CZAS]])</f>
        <v>0</v>
      </c>
      <c r="S3638" s="44">
        <f>IF(Mecze[[#This Row],[Role]]="BR",SUMPRODUCT(Mecze[[#This Row],[/PR:90]:[/BR:90]],Brudnopis!$E$23:$J$23),0)</f>
        <v>0</v>
      </c>
      <c r="T3638" s="44">
        <f>IF(Mecze[[#This Row],[Role]]&lt;&gt;"BR",SUMPRODUCT(Mecze[[#This Row],[/PR:90]:[/BR:90]],Brudnopis!$E$24:$J$24),0)</f>
        <v>0</v>
      </c>
      <c r="U3638" s="44">
        <f>IF(Mecze[[#This Row],[Role]]&lt;&gt;"BR",SUMPRODUCT(Mecze[[#This Row],[/PR:90]:[/BR:90]],Brudnopis!$E$25:$J$25),0)</f>
        <v>0</v>
      </c>
      <c r="V3638" s="44">
        <f>IF(Mecze[[#This Row],[Role]]&lt;&gt;"BR",SUMPRODUCT(Mecze[[#This Row],[/PR:90]:[/BR:90]],Brudnopis!$E$26:$J$26),0)</f>
        <v>0</v>
      </c>
      <c r="W3638" s="44">
        <f>IF(Mecze[[#This Row],[Role]]&lt;&gt;"BR",SUMPRODUCT(Mecze[[#This Row],[/PR:90]:[/BR:90]],Brudnopis!$E$27:$J$27),0)</f>
        <v>0</v>
      </c>
      <c r="X3638" s="44">
        <f>IF(Mecze[[#This Row],[Role]]&lt;&gt;"BR",SUMPRODUCT(Mecze[[#This Row],[/PR:90]:[/BR:90]],Brudnopis!$E$28:$J$28),0)</f>
        <v>0</v>
      </c>
      <c r="Y3638" s="35">
        <f>IF(Mecze[[#This Row],[Role]]="BR",Mecze[[#This Row],[/OB:90]]+Mecze[[#This Row],[/PC:90]],SUM(Mecze[[#This Row],[/PR:90]:[/BR:90]]))</f>
        <v>0</v>
      </c>
      <c r="Z3638" s="35">
        <f>IF(Mecze[[#This Row],[KC]]=0,SUM(Mecze[[#This Row],[/BRI]:[/NPI]]),SUM(Mecze[[#This Row],[/BRI]:[/NPI]])*0.6)</f>
        <v>0</v>
      </c>
      <c r="AA3638" s="10">
        <f>IFERROR(Mecze[[#This Row],[BR]]/Mecze[[#This Row],[ST]],0)</f>
        <v>0</v>
      </c>
      <c r="AB3638">
        <f>ROUND(Mecze[[#This Row],[PD]]*Mecze[[#This Row],[%PC]],0)</f>
        <v>0</v>
      </c>
      <c r="AC3638">
        <f>ROUND(Mecze[[#This Row],[OD]]*Mecze[[#This Row],[%OU]],0)</f>
        <v>0</v>
      </c>
      <c r="AD3638" s="36" t="s">
        <v>40</v>
      </c>
      <c r="AE3638" s="36">
        <v>206</v>
      </c>
      <c r="AF3638" s="71">
        <v>7.04</v>
      </c>
      <c r="AG3638" s="37">
        <v>0</v>
      </c>
      <c r="AH3638" s="37">
        <v>0</v>
      </c>
      <c r="AI3638" s="37">
        <v>97</v>
      </c>
      <c r="AJ3638" s="37">
        <v>1</v>
      </c>
      <c r="AK3638" s="37" t="str">
        <f>VLOOKUP(Mecze[[#This Row],[Match ID]],Meczusie[Mecz]:Meczusie[RodzajMeczu],2,FALSE)</f>
        <v>Towarzyski</v>
      </c>
    </row>
    <row r="3639" spans="1:37" x14ac:dyDescent="0.25">
      <c r="A3639" s="76">
        <v>5</v>
      </c>
      <c r="B3639" s="3" t="s">
        <v>161</v>
      </c>
      <c r="C3639" s="2" t="s">
        <v>157</v>
      </c>
      <c r="D3639" s="1">
        <v>0</v>
      </c>
      <c r="E3639" s="1">
        <v>0</v>
      </c>
      <c r="F3639" s="1">
        <v>0</v>
      </c>
      <c r="G3639" s="1">
        <v>8</v>
      </c>
      <c r="H3639" s="4">
        <v>0.63</v>
      </c>
      <c r="I3639" s="1">
        <v>0</v>
      </c>
      <c r="J3639" s="4"/>
      <c r="K3639" s="1">
        <v>0</v>
      </c>
      <c r="L3639" s="1">
        <v>9</v>
      </c>
      <c r="M3639" s="32">
        <f>IF(Mecze[[#This Row],[PR]]=0,0,Mecze[[#This Row],[PR]]/Mecze[[#This Row],[CZAS]])</f>
        <v>9.2783505154639179E-2</v>
      </c>
      <c r="N3639" s="32">
        <f>IF(Mecze[[#This Row],[OU]]=0,0,Mecze[[#This Row],[OU]]/Mecze[[#This Row],[CZAS]])</f>
        <v>0</v>
      </c>
      <c r="O3639" s="32">
        <f>IF(Mecze[[#This Row],[PC]]=0,0,Mecze[[#This Row],[PC]]/Mecze[[#This Row],[CZAS]])</f>
        <v>5.1546391752577317E-2</v>
      </c>
      <c r="P3639" s="32">
        <f>IF(Mecze[[#This Row],[SC]]=0,0,Mecze[[#This Row],[SC]]/Mecze[[#This Row],[CZAS]])</f>
        <v>0</v>
      </c>
      <c r="Q3639" s="32">
        <f>IF(Mecze[[#This Row],[OB]]=0,0,Mecze[[#This Row],[OB]]/Mecze[[#This Row],[CZAS]])</f>
        <v>0</v>
      </c>
      <c r="R3639" s="32">
        <f>IF(Mecze[[#This Row],[BR]]=0,0,Mecze[[#This Row],[BR]]/Mecze[[#This Row],[CZAS]])</f>
        <v>0</v>
      </c>
      <c r="S3639" s="44">
        <f>IF(Mecze[[#This Row],[Role]]="BR",SUMPRODUCT(Mecze[[#This Row],[/PR:90]:[/BR:90]],Brudnopis!$E$23:$J$23),0)</f>
        <v>0</v>
      </c>
      <c r="T3639" s="44">
        <f>IF(Mecze[[#This Row],[Role]]&lt;&gt;"BR",SUMPRODUCT(Mecze[[#This Row],[/PR:90]:[/BR:90]],Brudnopis!$E$24:$J$24),0)</f>
        <v>0.14432989690721648</v>
      </c>
      <c r="U3639" s="44">
        <f>IF(Mecze[[#This Row],[Role]]&lt;&gt;"BR",SUMPRODUCT(Mecze[[#This Row],[/PR:90]:[/BR:90]],Brudnopis!$E$25:$J$25),0)</f>
        <v>0.17010309278350516</v>
      </c>
      <c r="V3639" s="44">
        <f>IF(Mecze[[#This Row],[Role]]&lt;&gt;"BR",SUMPRODUCT(Mecze[[#This Row],[/PR:90]:[/BR:90]],Brudnopis!$E$26:$J$26),0)</f>
        <v>0.14432989690721648</v>
      </c>
      <c r="W3639" s="44">
        <f>IF(Mecze[[#This Row],[Role]]&lt;&gt;"BR",SUMPRODUCT(Mecze[[#This Row],[/PR:90]:[/BR:90]],Brudnopis!$E$27:$J$27),0)</f>
        <v>0.14690721649484537</v>
      </c>
      <c r="X3639" s="44">
        <f>IF(Mecze[[#This Row],[Role]]&lt;&gt;"BR",SUMPRODUCT(Mecze[[#This Row],[/PR:90]:[/BR:90]],Brudnopis!$E$28:$J$28),0)</f>
        <v>5.1546391752577317E-2</v>
      </c>
      <c r="Y3639" s="35">
        <f>IF(Mecze[[#This Row],[Role]]="BR",Mecze[[#This Row],[/OB:90]]+Mecze[[#This Row],[/PC:90]],SUM(Mecze[[#This Row],[/PR:90]:[/BR:90]]))</f>
        <v>0.14432989690721648</v>
      </c>
      <c r="Z3639" s="35">
        <f>IF(Mecze[[#This Row],[KC]]=0,SUM(Mecze[[#This Row],[/BRI]:[/NPI]]),SUM(Mecze[[#This Row],[/BRI]:[/NPI]])*0.6)</f>
        <v>0.65721649484536082</v>
      </c>
      <c r="AA3639" s="10">
        <f>IFERROR(Mecze[[#This Row],[BR]]/Mecze[[#This Row],[ST]],0)</f>
        <v>0</v>
      </c>
      <c r="AB3639">
        <f>ROUND(Mecze[[#This Row],[PD]]*Mecze[[#This Row],[%PC]],0)</f>
        <v>5</v>
      </c>
      <c r="AC3639">
        <f>ROUND(Mecze[[#This Row],[OD]]*Mecze[[#This Row],[%OU]],0)</f>
        <v>0</v>
      </c>
      <c r="AD3639" s="36" t="s">
        <v>47</v>
      </c>
      <c r="AE3639" s="36">
        <v>206</v>
      </c>
      <c r="AF3639" s="71">
        <v>8.93</v>
      </c>
      <c r="AG3639" s="37">
        <v>0</v>
      </c>
      <c r="AH3639" s="37">
        <v>0</v>
      </c>
      <c r="AI3639" s="37">
        <v>97</v>
      </c>
      <c r="AJ3639" s="37">
        <v>1</v>
      </c>
      <c r="AK3639" s="37" t="str">
        <f>VLOOKUP(Mecze[[#This Row],[Match ID]],Meczusie[Mecz]:Meczusie[RodzajMeczu],2,FALSE)</f>
        <v>Towarzyski</v>
      </c>
    </row>
    <row r="3640" spans="1:37" x14ac:dyDescent="0.25">
      <c r="A3640" s="76">
        <v>3</v>
      </c>
      <c r="B3640" s="3" t="s">
        <v>158</v>
      </c>
      <c r="C3640" s="2" t="s">
        <v>157</v>
      </c>
      <c r="D3640" s="1">
        <v>0</v>
      </c>
      <c r="E3640" s="1">
        <v>0</v>
      </c>
      <c r="F3640" s="1">
        <v>0</v>
      </c>
      <c r="G3640" s="1">
        <v>9</v>
      </c>
      <c r="H3640" s="4">
        <v>0.89</v>
      </c>
      <c r="I3640" s="1">
        <v>3</v>
      </c>
      <c r="J3640" s="4">
        <v>0.33</v>
      </c>
      <c r="K3640" s="1">
        <v>0</v>
      </c>
      <c r="L3640" s="1">
        <v>8</v>
      </c>
      <c r="M3640" s="32">
        <f>IF(Mecze[[#This Row],[PR]]=0,0,Mecze[[#This Row],[PR]]/Mecze[[#This Row],[CZAS]])</f>
        <v>8.247422680412371E-2</v>
      </c>
      <c r="N3640" s="32">
        <f>IF(Mecze[[#This Row],[OU]]=0,0,Mecze[[#This Row],[OU]]/Mecze[[#This Row],[CZAS]])</f>
        <v>1.0309278350515464E-2</v>
      </c>
      <c r="O3640" s="32">
        <f>IF(Mecze[[#This Row],[PC]]=0,0,Mecze[[#This Row],[PC]]/Mecze[[#This Row],[CZAS]])</f>
        <v>8.247422680412371E-2</v>
      </c>
      <c r="P3640" s="32">
        <f>IF(Mecze[[#This Row],[SC]]=0,0,Mecze[[#This Row],[SC]]/Mecze[[#This Row],[CZAS]])</f>
        <v>0</v>
      </c>
      <c r="Q3640" s="32">
        <f>IF(Mecze[[#This Row],[OB]]=0,0,Mecze[[#This Row],[OB]]/Mecze[[#This Row],[CZAS]])</f>
        <v>0</v>
      </c>
      <c r="R3640" s="32">
        <f>IF(Mecze[[#This Row],[BR]]=0,0,Mecze[[#This Row],[BR]]/Mecze[[#This Row],[CZAS]])</f>
        <v>0</v>
      </c>
      <c r="S3640" s="44">
        <f>IF(Mecze[[#This Row],[Role]]="BR",SUMPRODUCT(Mecze[[#This Row],[/PR:90]:[/BR:90]],Brudnopis!$E$23:$J$23),0)</f>
        <v>0</v>
      </c>
      <c r="T3640" s="44">
        <f>IF(Mecze[[#This Row],[Role]]&lt;&gt;"BR",SUMPRODUCT(Mecze[[#This Row],[/PR:90]:[/BR:90]],Brudnopis!$E$24:$J$24),0)</f>
        <v>0.18041237113402062</v>
      </c>
      <c r="U3640" s="44">
        <f>IF(Mecze[[#This Row],[Role]]&lt;&gt;"BR",SUMPRODUCT(Mecze[[#This Row],[/PR:90]:[/BR:90]],Brudnopis!$E$25:$J$25),0)</f>
        <v>0.21649484536082475</v>
      </c>
      <c r="V3640" s="44">
        <f>IF(Mecze[[#This Row],[Role]]&lt;&gt;"BR",SUMPRODUCT(Mecze[[#This Row],[/PR:90]:[/BR:90]],Brudnopis!$E$26:$J$26),0)</f>
        <v>0.17525773195876287</v>
      </c>
      <c r="W3640" s="44">
        <f>IF(Mecze[[#This Row],[Role]]&lt;&gt;"BR",SUMPRODUCT(Mecze[[#This Row],[/PR:90]:[/BR:90]],Brudnopis!$E$27:$J$27),0)</f>
        <v>0.19329896907216496</v>
      </c>
      <c r="X3640" s="44">
        <f>IF(Mecze[[#This Row],[Role]]&lt;&gt;"BR",SUMPRODUCT(Mecze[[#This Row],[/PR:90]:[/BR:90]],Brudnopis!$E$28:$J$28),0)</f>
        <v>8.247422680412371E-2</v>
      </c>
      <c r="Y3640" s="35">
        <f>IF(Mecze[[#This Row],[Role]]="BR",Mecze[[#This Row],[/OB:90]]+Mecze[[#This Row],[/PC:90]],SUM(Mecze[[#This Row],[/PR:90]:[/BR:90]]))</f>
        <v>0.17525773195876287</v>
      </c>
      <c r="Z3640" s="35">
        <f>IF(Mecze[[#This Row],[KC]]=0,SUM(Mecze[[#This Row],[/BRI]:[/NPI]]),SUM(Mecze[[#This Row],[/BRI]:[/NPI]])*0.6)</f>
        <v>0.84793814432989689</v>
      </c>
      <c r="AA3640" s="10">
        <f>IFERROR(Mecze[[#This Row],[BR]]/Mecze[[#This Row],[ST]],0)</f>
        <v>0</v>
      </c>
      <c r="AB3640">
        <f>ROUND(Mecze[[#This Row],[PD]]*Mecze[[#This Row],[%PC]],0)</f>
        <v>8</v>
      </c>
      <c r="AC3640">
        <f>ROUND(Mecze[[#This Row],[OD]]*Mecze[[#This Row],[%OU]],0)</f>
        <v>1</v>
      </c>
      <c r="AD3640" s="36" t="s">
        <v>168</v>
      </c>
      <c r="AE3640" s="36">
        <v>206</v>
      </c>
      <c r="AF3640" s="71">
        <v>8.7200000000000006</v>
      </c>
      <c r="AG3640" s="37">
        <v>0</v>
      </c>
      <c r="AH3640" s="37">
        <v>0</v>
      </c>
      <c r="AI3640" s="37">
        <v>97</v>
      </c>
      <c r="AJ3640" s="37">
        <v>1</v>
      </c>
      <c r="AK3640" s="37" t="str">
        <f>VLOOKUP(Mecze[[#This Row],[Match ID]],Meczusie[Mecz]:Meczusie[RodzajMeczu],2,FALSE)</f>
        <v>Towarzyski</v>
      </c>
    </row>
    <row r="3641" spans="1:37" x14ac:dyDescent="0.25">
      <c r="A3641" s="76">
        <v>18</v>
      </c>
      <c r="B3641" s="3" t="s">
        <v>211</v>
      </c>
      <c r="C3641" s="2" t="s">
        <v>157</v>
      </c>
      <c r="D3641" s="1">
        <v>0</v>
      </c>
      <c r="E3641" s="1">
        <v>0</v>
      </c>
      <c r="F3641" s="1">
        <v>0</v>
      </c>
      <c r="G3641" s="1">
        <v>8</v>
      </c>
      <c r="H3641" s="4">
        <v>0.38</v>
      </c>
      <c r="I3641" s="1">
        <v>2</v>
      </c>
      <c r="J3641" s="4">
        <v>0</v>
      </c>
      <c r="K3641" s="1">
        <v>0</v>
      </c>
      <c r="L3641" s="1">
        <v>8</v>
      </c>
      <c r="M3641" s="32">
        <f>IF(Mecze[[#This Row],[PR]]=0,0,Mecze[[#This Row],[PR]]/Mecze[[#This Row],[CZAS]])</f>
        <v>8.247422680412371E-2</v>
      </c>
      <c r="N3641" s="32">
        <f>IF(Mecze[[#This Row],[OU]]=0,0,Mecze[[#This Row],[OU]]/Mecze[[#This Row],[CZAS]])</f>
        <v>0</v>
      </c>
      <c r="O3641" s="32">
        <f>IF(Mecze[[#This Row],[PC]]=0,0,Mecze[[#This Row],[PC]]/Mecze[[#This Row],[CZAS]])</f>
        <v>3.0927835051546393E-2</v>
      </c>
      <c r="P3641" s="32">
        <f>IF(Mecze[[#This Row],[SC]]=0,0,Mecze[[#This Row],[SC]]/Mecze[[#This Row],[CZAS]])</f>
        <v>0</v>
      </c>
      <c r="Q3641" s="32">
        <f>IF(Mecze[[#This Row],[OB]]=0,0,Mecze[[#This Row],[OB]]/Mecze[[#This Row],[CZAS]])</f>
        <v>0</v>
      </c>
      <c r="R3641" s="32">
        <f>IF(Mecze[[#This Row],[BR]]=0,0,Mecze[[#This Row],[BR]]/Mecze[[#This Row],[CZAS]])</f>
        <v>0</v>
      </c>
      <c r="S3641" s="44">
        <f>IF(Mecze[[#This Row],[Role]]="BR",SUMPRODUCT(Mecze[[#This Row],[/PR:90]:[/BR:90]],Brudnopis!$E$23:$J$23),0)</f>
        <v>0</v>
      </c>
      <c r="T3641" s="44">
        <f>IF(Mecze[[#This Row],[Role]]&lt;&gt;"BR",SUMPRODUCT(Mecze[[#This Row],[/PR:90]:[/BR:90]],Brudnopis!$E$24:$J$24),0)</f>
        <v>0.1134020618556701</v>
      </c>
      <c r="U3641" s="44">
        <f>IF(Mecze[[#This Row],[Role]]&lt;&gt;"BR",SUMPRODUCT(Mecze[[#This Row],[/PR:90]:[/BR:90]],Brudnopis!$E$25:$J$25),0)</f>
        <v>0.12886597938144329</v>
      </c>
      <c r="V3641" s="44">
        <f>IF(Mecze[[#This Row],[Role]]&lt;&gt;"BR",SUMPRODUCT(Mecze[[#This Row],[/PR:90]:[/BR:90]],Brudnopis!$E$26:$J$26),0)</f>
        <v>0.1134020618556701</v>
      </c>
      <c r="W3641" s="44">
        <f>IF(Mecze[[#This Row],[Role]]&lt;&gt;"BR",SUMPRODUCT(Mecze[[#This Row],[/PR:90]:[/BR:90]],Brudnopis!$E$27:$J$27),0)</f>
        <v>0.10824742268041238</v>
      </c>
      <c r="X3641" s="44">
        <f>IF(Mecze[[#This Row],[Role]]&lt;&gt;"BR",SUMPRODUCT(Mecze[[#This Row],[/PR:90]:[/BR:90]],Brudnopis!$E$28:$J$28),0)</f>
        <v>3.0927835051546393E-2</v>
      </c>
      <c r="Y3641" s="35">
        <f>IF(Mecze[[#This Row],[Role]]="BR",Mecze[[#This Row],[/OB:90]]+Mecze[[#This Row],[/PC:90]],SUM(Mecze[[#This Row],[/PR:90]:[/BR:90]]))</f>
        <v>0.1134020618556701</v>
      </c>
      <c r="Z3641" s="35">
        <f>IF(Mecze[[#This Row],[KC]]=0,SUM(Mecze[[#This Row],[/BRI]:[/NPI]]),SUM(Mecze[[#This Row],[/BRI]:[/NPI]])*0.6)</f>
        <v>0.49484536082474223</v>
      </c>
      <c r="AA3641" s="10">
        <f>IFERROR(Mecze[[#This Row],[BR]]/Mecze[[#This Row],[ST]],0)</f>
        <v>0</v>
      </c>
      <c r="AB3641">
        <f>ROUND(Mecze[[#This Row],[PD]]*Mecze[[#This Row],[%PC]],0)</f>
        <v>3</v>
      </c>
      <c r="AC3641">
        <f>ROUND(Mecze[[#This Row],[OD]]*Mecze[[#This Row],[%OU]],0)</f>
        <v>0</v>
      </c>
      <c r="AD3641" s="36" t="s">
        <v>167</v>
      </c>
      <c r="AE3641" s="36">
        <v>206</v>
      </c>
      <c r="AF3641" s="71">
        <v>8.7200000000000006</v>
      </c>
      <c r="AG3641" s="37">
        <v>0</v>
      </c>
      <c r="AH3641" s="37">
        <v>0</v>
      </c>
      <c r="AI3641" s="37">
        <v>97</v>
      </c>
      <c r="AJ3641" s="37">
        <v>1</v>
      </c>
      <c r="AK3641" s="37" t="str">
        <f>VLOOKUP(Mecze[[#This Row],[Match ID]],Meczusie[Mecz]:Meczusie[RodzajMeczu],2,FALSE)</f>
        <v>Towarzyski</v>
      </c>
    </row>
    <row r="3642" spans="1:37" x14ac:dyDescent="0.25">
      <c r="A3642" s="76">
        <v>13</v>
      </c>
      <c r="B3642" s="3" t="s">
        <v>162</v>
      </c>
      <c r="C3642" s="2" t="s">
        <v>160</v>
      </c>
      <c r="D3642" s="1">
        <v>0</v>
      </c>
      <c r="E3642" s="1">
        <v>0</v>
      </c>
      <c r="F3642" s="1">
        <v>0</v>
      </c>
      <c r="G3642" s="1">
        <v>13</v>
      </c>
      <c r="H3642" s="4">
        <v>0.69</v>
      </c>
      <c r="I3642" s="1">
        <v>4</v>
      </c>
      <c r="J3642" s="4">
        <v>0.75</v>
      </c>
      <c r="K3642" s="1">
        <v>0</v>
      </c>
      <c r="L3642" s="1">
        <v>9</v>
      </c>
      <c r="M3642" s="32">
        <f>IF(Mecze[[#This Row],[PR]]=0,0,Mecze[[#This Row],[PR]]/Mecze[[#This Row],[CZAS]])</f>
        <v>9.2783505154639179E-2</v>
      </c>
      <c r="N3642" s="32">
        <f>IF(Mecze[[#This Row],[OU]]=0,0,Mecze[[#This Row],[OU]]/Mecze[[#This Row],[CZAS]])</f>
        <v>3.0927835051546393E-2</v>
      </c>
      <c r="O3642" s="32">
        <f>IF(Mecze[[#This Row],[PC]]=0,0,Mecze[[#This Row],[PC]]/Mecze[[#This Row],[CZAS]])</f>
        <v>9.2783505154639179E-2</v>
      </c>
      <c r="P3642" s="32">
        <f>IF(Mecze[[#This Row],[SC]]=0,0,Mecze[[#This Row],[SC]]/Mecze[[#This Row],[CZAS]])</f>
        <v>0</v>
      </c>
      <c r="Q3642" s="32">
        <f>IF(Mecze[[#This Row],[OB]]=0,0,Mecze[[#This Row],[OB]]/Mecze[[#This Row],[CZAS]])</f>
        <v>0</v>
      </c>
      <c r="R3642" s="32">
        <f>IF(Mecze[[#This Row],[BR]]=0,0,Mecze[[#This Row],[BR]]/Mecze[[#This Row],[CZAS]])</f>
        <v>0</v>
      </c>
      <c r="S3642" s="44">
        <f>IF(Mecze[[#This Row],[Role]]="BR",SUMPRODUCT(Mecze[[#This Row],[/PR:90]:[/BR:90]],Brudnopis!$E$23:$J$23),0)</f>
        <v>0</v>
      </c>
      <c r="T3642" s="44">
        <f>IF(Mecze[[#This Row],[Role]]&lt;&gt;"BR",SUMPRODUCT(Mecze[[#This Row],[/PR:90]:[/BR:90]],Brudnopis!$E$24:$J$24),0)</f>
        <v>0.23195876288659795</v>
      </c>
      <c r="U3642" s="44">
        <f>IF(Mecze[[#This Row],[Role]]&lt;&gt;"BR",SUMPRODUCT(Mecze[[#This Row],[/PR:90]:[/BR:90]],Brudnopis!$E$25:$J$25),0)</f>
        <v>0.26288659793814434</v>
      </c>
      <c r="V3642" s="44">
        <f>IF(Mecze[[#This Row],[Role]]&lt;&gt;"BR",SUMPRODUCT(Mecze[[#This Row],[/PR:90]:[/BR:90]],Brudnopis!$E$26:$J$26),0)</f>
        <v>0.21649484536082475</v>
      </c>
      <c r="W3642" s="44">
        <f>IF(Mecze[[#This Row],[Role]]&lt;&gt;"BR",SUMPRODUCT(Mecze[[#This Row],[/PR:90]:[/BR:90]],Brudnopis!$E$27:$J$27),0)</f>
        <v>0.23195876288659795</v>
      </c>
      <c r="X3642" s="44">
        <f>IF(Mecze[[#This Row],[Role]]&lt;&gt;"BR",SUMPRODUCT(Mecze[[#This Row],[/PR:90]:[/BR:90]],Brudnopis!$E$28:$J$28),0)</f>
        <v>9.2783505154639179E-2</v>
      </c>
      <c r="Y3642" s="35">
        <f>IF(Mecze[[#This Row],[Role]]="BR",Mecze[[#This Row],[/OB:90]]+Mecze[[#This Row],[/PC:90]],SUM(Mecze[[#This Row],[/PR:90]:[/BR:90]]))</f>
        <v>0.21649484536082475</v>
      </c>
      <c r="Z3642" s="35">
        <f>IF(Mecze[[#This Row],[KC]]=0,SUM(Mecze[[#This Row],[/BRI]:[/NPI]]),SUM(Mecze[[#This Row],[/BRI]:[/NPI]])*0.6)</f>
        <v>1.036082474226804</v>
      </c>
      <c r="AA3642" s="10">
        <f>IFERROR(Mecze[[#This Row],[BR]]/Mecze[[#This Row],[ST]],0)</f>
        <v>0</v>
      </c>
      <c r="AB3642">
        <f>ROUND(Mecze[[#This Row],[PD]]*Mecze[[#This Row],[%PC]],0)</f>
        <v>9</v>
      </c>
      <c r="AC3642">
        <f>ROUND(Mecze[[#This Row],[OD]]*Mecze[[#This Row],[%OU]],0)</f>
        <v>3</v>
      </c>
      <c r="AD3642" s="36" t="s">
        <v>41</v>
      </c>
      <c r="AE3642" s="36">
        <v>206</v>
      </c>
      <c r="AF3642" s="71">
        <v>10.14</v>
      </c>
      <c r="AG3642" s="37">
        <v>0</v>
      </c>
      <c r="AH3642" s="37">
        <v>0</v>
      </c>
      <c r="AI3642" s="37">
        <v>97</v>
      </c>
      <c r="AJ3642" s="37">
        <v>1</v>
      </c>
      <c r="AK3642" s="37" t="str">
        <f>VLOOKUP(Mecze[[#This Row],[Match ID]],Meczusie[Mecz]:Meczusie[RodzajMeczu],2,FALSE)</f>
        <v>Towarzyski</v>
      </c>
    </row>
    <row r="3643" spans="1:37" x14ac:dyDescent="0.25">
      <c r="A3643" s="76">
        <v>60</v>
      </c>
      <c r="B3643" s="3" t="s">
        <v>515</v>
      </c>
      <c r="C3643" s="2" t="s">
        <v>160</v>
      </c>
      <c r="D3643" s="1">
        <v>0</v>
      </c>
      <c r="E3643" s="1">
        <v>2</v>
      </c>
      <c r="F3643" s="1">
        <v>2</v>
      </c>
      <c r="G3643" s="1">
        <v>17</v>
      </c>
      <c r="H3643" s="4">
        <v>0.65</v>
      </c>
      <c r="I3643" s="1">
        <v>1</v>
      </c>
      <c r="J3643" s="4">
        <v>1</v>
      </c>
      <c r="K3643" s="1">
        <v>0</v>
      </c>
      <c r="L3643" s="1">
        <v>8</v>
      </c>
      <c r="M3643" s="32">
        <f>IF(Mecze[[#This Row],[PR]]=0,0,Mecze[[#This Row],[PR]]/Mecze[[#This Row],[CZAS]])</f>
        <v>8.247422680412371E-2</v>
      </c>
      <c r="N3643" s="32">
        <f>IF(Mecze[[#This Row],[OU]]=0,0,Mecze[[#This Row],[OU]]/Mecze[[#This Row],[CZAS]])</f>
        <v>1.0309278350515464E-2</v>
      </c>
      <c r="O3643" s="32">
        <f>IF(Mecze[[#This Row],[PC]]=0,0,Mecze[[#This Row],[PC]]/Mecze[[#This Row],[CZAS]])</f>
        <v>0.1134020618556701</v>
      </c>
      <c r="P3643" s="32">
        <f>IF(Mecze[[#This Row],[SC]]=0,0,Mecze[[#This Row],[SC]]/Mecze[[#This Row],[CZAS]])</f>
        <v>2.0618556701030927E-2</v>
      </c>
      <c r="Q3643" s="32">
        <f>IF(Mecze[[#This Row],[OB]]=0,0,Mecze[[#This Row],[OB]]/Mecze[[#This Row],[CZAS]])</f>
        <v>0</v>
      </c>
      <c r="R3643" s="32">
        <f>IF(Mecze[[#This Row],[BR]]=0,0,Mecze[[#This Row],[BR]]/Mecze[[#This Row],[CZAS]])</f>
        <v>0</v>
      </c>
      <c r="S3643" s="44">
        <f>IF(Mecze[[#This Row],[Role]]="BR",SUMPRODUCT(Mecze[[#This Row],[/PR:90]:[/BR:90]],Brudnopis!$E$23:$J$23),0)</f>
        <v>0</v>
      </c>
      <c r="T3643" s="44">
        <f>IF(Mecze[[#This Row],[Role]]&lt;&gt;"BR",SUMPRODUCT(Mecze[[#This Row],[/PR:90]:[/BR:90]],Brudnopis!$E$24:$J$24),0)</f>
        <v>0.23195876288659795</v>
      </c>
      <c r="U3643" s="44">
        <f>IF(Mecze[[#This Row],[Role]]&lt;&gt;"BR",SUMPRODUCT(Mecze[[#This Row],[/PR:90]:[/BR:90]],Brudnopis!$E$25:$J$25),0)</f>
        <v>0.28350515463917525</v>
      </c>
      <c r="V3643" s="44">
        <f>IF(Mecze[[#This Row],[Role]]&lt;&gt;"BR",SUMPRODUCT(Mecze[[#This Row],[/PR:90]:[/BR:90]],Brudnopis!$E$26:$J$26),0)</f>
        <v>0.22680412371134021</v>
      </c>
      <c r="W3643" s="44">
        <f>IF(Mecze[[#This Row],[Role]]&lt;&gt;"BR",SUMPRODUCT(Mecze[[#This Row],[/PR:90]:[/BR:90]],Brudnopis!$E$27:$J$27),0)</f>
        <v>0.26030927835051548</v>
      </c>
      <c r="X3643" s="44">
        <f>IF(Mecze[[#This Row],[Role]]&lt;&gt;"BR",SUMPRODUCT(Mecze[[#This Row],[/PR:90]:[/BR:90]],Brudnopis!$E$28:$J$28),0)</f>
        <v>0.15463917525773196</v>
      </c>
      <c r="Y3643" s="35">
        <f>IF(Mecze[[#This Row],[Role]]="BR",Mecze[[#This Row],[/OB:90]]+Mecze[[#This Row],[/PC:90]],SUM(Mecze[[#This Row],[/PR:90]:[/BR:90]]))</f>
        <v>0.22680412371134021</v>
      </c>
      <c r="Z3643" s="35">
        <f>IF(Mecze[[#This Row],[KC]]=0,SUM(Mecze[[#This Row],[/BRI]:[/NPI]]),SUM(Mecze[[#This Row],[/BRI]:[/NPI]])*0.6)</f>
        <v>1.1572164948453607</v>
      </c>
      <c r="AA3643" s="10">
        <f>IFERROR(Mecze[[#This Row],[BR]]/Mecze[[#This Row],[ST]],0)</f>
        <v>0</v>
      </c>
      <c r="AB3643">
        <f>ROUND(Mecze[[#This Row],[PD]]*Mecze[[#This Row],[%PC]],0)</f>
        <v>11</v>
      </c>
      <c r="AC3643">
        <f>ROUND(Mecze[[#This Row],[OD]]*Mecze[[#This Row],[%OU]],0)</f>
        <v>1</v>
      </c>
      <c r="AD3643" s="36" t="s">
        <v>41</v>
      </c>
      <c r="AE3643" s="36">
        <v>206</v>
      </c>
      <c r="AF3643" s="71">
        <v>10.39</v>
      </c>
      <c r="AG3643" s="37">
        <v>0</v>
      </c>
      <c r="AH3643" s="37">
        <v>0</v>
      </c>
      <c r="AI3643" s="37">
        <v>97</v>
      </c>
      <c r="AJ3643" s="37">
        <v>1</v>
      </c>
      <c r="AK3643" s="37" t="str">
        <f>VLOOKUP(Mecze[[#This Row],[Match ID]],Meczusie[Mecz]:Meczusie[RodzajMeczu],2,FALSE)</f>
        <v>Towarzyski</v>
      </c>
    </row>
    <row r="3644" spans="1:37" x14ac:dyDescent="0.25">
      <c r="A3644" s="76">
        <v>15</v>
      </c>
      <c r="B3644" s="3" t="s">
        <v>170</v>
      </c>
      <c r="C3644" s="2" t="s">
        <v>160</v>
      </c>
      <c r="D3644" s="1">
        <v>0</v>
      </c>
      <c r="E3644" s="1">
        <v>0</v>
      </c>
      <c r="F3644" s="1">
        <v>0</v>
      </c>
      <c r="G3644" s="1">
        <v>18</v>
      </c>
      <c r="H3644" s="4">
        <v>0.78</v>
      </c>
      <c r="I3644" s="1">
        <v>4</v>
      </c>
      <c r="J3644" s="4">
        <v>0.5</v>
      </c>
      <c r="K3644" s="1">
        <v>0</v>
      </c>
      <c r="L3644" s="1">
        <v>9</v>
      </c>
      <c r="M3644" s="32">
        <f>IF(Mecze[[#This Row],[PR]]=0,0,Mecze[[#This Row],[PR]]/Mecze[[#This Row],[CZAS]])</f>
        <v>9.2783505154639179E-2</v>
      </c>
      <c r="N3644" s="32">
        <f>IF(Mecze[[#This Row],[OU]]=0,0,Mecze[[#This Row],[OU]]/Mecze[[#This Row],[CZAS]])</f>
        <v>2.0618556701030927E-2</v>
      </c>
      <c r="O3644" s="32">
        <f>IF(Mecze[[#This Row],[PC]]=0,0,Mecze[[#This Row],[PC]]/Mecze[[#This Row],[CZAS]])</f>
        <v>0.14432989690721648</v>
      </c>
      <c r="P3644" s="32">
        <f>IF(Mecze[[#This Row],[SC]]=0,0,Mecze[[#This Row],[SC]]/Mecze[[#This Row],[CZAS]])</f>
        <v>0</v>
      </c>
      <c r="Q3644" s="32">
        <f>IF(Mecze[[#This Row],[OB]]=0,0,Mecze[[#This Row],[OB]]/Mecze[[#This Row],[CZAS]])</f>
        <v>0</v>
      </c>
      <c r="R3644" s="32">
        <f>IF(Mecze[[#This Row],[BR]]=0,0,Mecze[[#This Row],[BR]]/Mecze[[#This Row],[CZAS]])</f>
        <v>0</v>
      </c>
      <c r="S3644" s="44">
        <f>IF(Mecze[[#This Row],[Role]]="BR",SUMPRODUCT(Mecze[[#This Row],[/PR:90]:[/BR:90]],Brudnopis!$E$23:$J$23),0)</f>
        <v>0</v>
      </c>
      <c r="T3644" s="44">
        <f>IF(Mecze[[#This Row],[Role]]&lt;&gt;"BR",SUMPRODUCT(Mecze[[#This Row],[/PR:90]:[/BR:90]],Brudnopis!$E$24:$J$24),0)</f>
        <v>0.26804123711340205</v>
      </c>
      <c r="U3644" s="44">
        <f>IF(Mecze[[#This Row],[Role]]&lt;&gt;"BR",SUMPRODUCT(Mecze[[#This Row],[/PR:90]:[/BR:90]],Brudnopis!$E$25:$J$25),0)</f>
        <v>0.32989690721649484</v>
      </c>
      <c r="V3644" s="44">
        <f>IF(Mecze[[#This Row],[Role]]&lt;&gt;"BR",SUMPRODUCT(Mecze[[#This Row],[/PR:90]:[/BR:90]],Brudnopis!$E$26:$J$26),0)</f>
        <v>0.25773195876288657</v>
      </c>
      <c r="W3644" s="44">
        <f>IF(Mecze[[#This Row],[Role]]&lt;&gt;"BR",SUMPRODUCT(Mecze[[#This Row],[/PR:90]:[/BR:90]],Brudnopis!$E$27:$J$27),0)</f>
        <v>0.3015463917525773</v>
      </c>
      <c r="X3644" s="44">
        <f>IF(Mecze[[#This Row],[Role]]&lt;&gt;"BR",SUMPRODUCT(Mecze[[#This Row],[/PR:90]:[/BR:90]],Brudnopis!$E$28:$J$28),0)</f>
        <v>0.14432989690721648</v>
      </c>
      <c r="Y3644" s="35">
        <f>IF(Mecze[[#This Row],[Role]]="BR",Mecze[[#This Row],[/OB:90]]+Mecze[[#This Row],[/PC:90]],SUM(Mecze[[#This Row],[/PR:90]:[/BR:90]]))</f>
        <v>0.25773195876288657</v>
      </c>
      <c r="Z3644" s="35">
        <f>IF(Mecze[[#This Row],[KC]]=0,SUM(Mecze[[#This Row],[/BRI]:[/NPI]]),SUM(Mecze[[#This Row],[/BRI]:[/NPI]])*0.6)</f>
        <v>1.3015463917525771</v>
      </c>
      <c r="AA3644" s="10">
        <f>IFERROR(Mecze[[#This Row],[BR]]/Mecze[[#This Row],[ST]],0)</f>
        <v>0</v>
      </c>
      <c r="AB3644">
        <f>ROUND(Mecze[[#This Row],[PD]]*Mecze[[#This Row],[%PC]],0)</f>
        <v>14</v>
      </c>
      <c r="AC3644">
        <f>ROUND(Mecze[[#This Row],[OD]]*Mecze[[#This Row],[%OU]],0)</f>
        <v>2</v>
      </c>
      <c r="AD3644" s="36" t="s">
        <v>67</v>
      </c>
      <c r="AE3644" s="36">
        <v>206</v>
      </c>
      <c r="AF3644" s="71">
        <v>10.14</v>
      </c>
      <c r="AG3644" s="37">
        <v>0</v>
      </c>
      <c r="AH3644" s="37">
        <v>0</v>
      </c>
      <c r="AI3644" s="37">
        <v>97</v>
      </c>
      <c r="AJ3644" s="37">
        <v>1</v>
      </c>
      <c r="AK3644" s="37" t="str">
        <f>VLOOKUP(Mecze[[#This Row],[Match ID]],Meczusie[Mecz]:Meczusie[RodzajMeczu],2,FALSE)</f>
        <v>Towarzyski</v>
      </c>
    </row>
    <row r="3645" spans="1:37" x14ac:dyDescent="0.25">
      <c r="A3645" s="76">
        <v>11</v>
      </c>
      <c r="B3645" s="3" t="s">
        <v>163</v>
      </c>
      <c r="C3645" s="2" t="s">
        <v>160</v>
      </c>
      <c r="D3645" s="1">
        <v>0</v>
      </c>
      <c r="E3645" s="1">
        <v>1</v>
      </c>
      <c r="F3645" s="1">
        <v>0</v>
      </c>
      <c r="G3645" s="1">
        <v>6</v>
      </c>
      <c r="H3645" s="4">
        <v>0.67</v>
      </c>
      <c r="I3645" s="1">
        <v>0</v>
      </c>
      <c r="J3645" s="4"/>
      <c r="K3645" s="1">
        <v>0</v>
      </c>
      <c r="L3645" s="1">
        <v>1</v>
      </c>
      <c r="M3645" s="32">
        <f>IF(Mecze[[#This Row],[PR]]=0,0,Mecze[[#This Row],[PR]]/Mecze[[#This Row],[CZAS]])</f>
        <v>1.0309278350515464E-2</v>
      </c>
      <c r="N3645" s="32">
        <f>IF(Mecze[[#This Row],[OU]]=0,0,Mecze[[#This Row],[OU]]/Mecze[[#This Row],[CZAS]])</f>
        <v>0</v>
      </c>
      <c r="O3645" s="32">
        <f>IF(Mecze[[#This Row],[PC]]=0,0,Mecze[[#This Row],[PC]]/Mecze[[#This Row],[CZAS]])</f>
        <v>4.1237113402061855E-2</v>
      </c>
      <c r="P3645" s="32">
        <f>IF(Mecze[[#This Row],[SC]]=0,0,Mecze[[#This Row],[SC]]/Mecze[[#This Row],[CZAS]])</f>
        <v>0</v>
      </c>
      <c r="Q3645" s="32">
        <f>IF(Mecze[[#This Row],[OB]]=0,0,Mecze[[#This Row],[OB]]/Mecze[[#This Row],[CZAS]])</f>
        <v>0</v>
      </c>
      <c r="R3645" s="32">
        <f>IF(Mecze[[#This Row],[BR]]=0,0,Mecze[[#This Row],[BR]]/Mecze[[#This Row],[CZAS]])</f>
        <v>0</v>
      </c>
      <c r="S3645" s="44">
        <f>IF(Mecze[[#This Row],[Role]]="BR",SUMPRODUCT(Mecze[[#This Row],[/PR:90]:[/BR:90]],Brudnopis!$E$23:$J$23),0)</f>
        <v>0</v>
      </c>
      <c r="T3645" s="44">
        <f>IF(Mecze[[#This Row],[Role]]&lt;&gt;"BR",SUMPRODUCT(Mecze[[#This Row],[/PR:90]:[/BR:90]],Brudnopis!$E$24:$J$24),0)</f>
        <v>5.1546391752577317E-2</v>
      </c>
      <c r="U3645" s="44">
        <f>IF(Mecze[[#This Row],[Role]]&lt;&gt;"BR",SUMPRODUCT(Mecze[[#This Row],[/PR:90]:[/BR:90]],Brudnopis!$E$25:$J$25),0)</f>
        <v>7.2164948453608255E-2</v>
      </c>
      <c r="V3645" s="44">
        <f>IF(Mecze[[#This Row],[Role]]&lt;&gt;"BR",SUMPRODUCT(Mecze[[#This Row],[/PR:90]:[/BR:90]],Brudnopis!$E$26:$J$26),0)</f>
        <v>5.1546391752577317E-2</v>
      </c>
      <c r="W3645" s="44">
        <f>IF(Mecze[[#This Row],[Role]]&lt;&gt;"BR",SUMPRODUCT(Mecze[[#This Row],[/PR:90]:[/BR:90]],Brudnopis!$E$27:$J$27),0)</f>
        <v>6.9587628865979384E-2</v>
      </c>
      <c r="X3645" s="44">
        <f>IF(Mecze[[#This Row],[Role]]&lt;&gt;"BR",SUMPRODUCT(Mecze[[#This Row],[/PR:90]:[/BR:90]],Brudnopis!$E$28:$J$28),0)</f>
        <v>4.1237113402061855E-2</v>
      </c>
      <c r="Y3645" s="35">
        <f>IF(Mecze[[#This Row],[Role]]="BR",Mecze[[#This Row],[/OB:90]]+Mecze[[#This Row],[/PC:90]],SUM(Mecze[[#This Row],[/PR:90]:[/BR:90]]))</f>
        <v>5.1546391752577317E-2</v>
      </c>
      <c r="Z3645" s="35">
        <f>IF(Mecze[[#This Row],[KC]]=0,SUM(Mecze[[#This Row],[/BRI]:[/NPI]]),SUM(Mecze[[#This Row],[/BRI]:[/NPI]])*0.6)</f>
        <v>0.28608247422680411</v>
      </c>
      <c r="AA3645" s="10">
        <f>IFERROR(Mecze[[#This Row],[BR]]/Mecze[[#This Row],[ST]],0)</f>
        <v>0</v>
      </c>
      <c r="AB3645">
        <f>ROUND(Mecze[[#This Row],[PD]]*Mecze[[#This Row],[%PC]],0)</f>
        <v>4</v>
      </c>
      <c r="AC3645">
        <f>ROUND(Mecze[[#This Row],[OD]]*Mecze[[#This Row],[%OU]],0)</f>
        <v>0</v>
      </c>
      <c r="AD3645" s="36" t="s">
        <v>44</v>
      </c>
      <c r="AE3645" s="36">
        <v>206</v>
      </c>
      <c r="AF3645" s="71">
        <v>6.26</v>
      </c>
      <c r="AG3645" s="37">
        <v>0</v>
      </c>
      <c r="AH3645" s="37">
        <v>0</v>
      </c>
      <c r="AI3645" s="37">
        <v>97</v>
      </c>
      <c r="AJ3645" s="37">
        <v>1</v>
      </c>
      <c r="AK3645" s="37" t="str">
        <f>VLOOKUP(Mecze[[#This Row],[Match ID]],Meczusie[Mecz]:Meczusie[RodzajMeczu],2,FALSE)</f>
        <v>Towarzyski</v>
      </c>
    </row>
    <row r="3646" spans="1:37" x14ac:dyDescent="0.25">
      <c r="A3646" s="76">
        <v>14</v>
      </c>
      <c r="B3646" s="3" t="s">
        <v>164</v>
      </c>
      <c r="C3646" s="2" t="s">
        <v>160</v>
      </c>
      <c r="D3646" s="1">
        <v>1</v>
      </c>
      <c r="E3646" s="1">
        <v>3</v>
      </c>
      <c r="F3646" s="1">
        <v>3</v>
      </c>
      <c r="G3646" s="1">
        <v>1</v>
      </c>
      <c r="H3646" s="4">
        <v>0</v>
      </c>
      <c r="I3646" s="1">
        <v>2</v>
      </c>
      <c r="J3646" s="4">
        <v>0</v>
      </c>
      <c r="K3646" s="1">
        <v>0</v>
      </c>
      <c r="L3646" s="1">
        <v>0</v>
      </c>
      <c r="M3646" s="32">
        <f>IF(Mecze[[#This Row],[PR]]=0,0,Mecze[[#This Row],[PR]]/Mecze[[#This Row],[CZAS]])</f>
        <v>0</v>
      </c>
      <c r="N3646" s="32">
        <f>IF(Mecze[[#This Row],[OU]]=0,0,Mecze[[#This Row],[OU]]/Mecze[[#This Row],[CZAS]])</f>
        <v>0</v>
      </c>
      <c r="O3646" s="32">
        <f>IF(Mecze[[#This Row],[PC]]=0,0,Mecze[[#This Row],[PC]]/Mecze[[#This Row],[CZAS]])</f>
        <v>0</v>
      </c>
      <c r="P3646" s="32">
        <f>IF(Mecze[[#This Row],[SC]]=0,0,Mecze[[#This Row],[SC]]/Mecze[[#This Row],[CZAS]])</f>
        <v>3.0927835051546393E-2</v>
      </c>
      <c r="Q3646" s="32">
        <f>IF(Mecze[[#This Row],[OB]]=0,0,Mecze[[#This Row],[OB]]/Mecze[[#This Row],[CZAS]])</f>
        <v>0</v>
      </c>
      <c r="R3646" s="32">
        <f>IF(Mecze[[#This Row],[BR]]=0,0,Mecze[[#This Row],[BR]]/Mecze[[#This Row],[CZAS]])</f>
        <v>1.0309278350515464E-2</v>
      </c>
      <c r="S3646" s="44">
        <f>IF(Mecze[[#This Row],[Role]]="BR",SUMPRODUCT(Mecze[[#This Row],[/PR:90]:[/BR:90]],Brudnopis!$E$23:$J$23),0)</f>
        <v>0</v>
      </c>
      <c r="T3646" s="44">
        <f>IF(Mecze[[#This Row],[Role]]&lt;&gt;"BR",SUMPRODUCT(Mecze[[#This Row],[/PR:90]:[/BR:90]],Brudnopis!$E$24:$J$24),0)</f>
        <v>4.6391752577319589E-2</v>
      </c>
      <c r="U3646" s="44">
        <f>IF(Mecze[[#This Row],[Role]]&lt;&gt;"BR",SUMPRODUCT(Mecze[[#This Row],[/PR:90]:[/BR:90]],Brudnopis!$E$25:$J$25),0)</f>
        <v>4.6391752577319589E-2</v>
      </c>
      <c r="V3646" s="44">
        <f>IF(Mecze[[#This Row],[Role]]&lt;&gt;"BR",SUMPRODUCT(Mecze[[#This Row],[/PR:90]:[/BR:90]],Brudnopis!$E$26:$J$26),0)</f>
        <v>5.1546391752577317E-2</v>
      </c>
      <c r="W3646" s="44">
        <f>IF(Mecze[[#This Row],[Role]]&lt;&gt;"BR",SUMPRODUCT(Mecze[[#This Row],[/PR:90]:[/BR:90]],Brudnopis!$E$27:$J$27),0)</f>
        <v>5.1546391752577317E-2</v>
      </c>
      <c r="X3646" s="44">
        <f>IF(Mecze[[#This Row],[Role]]&lt;&gt;"BR",SUMPRODUCT(Mecze[[#This Row],[/PR:90]:[/BR:90]],Brudnopis!$E$28:$J$28),0)</f>
        <v>9.2783505154639179E-2</v>
      </c>
      <c r="Y3646" s="35">
        <f>IF(Mecze[[#This Row],[Role]]="BR",Mecze[[#This Row],[/OB:90]]+Mecze[[#This Row],[/PC:90]],SUM(Mecze[[#This Row],[/PR:90]:[/BR:90]]))</f>
        <v>4.1237113402061855E-2</v>
      </c>
      <c r="Z3646" s="35">
        <f>IF(Mecze[[#This Row],[KC]]=0,SUM(Mecze[[#This Row],[/BRI]:[/NPI]]),SUM(Mecze[[#This Row],[/BRI]:[/NPI]])*0.6)</f>
        <v>0.28865979381443296</v>
      </c>
      <c r="AA3646" s="10">
        <f>IFERROR(Mecze[[#This Row],[BR]]/Mecze[[#This Row],[ST]],0)</f>
        <v>0.33333333333333331</v>
      </c>
      <c r="AB3646">
        <f>ROUND(Mecze[[#This Row],[PD]]*Mecze[[#This Row],[%PC]],0)</f>
        <v>0</v>
      </c>
      <c r="AC3646">
        <f>ROUND(Mecze[[#This Row],[OD]]*Mecze[[#This Row],[%OU]],0)</f>
        <v>0</v>
      </c>
      <c r="AD3646" s="36" t="s">
        <v>44</v>
      </c>
      <c r="AE3646" s="36">
        <v>206</v>
      </c>
      <c r="AF3646" s="71">
        <v>7.64</v>
      </c>
      <c r="AG3646" s="37">
        <v>0</v>
      </c>
      <c r="AH3646" s="37">
        <v>0</v>
      </c>
      <c r="AI3646" s="37">
        <v>97</v>
      </c>
      <c r="AJ3646" s="37">
        <v>1</v>
      </c>
      <c r="AK3646" s="37" t="str">
        <f>VLOOKUP(Mecze[[#This Row],[Match ID]],Meczusie[Mecz]:Meczusie[RodzajMeczu],2,FALSE)</f>
        <v>Towarzyski</v>
      </c>
    </row>
    <row r="3647" spans="1:37" x14ac:dyDescent="0.25">
      <c r="A3647" s="76">
        <v>19</v>
      </c>
      <c r="B3647" s="3" t="s">
        <v>166</v>
      </c>
      <c r="C3647" s="2" t="s">
        <v>165</v>
      </c>
      <c r="D3647" s="1">
        <v>6</v>
      </c>
      <c r="E3647" s="1">
        <v>11</v>
      </c>
      <c r="F3647" s="1">
        <v>9</v>
      </c>
      <c r="G3647" s="1">
        <v>7</v>
      </c>
      <c r="H3647" s="4">
        <v>0.71</v>
      </c>
      <c r="I3647" s="1">
        <v>2</v>
      </c>
      <c r="J3647" s="4">
        <v>0.5</v>
      </c>
      <c r="K3647" s="1">
        <v>0</v>
      </c>
      <c r="L3647" s="1">
        <v>0</v>
      </c>
      <c r="M3647" s="32">
        <f>IF(Mecze[[#This Row],[PR]]=0,0,Mecze[[#This Row],[PR]]/Mecze[[#This Row],[CZAS]])</f>
        <v>0</v>
      </c>
      <c r="N3647" s="32">
        <f>IF(Mecze[[#This Row],[OU]]=0,0,Mecze[[#This Row],[OU]]/Mecze[[#This Row],[CZAS]])</f>
        <v>1.0309278350515464E-2</v>
      </c>
      <c r="O3647" s="32">
        <f>IF(Mecze[[#This Row],[PC]]=0,0,Mecze[[#This Row],[PC]]/Mecze[[#This Row],[CZAS]])</f>
        <v>5.1546391752577317E-2</v>
      </c>
      <c r="P3647" s="32">
        <f>IF(Mecze[[#This Row],[SC]]=0,0,Mecze[[#This Row],[SC]]/Mecze[[#This Row],[CZAS]])</f>
        <v>9.2783505154639179E-2</v>
      </c>
      <c r="Q3647" s="32">
        <f>IF(Mecze[[#This Row],[OB]]=0,0,Mecze[[#This Row],[OB]]/Mecze[[#This Row],[CZAS]])</f>
        <v>0</v>
      </c>
      <c r="R3647" s="32">
        <f>IF(Mecze[[#This Row],[BR]]=0,0,Mecze[[#This Row],[BR]]/Mecze[[#This Row],[CZAS]])</f>
        <v>6.1855670103092786E-2</v>
      </c>
      <c r="S3647" s="44">
        <f>IF(Mecze[[#This Row],[Role]]="BR",SUMPRODUCT(Mecze[[#This Row],[/PR:90]:[/BR:90]],Brudnopis!$E$23:$J$23),0)</f>
        <v>0</v>
      </c>
      <c r="T3647" s="44">
        <f>IF(Mecze[[#This Row],[Role]]&lt;&gt;"BR",SUMPRODUCT(Mecze[[#This Row],[/PR:90]:[/BR:90]],Brudnopis!$E$24:$J$24),0)</f>
        <v>0.25257731958762886</v>
      </c>
      <c r="U3647" s="44">
        <f>IF(Mecze[[#This Row],[Role]]&lt;&gt;"BR",SUMPRODUCT(Mecze[[#This Row],[/PR:90]:[/BR:90]],Brudnopis!$E$25:$J$25),0)</f>
        <v>0.27319587628865982</v>
      </c>
      <c r="V3647" s="44">
        <f>IF(Mecze[[#This Row],[Role]]&lt;&gt;"BR",SUMPRODUCT(Mecze[[#This Row],[/PR:90]:[/BR:90]],Brudnopis!$E$26:$J$26),0)</f>
        <v>0.27835051546391754</v>
      </c>
      <c r="W3647" s="44">
        <f>IF(Mecze[[#This Row],[Role]]&lt;&gt;"BR",SUMPRODUCT(Mecze[[#This Row],[/PR:90]:[/BR:90]],Brudnopis!$E$27:$J$27),0)</f>
        <v>0.30154639175257736</v>
      </c>
      <c r="X3647" s="44">
        <f>IF(Mecze[[#This Row],[Role]]&lt;&gt;"BR",SUMPRODUCT(Mecze[[#This Row],[/PR:90]:[/BR:90]],Brudnopis!$E$28:$J$28),0)</f>
        <v>0.42268041237113402</v>
      </c>
      <c r="Y3647" s="35">
        <f>IF(Mecze[[#This Row],[Role]]="BR",Mecze[[#This Row],[/OB:90]]+Mecze[[#This Row],[/PC:90]],SUM(Mecze[[#This Row],[/PR:90]:[/BR:90]]))</f>
        <v>0.21649484536082475</v>
      </c>
      <c r="Z3647" s="35">
        <f>IF(Mecze[[#This Row],[KC]]=0,SUM(Mecze[[#This Row],[/BRI]:[/NPI]]),SUM(Mecze[[#This Row],[/BRI]:[/NPI]])*0.6)</f>
        <v>1.5283505154639176</v>
      </c>
      <c r="AA3647" s="10">
        <f>IFERROR(Mecze[[#This Row],[BR]]/Mecze[[#This Row],[ST]],0)</f>
        <v>0.54545454545454541</v>
      </c>
      <c r="AB3647">
        <f>ROUND(Mecze[[#This Row],[PD]]*Mecze[[#This Row],[%PC]],0)</f>
        <v>5</v>
      </c>
      <c r="AC3647">
        <f>ROUND(Mecze[[#This Row],[OD]]*Mecze[[#This Row],[%OU]],0)</f>
        <v>1</v>
      </c>
      <c r="AD3647" s="36" t="s">
        <v>46</v>
      </c>
      <c r="AE3647" s="36">
        <v>206</v>
      </c>
      <c r="AF3647" s="71">
        <v>21.04</v>
      </c>
      <c r="AG3647" s="37">
        <v>0</v>
      </c>
      <c r="AH3647" s="37">
        <v>0</v>
      </c>
      <c r="AI3647" s="37">
        <v>97</v>
      </c>
      <c r="AJ3647" s="37">
        <v>1</v>
      </c>
      <c r="AK3647" s="37" t="str">
        <f>VLOOKUP(Mecze[[#This Row],[Match ID]],Meczusie[Mecz]:Meczusie[RodzajMeczu],2,FALSE)</f>
        <v>Towarzyski</v>
      </c>
    </row>
    <row r="3648" spans="1:37" x14ac:dyDescent="0.25">
      <c r="A3648" s="76">
        <v>9</v>
      </c>
      <c r="B3648" s="3" t="s">
        <v>411</v>
      </c>
      <c r="C3648" s="2" t="s">
        <v>165</v>
      </c>
      <c r="D3648" s="1">
        <v>3</v>
      </c>
      <c r="E3648" s="1">
        <v>7</v>
      </c>
      <c r="F3648" s="1">
        <v>6</v>
      </c>
      <c r="G3648" s="1">
        <v>11</v>
      </c>
      <c r="H3648" s="4">
        <v>0.82</v>
      </c>
      <c r="I3648" s="1">
        <v>5</v>
      </c>
      <c r="J3648" s="4">
        <v>0</v>
      </c>
      <c r="K3648" s="1">
        <v>0</v>
      </c>
      <c r="L3648" s="1">
        <v>1</v>
      </c>
      <c r="M3648" s="32">
        <f>IF(Mecze[[#This Row],[PR]]=0,0,Mecze[[#This Row],[PR]]/Mecze[[#This Row],[CZAS]])</f>
        <v>1.0309278350515464E-2</v>
      </c>
      <c r="N3648" s="32">
        <f>IF(Mecze[[#This Row],[OU]]=0,0,Mecze[[#This Row],[OU]]/Mecze[[#This Row],[CZAS]])</f>
        <v>0</v>
      </c>
      <c r="O3648" s="32">
        <f>IF(Mecze[[#This Row],[PC]]=0,0,Mecze[[#This Row],[PC]]/Mecze[[#This Row],[CZAS]])</f>
        <v>9.2783505154639179E-2</v>
      </c>
      <c r="P3648" s="32">
        <f>IF(Mecze[[#This Row],[SC]]=0,0,Mecze[[#This Row],[SC]]/Mecze[[#This Row],[CZAS]])</f>
        <v>6.1855670103092786E-2</v>
      </c>
      <c r="Q3648" s="32">
        <f>IF(Mecze[[#This Row],[OB]]=0,0,Mecze[[#This Row],[OB]]/Mecze[[#This Row],[CZAS]])</f>
        <v>0</v>
      </c>
      <c r="R3648" s="32">
        <f>IF(Mecze[[#This Row],[BR]]=0,0,Mecze[[#This Row],[BR]]/Mecze[[#This Row],[CZAS]])</f>
        <v>3.0927835051546393E-2</v>
      </c>
      <c r="S3648" s="44">
        <f>IF(Mecze[[#This Row],[Role]]="BR",SUMPRODUCT(Mecze[[#This Row],[/PR:90]:[/BR:90]],Brudnopis!$E$23:$J$23),0)</f>
        <v>0</v>
      </c>
      <c r="T3648" s="44">
        <f>IF(Mecze[[#This Row],[Role]]&lt;&gt;"BR",SUMPRODUCT(Mecze[[#This Row],[/PR:90]:[/BR:90]],Brudnopis!$E$24:$J$24),0)</f>
        <v>0.21134020618556704</v>
      </c>
      <c r="U3648" s="44">
        <f>IF(Mecze[[#This Row],[Role]]&lt;&gt;"BR",SUMPRODUCT(Mecze[[#This Row],[/PR:90]:[/BR:90]],Brudnopis!$E$25:$J$25),0)</f>
        <v>0.25773195876288657</v>
      </c>
      <c r="V3648" s="44">
        <f>IF(Mecze[[#This Row],[Role]]&lt;&gt;"BR",SUMPRODUCT(Mecze[[#This Row],[/PR:90]:[/BR:90]],Brudnopis!$E$26:$J$26),0)</f>
        <v>0.22680412371134023</v>
      </c>
      <c r="W3648" s="44">
        <f>IF(Mecze[[#This Row],[Role]]&lt;&gt;"BR",SUMPRODUCT(Mecze[[#This Row],[/PR:90]:[/BR:90]],Brudnopis!$E$27:$J$27),0)</f>
        <v>0.27061855670103097</v>
      </c>
      <c r="X3648" s="44">
        <f>IF(Mecze[[#This Row],[Role]]&lt;&gt;"BR",SUMPRODUCT(Mecze[[#This Row],[/PR:90]:[/BR:90]],Brudnopis!$E$28:$J$28),0)</f>
        <v>0.30927835051546393</v>
      </c>
      <c r="Y3648" s="35">
        <f>IF(Mecze[[#This Row],[Role]]="BR",Mecze[[#This Row],[/OB:90]]+Mecze[[#This Row],[/PC:90]],SUM(Mecze[[#This Row],[/PR:90]:[/BR:90]]))</f>
        <v>0.19587628865979384</v>
      </c>
      <c r="Z3648" s="35">
        <f>IF(Mecze[[#This Row],[KC]]=0,SUM(Mecze[[#This Row],[/BRI]:[/NPI]]),SUM(Mecze[[#This Row],[/BRI]:[/NPI]])*0.6)</f>
        <v>1.2757731958762886</v>
      </c>
      <c r="AA3648" s="10">
        <f>IFERROR(Mecze[[#This Row],[BR]]/Mecze[[#This Row],[ST]],0)</f>
        <v>0.42857142857142855</v>
      </c>
      <c r="AB3648">
        <f>ROUND(Mecze[[#This Row],[PD]]*Mecze[[#This Row],[%PC]],0)</f>
        <v>9</v>
      </c>
      <c r="AC3648">
        <f>ROUND(Mecze[[#This Row],[OD]]*Mecze[[#This Row],[%OU]],0)</f>
        <v>0</v>
      </c>
      <c r="AD3648" s="36" t="s">
        <v>46</v>
      </c>
      <c r="AE3648" s="36">
        <v>206</v>
      </c>
      <c r="AF3648" s="71">
        <v>14.4</v>
      </c>
      <c r="AG3648" s="37">
        <v>0</v>
      </c>
      <c r="AH3648" s="37">
        <v>0</v>
      </c>
      <c r="AI3648" s="37">
        <v>97</v>
      </c>
      <c r="AJ3648" s="37">
        <v>1</v>
      </c>
      <c r="AK3648" s="37" t="str">
        <f>VLOOKUP(Mecze[[#This Row],[Match ID]],Meczusie[Mecz]:Meczusie[RodzajMeczu],2,FALSE)</f>
        <v>Towarzyski</v>
      </c>
    </row>
    <row r="3649" spans="1:37" x14ac:dyDescent="0.25">
      <c r="A3649" s="76">
        <v>25</v>
      </c>
      <c r="B3649" s="3" t="s">
        <v>366</v>
      </c>
      <c r="C3649" s="2" t="s">
        <v>160</v>
      </c>
      <c r="D3649" s="1">
        <v>0</v>
      </c>
      <c r="E3649" s="1">
        <v>0</v>
      </c>
      <c r="F3649" s="1">
        <v>0</v>
      </c>
      <c r="G3649" s="1">
        <v>2</v>
      </c>
      <c r="H3649" s="4">
        <v>1</v>
      </c>
      <c r="I3649" s="1">
        <v>1</v>
      </c>
      <c r="J3649" s="4">
        <v>0</v>
      </c>
      <c r="K3649" s="1">
        <v>0</v>
      </c>
      <c r="L3649" s="1">
        <v>0</v>
      </c>
      <c r="M3649" s="32">
        <f>IF(Mecze[[#This Row],[PR]]=0,0,Mecze[[#This Row],[PR]]/Mecze[[#This Row],[CZAS]])</f>
        <v>0</v>
      </c>
      <c r="N3649" s="32">
        <f>IF(Mecze[[#This Row],[OU]]=0,0,Mecze[[#This Row],[OU]]/Mecze[[#This Row],[CZAS]])</f>
        <v>0</v>
      </c>
      <c r="O3649" s="32">
        <f>IF(Mecze[[#This Row],[PC]]=0,0,Mecze[[#This Row],[PC]]/Mecze[[#This Row],[CZAS]])</f>
        <v>2.0618556701030927E-2</v>
      </c>
      <c r="P3649" s="32">
        <f>IF(Mecze[[#This Row],[SC]]=0,0,Mecze[[#This Row],[SC]]/Mecze[[#This Row],[CZAS]])</f>
        <v>0</v>
      </c>
      <c r="Q3649" s="32">
        <f>IF(Mecze[[#This Row],[OB]]=0,0,Mecze[[#This Row],[OB]]/Mecze[[#This Row],[CZAS]])</f>
        <v>0</v>
      </c>
      <c r="R3649" s="32">
        <f>IF(Mecze[[#This Row],[BR]]=0,0,Mecze[[#This Row],[BR]]/Mecze[[#This Row],[CZAS]])</f>
        <v>0</v>
      </c>
      <c r="S3649" s="44">
        <f>IF(Mecze[[#This Row],[Role]]="BR",SUMPRODUCT(Mecze[[#This Row],[/PR:90]:[/BR:90]],Brudnopis!$E$23:$J$23),0)</f>
        <v>0</v>
      </c>
      <c r="T3649" s="44">
        <f>IF(Mecze[[#This Row],[Role]]&lt;&gt;"BR",SUMPRODUCT(Mecze[[#This Row],[/PR:90]:[/BR:90]],Brudnopis!$E$24:$J$24),0)</f>
        <v>2.0618556701030927E-2</v>
      </c>
      <c r="U3649" s="44">
        <f>IF(Mecze[[#This Row],[Role]]&lt;&gt;"BR",SUMPRODUCT(Mecze[[#This Row],[/PR:90]:[/BR:90]],Brudnopis!$E$25:$J$25),0)</f>
        <v>3.0927835051546393E-2</v>
      </c>
      <c r="V3649" s="44">
        <f>IF(Mecze[[#This Row],[Role]]&lt;&gt;"BR",SUMPRODUCT(Mecze[[#This Row],[/PR:90]:[/BR:90]],Brudnopis!$E$26:$J$26),0)</f>
        <v>2.0618556701030927E-2</v>
      </c>
      <c r="W3649" s="44">
        <f>IF(Mecze[[#This Row],[Role]]&lt;&gt;"BR",SUMPRODUCT(Mecze[[#This Row],[/PR:90]:[/BR:90]],Brudnopis!$E$27:$J$27),0)</f>
        <v>3.0927835051546393E-2</v>
      </c>
      <c r="X3649" s="44">
        <f>IF(Mecze[[#This Row],[Role]]&lt;&gt;"BR",SUMPRODUCT(Mecze[[#This Row],[/PR:90]:[/BR:90]],Brudnopis!$E$28:$J$28),0)</f>
        <v>2.0618556701030927E-2</v>
      </c>
      <c r="Y3649" s="35">
        <f>IF(Mecze[[#This Row],[Role]]="BR",Mecze[[#This Row],[/OB:90]]+Mecze[[#This Row],[/PC:90]],SUM(Mecze[[#This Row],[/PR:90]:[/BR:90]]))</f>
        <v>2.0618556701030927E-2</v>
      </c>
      <c r="Z3649" s="35">
        <f>IF(Mecze[[#This Row],[KC]]=0,SUM(Mecze[[#This Row],[/BRI]:[/NPI]]),SUM(Mecze[[#This Row],[/BRI]:[/NPI]])*0.6)</f>
        <v>0.12371134020618556</v>
      </c>
      <c r="AA3649" s="10">
        <f>IFERROR(Mecze[[#This Row],[BR]]/Mecze[[#This Row],[ST]],0)</f>
        <v>0</v>
      </c>
      <c r="AB3649">
        <f>ROUND(Mecze[[#This Row],[PD]]*Mecze[[#This Row],[%PC]],0)</f>
        <v>2</v>
      </c>
      <c r="AC3649">
        <f>ROUND(Mecze[[#This Row],[OD]]*Mecze[[#This Row],[%OU]],0)</f>
        <v>0</v>
      </c>
      <c r="AD3649" s="36" t="s">
        <v>44</v>
      </c>
      <c r="AE3649" s="36">
        <v>206</v>
      </c>
      <c r="AF3649" s="71">
        <v>4.84</v>
      </c>
      <c r="AG3649" s="37">
        <v>0</v>
      </c>
      <c r="AH3649" s="37">
        <v>0</v>
      </c>
      <c r="AI3649" s="37">
        <v>97</v>
      </c>
      <c r="AJ3649" s="37">
        <v>1</v>
      </c>
      <c r="AK3649" s="37" t="str">
        <f>VLOOKUP(Mecze[[#This Row],[Match ID]],Meczusie[Mecz]:Meczusie[RodzajMeczu],2,FALSE)</f>
        <v>Towarzyski</v>
      </c>
    </row>
    <row r="3650" spans="1:37" x14ac:dyDescent="0.25">
      <c r="A3650" s="76">
        <v>26</v>
      </c>
      <c r="B3650" s="3" t="s">
        <v>368</v>
      </c>
      <c r="C3650" s="2" t="s">
        <v>160</v>
      </c>
      <c r="D3650" s="1">
        <v>0</v>
      </c>
      <c r="E3650" s="1">
        <v>1</v>
      </c>
      <c r="F3650" s="1">
        <v>0</v>
      </c>
      <c r="G3650" s="1">
        <v>5</v>
      </c>
      <c r="H3650" s="4">
        <v>0.6</v>
      </c>
      <c r="I3650" s="1">
        <v>1</v>
      </c>
      <c r="J3650" s="4">
        <v>1</v>
      </c>
      <c r="K3650" s="1">
        <v>0</v>
      </c>
      <c r="L3650" s="1">
        <v>0</v>
      </c>
      <c r="M3650" s="32">
        <f>IF(Mecze[[#This Row],[PR]]=0,0,Mecze[[#This Row],[PR]]/Mecze[[#This Row],[CZAS]])</f>
        <v>0</v>
      </c>
      <c r="N3650" s="32">
        <f>IF(Mecze[[#This Row],[OU]]=0,0,Mecze[[#This Row],[OU]]/Mecze[[#This Row],[CZAS]])</f>
        <v>1.0309278350515464E-2</v>
      </c>
      <c r="O3650" s="32">
        <f>IF(Mecze[[#This Row],[PC]]=0,0,Mecze[[#This Row],[PC]]/Mecze[[#This Row],[CZAS]])</f>
        <v>3.0927835051546393E-2</v>
      </c>
      <c r="P3650" s="32">
        <f>IF(Mecze[[#This Row],[SC]]=0,0,Mecze[[#This Row],[SC]]/Mecze[[#This Row],[CZAS]])</f>
        <v>0</v>
      </c>
      <c r="Q3650" s="32">
        <f>IF(Mecze[[#This Row],[OB]]=0,0,Mecze[[#This Row],[OB]]/Mecze[[#This Row],[CZAS]])</f>
        <v>0</v>
      </c>
      <c r="R3650" s="32">
        <f>IF(Mecze[[#This Row],[BR]]=0,0,Mecze[[#This Row],[BR]]/Mecze[[#This Row],[CZAS]])</f>
        <v>0</v>
      </c>
      <c r="S3650" s="44">
        <f>IF(Mecze[[#This Row],[Role]]="BR",SUMPRODUCT(Mecze[[#This Row],[/PR:90]:[/BR:90]],Brudnopis!$E$23:$J$23),0)</f>
        <v>0</v>
      </c>
      <c r="T3650" s="44">
        <f>IF(Mecze[[#This Row],[Role]]&lt;&gt;"BR",SUMPRODUCT(Mecze[[#This Row],[/PR:90]:[/BR:90]],Brudnopis!$E$24:$J$24),0)</f>
        <v>4.6391752577319589E-2</v>
      </c>
      <c r="U3650" s="44">
        <f>IF(Mecze[[#This Row],[Role]]&lt;&gt;"BR",SUMPRODUCT(Mecze[[#This Row],[/PR:90]:[/BR:90]],Brudnopis!$E$25:$J$25),0)</f>
        <v>5.6701030927835051E-2</v>
      </c>
      <c r="V3650" s="44">
        <f>IF(Mecze[[#This Row],[Role]]&lt;&gt;"BR",SUMPRODUCT(Mecze[[#This Row],[/PR:90]:[/BR:90]],Brudnopis!$E$26:$J$26),0)</f>
        <v>4.1237113402061855E-2</v>
      </c>
      <c r="W3650" s="44">
        <f>IF(Mecze[[#This Row],[Role]]&lt;&gt;"BR",SUMPRODUCT(Mecze[[#This Row],[/PR:90]:[/BR:90]],Brudnopis!$E$27:$J$27),0)</f>
        <v>5.4123711340206188E-2</v>
      </c>
      <c r="X3650" s="44">
        <f>IF(Mecze[[#This Row],[Role]]&lt;&gt;"BR",SUMPRODUCT(Mecze[[#This Row],[/PR:90]:[/BR:90]],Brudnopis!$E$28:$J$28),0)</f>
        <v>3.0927835051546393E-2</v>
      </c>
      <c r="Y3650" s="35">
        <f>IF(Mecze[[#This Row],[Role]]="BR",Mecze[[#This Row],[/OB:90]]+Mecze[[#This Row],[/PC:90]],SUM(Mecze[[#This Row],[/PR:90]:[/BR:90]]))</f>
        <v>4.1237113402061855E-2</v>
      </c>
      <c r="Z3650" s="35">
        <f>IF(Mecze[[#This Row],[KC]]=0,SUM(Mecze[[#This Row],[/BRI]:[/NPI]]),SUM(Mecze[[#This Row],[/BRI]:[/NPI]])*0.6)</f>
        <v>0.22938144329896906</v>
      </c>
      <c r="AA3650" s="10">
        <f>IFERROR(Mecze[[#This Row],[BR]]/Mecze[[#This Row],[ST]],0)</f>
        <v>0</v>
      </c>
      <c r="AB3650">
        <f>ROUND(Mecze[[#This Row],[PD]]*Mecze[[#This Row],[%PC]],0)</f>
        <v>3</v>
      </c>
      <c r="AC3650">
        <f>ROUND(Mecze[[#This Row],[OD]]*Mecze[[#This Row],[%OU]],0)</f>
        <v>1</v>
      </c>
      <c r="AD3650" s="36" t="s">
        <v>44</v>
      </c>
      <c r="AE3650" s="36">
        <v>206</v>
      </c>
      <c r="AF3650" s="71">
        <v>6.05</v>
      </c>
      <c r="AG3650" s="37">
        <v>0</v>
      </c>
      <c r="AH3650" s="37">
        <v>0</v>
      </c>
      <c r="AI3650" s="37">
        <v>97</v>
      </c>
      <c r="AJ3650" s="37">
        <v>1</v>
      </c>
      <c r="AK3650" s="37" t="str">
        <f>VLOOKUP(Mecze[[#This Row],[Match ID]],Meczusie[Mecz]:Meczusie[RodzajMeczu],2,FALSE)</f>
        <v>Towarzyski</v>
      </c>
    </row>
    <row r="3651" spans="1:37" x14ac:dyDescent="0.25">
      <c r="A3651" s="76">
        <v>39</v>
      </c>
      <c r="B3651" s="3" t="s">
        <v>450</v>
      </c>
      <c r="C3651" s="2" t="s">
        <v>155</v>
      </c>
      <c r="D3651" s="1">
        <v>0</v>
      </c>
      <c r="E3651" s="1">
        <v>0</v>
      </c>
      <c r="F3651" s="1">
        <v>0</v>
      </c>
      <c r="G3651" s="1">
        <v>6</v>
      </c>
      <c r="H3651" s="4">
        <v>0.33</v>
      </c>
      <c r="I3651" s="1">
        <v>0</v>
      </c>
      <c r="J3651" s="4"/>
      <c r="K3651" s="1">
        <v>3</v>
      </c>
      <c r="L3651" s="1">
        <v>0</v>
      </c>
      <c r="M3651" s="32">
        <f>IF(Mecze[[#This Row],[PR]]=0,0,Mecze[[#This Row],[PR]]/Mecze[[#This Row],[CZAS]])</f>
        <v>0</v>
      </c>
      <c r="N3651" s="32">
        <f>IF(Mecze[[#This Row],[OU]]=0,0,Mecze[[#This Row],[OU]]/Mecze[[#This Row],[CZAS]])</f>
        <v>0</v>
      </c>
      <c r="O3651" s="32">
        <f>IF(Mecze[[#This Row],[PC]]=0,0,Mecze[[#This Row],[PC]]/Mecze[[#This Row],[CZAS]])</f>
        <v>2.0618556701030927E-2</v>
      </c>
      <c r="P3651" s="32">
        <f>IF(Mecze[[#This Row],[SC]]=0,0,Mecze[[#This Row],[SC]]/Mecze[[#This Row],[CZAS]])</f>
        <v>0</v>
      </c>
      <c r="Q3651" s="32">
        <f>IF(Mecze[[#This Row],[OB]]=0,0,Mecze[[#This Row],[OB]]/Mecze[[#This Row],[CZAS]])</f>
        <v>3.0927835051546393E-2</v>
      </c>
      <c r="R3651" s="32">
        <f>IF(Mecze[[#This Row],[BR]]=0,0,Mecze[[#This Row],[BR]]/Mecze[[#This Row],[CZAS]])</f>
        <v>0</v>
      </c>
      <c r="S3651" s="44">
        <f>IF(Mecze[[#This Row],[Role]]="BR",SUMPRODUCT(Mecze[[#This Row],[/PR:90]:[/BR:90]],Brudnopis!$E$23:$J$23),0)</f>
        <v>0.15463917525773196</v>
      </c>
      <c r="T3651" s="44">
        <f>IF(Mecze[[#This Row],[Role]]&lt;&gt;"BR",SUMPRODUCT(Mecze[[#This Row],[/PR:90]:[/BR:90]],Brudnopis!$E$24:$J$24),0)</f>
        <v>0</v>
      </c>
      <c r="U3651" s="44">
        <f>IF(Mecze[[#This Row],[Role]]&lt;&gt;"BR",SUMPRODUCT(Mecze[[#This Row],[/PR:90]:[/BR:90]],Brudnopis!$E$25:$J$25),0)</f>
        <v>0</v>
      </c>
      <c r="V3651" s="44">
        <f>IF(Mecze[[#This Row],[Role]]&lt;&gt;"BR",SUMPRODUCT(Mecze[[#This Row],[/PR:90]:[/BR:90]],Brudnopis!$E$26:$J$26),0)</f>
        <v>0</v>
      </c>
      <c r="W3651" s="44">
        <f>IF(Mecze[[#This Row],[Role]]&lt;&gt;"BR",SUMPRODUCT(Mecze[[#This Row],[/PR:90]:[/BR:90]],Brudnopis!$E$27:$J$27),0)</f>
        <v>0</v>
      </c>
      <c r="X3651" s="44">
        <f>IF(Mecze[[#This Row],[Role]]&lt;&gt;"BR",SUMPRODUCT(Mecze[[#This Row],[/PR:90]:[/BR:90]],Brudnopis!$E$28:$J$28),0)</f>
        <v>0</v>
      </c>
      <c r="Y3651" s="35">
        <f>IF(Mecze[[#This Row],[Role]]="BR",Mecze[[#This Row],[/OB:90]]+Mecze[[#This Row],[/PC:90]],SUM(Mecze[[#This Row],[/PR:90]:[/BR:90]]))</f>
        <v>5.1546391752577317E-2</v>
      </c>
      <c r="Z3651" s="35">
        <f>IF(Mecze[[#This Row],[KC]]=0,SUM(Mecze[[#This Row],[/BRI]:[/NPI]]),SUM(Mecze[[#This Row],[/BRI]:[/NPI]])*0.6)</f>
        <v>0.15463917525773196</v>
      </c>
      <c r="AA3651" s="10">
        <f>IFERROR(Mecze[[#This Row],[BR]]/Mecze[[#This Row],[ST]],0)</f>
        <v>0</v>
      </c>
      <c r="AB3651">
        <f>ROUND(Mecze[[#This Row],[PD]]*Mecze[[#This Row],[%PC]],0)</f>
        <v>2</v>
      </c>
      <c r="AC3651">
        <f>ROUND(Mecze[[#This Row],[OD]]*Mecze[[#This Row],[%OU]],0)</f>
        <v>0</v>
      </c>
      <c r="AD3651" s="36" t="s">
        <v>40</v>
      </c>
      <c r="AE3651" s="36">
        <v>207</v>
      </c>
      <c r="AF3651" s="71">
        <v>4.97</v>
      </c>
      <c r="AG3651" s="37">
        <v>0</v>
      </c>
      <c r="AH3651" s="37">
        <v>0</v>
      </c>
      <c r="AI3651" s="37">
        <v>97</v>
      </c>
      <c r="AJ3651" s="37">
        <v>1</v>
      </c>
      <c r="AK3651" s="37" t="str">
        <f>VLOOKUP(Mecze[[#This Row],[Match ID]],Meczusie[Mecz]:Meczusie[RodzajMeczu],2,FALSE)</f>
        <v>Towarzyski</v>
      </c>
    </row>
    <row r="3652" spans="1:37" x14ac:dyDescent="0.25">
      <c r="A3652" s="76">
        <v>50</v>
      </c>
      <c r="B3652" s="3" t="s">
        <v>496</v>
      </c>
      <c r="C3652" s="2" t="s">
        <v>157</v>
      </c>
      <c r="D3652" s="1">
        <v>0</v>
      </c>
      <c r="E3652" s="1">
        <v>0</v>
      </c>
      <c r="F3652" s="1">
        <v>0</v>
      </c>
      <c r="G3652" s="1">
        <v>9</v>
      </c>
      <c r="H3652" s="4">
        <v>0.78</v>
      </c>
      <c r="I3652" s="1">
        <v>4</v>
      </c>
      <c r="J3652" s="4">
        <v>0.5</v>
      </c>
      <c r="K3652" s="1">
        <v>0</v>
      </c>
      <c r="L3652" s="1">
        <v>10</v>
      </c>
      <c r="M3652" s="32">
        <f>IF(Mecze[[#This Row],[PR]]=0,0,Mecze[[#This Row],[PR]]/Mecze[[#This Row],[CZAS]])</f>
        <v>0.10309278350515463</v>
      </c>
      <c r="N3652" s="32">
        <f>IF(Mecze[[#This Row],[OU]]=0,0,Mecze[[#This Row],[OU]]/Mecze[[#This Row],[CZAS]])</f>
        <v>2.0618556701030927E-2</v>
      </c>
      <c r="O3652" s="32">
        <f>IF(Mecze[[#This Row],[PC]]=0,0,Mecze[[#This Row],[PC]]/Mecze[[#This Row],[CZAS]])</f>
        <v>7.2164948453608241E-2</v>
      </c>
      <c r="P3652" s="32">
        <f>IF(Mecze[[#This Row],[SC]]=0,0,Mecze[[#This Row],[SC]]/Mecze[[#This Row],[CZAS]])</f>
        <v>0</v>
      </c>
      <c r="Q3652" s="32">
        <f>IF(Mecze[[#This Row],[OB]]=0,0,Mecze[[#This Row],[OB]]/Mecze[[#This Row],[CZAS]])</f>
        <v>0</v>
      </c>
      <c r="R3652" s="32">
        <f>IF(Mecze[[#This Row],[BR]]=0,0,Mecze[[#This Row],[BR]]/Mecze[[#This Row],[CZAS]])</f>
        <v>0</v>
      </c>
      <c r="S3652" s="44">
        <f>IF(Mecze[[#This Row],[Role]]="BR",SUMPRODUCT(Mecze[[#This Row],[/PR:90]:[/BR:90]],Brudnopis!$E$23:$J$23),0)</f>
        <v>0</v>
      </c>
      <c r="T3652" s="44">
        <f>IF(Mecze[[#This Row],[Role]]&lt;&gt;"BR",SUMPRODUCT(Mecze[[#This Row],[/PR:90]:[/BR:90]],Brudnopis!$E$24:$J$24),0)</f>
        <v>0.20618556701030927</v>
      </c>
      <c r="U3652" s="44">
        <f>IF(Mecze[[#This Row],[Role]]&lt;&gt;"BR",SUMPRODUCT(Mecze[[#This Row],[/PR:90]:[/BR:90]],Brudnopis!$E$25:$J$25),0)</f>
        <v>0.23195876288659792</v>
      </c>
      <c r="V3652" s="44">
        <f>IF(Mecze[[#This Row],[Role]]&lt;&gt;"BR",SUMPRODUCT(Mecze[[#This Row],[/PR:90]:[/BR:90]],Brudnopis!$E$26:$J$26),0)</f>
        <v>0.19587628865979378</v>
      </c>
      <c r="W3652" s="44">
        <f>IF(Mecze[[#This Row],[Role]]&lt;&gt;"BR",SUMPRODUCT(Mecze[[#This Row],[/PR:90]:[/BR:90]],Brudnopis!$E$27:$J$27),0)</f>
        <v>0.20103092783505155</v>
      </c>
      <c r="X3652" s="44">
        <f>IF(Mecze[[#This Row],[Role]]&lt;&gt;"BR",SUMPRODUCT(Mecze[[#This Row],[/PR:90]:[/BR:90]],Brudnopis!$E$28:$J$28),0)</f>
        <v>7.2164948453608241E-2</v>
      </c>
      <c r="Y3652" s="35">
        <f>IF(Mecze[[#This Row],[Role]]="BR",Mecze[[#This Row],[/OB:90]]+Mecze[[#This Row],[/PC:90]],SUM(Mecze[[#This Row],[/PR:90]:[/BR:90]]))</f>
        <v>0.19587628865979378</v>
      </c>
      <c r="Z3652" s="35">
        <f>IF(Mecze[[#This Row],[KC]]=0,SUM(Mecze[[#This Row],[/BRI]:[/NPI]]),SUM(Mecze[[#This Row],[/BRI]:[/NPI]])*0.6)</f>
        <v>0.90721649484536071</v>
      </c>
      <c r="AA3652" s="10">
        <f>IFERROR(Mecze[[#This Row],[BR]]/Mecze[[#This Row],[ST]],0)</f>
        <v>0</v>
      </c>
      <c r="AB3652">
        <f>ROUND(Mecze[[#This Row],[PD]]*Mecze[[#This Row],[%PC]],0)</f>
        <v>7</v>
      </c>
      <c r="AC3652">
        <f>ROUND(Mecze[[#This Row],[OD]]*Mecze[[#This Row],[%OU]],0)</f>
        <v>2</v>
      </c>
      <c r="AD3652" s="36" t="s">
        <v>47</v>
      </c>
      <c r="AE3652" s="36">
        <v>207</v>
      </c>
      <c r="AF3652" s="71">
        <v>7.14</v>
      </c>
      <c r="AG3652" s="37">
        <v>0</v>
      </c>
      <c r="AH3652" s="37">
        <v>0</v>
      </c>
      <c r="AI3652" s="37">
        <v>97</v>
      </c>
      <c r="AJ3652" s="37">
        <v>1</v>
      </c>
      <c r="AK3652" s="37" t="str">
        <f>VLOOKUP(Mecze[[#This Row],[Match ID]],Meczusie[Mecz]:Meczusie[RodzajMeczu],2,FALSE)</f>
        <v>Towarzyski</v>
      </c>
    </row>
    <row r="3653" spans="1:37" x14ac:dyDescent="0.25">
      <c r="A3653" s="76">
        <v>53</v>
      </c>
      <c r="B3653" s="3" t="s">
        <v>415</v>
      </c>
      <c r="C3653" s="2" t="s">
        <v>157</v>
      </c>
      <c r="D3653" s="1">
        <v>0</v>
      </c>
      <c r="E3653" s="1">
        <v>0</v>
      </c>
      <c r="F3653" s="1">
        <v>0</v>
      </c>
      <c r="G3653" s="1">
        <v>4</v>
      </c>
      <c r="H3653" s="4">
        <v>0.25</v>
      </c>
      <c r="I3653" s="1">
        <v>3</v>
      </c>
      <c r="J3653" s="4">
        <v>0.67</v>
      </c>
      <c r="K3653" s="1">
        <v>0</v>
      </c>
      <c r="L3653" s="1">
        <v>8</v>
      </c>
      <c r="M3653" s="32">
        <f>IF(Mecze[[#This Row],[PR]]=0,0,Mecze[[#This Row],[PR]]/Mecze[[#This Row],[CZAS]])</f>
        <v>8.247422680412371E-2</v>
      </c>
      <c r="N3653" s="32">
        <f>IF(Mecze[[#This Row],[OU]]=0,0,Mecze[[#This Row],[OU]]/Mecze[[#This Row],[CZAS]])</f>
        <v>2.0618556701030927E-2</v>
      </c>
      <c r="O3653" s="32">
        <f>IF(Mecze[[#This Row],[PC]]=0,0,Mecze[[#This Row],[PC]]/Mecze[[#This Row],[CZAS]])</f>
        <v>1.0309278350515464E-2</v>
      </c>
      <c r="P3653" s="32">
        <f>IF(Mecze[[#This Row],[SC]]=0,0,Mecze[[#This Row],[SC]]/Mecze[[#This Row],[CZAS]])</f>
        <v>0</v>
      </c>
      <c r="Q3653" s="32">
        <f>IF(Mecze[[#This Row],[OB]]=0,0,Mecze[[#This Row],[OB]]/Mecze[[#This Row],[CZAS]])</f>
        <v>0</v>
      </c>
      <c r="R3653" s="32">
        <f>IF(Mecze[[#This Row],[BR]]=0,0,Mecze[[#This Row],[BR]]/Mecze[[#This Row],[CZAS]])</f>
        <v>0</v>
      </c>
      <c r="S3653" s="44">
        <f>IF(Mecze[[#This Row],[Role]]="BR",SUMPRODUCT(Mecze[[#This Row],[/PR:90]:[/BR:90]],Brudnopis!$E$23:$J$23),0)</f>
        <v>0</v>
      </c>
      <c r="T3653" s="44">
        <f>IF(Mecze[[#This Row],[Role]]&lt;&gt;"BR",SUMPRODUCT(Mecze[[#This Row],[/PR:90]:[/BR:90]],Brudnopis!$E$24:$J$24),0)</f>
        <v>0.12371134020618557</v>
      </c>
      <c r="U3653" s="44">
        <f>IF(Mecze[[#This Row],[Role]]&lt;&gt;"BR",SUMPRODUCT(Mecze[[#This Row],[/PR:90]:[/BR:90]],Brudnopis!$E$25:$J$25),0)</f>
        <v>0.11855670103092783</v>
      </c>
      <c r="V3653" s="44">
        <f>IF(Mecze[[#This Row],[Role]]&lt;&gt;"BR",SUMPRODUCT(Mecze[[#This Row],[/PR:90]:[/BR:90]],Brudnopis!$E$26:$J$26),0)</f>
        <v>0.1134020618556701</v>
      </c>
      <c r="W3653" s="44">
        <f>IF(Mecze[[#This Row],[Role]]&lt;&gt;"BR",SUMPRODUCT(Mecze[[#This Row],[/PR:90]:[/BR:90]],Brudnopis!$E$27:$J$27),0)</f>
        <v>9.2783505154639179E-2</v>
      </c>
      <c r="X3653" s="44">
        <f>IF(Mecze[[#This Row],[Role]]&lt;&gt;"BR",SUMPRODUCT(Mecze[[#This Row],[/PR:90]:[/BR:90]],Brudnopis!$E$28:$J$28),0)</f>
        <v>1.0309278350515464E-2</v>
      </c>
      <c r="Y3653" s="35">
        <f>IF(Mecze[[#This Row],[Role]]="BR",Mecze[[#This Row],[/OB:90]]+Mecze[[#This Row],[/PC:90]],SUM(Mecze[[#This Row],[/PR:90]:[/BR:90]]))</f>
        <v>0.1134020618556701</v>
      </c>
      <c r="Z3653" s="35">
        <f>IF(Mecze[[#This Row],[KC]]=0,SUM(Mecze[[#This Row],[/BRI]:[/NPI]]),SUM(Mecze[[#This Row],[/BRI]:[/NPI]])*0.6)</f>
        <v>0.45876288659793818</v>
      </c>
      <c r="AA3653" s="10">
        <f>IFERROR(Mecze[[#This Row],[BR]]/Mecze[[#This Row],[ST]],0)</f>
        <v>0</v>
      </c>
      <c r="AB3653">
        <f>ROUND(Mecze[[#This Row],[PD]]*Mecze[[#This Row],[%PC]],0)</f>
        <v>1</v>
      </c>
      <c r="AC3653">
        <f>ROUND(Mecze[[#This Row],[OD]]*Mecze[[#This Row],[%OU]],0)</f>
        <v>2</v>
      </c>
      <c r="AD3653" s="36" t="s">
        <v>167</v>
      </c>
      <c r="AE3653" s="36">
        <v>207</v>
      </c>
      <c r="AF3653" s="71">
        <v>6.72</v>
      </c>
      <c r="AG3653" s="37">
        <v>0</v>
      </c>
      <c r="AH3653" s="37">
        <v>0</v>
      </c>
      <c r="AI3653" s="37">
        <v>97</v>
      </c>
      <c r="AJ3653" s="37">
        <v>1</v>
      </c>
      <c r="AK3653" s="37" t="str">
        <f>VLOOKUP(Mecze[[#This Row],[Match ID]],Meczusie[Mecz]:Meczusie[RodzajMeczu],2,FALSE)</f>
        <v>Towarzyski</v>
      </c>
    </row>
    <row r="3654" spans="1:37" x14ac:dyDescent="0.25">
      <c r="A3654" s="76">
        <v>42</v>
      </c>
      <c r="B3654" s="3" t="s">
        <v>361</v>
      </c>
      <c r="C3654" s="2" t="s">
        <v>157</v>
      </c>
      <c r="D3654" s="1">
        <v>0</v>
      </c>
      <c r="E3654" s="1">
        <v>0</v>
      </c>
      <c r="F3654" s="1">
        <v>0</v>
      </c>
      <c r="G3654" s="1">
        <v>7</v>
      </c>
      <c r="H3654" s="4">
        <v>0.86</v>
      </c>
      <c r="I3654" s="1">
        <v>3</v>
      </c>
      <c r="J3654" s="4">
        <v>0</v>
      </c>
      <c r="K3654" s="1">
        <v>0</v>
      </c>
      <c r="L3654" s="1">
        <v>6</v>
      </c>
      <c r="M3654" s="32">
        <f>IF(Mecze[[#This Row],[PR]]=0,0,Mecze[[#This Row],[PR]]/Mecze[[#This Row],[CZAS]])</f>
        <v>6.1855670103092786E-2</v>
      </c>
      <c r="N3654" s="32">
        <f>IF(Mecze[[#This Row],[OU]]=0,0,Mecze[[#This Row],[OU]]/Mecze[[#This Row],[CZAS]])</f>
        <v>0</v>
      </c>
      <c r="O3654" s="32">
        <f>IF(Mecze[[#This Row],[PC]]=0,0,Mecze[[#This Row],[PC]]/Mecze[[#This Row],[CZAS]])</f>
        <v>6.1855670103092786E-2</v>
      </c>
      <c r="P3654" s="32">
        <f>IF(Mecze[[#This Row],[SC]]=0,0,Mecze[[#This Row],[SC]]/Mecze[[#This Row],[CZAS]])</f>
        <v>0</v>
      </c>
      <c r="Q3654" s="32">
        <f>IF(Mecze[[#This Row],[OB]]=0,0,Mecze[[#This Row],[OB]]/Mecze[[#This Row],[CZAS]])</f>
        <v>0</v>
      </c>
      <c r="R3654" s="32">
        <f>IF(Mecze[[#This Row],[BR]]=0,0,Mecze[[#This Row],[BR]]/Mecze[[#This Row],[CZAS]])</f>
        <v>0</v>
      </c>
      <c r="S3654" s="44">
        <f>IF(Mecze[[#This Row],[Role]]="BR",SUMPRODUCT(Mecze[[#This Row],[/PR:90]:[/BR:90]],Brudnopis!$E$23:$J$23),0)</f>
        <v>0</v>
      </c>
      <c r="T3654" s="44">
        <f>IF(Mecze[[#This Row],[Role]]&lt;&gt;"BR",SUMPRODUCT(Mecze[[#This Row],[/PR:90]:[/BR:90]],Brudnopis!$E$24:$J$24),0)</f>
        <v>0.12371134020618557</v>
      </c>
      <c r="U3654" s="44">
        <f>IF(Mecze[[#This Row],[Role]]&lt;&gt;"BR",SUMPRODUCT(Mecze[[#This Row],[/PR:90]:[/BR:90]],Brudnopis!$E$25:$J$25),0)</f>
        <v>0.15463917525773196</v>
      </c>
      <c r="V3654" s="44">
        <f>IF(Mecze[[#This Row],[Role]]&lt;&gt;"BR",SUMPRODUCT(Mecze[[#This Row],[/PR:90]:[/BR:90]],Brudnopis!$E$26:$J$26),0)</f>
        <v>0.12371134020618557</v>
      </c>
      <c r="W3654" s="44">
        <f>IF(Mecze[[#This Row],[Role]]&lt;&gt;"BR",SUMPRODUCT(Mecze[[#This Row],[/PR:90]:[/BR:90]],Brudnopis!$E$27:$J$27),0)</f>
        <v>0.13917525773195877</v>
      </c>
      <c r="X3654" s="44">
        <f>IF(Mecze[[#This Row],[Role]]&lt;&gt;"BR",SUMPRODUCT(Mecze[[#This Row],[/PR:90]:[/BR:90]],Brudnopis!$E$28:$J$28),0)</f>
        <v>6.1855670103092786E-2</v>
      </c>
      <c r="Y3654" s="35">
        <f>IF(Mecze[[#This Row],[Role]]="BR",Mecze[[#This Row],[/OB:90]]+Mecze[[#This Row],[/PC:90]],SUM(Mecze[[#This Row],[/PR:90]:[/BR:90]]))</f>
        <v>0.12371134020618557</v>
      </c>
      <c r="Z3654" s="35">
        <f>IF(Mecze[[#This Row],[KC]]=0,SUM(Mecze[[#This Row],[/BRI]:[/NPI]]),SUM(Mecze[[#This Row],[/BRI]:[/NPI]])*0.6)</f>
        <v>0.60309278350515472</v>
      </c>
      <c r="AA3654" s="10">
        <f>IFERROR(Mecze[[#This Row],[BR]]/Mecze[[#This Row],[ST]],0)</f>
        <v>0</v>
      </c>
      <c r="AB3654">
        <f>ROUND(Mecze[[#This Row],[PD]]*Mecze[[#This Row],[%PC]],0)</f>
        <v>6</v>
      </c>
      <c r="AC3654">
        <f>ROUND(Mecze[[#This Row],[OD]]*Mecze[[#This Row],[%OU]],0)</f>
        <v>0</v>
      </c>
      <c r="AD3654" s="36" t="s">
        <v>168</v>
      </c>
      <c r="AE3654" s="36">
        <v>207</v>
      </c>
      <c r="AF3654" s="71">
        <v>5.18</v>
      </c>
      <c r="AG3654" s="37">
        <v>0</v>
      </c>
      <c r="AH3654" s="37">
        <v>0</v>
      </c>
      <c r="AI3654" s="37">
        <v>97</v>
      </c>
      <c r="AJ3654" s="37">
        <v>1</v>
      </c>
      <c r="AK3654" s="37" t="str">
        <f>VLOOKUP(Mecze[[#This Row],[Match ID]],Meczusie[Mecz]:Meczusie[RodzajMeczu],2,FALSE)</f>
        <v>Towarzyski</v>
      </c>
    </row>
    <row r="3655" spans="1:37" x14ac:dyDescent="0.25">
      <c r="A3655" s="76">
        <v>52</v>
      </c>
      <c r="B3655" s="3" t="s">
        <v>408</v>
      </c>
      <c r="C3655" s="2" t="s">
        <v>160</v>
      </c>
      <c r="D3655" s="1">
        <v>0</v>
      </c>
      <c r="E3655" s="1">
        <v>1</v>
      </c>
      <c r="F3655" s="1">
        <v>1</v>
      </c>
      <c r="G3655" s="1">
        <v>10</v>
      </c>
      <c r="H3655" s="4">
        <v>0.4</v>
      </c>
      <c r="I3655" s="1">
        <v>0</v>
      </c>
      <c r="J3655" s="4"/>
      <c r="K3655" s="1">
        <v>0</v>
      </c>
      <c r="L3655" s="1">
        <v>9</v>
      </c>
      <c r="M3655" s="32">
        <f>IF(Mecze[[#This Row],[PR]]=0,0,Mecze[[#This Row],[PR]]/Mecze[[#This Row],[CZAS]])</f>
        <v>9.2783505154639179E-2</v>
      </c>
      <c r="N3655" s="32">
        <f>IF(Mecze[[#This Row],[OU]]=0,0,Mecze[[#This Row],[OU]]/Mecze[[#This Row],[CZAS]])</f>
        <v>0</v>
      </c>
      <c r="O3655" s="32">
        <f>IF(Mecze[[#This Row],[PC]]=0,0,Mecze[[#This Row],[PC]]/Mecze[[#This Row],[CZAS]])</f>
        <v>4.1237113402061855E-2</v>
      </c>
      <c r="P3655" s="32">
        <f>IF(Mecze[[#This Row],[SC]]=0,0,Mecze[[#This Row],[SC]]/Mecze[[#This Row],[CZAS]])</f>
        <v>1.0309278350515464E-2</v>
      </c>
      <c r="Q3655" s="32">
        <f>IF(Mecze[[#This Row],[OB]]=0,0,Mecze[[#This Row],[OB]]/Mecze[[#This Row],[CZAS]])</f>
        <v>0</v>
      </c>
      <c r="R3655" s="32">
        <f>IF(Mecze[[#This Row],[BR]]=0,0,Mecze[[#This Row],[BR]]/Mecze[[#This Row],[CZAS]])</f>
        <v>0</v>
      </c>
      <c r="S3655" s="44">
        <f>IF(Mecze[[#This Row],[Role]]="BR",SUMPRODUCT(Mecze[[#This Row],[/PR:90]:[/BR:90]],Brudnopis!$E$23:$J$23),0)</f>
        <v>0</v>
      </c>
      <c r="T3655" s="44">
        <f>IF(Mecze[[#This Row],[Role]]&lt;&gt;"BR",SUMPRODUCT(Mecze[[#This Row],[/PR:90]:[/BR:90]],Brudnopis!$E$24:$J$24),0)</f>
        <v>0.14432989690721648</v>
      </c>
      <c r="U3655" s="44">
        <f>IF(Mecze[[#This Row],[Role]]&lt;&gt;"BR",SUMPRODUCT(Mecze[[#This Row],[/PR:90]:[/BR:90]],Brudnopis!$E$25:$J$25),0)</f>
        <v>0.16494845360824742</v>
      </c>
      <c r="V3655" s="44">
        <f>IF(Mecze[[#This Row],[Role]]&lt;&gt;"BR",SUMPRODUCT(Mecze[[#This Row],[/PR:90]:[/BR:90]],Brudnopis!$E$26:$J$26),0)</f>
        <v>0.14432989690721648</v>
      </c>
      <c r="W3655" s="44">
        <f>IF(Mecze[[#This Row],[Role]]&lt;&gt;"BR",SUMPRODUCT(Mecze[[#This Row],[/PR:90]:[/BR:90]],Brudnopis!$E$27:$J$27),0)</f>
        <v>0.14175257731958762</v>
      </c>
      <c r="X3655" s="44">
        <f>IF(Mecze[[#This Row],[Role]]&lt;&gt;"BR",SUMPRODUCT(Mecze[[#This Row],[/PR:90]:[/BR:90]],Brudnopis!$E$28:$J$28),0)</f>
        <v>6.1855670103092786E-2</v>
      </c>
      <c r="Y3655" s="35">
        <f>IF(Mecze[[#This Row],[Role]]="BR",Mecze[[#This Row],[/OB:90]]+Mecze[[#This Row],[/PC:90]],SUM(Mecze[[#This Row],[/PR:90]:[/BR:90]]))</f>
        <v>0.14432989690721648</v>
      </c>
      <c r="Z3655" s="35">
        <f>IF(Mecze[[#This Row],[KC]]=0,SUM(Mecze[[#This Row],[/BRI]:[/NPI]]),SUM(Mecze[[#This Row],[/BRI]:[/NPI]])*0.6)</f>
        <v>0.65721649484536082</v>
      </c>
      <c r="AA3655" s="10">
        <f>IFERROR(Mecze[[#This Row],[BR]]/Mecze[[#This Row],[ST]],0)</f>
        <v>0</v>
      </c>
      <c r="AB3655">
        <f>ROUND(Mecze[[#This Row],[PD]]*Mecze[[#This Row],[%PC]],0)</f>
        <v>4</v>
      </c>
      <c r="AC3655">
        <f>ROUND(Mecze[[#This Row],[OD]]*Mecze[[#This Row],[%OU]],0)</f>
        <v>0</v>
      </c>
      <c r="AD3655" s="36" t="s">
        <v>41</v>
      </c>
      <c r="AE3655" s="36">
        <v>207</v>
      </c>
      <c r="AF3655" s="71">
        <v>6.04</v>
      </c>
      <c r="AG3655" s="37">
        <v>0</v>
      </c>
      <c r="AH3655" s="37">
        <v>0</v>
      </c>
      <c r="AI3655" s="37">
        <v>97</v>
      </c>
      <c r="AJ3655" s="37">
        <v>1</v>
      </c>
      <c r="AK3655" s="37" t="str">
        <f>VLOOKUP(Mecze[[#This Row],[Match ID]],Meczusie[Mecz]:Meczusie[RodzajMeczu],2,FALSE)</f>
        <v>Towarzyski</v>
      </c>
    </row>
    <row r="3656" spans="1:37" x14ac:dyDescent="0.25">
      <c r="A3656" s="76">
        <v>40</v>
      </c>
      <c r="B3656" s="3" t="s">
        <v>453</v>
      </c>
      <c r="C3656" s="2" t="s">
        <v>160</v>
      </c>
      <c r="D3656" s="1">
        <v>0</v>
      </c>
      <c r="E3656" s="1">
        <v>0</v>
      </c>
      <c r="F3656" s="1">
        <v>0</v>
      </c>
      <c r="G3656" s="1">
        <v>13</v>
      </c>
      <c r="H3656" s="4">
        <v>0.77</v>
      </c>
      <c r="I3656" s="1">
        <v>9</v>
      </c>
      <c r="J3656" s="4">
        <v>0.44</v>
      </c>
      <c r="K3656" s="1">
        <v>0</v>
      </c>
      <c r="L3656" s="1">
        <v>10</v>
      </c>
      <c r="M3656" s="32">
        <f>IF(Mecze[[#This Row],[PR]]=0,0,Mecze[[#This Row],[PR]]/Mecze[[#This Row],[CZAS]])</f>
        <v>0.10309278350515463</v>
      </c>
      <c r="N3656" s="32">
        <f>IF(Mecze[[#This Row],[OU]]=0,0,Mecze[[#This Row],[OU]]/Mecze[[#This Row],[CZAS]])</f>
        <v>4.1237113402061855E-2</v>
      </c>
      <c r="O3656" s="32">
        <f>IF(Mecze[[#This Row],[PC]]=0,0,Mecze[[#This Row],[PC]]/Mecze[[#This Row],[CZAS]])</f>
        <v>0.10309278350515463</v>
      </c>
      <c r="P3656" s="32">
        <f>IF(Mecze[[#This Row],[SC]]=0,0,Mecze[[#This Row],[SC]]/Mecze[[#This Row],[CZAS]])</f>
        <v>0</v>
      </c>
      <c r="Q3656" s="32">
        <f>IF(Mecze[[#This Row],[OB]]=0,0,Mecze[[#This Row],[OB]]/Mecze[[#This Row],[CZAS]])</f>
        <v>0</v>
      </c>
      <c r="R3656" s="32">
        <f>IF(Mecze[[#This Row],[BR]]=0,0,Mecze[[#This Row],[BR]]/Mecze[[#This Row],[CZAS]])</f>
        <v>0</v>
      </c>
      <c r="S3656" s="44">
        <f>IF(Mecze[[#This Row],[Role]]="BR",SUMPRODUCT(Mecze[[#This Row],[/PR:90]:[/BR:90]],Brudnopis!$E$23:$J$23),0)</f>
        <v>0</v>
      </c>
      <c r="T3656" s="44">
        <f>IF(Mecze[[#This Row],[Role]]&lt;&gt;"BR",SUMPRODUCT(Mecze[[#This Row],[/PR:90]:[/BR:90]],Brudnopis!$E$24:$J$24),0)</f>
        <v>0.26804123711340205</v>
      </c>
      <c r="U3656" s="44">
        <f>IF(Mecze[[#This Row],[Role]]&lt;&gt;"BR",SUMPRODUCT(Mecze[[#This Row],[/PR:90]:[/BR:90]],Brudnopis!$E$25:$J$25),0)</f>
        <v>0.29896907216494845</v>
      </c>
      <c r="V3656" s="44">
        <f>IF(Mecze[[#This Row],[Role]]&lt;&gt;"BR",SUMPRODUCT(Mecze[[#This Row],[/PR:90]:[/BR:90]],Brudnopis!$E$26:$J$26),0)</f>
        <v>0.24742268041237112</v>
      </c>
      <c r="W3656" s="44">
        <f>IF(Mecze[[#This Row],[Role]]&lt;&gt;"BR",SUMPRODUCT(Mecze[[#This Row],[/PR:90]:[/BR:90]],Brudnopis!$E$27:$J$27),0)</f>
        <v>0.26288659793814434</v>
      </c>
      <c r="X3656" s="44">
        <f>IF(Mecze[[#This Row],[Role]]&lt;&gt;"BR",SUMPRODUCT(Mecze[[#This Row],[/PR:90]:[/BR:90]],Brudnopis!$E$28:$J$28),0)</f>
        <v>0.10309278350515463</v>
      </c>
      <c r="Y3656" s="35">
        <f>IF(Mecze[[#This Row],[Role]]="BR",Mecze[[#This Row],[/OB:90]]+Mecze[[#This Row],[/PC:90]],SUM(Mecze[[#This Row],[/PR:90]:[/BR:90]]))</f>
        <v>0.24742268041237112</v>
      </c>
      <c r="Z3656" s="35">
        <f>IF(Mecze[[#This Row],[KC]]=0,SUM(Mecze[[#This Row],[/BRI]:[/NPI]]),SUM(Mecze[[#This Row],[/BRI]:[/NPI]])*0.6)</f>
        <v>1.1804123711340206</v>
      </c>
      <c r="AA3656" s="10">
        <f>IFERROR(Mecze[[#This Row],[BR]]/Mecze[[#This Row],[ST]],0)</f>
        <v>0</v>
      </c>
      <c r="AB3656">
        <f>ROUND(Mecze[[#This Row],[PD]]*Mecze[[#This Row],[%PC]],0)</f>
        <v>10</v>
      </c>
      <c r="AC3656">
        <f>ROUND(Mecze[[#This Row],[OD]]*Mecze[[#This Row],[%OU]],0)</f>
        <v>4</v>
      </c>
      <c r="AD3656" s="36" t="s">
        <v>41</v>
      </c>
      <c r="AE3656" s="36">
        <v>207</v>
      </c>
      <c r="AF3656" s="71">
        <v>7.23</v>
      </c>
      <c r="AG3656" s="37">
        <v>0</v>
      </c>
      <c r="AH3656" s="37">
        <v>0</v>
      </c>
      <c r="AI3656" s="37">
        <v>97</v>
      </c>
      <c r="AJ3656" s="37">
        <v>1</v>
      </c>
      <c r="AK3656" s="37" t="str">
        <f>VLOOKUP(Mecze[[#This Row],[Match ID]],Meczusie[Mecz]:Meczusie[RodzajMeczu],2,FALSE)</f>
        <v>Towarzyski</v>
      </c>
    </row>
    <row r="3657" spans="1:37" x14ac:dyDescent="0.25">
      <c r="A3657" s="76">
        <v>45</v>
      </c>
      <c r="B3657" s="3" t="s">
        <v>394</v>
      </c>
      <c r="C3657" s="2" t="s">
        <v>160</v>
      </c>
      <c r="D3657" s="1">
        <v>2</v>
      </c>
      <c r="E3657" s="1">
        <v>5</v>
      </c>
      <c r="F3657" s="1">
        <v>5</v>
      </c>
      <c r="G3657" s="1">
        <v>5</v>
      </c>
      <c r="H3657" s="4">
        <v>0.4</v>
      </c>
      <c r="I3657" s="1">
        <v>3</v>
      </c>
      <c r="J3657" s="4">
        <v>0.33</v>
      </c>
      <c r="K3657" s="1">
        <v>0</v>
      </c>
      <c r="L3657" s="1">
        <v>4</v>
      </c>
      <c r="M3657" s="32">
        <f>IF(Mecze[[#This Row],[PR]]=0,0,Mecze[[#This Row],[PR]]/Mecze[[#This Row],[CZAS]])</f>
        <v>4.1237113402061855E-2</v>
      </c>
      <c r="N3657" s="32">
        <f>IF(Mecze[[#This Row],[OU]]=0,0,Mecze[[#This Row],[OU]]/Mecze[[#This Row],[CZAS]])</f>
        <v>1.0309278350515464E-2</v>
      </c>
      <c r="O3657" s="32">
        <f>IF(Mecze[[#This Row],[PC]]=0,0,Mecze[[#This Row],[PC]]/Mecze[[#This Row],[CZAS]])</f>
        <v>2.0618556701030927E-2</v>
      </c>
      <c r="P3657" s="32">
        <f>IF(Mecze[[#This Row],[SC]]=0,0,Mecze[[#This Row],[SC]]/Mecze[[#This Row],[CZAS]])</f>
        <v>5.1546391752577317E-2</v>
      </c>
      <c r="Q3657" s="32">
        <f>IF(Mecze[[#This Row],[OB]]=0,0,Mecze[[#This Row],[OB]]/Mecze[[#This Row],[CZAS]])</f>
        <v>0</v>
      </c>
      <c r="R3657" s="32">
        <f>IF(Mecze[[#This Row],[BR]]=0,0,Mecze[[#This Row],[BR]]/Mecze[[#This Row],[CZAS]])</f>
        <v>2.0618556701030927E-2</v>
      </c>
      <c r="S3657" s="44">
        <f>IF(Mecze[[#This Row],[Role]]="BR",SUMPRODUCT(Mecze[[#This Row],[/PR:90]:[/BR:90]],Brudnopis!$E$23:$J$23),0)</f>
        <v>0</v>
      </c>
      <c r="T3657" s="44">
        <f>IF(Mecze[[#This Row],[Role]]&lt;&gt;"BR",SUMPRODUCT(Mecze[[#This Row],[/PR:90]:[/BR:90]],Brudnopis!$E$24:$J$24),0)</f>
        <v>0.15979381443298968</v>
      </c>
      <c r="U3657" s="44">
        <f>IF(Mecze[[#This Row],[Role]]&lt;&gt;"BR",SUMPRODUCT(Mecze[[#This Row],[/PR:90]:[/BR:90]],Brudnopis!$E$25:$J$25),0)</f>
        <v>0.16494845360824742</v>
      </c>
      <c r="V3657" s="44">
        <f>IF(Mecze[[#This Row],[Role]]&lt;&gt;"BR",SUMPRODUCT(Mecze[[#This Row],[/PR:90]:[/BR:90]],Brudnopis!$E$26:$J$26),0)</f>
        <v>0.16494845360824742</v>
      </c>
      <c r="W3657" s="44">
        <f>IF(Mecze[[#This Row],[Role]]&lt;&gt;"BR",SUMPRODUCT(Mecze[[#This Row],[/PR:90]:[/BR:90]],Brudnopis!$E$27:$J$27),0)</f>
        <v>0.16237113402061856</v>
      </c>
      <c r="X3657" s="44">
        <f>IF(Mecze[[#This Row],[Role]]&lt;&gt;"BR",SUMPRODUCT(Mecze[[#This Row],[/PR:90]:[/BR:90]],Brudnopis!$E$28:$J$28),0)</f>
        <v>0.18556701030927836</v>
      </c>
      <c r="Y3657" s="35">
        <f>IF(Mecze[[#This Row],[Role]]="BR",Mecze[[#This Row],[/OB:90]]+Mecze[[#This Row],[/PC:90]],SUM(Mecze[[#This Row],[/PR:90]:[/BR:90]]))</f>
        <v>0.14432989690721648</v>
      </c>
      <c r="Z3657" s="35">
        <f>IF(Mecze[[#This Row],[KC]]=0,SUM(Mecze[[#This Row],[/BRI]:[/NPI]]),SUM(Mecze[[#This Row],[/BRI]:[/NPI]])*0.6)</f>
        <v>0.83762886597938135</v>
      </c>
      <c r="AA3657" s="10">
        <f>IFERROR(Mecze[[#This Row],[BR]]/Mecze[[#This Row],[ST]],0)</f>
        <v>0.4</v>
      </c>
      <c r="AB3657">
        <f>ROUND(Mecze[[#This Row],[PD]]*Mecze[[#This Row],[%PC]],0)</f>
        <v>2</v>
      </c>
      <c r="AC3657">
        <f>ROUND(Mecze[[#This Row],[OD]]*Mecze[[#This Row],[%OU]],0)</f>
        <v>1</v>
      </c>
      <c r="AD3657" s="36" t="s">
        <v>44</v>
      </c>
      <c r="AE3657" s="36">
        <v>207</v>
      </c>
      <c r="AF3657" s="71">
        <v>10.130000000000001</v>
      </c>
      <c r="AG3657" s="37">
        <v>0</v>
      </c>
      <c r="AH3657" s="37">
        <v>0</v>
      </c>
      <c r="AI3657" s="37">
        <v>97</v>
      </c>
      <c r="AJ3657" s="37">
        <v>1</v>
      </c>
      <c r="AK3657" s="37" t="str">
        <f>VLOOKUP(Mecze[[#This Row],[Match ID]],Meczusie[Mecz]:Meczusie[RodzajMeczu],2,FALSE)</f>
        <v>Towarzyski</v>
      </c>
    </row>
    <row r="3658" spans="1:37" x14ac:dyDescent="0.25">
      <c r="A3658" s="76">
        <v>25</v>
      </c>
      <c r="B3658" s="3" t="s">
        <v>366</v>
      </c>
      <c r="C3658" s="2" t="s">
        <v>160</v>
      </c>
      <c r="D3658" s="1">
        <v>0</v>
      </c>
      <c r="E3658" s="1">
        <v>3</v>
      </c>
      <c r="F3658" s="1">
        <v>3</v>
      </c>
      <c r="G3658" s="1">
        <v>6</v>
      </c>
      <c r="H3658" s="4">
        <v>0.17</v>
      </c>
      <c r="I3658" s="1">
        <v>2</v>
      </c>
      <c r="J3658" s="4">
        <v>0</v>
      </c>
      <c r="K3658" s="1">
        <v>0</v>
      </c>
      <c r="L3658" s="1">
        <v>8</v>
      </c>
      <c r="M3658" s="32">
        <f>IF(Mecze[[#This Row],[PR]]=0,0,Mecze[[#This Row],[PR]]/Mecze[[#This Row],[CZAS]])</f>
        <v>8.247422680412371E-2</v>
      </c>
      <c r="N3658" s="32">
        <f>IF(Mecze[[#This Row],[OU]]=0,0,Mecze[[#This Row],[OU]]/Mecze[[#This Row],[CZAS]])</f>
        <v>0</v>
      </c>
      <c r="O3658" s="32">
        <f>IF(Mecze[[#This Row],[PC]]=0,0,Mecze[[#This Row],[PC]]/Mecze[[#This Row],[CZAS]])</f>
        <v>1.0309278350515464E-2</v>
      </c>
      <c r="P3658" s="32">
        <f>IF(Mecze[[#This Row],[SC]]=0,0,Mecze[[#This Row],[SC]]/Mecze[[#This Row],[CZAS]])</f>
        <v>3.0927835051546393E-2</v>
      </c>
      <c r="Q3658" s="32">
        <f>IF(Mecze[[#This Row],[OB]]=0,0,Mecze[[#This Row],[OB]]/Mecze[[#This Row],[CZAS]])</f>
        <v>0</v>
      </c>
      <c r="R3658" s="32">
        <f>IF(Mecze[[#This Row],[BR]]=0,0,Mecze[[#This Row],[BR]]/Mecze[[#This Row],[CZAS]])</f>
        <v>0</v>
      </c>
      <c r="S3658" s="44">
        <f>IF(Mecze[[#This Row],[Role]]="BR",SUMPRODUCT(Mecze[[#This Row],[/PR:90]:[/BR:90]],Brudnopis!$E$23:$J$23),0)</f>
        <v>0</v>
      </c>
      <c r="T3658" s="44">
        <f>IF(Mecze[[#This Row],[Role]]&lt;&gt;"BR",SUMPRODUCT(Mecze[[#This Row],[/PR:90]:[/BR:90]],Brudnopis!$E$24:$J$24),0)</f>
        <v>0.12371134020618557</v>
      </c>
      <c r="U3658" s="44">
        <f>IF(Mecze[[#This Row],[Role]]&lt;&gt;"BR",SUMPRODUCT(Mecze[[#This Row],[/PR:90]:[/BR:90]],Brudnopis!$E$25:$J$25),0)</f>
        <v>0.12886597938144329</v>
      </c>
      <c r="V3658" s="44">
        <f>IF(Mecze[[#This Row],[Role]]&lt;&gt;"BR",SUMPRODUCT(Mecze[[#This Row],[/PR:90]:[/BR:90]],Brudnopis!$E$26:$J$26),0)</f>
        <v>0.12371134020618557</v>
      </c>
      <c r="W3658" s="44">
        <f>IF(Mecze[[#This Row],[Role]]&lt;&gt;"BR",SUMPRODUCT(Mecze[[#This Row],[/PR:90]:[/BR:90]],Brudnopis!$E$27:$J$27),0)</f>
        <v>0.10824742268041238</v>
      </c>
      <c r="X3658" s="44">
        <f>IF(Mecze[[#This Row],[Role]]&lt;&gt;"BR",SUMPRODUCT(Mecze[[#This Row],[/PR:90]:[/BR:90]],Brudnopis!$E$28:$J$28),0)</f>
        <v>7.2164948453608255E-2</v>
      </c>
      <c r="Y3658" s="35">
        <f>IF(Mecze[[#This Row],[Role]]="BR",Mecze[[#This Row],[/OB:90]]+Mecze[[#This Row],[/PC:90]],SUM(Mecze[[#This Row],[/PR:90]:[/BR:90]]))</f>
        <v>0.12371134020618557</v>
      </c>
      <c r="Z3658" s="35">
        <f>IF(Mecze[[#This Row],[KC]]=0,SUM(Mecze[[#This Row],[/BRI]:[/NPI]]),SUM(Mecze[[#This Row],[/BRI]:[/NPI]])*0.6)</f>
        <v>0.55670103092783507</v>
      </c>
      <c r="AA3658" s="10">
        <f>IFERROR(Mecze[[#This Row],[BR]]/Mecze[[#This Row],[ST]],0)</f>
        <v>0</v>
      </c>
      <c r="AB3658">
        <f>ROUND(Mecze[[#This Row],[PD]]*Mecze[[#This Row],[%PC]],0)</f>
        <v>1</v>
      </c>
      <c r="AC3658">
        <f>ROUND(Mecze[[#This Row],[OD]]*Mecze[[#This Row],[%OU]],0)</f>
        <v>0</v>
      </c>
      <c r="AD3658" s="36" t="s">
        <v>44</v>
      </c>
      <c r="AE3658" s="36">
        <v>207</v>
      </c>
      <c r="AF3658" s="71">
        <v>6.29</v>
      </c>
      <c r="AG3658" s="37">
        <v>0</v>
      </c>
      <c r="AH3658" s="37">
        <v>0</v>
      </c>
      <c r="AI3658" s="37">
        <v>97</v>
      </c>
      <c r="AJ3658" s="37">
        <v>1</v>
      </c>
      <c r="AK3658" s="37" t="str">
        <f>VLOOKUP(Mecze[[#This Row],[Match ID]],Meczusie[Mecz]:Meczusie[RodzajMeczu],2,FALSE)</f>
        <v>Towarzyski</v>
      </c>
    </row>
    <row r="3659" spans="1:37" x14ac:dyDescent="0.25">
      <c r="A3659" s="76">
        <v>31</v>
      </c>
      <c r="B3659" s="3" t="s">
        <v>365</v>
      </c>
      <c r="C3659" s="2" t="s">
        <v>165</v>
      </c>
      <c r="D3659" s="1">
        <v>1</v>
      </c>
      <c r="E3659" s="1">
        <v>11</v>
      </c>
      <c r="F3659" s="1">
        <v>11</v>
      </c>
      <c r="G3659" s="1">
        <v>4</v>
      </c>
      <c r="H3659" s="4">
        <v>0.75</v>
      </c>
      <c r="I3659" s="1">
        <v>6</v>
      </c>
      <c r="J3659" s="4">
        <v>0.5</v>
      </c>
      <c r="K3659" s="1">
        <v>0</v>
      </c>
      <c r="L3659" s="1">
        <v>4</v>
      </c>
      <c r="M3659" s="32">
        <f>IF(Mecze[[#This Row],[PR]]=0,0,Mecze[[#This Row],[PR]]/Mecze[[#This Row],[CZAS]])</f>
        <v>4.1237113402061855E-2</v>
      </c>
      <c r="N3659" s="32">
        <f>IF(Mecze[[#This Row],[OU]]=0,0,Mecze[[#This Row],[OU]]/Mecze[[#This Row],[CZAS]])</f>
        <v>3.0927835051546393E-2</v>
      </c>
      <c r="O3659" s="32">
        <f>IF(Mecze[[#This Row],[PC]]=0,0,Mecze[[#This Row],[PC]]/Mecze[[#This Row],[CZAS]])</f>
        <v>3.0927835051546393E-2</v>
      </c>
      <c r="P3659" s="32">
        <f>IF(Mecze[[#This Row],[SC]]=0,0,Mecze[[#This Row],[SC]]/Mecze[[#This Row],[CZAS]])</f>
        <v>0.1134020618556701</v>
      </c>
      <c r="Q3659" s="32">
        <f>IF(Mecze[[#This Row],[OB]]=0,0,Mecze[[#This Row],[OB]]/Mecze[[#This Row],[CZAS]])</f>
        <v>0</v>
      </c>
      <c r="R3659" s="32">
        <f>IF(Mecze[[#This Row],[BR]]=0,0,Mecze[[#This Row],[BR]]/Mecze[[#This Row],[CZAS]])</f>
        <v>1.0309278350515464E-2</v>
      </c>
      <c r="S3659" s="44">
        <f>IF(Mecze[[#This Row],[Role]]="BR",SUMPRODUCT(Mecze[[#This Row],[/PR:90]:[/BR:90]],Brudnopis!$E$23:$J$23),0)</f>
        <v>0</v>
      </c>
      <c r="T3659" s="44">
        <f>IF(Mecze[[#This Row],[Role]]&lt;&gt;"BR",SUMPRODUCT(Mecze[[#This Row],[/PR:90]:[/BR:90]],Brudnopis!$E$24:$J$24),0)</f>
        <v>0.24742268041237114</v>
      </c>
      <c r="U3659" s="44">
        <f>IF(Mecze[[#This Row],[Role]]&lt;&gt;"BR",SUMPRODUCT(Mecze[[#This Row],[/PR:90]:[/BR:90]],Brudnopis!$E$25:$J$25),0)</f>
        <v>0.24742268041237114</v>
      </c>
      <c r="V3659" s="44">
        <f>IF(Mecze[[#This Row],[Role]]&lt;&gt;"BR",SUMPRODUCT(Mecze[[#This Row],[/PR:90]:[/BR:90]],Brudnopis!$E$26:$J$26),0)</f>
        <v>0.23711340206185569</v>
      </c>
      <c r="W3659" s="44">
        <f>IF(Mecze[[#This Row],[Role]]&lt;&gt;"BR",SUMPRODUCT(Mecze[[#This Row],[/PR:90]:[/BR:90]],Brudnopis!$E$27:$J$27),0)</f>
        <v>0.23453608247422683</v>
      </c>
      <c r="X3659" s="44">
        <f>IF(Mecze[[#This Row],[Role]]&lt;&gt;"BR",SUMPRODUCT(Mecze[[#This Row],[/PR:90]:[/BR:90]],Brudnopis!$E$28:$J$28),0)</f>
        <v>0.28865979381443296</v>
      </c>
      <c r="Y3659" s="35">
        <f>IF(Mecze[[#This Row],[Role]]="BR",Mecze[[#This Row],[/OB:90]]+Mecze[[#This Row],[/PC:90]],SUM(Mecze[[#This Row],[/PR:90]:[/BR:90]]))</f>
        <v>0.22680412371134021</v>
      </c>
      <c r="Z3659" s="35">
        <f>IF(Mecze[[#This Row],[KC]]=0,SUM(Mecze[[#This Row],[/BRI]:[/NPI]]),SUM(Mecze[[#This Row],[/BRI]:[/NPI]])*0.6)</f>
        <v>1.2551546391752577</v>
      </c>
      <c r="AA3659" s="10">
        <f>IFERROR(Mecze[[#This Row],[BR]]/Mecze[[#This Row],[ST]],0)</f>
        <v>9.0909090909090912E-2</v>
      </c>
      <c r="AB3659">
        <f>ROUND(Mecze[[#This Row],[PD]]*Mecze[[#This Row],[%PC]],0)</f>
        <v>3</v>
      </c>
      <c r="AC3659">
        <f>ROUND(Mecze[[#This Row],[OD]]*Mecze[[#This Row],[%OU]],0)</f>
        <v>3</v>
      </c>
      <c r="AD3659" s="36" t="s">
        <v>46</v>
      </c>
      <c r="AE3659" s="36">
        <v>207</v>
      </c>
      <c r="AF3659" s="71">
        <v>8.65</v>
      </c>
      <c r="AG3659" s="37">
        <v>0</v>
      </c>
      <c r="AH3659" s="37">
        <v>0</v>
      </c>
      <c r="AI3659" s="37">
        <v>97</v>
      </c>
      <c r="AJ3659" s="37">
        <v>1</v>
      </c>
      <c r="AK3659" s="37" t="str">
        <f>VLOOKUP(Mecze[[#This Row],[Match ID]],Meczusie[Mecz]:Meczusie[RodzajMeczu],2,FALSE)</f>
        <v>Towarzyski</v>
      </c>
    </row>
    <row r="3660" spans="1:37" x14ac:dyDescent="0.25">
      <c r="A3660" s="76">
        <v>48</v>
      </c>
      <c r="B3660" s="3" t="s">
        <v>414</v>
      </c>
      <c r="C3660" s="2" t="s">
        <v>165</v>
      </c>
      <c r="D3660" s="1">
        <v>0</v>
      </c>
      <c r="E3660" s="1">
        <v>2</v>
      </c>
      <c r="F3660" s="1">
        <v>1</v>
      </c>
      <c r="G3660" s="1">
        <v>4</v>
      </c>
      <c r="H3660" s="4">
        <v>0.75</v>
      </c>
      <c r="I3660" s="1">
        <v>3</v>
      </c>
      <c r="J3660" s="4">
        <v>0.33</v>
      </c>
      <c r="K3660" s="1">
        <v>0</v>
      </c>
      <c r="L3660" s="1">
        <v>1</v>
      </c>
      <c r="M3660" s="32">
        <f>IF(Mecze[[#This Row],[PR]]=0,0,Mecze[[#This Row],[PR]]/Mecze[[#This Row],[CZAS]])</f>
        <v>1.0309278350515464E-2</v>
      </c>
      <c r="N3660" s="32">
        <f>IF(Mecze[[#This Row],[OU]]=0,0,Mecze[[#This Row],[OU]]/Mecze[[#This Row],[CZAS]])</f>
        <v>1.0309278350515464E-2</v>
      </c>
      <c r="O3660" s="32">
        <f>IF(Mecze[[#This Row],[PC]]=0,0,Mecze[[#This Row],[PC]]/Mecze[[#This Row],[CZAS]])</f>
        <v>3.0927835051546393E-2</v>
      </c>
      <c r="P3660" s="32">
        <f>IF(Mecze[[#This Row],[SC]]=0,0,Mecze[[#This Row],[SC]]/Mecze[[#This Row],[CZAS]])</f>
        <v>1.0309278350515464E-2</v>
      </c>
      <c r="Q3660" s="32">
        <f>IF(Mecze[[#This Row],[OB]]=0,0,Mecze[[#This Row],[OB]]/Mecze[[#This Row],[CZAS]])</f>
        <v>0</v>
      </c>
      <c r="R3660" s="32">
        <f>IF(Mecze[[#This Row],[BR]]=0,0,Mecze[[#This Row],[BR]]/Mecze[[#This Row],[CZAS]])</f>
        <v>0</v>
      </c>
      <c r="S3660" s="44">
        <f>IF(Mecze[[#This Row],[Role]]="BR",SUMPRODUCT(Mecze[[#This Row],[/PR:90]:[/BR:90]],Brudnopis!$E$23:$J$23),0)</f>
        <v>0</v>
      </c>
      <c r="T3660" s="44">
        <f>IF(Mecze[[#This Row],[Role]]&lt;&gt;"BR",SUMPRODUCT(Mecze[[#This Row],[/PR:90]:[/BR:90]],Brudnopis!$E$24:$J$24),0)</f>
        <v>6.7010309278350513E-2</v>
      </c>
      <c r="U3660" s="44">
        <f>IF(Mecze[[#This Row],[Role]]&lt;&gt;"BR",SUMPRODUCT(Mecze[[#This Row],[/PR:90]:[/BR:90]],Brudnopis!$E$25:$J$25),0)</f>
        <v>7.7319587628865982E-2</v>
      </c>
      <c r="V3660" s="44">
        <f>IF(Mecze[[#This Row],[Role]]&lt;&gt;"BR",SUMPRODUCT(Mecze[[#This Row],[/PR:90]:[/BR:90]],Brudnopis!$E$26:$J$26),0)</f>
        <v>6.1855670103092779E-2</v>
      </c>
      <c r="W3660" s="44">
        <f>IF(Mecze[[#This Row],[Role]]&lt;&gt;"BR",SUMPRODUCT(Mecze[[#This Row],[/PR:90]:[/BR:90]],Brudnopis!$E$27:$J$27),0)</f>
        <v>7.2164948453608255E-2</v>
      </c>
      <c r="X3660" s="44">
        <f>IF(Mecze[[#This Row],[Role]]&lt;&gt;"BR",SUMPRODUCT(Mecze[[#This Row],[/PR:90]:[/BR:90]],Brudnopis!$E$28:$J$28),0)</f>
        <v>5.1546391752577317E-2</v>
      </c>
      <c r="Y3660" s="35">
        <f>IF(Mecze[[#This Row],[Role]]="BR",Mecze[[#This Row],[/OB:90]]+Mecze[[#This Row],[/PC:90]],SUM(Mecze[[#This Row],[/PR:90]:[/BR:90]]))</f>
        <v>6.1855670103092779E-2</v>
      </c>
      <c r="Z3660" s="35">
        <f>IF(Mecze[[#This Row],[KC]]=0,SUM(Mecze[[#This Row],[/BRI]:[/NPI]]),SUM(Mecze[[#This Row],[/BRI]:[/NPI]])*0.6)</f>
        <v>0.32989690721649484</v>
      </c>
      <c r="AA3660" s="10">
        <f>IFERROR(Mecze[[#This Row],[BR]]/Mecze[[#This Row],[ST]],0)</f>
        <v>0</v>
      </c>
      <c r="AB3660">
        <f>ROUND(Mecze[[#This Row],[PD]]*Mecze[[#This Row],[%PC]],0)</f>
        <v>3</v>
      </c>
      <c r="AC3660">
        <f>ROUND(Mecze[[#This Row],[OD]]*Mecze[[#This Row],[%OU]],0)</f>
        <v>1</v>
      </c>
      <c r="AD3660" s="36" t="s">
        <v>46</v>
      </c>
      <c r="AE3660" s="36">
        <v>207</v>
      </c>
      <c r="AF3660" s="71">
        <v>4.1500000000000004</v>
      </c>
      <c r="AG3660" s="37">
        <v>0</v>
      </c>
      <c r="AH3660" s="37">
        <v>0</v>
      </c>
      <c r="AI3660" s="37">
        <v>97</v>
      </c>
      <c r="AJ3660" s="37">
        <v>1</v>
      </c>
      <c r="AK3660" s="37" t="str">
        <f>VLOOKUP(Mecze[[#This Row],[Match ID]],Meczusie[Mecz]:Meczusie[RodzajMeczu],2,FALSE)</f>
        <v>Towarzyski</v>
      </c>
    </row>
    <row r="3661" spans="1:37" x14ac:dyDescent="0.25">
      <c r="A3661" s="76">
        <v>46</v>
      </c>
      <c r="B3661" s="3" t="s">
        <v>395</v>
      </c>
      <c r="C3661" s="2" t="s">
        <v>165</v>
      </c>
      <c r="D3661" s="1">
        <v>0</v>
      </c>
      <c r="E3661" s="1">
        <v>2</v>
      </c>
      <c r="F3661" s="1">
        <v>1</v>
      </c>
      <c r="G3661" s="1">
        <v>6</v>
      </c>
      <c r="H3661" s="4">
        <v>0.67</v>
      </c>
      <c r="I3661" s="1">
        <v>5</v>
      </c>
      <c r="J3661" s="4">
        <v>0.4</v>
      </c>
      <c r="K3661" s="1">
        <v>0</v>
      </c>
      <c r="L3661" s="1">
        <v>0</v>
      </c>
      <c r="M3661" s="32">
        <f>IF(Mecze[[#This Row],[PR]]=0,0,Mecze[[#This Row],[PR]]/Mecze[[#This Row],[CZAS]])</f>
        <v>0</v>
      </c>
      <c r="N3661" s="32">
        <f>IF(Mecze[[#This Row],[OU]]=0,0,Mecze[[#This Row],[OU]]/Mecze[[#This Row],[CZAS]])</f>
        <v>2.0618556701030927E-2</v>
      </c>
      <c r="O3661" s="32">
        <f>IF(Mecze[[#This Row],[PC]]=0,0,Mecze[[#This Row],[PC]]/Mecze[[#This Row],[CZAS]])</f>
        <v>4.1237113402061855E-2</v>
      </c>
      <c r="P3661" s="32">
        <f>IF(Mecze[[#This Row],[SC]]=0,0,Mecze[[#This Row],[SC]]/Mecze[[#This Row],[CZAS]])</f>
        <v>1.0309278350515464E-2</v>
      </c>
      <c r="Q3661" s="32">
        <f>IF(Mecze[[#This Row],[OB]]=0,0,Mecze[[#This Row],[OB]]/Mecze[[#This Row],[CZAS]])</f>
        <v>0</v>
      </c>
      <c r="R3661" s="32">
        <f>IF(Mecze[[#This Row],[BR]]=0,0,Mecze[[#This Row],[BR]]/Mecze[[#This Row],[CZAS]])</f>
        <v>0</v>
      </c>
      <c r="S3661" s="44">
        <f>IF(Mecze[[#This Row],[Role]]="BR",SUMPRODUCT(Mecze[[#This Row],[/PR:90]:[/BR:90]],Brudnopis!$E$23:$J$23),0)</f>
        <v>0</v>
      </c>
      <c r="T3661" s="44">
        <f>IF(Mecze[[#This Row],[Role]]&lt;&gt;"BR",SUMPRODUCT(Mecze[[#This Row],[/PR:90]:[/BR:90]],Brudnopis!$E$24:$J$24),0)</f>
        <v>8.247422680412371E-2</v>
      </c>
      <c r="U3661" s="44">
        <f>IF(Mecze[[#This Row],[Role]]&lt;&gt;"BR",SUMPRODUCT(Mecze[[#This Row],[/PR:90]:[/BR:90]],Brudnopis!$E$25:$J$25),0)</f>
        <v>9.2783505154639179E-2</v>
      </c>
      <c r="V3661" s="44">
        <f>IF(Mecze[[#This Row],[Role]]&lt;&gt;"BR",SUMPRODUCT(Mecze[[#This Row],[/PR:90]:[/BR:90]],Brudnopis!$E$26:$J$26),0)</f>
        <v>7.2164948453608255E-2</v>
      </c>
      <c r="W3661" s="44">
        <f>IF(Mecze[[#This Row],[Role]]&lt;&gt;"BR",SUMPRODUCT(Mecze[[#This Row],[/PR:90]:[/BR:90]],Brudnopis!$E$27:$J$27),0)</f>
        <v>8.7628865979381451E-2</v>
      </c>
      <c r="X3661" s="44">
        <f>IF(Mecze[[#This Row],[Role]]&lt;&gt;"BR",SUMPRODUCT(Mecze[[#This Row],[/PR:90]:[/BR:90]],Brudnopis!$E$28:$J$28),0)</f>
        <v>6.1855670103092786E-2</v>
      </c>
      <c r="Y3661" s="35">
        <f>IF(Mecze[[#This Row],[Role]]="BR",Mecze[[#This Row],[/OB:90]]+Mecze[[#This Row],[/PC:90]],SUM(Mecze[[#This Row],[/PR:90]:[/BR:90]]))</f>
        <v>7.2164948453608255E-2</v>
      </c>
      <c r="Z3661" s="35">
        <f>IF(Mecze[[#This Row],[KC]]=0,SUM(Mecze[[#This Row],[/BRI]:[/NPI]]),SUM(Mecze[[#This Row],[/BRI]:[/NPI]])*0.6)</f>
        <v>0.39690721649484539</v>
      </c>
      <c r="AA3661" s="10">
        <f>IFERROR(Mecze[[#This Row],[BR]]/Mecze[[#This Row],[ST]],0)</f>
        <v>0</v>
      </c>
      <c r="AB3661">
        <f>ROUND(Mecze[[#This Row],[PD]]*Mecze[[#This Row],[%PC]],0)</f>
        <v>4</v>
      </c>
      <c r="AC3661">
        <f>ROUND(Mecze[[#This Row],[OD]]*Mecze[[#This Row],[%OU]],0)</f>
        <v>2</v>
      </c>
      <c r="AD3661" s="36" t="s">
        <v>46</v>
      </c>
      <c r="AE3661" s="36">
        <v>207</v>
      </c>
      <c r="AF3661" s="71">
        <v>5.48</v>
      </c>
      <c r="AG3661" s="37">
        <v>0</v>
      </c>
      <c r="AH3661" s="37">
        <v>0</v>
      </c>
      <c r="AI3661" s="37">
        <v>97</v>
      </c>
      <c r="AJ3661" s="37">
        <v>1</v>
      </c>
      <c r="AK3661" s="37" t="str">
        <f>VLOOKUP(Mecze[[#This Row],[Match ID]],Meczusie[Mecz]:Meczusie[RodzajMeczu],2,FALSE)</f>
        <v>Towarzyski</v>
      </c>
    </row>
    <row r="3662" spans="1:37" x14ac:dyDescent="0.25">
      <c r="A3662" s="76">
        <v>39</v>
      </c>
      <c r="B3662" s="3" t="s">
        <v>450</v>
      </c>
      <c r="C3662" s="2" t="s">
        <v>155</v>
      </c>
      <c r="D3662" s="1">
        <v>0</v>
      </c>
      <c r="E3662" s="1">
        <v>0</v>
      </c>
      <c r="F3662" s="1">
        <v>0</v>
      </c>
      <c r="G3662" s="1">
        <v>3</v>
      </c>
      <c r="H3662" s="4">
        <v>0.33</v>
      </c>
      <c r="I3662" s="1">
        <v>0</v>
      </c>
      <c r="J3662" s="4"/>
      <c r="K3662" s="1">
        <v>3</v>
      </c>
      <c r="L3662" s="1">
        <v>0</v>
      </c>
      <c r="M3662" s="32">
        <f>IF(Mecze[[#This Row],[PR]]=0,0,Mecze[[#This Row],[PR]]/Mecze[[#This Row],[CZAS]])</f>
        <v>0</v>
      </c>
      <c r="N3662" s="32">
        <f>IF(Mecze[[#This Row],[OU]]=0,0,Mecze[[#This Row],[OU]]/Mecze[[#This Row],[CZAS]])</f>
        <v>0</v>
      </c>
      <c r="O3662" s="32">
        <f>IF(Mecze[[#This Row],[PC]]=0,0,Mecze[[#This Row],[PC]]/Mecze[[#This Row],[CZAS]])</f>
        <v>1.0416666666666666E-2</v>
      </c>
      <c r="P3662" s="32">
        <f>IF(Mecze[[#This Row],[SC]]=0,0,Mecze[[#This Row],[SC]]/Mecze[[#This Row],[CZAS]])</f>
        <v>0</v>
      </c>
      <c r="Q3662" s="32">
        <f>IF(Mecze[[#This Row],[OB]]=0,0,Mecze[[#This Row],[OB]]/Mecze[[#This Row],[CZAS]])</f>
        <v>3.125E-2</v>
      </c>
      <c r="R3662" s="32">
        <f>IF(Mecze[[#This Row],[BR]]=0,0,Mecze[[#This Row],[BR]]/Mecze[[#This Row],[CZAS]])</f>
        <v>0</v>
      </c>
      <c r="S3662" s="44">
        <f>IF(Mecze[[#This Row],[Role]]="BR",SUMPRODUCT(Mecze[[#This Row],[/PR:90]:[/BR:90]],Brudnopis!$E$23:$J$23),0)</f>
        <v>0.125</v>
      </c>
      <c r="T3662" s="44">
        <f>IF(Mecze[[#This Row],[Role]]&lt;&gt;"BR",SUMPRODUCT(Mecze[[#This Row],[/PR:90]:[/BR:90]],Brudnopis!$E$24:$J$24),0)</f>
        <v>0</v>
      </c>
      <c r="U3662" s="44">
        <f>IF(Mecze[[#This Row],[Role]]&lt;&gt;"BR",SUMPRODUCT(Mecze[[#This Row],[/PR:90]:[/BR:90]],Brudnopis!$E$25:$J$25),0)</f>
        <v>0</v>
      </c>
      <c r="V3662" s="44">
        <f>IF(Mecze[[#This Row],[Role]]&lt;&gt;"BR",SUMPRODUCT(Mecze[[#This Row],[/PR:90]:[/BR:90]],Brudnopis!$E$26:$J$26),0)</f>
        <v>0</v>
      </c>
      <c r="W3662" s="44">
        <f>IF(Mecze[[#This Row],[Role]]&lt;&gt;"BR",SUMPRODUCT(Mecze[[#This Row],[/PR:90]:[/BR:90]],Brudnopis!$E$27:$J$27),0)</f>
        <v>0</v>
      </c>
      <c r="X3662" s="44">
        <f>IF(Mecze[[#This Row],[Role]]&lt;&gt;"BR",SUMPRODUCT(Mecze[[#This Row],[/PR:90]:[/BR:90]],Brudnopis!$E$28:$J$28),0)</f>
        <v>0</v>
      </c>
      <c r="Y3662" s="35">
        <f>IF(Mecze[[#This Row],[Role]]="BR",Mecze[[#This Row],[/OB:90]]+Mecze[[#This Row],[/PC:90]],SUM(Mecze[[#This Row],[/PR:90]:[/BR:90]]))</f>
        <v>4.1666666666666664E-2</v>
      </c>
      <c r="Z3662" s="35">
        <f>IF(Mecze[[#This Row],[KC]]=0,SUM(Mecze[[#This Row],[/BRI]:[/NPI]]),SUM(Mecze[[#This Row],[/BRI]:[/NPI]])*0.6)</f>
        <v>0.125</v>
      </c>
      <c r="AA3662" s="10">
        <f>IFERROR(Mecze[[#This Row],[BR]]/Mecze[[#This Row],[ST]],0)</f>
        <v>0</v>
      </c>
      <c r="AB3662">
        <f>ROUND(Mecze[[#This Row],[PD]]*Mecze[[#This Row],[%PC]],0)</f>
        <v>1</v>
      </c>
      <c r="AC3662">
        <f>ROUND(Mecze[[#This Row],[OD]]*Mecze[[#This Row],[%OU]],0)</f>
        <v>0</v>
      </c>
      <c r="AD3662" s="41" t="s">
        <v>40</v>
      </c>
      <c r="AE3662" s="36">
        <v>208</v>
      </c>
      <c r="AF3662" s="71">
        <v>4.97</v>
      </c>
      <c r="AG3662" s="37">
        <v>0</v>
      </c>
      <c r="AH3662" s="37">
        <v>0</v>
      </c>
      <c r="AI3662" s="37">
        <v>96</v>
      </c>
      <c r="AJ3662" s="37">
        <v>1</v>
      </c>
      <c r="AK3662" s="37" t="str">
        <f>VLOOKUP(Mecze[[#This Row],[Match ID]],Meczusie[Mecz]:Meczusie[RodzajMeczu],2,FALSE)</f>
        <v>Towarzyski</v>
      </c>
    </row>
    <row r="3663" spans="1:37" x14ac:dyDescent="0.25">
      <c r="A3663" s="76">
        <v>50</v>
      </c>
      <c r="B3663" s="3" t="s">
        <v>496</v>
      </c>
      <c r="C3663" s="2" t="s">
        <v>157</v>
      </c>
      <c r="D3663" s="1">
        <v>0</v>
      </c>
      <c r="E3663" s="1">
        <v>0</v>
      </c>
      <c r="F3663" s="1">
        <v>0</v>
      </c>
      <c r="G3663" s="1">
        <v>9</v>
      </c>
      <c r="H3663" s="4">
        <v>0.89</v>
      </c>
      <c r="I3663" s="1">
        <v>5</v>
      </c>
      <c r="J3663" s="4">
        <v>0.4</v>
      </c>
      <c r="K3663" s="1">
        <v>0</v>
      </c>
      <c r="L3663" s="1">
        <v>8</v>
      </c>
      <c r="M3663" s="32">
        <f>IF(Mecze[[#This Row],[PR]]=0,0,Mecze[[#This Row],[PR]]/Mecze[[#This Row],[CZAS]])</f>
        <v>8.3333333333333329E-2</v>
      </c>
      <c r="N3663" s="32">
        <f>IF(Mecze[[#This Row],[OU]]=0,0,Mecze[[#This Row],[OU]]/Mecze[[#This Row],[CZAS]])</f>
        <v>2.0833333333333332E-2</v>
      </c>
      <c r="O3663" s="32">
        <f>IF(Mecze[[#This Row],[PC]]=0,0,Mecze[[#This Row],[PC]]/Mecze[[#This Row],[CZAS]])</f>
        <v>8.3333333333333329E-2</v>
      </c>
      <c r="P3663" s="32">
        <f>IF(Mecze[[#This Row],[SC]]=0,0,Mecze[[#This Row],[SC]]/Mecze[[#This Row],[CZAS]])</f>
        <v>0</v>
      </c>
      <c r="Q3663" s="32">
        <f>IF(Mecze[[#This Row],[OB]]=0,0,Mecze[[#This Row],[OB]]/Mecze[[#This Row],[CZAS]])</f>
        <v>0</v>
      </c>
      <c r="R3663" s="32">
        <f>IF(Mecze[[#This Row],[BR]]=0,0,Mecze[[#This Row],[BR]]/Mecze[[#This Row],[CZAS]])</f>
        <v>0</v>
      </c>
      <c r="S3663" s="44">
        <f>IF(Mecze[[#This Row],[Role]]="BR",SUMPRODUCT(Mecze[[#This Row],[/PR:90]:[/BR:90]],Brudnopis!$E$23:$J$23),0)</f>
        <v>0</v>
      </c>
      <c r="T3663" s="44">
        <f>IF(Mecze[[#This Row],[Role]]&lt;&gt;"BR",SUMPRODUCT(Mecze[[#This Row],[/PR:90]:[/BR:90]],Brudnopis!$E$24:$J$24),0)</f>
        <v>0.19791666666666666</v>
      </c>
      <c r="U3663" s="44">
        <f>IF(Mecze[[#This Row],[Role]]&lt;&gt;"BR",SUMPRODUCT(Mecze[[#This Row],[/PR:90]:[/BR:90]],Brudnopis!$E$25:$J$25),0)</f>
        <v>0.22916666666666666</v>
      </c>
      <c r="V3663" s="44">
        <f>IF(Mecze[[#This Row],[Role]]&lt;&gt;"BR",SUMPRODUCT(Mecze[[#This Row],[/PR:90]:[/BR:90]],Brudnopis!$E$26:$J$26),0)</f>
        <v>0.1875</v>
      </c>
      <c r="W3663" s="44">
        <f>IF(Mecze[[#This Row],[Role]]&lt;&gt;"BR",SUMPRODUCT(Mecze[[#This Row],[/PR:90]:[/BR:90]],Brudnopis!$E$27:$J$27),0)</f>
        <v>0.203125</v>
      </c>
      <c r="X3663" s="44">
        <f>IF(Mecze[[#This Row],[Role]]&lt;&gt;"BR",SUMPRODUCT(Mecze[[#This Row],[/PR:90]:[/BR:90]],Brudnopis!$E$28:$J$28),0)</f>
        <v>8.3333333333333329E-2</v>
      </c>
      <c r="Y3663" s="35">
        <f>IF(Mecze[[#This Row],[Role]]="BR",Mecze[[#This Row],[/OB:90]]+Mecze[[#This Row],[/PC:90]],SUM(Mecze[[#This Row],[/PR:90]:[/BR:90]]))</f>
        <v>0.1875</v>
      </c>
      <c r="Z3663" s="35">
        <f>IF(Mecze[[#This Row],[KC]]=0,SUM(Mecze[[#This Row],[/BRI]:[/NPI]]),SUM(Mecze[[#This Row],[/BRI]:[/NPI]])*0.6)</f>
        <v>0.90104166666666663</v>
      </c>
      <c r="AA3663" s="10">
        <f>IFERROR(Mecze[[#This Row],[BR]]/Mecze[[#This Row],[ST]],0)</f>
        <v>0</v>
      </c>
      <c r="AB3663">
        <f>ROUND(Mecze[[#This Row],[PD]]*Mecze[[#This Row],[%PC]],0)</f>
        <v>8</v>
      </c>
      <c r="AC3663">
        <f>ROUND(Mecze[[#This Row],[OD]]*Mecze[[#This Row],[%OU]],0)</f>
        <v>2</v>
      </c>
      <c r="AD3663" s="41" t="s">
        <v>47</v>
      </c>
      <c r="AE3663" s="36">
        <v>208</v>
      </c>
      <c r="AF3663" s="71">
        <v>5.6</v>
      </c>
      <c r="AG3663" s="37">
        <v>0</v>
      </c>
      <c r="AH3663" s="37">
        <v>0</v>
      </c>
      <c r="AI3663" s="37">
        <v>96</v>
      </c>
      <c r="AJ3663" s="37">
        <v>1</v>
      </c>
      <c r="AK3663" s="37" t="str">
        <f>VLOOKUP(Mecze[[#This Row],[Match ID]],Meczusie[Mecz]:Meczusie[RodzajMeczu],2,FALSE)</f>
        <v>Towarzyski</v>
      </c>
    </row>
    <row r="3664" spans="1:37" x14ac:dyDescent="0.25">
      <c r="A3664" s="76">
        <v>53</v>
      </c>
      <c r="B3664" s="3" t="s">
        <v>415</v>
      </c>
      <c r="C3664" s="2" t="s">
        <v>157</v>
      </c>
      <c r="D3664" s="1">
        <v>0</v>
      </c>
      <c r="E3664" s="1">
        <v>0</v>
      </c>
      <c r="F3664" s="1">
        <v>0</v>
      </c>
      <c r="G3664" s="1">
        <v>3</v>
      </c>
      <c r="H3664" s="4">
        <v>0.67</v>
      </c>
      <c r="I3664" s="1">
        <v>2</v>
      </c>
      <c r="J3664" s="4">
        <v>0.5</v>
      </c>
      <c r="K3664" s="1">
        <v>0</v>
      </c>
      <c r="L3664" s="1">
        <v>6</v>
      </c>
      <c r="M3664" s="32">
        <f>IF(Mecze[[#This Row],[PR]]=0,0,Mecze[[#This Row],[PR]]/Mecze[[#This Row],[CZAS]])</f>
        <v>6.25E-2</v>
      </c>
      <c r="N3664" s="32">
        <f>IF(Mecze[[#This Row],[OU]]=0,0,Mecze[[#This Row],[OU]]/Mecze[[#This Row],[CZAS]])</f>
        <v>1.0416666666666666E-2</v>
      </c>
      <c r="O3664" s="32">
        <f>IF(Mecze[[#This Row],[PC]]=0,0,Mecze[[#This Row],[PC]]/Mecze[[#This Row],[CZAS]])</f>
        <v>2.0833333333333332E-2</v>
      </c>
      <c r="P3664" s="32">
        <f>IF(Mecze[[#This Row],[SC]]=0,0,Mecze[[#This Row],[SC]]/Mecze[[#This Row],[CZAS]])</f>
        <v>0</v>
      </c>
      <c r="Q3664" s="32">
        <f>IF(Mecze[[#This Row],[OB]]=0,0,Mecze[[#This Row],[OB]]/Mecze[[#This Row],[CZAS]])</f>
        <v>0</v>
      </c>
      <c r="R3664" s="32">
        <f>IF(Mecze[[#This Row],[BR]]=0,0,Mecze[[#This Row],[BR]]/Mecze[[#This Row],[CZAS]])</f>
        <v>0</v>
      </c>
      <c r="S3664" s="44">
        <f>IF(Mecze[[#This Row],[Role]]="BR",SUMPRODUCT(Mecze[[#This Row],[/PR:90]:[/BR:90]],Brudnopis!$E$23:$J$23),0)</f>
        <v>0</v>
      </c>
      <c r="T3664" s="44">
        <f>IF(Mecze[[#This Row],[Role]]&lt;&gt;"BR",SUMPRODUCT(Mecze[[#This Row],[/PR:90]:[/BR:90]],Brudnopis!$E$24:$J$24),0)</f>
        <v>9.8958333333333329E-2</v>
      </c>
      <c r="U3664" s="44">
        <f>IF(Mecze[[#This Row],[Role]]&lt;&gt;"BR",SUMPRODUCT(Mecze[[#This Row],[/PR:90]:[/BR:90]],Brudnopis!$E$25:$J$25),0)</f>
        <v>0.10416666666666667</v>
      </c>
      <c r="V3664" s="44">
        <f>IF(Mecze[[#This Row],[Role]]&lt;&gt;"BR",SUMPRODUCT(Mecze[[#This Row],[/PR:90]:[/BR:90]],Brudnopis!$E$26:$J$26),0)</f>
        <v>9.375E-2</v>
      </c>
      <c r="W3664" s="44">
        <f>IF(Mecze[[#This Row],[Role]]&lt;&gt;"BR",SUMPRODUCT(Mecze[[#This Row],[/PR:90]:[/BR:90]],Brudnopis!$E$27:$J$27),0)</f>
        <v>8.59375E-2</v>
      </c>
      <c r="X3664" s="44">
        <f>IF(Mecze[[#This Row],[Role]]&lt;&gt;"BR",SUMPRODUCT(Mecze[[#This Row],[/PR:90]:[/BR:90]],Brudnopis!$E$28:$J$28),0)</f>
        <v>2.0833333333333332E-2</v>
      </c>
      <c r="Y3664" s="35">
        <f>IF(Mecze[[#This Row],[Role]]="BR",Mecze[[#This Row],[/OB:90]]+Mecze[[#This Row],[/PC:90]],SUM(Mecze[[#This Row],[/PR:90]:[/BR:90]]))</f>
        <v>9.375E-2</v>
      </c>
      <c r="Z3664" s="35">
        <f>IF(Mecze[[#This Row],[KC]]=0,SUM(Mecze[[#This Row],[/BRI]:[/NPI]]),SUM(Mecze[[#This Row],[/BRI]:[/NPI]])*0.6)</f>
        <v>0.40364583333333331</v>
      </c>
      <c r="AA3664" s="10">
        <f>IFERROR(Mecze[[#This Row],[BR]]/Mecze[[#This Row],[ST]],0)</f>
        <v>0</v>
      </c>
      <c r="AB3664">
        <f>ROUND(Mecze[[#This Row],[PD]]*Mecze[[#This Row],[%PC]],0)</f>
        <v>2</v>
      </c>
      <c r="AC3664">
        <f>ROUND(Mecze[[#This Row],[OD]]*Mecze[[#This Row],[%OU]],0)</f>
        <v>1</v>
      </c>
      <c r="AD3664" s="41" t="s">
        <v>167</v>
      </c>
      <c r="AE3664" s="36">
        <v>208</v>
      </c>
      <c r="AF3664" s="71">
        <v>5.18</v>
      </c>
      <c r="AG3664" s="37">
        <v>0</v>
      </c>
      <c r="AH3664" s="37">
        <v>0</v>
      </c>
      <c r="AI3664" s="37">
        <v>96</v>
      </c>
      <c r="AJ3664" s="37">
        <v>1</v>
      </c>
      <c r="AK3664" s="37" t="str">
        <f>VLOOKUP(Mecze[[#This Row],[Match ID]],Meczusie[Mecz]:Meczusie[RodzajMeczu],2,FALSE)</f>
        <v>Towarzyski</v>
      </c>
    </row>
    <row r="3665" spans="1:37" x14ac:dyDescent="0.25">
      <c r="A3665" s="76">
        <v>42</v>
      </c>
      <c r="B3665" s="3" t="s">
        <v>361</v>
      </c>
      <c r="C3665" s="2" t="s">
        <v>157</v>
      </c>
      <c r="D3665" s="1">
        <v>0</v>
      </c>
      <c r="E3665" s="1">
        <v>0</v>
      </c>
      <c r="F3665" s="1">
        <v>0</v>
      </c>
      <c r="G3665" s="1">
        <v>8</v>
      </c>
      <c r="H3665" s="4">
        <v>0.63</v>
      </c>
      <c r="I3665" s="1">
        <v>8</v>
      </c>
      <c r="J3665" s="4">
        <v>0.38</v>
      </c>
      <c r="K3665" s="1">
        <v>0</v>
      </c>
      <c r="L3665" s="1">
        <v>6</v>
      </c>
      <c r="M3665" s="32">
        <f>IF(Mecze[[#This Row],[PR]]=0,0,Mecze[[#This Row],[PR]]/Mecze[[#This Row],[CZAS]])</f>
        <v>6.25E-2</v>
      </c>
      <c r="N3665" s="32">
        <f>IF(Mecze[[#This Row],[OU]]=0,0,Mecze[[#This Row],[OU]]/Mecze[[#This Row],[CZAS]])</f>
        <v>3.125E-2</v>
      </c>
      <c r="O3665" s="32">
        <f>IF(Mecze[[#This Row],[PC]]=0,0,Mecze[[#This Row],[PC]]/Mecze[[#This Row],[CZAS]])</f>
        <v>5.2083333333333336E-2</v>
      </c>
      <c r="P3665" s="32">
        <f>IF(Mecze[[#This Row],[SC]]=0,0,Mecze[[#This Row],[SC]]/Mecze[[#This Row],[CZAS]])</f>
        <v>0</v>
      </c>
      <c r="Q3665" s="32">
        <f>IF(Mecze[[#This Row],[OB]]=0,0,Mecze[[#This Row],[OB]]/Mecze[[#This Row],[CZAS]])</f>
        <v>0</v>
      </c>
      <c r="R3665" s="32">
        <f>IF(Mecze[[#This Row],[BR]]=0,0,Mecze[[#This Row],[BR]]/Mecze[[#This Row],[CZAS]])</f>
        <v>0</v>
      </c>
      <c r="S3665" s="44">
        <f>IF(Mecze[[#This Row],[Role]]="BR",SUMPRODUCT(Mecze[[#This Row],[/PR:90]:[/BR:90]],Brudnopis!$E$23:$J$23),0)</f>
        <v>0</v>
      </c>
      <c r="T3665" s="44">
        <f>IF(Mecze[[#This Row],[Role]]&lt;&gt;"BR",SUMPRODUCT(Mecze[[#This Row],[/PR:90]:[/BR:90]],Brudnopis!$E$24:$J$24),0)</f>
        <v>0.16145833333333334</v>
      </c>
      <c r="U3665" s="44">
        <f>IF(Mecze[[#This Row],[Role]]&lt;&gt;"BR",SUMPRODUCT(Mecze[[#This Row],[/PR:90]:[/BR:90]],Brudnopis!$E$25:$J$25),0)</f>
        <v>0.171875</v>
      </c>
      <c r="V3665" s="44">
        <f>IF(Mecze[[#This Row],[Role]]&lt;&gt;"BR",SUMPRODUCT(Mecze[[#This Row],[/PR:90]:[/BR:90]],Brudnopis!$E$26:$J$26),0)</f>
        <v>0.14583333333333334</v>
      </c>
      <c r="W3665" s="44">
        <f>IF(Mecze[[#This Row],[Role]]&lt;&gt;"BR",SUMPRODUCT(Mecze[[#This Row],[/PR:90]:[/BR:90]],Brudnopis!$E$27:$J$27),0)</f>
        <v>0.1484375</v>
      </c>
      <c r="X3665" s="44">
        <f>IF(Mecze[[#This Row],[Role]]&lt;&gt;"BR",SUMPRODUCT(Mecze[[#This Row],[/PR:90]:[/BR:90]],Brudnopis!$E$28:$J$28),0)</f>
        <v>5.2083333333333336E-2</v>
      </c>
      <c r="Y3665" s="35">
        <f>IF(Mecze[[#This Row],[Role]]="BR",Mecze[[#This Row],[/OB:90]]+Mecze[[#This Row],[/PC:90]],SUM(Mecze[[#This Row],[/PR:90]:[/BR:90]]))</f>
        <v>0.14583333333333334</v>
      </c>
      <c r="Z3665" s="35">
        <f>IF(Mecze[[#This Row],[KC]]=0,SUM(Mecze[[#This Row],[/BRI]:[/NPI]]),SUM(Mecze[[#This Row],[/BRI]:[/NPI]])*0.6)</f>
        <v>0.67968750000000011</v>
      </c>
      <c r="AA3665" s="10">
        <f>IFERROR(Mecze[[#This Row],[BR]]/Mecze[[#This Row],[ST]],0)</f>
        <v>0</v>
      </c>
      <c r="AB3665">
        <f>ROUND(Mecze[[#This Row],[PD]]*Mecze[[#This Row],[%PC]],0)</f>
        <v>5</v>
      </c>
      <c r="AC3665">
        <f>ROUND(Mecze[[#This Row],[OD]]*Mecze[[#This Row],[%OU]],0)</f>
        <v>3</v>
      </c>
      <c r="AD3665" s="41" t="s">
        <v>168</v>
      </c>
      <c r="AE3665" s="36">
        <v>208</v>
      </c>
      <c r="AF3665" s="71">
        <v>4.07</v>
      </c>
      <c r="AG3665" s="37">
        <v>1</v>
      </c>
      <c r="AH3665" s="37">
        <v>0</v>
      </c>
      <c r="AI3665" s="37">
        <v>96</v>
      </c>
      <c r="AJ3665" s="37">
        <v>1</v>
      </c>
      <c r="AK3665" s="37" t="str">
        <f>VLOOKUP(Mecze[[#This Row],[Match ID]],Meczusie[Mecz]:Meczusie[RodzajMeczu],2,FALSE)</f>
        <v>Towarzyski</v>
      </c>
    </row>
    <row r="3666" spans="1:37" x14ac:dyDescent="0.25">
      <c r="A3666" s="76">
        <v>52</v>
      </c>
      <c r="B3666" s="3" t="s">
        <v>408</v>
      </c>
      <c r="C3666" s="2" t="s">
        <v>160</v>
      </c>
      <c r="D3666" s="1">
        <v>0</v>
      </c>
      <c r="E3666" s="1">
        <v>1</v>
      </c>
      <c r="F3666" s="1">
        <v>1</v>
      </c>
      <c r="G3666" s="1">
        <v>2</v>
      </c>
      <c r="H3666" s="4">
        <v>1</v>
      </c>
      <c r="I3666" s="1">
        <v>2</v>
      </c>
      <c r="J3666" s="4">
        <v>0.5</v>
      </c>
      <c r="K3666" s="1">
        <v>0</v>
      </c>
      <c r="L3666" s="1">
        <v>2</v>
      </c>
      <c r="M3666" s="32">
        <f>IF(Mecze[[#This Row],[PR]]=0,0,Mecze[[#This Row],[PR]]/Mecze[[#This Row],[CZAS]])</f>
        <v>2.0833333333333332E-2</v>
      </c>
      <c r="N3666" s="32">
        <f>IF(Mecze[[#This Row],[OU]]=0,0,Mecze[[#This Row],[OU]]/Mecze[[#This Row],[CZAS]])</f>
        <v>1.0416666666666666E-2</v>
      </c>
      <c r="O3666" s="32">
        <f>IF(Mecze[[#This Row],[PC]]=0,0,Mecze[[#This Row],[PC]]/Mecze[[#This Row],[CZAS]])</f>
        <v>2.0833333333333332E-2</v>
      </c>
      <c r="P3666" s="32">
        <f>IF(Mecze[[#This Row],[SC]]=0,0,Mecze[[#This Row],[SC]]/Mecze[[#This Row],[CZAS]])</f>
        <v>1.0416666666666666E-2</v>
      </c>
      <c r="Q3666" s="32">
        <f>IF(Mecze[[#This Row],[OB]]=0,0,Mecze[[#This Row],[OB]]/Mecze[[#This Row],[CZAS]])</f>
        <v>0</v>
      </c>
      <c r="R3666" s="32">
        <f>IF(Mecze[[#This Row],[BR]]=0,0,Mecze[[#This Row],[BR]]/Mecze[[#This Row],[CZAS]])</f>
        <v>0</v>
      </c>
      <c r="S3666" s="44">
        <f>IF(Mecze[[#This Row],[Role]]="BR",SUMPRODUCT(Mecze[[#This Row],[/PR:90]:[/BR:90]],Brudnopis!$E$23:$J$23),0)</f>
        <v>0</v>
      </c>
      <c r="T3666" s="44">
        <f>IF(Mecze[[#This Row],[Role]]&lt;&gt;"BR",SUMPRODUCT(Mecze[[#This Row],[/PR:90]:[/BR:90]],Brudnopis!$E$24:$J$24),0)</f>
        <v>6.7708333333333329E-2</v>
      </c>
      <c r="U3666" s="44">
        <f>IF(Mecze[[#This Row],[Role]]&lt;&gt;"BR",SUMPRODUCT(Mecze[[#This Row],[/PR:90]:[/BR:90]],Brudnopis!$E$25:$J$25),0)</f>
        <v>7.2916666666666671E-2</v>
      </c>
      <c r="V3666" s="44">
        <f>IF(Mecze[[#This Row],[Role]]&lt;&gt;"BR",SUMPRODUCT(Mecze[[#This Row],[/PR:90]:[/BR:90]],Brudnopis!$E$26:$J$26),0)</f>
        <v>6.2499999999999993E-2</v>
      </c>
      <c r="W3666" s="44">
        <f>IF(Mecze[[#This Row],[Role]]&lt;&gt;"BR",SUMPRODUCT(Mecze[[#This Row],[/PR:90]:[/BR:90]],Brudnopis!$E$27:$J$27),0)</f>
        <v>6.5104166666666671E-2</v>
      </c>
      <c r="X3666" s="44">
        <f>IF(Mecze[[#This Row],[Role]]&lt;&gt;"BR",SUMPRODUCT(Mecze[[#This Row],[/PR:90]:[/BR:90]],Brudnopis!$E$28:$J$28),0)</f>
        <v>4.1666666666666664E-2</v>
      </c>
      <c r="Y3666" s="35">
        <f>IF(Mecze[[#This Row],[Role]]="BR",Mecze[[#This Row],[/OB:90]]+Mecze[[#This Row],[/PC:90]],SUM(Mecze[[#This Row],[/PR:90]:[/BR:90]]))</f>
        <v>6.2499999999999993E-2</v>
      </c>
      <c r="Z3666" s="35">
        <f>IF(Mecze[[#This Row],[KC]]=0,SUM(Mecze[[#This Row],[/BRI]:[/NPI]]),SUM(Mecze[[#This Row],[/BRI]:[/NPI]])*0.6)</f>
        <v>0.30989583333333337</v>
      </c>
      <c r="AA3666" s="10">
        <f>IFERROR(Mecze[[#This Row],[BR]]/Mecze[[#This Row],[ST]],0)</f>
        <v>0</v>
      </c>
      <c r="AB3666">
        <f>ROUND(Mecze[[#This Row],[PD]]*Mecze[[#This Row],[%PC]],0)</f>
        <v>2</v>
      </c>
      <c r="AC3666">
        <f>ROUND(Mecze[[#This Row],[OD]]*Mecze[[#This Row],[%OU]],0)</f>
        <v>1</v>
      </c>
      <c r="AD3666" s="41" t="s">
        <v>41</v>
      </c>
      <c r="AE3666" s="36">
        <v>208</v>
      </c>
      <c r="AF3666" s="71">
        <v>4.57</v>
      </c>
      <c r="AG3666" s="37">
        <v>0</v>
      </c>
      <c r="AH3666" s="37">
        <v>0</v>
      </c>
      <c r="AI3666" s="37">
        <v>96</v>
      </c>
      <c r="AJ3666" s="37">
        <v>1</v>
      </c>
      <c r="AK3666" s="37" t="str">
        <f>VLOOKUP(Mecze[[#This Row],[Match ID]],Meczusie[Mecz]:Meczusie[RodzajMeczu],2,FALSE)</f>
        <v>Towarzyski</v>
      </c>
    </row>
    <row r="3667" spans="1:37" x14ac:dyDescent="0.25">
      <c r="A3667" s="76">
        <v>40</v>
      </c>
      <c r="B3667" s="3" t="s">
        <v>453</v>
      </c>
      <c r="C3667" s="2" t="s">
        <v>160</v>
      </c>
      <c r="D3667" s="1">
        <v>0</v>
      </c>
      <c r="E3667" s="1">
        <v>0</v>
      </c>
      <c r="F3667" s="1">
        <v>0</v>
      </c>
      <c r="G3667" s="1">
        <v>11</v>
      </c>
      <c r="H3667" s="4">
        <v>0.73</v>
      </c>
      <c r="I3667" s="1">
        <v>4</v>
      </c>
      <c r="J3667" s="4">
        <v>0.25</v>
      </c>
      <c r="K3667" s="1">
        <v>0</v>
      </c>
      <c r="L3667" s="1">
        <v>2</v>
      </c>
      <c r="M3667" s="32">
        <f>IF(Mecze[[#This Row],[PR]]=0,0,Mecze[[#This Row],[PR]]/Mecze[[#This Row],[CZAS]])</f>
        <v>2.0833333333333332E-2</v>
      </c>
      <c r="N3667" s="32">
        <f>IF(Mecze[[#This Row],[OU]]=0,0,Mecze[[#This Row],[OU]]/Mecze[[#This Row],[CZAS]])</f>
        <v>1.0416666666666666E-2</v>
      </c>
      <c r="O3667" s="32">
        <f>IF(Mecze[[#This Row],[PC]]=0,0,Mecze[[#This Row],[PC]]/Mecze[[#This Row],[CZAS]])</f>
        <v>8.3333333333333329E-2</v>
      </c>
      <c r="P3667" s="32">
        <f>IF(Mecze[[#This Row],[SC]]=0,0,Mecze[[#This Row],[SC]]/Mecze[[#This Row],[CZAS]])</f>
        <v>0</v>
      </c>
      <c r="Q3667" s="32">
        <f>IF(Mecze[[#This Row],[OB]]=0,0,Mecze[[#This Row],[OB]]/Mecze[[#This Row],[CZAS]])</f>
        <v>0</v>
      </c>
      <c r="R3667" s="32">
        <f>IF(Mecze[[#This Row],[BR]]=0,0,Mecze[[#This Row],[BR]]/Mecze[[#This Row],[CZAS]])</f>
        <v>0</v>
      </c>
      <c r="S3667" s="44">
        <f>IF(Mecze[[#This Row],[Role]]="BR",SUMPRODUCT(Mecze[[#This Row],[/PR:90]:[/BR:90]],Brudnopis!$E$23:$J$23),0)</f>
        <v>0</v>
      </c>
      <c r="T3667" s="44">
        <f>IF(Mecze[[#This Row],[Role]]&lt;&gt;"BR",SUMPRODUCT(Mecze[[#This Row],[/PR:90]:[/BR:90]],Brudnopis!$E$24:$J$24),0)</f>
        <v>0.11979166666666666</v>
      </c>
      <c r="U3667" s="44">
        <f>IF(Mecze[[#This Row],[Role]]&lt;&gt;"BR",SUMPRODUCT(Mecze[[#This Row],[/PR:90]:[/BR:90]],Brudnopis!$E$25:$J$25),0)</f>
        <v>0.15625</v>
      </c>
      <c r="V3667" s="44">
        <f>IF(Mecze[[#This Row],[Role]]&lt;&gt;"BR",SUMPRODUCT(Mecze[[#This Row],[/PR:90]:[/BR:90]],Brudnopis!$E$26:$J$26),0)</f>
        <v>0.11458333333333333</v>
      </c>
      <c r="W3667" s="44">
        <f>IF(Mecze[[#This Row],[Role]]&lt;&gt;"BR",SUMPRODUCT(Mecze[[#This Row],[/PR:90]:[/BR:90]],Brudnopis!$E$27:$J$27),0)</f>
        <v>0.1484375</v>
      </c>
      <c r="X3667" s="44">
        <f>IF(Mecze[[#This Row],[Role]]&lt;&gt;"BR",SUMPRODUCT(Mecze[[#This Row],[/PR:90]:[/BR:90]],Brudnopis!$E$28:$J$28),0)</f>
        <v>8.3333333333333329E-2</v>
      </c>
      <c r="Y3667" s="35">
        <f>IF(Mecze[[#This Row],[Role]]="BR",Mecze[[#This Row],[/OB:90]]+Mecze[[#This Row],[/PC:90]],SUM(Mecze[[#This Row],[/PR:90]:[/BR:90]]))</f>
        <v>0.11458333333333333</v>
      </c>
      <c r="Z3667" s="35">
        <f>IF(Mecze[[#This Row],[KC]]=0,SUM(Mecze[[#This Row],[/BRI]:[/NPI]]),SUM(Mecze[[#This Row],[/BRI]:[/NPI]])*0.6)</f>
        <v>0.62239583333333337</v>
      </c>
      <c r="AA3667" s="10">
        <f>IFERROR(Mecze[[#This Row],[BR]]/Mecze[[#This Row],[ST]],0)</f>
        <v>0</v>
      </c>
      <c r="AB3667">
        <f>ROUND(Mecze[[#This Row],[PD]]*Mecze[[#This Row],[%PC]],0)</f>
        <v>8</v>
      </c>
      <c r="AC3667">
        <f>ROUND(Mecze[[#This Row],[OD]]*Mecze[[#This Row],[%OU]],0)</f>
        <v>1</v>
      </c>
      <c r="AD3667" s="41" t="s">
        <v>41</v>
      </c>
      <c r="AE3667" s="36">
        <v>208</v>
      </c>
      <c r="AF3667" s="71">
        <v>4.4400000000000004</v>
      </c>
      <c r="AG3667" s="37">
        <v>0</v>
      </c>
      <c r="AH3667" s="37">
        <v>0</v>
      </c>
      <c r="AI3667" s="37">
        <v>96</v>
      </c>
      <c r="AJ3667" s="37">
        <v>1</v>
      </c>
      <c r="AK3667" s="37" t="str">
        <f>VLOOKUP(Mecze[[#This Row],[Match ID]],Meczusie[Mecz]:Meczusie[RodzajMeczu],2,FALSE)</f>
        <v>Towarzyski</v>
      </c>
    </row>
    <row r="3668" spans="1:37" x14ac:dyDescent="0.25">
      <c r="A3668" s="76">
        <v>25</v>
      </c>
      <c r="B3668" s="3" t="s">
        <v>366</v>
      </c>
      <c r="C3668" s="2" t="s">
        <v>160</v>
      </c>
      <c r="D3668" s="1">
        <v>0</v>
      </c>
      <c r="E3668" s="1">
        <v>0</v>
      </c>
      <c r="F3668" s="1">
        <v>0</v>
      </c>
      <c r="G3668" s="1">
        <v>12</v>
      </c>
      <c r="H3668" s="4">
        <v>0.67</v>
      </c>
      <c r="I3668" s="1">
        <v>0</v>
      </c>
      <c r="J3668" s="4"/>
      <c r="K3668" s="1">
        <v>0</v>
      </c>
      <c r="L3668" s="1">
        <v>9</v>
      </c>
      <c r="M3668" s="32">
        <f>IF(Mecze[[#This Row],[PR]]=0,0,Mecze[[#This Row],[PR]]/Mecze[[#This Row],[CZAS]])</f>
        <v>9.375E-2</v>
      </c>
      <c r="N3668" s="32">
        <f>IF(Mecze[[#This Row],[OU]]=0,0,Mecze[[#This Row],[OU]]/Mecze[[#This Row],[CZAS]])</f>
        <v>0</v>
      </c>
      <c r="O3668" s="32">
        <f>IF(Mecze[[#This Row],[PC]]=0,0,Mecze[[#This Row],[PC]]/Mecze[[#This Row],[CZAS]])</f>
        <v>8.3333333333333329E-2</v>
      </c>
      <c r="P3668" s="32">
        <f>IF(Mecze[[#This Row],[SC]]=0,0,Mecze[[#This Row],[SC]]/Mecze[[#This Row],[CZAS]])</f>
        <v>0</v>
      </c>
      <c r="Q3668" s="32">
        <f>IF(Mecze[[#This Row],[OB]]=0,0,Mecze[[#This Row],[OB]]/Mecze[[#This Row],[CZAS]])</f>
        <v>0</v>
      </c>
      <c r="R3668" s="32">
        <f>IF(Mecze[[#This Row],[BR]]=0,0,Mecze[[#This Row],[BR]]/Mecze[[#This Row],[CZAS]])</f>
        <v>0</v>
      </c>
      <c r="S3668" s="44">
        <f>IF(Mecze[[#This Row],[Role]]="BR",SUMPRODUCT(Mecze[[#This Row],[/PR:90]:[/BR:90]],Brudnopis!$E$23:$J$23),0)</f>
        <v>0</v>
      </c>
      <c r="T3668" s="44">
        <f>IF(Mecze[[#This Row],[Role]]&lt;&gt;"BR",SUMPRODUCT(Mecze[[#This Row],[/PR:90]:[/BR:90]],Brudnopis!$E$24:$J$24),0)</f>
        <v>0.17708333333333331</v>
      </c>
      <c r="U3668" s="44">
        <f>IF(Mecze[[#This Row],[Role]]&lt;&gt;"BR",SUMPRODUCT(Mecze[[#This Row],[/PR:90]:[/BR:90]],Brudnopis!$E$25:$J$25),0)</f>
        <v>0.21875</v>
      </c>
      <c r="V3668" s="44">
        <f>IF(Mecze[[#This Row],[Role]]&lt;&gt;"BR",SUMPRODUCT(Mecze[[#This Row],[/PR:90]:[/BR:90]],Brudnopis!$E$26:$J$26),0)</f>
        <v>0.17708333333333331</v>
      </c>
      <c r="W3668" s="44">
        <f>IF(Mecze[[#This Row],[Role]]&lt;&gt;"BR",SUMPRODUCT(Mecze[[#This Row],[/PR:90]:[/BR:90]],Brudnopis!$E$27:$J$27),0)</f>
        <v>0.1953125</v>
      </c>
      <c r="X3668" s="44">
        <f>IF(Mecze[[#This Row],[Role]]&lt;&gt;"BR",SUMPRODUCT(Mecze[[#This Row],[/PR:90]:[/BR:90]],Brudnopis!$E$28:$J$28),0)</f>
        <v>8.3333333333333329E-2</v>
      </c>
      <c r="Y3668" s="35">
        <f>IF(Mecze[[#This Row],[Role]]="BR",Mecze[[#This Row],[/OB:90]]+Mecze[[#This Row],[/PC:90]],SUM(Mecze[[#This Row],[/PR:90]:[/BR:90]]))</f>
        <v>0.17708333333333331</v>
      </c>
      <c r="Z3668" s="35">
        <f>IF(Mecze[[#This Row],[KC]]=0,SUM(Mecze[[#This Row],[/BRI]:[/NPI]]),SUM(Mecze[[#This Row],[/BRI]:[/NPI]])*0.6)</f>
        <v>0.8515625</v>
      </c>
      <c r="AA3668" s="10">
        <f>IFERROR(Mecze[[#This Row],[BR]]/Mecze[[#This Row],[ST]],0)</f>
        <v>0</v>
      </c>
      <c r="AB3668">
        <f>ROUND(Mecze[[#This Row],[PD]]*Mecze[[#This Row],[%PC]],0)</f>
        <v>8</v>
      </c>
      <c r="AC3668">
        <f>ROUND(Mecze[[#This Row],[OD]]*Mecze[[#This Row],[%OU]],0)</f>
        <v>0</v>
      </c>
      <c r="AD3668" s="41" t="s">
        <v>44</v>
      </c>
      <c r="AE3668" s="36">
        <v>208</v>
      </c>
      <c r="AF3668" s="71">
        <v>7.02</v>
      </c>
      <c r="AG3668" s="37">
        <v>0</v>
      </c>
      <c r="AH3668" s="37">
        <v>0</v>
      </c>
      <c r="AI3668" s="37">
        <v>96</v>
      </c>
      <c r="AJ3668" s="37">
        <v>1</v>
      </c>
      <c r="AK3668" s="37" t="str">
        <f>VLOOKUP(Mecze[[#This Row],[Match ID]],Meczusie[Mecz]:Meczusie[RodzajMeczu],2,FALSE)</f>
        <v>Towarzyski</v>
      </c>
    </row>
    <row r="3669" spans="1:37" x14ac:dyDescent="0.25">
      <c r="A3669" s="76">
        <v>45</v>
      </c>
      <c r="B3669" s="3" t="s">
        <v>394</v>
      </c>
      <c r="C3669" s="2" t="s">
        <v>160</v>
      </c>
      <c r="D3669" s="1">
        <v>1</v>
      </c>
      <c r="E3669" s="1">
        <v>7</v>
      </c>
      <c r="F3669" s="1">
        <v>6</v>
      </c>
      <c r="G3669" s="1">
        <v>9</v>
      </c>
      <c r="H3669" s="4">
        <v>0.44</v>
      </c>
      <c r="I3669" s="1">
        <v>3</v>
      </c>
      <c r="J3669" s="4">
        <v>0.33</v>
      </c>
      <c r="K3669" s="1">
        <v>0</v>
      </c>
      <c r="L3669" s="1">
        <v>6</v>
      </c>
      <c r="M3669" s="32">
        <f>IF(Mecze[[#This Row],[PR]]=0,0,Mecze[[#This Row],[PR]]/Mecze[[#This Row],[CZAS]])</f>
        <v>6.25E-2</v>
      </c>
      <c r="N3669" s="32">
        <f>IF(Mecze[[#This Row],[OU]]=0,0,Mecze[[#This Row],[OU]]/Mecze[[#This Row],[CZAS]])</f>
        <v>1.0416666666666666E-2</v>
      </c>
      <c r="O3669" s="32">
        <f>IF(Mecze[[#This Row],[PC]]=0,0,Mecze[[#This Row],[PC]]/Mecze[[#This Row],[CZAS]])</f>
        <v>4.1666666666666664E-2</v>
      </c>
      <c r="P3669" s="32">
        <f>IF(Mecze[[#This Row],[SC]]=0,0,Mecze[[#This Row],[SC]]/Mecze[[#This Row],[CZAS]])</f>
        <v>6.25E-2</v>
      </c>
      <c r="Q3669" s="32">
        <f>IF(Mecze[[#This Row],[OB]]=0,0,Mecze[[#This Row],[OB]]/Mecze[[#This Row],[CZAS]])</f>
        <v>0</v>
      </c>
      <c r="R3669" s="32">
        <f>IF(Mecze[[#This Row],[BR]]=0,0,Mecze[[#This Row],[BR]]/Mecze[[#This Row],[CZAS]])</f>
        <v>1.0416666666666666E-2</v>
      </c>
      <c r="S3669" s="44">
        <f>IF(Mecze[[#This Row],[Role]]="BR",SUMPRODUCT(Mecze[[#This Row],[/PR:90]:[/BR:90]],Brudnopis!$E$23:$J$23),0)</f>
        <v>0</v>
      </c>
      <c r="T3669" s="44">
        <f>IF(Mecze[[#This Row],[Role]]&lt;&gt;"BR",SUMPRODUCT(Mecze[[#This Row],[/PR:90]:[/BR:90]],Brudnopis!$E$24:$J$24),0)</f>
        <v>0.19791666666666666</v>
      </c>
      <c r="U3669" s="44">
        <f>IF(Mecze[[#This Row],[Role]]&lt;&gt;"BR",SUMPRODUCT(Mecze[[#This Row],[/PR:90]:[/BR:90]],Brudnopis!$E$25:$J$25),0)</f>
        <v>0.21354166666666669</v>
      </c>
      <c r="V3669" s="44">
        <f>IF(Mecze[[#This Row],[Role]]&lt;&gt;"BR",SUMPRODUCT(Mecze[[#This Row],[/PR:90]:[/BR:90]],Brudnopis!$E$26:$J$26),0)</f>
        <v>0.19791666666666669</v>
      </c>
      <c r="W3669" s="44">
        <f>IF(Mecze[[#This Row],[Role]]&lt;&gt;"BR",SUMPRODUCT(Mecze[[#This Row],[/PR:90]:[/BR:90]],Brudnopis!$E$27:$J$27),0)</f>
        <v>0.20052083333333334</v>
      </c>
      <c r="X3669" s="44">
        <f>IF(Mecze[[#This Row],[Role]]&lt;&gt;"BR",SUMPRODUCT(Mecze[[#This Row],[/PR:90]:[/BR:90]],Brudnopis!$E$28:$J$28),0)</f>
        <v>0.19791666666666666</v>
      </c>
      <c r="Y3669" s="35">
        <f>IF(Mecze[[#This Row],[Role]]="BR",Mecze[[#This Row],[/OB:90]]+Mecze[[#This Row],[/PC:90]],SUM(Mecze[[#This Row],[/PR:90]:[/BR:90]]))</f>
        <v>0.1875</v>
      </c>
      <c r="Z3669" s="35">
        <f>IF(Mecze[[#This Row],[KC]]=0,SUM(Mecze[[#This Row],[/BRI]:[/NPI]]),SUM(Mecze[[#This Row],[/BRI]:[/NPI]])*0.6)</f>
        <v>1.0078125</v>
      </c>
      <c r="AA3669" s="10">
        <f>IFERROR(Mecze[[#This Row],[BR]]/Mecze[[#This Row],[ST]],0)</f>
        <v>0.14285714285714285</v>
      </c>
      <c r="AB3669">
        <f>ROUND(Mecze[[#This Row],[PD]]*Mecze[[#This Row],[%PC]],0)</f>
        <v>4</v>
      </c>
      <c r="AC3669">
        <f>ROUND(Mecze[[#This Row],[OD]]*Mecze[[#This Row],[%OU]],0)</f>
        <v>1</v>
      </c>
      <c r="AD3669" s="41" t="s">
        <v>44</v>
      </c>
      <c r="AE3669" s="36">
        <v>208</v>
      </c>
      <c r="AF3669" s="71">
        <v>8.67</v>
      </c>
      <c r="AG3669" s="37">
        <v>0</v>
      </c>
      <c r="AH3669" s="37">
        <v>0</v>
      </c>
      <c r="AI3669" s="37">
        <v>96</v>
      </c>
      <c r="AJ3669" s="37">
        <v>1</v>
      </c>
      <c r="AK3669" s="37" t="str">
        <f>VLOOKUP(Mecze[[#This Row],[Match ID]],Meczusie[Mecz]:Meczusie[RodzajMeczu],2,FALSE)</f>
        <v>Towarzyski</v>
      </c>
    </row>
    <row r="3670" spans="1:37" x14ac:dyDescent="0.25">
      <c r="A3670" s="76">
        <v>31</v>
      </c>
      <c r="B3670" s="3" t="s">
        <v>365</v>
      </c>
      <c r="C3670" s="2" t="s">
        <v>165</v>
      </c>
      <c r="D3670" s="1">
        <v>4</v>
      </c>
      <c r="E3670" s="1">
        <v>18</v>
      </c>
      <c r="F3670" s="1">
        <v>17</v>
      </c>
      <c r="G3670" s="1">
        <v>6</v>
      </c>
      <c r="H3670" s="4">
        <v>0.5</v>
      </c>
      <c r="I3670" s="1">
        <v>7</v>
      </c>
      <c r="J3670" s="4">
        <v>0.28999999999999998</v>
      </c>
      <c r="K3670" s="1">
        <v>0</v>
      </c>
      <c r="L3670" s="1">
        <v>6</v>
      </c>
      <c r="M3670" s="32">
        <f>IF(Mecze[[#This Row],[PR]]=0,0,Mecze[[#This Row],[PR]]/Mecze[[#This Row],[CZAS]])</f>
        <v>6.25E-2</v>
      </c>
      <c r="N3670" s="32">
        <f>IF(Mecze[[#This Row],[OU]]=0,0,Mecze[[#This Row],[OU]]/Mecze[[#This Row],[CZAS]])</f>
        <v>2.0833333333333332E-2</v>
      </c>
      <c r="O3670" s="32">
        <f>IF(Mecze[[#This Row],[PC]]=0,0,Mecze[[#This Row],[PC]]/Mecze[[#This Row],[CZAS]])</f>
        <v>3.125E-2</v>
      </c>
      <c r="P3670" s="32">
        <f>IF(Mecze[[#This Row],[SC]]=0,0,Mecze[[#This Row],[SC]]/Mecze[[#This Row],[CZAS]])</f>
        <v>0.17708333333333334</v>
      </c>
      <c r="Q3670" s="32">
        <f>IF(Mecze[[#This Row],[OB]]=0,0,Mecze[[#This Row],[OB]]/Mecze[[#This Row],[CZAS]])</f>
        <v>0</v>
      </c>
      <c r="R3670" s="32">
        <f>IF(Mecze[[#This Row],[BR]]=0,0,Mecze[[#This Row],[BR]]/Mecze[[#This Row],[CZAS]])</f>
        <v>4.1666666666666664E-2</v>
      </c>
      <c r="S3670" s="44">
        <f>IF(Mecze[[#This Row],[Role]]="BR",SUMPRODUCT(Mecze[[#This Row],[/PR:90]:[/BR:90]],Brudnopis!$E$23:$J$23),0)</f>
        <v>0</v>
      </c>
      <c r="T3670" s="44">
        <f>IF(Mecze[[#This Row],[Role]]&lt;&gt;"BR",SUMPRODUCT(Mecze[[#This Row],[/PR:90]:[/BR:90]],Brudnopis!$E$24:$J$24),0)</f>
        <v>0.36458333333333337</v>
      </c>
      <c r="U3670" s="44">
        <f>IF(Mecze[[#This Row],[Role]]&lt;&gt;"BR",SUMPRODUCT(Mecze[[#This Row],[/PR:90]:[/BR:90]],Brudnopis!$E$25:$J$25),0)</f>
        <v>0.36979166666666663</v>
      </c>
      <c r="V3670" s="44">
        <f>IF(Mecze[[#This Row],[Role]]&lt;&gt;"BR",SUMPRODUCT(Mecze[[#This Row],[/PR:90]:[/BR:90]],Brudnopis!$E$26:$J$26),0)</f>
        <v>0.375</v>
      </c>
      <c r="W3670" s="44">
        <f>IF(Mecze[[#This Row],[Role]]&lt;&gt;"BR",SUMPRODUCT(Mecze[[#This Row],[/PR:90]:[/BR:90]],Brudnopis!$E$27:$J$27),0)</f>
        <v>0.36979166666666669</v>
      </c>
      <c r="X3670" s="44">
        <f>IF(Mecze[[#This Row],[Role]]&lt;&gt;"BR",SUMPRODUCT(Mecze[[#This Row],[/PR:90]:[/BR:90]],Brudnopis!$E$28:$J$28),0)</f>
        <v>0.51041666666666674</v>
      </c>
      <c r="Y3670" s="35">
        <f>IF(Mecze[[#This Row],[Role]]="BR",Mecze[[#This Row],[/OB:90]]+Mecze[[#This Row],[/PC:90]],SUM(Mecze[[#This Row],[/PR:90]:[/BR:90]]))</f>
        <v>0.33333333333333337</v>
      </c>
      <c r="Z3670" s="35">
        <f>IF(Mecze[[#This Row],[KC]]=0,SUM(Mecze[[#This Row],[/BRI]:[/NPI]]),SUM(Mecze[[#This Row],[/BRI]:[/NPI]])*0.6)</f>
        <v>1.9895833333333335</v>
      </c>
      <c r="AA3670" s="10">
        <f>IFERROR(Mecze[[#This Row],[BR]]/Mecze[[#This Row],[ST]],0)</f>
        <v>0.22222222222222221</v>
      </c>
      <c r="AB3670">
        <f>ROUND(Mecze[[#This Row],[PD]]*Mecze[[#This Row],[%PC]],0)</f>
        <v>3</v>
      </c>
      <c r="AC3670">
        <f>ROUND(Mecze[[#This Row],[OD]]*Mecze[[#This Row],[%OU]],0)</f>
        <v>2</v>
      </c>
      <c r="AD3670" s="41" t="s">
        <v>46</v>
      </c>
      <c r="AE3670" s="36">
        <v>208</v>
      </c>
      <c r="AF3670" s="71">
        <v>18.2</v>
      </c>
      <c r="AG3670" s="37">
        <v>0</v>
      </c>
      <c r="AH3670" s="37">
        <v>0</v>
      </c>
      <c r="AI3670" s="37">
        <v>96</v>
      </c>
      <c r="AJ3670" s="37">
        <v>1</v>
      </c>
      <c r="AK3670" s="37" t="str">
        <f>VLOOKUP(Mecze[[#This Row],[Match ID]],Meczusie[Mecz]:Meczusie[RodzajMeczu],2,FALSE)</f>
        <v>Towarzyski</v>
      </c>
    </row>
    <row r="3671" spans="1:37" x14ac:dyDescent="0.25">
      <c r="A3671" s="76">
        <v>48</v>
      </c>
      <c r="B3671" s="3" t="s">
        <v>414</v>
      </c>
      <c r="C3671" s="2" t="s">
        <v>165</v>
      </c>
      <c r="D3671" s="1">
        <v>1</v>
      </c>
      <c r="E3671" s="1">
        <v>5</v>
      </c>
      <c r="F3671" s="1">
        <v>5</v>
      </c>
      <c r="G3671" s="1">
        <v>3</v>
      </c>
      <c r="H3671" s="4">
        <v>0.33</v>
      </c>
      <c r="I3671" s="1">
        <v>1</v>
      </c>
      <c r="J3671" s="4">
        <v>1</v>
      </c>
      <c r="K3671" s="1">
        <v>0</v>
      </c>
      <c r="L3671" s="1">
        <v>0</v>
      </c>
      <c r="M3671" s="32">
        <f>IF(Mecze[[#This Row],[PR]]=0,0,Mecze[[#This Row],[PR]]/Mecze[[#This Row],[CZAS]])</f>
        <v>0</v>
      </c>
      <c r="N3671" s="32">
        <f>IF(Mecze[[#This Row],[OU]]=0,0,Mecze[[#This Row],[OU]]/Mecze[[#This Row],[CZAS]])</f>
        <v>1.0416666666666666E-2</v>
      </c>
      <c r="O3671" s="32">
        <f>IF(Mecze[[#This Row],[PC]]=0,0,Mecze[[#This Row],[PC]]/Mecze[[#This Row],[CZAS]])</f>
        <v>1.0416666666666666E-2</v>
      </c>
      <c r="P3671" s="32">
        <f>IF(Mecze[[#This Row],[SC]]=0,0,Mecze[[#This Row],[SC]]/Mecze[[#This Row],[CZAS]])</f>
        <v>5.2083333333333336E-2</v>
      </c>
      <c r="Q3671" s="32">
        <f>IF(Mecze[[#This Row],[OB]]=0,0,Mecze[[#This Row],[OB]]/Mecze[[#This Row],[CZAS]])</f>
        <v>0</v>
      </c>
      <c r="R3671" s="32">
        <f>IF(Mecze[[#This Row],[BR]]=0,0,Mecze[[#This Row],[BR]]/Mecze[[#This Row],[CZAS]])</f>
        <v>1.0416666666666666E-2</v>
      </c>
      <c r="S3671" s="44">
        <f>IF(Mecze[[#This Row],[Role]]="BR",SUMPRODUCT(Mecze[[#This Row],[/PR:90]:[/BR:90]],Brudnopis!$E$23:$J$23),0)</f>
        <v>0</v>
      </c>
      <c r="T3671" s="44">
        <f>IF(Mecze[[#This Row],[Role]]&lt;&gt;"BR",SUMPRODUCT(Mecze[[#This Row],[/PR:90]:[/BR:90]],Brudnopis!$E$24:$J$24),0)</f>
        <v>9.375E-2</v>
      </c>
      <c r="U3671" s="44">
        <f>IF(Mecze[[#This Row],[Role]]&lt;&gt;"BR",SUMPRODUCT(Mecze[[#This Row],[/PR:90]:[/BR:90]],Brudnopis!$E$25:$J$25),0)</f>
        <v>9.375E-2</v>
      </c>
      <c r="V3671" s="44">
        <f>IF(Mecze[[#This Row],[Role]]&lt;&gt;"BR",SUMPRODUCT(Mecze[[#This Row],[/PR:90]:[/BR:90]],Brudnopis!$E$26:$J$26),0)</f>
        <v>9.375E-2</v>
      </c>
      <c r="W3671" s="44">
        <f>IF(Mecze[[#This Row],[Role]]&lt;&gt;"BR",SUMPRODUCT(Mecze[[#This Row],[/PR:90]:[/BR:90]],Brudnopis!$E$27:$J$27),0)</f>
        <v>9.6354166666666671E-2</v>
      </c>
      <c r="X3671" s="44">
        <f>IF(Mecze[[#This Row],[Role]]&lt;&gt;"BR",SUMPRODUCT(Mecze[[#This Row],[/PR:90]:[/BR:90]],Brudnopis!$E$28:$J$28),0)</f>
        <v>0.14583333333333334</v>
      </c>
      <c r="Y3671" s="35">
        <f>IF(Mecze[[#This Row],[Role]]="BR",Mecze[[#This Row],[/OB:90]]+Mecze[[#This Row],[/PC:90]],SUM(Mecze[[#This Row],[/PR:90]:[/BR:90]]))</f>
        <v>8.3333333333333343E-2</v>
      </c>
      <c r="Z3671" s="35">
        <f>IF(Mecze[[#This Row],[KC]]=0,SUM(Mecze[[#This Row],[/BRI]:[/NPI]]),SUM(Mecze[[#This Row],[/BRI]:[/NPI]])*0.6)</f>
        <v>0.5234375</v>
      </c>
      <c r="AA3671" s="10">
        <f>IFERROR(Mecze[[#This Row],[BR]]/Mecze[[#This Row],[ST]],0)</f>
        <v>0.2</v>
      </c>
      <c r="AB3671">
        <f>ROUND(Mecze[[#This Row],[PD]]*Mecze[[#This Row],[%PC]],0)</f>
        <v>1</v>
      </c>
      <c r="AC3671">
        <f>ROUND(Mecze[[#This Row],[OD]]*Mecze[[#This Row],[%OU]],0)</f>
        <v>1</v>
      </c>
      <c r="AD3671" s="41" t="s">
        <v>46</v>
      </c>
      <c r="AE3671" s="36">
        <v>208</v>
      </c>
      <c r="AF3671" s="71">
        <v>7.33</v>
      </c>
      <c r="AG3671" s="37">
        <v>0</v>
      </c>
      <c r="AH3671" s="37">
        <v>0</v>
      </c>
      <c r="AI3671" s="37">
        <v>96</v>
      </c>
      <c r="AJ3671" s="37">
        <v>1</v>
      </c>
      <c r="AK3671" s="37" t="str">
        <f>VLOOKUP(Mecze[[#This Row],[Match ID]],Meczusie[Mecz]:Meczusie[RodzajMeczu],2,FALSE)</f>
        <v>Towarzyski</v>
      </c>
    </row>
    <row r="3672" spans="1:37" x14ac:dyDescent="0.25">
      <c r="A3672" s="76">
        <v>46</v>
      </c>
      <c r="B3672" s="3" t="s">
        <v>395</v>
      </c>
      <c r="C3672" s="2" t="s">
        <v>165</v>
      </c>
      <c r="D3672" s="1">
        <v>0</v>
      </c>
      <c r="E3672" s="1">
        <v>3</v>
      </c>
      <c r="F3672" s="1">
        <v>3</v>
      </c>
      <c r="G3672" s="1">
        <v>4</v>
      </c>
      <c r="H3672" s="4">
        <v>0.25</v>
      </c>
      <c r="I3672" s="1">
        <v>1</v>
      </c>
      <c r="J3672" s="4">
        <v>1</v>
      </c>
      <c r="K3672" s="1">
        <v>0</v>
      </c>
      <c r="L3672" s="1">
        <v>1</v>
      </c>
      <c r="M3672" s="32">
        <f>IF(Mecze[[#This Row],[PR]]=0,0,Mecze[[#This Row],[PR]]/Mecze[[#This Row],[CZAS]])</f>
        <v>1.0416666666666666E-2</v>
      </c>
      <c r="N3672" s="32">
        <f>IF(Mecze[[#This Row],[OU]]=0,0,Mecze[[#This Row],[OU]]/Mecze[[#This Row],[CZAS]])</f>
        <v>1.0416666666666666E-2</v>
      </c>
      <c r="O3672" s="32">
        <f>IF(Mecze[[#This Row],[PC]]=0,0,Mecze[[#This Row],[PC]]/Mecze[[#This Row],[CZAS]])</f>
        <v>1.0416666666666666E-2</v>
      </c>
      <c r="P3672" s="32">
        <f>IF(Mecze[[#This Row],[SC]]=0,0,Mecze[[#This Row],[SC]]/Mecze[[#This Row],[CZAS]])</f>
        <v>3.125E-2</v>
      </c>
      <c r="Q3672" s="32">
        <f>IF(Mecze[[#This Row],[OB]]=0,0,Mecze[[#This Row],[OB]]/Mecze[[#This Row],[CZAS]])</f>
        <v>0</v>
      </c>
      <c r="R3672" s="32">
        <f>IF(Mecze[[#This Row],[BR]]=0,0,Mecze[[#This Row],[BR]]/Mecze[[#This Row],[CZAS]])</f>
        <v>0</v>
      </c>
      <c r="S3672" s="44">
        <f>IF(Mecze[[#This Row],[Role]]="BR",SUMPRODUCT(Mecze[[#This Row],[/PR:90]:[/BR:90]],Brudnopis!$E$23:$J$23),0)</f>
        <v>0</v>
      </c>
      <c r="T3672" s="44">
        <f>IF(Mecze[[#This Row],[Role]]&lt;&gt;"BR",SUMPRODUCT(Mecze[[#This Row],[/PR:90]:[/BR:90]],Brudnopis!$E$24:$J$24),0)</f>
        <v>6.7708333333333329E-2</v>
      </c>
      <c r="U3672" s="44">
        <f>IF(Mecze[[#This Row],[Role]]&lt;&gt;"BR",SUMPRODUCT(Mecze[[#This Row],[/PR:90]:[/BR:90]],Brudnopis!$E$25:$J$25),0)</f>
        <v>6.7708333333333329E-2</v>
      </c>
      <c r="V3672" s="44">
        <f>IF(Mecze[[#This Row],[Role]]&lt;&gt;"BR",SUMPRODUCT(Mecze[[#This Row],[/PR:90]:[/BR:90]],Brudnopis!$E$26:$J$26),0)</f>
        <v>6.25E-2</v>
      </c>
      <c r="W3672" s="44">
        <f>IF(Mecze[[#This Row],[Role]]&lt;&gt;"BR",SUMPRODUCT(Mecze[[#This Row],[/PR:90]:[/BR:90]],Brudnopis!$E$27:$J$27),0)</f>
        <v>6.25E-2</v>
      </c>
      <c r="X3672" s="44">
        <f>IF(Mecze[[#This Row],[Role]]&lt;&gt;"BR",SUMPRODUCT(Mecze[[#This Row],[/PR:90]:[/BR:90]],Brudnopis!$E$28:$J$28),0)</f>
        <v>7.2916666666666671E-2</v>
      </c>
      <c r="Y3672" s="35">
        <f>IF(Mecze[[#This Row],[Role]]="BR",Mecze[[#This Row],[/OB:90]]+Mecze[[#This Row],[/PC:90]],SUM(Mecze[[#This Row],[/PR:90]:[/BR:90]]))</f>
        <v>6.25E-2</v>
      </c>
      <c r="Z3672" s="35">
        <f>IF(Mecze[[#This Row],[KC]]=0,SUM(Mecze[[#This Row],[/BRI]:[/NPI]]),SUM(Mecze[[#This Row],[/BRI]:[/NPI]])*0.6)</f>
        <v>0.33333333333333331</v>
      </c>
      <c r="AA3672" s="10">
        <f>IFERROR(Mecze[[#This Row],[BR]]/Mecze[[#This Row],[ST]],0)</f>
        <v>0</v>
      </c>
      <c r="AB3672">
        <f>ROUND(Mecze[[#This Row],[PD]]*Mecze[[#This Row],[%PC]],0)</f>
        <v>1</v>
      </c>
      <c r="AC3672">
        <f>ROUND(Mecze[[#This Row],[OD]]*Mecze[[#This Row],[%OU]],0)</f>
        <v>1</v>
      </c>
      <c r="AD3672" s="42" t="s">
        <v>46</v>
      </c>
      <c r="AE3672" s="36">
        <v>208</v>
      </c>
      <c r="AF3672" s="71">
        <v>4.59</v>
      </c>
      <c r="AG3672" s="37">
        <v>0</v>
      </c>
      <c r="AH3672" s="37">
        <v>0</v>
      </c>
      <c r="AI3672" s="37">
        <v>96</v>
      </c>
      <c r="AJ3672" s="37">
        <v>1</v>
      </c>
      <c r="AK3672" s="37" t="str">
        <f>VLOOKUP(Mecze[[#This Row],[Match ID]],Meczusie[Mecz]:Meczusie[RodzajMeczu],2,FALSE)</f>
        <v>Towarzyski</v>
      </c>
    </row>
    <row r="3673" spans="1:37" x14ac:dyDescent="0.25">
      <c r="A3673" s="76">
        <v>1</v>
      </c>
      <c r="B3673" s="3" t="s">
        <v>169</v>
      </c>
      <c r="C3673" s="2" t="s">
        <v>155</v>
      </c>
      <c r="D3673" s="1">
        <v>0</v>
      </c>
      <c r="E3673" s="1">
        <v>0</v>
      </c>
      <c r="F3673" s="1">
        <v>0</v>
      </c>
      <c r="G3673" s="1">
        <v>6</v>
      </c>
      <c r="H3673" s="4">
        <v>0.67</v>
      </c>
      <c r="I3673" s="1">
        <v>0</v>
      </c>
      <c r="J3673" s="4"/>
      <c r="K3673" s="1">
        <v>3</v>
      </c>
      <c r="L3673" s="1">
        <v>0</v>
      </c>
      <c r="M3673" s="32">
        <f>IF(Mecze[[#This Row],[PR]]=0,0,Mecze[[#This Row],[PR]]/Mecze[[#This Row],[CZAS]])</f>
        <v>0</v>
      </c>
      <c r="N3673" s="32">
        <f>IF(Mecze[[#This Row],[OU]]=0,0,Mecze[[#This Row],[OU]]/Mecze[[#This Row],[CZAS]])</f>
        <v>0</v>
      </c>
      <c r="O3673" s="32">
        <f>IF(Mecze[[#This Row],[PC]]=0,0,Mecze[[#This Row],[PC]]/Mecze[[#This Row],[CZAS]])</f>
        <v>4.1666666666666664E-2</v>
      </c>
      <c r="P3673" s="32">
        <f>IF(Mecze[[#This Row],[SC]]=0,0,Mecze[[#This Row],[SC]]/Mecze[[#This Row],[CZAS]])</f>
        <v>0</v>
      </c>
      <c r="Q3673" s="32">
        <f>IF(Mecze[[#This Row],[OB]]=0,0,Mecze[[#This Row],[OB]]/Mecze[[#This Row],[CZAS]])</f>
        <v>3.125E-2</v>
      </c>
      <c r="R3673" s="32">
        <f>IF(Mecze[[#This Row],[BR]]=0,0,Mecze[[#This Row],[BR]]/Mecze[[#This Row],[CZAS]])</f>
        <v>0</v>
      </c>
      <c r="S3673" s="44">
        <f>IF(Mecze[[#This Row],[Role]]="BR",SUMPRODUCT(Mecze[[#This Row],[/PR:90]:[/BR:90]],Brudnopis!$E$23:$J$23),0)</f>
        <v>0.21875</v>
      </c>
      <c r="T3673" s="44">
        <f>IF(Mecze[[#This Row],[Role]]&lt;&gt;"BR",SUMPRODUCT(Mecze[[#This Row],[/PR:90]:[/BR:90]],Brudnopis!$E$24:$J$24),0)</f>
        <v>0</v>
      </c>
      <c r="U3673" s="44">
        <f>IF(Mecze[[#This Row],[Role]]&lt;&gt;"BR",SUMPRODUCT(Mecze[[#This Row],[/PR:90]:[/BR:90]],Brudnopis!$E$25:$J$25),0)</f>
        <v>0</v>
      </c>
      <c r="V3673" s="44">
        <f>IF(Mecze[[#This Row],[Role]]&lt;&gt;"BR",SUMPRODUCT(Mecze[[#This Row],[/PR:90]:[/BR:90]],Brudnopis!$E$26:$J$26),0)</f>
        <v>0</v>
      </c>
      <c r="W3673" s="44">
        <f>IF(Mecze[[#This Row],[Role]]&lt;&gt;"BR",SUMPRODUCT(Mecze[[#This Row],[/PR:90]:[/BR:90]],Brudnopis!$E$27:$J$27),0)</f>
        <v>0</v>
      </c>
      <c r="X3673" s="44">
        <f>IF(Mecze[[#This Row],[Role]]&lt;&gt;"BR",SUMPRODUCT(Mecze[[#This Row],[/PR:90]:[/BR:90]],Brudnopis!$E$28:$J$28),0)</f>
        <v>0</v>
      </c>
      <c r="Y3673" s="35">
        <f>IF(Mecze[[#This Row],[Role]]="BR",Mecze[[#This Row],[/OB:90]]+Mecze[[#This Row],[/PC:90]],SUM(Mecze[[#This Row],[/PR:90]:[/BR:90]]))</f>
        <v>7.2916666666666657E-2</v>
      </c>
      <c r="Z3673" s="35">
        <f>IF(Mecze[[#This Row],[KC]]=0,SUM(Mecze[[#This Row],[/BRI]:[/NPI]]),SUM(Mecze[[#This Row],[/BRI]:[/NPI]])*0.6)</f>
        <v>0.21875</v>
      </c>
      <c r="AA3673" s="10">
        <f>IFERROR(Mecze[[#This Row],[BR]]/Mecze[[#This Row],[ST]],0)</f>
        <v>0</v>
      </c>
      <c r="AB3673">
        <f>ROUND(Mecze[[#This Row],[PD]]*Mecze[[#This Row],[%PC]],0)</f>
        <v>4</v>
      </c>
      <c r="AC3673">
        <f>ROUND(Mecze[[#This Row],[OD]]*Mecze[[#This Row],[%OU]],0)</f>
        <v>0</v>
      </c>
      <c r="AD3673" s="36" t="s">
        <v>40</v>
      </c>
      <c r="AE3673" s="36">
        <v>209</v>
      </c>
      <c r="AF3673" s="71">
        <v>3.86</v>
      </c>
      <c r="AG3673" s="37">
        <v>0</v>
      </c>
      <c r="AH3673" s="37">
        <v>0</v>
      </c>
      <c r="AI3673" s="37">
        <v>96</v>
      </c>
      <c r="AJ3673" s="37">
        <v>1</v>
      </c>
      <c r="AK3673" s="37" t="str">
        <f>VLOOKUP(Mecze[[#This Row],[Match ID]],Meczusie[Mecz]:Meczusie[RodzajMeczu],2,FALSE)</f>
        <v>Baraże</v>
      </c>
    </row>
    <row r="3674" spans="1:37" x14ac:dyDescent="0.25">
      <c r="A3674" s="76">
        <v>5</v>
      </c>
      <c r="B3674" s="3" t="s">
        <v>161</v>
      </c>
      <c r="C3674" s="2" t="s">
        <v>157</v>
      </c>
      <c r="D3674" s="1">
        <v>0</v>
      </c>
      <c r="E3674" s="1">
        <v>0</v>
      </c>
      <c r="F3674" s="1">
        <v>0</v>
      </c>
      <c r="G3674" s="1">
        <v>6</v>
      </c>
      <c r="H3674" s="4">
        <v>0.83</v>
      </c>
      <c r="I3674" s="1">
        <v>3</v>
      </c>
      <c r="J3674" s="4">
        <v>0.33</v>
      </c>
      <c r="K3674" s="1">
        <v>0</v>
      </c>
      <c r="L3674" s="1">
        <v>6</v>
      </c>
      <c r="M3674" s="32">
        <f>IF(Mecze[[#This Row],[PR]]=0,0,Mecze[[#This Row],[PR]]/Mecze[[#This Row],[CZAS]])</f>
        <v>6.25E-2</v>
      </c>
      <c r="N3674" s="32">
        <f>IF(Mecze[[#This Row],[OU]]=0,0,Mecze[[#This Row],[OU]]/Mecze[[#This Row],[CZAS]])</f>
        <v>1.0416666666666666E-2</v>
      </c>
      <c r="O3674" s="32">
        <f>IF(Mecze[[#This Row],[PC]]=0,0,Mecze[[#This Row],[PC]]/Mecze[[#This Row],[CZAS]])</f>
        <v>5.2083333333333336E-2</v>
      </c>
      <c r="P3674" s="32">
        <f>IF(Mecze[[#This Row],[SC]]=0,0,Mecze[[#This Row],[SC]]/Mecze[[#This Row],[CZAS]])</f>
        <v>0</v>
      </c>
      <c r="Q3674" s="32">
        <f>IF(Mecze[[#This Row],[OB]]=0,0,Mecze[[#This Row],[OB]]/Mecze[[#This Row],[CZAS]])</f>
        <v>0</v>
      </c>
      <c r="R3674" s="32">
        <f>IF(Mecze[[#This Row],[BR]]=0,0,Mecze[[#This Row],[BR]]/Mecze[[#This Row],[CZAS]])</f>
        <v>0</v>
      </c>
      <c r="S3674" s="44">
        <f>IF(Mecze[[#This Row],[Role]]="BR",SUMPRODUCT(Mecze[[#This Row],[/PR:90]:[/BR:90]],Brudnopis!$E$23:$J$23),0)</f>
        <v>0</v>
      </c>
      <c r="T3674" s="44">
        <f>IF(Mecze[[#This Row],[Role]]&lt;&gt;"BR",SUMPRODUCT(Mecze[[#This Row],[/PR:90]:[/BR:90]],Brudnopis!$E$24:$J$24),0)</f>
        <v>0.13020833333333334</v>
      </c>
      <c r="U3674" s="44">
        <f>IF(Mecze[[#This Row],[Role]]&lt;&gt;"BR",SUMPRODUCT(Mecze[[#This Row],[/PR:90]:[/BR:90]],Brudnopis!$E$25:$J$25),0)</f>
        <v>0.15104166666666669</v>
      </c>
      <c r="V3674" s="44">
        <f>IF(Mecze[[#This Row],[Role]]&lt;&gt;"BR",SUMPRODUCT(Mecze[[#This Row],[/PR:90]:[/BR:90]],Brudnopis!$E$26:$J$26),0)</f>
        <v>0.125</v>
      </c>
      <c r="W3674" s="44">
        <f>IF(Mecze[[#This Row],[Role]]&lt;&gt;"BR",SUMPRODUCT(Mecze[[#This Row],[/PR:90]:[/BR:90]],Brudnopis!$E$27:$J$27),0)</f>
        <v>0.1328125</v>
      </c>
      <c r="X3674" s="44">
        <f>IF(Mecze[[#This Row],[Role]]&lt;&gt;"BR",SUMPRODUCT(Mecze[[#This Row],[/PR:90]:[/BR:90]],Brudnopis!$E$28:$J$28),0)</f>
        <v>5.2083333333333336E-2</v>
      </c>
      <c r="Y3674" s="35">
        <f>IF(Mecze[[#This Row],[Role]]="BR",Mecze[[#This Row],[/OB:90]]+Mecze[[#This Row],[/PC:90]],SUM(Mecze[[#This Row],[/PR:90]:[/BR:90]]))</f>
        <v>0.125</v>
      </c>
      <c r="Z3674" s="35">
        <f>IF(Mecze[[#This Row],[KC]]=0,SUM(Mecze[[#This Row],[/BRI]:[/NPI]]),SUM(Mecze[[#This Row],[/BRI]:[/NPI]])*0.6)</f>
        <v>0.59114583333333337</v>
      </c>
      <c r="AA3674" s="10">
        <f>IFERROR(Mecze[[#This Row],[BR]]/Mecze[[#This Row],[ST]],0)</f>
        <v>0</v>
      </c>
      <c r="AB3674">
        <f>ROUND(Mecze[[#This Row],[PD]]*Mecze[[#This Row],[%PC]],0)</f>
        <v>5</v>
      </c>
      <c r="AC3674">
        <f>ROUND(Mecze[[#This Row],[OD]]*Mecze[[#This Row],[%OU]],0)</f>
        <v>1</v>
      </c>
      <c r="AD3674" s="36" t="s">
        <v>47</v>
      </c>
      <c r="AE3674" s="36">
        <v>209</v>
      </c>
      <c r="AF3674" s="71">
        <v>2.85</v>
      </c>
      <c r="AG3674" s="37">
        <v>0</v>
      </c>
      <c r="AH3674" s="37">
        <v>0</v>
      </c>
      <c r="AI3674" s="37">
        <v>96</v>
      </c>
      <c r="AJ3674" s="37">
        <v>1</v>
      </c>
      <c r="AK3674" s="37" t="str">
        <f>VLOOKUP(Mecze[[#This Row],[Match ID]],Meczusie[Mecz]:Meczusie[RodzajMeczu],2,FALSE)</f>
        <v>Baraże</v>
      </c>
    </row>
    <row r="3675" spans="1:37" x14ac:dyDescent="0.25">
      <c r="A3675" s="76">
        <v>3</v>
      </c>
      <c r="B3675" s="3" t="s">
        <v>158</v>
      </c>
      <c r="C3675" s="2" t="s">
        <v>157</v>
      </c>
      <c r="D3675" s="1">
        <v>0</v>
      </c>
      <c r="E3675" s="1">
        <v>0</v>
      </c>
      <c r="F3675" s="1">
        <v>0</v>
      </c>
      <c r="G3675" s="1">
        <v>2</v>
      </c>
      <c r="H3675" s="4">
        <v>0</v>
      </c>
      <c r="I3675" s="1">
        <v>2</v>
      </c>
      <c r="J3675" s="4">
        <v>0</v>
      </c>
      <c r="K3675" s="1">
        <v>0</v>
      </c>
      <c r="L3675" s="1">
        <v>2</v>
      </c>
      <c r="M3675" s="32">
        <f>IF(Mecze[[#This Row],[PR]]=0,0,Mecze[[#This Row],[PR]]/Mecze[[#This Row],[CZAS]])</f>
        <v>2.0833333333333332E-2</v>
      </c>
      <c r="N3675" s="32">
        <f>IF(Mecze[[#This Row],[OU]]=0,0,Mecze[[#This Row],[OU]]/Mecze[[#This Row],[CZAS]])</f>
        <v>0</v>
      </c>
      <c r="O3675" s="32">
        <f>IF(Mecze[[#This Row],[PC]]=0,0,Mecze[[#This Row],[PC]]/Mecze[[#This Row],[CZAS]])</f>
        <v>0</v>
      </c>
      <c r="P3675" s="32">
        <f>IF(Mecze[[#This Row],[SC]]=0,0,Mecze[[#This Row],[SC]]/Mecze[[#This Row],[CZAS]])</f>
        <v>0</v>
      </c>
      <c r="Q3675" s="32">
        <f>IF(Mecze[[#This Row],[OB]]=0,0,Mecze[[#This Row],[OB]]/Mecze[[#This Row],[CZAS]])</f>
        <v>0</v>
      </c>
      <c r="R3675" s="32">
        <f>IF(Mecze[[#This Row],[BR]]=0,0,Mecze[[#This Row],[BR]]/Mecze[[#This Row],[CZAS]])</f>
        <v>0</v>
      </c>
      <c r="S3675" s="44">
        <f>IF(Mecze[[#This Row],[Role]]="BR",SUMPRODUCT(Mecze[[#This Row],[/PR:90]:[/BR:90]],Brudnopis!$E$23:$J$23),0)</f>
        <v>0</v>
      </c>
      <c r="T3675" s="44">
        <f>IF(Mecze[[#This Row],[Role]]&lt;&gt;"BR",SUMPRODUCT(Mecze[[#This Row],[/PR:90]:[/BR:90]],Brudnopis!$E$24:$J$24),0)</f>
        <v>2.0833333333333332E-2</v>
      </c>
      <c r="U3675" s="44">
        <f>IF(Mecze[[#This Row],[Role]]&lt;&gt;"BR",SUMPRODUCT(Mecze[[#This Row],[/PR:90]:[/BR:90]],Brudnopis!$E$25:$J$25),0)</f>
        <v>2.0833333333333332E-2</v>
      </c>
      <c r="V3675" s="44">
        <f>IF(Mecze[[#This Row],[Role]]&lt;&gt;"BR",SUMPRODUCT(Mecze[[#This Row],[/PR:90]:[/BR:90]],Brudnopis!$E$26:$J$26),0)</f>
        <v>2.0833333333333332E-2</v>
      </c>
      <c r="W3675" s="44">
        <f>IF(Mecze[[#This Row],[Role]]&lt;&gt;"BR",SUMPRODUCT(Mecze[[#This Row],[/PR:90]:[/BR:90]],Brudnopis!$E$27:$J$27),0)</f>
        <v>1.5625E-2</v>
      </c>
      <c r="X3675" s="44">
        <f>IF(Mecze[[#This Row],[Role]]&lt;&gt;"BR",SUMPRODUCT(Mecze[[#This Row],[/PR:90]:[/BR:90]],Brudnopis!$E$28:$J$28),0)</f>
        <v>0</v>
      </c>
      <c r="Y3675" s="35">
        <f>IF(Mecze[[#This Row],[Role]]="BR",Mecze[[#This Row],[/OB:90]]+Mecze[[#This Row],[/PC:90]],SUM(Mecze[[#This Row],[/PR:90]:[/BR:90]]))</f>
        <v>2.0833333333333332E-2</v>
      </c>
      <c r="Z3675" s="35">
        <f>IF(Mecze[[#This Row],[KC]]=0,SUM(Mecze[[#This Row],[/BRI]:[/NPI]]),SUM(Mecze[[#This Row],[/BRI]:[/NPI]])*0.6)</f>
        <v>7.8125E-2</v>
      </c>
      <c r="AA3675" s="10">
        <f>IFERROR(Mecze[[#This Row],[BR]]/Mecze[[#This Row],[ST]],0)</f>
        <v>0</v>
      </c>
      <c r="AB3675">
        <f>ROUND(Mecze[[#This Row],[PD]]*Mecze[[#This Row],[%PC]],0)</f>
        <v>0</v>
      </c>
      <c r="AC3675">
        <f>ROUND(Mecze[[#This Row],[OD]]*Mecze[[#This Row],[%OU]],0)</f>
        <v>0</v>
      </c>
      <c r="AD3675" s="36" t="s">
        <v>168</v>
      </c>
      <c r="AE3675" s="36">
        <v>209</v>
      </c>
      <c r="AF3675" s="71">
        <v>2.0099999999999998</v>
      </c>
      <c r="AG3675" s="37">
        <v>0</v>
      </c>
      <c r="AH3675" s="37">
        <v>0</v>
      </c>
      <c r="AI3675" s="37">
        <v>96</v>
      </c>
      <c r="AJ3675" s="37">
        <v>1</v>
      </c>
      <c r="AK3675" s="37" t="str">
        <f>VLOOKUP(Mecze[[#This Row],[Match ID]],Meczusie[Mecz]:Meczusie[RodzajMeczu],2,FALSE)</f>
        <v>Baraże</v>
      </c>
    </row>
    <row r="3676" spans="1:37" x14ac:dyDescent="0.25">
      <c r="A3676" s="76">
        <v>18</v>
      </c>
      <c r="B3676" s="3" t="s">
        <v>211</v>
      </c>
      <c r="C3676" s="2" t="s">
        <v>157</v>
      </c>
      <c r="D3676" s="1">
        <v>0</v>
      </c>
      <c r="E3676" s="1">
        <v>0</v>
      </c>
      <c r="F3676" s="1">
        <v>0</v>
      </c>
      <c r="G3676" s="1">
        <v>9</v>
      </c>
      <c r="H3676" s="4">
        <v>0.33</v>
      </c>
      <c r="I3676" s="1">
        <v>7</v>
      </c>
      <c r="J3676" s="4">
        <v>0.56999999999999995</v>
      </c>
      <c r="K3676" s="1">
        <v>0</v>
      </c>
      <c r="L3676" s="1">
        <v>4</v>
      </c>
      <c r="M3676" s="32">
        <f>IF(Mecze[[#This Row],[PR]]=0,0,Mecze[[#This Row],[PR]]/Mecze[[#This Row],[CZAS]])</f>
        <v>4.1666666666666664E-2</v>
      </c>
      <c r="N3676" s="32">
        <f>IF(Mecze[[#This Row],[OU]]=0,0,Mecze[[#This Row],[OU]]/Mecze[[#This Row],[CZAS]])</f>
        <v>4.1666666666666664E-2</v>
      </c>
      <c r="O3676" s="32">
        <f>IF(Mecze[[#This Row],[PC]]=0,0,Mecze[[#This Row],[PC]]/Mecze[[#This Row],[CZAS]])</f>
        <v>3.125E-2</v>
      </c>
      <c r="P3676" s="32">
        <f>IF(Mecze[[#This Row],[SC]]=0,0,Mecze[[#This Row],[SC]]/Mecze[[#This Row],[CZAS]])</f>
        <v>0</v>
      </c>
      <c r="Q3676" s="32">
        <f>IF(Mecze[[#This Row],[OB]]=0,0,Mecze[[#This Row],[OB]]/Mecze[[#This Row],[CZAS]])</f>
        <v>0</v>
      </c>
      <c r="R3676" s="32">
        <f>IF(Mecze[[#This Row],[BR]]=0,0,Mecze[[#This Row],[BR]]/Mecze[[#This Row],[CZAS]])</f>
        <v>0</v>
      </c>
      <c r="S3676" s="44">
        <f>IF(Mecze[[#This Row],[Role]]="BR",SUMPRODUCT(Mecze[[#This Row],[/PR:90]:[/BR:90]],Brudnopis!$E$23:$J$23),0)</f>
        <v>0</v>
      </c>
      <c r="T3676" s="44">
        <f>IF(Mecze[[#This Row],[Role]]&lt;&gt;"BR",SUMPRODUCT(Mecze[[#This Row],[/PR:90]:[/BR:90]],Brudnopis!$E$24:$J$24),0)</f>
        <v>0.13541666666666666</v>
      </c>
      <c r="U3676" s="44">
        <f>IF(Mecze[[#This Row],[Role]]&lt;&gt;"BR",SUMPRODUCT(Mecze[[#This Row],[/PR:90]:[/BR:90]],Brudnopis!$E$25:$J$25),0)</f>
        <v>0.13020833333333331</v>
      </c>
      <c r="V3676" s="44">
        <f>IF(Mecze[[#This Row],[Role]]&lt;&gt;"BR",SUMPRODUCT(Mecze[[#This Row],[/PR:90]:[/BR:90]],Brudnopis!$E$26:$J$26),0)</f>
        <v>0.11458333333333333</v>
      </c>
      <c r="W3676" s="44">
        <f>IF(Mecze[[#This Row],[Role]]&lt;&gt;"BR",SUMPRODUCT(Mecze[[#This Row],[/PR:90]:[/BR:90]],Brudnopis!$E$27:$J$27),0)</f>
        <v>0.109375</v>
      </c>
      <c r="X3676" s="44">
        <f>IF(Mecze[[#This Row],[Role]]&lt;&gt;"BR",SUMPRODUCT(Mecze[[#This Row],[/PR:90]:[/BR:90]],Brudnopis!$E$28:$J$28),0)</f>
        <v>3.125E-2</v>
      </c>
      <c r="Y3676" s="35">
        <f>IF(Mecze[[#This Row],[Role]]="BR",Mecze[[#This Row],[/OB:90]]+Mecze[[#This Row],[/PC:90]],SUM(Mecze[[#This Row],[/PR:90]:[/BR:90]]))</f>
        <v>0.11458333333333333</v>
      </c>
      <c r="Z3676" s="35">
        <f>IF(Mecze[[#This Row],[KC]]=0,SUM(Mecze[[#This Row],[/BRI]:[/NPI]]),SUM(Mecze[[#This Row],[/BRI]:[/NPI]])*0.6)</f>
        <v>0.52083333333333326</v>
      </c>
      <c r="AA3676" s="10">
        <f>IFERROR(Mecze[[#This Row],[BR]]/Mecze[[#This Row],[ST]],0)</f>
        <v>0</v>
      </c>
      <c r="AB3676">
        <f>ROUND(Mecze[[#This Row],[PD]]*Mecze[[#This Row],[%PC]],0)</f>
        <v>3</v>
      </c>
      <c r="AC3676">
        <f>ROUND(Mecze[[#This Row],[OD]]*Mecze[[#This Row],[%OU]],0)</f>
        <v>4</v>
      </c>
      <c r="AD3676" s="36" t="s">
        <v>167</v>
      </c>
      <c r="AE3676" s="36">
        <v>209</v>
      </c>
      <c r="AF3676" s="71">
        <v>3.55</v>
      </c>
      <c r="AG3676" s="37">
        <v>0</v>
      </c>
      <c r="AH3676" s="37">
        <v>0</v>
      </c>
      <c r="AI3676" s="37">
        <v>96</v>
      </c>
      <c r="AJ3676" s="37">
        <v>1</v>
      </c>
      <c r="AK3676" s="37" t="str">
        <f>VLOOKUP(Mecze[[#This Row],[Match ID]],Meczusie[Mecz]:Meczusie[RodzajMeczu],2,FALSE)</f>
        <v>Baraże</v>
      </c>
    </row>
    <row r="3677" spans="1:37" x14ac:dyDescent="0.25">
      <c r="A3677" s="76">
        <v>6</v>
      </c>
      <c r="B3677" s="3" t="s">
        <v>159</v>
      </c>
      <c r="C3677" s="2" t="s">
        <v>160</v>
      </c>
      <c r="D3677" s="1">
        <v>0</v>
      </c>
      <c r="E3677" s="1">
        <v>0</v>
      </c>
      <c r="F3677" s="1">
        <v>0</v>
      </c>
      <c r="G3677" s="1">
        <v>11</v>
      </c>
      <c r="H3677" s="4">
        <v>0.55000000000000004</v>
      </c>
      <c r="I3677" s="1">
        <v>9</v>
      </c>
      <c r="J3677" s="4">
        <v>0.44</v>
      </c>
      <c r="K3677" s="1">
        <v>0</v>
      </c>
      <c r="L3677" s="1">
        <v>8</v>
      </c>
      <c r="M3677" s="32">
        <f>IF(Mecze[[#This Row],[PR]]=0,0,Mecze[[#This Row],[PR]]/Mecze[[#This Row],[CZAS]])</f>
        <v>8.3333333333333329E-2</v>
      </c>
      <c r="N3677" s="32">
        <f>IF(Mecze[[#This Row],[OU]]=0,0,Mecze[[#This Row],[OU]]/Mecze[[#This Row],[CZAS]])</f>
        <v>4.1666666666666664E-2</v>
      </c>
      <c r="O3677" s="32">
        <f>IF(Mecze[[#This Row],[PC]]=0,0,Mecze[[#This Row],[PC]]/Mecze[[#This Row],[CZAS]])</f>
        <v>6.25E-2</v>
      </c>
      <c r="P3677" s="32">
        <f>IF(Mecze[[#This Row],[SC]]=0,0,Mecze[[#This Row],[SC]]/Mecze[[#This Row],[CZAS]])</f>
        <v>0</v>
      </c>
      <c r="Q3677" s="32">
        <f>IF(Mecze[[#This Row],[OB]]=0,0,Mecze[[#This Row],[OB]]/Mecze[[#This Row],[CZAS]])</f>
        <v>0</v>
      </c>
      <c r="R3677" s="32">
        <f>IF(Mecze[[#This Row],[BR]]=0,0,Mecze[[#This Row],[BR]]/Mecze[[#This Row],[CZAS]])</f>
        <v>0</v>
      </c>
      <c r="S3677" s="44">
        <f>IF(Mecze[[#This Row],[Role]]="BR",SUMPRODUCT(Mecze[[#This Row],[/PR:90]:[/BR:90]],Brudnopis!$E$23:$J$23),0)</f>
        <v>0</v>
      </c>
      <c r="T3677" s="44">
        <f>IF(Mecze[[#This Row],[Role]]&lt;&gt;"BR",SUMPRODUCT(Mecze[[#This Row],[/PR:90]:[/BR:90]],Brudnopis!$E$24:$J$24),0)</f>
        <v>0.20833333333333331</v>
      </c>
      <c r="U3677" s="44">
        <f>IF(Mecze[[#This Row],[Role]]&lt;&gt;"BR",SUMPRODUCT(Mecze[[#This Row],[/PR:90]:[/BR:90]],Brudnopis!$E$25:$J$25),0)</f>
        <v>0.21875</v>
      </c>
      <c r="V3677" s="44">
        <f>IF(Mecze[[#This Row],[Role]]&lt;&gt;"BR",SUMPRODUCT(Mecze[[#This Row],[/PR:90]:[/BR:90]],Brudnopis!$E$26:$J$26),0)</f>
        <v>0.1875</v>
      </c>
      <c r="W3677" s="44">
        <f>IF(Mecze[[#This Row],[Role]]&lt;&gt;"BR",SUMPRODUCT(Mecze[[#This Row],[/PR:90]:[/BR:90]],Brudnopis!$E$27:$J$27),0)</f>
        <v>0.1875</v>
      </c>
      <c r="X3677" s="44">
        <f>IF(Mecze[[#This Row],[Role]]&lt;&gt;"BR",SUMPRODUCT(Mecze[[#This Row],[/PR:90]:[/BR:90]],Brudnopis!$E$28:$J$28),0)</f>
        <v>6.25E-2</v>
      </c>
      <c r="Y3677" s="35">
        <f>IF(Mecze[[#This Row],[Role]]="BR",Mecze[[#This Row],[/OB:90]]+Mecze[[#This Row],[/PC:90]],SUM(Mecze[[#This Row],[/PR:90]:[/BR:90]]))</f>
        <v>0.1875</v>
      </c>
      <c r="Z3677" s="35">
        <f>IF(Mecze[[#This Row],[KC]]=0,SUM(Mecze[[#This Row],[/BRI]:[/NPI]]),SUM(Mecze[[#This Row],[/BRI]:[/NPI]])*0.6)</f>
        <v>0.86458333333333326</v>
      </c>
      <c r="AA3677" s="10">
        <f>IFERROR(Mecze[[#This Row],[BR]]/Mecze[[#This Row],[ST]],0)</f>
        <v>0</v>
      </c>
      <c r="AB3677">
        <f>ROUND(Mecze[[#This Row],[PD]]*Mecze[[#This Row],[%PC]],0)</f>
        <v>6</v>
      </c>
      <c r="AC3677">
        <f>ROUND(Mecze[[#This Row],[OD]]*Mecze[[#This Row],[%OU]],0)</f>
        <v>4</v>
      </c>
      <c r="AD3677" s="36" t="s">
        <v>41</v>
      </c>
      <c r="AE3677" s="36">
        <v>209</v>
      </c>
      <c r="AF3677" s="71">
        <v>4.4800000000000004</v>
      </c>
      <c r="AG3677" s="37">
        <v>1</v>
      </c>
      <c r="AH3677" s="37">
        <v>0</v>
      </c>
      <c r="AI3677" s="37">
        <v>96</v>
      </c>
      <c r="AJ3677" s="37">
        <v>1</v>
      </c>
      <c r="AK3677" s="37" t="str">
        <f>VLOOKUP(Mecze[[#This Row],[Match ID]],Meczusie[Mecz]:Meczusie[RodzajMeczu],2,FALSE)</f>
        <v>Baraże</v>
      </c>
    </row>
    <row r="3678" spans="1:37" x14ac:dyDescent="0.25">
      <c r="A3678" s="76">
        <v>60</v>
      </c>
      <c r="B3678" s="3" t="s">
        <v>515</v>
      </c>
      <c r="C3678" s="2" t="s">
        <v>160</v>
      </c>
      <c r="D3678" s="1">
        <v>0</v>
      </c>
      <c r="E3678" s="1">
        <v>1</v>
      </c>
      <c r="F3678" s="1">
        <v>1</v>
      </c>
      <c r="G3678" s="1">
        <v>13</v>
      </c>
      <c r="H3678" s="4">
        <v>0.69</v>
      </c>
      <c r="I3678" s="1">
        <v>9</v>
      </c>
      <c r="J3678" s="4">
        <v>0.33</v>
      </c>
      <c r="K3678" s="1">
        <v>0</v>
      </c>
      <c r="L3678" s="1">
        <v>10</v>
      </c>
      <c r="M3678" s="32">
        <f>IF(Mecze[[#This Row],[PR]]=0,0,Mecze[[#This Row],[PR]]/Mecze[[#This Row],[CZAS]])</f>
        <v>0.10416666666666667</v>
      </c>
      <c r="N3678" s="32">
        <f>IF(Mecze[[#This Row],[OU]]=0,0,Mecze[[#This Row],[OU]]/Mecze[[#This Row],[CZAS]])</f>
        <v>3.125E-2</v>
      </c>
      <c r="O3678" s="32">
        <f>IF(Mecze[[#This Row],[PC]]=0,0,Mecze[[#This Row],[PC]]/Mecze[[#This Row],[CZAS]])</f>
        <v>9.375E-2</v>
      </c>
      <c r="P3678" s="32">
        <f>IF(Mecze[[#This Row],[SC]]=0,0,Mecze[[#This Row],[SC]]/Mecze[[#This Row],[CZAS]])</f>
        <v>1.0416666666666666E-2</v>
      </c>
      <c r="Q3678" s="32">
        <f>IF(Mecze[[#This Row],[OB]]=0,0,Mecze[[#This Row],[OB]]/Mecze[[#This Row],[CZAS]])</f>
        <v>0</v>
      </c>
      <c r="R3678" s="32">
        <f>IF(Mecze[[#This Row],[BR]]=0,0,Mecze[[#This Row],[BR]]/Mecze[[#This Row],[CZAS]])</f>
        <v>0</v>
      </c>
      <c r="S3678" s="44">
        <f>IF(Mecze[[#This Row],[Role]]="BR",SUMPRODUCT(Mecze[[#This Row],[/PR:90]:[/BR:90]],Brudnopis!$E$23:$J$23),0)</f>
        <v>0</v>
      </c>
      <c r="T3678" s="44">
        <f>IF(Mecze[[#This Row],[Role]]&lt;&gt;"BR",SUMPRODUCT(Mecze[[#This Row],[/PR:90]:[/BR:90]],Brudnopis!$E$24:$J$24),0)</f>
        <v>0.25520833333333337</v>
      </c>
      <c r="U3678" s="44">
        <f>IF(Mecze[[#This Row],[Role]]&lt;&gt;"BR",SUMPRODUCT(Mecze[[#This Row],[/PR:90]:[/BR:90]],Brudnopis!$E$25:$J$25),0)</f>
        <v>0.28645833333333337</v>
      </c>
      <c r="V3678" s="44">
        <f>IF(Mecze[[#This Row],[Role]]&lt;&gt;"BR",SUMPRODUCT(Mecze[[#This Row],[/PR:90]:[/BR:90]],Brudnopis!$E$26:$J$26),0)</f>
        <v>0.23958333333333334</v>
      </c>
      <c r="W3678" s="44">
        <f>IF(Mecze[[#This Row],[Role]]&lt;&gt;"BR",SUMPRODUCT(Mecze[[#This Row],[/PR:90]:[/BR:90]],Brudnopis!$E$27:$J$27),0)</f>
        <v>0.25260416666666669</v>
      </c>
      <c r="X3678" s="44">
        <f>IF(Mecze[[#This Row],[Role]]&lt;&gt;"BR",SUMPRODUCT(Mecze[[#This Row],[/PR:90]:[/BR:90]],Brudnopis!$E$28:$J$28),0)</f>
        <v>0.11458333333333333</v>
      </c>
      <c r="Y3678" s="35">
        <f>IF(Mecze[[#This Row],[Role]]="BR",Mecze[[#This Row],[/OB:90]]+Mecze[[#This Row],[/PC:90]],SUM(Mecze[[#This Row],[/PR:90]:[/BR:90]]))</f>
        <v>0.23958333333333334</v>
      </c>
      <c r="Z3678" s="35">
        <f>IF(Mecze[[#This Row],[KC]]=0,SUM(Mecze[[#This Row],[/BRI]:[/NPI]]),SUM(Mecze[[#This Row],[/BRI]:[/NPI]])*0.6)</f>
        <v>1.1484375</v>
      </c>
      <c r="AA3678" s="10">
        <f>IFERROR(Mecze[[#This Row],[BR]]/Mecze[[#This Row],[ST]],0)</f>
        <v>0</v>
      </c>
      <c r="AB3678">
        <f>ROUND(Mecze[[#This Row],[PD]]*Mecze[[#This Row],[%PC]],0)</f>
        <v>9</v>
      </c>
      <c r="AC3678">
        <f>ROUND(Mecze[[#This Row],[OD]]*Mecze[[#This Row],[%OU]],0)</f>
        <v>3</v>
      </c>
      <c r="AD3678" s="36" t="s">
        <v>41</v>
      </c>
      <c r="AE3678" s="36">
        <v>209</v>
      </c>
      <c r="AF3678" s="71">
        <v>6.24</v>
      </c>
      <c r="AG3678" s="37">
        <v>0</v>
      </c>
      <c r="AH3678" s="37">
        <v>0</v>
      </c>
      <c r="AI3678" s="37">
        <v>96</v>
      </c>
      <c r="AJ3678" s="37">
        <v>1</v>
      </c>
      <c r="AK3678" s="37" t="str">
        <f>VLOOKUP(Mecze[[#This Row],[Match ID]],Meczusie[Mecz]:Meczusie[RodzajMeczu],2,FALSE)</f>
        <v>Baraże</v>
      </c>
    </row>
    <row r="3679" spans="1:37" x14ac:dyDescent="0.25">
      <c r="A3679" s="76">
        <v>15</v>
      </c>
      <c r="B3679" s="3" t="s">
        <v>170</v>
      </c>
      <c r="C3679" s="2" t="s">
        <v>160</v>
      </c>
      <c r="D3679" s="1">
        <v>0</v>
      </c>
      <c r="E3679" s="1">
        <v>0</v>
      </c>
      <c r="F3679" s="1">
        <v>0</v>
      </c>
      <c r="G3679" s="1">
        <v>10</v>
      </c>
      <c r="H3679" s="4">
        <v>0.5</v>
      </c>
      <c r="I3679" s="1">
        <v>4</v>
      </c>
      <c r="J3679" s="4">
        <v>0</v>
      </c>
      <c r="K3679" s="1">
        <v>0</v>
      </c>
      <c r="L3679" s="1">
        <v>5</v>
      </c>
      <c r="M3679" s="32">
        <f>IF(Mecze[[#This Row],[PR]]=0,0,Mecze[[#This Row],[PR]]/Mecze[[#This Row],[CZAS]])</f>
        <v>5.2083333333333336E-2</v>
      </c>
      <c r="N3679" s="32">
        <f>IF(Mecze[[#This Row],[OU]]=0,0,Mecze[[#This Row],[OU]]/Mecze[[#This Row],[CZAS]])</f>
        <v>0</v>
      </c>
      <c r="O3679" s="32">
        <f>IF(Mecze[[#This Row],[PC]]=0,0,Mecze[[#This Row],[PC]]/Mecze[[#This Row],[CZAS]])</f>
        <v>5.2083333333333336E-2</v>
      </c>
      <c r="P3679" s="32">
        <f>IF(Mecze[[#This Row],[SC]]=0,0,Mecze[[#This Row],[SC]]/Mecze[[#This Row],[CZAS]])</f>
        <v>0</v>
      </c>
      <c r="Q3679" s="32">
        <f>IF(Mecze[[#This Row],[OB]]=0,0,Mecze[[#This Row],[OB]]/Mecze[[#This Row],[CZAS]])</f>
        <v>0</v>
      </c>
      <c r="R3679" s="32">
        <f>IF(Mecze[[#This Row],[BR]]=0,0,Mecze[[#This Row],[BR]]/Mecze[[#This Row],[CZAS]])</f>
        <v>0</v>
      </c>
      <c r="S3679" s="44">
        <f>IF(Mecze[[#This Row],[Role]]="BR",SUMPRODUCT(Mecze[[#This Row],[/PR:90]:[/BR:90]],Brudnopis!$E$23:$J$23),0)</f>
        <v>0</v>
      </c>
      <c r="T3679" s="44">
        <f>IF(Mecze[[#This Row],[Role]]&lt;&gt;"BR",SUMPRODUCT(Mecze[[#This Row],[/PR:90]:[/BR:90]],Brudnopis!$E$24:$J$24),0)</f>
        <v>0.10416666666666667</v>
      </c>
      <c r="U3679" s="44">
        <f>IF(Mecze[[#This Row],[Role]]&lt;&gt;"BR",SUMPRODUCT(Mecze[[#This Row],[/PR:90]:[/BR:90]],Brudnopis!$E$25:$J$25),0)</f>
        <v>0.13020833333333334</v>
      </c>
      <c r="V3679" s="44">
        <f>IF(Mecze[[#This Row],[Role]]&lt;&gt;"BR",SUMPRODUCT(Mecze[[#This Row],[/PR:90]:[/BR:90]],Brudnopis!$E$26:$J$26),0)</f>
        <v>0.10416666666666667</v>
      </c>
      <c r="W3679" s="44">
        <f>IF(Mecze[[#This Row],[Role]]&lt;&gt;"BR",SUMPRODUCT(Mecze[[#This Row],[/PR:90]:[/BR:90]],Brudnopis!$E$27:$J$27),0)</f>
        <v>0.1171875</v>
      </c>
      <c r="X3679" s="44">
        <f>IF(Mecze[[#This Row],[Role]]&lt;&gt;"BR",SUMPRODUCT(Mecze[[#This Row],[/PR:90]:[/BR:90]],Brudnopis!$E$28:$J$28),0)</f>
        <v>5.2083333333333336E-2</v>
      </c>
      <c r="Y3679" s="35">
        <f>IF(Mecze[[#This Row],[Role]]="BR",Mecze[[#This Row],[/OB:90]]+Mecze[[#This Row],[/PC:90]],SUM(Mecze[[#This Row],[/PR:90]:[/BR:90]]))</f>
        <v>0.10416666666666667</v>
      </c>
      <c r="Z3679" s="35">
        <f>IF(Mecze[[#This Row],[KC]]=0,SUM(Mecze[[#This Row],[/BRI]:[/NPI]]),SUM(Mecze[[#This Row],[/BRI]:[/NPI]])*0.6)</f>
        <v>0.5078125</v>
      </c>
      <c r="AA3679" s="10">
        <f>IFERROR(Mecze[[#This Row],[BR]]/Mecze[[#This Row],[ST]],0)</f>
        <v>0</v>
      </c>
      <c r="AB3679">
        <f>ROUND(Mecze[[#This Row],[PD]]*Mecze[[#This Row],[%PC]],0)</f>
        <v>5</v>
      </c>
      <c r="AC3679">
        <f>ROUND(Mecze[[#This Row],[OD]]*Mecze[[#This Row],[%OU]],0)</f>
        <v>0</v>
      </c>
      <c r="AD3679" s="36" t="s">
        <v>67</v>
      </c>
      <c r="AE3679" s="36">
        <v>209</v>
      </c>
      <c r="AF3679" s="71">
        <v>4.96</v>
      </c>
      <c r="AG3679" s="37">
        <v>0</v>
      </c>
      <c r="AH3679" s="37">
        <v>0</v>
      </c>
      <c r="AI3679" s="37">
        <v>96</v>
      </c>
      <c r="AJ3679" s="37">
        <v>1</v>
      </c>
      <c r="AK3679" s="37" t="str">
        <f>VLOOKUP(Mecze[[#This Row],[Match ID]],Meczusie[Mecz]:Meczusie[RodzajMeczu],2,FALSE)</f>
        <v>Baraże</v>
      </c>
    </row>
    <row r="3680" spans="1:37" x14ac:dyDescent="0.25">
      <c r="A3680" s="76">
        <v>13</v>
      </c>
      <c r="B3680" s="3" t="s">
        <v>162</v>
      </c>
      <c r="C3680" s="2" t="s">
        <v>160</v>
      </c>
      <c r="D3680" s="1">
        <v>0</v>
      </c>
      <c r="E3680" s="1">
        <v>0</v>
      </c>
      <c r="F3680" s="1">
        <v>0</v>
      </c>
      <c r="G3680" s="1">
        <v>6</v>
      </c>
      <c r="H3680" s="4">
        <v>0.83</v>
      </c>
      <c r="I3680" s="1">
        <v>7</v>
      </c>
      <c r="J3680" s="4">
        <v>0.28999999999999998</v>
      </c>
      <c r="K3680" s="1">
        <v>0</v>
      </c>
      <c r="L3680" s="1">
        <v>3</v>
      </c>
      <c r="M3680" s="32">
        <f>IF(Mecze[[#This Row],[PR]]=0,0,Mecze[[#This Row],[PR]]/Mecze[[#This Row],[CZAS]])</f>
        <v>3.125E-2</v>
      </c>
      <c r="N3680" s="32">
        <f>IF(Mecze[[#This Row],[OU]]=0,0,Mecze[[#This Row],[OU]]/Mecze[[#This Row],[CZAS]])</f>
        <v>2.0833333333333332E-2</v>
      </c>
      <c r="O3680" s="32">
        <f>IF(Mecze[[#This Row],[PC]]=0,0,Mecze[[#This Row],[PC]]/Mecze[[#This Row],[CZAS]])</f>
        <v>5.2083333333333336E-2</v>
      </c>
      <c r="P3680" s="32">
        <f>IF(Mecze[[#This Row],[SC]]=0,0,Mecze[[#This Row],[SC]]/Mecze[[#This Row],[CZAS]])</f>
        <v>0</v>
      </c>
      <c r="Q3680" s="32">
        <f>IF(Mecze[[#This Row],[OB]]=0,0,Mecze[[#This Row],[OB]]/Mecze[[#This Row],[CZAS]])</f>
        <v>0</v>
      </c>
      <c r="R3680" s="32">
        <f>IF(Mecze[[#This Row],[BR]]=0,0,Mecze[[#This Row],[BR]]/Mecze[[#This Row],[CZAS]])</f>
        <v>0</v>
      </c>
      <c r="S3680" s="44">
        <f>IF(Mecze[[#This Row],[Role]]="BR",SUMPRODUCT(Mecze[[#This Row],[/PR:90]:[/BR:90]],Brudnopis!$E$23:$J$23),0)</f>
        <v>0</v>
      </c>
      <c r="T3680" s="44">
        <f>IF(Mecze[[#This Row],[Role]]&lt;&gt;"BR",SUMPRODUCT(Mecze[[#This Row],[/PR:90]:[/BR:90]],Brudnopis!$E$24:$J$24),0)</f>
        <v>0.11458333333333334</v>
      </c>
      <c r="U3680" s="44">
        <f>IF(Mecze[[#This Row],[Role]]&lt;&gt;"BR",SUMPRODUCT(Mecze[[#This Row],[/PR:90]:[/BR:90]],Brudnopis!$E$25:$J$25),0)</f>
        <v>0.13020833333333331</v>
      </c>
      <c r="V3680" s="44">
        <f>IF(Mecze[[#This Row],[Role]]&lt;&gt;"BR",SUMPRODUCT(Mecze[[#This Row],[/PR:90]:[/BR:90]],Brudnopis!$E$26:$J$26),0)</f>
        <v>0.10416666666666666</v>
      </c>
      <c r="W3680" s="44">
        <f>IF(Mecze[[#This Row],[Role]]&lt;&gt;"BR",SUMPRODUCT(Mecze[[#This Row],[/PR:90]:[/BR:90]],Brudnopis!$E$27:$J$27),0)</f>
        <v>0.1171875</v>
      </c>
      <c r="X3680" s="44">
        <f>IF(Mecze[[#This Row],[Role]]&lt;&gt;"BR",SUMPRODUCT(Mecze[[#This Row],[/PR:90]:[/BR:90]],Brudnopis!$E$28:$J$28),0)</f>
        <v>5.2083333333333336E-2</v>
      </c>
      <c r="Y3680" s="35">
        <f>IF(Mecze[[#This Row],[Role]]="BR",Mecze[[#This Row],[/OB:90]]+Mecze[[#This Row],[/PC:90]],SUM(Mecze[[#This Row],[/PR:90]:[/BR:90]]))</f>
        <v>0.10416666666666666</v>
      </c>
      <c r="Z3680" s="35">
        <f>IF(Mecze[[#This Row],[KC]]=0,SUM(Mecze[[#This Row],[/BRI]:[/NPI]]),SUM(Mecze[[#This Row],[/BRI]:[/NPI]])*0.6)</f>
        <v>0.51822916666666663</v>
      </c>
      <c r="AA3680" s="10">
        <f>IFERROR(Mecze[[#This Row],[BR]]/Mecze[[#This Row],[ST]],0)</f>
        <v>0</v>
      </c>
      <c r="AB3680">
        <f>ROUND(Mecze[[#This Row],[PD]]*Mecze[[#This Row],[%PC]],0)</f>
        <v>5</v>
      </c>
      <c r="AC3680">
        <f>ROUND(Mecze[[#This Row],[OD]]*Mecze[[#This Row],[%OU]],0)</f>
        <v>2</v>
      </c>
      <c r="AD3680" s="36" t="s">
        <v>44</v>
      </c>
      <c r="AE3680" s="36">
        <v>209</v>
      </c>
      <c r="AF3680" s="71">
        <v>5.45</v>
      </c>
      <c r="AG3680" s="37">
        <v>0</v>
      </c>
      <c r="AH3680" s="37">
        <v>0</v>
      </c>
      <c r="AI3680" s="37">
        <v>96</v>
      </c>
      <c r="AJ3680" s="37">
        <v>1</v>
      </c>
      <c r="AK3680" s="37" t="str">
        <f>VLOOKUP(Mecze[[#This Row],[Match ID]],Meczusie[Mecz]:Meczusie[RodzajMeczu],2,FALSE)</f>
        <v>Baraże</v>
      </c>
    </row>
    <row r="3681" spans="1:37" x14ac:dyDescent="0.25">
      <c r="A3681" s="76">
        <v>14</v>
      </c>
      <c r="B3681" s="3" t="s">
        <v>164</v>
      </c>
      <c r="C3681" s="2" t="s">
        <v>160</v>
      </c>
      <c r="D3681" s="1">
        <v>0</v>
      </c>
      <c r="E3681" s="1">
        <v>1</v>
      </c>
      <c r="F3681" s="1">
        <v>1</v>
      </c>
      <c r="G3681" s="1">
        <v>7</v>
      </c>
      <c r="H3681" s="4">
        <v>0.71</v>
      </c>
      <c r="I3681" s="1">
        <v>6</v>
      </c>
      <c r="J3681" s="4">
        <v>0.33</v>
      </c>
      <c r="K3681" s="1">
        <v>0</v>
      </c>
      <c r="L3681" s="1">
        <v>1</v>
      </c>
      <c r="M3681" s="32">
        <f>IF(Mecze[[#This Row],[PR]]=0,0,Mecze[[#This Row],[PR]]/Mecze[[#This Row],[CZAS]])</f>
        <v>1.0416666666666666E-2</v>
      </c>
      <c r="N3681" s="32">
        <f>IF(Mecze[[#This Row],[OU]]=0,0,Mecze[[#This Row],[OU]]/Mecze[[#This Row],[CZAS]])</f>
        <v>2.0833333333333332E-2</v>
      </c>
      <c r="O3681" s="32">
        <f>IF(Mecze[[#This Row],[PC]]=0,0,Mecze[[#This Row],[PC]]/Mecze[[#This Row],[CZAS]])</f>
        <v>5.2083333333333336E-2</v>
      </c>
      <c r="P3681" s="32">
        <f>IF(Mecze[[#This Row],[SC]]=0,0,Mecze[[#This Row],[SC]]/Mecze[[#This Row],[CZAS]])</f>
        <v>1.0416666666666666E-2</v>
      </c>
      <c r="Q3681" s="32">
        <f>IF(Mecze[[#This Row],[OB]]=0,0,Mecze[[#This Row],[OB]]/Mecze[[#This Row],[CZAS]])</f>
        <v>0</v>
      </c>
      <c r="R3681" s="32">
        <f>IF(Mecze[[#This Row],[BR]]=0,0,Mecze[[#This Row],[BR]]/Mecze[[#This Row],[CZAS]])</f>
        <v>0</v>
      </c>
      <c r="S3681" s="44">
        <f>IF(Mecze[[#This Row],[Role]]="BR",SUMPRODUCT(Mecze[[#This Row],[/PR:90]:[/BR:90]],Brudnopis!$E$23:$J$23),0)</f>
        <v>0</v>
      </c>
      <c r="T3681" s="44">
        <f>IF(Mecze[[#This Row],[Role]]&lt;&gt;"BR",SUMPRODUCT(Mecze[[#This Row],[/PR:90]:[/BR:90]],Brudnopis!$E$24:$J$24),0)</f>
        <v>0.10416666666666667</v>
      </c>
      <c r="U3681" s="44">
        <f>IF(Mecze[[#This Row],[Role]]&lt;&gt;"BR",SUMPRODUCT(Mecze[[#This Row],[/PR:90]:[/BR:90]],Brudnopis!$E$25:$J$25),0)</f>
        <v>0.11979166666666667</v>
      </c>
      <c r="V3681" s="44">
        <f>IF(Mecze[[#This Row],[Role]]&lt;&gt;"BR",SUMPRODUCT(Mecze[[#This Row],[/PR:90]:[/BR:90]],Brudnopis!$E$26:$J$26),0)</f>
        <v>9.3750000000000014E-2</v>
      </c>
      <c r="W3681" s="44">
        <f>IF(Mecze[[#This Row],[Role]]&lt;&gt;"BR",SUMPRODUCT(Mecze[[#This Row],[/PR:90]:[/BR:90]],Brudnopis!$E$27:$J$27),0)</f>
        <v>0.11197916666666667</v>
      </c>
      <c r="X3681" s="44">
        <f>IF(Mecze[[#This Row],[Role]]&lt;&gt;"BR",SUMPRODUCT(Mecze[[#This Row],[/PR:90]:[/BR:90]],Brudnopis!$E$28:$J$28),0)</f>
        <v>7.2916666666666671E-2</v>
      </c>
      <c r="Y3681" s="35">
        <f>IF(Mecze[[#This Row],[Role]]="BR",Mecze[[#This Row],[/OB:90]]+Mecze[[#This Row],[/PC:90]],SUM(Mecze[[#This Row],[/PR:90]:[/BR:90]]))</f>
        <v>9.3750000000000014E-2</v>
      </c>
      <c r="Z3681" s="35">
        <f>IF(Mecze[[#This Row],[KC]]=0,SUM(Mecze[[#This Row],[/BRI]:[/NPI]]),SUM(Mecze[[#This Row],[/BRI]:[/NPI]])*0.6)</f>
        <v>0.50260416666666674</v>
      </c>
      <c r="AA3681" s="10">
        <f>IFERROR(Mecze[[#This Row],[BR]]/Mecze[[#This Row],[ST]],0)</f>
        <v>0</v>
      </c>
      <c r="AB3681">
        <f>ROUND(Mecze[[#This Row],[PD]]*Mecze[[#This Row],[%PC]],0)</f>
        <v>5</v>
      </c>
      <c r="AC3681">
        <f>ROUND(Mecze[[#This Row],[OD]]*Mecze[[#This Row],[%OU]],0)</f>
        <v>2</v>
      </c>
      <c r="AD3681" s="36" t="s">
        <v>44</v>
      </c>
      <c r="AE3681" s="36">
        <v>209</v>
      </c>
      <c r="AF3681" s="71">
        <v>4.3499999999999996</v>
      </c>
      <c r="AG3681" s="37">
        <v>0</v>
      </c>
      <c r="AH3681" s="37">
        <v>0</v>
      </c>
      <c r="AI3681" s="37">
        <v>96</v>
      </c>
      <c r="AJ3681" s="37">
        <v>1</v>
      </c>
      <c r="AK3681" s="37" t="str">
        <f>VLOOKUP(Mecze[[#This Row],[Match ID]],Meczusie[Mecz]:Meczusie[RodzajMeczu],2,FALSE)</f>
        <v>Baraże</v>
      </c>
    </row>
    <row r="3682" spans="1:37" x14ac:dyDescent="0.25">
      <c r="A3682" s="76">
        <v>19</v>
      </c>
      <c r="B3682" s="3" t="s">
        <v>166</v>
      </c>
      <c r="C3682" s="2" t="s">
        <v>165</v>
      </c>
      <c r="D3682" s="1">
        <v>0</v>
      </c>
      <c r="E3682" s="1">
        <v>7</v>
      </c>
      <c r="F3682" s="1">
        <v>7</v>
      </c>
      <c r="G3682" s="1">
        <v>4</v>
      </c>
      <c r="H3682" s="4">
        <v>0.75</v>
      </c>
      <c r="I3682" s="1">
        <v>3</v>
      </c>
      <c r="J3682" s="4">
        <v>0</v>
      </c>
      <c r="K3682" s="1">
        <v>0</v>
      </c>
      <c r="L3682" s="1">
        <v>0</v>
      </c>
      <c r="M3682" s="32">
        <f>IF(Mecze[[#This Row],[PR]]=0,0,Mecze[[#This Row],[PR]]/Mecze[[#This Row],[CZAS]])</f>
        <v>0</v>
      </c>
      <c r="N3682" s="32">
        <f>IF(Mecze[[#This Row],[OU]]=0,0,Mecze[[#This Row],[OU]]/Mecze[[#This Row],[CZAS]])</f>
        <v>0</v>
      </c>
      <c r="O3682" s="32">
        <f>IF(Mecze[[#This Row],[PC]]=0,0,Mecze[[#This Row],[PC]]/Mecze[[#This Row],[CZAS]])</f>
        <v>3.125E-2</v>
      </c>
      <c r="P3682" s="32">
        <f>IF(Mecze[[#This Row],[SC]]=0,0,Mecze[[#This Row],[SC]]/Mecze[[#This Row],[CZAS]])</f>
        <v>7.2916666666666671E-2</v>
      </c>
      <c r="Q3682" s="32">
        <f>IF(Mecze[[#This Row],[OB]]=0,0,Mecze[[#This Row],[OB]]/Mecze[[#This Row],[CZAS]])</f>
        <v>0</v>
      </c>
      <c r="R3682" s="32">
        <f>IF(Mecze[[#This Row],[BR]]=0,0,Mecze[[#This Row],[BR]]/Mecze[[#This Row],[CZAS]])</f>
        <v>0</v>
      </c>
      <c r="S3682" s="44">
        <f>IF(Mecze[[#This Row],[Role]]="BR",SUMPRODUCT(Mecze[[#This Row],[/PR:90]:[/BR:90]],Brudnopis!$E$23:$J$23),0)</f>
        <v>0</v>
      </c>
      <c r="T3682" s="44">
        <f>IF(Mecze[[#This Row],[Role]]&lt;&gt;"BR",SUMPRODUCT(Mecze[[#This Row],[/PR:90]:[/BR:90]],Brudnopis!$E$24:$J$24),0)</f>
        <v>0.10416666666666667</v>
      </c>
      <c r="U3682" s="44">
        <f>IF(Mecze[[#This Row],[Role]]&lt;&gt;"BR",SUMPRODUCT(Mecze[[#This Row],[/PR:90]:[/BR:90]],Brudnopis!$E$25:$J$25),0)</f>
        <v>0.11979166666666667</v>
      </c>
      <c r="V3682" s="44">
        <f>IF(Mecze[[#This Row],[Role]]&lt;&gt;"BR",SUMPRODUCT(Mecze[[#This Row],[/PR:90]:[/BR:90]],Brudnopis!$E$26:$J$26),0)</f>
        <v>0.10416666666666667</v>
      </c>
      <c r="W3682" s="44">
        <f>IF(Mecze[[#This Row],[Role]]&lt;&gt;"BR",SUMPRODUCT(Mecze[[#This Row],[/PR:90]:[/BR:90]],Brudnopis!$E$27:$J$27),0)</f>
        <v>0.11979166666666667</v>
      </c>
      <c r="X3682" s="44">
        <f>IF(Mecze[[#This Row],[Role]]&lt;&gt;"BR",SUMPRODUCT(Mecze[[#This Row],[/PR:90]:[/BR:90]],Brudnopis!$E$28:$J$28),0)</f>
        <v>0.17708333333333334</v>
      </c>
      <c r="Y3682" s="35">
        <f>IF(Mecze[[#This Row],[Role]]="BR",Mecze[[#This Row],[/OB:90]]+Mecze[[#This Row],[/PC:90]],SUM(Mecze[[#This Row],[/PR:90]:[/BR:90]]))</f>
        <v>0.10416666666666667</v>
      </c>
      <c r="Z3682" s="35">
        <f>IF(Mecze[[#This Row],[KC]]=0,SUM(Mecze[[#This Row],[/BRI]:[/NPI]]),SUM(Mecze[[#This Row],[/BRI]:[/NPI]])*0.6)</f>
        <v>0.625</v>
      </c>
      <c r="AA3682" s="10">
        <f>IFERROR(Mecze[[#This Row],[BR]]/Mecze[[#This Row],[ST]],0)</f>
        <v>0</v>
      </c>
      <c r="AB3682">
        <f>ROUND(Mecze[[#This Row],[PD]]*Mecze[[#This Row],[%PC]],0)</f>
        <v>3</v>
      </c>
      <c r="AC3682">
        <f>ROUND(Mecze[[#This Row],[OD]]*Mecze[[#This Row],[%OU]],0)</f>
        <v>0</v>
      </c>
      <c r="AD3682" s="36" t="s">
        <v>46</v>
      </c>
      <c r="AE3682" s="36">
        <v>209</v>
      </c>
      <c r="AF3682" s="71">
        <v>4.25</v>
      </c>
      <c r="AG3682" s="37">
        <v>0</v>
      </c>
      <c r="AH3682" s="37">
        <v>0</v>
      </c>
      <c r="AI3682" s="37">
        <v>96</v>
      </c>
      <c r="AJ3682" s="37">
        <v>1</v>
      </c>
      <c r="AK3682" s="37" t="str">
        <f>VLOOKUP(Mecze[[#This Row],[Match ID]],Meczusie[Mecz]:Meczusie[RodzajMeczu],2,FALSE)</f>
        <v>Baraże</v>
      </c>
    </row>
    <row r="3683" spans="1:37" x14ac:dyDescent="0.25">
      <c r="A3683" s="76">
        <v>9</v>
      </c>
      <c r="B3683" s="3" t="s">
        <v>411</v>
      </c>
      <c r="C3683" s="2" t="s">
        <v>165</v>
      </c>
      <c r="D3683" s="1">
        <v>2</v>
      </c>
      <c r="E3683" s="1">
        <v>9</v>
      </c>
      <c r="F3683" s="1">
        <v>8</v>
      </c>
      <c r="G3683" s="1">
        <v>10</v>
      </c>
      <c r="H3683" s="4">
        <v>0.8</v>
      </c>
      <c r="I3683" s="1">
        <v>2</v>
      </c>
      <c r="J3683" s="4">
        <v>0</v>
      </c>
      <c r="K3683" s="1">
        <v>0</v>
      </c>
      <c r="L3683" s="1">
        <v>2</v>
      </c>
      <c r="M3683" s="32">
        <f>IF(Mecze[[#This Row],[PR]]=0,0,Mecze[[#This Row],[PR]]/Mecze[[#This Row],[CZAS]])</f>
        <v>2.0833333333333332E-2</v>
      </c>
      <c r="N3683" s="32">
        <f>IF(Mecze[[#This Row],[OU]]=0,0,Mecze[[#This Row],[OU]]/Mecze[[#This Row],[CZAS]])</f>
        <v>0</v>
      </c>
      <c r="O3683" s="32">
        <f>IF(Mecze[[#This Row],[PC]]=0,0,Mecze[[#This Row],[PC]]/Mecze[[#This Row],[CZAS]])</f>
        <v>8.3333333333333329E-2</v>
      </c>
      <c r="P3683" s="32">
        <f>IF(Mecze[[#This Row],[SC]]=0,0,Mecze[[#This Row],[SC]]/Mecze[[#This Row],[CZAS]])</f>
        <v>8.3333333333333329E-2</v>
      </c>
      <c r="Q3683" s="32">
        <f>IF(Mecze[[#This Row],[OB]]=0,0,Mecze[[#This Row],[OB]]/Mecze[[#This Row],[CZAS]])</f>
        <v>0</v>
      </c>
      <c r="R3683" s="32">
        <f>IF(Mecze[[#This Row],[BR]]=0,0,Mecze[[#This Row],[BR]]/Mecze[[#This Row],[CZAS]])</f>
        <v>2.0833333333333332E-2</v>
      </c>
      <c r="S3683" s="44">
        <f>IF(Mecze[[#This Row],[Role]]="BR",SUMPRODUCT(Mecze[[#This Row],[/PR:90]:[/BR:90]],Brudnopis!$E$23:$J$23),0)</f>
        <v>0</v>
      </c>
      <c r="T3683" s="44">
        <f>IF(Mecze[[#This Row],[Role]]&lt;&gt;"BR",SUMPRODUCT(Mecze[[#This Row],[/PR:90]:[/BR:90]],Brudnopis!$E$24:$J$24),0)</f>
        <v>0.21875</v>
      </c>
      <c r="U3683" s="44">
        <f>IF(Mecze[[#This Row],[Role]]&lt;&gt;"BR",SUMPRODUCT(Mecze[[#This Row],[/PR:90]:[/BR:90]],Brudnopis!$E$25:$J$25),0)</f>
        <v>0.26041666666666669</v>
      </c>
      <c r="V3683" s="44">
        <f>IF(Mecze[[#This Row],[Role]]&lt;&gt;"BR",SUMPRODUCT(Mecze[[#This Row],[/PR:90]:[/BR:90]],Brudnopis!$E$26:$J$26),0)</f>
        <v>0.22916666666666666</v>
      </c>
      <c r="W3683" s="44">
        <f>IF(Mecze[[#This Row],[Role]]&lt;&gt;"BR",SUMPRODUCT(Mecze[[#This Row],[/PR:90]:[/BR:90]],Brudnopis!$E$27:$J$27),0)</f>
        <v>0.265625</v>
      </c>
      <c r="X3683" s="44">
        <f>IF(Mecze[[#This Row],[Role]]&lt;&gt;"BR",SUMPRODUCT(Mecze[[#This Row],[/PR:90]:[/BR:90]],Brudnopis!$E$28:$J$28),0)</f>
        <v>0.3125</v>
      </c>
      <c r="Y3683" s="35">
        <f>IF(Mecze[[#This Row],[Role]]="BR",Mecze[[#This Row],[/OB:90]]+Mecze[[#This Row],[/PC:90]],SUM(Mecze[[#This Row],[/PR:90]:[/BR:90]]))</f>
        <v>0.20833333333333334</v>
      </c>
      <c r="Z3683" s="35">
        <f>IF(Mecze[[#This Row],[KC]]=0,SUM(Mecze[[#This Row],[/BRI]:[/NPI]]),SUM(Mecze[[#This Row],[/BRI]:[/NPI]])*0.6)</f>
        <v>1.2864583333333335</v>
      </c>
      <c r="AA3683" s="10">
        <f>IFERROR(Mecze[[#This Row],[BR]]/Mecze[[#This Row],[ST]],0)</f>
        <v>0.22222222222222221</v>
      </c>
      <c r="AB3683">
        <f>ROUND(Mecze[[#This Row],[PD]]*Mecze[[#This Row],[%PC]],0)</f>
        <v>8</v>
      </c>
      <c r="AC3683">
        <f>ROUND(Mecze[[#This Row],[OD]]*Mecze[[#This Row],[%OU]],0)</f>
        <v>0</v>
      </c>
      <c r="AD3683" s="36" t="s">
        <v>46</v>
      </c>
      <c r="AE3683" s="36">
        <v>209</v>
      </c>
      <c r="AF3683" s="71">
        <v>11.32</v>
      </c>
      <c r="AG3683" s="37">
        <v>0</v>
      </c>
      <c r="AH3683" s="37">
        <v>0</v>
      </c>
      <c r="AI3683" s="37">
        <v>96</v>
      </c>
      <c r="AJ3683" s="37">
        <v>1</v>
      </c>
      <c r="AK3683" s="37" t="str">
        <f>VLOOKUP(Mecze[[#This Row],[Match ID]],Meczusie[Mecz]:Meczusie[RodzajMeczu],2,FALSE)</f>
        <v>Baraże</v>
      </c>
    </row>
    <row r="3684" spans="1:37" x14ac:dyDescent="0.25">
      <c r="A3684" s="76">
        <v>1</v>
      </c>
      <c r="B3684" s="3" t="s">
        <v>169</v>
      </c>
      <c r="C3684" s="2" t="s">
        <v>155</v>
      </c>
      <c r="D3684" s="1">
        <v>0</v>
      </c>
      <c r="E3684" s="1">
        <v>0</v>
      </c>
      <c r="F3684" s="1">
        <v>0</v>
      </c>
      <c r="G3684" s="1">
        <v>4</v>
      </c>
      <c r="H3684" s="4">
        <v>0.5</v>
      </c>
      <c r="I3684" s="1">
        <v>0</v>
      </c>
      <c r="J3684" s="4"/>
      <c r="K3684" s="1">
        <v>5</v>
      </c>
      <c r="L3684" s="1">
        <v>0</v>
      </c>
      <c r="M3684" s="32">
        <f>IF(Mecze[[#This Row],[PR]]=0,0,Mecze[[#This Row],[PR]]/Mecze[[#This Row],[CZAS]])</f>
        <v>0</v>
      </c>
      <c r="N3684" s="32">
        <f>IF(Mecze[[#This Row],[OU]]=0,0,Mecze[[#This Row],[OU]]/Mecze[[#This Row],[CZAS]])</f>
        <v>0</v>
      </c>
      <c r="O3684" s="32">
        <f>IF(Mecze[[#This Row],[PC]]=0,0,Mecze[[#This Row],[PC]]/Mecze[[#This Row],[CZAS]])</f>
        <v>2.0833333333333332E-2</v>
      </c>
      <c r="P3684" s="32">
        <f>IF(Mecze[[#This Row],[SC]]=0,0,Mecze[[#This Row],[SC]]/Mecze[[#This Row],[CZAS]])</f>
        <v>0</v>
      </c>
      <c r="Q3684" s="32">
        <f>IF(Mecze[[#This Row],[OB]]=0,0,Mecze[[#This Row],[OB]]/Mecze[[#This Row],[CZAS]])</f>
        <v>5.2083333333333336E-2</v>
      </c>
      <c r="R3684" s="32">
        <f>IF(Mecze[[#This Row],[BR]]=0,0,Mecze[[#This Row],[BR]]/Mecze[[#This Row],[CZAS]])</f>
        <v>0</v>
      </c>
      <c r="S3684" s="44">
        <f>IF(Mecze[[#This Row],[Role]]="BR",SUMPRODUCT(Mecze[[#This Row],[/PR:90]:[/BR:90]],Brudnopis!$E$23:$J$23),0)</f>
        <v>0.21875</v>
      </c>
      <c r="T3684" s="44">
        <f>IF(Mecze[[#This Row],[Role]]&lt;&gt;"BR",SUMPRODUCT(Mecze[[#This Row],[/PR:90]:[/BR:90]],Brudnopis!$E$24:$J$24),0)</f>
        <v>0</v>
      </c>
      <c r="U3684" s="44">
        <f>IF(Mecze[[#This Row],[Role]]&lt;&gt;"BR",SUMPRODUCT(Mecze[[#This Row],[/PR:90]:[/BR:90]],Brudnopis!$E$25:$J$25),0)</f>
        <v>0</v>
      </c>
      <c r="V3684" s="44">
        <f>IF(Mecze[[#This Row],[Role]]&lt;&gt;"BR",SUMPRODUCT(Mecze[[#This Row],[/PR:90]:[/BR:90]],Brudnopis!$E$26:$J$26),0)</f>
        <v>0</v>
      </c>
      <c r="W3684" s="44">
        <f>IF(Mecze[[#This Row],[Role]]&lt;&gt;"BR",SUMPRODUCT(Mecze[[#This Row],[/PR:90]:[/BR:90]],Brudnopis!$E$27:$J$27),0)</f>
        <v>0</v>
      </c>
      <c r="X3684" s="44">
        <f>IF(Mecze[[#This Row],[Role]]&lt;&gt;"BR",SUMPRODUCT(Mecze[[#This Row],[/PR:90]:[/BR:90]],Brudnopis!$E$28:$J$28),0)</f>
        <v>0</v>
      </c>
      <c r="Y3684" s="35">
        <f>IF(Mecze[[#This Row],[Role]]="BR",Mecze[[#This Row],[/OB:90]]+Mecze[[#This Row],[/PC:90]],SUM(Mecze[[#This Row],[/PR:90]:[/BR:90]]))</f>
        <v>7.2916666666666671E-2</v>
      </c>
      <c r="Z3684" s="35">
        <f>IF(Mecze[[#This Row],[KC]]=0,SUM(Mecze[[#This Row],[/BRI]:[/NPI]]),SUM(Mecze[[#This Row],[/BRI]:[/NPI]])*0.6)</f>
        <v>0.21875</v>
      </c>
      <c r="AA3684" s="10">
        <f>IFERROR(Mecze[[#This Row],[BR]]/Mecze[[#This Row],[ST]],0)</f>
        <v>0</v>
      </c>
      <c r="AB3684">
        <f>ROUND(Mecze[[#This Row],[PD]]*Mecze[[#This Row],[%PC]],0)</f>
        <v>2</v>
      </c>
      <c r="AC3684">
        <f>ROUND(Mecze[[#This Row],[OD]]*Mecze[[#This Row],[%OU]],0)</f>
        <v>0</v>
      </c>
      <c r="AD3684" s="36" t="s">
        <v>40</v>
      </c>
      <c r="AE3684" s="36">
        <v>210</v>
      </c>
      <c r="AF3684" s="71">
        <v>5.67</v>
      </c>
      <c r="AG3684" s="37">
        <v>0</v>
      </c>
      <c r="AH3684" s="37">
        <v>0</v>
      </c>
      <c r="AI3684" s="37">
        <v>96</v>
      </c>
      <c r="AJ3684" s="37">
        <v>1</v>
      </c>
      <c r="AK3684" s="37" t="str">
        <f>VLOOKUP(Mecze[[#This Row],[Match ID]],Meczusie[Mecz]:Meczusie[RodzajMeczu],2,FALSE)</f>
        <v>Towarzyski</v>
      </c>
    </row>
    <row r="3685" spans="1:37" x14ac:dyDescent="0.25">
      <c r="A3685" s="76">
        <v>18</v>
      </c>
      <c r="B3685" s="3" t="s">
        <v>211</v>
      </c>
      <c r="C3685" s="2" t="s">
        <v>157</v>
      </c>
      <c r="D3685" s="1">
        <v>0</v>
      </c>
      <c r="E3685" s="1">
        <v>0</v>
      </c>
      <c r="F3685" s="1">
        <v>0</v>
      </c>
      <c r="G3685" s="1">
        <v>14</v>
      </c>
      <c r="H3685" s="4">
        <v>0.56999999999999995</v>
      </c>
      <c r="I3685" s="1">
        <v>6</v>
      </c>
      <c r="J3685" s="4">
        <v>0.17</v>
      </c>
      <c r="K3685" s="1">
        <v>0</v>
      </c>
      <c r="L3685" s="1">
        <v>11</v>
      </c>
      <c r="M3685" s="32">
        <f>IF(Mecze[[#This Row],[PR]]=0,0,Mecze[[#This Row],[PR]]/Mecze[[#This Row],[CZAS]])</f>
        <v>0.11458333333333333</v>
      </c>
      <c r="N3685" s="32">
        <f>IF(Mecze[[#This Row],[OU]]=0,0,Mecze[[#This Row],[OU]]/Mecze[[#This Row],[CZAS]])</f>
        <v>1.0416666666666666E-2</v>
      </c>
      <c r="O3685" s="32">
        <f>IF(Mecze[[#This Row],[PC]]=0,0,Mecze[[#This Row],[PC]]/Mecze[[#This Row],[CZAS]])</f>
        <v>8.3333333333333329E-2</v>
      </c>
      <c r="P3685" s="32">
        <f>IF(Mecze[[#This Row],[SC]]=0,0,Mecze[[#This Row],[SC]]/Mecze[[#This Row],[CZAS]])</f>
        <v>0</v>
      </c>
      <c r="Q3685" s="32">
        <f>IF(Mecze[[#This Row],[OB]]=0,0,Mecze[[#This Row],[OB]]/Mecze[[#This Row],[CZAS]])</f>
        <v>0</v>
      </c>
      <c r="R3685" s="32">
        <f>IF(Mecze[[#This Row],[BR]]=0,0,Mecze[[#This Row],[BR]]/Mecze[[#This Row],[CZAS]])</f>
        <v>0</v>
      </c>
      <c r="S3685" s="44">
        <f>IF(Mecze[[#This Row],[Role]]="BR",SUMPRODUCT(Mecze[[#This Row],[/PR:90]:[/BR:90]],Brudnopis!$E$23:$J$23),0)</f>
        <v>0</v>
      </c>
      <c r="T3685" s="44">
        <f>IF(Mecze[[#This Row],[Role]]&lt;&gt;"BR",SUMPRODUCT(Mecze[[#This Row],[/PR:90]:[/BR:90]],Brudnopis!$E$24:$J$24),0)</f>
        <v>0.21354166666666663</v>
      </c>
      <c r="U3685" s="44">
        <f>IF(Mecze[[#This Row],[Role]]&lt;&gt;"BR",SUMPRODUCT(Mecze[[#This Row],[/PR:90]:[/BR:90]],Brudnopis!$E$25:$J$25),0)</f>
        <v>0.25</v>
      </c>
      <c r="V3685" s="44">
        <f>IF(Mecze[[#This Row],[Role]]&lt;&gt;"BR",SUMPRODUCT(Mecze[[#This Row],[/PR:90]:[/BR:90]],Brudnopis!$E$26:$J$26),0)</f>
        <v>0.20833333333333331</v>
      </c>
      <c r="W3685" s="44">
        <f>IF(Mecze[[#This Row],[Role]]&lt;&gt;"BR",SUMPRODUCT(Mecze[[#This Row],[/PR:90]:[/BR:90]],Brudnopis!$E$27:$J$27),0)</f>
        <v>0.21875</v>
      </c>
      <c r="X3685" s="44">
        <f>IF(Mecze[[#This Row],[Role]]&lt;&gt;"BR",SUMPRODUCT(Mecze[[#This Row],[/PR:90]:[/BR:90]],Brudnopis!$E$28:$J$28),0)</f>
        <v>8.3333333333333329E-2</v>
      </c>
      <c r="Y3685" s="35">
        <f>IF(Mecze[[#This Row],[Role]]="BR",Mecze[[#This Row],[/OB:90]]+Mecze[[#This Row],[/PC:90]],SUM(Mecze[[#This Row],[/PR:90]:[/BR:90]]))</f>
        <v>0.20833333333333331</v>
      </c>
      <c r="Z3685" s="35">
        <f>IF(Mecze[[#This Row],[KC]]=0,SUM(Mecze[[#This Row],[/BRI]:[/NPI]]),SUM(Mecze[[#This Row],[/BRI]:[/NPI]])*0.6)</f>
        <v>0.97395833333333337</v>
      </c>
      <c r="AA3685" s="10">
        <f>IFERROR(Mecze[[#This Row],[BR]]/Mecze[[#This Row],[ST]],0)</f>
        <v>0</v>
      </c>
      <c r="AB3685">
        <f>ROUND(Mecze[[#This Row],[PD]]*Mecze[[#This Row],[%PC]],0)</f>
        <v>8</v>
      </c>
      <c r="AC3685">
        <f>ROUND(Mecze[[#This Row],[OD]]*Mecze[[#This Row],[%OU]],0)</f>
        <v>1</v>
      </c>
      <c r="AD3685" s="36" t="s">
        <v>47</v>
      </c>
      <c r="AE3685" s="36">
        <v>210</v>
      </c>
      <c r="AF3685" s="71">
        <v>6.23</v>
      </c>
      <c r="AG3685" s="37">
        <v>0</v>
      </c>
      <c r="AH3685" s="37">
        <v>0</v>
      </c>
      <c r="AI3685" s="37">
        <v>96</v>
      </c>
      <c r="AJ3685" s="37">
        <v>1</v>
      </c>
      <c r="AK3685" s="37" t="str">
        <f>VLOOKUP(Mecze[[#This Row],[Match ID]],Meczusie[Mecz]:Meczusie[RodzajMeczu],2,FALSE)</f>
        <v>Towarzyski</v>
      </c>
    </row>
    <row r="3686" spans="1:37" x14ac:dyDescent="0.25">
      <c r="A3686" s="76">
        <v>5</v>
      </c>
      <c r="B3686" s="3" t="s">
        <v>161</v>
      </c>
      <c r="C3686" s="2" t="s">
        <v>157</v>
      </c>
      <c r="D3686" s="1">
        <v>0</v>
      </c>
      <c r="E3686" s="1">
        <v>0</v>
      </c>
      <c r="F3686" s="1">
        <v>0</v>
      </c>
      <c r="G3686" s="1">
        <v>5</v>
      </c>
      <c r="H3686" s="4">
        <v>0.8</v>
      </c>
      <c r="I3686" s="1">
        <v>1</v>
      </c>
      <c r="J3686" s="4">
        <v>1</v>
      </c>
      <c r="K3686" s="1">
        <v>0</v>
      </c>
      <c r="L3686" s="1">
        <v>4</v>
      </c>
      <c r="M3686" s="32">
        <f>IF(Mecze[[#This Row],[PR]]=0,0,Mecze[[#This Row],[PR]]/Mecze[[#This Row],[CZAS]])</f>
        <v>4.1666666666666664E-2</v>
      </c>
      <c r="N3686" s="32">
        <f>IF(Mecze[[#This Row],[OU]]=0,0,Mecze[[#This Row],[OU]]/Mecze[[#This Row],[CZAS]])</f>
        <v>1.0416666666666666E-2</v>
      </c>
      <c r="O3686" s="32">
        <f>IF(Mecze[[#This Row],[PC]]=0,0,Mecze[[#This Row],[PC]]/Mecze[[#This Row],[CZAS]])</f>
        <v>4.1666666666666664E-2</v>
      </c>
      <c r="P3686" s="32">
        <f>IF(Mecze[[#This Row],[SC]]=0,0,Mecze[[#This Row],[SC]]/Mecze[[#This Row],[CZAS]])</f>
        <v>0</v>
      </c>
      <c r="Q3686" s="32">
        <f>IF(Mecze[[#This Row],[OB]]=0,0,Mecze[[#This Row],[OB]]/Mecze[[#This Row],[CZAS]])</f>
        <v>0</v>
      </c>
      <c r="R3686" s="32">
        <f>IF(Mecze[[#This Row],[BR]]=0,0,Mecze[[#This Row],[BR]]/Mecze[[#This Row],[CZAS]])</f>
        <v>0</v>
      </c>
      <c r="S3686" s="44">
        <f>IF(Mecze[[#This Row],[Role]]="BR",SUMPRODUCT(Mecze[[#This Row],[/PR:90]:[/BR:90]],Brudnopis!$E$23:$J$23),0)</f>
        <v>0</v>
      </c>
      <c r="T3686" s="44">
        <f>IF(Mecze[[#This Row],[Role]]&lt;&gt;"BR",SUMPRODUCT(Mecze[[#This Row],[/PR:90]:[/BR:90]],Brudnopis!$E$24:$J$24),0)</f>
        <v>9.8958333333333329E-2</v>
      </c>
      <c r="U3686" s="44">
        <f>IF(Mecze[[#This Row],[Role]]&lt;&gt;"BR",SUMPRODUCT(Mecze[[#This Row],[/PR:90]:[/BR:90]],Brudnopis!$E$25:$J$25),0)</f>
        <v>0.11458333333333333</v>
      </c>
      <c r="V3686" s="44">
        <f>IF(Mecze[[#This Row],[Role]]&lt;&gt;"BR",SUMPRODUCT(Mecze[[#This Row],[/PR:90]:[/BR:90]],Brudnopis!$E$26:$J$26),0)</f>
        <v>9.375E-2</v>
      </c>
      <c r="W3686" s="44">
        <f>IF(Mecze[[#This Row],[Role]]&lt;&gt;"BR",SUMPRODUCT(Mecze[[#This Row],[/PR:90]:[/BR:90]],Brudnopis!$E$27:$J$27),0)</f>
        <v>0.1015625</v>
      </c>
      <c r="X3686" s="44">
        <f>IF(Mecze[[#This Row],[Role]]&lt;&gt;"BR",SUMPRODUCT(Mecze[[#This Row],[/PR:90]:[/BR:90]],Brudnopis!$E$28:$J$28),0)</f>
        <v>4.1666666666666664E-2</v>
      </c>
      <c r="Y3686" s="35">
        <f>IF(Mecze[[#This Row],[Role]]="BR",Mecze[[#This Row],[/OB:90]]+Mecze[[#This Row],[/PC:90]],SUM(Mecze[[#This Row],[/PR:90]:[/BR:90]]))</f>
        <v>9.375E-2</v>
      </c>
      <c r="Z3686" s="35">
        <f>IF(Mecze[[#This Row],[KC]]=0,SUM(Mecze[[#This Row],[/BRI]:[/NPI]]),SUM(Mecze[[#This Row],[/BRI]:[/NPI]])*0.6)</f>
        <v>0.45052083333333331</v>
      </c>
      <c r="AA3686" s="10">
        <f>IFERROR(Mecze[[#This Row],[BR]]/Mecze[[#This Row],[ST]],0)</f>
        <v>0</v>
      </c>
      <c r="AB3686">
        <f>ROUND(Mecze[[#This Row],[PD]]*Mecze[[#This Row],[%PC]],0)</f>
        <v>4</v>
      </c>
      <c r="AC3686">
        <f>ROUND(Mecze[[#This Row],[OD]]*Mecze[[#This Row],[%OU]],0)</f>
        <v>1</v>
      </c>
      <c r="AD3686" s="36" t="s">
        <v>47</v>
      </c>
      <c r="AE3686" s="36">
        <v>210</v>
      </c>
      <c r="AF3686" s="71">
        <v>4.76</v>
      </c>
      <c r="AG3686" s="37">
        <v>0</v>
      </c>
      <c r="AH3686" s="37">
        <v>0</v>
      </c>
      <c r="AI3686" s="37">
        <v>96</v>
      </c>
      <c r="AJ3686" s="37">
        <v>1</v>
      </c>
      <c r="AK3686" s="37" t="str">
        <f>VLOOKUP(Mecze[[#This Row],[Match ID]],Meczusie[Mecz]:Meczusie[RodzajMeczu],2,FALSE)</f>
        <v>Towarzyski</v>
      </c>
    </row>
    <row r="3687" spans="1:37" x14ac:dyDescent="0.25">
      <c r="A3687" s="76">
        <v>4</v>
      </c>
      <c r="B3687" s="3" t="s">
        <v>360</v>
      </c>
      <c r="C3687" s="2" t="s">
        <v>157</v>
      </c>
      <c r="D3687" s="1">
        <v>0</v>
      </c>
      <c r="E3687" s="1">
        <v>0</v>
      </c>
      <c r="F3687" s="1">
        <v>0</v>
      </c>
      <c r="G3687" s="1">
        <v>2</v>
      </c>
      <c r="H3687" s="4">
        <v>1</v>
      </c>
      <c r="I3687" s="1">
        <v>0</v>
      </c>
      <c r="J3687" s="4"/>
      <c r="K3687" s="1">
        <v>0</v>
      </c>
      <c r="L3687" s="1">
        <v>2</v>
      </c>
      <c r="M3687" s="32">
        <f>IF(Mecze[[#This Row],[PR]]=0,0,Mecze[[#This Row],[PR]]/Mecze[[#This Row],[CZAS]])</f>
        <v>2.0833333333333332E-2</v>
      </c>
      <c r="N3687" s="32">
        <f>IF(Mecze[[#This Row],[OU]]=0,0,Mecze[[#This Row],[OU]]/Mecze[[#This Row],[CZAS]])</f>
        <v>0</v>
      </c>
      <c r="O3687" s="32">
        <f>IF(Mecze[[#This Row],[PC]]=0,0,Mecze[[#This Row],[PC]]/Mecze[[#This Row],[CZAS]])</f>
        <v>2.0833333333333332E-2</v>
      </c>
      <c r="P3687" s="32">
        <f>IF(Mecze[[#This Row],[SC]]=0,0,Mecze[[#This Row],[SC]]/Mecze[[#This Row],[CZAS]])</f>
        <v>0</v>
      </c>
      <c r="Q3687" s="32">
        <f>IF(Mecze[[#This Row],[OB]]=0,0,Mecze[[#This Row],[OB]]/Mecze[[#This Row],[CZAS]])</f>
        <v>0</v>
      </c>
      <c r="R3687" s="32">
        <f>IF(Mecze[[#This Row],[BR]]=0,0,Mecze[[#This Row],[BR]]/Mecze[[#This Row],[CZAS]])</f>
        <v>0</v>
      </c>
      <c r="S3687" s="44">
        <f>IF(Mecze[[#This Row],[Role]]="BR",SUMPRODUCT(Mecze[[#This Row],[/PR:90]:[/BR:90]],Brudnopis!$E$23:$J$23),0)</f>
        <v>0</v>
      </c>
      <c r="T3687" s="44">
        <f>IF(Mecze[[#This Row],[Role]]&lt;&gt;"BR",SUMPRODUCT(Mecze[[#This Row],[/PR:90]:[/BR:90]],Brudnopis!$E$24:$J$24),0)</f>
        <v>4.1666666666666664E-2</v>
      </c>
      <c r="U3687" s="44">
        <f>IF(Mecze[[#This Row],[Role]]&lt;&gt;"BR",SUMPRODUCT(Mecze[[#This Row],[/PR:90]:[/BR:90]],Brudnopis!$E$25:$J$25),0)</f>
        <v>5.2083333333333329E-2</v>
      </c>
      <c r="V3687" s="44">
        <f>IF(Mecze[[#This Row],[Role]]&lt;&gt;"BR",SUMPRODUCT(Mecze[[#This Row],[/PR:90]:[/BR:90]],Brudnopis!$E$26:$J$26),0)</f>
        <v>4.1666666666666664E-2</v>
      </c>
      <c r="W3687" s="44">
        <f>IF(Mecze[[#This Row],[Role]]&lt;&gt;"BR",SUMPRODUCT(Mecze[[#This Row],[/PR:90]:[/BR:90]],Brudnopis!$E$27:$J$27),0)</f>
        <v>4.6875E-2</v>
      </c>
      <c r="X3687" s="44">
        <f>IF(Mecze[[#This Row],[Role]]&lt;&gt;"BR",SUMPRODUCT(Mecze[[#This Row],[/PR:90]:[/BR:90]],Brudnopis!$E$28:$J$28),0)</f>
        <v>2.0833333333333332E-2</v>
      </c>
      <c r="Y3687" s="35">
        <f>IF(Mecze[[#This Row],[Role]]="BR",Mecze[[#This Row],[/OB:90]]+Mecze[[#This Row],[/PC:90]],SUM(Mecze[[#This Row],[/PR:90]:[/BR:90]]))</f>
        <v>4.1666666666666664E-2</v>
      </c>
      <c r="Z3687" s="35">
        <f>IF(Mecze[[#This Row],[KC]]=0,SUM(Mecze[[#This Row],[/BRI]:[/NPI]]),SUM(Mecze[[#This Row],[/BRI]:[/NPI]])*0.6)</f>
        <v>0.203125</v>
      </c>
      <c r="AA3687" s="10">
        <f>IFERROR(Mecze[[#This Row],[BR]]/Mecze[[#This Row],[ST]],0)</f>
        <v>0</v>
      </c>
      <c r="AB3687">
        <f>ROUND(Mecze[[#This Row],[PD]]*Mecze[[#This Row],[%PC]],0)</f>
        <v>2</v>
      </c>
      <c r="AC3687">
        <f>ROUND(Mecze[[#This Row],[OD]]*Mecze[[#This Row],[%OU]],0)</f>
        <v>0</v>
      </c>
      <c r="AD3687" s="36" t="s">
        <v>175</v>
      </c>
      <c r="AE3687" s="36">
        <v>210</v>
      </c>
      <c r="AF3687" s="71">
        <v>4.34</v>
      </c>
      <c r="AG3687" s="37">
        <v>0</v>
      </c>
      <c r="AH3687" s="37">
        <v>0</v>
      </c>
      <c r="AI3687" s="37">
        <v>96</v>
      </c>
      <c r="AJ3687" s="37">
        <v>1</v>
      </c>
      <c r="AK3687" s="37" t="str">
        <f>VLOOKUP(Mecze[[#This Row],[Match ID]],Meczusie[Mecz]:Meczusie[RodzajMeczu],2,FALSE)</f>
        <v>Towarzyski</v>
      </c>
    </row>
    <row r="3688" spans="1:37" x14ac:dyDescent="0.25">
      <c r="A3688" s="76">
        <v>3</v>
      </c>
      <c r="B3688" s="3" t="s">
        <v>158</v>
      </c>
      <c r="C3688" s="2" t="s">
        <v>157</v>
      </c>
      <c r="D3688" s="1">
        <v>0</v>
      </c>
      <c r="E3688" s="1">
        <v>0</v>
      </c>
      <c r="F3688" s="1">
        <v>0</v>
      </c>
      <c r="G3688" s="1">
        <v>7</v>
      </c>
      <c r="H3688" s="4">
        <v>0.71</v>
      </c>
      <c r="I3688" s="1">
        <v>5</v>
      </c>
      <c r="J3688" s="4">
        <v>0.6</v>
      </c>
      <c r="K3688" s="1">
        <v>0</v>
      </c>
      <c r="L3688" s="1">
        <v>4</v>
      </c>
      <c r="M3688" s="32">
        <f>IF(Mecze[[#This Row],[PR]]=0,0,Mecze[[#This Row],[PR]]/Mecze[[#This Row],[CZAS]])</f>
        <v>4.1666666666666664E-2</v>
      </c>
      <c r="N3688" s="32">
        <f>IF(Mecze[[#This Row],[OU]]=0,0,Mecze[[#This Row],[OU]]/Mecze[[#This Row],[CZAS]])</f>
        <v>3.125E-2</v>
      </c>
      <c r="O3688" s="32">
        <f>IF(Mecze[[#This Row],[PC]]=0,0,Mecze[[#This Row],[PC]]/Mecze[[#This Row],[CZAS]])</f>
        <v>5.2083333333333336E-2</v>
      </c>
      <c r="P3688" s="32">
        <f>IF(Mecze[[#This Row],[SC]]=0,0,Mecze[[#This Row],[SC]]/Mecze[[#This Row],[CZAS]])</f>
        <v>0</v>
      </c>
      <c r="Q3688" s="32">
        <f>IF(Mecze[[#This Row],[OB]]=0,0,Mecze[[#This Row],[OB]]/Mecze[[#This Row],[CZAS]])</f>
        <v>0</v>
      </c>
      <c r="R3688" s="32">
        <f>IF(Mecze[[#This Row],[BR]]=0,0,Mecze[[#This Row],[BR]]/Mecze[[#This Row],[CZAS]])</f>
        <v>0</v>
      </c>
      <c r="S3688" s="44">
        <f>IF(Mecze[[#This Row],[Role]]="BR",SUMPRODUCT(Mecze[[#This Row],[/PR:90]:[/BR:90]],Brudnopis!$E$23:$J$23),0)</f>
        <v>0</v>
      </c>
      <c r="T3688" s="44">
        <f>IF(Mecze[[#This Row],[Role]]&lt;&gt;"BR",SUMPRODUCT(Mecze[[#This Row],[/PR:90]:[/BR:90]],Brudnopis!$E$24:$J$24),0)</f>
        <v>0.140625</v>
      </c>
      <c r="U3688" s="44">
        <f>IF(Mecze[[#This Row],[Role]]&lt;&gt;"BR",SUMPRODUCT(Mecze[[#This Row],[/PR:90]:[/BR:90]],Brudnopis!$E$25:$J$25),0)</f>
        <v>0.15104166666666666</v>
      </c>
      <c r="V3688" s="44">
        <f>IF(Mecze[[#This Row],[Role]]&lt;&gt;"BR",SUMPRODUCT(Mecze[[#This Row],[/PR:90]:[/BR:90]],Brudnopis!$E$26:$J$26),0)</f>
        <v>0.125</v>
      </c>
      <c r="W3688" s="44">
        <f>IF(Mecze[[#This Row],[Role]]&lt;&gt;"BR",SUMPRODUCT(Mecze[[#This Row],[/PR:90]:[/BR:90]],Brudnopis!$E$27:$J$27),0)</f>
        <v>0.1328125</v>
      </c>
      <c r="X3688" s="44">
        <f>IF(Mecze[[#This Row],[Role]]&lt;&gt;"BR",SUMPRODUCT(Mecze[[#This Row],[/PR:90]:[/BR:90]],Brudnopis!$E$28:$J$28),0)</f>
        <v>5.2083333333333336E-2</v>
      </c>
      <c r="Y3688" s="35">
        <f>IF(Mecze[[#This Row],[Role]]="BR",Mecze[[#This Row],[/OB:90]]+Mecze[[#This Row],[/PC:90]],SUM(Mecze[[#This Row],[/PR:90]:[/BR:90]]))</f>
        <v>0.125</v>
      </c>
      <c r="Z3688" s="35">
        <f>IF(Mecze[[#This Row],[KC]]=0,SUM(Mecze[[#This Row],[/BRI]:[/NPI]]),SUM(Mecze[[#This Row],[/BRI]:[/NPI]])*0.6)</f>
        <v>0.6015625</v>
      </c>
      <c r="AA3688" s="10">
        <f>IFERROR(Mecze[[#This Row],[BR]]/Mecze[[#This Row],[ST]],0)</f>
        <v>0</v>
      </c>
      <c r="AB3688">
        <f>ROUND(Mecze[[#This Row],[PD]]*Mecze[[#This Row],[%PC]],0)</f>
        <v>5</v>
      </c>
      <c r="AC3688">
        <f>ROUND(Mecze[[#This Row],[OD]]*Mecze[[#This Row],[%OU]],0)</f>
        <v>3</v>
      </c>
      <c r="AD3688" s="36" t="s">
        <v>174</v>
      </c>
      <c r="AE3688" s="36">
        <v>210</v>
      </c>
      <c r="AF3688" s="71">
        <v>5.88</v>
      </c>
      <c r="AG3688" s="37">
        <v>0</v>
      </c>
      <c r="AH3688" s="37">
        <v>0</v>
      </c>
      <c r="AI3688" s="37">
        <v>96</v>
      </c>
      <c r="AJ3688" s="37">
        <v>1</v>
      </c>
      <c r="AK3688" s="37" t="str">
        <f>VLOOKUP(Mecze[[#This Row],[Match ID]],Meczusie[Mecz]:Meczusie[RodzajMeczu],2,FALSE)</f>
        <v>Towarzyski</v>
      </c>
    </row>
    <row r="3689" spans="1:37" x14ac:dyDescent="0.25">
      <c r="A3689" s="76">
        <v>60</v>
      </c>
      <c r="B3689" s="3" t="s">
        <v>515</v>
      </c>
      <c r="C3689" s="2" t="s">
        <v>160</v>
      </c>
      <c r="D3689" s="1">
        <v>0</v>
      </c>
      <c r="E3689" s="1">
        <v>0</v>
      </c>
      <c r="F3689" s="1">
        <v>0</v>
      </c>
      <c r="G3689" s="1">
        <v>17</v>
      </c>
      <c r="H3689" s="4">
        <v>0.71</v>
      </c>
      <c r="I3689" s="1">
        <v>8</v>
      </c>
      <c r="J3689" s="4">
        <v>0.63</v>
      </c>
      <c r="K3689" s="1">
        <v>0</v>
      </c>
      <c r="L3689" s="1">
        <v>17</v>
      </c>
      <c r="M3689" s="32">
        <f>IF(Mecze[[#This Row],[PR]]=0,0,Mecze[[#This Row],[PR]]/Mecze[[#This Row],[CZAS]])</f>
        <v>0.17708333333333334</v>
      </c>
      <c r="N3689" s="32">
        <f>IF(Mecze[[#This Row],[OU]]=0,0,Mecze[[#This Row],[OU]]/Mecze[[#This Row],[CZAS]])</f>
        <v>5.2083333333333336E-2</v>
      </c>
      <c r="O3689" s="32">
        <f>IF(Mecze[[#This Row],[PC]]=0,0,Mecze[[#This Row],[PC]]/Mecze[[#This Row],[CZAS]])</f>
        <v>0.125</v>
      </c>
      <c r="P3689" s="32">
        <f>IF(Mecze[[#This Row],[SC]]=0,0,Mecze[[#This Row],[SC]]/Mecze[[#This Row],[CZAS]])</f>
        <v>0</v>
      </c>
      <c r="Q3689" s="32">
        <f>IF(Mecze[[#This Row],[OB]]=0,0,Mecze[[#This Row],[OB]]/Mecze[[#This Row],[CZAS]])</f>
        <v>0</v>
      </c>
      <c r="R3689" s="32">
        <f>IF(Mecze[[#This Row],[BR]]=0,0,Mecze[[#This Row],[BR]]/Mecze[[#This Row],[CZAS]])</f>
        <v>0</v>
      </c>
      <c r="S3689" s="44">
        <f>IF(Mecze[[#This Row],[Role]]="BR",SUMPRODUCT(Mecze[[#This Row],[/PR:90]:[/BR:90]],Brudnopis!$E$23:$J$23),0)</f>
        <v>0</v>
      </c>
      <c r="T3689" s="44">
        <f>IF(Mecze[[#This Row],[Role]]&lt;&gt;"BR",SUMPRODUCT(Mecze[[#This Row],[/PR:90]:[/BR:90]],Brudnopis!$E$24:$J$24),0)</f>
        <v>0.38020833333333337</v>
      </c>
      <c r="U3689" s="44">
        <f>IF(Mecze[[#This Row],[Role]]&lt;&gt;"BR",SUMPRODUCT(Mecze[[#This Row],[/PR:90]:[/BR:90]],Brudnopis!$E$25:$J$25),0)</f>
        <v>0.41666666666666669</v>
      </c>
      <c r="V3689" s="44">
        <f>IF(Mecze[[#This Row],[Role]]&lt;&gt;"BR",SUMPRODUCT(Mecze[[#This Row],[/PR:90]:[/BR:90]],Brudnopis!$E$26:$J$26),0)</f>
        <v>0.35416666666666669</v>
      </c>
      <c r="W3689" s="44">
        <f>IF(Mecze[[#This Row],[Role]]&lt;&gt;"BR",SUMPRODUCT(Mecze[[#This Row],[/PR:90]:[/BR:90]],Brudnopis!$E$27:$J$27),0)</f>
        <v>0.359375</v>
      </c>
      <c r="X3689" s="44">
        <f>IF(Mecze[[#This Row],[Role]]&lt;&gt;"BR",SUMPRODUCT(Mecze[[#This Row],[/PR:90]:[/BR:90]],Brudnopis!$E$28:$J$28),0)</f>
        <v>0.125</v>
      </c>
      <c r="Y3689" s="35">
        <f>IF(Mecze[[#This Row],[Role]]="BR",Mecze[[#This Row],[/OB:90]]+Mecze[[#This Row],[/PC:90]],SUM(Mecze[[#This Row],[/PR:90]:[/BR:90]]))</f>
        <v>0.35416666666666669</v>
      </c>
      <c r="Z3689" s="35">
        <f>IF(Mecze[[#This Row],[KC]]=0,SUM(Mecze[[#This Row],[/BRI]:[/NPI]]),SUM(Mecze[[#This Row],[/BRI]:[/NPI]])*0.6)</f>
        <v>1.6354166666666667</v>
      </c>
      <c r="AA3689" s="10">
        <f>IFERROR(Mecze[[#This Row],[BR]]/Mecze[[#This Row],[ST]],0)</f>
        <v>0</v>
      </c>
      <c r="AB3689">
        <f>ROUND(Mecze[[#This Row],[PD]]*Mecze[[#This Row],[%PC]],0)</f>
        <v>12</v>
      </c>
      <c r="AC3689">
        <f>ROUND(Mecze[[#This Row],[OD]]*Mecze[[#This Row],[%OU]],0)</f>
        <v>5</v>
      </c>
      <c r="AD3689" s="36" t="s">
        <v>41</v>
      </c>
      <c r="AE3689" s="36">
        <v>210</v>
      </c>
      <c r="AF3689" s="71">
        <v>8.6999999999999993</v>
      </c>
      <c r="AG3689" s="37">
        <v>0</v>
      </c>
      <c r="AH3689" s="37">
        <v>0</v>
      </c>
      <c r="AI3689" s="37">
        <v>96</v>
      </c>
      <c r="AJ3689" s="37">
        <v>1</v>
      </c>
      <c r="AK3689" s="37" t="str">
        <f>VLOOKUP(Mecze[[#This Row],[Match ID]],Meczusie[Mecz]:Meczusie[RodzajMeczu],2,FALSE)</f>
        <v>Towarzyski</v>
      </c>
    </row>
    <row r="3690" spans="1:37" x14ac:dyDescent="0.25">
      <c r="A3690" s="76">
        <v>13</v>
      </c>
      <c r="B3690" s="3" t="s">
        <v>162</v>
      </c>
      <c r="C3690" s="2" t="s">
        <v>160</v>
      </c>
      <c r="D3690" s="1">
        <v>1</v>
      </c>
      <c r="E3690" s="1">
        <v>3</v>
      </c>
      <c r="F3690" s="1">
        <v>2</v>
      </c>
      <c r="G3690" s="1">
        <v>13</v>
      </c>
      <c r="H3690" s="4">
        <v>0.85</v>
      </c>
      <c r="I3690" s="1">
        <v>6</v>
      </c>
      <c r="J3690" s="4">
        <v>0.5</v>
      </c>
      <c r="K3690" s="1">
        <v>0</v>
      </c>
      <c r="L3690" s="1">
        <v>6</v>
      </c>
      <c r="M3690" s="32">
        <f>IF(Mecze[[#This Row],[PR]]=0,0,Mecze[[#This Row],[PR]]/Mecze[[#This Row],[CZAS]])</f>
        <v>6.25E-2</v>
      </c>
      <c r="N3690" s="32">
        <f>IF(Mecze[[#This Row],[OU]]=0,0,Mecze[[#This Row],[OU]]/Mecze[[#This Row],[CZAS]])</f>
        <v>3.125E-2</v>
      </c>
      <c r="O3690" s="32">
        <f>IF(Mecze[[#This Row],[PC]]=0,0,Mecze[[#This Row],[PC]]/Mecze[[#This Row],[CZAS]])</f>
        <v>0.11458333333333333</v>
      </c>
      <c r="P3690" s="32">
        <f>IF(Mecze[[#This Row],[SC]]=0,0,Mecze[[#This Row],[SC]]/Mecze[[#This Row],[CZAS]])</f>
        <v>2.0833333333333332E-2</v>
      </c>
      <c r="Q3690" s="32">
        <f>IF(Mecze[[#This Row],[OB]]=0,0,Mecze[[#This Row],[OB]]/Mecze[[#This Row],[CZAS]])</f>
        <v>0</v>
      </c>
      <c r="R3690" s="32">
        <f>IF(Mecze[[#This Row],[BR]]=0,0,Mecze[[#This Row],[BR]]/Mecze[[#This Row],[CZAS]])</f>
        <v>1.0416666666666666E-2</v>
      </c>
      <c r="S3690" s="44">
        <f>IF(Mecze[[#This Row],[Role]]="BR",SUMPRODUCT(Mecze[[#This Row],[/PR:90]:[/BR:90]],Brudnopis!$E$23:$J$23),0)</f>
        <v>0</v>
      </c>
      <c r="T3690" s="44">
        <f>IF(Mecze[[#This Row],[Role]]&lt;&gt;"BR",SUMPRODUCT(Mecze[[#This Row],[/PR:90]:[/BR:90]],Brudnopis!$E$24:$J$24),0)</f>
        <v>0.26041666666666663</v>
      </c>
      <c r="U3690" s="44">
        <f>IF(Mecze[[#This Row],[Role]]&lt;&gt;"BR",SUMPRODUCT(Mecze[[#This Row],[/PR:90]:[/BR:90]],Brudnopis!$E$25:$J$25),0)</f>
        <v>0.30208333333333331</v>
      </c>
      <c r="V3690" s="44">
        <f>IF(Mecze[[#This Row],[Role]]&lt;&gt;"BR",SUMPRODUCT(Mecze[[#This Row],[/PR:90]:[/BR:90]],Brudnopis!$E$26:$J$26),0)</f>
        <v>0.25</v>
      </c>
      <c r="W3690" s="44">
        <f>IF(Mecze[[#This Row],[Role]]&lt;&gt;"BR",SUMPRODUCT(Mecze[[#This Row],[/PR:90]:[/BR:90]],Brudnopis!$E$27:$J$27),0)</f>
        <v>0.28385416666666663</v>
      </c>
      <c r="X3690" s="44">
        <f>IF(Mecze[[#This Row],[Role]]&lt;&gt;"BR",SUMPRODUCT(Mecze[[#This Row],[/PR:90]:[/BR:90]],Brudnopis!$E$28:$J$28),0)</f>
        <v>0.1875</v>
      </c>
      <c r="Y3690" s="35">
        <f>IF(Mecze[[#This Row],[Role]]="BR",Mecze[[#This Row],[/OB:90]]+Mecze[[#This Row],[/PC:90]],SUM(Mecze[[#This Row],[/PR:90]:[/BR:90]]))</f>
        <v>0.23958333333333331</v>
      </c>
      <c r="Z3690" s="35">
        <f>IF(Mecze[[#This Row],[KC]]=0,SUM(Mecze[[#This Row],[/BRI]:[/NPI]]),SUM(Mecze[[#This Row],[/BRI]:[/NPI]])*0.6)</f>
        <v>1.2838541666666665</v>
      </c>
      <c r="AA3690" s="10">
        <f>IFERROR(Mecze[[#This Row],[BR]]/Mecze[[#This Row],[ST]],0)</f>
        <v>0.33333333333333331</v>
      </c>
      <c r="AB3690">
        <f>ROUND(Mecze[[#This Row],[PD]]*Mecze[[#This Row],[%PC]],0)</f>
        <v>11</v>
      </c>
      <c r="AC3690">
        <f>ROUND(Mecze[[#This Row],[OD]]*Mecze[[#This Row],[%OU]],0)</f>
        <v>3</v>
      </c>
      <c r="AD3690" s="36" t="s">
        <v>67</v>
      </c>
      <c r="AE3690" s="36">
        <v>210</v>
      </c>
      <c r="AF3690" s="71">
        <v>9.8699999999999992</v>
      </c>
      <c r="AG3690" s="37">
        <v>0</v>
      </c>
      <c r="AH3690" s="37">
        <v>0</v>
      </c>
      <c r="AI3690" s="37">
        <v>96</v>
      </c>
      <c r="AJ3690" s="37">
        <v>1</v>
      </c>
      <c r="AK3690" s="37" t="str">
        <f>VLOOKUP(Mecze[[#This Row],[Match ID]],Meczusie[Mecz]:Meczusie[RodzajMeczu],2,FALSE)</f>
        <v>Towarzyski</v>
      </c>
    </row>
    <row r="3691" spans="1:37" x14ac:dyDescent="0.25">
      <c r="A3691" s="76">
        <v>15</v>
      </c>
      <c r="B3691" s="3" t="s">
        <v>170</v>
      </c>
      <c r="C3691" s="2" t="s">
        <v>160</v>
      </c>
      <c r="D3691" s="1">
        <v>0</v>
      </c>
      <c r="E3691" s="1">
        <v>2</v>
      </c>
      <c r="F3691" s="1">
        <v>2</v>
      </c>
      <c r="G3691" s="1">
        <v>8</v>
      </c>
      <c r="H3691" s="4">
        <v>0.63</v>
      </c>
      <c r="I3691" s="1">
        <v>0</v>
      </c>
      <c r="J3691" s="4"/>
      <c r="K3691" s="1">
        <v>0</v>
      </c>
      <c r="L3691" s="1">
        <v>2</v>
      </c>
      <c r="M3691" s="32">
        <f>IF(Mecze[[#This Row],[PR]]=0,0,Mecze[[#This Row],[PR]]/Mecze[[#This Row],[CZAS]])</f>
        <v>2.0833333333333332E-2</v>
      </c>
      <c r="N3691" s="32">
        <f>IF(Mecze[[#This Row],[OU]]=0,0,Mecze[[#This Row],[OU]]/Mecze[[#This Row],[CZAS]])</f>
        <v>0</v>
      </c>
      <c r="O3691" s="32">
        <f>IF(Mecze[[#This Row],[PC]]=0,0,Mecze[[#This Row],[PC]]/Mecze[[#This Row],[CZAS]])</f>
        <v>5.2083333333333336E-2</v>
      </c>
      <c r="P3691" s="32">
        <f>IF(Mecze[[#This Row],[SC]]=0,0,Mecze[[#This Row],[SC]]/Mecze[[#This Row],[CZAS]])</f>
        <v>2.0833333333333332E-2</v>
      </c>
      <c r="Q3691" s="32">
        <f>IF(Mecze[[#This Row],[OB]]=0,0,Mecze[[#This Row],[OB]]/Mecze[[#This Row],[CZAS]])</f>
        <v>0</v>
      </c>
      <c r="R3691" s="32">
        <f>IF(Mecze[[#This Row],[BR]]=0,0,Mecze[[#This Row],[BR]]/Mecze[[#This Row],[CZAS]])</f>
        <v>0</v>
      </c>
      <c r="S3691" s="44">
        <f>IF(Mecze[[#This Row],[Role]]="BR",SUMPRODUCT(Mecze[[#This Row],[/PR:90]:[/BR:90]],Brudnopis!$E$23:$J$23),0)</f>
        <v>0</v>
      </c>
      <c r="T3691" s="44">
        <f>IF(Mecze[[#This Row],[Role]]&lt;&gt;"BR",SUMPRODUCT(Mecze[[#This Row],[/PR:90]:[/BR:90]],Brudnopis!$E$24:$J$24),0)</f>
        <v>9.375E-2</v>
      </c>
      <c r="U3691" s="44">
        <f>IF(Mecze[[#This Row],[Role]]&lt;&gt;"BR",SUMPRODUCT(Mecze[[#This Row],[/PR:90]:[/BR:90]],Brudnopis!$E$25:$J$25),0)</f>
        <v>0.11979166666666666</v>
      </c>
      <c r="V3691" s="44">
        <f>IF(Mecze[[#This Row],[Role]]&lt;&gt;"BR",SUMPRODUCT(Mecze[[#This Row],[/PR:90]:[/BR:90]],Brudnopis!$E$26:$J$26),0)</f>
        <v>9.375E-2</v>
      </c>
      <c r="W3691" s="44">
        <f>IF(Mecze[[#This Row],[Role]]&lt;&gt;"BR",SUMPRODUCT(Mecze[[#This Row],[/PR:90]:[/BR:90]],Brudnopis!$E$27:$J$27),0)</f>
        <v>0.11458333333333333</v>
      </c>
      <c r="X3691" s="44">
        <f>IF(Mecze[[#This Row],[Role]]&lt;&gt;"BR",SUMPRODUCT(Mecze[[#This Row],[/PR:90]:[/BR:90]],Brudnopis!$E$28:$J$28),0)</f>
        <v>9.375E-2</v>
      </c>
      <c r="Y3691" s="35">
        <f>IF(Mecze[[#This Row],[Role]]="BR",Mecze[[#This Row],[/OB:90]]+Mecze[[#This Row],[/PC:90]],SUM(Mecze[[#This Row],[/PR:90]:[/BR:90]]))</f>
        <v>9.375E-2</v>
      </c>
      <c r="Z3691" s="35">
        <f>IF(Mecze[[#This Row],[KC]]=0,SUM(Mecze[[#This Row],[/BRI]:[/NPI]]),SUM(Mecze[[#This Row],[/BRI]:[/NPI]])*0.6)</f>
        <v>0.515625</v>
      </c>
      <c r="AA3691" s="10">
        <f>IFERROR(Mecze[[#This Row],[BR]]/Mecze[[#This Row],[ST]],0)</f>
        <v>0</v>
      </c>
      <c r="AB3691">
        <f>ROUND(Mecze[[#This Row],[PD]]*Mecze[[#This Row],[%PC]],0)</f>
        <v>5</v>
      </c>
      <c r="AC3691">
        <f>ROUND(Mecze[[#This Row],[OD]]*Mecze[[#This Row],[%OU]],0)</f>
        <v>0</v>
      </c>
      <c r="AD3691" s="36" t="s">
        <v>67</v>
      </c>
      <c r="AE3691" s="36">
        <v>210</v>
      </c>
      <c r="AF3691" s="71">
        <v>6.01</v>
      </c>
      <c r="AG3691" s="37">
        <v>0</v>
      </c>
      <c r="AH3691" s="37">
        <v>0</v>
      </c>
      <c r="AI3691" s="37">
        <v>96</v>
      </c>
      <c r="AJ3691" s="37">
        <v>1</v>
      </c>
      <c r="AK3691" s="37" t="str">
        <f>VLOOKUP(Mecze[[#This Row],[Match ID]],Meczusie[Mecz]:Meczusie[RodzajMeczu],2,FALSE)</f>
        <v>Towarzyski</v>
      </c>
    </row>
    <row r="3692" spans="1:37" x14ac:dyDescent="0.25">
      <c r="A3692" s="76">
        <v>14</v>
      </c>
      <c r="B3692" s="3" t="s">
        <v>164</v>
      </c>
      <c r="C3692" s="2" t="s">
        <v>165</v>
      </c>
      <c r="D3692" s="1">
        <v>2</v>
      </c>
      <c r="E3692" s="1">
        <v>11</v>
      </c>
      <c r="F3692" s="1">
        <v>11</v>
      </c>
      <c r="G3692" s="1">
        <v>10</v>
      </c>
      <c r="H3692" s="4">
        <v>0.8</v>
      </c>
      <c r="I3692" s="1">
        <v>4</v>
      </c>
      <c r="J3692" s="4">
        <v>0.5</v>
      </c>
      <c r="K3692" s="1">
        <v>0</v>
      </c>
      <c r="L3692" s="1">
        <v>0</v>
      </c>
      <c r="M3692" s="32">
        <f>IF(Mecze[[#This Row],[PR]]=0,0,Mecze[[#This Row],[PR]]/Mecze[[#This Row],[CZAS]])</f>
        <v>0</v>
      </c>
      <c r="N3692" s="32">
        <f>IF(Mecze[[#This Row],[OU]]=0,0,Mecze[[#This Row],[OU]]/Mecze[[#This Row],[CZAS]])</f>
        <v>2.0833333333333332E-2</v>
      </c>
      <c r="O3692" s="32">
        <f>IF(Mecze[[#This Row],[PC]]=0,0,Mecze[[#This Row],[PC]]/Mecze[[#This Row],[CZAS]])</f>
        <v>8.3333333333333329E-2</v>
      </c>
      <c r="P3692" s="32">
        <f>IF(Mecze[[#This Row],[SC]]=0,0,Mecze[[#This Row],[SC]]/Mecze[[#This Row],[CZAS]])</f>
        <v>0.11458333333333333</v>
      </c>
      <c r="Q3692" s="32">
        <f>IF(Mecze[[#This Row],[OB]]=0,0,Mecze[[#This Row],[OB]]/Mecze[[#This Row],[CZAS]])</f>
        <v>0</v>
      </c>
      <c r="R3692" s="32">
        <f>IF(Mecze[[#This Row],[BR]]=0,0,Mecze[[#This Row],[BR]]/Mecze[[#This Row],[CZAS]])</f>
        <v>2.0833333333333332E-2</v>
      </c>
      <c r="S3692" s="44">
        <f>IF(Mecze[[#This Row],[Role]]="BR",SUMPRODUCT(Mecze[[#This Row],[/PR:90]:[/BR:90]],Brudnopis!$E$23:$J$23),0)</f>
        <v>0</v>
      </c>
      <c r="T3692" s="44">
        <f>IF(Mecze[[#This Row],[Role]]&lt;&gt;"BR",SUMPRODUCT(Mecze[[#This Row],[/PR:90]:[/BR:90]],Brudnopis!$E$24:$J$24),0)</f>
        <v>0.26041666666666663</v>
      </c>
      <c r="U3692" s="44">
        <f>IF(Mecze[[#This Row],[Role]]&lt;&gt;"BR",SUMPRODUCT(Mecze[[#This Row],[/PR:90]:[/BR:90]],Brudnopis!$E$25:$J$25),0)</f>
        <v>0.29166666666666669</v>
      </c>
      <c r="V3692" s="44">
        <f>IF(Mecze[[#This Row],[Role]]&lt;&gt;"BR",SUMPRODUCT(Mecze[[#This Row],[/PR:90]:[/BR:90]],Brudnopis!$E$26:$J$26),0)</f>
        <v>0.26041666666666669</v>
      </c>
      <c r="W3692" s="44">
        <f>IF(Mecze[[#This Row],[Role]]&lt;&gt;"BR",SUMPRODUCT(Mecze[[#This Row],[/PR:90]:[/BR:90]],Brudnopis!$E$27:$J$27),0)</f>
        <v>0.296875</v>
      </c>
      <c r="X3692" s="44">
        <f>IF(Mecze[[#This Row],[Role]]&lt;&gt;"BR",SUMPRODUCT(Mecze[[#This Row],[/PR:90]:[/BR:90]],Brudnopis!$E$28:$J$28),0)</f>
        <v>0.375</v>
      </c>
      <c r="Y3692" s="35">
        <f>IF(Mecze[[#This Row],[Role]]="BR",Mecze[[#This Row],[/OB:90]]+Mecze[[#This Row],[/PC:90]],SUM(Mecze[[#This Row],[/PR:90]:[/BR:90]]))</f>
        <v>0.23958333333333334</v>
      </c>
      <c r="Z3692" s="35">
        <f>IF(Mecze[[#This Row],[KC]]=0,SUM(Mecze[[#This Row],[/BRI]:[/NPI]]),SUM(Mecze[[#This Row],[/BRI]:[/NPI]])*0.6)</f>
        <v>1.484375</v>
      </c>
      <c r="AA3692" s="10">
        <f>IFERROR(Mecze[[#This Row],[BR]]/Mecze[[#This Row],[ST]],0)</f>
        <v>0.18181818181818182</v>
      </c>
      <c r="AB3692">
        <f>ROUND(Mecze[[#This Row],[PD]]*Mecze[[#This Row],[%PC]],0)</f>
        <v>8</v>
      </c>
      <c r="AC3692">
        <f>ROUND(Mecze[[#This Row],[OD]]*Mecze[[#This Row],[%OU]],0)</f>
        <v>2</v>
      </c>
      <c r="AD3692" s="36" t="s">
        <v>46</v>
      </c>
      <c r="AE3692" s="36">
        <v>210</v>
      </c>
      <c r="AF3692" s="71">
        <v>13.2</v>
      </c>
      <c r="AG3692" s="37">
        <v>0</v>
      </c>
      <c r="AH3692" s="37">
        <v>0</v>
      </c>
      <c r="AI3692" s="37">
        <v>96</v>
      </c>
      <c r="AJ3692" s="37">
        <v>1</v>
      </c>
      <c r="AK3692" s="37" t="str">
        <f>VLOOKUP(Mecze[[#This Row],[Match ID]],Meczusie[Mecz]:Meczusie[RodzajMeczu],2,FALSE)</f>
        <v>Towarzyski</v>
      </c>
    </row>
    <row r="3693" spans="1:37" x14ac:dyDescent="0.25">
      <c r="A3693" s="76">
        <v>19</v>
      </c>
      <c r="B3693" s="3" t="s">
        <v>166</v>
      </c>
      <c r="C3693" s="2" t="s">
        <v>165</v>
      </c>
      <c r="D3693" s="1">
        <v>0</v>
      </c>
      <c r="E3693" s="1">
        <v>5</v>
      </c>
      <c r="F3693" s="1">
        <v>4</v>
      </c>
      <c r="G3693" s="1">
        <v>7</v>
      </c>
      <c r="H3693" s="4">
        <v>0.71</v>
      </c>
      <c r="I3693" s="1">
        <v>6</v>
      </c>
      <c r="J3693" s="4">
        <v>0.5</v>
      </c>
      <c r="K3693" s="1">
        <v>0</v>
      </c>
      <c r="L3693" s="1">
        <v>0</v>
      </c>
      <c r="M3693" s="32">
        <f>IF(Mecze[[#This Row],[PR]]=0,0,Mecze[[#This Row],[PR]]/Mecze[[#This Row],[CZAS]])</f>
        <v>0</v>
      </c>
      <c r="N3693" s="32">
        <f>IF(Mecze[[#This Row],[OU]]=0,0,Mecze[[#This Row],[OU]]/Mecze[[#This Row],[CZAS]])</f>
        <v>3.125E-2</v>
      </c>
      <c r="O3693" s="32">
        <f>IF(Mecze[[#This Row],[PC]]=0,0,Mecze[[#This Row],[PC]]/Mecze[[#This Row],[CZAS]])</f>
        <v>5.2083333333333336E-2</v>
      </c>
      <c r="P3693" s="32">
        <f>IF(Mecze[[#This Row],[SC]]=0,0,Mecze[[#This Row],[SC]]/Mecze[[#This Row],[CZAS]])</f>
        <v>4.1666666666666664E-2</v>
      </c>
      <c r="Q3693" s="32">
        <f>IF(Mecze[[#This Row],[OB]]=0,0,Mecze[[#This Row],[OB]]/Mecze[[#This Row],[CZAS]])</f>
        <v>0</v>
      </c>
      <c r="R3693" s="32">
        <f>IF(Mecze[[#This Row],[BR]]=0,0,Mecze[[#This Row],[BR]]/Mecze[[#This Row],[CZAS]])</f>
        <v>0</v>
      </c>
      <c r="S3693" s="44">
        <f>IF(Mecze[[#This Row],[Role]]="BR",SUMPRODUCT(Mecze[[#This Row],[/PR:90]:[/BR:90]],Brudnopis!$E$23:$J$23),0)</f>
        <v>0</v>
      </c>
      <c r="T3693" s="44">
        <f>IF(Mecze[[#This Row],[Role]]&lt;&gt;"BR",SUMPRODUCT(Mecze[[#This Row],[/PR:90]:[/BR:90]],Brudnopis!$E$24:$J$24),0)</f>
        <v>0.140625</v>
      </c>
      <c r="U3693" s="44">
        <f>IF(Mecze[[#This Row],[Role]]&lt;&gt;"BR",SUMPRODUCT(Mecze[[#This Row],[/PR:90]:[/BR:90]],Brudnopis!$E$25:$J$25),0)</f>
        <v>0.15104166666666666</v>
      </c>
      <c r="V3693" s="44">
        <f>IF(Mecze[[#This Row],[Role]]&lt;&gt;"BR",SUMPRODUCT(Mecze[[#This Row],[/PR:90]:[/BR:90]],Brudnopis!$E$26:$J$26),0)</f>
        <v>0.125</v>
      </c>
      <c r="W3693" s="44">
        <f>IF(Mecze[[#This Row],[Role]]&lt;&gt;"BR",SUMPRODUCT(Mecze[[#This Row],[/PR:90]:[/BR:90]],Brudnopis!$E$27:$J$27),0)</f>
        <v>0.14322916666666666</v>
      </c>
      <c r="X3693" s="44">
        <f>IF(Mecze[[#This Row],[Role]]&lt;&gt;"BR",SUMPRODUCT(Mecze[[#This Row],[/PR:90]:[/BR:90]],Brudnopis!$E$28:$J$28),0)</f>
        <v>0.13541666666666666</v>
      </c>
      <c r="Y3693" s="35">
        <f>IF(Mecze[[#This Row],[Role]]="BR",Mecze[[#This Row],[/OB:90]]+Mecze[[#This Row],[/PC:90]],SUM(Mecze[[#This Row],[/PR:90]:[/BR:90]]))</f>
        <v>0.125</v>
      </c>
      <c r="Z3693" s="35">
        <f>IF(Mecze[[#This Row],[KC]]=0,SUM(Mecze[[#This Row],[/BRI]:[/NPI]]),SUM(Mecze[[#This Row],[/BRI]:[/NPI]])*0.6)</f>
        <v>0.69531249999999989</v>
      </c>
      <c r="AA3693" s="10">
        <f>IFERROR(Mecze[[#This Row],[BR]]/Mecze[[#This Row],[ST]],0)</f>
        <v>0</v>
      </c>
      <c r="AB3693">
        <f>ROUND(Mecze[[#This Row],[PD]]*Mecze[[#This Row],[%PC]],0)</f>
        <v>5</v>
      </c>
      <c r="AC3693">
        <f>ROUND(Mecze[[#This Row],[OD]]*Mecze[[#This Row],[%OU]],0)</f>
        <v>3</v>
      </c>
      <c r="AD3693" s="36" t="s">
        <v>46</v>
      </c>
      <c r="AE3693" s="36">
        <v>210</v>
      </c>
      <c r="AF3693" s="71">
        <v>5.03</v>
      </c>
      <c r="AG3693" s="37">
        <v>1</v>
      </c>
      <c r="AH3693" s="37">
        <v>0</v>
      </c>
      <c r="AI3693" s="37">
        <v>96</v>
      </c>
      <c r="AJ3693" s="37">
        <v>1</v>
      </c>
      <c r="AK3693" s="37" t="str">
        <f>VLOOKUP(Mecze[[#This Row],[Match ID]],Meczusie[Mecz]:Meczusie[RodzajMeczu],2,FALSE)</f>
        <v>Towarzyski</v>
      </c>
    </row>
    <row r="3694" spans="1:37" x14ac:dyDescent="0.25">
      <c r="A3694" s="76">
        <v>9</v>
      </c>
      <c r="B3694" s="3" t="s">
        <v>411</v>
      </c>
      <c r="C3694" s="2" t="s">
        <v>165</v>
      </c>
      <c r="D3694" s="1">
        <v>1</v>
      </c>
      <c r="E3694" s="1">
        <v>6</v>
      </c>
      <c r="F3694" s="1">
        <v>5</v>
      </c>
      <c r="G3694" s="1">
        <v>3</v>
      </c>
      <c r="H3694" s="4">
        <v>0.33</v>
      </c>
      <c r="I3694" s="1">
        <v>2</v>
      </c>
      <c r="J3694" s="4">
        <v>0.5</v>
      </c>
      <c r="K3694" s="1">
        <v>0</v>
      </c>
      <c r="L3694" s="1">
        <v>0</v>
      </c>
      <c r="M3694" s="32">
        <f>IF(Mecze[[#This Row],[PR]]=0,0,Mecze[[#This Row],[PR]]/Mecze[[#This Row],[CZAS]])</f>
        <v>0</v>
      </c>
      <c r="N3694" s="32">
        <f>IF(Mecze[[#This Row],[OU]]=0,0,Mecze[[#This Row],[OU]]/Mecze[[#This Row],[CZAS]])</f>
        <v>1.0416666666666666E-2</v>
      </c>
      <c r="O3694" s="32">
        <f>IF(Mecze[[#This Row],[PC]]=0,0,Mecze[[#This Row],[PC]]/Mecze[[#This Row],[CZAS]])</f>
        <v>1.0416666666666666E-2</v>
      </c>
      <c r="P3694" s="32">
        <f>IF(Mecze[[#This Row],[SC]]=0,0,Mecze[[#This Row],[SC]]/Mecze[[#This Row],[CZAS]])</f>
        <v>5.2083333333333336E-2</v>
      </c>
      <c r="Q3694" s="32">
        <f>IF(Mecze[[#This Row],[OB]]=0,0,Mecze[[#This Row],[OB]]/Mecze[[#This Row],[CZAS]])</f>
        <v>0</v>
      </c>
      <c r="R3694" s="32">
        <f>IF(Mecze[[#This Row],[BR]]=0,0,Mecze[[#This Row],[BR]]/Mecze[[#This Row],[CZAS]])</f>
        <v>1.0416666666666666E-2</v>
      </c>
      <c r="S3694" s="44">
        <f>IF(Mecze[[#This Row],[Role]]="BR",SUMPRODUCT(Mecze[[#This Row],[/PR:90]:[/BR:90]],Brudnopis!$E$23:$J$23),0)</f>
        <v>0</v>
      </c>
      <c r="T3694" s="44">
        <f>IF(Mecze[[#This Row],[Role]]&lt;&gt;"BR",SUMPRODUCT(Mecze[[#This Row],[/PR:90]:[/BR:90]],Brudnopis!$E$24:$J$24),0)</f>
        <v>9.375E-2</v>
      </c>
      <c r="U3694" s="44">
        <f>IF(Mecze[[#This Row],[Role]]&lt;&gt;"BR",SUMPRODUCT(Mecze[[#This Row],[/PR:90]:[/BR:90]],Brudnopis!$E$25:$J$25),0)</f>
        <v>9.375E-2</v>
      </c>
      <c r="V3694" s="44">
        <f>IF(Mecze[[#This Row],[Role]]&lt;&gt;"BR",SUMPRODUCT(Mecze[[#This Row],[/PR:90]:[/BR:90]],Brudnopis!$E$26:$J$26),0)</f>
        <v>9.375E-2</v>
      </c>
      <c r="W3694" s="44">
        <f>IF(Mecze[[#This Row],[Role]]&lt;&gt;"BR",SUMPRODUCT(Mecze[[#This Row],[/PR:90]:[/BR:90]],Brudnopis!$E$27:$J$27),0)</f>
        <v>9.6354166666666671E-2</v>
      </c>
      <c r="X3694" s="44">
        <f>IF(Mecze[[#This Row],[Role]]&lt;&gt;"BR",SUMPRODUCT(Mecze[[#This Row],[/PR:90]:[/BR:90]],Brudnopis!$E$28:$J$28),0)</f>
        <v>0.14583333333333334</v>
      </c>
      <c r="Y3694" s="35">
        <f>IF(Mecze[[#This Row],[Role]]="BR",Mecze[[#This Row],[/OB:90]]+Mecze[[#This Row],[/PC:90]],SUM(Mecze[[#This Row],[/PR:90]:[/BR:90]]))</f>
        <v>8.3333333333333343E-2</v>
      </c>
      <c r="Z3694" s="35">
        <f>IF(Mecze[[#This Row],[KC]]=0,SUM(Mecze[[#This Row],[/BRI]:[/NPI]]),SUM(Mecze[[#This Row],[/BRI]:[/NPI]])*0.6)</f>
        <v>0.5234375</v>
      </c>
      <c r="AA3694" s="10">
        <f>IFERROR(Mecze[[#This Row],[BR]]/Mecze[[#This Row],[ST]],0)</f>
        <v>0.16666666666666666</v>
      </c>
      <c r="AB3694">
        <f>ROUND(Mecze[[#This Row],[PD]]*Mecze[[#This Row],[%PC]],0)</f>
        <v>1</v>
      </c>
      <c r="AC3694">
        <f>ROUND(Mecze[[#This Row],[OD]]*Mecze[[#This Row],[%OU]],0)</f>
        <v>1</v>
      </c>
      <c r="AD3694" s="36" t="s">
        <v>46</v>
      </c>
      <c r="AE3694" s="36">
        <v>210</v>
      </c>
      <c r="AF3694" s="71">
        <v>7.33</v>
      </c>
      <c r="AG3694" s="37">
        <v>0</v>
      </c>
      <c r="AH3694" s="37">
        <v>0</v>
      </c>
      <c r="AI3694" s="37">
        <v>96</v>
      </c>
      <c r="AJ3694" s="37">
        <v>1</v>
      </c>
      <c r="AK3694" s="37" t="str">
        <f>VLOOKUP(Mecze[[#This Row],[Match ID]],Meczusie[Mecz]:Meczusie[RodzajMeczu],2,FALSE)</f>
        <v>Towarzyski</v>
      </c>
    </row>
    <row r="3695" spans="1:37" x14ac:dyDescent="0.25">
      <c r="A3695" s="76">
        <v>1</v>
      </c>
      <c r="B3695" s="3" t="s">
        <v>169</v>
      </c>
      <c r="C3695" s="2" t="s">
        <v>155</v>
      </c>
      <c r="D3695" s="1">
        <v>0</v>
      </c>
      <c r="E3695" s="1">
        <v>0</v>
      </c>
      <c r="F3695" s="1">
        <v>0</v>
      </c>
      <c r="G3695" s="1">
        <v>3</v>
      </c>
      <c r="H3695" s="4">
        <v>1</v>
      </c>
      <c r="I3695" s="1">
        <v>0</v>
      </c>
      <c r="J3695" s="4"/>
      <c r="K3695" s="1">
        <v>1</v>
      </c>
      <c r="L3695" s="1">
        <v>0</v>
      </c>
      <c r="M3695" s="32">
        <f>IF(Mecze[[#This Row],[PR]]=0,0,Mecze[[#This Row],[PR]]/Mecze[[#This Row],[CZAS]])</f>
        <v>0</v>
      </c>
      <c r="N3695" s="32">
        <f>IF(Mecze[[#This Row],[OU]]=0,0,Mecze[[#This Row],[OU]]/Mecze[[#This Row],[CZAS]])</f>
        <v>0</v>
      </c>
      <c r="O3695" s="32">
        <f>IF(Mecze[[#This Row],[PC]]=0,0,Mecze[[#This Row],[PC]]/Mecze[[#This Row],[CZAS]])</f>
        <v>3.125E-2</v>
      </c>
      <c r="P3695" s="32">
        <f>IF(Mecze[[#This Row],[SC]]=0,0,Mecze[[#This Row],[SC]]/Mecze[[#This Row],[CZAS]])</f>
        <v>0</v>
      </c>
      <c r="Q3695" s="32">
        <f>IF(Mecze[[#This Row],[OB]]=0,0,Mecze[[#This Row],[OB]]/Mecze[[#This Row],[CZAS]])</f>
        <v>1.0416666666666666E-2</v>
      </c>
      <c r="R3695" s="32">
        <f>IF(Mecze[[#This Row],[BR]]=0,0,Mecze[[#This Row],[BR]]/Mecze[[#This Row],[CZAS]])</f>
        <v>0</v>
      </c>
      <c r="S3695" s="44">
        <f>IF(Mecze[[#This Row],[Role]]="BR",SUMPRODUCT(Mecze[[#This Row],[/PR:90]:[/BR:90]],Brudnopis!$E$23:$J$23),0)</f>
        <v>0.125</v>
      </c>
      <c r="T3695" s="44">
        <f>IF(Mecze[[#This Row],[Role]]&lt;&gt;"BR",SUMPRODUCT(Mecze[[#This Row],[/PR:90]:[/BR:90]],Brudnopis!$E$24:$J$24),0)</f>
        <v>0</v>
      </c>
      <c r="U3695" s="44">
        <f>IF(Mecze[[#This Row],[Role]]&lt;&gt;"BR",SUMPRODUCT(Mecze[[#This Row],[/PR:90]:[/BR:90]],Brudnopis!$E$25:$J$25),0)</f>
        <v>0</v>
      </c>
      <c r="V3695" s="44">
        <f>IF(Mecze[[#This Row],[Role]]&lt;&gt;"BR",SUMPRODUCT(Mecze[[#This Row],[/PR:90]:[/BR:90]],Brudnopis!$E$26:$J$26),0)</f>
        <v>0</v>
      </c>
      <c r="W3695" s="44">
        <f>IF(Mecze[[#This Row],[Role]]&lt;&gt;"BR",SUMPRODUCT(Mecze[[#This Row],[/PR:90]:[/BR:90]],Brudnopis!$E$27:$J$27),0)</f>
        <v>0</v>
      </c>
      <c r="X3695" s="44">
        <f>IF(Mecze[[#This Row],[Role]]&lt;&gt;"BR",SUMPRODUCT(Mecze[[#This Row],[/PR:90]:[/BR:90]],Brudnopis!$E$28:$J$28),0)</f>
        <v>0</v>
      </c>
      <c r="Y3695" s="35">
        <f>IF(Mecze[[#This Row],[Role]]="BR",Mecze[[#This Row],[/OB:90]]+Mecze[[#This Row],[/PC:90]],SUM(Mecze[[#This Row],[/PR:90]:[/BR:90]]))</f>
        <v>4.1666666666666664E-2</v>
      </c>
      <c r="Z3695" s="35">
        <f>IF(Mecze[[#This Row],[KC]]=0,SUM(Mecze[[#This Row],[/BRI]:[/NPI]]),SUM(Mecze[[#This Row],[/BRI]:[/NPI]])*0.6)</f>
        <v>0.125</v>
      </c>
      <c r="AA3695" s="10">
        <f>IFERROR(Mecze[[#This Row],[BR]]/Mecze[[#This Row],[ST]],0)</f>
        <v>0</v>
      </c>
      <c r="AB3695">
        <f>ROUND(Mecze[[#This Row],[PD]]*Mecze[[#This Row],[%PC]],0)</f>
        <v>3</v>
      </c>
      <c r="AC3695">
        <f>ROUND(Mecze[[#This Row],[OD]]*Mecze[[#This Row],[%OU]],0)</f>
        <v>0</v>
      </c>
      <c r="AD3695" s="36" t="s">
        <v>40</v>
      </c>
      <c r="AE3695" s="36">
        <v>211</v>
      </c>
      <c r="AF3695" s="71">
        <v>7.39</v>
      </c>
      <c r="AG3695" s="37">
        <v>0</v>
      </c>
      <c r="AH3695" s="37">
        <v>0</v>
      </c>
      <c r="AI3695" s="37">
        <v>96</v>
      </c>
      <c r="AJ3695" s="37">
        <v>1</v>
      </c>
      <c r="AK3695" s="37" t="str">
        <f>VLOOKUP(Mecze[[#This Row],[Match ID]],Meczusie[Mecz]:Meczusie[RodzajMeczu],2,FALSE)</f>
        <v>Towarzyski</v>
      </c>
    </row>
    <row r="3696" spans="1:37" x14ac:dyDescent="0.25">
      <c r="A3696" s="76">
        <v>5</v>
      </c>
      <c r="B3696" s="3" t="s">
        <v>161</v>
      </c>
      <c r="C3696" s="2" t="s">
        <v>157</v>
      </c>
      <c r="D3696" s="1">
        <v>0</v>
      </c>
      <c r="E3696" s="1">
        <v>0</v>
      </c>
      <c r="F3696" s="1">
        <v>0</v>
      </c>
      <c r="G3696" s="1">
        <v>10</v>
      </c>
      <c r="H3696" s="4">
        <v>0.6</v>
      </c>
      <c r="I3696" s="1">
        <v>5</v>
      </c>
      <c r="J3696" s="4">
        <v>0.2</v>
      </c>
      <c r="K3696" s="1">
        <v>0</v>
      </c>
      <c r="L3696" s="1">
        <v>7</v>
      </c>
      <c r="M3696" s="32">
        <f>IF(Mecze[[#This Row],[PR]]=0,0,Mecze[[#This Row],[PR]]/Mecze[[#This Row],[CZAS]])</f>
        <v>7.2916666666666671E-2</v>
      </c>
      <c r="N3696" s="32">
        <f>IF(Mecze[[#This Row],[OU]]=0,0,Mecze[[#This Row],[OU]]/Mecze[[#This Row],[CZAS]])</f>
        <v>1.0416666666666666E-2</v>
      </c>
      <c r="O3696" s="32">
        <f>IF(Mecze[[#This Row],[PC]]=0,0,Mecze[[#This Row],[PC]]/Mecze[[#This Row],[CZAS]])</f>
        <v>6.25E-2</v>
      </c>
      <c r="P3696" s="32">
        <f>IF(Mecze[[#This Row],[SC]]=0,0,Mecze[[#This Row],[SC]]/Mecze[[#This Row],[CZAS]])</f>
        <v>0</v>
      </c>
      <c r="Q3696" s="32">
        <f>IF(Mecze[[#This Row],[OB]]=0,0,Mecze[[#This Row],[OB]]/Mecze[[#This Row],[CZAS]])</f>
        <v>0</v>
      </c>
      <c r="R3696" s="32">
        <f>IF(Mecze[[#This Row],[BR]]=0,0,Mecze[[#This Row],[BR]]/Mecze[[#This Row],[CZAS]])</f>
        <v>0</v>
      </c>
      <c r="S3696" s="44">
        <f>IF(Mecze[[#This Row],[Role]]="BR",SUMPRODUCT(Mecze[[#This Row],[/PR:90]:[/BR:90]],Brudnopis!$E$23:$J$23),0)</f>
        <v>0</v>
      </c>
      <c r="T3696" s="44">
        <f>IF(Mecze[[#This Row],[Role]]&lt;&gt;"BR",SUMPRODUCT(Mecze[[#This Row],[/PR:90]:[/BR:90]],Brudnopis!$E$24:$J$24),0)</f>
        <v>0.15104166666666669</v>
      </c>
      <c r="U3696" s="44">
        <f>IF(Mecze[[#This Row],[Role]]&lt;&gt;"BR",SUMPRODUCT(Mecze[[#This Row],[/PR:90]:[/BR:90]],Brudnopis!$E$25:$J$25),0)</f>
        <v>0.17708333333333334</v>
      </c>
      <c r="V3696" s="44">
        <f>IF(Mecze[[#This Row],[Role]]&lt;&gt;"BR",SUMPRODUCT(Mecze[[#This Row],[/PR:90]:[/BR:90]],Brudnopis!$E$26:$J$26),0)</f>
        <v>0.14583333333333334</v>
      </c>
      <c r="W3696" s="44">
        <f>IF(Mecze[[#This Row],[Role]]&lt;&gt;"BR",SUMPRODUCT(Mecze[[#This Row],[/PR:90]:[/BR:90]],Brudnopis!$E$27:$J$27),0)</f>
        <v>0.15625</v>
      </c>
      <c r="X3696" s="44">
        <f>IF(Mecze[[#This Row],[Role]]&lt;&gt;"BR",SUMPRODUCT(Mecze[[#This Row],[/PR:90]:[/BR:90]],Brudnopis!$E$28:$J$28),0)</f>
        <v>6.25E-2</v>
      </c>
      <c r="Y3696" s="35">
        <f>IF(Mecze[[#This Row],[Role]]="BR",Mecze[[#This Row],[/OB:90]]+Mecze[[#This Row],[/PC:90]],SUM(Mecze[[#This Row],[/PR:90]:[/BR:90]]))</f>
        <v>0.14583333333333334</v>
      </c>
      <c r="Z3696" s="35">
        <f>IF(Mecze[[#This Row],[KC]]=0,SUM(Mecze[[#This Row],[/BRI]:[/NPI]]),SUM(Mecze[[#This Row],[/BRI]:[/NPI]])*0.6)</f>
        <v>0.69270833333333337</v>
      </c>
      <c r="AA3696" s="10">
        <f>IFERROR(Mecze[[#This Row],[BR]]/Mecze[[#This Row],[ST]],0)</f>
        <v>0</v>
      </c>
      <c r="AB3696">
        <f>ROUND(Mecze[[#This Row],[PD]]*Mecze[[#This Row],[%PC]],0)</f>
        <v>6</v>
      </c>
      <c r="AC3696">
        <f>ROUND(Mecze[[#This Row],[OD]]*Mecze[[#This Row],[%OU]],0)</f>
        <v>1</v>
      </c>
      <c r="AD3696" s="36" t="s">
        <v>47</v>
      </c>
      <c r="AE3696" s="36">
        <v>211</v>
      </c>
      <c r="AF3696" s="71">
        <v>8.51</v>
      </c>
      <c r="AG3696" s="37">
        <v>0</v>
      </c>
      <c r="AH3696" s="37">
        <v>0</v>
      </c>
      <c r="AI3696" s="37">
        <v>96</v>
      </c>
      <c r="AJ3696" s="37">
        <v>1</v>
      </c>
      <c r="AK3696" s="37" t="str">
        <f>VLOOKUP(Mecze[[#This Row],[Match ID]],Meczusie[Mecz]:Meczusie[RodzajMeczu],2,FALSE)</f>
        <v>Towarzyski</v>
      </c>
    </row>
    <row r="3697" spans="1:37" x14ac:dyDescent="0.25">
      <c r="A3697" s="76">
        <v>3</v>
      </c>
      <c r="B3697" s="3" t="s">
        <v>158</v>
      </c>
      <c r="C3697" s="2" t="s">
        <v>157</v>
      </c>
      <c r="D3697" s="1">
        <v>0</v>
      </c>
      <c r="E3697" s="1">
        <v>0</v>
      </c>
      <c r="F3697" s="1">
        <v>0</v>
      </c>
      <c r="G3697" s="1">
        <v>3</v>
      </c>
      <c r="H3697" s="4">
        <v>0.33</v>
      </c>
      <c r="I3697" s="1">
        <v>2</v>
      </c>
      <c r="J3697" s="4">
        <v>0.5</v>
      </c>
      <c r="K3697" s="1">
        <v>0</v>
      </c>
      <c r="L3697" s="1">
        <v>3</v>
      </c>
      <c r="M3697" s="32">
        <f>IF(Mecze[[#This Row],[PR]]=0,0,Mecze[[#This Row],[PR]]/Mecze[[#This Row],[CZAS]])</f>
        <v>3.125E-2</v>
      </c>
      <c r="N3697" s="32">
        <f>IF(Mecze[[#This Row],[OU]]=0,0,Mecze[[#This Row],[OU]]/Mecze[[#This Row],[CZAS]])</f>
        <v>1.0416666666666666E-2</v>
      </c>
      <c r="O3697" s="32">
        <f>IF(Mecze[[#This Row],[PC]]=0,0,Mecze[[#This Row],[PC]]/Mecze[[#This Row],[CZAS]])</f>
        <v>1.0416666666666666E-2</v>
      </c>
      <c r="P3697" s="32">
        <f>IF(Mecze[[#This Row],[SC]]=0,0,Mecze[[#This Row],[SC]]/Mecze[[#This Row],[CZAS]])</f>
        <v>0</v>
      </c>
      <c r="Q3697" s="32">
        <f>IF(Mecze[[#This Row],[OB]]=0,0,Mecze[[#This Row],[OB]]/Mecze[[#This Row],[CZAS]])</f>
        <v>0</v>
      </c>
      <c r="R3697" s="32">
        <f>IF(Mecze[[#This Row],[BR]]=0,0,Mecze[[#This Row],[BR]]/Mecze[[#This Row],[CZAS]])</f>
        <v>0</v>
      </c>
      <c r="S3697" s="44">
        <f>IF(Mecze[[#This Row],[Role]]="BR",SUMPRODUCT(Mecze[[#This Row],[/PR:90]:[/BR:90]],Brudnopis!$E$23:$J$23),0)</f>
        <v>0</v>
      </c>
      <c r="T3697" s="44">
        <f>IF(Mecze[[#This Row],[Role]]&lt;&gt;"BR",SUMPRODUCT(Mecze[[#This Row],[/PR:90]:[/BR:90]],Brudnopis!$E$24:$J$24),0)</f>
        <v>5.7291666666666664E-2</v>
      </c>
      <c r="U3697" s="44">
        <f>IF(Mecze[[#This Row],[Role]]&lt;&gt;"BR",SUMPRODUCT(Mecze[[#This Row],[/PR:90]:[/BR:90]],Brudnopis!$E$25:$J$25),0)</f>
        <v>5.7291666666666664E-2</v>
      </c>
      <c r="V3697" s="44">
        <f>IF(Mecze[[#This Row],[Role]]&lt;&gt;"BR",SUMPRODUCT(Mecze[[#This Row],[/PR:90]:[/BR:90]],Brudnopis!$E$26:$J$26),0)</f>
        <v>5.2083333333333329E-2</v>
      </c>
      <c r="W3697" s="44">
        <f>IF(Mecze[[#This Row],[Role]]&lt;&gt;"BR",SUMPRODUCT(Mecze[[#This Row],[/PR:90]:[/BR:90]],Brudnopis!$E$27:$J$27),0)</f>
        <v>4.6875E-2</v>
      </c>
      <c r="X3697" s="44">
        <f>IF(Mecze[[#This Row],[Role]]&lt;&gt;"BR",SUMPRODUCT(Mecze[[#This Row],[/PR:90]:[/BR:90]],Brudnopis!$E$28:$J$28),0)</f>
        <v>1.0416666666666666E-2</v>
      </c>
      <c r="Y3697" s="35">
        <f>IF(Mecze[[#This Row],[Role]]="BR",Mecze[[#This Row],[/OB:90]]+Mecze[[#This Row],[/PC:90]],SUM(Mecze[[#This Row],[/PR:90]:[/BR:90]]))</f>
        <v>5.2083333333333329E-2</v>
      </c>
      <c r="Z3697" s="35">
        <f>IF(Mecze[[#This Row],[KC]]=0,SUM(Mecze[[#This Row],[/BRI]:[/NPI]]),SUM(Mecze[[#This Row],[/BRI]:[/NPI]])*0.6)</f>
        <v>0.22395833333333331</v>
      </c>
      <c r="AA3697" s="10">
        <f>IFERROR(Mecze[[#This Row],[BR]]/Mecze[[#This Row],[ST]],0)</f>
        <v>0</v>
      </c>
      <c r="AB3697">
        <f>ROUND(Mecze[[#This Row],[PD]]*Mecze[[#This Row],[%PC]],0)</f>
        <v>1</v>
      </c>
      <c r="AC3697">
        <f>ROUND(Mecze[[#This Row],[OD]]*Mecze[[#This Row],[%OU]],0)</f>
        <v>1</v>
      </c>
      <c r="AD3697" s="36" t="s">
        <v>168</v>
      </c>
      <c r="AE3697" s="36">
        <v>211</v>
      </c>
      <c r="AF3697" s="71">
        <v>7.67</v>
      </c>
      <c r="AG3697" s="37">
        <v>0</v>
      </c>
      <c r="AH3697" s="37">
        <v>0</v>
      </c>
      <c r="AI3697" s="37">
        <v>96</v>
      </c>
      <c r="AJ3697" s="37">
        <v>1</v>
      </c>
      <c r="AK3697" s="37" t="str">
        <f>VLOOKUP(Mecze[[#This Row],[Match ID]],Meczusie[Mecz]:Meczusie[RodzajMeczu],2,FALSE)</f>
        <v>Towarzyski</v>
      </c>
    </row>
    <row r="3698" spans="1:37" x14ac:dyDescent="0.25">
      <c r="A3698" s="76">
        <v>18</v>
      </c>
      <c r="B3698" s="3" t="s">
        <v>211</v>
      </c>
      <c r="C3698" s="2" t="s">
        <v>157</v>
      </c>
      <c r="D3698" s="1">
        <v>0</v>
      </c>
      <c r="E3698" s="1">
        <v>0</v>
      </c>
      <c r="F3698" s="1">
        <v>0</v>
      </c>
      <c r="G3698" s="1">
        <v>7</v>
      </c>
      <c r="H3698" s="4">
        <v>0.71</v>
      </c>
      <c r="I3698" s="1">
        <v>4</v>
      </c>
      <c r="J3698" s="4">
        <v>0.75</v>
      </c>
      <c r="K3698" s="1">
        <v>0</v>
      </c>
      <c r="L3698" s="1">
        <v>7</v>
      </c>
      <c r="M3698" s="32">
        <f>IF(Mecze[[#This Row],[PR]]=0,0,Mecze[[#This Row],[PR]]/Mecze[[#This Row],[CZAS]])</f>
        <v>7.2916666666666671E-2</v>
      </c>
      <c r="N3698" s="32">
        <f>IF(Mecze[[#This Row],[OU]]=0,0,Mecze[[#This Row],[OU]]/Mecze[[#This Row],[CZAS]])</f>
        <v>3.125E-2</v>
      </c>
      <c r="O3698" s="32">
        <f>IF(Mecze[[#This Row],[PC]]=0,0,Mecze[[#This Row],[PC]]/Mecze[[#This Row],[CZAS]])</f>
        <v>5.2083333333333336E-2</v>
      </c>
      <c r="P3698" s="32">
        <f>IF(Mecze[[#This Row],[SC]]=0,0,Mecze[[#This Row],[SC]]/Mecze[[#This Row],[CZAS]])</f>
        <v>0</v>
      </c>
      <c r="Q3698" s="32">
        <f>IF(Mecze[[#This Row],[OB]]=0,0,Mecze[[#This Row],[OB]]/Mecze[[#This Row],[CZAS]])</f>
        <v>0</v>
      </c>
      <c r="R3698" s="32">
        <f>IF(Mecze[[#This Row],[BR]]=0,0,Mecze[[#This Row],[BR]]/Mecze[[#This Row],[CZAS]])</f>
        <v>0</v>
      </c>
      <c r="S3698" s="44">
        <f>IF(Mecze[[#This Row],[Role]]="BR",SUMPRODUCT(Mecze[[#This Row],[/PR:90]:[/BR:90]],Brudnopis!$E$23:$J$23),0)</f>
        <v>0</v>
      </c>
      <c r="T3698" s="44">
        <f>IF(Mecze[[#This Row],[Role]]&lt;&gt;"BR",SUMPRODUCT(Mecze[[#This Row],[/PR:90]:[/BR:90]],Brudnopis!$E$24:$J$24),0)</f>
        <v>0.171875</v>
      </c>
      <c r="U3698" s="44">
        <f>IF(Mecze[[#This Row],[Role]]&lt;&gt;"BR",SUMPRODUCT(Mecze[[#This Row],[/PR:90]:[/BR:90]],Brudnopis!$E$25:$J$25),0)</f>
        <v>0.18229166666666669</v>
      </c>
      <c r="V3698" s="44">
        <f>IF(Mecze[[#This Row],[Role]]&lt;&gt;"BR",SUMPRODUCT(Mecze[[#This Row],[/PR:90]:[/BR:90]],Brudnopis!$E$26:$J$26),0)</f>
        <v>0.15625</v>
      </c>
      <c r="W3698" s="44">
        <f>IF(Mecze[[#This Row],[Role]]&lt;&gt;"BR",SUMPRODUCT(Mecze[[#This Row],[/PR:90]:[/BR:90]],Brudnopis!$E$27:$J$27),0)</f>
        <v>0.15625</v>
      </c>
      <c r="X3698" s="44">
        <f>IF(Mecze[[#This Row],[Role]]&lt;&gt;"BR",SUMPRODUCT(Mecze[[#This Row],[/PR:90]:[/BR:90]],Brudnopis!$E$28:$J$28),0)</f>
        <v>5.2083333333333336E-2</v>
      </c>
      <c r="Y3698" s="35">
        <f>IF(Mecze[[#This Row],[Role]]="BR",Mecze[[#This Row],[/OB:90]]+Mecze[[#This Row],[/PC:90]],SUM(Mecze[[#This Row],[/PR:90]:[/BR:90]]))</f>
        <v>0.15625</v>
      </c>
      <c r="Z3698" s="35">
        <f>IF(Mecze[[#This Row],[KC]]=0,SUM(Mecze[[#This Row],[/BRI]:[/NPI]]),SUM(Mecze[[#This Row],[/BRI]:[/NPI]])*0.6)</f>
        <v>0.71875000000000011</v>
      </c>
      <c r="AA3698" s="10">
        <f>IFERROR(Mecze[[#This Row],[BR]]/Mecze[[#This Row],[ST]],0)</f>
        <v>0</v>
      </c>
      <c r="AB3698">
        <f>ROUND(Mecze[[#This Row],[PD]]*Mecze[[#This Row],[%PC]],0)</f>
        <v>5</v>
      </c>
      <c r="AC3698">
        <f>ROUND(Mecze[[#This Row],[OD]]*Mecze[[#This Row],[%OU]],0)</f>
        <v>3</v>
      </c>
      <c r="AD3698" s="36" t="s">
        <v>167</v>
      </c>
      <c r="AE3698" s="36">
        <v>211</v>
      </c>
      <c r="AF3698" s="71">
        <v>9.6300000000000008</v>
      </c>
      <c r="AG3698" s="37">
        <v>0</v>
      </c>
      <c r="AH3698" s="37">
        <v>0</v>
      </c>
      <c r="AI3698" s="37">
        <v>96</v>
      </c>
      <c r="AJ3698" s="37">
        <v>1</v>
      </c>
      <c r="AK3698" s="37" t="str">
        <f>VLOOKUP(Mecze[[#This Row],[Match ID]],Meczusie[Mecz]:Meczusie[RodzajMeczu],2,FALSE)</f>
        <v>Towarzyski</v>
      </c>
    </row>
    <row r="3699" spans="1:37" x14ac:dyDescent="0.25">
      <c r="A3699" s="76">
        <v>6</v>
      </c>
      <c r="B3699" s="3" t="s">
        <v>159</v>
      </c>
      <c r="C3699" s="2" t="s">
        <v>160</v>
      </c>
      <c r="D3699" s="1">
        <v>0</v>
      </c>
      <c r="E3699" s="1">
        <v>0</v>
      </c>
      <c r="F3699" s="1">
        <v>0</v>
      </c>
      <c r="G3699" s="1">
        <v>11</v>
      </c>
      <c r="H3699" s="4">
        <v>0.73</v>
      </c>
      <c r="I3699" s="1">
        <v>5</v>
      </c>
      <c r="J3699" s="4">
        <v>0.8</v>
      </c>
      <c r="K3699" s="1">
        <v>0</v>
      </c>
      <c r="L3699" s="1">
        <v>10</v>
      </c>
      <c r="M3699" s="32">
        <f>IF(Mecze[[#This Row],[PR]]=0,0,Mecze[[#This Row],[PR]]/Mecze[[#This Row],[CZAS]])</f>
        <v>0.10416666666666667</v>
      </c>
      <c r="N3699" s="32">
        <f>IF(Mecze[[#This Row],[OU]]=0,0,Mecze[[#This Row],[OU]]/Mecze[[#This Row],[CZAS]])</f>
        <v>4.1666666666666664E-2</v>
      </c>
      <c r="O3699" s="32">
        <f>IF(Mecze[[#This Row],[PC]]=0,0,Mecze[[#This Row],[PC]]/Mecze[[#This Row],[CZAS]])</f>
        <v>8.3333333333333329E-2</v>
      </c>
      <c r="P3699" s="32">
        <f>IF(Mecze[[#This Row],[SC]]=0,0,Mecze[[#This Row],[SC]]/Mecze[[#This Row],[CZAS]])</f>
        <v>0</v>
      </c>
      <c r="Q3699" s="32">
        <f>IF(Mecze[[#This Row],[OB]]=0,0,Mecze[[#This Row],[OB]]/Mecze[[#This Row],[CZAS]])</f>
        <v>0</v>
      </c>
      <c r="R3699" s="32">
        <f>IF(Mecze[[#This Row],[BR]]=0,0,Mecze[[#This Row],[BR]]/Mecze[[#This Row],[CZAS]])</f>
        <v>0</v>
      </c>
      <c r="S3699" s="44">
        <f>IF(Mecze[[#This Row],[Role]]="BR",SUMPRODUCT(Mecze[[#This Row],[/PR:90]:[/BR:90]],Brudnopis!$E$23:$J$23),0)</f>
        <v>0</v>
      </c>
      <c r="T3699" s="44">
        <f>IF(Mecze[[#This Row],[Role]]&lt;&gt;"BR",SUMPRODUCT(Mecze[[#This Row],[/PR:90]:[/BR:90]],Brudnopis!$E$24:$J$24),0)</f>
        <v>0.25</v>
      </c>
      <c r="U3699" s="44">
        <f>IF(Mecze[[#This Row],[Role]]&lt;&gt;"BR",SUMPRODUCT(Mecze[[#This Row],[/PR:90]:[/BR:90]],Brudnopis!$E$25:$J$25),0)</f>
        <v>0.27083333333333337</v>
      </c>
      <c r="V3699" s="44">
        <f>IF(Mecze[[#This Row],[Role]]&lt;&gt;"BR",SUMPRODUCT(Mecze[[#This Row],[/PR:90]:[/BR:90]],Brudnopis!$E$26:$J$26),0)</f>
        <v>0.22916666666666669</v>
      </c>
      <c r="W3699" s="44">
        <f>IF(Mecze[[#This Row],[Role]]&lt;&gt;"BR",SUMPRODUCT(Mecze[[#This Row],[/PR:90]:[/BR:90]],Brudnopis!$E$27:$J$27),0)</f>
        <v>0.234375</v>
      </c>
      <c r="X3699" s="44">
        <f>IF(Mecze[[#This Row],[Role]]&lt;&gt;"BR",SUMPRODUCT(Mecze[[#This Row],[/PR:90]:[/BR:90]],Brudnopis!$E$28:$J$28),0)</f>
        <v>8.3333333333333329E-2</v>
      </c>
      <c r="Y3699" s="35">
        <f>IF(Mecze[[#This Row],[Role]]="BR",Mecze[[#This Row],[/OB:90]]+Mecze[[#This Row],[/PC:90]],SUM(Mecze[[#This Row],[/PR:90]:[/BR:90]]))</f>
        <v>0.22916666666666669</v>
      </c>
      <c r="Z3699" s="35">
        <f>IF(Mecze[[#This Row],[KC]]=0,SUM(Mecze[[#This Row],[/BRI]:[/NPI]]),SUM(Mecze[[#This Row],[/BRI]:[/NPI]])*0.6)</f>
        <v>1.0677083333333333</v>
      </c>
      <c r="AA3699" s="10">
        <f>IFERROR(Mecze[[#This Row],[BR]]/Mecze[[#This Row],[ST]],0)</f>
        <v>0</v>
      </c>
      <c r="AB3699">
        <f>ROUND(Mecze[[#This Row],[PD]]*Mecze[[#This Row],[%PC]],0)</f>
        <v>8</v>
      </c>
      <c r="AC3699">
        <f>ROUND(Mecze[[#This Row],[OD]]*Mecze[[#This Row],[%OU]],0)</f>
        <v>4</v>
      </c>
      <c r="AD3699" s="36" t="s">
        <v>41</v>
      </c>
      <c r="AE3699" s="36">
        <v>211</v>
      </c>
      <c r="AF3699" s="71">
        <v>10.35</v>
      </c>
      <c r="AG3699" s="37">
        <v>0</v>
      </c>
      <c r="AH3699" s="37">
        <v>0</v>
      </c>
      <c r="AI3699" s="37">
        <v>96</v>
      </c>
      <c r="AJ3699" s="37">
        <v>1</v>
      </c>
      <c r="AK3699" s="37" t="str">
        <f>VLOOKUP(Mecze[[#This Row],[Match ID]],Meczusie[Mecz]:Meczusie[RodzajMeczu],2,FALSE)</f>
        <v>Towarzyski</v>
      </c>
    </row>
    <row r="3700" spans="1:37" x14ac:dyDescent="0.25">
      <c r="A3700" s="76">
        <v>60</v>
      </c>
      <c r="B3700" s="3" t="s">
        <v>515</v>
      </c>
      <c r="C3700" s="2" t="s">
        <v>160</v>
      </c>
      <c r="D3700" s="1">
        <v>0</v>
      </c>
      <c r="E3700" s="1">
        <v>0</v>
      </c>
      <c r="F3700" s="1">
        <v>0</v>
      </c>
      <c r="G3700" s="1">
        <v>18</v>
      </c>
      <c r="H3700" s="4">
        <v>0.67</v>
      </c>
      <c r="I3700" s="1">
        <v>2</v>
      </c>
      <c r="J3700" s="4">
        <v>0.5</v>
      </c>
      <c r="K3700" s="1">
        <v>0</v>
      </c>
      <c r="L3700" s="1">
        <v>10</v>
      </c>
      <c r="M3700" s="32">
        <f>IF(Mecze[[#This Row],[PR]]=0,0,Mecze[[#This Row],[PR]]/Mecze[[#This Row],[CZAS]])</f>
        <v>0.10416666666666667</v>
      </c>
      <c r="N3700" s="32">
        <f>IF(Mecze[[#This Row],[OU]]=0,0,Mecze[[#This Row],[OU]]/Mecze[[#This Row],[CZAS]])</f>
        <v>1.0416666666666666E-2</v>
      </c>
      <c r="O3700" s="32">
        <f>IF(Mecze[[#This Row],[PC]]=0,0,Mecze[[#This Row],[PC]]/Mecze[[#This Row],[CZAS]])</f>
        <v>0.125</v>
      </c>
      <c r="P3700" s="32">
        <f>IF(Mecze[[#This Row],[SC]]=0,0,Mecze[[#This Row],[SC]]/Mecze[[#This Row],[CZAS]])</f>
        <v>0</v>
      </c>
      <c r="Q3700" s="32">
        <f>IF(Mecze[[#This Row],[OB]]=0,0,Mecze[[#This Row],[OB]]/Mecze[[#This Row],[CZAS]])</f>
        <v>0</v>
      </c>
      <c r="R3700" s="32">
        <f>IF(Mecze[[#This Row],[BR]]=0,0,Mecze[[#This Row],[BR]]/Mecze[[#This Row],[CZAS]])</f>
        <v>0</v>
      </c>
      <c r="S3700" s="44">
        <f>IF(Mecze[[#This Row],[Role]]="BR",SUMPRODUCT(Mecze[[#This Row],[/PR:90]:[/BR:90]],Brudnopis!$E$23:$J$23),0)</f>
        <v>0</v>
      </c>
      <c r="T3700" s="44">
        <f>IF(Mecze[[#This Row],[Role]]&lt;&gt;"BR",SUMPRODUCT(Mecze[[#This Row],[/PR:90]:[/BR:90]],Brudnopis!$E$24:$J$24),0)</f>
        <v>0.24479166666666669</v>
      </c>
      <c r="U3700" s="44">
        <f>IF(Mecze[[#This Row],[Role]]&lt;&gt;"BR",SUMPRODUCT(Mecze[[#This Row],[/PR:90]:[/BR:90]],Brudnopis!$E$25:$J$25),0)</f>
        <v>0.30208333333333337</v>
      </c>
      <c r="V3700" s="44">
        <f>IF(Mecze[[#This Row],[Role]]&lt;&gt;"BR",SUMPRODUCT(Mecze[[#This Row],[/PR:90]:[/BR:90]],Brudnopis!$E$26:$J$26),0)</f>
        <v>0.23958333333333334</v>
      </c>
      <c r="W3700" s="44">
        <f>IF(Mecze[[#This Row],[Role]]&lt;&gt;"BR",SUMPRODUCT(Mecze[[#This Row],[/PR:90]:[/BR:90]],Brudnopis!$E$27:$J$27),0)</f>
        <v>0.2734375</v>
      </c>
      <c r="X3700" s="44">
        <f>IF(Mecze[[#This Row],[Role]]&lt;&gt;"BR",SUMPRODUCT(Mecze[[#This Row],[/PR:90]:[/BR:90]],Brudnopis!$E$28:$J$28),0)</f>
        <v>0.125</v>
      </c>
      <c r="Y3700" s="35">
        <f>IF(Mecze[[#This Row],[Role]]="BR",Mecze[[#This Row],[/OB:90]]+Mecze[[#This Row],[/PC:90]],SUM(Mecze[[#This Row],[/PR:90]:[/BR:90]]))</f>
        <v>0.23958333333333334</v>
      </c>
      <c r="Z3700" s="35">
        <f>IF(Mecze[[#This Row],[KC]]=0,SUM(Mecze[[#This Row],[/BRI]:[/NPI]]),SUM(Mecze[[#This Row],[/BRI]:[/NPI]])*0.6)</f>
        <v>1.1848958333333335</v>
      </c>
      <c r="AA3700" s="10">
        <f>IFERROR(Mecze[[#This Row],[BR]]/Mecze[[#This Row],[ST]],0)</f>
        <v>0</v>
      </c>
      <c r="AB3700">
        <f>ROUND(Mecze[[#This Row],[PD]]*Mecze[[#This Row],[%PC]],0)</f>
        <v>12</v>
      </c>
      <c r="AC3700">
        <f>ROUND(Mecze[[#This Row],[OD]]*Mecze[[#This Row],[%OU]],0)</f>
        <v>1</v>
      </c>
      <c r="AD3700" s="36" t="s">
        <v>41</v>
      </c>
      <c r="AE3700" s="36">
        <v>211</v>
      </c>
      <c r="AF3700" s="71">
        <v>10.35</v>
      </c>
      <c r="AG3700" s="37">
        <v>0</v>
      </c>
      <c r="AH3700" s="37">
        <v>0</v>
      </c>
      <c r="AI3700" s="37">
        <v>96</v>
      </c>
      <c r="AJ3700" s="37">
        <v>1</v>
      </c>
      <c r="AK3700" s="37" t="str">
        <f>VLOOKUP(Mecze[[#This Row],[Match ID]],Meczusie[Mecz]:Meczusie[RodzajMeczu],2,FALSE)</f>
        <v>Towarzyski</v>
      </c>
    </row>
    <row r="3701" spans="1:37" x14ac:dyDescent="0.25">
      <c r="A3701" s="76">
        <v>15</v>
      </c>
      <c r="B3701" s="3" t="s">
        <v>170</v>
      </c>
      <c r="C3701" s="2" t="s">
        <v>160</v>
      </c>
      <c r="D3701" s="1">
        <v>0</v>
      </c>
      <c r="E3701" s="1">
        <v>1</v>
      </c>
      <c r="F3701" s="1">
        <v>0</v>
      </c>
      <c r="G3701" s="1">
        <v>14</v>
      </c>
      <c r="H3701" s="4">
        <v>0.64</v>
      </c>
      <c r="I3701" s="1">
        <v>4</v>
      </c>
      <c r="J3701" s="4">
        <v>0.5</v>
      </c>
      <c r="K3701" s="1">
        <v>0</v>
      </c>
      <c r="L3701" s="1">
        <v>9</v>
      </c>
      <c r="M3701" s="32">
        <f>IF(Mecze[[#This Row],[PR]]=0,0,Mecze[[#This Row],[PR]]/Mecze[[#This Row],[CZAS]])</f>
        <v>9.375E-2</v>
      </c>
      <c r="N3701" s="32">
        <f>IF(Mecze[[#This Row],[OU]]=0,0,Mecze[[#This Row],[OU]]/Mecze[[#This Row],[CZAS]])</f>
        <v>2.0833333333333332E-2</v>
      </c>
      <c r="O3701" s="32">
        <f>IF(Mecze[[#This Row],[PC]]=0,0,Mecze[[#This Row],[PC]]/Mecze[[#This Row],[CZAS]])</f>
        <v>9.375E-2</v>
      </c>
      <c r="P3701" s="32">
        <f>IF(Mecze[[#This Row],[SC]]=0,0,Mecze[[#This Row],[SC]]/Mecze[[#This Row],[CZAS]])</f>
        <v>0</v>
      </c>
      <c r="Q3701" s="32">
        <f>IF(Mecze[[#This Row],[OB]]=0,0,Mecze[[#This Row],[OB]]/Mecze[[#This Row],[CZAS]])</f>
        <v>0</v>
      </c>
      <c r="R3701" s="32">
        <f>IF(Mecze[[#This Row],[BR]]=0,0,Mecze[[#This Row],[BR]]/Mecze[[#This Row],[CZAS]])</f>
        <v>0</v>
      </c>
      <c r="S3701" s="44">
        <f>IF(Mecze[[#This Row],[Role]]="BR",SUMPRODUCT(Mecze[[#This Row],[/PR:90]:[/BR:90]],Brudnopis!$E$23:$J$23),0)</f>
        <v>0</v>
      </c>
      <c r="T3701" s="44">
        <f>IF(Mecze[[#This Row],[Role]]&lt;&gt;"BR",SUMPRODUCT(Mecze[[#This Row],[/PR:90]:[/BR:90]],Brudnopis!$E$24:$J$24),0)</f>
        <v>0.21875</v>
      </c>
      <c r="U3701" s="44">
        <f>IF(Mecze[[#This Row],[Role]]&lt;&gt;"BR",SUMPRODUCT(Mecze[[#This Row],[/PR:90]:[/BR:90]],Brudnopis!$E$25:$J$25),0)</f>
        <v>0.25520833333333331</v>
      </c>
      <c r="V3701" s="44">
        <f>IF(Mecze[[#This Row],[Role]]&lt;&gt;"BR",SUMPRODUCT(Mecze[[#This Row],[/PR:90]:[/BR:90]],Brudnopis!$E$26:$J$26),0)</f>
        <v>0.20833333333333331</v>
      </c>
      <c r="W3701" s="44">
        <f>IF(Mecze[[#This Row],[Role]]&lt;&gt;"BR",SUMPRODUCT(Mecze[[#This Row],[/PR:90]:[/BR:90]],Brudnopis!$E$27:$J$27),0)</f>
        <v>0.2265625</v>
      </c>
      <c r="X3701" s="44">
        <f>IF(Mecze[[#This Row],[Role]]&lt;&gt;"BR",SUMPRODUCT(Mecze[[#This Row],[/PR:90]:[/BR:90]],Brudnopis!$E$28:$J$28),0)</f>
        <v>9.375E-2</v>
      </c>
      <c r="Y3701" s="35">
        <f>IF(Mecze[[#This Row],[Role]]="BR",Mecze[[#This Row],[/OB:90]]+Mecze[[#This Row],[/PC:90]],SUM(Mecze[[#This Row],[/PR:90]:[/BR:90]]))</f>
        <v>0.20833333333333331</v>
      </c>
      <c r="Z3701" s="35">
        <f>IF(Mecze[[#This Row],[KC]]=0,SUM(Mecze[[#This Row],[/BRI]:[/NPI]]),SUM(Mecze[[#This Row],[/BRI]:[/NPI]])*0.6)</f>
        <v>1.0026041666666665</v>
      </c>
      <c r="AA3701" s="10">
        <f>IFERROR(Mecze[[#This Row],[BR]]/Mecze[[#This Row],[ST]],0)</f>
        <v>0</v>
      </c>
      <c r="AB3701">
        <f>ROUND(Mecze[[#This Row],[PD]]*Mecze[[#This Row],[%PC]],0)</f>
        <v>9</v>
      </c>
      <c r="AC3701">
        <f>ROUND(Mecze[[#This Row],[OD]]*Mecze[[#This Row],[%OU]],0)</f>
        <v>2</v>
      </c>
      <c r="AD3701" s="36" t="s">
        <v>67</v>
      </c>
      <c r="AE3701" s="36">
        <v>211</v>
      </c>
      <c r="AF3701" s="71">
        <v>10.14</v>
      </c>
      <c r="AG3701" s="37">
        <v>0</v>
      </c>
      <c r="AH3701" s="37">
        <v>0</v>
      </c>
      <c r="AI3701" s="37">
        <v>96</v>
      </c>
      <c r="AJ3701" s="37">
        <v>1</v>
      </c>
      <c r="AK3701" s="37" t="str">
        <f>VLOOKUP(Mecze[[#This Row],[Match ID]],Meczusie[Mecz]:Meczusie[RodzajMeczu],2,FALSE)</f>
        <v>Towarzyski</v>
      </c>
    </row>
    <row r="3702" spans="1:37" x14ac:dyDescent="0.25">
      <c r="A3702" s="76">
        <v>13</v>
      </c>
      <c r="B3702" s="3" t="s">
        <v>162</v>
      </c>
      <c r="C3702" s="2" t="s">
        <v>160</v>
      </c>
      <c r="D3702" s="1">
        <v>0</v>
      </c>
      <c r="E3702" s="1">
        <v>6</v>
      </c>
      <c r="F3702" s="1">
        <v>4</v>
      </c>
      <c r="G3702" s="1">
        <v>1</v>
      </c>
      <c r="H3702" s="4">
        <v>1</v>
      </c>
      <c r="I3702" s="1">
        <v>4</v>
      </c>
      <c r="J3702" s="4">
        <v>0.5</v>
      </c>
      <c r="K3702" s="1">
        <v>0</v>
      </c>
      <c r="L3702" s="1">
        <v>0</v>
      </c>
      <c r="M3702" s="32">
        <f>IF(Mecze[[#This Row],[PR]]=0,0,Mecze[[#This Row],[PR]]/Mecze[[#This Row],[CZAS]])</f>
        <v>0</v>
      </c>
      <c r="N3702" s="32">
        <f>IF(Mecze[[#This Row],[OU]]=0,0,Mecze[[#This Row],[OU]]/Mecze[[#This Row],[CZAS]])</f>
        <v>2.0833333333333332E-2</v>
      </c>
      <c r="O3702" s="32">
        <f>IF(Mecze[[#This Row],[PC]]=0,0,Mecze[[#This Row],[PC]]/Mecze[[#This Row],[CZAS]])</f>
        <v>1.0416666666666666E-2</v>
      </c>
      <c r="P3702" s="32">
        <f>IF(Mecze[[#This Row],[SC]]=0,0,Mecze[[#This Row],[SC]]/Mecze[[#This Row],[CZAS]])</f>
        <v>4.1666666666666664E-2</v>
      </c>
      <c r="Q3702" s="32">
        <f>IF(Mecze[[#This Row],[OB]]=0,0,Mecze[[#This Row],[OB]]/Mecze[[#This Row],[CZAS]])</f>
        <v>0</v>
      </c>
      <c r="R3702" s="32">
        <f>IF(Mecze[[#This Row],[BR]]=0,0,Mecze[[#This Row],[BR]]/Mecze[[#This Row],[CZAS]])</f>
        <v>0</v>
      </c>
      <c r="S3702" s="44">
        <f>IF(Mecze[[#This Row],[Role]]="BR",SUMPRODUCT(Mecze[[#This Row],[/PR:90]:[/BR:90]],Brudnopis!$E$23:$J$23),0)</f>
        <v>0</v>
      </c>
      <c r="T3702" s="44">
        <f>IF(Mecze[[#This Row],[Role]]&lt;&gt;"BR",SUMPRODUCT(Mecze[[#This Row],[/PR:90]:[/BR:90]],Brudnopis!$E$24:$J$24),0)</f>
        <v>8.3333333333333329E-2</v>
      </c>
      <c r="U3702" s="44">
        <f>IF(Mecze[[#This Row],[Role]]&lt;&gt;"BR",SUMPRODUCT(Mecze[[#This Row],[/PR:90]:[/BR:90]],Brudnopis!$E$25:$J$25),0)</f>
        <v>7.8125E-2</v>
      </c>
      <c r="V3702" s="44">
        <f>IF(Mecze[[#This Row],[Role]]&lt;&gt;"BR",SUMPRODUCT(Mecze[[#This Row],[/PR:90]:[/BR:90]],Brudnopis!$E$26:$J$26),0)</f>
        <v>7.2916666666666657E-2</v>
      </c>
      <c r="W3702" s="44">
        <f>IF(Mecze[[#This Row],[Role]]&lt;&gt;"BR",SUMPRODUCT(Mecze[[#This Row],[/PR:90]:[/BR:90]],Brudnopis!$E$27:$J$27),0)</f>
        <v>7.2916666666666657E-2</v>
      </c>
      <c r="X3702" s="44">
        <f>IF(Mecze[[#This Row],[Role]]&lt;&gt;"BR",SUMPRODUCT(Mecze[[#This Row],[/PR:90]:[/BR:90]],Brudnopis!$E$28:$J$28),0)</f>
        <v>9.375E-2</v>
      </c>
      <c r="Y3702" s="35">
        <f>IF(Mecze[[#This Row],[Role]]="BR",Mecze[[#This Row],[/OB:90]]+Mecze[[#This Row],[/PC:90]],SUM(Mecze[[#This Row],[/PR:90]:[/BR:90]]))</f>
        <v>7.2916666666666657E-2</v>
      </c>
      <c r="Z3702" s="35">
        <f>IF(Mecze[[#This Row],[KC]]=0,SUM(Mecze[[#This Row],[/BRI]:[/NPI]]),SUM(Mecze[[#This Row],[/BRI]:[/NPI]])*0.6)</f>
        <v>0.40104166666666663</v>
      </c>
      <c r="AA3702" s="10">
        <f>IFERROR(Mecze[[#This Row],[BR]]/Mecze[[#This Row],[ST]],0)</f>
        <v>0</v>
      </c>
      <c r="AB3702">
        <f>ROUND(Mecze[[#This Row],[PD]]*Mecze[[#This Row],[%PC]],0)</f>
        <v>1</v>
      </c>
      <c r="AC3702">
        <f>ROUND(Mecze[[#This Row],[OD]]*Mecze[[#This Row],[%OU]],0)</f>
        <v>2</v>
      </c>
      <c r="AD3702" s="36" t="s">
        <v>44</v>
      </c>
      <c r="AE3702" s="36">
        <v>211</v>
      </c>
      <c r="AF3702" s="71">
        <v>7.96</v>
      </c>
      <c r="AG3702" s="37">
        <v>0</v>
      </c>
      <c r="AH3702" s="37">
        <v>0</v>
      </c>
      <c r="AI3702" s="37">
        <v>96</v>
      </c>
      <c r="AJ3702" s="37">
        <v>1</v>
      </c>
      <c r="AK3702" s="37" t="str">
        <f>VLOOKUP(Mecze[[#This Row],[Match ID]],Meczusie[Mecz]:Meczusie[RodzajMeczu],2,FALSE)</f>
        <v>Towarzyski</v>
      </c>
    </row>
    <row r="3703" spans="1:37" x14ac:dyDescent="0.25">
      <c r="A3703" s="76">
        <v>14</v>
      </c>
      <c r="B3703" s="3" t="s">
        <v>164</v>
      </c>
      <c r="C3703" s="2" t="s">
        <v>160</v>
      </c>
      <c r="D3703" s="1">
        <v>1</v>
      </c>
      <c r="E3703" s="1">
        <v>2</v>
      </c>
      <c r="F3703" s="1">
        <v>1</v>
      </c>
      <c r="G3703" s="1">
        <v>10</v>
      </c>
      <c r="H3703" s="4">
        <v>0.6</v>
      </c>
      <c r="I3703" s="1">
        <v>0</v>
      </c>
      <c r="J3703" s="4"/>
      <c r="K3703" s="1">
        <v>0</v>
      </c>
      <c r="L3703" s="1">
        <v>4</v>
      </c>
      <c r="M3703" s="32">
        <f>IF(Mecze[[#This Row],[PR]]=0,0,Mecze[[#This Row],[PR]]/Mecze[[#This Row],[CZAS]])</f>
        <v>4.1666666666666664E-2</v>
      </c>
      <c r="N3703" s="32">
        <f>IF(Mecze[[#This Row],[OU]]=0,0,Mecze[[#This Row],[OU]]/Mecze[[#This Row],[CZAS]])</f>
        <v>0</v>
      </c>
      <c r="O3703" s="32">
        <f>IF(Mecze[[#This Row],[PC]]=0,0,Mecze[[#This Row],[PC]]/Mecze[[#This Row],[CZAS]])</f>
        <v>6.25E-2</v>
      </c>
      <c r="P3703" s="32">
        <f>IF(Mecze[[#This Row],[SC]]=0,0,Mecze[[#This Row],[SC]]/Mecze[[#This Row],[CZAS]])</f>
        <v>1.0416666666666666E-2</v>
      </c>
      <c r="Q3703" s="32">
        <f>IF(Mecze[[#This Row],[OB]]=0,0,Mecze[[#This Row],[OB]]/Mecze[[#This Row],[CZAS]])</f>
        <v>0</v>
      </c>
      <c r="R3703" s="32">
        <f>IF(Mecze[[#This Row],[BR]]=0,0,Mecze[[#This Row],[BR]]/Mecze[[#This Row],[CZAS]])</f>
        <v>1.0416666666666666E-2</v>
      </c>
      <c r="S3703" s="44">
        <f>IF(Mecze[[#This Row],[Role]]="BR",SUMPRODUCT(Mecze[[#This Row],[/PR:90]:[/BR:90]],Brudnopis!$E$23:$J$23),0)</f>
        <v>0</v>
      </c>
      <c r="T3703" s="44">
        <f>IF(Mecze[[#This Row],[Role]]&lt;&gt;"BR",SUMPRODUCT(Mecze[[#This Row],[/PR:90]:[/BR:90]],Brudnopis!$E$24:$J$24),0)</f>
        <v>0.13020833333333331</v>
      </c>
      <c r="U3703" s="44">
        <f>IF(Mecze[[#This Row],[Role]]&lt;&gt;"BR",SUMPRODUCT(Mecze[[#This Row],[/PR:90]:[/BR:90]],Brudnopis!$E$25:$J$25),0)</f>
        <v>0.16145833333333331</v>
      </c>
      <c r="V3703" s="44">
        <f>IF(Mecze[[#This Row],[Role]]&lt;&gt;"BR",SUMPRODUCT(Mecze[[#This Row],[/PR:90]:[/BR:90]],Brudnopis!$E$26:$J$26),0)</f>
        <v>0.13541666666666666</v>
      </c>
      <c r="W3703" s="44">
        <f>IF(Mecze[[#This Row],[Role]]&lt;&gt;"BR",SUMPRODUCT(Mecze[[#This Row],[/PR:90]:[/BR:90]],Brudnopis!$E$27:$J$27),0)</f>
        <v>0.15625</v>
      </c>
      <c r="X3703" s="44">
        <f>IF(Mecze[[#This Row],[Role]]&lt;&gt;"BR",SUMPRODUCT(Mecze[[#This Row],[/PR:90]:[/BR:90]],Brudnopis!$E$28:$J$28),0)</f>
        <v>0.11458333333333333</v>
      </c>
      <c r="Y3703" s="35">
        <f>IF(Mecze[[#This Row],[Role]]="BR",Mecze[[#This Row],[/OB:90]]+Mecze[[#This Row],[/PC:90]],SUM(Mecze[[#This Row],[/PR:90]:[/BR:90]]))</f>
        <v>0.125</v>
      </c>
      <c r="Z3703" s="35">
        <f>IF(Mecze[[#This Row],[KC]]=0,SUM(Mecze[[#This Row],[/BRI]:[/NPI]]),SUM(Mecze[[#This Row],[/BRI]:[/NPI]])*0.6)</f>
        <v>0.69791666666666663</v>
      </c>
      <c r="AA3703" s="10">
        <f>IFERROR(Mecze[[#This Row],[BR]]/Mecze[[#This Row],[ST]],0)</f>
        <v>0.5</v>
      </c>
      <c r="AB3703">
        <f>ROUND(Mecze[[#This Row],[PD]]*Mecze[[#This Row],[%PC]],0)</f>
        <v>6</v>
      </c>
      <c r="AC3703">
        <f>ROUND(Mecze[[#This Row],[OD]]*Mecze[[#This Row],[%OU]],0)</f>
        <v>0</v>
      </c>
      <c r="AD3703" s="36" t="s">
        <v>44</v>
      </c>
      <c r="AE3703" s="36">
        <v>211</v>
      </c>
      <c r="AF3703" s="71">
        <v>11.43</v>
      </c>
      <c r="AG3703" s="37">
        <v>0</v>
      </c>
      <c r="AH3703" s="37">
        <v>0</v>
      </c>
      <c r="AI3703" s="37">
        <v>96</v>
      </c>
      <c r="AJ3703" s="37">
        <v>1</v>
      </c>
      <c r="AK3703" s="37" t="str">
        <f>VLOOKUP(Mecze[[#This Row],[Match ID]],Meczusie[Mecz]:Meczusie[RodzajMeczu],2,FALSE)</f>
        <v>Towarzyski</v>
      </c>
    </row>
    <row r="3704" spans="1:37" x14ac:dyDescent="0.25">
      <c r="A3704" s="76">
        <v>19</v>
      </c>
      <c r="B3704" s="3" t="s">
        <v>166</v>
      </c>
      <c r="C3704" s="2" t="s">
        <v>165</v>
      </c>
      <c r="D3704" s="1">
        <v>2</v>
      </c>
      <c r="E3704" s="1">
        <v>5</v>
      </c>
      <c r="F3704" s="1">
        <v>4</v>
      </c>
      <c r="G3704" s="1">
        <v>8</v>
      </c>
      <c r="H3704" s="4">
        <v>0.75</v>
      </c>
      <c r="I3704" s="1">
        <v>2</v>
      </c>
      <c r="J3704" s="4">
        <v>0</v>
      </c>
      <c r="K3704" s="1">
        <v>0</v>
      </c>
      <c r="L3704" s="1">
        <v>0</v>
      </c>
      <c r="M3704" s="32">
        <f>IF(Mecze[[#This Row],[PR]]=0,0,Mecze[[#This Row],[PR]]/Mecze[[#This Row],[CZAS]])</f>
        <v>0</v>
      </c>
      <c r="N3704" s="32">
        <f>IF(Mecze[[#This Row],[OU]]=0,0,Mecze[[#This Row],[OU]]/Mecze[[#This Row],[CZAS]])</f>
        <v>0</v>
      </c>
      <c r="O3704" s="32">
        <f>IF(Mecze[[#This Row],[PC]]=0,0,Mecze[[#This Row],[PC]]/Mecze[[#This Row],[CZAS]])</f>
        <v>6.25E-2</v>
      </c>
      <c r="P3704" s="32">
        <f>IF(Mecze[[#This Row],[SC]]=0,0,Mecze[[#This Row],[SC]]/Mecze[[#This Row],[CZAS]])</f>
        <v>4.1666666666666664E-2</v>
      </c>
      <c r="Q3704" s="32">
        <f>IF(Mecze[[#This Row],[OB]]=0,0,Mecze[[#This Row],[OB]]/Mecze[[#This Row],[CZAS]])</f>
        <v>0</v>
      </c>
      <c r="R3704" s="32">
        <f>IF(Mecze[[#This Row],[BR]]=0,0,Mecze[[#This Row],[BR]]/Mecze[[#This Row],[CZAS]])</f>
        <v>2.0833333333333332E-2</v>
      </c>
      <c r="S3704" s="44">
        <f>IF(Mecze[[#This Row],[Role]]="BR",SUMPRODUCT(Mecze[[#This Row],[/PR:90]:[/BR:90]],Brudnopis!$E$23:$J$23),0)</f>
        <v>0</v>
      </c>
      <c r="T3704" s="44">
        <f>IF(Mecze[[#This Row],[Role]]&lt;&gt;"BR",SUMPRODUCT(Mecze[[#This Row],[/PR:90]:[/BR:90]],Brudnopis!$E$24:$J$24),0)</f>
        <v>0.13541666666666666</v>
      </c>
      <c r="U3704" s="44">
        <f>IF(Mecze[[#This Row],[Role]]&lt;&gt;"BR",SUMPRODUCT(Mecze[[#This Row],[/PR:90]:[/BR:90]],Brudnopis!$E$25:$J$25),0)</f>
        <v>0.16666666666666666</v>
      </c>
      <c r="V3704" s="44">
        <f>IF(Mecze[[#This Row],[Role]]&lt;&gt;"BR",SUMPRODUCT(Mecze[[#This Row],[/PR:90]:[/BR:90]],Brudnopis!$E$26:$J$26),0)</f>
        <v>0.14583333333333331</v>
      </c>
      <c r="W3704" s="44">
        <f>IF(Mecze[[#This Row],[Role]]&lt;&gt;"BR",SUMPRODUCT(Mecze[[#This Row],[/PR:90]:[/BR:90]],Brudnopis!$E$27:$J$27),0)</f>
        <v>0.17708333333333331</v>
      </c>
      <c r="X3704" s="44">
        <f>IF(Mecze[[#This Row],[Role]]&lt;&gt;"BR",SUMPRODUCT(Mecze[[#This Row],[/PR:90]:[/BR:90]],Brudnopis!$E$28:$J$28),0)</f>
        <v>0.20833333333333331</v>
      </c>
      <c r="Y3704" s="35">
        <f>IF(Mecze[[#This Row],[Role]]="BR",Mecze[[#This Row],[/OB:90]]+Mecze[[#This Row],[/PC:90]],SUM(Mecze[[#This Row],[/PR:90]:[/BR:90]]))</f>
        <v>0.12499999999999999</v>
      </c>
      <c r="Z3704" s="35">
        <f>IF(Mecze[[#This Row],[KC]]=0,SUM(Mecze[[#This Row],[/BRI]:[/NPI]]),SUM(Mecze[[#This Row],[/BRI]:[/NPI]])*0.6)</f>
        <v>0.83333333333333326</v>
      </c>
      <c r="AA3704" s="10">
        <f>IFERROR(Mecze[[#This Row],[BR]]/Mecze[[#This Row],[ST]],0)</f>
        <v>0.4</v>
      </c>
      <c r="AB3704">
        <f>ROUND(Mecze[[#This Row],[PD]]*Mecze[[#This Row],[%PC]],0)</f>
        <v>6</v>
      </c>
      <c r="AC3704">
        <f>ROUND(Mecze[[#This Row],[OD]]*Mecze[[#This Row],[%OU]],0)</f>
        <v>0</v>
      </c>
      <c r="AD3704" s="36" t="s">
        <v>46</v>
      </c>
      <c r="AE3704" s="36">
        <v>211</v>
      </c>
      <c r="AF3704" s="71">
        <v>10.74</v>
      </c>
      <c r="AG3704" s="37">
        <v>0</v>
      </c>
      <c r="AH3704" s="37">
        <v>0</v>
      </c>
      <c r="AI3704" s="37">
        <v>96</v>
      </c>
      <c r="AJ3704" s="37">
        <v>1</v>
      </c>
      <c r="AK3704" s="37" t="str">
        <f>VLOOKUP(Mecze[[#This Row],[Match ID]],Meczusie[Mecz]:Meczusie[RodzajMeczu],2,FALSE)</f>
        <v>Towarzyski</v>
      </c>
    </row>
    <row r="3705" spans="1:37" x14ac:dyDescent="0.25">
      <c r="A3705" s="76">
        <v>9</v>
      </c>
      <c r="B3705" s="3" t="s">
        <v>411</v>
      </c>
      <c r="C3705" s="2" t="s">
        <v>165</v>
      </c>
      <c r="D3705" s="1">
        <v>5</v>
      </c>
      <c r="E3705" s="1">
        <v>11</v>
      </c>
      <c r="F3705" s="1">
        <v>9</v>
      </c>
      <c r="G3705" s="1">
        <v>12</v>
      </c>
      <c r="H3705" s="4">
        <v>0.67</v>
      </c>
      <c r="I3705" s="1">
        <v>1</v>
      </c>
      <c r="J3705" s="4">
        <v>1</v>
      </c>
      <c r="K3705" s="1">
        <v>0</v>
      </c>
      <c r="L3705" s="1">
        <v>0</v>
      </c>
      <c r="M3705" s="32">
        <f>IF(Mecze[[#This Row],[PR]]=0,0,Mecze[[#This Row],[PR]]/Mecze[[#This Row],[CZAS]])</f>
        <v>0</v>
      </c>
      <c r="N3705" s="32">
        <f>IF(Mecze[[#This Row],[OU]]=0,0,Mecze[[#This Row],[OU]]/Mecze[[#This Row],[CZAS]])</f>
        <v>1.0416666666666666E-2</v>
      </c>
      <c r="O3705" s="32">
        <f>IF(Mecze[[#This Row],[PC]]=0,0,Mecze[[#This Row],[PC]]/Mecze[[#This Row],[CZAS]])</f>
        <v>8.3333333333333329E-2</v>
      </c>
      <c r="P3705" s="32">
        <f>IF(Mecze[[#This Row],[SC]]=0,0,Mecze[[#This Row],[SC]]/Mecze[[#This Row],[CZAS]])</f>
        <v>9.375E-2</v>
      </c>
      <c r="Q3705" s="32">
        <f>IF(Mecze[[#This Row],[OB]]=0,0,Mecze[[#This Row],[OB]]/Mecze[[#This Row],[CZAS]])</f>
        <v>0</v>
      </c>
      <c r="R3705" s="32">
        <f>IF(Mecze[[#This Row],[BR]]=0,0,Mecze[[#This Row],[BR]]/Mecze[[#This Row],[CZAS]])</f>
        <v>5.2083333333333336E-2</v>
      </c>
      <c r="S3705" s="44">
        <f>IF(Mecze[[#This Row],[Role]]="BR",SUMPRODUCT(Mecze[[#This Row],[/PR:90]:[/BR:90]],Brudnopis!$E$23:$J$23),0)</f>
        <v>0</v>
      </c>
      <c r="T3705" s="44">
        <f>IF(Mecze[[#This Row],[Role]]&lt;&gt;"BR",SUMPRODUCT(Mecze[[#This Row],[/PR:90]:[/BR:90]],Brudnopis!$E$24:$J$24),0)</f>
        <v>0.27083333333333331</v>
      </c>
      <c r="U3705" s="44">
        <f>IF(Mecze[[#This Row],[Role]]&lt;&gt;"BR",SUMPRODUCT(Mecze[[#This Row],[/PR:90]:[/BR:90]],Brudnopis!$E$25:$J$25),0)</f>
        <v>0.30729166666666663</v>
      </c>
      <c r="V3705" s="44">
        <f>IF(Mecze[[#This Row],[Role]]&lt;&gt;"BR",SUMPRODUCT(Mecze[[#This Row],[/PR:90]:[/BR:90]],Brudnopis!$E$26:$J$26),0)</f>
        <v>0.29166666666666669</v>
      </c>
      <c r="W3705" s="44">
        <f>IF(Mecze[[#This Row],[Role]]&lt;&gt;"BR",SUMPRODUCT(Mecze[[#This Row],[/PR:90]:[/BR:90]],Brudnopis!$E$27:$J$27),0)</f>
        <v>0.33072916666666669</v>
      </c>
      <c r="X3705" s="44">
        <f>IF(Mecze[[#This Row],[Role]]&lt;&gt;"BR",SUMPRODUCT(Mecze[[#This Row],[/PR:90]:[/BR:90]],Brudnopis!$E$28:$J$28),0)</f>
        <v>0.42708333333333331</v>
      </c>
      <c r="Y3705" s="35">
        <f>IF(Mecze[[#This Row],[Role]]="BR",Mecze[[#This Row],[/OB:90]]+Mecze[[#This Row],[/PC:90]],SUM(Mecze[[#This Row],[/PR:90]:[/BR:90]]))</f>
        <v>0.23958333333333334</v>
      </c>
      <c r="Z3705" s="35">
        <f>IF(Mecze[[#This Row],[KC]]=0,SUM(Mecze[[#This Row],[/BRI]:[/NPI]]),SUM(Mecze[[#This Row],[/BRI]:[/NPI]])*0.6)</f>
        <v>1.6276041666666667</v>
      </c>
      <c r="AA3705" s="10">
        <f>IFERROR(Mecze[[#This Row],[BR]]/Mecze[[#This Row],[ST]],0)</f>
        <v>0.45454545454545453</v>
      </c>
      <c r="AB3705">
        <f>ROUND(Mecze[[#This Row],[PD]]*Mecze[[#This Row],[%PC]],0)</f>
        <v>8</v>
      </c>
      <c r="AC3705">
        <f>ROUND(Mecze[[#This Row],[OD]]*Mecze[[#This Row],[%OU]],0)</f>
        <v>1</v>
      </c>
      <c r="AD3705" s="36" t="s">
        <v>46</v>
      </c>
      <c r="AE3705" s="36">
        <v>211</v>
      </c>
      <c r="AF3705" s="71">
        <v>18.739999999999998</v>
      </c>
      <c r="AG3705" s="37">
        <v>0</v>
      </c>
      <c r="AH3705" s="37">
        <v>0</v>
      </c>
      <c r="AI3705" s="37">
        <v>96</v>
      </c>
      <c r="AJ3705" s="37">
        <v>1</v>
      </c>
      <c r="AK3705" s="37" t="str">
        <f>VLOOKUP(Mecze[[#This Row],[Match ID]],Meczusie[Mecz]:Meczusie[RodzajMeczu],2,FALSE)</f>
        <v>Towarzyski</v>
      </c>
    </row>
    <row r="3706" spans="1:37" x14ac:dyDescent="0.25">
      <c r="A3706" s="76">
        <v>1</v>
      </c>
      <c r="B3706" s="3" t="s">
        <v>169</v>
      </c>
      <c r="C3706" s="2" t="s">
        <v>155</v>
      </c>
      <c r="D3706" s="1">
        <v>0</v>
      </c>
      <c r="E3706" s="1">
        <v>0</v>
      </c>
      <c r="F3706" s="1">
        <v>0</v>
      </c>
      <c r="G3706" s="1">
        <v>10</v>
      </c>
      <c r="H3706" s="4">
        <v>0.3</v>
      </c>
      <c r="I3706" s="1">
        <v>0</v>
      </c>
      <c r="J3706" s="4"/>
      <c r="K3706" s="1">
        <v>8</v>
      </c>
      <c r="L3706" s="1">
        <v>0</v>
      </c>
      <c r="M3706" s="32">
        <f>IF(Mecze[[#This Row],[PR]]=0,0,Mecze[[#This Row],[PR]]/Mecze[[#This Row],[CZAS]])</f>
        <v>0</v>
      </c>
      <c r="N3706" s="32">
        <f>IF(Mecze[[#This Row],[OU]]=0,0,Mecze[[#This Row],[OU]]/Mecze[[#This Row],[CZAS]])</f>
        <v>0</v>
      </c>
      <c r="O3706" s="32">
        <f>IF(Mecze[[#This Row],[PC]]=0,0,Mecze[[#This Row],[PC]]/Mecze[[#This Row],[CZAS]])</f>
        <v>3.125E-2</v>
      </c>
      <c r="P3706" s="32">
        <f>IF(Mecze[[#This Row],[SC]]=0,0,Mecze[[#This Row],[SC]]/Mecze[[#This Row],[CZAS]])</f>
        <v>0</v>
      </c>
      <c r="Q3706" s="32">
        <f>IF(Mecze[[#This Row],[OB]]=0,0,Mecze[[#This Row],[OB]]/Mecze[[#This Row],[CZAS]])</f>
        <v>8.3333333333333329E-2</v>
      </c>
      <c r="R3706" s="32">
        <f>IF(Mecze[[#This Row],[BR]]=0,0,Mecze[[#This Row],[BR]]/Mecze[[#This Row],[CZAS]])</f>
        <v>0</v>
      </c>
      <c r="S3706" s="44">
        <f>IF(Mecze[[#This Row],[Role]]="BR",SUMPRODUCT(Mecze[[#This Row],[/PR:90]:[/BR:90]],Brudnopis!$E$23:$J$23),0)</f>
        <v>0.34375</v>
      </c>
      <c r="T3706" s="44">
        <f>IF(Mecze[[#This Row],[Role]]&lt;&gt;"BR",SUMPRODUCT(Mecze[[#This Row],[/PR:90]:[/BR:90]],Brudnopis!$E$24:$J$24),0)</f>
        <v>0</v>
      </c>
      <c r="U3706" s="44">
        <f>IF(Mecze[[#This Row],[Role]]&lt;&gt;"BR",SUMPRODUCT(Mecze[[#This Row],[/PR:90]:[/BR:90]],Brudnopis!$E$25:$J$25),0)</f>
        <v>0</v>
      </c>
      <c r="V3706" s="44">
        <f>IF(Mecze[[#This Row],[Role]]&lt;&gt;"BR",SUMPRODUCT(Mecze[[#This Row],[/PR:90]:[/BR:90]],Brudnopis!$E$26:$J$26),0)</f>
        <v>0</v>
      </c>
      <c r="W3706" s="44">
        <f>IF(Mecze[[#This Row],[Role]]&lt;&gt;"BR",SUMPRODUCT(Mecze[[#This Row],[/PR:90]:[/BR:90]],Brudnopis!$E$27:$J$27),0)</f>
        <v>0</v>
      </c>
      <c r="X3706" s="44">
        <f>IF(Mecze[[#This Row],[Role]]&lt;&gt;"BR",SUMPRODUCT(Mecze[[#This Row],[/PR:90]:[/BR:90]],Brudnopis!$E$28:$J$28),0)</f>
        <v>0</v>
      </c>
      <c r="Y3706" s="35">
        <f>IF(Mecze[[#This Row],[Role]]="BR",Mecze[[#This Row],[/OB:90]]+Mecze[[#This Row],[/PC:90]],SUM(Mecze[[#This Row],[/PR:90]:[/BR:90]]))</f>
        <v>0.11458333333333333</v>
      </c>
      <c r="Z3706" s="35">
        <f>IF(Mecze[[#This Row],[KC]]=0,SUM(Mecze[[#This Row],[/BRI]:[/NPI]]),SUM(Mecze[[#This Row],[/BRI]:[/NPI]])*0.6)</f>
        <v>0.34375</v>
      </c>
      <c r="AA3706" s="10">
        <f>IFERROR(Mecze[[#This Row],[BR]]/Mecze[[#This Row],[ST]],0)</f>
        <v>0</v>
      </c>
      <c r="AB3706">
        <f>ROUND(Mecze[[#This Row],[PD]]*Mecze[[#This Row],[%PC]],0)</f>
        <v>3</v>
      </c>
      <c r="AC3706">
        <f>ROUND(Mecze[[#This Row],[OD]]*Mecze[[#This Row],[%OU]],0)</f>
        <v>0</v>
      </c>
      <c r="AD3706" s="36" t="s">
        <v>40</v>
      </c>
      <c r="AE3706" s="36">
        <v>212</v>
      </c>
      <c r="AF3706" s="71">
        <v>9.84</v>
      </c>
      <c r="AG3706" s="37">
        <v>0</v>
      </c>
      <c r="AH3706" s="37">
        <v>0</v>
      </c>
      <c r="AI3706" s="37">
        <v>96</v>
      </c>
      <c r="AJ3706" s="37">
        <v>1</v>
      </c>
      <c r="AK3706" s="37" t="str">
        <f>VLOOKUP(Mecze[[#This Row],[Match ID]],Meczusie[Mecz]:Meczusie[RodzajMeczu],2,FALSE)</f>
        <v>Towarzyski</v>
      </c>
    </row>
    <row r="3707" spans="1:37" x14ac:dyDescent="0.25">
      <c r="A3707" s="76">
        <v>3</v>
      </c>
      <c r="B3707" s="3" t="s">
        <v>158</v>
      </c>
      <c r="C3707" s="2" t="s">
        <v>157</v>
      </c>
      <c r="D3707" s="1">
        <v>0</v>
      </c>
      <c r="E3707" s="1">
        <v>0</v>
      </c>
      <c r="F3707" s="1">
        <v>0</v>
      </c>
      <c r="G3707" s="1">
        <v>7</v>
      </c>
      <c r="H3707" s="4">
        <v>0.56999999999999995</v>
      </c>
      <c r="I3707" s="1">
        <v>2</v>
      </c>
      <c r="J3707" s="4">
        <v>0.5</v>
      </c>
      <c r="K3707" s="1">
        <v>0</v>
      </c>
      <c r="L3707" s="1">
        <v>8</v>
      </c>
      <c r="M3707" s="32">
        <f>IF(Mecze[[#This Row],[PR]]=0,0,Mecze[[#This Row],[PR]]/Mecze[[#This Row],[CZAS]])</f>
        <v>8.3333333333333329E-2</v>
      </c>
      <c r="N3707" s="32">
        <f>IF(Mecze[[#This Row],[OU]]=0,0,Mecze[[#This Row],[OU]]/Mecze[[#This Row],[CZAS]])</f>
        <v>1.0416666666666666E-2</v>
      </c>
      <c r="O3707" s="32">
        <f>IF(Mecze[[#This Row],[PC]]=0,0,Mecze[[#This Row],[PC]]/Mecze[[#This Row],[CZAS]])</f>
        <v>4.1666666666666664E-2</v>
      </c>
      <c r="P3707" s="32">
        <f>IF(Mecze[[#This Row],[SC]]=0,0,Mecze[[#This Row],[SC]]/Mecze[[#This Row],[CZAS]])</f>
        <v>0</v>
      </c>
      <c r="Q3707" s="32">
        <f>IF(Mecze[[#This Row],[OB]]=0,0,Mecze[[#This Row],[OB]]/Mecze[[#This Row],[CZAS]])</f>
        <v>0</v>
      </c>
      <c r="R3707" s="32">
        <f>IF(Mecze[[#This Row],[BR]]=0,0,Mecze[[#This Row],[BR]]/Mecze[[#This Row],[CZAS]])</f>
        <v>0</v>
      </c>
      <c r="S3707" s="44">
        <f>IF(Mecze[[#This Row],[Role]]="BR",SUMPRODUCT(Mecze[[#This Row],[/PR:90]:[/BR:90]],Brudnopis!$E$23:$J$23),0)</f>
        <v>0</v>
      </c>
      <c r="T3707" s="44">
        <f>IF(Mecze[[#This Row],[Role]]&lt;&gt;"BR",SUMPRODUCT(Mecze[[#This Row],[/PR:90]:[/BR:90]],Brudnopis!$E$24:$J$24),0)</f>
        <v>0.140625</v>
      </c>
      <c r="U3707" s="44">
        <f>IF(Mecze[[#This Row],[Role]]&lt;&gt;"BR",SUMPRODUCT(Mecze[[#This Row],[/PR:90]:[/BR:90]],Brudnopis!$E$25:$J$25),0)</f>
        <v>0.15625</v>
      </c>
      <c r="V3707" s="44">
        <f>IF(Mecze[[#This Row],[Role]]&lt;&gt;"BR",SUMPRODUCT(Mecze[[#This Row],[/PR:90]:[/BR:90]],Brudnopis!$E$26:$J$26),0)</f>
        <v>0.13541666666666666</v>
      </c>
      <c r="W3707" s="44">
        <f>IF(Mecze[[#This Row],[Role]]&lt;&gt;"BR",SUMPRODUCT(Mecze[[#This Row],[/PR:90]:[/BR:90]],Brudnopis!$E$27:$J$27),0)</f>
        <v>0.1328125</v>
      </c>
      <c r="X3707" s="44">
        <f>IF(Mecze[[#This Row],[Role]]&lt;&gt;"BR",SUMPRODUCT(Mecze[[#This Row],[/PR:90]:[/BR:90]],Brudnopis!$E$28:$J$28),0)</f>
        <v>4.1666666666666664E-2</v>
      </c>
      <c r="Y3707" s="35">
        <f>IF(Mecze[[#This Row],[Role]]="BR",Mecze[[#This Row],[/OB:90]]+Mecze[[#This Row],[/PC:90]],SUM(Mecze[[#This Row],[/PR:90]:[/BR:90]]))</f>
        <v>0.13541666666666666</v>
      </c>
      <c r="Z3707" s="35">
        <f>IF(Mecze[[#This Row],[KC]]=0,SUM(Mecze[[#This Row],[/BRI]:[/NPI]]),SUM(Mecze[[#This Row],[/BRI]:[/NPI]])*0.6)</f>
        <v>0.60677083333333326</v>
      </c>
      <c r="AA3707" s="10">
        <f>IFERROR(Mecze[[#This Row],[BR]]/Mecze[[#This Row],[ST]],0)</f>
        <v>0</v>
      </c>
      <c r="AB3707">
        <f>ROUND(Mecze[[#This Row],[PD]]*Mecze[[#This Row],[%PC]],0)</f>
        <v>4</v>
      </c>
      <c r="AC3707">
        <f>ROUND(Mecze[[#This Row],[OD]]*Mecze[[#This Row],[%OU]],0)</f>
        <v>1</v>
      </c>
      <c r="AD3707" s="36" t="s">
        <v>168</v>
      </c>
      <c r="AE3707" s="36">
        <v>212</v>
      </c>
      <c r="AF3707" s="71">
        <v>8.7200000000000006</v>
      </c>
      <c r="AG3707" s="37">
        <v>0</v>
      </c>
      <c r="AH3707" s="37">
        <v>0</v>
      </c>
      <c r="AI3707" s="37">
        <v>96</v>
      </c>
      <c r="AJ3707" s="37">
        <v>1</v>
      </c>
      <c r="AK3707" s="37" t="str">
        <f>VLOOKUP(Mecze[[#This Row],[Match ID]],Meczusie[Mecz]:Meczusie[RodzajMeczu],2,FALSE)</f>
        <v>Towarzyski</v>
      </c>
    </row>
    <row r="3708" spans="1:37" x14ac:dyDescent="0.25">
      <c r="A3708" s="76">
        <v>6</v>
      </c>
      <c r="B3708" s="3" t="s">
        <v>159</v>
      </c>
      <c r="C3708" s="2" t="s">
        <v>157</v>
      </c>
      <c r="D3708" s="1">
        <v>0</v>
      </c>
      <c r="E3708" s="1">
        <v>0</v>
      </c>
      <c r="F3708" s="1">
        <v>0</v>
      </c>
      <c r="G3708" s="1">
        <v>0</v>
      </c>
      <c r="H3708" s="72"/>
      <c r="I3708" s="1">
        <v>2</v>
      </c>
      <c r="J3708" s="4">
        <v>0.5</v>
      </c>
      <c r="K3708" s="1">
        <v>0</v>
      </c>
      <c r="L3708" s="1">
        <v>3</v>
      </c>
      <c r="M3708" s="32">
        <f>IF(Mecze[[#This Row],[PR]]=0,0,Mecze[[#This Row],[PR]]/Mecze[[#This Row],[CZAS]])</f>
        <v>3.125E-2</v>
      </c>
      <c r="N3708" s="32">
        <f>IF(Mecze[[#This Row],[OU]]=0,0,Mecze[[#This Row],[OU]]/Mecze[[#This Row],[CZAS]])</f>
        <v>1.0416666666666666E-2</v>
      </c>
      <c r="O3708" s="32">
        <f>IF(Mecze[[#This Row],[PC]]=0,0,Mecze[[#This Row],[PC]]/Mecze[[#This Row],[CZAS]])</f>
        <v>0</v>
      </c>
      <c r="P3708" s="32">
        <f>IF(Mecze[[#This Row],[SC]]=0,0,Mecze[[#This Row],[SC]]/Mecze[[#This Row],[CZAS]])</f>
        <v>0</v>
      </c>
      <c r="Q3708" s="32">
        <f>IF(Mecze[[#This Row],[OB]]=0,0,Mecze[[#This Row],[OB]]/Mecze[[#This Row],[CZAS]])</f>
        <v>0</v>
      </c>
      <c r="R3708" s="32">
        <f>IF(Mecze[[#This Row],[BR]]=0,0,Mecze[[#This Row],[BR]]/Mecze[[#This Row],[CZAS]])</f>
        <v>0</v>
      </c>
      <c r="S3708" s="44">
        <f>IF(Mecze[[#This Row],[Role]]="BR",SUMPRODUCT(Mecze[[#This Row],[/PR:90]:[/BR:90]],Brudnopis!$E$23:$J$23),0)</f>
        <v>0</v>
      </c>
      <c r="T3708" s="44">
        <f>IF(Mecze[[#This Row],[Role]]&lt;&gt;"BR",SUMPRODUCT(Mecze[[#This Row],[/PR:90]:[/BR:90]],Brudnopis!$E$24:$J$24),0)</f>
        <v>4.6875E-2</v>
      </c>
      <c r="U3708" s="44">
        <f>IF(Mecze[[#This Row],[Role]]&lt;&gt;"BR",SUMPRODUCT(Mecze[[#This Row],[/PR:90]:[/BR:90]],Brudnopis!$E$25:$J$25),0)</f>
        <v>4.1666666666666664E-2</v>
      </c>
      <c r="V3708" s="44">
        <f>IF(Mecze[[#This Row],[Role]]&lt;&gt;"BR",SUMPRODUCT(Mecze[[#This Row],[/PR:90]:[/BR:90]],Brudnopis!$E$26:$J$26),0)</f>
        <v>4.1666666666666664E-2</v>
      </c>
      <c r="W3708" s="44">
        <f>IF(Mecze[[#This Row],[Role]]&lt;&gt;"BR",SUMPRODUCT(Mecze[[#This Row],[/PR:90]:[/BR:90]],Brudnopis!$E$27:$J$27),0)</f>
        <v>3.125E-2</v>
      </c>
      <c r="X3708" s="44">
        <f>IF(Mecze[[#This Row],[Role]]&lt;&gt;"BR",SUMPRODUCT(Mecze[[#This Row],[/PR:90]:[/BR:90]],Brudnopis!$E$28:$J$28),0)</f>
        <v>0</v>
      </c>
      <c r="Y3708" s="35">
        <f>IF(Mecze[[#This Row],[Role]]="BR",Mecze[[#This Row],[/OB:90]]+Mecze[[#This Row],[/PC:90]],SUM(Mecze[[#This Row],[/PR:90]:[/BR:90]]))</f>
        <v>4.1666666666666664E-2</v>
      </c>
      <c r="Z3708" s="35">
        <f>IF(Mecze[[#This Row],[KC]]=0,SUM(Mecze[[#This Row],[/BRI]:[/NPI]]),SUM(Mecze[[#This Row],[/BRI]:[/NPI]])*0.6)</f>
        <v>0.16145833333333331</v>
      </c>
      <c r="AA3708" s="10">
        <f>IFERROR(Mecze[[#This Row],[BR]]/Mecze[[#This Row],[ST]],0)</f>
        <v>0</v>
      </c>
      <c r="AB3708">
        <f>ROUND(Mecze[[#This Row],[PD]]*Mecze[[#This Row],[%PC]],0)</f>
        <v>0</v>
      </c>
      <c r="AC3708">
        <f>ROUND(Mecze[[#This Row],[OD]]*Mecze[[#This Row],[%OU]],0)</f>
        <v>1</v>
      </c>
      <c r="AD3708" s="36" t="s">
        <v>47</v>
      </c>
      <c r="AE3708" s="36">
        <v>212</v>
      </c>
      <c r="AF3708" s="71">
        <v>7.67</v>
      </c>
      <c r="AG3708" s="37">
        <v>0</v>
      </c>
      <c r="AH3708" s="37">
        <v>0</v>
      </c>
      <c r="AI3708" s="37">
        <v>96</v>
      </c>
      <c r="AJ3708" s="37">
        <v>1</v>
      </c>
      <c r="AK3708" s="37" t="str">
        <f>VLOOKUP(Mecze[[#This Row],[Match ID]],Meczusie[Mecz]:Meczusie[RodzajMeczu],2,FALSE)</f>
        <v>Towarzyski</v>
      </c>
    </row>
    <row r="3709" spans="1:37" x14ac:dyDescent="0.25">
      <c r="A3709" s="76">
        <v>18</v>
      </c>
      <c r="B3709" s="3" t="s">
        <v>211</v>
      </c>
      <c r="C3709" s="2" t="s">
        <v>157</v>
      </c>
      <c r="D3709" s="1">
        <v>0</v>
      </c>
      <c r="E3709" s="1">
        <v>0</v>
      </c>
      <c r="F3709" s="1">
        <v>0</v>
      </c>
      <c r="G3709" s="1">
        <v>11</v>
      </c>
      <c r="H3709" s="4">
        <v>0.55000000000000004</v>
      </c>
      <c r="I3709" s="1">
        <v>10</v>
      </c>
      <c r="J3709" s="4">
        <v>0.7</v>
      </c>
      <c r="K3709" s="1">
        <v>0</v>
      </c>
      <c r="L3709" s="1">
        <v>9</v>
      </c>
      <c r="M3709" s="32">
        <f>IF(Mecze[[#This Row],[PR]]=0,0,Mecze[[#This Row],[PR]]/Mecze[[#This Row],[CZAS]])</f>
        <v>9.375E-2</v>
      </c>
      <c r="N3709" s="32">
        <f>IF(Mecze[[#This Row],[OU]]=0,0,Mecze[[#This Row],[OU]]/Mecze[[#This Row],[CZAS]])</f>
        <v>7.2916666666666671E-2</v>
      </c>
      <c r="O3709" s="32">
        <f>IF(Mecze[[#This Row],[PC]]=0,0,Mecze[[#This Row],[PC]]/Mecze[[#This Row],[CZAS]])</f>
        <v>6.25E-2</v>
      </c>
      <c r="P3709" s="32">
        <f>IF(Mecze[[#This Row],[SC]]=0,0,Mecze[[#This Row],[SC]]/Mecze[[#This Row],[CZAS]])</f>
        <v>0</v>
      </c>
      <c r="Q3709" s="32">
        <f>IF(Mecze[[#This Row],[OB]]=0,0,Mecze[[#This Row],[OB]]/Mecze[[#This Row],[CZAS]])</f>
        <v>0</v>
      </c>
      <c r="R3709" s="32">
        <f>IF(Mecze[[#This Row],[BR]]=0,0,Mecze[[#This Row],[BR]]/Mecze[[#This Row],[CZAS]])</f>
        <v>0</v>
      </c>
      <c r="S3709" s="44">
        <f>IF(Mecze[[#This Row],[Role]]="BR",SUMPRODUCT(Mecze[[#This Row],[/PR:90]:[/BR:90]],Brudnopis!$E$23:$J$23),0)</f>
        <v>0</v>
      </c>
      <c r="T3709" s="44">
        <f>IF(Mecze[[#This Row],[Role]]&lt;&gt;"BR",SUMPRODUCT(Mecze[[#This Row],[/PR:90]:[/BR:90]],Brudnopis!$E$24:$J$24),0)</f>
        <v>0.265625</v>
      </c>
      <c r="U3709" s="44">
        <f>IF(Mecze[[#This Row],[Role]]&lt;&gt;"BR",SUMPRODUCT(Mecze[[#This Row],[/PR:90]:[/BR:90]],Brudnopis!$E$25:$J$25),0)</f>
        <v>0.26041666666666669</v>
      </c>
      <c r="V3709" s="44">
        <f>IF(Mecze[[#This Row],[Role]]&lt;&gt;"BR",SUMPRODUCT(Mecze[[#This Row],[/PR:90]:[/BR:90]],Brudnopis!$E$26:$J$26),0)</f>
        <v>0.22916666666666669</v>
      </c>
      <c r="W3709" s="44">
        <f>IF(Mecze[[#This Row],[Role]]&lt;&gt;"BR",SUMPRODUCT(Mecze[[#This Row],[/PR:90]:[/BR:90]],Brudnopis!$E$27:$J$27),0)</f>
        <v>0.21875</v>
      </c>
      <c r="X3709" s="44">
        <f>IF(Mecze[[#This Row],[Role]]&lt;&gt;"BR",SUMPRODUCT(Mecze[[#This Row],[/PR:90]:[/BR:90]],Brudnopis!$E$28:$J$28),0)</f>
        <v>6.25E-2</v>
      </c>
      <c r="Y3709" s="35">
        <f>IF(Mecze[[#This Row],[Role]]="BR",Mecze[[#This Row],[/OB:90]]+Mecze[[#This Row],[/PC:90]],SUM(Mecze[[#This Row],[/PR:90]:[/BR:90]]))</f>
        <v>0.22916666666666669</v>
      </c>
      <c r="Z3709" s="35">
        <f>IF(Mecze[[#This Row],[KC]]=0,SUM(Mecze[[#This Row],[/BRI]:[/NPI]]),SUM(Mecze[[#This Row],[/BRI]:[/NPI]])*0.6)</f>
        <v>1.0364583333333335</v>
      </c>
      <c r="AA3709" s="10">
        <f>IFERROR(Mecze[[#This Row],[BR]]/Mecze[[#This Row],[ST]],0)</f>
        <v>0</v>
      </c>
      <c r="AB3709">
        <f>ROUND(Mecze[[#This Row],[PD]]*Mecze[[#This Row],[%PC]],0)</f>
        <v>6</v>
      </c>
      <c r="AC3709">
        <f>ROUND(Mecze[[#This Row],[OD]]*Mecze[[#This Row],[%OU]],0)</f>
        <v>7</v>
      </c>
      <c r="AD3709" s="36" t="s">
        <v>167</v>
      </c>
      <c r="AE3709" s="36">
        <v>212</v>
      </c>
      <c r="AF3709" s="71">
        <v>8.94</v>
      </c>
      <c r="AG3709" s="37">
        <v>1</v>
      </c>
      <c r="AH3709" s="37">
        <v>0</v>
      </c>
      <c r="AI3709" s="37">
        <v>96</v>
      </c>
      <c r="AJ3709" s="37">
        <v>1</v>
      </c>
      <c r="AK3709" s="37" t="str">
        <f>VLOOKUP(Mecze[[#This Row],[Match ID]],Meczusie[Mecz]:Meczusie[RodzajMeczu],2,FALSE)</f>
        <v>Towarzyski</v>
      </c>
    </row>
    <row r="3710" spans="1:37" x14ac:dyDescent="0.25">
      <c r="A3710" s="76">
        <v>5</v>
      </c>
      <c r="B3710" s="3" t="s">
        <v>161</v>
      </c>
      <c r="C3710" s="2" t="s">
        <v>160</v>
      </c>
      <c r="D3710" s="1">
        <v>0</v>
      </c>
      <c r="E3710" s="1">
        <v>0</v>
      </c>
      <c r="F3710" s="1">
        <v>0</v>
      </c>
      <c r="G3710" s="1">
        <v>14</v>
      </c>
      <c r="H3710" s="4">
        <v>0.56999999999999995</v>
      </c>
      <c r="I3710" s="1">
        <v>4</v>
      </c>
      <c r="J3710" s="4">
        <v>0.75</v>
      </c>
      <c r="K3710" s="1">
        <v>0</v>
      </c>
      <c r="L3710" s="1">
        <v>11</v>
      </c>
      <c r="M3710" s="32">
        <f>IF(Mecze[[#This Row],[PR]]=0,0,Mecze[[#This Row],[PR]]/Mecze[[#This Row],[CZAS]])</f>
        <v>0.11458333333333333</v>
      </c>
      <c r="N3710" s="32">
        <f>IF(Mecze[[#This Row],[OU]]=0,0,Mecze[[#This Row],[OU]]/Mecze[[#This Row],[CZAS]])</f>
        <v>3.125E-2</v>
      </c>
      <c r="O3710" s="32">
        <f>IF(Mecze[[#This Row],[PC]]=0,0,Mecze[[#This Row],[PC]]/Mecze[[#This Row],[CZAS]])</f>
        <v>8.3333333333333329E-2</v>
      </c>
      <c r="P3710" s="32">
        <f>IF(Mecze[[#This Row],[SC]]=0,0,Mecze[[#This Row],[SC]]/Mecze[[#This Row],[CZAS]])</f>
        <v>0</v>
      </c>
      <c r="Q3710" s="32">
        <f>IF(Mecze[[#This Row],[OB]]=0,0,Mecze[[#This Row],[OB]]/Mecze[[#This Row],[CZAS]])</f>
        <v>0</v>
      </c>
      <c r="R3710" s="32">
        <f>IF(Mecze[[#This Row],[BR]]=0,0,Mecze[[#This Row],[BR]]/Mecze[[#This Row],[CZAS]])</f>
        <v>0</v>
      </c>
      <c r="S3710" s="44">
        <f>IF(Mecze[[#This Row],[Role]]="BR",SUMPRODUCT(Mecze[[#This Row],[/PR:90]:[/BR:90]],Brudnopis!$E$23:$J$23),0)</f>
        <v>0</v>
      </c>
      <c r="T3710" s="44">
        <f>IF(Mecze[[#This Row],[Role]]&lt;&gt;"BR",SUMPRODUCT(Mecze[[#This Row],[/PR:90]:[/BR:90]],Brudnopis!$E$24:$J$24),0)</f>
        <v>0.24479166666666663</v>
      </c>
      <c r="U3710" s="44">
        <f>IF(Mecze[[#This Row],[Role]]&lt;&gt;"BR",SUMPRODUCT(Mecze[[#This Row],[/PR:90]:[/BR:90]],Brudnopis!$E$25:$J$25),0)</f>
        <v>0.27083333333333331</v>
      </c>
      <c r="V3710" s="44">
        <f>IF(Mecze[[#This Row],[Role]]&lt;&gt;"BR",SUMPRODUCT(Mecze[[#This Row],[/PR:90]:[/BR:90]],Brudnopis!$E$26:$J$26),0)</f>
        <v>0.22916666666666663</v>
      </c>
      <c r="W3710" s="44">
        <f>IF(Mecze[[#This Row],[Role]]&lt;&gt;"BR",SUMPRODUCT(Mecze[[#This Row],[/PR:90]:[/BR:90]],Brudnopis!$E$27:$J$27),0)</f>
        <v>0.234375</v>
      </c>
      <c r="X3710" s="44">
        <f>IF(Mecze[[#This Row],[Role]]&lt;&gt;"BR",SUMPRODUCT(Mecze[[#This Row],[/PR:90]:[/BR:90]],Brudnopis!$E$28:$J$28),0)</f>
        <v>8.3333333333333329E-2</v>
      </c>
      <c r="Y3710" s="35">
        <f>IF(Mecze[[#This Row],[Role]]="BR",Mecze[[#This Row],[/OB:90]]+Mecze[[#This Row],[/PC:90]],SUM(Mecze[[#This Row],[/PR:90]:[/BR:90]]))</f>
        <v>0.22916666666666663</v>
      </c>
      <c r="Z3710" s="35">
        <f>IF(Mecze[[#This Row],[KC]]=0,SUM(Mecze[[#This Row],[/BRI]:[/NPI]]),SUM(Mecze[[#This Row],[/BRI]:[/NPI]])*0.6)</f>
        <v>1.0625</v>
      </c>
      <c r="AA3710" s="10">
        <f>IFERROR(Mecze[[#This Row],[BR]]/Mecze[[#This Row],[ST]],0)</f>
        <v>0</v>
      </c>
      <c r="AB3710">
        <f>ROUND(Mecze[[#This Row],[PD]]*Mecze[[#This Row],[%PC]],0)</f>
        <v>8</v>
      </c>
      <c r="AC3710">
        <f>ROUND(Mecze[[#This Row],[OD]]*Mecze[[#This Row],[%OU]],0)</f>
        <v>3</v>
      </c>
      <c r="AD3710" s="36" t="s">
        <v>41</v>
      </c>
      <c r="AE3710" s="36">
        <v>212</v>
      </c>
      <c r="AF3710" s="71">
        <v>10.56</v>
      </c>
      <c r="AG3710" s="37">
        <v>0</v>
      </c>
      <c r="AH3710" s="37">
        <v>0</v>
      </c>
      <c r="AI3710" s="37">
        <v>96</v>
      </c>
      <c r="AJ3710" s="37">
        <v>1</v>
      </c>
      <c r="AK3710" s="37" t="str">
        <f>VLOOKUP(Mecze[[#This Row],[Match ID]],Meczusie[Mecz]:Meczusie[RodzajMeczu],2,FALSE)</f>
        <v>Towarzyski</v>
      </c>
    </row>
    <row r="3711" spans="1:37" x14ac:dyDescent="0.25">
      <c r="A3711" s="76">
        <v>60</v>
      </c>
      <c r="B3711" s="3" t="s">
        <v>515</v>
      </c>
      <c r="C3711" s="2" t="s">
        <v>160</v>
      </c>
      <c r="D3711" s="1">
        <v>0</v>
      </c>
      <c r="E3711" s="1">
        <v>2</v>
      </c>
      <c r="F3711" s="1">
        <v>2</v>
      </c>
      <c r="G3711" s="1">
        <v>17</v>
      </c>
      <c r="H3711" s="4">
        <v>0.35</v>
      </c>
      <c r="I3711" s="1">
        <v>6</v>
      </c>
      <c r="J3711" s="4">
        <v>0.83</v>
      </c>
      <c r="K3711" s="1">
        <v>0</v>
      </c>
      <c r="L3711" s="1">
        <v>10</v>
      </c>
      <c r="M3711" s="32">
        <f>IF(Mecze[[#This Row],[PR]]=0,0,Mecze[[#This Row],[PR]]/Mecze[[#This Row],[CZAS]])</f>
        <v>0.10416666666666667</v>
      </c>
      <c r="N3711" s="32">
        <f>IF(Mecze[[#This Row],[OU]]=0,0,Mecze[[#This Row],[OU]]/Mecze[[#This Row],[CZAS]])</f>
        <v>5.2083333333333336E-2</v>
      </c>
      <c r="O3711" s="32">
        <f>IF(Mecze[[#This Row],[PC]]=0,0,Mecze[[#This Row],[PC]]/Mecze[[#This Row],[CZAS]])</f>
        <v>6.25E-2</v>
      </c>
      <c r="P3711" s="32">
        <f>IF(Mecze[[#This Row],[SC]]=0,0,Mecze[[#This Row],[SC]]/Mecze[[#This Row],[CZAS]])</f>
        <v>2.0833333333333332E-2</v>
      </c>
      <c r="Q3711" s="32">
        <f>IF(Mecze[[#This Row],[OB]]=0,0,Mecze[[#This Row],[OB]]/Mecze[[#This Row],[CZAS]])</f>
        <v>0</v>
      </c>
      <c r="R3711" s="32">
        <f>IF(Mecze[[#This Row],[BR]]=0,0,Mecze[[#This Row],[BR]]/Mecze[[#This Row],[CZAS]])</f>
        <v>0</v>
      </c>
      <c r="S3711" s="44">
        <f>IF(Mecze[[#This Row],[Role]]="BR",SUMPRODUCT(Mecze[[#This Row],[/PR:90]:[/BR:90]],Brudnopis!$E$23:$J$23),0)</f>
        <v>0</v>
      </c>
      <c r="T3711" s="44">
        <f>IF(Mecze[[#This Row],[Role]]&lt;&gt;"BR",SUMPRODUCT(Mecze[[#This Row],[/PR:90]:[/BR:90]],Brudnopis!$E$24:$J$24),0)</f>
        <v>0.265625</v>
      </c>
      <c r="U3711" s="44">
        <f>IF(Mecze[[#This Row],[Role]]&lt;&gt;"BR",SUMPRODUCT(Mecze[[#This Row],[/PR:90]:[/BR:90]],Brudnopis!$E$25:$J$25),0)</f>
        <v>0.27083333333333331</v>
      </c>
      <c r="V3711" s="44">
        <f>IF(Mecze[[#This Row],[Role]]&lt;&gt;"BR",SUMPRODUCT(Mecze[[#This Row],[/PR:90]:[/BR:90]],Brudnopis!$E$26:$J$26),0)</f>
        <v>0.23958333333333334</v>
      </c>
      <c r="W3711" s="44">
        <f>IF(Mecze[[#This Row],[Role]]&lt;&gt;"BR",SUMPRODUCT(Mecze[[#This Row],[/PR:90]:[/BR:90]],Brudnopis!$E$27:$J$27),0)</f>
        <v>0.23177083333333334</v>
      </c>
      <c r="X3711" s="44">
        <f>IF(Mecze[[#This Row],[Role]]&lt;&gt;"BR",SUMPRODUCT(Mecze[[#This Row],[/PR:90]:[/BR:90]],Brudnopis!$E$28:$J$28),0)</f>
        <v>0.10416666666666666</v>
      </c>
      <c r="Y3711" s="35">
        <f>IF(Mecze[[#This Row],[Role]]="BR",Mecze[[#This Row],[/OB:90]]+Mecze[[#This Row],[/PC:90]],SUM(Mecze[[#This Row],[/PR:90]:[/BR:90]]))</f>
        <v>0.23958333333333334</v>
      </c>
      <c r="Z3711" s="35">
        <f>IF(Mecze[[#This Row],[KC]]=0,SUM(Mecze[[#This Row],[/BRI]:[/NPI]]),SUM(Mecze[[#This Row],[/BRI]:[/NPI]])*0.6)</f>
        <v>1.1119791666666667</v>
      </c>
      <c r="AA3711" s="10">
        <f>IFERROR(Mecze[[#This Row],[BR]]/Mecze[[#This Row],[ST]],0)</f>
        <v>0</v>
      </c>
      <c r="AB3711">
        <f>ROUND(Mecze[[#This Row],[PD]]*Mecze[[#This Row],[%PC]],0)</f>
        <v>6</v>
      </c>
      <c r="AC3711">
        <f>ROUND(Mecze[[#This Row],[OD]]*Mecze[[#This Row],[%OU]],0)</f>
        <v>5</v>
      </c>
      <c r="AD3711" s="36" t="s">
        <v>41</v>
      </c>
      <c r="AE3711" s="36">
        <v>212</v>
      </c>
      <c r="AF3711" s="71">
        <v>9.6</v>
      </c>
      <c r="AG3711" s="37">
        <v>0</v>
      </c>
      <c r="AH3711" s="37">
        <v>0</v>
      </c>
      <c r="AI3711" s="37">
        <v>96</v>
      </c>
      <c r="AJ3711" s="37">
        <v>1</v>
      </c>
      <c r="AK3711" s="37" t="str">
        <f>VLOOKUP(Mecze[[#This Row],[Match ID]],Meczusie[Mecz]:Meczusie[RodzajMeczu],2,FALSE)</f>
        <v>Towarzyski</v>
      </c>
    </row>
    <row r="3712" spans="1:37" x14ac:dyDescent="0.25">
      <c r="A3712" s="76">
        <v>15</v>
      </c>
      <c r="B3712" s="3" t="s">
        <v>170</v>
      </c>
      <c r="C3712" s="2" t="s">
        <v>160</v>
      </c>
      <c r="D3712" s="1">
        <v>0</v>
      </c>
      <c r="E3712" s="1">
        <v>0</v>
      </c>
      <c r="F3712" s="1">
        <v>0</v>
      </c>
      <c r="G3712" s="1">
        <v>10</v>
      </c>
      <c r="H3712" s="4">
        <v>0.3</v>
      </c>
      <c r="I3712" s="1">
        <v>10</v>
      </c>
      <c r="J3712" s="4">
        <v>0.4</v>
      </c>
      <c r="K3712" s="1">
        <v>0</v>
      </c>
      <c r="L3712" s="1">
        <v>5</v>
      </c>
      <c r="M3712" s="32">
        <f>IF(Mecze[[#This Row],[PR]]=0,0,Mecze[[#This Row],[PR]]/Mecze[[#This Row],[CZAS]])</f>
        <v>5.2083333333333336E-2</v>
      </c>
      <c r="N3712" s="32">
        <f>IF(Mecze[[#This Row],[OU]]=0,0,Mecze[[#This Row],[OU]]/Mecze[[#This Row],[CZAS]])</f>
        <v>4.1666666666666664E-2</v>
      </c>
      <c r="O3712" s="32">
        <f>IF(Mecze[[#This Row],[PC]]=0,0,Mecze[[#This Row],[PC]]/Mecze[[#This Row],[CZAS]])</f>
        <v>3.125E-2</v>
      </c>
      <c r="P3712" s="32">
        <f>IF(Mecze[[#This Row],[SC]]=0,0,Mecze[[#This Row],[SC]]/Mecze[[#This Row],[CZAS]])</f>
        <v>0</v>
      </c>
      <c r="Q3712" s="32">
        <f>IF(Mecze[[#This Row],[OB]]=0,0,Mecze[[#This Row],[OB]]/Mecze[[#This Row],[CZAS]])</f>
        <v>0</v>
      </c>
      <c r="R3712" s="32">
        <f>IF(Mecze[[#This Row],[BR]]=0,0,Mecze[[#This Row],[BR]]/Mecze[[#This Row],[CZAS]])</f>
        <v>0</v>
      </c>
      <c r="S3712" s="44">
        <f>IF(Mecze[[#This Row],[Role]]="BR",SUMPRODUCT(Mecze[[#This Row],[/PR:90]:[/BR:90]],Brudnopis!$E$23:$J$23),0)</f>
        <v>0</v>
      </c>
      <c r="T3712" s="44">
        <f>IF(Mecze[[#This Row],[Role]]&lt;&gt;"BR",SUMPRODUCT(Mecze[[#This Row],[/PR:90]:[/BR:90]],Brudnopis!$E$24:$J$24),0)</f>
        <v>0.14583333333333334</v>
      </c>
      <c r="U3712" s="44">
        <f>IF(Mecze[[#This Row],[Role]]&lt;&gt;"BR",SUMPRODUCT(Mecze[[#This Row],[/PR:90]:[/BR:90]],Brudnopis!$E$25:$J$25),0)</f>
        <v>0.140625</v>
      </c>
      <c r="V3712" s="44">
        <f>IF(Mecze[[#This Row],[Role]]&lt;&gt;"BR",SUMPRODUCT(Mecze[[#This Row],[/PR:90]:[/BR:90]],Brudnopis!$E$26:$J$26),0)</f>
        <v>0.125</v>
      </c>
      <c r="W3712" s="44">
        <f>IF(Mecze[[#This Row],[Role]]&lt;&gt;"BR",SUMPRODUCT(Mecze[[#This Row],[/PR:90]:[/BR:90]],Brudnopis!$E$27:$J$27),0)</f>
        <v>0.1171875</v>
      </c>
      <c r="X3712" s="44">
        <f>IF(Mecze[[#This Row],[Role]]&lt;&gt;"BR",SUMPRODUCT(Mecze[[#This Row],[/PR:90]:[/BR:90]],Brudnopis!$E$28:$J$28),0)</f>
        <v>3.125E-2</v>
      </c>
      <c r="Y3712" s="35">
        <f>IF(Mecze[[#This Row],[Role]]="BR",Mecze[[#This Row],[/OB:90]]+Mecze[[#This Row],[/PC:90]],SUM(Mecze[[#This Row],[/PR:90]:[/BR:90]]))</f>
        <v>0.125</v>
      </c>
      <c r="Z3712" s="35">
        <f>IF(Mecze[[#This Row],[KC]]=0,SUM(Mecze[[#This Row],[/BRI]:[/NPI]]),SUM(Mecze[[#This Row],[/BRI]:[/NPI]])*0.6)</f>
        <v>0.55989583333333337</v>
      </c>
      <c r="AA3712" s="10">
        <f>IFERROR(Mecze[[#This Row],[BR]]/Mecze[[#This Row],[ST]],0)</f>
        <v>0</v>
      </c>
      <c r="AB3712">
        <f>ROUND(Mecze[[#This Row],[PD]]*Mecze[[#This Row],[%PC]],0)</f>
        <v>3</v>
      </c>
      <c r="AC3712">
        <f>ROUND(Mecze[[#This Row],[OD]]*Mecze[[#This Row],[%OU]],0)</f>
        <v>4</v>
      </c>
      <c r="AD3712" s="36" t="s">
        <v>67</v>
      </c>
      <c r="AE3712" s="36">
        <v>212</v>
      </c>
      <c r="AF3712" s="71">
        <v>6.98</v>
      </c>
      <c r="AG3712" s="37">
        <v>1</v>
      </c>
      <c r="AH3712" s="37">
        <v>0</v>
      </c>
      <c r="AI3712" s="37">
        <v>96</v>
      </c>
      <c r="AJ3712" s="37">
        <v>1</v>
      </c>
      <c r="AK3712" s="37" t="str">
        <f>VLOOKUP(Mecze[[#This Row],[Match ID]],Meczusie[Mecz]:Meczusie[RodzajMeczu],2,FALSE)</f>
        <v>Towarzyski</v>
      </c>
    </row>
    <row r="3713" spans="1:37" x14ac:dyDescent="0.25">
      <c r="A3713" s="76">
        <v>13</v>
      </c>
      <c r="B3713" s="3" t="s">
        <v>162</v>
      </c>
      <c r="C3713" s="2" t="s">
        <v>160</v>
      </c>
      <c r="D3713" s="1">
        <v>0</v>
      </c>
      <c r="E3713" s="1">
        <v>0</v>
      </c>
      <c r="F3713" s="1">
        <v>0</v>
      </c>
      <c r="G3713" s="1">
        <v>10</v>
      </c>
      <c r="H3713" s="4">
        <v>0.8</v>
      </c>
      <c r="I3713" s="1">
        <v>1</v>
      </c>
      <c r="J3713" s="4">
        <v>1</v>
      </c>
      <c r="K3713" s="1">
        <v>0</v>
      </c>
      <c r="L3713" s="1">
        <v>1</v>
      </c>
      <c r="M3713" s="32">
        <f>IF(Mecze[[#This Row],[PR]]=0,0,Mecze[[#This Row],[PR]]/Mecze[[#This Row],[CZAS]])</f>
        <v>1.0416666666666666E-2</v>
      </c>
      <c r="N3713" s="32">
        <f>IF(Mecze[[#This Row],[OU]]=0,0,Mecze[[#This Row],[OU]]/Mecze[[#This Row],[CZAS]])</f>
        <v>1.0416666666666666E-2</v>
      </c>
      <c r="O3713" s="32">
        <f>IF(Mecze[[#This Row],[PC]]=0,0,Mecze[[#This Row],[PC]]/Mecze[[#This Row],[CZAS]])</f>
        <v>8.3333333333333329E-2</v>
      </c>
      <c r="P3713" s="32">
        <f>IF(Mecze[[#This Row],[SC]]=0,0,Mecze[[#This Row],[SC]]/Mecze[[#This Row],[CZAS]])</f>
        <v>0</v>
      </c>
      <c r="Q3713" s="32">
        <f>IF(Mecze[[#This Row],[OB]]=0,0,Mecze[[#This Row],[OB]]/Mecze[[#This Row],[CZAS]])</f>
        <v>0</v>
      </c>
      <c r="R3713" s="32">
        <f>IF(Mecze[[#This Row],[BR]]=0,0,Mecze[[#This Row],[BR]]/Mecze[[#This Row],[CZAS]])</f>
        <v>0</v>
      </c>
      <c r="S3713" s="44">
        <f>IF(Mecze[[#This Row],[Role]]="BR",SUMPRODUCT(Mecze[[#This Row],[/PR:90]:[/BR:90]],Brudnopis!$E$23:$J$23),0)</f>
        <v>0</v>
      </c>
      <c r="T3713" s="44">
        <f>IF(Mecze[[#This Row],[Role]]&lt;&gt;"BR",SUMPRODUCT(Mecze[[#This Row],[/PR:90]:[/BR:90]],Brudnopis!$E$24:$J$24),0)</f>
        <v>0.109375</v>
      </c>
      <c r="U3713" s="44">
        <f>IF(Mecze[[#This Row],[Role]]&lt;&gt;"BR",SUMPRODUCT(Mecze[[#This Row],[/PR:90]:[/BR:90]],Brudnopis!$E$25:$J$25),0)</f>
        <v>0.14583333333333334</v>
      </c>
      <c r="V3713" s="44">
        <f>IF(Mecze[[#This Row],[Role]]&lt;&gt;"BR",SUMPRODUCT(Mecze[[#This Row],[/PR:90]:[/BR:90]],Brudnopis!$E$26:$J$26),0)</f>
        <v>0.10416666666666666</v>
      </c>
      <c r="W3713" s="44">
        <f>IF(Mecze[[#This Row],[Role]]&lt;&gt;"BR",SUMPRODUCT(Mecze[[#This Row],[/PR:90]:[/BR:90]],Brudnopis!$E$27:$J$27),0)</f>
        <v>0.140625</v>
      </c>
      <c r="X3713" s="44">
        <f>IF(Mecze[[#This Row],[Role]]&lt;&gt;"BR",SUMPRODUCT(Mecze[[#This Row],[/PR:90]:[/BR:90]],Brudnopis!$E$28:$J$28),0)</f>
        <v>8.3333333333333329E-2</v>
      </c>
      <c r="Y3713" s="35">
        <f>IF(Mecze[[#This Row],[Role]]="BR",Mecze[[#This Row],[/OB:90]]+Mecze[[#This Row],[/PC:90]],SUM(Mecze[[#This Row],[/PR:90]:[/BR:90]]))</f>
        <v>0.10416666666666666</v>
      </c>
      <c r="Z3713" s="35">
        <f>IF(Mecze[[#This Row],[KC]]=0,SUM(Mecze[[#This Row],[/BRI]:[/NPI]]),SUM(Mecze[[#This Row],[/BRI]:[/NPI]])*0.6)</f>
        <v>0.58333333333333337</v>
      </c>
      <c r="AA3713" s="10">
        <f>IFERROR(Mecze[[#This Row],[BR]]/Mecze[[#This Row],[ST]],0)</f>
        <v>0</v>
      </c>
      <c r="AB3713">
        <f>ROUND(Mecze[[#This Row],[PD]]*Mecze[[#This Row],[%PC]],0)</f>
        <v>8</v>
      </c>
      <c r="AC3713">
        <f>ROUND(Mecze[[#This Row],[OD]]*Mecze[[#This Row],[%OU]],0)</f>
        <v>1</v>
      </c>
      <c r="AD3713" s="36" t="s">
        <v>319</v>
      </c>
      <c r="AE3713" s="36">
        <v>212</v>
      </c>
      <c r="AF3713" s="71">
        <v>9.3699999999999992</v>
      </c>
      <c r="AG3713" s="37">
        <v>0</v>
      </c>
      <c r="AH3713" s="37">
        <v>0</v>
      </c>
      <c r="AI3713" s="37">
        <v>96</v>
      </c>
      <c r="AJ3713" s="37">
        <v>1</v>
      </c>
      <c r="AK3713" s="37" t="str">
        <f>VLOOKUP(Mecze[[#This Row],[Match ID]],Meczusie[Mecz]:Meczusie[RodzajMeczu],2,FALSE)</f>
        <v>Towarzyski</v>
      </c>
    </row>
    <row r="3714" spans="1:37" x14ac:dyDescent="0.25">
      <c r="A3714" s="76">
        <v>19</v>
      </c>
      <c r="B3714" s="3" t="s">
        <v>166</v>
      </c>
      <c r="C3714" s="2" t="s">
        <v>160</v>
      </c>
      <c r="D3714" s="1">
        <v>0</v>
      </c>
      <c r="E3714" s="1">
        <v>2</v>
      </c>
      <c r="F3714" s="1">
        <v>2</v>
      </c>
      <c r="G3714" s="1">
        <v>10</v>
      </c>
      <c r="H3714" s="4">
        <v>0.5</v>
      </c>
      <c r="I3714" s="1">
        <v>5</v>
      </c>
      <c r="J3714" s="4">
        <v>0.4</v>
      </c>
      <c r="K3714" s="1">
        <v>0</v>
      </c>
      <c r="L3714" s="1">
        <v>2</v>
      </c>
      <c r="M3714" s="32">
        <f>IF(Mecze[[#This Row],[PR]]=0,0,Mecze[[#This Row],[PR]]/Mecze[[#This Row],[CZAS]])</f>
        <v>2.0833333333333332E-2</v>
      </c>
      <c r="N3714" s="32">
        <f>IF(Mecze[[#This Row],[OU]]=0,0,Mecze[[#This Row],[OU]]/Mecze[[#This Row],[CZAS]])</f>
        <v>2.0833333333333332E-2</v>
      </c>
      <c r="O3714" s="32">
        <f>IF(Mecze[[#This Row],[PC]]=0,0,Mecze[[#This Row],[PC]]/Mecze[[#This Row],[CZAS]])</f>
        <v>5.2083333333333336E-2</v>
      </c>
      <c r="P3714" s="32">
        <f>IF(Mecze[[#This Row],[SC]]=0,0,Mecze[[#This Row],[SC]]/Mecze[[#This Row],[CZAS]])</f>
        <v>2.0833333333333332E-2</v>
      </c>
      <c r="Q3714" s="32">
        <f>IF(Mecze[[#This Row],[OB]]=0,0,Mecze[[#This Row],[OB]]/Mecze[[#This Row],[CZAS]])</f>
        <v>0</v>
      </c>
      <c r="R3714" s="32">
        <f>IF(Mecze[[#This Row],[BR]]=0,0,Mecze[[#This Row],[BR]]/Mecze[[#This Row],[CZAS]])</f>
        <v>0</v>
      </c>
      <c r="S3714" s="44">
        <f>IF(Mecze[[#This Row],[Role]]="BR",SUMPRODUCT(Mecze[[#This Row],[/PR:90]:[/BR:90]],Brudnopis!$E$23:$J$23),0)</f>
        <v>0</v>
      </c>
      <c r="T3714" s="44">
        <f>IF(Mecze[[#This Row],[Role]]&lt;&gt;"BR",SUMPRODUCT(Mecze[[#This Row],[/PR:90]:[/BR:90]],Brudnopis!$E$24:$J$24),0)</f>
        <v>0.12499999999999999</v>
      </c>
      <c r="U3714" s="44">
        <f>IF(Mecze[[#This Row],[Role]]&lt;&gt;"BR",SUMPRODUCT(Mecze[[#This Row],[/PR:90]:[/BR:90]],Brudnopis!$E$25:$J$25),0)</f>
        <v>0.140625</v>
      </c>
      <c r="V3714" s="44">
        <f>IF(Mecze[[#This Row],[Role]]&lt;&gt;"BR",SUMPRODUCT(Mecze[[#This Row],[/PR:90]:[/BR:90]],Brudnopis!$E$26:$J$26),0)</f>
        <v>0.11458333333333333</v>
      </c>
      <c r="W3714" s="44">
        <f>IF(Mecze[[#This Row],[Role]]&lt;&gt;"BR",SUMPRODUCT(Mecze[[#This Row],[/PR:90]:[/BR:90]],Brudnopis!$E$27:$J$27),0)</f>
        <v>0.13020833333333334</v>
      </c>
      <c r="X3714" s="44">
        <f>IF(Mecze[[#This Row],[Role]]&lt;&gt;"BR",SUMPRODUCT(Mecze[[#This Row],[/PR:90]:[/BR:90]],Brudnopis!$E$28:$J$28),0)</f>
        <v>9.375E-2</v>
      </c>
      <c r="Y3714" s="35">
        <f>IF(Mecze[[#This Row],[Role]]="BR",Mecze[[#This Row],[/OB:90]]+Mecze[[#This Row],[/PC:90]],SUM(Mecze[[#This Row],[/PR:90]:[/BR:90]]))</f>
        <v>0.11458333333333333</v>
      </c>
      <c r="Z3714" s="35">
        <f>IF(Mecze[[#This Row],[KC]]=0,SUM(Mecze[[#This Row],[/BRI]:[/NPI]]),SUM(Mecze[[#This Row],[/BRI]:[/NPI]])*0.6)</f>
        <v>0.60416666666666663</v>
      </c>
      <c r="AA3714" s="10">
        <f>IFERROR(Mecze[[#This Row],[BR]]/Mecze[[#This Row],[ST]],0)</f>
        <v>0</v>
      </c>
      <c r="AB3714">
        <f>ROUND(Mecze[[#This Row],[PD]]*Mecze[[#This Row],[%PC]],0)</f>
        <v>5</v>
      </c>
      <c r="AC3714">
        <f>ROUND(Mecze[[#This Row],[OD]]*Mecze[[#This Row],[%OU]],0)</f>
        <v>2</v>
      </c>
      <c r="AD3714" s="36" t="s">
        <v>44</v>
      </c>
      <c r="AE3714" s="36">
        <v>212</v>
      </c>
      <c r="AF3714" s="71">
        <v>9.1300000000000008</v>
      </c>
      <c r="AG3714" s="37">
        <v>0</v>
      </c>
      <c r="AH3714" s="37">
        <v>0</v>
      </c>
      <c r="AI3714" s="37">
        <v>96</v>
      </c>
      <c r="AJ3714" s="37">
        <v>1</v>
      </c>
      <c r="AK3714" s="37" t="str">
        <f>VLOOKUP(Mecze[[#This Row],[Match ID]],Meczusie[Mecz]:Meczusie[RodzajMeczu],2,FALSE)</f>
        <v>Towarzyski</v>
      </c>
    </row>
    <row r="3715" spans="1:37" x14ac:dyDescent="0.25">
      <c r="A3715" s="76">
        <v>14</v>
      </c>
      <c r="B3715" s="3" t="s">
        <v>164</v>
      </c>
      <c r="C3715" s="2" t="s">
        <v>165</v>
      </c>
      <c r="D3715" s="1">
        <v>0</v>
      </c>
      <c r="E3715" s="1">
        <v>1</v>
      </c>
      <c r="F3715" s="1">
        <v>0</v>
      </c>
      <c r="G3715" s="1">
        <v>8</v>
      </c>
      <c r="H3715" s="4">
        <v>0.38</v>
      </c>
      <c r="I3715" s="1">
        <v>1</v>
      </c>
      <c r="J3715" s="4">
        <v>0</v>
      </c>
      <c r="K3715" s="1">
        <v>0</v>
      </c>
      <c r="L3715" s="1">
        <v>0</v>
      </c>
      <c r="M3715" s="32">
        <f>IF(Mecze[[#This Row],[PR]]=0,0,Mecze[[#This Row],[PR]]/Mecze[[#This Row],[CZAS]])</f>
        <v>0</v>
      </c>
      <c r="N3715" s="32">
        <f>IF(Mecze[[#This Row],[OU]]=0,0,Mecze[[#This Row],[OU]]/Mecze[[#This Row],[CZAS]])</f>
        <v>0</v>
      </c>
      <c r="O3715" s="32">
        <f>IF(Mecze[[#This Row],[PC]]=0,0,Mecze[[#This Row],[PC]]/Mecze[[#This Row],[CZAS]])</f>
        <v>3.125E-2</v>
      </c>
      <c r="P3715" s="32">
        <f>IF(Mecze[[#This Row],[SC]]=0,0,Mecze[[#This Row],[SC]]/Mecze[[#This Row],[CZAS]])</f>
        <v>0</v>
      </c>
      <c r="Q3715" s="32">
        <f>IF(Mecze[[#This Row],[OB]]=0,0,Mecze[[#This Row],[OB]]/Mecze[[#This Row],[CZAS]])</f>
        <v>0</v>
      </c>
      <c r="R3715" s="32">
        <f>IF(Mecze[[#This Row],[BR]]=0,0,Mecze[[#This Row],[BR]]/Mecze[[#This Row],[CZAS]])</f>
        <v>0</v>
      </c>
      <c r="S3715" s="44">
        <f>IF(Mecze[[#This Row],[Role]]="BR",SUMPRODUCT(Mecze[[#This Row],[/PR:90]:[/BR:90]],Brudnopis!$E$23:$J$23),0)</f>
        <v>0</v>
      </c>
      <c r="T3715" s="44">
        <f>IF(Mecze[[#This Row],[Role]]&lt;&gt;"BR",SUMPRODUCT(Mecze[[#This Row],[/PR:90]:[/BR:90]],Brudnopis!$E$24:$J$24),0)</f>
        <v>3.125E-2</v>
      </c>
      <c r="U3715" s="44">
        <f>IF(Mecze[[#This Row],[Role]]&lt;&gt;"BR",SUMPRODUCT(Mecze[[#This Row],[/PR:90]:[/BR:90]],Brudnopis!$E$25:$J$25),0)</f>
        <v>4.6875E-2</v>
      </c>
      <c r="V3715" s="44">
        <f>IF(Mecze[[#This Row],[Role]]&lt;&gt;"BR",SUMPRODUCT(Mecze[[#This Row],[/PR:90]:[/BR:90]],Brudnopis!$E$26:$J$26),0)</f>
        <v>3.125E-2</v>
      </c>
      <c r="W3715" s="44">
        <f>IF(Mecze[[#This Row],[Role]]&lt;&gt;"BR",SUMPRODUCT(Mecze[[#This Row],[/PR:90]:[/BR:90]],Brudnopis!$E$27:$J$27),0)</f>
        <v>4.6875E-2</v>
      </c>
      <c r="X3715" s="44">
        <f>IF(Mecze[[#This Row],[Role]]&lt;&gt;"BR",SUMPRODUCT(Mecze[[#This Row],[/PR:90]:[/BR:90]],Brudnopis!$E$28:$J$28),0)</f>
        <v>3.125E-2</v>
      </c>
      <c r="Y3715" s="35">
        <f>IF(Mecze[[#This Row],[Role]]="BR",Mecze[[#This Row],[/OB:90]]+Mecze[[#This Row],[/PC:90]],SUM(Mecze[[#This Row],[/PR:90]:[/BR:90]]))</f>
        <v>3.125E-2</v>
      </c>
      <c r="Z3715" s="35">
        <f>IF(Mecze[[#This Row],[KC]]=0,SUM(Mecze[[#This Row],[/BRI]:[/NPI]]),SUM(Mecze[[#This Row],[/BRI]:[/NPI]])*0.6)</f>
        <v>0.1875</v>
      </c>
      <c r="AA3715" s="10">
        <f>IFERROR(Mecze[[#This Row],[BR]]/Mecze[[#This Row],[ST]],0)</f>
        <v>0</v>
      </c>
      <c r="AB3715">
        <f>ROUND(Mecze[[#This Row],[PD]]*Mecze[[#This Row],[%PC]],0)</f>
        <v>3</v>
      </c>
      <c r="AC3715">
        <f>ROUND(Mecze[[#This Row],[OD]]*Mecze[[#This Row],[%OU]],0)</f>
        <v>0</v>
      </c>
      <c r="AD3715" s="36" t="s">
        <v>273</v>
      </c>
      <c r="AE3715" s="36">
        <v>212</v>
      </c>
      <c r="AF3715" s="71">
        <v>3.93</v>
      </c>
      <c r="AG3715" s="37">
        <v>0</v>
      </c>
      <c r="AH3715" s="37">
        <v>0</v>
      </c>
      <c r="AI3715" s="37">
        <v>96</v>
      </c>
      <c r="AJ3715" s="37">
        <v>1</v>
      </c>
      <c r="AK3715" s="37" t="str">
        <f>VLOOKUP(Mecze[[#This Row],[Match ID]],Meczusie[Mecz]:Meczusie[RodzajMeczu],2,FALSE)</f>
        <v>Towarzyski</v>
      </c>
    </row>
    <row r="3716" spans="1:37" x14ac:dyDescent="0.25">
      <c r="A3716" s="76">
        <v>9</v>
      </c>
      <c r="B3716" s="3" t="s">
        <v>411</v>
      </c>
      <c r="C3716" s="2" t="s">
        <v>165</v>
      </c>
      <c r="D3716" s="1">
        <v>2</v>
      </c>
      <c r="E3716" s="1">
        <v>12</v>
      </c>
      <c r="F3716" s="1">
        <v>11</v>
      </c>
      <c r="G3716" s="1">
        <v>3</v>
      </c>
      <c r="H3716" s="4">
        <v>1</v>
      </c>
      <c r="I3716" s="1">
        <v>3</v>
      </c>
      <c r="J3716" s="4">
        <v>0</v>
      </c>
      <c r="K3716" s="1">
        <v>0</v>
      </c>
      <c r="L3716" s="1">
        <v>0</v>
      </c>
      <c r="M3716" s="32">
        <f>IF(Mecze[[#This Row],[PR]]=0,0,Mecze[[#This Row],[PR]]/Mecze[[#This Row],[CZAS]])</f>
        <v>0</v>
      </c>
      <c r="N3716" s="32">
        <f>IF(Mecze[[#This Row],[OU]]=0,0,Mecze[[#This Row],[OU]]/Mecze[[#This Row],[CZAS]])</f>
        <v>0</v>
      </c>
      <c r="O3716" s="32">
        <f>IF(Mecze[[#This Row],[PC]]=0,0,Mecze[[#This Row],[PC]]/Mecze[[#This Row],[CZAS]])</f>
        <v>3.125E-2</v>
      </c>
      <c r="P3716" s="32">
        <f>IF(Mecze[[#This Row],[SC]]=0,0,Mecze[[#This Row],[SC]]/Mecze[[#This Row],[CZAS]])</f>
        <v>0.11458333333333333</v>
      </c>
      <c r="Q3716" s="32">
        <f>IF(Mecze[[#This Row],[OB]]=0,0,Mecze[[#This Row],[OB]]/Mecze[[#This Row],[CZAS]])</f>
        <v>0</v>
      </c>
      <c r="R3716" s="32">
        <f>IF(Mecze[[#This Row],[BR]]=0,0,Mecze[[#This Row],[BR]]/Mecze[[#This Row],[CZAS]])</f>
        <v>2.0833333333333332E-2</v>
      </c>
      <c r="S3716" s="44">
        <f>IF(Mecze[[#This Row],[Role]]="BR",SUMPRODUCT(Mecze[[#This Row],[/PR:90]:[/BR:90]],Brudnopis!$E$23:$J$23),0)</f>
        <v>0</v>
      </c>
      <c r="T3716" s="44">
        <f>IF(Mecze[[#This Row],[Role]]&lt;&gt;"BR",SUMPRODUCT(Mecze[[#This Row],[/PR:90]:[/BR:90]],Brudnopis!$E$24:$J$24),0)</f>
        <v>0.17708333333333331</v>
      </c>
      <c r="U3716" s="44">
        <f>IF(Mecze[[#This Row],[Role]]&lt;&gt;"BR",SUMPRODUCT(Mecze[[#This Row],[/PR:90]:[/BR:90]],Brudnopis!$E$25:$J$25),0)</f>
        <v>0.19270833333333331</v>
      </c>
      <c r="V3716" s="44">
        <f>IF(Mecze[[#This Row],[Role]]&lt;&gt;"BR",SUMPRODUCT(Mecze[[#This Row],[/PR:90]:[/BR:90]],Brudnopis!$E$26:$J$26),0)</f>
        <v>0.18749999999999997</v>
      </c>
      <c r="W3716" s="44">
        <f>IF(Mecze[[#This Row],[Role]]&lt;&gt;"BR",SUMPRODUCT(Mecze[[#This Row],[/PR:90]:[/BR:90]],Brudnopis!$E$27:$J$27),0)</f>
        <v>0.20312499999999997</v>
      </c>
      <c r="X3716" s="44">
        <f>IF(Mecze[[#This Row],[Role]]&lt;&gt;"BR",SUMPRODUCT(Mecze[[#This Row],[/PR:90]:[/BR:90]],Brudnopis!$E$28:$J$28),0)</f>
        <v>0.32291666666666663</v>
      </c>
      <c r="Y3716" s="35">
        <f>IF(Mecze[[#This Row],[Role]]="BR",Mecze[[#This Row],[/OB:90]]+Mecze[[#This Row],[/PC:90]],SUM(Mecze[[#This Row],[/PR:90]:[/BR:90]]))</f>
        <v>0.16666666666666666</v>
      </c>
      <c r="Z3716" s="35">
        <f>IF(Mecze[[#This Row],[KC]]=0,SUM(Mecze[[#This Row],[/BRI]:[/NPI]]),SUM(Mecze[[#This Row],[/BRI]:[/NPI]])*0.6)</f>
        <v>1.0833333333333333</v>
      </c>
      <c r="AA3716" s="10">
        <f>IFERROR(Mecze[[#This Row],[BR]]/Mecze[[#This Row],[ST]],0)</f>
        <v>0.16666666666666666</v>
      </c>
      <c r="AB3716">
        <f>ROUND(Mecze[[#This Row],[PD]]*Mecze[[#This Row],[%PC]],0)</f>
        <v>3</v>
      </c>
      <c r="AC3716">
        <f>ROUND(Mecze[[#This Row],[OD]]*Mecze[[#This Row],[%OU]],0)</f>
        <v>0</v>
      </c>
      <c r="AD3716" s="36" t="s">
        <v>46</v>
      </c>
      <c r="AE3716" s="36">
        <v>212</v>
      </c>
      <c r="AF3716" s="71">
        <v>10.95</v>
      </c>
      <c r="AG3716" s="37">
        <v>0</v>
      </c>
      <c r="AH3716" s="37">
        <v>0</v>
      </c>
      <c r="AI3716" s="37">
        <v>96</v>
      </c>
      <c r="AJ3716" s="37">
        <v>1</v>
      </c>
      <c r="AK3716" s="37" t="str">
        <f>VLOOKUP(Mecze[[#This Row],[Match ID]],Meczusie[Mecz]:Meczusie[RodzajMeczu],2,FALSE)</f>
        <v>Towarzyski</v>
      </c>
    </row>
    <row r="3717" spans="1:37" x14ac:dyDescent="0.25">
      <c r="A3717" s="76">
        <v>1</v>
      </c>
      <c r="B3717" s="3" t="s">
        <v>169</v>
      </c>
      <c r="C3717" s="2" t="s">
        <v>155</v>
      </c>
      <c r="D3717" s="1">
        <v>0</v>
      </c>
      <c r="E3717" s="1">
        <v>0</v>
      </c>
      <c r="F3717" s="1">
        <v>0</v>
      </c>
      <c r="G3717" s="1">
        <v>9</v>
      </c>
      <c r="H3717" s="4">
        <v>0.78</v>
      </c>
      <c r="I3717" s="1">
        <v>0</v>
      </c>
      <c r="J3717" s="4"/>
      <c r="K3717" s="1">
        <v>11</v>
      </c>
      <c r="L3717" s="1">
        <v>0</v>
      </c>
      <c r="M3717" s="32">
        <f>IF(Mecze[[#This Row],[PR]]=0,0,Mecze[[#This Row],[PR]]/Mecze[[#This Row],[CZAS]])</f>
        <v>0</v>
      </c>
      <c r="N3717" s="32">
        <f>IF(Mecze[[#This Row],[OU]]=0,0,Mecze[[#This Row],[OU]]/Mecze[[#This Row],[CZAS]])</f>
        <v>0</v>
      </c>
      <c r="O3717" s="32">
        <f>IF(Mecze[[#This Row],[PC]]=0,0,Mecze[[#This Row],[PC]]/Mecze[[#This Row],[CZAS]])</f>
        <v>7.2916666666666671E-2</v>
      </c>
      <c r="P3717" s="32">
        <f>IF(Mecze[[#This Row],[SC]]=0,0,Mecze[[#This Row],[SC]]/Mecze[[#This Row],[CZAS]])</f>
        <v>0</v>
      </c>
      <c r="Q3717" s="32">
        <f>IF(Mecze[[#This Row],[OB]]=0,0,Mecze[[#This Row],[OB]]/Mecze[[#This Row],[CZAS]])</f>
        <v>0.11458333333333333</v>
      </c>
      <c r="R3717" s="32">
        <f>IF(Mecze[[#This Row],[BR]]=0,0,Mecze[[#This Row],[BR]]/Mecze[[#This Row],[CZAS]])</f>
        <v>0</v>
      </c>
      <c r="S3717" s="44">
        <f>IF(Mecze[[#This Row],[Role]]="BR",SUMPRODUCT(Mecze[[#This Row],[/PR:90]:[/BR:90]],Brudnopis!$E$23:$J$23),0)</f>
        <v>0.5625</v>
      </c>
      <c r="T3717" s="44">
        <f>IF(Mecze[[#This Row],[Role]]&lt;&gt;"BR",SUMPRODUCT(Mecze[[#This Row],[/PR:90]:[/BR:90]],Brudnopis!$E$24:$J$24),0)</f>
        <v>0</v>
      </c>
      <c r="U3717" s="44">
        <f>IF(Mecze[[#This Row],[Role]]&lt;&gt;"BR",SUMPRODUCT(Mecze[[#This Row],[/PR:90]:[/BR:90]],Brudnopis!$E$25:$J$25),0)</f>
        <v>0</v>
      </c>
      <c r="V3717" s="44">
        <f>IF(Mecze[[#This Row],[Role]]&lt;&gt;"BR",SUMPRODUCT(Mecze[[#This Row],[/PR:90]:[/BR:90]],Brudnopis!$E$26:$J$26),0)</f>
        <v>0</v>
      </c>
      <c r="W3717" s="44">
        <f>IF(Mecze[[#This Row],[Role]]&lt;&gt;"BR",SUMPRODUCT(Mecze[[#This Row],[/PR:90]:[/BR:90]],Brudnopis!$E$27:$J$27),0)</f>
        <v>0</v>
      </c>
      <c r="X3717" s="44">
        <f>IF(Mecze[[#This Row],[Role]]&lt;&gt;"BR",SUMPRODUCT(Mecze[[#This Row],[/PR:90]:[/BR:90]],Brudnopis!$E$28:$J$28),0)</f>
        <v>0</v>
      </c>
      <c r="Y3717" s="35">
        <f>IF(Mecze[[#This Row],[Role]]="BR",Mecze[[#This Row],[/OB:90]]+Mecze[[#This Row],[/PC:90]],SUM(Mecze[[#This Row],[/PR:90]:[/BR:90]]))</f>
        <v>0.1875</v>
      </c>
      <c r="Z3717" s="35">
        <f>IF(Mecze[[#This Row],[KC]]=0,SUM(Mecze[[#This Row],[/BRI]:[/NPI]]),SUM(Mecze[[#This Row],[/BRI]:[/NPI]])*0.6)</f>
        <v>0.5625</v>
      </c>
      <c r="AA3717" s="10">
        <f>IFERROR(Mecze[[#This Row],[BR]]/Mecze[[#This Row],[ST]],0)</f>
        <v>0</v>
      </c>
      <c r="AB3717">
        <f>ROUND(Mecze[[#This Row],[PD]]*Mecze[[#This Row],[%PC]],0)</f>
        <v>7</v>
      </c>
      <c r="AC3717">
        <f>ROUND(Mecze[[#This Row],[OD]]*Mecze[[#This Row],[%OU]],0)</f>
        <v>0</v>
      </c>
      <c r="AD3717" s="36" t="s">
        <v>40</v>
      </c>
      <c r="AE3717" s="36">
        <v>213</v>
      </c>
      <c r="AF3717" s="71">
        <v>6.66</v>
      </c>
      <c r="AG3717" s="37">
        <v>0</v>
      </c>
      <c r="AH3717" s="37">
        <v>0</v>
      </c>
      <c r="AI3717" s="37">
        <v>96</v>
      </c>
      <c r="AJ3717" s="37">
        <v>1</v>
      </c>
      <c r="AK3717" s="37" t="str">
        <f>VLOOKUP(Mecze[[#This Row],[Match ID]],Meczusie[Mecz]:Meczusie[RodzajMeczu],2,FALSE)</f>
        <v>Baraże</v>
      </c>
    </row>
    <row r="3718" spans="1:37" x14ac:dyDescent="0.25">
      <c r="A3718" s="76">
        <v>5</v>
      </c>
      <c r="B3718" s="3" t="s">
        <v>161</v>
      </c>
      <c r="C3718" s="2" t="s">
        <v>157</v>
      </c>
      <c r="D3718" s="1">
        <v>0</v>
      </c>
      <c r="E3718" s="1">
        <v>0</v>
      </c>
      <c r="F3718" s="1">
        <v>0</v>
      </c>
      <c r="G3718" s="1">
        <v>7</v>
      </c>
      <c r="H3718" s="4">
        <v>0</v>
      </c>
      <c r="I3718" s="1">
        <v>1</v>
      </c>
      <c r="J3718" s="4">
        <v>1</v>
      </c>
      <c r="K3718" s="1">
        <v>0</v>
      </c>
      <c r="L3718" s="1">
        <v>7</v>
      </c>
      <c r="M3718" s="32">
        <f>IF(Mecze[[#This Row],[PR]]=0,0,Mecze[[#This Row],[PR]]/Mecze[[#This Row],[CZAS]])</f>
        <v>7.2916666666666671E-2</v>
      </c>
      <c r="N3718" s="32">
        <f>IF(Mecze[[#This Row],[OU]]=0,0,Mecze[[#This Row],[OU]]/Mecze[[#This Row],[CZAS]])</f>
        <v>1.0416666666666666E-2</v>
      </c>
      <c r="O3718" s="32">
        <f>IF(Mecze[[#This Row],[PC]]=0,0,Mecze[[#This Row],[PC]]/Mecze[[#This Row],[CZAS]])</f>
        <v>0</v>
      </c>
      <c r="P3718" s="32">
        <f>IF(Mecze[[#This Row],[SC]]=0,0,Mecze[[#This Row],[SC]]/Mecze[[#This Row],[CZAS]])</f>
        <v>0</v>
      </c>
      <c r="Q3718" s="32">
        <f>IF(Mecze[[#This Row],[OB]]=0,0,Mecze[[#This Row],[OB]]/Mecze[[#This Row],[CZAS]])</f>
        <v>0</v>
      </c>
      <c r="R3718" s="32">
        <f>IF(Mecze[[#This Row],[BR]]=0,0,Mecze[[#This Row],[BR]]/Mecze[[#This Row],[CZAS]])</f>
        <v>0</v>
      </c>
      <c r="S3718" s="44">
        <f>IF(Mecze[[#This Row],[Role]]="BR",SUMPRODUCT(Mecze[[#This Row],[/PR:90]:[/BR:90]],Brudnopis!$E$23:$J$23),0)</f>
        <v>0</v>
      </c>
      <c r="T3718" s="44">
        <f>IF(Mecze[[#This Row],[Role]]&lt;&gt;"BR",SUMPRODUCT(Mecze[[#This Row],[/PR:90]:[/BR:90]],Brudnopis!$E$24:$J$24),0)</f>
        <v>8.8541666666666671E-2</v>
      </c>
      <c r="U3718" s="44">
        <f>IF(Mecze[[#This Row],[Role]]&lt;&gt;"BR",SUMPRODUCT(Mecze[[#This Row],[/PR:90]:[/BR:90]],Brudnopis!$E$25:$J$25),0)</f>
        <v>8.3333333333333343E-2</v>
      </c>
      <c r="V3718" s="44">
        <f>IF(Mecze[[#This Row],[Role]]&lt;&gt;"BR",SUMPRODUCT(Mecze[[#This Row],[/PR:90]:[/BR:90]],Brudnopis!$E$26:$J$26),0)</f>
        <v>8.3333333333333343E-2</v>
      </c>
      <c r="W3718" s="44">
        <f>IF(Mecze[[#This Row],[Role]]&lt;&gt;"BR",SUMPRODUCT(Mecze[[#This Row],[/PR:90]:[/BR:90]],Brudnopis!$E$27:$J$27),0)</f>
        <v>6.25E-2</v>
      </c>
      <c r="X3718" s="44">
        <f>IF(Mecze[[#This Row],[Role]]&lt;&gt;"BR",SUMPRODUCT(Mecze[[#This Row],[/PR:90]:[/BR:90]],Brudnopis!$E$28:$J$28),0)</f>
        <v>0</v>
      </c>
      <c r="Y3718" s="35">
        <f>IF(Mecze[[#This Row],[Role]]="BR",Mecze[[#This Row],[/OB:90]]+Mecze[[#This Row],[/PC:90]],SUM(Mecze[[#This Row],[/PR:90]:[/BR:90]]))</f>
        <v>8.3333333333333343E-2</v>
      </c>
      <c r="Z3718" s="35">
        <f>IF(Mecze[[#This Row],[KC]]=0,SUM(Mecze[[#This Row],[/BRI]:[/NPI]]),SUM(Mecze[[#This Row],[/BRI]:[/NPI]])*0.6)</f>
        <v>0.31770833333333337</v>
      </c>
      <c r="AA3718" s="10">
        <f>IFERROR(Mecze[[#This Row],[BR]]/Mecze[[#This Row],[ST]],0)</f>
        <v>0</v>
      </c>
      <c r="AB3718">
        <f>ROUND(Mecze[[#This Row],[PD]]*Mecze[[#This Row],[%PC]],0)</f>
        <v>0</v>
      </c>
      <c r="AC3718">
        <f>ROUND(Mecze[[#This Row],[OD]]*Mecze[[#This Row],[%OU]],0)</f>
        <v>1</v>
      </c>
      <c r="AD3718" s="36" t="s">
        <v>47</v>
      </c>
      <c r="AE3718" s="36">
        <v>213</v>
      </c>
      <c r="AF3718" s="71">
        <v>3.06</v>
      </c>
      <c r="AG3718" s="37">
        <v>0</v>
      </c>
      <c r="AH3718" s="37">
        <v>0</v>
      </c>
      <c r="AI3718" s="37">
        <v>96</v>
      </c>
      <c r="AJ3718" s="37">
        <v>1</v>
      </c>
      <c r="AK3718" s="37" t="str">
        <f>VLOOKUP(Mecze[[#This Row],[Match ID]],Meczusie[Mecz]:Meczusie[RodzajMeczu],2,FALSE)</f>
        <v>Baraże</v>
      </c>
    </row>
    <row r="3719" spans="1:37" x14ac:dyDescent="0.25">
      <c r="A3719" s="76">
        <v>18</v>
      </c>
      <c r="B3719" s="3" t="s">
        <v>211</v>
      </c>
      <c r="C3719" s="2" t="s">
        <v>157</v>
      </c>
      <c r="D3719" s="1">
        <v>0</v>
      </c>
      <c r="E3719" s="1">
        <v>0</v>
      </c>
      <c r="F3719" s="1">
        <v>0</v>
      </c>
      <c r="G3719" s="1">
        <v>10</v>
      </c>
      <c r="H3719" s="4">
        <v>0.4</v>
      </c>
      <c r="I3719" s="1">
        <v>2</v>
      </c>
      <c r="J3719" s="4">
        <v>0</v>
      </c>
      <c r="K3719" s="1">
        <v>0</v>
      </c>
      <c r="L3719" s="1">
        <v>10</v>
      </c>
      <c r="M3719" s="32">
        <f>IF(Mecze[[#This Row],[PR]]=0,0,Mecze[[#This Row],[PR]]/Mecze[[#This Row],[CZAS]])</f>
        <v>0.10416666666666667</v>
      </c>
      <c r="N3719" s="32">
        <f>IF(Mecze[[#This Row],[OU]]=0,0,Mecze[[#This Row],[OU]]/Mecze[[#This Row],[CZAS]])</f>
        <v>0</v>
      </c>
      <c r="O3719" s="32">
        <f>IF(Mecze[[#This Row],[PC]]=0,0,Mecze[[#This Row],[PC]]/Mecze[[#This Row],[CZAS]])</f>
        <v>4.1666666666666664E-2</v>
      </c>
      <c r="P3719" s="32">
        <f>IF(Mecze[[#This Row],[SC]]=0,0,Mecze[[#This Row],[SC]]/Mecze[[#This Row],[CZAS]])</f>
        <v>0</v>
      </c>
      <c r="Q3719" s="32">
        <f>IF(Mecze[[#This Row],[OB]]=0,0,Mecze[[#This Row],[OB]]/Mecze[[#This Row],[CZAS]])</f>
        <v>0</v>
      </c>
      <c r="R3719" s="32">
        <f>IF(Mecze[[#This Row],[BR]]=0,0,Mecze[[#This Row],[BR]]/Mecze[[#This Row],[CZAS]])</f>
        <v>0</v>
      </c>
      <c r="S3719" s="44">
        <f>IF(Mecze[[#This Row],[Role]]="BR",SUMPRODUCT(Mecze[[#This Row],[/PR:90]:[/BR:90]],Brudnopis!$E$23:$J$23),0)</f>
        <v>0</v>
      </c>
      <c r="T3719" s="44">
        <f>IF(Mecze[[#This Row],[Role]]&lt;&gt;"BR",SUMPRODUCT(Mecze[[#This Row],[/PR:90]:[/BR:90]],Brudnopis!$E$24:$J$24),0)</f>
        <v>0.14583333333333334</v>
      </c>
      <c r="U3719" s="44">
        <f>IF(Mecze[[#This Row],[Role]]&lt;&gt;"BR",SUMPRODUCT(Mecze[[#This Row],[/PR:90]:[/BR:90]],Brudnopis!$E$25:$J$25),0)</f>
        <v>0.16666666666666669</v>
      </c>
      <c r="V3719" s="44">
        <f>IF(Mecze[[#This Row],[Role]]&lt;&gt;"BR",SUMPRODUCT(Mecze[[#This Row],[/PR:90]:[/BR:90]],Brudnopis!$E$26:$J$26),0)</f>
        <v>0.14583333333333334</v>
      </c>
      <c r="W3719" s="44">
        <f>IF(Mecze[[#This Row],[Role]]&lt;&gt;"BR",SUMPRODUCT(Mecze[[#This Row],[/PR:90]:[/BR:90]],Brudnopis!$E$27:$J$27),0)</f>
        <v>0.140625</v>
      </c>
      <c r="X3719" s="44">
        <f>IF(Mecze[[#This Row],[Role]]&lt;&gt;"BR",SUMPRODUCT(Mecze[[#This Row],[/PR:90]:[/BR:90]],Brudnopis!$E$28:$J$28),0)</f>
        <v>4.1666666666666664E-2</v>
      </c>
      <c r="Y3719" s="35">
        <f>IF(Mecze[[#This Row],[Role]]="BR",Mecze[[#This Row],[/OB:90]]+Mecze[[#This Row],[/PC:90]],SUM(Mecze[[#This Row],[/PR:90]:[/BR:90]]))</f>
        <v>0.14583333333333334</v>
      </c>
      <c r="Z3719" s="35">
        <f>IF(Mecze[[#This Row],[KC]]=0,SUM(Mecze[[#This Row],[/BRI]:[/NPI]]),SUM(Mecze[[#This Row],[/BRI]:[/NPI]])*0.6)</f>
        <v>0.640625</v>
      </c>
      <c r="AA3719" s="10">
        <f>IFERROR(Mecze[[#This Row],[BR]]/Mecze[[#This Row],[ST]],0)</f>
        <v>0</v>
      </c>
      <c r="AB3719">
        <f>ROUND(Mecze[[#This Row],[PD]]*Mecze[[#This Row],[%PC]],0)</f>
        <v>4</v>
      </c>
      <c r="AC3719">
        <f>ROUND(Mecze[[#This Row],[OD]]*Mecze[[#This Row],[%OU]],0)</f>
        <v>0</v>
      </c>
      <c r="AD3719" s="36" t="s">
        <v>47</v>
      </c>
      <c r="AE3719" s="36">
        <v>213</v>
      </c>
      <c r="AF3719" s="71">
        <v>3.69</v>
      </c>
      <c r="AG3719" s="37">
        <v>0</v>
      </c>
      <c r="AH3719" s="37">
        <v>0</v>
      </c>
      <c r="AI3719" s="37">
        <v>96</v>
      </c>
      <c r="AJ3719" s="37">
        <v>1</v>
      </c>
      <c r="AK3719" s="37" t="str">
        <f>VLOOKUP(Mecze[[#This Row],[Match ID]],Meczusie[Mecz]:Meczusie[RodzajMeczu],2,FALSE)</f>
        <v>Baraże</v>
      </c>
    </row>
    <row r="3720" spans="1:37" x14ac:dyDescent="0.25">
      <c r="A3720" s="76">
        <v>4</v>
      </c>
      <c r="B3720" s="3" t="s">
        <v>360</v>
      </c>
      <c r="C3720" s="2" t="s">
        <v>157</v>
      </c>
      <c r="D3720" s="1">
        <v>0</v>
      </c>
      <c r="E3720" s="1">
        <v>0</v>
      </c>
      <c r="F3720" s="1">
        <v>0</v>
      </c>
      <c r="G3720" s="1">
        <v>9</v>
      </c>
      <c r="H3720" s="4">
        <v>0.44</v>
      </c>
      <c r="I3720" s="1">
        <v>12</v>
      </c>
      <c r="J3720" s="4">
        <v>0.5</v>
      </c>
      <c r="K3720" s="1">
        <v>0</v>
      </c>
      <c r="L3720" s="1">
        <v>7</v>
      </c>
      <c r="M3720" s="32">
        <f>IF(Mecze[[#This Row],[PR]]=0,0,Mecze[[#This Row],[PR]]/Mecze[[#This Row],[CZAS]])</f>
        <v>7.2916666666666671E-2</v>
      </c>
      <c r="N3720" s="32">
        <f>IF(Mecze[[#This Row],[OU]]=0,0,Mecze[[#This Row],[OU]]/Mecze[[#This Row],[CZAS]])</f>
        <v>6.25E-2</v>
      </c>
      <c r="O3720" s="32">
        <f>IF(Mecze[[#This Row],[PC]]=0,0,Mecze[[#This Row],[PC]]/Mecze[[#This Row],[CZAS]])</f>
        <v>4.1666666666666664E-2</v>
      </c>
      <c r="P3720" s="32">
        <f>IF(Mecze[[#This Row],[SC]]=0,0,Mecze[[#This Row],[SC]]/Mecze[[#This Row],[CZAS]])</f>
        <v>0</v>
      </c>
      <c r="Q3720" s="32">
        <f>IF(Mecze[[#This Row],[OB]]=0,0,Mecze[[#This Row],[OB]]/Mecze[[#This Row],[CZAS]])</f>
        <v>0</v>
      </c>
      <c r="R3720" s="32">
        <f>IF(Mecze[[#This Row],[BR]]=0,0,Mecze[[#This Row],[BR]]/Mecze[[#This Row],[CZAS]])</f>
        <v>0</v>
      </c>
      <c r="S3720" s="44">
        <f>IF(Mecze[[#This Row],[Role]]="BR",SUMPRODUCT(Mecze[[#This Row],[/PR:90]:[/BR:90]],Brudnopis!$E$23:$J$23),0)</f>
        <v>0</v>
      </c>
      <c r="T3720" s="44">
        <f>IF(Mecze[[#This Row],[Role]]&lt;&gt;"BR",SUMPRODUCT(Mecze[[#This Row],[/PR:90]:[/BR:90]],Brudnopis!$E$24:$J$24),0)</f>
        <v>0.20833333333333334</v>
      </c>
      <c r="U3720" s="44">
        <f>IF(Mecze[[#This Row],[Role]]&lt;&gt;"BR",SUMPRODUCT(Mecze[[#This Row],[/PR:90]:[/BR:90]],Brudnopis!$E$25:$J$25),0)</f>
        <v>0.19791666666666669</v>
      </c>
      <c r="V3720" s="44">
        <f>IF(Mecze[[#This Row],[Role]]&lt;&gt;"BR",SUMPRODUCT(Mecze[[#This Row],[/PR:90]:[/BR:90]],Brudnopis!$E$26:$J$26),0)</f>
        <v>0.17708333333333334</v>
      </c>
      <c r="W3720" s="44">
        <f>IF(Mecze[[#This Row],[Role]]&lt;&gt;"BR",SUMPRODUCT(Mecze[[#This Row],[/PR:90]:[/BR:90]],Brudnopis!$E$27:$J$27),0)</f>
        <v>0.1640625</v>
      </c>
      <c r="X3720" s="44">
        <f>IF(Mecze[[#This Row],[Role]]&lt;&gt;"BR",SUMPRODUCT(Mecze[[#This Row],[/PR:90]:[/BR:90]],Brudnopis!$E$28:$J$28),0)</f>
        <v>4.1666666666666664E-2</v>
      </c>
      <c r="Y3720" s="35">
        <f>IF(Mecze[[#This Row],[Role]]="BR",Mecze[[#This Row],[/OB:90]]+Mecze[[#This Row],[/PC:90]],SUM(Mecze[[#This Row],[/PR:90]:[/BR:90]]))</f>
        <v>0.17708333333333334</v>
      </c>
      <c r="Z3720" s="35">
        <f>IF(Mecze[[#This Row],[KC]]=0,SUM(Mecze[[#This Row],[/BRI]:[/NPI]]),SUM(Mecze[[#This Row],[/BRI]:[/NPI]])*0.6)</f>
        <v>0.7890625</v>
      </c>
      <c r="AA3720" s="10">
        <f>IFERROR(Mecze[[#This Row],[BR]]/Mecze[[#This Row],[ST]],0)</f>
        <v>0</v>
      </c>
      <c r="AB3720">
        <f>ROUND(Mecze[[#This Row],[PD]]*Mecze[[#This Row],[%PC]],0)</f>
        <v>4</v>
      </c>
      <c r="AC3720">
        <f>ROUND(Mecze[[#This Row],[OD]]*Mecze[[#This Row],[%OU]],0)</f>
        <v>6</v>
      </c>
      <c r="AD3720" s="36" t="s">
        <v>175</v>
      </c>
      <c r="AE3720" s="36">
        <v>213</v>
      </c>
      <c r="AF3720" s="71">
        <v>4.18</v>
      </c>
      <c r="AG3720" s="37">
        <v>0</v>
      </c>
      <c r="AH3720" s="37">
        <v>0</v>
      </c>
      <c r="AI3720" s="37">
        <v>96</v>
      </c>
      <c r="AJ3720" s="37">
        <v>1</v>
      </c>
      <c r="AK3720" s="37" t="str">
        <f>VLOOKUP(Mecze[[#This Row],[Match ID]],Meczusie[Mecz]:Meczusie[RodzajMeczu],2,FALSE)</f>
        <v>Baraże</v>
      </c>
    </row>
    <row r="3721" spans="1:37" x14ac:dyDescent="0.25">
      <c r="A3721" s="76">
        <v>3</v>
      </c>
      <c r="B3721" s="3" t="s">
        <v>158</v>
      </c>
      <c r="C3721" s="2" t="s">
        <v>157</v>
      </c>
      <c r="D3721" s="1">
        <v>0</v>
      </c>
      <c r="E3721" s="1">
        <v>0</v>
      </c>
      <c r="F3721" s="1">
        <v>0</v>
      </c>
      <c r="G3721" s="1">
        <v>3</v>
      </c>
      <c r="H3721" s="4">
        <v>0.67</v>
      </c>
      <c r="I3721" s="1">
        <v>11</v>
      </c>
      <c r="J3721" s="4">
        <v>0.55000000000000004</v>
      </c>
      <c r="K3721" s="1">
        <v>0</v>
      </c>
      <c r="L3721" s="1">
        <v>7</v>
      </c>
      <c r="M3721" s="32">
        <f>IF(Mecze[[#This Row],[PR]]=0,0,Mecze[[#This Row],[PR]]/Mecze[[#This Row],[CZAS]])</f>
        <v>7.2916666666666671E-2</v>
      </c>
      <c r="N3721" s="32">
        <f>IF(Mecze[[#This Row],[OU]]=0,0,Mecze[[#This Row],[OU]]/Mecze[[#This Row],[CZAS]])</f>
        <v>6.25E-2</v>
      </c>
      <c r="O3721" s="32">
        <f>IF(Mecze[[#This Row],[PC]]=0,0,Mecze[[#This Row],[PC]]/Mecze[[#This Row],[CZAS]])</f>
        <v>2.0833333333333332E-2</v>
      </c>
      <c r="P3721" s="32">
        <f>IF(Mecze[[#This Row],[SC]]=0,0,Mecze[[#This Row],[SC]]/Mecze[[#This Row],[CZAS]])</f>
        <v>0</v>
      </c>
      <c r="Q3721" s="32">
        <f>IF(Mecze[[#This Row],[OB]]=0,0,Mecze[[#This Row],[OB]]/Mecze[[#This Row],[CZAS]])</f>
        <v>0</v>
      </c>
      <c r="R3721" s="32">
        <f>IF(Mecze[[#This Row],[BR]]=0,0,Mecze[[#This Row],[BR]]/Mecze[[#This Row],[CZAS]])</f>
        <v>0</v>
      </c>
      <c r="S3721" s="44">
        <f>IF(Mecze[[#This Row],[Role]]="BR",SUMPRODUCT(Mecze[[#This Row],[/PR:90]:[/BR:90]],Brudnopis!$E$23:$J$23),0)</f>
        <v>0</v>
      </c>
      <c r="T3721" s="44">
        <f>IF(Mecze[[#This Row],[Role]]&lt;&gt;"BR",SUMPRODUCT(Mecze[[#This Row],[/PR:90]:[/BR:90]],Brudnopis!$E$24:$J$24),0)</f>
        <v>0.18750000000000003</v>
      </c>
      <c r="U3721" s="44">
        <f>IF(Mecze[[#This Row],[Role]]&lt;&gt;"BR",SUMPRODUCT(Mecze[[#This Row],[/PR:90]:[/BR:90]],Brudnopis!$E$25:$J$25),0)</f>
        <v>0.16666666666666669</v>
      </c>
      <c r="V3721" s="44">
        <f>IF(Mecze[[#This Row],[Role]]&lt;&gt;"BR",SUMPRODUCT(Mecze[[#This Row],[/PR:90]:[/BR:90]],Brudnopis!$E$26:$J$26),0)</f>
        <v>0.15625000000000003</v>
      </c>
      <c r="W3721" s="44">
        <f>IF(Mecze[[#This Row],[Role]]&lt;&gt;"BR",SUMPRODUCT(Mecze[[#This Row],[/PR:90]:[/BR:90]],Brudnopis!$E$27:$J$27),0)</f>
        <v>0.1328125</v>
      </c>
      <c r="X3721" s="44">
        <f>IF(Mecze[[#This Row],[Role]]&lt;&gt;"BR",SUMPRODUCT(Mecze[[#This Row],[/PR:90]:[/BR:90]],Brudnopis!$E$28:$J$28),0)</f>
        <v>2.0833333333333332E-2</v>
      </c>
      <c r="Y3721" s="35">
        <f>IF(Mecze[[#This Row],[Role]]="BR",Mecze[[#This Row],[/OB:90]]+Mecze[[#This Row],[/PC:90]],SUM(Mecze[[#This Row],[/PR:90]:[/BR:90]]))</f>
        <v>0.15625000000000003</v>
      </c>
      <c r="Z3721" s="35">
        <f>IF(Mecze[[#This Row],[KC]]=0,SUM(Mecze[[#This Row],[/BRI]:[/NPI]]),SUM(Mecze[[#This Row],[/BRI]:[/NPI]])*0.6)</f>
        <v>0.66406250000000011</v>
      </c>
      <c r="AA3721" s="10">
        <f>IFERROR(Mecze[[#This Row],[BR]]/Mecze[[#This Row],[ST]],0)</f>
        <v>0</v>
      </c>
      <c r="AB3721">
        <f>ROUND(Mecze[[#This Row],[PD]]*Mecze[[#This Row],[%PC]],0)</f>
        <v>2</v>
      </c>
      <c r="AC3721">
        <f>ROUND(Mecze[[#This Row],[OD]]*Mecze[[#This Row],[%OU]],0)</f>
        <v>6</v>
      </c>
      <c r="AD3721" s="36" t="s">
        <v>174</v>
      </c>
      <c r="AE3721" s="36">
        <v>213</v>
      </c>
      <c r="AF3721" s="71">
        <v>4.18</v>
      </c>
      <c r="AG3721" s="37">
        <v>0</v>
      </c>
      <c r="AH3721" s="37">
        <v>0</v>
      </c>
      <c r="AI3721" s="37">
        <v>96</v>
      </c>
      <c r="AJ3721" s="37">
        <v>1</v>
      </c>
      <c r="AK3721" s="37" t="str">
        <f>VLOOKUP(Mecze[[#This Row],[Match ID]],Meczusie[Mecz]:Meczusie[RodzajMeczu],2,FALSE)</f>
        <v>Baraże</v>
      </c>
    </row>
    <row r="3722" spans="1:37" x14ac:dyDescent="0.25">
      <c r="A3722" s="76">
        <v>60</v>
      </c>
      <c r="B3722" s="3" t="s">
        <v>515</v>
      </c>
      <c r="C3722" s="2" t="s">
        <v>160</v>
      </c>
      <c r="D3722" s="1">
        <v>0</v>
      </c>
      <c r="E3722" s="1">
        <v>0</v>
      </c>
      <c r="F3722" s="1">
        <v>0</v>
      </c>
      <c r="G3722" s="1">
        <v>8</v>
      </c>
      <c r="H3722" s="4">
        <v>0.75</v>
      </c>
      <c r="I3722" s="1">
        <v>6</v>
      </c>
      <c r="J3722" s="4">
        <v>0.33</v>
      </c>
      <c r="K3722" s="1">
        <v>0</v>
      </c>
      <c r="L3722" s="1">
        <v>4</v>
      </c>
      <c r="M3722" s="32">
        <f>IF(Mecze[[#This Row],[PR]]=0,0,Mecze[[#This Row],[PR]]/Mecze[[#This Row],[CZAS]])</f>
        <v>4.1666666666666664E-2</v>
      </c>
      <c r="N3722" s="32">
        <f>IF(Mecze[[#This Row],[OU]]=0,0,Mecze[[#This Row],[OU]]/Mecze[[#This Row],[CZAS]])</f>
        <v>2.0833333333333332E-2</v>
      </c>
      <c r="O3722" s="32">
        <f>IF(Mecze[[#This Row],[PC]]=0,0,Mecze[[#This Row],[PC]]/Mecze[[#This Row],[CZAS]])</f>
        <v>6.25E-2</v>
      </c>
      <c r="P3722" s="32">
        <f>IF(Mecze[[#This Row],[SC]]=0,0,Mecze[[#This Row],[SC]]/Mecze[[#This Row],[CZAS]])</f>
        <v>0</v>
      </c>
      <c r="Q3722" s="32">
        <f>IF(Mecze[[#This Row],[OB]]=0,0,Mecze[[#This Row],[OB]]/Mecze[[#This Row],[CZAS]])</f>
        <v>0</v>
      </c>
      <c r="R3722" s="32">
        <f>IF(Mecze[[#This Row],[BR]]=0,0,Mecze[[#This Row],[BR]]/Mecze[[#This Row],[CZAS]])</f>
        <v>0</v>
      </c>
      <c r="S3722" s="44">
        <f>IF(Mecze[[#This Row],[Role]]="BR",SUMPRODUCT(Mecze[[#This Row],[/PR:90]:[/BR:90]],Brudnopis!$E$23:$J$23),0)</f>
        <v>0</v>
      </c>
      <c r="T3722" s="44">
        <f>IF(Mecze[[#This Row],[Role]]&lt;&gt;"BR",SUMPRODUCT(Mecze[[#This Row],[/PR:90]:[/BR:90]],Brudnopis!$E$24:$J$24),0)</f>
        <v>0.13541666666666666</v>
      </c>
      <c r="U3722" s="44">
        <f>IF(Mecze[[#This Row],[Role]]&lt;&gt;"BR",SUMPRODUCT(Mecze[[#This Row],[/PR:90]:[/BR:90]],Brudnopis!$E$25:$J$25),0)</f>
        <v>0.15625</v>
      </c>
      <c r="V3722" s="44">
        <f>IF(Mecze[[#This Row],[Role]]&lt;&gt;"BR",SUMPRODUCT(Mecze[[#This Row],[/PR:90]:[/BR:90]],Brudnopis!$E$26:$J$26),0)</f>
        <v>0.125</v>
      </c>
      <c r="W3722" s="44">
        <f>IF(Mecze[[#This Row],[Role]]&lt;&gt;"BR",SUMPRODUCT(Mecze[[#This Row],[/PR:90]:[/BR:90]],Brudnopis!$E$27:$J$27),0)</f>
        <v>0.140625</v>
      </c>
      <c r="X3722" s="44">
        <f>IF(Mecze[[#This Row],[Role]]&lt;&gt;"BR",SUMPRODUCT(Mecze[[#This Row],[/PR:90]:[/BR:90]],Brudnopis!$E$28:$J$28),0)</f>
        <v>6.25E-2</v>
      </c>
      <c r="Y3722" s="35">
        <f>IF(Mecze[[#This Row],[Role]]="BR",Mecze[[#This Row],[/OB:90]]+Mecze[[#This Row],[/PC:90]],SUM(Mecze[[#This Row],[/PR:90]:[/BR:90]]))</f>
        <v>0.125</v>
      </c>
      <c r="Z3722" s="35">
        <f>IF(Mecze[[#This Row],[KC]]=0,SUM(Mecze[[#This Row],[/BRI]:[/NPI]]),SUM(Mecze[[#This Row],[/BRI]:[/NPI]])*0.6)</f>
        <v>0.61979166666666663</v>
      </c>
      <c r="AA3722" s="10">
        <f>IFERROR(Mecze[[#This Row],[BR]]/Mecze[[#This Row],[ST]],0)</f>
        <v>0</v>
      </c>
      <c r="AB3722">
        <f>ROUND(Mecze[[#This Row],[PD]]*Mecze[[#This Row],[%PC]],0)</f>
        <v>6</v>
      </c>
      <c r="AC3722">
        <f>ROUND(Mecze[[#This Row],[OD]]*Mecze[[#This Row],[%OU]],0)</f>
        <v>2</v>
      </c>
      <c r="AD3722" s="36" t="s">
        <v>41</v>
      </c>
      <c r="AE3722" s="36">
        <v>213</v>
      </c>
      <c r="AF3722" s="71">
        <v>4.75</v>
      </c>
      <c r="AG3722" s="37">
        <v>0</v>
      </c>
      <c r="AH3722" s="37">
        <v>0</v>
      </c>
      <c r="AI3722" s="37">
        <v>96</v>
      </c>
      <c r="AJ3722" s="37">
        <v>1</v>
      </c>
      <c r="AK3722" s="37" t="str">
        <f>VLOOKUP(Mecze[[#This Row],[Match ID]],Meczusie[Mecz]:Meczusie[RodzajMeczu],2,FALSE)</f>
        <v>Baraże</v>
      </c>
    </row>
    <row r="3723" spans="1:37" x14ac:dyDescent="0.25">
      <c r="A3723" s="76">
        <v>13</v>
      </c>
      <c r="B3723" s="3" t="s">
        <v>162</v>
      </c>
      <c r="C3723" s="2" t="s">
        <v>160</v>
      </c>
      <c r="D3723" s="1">
        <v>0</v>
      </c>
      <c r="E3723" s="1">
        <v>1</v>
      </c>
      <c r="F3723" s="1">
        <v>1</v>
      </c>
      <c r="G3723" s="1">
        <v>10</v>
      </c>
      <c r="H3723" s="4">
        <v>0.6</v>
      </c>
      <c r="I3723" s="1">
        <v>3</v>
      </c>
      <c r="J3723" s="4">
        <v>0.67</v>
      </c>
      <c r="K3723" s="1">
        <v>0</v>
      </c>
      <c r="L3723" s="1">
        <v>5</v>
      </c>
      <c r="M3723" s="32">
        <f>IF(Mecze[[#This Row],[PR]]=0,0,Mecze[[#This Row],[PR]]/Mecze[[#This Row],[CZAS]])</f>
        <v>5.2083333333333336E-2</v>
      </c>
      <c r="N3723" s="32">
        <f>IF(Mecze[[#This Row],[OU]]=0,0,Mecze[[#This Row],[OU]]/Mecze[[#This Row],[CZAS]])</f>
        <v>2.0833333333333332E-2</v>
      </c>
      <c r="O3723" s="32">
        <f>IF(Mecze[[#This Row],[PC]]=0,0,Mecze[[#This Row],[PC]]/Mecze[[#This Row],[CZAS]])</f>
        <v>6.25E-2</v>
      </c>
      <c r="P3723" s="32">
        <f>IF(Mecze[[#This Row],[SC]]=0,0,Mecze[[#This Row],[SC]]/Mecze[[#This Row],[CZAS]])</f>
        <v>1.0416666666666666E-2</v>
      </c>
      <c r="Q3723" s="32">
        <f>IF(Mecze[[#This Row],[OB]]=0,0,Mecze[[#This Row],[OB]]/Mecze[[#This Row],[CZAS]])</f>
        <v>0</v>
      </c>
      <c r="R3723" s="32">
        <f>IF(Mecze[[#This Row],[BR]]=0,0,Mecze[[#This Row],[BR]]/Mecze[[#This Row],[CZAS]])</f>
        <v>0</v>
      </c>
      <c r="S3723" s="44">
        <f>IF(Mecze[[#This Row],[Role]]="BR",SUMPRODUCT(Mecze[[#This Row],[/PR:90]:[/BR:90]],Brudnopis!$E$23:$J$23),0)</f>
        <v>0</v>
      </c>
      <c r="T3723" s="44">
        <f>IF(Mecze[[#This Row],[Role]]&lt;&gt;"BR",SUMPRODUCT(Mecze[[#This Row],[/PR:90]:[/BR:90]],Brudnopis!$E$24:$J$24),0)</f>
        <v>0.15625</v>
      </c>
      <c r="U3723" s="44">
        <f>IF(Mecze[[#This Row],[Role]]&lt;&gt;"BR",SUMPRODUCT(Mecze[[#This Row],[/PR:90]:[/BR:90]],Brudnopis!$E$25:$J$25),0)</f>
        <v>0.17708333333333334</v>
      </c>
      <c r="V3723" s="44">
        <f>IF(Mecze[[#This Row],[Role]]&lt;&gt;"BR",SUMPRODUCT(Mecze[[#This Row],[/PR:90]:[/BR:90]],Brudnopis!$E$26:$J$26),0)</f>
        <v>0.14583333333333334</v>
      </c>
      <c r="W3723" s="44">
        <f>IF(Mecze[[#This Row],[Role]]&lt;&gt;"BR",SUMPRODUCT(Mecze[[#This Row],[/PR:90]:[/BR:90]],Brudnopis!$E$27:$J$27),0)</f>
        <v>0.15885416666666666</v>
      </c>
      <c r="X3723" s="44">
        <f>IF(Mecze[[#This Row],[Role]]&lt;&gt;"BR",SUMPRODUCT(Mecze[[#This Row],[/PR:90]:[/BR:90]],Brudnopis!$E$28:$J$28),0)</f>
        <v>8.3333333333333329E-2</v>
      </c>
      <c r="Y3723" s="35">
        <f>IF(Mecze[[#This Row],[Role]]="BR",Mecze[[#This Row],[/OB:90]]+Mecze[[#This Row],[/PC:90]],SUM(Mecze[[#This Row],[/PR:90]:[/BR:90]]))</f>
        <v>0.14583333333333334</v>
      </c>
      <c r="Z3723" s="35">
        <f>IF(Mecze[[#This Row],[KC]]=0,SUM(Mecze[[#This Row],[/BRI]:[/NPI]]),SUM(Mecze[[#This Row],[/BRI]:[/NPI]])*0.6)</f>
        <v>0.72135416666666674</v>
      </c>
      <c r="AA3723" s="10">
        <f>IFERROR(Mecze[[#This Row],[BR]]/Mecze[[#This Row],[ST]],0)</f>
        <v>0</v>
      </c>
      <c r="AB3723">
        <f>ROUND(Mecze[[#This Row],[PD]]*Mecze[[#This Row],[%PC]],0)</f>
        <v>6</v>
      </c>
      <c r="AC3723">
        <f>ROUND(Mecze[[#This Row],[OD]]*Mecze[[#This Row],[%OU]],0)</f>
        <v>2</v>
      </c>
      <c r="AD3723" s="36" t="s">
        <v>67</v>
      </c>
      <c r="AE3723" s="36">
        <v>213</v>
      </c>
      <c r="AF3723" s="71">
        <v>5.19</v>
      </c>
      <c r="AG3723" s="37">
        <v>0</v>
      </c>
      <c r="AH3723" s="37">
        <v>0</v>
      </c>
      <c r="AI3723" s="37">
        <v>96</v>
      </c>
      <c r="AJ3723" s="37">
        <v>1</v>
      </c>
      <c r="AK3723" s="37" t="str">
        <f>VLOOKUP(Mecze[[#This Row],[Match ID]],Meczusie[Mecz]:Meczusie[RodzajMeczu],2,FALSE)</f>
        <v>Baraże</v>
      </c>
    </row>
    <row r="3724" spans="1:37" x14ac:dyDescent="0.25">
      <c r="A3724" s="76">
        <v>15</v>
      </c>
      <c r="B3724" s="3" t="s">
        <v>170</v>
      </c>
      <c r="C3724" s="2" t="s">
        <v>160</v>
      </c>
      <c r="D3724" s="1">
        <v>0</v>
      </c>
      <c r="E3724" s="1">
        <v>0</v>
      </c>
      <c r="F3724" s="1">
        <v>0</v>
      </c>
      <c r="G3724" s="1">
        <v>5</v>
      </c>
      <c r="H3724" s="4">
        <v>0.8</v>
      </c>
      <c r="I3724" s="1">
        <v>4</v>
      </c>
      <c r="J3724" s="4">
        <v>0.75</v>
      </c>
      <c r="K3724" s="1">
        <v>0</v>
      </c>
      <c r="L3724" s="1">
        <v>2</v>
      </c>
      <c r="M3724" s="32">
        <f>IF(Mecze[[#This Row],[PR]]=0,0,Mecze[[#This Row],[PR]]/Mecze[[#This Row],[CZAS]])</f>
        <v>2.0833333333333332E-2</v>
      </c>
      <c r="N3724" s="32">
        <f>IF(Mecze[[#This Row],[OU]]=0,0,Mecze[[#This Row],[OU]]/Mecze[[#This Row],[CZAS]])</f>
        <v>3.125E-2</v>
      </c>
      <c r="O3724" s="32">
        <f>IF(Mecze[[#This Row],[PC]]=0,0,Mecze[[#This Row],[PC]]/Mecze[[#This Row],[CZAS]])</f>
        <v>4.1666666666666664E-2</v>
      </c>
      <c r="P3724" s="32">
        <f>IF(Mecze[[#This Row],[SC]]=0,0,Mecze[[#This Row],[SC]]/Mecze[[#This Row],[CZAS]])</f>
        <v>0</v>
      </c>
      <c r="Q3724" s="32">
        <f>IF(Mecze[[#This Row],[OB]]=0,0,Mecze[[#This Row],[OB]]/Mecze[[#This Row],[CZAS]])</f>
        <v>0</v>
      </c>
      <c r="R3724" s="32">
        <f>IF(Mecze[[#This Row],[BR]]=0,0,Mecze[[#This Row],[BR]]/Mecze[[#This Row],[CZAS]])</f>
        <v>0</v>
      </c>
      <c r="S3724" s="44">
        <f>IF(Mecze[[#This Row],[Role]]="BR",SUMPRODUCT(Mecze[[#This Row],[/PR:90]:[/BR:90]],Brudnopis!$E$23:$J$23),0)</f>
        <v>0</v>
      </c>
      <c r="T3724" s="44">
        <f>IF(Mecze[[#This Row],[Role]]&lt;&gt;"BR",SUMPRODUCT(Mecze[[#This Row],[/PR:90]:[/BR:90]],Brudnopis!$E$24:$J$24),0)</f>
        <v>0.109375</v>
      </c>
      <c r="U3724" s="44">
        <f>IF(Mecze[[#This Row],[Role]]&lt;&gt;"BR",SUMPRODUCT(Mecze[[#This Row],[/PR:90]:[/BR:90]],Brudnopis!$E$25:$J$25),0)</f>
        <v>0.11458333333333333</v>
      </c>
      <c r="V3724" s="44">
        <f>IF(Mecze[[#This Row],[Role]]&lt;&gt;"BR",SUMPRODUCT(Mecze[[#This Row],[/PR:90]:[/BR:90]],Brudnopis!$E$26:$J$26),0)</f>
        <v>9.375E-2</v>
      </c>
      <c r="W3724" s="44">
        <f>IF(Mecze[[#This Row],[Role]]&lt;&gt;"BR",SUMPRODUCT(Mecze[[#This Row],[/PR:90]:[/BR:90]],Brudnopis!$E$27:$J$27),0)</f>
        <v>0.1015625</v>
      </c>
      <c r="X3724" s="44">
        <f>IF(Mecze[[#This Row],[Role]]&lt;&gt;"BR",SUMPRODUCT(Mecze[[#This Row],[/PR:90]:[/BR:90]],Brudnopis!$E$28:$J$28),0)</f>
        <v>4.1666666666666664E-2</v>
      </c>
      <c r="Y3724" s="35">
        <f>IF(Mecze[[#This Row],[Role]]="BR",Mecze[[#This Row],[/OB:90]]+Mecze[[#This Row],[/PC:90]],SUM(Mecze[[#This Row],[/PR:90]:[/BR:90]]))</f>
        <v>9.375E-2</v>
      </c>
      <c r="Z3724" s="35">
        <f>IF(Mecze[[#This Row],[KC]]=0,SUM(Mecze[[#This Row],[/BRI]:[/NPI]]),SUM(Mecze[[#This Row],[/BRI]:[/NPI]])*0.6)</f>
        <v>0.4609375</v>
      </c>
      <c r="AA3724" s="10">
        <f>IFERROR(Mecze[[#This Row],[BR]]/Mecze[[#This Row],[ST]],0)</f>
        <v>0</v>
      </c>
      <c r="AB3724">
        <f>ROUND(Mecze[[#This Row],[PD]]*Mecze[[#This Row],[%PC]],0)</f>
        <v>4</v>
      </c>
      <c r="AC3724">
        <f>ROUND(Mecze[[#This Row],[OD]]*Mecze[[#This Row],[%OU]],0)</f>
        <v>3</v>
      </c>
      <c r="AD3724" s="36" t="s">
        <v>67</v>
      </c>
      <c r="AE3724" s="36">
        <v>213</v>
      </c>
      <c r="AF3724" s="71">
        <v>5.24</v>
      </c>
      <c r="AG3724" s="37">
        <v>0</v>
      </c>
      <c r="AH3724" s="37">
        <v>0</v>
      </c>
      <c r="AI3724" s="37">
        <v>96</v>
      </c>
      <c r="AJ3724" s="37">
        <v>1</v>
      </c>
      <c r="AK3724" s="37" t="str">
        <f>VLOOKUP(Mecze[[#This Row],[Match ID]],Meczusie[Mecz]:Meczusie[RodzajMeczu],2,FALSE)</f>
        <v>Baraże</v>
      </c>
    </row>
    <row r="3725" spans="1:37" x14ac:dyDescent="0.25">
      <c r="A3725" s="76">
        <v>14</v>
      </c>
      <c r="B3725" s="3" t="s">
        <v>164</v>
      </c>
      <c r="C3725" s="2" t="s">
        <v>160</v>
      </c>
      <c r="D3725" s="1">
        <v>0</v>
      </c>
      <c r="E3725" s="1">
        <v>2</v>
      </c>
      <c r="F3725" s="1">
        <v>2</v>
      </c>
      <c r="G3725" s="1">
        <v>11</v>
      </c>
      <c r="H3725" s="4">
        <v>0.55000000000000004</v>
      </c>
      <c r="I3725" s="1">
        <v>5</v>
      </c>
      <c r="J3725" s="4">
        <v>0.2</v>
      </c>
      <c r="K3725" s="1">
        <v>0</v>
      </c>
      <c r="L3725" s="1">
        <v>2</v>
      </c>
      <c r="M3725" s="32">
        <f>IF(Mecze[[#This Row],[PR]]=0,0,Mecze[[#This Row],[PR]]/Mecze[[#This Row],[CZAS]])</f>
        <v>2.0833333333333332E-2</v>
      </c>
      <c r="N3725" s="32">
        <f>IF(Mecze[[#This Row],[OU]]=0,0,Mecze[[#This Row],[OU]]/Mecze[[#This Row],[CZAS]])</f>
        <v>1.0416666666666666E-2</v>
      </c>
      <c r="O3725" s="32">
        <f>IF(Mecze[[#This Row],[PC]]=0,0,Mecze[[#This Row],[PC]]/Mecze[[#This Row],[CZAS]])</f>
        <v>6.25E-2</v>
      </c>
      <c r="P3725" s="32">
        <f>IF(Mecze[[#This Row],[SC]]=0,0,Mecze[[#This Row],[SC]]/Mecze[[#This Row],[CZAS]])</f>
        <v>2.0833333333333332E-2</v>
      </c>
      <c r="Q3725" s="32">
        <f>IF(Mecze[[#This Row],[OB]]=0,0,Mecze[[#This Row],[OB]]/Mecze[[#This Row],[CZAS]])</f>
        <v>0</v>
      </c>
      <c r="R3725" s="32">
        <f>IF(Mecze[[#This Row],[BR]]=0,0,Mecze[[#This Row],[BR]]/Mecze[[#This Row],[CZAS]])</f>
        <v>0</v>
      </c>
      <c r="S3725" s="44">
        <f>IF(Mecze[[#This Row],[Role]]="BR",SUMPRODUCT(Mecze[[#This Row],[/PR:90]:[/BR:90]],Brudnopis!$E$23:$J$23),0)</f>
        <v>0</v>
      </c>
      <c r="T3725" s="44">
        <f>IF(Mecze[[#This Row],[Role]]&lt;&gt;"BR",SUMPRODUCT(Mecze[[#This Row],[/PR:90]:[/BR:90]],Brudnopis!$E$24:$J$24),0)</f>
        <v>0.11979166666666666</v>
      </c>
      <c r="U3725" s="44">
        <f>IF(Mecze[[#This Row],[Role]]&lt;&gt;"BR",SUMPRODUCT(Mecze[[#This Row],[/PR:90]:[/BR:90]],Brudnopis!$E$25:$J$25),0)</f>
        <v>0.14583333333333334</v>
      </c>
      <c r="V3725" s="44">
        <f>IF(Mecze[[#This Row],[Role]]&lt;&gt;"BR",SUMPRODUCT(Mecze[[#This Row],[/PR:90]:[/BR:90]],Brudnopis!$E$26:$J$26),0)</f>
        <v>0.11458333333333333</v>
      </c>
      <c r="W3725" s="44">
        <f>IF(Mecze[[#This Row],[Role]]&lt;&gt;"BR",SUMPRODUCT(Mecze[[#This Row],[/PR:90]:[/BR:90]],Brudnopis!$E$27:$J$27),0)</f>
        <v>0.13802083333333334</v>
      </c>
      <c r="X3725" s="44">
        <f>IF(Mecze[[#This Row],[Role]]&lt;&gt;"BR",SUMPRODUCT(Mecze[[#This Row],[/PR:90]:[/BR:90]],Brudnopis!$E$28:$J$28),0)</f>
        <v>0.10416666666666666</v>
      </c>
      <c r="Y3725" s="35">
        <f>IF(Mecze[[#This Row],[Role]]="BR",Mecze[[#This Row],[/OB:90]]+Mecze[[#This Row],[/PC:90]],SUM(Mecze[[#This Row],[/PR:90]:[/BR:90]]))</f>
        <v>0.11458333333333333</v>
      </c>
      <c r="Z3725" s="35">
        <f>IF(Mecze[[#This Row],[KC]]=0,SUM(Mecze[[#This Row],[/BRI]:[/NPI]]),SUM(Mecze[[#This Row],[/BRI]:[/NPI]])*0.6)</f>
        <v>0.62239583333333326</v>
      </c>
      <c r="AA3725" s="10">
        <f>IFERROR(Mecze[[#This Row],[BR]]/Mecze[[#This Row],[ST]],0)</f>
        <v>0</v>
      </c>
      <c r="AB3725">
        <f>ROUND(Mecze[[#This Row],[PD]]*Mecze[[#This Row],[%PC]],0)</f>
        <v>6</v>
      </c>
      <c r="AC3725">
        <f>ROUND(Mecze[[#This Row],[OD]]*Mecze[[#This Row],[%OU]],0)</f>
        <v>1</v>
      </c>
      <c r="AD3725" s="36" t="s">
        <v>44</v>
      </c>
      <c r="AE3725" s="36">
        <v>213</v>
      </c>
      <c r="AF3725" s="71">
        <v>4.79</v>
      </c>
      <c r="AG3725" s="37">
        <v>0</v>
      </c>
      <c r="AH3725" s="37">
        <v>0</v>
      </c>
      <c r="AI3725" s="37">
        <v>96</v>
      </c>
      <c r="AJ3725" s="37">
        <v>1</v>
      </c>
      <c r="AK3725" s="37" t="str">
        <f>VLOOKUP(Mecze[[#This Row],[Match ID]],Meczusie[Mecz]:Meczusie[RodzajMeczu],2,FALSE)</f>
        <v>Baraże</v>
      </c>
    </row>
    <row r="3726" spans="1:37" x14ac:dyDescent="0.25">
      <c r="A3726" s="76">
        <v>19</v>
      </c>
      <c r="B3726" s="3" t="s">
        <v>166</v>
      </c>
      <c r="C3726" s="2" t="s">
        <v>165</v>
      </c>
      <c r="D3726" s="1">
        <v>0</v>
      </c>
      <c r="E3726" s="1">
        <v>3</v>
      </c>
      <c r="F3726" s="1">
        <v>3</v>
      </c>
      <c r="G3726" s="1">
        <v>3</v>
      </c>
      <c r="H3726" s="4">
        <v>1</v>
      </c>
      <c r="I3726" s="1">
        <v>0</v>
      </c>
      <c r="J3726" s="4"/>
      <c r="K3726" s="1">
        <v>0</v>
      </c>
      <c r="L3726" s="1">
        <v>0</v>
      </c>
      <c r="M3726" s="32">
        <f>IF(Mecze[[#This Row],[PR]]=0,0,Mecze[[#This Row],[PR]]/Mecze[[#This Row],[CZAS]])</f>
        <v>0</v>
      </c>
      <c r="N3726" s="32">
        <f>IF(Mecze[[#This Row],[OU]]=0,0,Mecze[[#This Row],[OU]]/Mecze[[#This Row],[CZAS]])</f>
        <v>0</v>
      </c>
      <c r="O3726" s="32">
        <f>IF(Mecze[[#This Row],[PC]]=0,0,Mecze[[#This Row],[PC]]/Mecze[[#This Row],[CZAS]])</f>
        <v>3.125E-2</v>
      </c>
      <c r="P3726" s="32">
        <f>IF(Mecze[[#This Row],[SC]]=0,0,Mecze[[#This Row],[SC]]/Mecze[[#This Row],[CZAS]])</f>
        <v>3.125E-2</v>
      </c>
      <c r="Q3726" s="32">
        <f>IF(Mecze[[#This Row],[OB]]=0,0,Mecze[[#This Row],[OB]]/Mecze[[#This Row],[CZAS]])</f>
        <v>0</v>
      </c>
      <c r="R3726" s="32">
        <f>IF(Mecze[[#This Row],[BR]]=0,0,Mecze[[#This Row],[BR]]/Mecze[[#This Row],[CZAS]])</f>
        <v>0</v>
      </c>
      <c r="S3726" s="44">
        <f>IF(Mecze[[#This Row],[Role]]="BR",SUMPRODUCT(Mecze[[#This Row],[/PR:90]:[/BR:90]],Brudnopis!$E$23:$J$23),0)</f>
        <v>0</v>
      </c>
      <c r="T3726" s="44">
        <f>IF(Mecze[[#This Row],[Role]]&lt;&gt;"BR",SUMPRODUCT(Mecze[[#This Row],[/PR:90]:[/BR:90]],Brudnopis!$E$24:$J$24),0)</f>
        <v>6.25E-2</v>
      </c>
      <c r="U3726" s="44">
        <f>IF(Mecze[[#This Row],[Role]]&lt;&gt;"BR",SUMPRODUCT(Mecze[[#This Row],[/PR:90]:[/BR:90]],Brudnopis!$E$25:$J$25),0)</f>
        <v>7.8125E-2</v>
      </c>
      <c r="V3726" s="44">
        <f>IF(Mecze[[#This Row],[Role]]&lt;&gt;"BR",SUMPRODUCT(Mecze[[#This Row],[/PR:90]:[/BR:90]],Brudnopis!$E$26:$J$26),0)</f>
        <v>6.25E-2</v>
      </c>
      <c r="W3726" s="44">
        <f>IF(Mecze[[#This Row],[Role]]&lt;&gt;"BR",SUMPRODUCT(Mecze[[#This Row],[/PR:90]:[/BR:90]],Brudnopis!$E$27:$J$27),0)</f>
        <v>7.8125E-2</v>
      </c>
      <c r="X3726" s="44">
        <f>IF(Mecze[[#This Row],[Role]]&lt;&gt;"BR",SUMPRODUCT(Mecze[[#This Row],[/PR:90]:[/BR:90]],Brudnopis!$E$28:$J$28),0)</f>
        <v>9.375E-2</v>
      </c>
      <c r="Y3726" s="35">
        <f>IF(Mecze[[#This Row],[Role]]="BR",Mecze[[#This Row],[/OB:90]]+Mecze[[#This Row],[/PC:90]],SUM(Mecze[[#This Row],[/PR:90]:[/BR:90]]))</f>
        <v>6.25E-2</v>
      </c>
      <c r="Z3726" s="35">
        <f>IF(Mecze[[#This Row],[KC]]=0,SUM(Mecze[[#This Row],[/BRI]:[/NPI]]),SUM(Mecze[[#This Row],[/BRI]:[/NPI]])*0.6)</f>
        <v>0.375</v>
      </c>
      <c r="AA3726" s="10">
        <f>IFERROR(Mecze[[#This Row],[BR]]/Mecze[[#This Row],[ST]],0)</f>
        <v>0</v>
      </c>
      <c r="AB3726">
        <f>ROUND(Mecze[[#This Row],[PD]]*Mecze[[#This Row],[%PC]],0)</f>
        <v>3</v>
      </c>
      <c r="AC3726">
        <f>ROUND(Mecze[[#This Row],[OD]]*Mecze[[#This Row],[%OU]],0)</f>
        <v>0</v>
      </c>
      <c r="AD3726" s="36" t="s">
        <v>273</v>
      </c>
      <c r="AE3726" s="36">
        <v>213</v>
      </c>
      <c r="AF3726" s="71">
        <v>3.37</v>
      </c>
      <c r="AG3726" s="37">
        <v>0</v>
      </c>
      <c r="AH3726" s="37">
        <v>0</v>
      </c>
      <c r="AI3726" s="37">
        <v>96</v>
      </c>
      <c r="AJ3726" s="37">
        <v>1</v>
      </c>
      <c r="AK3726" s="37" t="str">
        <f>VLOOKUP(Mecze[[#This Row],[Match ID]],Meczusie[Mecz]:Meczusie[RodzajMeczu],2,FALSE)</f>
        <v>Baraże</v>
      </c>
    </row>
    <row r="3727" spans="1:37" x14ac:dyDescent="0.25">
      <c r="A3727" s="76">
        <v>9</v>
      </c>
      <c r="B3727" s="3" t="s">
        <v>411</v>
      </c>
      <c r="C3727" s="2" t="s">
        <v>165</v>
      </c>
      <c r="D3727" s="1">
        <v>0</v>
      </c>
      <c r="E3727" s="1">
        <v>4</v>
      </c>
      <c r="F3727" s="1">
        <v>3</v>
      </c>
      <c r="G3727" s="1">
        <v>5</v>
      </c>
      <c r="H3727" s="4">
        <v>0.8</v>
      </c>
      <c r="I3727" s="1">
        <v>4</v>
      </c>
      <c r="J3727" s="4">
        <v>0.25</v>
      </c>
      <c r="K3727" s="1">
        <v>0</v>
      </c>
      <c r="L3727" s="1">
        <v>0</v>
      </c>
      <c r="M3727" s="32">
        <f>IF(Mecze[[#This Row],[PR]]=0,0,Mecze[[#This Row],[PR]]/Mecze[[#This Row],[CZAS]])</f>
        <v>0</v>
      </c>
      <c r="N3727" s="32">
        <f>IF(Mecze[[#This Row],[OU]]=0,0,Mecze[[#This Row],[OU]]/Mecze[[#This Row],[CZAS]])</f>
        <v>1.0416666666666666E-2</v>
      </c>
      <c r="O3727" s="32">
        <f>IF(Mecze[[#This Row],[PC]]=0,0,Mecze[[#This Row],[PC]]/Mecze[[#This Row],[CZAS]])</f>
        <v>4.1666666666666664E-2</v>
      </c>
      <c r="P3727" s="32">
        <f>IF(Mecze[[#This Row],[SC]]=0,0,Mecze[[#This Row],[SC]]/Mecze[[#This Row],[CZAS]])</f>
        <v>3.125E-2</v>
      </c>
      <c r="Q3727" s="32">
        <f>IF(Mecze[[#This Row],[OB]]=0,0,Mecze[[#This Row],[OB]]/Mecze[[#This Row],[CZAS]])</f>
        <v>0</v>
      </c>
      <c r="R3727" s="32">
        <f>IF(Mecze[[#This Row],[BR]]=0,0,Mecze[[#This Row],[BR]]/Mecze[[#This Row],[CZAS]])</f>
        <v>0</v>
      </c>
      <c r="S3727" s="44">
        <f>IF(Mecze[[#This Row],[Role]]="BR",SUMPRODUCT(Mecze[[#This Row],[/PR:90]:[/BR:90]],Brudnopis!$E$23:$J$23),0)</f>
        <v>0</v>
      </c>
      <c r="T3727" s="44">
        <f>IF(Mecze[[#This Row],[Role]]&lt;&gt;"BR",SUMPRODUCT(Mecze[[#This Row],[/PR:90]:[/BR:90]],Brudnopis!$E$24:$J$24),0)</f>
        <v>8.8541666666666657E-2</v>
      </c>
      <c r="U3727" s="44">
        <f>IF(Mecze[[#This Row],[Role]]&lt;&gt;"BR",SUMPRODUCT(Mecze[[#This Row],[/PR:90]:[/BR:90]],Brudnopis!$E$25:$J$25),0)</f>
        <v>0.10416666666666667</v>
      </c>
      <c r="V3727" s="44">
        <f>IF(Mecze[[#This Row],[Role]]&lt;&gt;"BR",SUMPRODUCT(Mecze[[#This Row],[/PR:90]:[/BR:90]],Brudnopis!$E$26:$J$26),0)</f>
        <v>8.3333333333333329E-2</v>
      </c>
      <c r="W3727" s="44">
        <f>IF(Mecze[[#This Row],[Role]]&lt;&gt;"BR",SUMPRODUCT(Mecze[[#This Row],[/PR:90]:[/BR:90]],Brudnopis!$E$27:$J$27),0)</f>
        <v>0.1015625</v>
      </c>
      <c r="X3727" s="44">
        <f>IF(Mecze[[#This Row],[Role]]&lt;&gt;"BR",SUMPRODUCT(Mecze[[#This Row],[/PR:90]:[/BR:90]],Brudnopis!$E$28:$J$28),0)</f>
        <v>0.10416666666666666</v>
      </c>
      <c r="Y3727" s="35">
        <f>IF(Mecze[[#This Row],[Role]]="BR",Mecze[[#This Row],[/OB:90]]+Mecze[[#This Row],[/PC:90]],SUM(Mecze[[#This Row],[/PR:90]:[/BR:90]]))</f>
        <v>8.3333333333333329E-2</v>
      </c>
      <c r="Z3727" s="35">
        <f>IF(Mecze[[#This Row],[KC]]=0,SUM(Mecze[[#This Row],[/BRI]:[/NPI]]),SUM(Mecze[[#This Row],[/BRI]:[/NPI]])*0.6)</f>
        <v>0.48177083333333326</v>
      </c>
      <c r="AA3727" s="10">
        <f>IFERROR(Mecze[[#This Row],[BR]]/Mecze[[#This Row],[ST]],0)</f>
        <v>0</v>
      </c>
      <c r="AB3727">
        <f>ROUND(Mecze[[#This Row],[PD]]*Mecze[[#This Row],[%PC]],0)</f>
        <v>4</v>
      </c>
      <c r="AC3727">
        <f>ROUND(Mecze[[#This Row],[OD]]*Mecze[[#This Row],[%OU]],0)</f>
        <v>1</v>
      </c>
      <c r="AD3727" s="36" t="s">
        <v>272</v>
      </c>
      <c r="AE3727" s="36">
        <v>213</v>
      </c>
      <c r="AF3727" s="71">
        <v>5.62</v>
      </c>
      <c r="AG3727" s="37">
        <v>0</v>
      </c>
      <c r="AH3727" s="37">
        <v>0</v>
      </c>
      <c r="AI3727" s="37">
        <v>96</v>
      </c>
      <c r="AJ3727" s="37">
        <v>1</v>
      </c>
      <c r="AK3727" s="37" t="str">
        <f>VLOOKUP(Mecze[[#This Row],[Match ID]],Meczusie[Mecz]:Meczusie[RodzajMeczu],2,FALSE)</f>
        <v>Baraże</v>
      </c>
    </row>
    <row r="3728" spans="1:37" x14ac:dyDescent="0.25">
      <c r="A3728" s="76">
        <v>1</v>
      </c>
      <c r="B3728" s="3" t="s">
        <v>169</v>
      </c>
      <c r="C3728" s="2" t="s">
        <v>155</v>
      </c>
      <c r="D3728" s="1">
        <v>0</v>
      </c>
      <c r="E3728" s="1">
        <v>0</v>
      </c>
      <c r="F3728" s="1">
        <v>0</v>
      </c>
      <c r="G3728" s="1">
        <v>7</v>
      </c>
      <c r="H3728" s="4">
        <v>0.56999999999999995</v>
      </c>
      <c r="I3728" s="1">
        <v>0</v>
      </c>
      <c r="J3728" s="4"/>
      <c r="K3728" s="1">
        <v>10</v>
      </c>
      <c r="L3728" s="1">
        <v>0</v>
      </c>
      <c r="M3728" s="32">
        <f>IF(Mecze[[#This Row],[PR]]=0,0,Mecze[[#This Row],[PR]]/Mecze[[#This Row],[CZAS]])</f>
        <v>0</v>
      </c>
      <c r="N3728" s="32">
        <f>IF(Mecze[[#This Row],[OU]]=0,0,Mecze[[#This Row],[OU]]/Mecze[[#This Row],[CZAS]])</f>
        <v>0</v>
      </c>
      <c r="O3728" s="32">
        <f>IF(Mecze[[#This Row],[PC]]=0,0,Mecze[[#This Row],[PC]]/Mecze[[#This Row],[CZAS]])</f>
        <v>4.0404040404040407E-2</v>
      </c>
      <c r="P3728" s="32">
        <f>IF(Mecze[[#This Row],[SC]]=0,0,Mecze[[#This Row],[SC]]/Mecze[[#This Row],[CZAS]])</f>
        <v>0</v>
      </c>
      <c r="Q3728" s="32">
        <f>IF(Mecze[[#This Row],[OB]]=0,0,Mecze[[#This Row],[OB]]/Mecze[[#This Row],[CZAS]])</f>
        <v>0.10101010101010101</v>
      </c>
      <c r="R3728" s="32">
        <f>IF(Mecze[[#This Row],[BR]]=0,0,Mecze[[#This Row],[BR]]/Mecze[[#This Row],[CZAS]])</f>
        <v>0</v>
      </c>
      <c r="S3728" s="44">
        <f>IF(Mecze[[#This Row],[Role]]="BR",SUMPRODUCT(Mecze[[#This Row],[/PR:90]:[/BR:90]],Brudnopis!$E$23:$J$23),0)</f>
        <v>0.42424242424242425</v>
      </c>
      <c r="T3728" s="44">
        <f>IF(Mecze[[#This Row],[Role]]&lt;&gt;"BR",SUMPRODUCT(Mecze[[#This Row],[/PR:90]:[/BR:90]],Brudnopis!$E$24:$J$24),0)</f>
        <v>0</v>
      </c>
      <c r="U3728" s="44">
        <f>IF(Mecze[[#This Row],[Role]]&lt;&gt;"BR",SUMPRODUCT(Mecze[[#This Row],[/PR:90]:[/BR:90]],Brudnopis!$E$25:$J$25),0)</f>
        <v>0</v>
      </c>
      <c r="V3728" s="44">
        <f>IF(Mecze[[#This Row],[Role]]&lt;&gt;"BR",SUMPRODUCT(Mecze[[#This Row],[/PR:90]:[/BR:90]],Brudnopis!$E$26:$J$26),0)</f>
        <v>0</v>
      </c>
      <c r="W3728" s="44">
        <f>IF(Mecze[[#This Row],[Role]]&lt;&gt;"BR",SUMPRODUCT(Mecze[[#This Row],[/PR:90]:[/BR:90]],Brudnopis!$E$27:$J$27),0)</f>
        <v>0</v>
      </c>
      <c r="X3728" s="44">
        <f>IF(Mecze[[#This Row],[Role]]&lt;&gt;"BR",SUMPRODUCT(Mecze[[#This Row],[/PR:90]:[/BR:90]],Brudnopis!$E$28:$J$28),0)</f>
        <v>0</v>
      </c>
      <c r="Y3728" s="35">
        <f>IF(Mecze[[#This Row],[Role]]="BR",Mecze[[#This Row],[/OB:90]]+Mecze[[#This Row],[/PC:90]],SUM(Mecze[[#This Row],[/PR:90]:[/BR:90]]))</f>
        <v>0.14141414141414141</v>
      </c>
      <c r="Z3728" s="35">
        <f>IF(Mecze[[#This Row],[KC]]=0,SUM(Mecze[[#This Row],[/BRI]:[/NPI]]),SUM(Mecze[[#This Row],[/BRI]:[/NPI]])*0.6)</f>
        <v>0.42424242424242425</v>
      </c>
      <c r="AA3728" s="10">
        <f>IFERROR(Mecze[[#This Row],[BR]]/Mecze[[#This Row],[ST]],0)</f>
        <v>0</v>
      </c>
      <c r="AB3728">
        <f>ROUND(Mecze[[#This Row],[PD]]*Mecze[[#This Row],[%PC]],0)</f>
        <v>4</v>
      </c>
      <c r="AC3728">
        <f>ROUND(Mecze[[#This Row],[OD]]*Mecze[[#This Row],[%OU]],0)</f>
        <v>0</v>
      </c>
      <c r="AD3728" s="36" t="s">
        <v>40</v>
      </c>
      <c r="AE3728" s="36">
        <v>214</v>
      </c>
      <c r="AF3728" s="71">
        <v>8.64</v>
      </c>
      <c r="AG3728" s="37">
        <v>0</v>
      </c>
      <c r="AH3728" s="37">
        <v>0</v>
      </c>
      <c r="AI3728" s="37">
        <v>99</v>
      </c>
      <c r="AJ3728" s="37">
        <v>1</v>
      </c>
      <c r="AK3728" s="37" t="str">
        <f>VLOOKUP(Mecze[[#This Row],[Match ID]],Meczusie[Mecz]:Meczusie[RodzajMeczu],2,FALSE)</f>
        <v>Towarzyski</v>
      </c>
    </row>
    <row r="3729" spans="1:37" x14ac:dyDescent="0.25">
      <c r="A3729" s="76">
        <v>5</v>
      </c>
      <c r="B3729" s="3" t="s">
        <v>161</v>
      </c>
      <c r="C3729" s="2" t="s">
        <v>157</v>
      </c>
      <c r="D3729" s="1">
        <v>0</v>
      </c>
      <c r="E3729" s="1">
        <v>0</v>
      </c>
      <c r="F3729" s="1">
        <v>0</v>
      </c>
      <c r="G3729" s="1">
        <v>10</v>
      </c>
      <c r="H3729" s="4">
        <v>0.5</v>
      </c>
      <c r="I3729" s="1">
        <v>1</v>
      </c>
      <c r="J3729" s="4">
        <v>0</v>
      </c>
      <c r="K3729" s="1">
        <v>0</v>
      </c>
      <c r="L3729" s="1">
        <v>6</v>
      </c>
      <c r="M3729" s="32">
        <f>IF(Mecze[[#This Row],[PR]]=0,0,Mecze[[#This Row],[PR]]/Mecze[[#This Row],[CZAS]])</f>
        <v>6.0606060606060608E-2</v>
      </c>
      <c r="N3729" s="32">
        <f>IF(Mecze[[#This Row],[OU]]=0,0,Mecze[[#This Row],[OU]]/Mecze[[#This Row],[CZAS]])</f>
        <v>0</v>
      </c>
      <c r="O3729" s="32">
        <f>IF(Mecze[[#This Row],[PC]]=0,0,Mecze[[#This Row],[PC]]/Mecze[[#This Row],[CZAS]])</f>
        <v>5.0505050505050504E-2</v>
      </c>
      <c r="P3729" s="32">
        <f>IF(Mecze[[#This Row],[SC]]=0,0,Mecze[[#This Row],[SC]]/Mecze[[#This Row],[CZAS]])</f>
        <v>0</v>
      </c>
      <c r="Q3729" s="32">
        <f>IF(Mecze[[#This Row],[OB]]=0,0,Mecze[[#This Row],[OB]]/Mecze[[#This Row],[CZAS]])</f>
        <v>0</v>
      </c>
      <c r="R3729" s="32">
        <f>IF(Mecze[[#This Row],[BR]]=0,0,Mecze[[#This Row],[BR]]/Mecze[[#This Row],[CZAS]])</f>
        <v>0</v>
      </c>
      <c r="S3729" s="44">
        <f>IF(Mecze[[#This Row],[Role]]="BR",SUMPRODUCT(Mecze[[#This Row],[/PR:90]:[/BR:90]],Brudnopis!$E$23:$J$23),0)</f>
        <v>0</v>
      </c>
      <c r="T3729" s="44">
        <f>IF(Mecze[[#This Row],[Role]]&lt;&gt;"BR",SUMPRODUCT(Mecze[[#This Row],[/PR:90]:[/BR:90]],Brudnopis!$E$24:$J$24),0)</f>
        <v>0.1111111111111111</v>
      </c>
      <c r="U3729" s="44">
        <f>IF(Mecze[[#This Row],[Role]]&lt;&gt;"BR",SUMPRODUCT(Mecze[[#This Row],[/PR:90]:[/BR:90]],Brudnopis!$E$25:$J$25),0)</f>
        <v>0.13636363636363635</v>
      </c>
      <c r="V3729" s="44">
        <f>IF(Mecze[[#This Row],[Role]]&lt;&gt;"BR",SUMPRODUCT(Mecze[[#This Row],[/PR:90]:[/BR:90]],Brudnopis!$E$26:$J$26),0)</f>
        <v>0.1111111111111111</v>
      </c>
      <c r="W3729" s="44">
        <f>IF(Mecze[[#This Row],[Role]]&lt;&gt;"BR",SUMPRODUCT(Mecze[[#This Row],[/PR:90]:[/BR:90]],Brudnopis!$E$27:$J$27),0)</f>
        <v>0.12121212121212122</v>
      </c>
      <c r="X3729" s="44">
        <f>IF(Mecze[[#This Row],[Role]]&lt;&gt;"BR",SUMPRODUCT(Mecze[[#This Row],[/PR:90]:[/BR:90]],Brudnopis!$E$28:$J$28),0)</f>
        <v>5.0505050505050504E-2</v>
      </c>
      <c r="Y3729" s="35">
        <f>IF(Mecze[[#This Row],[Role]]="BR",Mecze[[#This Row],[/OB:90]]+Mecze[[#This Row],[/PC:90]],SUM(Mecze[[#This Row],[/PR:90]:[/BR:90]]))</f>
        <v>0.1111111111111111</v>
      </c>
      <c r="Z3729" s="35">
        <f>IF(Mecze[[#This Row],[KC]]=0,SUM(Mecze[[#This Row],[/BRI]:[/NPI]]),SUM(Mecze[[#This Row],[/BRI]:[/NPI]])*0.6)</f>
        <v>0.53030303030303028</v>
      </c>
      <c r="AA3729" s="10">
        <f>IFERROR(Mecze[[#This Row],[BR]]/Mecze[[#This Row],[ST]],0)</f>
        <v>0</v>
      </c>
      <c r="AB3729">
        <f>ROUND(Mecze[[#This Row],[PD]]*Mecze[[#This Row],[%PC]],0)</f>
        <v>5</v>
      </c>
      <c r="AC3729">
        <f>ROUND(Mecze[[#This Row],[OD]]*Mecze[[#This Row],[%OU]],0)</f>
        <v>0</v>
      </c>
      <c r="AD3729" s="36" t="s">
        <v>47</v>
      </c>
      <c r="AE3729" s="36">
        <v>214</v>
      </c>
      <c r="AF3729" s="71">
        <v>5.18</v>
      </c>
      <c r="AG3729" s="37">
        <v>0</v>
      </c>
      <c r="AH3729" s="37">
        <v>0</v>
      </c>
      <c r="AI3729" s="37">
        <v>99</v>
      </c>
      <c r="AJ3729" s="37">
        <v>1</v>
      </c>
      <c r="AK3729" s="37" t="str">
        <f>VLOOKUP(Mecze[[#This Row],[Match ID]],Meczusie[Mecz]:Meczusie[RodzajMeczu],2,FALSE)</f>
        <v>Towarzyski</v>
      </c>
    </row>
    <row r="3730" spans="1:37" x14ac:dyDescent="0.25">
      <c r="A3730" s="76">
        <v>18</v>
      </c>
      <c r="B3730" s="3" t="s">
        <v>211</v>
      </c>
      <c r="C3730" s="2" t="s">
        <v>157</v>
      </c>
      <c r="D3730" s="1">
        <v>0</v>
      </c>
      <c r="E3730" s="1">
        <v>0</v>
      </c>
      <c r="F3730" s="1">
        <v>0</v>
      </c>
      <c r="G3730" s="1">
        <v>3</v>
      </c>
      <c r="H3730" s="4">
        <v>0.67</v>
      </c>
      <c r="I3730" s="1">
        <v>2</v>
      </c>
      <c r="J3730" s="4">
        <v>1</v>
      </c>
      <c r="K3730" s="1">
        <v>0</v>
      </c>
      <c r="L3730" s="1">
        <v>1</v>
      </c>
      <c r="M3730" s="32">
        <f>IF(Mecze[[#This Row],[PR]]=0,0,Mecze[[#This Row],[PR]]/Mecze[[#This Row],[CZAS]])</f>
        <v>0.1111111111111111</v>
      </c>
      <c r="N3730" s="32">
        <f>IF(Mecze[[#This Row],[OU]]=0,0,Mecze[[#This Row],[OU]]/Mecze[[#This Row],[CZAS]])</f>
        <v>0.22222222222222221</v>
      </c>
      <c r="O3730" s="32">
        <f>IF(Mecze[[#This Row],[PC]]=0,0,Mecze[[#This Row],[PC]]/Mecze[[#This Row],[CZAS]])</f>
        <v>0.22222222222222221</v>
      </c>
      <c r="P3730" s="32">
        <f>IF(Mecze[[#This Row],[SC]]=0,0,Mecze[[#This Row],[SC]]/Mecze[[#This Row],[CZAS]])</f>
        <v>0</v>
      </c>
      <c r="Q3730" s="32">
        <f>IF(Mecze[[#This Row],[OB]]=0,0,Mecze[[#This Row],[OB]]/Mecze[[#This Row],[CZAS]])</f>
        <v>0</v>
      </c>
      <c r="R3730" s="32">
        <f>IF(Mecze[[#This Row],[BR]]=0,0,Mecze[[#This Row],[BR]]/Mecze[[#This Row],[CZAS]])</f>
        <v>0</v>
      </c>
      <c r="S3730" s="44">
        <f>IF(Mecze[[#This Row],[Role]]="BR",SUMPRODUCT(Mecze[[#This Row],[/PR:90]:[/BR:90]],Brudnopis!$E$23:$J$23),0)</f>
        <v>0</v>
      </c>
      <c r="T3730" s="44">
        <f>IF(Mecze[[#This Row],[Role]]&lt;&gt;"BR",SUMPRODUCT(Mecze[[#This Row],[/PR:90]:[/BR:90]],Brudnopis!$E$24:$J$24),0)</f>
        <v>0.66666666666666663</v>
      </c>
      <c r="U3730" s="44">
        <f>IF(Mecze[[#This Row],[Role]]&lt;&gt;"BR",SUMPRODUCT(Mecze[[#This Row],[/PR:90]:[/BR:90]],Brudnopis!$E$25:$J$25),0)</f>
        <v>0.66666666666666663</v>
      </c>
      <c r="V3730" s="44">
        <f>IF(Mecze[[#This Row],[Role]]&lt;&gt;"BR",SUMPRODUCT(Mecze[[#This Row],[/PR:90]:[/BR:90]],Brudnopis!$E$26:$J$26),0)</f>
        <v>0.55555555555555558</v>
      </c>
      <c r="W3730" s="44">
        <f>IF(Mecze[[#This Row],[Role]]&lt;&gt;"BR",SUMPRODUCT(Mecze[[#This Row],[/PR:90]:[/BR:90]],Brudnopis!$E$27:$J$27),0)</f>
        <v>0.58333333333333326</v>
      </c>
      <c r="X3730" s="44">
        <f>IF(Mecze[[#This Row],[Role]]&lt;&gt;"BR",SUMPRODUCT(Mecze[[#This Row],[/PR:90]:[/BR:90]],Brudnopis!$E$28:$J$28),0)</f>
        <v>0.22222222222222221</v>
      </c>
      <c r="Y3730" s="35">
        <f>IF(Mecze[[#This Row],[Role]]="BR",Mecze[[#This Row],[/OB:90]]+Mecze[[#This Row],[/PC:90]],SUM(Mecze[[#This Row],[/PR:90]:[/BR:90]]))</f>
        <v>0.55555555555555558</v>
      </c>
      <c r="Z3730" s="35">
        <f>IF(Mecze[[#This Row],[KC]]=0,SUM(Mecze[[#This Row],[/BRI]:[/NPI]]),SUM(Mecze[[#This Row],[/BRI]:[/NPI]])*0.6)</f>
        <v>1.6166666666666667</v>
      </c>
      <c r="AA3730" s="10">
        <f>IFERROR(Mecze[[#This Row],[BR]]/Mecze[[#This Row],[ST]],0)</f>
        <v>0</v>
      </c>
      <c r="AB3730">
        <f>ROUND(Mecze[[#This Row],[PD]]*Mecze[[#This Row],[%PC]],0)</f>
        <v>2</v>
      </c>
      <c r="AC3730">
        <f>ROUND(Mecze[[#This Row],[OD]]*Mecze[[#This Row],[%OU]],0)</f>
        <v>2</v>
      </c>
      <c r="AD3730" s="36" t="s">
        <v>47</v>
      </c>
      <c r="AE3730" s="36">
        <v>214</v>
      </c>
      <c r="AF3730" s="71">
        <v>-0.28000000000000003</v>
      </c>
      <c r="AG3730" s="37">
        <v>0</v>
      </c>
      <c r="AH3730" s="37">
        <v>1</v>
      </c>
      <c r="AI3730" s="37">
        <v>9</v>
      </c>
      <c r="AJ3730" s="37">
        <v>1</v>
      </c>
      <c r="AK3730" s="37" t="str">
        <f>VLOOKUP(Mecze[[#This Row],[Match ID]],Meczusie[Mecz]:Meczusie[RodzajMeczu],2,FALSE)</f>
        <v>Towarzyski</v>
      </c>
    </row>
    <row r="3731" spans="1:37" x14ac:dyDescent="0.25">
      <c r="A3731" s="76">
        <v>4</v>
      </c>
      <c r="B3731" s="3" t="s">
        <v>360</v>
      </c>
      <c r="C3731" s="2" t="s">
        <v>157</v>
      </c>
      <c r="D3731" s="1">
        <v>0</v>
      </c>
      <c r="E3731" s="1">
        <v>0</v>
      </c>
      <c r="F3731" s="1">
        <v>0</v>
      </c>
      <c r="G3731" s="1">
        <v>5</v>
      </c>
      <c r="H3731" s="4">
        <v>0.6</v>
      </c>
      <c r="I3731" s="1">
        <v>1</v>
      </c>
      <c r="J3731" s="4">
        <v>1</v>
      </c>
      <c r="K3731" s="1">
        <v>0</v>
      </c>
      <c r="L3731" s="1">
        <v>3</v>
      </c>
      <c r="M3731" s="32">
        <f>IF(Mecze[[#This Row],[PR]]=0,0,Mecze[[#This Row],[PR]]/Mecze[[#This Row],[CZAS]])</f>
        <v>3.0303030303030304E-2</v>
      </c>
      <c r="N3731" s="32">
        <f>IF(Mecze[[#This Row],[OU]]=0,0,Mecze[[#This Row],[OU]]/Mecze[[#This Row],[CZAS]])</f>
        <v>1.0101010101010102E-2</v>
      </c>
      <c r="O3731" s="32">
        <f>IF(Mecze[[#This Row],[PC]]=0,0,Mecze[[#This Row],[PC]]/Mecze[[#This Row],[CZAS]])</f>
        <v>3.0303030303030304E-2</v>
      </c>
      <c r="P3731" s="32">
        <f>IF(Mecze[[#This Row],[SC]]=0,0,Mecze[[#This Row],[SC]]/Mecze[[#This Row],[CZAS]])</f>
        <v>0</v>
      </c>
      <c r="Q3731" s="32">
        <f>IF(Mecze[[#This Row],[OB]]=0,0,Mecze[[#This Row],[OB]]/Mecze[[#This Row],[CZAS]])</f>
        <v>0</v>
      </c>
      <c r="R3731" s="32">
        <f>IF(Mecze[[#This Row],[BR]]=0,0,Mecze[[#This Row],[BR]]/Mecze[[#This Row],[CZAS]])</f>
        <v>0</v>
      </c>
      <c r="S3731" s="44">
        <f>IF(Mecze[[#This Row],[Role]]="BR",SUMPRODUCT(Mecze[[#This Row],[/PR:90]:[/BR:90]],Brudnopis!$E$23:$J$23),0)</f>
        <v>0</v>
      </c>
      <c r="T3731" s="44">
        <f>IF(Mecze[[#This Row],[Role]]&lt;&gt;"BR",SUMPRODUCT(Mecze[[#This Row],[/PR:90]:[/BR:90]],Brudnopis!$E$24:$J$24),0)</f>
        <v>7.575757575757576E-2</v>
      </c>
      <c r="U3731" s="44">
        <f>IF(Mecze[[#This Row],[Role]]&lt;&gt;"BR",SUMPRODUCT(Mecze[[#This Row],[/PR:90]:[/BR:90]],Brudnopis!$E$25:$J$25),0)</f>
        <v>8.5858585858585856E-2</v>
      </c>
      <c r="V3731" s="44">
        <f>IF(Mecze[[#This Row],[Role]]&lt;&gt;"BR",SUMPRODUCT(Mecze[[#This Row],[/PR:90]:[/BR:90]],Brudnopis!$E$26:$J$26),0)</f>
        <v>7.0707070707070718E-2</v>
      </c>
      <c r="W3731" s="44">
        <f>IF(Mecze[[#This Row],[Role]]&lt;&gt;"BR",SUMPRODUCT(Mecze[[#This Row],[/PR:90]:[/BR:90]],Brudnopis!$E$27:$J$27),0)</f>
        <v>7.575757575757576E-2</v>
      </c>
      <c r="X3731" s="44">
        <f>IF(Mecze[[#This Row],[Role]]&lt;&gt;"BR",SUMPRODUCT(Mecze[[#This Row],[/PR:90]:[/BR:90]],Brudnopis!$E$28:$J$28),0)</f>
        <v>3.0303030303030304E-2</v>
      </c>
      <c r="Y3731" s="35">
        <f>IF(Mecze[[#This Row],[Role]]="BR",Mecze[[#This Row],[/OB:90]]+Mecze[[#This Row],[/PC:90]],SUM(Mecze[[#This Row],[/PR:90]:[/BR:90]]))</f>
        <v>7.0707070707070718E-2</v>
      </c>
      <c r="Z3731" s="35">
        <f>IF(Mecze[[#This Row],[KC]]=0,SUM(Mecze[[#This Row],[/BRI]:[/NPI]]),SUM(Mecze[[#This Row],[/BRI]:[/NPI]])*0.6)</f>
        <v>0.33838383838383834</v>
      </c>
      <c r="AA3731" s="10">
        <f>IFERROR(Mecze[[#This Row],[BR]]/Mecze[[#This Row],[ST]],0)</f>
        <v>0</v>
      </c>
      <c r="AB3731">
        <f>ROUND(Mecze[[#This Row],[PD]]*Mecze[[#This Row],[%PC]],0)</f>
        <v>3</v>
      </c>
      <c r="AC3731">
        <f>ROUND(Mecze[[#This Row],[OD]]*Mecze[[#This Row],[%OU]],0)</f>
        <v>1</v>
      </c>
      <c r="AD3731" s="36" t="s">
        <v>175</v>
      </c>
      <c r="AE3731" s="36">
        <v>214</v>
      </c>
      <c r="AF3731" s="71">
        <v>4.55</v>
      </c>
      <c r="AG3731" s="37">
        <v>0</v>
      </c>
      <c r="AH3731" s="37">
        <v>0</v>
      </c>
      <c r="AI3731" s="37">
        <v>99</v>
      </c>
      <c r="AJ3731" s="37">
        <v>1</v>
      </c>
      <c r="AK3731" s="37" t="str">
        <f>VLOOKUP(Mecze[[#This Row],[Match ID]],Meczusie[Mecz]:Meczusie[RodzajMeczu],2,FALSE)</f>
        <v>Towarzyski</v>
      </c>
    </row>
    <row r="3732" spans="1:37" x14ac:dyDescent="0.25">
      <c r="A3732" s="76">
        <v>3</v>
      </c>
      <c r="B3732" s="3" t="s">
        <v>158</v>
      </c>
      <c r="C3732" s="2" t="s">
        <v>157</v>
      </c>
      <c r="D3732" s="1">
        <v>0</v>
      </c>
      <c r="E3732" s="1">
        <v>0</v>
      </c>
      <c r="F3732" s="1">
        <v>0</v>
      </c>
      <c r="G3732" s="1">
        <v>2</v>
      </c>
      <c r="H3732" s="4">
        <v>0.5</v>
      </c>
      <c r="I3732" s="1">
        <v>4</v>
      </c>
      <c r="J3732" s="4">
        <v>0.5</v>
      </c>
      <c r="K3732" s="1">
        <v>0</v>
      </c>
      <c r="L3732" s="1">
        <v>2</v>
      </c>
      <c r="M3732" s="32">
        <f>IF(Mecze[[#This Row],[PR]]=0,0,Mecze[[#This Row],[PR]]/Mecze[[#This Row],[CZAS]])</f>
        <v>2.0202020202020204E-2</v>
      </c>
      <c r="N3732" s="32">
        <f>IF(Mecze[[#This Row],[OU]]=0,0,Mecze[[#This Row],[OU]]/Mecze[[#This Row],[CZAS]])</f>
        <v>2.0202020202020204E-2</v>
      </c>
      <c r="O3732" s="32">
        <f>IF(Mecze[[#This Row],[PC]]=0,0,Mecze[[#This Row],[PC]]/Mecze[[#This Row],[CZAS]])</f>
        <v>1.0101010101010102E-2</v>
      </c>
      <c r="P3732" s="32">
        <f>IF(Mecze[[#This Row],[SC]]=0,0,Mecze[[#This Row],[SC]]/Mecze[[#This Row],[CZAS]])</f>
        <v>0</v>
      </c>
      <c r="Q3732" s="32">
        <f>IF(Mecze[[#This Row],[OB]]=0,0,Mecze[[#This Row],[OB]]/Mecze[[#This Row],[CZAS]])</f>
        <v>0</v>
      </c>
      <c r="R3732" s="32">
        <f>IF(Mecze[[#This Row],[BR]]=0,0,Mecze[[#This Row],[BR]]/Mecze[[#This Row],[CZAS]])</f>
        <v>0</v>
      </c>
      <c r="S3732" s="44">
        <f>IF(Mecze[[#This Row],[Role]]="BR",SUMPRODUCT(Mecze[[#This Row],[/PR:90]:[/BR:90]],Brudnopis!$E$23:$J$23),0)</f>
        <v>0</v>
      </c>
      <c r="T3732" s="44">
        <f>IF(Mecze[[#This Row],[Role]]&lt;&gt;"BR",SUMPRODUCT(Mecze[[#This Row],[/PR:90]:[/BR:90]],Brudnopis!$E$24:$J$24),0)</f>
        <v>6.0606060606060615E-2</v>
      </c>
      <c r="U3732" s="44">
        <f>IF(Mecze[[#This Row],[Role]]&lt;&gt;"BR",SUMPRODUCT(Mecze[[#This Row],[/PR:90]:[/BR:90]],Brudnopis!$E$25:$J$25),0)</f>
        <v>5.5555555555555559E-2</v>
      </c>
      <c r="V3732" s="44">
        <f>IF(Mecze[[#This Row],[Role]]&lt;&gt;"BR",SUMPRODUCT(Mecze[[#This Row],[/PR:90]:[/BR:90]],Brudnopis!$E$26:$J$26),0)</f>
        <v>5.0505050505050511E-2</v>
      </c>
      <c r="W3732" s="44">
        <f>IF(Mecze[[#This Row],[Role]]&lt;&gt;"BR",SUMPRODUCT(Mecze[[#This Row],[/PR:90]:[/BR:90]],Brudnopis!$E$27:$J$27),0)</f>
        <v>4.5454545454545456E-2</v>
      </c>
      <c r="X3732" s="44">
        <f>IF(Mecze[[#This Row],[Role]]&lt;&gt;"BR",SUMPRODUCT(Mecze[[#This Row],[/PR:90]:[/BR:90]],Brudnopis!$E$28:$J$28),0)</f>
        <v>1.0101010101010102E-2</v>
      </c>
      <c r="Y3732" s="35">
        <f>IF(Mecze[[#This Row],[Role]]="BR",Mecze[[#This Row],[/OB:90]]+Mecze[[#This Row],[/PC:90]],SUM(Mecze[[#This Row],[/PR:90]:[/BR:90]]))</f>
        <v>5.0505050505050511E-2</v>
      </c>
      <c r="Z3732" s="35">
        <f>IF(Mecze[[#This Row],[KC]]=0,SUM(Mecze[[#This Row],[/BRI]:[/NPI]]),SUM(Mecze[[#This Row],[/BRI]:[/NPI]])*0.6)</f>
        <v>0.22222222222222227</v>
      </c>
      <c r="AA3732" s="10">
        <f>IFERROR(Mecze[[#This Row],[BR]]/Mecze[[#This Row],[ST]],0)</f>
        <v>0</v>
      </c>
      <c r="AB3732">
        <f>ROUND(Mecze[[#This Row],[PD]]*Mecze[[#This Row],[%PC]],0)</f>
        <v>1</v>
      </c>
      <c r="AC3732">
        <f>ROUND(Mecze[[#This Row],[OD]]*Mecze[[#This Row],[%OU]],0)</f>
        <v>2</v>
      </c>
      <c r="AD3732" s="36" t="s">
        <v>174</v>
      </c>
      <c r="AE3732" s="36">
        <v>214</v>
      </c>
      <c r="AF3732" s="71">
        <v>5.46</v>
      </c>
      <c r="AG3732" s="37">
        <v>0</v>
      </c>
      <c r="AH3732" s="37">
        <v>0</v>
      </c>
      <c r="AI3732" s="37">
        <v>99</v>
      </c>
      <c r="AJ3732" s="37">
        <v>1</v>
      </c>
      <c r="AK3732" s="37" t="str">
        <f>VLOOKUP(Mecze[[#This Row],[Match ID]],Meczusie[Mecz]:Meczusie[RodzajMeczu],2,FALSE)</f>
        <v>Towarzyski</v>
      </c>
    </row>
    <row r="3733" spans="1:37" x14ac:dyDescent="0.25">
      <c r="A3733" s="76">
        <v>60</v>
      </c>
      <c r="B3733" s="3" t="s">
        <v>515</v>
      </c>
      <c r="C3733" s="2" t="s">
        <v>160</v>
      </c>
      <c r="D3733" s="1">
        <v>0</v>
      </c>
      <c r="E3733" s="1">
        <v>0</v>
      </c>
      <c r="F3733" s="1">
        <v>0</v>
      </c>
      <c r="G3733" s="1">
        <v>11</v>
      </c>
      <c r="H3733" s="4">
        <v>0.64</v>
      </c>
      <c r="I3733" s="1">
        <v>3</v>
      </c>
      <c r="J3733" s="4">
        <v>1</v>
      </c>
      <c r="K3733" s="1">
        <v>0</v>
      </c>
      <c r="L3733" s="1">
        <v>1</v>
      </c>
      <c r="M3733" s="32">
        <f>IF(Mecze[[#This Row],[PR]]=0,0,Mecze[[#This Row],[PR]]/Mecze[[#This Row],[CZAS]])</f>
        <v>1.0101010101010102E-2</v>
      </c>
      <c r="N3733" s="32">
        <f>IF(Mecze[[#This Row],[OU]]=0,0,Mecze[[#This Row],[OU]]/Mecze[[#This Row],[CZAS]])</f>
        <v>3.0303030303030304E-2</v>
      </c>
      <c r="O3733" s="32">
        <f>IF(Mecze[[#This Row],[PC]]=0,0,Mecze[[#This Row],[PC]]/Mecze[[#This Row],[CZAS]])</f>
        <v>7.0707070707070704E-2</v>
      </c>
      <c r="P3733" s="32">
        <f>IF(Mecze[[#This Row],[SC]]=0,0,Mecze[[#This Row],[SC]]/Mecze[[#This Row],[CZAS]])</f>
        <v>0</v>
      </c>
      <c r="Q3733" s="32">
        <f>IF(Mecze[[#This Row],[OB]]=0,0,Mecze[[#This Row],[OB]]/Mecze[[#This Row],[CZAS]])</f>
        <v>0</v>
      </c>
      <c r="R3733" s="32">
        <f>IF(Mecze[[#This Row],[BR]]=0,0,Mecze[[#This Row],[BR]]/Mecze[[#This Row],[CZAS]])</f>
        <v>0</v>
      </c>
      <c r="S3733" s="44">
        <f>IF(Mecze[[#This Row],[Role]]="BR",SUMPRODUCT(Mecze[[#This Row],[/PR:90]:[/BR:90]],Brudnopis!$E$23:$J$23),0)</f>
        <v>0</v>
      </c>
      <c r="T3733" s="44">
        <f>IF(Mecze[[#This Row],[Role]]&lt;&gt;"BR",SUMPRODUCT(Mecze[[#This Row],[/PR:90]:[/BR:90]],Brudnopis!$E$24:$J$24),0)</f>
        <v>0.12626262626262627</v>
      </c>
      <c r="U3733" s="44">
        <f>IF(Mecze[[#This Row],[Role]]&lt;&gt;"BR",SUMPRODUCT(Mecze[[#This Row],[/PR:90]:[/BR:90]],Brudnopis!$E$25:$J$25),0)</f>
        <v>0.14646464646464646</v>
      </c>
      <c r="V3733" s="44">
        <f>IF(Mecze[[#This Row],[Role]]&lt;&gt;"BR",SUMPRODUCT(Mecze[[#This Row],[/PR:90]:[/BR:90]],Brudnopis!$E$26:$J$26),0)</f>
        <v>0.1111111111111111</v>
      </c>
      <c r="W3733" s="44">
        <f>IF(Mecze[[#This Row],[Role]]&lt;&gt;"BR",SUMPRODUCT(Mecze[[#This Row],[/PR:90]:[/BR:90]],Brudnopis!$E$27:$J$27),0)</f>
        <v>0.13636363636363635</v>
      </c>
      <c r="X3733" s="44">
        <f>IF(Mecze[[#This Row],[Role]]&lt;&gt;"BR",SUMPRODUCT(Mecze[[#This Row],[/PR:90]:[/BR:90]],Brudnopis!$E$28:$J$28),0)</f>
        <v>7.0707070707070704E-2</v>
      </c>
      <c r="Y3733" s="35">
        <f>IF(Mecze[[#This Row],[Role]]="BR",Mecze[[#This Row],[/OB:90]]+Mecze[[#This Row],[/PC:90]],SUM(Mecze[[#This Row],[/PR:90]:[/BR:90]]))</f>
        <v>0.1111111111111111</v>
      </c>
      <c r="Z3733" s="35">
        <f>IF(Mecze[[#This Row],[KC]]=0,SUM(Mecze[[#This Row],[/BRI]:[/NPI]]),SUM(Mecze[[#This Row],[/BRI]:[/NPI]])*0.6)</f>
        <v>0.59090909090909083</v>
      </c>
      <c r="AA3733" s="10">
        <f>IFERROR(Mecze[[#This Row],[BR]]/Mecze[[#This Row],[ST]],0)</f>
        <v>0</v>
      </c>
      <c r="AB3733">
        <f>ROUND(Mecze[[#This Row],[PD]]*Mecze[[#This Row],[%PC]],0)</f>
        <v>7</v>
      </c>
      <c r="AC3733">
        <f>ROUND(Mecze[[#This Row],[OD]]*Mecze[[#This Row],[%OU]],0)</f>
        <v>3</v>
      </c>
      <c r="AD3733" s="36" t="s">
        <v>41</v>
      </c>
      <c r="AE3733" s="36">
        <v>214</v>
      </c>
      <c r="AF3733" s="71">
        <v>4.2300000000000004</v>
      </c>
      <c r="AG3733" s="37">
        <v>1</v>
      </c>
      <c r="AH3733" s="37">
        <v>0</v>
      </c>
      <c r="AI3733" s="37">
        <v>99</v>
      </c>
      <c r="AJ3733" s="37">
        <v>1</v>
      </c>
      <c r="AK3733" s="37" t="str">
        <f>VLOOKUP(Mecze[[#This Row],[Match ID]],Meczusie[Mecz]:Meczusie[RodzajMeczu],2,FALSE)</f>
        <v>Towarzyski</v>
      </c>
    </row>
    <row r="3734" spans="1:37" x14ac:dyDescent="0.25">
      <c r="A3734" s="76">
        <v>13</v>
      </c>
      <c r="B3734" s="3" t="s">
        <v>162</v>
      </c>
      <c r="C3734" s="2" t="s">
        <v>160</v>
      </c>
      <c r="D3734" s="1">
        <v>0</v>
      </c>
      <c r="E3734" s="1">
        <v>1</v>
      </c>
      <c r="F3734" s="1">
        <v>1</v>
      </c>
      <c r="G3734" s="1">
        <v>17</v>
      </c>
      <c r="H3734" s="4">
        <v>0.82</v>
      </c>
      <c r="I3734" s="1">
        <v>9</v>
      </c>
      <c r="J3734" s="4">
        <v>0.56000000000000005</v>
      </c>
      <c r="K3734" s="1">
        <v>0</v>
      </c>
      <c r="L3734" s="1">
        <v>5</v>
      </c>
      <c r="M3734" s="32">
        <f>IF(Mecze[[#This Row],[PR]]=0,0,Mecze[[#This Row],[PR]]/Mecze[[#This Row],[CZAS]])</f>
        <v>5.0505050505050504E-2</v>
      </c>
      <c r="N3734" s="32">
        <f>IF(Mecze[[#This Row],[OU]]=0,0,Mecze[[#This Row],[OU]]/Mecze[[#This Row],[CZAS]])</f>
        <v>5.0505050505050504E-2</v>
      </c>
      <c r="O3734" s="32">
        <f>IF(Mecze[[#This Row],[PC]]=0,0,Mecze[[#This Row],[PC]]/Mecze[[#This Row],[CZAS]])</f>
        <v>0.14141414141414141</v>
      </c>
      <c r="P3734" s="32">
        <f>IF(Mecze[[#This Row],[SC]]=0,0,Mecze[[#This Row],[SC]]/Mecze[[#This Row],[CZAS]])</f>
        <v>1.0101010101010102E-2</v>
      </c>
      <c r="Q3734" s="32">
        <f>IF(Mecze[[#This Row],[OB]]=0,0,Mecze[[#This Row],[OB]]/Mecze[[#This Row],[CZAS]])</f>
        <v>0</v>
      </c>
      <c r="R3734" s="32">
        <f>IF(Mecze[[#This Row],[BR]]=0,0,Mecze[[#This Row],[BR]]/Mecze[[#This Row],[CZAS]])</f>
        <v>0</v>
      </c>
      <c r="S3734" s="44">
        <f>IF(Mecze[[#This Row],[Role]]="BR",SUMPRODUCT(Mecze[[#This Row],[/PR:90]:[/BR:90]],Brudnopis!$E$23:$J$23),0)</f>
        <v>0</v>
      </c>
      <c r="T3734" s="44">
        <f>IF(Mecze[[#This Row],[Role]]&lt;&gt;"BR",SUMPRODUCT(Mecze[[#This Row],[/PR:90]:[/BR:90]],Brudnopis!$E$24:$J$24),0)</f>
        <v>0.27777777777777779</v>
      </c>
      <c r="U3734" s="44">
        <f>IF(Mecze[[#This Row],[Role]]&lt;&gt;"BR",SUMPRODUCT(Mecze[[#This Row],[/PR:90]:[/BR:90]],Brudnopis!$E$25:$J$25),0)</f>
        <v>0.3232323232323232</v>
      </c>
      <c r="V3734" s="44">
        <f>IF(Mecze[[#This Row],[Role]]&lt;&gt;"BR",SUMPRODUCT(Mecze[[#This Row],[/PR:90]:[/BR:90]],Brudnopis!$E$26:$J$26),0)</f>
        <v>0.25252525252525254</v>
      </c>
      <c r="W3734" s="44">
        <f>IF(Mecze[[#This Row],[Role]]&lt;&gt;"BR",SUMPRODUCT(Mecze[[#This Row],[/PR:90]:[/BR:90]],Brudnopis!$E$27:$J$27),0)</f>
        <v>0.29797979797979796</v>
      </c>
      <c r="X3734" s="44">
        <f>IF(Mecze[[#This Row],[Role]]&lt;&gt;"BR",SUMPRODUCT(Mecze[[#This Row],[/PR:90]:[/BR:90]],Brudnopis!$E$28:$J$28),0)</f>
        <v>0.1616161616161616</v>
      </c>
      <c r="Y3734" s="35">
        <f>IF(Mecze[[#This Row],[Role]]="BR",Mecze[[#This Row],[/OB:90]]+Mecze[[#This Row],[/PC:90]],SUM(Mecze[[#This Row],[/PR:90]:[/BR:90]]))</f>
        <v>0.25252525252525254</v>
      </c>
      <c r="Z3734" s="35">
        <f>IF(Mecze[[#This Row],[KC]]=0,SUM(Mecze[[#This Row],[/BRI]:[/NPI]]),SUM(Mecze[[#This Row],[/BRI]:[/NPI]])*0.6)</f>
        <v>1.3131313131313131</v>
      </c>
      <c r="AA3734" s="10">
        <f>IFERROR(Mecze[[#This Row],[BR]]/Mecze[[#This Row],[ST]],0)</f>
        <v>0</v>
      </c>
      <c r="AB3734">
        <f>ROUND(Mecze[[#This Row],[PD]]*Mecze[[#This Row],[%PC]],0)</f>
        <v>14</v>
      </c>
      <c r="AC3734">
        <f>ROUND(Mecze[[#This Row],[OD]]*Mecze[[#This Row],[%OU]],0)</f>
        <v>5</v>
      </c>
      <c r="AD3734" s="36" t="s">
        <v>67</v>
      </c>
      <c r="AE3734" s="36">
        <v>214</v>
      </c>
      <c r="AF3734" s="71">
        <v>6.21</v>
      </c>
      <c r="AG3734" s="37">
        <v>1</v>
      </c>
      <c r="AH3734" s="37">
        <v>0</v>
      </c>
      <c r="AI3734" s="37">
        <v>99</v>
      </c>
      <c r="AJ3734" s="37">
        <v>1</v>
      </c>
      <c r="AK3734" s="37" t="str">
        <f>VLOOKUP(Mecze[[#This Row],[Match ID]],Meczusie[Mecz]:Meczusie[RodzajMeczu],2,FALSE)</f>
        <v>Towarzyski</v>
      </c>
    </row>
    <row r="3735" spans="1:37" x14ac:dyDescent="0.25">
      <c r="A3735" s="76">
        <v>15</v>
      </c>
      <c r="B3735" s="3" t="s">
        <v>170</v>
      </c>
      <c r="C3735" s="2" t="s">
        <v>160</v>
      </c>
      <c r="D3735" s="1">
        <v>0</v>
      </c>
      <c r="E3735" s="1">
        <v>0</v>
      </c>
      <c r="F3735" s="1">
        <v>0</v>
      </c>
      <c r="G3735" s="1">
        <v>18</v>
      </c>
      <c r="H3735" s="4">
        <v>0.67</v>
      </c>
      <c r="I3735" s="1">
        <v>4</v>
      </c>
      <c r="J3735" s="4">
        <v>0.5</v>
      </c>
      <c r="K3735" s="1">
        <v>0</v>
      </c>
      <c r="L3735" s="1">
        <v>11</v>
      </c>
      <c r="M3735" s="32">
        <f>IF(Mecze[[#This Row],[PR]]=0,0,Mecze[[#This Row],[PR]]/Mecze[[#This Row],[CZAS]])</f>
        <v>0.1111111111111111</v>
      </c>
      <c r="N3735" s="32">
        <f>IF(Mecze[[#This Row],[OU]]=0,0,Mecze[[#This Row],[OU]]/Mecze[[#This Row],[CZAS]])</f>
        <v>2.0202020202020204E-2</v>
      </c>
      <c r="O3735" s="32">
        <f>IF(Mecze[[#This Row],[PC]]=0,0,Mecze[[#This Row],[PC]]/Mecze[[#This Row],[CZAS]])</f>
        <v>0.12121212121212122</v>
      </c>
      <c r="P3735" s="32">
        <f>IF(Mecze[[#This Row],[SC]]=0,0,Mecze[[#This Row],[SC]]/Mecze[[#This Row],[CZAS]])</f>
        <v>0</v>
      </c>
      <c r="Q3735" s="32">
        <f>IF(Mecze[[#This Row],[OB]]=0,0,Mecze[[#This Row],[OB]]/Mecze[[#This Row],[CZAS]])</f>
        <v>0</v>
      </c>
      <c r="R3735" s="32">
        <f>IF(Mecze[[#This Row],[BR]]=0,0,Mecze[[#This Row],[BR]]/Mecze[[#This Row],[CZAS]])</f>
        <v>0</v>
      </c>
      <c r="S3735" s="44">
        <f>IF(Mecze[[#This Row],[Role]]="BR",SUMPRODUCT(Mecze[[#This Row],[/PR:90]:[/BR:90]],Brudnopis!$E$23:$J$23),0)</f>
        <v>0</v>
      </c>
      <c r="T3735" s="44">
        <f>IF(Mecze[[#This Row],[Role]]&lt;&gt;"BR",SUMPRODUCT(Mecze[[#This Row],[/PR:90]:[/BR:90]],Brudnopis!$E$24:$J$24),0)</f>
        <v>0.26262626262626265</v>
      </c>
      <c r="U3735" s="44">
        <f>IF(Mecze[[#This Row],[Role]]&lt;&gt;"BR",SUMPRODUCT(Mecze[[#This Row],[/PR:90]:[/BR:90]],Brudnopis!$E$25:$J$25),0)</f>
        <v>0.31313131313131315</v>
      </c>
      <c r="V3735" s="44">
        <f>IF(Mecze[[#This Row],[Role]]&lt;&gt;"BR",SUMPRODUCT(Mecze[[#This Row],[/PR:90]:[/BR:90]],Brudnopis!$E$26:$J$26),0)</f>
        <v>0.25252525252525249</v>
      </c>
      <c r="W3735" s="44">
        <f>IF(Mecze[[#This Row],[Role]]&lt;&gt;"BR",SUMPRODUCT(Mecze[[#This Row],[/PR:90]:[/BR:90]],Brudnopis!$E$27:$J$27),0)</f>
        <v>0.28030303030303028</v>
      </c>
      <c r="X3735" s="44">
        <f>IF(Mecze[[#This Row],[Role]]&lt;&gt;"BR",SUMPRODUCT(Mecze[[#This Row],[/PR:90]:[/BR:90]],Brudnopis!$E$28:$J$28),0)</f>
        <v>0.12121212121212122</v>
      </c>
      <c r="Y3735" s="35">
        <f>IF(Mecze[[#This Row],[Role]]="BR",Mecze[[#This Row],[/OB:90]]+Mecze[[#This Row],[/PC:90]],SUM(Mecze[[#This Row],[/PR:90]:[/BR:90]]))</f>
        <v>0.25252525252525249</v>
      </c>
      <c r="Z3735" s="35">
        <f>IF(Mecze[[#This Row],[KC]]=0,SUM(Mecze[[#This Row],[/BRI]:[/NPI]]),SUM(Mecze[[#This Row],[/BRI]:[/NPI]])*0.6)</f>
        <v>1.2297979797979797</v>
      </c>
      <c r="AA3735" s="10">
        <f>IFERROR(Mecze[[#This Row],[BR]]/Mecze[[#This Row],[ST]],0)</f>
        <v>0</v>
      </c>
      <c r="AB3735">
        <f>ROUND(Mecze[[#This Row],[PD]]*Mecze[[#This Row],[%PC]],0)</f>
        <v>12</v>
      </c>
      <c r="AC3735">
        <f>ROUND(Mecze[[#This Row],[OD]]*Mecze[[#This Row],[%OU]],0)</f>
        <v>2</v>
      </c>
      <c r="AD3735" s="36" t="s">
        <v>67</v>
      </c>
      <c r="AE3735" s="36">
        <v>214</v>
      </c>
      <c r="AF3735" s="71">
        <v>7.44</v>
      </c>
      <c r="AG3735" s="37">
        <v>0</v>
      </c>
      <c r="AH3735" s="37">
        <v>0</v>
      </c>
      <c r="AI3735" s="37">
        <v>99</v>
      </c>
      <c r="AJ3735" s="37">
        <v>1</v>
      </c>
      <c r="AK3735" s="37" t="str">
        <f>VLOOKUP(Mecze[[#This Row],[Match ID]],Meczusie[Mecz]:Meczusie[RodzajMeczu],2,FALSE)</f>
        <v>Towarzyski</v>
      </c>
    </row>
    <row r="3736" spans="1:37" x14ac:dyDescent="0.25">
      <c r="A3736" s="76">
        <v>14</v>
      </c>
      <c r="B3736" s="3" t="s">
        <v>164</v>
      </c>
      <c r="C3736" s="2" t="s">
        <v>160</v>
      </c>
      <c r="D3736" s="1">
        <v>0</v>
      </c>
      <c r="E3736" s="1">
        <v>1</v>
      </c>
      <c r="F3736" s="1">
        <v>0</v>
      </c>
      <c r="G3736" s="1">
        <v>13</v>
      </c>
      <c r="H3736" s="4">
        <v>0.54</v>
      </c>
      <c r="I3736" s="1">
        <v>15</v>
      </c>
      <c r="J3736" s="4">
        <v>0.6</v>
      </c>
      <c r="K3736" s="1">
        <v>0</v>
      </c>
      <c r="L3736" s="1">
        <v>3</v>
      </c>
      <c r="M3736" s="32">
        <f>IF(Mecze[[#This Row],[PR]]=0,0,Mecze[[#This Row],[PR]]/Mecze[[#This Row],[CZAS]])</f>
        <v>3.0303030303030304E-2</v>
      </c>
      <c r="N3736" s="32">
        <f>IF(Mecze[[#This Row],[OU]]=0,0,Mecze[[#This Row],[OU]]/Mecze[[#This Row],[CZAS]])</f>
        <v>9.0909090909090912E-2</v>
      </c>
      <c r="O3736" s="32">
        <f>IF(Mecze[[#This Row],[PC]]=0,0,Mecze[[#This Row],[PC]]/Mecze[[#This Row],[CZAS]])</f>
        <v>7.0707070707070704E-2</v>
      </c>
      <c r="P3736" s="32">
        <f>IF(Mecze[[#This Row],[SC]]=0,0,Mecze[[#This Row],[SC]]/Mecze[[#This Row],[CZAS]])</f>
        <v>0</v>
      </c>
      <c r="Q3736" s="32">
        <f>IF(Mecze[[#This Row],[OB]]=0,0,Mecze[[#This Row],[OB]]/Mecze[[#This Row],[CZAS]])</f>
        <v>0</v>
      </c>
      <c r="R3736" s="32">
        <f>IF(Mecze[[#This Row],[BR]]=0,0,Mecze[[#This Row],[BR]]/Mecze[[#This Row],[CZAS]])</f>
        <v>0</v>
      </c>
      <c r="S3736" s="44">
        <f>IF(Mecze[[#This Row],[Role]]="BR",SUMPRODUCT(Mecze[[#This Row],[/PR:90]:[/BR:90]],Brudnopis!$E$23:$J$23),0)</f>
        <v>0</v>
      </c>
      <c r="T3736" s="44">
        <f>IF(Mecze[[#This Row],[Role]]&lt;&gt;"BR",SUMPRODUCT(Mecze[[#This Row],[/PR:90]:[/BR:90]],Brudnopis!$E$24:$J$24),0)</f>
        <v>0.23737373737373735</v>
      </c>
      <c r="U3736" s="44">
        <f>IF(Mecze[[#This Row],[Role]]&lt;&gt;"BR",SUMPRODUCT(Mecze[[#This Row],[/PR:90]:[/BR:90]],Brudnopis!$E$25:$J$25),0)</f>
        <v>0.22727272727272727</v>
      </c>
      <c r="V3736" s="44">
        <f>IF(Mecze[[#This Row],[Role]]&lt;&gt;"BR",SUMPRODUCT(Mecze[[#This Row],[/PR:90]:[/BR:90]],Brudnopis!$E$26:$J$26),0)</f>
        <v>0.19191919191919193</v>
      </c>
      <c r="W3736" s="44">
        <f>IF(Mecze[[#This Row],[Role]]&lt;&gt;"BR",SUMPRODUCT(Mecze[[#This Row],[/PR:90]:[/BR:90]],Brudnopis!$E$27:$J$27),0)</f>
        <v>0.19696969696969696</v>
      </c>
      <c r="X3736" s="44">
        <f>IF(Mecze[[#This Row],[Role]]&lt;&gt;"BR",SUMPRODUCT(Mecze[[#This Row],[/PR:90]:[/BR:90]],Brudnopis!$E$28:$J$28),0)</f>
        <v>7.0707070707070704E-2</v>
      </c>
      <c r="Y3736" s="35">
        <f>IF(Mecze[[#This Row],[Role]]="BR",Mecze[[#This Row],[/OB:90]]+Mecze[[#This Row],[/PC:90]],SUM(Mecze[[#This Row],[/PR:90]:[/BR:90]]))</f>
        <v>0.19191919191919193</v>
      </c>
      <c r="Z3736" s="35">
        <f>IF(Mecze[[#This Row],[KC]]=0,SUM(Mecze[[#This Row],[/BRI]:[/NPI]]),SUM(Mecze[[#This Row],[/BRI]:[/NPI]])*0.6)</f>
        <v>0.92424242424242431</v>
      </c>
      <c r="AA3736" s="10">
        <f>IFERROR(Mecze[[#This Row],[BR]]/Mecze[[#This Row],[ST]],0)</f>
        <v>0</v>
      </c>
      <c r="AB3736">
        <f>ROUND(Mecze[[#This Row],[PD]]*Mecze[[#This Row],[%PC]],0)</f>
        <v>7</v>
      </c>
      <c r="AC3736">
        <f>ROUND(Mecze[[#This Row],[OD]]*Mecze[[#This Row],[%OU]],0)</f>
        <v>9</v>
      </c>
      <c r="AD3736" s="36" t="s">
        <v>44</v>
      </c>
      <c r="AE3736" s="36">
        <v>214</v>
      </c>
      <c r="AF3736" s="71">
        <v>4.6500000000000004</v>
      </c>
      <c r="AG3736" s="37">
        <v>1</v>
      </c>
      <c r="AH3736" s="37">
        <v>0</v>
      </c>
      <c r="AI3736" s="37">
        <v>99</v>
      </c>
      <c r="AJ3736" s="37">
        <v>1</v>
      </c>
      <c r="AK3736" s="37" t="str">
        <f>VLOOKUP(Mecze[[#This Row],[Match ID]],Meczusie[Mecz]:Meczusie[RodzajMeczu],2,FALSE)</f>
        <v>Towarzyski</v>
      </c>
    </row>
    <row r="3737" spans="1:37" x14ac:dyDescent="0.25">
      <c r="A3737" s="76">
        <v>19</v>
      </c>
      <c r="B3737" s="3" t="s">
        <v>166</v>
      </c>
      <c r="C3737" s="2" t="s">
        <v>165</v>
      </c>
      <c r="D3737" s="1">
        <v>1</v>
      </c>
      <c r="E3737" s="1">
        <v>12</v>
      </c>
      <c r="F3737" s="1">
        <v>9</v>
      </c>
      <c r="G3737" s="1">
        <v>4</v>
      </c>
      <c r="H3737" s="4">
        <v>0.5</v>
      </c>
      <c r="I3737" s="1">
        <v>6</v>
      </c>
      <c r="J3737" s="4">
        <v>0.33</v>
      </c>
      <c r="K3737" s="1">
        <v>0</v>
      </c>
      <c r="L3737" s="1">
        <v>0</v>
      </c>
      <c r="M3737" s="32">
        <f>IF(Mecze[[#This Row],[PR]]=0,0,Mecze[[#This Row],[PR]]/Mecze[[#This Row],[CZAS]])</f>
        <v>0</v>
      </c>
      <c r="N3737" s="32">
        <f>IF(Mecze[[#This Row],[OU]]=0,0,Mecze[[#This Row],[OU]]/Mecze[[#This Row],[CZAS]])</f>
        <v>2.0202020202020204E-2</v>
      </c>
      <c r="O3737" s="32">
        <f>IF(Mecze[[#This Row],[PC]]=0,0,Mecze[[#This Row],[PC]]/Mecze[[#This Row],[CZAS]])</f>
        <v>2.0202020202020204E-2</v>
      </c>
      <c r="P3737" s="32">
        <f>IF(Mecze[[#This Row],[SC]]=0,0,Mecze[[#This Row],[SC]]/Mecze[[#This Row],[CZAS]])</f>
        <v>9.0909090909090912E-2</v>
      </c>
      <c r="Q3737" s="32">
        <f>IF(Mecze[[#This Row],[OB]]=0,0,Mecze[[#This Row],[OB]]/Mecze[[#This Row],[CZAS]])</f>
        <v>0</v>
      </c>
      <c r="R3737" s="32">
        <f>IF(Mecze[[#This Row],[BR]]=0,0,Mecze[[#This Row],[BR]]/Mecze[[#This Row],[CZAS]])</f>
        <v>1.0101010101010102E-2</v>
      </c>
      <c r="S3737" s="44">
        <f>IF(Mecze[[#This Row],[Role]]="BR",SUMPRODUCT(Mecze[[#This Row],[/PR:90]:[/BR:90]],Brudnopis!$E$23:$J$23),0)</f>
        <v>0</v>
      </c>
      <c r="T3737" s="44">
        <f>IF(Mecze[[#This Row],[Role]]&lt;&gt;"BR",SUMPRODUCT(Mecze[[#This Row],[/PR:90]:[/BR:90]],Brudnopis!$E$24:$J$24),0)</f>
        <v>0.15656565656565657</v>
      </c>
      <c r="U3737" s="44">
        <f>IF(Mecze[[#This Row],[Role]]&lt;&gt;"BR",SUMPRODUCT(Mecze[[#This Row],[/PR:90]:[/BR:90]],Brudnopis!$E$25:$J$25),0)</f>
        <v>0.15656565656565657</v>
      </c>
      <c r="V3737" s="44">
        <f>IF(Mecze[[#This Row],[Role]]&lt;&gt;"BR",SUMPRODUCT(Mecze[[#This Row],[/PR:90]:[/BR:90]],Brudnopis!$E$26:$J$26),0)</f>
        <v>0.15151515151515152</v>
      </c>
      <c r="W3737" s="44">
        <f>IF(Mecze[[#This Row],[Role]]&lt;&gt;"BR",SUMPRODUCT(Mecze[[#This Row],[/PR:90]:[/BR:90]],Brudnopis!$E$27:$J$27),0)</f>
        <v>0.15656565656565655</v>
      </c>
      <c r="X3737" s="44">
        <f>IF(Mecze[[#This Row],[Role]]&lt;&gt;"BR",SUMPRODUCT(Mecze[[#This Row],[/PR:90]:[/BR:90]],Brudnopis!$E$28:$J$28),0)</f>
        <v>0.23232323232323232</v>
      </c>
      <c r="Y3737" s="35">
        <f>IF(Mecze[[#This Row],[Role]]="BR",Mecze[[#This Row],[/OB:90]]+Mecze[[#This Row],[/PC:90]],SUM(Mecze[[#This Row],[/PR:90]:[/BR:90]]))</f>
        <v>0.14141414141414144</v>
      </c>
      <c r="Z3737" s="35">
        <f>IF(Mecze[[#This Row],[KC]]=0,SUM(Mecze[[#This Row],[/BRI]:[/NPI]]),SUM(Mecze[[#This Row],[/BRI]:[/NPI]])*0.6)</f>
        <v>0.85353535353535359</v>
      </c>
      <c r="AA3737" s="10">
        <f>IFERROR(Mecze[[#This Row],[BR]]/Mecze[[#This Row],[ST]],0)</f>
        <v>8.3333333333333329E-2</v>
      </c>
      <c r="AB3737">
        <f>ROUND(Mecze[[#This Row],[PD]]*Mecze[[#This Row],[%PC]],0)</f>
        <v>2</v>
      </c>
      <c r="AC3737">
        <f>ROUND(Mecze[[#This Row],[OD]]*Mecze[[#This Row],[%OU]],0)</f>
        <v>2</v>
      </c>
      <c r="AD3737" s="36" t="s">
        <v>273</v>
      </c>
      <c r="AE3737" s="36">
        <v>214</v>
      </c>
      <c r="AF3737" s="71">
        <v>8.2100000000000009</v>
      </c>
      <c r="AG3737" s="37">
        <v>0</v>
      </c>
      <c r="AH3737" s="37">
        <v>0</v>
      </c>
      <c r="AI3737" s="37">
        <v>99</v>
      </c>
      <c r="AJ3737" s="37">
        <v>1</v>
      </c>
      <c r="AK3737" s="37" t="str">
        <f>VLOOKUP(Mecze[[#This Row],[Match ID]],Meczusie[Mecz]:Meczusie[RodzajMeczu],2,FALSE)</f>
        <v>Towarzyski</v>
      </c>
    </row>
    <row r="3738" spans="1:37" x14ac:dyDescent="0.25">
      <c r="A3738" s="76">
        <v>9</v>
      </c>
      <c r="B3738" s="3" t="s">
        <v>411</v>
      </c>
      <c r="C3738" s="2" t="s">
        <v>165</v>
      </c>
      <c r="D3738" s="1">
        <v>1</v>
      </c>
      <c r="E3738" s="1">
        <v>1</v>
      </c>
      <c r="F3738" s="1">
        <v>1</v>
      </c>
      <c r="G3738" s="1">
        <v>7</v>
      </c>
      <c r="H3738" s="4">
        <v>0.56999999999999995</v>
      </c>
      <c r="I3738" s="1">
        <v>4</v>
      </c>
      <c r="J3738" s="4">
        <v>0.25</v>
      </c>
      <c r="K3738" s="1">
        <v>0</v>
      </c>
      <c r="L3738" s="1">
        <v>6</v>
      </c>
      <c r="M3738" s="32">
        <f>IF(Mecze[[#This Row],[PR]]=0,0,Mecze[[#This Row],[PR]]/Mecze[[#This Row],[CZAS]])</f>
        <v>6.0606060606060608E-2</v>
      </c>
      <c r="N3738" s="32">
        <f>IF(Mecze[[#This Row],[OU]]=0,0,Mecze[[#This Row],[OU]]/Mecze[[#This Row],[CZAS]])</f>
        <v>1.0101010101010102E-2</v>
      </c>
      <c r="O3738" s="32">
        <f>IF(Mecze[[#This Row],[PC]]=0,0,Mecze[[#This Row],[PC]]/Mecze[[#This Row],[CZAS]])</f>
        <v>4.0404040404040407E-2</v>
      </c>
      <c r="P3738" s="32">
        <f>IF(Mecze[[#This Row],[SC]]=0,0,Mecze[[#This Row],[SC]]/Mecze[[#This Row],[CZAS]])</f>
        <v>1.0101010101010102E-2</v>
      </c>
      <c r="Q3738" s="32">
        <f>IF(Mecze[[#This Row],[OB]]=0,0,Mecze[[#This Row],[OB]]/Mecze[[#This Row],[CZAS]])</f>
        <v>0</v>
      </c>
      <c r="R3738" s="32">
        <f>IF(Mecze[[#This Row],[BR]]=0,0,Mecze[[#This Row],[BR]]/Mecze[[#This Row],[CZAS]])</f>
        <v>1.0101010101010102E-2</v>
      </c>
      <c r="S3738" s="44">
        <f>IF(Mecze[[#This Row],[Role]]="BR",SUMPRODUCT(Mecze[[#This Row],[/PR:90]:[/BR:90]],Brudnopis!$E$23:$J$23),0)</f>
        <v>0</v>
      </c>
      <c r="T3738" s="44">
        <f>IF(Mecze[[#This Row],[Role]]&lt;&gt;"BR",SUMPRODUCT(Mecze[[#This Row],[/PR:90]:[/BR:90]],Brudnopis!$E$24:$J$24),0)</f>
        <v>0.14141414141414144</v>
      </c>
      <c r="U3738" s="44">
        <f>IF(Mecze[[#This Row],[Role]]&lt;&gt;"BR",SUMPRODUCT(Mecze[[#This Row],[/PR:90]:[/BR:90]],Brudnopis!$E$25:$J$25),0)</f>
        <v>0.15656565656565657</v>
      </c>
      <c r="V3738" s="44">
        <f>IF(Mecze[[#This Row],[Role]]&lt;&gt;"BR",SUMPRODUCT(Mecze[[#This Row],[/PR:90]:[/BR:90]],Brudnopis!$E$26:$J$26),0)</f>
        <v>0.14141414141414141</v>
      </c>
      <c r="W3738" s="44">
        <f>IF(Mecze[[#This Row],[Role]]&lt;&gt;"BR",SUMPRODUCT(Mecze[[#This Row],[/PR:90]:[/BR:90]],Brudnopis!$E$27:$J$27),0)</f>
        <v>0.14393939393939395</v>
      </c>
      <c r="X3738" s="44">
        <f>IF(Mecze[[#This Row],[Role]]&lt;&gt;"BR",SUMPRODUCT(Mecze[[#This Row],[/PR:90]:[/BR:90]],Brudnopis!$E$28:$J$28),0)</f>
        <v>9.0909090909090912E-2</v>
      </c>
      <c r="Y3738" s="35">
        <f>IF(Mecze[[#This Row],[Role]]="BR",Mecze[[#This Row],[/OB:90]]+Mecze[[#This Row],[/PC:90]],SUM(Mecze[[#This Row],[/PR:90]:[/BR:90]]))</f>
        <v>0.1313131313131313</v>
      </c>
      <c r="Z3738" s="35">
        <f>IF(Mecze[[#This Row],[KC]]=0,SUM(Mecze[[#This Row],[/BRI]:[/NPI]]),SUM(Mecze[[#This Row],[/BRI]:[/NPI]])*0.6)</f>
        <v>0.67424242424242431</v>
      </c>
      <c r="AA3738" s="10">
        <f>IFERROR(Mecze[[#This Row],[BR]]/Mecze[[#This Row],[ST]],0)</f>
        <v>1</v>
      </c>
      <c r="AB3738">
        <f>ROUND(Mecze[[#This Row],[PD]]*Mecze[[#This Row],[%PC]],0)</f>
        <v>4</v>
      </c>
      <c r="AC3738">
        <f>ROUND(Mecze[[#This Row],[OD]]*Mecze[[#This Row],[%OU]],0)</f>
        <v>1</v>
      </c>
      <c r="AD3738" s="36" t="s">
        <v>272</v>
      </c>
      <c r="AE3738" s="36">
        <v>214</v>
      </c>
      <c r="AF3738" s="71">
        <v>7.78</v>
      </c>
      <c r="AG3738" s="37">
        <v>0</v>
      </c>
      <c r="AH3738" s="37">
        <v>0</v>
      </c>
      <c r="AI3738" s="37">
        <v>99</v>
      </c>
      <c r="AJ3738" s="37">
        <v>1</v>
      </c>
      <c r="AK3738" s="37" t="str">
        <f>VLOOKUP(Mecze[[#This Row],[Match ID]],Meczusie[Mecz]:Meczusie[RodzajMeczu],2,FALSE)</f>
        <v>Towarzyski</v>
      </c>
    </row>
    <row r="3739" spans="1:37" x14ac:dyDescent="0.25">
      <c r="A3739" s="76">
        <v>1</v>
      </c>
      <c r="B3739" s="3" t="s">
        <v>169</v>
      </c>
      <c r="C3739" s="2" t="s">
        <v>155</v>
      </c>
      <c r="D3739" s="1">
        <v>0</v>
      </c>
      <c r="E3739" s="1">
        <v>0</v>
      </c>
      <c r="F3739" s="1">
        <v>0</v>
      </c>
      <c r="G3739" s="1">
        <v>7</v>
      </c>
      <c r="H3739" s="4">
        <v>0.71</v>
      </c>
      <c r="I3739" s="1">
        <v>0</v>
      </c>
      <c r="J3739" s="4"/>
      <c r="K3739" s="1">
        <v>6</v>
      </c>
      <c r="L3739" s="1">
        <v>0</v>
      </c>
      <c r="M3739" s="32">
        <f>IF(Mecze[[#This Row],[PR]]=0,0,Mecze[[#This Row],[PR]]/Mecze[[#This Row],[CZAS]])</f>
        <v>0</v>
      </c>
      <c r="N3739" s="32">
        <f>IF(Mecze[[#This Row],[OU]]=0,0,Mecze[[#This Row],[OU]]/Mecze[[#This Row],[CZAS]])</f>
        <v>0</v>
      </c>
      <c r="O3739" s="32">
        <f>IF(Mecze[[#This Row],[PC]]=0,0,Mecze[[#This Row],[PC]]/Mecze[[#This Row],[CZAS]])</f>
        <v>0.05</v>
      </c>
      <c r="P3739" s="32">
        <f>IF(Mecze[[#This Row],[SC]]=0,0,Mecze[[#This Row],[SC]]/Mecze[[#This Row],[CZAS]])</f>
        <v>0</v>
      </c>
      <c r="Q3739" s="32">
        <f>IF(Mecze[[#This Row],[OB]]=0,0,Mecze[[#This Row],[OB]]/Mecze[[#This Row],[CZAS]])</f>
        <v>0.06</v>
      </c>
      <c r="R3739" s="32">
        <f>IF(Mecze[[#This Row],[BR]]=0,0,Mecze[[#This Row],[BR]]/Mecze[[#This Row],[CZAS]])</f>
        <v>0</v>
      </c>
      <c r="S3739" s="44">
        <f>IF(Mecze[[#This Row],[Role]]="BR",SUMPRODUCT(Mecze[[#This Row],[/PR:90]:[/BR:90]],Brudnopis!$E$23:$J$23),0)</f>
        <v>0.33</v>
      </c>
      <c r="T3739" s="44">
        <f>IF(Mecze[[#This Row],[Role]]&lt;&gt;"BR",SUMPRODUCT(Mecze[[#This Row],[/PR:90]:[/BR:90]],Brudnopis!$E$24:$J$24),0)</f>
        <v>0</v>
      </c>
      <c r="U3739" s="44">
        <f>IF(Mecze[[#This Row],[Role]]&lt;&gt;"BR",SUMPRODUCT(Mecze[[#This Row],[/PR:90]:[/BR:90]],Brudnopis!$E$25:$J$25),0)</f>
        <v>0</v>
      </c>
      <c r="V3739" s="44">
        <f>IF(Mecze[[#This Row],[Role]]&lt;&gt;"BR",SUMPRODUCT(Mecze[[#This Row],[/PR:90]:[/BR:90]],Brudnopis!$E$26:$J$26),0)</f>
        <v>0</v>
      </c>
      <c r="W3739" s="44">
        <f>IF(Mecze[[#This Row],[Role]]&lt;&gt;"BR",SUMPRODUCT(Mecze[[#This Row],[/PR:90]:[/BR:90]],Brudnopis!$E$27:$J$27),0)</f>
        <v>0</v>
      </c>
      <c r="X3739" s="44">
        <f>IF(Mecze[[#This Row],[Role]]&lt;&gt;"BR",SUMPRODUCT(Mecze[[#This Row],[/PR:90]:[/BR:90]],Brudnopis!$E$28:$J$28),0)</f>
        <v>0</v>
      </c>
      <c r="Y3739" s="35">
        <f>IF(Mecze[[#This Row],[Role]]="BR",Mecze[[#This Row],[/OB:90]]+Mecze[[#This Row],[/PC:90]],SUM(Mecze[[#This Row],[/PR:90]:[/BR:90]]))</f>
        <v>0.11</v>
      </c>
      <c r="Z3739" s="35">
        <f>IF(Mecze[[#This Row],[KC]]=0,SUM(Mecze[[#This Row],[/BRI]:[/NPI]]),SUM(Mecze[[#This Row],[/BRI]:[/NPI]])*0.6)</f>
        <v>0.33</v>
      </c>
      <c r="AA3739" s="10">
        <f>IFERROR(Mecze[[#This Row],[BR]]/Mecze[[#This Row],[ST]],0)</f>
        <v>0</v>
      </c>
      <c r="AB3739">
        <f>ROUND(Mecze[[#This Row],[PD]]*Mecze[[#This Row],[%PC]],0)</f>
        <v>5</v>
      </c>
      <c r="AC3739">
        <f>ROUND(Mecze[[#This Row],[OD]]*Mecze[[#This Row],[%OU]],0)</f>
        <v>0</v>
      </c>
      <c r="AD3739" s="36" t="s">
        <v>40</v>
      </c>
      <c r="AE3739" s="36">
        <v>215</v>
      </c>
      <c r="AF3739" s="71">
        <v>10.36</v>
      </c>
      <c r="AG3739" s="37">
        <v>0</v>
      </c>
      <c r="AH3739" s="37">
        <v>0</v>
      </c>
      <c r="AI3739" s="37">
        <v>100</v>
      </c>
      <c r="AJ3739" s="37">
        <v>1</v>
      </c>
      <c r="AK3739" s="37" t="str">
        <f>VLOOKUP(Mecze[[#This Row],[Match ID]],Meczusie[Mecz]:Meczusie[RodzajMeczu],2,FALSE)</f>
        <v>Towarzyski</v>
      </c>
    </row>
    <row r="3740" spans="1:37" x14ac:dyDescent="0.25">
      <c r="A3740" s="76">
        <v>3</v>
      </c>
      <c r="B3740" s="3" t="s">
        <v>158</v>
      </c>
      <c r="C3740" s="2" t="s">
        <v>157</v>
      </c>
      <c r="D3740" s="1">
        <v>0</v>
      </c>
      <c r="E3740" s="1">
        <v>0</v>
      </c>
      <c r="F3740" s="1">
        <v>0</v>
      </c>
      <c r="G3740" s="1">
        <v>10</v>
      </c>
      <c r="H3740" s="4">
        <v>0.6</v>
      </c>
      <c r="I3740" s="1">
        <v>1</v>
      </c>
      <c r="J3740" s="4">
        <v>1</v>
      </c>
      <c r="K3740" s="1">
        <v>0</v>
      </c>
      <c r="L3740" s="1">
        <v>9</v>
      </c>
      <c r="M3740" s="32">
        <f>IF(Mecze[[#This Row],[PR]]=0,0,Mecze[[#This Row],[PR]]/Mecze[[#This Row],[CZAS]])</f>
        <v>0.09</v>
      </c>
      <c r="N3740" s="32">
        <f>IF(Mecze[[#This Row],[OU]]=0,0,Mecze[[#This Row],[OU]]/Mecze[[#This Row],[CZAS]])</f>
        <v>0.01</v>
      </c>
      <c r="O3740" s="32">
        <f>IF(Mecze[[#This Row],[PC]]=0,0,Mecze[[#This Row],[PC]]/Mecze[[#This Row],[CZAS]])</f>
        <v>0.06</v>
      </c>
      <c r="P3740" s="32">
        <f>IF(Mecze[[#This Row],[SC]]=0,0,Mecze[[#This Row],[SC]]/Mecze[[#This Row],[CZAS]])</f>
        <v>0</v>
      </c>
      <c r="Q3740" s="32">
        <f>IF(Mecze[[#This Row],[OB]]=0,0,Mecze[[#This Row],[OB]]/Mecze[[#This Row],[CZAS]])</f>
        <v>0</v>
      </c>
      <c r="R3740" s="32">
        <f>IF(Mecze[[#This Row],[BR]]=0,0,Mecze[[#This Row],[BR]]/Mecze[[#This Row],[CZAS]])</f>
        <v>0</v>
      </c>
      <c r="S3740" s="44">
        <f>IF(Mecze[[#This Row],[Role]]="BR",SUMPRODUCT(Mecze[[#This Row],[/PR:90]:[/BR:90]],Brudnopis!$E$23:$J$23),0)</f>
        <v>0</v>
      </c>
      <c r="T3740" s="44">
        <f>IF(Mecze[[#This Row],[Role]]&lt;&gt;"BR",SUMPRODUCT(Mecze[[#This Row],[/PR:90]:[/BR:90]],Brudnopis!$E$24:$J$24),0)</f>
        <v>0.16499999999999998</v>
      </c>
      <c r="U3740" s="44">
        <f>IF(Mecze[[#This Row],[Role]]&lt;&gt;"BR",SUMPRODUCT(Mecze[[#This Row],[/PR:90]:[/BR:90]],Brudnopis!$E$25:$J$25),0)</f>
        <v>0.19</v>
      </c>
      <c r="V3740" s="44">
        <f>IF(Mecze[[#This Row],[Role]]&lt;&gt;"BR",SUMPRODUCT(Mecze[[#This Row],[/PR:90]:[/BR:90]],Brudnopis!$E$26:$J$26),0)</f>
        <v>0.15999999999999998</v>
      </c>
      <c r="W3740" s="44">
        <f>IF(Mecze[[#This Row],[Role]]&lt;&gt;"BR",SUMPRODUCT(Mecze[[#This Row],[/PR:90]:[/BR:90]],Brudnopis!$E$27:$J$27),0)</f>
        <v>0.16500000000000001</v>
      </c>
      <c r="X3740" s="44">
        <f>IF(Mecze[[#This Row],[Role]]&lt;&gt;"BR",SUMPRODUCT(Mecze[[#This Row],[/PR:90]:[/BR:90]],Brudnopis!$E$28:$J$28),0)</f>
        <v>0.06</v>
      </c>
      <c r="Y3740" s="35">
        <f>IF(Mecze[[#This Row],[Role]]="BR",Mecze[[#This Row],[/OB:90]]+Mecze[[#This Row],[/PC:90]],SUM(Mecze[[#This Row],[/PR:90]:[/BR:90]]))</f>
        <v>0.15999999999999998</v>
      </c>
      <c r="Z3740" s="35">
        <f>IF(Mecze[[#This Row],[KC]]=0,SUM(Mecze[[#This Row],[/BRI]:[/NPI]]),SUM(Mecze[[#This Row],[/BRI]:[/NPI]])*0.6)</f>
        <v>0.74</v>
      </c>
      <c r="AA3740" s="10">
        <f>IFERROR(Mecze[[#This Row],[BR]]/Mecze[[#This Row],[ST]],0)</f>
        <v>0</v>
      </c>
      <c r="AB3740">
        <f>ROUND(Mecze[[#This Row],[PD]]*Mecze[[#This Row],[%PC]],0)</f>
        <v>6</v>
      </c>
      <c r="AC3740">
        <f>ROUND(Mecze[[#This Row],[OD]]*Mecze[[#This Row],[%OU]],0)</f>
        <v>1</v>
      </c>
      <c r="AD3740" s="36" t="s">
        <v>168</v>
      </c>
      <c r="AE3740" s="36">
        <v>215</v>
      </c>
      <c r="AF3740" s="71">
        <v>8.93</v>
      </c>
      <c r="AG3740" s="37">
        <v>0</v>
      </c>
      <c r="AH3740" s="37">
        <v>0</v>
      </c>
      <c r="AI3740" s="37">
        <v>100</v>
      </c>
      <c r="AJ3740" s="37">
        <v>1</v>
      </c>
      <c r="AK3740" s="37" t="str">
        <f>VLOOKUP(Mecze[[#This Row],[Match ID]],Meczusie[Mecz]:Meczusie[RodzajMeczu],2,FALSE)</f>
        <v>Towarzyski</v>
      </c>
    </row>
    <row r="3741" spans="1:37" x14ac:dyDescent="0.25">
      <c r="A3741" s="76">
        <v>6</v>
      </c>
      <c r="B3741" s="3" t="s">
        <v>159</v>
      </c>
      <c r="C3741" s="2" t="s">
        <v>157</v>
      </c>
      <c r="D3741" s="1">
        <v>0</v>
      </c>
      <c r="E3741" s="1">
        <v>0</v>
      </c>
      <c r="F3741" s="1">
        <v>0</v>
      </c>
      <c r="G3741" s="1">
        <v>6</v>
      </c>
      <c r="H3741" s="4">
        <v>0.67</v>
      </c>
      <c r="I3741" s="1">
        <v>4</v>
      </c>
      <c r="J3741" s="4">
        <v>0</v>
      </c>
      <c r="K3741" s="1">
        <v>0</v>
      </c>
      <c r="L3741" s="1">
        <v>6</v>
      </c>
      <c r="M3741" s="32">
        <f>IF(Mecze[[#This Row],[PR]]=0,0,Mecze[[#This Row],[PR]]/Mecze[[#This Row],[CZAS]])</f>
        <v>0.06</v>
      </c>
      <c r="N3741" s="32">
        <f>IF(Mecze[[#This Row],[OU]]=0,0,Mecze[[#This Row],[OU]]/Mecze[[#This Row],[CZAS]])</f>
        <v>0</v>
      </c>
      <c r="O3741" s="32">
        <f>IF(Mecze[[#This Row],[PC]]=0,0,Mecze[[#This Row],[PC]]/Mecze[[#This Row],[CZAS]])</f>
        <v>0.04</v>
      </c>
      <c r="P3741" s="32">
        <f>IF(Mecze[[#This Row],[SC]]=0,0,Mecze[[#This Row],[SC]]/Mecze[[#This Row],[CZAS]])</f>
        <v>0</v>
      </c>
      <c r="Q3741" s="32">
        <f>IF(Mecze[[#This Row],[OB]]=0,0,Mecze[[#This Row],[OB]]/Mecze[[#This Row],[CZAS]])</f>
        <v>0</v>
      </c>
      <c r="R3741" s="32">
        <f>IF(Mecze[[#This Row],[BR]]=0,0,Mecze[[#This Row],[BR]]/Mecze[[#This Row],[CZAS]])</f>
        <v>0</v>
      </c>
      <c r="S3741" s="44">
        <f>IF(Mecze[[#This Row],[Role]]="BR",SUMPRODUCT(Mecze[[#This Row],[/PR:90]:[/BR:90]],Brudnopis!$E$23:$J$23),0)</f>
        <v>0</v>
      </c>
      <c r="T3741" s="44">
        <f>IF(Mecze[[#This Row],[Role]]&lt;&gt;"BR",SUMPRODUCT(Mecze[[#This Row],[/PR:90]:[/BR:90]],Brudnopis!$E$24:$J$24),0)</f>
        <v>0.1</v>
      </c>
      <c r="U3741" s="44">
        <f>IF(Mecze[[#This Row],[Role]]&lt;&gt;"BR",SUMPRODUCT(Mecze[[#This Row],[/PR:90]:[/BR:90]],Brudnopis!$E$25:$J$25),0)</f>
        <v>0.12</v>
      </c>
      <c r="V3741" s="44">
        <f>IF(Mecze[[#This Row],[Role]]&lt;&gt;"BR",SUMPRODUCT(Mecze[[#This Row],[/PR:90]:[/BR:90]],Brudnopis!$E$26:$J$26),0)</f>
        <v>0.1</v>
      </c>
      <c r="W3741" s="44">
        <f>IF(Mecze[[#This Row],[Role]]&lt;&gt;"BR",SUMPRODUCT(Mecze[[#This Row],[/PR:90]:[/BR:90]],Brudnopis!$E$27:$J$27),0)</f>
        <v>0.105</v>
      </c>
      <c r="X3741" s="44">
        <f>IF(Mecze[[#This Row],[Role]]&lt;&gt;"BR",SUMPRODUCT(Mecze[[#This Row],[/PR:90]:[/BR:90]],Brudnopis!$E$28:$J$28),0)</f>
        <v>0.04</v>
      </c>
      <c r="Y3741" s="35">
        <f>IF(Mecze[[#This Row],[Role]]="BR",Mecze[[#This Row],[/OB:90]]+Mecze[[#This Row],[/PC:90]],SUM(Mecze[[#This Row],[/PR:90]:[/BR:90]]))</f>
        <v>0.1</v>
      </c>
      <c r="Z3741" s="35">
        <f>IF(Mecze[[#This Row],[KC]]=0,SUM(Mecze[[#This Row],[/BRI]:[/NPI]]),SUM(Mecze[[#This Row],[/BRI]:[/NPI]])*0.6)</f>
        <v>0.46499999999999997</v>
      </c>
      <c r="AA3741" s="10">
        <f>IFERROR(Mecze[[#This Row],[BR]]/Mecze[[#This Row],[ST]],0)</f>
        <v>0</v>
      </c>
      <c r="AB3741">
        <f>ROUND(Mecze[[#This Row],[PD]]*Mecze[[#This Row],[%PC]],0)</f>
        <v>4</v>
      </c>
      <c r="AC3741">
        <f>ROUND(Mecze[[#This Row],[OD]]*Mecze[[#This Row],[%OU]],0)</f>
        <v>0</v>
      </c>
      <c r="AD3741" s="36" t="s">
        <v>47</v>
      </c>
      <c r="AE3741" s="36">
        <v>215</v>
      </c>
      <c r="AF3741" s="71">
        <v>8.3000000000000007</v>
      </c>
      <c r="AG3741" s="37">
        <v>0</v>
      </c>
      <c r="AH3741" s="37">
        <v>0</v>
      </c>
      <c r="AI3741" s="37">
        <v>100</v>
      </c>
      <c r="AJ3741" s="37">
        <v>1</v>
      </c>
      <c r="AK3741" s="37" t="str">
        <f>VLOOKUP(Mecze[[#This Row],[Match ID]],Meczusie[Mecz]:Meczusie[RodzajMeczu],2,FALSE)</f>
        <v>Towarzyski</v>
      </c>
    </row>
    <row r="3742" spans="1:37" x14ac:dyDescent="0.25">
      <c r="A3742" s="76">
        <v>4</v>
      </c>
      <c r="B3742" s="3" t="s">
        <v>360</v>
      </c>
      <c r="C3742" s="2" t="s">
        <v>157</v>
      </c>
      <c r="D3742" s="1">
        <v>0</v>
      </c>
      <c r="E3742" s="1">
        <v>0</v>
      </c>
      <c r="F3742" s="1">
        <v>0</v>
      </c>
      <c r="G3742" s="1">
        <v>6</v>
      </c>
      <c r="H3742" s="4">
        <v>0.67</v>
      </c>
      <c r="I3742" s="1">
        <v>1</v>
      </c>
      <c r="J3742" s="4">
        <v>0</v>
      </c>
      <c r="K3742" s="1">
        <v>0</v>
      </c>
      <c r="L3742" s="1">
        <v>7</v>
      </c>
      <c r="M3742" s="32">
        <f>IF(Mecze[[#This Row],[PR]]=0,0,Mecze[[#This Row],[PR]]/Mecze[[#This Row],[CZAS]])</f>
        <v>7.0000000000000007E-2</v>
      </c>
      <c r="N3742" s="32">
        <f>IF(Mecze[[#This Row],[OU]]=0,0,Mecze[[#This Row],[OU]]/Mecze[[#This Row],[CZAS]])</f>
        <v>0</v>
      </c>
      <c r="O3742" s="32">
        <f>IF(Mecze[[#This Row],[PC]]=0,0,Mecze[[#This Row],[PC]]/Mecze[[#This Row],[CZAS]])</f>
        <v>0.04</v>
      </c>
      <c r="P3742" s="32">
        <f>IF(Mecze[[#This Row],[SC]]=0,0,Mecze[[#This Row],[SC]]/Mecze[[#This Row],[CZAS]])</f>
        <v>0</v>
      </c>
      <c r="Q3742" s="32">
        <f>IF(Mecze[[#This Row],[OB]]=0,0,Mecze[[#This Row],[OB]]/Mecze[[#This Row],[CZAS]])</f>
        <v>0</v>
      </c>
      <c r="R3742" s="32">
        <f>IF(Mecze[[#This Row],[BR]]=0,0,Mecze[[#This Row],[BR]]/Mecze[[#This Row],[CZAS]])</f>
        <v>0</v>
      </c>
      <c r="S3742" s="44">
        <f>IF(Mecze[[#This Row],[Role]]="BR",SUMPRODUCT(Mecze[[#This Row],[/PR:90]:[/BR:90]],Brudnopis!$E$23:$J$23),0)</f>
        <v>0</v>
      </c>
      <c r="T3742" s="44">
        <f>IF(Mecze[[#This Row],[Role]]&lt;&gt;"BR",SUMPRODUCT(Mecze[[#This Row],[/PR:90]:[/BR:90]],Brudnopis!$E$24:$J$24),0)</f>
        <v>0.11000000000000001</v>
      </c>
      <c r="U3742" s="44">
        <f>IF(Mecze[[#This Row],[Role]]&lt;&gt;"BR",SUMPRODUCT(Mecze[[#This Row],[/PR:90]:[/BR:90]],Brudnopis!$E$25:$J$25),0)</f>
        <v>0.13</v>
      </c>
      <c r="V3742" s="44">
        <f>IF(Mecze[[#This Row],[Role]]&lt;&gt;"BR",SUMPRODUCT(Mecze[[#This Row],[/PR:90]:[/BR:90]],Brudnopis!$E$26:$J$26),0)</f>
        <v>0.11000000000000001</v>
      </c>
      <c r="W3742" s="44">
        <f>IF(Mecze[[#This Row],[Role]]&lt;&gt;"BR",SUMPRODUCT(Mecze[[#This Row],[/PR:90]:[/BR:90]],Brudnopis!$E$27:$J$27),0)</f>
        <v>0.1125</v>
      </c>
      <c r="X3742" s="44">
        <f>IF(Mecze[[#This Row],[Role]]&lt;&gt;"BR",SUMPRODUCT(Mecze[[#This Row],[/PR:90]:[/BR:90]],Brudnopis!$E$28:$J$28),0)</f>
        <v>0.04</v>
      </c>
      <c r="Y3742" s="35">
        <f>IF(Mecze[[#This Row],[Role]]="BR",Mecze[[#This Row],[/OB:90]]+Mecze[[#This Row],[/PC:90]],SUM(Mecze[[#This Row],[/PR:90]:[/BR:90]]))</f>
        <v>0.11000000000000001</v>
      </c>
      <c r="Z3742" s="35">
        <f>IF(Mecze[[#This Row],[KC]]=0,SUM(Mecze[[#This Row],[/BRI]:[/NPI]]),SUM(Mecze[[#This Row],[/BRI]:[/NPI]])*0.6)</f>
        <v>0.50250000000000006</v>
      </c>
      <c r="AA3742" s="10">
        <f>IFERROR(Mecze[[#This Row],[BR]]/Mecze[[#This Row],[ST]],0)</f>
        <v>0</v>
      </c>
      <c r="AB3742">
        <f>ROUND(Mecze[[#This Row],[PD]]*Mecze[[#This Row],[%PC]],0)</f>
        <v>4</v>
      </c>
      <c r="AC3742">
        <f>ROUND(Mecze[[#This Row],[OD]]*Mecze[[#This Row],[%OU]],0)</f>
        <v>0</v>
      </c>
      <c r="AD3742" s="36" t="s">
        <v>167</v>
      </c>
      <c r="AE3742" s="36">
        <v>215</v>
      </c>
      <c r="AF3742" s="71">
        <v>8.51</v>
      </c>
      <c r="AG3742" s="37">
        <v>0</v>
      </c>
      <c r="AH3742" s="37">
        <v>0</v>
      </c>
      <c r="AI3742" s="37">
        <v>100</v>
      </c>
      <c r="AJ3742" s="37">
        <v>1</v>
      </c>
      <c r="AK3742" s="37" t="str">
        <f>VLOOKUP(Mecze[[#This Row],[Match ID]],Meczusie[Mecz]:Meczusie[RodzajMeczu],2,FALSE)</f>
        <v>Towarzyski</v>
      </c>
    </row>
    <row r="3743" spans="1:37" x14ac:dyDescent="0.25">
      <c r="A3743" s="76">
        <v>5</v>
      </c>
      <c r="B3743" s="3" t="s">
        <v>161</v>
      </c>
      <c r="C3743" s="2" t="s">
        <v>160</v>
      </c>
      <c r="D3743" s="1">
        <v>0</v>
      </c>
      <c r="E3743" s="1">
        <v>0</v>
      </c>
      <c r="F3743" s="1">
        <v>0</v>
      </c>
      <c r="G3743" s="1">
        <v>8</v>
      </c>
      <c r="H3743" s="4">
        <v>0.75</v>
      </c>
      <c r="I3743" s="1">
        <v>2</v>
      </c>
      <c r="J3743" s="4">
        <v>0.5</v>
      </c>
      <c r="K3743" s="1">
        <v>0</v>
      </c>
      <c r="L3743" s="1">
        <v>3</v>
      </c>
      <c r="M3743" s="32">
        <f>IF(Mecze[[#This Row],[PR]]=0,0,Mecze[[#This Row],[PR]]/Mecze[[#This Row],[CZAS]])</f>
        <v>0.03</v>
      </c>
      <c r="N3743" s="32">
        <f>IF(Mecze[[#This Row],[OU]]=0,0,Mecze[[#This Row],[OU]]/Mecze[[#This Row],[CZAS]])</f>
        <v>0.01</v>
      </c>
      <c r="O3743" s="32">
        <f>IF(Mecze[[#This Row],[PC]]=0,0,Mecze[[#This Row],[PC]]/Mecze[[#This Row],[CZAS]])</f>
        <v>0.06</v>
      </c>
      <c r="P3743" s="32">
        <f>IF(Mecze[[#This Row],[SC]]=0,0,Mecze[[#This Row],[SC]]/Mecze[[#This Row],[CZAS]])</f>
        <v>0</v>
      </c>
      <c r="Q3743" s="32">
        <f>IF(Mecze[[#This Row],[OB]]=0,0,Mecze[[#This Row],[OB]]/Mecze[[#This Row],[CZAS]])</f>
        <v>0</v>
      </c>
      <c r="R3743" s="32">
        <f>IF(Mecze[[#This Row],[BR]]=0,0,Mecze[[#This Row],[BR]]/Mecze[[#This Row],[CZAS]])</f>
        <v>0</v>
      </c>
      <c r="S3743" s="44">
        <f>IF(Mecze[[#This Row],[Role]]="BR",SUMPRODUCT(Mecze[[#This Row],[/PR:90]:[/BR:90]],Brudnopis!$E$23:$J$23),0)</f>
        <v>0</v>
      </c>
      <c r="T3743" s="44">
        <f>IF(Mecze[[#This Row],[Role]]&lt;&gt;"BR",SUMPRODUCT(Mecze[[#This Row],[/PR:90]:[/BR:90]],Brudnopis!$E$24:$J$24),0)</f>
        <v>0.105</v>
      </c>
      <c r="U3743" s="44">
        <f>IF(Mecze[[#This Row],[Role]]&lt;&gt;"BR",SUMPRODUCT(Mecze[[#This Row],[/PR:90]:[/BR:90]],Brudnopis!$E$25:$J$25),0)</f>
        <v>0.13</v>
      </c>
      <c r="V3743" s="44">
        <f>IF(Mecze[[#This Row],[Role]]&lt;&gt;"BR",SUMPRODUCT(Mecze[[#This Row],[/PR:90]:[/BR:90]],Brudnopis!$E$26:$J$26),0)</f>
        <v>0.1</v>
      </c>
      <c r="W3743" s="44">
        <f>IF(Mecze[[#This Row],[Role]]&lt;&gt;"BR",SUMPRODUCT(Mecze[[#This Row],[/PR:90]:[/BR:90]],Brudnopis!$E$27:$J$27),0)</f>
        <v>0.12</v>
      </c>
      <c r="X3743" s="44">
        <f>IF(Mecze[[#This Row],[Role]]&lt;&gt;"BR",SUMPRODUCT(Mecze[[#This Row],[/PR:90]:[/BR:90]],Brudnopis!$E$28:$J$28),0)</f>
        <v>0.06</v>
      </c>
      <c r="Y3743" s="35">
        <f>IF(Mecze[[#This Row],[Role]]="BR",Mecze[[#This Row],[/OB:90]]+Mecze[[#This Row],[/PC:90]],SUM(Mecze[[#This Row],[/PR:90]:[/BR:90]]))</f>
        <v>0.1</v>
      </c>
      <c r="Z3743" s="35">
        <f>IF(Mecze[[#This Row],[KC]]=0,SUM(Mecze[[#This Row],[/BRI]:[/NPI]]),SUM(Mecze[[#This Row],[/BRI]:[/NPI]])*0.6)</f>
        <v>0.5149999999999999</v>
      </c>
      <c r="AA3743" s="10">
        <f>IFERROR(Mecze[[#This Row],[BR]]/Mecze[[#This Row],[ST]],0)</f>
        <v>0</v>
      </c>
      <c r="AB3743">
        <f>ROUND(Mecze[[#This Row],[PD]]*Mecze[[#This Row],[%PC]],0)</f>
        <v>6</v>
      </c>
      <c r="AC3743">
        <f>ROUND(Mecze[[#This Row],[OD]]*Mecze[[#This Row],[%OU]],0)</f>
        <v>1</v>
      </c>
      <c r="AD3743" s="36" t="s">
        <v>41</v>
      </c>
      <c r="AE3743" s="36">
        <v>215</v>
      </c>
      <c r="AF3743" s="71">
        <v>8.8800000000000008</v>
      </c>
      <c r="AG3743" s="37">
        <v>0</v>
      </c>
      <c r="AH3743" s="37">
        <v>0</v>
      </c>
      <c r="AI3743" s="37">
        <v>100</v>
      </c>
      <c r="AJ3743" s="37">
        <v>1</v>
      </c>
      <c r="AK3743" s="37" t="str">
        <f>VLOOKUP(Mecze[[#This Row],[Match ID]],Meczusie[Mecz]:Meczusie[RodzajMeczu],2,FALSE)</f>
        <v>Towarzyski</v>
      </c>
    </row>
    <row r="3744" spans="1:37" x14ac:dyDescent="0.25">
      <c r="A3744" s="76">
        <v>60</v>
      </c>
      <c r="B3744" s="3" t="s">
        <v>515</v>
      </c>
      <c r="C3744" s="2" t="s">
        <v>160</v>
      </c>
      <c r="D3744" s="1">
        <v>0</v>
      </c>
      <c r="E3744" s="1">
        <v>2</v>
      </c>
      <c r="F3744" s="1">
        <v>0</v>
      </c>
      <c r="G3744" s="1">
        <v>13</v>
      </c>
      <c r="H3744" s="4">
        <v>0.31</v>
      </c>
      <c r="I3744" s="1">
        <v>5</v>
      </c>
      <c r="J3744" s="4">
        <v>0.4</v>
      </c>
      <c r="K3744" s="1">
        <v>0</v>
      </c>
      <c r="L3744" s="1">
        <v>7</v>
      </c>
      <c r="M3744" s="32">
        <f>IF(Mecze[[#This Row],[PR]]=0,0,Mecze[[#This Row],[PR]]/Mecze[[#This Row],[CZAS]])</f>
        <v>7.0000000000000007E-2</v>
      </c>
      <c r="N3744" s="32">
        <f>IF(Mecze[[#This Row],[OU]]=0,0,Mecze[[#This Row],[OU]]/Mecze[[#This Row],[CZAS]])</f>
        <v>0.02</v>
      </c>
      <c r="O3744" s="32">
        <f>IF(Mecze[[#This Row],[PC]]=0,0,Mecze[[#This Row],[PC]]/Mecze[[#This Row],[CZAS]])</f>
        <v>0.04</v>
      </c>
      <c r="P3744" s="32">
        <f>IF(Mecze[[#This Row],[SC]]=0,0,Mecze[[#This Row],[SC]]/Mecze[[#This Row],[CZAS]])</f>
        <v>0</v>
      </c>
      <c r="Q3744" s="32">
        <f>IF(Mecze[[#This Row],[OB]]=0,0,Mecze[[#This Row],[OB]]/Mecze[[#This Row],[CZAS]])</f>
        <v>0</v>
      </c>
      <c r="R3744" s="32">
        <f>IF(Mecze[[#This Row],[BR]]=0,0,Mecze[[#This Row],[BR]]/Mecze[[#This Row],[CZAS]])</f>
        <v>0</v>
      </c>
      <c r="S3744" s="44">
        <f>IF(Mecze[[#This Row],[Role]]="BR",SUMPRODUCT(Mecze[[#This Row],[/PR:90]:[/BR:90]],Brudnopis!$E$23:$J$23),0)</f>
        <v>0</v>
      </c>
      <c r="T3744" s="44">
        <f>IF(Mecze[[#This Row],[Role]]&lt;&gt;"BR",SUMPRODUCT(Mecze[[#This Row],[/PR:90]:[/BR:90]],Brudnopis!$E$24:$J$24),0)</f>
        <v>0.14000000000000001</v>
      </c>
      <c r="U3744" s="44">
        <f>IF(Mecze[[#This Row],[Role]]&lt;&gt;"BR",SUMPRODUCT(Mecze[[#This Row],[/PR:90]:[/BR:90]],Brudnopis!$E$25:$J$25),0)</f>
        <v>0.15000000000000002</v>
      </c>
      <c r="V3744" s="44">
        <f>IF(Mecze[[#This Row],[Role]]&lt;&gt;"BR",SUMPRODUCT(Mecze[[#This Row],[/PR:90]:[/BR:90]],Brudnopis!$E$26:$J$26),0)</f>
        <v>0.13</v>
      </c>
      <c r="W3744" s="44">
        <f>IF(Mecze[[#This Row],[Role]]&lt;&gt;"BR",SUMPRODUCT(Mecze[[#This Row],[/PR:90]:[/BR:90]],Brudnopis!$E$27:$J$27),0)</f>
        <v>0.1275</v>
      </c>
      <c r="X3744" s="44">
        <f>IF(Mecze[[#This Row],[Role]]&lt;&gt;"BR",SUMPRODUCT(Mecze[[#This Row],[/PR:90]:[/BR:90]],Brudnopis!$E$28:$J$28),0)</f>
        <v>0.04</v>
      </c>
      <c r="Y3744" s="35">
        <f>IF(Mecze[[#This Row],[Role]]="BR",Mecze[[#This Row],[/OB:90]]+Mecze[[#This Row],[/PC:90]],SUM(Mecze[[#This Row],[/PR:90]:[/BR:90]]))</f>
        <v>0.13</v>
      </c>
      <c r="Z3744" s="35">
        <f>IF(Mecze[[#This Row],[KC]]=0,SUM(Mecze[[#This Row],[/BRI]:[/NPI]]),SUM(Mecze[[#This Row],[/BRI]:[/NPI]])*0.6)</f>
        <v>0.58750000000000013</v>
      </c>
      <c r="AA3744" s="10">
        <f>IFERROR(Mecze[[#This Row],[BR]]/Mecze[[#This Row],[ST]],0)</f>
        <v>0</v>
      </c>
      <c r="AB3744">
        <f>ROUND(Mecze[[#This Row],[PD]]*Mecze[[#This Row],[%PC]],0)</f>
        <v>4</v>
      </c>
      <c r="AC3744">
        <f>ROUND(Mecze[[#This Row],[OD]]*Mecze[[#This Row],[%OU]],0)</f>
        <v>2</v>
      </c>
      <c r="AD3744" s="36" t="s">
        <v>41</v>
      </c>
      <c r="AE3744" s="36">
        <v>215</v>
      </c>
      <c r="AF3744" s="71">
        <v>8.51</v>
      </c>
      <c r="AG3744" s="37">
        <v>0</v>
      </c>
      <c r="AH3744" s="37">
        <v>0</v>
      </c>
      <c r="AI3744" s="37">
        <v>100</v>
      </c>
      <c r="AJ3744" s="37">
        <v>1</v>
      </c>
      <c r="AK3744" s="37" t="str">
        <f>VLOOKUP(Mecze[[#This Row],[Match ID]],Meczusie[Mecz]:Meczusie[RodzajMeczu],2,FALSE)</f>
        <v>Towarzyski</v>
      </c>
    </row>
    <row r="3745" spans="1:37" x14ac:dyDescent="0.25">
      <c r="A3745" s="76">
        <v>15</v>
      </c>
      <c r="B3745" s="3" t="s">
        <v>170</v>
      </c>
      <c r="C3745" s="2" t="s">
        <v>160</v>
      </c>
      <c r="D3745" s="1">
        <v>0</v>
      </c>
      <c r="E3745" s="1">
        <v>2</v>
      </c>
      <c r="F3745" s="1">
        <v>1</v>
      </c>
      <c r="G3745" s="1">
        <v>18</v>
      </c>
      <c r="H3745" s="4">
        <v>0.78</v>
      </c>
      <c r="I3745" s="1">
        <v>6</v>
      </c>
      <c r="J3745" s="4">
        <v>0.5</v>
      </c>
      <c r="K3745" s="1">
        <v>0</v>
      </c>
      <c r="L3745" s="1">
        <v>6</v>
      </c>
      <c r="M3745" s="32">
        <f>IF(Mecze[[#This Row],[PR]]=0,0,Mecze[[#This Row],[PR]]/Mecze[[#This Row],[CZAS]])</f>
        <v>0.06</v>
      </c>
      <c r="N3745" s="32">
        <f>IF(Mecze[[#This Row],[OU]]=0,0,Mecze[[#This Row],[OU]]/Mecze[[#This Row],[CZAS]])</f>
        <v>0.03</v>
      </c>
      <c r="O3745" s="32">
        <f>IF(Mecze[[#This Row],[PC]]=0,0,Mecze[[#This Row],[PC]]/Mecze[[#This Row],[CZAS]])</f>
        <v>0.14000000000000001</v>
      </c>
      <c r="P3745" s="32">
        <f>IF(Mecze[[#This Row],[SC]]=0,0,Mecze[[#This Row],[SC]]/Mecze[[#This Row],[CZAS]])</f>
        <v>0.01</v>
      </c>
      <c r="Q3745" s="32">
        <f>IF(Mecze[[#This Row],[OB]]=0,0,Mecze[[#This Row],[OB]]/Mecze[[#This Row],[CZAS]])</f>
        <v>0</v>
      </c>
      <c r="R3745" s="32">
        <f>IF(Mecze[[#This Row],[BR]]=0,0,Mecze[[#This Row],[BR]]/Mecze[[#This Row],[CZAS]])</f>
        <v>0</v>
      </c>
      <c r="S3745" s="44">
        <f>IF(Mecze[[#This Row],[Role]]="BR",SUMPRODUCT(Mecze[[#This Row],[/PR:90]:[/BR:90]],Brudnopis!$E$23:$J$23),0)</f>
        <v>0</v>
      </c>
      <c r="T3745" s="44">
        <f>IF(Mecze[[#This Row],[Role]]&lt;&gt;"BR",SUMPRODUCT(Mecze[[#This Row],[/PR:90]:[/BR:90]],Brudnopis!$E$24:$J$24),0)</f>
        <v>0.255</v>
      </c>
      <c r="U3745" s="44">
        <f>IF(Mecze[[#This Row],[Role]]&lt;&gt;"BR",SUMPRODUCT(Mecze[[#This Row],[/PR:90]:[/BR:90]],Brudnopis!$E$25:$J$25),0)</f>
        <v>0.31000000000000005</v>
      </c>
      <c r="V3745" s="44">
        <f>IF(Mecze[[#This Row],[Role]]&lt;&gt;"BR",SUMPRODUCT(Mecze[[#This Row],[/PR:90]:[/BR:90]],Brudnopis!$E$26:$J$26),0)</f>
        <v>0.24000000000000002</v>
      </c>
      <c r="W3745" s="44">
        <f>IF(Mecze[[#This Row],[Role]]&lt;&gt;"BR",SUMPRODUCT(Mecze[[#This Row],[/PR:90]:[/BR:90]],Brudnopis!$E$27:$J$27),0)</f>
        <v>0.28750000000000003</v>
      </c>
      <c r="X3745" s="44">
        <f>IF(Mecze[[#This Row],[Role]]&lt;&gt;"BR",SUMPRODUCT(Mecze[[#This Row],[/PR:90]:[/BR:90]],Brudnopis!$E$28:$J$28),0)</f>
        <v>0.16</v>
      </c>
      <c r="Y3745" s="35">
        <f>IF(Mecze[[#This Row],[Role]]="BR",Mecze[[#This Row],[/OB:90]]+Mecze[[#This Row],[/PC:90]],SUM(Mecze[[#This Row],[/PR:90]:[/BR:90]]))</f>
        <v>0.24000000000000002</v>
      </c>
      <c r="Z3745" s="35">
        <f>IF(Mecze[[#This Row],[KC]]=0,SUM(Mecze[[#This Row],[/BRI]:[/NPI]]),SUM(Mecze[[#This Row],[/BRI]:[/NPI]])*0.6)</f>
        <v>1.2524999999999999</v>
      </c>
      <c r="AA3745" s="10">
        <f>IFERROR(Mecze[[#This Row],[BR]]/Mecze[[#This Row],[ST]],0)</f>
        <v>0</v>
      </c>
      <c r="AB3745">
        <f>ROUND(Mecze[[#This Row],[PD]]*Mecze[[#This Row],[%PC]],0)</f>
        <v>14</v>
      </c>
      <c r="AC3745">
        <f>ROUND(Mecze[[#This Row],[OD]]*Mecze[[#This Row],[%OU]],0)</f>
        <v>3</v>
      </c>
      <c r="AD3745" s="36" t="s">
        <v>67</v>
      </c>
      <c r="AE3745" s="36">
        <v>215</v>
      </c>
      <c r="AF3745" s="71">
        <v>9.74</v>
      </c>
      <c r="AG3745" s="37">
        <v>0</v>
      </c>
      <c r="AH3745" s="37">
        <v>0</v>
      </c>
      <c r="AI3745" s="37">
        <v>100</v>
      </c>
      <c r="AJ3745" s="37">
        <v>1</v>
      </c>
      <c r="AK3745" s="37" t="str">
        <f>VLOOKUP(Mecze[[#This Row],[Match ID]],Meczusie[Mecz]:Meczusie[RodzajMeczu],2,FALSE)</f>
        <v>Towarzyski</v>
      </c>
    </row>
    <row r="3746" spans="1:37" x14ac:dyDescent="0.25">
      <c r="A3746" s="76">
        <v>13</v>
      </c>
      <c r="B3746" s="3" t="s">
        <v>162</v>
      </c>
      <c r="C3746" s="2" t="s">
        <v>160</v>
      </c>
      <c r="D3746" s="1">
        <v>0</v>
      </c>
      <c r="E3746" s="1">
        <v>0</v>
      </c>
      <c r="F3746" s="1">
        <v>0</v>
      </c>
      <c r="G3746" s="1">
        <v>11</v>
      </c>
      <c r="H3746" s="4">
        <v>0.82</v>
      </c>
      <c r="I3746" s="1">
        <v>5</v>
      </c>
      <c r="J3746" s="4">
        <v>0.4</v>
      </c>
      <c r="K3746" s="1">
        <v>0</v>
      </c>
      <c r="L3746" s="1">
        <v>3</v>
      </c>
      <c r="M3746" s="32">
        <f>IF(Mecze[[#This Row],[PR]]=0,0,Mecze[[#This Row],[PR]]/Mecze[[#This Row],[CZAS]])</f>
        <v>0.03</v>
      </c>
      <c r="N3746" s="32">
        <f>IF(Mecze[[#This Row],[OU]]=0,0,Mecze[[#This Row],[OU]]/Mecze[[#This Row],[CZAS]])</f>
        <v>0.02</v>
      </c>
      <c r="O3746" s="32">
        <f>IF(Mecze[[#This Row],[PC]]=0,0,Mecze[[#This Row],[PC]]/Mecze[[#This Row],[CZAS]])</f>
        <v>0.09</v>
      </c>
      <c r="P3746" s="32">
        <f>IF(Mecze[[#This Row],[SC]]=0,0,Mecze[[#This Row],[SC]]/Mecze[[#This Row],[CZAS]])</f>
        <v>0</v>
      </c>
      <c r="Q3746" s="32">
        <f>IF(Mecze[[#This Row],[OB]]=0,0,Mecze[[#This Row],[OB]]/Mecze[[#This Row],[CZAS]])</f>
        <v>0</v>
      </c>
      <c r="R3746" s="32">
        <f>IF(Mecze[[#This Row],[BR]]=0,0,Mecze[[#This Row],[BR]]/Mecze[[#This Row],[CZAS]])</f>
        <v>0</v>
      </c>
      <c r="S3746" s="44">
        <f>IF(Mecze[[#This Row],[Role]]="BR",SUMPRODUCT(Mecze[[#This Row],[/PR:90]:[/BR:90]],Brudnopis!$E$23:$J$23),0)</f>
        <v>0</v>
      </c>
      <c r="T3746" s="44">
        <f>IF(Mecze[[#This Row],[Role]]&lt;&gt;"BR",SUMPRODUCT(Mecze[[#This Row],[/PR:90]:[/BR:90]],Brudnopis!$E$24:$J$24),0)</f>
        <v>0.15</v>
      </c>
      <c r="U3746" s="44">
        <f>IF(Mecze[[#This Row],[Role]]&lt;&gt;"BR",SUMPRODUCT(Mecze[[#This Row],[/PR:90]:[/BR:90]],Brudnopis!$E$25:$J$25),0)</f>
        <v>0.185</v>
      </c>
      <c r="V3746" s="44">
        <f>IF(Mecze[[#This Row],[Role]]&lt;&gt;"BR",SUMPRODUCT(Mecze[[#This Row],[/PR:90]:[/BR:90]],Brudnopis!$E$26:$J$26),0)</f>
        <v>0.14000000000000001</v>
      </c>
      <c r="W3746" s="44">
        <f>IF(Mecze[[#This Row],[Role]]&lt;&gt;"BR",SUMPRODUCT(Mecze[[#This Row],[/PR:90]:[/BR:90]],Brudnopis!$E$27:$J$27),0)</f>
        <v>0.17250000000000001</v>
      </c>
      <c r="X3746" s="44">
        <f>IF(Mecze[[#This Row],[Role]]&lt;&gt;"BR",SUMPRODUCT(Mecze[[#This Row],[/PR:90]:[/BR:90]],Brudnopis!$E$28:$J$28),0)</f>
        <v>0.09</v>
      </c>
      <c r="Y3746" s="35">
        <f>IF(Mecze[[#This Row],[Role]]="BR",Mecze[[#This Row],[/OB:90]]+Mecze[[#This Row],[/PC:90]],SUM(Mecze[[#This Row],[/PR:90]:[/BR:90]]))</f>
        <v>0.14000000000000001</v>
      </c>
      <c r="Z3746" s="35">
        <f>IF(Mecze[[#This Row],[KC]]=0,SUM(Mecze[[#This Row],[/BRI]:[/NPI]]),SUM(Mecze[[#This Row],[/BRI]:[/NPI]])*0.6)</f>
        <v>0.73749999999999993</v>
      </c>
      <c r="AA3746" s="10">
        <f>IFERROR(Mecze[[#This Row],[BR]]/Mecze[[#This Row],[ST]],0)</f>
        <v>0</v>
      </c>
      <c r="AB3746">
        <f>ROUND(Mecze[[#This Row],[PD]]*Mecze[[#This Row],[%PC]],0)</f>
        <v>9</v>
      </c>
      <c r="AC3746">
        <f>ROUND(Mecze[[#This Row],[OD]]*Mecze[[#This Row],[%OU]],0)</f>
        <v>2</v>
      </c>
      <c r="AD3746" s="36" t="s">
        <v>319</v>
      </c>
      <c r="AE3746" s="36">
        <v>215</v>
      </c>
      <c r="AF3746" s="71">
        <v>9.7899999999999991</v>
      </c>
      <c r="AG3746" s="37">
        <v>0</v>
      </c>
      <c r="AH3746" s="37">
        <v>0</v>
      </c>
      <c r="AI3746" s="37">
        <v>100</v>
      </c>
      <c r="AJ3746" s="37">
        <v>1</v>
      </c>
      <c r="AK3746" s="37" t="str">
        <f>VLOOKUP(Mecze[[#This Row],[Match ID]],Meczusie[Mecz]:Meczusie[RodzajMeczu],2,FALSE)</f>
        <v>Towarzyski</v>
      </c>
    </row>
    <row r="3747" spans="1:37" x14ac:dyDescent="0.25">
      <c r="A3747" s="76">
        <v>19</v>
      </c>
      <c r="B3747" s="3" t="s">
        <v>166</v>
      </c>
      <c r="C3747" s="2" t="s">
        <v>160</v>
      </c>
      <c r="D3747" s="1">
        <v>0</v>
      </c>
      <c r="E3747" s="1">
        <v>0</v>
      </c>
      <c r="F3747" s="1">
        <v>0</v>
      </c>
      <c r="G3747" s="1">
        <v>11</v>
      </c>
      <c r="H3747" s="4">
        <v>0.55000000000000004</v>
      </c>
      <c r="I3747" s="1">
        <v>5</v>
      </c>
      <c r="J3747" s="4">
        <v>0.6</v>
      </c>
      <c r="K3747" s="1">
        <v>0</v>
      </c>
      <c r="L3747" s="1">
        <v>1</v>
      </c>
      <c r="M3747" s="32">
        <f>IF(Mecze[[#This Row],[PR]]=0,0,Mecze[[#This Row],[PR]]/Mecze[[#This Row],[CZAS]])</f>
        <v>0.01</v>
      </c>
      <c r="N3747" s="32">
        <f>IF(Mecze[[#This Row],[OU]]=0,0,Mecze[[#This Row],[OU]]/Mecze[[#This Row],[CZAS]])</f>
        <v>0.03</v>
      </c>
      <c r="O3747" s="32">
        <f>IF(Mecze[[#This Row],[PC]]=0,0,Mecze[[#This Row],[PC]]/Mecze[[#This Row],[CZAS]])</f>
        <v>0.06</v>
      </c>
      <c r="P3747" s="32">
        <f>IF(Mecze[[#This Row],[SC]]=0,0,Mecze[[#This Row],[SC]]/Mecze[[#This Row],[CZAS]])</f>
        <v>0</v>
      </c>
      <c r="Q3747" s="32">
        <f>IF(Mecze[[#This Row],[OB]]=0,0,Mecze[[#This Row],[OB]]/Mecze[[#This Row],[CZAS]])</f>
        <v>0</v>
      </c>
      <c r="R3747" s="32">
        <f>IF(Mecze[[#This Row],[BR]]=0,0,Mecze[[#This Row],[BR]]/Mecze[[#This Row],[CZAS]])</f>
        <v>0</v>
      </c>
      <c r="S3747" s="44">
        <f>IF(Mecze[[#This Row],[Role]]="BR",SUMPRODUCT(Mecze[[#This Row],[/PR:90]:[/BR:90]],Brudnopis!$E$23:$J$23),0)</f>
        <v>0</v>
      </c>
      <c r="T3747" s="44">
        <f>IF(Mecze[[#This Row],[Role]]&lt;&gt;"BR",SUMPRODUCT(Mecze[[#This Row],[/PR:90]:[/BR:90]],Brudnopis!$E$24:$J$24),0)</f>
        <v>0.11499999999999999</v>
      </c>
      <c r="U3747" s="44">
        <f>IF(Mecze[[#This Row],[Role]]&lt;&gt;"BR",SUMPRODUCT(Mecze[[#This Row],[/PR:90]:[/BR:90]],Brudnopis!$E$25:$J$25),0)</f>
        <v>0.13</v>
      </c>
      <c r="V3747" s="44">
        <f>IF(Mecze[[#This Row],[Role]]&lt;&gt;"BR",SUMPRODUCT(Mecze[[#This Row],[/PR:90]:[/BR:90]],Brudnopis!$E$26:$J$26),0)</f>
        <v>0.1</v>
      </c>
      <c r="W3747" s="44">
        <f>IF(Mecze[[#This Row],[Role]]&lt;&gt;"BR",SUMPRODUCT(Mecze[[#This Row],[/PR:90]:[/BR:90]],Brudnopis!$E$27:$J$27),0)</f>
        <v>0.12</v>
      </c>
      <c r="X3747" s="44">
        <f>IF(Mecze[[#This Row],[Role]]&lt;&gt;"BR",SUMPRODUCT(Mecze[[#This Row],[/PR:90]:[/BR:90]],Brudnopis!$E$28:$J$28),0)</f>
        <v>0.06</v>
      </c>
      <c r="Y3747" s="35">
        <f>IF(Mecze[[#This Row],[Role]]="BR",Mecze[[#This Row],[/OB:90]]+Mecze[[#This Row],[/PC:90]],SUM(Mecze[[#This Row],[/PR:90]:[/BR:90]]))</f>
        <v>0.1</v>
      </c>
      <c r="Z3747" s="35">
        <f>IF(Mecze[[#This Row],[KC]]=0,SUM(Mecze[[#This Row],[/BRI]:[/NPI]]),SUM(Mecze[[#This Row],[/BRI]:[/NPI]])*0.6)</f>
        <v>0.52499999999999991</v>
      </c>
      <c r="AA3747" s="10">
        <f>IFERROR(Mecze[[#This Row],[BR]]/Mecze[[#This Row],[ST]],0)</f>
        <v>0</v>
      </c>
      <c r="AB3747">
        <f>ROUND(Mecze[[#This Row],[PD]]*Mecze[[#This Row],[%PC]],0)</f>
        <v>6</v>
      </c>
      <c r="AC3747">
        <f>ROUND(Mecze[[#This Row],[OD]]*Mecze[[#This Row],[%OU]],0)</f>
        <v>3</v>
      </c>
      <c r="AD3747" s="36" t="s">
        <v>44</v>
      </c>
      <c r="AE3747" s="36">
        <v>215</v>
      </c>
      <c r="AF3747" s="71">
        <v>8.4600000000000009</v>
      </c>
      <c r="AG3747" s="37">
        <v>0</v>
      </c>
      <c r="AH3747" s="37">
        <v>0</v>
      </c>
      <c r="AI3747" s="37">
        <v>100</v>
      </c>
      <c r="AJ3747" s="37">
        <v>1</v>
      </c>
      <c r="AK3747" s="37" t="str">
        <f>VLOOKUP(Mecze[[#This Row],[Match ID]],Meczusie[Mecz]:Meczusie[RodzajMeczu],2,FALSE)</f>
        <v>Towarzyski</v>
      </c>
    </row>
    <row r="3748" spans="1:37" x14ac:dyDescent="0.25">
      <c r="A3748" s="76">
        <v>14</v>
      </c>
      <c r="B3748" s="3" t="s">
        <v>164</v>
      </c>
      <c r="C3748" s="2" t="s">
        <v>165</v>
      </c>
      <c r="D3748" s="1">
        <v>0</v>
      </c>
      <c r="E3748" s="1">
        <v>4</v>
      </c>
      <c r="F3748" s="1">
        <v>4</v>
      </c>
      <c r="G3748" s="1">
        <v>7</v>
      </c>
      <c r="H3748" s="4">
        <v>0.71</v>
      </c>
      <c r="I3748" s="1">
        <v>5</v>
      </c>
      <c r="J3748" s="4">
        <v>0.2</v>
      </c>
      <c r="K3748" s="1">
        <v>0</v>
      </c>
      <c r="L3748" s="1">
        <v>0</v>
      </c>
      <c r="M3748" s="32">
        <f>IF(Mecze[[#This Row],[PR]]=0,0,Mecze[[#This Row],[PR]]/Mecze[[#This Row],[CZAS]])</f>
        <v>0</v>
      </c>
      <c r="N3748" s="32">
        <f>IF(Mecze[[#This Row],[OU]]=0,0,Mecze[[#This Row],[OU]]/Mecze[[#This Row],[CZAS]])</f>
        <v>0.01</v>
      </c>
      <c r="O3748" s="32">
        <f>IF(Mecze[[#This Row],[PC]]=0,0,Mecze[[#This Row],[PC]]/Mecze[[#This Row],[CZAS]])</f>
        <v>0.05</v>
      </c>
      <c r="P3748" s="32">
        <f>IF(Mecze[[#This Row],[SC]]=0,0,Mecze[[#This Row],[SC]]/Mecze[[#This Row],[CZAS]])</f>
        <v>0.04</v>
      </c>
      <c r="Q3748" s="32">
        <f>IF(Mecze[[#This Row],[OB]]=0,0,Mecze[[#This Row],[OB]]/Mecze[[#This Row],[CZAS]])</f>
        <v>0</v>
      </c>
      <c r="R3748" s="32">
        <f>IF(Mecze[[#This Row],[BR]]=0,0,Mecze[[#This Row],[BR]]/Mecze[[#This Row],[CZAS]])</f>
        <v>0</v>
      </c>
      <c r="S3748" s="44">
        <f>IF(Mecze[[#This Row],[Role]]="BR",SUMPRODUCT(Mecze[[#This Row],[/PR:90]:[/BR:90]],Brudnopis!$E$23:$J$23),0)</f>
        <v>0</v>
      </c>
      <c r="T3748" s="44">
        <f>IF(Mecze[[#This Row],[Role]]&lt;&gt;"BR",SUMPRODUCT(Mecze[[#This Row],[/PR:90]:[/BR:90]],Brudnopis!$E$24:$J$24),0)</f>
        <v>0.10500000000000001</v>
      </c>
      <c r="U3748" s="44">
        <f>IF(Mecze[[#This Row],[Role]]&lt;&gt;"BR",SUMPRODUCT(Mecze[[#This Row],[/PR:90]:[/BR:90]],Brudnopis!$E$25:$J$25),0)</f>
        <v>0.125</v>
      </c>
      <c r="V3748" s="44">
        <f>IF(Mecze[[#This Row],[Role]]&lt;&gt;"BR",SUMPRODUCT(Mecze[[#This Row],[/PR:90]:[/BR:90]],Brudnopis!$E$26:$J$26),0)</f>
        <v>0.1</v>
      </c>
      <c r="W3748" s="44">
        <f>IF(Mecze[[#This Row],[Role]]&lt;&gt;"BR",SUMPRODUCT(Mecze[[#This Row],[/PR:90]:[/BR:90]],Brudnopis!$E$27:$J$27),0)</f>
        <v>0.12250000000000003</v>
      </c>
      <c r="X3748" s="44">
        <f>IF(Mecze[[#This Row],[Role]]&lt;&gt;"BR",SUMPRODUCT(Mecze[[#This Row],[/PR:90]:[/BR:90]],Brudnopis!$E$28:$J$28),0)</f>
        <v>0.13</v>
      </c>
      <c r="Y3748" s="35">
        <f>IF(Mecze[[#This Row],[Role]]="BR",Mecze[[#This Row],[/OB:90]]+Mecze[[#This Row],[/PC:90]],SUM(Mecze[[#This Row],[/PR:90]:[/BR:90]]))</f>
        <v>0.1</v>
      </c>
      <c r="Z3748" s="35">
        <f>IF(Mecze[[#This Row],[KC]]=0,SUM(Mecze[[#This Row],[/BRI]:[/NPI]]),SUM(Mecze[[#This Row],[/BRI]:[/NPI]])*0.6)</f>
        <v>0.58250000000000002</v>
      </c>
      <c r="AA3748" s="10">
        <f>IFERROR(Mecze[[#This Row],[BR]]/Mecze[[#This Row],[ST]],0)</f>
        <v>0</v>
      </c>
      <c r="AB3748">
        <f>ROUND(Mecze[[#This Row],[PD]]*Mecze[[#This Row],[%PC]],0)</f>
        <v>5</v>
      </c>
      <c r="AC3748">
        <f>ROUND(Mecze[[#This Row],[OD]]*Mecze[[#This Row],[%OU]],0)</f>
        <v>1</v>
      </c>
      <c r="AD3748" s="36" t="s">
        <v>273</v>
      </c>
      <c r="AE3748" s="36">
        <v>215</v>
      </c>
      <c r="AF3748" s="71">
        <v>6.14</v>
      </c>
      <c r="AG3748" s="37">
        <v>0</v>
      </c>
      <c r="AH3748" s="37">
        <v>0</v>
      </c>
      <c r="AI3748" s="37">
        <v>100</v>
      </c>
      <c r="AJ3748" s="37">
        <v>1</v>
      </c>
      <c r="AK3748" s="37" t="str">
        <f>VLOOKUP(Mecze[[#This Row],[Match ID]],Meczusie[Mecz]:Meczusie[RodzajMeczu],2,FALSE)</f>
        <v>Towarzyski</v>
      </c>
    </row>
    <row r="3749" spans="1:37" x14ac:dyDescent="0.25">
      <c r="A3749" s="76">
        <v>9</v>
      </c>
      <c r="B3749" s="3" t="s">
        <v>411</v>
      </c>
      <c r="C3749" s="2" t="s">
        <v>165</v>
      </c>
      <c r="D3749" s="1">
        <v>5</v>
      </c>
      <c r="E3749" s="1">
        <v>14</v>
      </c>
      <c r="F3749" s="1">
        <v>14</v>
      </c>
      <c r="G3749" s="1">
        <v>7</v>
      </c>
      <c r="H3749" s="4">
        <v>0.43</v>
      </c>
      <c r="I3749" s="1">
        <v>4</v>
      </c>
      <c r="J3749" s="4">
        <v>0.25</v>
      </c>
      <c r="K3749" s="1">
        <v>0</v>
      </c>
      <c r="L3749" s="1">
        <v>1</v>
      </c>
      <c r="M3749" s="32">
        <f>IF(Mecze[[#This Row],[PR]]=0,0,Mecze[[#This Row],[PR]]/Mecze[[#This Row],[CZAS]])</f>
        <v>0.01</v>
      </c>
      <c r="N3749" s="32">
        <f>IF(Mecze[[#This Row],[OU]]=0,0,Mecze[[#This Row],[OU]]/Mecze[[#This Row],[CZAS]])</f>
        <v>0.01</v>
      </c>
      <c r="O3749" s="32">
        <f>IF(Mecze[[#This Row],[PC]]=0,0,Mecze[[#This Row],[PC]]/Mecze[[#This Row],[CZAS]])</f>
        <v>0.03</v>
      </c>
      <c r="P3749" s="32">
        <f>IF(Mecze[[#This Row],[SC]]=0,0,Mecze[[#This Row],[SC]]/Mecze[[#This Row],[CZAS]])</f>
        <v>0.14000000000000001</v>
      </c>
      <c r="Q3749" s="32">
        <f>IF(Mecze[[#This Row],[OB]]=0,0,Mecze[[#This Row],[OB]]/Mecze[[#This Row],[CZAS]])</f>
        <v>0</v>
      </c>
      <c r="R3749" s="32">
        <f>IF(Mecze[[#This Row],[BR]]=0,0,Mecze[[#This Row],[BR]]/Mecze[[#This Row],[CZAS]])</f>
        <v>0.05</v>
      </c>
      <c r="S3749" s="44">
        <f>IF(Mecze[[#This Row],[Role]]="BR",SUMPRODUCT(Mecze[[#This Row],[/PR:90]:[/BR:90]],Brudnopis!$E$23:$J$23),0)</f>
        <v>0</v>
      </c>
      <c r="T3749" s="44">
        <f>IF(Mecze[[#This Row],[Role]]&lt;&gt;"BR",SUMPRODUCT(Mecze[[#This Row],[/PR:90]:[/BR:90]],Brudnopis!$E$24:$J$24),0)</f>
        <v>0.27</v>
      </c>
      <c r="U3749" s="44">
        <f>IF(Mecze[[#This Row],[Role]]&lt;&gt;"BR",SUMPRODUCT(Mecze[[#This Row],[/PR:90]:[/BR:90]],Brudnopis!$E$25:$J$25),0)</f>
        <v>0.28000000000000003</v>
      </c>
      <c r="V3749" s="44">
        <f>IF(Mecze[[#This Row],[Role]]&lt;&gt;"BR",SUMPRODUCT(Mecze[[#This Row],[/PR:90]:[/BR:90]],Brudnopis!$E$26:$J$26),0)</f>
        <v>0.29000000000000004</v>
      </c>
      <c r="W3749" s="44">
        <f>IF(Mecze[[#This Row],[Role]]&lt;&gt;"BR",SUMPRODUCT(Mecze[[#This Row],[/PR:90]:[/BR:90]],Brudnopis!$E$27:$J$27),0)</f>
        <v>0.30000000000000004</v>
      </c>
      <c r="X3749" s="44">
        <f>IF(Mecze[[#This Row],[Role]]&lt;&gt;"BR",SUMPRODUCT(Mecze[[#This Row],[/PR:90]:[/BR:90]],Brudnopis!$E$28:$J$28),0)</f>
        <v>0.46000000000000008</v>
      </c>
      <c r="Y3749" s="35">
        <f>IF(Mecze[[#This Row],[Role]]="BR",Mecze[[#This Row],[/OB:90]]+Mecze[[#This Row],[/PC:90]],SUM(Mecze[[#This Row],[/PR:90]:[/BR:90]]))</f>
        <v>0.24</v>
      </c>
      <c r="Z3749" s="35">
        <f>IF(Mecze[[#This Row],[KC]]=0,SUM(Mecze[[#This Row],[/BRI]:[/NPI]]),SUM(Mecze[[#This Row],[/BRI]:[/NPI]])*0.6)</f>
        <v>1.6</v>
      </c>
      <c r="AA3749" s="10">
        <f>IFERROR(Mecze[[#This Row],[BR]]/Mecze[[#This Row],[ST]],0)</f>
        <v>0.35714285714285715</v>
      </c>
      <c r="AB3749">
        <f>ROUND(Mecze[[#This Row],[PD]]*Mecze[[#This Row],[%PC]],0)</f>
        <v>3</v>
      </c>
      <c r="AC3749">
        <f>ROUND(Mecze[[#This Row],[OD]]*Mecze[[#This Row],[%OU]],0)</f>
        <v>1</v>
      </c>
      <c r="AD3749" s="36" t="s">
        <v>46</v>
      </c>
      <c r="AE3749" s="36">
        <v>215</v>
      </c>
      <c r="AF3749" s="71">
        <v>18.510000000000002</v>
      </c>
      <c r="AG3749" s="37">
        <v>0</v>
      </c>
      <c r="AH3749" s="37">
        <v>0</v>
      </c>
      <c r="AI3749" s="37">
        <v>100</v>
      </c>
      <c r="AJ3749" s="37">
        <v>1</v>
      </c>
      <c r="AK3749" s="37" t="str">
        <f>VLOOKUP(Mecze[[#This Row],[Match ID]],Meczusie[Mecz]:Meczusie[RodzajMeczu],2,FALSE)</f>
        <v>Towarzyski</v>
      </c>
    </row>
    <row r="3750" spans="1:37" x14ac:dyDescent="0.25">
      <c r="A3750" s="76">
        <v>1</v>
      </c>
      <c r="B3750" s="3" t="s">
        <v>169</v>
      </c>
      <c r="C3750" s="2" t="s">
        <v>155</v>
      </c>
      <c r="D3750" s="1">
        <v>0</v>
      </c>
      <c r="E3750" s="1">
        <v>0</v>
      </c>
      <c r="F3750" s="1">
        <v>0</v>
      </c>
      <c r="G3750" s="1">
        <v>4</v>
      </c>
      <c r="H3750" s="4">
        <v>0.5</v>
      </c>
      <c r="I3750" s="1">
        <v>0</v>
      </c>
      <c r="J3750" s="4"/>
      <c r="K3750" s="1">
        <v>5</v>
      </c>
      <c r="L3750" s="1">
        <v>0</v>
      </c>
      <c r="M3750" s="32">
        <f>IF(Mecze[[#This Row],[PR]]=0,0,Mecze[[#This Row],[PR]]/Mecze[[#This Row],[CZAS]])</f>
        <v>0</v>
      </c>
      <c r="N3750" s="32">
        <f>IF(Mecze[[#This Row],[OU]]=0,0,Mecze[[#This Row],[OU]]/Mecze[[#This Row],[CZAS]])</f>
        <v>0</v>
      </c>
      <c r="O3750" s="32">
        <f>IF(Mecze[[#This Row],[PC]]=0,0,Mecze[[#This Row],[PC]]/Mecze[[#This Row],[CZAS]])</f>
        <v>2.1052631578947368E-2</v>
      </c>
      <c r="P3750" s="32">
        <f>IF(Mecze[[#This Row],[SC]]=0,0,Mecze[[#This Row],[SC]]/Mecze[[#This Row],[CZAS]])</f>
        <v>0</v>
      </c>
      <c r="Q3750" s="32">
        <f>IF(Mecze[[#This Row],[OB]]=0,0,Mecze[[#This Row],[OB]]/Mecze[[#This Row],[CZAS]])</f>
        <v>5.2631578947368418E-2</v>
      </c>
      <c r="R3750" s="32">
        <f>IF(Mecze[[#This Row],[BR]]=0,0,Mecze[[#This Row],[BR]]/Mecze[[#This Row],[CZAS]])</f>
        <v>0</v>
      </c>
      <c r="S3750" s="44">
        <f>IF(Mecze[[#This Row],[Role]]="BR",SUMPRODUCT(Mecze[[#This Row],[/PR:90]:[/BR:90]],Brudnopis!$E$23:$J$23),0)</f>
        <v>0.22105263157894736</v>
      </c>
      <c r="T3750" s="44">
        <f>IF(Mecze[[#This Row],[Role]]&lt;&gt;"BR",SUMPRODUCT(Mecze[[#This Row],[/PR:90]:[/BR:90]],Brudnopis!$E$24:$J$24),0)</f>
        <v>0</v>
      </c>
      <c r="U3750" s="44">
        <f>IF(Mecze[[#This Row],[Role]]&lt;&gt;"BR",SUMPRODUCT(Mecze[[#This Row],[/PR:90]:[/BR:90]],Brudnopis!$E$25:$J$25),0)</f>
        <v>0</v>
      </c>
      <c r="V3750" s="44">
        <f>IF(Mecze[[#This Row],[Role]]&lt;&gt;"BR",SUMPRODUCT(Mecze[[#This Row],[/PR:90]:[/BR:90]],Brudnopis!$E$26:$J$26),0)</f>
        <v>0</v>
      </c>
      <c r="W3750" s="44">
        <f>IF(Mecze[[#This Row],[Role]]&lt;&gt;"BR",SUMPRODUCT(Mecze[[#This Row],[/PR:90]:[/BR:90]],Brudnopis!$E$27:$J$27),0)</f>
        <v>0</v>
      </c>
      <c r="X3750" s="44">
        <f>IF(Mecze[[#This Row],[Role]]&lt;&gt;"BR",SUMPRODUCT(Mecze[[#This Row],[/PR:90]:[/BR:90]],Brudnopis!$E$28:$J$28),0)</f>
        <v>0</v>
      </c>
      <c r="Y3750" s="35">
        <f>IF(Mecze[[#This Row],[Role]]="BR",Mecze[[#This Row],[/OB:90]]+Mecze[[#This Row],[/PC:90]],SUM(Mecze[[#This Row],[/PR:90]:[/BR:90]]))</f>
        <v>7.3684210526315783E-2</v>
      </c>
      <c r="Z3750" s="35">
        <f>IF(Mecze[[#This Row],[KC]]=0,SUM(Mecze[[#This Row],[/BRI]:[/NPI]]),SUM(Mecze[[#This Row],[/BRI]:[/NPI]])*0.6)</f>
        <v>0.22105263157894736</v>
      </c>
      <c r="AA3750" s="10">
        <f>IFERROR(Mecze[[#This Row],[BR]]/Mecze[[#This Row],[ST]],0)</f>
        <v>0</v>
      </c>
      <c r="AB3750">
        <f>ROUND(Mecze[[#This Row],[PD]]*Mecze[[#This Row],[%PC]],0)</f>
        <v>2</v>
      </c>
      <c r="AC3750">
        <f>ROUND(Mecze[[#This Row],[OD]]*Mecze[[#This Row],[%OU]],0)</f>
        <v>0</v>
      </c>
      <c r="AD3750" s="36" t="s">
        <v>40</v>
      </c>
      <c r="AE3750" s="36">
        <v>216</v>
      </c>
      <c r="AF3750" s="71">
        <v>5.67</v>
      </c>
      <c r="AG3750" s="37">
        <v>0</v>
      </c>
      <c r="AH3750" s="37">
        <v>0</v>
      </c>
      <c r="AI3750" s="37">
        <v>95</v>
      </c>
      <c r="AJ3750" s="37">
        <v>1</v>
      </c>
      <c r="AK3750" s="37" t="str">
        <f>VLOOKUP(Mecze[[#This Row],[Match ID]],Meczusie[Mecz]:Meczusie[RodzajMeczu],2,FALSE)</f>
        <v>Towarzyski</v>
      </c>
    </row>
    <row r="3751" spans="1:37" x14ac:dyDescent="0.25">
      <c r="A3751" s="76">
        <v>6</v>
      </c>
      <c r="B3751" s="3" t="s">
        <v>159</v>
      </c>
      <c r="C3751" s="2" t="s">
        <v>157</v>
      </c>
      <c r="D3751" s="1">
        <v>0</v>
      </c>
      <c r="E3751" s="1">
        <v>0</v>
      </c>
      <c r="F3751" s="1">
        <v>0</v>
      </c>
      <c r="G3751" s="1">
        <v>1</v>
      </c>
      <c r="H3751" s="4">
        <v>1</v>
      </c>
      <c r="I3751" s="1">
        <v>2</v>
      </c>
      <c r="J3751" s="4">
        <v>0.5</v>
      </c>
      <c r="K3751" s="1">
        <v>0</v>
      </c>
      <c r="L3751" s="1">
        <v>5</v>
      </c>
      <c r="M3751" s="32">
        <f>IF(Mecze[[#This Row],[PR]]=0,0,Mecze[[#This Row],[PR]]/Mecze[[#This Row],[CZAS]])</f>
        <v>5.2631578947368418E-2</v>
      </c>
      <c r="N3751" s="32">
        <f>IF(Mecze[[#This Row],[OU]]=0,0,Mecze[[#This Row],[OU]]/Mecze[[#This Row],[CZAS]])</f>
        <v>1.0526315789473684E-2</v>
      </c>
      <c r="O3751" s="32">
        <f>IF(Mecze[[#This Row],[PC]]=0,0,Mecze[[#This Row],[PC]]/Mecze[[#This Row],[CZAS]])</f>
        <v>1.0526315789473684E-2</v>
      </c>
      <c r="P3751" s="32">
        <f>IF(Mecze[[#This Row],[SC]]=0,0,Mecze[[#This Row],[SC]]/Mecze[[#This Row],[CZAS]])</f>
        <v>0</v>
      </c>
      <c r="Q3751" s="32">
        <f>IF(Mecze[[#This Row],[OB]]=0,0,Mecze[[#This Row],[OB]]/Mecze[[#This Row],[CZAS]])</f>
        <v>0</v>
      </c>
      <c r="R3751" s="32">
        <f>IF(Mecze[[#This Row],[BR]]=0,0,Mecze[[#This Row],[BR]]/Mecze[[#This Row],[CZAS]])</f>
        <v>0</v>
      </c>
      <c r="S3751" s="44">
        <f>IF(Mecze[[#This Row],[Role]]="BR",SUMPRODUCT(Mecze[[#This Row],[/PR:90]:[/BR:90]],Brudnopis!$E$23:$J$23),0)</f>
        <v>0</v>
      </c>
      <c r="T3751" s="44">
        <f>IF(Mecze[[#This Row],[Role]]&lt;&gt;"BR",SUMPRODUCT(Mecze[[#This Row],[/PR:90]:[/BR:90]],Brudnopis!$E$24:$J$24),0)</f>
        <v>7.8947368421052627E-2</v>
      </c>
      <c r="U3751" s="44">
        <f>IF(Mecze[[#This Row],[Role]]&lt;&gt;"BR",SUMPRODUCT(Mecze[[#This Row],[/PR:90]:[/BR:90]],Brudnopis!$E$25:$J$25),0)</f>
        <v>7.8947368421052627E-2</v>
      </c>
      <c r="V3751" s="44">
        <f>IF(Mecze[[#This Row],[Role]]&lt;&gt;"BR",SUMPRODUCT(Mecze[[#This Row],[/PR:90]:[/BR:90]],Brudnopis!$E$26:$J$26),0)</f>
        <v>7.3684210526315796E-2</v>
      </c>
      <c r="W3751" s="44">
        <f>IF(Mecze[[#This Row],[Role]]&lt;&gt;"BR",SUMPRODUCT(Mecze[[#This Row],[/PR:90]:[/BR:90]],Brudnopis!$E$27:$J$27),0)</f>
        <v>6.3157894736842107E-2</v>
      </c>
      <c r="X3751" s="44">
        <f>IF(Mecze[[#This Row],[Role]]&lt;&gt;"BR",SUMPRODUCT(Mecze[[#This Row],[/PR:90]:[/BR:90]],Brudnopis!$E$28:$J$28),0)</f>
        <v>1.0526315789473684E-2</v>
      </c>
      <c r="Y3751" s="35">
        <f>IF(Mecze[[#This Row],[Role]]="BR",Mecze[[#This Row],[/OB:90]]+Mecze[[#This Row],[/PC:90]],SUM(Mecze[[#This Row],[/PR:90]:[/BR:90]]))</f>
        <v>7.3684210526315796E-2</v>
      </c>
      <c r="Z3751" s="35">
        <f>IF(Mecze[[#This Row],[KC]]=0,SUM(Mecze[[#This Row],[/BRI]:[/NPI]]),SUM(Mecze[[#This Row],[/BRI]:[/NPI]])*0.6)</f>
        <v>0.30526315789473685</v>
      </c>
      <c r="AA3751" s="10">
        <f>IFERROR(Mecze[[#This Row],[BR]]/Mecze[[#This Row],[ST]],0)</f>
        <v>0</v>
      </c>
      <c r="AB3751">
        <f>ROUND(Mecze[[#This Row],[PD]]*Mecze[[#This Row],[%PC]],0)</f>
        <v>1</v>
      </c>
      <c r="AC3751">
        <f>ROUND(Mecze[[#This Row],[OD]]*Mecze[[#This Row],[%OU]],0)</f>
        <v>1</v>
      </c>
      <c r="AD3751" s="36" t="s">
        <v>47</v>
      </c>
      <c r="AE3751" s="36">
        <v>216</v>
      </c>
      <c r="AF3751" s="71">
        <v>4.97</v>
      </c>
      <c r="AG3751" s="37">
        <v>0</v>
      </c>
      <c r="AH3751" s="37">
        <v>0</v>
      </c>
      <c r="AI3751" s="37">
        <v>95</v>
      </c>
      <c r="AJ3751" s="37">
        <v>1</v>
      </c>
      <c r="AK3751" s="37" t="str">
        <f>VLOOKUP(Mecze[[#This Row],[Match ID]],Meczusie[Mecz]:Meczusie[RodzajMeczu],2,FALSE)</f>
        <v>Towarzyski</v>
      </c>
    </row>
    <row r="3752" spans="1:37" x14ac:dyDescent="0.25">
      <c r="A3752" s="76">
        <v>5</v>
      </c>
      <c r="B3752" s="3" t="s">
        <v>161</v>
      </c>
      <c r="C3752" s="2" t="s">
        <v>157</v>
      </c>
      <c r="D3752" s="1">
        <v>0</v>
      </c>
      <c r="E3752" s="1">
        <v>0</v>
      </c>
      <c r="F3752" s="1">
        <v>0</v>
      </c>
      <c r="G3752" s="1">
        <v>7</v>
      </c>
      <c r="H3752" s="4">
        <v>0.56999999999999995</v>
      </c>
      <c r="I3752" s="1">
        <v>5</v>
      </c>
      <c r="J3752" s="4">
        <v>0.6</v>
      </c>
      <c r="K3752" s="1">
        <v>0</v>
      </c>
      <c r="L3752" s="1">
        <v>6</v>
      </c>
      <c r="M3752" s="32">
        <f>IF(Mecze[[#This Row],[PR]]=0,0,Mecze[[#This Row],[PR]]/Mecze[[#This Row],[CZAS]])</f>
        <v>6.3157894736842107E-2</v>
      </c>
      <c r="N3752" s="32">
        <f>IF(Mecze[[#This Row],[OU]]=0,0,Mecze[[#This Row],[OU]]/Mecze[[#This Row],[CZAS]])</f>
        <v>3.1578947368421054E-2</v>
      </c>
      <c r="O3752" s="32">
        <f>IF(Mecze[[#This Row],[PC]]=0,0,Mecze[[#This Row],[PC]]/Mecze[[#This Row],[CZAS]])</f>
        <v>4.2105263157894736E-2</v>
      </c>
      <c r="P3752" s="32">
        <f>IF(Mecze[[#This Row],[SC]]=0,0,Mecze[[#This Row],[SC]]/Mecze[[#This Row],[CZAS]])</f>
        <v>0</v>
      </c>
      <c r="Q3752" s="32">
        <f>IF(Mecze[[#This Row],[OB]]=0,0,Mecze[[#This Row],[OB]]/Mecze[[#This Row],[CZAS]])</f>
        <v>0</v>
      </c>
      <c r="R3752" s="32">
        <f>IF(Mecze[[#This Row],[BR]]=0,0,Mecze[[#This Row],[BR]]/Mecze[[#This Row],[CZAS]])</f>
        <v>0</v>
      </c>
      <c r="S3752" s="44">
        <f>IF(Mecze[[#This Row],[Role]]="BR",SUMPRODUCT(Mecze[[#This Row],[/PR:90]:[/BR:90]],Brudnopis!$E$23:$J$23),0)</f>
        <v>0</v>
      </c>
      <c r="T3752" s="44">
        <f>IF(Mecze[[#This Row],[Role]]&lt;&gt;"BR",SUMPRODUCT(Mecze[[#This Row],[/PR:90]:[/BR:90]],Brudnopis!$E$24:$J$24),0)</f>
        <v>0.15263157894736842</v>
      </c>
      <c r="U3752" s="44">
        <f>IF(Mecze[[#This Row],[Role]]&lt;&gt;"BR",SUMPRODUCT(Mecze[[#This Row],[/PR:90]:[/BR:90]],Brudnopis!$E$25:$J$25),0)</f>
        <v>0.15789473684210525</v>
      </c>
      <c r="V3752" s="44">
        <f>IF(Mecze[[#This Row],[Role]]&lt;&gt;"BR",SUMPRODUCT(Mecze[[#This Row],[/PR:90]:[/BR:90]],Brudnopis!$E$26:$J$26),0)</f>
        <v>0.1368421052631579</v>
      </c>
      <c r="W3752" s="44">
        <f>IF(Mecze[[#This Row],[Role]]&lt;&gt;"BR",SUMPRODUCT(Mecze[[#This Row],[/PR:90]:[/BR:90]],Brudnopis!$E$27:$J$27),0)</f>
        <v>0.13421052631578947</v>
      </c>
      <c r="X3752" s="44">
        <f>IF(Mecze[[#This Row],[Role]]&lt;&gt;"BR",SUMPRODUCT(Mecze[[#This Row],[/PR:90]:[/BR:90]],Brudnopis!$E$28:$J$28),0)</f>
        <v>4.2105263157894736E-2</v>
      </c>
      <c r="Y3752" s="35">
        <f>IF(Mecze[[#This Row],[Role]]="BR",Mecze[[#This Row],[/OB:90]]+Mecze[[#This Row],[/PC:90]],SUM(Mecze[[#This Row],[/PR:90]:[/BR:90]]))</f>
        <v>0.1368421052631579</v>
      </c>
      <c r="Z3752" s="35">
        <f>IF(Mecze[[#This Row],[KC]]=0,SUM(Mecze[[#This Row],[/BRI]:[/NPI]]),SUM(Mecze[[#This Row],[/BRI]:[/NPI]])*0.6)</f>
        <v>0.62368421052631573</v>
      </c>
      <c r="AA3752" s="10">
        <f>IFERROR(Mecze[[#This Row],[BR]]/Mecze[[#This Row],[ST]],0)</f>
        <v>0</v>
      </c>
      <c r="AB3752">
        <f>ROUND(Mecze[[#This Row],[PD]]*Mecze[[#This Row],[%PC]],0)</f>
        <v>4</v>
      </c>
      <c r="AC3752">
        <f>ROUND(Mecze[[#This Row],[OD]]*Mecze[[#This Row],[%OU]],0)</f>
        <v>3</v>
      </c>
      <c r="AD3752" s="36" t="s">
        <v>47</v>
      </c>
      <c r="AE3752" s="36">
        <v>216</v>
      </c>
      <c r="AF3752" s="71">
        <v>6.3</v>
      </c>
      <c r="AG3752" s="37">
        <v>0</v>
      </c>
      <c r="AH3752" s="37">
        <v>0</v>
      </c>
      <c r="AI3752" s="37">
        <v>95</v>
      </c>
      <c r="AJ3752" s="37">
        <v>1</v>
      </c>
      <c r="AK3752" s="37" t="str">
        <f>VLOOKUP(Mecze[[#This Row],[Match ID]],Meczusie[Mecz]:Meczusie[RodzajMeczu],2,FALSE)</f>
        <v>Towarzyski</v>
      </c>
    </row>
    <row r="3753" spans="1:37" x14ac:dyDescent="0.25">
      <c r="A3753" s="76">
        <v>4</v>
      </c>
      <c r="B3753" s="3" t="s">
        <v>360</v>
      </c>
      <c r="C3753" s="2" t="s">
        <v>157</v>
      </c>
      <c r="D3753" s="1">
        <v>0</v>
      </c>
      <c r="E3753" s="1">
        <v>0</v>
      </c>
      <c r="F3753" s="1">
        <v>0</v>
      </c>
      <c r="G3753" s="1">
        <v>6</v>
      </c>
      <c r="H3753" s="4">
        <v>0.67</v>
      </c>
      <c r="I3753" s="1">
        <v>1</v>
      </c>
      <c r="J3753" s="4">
        <v>0</v>
      </c>
      <c r="K3753" s="1">
        <v>0</v>
      </c>
      <c r="L3753" s="1">
        <v>9</v>
      </c>
      <c r="M3753" s="32">
        <f>IF(Mecze[[#This Row],[PR]]=0,0,Mecze[[#This Row],[PR]]/Mecze[[#This Row],[CZAS]])</f>
        <v>9.4736842105263161E-2</v>
      </c>
      <c r="N3753" s="32">
        <f>IF(Mecze[[#This Row],[OU]]=0,0,Mecze[[#This Row],[OU]]/Mecze[[#This Row],[CZAS]])</f>
        <v>0</v>
      </c>
      <c r="O3753" s="32">
        <f>IF(Mecze[[#This Row],[PC]]=0,0,Mecze[[#This Row],[PC]]/Mecze[[#This Row],[CZAS]])</f>
        <v>4.2105263157894736E-2</v>
      </c>
      <c r="P3753" s="32">
        <f>IF(Mecze[[#This Row],[SC]]=0,0,Mecze[[#This Row],[SC]]/Mecze[[#This Row],[CZAS]])</f>
        <v>0</v>
      </c>
      <c r="Q3753" s="32">
        <f>IF(Mecze[[#This Row],[OB]]=0,0,Mecze[[#This Row],[OB]]/Mecze[[#This Row],[CZAS]])</f>
        <v>0</v>
      </c>
      <c r="R3753" s="32">
        <f>IF(Mecze[[#This Row],[BR]]=0,0,Mecze[[#This Row],[BR]]/Mecze[[#This Row],[CZAS]])</f>
        <v>0</v>
      </c>
      <c r="S3753" s="44">
        <f>IF(Mecze[[#This Row],[Role]]="BR",SUMPRODUCT(Mecze[[#This Row],[/PR:90]:[/BR:90]],Brudnopis!$E$23:$J$23),0)</f>
        <v>0</v>
      </c>
      <c r="T3753" s="44">
        <f>IF(Mecze[[#This Row],[Role]]&lt;&gt;"BR",SUMPRODUCT(Mecze[[#This Row],[/PR:90]:[/BR:90]],Brudnopis!$E$24:$J$24),0)</f>
        <v>0.1368421052631579</v>
      </c>
      <c r="U3753" s="44">
        <f>IF(Mecze[[#This Row],[Role]]&lt;&gt;"BR",SUMPRODUCT(Mecze[[#This Row],[/PR:90]:[/BR:90]],Brudnopis!$E$25:$J$25),0)</f>
        <v>0.15789473684210525</v>
      </c>
      <c r="V3753" s="44">
        <f>IF(Mecze[[#This Row],[Role]]&lt;&gt;"BR",SUMPRODUCT(Mecze[[#This Row],[/PR:90]:[/BR:90]],Brudnopis!$E$26:$J$26),0)</f>
        <v>0.1368421052631579</v>
      </c>
      <c r="W3753" s="44">
        <f>IF(Mecze[[#This Row],[Role]]&lt;&gt;"BR",SUMPRODUCT(Mecze[[#This Row],[/PR:90]:[/BR:90]],Brudnopis!$E$27:$J$27),0)</f>
        <v>0.13421052631578947</v>
      </c>
      <c r="X3753" s="44">
        <f>IF(Mecze[[#This Row],[Role]]&lt;&gt;"BR",SUMPRODUCT(Mecze[[#This Row],[/PR:90]:[/BR:90]],Brudnopis!$E$28:$J$28),0)</f>
        <v>4.2105263157894736E-2</v>
      </c>
      <c r="Y3753" s="35">
        <f>IF(Mecze[[#This Row],[Role]]="BR",Mecze[[#This Row],[/OB:90]]+Mecze[[#This Row],[/PC:90]],SUM(Mecze[[#This Row],[/PR:90]:[/BR:90]]))</f>
        <v>0.1368421052631579</v>
      </c>
      <c r="Z3753" s="35">
        <f>IF(Mecze[[#This Row],[KC]]=0,SUM(Mecze[[#This Row],[/BRI]:[/NPI]]),SUM(Mecze[[#This Row],[/BRI]:[/NPI]])*0.6)</f>
        <v>0.60789473684210527</v>
      </c>
      <c r="AA3753" s="10">
        <f>IFERROR(Mecze[[#This Row],[BR]]/Mecze[[#This Row],[ST]],0)</f>
        <v>0</v>
      </c>
      <c r="AB3753">
        <f>ROUND(Mecze[[#This Row],[PD]]*Mecze[[#This Row],[%PC]],0)</f>
        <v>4</v>
      </c>
      <c r="AC3753">
        <f>ROUND(Mecze[[#This Row],[OD]]*Mecze[[#This Row],[%OU]],0)</f>
        <v>0</v>
      </c>
      <c r="AD3753" s="36" t="s">
        <v>175</v>
      </c>
      <c r="AE3753" s="36">
        <v>216</v>
      </c>
      <c r="AF3753" s="71">
        <v>5.81</v>
      </c>
      <c r="AG3753" s="37">
        <v>0</v>
      </c>
      <c r="AH3753" s="37">
        <v>0</v>
      </c>
      <c r="AI3753" s="37">
        <v>95</v>
      </c>
      <c r="AJ3753" s="37">
        <v>1</v>
      </c>
      <c r="AK3753" s="37" t="str">
        <f>VLOOKUP(Mecze[[#This Row],[Match ID]],Meczusie[Mecz]:Meczusie[RodzajMeczu],2,FALSE)</f>
        <v>Towarzyski</v>
      </c>
    </row>
    <row r="3754" spans="1:37" x14ac:dyDescent="0.25">
      <c r="A3754" s="76">
        <v>3</v>
      </c>
      <c r="B3754" s="3" t="s">
        <v>158</v>
      </c>
      <c r="C3754" s="2" t="s">
        <v>157</v>
      </c>
      <c r="D3754" s="1">
        <v>0</v>
      </c>
      <c r="E3754" s="1">
        <v>0</v>
      </c>
      <c r="F3754" s="1">
        <v>0</v>
      </c>
      <c r="G3754" s="1">
        <v>10</v>
      </c>
      <c r="H3754" s="4">
        <v>0.5</v>
      </c>
      <c r="I3754" s="1">
        <v>5</v>
      </c>
      <c r="J3754" s="4">
        <v>1</v>
      </c>
      <c r="K3754" s="1">
        <v>0</v>
      </c>
      <c r="L3754" s="1">
        <v>7</v>
      </c>
      <c r="M3754" s="32">
        <f>IF(Mecze[[#This Row],[PR]]=0,0,Mecze[[#This Row],[PR]]/Mecze[[#This Row],[CZAS]])</f>
        <v>7.3684210526315783E-2</v>
      </c>
      <c r="N3754" s="32">
        <f>IF(Mecze[[#This Row],[OU]]=0,0,Mecze[[#This Row],[OU]]/Mecze[[#This Row],[CZAS]])</f>
        <v>5.2631578947368418E-2</v>
      </c>
      <c r="O3754" s="32">
        <f>IF(Mecze[[#This Row],[PC]]=0,0,Mecze[[#This Row],[PC]]/Mecze[[#This Row],[CZAS]])</f>
        <v>5.2631578947368418E-2</v>
      </c>
      <c r="P3754" s="32">
        <f>IF(Mecze[[#This Row],[SC]]=0,0,Mecze[[#This Row],[SC]]/Mecze[[#This Row],[CZAS]])</f>
        <v>0</v>
      </c>
      <c r="Q3754" s="32">
        <f>IF(Mecze[[#This Row],[OB]]=0,0,Mecze[[#This Row],[OB]]/Mecze[[#This Row],[CZAS]])</f>
        <v>0</v>
      </c>
      <c r="R3754" s="32">
        <f>IF(Mecze[[#This Row],[BR]]=0,0,Mecze[[#This Row],[BR]]/Mecze[[#This Row],[CZAS]])</f>
        <v>0</v>
      </c>
      <c r="S3754" s="44">
        <f>IF(Mecze[[#This Row],[Role]]="BR",SUMPRODUCT(Mecze[[#This Row],[/PR:90]:[/BR:90]],Brudnopis!$E$23:$J$23),0)</f>
        <v>0</v>
      </c>
      <c r="T3754" s="44">
        <f>IF(Mecze[[#This Row],[Role]]&lt;&gt;"BR",SUMPRODUCT(Mecze[[#This Row],[/PR:90]:[/BR:90]],Brudnopis!$E$24:$J$24),0)</f>
        <v>0.20526315789473681</v>
      </c>
      <c r="U3754" s="44">
        <f>IF(Mecze[[#This Row],[Role]]&lt;&gt;"BR",SUMPRODUCT(Mecze[[#This Row],[/PR:90]:[/BR:90]],Brudnopis!$E$25:$J$25),0)</f>
        <v>0.20526315789473684</v>
      </c>
      <c r="V3754" s="44">
        <f>IF(Mecze[[#This Row],[Role]]&lt;&gt;"BR",SUMPRODUCT(Mecze[[#This Row],[/PR:90]:[/BR:90]],Brudnopis!$E$26:$J$26),0)</f>
        <v>0.17894736842105263</v>
      </c>
      <c r="W3754" s="44">
        <f>IF(Mecze[[#This Row],[Role]]&lt;&gt;"BR",SUMPRODUCT(Mecze[[#This Row],[/PR:90]:[/BR:90]],Brudnopis!$E$27:$J$27),0)</f>
        <v>0.17368421052631577</v>
      </c>
      <c r="X3754" s="44">
        <f>IF(Mecze[[#This Row],[Role]]&lt;&gt;"BR",SUMPRODUCT(Mecze[[#This Row],[/PR:90]:[/BR:90]],Brudnopis!$E$28:$J$28),0)</f>
        <v>5.2631578947368418E-2</v>
      </c>
      <c r="Y3754" s="35">
        <f>IF(Mecze[[#This Row],[Role]]="BR",Mecze[[#This Row],[/OB:90]]+Mecze[[#This Row],[/PC:90]],SUM(Mecze[[#This Row],[/PR:90]:[/BR:90]]))</f>
        <v>0.17894736842105263</v>
      </c>
      <c r="Z3754" s="35">
        <f>IF(Mecze[[#This Row],[KC]]=0,SUM(Mecze[[#This Row],[/BRI]:[/NPI]]),SUM(Mecze[[#This Row],[/BRI]:[/NPI]])*0.6)</f>
        <v>0.8157894736842104</v>
      </c>
      <c r="AA3754" s="10">
        <f>IFERROR(Mecze[[#This Row],[BR]]/Mecze[[#This Row],[ST]],0)</f>
        <v>0</v>
      </c>
      <c r="AB3754">
        <f>ROUND(Mecze[[#This Row],[PD]]*Mecze[[#This Row],[%PC]],0)</f>
        <v>5</v>
      </c>
      <c r="AC3754">
        <f>ROUND(Mecze[[#This Row],[OD]]*Mecze[[#This Row],[%OU]],0)</f>
        <v>5</v>
      </c>
      <c r="AD3754" s="36" t="s">
        <v>174</v>
      </c>
      <c r="AE3754" s="36">
        <v>216</v>
      </c>
      <c r="AF3754" s="71">
        <v>8.5399999999999991</v>
      </c>
      <c r="AG3754" s="37">
        <v>0</v>
      </c>
      <c r="AH3754" s="37">
        <v>0</v>
      </c>
      <c r="AI3754" s="37">
        <v>95</v>
      </c>
      <c r="AJ3754" s="37">
        <v>1</v>
      </c>
      <c r="AK3754" s="37" t="str">
        <f>VLOOKUP(Mecze[[#This Row],[Match ID]],Meczusie[Mecz]:Meczusie[RodzajMeczu],2,FALSE)</f>
        <v>Towarzyski</v>
      </c>
    </row>
    <row r="3755" spans="1:37" x14ac:dyDescent="0.25">
      <c r="A3755" s="76">
        <v>13</v>
      </c>
      <c r="B3755" s="3" t="s">
        <v>162</v>
      </c>
      <c r="C3755" s="2" t="s">
        <v>160</v>
      </c>
      <c r="D3755" s="1">
        <v>0</v>
      </c>
      <c r="E3755" s="1">
        <v>0</v>
      </c>
      <c r="F3755" s="1">
        <v>0</v>
      </c>
      <c r="G3755" s="1">
        <v>19</v>
      </c>
      <c r="H3755" s="4">
        <v>0.68</v>
      </c>
      <c r="I3755" s="1">
        <v>3</v>
      </c>
      <c r="J3755" s="4">
        <v>0.33</v>
      </c>
      <c r="K3755" s="1">
        <v>0</v>
      </c>
      <c r="L3755" s="1">
        <v>5</v>
      </c>
      <c r="M3755" s="32">
        <f>IF(Mecze[[#This Row],[PR]]=0,0,Mecze[[#This Row],[PR]]/Mecze[[#This Row],[CZAS]])</f>
        <v>5.2631578947368418E-2</v>
      </c>
      <c r="N3755" s="32">
        <f>IF(Mecze[[#This Row],[OU]]=0,0,Mecze[[#This Row],[OU]]/Mecze[[#This Row],[CZAS]])</f>
        <v>1.0526315789473684E-2</v>
      </c>
      <c r="O3755" s="32">
        <f>IF(Mecze[[#This Row],[PC]]=0,0,Mecze[[#This Row],[PC]]/Mecze[[#This Row],[CZAS]])</f>
        <v>0.1368421052631579</v>
      </c>
      <c r="P3755" s="32">
        <f>IF(Mecze[[#This Row],[SC]]=0,0,Mecze[[#This Row],[SC]]/Mecze[[#This Row],[CZAS]])</f>
        <v>0</v>
      </c>
      <c r="Q3755" s="32">
        <f>IF(Mecze[[#This Row],[OB]]=0,0,Mecze[[#This Row],[OB]]/Mecze[[#This Row],[CZAS]])</f>
        <v>0</v>
      </c>
      <c r="R3755" s="32">
        <f>IF(Mecze[[#This Row],[BR]]=0,0,Mecze[[#This Row],[BR]]/Mecze[[#This Row],[CZAS]])</f>
        <v>0</v>
      </c>
      <c r="S3755" s="44">
        <f>IF(Mecze[[#This Row],[Role]]="BR",SUMPRODUCT(Mecze[[#This Row],[/PR:90]:[/BR:90]],Brudnopis!$E$23:$J$23),0)</f>
        <v>0</v>
      </c>
      <c r="T3755" s="44">
        <f>IF(Mecze[[#This Row],[Role]]&lt;&gt;"BR",SUMPRODUCT(Mecze[[#This Row],[/PR:90]:[/BR:90]],Brudnopis!$E$24:$J$24),0)</f>
        <v>0.20526315789473684</v>
      </c>
      <c r="U3755" s="44">
        <f>IF(Mecze[[#This Row],[Role]]&lt;&gt;"BR",SUMPRODUCT(Mecze[[#This Row],[/PR:90]:[/BR:90]],Brudnopis!$E$25:$J$25),0)</f>
        <v>0.268421052631579</v>
      </c>
      <c r="V3755" s="44">
        <f>IF(Mecze[[#This Row],[Role]]&lt;&gt;"BR",SUMPRODUCT(Mecze[[#This Row],[/PR:90]:[/BR:90]],Brudnopis!$E$26:$J$26),0)</f>
        <v>0.2</v>
      </c>
      <c r="W3755" s="44">
        <f>IF(Mecze[[#This Row],[Role]]&lt;&gt;"BR",SUMPRODUCT(Mecze[[#This Row],[/PR:90]:[/BR:90]],Brudnopis!$E$27:$J$27),0)</f>
        <v>0.25263157894736843</v>
      </c>
      <c r="X3755" s="44">
        <f>IF(Mecze[[#This Row],[Role]]&lt;&gt;"BR",SUMPRODUCT(Mecze[[#This Row],[/PR:90]:[/BR:90]],Brudnopis!$E$28:$J$28),0)</f>
        <v>0.1368421052631579</v>
      </c>
      <c r="Y3755" s="35">
        <f>IF(Mecze[[#This Row],[Role]]="BR",Mecze[[#This Row],[/OB:90]]+Mecze[[#This Row],[/PC:90]],SUM(Mecze[[#This Row],[/PR:90]:[/BR:90]]))</f>
        <v>0.2</v>
      </c>
      <c r="Z3755" s="35">
        <f>IF(Mecze[[#This Row],[KC]]=0,SUM(Mecze[[#This Row],[/BRI]:[/NPI]]),SUM(Mecze[[#This Row],[/BRI]:[/NPI]])*0.6)</f>
        <v>1.0631578947368423</v>
      </c>
      <c r="AA3755" s="10">
        <f>IFERROR(Mecze[[#This Row],[BR]]/Mecze[[#This Row],[ST]],0)</f>
        <v>0</v>
      </c>
      <c r="AB3755">
        <f>ROUND(Mecze[[#This Row],[PD]]*Mecze[[#This Row],[%PC]],0)</f>
        <v>13</v>
      </c>
      <c r="AC3755">
        <f>ROUND(Mecze[[#This Row],[OD]]*Mecze[[#This Row],[%OU]],0)</f>
        <v>1</v>
      </c>
      <c r="AD3755" s="36" t="s">
        <v>41</v>
      </c>
      <c r="AE3755" s="36">
        <v>216</v>
      </c>
      <c r="AF3755" s="71">
        <v>6.18</v>
      </c>
      <c r="AG3755" s="37">
        <v>0</v>
      </c>
      <c r="AH3755" s="37">
        <v>0</v>
      </c>
      <c r="AI3755" s="37">
        <v>95</v>
      </c>
      <c r="AJ3755" s="37">
        <v>1</v>
      </c>
      <c r="AK3755" s="37" t="str">
        <f>VLOOKUP(Mecze[[#This Row],[Match ID]],Meczusie[Mecz]:Meczusie[RodzajMeczu],2,FALSE)</f>
        <v>Towarzyski</v>
      </c>
    </row>
    <row r="3756" spans="1:37" x14ac:dyDescent="0.25">
      <c r="A3756" s="76">
        <v>60</v>
      </c>
      <c r="B3756" s="3" t="s">
        <v>515</v>
      </c>
      <c r="C3756" s="2" t="s">
        <v>160</v>
      </c>
      <c r="D3756" s="1">
        <v>0</v>
      </c>
      <c r="E3756" s="1">
        <v>0</v>
      </c>
      <c r="F3756" s="1">
        <v>0</v>
      </c>
      <c r="G3756" s="1">
        <v>16</v>
      </c>
      <c r="H3756" s="4">
        <v>0.69</v>
      </c>
      <c r="I3756" s="1">
        <v>5</v>
      </c>
      <c r="J3756" s="4">
        <v>0.8</v>
      </c>
      <c r="K3756" s="1">
        <v>0</v>
      </c>
      <c r="L3756" s="1">
        <v>4</v>
      </c>
      <c r="M3756" s="32">
        <f>IF(Mecze[[#This Row],[PR]]=0,0,Mecze[[#This Row],[PR]]/Mecze[[#This Row],[CZAS]])</f>
        <v>4.2105263157894736E-2</v>
      </c>
      <c r="N3756" s="32">
        <f>IF(Mecze[[#This Row],[OU]]=0,0,Mecze[[#This Row],[OU]]/Mecze[[#This Row],[CZAS]])</f>
        <v>4.2105263157894736E-2</v>
      </c>
      <c r="O3756" s="32">
        <f>IF(Mecze[[#This Row],[PC]]=0,0,Mecze[[#This Row],[PC]]/Mecze[[#This Row],[CZAS]])</f>
        <v>0.11578947368421053</v>
      </c>
      <c r="P3756" s="32">
        <f>IF(Mecze[[#This Row],[SC]]=0,0,Mecze[[#This Row],[SC]]/Mecze[[#This Row],[CZAS]])</f>
        <v>0</v>
      </c>
      <c r="Q3756" s="32">
        <f>IF(Mecze[[#This Row],[OB]]=0,0,Mecze[[#This Row],[OB]]/Mecze[[#This Row],[CZAS]])</f>
        <v>0</v>
      </c>
      <c r="R3756" s="32">
        <f>IF(Mecze[[#This Row],[BR]]=0,0,Mecze[[#This Row],[BR]]/Mecze[[#This Row],[CZAS]])</f>
        <v>0</v>
      </c>
      <c r="S3756" s="44">
        <f>IF(Mecze[[#This Row],[Role]]="BR",SUMPRODUCT(Mecze[[#This Row],[/PR:90]:[/BR:90]],Brudnopis!$E$23:$J$23),0)</f>
        <v>0</v>
      </c>
      <c r="T3756" s="44">
        <f>IF(Mecze[[#This Row],[Role]]&lt;&gt;"BR",SUMPRODUCT(Mecze[[#This Row],[/PR:90]:[/BR:90]],Brudnopis!$E$24:$J$24),0)</f>
        <v>0.22105263157894736</v>
      </c>
      <c r="U3756" s="44">
        <f>IF(Mecze[[#This Row],[Role]]&lt;&gt;"BR",SUMPRODUCT(Mecze[[#This Row],[/PR:90]:[/BR:90]],Brudnopis!$E$25:$J$25),0)</f>
        <v>0.25789473684210523</v>
      </c>
      <c r="V3756" s="44">
        <f>IF(Mecze[[#This Row],[Role]]&lt;&gt;"BR",SUMPRODUCT(Mecze[[#This Row],[/PR:90]:[/BR:90]],Brudnopis!$E$26:$J$26),0)</f>
        <v>0.2</v>
      </c>
      <c r="W3756" s="44">
        <f>IF(Mecze[[#This Row],[Role]]&lt;&gt;"BR",SUMPRODUCT(Mecze[[#This Row],[/PR:90]:[/BR:90]],Brudnopis!$E$27:$J$27),0)</f>
        <v>0.23684210526315788</v>
      </c>
      <c r="X3756" s="44">
        <f>IF(Mecze[[#This Row],[Role]]&lt;&gt;"BR",SUMPRODUCT(Mecze[[#This Row],[/PR:90]:[/BR:90]],Brudnopis!$E$28:$J$28),0)</f>
        <v>0.11578947368421053</v>
      </c>
      <c r="Y3756" s="35">
        <f>IF(Mecze[[#This Row],[Role]]="BR",Mecze[[#This Row],[/OB:90]]+Mecze[[#This Row],[/PC:90]],SUM(Mecze[[#This Row],[/PR:90]:[/BR:90]]))</f>
        <v>0.2</v>
      </c>
      <c r="Z3756" s="35">
        <f>IF(Mecze[[#This Row],[KC]]=0,SUM(Mecze[[#This Row],[/BRI]:[/NPI]]),SUM(Mecze[[#This Row],[/BRI]:[/NPI]])*0.6)</f>
        <v>1.0315789473684209</v>
      </c>
      <c r="AA3756" s="10">
        <f>IFERROR(Mecze[[#This Row],[BR]]/Mecze[[#This Row],[ST]],0)</f>
        <v>0</v>
      </c>
      <c r="AB3756">
        <f>ROUND(Mecze[[#This Row],[PD]]*Mecze[[#This Row],[%PC]],0)</f>
        <v>11</v>
      </c>
      <c r="AC3756">
        <f>ROUND(Mecze[[#This Row],[OD]]*Mecze[[#This Row],[%OU]],0)</f>
        <v>4</v>
      </c>
      <c r="AD3756" s="36" t="s">
        <v>41</v>
      </c>
      <c r="AE3756" s="36">
        <v>216</v>
      </c>
      <c r="AF3756" s="71">
        <v>5.97</v>
      </c>
      <c r="AG3756" s="37">
        <v>0</v>
      </c>
      <c r="AH3756" s="37">
        <v>0</v>
      </c>
      <c r="AI3756" s="37">
        <v>95</v>
      </c>
      <c r="AJ3756" s="37">
        <v>1</v>
      </c>
      <c r="AK3756" s="37" t="str">
        <f>VLOOKUP(Mecze[[#This Row],[Match ID]],Meczusie[Mecz]:Meczusie[RodzajMeczu],2,FALSE)</f>
        <v>Towarzyski</v>
      </c>
    </row>
    <row r="3757" spans="1:37" x14ac:dyDescent="0.25">
      <c r="A3757" s="76">
        <v>15</v>
      </c>
      <c r="B3757" s="3" t="s">
        <v>170</v>
      </c>
      <c r="C3757" s="2" t="s">
        <v>160</v>
      </c>
      <c r="D3757" s="1">
        <v>0</v>
      </c>
      <c r="E3757" s="1">
        <v>0</v>
      </c>
      <c r="F3757" s="1">
        <v>0</v>
      </c>
      <c r="G3757" s="1">
        <v>11</v>
      </c>
      <c r="H3757" s="4">
        <v>0.82</v>
      </c>
      <c r="I3757" s="1">
        <v>6</v>
      </c>
      <c r="J3757" s="4">
        <v>0.5</v>
      </c>
      <c r="K3757" s="1">
        <v>0</v>
      </c>
      <c r="L3757" s="1">
        <v>0</v>
      </c>
      <c r="M3757" s="32">
        <f>IF(Mecze[[#This Row],[PR]]=0,0,Mecze[[#This Row],[PR]]/Mecze[[#This Row],[CZAS]])</f>
        <v>0</v>
      </c>
      <c r="N3757" s="32">
        <f>IF(Mecze[[#This Row],[OU]]=0,0,Mecze[[#This Row],[OU]]/Mecze[[#This Row],[CZAS]])</f>
        <v>3.1578947368421054E-2</v>
      </c>
      <c r="O3757" s="32">
        <f>IF(Mecze[[#This Row],[PC]]=0,0,Mecze[[#This Row],[PC]]/Mecze[[#This Row],[CZAS]])</f>
        <v>9.4736842105263161E-2</v>
      </c>
      <c r="P3757" s="32">
        <f>IF(Mecze[[#This Row],[SC]]=0,0,Mecze[[#This Row],[SC]]/Mecze[[#This Row],[CZAS]])</f>
        <v>0</v>
      </c>
      <c r="Q3757" s="32">
        <f>IF(Mecze[[#This Row],[OB]]=0,0,Mecze[[#This Row],[OB]]/Mecze[[#This Row],[CZAS]])</f>
        <v>0</v>
      </c>
      <c r="R3757" s="32">
        <f>IF(Mecze[[#This Row],[BR]]=0,0,Mecze[[#This Row],[BR]]/Mecze[[#This Row],[CZAS]])</f>
        <v>0</v>
      </c>
      <c r="S3757" s="44">
        <f>IF(Mecze[[#This Row],[Role]]="BR",SUMPRODUCT(Mecze[[#This Row],[/PR:90]:[/BR:90]],Brudnopis!$E$23:$J$23),0)</f>
        <v>0</v>
      </c>
      <c r="T3757" s="44">
        <f>IF(Mecze[[#This Row],[Role]]&lt;&gt;"BR",SUMPRODUCT(Mecze[[#This Row],[/PR:90]:[/BR:90]],Brudnopis!$E$24:$J$24),0)</f>
        <v>0.14210526315789473</v>
      </c>
      <c r="U3757" s="44">
        <f>IF(Mecze[[#This Row],[Role]]&lt;&gt;"BR",SUMPRODUCT(Mecze[[#This Row],[/PR:90]:[/BR:90]],Brudnopis!$E$25:$J$25),0)</f>
        <v>0.17368421052631577</v>
      </c>
      <c r="V3757" s="44">
        <f>IF(Mecze[[#This Row],[Role]]&lt;&gt;"BR",SUMPRODUCT(Mecze[[#This Row],[/PR:90]:[/BR:90]],Brudnopis!$E$26:$J$26),0)</f>
        <v>0.12631578947368421</v>
      </c>
      <c r="W3757" s="44">
        <f>IF(Mecze[[#This Row],[Role]]&lt;&gt;"BR",SUMPRODUCT(Mecze[[#This Row],[/PR:90]:[/BR:90]],Brudnopis!$E$27:$J$27),0)</f>
        <v>0.16578947368421051</v>
      </c>
      <c r="X3757" s="44">
        <f>IF(Mecze[[#This Row],[Role]]&lt;&gt;"BR",SUMPRODUCT(Mecze[[#This Row],[/PR:90]:[/BR:90]],Brudnopis!$E$28:$J$28),0)</f>
        <v>9.4736842105263161E-2</v>
      </c>
      <c r="Y3757" s="35">
        <f>IF(Mecze[[#This Row],[Role]]="BR",Mecze[[#This Row],[/OB:90]]+Mecze[[#This Row],[/PC:90]],SUM(Mecze[[#This Row],[/PR:90]:[/BR:90]]))</f>
        <v>0.12631578947368421</v>
      </c>
      <c r="Z3757" s="35">
        <f>IF(Mecze[[#This Row],[KC]]=0,SUM(Mecze[[#This Row],[/BRI]:[/NPI]]),SUM(Mecze[[#This Row],[/BRI]:[/NPI]])*0.6)</f>
        <v>0.70263157894736838</v>
      </c>
      <c r="AA3757" s="10">
        <f>IFERROR(Mecze[[#This Row],[BR]]/Mecze[[#This Row],[ST]],0)</f>
        <v>0</v>
      </c>
      <c r="AB3757">
        <f>ROUND(Mecze[[#This Row],[PD]]*Mecze[[#This Row],[%PC]],0)</f>
        <v>9</v>
      </c>
      <c r="AC3757">
        <f>ROUND(Mecze[[#This Row],[OD]]*Mecze[[#This Row],[%OU]],0)</f>
        <v>3</v>
      </c>
      <c r="AD3757" s="36" t="s">
        <v>67</v>
      </c>
      <c r="AE3757" s="36">
        <v>216</v>
      </c>
      <c r="AF3757" s="71">
        <v>6.04</v>
      </c>
      <c r="AG3757" s="37">
        <v>0</v>
      </c>
      <c r="AH3757" s="37">
        <v>0</v>
      </c>
      <c r="AI3757" s="37">
        <v>95</v>
      </c>
      <c r="AJ3757" s="37">
        <v>1</v>
      </c>
      <c r="AK3757" s="37" t="str">
        <f>VLOOKUP(Mecze[[#This Row],[Match ID]],Meczusie[Mecz]:Meczusie[RodzajMeczu],2,FALSE)</f>
        <v>Towarzyski</v>
      </c>
    </row>
    <row r="3758" spans="1:37" x14ac:dyDescent="0.25">
      <c r="A3758" s="76">
        <v>14</v>
      </c>
      <c r="B3758" s="3" t="s">
        <v>164</v>
      </c>
      <c r="C3758" s="2" t="s">
        <v>160</v>
      </c>
      <c r="D3758" s="1">
        <v>3</v>
      </c>
      <c r="E3758" s="1">
        <v>4</v>
      </c>
      <c r="F3758" s="1">
        <v>4</v>
      </c>
      <c r="G3758" s="1">
        <v>9</v>
      </c>
      <c r="H3758" s="4">
        <v>0.78</v>
      </c>
      <c r="I3758" s="1">
        <v>6</v>
      </c>
      <c r="J3758" s="4">
        <v>0.67</v>
      </c>
      <c r="K3758" s="1">
        <v>0</v>
      </c>
      <c r="L3758" s="1">
        <v>2</v>
      </c>
      <c r="M3758" s="32">
        <f>IF(Mecze[[#This Row],[PR]]=0,0,Mecze[[#This Row],[PR]]/Mecze[[#This Row],[CZAS]])</f>
        <v>2.1052631578947368E-2</v>
      </c>
      <c r="N3758" s="32">
        <f>IF(Mecze[[#This Row],[OU]]=0,0,Mecze[[#This Row],[OU]]/Mecze[[#This Row],[CZAS]])</f>
        <v>4.2105263157894736E-2</v>
      </c>
      <c r="O3758" s="32">
        <f>IF(Mecze[[#This Row],[PC]]=0,0,Mecze[[#This Row],[PC]]/Mecze[[#This Row],[CZAS]])</f>
        <v>7.3684210526315783E-2</v>
      </c>
      <c r="P3758" s="32">
        <f>IF(Mecze[[#This Row],[SC]]=0,0,Mecze[[#This Row],[SC]]/Mecze[[#This Row],[CZAS]])</f>
        <v>4.2105263157894736E-2</v>
      </c>
      <c r="Q3758" s="32">
        <f>IF(Mecze[[#This Row],[OB]]=0,0,Mecze[[#This Row],[OB]]/Mecze[[#This Row],[CZAS]])</f>
        <v>0</v>
      </c>
      <c r="R3758" s="32">
        <f>IF(Mecze[[#This Row],[BR]]=0,0,Mecze[[#This Row],[BR]]/Mecze[[#This Row],[CZAS]])</f>
        <v>3.1578947368421054E-2</v>
      </c>
      <c r="S3758" s="44">
        <f>IF(Mecze[[#This Row],[Role]]="BR",SUMPRODUCT(Mecze[[#This Row],[/PR:90]:[/BR:90]],Brudnopis!$E$23:$J$23),0)</f>
        <v>0</v>
      </c>
      <c r="T3758" s="44">
        <f>IF(Mecze[[#This Row],[Role]]&lt;&gt;"BR",SUMPRODUCT(Mecze[[#This Row],[/PR:90]:[/BR:90]],Brudnopis!$E$24:$J$24),0)</f>
        <v>0.24736842105263157</v>
      </c>
      <c r="U3758" s="44">
        <f>IF(Mecze[[#This Row],[Role]]&lt;&gt;"BR",SUMPRODUCT(Mecze[[#This Row],[/PR:90]:[/BR:90]],Brudnopis!$E$25:$J$25),0)</f>
        <v>0.26315789473684209</v>
      </c>
      <c r="V3758" s="44">
        <f>IF(Mecze[[#This Row],[Role]]&lt;&gt;"BR",SUMPRODUCT(Mecze[[#This Row],[/PR:90]:[/BR:90]],Brudnopis!$E$26:$J$26),0)</f>
        <v>0.24210526315789471</v>
      </c>
      <c r="W3758" s="44">
        <f>IF(Mecze[[#This Row],[Role]]&lt;&gt;"BR",SUMPRODUCT(Mecze[[#This Row],[/PR:90]:[/BR:90]],Brudnopis!$E$27:$J$27),0)</f>
        <v>0.26315789473684209</v>
      </c>
      <c r="X3758" s="44">
        <f>IF(Mecze[[#This Row],[Role]]&lt;&gt;"BR",SUMPRODUCT(Mecze[[#This Row],[/PR:90]:[/BR:90]],Brudnopis!$E$28:$J$28),0)</f>
        <v>0.25263157894736843</v>
      </c>
      <c r="Y3758" s="35">
        <f>IF(Mecze[[#This Row],[Role]]="BR",Mecze[[#This Row],[/OB:90]]+Mecze[[#This Row],[/PC:90]],SUM(Mecze[[#This Row],[/PR:90]:[/BR:90]]))</f>
        <v>0.21052631578947367</v>
      </c>
      <c r="Z3758" s="35">
        <f>IF(Mecze[[#This Row],[KC]]=0,SUM(Mecze[[#This Row],[/BRI]:[/NPI]]),SUM(Mecze[[#This Row],[/BRI]:[/NPI]])*0.6)</f>
        <v>1.2684210526315791</v>
      </c>
      <c r="AA3758" s="10">
        <f>IFERROR(Mecze[[#This Row],[BR]]/Mecze[[#This Row],[ST]],0)</f>
        <v>0.75</v>
      </c>
      <c r="AB3758">
        <f>ROUND(Mecze[[#This Row],[PD]]*Mecze[[#This Row],[%PC]],0)</f>
        <v>7</v>
      </c>
      <c r="AC3758">
        <f>ROUND(Mecze[[#This Row],[OD]]*Mecze[[#This Row],[%OU]],0)</f>
        <v>4</v>
      </c>
      <c r="AD3758" s="36" t="s">
        <v>44</v>
      </c>
      <c r="AE3758" s="36">
        <v>216</v>
      </c>
      <c r="AF3758" s="71">
        <v>12.8</v>
      </c>
      <c r="AG3758" s="37">
        <v>0</v>
      </c>
      <c r="AH3758" s="37">
        <v>0</v>
      </c>
      <c r="AI3758" s="37">
        <v>95</v>
      </c>
      <c r="AJ3758" s="37">
        <v>1</v>
      </c>
      <c r="AK3758" s="37" t="str">
        <f>VLOOKUP(Mecze[[#This Row],[Match ID]],Meczusie[Mecz]:Meczusie[RodzajMeczu],2,FALSE)</f>
        <v>Towarzyski</v>
      </c>
    </row>
    <row r="3759" spans="1:37" x14ac:dyDescent="0.25">
      <c r="A3759" s="76">
        <v>19</v>
      </c>
      <c r="B3759" s="3" t="s">
        <v>166</v>
      </c>
      <c r="C3759" s="2" t="s">
        <v>160</v>
      </c>
      <c r="D3759" s="1">
        <v>1</v>
      </c>
      <c r="E3759" s="1">
        <v>5</v>
      </c>
      <c r="F3759" s="1">
        <v>4</v>
      </c>
      <c r="G3759" s="1">
        <v>11</v>
      </c>
      <c r="H3759" s="4">
        <v>0.36</v>
      </c>
      <c r="I3759" s="1">
        <v>1</v>
      </c>
      <c r="J3759" s="4">
        <v>1</v>
      </c>
      <c r="K3759" s="1">
        <v>0</v>
      </c>
      <c r="L3759" s="1">
        <v>2</v>
      </c>
      <c r="M3759" s="32">
        <f>IF(Mecze[[#This Row],[PR]]=0,0,Mecze[[#This Row],[PR]]/Mecze[[#This Row],[CZAS]])</f>
        <v>2.1052631578947368E-2</v>
      </c>
      <c r="N3759" s="32">
        <f>IF(Mecze[[#This Row],[OU]]=0,0,Mecze[[#This Row],[OU]]/Mecze[[#This Row],[CZAS]])</f>
        <v>1.0526315789473684E-2</v>
      </c>
      <c r="O3759" s="32">
        <f>IF(Mecze[[#This Row],[PC]]=0,0,Mecze[[#This Row],[PC]]/Mecze[[#This Row],[CZAS]])</f>
        <v>4.2105263157894736E-2</v>
      </c>
      <c r="P3759" s="32">
        <f>IF(Mecze[[#This Row],[SC]]=0,0,Mecze[[#This Row],[SC]]/Mecze[[#This Row],[CZAS]])</f>
        <v>4.2105263157894736E-2</v>
      </c>
      <c r="Q3759" s="32">
        <f>IF(Mecze[[#This Row],[OB]]=0,0,Mecze[[#This Row],[OB]]/Mecze[[#This Row],[CZAS]])</f>
        <v>0</v>
      </c>
      <c r="R3759" s="32">
        <f>IF(Mecze[[#This Row],[BR]]=0,0,Mecze[[#This Row],[BR]]/Mecze[[#This Row],[CZAS]])</f>
        <v>1.0526315789473684E-2</v>
      </c>
      <c r="S3759" s="44">
        <f>IF(Mecze[[#This Row],[Role]]="BR",SUMPRODUCT(Mecze[[#This Row],[/PR:90]:[/BR:90]],Brudnopis!$E$23:$J$23),0)</f>
        <v>0</v>
      </c>
      <c r="T3759" s="44">
        <f>IF(Mecze[[#This Row],[Role]]&lt;&gt;"BR",SUMPRODUCT(Mecze[[#This Row],[/PR:90]:[/BR:90]],Brudnopis!$E$24:$J$24),0)</f>
        <v>0.13684210526315788</v>
      </c>
      <c r="U3759" s="44">
        <f>IF(Mecze[[#This Row],[Role]]&lt;&gt;"BR",SUMPRODUCT(Mecze[[#This Row],[/PR:90]:[/BR:90]],Brudnopis!$E$25:$J$25),0)</f>
        <v>0.15263157894736842</v>
      </c>
      <c r="V3759" s="44">
        <f>IF(Mecze[[#This Row],[Role]]&lt;&gt;"BR",SUMPRODUCT(Mecze[[#This Row],[/PR:90]:[/BR:90]],Brudnopis!$E$26:$J$26),0)</f>
        <v>0.1368421052631579</v>
      </c>
      <c r="W3759" s="44">
        <f>IF(Mecze[[#This Row],[Role]]&lt;&gt;"BR",SUMPRODUCT(Mecze[[#This Row],[/PR:90]:[/BR:90]],Brudnopis!$E$27:$J$27),0)</f>
        <v>0.15000000000000002</v>
      </c>
      <c r="X3759" s="44">
        <f>IF(Mecze[[#This Row],[Role]]&lt;&gt;"BR",SUMPRODUCT(Mecze[[#This Row],[/PR:90]:[/BR:90]],Brudnopis!$E$28:$J$28),0)</f>
        <v>0.15789473684210525</v>
      </c>
      <c r="Y3759" s="35">
        <f>IF(Mecze[[#This Row],[Role]]="BR",Mecze[[#This Row],[/OB:90]]+Mecze[[#This Row],[/PC:90]],SUM(Mecze[[#This Row],[/PR:90]:[/BR:90]]))</f>
        <v>0.12631578947368421</v>
      </c>
      <c r="Z3759" s="35">
        <f>IF(Mecze[[#This Row],[KC]]=0,SUM(Mecze[[#This Row],[/BRI]:[/NPI]]),SUM(Mecze[[#This Row],[/BRI]:[/NPI]])*0.6)</f>
        <v>0.73421052631578942</v>
      </c>
      <c r="AA3759" s="10">
        <f>IFERROR(Mecze[[#This Row],[BR]]/Mecze[[#This Row],[ST]],0)</f>
        <v>0.2</v>
      </c>
      <c r="AB3759">
        <f>ROUND(Mecze[[#This Row],[PD]]*Mecze[[#This Row],[%PC]],0)</f>
        <v>4</v>
      </c>
      <c r="AC3759">
        <f>ROUND(Mecze[[#This Row],[OD]]*Mecze[[#This Row],[%OU]],0)</f>
        <v>1</v>
      </c>
      <c r="AD3759" s="36" t="s">
        <v>44</v>
      </c>
      <c r="AE3759" s="36">
        <v>216</v>
      </c>
      <c r="AF3759" s="71">
        <v>7.37</v>
      </c>
      <c r="AG3759" s="37">
        <v>0</v>
      </c>
      <c r="AH3759" s="37">
        <v>0</v>
      </c>
      <c r="AI3759" s="37">
        <v>95</v>
      </c>
      <c r="AJ3759" s="37">
        <v>1</v>
      </c>
      <c r="AK3759" s="37" t="str">
        <f>VLOOKUP(Mecze[[#This Row],[Match ID]],Meczusie[Mecz]:Meczusie[RodzajMeczu],2,FALSE)</f>
        <v>Towarzyski</v>
      </c>
    </row>
    <row r="3760" spans="1:37" x14ac:dyDescent="0.25">
      <c r="A3760" s="76">
        <v>9</v>
      </c>
      <c r="B3760" s="3" t="s">
        <v>411</v>
      </c>
      <c r="C3760" s="2" t="s">
        <v>165</v>
      </c>
      <c r="D3760" s="1">
        <v>1</v>
      </c>
      <c r="E3760" s="1">
        <v>4</v>
      </c>
      <c r="F3760" s="1">
        <v>4</v>
      </c>
      <c r="G3760" s="1">
        <v>4</v>
      </c>
      <c r="H3760" s="4">
        <v>1</v>
      </c>
      <c r="I3760" s="1">
        <v>2</v>
      </c>
      <c r="J3760" s="4">
        <v>0</v>
      </c>
      <c r="K3760" s="1">
        <v>0</v>
      </c>
      <c r="L3760" s="1">
        <v>0</v>
      </c>
      <c r="M3760" s="32">
        <f>IF(Mecze[[#This Row],[PR]]=0,0,Mecze[[#This Row],[PR]]/Mecze[[#This Row],[CZAS]])</f>
        <v>0</v>
      </c>
      <c r="N3760" s="32">
        <f>IF(Mecze[[#This Row],[OU]]=0,0,Mecze[[#This Row],[OU]]/Mecze[[#This Row],[CZAS]])</f>
        <v>0</v>
      </c>
      <c r="O3760" s="32">
        <f>IF(Mecze[[#This Row],[PC]]=0,0,Mecze[[#This Row],[PC]]/Mecze[[#This Row],[CZAS]])</f>
        <v>4.2105263157894736E-2</v>
      </c>
      <c r="P3760" s="32">
        <f>IF(Mecze[[#This Row],[SC]]=0,0,Mecze[[#This Row],[SC]]/Mecze[[#This Row],[CZAS]])</f>
        <v>4.2105263157894736E-2</v>
      </c>
      <c r="Q3760" s="32">
        <f>IF(Mecze[[#This Row],[OB]]=0,0,Mecze[[#This Row],[OB]]/Mecze[[#This Row],[CZAS]])</f>
        <v>0</v>
      </c>
      <c r="R3760" s="32">
        <f>IF(Mecze[[#This Row],[BR]]=0,0,Mecze[[#This Row],[BR]]/Mecze[[#This Row],[CZAS]])</f>
        <v>1.0526315789473684E-2</v>
      </c>
      <c r="S3760" s="44">
        <f>IF(Mecze[[#This Row],[Role]]="BR",SUMPRODUCT(Mecze[[#This Row],[/PR:90]:[/BR:90]],Brudnopis!$E$23:$J$23),0)</f>
        <v>0</v>
      </c>
      <c r="T3760" s="44">
        <f>IF(Mecze[[#This Row],[Role]]&lt;&gt;"BR",SUMPRODUCT(Mecze[[#This Row],[/PR:90]:[/BR:90]],Brudnopis!$E$24:$J$24),0)</f>
        <v>0.1</v>
      </c>
      <c r="U3760" s="44">
        <f>IF(Mecze[[#This Row],[Role]]&lt;&gt;"BR",SUMPRODUCT(Mecze[[#This Row],[/PR:90]:[/BR:90]],Brudnopis!$E$25:$J$25),0)</f>
        <v>0.12105263157894736</v>
      </c>
      <c r="V3760" s="44">
        <f>IF(Mecze[[#This Row],[Role]]&lt;&gt;"BR",SUMPRODUCT(Mecze[[#This Row],[/PR:90]:[/BR:90]],Brudnopis!$E$26:$J$26),0)</f>
        <v>0.10526315789473684</v>
      </c>
      <c r="W3760" s="44">
        <f>IF(Mecze[[#This Row],[Role]]&lt;&gt;"BR",SUMPRODUCT(Mecze[[#This Row],[/PR:90]:[/BR:90]],Brudnopis!$E$27:$J$27),0)</f>
        <v>0.12631578947368421</v>
      </c>
      <c r="X3760" s="44">
        <f>IF(Mecze[[#This Row],[Role]]&lt;&gt;"BR",SUMPRODUCT(Mecze[[#This Row],[/PR:90]:[/BR:90]],Brudnopis!$E$28:$J$28),0)</f>
        <v>0.15789473684210525</v>
      </c>
      <c r="Y3760" s="35">
        <f>IF(Mecze[[#This Row],[Role]]="BR",Mecze[[#This Row],[/OB:90]]+Mecze[[#This Row],[/PC:90]],SUM(Mecze[[#This Row],[/PR:90]:[/BR:90]]))</f>
        <v>9.4736842105263161E-2</v>
      </c>
      <c r="Z3760" s="35">
        <f>IF(Mecze[[#This Row],[KC]]=0,SUM(Mecze[[#This Row],[/BRI]:[/NPI]]),SUM(Mecze[[#This Row],[/BRI]:[/NPI]])*0.6)</f>
        <v>0.61052631578947369</v>
      </c>
      <c r="AA3760" s="10">
        <f>IFERROR(Mecze[[#This Row],[BR]]/Mecze[[#This Row],[ST]],0)</f>
        <v>0.25</v>
      </c>
      <c r="AB3760">
        <f>ROUND(Mecze[[#This Row],[PD]]*Mecze[[#This Row],[%PC]],0)</f>
        <v>4</v>
      </c>
      <c r="AC3760">
        <f>ROUND(Mecze[[#This Row],[OD]]*Mecze[[#This Row],[%OU]],0)</f>
        <v>0</v>
      </c>
      <c r="AD3760" s="36" t="s">
        <v>46</v>
      </c>
      <c r="AE3760" s="36">
        <v>216</v>
      </c>
      <c r="AF3760" s="71">
        <v>7.11</v>
      </c>
      <c r="AG3760" s="37">
        <v>0</v>
      </c>
      <c r="AH3760" s="37">
        <v>0</v>
      </c>
      <c r="AI3760" s="37">
        <v>95</v>
      </c>
      <c r="AJ3760" s="37">
        <v>1</v>
      </c>
      <c r="AK3760" s="37" t="str">
        <f>VLOOKUP(Mecze[[#This Row],[Match ID]],Meczusie[Mecz]:Meczusie[RodzajMeczu],2,FALSE)</f>
        <v>Towarzyski</v>
      </c>
    </row>
    <row r="3761" spans="1:37" x14ac:dyDescent="0.25">
      <c r="A3761" s="76">
        <v>1</v>
      </c>
      <c r="B3761" s="3" t="s">
        <v>169</v>
      </c>
      <c r="C3761" s="2" t="s">
        <v>155</v>
      </c>
      <c r="D3761" s="1">
        <v>0</v>
      </c>
      <c r="E3761" s="1">
        <v>0</v>
      </c>
      <c r="F3761" s="1">
        <v>0</v>
      </c>
      <c r="G3761" s="1">
        <v>7</v>
      </c>
      <c r="H3761" s="4">
        <v>0.43</v>
      </c>
      <c r="I3761" s="1">
        <v>0</v>
      </c>
      <c r="J3761" s="4"/>
      <c r="K3761" s="1">
        <v>5</v>
      </c>
      <c r="L3761" s="1">
        <v>0</v>
      </c>
      <c r="M3761" s="32">
        <f>IF(Mecze[[#This Row],[PR]]=0,0,Mecze[[#This Row],[PR]]/Mecze[[#This Row],[CZAS]])</f>
        <v>0</v>
      </c>
      <c r="N3761" s="32">
        <f>IF(Mecze[[#This Row],[OU]]=0,0,Mecze[[#This Row],[OU]]/Mecze[[#This Row],[CZAS]])</f>
        <v>0</v>
      </c>
      <c r="O3761" s="32">
        <f>IF(Mecze[[#This Row],[PC]]=0,0,Mecze[[#This Row],[PC]]/Mecze[[#This Row],[CZAS]])</f>
        <v>3.0927835051546393E-2</v>
      </c>
      <c r="P3761" s="32">
        <f>IF(Mecze[[#This Row],[SC]]=0,0,Mecze[[#This Row],[SC]]/Mecze[[#This Row],[CZAS]])</f>
        <v>0</v>
      </c>
      <c r="Q3761" s="32">
        <f>IF(Mecze[[#This Row],[OB]]=0,0,Mecze[[#This Row],[OB]]/Mecze[[#This Row],[CZAS]])</f>
        <v>5.1546391752577317E-2</v>
      </c>
      <c r="R3761" s="32">
        <f>IF(Mecze[[#This Row],[BR]]=0,0,Mecze[[#This Row],[BR]]/Mecze[[#This Row],[CZAS]])</f>
        <v>0</v>
      </c>
      <c r="S3761" s="44">
        <f>IF(Mecze[[#This Row],[Role]]="BR",SUMPRODUCT(Mecze[[#This Row],[/PR:90]:[/BR:90]],Brudnopis!$E$23:$J$23),0)</f>
        <v>0.24742268041237114</v>
      </c>
      <c r="T3761" s="44">
        <f>IF(Mecze[[#This Row],[Role]]&lt;&gt;"BR",SUMPRODUCT(Mecze[[#This Row],[/PR:90]:[/BR:90]],Brudnopis!$E$24:$J$24),0)</f>
        <v>0</v>
      </c>
      <c r="U3761" s="44">
        <f>IF(Mecze[[#This Row],[Role]]&lt;&gt;"BR",SUMPRODUCT(Mecze[[#This Row],[/PR:90]:[/BR:90]],Brudnopis!$E$25:$J$25),0)</f>
        <v>0</v>
      </c>
      <c r="V3761" s="44">
        <f>IF(Mecze[[#This Row],[Role]]&lt;&gt;"BR",SUMPRODUCT(Mecze[[#This Row],[/PR:90]:[/BR:90]],Brudnopis!$E$26:$J$26),0)</f>
        <v>0</v>
      </c>
      <c r="W3761" s="44">
        <f>IF(Mecze[[#This Row],[Role]]&lt;&gt;"BR",SUMPRODUCT(Mecze[[#This Row],[/PR:90]:[/BR:90]],Brudnopis!$E$27:$J$27),0)</f>
        <v>0</v>
      </c>
      <c r="X3761" s="44">
        <f>IF(Mecze[[#This Row],[Role]]&lt;&gt;"BR",SUMPRODUCT(Mecze[[#This Row],[/PR:90]:[/BR:90]],Brudnopis!$E$28:$J$28),0)</f>
        <v>0</v>
      </c>
      <c r="Y3761" s="35">
        <f>IF(Mecze[[#This Row],[Role]]="BR",Mecze[[#This Row],[/OB:90]]+Mecze[[#This Row],[/PC:90]],SUM(Mecze[[#This Row],[/PR:90]:[/BR:90]]))</f>
        <v>8.247422680412371E-2</v>
      </c>
      <c r="Z3761" s="35">
        <f>IF(Mecze[[#This Row],[KC]]=0,SUM(Mecze[[#This Row],[/BRI]:[/NPI]]),SUM(Mecze[[#This Row],[/BRI]:[/NPI]])*0.6)</f>
        <v>0.24742268041237114</v>
      </c>
      <c r="AA3761" s="10">
        <f>IFERROR(Mecze[[#This Row],[BR]]/Mecze[[#This Row],[ST]],0)</f>
        <v>0</v>
      </c>
      <c r="AB3761">
        <f>ROUND(Mecze[[#This Row],[PD]]*Mecze[[#This Row],[%PC]],0)</f>
        <v>3</v>
      </c>
      <c r="AC3761">
        <f>ROUND(Mecze[[#This Row],[OD]]*Mecze[[#This Row],[%OU]],0)</f>
        <v>0</v>
      </c>
      <c r="AD3761" s="36" t="s">
        <v>40</v>
      </c>
      <c r="AE3761" s="36">
        <v>217</v>
      </c>
      <c r="AF3761" s="71">
        <v>3.34</v>
      </c>
      <c r="AG3761" s="37">
        <v>0</v>
      </c>
      <c r="AH3761" s="37">
        <v>0</v>
      </c>
      <c r="AI3761" s="37">
        <v>97</v>
      </c>
      <c r="AJ3761" s="37">
        <v>1</v>
      </c>
      <c r="AK3761" s="37" t="str">
        <f>VLOOKUP(Mecze[[#This Row],[Match ID]],Meczusie[Mecz]:Meczusie[RodzajMeczu],2,FALSE)</f>
        <v>Towarzyski</v>
      </c>
    </row>
    <row r="3762" spans="1:37" x14ac:dyDescent="0.25">
      <c r="A3762" s="76">
        <v>6</v>
      </c>
      <c r="B3762" s="3" t="s">
        <v>159</v>
      </c>
      <c r="C3762" s="2" t="s">
        <v>157</v>
      </c>
      <c r="D3762" s="1">
        <v>0</v>
      </c>
      <c r="E3762" s="1">
        <v>0</v>
      </c>
      <c r="F3762" s="1">
        <v>0</v>
      </c>
      <c r="G3762" s="1">
        <v>7</v>
      </c>
      <c r="H3762" s="4">
        <v>0.71</v>
      </c>
      <c r="I3762" s="1">
        <v>9</v>
      </c>
      <c r="J3762" s="4">
        <v>0.22</v>
      </c>
      <c r="K3762" s="1">
        <v>0</v>
      </c>
      <c r="L3762" s="1">
        <v>7</v>
      </c>
      <c r="M3762" s="32">
        <f>IF(Mecze[[#This Row],[PR]]=0,0,Mecze[[#This Row],[PR]]/Mecze[[#This Row],[CZAS]])</f>
        <v>7.2164948453608241E-2</v>
      </c>
      <c r="N3762" s="32">
        <f>IF(Mecze[[#This Row],[OU]]=0,0,Mecze[[#This Row],[OU]]/Mecze[[#This Row],[CZAS]])</f>
        <v>2.0618556701030927E-2</v>
      </c>
      <c r="O3762" s="32">
        <f>IF(Mecze[[#This Row],[PC]]=0,0,Mecze[[#This Row],[PC]]/Mecze[[#This Row],[CZAS]])</f>
        <v>5.1546391752577317E-2</v>
      </c>
      <c r="P3762" s="32">
        <f>IF(Mecze[[#This Row],[SC]]=0,0,Mecze[[#This Row],[SC]]/Mecze[[#This Row],[CZAS]])</f>
        <v>0</v>
      </c>
      <c r="Q3762" s="32">
        <f>IF(Mecze[[#This Row],[OB]]=0,0,Mecze[[#This Row],[OB]]/Mecze[[#This Row],[CZAS]])</f>
        <v>0</v>
      </c>
      <c r="R3762" s="32">
        <f>IF(Mecze[[#This Row],[BR]]=0,0,Mecze[[#This Row],[BR]]/Mecze[[#This Row],[CZAS]])</f>
        <v>0</v>
      </c>
      <c r="S3762" s="44">
        <f>IF(Mecze[[#This Row],[Role]]="BR",SUMPRODUCT(Mecze[[#This Row],[/PR:90]:[/BR:90]],Brudnopis!$E$23:$J$23),0)</f>
        <v>0</v>
      </c>
      <c r="T3762" s="44">
        <f>IF(Mecze[[#This Row],[Role]]&lt;&gt;"BR",SUMPRODUCT(Mecze[[#This Row],[/PR:90]:[/BR:90]],Brudnopis!$E$24:$J$24),0)</f>
        <v>0.15463917525773196</v>
      </c>
      <c r="U3762" s="44">
        <f>IF(Mecze[[#This Row],[Role]]&lt;&gt;"BR",SUMPRODUCT(Mecze[[#This Row],[/PR:90]:[/BR:90]],Brudnopis!$E$25:$J$25),0)</f>
        <v>0.17010309278350516</v>
      </c>
      <c r="V3762" s="44">
        <f>IF(Mecze[[#This Row],[Role]]&lt;&gt;"BR",SUMPRODUCT(Mecze[[#This Row],[/PR:90]:[/BR:90]],Brudnopis!$E$26:$J$26),0)</f>
        <v>0.14432989690721648</v>
      </c>
      <c r="W3762" s="44">
        <f>IF(Mecze[[#This Row],[Role]]&lt;&gt;"BR",SUMPRODUCT(Mecze[[#This Row],[/PR:90]:[/BR:90]],Brudnopis!$E$27:$J$27),0)</f>
        <v>0.14690721649484537</v>
      </c>
      <c r="X3762" s="44">
        <f>IF(Mecze[[#This Row],[Role]]&lt;&gt;"BR",SUMPRODUCT(Mecze[[#This Row],[/PR:90]:[/BR:90]],Brudnopis!$E$28:$J$28),0)</f>
        <v>5.1546391752577317E-2</v>
      </c>
      <c r="Y3762" s="35">
        <f>IF(Mecze[[#This Row],[Role]]="BR",Mecze[[#This Row],[/OB:90]]+Mecze[[#This Row],[/PC:90]],SUM(Mecze[[#This Row],[/PR:90]:[/BR:90]]))</f>
        <v>0.14432989690721648</v>
      </c>
      <c r="Z3762" s="35">
        <f>IF(Mecze[[#This Row],[KC]]=0,SUM(Mecze[[#This Row],[/BRI]:[/NPI]]),SUM(Mecze[[#This Row],[/BRI]:[/NPI]])*0.6)</f>
        <v>0.66752577319587636</v>
      </c>
      <c r="AA3762" s="10">
        <f>IFERROR(Mecze[[#This Row],[BR]]/Mecze[[#This Row],[ST]],0)</f>
        <v>0</v>
      </c>
      <c r="AB3762">
        <f>ROUND(Mecze[[#This Row],[PD]]*Mecze[[#This Row],[%PC]],0)</f>
        <v>5</v>
      </c>
      <c r="AC3762">
        <f>ROUND(Mecze[[#This Row],[OD]]*Mecze[[#This Row],[%OU]],0)</f>
        <v>2</v>
      </c>
      <c r="AD3762" s="36" t="s">
        <v>47</v>
      </c>
      <c r="AE3762" s="36">
        <v>217</v>
      </c>
      <c r="AF3762" s="71">
        <v>3.06</v>
      </c>
      <c r="AG3762" s="37">
        <v>0</v>
      </c>
      <c r="AH3762" s="37">
        <v>0</v>
      </c>
      <c r="AI3762" s="37">
        <v>97</v>
      </c>
      <c r="AJ3762" s="37">
        <v>1</v>
      </c>
      <c r="AK3762" s="37" t="str">
        <f>VLOOKUP(Mecze[[#This Row],[Match ID]],Meczusie[Mecz]:Meczusie[RodzajMeczu],2,FALSE)</f>
        <v>Towarzyski</v>
      </c>
    </row>
    <row r="3763" spans="1:37" x14ac:dyDescent="0.25">
      <c r="A3763" s="76">
        <v>3</v>
      </c>
      <c r="B3763" s="3" t="s">
        <v>158</v>
      </c>
      <c r="C3763" s="2" t="s">
        <v>157</v>
      </c>
      <c r="D3763" s="1">
        <v>0</v>
      </c>
      <c r="E3763" s="1">
        <v>0</v>
      </c>
      <c r="F3763" s="1">
        <v>0</v>
      </c>
      <c r="G3763" s="1">
        <v>6</v>
      </c>
      <c r="H3763" s="4">
        <v>0.5</v>
      </c>
      <c r="I3763" s="1">
        <v>11</v>
      </c>
      <c r="J3763" s="4">
        <v>0.45</v>
      </c>
      <c r="K3763" s="1">
        <v>0</v>
      </c>
      <c r="L3763" s="1">
        <v>2</v>
      </c>
      <c r="M3763" s="32">
        <f>IF(Mecze[[#This Row],[PR]]=0,0,Mecze[[#This Row],[PR]]/Mecze[[#This Row],[CZAS]])</f>
        <v>2.0618556701030927E-2</v>
      </c>
      <c r="N3763" s="32">
        <f>IF(Mecze[[#This Row],[OU]]=0,0,Mecze[[#This Row],[OU]]/Mecze[[#This Row],[CZAS]])</f>
        <v>5.1546391752577317E-2</v>
      </c>
      <c r="O3763" s="32">
        <f>IF(Mecze[[#This Row],[PC]]=0,0,Mecze[[#This Row],[PC]]/Mecze[[#This Row],[CZAS]])</f>
        <v>3.0927835051546393E-2</v>
      </c>
      <c r="P3763" s="32">
        <f>IF(Mecze[[#This Row],[SC]]=0,0,Mecze[[#This Row],[SC]]/Mecze[[#This Row],[CZAS]])</f>
        <v>0</v>
      </c>
      <c r="Q3763" s="32">
        <f>IF(Mecze[[#This Row],[OB]]=0,0,Mecze[[#This Row],[OB]]/Mecze[[#This Row],[CZAS]])</f>
        <v>0</v>
      </c>
      <c r="R3763" s="32">
        <f>IF(Mecze[[#This Row],[BR]]=0,0,Mecze[[#This Row],[BR]]/Mecze[[#This Row],[CZAS]])</f>
        <v>0</v>
      </c>
      <c r="S3763" s="44">
        <f>IF(Mecze[[#This Row],[Role]]="BR",SUMPRODUCT(Mecze[[#This Row],[/PR:90]:[/BR:90]],Brudnopis!$E$23:$J$23),0)</f>
        <v>0</v>
      </c>
      <c r="T3763" s="44">
        <f>IF(Mecze[[#This Row],[Role]]&lt;&gt;"BR",SUMPRODUCT(Mecze[[#This Row],[/PR:90]:[/BR:90]],Brudnopis!$E$24:$J$24),0)</f>
        <v>0.12886597938144329</v>
      </c>
      <c r="U3763" s="44">
        <f>IF(Mecze[[#This Row],[Role]]&lt;&gt;"BR",SUMPRODUCT(Mecze[[#This Row],[/PR:90]:[/BR:90]],Brudnopis!$E$25:$J$25),0)</f>
        <v>0.11855670103092783</v>
      </c>
      <c r="V3763" s="44">
        <f>IF(Mecze[[#This Row],[Role]]&lt;&gt;"BR",SUMPRODUCT(Mecze[[#This Row],[/PR:90]:[/BR:90]],Brudnopis!$E$26:$J$26),0)</f>
        <v>0.10309278350515463</v>
      </c>
      <c r="W3763" s="44">
        <f>IF(Mecze[[#This Row],[Role]]&lt;&gt;"BR",SUMPRODUCT(Mecze[[#This Row],[/PR:90]:[/BR:90]],Brudnopis!$E$27:$J$27),0)</f>
        <v>0.10051546391752578</v>
      </c>
      <c r="X3763" s="44">
        <f>IF(Mecze[[#This Row],[Role]]&lt;&gt;"BR",SUMPRODUCT(Mecze[[#This Row],[/PR:90]:[/BR:90]],Brudnopis!$E$28:$J$28),0)</f>
        <v>3.0927835051546393E-2</v>
      </c>
      <c r="Y3763" s="35">
        <f>IF(Mecze[[#This Row],[Role]]="BR",Mecze[[#This Row],[/OB:90]]+Mecze[[#This Row],[/PC:90]],SUM(Mecze[[#This Row],[/PR:90]:[/BR:90]]))</f>
        <v>0.10309278350515463</v>
      </c>
      <c r="Z3763" s="35">
        <f>IF(Mecze[[#This Row],[KC]]=0,SUM(Mecze[[#This Row],[/BRI]:[/NPI]]),SUM(Mecze[[#This Row],[/BRI]:[/NPI]])*0.6)</f>
        <v>0.48195876288659789</v>
      </c>
      <c r="AA3763" s="10">
        <f>IFERROR(Mecze[[#This Row],[BR]]/Mecze[[#This Row],[ST]],0)</f>
        <v>0</v>
      </c>
      <c r="AB3763">
        <f>ROUND(Mecze[[#This Row],[PD]]*Mecze[[#This Row],[%PC]],0)</f>
        <v>3</v>
      </c>
      <c r="AC3763">
        <f>ROUND(Mecze[[#This Row],[OD]]*Mecze[[#This Row],[%OU]],0)</f>
        <v>5</v>
      </c>
      <c r="AD3763" s="36" t="s">
        <v>168</v>
      </c>
      <c r="AE3763" s="36">
        <v>217</v>
      </c>
      <c r="AF3763" s="71">
        <v>2.0099999999999998</v>
      </c>
      <c r="AG3763" s="37">
        <v>0</v>
      </c>
      <c r="AH3763" s="37">
        <v>0</v>
      </c>
      <c r="AI3763" s="37">
        <v>97</v>
      </c>
      <c r="AJ3763" s="37">
        <v>1</v>
      </c>
      <c r="AK3763" s="37" t="str">
        <f>VLOOKUP(Mecze[[#This Row],[Match ID]],Meczusie[Mecz]:Meczusie[RodzajMeczu],2,FALSE)</f>
        <v>Towarzyski</v>
      </c>
    </row>
    <row r="3764" spans="1:37" x14ac:dyDescent="0.25">
      <c r="A3764" s="76">
        <v>4</v>
      </c>
      <c r="B3764" s="3" t="s">
        <v>360</v>
      </c>
      <c r="C3764" s="2" t="s">
        <v>157</v>
      </c>
      <c r="D3764" s="1">
        <v>0</v>
      </c>
      <c r="E3764" s="1">
        <v>0</v>
      </c>
      <c r="F3764" s="1">
        <v>0</v>
      </c>
      <c r="G3764" s="1">
        <v>0</v>
      </c>
      <c r="H3764" s="72"/>
      <c r="I3764" s="1">
        <v>4</v>
      </c>
      <c r="J3764" s="4">
        <v>0.25</v>
      </c>
      <c r="K3764" s="1">
        <v>0</v>
      </c>
      <c r="L3764" s="1">
        <v>3</v>
      </c>
      <c r="M3764" s="32">
        <f>IF(Mecze[[#This Row],[PR]]=0,0,Mecze[[#This Row],[PR]]/Mecze[[#This Row],[CZAS]])</f>
        <v>3.0927835051546393E-2</v>
      </c>
      <c r="N3764" s="32">
        <f>IF(Mecze[[#This Row],[OU]]=0,0,Mecze[[#This Row],[OU]]/Mecze[[#This Row],[CZAS]])</f>
        <v>1.0309278350515464E-2</v>
      </c>
      <c r="O3764" s="32">
        <f>IF(Mecze[[#This Row],[PC]]=0,0,Mecze[[#This Row],[PC]]/Mecze[[#This Row],[CZAS]])</f>
        <v>0</v>
      </c>
      <c r="P3764" s="32">
        <f>IF(Mecze[[#This Row],[SC]]=0,0,Mecze[[#This Row],[SC]]/Mecze[[#This Row],[CZAS]])</f>
        <v>0</v>
      </c>
      <c r="Q3764" s="32">
        <f>IF(Mecze[[#This Row],[OB]]=0,0,Mecze[[#This Row],[OB]]/Mecze[[#This Row],[CZAS]])</f>
        <v>0</v>
      </c>
      <c r="R3764" s="32">
        <f>IF(Mecze[[#This Row],[BR]]=0,0,Mecze[[#This Row],[BR]]/Mecze[[#This Row],[CZAS]])</f>
        <v>0</v>
      </c>
      <c r="S3764" s="44">
        <f>IF(Mecze[[#This Row],[Role]]="BR",SUMPRODUCT(Mecze[[#This Row],[/PR:90]:[/BR:90]],Brudnopis!$E$23:$J$23),0)</f>
        <v>0</v>
      </c>
      <c r="T3764" s="44">
        <f>IF(Mecze[[#This Row],[Role]]&lt;&gt;"BR",SUMPRODUCT(Mecze[[#This Row],[/PR:90]:[/BR:90]],Brudnopis!$E$24:$J$24),0)</f>
        <v>4.6391752577319589E-2</v>
      </c>
      <c r="U3764" s="44">
        <f>IF(Mecze[[#This Row],[Role]]&lt;&gt;"BR",SUMPRODUCT(Mecze[[#This Row],[/PR:90]:[/BR:90]],Brudnopis!$E$25:$J$25),0)</f>
        <v>4.1237113402061855E-2</v>
      </c>
      <c r="V3764" s="44">
        <f>IF(Mecze[[#This Row],[Role]]&lt;&gt;"BR",SUMPRODUCT(Mecze[[#This Row],[/PR:90]:[/BR:90]],Brudnopis!$E$26:$J$26),0)</f>
        <v>4.1237113402061855E-2</v>
      </c>
      <c r="W3764" s="44">
        <f>IF(Mecze[[#This Row],[Role]]&lt;&gt;"BR",SUMPRODUCT(Mecze[[#This Row],[/PR:90]:[/BR:90]],Brudnopis!$E$27:$J$27),0)</f>
        <v>3.0927835051546393E-2</v>
      </c>
      <c r="X3764" s="44">
        <f>IF(Mecze[[#This Row],[Role]]&lt;&gt;"BR",SUMPRODUCT(Mecze[[#This Row],[/PR:90]:[/BR:90]],Brudnopis!$E$28:$J$28),0)</f>
        <v>0</v>
      </c>
      <c r="Y3764" s="35">
        <f>IF(Mecze[[#This Row],[Role]]="BR",Mecze[[#This Row],[/OB:90]]+Mecze[[#This Row],[/PC:90]],SUM(Mecze[[#This Row],[/PR:90]:[/BR:90]]))</f>
        <v>4.1237113402061855E-2</v>
      </c>
      <c r="Z3764" s="35">
        <f>IF(Mecze[[#This Row],[KC]]=0,SUM(Mecze[[#This Row],[/BRI]:[/NPI]]),SUM(Mecze[[#This Row],[/BRI]:[/NPI]])*0.6)</f>
        <v>0.15979381443298968</v>
      </c>
      <c r="AA3764" s="10">
        <f>IFERROR(Mecze[[#This Row],[BR]]/Mecze[[#This Row],[ST]],0)</f>
        <v>0</v>
      </c>
      <c r="AB3764">
        <f>ROUND(Mecze[[#This Row],[PD]]*Mecze[[#This Row],[%PC]],0)</f>
        <v>0</v>
      </c>
      <c r="AC3764">
        <f>ROUND(Mecze[[#This Row],[OD]]*Mecze[[#This Row],[%OU]],0)</f>
        <v>1</v>
      </c>
      <c r="AD3764" s="36" t="s">
        <v>167</v>
      </c>
      <c r="AE3764" s="36">
        <v>217</v>
      </c>
      <c r="AF3764" s="71">
        <v>2.2200000000000002</v>
      </c>
      <c r="AG3764" s="37">
        <v>0</v>
      </c>
      <c r="AH3764" s="37">
        <v>0</v>
      </c>
      <c r="AI3764" s="37">
        <v>97</v>
      </c>
      <c r="AJ3764" s="37">
        <v>1</v>
      </c>
      <c r="AK3764" s="37" t="str">
        <f>VLOOKUP(Mecze[[#This Row],[Match ID]],Meczusie[Mecz]:Meczusie[RodzajMeczu],2,FALSE)</f>
        <v>Towarzyski</v>
      </c>
    </row>
    <row r="3765" spans="1:37" x14ac:dyDescent="0.25">
      <c r="A3765" s="76">
        <v>5</v>
      </c>
      <c r="B3765" s="3" t="s">
        <v>161</v>
      </c>
      <c r="C3765" s="2" t="s">
        <v>160</v>
      </c>
      <c r="D3765" s="1">
        <v>0</v>
      </c>
      <c r="E3765" s="1">
        <v>0</v>
      </c>
      <c r="F3765" s="1">
        <v>0</v>
      </c>
      <c r="G3765" s="1">
        <v>5</v>
      </c>
      <c r="H3765" s="4">
        <v>0.6</v>
      </c>
      <c r="I3765" s="1">
        <v>6</v>
      </c>
      <c r="J3765" s="4">
        <v>0.33</v>
      </c>
      <c r="K3765" s="1">
        <v>0</v>
      </c>
      <c r="L3765" s="1">
        <v>3</v>
      </c>
      <c r="M3765" s="32">
        <f>IF(Mecze[[#This Row],[PR]]=0,0,Mecze[[#This Row],[PR]]/Mecze[[#This Row],[CZAS]])</f>
        <v>3.0927835051546393E-2</v>
      </c>
      <c r="N3765" s="32">
        <f>IF(Mecze[[#This Row],[OU]]=0,0,Mecze[[#This Row],[OU]]/Mecze[[#This Row],[CZAS]])</f>
        <v>2.0618556701030927E-2</v>
      </c>
      <c r="O3765" s="32">
        <f>IF(Mecze[[#This Row],[PC]]=0,0,Mecze[[#This Row],[PC]]/Mecze[[#This Row],[CZAS]])</f>
        <v>3.0927835051546393E-2</v>
      </c>
      <c r="P3765" s="32">
        <f>IF(Mecze[[#This Row],[SC]]=0,0,Mecze[[#This Row],[SC]]/Mecze[[#This Row],[CZAS]])</f>
        <v>0</v>
      </c>
      <c r="Q3765" s="32">
        <f>IF(Mecze[[#This Row],[OB]]=0,0,Mecze[[#This Row],[OB]]/Mecze[[#This Row],[CZAS]])</f>
        <v>0</v>
      </c>
      <c r="R3765" s="32">
        <f>IF(Mecze[[#This Row],[BR]]=0,0,Mecze[[#This Row],[BR]]/Mecze[[#This Row],[CZAS]])</f>
        <v>0</v>
      </c>
      <c r="S3765" s="44">
        <f>IF(Mecze[[#This Row],[Role]]="BR",SUMPRODUCT(Mecze[[#This Row],[/PR:90]:[/BR:90]],Brudnopis!$E$23:$J$23),0)</f>
        <v>0</v>
      </c>
      <c r="T3765" s="44">
        <f>IF(Mecze[[#This Row],[Role]]&lt;&gt;"BR",SUMPRODUCT(Mecze[[#This Row],[/PR:90]:[/BR:90]],Brudnopis!$E$24:$J$24),0)</f>
        <v>9.2783505154639179E-2</v>
      </c>
      <c r="U3765" s="44">
        <f>IF(Mecze[[#This Row],[Role]]&lt;&gt;"BR",SUMPRODUCT(Mecze[[#This Row],[/PR:90]:[/BR:90]],Brudnopis!$E$25:$J$25),0)</f>
        <v>9.7938144329896906E-2</v>
      </c>
      <c r="V3765" s="44">
        <f>IF(Mecze[[#This Row],[Role]]&lt;&gt;"BR",SUMPRODUCT(Mecze[[#This Row],[/PR:90]:[/BR:90]],Brudnopis!$E$26:$J$26),0)</f>
        <v>8.247422680412371E-2</v>
      </c>
      <c r="W3765" s="44">
        <f>IF(Mecze[[#This Row],[Role]]&lt;&gt;"BR",SUMPRODUCT(Mecze[[#This Row],[/PR:90]:[/BR:90]],Brudnopis!$E$27:$J$27),0)</f>
        <v>8.505154639175258E-2</v>
      </c>
      <c r="X3765" s="44">
        <f>IF(Mecze[[#This Row],[Role]]&lt;&gt;"BR",SUMPRODUCT(Mecze[[#This Row],[/PR:90]:[/BR:90]],Brudnopis!$E$28:$J$28),0)</f>
        <v>3.0927835051546393E-2</v>
      </c>
      <c r="Y3765" s="35">
        <f>IF(Mecze[[#This Row],[Role]]="BR",Mecze[[#This Row],[/OB:90]]+Mecze[[#This Row],[/PC:90]],SUM(Mecze[[#This Row],[/PR:90]:[/BR:90]]))</f>
        <v>8.247422680412371E-2</v>
      </c>
      <c r="Z3765" s="35">
        <f>IF(Mecze[[#This Row],[KC]]=0,SUM(Mecze[[#This Row],[/BRI]:[/NPI]]),SUM(Mecze[[#This Row],[/BRI]:[/NPI]])*0.6)</f>
        <v>0.38917525773195871</v>
      </c>
      <c r="AA3765" s="10">
        <f>IFERROR(Mecze[[#This Row],[BR]]/Mecze[[#This Row],[ST]],0)</f>
        <v>0</v>
      </c>
      <c r="AB3765">
        <f>ROUND(Mecze[[#This Row],[PD]]*Mecze[[#This Row],[%PC]],0)</f>
        <v>3</v>
      </c>
      <c r="AC3765">
        <f>ROUND(Mecze[[#This Row],[OD]]*Mecze[[#This Row],[%OU]],0)</f>
        <v>2</v>
      </c>
      <c r="AD3765" s="36" t="s">
        <v>41</v>
      </c>
      <c r="AE3765" s="36">
        <v>217</v>
      </c>
      <c r="AF3765" s="71">
        <v>4.54</v>
      </c>
      <c r="AG3765" s="37">
        <v>0</v>
      </c>
      <c r="AH3765" s="37">
        <v>0</v>
      </c>
      <c r="AI3765" s="37">
        <v>97</v>
      </c>
      <c r="AJ3765" s="37">
        <v>1</v>
      </c>
      <c r="AK3765" s="37" t="str">
        <f>VLOOKUP(Mecze[[#This Row],[Match ID]],Meczusie[Mecz]:Meczusie[RodzajMeczu],2,FALSE)</f>
        <v>Towarzyski</v>
      </c>
    </row>
    <row r="3766" spans="1:37" x14ac:dyDescent="0.25">
      <c r="A3766" s="76">
        <v>60</v>
      </c>
      <c r="B3766" s="3" t="s">
        <v>515</v>
      </c>
      <c r="C3766" s="2" t="s">
        <v>160</v>
      </c>
      <c r="D3766" s="1">
        <v>0</v>
      </c>
      <c r="E3766" s="1">
        <v>0</v>
      </c>
      <c r="F3766" s="1">
        <v>0</v>
      </c>
      <c r="G3766" s="1">
        <v>12</v>
      </c>
      <c r="H3766" s="4">
        <v>0.67</v>
      </c>
      <c r="I3766" s="1">
        <v>4</v>
      </c>
      <c r="J3766" s="4">
        <v>0.75</v>
      </c>
      <c r="K3766" s="1">
        <v>0</v>
      </c>
      <c r="L3766" s="1">
        <v>4</v>
      </c>
      <c r="M3766" s="32">
        <f>IF(Mecze[[#This Row],[PR]]=0,0,Mecze[[#This Row],[PR]]/Mecze[[#This Row],[CZAS]])</f>
        <v>4.1237113402061855E-2</v>
      </c>
      <c r="N3766" s="32">
        <f>IF(Mecze[[#This Row],[OU]]=0,0,Mecze[[#This Row],[OU]]/Mecze[[#This Row],[CZAS]])</f>
        <v>3.0927835051546393E-2</v>
      </c>
      <c r="O3766" s="32">
        <f>IF(Mecze[[#This Row],[PC]]=0,0,Mecze[[#This Row],[PC]]/Mecze[[#This Row],[CZAS]])</f>
        <v>8.247422680412371E-2</v>
      </c>
      <c r="P3766" s="32">
        <f>IF(Mecze[[#This Row],[SC]]=0,0,Mecze[[#This Row],[SC]]/Mecze[[#This Row],[CZAS]])</f>
        <v>0</v>
      </c>
      <c r="Q3766" s="32">
        <f>IF(Mecze[[#This Row],[OB]]=0,0,Mecze[[#This Row],[OB]]/Mecze[[#This Row],[CZAS]])</f>
        <v>0</v>
      </c>
      <c r="R3766" s="32">
        <f>IF(Mecze[[#This Row],[BR]]=0,0,Mecze[[#This Row],[BR]]/Mecze[[#This Row],[CZAS]])</f>
        <v>0</v>
      </c>
      <c r="S3766" s="44">
        <f>IF(Mecze[[#This Row],[Role]]="BR",SUMPRODUCT(Mecze[[#This Row],[/PR:90]:[/BR:90]],Brudnopis!$E$23:$J$23),0)</f>
        <v>0</v>
      </c>
      <c r="T3766" s="44">
        <f>IF(Mecze[[#This Row],[Role]]&lt;&gt;"BR",SUMPRODUCT(Mecze[[#This Row],[/PR:90]:[/BR:90]],Brudnopis!$E$24:$J$24),0)</f>
        <v>0.17010309278350516</v>
      </c>
      <c r="U3766" s="44">
        <f>IF(Mecze[[#This Row],[Role]]&lt;&gt;"BR",SUMPRODUCT(Mecze[[#This Row],[/PR:90]:[/BR:90]],Brudnopis!$E$25:$J$25),0)</f>
        <v>0.19587628865979381</v>
      </c>
      <c r="V3766" s="44">
        <f>IF(Mecze[[#This Row],[Role]]&lt;&gt;"BR",SUMPRODUCT(Mecze[[#This Row],[/PR:90]:[/BR:90]],Brudnopis!$E$26:$J$26),0)</f>
        <v>0.15463917525773196</v>
      </c>
      <c r="W3766" s="44">
        <f>IF(Mecze[[#This Row],[Role]]&lt;&gt;"BR",SUMPRODUCT(Mecze[[#This Row],[/PR:90]:[/BR:90]],Brudnopis!$E$27:$J$27),0)</f>
        <v>0.17783505154639176</v>
      </c>
      <c r="X3766" s="44">
        <f>IF(Mecze[[#This Row],[Role]]&lt;&gt;"BR",SUMPRODUCT(Mecze[[#This Row],[/PR:90]:[/BR:90]],Brudnopis!$E$28:$J$28),0)</f>
        <v>8.247422680412371E-2</v>
      </c>
      <c r="Y3766" s="35">
        <f>IF(Mecze[[#This Row],[Role]]="BR",Mecze[[#This Row],[/OB:90]]+Mecze[[#This Row],[/PC:90]],SUM(Mecze[[#This Row],[/PR:90]:[/BR:90]]))</f>
        <v>0.15463917525773196</v>
      </c>
      <c r="Z3766" s="35">
        <f>IF(Mecze[[#This Row],[KC]]=0,SUM(Mecze[[#This Row],[/BRI]:[/NPI]]),SUM(Mecze[[#This Row],[/BRI]:[/NPI]])*0.6)</f>
        <v>0.7809278350515465</v>
      </c>
      <c r="AA3766" s="10">
        <f>IFERROR(Mecze[[#This Row],[BR]]/Mecze[[#This Row],[ST]],0)</f>
        <v>0</v>
      </c>
      <c r="AB3766">
        <f>ROUND(Mecze[[#This Row],[PD]]*Mecze[[#This Row],[%PC]],0)</f>
        <v>8</v>
      </c>
      <c r="AC3766">
        <f>ROUND(Mecze[[#This Row],[OD]]*Mecze[[#This Row],[%OU]],0)</f>
        <v>3</v>
      </c>
      <c r="AD3766" s="36" t="s">
        <v>41</v>
      </c>
      <c r="AE3766" s="36">
        <v>217</v>
      </c>
      <c r="AF3766" s="71">
        <v>4.75</v>
      </c>
      <c r="AG3766" s="37">
        <v>0</v>
      </c>
      <c r="AH3766" s="37">
        <v>0</v>
      </c>
      <c r="AI3766" s="37">
        <v>97</v>
      </c>
      <c r="AJ3766" s="37">
        <v>1</v>
      </c>
      <c r="AK3766" s="37" t="str">
        <f>VLOOKUP(Mecze[[#This Row],[Match ID]],Meczusie[Mecz]:Meczusie[RodzajMeczu],2,FALSE)</f>
        <v>Towarzyski</v>
      </c>
    </row>
    <row r="3767" spans="1:37" x14ac:dyDescent="0.25">
      <c r="A3767" s="76">
        <v>15</v>
      </c>
      <c r="B3767" s="3" t="s">
        <v>170</v>
      </c>
      <c r="C3767" s="2" t="s">
        <v>160</v>
      </c>
      <c r="D3767" s="1">
        <v>0</v>
      </c>
      <c r="E3767" s="1">
        <v>0</v>
      </c>
      <c r="F3767" s="1">
        <v>0</v>
      </c>
      <c r="G3767" s="1">
        <v>13</v>
      </c>
      <c r="H3767" s="4">
        <v>0.77</v>
      </c>
      <c r="I3767" s="1">
        <v>7</v>
      </c>
      <c r="J3767" s="4">
        <v>0.56999999999999995</v>
      </c>
      <c r="K3767" s="1">
        <v>0</v>
      </c>
      <c r="L3767" s="1">
        <v>9</v>
      </c>
      <c r="M3767" s="32">
        <f>IF(Mecze[[#This Row],[PR]]=0,0,Mecze[[#This Row],[PR]]/Mecze[[#This Row],[CZAS]])</f>
        <v>9.2783505154639179E-2</v>
      </c>
      <c r="N3767" s="32">
        <f>IF(Mecze[[#This Row],[OU]]=0,0,Mecze[[#This Row],[OU]]/Mecze[[#This Row],[CZAS]])</f>
        <v>4.1237113402061855E-2</v>
      </c>
      <c r="O3767" s="32">
        <f>IF(Mecze[[#This Row],[PC]]=0,0,Mecze[[#This Row],[PC]]/Mecze[[#This Row],[CZAS]])</f>
        <v>0.10309278350515463</v>
      </c>
      <c r="P3767" s="32">
        <f>IF(Mecze[[#This Row],[SC]]=0,0,Mecze[[#This Row],[SC]]/Mecze[[#This Row],[CZAS]])</f>
        <v>0</v>
      </c>
      <c r="Q3767" s="32">
        <f>IF(Mecze[[#This Row],[OB]]=0,0,Mecze[[#This Row],[OB]]/Mecze[[#This Row],[CZAS]])</f>
        <v>0</v>
      </c>
      <c r="R3767" s="32">
        <f>IF(Mecze[[#This Row],[BR]]=0,0,Mecze[[#This Row],[BR]]/Mecze[[#This Row],[CZAS]])</f>
        <v>0</v>
      </c>
      <c r="S3767" s="44">
        <f>IF(Mecze[[#This Row],[Role]]="BR",SUMPRODUCT(Mecze[[#This Row],[/PR:90]:[/BR:90]],Brudnopis!$E$23:$J$23),0)</f>
        <v>0</v>
      </c>
      <c r="T3767" s="44">
        <f>IF(Mecze[[#This Row],[Role]]&lt;&gt;"BR",SUMPRODUCT(Mecze[[#This Row],[/PR:90]:[/BR:90]],Brudnopis!$E$24:$J$24),0)</f>
        <v>0.25773195876288657</v>
      </c>
      <c r="U3767" s="44">
        <f>IF(Mecze[[#This Row],[Role]]&lt;&gt;"BR",SUMPRODUCT(Mecze[[#This Row],[/PR:90]:[/BR:90]],Brudnopis!$E$25:$J$25),0)</f>
        <v>0.28865979381443296</v>
      </c>
      <c r="V3767" s="44">
        <f>IF(Mecze[[#This Row],[Role]]&lt;&gt;"BR",SUMPRODUCT(Mecze[[#This Row],[/PR:90]:[/BR:90]],Brudnopis!$E$26:$J$26),0)</f>
        <v>0.23711340206185566</v>
      </c>
      <c r="W3767" s="44">
        <f>IF(Mecze[[#This Row],[Role]]&lt;&gt;"BR",SUMPRODUCT(Mecze[[#This Row],[/PR:90]:[/BR:90]],Brudnopis!$E$27:$J$27),0)</f>
        <v>0.25515463917525771</v>
      </c>
      <c r="X3767" s="44">
        <f>IF(Mecze[[#This Row],[Role]]&lt;&gt;"BR",SUMPRODUCT(Mecze[[#This Row],[/PR:90]:[/BR:90]],Brudnopis!$E$28:$J$28),0)</f>
        <v>0.10309278350515463</v>
      </c>
      <c r="Y3767" s="35">
        <f>IF(Mecze[[#This Row],[Role]]="BR",Mecze[[#This Row],[/OB:90]]+Mecze[[#This Row],[/PC:90]],SUM(Mecze[[#This Row],[/PR:90]:[/BR:90]]))</f>
        <v>0.23711340206185566</v>
      </c>
      <c r="Z3767" s="35">
        <f>IF(Mecze[[#This Row],[KC]]=0,SUM(Mecze[[#This Row],[/BRI]:[/NPI]]),SUM(Mecze[[#This Row],[/BRI]:[/NPI]])*0.6)</f>
        <v>1.1417525773195876</v>
      </c>
      <c r="AA3767" s="10">
        <f>IFERROR(Mecze[[#This Row],[BR]]/Mecze[[#This Row],[ST]],0)</f>
        <v>0</v>
      </c>
      <c r="AB3767">
        <f>ROUND(Mecze[[#This Row],[PD]]*Mecze[[#This Row],[%PC]],0)</f>
        <v>10</v>
      </c>
      <c r="AC3767">
        <f>ROUND(Mecze[[#This Row],[OD]]*Mecze[[#This Row],[%OU]],0)</f>
        <v>4</v>
      </c>
      <c r="AD3767" s="36" t="s">
        <v>67</v>
      </c>
      <c r="AE3767" s="36">
        <v>217</v>
      </c>
      <c r="AF3767" s="71">
        <v>5.8</v>
      </c>
      <c r="AG3767" s="37">
        <v>0</v>
      </c>
      <c r="AH3767" s="37">
        <v>0</v>
      </c>
      <c r="AI3767" s="37">
        <v>97</v>
      </c>
      <c r="AJ3767" s="37">
        <v>1</v>
      </c>
      <c r="AK3767" s="37" t="str">
        <f>VLOOKUP(Mecze[[#This Row],[Match ID]],Meczusie[Mecz]:Meczusie[RodzajMeczu],2,FALSE)</f>
        <v>Towarzyski</v>
      </c>
    </row>
    <row r="3768" spans="1:37" x14ac:dyDescent="0.25">
      <c r="A3768" s="76">
        <v>13</v>
      </c>
      <c r="B3768" s="3" t="s">
        <v>162</v>
      </c>
      <c r="C3768" s="2" t="s">
        <v>160</v>
      </c>
      <c r="D3768" s="1">
        <v>0</v>
      </c>
      <c r="E3768" s="1">
        <v>0</v>
      </c>
      <c r="F3768" s="1">
        <v>0</v>
      </c>
      <c r="G3768" s="1">
        <v>10</v>
      </c>
      <c r="H3768" s="4">
        <v>0.7</v>
      </c>
      <c r="I3768" s="1">
        <v>2</v>
      </c>
      <c r="J3768" s="4">
        <v>0.5</v>
      </c>
      <c r="K3768" s="1">
        <v>0</v>
      </c>
      <c r="L3768" s="1">
        <v>5</v>
      </c>
      <c r="M3768" s="32">
        <f>IF(Mecze[[#This Row],[PR]]=0,0,Mecze[[#This Row],[PR]]/Mecze[[#This Row],[CZAS]])</f>
        <v>5.1546391752577317E-2</v>
      </c>
      <c r="N3768" s="32">
        <f>IF(Mecze[[#This Row],[OU]]=0,0,Mecze[[#This Row],[OU]]/Mecze[[#This Row],[CZAS]])</f>
        <v>1.0309278350515464E-2</v>
      </c>
      <c r="O3768" s="32">
        <f>IF(Mecze[[#This Row],[PC]]=0,0,Mecze[[#This Row],[PC]]/Mecze[[#This Row],[CZAS]])</f>
        <v>7.2164948453608241E-2</v>
      </c>
      <c r="P3768" s="32">
        <f>IF(Mecze[[#This Row],[SC]]=0,0,Mecze[[#This Row],[SC]]/Mecze[[#This Row],[CZAS]])</f>
        <v>0</v>
      </c>
      <c r="Q3768" s="32">
        <f>IF(Mecze[[#This Row],[OB]]=0,0,Mecze[[#This Row],[OB]]/Mecze[[#This Row],[CZAS]])</f>
        <v>0</v>
      </c>
      <c r="R3768" s="32">
        <f>IF(Mecze[[#This Row],[BR]]=0,0,Mecze[[#This Row],[BR]]/Mecze[[#This Row],[CZAS]])</f>
        <v>0</v>
      </c>
      <c r="S3768" s="44">
        <f>IF(Mecze[[#This Row],[Role]]="BR",SUMPRODUCT(Mecze[[#This Row],[/PR:90]:[/BR:90]],Brudnopis!$E$23:$J$23),0)</f>
        <v>0</v>
      </c>
      <c r="T3768" s="44">
        <f>IF(Mecze[[#This Row],[Role]]&lt;&gt;"BR",SUMPRODUCT(Mecze[[#This Row],[/PR:90]:[/BR:90]],Brudnopis!$E$24:$J$24),0)</f>
        <v>0.13917525773195877</v>
      </c>
      <c r="U3768" s="44">
        <f>IF(Mecze[[#This Row],[Role]]&lt;&gt;"BR",SUMPRODUCT(Mecze[[#This Row],[/PR:90]:[/BR:90]],Brudnopis!$E$25:$J$25),0)</f>
        <v>0.17010309278350513</v>
      </c>
      <c r="V3768" s="44">
        <f>IF(Mecze[[#This Row],[Role]]&lt;&gt;"BR",SUMPRODUCT(Mecze[[#This Row],[/PR:90]:[/BR:90]],Brudnopis!$E$26:$J$26),0)</f>
        <v>0.13402061855670103</v>
      </c>
      <c r="W3768" s="44">
        <f>IF(Mecze[[#This Row],[Role]]&lt;&gt;"BR",SUMPRODUCT(Mecze[[#This Row],[/PR:90]:[/BR:90]],Brudnopis!$E$27:$J$27),0)</f>
        <v>0.15463917525773196</v>
      </c>
      <c r="X3768" s="44">
        <f>IF(Mecze[[#This Row],[Role]]&lt;&gt;"BR",SUMPRODUCT(Mecze[[#This Row],[/PR:90]:[/BR:90]],Brudnopis!$E$28:$J$28),0)</f>
        <v>7.2164948453608241E-2</v>
      </c>
      <c r="Y3768" s="35">
        <f>IF(Mecze[[#This Row],[Role]]="BR",Mecze[[#This Row],[/OB:90]]+Mecze[[#This Row],[/PC:90]],SUM(Mecze[[#This Row],[/PR:90]:[/BR:90]]))</f>
        <v>0.13402061855670103</v>
      </c>
      <c r="Z3768" s="35">
        <f>IF(Mecze[[#This Row],[KC]]=0,SUM(Mecze[[#This Row],[/BRI]:[/NPI]]),SUM(Mecze[[#This Row],[/BRI]:[/NPI]])*0.6)</f>
        <v>0.67010309278350511</v>
      </c>
      <c r="AA3768" s="10">
        <f>IFERROR(Mecze[[#This Row],[BR]]/Mecze[[#This Row],[ST]],0)</f>
        <v>0</v>
      </c>
      <c r="AB3768">
        <f>ROUND(Mecze[[#This Row],[PD]]*Mecze[[#This Row],[%PC]],0)</f>
        <v>7</v>
      </c>
      <c r="AC3768">
        <f>ROUND(Mecze[[#This Row],[OD]]*Mecze[[#This Row],[%OU]],0)</f>
        <v>1</v>
      </c>
      <c r="AD3768" s="36" t="s">
        <v>319</v>
      </c>
      <c r="AE3768" s="36">
        <v>217</v>
      </c>
      <c r="AF3768" s="71">
        <v>4.96</v>
      </c>
      <c r="AG3768" s="37">
        <v>0</v>
      </c>
      <c r="AH3768" s="37">
        <v>0</v>
      </c>
      <c r="AI3768" s="37">
        <v>97</v>
      </c>
      <c r="AJ3768" s="37">
        <v>1</v>
      </c>
      <c r="AK3768" s="37" t="str">
        <f>VLOOKUP(Mecze[[#This Row],[Match ID]],Meczusie[Mecz]:Meczusie[RodzajMeczu],2,FALSE)</f>
        <v>Towarzyski</v>
      </c>
    </row>
    <row r="3769" spans="1:37" x14ac:dyDescent="0.25">
      <c r="A3769" s="76">
        <v>19</v>
      </c>
      <c r="B3769" s="3" t="s">
        <v>166</v>
      </c>
      <c r="C3769" s="2" t="s">
        <v>160</v>
      </c>
      <c r="D3769" s="1">
        <v>0</v>
      </c>
      <c r="E3769" s="1">
        <v>1</v>
      </c>
      <c r="F3769" s="1">
        <v>1</v>
      </c>
      <c r="G3769" s="1">
        <v>13</v>
      </c>
      <c r="H3769" s="4">
        <v>0.54</v>
      </c>
      <c r="I3769" s="1">
        <v>6</v>
      </c>
      <c r="J3769" s="4">
        <v>0.33</v>
      </c>
      <c r="K3769" s="1">
        <v>0</v>
      </c>
      <c r="L3769" s="1">
        <v>1</v>
      </c>
      <c r="M3769" s="32">
        <f>IF(Mecze[[#This Row],[PR]]=0,0,Mecze[[#This Row],[PR]]/Mecze[[#This Row],[CZAS]])</f>
        <v>1.0309278350515464E-2</v>
      </c>
      <c r="N3769" s="32">
        <f>IF(Mecze[[#This Row],[OU]]=0,0,Mecze[[#This Row],[OU]]/Mecze[[#This Row],[CZAS]])</f>
        <v>2.0618556701030927E-2</v>
      </c>
      <c r="O3769" s="32">
        <f>IF(Mecze[[#This Row],[PC]]=0,0,Mecze[[#This Row],[PC]]/Mecze[[#This Row],[CZAS]])</f>
        <v>7.2164948453608241E-2</v>
      </c>
      <c r="P3769" s="32">
        <f>IF(Mecze[[#This Row],[SC]]=0,0,Mecze[[#This Row],[SC]]/Mecze[[#This Row],[CZAS]])</f>
        <v>1.0309278350515464E-2</v>
      </c>
      <c r="Q3769" s="32">
        <f>IF(Mecze[[#This Row],[OB]]=0,0,Mecze[[#This Row],[OB]]/Mecze[[#This Row],[CZAS]])</f>
        <v>0</v>
      </c>
      <c r="R3769" s="32">
        <f>IF(Mecze[[#This Row],[BR]]=0,0,Mecze[[#This Row],[BR]]/Mecze[[#This Row],[CZAS]])</f>
        <v>0</v>
      </c>
      <c r="S3769" s="44">
        <f>IF(Mecze[[#This Row],[Role]]="BR",SUMPRODUCT(Mecze[[#This Row],[/PR:90]:[/BR:90]],Brudnopis!$E$23:$J$23),0)</f>
        <v>0</v>
      </c>
      <c r="T3769" s="44">
        <f>IF(Mecze[[#This Row],[Role]]&lt;&gt;"BR",SUMPRODUCT(Mecze[[#This Row],[/PR:90]:[/BR:90]],Brudnopis!$E$24:$J$24),0)</f>
        <v>0.12371134020618556</v>
      </c>
      <c r="U3769" s="44">
        <f>IF(Mecze[[#This Row],[Role]]&lt;&gt;"BR",SUMPRODUCT(Mecze[[#This Row],[/PR:90]:[/BR:90]],Brudnopis!$E$25:$J$25),0)</f>
        <v>0.14948453608247422</v>
      </c>
      <c r="V3769" s="44">
        <f>IF(Mecze[[#This Row],[Role]]&lt;&gt;"BR",SUMPRODUCT(Mecze[[#This Row],[/PR:90]:[/BR:90]],Brudnopis!$E$26:$J$26),0)</f>
        <v>0.1134020618556701</v>
      </c>
      <c r="W3769" s="44">
        <f>IF(Mecze[[#This Row],[Role]]&lt;&gt;"BR",SUMPRODUCT(Mecze[[#This Row],[/PR:90]:[/BR:90]],Brudnopis!$E$27:$J$27),0)</f>
        <v>0.1417525773195876</v>
      </c>
      <c r="X3769" s="44">
        <f>IF(Mecze[[#This Row],[Role]]&lt;&gt;"BR",SUMPRODUCT(Mecze[[#This Row],[/PR:90]:[/BR:90]],Brudnopis!$E$28:$J$28),0)</f>
        <v>9.2783505154639165E-2</v>
      </c>
      <c r="Y3769" s="35">
        <f>IF(Mecze[[#This Row],[Role]]="BR",Mecze[[#This Row],[/OB:90]]+Mecze[[#This Row],[/PC:90]],SUM(Mecze[[#This Row],[/PR:90]:[/BR:90]]))</f>
        <v>0.1134020618556701</v>
      </c>
      <c r="Z3769" s="35">
        <f>IF(Mecze[[#This Row],[KC]]=0,SUM(Mecze[[#This Row],[/BRI]:[/NPI]]),SUM(Mecze[[#This Row],[/BRI]:[/NPI]])*0.6)</f>
        <v>0.6211340206185566</v>
      </c>
      <c r="AA3769" s="10">
        <f>IFERROR(Mecze[[#This Row],[BR]]/Mecze[[#This Row],[ST]],0)</f>
        <v>0</v>
      </c>
      <c r="AB3769">
        <f>ROUND(Mecze[[#This Row],[PD]]*Mecze[[#This Row],[%PC]],0)</f>
        <v>7</v>
      </c>
      <c r="AC3769">
        <f>ROUND(Mecze[[#This Row],[OD]]*Mecze[[#This Row],[%OU]],0)</f>
        <v>2</v>
      </c>
      <c r="AD3769" s="36" t="s">
        <v>44</v>
      </c>
      <c r="AE3769" s="36">
        <v>217</v>
      </c>
      <c r="AF3769" s="71">
        <v>3.24</v>
      </c>
      <c r="AG3769" s="37">
        <v>1</v>
      </c>
      <c r="AH3769" s="37">
        <v>0</v>
      </c>
      <c r="AI3769" s="37">
        <v>97</v>
      </c>
      <c r="AJ3769" s="37">
        <v>1</v>
      </c>
      <c r="AK3769" s="37" t="str">
        <f>VLOOKUP(Mecze[[#This Row],[Match ID]],Meczusie[Mecz]:Meczusie[RodzajMeczu],2,FALSE)</f>
        <v>Towarzyski</v>
      </c>
    </row>
    <row r="3770" spans="1:37" x14ac:dyDescent="0.25">
      <c r="A3770" s="76">
        <v>14</v>
      </c>
      <c r="B3770" s="3" t="s">
        <v>164</v>
      </c>
      <c r="C3770" s="2" t="s">
        <v>165</v>
      </c>
      <c r="D3770" s="1">
        <v>0</v>
      </c>
      <c r="E3770" s="1">
        <v>2</v>
      </c>
      <c r="F3770" s="1">
        <v>1</v>
      </c>
      <c r="G3770" s="1">
        <v>5</v>
      </c>
      <c r="H3770" s="4">
        <v>0.6</v>
      </c>
      <c r="I3770" s="1">
        <v>1</v>
      </c>
      <c r="J3770" s="4">
        <v>0</v>
      </c>
      <c r="K3770" s="1">
        <v>0</v>
      </c>
      <c r="L3770" s="1">
        <v>0</v>
      </c>
      <c r="M3770" s="32">
        <f>IF(Mecze[[#This Row],[PR]]=0,0,Mecze[[#This Row],[PR]]/Mecze[[#This Row],[CZAS]])</f>
        <v>0</v>
      </c>
      <c r="N3770" s="32">
        <f>IF(Mecze[[#This Row],[OU]]=0,0,Mecze[[#This Row],[OU]]/Mecze[[#This Row],[CZAS]])</f>
        <v>0</v>
      </c>
      <c r="O3770" s="32">
        <f>IF(Mecze[[#This Row],[PC]]=0,0,Mecze[[#This Row],[PC]]/Mecze[[#This Row],[CZAS]])</f>
        <v>3.0927835051546393E-2</v>
      </c>
      <c r="P3770" s="32">
        <f>IF(Mecze[[#This Row],[SC]]=0,0,Mecze[[#This Row],[SC]]/Mecze[[#This Row],[CZAS]])</f>
        <v>1.0309278350515464E-2</v>
      </c>
      <c r="Q3770" s="32">
        <f>IF(Mecze[[#This Row],[OB]]=0,0,Mecze[[#This Row],[OB]]/Mecze[[#This Row],[CZAS]])</f>
        <v>0</v>
      </c>
      <c r="R3770" s="32">
        <f>IF(Mecze[[#This Row],[BR]]=0,0,Mecze[[#This Row],[BR]]/Mecze[[#This Row],[CZAS]])</f>
        <v>0</v>
      </c>
      <c r="S3770" s="44">
        <f>IF(Mecze[[#This Row],[Role]]="BR",SUMPRODUCT(Mecze[[#This Row],[/PR:90]:[/BR:90]],Brudnopis!$E$23:$J$23),0)</f>
        <v>0</v>
      </c>
      <c r="T3770" s="44">
        <f>IF(Mecze[[#This Row],[Role]]&lt;&gt;"BR",SUMPRODUCT(Mecze[[#This Row],[/PR:90]:[/BR:90]],Brudnopis!$E$24:$J$24),0)</f>
        <v>4.1237113402061855E-2</v>
      </c>
      <c r="U3770" s="44">
        <f>IF(Mecze[[#This Row],[Role]]&lt;&gt;"BR",SUMPRODUCT(Mecze[[#This Row],[/PR:90]:[/BR:90]],Brudnopis!$E$25:$J$25),0)</f>
        <v>5.6701030927835051E-2</v>
      </c>
      <c r="V3770" s="44">
        <f>IF(Mecze[[#This Row],[Role]]&lt;&gt;"BR",SUMPRODUCT(Mecze[[#This Row],[/PR:90]:[/BR:90]],Brudnopis!$E$26:$J$26),0)</f>
        <v>4.1237113402061855E-2</v>
      </c>
      <c r="W3770" s="44">
        <f>IF(Mecze[[#This Row],[Role]]&lt;&gt;"BR",SUMPRODUCT(Mecze[[#This Row],[/PR:90]:[/BR:90]],Brudnopis!$E$27:$J$27),0)</f>
        <v>5.6701030927835051E-2</v>
      </c>
      <c r="X3770" s="44">
        <f>IF(Mecze[[#This Row],[Role]]&lt;&gt;"BR",SUMPRODUCT(Mecze[[#This Row],[/PR:90]:[/BR:90]],Brudnopis!$E$28:$J$28),0)</f>
        <v>5.1546391752577317E-2</v>
      </c>
      <c r="Y3770" s="35">
        <f>IF(Mecze[[#This Row],[Role]]="BR",Mecze[[#This Row],[/OB:90]]+Mecze[[#This Row],[/PC:90]],SUM(Mecze[[#This Row],[/PR:90]:[/BR:90]]))</f>
        <v>4.1237113402061855E-2</v>
      </c>
      <c r="Z3770" s="35">
        <f>IF(Mecze[[#This Row],[KC]]=0,SUM(Mecze[[#This Row],[/BRI]:[/NPI]]),SUM(Mecze[[#This Row],[/BRI]:[/NPI]])*0.6)</f>
        <v>0.24742268041237114</v>
      </c>
      <c r="AA3770" s="10">
        <f>IFERROR(Mecze[[#This Row],[BR]]/Mecze[[#This Row],[ST]],0)</f>
        <v>0</v>
      </c>
      <c r="AB3770">
        <f>ROUND(Mecze[[#This Row],[PD]]*Mecze[[#This Row],[%PC]],0)</f>
        <v>3</v>
      </c>
      <c r="AC3770">
        <f>ROUND(Mecze[[#This Row],[OD]]*Mecze[[#This Row],[%OU]],0)</f>
        <v>0</v>
      </c>
      <c r="AD3770" s="36" t="s">
        <v>273</v>
      </c>
      <c r="AE3770" s="36">
        <v>217</v>
      </c>
      <c r="AF3770" s="71">
        <v>4.26</v>
      </c>
      <c r="AG3770" s="37">
        <v>0</v>
      </c>
      <c r="AH3770" s="37">
        <v>0</v>
      </c>
      <c r="AI3770" s="37">
        <v>97</v>
      </c>
      <c r="AJ3770" s="37">
        <v>1</v>
      </c>
      <c r="AK3770" s="37" t="str">
        <f>VLOOKUP(Mecze[[#This Row],[Match ID]],Meczusie[Mecz]:Meczusie[RodzajMeczu],2,FALSE)</f>
        <v>Towarzyski</v>
      </c>
    </row>
    <row r="3771" spans="1:37" x14ac:dyDescent="0.25">
      <c r="A3771" s="76">
        <v>9</v>
      </c>
      <c r="B3771" s="3" t="s">
        <v>411</v>
      </c>
      <c r="C3771" s="2" t="s">
        <v>165</v>
      </c>
      <c r="D3771" s="1">
        <v>0</v>
      </c>
      <c r="E3771" s="1">
        <v>15</v>
      </c>
      <c r="F3771" s="1">
        <v>14</v>
      </c>
      <c r="G3771" s="1">
        <v>7</v>
      </c>
      <c r="H3771" s="4">
        <v>0.86</v>
      </c>
      <c r="I3771" s="1">
        <v>2</v>
      </c>
      <c r="J3771" s="4">
        <v>0</v>
      </c>
      <c r="K3771" s="1">
        <v>0</v>
      </c>
      <c r="L3771" s="1">
        <v>1</v>
      </c>
      <c r="M3771" s="32">
        <f>IF(Mecze[[#This Row],[PR]]=0,0,Mecze[[#This Row],[PR]]/Mecze[[#This Row],[CZAS]])</f>
        <v>1.0309278350515464E-2</v>
      </c>
      <c r="N3771" s="32">
        <f>IF(Mecze[[#This Row],[OU]]=0,0,Mecze[[#This Row],[OU]]/Mecze[[#This Row],[CZAS]])</f>
        <v>0</v>
      </c>
      <c r="O3771" s="32">
        <f>IF(Mecze[[#This Row],[PC]]=0,0,Mecze[[#This Row],[PC]]/Mecze[[#This Row],[CZAS]])</f>
        <v>6.1855670103092786E-2</v>
      </c>
      <c r="P3771" s="32">
        <f>IF(Mecze[[#This Row],[SC]]=0,0,Mecze[[#This Row],[SC]]/Mecze[[#This Row],[CZAS]])</f>
        <v>0.14432989690721648</v>
      </c>
      <c r="Q3771" s="32">
        <f>IF(Mecze[[#This Row],[OB]]=0,0,Mecze[[#This Row],[OB]]/Mecze[[#This Row],[CZAS]])</f>
        <v>0</v>
      </c>
      <c r="R3771" s="32">
        <f>IF(Mecze[[#This Row],[BR]]=0,0,Mecze[[#This Row],[BR]]/Mecze[[#This Row],[CZAS]])</f>
        <v>0</v>
      </c>
      <c r="S3771" s="44">
        <f>IF(Mecze[[#This Row],[Role]]="BR",SUMPRODUCT(Mecze[[#This Row],[/PR:90]:[/BR:90]],Brudnopis!$E$23:$J$23),0)</f>
        <v>0</v>
      </c>
      <c r="T3771" s="44">
        <f>IF(Mecze[[#This Row],[Role]]&lt;&gt;"BR",SUMPRODUCT(Mecze[[#This Row],[/PR:90]:[/BR:90]],Brudnopis!$E$24:$J$24),0)</f>
        <v>0.21649484536082475</v>
      </c>
      <c r="U3771" s="44">
        <f>IF(Mecze[[#This Row],[Role]]&lt;&gt;"BR",SUMPRODUCT(Mecze[[#This Row],[/PR:90]:[/BR:90]],Brudnopis!$E$25:$J$25),0)</f>
        <v>0.24742268041237114</v>
      </c>
      <c r="V3771" s="44">
        <f>IF(Mecze[[#This Row],[Role]]&lt;&gt;"BR",SUMPRODUCT(Mecze[[#This Row],[/PR:90]:[/BR:90]],Brudnopis!$E$26:$J$26),0)</f>
        <v>0.21649484536082475</v>
      </c>
      <c r="W3771" s="44">
        <f>IF(Mecze[[#This Row],[Role]]&lt;&gt;"BR",SUMPRODUCT(Mecze[[#This Row],[/PR:90]:[/BR:90]],Brudnopis!$E$27:$J$27),0)</f>
        <v>0.24484536082474226</v>
      </c>
      <c r="X3771" s="44">
        <f>IF(Mecze[[#This Row],[Role]]&lt;&gt;"BR",SUMPRODUCT(Mecze[[#This Row],[/PR:90]:[/BR:90]],Brudnopis!$E$28:$J$28),0)</f>
        <v>0.35051546391752575</v>
      </c>
      <c r="Y3771" s="35">
        <f>IF(Mecze[[#This Row],[Role]]="BR",Mecze[[#This Row],[/OB:90]]+Mecze[[#This Row],[/PC:90]],SUM(Mecze[[#This Row],[/PR:90]:[/BR:90]]))</f>
        <v>0.21649484536082475</v>
      </c>
      <c r="Z3771" s="35">
        <f>IF(Mecze[[#This Row],[KC]]=0,SUM(Mecze[[#This Row],[/BRI]:[/NPI]]),SUM(Mecze[[#This Row],[/BRI]:[/NPI]])*0.6)</f>
        <v>1.2757731958762886</v>
      </c>
      <c r="AA3771" s="10">
        <f>IFERROR(Mecze[[#This Row],[BR]]/Mecze[[#This Row],[ST]],0)</f>
        <v>0</v>
      </c>
      <c r="AB3771">
        <f>ROUND(Mecze[[#This Row],[PD]]*Mecze[[#This Row],[%PC]],0)</f>
        <v>6</v>
      </c>
      <c r="AC3771">
        <f>ROUND(Mecze[[#This Row],[OD]]*Mecze[[#This Row],[%OU]],0)</f>
        <v>0</v>
      </c>
      <c r="AD3771" s="36" t="s">
        <v>46</v>
      </c>
      <c r="AE3771" s="36">
        <v>217</v>
      </c>
      <c r="AF3771" s="71">
        <v>8.0399999999999991</v>
      </c>
      <c r="AG3771" s="37">
        <v>0</v>
      </c>
      <c r="AH3771" s="37">
        <v>0</v>
      </c>
      <c r="AI3771" s="37">
        <v>97</v>
      </c>
      <c r="AJ3771" s="37">
        <v>1</v>
      </c>
      <c r="AK3771" s="37" t="str">
        <f>VLOOKUP(Mecze[[#This Row],[Match ID]],Meczusie[Mecz]:Meczusie[RodzajMeczu],2,FALSE)</f>
        <v>Towarzyski</v>
      </c>
    </row>
    <row r="3772" spans="1:37" x14ac:dyDescent="0.25">
      <c r="A3772" s="76">
        <v>1</v>
      </c>
      <c r="B3772" s="3" t="s">
        <v>169</v>
      </c>
      <c r="C3772" s="2" t="s">
        <v>155</v>
      </c>
      <c r="D3772" s="1">
        <v>0</v>
      </c>
      <c r="E3772" s="1">
        <v>0</v>
      </c>
      <c r="F3772" s="1">
        <v>0</v>
      </c>
      <c r="G3772" s="1">
        <v>11</v>
      </c>
      <c r="H3772" s="4">
        <v>0.27</v>
      </c>
      <c r="I3772" s="1">
        <v>0</v>
      </c>
      <c r="J3772" s="4"/>
      <c r="K3772" s="1">
        <v>6</v>
      </c>
      <c r="L3772" s="1">
        <v>0</v>
      </c>
      <c r="M3772" s="32">
        <f>IF(Mecze[[#This Row],[PR]]=0,0,Mecze[[#This Row],[PR]]/Mecze[[#This Row],[CZAS]])</f>
        <v>0</v>
      </c>
      <c r="N3772" s="32">
        <f>IF(Mecze[[#This Row],[OU]]=0,0,Mecze[[#This Row],[OU]]/Mecze[[#This Row],[CZAS]])</f>
        <v>0</v>
      </c>
      <c r="O3772" s="32">
        <f>IF(Mecze[[#This Row],[PC]]=0,0,Mecze[[#This Row],[PC]]/Mecze[[#This Row],[CZAS]])</f>
        <v>3.125E-2</v>
      </c>
      <c r="P3772" s="32">
        <f>IF(Mecze[[#This Row],[SC]]=0,0,Mecze[[#This Row],[SC]]/Mecze[[#This Row],[CZAS]])</f>
        <v>0</v>
      </c>
      <c r="Q3772" s="32">
        <f>IF(Mecze[[#This Row],[OB]]=0,0,Mecze[[#This Row],[OB]]/Mecze[[#This Row],[CZAS]])</f>
        <v>6.25E-2</v>
      </c>
      <c r="R3772" s="32">
        <f>IF(Mecze[[#This Row],[BR]]=0,0,Mecze[[#This Row],[BR]]/Mecze[[#This Row],[CZAS]])</f>
        <v>0</v>
      </c>
      <c r="S3772" s="44">
        <f>IF(Mecze[[#This Row],[Role]]="BR",SUMPRODUCT(Mecze[[#This Row],[/PR:90]:[/BR:90]],Brudnopis!$E$23:$J$23),0)</f>
        <v>0.28125</v>
      </c>
      <c r="T3772" s="44">
        <f>IF(Mecze[[#This Row],[Role]]&lt;&gt;"BR",SUMPRODUCT(Mecze[[#This Row],[/PR:90]:[/BR:90]],Brudnopis!$E$24:$J$24),0)</f>
        <v>0</v>
      </c>
      <c r="U3772" s="44">
        <f>IF(Mecze[[#This Row],[Role]]&lt;&gt;"BR",SUMPRODUCT(Mecze[[#This Row],[/PR:90]:[/BR:90]],Brudnopis!$E$25:$J$25),0)</f>
        <v>0</v>
      </c>
      <c r="V3772" s="44">
        <f>IF(Mecze[[#This Row],[Role]]&lt;&gt;"BR",SUMPRODUCT(Mecze[[#This Row],[/PR:90]:[/BR:90]],Brudnopis!$E$26:$J$26),0)</f>
        <v>0</v>
      </c>
      <c r="W3772" s="44">
        <f>IF(Mecze[[#This Row],[Role]]&lt;&gt;"BR",SUMPRODUCT(Mecze[[#This Row],[/PR:90]:[/BR:90]],Brudnopis!$E$27:$J$27),0)</f>
        <v>0</v>
      </c>
      <c r="X3772" s="44">
        <f>IF(Mecze[[#This Row],[Role]]&lt;&gt;"BR",SUMPRODUCT(Mecze[[#This Row],[/PR:90]:[/BR:90]],Brudnopis!$E$28:$J$28),0)</f>
        <v>0</v>
      </c>
      <c r="Y3772" s="35">
        <f>IF(Mecze[[#This Row],[Role]]="BR",Mecze[[#This Row],[/OB:90]]+Mecze[[#This Row],[/PC:90]],SUM(Mecze[[#This Row],[/PR:90]:[/BR:90]]))</f>
        <v>9.375E-2</v>
      </c>
      <c r="Z3772" s="35">
        <f>IF(Mecze[[#This Row],[KC]]=0,SUM(Mecze[[#This Row],[/BRI]:[/NPI]]),SUM(Mecze[[#This Row],[/BRI]:[/NPI]])*0.6)</f>
        <v>0.28125</v>
      </c>
      <c r="AA3772" s="10">
        <f>IFERROR(Mecze[[#This Row],[BR]]/Mecze[[#This Row],[ST]],0)</f>
        <v>0</v>
      </c>
      <c r="AB3772">
        <f>ROUND(Mecze[[#This Row],[PD]]*Mecze[[#This Row],[%PC]],0)</f>
        <v>3</v>
      </c>
      <c r="AC3772">
        <f>ROUND(Mecze[[#This Row],[OD]]*Mecze[[#This Row],[%OU]],0)</f>
        <v>0</v>
      </c>
      <c r="AD3772" s="36" t="s">
        <v>40</v>
      </c>
      <c r="AE3772" s="36">
        <v>218</v>
      </c>
      <c r="AF3772" s="71">
        <v>4.8</v>
      </c>
      <c r="AG3772" s="37">
        <v>0</v>
      </c>
      <c r="AH3772" s="37">
        <v>0</v>
      </c>
      <c r="AI3772" s="37">
        <v>96</v>
      </c>
      <c r="AJ3772" s="37">
        <v>1</v>
      </c>
      <c r="AK3772" s="37" t="str">
        <f>VLOOKUP(Mecze[[#This Row],[Match ID]],Meczusie[Mecz]:Meczusie[RodzajMeczu],2,FALSE)</f>
        <v>Towarzyski</v>
      </c>
    </row>
    <row r="3773" spans="1:37" x14ac:dyDescent="0.25">
      <c r="A3773" s="76">
        <v>5</v>
      </c>
      <c r="B3773" s="3" t="s">
        <v>161</v>
      </c>
      <c r="C3773" s="2" t="s">
        <v>157</v>
      </c>
      <c r="D3773" s="1">
        <v>0</v>
      </c>
      <c r="E3773" s="1">
        <v>0</v>
      </c>
      <c r="F3773" s="1">
        <v>0</v>
      </c>
      <c r="G3773" s="1">
        <v>3</v>
      </c>
      <c r="H3773" s="4">
        <v>0</v>
      </c>
      <c r="I3773" s="1">
        <v>4</v>
      </c>
      <c r="J3773" s="4">
        <v>0.75</v>
      </c>
      <c r="K3773" s="1">
        <v>0</v>
      </c>
      <c r="L3773" s="1">
        <v>10</v>
      </c>
      <c r="M3773" s="32">
        <f>IF(Mecze[[#This Row],[PR]]=0,0,Mecze[[#This Row],[PR]]/Mecze[[#This Row],[CZAS]])</f>
        <v>0.10416666666666667</v>
      </c>
      <c r="N3773" s="32">
        <f>IF(Mecze[[#This Row],[OU]]=0,0,Mecze[[#This Row],[OU]]/Mecze[[#This Row],[CZAS]])</f>
        <v>3.125E-2</v>
      </c>
      <c r="O3773" s="32">
        <f>IF(Mecze[[#This Row],[PC]]=0,0,Mecze[[#This Row],[PC]]/Mecze[[#This Row],[CZAS]])</f>
        <v>0</v>
      </c>
      <c r="P3773" s="32">
        <f>IF(Mecze[[#This Row],[SC]]=0,0,Mecze[[#This Row],[SC]]/Mecze[[#This Row],[CZAS]])</f>
        <v>0</v>
      </c>
      <c r="Q3773" s="32">
        <f>IF(Mecze[[#This Row],[OB]]=0,0,Mecze[[#This Row],[OB]]/Mecze[[#This Row],[CZAS]])</f>
        <v>0</v>
      </c>
      <c r="R3773" s="32">
        <f>IF(Mecze[[#This Row],[BR]]=0,0,Mecze[[#This Row],[BR]]/Mecze[[#This Row],[CZAS]])</f>
        <v>0</v>
      </c>
      <c r="S3773" s="44">
        <f>IF(Mecze[[#This Row],[Role]]="BR",SUMPRODUCT(Mecze[[#This Row],[/PR:90]:[/BR:90]],Brudnopis!$E$23:$J$23),0)</f>
        <v>0</v>
      </c>
      <c r="T3773" s="44">
        <f>IF(Mecze[[#This Row],[Role]]&lt;&gt;"BR",SUMPRODUCT(Mecze[[#This Row],[/PR:90]:[/BR:90]],Brudnopis!$E$24:$J$24),0)</f>
        <v>0.15104166666666669</v>
      </c>
      <c r="U3773" s="44">
        <f>IF(Mecze[[#This Row],[Role]]&lt;&gt;"BR",SUMPRODUCT(Mecze[[#This Row],[/PR:90]:[/BR:90]],Brudnopis!$E$25:$J$25),0)</f>
        <v>0.13541666666666669</v>
      </c>
      <c r="V3773" s="44">
        <f>IF(Mecze[[#This Row],[Role]]&lt;&gt;"BR",SUMPRODUCT(Mecze[[#This Row],[/PR:90]:[/BR:90]],Brudnopis!$E$26:$J$26),0)</f>
        <v>0.13541666666666669</v>
      </c>
      <c r="W3773" s="44">
        <f>IF(Mecze[[#This Row],[Role]]&lt;&gt;"BR",SUMPRODUCT(Mecze[[#This Row],[/PR:90]:[/BR:90]],Brudnopis!$E$27:$J$27),0)</f>
        <v>0.1015625</v>
      </c>
      <c r="X3773" s="44">
        <f>IF(Mecze[[#This Row],[Role]]&lt;&gt;"BR",SUMPRODUCT(Mecze[[#This Row],[/PR:90]:[/BR:90]],Brudnopis!$E$28:$J$28),0)</f>
        <v>0</v>
      </c>
      <c r="Y3773" s="35">
        <f>IF(Mecze[[#This Row],[Role]]="BR",Mecze[[#This Row],[/OB:90]]+Mecze[[#This Row],[/PC:90]],SUM(Mecze[[#This Row],[/PR:90]:[/BR:90]]))</f>
        <v>0.13541666666666669</v>
      </c>
      <c r="Z3773" s="35">
        <f>IF(Mecze[[#This Row],[KC]]=0,SUM(Mecze[[#This Row],[/BRI]:[/NPI]]),SUM(Mecze[[#This Row],[/BRI]:[/NPI]])*0.6)</f>
        <v>0.5234375</v>
      </c>
      <c r="AA3773" s="10">
        <f>IFERROR(Mecze[[#This Row],[BR]]/Mecze[[#This Row],[ST]],0)</f>
        <v>0</v>
      </c>
      <c r="AB3773">
        <f>ROUND(Mecze[[#This Row],[PD]]*Mecze[[#This Row],[%PC]],0)</f>
        <v>0</v>
      </c>
      <c r="AC3773">
        <f>ROUND(Mecze[[#This Row],[OD]]*Mecze[[#This Row],[%OU]],0)</f>
        <v>3</v>
      </c>
      <c r="AD3773" s="36" t="s">
        <v>47</v>
      </c>
      <c r="AE3773" s="36">
        <v>218</v>
      </c>
      <c r="AF3773" s="71">
        <v>5.92</v>
      </c>
      <c r="AG3773" s="37">
        <v>0</v>
      </c>
      <c r="AH3773" s="37">
        <v>0</v>
      </c>
      <c r="AI3773" s="37">
        <v>96</v>
      </c>
      <c r="AJ3773" s="37">
        <v>1</v>
      </c>
      <c r="AK3773" s="37" t="str">
        <f>VLOOKUP(Mecze[[#This Row],[Match ID]],Meczusie[Mecz]:Meczusie[RodzajMeczu],2,FALSE)</f>
        <v>Towarzyski</v>
      </c>
    </row>
    <row r="3774" spans="1:37" x14ac:dyDescent="0.25">
      <c r="A3774" s="76">
        <v>6</v>
      </c>
      <c r="B3774" s="3" t="s">
        <v>159</v>
      </c>
      <c r="C3774" s="2" t="s">
        <v>157</v>
      </c>
      <c r="D3774" s="1">
        <v>0</v>
      </c>
      <c r="E3774" s="1">
        <v>0</v>
      </c>
      <c r="F3774" s="1">
        <v>0</v>
      </c>
      <c r="G3774" s="1">
        <v>10</v>
      </c>
      <c r="H3774" s="4">
        <v>0.5</v>
      </c>
      <c r="I3774" s="1">
        <v>7</v>
      </c>
      <c r="J3774" s="4">
        <v>0.43</v>
      </c>
      <c r="K3774" s="1">
        <v>0</v>
      </c>
      <c r="L3774" s="1">
        <v>11</v>
      </c>
      <c r="M3774" s="32">
        <f>IF(Mecze[[#This Row],[PR]]=0,0,Mecze[[#This Row],[PR]]/Mecze[[#This Row],[CZAS]])</f>
        <v>0.11458333333333333</v>
      </c>
      <c r="N3774" s="32">
        <f>IF(Mecze[[#This Row],[OU]]=0,0,Mecze[[#This Row],[OU]]/Mecze[[#This Row],[CZAS]])</f>
        <v>3.125E-2</v>
      </c>
      <c r="O3774" s="32">
        <f>IF(Mecze[[#This Row],[PC]]=0,0,Mecze[[#This Row],[PC]]/Mecze[[#This Row],[CZAS]])</f>
        <v>5.2083333333333336E-2</v>
      </c>
      <c r="P3774" s="32">
        <f>IF(Mecze[[#This Row],[SC]]=0,0,Mecze[[#This Row],[SC]]/Mecze[[#This Row],[CZAS]])</f>
        <v>0</v>
      </c>
      <c r="Q3774" s="32">
        <f>IF(Mecze[[#This Row],[OB]]=0,0,Mecze[[#This Row],[OB]]/Mecze[[#This Row],[CZAS]])</f>
        <v>0</v>
      </c>
      <c r="R3774" s="32">
        <f>IF(Mecze[[#This Row],[BR]]=0,0,Mecze[[#This Row],[BR]]/Mecze[[#This Row],[CZAS]])</f>
        <v>0</v>
      </c>
      <c r="S3774" s="44">
        <f>IF(Mecze[[#This Row],[Role]]="BR",SUMPRODUCT(Mecze[[#This Row],[/PR:90]:[/BR:90]],Brudnopis!$E$23:$J$23),0)</f>
        <v>0</v>
      </c>
      <c r="T3774" s="44">
        <f>IF(Mecze[[#This Row],[Role]]&lt;&gt;"BR",SUMPRODUCT(Mecze[[#This Row],[/PR:90]:[/BR:90]],Brudnopis!$E$24:$J$24),0)</f>
        <v>0.21354166666666666</v>
      </c>
      <c r="U3774" s="44">
        <f>IF(Mecze[[#This Row],[Role]]&lt;&gt;"BR",SUMPRODUCT(Mecze[[#This Row],[/PR:90]:[/BR:90]],Brudnopis!$E$25:$J$25),0)</f>
        <v>0.22395833333333331</v>
      </c>
      <c r="V3774" s="44">
        <f>IF(Mecze[[#This Row],[Role]]&lt;&gt;"BR",SUMPRODUCT(Mecze[[#This Row],[/PR:90]:[/BR:90]],Brudnopis!$E$26:$J$26),0)</f>
        <v>0.19791666666666666</v>
      </c>
      <c r="W3774" s="44">
        <f>IF(Mecze[[#This Row],[Role]]&lt;&gt;"BR",SUMPRODUCT(Mecze[[#This Row],[/PR:90]:[/BR:90]],Brudnopis!$E$27:$J$27),0)</f>
        <v>0.1875</v>
      </c>
      <c r="X3774" s="44">
        <f>IF(Mecze[[#This Row],[Role]]&lt;&gt;"BR",SUMPRODUCT(Mecze[[#This Row],[/PR:90]:[/BR:90]],Brudnopis!$E$28:$J$28),0)</f>
        <v>5.2083333333333336E-2</v>
      </c>
      <c r="Y3774" s="35">
        <f>IF(Mecze[[#This Row],[Role]]="BR",Mecze[[#This Row],[/OB:90]]+Mecze[[#This Row],[/PC:90]],SUM(Mecze[[#This Row],[/PR:90]:[/BR:90]]))</f>
        <v>0.19791666666666666</v>
      </c>
      <c r="Z3774" s="35">
        <f>IF(Mecze[[#This Row],[KC]]=0,SUM(Mecze[[#This Row],[/BRI]:[/NPI]]),SUM(Mecze[[#This Row],[/BRI]:[/NPI]])*0.6)</f>
        <v>0.875</v>
      </c>
      <c r="AA3774" s="10">
        <f>IFERROR(Mecze[[#This Row],[BR]]/Mecze[[#This Row],[ST]],0)</f>
        <v>0</v>
      </c>
      <c r="AB3774">
        <f>ROUND(Mecze[[#This Row],[PD]]*Mecze[[#This Row],[%PC]],0)</f>
        <v>5</v>
      </c>
      <c r="AC3774">
        <f>ROUND(Mecze[[#This Row],[OD]]*Mecze[[#This Row],[%OU]],0)</f>
        <v>3</v>
      </c>
      <c r="AD3774" s="36" t="s">
        <v>47</v>
      </c>
      <c r="AE3774" s="36">
        <v>218</v>
      </c>
      <c r="AF3774" s="71">
        <v>5.01</v>
      </c>
      <c r="AG3774" s="37">
        <v>0</v>
      </c>
      <c r="AH3774" s="37">
        <v>0</v>
      </c>
      <c r="AI3774" s="37">
        <v>96</v>
      </c>
      <c r="AJ3774" s="37">
        <v>1</v>
      </c>
      <c r="AK3774" s="37" t="str">
        <f>VLOOKUP(Mecze[[#This Row],[Match ID]],Meczusie[Mecz]:Meczusie[RodzajMeczu],2,FALSE)</f>
        <v>Towarzyski</v>
      </c>
    </row>
    <row r="3775" spans="1:37" x14ac:dyDescent="0.25">
      <c r="A3775" s="76">
        <v>4</v>
      </c>
      <c r="B3775" s="3" t="s">
        <v>360</v>
      </c>
      <c r="C3775" s="2" t="s">
        <v>157</v>
      </c>
      <c r="D3775" s="1">
        <v>0</v>
      </c>
      <c r="E3775" s="1">
        <v>0</v>
      </c>
      <c r="F3775" s="1">
        <v>0</v>
      </c>
      <c r="G3775" s="1">
        <v>6</v>
      </c>
      <c r="H3775" s="4">
        <v>0.5</v>
      </c>
      <c r="I3775" s="1">
        <v>1</v>
      </c>
      <c r="J3775" s="4">
        <v>1</v>
      </c>
      <c r="K3775" s="1">
        <v>0</v>
      </c>
      <c r="L3775" s="1">
        <v>1</v>
      </c>
      <c r="M3775" s="32">
        <f>IF(Mecze[[#This Row],[PR]]=0,0,Mecze[[#This Row],[PR]]/Mecze[[#This Row],[CZAS]])</f>
        <v>1.0416666666666666E-2</v>
      </c>
      <c r="N3775" s="32">
        <f>IF(Mecze[[#This Row],[OU]]=0,0,Mecze[[#This Row],[OU]]/Mecze[[#This Row],[CZAS]])</f>
        <v>1.0416666666666666E-2</v>
      </c>
      <c r="O3775" s="32">
        <f>IF(Mecze[[#This Row],[PC]]=0,0,Mecze[[#This Row],[PC]]/Mecze[[#This Row],[CZAS]])</f>
        <v>3.125E-2</v>
      </c>
      <c r="P3775" s="32">
        <f>IF(Mecze[[#This Row],[SC]]=0,0,Mecze[[#This Row],[SC]]/Mecze[[#This Row],[CZAS]])</f>
        <v>0</v>
      </c>
      <c r="Q3775" s="32">
        <f>IF(Mecze[[#This Row],[OB]]=0,0,Mecze[[#This Row],[OB]]/Mecze[[#This Row],[CZAS]])</f>
        <v>0</v>
      </c>
      <c r="R3775" s="32">
        <f>IF(Mecze[[#This Row],[BR]]=0,0,Mecze[[#This Row],[BR]]/Mecze[[#This Row],[CZAS]])</f>
        <v>0</v>
      </c>
      <c r="S3775" s="44">
        <f>IF(Mecze[[#This Row],[Role]]="BR",SUMPRODUCT(Mecze[[#This Row],[/PR:90]:[/BR:90]],Brudnopis!$E$23:$J$23),0)</f>
        <v>0</v>
      </c>
      <c r="T3775" s="44">
        <f>IF(Mecze[[#This Row],[Role]]&lt;&gt;"BR",SUMPRODUCT(Mecze[[#This Row],[/PR:90]:[/BR:90]],Brudnopis!$E$24:$J$24),0)</f>
        <v>5.7291666666666664E-2</v>
      </c>
      <c r="U3775" s="44">
        <f>IF(Mecze[[#This Row],[Role]]&lt;&gt;"BR",SUMPRODUCT(Mecze[[#This Row],[/PR:90]:[/BR:90]],Brudnopis!$E$25:$J$25),0)</f>
        <v>6.7708333333333329E-2</v>
      </c>
      <c r="V3775" s="44">
        <f>IF(Mecze[[#This Row],[Role]]&lt;&gt;"BR",SUMPRODUCT(Mecze[[#This Row],[/PR:90]:[/BR:90]],Brudnopis!$E$26:$J$26),0)</f>
        <v>5.2083333333333329E-2</v>
      </c>
      <c r="W3775" s="44">
        <f>IF(Mecze[[#This Row],[Role]]&lt;&gt;"BR",SUMPRODUCT(Mecze[[#This Row],[/PR:90]:[/BR:90]],Brudnopis!$E$27:$J$27),0)</f>
        <v>6.25E-2</v>
      </c>
      <c r="X3775" s="44">
        <f>IF(Mecze[[#This Row],[Role]]&lt;&gt;"BR",SUMPRODUCT(Mecze[[#This Row],[/PR:90]:[/BR:90]],Brudnopis!$E$28:$J$28),0)</f>
        <v>3.125E-2</v>
      </c>
      <c r="Y3775" s="35">
        <f>IF(Mecze[[#This Row],[Role]]="BR",Mecze[[#This Row],[/OB:90]]+Mecze[[#This Row],[/PC:90]],SUM(Mecze[[#This Row],[/PR:90]:[/BR:90]]))</f>
        <v>5.2083333333333329E-2</v>
      </c>
      <c r="Z3775" s="35">
        <f>IF(Mecze[[#This Row],[KC]]=0,SUM(Mecze[[#This Row],[/BRI]:[/NPI]]),SUM(Mecze[[#This Row],[/BRI]:[/NPI]])*0.6)</f>
        <v>0.27083333333333331</v>
      </c>
      <c r="AA3775" s="10">
        <f>IFERROR(Mecze[[#This Row],[BR]]/Mecze[[#This Row],[ST]],0)</f>
        <v>0</v>
      </c>
      <c r="AB3775">
        <f>ROUND(Mecze[[#This Row],[PD]]*Mecze[[#This Row],[%PC]],0)</f>
        <v>3</v>
      </c>
      <c r="AC3775">
        <f>ROUND(Mecze[[#This Row],[OD]]*Mecze[[#This Row],[%OU]],0)</f>
        <v>1</v>
      </c>
      <c r="AD3775" s="36" t="s">
        <v>175</v>
      </c>
      <c r="AE3775" s="36">
        <v>218</v>
      </c>
      <c r="AF3775" s="71">
        <v>2.91</v>
      </c>
      <c r="AG3775" s="37">
        <v>0</v>
      </c>
      <c r="AH3775" s="37">
        <v>0</v>
      </c>
      <c r="AI3775" s="37">
        <v>96</v>
      </c>
      <c r="AJ3775" s="37">
        <v>1</v>
      </c>
      <c r="AK3775" s="37" t="str">
        <f>VLOOKUP(Mecze[[#This Row],[Match ID]],Meczusie[Mecz]:Meczusie[RodzajMeczu],2,FALSE)</f>
        <v>Towarzyski</v>
      </c>
    </row>
    <row r="3776" spans="1:37" x14ac:dyDescent="0.25">
      <c r="A3776" s="76">
        <v>3</v>
      </c>
      <c r="B3776" s="3" t="s">
        <v>158</v>
      </c>
      <c r="C3776" s="2" t="s">
        <v>157</v>
      </c>
      <c r="D3776" s="1">
        <v>0</v>
      </c>
      <c r="E3776" s="1">
        <v>0</v>
      </c>
      <c r="F3776" s="1">
        <v>0</v>
      </c>
      <c r="G3776" s="1">
        <v>5</v>
      </c>
      <c r="H3776" s="4">
        <v>0.8</v>
      </c>
      <c r="I3776" s="1">
        <v>4</v>
      </c>
      <c r="J3776" s="4">
        <v>0.5</v>
      </c>
      <c r="K3776" s="1">
        <v>0</v>
      </c>
      <c r="L3776" s="1">
        <v>2</v>
      </c>
      <c r="M3776" s="32">
        <f>IF(Mecze[[#This Row],[PR]]=0,0,Mecze[[#This Row],[PR]]/Mecze[[#This Row],[CZAS]])</f>
        <v>2.0833333333333332E-2</v>
      </c>
      <c r="N3776" s="32">
        <f>IF(Mecze[[#This Row],[OU]]=0,0,Mecze[[#This Row],[OU]]/Mecze[[#This Row],[CZAS]])</f>
        <v>2.0833333333333332E-2</v>
      </c>
      <c r="O3776" s="32">
        <f>IF(Mecze[[#This Row],[PC]]=0,0,Mecze[[#This Row],[PC]]/Mecze[[#This Row],[CZAS]])</f>
        <v>4.1666666666666664E-2</v>
      </c>
      <c r="P3776" s="32">
        <f>IF(Mecze[[#This Row],[SC]]=0,0,Mecze[[#This Row],[SC]]/Mecze[[#This Row],[CZAS]])</f>
        <v>0</v>
      </c>
      <c r="Q3776" s="32">
        <f>IF(Mecze[[#This Row],[OB]]=0,0,Mecze[[#This Row],[OB]]/Mecze[[#This Row],[CZAS]])</f>
        <v>0</v>
      </c>
      <c r="R3776" s="32">
        <f>IF(Mecze[[#This Row],[BR]]=0,0,Mecze[[#This Row],[BR]]/Mecze[[#This Row],[CZAS]])</f>
        <v>0</v>
      </c>
      <c r="S3776" s="44">
        <f>IF(Mecze[[#This Row],[Role]]="BR",SUMPRODUCT(Mecze[[#This Row],[/PR:90]:[/BR:90]],Brudnopis!$E$23:$J$23),0)</f>
        <v>0</v>
      </c>
      <c r="T3776" s="44">
        <f>IF(Mecze[[#This Row],[Role]]&lt;&gt;"BR",SUMPRODUCT(Mecze[[#This Row],[/PR:90]:[/BR:90]],Brudnopis!$E$24:$J$24),0)</f>
        <v>9.375E-2</v>
      </c>
      <c r="U3776" s="44">
        <f>IF(Mecze[[#This Row],[Role]]&lt;&gt;"BR",SUMPRODUCT(Mecze[[#This Row],[/PR:90]:[/BR:90]],Brudnopis!$E$25:$J$25),0)</f>
        <v>0.10416666666666666</v>
      </c>
      <c r="V3776" s="44">
        <f>IF(Mecze[[#This Row],[Role]]&lt;&gt;"BR",SUMPRODUCT(Mecze[[#This Row],[/PR:90]:[/BR:90]],Brudnopis!$E$26:$J$26),0)</f>
        <v>8.3333333333333329E-2</v>
      </c>
      <c r="W3776" s="44">
        <f>IF(Mecze[[#This Row],[Role]]&lt;&gt;"BR",SUMPRODUCT(Mecze[[#This Row],[/PR:90]:[/BR:90]],Brudnopis!$E$27:$J$27),0)</f>
        <v>9.375E-2</v>
      </c>
      <c r="X3776" s="44">
        <f>IF(Mecze[[#This Row],[Role]]&lt;&gt;"BR",SUMPRODUCT(Mecze[[#This Row],[/PR:90]:[/BR:90]],Brudnopis!$E$28:$J$28),0)</f>
        <v>4.1666666666666664E-2</v>
      </c>
      <c r="Y3776" s="35">
        <f>IF(Mecze[[#This Row],[Role]]="BR",Mecze[[#This Row],[/OB:90]]+Mecze[[#This Row],[/PC:90]],SUM(Mecze[[#This Row],[/PR:90]:[/BR:90]]))</f>
        <v>8.3333333333333329E-2</v>
      </c>
      <c r="Z3776" s="35">
        <f>IF(Mecze[[#This Row],[KC]]=0,SUM(Mecze[[#This Row],[/BRI]:[/NPI]]),SUM(Mecze[[#This Row],[/BRI]:[/NPI]])*0.6)</f>
        <v>0.41666666666666669</v>
      </c>
      <c r="AA3776" s="10">
        <f>IFERROR(Mecze[[#This Row],[BR]]/Mecze[[#This Row],[ST]],0)</f>
        <v>0</v>
      </c>
      <c r="AB3776">
        <f>ROUND(Mecze[[#This Row],[PD]]*Mecze[[#This Row],[%PC]],0)</f>
        <v>4</v>
      </c>
      <c r="AC3776">
        <f>ROUND(Mecze[[#This Row],[OD]]*Mecze[[#This Row],[%OU]],0)</f>
        <v>2</v>
      </c>
      <c r="AD3776" s="36" t="s">
        <v>174</v>
      </c>
      <c r="AE3776" s="36">
        <v>218</v>
      </c>
      <c r="AF3776" s="71">
        <v>4.24</v>
      </c>
      <c r="AG3776" s="37">
        <v>0</v>
      </c>
      <c r="AH3776" s="37">
        <v>0</v>
      </c>
      <c r="AI3776" s="37">
        <v>96</v>
      </c>
      <c r="AJ3776" s="37">
        <v>1</v>
      </c>
      <c r="AK3776" s="37" t="str">
        <f>VLOOKUP(Mecze[[#This Row],[Match ID]],Meczusie[Mecz]:Meczusie[RodzajMeczu],2,FALSE)</f>
        <v>Towarzyski</v>
      </c>
    </row>
    <row r="3777" spans="1:37" x14ac:dyDescent="0.25">
      <c r="A3777" s="76">
        <v>13</v>
      </c>
      <c r="B3777" s="3" t="s">
        <v>162</v>
      </c>
      <c r="C3777" s="2" t="s">
        <v>160</v>
      </c>
      <c r="D3777" s="1">
        <v>0</v>
      </c>
      <c r="E3777" s="1">
        <v>1</v>
      </c>
      <c r="F3777" s="1">
        <v>1</v>
      </c>
      <c r="G3777" s="1">
        <v>9</v>
      </c>
      <c r="H3777" s="4">
        <v>0.78</v>
      </c>
      <c r="I3777" s="1">
        <v>4</v>
      </c>
      <c r="J3777" s="4">
        <v>0.25</v>
      </c>
      <c r="K3777" s="1">
        <v>0</v>
      </c>
      <c r="L3777" s="1">
        <v>2</v>
      </c>
      <c r="M3777" s="32">
        <f>IF(Mecze[[#This Row],[PR]]=0,0,Mecze[[#This Row],[PR]]/Mecze[[#This Row],[CZAS]])</f>
        <v>2.0833333333333332E-2</v>
      </c>
      <c r="N3777" s="32">
        <f>IF(Mecze[[#This Row],[OU]]=0,0,Mecze[[#This Row],[OU]]/Mecze[[#This Row],[CZAS]])</f>
        <v>1.0416666666666666E-2</v>
      </c>
      <c r="O3777" s="32">
        <f>IF(Mecze[[#This Row],[PC]]=0,0,Mecze[[#This Row],[PC]]/Mecze[[#This Row],[CZAS]])</f>
        <v>7.2916666666666671E-2</v>
      </c>
      <c r="P3777" s="32">
        <f>IF(Mecze[[#This Row],[SC]]=0,0,Mecze[[#This Row],[SC]]/Mecze[[#This Row],[CZAS]])</f>
        <v>1.0416666666666666E-2</v>
      </c>
      <c r="Q3777" s="32">
        <f>IF(Mecze[[#This Row],[OB]]=0,0,Mecze[[#This Row],[OB]]/Mecze[[#This Row],[CZAS]])</f>
        <v>0</v>
      </c>
      <c r="R3777" s="32">
        <f>IF(Mecze[[#This Row],[BR]]=0,0,Mecze[[#This Row],[BR]]/Mecze[[#This Row],[CZAS]])</f>
        <v>0</v>
      </c>
      <c r="S3777" s="44">
        <f>IF(Mecze[[#This Row],[Role]]="BR",SUMPRODUCT(Mecze[[#This Row],[/PR:90]:[/BR:90]],Brudnopis!$E$23:$J$23),0)</f>
        <v>0</v>
      </c>
      <c r="T3777" s="44">
        <f>IF(Mecze[[#This Row],[Role]]&lt;&gt;"BR",SUMPRODUCT(Mecze[[#This Row],[/PR:90]:[/BR:90]],Brudnopis!$E$24:$J$24),0)</f>
        <v>0.11979166666666667</v>
      </c>
      <c r="U3777" s="44">
        <f>IF(Mecze[[#This Row],[Role]]&lt;&gt;"BR",SUMPRODUCT(Mecze[[#This Row],[/PR:90]:[/BR:90]],Brudnopis!$E$25:$J$25),0)</f>
        <v>0.15104166666666666</v>
      </c>
      <c r="V3777" s="44">
        <f>IF(Mecze[[#This Row],[Role]]&lt;&gt;"BR",SUMPRODUCT(Mecze[[#This Row],[/PR:90]:[/BR:90]],Brudnopis!$E$26:$J$26),0)</f>
        <v>0.11458333333333334</v>
      </c>
      <c r="W3777" s="44">
        <f>IF(Mecze[[#This Row],[Role]]&lt;&gt;"BR",SUMPRODUCT(Mecze[[#This Row],[/PR:90]:[/BR:90]],Brudnopis!$E$27:$J$27),0)</f>
        <v>0.14322916666666666</v>
      </c>
      <c r="X3777" s="44">
        <f>IF(Mecze[[#This Row],[Role]]&lt;&gt;"BR",SUMPRODUCT(Mecze[[#This Row],[/PR:90]:[/BR:90]],Brudnopis!$E$28:$J$28),0)</f>
        <v>9.375E-2</v>
      </c>
      <c r="Y3777" s="35">
        <f>IF(Mecze[[#This Row],[Role]]="BR",Mecze[[#This Row],[/OB:90]]+Mecze[[#This Row],[/PC:90]],SUM(Mecze[[#This Row],[/PR:90]:[/BR:90]]))</f>
        <v>0.11458333333333334</v>
      </c>
      <c r="Z3777" s="35">
        <f>IF(Mecze[[#This Row],[KC]]=0,SUM(Mecze[[#This Row],[/BRI]:[/NPI]]),SUM(Mecze[[#This Row],[/BRI]:[/NPI]])*0.6)</f>
        <v>0.62239583333333326</v>
      </c>
      <c r="AA3777" s="10">
        <f>IFERROR(Mecze[[#This Row],[BR]]/Mecze[[#This Row],[ST]],0)</f>
        <v>0</v>
      </c>
      <c r="AB3777">
        <f>ROUND(Mecze[[#This Row],[PD]]*Mecze[[#This Row],[%PC]],0)</f>
        <v>7</v>
      </c>
      <c r="AC3777">
        <f>ROUND(Mecze[[#This Row],[OD]]*Mecze[[#This Row],[%OU]],0)</f>
        <v>1</v>
      </c>
      <c r="AD3777" s="36" t="s">
        <v>41</v>
      </c>
      <c r="AE3777" s="36">
        <v>218</v>
      </c>
      <c r="AF3777" s="71">
        <v>4.5599999999999996</v>
      </c>
      <c r="AG3777" s="37">
        <v>0</v>
      </c>
      <c r="AH3777" s="37">
        <v>0</v>
      </c>
      <c r="AI3777" s="37">
        <v>96</v>
      </c>
      <c r="AJ3777" s="37">
        <v>1</v>
      </c>
      <c r="AK3777" s="37" t="str">
        <f>VLOOKUP(Mecze[[#This Row],[Match ID]],Meczusie[Mecz]:Meczusie[RodzajMeczu],2,FALSE)</f>
        <v>Towarzyski</v>
      </c>
    </row>
    <row r="3778" spans="1:37" x14ac:dyDescent="0.25">
      <c r="A3778" s="76">
        <v>60</v>
      </c>
      <c r="B3778" s="3" t="s">
        <v>515</v>
      </c>
      <c r="C3778" s="2" t="s">
        <v>160</v>
      </c>
      <c r="D3778" s="1">
        <v>0</v>
      </c>
      <c r="E3778" s="1">
        <v>0</v>
      </c>
      <c r="F3778" s="1">
        <v>0</v>
      </c>
      <c r="G3778" s="1">
        <v>10</v>
      </c>
      <c r="H3778" s="4">
        <v>0.5</v>
      </c>
      <c r="I3778" s="1">
        <v>5</v>
      </c>
      <c r="J3778" s="4">
        <v>0.8</v>
      </c>
      <c r="K3778" s="1">
        <v>0</v>
      </c>
      <c r="L3778" s="1">
        <v>6</v>
      </c>
      <c r="M3778" s="32">
        <f>IF(Mecze[[#This Row],[PR]]=0,0,Mecze[[#This Row],[PR]]/Mecze[[#This Row],[CZAS]])</f>
        <v>6.25E-2</v>
      </c>
      <c r="N3778" s="32">
        <f>IF(Mecze[[#This Row],[OU]]=0,0,Mecze[[#This Row],[OU]]/Mecze[[#This Row],[CZAS]])</f>
        <v>4.1666666666666664E-2</v>
      </c>
      <c r="O3778" s="32">
        <f>IF(Mecze[[#This Row],[PC]]=0,0,Mecze[[#This Row],[PC]]/Mecze[[#This Row],[CZAS]])</f>
        <v>5.2083333333333336E-2</v>
      </c>
      <c r="P3778" s="32">
        <f>IF(Mecze[[#This Row],[SC]]=0,0,Mecze[[#This Row],[SC]]/Mecze[[#This Row],[CZAS]])</f>
        <v>0</v>
      </c>
      <c r="Q3778" s="32">
        <f>IF(Mecze[[#This Row],[OB]]=0,0,Mecze[[#This Row],[OB]]/Mecze[[#This Row],[CZAS]])</f>
        <v>0</v>
      </c>
      <c r="R3778" s="32">
        <f>IF(Mecze[[#This Row],[BR]]=0,0,Mecze[[#This Row],[BR]]/Mecze[[#This Row],[CZAS]])</f>
        <v>0</v>
      </c>
      <c r="S3778" s="44">
        <f>IF(Mecze[[#This Row],[Role]]="BR",SUMPRODUCT(Mecze[[#This Row],[/PR:90]:[/BR:90]],Brudnopis!$E$23:$J$23),0)</f>
        <v>0</v>
      </c>
      <c r="T3778" s="44">
        <f>IF(Mecze[[#This Row],[Role]]&lt;&gt;"BR",SUMPRODUCT(Mecze[[#This Row],[/PR:90]:[/BR:90]],Brudnopis!$E$24:$J$24),0)</f>
        <v>0.17708333333333334</v>
      </c>
      <c r="U3778" s="44">
        <f>IF(Mecze[[#This Row],[Role]]&lt;&gt;"BR",SUMPRODUCT(Mecze[[#This Row],[/PR:90]:[/BR:90]],Brudnopis!$E$25:$J$25),0)</f>
        <v>0.18229166666666666</v>
      </c>
      <c r="V3778" s="44">
        <f>IF(Mecze[[#This Row],[Role]]&lt;&gt;"BR",SUMPRODUCT(Mecze[[#This Row],[/PR:90]:[/BR:90]],Brudnopis!$E$26:$J$26),0)</f>
        <v>0.15625</v>
      </c>
      <c r="W3778" s="44">
        <f>IF(Mecze[[#This Row],[Role]]&lt;&gt;"BR",SUMPRODUCT(Mecze[[#This Row],[/PR:90]:[/BR:90]],Brudnopis!$E$27:$J$27),0)</f>
        <v>0.15625</v>
      </c>
      <c r="X3778" s="44">
        <f>IF(Mecze[[#This Row],[Role]]&lt;&gt;"BR",SUMPRODUCT(Mecze[[#This Row],[/PR:90]:[/BR:90]],Brudnopis!$E$28:$J$28),0)</f>
        <v>5.2083333333333336E-2</v>
      </c>
      <c r="Y3778" s="35">
        <f>IF(Mecze[[#This Row],[Role]]="BR",Mecze[[#This Row],[/OB:90]]+Mecze[[#This Row],[/PC:90]],SUM(Mecze[[#This Row],[/PR:90]:[/BR:90]]))</f>
        <v>0.15625</v>
      </c>
      <c r="Z3778" s="35">
        <f>IF(Mecze[[#This Row],[KC]]=0,SUM(Mecze[[#This Row],[/BRI]:[/NPI]]),SUM(Mecze[[#This Row],[/BRI]:[/NPI]])*0.6)</f>
        <v>0.72395833333333337</v>
      </c>
      <c r="AA3778" s="10">
        <f>IFERROR(Mecze[[#This Row],[BR]]/Mecze[[#This Row],[ST]],0)</f>
        <v>0</v>
      </c>
      <c r="AB3778">
        <f>ROUND(Mecze[[#This Row],[PD]]*Mecze[[#This Row],[%PC]],0)</f>
        <v>5</v>
      </c>
      <c r="AC3778">
        <f>ROUND(Mecze[[#This Row],[OD]]*Mecze[[#This Row],[%OU]],0)</f>
        <v>4</v>
      </c>
      <c r="AD3778" s="36" t="s">
        <v>41</v>
      </c>
      <c r="AE3778" s="36">
        <v>218</v>
      </c>
      <c r="AF3778" s="71">
        <v>5.17</v>
      </c>
      <c r="AG3778" s="37">
        <v>0</v>
      </c>
      <c r="AH3778" s="37">
        <v>0</v>
      </c>
      <c r="AI3778" s="37">
        <v>96</v>
      </c>
      <c r="AJ3778" s="37">
        <v>1</v>
      </c>
      <c r="AK3778" s="37" t="str">
        <f>VLOOKUP(Mecze[[#This Row],[Match ID]],Meczusie[Mecz]:Meczusie[RodzajMeczu],2,FALSE)</f>
        <v>Towarzyski</v>
      </c>
    </row>
    <row r="3779" spans="1:37" x14ac:dyDescent="0.25">
      <c r="A3779" s="76">
        <v>15</v>
      </c>
      <c r="B3779" s="3" t="s">
        <v>170</v>
      </c>
      <c r="C3779" s="2" t="s">
        <v>160</v>
      </c>
      <c r="D3779" s="1">
        <v>0</v>
      </c>
      <c r="E3779" s="1">
        <v>0</v>
      </c>
      <c r="F3779" s="1">
        <v>0</v>
      </c>
      <c r="G3779" s="1">
        <v>13</v>
      </c>
      <c r="H3779" s="4">
        <v>0.62</v>
      </c>
      <c r="I3779" s="1">
        <v>7</v>
      </c>
      <c r="J3779" s="4">
        <v>0.71</v>
      </c>
      <c r="K3779" s="1">
        <v>0</v>
      </c>
      <c r="L3779" s="1">
        <v>8</v>
      </c>
      <c r="M3779" s="32">
        <f>IF(Mecze[[#This Row],[PR]]=0,0,Mecze[[#This Row],[PR]]/Mecze[[#This Row],[CZAS]])</f>
        <v>8.3333333333333329E-2</v>
      </c>
      <c r="N3779" s="32">
        <f>IF(Mecze[[#This Row],[OU]]=0,0,Mecze[[#This Row],[OU]]/Mecze[[#This Row],[CZAS]])</f>
        <v>5.2083333333333336E-2</v>
      </c>
      <c r="O3779" s="32">
        <f>IF(Mecze[[#This Row],[PC]]=0,0,Mecze[[#This Row],[PC]]/Mecze[[#This Row],[CZAS]])</f>
        <v>8.3333333333333329E-2</v>
      </c>
      <c r="P3779" s="32">
        <f>IF(Mecze[[#This Row],[SC]]=0,0,Mecze[[#This Row],[SC]]/Mecze[[#This Row],[CZAS]])</f>
        <v>0</v>
      </c>
      <c r="Q3779" s="32">
        <f>IF(Mecze[[#This Row],[OB]]=0,0,Mecze[[#This Row],[OB]]/Mecze[[#This Row],[CZAS]])</f>
        <v>0</v>
      </c>
      <c r="R3779" s="32">
        <f>IF(Mecze[[#This Row],[BR]]=0,0,Mecze[[#This Row],[BR]]/Mecze[[#This Row],[CZAS]])</f>
        <v>0</v>
      </c>
      <c r="S3779" s="44">
        <f>IF(Mecze[[#This Row],[Role]]="BR",SUMPRODUCT(Mecze[[#This Row],[/PR:90]:[/BR:90]],Brudnopis!$E$23:$J$23),0)</f>
        <v>0</v>
      </c>
      <c r="T3779" s="44">
        <f>IF(Mecze[[#This Row],[Role]]&lt;&gt;"BR",SUMPRODUCT(Mecze[[#This Row],[/PR:90]:[/BR:90]],Brudnopis!$E$24:$J$24),0)</f>
        <v>0.24479166666666663</v>
      </c>
      <c r="U3779" s="44">
        <f>IF(Mecze[[#This Row],[Role]]&lt;&gt;"BR",SUMPRODUCT(Mecze[[#This Row],[/PR:90]:[/BR:90]],Brudnopis!$E$25:$J$25),0)</f>
        <v>0.26041666666666663</v>
      </c>
      <c r="V3779" s="44">
        <f>IF(Mecze[[#This Row],[Role]]&lt;&gt;"BR",SUMPRODUCT(Mecze[[#This Row],[/PR:90]:[/BR:90]],Brudnopis!$E$26:$J$26),0)</f>
        <v>0.21875</v>
      </c>
      <c r="W3779" s="44">
        <f>IF(Mecze[[#This Row],[Role]]&lt;&gt;"BR",SUMPRODUCT(Mecze[[#This Row],[/PR:90]:[/BR:90]],Brudnopis!$E$27:$J$27),0)</f>
        <v>0.2265625</v>
      </c>
      <c r="X3779" s="44">
        <f>IF(Mecze[[#This Row],[Role]]&lt;&gt;"BR",SUMPRODUCT(Mecze[[#This Row],[/PR:90]:[/BR:90]],Brudnopis!$E$28:$J$28),0)</f>
        <v>8.3333333333333329E-2</v>
      </c>
      <c r="Y3779" s="35">
        <f>IF(Mecze[[#This Row],[Role]]="BR",Mecze[[#This Row],[/OB:90]]+Mecze[[#This Row],[/PC:90]],SUM(Mecze[[#This Row],[/PR:90]:[/BR:90]]))</f>
        <v>0.21875</v>
      </c>
      <c r="Z3779" s="35">
        <f>IF(Mecze[[#This Row],[KC]]=0,SUM(Mecze[[#This Row],[/BRI]:[/NPI]]),SUM(Mecze[[#This Row],[/BRI]:[/NPI]])*0.6)</f>
        <v>1.0338541666666665</v>
      </c>
      <c r="AA3779" s="10">
        <f>IFERROR(Mecze[[#This Row],[BR]]/Mecze[[#This Row],[ST]],0)</f>
        <v>0</v>
      </c>
      <c r="AB3779">
        <f>ROUND(Mecze[[#This Row],[PD]]*Mecze[[#This Row],[%PC]],0)</f>
        <v>8</v>
      </c>
      <c r="AC3779">
        <f>ROUND(Mecze[[#This Row],[OD]]*Mecze[[#This Row],[%OU]],0)</f>
        <v>5</v>
      </c>
      <c r="AD3779" s="36" t="s">
        <v>67</v>
      </c>
      <c r="AE3779" s="36">
        <v>218</v>
      </c>
      <c r="AF3779" s="71">
        <v>5.59</v>
      </c>
      <c r="AG3779" s="37">
        <v>0</v>
      </c>
      <c r="AH3779" s="37">
        <v>0</v>
      </c>
      <c r="AI3779" s="37">
        <v>96</v>
      </c>
      <c r="AJ3779" s="37">
        <v>1</v>
      </c>
      <c r="AK3779" s="37" t="str">
        <f>VLOOKUP(Mecze[[#This Row],[Match ID]],Meczusie[Mecz]:Meczusie[RodzajMeczu],2,FALSE)</f>
        <v>Towarzyski</v>
      </c>
    </row>
    <row r="3780" spans="1:37" x14ac:dyDescent="0.25">
      <c r="A3780" s="76">
        <v>14</v>
      </c>
      <c r="B3780" s="3" t="s">
        <v>164</v>
      </c>
      <c r="C3780" s="2" t="s">
        <v>160</v>
      </c>
      <c r="D3780" s="1">
        <v>0</v>
      </c>
      <c r="E3780" s="1">
        <v>4</v>
      </c>
      <c r="F3780" s="1">
        <v>4</v>
      </c>
      <c r="G3780" s="1">
        <v>12</v>
      </c>
      <c r="H3780" s="4">
        <v>0.57999999999999996</v>
      </c>
      <c r="I3780" s="1">
        <v>6</v>
      </c>
      <c r="J3780" s="4">
        <v>0.5</v>
      </c>
      <c r="K3780" s="1">
        <v>0</v>
      </c>
      <c r="L3780" s="1">
        <v>3</v>
      </c>
      <c r="M3780" s="32">
        <f>IF(Mecze[[#This Row],[PR]]=0,0,Mecze[[#This Row],[PR]]/Mecze[[#This Row],[CZAS]])</f>
        <v>3.125E-2</v>
      </c>
      <c r="N3780" s="32">
        <f>IF(Mecze[[#This Row],[OU]]=0,0,Mecze[[#This Row],[OU]]/Mecze[[#This Row],[CZAS]])</f>
        <v>3.125E-2</v>
      </c>
      <c r="O3780" s="32">
        <f>IF(Mecze[[#This Row],[PC]]=0,0,Mecze[[#This Row],[PC]]/Mecze[[#This Row],[CZAS]])</f>
        <v>7.2916666666666671E-2</v>
      </c>
      <c r="P3780" s="32">
        <f>IF(Mecze[[#This Row],[SC]]=0,0,Mecze[[#This Row],[SC]]/Mecze[[#This Row],[CZAS]])</f>
        <v>4.1666666666666664E-2</v>
      </c>
      <c r="Q3780" s="32">
        <f>IF(Mecze[[#This Row],[OB]]=0,0,Mecze[[#This Row],[OB]]/Mecze[[#This Row],[CZAS]])</f>
        <v>0</v>
      </c>
      <c r="R3780" s="32">
        <f>IF(Mecze[[#This Row],[BR]]=0,0,Mecze[[#This Row],[BR]]/Mecze[[#This Row],[CZAS]])</f>
        <v>0</v>
      </c>
      <c r="S3780" s="44">
        <f>IF(Mecze[[#This Row],[Role]]="BR",SUMPRODUCT(Mecze[[#This Row],[/PR:90]:[/BR:90]],Brudnopis!$E$23:$J$23),0)</f>
        <v>0</v>
      </c>
      <c r="T3780" s="44">
        <f>IF(Mecze[[#This Row],[Role]]&lt;&gt;"BR",SUMPRODUCT(Mecze[[#This Row],[/PR:90]:[/BR:90]],Brudnopis!$E$24:$J$24),0)</f>
        <v>0.19270833333333334</v>
      </c>
      <c r="U3780" s="44">
        <f>IF(Mecze[[#This Row],[Role]]&lt;&gt;"BR",SUMPRODUCT(Mecze[[#This Row],[/PR:90]:[/BR:90]],Brudnopis!$E$25:$J$25),0)</f>
        <v>0.21354166666666666</v>
      </c>
      <c r="V3780" s="44">
        <f>IF(Mecze[[#This Row],[Role]]&lt;&gt;"BR",SUMPRODUCT(Mecze[[#This Row],[/PR:90]:[/BR:90]],Brudnopis!$E$26:$J$26),0)</f>
        <v>0.17708333333333334</v>
      </c>
      <c r="W3780" s="44">
        <f>IF(Mecze[[#This Row],[Role]]&lt;&gt;"BR",SUMPRODUCT(Mecze[[#This Row],[/PR:90]:[/BR:90]],Brudnopis!$E$27:$J$27),0)</f>
        <v>0.19791666666666666</v>
      </c>
      <c r="X3780" s="44">
        <f>IF(Mecze[[#This Row],[Role]]&lt;&gt;"BR",SUMPRODUCT(Mecze[[#This Row],[/PR:90]:[/BR:90]],Brudnopis!$E$28:$J$28),0)</f>
        <v>0.15625</v>
      </c>
      <c r="Y3780" s="35">
        <f>IF(Mecze[[#This Row],[Role]]="BR",Mecze[[#This Row],[/OB:90]]+Mecze[[#This Row],[/PC:90]],SUM(Mecze[[#This Row],[/PR:90]:[/BR:90]]))</f>
        <v>0.17708333333333334</v>
      </c>
      <c r="Z3780" s="35">
        <f>IF(Mecze[[#This Row],[KC]]=0,SUM(Mecze[[#This Row],[/BRI]:[/NPI]]),SUM(Mecze[[#This Row],[/BRI]:[/NPI]])*0.6)</f>
        <v>0.9375</v>
      </c>
      <c r="AA3780" s="10">
        <f>IFERROR(Mecze[[#This Row],[BR]]/Mecze[[#This Row],[ST]],0)</f>
        <v>0</v>
      </c>
      <c r="AB3780">
        <f>ROUND(Mecze[[#This Row],[PD]]*Mecze[[#This Row],[%PC]],0)</f>
        <v>7</v>
      </c>
      <c r="AC3780">
        <f>ROUND(Mecze[[#This Row],[OD]]*Mecze[[#This Row],[%OU]],0)</f>
        <v>3</v>
      </c>
      <c r="AD3780" s="36" t="s">
        <v>44</v>
      </c>
      <c r="AE3780" s="36">
        <v>218</v>
      </c>
      <c r="AF3780" s="71">
        <v>5.46</v>
      </c>
      <c r="AG3780" s="37">
        <v>0</v>
      </c>
      <c r="AH3780" s="37">
        <v>0</v>
      </c>
      <c r="AI3780" s="37">
        <v>96</v>
      </c>
      <c r="AJ3780" s="37">
        <v>1</v>
      </c>
      <c r="AK3780" s="37" t="str">
        <f>VLOOKUP(Mecze[[#This Row],[Match ID]],Meczusie[Mecz]:Meczusie[RodzajMeczu],2,FALSE)</f>
        <v>Towarzyski</v>
      </c>
    </row>
    <row r="3781" spans="1:37" x14ac:dyDescent="0.25">
      <c r="A3781" s="76">
        <v>19</v>
      </c>
      <c r="B3781" s="3" t="s">
        <v>166</v>
      </c>
      <c r="C3781" s="2" t="s">
        <v>160</v>
      </c>
      <c r="D3781" s="1">
        <v>0</v>
      </c>
      <c r="E3781" s="1">
        <v>0</v>
      </c>
      <c r="F3781" s="1">
        <v>0</v>
      </c>
      <c r="G3781" s="1">
        <v>7</v>
      </c>
      <c r="H3781" s="4">
        <v>0.71</v>
      </c>
      <c r="I3781" s="1">
        <v>4</v>
      </c>
      <c r="J3781" s="4">
        <v>0.25</v>
      </c>
      <c r="K3781" s="1">
        <v>0</v>
      </c>
      <c r="L3781" s="1">
        <v>2</v>
      </c>
      <c r="M3781" s="32">
        <f>IF(Mecze[[#This Row],[PR]]=0,0,Mecze[[#This Row],[PR]]/Mecze[[#This Row],[CZAS]])</f>
        <v>2.0833333333333332E-2</v>
      </c>
      <c r="N3781" s="32">
        <f>IF(Mecze[[#This Row],[OU]]=0,0,Mecze[[#This Row],[OU]]/Mecze[[#This Row],[CZAS]])</f>
        <v>1.0416666666666666E-2</v>
      </c>
      <c r="O3781" s="32">
        <f>IF(Mecze[[#This Row],[PC]]=0,0,Mecze[[#This Row],[PC]]/Mecze[[#This Row],[CZAS]])</f>
        <v>5.2083333333333336E-2</v>
      </c>
      <c r="P3781" s="32">
        <f>IF(Mecze[[#This Row],[SC]]=0,0,Mecze[[#This Row],[SC]]/Mecze[[#This Row],[CZAS]])</f>
        <v>0</v>
      </c>
      <c r="Q3781" s="32">
        <f>IF(Mecze[[#This Row],[OB]]=0,0,Mecze[[#This Row],[OB]]/Mecze[[#This Row],[CZAS]])</f>
        <v>0</v>
      </c>
      <c r="R3781" s="32">
        <f>IF(Mecze[[#This Row],[BR]]=0,0,Mecze[[#This Row],[BR]]/Mecze[[#This Row],[CZAS]])</f>
        <v>0</v>
      </c>
      <c r="S3781" s="44">
        <f>IF(Mecze[[#This Row],[Role]]="BR",SUMPRODUCT(Mecze[[#This Row],[/PR:90]:[/BR:90]],Brudnopis!$E$23:$J$23),0)</f>
        <v>0</v>
      </c>
      <c r="T3781" s="44">
        <f>IF(Mecze[[#This Row],[Role]]&lt;&gt;"BR",SUMPRODUCT(Mecze[[#This Row],[/PR:90]:[/BR:90]],Brudnopis!$E$24:$J$24),0)</f>
        <v>8.8541666666666657E-2</v>
      </c>
      <c r="U3781" s="44">
        <f>IF(Mecze[[#This Row],[Role]]&lt;&gt;"BR",SUMPRODUCT(Mecze[[#This Row],[/PR:90]:[/BR:90]],Brudnopis!$E$25:$J$25),0)</f>
        <v>0.109375</v>
      </c>
      <c r="V3781" s="44">
        <f>IF(Mecze[[#This Row],[Role]]&lt;&gt;"BR",SUMPRODUCT(Mecze[[#This Row],[/PR:90]:[/BR:90]],Brudnopis!$E$26:$J$26),0)</f>
        <v>8.3333333333333343E-2</v>
      </c>
      <c r="W3781" s="44">
        <f>IF(Mecze[[#This Row],[Role]]&lt;&gt;"BR",SUMPRODUCT(Mecze[[#This Row],[/PR:90]:[/BR:90]],Brudnopis!$E$27:$J$27),0)</f>
        <v>0.1015625</v>
      </c>
      <c r="X3781" s="44">
        <f>IF(Mecze[[#This Row],[Role]]&lt;&gt;"BR",SUMPRODUCT(Mecze[[#This Row],[/PR:90]:[/BR:90]],Brudnopis!$E$28:$J$28),0)</f>
        <v>5.2083333333333336E-2</v>
      </c>
      <c r="Y3781" s="35">
        <f>IF(Mecze[[#This Row],[Role]]="BR",Mecze[[#This Row],[/OB:90]]+Mecze[[#This Row],[/PC:90]],SUM(Mecze[[#This Row],[/PR:90]:[/BR:90]]))</f>
        <v>8.3333333333333343E-2</v>
      </c>
      <c r="Z3781" s="35">
        <f>IF(Mecze[[#This Row],[KC]]=0,SUM(Mecze[[#This Row],[/BRI]:[/NPI]]),SUM(Mecze[[#This Row],[/BRI]:[/NPI]])*0.6)</f>
        <v>0.43489583333333331</v>
      </c>
      <c r="AA3781" s="10">
        <f>IFERROR(Mecze[[#This Row],[BR]]/Mecze[[#This Row],[ST]],0)</f>
        <v>0</v>
      </c>
      <c r="AB3781">
        <f>ROUND(Mecze[[#This Row],[PD]]*Mecze[[#This Row],[%PC]],0)</f>
        <v>5</v>
      </c>
      <c r="AC3781">
        <f>ROUND(Mecze[[#This Row],[OD]]*Mecze[[#This Row],[%OU]],0)</f>
        <v>1</v>
      </c>
      <c r="AD3781" s="36" t="s">
        <v>44</v>
      </c>
      <c r="AE3781" s="36">
        <v>218</v>
      </c>
      <c r="AF3781" s="71">
        <v>4.33</v>
      </c>
      <c r="AG3781" s="37">
        <v>0</v>
      </c>
      <c r="AH3781" s="37">
        <v>0</v>
      </c>
      <c r="AI3781" s="37">
        <v>96</v>
      </c>
      <c r="AJ3781" s="37">
        <v>1</v>
      </c>
      <c r="AK3781" s="37" t="str">
        <f>VLOOKUP(Mecze[[#This Row],[Match ID]],Meczusie[Mecz]:Meczusie[RodzajMeczu],2,FALSE)</f>
        <v>Towarzyski</v>
      </c>
    </row>
    <row r="3782" spans="1:37" x14ac:dyDescent="0.25">
      <c r="A3782" s="76">
        <v>9</v>
      </c>
      <c r="B3782" s="3" t="s">
        <v>411</v>
      </c>
      <c r="C3782" s="2" t="s">
        <v>165</v>
      </c>
      <c r="D3782" s="1">
        <v>0</v>
      </c>
      <c r="E3782" s="1">
        <v>12</v>
      </c>
      <c r="F3782" s="1">
        <v>12</v>
      </c>
      <c r="G3782" s="1">
        <v>5</v>
      </c>
      <c r="H3782" s="4">
        <v>0.8</v>
      </c>
      <c r="I3782" s="1">
        <v>3</v>
      </c>
      <c r="J3782" s="4">
        <v>0.67</v>
      </c>
      <c r="K3782" s="1">
        <v>0</v>
      </c>
      <c r="L3782" s="1">
        <v>0</v>
      </c>
      <c r="M3782" s="32">
        <f>IF(Mecze[[#This Row],[PR]]=0,0,Mecze[[#This Row],[PR]]/Mecze[[#This Row],[CZAS]])</f>
        <v>0</v>
      </c>
      <c r="N3782" s="32">
        <f>IF(Mecze[[#This Row],[OU]]=0,0,Mecze[[#This Row],[OU]]/Mecze[[#This Row],[CZAS]])</f>
        <v>2.0833333333333332E-2</v>
      </c>
      <c r="O3782" s="32">
        <f>IF(Mecze[[#This Row],[PC]]=0,0,Mecze[[#This Row],[PC]]/Mecze[[#This Row],[CZAS]])</f>
        <v>4.1666666666666664E-2</v>
      </c>
      <c r="P3782" s="32">
        <f>IF(Mecze[[#This Row],[SC]]=0,0,Mecze[[#This Row],[SC]]/Mecze[[#This Row],[CZAS]])</f>
        <v>0.125</v>
      </c>
      <c r="Q3782" s="32">
        <f>IF(Mecze[[#This Row],[OB]]=0,0,Mecze[[#This Row],[OB]]/Mecze[[#This Row],[CZAS]])</f>
        <v>0</v>
      </c>
      <c r="R3782" s="32">
        <f>IF(Mecze[[#This Row],[BR]]=0,0,Mecze[[#This Row],[BR]]/Mecze[[#This Row],[CZAS]])</f>
        <v>0</v>
      </c>
      <c r="S3782" s="44">
        <f>IF(Mecze[[#This Row],[Role]]="BR",SUMPRODUCT(Mecze[[#This Row],[/PR:90]:[/BR:90]],Brudnopis!$E$23:$J$23),0)</f>
        <v>0</v>
      </c>
      <c r="T3782" s="44">
        <f>IF(Mecze[[#This Row],[Role]]&lt;&gt;"BR",SUMPRODUCT(Mecze[[#This Row],[/PR:90]:[/BR:90]],Brudnopis!$E$24:$J$24),0)</f>
        <v>0.19791666666666666</v>
      </c>
      <c r="U3782" s="44">
        <f>IF(Mecze[[#This Row],[Role]]&lt;&gt;"BR",SUMPRODUCT(Mecze[[#This Row],[/PR:90]:[/BR:90]],Brudnopis!$E$25:$J$25),0)</f>
        <v>0.20833333333333331</v>
      </c>
      <c r="V3782" s="44">
        <f>IF(Mecze[[#This Row],[Role]]&lt;&gt;"BR",SUMPRODUCT(Mecze[[#This Row],[/PR:90]:[/BR:90]],Brudnopis!$E$26:$J$26),0)</f>
        <v>0.1875</v>
      </c>
      <c r="W3782" s="44">
        <f>IF(Mecze[[#This Row],[Role]]&lt;&gt;"BR",SUMPRODUCT(Mecze[[#This Row],[/PR:90]:[/BR:90]],Brudnopis!$E$27:$J$27),0)</f>
        <v>0.203125</v>
      </c>
      <c r="X3782" s="44">
        <f>IF(Mecze[[#This Row],[Role]]&lt;&gt;"BR",SUMPRODUCT(Mecze[[#This Row],[/PR:90]:[/BR:90]],Brudnopis!$E$28:$J$28),0)</f>
        <v>0.29166666666666669</v>
      </c>
      <c r="Y3782" s="35">
        <f>IF(Mecze[[#This Row],[Role]]="BR",Mecze[[#This Row],[/OB:90]]+Mecze[[#This Row],[/PC:90]],SUM(Mecze[[#This Row],[/PR:90]:[/BR:90]]))</f>
        <v>0.1875</v>
      </c>
      <c r="Z3782" s="35">
        <f>IF(Mecze[[#This Row],[KC]]=0,SUM(Mecze[[#This Row],[/BRI]:[/NPI]]),SUM(Mecze[[#This Row],[/BRI]:[/NPI]])*0.6)</f>
        <v>1.0885416666666667</v>
      </c>
      <c r="AA3782" s="10">
        <f>IFERROR(Mecze[[#This Row],[BR]]/Mecze[[#This Row],[ST]],0)</f>
        <v>0</v>
      </c>
      <c r="AB3782">
        <f>ROUND(Mecze[[#This Row],[PD]]*Mecze[[#This Row],[%PC]],0)</f>
        <v>4</v>
      </c>
      <c r="AC3782">
        <f>ROUND(Mecze[[#This Row],[OD]]*Mecze[[#This Row],[%OU]],0)</f>
        <v>2</v>
      </c>
      <c r="AD3782" s="36" t="s">
        <v>46</v>
      </c>
      <c r="AE3782" s="36">
        <v>218</v>
      </c>
      <c r="AF3782" s="71">
        <v>7.6</v>
      </c>
      <c r="AG3782" s="37">
        <v>0</v>
      </c>
      <c r="AH3782" s="37">
        <v>0</v>
      </c>
      <c r="AI3782" s="37">
        <v>96</v>
      </c>
      <c r="AJ3782" s="37">
        <v>1</v>
      </c>
      <c r="AK3782" s="37" t="str">
        <f>VLOOKUP(Mecze[[#This Row],[Match ID]],Meczusie[Mecz]:Meczusie[RodzajMeczu],2,FALSE)</f>
        <v>Towarzyski</v>
      </c>
    </row>
    <row r="3783" spans="1:37" x14ac:dyDescent="0.25">
      <c r="A3783" s="76">
        <v>39</v>
      </c>
      <c r="B3783" s="3" t="s">
        <v>450</v>
      </c>
      <c r="C3783" s="2" t="s">
        <v>155</v>
      </c>
      <c r="D3783" s="1">
        <v>0</v>
      </c>
      <c r="E3783" s="1">
        <v>0</v>
      </c>
      <c r="F3783" s="1">
        <v>0</v>
      </c>
      <c r="G3783" s="1">
        <v>10</v>
      </c>
      <c r="H3783" s="4">
        <v>0.6</v>
      </c>
      <c r="I3783" s="1">
        <v>0</v>
      </c>
      <c r="J3783" s="4"/>
      <c r="K3783" s="1">
        <v>5</v>
      </c>
      <c r="L3783" s="1">
        <v>0</v>
      </c>
      <c r="M3783" s="32">
        <f>IF(Mecze[[#This Row],[PR]]=0,0,Mecze[[#This Row],[PR]]/Mecze[[#This Row],[CZAS]])</f>
        <v>0</v>
      </c>
      <c r="N3783" s="32">
        <f>IF(Mecze[[#This Row],[OU]]=0,0,Mecze[[#This Row],[OU]]/Mecze[[#This Row],[CZAS]])</f>
        <v>0</v>
      </c>
      <c r="O3783" s="32">
        <f>IF(Mecze[[#This Row],[PC]]=0,0,Mecze[[#This Row],[PC]]/Mecze[[#This Row],[CZAS]])</f>
        <v>6.3157894736842107E-2</v>
      </c>
      <c r="P3783" s="32">
        <f>IF(Mecze[[#This Row],[SC]]=0,0,Mecze[[#This Row],[SC]]/Mecze[[#This Row],[CZAS]])</f>
        <v>0</v>
      </c>
      <c r="Q3783" s="32">
        <f>IF(Mecze[[#This Row],[OB]]=0,0,Mecze[[#This Row],[OB]]/Mecze[[#This Row],[CZAS]])</f>
        <v>5.2631578947368418E-2</v>
      </c>
      <c r="R3783" s="32">
        <f>IF(Mecze[[#This Row],[BR]]=0,0,Mecze[[#This Row],[BR]]/Mecze[[#This Row],[CZAS]])</f>
        <v>0</v>
      </c>
      <c r="S3783" s="44">
        <f>IF(Mecze[[#This Row],[Role]]="BR",SUMPRODUCT(Mecze[[#This Row],[/PR:90]:[/BR:90]],Brudnopis!$E$23:$J$23),0)</f>
        <v>0.34736842105263155</v>
      </c>
      <c r="T3783" s="44">
        <f>IF(Mecze[[#This Row],[Role]]&lt;&gt;"BR",SUMPRODUCT(Mecze[[#This Row],[/PR:90]:[/BR:90]],Brudnopis!$E$24:$J$24),0)</f>
        <v>0</v>
      </c>
      <c r="U3783" s="44">
        <f>IF(Mecze[[#This Row],[Role]]&lt;&gt;"BR",SUMPRODUCT(Mecze[[#This Row],[/PR:90]:[/BR:90]],Brudnopis!$E$25:$J$25),0)</f>
        <v>0</v>
      </c>
      <c r="V3783" s="44">
        <f>IF(Mecze[[#This Row],[Role]]&lt;&gt;"BR",SUMPRODUCT(Mecze[[#This Row],[/PR:90]:[/BR:90]],Brudnopis!$E$26:$J$26),0)</f>
        <v>0</v>
      </c>
      <c r="W3783" s="44">
        <f>IF(Mecze[[#This Row],[Role]]&lt;&gt;"BR",SUMPRODUCT(Mecze[[#This Row],[/PR:90]:[/BR:90]],Brudnopis!$E$27:$J$27),0)</f>
        <v>0</v>
      </c>
      <c r="X3783" s="44">
        <f>IF(Mecze[[#This Row],[Role]]&lt;&gt;"BR",SUMPRODUCT(Mecze[[#This Row],[/PR:90]:[/BR:90]],Brudnopis!$E$28:$J$28),0)</f>
        <v>0</v>
      </c>
      <c r="Y3783" s="35">
        <f>IF(Mecze[[#This Row],[Role]]="BR",Mecze[[#This Row],[/OB:90]]+Mecze[[#This Row],[/PC:90]],SUM(Mecze[[#This Row],[/PR:90]:[/BR:90]]))</f>
        <v>0.11578947368421053</v>
      </c>
      <c r="Z3783" s="35">
        <f>IF(Mecze[[#This Row],[KC]]=0,SUM(Mecze[[#This Row],[/BRI]:[/NPI]]),SUM(Mecze[[#This Row],[/BRI]:[/NPI]])*0.6)</f>
        <v>0.34736842105263155</v>
      </c>
      <c r="AA3783" s="10">
        <f>IFERROR(Mecze[[#This Row],[BR]]/Mecze[[#This Row],[ST]],0)</f>
        <v>0</v>
      </c>
      <c r="AB3783">
        <f>ROUND(Mecze[[#This Row],[PD]]*Mecze[[#This Row],[%PC]],0)</f>
        <v>6</v>
      </c>
      <c r="AC3783">
        <f>ROUND(Mecze[[#This Row],[OD]]*Mecze[[#This Row],[%OU]],0)</f>
        <v>0</v>
      </c>
      <c r="AD3783" s="36" t="s">
        <v>40</v>
      </c>
      <c r="AE3783" s="36">
        <v>219</v>
      </c>
      <c r="AF3783" s="71">
        <v>5.67</v>
      </c>
      <c r="AG3783" s="37">
        <v>0</v>
      </c>
      <c r="AH3783" s="37">
        <v>0</v>
      </c>
      <c r="AI3783" s="37">
        <v>95</v>
      </c>
      <c r="AJ3783" s="37">
        <v>1</v>
      </c>
      <c r="AK3783" s="37" t="str">
        <f>VLOOKUP(Mecze[[#This Row],[Match ID]],Meczusie[Mecz]:Meczusie[RodzajMeczu],2,FALSE)</f>
        <v>Towarzyski</v>
      </c>
    </row>
    <row r="3784" spans="1:37" x14ac:dyDescent="0.25">
      <c r="A3784" s="76">
        <v>50</v>
      </c>
      <c r="B3784" s="3" t="s">
        <v>496</v>
      </c>
      <c r="C3784" s="2" t="s">
        <v>157</v>
      </c>
      <c r="D3784" s="1">
        <v>0</v>
      </c>
      <c r="E3784" s="1">
        <v>0</v>
      </c>
      <c r="F3784" s="1">
        <v>0</v>
      </c>
      <c r="G3784" s="1">
        <v>3</v>
      </c>
      <c r="H3784" s="4">
        <v>0.67</v>
      </c>
      <c r="I3784" s="1">
        <v>2</v>
      </c>
      <c r="J3784" s="4">
        <v>0</v>
      </c>
      <c r="K3784" s="1">
        <v>0</v>
      </c>
      <c r="L3784" s="1">
        <v>5</v>
      </c>
      <c r="M3784" s="32">
        <f>IF(Mecze[[#This Row],[PR]]=0,0,Mecze[[#This Row],[PR]]/Mecze[[#This Row],[CZAS]])</f>
        <v>5.2631578947368418E-2</v>
      </c>
      <c r="N3784" s="32">
        <f>IF(Mecze[[#This Row],[OU]]=0,0,Mecze[[#This Row],[OU]]/Mecze[[#This Row],[CZAS]])</f>
        <v>0</v>
      </c>
      <c r="O3784" s="32">
        <f>IF(Mecze[[#This Row],[PC]]=0,0,Mecze[[#This Row],[PC]]/Mecze[[#This Row],[CZAS]])</f>
        <v>2.1052631578947368E-2</v>
      </c>
      <c r="P3784" s="32">
        <f>IF(Mecze[[#This Row],[SC]]=0,0,Mecze[[#This Row],[SC]]/Mecze[[#This Row],[CZAS]])</f>
        <v>0</v>
      </c>
      <c r="Q3784" s="32">
        <f>IF(Mecze[[#This Row],[OB]]=0,0,Mecze[[#This Row],[OB]]/Mecze[[#This Row],[CZAS]])</f>
        <v>0</v>
      </c>
      <c r="R3784" s="32">
        <f>IF(Mecze[[#This Row],[BR]]=0,0,Mecze[[#This Row],[BR]]/Mecze[[#This Row],[CZAS]])</f>
        <v>0</v>
      </c>
      <c r="S3784" s="44">
        <f>IF(Mecze[[#This Row],[Role]]="BR",SUMPRODUCT(Mecze[[#This Row],[/PR:90]:[/BR:90]],Brudnopis!$E$23:$J$23),0)</f>
        <v>0</v>
      </c>
      <c r="T3784" s="44">
        <f>IF(Mecze[[#This Row],[Role]]&lt;&gt;"BR",SUMPRODUCT(Mecze[[#This Row],[/PR:90]:[/BR:90]],Brudnopis!$E$24:$J$24),0)</f>
        <v>7.3684210526315783E-2</v>
      </c>
      <c r="U3784" s="44">
        <f>IF(Mecze[[#This Row],[Role]]&lt;&gt;"BR",SUMPRODUCT(Mecze[[#This Row],[/PR:90]:[/BR:90]],Brudnopis!$E$25:$J$25),0)</f>
        <v>8.4210526315789472E-2</v>
      </c>
      <c r="V3784" s="44">
        <f>IF(Mecze[[#This Row],[Role]]&lt;&gt;"BR",SUMPRODUCT(Mecze[[#This Row],[/PR:90]:[/BR:90]],Brudnopis!$E$26:$J$26),0)</f>
        <v>7.3684210526315783E-2</v>
      </c>
      <c r="W3784" s="44">
        <f>IF(Mecze[[#This Row],[Role]]&lt;&gt;"BR",SUMPRODUCT(Mecze[[#This Row],[/PR:90]:[/BR:90]],Brudnopis!$E$27:$J$27),0)</f>
        <v>7.1052631578947367E-2</v>
      </c>
      <c r="X3784" s="44">
        <f>IF(Mecze[[#This Row],[Role]]&lt;&gt;"BR",SUMPRODUCT(Mecze[[#This Row],[/PR:90]:[/BR:90]],Brudnopis!$E$28:$J$28),0)</f>
        <v>2.1052631578947368E-2</v>
      </c>
      <c r="Y3784" s="35">
        <f>IF(Mecze[[#This Row],[Role]]="BR",Mecze[[#This Row],[/OB:90]]+Mecze[[#This Row],[/PC:90]],SUM(Mecze[[#This Row],[/PR:90]:[/BR:90]]))</f>
        <v>7.3684210526315783E-2</v>
      </c>
      <c r="Z3784" s="35">
        <f>IF(Mecze[[#This Row],[KC]]=0,SUM(Mecze[[#This Row],[/BRI]:[/NPI]]),SUM(Mecze[[#This Row],[/BRI]:[/NPI]])*0.6)</f>
        <v>0.3236842105263158</v>
      </c>
      <c r="AA3784" s="10">
        <f>IFERROR(Mecze[[#This Row],[BR]]/Mecze[[#This Row],[ST]],0)</f>
        <v>0</v>
      </c>
      <c r="AB3784">
        <f>ROUND(Mecze[[#This Row],[PD]]*Mecze[[#This Row],[%PC]],0)</f>
        <v>2</v>
      </c>
      <c r="AC3784">
        <f>ROUND(Mecze[[#This Row],[OD]]*Mecze[[#This Row],[%OU]],0)</f>
        <v>0</v>
      </c>
      <c r="AD3784" s="36" t="s">
        <v>47</v>
      </c>
      <c r="AE3784" s="36">
        <v>219</v>
      </c>
      <c r="AF3784" s="71">
        <v>3.75</v>
      </c>
      <c r="AG3784" s="37">
        <v>0</v>
      </c>
      <c r="AH3784" s="37">
        <v>0</v>
      </c>
      <c r="AI3784" s="37">
        <v>95</v>
      </c>
      <c r="AJ3784" s="37">
        <v>1</v>
      </c>
      <c r="AK3784" s="37" t="str">
        <f>VLOOKUP(Mecze[[#This Row],[Match ID]],Meczusie[Mecz]:Meczusie[RodzajMeczu],2,FALSE)</f>
        <v>Towarzyski</v>
      </c>
    </row>
    <row r="3785" spans="1:37" x14ac:dyDescent="0.25">
      <c r="A3785" s="76">
        <v>59</v>
      </c>
      <c r="B3785" s="3" t="s">
        <v>455</v>
      </c>
      <c r="C3785" s="2" t="s">
        <v>157</v>
      </c>
      <c r="D3785" s="1">
        <v>0</v>
      </c>
      <c r="E3785" s="1">
        <v>0</v>
      </c>
      <c r="F3785" s="1">
        <v>0</v>
      </c>
      <c r="G3785" s="1">
        <v>10</v>
      </c>
      <c r="H3785" s="4">
        <v>0.5</v>
      </c>
      <c r="I3785" s="1">
        <v>3</v>
      </c>
      <c r="J3785" s="4">
        <v>0.33</v>
      </c>
      <c r="K3785" s="1">
        <v>0</v>
      </c>
      <c r="L3785" s="1">
        <v>9</v>
      </c>
      <c r="M3785" s="32">
        <f>IF(Mecze[[#This Row],[PR]]=0,0,Mecze[[#This Row],[PR]]/Mecze[[#This Row],[CZAS]])</f>
        <v>9.4736842105263161E-2</v>
      </c>
      <c r="N3785" s="32">
        <f>IF(Mecze[[#This Row],[OU]]=0,0,Mecze[[#This Row],[OU]]/Mecze[[#This Row],[CZAS]])</f>
        <v>1.0526315789473684E-2</v>
      </c>
      <c r="O3785" s="32">
        <f>IF(Mecze[[#This Row],[PC]]=0,0,Mecze[[#This Row],[PC]]/Mecze[[#This Row],[CZAS]])</f>
        <v>5.2631578947368418E-2</v>
      </c>
      <c r="P3785" s="32">
        <f>IF(Mecze[[#This Row],[SC]]=0,0,Mecze[[#This Row],[SC]]/Mecze[[#This Row],[CZAS]])</f>
        <v>0</v>
      </c>
      <c r="Q3785" s="32">
        <f>IF(Mecze[[#This Row],[OB]]=0,0,Mecze[[#This Row],[OB]]/Mecze[[#This Row],[CZAS]])</f>
        <v>0</v>
      </c>
      <c r="R3785" s="32">
        <f>IF(Mecze[[#This Row],[BR]]=0,0,Mecze[[#This Row],[BR]]/Mecze[[#This Row],[CZAS]])</f>
        <v>0</v>
      </c>
      <c r="S3785" s="44">
        <f>IF(Mecze[[#This Row],[Role]]="BR",SUMPRODUCT(Mecze[[#This Row],[/PR:90]:[/BR:90]],Brudnopis!$E$23:$J$23),0)</f>
        <v>0</v>
      </c>
      <c r="T3785" s="44">
        <f>IF(Mecze[[#This Row],[Role]]&lt;&gt;"BR",SUMPRODUCT(Mecze[[#This Row],[/PR:90]:[/BR:90]],Brudnopis!$E$24:$J$24),0)</f>
        <v>0.16315789473684211</v>
      </c>
      <c r="U3785" s="44">
        <f>IF(Mecze[[#This Row],[Role]]&lt;&gt;"BR",SUMPRODUCT(Mecze[[#This Row],[/PR:90]:[/BR:90]],Brudnopis!$E$25:$J$25),0)</f>
        <v>0.18421052631578949</v>
      </c>
      <c r="V3785" s="44">
        <f>IF(Mecze[[#This Row],[Role]]&lt;&gt;"BR",SUMPRODUCT(Mecze[[#This Row],[/PR:90]:[/BR:90]],Brudnopis!$E$26:$J$26),0)</f>
        <v>0.15789473684210525</v>
      </c>
      <c r="W3785" s="44">
        <f>IF(Mecze[[#This Row],[Role]]&lt;&gt;"BR",SUMPRODUCT(Mecze[[#This Row],[/PR:90]:[/BR:90]],Brudnopis!$E$27:$J$27),0)</f>
        <v>0.15789473684210525</v>
      </c>
      <c r="X3785" s="44">
        <f>IF(Mecze[[#This Row],[Role]]&lt;&gt;"BR",SUMPRODUCT(Mecze[[#This Row],[/PR:90]:[/BR:90]],Brudnopis!$E$28:$J$28),0)</f>
        <v>5.2631578947368418E-2</v>
      </c>
      <c r="Y3785" s="35">
        <f>IF(Mecze[[#This Row],[Role]]="BR",Mecze[[#This Row],[/OB:90]]+Mecze[[#This Row],[/PC:90]],SUM(Mecze[[#This Row],[/PR:90]:[/BR:90]]))</f>
        <v>0.15789473684210525</v>
      </c>
      <c r="Z3785" s="35">
        <f>IF(Mecze[[#This Row],[KC]]=0,SUM(Mecze[[#This Row],[/BRI]:[/NPI]]),SUM(Mecze[[#This Row],[/BRI]:[/NPI]])*0.6)</f>
        <v>0.71578947368421053</v>
      </c>
      <c r="AA3785" s="10">
        <f>IFERROR(Mecze[[#This Row],[BR]]/Mecze[[#This Row],[ST]],0)</f>
        <v>0</v>
      </c>
      <c r="AB3785">
        <f>ROUND(Mecze[[#This Row],[PD]]*Mecze[[#This Row],[%PC]],0)</f>
        <v>5</v>
      </c>
      <c r="AC3785">
        <f>ROUND(Mecze[[#This Row],[OD]]*Mecze[[#This Row],[%OU]],0)</f>
        <v>1</v>
      </c>
      <c r="AD3785" s="36" t="s">
        <v>167</v>
      </c>
      <c r="AE3785" s="36">
        <v>219</v>
      </c>
      <c r="AF3785" s="71">
        <v>4.59</v>
      </c>
      <c r="AG3785" s="37">
        <v>0</v>
      </c>
      <c r="AH3785" s="37">
        <v>0</v>
      </c>
      <c r="AI3785" s="37">
        <v>95</v>
      </c>
      <c r="AJ3785" s="37">
        <v>1</v>
      </c>
      <c r="AK3785" s="37" t="str">
        <f>VLOOKUP(Mecze[[#This Row],[Match ID]],Meczusie[Mecz]:Meczusie[RodzajMeczu],2,FALSE)</f>
        <v>Towarzyski</v>
      </c>
    </row>
    <row r="3786" spans="1:37" x14ac:dyDescent="0.25">
      <c r="A3786" s="76">
        <v>42</v>
      </c>
      <c r="B3786" s="3" t="s">
        <v>361</v>
      </c>
      <c r="C3786" s="2" t="s">
        <v>157</v>
      </c>
      <c r="D3786" s="1">
        <v>0</v>
      </c>
      <c r="E3786" s="1">
        <v>0</v>
      </c>
      <c r="F3786" s="1">
        <v>0</v>
      </c>
      <c r="G3786" s="1">
        <v>7</v>
      </c>
      <c r="H3786" s="4">
        <v>0.71</v>
      </c>
      <c r="I3786" s="1">
        <v>9</v>
      </c>
      <c r="J3786" s="4">
        <v>0.44</v>
      </c>
      <c r="K3786" s="1">
        <v>0</v>
      </c>
      <c r="L3786" s="1">
        <v>7</v>
      </c>
      <c r="M3786" s="32">
        <f>IF(Mecze[[#This Row],[PR]]=0,0,Mecze[[#This Row],[PR]]/Mecze[[#This Row],[CZAS]])</f>
        <v>9.0909090909090912E-2</v>
      </c>
      <c r="N3786" s="32">
        <f>IF(Mecze[[#This Row],[OU]]=0,0,Mecze[[#This Row],[OU]]/Mecze[[#This Row],[CZAS]])</f>
        <v>5.1948051948051951E-2</v>
      </c>
      <c r="O3786" s="32">
        <f>IF(Mecze[[#This Row],[PC]]=0,0,Mecze[[#This Row],[PC]]/Mecze[[#This Row],[CZAS]])</f>
        <v>6.4935064935064929E-2</v>
      </c>
      <c r="P3786" s="32">
        <f>IF(Mecze[[#This Row],[SC]]=0,0,Mecze[[#This Row],[SC]]/Mecze[[#This Row],[CZAS]])</f>
        <v>0</v>
      </c>
      <c r="Q3786" s="32">
        <f>IF(Mecze[[#This Row],[OB]]=0,0,Mecze[[#This Row],[OB]]/Mecze[[#This Row],[CZAS]])</f>
        <v>0</v>
      </c>
      <c r="R3786" s="32">
        <f>IF(Mecze[[#This Row],[BR]]=0,0,Mecze[[#This Row],[BR]]/Mecze[[#This Row],[CZAS]])</f>
        <v>0</v>
      </c>
      <c r="S3786" s="44">
        <f>IF(Mecze[[#This Row],[Role]]="BR",SUMPRODUCT(Mecze[[#This Row],[/PR:90]:[/BR:90]],Brudnopis!$E$23:$J$23),0)</f>
        <v>0</v>
      </c>
      <c r="T3786" s="44">
        <f>IF(Mecze[[#This Row],[Role]]&lt;&gt;"BR",SUMPRODUCT(Mecze[[#This Row],[/PR:90]:[/BR:90]],Brudnopis!$E$24:$J$24),0)</f>
        <v>0.23376623376623376</v>
      </c>
      <c r="U3786" s="44">
        <f>IF(Mecze[[#This Row],[Role]]&lt;&gt;"BR",SUMPRODUCT(Mecze[[#This Row],[/PR:90]:[/BR:90]],Brudnopis!$E$25:$J$25),0)</f>
        <v>0.24025974025974023</v>
      </c>
      <c r="V3786" s="44">
        <f>IF(Mecze[[#This Row],[Role]]&lt;&gt;"BR",SUMPRODUCT(Mecze[[#This Row],[/PR:90]:[/BR:90]],Brudnopis!$E$26:$J$26),0)</f>
        <v>0.20779220779220778</v>
      </c>
      <c r="W3786" s="44">
        <f>IF(Mecze[[#This Row],[Role]]&lt;&gt;"BR",SUMPRODUCT(Mecze[[#This Row],[/PR:90]:[/BR:90]],Brudnopis!$E$27:$J$27),0)</f>
        <v>0.20454545454545453</v>
      </c>
      <c r="X3786" s="44">
        <f>IF(Mecze[[#This Row],[Role]]&lt;&gt;"BR",SUMPRODUCT(Mecze[[#This Row],[/PR:90]:[/BR:90]],Brudnopis!$E$28:$J$28),0)</f>
        <v>6.4935064935064929E-2</v>
      </c>
      <c r="Y3786" s="35">
        <f>IF(Mecze[[#This Row],[Role]]="BR",Mecze[[#This Row],[/OB:90]]+Mecze[[#This Row],[/PC:90]],SUM(Mecze[[#This Row],[/PR:90]:[/BR:90]]))</f>
        <v>0.20779220779220778</v>
      </c>
      <c r="Z3786" s="35">
        <f>IF(Mecze[[#This Row],[KC]]=0,SUM(Mecze[[#This Row],[/BRI]:[/NPI]]),SUM(Mecze[[#This Row],[/BRI]:[/NPI]])*0.6)</f>
        <v>0.57077922077922072</v>
      </c>
      <c r="AA3786" s="10">
        <f>IFERROR(Mecze[[#This Row],[BR]]/Mecze[[#This Row],[ST]],0)</f>
        <v>0</v>
      </c>
      <c r="AB3786">
        <f>ROUND(Mecze[[#This Row],[PD]]*Mecze[[#This Row],[%PC]],0)</f>
        <v>5</v>
      </c>
      <c r="AC3786">
        <f>ROUND(Mecze[[#This Row],[OD]]*Mecze[[#This Row],[%OU]],0)</f>
        <v>4</v>
      </c>
      <c r="AD3786" s="36" t="s">
        <v>168</v>
      </c>
      <c r="AE3786" s="36">
        <v>219</v>
      </c>
      <c r="AF3786" s="71">
        <v>1.96</v>
      </c>
      <c r="AG3786" s="37">
        <v>0</v>
      </c>
      <c r="AH3786" s="37">
        <v>1</v>
      </c>
      <c r="AI3786" s="37">
        <v>77</v>
      </c>
      <c r="AJ3786" s="37">
        <v>1</v>
      </c>
      <c r="AK3786" s="37" t="str">
        <f>VLOOKUP(Mecze[[#This Row],[Match ID]],Meczusie[Mecz]:Meczusie[RodzajMeczu],2,FALSE)</f>
        <v>Towarzyski</v>
      </c>
    </row>
    <row r="3787" spans="1:37" x14ac:dyDescent="0.25">
      <c r="A3787" s="76">
        <v>52</v>
      </c>
      <c r="B3787" s="3" t="s">
        <v>408</v>
      </c>
      <c r="C3787" s="2" t="s">
        <v>160</v>
      </c>
      <c r="D3787" s="1">
        <v>0</v>
      </c>
      <c r="E3787" s="1">
        <v>3</v>
      </c>
      <c r="F3787" s="1">
        <v>1</v>
      </c>
      <c r="G3787" s="1">
        <v>7</v>
      </c>
      <c r="H3787" s="4">
        <v>0.28999999999999998</v>
      </c>
      <c r="I3787" s="1">
        <v>4</v>
      </c>
      <c r="J3787" s="4">
        <v>0</v>
      </c>
      <c r="K3787" s="1">
        <v>0</v>
      </c>
      <c r="L3787" s="1">
        <v>1</v>
      </c>
      <c r="M3787" s="32">
        <f>IF(Mecze[[#This Row],[PR]]=0,0,Mecze[[#This Row],[PR]]/Mecze[[#This Row],[CZAS]])</f>
        <v>1.0526315789473684E-2</v>
      </c>
      <c r="N3787" s="32">
        <f>IF(Mecze[[#This Row],[OU]]=0,0,Mecze[[#This Row],[OU]]/Mecze[[#This Row],[CZAS]])</f>
        <v>0</v>
      </c>
      <c r="O3787" s="32">
        <f>IF(Mecze[[#This Row],[PC]]=0,0,Mecze[[#This Row],[PC]]/Mecze[[#This Row],[CZAS]])</f>
        <v>2.1052631578947368E-2</v>
      </c>
      <c r="P3787" s="32">
        <f>IF(Mecze[[#This Row],[SC]]=0,0,Mecze[[#This Row],[SC]]/Mecze[[#This Row],[CZAS]])</f>
        <v>1.0526315789473684E-2</v>
      </c>
      <c r="Q3787" s="32">
        <f>IF(Mecze[[#This Row],[OB]]=0,0,Mecze[[#This Row],[OB]]/Mecze[[#This Row],[CZAS]])</f>
        <v>0</v>
      </c>
      <c r="R3787" s="32">
        <f>IF(Mecze[[#This Row],[BR]]=0,0,Mecze[[#This Row],[BR]]/Mecze[[#This Row],[CZAS]])</f>
        <v>0</v>
      </c>
      <c r="S3787" s="44">
        <f>IF(Mecze[[#This Row],[Role]]="BR",SUMPRODUCT(Mecze[[#This Row],[/PR:90]:[/BR:90]],Brudnopis!$E$23:$J$23),0)</f>
        <v>0</v>
      </c>
      <c r="T3787" s="44">
        <f>IF(Mecze[[#This Row],[Role]]&lt;&gt;"BR",SUMPRODUCT(Mecze[[#This Row],[/PR:90]:[/BR:90]],Brudnopis!$E$24:$J$24),0)</f>
        <v>4.2105263157894736E-2</v>
      </c>
      <c r="U3787" s="44">
        <f>IF(Mecze[[#This Row],[Role]]&lt;&gt;"BR",SUMPRODUCT(Mecze[[#This Row],[/PR:90]:[/BR:90]],Brudnopis!$E$25:$J$25),0)</f>
        <v>5.2631578947368418E-2</v>
      </c>
      <c r="V3787" s="44">
        <f>IF(Mecze[[#This Row],[Role]]&lt;&gt;"BR",SUMPRODUCT(Mecze[[#This Row],[/PR:90]:[/BR:90]],Brudnopis!$E$26:$J$26),0)</f>
        <v>4.2105263157894736E-2</v>
      </c>
      <c r="W3787" s="44">
        <f>IF(Mecze[[#This Row],[Role]]&lt;&gt;"BR",SUMPRODUCT(Mecze[[#This Row],[/PR:90]:[/BR:90]],Brudnopis!$E$27:$J$27),0)</f>
        <v>4.9999999999999996E-2</v>
      </c>
      <c r="X3787" s="44">
        <f>IF(Mecze[[#This Row],[Role]]&lt;&gt;"BR",SUMPRODUCT(Mecze[[#This Row],[/PR:90]:[/BR:90]],Brudnopis!$E$28:$J$28),0)</f>
        <v>4.2105263157894736E-2</v>
      </c>
      <c r="Y3787" s="35">
        <f>IF(Mecze[[#This Row],[Role]]="BR",Mecze[[#This Row],[/OB:90]]+Mecze[[#This Row],[/PC:90]],SUM(Mecze[[#This Row],[/PR:90]:[/BR:90]]))</f>
        <v>4.2105263157894736E-2</v>
      </c>
      <c r="Z3787" s="35">
        <f>IF(Mecze[[#This Row],[KC]]=0,SUM(Mecze[[#This Row],[/BRI]:[/NPI]]),SUM(Mecze[[#This Row],[/BRI]:[/NPI]])*0.6)</f>
        <v>0.22894736842105259</v>
      </c>
      <c r="AA3787" s="10">
        <f>IFERROR(Mecze[[#This Row],[BR]]/Mecze[[#This Row],[ST]],0)</f>
        <v>0</v>
      </c>
      <c r="AB3787">
        <f>ROUND(Mecze[[#This Row],[PD]]*Mecze[[#This Row],[%PC]],0)</f>
        <v>2</v>
      </c>
      <c r="AC3787">
        <f>ROUND(Mecze[[#This Row],[OD]]*Mecze[[#This Row],[%OU]],0)</f>
        <v>0</v>
      </c>
      <c r="AD3787" s="36" t="s">
        <v>41</v>
      </c>
      <c r="AE3787" s="36">
        <v>219</v>
      </c>
      <c r="AF3787" s="71">
        <v>3.14</v>
      </c>
      <c r="AG3787" s="37">
        <v>0</v>
      </c>
      <c r="AH3787" s="37">
        <v>0</v>
      </c>
      <c r="AI3787" s="37">
        <v>95</v>
      </c>
      <c r="AJ3787" s="37">
        <v>1</v>
      </c>
      <c r="AK3787" s="37" t="str">
        <f>VLOOKUP(Mecze[[#This Row],[Match ID]],Meczusie[Mecz]:Meczusie[RodzajMeczu],2,FALSE)</f>
        <v>Towarzyski</v>
      </c>
    </row>
    <row r="3788" spans="1:37" x14ac:dyDescent="0.25">
      <c r="A3788" s="76">
        <v>40</v>
      </c>
      <c r="B3788" s="3" t="s">
        <v>453</v>
      </c>
      <c r="C3788" s="2" t="s">
        <v>160</v>
      </c>
      <c r="D3788" s="1">
        <v>0</v>
      </c>
      <c r="E3788" s="1">
        <v>0</v>
      </c>
      <c r="F3788" s="1">
        <v>0</v>
      </c>
      <c r="G3788" s="1">
        <v>19</v>
      </c>
      <c r="H3788" s="4">
        <v>0.47</v>
      </c>
      <c r="I3788" s="1">
        <v>9</v>
      </c>
      <c r="J3788" s="4">
        <v>0.56000000000000005</v>
      </c>
      <c r="K3788" s="1">
        <v>0</v>
      </c>
      <c r="L3788" s="1">
        <v>7</v>
      </c>
      <c r="M3788" s="32">
        <f>IF(Mecze[[#This Row],[PR]]=0,0,Mecze[[#This Row],[PR]]/Mecze[[#This Row],[CZAS]])</f>
        <v>7.3684210526315783E-2</v>
      </c>
      <c r="N3788" s="32">
        <f>IF(Mecze[[#This Row],[OU]]=0,0,Mecze[[#This Row],[OU]]/Mecze[[#This Row],[CZAS]])</f>
        <v>5.2631578947368418E-2</v>
      </c>
      <c r="O3788" s="32">
        <f>IF(Mecze[[#This Row],[PC]]=0,0,Mecze[[#This Row],[PC]]/Mecze[[#This Row],[CZAS]])</f>
        <v>9.4736842105263161E-2</v>
      </c>
      <c r="P3788" s="32">
        <f>IF(Mecze[[#This Row],[SC]]=0,0,Mecze[[#This Row],[SC]]/Mecze[[#This Row],[CZAS]])</f>
        <v>0</v>
      </c>
      <c r="Q3788" s="32">
        <f>IF(Mecze[[#This Row],[OB]]=0,0,Mecze[[#This Row],[OB]]/Mecze[[#This Row],[CZAS]])</f>
        <v>0</v>
      </c>
      <c r="R3788" s="32">
        <f>IF(Mecze[[#This Row],[BR]]=0,0,Mecze[[#This Row],[BR]]/Mecze[[#This Row],[CZAS]])</f>
        <v>0</v>
      </c>
      <c r="S3788" s="44">
        <f>IF(Mecze[[#This Row],[Role]]="BR",SUMPRODUCT(Mecze[[#This Row],[/PR:90]:[/BR:90]],Brudnopis!$E$23:$J$23),0)</f>
        <v>0</v>
      </c>
      <c r="T3788" s="44">
        <f>IF(Mecze[[#This Row],[Role]]&lt;&gt;"BR",SUMPRODUCT(Mecze[[#This Row],[/PR:90]:[/BR:90]],Brudnopis!$E$24:$J$24),0)</f>
        <v>0.24736842105263157</v>
      </c>
      <c r="U3788" s="44">
        <f>IF(Mecze[[#This Row],[Role]]&lt;&gt;"BR",SUMPRODUCT(Mecze[[#This Row],[/PR:90]:[/BR:90]],Brudnopis!$E$25:$J$25),0)</f>
        <v>0.26842105263157895</v>
      </c>
      <c r="V3788" s="44">
        <f>IF(Mecze[[#This Row],[Role]]&lt;&gt;"BR",SUMPRODUCT(Mecze[[#This Row],[/PR:90]:[/BR:90]],Brudnopis!$E$26:$J$26),0)</f>
        <v>0.22105263157894739</v>
      </c>
      <c r="W3788" s="44">
        <f>IF(Mecze[[#This Row],[Role]]&lt;&gt;"BR",SUMPRODUCT(Mecze[[#This Row],[/PR:90]:[/BR:90]],Brudnopis!$E$27:$J$27),0)</f>
        <v>0.23684210526315788</v>
      </c>
      <c r="X3788" s="44">
        <f>IF(Mecze[[#This Row],[Role]]&lt;&gt;"BR",SUMPRODUCT(Mecze[[#This Row],[/PR:90]:[/BR:90]],Brudnopis!$E$28:$J$28),0)</f>
        <v>9.4736842105263161E-2</v>
      </c>
      <c r="Y3788" s="35">
        <f>IF(Mecze[[#This Row],[Role]]="BR",Mecze[[#This Row],[/OB:90]]+Mecze[[#This Row],[/PC:90]],SUM(Mecze[[#This Row],[/PR:90]:[/BR:90]]))</f>
        <v>0.22105263157894739</v>
      </c>
      <c r="Z3788" s="35">
        <f>IF(Mecze[[#This Row],[KC]]=0,SUM(Mecze[[#This Row],[/BRI]:[/NPI]]),SUM(Mecze[[#This Row],[/BRI]:[/NPI]])*0.6)</f>
        <v>1.0684210526315789</v>
      </c>
      <c r="AA3788" s="10">
        <f>IFERROR(Mecze[[#This Row],[BR]]/Mecze[[#This Row],[ST]],0)</f>
        <v>0</v>
      </c>
      <c r="AB3788">
        <f>ROUND(Mecze[[#This Row],[PD]]*Mecze[[#This Row],[%PC]],0)</f>
        <v>9</v>
      </c>
      <c r="AC3788">
        <f>ROUND(Mecze[[#This Row],[OD]]*Mecze[[#This Row],[%OU]],0)</f>
        <v>5</v>
      </c>
      <c r="AD3788" s="36" t="s">
        <v>41</v>
      </c>
      <c r="AE3788" s="36">
        <v>219</v>
      </c>
      <c r="AF3788" s="71">
        <v>4.17</v>
      </c>
      <c r="AG3788" s="37">
        <v>0</v>
      </c>
      <c r="AH3788" s="37">
        <v>0</v>
      </c>
      <c r="AI3788" s="37">
        <v>95</v>
      </c>
      <c r="AJ3788" s="37">
        <v>1</v>
      </c>
      <c r="AK3788" s="37" t="str">
        <f>VLOOKUP(Mecze[[#This Row],[Match ID]],Meczusie[Mecz]:Meczusie[RodzajMeczu],2,FALSE)</f>
        <v>Towarzyski</v>
      </c>
    </row>
    <row r="3789" spans="1:37" x14ac:dyDescent="0.25">
      <c r="A3789" s="76">
        <v>25</v>
      </c>
      <c r="B3789" s="3" t="s">
        <v>366</v>
      </c>
      <c r="C3789" s="2" t="s">
        <v>160</v>
      </c>
      <c r="D3789" s="1">
        <v>0</v>
      </c>
      <c r="E3789" s="1">
        <v>0</v>
      </c>
      <c r="F3789" s="1">
        <v>0</v>
      </c>
      <c r="G3789" s="1">
        <v>9</v>
      </c>
      <c r="H3789" s="4">
        <v>0.44</v>
      </c>
      <c r="I3789" s="1">
        <v>1</v>
      </c>
      <c r="J3789" s="4">
        <v>0</v>
      </c>
      <c r="K3789" s="1">
        <v>0</v>
      </c>
      <c r="L3789" s="1">
        <v>3</v>
      </c>
      <c r="M3789" s="32">
        <f>IF(Mecze[[#This Row],[PR]]=0,0,Mecze[[#This Row],[PR]]/Mecze[[#This Row],[CZAS]])</f>
        <v>3.1578947368421054E-2</v>
      </c>
      <c r="N3789" s="32">
        <f>IF(Mecze[[#This Row],[OU]]=0,0,Mecze[[#This Row],[OU]]/Mecze[[#This Row],[CZAS]])</f>
        <v>0</v>
      </c>
      <c r="O3789" s="32">
        <f>IF(Mecze[[#This Row],[PC]]=0,0,Mecze[[#This Row],[PC]]/Mecze[[#This Row],[CZAS]])</f>
        <v>4.2105263157894736E-2</v>
      </c>
      <c r="P3789" s="32">
        <f>IF(Mecze[[#This Row],[SC]]=0,0,Mecze[[#This Row],[SC]]/Mecze[[#This Row],[CZAS]])</f>
        <v>0</v>
      </c>
      <c r="Q3789" s="32">
        <f>IF(Mecze[[#This Row],[OB]]=0,0,Mecze[[#This Row],[OB]]/Mecze[[#This Row],[CZAS]])</f>
        <v>0</v>
      </c>
      <c r="R3789" s="32">
        <f>IF(Mecze[[#This Row],[BR]]=0,0,Mecze[[#This Row],[BR]]/Mecze[[#This Row],[CZAS]])</f>
        <v>0</v>
      </c>
      <c r="S3789" s="44">
        <f>IF(Mecze[[#This Row],[Role]]="BR",SUMPRODUCT(Mecze[[#This Row],[/PR:90]:[/BR:90]],Brudnopis!$E$23:$J$23),0)</f>
        <v>0</v>
      </c>
      <c r="T3789" s="44">
        <f>IF(Mecze[[#This Row],[Role]]&lt;&gt;"BR",SUMPRODUCT(Mecze[[#This Row],[/PR:90]:[/BR:90]],Brudnopis!$E$24:$J$24),0)</f>
        <v>7.3684210526315796E-2</v>
      </c>
      <c r="U3789" s="44">
        <f>IF(Mecze[[#This Row],[Role]]&lt;&gt;"BR",SUMPRODUCT(Mecze[[#This Row],[/PR:90]:[/BR:90]],Brudnopis!$E$25:$J$25),0)</f>
        <v>9.4736842105263161E-2</v>
      </c>
      <c r="V3789" s="44">
        <f>IF(Mecze[[#This Row],[Role]]&lt;&gt;"BR",SUMPRODUCT(Mecze[[#This Row],[/PR:90]:[/BR:90]],Brudnopis!$E$26:$J$26),0)</f>
        <v>7.3684210526315796E-2</v>
      </c>
      <c r="W3789" s="44">
        <f>IF(Mecze[[#This Row],[Role]]&lt;&gt;"BR",SUMPRODUCT(Mecze[[#This Row],[/PR:90]:[/BR:90]],Brudnopis!$E$27:$J$27),0)</f>
        <v>8.6842105263157901E-2</v>
      </c>
      <c r="X3789" s="44">
        <f>IF(Mecze[[#This Row],[Role]]&lt;&gt;"BR",SUMPRODUCT(Mecze[[#This Row],[/PR:90]:[/BR:90]],Brudnopis!$E$28:$J$28),0)</f>
        <v>4.2105263157894736E-2</v>
      </c>
      <c r="Y3789" s="35">
        <f>IF(Mecze[[#This Row],[Role]]="BR",Mecze[[#This Row],[/OB:90]]+Mecze[[#This Row],[/PC:90]],SUM(Mecze[[#This Row],[/PR:90]:[/BR:90]]))</f>
        <v>7.3684210526315796E-2</v>
      </c>
      <c r="Z3789" s="35">
        <f>IF(Mecze[[#This Row],[KC]]=0,SUM(Mecze[[#This Row],[/BRI]:[/NPI]]),SUM(Mecze[[#This Row],[/BRI]:[/NPI]])*0.6)</f>
        <v>0.37105263157894741</v>
      </c>
      <c r="AA3789" s="10">
        <f>IFERROR(Mecze[[#This Row],[BR]]/Mecze[[#This Row],[ST]],0)</f>
        <v>0</v>
      </c>
      <c r="AB3789">
        <f>ROUND(Mecze[[#This Row],[PD]]*Mecze[[#This Row],[%PC]],0)</f>
        <v>4</v>
      </c>
      <c r="AC3789">
        <f>ROUND(Mecze[[#This Row],[OD]]*Mecze[[#This Row],[%OU]],0)</f>
        <v>0</v>
      </c>
      <c r="AD3789" s="36" t="s">
        <v>44</v>
      </c>
      <c r="AE3789" s="36">
        <v>219</v>
      </c>
      <c r="AF3789" s="71">
        <v>3.33</v>
      </c>
      <c r="AG3789" s="37">
        <v>0</v>
      </c>
      <c r="AH3789" s="37">
        <v>0</v>
      </c>
      <c r="AI3789" s="37">
        <v>95</v>
      </c>
      <c r="AJ3789" s="37">
        <v>1</v>
      </c>
      <c r="AK3789" s="37" t="str">
        <f>VLOOKUP(Mecze[[#This Row],[Match ID]],Meczusie[Mecz]:Meczusie[RodzajMeczu],2,FALSE)</f>
        <v>Towarzyski</v>
      </c>
    </row>
    <row r="3790" spans="1:37" x14ac:dyDescent="0.25">
      <c r="A3790" s="76">
        <v>45</v>
      </c>
      <c r="B3790" s="3" t="s">
        <v>394</v>
      </c>
      <c r="C3790" s="2" t="s">
        <v>160</v>
      </c>
      <c r="D3790" s="1">
        <v>0</v>
      </c>
      <c r="E3790" s="1">
        <v>1</v>
      </c>
      <c r="F3790" s="1">
        <v>0</v>
      </c>
      <c r="G3790" s="1">
        <v>7</v>
      </c>
      <c r="H3790" s="4">
        <v>0.86</v>
      </c>
      <c r="I3790" s="1">
        <v>5</v>
      </c>
      <c r="J3790" s="4">
        <v>0.4</v>
      </c>
      <c r="K3790" s="1">
        <v>0</v>
      </c>
      <c r="L3790" s="1">
        <v>3</v>
      </c>
      <c r="M3790" s="32">
        <f>IF(Mecze[[#This Row],[PR]]=0,0,Mecze[[#This Row],[PR]]/Mecze[[#This Row],[CZAS]])</f>
        <v>3.1578947368421054E-2</v>
      </c>
      <c r="N3790" s="32">
        <f>IF(Mecze[[#This Row],[OU]]=0,0,Mecze[[#This Row],[OU]]/Mecze[[#This Row],[CZAS]])</f>
        <v>2.1052631578947368E-2</v>
      </c>
      <c r="O3790" s="32">
        <f>IF(Mecze[[#This Row],[PC]]=0,0,Mecze[[#This Row],[PC]]/Mecze[[#This Row],[CZAS]])</f>
        <v>6.3157894736842107E-2</v>
      </c>
      <c r="P3790" s="32">
        <f>IF(Mecze[[#This Row],[SC]]=0,0,Mecze[[#This Row],[SC]]/Mecze[[#This Row],[CZAS]])</f>
        <v>0</v>
      </c>
      <c r="Q3790" s="32">
        <f>IF(Mecze[[#This Row],[OB]]=0,0,Mecze[[#This Row],[OB]]/Mecze[[#This Row],[CZAS]])</f>
        <v>0</v>
      </c>
      <c r="R3790" s="32">
        <f>IF(Mecze[[#This Row],[BR]]=0,0,Mecze[[#This Row],[BR]]/Mecze[[#This Row],[CZAS]])</f>
        <v>0</v>
      </c>
      <c r="S3790" s="44">
        <f>IF(Mecze[[#This Row],[Role]]="BR",SUMPRODUCT(Mecze[[#This Row],[/PR:90]:[/BR:90]],Brudnopis!$E$23:$J$23),0)</f>
        <v>0</v>
      </c>
      <c r="T3790" s="44">
        <f>IF(Mecze[[#This Row],[Role]]&lt;&gt;"BR",SUMPRODUCT(Mecze[[#This Row],[/PR:90]:[/BR:90]],Brudnopis!$E$24:$J$24),0)</f>
        <v>0.12631578947368421</v>
      </c>
      <c r="U3790" s="44">
        <f>IF(Mecze[[#This Row],[Role]]&lt;&gt;"BR",SUMPRODUCT(Mecze[[#This Row],[/PR:90]:[/BR:90]],Brudnopis!$E$25:$J$25),0)</f>
        <v>0.14736842105263159</v>
      </c>
      <c r="V3790" s="44">
        <f>IF(Mecze[[#This Row],[Role]]&lt;&gt;"BR",SUMPRODUCT(Mecze[[#This Row],[/PR:90]:[/BR:90]],Brudnopis!$E$26:$J$26),0)</f>
        <v>0.11578947368421053</v>
      </c>
      <c r="W3790" s="44">
        <f>IF(Mecze[[#This Row],[Role]]&lt;&gt;"BR",SUMPRODUCT(Mecze[[#This Row],[/PR:90]:[/BR:90]],Brudnopis!$E$27:$J$27),0)</f>
        <v>0.13421052631578947</v>
      </c>
      <c r="X3790" s="44">
        <f>IF(Mecze[[#This Row],[Role]]&lt;&gt;"BR",SUMPRODUCT(Mecze[[#This Row],[/PR:90]:[/BR:90]],Brudnopis!$E$28:$J$28),0)</f>
        <v>6.3157894736842107E-2</v>
      </c>
      <c r="Y3790" s="35">
        <f>IF(Mecze[[#This Row],[Role]]="BR",Mecze[[#This Row],[/OB:90]]+Mecze[[#This Row],[/PC:90]],SUM(Mecze[[#This Row],[/PR:90]:[/BR:90]]))</f>
        <v>0.11578947368421053</v>
      </c>
      <c r="Z3790" s="35">
        <f>IF(Mecze[[#This Row],[KC]]=0,SUM(Mecze[[#This Row],[/BRI]:[/NPI]]),SUM(Mecze[[#This Row],[/BRI]:[/NPI]])*0.6)</f>
        <v>0.58684210526315783</v>
      </c>
      <c r="AA3790" s="10">
        <f>IFERROR(Mecze[[#This Row],[BR]]/Mecze[[#This Row],[ST]],0)</f>
        <v>0</v>
      </c>
      <c r="AB3790">
        <f>ROUND(Mecze[[#This Row],[PD]]*Mecze[[#This Row],[%PC]],0)</f>
        <v>6</v>
      </c>
      <c r="AC3790">
        <f>ROUND(Mecze[[#This Row],[OD]]*Mecze[[#This Row],[%OU]],0)</f>
        <v>2</v>
      </c>
      <c r="AD3790" s="36" t="s">
        <v>44</v>
      </c>
      <c r="AE3790" s="36">
        <v>219</v>
      </c>
      <c r="AF3790" s="71">
        <v>5.45</v>
      </c>
      <c r="AG3790" s="37">
        <v>0</v>
      </c>
      <c r="AH3790" s="37">
        <v>0</v>
      </c>
      <c r="AI3790" s="37">
        <v>95</v>
      </c>
      <c r="AJ3790" s="37">
        <v>1</v>
      </c>
      <c r="AK3790" s="37" t="str">
        <f>VLOOKUP(Mecze[[#This Row],[Match ID]],Meczusie[Mecz]:Meczusie[RodzajMeczu],2,FALSE)</f>
        <v>Towarzyski</v>
      </c>
    </row>
    <row r="3791" spans="1:37" x14ac:dyDescent="0.25">
      <c r="A3791" s="76">
        <v>31</v>
      </c>
      <c r="B3791" s="3" t="s">
        <v>365</v>
      </c>
      <c r="C3791" s="2" t="s">
        <v>165</v>
      </c>
      <c r="D3791" s="1">
        <v>1</v>
      </c>
      <c r="E3791" s="1">
        <v>1</v>
      </c>
      <c r="F3791" s="1">
        <v>1</v>
      </c>
      <c r="G3791" s="1">
        <v>14</v>
      </c>
      <c r="H3791" s="4">
        <v>0.36</v>
      </c>
      <c r="I3791" s="1">
        <v>7</v>
      </c>
      <c r="J3791" s="4">
        <v>0.43</v>
      </c>
      <c r="K3791" s="1">
        <v>0</v>
      </c>
      <c r="L3791" s="1">
        <v>2</v>
      </c>
      <c r="M3791" s="32">
        <f>IF(Mecze[[#This Row],[PR]]=0,0,Mecze[[#This Row],[PR]]/Mecze[[#This Row],[CZAS]])</f>
        <v>2.1052631578947368E-2</v>
      </c>
      <c r="N3791" s="32">
        <f>IF(Mecze[[#This Row],[OU]]=0,0,Mecze[[#This Row],[OU]]/Mecze[[#This Row],[CZAS]])</f>
        <v>3.1578947368421054E-2</v>
      </c>
      <c r="O3791" s="32">
        <f>IF(Mecze[[#This Row],[PC]]=0,0,Mecze[[#This Row],[PC]]/Mecze[[#This Row],[CZAS]])</f>
        <v>5.2631578947368418E-2</v>
      </c>
      <c r="P3791" s="32">
        <f>IF(Mecze[[#This Row],[SC]]=0,0,Mecze[[#This Row],[SC]]/Mecze[[#This Row],[CZAS]])</f>
        <v>1.0526315789473684E-2</v>
      </c>
      <c r="Q3791" s="32">
        <f>IF(Mecze[[#This Row],[OB]]=0,0,Mecze[[#This Row],[OB]]/Mecze[[#This Row],[CZAS]])</f>
        <v>0</v>
      </c>
      <c r="R3791" s="32">
        <f>IF(Mecze[[#This Row],[BR]]=0,0,Mecze[[#This Row],[BR]]/Mecze[[#This Row],[CZAS]])</f>
        <v>1.0526315789473684E-2</v>
      </c>
      <c r="S3791" s="44">
        <f>IF(Mecze[[#This Row],[Role]]="BR",SUMPRODUCT(Mecze[[#This Row],[/PR:90]:[/BR:90]],Brudnopis!$E$23:$J$23),0)</f>
        <v>0</v>
      </c>
      <c r="T3791" s="44">
        <f>IF(Mecze[[#This Row],[Role]]&lt;&gt;"BR",SUMPRODUCT(Mecze[[#This Row],[/PR:90]:[/BR:90]],Brudnopis!$E$24:$J$24),0)</f>
        <v>0.14736842105263157</v>
      </c>
      <c r="U3791" s="44">
        <f>IF(Mecze[[#This Row],[Role]]&lt;&gt;"BR",SUMPRODUCT(Mecze[[#This Row],[/PR:90]:[/BR:90]],Brudnopis!$E$25:$J$25),0)</f>
        <v>0.15789473684210525</v>
      </c>
      <c r="V3791" s="44">
        <f>IF(Mecze[[#This Row],[Role]]&lt;&gt;"BR",SUMPRODUCT(Mecze[[#This Row],[/PR:90]:[/BR:90]],Brudnopis!$E$26:$J$26),0)</f>
        <v>0.1368421052631579</v>
      </c>
      <c r="W3791" s="44">
        <f>IF(Mecze[[#This Row],[Role]]&lt;&gt;"BR",SUMPRODUCT(Mecze[[#This Row],[/PR:90]:[/BR:90]],Brudnopis!$E$27:$J$27),0)</f>
        <v>0.15</v>
      </c>
      <c r="X3791" s="44">
        <f>IF(Mecze[[#This Row],[Role]]&lt;&gt;"BR",SUMPRODUCT(Mecze[[#This Row],[/PR:90]:[/BR:90]],Brudnopis!$E$28:$J$28),0)</f>
        <v>0.10526315789473684</v>
      </c>
      <c r="Y3791" s="35">
        <f>IF(Mecze[[#This Row],[Role]]="BR",Mecze[[#This Row],[/OB:90]]+Mecze[[#This Row],[/PC:90]],SUM(Mecze[[#This Row],[/PR:90]:[/BR:90]]))</f>
        <v>0.12631578947368421</v>
      </c>
      <c r="Z3791" s="35">
        <f>IF(Mecze[[#This Row],[KC]]=0,SUM(Mecze[[#This Row],[/BRI]:[/NPI]]),SUM(Mecze[[#This Row],[/BRI]:[/NPI]])*0.6)</f>
        <v>0.69736842105263153</v>
      </c>
      <c r="AA3791" s="10">
        <f>IFERROR(Mecze[[#This Row],[BR]]/Mecze[[#This Row],[ST]],0)</f>
        <v>1</v>
      </c>
      <c r="AB3791">
        <f>ROUND(Mecze[[#This Row],[PD]]*Mecze[[#This Row],[%PC]],0)</f>
        <v>5</v>
      </c>
      <c r="AC3791">
        <f>ROUND(Mecze[[#This Row],[OD]]*Mecze[[#This Row],[%OU]],0)</f>
        <v>3</v>
      </c>
      <c r="AD3791" s="36" t="s">
        <v>46</v>
      </c>
      <c r="AE3791" s="36">
        <v>219</v>
      </c>
      <c r="AF3791" s="71">
        <v>5.23</v>
      </c>
      <c r="AG3791" s="37">
        <v>0</v>
      </c>
      <c r="AH3791" s="37">
        <v>0</v>
      </c>
      <c r="AI3791" s="37">
        <v>95</v>
      </c>
      <c r="AJ3791" s="37">
        <v>1</v>
      </c>
      <c r="AK3791" s="37" t="str">
        <f>VLOOKUP(Mecze[[#This Row],[Match ID]],Meczusie[Mecz]:Meczusie[RodzajMeczu],2,FALSE)</f>
        <v>Towarzyski</v>
      </c>
    </row>
    <row r="3792" spans="1:37" x14ac:dyDescent="0.25">
      <c r="A3792" s="76">
        <v>46</v>
      </c>
      <c r="B3792" s="3" t="s">
        <v>395</v>
      </c>
      <c r="C3792" s="2" t="s">
        <v>165</v>
      </c>
      <c r="D3792" s="1">
        <v>0</v>
      </c>
      <c r="E3792" s="1">
        <v>4</v>
      </c>
      <c r="F3792" s="1">
        <v>3</v>
      </c>
      <c r="G3792" s="1">
        <v>5</v>
      </c>
      <c r="H3792" s="4">
        <v>0.4</v>
      </c>
      <c r="I3792" s="1">
        <v>5</v>
      </c>
      <c r="J3792" s="4">
        <v>0.2</v>
      </c>
      <c r="K3792" s="1">
        <v>0</v>
      </c>
      <c r="L3792" s="1">
        <v>0</v>
      </c>
      <c r="M3792" s="32">
        <f>IF(Mecze[[#This Row],[PR]]=0,0,Mecze[[#This Row],[PR]]/Mecze[[#This Row],[CZAS]])</f>
        <v>0</v>
      </c>
      <c r="N3792" s="32">
        <f>IF(Mecze[[#This Row],[OU]]=0,0,Mecze[[#This Row],[OU]]/Mecze[[#This Row],[CZAS]])</f>
        <v>1.0526315789473684E-2</v>
      </c>
      <c r="O3792" s="32">
        <f>IF(Mecze[[#This Row],[PC]]=0,0,Mecze[[#This Row],[PC]]/Mecze[[#This Row],[CZAS]])</f>
        <v>2.1052631578947368E-2</v>
      </c>
      <c r="P3792" s="32">
        <f>IF(Mecze[[#This Row],[SC]]=0,0,Mecze[[#This Row],[SC]]/Mecze[[#This Row],[CZAS]])</f>
        <v>3.1578947368421054E-2</v>
      </c>
      <c r="Q3792" s="32">
        <f>IF(Mecze[[#This Row],[OB]]=0,0,Mecze[[#This Row],[OB]]/Mecze[[#This Row],[CZAS]])</f>
        <v>0</v>
      </c>
      <c r="R3792" s="32">
        <f>IF(Mecze[[#This Row],[BR]]=0,0,Mecze[[#This Row],[BR]]/Mecze[[#This Row],[CZAS]])</f>
        <v>0</v>
      </c>
      <c r="S3792" s="44">
        <f>IF(Mecze[[#This Row],[Role]]="BR",SUMPRODUCT(Mecze[[#This Row],[/PR:90]:[/BR:90]],Brudnopis!$E$23:$J$23),0)</f>
        <v>0</v>
      </c>
      <c r="T3792" s="44">
        <f>IF(Mecze[[#This Row],[Role]]&lt;&gt;"BR",SUMPRODUCT(Mecze[[#This Row],[/PR:90]:[/BR:90]],Brudnopis!$E$24:$J$24),0)</f>
        <v>6.8421052631578952E-2</v>
      </c>
      <c r="U3792" s="44">
        <f>IF(Mecze[[#This Row],[Role]]&lt;&gt;"BR",SUMPRODUCT(Mecze[[#This Row],[/PR:90]:[/BR:90]],Brudnopis!$E$25:$J$25),0)</f>
        <v>7.3684210526315796E-2</v>
      </c>
      <c r="V3792" s="44">
        <f>IF(Mecze[[#This Row],[Role]]&lt;&gt;"BR",SUMPRODUCT(Mecze[[#This Row],[/PR:90]:[/BR:90]],Brudnopis!$E$26:$J$26),0)</f>
        <v>6.3157894736842107E-2</v>
      </c>
      <c r="W3792" s="44">
        <f>IF(Mecze[[#This Row],[Role]]&lt;&gt;"BR",SUMPRODUCT(Mecze[[#This Row],[/PR:90]:[/BR:90]],Brudnopis!$E$27:$J$27),0)</f>
        <v>7.1052631578947367E-2</v>
      </c>
      <c r="X3792" s="44">
        <f>IF(Mecze[[#This Row],[Role]]&lt;&gt;"BR",SUMPRODUCT(Mecze[[#This Row],[/PR:90]:[/BR:90]],Brudnopis!$E$28:$J$28),0)</f>
        <v>8.4210526315789472E-2</v>
      </c>
      <c r="Y3792" s="35">
        <f>IF(Mecze[[#This Row],[Role]]="BR",Mecze[[#This Row],[/OB:90]]+Mecze[[#This Row],[/PC:90]],SUM(Mecze[[#This Row],[/PR:90]:[/BR:90]]))</f>
        <v>6.3157894736842107E-2</v>
      </c>
      <c r="Z3792" s="35">
        <f>IF(Mecze[[#This Row],[KC]]=0,SUM(Mecze[[#This Row],[/BRI]:[/NPI]]),SUM(Mecze[[#This Row],[/BRI]:[/NPI]])*0.6)</f>
        <v>0.36052631578947364</v>
      </c>
      <c r="AA3792" s="10">
        <f>IFERROR(Mecze[[#This Row],[BR]]/Mecze[[#This Row],[ST]],0)</f>
        <v>0</v>
      </c>
      <c r="AB3792">
        <f>ROUND(Mecze[[#This Row],[PD]]*Mecze[[#This Row],[%PC]],0)</f>
        <v>2</v>
      </c>
      <c r="AC3792">
        <f>ROUND(Mecze[[#This Row],[OD]]*Mecze[[#This Row],[%OU]],0)</f>
        <v>1</v>
      </c>
      <c r="AD3792" s="36" t="s">
        <v>46</v>
      </c>
      <c r="AE3792" s="36">
        <v>219</v>
      </c>
      <c r="AF3792" s="71">
        <v>3.37</v>
      </c>
      <c r="AG3792" s="37">
        <v>0</v>
      </c>
      <c r="AH3792" s="37">
        <v>0</v>
      </c>
      <c r="AI3792" s="37">
        <v>95</v>
      </c>
      <c r="AJ3792" s="37">
        <v>1</v>
      </c>
      <c r="AK3792" s="37" t="str">
        <f>VLOOKUP(Mecze[[#This Row],[Match ID]],Meczusie[Mecz]:Meczusie[RodzajMeczu],2,FALSE)</f>
        <v>Towarzyski</v>
      </c>
    </row>
    <row r="3793" spans="1:37" x14ac:dyDescent="0.25">
      <c r="A3793" s="76">
        <v>48</v>
      </c>
      <c r="B3793" s="3" t="s">
        <v>414</v>
      </c>
      <c r="C3793" s="2" t="s">
        <v>165</v>
      </c>
      <c r="D3793" s="1">
        <v>0</v>
      </c>
      <c r="E3793" s="1">
        <v>2</v>
      </c>
      <c r="F3793" s="1">
        <v>2</v>
      </c>
      <c r="G3793" s="1">
        <v>4</v>
      </c>
      <c r="H3793" s="4">
        <v>0.75</v>
      </c>
      <c r="I3793" s="1">
        <v>4</v>
      </c>
      <c r="J3793" s="4">
        <v>0</v>
      </c>
      <c r="K3793" s="1">
        <v>0</v>
      </c>
      <c r="L3793" s="1">
        <v>1</v>
      </c>
      <c r="M3793" s="32">
        <f>IF(Mecze[[#This Row],[PR]]=0,0,Mecze[[#This Row],[PR]]/Mecze[[#This Row],[CZAS]])</f>
        <v>1.0526315789473684E-2</v>
      </c>
      <c r="N3793" s="32">
        <f>IF(Mecze[[#This Row],[OU]]=0,0,Mecze[[#This Row],[OU]]/Mecze[[#This Row],[CZAS]])</f>
        <v>0</v>
      </c>
      <c r="O3793" s="32">
        <f>IF(Mecze[[#This Row],[PC]]=0,0,Mecze[[#This Row],[PC]]/Mecze[[#This Row],[CZAS]])</f>
        <v>3.1578947368421054E-2</v>
      </c>
      <c r="P3793" s="32">
        <f>IF(Mecze[[#This Row],[SC]]=0,0,Mecze[[#This Row],[SC]]/Mecze[[#This Row],[CZAS]])</f>
        <v>2.1052631578947368E-2</v>
      </c>
      <c r="Q3793" s="32">
        <f>IF(Mecze[[#This Row],[OB]]=0,0,Mecze[[#This Row],[OB]]/Mecze[[#This Row],[CZAS]])</f>
        <v>0</v>
      </c>
      <c r="R3793" s="32">
        <f>IF(Mecze[[#This Row],[BR]]=0,0,Mecze[[#This Row],[BR]]/Mecze[[#This Row],[CZAS]])</f>
        <v>0</v>
      </c>
      <c r="S3793" s="44">
        <f>IF(Mecze[[#This Row],[Role]]="BR",SUMPRODUCT(Mecze[[#This Row],[/PR:90]:[/BR:90]],Brudnopis!$E$23:$J$23),0)</f>
        <v>0</v>
      </c>
      <c r="T3793" s="44">
        <f>IF(Mecze[[#This Row],[Role]]&lt;&gt;"BR",SUMPRODUCT(Mecze[[#This Row],[/PR:90]:[/BR:90]],Brudnopis!$E$24:$J$24),0)</f>
        <v>6.3157894736842107E-2</v>
      </c>
      <c r="U3793" s="44">
        <f>IF(Mecze[[#This Row],[Role]]&lt;&gt;"BR",SUMPRODUCT(Mecze[[#This Row],[/PR:90]:[/BR:90]],Brudnopis!$E$25:$J$25),0)</f>
        <v>7.8947368421052627E-2</v>
      </c>
      <c r="V3793" s="44">
        <f>IF(Mecze[[#This Row],[Role]]&lt;&gt;"BR",SUMPRODUCT(Mecze[[#This Row],[/PR:90]:[/BR:90]],Brudnopis!$E$26:$J$26),0)</f>
        <v>6.3157894736842107E-2</v>
      </c>
      <c r="W3793" s="44">
        <f>IF(Mecze[[#This Row],[Role]]&lt;&gt;"BR",SUMPRODUCT(Mecze[[#This Row],[/PR:90]:[/BR:90]],Brudnopis!$E$27:$J$27),0)</f>
        <v>7.6315789473684212E-2</v>
      </c>
      <c r="X3793" s="44">
        <f>IF(Mecze[[#This Row],[Role]]&lt;&gt;"BR",SUMPRODUCT(Mecze[[#This Row],[/PR:90]:[/BR:90]],Brudnopis!$E$28:$J$28),0)</f>
        <v>7.3684210526315796E-2</v>
      </c>
      <c r="Y3793" s="35">
        <f>IF(Mecze[[#This Row],[Role]]="BR",Mecze[[#This Row],[/OB:90]]+Mecze[[#This Row],[/PC:90]],SUM(Mecze[[#This Row],[/PR:90]:[/BR:90]]))</f>
        <v>6.3157894736842107E-2</v>
      </c>
      <c r="Z3793" s="35">
        <f>IF(Mecze[[#This Row],[KC]]=0,SUM(Mecze[[#This Row],[/BRI]:[/NPI]]),SUM(Mecze[[#This Row],[/BRI]:[/NPI]])*0.6)</f>
        <v>0.35526315789473684</v>
      </c>
      <c r="AA3793" s="10">
        <f>IFERROR(Mecze[[#This Row],[BR]]/Mecze[[#This Row],[ST]],0)</f>
        <v>0</v>
      </c>
      <c r="AB3793">
        <f>ROUND(Mecze[[#This Row],[PD]]*Mecze[[#This Row],[%PC]],0)</f>
        <v>3</v>
      </c>
      <c r="AC3793">
        <f>ROUND(Mecze[[#This Row],[OD]]*Mecze[[#This Row],[%OU]],0)</f>
        <v>0</v>
      </c>
      <c r="AD3793" s="36" t="s">
        <v>46</v>
      </c>
      <c r="AE3793" s="36">
        <v>219</v>
      </c>
      <c r="AF3793" s="71">
        <v>3.15</v>
      </c>
      <c r="AG3793" s="37">
        <v>0</v>
      </c>
      <c r="AH3793" s="37">
        <v>0</v>
      </c>
      <c r="AI3793" s="37">
        <v>95</v>
      </c>
      <c r="AJ3793" s="37">
        <v>1</v>
      </c>
      <c r="AK3793" s="37" t="str">
        <f>VLOOKUP(Mecze[[#This Row],[Match ID]],Meczusie[Mecz]:Meczusie[RodzajMeczu],2,FALSE)</f>
        <v>Towarzyski</v>
      </c>
    </row>
    <row r="3794" spans="1:37" x14ac:dyDescent="0.25">
      <c r="A3794" s="76">
        <v>39</v>
      </c>
      <c r="B3794" s="3" t="s">
        <v>450</v>
      </c>
      <c r="C3794" s="2" t="s">
        <v>155</v>
      </c>
      <c r="D3794" s="1">
        <v>0</v>
      </c>
      <c r="E3794" s="1">
        <v>0</v>
      </c>
      <c r="F3794" s="1">
        <v>0</v>
      </c>
      <c r="G3794" s="1">
        <v>6</v>
      </c>
      <c r="H3794" s="4">
        <v>0.17</v>
      </c>
      <c r="I3794" s="1">
        <v>0</v>
      </c>
      <c r="J3794" s="4"/>
      <c r="K3794" s="1">
        <v>6</v>
      </c>
      <c r="L3794" s="1">
        <v>0</v>
      </c>
      <c r="M3794" s="32">
        <f>IF(Mecze[[#This Row],[PR]]=0,0,Mecze[[#This Row],[PR]]/Mecze[[#This Row],[CZAS]])</f>
        <v>0</v>
      </c>
      <c r="N3794" s="32">
        <f>IF(Mecze[[#This Row],[OU]]=0,0,Mecze[[#This Row],[OU]]/Mecze[[#This Row],[CZAS]])</f>
        <v>0</v>
      </c>
      <c r="O3794" s="32">
        <f>IF(Mecze[[#This Row],[PC]]=0,0,Mecze[[#This Row],[PC]]/Mecze[[#This Row],[CZAS]])</f>
        <v>1.0416666666666666E-2</v>
      </c>
      <c r="P3794" s="32">
        <f>IF(Mecze[[#This Row],[SC]]=0,0,Mecze[[#This Row],[SC]]/Mecze[[#This Row],[CZAS]])</f>
        <v>0</v>
      </c>
      <c r="Q3794" s="32">
        <f>IF(Mecze[[#This Row],[OB]]=0,0,Mecze[[#This Row],[OB]]/Mecze[[#This Row],[CZAS]])</f>
        <v>6.25E-2</v>
      </c>
      <c r="R3794" s="32">
        <f>IF(Mecze[[#This Row],[BR]]=0,0,Mecze[[#This Row],[BR]]/Mecze[[#This Row],[CZAS]])</f>
        <v>0</v>
      </c>
      <c r="S3794" s="44">
        <f>IF(Mecze[[#This Row],[Role]]="BR",SUMPRODUCT(Mecze[[#This Row],[/PR:90]:[/BR:90]],Brudnopis!$E$23:$J$23),0)</f>
        <v>0.21875</v>
      </c>
      <c r="T3794" s="44">
        <f>IF(Mecze[[#This Row],[Role]]&lt;&gt;"BR",SUMPRODUCT(Mecze[[#This Row],[/PR:90]:[/BR:90]],Brudnopis!$E$24:$J$24),0)</f>
        <v>0</v>
      </c>
      <c r="U3794" s="44">
        <f>IF(Mecze[[#This Row],[Role]]&lt;&gt;"BR",SUMPRODUCT(Mecze[[#This Row],[/PR:90]:[/BR:90]],Brudnopis!$E$25:$J$25),0)</f>
        <v>0</v>
      </c>
      <c r="V3794" s="44">
        <f>IF(Mecze[[#This Row],[Role]]&lt;&gt;"BR",SUMPRODUCT(Mecze[[#This Row],[/PR:90]:[/BR:90]],Brudnopis!$E$26:$J$26),0)</f>
        <v>0</v>
      </c>
      <c r="W3794" s="44">
        <f>IF(Mecze[[#This Row],[Role]]&lt;&gt;"BR",SUMPRODUCT(Mecze[[#This Row],[/PR:90]:[/BR:90]],Brudnopis!$E$27:$J$27),0)</f>
        <v>0</v>
      </c>
      <c r="X3794" s="44">
        <f>IF(Mecze[[#This Row],[Role]]&lt;&gt;"BR",SUMPRODUCT(Mecze[[#This Row],[/PR:90]:[/BR:90]],Brudnopis!$E$28:$J$28),0)</f>
        <v>0</v>
      </c>
      <c r="Y3794" s="35">
        <f>IF(Mecze[[#This Row],[Role]]="BR",Mecze[[#This Row],[/OB:90]]+Mecze[[#This Row],[/PC:90]],SUM(Mecze[[#This Row],[/PR:90]:[/BR:90]]))</f>
        <v>7.2916666666666671E-2</v>
      </c>
      <c r="Z3794" s="35">
        <f>IF(Mecze[[#This Row],[KC]]=0,SUM(Mecze[[#This Row],[/BRI]:[/NPI]]),SUM(Mecze[[#This Row],[/BRI]:[/NPI]])*0.6)</f>
        <v>0.21875</v>
      </c>
      <c r="AA3794" s="10">
        <f>IFERROR(Mecze[[#This Row],[BR]]/Mecze[[#This Row],[ST]],0)</f>
        <v>0</v>
      </c>
      <c r="AB3794">
        <f>ROUND(Mecze[[#This Row],[PD]]*Mecze[[#This Row],[%PC]],0)</f>
        <v>1</v>
      </c>
      <c r="AC3794">
        <f>ROUND(Mecze[[#This Row],[OD]]*Mecze[[#This Row],[%OU]],0)</f>
        <v>0</v>
      </c>
      <c r="AD3794" s="36" t="s">
        <v>40</v>
      </c>
      <c r="AE3794" s="36">
        <v>220</v>
      </c>
      <c r="AF3794" s="71">
        <v>6.02</v>
      </c>
      <c r="AG3794" s="37">
        <v>0</v>
      </c>
      <c r="AH3794" s="37">
        <v>0</v>
      </c>
      <c r="AI3794" s="37">
        <v>96</v>
      </c>
      <c r="AJ3794" s="37">
        <v>1</v>
      </c>
      <c r="AK3794" s="37" t="str">
        <f>VLOOKUP(Mecze[[#This Row],[Match ID]],Meczusie[Mecz]:Meczusie[RodzajMeczu],2,FALSE)</f>
        <v>Towarzyski</v>
      </c>
    </row>
    <row r="3795" spans="1:37" x14ac:dyDescent="0.25">
      <c r="A3795" s="76">
        <v>50</v>
      </c>
      <c r="B3795" s="3" t="s">
        <v>496</v>
      </c>
      <c r="C3795" s="2" t="s">
        <v>157</v>
      </c>
      <c r="D3795" s="1">
        <v>0</v>
      </c>
      <c r="E3795" s="1">
        <v>0</v>
      </c>
      <c r="F3795" s="1">
        <v>0</v>
      </c>
      <c r="G3795" s="1">
        <v>3</v>
      </c>
      <c r="H3795" s="4">
        <v>0.67</v>
      </c>
      <c r="I3795" s="1">
        <v>2</v>
      </c>
      <c r="J3795" s="4">
        <v>0</v>
      </c>
      <c r="K3795" s="1">
        <v>0</v>
      </c>
      <c r="L3795" s="1">
        <v>5</v>
      </c>
      <c r="M3795" s="32">
        <f>IF(Mecze[[#This Row],[PR]]=0,0,Mecze[[#This Row],[PR]]/Mecze[[#This Row],[CZAS]])</f>
        <v>5.2083333333333336E-2</v>
      </c>
      <c r="N3795" s="32">
        <f>IF(Mecze[[#This Row],[OU]]=0,0,Mecze[[#This Row],[OU]]/Mecze[[#This Row],[CZAS]])</f>
        <v>0</v>
      </c>
      <c r="O3795" s="32">
        <f>IF(Mecze[[#This Row],[PC]]=0,0,Mecze[[#This Row],[PC]]/Mecze[[#This Row],[CZAS]])</f>
        <v>2.0833333333333332E-2</v>
      </c>
      <c r="P3795" s="32">
        <f>IF(Mecze[[#This Row],[SC]]=0,0,Mecze[[#This Row],[SC]]/Mecze[[#This Row],[CZAS]])</f>
        <v>0</v>
      </c>
      <c r="Q3795" s="32">
        <f>IF(Mecze[[#This Row],[OB]]=0,0,Mecze[[#This Row],[OB]]/Mecze[[#This Row],[CZAS]])</f>
        <v>0</v>
      </c>
      <c r="R3795" s="32">
        <f>IF(Mecze[[#This Row],[BR]]=0,0,Mecze[[#This Row],[BR]]/Mecze[[#This Row],[CZAS]])</f>
        <v>0</v>
      </c>
      <c r="S3795" s="44">
        <f>IF(Mecze[[#This Row],[Role]]="BR",SUMPRODUCT(Mecze[[#This Row],[/PR:90]:[/BR:90]],Brudnopis!$E$23:$J$23),0)</f>
        <v>0</v>
      </c>
      <c r="T3795" s="44">
        <f>IF(Mecze[[#This Row],[Role]]&lt;&gt;"BR",SUMPRODUCT(Mecze[[#This Row],[/PR:90]:[/BR:90]],Brudnopis!$E$24:$J$24),0)</f>
        <v>7.2916666666666671E-2</v>
      </c>
      <c r="U3795" s="44">
        <f>IF(Mecze[[#This Row],[Role]]&lt;&gt;"BR",SUMPRODUCT(Mecze[[#This Row],[/PR:90]:[/BR:90]],Brudnopis!$E$25:$J$25),0)</f>
        <v>8.3333333333333343E-2</v>
      </c>
      <c r="V3795" s="44">
        <f>IF(Mecze[[#This Row],[Role]]&lt;&gt;"BR",SUMPRODUCT(Mecze[[#This Row],[/PR:90]:[/BR:90]],Brudnopis!$E$26:$J$26),0)</f>
        <v>7.2916666666666671E-2</v>
      </c>
      <c r="W3795" s="44">
        <f>IF(Mecze[[#This Row],[Role]]&lt;&gt;"BR",SUMPRODUCT(Mecze[[#This Row],[/PR:90]:[/BR:90]],Brudnopis!$E$27:$J$27),0)</f>
        <v>7.03125E-2</v>
      </c>
      <c r="X3795" s="44">
        <f>IF(Mecze[[#This Row],[Role]]&lt;&gt;"BR",SUMPRODUCT(Mecze[[#This Row],[/PR:90]:[/BR:90]],Brudnopis!$E$28:$J$28),0)</f>
        <v>2.0833333333333332E-2</v>
      </c>
      <c r="Y3795" s="35">
        <f>IF(Mecze[[#This Row],[Role]]="BR",Mecze[[#This Row],[/OB:90]]+Mecze[[#This Row],[/PC:90]],SUM(Mecze[[#This Row],[/PR:90]:[/BR:90]]))</f>
        <v>7.2916666666666671E-2</v>
      </c>
      <c r="Z3795" s="35">
        <f>IF(Mecze[[#This Row],[KC]]=0,SUM(Mecze[[#This Row],[/BRI]:[/NPI]]),SUM(Mecze[[#This Row],[/BRI]:[/NPI]])*0.6)</f>
        <v>0.3203125</v>
      </c>
      <c r="AA3795" s="10">
        <f>IFERROR(Mecze[[#This Row],[BR]]/Mecze[[#This Row],[ST]],0)</f>
        <v>0</v>
      </c>
      <c r="AB3795">
        <f>ROUND(Mecze[[#This Row],[PD]]*Mecze[[#This Row],[%PC]],0)</f>
        <v>2</v>
      </c>
      <c r="AC3795">
        <f>ROUND(Mecze[[#This Row],[OD]]*Mecze[[#This Row],[%OU]],0)</f>
        <v>0</v>
      </c>
      <c r="AD3795" s="36" t="s">
        <v>47</v>
      </c>
      <c r="AE3795" s="36">
        <v>220</v>
      </c>
      <c r="AF3795" s="71">
        <v>4.97</v>
      </c>
      <c r="AG3795" s="37">
        <v>0</v>
      </c>
      <c r="AH3795" s="37">
        <v>0</v>
      </c>
      <c r="AI3795" s="37">
        <v>96</v>
      </c>
      <c r="AJ3795" s="37">
        <v>1</v>
      </c>
      <c r="AK3795" s="37" t="str">
        <f>VLOOKUP(Mecze[[#This Row],[Match ID]],Meczusie[Mecz]:Meczusie[RodzajMeczu],2,FALSE)</f>
        <v>Towarzyski</v>
      </c>
    </row>
    <row r="3796" spans="1:37" x14ac:dyDescent="0.25">
      <c r="A3796" s="76">
        <v>59</v>
      </c>
      <c r="B3796" s="3" t="s">
        <v>455</v>
      </c>
      <c r="C3796" s="2" t="s">
        <v>157</v>
      </c>
      <c r="D3796" s="1">
        <v>0</v>
      </c>
      <c r="E3796" s="1">
        <v>0</v>
      </c>
      <c r="F3796" s="1">
        <v>0</v>
      </c>
      <c r="G3796" s="1">
        <v>5</v>
      </c>
      <c r="H3796" s="4">
        <v>0.8</v>
      </c>
      <c r="I3796" s="1">
        <v>4</v>
      </c>
      <c r="J3796" s="4">
        <v>0.5</v>
      </c>
      <c r="K3796" s="1">
        <v>0</v>
      </c>
      <c r="L3796" s="1">
        <v>7</v>
      </c>
      <c r="M3796" s="32">
        <f>IF(Mecze[[#This Row],[PR]]=0,0,Mecze[[#This Row],[PR]]/Mecze[[#This Row],[CZAS]])</f>
        <v>7.2916666666666671E-2</v>
      </c>
      <c r="N3796" s="32">
        <f>IF(Mecze[[#This Row],[OU]]=0,0,Mecze[[#This Row],[OU]]/Mecze[[#This Row],[CZAS]])</f>
        <v>2.0833333333333332E-2</v>
      </c>
      <c r="O3796" s="32">
        <f>IF(Mecze[[#This Row],[PC]]=0,0,Mecze[[#This Row],[PC]]/Mecze[[#This Row],[CZAS]])</f>
        <v>4.1666666666666664E-2</v>
      </c>
      <c r="P3796" s="32">
        <f>IF(Mecze[[#This Row],[SC]]=0,0,Mecze[[#This Row],[SC]]/Mecze[[#This Row],[CZAS]])</f>
        <v>0</v>
      </c>
      <c r="Q3796" s="32">
        <f>IF(Mecze[[#This Row],[OB]]=0,0,Mecze[[#This Row],[OB]]/Mecze[[#This Row],[CZAS]])</f>
        <v>0</v>
      </c>
      <c r="R3796" s="32">
        <f>IF(Mecze[[#This Row],[BR]]=0,0,Mecze[[#This Row],[BR]]/Mecze[[#This Row],[CZAS]])</f>
        <v>0</v>
      </c>
      <c r="S3796" s="44">
        <f>IF(Mecze[[#This Row],[Role]]="BR",SUMPRODUCT(Mecze[[#This Row],[/PR:90]:[/BR:90]],Brudnopis!$E$23:$J$23),0)</f>
        <v>0</v>
      </c>
      <c r="T3796" s="44">
        <f>IF(Mecze[[#This Row],[Role]]&lt;&gt;"BR",SUMPRODUCT(Mecze[[#This Row],[/PR:90]:[/BR:90]],Brudnopis!$E$24:$J$24),0)</f>
        <v>0.14583333333333334</v>
      </c>
      <c r="U3796" s="44">
        <f>IF(Mecze[[#This Row],[Role]]&lt;&gt;"BR",SUMPRODUCT(Mecze[[#This Row],[/PR:90]:[/BR:90]],Brudnopis!$E$25:$J$25),0)</f>
        <v>0.15625</v>
      </c>
      <c r="V3796" s="44">
        <f>IF(Mecze[[#This Row],[Role]]&lt;&gt;"BR",SUMPRODUCT(Mecze[[#This Row],[/PR:90]:[/BR:90]],Brudnopis!$E$26:$J$26),0)</f>
        <v>0.13541666666666666</v>
      </c>
      <c r="W3796" s="44">
        <f>IF(Mecze[[#This Row],[Role]]&lt;&gt;"BR",SUMPRODUCT(Mecze[[#This Row],[/PR:90]:[/BR:90]],Brudnopis!$E$27:$J$27),0)</f>
        <v>0.1328125</v>
      </c>
      <c r="X3796" s="44">
        <f>IF(Mecze[[#This Row],[Role]]&lt;&gt;"BR",SUMPRODUCT(Mecze[[#This Row],[/PR:90]:[/BR:90]],Brudnopis!$E$28:$J$28),0)</f>
        <v>4.1666666666666664E-2</v>
      </c>
      <c r="Y3796" s="35">
        <f>IF(Mecze[[#This Row],[Role]]="BR",Mecze[[#This Row],[/OB:90]]+Mecze[[#This Row],[/PC:90]],SUM(Mecze[[#This Row],[/PR:90]:[/BR:90]]))</f>
        <v>0.13541666666666666</v>
      </c>
      <c r="Z3796" s="35">
        <f>IF(Mecze[[#This Row],[KC]]=0,SUM(Mecze[[#This Row],[/BRI]:[/NPI]]),SUM(Mecze[[#This Row],[/BRI]:[/NPI]])*0.6)</f>
        <v>0.61197916666666663</v>
      </c>
      <c r="AA3796" s="10">
        <f>IFERROR(Mecze[[#This Row],[BR]]/Mecze[[#This Row],[ST]],0)</f>
        <v>0</v>
      </c>
      <c r="AB3796">
        <f>ROUND(Mecze[[#This Row],[PD]]*Mecze[[#This Row],[%PC]],0)</f>
        <v>4</v>
      </c>
      <c r="AC3796">
        <f>ROUND(Mecze[[#This Row],[OD]]*Mecze[[#This Row],[%OU]],0)</f>
        <v>2</v>
      </c>
      <c r="AD3796" s="36" t="s">
        <v>168</v>
      </c>
      <c r="AE3796" s="36">
        <v>220</v>
      </c>
      <c r="AF3796" s="71">
        <v>6.51</v>
      </c>
      <c r="AG3796" s="37">
        <v>0</v>
      </c>
      <c r="AH3796" s="37">
        <v>0</v>
      </c>
      <c r="AI3796" s="37">
        <v>96</v>
      </c>
      <c r="AJ3796" s="37">
        <v>1</v>
      </c>
      <c r="AK3796" s="37" t="str">
        <f>VLOOKUP(Mecze[[#This Row],[Match ID]],Meczusie[Mecz]:Meczusie[RodzajMeczu],2,FALSE)</f>
        <v>Towarzyski</v>
      </c>
    </row>
    <row r="3797" spans="1:37" x14ac:dyDescent="0.25">
      <c r="A3797" s="76">
        <v>42</v>
      </c>
      <c r="B3797" s="3" t="s">
        <v>361</v>
      </c>
      <c r="C3797" s="2" t="s">
        <v>157</v>
      </c>
      <c r="D3797" s="1">
        <v>0</v>
      </c>
      <c r="E3797" s="1">
        <v>0</v>
      </c>
      <c r="F3797" s="1">
        <v>0</v>
      </c>
      <c r="G3797" s="1">
        <v>4</v>
      </c>
      <c r="H3797" s="4">
        <v>0.25</v>
      </c>
      <c r="I3797" s="1">
        <v>3</v>
      </c>
      <c r="J3797" s="4">
        <v>0</v>
      </c>
      <c r="K3797" s="1">
        <v>0</v>
      </c>
      <c r="L3797" s="1">
        <v>9</v>
      </c>
      <c r="M3797" s="32">
        <f>IF(Mecze[[#This Row],[PR]]=0,0,Mecze[[#This Row],[PR]]/Mecze[[#This Row],[CZAS]])</f>
        <v>9.375E-2</v>
      </c>
      <c r="N3797" s="32">
        <f>IF(Mecze[[#This Row],[OU]]=0,0,Mecze[[#This Row],[OU]]/Mecze[[#This Row],[CZAS]])</f>
        <v>0</v>
      </c>
      <c r="O3797" s="32">
        <f>IF(Mecze[[#This Row],[PC]]=0,0,Mecze[[#This Row],[PC]]/Mecze[[#This Row],[CZAS]])</f>
        <v>1.0416666666666666E-2</v>
      </c>
      <c r="P3797" s="32">
        <f>IF(Mecze[[#This Row],[SC]]=0,0,Mecze[[#This Row],[SC]]/Mecze[[#This Row],[CZAS]])</f>
        <v>0</v>
      </c>
      <c r="Q3797" s="32">
        <f>IF(Mecze[[#This Row],[OB]]=0,0,Mecze[[#This Row],[OB]]/Mecze[[#This Row],[CZAS]])</f>
        <v>0</v>
      </c>
      <c r="R3797" s="32">
        <f>IF(Mecze[[#This Row],[BR]]=0,0,Mecze[[#This Row],[BR]]/Mecze[[#This Row],[CZAS]])</f>
        <v>0</v>
      </c>
      <c r="S3797" s="44">
        <f>IF(Mecze[[#This Row],[Role]]="BR",SUMPRODUCT(Mecze[[#This Row],[/PR:90]:[/BR:90]],Brudnopis!$E$23:$J$23),0)</f>
        <v>0</v>
      </c>
      <c r="T3797" s="44">
        <f>IF(Mecze[[#This Row],[Role]]&lt;&gt;"BR",SUMPRODUCT(Mecze[[#This Row],[/PR:90]:[/BR:90]],Brudnopis!$E$24:$J$24),0)</f>
        <v>0.10416666666666667</v>
      </c>
      <c r="U3797" s="44">
        <f>IF(Mecze[[#This Row],[Role]]&lt;&gt;"BR",SUMPRODUCT(Mecze[[#This Row],[/PR:90]:[/BR:90]],Brudnopis!$E$25:$J$25),0)</f>
        <v>0.109375</v>
      </c>
      <c r="V3797" s="44">
        <f>IF(Mecze[[#This Row],[Role]]&lt;&gt;"BR",SUMPRODUCT(Mecze[[#This Row],[/PR:90]:[/BR:90]],Brudnopis!$E$26:$J$26),0)</f>
        <v>0.10416666666666667</v>
      </c>
      <c r="W3797" s="44">
        <f>IF(Mecze[[#This Row],[Role]]&lt;&gt;"BR",SUMPRODUCT(Mecze[[#This Row],[/PR:90]:[/BR:90]],Brudnopis!$E$27:$J$27),0)</f>
        <v>8.59375E-2</v>
      </c>
      <c r="X3797" s="44">
        <f>IF(Mecze[[#This Row],[Role]]&lt;&gt;"BR",SUMPRODUCT(Mecze[[#This Row],[/PR:90]:[/BR:90]],Brudnopis!$E$28:$J$28),0)</f>
        <v>1.0416666666666666E-2</v>
      </c>
      <c r="Y3797" s="35">
        <f>IF(Mecze[[#This Row],[Role]]="BR",Mecze[[#This Row],[/OB:90]]+Mecze[[#This Row],[/PC:90]],SUM(Mecze[[#This Row],[/PR:90]:[/BR:90]]))</f>
        <v>0.10416666666666667</v>
      </c>
      <c r="Z3797" s="35">
        <f>IF(Mecze[[#This Row],[KC]]=0,SUM(Mecze[[#This Row],[/BRI]:[/NPI]]),SUM(Mecze[[#This Row],[/BRI]:[/NPI]])*0.6)</f>
        <v>0.41406250000000006</v>
      </c>
      <c r="AA3797" s="10">
        <f>IFERROR(Mecze[[#This Row],[BR]]/Mecze[[#This Row],[ST]],0)</f>
        <v>0</v>
      </c>
      <c r="AB3797">
        <f>ROUND(Mecze[[#This Row],[PD]]*Mecze[[#This Row],[%PC]],0)</f>
        <v>1</v>
      </c>
      <c r="AC3797">
        <f>ROUND(Mecze[[#This Row],[OD]]*Mecze[[#This Row],[%OU]],0)</f>
        <v>0</v>
      </c>
      <c r="AD3797" s="36" t="s">
        <v>167</v>
      </c>
      <c r="AE3797" s="36">
        <v>220</v>
      </c>
      <c r="AF3797" s="71">
        <v>5.81</v>
      </c>
      <c r="AG3797" s="37">
        <v>0</v>
      </c>
      <c r="AH3797" s="37">
        <v>0</v>
      </c>
      <c r="AI3797" s="37">
        <v>96</v>
      </c>
      <c r="AJ3797" s="37">
        <v>1</v>
      </c>
      <c r="AK3797" s="37" t="str">
        <f>VLOOKUP(Mecze[[#This Row],[Match ID]],Meczusie[Mecz]:Meczusie[RodzajMeczu],2,FALSE)</f>
        <v>Towarzyski</v>
      </c>
    </row>
    <row r="3798" spans="1:37" x14ac:dyDescent="0.25">
      <c r="A3798" s="76">
        <v>52</v>
      </c>
      <c r="B3798" s="3" t="s">
        <v>408</v>
      </c>
      <c r="C3798" s="2" t="s">
        <v>160</v>
      </c>
      <c r="D3798" s="1">
        <v>0</v>
      </c>
      <c r="E3798" s="1">
        <v>2</v>
      </c>
      <c r="F3798" s="1">
        <v>1</v>
      </c>
      <c r="G3798" s="1">
        <v>10</v>
      </c>
      <c r="H3798" s="4">
        <v>0.6</v>
      </c>
      <c r="I3798" s="1">
        <v>2</v>
      </c>
      <c r="J3798" s="4">
        <v>1</v>
      </c>
      <c r="K3798" s="1">
        <v>0</v>
      </c>
      <c r="L3798" s="1">
        <v>5</v>
      </c>
      <c r="M3798" s="32">
        <f>IF(Mecze[[#This Row],[PR]]=0,0,Mecze[[#This Row],[PR]]/Mecze[[#This Row],[CZAS]])</f>
        <v>5.2083333333333336E-2</v>
      </c>
      <c r="N3798" s="32">
        <f>IF(Mecze[[#This Row],[OU]]=0,0,Mecze[[#This Row],[OU]]/Mecze[[#This Row],[CZAS]])</f>
        <v>2.0833333333333332E-2</v>
      </c>
      <c r="O3798" s="32">
        <f>IF(Mecze[[#This Row],[PC]]=0,0,Mecze[[#This Row],[PC]]/Mecze[[#This Row],[CZAS]])</f>
        <v>6.25E-2</v>
      </c>
      <c r="P3798" s="32">
        <f>IF(Mecze[[#This Row],[SC]]=0,0,Mecze[[#This Row],[SC]]/Mecze[[#This Row],[CZAS]])</f>
        <v>1.0416666666666666E-2</v>
      </c>
      <c r="Q3798" s="32">
        <f>IF(Mecze[[#This Row],[OB]]=0,0,Mecze[[#This Row],[OB]]/Mecze[[#This Row],[CZAS]])</f>
        <v>0</v>
      </c>
      <c r="R3798" s="32">
        <f>IF(Mecze[[#This Row],[BR]]=0,0,Mecze[[#This Row],[BR]]/Mecze[[#This Row],[CZAS]])</f>
        <v>0</v>
      </c>
      <c r="S3798" s="44">
        <f>IF(Mecze[[#This Row],[Role]]="BR",SUMPRODUCT(Mecze[[#This Row],[/PR:90]:[/BR:90]],Brudnopis!$E$23:$J$23),0)</f>
        <v>0</v>
      </c>
      <c r="T3798" s="44">
        <f>IF(Mecze[[#This Row],[Role]]&lt;&gt;"BR",SUMPRODUCT(Mecze[[#This Row],[/PR:90]:[/BR:90]],Brudnopis!$E$24:$J$24),0)</f>
        <v>0.15625</v>
      </c>
      <c r="U3798" s="44">
        <f>IF(Mecze[[#This Row],[Role]]&lt;&gt;"BR",SUMPRODUCT(Mecze[[#This Row],[/PR:90]:[/BR:90]],Brudnopis!$E$25:$J$25),0)</f>
        <v>0.17708333333333334</v>
      </c>
      <c r="V3798" s="44">
        <f>IF(Mecze[[#This Row],[Role]]&lt;&gt;"BR",SUMPRODUCT(Mecze[[#This Row],[/PR:90]:[/BR:90]],Brudnopis!$E$26:$J$26),0)</f>
        <v>0.14583333333333334</v>
      </c>
      <c r="W3798" s="44">
        <f>IF(Mecze[[#This Row],[Role]]&lt;&gt;"BR",SUMPRODUCT(Mecze[[#This Row],[/PR:90]:[/BR:90]],Brudnopis!$E$27:$J$27),0)</f>
        <v>0.15885416666666666</v>
      </c>
      <c r="X3798" s="44">
        <f>IF(Mecze[[#This Row],[Role]]&lt;&gt;"BR",SUMPRODUCT(Mecze[[#This Row],[/PR:90]:[/BR:90]],Brudnopis!$E$28:$J$28),0)</f>
        <v>8.3333333333333329E-2</v>
      </c>
      <c r="Y3798" s="35">
        <f>IF(Mecze[[#This Row],[Role]]="BR",Mecze[[#This Row],[/OB:90]]+Mecze[[#This Row],[/PC:90]],SUM(Mecze[[#This Row],[/PR:90]:[/BR:90]]))</f>
        <v>0.14583333333333334</v>
      </c>
      <c r="Z3798" s="35">
        <f>IF(Mecze[[#This Row],[KC]]=0,SUM(Mecze[[#This Row],[/BRI]:[/NPI]]),SUM(Mecze[[#This Row],[/BRI]:[/NPI]])*0.6)</f>
        <v>0.72135416666666674</v>
      </c>
      <c r="AA3798" s="10">
        <f>IFERROR(Mecze[[#This Row],[BR]]/Mecze[[#This Row],[ST]],0)</f>
        <v>0</v>
      </c>
      <c r="AB3798">
        <f>ROUND(Mecze[[#This Row],[PD]]*Mecze[[#This Row],[%PC]],0)</f>
        <v>6</v>
      </c>
      <c r="AC3798">
        <f>ROUND(Mecze[[#This Row],[OD]]*Mecze[[#This Row],[%OU]],0)</f>
        <v>2</v>
      </c>
      <c r="AD3798" s="36" t="s">
        <v>41</v>
      </c>
      <c r="AE3798" s="36">
        <v>220</v>
      </c>
      <c r="AF3798" s="71">
        <v>6.41</v>
      </c>
      <c r="AG3798" s="37">
        <v>0</v>
      </c>
      <c r="AH3798" s="37">
        <v>0</v>
      </c>
      <c r="AI3798" s="37">
        <v>96</v>
      </c>
      <c r="AJ3798" s="37">
        <v>1</v>
      </c>
      <c r="AK3798" s="37" t="str">
        <f>VLOOKUP(Mecze[[#This Row],[Match ID]],Meczusie[Mecz]:Meczusie[RodzajMeczu],2,FALSE)</f>
        <v>Towarzyski</v>
      </c>
    </row>
    <row r="3799" spans="1:37" x14ac:dyDescent="0.25">
      <c r="A3799" s="76">
        <v>40</v>
      </c>
      <c r="B3799" s="3" t="s">
        <v>453</v>
      </c>
      <c r="C3799" s="2" t="s">
        <v>160</v>
      </c>
      <c r="D3799" s="1">
        <v>0</v>
      </c>
      <c r="E3799" s="1">
        <v>0</v>
      </c>
      <c r="F3799" s="1">
        <v>0</v>
      </c>
      <c r="G3799" s="1">
        <v>24</v>
      </c>
      <c r="H3799" s="4">
        <v>0.57999999999999996</v>
      </c>
      <c r="I3799" s="1">
        <v>9</v>
      </c>
      <c r="J3799" s="4">
        <v>0.67</v>
      </c>
      <c r="K3799" s="1">
        <v>0</v>
      </c>
      <c r="L3799" s="1">
        <v>9</v>
      </c>
      <c r="M3799" s="32">
        <f>IF(Mecze[[#This Row],[PR]]=0,0,Mecze[[#This Row],[PR]]/Mecze[[#This Row],[CZAS]])</f>
        <v>9.375E-2</v>
      </c>
      <c r="N3799" s="32">
        <f>IF(Mecze[[#This Row],[OU]]=0,0,Mecze[[#This Row],[OU]]/Mecze[[#This Row],[CZAS]])</f>
        <v>6.25E-2</v>
      </c>
      <c r="O3799" s="32">
        <f>IF(Mecze[[#This Row],[PC]]=0,0,Mecze[[#This Row],[PC]]/Mecze[[#This Row],[CZAS]])</f>
        <v>0.14583333333333334</v>
      </c>
      <c r="P3799" s="32">
        <f>IF(Mecze[[#This Row],[SC]]=0,0,Mecze[[#This Row],[SC]]/Mecze[[#This Row],[CZAS]])</f>
        <v>0</v>
      </c>
      <c r="Q3799" s="32">
        <f>IF(Mecze[[#This Row],[OB]]=0,0,Mecze[[#This Row],[OB]]/Mecze[[#This Row],[CZAS]])</f>
        <v>0</v>
      </c>
      <c r="R3799" s="32">
        <f>IF(Mecze[[#This Row],[BR]]=0,0,Mecze[[#This Row],[BR]]/Mecze[[#This Row],[CZAS]])</f>
        <v>0</v>
      </c>
      <c r="S3799" s="44">
        <f>IF(Mecze[[#This Row],[Role]]="BR",SUMPRODUCT(Mecze[[#This Row],[/PR:90]:[/BR:90]],Brudnopis!$E$23:$J$23),0)</f>
        <v>0</v>
      </c>
      <c r="T3799" s="44">
        <f>IF(Mecze[[#This Row],[Role]]&lt;&gt;"BR",SUMPRODUCT(Mecze[[#This Row],[/PR:90]:[/BR:90]],Brudnopis!$E$24:$J$24),0)</f>
        <v>0.33333333333333337</v>
      </c>
      <c r="U3799" s="44">
        <f>IF(Mecze[[#This Row],[Role]]&lt;&gt;"BR",SUMPRODUCT(Mecze[[#This Row],[/PR:90]:[/BR:90]],Brudnopis!$E$25:$J$25),0)</f>
        <v>0.375</v>
      </c>
      <c r="V3799" s="44">
        <f>IF(Mecze[[#This Row],[Role]]&lt;&gt;"BR",SUMPRODUCT(Mecze[[#This Row],[/PR:90]:[/BR:90]],Brudnopis!$E$26:$J$26),0)</f>
        <v>0.30208333333333337</v>
      </c>
      <c r="W3799" s="44">
        <f>IF(Mecze[[#This Row],[Role]]&lt;&gt;"BR",SUMPRODUCT(Mecze[[#This Row],[/PR:90]:[/BR:90]],Brudnopis!$E$27:$J$27),0)</f>
        <v>0.3359375</v>
      </c>
      <c r="X3799" s="44">
        <f>IF(Mecze[[#This Row],[Role]]&lt;&gt;"BR",SUMPRODUCT(Mecze[[#This Row],[/PR:90]:[/BR:90]],Brudnopis!$E$28:$J$28),0)</f>
        <v>0.14583333333333334</v>
      </c>
      <c r="Y3799" s="35">
        <f>IF(Mecze[[#This Row],[Role]]="BR",Mecze[[#This Row],[/OB:90]]+Mecze[[#This Row],[/PC:90]],SUM(Mecze[[#This Row],[/PR:90]:[/BR:90]]))</f>
        <v>0.30208333333333337</v>
      </c>
      <c r="Z3799" s="35">
        <f>IF(Mecze[[#This Row],[KC]]=0,SUM(Mecze[[#This Row],[/BRI]:[/NPI]]),SUM(Mecze[[#This Row],[/BRI]:[/NPI]])*0.6)</f>
        <v>1.4921875</v>
      </c>
      <c r="AA3799" s="10">
        <f>IFERROR(Mecze[[#This Row],[BR]]/Mecze[[#This Row],[ST]],0)</f>
        <v>0</v>
      </c>
      <c r="AB3799">
        <f>ROUND(Mecze[[#This Row],[PD]]*Mecze[[#This Row],[%PC]],0)</f>
        <v>14</v>
      </c>
      <c r="AC3799">
        <f>ROUND(Mecze[[#This Row],[OD]]*Mecze[[#This Row],[%OU]],0)</f>
        <v>6</v>
      </c>
      <c r="AD3799" s="36" t="s">
        <v>41</v>
      </c>
      <c r="AE3799" s="36">
        <v>220</v>
      </c>
      <c r="AF3799" s="71">
        <v>7.02</v>
      </c>
      <c r="AG3799" s="37">
        <v>0</v>
      </c>
      <c r="AH3799" s="37">
        <v>0</v>
      </c>
      <c r="AI3799" s="37">
        <v>96</v>
      </c>
      <c r="AJ3799" s="37">
        <v>1</v>
      </c>
      <c r="AK3799" s="37" t="str">
        <f>VLOOKUP(Mecze[[#This Row],[Match ID]],Meczusie[Mecz]:Meczusie[RodzajMeczu],2,FALSE)</f>
        <v>Towarzyski</v>
      </c>
    </row>
    <row r="3800" spans="1:37" x14ac:dyDescent="0.25">
      <c r="A3800" s="76">
        <v>45</v>
      </c>
      <c r="B3800" s="3" t="s">
        <v>394</v>
      </c>
      <c r="C3800" s="2" t="s">
        <v>160</v>
      </c>
      <c r="D3800" s="1">
        <v>0</v>
      </c>
      <c r="E3800" s="1">
        <v>1</v>
      </c>
      <c r="F3800" s="1">
        <v>0</v>
      </c>
      <c r="G3800" s="1">
        <v>5</v>
      </c>
      <c r="H3800" s="4">
        <v>0.6</v>
      </c>
      <c r="I3800" s="1">
        <v>3</v>
      </c>
      <c r="J3800" s="4">
        <v>0.33</v>
      </c>
      <c r="K3800" s="1">
        <v>0</v>
      </c>
      <c r="L3800" s="1">
        <v>6</v>
      </c>
      <c r="M3800" s="32">
        <f>IF(Mecze[[#This Row],[PR]]=0,0,Mecze[[#This Row],[PR]]/Mecze[[#This Row],[CZAS]])</f>
        <v>6.25E-2</v>
      </c>
      <c r="N3800" s="32">
        <f>IF(Mecze[[#This Row],[OU]]=0,0,Mecze[[#This Row],[OU]]/Mecze[[#This Row],[CZAS]])</f>
        <v>1.0416666666666666E-2</v>
      </c>
      <c r="O3800" s="32">
        <f>IF(Mecze[[#This Row],[PC]]=0,0,Mecze[[#This Row],[PC]]/Mecze[[#This Row],[CZAS]])</f>
        <v>3.125E-2</v>
      </c>
      <c r="P3800" s="32">
        <f>IF(Mecze[[#This Row],[SC]]=0,0,Mecze[[#This Row],[SC]]/Mecze[[#This Row],[CZAS]])</f>
        <v>0</v>
      </c>
      <c r="Q3800" s="32">
        <f>IF(Mecze[[#This Row],[OB]]=0,0,Mecze[[#This Row],[OB]]/Mecze[[#This Row],[CZAS]])</f>
        <v>0</v>
      </c>
      <c r="R3800" s="32">
        <f>IF(Mecze[[#This Row],[BR]]=0,0,Mecze[[#This Row],[BR]]/Mecze[[#This Row],[CZAS]])</f>
        <v>0</v>
      </c>
      <c r="S3800" s="44">
        <f>IF(Mecze[[#This Row],[Role]]="BR",SUMPRODUCT(Mecze[[#This Row],[/PR:90]:[/BR:90]],Brudnopis!$E$23:$J$23),0)</f>
        <v>0</v>
      </c>
      <c r="T3800" s="44">
        <f>IF(Mecze[[#This Row],[Role]]&lt;&gt;"BR",SUMPRODUCT(Mecze[[#This Row],[/PR:90]:[/BR:90]],Brudnopis!$E$24:$J$24),0)</f>
        <v>0.109375</v>
      </c>
      <c r="U3800" s="44">
        <f>IF(Mecze[[#This Row],[Role]]&lt;&gt;"BR",SUMPRODUCT(Mecze[[#This Row],[/PR:90]:[/BR:90]],Brudnopis!$E$25:$J$25),0)</f>
        <v>0.11979166666666667</v>
      </c>
      <c r="V3800" s="44">
        <f>IF(Mecze[[#This Row],[Role]]&lt;&gt;"BR",SUMPRODUCT(Mecze[[#This Row],[/PR:90]:[/BR:90]],Brudnopis!$E$26:$J$26),0)</f>
        <v>0.10416666666666667</v>
      </c>
      <c r="W3800" s="44">
        <f>IF(Mecze[[#This Row],[Role]]&lt;&gt;"BR",SUMPRODUCT(Mecze[[#This Row],[/PR:90]:[/BR:90]],Brudnopis!$E$27:$J$27),0)</f>
        <v>0.1015625</v>
      </c>
      <c r="X3800" s="44">
        <f>IF(Mecze[[#This Row],[Role]]&lt;&gt;"BR",SUMPRODUCT(Mecze[[#This Row],[/PR:90]:[/BR:90]],Brudnopis!$E$28:$J$28),0)</f>
        <v>3.125E-2</v>
      </c>
      <c r="Y3800" s="35">
        <f>IF(Mecze[[#This Row],[Role]]="BR",Mecze[[#This Row],[/OB:90]]+Mecze[[#This Row],[/PC:90]],SUM(Mecze[[#This Row],[/PR:90]:[/BR:90]]))</f>
        <v>0.10416666666666667</v>
      </c>
      <c r="Z3800" s="35">
        <f>IF(Mecze[[#This Row],[KC]]=0,SUM(Mecze[[#This Row],[/BRI]:[/NPI]]),SUM(Mecze[[#This Row],[/BRI]:[/NPI]])*0.6)</f>
        <v>0.46614583333333337</v>
      </c>
      <c r="AA3800" s="10">
        <f>IFERROR(Mecze[[#This Row],[BR]]/Mecze[[#This Row],[ST]],0)</f>
        <v>0</v>
      </c>
      <c r="AB3800">
        <f>ROUND(Mecze[[#This Row],[PD]]*Mecze[[#This Row],[%PC]],0)</f>
        <v>3</v>
      </c>
      <c r="AC3800">
        <f>ROUND(Mecze[[#This Row],[OD]]*Mecze[[#This Row],[%OU]],0)</f>
        <v>1</v>
      </c>
      <c r="AD3800" s="36" t="s">
        <v>44</v>
      </c>
      <c r="AE3800" s="36">
        <v>220</v>
      </c>
      <c r="AF3800" s="71">
        <v>6.39</v>
      </c>
      <c r="AG3800" s="37">
        <v>0</v>
      </c>
      <c r="AH3800" s="37">
        <v>0</v>
      </c>
      <c r="AI3800" s="37">
        <v>96</v>
      </c>
      <c r="AJ3800" s="37">
        <v>1</v>
      </c>
      <c r="AK3800" s="37" t="str">
        <f>VLOOKUP(Mecze[[#This Row],[Match ID]],Meczusie[Mecz]:Meczusie[RodzajMeczu],2,FALSE)</f>
        <v>Towarzyski</v>
      </c>
    </row>
    <row r="3801" spans="1:37" x14ac:dyDescent="0.25">
      <c r="A3801" s="76">
        <v>25</v>
      </c>
      <c r="B3801" s="3" t="s">
        <v>366</v>
      </c>
      <c r="C3801" s="2" t="s">
        <v>160</v>
      </c>
      <c r="D3801" s="1">
        <v>0</v>
      </c>
      <c r="E3801" s="1">
        <v>0</v>
      </c>
      <c r="F3801" s="1">
        <v>0</v>
      </c>
      <c r="G3801" s="1">
        <v>6</v>
      </c>
      <c r="H3801" s="4">
        <v>0.33</v>
      </c>
      <c r="I3801" s="1">
        <v>2</v>
      </c>
      <c r="J3801" s="4">
        <v>0</v>
      </c>
      <c r="K3801" s="1">
        <v>0</v>
      </c>
      <c r="L3801" s="1">
        <v>4</v>
      </c>
      <c r="M3801" s="32">
        <f>IF(Mecze[[#This Row],[PR]]=0,0,Mecze[[#This Row],[PR]]/Mecze[[#This Row],[CZAS]])</f>
        <v>4.1666666666666664E-2</v>
      </c>
      <c r="N3801" s="32">
        <f>IF(Mecze[[#This Row],[OU]]=0,0,Mecze[[#This Row],[OU]]/Mecze[[#This Row],[CZAS]])</f>
        <v>0</v>
      </c>
      <c r="O3801" s="32">
        <f>IF(Mecze[[#This Row],[PC]]=0,0,Mecze[[#This Row],[PC]]/Mecze[[#This Row],[CZAS]])</f>
        <v>2.0833333333333332E-2</v>
      </c>
      <c r="P3801" s="32">
        <f>IF(Mecze[[#This Row],[SC]]=0,0,Mecze[[#This Row],[SC]]/Mecze[[#This Row],[CZAS]])</f>
        <v>0</v>
      </c>
      <c r="Q3801" s="32">
        <f>IF(Mecze[[#This Row],[OB]]=0,0,Mecze[[#This Row],[OB]]/Mecze[[#This Row],[CZAS]])</f>
        <v>0</v>
      </c>
      <c r="R3801" s="32">
        <f>IF(Mecze[[#This Row],[BR]]=0,0,Mecze[[#This Row],[BR]]/Mecze[[#This Row],[CZAS]])</f>
        <v>0</v>
      </c>
      <c r="S3801" s="44">
        <f>IF(Mecze[[#This Row],[Role]]="BR",SUMPRODUCT(Mecze[[#This Row],[/PR:90]:[/BR:90]],Brudnopis!$E$23:$J$23),0)</f>
        <v>0</v>
      </c>
      <c r="T3801" s="44">
        <f>IF(Mecze[[#This Row],[Role]]&lt;&gt;"BR",SUMPRODUCT(Mecze[[#This Row],[/PR:90]:[/BR:90]],Brudnopis!$E$24:$J$24),0)</f>
        <v>6.25E-2</v>
      </c>
      <c r="U3801" s="44">
        <f>IF(Mecze[[#This Row],[Role]]&lt;&gt;"BR",SUMPRODUCT(Mecze[[#This Row],[/PR:90]:[/BR:90]],Brudnopis!$E$25:$J$25),0)</f>
        <v>7.2916666666666657E-2</v>
      </c>
      <c r="V3801" s="44">
        <f>IF(Mecze[[#This Row],[Role]]&lt;&gt;"BR",SUMPRODUCT(Mecze[[#This Row],[/PR:90]:[/BR:90]],Brudnopis!$E$26:$J$26),0)</f>
        <v>6.25E-2</v>
      </c>
      <c r="W3801" s="44">
        <f>IF(Mecze[[#This Row],[Role]]&lt;&gt;"BR",SUMPRODUCT(Mecze[[#This Row],[/PR:90]:[/BR:90]],Brudnopis!$E$27:$J$27),0)</f>
        <v>6.25E-2</v>
      </c>
      <c r="X3801" s="44">
        <f>IF(Mecze[[#This Row],[Role]]&lt;&gt;"BR",SUMPRODUCT(Mecze[[#This Row],[/PR:90]:[/BR:90]],Brudnopis!$E$28:$J$28),0)</f>
        <v>2.0833333333333332E-2</v>
      </c>
      <c r="Y3801" s="35">
        <f>IF(Mecze[[#This Row],[Role]]="BR",Mecze[[#This Row],[/OB:90]]+Mecze[[#This Row],[/PC:90]],SUM(Mecze[[#This Row],[/PR:90]:[/BR:90]]))</f>
        <v>6.25E-2</v>
      </c>
      <c r="Z3801" s="35">
        <f>IF(Mecze[[#This Row],[KC]]=0,SUM(Mecze[[#This Row],[/BRI]:[/NPI]]),SUM(Mecze[[#This Row],[/BRI]:[/NPI]])*0.6)</f>
        <v>0.28124999999999994</v>
      </c>
      <c r="AA3801" s="10">
        <f>IFERROR(Mecze[[#This Row],[BR]]/Mecze[[#This Row],[ST]],0)</f>
        <v>0</v>
      </c>
      <c r="AB3801">
        <f>ROUND(Mecze[[#This Row],[PD]]*Mecze[[#This Row],[%PC]],0)</f>
        <v>2</v>
      </c>
      <c r="AC3801">
        <f>ROUND(Mecze[[#This Row],[OD]]*Mecze[[#This Row],[%OU]],0)</f>
        <v>0</v>
      </c>
      <c r="AD3801" s="36" t="s">
        <v>44</v>
      </c>
      <c r="AE3801" s="36">
        <v>220</v>
      </c>
      <c r="AF3801" s="71">
        <v>4.76</v>
      </c>
      <c r="AG3801" s="37">
        <v>0</v>
      </c>
      <c r="AH3801" s="37">
        <v>0</v>
      </c>
      <c r="AI3801" s="37">
        <v>96</v>
      </c>
      <c r="AJ3801" s="37">
        <v>1</v>
      </c>
      <c r="AK3801" s="37" t="str">
        <f>VLOOKUP(Mecze[[#This Row],[Match ID]],Meczusie[Mecz]:Meczusie[RodzajMeczu],2,FALSE)</f>
        <v>Towarzyski</v>
      </c>
    </row>
    <row r="3802" spans="1:37" x14ac:dyDescent="0.25">
      <c r="A3802" s="76">
        <v>31</v>
      </c>
      <c r="B3802" s="3" t="s">
        <v>365</v>
      </c>
      <c r="C3802" s="2" t="s">
        <v>165</v>
      </c>
      <c r="D3802" s="1">
        <v>2</v>
      </c>
      <c r="E3802" s="1">
        <v>6</v>
      </c>
      <c r="F3802" s="1">
        <v>6</v>
      </c>
      <c r="G3802" s="1">
        <v>8</v>
      </c>
      <c r="H3802" s="4">
        <v>0.5</v>
      </c>
      <c r="I3802" s="1">
        <v>8</v>
      </c>
      <c r="J3802" s="4">
        <v>0.13</v>
      </c>
      <c r="K3802" s="1">
        <v>0</v>
      </c>
      <c r="L3802" s="1">
        <v>0</v>
      </c>
      <c r="M3802" s="32">
        <f>IF(Mecze[[#This Row],[PR]]=0,0,Mecze[[#This Row],[PR]]/Mecze[[#This Row],[CZAS]])</f>
        <v>0</v>
      </c>
      <c r="N3802" s="32">
        <f>IF(Mecze[[#This Row],[OU]]=0,0,Mecze[[#This Row],[OU]]/Mecze[[#This Row],[CZAS]])</f>
        <v>1.0416666666666666E-2</v>
      </c>
      <c r="O3802" s="32">
        <f>IF(Mecze[[#This Row],[PC]]=0,0,Mecze[[#This Row],[PC]]/Mecze[[#This Row],[CZAS]])</f>
        <v>4.1666666666666664E-2</v>
      </c>
      <c r="P3802" s="32">
        <f>IF(Mecze[[#This Row],[SC]]=0,0,Mecze[[#This Row],[SC]]/Mecze[[#This Row],[CZAS]])</f>
        <v>6.25E-2</v>
      </c>
      <c r="Q3802" s="32">
        <f>IF(Mecze[[#This Row],[OB]]=0,0,Mecze[[#This Row],[OB]]/Mecze[[#This Row],[CZAS]])</f>
        <v>0</v>
      </c>
      <c r="R3802" s="32">
        <f>IF(Mecze[[#This Row],[BR]]=0,0,Mecze[[#This Row],[BR]]/Mecze[[#This Row],[CZAS]])</f>
        <v>2.0833333333333332E-2</v>
      </c>
      <c r="S3802" s="44">
        <f>IF(Mecze[[#This Row],[Role]]="BR",SUMPRODUCT(Mecze[[#This Row],[/PR:90]:[/BR:90]],Brudnopis!$E$23:$J$23),0)</f>
        <v>0</v>
      </c>
      <c r="T3802" s="44">
        <f>IF(Mecze[[#This Row],[Role]]&lt;&gt;"BR",SUMPRODUCT(Mecze[[#This Row],[/PR:90]:[/BR:90]],Brudnopis!$E$24:$J$24),0)</f>
        <v>0.15104166666666666</v>
      </c>
      <c r="U3802" s="44">
        <f>IF(Mecze[[#This Row],[Role]]&lt;&gt;"BR",SUMPRODUCT(Mecze[[#This Row],[/PR:90]:[/BR:90]],Brudnopis!$E$25:$J$25),0)</f>
        <v>0.16666666666666669</v>
      </c>
      <c r="V3802" s="44">
        <f>IF(Mecze[[#This Row],[Role]]&lt;&gt;"BR",SUMPRODUCT(Mecze[[#This Row],[/PR:90]:[/BR:90]],Brudnopis!$E$26:$J$26),0)</f>
        <v>0.15625</v>
      </c>
      <c r="W3802" s="44">
        <f>IF(Mecze[[#This Row],[Role]]&lt;&gt;"BR",SUMPRODUCT(Mecze[[#This Row],[/PR:90]:[/BR:90]],Brudnopis!$E$27:$J$27),0)</f>
        <v>0.17447916666666666</v>
      </c>
      <c r="X3802" s="44">
        <f>IF(Mecze[[#This Row],[Role]]&lt;&gt;"BR",SUMPRODUCT(Mecze[[#This Row],[/PR:90]:[/BR:90]],Brudnopis!$E$28:$J$28),0)</f>
        <v>0.22916666666666666</v>
      </c>
      <c r="Y3802" s="35">
        <f>IF(Mecze[[#This Row],[Role]]="BR",Mecze[[#This Row],[/OB:90]]+Mecze[[#This Row],[/PC:90]],SUM(Mecze[[#This Row],[/PR:90]:[/BR:90]]))</f>
        <v>0.13541666666666666</v>
      </c>
      <c r="Z3802" s="35">
        <f>IF(Mecze[[#This Row],[KC]]=0,SUM(Mecze[[#This Row],[/BRI]:[/NPI]]),SUM(Mecze[[#This Row],[/BRI]:[/NPI]])*0.6)</f>
        <v>0.87760416666666663</v>
      </c>
      <c r="AA3802" s="10">
        <f>IFERROR(Mecze[[#This Row],[BR]]/Mecze[[#This Row],[ST]],0)</f>
        <v>0.33333333333333331</v>
      </c>
      <c r="AB3802">
        <f>ROUND(Mecze[[#This Row],[PD]]*Mecze[[#This Row],[%PC]],0)</f>
        <v>4</v>
      </c>
      <c r="AC3802">
        <f>ROUND(Mecze[[#This Row],[OD]]*Mecze[[#This Row],[%OU]],0)</f>
        <v>1</v>
      </c>
      <c r="AD3802" s="36" t="s">
        <v>46</v>
      </c>
      <c r="AE3802" s="36">
        <v>220</v>
      </c>
      <c r="AF3802" s="71">
        <v>11.18</v>
      </c>
      <c r="AG3802" s="37">
        <v>0</v>
      </c>
      <c r="AH3802" s="37">
        <v>0</v>
      </c>
      <c r="AI3802" s="37">
        <v>96</v>
      </c>
      <c r="AJ3802" s="37">
        <v>1</v>
      </c>
      <c r="AK3802" s="37" t="str">
        <f>VLOOKUP(Mecze[[#This Row],[Match ID]],Meczusie[Mecz]:Meczusie[RodzajMeczu],2,FALSE)</f>
        <v>Towarzyski</v>
      </c>
    </row>
    <row r="3803" spans="1:37" x14ac:dyDescent="0.25">
      <c r="A3803" s="76">
        <v>46</v>
      </c>
      <c r="B3803" s="3" t="s">
        <v>395</v>
      </c>
      <c r="C3803" s="2" t="s">
        <v>165</v>
      </c>
      <c r="D3803" s="1">
        <v>0</v>
      </c>
      <c r="E3803" s="1">
        <v>7</v>
      </c>
      <c r="F3803" s="1">
        <v>6</v>
      </c>
      <c r="G3803" s="1">
        <v>5</v>
      </c>
      <c r="H3803" s="4">
        <v>0.8</v>
      </c>
      <c r="I3803" s="1">
        <v>3</v>
      </c>
      <c r="J3803" s="4">
        <v>0</v>
      </c>
      <c r="K3803" s="1">
        <v>0</v>
      </c>
      <c r="L3803" s="1">
        <v>2</v>
      </c>
      <c r="M3803" s="32">
        <f>IF(Mecze[[#This Row],[PR]]=0,0,Mecze[[#This Row],[PR]]/Mecze[[#This Row],[CZAS]])</f>
        <v>2.0833333333333332E-2</v>
      </c>
      <c r="N3803" s="32">
        <f>IF(Mecze[[#This Row],[OU]]=0,0,Mecze[[#This Row],[OU]]/Mecze[[#This Row],[CZAS]])</f>
        <v>0</v>
      </c>
      <c r="O3803" s="32">
        <f>IF(Mecze[[#This Row],[PC]]=0,0,Mecze[[#This Row],[PC]]/Mecze[[#This Row],[CZAS]])</f>
        <v>4.1666666666666664E-2</v>
      </c>
      <c r="P3803" s="32">
        <f>IF(Mecze[[#This Row],[SC]]=0,0,Mecze[[#This Row],[SC]]/Mecze[[#This Row],[CZAS]])</f>
        <v>6.25E-2</v>
      </c>
      <c r="Q3803" s="32">
        <f>IF(Mecze[[#This Row],[OB]]=0,0,Mecze[[#This Row],[OB]]/Mecze[[#This Row],[CZAS]])</f>
        <v>0</v>
      </c>
      <c r="R3803" s="32">
        <f>IF(Mecze[[#This Row],[BR]]=0,0,Mecze[[#This Row],[BR]]/Mecze[[#This Row],[CZAS]])</f>
        <v>0</v>
      </c>
      <c r="S3803" s="44">
        <f>IF(Mecze[[#This Row],[Role]]="BR",SUMPRODUCT(Mecze[[#This Row],[/PR:90]:[/BR:90]],Brudnopis!$E$23:$J$23),0)</f>
        <v>0</v>
      </c>
      <c r="T3803" s="44">
        <f>IF(Mecze[[#This Row],[Role]]&lt;&gt;"BR",SUMPRODUCT(Mecze[[#This Row],[/PR:90]:[/BR:90]],Brudnopis!$E$24:$J$24),0)</f>
        <v>0.125</v>
      </c>
      <c r="U3803" s="44">
        <f>IF(Mecze[[#This Row],[Role]]&lt;&gt;"BR",SUMPRODUCT(Mecze[[#This Row],[/PR:90]:[/BR:90]],Brudnopis!$E$25:$J$25),0)</f>
        <v>0.14583333333333331</v>
      </c>
      <c r="V3803" s="44">
        <f>IF(Mecze[[#This Row],[Role]]&lt;&gt;"BR",SUMPRODUCT(Mecze[[#This Row],[/PR:90]:[/BR:90]],Brudnopis!$E$26:$J$26),0)</f>
        <v>0.125</v>
      </c>
      <c r="W3803" s="44">
        <f>IF(Mecze[[#This Row],[Role]]&lt;&gt;"BR",SUMPRODUCT(Mecze[[#This Row],[/PR:90]:[/BR:90]],Brudnopis!$E$27:$J$27),0)</f>
        <v>0.140625</v>
      </c>
      <c r="X3803" s="44">
        <f>IF(Mecze[[#This Row],[Role]]&lt;&gt;"BR",SUMPRODUCT(Mecze[[#This Row],[/PR:90]:[/BR:90]],Brudnopis!$E$28:$J$28),0)</f>
        <v>0.16666666666666666</v>
      </c>
      <c r="Y3803" s="35">
        <f>IF(Mecze[[#This Row],[Role]]="BR",Mecze[[#This Row],[/OB:90]]+Mecze[[#This Row],[/PC:90]],SUM(Mecze[[#This Row],[/PR:90]:[/BR:90]]))</f>
        <v>0.125</v>
      </c>
      <c r="Z3803" s="35">
        <f>IF(Mecze[[#This Row],[KC]]=0,SUM(Mecze[[#This Row],[/BRI]:[/NPI]]),SUM(Mecze[[#This Row],[/BRI]:[/NPI]])*0.6)</f>
        <v>0.70312499999999989</v>
      </c>
      <c r="AA3803" s="10">
        <f>IFERROR(Mecze[[#This Row],[BR]]/Mecze[[#This Row],[ST]],0)</f>
        <v>0</v>
      </c>
      <c r="AB3803">
        <f>ROUND(Mecze[[#This Row],[PD]]*Mecze[[#This Row],[%PC]],0)</f>
        <v>4</v>
      </c>
      <c r="AC3803">
        <f>ROUND(Mecze[[#This Row],[OD]]*Mecze[[#This Row],[%OU]],0)</f>
        <v>0</v>
      </c>
      <c r="AD3803" s="36" t="s">
        <v>46</v>
      </c>
      <c r="AE3803" s="36">
        <v>220</v>
      </c>
      <c r="AF3803" s="71">
        <v>7.5</v>
      </c>
      <c r="AG3803" s="37">
        <v>0</v>
      </c>
      <c r="AH3803" s="37">
        <v>0</v>
      </c>
      <c r="AI3803" s="37">
        <v>96</v>
      </c>
      <c r="AJ3803" s="37">
        <v>1</v>
      </c>
      <c r="AK3803" s="37" t="str">
        <f>VLOOKUP(Mecze[[#This Row],[Match ID]],Meczusie[Mecz]:Meczusie[RodzajMeczu],2,FALSE)</f>
        <v>Towarzyski</v>
      </c>
    </row>
    <row r="3804" spans="1:37" x14ac:dyDescent="0.25">
      <c r="A3804" s="76">
        <v>48</v>
      </c>
      <c r="B3804" s="3" t="s">
        <v>414</v>
      </c>
      <c r="C3804" s="2" t="s">
        <v>165</v>
      </c>
      <c r="D3804" s="1">
        <v>0</v>
      </c>
      <c r="E3804" s="1">
        <v>2</v>
      </c>
      <c r="F3804" s="1">
        <v>1</v>
      </c>
      <c r="G3804" s="1">
        <v>2</v>
      </c>
      <c r="H3804" s="4">
        <v>1</v>
      </c>
      <c r="I3804" s="1">
        <v>4</v>
      </c>
      <c r="J3804" s="4">
        <v>0</v>
      </c>
      <c r="K3804" s="1">
        <v>0</v>
      </c>
      <c r="L3804" s="1">
        <v>0</v>
      </c>
      <c r="M3804" s="32">
        <f>IF(Mecze[[#This Row],[PR]]=0,0,Mecze[[#This Row],[PR]]/Mecze[[#This Row],[CZAS]])</f>
        <v>0</v>
      </c>
      <c r="N3804" s="32">
        <f>IF(Mecze[[#This Row],[OU]]=0,0,Mecze[[#This Row],[OU]]/Mecze[[#This Row],[CZAS]])</f>
        <v>0</v>
      </c>
      <c r="O3804" s="32">
        <f>IF(Mecze[[#This Row],[PC]]=0,0,Mecze[[#This Row],[PC]]/Mecze[[#This Row],[CZAS]])</f>
        <v>2.0833333333333332E-2</v>
      </c>
      <c r="P3804" s="32">
        <f>IF(Mecze[[#This Row],[SC]]=0,0,Mecze[[#This Row],[SC]]/Mecze[[#This Row],[CZAS]])</f>
        <v>1.0416666666666666E-2</v>
      </c>
      <c r="Q3804" s="32">
        <f>IF(Mecze[[#This Row],[OB]]=0,0,Mecze[[#This Row],[OB]]/Mecze[[#This Row],[CZAS]])</f>
        <v>0</v>
      </c>
      <c r="R3804" s="32">
        <f>IF(Mecze[[#This Row],[BR]]=0,0,Mecze[[#This Row],[BR]]/Mecze[[#This Row],[CZAS]])</f>
        <v>0</v>
      </c>
      <c r="S3804" s="44">
        <f>IF(Mecze[[#This Row],[Role]]="BR",SUMPRODUCT(Mecze[[#This Row],[/PR:90]:[/BR:90]],Brudnopis!$E$23:$J$23),0)</f>
        <v>0</v>
      </c>
      <c r="T3804" s="44">
        <f>IF(Mecze[[#This Row],[Role]]&lt;&gt;"BR",SUMPRODUCT(Mecze[[#This Row],[/PR:90]:[/BR:90]],Brudnopis!$E$24:$J$24),0)</f>
        <v>3.125E-2</v>
      </c>
      <c r="U3804" s="44">
        <f>IF(Mecze[[#This Row],[Role]]&lt;&gt;"BR",SUMPRODUCT(Mecze[[#This Row],[/PR:90]:[/BR:90]],Brudnopis!$E$25:$J$25),0)</f>
        <v>4.1666666666666664E-2</v>
      </c>
      <c r="V3804" s="44">
        <f>IF(Mecze[[#This Row],[Role]]&lt;&gt;"BR",SUMPRODUCT(Mecze[[#This Row],[/PR:90]:[/BR:90]],Brudnopis!$E$26:$J$26),0)</f>
        <v>3.125E-2</v>
      </c>
      <c r="W3804" s="44">
        <f>IF(Mecze[[#This Row],[Role]]&lt;&gt;"BR",SUMPRODUCT(Mecze[[#This Row],[/PR:90]:[/BR:90]],Brudnopis!$E$27:$J$27),0)</f>
        <v>4.1666666666666664E-2</v>
      </c>
      <c r="X3804" s="44">
        <f>IF(Mecze[[#This Row],[Role]]&lt;&gt;"BR",SUMPRODUCT(Mecze[[#This Row],[/PR:90]:[/BR:90]],Brudnopis!$E$28:$J$28),0)</f>
        <v>4.1666666666666664E-2</v>
      </c>
      <c r="Y3804" s="35">
        <f>IF(Mecze[[#This Row],[Role]]="BR",Mecze[[#This Row],[/OB:90]]+Mecze[[#This Row],[/PC:90]],SUM(Mecze[[#This Row],[/PR:90]:[/BR:90]]))</f>
        <v>3.125E-2</v>
      </c>
      <c r="Z3804" s="35">
        <f>IF(Mecze[[#This Row],[KC]]=0,SUM(Mecze[[#This Row],[/BRI]:[/NPI]]),SUM(Mecze[[#This Row],[/BRI]:[/NPI]])*0.6)</f>
        <v>0.18749999999999997</v>
      </c>
      <c r="AA3804" s="10">
        <f>IFERROR(Mecze[[#This Row],[BR]]/Mecze[[#This Row],[ST]],0)</f>
        <v>0</v>
      </c>
      <c r="AB3804">
        <f>ROUND(Mecze[[#This Row],[PD]]*Mecze[[#This Row],[%PC]],0)</f>
        <v>2</v>
      </c>
      <c r="AC3804">
        <f>ROUND(Mecze[[#This Row],[OD]]*Mecze[[#This Row],[%OU]],0)</f>
        <v>0</v>
      </c>
      <c r="AD3804" s="36" t="s">
        <v>46</v>
      </c>
      <c r="AE3804" s="36">
        <v>220</v>
      </c>
      <c r="AF3804" s="71">
        <v>4.1500000000000004</v>
      </c>
      <c r="AG3804" s="37">
        <v>0</v>
      </c>
      <c r="AH3804" s="37">
        <v>0</v>
      </c>
      <c r="AI3804" s="37">
        <v>96</v>
      </c>
      <c r="AJ3804" s="37">
        <v>1</v>
      </c>
      <c r="AK3804" s="37" t="str">
        <f>VLOOKUP(Mecze[[#This Row],[Match ID]],Meczusie[Mecz]:Meczusie[RodzajMeczu],2,FALSE)</f>
        <v>Towarzyski</v>
      </c>
    </row>
    <row r="3805" spans="1:37" x14ac:dyDescent="0.25">
      <c r="A3805" s="76">
        <v>1</v>
      </c>
      <c r="B3805" s="3" t="s">
        <v>169</v>
      </c>
      <c r="C3805" s="2" t="s">
        <v>155</v>
      </c>
      <c r="D3805" s="1">
        <v>0</v>
      </c>
      <c r="E3805" s="1">
        <v>0</v>
      </c>
      <c r="F3805" s="1">
        <v>0</v>
      </c>
      <c r="G3805" s="1">
        <v>10</v>
      </c>
      <c r="H3805" s="4">
        <v>0.5</v>
      </c>
      <c r="I3805" s="1">
        <v>0</v>
      </c>
      <c r="J3805" s="4"/>
      <c r="K3805" s="1">
        <v>9</v>
      </c>
      <c r="L3805" s="1">
        <v>0</v>
      </c>
      <c r="M3805" s="32">
        <f>IF(Mecze[[#This Row],[PR]]=0,0,Mecze[[#This Row],[PR]]/Mecze[[#This Row],[CZAS]])</f>
        <v>0</v>
      </c>
      <c r="N3805" s="32">
        <f>IF(Mecze[[#This Row],[OU]]=0,0,Mecze[[#This Row],[OU]]/Mecze[[#This Row],[CZAS]])</f>
        <v>0</v>
      </c>
      <c r="O3805" s="32">
        <f>IF(Mecze[[#This Row],[PC]]=0,0,Mecze[[#This Row],[PC]]/Mecze[[#This Row],[CZAS]])</f>
        <v>5.1020408163265307E-2</v>
      </c>
      <c r="P3805" s="32">
        <f>IF(Mecze[[#This Row],[SC]]=0,0,Mecze[[#This Row],[SC]]/Mecze[[#This Row],[CZAS]])</f>
        <v>0</v>
      </c>
      <c r="Q3805" s="32">
        <f>IF(Mecze[[#This Row],[OB]]=0,0,Mecze[[#This Row],[OB]]/Mecze[[#This Row],[CZAS]])</f>
        <v>9.1836734693877556E-2</v>
      </c>
      <c r="R3805" s="32">
        <f>IF(Mecze[[#This Row],[BR]]=0,0,Mecze[[#This Row],[BR]]/Mecze[[#This Row],[CZAS]])</f>
        <v>0</v>
      </c>
      <c r="S3805" s="44">
        <f>IF(Mecze[[#This Row],[Role]]="BR",SUMPRODUCT(Mecze[[#This Row],[/PR:90]:[/BR:90]],Brudnopis!$E$23:$J$23),0)</f>
        <v>0.4285714285714286</v>
      </c>
      <c r="T3805" s="44">
        <f>IF(Mecze[[#This Row],[Role]]&lt;&gt;"BR",SUMPRODUCT(Mecze[[#This Row],[/PR:90]:[/BR:90]],Brudnopis!$E$24:$J$24),0)</f>
        <v>0</v>
      </c>
      <c r="U3805" s="44">
        <f>IF(Mecze[[#This Row],[Role]]&lt;&gt;"BR",SUMPRODUCT(Mecze[[#This Row],[/PR:90]:[/BR:90]],Brudnopis!$E$25:$J$25),0)</f>
        <v>0</v>
      </c>
      <c r="V3805" s="44">
        <f>IF(Mecze[[#This Row],[Role]]&lt;&gt;"BR",SUMPRODUCT(Mecze[[#This Row],[/PR:90]:[/BR:90]],Brudnopis!$E$26:$J$26),0)</f>
        <v>0</v>
      </c>
      <c r="W3805" s="44">
        <f>IF(Mecze[[#This Row],[Role]]&lt;&gt;"BR",SUMPRODUCT(Mecze[[#This Row],[/PR:90]:[/BR:90]],Brudnopis!$E$27:$J$27),0)</f>
        <v>0</v>
      </c>
      <c r="X3805" s="44">
        <f>IF(Mecze[[#This Row],[Role]]&lt;&gt;"BR",SUMPRODUCT(Mecze[[#This Row],[/PR:90]:[/BR:90]],Brudnopis!$E$28:$J$28),0)</f>
        <v>0</v>
      </c>
      <c r="Y3805" s="35">
        <f>IF(Mecze[[#This Row],[Role]]="BR",Mecze[[#This Row],[/OB:90]]+Mecze[[#This Row],[/PC:90]],SUM(Mecze[[#This Row],[/PR:90]:[/BR:90]]))</f>
        <v>0.14285714285714285</v>
      </c>
      <c r="Z3805" s="35">
        <f>IF(Mecze[[#This Row],[KC]]=0,SUM(Mecze[[#This Row],[/BRI]:[/NPI]]),SUM(Mecze[[#This Row],[/BRI]:[/NPI]])*0.6)</f>
        <v>0.4285714285714286</v>
      </c>
      <c r="AA3805" s="10">
        <f>IFERROR(Mecze[[#This Row],[BR]]/Mecze[[#This Row],[ST]],0)</f>
        <v>0</v>
      </c>
      <c r="AB3805">
        <f>ROUND(Mecze[[#This Row],[PD]]*Mecze[[#This Row],[%PC]],0)</f>
        <v>5</v>
      </c>
      <c r="AC3805">
        <f>ROUND(Mecze[[#This Row],[OD]]*Mecze[[#This Row],[%OU]],0)</f>
        <v>0</v>
      </c>
      <c r="AD3805" s="36" t="s">
        <v>40</v>
      </c>
      <c r="AE3805" s="36">
        <v>221</v>
      </c>
      <c r="AF3805" s="71">
        <v>5.96</v>
      </c>
      <c r="AG3805" s="37">
        <v>0</v>
      </c>
      <c r="AH3805" s="37">
        <v>0</v>
      </c>
      <c r="AI3805" s="37">
        <v>98</v>
      </c>
      <c r="AJ3805" s="37">
        <v>1</v>
      </c>
      <c r="AK3805" s="37" t="str">
        <f>VLOOKUP(Mecze[[#This Row],[Match ID]],Meczusie[Mecz]:Meczusie[RodzajMeczu],2,FALSE)</f>
        <v>Towarzyski</v>
      </c>
    </row>
    <row r="3806" spans="1:37" x14ac:dyDescent="0.25">
      <c r="A3806" s="76">
        <v>6</v>
      </c>
      <c r="B3806" s="3" t="s">
        <v>159</v>
      </c>
      <c r="C3806" s="2" t="s">
        <v>157</v>
      </c>
      <c r="D3806" s="1">
        <v>0</v>
      </c>
      <c r="E3806" s="1">
        <v>0</v>
      </c>
      <c r="F3806" s="1">
        <v>0</v>
      </c>
      <c r="G3806" s="1">
        <v>10</v>
      </c>
      <c r="H3806" s="4">
        <v>0.4</v>
      </c>
      <c r="I3806" s="1">
        <v>7</v>
      </c>
      <c r="J3806" s="4">
        <v>0.28999999999999998</v>
      </c>
      <c r="K3806" s="1">
        <v>0</v>
      </c>
      <c r="L3806" s="1">
        <v>16</v>
      </c>
      <c r="M3806" s="32">
        <f>IF(Mecze[[#This Row],[PR]]=0,0,Mecze[[#This Row],[PR]]/Mecze[[#This Row],[CZAS]])</f>
        <v>0.16326530612244897</v>
      </c>
      <c r="N3806" s="32">
        <f>IF(Mecze[[#This Row],[OU]]=0,0,Mecze[[#This Row],[OU]]/Mecze[[#This Row],[CZAS]])</f>
        <v>2.0408163265306121E-2</v>
      </c>
      <c r="O3806" s="32">
        <f>IF(Mecze[[#This Row],[PC]]=0,0,Mecze[[#This Row],[PC]]/Mecze[[#This Row],[CZAS]])</f>
        <v>4.0816326530612242E-2</v>
      </c>
      <c r="P3806" s="32">
        <f>IF(Mecze[[#This Row],[SC]]=0,0,Mecze[[#This Row],[SC]]/Mecze[[#This Row],[CZAS]])</f>
        <v>0</v>
      </c>
      <c r="Q3806" s="32">
        <f>IF(Mecze[[#This Row],[OB]]=0,0,Mecze[[#This Row],[OB]]/Mecze[[#This Row],[CZAS]])</f>
        <v>0</v>
      </c>
      <c r="R3806" s="32">
        <f>IF(Mecze[[#This Row],[BR]]=0,0,Mecze[[#This Row],[BR]]/Mecze[[#This Row],[CZAS]])</f>
        <v>0</v>
      </c>
      <c r="S3806" s="44">
        <f>IF(Mecze[[#This Row],[Role]]="BR",SUMPRODUCT(Mecze[[#This Row],[/PR:90]:[/BR:90]],Brudnopis!$E$23:$J$23),0)</f>
        <v>0</v>
      </c>
      <c r="T3806" s="44">
        <f>IF(Mecze[[#This Row],[Role]]&lt;&gt;"BR",SUMPRODUCT(Mecze[[#This Row],[/PR:90]:[/BR:90]],Brudnopis!$E$24:$J$24),0)</f>
        <v>0.23469387755102039</v>
      </c>
      <c r="U3806" s="44">
        <f>IF(Mecze[[#This Row],[Role]]&lt;&gt;"BR",SUMPRODUCT(Mecze[[#This Row],[/PR:90]:[/BR:90]],Brudnopis!$E$25:$J$25),0)</f>
        <v>0.24489795918367346</v>
      </c>
      <c r="V3806" s="44">
        <f>IF(Mecze[[#This Row],[Role]]&lt;&gt;"BR",SUMPRODUCT(Mecze[[#This Row],[/PR:90]:[/BR:90]],Brudnopis!$E$26:$J$26),0)</f>
        <v>0.22448979591836732</v>
      </c>
      <c r="W3806" s="44">
        <f>IF(Mecze[[#This Row],[Role]]&lt;&gt;"BR",SUMPRODUCT(Mecze[[#This Row],[/PR:90]:[/BR:90]],Brudnopis!$E$27:$J$27),0)</f>
        <v>0.19897959183673469</v>
      </c>
      <c r="X3806" s="44">
        <f>IF(Mecze[[#This Row],[Role]]&lt;&gt;"BR",SUMPRODUCT(Mecze[[#This Row],[/PR:90]:[/BR:90]],Brudnopis!$E$28:$J$28),0)</f>
        <v>4.0816326530612242E-2</v>
      </c>
      <c r="Y3806" s="35">
        <f>IF(Mecze[[#This Row],[Role]]="BR",Mecze[[#This Row],[/OB:90]]+Mecze[[#This Row],[/PC:90]],SUM(Mecze[[#This Row],[/PR:90]:[/BR:90]]))</f>
        <v>0.22448979591836732</v>
      </c>
      <c r="Z3806" s="35">
        <f>IF(Mecze[[#This Row],[KC]]=0,SUM(Mecze[[#This Row],[/BRI]:[/NPI]]),SUM(Mecze[[#This Row],[/BRI]:[/NPI]])*0.6)</f>
        <v>0.94387755102040827</v>
      </c>
      <c r="AA3806" s="10">
        <f>IFERROR(Mecze[[#This Row],[BR]]/Mecze[[#This Row],[ST]],0)</f>
        <v>0</v>
      </c>
      <c r="AB3806">
        <f>ROUND(Mecze[[#This Row],[PD]]*Mecze[[#This Row],[%PC]],0)</f>
        <v>4</v>
      </c>
      <c r="AC3806">
        <f>ROUND(Mecze[[#This Row],[OD]]*Mecze[[#This Row],[%OU]],0)</f>
        <v>2</v>
      </c>
      <c r="AD3806" s="36" t="s">
        <v>47</v>
      </c>
      <c r="AE3806" s="36">
        <v>221</v>
      </c>
      <c r="AF3806" s="71">
        <v>4.95</v>
      </c>
      <c r="AG3806" s="37">
        <v>0</v>
      </c>
      <c r="AH3806" s="37">
        <v>0</v>
      </c>
      <c r="AI3806" s="37">
        <v>98</v>
      </c>
      <c r="AJ3806" s="37">
        <v>1</v>
      </c>
      <c r="AK3806" s="37" t="str">
        <f>VLOOKUP(Mecze[[#This Row],[Match ID]],Meczusie[Mecz]:Meczusie[RodzajMeczu],2,FALSE)</f>
        <v>Towarzyski</v>
      </c>
    </row>
    <row r="3807" spans="1:37" x14ac:dyDescent="0.25">
      <c r="A3807" s="76">
        <v>3</v>
      </c>
      <c r="B3807" s="3" t="s">
        <v>158</v>
      </c>
      <c r="C3807" s="2" t="s">
        <v>157</v>
      </c>
      <c r="D3807" s="1">
        <v>0</v>
      </c>
      <c r="E3807" s="1">
        <v>0</v>
      </c>
      <c r="F3807" s="1">
        <v>0</v>
      </c>
      <c r="G3807" s="1">
        <v>5</v>
      </c>
      <c r="H3807" s="4">
        <v>0.6</v>
      </c>
      <c r="I3807" s="1">
        <v>6</v>
      </c>
      <c r="J3807" s="4">
        <v>0.5</v>
      </c>
      <c r="K3807" s="1">
        <v>0</v>
      </c>
      <c r="L3807" s="1">
        <v>4</v>
      </c>
      <c r="M3807" s="32">
        <f>IF(Mecze[[#This Row],[PR]]=0,0,Mecze[[#This Row],[PR]]/Mecze[[#This Row],[CZAS]])</f>
        <v>4.0816326530612242E-2</v>
      </c>
      <c r="N3807" s="32">
        <f>IF(Mecze[[#This Row],[OU]]=0,0,Mecze[[#This Row],[OU]]/Mecze[[#This Row],[CZAS]])</f>
        <v>3.0612244897959183E-2</v>
      </c>
      <c r="O3807" s="32">
        <f>IF(Mecze[[#This Row],[PC]]=0,0,Mecze[[#This Row],[PC]]/Mecze[[#This Row],[CZAS]])</f>
        <v>3.0612244897959183E-2</v>
      </c>
      <c r="P3807" s="32">
        <f>IF(Mecze[[#This Row],[SC]]=0,0,Mecze[[#This Row],[SC]]/Mecze[[#This Row],[CZAS]])</f>
        <v>0</v>
      </c>
      <c r="Q3807" s="32">
        <f>IF(Mecze[[#This Row],[OB]]=0,0,Mecze[[#This Row],[OB]]/Mecze[[#This Row],[CZAS]])</f>
        <v>0</v>
      </c>
      <c r="R3807" s="32">
        <f>IF(Mecze[[#This Row],[BR]]=0,0,Mecze[[#This Row],[BR]]/Mecze[[#This Row],[CZAS]])</f>
        <v>0</v>
      </c>
      <c r="S3807" s="44">
        <f>IF(Mecze[[#This Row],[Role]]="BR",SUMPRODUCT(Mecze[[#This Row],[/PR:90]:[/BR:90]],Brudnopis!$E$23:$J$23),0)</f>
        <v>0</v>
      </c>
      <c r="T3807" s="44">
        <f>IF(Mecze[[#This Row],[Role]]&lt;&gt;"BR",SUMPRODUCT(Mecze[[#This Row],[/PR:90]:[/BR:90]],Brudnopis!$E$24:$J$24),0)</f>
        <v>0.1173469387755102</v>
      </c>
      <c r="U3807" s="44">
        <f>IF(Mecze[[#This Row],[Role]]&lt;&gt;"BR",SUMPRODUCT(Mecze[[#This Row],[/PR:90]:[/BR:90]],Brudnopis!$E$25:$J$25),0)</f>
        <v>0.1173469387755102</v>
      </c>
      <c r="V3807" s="44">
        <f>IF(Mecze[[#This Row],[Role]]&lt;&gt;"BR",SUMPRODUCT(Mecze[[#This Row],[/PR:90]:[/BR:90]],Brudnopis!$E$26:$J$26),0)</f>
        <v>0.10204081632653061</v>
      </c>
      <c r="W3807" s="44">
        <f>IF(Mecze[[#This Row],[Role]]&lt;&gt;"BR",SUMPRODUCT(Mecze[[#This Row],[/PR:90]:[/BR:90]],Brudnopis!$E$27:$J$27),0)</f>
        <v>9.9489795918367346E-2</v>
      </c>
      <c r="X3807" s="44">
        <f>IF(Mecze[[#This Row],[Role]]&lt;&gt;"BR",SUMPRODUCT(Mecze[[#This Row],[/PR:90]:[/BR:90]],Brudnopis!$E$28:$J$28),0)</f>
        <v>3.0612244897959183E-2</v>
      </c>
      <c r="Y3807" s="35">
        <f>IF(Mecze[[#This Row],[Role]]="BR",Mecze[[#This Row],[/OB:90]]+Mecze[[#This Row],[/PC:90]],SUM(Mecze[[#This Row],[/PR:90]:[/BR:90]]))</f>
        <v>0.10204081632653061</v>
      </c>
      <c r="Z3807" s="35">
        <f>IF(Mecze[[#This Row],[KC]]=0,SUM(Mecze[[#This Row],[/BRI]:[/NPI]]),SUM(Mecze[[#This Row],[/BRI]:[/NPI]])*0.6)</f>
        <v>0.46683673469387749</v>
      </c>
      <c r="AA3807" s="10">
        <f>IFERROR(Mecze[[#This Row],[BR]]/Mecze[[#This Row],[ST]],0)</f>
        <v>0</v>
      </c>
      <c r="AB3807">
        <f>ROUND(Mecze[[#This Row],[PD]]*Mecze[[#This Row],[%PC]],0)</f>
        <v>3</v>
      </c>
      <c r="AC3807">
        <f>ROUND(Mecze[[#This Row],[OD]]*Mecze[[#This Row],[%OU]],0)</f>
        <v>3</v>
      </c>
      <c r="AD3807" s="36" t="s">
        <v>168</v>
      </c>
      <c r="AE3807" s="36">
        <v>221</v>
      </c>
      <c r="AF3807" s="71">
        <v>3.55</v>
      </c>
      <c r="AG3807" s="37">
        <v>0</v>
      </c>
      <c r="AH3807" s="37">
        <v>0</v>
      </c>
      <c r="AI3807" s="37">
        <v>98</v>
      </c>
      <c r="AJ3807" s="37">
        <v>1</v>
      </c>
      <c r="AK3807" s="37" t="str">
        <f>VLOOKUP(Mecze[[#This Row],[Match ID]],Meczusie[Mecz]:Meczusie[RodzajMeczu],2,FALSE)</f>
        <v>Towarzyski</v>
      </c>
    </row>
    <row r="3808" spans="1:37" x14ac:dyDescent="0.25">
      <c r="A3808" s="76">
        <v>4</v>
      </c>
      <c r="B3808" s="3" t="s">
        <v>360</v>
      </c>
      <c r="C3808" s="2" t="s">
        <v>157</v>
      </c>
      <c r="D3808" s="1">
        <v>0</v>
      </c>
      <c r="E3808" s="1">
        <v>0</v>
      </c>
      <c r="F3808" s="1">
        <v>0</v>
      </c>
      <c r="G3808" s="1">
        <v>7</v>
      </c>
      <c r="H3808" s="4">
        <v>1</v>
      </c>
      <c r="I3808" s="1">
        <v>6</v>
      </c>
      <c r="J3808" s="4">
        <v>0.17</v>
      </c>
      <c r="K3808" s="1">
        <v>0</v>
      </c>
      <c r="L3808" s="1">
        <v>9</v>
      </c>
      <c r="M3808" s="32">
        <f>IF(Mecze[[#This Row],[PR]]=0,0,Mecze[[#This Row],[PR]]/Mecze[[#This Row],[CZAS]])</f>
        <v>9.1836734693877556E-2</v>
      </c>
      <c r="N3808" s="32">
        <f>IF(Mecze[[#This Row],[OU]]=0,0,Mecze[[#This Row],[OU]]/Mecze[[#This Row],[CZAS]])</f>
        <v>1.020408163265306E-2</v>
      </c>
      <c r="O3808" s="32">
        <f>IF(Mecze[[#This Row],[PC]]=0,0,Mecze[[#This Row],[PC]]/Mecze[[#This Row],[CZAS]])</f>
        <v>7.1428571428571425E-2</v>
      </c>
      <c r="P3808" s="32">
        <f>IF(Mecze[[#This Row],[SC]]=0,0,Mecze[[#This Row],[SC]]/Mecze[[#This Row],[CZAS]])</f>
        <v>0</v>
      </c>
      <c r="Q3808" s="32">
        <f>IF(Mecze[[#This Row],[OB]]=0,0,Mecze[[#This Row],[OB]]/Mecze[[#This Row],[CZAS]])</f>
        <v>0</v>
      </c>
      <c r="R3808" s="32">
        <f>IF(Mecze[[#This Row],[BR]]=0,0,Mecze[[#This Row],[BR]]/Mecze[[#This Row],[CZAS]])</f>
        <v>0</v>
      </c>
      <c r="S3808" s="44">
        <f>IF(Mecze[[#This Row],[Role]]="BR",SUMPRODUCT(Mecze[[#This Row],[/PR:90]:[/BR:90]],Brudnopis!$E$23:$J$23),0)</f>
        <v>0</v>
      </c>
      <c r="T3808" s="44">
        <f>IF(Mecze[[#This Row],[Role]]&lt;&gt;"BR",SUMPRODUCT(Mecze[[#This Row],[/PR:90]:[/BR:90]],Brudnopis!$E$24:$J$24),0)</f>
        <v>0.17857142857142858</v>
      </c>
      <c r="U3808" s="44">
        <f>IF(Mecze[[#This Row],[Role]]&lt;&gt;"BR",SUMPRODUCT(Mecze[[#This Row],[/PR:90]:[/BR:90]],Brudnopis!$E$25:$J$25),0)</f>
        <v>0.20918367346938777</v>
      </c>
      <c r="V3808" s="44">
        <f>IF(Mecze[[#This Row],[Role]]&lt;&gt;"BR",SUMPRODUCT(Mecze[[#This Row],[/PR:90]:[/BR:90]],Brudnopis!$E$26:$J$26),0)</f>
        <v>0.17346938775510204</v>
      </c>
      <c r="W3808" s="44">
        <f>IF(Mecze[[#This Row],[Role]]&lt;&gt;"BR",SUMPRODUCT(Mecze[[#This Row],[/PR:90]:[/BR:90]],Brudnopis!$E$27:$J$27),0)</f>
        <v>0.18367346938775508</v>
      </c>
      <c r="X3808" s="44">
        <f>IF(Mecze[[#This Row],[Role]]&lt;&gt;"BR",SUMPRODUCT(Mecze[[#This Row],[/PR:90]:[/BR:90]],Brudnopis!$E$28:$J$28),0)</f>
        <v>7.1428571428571425E-2</v>
      </c>
      <c r="Y3808" s="35">
        <f>IF(Mecze[[#This Row],[Role]]="BR",Mecze[[#This Row],[/OB:90]]+Mecze[[#This Row],[/PC:90]],SUM(Mecze[[#This Row],[/PR:90]:[/BR:90]]))</f>
        <v>0.17346938775510204</v>
      </c>
      <c r="Z3808" s="35">
        <f>IF(Mecze[[#This Row],[KC]]=0,SUM(Mecze[[#This Row],[/BRI]:[/NPI]]),SUM(Mecze[[#This Row],[/BRI]:[/NPI]])*0.6)</f>
        <v>0.81632653061224481</v>
      </c>
      <c r="AA3808" s="10">
        <f>IFERROR(Mecze[[#This Row],[BR]]/Mecze[[#This Row],[ST]],0)</f>
        <v>0</v>
      </c>
      <c r="AB3808">
        <f>ROUND(Mecze[[#This Row],[PD]]*Mecze[[#This Row],[%PC]],0)</f>
        <v>7</v>
      </c>
      <c r="AC3808">
        <f>ROUND(Mecze[[#This Row],[OD]]*Mecze[[#This Row],[%OU]],0)</f>
        <v>1</v>
      </c>
      <c r="AD3808" s="36" t="s">
        <v>167</v>
      </c>
      <c r="AE3808" s="36">
        <v>221</v>
      </c>
      <c r="AF3808" s="71">
        <v>3.48</v>
      </c>
      <c r="AG3808" s="37">
        <v>0</v>
      </c>
      <c r="AH3808" s="37">
        <v>0</v>
      </c>
      <c r="AI3808" s="37">
        <v>98</v>
      </c>
      <c r="AJ3808" s="37">
        <v>1</v>
      </c>
      <c r="AK3808" s="37" t="str">
        <f>VLOOKUP(Mecze[[#This Row],[Match ID]],Meczusie[Mecz]:Meczusie[RodzajMeczu],2,FALSE)</f>
        <v>Towarzyski</v>
      </c>
    </row>
    <row r="3809" spans="1:37" x14ac:dyDescent="0.25">
      <c r="A3809" s="76">
        <v>5</v>
      </c>
      <c r="B3809" s="3" t="s">
        <v>161</v>
      </c>
      <c r="C3809" s="2" t="s">
        <v>160</v>
      </c>
      <c r="D3809" s="1">
        <v>0</v>
      </c>
      <c r="E3809" s="1">
        <v>0</v>
      </c>
      <c r="F3809" s="1">
        <v>0</v>
      </c>
      <c r="G3809" s="1">
        <v>10</v>
      </c>
      <c r="H3809" s="4">
        <v>0.8</v>
      </c>
      <c r="I3809" s="1">
        <v>4</v>
      </c>
      <c r="J3809" s="4">
        <v>0.75</v>
      </c>
      <c r="K3809" s="1">
        <v>0</v>
      </c>
      <c r="L3809" s="1">
        <v>4</v>
      </c>
      <c r="M3809" s="32">
        <f>IF(Mecze[[#This Row],[PR]]=0,0,Mecze[[#This Row],[PR]]/Mecze[[#This Row],[CZAS]])</f>
        <v>4.0816326530612242E-2</v>
      </c>
      <c r="N3809" s="32">
        <f>IF(Mecze[[#This Row],[OU]]=0,0,Mecze[[#This Row],[OU]]/Mecze[[#This Row],[CZAS]])</f>
        <v>3.0612244897959183E-2</v>
      </c>
      <c r="O3809" s="32">
        <f>IF(Mecze[[#This Row],[PC]]=0,0,Mecze[[#This Row],[PC]]/Mecze[[#This Row],[CZAS]])</f>
        <v>8.1632653061224483E-2</v>
      </c>
      <c r="P3809" s="32">
        <f>IF(Mecze[[#This Row],[SC]]=0,0,Mecze[[#This Row],[SC]]/Mecze[[#This Row],[CZAS]])</f>
        <v>0</v>
      </c>
      <c r="Q3809" s="32">
        <f>IF(Mecze[[#This Row],[OB]]=0,0,Mecze[[#This Row],[OB]]/Mecze[[#This Row],[CZAS]])</f>
        <v>0</v>
      </c>
      <c r="R3809" s="32">
        <f>IF(Mecze[[#This Row],[BR]]=0,0,Mecze[[#This Row],[BR]]/Mecze[[#This Row],[CZAS]])</f>
        <v>0</v>
      </c>
      <c r="S3809" s="44">
        <f>IF(Mecze[[#This Row],[Role]]="BR",SUMPRODUCT(Mecze[[#This Row],[/PR:90]:[/BR:90]],Brudnopis!$E$23:$J$23),0)</f>
        <v>0</v>
      </c>
      <c r="T3809" s="44">
        <f>IF(Mecze[[#This Row],[Role]]&lt;&gt;"BR",SUMPRODUCT(Mecze[[#This Row],[/PR:90]:[/BR:90]],Brudnopis!$E$24:$J$24),0)</f>
        <v>0.16836734693877548</v>
      </c>
      <c r="U3809" s="44">
        <f>IF(Mecze[[#This Row],[Role]]&lt;&gt;"BR",SUMPRODUCT(Mecze[[#This Row],[/PR:90]:[/BR:90]],Brudnopis!$E$25:$J$25),0)</f>
        <v>0.19387755102040816</v>
      </c>
      <c r="V3809" s="44">
        <f>IF(Mecze[[#This Row],[Role]]&lt;&gt;"BR",SUMPRODUCT(Mecze[[#This Row],[/PR:90]:[/BR:90]],Brudnopis!$E$26:$J$26),0)</f>
        <v>0.15306122448979592</v>
      </c>
      <c r="W3809" s="44">
        <f>IF(Mecze[[#This Row],[Role]]&lt;&gt;"BR",SUMPRODUCT(Mecze[[#This Row],[/PR:90]:[/BR:90]],Brudnopis!$E$27:$J$27),0)</f>
        <v>0.17602040816326531</v>
      </c>
      <c r="X3809" s="44">
        <f>IF(Mecze[[#This Row],[Role]]&lt;&gt;"BR",SUMPRODUCT(Mecze[[#This Row],[/PR:90]:[/BR:90]],Brudnopis!$E$28:$J$28),0)</f>
        <v>8.1632653061224483E-2</v>
      </c>
      <c r="Y3809" s="35">
        <f>IF(Mecze[[#This Row],[Role]]="BR",Mecze[[#This Row],[/OB:90]]+Mecze[[#This Row],[/PC:90]],SUM(Mecze[[#This Row],[/PR:90]:[/BR:90]]))</f>
        <v>0.15306122448979592</v>
      </c>
      <c r="Z3809" s="35">
        <f>IF(Mecze[[#This Row],[KC]]=0,SUM(Mecze[[#This Row],[/BRI]:[/NPI]]),SUM(Mecze[[#This Row],[/BRI]:[/NPI]])*0.6)</f>
        <v>0.77295918367346939</v>
      </c>
      <c r="AA3809" s="10">
        <f>IFERROR(Mecze[[#This Row],[BR]]/Mecze[[#This Row],[ST]],0)</f>
        <v>0</v>
      </c>
      <c r="AB3809">
        <f>ROUND(Mecze[[#This Row],[PD]]*Mecze[[#This Row],[%PC]],0)</f>
        <v>8</v>
      </c>
      <c r="AC3809">
        <f>ROUND(Mecze[[#This Row],[OD]]*Mecze[[#This Row],[%OU]],0)</f>
        <v>3</v>
      </c>
      <c r="AD3809" s="36" t="s">
        <v>41</v>
      </c>
      <c r="AE3809" s="36">
        <v>221</v>
      </c>
      <c r="AF3809" s="71">
        <v>5.66</v>
      </c>
      <c r="AG3809" s="37">
        <v>0</v>
      </c>
      <c r="AH3809" s="37">
        <v>0</v>
      </c>
      <c r="AI3809" s="37">
        <v>98</v>
      </c>
      <c r="AJ3809" s="37">
        <v>1</v>
      </c>
      <c r="AK3809" s="37" t="str">
        <f>VLOOKUP(Mecze[[#This Row],[Match ID]],Meczusie[Mecz]:Meczusie[RodzajMeczu],2,FALSE)</f>
        <v>Towarzyski</v>
      </c>
    </row>
    <row r="3810" spans="1:37" x14ac:dyDescent="0.25">
      <c r="A3810" s="76">
        <v>60</v>
      </c>
      <c r="B3810" s="3" t="s">
        <v>515</v>
      </c>
      <c r="C3810" s="2" t="s">
        <v>160</v>
      </c>
      <c r="D3810" s="1">
        <v>0</v>
      </c>
      <c r="E3810" s="1">
        <v>0</v>
      </c>
      <c r="F3810" s="1">
        <v>0</v>
      </c>
      <c r="G3810" s="1">
        <v>13</v>
      </c>
      <c r="H3810" s="4">
        <v>0.54</v>
      </c>
      <c r="I3810" s="1">
        <v>6</v>
      </c>
      <c r="J3810" s="4">
        <v>0.5</v>
      </c>
      <c r="K3810" s="1">
        <v>0</v>
      </c>
      <c r="L3810" s="1">
        <v>8</v>
      </c>
      <c r="M3810" s="32">
        <f>IF(Mecze[[#This Row],[PR]]=0,0,Mecze[[#This Row],[PR]]/Mecze[[#This Row],[CZAS]])</f>
        <v>8.1632653061224483E-2</v>
      </c>
      <c r="N3810" s="32">
        <f>IF(Mecze[[#This Row],[OU]]=0,0,Mecze[[#This Row],[OU]]/Mecze[[#This Row],[CZAS]])</f>
        <v>3.0612244897959183E-2</v>
      </c>
      <c r="O3810" s="32">
        <f>IF(Mecze[[#This Row],[PC]]=0,0,Mecze[[#This Row],[PC]]/Mecze[[#This Row],[CZAS]])</f>
        <v>7.1428571428571425E-2</v>
      </c>
      <c r="P3810" s="32">
        <f>IF(Mecze[[#This Row],[SC]]=0,0,Mecze[[#This Row],[SC]]/Mecze[[#This Row],[CZAS]])</f>
        <v>0</v>
      </c>
      <c r="Q3810" s="32">
        <f>IF(Mecze[[#This Row],[OB]]=0,0,Mecze[[#This Row],[OB]]/Mecze[[#This Row],[CZAS]])</f>
        <v>0</v>
      </c>
      <c r="R3810" s="32">
        <f>IF(Mecze[[#This Row],[BR]]=0,0,Mecze[[#This Row],[BR]]/Mecze[[#This Row],[CZAS]])</f>
        <v>0</v>
      </c>
      <c r="S3810" s="44">
        <f>IF(Mecze[[#This Row],[Role]]="BR",SUMPRODUCT(Mecze[[#This Row],[/PR:90]:[/BR:90]],Brudnopis!$E$23:$J$23),0)</f>
        <v>0</v>
      </c>
      <c r="T3810" s="44">
        <f>IF(Mecze[[#This Row],[Role]]&lt;&gt;"BR",SUMPRODUCT(Mecze[[#This Row],[/PR:90]:[/BR:90]],Brudnopis!$E$24:$J$24),0)</f>
        <v>0.19897959183673466</v>
      </c>
      <c r="U3810" s="44">
        <f>IF(Mecze[[#This Row],[Role]]&lt;&gt;"BR",SUMPRODUCT(Mecze[[#This Row],[/PR:90]:[/BR:90]],Brudnopis!$E$25:$J$25),0)</f>
        <v>0.21938775510204078</v>
      </c>
      <c r="V3810" s="44">
        <f>IF(Mecze[[#This Row],[Role]]&lt;&gt;"BR",SUMPRODUCT(Mecze[[#This Row],[/PR:90]:[/BR:90]],Brudnopis!$E$26:$J$26),0)</f>
        <v>0.18367346938775508</v>
      </c>
      <c r="W3810" s="44">
        <f>IF(Mecze[[#This Row],[Role]]&lt;&gt;"BR",SUMPRODUCT(Mecze[[#This Row],[/PR:90]:[/BR:90]],Brudnopis!$E$27:$J$27),0)</f>
        <v>0.19132653061224489</v>
      </c>
      <c r="X3810" s="44">
        <f>IF(Mecze[[#This Row],[Role]]&lt;&gt;"BR",SUMPRODUCT(Mecze[[#This Row],[/PR:90]:[/BR:90]],Brudnopis!$E$28:$J$28),0)</f>
        <v>7.1428571428571425E-2</v>
      </c>
      <c r="Y3810" s="35">
        <f>IF(Mecze[[#This Row],[Role]]="BR",Mecze[[#This Row],[/OB:90]]+Mecze[[#This Row],[/PC:90]],SUM(Mecze[[#This Row],[/PR:90]:[/BR:90]]))</f>
        <v>0.18367346938775508</v>
      </c>
      <c r="Z3810" s="35">
        <f>IF(Mecze[[#This Row],[KC]]=0,SUM(Mecze[[#This Row],[/BRI]:[/NPI]]),SUM(Mecze[[#This Row],[/BRI]:[/NPI]])*0.6)</f>
        <v>0.86479591836734682</v>
      </c>
      <c r="AA3810" s="10">
        <f>IFERROR(Mecze[[#This Row],[BR]]/Mecze[[#This Row],[ST]],0)</f>
        <v>0</v>
      </c>
      <c r="AB3810">
        <f>ROUND(Mecze[[#This Row],[PD]]*Mecze[[#This Row],[%PC]],0)</f>
        <v>7</v>
      </c>
      <c r="AC3810">
        <f>ROUND(Mecze[[#This Row],[OD]]*Mecze[[#This Row],[%OU]],0)</f>
        <v>3</v>
      </c>
      <c r="AD3810" s="36" t="s">
        <v>41</v>
      </c>
      <c r="AE3810" s="36">
        <v>221</v>
      </c>
      <c r="AF3810" s="71">
        <v>5.59</v>
      </c>
      <c r="AG3810" s="37">
        <v>0</v>
      </c>
      <c r="AH3810" s="37">
        <v>0</v>
      </c>
      <c r="AI3810" s="37">
        <v>98</v>
      </c>
      <c r="AJ3810" s="37">
        <v>1</v>
      </c>
      <c r="AK3810" s="37" t="str">
        <f>VLOOKUP(Mecze[[#This Row],[Match ID]],Meczusie[Mecz]:Meczusie[RodzajMeczu],2,FALSE)</f>
        <v>Towarzyski</v>
      </c>
    </row>
    <row r="3811" spans="1:37" x14ac:dyDescent="0.25">
      <c r="A3811" s="76">
        <v>15</v>
      </c>
      <c r="B3811" s="3" t="s">
        <v>170</v>
      </c>
      <c r="C3811" s="2" t="s">
        <v>160</v>
      </c>
      <c r="D3811" s="1">
        <v>0</v>
      </c>
      <c r="E3811" s="1">
        <v>0</v>
      </c>
      <c r="F3811" s="1">
        <v>0</v>
      </c>
      <c r="G3811" s="1">
        <v>16</v>
      </c>
      <c r="H3811" s="4">
        <v>0.75</v>
      </c>
      <c r="I3811" s="1">
        <v>4</v>
      </c>
      <c r="J3811" s="4">
        <v>0.25</v>
      </c>
      <c r="K3811" s="1">
        <v>0</v>
      </c>
      <c r="L3811" s="1">
        <v>5</v>
      </c>
      <c r="M3811" s="32">
        <f>IF(Mecze[[#This Row],[PR]]=0,0,Mecze[[#This Row],[PR]]/Mecze[[#This Row],[CZAS]])</f>
        <v>5.1020408163265307E-2</v>
      </c>
      <c r="N3811" s="32">
        <f>IF(Mecze[[#This Row],[OU]]=0,0,Mecze[[#This Row],[OU]]/Mecze[[#This Row],[CZAS]])</f>
        <v>1.020408163265306E-2</v>
      </c>
      <c r="O3811" s="32">
        <f>IF(Mecze[[#This Row],[PC]]=0,0,Mecze[[#This Row],[PC]]/Mecze[[#This Row],[CZAS]])</f>
        <v>0.12244897959183673</v>
      </c>
      <c r="P3811" s="32">
        <f>IF(Mecze[[#This Row],[SC]]=0,0,Mecze[[#This Row],[SC]]/Mecze[[#This Row],[CZAS]])</f>
        <v>0</v>
      </c>
      <c r="Q3811" s="32">
        <f>IF(Mecze[[#This Row],[OB]]=0,0,Mecze[[#This Row],[OB]]/Mecze[[#This Row],[CZAS]])</f>
        <v>0</v>
      </c>
      <c r="R3811" s="32">
        <f>IF(Mecze[[#This Row],[BR]]=0,0,Mecze[[#This Row],[BR]]/Mecze[[#This Row],[CZAS]])</f>
        <v>0</v>
      </c>
      <c r="S3811" s="44">
        <f>IF(Mecze[[#This Row],[Role]]="BR",SUMPRODUCT(Mecze[[#This Row],[/PR:90]:[/BR:90]],Brudnopis!$E$23:$J$23),0)</f>
        <v>0</v>
      </c>
      <c r="T3811" s="44">
        <f>IF(Mecze[[#This Row],[Role]]&lt;&gt;"BR",SUMPRODUCT(Mecze[[#This Row],[/PR:90]:[/BR:90]],Brudnopis!$E$24:$J$24),0)</f>
        <v>0.18877551020408162</v>
      </c>
      <c r="U3811" s="44">
        <f>IF(Mecze[[#This Row],[Role]]&lt;&gt;"BR",SUMPRODUCT(Mecze[[#This Row],[/PR:90]:[/BR:90]],Brudnopis!$E$25:$J$25),0)</f>
        <v>0.24489795918367346</v>
      </c>
      <c r="V3811" s="44">
        <f>IF(Mecze[[#This Row],[Role]]&lt;&gt;"BR",SUMPRODUCT(Mecze[[#This Row],[/PR:90]:[/BR:90]],Brudnopis!$E$26:$J$26),0)</f>
        <v>0.18367346938775508</v>
      </c>
      <c r="W3811" s="44">
        <f>IF(Mecze[[#This Row],[Role]]&lt;&gt;"BR",SUMPRODUCT(Mecze[[#This Row],[/PR:90]:[/BR:90]],Brudnopis!$E$27:$J$27),0)</f>
        <v>0.22959183673469385</v>
      </c>
      <c r="X3811" s="44">
        <f>IF(Mecze[[#This Row],[Role]]&lt;&gt;"BR",SUMPRODUCT(Mecze[[#This Row],[/PR:90]:[/BR:90]],Brudnopis!$E$28:$J$28),0)</f>
        <v>0.12244897959183673</v>
      </c>
      <c r="Y3811" s="35">
        <f>IF(Mecze[[#This Row],[Role]]="BR",Mecze[[#This Row],[/OB:90]]+Mecze[[#This Row],[/PC:90]],SUM(Mecze[[#This Row],[/PR:90]:[/BR:90]]))</f>
        <v>0.18367346938775508</v>
      </c>
      <c r="Z3811" s="35">
        <f>IF(Mecze[[#This Row],[KC]]=0,SUM(Mecze[[#This Row],[/BRI]:[/NPI]]),SUM(Mecze[[#This Row],[/BRI]:[/NPI]])*0.6)</f>
        <v>0.96938775510204078</v>
      </c>
      <c r="AA3811" s="10">
        <f>IFERROR(Mecze[[#This Row],[BR]]/Mecze[[#This Row],[ST]],0)</f>
        <v>0</v>
      </c>
      <c r="AB3811">
        <f>ROUND(Mecze[[#This Row],[PD]]*Mecze[[#This Row],[%PC]],0)</f>
        <v>12</v>
      </c>
      <c r="AC3811">
        <f>ROUND(Mecze[[#This Row],[OD]]*Mecze[[#This Row],[%OU]],0)</f>
        <v>1</v>
      </c>
      <c r="AD3811" s="36" t="s">
        <v>67</v>
      </c>
      <c r="AE3811" s="36">
        <v>221</v>
      </c>
      <c r="AF3811" s="71">
        <v>4.96</v>
      </c>
      <c r="AG3811" s="37">
        <v>0</v>
      </c>
      <c r="AH3811" s="37">
        <v>0</v>
      </c>
      <c r="AI3811" s="37">
        <v>98</v>
      </c>
      <c r="AJ3811" s="37">
        <v>1</v>
      </c>
      <c r="AK3811" s="37" t="str">
        <f>VLOOKUP(Mecze[[#This Row],[Match ID]],Meczusie[Mecz]:Meczusie[RodzajMeczu],2,FALSE)</f>
        <v>Towarzyski</v>
      </c>
    </row>
    <row r="3812" spans="1:37" x14ac:dyDescent="0.25">
      <c r="A3812" s="76">
        <v>13</v>
      </c>
      <c r="B3812" s="3" t="s">
        <v>162</v>
      </c>
      <c r="C3812" s="2" t="s">
        <v>160</v>
      </c>
      <c r="D3812" s="1">
        <v>0</v>
      </c>
      <c r="E3812" s="1">
        <v>0</v>
      </c>
      <c r="F3812" s="1">
        <v>0</v>
      </c>
      <c r="G3812" s="1">
        <v>7</v>
      </c>
      <c r="H3812" s="4">
        <v>0.71</v>
      </c>
      <c r="I3812" s="1">
        <v>1</v>
      </c>
      <c r="J3812" s="4">
        <v>0</v>
      </c>
      <c r="K3812" s="1">
        <v>0</v>
      </c>
      <c r="L3812" s="1">
        <v>2</v>
      </c>
      <c r="M3812" s="32">
        <f>IF(Mecze[[#This Row],[PR]]=0,0,Mecze[[#This Row],[PR]]/Mecze[[#This Row],[CZAS]])</f>
        <v>2.0408163265306121E-2</v>
      </c>
      <c r="N3812" s="32">
        <f>IF(Mecze[[#This Row],[OU]]=0,0,Mecze[[#This Row],[OU]]/Mecze[[#This Row],[CZAS]])</f>
        <v>0</v>
      </c>
      <c r="O3812" s="32">
        <f>IF(Mecze[[#This Row],[PC]]=0,0,Mecze[[#This Row],[PC]]/Mecze[[#This Row],[CZAS]])</f>
        <v>5.1020408163265307E-2</v>
      </c>
      <c r="P3812" s="32">
        <f>IF(Mecze[[#This Row],[SC]]=0,0,Mecze[[#This Row],[SC]]/Mecze[[#This Row],[CZAS]])</f>
        <v>0</v>
      </c>
      <c r="Q3812" s="32">
        <f>IF(Mecze[[#This Row],[OB]]=0,0,Mecze[[#This Row],[OB]]/Mecze[[#This Row],[CZAS]])</f>
        <v>0</v>
      </c>
      <c r="R3812" s="32">
        <f>IF(Mecze[[#This Row],[BR]]=0,0,Mecze[[#This Row],[BR]]/Mecze[[#This Row],[CZAS]])</f>
        <v>0</v>
      </c>
      <c r="S3812" s="44">
        <f>IF(Mecze[[#This Row],[Role]]="BR",SUMPRODUCT(Mecze[[#This Row],[/PR:90]:[/BR:90]],Brudnopis!$E$23:$J$23),0)</f>
        <v>0</v>
      </c>
      <c r="T3812" s="44">
        <f>IF(Mecze[[#This Row],[Role]]&lt;&gt;"BR",SUMPRODUCT(Mecze[[#This Row],[/PR:90]:[/BR:90]],Brudnopis!$E$24:$J$24),0)</f>
        <v>7.1428571428571425E-2</v>
      </c>
      <c r="U3812" s="44">
        <f>IF(Mecze[[#This Row],[Role]]&lt;&gt;"BR",SUMPRODUCT(Mecze[[#This Row],[/PR:90]:[/BR:90]],Brudnopis!$E$25:$J$25),0)</f>
        <v>9.6938775510204078E-2</v>
      </c>
      <c r="V3812" s="44">
        <f>IF(Mecze[[#This Row],[Role]]&lt;&gt;"BR",SUMPRODUCT(Mecze[[#This Row],[/PR:90]:[/BR:90]],Brudnopis!$E$26:$J$26),0)</f>
        <v>7.1428571428571425E-2</v>
      </c>
      <c r="W3812" s="44">
        <f>IF(Mecze[[#This Row],[Role]]&lt;&gt;"BR",SUMPRODUCT(Mecze[[#This Row],[/PR:90]:[/BR:90]],Brudnopis!$E$27:$J$27),0)</f>
        <v>9.1836734693877556E-2</v>
      </c>
      <c r="X3812" s="44">
        <f>IF(Mecze[[#This Row],[Role]]&lt;&gt;"BR",SUMPRODUCT(Mecze[[#This Row],[/PR:90]:[/BR:90]],Brudnopis!$E$28:$J$28),0)</f>
        <v>5.1020408163265307E-2</v>
      </c>
      <c r="Y3812" s="35">
        <f>IF(Mecze[[#This Row],[Role]]="BR",Mecze[[#This Row],[/OB:90]]+Mecze[[#This Row],[/PC:90]],SUM(Mecze[[#This Row],[/PR:90]:[/BR:90]]))</f>
        <v>7.1428571428571425E-2</v>
      </c>
      <c r="Z3812" s="35">
        <f>IF(Mecze[[#This Row],[KC]]=0,SUM(Mecze[[#This Row],[/BRI]:[/NPI]]),SUM(Mecze[[#This Row],[/BRI]:[/NPI]])*0.6)</f>
        <v>0.38265306122448978</v>
      </c>
      <c r="AA3812" s="10">
        <f>IFERROR(Mecze[[#This Row],[BR]]/Mecze[[#This Row],[ST]],0)</f>
        <v>0</v>
      </c>
      <c r="AB3812">
        <f>ROUND(Mecze[[#This Row],[PD]]*Mecze[[#This Row],[%PC]],0)</f>
        <v>5</v>
      </c>
      <c r="AC3812">
        <f>ROUND(Mecze[[#This Row],[OD]]*Mecze[[#This Row],[%OU]],0)</f>
        <v>0</v>
      </c>
      <c r="AD3812" s="36" t="s">
        <v>319</v>
      </c>
      <c r="AE3812" s="36">
        <v>221</v>
      </c>
      <c r="AF3812" s="71">
        <v>4.33</v>
      </c>
      <c r="AG3812" s="37">
        <v>0</v>
      </c>
      <c r="AH3812" s="37">
        <v>0</v>
      </c>
      <c r="AI3812" s="37">
        <v>98</v>
      </c>
      <c r="AJ3812" s="37">
        <v>1</v>
      </c>
      <c r="AK3812" s="37" t="str">
        <f>VLOOKUP(Mecze[[#This Row],[Match ID]],Meczusie[Mecz]:Meczusie[RodzajMeczu],2,FALSE)</f>
        <v>Towarzyski</v>
      </c>
    </row>
    <row r="3813" spans="1:37" x14ac:dyDescent="0.25">
      <c r="A3813" s="76">
        <v>14</v>
      </c>
      <c r="B3813" s="3" t="s">
        <v>164</v>
      </c>
      <c r="C3813" s="2" t="s">
        <v>160</v>
      </c>
      <c r="D3813" s="1">
        <v>0</v>
      </c>
      <c r="E3813" s="1">
        <v>4</v>
      </c>
      <c r="F3813" s="1">
        <v>2</v>
      </c>
      <c r="G3813" s="1">
        <v>10</v>
      </c>
      <c r="H3813" s="4">
        <v>0.6</v>
      </c>
      <c r="I3813" s="1">
        <v>3</v>
      </c>
      <c r="J3813" s="4">
        <v>0.67</v>
      </c>
      <c r="K3813" s="1">
        <v>0</v>
      </c>
      <c r="L3813" s="1">
        <v>2</v>
      </c>
      <c r="M3813" s="32">
        <f>IF(Mecze[[#This Row],[PR]]=0,0,Mecze[[#This Row],[PR]]/Mecze[[#This Row],[CZAS]])</f>
        <v>2.0408163265306121E-2</v>
      </c>
      <c r="N3813" s="32">
        <f>IF(Mecze[[#This Row],[OU]]=0,0,Mecze[[#This Row],[OU]]/Mecze[[#This Row],[CZAS]])</f>
        <v>2.0408163265306121E-2</v>
      </c>
      <c r="O3813" s="32">
        <f>IF(Mecze[[#This Row],[PC]]=0,0,Mecze[[#This Row],[PC]]/Mecze[[#This Row],[CZAS]])</f>
        <v>6.1224489795918366E-2</v>
      </c>
      <c r="P3813" s="32">
        <f>IF(Mecze[[#This Row],[SC]]=0,0,Mecze[[#This Row],[SC]]/Mecze[[#This Row],[CZAS]])</f>
        <v>2.0408163265306121E-2</v>
      </c>
      <c r="Q3813" s="32">
        <f>IF(Mecze[[#This Row],[OB]]=0,0,Mecze[[#This Row],[OB]]/Mecze[[#This Row],[CZAS]])</f>
        <v>0</v>
      </c>
      <c r="R3813" s="32">
        <f>IF(Mecze[[#This Row],[BR]]=0,0,Mecze[[#This Row],[BR]]/Mecze[[#This Row],[CZAS]])</f>
        <v>0</v>
      </c>
      <c r="S3813" s="44">
        <f>IF(Mecze[[#This Row],[Role]]="BR",SUMPRODUCT(Mecze[[#This Row],[/PR:90]:[/BR:90]],Brudnopis!$E$23:$J$23),0)</f>
        <v>0</v>
      </c>
      <c r="T3813" s="44">
        <f>IF(Mecze[[#This Row],[Role]]&lt;&gt;"BR",SUMPRODUCT(Mecze[[#This Row],[/PR:90]:[/BR:90]],Brudnopis!$E$24:$J$24),0)</f>
        <v>0.1326530612244898</v>
      </c>
      <c r="U3813" s="44">
        <f>IF(Mecze[[#This Row],[Role]]&lt;&gt;"BR",SUMPRODUCT(Mecze[[#This Row],[/PR:90]:[/BR:90]],Brudnopis!$E$25:$J$25),0)</f>
        <v>0.15306122448979589</v>
      </c>
      <c r="V3813" s="44">
        <f>IF(Mecze[[#This Row],[Role]]&lt;&gt;"BR",SUMPRODUCT(Mecze[[#This Row],[/PR:90]:[/BR:90]],Brudnopis!$E$26:$J$26),0)</f>
        <v>0.12244897959183673</v>
      </c>
      <c r="W3813" s="44">
        <f>IF(Mecze[[#This Row],[Role]]&lt;&gt;"BR",SUMPRODUCT(Mecze[[#This Row],[/PR:90]:[/BR:90]],Brudnopis!$E$27:$J$27),0)</f>
        <v>0.14285714285714285</v>
      </c>
      <c r="X3813" s="44">
        <f>IF(Mecze[[#This Row],[Role]]&lt;&gt;"BR",SUMPRODUCT(Mecze[[#This Row],[/PR:90]:[/BR:90]],Brudnopis!$E$28:$J$28),0)</f>
        <v>0.10204081632653061</v>
      </c>
      <c r="Y3813" s="35">
        <f>IF(Mecze[[#This Row],[Role]]="BR",Mecze[[#This Row],[/OB:90]]+Mecze[[#This Row],[/PC:90]],SUM(Mecze[[#This Row],[/PR:90]:[/BR:90]]))</f>
        <v>0.12244897959183673</v>
      </c>
      <c r="Z3813" s="35">
        <f>IF(Mecze[[#This Row],[KC]]=0,SUM(Mecze[[#This Row],[/BRI]:[/NPI]]),SUM(Mecze[[#This Row],[/BRI]:[/NPI]])*0.6)</f>
        <v>0.65306122448979587</v>
      </c>
      <c r="AA3813" s="10">
        <f>IFERROR(Mecze[[#This Row],[BR]]/Mecze[[#This Row],[ST]],0)</f>
        <v>0</v>
      </c>
      <c r="AB3813">
        <f>ROUND(Mecze[[#This Row],[PD]]*Mecze[[#This Row],[%PC]],0)</f>
        <v>6</v>
      </c>
      <c r="AC3813">
        <f>ROUND(Mecze[[#This Row],[OD]]*Mecze[[#This Row],[%OU]],0)</f>
        <v>2</v>
      </c>
      <c r="AD3813" s="36" t="s">
        <v>44</v>
      </c>
      <c r="AE3813" s="36">
        <v>221</v>
      </c>
      <c r="AF3813" s="71">
        <v>4.79</v>
      </c>
      <c r="AG3813" s="37">
        <v>0</v>
      </c>
      <c r="AH3813" s="37">
        <v>0</v>
      </c>
      <c r="AI3813" s="37">
        <v>98</v>
      </c>
      <c r="AJ3813" s="37">
        <v>1</v>
      </c>
      <c r="AK3813" s="37" t="str">
        <f>VLOOKUP(Mecze[[#This Row],[Match ID]],Meczusie[Mecz]:Meczusie[RodzajMeczu],2,FALSE)</f>
        <v>Towarzyski</v>
      </c>
    </row>
    <row r="3814" spans="1:37" x14ac:dyDescent="0.25">
      <c r="A3814" s="76">
        <v>19</v>
      </c>
      <c r="B3814" s="3" t="s">
        <v>166</v>
      </c>
      <c r="C3814" s="2" t="s">
        <v>165</v>
      </c>
      <c r="D3814" s="1">
        <v>1</v>
      </c>
      <c r="E3814" s="1">
        <v>2</v>
      </c>
      <c r="F3814" s="1">
        <v>1</v>
      </c>
      <c r="G3814" s="1">
        <v>8</v>
      </c>
      <c r="H3814" s="4">
        <v>0.75</v>
      </c>
      <c r="I3814" s="1">
        <v>1</v>
      </c>
      <c r="J3814" s="4">
        <v>1</v>
      </c>
      <c r="K3814" s="1">
        <v>0</v>
      </c>
      <c r="L3814" s="1">
        <v>1</v>
      </c>
      <c r="M3814" s="32">
        <f>IF(Mecze[[#This Row],[PR]]=0,0,Mecze[[#This Row],[PR]]/Mecze[[#This Row],[CZAS]])</f>
        <v>1.020408163265306E-2</v>
      </c>
      <c r="N3814" s="32">
        <f>IF(Mecze[[#This Row],[OU]]=0,0,Mecze[[#This Row],[OU]]/Mecze[[#This Row],[CZAS]])</f>
        <v>1.020408163265306E-2</v>
      </c>
      <c r="O3814" s="32">
        <f>IF(Mecze[[#This Row],[PC]]=0,0,Mecze[[#This Row],[PC]]/Mecze[[#This Row],[CZAS]])</f>
        <v>6.1224489795918366E-2</v>
      </c>
      <c r="P3814" s="32">
        <f>IF(Mecze[[#This Row],[SC]]=0,0,Mecze[[#This Row],[SC]]/Mecze[[#This Row],[CZAS]])</f>
        <v>1.020408163265306E-2</v>
      </c>
      <c r="Q3814" s="32">
        <f>IF(Mecze[[#This Row],[OB]]=0,0,Mecze[[#This Row],[OB]]/Mecze[[#This Row],[CZAS]])</f>
        <v>0</v>
      </c>
      <c r="R3814" s="32">
        <f>IF(Mecze[[#This Row],[BR]]=0,0,Mecze[[#This Row],[BR]]/Mecze[[#This Row],[CZAS]])</f>
        <v>1.020408163265306E-2</v>
      </c>
      <c r="S3814" s="44">
        <f>IF(Mecze[[#This Row],[Role]]="BR",SUMPRODUCT(Mecze[[#This Row],[/PR:90]:[/BR:90]],Brudnopis!$E$23:$J$23),0)</f>
        <v>0</v>
      </c>
      <c r="T3814" s="44">
        <f>IF(Mecze[[#This Row],[Role]]&lt;&gt;"BR",SUMPRODUCT(Mecze[[#This Row],[/PR:90]:[/BR:90]],Brudnopis!$E$24:$J$24),0)</f>
        <v>0.11224489795918367</v>
      </c>
      <c r="U3814" s="44">
        <f>IF(Mecze[[#This Row],[Role]]&lt;&gt;"BR",SUMPRODUCT(Mecze[[#This Row],[/PR:90]:[/BR:90]],Brudnopis!$E$25:$J$25),0)</f>
        <v>0.13775510204081631</v>
      </c>
      <c r="V3814" s="44">
        <f>IF(Mecze[[#This Row],[Role]]&lt;&gt;"BR",SUMPRODUCT(Mecze[[#This Row],[/PR:90]:[/BR:90]],Brudnopis!$E$26:$J$26),0)</f>
        <v>0.11224489795918366</v>
      </c>
      <c r="W3814" s="44">
        <f>IF(Mecze[[#This Row],[Role]]&lt;&gt;"BR",SUMPRODUCT(Mecze[[#This Row],[/PR:90]:[/BR:90]],Brudnopis!$E$27:$J$27),0)</f>
        <v>0.13775510204081631</v>
      </c>
      <c r="X3814" s="44">
        <f>IF(Mecze[[#This Row],[Role]]&lt;&gt;"BR",SUMPRODUCT(Mecze[[#This Row],[/PR:90]:[/BR:90]],Brudnopis!$E$28:$J$28),0)</f>
        <v>0.11224489795918366</v>
      </c>
      <c r="Y3814" s="35">
        <f>IF(Mecze[[#This Row],[Role]]="BR",Mecze[[#This Row],[/OB:90]]+Mecze[[#This Row],[/PC:90]],SUM(Mecze[[#This Row],[/PR:90]:[/BR:90]]))</f>
        <v>0.1020408163265306</v>
      </c>
      <c r="Z3814" s="35">
        <f>IF(Mecze[[#This Row],[KC]]=0,SUM(Mecze[[#This Row],[/BRI]:[/NPI]]),SUM(Mecze[[#This Row],[/BRI]:[/NPI]])*0.6)</f>
        <v>0.61224489795918369</v>
      </c>
      <c r="AA3814" s="10">
        <f>IFERROR(Mecze[[#This Row],[BR]]/Mecze[[#This Row],[ST]],0)</f>
        <v>0.5</v>
      </c>
      <c r="AB3814">
        <f>ROUND(Mecze[[#This Row],[PD]]*Mecze[[#This Row],[%PC]],0)</f>
        <v>6</v>
      </c>
      <c r="AC3814">
        <f>ROUND(Mecze[[#This Row],[OD]]*Mecze[[#This Row],[%OU]],0)</f>
        <v>1</v>
      </c>
      <c r="AD3814" s="36" t="s">
        <v>273</v>
      </c>
      <c r="AE3814" s="36">
        <v>221</v>
      </c>
      <c r="AF3814" s="71">
        <v>6.56</v>
      </c>
      <c r="AG3814" s="37">
        <v>0</v>
      </c>
      <c r="AH3814" s="37">
        <v>0</v>
      </c>
      <c r="AI3814" s="37">
        <v>98</v>
      </c>
      <c r="AJ3814" s="37">
        <v>1</v>
      </c>
      <c r="AK3814" s="37" t="str">
        <f>VLOOKUP(Mecze[[#This Row],[Match ID]],Meczusie[Mecz]:Meczusie[RodzajMeczu],2,FALSE)</f>
        <v>Towarzyski</v>
      </c>
    </row>
    <row r="3815" spans="1:37" x14ac:dyDescent="0.25">
      <c r="A3815" s="76">
        <v>9</v>
      </c>
      <c r="B3815" s="3" t="s">
        <v>411</v>
      </c>
      <c r="C3815" s="2" t="s">
        <v>165</v>
      </c>
      <c r="D3815" s="1">
        <v>1</v>
      </c>
      <c r="E3815" s="1">
        <v>16</v>
      </c>
      <c r="F3815" s="1">
        <v>15</v>
      </c>
      <c r="G3815" s="1">
        <v>7</v>
      </c>
      <c r="H3815" s="4">
        <v>1</v>
      </c>
      <c r="I3815" s="1">
        <v>2</v>
      </c>
      <c r="J3815" s="4">
        <v>0</v>
      </c>
      <c r="K3815" s="1">
        <v>0</v>
      </c>
      <c r="L3815" s="1">
        <v>1</v>
      </c>
      <c r="M3815" s="32">
        <f>IF(Mecze[[#This Row],[PR]]=0,0,Mecze[[#This Row],[PR]]/Mecze[[#This Row],[CZAS]])</f>
        <v>1.020408163265306E-2</v>
      </c>
      <c r="N3815" s="32">
        <f>IF(Mecze[[#This Row],[OU]]=0,0,Mecze[[#This Row],[OU]]/Mecze[[#This Row],[CZAS]])</f>
        <v>0</v>
      </c>
      <c r="O3815" s="32">
        <f>IF(Mecze[[#This Row],[PC]]=0,0,Mecze[[#This Row],[PC]]/Mecze[[#This Row],[CZAS]])</f>
        <v>7.1428571428571425E-2</v>
      </c>
      <c r="P3815" s="32">
        <f>IF(Mecze[[#This Row],[SC]]=0,0,Mecze[[#This Row],[SC]]/Mecze[[#This Row],[CZAS]])</f>
        <v>0.15306122448979592</v>
      </c>
      <c r="Q3815" s="32">
        <f>IF(Mecze[[#This Row],[OB]]=0,0,Mecze[[#This Row],[OB]]/Mecze[[#This Row],[CZAS]])</f>
        <v>0</v>
      </c>
      <c r="R3815" s="32">
        <f>IF(Mecze[[#This Row],[BR]]=0,0,Mecze[[#This Row],[BR]]/Mecze[[#This Row],[CZAS]])</f>
        <v>1.020408163265306E-2</v>
      </c>
      <c r="S3815" s="44">
        <f>IF(Mecze[[#This Row],[Role]]="BR",SUMPRODUCT(Mecze[[#This Row],[/PR:90]:[/BR:90]],Brudnopis!$E$23:$J$23),0)</f>
        <v>0</v>
      </c>
      <c r="T3815" s="44">
        <f>IF(Mecze[[#This Row],[Role]]&lt;&gt;"BR",SUMPRODUCT(Mecze[[#This Row],[/PR:90]:[/BR:90]],Brudnopis!$E$24:$J$24),0)</f>
        <v>0.24999999999999997</v>
      </c>
      <c r="U3815" s="44">
        <f>IF(Mecze[[#This Row],[Role]]&lt;&gt;"BR",SUMPRODUCT(Mecze[[#This Row],[/PR:90]:[/BR:90]],Brudnopis!$E$25:$J$25),0)</f>
        <v>0.28571428571428575</v>
      </c>
      <c r="V3815" s="44">
        <f>IF(Mecze[[#This Row],[Role]]&lt;&gt;"BR",SUMPRODUCT(Mecze[[#This Row],[/PR:90]:[/BR:90]],Brudnopis!$E$26:$J$26),0)</f>
        <v>0.25510204081632654</v>
      </c>
      <c r="W3815" s="44">
        <f>IF(Mecze[[#This Row],[Role]]&lt;&gt;"BR",SUMPRODUCT(Mecze[[#This Row],[/PR:90]:[/BR:90]],Brudnopis!$E$27:$J$27),0)</f>
        <v>0.28826530612244899</v>
      </c>
      <c r="X3815" s="44">
        <f>IF(Mecze[[#This Row],[Role]]&lt;&gt;"BR",SUMPRODUCT(Mecze[[#This Row],[/PR:90]:[/BR:90]],Brudnopis!$E$28:$J$28),0)</f>
        <v>0.4081632653061224</v>
      </c>
      <c r="Y3815" s="35">
        <f>IF(Mecze[[#This Row],[Role]]="BR",Mecze[[#This Row],[/OB:90]]+Mecze[[#This Row],[/PC:90]],SUM(Mecze[[#This Row],[/PR:90]:[/BR:90]]))</f>
        <v>0.24489795918367346</v>
      </c>
      <c r="Z3815" s="35">
        <f>IF(Mecze[[#This Row],[KC]]=0,SUM(Mecze[[#This Row],[/BRI]:[/NPI]]),SUM(Mecze[[#This Row],[/BRI]:[/NPI]])*0.6)</f>
        <v>1.4872448979591837</v>
      </c>
      <c r="AA3815" s="10">
        <f>IFERROR(Mecze[[#This Row],[BR]]/Mecze[[#This Row],[ST]],0)</f>
        <v>6.25E-2</v>
      </c>
      <c r="AB3815">
        <f>ROUND(Mecze[[#This Row],[PD]]*Mecze[[#This Row],[%PC]],0)</f>
        <v>7</v>
      </c>
      <c r="AC3815">
        <f>ROUND(Mecze[[#This Row],[OD]]*Mecze[[#This Row],[%OU]],0)</f>
        <v>0</v>
      </c>
      <c r="AD3815" s="36" t="s">
        <v>46</v>
      </c>
      <c r="AE3815" s="36">
        <v>221</v>
      </c>
      <c r="AF3815" s="71">
        <v>11.45</v>
      </c>
      <c r="AG3815" s="37">
        <v>0</v>
      </c>
      <c r="AH3815" s="37">
        <v>0</v>
      </c>
      <c r="AI3815" s="37">
        <v>98</v>
      </c>
      <c r="AJ3815" s="37">
        <v>1</v>
      </c>
      <c r="AK3815" s="37" t="str">
        <f>VLOOKUP(Mecze[[#This Row],[Match ID]],Meczusie[Mecz]:Meczusie[RodzajMeczu],2,FALSE)</f>
        <v>Towarzyski</v>
      </c>
    </row>
    <row r="3816" spans="1:37" x14ac:dyDescent="0.25">
      <c r="A3816" s="76">
        <v>1</v>
      </c>
      <c r="B3816" s="3" t="s">
        <v>169</v>
      </c>
      <c r="C3816" s="2" t="s">
        <v>155</v>
      </c>
      <c r="D3816" s="1">
        <v>0</v>
      </c>
      <c r="E3816" s="1">
        <v>0</v>
      </c>
      <c r="F3816" s="1">
        <v>0</v>
      </c>
      <c r="G3816" s="1">
        <v>5</v>
      </c>
      <c r="H3816" s="4">
        <v>0</v>
      </c>
      <c r="I3816" s="1">
        <v>0</v>
      </c>
      <c r="J3816" s="4"/>
      <c r="K3816" s="1">
        <v>5</v>
      </c>
      <c r="L3816" s="1">
        <v>0</v>
      </c>
      <c r="M3816" s="32">
        <f>IF(Mecze[[#This Row],[PR]]=0,0,Mecze[[#This Row],[PR]]/Mecze[[#This Row],[CZAS]])</f>
        <v>0</v>
      </c>
      <c r="N3816" s="32">
        <f>IF(Mecze[[#This Row],[OU]]=0,0,Mecze[[#This Row],[OU]]/Mecze[[#This Row],[CZAS]])</f>
        <v>0</v>
      </c>
      <c r="O3816" s="32">
        <f>IF(Mecze[[#This Row],[PC]]=0,0,Mecze[[#This Row],[PC]]/Mecze[[#This Row],[CZAS]])</f>
        <v>0</v>
      </c>
      <c r="P3816" s="32">
        <f>IF(Mecze[[#This Row],[SC]]=0,0,Mecze[[#This Row],[SC]]/Mecze[[#This Row],[CZAS]])</f>
        <v>0</v>
      </c>
      <c r="Q3816" s="32">
        <f>IF(Mecze[[#This Row],[OB]]=0,0,Mecze[[#This Row],[OB]]/Mecze[[#This Row],[CZAS]])</f>
        <v>5.2083333333333336E-2</v>
      </c>
      <c r="R3816" s="32">
        <f>IF(Mecze[[#This Row],[BR]]=0,0,Mecze[[#This Row],[BR]]/Mecze[[#This Row],[CZAS]])</f>
        <v>0</v>
      </c>
      <c r="S3816" s="44">
        <f>IF(Mecze[[#This Row],[Role]]="BR",SUMPRODUCT(Mecze[[#This Row],[/PR:90]:[/BR:90]],Brudnopis!$E$23:$J$23),0)</f>
        <v>0.15625</v>
      </c>
      <c r="T3816" s="44">
        <f>IF(Mecze[[#This Row],[Role]]&lt;&gt;"BR",SUMPRODUCT(Mecze[[#This Row],[/PR:90]:[/BR:90]],Brudnopis!$E$24:$J$24),0)</f>
        <v>0</v>
      </c>
      <c r="U3816" s="44">
        <f>IF(Mecze[[#This Row],[Role]]&lt;&gt;"BR",SUMPRODUCT(Mecze[[#This Row],[/PR:90]:[/BR:90]],Brudnopis!$E$25:$J$25),0)</f>
        <v>0</v>
      </c>
      <c r="V3816" s="44">
        <f>IF(Mecze[[#This Row],[Role]]&lt;&gt;"BR",SUMPRODUCT(Mecze[[#This Row],[/PR:90]:[/BR:90]],Brudnopis!$E$26:$J$26),0)</f>
        <v>0</v>
      </c>
      <c r="W3816" s="44">
        <f>IF(Mecze[[#This Row],[Role]]&lt;&gt;"BR",SUMPRODUCT(Mecze[[#This Row],[/PR:90]:[/BR:90]],Brudnopis!$E$27:$J$27),0)</f>
        <v>0</v>
      </c>
      <c r="X3816" s="44">
        <f>IF(Mecze[[#This Row],[Role]]&lt;&gt;"BR",SUMPRODUCT(Mecze[[#This Row],[/PR:90]:[/BR:90]],Brudnopis!$E$28:$J$28),0)</f>
        <v>0</v>
      </c>
      <c r="Y3816" s="35">
        <f>IF(Mecze[[#This Row],[Role]]="BR",Mecze[[#This Row],[/OB:90]]+Mecze[[#This Row],[/PC:90]],SUM(Mecze[[#This Row],[/PR:90]:[/BR:90]]))</f>
        <v>5.2083333333333336E-2</v>
      </c>
      <c r="Z3816" s="35">
        <f>IF(Mecze[[#This Row],[KC]]=0,SUM(Mecze[[#This Row],[/BRI]:[/NPI]]),SUM(Mecze[[#This Row],[/BRI]:[/NPI]])*0.6)</f>
        <v>0.15625</v>
      </c>
      <c r="AA3816" s="10">
        <f>IFERROR(Mecze[[#This Row],[BR]]/Mecze[[#This Row],[ST]],0)</f>
        <v>0</v>
      </c>
      <c r="AB3816">
        <f>ROUND(Mecze[[#This Row],[PD]]*Mecze[[#This Row],[%PC]],0)</f>
        <v>0</v>
      </c>
      <c r="AC3816">
        <f>ROUND(Mecze[[#This Row],[OD]]*Mecze[[#This Row],[%OU]],0)</f>
        <v>0</v>
      </c>
      <c r="AD3816" s="36" t="s">
        <v>40</v>
      </c>
      <c r="AE3816" s="36">
        <v>222</v>
      </c>
      <c r="AF3816" s="71">
        <v>5.67</v>
      </c>
      <c r="AG3816" s="37">
        <v>0</v>
      </c>
      <c r="AH3816" s="37">
        <v>0</v>
      </c>
      <c r="AI3816" s="37">
        <v>96</v>
      </c>
      <c r="AJ3816" s="37">
        <v>1</v>
      </c>
      <c r="AK3816" s="37" t="str">
        <f>VLOOKUP(Mecze[[#This Row],[Match ID]],Meczusie[Mecz]:Meczusie[RodzajMeczu],2,FALSE)</f>
        <v>Towarzyski</v>
      </c>
    </row>
    <row r="3817" spans="1:37" x14ac:dyDescent="0.25">
      <c r="A3817" s="76">
        <v>5</v>
      </c>
      <c r="B3817" s="3" t="s">
        <v>161</v>
      </c>
      <c r="C3817" s="2" t="s">
        <v>157</v>
      </c>
      <c r="D3817" s="1">
        <v>0</v>
      </c>
      <c r="E3817" s="1">
        <v>0</v>
      </c>
      <c r="F3817" s="1">
        <v>0</v>
      </c>
      <c r="G3817" s="1">
        <v>4</v>
      </c>
      <c r="H3817" s="4">
        <v>0.5</v>
      </c>
      <c r="I3817" s="1">
        <v>1</v>
      </c>
      <c r="J3817" s="4">
        <v>1</v>
      </c>
      <c r="K3817" s="1">
        <v>0</v>
      </c>
      <c r="L3817" s="1">
        <v>3</v>
      </c>
      <c r="M3817" s="32">
        <f>IF(Mecze[[#This Row],[PR]]=0,0,Mecze[[#This Row],[PR]]/Mecze[[#This Row],[CZAS]])</f>
        <v>3.125E-2</v>
      </c>
      <c r="N3817" s="32">
        <f>IF(Mecze[[#This Row],[OU]]=0,0,Mecze[[#This Row],[OU]]/Mecze[[#This Row],[CZAS]])</f>
        <v>1.0416666666666666E-2</v>
      </c>
      <c r="O3817" s="32">
        <f>IF(Mecze[[#This Row],[PC]]=0,0,Mecze[[#This Row],[PC]]/Mecze[[#This Row],[CZAS]])</f>
        <v>2.0833333333333332E-2</v>
      </c>
      <c r="P3817" s="32">
        <f>IF(Mecze[[#This Row],[SC]]=0,0,Mecze[[#This Row],[SC]]/Mecze[[#This Row],[CZAS]])</f>
        <v>0</v>
      </c>
      <c r="Q3817" s="32">
        <f>IF(Mecze[[#This Row],[OB]]=0,0,Mecze[[#This Row],[OB]]/Mecze[[#This Row],[CZAS]])</f>
        <v>0</v>
      </c>
      <c r="R3817" s="32">
        <f>IF(Mecze[[#This Row],[BR]]=0,0,Mecze[[#This Row],[BR]]/Mecze[[#This Row],[CZAS]])</f>
        <v>0</v>
      </c>
      <c r="S3817" s="44">
        <f>IF(Mecze[[#This Row],[Role]]="BR",SUMPRODUCT(Mecze[[#This Row],[/PR:90]:[/BR:90]],Brudnopis!$E$23:$J$23),0)</f>
        <v>0</v>
      </c>
      <c r="T3817" s="44">
        <f>IF(Mecze[[#This Row],[Role]]&lt;&gt;"BR",SUMPRODUCT(Mecze[[#This Row],[/PR:90]:[/BR:90]],Brudnopis!$E$24:$J$24),0)</f>
        <v>6.7708333333333329E-2</v>
      </c>
      <c r="U3817" s="44">
        <f>IF(Mecze[[#This Row],[Role]]&lt;&gt;"BR",SUMPRODUCT(Mecze[[#This Row],[/PR:90]:[/BR:90]],Brudnopis!$E$25:$J$25),0)</f>
        <v>7.2916666666666657E-2</v>
      </c>
      <c r="V3817" s="44">
        <f>IF(Mecze[[#This Row],[Role]]&lt;&gt;"BR",SUMPRODUCT(Mecze[[#This Row],[/PR:90]:[/BR:90]],Brudnopis!$E$26:$J$26),0)</f>
        <v>6.25E-2</v>
      </c>
      <c r="W3817" s="44">
        <f>IF(Mecze[[#This Row],[Role]]&lt;&gt;"BR",SUMPRODUCT(Mecze[[#This Row],[/PR:90]:[/BR:90]],Brudnopis!$E$27:$J$27),0)</f>
        <v>6.25E-2</v>
      </c>
      <c r="X3817" s="44">
        <f>IF(Mecze[[#This Row],[Role]]&lt;&gt;"BR",SUMPRODUCT(Mecze[[#This Row],[/PR:90]:[/BR:90]],Brudnopis!$E$28:$J$28),0)</f>
        <v>2.0833333333333332E-2</v>
      </c>
      <c r="Y3817" s="35">
        <f>IF(Mecze[[#This Row],[Role]]="BR",Mecze[[#This Row],[/OB:90]]+Mecze[[#This Row],[/PC:90]],SUM(Mecze[[#This Row],[/PR:90]:[/BR:90]]))</f>
        <v>6.25E-2</v>
      </c>
      <c r="Z3817" s="35">
        <f>IF(Mecze[[#This Row],[KC]]=0,SUM(Mecze[[#This Row],[/BRI]:[/NPI]]),SUM(Mecze[[#This Row],[/BRI]:[/NPI]])*0.6)</f>
        <v>0.28645833333333331</v>
      </c>
      <c r="AA3817" s="10">
        <f>IFERROR(Mecze[[#This Row],[BR]]/Mecze[[#This Row],[ST]],0)</f>
        <v>0</v>
      </c>
      <c r="AB3817">
        <f>ROUND(Mecze[[#This Row],[PD]]*Mecze[[#This Row],[%PC]],0)</f>
        <v>2</v>
      </c>
      <c r="AC3817">
        <f>ROUND(Mecze[[#This Row],[OD]]*Mecze[[#This Row],[%OU]],0)</f>
        <v>1</v>
      </c>
      <c r="AD3817" s="36" t="s">
        <v>47</v>
      </c>
      <c r="AE3817" s="36">
        <v>222</v>
      </c>
      <c r="AF3817" s="71">
        <v>4.55</v>
      </c>
      <c r="AG3817" s="37">
        <v>0</v>
      </c>
      <c r="AH3817" s="37">
        <v>0</v>
      </c>
      <c r="AI3817" s="37">
        <v>96</v>
      </c>
      <c r="AJ3817" s="37">
        <v>1</v>
      </c>
      <c r="AK3817" s="37" t="str">
        <f>VLOOKUP(Mecze[[#This Row],[Match ID]],Meczusie[Mecz]:Meczusie[RodzajMeczu],2,FALSE)</f>
        <v>Towarzyski</v>
      </c>
    </row>
    <row r="3818" spans="1:37" x14ac:dyDescent="0.25">
      <c r="A3818" s="76">
        <v>6</v>
      </c>
      <c r="B3818" s="3" t="s">
        <v>159</v>
      </c>
      <c r="C3818" s="2" t="s">
        <v>157</v>
      </c>
      <c r="D3818" s="1">
        <v>0</v>
      </c>
      <c r="E3818" s="1">
        <v>0</v>
      </c>
      <c r="F3818" s="1">
        <v>0</v>
      </c>
      <c r="G3818" s="1">
        <v>12</v>
      </c>
      <c r="H3818" s="4">
        <v>0.33</v>
      </c>
      <c r="I3818" s="1">
        <v>8</v>
      </c>
      <c r="J3818" s="4">
        <v>0.5</v>
      </c>
      <c r="K3818" s="1">
        <v>0</v>
      </c>
      <c r="L3818" s="1">
        <v>10</v>
      </c>
      <c r="M3818" s="32">
        <f>IF(Mecze[[#This Row],[PR]]=0,0,Mecze[[#This Row],[PR]]/Mecze[[#This Row],[CZAS]])</f>
        <v>0.10416666666666667</v>
      </c>
      <c r="N3818" s="32">
        <f>IF(Mecze[[#This Row],[OU]]=0,0,Mecze[[#This Row],[OU]]/Mecze[[#This Row],[CZAS]])</f>
        <v>4.1666666666666664E-2</v>
      </c>
      <c r="O3818" s="32">
        <f>IF(Mecze[[#This Row],[PC]]=0,0,Mecze[[#This Row],[PC]]/Mecze[[#This Row],[CZAS]])</f>
        <v>4.1666666666666664E-2</v>
      </c>
      <c r="P3818" s="32">
        <f>IF(Mecze[[#This Row],[SC]]=0,0,Mecze[[#This Row],[SC]]/Mecze[[#This Row],[CZAS]])</f>
        <v>0</v>
      </c>
      <c r="Q3818" s="32">
        <f>IF(Mecze[[#This Row],[OB]]=0,0,Mecze[[#This Row],[OB]]/Mecze[[#This Row],[CZAS]])</f>
        <v>0</v>
      </c>
      <c r="R3818" s="32">
        <f>IF(Mecze[[#This Row],[BR]]=0,0,Mecze[[#This Row],[BR]]/Mecze[[#This Row],[CZAS]])</f>
        <v>0</v>
      </c>
      <c r="S3818" s="44">
        <f>IF(Mecze[[#This Row],[Role]]="BR",SUMPRODUCT(Mecze[[#This Row],[/PR:90]:[/BR:90]],Brudnopis!$E$23:$J$23),0)</f>
        <v>0</v>
      </c>
      <c r="T3818" s="44">
        <f>IF(Mecze[[#This Row],[Role]]&lt;&gt;"BR",SUMPRODUCT(Mecze[[#This Row],[/PR:90]:[/BR:90]],Brudnopis!$E$24:$J$24),0)</f>
        <v>0.20833333333333334</v>
      </c>
      <c r="U3818" s="44">
        <f>IF(Mecze[[#This Row],[Role]]&lt;&gt;"BR",SUMPRODUCT(Mecze[[#This Row],[/PR:90]:[/BR:90]],Brudnopis!$E$25:$J$25),0)</f>
        <v>0.20833333333333334</v>
      </c>
      <c r="V3818" s="44">
        <f>IF(Mecze[[#This Row],[Role]]&lt;&gt;"BR",SUMPRODUCT(Mecze[[#This Row],[/PR:90]:[/BR:90]],Brudnopis!$E$26:$J$26),0)</f>
        <v>0.1875</v>
      </c>
      <c r="W3818" s="44">
        <f>IF(Mecze[[#This Row],[Role]]&lt;&gt;"BR",SUMPRODUCT(Mecze[[#This Row],[/PR:90]:[/BR:90]],Brudnopis!$E$27:$J$27),0)</f>
        <v>0.171875</v>
      </c>
      <c r="X3818" s="44">
        <f>IF(Mecze[[#This Row],[Role]]&lt;&gt;"BR",SUMPRODUCT(Mecze[[#This Row],[/PR:90]:[/BR:90]],Brudnopis!$E$28:$J$28),0)</f>
        <v>4.1666666666666664E-2</v>
      </c>
      <c r="Y3818" s="35">
        <f>IF(Mecze[[#This Row],[Role]]="BR",Mecze[[#This Row],[/OB:90]]+Mecze[[#This Row],[/PC:90]],SUM(Mecze[[#This Row],[/PR:90]:[/BR:90]]))</f>
        <v>0.1875</v>
      </c>
      <c r="Z3818" s="35">
        <f>IF(Mecze[[#This Row],[KC]]=0,SUM(Mecze[[#This Row],[/BRI]:[/NPI]]),SUM(Mecze[[#This Row],[/BRI]:[/NPI]])*0.6)</f>
        <v>0.81770833333333337</v>
      </c>
      <c r="AA3818" s="10">
        <f>IFERROR(Mecze[[#This Row],[BR]]/Mecze[[#This Row],[ST]],0)</f>
        <v>0</v>
      </c>
      <c r="AB3818">
        <f>ROUND(Mecze[[#This Row],[PD]]*Mecze[[#This Row],[%PC]],0)</f>
        <v>4</v>
      </c>
      <c r="AC3818">
        <f>ROUND(Mecze[[#This Row],[OD]]*Mecze[[#This Row],[%OU]],0)</f>
        <v>4</v>
      </c>
      <c r="AD3818" s="36" t="s">
        <v>47</v>
      </c>
      <c r="AE3818" s="36">
        <v>222</v>
      </c>
      <c r="AF3818" s="71">
        <v>7.14</v>
      </c>
      <c r="AG3818" s="37">
        <v>0</v>
      </c>
      <c r="AH3818" s="37">
        <v>0</v>
      </c>
      <c r="AI3818" s="37">
        <v>96</v>
      </c>
      <c r="AJ3818" s="37">
        <v>1</v>
      </c>
      <c r="AK3818" s="37" t="str">
        <f>VLOOKUP(Mecze[[#This Row],[Match ID]],Meczusie[Mecz]:Meczusie[RodzajMeczu],2,FALSE)</f>
        <v>Towarzyski</v>
      </c>
    </row>
    <row r="3819" spans="1:37" x14ac:dyDescent="0.25">
      <c r="A3819" s="76">
        <v>4</v>
      </c>
      <c r="B3819" s="3" t="s">
        <v>360</v>
      </c>
      <c r="C3819" s="2" t="s">
        <v>157</v>
      </c>
      <c r="D3819" s="1">
        <v>0</v>
      </c>
      <c r="E3819" s="1">
        <v>0</v>
      </c>
      <c r="F3819" s="1">
        <v>0</v>
      </c>
      <c r="G3819" s="1">
        <v>3</v>
      </c>
      <c r="H3819" s="4">
        <v>1</v>
      </c>
      <c r="I3819" s="1">
        <v>2</v>
      </c>
      <c r="J3819" s="4">
        <v>0</v>
      </c>
      <c r="K3819" s="1">
        <v>0</v>
      </c>
      <c r="L3819" s="1">
        <v>8</v>
      </c>
      <c r="M3819" s="32">
        <f>IF(Mecze[[#This Row],[PR]]=0,0,Mecze[[#This Row],[PR]]/Mecze[[#This Row],[CZAS]])</f>
        <v>8.3333333333333329E-2</v>
      </c>
      <c r="N3819" s="32">
        <f>IF(Mecze[[#This Row],[OU]]=0,0,Mecze[[#This Row],[OU]]/Mecze[[#This Row],[CZAS]])</f>
        <v>0</v>
      </c>
      <c r="O3819" s="32">
        <f>IF(Mecze[[#This Row],[PC]]=0,0,Mecze[[#This Row],[PC]]/Mecze[[#This Row],[CZAS]])</f>
        <v>3.125E-2</v>
      </c>
      <c r="P3819" s="32">
        <f>IF(Mecze[[#This Row],[SC]]=0,0,Mecze[[#This Row],[SC]]/Mecze[[#This Row],[CZAS]])</f>
        <v>0</v>
      </c>
      <c r="Q3819" s="32">
        <f>IF(Mecze[[#This Row],[OB]]=0,0,Mecze[[#This Row],[OB]]/Mecze[[#This Row],[CZAS]])</f>
        <v>0</v>
      </c>
      <c r="R3819" s="32">
        <f>IF(Mecze[[#This Row],[BR]]=0,0,Mecze[[#This Row],[BR]]/Mecze[[#This Row],[CZAS]])</f>
        <v>0</v>
      </c>
      <c r="S3819" s="44">
        <f>IF(Mecze[[#This Row],[Role]]="BR",SUMPRODUCT(Mecze[[#This Row],[/PR:90]:[/BR:90]],Brudnopis!$E$23:$J$23),0)</f>
        <v>0</v>
      </c>
      <c r="T3819" s="44">
        <f>IF(Mecze[[#This Row],[Role]]&lt;&gt;"BR",SUMPRODUCT(Mecze[[#This Row],[/PR:90]:[/BR:90]],Brudnopis!$E$24:$J$24),0)</f>
        <v>0.11458333333333333</v>
      </c>
      <c r="U3819" s="44">
        <f>IF(Mecze[[#This Row],[Role]]&lt;&gt;"BR",SUMPRODUCT(Mecze[[#This Row],[/PR:90]:[/BR:90]],Brudnopis!$E$25:$J$25),0)</f>
        <v>0.13020833333333331</v>
      </c>
      <c r="V3819" s="44">
        <f>IF(Mecze[[#This Row],[Role]]&lt;&gt;"BR",SUMPRODUCT(Mecze[[#This Row],[/PR:90]:[/BR:90]],Brudnopis!$E$26:$J$26),0)</f>
        <v>0.11458333333333333</v>
      </c>
      <c r="W3819" s="44">
        <f>IF(Mecze[[#This Row],[Role]]&lt;&gt;"BR",SUMPRODUCT(Mecze[[#This Row],[/PR:90]:[/BR:90]],Brudnopis!$E$27:$J$27),0)</f>
        <v>0.109375</v>
      </c>
      <c r="X3819" s="44">
        <f>IF(Mecze[[#This Row],[Role]]&lt;&gt;"BR",SUMPRODUCT(Mecze[[#This Row],[/PR:90]:[/BR:90]],Brudnopis!$E$28:$J$28),0)</f>
        <v>3.125E-2</v>
      </c>
      <c r="Y3819" s="35">
        <f>IF(Mecze[[#This Row],[Role]]="BR",Mecze[[#This Row],[/OB:90]]+Mecze[[#This Row],[/PC:90]],SUM(Mecze[[#This Row],[/PR:90]:[/BR:90]]))</f>
        <v>0.11458333333333333</v>
      </c>
      <c r="Z3819" s="35">
        <f>IF(Mecze[[#This Row],[KC]]=0,SUM(Mecze[[#This Row],[/BRI]:[/NPI]]),SUM(Mecze[[#This Row],[/BRI]:[/NPI]])*0.6)</f>
        <v>0.49999999999999994</v>
      </c>
      <c r="AA3819" s="10">
        <f>IFERROR(Mecze[[#This Row],[BR]]/Mecze[[#This Row],[ST]],0)</f>
        <v>0</v>
      </c>
      <c r="AB3819">
        <f>ROUND(Mecze[[#This Row],[PD]]*Mecze[[#This Row],[%PC]],0)</f>
        <v>3</v>
      </c>
      <c r="AC3819">
        <f>ROUND(Mecze[[#This Row],[OD]]*Mecze[[#This Row],[%OU]],0)</f>
        <v>0</v>
      </c>
      <c r="AD3819" s="36" t="s">
        <v>175</v>
      </c>
      <c r="AE3819" s="36">
        <v>222</v>
      </c>
      <c r="AF3819" s="71">
        <v>5.6</v>
      </c>
      <c r="AG3819" s="37">
        <v>0</v>
      </c>
      <c r="AH3819" s="37">
        <v>0</v>
      </c>
      <c r="AI3819" s="37">
        <v>96</v>
      </c>
      <c r="AJ3819" s="37">
        <v>1</v>
      </c>
      <c r="AK3819" s="37" t="str">
        <f>VLOOKUP(Mecze[[#This Row],[Match ID]],Meczusie[Mecz]:Meczusie[RodzajMeczu],2,FALSE)</f>
        <v>Towarzyski</v>
      </c>
    </row>
    <row r="3820" spans="1:37" x14ac:dyDescent="0.25">
      <c r="A3820" s="76">
        <v>3</v>
      </c>
      <c r="B3820" s="3" t="s">
        <v>158</v>
      </c>
      <c r="C3820" s="2" t="s">
        <v>157</v>
      </c>
      <c r="D3820" s="1">
        <v>0</v>
      </c>
      <c r="E3820" s="1">
        <v>0</v>
      </c>
      <c r="F3820" s="1">
        <v>0</v>
      </c>
      <c r="G3820" s="1">
        <v>11</v>
      </c>
      <c r="H3820" s="4">
        <v>0.73</v>
      </c>
      <c r="I3820" s="1">
        <v>9</v>
      </c>
      <c r="J3820" s="4">
        <v>0.44</v>
      </c>
      <c r="K3820" s="1">
        <v>0</v>
      </c>
      <c r="L3820" s="1">
        <v>11</v>
      </c>
      <c r="M3820" s="32">
        <f>IF(Mecze[[#This Row],[PR]]=0,0,Mecze[[#This Row],[PR]]/Mecze[[#This Row],[CZAS]])</f>
        <v>0.11458333333333333</v>
      </c>
      <c r="N3820" s="32">
        <f>IF(Mecze[[#This Row],[OU]]=0,0,Mecze[[#This Row],[OU]]/Mecze[[#This Row],[CZAS]])</f>
        <v>4.1666666666666664E-2</v>
      </c>
      <c r="O3820" s="32">
        <f>IF(Mecze[[#This Row],[PC]]=0,0,Mecze[[#This Row],[PC]]/Mecze[[#This Row],[CZAS]])</f>
        <v>8.3333333333333329E-2</v>
      </c>
      <c r="P3820" s="32">
        <f>IF(Mecze[[#This Row],[SC]]=0,0,Mecze[[#This Row],[SC]]/Mecze[[#This Row],[CZAS]])</f>
        <v>0</v>
      </c>
      <c r="Q3820" s="32">
        <f>IF(Mecze[[#This Row],[OB]]=0,0,Mecze[[#This Row],[OB]]/Mecze[[#This Row],[CZAS]])</f>
        <v>0</v>
      </c>
      <c r="R3820" s="32">
        <f>IF(Mecze[[#This Row],[BR]]=0,0,Mecze[[#This Row],[BR]]/Mecze[[#This Row],[CZAS]])</f>
        <v>0</v>
      </c>
      <c r="S3820" s="44">
        <f>IF(Mecze[[#This Row],[Role]]="BR",SUMPRODUCT(Mecze[[#This Row],[/PR:90]:[/BR:90]],Brudnopis!$E$23:$J$23),0)</f>
        <v>0</v>
      </c>
      <c r="T3820" s="44">
        <f>IF(Mecze[[#This Row],[Role]]&lt;&gt;"BR",SUMPRODUCT(Mecze[[#This Row],[/PR:90]:[/BR:90]],Brudnopis!$E$24:$J$24),0)</f>
        <v>0.26041666666666663</v>
      </c>
      <c r="U3820" s="44">
        <f>IF(Mecze[[#This Row],[Role]]&lt;&gt;"BR",SUMPRODUCT(Mecze[[#This Row],[/PR:90]:[/BR:90]],Brudnopis!$E$25:$J$25),0)</f>
        <v>0.28125</v>
      </c>
      <c r="V3820" s="44">
        <f>IF(Mecze[[#This Row],[Role]]&lt;&gt;"BR",SUMPRODUCT(Mecze[[#This Row],[/PR:90]:[/BR:90]],Brudnopis!$E$26:$J$26),0)</f>
        <v>0.23958333333333331</v>
      </c>
      <c r="W3820" s="44">
        <f>IF(Mecze[[#This Row],[Role]]&lt;&gt;"BR",SUMPRODUCT(Mecze[[#This Row],[/PR:90]:[/BR:90]],Brudnopis!$E$27:$J$27),0)</f>
        <v>0.2421875</v>
      </c>
      <c r="X3820" s="44">
        <f>IF(Mecze[[#This Row],[Role]]&lt;&gt;"BR",SUMPRODUCT(Mecze[[#This Row],[/PR:90]:[/BR:90]],Brudnopis!$E$28:$J$28),0)</f>
        <v>8.3333333333333329E-2</v>
      </c>
      <c r="Y3820" s="35">
        <f>IF(Mecze[[#This Row],[Role]]="BR",Mecze[[#This Row],[/OB:90]]+Mecze[[#This Row],[/PC:90]],SUM(Mecze[[#This Row],[/PR:90]:[/BR:90]]))</f>
        <v>0.23958333333333331</v>
      </c>
      <c r="Z3820" s="35">
        <f>IF(Mecze[[#This Row],[KC]]=0,SUM(Mecze[[#This Row],[/BRI]:[/NPI]]),SUM(Mecze[[#This Row],[/BRI]:[/NPI]])*0.6)</f>
        <v>1.1067708333333333</v>
      </c>
      <c r="AA3820" s="10">
        <f>IFERROR(Mecze[[#This Row],[BR]]/Mecze[[#This Row],[ST]],0)</f>
        <v>0</v>
      </c>
      <c r="AB3820">
        <f>ROUND(Mecze[[#This Row],[PD]]*Mecze[[#This Row],[%PC]],0)</f>
        <v>8</v>
      </c>
      <c r="AC3820">
        <f>ROUND(Mecze[[#This Row],[OD]]*Mecze[[#This Row],[%OU]],0)</f>
        <v>4</v>
      </c>
      <c r="AD3820" s="36" t="s">
        <v>174</v>
      </c>
      <c r="AE3820" s="36">
        <v>222</v>
      </c>
      <c r="AF3820" s="71">
        <v>6.23</v>
      </c>
      <c r="AG3820" s="37">
        <v>0</v>
      </c>
      <c r="AH3820" s="37">
        <v>0</v>
      </c>
      <c r="AI3820" s="37">
        <v>96</v>
      </c>
      <c r="AJ3820" s="37">
        <v>1</v>
      </c>
      <c r="AK3820" s="37" t="str">
        <f>VLOOKUP(Mecze[[#This Row],[Match ID]],Meczusie[Mecz]:Meczusie[RodzajMeczu],2,FALSE)</f>
        <v>Towarzyski</v>
      </c>
    </row>
    <row r="3821" spans="1:37" x14ac:dyDescent="0.25">
      <c r="A3821" s="76">
        <v>13</v>
      </c>
      <c r="B3821" s="3" t="s">
        <v>162</v>
      </c>
      <c r="C3821" s="2" t="s">
        <v>160</v>
      </c>
      <c r="D3821" s="1">
        <v>0</v>
      </c>
      <c r="E3821" s="1">
        <v>0</v>
      </c>
      <c r="F3821" s="1">
        <v>0</v>
      </c>
      <c r="G3821" s="1">
        <v>16</v>
      </c>
      <c r="H3821" s="4">
        <v>0.81</v>
      </c>
      <c r="I3821" s="1">
        <v>2</v>
      </c>
      <c r="J3821" s="4">
        <v>1</v>
      </c>
      <c r="K3821" s="1">
        <v>0</v>
      </c>
      <c r="L3821" s="1">
        <v>7</v>
      </c>
      <c r="M3821" s="32">
        <f>IF(Mecze[[#This Row],[PR]]=0,0,Mecze[[#This Row],[PR]]/Mecze[[#This Row],[CZAS]])</f>
        <v>7.2916666666666671E-2</v>
      </c>
      <c r="N3821" s="32">
        <f>IF(Mecze[[#This Row],[OU]]=0,0,Mecze[[#This Row],[OU]]/Mecze[[#This Row],[CZAS]])</f>
        <v>2.0833333333333332E-2</v>
      </c>
      <c r="O3821" s="32">
        <f>IF(Mecze[[#This Row],[PC]]=0,0,Mecze[[#This Row],[PC]]/Mecze[[#This Row],[CZAS]])</f>
        <v>0.13541666666666666</v>
      </c>
      <c r="P3821" s="32">
        <f>IF(Mecze[[#This Row],[SC]]=0,0,Mecze[[#This Row],[SC]]/Mecze[[#This Row],[CZAS]])</f>
        <v>0</v>
      </c>
      <c r="Q3821" s="32">
        <f>IF(Mecze[[#This Row],[OB]]=0,0,Mecze[[#This Row],[OB]]/Mecze[[#This Row],[CZAS]])</f>
        <v>0</v>
      </c>
      <c r="R3821" s="32">
        <f>IF(Mecze[[#This Row],[BR]]=0,0,Mecze[[#This Row],[BR]]/Mecze[[#This Row],[CZAS]])</f>
        <v>0</v>
      </c>
      <c r="S3821" s="44">
        <f>IF(Mecze[[#This Row],[Role]]="BR",SUMPRODUCT(Mecze[[#This Row],[/PR:90]:[/BR:90]],Brudnopis!$E$23:$J$23),0)</f>
        <v>0</v>
      </c>
      <c r="T3821" s="44">
        <f>IF(Mecze[[#This Row],[Role]]&lt;&gt;"BR",SUMPRODUCT(Mecze[[#This Row],[/PR:90]:[/BR:90]],Brudnopis!$E$24:$J$24),0)</f>
        <v>0.23958333333333331</v>
      </c>
      <c r="U3821" s="44">
        <f>IF(Mecze[[#This Row],[Role]]&lt;&gt;"BR",SUMPRODUCT(Mecze[[#This Row],[/PR:90]:[/BR:90]],Brudnopis!$E$25:$J$25),0)</f>
        <v>0.296875</v>
      </c>
      <c r="V3821" s="44">
        <f>IF(Mecze[[#This Row],[Role]]&lt;&gt;"BR",SUMPRODUCT(Mecze[[#This Row],[/PR:90]:[/BR:90]],Brudnopis!$E$26:$J$26),0)</f>
        <v>0.22916666666666666</v>
      </c>
      <c r="W3821" s="44">
        <f>IF(Mecze[[#This Row],[Role]]&lt;&gt;"BR",SUMPRODUCT(Mecze[[#This Row],[/PR:90]:[/BR:90]],Brudnopis!$E$27:$J$27),0)</f>
        <v>0.2734375</v>
      </c>
      <c r="X3821" s="44">
        <f>IF(Mecze[[#This Row],[Role]]&lt;&gt;"BR",SUMPRODUCT(Mecze[[#This Row],[/PR:90]:[/BR:90]],Brudnopis!$E$28:$J$28),0)</f>
        <v>0.13541666666666666</v>
      </c>
      <c r="Y3821" s="35">
        <f>IF(Mecze[[#This Row],[Role]]="BR",Mecze[[#This Row],[/OB:90]]+Mecze[[#This Row],[/PC:90]],SUM(Mecze[[#This Row],[/PR:90]:[/BR:90]]))</f>
        <v>0.22916666666666666</v>
      </c>
      <c r="Z3821" s="35">
        <f>IF(Mecze[[#This Row],[KC]]=0,SUM(Mecze[[#This Row],[/BRI]:[/NPI]]),SUM(Mecze[[#This Row],[/BRI]:[/NPI]])*0.6)</f>
        <v>1.1744791666666667</v>
      </c>
      <c r="AA3821" s="10">
        <f>IFERROR(Mecze[[#This Row],[BR]]/Mecze[[#This Row],[ST]],0)</f>
        <v>0</v>
      </c>
      <c r="AB3821">
        <f>ROUND(Mecze[[#This Row],[PD]]*Mecze[[#This Row],[%PC]],0)</f>
        <v>13</v>
      </c>
      <c r="AC3821">
        <f>ROUND(Mecze[[#This Row],[OD]]*Mecze[[#This Row],[%OU]],0)</f>
        <v>2</v>
      </c>
      <c r="AD3821" s="36" t="s">
        <v>41</v>
      </c>
      <c r="AE3821" s="36">
        <v>222</v>
      </c>
      <c r="AF3821" s="71">
        <v>7.51</v>
      </c>
      <c r="AG3821" s="37">
        <v>0</v>
      </c>
      <c r="AH3821" s="37">
        <v>0</v>
      </c>
      <c r="AI3821" s="37">
        <v>96</v>
      </c>
      <c r="AJ3821" s="37">
        <v>1</v>
      </c>
      <c r="AK3821" s="37" t="str">
        <f>VLOOKUP(Mecze[[#This Row],[Match ID]],Meczusie[Mecz]:Meczusie[RodzajMeczu],2,FALSE)</f>
        <v>Towarzyski</v>
      </c>
    </row>
    <row r="3822" spans="1:37" x14ac:dyDescent="0.25">
      <c r="A3822" s="76">
        <v>60</v>
      </c>
      <c r="B3822" s="3" t="s">
        <v>515</v>
      </c>
      <c r="C3822" s="2" t="s">
        <v>160</v>
      </c>
      <c r="D3822" s="1">
        <v>0</v>
      </c>
      <c r="E3822" s="1">
        <v>0</v>
      </c>
      <c r="F3822" s="1">
        <v>0</v>
      </c>
      <c r="G3822" s="1">
        <v>10</v>
      </c>
      <c r="H3822" s="4">
        <v>0.6</v>
      </c>
      <c r="I3822" s="1">
        <v>8</v>
      </c>
      <c r="J3822" s="4">
        <v>0.5</v>
      </c>
      <c r="K3822" s="1">
        <v>0</v>
      </c>
      <c r="L3822" s="1">
        <v>5</v>
      </c>
      <c r="M3822" s="32">
        <f>IF(Mecze[[#This Row],[PR]]=0,0,Mecze[[#This Row],[PR]]/Mecze[[#This Row],[CZAS]])</f>
        <v>5.2083333333333336E-2</v>
      </c>
      <c r="N3822" s="32">
        <f>IF(Mecze[[#This Row],[OU]]=0,0,Mecze[[#This Row],[OU]]/Mecze[[#This Row],[CZAS]])</f>
        <v>4.1666666666666664E-2</v>
      </c>
      <c r="O3822" s="32">
        <f>IF(Mecze[[#This Row],[PC]]=0,0,Mecze[[#This Row],[PC]]/Mecze[[#This Row],[CZAS]])</f>
        <v>6.25E-2</v>
      </c>
      <c r="P3822" s="32">
        <f>IF(Mecze[[#This Row],[SC]]=0,0,Mecze[[#This Row],[SC]]/Mecze[[#This Row],[CZAS]])</f>
        <v>0</v>
      </c>
      <c r="Q3822" s="32">
        <f>IF(Mecze[[#This Row],[OB]]=0,0,Mecze[[#This Row],[OB]]/Mecze[[#This Row],[CZAS]])</f>
        <v>0</v>
      </c>
      <c r="R3822" s="32">
        <f>IF(Mecze[[#This Row],[BR]]=0,0,Mecze[[#This Row],[BR]]/Mecze[[#This Row],[CZAS]])</f>
        <v>0</v>
      </c>
      <c r="S3822" s="44">
        <f>IF(Mecze[[#This Row],[Role]]="BR",SUMPRODUCT(Mecze[[#This Row],[/PR:90]:[/BR:90]],Brudnopis!$E$23:$J$23),0)</f>
        <v>0</v>
      </c>
      <c r="T3822" s="44">
        <f>IF(Mecze[[#This Row],[Role]]&lt;&gt;"BR",SUMPRODUCT(Mecze[[#This Row],[/PR:90]:[/BR:90]],Brudnopis!$E$24:$J$24),0)</f>
        <v>0.17708333333333334</v>
      </c>
      <c r="U3822" s="44">
        <f>IF(Mecze[[#This Row],[Role]]&lt;&gt;"BR",SUMPRODUCT(Mecze[[#This Row],[/PR:90]:[/BR:90]],Brudnopis!$E$25:$J$25),0)</f>
        <v>0.1875</v>
      </c>
      <c r="V3822" s="44">
        <f>IF(Mecze[[#This Row],[Role]]&lt;&gt;"BR",SUMPRODUCT(Mecze[[#This Row],[/PR:90]:[/BR:90]],Brudnopis!$E$26:$J$26),0)</f>
        <v>0.15625</v>
      </c>
      <c r="W3822" s="44">
        <f>IF(Mecze[[#This Row],[Role]]&lt;&gt;"BR",SUMPRODUCT(Mecze[[#This Row],[/PR:90]:[/BR:90]],Brudnopis!$E$27:$J$27),0)</f>
        <v>0.1640625</v>
      </c>
      <c r="X3822" s="44">
        <f>IF(Mecze[[#This Row],[Role]]&lt;&gt;"BR",SUMPRODUCT(Mecze[[#This Row],[/PR:90]:[/BR:90]],Brudnopis!$E$28:$J$28),0)</f>
        <v>6.25E-2</v>
      </c>
      <c r="Y3822" s="35">
        <f>IF(Mecze[[#This Row],[Role]]="BR",Mecze[[#This Row],[/OB:90]]+Mecze[[#This Row],[/PC:90]],SUM(Mecze[[#This Row],[/PR:90]:[/BR:90]]))</f>
        <v>0.15625</v>
      </c>
      <c r="Z3822" s="35">
        <f>IF(Mecze[[#This Row],[KC]]=0,SUM(Mecze[[#This Row],[/BRI]:[/NPI]]),SUM(Mecze[[#This Row],[/BRI]:[/NPI]])*0.6)</f>
        <v>0.74739583333333337</v>
      </c>
      <c r="AA3822" s="10">
        <f>IFERROR(Mecze[[#This Row],[BR]]/Mecze[[#This Row],[ST]],0)</f>
        <v>0</v>
      </c>
      <c r="AB3822">
        <f>ROUND(Mecze[[#This Row],[PD]]*Mecze[[#This Row],[%PC]],0)</f>
        <v>6</v>
      </c>
      <c r="AC3822">
        <f>ROUND(Mecze[[#This Row],[OD]]*Mecze[[#This Row],[%OU]],0)</f>
        <v>4</v>
      </c>
      <c r="AD3822" s="36" t="s">
        <v>41</v>
      </c>
      <c r="AE3822" s="36">
        <v>222</v>
      </c>
      <c r="AF3822" s="71">
        <v>6.18</v>
      </c>
      <c r="AG3822" s="37">
        <v>0</v>
      </c>
      <c r="AH3822" s="37">
        <v>0</v>
      </c>
      <c r="AI3822" s="37">
        <v>96</v>
      </c>
      <c r="AJ3822" s="37">
        <v>1</v>
      </c>
      <c r="AK3822" s="37" t="str">
        <f>VLOOKUP(Mecze[[#This Row],[Match ID]],Meczusie[Mecz]:Meczusie[RodzajMeczu],2,FALSE)</f>
        <v>Towarzyski</v>
      </c>
    </row>
    <row r="3823" spans="1:37" x14ac:dyDescent="0.25">
      <c r="A3823" s="76">
        <v>15</v>
      </c>
      <c r="B3823" s="3" t="s">
        <v>170</v>
      </c>
      <c r="C3823" s="2" t="s">
        <v>160</v>
      </c>
      <c r="D3823" s="1">
        <v>1</v>
      </c>
      <c r="E3823" s="1">
        <v>2</v>
      </c>
      <c r="F3823" s="1">
        <v>2</v>
      </c>
      <c r="G3823" s="1">
        <v>6</v>
      </c>
      <c r="H3823" s="4">
        <v>0.5</v>
      </c>
      <c r="I3823" s="1">
        <v>7</v>
      </c>
      <c r="J3823" s="4">
        <v>0.86</v>
      </c>
      <c r="K3823" s="1">
        <v>0</v>
      </c>
      <c r="L3823" s="1">
        <v>3</v>
      </c>
      <c r="M3823" s="32">
        <f>IF(Mecze[[#This Row],[PR]]=0,0,Mecze[[#This Row],[PR]]/Mecze[[#This Row],[CZAS]])</f>
        <v>3.125E-2</v>
      </c>
      <c r="N3823" s="32">
        <f>IF(Mecze[[#This Row],[OU]]=0,0,Mecze[[#This Row],[OU]]/Mecze[[#This Row],[CZAS]])</f>
        <v>6.25E-2</v>
      </c>
      <c r="O3823" s="32">
        <f>IF(Mecze[[#This Row],[PC]]=0,0,Mecze[[#This Row],[PC]]/Mecze[[#This Row],[CZAS]])</f>
        <v>3.125E-2</v>
      </c>
      <c r="P3823" s="32">
        <f>IF(Mecze[[#This Row],[SC]]=0,0,Mecze[[#This Row],[SC]]/Mecze[[#This Row],[CZAS]])</f>
        <v>2.0833333333333332E-2</v>
      </c>
      <c r="Q3823" s="32">
        <f>IF(Mecze[[#This Row],[OB]]=0,0,Mecze[[#This Row],[OB]]/Mecze[[#This Row],[CZAS]])</f>
        <v>0</v>
      </c>
      <c r="R3823" s="32">
        <f>IF(Mecze[[#This Row],[BR]]=0,0,Mecze[[#This Row],[BR]]/Mecze[[#This Row],[CZAS]])</f>
        <v>1.0416666666666666E-2</v>
      </c>
      <c r="S3823" s="44">
        <f>IF(Mecze[[#This Row],[Role]]="BR",SUMPRODUCT(Mecze[[#This Row],[/PR:90]:[/BR:90]],Brudnopis!$E$23:$J$23),0)</f>
        <v>0</v>
      </c>
      <c r="T3823" s="44">
        <f>IF(Mecze[[#This Row],[Role]]&lt;&gt;"BR",SUMPRODUCT(Mecze[[#This Row],[/PR:90]:[/BR:90]],Brudnopis!$E$24:$J$24),0)</f>
        <v>0.19270833333333334</v>
      </c>
      <c r="U3823" s="44">
        <f>IF(Mecze[[#This Row],[Role]]&lt;&gt;"BR",SUMPRODUCT(Mecze[[#This Row],[/PR:90]:[/BR:90]],Brudnopis!$E$25:$J$25),0)</f>
        <v>0.17708333333333334</v>
      </c>
      <c r="V3823" s="44">
        <f>IF(Mecze[[#This Row],[Role]]&lt;&gt;"BR",SUMPRODUCT(Mecze[[#This Row],[/PR:90]:[/BR:90]],Brudnopis!$E$26:$J$26),0)</f>
        <v>0.16666666666666669</v>
      </c>
      <c r="W3823" s="44">
        <f>IF(Mecze[[#This Row],[Role]]&lt;&gt;"BR",SUMPRODUCT(Mecze[[#This Row],[/PR:90]:[/BR:90]],Brudnopis!$E$27:$J$27),0)</f>
        <v>0.15885416666666669</v>
      </c>
      <c r="X3823" s="44">
        <f>IF(Mecze[[#This Row],[Role]]&lt;&gt;"BR",SUMPRODUCT(Mecze[[#This Row],[/PR:90]:[/BR:90]],Brudnopis!$E$28:$J$28),0)</f>
        <v>0.10416666666666666</v>
      </c>
      <c r="Y3823" s="35">
        <f>IF(Mecze[[#This Row],[Role]]="BR",Mecze[[#This Row],[/OB:90]]+Mecze[[#This Row],[/PC:90]],SUM(Mecze[[#This Row],[/PR:90]:[/BR:90]]))</f>
        <v>0.15625</v>
      </c>
      <c r="Z3823" s="35">
        <f>IF(Mecze[[#This Row],[KC]]=0,SUM(Mecze[[#This Row],[/BRI]:[/NPI]]),SUM(Mecze[[#This Row],[/BRI]:[/NPI]])*0.6)</f>
        <v>0.79947916666666663</v>
      </c>
      <c r="AA3823" s="10">
        <f>IFERROR(Mecze[[#This Row],[BR]]/Mecze[[#This Row],[ST]],0)</f>
        <v>0.5</v>
      </c>
      <c r="AB3823">
        <f>ROUND(Mecze[[#This Row],[PD]]*Mecze[[#This Row],[%PC]],0)</f>
        <v>3</v>
      </c>
      <c r="AC3823">
        <f>ROUND(Mecze[[#This Row],[OD]]*Mecze[[#This Row],[%OU]],0)</f>
        <v>6</v>
      </c>
      <c r="AD3823" s="36" t="s">
        <v>67</v>
      </c>
      <c r="AE3823" s="36">
        <v>222</v>
      </c>
      <c r="AF3823" s="71">
        <v>8.33</v>
      </c>
      <c r="AG3823" s="37">
        <v>0</v>
      </c>
      <c r="AH3823" s="37">
        <v>0</v>
      </c>
      <c r="AI3823" s="37">
        <v>96</v>
      </c>
      <c r="AJ3823" s="37">
        <v>1</v>
      </c>
      <c r="AK3823" s="37" t="str">
        <f>VLOOKUP(Mecze[[#This Row],[Match ID]],Meczusie[Mecz]:Meczusie[RodzajMeczu],2,FALSE)</f>
        <v>Towarzyski</v>
      </c>
    </row>
    <row r="3824" spans="1:37" x14ac:dyDescent="0.25">
      <c r="A3824" s="76">
        <v>19</v>
      </c>
      <c r="B3824" s="3" t="s">
        <v>166</v>
      </c>
      <c r="C3824" s="2" t="s">
        <v>160</v>
      </c>
      <c r="D3824" s="1">
        <v>0</v>
      </c>
      <c r="E3824" s="1">
        <v>1</v>
      </c>
      <c r="F3824" s="1">
        <v>1</v>
      </c>
      <c r="G3824" s="1">
        <v>13</v>
      </c>
      <c r="H3824" s="4">
        <v>0.62</v>
      </c>
      <c r="I3824" s="1">
        <v>0</v>
      </c>
      <c r="J3824" s="4"/>
      <c r="K3824" s="1">
        <v>0</v>
      </c>
      <c r="L3824" s="1">
        <v>0</v>
      </c>
      <c r="M3824" s="32">
        <f>IF(Mecze[[#This Row],[PR]]=0,0,Mecze[[#This Row],[PR]]/Mecze[[#This Row],[CZAS]])</f>
        <v>0</v>
      </c>
      <c r="N3824" s="32">
        <f>IF(Mecze[[#This Row],[OU]]=0,0,Mecze[[#This Row],[OU]]/Mecze[[#This Row],[CZAS]])</f>
        <v>0</v>
      </c>
      <c r="O3824" s="32">
        <f>IF(Mecze[[#This Row],[PC]]=0,0,Mecze[[#This Row],[PC]]/Mecze[[#This Row],[CZAS]])</f>
        <v>8.3333333333333329E-2</v>
      </c>
      <c r="P3824" s="32">
        <f>IF(Mecze[[#This Row],[SC]]=0,0,Mecze[[#This Row],[SC]]/Mecze[[#This Row],[CZAS]])</f>
        <v>1.0416666666666666E-2</v>
      </c>
      <c r="Q3824" s="32">
        <f>IF(Mecze[[#This Row],[OB]]=0,0,Mecze[[#This Row],[OB]]/Mecze[[#This Row],[CZAS]])</f>
        <v>0</v>
      </c>
      <c r="R3824" s="32">
        <f>IF(Mecze[[#This Row],[BR]]=0,0,Mecze[[#This Row],[BR]]/Mecze[[#This Row],[CZAS]])</f>
        <v>0</v>
      </c>
      <c r="S3824" s="44">
        <f>IF(Mecze[[#This Row],[Role]]="BR",SUMPRODUCT(Mecze[[#This Row],[/PR:90]:[/BR:90]],Brudnopis!$E$23:$J$23),0)</f>
        <v>0</v>
      </c>
      <c r="T3824" s="44">
        <f>IF(Mecze[[#This Row],[Role]]&lt;&gt;"BR",SUMPRODUCT(Mecze[[#This Row],[/PR:90]:[/BR:90]],Brudnopis!$E$24:$J$24),0)</f>
        <v>9.375E-2</v>
      </c>
      <c r="U3824" s="44">
        <f>IF(Mecze[[#This Row],[Role]]&lt;&gt;"BR",SUMPRODUCT(Mecze[[#This Row],[/PR:90]:[/BR:90]],Brudnopis!$E$25:$J$25),0)</f>
        <v>0.13541666666666666</v>
      </c>
      <c r="V3824" s="44">
        <f>IF(Mecze[[#This Row],[Role]]&lt;&gt;"BR",SUMPRODUCT(Mecze[[#This Row],[/PR:90]:[/BR:90]],Brudnopis!$E$26:$J$26),0)</f>
        <v>9.375E-2</v>
      </c>
      <c r="W3824" s="44">
        <f>IF(Mecze[[#This Row],[Role]]&lt;&gt;"BR",SUMPRODUCT(Mecze[[#This Row],[/PR:90]:[/BR:90]],Brudnopis!$E$27:$J$27),0)</f>
        <v>0.13541666666666666</v>
      </c>
      <c r="X3824" s="44">
        <f>IF(Mecze[[#This Row],[Role]]&lt;&gt;"BR",SUMPRODUCT(Mecze[[#This Row],[/PR:90]:[/BR:90]],Brudnopis!$E$28:$J$28),0)</f>
        <v>0.10416666666666666</v>
      </c>
      <c r="Y3824" s="35">
        <f>IF(Mecze[[#This Row],[Role]]="BR",Mecze[[#This Row],[/OB:90]]+Mecze[[#This Row],[/PC:90]],SUM(Mecze[[#This Row],[/PR:90]:[/BR:90]]))</f>
        <v>9.375E-2</v>
      </c>
      <c r="Z3824" s="35">
        <f>IF(Mecze[[#This Row],[KC]]=0,SUM(Mecze[[#This Row],[/BRI]:[/NPI]]),SUM(Mecze[[#This Row],[/BRI]:[/NPI]])*0.6)</f>
        <v>0.56249999999999989</v>
      </c>
      <c r="AA3824" s="10">
        <f>IFERROR(Mecze[[#This Row],[BR]]/Mecze[[#This Row],[ST]],0)</f>
        <v>0</v>
      </c>
      <c r="AB3824">
        <f>ROUND(Mecze[[#This Row],[PD]]*Mecze[[#This Row],[%PC]],0)</f>
        <v>8</v>
      </c>
      <c r="AC3824">
        <f>ROUND(Mecze[[#This Row],[OD]]*Mecze[[#This Row],[%OU]],0)</f>
        <v>0</v>
      </c>
      <c r="AD3824" s="36" t="s">
        <v>44</v>
      </c>
      <c r="AE3824" s="36">
        <v>222</v>
      </c>
      <c r="AF3824" s="71">
        <v>5.36</v>
      </c>
      <c r="AG3824" s="37">
        <v>0</v>
      </c>
      <c r="AH3824" s="37">
        <v>0</v>
      </c>
      <c r="AI3824" s="37">
        <v>96</v>
      </c>
      <c r="AJ3824" s="37">
        <v>1</v>
      </c>
      <c r="AK3824" s="37" t="str">
        <f>VLOOKUP(Mecze[[#This Row],[Match ID]],Meczusie[Mecz]:Meczusie[RodzajMeczu],2,FALSE)</f>
        <v>Towarzyski</v>
      </c>
    </row>
    <row r="3825" spans="1:37" x14ac:dyDescent="0.25">
      <c r="A3825" s="76">
        <v>14</v>
      </c>
      <c r="B3825" s="3" t="s">
        <v>164</v>
      </c>
      <c r="C3825" s="2" t="s">
        <v>160</v>
      </c>
      <c r="D3825" s="1">
        <v>0</v>
      </c>
      <c r="E3825" s="1">
        <v>4</v>
      </c>
      <c r="F3825" s="1">
        <v>2</v>
      </c>
      <c r="G3825" s="1">
        <v>8</v>
      </c>
      <c r="H3825" s="4">
        <v>0.88</v>
      </c>
      <c r="I3825" s="1">
        <v>4</v>
      </c>
      <c r="J3825" s="4">
        <v>0.5</v>
      </c>
      <c r="K3825" s="1">
        <v>0</v>
      </c>
      <c r="L3825" s="1">
        <v>1</v>
      </c>
      <c r="M3825" s="32">
        <f>IF(Mecze[[#This Row],[PR]]=0,0,Mecze[[#This Row],[PR]]/Mecze[[#This Row],[CZAS]])</f>
        <v>1.0416666666666666E-2</v>
      </c>
      <c r="N3825" s="32">
        <f>IF(Mecze[[#This Row],[OU]]=0,0,Mecze[[#This Row],[OU]]/Mecze[[#This Row],[CZAS]])</f>
        <v>2.0833333333333332E-2</v>
      </c>
      <c r="O3825" s="32">
        <f>IF(Mecze[[#This Row],[PC]]=0,0,Mecze[[#This Row],[PC]]/Mecze[[#This Row],[CZAS]])</f>
        <v>7.2916666666666671E-2</v>
      </c>
      <c r="P3825" s="32">
        <f>IF(Mecze[[#This Row],[SC]]=0,0,Mecze[[#This Row],[SC]]/Mecze[[#This Row],[CZAS]])</f>
        <v>2.0833333333333332E-2</v>
      </c>
      <c r="Q3825" s="32">
        <f>IF(Mecze[[#This Row],[OB]]=0,0,Mecze[[#This Row],[OB]]/Mecze[[#This Row],[CZAS]])</f>
        <v>0</v>
      </c>
      <c r="R3825" s="32">
        <f>IF(Mecze[[#This Row],[BR]]=0,0,Mecze[[#This Row],[BR]]/Mecze[[#This Row],[CZAS]])</f>
        <v>0</v>
      </c>
      <c r="S3825" s="44">
        <f>IF(Mecze[[#This Row],[Role]]="BR",SUMPRODUCT(Mecze[[#This Row],[/PR:90]:[/BR:90]],Brudnopis!$E$23:$J$23),0)</f>
        <v>0</v>
      </c>
      <c r="T3825" s="44">
        <f>IF(Mecze[[#This Row],[Role]]&lt;&gt;"BR",SUMPRODUCT(Mecze[[#This Row],[/PR:90]:[/BR:90]],Brudnopis!$E$24:$J$24),0)</f>
        <v>0.13541666666666669</v>
      </c>
      <c r="U3825" s="44">
        <f>IF(Mecze[[#This Row],[Role]]&lt;&gt;"BR",SUMPRODUCT(Mecze[[#This Row],[/PR:90]:[/BR:90]],Brudnopis!$E$25:$J$25),0)</f>
        <v>0.16145833333333334</v>
      </c>
      <c r="V3825" s="44">
        <f>IF(Mecze[[#This Row],[Role]]&lt;&gt;"BR",SUMPRODUCT(Mecze[[#This Row],[/PR:90]:[/BR:90]],Brudnopis!$E$26:$J$26),0)</f>
        <v>0.125</v>
      </c>
      <c r="W3825" s="44">
        <f>IF(Mecze[[#This Row],[Role]]&lt;&gt;"BR",SUMPRODUCT(Mecze[[#This Row],[/PR:90]:[/BR:90]],Brudnopis!$E$27:$J$27),0)</f>
        <v>0.15364583333333334</v>
      </c>
      <c r="X3825" s="44">
        <f>IF(Mecze[[#This Row],[Role]]&lt;&gt;"BR",SUMPRODUCT(Mecze[[#This Row],[/PR:90]:[/BR:90]],Brudnopis!$E$28:$J$28),0)</f>
        <v>0.11458333333333334</v>
      </c>
      <c r="Y3825" s="35">
        <f>IF(Mecze[[#This Row],[Role]]="BR",Mecze[[#This Row],[/OB:90]]+Mecze[[#This Row],[/PC:90]],SUM(Mecze[[#This Row],[/PR:90]:[/BR:90]]))</f>
        <v>0.125</v>
      </c>
      <c r="Z3825" s="35">
        <f>IF(Mecze[[#This Row],[KC]]=0,SUM(Mecze[[#This Row],[/BRI]:[/NPI]]),SUM(Mecze[[#This Row],[/BRI]:[/NPI]])*0.6)</f>
        <v>0.69010416666666674</v>
      </c>
      <c r="AA3825" s="10">
        <f>IFERROR(Mecze[[#This Row],[BR]]/Mecze[[#This Row],[ST]],0)</f>
        <v>0</v>
      </c>
      <c r="AB3825">
        <f>ROUND(Mecze[[#This Row],[PD]]*Mecze[[#This Row],[%PC]],0)</f>
        <v>7</v>
      </c>
      <c r="AC3825">
        <f>ROUND(Mecze[[#This Row],[OD]]*Mecze[[#This Row],[%OU]],0)</f>
        <v>2</v>
      </c>
      <c r="AD3825" s="36" t="s">
        <v>44</v>
      </c>
      <c r="AE3825" s="36">
        <v>222</v>
      </c>
      <c r="AF3825" s="71">
        <v>6.71</v>
      </c>
      <c r="AG3825" s="37">
        <v>0</v>
      </c>
      <c r="AH3825" s="37">
        <v>0</v>
      </c>
      <c r="AI3825" s="37">
        <v>96</v>
      </c>
      <c r="AJ3825" s="37">
        <v>1</v>
      </c>
      <c r="AK3825" s="37" t="str">
        <f>VLOOKUP(Mecze[[#This Row],[Match ID]],Meczusie[Mecz]:Meczusie[RodzajMeczu],2,FALSE)</f>
        <v>Towarzyski</v>
      </c>
    </row>
    <row r="3826" spans="1:37" x14ac:dyDescent="0.25">
      <c r="A3826" s="76">
        <v>9</v>
      </c>
      <c r="B3826" s="3" t="s">
        <v>411</v>
      </c>
      <c r="C3826" s="2" t="s">
        <v>165</v>
      </c>
      <c r="D3826" s="1">
        <v>3</v>
      </c>
      <c r="E3826" s="1">
        <v>12</v>
      </c>
      <c r="F3826" s="1">
        <v>12</v>
      </c>
      <c r="G3826" s="1">
        <v>5</v>
      </c>
      <c r="H3826" s="4">
        <v>0.6</v>
      </c>
      <c r="I3826" s="1">
        <v>2</v>
      </c>
      <c r="J3826" s="4">
        <v>0.5</v>
      </c>
      <c r="K3826" s="1">
        <v>0</v>
      </c>
      <c r="L3826" s="1">
        <v>0</v>
      </c>
      <c r="M3826" s="32">
        <f>IF(Mecze[[#This Row],[PR]]=0,0,Mecze[[#This Row],[PR]]/Mecze[[#This Row],[CZAS]])</f>
        <v>0</v>
      </c>
      <c r="N3826" s="32">
        <f>IF(Mecze[[#This Row],[OU]]=0,0,Mecze[[#This Row],[OU]]/Mecze[[#This Row],[CZAS]])</f>
        <v>1.0416666666666666E-2</v>
      </c>
      <c r="O3826" s="32">
        <f>IF(Mecze[[#This Row],[PC]]=0,0,Mecze[[#This Row],[PC]]/Mecze[[#This Row],[CZAS]])</f>
        <v>3.125E-2</v>
      </c>
      <c r="P3826" s="32">
        <f>IF(Mecze[[#This Row],[SC]]=0,0,Mecze[[#This Row],[SC]]/Mecze[[#This Row],[CZAS]])</f>
        <v>0.125</v>
      </c>
      <c r="Q3826" s="32">
        <f>IF(Mecze[[#This Row],[OB]]=0,0,Mecze[[#This Row],[OB]]/Mecze[[#This Row],[CZAS]])</f>
        <v>0</v>
      </c>
      <c r="R3826" s="32">
        <f>IF(Mecze[[#This Row],[BR]]=0,0,Mecze[[#This Row],[BR]]/Mecze[[#This Row],[CZAS]])</f>
        <v>3.125E-2</v>
      </c>
      <c r="S3826" s="44">
        <f>IF(Mecze[[#This Row],[Role]]="BR",SUMPRODUCT(Mecze[[#This Row],[/PR:90]:[/BR:90]],Brudnopis!$E$23:$J$23),0)</f>
        <v>0</v>
      </c>
      <c r="T3826" s="44">
        <f>IF(Mecze[[#This Row],[Role]]&lt;&gt;"BR",SUMPRODUCT(Mecze[[#This Row],[/PR:90]:[/BR:90]],Brudnopis!$E$24:$J$24),0)</f>
        <v>0.21875</v>
      </c>
      <c r="U3826" s="44">
        <f>IF(Mecze[[#This Row],[Role]]&lt;&gt;"BR",SUMPRODUCT(Mecze[[#This Row],[/PR:90]:[/BR:90]],Brudnopis!$E$25:$J$25),0)</f>
        <v>0.22916666666666666</v>
      </c>
      <c r="V3826" s="44">
        <f>IF(Mecze[[#This Row],[Role]]&lt;&gt;"BR",SUMPRODUCT(Mecze[[#This Row],[/PR:90]:[/BR:90]],Brudnopis!$E$26:$J$26),0)</f>
        <v>0.22916666666666666</v>
      </c>
      <c r="W3826" s="44">
        <f>IF(Mecze[[#This Row],[Role]]&lt;&gt;"BR",SUMPRODUCT(Mecze[[#This Row],[/PR:90]:[/BR:90]],Brudnopis!$E$27:$J$27),0)</f>
        <v>0.2421875</v>
      </c>
      <c r="X3826" s="44">
        <f>IF(Mecze[[#This Row],[Role]]&lt;&gt;"BR",SUMPRODUCT(Mecze[[#This Row],[/PR:90]:[/BR:90]],Brudnopis!$E$28:$J$28),0)</f>
        <v>0.375</v>
      </c>
      <c r="Y3826" s="35">
        <f>IF(Mecze[[#This Row],[Role]]="BR",Mecze[[#This Row],[/OB:90]]+Mecze[[#This Row],[/PC:90]],SUM(Mecze[[#This Row],[/PR:90]:[/BR:90]]))</f>
        <v>0.19791666666666666</v>
      </c>
      <c r="Z3826" s="35">
        <f>IF(Mecze[[#This Row],[KC]]=0,SUM(Mecze[[#This Row],[/BRI]:[/NPI]]),SUM(Mecze[[#This Row],[/BRI]:[/NPI]])*0.6)</f>
        <v>1.2942708333333333</v>
      </c>
      <c r="AA3826" s="10">
        <f>IFERROR(Mecze[[#This Row],[BR]]/Mecze[[#This Row],[ST]],0)</f>
        <v>0.25</v>
      </c>
      <c r="AB3826">
        <f>ROUND(Mecze[[#This Row],[PD]]*Mecze[[#This Row],[%PC]],0)</f>
        <v>3</v>
      </c>
      <c r="AC3826">
        <f>ROUND(Mecze[[#This Row],[OD]]*Mecze[[#This Row],[%OU]],0)</f>
        <v>1</v>
      </c>
      <c r="AD3826" s="36" t="s">
        <v>46</v>
      </c>
      <c r="AE3826" s="36">
        <v>222</v>
      </c>
      <c r="AF3826" s="71">
        <v>14.8</v>
      </c>
      <c r="AG3826" s="37">
        <v>0</v>
      </c>
      <c r="AH3826" s="37">
        <v>0</v>
      </c>
      <c r="AI3826" s="37">
        <v>96</v>
      </c>
      <c r="AJ3826" s="37">
        <v>1</v>
      </c>
      <c r="AK3826" s="37" t="str">
        <f>VLOOKUP(Mecze[[#This Row],[Match ID]],Meczusie[Mecz]:Meczusie[RodzajMeczu],2,FALSE)</f>
        <v>Towarzyski</v>
      </c>
    </row>
    <row r="3827" spans="1:37" x14ac:dyDescent="0.25">
      <c r="A3827" s="76">
        <v>1</v>
      </c>
      <c r="B3827" s="3" t="s">
        <v>169</v>
      </c>
      <c r="C3827" s="2" t="s">
        <v>155</v>
      </c>
      <c r="D3827" s="1">
        <v>0</v>
      </c>
      <c r="E3827" s="1">
        <v>0</v>
      </c>
      <c r="F3827" s="1">
        <v>0</v>
      </c>
      <c r="G3827" s="1">
        <v>8</v>
      </c>
      <c r="H3827" s="4">
        <v>0.88</v>
      </c>
      <c r="I3827" s="1">
        <v>0</v>
      </c>
      <c r="J3827" s="4"/>
      <c r="K3827" s="1">
        <v>6</v>
      </c>
      <c r="L3827" s="1">
        <v>0</v>
      </c>
      <c r="M3827" s="32">
        <f>IF(Mecze[[#This Row],[PR]]=0,0,Mecze[[#This Row],[PR]]/Mecze[[#This Row],[CZAS]])</f>
        <v>0</v>
      </c>
      <c r="N3827" s="32">
        <f>IF(Mecze[[#This Row],[OU]]=0,0,Mecze[[#This Row],[OU]]/Mecze[[#This Row],[CZAS]])</f>
        <v>0</v>
      </c>
      <c r="O3827" s="32">
        <f>IF(Mecze[[#This Row],[PC]]=0,0,Mecze[[#This Row],[PC]]/Mecze[[#This Row],[CZAS]])</f>
        <v>7.3684210526315783E-2</v>
      </c>
      <c r="P3827" s="32">
        <f>IF(Mecze[[#This Row],[SC]]=0,0,Mecze[[#This Row],[SC]]/Mecze[[#This Row],[CZAS]])</f>
        <v>0</v>
      </c>
      <c r="Q3827" s="32">
        <f>IF(Mecze[[#This Row],[OB]]=0,0,Mecze[[#This Row],[OB]]/Mecze[[#This Row],[CZAS]])</f>
        <v>6.3157894736842107E-2</v>
      </c>
      <c r="R3827" s="32">
        <f>IF(Mecze[[#This Row],[BR]]=0,0,Mecze[[#This Row],[BR]]/Mecze[[#This Row],[CZAS]])</f>
        <v>0</v>
      </c>
      <c r="S3827" s="44">
        <f>IF(Mecze[[#This Row],[Role]]="BR",SUMPRODUCT(Mecze[[#This Row],[/PR:90]:[/BR:90]],Brudnopis!$E$23:$J$23),0)</f>
        <v>0.41052631578947363</v>
      </c>
      <c r="T3827" s="44">
        <f>IF(Mecze[[#This Row],[Role]]&lt;&gt;"BR",SUMPRODUCT(Mecze[[#This Row],[/PR:90]:[/BR:90]],Brudnopis!$E$24:$J$24),0)</f>
        <v>0</v>
      </c>
      <c r="U3827" s="44">
        <f>IF(Mecze[[#This Row],[Role]]&lt;&gt;"BR",SUMPRODUCT(Mecze[[#This Row],[/PR:90]:[/BR:90]],Brudnopis!$E$25:$J$25),0)</f>
        <v>0</v>
      </c>
      <c r="V3827" s="44">
        <f>IF(Mecze[[#This Row],[Role]]&lt;&gt;"BR",SUMPRODUCT(Mecze[[#This Row],[/PR:90]:[/BR:90]],Brudnopis!$E$26:$J$26),0)</f>
        <v>0</v>
      </c>
      <c r="W3827" s="44">
        <f>IF(Mecze[[#This Row],[Role]]&lt;&gt;"BR",SUMPRODUCT(Mecze[[#This Row],[/PR:90]:[/BR:90]],Brudnopis!$E$27:$J$27),0)</f>
        <v>0</v>
      </c>
      <c r="X3827" s="44">
        <f>IF(Mecze[[#This Row],[Role]]&lt;&gt;"BR",SUMPRODUCT(Mecze[[#This Row],[/PR:90]:[/BR:90]],Brudnopis!$E$28:$J$28),0)</f>
        <v>0</v>
      </c>
      <c r="Y3827" s="35">
        <f>IF(Mecze[[#This Row],[Role]]="BR",Mecze[[#This Row],[/OB:90]]+Mecze[[#This Row],[/PC:90]],SUM(Mecze[[#This Row],[/PR:90]:[/BR:90]]))</f>
        <v>0.13684210526315788</v>
      </c>
      <c r="Z3827" s="35">
        <f>IF(Mecze[[#This Row],[KC]]=0,SUM(Mecze[[#This Row],[/BRI]:[/NPI]]),SUM(Mecze[[#This Row],[/BRI]:[/NPI]])*0.6)</f>
        <v>0.41052631578947363</v>
      </c>
      <c r="AA3827" s="10">
        <f>IFERROR(Mecze[[#This Row],[BR]]/Mecze[[#This Row],[ST]],0)</f>
        <v>0</v>
      </c>
      <c r="AB3827">
        <f>ROUND(Mecze[[#This Row],[PD]]*Mecze[[#This Row],[%PC]],0)</f>
        <v>7</v>
      </c>
      <c r="AC3827">
        <f>ROUND(Mecze[[#This Row],[OD]]*Mecze[[#This Row],[%OU]],0)</f>
        <v>0</v>
      </c>
      <c r="AD3827" s="36" t="s">
        <v>40</v>
      </c>
      <c r="AE3827" s="36">
        <v>223</v>
      </c>
      <c r="AF3827" s="71">
        <v>6.91</v>
      </c>
      <c r="AG3827" s="37">
        <v>0</v>
      </c>
      <c r="AH3827" s="37">
        <v>0</v>
      </c>
      <c r="AI3827" s="37">
        <v>95</v>
      </c>
      <c r="AJ3827" s="37">
        <v>1</v>
      </c>
      <c r="AK3827" s="37" t="str">
        <f>VLOOKUP(Mecze[[#This Row],[Match ID]],Meczusie[Mecz]:Meczusie[RodzajMeczu],2,FALSE)</f>
        <v>Towarzyski</v>
      </c>
    </row>
    <row r="3828" spans="1:37" x14ac:dyDescent="0.25">
      <c r="A3828" s="76">
        <v>4</v>
      </c>
      <c r="B3828" s="3" t="s">
        <v>360</v>
      </c>
      <c r="C3828" s="2" t="s">
        <v>157</v>
      </c>
      <c r="D3828" s="1">
        <v>0</v>
      </c>
      <c r="E3828" s="1">
        <v>0</v>
      </c>
      <c r="F3828" s="1">
        <v>0</v>
      </c>
      <c r="G3828" s="1">
        <v>7</v>
      </c>
      <c r="H3828" s="4">
        <v>0.71</v>
      </c>
      <c r="I3828" s="1">
        <v>4</v>
      </c>
      <c r="J3828" s="4">
        <v>0.5</v>
      </c>
      <c r="K3828" s="1">
        <v>0</v>
      </c>
      <c r="L3828" s="1">
        <v>6</v>
      </c>
      <c r="M3828" s="32">
        <f>IF(Mecze[[#This Row],[PR]]=0,0,Mecze[[#This Row],[PR]]/Mecze[[#This Row],[CZAS]])</f>
        <v>6.3157894736842107E-2</v>
      </c>
      <c r="N3828" s="32">
        <f>IF(Mecze[[#This Row],[OU]]=0,0,Mecze[[#This Row],[OU]]/Mecze[[#This Row],[CZAS]])</f>
        <v>2.1052631578947368E-2</v>
      </c>
      <c r="O3828" s="32">
        <f>IF(Mecze[[#This Row],[PC]]=0,0,Mecze[[#This Row],[PC]]/Mecze[[#This Row],[CZAS]])</f>
        <v>5.2631578947368418E-2</v>
      </c>
      <c r="P3828" s="32">
        <f>IF(Mecze[[#This Row],[SC]]=0,0,Mecze[[#This Row],[SC]]/Mecze[[#This Row],[CZAS]])</f>
        <v>0</v>
      </c>
      <c r="Q3828" s="32">
        <f>IF(Mecze[[#This Row],[OB]]=0,0,Mecze[[#This Row],[OB]]/Mecze[[#This Row],[CZAS]])</f>
        <v>0</v>
      </c>
      <c r="R3828" s="32">
        <f>IF(Mecze[[#This Row],[BR]]=0,0,Mecze[[#This Row],[BR]]/Mecze[[#This Row],[CZAS]])</f>
        <v>0</v>
      </c>
      <c r="S3828" s="44">
        <f>IF(Mecze[[#This Row],[Role]]="BR",SUMPRODUCT(Mecze[[#This Row],[/PR:90]:[/BR:90]],Brudnopis!$E$23:$J$23),0)</f>
        <v>0</v>
      </c>
      <c r="T3828" s="44">
        <f>IF(Mecze[[#This Row],[Role]]&lt;&gt;"BR",SUMPRODUCT(Mecze[[#This Row],[/PR:90]:[/BR:90]],Brudnopis!$E$24:$J$24),0)</f>
        <v>0.14736842105263159</v>
      </c>
      <c r="U3828" s="44">
        <f>IF(Mecze[[#This Row],[Role]]&lt;&gt;"BR",SUMPRODUCT(Mecze[[#This Row],[/PR:90]:[/BR:90]],Brudnopis!$E$25:$J$25),0)</f>
        <v>0.16315789473684211</v>
      </c>
      <c r="V3828" s="44">
        <f>IF(Mecze[[#This Row],[Role]]&lt;&gt;"BR",SUMPRODUCT(Mecze[[#This Row],[/PR:90]:[/BR:90]],Brudnopis!$E$26:$J$26),0)</f>
        <v>0.13684210526315788</v>
      </c>
      <c r="W3828" s="44">
        <f>IF(Mecze[[#This Row],[Role]]&lt;&gt;"BR",SUMPRODUCT(Mecze[[#This Row],[/PR:90]:[/BR:90]],Brudnopis!$E$27:$J$27),0)</f>
        <v>0.14210526315789473</v>
      </c>
      <c r="X3828" s="44">
        <f>IF(Mecze[[#This Row],[Role]]&lt;&gt;"BR",SUMPRODUCT(Mecze[[#This Row],[/PR:90]:[/BR:90]],Brudnopis!$E$28:$J$28),0)</f>
        <v>5.2631578947368418E-2</v>
      </c>
      <c r="Y3828" s="35">
        <f>IF(Mecze[[#This Row],[Role]]="BR",Mecze[[#This Row],[/OB:90]]+Mecze[[#This Row],[/PC:90]],SUM(Mecze[[#This Row],[/PR:90]:[/BR:90]]))</f>
        <v>0.13684210526315788</v>
      </c>
      <c r="Z3828" s="35">
        <f>IF(Mecze[[#This Row],[KC]]=0,SUM(Mecze[[#This Row],[/BRI]:[/NPI]]),SUM(Mecze[[#This Row],[/BRI]:[/NPI]])*0.6)</f>
        <v>0.64210526315789473</v>
      </c>
      <c r="AA3828" s="10">
        <f>IFERROR(Mecze[[#This Row],[BR]]/Mecze[[#This Row],[ST]],0)</f>
        <v>0</v>
      </c>
      <c r="AB3828">
        <f>ROUND(Mecze[[#This Row],[PD]]*Mecze[[#This Row],[%PC]],0)</f>
        <v>5</v>
      </c>
      <c r="AC3828">
        <f>ROUND(Mecze[[#This Row],[OD]]*Mecze[[#This Row],[%OU]],0)</f>
        <v>2</v>
      </c>
      <c r="AD3828" s="36" t="s">
        <v>167</v>
      </c>
      <c r="AE3828" s="36">
        <v>223</v>
      </c>
      <c r="AF3828" s="71">
        <v>5.08</v>
      </c>
      <c r="AG3828" s="37">
        <v>0</v>
      </c>
      <c r="AH3828" s="37">
        <v>0</v>
      </c>
      <c r="AI3828" s="37">
        <v>95</v>
      </c>
      <c r="AJ3828" s="37">
        <v>1</v>
      </c>
      <c r="AK3828" s="37" t="str">
        <f>VLOOKUP(Mecze[[#This Row],[Match ID]],Meczusie[Mecz]:Meczusie[RodzajMeczu],2,FALSE)</f>
        <v>Towarzyski</v>
      </c>
    </row>
    <row r="3829" spans="1:37" x14ac:dyDescent="0.25">
      <c r="A3829" s="76">
        <v>6</v>
      </c>
      <c r="B3829" s="3" t="s">
        <v>159</v>
      </c>
      <c r="C3829" s="2" t="s">
        <v>157</v>
      </c>
      <c r="D3829" s="1">
        <v>0</v>
      </c>
      <c r="E3829" s="1">
        <v>0</v>
      </c>
      <c r="F3829" s="1">
        <v>0</v>
      </c>
      <c r="G3829" s="1">
        <v>2</v>
      </c>
      <c r="H3829" s="4">
        <v>1</v>
      </c>
      <c r="I3829" s="1">
        <v>2</v>
      </c>
      <c r="J3829" s="4">
        <v>0</v>
      </c>
      <c r="K3829" s="1">
        <v>0</v>
      </c>
      <c r="L3829" s="1">
        <v>3</v>
      </c>
      <c r="M3829" s="32">
        <f>IF(Mecze[[#This Row],[PR]]=0,0,Mecze[[#This Row],[PR]]/Mecze[[#This Row],[CZAS]])</f>
        <v>3.1578947368421054E-2</v>
      </c>
      <c r="N3829" s="32">
        <f>IF(Mecze[[#This Row],[OU]]=0,0,Mecze[[#This Row],[OU]]/Mecze[[#This Row],[CZAS]])</f>
        <v>0</v>
      </c>
      <c r="O3829" s="32">
        <f>IF(Mecze[[#This Row],[PC]]=0,0,Mecze[[#This Row],[PC]]/Mecze[[#This Row],[CZAS]])</f>
        <v>2.1052631578947368E-2</v>
      </c>
      <c r="P3829" s="32">
        <f>IF(Mecze[[#This Row],[SC]]=0,0,Mecze[[#This Row],[SC]]/Mecze[[#This Row],[CZAS]])</f>
        <v>0</v>
      </c>
      <c r="Q3829" s="32">
        <f>IF(Mecze[[#This Row],[OB]]=0,0,Mecze[[#This Row],[OB]]/Mecze[[#This Row],[CZAS]])</f>
        <v>0</v>
      </c>
      <c r="R3829" s="32">
        <f>IF(Mecze[[#This Row],[BR]]=0,0,Mecze[[#This Row],[BR]]/Mecze[[#This Row],[CZAS]])</f>
        <v>0</v>
      </c>
      <c r="S3829" s="44">
        <f>IF(Mecze[[#This Row],[Role]]="BR",SUMPRODUCT(Mecze[[#This Row],[/PR:90]:[/BR:90]],Brudnopis!$E$23:$J$23),0)</f>
        <v>0</v>
      </c>
      <c r="T3829" s="44">
        <f>IF(Mecze[[#This Row],[Role]]&lt;&gt;"BR",SUMPRODUCT(Mecze[[#This Row],[/PR:90]:[/BR:90]],Brudnopis!$E$24:$J$24),0)</f>
        <v>5.2631578947368418E-2</v>
      </c>
      <c r="U3829" s="44">
        <f>IF(Mecze[[#This Row],[Role]]&lt;&gt;"BR",SUMPRODUCT(Mecze[[#This Row],[/PR:90]:[/BR:90]],Brudnopis!$E$25:$J$25),0)</f>
        <v>6.3157894736842107E-2</v>
      </c>
      <c r="V3829" s="44">
        <f>IF(Mecze[[#This Row],[Role]]&lt;&gt;"BR",SUMPRODUCT(Mecze[[#This Row],[/PR:90]:[/BR:90]],Brudnopis!$E$26:$J$26),0)</f>
        <v>5.2631578947368418E-2</v>
      </c>
      <c r="W3829" s="44">
        <f>IF(Mecze[[#This Row],[Role]]&lt;&gt;"BR",SUMPRODUCT(Mecze[[#This Row],[/PR:90]:[/BR:90]],Brudnopis!$E$27:$J$27),0)</f>
        <v>5.5263157894736847E-2</v>
      </c>
      <c r="X3829" s="44">
        <f>IF(Mecze[[#This Row],[Role]]&lt;&gt;"BR",SUMPRODUCT(Mecze[[#This Row],[/PR:90]:[/BR:90]],Brudnopis!$E$28:$J$28),0)</f>
        <v>2.1052631578947368E-2</v>
      </c>
      <c r="Y3829" s="35">
        <f>IF(Mecze[[#This Row],[Role]]="BR",Mecze[[#This Row],[/OB:90]]+Mecze[[#This Row],[/PC:90]],SUM(Mecze[[#This Row],[/PR:90]:[/BR:90]]))</f>
        <v>5.2631578947368418E-2</v>
      </c>
      <c r="Z3829" s="35">
        <f>IF(Mecze[[#This Row],[KC]]=0,SUM(Mecze[[#This Row],[/BRI]:[/NPI]]),SUM(Mecze[[#This Row],[/BRI]:[/NPI]])*0.6)</f>
        <v>0.24473684210526317</v>
      </c>
      <c r="AA3829" s="10">
        <f>IFERROR(Mecze[[#This Row],[BR]]/Mecze[[#This Row],[ST]],0)</f>
        <v>0</v>
      </c>
      <c r="AB3829">
        <f>ROUND(Mecze[[#This Row],[PD]]*Mecze[[#This Row],[%PC]],0)</f>
        <v>2</v>
      </c>
      <c r="AC3829">
        <f>ROUND(Mecze[[#This Row],[OD]]*Mecze[[#This Row],[%OU]],0)</f>
        <v>0</v>
      </c>
      <c r="AD3829" s="36" t="s">
        <v>47</v>
      </c>
      <c r="AE3829" s="36">
        <v>223</v>
      </c>
      <c r="AF3829" s="71">
        <v>3.33</v>
      </c>
      <c r="AG3829" s="37">
        <v>0</v>
      </c>
      <c r="AH3829" s="37">
        <v>0</v>
      </c>
      <c r="AI3829" s="37">
        <v>95</v>
      </c>
      <c r="AJ3829" s="37">
        <v>1</v>
      </c>
      <c r="AK3829" s="37" t="str">
        <f>VLOOKUP(Mecze[[#This Row],[Match ID]],Meczusie[Mecz]:Meczusie[RodzajMeczu],2,FALSE)</f>
        <v>Towarzyski</v>
      </c>
    </row>
    <row r="3830" spans="1:37" x14ac:dyDescent="0.25">
      <c r="A3830" s="76">
        <v>3</v>
      </c>
      <c r="B3830" s="3" t="s">
        <v>158</v>
      </c>
      <c r="C3830" s="2" t="s">
        <v>157</v>
      </c>
      <c r="D3830" s="1">
        <v>0</v>
      </c>
      <c r="E3830" s="1">
        <v>0</v>
      </c>
      <c r="F3830" s="1">
        <v>0</v>
      </c>
      <c r="G3830" s="1">
        <v>6</v>
      </c>
      <c r="H3830" s="4">
        <v>0.67</v>
      </c>
      <c r="I3830" s="1">
        <v>2</v>
      </c>
      <c r="J3830" s="4">
        <v>0</v>
      </c>
      <c r="K3830" s="1">
        <v>0</v>
      </c>
      <c r="L3830" s="1">
        <v>6</v>
      </c>
      <c r="M3830" s="32">
        <f>IF(Mecze[[#This Row],[PR]]=0,0,Mecze[[#This Row],[PR]]/Mecze[[#This Row],[CZAS]])</f>
        <v>6.3157894736842107E-2</v>
      </c>
      <c r="N3830" s="32">
        <f>IF(Mecze[[#This Row],[OU]]=0,0,Mecze[[#This Row],[OU]]/Mecze[[#This Row],[CZAS]])</f>
        <v>0</v>
      </c>
      <c r="O3830" s="32">
        <f>IF(Mecze[[#This Row],[PC]]=0,0,Mecze[[#This Row],[PC]]/Mecze[[#This Row],[CZAS]])</f>
        <v>4.2105263157894736E-2</v>
      </c>
      <c r="P3830" s="32">
        <f>IF(Mecze[[#This Row],[SC]]=0,0,Mecze[[#This Row],[SC]]/Mecze[[#This Row],[CZAS]])</f>
        <v>0</v>
      </c>
      <c r="Q3830" s="32">
        <f>IF(Mecze[[#This Row],[OB]]=0,0,Mecze[[#This Row],[OB]]/Mecze[[#This Row],[CZAS]])</f>
        <v>0</v>
      </c>
      <c r="R3830" s="32">
        <f>IF(Mecze[[#This Row],[BR]]=0,0,Mecze[[#This Row],[BR]]/Mecze[[#This Row],[CZAS]])</f>
        <v>0</v>
      </c>
      <c r="S3830" s="44">
        <f>IF(Mecze[[#This Row],[Role]]="BR",SUMPRODUCT(Mecze[[#This Row],[/PR:90]:[/BR:90]],Brudnopis!$E$23:$J$23),0)</f>
        <v>0</v>
      </c>
      <c r="T3830" s="44">
        <f>IF(Mecze[[#This Row],[Role]]&lt;&gt;"BR",SUMPRODUCT(Mecze[[#This Row],[/PR:90]:[/BR:90]],Brudnopis!$E$24:$J$24),0)</f>
        <v>0.10526315789473684</v>
      </c>
      <c r="U3830" s="44">
        <f>IF(Mecze[[#This Row],[Role]]&lt;&gt;"BR",SUMPRODUCT(Mecze[[#This Row],[/PR:90]:[/BR:90]],Brudnopis!$E$25:$J$25),0)</f>
        <v>0.12631578947368421</v>
      </c>
      <c r="V3830" s="44">
        <f>IF(Mecze[[#This Row],[Role]]&lt;&gt;"BR",SUMPRODUCT(Mecze[[#This Row],[/PR:90]:[/BR:90]],Brudnopis!$E$26:$J$26),0)</f>
        <v>0.10526315789473684</v>
      </c>
      <c r="W3830" s="44">
        <f>IF(Mecze[[#This Row],[Role]]&lt;&gt;"BR",SUMPRODUCT(Mecze[[#This Row],[/PR:90]:[/BR:90]],Brudnopis!$E$27:$J$27),0)</f>
        <v>0.11052631578947369</v>
      </c>
      <c r="X3830" s="44">
        <f>IF(Mecze[[#This Row],[Role]]&lt;&gt;"BR",SUMPRODUCT(Mecze[[#This Row],[/PR:90]:[/BR:90]],Brudnopis!$E$28:$J$28),0)</f>
        <v>4.2105263157894736E-2</v>
      </c>
      <c r="Y3830" s="35">
        <f>IF(Mecze[[#This Row],[Role]]="BR",Mecze[[#This Row],[/OB:90]]+Mecze[[#This Row],[/PC:90]],SUM(Mecze[[#This Row],[/PR:90]:[/BR:90]]))</f>
        <v>0.10526315789473684</v>
      </c>
      <c r="Z3830" s="35">
        <f>IF(Mecze[[#This Row],[KC]]=0,SUM(Mecze[[#This Row],[/BRI]:[/NPI]]),SUM(Mecze[[#This Row],[/BRI]:[/NPI]])*0.6)</f>
        <v>0.48947368421052634</v>
      </c>
      <c r="AA3830" s="10">
        <f>IFERROR(Mecze[[#This Row],[BR]]/Mecze[[#This Row],[ST]],0)</f>
        <v>0</v>
      </c>
      <c r="AB3830">
        <f>ROUND(Mecze[[#This Row],[PD]]*Mecze[[#This Row],[%PC]],0)</f>
        <v>4</v>
      </c>
      <c r="AC3830">
        <f>ROUND(Mecze[[#This Row],[OD]]*Mecze[[#This Row],[%OU]],0)</f>
        <v>0</v>
      </c>
      <c r="AD3830" s="36" t="s">
        <v>168</v>
      </c>
      <c r="AE3830" s="36">
        <v>223</v>
      </c>
      <c r="AF3830" s="71">
        <v>3.96</v>
      </c>
      <c r="AG3830" s="37">
        <v>0</v>
      </c>
      <c r="AH3830" s="37">
        <v>0</v>
      </c>
      <c r="AI3830" s="37">
        <v>95</v>
      </c>
      <c r="AJ3830" s="37">
        <v>1</v>
      </c>
      <c r="AK3830" s="37" t="str">
        <f>VLOOKUP(Mecze[[#This Row],[Match ID]],Meczusie[Mecz]:Meczusie[RodzajMeczu],2,FALSE)</f>
        <v>Towarzyski</v>
      </c>
    </row>
    <row r="3831" spans="1:37" x14ac:dyDescent="0.25">
      <c r="A3831" s="76">
        <v>5</v>
      </c>
      <c r="B3831" s="3" t="s">
        <v>161</v>
      </c>
      <c r="C3831" s="2" t="s">
        <v>160</v>
      </c>
      <c r="D3831" s="1">
        <v>0</v>
      </c>
      <c r="E3831" s="1">
        <v>0</v>
      </c>
      <c r="F3831" s="1">
        <v>0</v>
      </c>
      <c r="G3831" s="1">
        <v>15</v>
      </c>
      <c r="H3831" s="4">
        <v>0.67</v>
      </c>
      <c r="I3831" s="1">
        <v>7</v>
      </c>
      <c r="J3831" s="4">
        <v>0.71</v>
      </c>
      <c r="K3831" s="1">
        <v>0</v>
      </c>
      <c r="L3831" s="1">
        <v>9</v>
      </c>
      <c r="M3831" s="32">
        <f>IF(Mecze[[#This Row],[PR]]=0,0,Mecze[[#This Row],[PR]]/Mecze[[#This Row],[CZAS]])</f>
        <v>9.4736842105263161E-2</v>
      </c>
      <c r="N3831" s="32">
        <f>IF(Mecze[[#This Row],[OU]]=0,0,Mecze[[#This Row],[OU]]/Mecze[[#This Row],[CZAS]])</f>
        <v>5.2631578947368418E-2</v>
      </c>
      <c r="O3831" s="32">
        <f>IF(Mecze[[#This Row],[PC]]=0,0,Mecze[[#This Row],[PC]]/Mecze[[#This Row],[CZAS]])</f>
        <v>0.10526315789473684</v>
      </c>
      <c r="P3831" s="32">
        <f>IF(Mecze[[#This Row],[SC]]=0,0,Mecze[[#This Row],[SC]]/Mecze[[#This Row],[CZAS]])</f>
        <v>0</v>
      </c>
      <c r="Q3831" s="32">
        <f>IF(Mecze[[#This Row],[OB]]=0,0,Mecze[[#This Row],[OB]]/Mecze[[#This Row],[CZAS]])</f>
        <v>0</v>
      </c>
      <c r="R3831" s="32">
        <f>IF(Mecze[[#This Row],[BR]]=0,0,Mecze[[#This Row],[BR]]/Mecze[[#This Row],[CZAS]])</f>
        <v>0</v>
      </c>
      <c r="S3831" s="44">
        <f>IF(Mecze[[#This Row],[Role]]="BR",SUMPRODUCT(Mecze[[#This Row],[/PR:90]:[/BR:90]],Brudnopis!$E$23:$J$23),0)</f>
        <v>0</v>
      </c>
      <c r="T3831" s="44">
        <f>IF(Mecze[[#This Row],[Role]]&lt;&gt;"BR",SUMPRODUCT(Mecze[[#This Row],[/PR:90]:[/BR:90]],Brudnopis!$E$24:$J$24),0)</f>
        <v>0.27894736842105261</v>
      </c>
      <c r="U3831" s="44">
        <f>IF(Mecze[[#This Row],[Role]]&lt;&gt;"BR",SUMPRODUCT(Mecze[[#This Row],[/PR:90]:[/BR:90]],Brudnopis!$E$25:$J$25),0)</f>
        <v>0.30526315789473685</v>
      </c>
      <c r="V3831" s="44">
        <f>IF(Mecze[[#This Row],[Role]]&lt;&gt;"BR",SUMPRODUCT(Mecze[[#This Row],[/PR:90]:[/BR:90]],Brudnopis!$E$26:$J$26),0)</f>
        <v>0.25263157894736843</v>
      </c>
      <c r="W3831" s="44">
        <f>IF(Mecze[[#This Row],[Role]]&lt;&gt;"BR",SUMPRODUCT(Mecze[[#This Row],[/PR:90]:[/BR:90]],Brudnopis!$E$27:$J$27),0)</f>
        <v>0.26842105263157895</v>
      </c>
      <c r="X3831" s="44">
        <f>IF(Mecze[[#This Row],[Role]]&lt;&gt;"BR",SUMPRODUCT(Mecze[[#This Row],[/PR:90]:[/BR:90]],Brudnopis!$E$28:$J$28),0)</f>
        <v>0.10526315789473684</v>
      </c>
      <c r="Y3831" s="35">
        <f>IF(Mecze[[#This Row],[Role]]="BR",Mecze[[#This Row],[/OB:90]]+Mecze[[#This Row],[/PC:90]],SUM(Mecze[[#This Row],[/PR:90]:[/BR:90]]))</f>
        <v>0.25263157894736843</v>
      </c>
      <c r="Z3831" s="35">
        <f>IF(Mecze[[#This Row],[KC]]=0,SUM(Mecze[[#This Row],[/BRI]:[/NPI]]),SUM(Mecze[[#This Row],[/BRI]:[/NPI]])*0.6)</f>
        <v>1.2105263157894739</v>
      </c>
      <c r="AA3831" s="10">
        <f>IFERROR(Mecze[[#This Row],[BR]]/Mecze[[#This Row],[ST]],0)</f>
        <v>0</v>
      </c>
      <c r="AB3831">
        <f>ROUND(Mecze[[#This Row],[PD]]*Mecze[[#This Row],[%PC]],0)</f>
        <v>10</v>
      </c>
      <c r="AC3831">
        <f>ROUND(Mecze[[#This Row],[OD]]*Mecze[[#This Row],[%OU]],0)</f>
        <v>5</v>
      </c>
      <c r="AD3831" s="36" t="s">
        <v>41</v>
      </c>
      <c r="AE3831" s="36">
        <v>223</v>
      </c>
      <c r="AF3831" s="71">
        <v>5.8</v>
      </c>
      <c r="AG3831" s="37">
        <v>0</v>
      </c>
      <c r="AH3831" s="37">
        <v>0</v>
      </c>
      <c r="AI3831" s="37">
        <v>95</v>
      </c>
      <c r="AJ3831" s="37">
        <v>1</v>
      </c>
      <c r="AK3831" s="37" t="str">
        <f>VLOOKUP(Mecze[[#This Row],[Match ID]],Meczusie[Mecz]:Meczusie[RodzajMeczu],2,FALSE)</f>
        <v>Towarzyski</v>
      </c>
    </row>
    <row r="3832" spans="1:37" x14ac:dyDescent="0.25">
      <c r="A3832" s="76">
        <v>60</v>
      </c>
      <c r="B3832" s="3" t="s">
        <v>515</v>
      </c>
      <c r="C3832" s="2" t="s">
        <v>160</v>
      </c>
      <c r="D3832" s="1">
        <v>0</v>
      </c>
      <c r="E3832" s="1">
        <v>2</v>
      </c>
      <c r="F3832" s="1">
        <v>1</v>
      </c>
      <c r="G3832" s="1">
        <v>12</v>
      </c>
      <c r="H3832" s="4">
        <v>0.67</v>
      </c>
      <c r="I3832" s="1">
        <v>10</v>
      </c>
      <c r="J3832" s="4">
        <v>0.4</v>
      </c>
      <c r="K3832" s="1">
        <v>0</v>
      </c>
      <c r="L3832" s="1">
        <v>10</v>
      </c>
      <c r="M3832" s="32">
        <f>IF(Mecze[[#This Row],[PR]]=0,0,Mecze[[#This Row],[PR]]/Mecze[[#This Row],[CZAS]])</f>
        <v>0.10526315789473684</v>
      </c>
      <c r="N3832" s="32">
        <f>IF(Mecze[[#This Row],[OU]]=0,0,Mecze[[#This Row],[OU]]/Mecze[[#This Row],[CZAS]])</f>
        <v>4.2105263157894736E-2</v>
      </c>
      <c r="O3832" s="32">
        <f>IF(Mecze[[#This Row],[PC]]=0,0,Mecze[[#This Row],[PC]]/Mecze[[#This Row],[CZAS]])</f>
        <v>8.4210526315789472E-2</v>
      </c>
      <c r="P3832" s="32">
        <f>IF(Mecze[[#This Row],[SC]]=0,0,Mecze[[#This Row],[SC]]/Mecze[[#This Row],[CZAS]])</f>
        <v>1.0526315789473684E-2</v>
      </c>
      <c r="Q3832" s="32">
        <f>IF(Mecze[[#This Row],[OB]]=0,0,Mecze[[#This Row],[OB]]/Mecze[[#This Row],[CZAS]])</f>
        <v>0</v>
      </c>
      <c r="R3832" s="32">
        <f>IF(Mecze[[#This Row],[BR]]=0,0,Mecze[[#This Row],[BR]]/Mecze[[#This Row],[CZAS]])</f>
        <v>0</v>
      </c>
      <c r="S3832" s="44">
        <f>IF(Mecze[[#This Row],[Role]]="BR",SUMPRODUCT(Mecze[[#This Row],[/PR:90]:[/BR:90]],Brudnopis!$E$23:$J$23),0)</f>
        <v>0</v>
      </c>
      <c r="T3832" s="44">
        <f>IF(Mecze[[#This Row],[Role]]&lt;&gt;"BR",SUMPRODUCT(Mecze[[#This Row],[/PR:90]:[/BR:90]],Brudnopis!$E$24:$J$24),0)</f>
        <v>0.26315789473684209</v>
      </c>
      <c r="U3832" s="44">
        <f>IF(Mecze[[#This Row],[Role]]&lt;&gt;"BR",SUMPRODUCT(Mecze[[#This Row],[/PR:90]:[/BR:90]],Brudnopis!$E$25:$J$25),0)</f>
        <v>0.28421052631578941</v>
      </c>
      <c r="V3832" s="44">
        <f>IF(Mecze[[#This Row],[Role]]&lt;&gt;"BR",SUMPRODUCT(Mecze[[#This Row],[/PR:90]:[/BR:90]],Brudnopis!$E$26:$J$26),0)</f>
        <v>0.24210526315789474</v>
      </c>
      <c r="W3832" s="44">
        <f>IF(Mecze[[#This Row],[Role]]&lt;&gt;"BR",SUMPRODUCT(Mecze[[#This Row],[/PR:90]:[/BR:90]],Brudnopis!$E$27:$J$27),0)</f>
        <v>0.2473684210526316</v>
      </c>
      <c r="X3832" s="44">
        <f>IF(Mecze[[#This Row],[Role]]&lt;&gt;"BR",SUMPRODUCT(Mecze[[#This Row],[/PR:90]:[/BR:90]],Brudnopis!$E$28:$J$28),0)</f>
        <v>0.10526315789473684</v>
      </c>
      <c r="Y3832" s="35">
        <f>IF(Mecze[[#This Row],[Role]]="BR",Mecze[[#This Row],[/OB:90]]+Mecze[[#This Row],[/PC:90]],SUM(Mecze[[#This Row],[/PR:90]:[/BR:90]]))</f>
        <v>0.24210526315789474</v>
      </c>
      <c r="Z3832" s="35">
        <f>IF(Mecze[[#This Row],[KC]]=0,SUM(Mecze[[#This Row],[/BRI]:[/NPI]]),SUM(Mecze[[#This Row],[/BRI]:[/NPI]])*0.6)</f>
        <v>1.1421052631578945</v>
      </c>
      <c r="AA3832" s="10">
        <f>IFERROR(Mecze[[#This Row],[BR]]/Mecze[[#This Row],[ST]],0)</f>
        <v>0</v>
      </c>
      <c r="AB3832">
        <f>ROUND(Mecze[[#This Row],[PD]]*Mecze[[#This Row],[%PC]],0)</f>
        <v>8</v>
      </c>
      <c r="AC3832">
        <f>ROUND(Mecze[[#This Row],[OD]]*Mecze[[#This Row],[%OU]],0)</f>
        <v>4</v>
      </c>
      <c r="AD3832" s="36" t="s">
        <v>41</v>
      </c>
      <c r="AE3832" s="36">
        <v>223</v>
      </c>
      <c r="AF3832" s="71">
        <v>6.24</v>
      </c>
      <c r="AG3832" s="37">
        <v>0</v>
      </c>
      <c r="AH3832" s="37">
        <v>0</v>
      </c>
      <c r="AI3832" s="37">
        <v>95</v>
      </c>
      <c r="AJ3832" s="37">
        <v>1</v>
      </c>
      <c r="AK3832" s="37" t="str">
        <f>VLOOKUP(Mecze[[#This Row],[Match ID]],Meczusie[Mecz]:Meczusie[RodzajMeczu],2,FALSE)</f>
        <v>Towarzyski</v>
      </c>
    </row>
    <row r="3833" spans="1:37" x14ac:dyDescent="0.25">
      <c r="A3833" s="76">
        <v>15</v>
      </c>
      <c r="B3833" s="3" t="s">
        <v>170</v>
      </c>
      <c r="C3833" s="2" t="s">
        <v>160</v>
      </c>
      <c r="D3833" s="1">
        <v>0</v>
      </c>
      <c r="E3833" s="1">
        <v>0</v>
      </c>
      <c r="F3833" s="1">
        <v>0</v>
      </c>
      <c r="G3833" s="1">
        <v>17</v>
      </c>
      <c r="H3833" s="4">
        <v>0.65</v>
      </c>
      <c r="I3833" s="1">
        <v>8</v>
      </c>
      <c r="J3833" s="4">
        <v>0.38</v>
      </c>
      <c r="K3833" s="1">
        <v>0</v>
      </c>
      <c r="L3833" s="1">
        <v>3</v>
      </c>
      <c r="M3833" s="32">
        <f>IF(Mecze[[#This Row],[PR]]=0,0,Mecze[[#This Row],[PR]]/Mecze[[#This Row],[CZAS]])</f>
        <v>3.1578947368421054E-2</v>
      </c>
      <c r="N3833" s="32">
        <f>IF(Mecze[[#This Row],[OU]]=0,0,Mecze[[#This Row],[OU]]/Mecze[[#This Row],[CZAS]])</f>
        <v>3.1578947368421054E-2</v>
      </c>
      <c r="O3833" s="32">
        <f>IF(Mecze[[#This Row],[PC]]=0,0,Mecze[[#This Row],[PC]]/Mecze[[#This Row],[CZAS]])</f>
        <v>0.11578947368421053</v>
      </c>
      <c r="P3833" s="32">
        <f>IF(Mecze[[#This Row],[SC]]=0,0,Mecze[[#This Row],[SC]]/Mecze[[#This Row],[CZAS]])</f>
        <v>0</v>
      </c>
      <c r="Q3833" s="32">
        <f>IF(Mecze[[#This Row],[OB]]=0,0,Mecze[[#This Row],[OB]]/Mecze[[#This Row],[CZAS]])</f>
        <v>0</v>
      </c>
      <c r="R3833" s="32">
        <f>IF(Mecze[[#This Row],[BR]]=0,0,Mecze[[#This Row],[BR]]/Mecze[[#This Row],[CZAS]])</f>
        <v>0</v>
      </c>
      <c r="S3833" s="44">
        <f>IF(Mecze[[#This Row],[Role]]="BR",SUMPRODUCT(Mecze[[#This Row],[/PR:90]:[/BR:90]],Brudnopis!$E$23:$J$23),0)</f>
        <v>0</v>
      </c>
      <c r="T3833" s="44">
        <f>IF(Mecze[[#This Row],[Role]]&lt;&gt;"BR",SUMPRODUCT(Mecze[[#This Row],[/PR:90]:[/BR:90]],Brudnopis!$E$24:$J$24),0)</f>
        <v>0.19473684210526315</v>
      </c>
      <c r="U3833" s="44">
        <f>IF(Mecze[[#This Row],[Role]]&lt;&gt;"BR",SUMPRODUCT(Mecze[[#This Row],[/PR:90]:[/BR:90]],Brudnopis!$E$25:$J$25),0)</f>
        <v>0.23684210526315788</v>
      </c>
      <c r="V3833" s="44">
        <f>IF(Mecze[[#This Row],[Role]]&lt;&gt;"BR",SUMPRODUCT(Mecze[[#This Row],[/PR:90]:[/BR:90]],Brudnopis!$E$26:$J$26),0)</f>
        <v>0.17894736842105263</v>
      </c>
      <c r="W3833" s="44">
        <f>IF(Mecze[[#This Row],[Role]]&lt;&gt;"BR",SUMPRODUCT(Mecze[[#This Row],[/PR:90]:[/BR:90]],Brudnopis!$E$27:$J$27),0)</f>
        <v>0.22105263157894736</v>
      </c>
      <c r="X3833" s="44">
        <f>IF(Mecze[[#This Row],[Role]]&lt;&gt;"BR",SUMPRODUCT(Mecze[[#This Row],[/PR:90]:[/BR:90]],Brudnopis!$E$28:$J$28),0)</f>
        <v>0.11578947368421053</v>
      </c>
      <c r="Y3833" s="35">
        <f>IF(Mecze[[#This Row],[Role]]="BR",Mecze[[#This Row],[/OB:90]]+Mecze[[#This Row],[/PC:90]],SUM(Mecze[[#This Row],[/PR:90]:[/BR:90]]))</f>
        <v>0.17894736842105263</v>
      </c>
      <c r="Z3833" s="35">
        <f>IF(Mecze[[#This Row],[KC]]=0,SUM(Mecze[[#This Row],[/BRI]:[/NPI]]),SUM(Mecze[[#This Row],[/BRI]:[/NPI]])*0.6)</f>
        <v>0.94736842105263164</v>
      </c>
      <c r="AA3833" s="10">
        <f>IFERROR(Mecze[[#This Row],[BR]]/Mecze[[#This Row],[ST]],0)</f>
        <v>0</v>
      </c>
      <c r="AB3833">
        <f>ROUND(Mecze[[#This Row],[PD]]*Mecze[[#This Row],[%PC]],0)</f>
        <v>11</v>
      </c>
      <c r="AC3833">
        <f>ROUND(Mecze[[#This Row],[OD]]*Mecze[[#This Row],[%OU]],0)</f>
        <v>3</v>
      </c>
      <c r="AD3833" s="36" t="s">
        <v>67</v>
      </c>
      <c r="AE3833" s="36">
        <v>223</v>
      </c>
      <c r="AF3833" s="71">
        <v>4.54</v>
      </c>
      <c r="AG3833" s="37">
        <v>0</v>
      </c>
      <c r="AH3833" s="37">
        <v>0</v>
      </c>
      <c r="AI3833" s="37">
        <v>95</v>
      </c>
      <c r="AJ3833" s="37">
        <v>1</v>
      </c>
      <c r="AK3833" s="37" t="str">
        <f>VLOOKUP(Mecze[[#This Row],[Match ID]],Meczusie[Mecz]:Meczusie[RodzajMeczu],2,FALSE)</f>
        <v>Towarzyski</v>
      </c>
    </row>
    <row r="3834" spans="1:37" x14ac:dyDescent="0.25">
      <c r="A3834" s="76">
        <v>13</v>
      </c>
      <c r="B3834" s="3" t="s">
        <v>162</v>
      </c>
      <c r="C3834" s="2" t="s">
        <v>160</v>
      </c>
      <c r="D3834" s="1">
        <v>0</v>
      </c>
      <c r="E3834" s="1">
        <v>1</v>
      </c>
      <c r="F3834" s="1">
        <v>1</v>
      </c>
      <c r="G3834" s="1">
        <v>20</v>
      </c>
      <c r="H3834" s="4">
        <v>0.75</v>
      </c>
      <c r="I3834" s="1">
        <v>2</v>
      </c>
      <c r="J3834" s="4">
        <v>0.5</v>
      </c>
      <c r="K3834" s="1">
        <v>0</v>
      </c>
      <c r="L3834" s="1">
        <v>0</v>
      </c>
      <c r="M3834" s="32">
        <f>IF(Mecze[[#This Row],[PR]]=0,0,Mecze[[#This Row],[PR]]/Mecze[[#This Row],[CZAS]])</f>
        <v>0</v>
      </c>
      <c r="N3834" s="32">
        <f>IF(Mecze[[#This Row],[OU]]=0,0,Mecze[[#This Row],[OU]]/Mecze[[#This Row],[CZAS]])</f>
        <v>1.0526315789473684E-2</v>
      </c>
      <c r="O3834" s="32">
        <f>IF(Mecze[[#This Row],[PC]]=0,0,Mecze[[#This Row],[PC]]/Mecze[[#This Row],[CZAS]])</f>
        <v>0.15789473684210525</v>
      </c>
      <c r="P3834" s="32">
        <f>IF(Mecze[[#This Row],[SC]]=0,0,Mecze[[#This Row],[SC]]/Mecze[[#This Row],[CZAS]])</f>
        <v>1.0526315789473684E-2</v>
      </c>
      <c r="Q3834" s="32">
        <f>IF(Mecze[[#This Row],[OB]]=0,0,Mecze[[#This Row],[OB]]/Mecze[[#This Row],[CZAS]])</f>
        <v>0</v>
      </c>
      <c r="R3834" s="32">
        <f>IF(Mecze[[#This Row],[BR]]=0,0,Mecze[[#This Row],[BR]]/Mecze[[#This Row],[CZAS]])</f>
        <v>0</v>
      </c>
      <c r="S3834" s="44">
        <f>IF(Mecze[[#This Row],[Role]]="BR",SUMPRODUCT(Mecze[[#This Row],[/PR:90]:[/BR:90]],Brudnopis!$E$23:$J$23),0)</f>
        <v>0</v>
      </c>
      <c r="T3834" s="44">
        <f>IF(Mecze[[#This Row],[Role]]&lt;&gt;"BR",SUMPRODUCT(Mecze[[#This Row],[/PR:90]:[/BR:90]],Brudnopis!$E$24:$J$24),0)</f>
        <v>0.18421052631578946</v>
      </c>
      <c r="U3834" s="44">
        <f>IF(Mecze[[#This Row],[Role]]&lt;&gt;"BR",SUMPRODUCT(Mecze[[#This Row],[/PR:90]:[/BR:90]],Brudnopis!$E$25:$J$25),0)</f>
        <v>0.25789473684210523</v>
      </c>
      <c r="V3834" s="44">
        <f>IF(Mecze[[#This Row],[Role]]&lt;&gt;"BR",SUMPRODUCT(Mecze[[#This Row],[/PR:90]:[/BR:90]],Brudnopis!$E$26:$J$26),0)</f>
        <v>0.17894736842105263</v>
      </c>
      <c r="W3834" s="44">
        <f>IF(Mecze[[#This Row],[Role]]&lt;&gt;"BR",SUMPRODUCT(Mecze[[#This Row],[/PR:90]:[/BR:90]],Brudnopis!$E$27:$J$27),0)</f>
        <v>0.2552631578947368</v>
      </c>
      <c r="X3834" s="44">
        <f>IF(Mecze[[#This Row],[Role]]&lt;&gt;"BR",SUMPRODUCT(Mecze[[#This Row],[/PR:90]:[/BR:90]],Brudnopis!$E$28:$J$28),0)</f>
        <v>0.17894736842105263</v>
      </c>
      <c r="Y3834" s="35">
        <f>IF(Mecze[[#This Row],[Role]]="BR",Mecze[[#This Row],[/OB:90]]+Mecze[[#This Row],[/PC:90]],SUM(Mecze[[#This Row],[/PR:90]:[/BR:90]]))</f>
        <v>0.17894736842105263</v>
      </c>
      <c r="Z3834" s="35">
        <f>IF(Mecze[[#This Row],[KC]]=0,SUM(Mecze[[#This Row],[/BRI]:[/NPI]]),SUM(Mecze[[#This Row],[/BRI]:[/NPI]])*0.6)</f>
        <v>1.0552631578947369</v>
      </c>
      <c r="AA3834" s="10">
        <f>IFERROR(Mecze[[#This Row],[BR]]/Mecze[[#This Row],[ST]],0)</f>
        <v>0</v>
      </c>
      <c r="AB3834">
        <f>ROUND(Mecze[[#This Row],[PD]]*Mecze[[#This Row],[%PC]],0)</f>
        <v>15</v>
      </c>
      <c r="AC3834">
        <f>ROUND(Mecze[[#This Row],[OD]]*Mecze[[#This Row],[%OU]],0)</f>
        <v>1</v>
      </c>
      <c r="AD3834" s="36" t="s">
        <v>319</v>
      </c>
      <c r="AE3834" s="36">
        <v>223</v>
      </c>
      <c r="AF3834" s="71">
        <v>4.1399999999999997</v>
      </c>
      <c r="AG3834" s="37">
        <v>0</v>
      </c>
      <c r="AH3834" s="37">
        <v>0</v>
      </c>
      <c r="AI3834" s="37">
        <v>95</v>
      </c>
      <c r="AJ3834" s="37">
        <v>1</v>
      </c>
      <c r="AK3834" s="37" t="str">
        <f>VLOOKUP(Mecze[[#This Row],[Match ID]],Meczusie[Mecz]:Meczusie[RodzajMeczu],2,FALSE)</f>
        <v>Towarzyski</v>
      </c>
    </row>
    <row r="3835" spans="1:37" x14ac:dyDescent="0.25">
      <c r="A3835" s="76">
        <v>14</v>
      </c>
      <c r="B3835" s="3" t="s">
        <v>164</v>
      </c>
      <c r="C3835" s="2" t="s">
        <v>160</v>
      </c>
      <c r="D3835" s="1">
        <v>0</v>
      </c>
      <c r="E3835" s="1">
        <v>1</v>
      </c>
      <c r="F3835" s="1">
        <v>1</v>
      </c>
      <c r="G3835" s="1">
        <v>6</v>
      </c>
      <c r="H3835" s="4">
        <v>0.83</v>
      </c>
      <c r="I3835" s="1">
        <v>3</v>
      </c>
      <c r="J3835" s="4">
        <v>0</v>
      </c>
      <c r="K3835" s="1">
        <v>0</v>
      </c>
      <c r="L3835" s="1">
        <v>0</v>
      </c>
      <c r="M3835" s="32">
        <f>IF(Mecze[[#This Row],[PR]]=0,0,Mecze[[#This Row],[PR]]/Mecze[[#This Row],[CZAS]])</f>
        <v>0</v>
      </c>
      <c r="N3835" s="32">
        <f>IF(Mecze[[#This Row],[OU]]=0,0,Mecze[[#This Row],[OU]]/Mecze[[#This Row],[CZAS]])</f>
        <v>0</v>
      </c>
      <c r="O3835" s="32">
        <f>IF(Mecze[[#This Row],[PC]]=0,0,Mecze[[#This Row],[PC]]/Mecze[[#This Row],[CZAS]])</f>
        <v>5.2631578947368418E-2</v>
      </c>
      <c r="P3835" s="32">
        <f>IF(Mecze[[#This Row],[SC]]=0,0,Mecze[[#This Row],[SC]]/Mecze[[#This Row],[CZAS]])</f>
        <v>1.0526315789473684E-2</v>
      </c>
      <c r="Q3835" s="32">
        <f>IF(Mecze[[#This Row],[OB]]=0,0,Mecze[[#This Row],[OB]]/Mecze[[#This Row],[CZAS]])</f>
        <v>0</v>
      </c>
      <c r="R3835" s="32">
        <f>IF(Mecze[[#This Row],[BR]]=0,0,Mecze[[#This Row],[BR]]/Mecze[[#This Row],[CZAS]])</f>
        <v>0</v>
      </c>
      <c r="S3835" s="44">
        <f>IF(Mecze[[#This Row],[Role]]="BR",SUMPRODUCT(Mecze[[#This Row],[/PR:90]:[/BR:90]],Brudnopis!$E$23:$J$23),0)</f>
        <v>0</v>
      </c>
      <c r="T3835" s="44">
        <f>IF(Mecze[[#This Row],[Role]]&lt;&gt;"BR",SUMPRODUCT(Mecze[[#This Row],[/PR:90]:[/BR:90]],Brudnopis!$E$24:$J$24),0)</f>
        <v>6.3157894736842107E-2</v>
      </c>
      <c r="U3835" s="44">
        <f>IF(Mecze[[#This Row],[Role]]&lt;&gt;"BR",SUMPRODUCT(Mecze[[#This Row],[/PR:90]:[/BR:90]],Brudnopis!$E$25:$J$25),0)</f>
        <v>8.9473684210526316E-2</v>
      </c>
      <c r="V3835" s="44">
        <f>IF(Mecze[[#This Row],[Role]]&lt;&gt;"BR",SUMPRODUCT(Mecze[[#This Row],[/PR:90]:[/BR:90]],Brudnopis!$E$26:$J$26),0)</f>
        <v>6.3157894736842107E-2</v>
      </c>
      <c r="W3835" s="44">
        <f>IF(Mecze[[#This Row],[Role]]&lt;&gt;"BR",SUMPRODUCT(Mecze[[#This Row],[/PR:90]:[/BR:90]],Brudnopis!$E$27:$J$27),0)</f>
        <v>8.9473684210526316E-2</v>
      </c>
      <c r="X3835" s="44">
        <f>IF(Mecze[[#This Row],[Role]]&lt;&gt;"BR",SUMPRODUCT(Mecze[[#This Row],[/PR:90]:[/BR:90]],Brudnopis!$E$28:$J$28),0)</f>
        <v>7.3684210526315783E-2</v>
      </c>
      <c r="Y3835" s="35">
        <f>IF(Mecze[[#This Row],[Role]]="BR",Mecze[[#This Row],[/OB:90]]+Mecze[[#This Row],[/PC:90]],SUM(Mecze[[#This Row],[/PR:90]:[/BR:90]]))</f>
        <v>6.3157894736842107E-2</v>
      </c>
      <c r="Z3835" s="35">
        <f>IF(Mecze[[#This Row],[KC]]=0,SUM(Mecze[[#This Row],[/BRI]:[/NPI]]),SUM(Mecze[[#This Row],[/BRI]:[/NPI]])*0.6)</f>
        <v>0.37894736842105264</v>
      </c>
      <c r="AA3835" s="10">
        <f>IFERROR(Mecze[[#This Row],[BR]]/Mecze[[#This Row],[ST]],0)</f>
        <v>0</v>
      </c>
      <c r="AB3835">
        <f>ROUND(Mecze[[#This Row],[PD]]*Mecze[[#This Row],[%PC]],0)</f>
        <v>5</v>
      </c>
      <c r="AC3835">
        <f>ROUND(Mecze[[#This Row],[OD]]*Mecze[[#This Row],[%OU]],0)</f>
        <v>0</v>
      </c>
      <c r="AD3835" s="36" t="s">
        <v>44</v>
      </c>
      <c r="AE3835" s="36">
        <v>223</v>
      </c>
      <c r="AF3835" s="71">
        <v>5.05</v>
      </c>
      <c r="AG3835" s="37">
        <v>0</v>
      </c>
      <c r="AH3835" s="37">
        <v>0</v>
      </c>
      <c r="AI3835" s="37">
        <v>95</v>
      </c>
      <c r="AJ3835" s="37">
        <v>1</v>
      </c>
      <c r="AK3835" s="37" t="str">
        <f>VLOOKUP(Mecze[[#This Row],[Match ID]],Meczusie[Mecz]:Meczusie[RodzajMeczu],2,FALSE)</f>
        <v>Towarzyski</v>
      </c>
    </row>
    <row r="3836" spans="1:37" x14ac:dyDescent="0.25">
      <c r="A3836" s="76">
        <v>19</v>
      </c>
      <c r="B3836" s="3" t="s">
        <v>166</v>
      </c>
      <c r="C3836" s="2" t="s">
        <v>165</v>
      </c>
      <c r="D3836" s="1">
        <v>0</v>
      </c>
      <c r="E3836" s="1">
        <v>1</v>
      </c>
      <c r="F3836" s="1">
        <v>1</v>
      </c>
      <c r="G3836" s="1">
        <v>4</v>
      </c>
      <c r="H3836" s="4">
        <v>0.5</v>
      </c>
      <c r="I3836" s="1">
        <v>1</v>
      </c>
      <c r="J3836" s="4">
        <v>0</v>
      </c>
      <c r="K3836" s="1">
        <v>0</v>
      </c>
      <c r="L3836" s="1">
        <v>0</v>
      </c>
      <c r="M3836" s="32">
        <f>IF(Mecze[[#This Row],[PR]]=0,0,Mecze[[#This Row],[PR]]/Mecze[[#This Row],[CZAS]])</f>
        <v>0</v>
      </c>
      <c r="N3836" s="32">
        <f>IF(Mecze[[#This Row],[OU]]=0,0,Mecze[[#This Row],[OU]]/Mecze[[#This Row],[CZAS]])</f>
        <v>0</v>
      </c>
      <c r="O3836" s="32">
        <f>IF(Mecze[[#This Row],[PC]]=0,0,Mecze[[#This Row],[PC]]/Mecze[[#This Row],[CZAS]])</f>
        <v>2.1052631578947368E-2</v>
      </c>
      <c r="P3836" s="32">
        <f>IF(Mecze[[#This Row],[SC]]=0,0,Mecze[[#This Row],[SC]]/Mecze[[#This Row],[CZAS]])</f>
        <v>1.0526315789473684E-2</v>
      </c>
      <c r="Q3836" s="32">
        <f>IF(Mecze[[#This Row],[OB]]=0,0,Mecze[[#This Row],[OB]]/Mecze[[#This Row],[CZAS]])</f>
        <v>0</v>
      </c>
      <c r="R3836" s="32">
        <f>IF(Mecze[[#This Row],[BR]]=0,0,Mecze[[#This Row],[BR]]/Mecze[[#This Row],[CZAS]])</f>
        <v>0</v>
      </c>
      <c r="S3836" s="44">
        <f>IF(Mecze[[#This Row],[Role]]="BR",SUMPRODUCT(Mecze[[#This Row],[/PR:90]:[/BR:90]],Brudnopis!$E$23:$J$23),0)</f>
        <v>0</v>
      </c>
      <c r="T3836" s="44">
        <f>IF(Mecze[[#This Row],[Role]]&lt;&gt;"BR",SUMPRODUCT(Mecze[[#This Row],[/PR:90]:[/BR:90]],Brudnopis!$E$24:$J$24),0)</f>
        <v>3.1578947368421054E-2</v>
      </c>
      <c r="U3836" s="44">
        <f>IF(Mecze[[#This Row],[Role]]&lt;&gt;"BR",SUMPRODUCT(Mecze[[#This Row],[/PR:90]:[/BR:90]],Brudnopis!$E$25:$J$25),0)</f>
        <v>4.2105263157894736E-2</v>
      </c>
      <c r="V3836" s="44">
        <f>IF(Mecze[[#This Row],[Role]]&lt;&gt;"BR",SUMPRODUCT(Mecze[[#This Row],[/PR:90]:[/BR:90]],Brudnopis!$E$26:$J$26),0)</f>
        <v>3.1578947368421054E-2</v>
      </c>
      <c r="W3836" s="44">
        <f>IF(Mecze[[#This Row],[Role]]&lt;&gt;"BR",SUMPRODUCT(Mecze[[#This Row],[/PR:90]:[/BR:90]],Brudnopis!$E$27:$J$27),0)</f>
        <v>4.2105263157894736E-2</v>
      </c>
      <c r="X3836" s="44">
        <f>IF(Mecze[[#This Row],[Role]]&lt;&gt;"BR",SUMPRODUCT(Mecze[[#This Row],[/PR:90]:[/BR:90]],Brudnopis!$E$28:$J$28),0)</f>
        <v>4.2105263157894736E-2</v>
      </c>
      <c r="Y3836" s="35">
        <f>IF(Mecze[[#This Row],[Role]]="BR",Mecze[[#This Row],[/OB:90]]+Mecze[[#This Row],[/PC:90]],SUM(Mecze[[#This Row],[/PR:90]:[/BR:90]]))</f>
        <v>3.1578947368421054E-2</v>
      </c>
      <c r="Z3836" s="35">
        <f>IF(Mecze[[#This Row],[KC]]=0,SUM(Mecze[[#This Row],[/BRI]:[/NPI]]),SUM(Mecze[[#This Row],[/BRI]:[/NPI]])*0.6)</f>
        <v>0.18947368421052632</v>
      </c>
      <c r="AA3836" s="10">
        <f>IFERROR(Mecze[[#This Row],[BR]]/Mecze[[#This Row],[ST]],0)</f>
        <v>0</v>
      </c>
      <c r="AB3836">
        <f>ROUND(Mecze[[#This Row],[PD]]*Mecze[[#This Row],[%PC]],0)</f>
        <v>2</v>
      </c>
      <c r="AC3836">
        <f>ROUND(Mecze[[#This Row],[OD]]*Mecze[[#This Row],[%OU]],0)</f>
        <v>0</v>
      </c>
      <c r="AD3836" s="36" t="s">
        <v>273</v>
      </c>
      <c r="AE3836" s="36">
        <v>223</v>
      </c>
      <c r="AF3836" s="71">
        <v>2.93</v>
      </c>
      <c r="AG3836" s="37">
        <v>0</v>
      </c>
      <c r="AH3836" s="37">
        <v>0</v>
      </c>
      <c r="AI3836" s="37">
        <v>95</v>
      </c>
      <c r="AJ3836" s="37">
        <v>1</v>
      </c>
      <c r="AK3836" s="37" t="str">
        <f>VLOOKUP(Mecze[[#This Row],[Match ID]],Meczusie[Mecz]:Meczusie[RodzajMeczu],2,FALSE)</f>
        <v>Towarzyski</v>
      </c>
    </row>
    <row r="3837" spans="1:37" x14ac:dyDescent="0.25">
      <c r="A3837" s="76">
        <v>9</v>
      </c>
      <c r="B3837" s="3" t="s">
        <v>411</v>
      </c>
      <c r="C3837" s="2" t="s">
        <v>165</v>
      </c>
      <c r="D3837" s="1">
        <v>1</v>
      </c>
      <c r="E3837" s="1">
        <v>13</v>
      </c>
      <c r="F3837" s="1">
        <v>12</v>
      </c>
      <c r="G3837" s="1">
        <v>5</v>
      </c>
      <c r="H3837" s="4">
        <v>0.6</v>
      </c>
      <c r="I3837" s="1">
        <v>3</v>
      </c>
      <c r="J3837" s="4">
        <v>0.33</v>
      </c>
      <c r="K3837" s="1">
        <v>0</v>
      </c>
      <c r="L3837" s="1">
        <v>0</v>
      </c>
      <c r="M3837" s="32">
        <f>IF(Mecze[[#This Row],[PR]]=0,0,Mecze[[#This Row],[PR]]/Mecze[[#This Row],[CZAS]])</f>
        <v>0</v>
      </c>
      <c r="N3837" s="32">
        <f>IF(Mecze[[#This Row],[OU]]=0,0,Mecze[[#This Row],[OU]]/Mecze[[#This Row],[CZAS]])</f>
        <v>1.0526315789473684E-2</v>
      </c>
      <c r="O3837" s="32">
        <f>IF(Mecze[[#This Row],[PC]]=0,0,Mecze[[#This Row],[PC]]/Mecze[[#This Row],[CZAS]])</f>
        <v>3.1578947368421054E-2</v>
      </c>
      <c r="P3837" s="32">
        <f>IF(Mecze[[#This Row],[SC]]=0,0,Mecze[[#This Row],[SC]]/Mecze[[#This Row],[CZAS]])</f>
        <v>0.12631578947368421</v>
      </c>
      <c r="Q3837" s="32">
        <f>IF(Mecze[[#This Row],[OB]]=0,0,Mecze[[#This Row],[OB]]/Mecze[[#This Row],[CZAS]])</f>
        <v>0</v>
      </c>
      <c r="R3837" s="32">
        <f>IF(Mecze[[#This Row],[BR]]=0,0,Mecze[[#This Row],[BR]]/Mecze[[#This Row],[CZAS]])</f>
        <v>1.0526315789473684E-2</v>
      </c>
      <c r="S3837" s="44">
        <f>IF(Mecze[[#This Row],[Role]]="BR",SUMPRODUCT(Mecze[[#This Row],[/PR:90]:[/BR:90]],Brudnopis!$E$23:$J$23),0)</f>
        <v>0</v>
      </c>
      <c r="T3837" s="44">
        <f>IF(Mecze[[#This Row],[Role]]&lt;&gt;"BR",SUMPRODUCT(Mecze[[#This Row],[/PR:90]:[/BR:90]],Brudnopis!$E$24:$J$24),0)</f>
        <v>0.18947368421052632</v>
      </c>
      <c r="U3837" s="44">
        <f>IF(Mecze[[#This Row],[Role]]&lt;&gt;"BR",SUMPRODUCT(Mecze[[#This Row],[/PR:90]:[/BR:90]],Brudnopis!$E$25:$J$25),0)</f>
        <v>0.2</v>
      </c>
      <c r="V3837" s="44">
        <f>IF(Mecze[[#This Row],[Role]]&lt;&gt;"BR",SUMPRODUCT(Mecze[[#This Row],[/PR:90]:[/BR:90]],Brudnopis!$E$26:$J$26),0)</f>
        <v>0.18947368421052632</v>
      </c>
      <c r="W3837" s="44">
        <f>IF(Mecze[[#This Row],[Role]]&lt;&gt;"BR",SUMPRODUCT(Mecze[[#This Row],[/PR:90]:[/BR:90]],Brudnopis!$E$27:$J$27),0)</f>
        <v>0.20263157894736844</v>
      </c>
      <c r="X3837" s="44">
        <f>IF(Mecze[[#This Row],[Role]]&lt;&gt;"BR",SUMPRODUCT(Mecze[[#This Row],[/PR:90]:[/BR:90]],Brudnopis!$E$28:$J$28),0)</f>
        <v>0.31578947368421051</v>
      </c>
      <c r="Y3837" s="35">
        <f>IF(Mecze[[#This Row],[Role]]="BR",Mecze[[#This Row],[/OB:90]]+Mecze[[#This Row],[/PC:90]],SUM(Mecze[[#This Row],[/PR:90]:[/BR:90]]))</f>
        <v>0.17894736842105263</v>
      </c>
      <c r="Z3837" s="35">
        <f>IF(Mecze[[#This Row],[KC]]=0,SUM(Mecze[[#This Row],[/BRI]:[/NPI]]),SUM(Mecze[[#This Row],[/BRI]:[/NPI]])*0.6)</f>
        <v>1.0973684210526318</v>
      </c>
      <c r="AA3837" s="10">
        <f>IFERROR(Mecze[[#This Row],[BR]]/Mecze[[#This Row],[ST]],0)</f>
        <v>7.6923076923076927E-2</v>
      </c>
      <c r="AB3837">
        <f>ROUND(Mecze[[#This Row],[PD]]*Mecze[[#This Row],[%PC]],0)</f>
        <v>3</v>
      </c>
      <c r="AC3837">
        <f>ROUND(Mecze[[#This Row],[OD]]*Mecze[[#This Row],[%OU]],0)</f>
        <v>1</v>
      </c>
      <c r="AD3837" s="36" t="s">
        <v>46</v>
      </c>
      <c r="AE3837" s="36">
        <v>223</v>
      </c>
      <c r="AF3837" s="71">
        <v>8.98</v>
      </c>
      <c r="AG3837" s="37">
        <v>0</v>
      </c>
      <c r="AH3837" s="37">
        <v>0</v>
      </c>
      <c r="AI3837" s="37">
        <v>95</v>
      </c>
      <c r="AJ3837" s="37">
        <v>1</v>
      </c>
      <c r="AK3837" s="37" t="str">
        <f>VLOOKUP(Mecze[[#This Row],[Match ID]],Meczusie[Mecz]:Meczusie[RodzajMeczu],2,FALSE)</f>
        <v>Towarzyski</v>
      </c>
    </row>
    <row r="3838" spans="1:37" x14ac:dyDescent="0.25">
      <c r="A3838" s="76">
        <v>1</v>
      </c>
      <c r="B3838" s="3" t="s">
        <v>169</v>
      </c>
      <c r="C3838" s="2" t="s">
        <v>155</v>
      </c>
      <c r="D3838" s="1">
        <v>0</v>
      </c>
      <c r="E3838" s="1">
        <v>0</v>
      </c>
      <c r="F3838" s="1">
        <v>0</v>
      </c>
      <c r="G3838" s="1">
        <v>4</v>
      </c>
      <c r="H3838" s="4">
        <v>0.5</v>
      </c>
      <c r="I3838" s="1">
        <v>0</v>
      </c>
      <c r="J3838" s="4"/>
      <c r="K3838" s="1">
        <v>3</v>
      </c>
      <c r="L3838" s="1">
        <v>0</v>
      </c>
      <c r="M3838" s="32">
        <f>IF(Mecze[[#This Row],[PR]]=0,0,Mecze[[#This Row],[PR]]/Mecze[[#This Row],[CZAS]])</f>
        <v>0</v>
      </c>
      <c r="N3838" s="32">
        <f>IF(Mecze[[#This Row],[OU]]=0,0,Mecze[[#This Row],[OU]]/Mecze[[#This Row],[CZAS]])</f>
        <v>0</v>
      </c>
      <c r="O3838" s="32">
        <f>IF(Mecze[[#This Row],[PC]]=0,0,Mecze[[#This Row],[PC]]/Mecze[[#This Row],[CZAS]])</f>
        <v>2.0833333333333332E-2</v>
      </c>
      <c r="P3838" s="32">
        <f>IF(Mecze[[#This Row],[SC]]=0,0,Mecze[[#This Row],[SC]]/Mecze[[#This Row],[CZAS]])</f>
        <v>0</v>
      </c>
      <c r="Q3838" s="32">
        <f>IF(Mecze[[#This Row],[OB]]=0,0,Mecze[[#This Row],[OB]]/Mecze[[#This Row],[CZAS]])</f>
        <v>3.125E-2</v>
      </c>
      <c r="R3838" s="32">
        <f>IF(Mecze[[#This Row],[BR]]=0,0,Mecze[[#This Row],[BR]]/Mecze[[#This Row],[CZAS]])</f>
        <v>0</v>
      </c>
      <c r="S3838" s="44">
        <f>IF(Mecze[[#This Row],[Role]]="BR",SUMPRODUCT(Mecze[[#This Row],[/PR:90]:[/BR:90]],Brudnopis!$E$23:$J$23),0)</f>
        <v>0.15625</v>
      </c>
      <c r="T3838" s="44">
        <f>IF(Mecze[[#This Row],[Role]]&lt;&gt;"BR",SUMPRODUCT(Mecze[[#This Row],[/PR:90]:[/BR:90]],Brudnopis!$E$24:$J$24),0)</f>
        <v>0</v>
      </c>
      <c r="U3838" s="44">
        <f>IF(Mecze[[#This Row],[Role]]&lt;&gt;"BR",SUMPRODUCT(Mecze[[#This Row],[/PR:90]:[/BR:90]],Brudnopis!$E$25:$J$25),0)</f>
        <v>0</v>
      </c>
      <c r="V3838" s="44">
        <f>IF(Mecze[[#This Row],[Role]]&lt;&gt;"BR",SUMPRODUCT(Mecze[[#This Row],[/PR:90]:[/BR:90]],Brudnopis!$E$26:$J$26),0)</f>
        <v>0</v>
      </c>
      <c r="W3838" s="44">
        <f>IF(Mecze[[#This Row],[Role]]&lt;&gt;"BR",SUMPRODUCT(Mecze[[#This Row],[/PR:90]:[/BR:90]],Brudnopis!$E$27:$J$27),0)</f>
        <v>0</v>
      </c>
      <c r="X3838" s="44">
        <f>IF(Mecze[[#This Row],[Role]]&lt;&gt;"BR",SUMPRODUCT(Mecze[[#This Row],[/PR:90]:[/BR:90]],Brudnopis!$E$28:$J$28),0)</f>
        <v>0</v>
      </c>
      <c r="Y3838" s="35">
        <f>IF(Mecze[[#This Row],[Role]]="BR",Mecze[[#This Row],[/OB:90]]+Mecze[[#This Row],[/PC:90]],SUM(Mecze[[#This Row],[/PR:90]:[/BR:90]]))</f>
        <v>5.2083333333333329E-2</v>
      </c>
      <c r="Z3838" s="35">
        <f>IF(Mecze[[#This Row],[KC]]=0,SUM(Mecze[[#This Row],[/BRI]:[/NPI]]),SUM(Mecze[[#This Row],[/BRI]:[/NPI]])*0.6)</f>
        <v>0.15625</v>
      </c>
      <c r="AA3838" s="10">
        <f>IFERROR(Mecze[[#This Row],[BR]]/Mecze[[#This Row],[ST]],0)</f>
        <v>0</v>
      </c>
      <c r="AB3838">
        <f>ROUND(Mecze[[#This Row],[PD]]*Mecze[[#This Row],[%PC]],0)</f>
        <v>2</v>
      </c>
      <c r="AC3838">
        <f>ROUND(Mecze[[#This Row],[OD]]*Mecze[[#This Row],[%OU]],0)</f>
        <v>0</v>
      </c>
      <c r="AD3838" s="36" t="s">
        <v>40</v>
      </c>
      <c r="AE3838" s="36">
        <v>224</v>
      </c>
      <c r="AF3838" s="71">
        <v>8.09</v>
      </c>
      <c r="AG3838" s="37">
        <v>0</v>
      </c>
      <c r="AH3838" s="37">
        <v>0</v>
      </c>
      <c r="AI3838" s="37">
        <v>96</v>
      </c>
      <c r="AJ3838" s="37">
        <v>1</v>
      </c>
      <c r="AK3838" s="37" t="str">
        <f>VLOOKUP(Mecze[[#This Row],[Match ID]],Meczusie[Mecz]:Meczusie[RodzajMeczu],2,FALSE)</f>
        <v>Towarzyski</v>
      </c>
    </row>
    <row r="3839" spans="1:37" x14ac:dyDescent="0.25">
      <c r="A3839" s="76">
        <v>6</v>
      </c>
      <c r="B3839" s="3" t="s">
        <v>159</v>
      </c>
      <c r="C3839" s="2" t="s">
        <v>157</v>
      </c>
      <c r="D3839" s="1">
        <v>0</v>
      </c>
      <c r="E3839" s="1">
        <v>0</v>
      </c>
      <c r="F3839" s="1">
        <v>0</v>
      </c>
      <c r="G3839" s="1">
        <v>7</v>
      </c>
      <c r="H3839" s="4">
        <v>0.28999999999999998</v>
      </c>
      <c r="I3839" s="1">
        <v>7</v>
      </c>
      <c r="J3839" s="4">
        <v>0.28999999999999998</v>
      </c>
      <c r="K3839" s="1">
        <v>0</v>
      </c>
      <c r="L3839" s="1">
        <v>9</v>
      </c>
      <c r="M3839" s="32">
        <f>IF(Mecze[[#This Row],[PR]]=0,0,Mecze[[#This Row],[PR]]/Mecze[[#This Row],[CZAS]])</f>
        <v>9.375E-2</v>
      </c>
      <c r="N3839" s="32">
        <f>IF(Mecze[[#This Row],[OU]]=0,0,Mecze[[#This Row],[OU]]/Mecze[[#This Row],[CZAS]])</f>
        <v>2.0833333333333332E-2</v>
      </c>
      <c r="O3839" s="32">
        <f>IF(Mecze[[#This Row],[PC]]=0,0,Mecze[[#This Row],[PC]]/Mecze[[#This Row],[CZAS]])</f>
        <v>2.0833333333333332E-2</v>
      </c>
      <c r="P3839" s="32">
        <f>IF(Mecze[[#This Row],[SC]]=0,0,Mecze[[#This Row],[SC]]/Mecze[[#This Row],[CZAS]])</f>
        <v>0</v>
      </c>
      <c r="Q3839" s="32">
        <f>IF(Mecze[[#This Row],[OB]]=0,0,Mecze[[#This Row],[OB]]/Mecze[[#This Row],[CZAS]])</f>
        <v>0</v>
      </c>
      <c r="R3839" s="32">
        <f>IF(Mecze[[#This Row],[BR]]=0,0,Mecze[[#This Row],[BR]]/Mecze[[#This Row],[CZAS]])</f>
        <v>0</v>
      </c>
      <c r="S3839" s="44">
        <f>IF(Mecze[[#This Row],[Role]]="BR",SUMPRODUCT(Mecze[[#This Row],[/PR:90]:[/BR:90]],Brudnopis!$E$23:$J$23),0)</f>
        <v>0</v>
      </c>
      <c r="T3839" s="44">
        <f>IF(Mecze[[#This Row],[Role]]&lt;&gt;"BR",SUMPRODUCT(Mecze[[#This Row],[/PR:90]:[/BR:90]],Brudnopis!$E$24:$J$24),0)</f>
        <v>0.14583333333333334</v>
      </c>
      <c r="U3839" s="44">
        <f>IF(Mecze[[#This Row],[Role]]&lt;&gt;"BR",SUMPRODUCT(Mecze[[#This Row],[/PR:90]:[/BR:90]],Brudnopis!$E$25:$J$25),0)</f>
        <v>0.14583333333333331</v>
      </c>
      <c r="V3839" s="44">
        <f>IF(Mecze[[#This Row],[Role]]&lt;&gt;"BR",SUMPRODUCT(Mecze[[#This Row],[/PR:90]:[/BR:90]],Brudnopis!$E$26:$J$26),0)</f>
        <v>0.13541666666666666</v>
      </c>
      <c r="W3839" s="44">
        <f>IF(Mecze[[#This Row],[Role]]&lt;&gt;"BR",SUMPRODUCT(Mecze[[#This Row],[/PR:90]:[/BR:90]],Brudnopis!$E$27:$J$27),0)</f>
        <v>0.1171875</v>
      </c>
      <c r="X3839" s="44">
        <f>IF(Mecze[[#This Row],[Role]]&lt;&gt;"BR",SUMPRODUCT(Mecze[[#This Row],[/PR:90]:[/BR:90]],Brudnopis!$E$28:$J$28),0)</f>
        <v>2.0833333333333332E-2</v>
      </c>
      <c r="Y3839" s="35">
        <f>IF(Mecze[[#This Row],[Role]]="BR",Mecze[[#This Row],[/OB:90]]+Mecze[[#This Row],[/PC:90]],SUM(Mecze[[#This Row],[/PR:90]:[/BR:90]]))</f>
        <v>0.13541666666666666</v>
      </c>
      <c r="Z3839" s="35">
        <f>IF(Mecze[[#This Row],[KC]]=0,SUM(Mecze[[#This Row],[/BRI]:[/NPI]]),SUM(Mecze[[#This Row],[/BRI]:[/NPI]])*0.6)</f>
        <v>0.56510416666666663</v>
      </c>
      <c r="AA3839" s="10">
        <f>IFERROR(Mecze[[#This Row],[BR]]/Mecze[[#This Row],[ST]],0)</f>
        <v>0</v>
      </c>
      <c r="AB3839">
        <f>ROUND(Mecze[[#This Row],[PD]]*Mecze[[#This Row],[%PC]],0)</f>
        <v>2</v>
      </c>
      <c r="AC3839">
        <f>ROUND(Mecze[[#This Row],[OD]]*Mecze[[#This Row],[%OU]],0)</f>
        <v>2</v>
      </c>
      <c r="AD3839" s="36" t="s">
        <v>47</v>
      </c>
      <c r="AE3839" s="36">
        <v>224</v>
      </c>
      <c r="AF3839" s="71">
        <v>8.93</v>
      </c>
      <c r="AG3839" s="37">
        <v>0</v>
      </c>
      <c r="AH3839" s="37">
        <v>0</v>
      </c>
      <c r="AI3839" s="37">
        <v>96</v>
      </c>
      <c r="AJ3839" s="37">
        <v>1</v>
      </c>
      <c r="AK3839" s="37" t="str">
        <f>VLOOKUP(Mecze[[#This Row],[Match ID]],Meczusie[Mecz]:Meczusie[RodzajMeczu],2,FALSE)</f>
        <v>Towarzyski</v>
      </c>
    </row>
    <row r="3840" spans="1:37" x14ac:dyDescent="0.25">
      <c r="A3840" s="76">
        <v>60</v>
      </c>
      <c r="B3840" s="3" t="s">
        <v>515</v>
      </c>
      <c r="C3840" s="2" t="s">
        <v>157</v>
      </c>
      <c r="D3840" s="1">
        <v>0</v>
      </c>
      <c r="E3840" s="1">
        <v>0</v>
      </c>
      <c r="F3840" s="1">
        <v>0</v>
      </c>
      <c r="G3840" s="1">
        <v>12</v>
      </c>
      <c r="H3840" s="4">
        <v>0.5</v>
      </c>
      <c r="I3840" s="1">
        <v>10</v>
      </c>
      <c r="J3840" s="4">
        <v>0.6</v>
      </c>
      <c r="K3840" s="1">
        <v>0</v>
      </c>
      <c r="L3840" s="1">
        <v>11</v>
      </c>
      <c r="M3840" s="32">
        <f>IF(Mecze[[#This Row],[PR]]=0,0,Mecze[[#This Row],[PR]]/Mecze[[#This Row],[CZAS]])</f>
        <v>0.11458333333333333</v>
      </c>
      <c r="N3840" s="32">
        <f>IF(Mecze[[#This Row],[OU]]=0,0,Mecze[[#This Row],[OU]]/Mecze[[#This Row],[CZAS]])</f>
        <v>6.25E-2</v>
      </c>
      <c r="O3840" s="32">
        <f>IF(Mecze[[#This Row],[PC]]=0,0,Mecze[[#This Row],[PC]]/Mecze[[#This Row],[CZAS]])</f>
        <v>6.25E-2</v>
      </c>
      <c r="P3840" s="32">
        <f>IF(Mecze[[#This Row],[SC]]=0,0,Mecze[[#This Row],[SC]]/Mecze[[#This Row],[CZAS]])</f>
        <v>0</v>
      </c>
      <c r="Q3840" s="32">
        <f>IF(Mecze[[#This Row],[OB]]=0,0,Mecze[[#This Row],[OB]]/Mecze[[#This Row],[CZAS]])</f>
        <v>0</v>
      </c>
      <c r="R3840" s="32">
        <f>IF(Mecze[[#This Row],[BR]]=0,0,Mecze[[#This Row],[BR]]/Mecze[[#This Row],[CZAS]])</f>
        <v>0</v>
      </c>
      <c r="S3840" s="44">
        <f>IF(Mecze[[#This Row],[Role]]="BR",SUMPRODUCT(Mecze[[#This Row],[/PR:90]:[/BR:90]],Brudnopis!$E$23:$J$23),0)</f>
        <v>0</v>
      </c>
      <c r="T3840" s="44">
        <f>IF(Mecze[[#This Row],[Role]]&lt;&gt;"BR",SUMPRODUCT(Mecze[[#This Row],[/PR:90]:[/BR:90]],Brudnopis!$E$24:$J$24),0)</f>
        <v>0.27083333333333331</v>
      </c>
      <c r="U3840" s="44">
        <f>IF(Mecze[[#This Row],[Role]]&lt;&gt;"BR",SUMPRODUCT(Mecze[[#This Row],[/PR:90]:[/BR:90]],Brudnopis!$E$25:$J$25),0)</f>
        <v>0.27083333333333331</v>
      </c>
      <c r="V3840" s="44">
        <f>IF(Mecze[[#This Row],[Role]]&lt;&gt;"BR",SUMPRODUCT(Mecze[[#This Row],[/PR:90]:[/BR:90]],Brudnopis!$E$26:$J$26),0)</f>
        <v>0.23958333333333331</v>
      </c>
      <c r="W3840" s="44">
        <f>IF(Mecze[[#This Row],[Role]]&lt;&gt;"BR",SUMPRODUCT(Mecze[[#This Row],[/PR:90]:[/BR:90]],Brudnopis!$E$27:$J$27),0)</f>
        <v>0.2265625</v>
      </c>
      <c r="X3840" s="44">
        <f>IF(Mecze[[#This Row],[Role]]&lt;&gt;"BR",SUMPRODUCT(Mecze[[#This Row],[/PR:90]:[/BR:90]],Brudnopis!$E$28:$J$28),0)</f>
        <v>6.25E-2</v>
      </c>
      <c r="Y3840" s="35">
        <f>IF(Mecze[[#This Row],[Role]]="BR",Mecze[[#This Row],[/OB:90]]+Mecze[[#This Row],[/PC:90]],SUM(Mecze[[#This Row],[/PR:90]:[/BR:90]]))</f>
        <v>0.23958333333333331</v>
      </c>
      <c r="Z3840" s="35">
        <f>IF(Mecze[[#This Row],[KC]]=0,SUM(Mecze[[#This Row],[/BRI]:[/NPI]]),SUM(Mecze[[#This Row],[/BRI]:[/NPI]])*0.6)</f>
        <v>1.0703125</v>
      </c>
      <c r="AA3840" s="10">
        <f>IFERROR(Mecze[[#This Row],[BR]]/Mecze[[#This Row],[ST]],0)</f>
        <v>0</v>
      </c>
      <c r="AB3840">
        <f>ROUND(Mecze[[#This Row],[PD]]*Mecze[[#This Row],[%PC]],0)</f>
        <v>6</v>
      </c>
      <c r="AC3840">
        <f>ROUND(Mecze[[#This Row],[OD]]*Mecze[[#This Row],[%OU]],0)</f>
        <v>6</v>
      </c>
      <c r="AD3840" s="36" t="s">
        <v>47</v>
      </c>
      <c r="AE3840" s="36">
        <v>224</v>
      </c>
      <c r="AF3840" s="71">
        <v>10.47</v>
      </c>
      <c r="AG3840" s="37">
        <v>0</v>
      </c>
      <c r="AH3840" s="37">
        <v>0</v>
      </c>
      <c r="AI3840" s="37">
        <v>96</v>
      </c>
      <c r="AJ3840" s="37">
        <v>1</v>
      </c>
      <c r="AK3840" s="37" t="str">
        <f>VLOOKUP(Mecze[[#This Row],[Match ID]],Meczusie[Mecz]:Meczusie[RodzajMeczu],2,FALSE)</f>
        <v>Towarzyski</v>
      </c>
    </row>
    <row r="3841" spans="1:37" x14ac:dyDescent="0.25">
      <c r="A3841" s="76">
        <v>4</v>
      </c>
      <c r="B3841" s="3" t="s">
        <v>360</v>
      </c>
      <c r="C3841" s="2" t="s">
        <v>157</v>
      </c>
      <c r="D3841" s="1">
        <v>0</v>
      </c>
      <c r="E3841" s="1">
        <v>0</v>
      </c>
      <c r="F3841" s="1">
        <v>0</v>
      </c>
      <c r="G3841" s="1">
        <v>7</v>
      </c>
      <c r="H3841" s="4">
        <v>0.71</v>
      </c>
      <c r="I3841" s="1">
        <v>5</v>
      </c>
      <c r="J3841" s="4">
        <v>0.6</v>
      </c>
      <c r="K3841" s="1">
        <v>0</v>
      </c>
      <c r="L3841" s="1">
        <v>6</v>
      </c>
      <c r="M3841" s="32">
        <f>IF(Mecze[[#This Row],[PR]]=0,0,Mecze[[#This Row],[PR]]/Mecze[[#This Row],[CZAS]])</f>
        <v>6.25E-2</v>
      </c>
      <c r="N3841" s="32">
        <f>IF(Mecze[[#This Row],[OU]]=0,0,Mecze[[#This Row],[OU]]/Mecze[[#This Row],[CZAS]])</f>
        <v>3.125E-2</v>
      </c>
      <c r="O3841" s="32">
        <f>IF(Mecze[[#This Row],[PC]]=0,0,Mecze[[#This Row],[PC]]/Mecze[[#This Row],[CZAS]])</f>
        <v>5.2083333333333336E-2</v>
      </c>
      <c r="P3841" s="32">
        <f>IF(Mecze[[#This Row],[SC]]=0,0,Mecze[[#This Row],[SC]]/Mecze[[#This Row],[CZAS]])</f>
        <v>0</v>
      </c>
      <c r="Q3841" s="32">
        <f>IF(Mecze[[#This Row],[OB]]=0,0,Mecze[[#This Row],[OB]]/Mecze[[#This Row],[CZAS]])</f>
        <v>0</v>
      </c>
      <c r="R3841" s="32">
        <f>IF(Mecze[[#This Row],[BR]]=0,0,Mecze[[#This Row],[BR]]/Mecze[[#This Row],[CZAS]])</f>
        <v>0</v>
      </c>
      <c r="S3841" s="44">
        <f>IF(Mecze[[#This Row],[Role]]="BR",SUMPRODUCT(Mecze[[#This Row],[/PR:90]:[/BR:90]],Brudnopis!$E$23:$J$23),0)</f>
        <v>0</v>
      </c>
      <c r="T3841" s="44">
        <f>IF(Mecze[[#This Row],[Role]]&lt;&gt;"BR",SUMPRODUCT(Mecze[[#This Row],[/PR:90]:[/BR:90]],Brudnopis!$E$24:$J$24),0)</f>
        <v>0.16145833333333334</v>
      </c>
      <c r="U3841" s="44">
        <f>IF(Mecze[[#This Row],[Role]]&lt;&gt;"BR",SUMPRODUCT(Mecze[[#This Row],[/PR:90]:[/BR:90]],Brudnopis!$E$25:$J$25),0)</f>
        <v>0.171875</v>
      </c>
      <c r="V3841" s="44">
        <f>IF(Mecze[[#This Row],[Role]]&lt;&gt;"BR",SUMPRODUCT(Mecze[[#This Row],[/PR:90]:[/BR:90]],Brudnopis!$E$26:$J$26),0)</f>
        <v>0.14583333333333334</v>
      </c>
      <c r="W3841" s="44">
        <f>IF(Mecze[[#This Row],[Role]]&lt;&gt;"BR",SUMPRODUCT(Mecze[[#This Row],[/PR:90]:[/BR:90]],Brudnopis!$E$27:$J$27),0)</f>
        <v>0.1484375</v>
      </c>
      <c r="X3841" s="44">
        <f>IF(Mecze[[#This Row],[Role]]&lt;&gt;"BR",SUMPRODUCT(Mecze[[#This Row],[/PR:90]:[/BR:90]],Brudnopis!$E$28:$J$28),0)</f>
        <v>5.2083333333333336E-2</v>
      </c>
      <c r="Y3841" s="35">
        <f>IF(Mecze[[#This Row],[Role]]="BR",Mecze[[#This Row],[/OB:90]]+Mecze[[#This Row],[/PC:90]],SUM(Mecze[[#This Row],[/PR:90]:[/BR:90]]))</f>
        <v>0.14583333333333334</v>
      </c>
      <c r="Z3841" s="35">
        <f>IF(Mecze[[#This Row],[KC]]=0,SUM(Mecze[[#This Row],[/BRI]:[/NPI]]),SUM(Mecze[[#This Row],[/BRI]:[/NPI]])*0.6)</f>
        <v>0.67968750000000011</v>
      </c>
      <c r="AA3841" s="10">
        <f>IFERROR(Mecze[[#This Row],[BR]]/Mecze[[#This Row],[ST]],0)</f>
        <v>0</v>
      </c>
      <c r="AB3841">
        <f>ROUND(Mecze[[#This Row],[PD]]*Mecze[[#This Row],[%PC]],0)</f>
        <v>5</v>
      </c>
      <c r="AC3841">
        <f>ROUND(Mecze[[#This Row],[OD]]*Mecze[[#This Row],[%OU]],0)</f>
        <v>3</v>
      </c>
      <c r="AD3841" s="36" t="s">
        <v>175</v>
      </c>
      <c r="AE3841" s="36">
        <v>224</v>
      </c>
      <c r="AF3841" s="71">
        <v>9.42</v>
      </c>
      <c r="AG3841" s="37">
        <v>0</v>
      </c>
      <c r="AH3841" s="37">
        <v>0</v>
      </c>
      <c r="AI3841" s="37">
        <v>96</v>
      </c>
      <c r="AJ3841" s="37">
        <v>1</v>
      </c>
      <c r="AK3841" s="37" t="str">
        <f>VLOOKUP(Mecze[[#This Row],[Match ID]],Meczusie[Mecz]:Meczusie[RodzajMeczu],2,FALSE)</f>
        <v>Towarzyski</v>
      </c>
    </row>
    <row r="3842" spans="1:37" x14ac:dyDescent="0.25">
      <c r="A3842" s="76">
        <v>3</v>
      </c>
      <c r="B3842" s="3" t="s">
        <v>158</v>
      </c>
      <c r="C3842" s="2" t="s">
        <v>157</v>
      </c>
      <c r="D3842" s="1">
        <v>0</v>
      </c>
      <c r="E3842" s="1">
        <v>0</v>
      </c>
      <c r="F3842" s="1">
        <v>0</v>
      </c>
      <c r="G3842" s="1">
        <v>4</v>
      </c>
      <c r="H3842" s="4">
        <v>0.5</v>
      </c>
      <c r="I3842" s="1">
        <v>7</v>
      </c>
      <c r="J3842" s="4">
        <v>0.43</v>
      </c>
      <c r="K3842" s="1">
        <v>0</v>
      </c>
      <c r="L3842" s="1">
        <v>6</v>
      </c>
      <c r="M3842" s="32">
        <f>IF(Mecze[[#This Row],[PR]]=0,0,Mecze[[#This Row],[PR]]/Mecze[[#This Row],[CZAS]])</f>
        <v>6.25E-2</v>
      </c>
      <c r="N3842" s="32">
        <f>IF(Mecze[[#This Row],[OU]]=0,0,Mecze[[#This Row],[OU]]/Mecze[[#This Row],[CZAS]])</f>
        <v>3.125E-2</v>
      </c>
      <c r="O3842" s="32">
        <f>IF(Mecze[[#This Row],[PC]]=0,0,Mecze[[#This Row],[PC]]/Mecze[[#This Row],[CZAS]])</f>
        <v>2.0833333333333332E-2</v>
      </c>
      <c r="P3842" s="32">
        <f>IF(Mecze[[#This Row],[SC]]=0,0,Mecze[[#This Row],[SC]]/Mecze[[#This Row],[CZAS]])</f>
        <v>0</v>
      </c>
      <c r="Q3842" s="32">
        <f>IF(Mecze[[#This Row],[OB]]=0,0,Mecze[[#This Row],[OB]]/Mecze[[#This Row],[CZAS]])</f>
        <v>0</v>
      </c>
      <c r="R3842" s="32">
        <f>IF(Mecze[[#This Row],[BR]]=0,0,Mecze[[#This Row],[BR]]/Mecze[[#This Row],[CZAS]])</f>
        <v>0</v>
      </c>
      <c r="S3842" s="44">
        <f>IF(Mecze[[#This Row],[Role]]="BR",SUMPRODUCT(Mecze[[#This Row],[/PR:90]:[/BR:90]],Brudnopis!$E$23:$J$23),0)</f>
        <v>0</v>
      </c>
      <c r="T3842" s="44">
        <f>IF(Mecze[[#This Row],[Role]]&lt;&gt;"BR",SUMPRODUCT(Mecze[[#This Row],[/PR:90]:[/BR:90]],Brudnopis!$E$24:$J$24),0)</f>
        <v>0.13020833333333334</v>
      </c>
      <c r="U3842" s="44">
        <f>IF(Mecze[[#This Row],[Role]]&lt;&gt;"BR",SUMPRODUCT(Mecze[[#This Row],[/PR:90]:[/BR:90]],Brudnopis!$E$25:$J$25),0)</f>
        <v>0.125</v>
      </c>
      <c r="V3842" s="44">
        <f>IF(Mecze[[#This Row],[Role]]&lt;&gt;"BR",SUMPRODUCT(Mecze[[#This Row],[/PR:90]:[/BR:90]],Brudnopis!$E$26:$J$26),0)</f>
        <v>0.11458333333333333</v>
      </c>
      <c r="W3842" s="44">
        <f>IF(Mecze[[#This Row],[Role]]&lt;&gt;"BR",SUMPRODUCT(Mecze[[#This Row],[/PR:90]:[/BR:90]],Brudnopis!$E$27:$J$27),0)</f>
        <v>0.1015625</v>
      </c>
      <c r="X3842" s="44">
        <f>IF(Mecze[[#This Row],[Role]]&lt;&gt;"BR",SUMPRODUCT(Mecze[[#This Row],[/PR:90]:[/BR:90]],Brudnopis!$E$28:$J$28),0)</f>
        <v>2.0833333333333332E-2</v>
      </c>
      <c r="Y3842" s="35">
        <f>IF(Mecze[[#This Row],[Role]]="BR",Mecze[[#This Row],[/OB:90]]+Mecze[[#This Row],[/PC:90]],SUM(Mecze[[#This Row],[/PR:90]:[/BR:90]]))</f>
        <v>0.11458333333333333</v>
      </c>
      <c r="Z3842" s="35">
        <f>IF(Mecze[[#This Row],[KC]]=0,SUM(Mecze[[#This Row],[/BRI]:[/NPI]]),SUM(Mecze[[#This Row],[/BRI]:[/NPI]])*0.6)</f>
        <v>0.4921875</v>
      </c>
      <c r="AA3842" s="10">
        <f>IFERROR(Mecze[[#This Row],[BR]]/Mecze[[#This Row],[ST]],0)</f>
        <v>0</v>
      </c>
      <c r="AB3842">
        <f>ROUND(Mecze[[#This Row],[PD]]*Mecze[[#This Row],[%PC]],0)</f>
        <v>2</v>
      </c>
      <c r="AC3842">
        <f>ROUND(Mecze[[#This Row],[OD]]*Mecze[[#This Row],[%OU]],0)</f>
        <v>3</v>
      </c>
      <c r="AD3842" s="36" t="s">
        <v>174</v>
      </c>
      <c r="AE3842" s="36">
        <v>224</v>
      </c>
      <c r="AF3842" s="71">
        <v>8.3000000000000007</v>
      </c>
      <c r="AG3842" s="37">
        <v>0</v>
      </c>
      <c r="AH3842" s="37">
        <v>0</v>
      </c>
      <c r="AI3842" s="37">
        <v>96</v>
      </c>
      <c r="AJ3842" s="37">
        <v>1</v>
      </c>
      <c r="AK3842" s="37" t="str">
        <f>VLOOKUP(Mecze[[#This Row],[Match ID]],Meczusie[Mecz]:Meczusie[RodzajMeczu],2,FALSE)</f>
        <v>Towarzyski</v>
      </c>
    </row>
    <row r="3843" spans="1:37" x14ac:dyDescent="0.25">
      <c r="A3843" s="76">
        <v>13</v>
      </c>
      <c r="B3843" s="3" t="s">
        <v>162</v>
      </c>
      <c r="C3843" s="2" t="s">
        <v>160</v>
      </c>
      <c r="D3843" s="1">
        <v>0</v>
      </c>
      <c r="E3843" s="1">
        <v>1</v>
      </c>
      <c r="F3843" s="1">
        <v>1</v>
      </c>
      <c r="G3843" s="1">
        <v>11</v>
      </c>
      <c r="H3843" s="4">
        <v>0.64</v>
      </c>
      <c r="I3843" s="1">
        <v>5</v>
      </c>
      <c r="J3843" s="4">
        <v>0.4</v>
      </c>
      <c r="K3843" s="1">
        <v>0</v>
      </c>
      <c r="L3843" s="1">
        <v>6</v>
      </c>
      <c r="M3843" s="32">
        <f>IF(Mecze[[#This Row],[PR]]=0,0,Mecze[[#This Row],[PR]]/Mecze[[#This Row],[CZAS]])</f>
        <v>6.25E-2</v>
      </c>
      <c r="N3843" s="32">
        <f>IF(Mecze[[#This Row],[OU]]=0,0,Mecze[[#This Row],[OU]]/Mecze[[#This Row],[CZAS]])</f>
        <v>2.0833333333333332E-2</v>
      </c>
      <c r="O3843" s="32">
        <f>IF(Mecze[[#This Row],[PC]]=0,0,Mecze[[#This Row],[PC]]/Mecze[[#This Row],[CZAS]])</f>
        <v>7.2916666666666671E-2</v>
      </c>
      <c r="P3843" s="32">
        <f>IF(Mecze[[#This Row],[SC]]=0,0,Mecze[[#This Row],[SC]]/Mecze[[#This Row],[CZAS]])</f>
        <v>1.0416666666666666E-2</v>
      </c>
      <c r="Q3843" s="32">
        <f>IF(Mecze[[#This Row],[OB]]=0,0,Mecze[[#This Row],[OB]]/Mecze[[#This Row],[CZAS]])</f>
        <v>0</v>
      </c>
      <c r="R3843" s="32">
        <f>IF(Mecze[[#This Row],[BR]]=0,0,Mecze[[#This Row],[BR]]/Mecze[[#This Row],[CZAS]])</f>
        <v>0</v>
      </c>
      <c r="S3843" s="44">
        <f>IF(Mecze[[#This Row],[Role]]="BR",SUMPRODUCT(Mecze[[#This Row],[/PR:90]:[/BR:90]],Brudnopis!$E$23:$J$23),0)</f>
        <v>0</v>
      </c>
      <c r="T3843" s="44">
        <f>IF(Mecze[[#This Row],[Role]]&lt;&gt;"BR",SUMPRODUCT(Mecze[[#This Row],[/PR:90]:[/BR:90]],Brudnopis!$E$24:$J$24),0)</f>
        <v>0.17708333333333334</v>
      </c>
      <c r="U3843" s="44">
        <f>IF(Mecze[[#This Row],[Role]]&lt;&gt;"BR",SUMPRODUCT(Mecze[[#This Row],[/PR:90]:[/BR:90]],Brudnopis!$E$25:$J$25),0)</f>
        <v>0.20312499999999997</v>
      </c>
      <c r="V3843" s="44">
        <f>IF(Mecze[[#This Row],[Role]]&lt;&gt;"BR",SUMPRODUCT(Mecze[[#This Row],[/PR:90]:[/BR:90]],Brudnopis!$E$26:$J$26),0)</f>
        <v>0.16666666666666666</v>
      </c>
      <c r="W3843" s="44">
        <f>IF(Mecze[[#This Row],[Role]]&lt;&gt;"BR",SUMPRODUCT(Mecze[[#This Row],[/PR:90]:[/BR:90]],Brudnopis!$E$27:$J$27),0)</f>
        <v>0.18229166666666666</v>
      </c>
      <c r="X3843" s="44">
        <f>IF(Mecze[[#This Row],[Role]]&lt;&gt;"BR",SUMPRODUCT(Mecze[[#This Row],[/PR:90]:[/BR:90]],Brudnopis!$E$28:$J$28),0)</f>
        <v>9.375E-2</v>
      </c>
      <c r="Y3843" s="35">
        <f>IF(Mecze[[#This Row],[Role]]="BR",Mecze[[#This Row],[/OB:90]]+Mecze[[#This Row],[/PC:90]],SUM(Mecze[[#This Row],[/PR:90]:[/BR:90]]))</f>
        <v>0.16666666666666666</v>
      </c>
      <c r="Z3843" s="35">
        <f>IF(Mecze[[#This Row],[KC]]=0,SUM(Mecze[[#This Row],[/BRI]:[/NPI]]),SUM(Mecze[[#This Row],[/BRI]:[/NPI]])*0.6)</f>
        <v>0.82291666666666663</v>
      </c>
      <c r="AA3843" s="10">
        <f>IFERROR(Mecze[[#This Row],[BR]]/Mecze[[#This Row],[ST]],0)</f>
        <v>0</v>
      </c>
      <c r="AB3843">
        <f>ROUND(Mecze[[#This Row],[PD]]*Mecze[[#This Row],[%PC]],0)</f>
        <v>7</v>
      </c>
      <c r="AC3843">
        <f>ROUND(Mecze[[#This Row],[OD]]*Mecze[[#This Row],[%OU]],0)</f>
        <v>2</v>
      </c>
      <c r="AD3843" s="36" t="s">
        <v>41</v>
      </c>
      <c r="AE3843" s="36">
        <v>224</v>
      </c>
      <c r="AF3843" s="71">
        <v>9.74</v>
      </c>
      <c r="AG3843" s="37">
        <v>0</v>
      </c>
      <c r="AH3843" s="37">
        <v>0</v>
      </c>
      <c r="AI3843" s="37">
        <v>96</v>
      </c>
      <c r="AJ3843" s="37">
        <v>1</v>
      </c>
      <c r="AK3843" s="37" t="str">
        <f>VLOOKUP(Mecze[[#This Row],[Match ID]],Meczusie[Mecz]:Meczusie[RodzajMeczu],2,FALSE)</f>
        <v>Towarzyski</v>
      </c>
    </row>
    <row r="3844" spans="1:37" x14ac:dyDescent="0.25">
      <c r="A3844" s="76">
        <v>5</v>
      </c>
      <c r="B3844" s="3" t="s">
        <v>161</v>
      </c>
      <c r="C3844" s="2" t="s">
        <v>160</v>
      </c>
      <c r="D3844" s="1">
        <v>0</v>
      </c>
      <c r="E3844" s="1">
        <v>0</v>
      </c>
      <c r="F3844" s="1">
        <v>0</v>
      </c>
      <c r="G3844" s="1">
        <v>16</v>
      </c>
      <c r="H3844" s="4">
        <v>0.56000000000000005</v>
      </c>
      <c r="I3844" s="1">
        <v>10</v>
      </c>
      <c r="J3844" s="4">
        <v>0.6</v>
      </c>
      <c r="K3844" s="1">
        <v>0</v>
      </c>
      <c r="L3844" s="1">
        <v>7</v>
      </c>
      <c r="M3844" s="32">
        <f>IF(Mecze[[#This Row],[PR]]=0,0,Mecze[[#This Row],[PR]]/Mecze[[#This Row],[CZAS]])</f>
        <v>7.2916666666666671E-2</v>
      </c>
      <c r="N3844" s="32">
        <f>IF(Mecze[[#This Row],[OU]]=0,0,Mecze[[#This Row],[OU]]/Mecze[[#This Row],[CZAS]])</f>
        <v>6.25E-2</v>
      </c>
      <c r="O3844" s="32">
        <f>IF(Mecze[[#This Row],[PC]]=0,0,Mecze[[#This Row],[PC]]/Mecze[[#This Row],[CZAS]])</f>
        <v>9.375E-2</v>
      </c>
      <c r="P3844" s="32">
        <f>IF(Mecze[[#This Row],[SC]]=0,0,Mecze[[#This Row],[SC]]/Mecze[[#This Row],[CZAS]])</f>
        <v>0</v>
      </c>
      <c r="Q3844" s="32">
        <f>IF(Mecze[[#This Row],[OB]]=0,0,Mecze[[#This Row],[OB]]/Mecze[[#This Row],[CZAS]])</f>
        <v>0</v>
      </c>
      <c r="R3844" s="32">
        <f>IF(Mecze[[#This Row],[BR]]=0,0,Mecze[[#This Row],[BR]]/Mecze[[#This Row],[CZAS]])</f>
        <v>0</v>
      </c>
      <c r="S3844" s="44">
        <f>IF(Mecze[[#This Row],[Role]]="BR",SUMPRODUCT(Mecze[[#This Row],[/PR:90]:[/BR:90]],Brudnopis!$E$23:$J$23),0)</f>
        <v>0</v>
      </c>
      <c r="T3844" s="44">
        <f>IF(Mecze[[#This Row],[Role]]&lt;&gt;"BR",SUMPRODUCT(Mecze[[#This Row],[/PR:90]:[/BR:90]],Brudnopis!$E$24:$J$24),0)</f>
        <v>0.26041666666666669</v>
      </c>
      <c r="U3844" s="44">
        <f>IF(Mecze[[#This Row],[Role]]&lt;&gt;"BR",SUMPRODUCT(Mecze[[#This Row],[/PR:90]:[/BR:90]],Brudnopis!$E$25:$J$25),0)</f>
        <v>0.27604166666666669</v>
      </c>
      <c r="V3844" s="44">
        <f>IF(Mecze[[#This Row],[Role]]&lt;&gt;"BR",SUMPRODUCT(Mecze[[#This Row],[/PR:90]:[/BR:90]],Brudnopis!$E$26:$J$26),0)</f>
        <v>0.22916666666666669</v>
      </c>
      <c r="W3844" s="44">
        <f>IF(Mecze[[#This Row],[Role]]&lt;&gt;"BR",SUMPRODUCT(Mecze[[#This Row],[/PR:90]:[/BR:90]],Brudnopis!$E$27:$J$27),0)</f>
        <v>0.2421875</v>
      </c>
      <c r="X3844" s="44">
        <f>IF(Mecze[[#This Row],[Role]]&lt;&gt;"BR",SUMPRODUCT(Mecze[[#This Row],[/PR:90]:[/BR:90]],Brudnopis!$E$28:$J$28),0)</f>
        <v>9.375E-2</v>
      </c>
      <c r="Y3844" s="35">
        <f>IF(Mecze[[#This Row],[Role]]="BR",Mecze[[#This Row],[/OB:90]]+Mecze[[#This Row],[/PC:90]],SUM(Mecze[[#This Row],[/PR:90]:[/BR:90]]))</f>
        <v>0.22916666666666669</v>
      </c>
      <c r="Z3844" s="35">
        <f>IF(Mecze[[#This Row],[KC]]=0,SUM(Mecze[[#This Row],[/BRI]:[/NPI]]),SUM(Mecze[[#This Row],[/BRI]:[/NPI]])*0.6)</f>
        <v>1.1015625</v>
      </c>
      <c r="AA3844" s="10">
        <f>IFERROR(Mecze[[#This Row],[BR]]/Mecze[[#This Row],[ST]],0)</f>
        <v>0</v>
      </c>
      <c r="AB3844">
        <f>ROUND(Mecze[[#This Row],[PD]]*Mecze[[#This Row],[%PC]],0)</f>
        <v>9</v>
      </c>
      <c r="AC3844">
        <f>ROUND(Mecze[[#This Row],[OD]]*Mecze[[#This Row],[%OU]],0)</f>
        <v>6</v>
      </c>
      <c r="AD3844" s="36" t="s">
        <v>41</v>
      </c>
      <c r="AE3844" s="36">
        <v>224</v>
      </c>
      <c r="AF3844" s="71">
        <v>9.7200000000000006</v>
      </c>
      <c r="AG3844" s="37">
        <v>0</v>
      </c>
      <c r="AH3844" s="37">
        <v>0</v>
      </c>
      <c r="AI3844" s="37">
        <v>96</v>
      </c>
      <c r="AJ3844" s="37">
        <v>1</v>
      </c>
      <c r="AK3844" s="37" t="str">
        <f>VLOOKUP(Mecze[[#This Row],[Match ID]],Meczusie[Mecz]:Meczusie[RodzajMeczu],2,FALSE)</f>
        <v>Towarzyski</v>
      </c>
    </row>
    <row r="3845" spans="1:37" x14ac:dyDescent="0.25">
      <c r="A3845" s="76">
        <v>15</v>
      </c>
      <c r="B3845" s="3" t="s">
        <v>170</v>
      </c>
      <c r="C3845" s="2" t="s">
        <v>160</v>
      </c>
      <c r="D3845" s="1">
        <v>0</v>
      </c>
      <c r="E3845" s="1">
        <v>0</v>
      </c>
      <c r="F3845" s="1">
        <v>0</v>
      </c>
      <c r="G3845" s="1">
        <v>15</v>
      </c>
      <c r="H3845" s="4">
        <v>0.53</v>
      </c>
      <c r="I3845" s="1">
        <v>11</v>
      </c>
      <c r="J3845" s="4">
        <v>0.55000000000000004</v>
      </c>
      <c r="K3845" s="1">
        <v>0</v>
      </c>
      <c r="L3845" s="1">
        <v>5</v>
      </c>
      <c r="M3845" s="32">
        <f>IF(Mecze[[#This Row],[PR]]=0,0,Mecze[[#This Row],[PR]]/Mecze[[#This Row],[CZAS]])</f>
        <v>5.2083333333333336E-2</v>
      </c>
      <c r="N3845" s="32">
        <f>IF(Mecze[[#This Row],[OU]]=0,0,Mecze[[#This Row],[OU]]/Mecze[[#This Row],[CZAS]])</f>
        <v>6.25E-2</v>
      </c>
      <c r="O3845" s="32">
        <f>IF(Mecze[[#This Row],[PC]]=0,0,Mecze[[#This Row],[PC]]/Mecze[[#This Row],[CZAS]])</f>
        <v>8.3333333333333329E-2</v>
      </c>
      <c r="P3845" s="32">
        <f>IF(Mecze[[#This Row],[SC]]=0,0,Mecze[[#This Row],[SC]]/Mecze[[#This Row],[CZAS]])</f>
        <v>0</v>
      </c>
      <c r="Q3845" s="32">
        <f>IF(Mecze[[#This Row],[OB]]=0,0,Mecze[[#This Row],[OB]]/Mecze[[#This Row],[CZAS]])</f>
        <v>0</v>
      </c>
      <c r="R3845" s="32">
        <f>IF(Mecze[[#This Row],[BR]]=0,0,Mecze[[#This Row],[BR]]/Mecze[[#This Row],[CZAS]])</f>
        <v>0</v>
      </c>
      <c r="S3845" s="44">
        <f>IF(Mecze[[#This Row],[Role]]="BR",SUMPRODUCT(Mecze[[#This Row],[/PR:90]:[/BR:90]],Brudnopis!$E$23:$J$23),0)</f>
        <v>0</v>
      </c>
      <c r="T3845" s="44">
        <f>IF(Mecze[[#This Row],[Role]]&lt;&gt;"BR",SUMPRODUCT(Mecze[[#This Row],[/PR:90]:[/BR:90]],Brudnopis!$E$24:$J$24),0)</f>
        <v>0.22916666666666669</v>
      </c>
      <c r="U3845" s="44">
        <f>IF(Mecze[[#This Row],[Role]]&lt;&gt;"BR",SUMPRODUCT(Mecze[[#This Row],[/PR:90]:[/BR:90]],Brudnopis!$E$25:$J$25),0)</f>
        <v>0.23958333333333334</v>
      </c>
      <c r="V3845" s="44">
        <f>IF(Mecze[[#This Row],[Role]]&lt;&gt;"BR",SUMPRODUCT(Mecze[[#This Row],[/PR:90]:[/BR:90]],Brudnopis!$E$26:$J$26),0)</f>
        <v>0.19791666666666669</v>
      </c>
      <c r="W3845" s="44">
        <f>IF(Mecze[[#This Row],[Role]]&lt;&gt;"BR",SUMPRODUCT(Mecze[[#This Row],[/PR:90]:[/BR:90]],Brudnopis!$E$27:$J$27),0)</f>
        <v>0.2109375</v>
      </c>
      <c r="X3845" s="44">
        <f>IF(Mecze[[#This Row],[Role]]&lt;&gt;"BR",SUMPRODUCT(Mecze[[#This Row],[/PR:90]:[/BR:90]],Brudnopis!$E$28:$J$28),0)</f>
        <v>8.3333333333333329E-2</v>
      </c>
      <c r="Y3845" s="35">
        <f>IF(Mecze[[#This Row],[Role]]="BR",Mecze[[#This Row],[/OB:90]]+Mecze[[#This Row],[/PC:90]],SUM(Mecze[[#This Row],[/PR:90]:[/BR:90]]))</f>
        <v>0.19791666666666669</v>
      </c>
      <c r="Z3845" s="35">
        <f>IF(Mecze[[#This Row],[KC]]=0,SUM(Mecze[[#This Row],[/BRI]:[/NPI]]),SUM(Mecze[[#This Row],[/BRI]:[/NPI]])*0.6)</f>
        <v>0.96093750000000011</v>
      </c>
      <c r="AA3845" s="10">
        <f>IFERROR(Mecze[[#This Row],[BR]]/Mecze[[#This Row],[ST]],0)</f>
        <v>0</v>
      </c>
      <c r="AB3845">
        <f>ROUND(Mecze[[#This Row],[PD]]*Mecze[[#This Row],[%PC]],0)</f>
        <v>8</v>
      </c>
      <c r="AC3845">
        <f>ROUND(Mecze[[#This Row],[OD]]*Mecze[[#This Row],[%OU]],0)</f>
        <v>6</v>
      </c>
      <c r="AD3845" s="36" t="s">
        <v>67</v>
      </c>
      <c r="AE3845" s="36">
        <v>224</v>
      </c>
      <c r="AF3845" s="71">
        <v>9.3000000000000007</v>
      </c>
      <c r="AG3845" s="37">
        <v>0</v>
      </c>
      <c r="AH3845" s="37">
        <v>0</v>
      </c>
      <c r="AI3845" s="37">
        <v>96</v>
      </c>
      <c r="AJ3845" s="37">
        <v>1</v>
      </c>
      <c r="AK3845" s="37" t="str">
        <f>VLOOKUP(Mecze[[#This Row],[Match ID]],Meczusie[Mecz]:Meczusie[RodzajMeczu],2,FALSE)</f>
        <v>Towarzyski</v>
      </c>
    </row>
    <row r="3846" spans="1:37" x14ac:dyDescent="0.25">
      <c r="A3846" s="76">
        <v>14</v>
      </c>
      <c r="B3846" s="3" t="s">
        <v>164</v>
      </c>
      <c r="C3846" s="2" t="s">
        <v>160</v>
      </c>
      <c r="D3846" s="1">
        <v>0</v>
      </c>
      <c r="E3846" s="1">
        <v>0</v>
      </c>
      <c r="F3846" s="1">
        <v>0</v>
      </c>
      <c r="G3846" s="1">
        <v>3</v>
      </c>
      <c r="H3846" s="4">
        <v>0.67</v>
      </c>
      <c r="I3846" s="1">
        <v>2</v>
      </c>
      <c r="J3846" s="4">
        <v>0</v>
      </c>
      <c r="K3846" s="1">
        <v>0</v>
      </c>
      <c r="L3846" s="1">
        <v>2</v>
      </c>
      <c r="M3846" s="32">
        <f>IF(Mecze[[#This Row],[PR]]=0,0,Mecze[[#This Row],[PR]]/Mecze[[#This Row],[CZAS]])</f>
        <v>2.0833333333333332E-2</v>
      </c>
      <c r="N3846" s="32">
        <f>IF(Mecze[[#This Row],[OU]]=0,0,Mecze[[#This Row],[OU]]/Mecze[[#This Row],[CZAS]])</f>
        <v>0</v>
      </c>
      <c r="O3846" s="32">
        <f>IF(Mecze[[#This Row],[PC]]=0,0,Mecze[[#This Row],[PC]]/Mecze[[#This Row],[CZAS]])</f>
        <v>2.0833333333333332E-2</v>
      </c>
      <c r="P3846" s="32">
        <f>IF(Mecze[[#This Row],[SC]]=0,0,Mecze[[#This Row],[SC]]/Mecze[[#This Row],[CZAS]])</f>
        <v>0</v>
      </c>
      <c r="Q3846" s="32">
        <f>IF(Mecze[[#This Row],[OB]]=0,0,Mecze[[#This Row],[OB]]/Mecze[[#This Row],[CZAS]])</f>
        <v>0</v>
      </c>
      <c r="R3846" s="32">
        <f>IF(Mecze[[#This Row],[BR]]=0,0,Mecze[[#This Row],[BR]]/Mecze[[#This Row],[CZAS]])</f>
        <v>0</v>
      </c>
      <c r="S3846" s="44">
        <f>IF(Mecze[[#This Row],[Role]]="BR",SUMPRODUCT(Mecze[[#This Row],[/PR:90]:[/BR:90]],Brudnopis!$E$23:$J$23),0)</f>
        <v>0</v>
      </c>
      <c r="T3846" s="44">
        <f>IF(Mecze[[#This Row],[Role]]&lt;&gt;"BR",SUMPRODUCT(Mecze[[#This Row],[/PR:90]:[/BR:90]],Brudnopis!$E$24:$J$24),0)</f>
        <v>4.1666666666666664E-2</v>
      </c>
      <c r="U3846" s="44">
        <f>IF(Mecze[[#This Row],[Role]]&lt;&gt;"BR",SUMPRODUCT(Mecze[[#This Row],[/PR:90]:[/BR:90]],Brudnopis!$E$25:$J$25),0)</f>
        <v>5.2083333333333329E-2</v>
      </c>
      <c r="V3846" s="44">
        <f>IF(Mecze[[#This Row],[Role]]&lt;&gt;"BR",SUMPRODUCT(Mecze[[#This Row],[/PR:90]:[/BR:90]],Brudnopis!$E$26:$J$26),0)</f>
        <v>4.1666666666666664E-2</v>
      </c>
      <c r="W3846" s="44">
        <f>IF(Mecze[[#This Row],[Role]]&lt;&gt;"BR",SUMPRODUCT(Mecze[[#This Row],[/PR:90]:[/BR:90]],Brudnopis!$E$27:$J$27),0)</f>
        <v>4.6875E-2</v>
      </c>
      <c r="X3846" s="44">
        <f>IF(Mecze[[#This Row],[Role]]&lt;&gt;"BR",SUMPRODUCT(Mecze[[#This Row],[/PR:90]:[/BR:90]],Brudnopis!$E$28:$J$28),0)</f>
        <v>2.0833333333333332E-2</v>
      </c>
      <c r="Y3846" s="35">
        <f>IF(Mecze[[#This Row],[Role]]="BR",Mecze[[#This Row],[/OB:90]]+Mecze[[#This Row],[/PC:90]],SUM(Mecze[[#This Row],[/PR:90]:[/BR:90]]))</f>
        <v>4.1666666666666664E-2</v>
      </c>
      <c r="Z3846" s="35">
        <f>IF(Mecze[[#This Row],[KC]]=0,SUM(Mecze[[#This Row],[/BRI]:[/NPI]]),SUM(Mecze[[#This Row],[/BRI]:[/NPI]])*0.6)</f>
        <v>0.203125</v>
      </c>
      <c r="AA3846" s="10">
        <f>IFERROR(Mecze[[#This Row],[BR]]/Mecze[[#This Row],[ST]],0)</f>
        <v>0</v>
      </c>
      <c r="AB3846">
        <f>ROUND(Mecze[[#This Row],[PD]]*Mecze[[#This Row],[%PC]],0)</f>
        <v>2</v>
      </c>
      <c r="AC3846">
        <f>ROUND(Mecze[[#This Row],[OD]]*Mecze[[#This Row],[%OU]],0)</f>
        <v>0</v>
      </c>
      <c r="AD3846" s="36" t="s">
        <v>44</v>
      </c>
      <c r="AE3846" s="36">
        <v>224</v>
      </c>
      <c r="AF3846" s="71">
        <v>7.46</v>
      </c>
      <c r="AG3846" s="37">
        <v>0</v>
      </c>
      <c r="AH3846" s="37">
        <v>0</v>
      </c>
      <c r="AI3846" s="37">
        <v>96</v>
      </c>
      <c r="AJ3846" s="37">
        <v>1</v>
      </c>
      <c r="AK3846" s="37" t="str">
        <f>VLOOKUP(Mecze[[#This Row],[Match ID]],Meczusie[Mecz]:Meczusie[RodzajMeczu],2,FALSE)</f>
        <v>Towarzyski</v>
      </c>
    </row>
    <row r="3847" spans="1:37" x14ac:dyDescent="0.25">
      <c r="A3847" s="76">
        <v>19</v>
      </c>
      <c r="B3847" s="3" t="s">
        <v>166</v>
      </c>
      <c r="C3847" s="2" t="s">
        <v>160</v>
      </c>
      <c r="D3847" s="1">
        <v>1</v>
      </c>
      <c r="E3847" s="1">
        <v>4</v>
      </c>
      <c r="F3847" s="1">
        <v>3</v>
      </c>
      <c r="G3847" s="1">
        <v>2</v>
      </c>
      <c r="H3847" s="4">
        <v>0.5</v>
      </c>
      <c r="I3847" s="1">
        <v>1</v>
      </c>
      <c r="J3847" s="4">
        <v>0</v>
      </c>
      <c r="K3847" s="1">
        <v>0</v>
      </c>
      <c r="L3847" s="1">
        <v>3</v>
      </c>
      <c r="M3847" s="32">
        <f>IF(Mecze[[#This Row],[PR]]=0,0,Mecze[[#This Row],[PR]]/Mecze[[#This Row],[CZAS]])</f>
        <v>3.125E-2</v>
      </c>
      <c r="N3847" s="32">
        <f>IF(Mecze[[#This Row],[OU]]=0,0,Mecze[[#This Row],[OU]]/Mecze[[#This Row],[CZAS]])</f>
        <v>0</v>
      </c>
      <c r="O3847" s="32">
        <f>IF(Mecze[[#This Row],[PC]]=0,0,Mecze[[#This Row],[PC]]/Mecze[[#This Row],[CZAS]])</f>
        <v>1.0416666666666666E-2</v>
      </c>
      <c r="P3847" s="32">
        <f>IF(Mecze[[#This Row],[SC]]=0,0,Mecze[[#This Row],[SC]]/Mecze[[#This Row],[CZAS]])</f>
        <v>3.125E-2</v>
      </c>
      <c r="Q3847" s="32">
        <f>IF(Mecze[[#This Row],[OB]]=0,0,Mecze[[#This Row],[OB]]/Mecze[[#This Row],[CZAS]])</f>
        <v>0</v>
      </c>
      <c r="R3847" s="32">
        <f>IF(Mecze[[#This Row],[BR]]=0,0,Mecze[[#This Row],[BR]]/Mecze[[#This Row],[CZAS]])</f>
        <v>1.0416666666666666E-2</v>
      </c>
      <c r="S3847" s="44">
        <f>IF(Mecze[[#This Row],[Role]]="BR",SUMPRODUCT(Mecze[[#This Row],[/PR:90]:[/BR:90]],Brudnopis!$E$23:$J$23),0)</f>
        <v>0</v>
      </c>
      <c r="T3847" s="44">
        <f>IF(Mecze[[#This Row],[Role]]&lt;&gt;"BR",SUMPRODUCT(Mecze[[#This Row],[/PR:90]:[/BR:90]],Brudnopis!$E$24:$J$24),0)</f>
        <v>8.8541666666666657E-2</v>
      </c>
      <c r="U3847" s="44">
        <f>IF(Mecze[[#This Row],[Role]]&lt;&gt;"BR",SUMPRODUCT(Mecze[[#This Row],[/PR:90]:[/BR:90]],Brudnopis!$E$25:$J$25),0)</f>
        <v>9.375E-2</v>
      </c>
      <c r="V3847" s="44">
        <f>IF(Mecze[[#This Row],[Role]]&lt;&gt;"BR",SUMPRODUCT(Mecze[[#This Row],[/PR:90]:[/BR:90]],Brudnopis!$E$26:$J$26),0)</f>
        <v>9.3749999999999986E-2</v>
      </c>
      <c r="W3847" s="44">
        <f>IF(Mecze[[#This Row],[Role]]&lt;&gt;"BR",SUMPRODUCT(Mecze[[#This Row],[/PR:90]:[/BR:90]],Brudnopis!$E$27:$J$27),0)</f>
        <v>9.1145833333333329E-2</v>
      </c>
      <c r="X3847" s="44">
        <f>IF(Mecze[[#This Row],[Role]]&lt;&gt;"BR",SUMPRODUCT(Mecze[[#This Row],[/PR:90]:[/BR:90]],Brudnopis!$E$28:$J$28),0)</f>
        <v>0.10416666666666667</v>
      </c>
      <c r="Y3847" s="35">
        <f>IF(Mecze[[#This Row],[Role]]="BR",Mecze[[#This Row],[/OB:90]]+Mecze[[#This Row],[/PC:90]],SUM(Mecze[[#This Row],[/PR:90]:[/BR:90]]))</f>
        <v>8.3333333333333329E-2</v>
      </c>
      <c r="Z3847" s="35">
        <f>IF(Mecze[[#This Row],[KC]]=0,SUM(Mecze[[#This Row],[/BRI]:[/NPI]]),SUM(Mecze[[#This Row],[/BRI]:[/NPI]])*0.6)</f>
        <v>0.47135416666666663</v>
      </c>
      <c r="AA3847" s="10">
        <f>IFERROR(Mecze[[#This Row],[BR]]/Mecze[[#This Row],[ST]],0)</f>
        <v>0.25</v>
      </c>
      <c r="AB3847">
        <f>ROUND(Mecze[[#This Row],[PD]]*Mecze[[#This Row],[%PC]],0)</f>
        <v>1</v>
      </c>
      <c r="AC3847">
        <f>ROUND(Mecze[[#This Row],[OD]]*Mecze[[#This Row],[%OU]],0)</f>
        <v>0</v>
      </c>
      <c r="AD3847" s="36" t="s">
        <v>44</v>
      </c>
      <c r="AE3847" s="36">
        <v>224</v>
      </c>
      <c r="AF3847" s="71">
        <v>10.47</v>
      </c>
      <c r="AG3847" s="37">
        <v>0</v>
      </c>
      <c r="AH3847" s="37">
        <v>0</v>
      </c>
      <c r="AI3847" s="37">
        <v>96</v>
      </c>
      <c r="AJ3847" s="37">
        <v>1</v>
      </c>
      <c r="AK3847" s="37" t="str">
        <f>VLOOKUP(Mecze[[#This Row],[Match ID]],Meczusie[Mecz]:Meczusie[RodzajMeczu],2,FALSE)</f>
        <v>Towarzyski</v>
      </c>
    </row>
    <row r="3848" spans="1:37" x14ac:dyDescent="0.25">
      <c r="A3848" s="76">
        <v>9</v>
      </c>
      <c r="B3848" s="3" t="s">
        <v>411</v>
      </c>
      <c r="C3848" s="2" t="s">
        <v>165</v>
      </c>
      <c r="D3848" s="1">
        <v>5</v>
      </c>
      <c r="E3848" s="1">
        <v>12</v>
      </c>
      <c r="F3848" s="1">
        <v>9</v>
      </c>
      <c r="G3848" s="1">
        <v>5</v>
      </c>
      <c r="H3848" s="4">
        <v>0.6</v>
      </c>
      <c r="I3848" s="1">
        <v>6</v>
      </c>
      <c r="J3848" s="4">
        <v>0</v>
      </c>
      <c r="K3848" s="1">
        <v>0</v>
      </c>
      <c r="L3848" s="1">
        <v>0</v>
      </c>
      <c r="M3848" s="32">
        <f>IF(Mecze[[#This Row],[PR]]=0,0,Mecze[[#This Row],[PR]]/Mecze[[#This Row],[CZAS]])</f>
        <v>0</v>
      </c>
      <c r="N3848" s="32">
        <f>IF(Mecze[[#This Row],[OU]]=0,0,Mecze[[#This Row],[OU]]/Mecze[[#This Row],[CZAS]])</f>
        <v>0</v>
      </c>
      <c r="O3848" s="32">
        <f>IF(Mecze[[#This Row],[PC]]=0,0,Mecze[[#This Row],[PC]]/Mecze[[#This Row],[CZAS]])</f>
        <v>3.125E-2</v>
      </c>
      <c r="P3848" s="32">
        <f>IF(Mecze[[#This Row],[SC]]=0,0,Mecze[[#This Row],[SC]]/Mecze[[#This Row],[CZAS]])</f>
        <v>9.375E-2</v>
      </c>
      <c r="Q3848" s="32">
        <f>IF(Mecze[[#This Row],[OB]]=0,0,Mecze[[#This Row],[OB]]/Mecze[[#This Row],[CZAS]])</f>
        <v>0</v>
      </c>
      <c r="R3848" s="32">
        <f>IF(Mecze[[#This Row],[BR]]=0,0,Mecze[[#This Row],[BR]]/Mecze[[#This Row],[CZAS]])</f>
        <v>5.2083333333333336E-2</v>
      </c>
      <c r="S3848" s="44">
        <f>IF(Mecze[[#This Row],[Role]]="BR",SUMPRODUCT(Mecze[[#This Row],[/PR:90]:[/BR:90]],Brudnopis!$E$23:$J$23),0)</f>
        <v>0</v>
      </c>
      <c r="T3848" s="44">
        <f>IF(Mecze[[#This Row],[Role]]&lt;&gt;"BR",SUMPRODUCT(Mecze[[#This Row],[/PR:90]:[/BR:90]],Brudnopis!$E$24:$J$24),0)</f>
        <v>0.203125</v>
      </c>
      <c r="U3848" s="44">
        <f>IF(Mecze[[#This Row],[Role]]&lt;&gt;"BR",SUMPRODUCT(Mecze[[#This Row],[/PR:90]:[/BR:90]],Brudnopis!$E$25:$J$25),0)</f>
        <v>0.21875</v>
      </c>
      <c r="V3848" s="44">
        <f>IF(Mecze[[#This Row],[Role]]&lt;&gt;"BR",SUMPRODUCT(Mecze[[#This Row],[/PR:90]:[/BR:90]],Brudnopis!$E$26:$J$26),0)</f>
        <v>0.22916666666666669</v>
      </c>
      <c r="W3848" s="44">
        <f>IF(Mecze[[#This Row],[Role]]&lt;&gt;"BR",SUMPRODUCT(Mecze[[#This Row],[/PR:90]:[/BR:90]],Brudnopis!$E$27:$J$27),0)</f>
        <v>0.24479166666666669</v>
      </c>
      <c r="X3848" s="44">
        <f>IF(Mecze[[#This Row],[Role]]&lt;&gt;"BR",SUMPRODUCT(Mecze[[#This Row],[/PR:90]:[/BR:90]],Brudnopis!$E$28:$J$28),0)</f>
        <v>0.375</v>
      </c>
      <c r="Y3848" s="35">
        <f>IF(Mecze[[#This Row],[Role]]="BR",Mecze[[#This Row],[/OB:90]]+Mecze[[#This Row],[/PC:90]],SUM(Mecze[[#This Row],[/PR:90]:[/BR:90]]))</f>
        <v>0.17708333333333334</v>
      </c>
      <c r="Z3848" s="35">
        <f>IF(Mecze[[#This Row],[KC]]=0,SUM(Mecze[[#This Row],[/BRI]:[/NPI]]),SUM(Mecze[[#This Row],[/BRI]:[/NPI]])*0.6)</f>
        <v>1.2708333333333335</v>
      </c>
      <c r="AA3848" s="10">
        <f>IFERROR(Mecze[[#This Row],[BR]]/Mecze[[#This Row],[ST]],0)</f>
        <v>0.41666666666666669</v>
      </c>
      <c r="AB3848">
        <f>ROUND(Mecze[[#This Row],[PD]]*Mecze[[#This Row],[%PC]],0)</f>
        <v>3</v>
      </c>
      <c r="AC3848">
        <f>ROUND(Mecze[[#This Row],[OD]]*Mecze[[#This Row],[%OU]],0)</f>
        <v>0</v>
      </c>
      <c r="AD3848" s="36" t="s">
        <v>46</v>
      </c>
      <c r="AE3848" s="36">
        <v>224</v>
      </c>
      <c r="AF3848" s="71">
        <v>18.739999999999998</v>
      </c>
      <c r="AG3848" s="37">
        <v>0</v>
      </c>
      <c r="AH3848" s="37">
        <v>0</v>
      </c>
      <c r="AI3848" s="37">
        <v>96</v>
      </c>
      <c r="AJ3848" s="37">
        <v>1</v>
      </c>
      <c r="AK3848" s="37" t="str">
        <f>VLOOKUP(Mecze[[#This Row],[Match ID]],Meczusie[Mecz]:Meczusie[RodzajMeczu],2,FALSE)</f>
        <v>Towarzyski</v>
      </c>
    </row>
  </sheetData>
  <phoneticPr fontId="3" type="noConversion"/>
  <pageMargins left="0.7" right="0.7" top="0.75" bottom="0.75" header="0.3" footer="0.3"/>
  <pageSetup paperSize="9" orientation="portrait" verticalDpi="0" r:id="rId1"/>
  <drawing r:id="rId2"/>
  <legacyDrawing r:id="rId3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C9C3A8-343F-45D8-B7D0-27EC47601D9B}">
  <dimension ref="A1:P225"/>
  <sheetViews>
    <sheetView tabSelected="1" topLeftCell="A100" zoomScaleNormal="100" workbookViewId="0">
      <selection activeCell="H16" sqref="H15:H16"/>
    </sheetView>
  </sheetViews>
  <sheetFormatPr defaultRowHeight="15" x14ac:dyDescent="0.25"/>
  <cols>
    <col min="2" max="2" width="14.85546875" customWidth="1"/>
    <col min="3" max="3" width="28.42578125" customWidth="1"/>
    <col min="6" max="6" width="29.42578125" customWidth="1"/>
    <col min="7" max="8" width="10.85546875" style="9" customWidth="1"/>
    <col min="9" max="9" width="11" customWidth="1"/>
    <col min="10" max="12" width="10.28515625" style="27" customWidth="1"/>
    <col min="13" max="13" width="30.140625" style="27" bestFit="1" customWidth="1"/>
    <col min="14" max="14" width="10.42578125" bestFit="1" customWidth="1"/>
  </cols>
  <sheetData>
    <row r="1" spans="1:16" x14ac:dyDescent="0.25">
      <c r="A1" t="s">
        <v>48</v>
      </c>
      <c r="B1" t="s">
        <v>83</v>
      </c>
      <c r="C1" t="s">
        <v>180</v>
      </c>
      <c r="D1" t="s">
        <v>214</v>
      </c>
      <c r="E1" t="s">
        <v>215</v>
      </c>
      <c r="F1" t="s">
        <v>181</v>
      </c>
      <c r="G1" s="9" t="s">
        <v>217</v>
      </c>
      <c r="H1" s="9" t="s">
        <v>218</v>
      </c>
      <c r="I1" s="62" t="s">
        <v>86</v>
      </c>
      <c r="J1" s="27" t="s">
        <v>98</v>
      </c>
      <c r="K1" s="27" t="s">
        <v>99</v>
      </c>
      <c r="L1" s="27" t="s">
        <v>81</v>
      </c>
      <c r="M1" s="27" t="s">
        <v>87</v>
      </c>
      <c r="N1" t="s">
        <v>219</v>
      </c>
    </row>
    <row r="2" spans="1:16" x14ac:dyDescent="0.25">
      <c r="A2">
        <v>1</v>
      </c>
      <c r="B2" t="s">
        <v>213</v>
      </c>
      <c r="C2" t="s">
        <v>212</v>
      </c>
      <c r="D2">
        <v>14</v>
      </c>
      <c r="E2">
        <v>1</v>
      </c>
      <c r="F2" t="s">
        <v>216</v>
      </c>
      <c r="G2" s="9">
        <v>0.68</v>
      </c>
      <c r="H2" s="9">
        <v>0.32</v>
      </c>
      <c r="I2" s="70">
        <v>0.45833333333333331</v>
      </c>
      <c r="J2">
        <v>2020</v>
      </c>
      <c r="K2">
        <v>7</v>
      </c>
      <c r="L2">
        <v>7</v>
      </c>
      <c r="M2" s="27">
        <f>IFERROR(DATE(Meczusie[[#This Row],[Rok]],Meczusie[[#This Row],[Miesiąc]],Meczusie[[#This Row],[Dzień]]),"")</f>
        <v>44019</v>
      </c>
      <c r="N2">
        <v>1</v>
      </c>
    </row>
    <row r="3" spans="1:16" x14ac:dyDescent="0.25">
      <c r="A3">
        <v>2</v>
      </c>
      <c r="B3" t="s">
        <v>213</v>
      </c>
      <c r="C3" t="s">
        <v>216</v>
      </c>
      <c r="D3">
        <v>0</v>
      </c>
      <c r="E3">
        <v>13</v>
      </c>
      <c r="F3" t="s">
        <v>212</v>
      </c>
      <c r="G3" s="9">
        <v>0.36</v>
      </c>
      <c r="H3" s="9">
        <v>0.64</v>
      </c>
      <c r="I3" s="70">
        <v>0.79166666666666663</v>
      </c>
      <c r="J3">
        <v>2020</v>
      </c>
      <c r="K3">
        <v>7</v>
      </c>
      <c r="L3">
        <v>7</v>
      </c>
      <c r="M3" s="27">
        <f>IFERROR(DATE(Meczusie[[#This Row],[Rok]],Meczusie[[#This Row],[Miesiąc]],Meczusie[[#This Row],[Dzień]]),"")</f>
        <v>44019</v>
      </c>
      <c r="N3">
        <f>N2+M3-M2</f>
        <v>1</v>
      </c>
    </row>
    <row r="4" spans="1:16" x14ac:dyDescent="0.25">
      <c r="A4">
        <v>3</v>
      </c>
      <c r="B4" t="s">
        <v>57</v>
      </c>
      <c r="C4" t="s">
        <v>233</v>
      </c>
      <c r="D4">
        <v>8</v>
      </c>
      <c r="E4">
        <v>0</v>
      </c>
      <c r="F4" t="s">
        <v>234</v>
      </c>
      <c r="G4" s="9">
        <v>0.54</v>
      </c>
      <c r="H4" s="9">
        <v>0.46</v>
      </c>
      <c r="I4" s="70">
        <v>0.65625</v>
      </c>
      <c r="J4">
        <v>2020</v>
      </c>
      <c r="K4">
        <v>7</v>
      </c>
      <c r="L4">
        <v>8</v>
      </c>
      <c r="M4" s="27">
        <f>IFERROR(DATE(Meczusie[[#This Row],[Rok]],Meczusie[[#This Row],[Miesiąc]],Meczusie[[#This Row],[Dzień]]),"")</f>
        <v>44020</v>
      </c>
      <c r="N4">
        <f>N3+M4-M3</f>
        <v>2</v>
      </c>
      <c r="P4" s="55"/>
    </row>
    <row r="5" spans="1:16" x14ac:dyDescent="0.25">
      <c r="A5">
        <v>4</v>
      </c>
      <c r="B5" t="s">
        <v>57</v>
      </c>
      <c r="C5" t="s">
        <v>235</v>
      </c>
      <c r="D5">
        <v>0</v>
      </c>
      <c r="E5">
        <v>1</v>
      </c>
      <c r="F5" t="s">
        <v>212</v>
      </c>
      <c r="G5" s="9">
        <v>0.44</v>
      </c>
      <c r="H5" s="9">
        <v>0.56000000000000005</v>
      </c>
      <c r="I5" s="70">
        <v>0.69791666666666696</v>
      </c>
      <c r="J5">
        <v>2020</v>
      </c>
      <c r="K5">
        <v>7</v>
      </c>
      <c r="L5">
        <v>8</v>
      </c>
      <c r="M5" s="27">
        <f>IFERROR(DATE(Meczusie[[#This Row],[Rok]],Meczusie[[#This Row],[Miesiąc]],Meczusie[[#This Row],[Dzień]]),"")</f>
        <v>44020</v>
      </c>
      <c r="N5">
        <f>N4+M5-M4</f>
        <v>2</v>
      </c>
    </row>
    <row r="6" spans="1:16" x14ac:dyDescent="0.25">
      <c r="A6">
        <v>5</v>
      </c>
      <c r="B6" t="s">
        <v>57</v>
      </c>
      <c r="C6" t="s">
        <v>259</v>
      </c>
      <c r="D6">
        <v>2</v>
      </c>
      <c r="E6">
        <v>3</v>
      </c>
      <c r="F6" t="s">
        <v>260</v>
      </c>
      <c r="G6" s="9">
        <v>0.49</v>
      </c>
      <c r="H6" s="9">
        <v>0.51</v>
      </c>
      <c r="I6" s="70">
        <v>0.65625</v>
      </c>
      <c r="J6">
        <v>2020</v>
      </c>
      <c r="K6">
        <v>7</v>
      </c>
      <c r="L6">
        <v>8</v>
      </c>
      <c r="M6" s="27">
        <f>IFERROR(DATE(Meczusie[[#This Row],[Rok]],Meczusie[[#This Row],[Miesiąc]],Meczusie[[#This Row],[Dzień]]),"")</f>
        <v>44020</v>
      </c>
      <c r="N6">
        <f t="shared" ref="N6:N48" si="0">N5+M6-M5</f>
        <v>2</v>
      </c>
    </row>
    <row r="7" spans="1:16" x14ac:dyDescent="0.25">
      <c r="A7">
        <v>6</v>
      </c>
      <c r="B7" t="s">
        <v>57</v>
      </c>
      <c r="C7" t="s">
        <v>300</v>
      </c>
      <c r="D7">
        <v>12</v>
      </c>
      <c r="E7">
        <v>0</v>
      </c>
      <c r="F7" t="s">
        <v>301</v>
      </c>
      <c r="G7" s="9">
        <v>0.61</v>
      </c>
      <c r="H7" s="9">
        <v>0.39</v>
      </c>
      <c r="I7" s="70">
        <v>0.65625</v>
      </c>
      <c r="J7">
        <v>2020</v>
      </c>
      <c r="K7">
        <v>7</v>
      </c>
      <c r="L7">
        <v>8</v>
      </c>
      <c r="M7" s="27">
        <f>IFERROR(DATE(Meczusie[[#This Row],[Rok]],Meczusie[[#This Row],[Miesiąc]],Meczusie[[#This Row],[Dzień]]),"")</f>
        <v>44020</v>
      </c>
      <c r="N7">
        <f t="shared" si="0"/>
        <v>2</v>
      </c>
    </row>
    <row r="8" spans="1:16" x14ac:dyDescent="0.25">
      <c r="A8">
        <v>7</v>
      </c>
      <c r="B8" t="s">
        <v>57</v>
      </c>
      <c r="C8" t="s">
        <v>302</v>
      </c>
      <c r="D8">
        <v>5</v>
      </c>
      <c r="E8">
        <v>1</v>
      </c>
      <c r="F8" t="s">
        <v>303</v>
      </c>
      <c r="G8" s="9">
        <v>0.41</v>
      </c>
      <c r="H8" s="9">
        <v>0.59</v>
      </c>
      <c r="I8" s="70">
        <v>0.65625</v>
      </c>
      <c r="J8">
        <v>2020</v>
      </c>
      <c r="K8">
        <v>7</v>
      </c>
      <c r="L8">
        <v>8</v>
      </c>
      <c r="M8" s="27">
        <f>IFERROR(DATE(Meczusie[[#This Row],[Rok]],Meczusie[[#This Row],[Miesiąc]],Meczusie[[#This Row],[Dzień]]),"")</f>
        <v>44020</v>
      </c>
      <c r="N8">
        <f t="shared" si="0"/>
        <v>2</v>
      </c>
    </row>
    <row r="9" spans="1:16" x14ac:dyDescent="0.25">
      <c r="A9">
        <v>8</v>
      </c>
      <c r="B9" t="s">
        <v>57</v>
      </c>
      <c r="C9" t="s">
        <v>331</v>
      </c>
      <c r="D9">
        <v>1</v>
      </c>
      <c r="E9">
        <v>3</v>
      </c>
      <c r="F9" t="s">
        <v>332</v>
      </c>
      <c r="G9" s="9">
        <v>0.39</v>
      </c>
      <c r="H9" s="9">
        <v>0.61</v>
      </c>
      <c r="I9" s="70">
        <v>0.65625</v>
      </c>
      <c r="J9">
        <v>2020</v>
      </c>
      <c r="K9">
        <v>7</v>
      </c>
      <c r="L9">
        <v>8</v>
      </c>
      <c r="M9" s="27">
        <f>IFERROR(DATE(Meczusie[[#This Row],[Rok]],Meczusie[[#This Row],[Miesiąc]],Meczusie[[#This Row],[Dzień]]),"")</f>
        <v>44020</v>
      </c>
      <c r="N9">
        <f t="shared" si="0"/>
        <v>2</v>
      </c>
    </row>
    <row r="10" spans="1:16" x14ac:dyDescent="0.25">
      <c r="A10">
        <v>9</v>
      </c>
      <c r="B10" t="s">
        <v>213</v>
      </c>
      <c r="C10" t="s">
        <v>212</v>
      </c>
      <c r="D10">
        <v>4</v>
      </c>
      <c r="E10">
        <v>0</v>
      </c>
      <c r="F10" t="s">
        <v>356</v>
      </c>
      <c r="G10" s="9">
        <v>0.52</v>
      </c>
      <c r="H10" s="9">
        <v>0.48</v>
      </c>
      <c r="I10" s="70">
        <v>0.45833333333333331</v>
      </c>
      <c r="J10">
        <v>2020</v>
      </c>
      <c r="K10">
        <v>7</v>
      </c>
      <c r="L10">
        <v>9</v>
      </c>
      <c r="M10" s="27">
        <f>IFERROR(DATE(Meczusie[[#This Row],[Rok]],Meczusie[[#This Row],[Miesiąc]],Meczusie[[#This Row],[Dzień]]),"")</f>
        <v>44021</v>
      </c>
      <c r="N10">
        <f t="shared" si="0"/>
        <v>3</v>
      </c>
    </row>
    <row r="11" spans="1:16" x14ac:dyDescent="0.25">
      <c r="A11">
        <v>10</v>
      </c>
      <c r="B11" t="s">
        <v>213</v>
      </c>
      <c r="C11" s="75" t="s">
        <v>356</v>
      </c>
      <c r="D11">
        <v>1</v>
      </c>
      <c r="E11">
        <v>2</v>
      </c>
      <c r="F11" t="s">
        <v>212</v>
      </c>
      <c r="G11" s="9">
        <v>0.46</v>
      </c>
      <c r="H11" s="9">
        <v>0.54</v>
      </c>
      <c r="I11" s="70">
        <v>0.79166666666666663</v>
      </c>
      <c r="J11">
        <v>2020</v>
      </c>
      <c r="K11">
        <v>7</v>
      </c>
      <c r="L11">
        <v>9</v>
      </c>
      <c r="M11" s="27">
        <f>IFERROR(DATE(Meczusie[[#This Row],[Rok]],Meczusie[[#This Row],[Miesiąc]],Meczusie[[#This Row],[Dzień]]),"")</f>
        <v>44021</v>
      </c>
      <c r="N11">
        <f t="shared" si="0"/>
        <v>3</v>
      </c>
    </row>
    <row r="12" spans="1:16" x14ac:dyDescent="0.25">
      <c r="A12">
        <v>11</v>
      </c>
      <c r="B12" t="s">
        <v>213</v>
      </c>
      <c r="C12" t="s">
        <v>357</v>
      </c>
      <c r="D12">
        <v>2</v>
      </c>
      <c r="E12">
        <v>1</v>
      </c>
      <c r="F12" t="s">
        <v>212</v>
      </c>
      <c r="G12" s="9">
        <v>0.46</v>
      </c>
      <c r="H12" s="9">
        <v>0.54</v>
      </c>
      <c r="I12" s="70">
        <v>0.45833333333333331</v>
      </c>
      <c r="J12">
        <v>2020</v>
      </c>
      <c r="K12">
        <v>7</v>
      </c>
      <c r="L12">
        <v>10</v>
      </c>
      <c r="M12" s="27">
        <f>IFERROR(DATE(Meczusie[[#This Row],[Rok]],Meczusie[[#This Row],[Miesiąc]],Meczusie[[#This Row],[Dzień]]),"")</f>
        <v>44022</v>
      </c>
      <c r="N12">
        <f t="shared" si="0"/>
        <v>4</v>
      </c>
    </row>
    <row r="13" spans="1:16" x14ac:dyDescent="0.25">
      <c r="A13">
        <v>12</v>
      </c>
      <c r="B13" t="s">
        <v>213</v>
      </c>
      <c r="C13" t="s">
        <v>212</v>
      </c>
      <c r="D13">
        <v>1</v>
      </c>
      <c r="E13">
        <v>3</v>
      </c>
      <c r="F13" t="s">
        <v>357</v>
      </c>
      <c r="G13" s="9">
        <v>0.44</v>
      </c>
      <c r="H13" s="9">
        <v>0.56000000000000005</v>
      </c>
      <c r="I13" s="70">
        <v>0.79166666666666663</v>
      </c>
      <c r="J13">
        <v>2020</v>
      </c>
      <c r="K13">
        <v>7</v>
      </c>
      <c r="L13">
        <v>10</v>
      </c>
      <c r="M13" s="27">
        <f>IFERROR(DATE(Meczusie[[#This Row],[Rok]],Meczusie[[#This Row],[Miesiąc]],Meczusie[[#This Row],[Dzień]]),"")</f>
        <v>44022</v>
      </c>
      <c r="N13">
        <f t="shared" si="0"/>
        <v>4</v>
      </c>
    </row>
    <row r="14" spans="1:16" x14ac:dyDescent="0.25">
      <c r="A14">
        <v>13</v>
      </c>
      <c r="B14" t="s">
        <v>57</v>
      </c>
      <c r="C14" t="s">
        <v>234</v>
      </c>
      <c r="D14">
        <v>4</v>
      </c>
      <c r="E14">
        <v>1</v>
      </c>
      <c r="F14" t="s">
        <v>235</v>
      </c>
      <c r="G14" s="9">
        <v>0.54</v>
      </c>
      <c r="H14" s="9">
        <v>0.46</v>
      </c>
      <c r="I14" s="70">
        <v>0.54166666666666663</v>
      </c>
      <c r="J14">
        <v>2020</v>
      </c>
      <c r="K14">
        <v>7</v>
      </c>
      <c r="L14">
        <v>12</v>
      </c>
      <c r="M14" s="27">
        <f>IFERROR(DATE(Meczusie[[#This Row],[Rok]],Meczusie[[#This Row],[Miesiąc]],Meczusie[[#This Row],[Dzień]]),"")</f>
        <v>44024</v>
      </c>
      <c r="N14">
        <f t="shared" si="0"/>
        <v>6</v>
      </c>
    </row>
    <row r="15" spans="1:16" x14ac:dyDescent="0.25">
      <c r="A15">
        <v>14</v>
      </c>
      <c r="B15" t="s">
        <v>57</v>
      </c>
      <c r="C15" t="s">
        <v>212</v>
      </c>
      <c r="D15">
        <v>0</v>
      </c>
      <c r="E15">
        <v>3</v>
      </c>
      <c r="F15" t="s">
        <v>259</v>
      </c>
      <c r="G15" s="9">
        <v>0.44</v>
      </c>
      <c r="H15" s="9">
        <v>0.56000000000000005</v>
      </c>
      <c r="I15" s="70">
        <v>0.54166666666666663</v>
      </c>
      <c r="J15">
        <v>2020</v>
      </c>
      <c r="K15">
        <v>7</v>
      </c>
      <c r="L15">
        <v>12</v>
      </c>
      <c r="M15" s="27">
        <f>IFERROR(DATE(Meczusie[[#This Row],[Rok]],Meczusie[[#This Row],[Miesiąc]],Meczusie[[#This Row],[Dzień]]),"")</f>
        <v>44024</v>
      </c>
      <c r="N15">
        <f t="shared" si="0"/>
        <v>6</v>
      </c>
    </row>
    <row r="16" spans="1:16" x14ac:dyDescent="0.25">
      <c r="A16">
        <v>15</v>
      </c>
      <c r="B16" t="s">
        <v>57</v>
      </c>
      <c r="C16" t="s">
        <v>260</v>
      </c>
      <c r="D16">
        <v>3</v>
      </c>
      <c r="E16">
        <v>1</v>
      </c>
      <c r="F16" t="s">
        <v>300</v>
      </c>
      <c r="G16" s="9">
        <v>0.55000000000000004</v>
      </c>
      <c r="H16" s="9">
        <v>0.45</v>
      </c>
      <c r="I16" s="70">
        <v>0.54166666666666663</v>
      </c>
      <c r="J16">
        <v>2020</v>
      </c>
      <c r="K16">
        <v>7</v>
      </c>
      <c r="L16">
        <v>12</v>
      </c>
      <c r="M16" s="27">
        <f>IFERROR(DATE(Meczusie[[#This Row],[Rok]],Meczusie[[#This Row],[Miesiąc]],Meczusie[[#This Row],[Dzień]]),"")</f>
        <v>44024</v>
      </c>
      <c r="N16">
        <f t="shared" si="0"/>
        <v>6</v>
      </c>
    </row>
    <row r="17" spans="1:14" x14ac:dyDescent="0.25">
      <c r="A17">
        <v>16</v>
      </c>
      <c r="B17" t="s">
        <v>57</v>
      </c>
      <c r="C17" t="s">
        <v>301</v>
      </c>
      <c r="D17">
        <v>0</v>
      </c>
      <c r="E17">
        <v>13</v>
      </c>
      <c r="F17" t="s">
        <v>302</v>
      </c>
      <c r="G17" s="9">
        <v>0.46</v>
      </c>
      <c r="H17" s="9">
        <v>0.54</v>
      </c>
      <c r="I17" s="70">
        <v>0.54166666666666663</v>
      </c>
      <c r="J17">
        <v>2020</v>
      </c>
      <c r="K17">
        <v>7</v>
      </c>
      <c r="L17">
        <v>12</v>
      </c>
      <c r="M17" s="27">
        <f>IFERROR(DATE(Meczusie[[#This Row],[Rok]],Meczusie[[#This Row],[Miesiąc]],Meczusie[[#This Row],[Dzień]]),"")</f>
        <v>44024</v>
      </c>
      <c r="N17">
        <f t="shared" si="0"/>
        <v>6</v>
      </c>
    </row>
    <row r="18" spans="1:14" x14ac:dyDescent="0.25">
      <c r="A18">
        <v>17</v>
      </c>
      <c r="B18" t="s">
        <v>57</v>
      </c>
      <c r="C18" t="s">
        <v>303</v>
      </c>
      <c r="D18">
        <v>0</v>
      </c>
      <c r="E18">
        <v>2</v>
      </c>
      <c r="F18" t="s">
        <v>331</v>
      </c>
      <c r="G18" s="9">
        <v>0.62</v>
      </c>
      <c r="H18" s="9">
        <v>0.38</v>
      </c>
      <c r="I18" s="70">
        <v>0.54166666666666663</v>
      </c>
      <c r="J18">
        <v>2020</v>
      </c>
      <c r="K18">
        <v>7</v>
      </c>
      <c r="L18">
        <v>12</v>
      </c>
      <c r="M18" s="27">
        <f>IFERROR(DATE(Meczusie[[#This Row],[Rok]],Meczusie[[#This Row],[Miesiąc]],Meczusie[[#This Row],[Dzień]]),"")</f>
        <v>44024</v>
      </c>
      <c r="N18">
        <f t="shared" si="0"/>
        <v>6</v>
      </c>
    </row>
    <row r="19" spans="1:14" x14ac:dyDescent="0.25">
      <c r="A19">
        <v>18</v>
      </c>
      <c r="B19" t="s">
        <v>57</v>
      </c>
      <c r="C19" t="s">
        <v>332</v>
      </c>
      <c r="D19">
        <v>5</v>
      </c>
      <c r="E19">
        <v>0</v>
      </c>
      <c r="F19" t="s">
        <v>233</v>
      </c>
      <c r="G19" s="9">
        <v>0.54</v>
      </c>
      <c r="H19" s="9">
        <v>0.46</v>
      </c>
      <c r="I19" s="70">
        <v>0.54166666666666663</v>
      </c>
      <c r="J19">
        <v>2020</v>
      </c>
      <c r="K19">
        <v>7</v>
      </c>
      <c r="L19">
        <v>12</v>
      </c>
      <c r="M19" s="27">
        <f>IFERROR(DATE(Meczusie[[#This Row],[Rok]],Meczusie[[#This Row],[Miesiąc]],Meczusie[[#This Row],[Dzień]]),"")</f>
        <v>44024</v>
      </c>
      <c r="N19">
        <f t="shared" si="0"/>
        <v>6</v>
      </c>
    </row>
    <row r="20" spans="1:14" x14ac:dyDescent="0.25">
      <c r="A20">
        <v>19</v>
      </c>
      <c r="B20" t="s">
        <v>213</v>
      </c>
      <c r="C20" t="s">
        <v>212</v>
      </c>
      <c r="D20">
        <v>5</v>
      </c>
      <c r="E20">
        <v>1</v>
      </c>
      <c r="F20" t="s">
        <v>393</v>
      </c>
      <c r="G20" s="9">
        <v>0.55000000000000004</v>
      </c>
      <c r="H20" s="9">
        <v>0.45</v>
      </c>
      <c r="I20" s="70">
        <v>0.45833333333333331</v>
      </c>
      <c r="J20">
        <v>2020</v>
      </c>
      <c r="K20">
        <v>7</v>
      </c>
      <c r="L20">
        <v>13</v>
      </c>
      <c r="M20" s="27">
        <f>IFERROR(DATE(Meczusie[[#This Row],[Rok]],Meczusie[[#This Row],[Miesiąc]],Meczusie[[#This Row],[Dzień]]),"")</f>
        <v>44025</v>
      </c>
      <c r="N20">
        <f t="shared" si="0"/>
        <v>7</v>
      </c>
    </row>
    <row r="21" spans="1:14" x14ac:dyDescent="0.25">
      <c r="A21">
        <v>20</v>
      </c>
      <c r="B21" t="s">
        <v>213</v>
      </c>
      <c r="C21" t="s">
        <v>393</v>
      </c>
      <c r="D21">
        <v>2</v>
      </c>
      <c r="E21">
        <v>4</v>
      </c>
      <c r="F21" t="s">
        <v>212</v>
      </c>
      <c r="G21" s="9">
        <v>0.47</v>
      </c>
      <c r="H21" s="9">
        <v>0.53</v>
      </c>
      <c r="I21" s="70">
        <v>0.79166666666666663</v>
      </c>
      <c r="J21">
        <v>2020</v>
      </c>
      <c r="K21">
        <v>7</v>
      </c>
      <c r="L21">
        <v>13</v>
      </c>
      <c r="M21" s="27">
        <f>IFERROR(DATE(Meczusie[[#This Row],[Rok]],Meczusie[[#This Row],[Miesiąc]],Meczusie[[#This Row],[Dzień]]),"")</f>
        <v>44025</v>
      </c>
      <c r="N21">
        <f t="shared" si="0"/>
        <v>7</v>
      </c>
    </row>
    <row r="22" spans="1:14" x14ac:dyDescent="0.25">
      <c r="A22">
        <v>21</v>
      </c>
      <c r="B22" t="s">
        <v>213</v>
      </c>
      <c r="C22" t="s">
        <v>357</v>
      </c>
      <c r="D22">
        <v>1</v>
      </c>
      <c r="E22">
        <v>4</v>
      </c>
      <c r="F22" t="s">
        <v>212</v>
      </c>
      <c r="G22" s="9">
        <v>0.46</v>
      </c>
      <c r="H22" s="9">
        <v>0.54</v>
      </c>
      <c r="I22" s="70">
        <v>0.45833333333333331</v>
      </c>
      <c r="J22">
        <v>2020</v>
      </c>
      <c r="K22">
        <v>7</v>
      </c>
      <c r="L22">
        <v>14</v>
      </c>
      <c r="M22" s="27">
        <f>IFERROR(DATE(Meczusie[[#This Row],[Rok]],Meczusie[[#This Row],[Miesiąc]],Meczusie[[#This Row],[Dzień]]),"")</f>
        <v>44026</v>
      </c>
      <c r="N22">
        <f t="shared" si="0"/>
        <v>8</v>
      </c>
    </row>
    <row r="23" spans="1:14" x14ac:dyDescent="0.25">
      <c r="A23">
        <v>22</v>
      </c>
      <c r="B23" t="s">
        <v>213</v>
      </c>
      <c r="C23" t="s">
        <v>212</v>
      </c>
      <c r="D23">
        <v>3</v>
      </c>
      <c r="E23">
        <v>0</v>
      </c>
      <c r="F23" t="s">
        <v>357</v>
      </c>
      <c r="G23" s="9">
        <v>0.53</v>
      </c>
      <c r="H23" s="9">
        <v>0.47</v>
      </c>
      <c r="I23" s="70">
        <v>0.79166666666666663</v>
      </c>
      <c r="J23">
        <v>2020</v>
      </c>
      <c r="K23">
        <v>7</v>
      </c>
      <c r="L23">
        <v>14</v>
      </c>
      <c r="M23" s="27">
        <f>IFERROR(DATE(Meczusie[[#This Row],[Rok]],Meczusie[[#This Row],[Miesiąc]],Meczusie[[#This Row],[Dzień]]),"")</f>
        <v>44026</v>
      </c>
      <c r="N23">
        <f t="shared" si="0"/>
        <v>8</v>
      </c>
    </row>
    <row r="24" spans="1:14" x14ac:dyDescent="0.25">
      <c r="A24">
        <v>23</v>
      </c>
      <c r="B24" t="s">
        <v>57</v>
      </c>
      <c r="C24" t="s">
        <v>235</v>
      </c>
      <c r="D24">
        <v>3</v>
      </c>
      <c r="E24">
        <v>2</v>
      </c>
      <c r="F24" t="s">
        <v>332</v>
      </c>
      <c r="G24" s="9">
        <v>0.49</v>
      </c>
      <c r="H24" s="9">
        <v>0.51</v>
      </c>
      <c r="I24" s="70">
        <v>0.47916666666666669</v>
      </c>
      <c r="J24">
        <v>2020</v>
      </c>
      <c r="K24">
        <v>7</v>
      </c>
      <c r="L24">
        <v>15</v>
      </c>
      <c r="M24" s="27">
        <f>IFERROR(DATE(Meczusie[[#This Row],[Rok]],Meczusie[[#This Row],[Miesiąc]],Meczusie[[#This Row],[Dzień]]),"")</f>
        <v>44027</v>
      </c>
      <c r="N24">
        <f t="shared" si="0"/>
        <v>9</v>
      </c>
    </row>
    <row r="25" spans="1:14" x14ac:dyDescent="0.25">
      <c r="A25">
        <v>24</v>
      </c>
      <c r="B25" t="s">
        <v>57</v>
      </c>
      <c r="C25" t="s">
        <v>233</v>
      </c>
      <c r="D25">
        <v>7</v>
      </c>
      <c r="E25">
        <v>1</v>
      </c>
      <c r="F25" t="s">
        <v>303</v>
      </c>
      <c r="G25" s="9">
        <v>0.49</v>
      </c>
      <c r="H25" s="9">
        <v>0.51</v>
      </c>
      <c r="I25" s="70">
        <v>0.47916666666666669</v>
      </c>
      <c r="J25">
        <v>2020</v>
      </c>
      <c r="K25">
        <v>7</v>
      </c>
      <c r="L25">
        <v>15</v>
      </c>
      <c r="M25" s="27">
        <f>IFERROR(DATE(Meczusie[[#This Row],[Rok]],Meczusie[[#This Row],[Miesiąc]],Meczusie[[#This Row],[Dzień]]),"")</f>
        <v>44027</v>
      </c>
      <c r="N25">
        <f t="shared" si="0"/>
        <v>9</v>
      </c>
    </row>
    <row r="26" spans="1:14" x14ac:dyDescent="0.25">
      <c r="A26">
        <v>25</v>
      </c>
      <c r="B26" t="s">
        <v>57</v>
      </c>
      <c r="C26" t="s">
        <v>331</v>
      </c>
      <c r="D26">
        <v>18</v>
      </c>
      <c r="E26">
        <v>0</v>
      </c>
      <c r="F26" t="s">
        <v>301</v>
      </c>
      <c r="G26" s="9">
        <v>0.66</v>
      </c>
      <c r="H26" s="9">
        <v>0.34</v>
      </c>
      <c r="I26" s="70">
        <v>0.47916666666666669</v>
      </c>
      <c r="J26">
        <v>2020</v>
      </c>
      <c r="K26">
        <v>7</v>
      </c>
      <c r="L26">
        <v>15</v>
      </c>
      <c r="M26" s="27">
        <f>IFERROR(DATE(Meczusie[[#This Row],[Rok]],Meczusie[[#This Row],[Miesiąc]],Meczusie[[#This Row],[Dzień]]),"")</f>
        <v>44027</v>
      </c>
      <c r="N26">
        <f t="shared" si="0"/>
        <v>9</v>
      </c>
    </row>
    <row r="27" spans="1:14" x14ac:dyDescent="0.25">
      <c r="A27">
        <v>26</v>
      </c>
      <c r="B27" t="s">
        <v>57</v>
      </c>
      <c r="C27" t="s">
        <v>300</v>
      </c>
      <c r="D27">
        <v>2</v>
      </c>
      <c r="E27">
        <v>0</v>
      </c>
      <c r="F27" t="s">
        <v>212</v>
      </c>
      <c r="G27" s="9">
        <v>0.54</v>
      </c>
      <c r="H27" s="9">
        <v>0.46</v>
      </c>
      <c r="I27" s="70">
        <v>0.47916666666666669</v>
      </c>
      <c r="J27">
        <v>2020</v>
      </c>
      <c r="K27">
        <v>7</v>
      </c>
      <c r="L27">
        <v>15</v>
      </c>
      <c r="M27" s="27">
        <f>IFERROR(DATE(Meczusie[[#This Row],[Rok]],Meczusie[[#This Row],[Miesiąc]],Meczusie[[#This Row],[Dzień]]),"")</f>
        <v>44027</v>
      </c>
      <c r="N27">
        <f t="shared" si="0"/>
        <v>9</v>
      </c>
    </row>
    <row r="28" spans="1:14" x14ac:dyDescent="0.25">
      <c r="A28">
        <v>27</v>
      </c>
      <c r="B28" t="s">
        <v>57</v>
      </c>
      <c r="C28" t="s">
        <v>302</v>
      </c>
      <c r="D28">
        <v>1</v>
      </c>
      <c r="E28">
        <v>3</v>
      </c>
      <c r="F28" t="s">
        <v>260</v>
      </c>
      <c r="G28" s="9">
        <v>0.45</v>
      </c>
      <c r="H28" s="9">
        <v>0.55000000000000004</v>
      </c>
      <c r="I28" s="70">
        <v>0.47916666666666669</v>
      </c>
      <c r="J28">
        <v>2020</v>
      </c>
      <c r="K28">
        <v>7</v>
      </c>
      <c r="L28">
        <v>15</v>
      </c>
      <c r="M28" s="27">
        <f>IFERROR(DATE(Meczusie[[#This Row],[Rok]],Meczusie[[#This Row],[Miesiąc]],Meczusie[[#This Row],[Dzień]]),"")</f>
        <v>44027</v>
      </c>
      <c r="N28">
        <f t="shared" si="0"/>
        <v>9</v>
      </c>
    </row>
    <row r="29" spans="1:14" x14ac:dyDescent="0.25">
      <c r="A29">
        <v>28</v>
      </c>
      <c r="B29" t="s">
        <v>57</v>
      </c>
      <c r="C29" t="s">
        <v>259</v>
      </c>
      <c r="D29">
        <v>4</v>
      </c>
      <c r="E29">
        <v>0</v>
      </c>
      <c r="F29" t="s">
        <v>234</v>
      </c>
      <c r="G29" s="9">
        <v>0.56999999999999995</v>
      </c>
      <c r="H29" s="9">
        <v>0.43</v>
      </c>
      <c r="I29" s="70">
        <v>0.47916666666666669</v>
      </c>
      <c r="J29">
        <v>2020</v>
      </c>
      <c r="K29">
        <v>7</v>
      </c>
      <c r="L29">
        <v>15</v>
      </c>
      <c r="M29" s="27">
        <f>IFERROR(DATE(Meczusie[[#This Row],[Rok]],Meczusie[[#This Row],[Miesiąc]],Meczusie[[#This Row],[Dzień]]),"")</f>
        <v>44027</v>
      </c>
      <c r="N29">
        <f t="shared" si="0"/>
        <v>9</v>
      </c>
    </row>
    <row r="30" spans="1:14" x14ac:dyDescent="0.25">
      <c r="A30">
        <v>29</v>
      </c>
      <c r="B30" t="s">
        <v>213</v>
      </c>
      <c r="C30" t="s">
        <v>357</v>
      </c>
      <c r="D30">
        <v>5</v>
      </c>
      <c r="E30">
        <v>3</v>
      </c>
      <c r="F30" t="s">
        <v>212</v>
      </c>
      <c r="G30" s="9">
        <v>0.51</v>
      </c>
      <c r="H30" s="9">
        <v>0.49</v>
      </c>
      <c r="I30" s="70">
        <v>0.45833333333333331</v>
      </c>
      <c r="J30">
        <v>2020</v>
      </c>
      <c r="K30">
        <v>7</v>
      </c>
      <c r="L30">
        <v>17</v>
      </c>
      <c r="M30" s="27">
        <f>IFERROR(DATE(Meczusie[[#This Row],[Rok]],Meczusie[[#This Row],[Miesiąc]],Meczusie[[#This Row],[Dzień]]),"")</f>
        <v>44029</v>
      </c>
      <c r="N30">
        <f t="shared" si="0"/>
        <v>11</v>
      </c>
    </row>
    <row r="31" spans="1:14" x14ac:dyDescent="0.25">
      <c r="A31">
        <v>30</v>
      </c>
      <c r="B31" t="s">
        <v>213</v>
      </c>
      <c r="C31" t="s">
        <v>212</v>
      </c>
      <c r="D31">
        <v>1</v>
      </c>
      <c r="E31">
        <v>4</v>
      </c>
      <c r="F31" t="s">
        <v>357</v>
      </c>
      <c r="G31" s="9">
        <v>0.47</v>
      </c>
      <c r="H31" s="9">
        <v>0.53</v>
      </c>
      <c r="I31" s="70">
        <v>0.79166666666666663</v>
      </c>
      <c r="J31">
        <v>2020</v>
      </c>
      <c r="K31">
        <v>7</v>
      </c>
      <c r="L31">
        <v>17</v>
      </c>
      <c r="M31" s="27">
        <f>IFERROR(DATE(Meczusie[[#This Row],[Rok]],Meczusie[[#This Row],[Miesiąc]],Meczusie[[#This Row],[Dzień]]),"")</f>
        <v>44029</v>
      </c>
      <c r="N31">
        <f t="shared" si="0"/>
        <v>11</v>
      </c>
    </row>
    <row r="32" spans="1:14" x14ac:dyDescent="0.25">
      <c r="A32">
        <v>31</v>
      </c>
      <c r="B32" t="s">
        <v>57</v>
      </c>
      <c r="C32" t="s">
        <v>234</v>
      </c>
      <c r="D32">
        <v>2</v>
      </c>
      <c r="E32">
        <v>1</v>
      </c>
      <c r="F32" t="s">
        <v>300</v>
      </c>
      <c r="G32" s="9">
        <v>0.4</v>
      </c>
      <c r="H32" s="9">
        <v>0.6</v>
      </c>
      <c r="I32" s="70">
        <v>0.625</v>
      </c>
      <c r="J32">
        <v>2020</v>
      </c>
      <c r="K32">
        <v>7</v>
      </c>
      <c r="L32">
        <v>19</v>
      </c>
      <c r="M32" s="27">
        <f>IFERROR(DATE(Meczusie[[#This Row],[Rok]],Meczusie[[#This Row],[Miesiąc]],Meczusie[[#This Row],[Dzień]]),"")</f>
        <v>44031</v>
      </c>
      <c r="N32">
        <f t="shared" si="0"/>
        <v>13</v>
      </c>
    </row>
    <row r="33" spans="1:14" x14ac:dyDescent="0.25">
      <c r="A33">
        <v>32</v>
      </c>
      <c r="B33" t="s">
        <v>57</v>
      </c>
      <c r="C33" t="s">
        <v>212</v>
      </c>
      <c r="D33">
        <v>5</v>
      </c>
      <c r="E33">
        <v>3</v>
      </c>
      <c r="F33" t="s">
        <v>302</v>
      </c>
      <c r="G33" s="9">
        <v>0.49</v>
      </c>
      <c r="H33" s="9">
        <v>0.51</v>
      </c>
      <c r="I33" s="70">
        <v>0.625</v>
      </c>
      <c r="J33">
        <v>2020</v>
      </c>
      <c r="K33">
        <v>7</v>
      </c>
      <c r="L33">
        <v>19</v>
      </c>
      <c r="M33" s="27">
        <f>IFERROR(DATE(Meczusie[[#This Row],[Rok]],Meczusie[[#This Row],[Miesiąc]],Meczusie[[#This Row],[Dzień]]),"")</f>
        <v>44031</v>
      </c>
      <c r="N33">
        <f t="shared" si="0"/>
        <v>13</v>
      </c>
    </row>
    <row r="34" spans="1:14" x14ac:dyDescent="0.25">
      <c r="A34">
        <v>33</v>
      </c>
      <c r="B34" t="s">
        <v>57</v>
      </c>
      <c r="C34" t="s">
        <v>260</v>
      </c>
      <c r="D34">
        <v>2</v>
      </c>
      <c r="E34">
        <v>2</v>
      </c>
      <c r="F34" t="s">
        <v>331</v>
      </c>
      <c r="G34" s="9">
        <v>0.64</v>
      </c>
      <c r="H34" s="9">
        <v>0.36</v>
      </c>
      <c r="I34" s="70">
        <v>0.625</v>
      </c>
      <c r="J34">
        <v>2020</v>
      </c>
      <c r="K34">
        <v>7</v>
      </c>
      <c r="L34">
        <v>19</v>
      </c>
      <c r="M34" s="27">
        <f>IFERROR(DATE(Meczusie[[#This Row],[Rok]],Meczusie[[#This Row],[Miesiąc]],Meczusie[[#This Row],[Dzień]]),"")</f>
        <v>44031</v>
      </c>
      <c r="N34">
        <f t="shared" si="0"/>
        <v>13</v>
      </c>
    </row>
    <row r="35" spans="1:14" x14ac:dyDescent="0.25">
      <c r="A35">
        <v>34</v>
      </c>
      <c r="B35" t="s">
        <v>57</v>
      </c>
      <c r="C35" t="s">
        <v>301</v>
      </c>
      <c r="D35">
        <v>0</v>
      </c>
      <c r="E35">
        <v>12</v>
      </c>
      <c r="F35" s="89" t="s">
        <v>233</v>
      </c>
      <c r="G35" s="9">
        <v>0.35</v>
      </c>
      <c r="H35" s="9">
        <v>0.65</v>
      </c>
      <c r="I35" s="70">
        <v>0.625</v>
      </c>
      <c r="J35">
        <v>2020</v>
      </c>
      <c r="K35">
        <v>7</v>
      </c>
      <c r="L35">
        <v>19</v>
      </c>
      <c r="M35" s="27">
        <f>IFERROR(DATE(Meczusie[[#This Row],[Rok]],Meczusie[[#This Row],[Miesiąc]],Meczusie[[#This Row],[Dzień]]),"")</f>
        <v>44031</v>
      </c>
      <c r="N35">
        <f t="shared" si="0"/>
        <v>13</v>
      </c>
    </row>
    <row r="36" spans="1:14" x14ac:dyDescent="0.25">
      <c r="A36">
        <v>35</v>
      </c>
      <c r="B36" t="s">
        <v>57</v>
      </c>
      <c r="C36" t="s">
        <v>303</v>
      </c>
      <c r="D36">
        <v>5</v>
      </c>
      <c r="E36">
        <v>2</v>
      </c>
      <c r="F36" t="s">
        <v>235</v>
      </c>
      <c r="G36" s="9">
        <v>0.52</v>
      </c>
      <c r="H36" s="9">
        <v>0.48</v>
      </c>
      <c r="I36" s="70">
        <v>0.625</v>
      </c>
      <c r="J36">
        <v>2020</v>
      </c>
      <c r="K36">
        <v>7</v>
      </c>
      <c r="L36">
        <v>19</v>
      </c>
      <c r="M36" s="27">
        <f>IFERROR(DATE(Meczusie[[#This Row],[Rok]],Meczusie[[#This Row],[Miesiąc]],Meczusie[[#This Row],[Dzień]]),"")</f>
        <v>44031</v>
      </c>
      <c r="N36">
        <f t="shared" si="0"/>
        <v>13</v>
      </c>
    </row>
    <row r="37" spans="1:14" x14ac:dyDescent="0.25">
      <c r="A37">
        <v>36</v>
      </c>
      <c r="B37" t="s">
        <v>57</v>
      </c>
      <c r="C37" t="s">
        <v>332</v>
      </c>
      <c r="D37">
        <v>1</v>
      </c>
      <c r="E37">
        <v>2</v>
      </c>
      <c r="F37" t="s">
        <v>259</v>
      </c>
      <c r="G37" s="9">
        <v>0.45</v>
      </c>
      <c r="H37" s="9">
        <v>0.55000000000000004</v>
      </c>
      <c r="I37" s="70">
        <v>0.625</v>
      </c>
      <c r="J37">
        <v>2020</v>
      </c>
      <c r="K37">
        <v>7</v>
      </c>
      <c r="L37">
        <v>19</v>
      </c>
      <c r="M37" s="27">
        <f>IFERROR(DATE(Meczusie[[#This Row],[Rok]],Meczusie[[#This Row],[Miesiąc]],Meczusie[[#This Row],[Dzień]]),"")</f>
        <v>44031</v>
      </c>
      <c r="N37">
        <f t="shared" si="0"/>
        <v>13</v>
      </c>
    </row>
    <row r="38" spans="1:14" x14ac:dyDescent="0.25">
      <c r="A38">
        <v>37</v>
      </c>
      <c r="B38" t="s">
        <v>213</v>
      </c>
      <c r="C38" t="s">
        <v>212</v>
      </c>
      <c r="D38">
        <v>9</v>
      </c>
      <c r="E38">
        <v>2</v>
      </c>
      <c r="F38" t="s">
        <v>412</v>
      </c>
      <c r="G38" s="9">
        <v>0.54</v>
      </c>
      <c r="H38" s="9">
        <v>0.46</v>
      </c>
      <c r="I38" s="70">
        <v>0.45833333333333331</v>
      </c>
      <c r="J38">
        <v>2020</v>
      </c>
      <c r="K38">
        <v>7</v>
      </c>
      <c r="L38">
        <v>20</v>
      </c>
      <c r="M38" s="27">
        <f>IFERROR(DATE(Meczusie[[#This Row],[Rok]],Meczusie[[#This Row],[Miesiąc]],Meczusie[[#This Row],[Dzień]]),"")</f>
        <v>44032</v>
      </c>
      <c r="N38">
        <f t="shared" si="0"/>
        <v>14</v>
      </c>
    </row>
    <row r="39" spans="1:14" x14ac:dyDescent="0.25">
      <c r="A39">
        <v>38</v>
      </c>
      <c r="B39" t="s">
        <v>213</v>
      </c>
      <c r="C39" t="s">
        <v>412</v>
      </c>
      <c r="D39">
        <v>2</v>
      </c>
      <c r="E39">
        <v>6</v>
      </c>
      <c r="F39" t="s">
        <v>212</v>
      </c>
      <c r="G39" s="9">
        <v>0.47</v>
      </c>
      <c r="H39" s="9">
        <v>0.53</v>
      </c>
      <c r="I39" s="70">
        <v>0.79166666666666663</v>
      </c>
      <c r="J39">
        <v>2020</v>
      </c>
      <c r="K39">
        <v>7</v>
      </c>
      <c r="L39">
        <v>20</v>
      </c>
      <c r="M39" s="27">
        <f>IFERROR(DATE(Meczusie[[#This Row],[Rok]],Meczusie[[#This Row],[Miesiąc]],Meczusie[[#This Row],[Dzień]]),"")</f>
        <v>44032</v>
      </c>
      <c r="N39">
        <f t="shared" si="0"/>
        <v>14</v>
      </c>
    </row>
    <row r="40" spans="1:14" x14ac:dyDescent="0.25">
      <c r="A40">
        <v>39</v>
      </c>
      <c r="B40" t="s">
        <v>213</v>
      </c>
      <c r="C40" t="s">
        <v>357</v>
      </c>
      <c r="D40">
        <v>2</v>
      </c>
      <c r="E40">
        <v>1</v>
      </c>
      <c r="F40" t="s">
        <v>212</v>
      </c>
      <c r="G40" s="9">
        <v>0.51</v>
      </c>
      <c r="H40" s="9">
        <v>0.49</v>
      </c>
      <c r="I40" s="70">
        <v>0.45833333333333331</v>
      </c>
      <c r="J40">
        <v>2020</v>
      </c>
      <c r="K40">
        <v>7</v>
      </c>
      <c r="L40">
        <v>21</v>
      </c>
      <c r="M40" s="27">
        <f>IFERROR(DATE(Meczusie[[#This Row],[Rok]],Meczusie[[#This Row],[Miesiąc]],Meczusie[[#This Row],[Dzień]]),"")</f>
        <v>44033</v>
      </c>
      <c r="N40">
        <f t="shared" si="0"/>
        <v>15</v>
      </c>
    </row>
    <row r="41" spans="1:14" x14ac:dyDescent="0.25">
      <c r="A41">
        <v>40</v>
      </c>
      <c r="B41" t="s">
        <v>57</v>
      </c>
      <c r="C41" t="s">
        <v>259</v>
      </c>
      <c r="D41">
        <v>2</v>
      </c>
      <c r="E41">
        <v>1</v>
      </c>
      <c r="F41" t="s">
        <v>303</v>
      </c>
      <c r="G41" s="9">
        <v>0.46</v>
      </c>
      <c r="H41" s="9">
        <v>0.54</v>
      </c>
      <c r="I41" s="70">
        <v>0.375</v>
      </c>
      <c r="J41">
        <v>2020</v>
      </c>
      <c r="K41">
        <v>7</v>
      </c>
      <c r="L41">
        <v>22</v>
      </c>
      <c r="M41" s="27">
        <f>IFERROR(DATE(Meczusie[[#This Row],[Rok]],Meczusie[[#This Row],[Miesiąc]],Meczusie[[#This Row],[Dzień]]),"")</f>
        <v>44034</v>
      </c>
      <c r="N41">
        <f t="shared" si="0"/>
        <v>16</v>
      </c>
    </row>
    <row r="42" spans="1:14" x14ac:dyDescent="0.25">
      <c r="A42">
        <v>41</v>
      </c>
      <c r="B42" t="s">
        <v>57</v>
      </c>
      <c r="C42" t="s">
        <v>300</v>
      </c>
      <c r="D42">
        <v>1</v>
      </c>
      <c r="E42">
        <v>2</v>
      </c>
      <c r="F42" t="s">
        <v>332</v>
      </c>
      <c r="G42" s="9">
        <v>0.49</v>
      </c>
      <c r="H42" s="9">
        <v>0.51</v>
      </c>
      <c r="I42" s="70">
        <v>0.375</v>
      </c>
      <c r="J42">
        <v>2020</v>
      </c>
      <c r="K42">
        <v>7</v>
      </c>
      <c r="L42">
        <v>22</v>
      </c>
      <c r="M42" s="27">
        <f>IFERROR(DATE(Meczusie[[#This Row],[Rok]],Meczusie[[#This Row],[Miesiąc]],Meczusie[[#This Row],[Dzień]]),"")</f>
        <v>44034</v>
      </c>
      <c r="N42">
        <f t="shared" si="0"/>
        <v>16</v>
      </c>
    </row>
    <row r="43" spans="1:14" x14ac:dyDescent="0.25">
      <c r="A43">
        <v>42</v>
      </c>
      <c r="B43" t="s">
        <v>57</v>
      </c>
      <c r="C43" t="s">
        <v>302</v>
      </c>
      <c r="D43">
        <v>0</v>
      </c>
      <c r="E43">
        <v>3</v>
      </c>
      <c r="F43" t="s">
        <v>234</v>
      </c>
      <c r="G43" s="9">
        <v>0.51</v>
      </c>
      <c r="H43" s="9">
        <v>0.49</v>
      </c>
      <c r="I43" s="70">
        <v>0.375</v>
      </c>
      <c r="J43">
        <v>2020</v>
      </c>
      <c r="K43">
        <v>7</v>
      </c>
      <c r="L43">
        <v>22</v>
      </c>
      <c r="M43" s="27">
        <f>IFERROR(DATE(Meczusie[[#This Row],[Rok]],Meczusie[[#This Row],[Miesiąc]],Meczusie[[#This Row],[Dzień]]),"")</f>
        <v>44034</v>
      </c>
      <c r="N43">
        <f t="shared" si="0"/>
        <v>16</v>
      </c>
    </row>
    <row r="44" spans="1:14" x14ac:dyDescent="0.25">
      <c r="A44">
        <v>43</v>
      </c>
      <c r="B44" t="s">
        <v>57</v>
      </c>
      <c r="C44" t="s">
        <v>331</v>
      </c>
      <c r="D44">
        <v>0</v>
      </c>
      <c r="E44">
        <v>1</v>
      </c>
      <c r="F44" t="s">
        <v>212</v>
      </c>
      <c r="G44" s="9">
        <v>0.51</v>
      </c>
      <c r="H44" s="9">
        <v>0.49</v>
      </c>
      <c r="I44" s="70">
        <v>0.375</v>
      </c>
      <c r="J44">
        <v>2020</v>
      </c>
      <c r="K44">
        <v>7</v>
      </c>
      <c r="L44">
        <v>22</v>
      </c>
      <c r="M44" s="27">
        <f>IFERROR(DATE(Meczusie[[#This Row],[Rok]],Meczusie[[#This Row],[Miesiąc]],Meczusie[[#This Row],[Dzień]]),"")</f>
        <v>44034</v>
      </c>
      <c r="N44">
        <f t="shared" si="0"/>
        <v>16</v>
      </c>
    </row>
    <row r="45" spans="1:14" x14ac:dyDescent="0.25">
      <c r="A45">
        <v>44</v>
      </c>
      <c r="B45" t="s">
        <v>57</v>
      </c>
      <c r="C45" t="s">
        <v>233</v>
      </c>
      <c r="D45">
        <v>4</v>
      </c>
      <c r="E45">
        <v>2</v>
      </c>
      <c r="F45" t="s">
        <v>260</v>
      </c>
      <c r="G45" s="9">
        <v>0.41</v>
      </c>
      <c r="H45" s="9">
        <v>0.59</v>
      </c>
      <c r="I45" s="70">
        <v>0.375</v>
      </c>
      <c r="J45">
        <v>2020</v>
      </c>
      <c r="K45">
        <v>7</v>
      </c>
      <c r="L45">
        <v>22</v>
      </c>
      <c r="M45" s="27">
        <f>IFERROR(DATE(Meczusie[[#This Row],[Rok]],Meczusie[[#This Row],[Miesiąc]],Meczusie[[#This Row],[Dzień]]),"")</f>
        <v>44034</v>
      </c>
      <c r="N45">
        <f t="shared" si="0"/>
        <v>16</v>
      </c>
    </row>
    <row r="46" spans="1:14" x14ac:dyDescent="0.25">
      <c r="A46">
        <v>45</v>
      </c>
      <c r="B46" t="s">
        <v>57</v>
      </c>
      <c r="C46" t="s">
        <v>235</v>
      </c>
      <c r="D46">
        <v>11</v>
      </c>
      <c r="E46">
        <v>0</v>
      </c>
      <c r="F46" t="s">
        <v>301</v>
      </c>
      <c r="G46" s="9">
        <v>0.61</v>
      </c>
      <c r="H46" s="9">
        <v>0.39</v>
      </c>
      <c r="I46" s="70">
        <v>0.375</v>
      </c>
      <c r="J46">
        <v>2020</v>
      </c>
      <c r="K46">
        <v>7</v>
      </c>
      <c r="L46">
        <v>22</v>
      </c>
      <c r="M46" s="27">
        <f>IFERROR(DATE(Meczusie[[#This Row],[Rok]],Meczusie[[#This Row],[Miesiąc]],Meczusie[[#This Row],[Dzień]]),"")</f>
        <v>44034</v>
      </c>
      <c r="N46">
        <f t="shared" si="0"/>
        <v>16</v>
      </c>
    </row>
    <row r="47" spans="1:14" x14ac:dyDescent="0.25">
      <c r="A47">
        <v>46</v>
      </c>
      <c r="B47" t="s">
        <v>213</v>
      </c>
      <c r="C47" t="s">
        <v>357</v>
      </c>
      <c r="D47">
        <v>1</v>
      </c>
      <c r="E47">
        <v>1</v>
      </c>
      <c r="F47" t="s">
        <v>212</v>
      </c>
      <c r="G47" s="9">
        <v>0.52</v>
      </c>
      <c r="H47" s="9">
        <v>0.48</v>
      </c>
      <c r="I47" s="70">
        <v>0.45833333333333331</v>
      </c>
      <c r="J47">
        <v>2020</v>
      </c>
      <c r="K47">
        <v>7</v>
      </c>
      <c r="L47">
        <v>24</v>
      </c>
      <c r="M47" s="27">
        <f>IFERROR(DATE(Meczusie[[#This Row],[Rok]],Meczusie[[#This Row],[Miesiąc]],Meczusie[[#This Row],[Dzień]]),"")</f>
        <v>44036</v>
      </c>
      <c r="N47">
        <f t="shared" si="0"/>
        <v>18</v>
      </c>
    </row>
    <row r="48" spans="1:14" x14ac:dyDescent="0.25">
      <c r="A48">
        <v>47</v>
      </c>
      <c r="B48" t="s">
        <v>213</v>
      </c>
      <c r="C48" t="s">
        <v>212</v>
      </c>
      <c r="D48">
        <v>1</v>
      </c>
      <c r="E48">
        <v>3</v>
      </c>
      <c r="F48" t="s">
        <v>357</v>
      </c>
      <c r="G48" s="9">
        <v>0.45</v>
      </c>
      <c r="H48" s="9">
        <v>0.55000000000000004</v>
      </c>
      <c r="I48" s="70">
        <v>0.79166666666666663</v>
      </c>
      <c r="J48">
        <v>2020</v>
      </c>
      <c r="K48">
        <v>7</v>
      </c>
      <c r="L48">
        <v>24</v>
      </c>
      <c r="M48" s="27">
        <f>IFERROR(DATE(Meczusie[[#This Row],[Rok]],Meczusie[[#This Row],[Miesiąc]],Meczusie[[#This Row],[Dzień]]),"")</f>
        <v>44036</v>
      </c>
      <c r="N48">
        <f t="shared" si="0"/>
        <v>18</v>
      </c>
    </row>
    <row r="49" spans="1:14" x14ac:dyDescent="0.25">
      <c r="A49">
        <v>48</v>
      </c>
      <c r="B49" t="s">
        <v>57</v>
      </c>
      <c r="C49" t="s">
        <v>212</v>
      </c>
      <c r="D49">
        <v>1</v>
      </c>
      <c r="E49">
        <v>1</v>
      </c>
      <c r="F49" t="s">
        <v>233</v>
      </c>
      <c r="G49" s="9">
        <v>0.47</v>
      </c>
      <c r="H49" s="9">
        <v>0.53</v>
      </c>
      <c r="I49" s="70">
        <v>0.47916666666666669</v>
      </c>
      <c r="J49">
        <v>2020</v>
      </c>
      <c r="K49">
        <v>7</v>
      </c>
      <c r="L49">
        <v>26</v>
      </c>
      <c r="M49" s="27">
        <f>IFERROR(DATE(Meczusie[[#This Row],[Rok]],Meczusie[[#This Row],[Miesiąc]],Meczusie[[#This Row],[Dzień]]),"")</f>
        <v>44038</v>
      </c>
      <c r="N49">
        <f t="shared" ref="N49:N225" si="1">N48+M49-M48</f>
        <v>20</v>
      </c>
    </row>
    <row r="50" spans="1:14" x14ac:dyDescent="0.25">
      <c r="A50">
        <v>49</v>
      </c>
      <c r="B50" t="s">
        <v>57</v>
      </c>
      <c r="C50" t="s">
        <v>260</v>
      </c>
      <c r="D50">
        <v>3</v>
      </c>
      <c r="E50">
        <v>0</v>
      </c>
      <c r="F50" t="s">
        <v>235</v>
      </c>
      <c r="G50" s="9">
        <v>0.54</v>
      </c>
      <c r="H50" s="9">
        <v>0.46</v>
      </c>
      <c r="I50" s="70">
        <v>0.47916666666666669</v>
      </c>
      <c r="J50">
        <v>2020</v>
      </c>
      <c r="K50">
        <v>7</v>
      </c>
      <c r="L50">
        <v>26</v>
      </c>
      <c r="M50" s="27">
        <f>IFERROR(DATE(Meczusie[[#This Row],[Rok]],Meczusie[[#This Row],[Miesiąc]],Meczusie[[#This Row],[Dzień]]),"")</f>
        <v>44038</v>
      </c>
      <c r="N50">
        <f t="shared" si="1"/>
        <v>20</v>
      </c>
    </row>
    <row r="51" spans="1:14" x14ac:dyDescent="0.25">
      <c r="A51">
        <v>50</v>
      </c>
      <c r="B51" t="s">
        <v>57</v>
      </c>
      <c r="C51" t="s">
        <v>301</v>
      </c>
      <c r="D51">
        <v>0</v>
      </c>
      <c r="E51">
        <v>10</v>
      </c>
      <c r="F51" t="s">
        <v>259</v>
      </c>
      <c r="G51" s="9">
        <v>0.38</v>
      </c>
      <c r="H51" s="9">
        <v>0.62</v>
      </c>
      <c r="I51" s="70">
        <v>0.47916666666666669</v>
      </c>
      <c r="J51">
        <v>2020</v>
      </c>
      <c r="K51">
        <v>7</v>
      </c>
      <c r="L51">
        <v>26</v>
      </c>
      <c r="M51" s="27">
        <f>IFERROR(DATE(Meczusie[[#This Row],[Rok]],Meczusie[[#This Row],[Miesiąc]],Meczusie[[#This Row],[Dzień]]),"")</f>
        <v>44038</v>
      </c>
      <c r="N51">
        <f t="shared" si="1"/>
        <v>20</v>
      </c>
    </row>
    <row r="52" spans="1:14" x14ac:dyDescent="0.25">
      <c r="A52">
        <v>51</v>
      </c>
      <c r="B52" t="s">
        <v>57</v>
      </c>
      <c r="C52" t="s">
        <v>303</v>
      </c>
      <c r="D52">
        <v>2</v>
      </c>
      <c r="E52">
        <v>1</v>
      </c>
      <c r="F52" t="s">
        <v>300</v>
      </c>
      <c r="G52" s="9">
        <v>0.52</v>
      </c>
      <c r="H52" s="9">
        <v>0.48</v>
      </c>
      <c r="I52" s="70">
        <v>0.47916666666666669</v>
      </c>
      <c r="J52">
        <v>2020</v>
      </c>
      <c r="K52">
        <v>7</v>
      </c>
      <c r="L52">
        <v>26</v>
      </c>
      <c r="M52" s="27">
        <f>IFERROR(DATE(Meczusie[[#This Row],[Rok]],Meczusie[[#This Row],[Miesiąc]],Meczusie[[#This Row],[Dzień]]),"")</f>
        <v>44038</v>
      </c>
      <c r="N52">
        <f t="shared" si="1"/>
        <v>20</v>
      </c>
    </row>
    <row r="53" spans="1:14" x14ac:dyDescent="0.25">
      <c r="A53">
        <v>52</v>
      </c>
      <c r="B53" t="s">
        <v>57</v>
      </c>
      <c r="C53" t="s">
        <v>332</v>
      </c>
      <c r="D53">
        <v>2</v>
      </c>
      <c r="E53">
        <v>4</v>
      </c>
      <c r="F53" t="s">
        <v>302</v>
      </c>
      <c r="G53" s="9">
        <v>0.52</v>
      </c>
      <c r="H53" s="9">
        <v>0.48</v>
      </c>
      <c r="I53" s="70">
        <v>0.47916666666666669</v>
      </c>
      <c r="J53">
        <v>2020</v>
      </c>
      <c r="K53">
        <v>7</v>
      </c>
      <c r="L53">
        <v>26</v>
      </c>
      <c r="M53" s="27">
        <f>IFERROR(DATE(Meczusie[[#This Row],[Rok]],Meczusie[[#This Row],[Miesiąc]],Meczusie[[#This Row],[Dzień]]),"")</f>
        <v>44038</v>
      </c>
      <c r="N53">
        <f t="shared" si="1"/>
        <v>20</v>
      </c>
    </row>
    <row r="54" spans="1:14" x14ac:dyDescent="0.25">
      <c r="A54">
        <v>53</v>
      </c>
      <c r="B54" t="s">
        <v>57</v>
      </c>
      <c r="C54" t="s">
        <v>234</v>
      </c>
      <c r="D54">
        <v>2</v>
      </c>
      <c r="E54">
        <v>3</v>
      </c>
      <c r="F54" t="s">
        <v>331</v>
      </c>
      <c r="G54" s="9">
        <v>0.57999999999999996</v>
      </c>
      <c r="H54" s="9">
        <v>0.42</v>
      </c>
      <c r="I54" s="70">
        <v>0.47916666666666669</v>
      </c>
      <c r="J54">
        <v>2020</v>
      </c>
      <c r="K54">
        <v>7</v>
      </c>
      <c r="L54">
        <v>26</v>
      </c>
      <c r="M54" s="27">
        <f>IFERROR(DATE(Meczusie[[#This Row],[Rok]],Meczusie[[#This Row],[Miesiąc]],Meczusie[[#This Row],[Dzień]]),"")</f>
        <v>44038</v>
      </c>
      <c r="N54">
        <f t="shared" si="1"/>
        <v>20</v>
      </c>
    </row>
    <row r="55" spans="1:14" x14ac:dyDescent="0.25">
      <c r="A55">
        <v>54</v>
      </c>
      <c r="B55" t="s">
        <v>213</v>
      </c>
      <c r="C55" t="s">
        <v>427</v>
      </c>
      <c r="D55">
        <v>8</v>
      </c>
      <c r="E55">
        <v>0</v>
      </c>
      <c r="F55" t="s">
        <v>212</v>
      </c>
      <c r="G55" s="9">
        <v>0.64</v>
      </c>
      <c r="H55" s="9">
        <v>0.36</v>
      </c>
      <c r="I55" s="70">
        <v>0.45833333333333331</v>
      </c>
      <c r="J55">
        <v>2020</v>
      </c>
      <c r="K55">
        <v>7</v>
      </c>
      <c r="L55">
        <v>28</v>
      </c>
      <c r="M55" s="27">
        <f>IFERROR(DATE(Meczusie[[#This Row],[Rok]],Meczusie[[#This Row],[Miesiąc]],Meczusie[[#This Row],[Dzień]]),"")</f>
        <v>44040</v>
      </c>
      <c r="N55">
        <f t="shared" si="1"/>
        <v>22</v>
      </c>
    </row>
    <row r="56" spans="1:14" x14ac:dyDescent="0.25">
      <c r="A56">
        <v>55</v>
      </c>
      <c r="B56" t="s">
        <v>213</v>
      </c>
      <c r="C56" t="s">
        <v>212</v>
      </c>
      <c r="D56">
        <v>5</v>
      </c>
      <c r="E56">
        <v>1</v>
      </c>
      <c r="F56" t="s">
        <v>427</v>
      </c>
      <c r="G56" s="9">
        <v>0.42</v>
      </c>
      <c r="H56" s="9">
        <v>0.57999999999999996</v>
      </c>
      <c r="I56" s="70">
        <v>0.79166666666666663</v>
      </c>
      <c r="J56">
        <v>2020</v>
      </c>
      <c r="K56">
        <v>7</v>
      </c>
      <c r="L56">
        <v>28</v>
      </c>
      <c r="M56" s="27">
        <f>IFERROR(DATE(Meczusie[[#This Row],[Rok]],Meczusie[[#This Row],[Miesiąc]],Meczusie[[#This Row],[Dzień]]),"")</f>
        <v>44040</v>
      </c>
      <c r="N56">
        <f t="shared" si="1"/>
        <v>22</v>
      </c>
    </row>
    <row r="57" spans="1:14" x14ac:dyDescent="0.25">
      <c r="A57">
        <v>56</v>
      </c>
      <c r="B57" t="s">
        <v>57</v>
      </c>
      <c r="C57" t="s">
        <v>259</v>
      </c>
      <c r="D57">
        <v>3</v>
      </c>
      <c r="E57">
        <v>1</v>
      </c>
      <c r="F57" t="s">
        <v>235</v>
      </c>
      <c r="G57" s="9">
        <v>0.51</v>
      </c>
      <c r="H57" s="9">
        <v>0.49</v>
      </c>
      <c r="I57" s="70">
        <v>0.70833333333333337</v>
      </c>
      <c r="J57">
        <v>2020</v>
      </c>
      <c r="K57">
        <v>7</v>
      </c>
      <c r="L57">
        <v>29</v>
      </c>
      <c r="M57" s="27">
        <f>IFERROR(DATE(Meczusie[[#This Row],[Rok]],Meczusie[[#This Row],[Miesiąc]],Meczusie[[#This Row],[Dzień]]),"")</f>
        <v>44041</v>
      </c>
      <c r="N57">
        <f t="shared" si="1"/>
        <v>23</v>
      </c>
    </row>
    <row r="58" spans="1:14" x14ac:dyDescent="0.25">
      <c r="A58">
        <v>57</v>
      </c>
      <c r="B58" t="s">
        <v>57</v>
      </c>
      <c r="C58" t="s">
        <v>302</v>
      </c>
      <c r="D58">
        <v>3</v>
      </c>
      <c r="E58">
        <v>1</v>
      </c>
      <c r="F58" t="s">
        <v>300</v>
      </c>
      <c r="G58" s="9">
        <v>0.52</v>
      </c>
      <c r="H58" s="9">
        <v>0.48</v>
      </c>
      <c r="I58" s="70">
        <v>0.70833333333333337</v>
      </c>
      <c r="J58">
        <v>2020</v>
      </c>
      <c r="K58">
        <v>7</v>
      </c>
      <c r="L58">
        <v>29</v>
      </c>
      <c r="M58" s="27">
        <f>IFERROR(DATE(Meczusie[[#This Row],[Rok]],Meczusie[[#This Row],[Miesiąc]],Meczusie[[#This Row],[Dzień]]),"")</f>
        <v>44041</v>
      </c>
      <c r="N58">
        <f t="shared" si="1"/>
        <v>23</v>
      </c>
    </row>
    <row r="59" spans="1:14" x14ac:dyDescent="0.25">
      <c r="A59">
        <v>58</v>
      </c>
      <c r="B59" t="s">
        <v>57</v>
      </c>
      <c r="C59" t="s">
        <v>233</v>
      </c>
      <c r="D59">
        <v>4</v>
      </c>
      <c r="E59">
        <v>1</v>
      </c>
      <c r="F59" t="s">
        <v>331</v>
      </c>
      <c r="G59" s="9">
        <v>0.45</v>
      </c>
      <c r="H59" s="9">
        <v>0.55000000000000004</v>
      </c>
      <c r="I59" s="70">
        <v>0.70833333333333337</v>
      </c>
      <c r="J59">
        <v>2020</v>
      </c>
      <c r="K59">
        <v>7</v>
      </c>
      <c r="L59">
        <v>29</v>
      </c>
      <c r="M59" s="27">
        <f>IFERROR(DATE(Meczusie[[#This Row],[Rok]],Meczusie[[#This Row],[Miesiąc]],Meczusie[[#This Row],[Dzień]]),"")</f>
        <v>44041</v>
      </c>
      <c r="N59">
        <f t="shared" si="1"/>
        <v>23</v>
      </c>
    </row>
    <row r="60" spans="1:14" x14ac:dyDescent="0.25">
      <c r="A60">
        <v>59</v>
      </c>
      <c r="B60" t="s">
        <v>57</v>
      </c>
      <c r="C60" t="s">
        <v>260</v>
      </c>
      <c r="D60">
        <v>3</v>
      </c>
      <c r="E60">
        <v>0</v>
      </c>
      <c r="F60" t="s">
        <v>212</v>
      </c>
      <c r="G60" s="9">
        <v>0.61</v>
      </c>
      <c r="H60" s="9">
        <v>0.39</v>
      </c>
      <c r="I60" s="70">
        <v>0.70833333333333337</v>
      </c>
      <c r="J60">
        <v>2020</v>
      </c>
      <c r="K60">
        <v>7</v>
      </c>
      <c r="L60">
        <v>29</v>
      </c>
      <c r="M60" s="27">
        <f>IFERROR(DATE(Meczusie[[#This Row],[Rok]],Meczusie[[#This Row],[Miesiąc]],Meczusie[[#This Row],[Dzień]]),"")</f>
        <v>44041</v>
      </c>
      <c r="N60">
        <f t="shared" si="1"/>
        <v>23</v>
      </c>
    </row>
    <row r="61" spans="1:14" x14ac:dyDescent="0.25">
      <c r="A61">
        <v>60</v>
      </c>
      <c r="B61" t="s">
        <v>57</v>
      </c>
      <c r="C61" t="s">
        <v>303</v>
      </c>
      <c r="D61">
        <v>11</v>
      </c>
      <c r="E61">
        <v>0</v>
      </c>
      <c r="F61" t="s">
        <v>301</v>
      </c>
      <c r="G61" s="9">
        <v>0.66</v>
      </c>
      <c r="H61" s="9">
        <v>0.34</v>
      </c>
      <c r="I61" s="70">
        <v>0.70833333333333337</v>
      </c>
      <c r="J61">
        <v>2020</v>
      </c>
      <c r="K61">
        <v>7</v>
      </c>
      <c r="L61">
        <v>29</v>
      </c>
      <c r="M61" s="27">
        <f>IFERROR(DATE(Meczusie[[#This Row],[Rok]],Meczusie[[#This Row],[Miesiąc]],Meczusie[[#This Row],[Dzień]]),"")</f>
        <v>44041</v>
      </c>
      <c r="N61">
        <f t="shared" si="1"/>
        <v>23</v>
      </c>
    </row>
    <row r="62" spans="1:14" x14ac:dyDescent="0.25">
      <c r="A62">
        <v>61</v>
      </c>
      <c r="B62" t="s">
        <v>57</v>
      </c>
      <c r="C62" t="s">
        <v>234</v>
      </c>
      <c r="D62">
        <v>2</v>
      </c>
      <c r="E62">
        <v>1</v>
      </c>
      <c r="F62" t="s">
        <v>332</v>
      </c>
      <c r="G62" s="9">
        <v>0.47</v>
      </c>
      <c r="H62" s="9">
        <v>0.53</v>
      </c>
      <c r="I62" s="70">
        <v>0.70833333333333337</v>
      </c>
      <c r="J62">
        <v>2020</v>
      </c>
      <c r="K62">
        <v>7</v>
      </c>
      <c r="L62">
        <v>29</v>
      </c>
      <c r="M62" s="27">
        <f>IFERROR(DATE(Meczusie[[#This Row],[Rok]],Meczusie[[#This Row],[Miesiąc]],Meczusie[[#This Row],[Dzień]]),"")</f>
        <v>44041</v>
      </c>
      <c r="N62">
        <f t="shared" si="1"/>
        <v>23</v>
      </c>
    </row>
    <row r="63" spans="1:14" x14ac:dyDescent="0.25">
      <c r="A63">
        <v>62</v>
      </c>
      <c r="B63" t="s">
        <v>213</v>
      </c>
      <c r="C63" t="s">
        <v>357</v>
      </c>
      <c r="D63">
        <v>2</v>
      </c>
      <c r="E63">
        <v>2</v>
      </c>
      <c r="F63" t="s">
        <v>212</v>
      </c>
      <c r="G63" s="9">
        <v>0.52</v>
      </c>
      <c r="H63" s="9">
        <v>0.48</v>
      </c>
      <c r="I63" s="70">
        <v>0.45833333333333331</v>
      </c>
      <c r="J63">
        <v>2020</v>
      </c>
      <c r="K63">
        <v>7</v>
      </c>
      <c r="L63">
        <v>31</v>
      </c>
      <c r="M63" s="27">
        <f>IFERROR(DATE(Meczusie[[#This Row],[Rok]],Meczusie[[#This Row],[Miesiąc]],Meczusie[[#This Row],[Dzień]]),"")</f>
        <v>44043</v>
      </c>
      <c r="N63">
        <f t="shared" si="1"/>
        <v>25</v>
      </c>
    </row>
    <row r="64" spans="1:14" x14ac:dyDescent="0.25">
      <c r="A64">
        <v>63</v>
      </c>
      <c r="B64" t="s">
        <v>213</v>
      </c>
      <c r="C64" t="s">
        <v>212</v>
      </c>
      <c r="D64">
        <v>1</v>
      </c>
      <c r="E64">
        <v>1</v>
      </c>
      <c r="F64" t="s">
        <v>357</v>
      </c>
      <c r="G64" s="9">
        <v>0.51</v>
      </c>
      <c r="H64" s="9">
        <v>0.49</v>
      </c>
      <c r="I64" s="70">
        <v>0.79166666666666663</v>
      </c>
      <c r="J64">
        <v>2020</v>
      </c>
      <c r="K64">
        <v>7</v>
      </c>
      <c r="L64">
        <v>31</v>
      </c>
      <c r="M64" s="27">
        <f>IFERROR(DATE(Meczusie[[#This Row],[Rok]],Meczusie[[#This Row],[Miesiąc]],Meczusie[[#This Row],[Dzień]]),"")</f>
        <v>44043</v>
      </c>
      <c r="N64">
        <f t="shared" si="1"/>
        <v>25</v>
      </c>
    </row>
    <row r="65" spans="1:14" x14ac:dyDescent="0.25">
      <c r="A65">
        <v>64</v>
      </c>
      <c r="B65" t="s">
        <v>57</v>
      </c>
      <c r="C65" t="s">
        <v>235</v>
      </c>
      <c r="D65">
        <v>0</v>
      </c>
      <c r="E65">
        <v>4</v>
      </c>
      <c r="F65" t="s">
        <v>302</v>
      </c>
      <c r="G65" s="9">
        <v>0.48</v>
      </c>
      <c r="H65" s="9">
        <v>0.52</v>
      </c>
      <c r="I65" s="70">
        <v>0.41666666666666669</v>
      </c>
      <c r="J65">
        <v>2020</v>
      </c>
      <c r="K65">
        <v>8</v>
      </c>
      <c r="L65">
        <v>2</v>
      </c>
      <c r="M65" s="27">
        <f>IFERROR(DATE(Meczusie[[#This Row],[Rok]],Meczusie[[#This Row],[Miesiąc]],Meczusie[[#This Row],[Dzień]]),"")</f>
        <v>44045</v>
      </c>
      <c r="N65">
        <f t="shared" si="1"/>
        <v>27</v>
      </c>
    </row>
    <row r="66" spans="1:14" x14ac:dyDescent="0.25">
      <c r="A66">
        <v>65</v>
      </c>
      <c r="B66" t="s">
        <v>57</v>
      </c>
      <c r="C66" t="s">
        <v>300</v>
      </c>
      <c r="D66">
        <v>1</v>
      </c>
      <c r="E66">
        <v>4</v>
      </c>
      <c r="F66" t="s">
        <v>233</v>
      </c>
      <c r="G66" s="9">
        <v>0.49</v>
      </c>
      <c r="H66" s="9">
        <v>0.51</v>
      </c>
      <c r="I66" s="70">
        <v>0.41666666666666669</v>
      </c>
      <c r="J66">
        <v>2020</v>
      </c>
      <c r="K66">
        <v>8</v>
      </c>
      <c r="L66">
        <v>2</v>
      </c>
      <c r="M66" s="27">
        <f>IFERROR(DATE(Meczusie[[#This Row],[Rok]],Meczusie[[#This Row],[Miesiąc]],Meczusie[[#This Row],[Dzień]]),"")</f>
        <v>44045</v>
      </c>
      <c r="N66">
        <f t="shared" si="1"/>
        <v>27</v>
      </c>
    </row>
    <row r="67" spans="1:14" x14ac:dyDescent="0.25">
      <c r="A67">
        <v>66</v>
      </c>
      <c r="B67" t="s">
        <v>57</v>
      </c>
      <c r="C67" t="s">
        <v>331</v>
      </c>
      <c r="D67">
        <v>1</v>
      </c>
      <c r="E67">
        <v>2</v>
      </c>
      <c r="F67" t="s">
        <v>259</v>
      </c>
      <c r="G67" s="9">
        <v>0.34</v>
      </c>
      <c r="H67" s="9">
        <v>0.66</v>
      </c>
      <c r="I67" s="70">
        <v>0.41666666666666669</v>
      </c>
      <c r="J67">
        <v>2020</v>
      </c>
      <c r="K67">
        <v>8</v>
      </c>
      <c r="L67">
        <v>2</v>
      </c>
      <c r="M67" s="27">
        <f>IFERROR(DATE(Meczusie[[#This Row],[Rok]],Meczusie[[#This Row],[Miesiąc]],Meczusie[[#This Row],[Dzień]]),"")</f>
        <v>44045</v>
      </c>
      <c r="N67">
        <f t="shared" si="1"/>
        <v>27</v>
      </c>
    </row>
    <row r="68" spans="1:14" x14ac:dyDescent="0.25">
      <c r="A68">
        <v>67</v>
      </c>
      <c r="B68" t="s">
        <v>57</v>
      </c>
      <c r="C68" t="s">
        <v>212</v>
      </c>
      <c r="D68">
        <v>3</v>
      </c>
      <c r="E68">
        <v>2</v>
      </c>
      <c r="F68" t="s">
        <v>303</v>
      </c>
      <c r="G68" s="9">
        <v>0.49</v>
      </c>
      <c r="H68" s="9">
        <v>0.51</v>
      </c>
      <c r="I68" s="70">
        <v>0.41666666666666669</v>
      </c>
      <c r="J68">
        <v>2020</v>
      </c>
      <c r="K68">
        <v>8</v>
      </c>
      <c r="L68">
        <v>2</v>
      </c>
      <c r="M68" s="27">
        <f>IFERROR(DATE(Meczusie[[#This Row],[Rok]],Meczusie[[#This Row],[Miesiąc]],Meczusie[[#This Row],[Dzień]]),"")</f>
        <v>44045</v>
      </c>
      <c r="N68">
        <f t="shared" si="1"/>
        <v>27</v>
      </c>
    </row>
    <row r="69" spans="1:14" x14ac:dyDescent="0.25">
      <c r="A69">
        <v>68</v>
      </c>
      <c r="B69" t="s">
        <v>57</v>
      </c>
      <c r="C69" t="s">
        <v>301</v>
      </c>
      <c r="D69">
        <v>0</v>
      </c>
      <c r="E69">
        <v>11</v>
      </c>
      <c r="F69" t="s">
        <v>234</v>
      </c>
      <c r="G69" s="9">
        <v>0.35</v>
      </c>
      <c r="H69" s="9">
        <v>0.65</v>
      </c>
      <c r="I69" s="70">
        <v>0.41666666666666669</v>
      </c>
      <c r="J69">
        <v>2020</v>
      </c>
      <c r="K69">
        <v>8</v>
      </c>
      <c r="L69">
        <v>2</v>
      </c>
      <c r="M69" s="27">
        <f>IFERROR(DATE(Meczusie[[#This Row],[Rok]],Meczusie[[#This Row],[Miesiąc]],Meczusie[[#This Row],[Dzień]]),"")</f>
        <v>44045</v>
      </c>
      <c r="N69">
        <f t="shared" si="1"/>
        <v>27</v>
      </c>
    </row>
    <row r="70" spans="1:14" x14ac:dyDescent="0.25">
      <c r="A70">
        <v>69</v>
      </c>
      <c r="B70" t="s">
        <v>57</v>
      </c>
      <c r="C70" t="s">
        <v>332</v>
      </c>
      <c r="D70">
        <v>2</v>
      </c>
      <c r="E70">
        <v>3</v>
      </c>
      <c r="F70" t="s">
        <v>260</v>
      </c>
      <c r="G70" s="9">
        <v>0.49</v>
      </c>
      <c r="H70" s="9">
        <v>0.51</v>
      </c>
      <c r="I70" s="70">
        <v>0.41666666666666669</v>
      </c>
      <c r="J70">
        <v>2020</v>
      </c>
      <c r="K70">
        <v>8</v>
      </c>
      <c r="L70">
        <v>2</v>
      </c>
      <c r="M70" s="27">
        <f>IFERROR(DATE(Meczusie[[#This Row],[Rok]],Meczusie[[#This Row],[Miesiąc]],Meczusie[[#This Row],[Dzień]]),"")</f>
        <v>44045</v>
      </c>
      <c r="N70">
        <f t="shared" si="1"/>
        <v>27</v>
      </c>
    </row>
    <row r="71" spans="1:14" x14ac:dyDescent="0.25">
      <c r="A71">
        <v>70</v>
      </c>
      <c r="B71" t="s">
        <v>213</v>
      </c>
      <c r="C71" t="s">
        <v>212</v>
      </c>
      <c r="D71">
        <v>1</v>
      </c>
      <c r="E71">
        <v>2</v>
      </c>
      <c r="F71" t="s">
        <v>433</v>
      </c>
      <c r="G71" s="9">
        <v>0.42</v>
      </c>
      <c r="H71" s="9">
        <v>0.57999999999999996</v>
      </c>
      <c r="I71" s="70">
        <v>0.45833333333333331</v>
      </c>
      <c r="J71">
        <v>2020</v>
      </c>
      <c r="K71">
        <v>8</v>
      </c>
      <c r="L71">
        <v>4</v>
      </c>
      <c r="M71" s="27">
        <f>IFERROR(DATE(Meczusie[[#This Row],[Rok]],Meczusie[[#This Row],[Miesiąc]],Meczusie[[#This Row],[Dzień]]),"")</f>
        <v>44047</v>
      </c>
      <c r="N71">
        <f t="shared" si="1"/>
        <v>29</v>
      </c>
    </row>
    <row r="72" spans="1:14" x14ac:dyDescent="0.25">
      <c r="A72">
        <v>71</v>
      </c>
      <c r="B72" t="s">
        <v>213</v>
      </c>
      <c r="C72" s="75" t="s">
        <v>433</v>
      </c>
      <c r="D72">
        <v>1</v>
      </c>
      <c r="E72">
        <v>0</v>
      </c>
      <c r="F72" t="s">
        <v>212</v>
      </c>
      <c r="G72" s="9">
        <v>0.56000000000000005</v>
      </c>
      <c r="H72" s="9">
        <v>0.44</v>
      </c>
      <c r="I72" s="70">
        <v>0.79166666666666663</v>
      </c>
      <c r="J72">
        <v>2020</v>
      </c>
      <c r="K72">
        <v>8</v>
      </c>
      <c r="L72">
        <v>4</v>
      </c>
      <c r="M72" s="27">
        <f>IFERROR(DATE(Meczusie[[#This Row],[Rok]],Meczusie[[#This Row],[Miesiąc]],Meczusie[[#This Row],[Dzień]]),"")</f>
        <v>44047</v>
      </c>
      <c r="N72">
        <f t="shared" si="1"/>
        <v>29</v>
      </c>
    </row>
    <row r="73" spans="1:14" x14ac:dyDescent="0.25">
      <c r="A73">
        <v>72</v>
      </c>
      <c r="B73" t="s">
        <v>57</v>
      </c>
      <c r="C73" t="s">
        <v>233</v>
      </c>
      <c r="D73">
        <v>2</v>
      </c>
      <c r="E73">
        <v>1</v>
      </c>
      <c r="F73" t="s">
        <v>302</v>
      </c>
      <c r="G73" s="9">
        <v>0.49</v>
      </c>
      <c r="H73" s="9">
        <v>0.51</v>
      </c>
      <c r="I73" s="70">
        <v>0.59375</v>
      </c>
      <c r="J73">
        <v>2020</v>
      </c>
      <c r="K73">
        <v>8</v>
      </c>
      <c r="L73">
        <v>5</v>
      </c>
      <c r="M73" s="27">
        <f>IFERROR(DATE(Meczusie[[#This Row],[Rok]],Meczusie[[#This Row],[Miesiąc]],Meczusie[[#This Row],[Dzień]]),"")</f>
        <v>44048</v>
      </c>
      <c r="N73">
        <f t="shared" si="1"/>
        <v>30</v>
      </c>
    </row>
    <row r="74" spans="1:14" x14ac:dyDescent="0.25">
      <c r="A74">
        <v>73</v>
      </c>
      <c r="B74" t="s">
        <v>57</v>
      </c>
      <c r="C74" t="s">
        <v>259</v>
      </c>
      <c r="D74">
        <v>10</v>
      </c>
      <c r="E74">
        <v>0</v>
      </c>
      <c r="F74" t="s">
        <v>300</v>
      </c>
      <c r="G74" s="9">
        <v>0.56000000000000005</v>
      </c>
      <c r="H74" s="9">
        <v>0.44</v>
      </c>
      <c r="I74" s="70">
        <v>0.59375</v>
      </c>
      <c r="J74">
        <v>2020</v>
      </c>
      <c r="K74">
        <v>8</v>
      </c>
      <c r="L74">
        <v>5</v>
      </c>
      <c r="M74" s="27">
        <f>IFERROR(DATE(Meczusie[[#This Row],[Rok]],Meczusie[[#This Row],[Miesiąc]],Meczusie[[#This Row],[Dzień]]),"")</f>
        <v>44048</v>
      </c>
      <c r="N74">
        <f t="shared" si="1"/>
        <v>30</v>
      </c>
    </row>
    <row r="75" spans="1:14" x14ac:dyDescent="0.25">
      <c r="A75">
        <v>74</v>
      </c>
      <c r="B75" t="s">
        <v>57</v>
      </c>
      <c r="C75" t="s">
        <v>331</v>
      </c>
      <c r="D75">
        <v>4</v>
      </c>
      <c r="E75">
        <v>1</v>
      </c>
      <c r="F75" t="s">
        <v>235</v>
      </c>
      <c r="G75" s="9">
        <v>0.45</v>
      </c>
      <c r="H75" s="9">
        <v>0.55000000000000004</v>
      </c>
      <c r="I75" s="70">
        <v>0.59375</v>
      </c>
      <c r="J75">
        <v>2020</v>
      </c>
      <c r="K75">
        <v>8</v>
      </c>
      <c r="L75">
        <v>5</v>
      </c>
      <c r="M75" s="27">
        <f>IFERROR(DATE(Meczusie[[#This Row],[Rok]],Meczusie[[#This Row],[Miesiąc]],Meczusie[[#This Row],[Dzień]]),"")</f>
        <v>44048</v>
      </c>
      <c r="N75">
        <f t="shared" si="1"/>
        <v>30</v>
      </c>
    </row>
    <row r="76" spans="1:14" x14ac:dyDescent="0.25">
      <c r="A76">
        <v>75</v>
      </c>
      <c r="B76" t="s">
        <v>57</v>
      </c>
      <c r="C76" t="s">
        <v>234</v>
      </c>
      <c r="D76">
        <v>3</v>
      </c>
      <c r="E76">
        <v>3</v>
      </c>
      <c r="F76" t="s">
        <v>303</v>
      </c>
      <c r="G76" s="9">
        <v>0.42</v>
      </c>
      <c r="H76" s="9">
        <v>0.57999999999999996</v>
      </c>
      <c r="I76" s="70">
        <v>0.59375</v>
      </c>
      <c r="J76">
        <v>2020</v>
      </c>
      <c r="K76">
        <v>8</v>
      </c>
      <c r="L76">
        <v>5</v>
      </c>
      <c r="M76" s="27">
        <f>IFERROR(DATE(Meczusie[[#This Row],[Rok]],Meczusie[[#This Row],[Miesiąc]],Meczusie[[#This Row],[Dzień]]),"")</f>
        <v>44048</v>
      </c>
      <c r="N76">
        <f t="shared" si="1"/>
        <v>30</v>
      </c>
    </row>
    <row r="77" spans="1:14" x14ac:dyDescent="0.25">
      <c r="A77">
        <v>76</v>
      </c>
      <c r="B77" t="s">
        <v>57</v>
      </c>
      <c r="C77" t="s">
        <v>260</v>
      </c>
      <c r="D77">
        <v>17</v>
      </c>
      <c r="E77">
        <v>0</v>
      </c>
      <c r="F77" t="s">
        <v>301</v>
      </c>
      <c r="G77" s="9">
        <v>0.69</v>
      </c>
      <c r="H77" s="9">
        <v>0.31</v>
      </c>
      <c r="I77" s="70">
        <v>0.59375</v>
      </c>
      <c r="J77">
        <v>2020</v>
      </c>
      <c r="K77">
        <v>8</v>
      </c>
      <c r="L77">
        <v>5</v>
      </c>
      <c r="M77" s="27">
        <f>IFERROR(DATE(Meczusie[[#This Row],[Rok]],Meczusie[[#This Row],[Miesiąc]],Meczusie[[#This Row],[Dzień]]),"")</f>
        <v>44048</v>
      </c>
      <c r="N77">
        <f t="shared" si="1"/>
        <v>30</v>
      </c>
    </row>
    <row r="78" spans="1:14" x14ac:dyDescent="0.25">
      <c r="A78">
        <v>77</v>
      </c>
      <c r="B78" t="s">
        <v>57</v>
      </c>
      <c r="C78" t="s">
        <v>332</v>
      </c>
      <c r="D78">
        <v>1</v>
      </c>
      <c r="E78">
        <v>1</v>
      </c>
      <c r="F78" t="s">
        <v>212</v>
      </c>
      <c r="G78" s="9">
        <v>0.5</v>
      </c>
      <c r="H78" s="9">
        <v>0.5</v>
      </c>
      <c r="I78" s="70">
        <v>0.59375</v>
      </c>
      <c r="J78">
        <v>2020</v>
      </c>
      <c r="K78">
        <v>8</v>
      </c>
      <c r="L78">
        <v>5</v>
      </c>
      <c r="M78" s="27">
        <f>IFERROR(DATE(Meczusie[[#This Row],[Rok]],Meczusie[[#This Row],[Miesiąc]],Meczusie[[#This Row],[Dzień]]),"")</f>
        <v>44048</v>
      </c>
      <c r="N78">
        <f t="shared" si="1"/>
        <v>30</v>
      </c>
    </row>
    <row r="79" spans="1:14" x14ac:dyDescent="0.25">
      <c r="A79">
        <v>78</v>
      </c>
      <c r="B79" t="s">
        <v>213</v>
      </c>
      <c r="C79" t="s">
        <v>212</v>
      </c>
      <c r="D79">
        <v>2</v>
      </c>
      <c r="E79">
        <v>0</v>
      </c>
      <c r="F79" t="s">
        <v>357</v>
      </c>
      <c r="G79" s="9">
        <v>0.48</v>
      </c>
      <c r="H79" s="9">
        <v>0.52</v>
      </c>
      <c r="I79" s="70">
        <v>0.45833333333333331</v>
      </c>
      <c r="J79">
        <v>2020</v>
      </c>
      <c r="K79">
        <v>8</v>
      </c>
      <c r="L79">
        <v>7</v>
      </c>
      <c r="M79" s="27">
        <f>IFERROR(DATE(Meczusie[[#This Row],[Rok]],Meczusie[[#This Row],[Miesiąc]],Meczusie[[#This Row],[Dzień]]),"")</f>
        <v>44050</v>
      </c>
      <c r="N79">
        <f t="shared" si="1"/>
        <v>32</v>
      </c>
    </row>
    <row r="80" spans="1:14" x14ac:dyDescent="0.25">
      <c r="A80">
        <v>79</v>
      </c>
      <c r="B80" t="s">
        <v>213</v>
      </c>
      <c r="C80" t="s">
        <v>357</v>
      </c>
      <c r="D80">
        <v>2</v>
      </c>
      <c r="E80">
        <v>2</v>
      </c>
      <c r="F80" t="s">
        <v>212</v>
      </c>
      <c r="G80" s="9">
        <v>0.49</v>
      </c>
      <c r="H80" s="9">
        <v>0.51</v>
      </c>
      <c r="I80" s="70">
        <v>0.79166666666666663</v>
      </c>
      <c r="J80">
        <v>2020</v>
      </c>
      <c r="K80">
        <v>8</v>
      </c>
      <c r="L80">
        <v>7</v>
      </c>
      <c r="M80" s="27">
        <f>IFERROR(DATE(Meczusie[[#This Row],[Rok]],Meczusie[[#This Row],[Miesiąc]],Meczusie[[#This Row],[Dzień]]),"")</f>
        <v>44050</v>
      </c>
      <c r="N80">
        <f t="shared" si="1"/>
        <v>32</v>
      </c>
    </row>
    <row r="81" spans="1:14" x14ac:dyDescent="0.25">
      <c r="A81">
        <v>80</v>
      </c>
      <c r="B81" t="s">
        <v>57</v>
      </c>
      <c r="C81" t="s">
        <v>235</v>
      </c>
      <c r="D81">
        <v>0</v>
      </c>
      <c r="E81">
        <v>7</v>
      </c>
      <c r="F81" t="s">
        <v>233</v>
      </c>
      <c r="G81" s="9">
        <v>0.52</v>
      </c>
      <c r="H81" s="9">
        <v>0.48</v>
      </c>
      <c r="I81" s="70">
        <v>0.67708333333333337</v>
      </c>
      <c r="J81">
        <v>2020</v>
      </c>
      <c r="K81">
        <v>8</v>
      </c>
      <c r="L81">
        <v>9</v>
      </c>
      <c r="M81" s="27">
        <f>IFERROR(DATE(Meczusie[[#This Row],[Rok]],Meczusie[[#This Row],[Miesiąc]],Meczusie[[#This Row],[Dzień]]),"")</f>
        <v>44052</v>
      </c>
      <c r="N81">
        <f t="shared" si="1"/>
        <v>34</v>
      </c>
    </row>
    <row r="82" spans="1:14" x14ac:dyDescent="0.25">
      <c r="A82">
        <v>81</v>
      </c>
      <c r="B82" t="s">
        <v>57</v>
      </c>
      <c r="C82" t="s">
        <v>302</v>
      </c>
      <c r="D82">
        <v>2</v>
      </c>
      <c r="E82">
        <v>1</v>
      </c>
      <c r="F82" t="s">
        <v>259</v>
      </c>
      <c r="G82" s="9">
        <v>0.46</v>
      </c>
      <c r="H82" s="9">
        <v>0.54</v>
      </c>
      <c r="I82" s="70">
        <v>0.67708333333333337</v>
      </c>
      <c r="J82">
        <v>2020</v>
      </c>
      <c r="K82">
        <v>8</v>
      </c>
      <c r="L82">
        <v>9</v>
      </c>
      <c r="M82" s="27">
        <f>IFERROR(DATE(Meczusie[[#This Row],[Rok]],Meczusie[[#This Row],[Miesiąc]],Meczusie[[#This Row],[Dzień]]),"")</f>
        <v>44052</v>
      </c>
      <c r="N82">
        <f t="shared" si="1"/>
        <v>34</v>
      </c>
    </row>
    <row r="83" spans="1:14" x14ac:dyDescent="0.25">
      <c r="A83">
        <v>82</v>
      </c>
      <c r="B83" t="s">
        <v>57</v>
      </c>
      <c r="C83" t="s">
        <v>300</v>
      </c>
      <c r="D83">
        <v>4</v>
      </c>
      <c r="E83">
        <v>3</v>
      </c>
      <c r="F83" t="s">
        <v>331</v>
      </c>
      <c r="G83" s="9">
        <v>0.54</v>
      </c>
      <c r="H83" s="9">
        <v>0.46</v>
      </c>
      <c r="I83" s="70">
        <v>0.67708333333333337</v>
      </c>
      <c r="J83">
        <v>2020</v>
      </c>
      <c r="K83">
        <v>8</v>
      </c>
      <c r="L83">
        <v>9</v>
      </c>
      <c r="M83" s="27">
        <f>IFERROR(DATE(Meczusie[[#This Row],[Rok]],Meczusie[[#This Row],[Miesiąc]],Meczusie[[#This Row],[Dzień]]),"")</f>
        <v>44052</v>
      </c>
      <c r="N83">
        <f t="shared" si="1"/>
        <v>34</v>
      </c>
    </row>
    <row r="84" spans="1:14" x14ac:dyDescent="0.25">
      <c r="A84">
        <v>83</v>
      </c>
      <c r="B84" t="s">
        <v>57</v>
      </c>
      <c r="C84" t="s">
        <v>212</v>
      </c>
      <c r="D84">
        <v>1</v>
      </c>
      <c r="E84">
        <v>0</v>
      </c>
      <c r="F84" t="s">
        <v>234</v>
      </c>
      <c r="G84" s="9">
        <v>0.48</v>
      </c>
      <c r="H84" s="9">
        <v>0.52</v>
      </c>
      <c r="I84" s="70">
        <v>0.67708333333333337</v>
      </c>
      <c r="J84">
        <v>2020</v>
      </c>
      <c r="K84">
        <v>8</v>
      </c>
      <c r="L84">
        <v>9</v>
      </c>
      <c r="M84" s="27">
        <f>IFERROR(DATE(Meczusie[[#This Row],[Rok]],Meczusie[[#This Row],[Miesiąc]],Meczusie[[#This Row],[Dzień]]),"")</f>
        <v>44052</v>
      </c>
      <c r="N84">
        <f t="shared" si="1"/>
        <v>34</v>
      </c>
    </row>
    <row r="85" spans="1:14" x14ac:dyDescent="0.25">
      <c r="A85">
        <v>84</v>
      </c>
      <c r="B85" t="s">
        <v>57</v>
      </c>
      <c r="C85" t="s">
        <v>303</v>
      </c>
      <c r="D85">
        <v>0</v>
      </c>
      <c r="E85">
        <v>1</v>
      </c>
      <c r="F85" t="s">
        <v>260</v>
      </c>
      <c r="G85" s="9">
        <v>0.48</v>
      </c>
      <c r="H85" s="9">
        <v>0.52</v>
      </c>
      <c r="I85" s="70">
        <v>0.67708333333333337</v>
      </c>
      <c r="J85">
        <v>2020</v>
      </c>
      <c r="K85">
        <v>8</v>
      </c>
      <c r="L85">
        <v>9</v>
      </c>
      <c r="M85" s="27">
        <f>IFERROR(DATE(Meczusie[[#This Row],[Rok]],Meczusie[[#This Row],[Miesiąc]],Meczusie[[#This Row],[Dzień]]),"")</f>
        <v>44052</v>
      </c>
      <c r="N85">
        <f t="shared" si="1"/>
        <v>34</v>
      </c>
    </row>
    <row r="86" spans="1:14" x14ac:dyDescent="0.25">
      <c r="A86">
        <v>85</v>
      </c>
      <c r="B86" t="s">
        <v>57</v>
      </c>
      <c r="C86" t="s">
        <v>301</v>
      </c>
      <c r="D86">
        <v>0</v>
      </c>
      <c r="E86">
        <v>10</v>
      </c>
      <c r="F86" t="s">
        <v>332</v>
      </c>
      <c r="G86" s="9">
        <v>0.36</v>
      </c>
      <c r="H86" s="9">
        <v>0.64</v>
      </c>
      <c r="I86" s="70">
        <v>0.67708333333333337</v>
      </c>
      <c r="J86">
        <v>2020</v>
      </c>
      <c r="K86">
        <v>8</v>
      </c>
      <c r="L86">
        <v>9</v>
      </c>
      <c r="M86" s="27">
        <f>IFERROR(DATE(Meczusie[[#This Row],[Rok]],Meczusie[[#This Row],[Miesiąc]],Meczusie[[#This Row],[Dzień]]),"")</f>
        <v>44052</v>
      </c>
      <c r="N86">
        <f t="shared" si="1"/>
        <v>34</v>
      </c>
    </row>
    <row r="87" spans="1:14" x14ac:dyDescent="0.25">
      <c r="A87">
        <v>86</v>
      </c>
      <c r="B87" t="s">
        <v>57</v>
      </c>
      <c r="C87" t="s">
        <v>259</v>
      </c>
      <c r="D87">
        <v>2</v>
      </c>
      <c r="E87">
        <v>2</v>
      </c>
      <c r="F87" t="s">
        <v>233</v>
      </c>
      <c r="G87" s="9">
        <v>0.55000000000000004</v>
      </c>
      <c r="H87" s="9">
        <v>0.45</v>
      </c>
      <c r="I87" s="70">
        <v>0.38541666666666669</v>
      </c>
      <c r="J87">
        <v>2020</v>
      </c>
      <c r="K87">
        <v>8</v>
      </c>
      <c r="L87">
        <v>12</v>
      </c>
      <c r="M87" s="27">
        <f>IFERROR(DATE(Meczusie[[#This Row],[Rok]],Meczusie[[#This Row],[Miesiąc]],Meczusie[[#This Row],[Dzień]]),"")</f>
        <v>44055</v>
      </c>
      <c r="N87">
        <f t="shared" si="1"/>
        <v>37</v>
      </c>
    </row>
    <row r="88" spans="1:14" x14ac:dyDescent="0.25">
      <c r="A88">
        <v>87</v>
      </c>
      <c r="B88" t="s">
        <v>57</v>
      </c>
      <c r="C88" t="s">
        <v>235</v>
      </c>
      <c r="D88">
        <v>4</v>
      </c>
      <c r="E88">
        <v>3</v>
      </c>
      <c r="F88" t="s">
        <v>300</v>
      </c>
      <c r="G88" s="9">
        <v>0.47</v>
      </c>
      <c r="H88" s="9">
        <v>0.53</v>
      </c>
      <c r="I88" s="70">
        <v>0.38541666666666669</v>
      </c>
      <c r="J88">
        <v>2020</v>
      </c>
      <c r="K88">
        <v>8</v>
      </c>
      <c r="L88">
        <v>12</v>
      </c>
      <c r="M88" s="27">
        <f>IFERROR(DATE(Meczusie[[#This Row],[Rok]],Meczusie[[#This Row],[Miesiąc]],Meczusie[[#This Row],[Dzień]]),"")</f>
        <v>44055</v>
      </c>
      <c r="N88">
        <f t="shared" si="1"/>
        <v>37</v>
      </c>
    </row>
    <row r="89" spans="1:14" x14ac:dyDescent="0.25">
      <c r="A89">
        <v>88</v>
      </c>
      <c r="B89" t="s">
        <v>57</v>
      </c>
      <c r="C89" t="s">
        <v>302</v>
      </c>
      <c r="D89">
        <v>1</v>
      </c>
      <c r="E89">
        <v>2</v>
      </c>
      <c r="F89" t="s">
        <v>331</v>
      </c>
      <c r="G89" s="9">
        <v>0.59</v>
      </c>
      <c r="H89" s="9">
        <v>0.41</v>
      </c>
      <c r="I89" s="70">
        <v>0.38541666666666669</v>
      </c>
      <c r="J89">
        <v>2020</v>
      </c>
      <c r="K89">
        <v>8</v>
      </c>
      <c r="L89">
        <v>12</v>
      </c>
      <c r="M89" s="27">
        <f>IFERROR(DATE(Meczusie[[#This Row],[Rok]],Meczusie[[#This Row],[Miesiąc]],Meczusie[[#This Row],[Dzień]]),"")</f>
        <v>44055</v>
      </c>
      <c r="N89">
        <f t="shared" si="1"/>
        <v>37</v>
      </c>
    </row>
    <row r="90" spans="1:14" x14ac:dyDescent="0.25">
      <c r="A90">
        <v>89</v>
      </c>
      <c r="B90" t="s">
        <v>57</v>
      </c>
      <c r="C90" t="s">
        <v>260</v>
      </c>
      <c r="D90">
        <v>2</v>
      </c>
      <c r="E90">
        <v>2</v>
      </c>
      <c r="F90" t="s">
        <v>234</v>
      </c>
      <c r="G90" s="9">
        <v>0.56000000000000005</v>
      </c>
      <c r="H90" s="9">
        <v>0.44</v>
      </c>
      <c r="I90" s="70">
        <v>0.38541666666666669</v>
      </c>
      <c r="J90">
        <v>2020</v>
      </c>
      <c r="K90">
        <v>8</v>
      </c>
      <c r="L90">
        <v>12</v>
      </c>
      <c r="M90" s="27">
        <f>IFERROR(DATE(Meczusie[[#This Row],[Rok]],Meczusie[[#This Row],[Miesiąc]],Meczusie[[#This Row],[Dzień]]),"")</f>
        <v>44055</v>
      </c>
      <c r="N90">
        <f t="shared" si="1"/>
        <v>37</v>
      </c>
    </row>
    <row r="91" spans="1:14" x14ac:dyDescent="0.25">
      <c r="A91">
        <v>90</v>
      </c>
      <c r="B91" t="s">
        <v>57</v>
      </c>
      <c r="C91" t="s">
        <v>212</v>
      </c>
      <c r="D91">
        <v>4</v>
      </c>
      <c r="E91">
        <v>0</v>
      </c>
      <c r="F91" t="s">
        <v>301</v>
      </c>
      <c r="G91" s="9">
        <v>0.56999999999999995</v>
      </c>
      <c r="H91" s="9">
        <v>0.43</v>
      </c>
      <c r="I91" s="70">
        <v>0.38541666666666669</v>
      </c>
      <c r="J91">
        <v>2020</v>
      </c>
      <c r="K91">
        <v>8</v>
      </c>
      <c r="L91">
        <v>12</v>
      </c>
      <c r="M91" s="27">
        <f>IFERROR(DATE(Meczusie[[#This Row],[Rok]],Meczusie[[#This Row],[Miesiąc]],Meczusie[[#This Row],[Dzień]]),"")</f>
        <v>44055</v>
      </c>
      <c r="N91">
        <f t="shared" si="1"/>
        <v>37</v>
      </c>
    </row>
    <row r="92" spans="1:14" x14ac:dyDescent="0.25">
      <c r="A92">
        <v>91</v>
      </c>
      <c r="B92" t="s">
        <v>57</v>
      </c>
      <c r="C92" t="s">
        <v>303</v>
      </c>
      <c r="D92">
        <v>2</v>
      </c>
      <c r="E92">
        <v>2</v>
      </c>
      <c r="F92" t="s">
        <v>332</v>
      </c>
      <c r="G92" s="9">
        <v>0.51</v>
      </c>
      <c r="H92" s="9">
        <v>0.49</v>
      </c>
      <c r="I92" s="70">
        <v>0.38541666666666669</v>
      </c>
      <c r="J92">
        <v>2020</v>
      </c>
      <c r="K92">
        <v>8</v>
      </c>
      <c r="L92">
        <v>12</v>
      </c>
      <c r="M92" s="27">
        <f>IFERROR(DATE(Meczusie[[#This Row],[Rok]],Meczusie[[#This Row],[Miesiąc]],Meczusie[[#This Row],[Dzień]]),"")</f>
        <v>44055</v>
      </c>
      <c r="N92">
        <f t="shared" si="1"/>
        <v>37</v>
      </c>
    </row>
    <row r="93" spans="1:14" x14ac:dyDescent="0.25">
      <c r="A93">
        <v>92</v>
      </c>
      <c r="B93" t="s">
        <v>213</v>
      </c>
      <c r="C93" t="s">
        <v>357</v>
      </c>
      <c r="D93">
        <v>1</v>
      </c>
      <c r="E93">
        <v>3</v>
      </c>
      <c r="F93" t="s">
        <v>212</v>
      </c>
      <c r="G93" s="9">
        <v>0.5</v>
      </c>
      <c r="H93" s="9">
        <v>0.5</v>
      </c>
      <c r="I93" s="70">
        <v>0.45833333333333331</v>
      </c>
      <c r="J93">
        <v>2020</v>
      </c>
      <c r="K93">
        <v>8</v>
      </c>
      <c r="L93">
        <v>13</v>
      </c>
      <c r="M93" s="27">
        <f>IFERROR(DATE(Meczusie[[#This Row],[Rok]],Meczusie[[#This Row],[Miesiąc]],Meczusie[[#This Row],[Dzień]]),"")</f>
        <v>44056</v>
      </c>
      <c r="N93">
        <f t="shared" si="1"/>
        <v>38</v>
      </c>
    </row>
    <row r="94" spans="1:14" x14ac:dyDescent="0.25">
      <c r="A94">
        <v>93</v>
      </c>
      <c r="B94" t="s">
        <v>213</v>
      </c>
      <c r="C94" t="s">
        <v>212</v>
      </c>
      <c r="D94">
        <v>5</v>
      </c>
      <c r="E94">
        <v>2</v>
      </c>
      <c r="F94" t="s">
        <v>357</v>
      </c>
      <c r="G94" s="9">
        <v>0.6</v>
      </c>
      <c r="H94" s="9">
        <v>0.4</v>
      </c>
      <c r="I94" s="70">
        <v>0.79166666666666663</v>
      </c>
      <c r="J94">
        <v>2020</v>
      </c>
      <c r="K94">
        <v>8</v>
      </c>
      <c r="L94">
        <v>13</v>
      </c>
      <c r="M94" s="27">
        <f>IFERROR(DATE(Meczusie[[#This Row],[Rok]],Meczusie[[#This Row],[Miesiąc]],Meczusie[[#This Row],[Dzień]]),"")</f>
        <v>44056</v>
      </c>
      <c r="N94">
        <f t="shared" si="1"/>
        <v>38</v>
      </c>
    </row>
    <row r="95" spans="1:14" x14ac:dyDescent="0.25">
      <c r="A95">
        <v>94</v>
      </c>
      <c r="B95" t="s">
        <v>213</v>
      </c>
      <c r="C95" t="s">
        <v>357</v>
      </c>
      <c r="D95">
        <v>3</v>
      </c>
      <c r="E95">
        <v>1</v>
      </c>
      <c r="F95" t="s">
        <v>212</v>
      </c>
      <c r="G95" s="9">
        <v>0.57999999999999996</v>
      </c>
      <c r="H95" s="9">
        <v>0.42</v>
      </c>
      <c r="I95" s="70">
        <v>0.45833333333333331</v>
      </c>
      <c r="J95">
        <v>2020</v>
      </c>
      <c r="K95">
        <v>8</v>
      </c>
      <c r="L95">
        <v>14</v>
      </c>
      <c r="M95" s="27">
        <f>IFERROR(DATE(Meczusie[[#This Row],[Rok]],Meczusie[[#This Row],[Miesiąc]],Meczusie[[#This Row],[Dzień]]),"")</f>
        <v>44057</v>
      </c>
      <c r="N95">
        <f t="shared" si="1"/>
        <v>39</v>
      </c>
    </row>
    <row r="96" spans="1:14" x14ac:dyDescent="0.25">
      <c r="A96">
        <v>95</v>
      </c>
      <c r="B96" t="s">
        <v>213</v>
      </c>
      <c r="C96" t="s">
        <v>212</v>
      </c>
      <c r="D96">
        <v>1</v>
      </c>
      <c r="E96">
        <v>7</v>
      </c>
      <c r="F96" t="s">
        <v>357</v>
      </c>
      <c r="G96" s="9">
        <v>0.36</v>
      </c>
      <c r="H96" s="9">
        <v>0.64</v>
      </c>
      <c r="I96" s="70">
        <v>0.79166666666666663</v>
      </c>
      <c r="J96">
        <v>2020</v>
      </c>
      <c r="K96">
        <v>8</v>
      </c>
      <c r="L96">
        <v>14</v>
      </c>
      <c r="M96" s="27">
        <f>IFERROR(DATE(Meczusie[[#This Row],[Rok]],Meczusie[[#This Row],[Miesiąc]],Meczusie[[#This Row],[Dzień]]),"")</f>
        <v>44057</v>
      </c>
      <c r="N96">
        <f t="shared" si="1"/>
        <v>39</v>
      </c>
    </row>
    <row r="97" spans="1:14" x14ac:dyDescent="0.25">
      <c r="A97">
        <v>96</v>
      </c>
      <c r="B97" t="s">
        <v>213</v>
      </c>
      <c r="C97" t="s">
        <v>357</v>
      </c>
      <c r="D97">
        <v>0</v>
      </c>
      <c r="E97">
        <v>3</v>
      </c>
      <c r="F97" t="s">
        <v>212</v>
      </c>
      <c r="G97" s="9">
        <v>0.4</v>
      </c>
      <c r="H97" s="9">
        <v>0.6</v>
      </c>
      <c r="I97" s="70">
        <v>0.45833333333333331</v>
      </c>
      <c r="J97">
        <v>2020</v>
      </c>
      <c r="K97">
        <v>8</v>
      </c>
      <c r="L97">
        <v>15</v>
      </c>
      <c r="M97" s="27">
        <f>IFERROR(DATE(Meczusie[[#This Row],[Rok]],Meczusie[[#This Row],[Miesiąc]],Meczusie[[#This Row],[Dzień]]),"")</f>
        <v>44058</v>
      </c>
      <c r="N97">
        <f t="shared" si="1"/>
        <v>40</v>
      </c>
    </row>
    <row r="98" spans="1:14" x14ac:dyDescent="0.25">
      <c r="A98">
        <v>97</v>
      </c>
      <c r="B98" t="s">
        <v>213</v>
      </c>
      <c r="C98" t="s">
        <v>212</v>
      </c>
      <c r="D98">
        <v>3</v>
      </c>
      <c r="E98">
        <v>0</v>
      </c>
      <c r="F98" t="s">
        <v>357</v>
      </c>
      <c r="G98" s="9">
        <v>0.53</v>
      </c>
      <c r="H98" s="9">
        <v>0.47</v>
      </c>
      <c r="I98" s="70">
        <v>0.79166666666666663</v>
      </c>
      <c r="J98">
        <v>2020</v>
      </c>
      <c r="K98">
        <v>8</v>
      </c>
      <c r="L98">
        <v>15</v>
      </c>
      <c r="M98" s="27">
        <f>IFERROR(DATE(Meczusie[[#This Row],[Rok]],Meczusie[[#This Row],[Miesiąc]],Meczusie[[#This Row],[Dzień]]),"")</f>
        <v>44058</v>
      </c>
      <c r="N98">
        <f t="shared" si="1"/>
        <v>40</v>
      </c>
    </row>
    <row r="99" spans="1:14" x14ac:dyDescent="0.25">
      <c r="A99">
        <v>98</v>
      </c>
      <c r="B99" t="s">
        <v>57</v>
      </c>
      <c r="C99" t="s">
        <v>233</v>
      </c>
      <c r="D99">
        <v>3</v>
      </c>
      <c r="E99">
        <v>0</v>
      </c>
      <c r="F99" t="s">
        <v>259</v>
      </c>
      <c r="G99" s="9">
        <v>0.47</v>
      </c>
      <c r="H99" s="9">
        <v>0.53</v>
      </c>
      <c r="I99" s="70">
        <v>0.76041666666666663</v>
      </c>
      <c r="J99">
        <v>2020</v>
      </c>
      <c r="K99">
        <v>8</v>
      </c>
      <c r="L99">
        <v>16</v>
      </c>
      <c r="M99" s="27">
        <f>IFERROR(DATE(Meczusie[[#This Row],[Rok]],Meczusie[[#This Row],[Miesiąc]],Meczusie[[#This Row],[Dzień]]),"")</f>
        <v>44059</v>
      </c>
      <c r="N99">
        <f t="shared" si="1"/>
        <v>41</v>
      </c>
    </row>
    <row r="100" spans="1:14" x14ac:dyDescent="0.25">
      <c r="A100">
        <v>99</v>
      </c>
      <c r="B100" t="s">
        <v>57</v>
      </c>
      <c r="C100" t="s">
        <v>300</v>
      </c>
      <c r="D100">
        <v>5</v>
      </c>
      <c r="E100">
        <v>3</v>
      </c>
      <c r="F100" t="s">
        <v>235</v>
      </c>
      <c r="G100" s="9">
        <v>0.51</v>
      </c>
      <c r="H100" s="9">
        <v>0.49</v>
      </c>
      <c r="I100" s="70">
        <v>0.76041666666666663</v>
      </c>
      <c r="J100">
        <v>2020</v>
      </c>
      <c r="K100">
        <v>8</v>
      </c>
      <c r="L100">
        <v>16</v>
      </c>
      <c r="M100" s="27">
        <f>IFERROR(DATE(Meczusie[[#This Row],[Rok]],Meczusie[[#This Row],[Miesiąc]],Meczusie[[#This Row],[Dzień]]),"")</f>
        <v>44059</v>
      </c>
      <c r="N100">
        <f t="shared" si="1"/>
        <v>41</v>
      </c>
    </row>
    <row r="101" spans="1:14" x14ac:dyDescent="0.25">
      <c r="A101">
        <v>100</v>
      </c>
      <c r="B101" t="s">
        <v>57</v>
      </c>
      <c r="C101" t="s">
        <v>331</v>
      </c>
      <c r="D101">
        <v>4</v>
      </c>
      <c r="E101">
        <v>1</v>
      </c>
      <c r="F101" t="s">
        <v>302</v>
      </c>
      <c r="G101" s="9">
        <v>0.53</v>
      </c>
      <c r="H101" s="9">
        <v>0.47</v>
      </c>
      <c r="I101" s="70">
        <v>0.76041666666666663</v>
      </c>
      <c r="J101">
        <v>2020</v>
      </c>
      <c r="K101">
        <v>8</v>
      </c>
      <c r="L101">
        <v>16</v>
      </c>
      <c r="M101" s="27">
        <f>IFERROR(DATE(Meczusie[[#This Row],[Rok]],Meczusie[[#This Row],[Miesiąc]],Meczusie[[#This Row],[Dzień]]),"")</f>
        <v>44059</v>
      </c>
      <c r="N101">
        <f t="shared" si="1"/>
        <v>41</v>
      </c>
    </row>
    <row r="102" spans="1:14" x14ac:dyDescent="0.25">
      <c r="A102">
        <v>101</v>
      </c>
      <c r="B102" t="s">
        <v>57</v>
      </c>
      <c r="C102" t="s">
        <v>234</v>
      </c>
      <c r="D102">
        <v>3</v>
      </c>
      <c r="E102">
        <v>1</v>
      </c>
      <c r="F102" t="s">
        <v>260</v>
      </c>
      <c r="G102" s="9">
        <v>0.46</v>
      </c>
      <c r="H102" s="9">
        <v>0.54</v>
      </c>
      <c r="I102" s="70">
        <v>0.76041666666666663</v>
      </c>
      <c r="J102">
        <v>2020</v>
      </c>
      <c r="K102">
        <v>8</v>
      </c>
      <c r="L102">
        <v>16</v>
      </c>
      <c r="M102" s="27">
        <f>IFERROR(DATE(Meczusie[[#This Row],[Rok]],Meczusie[[#This Row],[Miesiąc]],Meczusie[[#This Row],[Dzień]]),"")</f>
        <v>44059</v>
      </c>
      <c r="N102">
        <f t="shared" si="1"/>
        <v>41</v>
      </c>
    </row>
    <row r="103" spans="1:14" x14ac:dyDescent="0.25">
      <c r="A103">
        <v>102</v>
      </c>
      <c r="B103" t="s">
        <v>57</v>
      </c>
      <c r="C103" t="s">
        <v>301</v>
      </c>
      <c r="D103">
        <v>0</v>
      </c>
      <c r="E103">
        <v>10</v>
      </c>
      <c r="F103" t="s">
        <v>212</v>
      </c>
      <c r="G103" s="9">
        <v>0.53</v>
      </c>
      <c r="H103" s="9">
        <v>0.47</v>
      </c>
      <c r="I103" s="70">
        <v>0.76041666666666663</v>
      </c>
      <c r="J103">
        <v>2020</v>
      </c>
      <c r="K103">
        <v>8</v>
      </c>
      <c r="L103">
        <v>16</v>
      </c>
      <c r="M103" s="27">
        <f>IFERROR(DATE(Meczusie[[#This Row],[Rok]],Meczusie[[#This Row],[Miesiąc]],Meczusie[[#This Row],[Dzień]]),"")</f>
        <v>44059</v>
      </c>
      <c r="N103">
        <f t="shared" si="1"/>
        <v>41</v>
      </c>
    </row>
    <row r="104" spans="1:14" x14ac:dyDescent="0.25">
      <c r="A104">
        <v>103</v>
      </c>
      <c r="B104" t="s">
        <v>57</v>
      </c>
      <c r="C104" t="s">
        <v>332</v>
      </c>
      <c r="D104">
        <v>4</v>
      </c>
      <c r="E104">
        <v>2</v>
      </c>
      <c r="F104" t="s">
        <v>303</v>
      </c>
      <c r="G104" s="9">
        <v>0.52</v>
      </c>
      <c r="H104" s="9">
        <v>0.48</v>
      </c>
      <c r="I104" s="70">
        <v>0.76041666666666663</v>
      </c>
      <c r="J104">
        <v>2020</v>
      </c>
      <c r="K104">
        <v>8</v>
      </c>
      <c r="L104">
        <v>16</v>
      </c>
      <c r="M104" s="27">
        <f>IFERROR(DATE(Meczusie[[#This Row],[Rok]],Meczusie[[#This Row],[Miesiąc]],Meczusie[[#This Row],[Dzień]]),"")</f>
        <v>44059</v>
      </c>
      <c r="N104">
        <f t="shared" si="1"/>
        <v>41</v>
      </c>
    </row>
    <row r="105" spans="1:14" x14ac:dyDescent="0.25">
      <c r="A105">
        <v>104</v>
      </c>
      <c r="B105" t="s">
        <v>213</v>
      </c>
      <c r="C105" t="s">
        <v>357</v>
      </c>
      <c r="D105">
        <v>5</v>
      </c>
      <c r="E105">
        <v>0</v>
      </c>
      <c r="F105" t="s">
        <v>212</v>
      </c>
      <c r="G105" s="9">
        <v>0.61</v>
      </c>
      <c r="H105" s="9">
        <v>0.39</v>
      </c>
      <c r="I105" s="70">
        <v>0.45833333333333331</v>
      </c>
      <c r="J105">
        <v>2020</v>
      </c>
      <c r="K105">
        <v>8</v>
      </c>
      <c r="L105">
        <v>17</v>
      </c>
      <c r="M105" s="27">
        <f>IFERROR(DATE(Meczusie[[#This Row],[Rok]],Meczusie[[#This Row],[Miesiąc]],Meczusie[[#This Row],[Dzień]]),"")</f>
        <v>44060</v>
      </c>
      <c r="N105">
        <f t="shared" si="1"/>
        <v>42</v>
      </c>
    </row>
    <row r="106" spans="1:14" x14ac:dyDescent="0.25">
      <c r="A106">
        <v>105</v>
      </c>
      <c r="B106" t="s">
        <v>213</v>
      </c>
      <c r="C106" t="s">
        <v>212</v>
      </c>
      <c r="D106">
        <v>0</v>
      </c>
      <c r="E106">
        <v>5</v>
      </c>
      <c r="F106" t="s">
        <v>357</v>
      </c>
      <c r="G106" s="9">
        <v>0.33</v>
      </c>
      <c r="H106" s="9">
        <v>0.67</v>
      </c>
      <c r="I106" s="70">
        <v>0.79166666666666663</v>
      </c>
      <c r="J106">
        <v>2020</v>
      </c>
      <c r="K106">
        <v>8</v>
      </c>
      <c r="L106">
        <v>17</v>
      </c>
      <c r="M106" s="27">
        <f>IFERROR(DATE(Meczusie[[#This Row],[Rok]],Meczusie[[#This Row],[Miesiąc]],Meczusie[[#This Row],[Dzień]]),"")</f>
        <v>44060</v>
      </c>
      <c r="N106">
        <f t="shared" si="1"/>
        <v>42</v>
      </c>
    </row>
    <row r="107" spans="1:14" x14ac:dyDescent="0.25">
      <c r="A107">
        <v>106</v>
      </c>
      <c r="B107" t="s">
        <v>213</v>
      </c>
      <c r="C107" t="s">
        <v>357</v>
      </c>
      <c r="D107">
        <v>0</v>
      </c>
      <c r="E107">
        <v>5</v>
      </c>
      <c r="F107" t="s">
        <v>212</v>
      </c>
      <c r="G107" s="9">
        <v>0.38</v>
      </c>
      <c r="H107" s="9">
        <v>0.62</v>
      </c>
      <c r="I107" s="70">
        <v>0.45833333333333331</v>
      </c>
      <c r="J107">
        <v>2020</v>
      </c>
      <c r="K107">
        <v>8</v>
      </c>
      <c r="L107">
        <v>18</v>
      </c>
      <c r="M107" s="27">
        <f>IFERROR(DATE(Meczusie[[#This Row],[Rok]],Meczusie[[#This Row],[Miesiąc]],Meczusie[[#This Row],[Dzień]]),"")</f>
        <v>44061</v>
      </c>
      <c r="N107">
        <f t="shared" si="1"/>
        <v>43</v>
      </c>
    </row>
    <row r="108" spans="1:14" x14ac:dyDescent="0.25">
      <c r="A108">
        <v>107</v>
      </c>
      <c r="B108" t="s">
        <v>213</v>
      </c>
      <c r="C108" t="s">
        <v>212</v>
      </c>
      <c r="D108">
        <v>3</v>
      </c>
      <c r="E108">
        <v>0</v>
      </c>
      <c r="F108" t="s">
        <v>357</v>
      </c>
      <c r="G108" s="9">
        <v>0.56000000000000005</v>
      </c>
      <c r="H108" s="9">
        <v>0.44</v>
      </c>
      <c r="I108" s="70">
        <v>0.79166666666666663</v>
      </c>
      <c r="J108">
        <v>2020</v>
      </c>
      <c r="K108">
        <v>8</v>
      </c>
      <c r="L108">
        <v>18</v>
      </c>
      <c r="M108" s="27">
        <f>IFERROR(DATE(Meczusie[[#This Row],[Rok]],Meczusie[[#This Row],[Miesiąc]],Meczusie[[#This Row],[Dzień]]),"")</f>
        <v>44061</v>
      </c>
      <c r="N108">
        <f t="shared" si="1"/>
        <v>43</v>
      </c>
    </row>
    <row r="109" spans="1:14" x14ac:dyDescent="0.25">
      <c r="A109">
        <v>108</v>
      </c>
      <c r="B109" t="s">
        <v>57</v>
      </c>
      <c r="C109" t="s">
        <v>233</v>
      </c>
      <c r="D109">
        <v>0</v>
      </c>
      <c r="E109">
        <v>16</v>
      </c>
      <c r="F109" t="s">
        <v>235</v>
      </c>
      <c r="G109" s="9">
        <v>0.36</v>
      </c>
      <c r="H109" s="9">
        <v>0.64</v>
      </c>
      <c r="I109" s="70">
        <v>0.4375</v>
      </c>
      <c r="J109">
        <v>2020</v>
      </c>
      <c r="K109">
        <v>8</v>
      </c>
      <c r="L109">
        <v>19</v>
      </c>
      <c r="M109" s="27">
        <f>IFERROR(DATE(Meczusie[[#This Row],[Rok]],Meczusie[[#This Row],[Miesiąc]],Meczusie[[#This Row],[Dzień]]),"")</f>
        <v>44062</v>
      </c>
      <c r="N109">
        <f t="shared" si="1"/>
        <v>44</v>
      </c>
    </row>
    <row r="110" spans="1:14" x14ac:dyDescent="0.25">
      <c r="A110">
        <v>109</v>
      </c>
      <c r="B110" t="s">
        <v>57</v>
      </c>
      <c r="C110" t="s">
        <v>259</v>
      </c>
      <c r="D110">
        <v>1</v>
      </c>
      <c r="E110">
        <v>2</v>
      </c>
      <c r="F110" t="s">
        <v>302</v>
      </c>
      <c r="G110" s="9">
        <v>0.56000000000000005</v>
      </c>
      <c r="H110" s="9">
        <v>0.44</v>
      </c>
      <c r="I110" s="70">
        <v>0.4375</v>
      </c>
      <c r="J110">
        <v>2020</v>
      </c>
      <c r="K110">
        <v>8</v>
      </c>
      <c r="L110">
        <v>19</v>
      </c>
      <c r="M110" s="27">
        <f>IFERROR(DATE(Meczusie[[#This Row],[Rok]],Meczusie[[#This Row],[Miesiąc]],Meczusie[[#This Row],[Dzień]]),"")</f>
        <v>44062</v>
      </c>
      <c r="N110">
        <f t="shared" si="1"/>
        <v>44</v>
      </c>
    </row>
    <row r="111" spans="1:14" x14ac:dyDescent="0.25">
      <c r="A111">
        <v>110</v>
      </c>
      <c r="B111" t="s">
        <v>57</v>
      </c>
      <c r="C111" t="s">
        <v>331</v>
      </c>
      <c r="D111">
        <v>3</v>
      </c>
      <c r="E111">
        <v>1</v>
      </c>
      <c r="F111" t="s">
        <v>300</v>
      </c>
      <c r="G111" s="9">
        <v>0.41</v>
      </c>
      <c r="H111" s="9">
        <v>0.59</v>
      </c>
      <c r="I111" s="70">
        <v>0.4375</v>
      </c>
      <c r="J111">
        <v>2020</v>
      </c>
      <c r="K111">
        <v>8</v>
      </c>
      <c r="L111">
        <v>19</v>
      </c>
      <c r="M111" s="27">
        <f>IFERROR(DATE(Meczusie[[#This Row],[Rok]],Meczusie[[#This Row],[Miesiąc]],Meczusie[[#This Row],[Dzień]]),"")</f>
        <v>44062</v>
      </c>
      <c r="N111">
        <f t="shared" si="1"/>
        <v>44</v>
      </c>
    </row>
    <row r="112" spans="1:14" x14ac:dyDescent="0.25">
      <c r="A112">
        <v>111</v>
      </c>
      <c r="B112" t="s">
        <v>57</v>
      </c>
      <c r="C112" t="s">
        <v>234</v>
      </c>
      <c r="D112">
        <v>1</v>
      </c>
      <c r="E112">
        <v>0</v>
      </c>
      <c r="F112" t="s">
        <v>212</v>
      </c>
      <c r="G112" s="9">
        <v>0.53</v>
      </c>
      <c r="H112" s="9">
        <v>0.47</v>
      </c>
      <c r="I112" s="70">
        <v>0.4375</v>
      </c>
      <c r="J112">
        <v>2020</v>
      </c>
      <c r="K112">
        <v>8</v>
      </c>
      <c r="L112">
        <v>19</v>
      </c>
      <c r="M112" s="27">
        <f>IFERROR(DATE(Meczusie[[#This Row],[Rok]],Meczusie[[#This Row],[Miesiąc]],Meczusie[[#This Row],[Dzień]]),"")</f>
        <v>44062</v>
      </c>
      <c r="N112">
        <f t="shared" si="1"/>
        <v>44</v>
      </c>
    </row>
    <row r="113" spans="1:14" x14ac:dyDescent="0.25">
      <c r="A113">
        <v>112</v>
      </c>
      <c r="B113" t="s">
        <v>57</v>
      </c>
      <c r="C113" t="s">
        <v>260</v>
      </c>
      <c r="D113">
        <v>2</v>
      </c>
      <c r="E113">
        <v>1</v>
      </c>
      <c r="F113" t="s">
        <v>303</v>
      </c>
      <c r="G113" s="9">
        <v>0.54</v>
      </c>
      <c r="H113" s="9">
        <v>0.46</v>
      </c>
      <c r="I113" s="70">
        <v>0.4375</v>
      </c>
      <c r="J113">
        <v>2020</v>
      </c>
      <c r="K113">
        <v>8</v>
      </c>
      <c r="L113">
        <v>19</v>
      </c>
      <c r="M113" s="27">
        <f>IFERROR(DATE(Meczusie[[#This Row],[Rok]],Meczusie[[#This Row],[Miesiąc]],Meczusie[[#This Row],[Dzień]]),"")</f>
        <v>44062</v>
      </c>
      <c r="N113">
        <f t="shared" si="1"/>
        <v>44</v>
      </c>
    </row>
    <row r="114" spans="1:14" x14ac:dyDescent="0.25">
      <c r="A114">
        <v>113</v>
      </c>
      <c r="B114" t="s">
        <v>57</v>
      </c>
      <c r="C114" t="s">
        <v>332</v>
      </c>
      <c r="D114">
        <v>6</v>
      </c>
      <c r="E114">
        <v>0</v>
      </c>
      <c r="F114" t="s">
        <v>301</v>
      </c>
      <c r="G114" s="9">
        <v>0.57999999999999996</v>
      </c>
      <c r="H114" s="9">
        <v>0.42</v>
      </c>
      <c r="I114" s="70">
        <v>0.4375</v>
      </c>
      <c r="J114">
        <v>2020</v>
      </c>
      <c r="K114">
        <v>8</v>
      </c>
      <c r="L114">
        <v>19</v>
      </c>
      <c r="M114" s="27">
        <f>IFERROR(DATE(Meczusie[[#This Row],[Rok]],Meczusie[[#This Row],[Miesiąc]],Meczusie[[#This Row],[Dzień]]),"")</f>
        <v>44062</v>
      </c>
      <c r="N114">
        <f t="shared" si="1"/>
        <v>44</v>
      </c>
    </row>
    <row r="115" spans="1:14" x14ac:dyDescent="0.25">
      <c r="A115">
        <v>114</v>
      </c>
      <c r="B115" t="s">
        <v>213</v>
      </c>
      <c r="C115" t="s">
        <v>357</v>
      </c>
      <c r="D115">
        <v>0</v>
      </c>
      <c r="E115">
        <v>1</v>
      </c>
      <c r="F115" t="s">
        <v>212</v>
      </c>
      <c r="G115" s="9">
        <v>0.39</v>
      </c>
      <c r="H115" s="9">
        <v>0.61</v>
      </c>
      <c r="I115" s="70">
        <v>0.45833333333333331</v>
      </c>
      <c r="J115">
        <v>2020</v>
      </c>
      <c r="K115">
        <v>8</v>
      </c>
      <c r="L115">
        <v>20</v>
      </c>
      <c r="M115" s="27">
        <f>IFERROR(DATE(Meczusie[[#This Row],[Rok]],Meczusie[[#This Row],[Miesiąc]],Meczusie[[#This Row],[Dzień]]),"")</f>
        <v>44063</v>
      </c>
      <c r="N115">
        <f t="shared" si="1"/>
        <v>45</v>
      </c>
    </row>
    <row r="116" spans="1:14" x14ac:dyDescent="0.25">
      <c r="A116">
        <v>115</v>
      </c>
      <c r="B116" t="s">
        <v>213</v>
      </c>
      <c r="C116" t="s">
        <v>212</v>
      </c>
      <c r="D116">
        <v>3</v>
      </c>
      <c r="E116">
        <v>1</v>
      </c>
      <c r="F116" t="s">
        <v>357</v>
      </c>
      <c r="G116" s="9">
        <v>0.53</v>
      </c>
      <c r="H116" s="9">
        <v>0.47</v>
      </c>
      <c r="I116" s="70">
        <v>0.79166666666666663</v>
      </c>
      <c r="J116">
        <v>2020</v>
      </c>
      <c r="K116">
        <v>8</v>
      </c>
      <c r="L116">
        <v>20</v>
      </c>
      <c r="M116" s="27">
        <f>IFERROR(DATE(Meczusie[[#This Row],[Rok]],Meczusie[[#This Row],[Miesiąc]],Meczusie[[#This Row],[Dzień]]),"")</f>
        <v>44063</v>
      </c>
      <c r="N116">
        <f t="shared" si="1"/>
        <v>45</v>
      </c>
    </row>
    <row r="117" spans="1:14" x14ac:dyDescent="0.25">
      <c r="A117">
        <v>116</v>
      </c>
      <c r="B117" t="s">
        <v>213</v>
      </c>
      <c r="C117" t="s">
        <v>212</v>
      </c>
      <c r="D117">
        <v>0</v>
      </c>
      <c r="E117">
        <v>4</v>
      </c>
      <c r="F117" t="s">
        <v>357</v>
      </c>
      <c r="G117" s="9">
        <v>0.4</v>
      </c>
      <c r="H117" s="9">
        <v>0.6</v>
      </c>
      <c r="I117" s="70">
        <v>0.45833333333333331</v>
      </c>
      <c r="J117">
        <v>2020</v>
      </c>
      <c r="K117">
        <v>8</v>
      </c>
      <c r="L117">
        <v>21</v>
      </c>
      <c r="M117" s="27">
        <f>IFERROR(DATE(Meczusie[[#This Row],[Rok]],Meczusie[[#This Row],[Miesiąc]],Meczusie[[#This Row],[Dzień]]),"")</f>
        <v>44064</v>
      </c>
      <c r="N117">
        <f t="shared" si="1"/>
        <v>46</v>
      </c>
    </row>
    <row r="118" spans="1:14" x14ac:dyDescent="0.25">
      <c r="A118">
        <v>117</v>
      </c>
      <c r="B118" t="s">
        <v>213</v>
      </c>
      <c r="C118" t="s">
        <v>357</v>
      </c>
      <c r="D118">
        <v>2</v>
      </c>
      <c r="E118">
        <v>0</v>
      </c>
      <c r="F118" t="s">
        <v>212</v>
      </c>
      <c r="G118" s="9">
        <v>0.62</v>
      </c>
      <c r="H118" s="9">
        <v>0.38</v>
      </c>
      <c r="I118" s="70">
        <v>0.79166666666666663</v>
      </c>
      <c r="J118">
        <v>2020</v>
      </c>
      <c r="K118">
        <v>8</v>
      </c>
      <c r="L118">
        <v>21</v>
      </c>
      <c r="M118" s="27">
        <f>IFERROR(DATE(Meczusie[[#This Row],[Rok]],Meczusie[[#This Row],[Miesiąc]],Meczusie[[#This Row],[Dzień]]),"")</f>
        <v>44064</v>
      </c>
      <c r="N118">
        <f t="shared" si="1"/>
        <v>46</v>
      </c>
    </row>
    <row r="119" spans="1:14" x14ac:dyDescent="0.25">
      <c r="A119">
        <v>118</v>
      </c>
      <c r="B119" t="s">
        <v>213</v>
      </c>
      <c r="C119" t="s">
        <v>212</v>
      </c>
      <c r="D119">
        <v>3</v>
      </c>
      <c r="E119">
        <v>1</v>
      </c>
      <c r="F119" t="s">
        <v>357</v>
      </c>
      <c r="G119" s="9">
        <v>0.54</v>
      </c>
      <c r="H119" s="9">
        <v>0.46</v>
      </c>
      <c r="I119" s="70">
        <v>0.45833333333333331</v>
      </c>
      <c r="J119">
        <v>2020</v>
      </c>
      <c r="K119">
        <v>8</v>
      </c>
      <c r="L119">
        <v>22</v>
      </c>
      <c r="M119" s="27">
        <f>IFERROR(DATE(Meczusie[[#This Row],[Rok]],Meczusie[[#This Row],[Miesiąc]],Meczusie[[#This Row],[Dzień]]),"")</f>
        <v>44065</v>
      </c>
      <c r="N119">
        <f t="shared" si="1"/>
        <v>47</v>
      </c>
    </row>
    <row r="120" spans="1:14" x14ac:dyDescent="0.25">
      <c r="A120">
        <v>119</v>
      </c>
      <c r="B120" t="s">
        <v>213</v>
      </c>
      <c r="C120" t="s">
        <v>357</v>
      </c>
      <c r="D120">
        <v>2</v>
      </c>
      <c r="E120">
        <v>3</v>
      </c>
      <c r="F120" t="s">
        <v>212</v>
      </c>
      <c r="G120" s="9">
        <v>0.46</v>
      </c>
      <c r="H120" s="9">
        <v>0.54</v>
      </c>
      <c r="I120" s="70">
        <v>0.79166666666666663</v>
      </c>
      <c r="J120">
        <v>2020</v>
      </c>
      <c r="K120">
        <v>8</v>
      </c>
      <c r="L120">
        <v>22</v>
      </c>
      <c r="M120" s="27">
        <f>IFERROR(DATE(Meczusie[[#This Row],[Rok]],Meczusie[[#This Row],[Miesiąc]],Meczusie[[#This Row],[Dzień]]),"")</f>
        <v>44065</v>
      </c>
      <c r="N120">
        <f t="shared" si="1"/>
        <v>47</v>
      </c>
    </row>
    <row r="121" spans="1:14" x14ac:dyDescent="0.25">
      <c r="A121">
        <v>120</v>
      </c>
      <c r="B121" t="s">
        <v>57</v>
      </c>
      <c r="C121" t="s">
        <v>302</v>
      </c>
      <c r="D121">
        <v>11</v>
      </c>
      <c r="E121">
        <v>0</v>
      </c>
      <c r="F121" t="s">
        <v>233</v>
      </c>
      <c r="G121" s="9">
        <v>0.69</v>
      </c>
      <c r="H121" s="9">
        <v>0.31</v>
      </c>
      <c r="I121" s="70">
        <v>0.66666666666666663</v>
      </c>
      <c r="J121">
        <v>2020</v>
      </c>
      <c r="K121">
        <v>8</v>
      </c>
      <c r="L121">
        <v>23</v>
      </c>
      <c r="M121" s="27">
        <f>IFERROR(DATE(Meczusie[[#This Row],[Rok]],Meczusie[[#This Row],[Miesiąc]],Meczusie[[#This Row],[Dzień]]),"")</f>
        <v>44066</v>
      </c>
      <c r="N121">
        <f t="shared" si="1"/>
        <v>48</v>
      </c>
    </row>
    <row r="122" spans="1:14" x14ac:dyDescent="0.25">
      <c r="A122">
        <v>121</v>
      </c>
      <c r="B122" t="s">
        <v>57</v>
      </c>
      <c r="C122" t="s">
        <v>300</v>
      </c>
      <c r="D122">
        <v>1</v>
      </c>
      <c r="E122">
        <v>5</v>
      </c>
      <c r="F122" t="s">
        <v>259</v>
      </c>
      <c r="G122" s="9">
        <v>0.43</v>
      </c>
      <c r="H122" s="9">
        <v>0.56999999999999995</v>
      </c>
      <c r="I122" s="70">
        <v>0.66666666666666663</v>
      </c>
      <c r="J122">
        <v>2020</v>
      </c>
      <c r="K122">
        <v>8</v>
      </c>
      <c r="L122">
        <v>23</v>
      </c>
      <c r="M122" s="27">
        <f>IFERROR(DATE(Meczusie[[#This Row],[Rok]],Meczusie[[#This Row],[Miesiąc]],Meczusie[[#This Row],[Dzień]]),"")</f>
        <v>44066</v>
      </c>
      <c r="N122">
        <f t="shared" si="1"/>
        <v>48</v>
      </c>
    </row>
    <row r="123" spans="1:14" x14ac:dyDescent="0.25">
      <c r="A123">
        <v>122</v>
      </c>
      <c r="B123" t="s">
        <v>57</v>
      </c>
      <c r="C123" t="s">
        <v>235</v>
      </c>
      <c r="D123">
        <v>1</v>
      </c>
      <c r="E123">
        <v>4</v>
      </c>
      <c r="F123" t="s">
        <v>331</v>
      </c>
      <c r="G123" s="9">
        <v>0.56999999999999995</v>
      </c>
      <c r="H123" s="9">
        <v>0.43</v>
      </c>
      <c r="I123" s="70">
        <v>0.66666666666666663</v>
      </c>
      <c r="J123">
        <v>2020</v>
      </c>
      <c r="K123">
        <v>8</v>
      </c>
      <c r="L123">
        <v>23</v>
      </c>
      <c r="M123" s="27">
        <f>IFERROR(DATE(Meczusie[[#This Row],[Rok]],Meczusie[[#This Row],[Miesiąc]],Meczusie[[#This Row],[Dzień]]),"")</f>
        <v>44066</v>
      </c>
      <c r="N123">
        <f t="shared" si="1"/>
        <v>48</v>
      </c>
    </row>
    <row r="124" spans="1:14" x14ac:dyDescent="0.25">
      <c r="A124">
        <v>123</v>
      </c>
      <c r="B124" t="s">
        <v>57</v>
      </c>
      <c r="C124" t="s">
        <v>303</v>
      </c>
      <c r="D124">
        <v>5</v>
      </c>
      <c r="E124">
        <v>2</v>
      </c>
      <c r="F124" t="s">
        <v>234</v>
      </c>
      <c r="G124" s="9">
        <v>0.56999999999999995</v>
      </c>
      <c r="H124" s="9">
        <v>0.43</v>
      </c>
      <c r="I124" s="70">
        <v>0.66666666666666663</v>
      </c>
      <c r="J124">
        <v>2020</v>
      </c>
      <c r="K124">
        <v>8</v>
      </c>
      <c r="L124">
        <v>23</v>
      </c>
      <c r="M124" s="27">
        <f>IFERROR(DATE(Meczusie[[#This Row],[Rok]],Meczusie[[#This Row],[Miesiąc]],Meczusie[[#This Row],[Dzień]]),"")</f>
        <v>44066</v>
      </c>
      <c r="N124">
        <f t="shared" si="1"/>
        <v>48</v>
      </c>
    </row>
    <row r="125" spans="1:14" x14ac:dyDescent="0.25">
      <c r="A125">
        <v>124</v>
      </c>
      <c r="B125" t="s">
        <v>57</v>
      </c>
      <c r="C125" t="s">
        <v>301</v>
      </c>
      <c r="D125">
        <v>0</v>
      </c>
      <c r="E125">
        <v>9</v>
      </c>
      <c r="F125" t="s">
        <v>260</v>
      </c>
      <c r="G125" s="9">
        <v>0.39</v>
      </c>
      <c r="H125" s="9">
        <v>0.61</v>
      </c>
      <c r="I125" s="70">
        <v>0.66666666666666663</v>
      </c>
      <c r="J125">
        <v>2020</v>
      </c>
      <c r="K125">
        <v>8</v>
      </c>
      <c r="L125">
        <v>23</v>
      </c>
      <c r="M125" s="27">
        <f>IFERROR(DATE(Meczusie[[#This Row],[Rok]],Meczusie[[#This Row],[Miesiąc]],Meczusie[[#This Row],[Dzień]]),"")</f>
        <v>44066</v>
      </c>
      <c r="N125">
        <f t="shared" si="1"/>
        <v>48</v>
      </c>
    </row>
    <row r="126" spans="1:14" x14ac:dyDescent="0.25">
      <c r="A126">
        <v>125</v>
      </c>
      <c r="B126" t="s">
        <v>57</v>
      </c>
      <c r="C126" t="s">
        <v>212</v>
      </c>
      <c r="D126">
        <v>0</v>
      </c>
      <c r="E126">
        <v>2</v>
      </c>
      <c r="F126" t="s">
        <v>332</v>
      </c>
      <c r="G126" s="9">
        <v>0.41</v>
      </c>
      <c r="H126" s="9">
        <v>0.59</v>
      </c>
      <c r="I126" s="70">
        <v>0.66666666666666663</v>
      </c>
      <c r="J126">
        <v>2020</v>
      </c>
      <c r="K126">
        <v>8</v>
      </c>
      <c r="L126">
        <v>23</v>
      </c>
      <c r="M126" s="27">
        <f>IFERROR(DATE(Meczusie[[#This Row],[Rok]],Meczusie[[#This Row],[Miesiąc]],Meczusie[[#This Row],[Dzień]]),"")</f>
        <v>44066</v>
      </c>
      <c r="N126">
        <f t="shared" si="1"/>
        <v>48</v>
      </c>
    </row>
    <row r="127" spans="1:14" x14ac:dyDescent="0.25">
      <c r="A127">
        <v>126</v>
      </c>
      <c r="B127" t="s">
        <v>213</v>
      </c>
      <c r="C127" t="s">
        <v>357</v>
      </c>
      <c r="D127">
        <v>0</v>
      </c>
      <c r="E127">
        <v>1</v>
      </c>
      <c r="F127" t="s">
        <v>212</v>
      </c>
      <c r="G127" s="9">
        <v>0.43</v>
      </c>
      <c r="H127" s="9">
        <v>0.56999999999999995</v>
      </c>
      <c r="I127" s="70">
        <v>0.45833333333333331</v>
      </c>
      <c r="J127">
        <v>2020</v>
      </c>
      <c r="K127">
        <v>8</v>
      </c>
      <c r="L127">
        <v>24</v>
      </c>
      <c r="M127" s="27">
        <f>IFERROR(DATE(Meczusie[[#This Row],[Rok]],Meczusie[[#This Row],[Miesiąc]],Meczusie[[#This Row],[Dzień]]),"")</f>
        <v>44067</v>
      </c>
      <c r="N127">
        <f t="shared" si="1"/>
        <v>49</v>
      </c>
    </row>
    <row r="128" spans="1:14" x14ac:dyDescent="0.25">
      <c r="A128">
        <v>127</v>
      </c>
      <c r="B128" t="s">
        <v>213</v>
      </c>
      <c r="C128" t="s">
        <v>212</v>
      </c>
      <c r="D128">
        <v>0</v>
      </c>
      <c r="E128">
        <v>0</v>
      </c>
      <c r="F128" t="s">
        <v>357</v>
      </c>
      <c r="G128" s="9">
        <v>0.56000000000000005</v>
      </c>
      <c r="H128" s="9">
        <v>0.44</v>
      </c>
      <c r="I128" s="70">
        <v>0.79166666666666663</v>
      </c>
      <c r="J128">
        <v>2020</v>
      </c>
      <c r="K128">
        <v>8</v>
      </c>
      <c r="L128">
        <v>24</v>
      </c>
      <c r="M128" s="27">
        <f>IFERROR(DATE(Meczusie[[#This Row],[Rok]],Meczusie[[#This Row],[Miesiąc]],Meczusie[[#This Row],[Dzień]]),"")</f>
        <v>44067</v>
      </c>
      <c r="N128">
        <f t="shared" si="1"/>
        <v>49</v>
      </c>
    </row>
    <row r="129" spans="1:14" x14ac:dyDescent="0.25">
      <c r="A129">
        <v>128</v>
      </c>
      <c r="B129" t="s">
        <v>57</v>
      </c>
      <c r="C129" t="s">
        <v>302</v>
      </c>
      <c r="D129">
        <v>3</v>
      </c>
      <c r="E129">
        <v>1</v>
      </c>
      <c r="F129" t="s">
        <v>235</v>
      </c>
      <c r="G129" s="9">
        <v>0.48</v>
      </c>
      <c r="H129" s="9">
        <v>0.52</v>
      </c>
      <c r="I129" s="70">
        <v>0.71875</v>
      </c>
      <c r="J129">
        <v>2020</v>
      </c>
      <c r="K129">
        <v>8</v>
      </c>
      <c r="L129">
        <v>26</v>
      </c>
      <c r="M129" s="27">
        <f>IFERROR(DATE(Meczusie[[#This Row],[Rok]],Meczusie[[#This Row],[Miesiąc]],Meczusie[[#This Row],[Dzień]]),"")</f>
        <v>44069</v>
      </c>
      <c r="N129">
        <f t="shared" si="1"/>
        <v>51</v>
      </c>
    </row>
    <row r="130" spans="1:14" x14ac:dyDescent="0.25">
      <c r="A130">
        <v>129</v>
      </c>
      <c r="B130" t="s">
        <v>57</v>
      </c>
      <c r="C130" t="s">
        <v>233</v>
      </c>
      <c r="D130">
        <v>0</v>
      </c>
      <c r="E130">
        <v>14</v>
      </c>
      <c r="F130" t="s">
        <v>300</v>
      </c>
      <c r="G130" s="9">
        <v>0.32</v>
      </c>
      <c r="H130" s="9">
        <v>0.68</v>
      </c>
      <c r="I130" s="70">
        <v>0.71875</v>
      </c>
      <c r="J130">
        <v>2020</v>
      </c>
      <c r="K130">
        <v>8</v>
      </c>
      <c r="L130">
        <v>26</v>
      </c>
      <c r="M130" s="27">
        <f>IFERROR(DATE(Meczusie[[#This Row],[Rok]],Meczusie[[#This Row],[Miesiąc]],Meczusie[[#This Row],[Dzień]]),"")</f>
        <v>44069</v>
      </c>
      <c r="N130">
        <f t="shared" si="1"/>
        <v>51</v>
      </c>
    </row>
    <row r="131" spans="1:14" x14ac:dyDescent="0.25">
      <c r="A131">
        <v>130</v>
      </c>
      <c r="B131" t="s">
        <v>57</v>
      </c>
      <c r="C131" t="s">
        <v>259</v>
      </c>
      <c r="D131">
        <v>1</v>
      </c>
      <c r="E131">
        <v>2</v>
      </c>
      <c r="F131" t="s">
        <v>331</v>
      </c>
      <c r="G131" s="9">
        <v>0.64</v>
      </c>
      <c r="H131" s="9">
        <v>0.36</v>
      </c>
      <c r="I131" s="70">
        <v>0.71875</v>
      </c>
      <c r="J131">
        <v>2020</v>
      </c>
      <c r="K131">
        <v>8</v>
      </c>
      <c r="L131">
        <v>26</v>
      </c>
      <c r="M131" s="27">
        <f>IFERROR(DATE(Meczusie[[#This Row],[Rok]],Meczusie[[#This Row],[Miesiąc]],Meczusie[[#This Row],[Dzień]]),"")</f>
        <v>44069</v>
      </c>
      <c r="N131">
        <f t="shared" si="1"/>
        <v>51</v>
      </c>
    </row>
    <row r="132" spans="1:14" x14ac:dyDescent="0.25">
      <c r="A132">
        <v>131</v>
      </c>
      <c r="B132" t="s">
        <v>57</v>
      </c>
      <c r="C132" t="s">
        <v>303</v>
      </c>
      <c r="D132">
        <v>3</v>
      </c>
      <c r="E132">
        <v>0</v>
      </c>
      <c r="F132" t="s">
        <v>212</v>
      </c>
      <c r="G132" s="9">
        <v>0.57999999999999996</v>
      </c>
      <c r="H132" s="9">
        <v>0.42</v>
      </c>
      <c r="I132" s="70">
        <v>0.71875</v>
      </c>
      <c r="J132">
        <v>2020</v>
      </c>
      <c r="K132">
        <v>8</v>
      </c>
      <c r="L132">
        <v>26</v>
      </c>
      <c r="M132" s="27">
        <f>IFERROR(DATE(Meczusie[[#This Row],[Rok]],Meczusie[[#This Row],[Miesiąc]],Meczusie[[#This Row],[Dzień]]),"")</f>
        <v>44069</v>
      </c>
      <c r="N132">
        <f t="shared" si="1"/>
        <v>51</v>
      </c>
    </row>
    <row r="133" spans="1:14" x14ac:dyDescent="0.25">
      <c r="A133">
        <v>132</v>
      </c>
      <c r="B133" t="s">
        <v>57</v>
      </c>
      <c r="C133" t="s">
        <v>234</v>
      </c>
      <c r="D133">
        <v>10</v>
      </c>
      <c r="E133">
        <v>0</v>
      </c>
      <c r="F133" t="s">
        <v>301</v>
      </c>
      <c r="G133" s="9">
        <v>0.56000000000000005</v>
      </c>
      <c r="H133" s="9">
        <v>0.44</v>
      </c>
      <c r="I133" s="70">
        <v>0.71875</v>
      </c>
      <c r="J133">
        <v>2020</v>
      </c>
      <c r="K133">
        <v>8</v>
      </c>
      <c r="L133">
        <v>26</v>
      </c>
      <c r="M133" s="27">
        <f>IFERROR(DATE(Meczusie[[#This Row],[Rok]],Meczusie[[#This Row],[Miesiąc]],Meczusie[[#This Row],[Dzień]]),"")</f>
        <v>44069</v>
      </c>
      <c r="N133">
        <f t="shared" si="1"/>
        <v>51</v>
      </c>
    </row>
    <row r="134" spans="1:14" x14ac:dyDescent="0.25">
      <c r="A134">
        <v>133</v>
      </c>
      <c r="B134" t="s">
        <v>57</v>
      </c>
      <c r="C134" t="s">
        <v>260</v>
      </c>
      <c r="D134">
        <v>2</v>
      </c>
      <c r="E134">
        <v>1</v>
      </c>
      <c r="F134" t="s">
        <v>332</v>
      </c>
      <c r="G134" s="9">
        <v>0.5</v>
      </c>
      <c r="H134" s="9">
        <v>0.5</v>
      </c>
      <c r="I134" s="70">
        <v>0.71875</v>
      </c>
      <c r="J134">
        <v>2020</v>
      </c>
      <c r="K134">
        <v>8</v>
      </c>
      <c r="L134">
        <v>26</v>
      </c>
      <c r="M134" s="27">
        <f>IFERROR(DATE(Meczusie[[#This Row],[Rok]],Meczusie[[#This Row],[Miesiąc]],Meczusie[[#This Row],[Dzień]]),"")</f>
        <v>44069</v>
      </c>
      <c r="N134">
        <f t="shared" si="1"/>
        <v>51</v>
      </c>
    </row>
    <row r="135" spans="1:14" x14ac:dyDescent="0.25">
      <c r="A135">
        <v>134</v>
      </c>
      <c r="B135" t="s">
        <v>213</v>
      </c>
      <c r="C135" t="s">
        <v>357</v>
      </c>
      <c r="D135">
        <v>0</v>
      </c>
      <c r="E135">
        <v>2</v>
      </c>
      <c r="F135" t="s">
        <v>212</v>
      </c>
      <c r="G135" s="9">
        <v>0.44</v>
      </c>
      <c r="H135" s="9">
        <v>0.56000000000000005</v>
      </c>
      <c r="I135" s="70">
        <v>0.45833333333333331</v>
      </c>
      <c r="J135">
        <v>2020</v>
      </c>
      <c r="K135">
        <v>8</v>
      </c>
      <c r="L135">
        <v>28</v>
      </c>
      <c r="M135" s="27">
        <f>IFERROR(DATE(Meczusie[[#This Row],[Rok]],Meczusie[[#This Row],[Miesiąc]],Meczusie[[#This Row],[Dzień]]),"")</f>
        <v>44071</v>
      </c>
      <c r="N135">
        <f t="shared" si="1"/>
        <v>53</v>
      </c>
    </row>
    <row r="136" spans="1:14" x14ac:dyDescent="0.25">
      <c r="A136">
        <v>135</v>
      </c>
      <c r="B136" t="s">
        <v>213</v>
      </c>
      <c r="C136" t="s">
        <v>212</v>
      </c>
      <c r="D136">
        <v>3</v>
      </c>
      <c r="E136">
        <v>1</v>
      </c>
      <c r="F136" t="s">
        <v>357</v>
      </c>
      <c r="G136" s="9">
        <v>0.46</v>
      </c>
      <c r="H136" s="9">
        <v>0.54</v>
      </c>
      <c r="I136" s="70">
        <v>0.79166666666666663</v>
      </c>
      <c r="J136">
        <v>2020</v>
      </c>
      <c r="K136">
        <v>8</v>
      </c>
      <c r="L136">
        <v>28</v>
      </c>
      <c r="M136" s="27">
        <f>IFERROR(DATE(Meczusie[[#This Row],[Rok]],Meczusie[[#This Row],[Miesiąc]],Meczusie[[#This Row],[Dzień]]),"")</f>
        <v>44071</v>
      </c>
      <c r="N136">
        <f t="shared" si="1"/>
        <v>53</v>
      </c>
    </row>
    <row r="137" spans="1:14" x14ac:dyDescent="0.25">
      <c r="A137">
        <v>136</v>
      </c>
      <c r="B137" t="s">
        <v>57</v>
      </c>
      <c r="C137" t="s">
        <v>235</v>
      </c>
      <c r="D137">
        <v>0</v>
      </c>
      <c r="E137">
        <v>4</v>
      </c>
      <c r="F137" t="s">
        <v>259</v>
      </c>
      <c r="G137" s="9">
        <v>0.43</v>
      </c>
      <c r="H137" s="9">
        <v>0.56999999999999995</v>
      </c>
      <c r="I137" s="70">
        <v>0.61458333333333337</v>
      </c>
      <c r="J137">
        <v>2020</v>
      </c>
      <c r="K137">
        <v>8</v>
      </c>
      <c r="L137">
        <v>30</v>
      </c>
      <c r="M137" s="27">
        <f>IFERROR(DATE(Meczusie[[#This Row],[Rok]],Meczusie[[#This Row],[Miesiąc]],Meczusie[[#This Row],[Dzień]]),"")</f>
        <v>44073</v>
      </c>
      <c r="N137">
        <f t="shared" si="1"/>
        <v>55</v>
      </c>
    </row>
    <row r="138" spans="1:14" x14ac:dyDescent="0.25">
      <c r="A138">
        <v>137</v>
      </c>
      <c r="B138" t="s">
        <v>57</v>
      </c>
      <c r="C138" t="s">
        <v>300</v>
      </c>
      <c r="D138">
        <v>0</v>
      </c>
      <c r="E138">
        <v>1</v>
      </c>
      <c r="F138" t="s">
        <v>302</v>
      </c>
      <c r="G138" s="9">
        <v>0.45</v>
      </c>
      <c r="H138" s="9">
        <v>0.55000000000000004</v>
      </c>
      <c r="I138" s="70">
        <v>0.61458333333333337</v>
      </c>
      <c r="J138">
        <v>2020</v>
      </c>
      <c r="K138">
        <v>8</v>
      </c>
      <c r="L138">
        <v>30</v>
      </c>
      <c r="M138" s="27">
        <f>IFERROR(DATE(Meczusie[[#This Row],[Rok]],Meczusie[[#This Row],[Miesiąc]],Meczusie[[#This Row],[Dzień]]),"")</f>
        <v>44073</v>
      </c>
      <c r="N138">
        <f t="shared" si="1"/>
        <v>55</v>
      </c>
    </row>
    <row r="139" spans="1:14" x14ac:dyDescent="0.25">
      <c r="A139">
        <v>138</v>
      </c>
      <c r="B139" t="s">
        <v>57</v>
      </c>
      <c r="C139" t="s">
        <v>331</v>
      </c>
      <c r="D139">
        <v>12</v>
      </c>
      <c r="E139">
        <v>0</v>
      </c>
      <c r="F139" t="s">
        <v>233</v>
      </c>
      <c r="G139" s="9">
        <v>0.61</v>
      </c>
      <c r="H139" s="9">
        <v>0.39</v>
      </c>
      <c r="I139" s="70">
        <v>0.61458333333333337</v>
      </c>
      <c r="J139">
        <v>2020</v>
      </c>
      <c r="K139">
        <v>8</v>
      </c>
      <c r="L139">
        <v>30</v>
      </c>
      <c r="M139" s="27">
        <f>IFERROR(DATE(Meczusie[[#This Row],[Rok]],Meczusie[[#This Row],[Miesiąc]],Meczusie[[#This Row],[Dzień]]),"")</f>
        <v>44073</v>
      </c>
      <c r="N139">
        <f t="shared" si="1"/>
        <v>55</v>
      </c>
    </row>
    <row r="140" spans="1:14" x14ac:dyDescent="0.25">
      <c r="A140">
        <v>139</v>
      </c>
      <c r="B140" t="s">
        <v>57</v>
      </c>
      <c r="C140" t="s">
        <v>212</v>
      </c>
      <c r="D140">
        <v>1</v>
      </c>
      <c r="E140">
        <v>2</v>
      </c>
      <c r="F140" t="s">
        <v>260</v>
      </c>
      <c r="G140" s="9">
        <v>0.4</v>
      </c>
      <c r="H140" s="9">
        <v>0.6</v>
      </c>
      <c r="I140" s="70">
        <v>0.61458333333333337</v>
      </c>
      <c r="J140">
        <v>2020</v>
      </c>
      <c r="K140">
        <v>8</v>
      </c>
      <c r="L140">
        <v>30</v>
      </c>
      <c r="M140" s="27">
        <f>IFERROR(DATE(Meczusie[[#This Row],[Rok]],Meczusie[[#This Row],[Miesiąc]],Meczusie[[#This Row],[Dzień]]),"")</f>
        <v>44073</v>
      </c>
      <c r="N140">
        <f t="shared" si="1"/>
        <v>55</v>
      </c>
    </row>
    <row r="141" spans="1:14" x14ac:dyDescent="0.25">
      <c r="A141">
        <v>140</v>
      </c>
      <c r="B141" t="s">
        <v>57</v>
      </c>
      <c r="C141" t="s">
        <v>301</v>
      </c>
      <c r="D141">
        <v>0</v>
      </c>
      <c r="E141">
        <v>9</v>
      </c>
      <c r="F141" t="s">
        <v>303</v>
      </c>
      <c r="G141" s="9">
        <v>0.35</v>
      </c>
      <c r="H141" s="9">
        <v>0.65</v>
      </c>
      <c r="I141" s="70">
        <v>0.61458333333333337</v>
      </c>
      <c r="J141">
        <v>2020</v>
      </c>
      <c r="K141">
        <v>8</v>
      </c>
      <c r="L141">
        <v>30</v>
      </c>
      <c r="M141" s="27">
        <f>IFERROR(DATE(Meczusie[[#This Row],[Rok]],Meczusie[[#This Row],[Miesiąc]],Meczusie[[#This Row],[Dzień]]),"")</f>
        <v>44073</v>
      </c>
      <c r="N141">
        <f t="shared" si="1"/>
        <v>55</v>
      </c>
    </row>
    <row r="142" spans="1:14" x14ac:dyDescent="0.25">
      <c r="A142">
        <v>141</v>
      </c>
      <c r="B142" t="s">
        <v>57</v>
      </c>
      <c r="C142" t="s">
        <v>332</v>
      </c>
      <c r="D142">
        <v>2</v>
      </c>
      <c r="E142">
        <v>3</v>
      </c>
      <c r="F142" t="s">
        <v>234</v>
      </c>
      <c r="G142" s="9">
        <v>0.48</v>
      </c>
      <c r="H142" s="9">
        <v>0.52</v>
      </c>
      <c r="I142" s="70">
        <v>0.61458333333333337</v>
      </c>
      <c r="J142">
        <v>2020</v>
      </c>
      <c r="K142">
        <v>8</v>
      </c>
      <c r="L142">
        <v>30</v>
      </c>
      <c r="M142" s="27">
        <f>IFERROR(DATE(Meczusie[[#This Row],[Rok]],Meczusie[[#This Row],[Miesiąc]],Meczusie[[#This Row],[Dzień]]),"")</f>
        <v>44073</v>
      </c>
      <c r="N142">
        <f t="shared" si="1"/>
        <v>55</v>
      </c>
    </row>
    <row r="143" spans="1:14" x14ac:dyDescent="0.25">
      <c r="A143">
        <v>142</v>
      </c>
      <c r="B143" t="s">
        <v>213</v>
      </c>
      <c r="C143" t="s">
        <v>212</v>
      </c>
      <c r="D143">
        <v>1</v>
      </c>
      <c r="E143">
        <v>1</v>
      </c>
      <c r="F143" t="s">
        <v>357</v>
      </c>
      <c r="G143" s="9">
        <v>0.52</v>
      </c>
      <c r="H143" s="9">
        <v>0.48</v>
      </c>
      <c r="I143" s="70">
        <v>0.45833333333333331</v>
      </c>
      <c r="J143">
        <v>2020</v>
      </c>
      <c r="K143">
        <v>9</v>
      </c>
      <c r="L143">
        <v>1</v>
      </c>
      <c r="M143" s="27">
        <f>IFERROR(DATE(Meczusie[[#This Row],[Rok]],Meczusie[[#This Row],[Miesiąc]],Meczusie[[#This Row],[Dzień]]),"")</f>
        <v>44075</v>
      </c>
      <c r="N143">
        <f t="shared" si="1"/>
        <v>57</v>
      </c>
    </row>
    <row r="144" spans="1:14" x14ac:dyDescent="0.25">
      <c r="A144">
        <v>143</v>
      </c>
      <c r="B144" t="s">
        <v>213</v>
      </c>
      <c r="C144" t="s">
        <v>357</v>
      </c>
      <c r="D144">
        <v>1</v>
      </c>
      <c r="E144">
        <v>1</v>
      </c>
      <c r="F144" t="s">
        <v>212</v>
      </c>
      <c r="G144" s="9">
        <v>0.45</v>
      </c>
      <c r="H144" s="9">
        <v>0.55000000000000004</v>
      </c>
      <c r="I144" s="70">
        <v>0.79166666666666663</v>
      </c>
      <c r="J144">
        <v>2020</v>
      </c>
      <c r="K144">
        <v>9</v>
      </c>
      <c r="L144">
        <v>1</v>
      </c>
      <c r="M144" s="27">
        <f>IFERROR(DATE(Meczusie[[#This Row],[Rok]],Meczusie[[#This Row],[Miesiąc]],Meczusie[[#This Row],[Dzień]]),"")</f>
        <v>44075</v>
      </c>
      <c r="N144">
        <f t="shared" si="1"/>
        <v>57</v>
      </c>
    </row>
    <row r="145" spans="1:14" x14ac:dyDescent="0.25">
      <c r="A145">
        <v>144</v>
      </c>
      <c r="B145" t="s">
        <v>57</v>
      </c>
      <c r="C145" t="s">
        <v>233</v>
      </c>
      <c r="D145">
        <v>0</v>
      </c>
      <c r="E145">
        <v>11</v>
      </c>
      <c r="F145" t="s">
        <v>212</v>
      </c>
      <c r="G145" s="9">
        <v>0.31</v>
      </c>
      <c r="H145" s="9">
        <v>0.69</v>
      </c>
      <c r="I145" s="70">
        <v>0.67708333333333337</v>
      </c>
      <c r="J145">
        <v>2020</v>
      </c>
      <c r="K145">
        <v>9</v>
      </c>
      <c r="L145">
        <v>2</v>
      </c>
      <c r="M145" s="27">
        <f>IFERROR(DATE(Meczusie[[#This Row],[Rok]],Meczusie[[#This Row],[Miesiąc]],Meczusie[[#This Row],[Dzień]]),"")</f>
        <v>44076</v>
      </c>
      <c r="N145">
        <f t="shared" si="1"/>
        <v>58</v>
      </c>
    </row>
    <row r="146" spans="1:14" x14ac:dyDescent="0.25">
      <c r="A146">
        <v>145</v>
      </c>
      <c r="B146" t="s">
        <v>57</v>
      </c>
      <c r="C146" t="s">
        <v>235</v>
      </c>
      <c r="D146">
        <v>1</v>
      </c>
      <c r="E146">
        <v>2</v>
      </c>
      <c r="F146" t="s">
        <v>260</v>
      </c>
      <c r="G146" s="9">
        <v>0.42</v>
      </c>
      <c r="H146" s="9">
        <v>0.57999999999999996</v>
      </c>
      <c r="I146" s="70">
        <v>0.67708333333333337</v>
      </c>
      <c r="J146">
        <v>2020</v>
      </c>
      <c r="K146">
        <v>9</v>
      </c>
      <c r="L146">
        <v>2</v>
      </c>
      <c r="M146" s="27">
        <f>IFERROR(DATE(Meczusie[[#This Row],[Rok]],Meczusie[[#This Row],[Miesiąc]],Meczusie[[#This Row],[Dzień]]),"")</f>
        <v>44076</v>
      </c>
      <c r="N146">
        <f t="shared" si="1"/>
        <v>58</v>
      </c>
    </row>
    <row r="147" spans="1:14" x14ac:dyDescent="0.25">
      <c r="A147">
        <v>146</v>
      </c>
      <c r="B147" t="s">
        <v>57</v>
      </c>
      <c r="C147" t="s">
        <v>259</v>
      </c>
      <c r="D147">
        <v>11</v>
      </c>
      <c r="E147">
        <v>0</v>
      </c>
      <c r="F147" t="s">
        <v>301</v>
      </c>
      <c r="G147" s="9">
        <v>0.59</v>
      </c>
      <c r="H147" s="9">
        <v>0.41</v>
      </c>
      <c r="I147" s="70">
        <v>0.67708333333333337</v>
      </c>
      <c r="J147">
        <v>2020</v>
      </c>
      <c r="K147">
        <v>9</v>
      </c>
      <c r="L147">
        <v>2</v>
      </c>
      <c r="M147" s="27">
        <f>IFERROR(DATE(Meczusie[[#This Row],[Rok]],Meczusie[[#This Row],[Miesiąc]],Meczusie[[#This Row],[Dzień]]),"")</f>
        <v>44076</v>
      </c>
      <c r="N147">
        <f t="shared" si="1"/>
        <v>58</v>
      </c>
    </row>
    <row r="148" spans="1:14" x14ac:dyDescent="0.25">
      <c r="A148">
        <v>147</v>
      </c>
      <c r="B148" t="s">
        <v>57</v>
      </c>
      <c r="C148" t="s">
        <v>300</v>
      </c>
      <c r="D148">
        <v>1</v>
      </c>
      <c r="E148">
        <v>1</v>
      </c>
      <c r="F148" t="s">
        <v>303</v>
      </c>
      <c r="G148" s="9">
        <v>0.45</v>
      </c>
      <c r="H148" s="9">
        <v>0.55000000000000004</v>
      </c>
      <c r="I148" s="70">
        <v>0.67708333333333337</v>
      </c>
      <c r="J148">
        <v>2020</v>
      </c>
      <c r="K148">
        <v>9</v>
      </c>
      <c r="L148">
        <v>2</v>
      </c>
      <c r="M148" s="27">
        <f>IFERROR(DATE(Meczusie[[#This Row],[Rok]],Meczusie[[#This Row],[Miesiąc]],Meczusie[[#This Row],[Dzień]]),"")</f>
        <v>44076</v>
      </c>
      <c r="N148">
        <f t="shared" si="1"/>
        <v>58</v>
      </c>
    </row>
    <row r="149" spans="1:14" x14ac:dyDescent="0.25">
      <c r="A149">
        <v>148</v>
      </c>
      <c r="B149" t="s">
        <v>57</v>
      </c>
      <c r="C149" t="s">
        <v>302</v>
      </c>
      <c r="D149">
        <v>0</v>
      </c>
      <c r="E149">
        <v>3</v>
      </c>
      <c r="F149" t="s">
        <v>332</v>
      </c>
      <c r="G149" s="9">
        <v>0.5</v>
      </c>
      <c r="H149" s="9">
        <v>0.5</v>
      </c>
      <c r="I149" s="70">
        <v>0.67708333333333337</v>
      </c>
      <c r="J149">
        <v>2020</v>
      </c>
      <c r="K149">
        <v>9</v>
      </c>
      <c r="L149">
        <v>2</v>
      </c>
      <c r="M149" s="27">
        <f>IFERROR(DATE(Meczusie[[#This Row],[Rok]],Meczusie[[#This Row],[Miesiąc]],Meczusie[[#This Row],[Dzień]]),"")</f>
        <v>44076</v>
      </c>
      <c r="N149">
        <f t="shared" si="1"/>
        <v>58</v>
      </c>
    </row>
    <row r="150" spans="1:14" x14ac:dyDescent="0.25">
      <c r="A150">
        <v>149</v>
      </c>
      <c r="B150" t="s">
        <v>57</v>
      </c>
      <c r="C150" t="s">
        <v>331</v>
      </c>
      <c r="D150">
        <v>5</v>
      </c>
      <c r="E150">
        <v>0</v>
      </c>
      <c r="F150" t="s">
        <v>234</v>
      </c>
      <c r="G150" s="9">
        <v>0.53</v>
      </c>
      <c r="H150" s="9">
        <v>0.47</v>
      </c>
      <c r="I150" s="70">
        <v>0.67708333333333337</v>
      </c>
      <c r="J150">
        <v>2020</v>
      </c>
      <c r="K150">
        <v>9</v>
      </c>
      <c r="L150">
        <v>2</v>
      </c>
      <c r="M150" s="27">
        <f>IFERROR(DATE(Meczusie[[#This Row],[Rok]],Meczusie[[#This Row],[Miesiąc]],Meczusie[[#This Row],[Dzień]]),"")</f>
        <v>44076</v>
      </c>
      <c r="N150">
        <f t="shared" si="1"/>
        <v>58</v>
      </c>
    </row>
    <row r="151" spans="1:14" x14ac:dyDescent="0.25">
      <c r="A151">
        <v>150</v>
      </c>
      <c r="B151" t="s">
        <v>505</v>
      </c>
      <c r="C151" t="s">
        <v>506</v>
      </c>
      <c r="D151">
        <v>6</v>
      </c>
      <c r="E151">
        <v>0</v>
      </c>
      <c r="F151" t="s">
        <v>212</v>
      </c>
      <c r="G151" s="9">
        <v>0.61</v>
      </c>
      <c r="H151" s="9">
        <v>0.39</v>
      </c>
      <c r="I151" s="70">
        <v>0.79166666666666663</v>
      </c>
      <c r="J151">
        <v>2020</v>
      </c>
      <c r="K151">
        <v>9</v>
      </c>
      <c r="L151">
        <v>3</v>
      </c>
      <c r="M151" s="27">
        <f>IFERROR(DATE(Meczusie[[#This Row],[Rok]],Meczusie[[#This Row],[Miesiąc]],Meczusie[[#This Row],[Dzień]]),"")</f>
        <v>44077</v>
      </c>
      <c r="N151">
        <f t="shared" si="1"/>
        <v>59</v>
      </c>
    </row>
    <row r="152" spans="1:14" x14ac:dyDescent="0.25">
      <c r="A152">
        <v>151</v>
      </c>
      <c r="B152" t="s">
        <v>213</v>
      </c>
      <c r="C152" t="s">
        <v>357</v>
      </c>
      <c r="D152">
        <v>1</v>
      </c>
      <c r="E152">
        <v>4</v>
      </c>
      <c r="F152" t="s">
        <v>212</v>
      </c>
      <c r="G152" s="9">
        <v>0.46</v>
      </c>
      <c r="H152" s="9">
        <v>0.54</v>
      </c>
      <c r="I152" s="70">
        <v>0.45833333333333331</v>
      </c>
      <c r="J152">
        <v>2020</v>
      </c>
      <c r="K152">
        <v>9</v>
      </c>
      <c r="L152">
        <v>4</v>
      </c>
      <c r="M152" s="27">
        <f>IFERROR(DATE(Meczusie[[#This Row],[Rok]],Meczusie[[#This Row],[Miesiąc]],Meczusie[[#This Row],[Dzień]]),"")</f>
        <v>44078</v>
      </c>
      <c r="N152">
        <f t="shared" si="1"/>
        <v>60</v>
      </c>
    </row>
    <row r="153" spans="1:14" x14ac:dyDescent="0.25">
      <c r="A153">
        <v>152</v>
      </c>
      <c r="B153" t="s">
        <v>505</v>
      </c>
      <c r="C153" t="s">
        <v>507</v>
      </c>
      <c r="D153">
        <v>6</v>
      </c>
      <c r="E153">
        <v>0</v>
      </c>
      <c r="F153" t="s">
        <v>212</v>
      </c>
      <c r="G153" s="9">
        <v>0.56999999999999995</v>
      </c>
      <c r="H153" s="9">
        <v>0.43</v>
      </c>
      <c r="I153" s="70">
        <v>0.79166666666666663</v>
      </c>
      <c r="J153">
        <v>2020</v>
      </c>
      <c r="K153">
        <v>9</v>
      </c>
      <c r="L153">
        <v>4</v>
      </c>
      <c r="M153" s="27">
        <f>IFERROR(DATE(Meczusie[[#This Row],[Rok]],Meczusie[[#This Row],[Miesiąc]],Meczusie[[#This Row],[Dzień]]),"")</f>
        <v>44078</v>
      </c>
      <c r="N153">
        <f t="shared" si="1"/>
        <v>60</v>
      </c>
    </row>
    <row r="154" spans="1:14" x14ac:dyDescent="0.25">
      <c r="A154">
        <v>153</v>
      </c>
      <c r="B154" t="s">
        <v>213</v>
      </c>
      <c r="C154" t="s">
        <v>212</v>
      </c>
      <c r="D154">
        <v>0</v>
      </c>
      <c r="E154">
        <v>3</v>
      </c>
      <c r="F154" t="s">
        <v>357</v>
      </c>
      <c r="G154" s="9">
        <v>0.53</v>
      </c>
      <c r="H154" s="9">
        <v>0.47</v>
      </c>
      <c r="I154" s="70">
        <v>0.79166666666666663</v>
      </c>
      <c r="J154">
        <v>2020</v>
      </c>
      <c r="K154">
        <v>9</v>
      </c>
      <c r="L154">
        <v>4</v>
      </c>
      <c r="M154" s="27">
        <f>IFERROR(DATE(Meczusie[[#This Row],[Rok]],Meczusie[[#This Row],[Miesiąc]],Meczusie[[#This Row],[Dzień]]),"")</f>
        <v>44078</v>
      </c>
      <c r="N154">
        <f t="shared" si="1"/>
        <v>60</v>
      </c>
    </row>
    <row r="155" spans="1:14" x14ac:dyDescent="0.25">
      <c r="A155">
        <v>154</v>
      </c>
      <c r="B155" t="s">
        <v>505</v>
      </c>
      <c r="C155" t="s">
        <v>212</v>
      </c>
      <c r="D155">
        <v>0</v>
      </c>
      <c r="E155">
        <v>4</v>
      </c>
      <c r="F155" t="s">
        <v>508</v>
      </c>
      <c r="G155" s="9">
        <v>0.43</v>
      </c>
      <c r="H155" s="9">
        <v>0.56999999999999995</v>
      </c>
      <c r="I155" s="70">
        <v>0.79166666666666663</v>
      </c>
      <c r="J155">
        <v>2020</v>
      </c>
      <c r="K155">
        <v>9</v>
      </c>
      <c r="L155">
        <v>5</v>
      </c>
      <c r="M155" s="27">
        <f>IFERROR(DATE(Meczusie[[#This Row],[Rok]],Meczusie[[#This Row],[Miesiąc]],Meczusie[[#This Row],[Dzień]]),"")</f>
        <v>44079</v>
      </c>
      <c r="N155">
        <f t="shared" si="1"/>
        <v>61</v>
      </c>
    </row>
    <row r="156" spans="1:14" x14ac:dyDescent="0.25">
      <c r="A156">
        <v>155</v>
      </c>
      <c r="B156" t="s">
        <v>57</v>
      </c>
      <c r="C156" t="s">
        <v>303</v>
      </c>
      <c r="D156">
        <v>4</v>
      </c>
      <c r="E156">
        <v>1</v>
      </c>
      <c r="F156" t="s">
        <v>259</v>
      </c>
      <c r="G156" s="9">
        <v>0.52</v>
      </c>
      <c r="H156" s="9">
        <v>0.48</v>
      </c>
      <c r="I156" s="70">
        <v>0.42708333333333331</v>
      </c>
      <c r="J156">
        <v>2020</v>
      </c>
      <c r="K156">
        <v>9</v>
      </c>
      <c r="L156">
        <v>6</v>
      </c>
      <c r="M156" s="27">
        <f>IFERROR(DATE(Meczusie[[#This Row],[Rok]],Meczusie[[#This Row],[Miesiąc]],Meczusie[[#This Row],[Dzień]]),"")</f>
        <v>44080</v>
      </c>
      <c r="N156">
        <f t="shared" si="1"/>
        <v>62</v>
      </c>
    </row>
    <row r="157" spans="1:14" x14ac:dyDescent="0.25">
      <c r="A157">
        <v>156</v>
      </c>
      <c r="B157" t="s">
        <v>57</v>
      </c>
      <c r="C157" t="s">
        <v>332</v>
      </c>
      <c r="D157">
        <v>4</v>
      </c>
      <c r="E157">
        <v>3</v>
      </c>
      <c r="F157" t="s">
        <v>300</v>
      </c>
      <c r="G157" s="9">
        <v>0.51</v>
      </c>
      <c r="H157" s="9">
        <v>0.49</v>
      </c>
      <c r="I157" s="70">
        <v>0.42708333333333331</v>
      </c>
      <c r="J157">
        <v>2020</v>
      </c>
      <c r="K157">
        <v>9</v>
      </c>
      <c r="L157">
        <v>6</v>
      </c>
      <c r="M157" s="27">
        <f>IFERROR(DATE(Meczusie[[#This Row],[Rok]],Meczusie[[#This Row],[Miesiąc]],Meczusie[[#This Row],[Dzień]]),"")</f>
        <v>44080</v>
      </c>
      <c r="N157">
        <f t="shared" si="1"/>
        <v>62</v>
      </c>
    </row>
    <row r="158" spans="1:14" x14ac:dyDescent="0.25">
      <c r="A158">
        <v>157</v>
      </c>
      <c r="B158" t="s">
        <v>57</v>
      </c>
      <c r="C158" t="s">
        <v>234</v>
      </c>
      <c r="D158">
        <v>3</v>
      </c>
      <c r="E158">
        <v>5</v>
      </c>
      <c r="F158" t="s">
        <v>302</v>
      </c>
      <c r="G158" s="9">
        <v>0.47</v>
      </c>
      <c r="H158" s="9">
        <v>0.53</v>
      </c>
      <c r="I158" s="70">
        <v>0.42708333333333331</v>
      </c>
      <c r="J158">
        <v>2020</v>
      </c>
      <c r="K158">
        <v>9</v>
      </c>
      <c r="L158">
        <v>6</v>
      </c>
      <c r="M158" s="27">
        <f>IFERROR(DATE(Meczusie[[#This Row],[Rok]],Meczusie[[#This Row],[Miesiąc]],Meczusie[[#This Row],[Dzień]]),"")</f>
        <v>44080</v>
      </c>
      <c r="N158">
        <f t="shared" si="1"/>
        <v>62</v>
      </c>
    </row>
    <row r="159" spans="1:14" x14ac:dyDescent="0.25">
      <c r="A159">
        <v>158</v>
      </c>
      <c r="B159" t="s">
        <v>57</v>
      </c>
      <c r="C159" t="s">
        <v>212</v>
      </c>
      <c r="D159">
        <v>1</v>
      </c>
      <c r="E159">
        <v>1</v>
      </c>
      <c r="F159" t="s">
        <v>331</v>
      </c>
      <c r="G159" s="9">
        <v>0.51</v>
      </c>
      <c r="H159" s="9">
        <v>0.49</v>
      </c>
      <c r="I159" s="70">
        <v>0.42708333333333331</v>
      </c>
      <c r="J159">
        <v>2020</v>
      </c>
      <c r="K159">
        <v>9</v>
      </c>
      <c r="L159">
        <v>6</v>
      </c>
      <c r="M159" s="27">
        <f>IFERROR(DATE(Meczusie[[#This Row],[Rok]],Meczusie[[#This Row],[Miesiąc]],Meczusie[[#This Row],[Dzień]]),"")</f>
        <v>44080</v>
      </c>
      <c r="N159">
        <f t="shared" si="1"/>
        <v>62</v>
      </c>
    </row>
    <row r="160" spans="1:14" x14ac:dyDescent="0.25">
      <c r="A160">
        <v>159</v>
      </c>
      <c r="B160" t="s">
        <v>57</v>
      </c>
      <c r="C160" t="s">
        <v>260</v>
      </c>
      <c r="D160">
        <v>13</v>
      </c>
      <c r="E160">
        <v>0</v>
      </c>
      <c r="F160" t="s">
        <v>233</v>
      </c>
      <c r="G160" s="9">
        <v>0.75</v>
      </c>
      <c r="H160" s="9">
        <v>0.25</v>
      </c>
      <c r="I160" s="70">
        <v>0.42708333333333331</v>
      </c>
      <c r="J160">
        <v>2020</v>
      </c>
      <c r="K160">
        <v>9</v>
      </c>
      <c r="L160">
        <v>6</v>
      </c>
      <c r="M160" s="27">
        <f>IFERROR(DATE(Meczusie[[#This Row],[Rok]],Meczusie[[#This Row],[Miesiąc]],Meczusie[[#This Row],[Dzień]]),"")</f>
        <v>44080</v>
      </c>
      <c r="N160">
        <f t="shared" si="1"/>
        <v>62</v>
      </c>
    </row>
    <row r="161" spans="1:14" x14ac:dyDescent="0.25">
      <c r="A161">
        <v>160</v>
      </c>
      <c r="B161" t="s">
        <v>57</v>
      </c>
      <c r="C161" t="s">
        <v>301</v>
      </c>
      <c r="D161">
        <v>0</v>
      </c>
      <c r="E161">
        <v>8</v>
      </c>
      <c r="F161" t="s">
        <v>235</v>
      </c>
      <c r="G161" s="9">
        <v>0.37</v>
      </c>
      <c r="H161" s="9">
        <v>0.63</v>
      </c>
      <c r="I161" s="70">
        <v>0.42708333333333331</v>
      </c>
      <c r="J161">
        <v>2020</v>
      </c>
      <c r="K161">
        <v>9</v>
      </c>
      <c r="L161">
        <v>6</v>
      </c>
      <c r="M161" s="27">
        <f>IFERROR(DATE(Meczusie[[#This Row],[Rok]],Meczusie[[#This Row],[Miesiąc]],Meczusie[[#This Row],[Dzień]]),"")</f>
        <v>44080</v>
      </c>
      <c r="N161">
        <f t="shared" si="1"/>
        <v>62</v>
      </c>
    </row>
    <row r="162" spans="1:14" x14ac:dyDescent="0.25">
      <c r="A162">
        <v>161</v>
      </c>
      <c r="B162" t="s">
        <v>505</v>
      </c>
      <c r="C162" t="s">
        <v>212</v>
      </c>
      <c r="D162">
        <v>0</v>
      </c>
      <c r="E162">
        <v>8</v>
      </c>
      <c r="F162" t="s">
        <v>506</v>
      </c>
      <c r="G162" s="9">
        <v>0.41</v>
      </c>
      <c r="H162" s="9">
        <v>0.59</v>
      </c>
      <c r="I162" s="70">
        <v>0.79166666666666663</v>
      </c>
      <c r="J162">
        <v>2020</v>
      </c>
      <c r="K162">
        <v>9</v>
      </c>
      <c r="L162">
        <v>6</v>
      </c>
      <c r="M162" s="27">
        <f>IFERROR(DATE(Meczusie[[#This Row],[Rok]],Meczusie[[#This Row],[Miesiąc]],Meczusie[[#This Row],[Dzień]]),"")</f>
        <v>44080</v>
      </c>
      <c r="N162">
        <f t="shared" si="1"/>
        <v>62</v>
      </c>
    </row>
    <row r="163" spans="1:14" x14ac:dyDescent="0.25">
      <c r="A163">
        <v>162</v>
      </c>
      <c r="B163" t="s">
        <v>505</v>
      </c>
      <c r="C163" t="s">
        <v>212</v>
      </c>
      <c r="D163">
        <v>1</v>
      </c>
      <c r="E163">
        <v>7</v>
      </c>
      <c r="F163" t="s">
        <v>507</v>
      </c>
      <c r="G163" s="9">
        <v>0.31</v>
      </c>
      <c r="H163" s="9">
        <v>0.69</v>
      </c>
      <c r="I163" s="70">
        <v>0.79166666666666663</v>
      </c>
      <c r="J163">
        <v>2020</v>
      </c>
      <c r="K163">
        <v>9</v>
      </c>
      <c r="L163">
        <v>7</v>
      </c>
      <c r="M163" s="27">
        <f>IFERROR(DATE(Meczusie[[#This Row],[Rok]],Meczusie[[#This Row],[Miesiąc]],Meczusie[[#This Row],[Dzień]]),"")</f>
        <v>44081</v>
      </c>
      <c r="N163">
        <f t="shared" si="1"/>
        <v>63</v>
      </c>
    </row>
    <row r="164" spans="1:14" x14ac:dyDescent="0.25">
      <c r="A164">
        <v>163</v>
      </c>
      <c r="B164" t="s">
        <v>213</v>
      </c>
      <c r="C164" t="s">
        <v>357</v>
      </c>
      <c r="D164">
        <v>0</v>
      </c>
      <c r="E164">
        <v>3</v>
      </c>
      <c r="F164" t="s">
        <v>212</v>
      </c>
      <c r="G164" s="9">
        <v>0.47</v>
      </c>
      <c r="H164" s="9">
        <v>0.53</v>
      </c>
      <c r="I164" s="70">
        <v>0.45833333333333331</v>
      </c>
      <c r="J164">
        <v>2020</v>
      </c>
      <c r="K164">
        <v>9</v>
      </c>
      <c r="L164">
        <v>8</v>
      </c>
      <c r="M164" s="27">
        <f>IFERROR(DATE(Meczusie[[#This Row],[Rok]],Meczusie[[#This Row],[Miesiąc]],Meczusie[[#This Row],[Dzień]]),"")</f>
        <v>44082</v>
      </c>
      <c r="N164">
        <f t="shared" si="1"/>
        <v>64</v>
      </c>
    </row>
    <row r="165" spans="1:14" x14ac:dyDescent="0.25">
      <c r="A165">
        <v>164</v>
      </c>
      <c r="B165" t="s">
        <v>213</v>
      </c>
      <c r="C165" t="s">
        <v>212</v>
      </c>
      <c r="D165">
        <v>1</v>
      </c>
      <c r="E165">
        <v>1</v>
      </c>
      <c r="F165" t="s">
        <v>357</v>
      </c>
      <c r="G165" s="9">
        <v>0.54</v>
      </c>
      <c r="H165" s="9">
        <v>0.46</v>
      </c>
      <c r="I165" s="70">
        <v>0.79166666666666663</v>
      </c>
      <c r="J165">
        <v>2020</v>
      </c>
      <c r="K165">
        <v>9</v>
      </c>
      <c r="L165">
        <v>8</v>
      </c>
      <c r="M165" s="27">
        <f>IFERROR(DATE(Meczusie[[#This Row],[Rok]],Meczusie[[#This Row],[Miesiąc]],Meczusie[[#This Row],[Dzień]]),"")</f>
        <v>44082</v>
      </c>
      <c r="N165">
        <f t="shared" si="1"/>
        <v>64</v>
      </c>
    </row>
    <row r="166" spans="1:14" x14ac:dyDescent="0.25">
      <c r="A166">
        <v>165</v>
      </c>
      <c r="B166" t="s">
        <v>505</v>
      </c>
      <c r="C166" t="s">
        <v>508</v>
      </c>
      <c r="D166">
        <v>3</v>
      </c>
      <c r="E166">
        <v>0</v>
      </c>
      <c r="F166" t="s">
        <v>212</v>
      </c>
      <c r="G166" s="9">
        <v>0.64</v>
      </c>
      <c r="H166" s="9">
        <v>0.36</v>
      </c>
      <c r="I166" s="70">
        <v>0.79166666666666663</v>
      </c>
      <c r="J166">
        <v>2020</v>
      </c>
      <c r="K166">
        <v>9</v>
      </c>
      <c r="L166">
        <v>8</v>
      </c>
      <c r="M166" s="27">
        <f>IFERROR(DATE(Meczusie[[#This Row],[Rok]],Meczusie[[#This Row],[Miesiąc]],Meczusie[[#This Row],[Dzień]]),"")</f>
        <v>44082</v>
      </c>
      <c r="N166">
        <f t="shared" si="1"/>
        <v>64</v>
      </c>
    </row>
    <row r="167" spans="1:14" x14ac:dyDescent="0.25">
      <c r="A167">
        <v>166</v>
      </c>
      <c r="B167" t="s">
        <v>57</v>
      </c>
      <c r="C167" t="s">
        <v>300</v>
      </c>
      <c r="D167">
        <v>1</v>
      </c>
      <c r="E167">
        <v>1</v>
      </c>
      <c r="F167" t="s">
        <v>234</v>
      </c>
      <c r="G167" s="9">
        <v>0.55000000000000004</v>
      </c>
      <c r="H167" s="9">
        <v>0.45</v>
      </c>
      <c r="I167" s="70">
        <v>0.42708333333333331</v>
      </c>
      <c r="J167">
        <v>2020</v>
      </c>
      <c r="K167">
        <v>9</v>
      </c>
      <c r="L167">
        <v>9</v>
      </c>
      <c r="M167" s="27">
        <f>IFERROR(DATE(Meczusie[[#This Row],[Rok]],Meczusie[[#This Row],[Miesiąc]],Meczusie[[#This Row],[Dzień]]),"")</f>
        <v>44083</v>
      </c>
      <c r="N167">
        <f t="shared" si="1"/>
        <v>65</v>
      </c>
    </row>
    <row r="168" spans="1:14" x14ac:dyDescent="0.25">
      <c r="A168">
        <v>167</v>
      </c>
      <c r="B168" t="s">
        <v>57</v>
      </c>
      <c r="C168" t="s">
        <v>302</v>
      </c>
      <c r="D168">
        <v>3</v>
      </c>
      <c r="E168">
        <v>1</v>
      </c>
      <c r="F168" t="s">
        <v>212</v>
      </c>
      <c r="G168" s="9">
        <v>0.55000000000000004</v>
      </c>
      <c r="H168" s="9">
        <v>0.45</v>
      </c>
      <c r="I168" s="70">
        <v>0.42708333333333331</v>
      </c>
      <c r="J168">
        <v>2020</v>
      </c>
      <c r="K168">
        <v>9</v>
      </c>
      <c r="L168">
        <v>9</v>
      </c>
      <c r="M168" s="27">
        <f>IFERROR(DATE(Meczusie[[#This Row],[Rok]],Meczusie[[#This Row],[Miesiąc]],Meczusie[[#This Row],[Dzień]]),"")</f>
        <v>44083</v>
      </c>
      <c r="N168">
        <f t="shared" si="1"/>
        <v>65</v>
      </c>
    </row>
    <row r="169" spans="1:14" x14ac:dyDescent="0.25">
      <c r="A169">
        <v>168</v>
      </c>
      <c r="B169" t="s">
        <v>57</v>
      </c>
      <c r="C169" t="s">
        <v>331</v>
      </c>
      <c r="D169">
        <v>3</v>
      </c>
      <c r="E169">
        <v>2</v>
      </c>
      <c r="F169" t="s">
        <v>260</v>
      </c>
      <c r="G169" s="9">
        <v>0.39</v>
      </c>
      <c r="H169" s="9">
        <v>0.61</v>
      </c>
      <c r="I169" s="70">
        <v>0.42708333333333331</v>
      </c>
      <c r="J169">
        <v>2020</v>
      </c>
      <c r="K169">
        <v>9</v>
      </c>
      <c r="L169">
        <v>9</v>
      </c>
      <c r="M169" s="27">
        <f>IFERROR(DATE(Meczusie[[#This Row],[Rok]],Meczusie[[#This Row],[Miesiąc]],Meczusie[[#This Row],[Dzień]]),"")</f>
        <v>44083</v>
      </c>
      <c r="N169">
        <f t="shared" si="1"/>
        <v>65</v>
      </c>
    </row>
    <row r="170" spans="1:14" x14ac:dyDescent="0.25">
      <c r="A170">
        <v>169</v>
      </c>
      <c r="B170" t="s">
        <v>57</v>
      </c>
      <c r="C170" t="s">
        <v>233</v>
      </c>
      <c r="D170">
        <v>0</v>
      </c>
      <c r="E170">
        <v>4</v>
      </c>
      <c r="F170" t="s">
        <v>301</v>
      </c>
      <c r="G170" s="9">
        <v>0.37</v>
      </c>
      <c r="H170" s="9">
        <v>0.63</v>
      </c>
      <c r="I170" s="70">
        <v>0.42708333333333331</v>
      </c>
      <c r="J170">
        <v>2020</v>
      </c>
      <c r="K170">
        <v>9</v>
      </c>
      <c r="L170">
        <v>9</v>
      </c>
      <c r="M170" s="27">
        <f>IFERROR(DATE(Meczusie[[#This Row],[Rok]],Meczusie[[#This Row],[Miesiąc]],Meczusie[[#This Row],[Dzień]]),"")</f>
        <v>44083</v>
      </c>
      <c r="N170">
        <f t="shared" si="1"/>
        <v>65</v>
      </c>
    </row>
    <row r="171" spans="1:14" x14ac:dyDescent="0.25">
      <c r="A171">
        <v>170</v>
      </c>
      <c r="B171" t="s">
        <v>57</v>
      </c>
      <c r="C171" t="s">
        <v>235</v>
      </c>
      <c r="D171">
        <v>2</v>
      </c>
      <c r="E171">
        <v>3</v>
      </c>
      <c r="F171" t="s">
        <v>303</v>
      </c>
      <c r="G171" s="9">
        <v>0.4</v>
      </c>
      <c r="H171" s="9">
        <v>0.6</v>
      </c>
      <c r="I171" s="70">
        <v>0.42708333333333331</v>
      </c>
      <c r="J171">
        <v>2020</v>
      </c>
      <c r="K171">
        <v>9</v>
      </c>
      <c r="L171">
        <v>9</v>
      </c>
      <c r="M171" s="27">
        <f>IFERROR(DATE(Meczusie[[#This Row],[Rok]],Meczusie[[#This Row],[Miesiąc]],Meczusie[[#This Row],[Dzień]]),"")</f>
        <v>44083</v>
      </c>
      <c r="N171">
        <f t="shared" si="1"/>
        <v>65</v>
      </c>
    </row>
    <row r="172" spans="1:14" x14ac:dyDescent="0.25">
      <c r="A172">
        <v>171</v>
      </c>
      <c r="B172" t="s">
        <v>57</v>
      </c>
      <c r="C172" t="s">
        <v>259</v>
      </c>
      <c r="D172">
        <v>1</v>
      </c>
      <c r="E172">
        <v>11</v>
      </c>
      <c r="F172" t="s">
        <v>332</v>
      </c>
      <c r="G172" s="9">
        <v>0.4</v>
      </c>
      <c r="H172" s="9">
        <v>0.6</v>
      </c>
      <c r="I172" s="70">
        <v>0.42708333333333331</v>
      </c>
      <c r="J172">
        <v>2020</v>
      </c>
      <c r="K172">
        <v>9</v>
      </c>
      <c r="L172">
        <v>9</v>
      </c>
      <c r="M172" s="27">
        <f>IFERROR(DATE(Meczusie[[#This Row],[Rok]],Meczusie[[#This Row],[Miesiąc]],Meczusie[[#This Row],[Dzień]]),"")</f>
        <v>44083</v>
      </c>
      <c r="N172">
        <f t="shared" si="1"/>
        <v>65</v>
      </c>
    </row>
    <row r="173" spans="1:14" x14ac:dyDescent="0.25">
      <c r="A173">
        <v>172</v>
      </c>
      <c r="B173" t="s">
        <v>213</v>
      </c>
      <c r="C173" t="s">
        <v>357</v>
      </c>
      <c r="D173">
        <v>1</v>
      </c>
      <c r="E173">
        <v>3</v>
      </c>
      <c r="F173" t="s">
        <v>212</v>
      </c>
      <c r="G173" s="9">
        <v>0.46</v>
      </c>
      <c r="H173" s="9">
        <v>0.54</v>
      </c>
      <c r="I173" s="70">
        <v>0.45833333333333331</v>
      </c>
      <c r="J173">
        <v>2020</v>
      </c>
      <c r="K173">
        <v>9</v>
      </c>
      <c r="L173">
        <v>11</v>
      </c>
      <c r="M173" s="27">
        <f>IFERROR(DATE(Meczusie[[#This Row],[Rok]],Meczusie[[#This Row],[Miesiąc]],Meczusie[[#This Row],[Dzień]]),"")</f>
        <v>44085</v>
      </c>
      <c r="N173">
        <f t="shared" si="1"/>
        <v>67</v>
      </c>
    </row>
    <row r="174" spans="1:14" x14ac:dyDescent="0.25">
      <c r="A174">
        <v>173</v>
      </c>
      <c r="B174" t="s">
        <v>213</v>
      </c>
      <c r="C174" t="s">
        <v>212</v>
      </c>
      <c r="D174">
        <v>1</v>
      </c>
      <c r="E174">
        <v>2</v>
      </c>
      <c r="F174" t="s">
        <v>357</v>
      </c>
      <c r="G174" s="9">
        <v>0.52</v>
      </c>
      <c r="H174" s="9">
        <v>0.48</v>
      </c>
      <c r="I174" s="70">
        <v>0.79166666666666663</v>
      </c>
      <c r="J174">
        <v>2020</v>
      </c>
      <c r="K174">
        <v>9</v>
      </c>
      <c r="L174">
        <v>11</v>
      </c>
      <c r="M174" s="27">
        <f>IFERROR(DATE(Meczusie[[#This Row],[Rok]],Meczusie[[#This Row],[Miesiąc]],Meczusie[[#This Row],[Dzień]]),"")</f>
        <v>44085</v>
      </c>
      <c r="N174">
        <f t="shared" si="1"/>
        <v>67</v>
      </c>
    </row>
    <row r="175" spans="1:14" x14ac:dyDescent="0.25">
      <c r="A175">
        <v>174</v>
      </c>
      <c r="B175" t="s">
        <v>57</v>
      </c>
      <c r="C175" t="s">
        <v>332</v>
      </c>
      <c r="D175">
        <v>4</v>
      </c>
      <c r="E175">
        <v>2</v>
      </c>
      <c r="F175" t="s">
        <v>235</v>
      </c>
      <c r="G175" s="9">
        <v>0.55000000000000004</v>
      </c>
      <c r="H175" s="9">
        <v>0.45</v>
      </c>
      <c r="I175" s="70">
        <v>0.76041666666666663</v>
      </c>
      <c r="J175">
        <v>2020</v>
      </c>
      <c r="K175">
        <v>9</v>
      </c>
      <c r="L175">
        <v>13</v>
      </c>
      <c r="M175" s="27">
        <f>IFERROR(DATE(Meczusie[[#This Row],[Rok]],Meczusie[[#This Row],[Miesiąc]],Meczusie[[#This Row],[Dzień]]),"")</f>
        <v>44087</v>
      </c>
      <c r="N175">
        <f t="shared" si="1"/>
        <v>69</v>
      </c>
    </row>
    <row r="176" spans="1:14" x14ac:dyDescent="0.25">
      <c r="A176">
        <v>175</v>
      </c>
      <c r="B176" t="s">
        <v>57</v>
      </c>
      <c r="C176" t="s">
        <v>303</v>
      </c>
      <c r="D176">
        <v>11</v>
      </c>
      <c r="E176">
        <v>0</v>
      </c>
      <c r="F176" t="s">
        <v>233</v>
      </c>
      <c r="G176" s="9">
        <v>0.66</v>
      </c>
      <c r="H176" s="9">
        <v>0.34</v>
      </c>
      <c r="I176" s="70">
        <v>0.76041666666666663</v>
      </c>
      <c r="J176">
        <v>2020</v>
      </c>
      <c r="K176">
        <v>9</v>
      </c>
      <c r="L176">
        <v>13</v>
      </c>
      <c r="M176" s="27">
        <f>IFERROR(DATE(Meczusie[[#This Row],[Rok]],Meczusie[[#This Row],[Miesiąc]],Meczusie[[#This Row],[Dzień]]),"")</f>
        <v>44087</v>
      </c>
      <c r="N176">
        <f t="shared" si="1"/>
        <v>69</v>
      </c>
    </row>
    <row r="177" spans="1:14" x14ac:dyDescent="0.25">
      <c r="A177">
        <v>176</v>
      </c>
      <c r="B177" t="s">
        <v>57</v>
      </c>
      <c r="C177" t="s">
        <v>301</v>
      </c>
      <c r="D177">
        <v>0</v>
      </c>
      <c r="E177">
        <v>16</v>
      </c>
      <c r="F177" t="s">
        <v>331</v>
      </c>
      <c r="G177" s="9">
        <v>0.46</v>
      </c>
      <c r="H177" s="9">
        <v>0.54</v>
      </c>
      <c r="I177" s="70">
        <v>0.76041666666666663</v>
      </c>
      <c r="J177">
        <v>2020</v>
      </c>
      <c r="K177">
        <v>9</v>
      </c>
      <c r="L177">
        <v>13</v>
      </c>
      <c r="M177" s="27">
        <f>IFERROR(DATE(Meczusie[[#This Row],[Rok]],Meczusie[[#This Row],[Miesiąc]],Meczusie[[#This Row],[Dzień]]),"")</f>
        <v>44087</v>
      </c>
      <c r="N177">
        <f t="shared" si="1"/>
        <v>69</v>
      </c>
    </row>
    <row r="178" spans="1:14" x14ac:dyDescent="0.25">
      <c r="A178">
        <v>177</v>
      </c>
      <c r="B178" t="s">
        <v>57</v>
      </c>
      <c r="C178" t="s">
        <v>260</v>
      </c>
      <c r="D178">
        <v>3</v>
      </c>
      <c r="E178">
        <v>2</v>
      </c>
      <c r="F178" t="s">
        <v>302</v>
      </c>
      <c r="G178" s="9">
        <v>0.56999999999999995</v>
      </c>
      <c r="H178" s="9">
        <v>0.43</v>
      </c>
      <c r="I178" s="70">
        <v>0.76041666666666663</v>
      </c>
      <c r="J178">
        <v>2020</v>
      </c>
      <c r="K178">
        <v>9</v>
      </c>
      <c r="L178">
        <v>13</v>
      </c>
      <c r="M178" s="27">
        <f>IFERROR(DATE(Meczusie[[#This Row],[Rok]],Meczusie[[#This Row],[Miesiąc]],Meczusie[[#This Row],[Dzień]]),"")</f>
        <v>44087</v>
      </c>
      <c r="N178">
        <f t="shared" si="1"/>
        <v>69</v>
      </c>
    </row>
    <row r="179" spans="1:14" x14ac:dyDescent="0.25">
      <c r="A179">
        <v>178</v>
      </c>
      <c r="B179" t="s">
        <v>57</v>
      </c>
      <c r="C179" t="s">
        <v>212</v>
      </c>
      <c r="D179">
        <v>4</v>
      </c>
      <c r="E179">
        <v>3</v>
      </c>
      <c r="F179" t="s">
        <v>300</v>
      </c>
      <c r="G179" s="9">
        <v>0.52</v>
      </c>
      <c r="H179" s="9">
        <v>0.48</v>
      </c>
      <c r="I179" s="70">
        <v>0.76041666666666663</v>
      </c>
      <c r="J179">
        <v>2020</v>
      </c>
      <c r="K179">
        <v>9</v>
      </c>
      <c r="L179">
        <v>13</v>
      </c>
      <c r="M179" s="27">
        <f>IFERROR(DATE(Meczusie[[#This Row],[Rok]],Meczusie[[#This Row],[Miesiąc]],Meczusie[[#This Row],[Dzień]]),"")</f>
        <v>44087</v>
      </c>
      <c r="N179">
        <f t="shared" si="1"/>
        <v>69</v>
      </c>
    </row>
    <row r="180" spans="1:14" x14ac:dyDescent="0.25">
      <c r="A180">
        <v>179</v>
      </c>
      <c r="B180" t="s">
        <v>57</v>
      </c>
      <c r="C180" t="s">
        <v>234</v>
      </c>
      <c r="D180">
        <v>6</v>
      </c>
      <c r="E180">
        <v>1</v>
      </c>
      <c r="F180" t="s">
        <v>259</v>
      </c>
      <c r="G180" s="9">
        <v>0.57999999999999996</v>
      </c>
      <c r="H180" s="9">
        <v>0.42</v>
      </c>
      <c r="I180" s="70">
        <v>0.76041666666666663</v>
      </c>
      <c r="J180">
        <v>2020</v>
      </c>
      <c r="K180">
        <v>9</v>
      </c>
      <c r="L180">
        <v>13</v>
      </c>
      <c r="M180" s="27">
        <f>IFERROR(DATE(Meczusie[[#This Row],[Rok]],Meczusie[[#This Row],[Miesiąc]],Meczusie[[#This Row],[Dzień]]),"")</f>
        <v>44087</v>
      </c>
      <c r="N180">
        <f t="shared" si="1"/>
        <v>69</v>
      </c>
    </row>
    <row r="181" spans="1:14" x14ac:dyDescent="0.25">
      <c r="A181">
        <v>180</v>
      </c>
      <c r="B181" t="s">
        <v>213</v>
      </c>
      <c r="C181" t="s">
        <v>212</v>
      </c>
      <c r="D181">
        <v>7</v>
      </c>
      <c r="E181">
        <v>1</v>
      </c>
      <c r="F181" t="s">
        <v>514</v>
      </c>
      <c r="G181" s="9">
        <v>0.57999999999999996</v>
      </c>
      <c r="H181" s="9">
        <v>0.42</v>
      </c>
      <c r="I181" s="70">
        <v>0.45833333333333331</v>
      </c>
      <c r="J181">
        <v>2020</v>
      </c>
      <c r="K181">
        <v>9</v>
      </c>
      <c r="L181">
        <v>15</v>
      </c>
      <c r="M181" s="27">
        <f>IFERROR(DATE(Meczusie[[#This Row],[Rok]],Meczusie[[#This Row],[Miesiąc]],Meczusie[[#This Row],[Dzień]]),"")</f>
        <v>44089</v>
      </c>
      <c r="N181">
        <f t="shared" si="1"/>
        <v>71</v>
      </c>
    </row>
    <row r="182" spans="1:14" x14ac:dyDescent="0.25">
      <c r="A182">
        <v>181</v>
      </c>
      <c r="B182" t="s">
        <v>213</v>
      </c>
      <c r="C182" t="s">
        <v>514</v>
      </c>
      <c r="D182">
        <v>0</v>
      </c>
      <c r="E182">
        <v>10</v>
      </c>
      <c r="F182" t="s">
        <v>212</v>
      </c>
      <c r="G182" s="9">
        <v>0.36</v>
      </c>
      <c r="H182" s="9">
        <v>0.64</v>
      </c>
      <c r="I182" s="70">
        <v>0.79166666666666663</v>
      </c>
      <c r="J182">
        <v>2020</v>
      </c>
      <c r="K182">
        <v>9</v>
      </c>
      <c r="L182">
        <v>15</v>
      </c>
      <c r="M182" s="27">
        <f>IFERROR(DATE(Meczusie[[#This Row],[Rok]],Meczusie[[#This Row],[Miesiąc]],Meczusie[[#This Row],[Dzień]]),"")</f>
        <v>44089</v>
      </c>
      <c r="N182">
        <f t="shared" si="1"/>
        <v>71</v>
      </c>
    </row>
    <row r="183" spans="1:14" x14ac:dyDescent="0.25">
      <c r="A183">
        <v>182</v>
      </c>
      <c r="B183" t="s">
        <v>57</v>
      </c>
      <c r="C183" t="s">
        <v>235</v>
      </c>
      <c r="D183">
        <v>2</v>
      </c>
      <c r="E183">
        <v>3</v>
      </c>
      <c r="F183" t="s">
        <v>234</v>
      </c>
      <c r="G183" s="9">
        <v>0.48</v>
      </c>
      <c r="H183" s="9">
        <v>0.52</v>
      </c>
      <c r="I183" s="70">
        <v>0.61458333333333337</v>
      </c>
      <c r="J183">
        <v>2020</v>
      </c>
      <c r="K183">
        <v>9</v>
      </c>
      <c r="L183">
        <v>16</v>
      </c>
      <c r="M183" s="27">
        <f>IFERROR(DATE(Meczusie[[#This Row],[Rok]],Meczusie[[#This Row],[Miesiąc]],Meczusie[[#This Row],[Dzień]]),"")</f>
        <v>44090</v>
      </c>
      <c r="N183">
        <f t="shared" si="1"/>
        <v>72</v>
      </c>
    </row>
    <row r="184" spans="1:14" x14ac:dyDescent="0.25">
      <c r="A184">
        <v>183</v>
      </c>
      <c r="B184" t="s">
        <v>57</v>
      </c>
      <c r="C184" t="s">
        <v>259</v>
      </c>
      <c r="D184">
        <v>13</v>
      </c>
      <c r="E184">
        <v>0</v>
      </c>
      <c r="F184" t="s">
        <v>212</v>
      </c>
      <c r="G184" s="9">
        <v>0.6</v>
      </c>
      <c r="H184" s="9">
        <v>0.4</v>
      </c>
      <c r="I184" s="70">
        <v>0.61458333333333337</v>
      </c>
      <c r="J184">
        <v>2020</v>
      </c>
      <c r="K184">
        <v>9</v>
      </c>
      <c r="L184">
        <v>16</v>
      </c>
      <c r="M184" s="27">
        <f>IFERROR(DATE(Meczusie[[#This Row],[Rok]],Meczusie[[#This Row],[Miesiąc]],Meczusie[[#This Row],[Dzień]]),"")</f>
        <v>44090</v>
      </c>
      <c r="N184">
        <f t="shared" si="1"/>
        <v>72</v>
      </c>
    </row>
    <row r="185" spans="1:14" x14ac:dyDescent="0.25">
      <c r="A185">
        <v>184</v>
      </c>
      <c r="B185" t="s">
        <v>57</v>
      </c>
      <c r="C185" t="s">
        <v>300</v>
      </c>
      <c r="D185">
        <v>1</v>
      </c>
      <c r="E185">
        <v>5</v>
      </c>
      <c r="F185" t="s">
        <v>260</v>
      </c>
      <c r="G185" s="9">
        <v>0.48</v>
      </c>
      <c r="H185" s="9">
        <v>0.52</v>
      </c>
      <c r="I185" s="70">
        <v>0.61458333333333337</v>
      </c>
      <c r="J185">
        <v>2020</v>
      </c>
      <c r="K185">
        <v>9</v>
      </c>
      <c r="L185">
        <v>16</v>
      </c>
      <c r="M185" s="27">
        <f>IFERROR(DATE(Meczusie[[#This Row],[Rok]],Meczusie[[#This Row],[Miesiąc]],Meczusie[[#This Row],[Dzień]]),"")</f>
        <v>44090</v>
      </c>
      <c r="N185">
        <f t="shared" si="1"/>
        <v>72</v>
      </c>
    </row>
    <row r="186" spans="1:14" x14ac:dyDescent="0.25">
      <c r="A186">
        <v>185</v>
      </c>
      <c r="B186" t="s">
        <v>57</v>
      </c>
      <c r="C186" t="s">
        <v>302</v>
      </c>
      <c r="D186">
        <v>8</v>
      </c>
      <c r="E186">
        <v>0</v>
      </c>
      <c r="F186" t="s">
        <v>301</v>
      </c>
      <c r="G186" s="9">
        <v>0.61</v>
      </c>
      <c r="H186" s="9">
        <v>0.39</v>
      </c>
      <c r="I186" s="70">
        <v>0.61458333333333337</v>
      </c>
      <c r="J186">
        <v>2020</v>
      </c>
      <c r="K186">
        <v>9</v>
      </c>
      <c r="L186">
        <v>16</v>
      </c>
      <c r="M186" s="27">
        <f>IFERROR(DATE(Meczusie[[#This Row],[Rok]],Meczusie[[#This Row],[Miesiąc]],Meczusie[[#This Row],[Dzień]]),"")</f>
        <v>44090</v>
      </c>
      <c r="N186">
        <f t="shared" si="1"/>
        <v>72</v>
      </c>
    </row>
    <row r="187" spans="1:14" x14ac:dyDescent="0.25">
      <c r="A187">
        <v>186</v>
      </c>
      <c r="B187" t="s">
        <v>57</v>
      </c>
      <c r="C187" t="s">
        <v>331</v>
      </c>
      <c r="D187">
        <v>0</v>
      </c>
      <c r="E187">
        <v>2</v>
      </c>
      <c r="F187" t="s">
        <v>303</v>
      </c>
      <c r="G187" s="9">
        <v>0.42</v>
      </c>
      <c r="H187" s="9">
        <v>0.57999999999999996</v>
      </c>
      <c r="I187" s="70">
        <v>0.61458333333333337</v>
      </c>
      <c r="J187">
        <v>2020</v>
      </c>
      <c r="K187">
        <v>9</v>
      </c>
      <c r="L187">
        <v>16</v>
      </c>
      <c r="M187" s="27">
        <f>IFERROR(DATE(Meczusie[[#This Row],[Rok]],Meczusie[[#This Row],[Miesiąc]],Meczusie[[#This Row],[Dzień]]),"")</f>
        <v>44090</v>
      </c>
      <c r="N187">
        <f t="shared" si="1"/>
        <v>72</v>
      </c>
    </row>
    <row r="188" spans="1:14" x14ac:dyDescent="0.25">
      <c r="A188">
        <v>187</v>
      </c>
      <c r="B188" t="s">
        <v>57</v>
      </c>
      <c r="C188" t="s">
        <v>233</v>
      </c>
      <c r="D188">
        <v>0</v>
      </c>
      <c r="E188">
        <v>9</v>
      </c>
      <c r="F188" t="s">
        <v>332</v>
      </c>
      <c r="G188" s="9">
        <v>0.36</v>
      </c>
      <c r="H188" s="9">
        <v>0.64</v>
      </c>
      <c r="I188" s="70">
        <v>0.61458333333333337</v>
      </c>
      <c r="J188">
        <v>2020</v>
      </c>
      <c r="K188">
        <v>9</v>
      </c>
      <c r="L188">
        <v>16</v>
      </c>
      <c r="M188" s="27">
        <f>IFERROR(DATE(Meczusie[[#This Row],[Rok]],Meczusie[[#This Row],[Miesiąc]],Meczusie[[#This Row],[Dzień]]),"")</f>
        <v>44090</v>
      </c>
      <c r="N188">
        <f t="shared" si="1"/>
        <v>72</v>
      </c>
    </row>
    <row r="189" spans="1:14" x14ac:dyDescent="0.25">
      <c r="A189">
        <v>188</v>
      </c>
      <c r="B189" t="s">
        <v>213</v>
      </c>
      <c r="C189" t="s">
        <v>357</v>
      </c>
      <c r="D189">
        <v>0</v>
      </c>
      <c r="E189">
        <v>1</v>
      </c>
      <c r="F189" t="s">
        <v>212</v>
      </c>
      <c r="G189" s="9">
        <v>0.48</v>
      </c>
      <c r="H189" s="9">
        <v>0.52</v>
      </c>
      <c r="I189" s="70">
        <v>0.45833333333333331</v>
      </c>
      <c r="J189">
        <v>2020</v>
      </c>
      <c r="K189">
        <v>9</v>
      </c>
      <c r="L189">
        <v>17</v>
      </c>
      <c r="M189" s="27">
        <f>IFERROR(DATE(Meczusie[[#This Row],[Rok]],Meczusie[[#This Row],[Miesiąc]],Meczusie[[#This Row],[Dzień]]),"")</f>
        <v>44091</v>
      </c>
      <c r="N189">
        <f t="shared" si="1"/>
        <v>73</v>
      </c>
    </row>
    <row r="190" spans="1:14" x14ac:dyDescent="0.25">
      <c r="A190">
        <v>189</v>
      </c>
      <c r="B190" t="s">
        <v>213</v>
      </c>
      <c r="C190" t="s">
        <v>212</v>
      </c>
      <c r="D190">
        <v>4</v>
      </c>
      <c r="E190">
        <v>2</v>
      </c>
      <c r="F190" t="s">
        <v>357</v>
      </c>
      <c r="G190" s="9">
        <v>0.5</v>
      </c>
      <c r="H190" s="9">
        <v>0.5</v>
      </c>
      <c r="I190" s="70">
        <v>0.79166666666666663</v>
      </c>
      <c r="J190">
        <v>2020</v>
      </c>
      <c r="K190">
        <v>9</v>
      </c>
      <c r="L190">
        <v>17</v>
      </c>
      <c r="M190" s="27">
        <f>IFERROR(DATE(Meczusie[[#This Row],[Rok]],Meczusie[[#This Row],[Miesiąc]],Meczusie[[#This Row],[Dzień]]),"")</f>
        <v>44091</v>
      </c>
      <c r="N190">
        <f t="shared" si="1"/>
        <v>73</v>
      </c>
    </row>
    <row r="191" spans="1:14" x14ac:dyDescent="0.25">
      <c r="A191">
        <v>190</v>
      </c>
      <c r="B191" t="s">
        <v>213</v>
      </c>
      <c r="C191" t="s">
        <v>357</v>
      </c>
      <c r="D191">
        <v>5</v>
      </c>
      <c r="E191">
        <v>0</v>
      </c>
      <c r="F191" t="s">
        <v>212</v>
      </c>
      <c r="G191" s="9">
        <v>0.57999999999999996</v>
      </c>
      <c r="H191" s="9">
        <v>0.42</v>
      </c>
      <c r="I191" s="70">
        <v>0.45833333333333331</v>
      </c>
      <c r="J191">
        <v>2020</v>
      </c>
      <c r="K191">
        <v>9</v>
      </c>
      <c r="L191">
        <v>18</v>
      </c>
      <c r="M191" s="27">
        <f>IFERROR(DATE(Meczusie[[#This Row],[Rok]],Meczusie[[#This Row],[Miesiąc]],Meczusie[[#This Row],[Dzień]]),"")</f>
        <v>44092</v>
      </c>
      <c r="N191">
        <f t="shared" si="1"/>
        <v>74</v>
      </c>
    </row>
    <row r="192" spans="1:14" x14ac:dyDescent="0.25">
      <c r="A192">
        <v>191</v>
      </c>
      <c r="B192" t="s">
        <v>213</v>
      </c>
      <c r="C192" t="s">
        <v>212</v>
      </c>
      <c r="D192">
        <v>0</v>
      </c>
      <c r="E192">
        <v>6</v>
      </c>
      <c r="F192" t="s">
        <v>357</v>
      </c>
      <c r="G192" s="9">
        <v>0.37</v>
      </c>
      <c r="H192" s="9">
        <v>0.63</v>
      </c>
      <c r="I192" s="70">
        <v>0.79166666666666663</v>
      </c>
      <c r="J192">
        <v>2020</v>
      </c>
      <c r="K192">
        <v>9</v>
      </c>
      <c r="L192">
        <v>18</v>
      </c>
      <c r="M192" s="27">
        <f>IFERROR(DATE(Meczusie[[#This Row],[Rok]],Meczusie[[#This Row],[Miesiąc]],Meczusie[[#This Row],[Dzień]]),"")</f>
        <v>44092</v>
      </c>
      <c r="N192">
        <f t="shared" si="1"/>
        <v>74</v>
      </c>
    </row>
    <row r="193" spans="1:14" x14ac:dyDescent="0.25">
      <c r="A193">
        <v>192</v>
      </c>
      <c r="B193" t="s">
        <v>213</v>
      </c>
      <c r="C193" t="s">
        <v>357</v>
      </c>
      <c r="D193">
        <v>1</v>
      </c>
      <c r="E193">
        <v>6</v>
      </c>
      <c r="F193" t="s">
        <v>212</v>
      </c>
      <c r="G193" s="9">
        <v>0.45</v>
      </c>
      <c r="H193" s="9">
        <v>0.55000000000000004</v>
      </c>
      <c r="I193" s="70">
        <v>0.45833333333333331</v>
      </c>
      <c r="J193">
        <v>2020</v>
      </c>
      <c r="K193">
        <v>9</v>
      </c>
      <c r="L193">
        <v>19</v>
      </c>
      <c r="M193" s="27">
        <f>IFERROR(DATE(Meczusie[[#This Row],[Rok]],Meczusie[[#This Row],[Miesiąc]],Meczusie[[#This Row],[Dzień]]),"")</f>
        <v>44093</v>
      </c>
      <c r="N193">
        <f t="shared" si="1"/>
        <v>75</v>
      </c>
    </row>
    <row r="194" spans="1:14" x14ac:dyDescent="0.25">
      <c r="A194">
        <v>193</v>
      </c>
      <c r="B194" t="s">
        <v>213</v>
      </c>
      <c r="C194" t="s">
        <v>212</v>
      </c>
      <c r="D194">
        <v>0</v>
      </c>
      <c r="E194">
        <v>1</v>
      </c>
      <c r="F194" t="s">
        <v>357</v>
      </c>
      <c r="G194" s="9">
        <v>0.52</v>
      </c>
      <c r="H194" s="9">
        <v>0.48</v>
      </c>
      <c r="I194" s="70">
        <v>0.79166666666666663</v>
      </c>
      <c r="J194">
        <v>2020</v>
      </c>
      <c r="K194">
        <v>9</v>
      </c>
      <c r="L194">
        <v>19</v>
      </c>
      <c r="M194" s="27">
        <f>IFERROR(DATE(Meczusie[[#This Row],[Rok]],Meczusie[[#This Row],[Miesiąc]],Meczusie[[#This Row],[Dzień]]),"")</f>
        <v>44093</v>
      </c>
      <c r="N194">
        <f t="shared" si="1"/>
        <v>75</v>
      </c>
    </row>
    <row r="195" spans="1:14" x14ac:dyDescent="0.25">
      <c r="A195">
        <v>194</v>
      </c>
      <c r="B195" t="s">
        <v>57</v>
      </c>
      <c r="C195" t="s">
        <v>234</v>
      </c>
      <c r="D195">
        <v>9</v>
      </c>
      <c r="E195">
        <v>0</v>
      </c>
      <c r="F195" t="s">
        <v>233</v>
      </c>
      <c r="G195" s="9">
        <v>0.61</v>
      </c>
      <c r="H195" s="9">
        <v>0.39</v>
      </c>
      <c r="I195" s="70">
        <v>0.47916666666666669</v>
      </c>
      <c r="J195">
        <v>2020</v>
      </c>
      <c r="K195">
        <v>9</v>
      </c>
      <c r="L195">
        <v>20</v>
      </c>
      <c r="M195" s="27">
        <f>IFERROR(DATE(Meczusie[[#This Row],[Rok]],Meczusie[[#This Row],[Miesiąc]],Meczusie[[#This Row],[Dzień]]),"")</f>
        <v>44094</v>
      </c>
      <c r="N195">
        <f t="shared" si="1"/>
        <v>76</v>
      </c>
    </row>
    <row r="196" spans="1:14" x14ac:dyDescent="0.25">
      <c r="A196">
        <v>195</v>
      </c>
      <c r="B196" t="s">
        <v>57</v>
      </c>
      <c r="C196" t="s">
        <v>212</v>
      </c>
      <c r="D196">
        <v>1</v>
      </c>
      <c r="E196">
        <v>0</v>
      </c>
      <c r="F196" t="s">
        <v>235</v>
      </c>
      <c r="G196" s="9">
        <v>0.43</v>
      </c>
      <c r="H196" s="9">
        <v>0.56999999999999995</v>
      </c>
      <c r="I196" s="70">
        <v>0.47916666666666669</v>
      </c>
      <c r="J196">
        <v>2020</v>
      </c>
      <c r="K196">
        <v>9</v>
      </c>
      <c r="L196">
        <v>20</v>
      </c>
      <c r="M196" s="27">
        <f>IFERROR(DATE(Meczusie[[#This Row],[Rok]],Meczusie[[#This Row],[Miesiąc]],Meczusie[[#This Row],[Dzień]]),"")</f>
        <v>44094</v>
      </c>
      <c r="N196">
        <f t="shared" si="1"/>
        <v>76</v>
      </c>
    </row>
    <row r="197" spans="1:14" x14ac:dyDescent="0.25">
      <c r="A197">
        <v>196</v>
      </c>
      <c r="B197" t="s">
        <v>57</v>
      </c>
      <c r="C197" t="s">
        <v>260</v>
      </c>
      <c r="D197">
        <v>2</v>
      </c>
      <c r="E197">
        <v>1</v>
      </c>
      <c r="F197" t="s">
        <v>259</v>
      </c>
      <c r="G197" s="9">
        <v>0.52</v>
      </c>
      <c r="H197" s="9">
        <v>0.48</v>
      </c>
      <c r="I197" s="70">
        <v>0.47916666666666669</v>
      </c>
      <c r="J197">
        <v>2020</v>
      </c>
      <c r="K197">
        <v>9</v>
      </c>
      <c r="L197">
        <v>20</v>
      </c>
      <c r="M197" s="27">
        <f>IFERROR(DATE(Meczusie[[#This Row],[Rok]],Meczusie[[#This Row],[Miesiąc]],Meczusie[[#This Row],[Dzień]]),"")</f>
        <v>44094</v>
      </c>
      <c r="N197">
        <f t="shared" si="1"/>
        <v>76</v>
      </c>
    </row>
    <row r="198" spans="1:14" x14ac:dyDescent="0.25">
      <c r="A198">
        <v>197</v>
      </c>
      <c r="B198" t="s">
        <v>57</v>
      </c>
      <c r="C198" t="s">
        <v>301</v>
      </c>
      <c r="D198">
        <v>1</v>
      </c>
      <c r="E198">
        <v>9</v>
      </c>
      <c r="F198" t="s">
        <v>300</v>
      </c>
      <c r="G198" s="9">
        <v>0.4</v>
      </c>
      <c r="H198" s="9">
        <v>0.6</v>
      </c>
      <c r="I198" s="70">
        <v>0.47916666666666669</v>
      </c>
      <c r="J198">
        <v>2020</v>
      </c>
      <c r="K198">
        <v>9</v>
      </c>
      <c r="L198">
        <v>20</v>
      </c>
      <c r="M198" s="27">
        <f>IFERROR(DATE(Meczusie[[#This Row],[Rok]],Meczusie[[#This Row],[Miesiąc]],Meczusie[[#This Row],[Dzień]]),"")</f>
        <v>44094</v>
      </c>
      <c r="N198">
        <f t="shared" si="1"/>
        <v>76</v>
      </c>
    </row>
    <row r="199" spans="1:14" x14ac:dyDescent="0.25">
      <c r="A199">
        <v>198</v>
      </c>
      <c r="B199" t="s">
        <v>57</v>
      </c>
      <c r="C199" t="s">
        <v>303</v>
      </c>
      <c r="D199">
        <v>0</v>
      </c>
      <c r="E199">
        <v>0</v>
      </c>
      <c r="F199" t="s">
        <v>302</v>
      </c>
      <c r="G199" s="9">
        <v>0.52</v>
      </c>
      <c r="H199" s="9">
        <v>0.48</v>
      </c>
      <c r="I199" s="70">
        <v>0.47916666666666669</v>
      </c>
      <c r="J199">
        <v>2020</v>
      </c>
      <c r="K199">
        <v>9</v>
      </c>
      <c r="L199">
        <v>20</v>
      </c>
      <c r="M199" s="27">
        <f>IFERROR(DATE(Meczusie[[#This Row],[Rok]],Meczusie[[#This Row],[Miesiąc]],Meczusie[[#This Row],[Dzień]]),"")</f>
        <v>44094</v>
      </c>
      <c r="N199">
        <f t="shared" si="1"/>
        <v>76</v>
      </c>
    </row>
    <row r="200" spans="1:14" x14ac:dyDescent="0.25">
      <c r="A200">
        <v>199</v>
      </c>
      <c r="B200" t="s">
        <v>57</v>
      </c>
      <c r="C200" t="s">
        <v>332</v>
      </c>
      <c r="D200">
        <v>0</v>
      </c>
      <c r="E200">
        <v>4</v>
      </c>
      <c r="F200" t="s">
        <v>331</v>
      </c>
      <c r="G200" s="9">
        <v>0.56999999999999995</v>
      </c>
      <c r="H200" s="9">
        <v>0.43</v>
      </c>
      <c r="I200" s="70">
        <v>0.47916666666666669</v>
      </c>
      <c r="J200">
        <v>2020</v>
      </c>
      <c r="K200">
        <v>9</v>
      </c>
      <c r="L200">
        <v>20</v>
      </c>
      <c r="M200" s="27">
        <f>IFERROR(DATE(Meczusie[[#This Row],[Rok]],Meczusie[[#This Row],[Miesiąc]],Meczusie[[#This Row],[Dzień]]),"")</f>
        <v>44094</v>
      </c>
      <c r="N200">
        <f t="shared" si="1"/>
        <v>76</v>
      </c>
    </row>
    <row r="201" spans="1:14" x14ac:dyDescent="0.25">
      <c r="A201">
        <v>200</v>
      </c>
      <c r="B201" t="s">
        <v>213</v>
      </c>
      <c r="C201" t="s">
        <v>357</v>
      </c>
      <c r="D201">
        <v>0</v>
      </c>
      <c r="E201">
        <v>2</v>
      </c>
      <c r="F201" t="s">
        <v>212</v>
      </c>
      <c r="G201" s="9">
        <v>0.5</v>
      </c>
      <c r="H201" s="9">
        <v>0.5</v>
      </c>
      <c r="I201" s="70">
        <v>0.45833333333333331</v>
      </c>
      <c r="J201">
        <v>2020</v>
      </c>
      <c r="K201">
        <v>9</v>
      </c>
      <c r="L201">
        <v>21</v>
      </c>
      <c r="M201" s="27">
        <f>IFERROR(DATE(Meczusie[[#This Row],[Rok]],Meczusie[[#This Row],[Miesiąc]],Meczusie[[#This Row],[Dzień]]),"")</f>
        <v>44095</v>
      </c>
      <c r="N201">
        <f t="shared" si="1"/>
        <v>77</v>
      </c>
    </row>
    <row r="202" spans="1:14" x14ac:dyDescent="0.25">
      <c r="A202">
        <v>201</v>
      </c>
      <c r="B202" t="s">
        <v>213</v>
      </c>
      <c r="C202" t="s">
        <v>212</v>
      </c>
      <c r="D202">
        <v>4</v>
      </c>
      <c r="E202">
        <v>1</v>
      </c>
      <c r="F202" t="s">
        <v>357</v>
      </c>
      <c r="G202" s="9">
        <v>0.48</v>
      </c>
      <c r="H202" s="9">
        <v>0.52</v>
      </c>
      <c r="I202" s="70">
        <v>0.79166666666666663</v>
      </c>
      <c r="J202">
        <v>2020</v>
      </c>
      <c r="K202">
        <v>9</v>
      </c>
      <c r="L202">
        <v>21</v>
      </c>
      <c r="M202" s="27">
        <f>IFERROR(DATE(Meczusie[[#This Row],[Rok]],Meczusie[[#This Row],[Miesiąc]],Meczusie[[#This Row],[Dzień]]),"")</f>
        <v>44095</v>
      </c>
      <c r="N202">
        <f t="shared" si="1"/>
        <v>77</v>
      </c>
    </row>
    <row r="203" spans="1:14" x14ac:dyDescent="0.25">
      <c r="A203">
        <v>202</v>
      </c>
      <c r="B203" t="s">
        <v>213</v>
      </c>
      <c r="C203" t="s">
        <v>357</v>
      </c>
      <c r="D203">
        <v>10</v>
      </c>
      <c r="E203">
        <v>0</v>
      </c>
      <c r="F203" t="s">
        <v>212</v>
      </c>
      <c r="G203" s="9">
        <v>0.64</v>
      </c>
      <c r="H203" s="9">
        <v>0.36</v>
      </c>
      <c r="I203" s="70">
        <v>0.45833333333333331</v>
      </c>
      <c r="J203">
        <v>2020</v>
      </c>
      <c r="K203">
        <v>9</v>
      </c>
      <c r="L203">
        <v>22</v>
      </c>
      <c r="M203" s="27">
        <f>IFERROR(DATE(Meczusie[[#This Row],[Rok]],Meczusie[[#This Row],[Miesiąc]],Meczusie[[#This Row],[Dzień]]),"")</f>
        <v>44096</v>
      </c>
      <c r="N203">
        <f t="shared" si="1"/>
        <v>78</v>
      </c>
    </row>
    <row r="204" spans="1:14" x14ac:dyDescent="0.25">
      <c r="A204">
        <v>203</v>
      </c>
      <c r="B204" t="s">
        <v>213</v>
      </c>
      <c r="C204" t="s">
        <v>212</v>
      </c>
      <c r="D204">
        <v>0</v>
      </c>
      <c r="E204">
        <v>1</v>
      </c>
      <c r="F204" t="s">
        <v>357</v>
      </c>
      <c r="G204" s="9">
        <v>0.47</v>
      </c>
      <c r="H204" s="9">
        <v>0.53</v>
      </c>
      <c r="I204" s="70">
        <v>0.79166666666666663</v>
      </c>
      <c r="J204">
        <v>2020</v>
      </c>
      <c r="K204">
        <v>9</v>
      </c>
      <c r="L204">
        <v>22</v>
      </c>
      <c r="M204" s="27">
        <f>IFERROR(DATE(Meczusie[[#This Row],[Rok]],Meczusie[[#This Row],[Miesiąc]],Meczusie[[#This Row],[Dzień]]),"")</f>
        <v>44096</v>
      </c>
      <c r="N204">
        <f t="shared" si="1"/>
        <v>78</v>
      </c>
    </row>
    <row r="205" spans="1:14" x14ac:dyDescent="0.25">
      <c r="A205">
        <v>204</v>
      </c>
      <c r="B205" t="s">
        <v>523</v>
      </c>
      <c r="C205" t="s">
        <v>212</v>
      </c>
      <c r="D205">
        <v>0</v>
      </c>
      <c r="E205">
        <v>2</v>
      </c>
      <c r="F205" t="s">
        <v>524</v>
      </c>
      <c r="G205" s="9">
        <v>0.47</v>
      </c>
      <c r="H205" s="9">
        <v>0.53</v>
      </c>
      <c r="I205" s="70">
        <v>0.375</v>
      </c>
      <c r="J205">
        <v>2020</v>
      </c>
      <c r="K205">
        <v>9</v>
      </c>
      <c r="L205">
        <v>24</v>
      </c>
      <c r="M205" s="27">
        <f>IFERROR(DATE(Meczusie[[#This Row],[Rok]],Meczusie[[#This Row],[Miesiąc]],Meczusie[[#This Row],[Dzień]]),"")</f>
        <v>44098</v>
      </c>
      <c r="N205">
        <f t="shared" si="1"/>
        <v>80</v>
      </c>
    </row>
    <row r="206" spans="1:14" x14ac:dyDescent="0.25">
      <c r="A206">
        <v>205</v>
      </c>
      <c r="B206" t="s">
        <v>213</v>
      </c>
      <c r="C206" t="s">
        <v>357</v>
      </c>
      <c r="D206">
        <v>1</v>
      </c>
      <c r="E206">
        <v>13</v>
      </c>
      <c r="F206" t="s">
        <v>212</v>
      </c>
      <c r="G206" s="9">
        <v>0.38</v>
      </c>
      <c r="H206" s="9">
        <v>0.62</v>
      </c>
      <c r="I206" s="70">
        <v>0.45833333333333331</v>
      </c>
      <c r="J206">
        <v>2020</v>
      </c>
      <c r="K206">
        <v>9</v>
      </c>
      <c r="L206">
        <v>24</v>
      </c>
      <c r="M206" s="27">
        <f>IFERROR(DATE(Meczusie[[#This Row],[Rok]],Meczusie[[#This Row],[Miesiąc]],Meczusie[[#This Row],[Dzień]]),"")</f>
        <v>44098</v>
      </c>
      <c r="N206">
        <f t="shared" si="1"/>
        <v>80</v>
      </c>
    </row>
    <row r="207" spans="1:14" x14ac:dyDescent="0.25">
      <c r="A207">
        <v>206</v>
      </c>
      <c r="B207" t="s">
        <v>213</v>
      </c>
      <c r="C207" t="s">
        <v>212</v>
      </c>
      <c r="D207">
        <v>10</v>
      </c>
      <c r="E207">
        <v>0</v>
      </c>
      <c r="F207" t="s">
        <v>357</v>
      </c>
      <c r="G207" s="9">
        <v>0.6</v>
      </c>
      <c r="H207" s="9">
        <v>0.4</v>
      </c>
      <c r="I207" s="70">
        <v>0.79166666666666663</v>
      </c>
      <c r="J207">
        <v>2020</v>
      </c>
      <c r="K207">
        <v>9</v>
      </c>
      <c r="L207">
        <v>24</v>
      </c>
      <c r="M207" s="27">
        <f>IFERROR(DATE(Meczusie[[#This Row],[Rok]],Meczusie[[#This Row],[Miesiąc]],Meczusie[[#This Row],[Dzień]]),"")</f>
        <v>44098</v>
      </c>
      <c r="N207">
        <f t="shared" si="1"/>
        <v>80</v>
      </c>
    </row>
    <row r="208" spans="1:14" x14ac:dyDescent="0.25">
      <c r="A208">
        <v>207</v>
      </c>
      <c r="B208" t="s">
        <v>213</v>
      </c>
      <c r="C208" t="s">
        <v>525</v>
      </c>
      <c r="D208">
        <v>1</v>
      </c>
      <c r="E208">
        <v>3</v>
      </c>
      <c r="F208" t="s">
        <v>212</v>
      </c>
      <c r="G208" s="9">
        <v>0.46</v>
      </c>
      <c r="H208" s="9">
        <v>0.54</v>
      </c>
      <c r="I208" s="70">
        <v>0.45833333333333331</v>
      </c>
      <c r="J208">
        <v>2020</v>
      </c>
      <c r="K208">
        <v>9</v>
      </c>
      <c r="L208">
        <v>25</v>
      </c>
      <c r="M208" s="27">
        <f>IFERROR(DATE(Meczusie[[#This Row],[Rok]],Meczusie[[#This Row],[Miesiąc]],Meczusie[[#This Row],[Dzień]]),"")</f>
        <v>44099</v>
      </c>
      <c r="N208">
        <f t="shared" si="1"/>
        <v>81</v>
      </c>
    </row>
    <row r="209" spans="1:14" x14ac:dyDescent="0.25">
      <c r="A209">
        <v>208</v>
      </c>
      <c r="B209" t="s">
        <v>213</v>
      </c>
      <c r="C209" t="s">
        <v>212</v>
      </c>
      <c r="D209">
        <v>6</v>
      </c>
      <c r="E209">
        <v>1</v>
      </c>
      <c r="F209" t="s">
        <v>525</v>
      </c>
      <c r="G209" s="9">
        <v>0.59</v>
      </c>
      <c r="H209" s="9">
        <v>0.41</v>
      </c>
      <c r="I209" s="70">
        <v>0.79166666666666663</v>
      </c>
      <c r="J209">
        <v>2020</v>
      </c>
      <c r="K209">
        <v>9</v>
      </c>
      <c r="L209">
        <v>25</v>
      </c>
      <c r="M209" s="27">
        <f>IFERROR(DATE(Meczusie[[#This Row],[Rok]],Meczusie[[#This Row],[Miesiąc]],Meczusie[[#This Row],[Dzień]]),"")</f>
        <v>44099</v>
      </c>
      <c r="N209">
        <f t="shared" si="1"/>
        <v>81</v>
      </c>
    </row>
    <row r="210" spans="1:14" x14ac:dyDescent="0.25">
      <c r="A210">
        <v>209</v>
      </c>
      <c r="B210" t="s">
        <v>523</v>
      </c>
      <c r="C210" t="s">
        <v>212</v>
      </c>
      <c r="D210">
        <v>2</v>
      </c>
      <c r="E210">
        <v>2</v>
      </c>
      <c r="F210" t="s">
        <v>526</v>
      </c>
      <c r="G210" s="9">
        <v>0.44</v>
      </c>
      <c r="H210" s="9">
        <v>0.56000000000000005</v>
      </c>
      <c r="I210" s="70">
        <v>0.375</v>
      </c>
      <c r="J210">
        <v>2020</v>
      </c>
      <c r="K210">
        <v>9</v>
      </c>
      <c r="L210">
        <v>26</v>
      </c>
      <c r="M210" s="27">
        <f>IFERROR(DATE(Meczusie[[#This Row],[Rok]],Meczusie[[#This Row],[Miesiąc]],Meczusie[[#This Row],[Dzień]]),"")</f>
        <v>44100</v>
      </c>
      <c r="N210">
        <f t="shared" si="1"/>
        <v>82</v>
      </c>
    </row>
    <row r="211" spans="1:14" x14ac:dyDescent="0.25">
      <c r="A211">
        <v>210</v>
      </c>
      <c r="B211" t="s">
        <v>213</v>
      </c>
      <c r="C211" t="s">
        <v>357</v>
      </c>
      <c r="D211">
        <v>1</v>
      </c>
      <c r="E211">
        <v>4</v>
      </c>
      <c r="F211" t="s">
        <v>212</v>
      </c>
      <c r="G211" s="9">
        <v>0.38</v>
      </c>
      <c r="H211" s="9">
        <v>0.62</v>
      </c>
      <c r="I211" s="70">
        <v>0.45833333333333331</v>
      </c>
      <c r="J211">
        <v>2020</v>
      </c>
      <c r="K211">
        <v>9</v>
      </c>
      <c r="L211">
        <v>26</v>
      </c>
      <c r="M211" s="27">
        <f>IFERROR(DATE(Meczusie[[#This Row],[Rok]],Meczusie[[#This Row],[Miesiąc]],Meczusie[[#This Row],[Dzień]]),"")</f>
        <v>44100</v>
      </c>
      <c r="N211">
        <f t="shared" si="1"/>
        <v>82</v>
      </c>
    </row>
    <row r="212" spans="1:14" x14ac:dyDescent="0.25">
      <c r="A212">
        <v>211</v>
      </c>
      <c r="B212" t="s">
        <v>213</v>
      </c>
      <c r="C212" t="s">
        <v>212</v>
      </c>
      <c r="D212">
        <v>8</v>
      </c>
      <c r="E212">
        <v>0</v>
      </c>
      <c r="F212" t="s">
        <v>357</v>
      </c>
      <c r="G212" s="9">
        <v>0.59</v>
      </c>
      <c r="H212" s="9">
        <v>0.41</v>
      </c>
      <c r="I212" s="70">
        <v>0.79166666666666663</v>
      </c>
      <c r="J212">
        <v>2020</v>
      </c>
      <c r="K212">
        <v>9</v>
      </c>
      <c r="L212">
        <v>26</v>
      </c>
      <c r="M212" s="27">
        <f>IFERROR(DATE(Meczusie[[#This Row],[Rok]],Meczusie[[#This Row],[Miesiąc]],Meczusie[[#This Row],[Dzień]]),"")</f>
        <v>44100</v>
      </c>
      <c r="N212">
        <f t="shared" si="1"/>
        <v>82</v>
      </c>
    </row>
    <row r="213" spans="1:14" x14ac:dyDescent="0.25">
      <c r="A213">
        <v>212</v>
      </c>
      <c r="B213" t="s">
        <v>213</v>
      </c>
      <c r="C213" t="s">
        <v>357</v>
      </c>
      <c r="D213">
        <v>0</v>
      </c>
      <c r="E213">
        <v>2</v>
      </c>
      <c r="F213" t="s">
        <v>212</v>
      </c>
      <c r="G213" s="9">
        <v>0.49</v>
      </c>
      <c r="H213" s="9">
        <v>0.51</v>
      </c>
      <c r="I213" s="70">
        <v>0.45833333333333331</v>
      </c>
      <c r="J213">
        <v>2020</v>
      </c>
      <c r="K213">
        <v>9</v>
      </c>
      <c r="L213">
        <v>28</v>
      </c>
      <c r="M213" s="27">
        <f>IFERROR(DATE(Meczusie[[#This Row],[Rok]],Meczusie[[#This Row],[Miesiąc]],Meczusie[[#This Row],[Dzień]]),"")</f>
        <v>44102</v>
      </c>
      <c r="N213">
        <f t="shared" si="1"/>
        <v>84</v>
      </c>
    </row>
    <row r="214" spans="1:14" x14ac:dyDescent="0.25">
      <c r="A214">
        <v>213</v>
      </c>
      <c r="B214" t="s">
        <v>523</v>
      </c>
      <c r="C214" t="s">
        <v>527</v>
      </c>
      <c r="D214">
        <v>3</v>
      </c>
      <c r="E214">
        <v>0</v>
      </c>
      <c r="F214" t="s">
        <v>212</v>
      </c>
      <c r="G214" s="9">
        <v>0.45</v>
      </c>
      <c r="H214" s="9">
        <v>0.55000000000000004</v>
      </c>
      <c r="I214" s="70">
        <v>0.5</v>
      </c>
      <c r="J214">
        <v>2020</v>
      </c>
      <c r="K214">
        <v>9</v>
      </c>
      <c r="L214">
        <v>28</v>
      </c>
      <c r="M214" s="27">
        <f>IFERROR(DATE(Meczusie[[#This Row],[Rok]],Meczusie[[#This Row],[Miesiąc]],Meczusie[[#This Row],[Dzień]]),"")</f>
        <v>44102</v>
      </c>
      <c r="N214">
        <f t="shared" si="1"/>
        <v>84</v>
      </c>
    </row>
    <row r="215" spans="1:14" x14ac:dyDescent="0.25">
      <c r="A215">
        <v>214</v>
      </c>
      <c r="B215" t="s">
        <v>213</v>
      </c>
      <c r="C215" t="s">
        <v>212</v>
      </c>
      <c r="D215">
        <v>2</v>
      </c>
      <c r="E215">
        <v>1</v>
      </c>
      <c r="F215" t="s">
        <v>357</v>
      </c>
      <c r="G215" s="9">
        <v>0.48</v>
      </c>
      <c r="H215" s="9">
        <v>0.52</v>
      </c>
      <c r="I215" s="70">
        <v>0.79166666666666663</v>
      </c>
      <c r="J215">
        <v>2020</v>
      </c>
      <c r="K215">
        <v>9</v>
      </c>
      <c r="L215">
        <v>28</v>
      </c>
      <c r="M215" s="27">
        <f>IFERROR(DATE(Meczusie[[#This Row],[Rok]],Meczusie[[#This Row],[Miesiąc]],Meczusie[[#This Row],[Dzień]]),"")</f>
        <v>44102</v>
      </c>
      <c r="N215">
        <f t="shared" si="1"/>
        <v>84</v>
      </c>
    </row>
    <row r="216" spans="1:14" x14ac:dyDescent="0.25">
      <c r="A216">
        <v>215</v>
      </c>
      <c r="B216" t="s">
        <v>213</v>
      </c>
      <c r="C216" t="s">
        <v>212</v>
      </c>
      <c r="D216">
        <v>5</v>
      </c>
      <c r="E216">
        <v>0</v>
      </c>
      <c r="F216" t="s">
        <v>528</v>
      </c>
      <c r="G216" s="9">
        <v>0.56999999999999995</v>
      </c>
      <c r="H216" s="9">
        <v>0.43</v>
      </c>
      <c r="I216" s="70">
        <v>0.45833333333333331</v>
      </c>
      <c r="J216">
        <v>2020</v>
      </c>
      <c r="K216">
        <v>9</v>
      </c>
      <c r="L216">
        <v>29</v>
      </c>
      <c r="M216" s="27">
        <f>IFERROR(DATE(Meczusie[[#This Row],[Rok]],Meczusie[[#This Row],[Miesiąc]],Meczusie[[#This Row],[Dzień]]),"")</f>
        <v>44103</v>
      </c>
      <c r="N216">
        <f t="shared" si="1"/>
        <v>85</v>
      </c>
    </row>
    <row r="217" spans="1:14" x14ac:dyDescent="0.25">
      <c r="A217">
        <v>216</v>
      </c>
      <c r="B217" t="s">
        <v>213</v>
      </c>
      <c r="C217" t="s">
        <v>528</v>
      </c>
      <c r="D217">
        <v>1</v>
      </c>
      <c r="E217">
        <v>5</v>
      </c>
      <c r="F217" t="s">
        <v>212</v>
      </c>
      <c r="G217" s="9">
        <v>0.37</v>
      </c>
      <c r="H217" s="9">
        <v>0.63</v>
      </c>
      <c r="I217" s="70">
        <v>0.79166666666666663</v>
      </c>
      <c r="J217">
        <v>2020</v>
      </c>
      <c r="K217">
        <v>9</v>
      </c>
      <c r="L217">
        <v>29</v>
      </c>
      <c r="M217" s="27">
        <f>IFERROR(DATE(Meczusie[[#This Row],[Rok]],Meczusie[[#This Row],[Miesiąc]],Meczusie[[#This Row],[Dzień]]),"")</f>
        <v>44103</v>
      </c>
      <c r="N217">
        <f t="shared" si="1"/>
        <v>85</v>
      </c>
    </row>
    <row r="218" spans="1:14" x14ac:dyDescent="0.25">
      <c r="A218">
        <v>217</v>
      </c>
      <c r="B218" t="s">
        <v>213</v>
      </c>
      <c r="C218" t="s">
        <v>212</v>
      </c>
      <c r="D218">
        <v>0</v>
      </c>
      <c r="E218">
        <v>2</v>
      </c>
      <c r="F218" t="s">
        <v>529</v>
      </c>
      <c r="G218" s="9">
        <v>0.43</v>
      </c>
      <c r="H218" s="9">
        <v>0.56999999999999995</v>
      </c>
      <c r="I218" s="70">
        <v>0.45833333333333331</v>
      </c>
      <c r="J218">
        <v>2020</v>
      </c>
      <c r="K218">
        <v>10</v>
      </c>
      <c r="L218">
        <v>1</v>
      </c>
      <c r="M218" s="27">
        <f>IFERROR(DATE(Meczusie[[#This Row],[Rok]],Meczusie[[#This Row],[Miesiąc]],Meczusie[[#This Row],[Dzień]]),"")</f>
        <v>44105</v>
      </c>
      <c r="N218">
        <f t="shared" si="1"/>
        <v>87</v>
      </c>
    </row>
    <row r="219" spans="1:14" x14ac:dyDescent="0.25">
      <c r="A219">
        <v>218</v>
      </c>
      <c r="B219" t="s">
        <v>213</v>
      </c>
      <c r="C219" t="s">
        <v>529</v>
      </c>
      <c r="D219">
        <v>1</v>
      </c>
      <c r="E219">
        <v>0</v>
      </c>
      <c r="F219" t="s">
        <v>212</v>
      </c>
      <c r="G219" s="9">
        <v>0.56000000000000005</v>
      </c>
      <c r="H219" s="9">
        <v>0.44</v>
      </c>
      <c r="I219" s="70">
        <v>0.79166666666666663</v>
      </c>
      <c r="J219">
        <v>2020</v>
      </c>
      <c r="K219">
        <v>10</v>
      </c>
      <c r="L219">
        <v>1</v>
      </c>
      <c r="M219" s="27">
        <f>IFERROR(DATE(Meczusie[[#This Row],[Rok]],Meczusie[[#This Row],[Miesiąc]],Meczusie[[#This Row],[Dzień]]),"")</f>
        <v>44105</v>
      </c>
      <c r="N219">
        <f t="shared" si="1"/>
        <v>87</v>
      </c>
    </row>
    <row r="220" spans="1:14" x14ac:dyDescent="0.25">
      <c r="A220">
        <v>219</v>
      </c>
      <c r="B220" t="s">
        <v>213</v>
      </c>
      <c r="C220" t="s">
        <v>357</v>
      </c>
      <c r="D220">
        <v>1</v>
      </c>
      <c r="E220">
        <v>1</v>
      </c>
      <c r="F220" t="s">
        <v>212</v>
      </c>
      <c r="G220" s="9">
        <v>0.48</v>
      </c>
      <c r="H220" s="9">
        <v>0.52</v>
      </c>
      <c r="I220" s="70">
        <v>0.45833333333333331</v>
      </c>
      <c r="J220">
        <v>2020</v>
      </c>
      <c r="K220">
        <v>10</v>
      </c>
      <c r="L220">
        <v>2</v>
      </c>
      <c r="M220" s="27">
        <f>IFERROR(DATE(Meczusie[[#This Row],[Rok]],Meczusie[[#This Row],[Miesiąc]],Meczusie[[#This Row],[Dzień]]),"")</f>
        <v>44106</v>
      </c>
      <c r="N220">
        <f t="shared" si="1"/>
        <v>88</v>
      </c>
    </row>
    <row r="221" spans="1:14" x14ac:dyDescent="0.25">
      <c r="A221">
        <v>220</v>
      </c>
      <c r="B221" t="s">
        <v>213</v>
      </c>
      <c r="C221" t="s">
        <v>212</v>
      </c>
      <c r="D221">
        <v>2</v>
      </c>
      <c r="E221">
        <v>1</v>
      </c>
      <c r="F221" t="s">
        <v>357</v>
      </c>
      <c r="G221" s="9">
        <v>0.48</v>
      </c>
      <c r="H221" s="9">
        <v>0.52</v>
      </c>
      <c r="I221" s="70">
        <v>0.79166666666666663</v>
      </c>
      <c r="J221">
        <v>2020</v>
      </c>
      <c r="K221">
        <v>10</v>
      </c>
      <c r="L221">
        <v>2</v>
      </c>
      <c r="M221" s="27">
        <f>IFERROR(DATE(Meczusie[[#This Row],[Rok]],Meczusie[[#This Row],[Miesiąc]],Meczusie[[#This Row],[Dzień]]),"")</f>
        <v>44106</v>
      </c>
      <c r="N221">
        <f t="shared" si="1"/>
        <v>88</v>
      </c>
    </row>
    <row r="222" spans="1:14" x14ac:dyDescent="0.25">
      <c r="A222">
        <v>221</v>
      </c>
      <c r="B222" t="s">
        <v>213</v>
      </c>
      <c r="C222" t="s">
        <v>212</v>
      </c>
      <c r="D222">
        <v>2</v>
      </c>
      <c r="E222">
        <v>2</v>
      </c>
      <c r="F222" t="s">
        <v>530</v>
      </c>
      <c r="G222" s="9">
        <v>0.56000000000000005</v>
      </c>
      <c r="H222" s="9">
        <v>0.44</v>
      </c>
      <c r="I222" s="70">
        <v>0.45833333333333331</v>
      </c>
      <c r="J222">
        <v>2020</v>
      </c>
      <c r="K222">
        <v>10</v>
      </c>
      <c r="L222">
        <v>3</v>
      </c>
      <c r="M222" s="27">
        <f>IFERROR(DATE(Meczusie[[#This Row],[Rok]],Meczusie[[#This Row],[Miesiąc]],Meczusie[[#This Row],[Dzień]]),"")</f>
        <v>44107</v>
      </c>
      <c r="N222">
        <f t="shared" si="1"/>
        <v>89</v>
      </c>
    </row>
    <row r="223" spans="1:14" x14ac:dyDescent="0.25">
      <c r="A223">
        <v>222</v>
      </c>
      <c r="B223" t="s">
        <v>213</v>
      </c>
      <c r="C223" t="s">
        <v>530</v>
      </c>
      <c r="D223">
        <v>1</v>
      </c>
      <c r="E223">
        <v>4</v>
      </c>
      <c r="F223" t="s">
        <v>212</v>
      </c>
      <c r="G223" s="9">
        <v>0.48</v>
      </c>
      <c r="H223" s="9">
        <v>0.52</v>
      </c>
      <c r="I223" s="70">
        <v>0.79166666666666663</v>
      </c>
      <c r="J223">
        <v>2020</v>
      </c>
      <c r="K223">
        <v>10</v>
      </c>
      <c r="L223">
        <v>3</v>
      </c>
      <c r="M223" s="27">
        <f>IFERROR(DATE(Meczusie[[#This Row],[Rok]],Meczusie[[#This Row],[Miesiąc]],Meczusie[[#This Row],[Dzień]]),"")</f>
        <v>44107</v>
      </c>
      <c r="N223">
        <f t="shared" si="1"/>
        <v>89</v>
      </c>
    </row>
    <row r="224" spans="1:14" x14ac:dyDescent="0.25">
      <c r="A224">
        <v>223</v>
      </c>
      <c r="B224" t="s">
        <v>213</v>
      </c>
      <c r="C224" t="s">
        <v>212</v>
      </c>
      <c r="D224">
        <v>1</v>
      </c>
      <c r="E224">
        <v>1</v>
      </c>
      <c r="F224" t="s">
        <v>357</v>
      </c>
      <c r="G224" s="9">
        <v>0.52</v>
      </c>
      <c r="H224" s="9">
        <v>0.48</v>
      </c>
      <c r="I224" s="70">
        <v>0.45833333333333331</v>
      </c>
      <c r="J224">
        <v>2020</v>
      </c>
      <c r="K224">
        <v>10</v>
      </c>
      <c r="L224">
        <v>5</v>
      </c>
      <c r="M224" s="27">
        <f>IFERROR(DATE(Meczusie[[#This Row],[Rok]],Meczusie[[#This Row],[Miesiąc]],Meczusie[[#This Row],[Dzień]]),"")</f>
        <v>44109</v>
      </c>
      <c r="N224">
        <f t="shared" si="1"/>
        <v>91</v>
      </c>
    </row>
    <row r="225" spans="1:14" x14ac:dyDescent="0.25">
      <c r="A225">
        <v>224</v>
      </c>
      <c r="B225" t="s">
        <v>213</v>
      </c>
      <c r="C225" t="s">
        <v>357</v>
      </c>
      <c r="D225">
        <v>0</v>
      </c>
      <c r="E225">
        <v>6</v>
      </c>
      <c r="F225" t="s">
        <v>212</v>
      </c>
      <c r="G225" s="9">
        <v>0.48</v>
      </c>
      <c r="H225" s="9">
        <v>0.52</v>
      </c>
      <c r="I225" s="70">
        <v>0.79166666666666663</v>
      </c>
      <c r="J225">
        <v>2020</v>
      </c>
      <c r="K225">
        <v>10</v>
      </c>
      <c r="L225">
        <v>5</v>
      </c>
      <c r="M225" s="27">
        <f>IFERROR(DATE(Meczusie[[#This Row],[Rok]],Meczusie[[#This Row],[Miesiąc]],Meczusie[[#This Row],[Dzień]]),"")</f>
        <v>44109</v>
      </c>
      <c r="N225">
        <f t="shared" si="1"/>
        <v>91</v>
      </c>
    </row>
  </sheetData>
  <phoneticPr fontId="3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DAACF-8E7A-4EE5-9AE6-8C6FAF320771}">
  <dimension ref="A1:O209"/>
  <sheetViews>
    <sheetView workbookViewId="0"/>
  </sheetViews>
  <sheetFormatPr defaultRowHeight="15" x14ac:dyDescent="0.25"/>
  <cols>
    <col min="14" max="14" width="14.85546875" customWidth="1"/>
  </cols>
  <sheetData>
    <row r="1" spans="1:15" x14ac:dyDescent="0.25">
      <c r="A1" t="s">
        <v>396</v>
      </c>
      <c r="N1" s="98" t="s">
        <v>169</v>
      </c>
      <c r="O1" s="100">
        <v>1</v>
      </c>
    </row>
    <row r="2" spans="1:15" x14ac:dyDescent="0.25">
      <c r="A2" s="86">
        <v>1</v>
      </c>
      <c r="B2" s="41" t="s">
        <v>40</v>
      </c>
      <c r="G2" t="s">
        <v>67</v>
      </c>
      <c r="H2" t="s">
        <v>420</v>
      </c>
      <c r="N2" s="99" t="s">
        <v>211</v>
      </c>
      <c r="O2" s="101">
        <v>1</v>
      </c>
    </row>
    <row r="3" spans="1:15" x14ac:dyDescent="0.25">
      <c r="A3" s="87">
        <v>101</v>
      </c>
      <c r="B3" s="41" t="s">
        <v>47</v>
      </c>
      <c r="G3" t="s">
        <v>421</v>
      </c>
      <c r="H3" t="s">
        <v>422</v>
      </c>
      <c r="N3" s="98" t="s">
        <v>158</v>
      </c>
      <c r="O3" s="100">
        <v>1</v>
      </c>
    </row>
    <row r="4" spans="1:15" x14ac:dyDescent="0.25">
      <c r="A4" s="86">
        <v>11</v>
      </c>
      <c r="B4" s="41" t="s">
        <v>168</v>
      </c>
      <c r="N4" s="99" t="s">
        <v>156</v>
      </c>
      <c r="O4" s="101">
        <v>1</v>
      </c>
    </row>
    <row r="5" spans="1:15" x14ac:dyDescent="0.25">
      <c r="A5" s="87">
        <v>2</v>
      </c>
      <c r="B5" s="41" t="s">
        <v>167</v>
      </c>
      <c r="N5" s="98" t="s">
        <v>161</v>
      </c>
      <c r="O5" s="100">
        <v>1</v>
      </c>
    </row>
    <row r="6" spans="1:15" x14ac:dyDescent="0.25">
      <c r="A6" s="86">
        <v>7</v>
      </c>
      <c r="B6" s="41" t="s">
        <v>41</v>
      </c>
      <c r="N6" s="99" t="s">
        <v>162</v>
      </c>
      <c r="O6" s="101">
        <v>1</v>
      </c>
    </row>
    <row r="7" spans="1:15" x14ac:dyDescent="0.25">
      <c r="A7" s="87">
        <v>10</v>
      </c>
      <c r="B7" s="41" t="s">
        <v>318</v>
      </c>
      <c r="C7" t="s">
        <v>399</v>
      </c>
      <c r="D7" t="s">
        <v>400</v>
      </c>
      <c r="E7" t="s">
        <v>401</v>
      </c>
      <c r="N7" s="98" t="s">
        <v>159</v>
      </c>
      <c r="O7" s="100">
        <v>1</v>
      </c>
    </row>
    <row r="8" spans="1:15" x14ac:dyDescent="0.25">
      <c r="A8" s="86">
        <v>3</v>
      </c>
      <c r="B8" s="41" t="s">
        <v>319</v>
      </c>
      <c r="C8" t="s">
        <v>399</v>
      </c>
      <c r="D8" t="s">
        <v>400</v>
      </c>
      <c r="E8" t="s">
        <v>402</v>
      </c>
      <c r="N8" s="99" t="s">
        <v>170</v>
      </c>
      <c r="O8" s="101">
        <v>1</v>
      </c>
    </row>
    <row r="9" spans="1:15" x14ac:dyDescent="0.25">
      <c r="A9" s="87">
        <v>8</v>
      </c>
      <c r="B9" s="41" t="s">
        <v>44</v>
      </c>
      <c r="N9" s="98" t="s">
        <v>164</v>
      </c>
      <c r="O9" s="100">
        <v>1</v>
      </c>
    </row>
    <row r="10" spans="1:15" x14ac:dyDescent="0.25">
      <c r="A10" s="86">
        <v>6</v>
      </c>
      <c r="B10" s="41" t="s">
        <v>232</v>
      </c>
      <c r="N10" s="99" t="s">
        <v>166</v>
      </c>
      <c r="O10" s="101">
        <v>1</v>
      </c>
    </row>
    <row r="11" spans="1:15" x14ac:dyDescent="0.25">
      <c r="A11" s="87">
        <v>5</v>
      </c>
      <c r="B11" s="41" t="s">
        <v>46</v>
      </c>
      <c r="N11" s="98" t="s">
        <v>163</v>
      </c>
      <c r="O11" s="100">
        <v>1</v>
      </c>
    </row>
    <row r="12" spans="1:15" x14ac:dyDescent="0.25">
      <c r="A12" s="86">
        <v>100</v>
      </c>
      <c r="B12" s="41" t="s">
        <v>46</v>
      </c>
      <c r="N12" s="99" t="s">
        <v>154</v>
      </c>
      <c r="O12" s="101">
        <v>1</v>
      </c>
    </row>
    <row r="13" spans="1:15" x14ac:dyDescent="0.25">
      <c r="A13" s="87">
        <v>20</v>
      </c>
      <c r="B13" s="41" t="s">
        <v>46</v>
      </c>
      <c r="N13" s="98" t="s">
        <v>220</v>
      </c>
      <c r="O13" s="100">
        <v>2</v>
      </c>
    </row>
    <row r="14" spans="1:15" x14ac:dyDescent="0.25">
      <c r="A14" t="s">
        <v>235</v>
      </c>
      <c r="N14" s="99" t="s">
        <v>221</v>
      </c>
      <c r="O14" s="101">
        <v>2</v>
      </c>
    </row>
    <row r="15" spans="1:15" x14ac:dyDescent="0.25">
      <c r="A15" s="87">
        <v>1</v>
      </c>
      <c r="B15" s="41" t="s">
        <v>40</v>
      </c>
      <c r="N15" s="98" t="s">
        <v>222</v>
      </c>
      <c r="O15" s="100">
        <v>2</v>
      </c>
    </row>
    <row r="16" spans="1:15" x14ac:dyDescent="0.25">
      <c r="A16" s="86">
        <v>4</v>
      </c>
      <c r="B16" s="41" t="s">
        <v>47</v>
      </c>
      <c r="N16" s="99" t="s">
        <v>223</v>
      </c>
      <c r="O16" s="101">
        <v>2</v>
      </c>
    </row>
    <row r="17" spans="1:15" x14ac:dyDescent="0.25">
      <c r="A17" s="87">
        <v>15</v>
      </c>
      <c r="B17" s="41" t="s">
        <v>47</v>
      </c>
      <c r="N17" s="98" t="s">
        <v>224</v>
      </c>
      <c r="O17" s="100">
        <v>2</v>
      </c>
    </row>
    <row r="18" spans="1:15" x14ac:dyDescent="0.25">
      <c r="A18" s="86">
        <v>2</v>
      </c>
      <c r="B18" s="41" t="s">
        <v>175</v>
      </c>
      <c r="N18" s="99" t="s">
        <v>225</v>
      </c>
      <c r="O18" s="101">
        <v>2</v>
      </c>
    </row>
    <row r="19" spans="1:15" x14ac:dyDescent="0.25">
      <c r="A19" s="87">
        <v>6</v>
      </c>
      <c r="B19" s="41" t="s">
        <v>174</v>
      </c>
      <c r="N19" s="98" t="s">
        <v>226</v>
      </c>
      <c r="O19" s="100">
        <v>2</v>
      </c>
    </row>
    <row r="20" spans="1:15" x14ac:dyDescent="0.25">
      <c r="A20" s="86">
        <v>5</v>
      </c>
      <c r="B20" s="41" t="s">
        <v>67</v>
      </c>
      <c r="N20" s="99" t="s">
        <v>227</v>
      </c>
      <c r="O20" s="101">
        <v>2</v>
      </c>
    </row>
    <row r="21" spans="1:15" x14ac:dyDescent="0.25">
      <c r="A21" s="87">
        <v>8</v>
      </c>
      <c r="B21" s="41" t="s">
        <v>318</v>
      </c>
      <c r="N21" s="98" t="s">
        <v>228</v>
      </c>
      <c r="O21" s="100">
        <v>2</v>
      </c>
    </row>
    <row r="22" spans="1:15" x14ac:dyDescent="0.25">
      <c r="A22" s="86">
        <v>9</v>
      </c>
      <c r="B22" s="41" t="s">
        <v>171</v>
      </c>
      <c r="N22" s="99" t="s">
        <v>229</v>
      </c>
      <c r="O22" s="101">
        <v>2</v>
      </c>
    </row>
    <row r="23" spans="1:15" x14ac:dyDescent="0.25">
      <c r="A23" s="87">
        <v>10</v>
      </c>
      <c r="B23" s="41" t="s">
        <v>46</v>
      </c>
      <c r="N23" s="98" t="s">
        <v>230</v>
      </c>
      <c r="O23" s="100">
        <v>2</v>
      </c>
    </row>
    <row r="24" spans="1:15" x14ac:dyDescent="0.25">
      <c r="A24" s="86">
        <v>14</v>
      </c>
      <c r="B24" s="41" t="s">
        <v>46</v>
      </c>
      <c r="N24" s="99" t="s">
        <v>231</v>
      </c>
      <c r="O24" s="101">
        <v>2</v>
      </c>
    </row>
    <row r="25" spans="1:15" x14ac:dyDescent="0.25">
      <c r="A25" s="87">
        <v>11</v>
      </c>
      <c r="B25" s="41" t="s">
        <v>46</v>
      </c>
      <c r="N25" s="98" t="s">
        <v>236</v>
      </c>
      <c r="O25" s="100">
        <v>10</v>
      </c>
    </row>
    <row r="26" spans="1:15" x14ac:dyDescent="0.25">
      <c r="A26" t="s">
        <v>259</v>
      </c>
      <c r="N26" s="99" t="s">
        <v>237</v>
      </c>
      <c r="O26" s="101">
        <v>10</v>
      </c>
    </row>
    <row r="27" spans="1:15" x14ac:dyDescent="0.25">
      <c r="A27" s="87">
        <v>1</v>
      </c>
      <c r="B27" s="41" t="s">
        <v>40</v>
      </c>
      <c r="N27" s="98" t="s">
        <v>238</v>
      </c>
      <c r="O27" s="100">
        <v>10</v>
      </c>
    </row>
    <row r="28" spans="1:15" x14ac:dyDescent="0.25">
      <c r="A28" s="86">
        <v>13</v>
      </c>
      <c r="B28" s="41" t="s">
        <v>175</v>
      </c>
      <c r="N28" s="99" t="s">
        <v>239</v>
      </c>
      <c r="O28" s="101">
        <v>10</v>
      </c>
    </row>
    <row r="29" spans="1:15" x14ac:dyDescent="0.25">
      <c r="A29" s="87">
        <v>6</v>
      </c>
      <c r="B29" s="41" t="s">
        <v>47</v>
      </c>
      <c r="N29" s="98" t="s">
        <v>240</v>
      </c>
      <c r="O29" s="100">
        <v>10</v>
      </c>
    </row>
    <row r="30" spans="1:15" x14ac:dyDescent="0.25">
      <c r="A30" s="86">
        <v>4</v>
      </c>
      <c r="B30" s="41" t="s">
        <v>174</v>
      </c>
      <c r="N30" s="99" t="s">
        <v>241</v>
      </c>
      <c r="O30" s="101">
        <v>10</v>
      </c>
    </row>
    <row r="31" spans="1:15" x14ac:dyDescent="0.25">
      <c r="A31" s="87">
        <v>2</v>
      </c>
      <c r="B31" s="41" t="s">
        <v>47</v>
      </c>
      <c r="N31" s="98" t="s">
        <v>242</v>
      </c>
      <c r="O31" s="100">
        <v>10</v>
      </c>
    </row>
    <row r="32" spans="1:15" x14ac:dyDescent="0.25">
      <c r="A32" s="86">
        <v>9</v>
      </c>
      <c r="B32" s="41" t="s">
        <v>67</v>
      </c>
      <c r="N32" s="99" t="s">
        <v>243</v>
      </c>
      <c r="O32" s="101">
        <v>10</v>
      </c>
    </row>
    <row r="33" spans="1:15" x14ac:dyDescent="0.25">
      <c r="A33" s="87">
        <v>5</v>
      </c>
      <c r="B33" s="41" t="s">
        <v>67</v>
      </c>
      <c r="N33" s="98" t="s">
        <v>244</v>
      </c>
      <c r="O33" s="100">
        <v>10</v>
      </c>
    </row>
    <row r="34" spans="1:15" x14ac:dyDescent="0.25">
      <c r="A34" s="86">
        <v>3</v>
      </c>
      <c r="B34" s="41" t="s">
        <v>44</v>
      </c>
      <c r="N34" s="99" t="s">
        <v>245</v>
      </c>
      <c r="O34" s="101">
        <v>10</v>
      </c>
    </row>
    <row r="35" spans="1:15" x14ac:dyDescent="0.25">
      <c r="A35" s="87">
        <v>8</v>
      </c>
      <c r="B35" s="41" t="s">
        <v>272</v>
      </c>
      <c r="N35" s="98" t="s">
        <v>246</v>
      </c>
      <c r="O35" s="100">
        <v>10</v>
      </c>
    </row>
    <row r="36" spans="1:15" x14ac:dyDescent="0.25">
      <c r="A36" s="86">
        <v>11</v>
      </c>
      <c r="B36" s="41" t="s">
        <v>273</v>
      </c>
      <c r="N36" s="98" t="s">
        <v>247</v>
      </c>
      <c r="O36" s="100">
        <v>6</v>
      </c>
    </row>
    <row r="37" spans="1:15" x14ac:dyDescent="0.25">
      <c r="A37" s="87">
        <v>10</v>
      </c>
      <c r="B37" s="41" t="s">
        <v>46</v>
      </c>
      <c r="N37" s="99" t="s">
        <v>248</v>
      </c>
      <c r="O37" s="101">
        <v>6</v>
      </c>
    </row>
    <row r="38" spans="1:15" x14ac:dyDescent="0.25">
      <c r="A38" t="s">
        <v>260</v>
      </c>
      <c r="N38" s="98" t="s">
        <v>249</v>
      </c>
      <c r="O38" s="100">
        <v>6</v>
      </c>
    </row>
    <row r="39" spans="1:15" x14ac:dyDescent="0.25">
      <c r="A39" s="86">
        <v>1</v>
      </c>
      <c r="B39" s="41" t="s">
        <v>40</v>
      </c>
      <c r="N39" s="99" t="s">
        <v>250</v>
      </c>
      <c r="O39" s="101">
        <v>6</v>
      </c>
    </row>
    <row r="40" spans="1:15" x14ac:dyDescent="0.25">
      <c r="A40" s="87">
        <v>9</v>
      </c>
      <c r="B40" s="41" t="s">
        <v>47</v>
      </c>
      <c r="N40" s="98" t="s">
        <v>251</v>
      </c>
      <c r="O40" s="100">
        <v>6</v>
      </c>
    </row>
    <row r="41" spans="1:15" x14ac:dyDescent="0.25">
      <c r="A41" s="86">
        <v>4</v>
      </c>
      <c r="B41" s="41" t="s">
        <v>168</v>
      </c>
      <c r="N41" s="99" t="s">
        <v>252</v>
      </c>
      <c r="O41" s="101">
        <v>6</v>
      </c>
    </row>
    <row r="42" spans="1:15" x14ac:dyDescent="0.25">
      <c r="A42" s="87">
        <v>5</v>
      </c>
      <c r="B42" s="41" t="s">
        <v>167</v>
      </c>
      <c r="N42" s="98" t="s">
        <v>253</v>
      </c>
      <c r="O42" s="100">
        <v>6</v>
      </c>
    </row>
    <row r="43" spans="1:15" x14ac:dyDescent="0.25">
      <c r="A43" s="86">
        <v>12</v>
      </c>
      <c r="B43" s="41" t="s">
        <v>41</v>
      </c>
      <c r="N43" s="99" t="s">
        <v>254</v>
      </c>
      <c r="O43" s="101">
        <v>6</v>
      </c>
    </row>
    <row r="44" spans="1:15" x14ac:dyDescent="0.25">
      <c r="A44" s="87">
        <v>7</v>
      </c>
      <c r="B44" s="41" t="s">
        <v>41</v>
      </c>
      <c r="N44" s="98" t="s">
        <v>255</v>
      </c>
      <c r="O44" s="100">
        <v>6</v>
      </c>
    </row>
    <row r="45" spans="1:15" x14ac:dyDescent="0.25">
      <c r="A45" s="86">
        <v>6</v>
      </c>
      <c r="B45" s="41" t="s">
        <v>67</v>
      </c>
      <c r="N45" s="99" t="s">
        <v>256</v>
      </c>
      <c r="O45" s="101">
        <v>6</v>
      </c>
    </row>
    <row r="46" spans="1:15" x14ac:dyDescent="0.25">
      <c r="A46" s="87">
        <v>14</v>
      </c>
      <c r="B46" s="41" t="s">
        <v>171</v>
      </c>
      <c r="N46" s="98" t="s">
        <v>257</v>
      </c>
      <c r="O46" s="100">
        <v>6</v>
      </c>
    </row>
    <row r="47" spans="1:15" x14ac:dyDescent="0.25">
      <c r="A47" s="86">
        <v>11</v>
      </c>
      <c r="B47" s="41" t="s">
        <v>46</v>
      </c>
      <c r="N47" s="99" t="s">
        <v>258</v>
      </c>
      <c r="O47" s="101">
        <v>6</v>
      </c>
    </row>
    <row r="48" spans="1:15" x14ac:dyDescent="0.25">
      <c r="A48" s="87">
        <v>8</v>
      </c>
      <c r="B48" s="41" t="s">
        <v>273</v>
      </c>
      <c r="N48" s="98" t="s">
        <v>261</v>
      </c>
      <c r="O48" s="100">
        <v>3</v>
      </c>
    </row>
    <row r="49" spans="1:15" x14ac:dyDescent="0.25">
      <c r="A49" s="86">
        <v>10</v>
      </c>
      <c r="B49" s="41" t="s">
        <v>46</v>
      </c>
      <c r="N49" s="99" t="s">
        <v>262</v>
      </c>
      <c r="O49" s="101">
        <v>3</v>
      </c>
    </row>
    <row r="50" spans="1:15" x14ac:dyDescent="0.25">
      <c r="A50" t="s">
        <v>397</v>
      </c>
      <c r="N50" s="98" t="s">
        <v>263</v>
      </c>
      <c r="O50" s="100">
        <v>3</v>
      </c>
    </row>
    <row r="51" spans="1:15" x14ac:dyDescent="0.25">
      <c r="A51" s="86">
        <v>1</v>
      </c>
      <c r="B51" s="41" t="s">
        <v>40</v>
      </c>
      <c r="N51" s="99" t="s">
        <v>264</v>
      </c>
      <c r="O51" s="101">
        <v>3</v>
      </c>
    </row>
    <row r="52" spans="1:15" x14ac:dyDescent="0.25">
      <c r="A52" s="87">
        <v>4</v>
      </c>
      <c r="B52" s="41" t="s">
        <v>168</v>
      </c>
      <c r="N52" s="98" t="s">
        <v>265</v>
      </c>
      <c r="O52" s="100">
        <v>3</v>
      </c>
    </row>
    <row r="53" spans="1:15" x14ac:dyDescent="0.25">
      <c r="A53" s="86">
        <v>2</v>
      </c>
      <c r="B53" s="41" t="s">
        <v>47</v>
      </c>
      <c r="N53" s="99" t="s">
        <v>266</v>
      </c>
      <c r="O53" s="101">
        <v>3</v>
      </c>
    </row>
    <row r="54" spans="1:15" x14ac:dyDescent="0.25">
      <c r="A54" s="87">
        <v>5</v>
      </c>
      <c r="B54" s="41" t="s">
        <v>167</v>
      </c>
      <c r="N54" s="98" t="s">
        <v>267</v>
      </c>
      <c r="O54" s="100">
        <v>3</v>
      </c>
    </row>
    <row r="55" spans="1:15" x14ac:dyDescent="0.25">
      <c r="A55" s="86">
        <v>3</v>
      </c>
      <c r="B55" s="41" t="s">
        <v>173</v>
      </c>
      <c r="N55" s="99" t="s">
        <v>268</v>
      </c>
      <c r="O55" s="101">
        <v>3</v>
      </c>
    </row>
    <row r="56" spans="1:15" x14ac:dyDescent="0.25">
      <c r="A56" s="87">
        <v>14</v>
      </c>
      <c r="B56" s="41" t="s">
        <v>172</v>
      </c>
      <c r="N56" s="98" t="s">
        <v>269</v>
      </c>
      <c r="O56" s="100">
        <v>3</v>
      </c>
    </row>
    <row r="57" spans="1:15" x14ac:dyDescent="0.25">
      <c r="A57" s="86">
        <v>8</v>
      </c>
      <c r="B57" s="41" t="s">
        <v>67</v>
      </c>
      <c r="N57" s="99" t="s">
        <v>270</v>
      </c>
      <c r="O57" s="101">
        <v>3</v>
      </c>
    </row>
    <row r="58" spans="1:15" x14ac:dyDescent="0.25">
      <c r="A58" s="87">
        <v>13</v>
      </c>
      <c r="B58" s="41" t="s">
        <v>171</v>
      </c>
      <c r="N58" s="98" t="s">
        <v>271</v>
      </c>
      <c r="O58" s="100">
        <v>3</v>
      </c>
    </row>
    <row r="59" spans="1:15" x14ac:dyDescent="0.25">
      <c r="A59" s="86">
        <v>9</v>
      </c>
      <c r="B59" s="41" t="s">
        <v>299</v>
      </c>
      <c r="N59" s="99" t="s">
        <v>274</v>
      </c>
      <c r="O59" s="101">
        <v>4</v>
      </c>
    </row>
    <row r="60" spans="1:15" x14ac:dyDescent="0.25">
      <c r="A60" s="87">
        <v>6</v>
      </c>
      <c r="B60" s="41" t="s">
        <v>46</v>
      </c>
      <c r="N60" s="98" t="s">
        <v>275</v>
      </c>
      <c r="O60" s="100">
        <v>4</v>
      </c>
    </row>
    <row r="61" spans="1:15" x14ac:dyDescent="0.25">
      <c r="A61" s="86">
        <v>10</v>
      </c>
      <c r="B61" s="41" t="s">
        <v>46</v>
      </c>
      <c r="N61" s="99" t="s">
        <v>276</v>
      </c>
      <c r="O61" s="101">
        <v>4</v>
      </c>
    </row>
    <row r="62" spans="1:15" x14ac:dyDescent="0.25">
      <c r="A62" t="s">
        <v>302</v>
      </c>
      <c r="N62" s="98" t="s">
        <v>277</v>
      </c>
      <c r="O62" s="100">
        <v>4</v>
      </c>
    </row>
    <row r="63" spans="1:15" x14ac:dyDescent="0.25">
      <c r="A63" s="87">
        <v>1</v>
      </c>
      <c r="B63" s="41" t="s">
        <v>40</v>
      </c>
      <c r="N63" s="99" t="s">
        <v>278</v>
      </c>
      <c r="O63" s="101">
        <v>4</v>
      </c>
    </row>
    <row r="64" spans="1:15" x14ac:dyDescent="0.25">
      <c r="A64" s="86">
        <v>5</v>
      </c>
      <c r="B64" s="41" t="s">
        <v>47</v>
      </c>
      <c r="N64" s="98" t="s">
        <v>279</v>
      </c>
      <c r="O64" s="100">
        <v>4</v>
      </c>
    </row>
    <row r="65" spans="1:15" x14ac:dyDescent="0.25">
      <c r="A65" s="87">
        <v>23</v>
      </c>
      <c r="B65" s="41" t="s">
        <v>168</v>
      </c>
      <c r="N65" s="99" t="s">
        <v>280</v>
      </c>
      <c r="O65" s="101">
        <v>4</v>
      </c>
    </row>
    <row r="66" spans="1:15" x14ac:dyDescent="0.25">
      <c r="A66" s="86">
        <v>2</v>
      </c>
      <c r="B66" s="41" t="s">
        <v>167</v>
      </c>
      <c r="N66" s="98" t="s">
        <v>281</v>
      </c>
      <c r="O66" s="100">
        <v>4</v>
      </c>
    </row>
    <row r="67" spans="1:15" x14ac:dyDescent="0.25">
      <c r="A67" s="87">
        <v>6</v>
      </c>
      <c r="B67" s="41" t="s">
        <v>41</v>
      </c>
      <c r="N67" s="99" t="s">
        <v>282</v>
      </c>
      <c r="O67" s="101">
        <v>4</v>
      </c>
    </row>
    <row r="68" spans="1:15" x14ac:dyDescent="0.25">
      <c r="A68" s="86">
        <v>16</v>
      </c>
      <c r="B68" s="41" t="s">
        <v>172</v>
      </c>
      <c r="N68" s="98" t="s">
        <v>283</v>
      </c>
      <c r="O68" s="100">
        <v>4</v>
      </c>
    </row>
    <row r="69" spans="1:15" x14ac:dyDescent="0.25">
      <c r="A69" s="87">
        <v>15</v>
      </c>
      <c r="B69" s="41" t="s">
        <v>319</v>
      </c>
      <c r="N69" s="99" t="s">
        <v>284</v>
      </c>
      <c r="O69" s="101">
        <v>4</v>
      </c>
    </row>
    <row r="70" spans="1:15" x14ac:dyDescent="0.25">
      <c r="A70" s="86">
        <v>7</v>
      </c>
      <c r="B70" s="41" t="s">
        <v>44</v>
      </c>
      <c r="N70" s="98" t="s">
        <v>285</v>
      </c>
      <c r="O70" s="100">
        <v>4</v>
      </c>
    </row>
    <row r="71" spans="1:15" x14ac:dyDescent="0.25">
      <c r="A71" s="87">
        <v>14</v>
      </c>
      <c r="B71" s="41" t="s">
        <v>273</v>
      </c>
      <c r="N71" s="99" t="s">
        <v>286</v>
      </c>
      <c r="O71" s="101">
        <v>4</v>
      </c>
    </row>
    <row r="72" spans="1:15" x14ac:dyDescent="0.25">
      <c r="A72" s="86">
        <v>13</v>
      </c>
      <c r="B72" s="41" t="s">
        <v>272</v>
      </c>
      <c r="N72" s="98" t="s">
        <v>287</v>
      </c>
      <c r="O72" s="100">
        <v>4</v>
      </c>
    </row>
    <row r="73" spans="1:15" x14ac:dyDescent="0.25">
      <c r="A73" s="87">
        <v>8</v>
      </c>
      <c r="B73" s="41" t="s">
        <v>46</v>
      </c>
      <c r="N73" s="99" t="s">
        <v>288</v>
      </c>
      <c r="O73" s="101">
        <v>9</v>
      </c>
    </row>
    <row r="74" spans="1:15" x14ac:dyDescent="0.25">
      <c r="A74" t="s">
        <v>303</v>
      </c>
      <c r="N74" s="98" t="s">
        <v>289</v>
      </c>
      <c r="O74" s="100">
        <v>9</v>
      </c>
    </row>
    <row r="75" spans="1:15" x14ac:dyDescent="0.25">
      <c r="A75" s="87">
        <v>1</v>
      </c>
      <c r="B75" s="41" t="s">
        <v>40</v>
      </c>
      <c r="N75" s="99" t="s">
        <v>290</v>
      </c>
      <c r="O75" s="101">
        <v>9</v>
      </c>
    </row>
    <row r="76" spans="1:15" x14ac:dyDescent="0.25">
      <c r="A76" s="86">
        <v>4</v>
      </c>
      <c r="B76" s="41" t="s">
        <v>47</v>
      </c>
      <c r="N76" s="98" t="s">
        <v>291</v>
      </c>
      <c r="O76" s="100">
        <v>9</v>
      </c>
    </row>
    <row r="77" spans="1:15" x14ac:dyDescent="0.25">
      <c r="A77" s="87">
        <v>15</v>
      </c>
      <c r="B77" s="41" t="s">
        <v>47</v>
      </c>
      <c r="N77" s="99" t="s">
        <v>292</v>
      </c>
      <c r="O77" s="101">
        <v>9</v>
      </c>
    </row>
    <row r="78" spans="1:15" x14ac:dyDescent="0.25">
      <c r="A78" s="86">
        <v>2</v>
      </c>
      <c r="B78" s="41" t="s">
        <v>175</v>
      </c>
      <c r="N78" s="98" t="s">
        <v>293</v>
      </c>
      <c r="O78" s="100">
        <v>9</v>
      </c>
    </row>
    <row r="79" spans="1:15" x14ac:dyDescent="0.25">
      <c r="A79" s="87">
        <v>6</v>
      </c>
      <c r="B79" s="41" t="s">
        <v>174</v>
      </c>
      <c r="N79" s="99" t="s">
        <v>294</v>
      </c>
      <c r="O79" s="101">
        <v>9</v>
      </c>
    </row>
    <row r="80" spans="1:15" x14ac:dyDescent="0.25">
      <c r="A80" s="86">
        <v>5</v>
      </c>
      <c r="B80" s="41" t="s">
        <v>41</v>
      </c>
      <c r="N80" s="98" t="s">
        <v>295</v>
      </c>
      <c r="O80" s="100">
        <v>9</v>
      </c>
    </row>
    <row r="81" spans="1:15" x14ac:dyDescent="0.25">
      <c r="A81" s="87">
        <v>8</v>
      </c>
      <c r="B81" s="41" t="s">
        <v>318</v>
      </c>
      <c r="N81" s="99" t="s">
        <v>296</v>
      </c>
      <c r="O81" s="101">
        <v>9</v>
      </c>
    </row>
    <row r="82" spans="1:15" x14ac:dyDescent="0.25">
      <c r="A82" s="86">
        <v>9</v>
      </c>
      <c r="B82" s="41" t="s">
        <v>44</v>
      </c>
      <c r="C82" t="s">
        <v>398</v>
      </c>
      <c r="N82" s="98" t="s">
        <v>297</v>
      </c>
      <c r="O82" s="100">
        <v>9</v>
      </c>
    </row>
    <row r="83" spans="1:15" x14ac:dyDescent="0.25">
      <c r="A83" s="87">
        <v>10</v>
      </c>
      <c r="B83" s="41" t="s">
        <v>46</v>
      </c>
      <c r="N83" s="99" t="s">
        <v>298</v>
      </c>
      <c r="O83" s="101">
        <v>9</v>
      </c>
    </row>
    <row r="84" spans="1:15" x14ac:dyDescent="0.25">
      <c r="A84" s="86">
        <v>14</v>
      </c>
      <c r="B84" s="41" t="s">
        <v>273</v>
      </c>
      <c r="N84" s="98" t="s">
        <v>304</v>
      </c>
      <c r="O84" s="100">
        <v>8</v>
      </c>
    </row>
    <row r="85" spans="1:15" x14ac:dyDescent="0.25">
      <c r="A85" s="87">
        <v>11</v>
      </c>
      <c r="B85" s="41" t="s">
        <v>272</v>
      </c>
      <c r="N85" s="99" t="s">
        <v>305</v>
      </c>
      <c r="O85" s="101">
        <v>8</v>
      </c>
    </row>
    <row r="86" spans="1:15" x14ac:dyDescent="0.25">
      <c r="A86" t="s">
        <v>331</v>
      </c>
      <c r="N86" s="98" t="s">
        <v>306</v>
      </c>
      <c r="O86" s="100">
        <v>8</v>
      </c>
    </row>
    <row r="87" spans="1:15" x14ac:dyDescent="0.25">
      <c r="A87" s="86">
        <v>110</v>
      </c>
      <c r="B87" s="41" t="s">
        <v>40</v>
      </c>
      <c r="N87" s="99" t="s">
        <v>307</v>
      </c>
      <c r="O87" s="101">
        <v>8</v>
      </c>
    </row>
    <row r="88" spans="1:15" x14ac:dyDescent="0.25">
      <c r="A88" s="87">
        <v>204</v>
      </c>
      <c r="B88" s="41" t="s">
        <v>47</v>
      </c>
      <c r="N88" s="98" t="s">
        <v>308</v>
      </c>
      <c r="O88" s="100">
        <v>8</v>
      </c>
    </row>
    <row r="89" spans="1:15" x14ac:dyDescent="0.25">
      <c r="A89" s="86">
        <v>150</v>
      </c>
      <c r="B89" s="41" t="s">
        <v>167</v>
      </c>
      <c r="N89" s="99" t="s">
        <v>309</v>
      </c>
      <c r="O89" s="101">
        <v>8</v>
      </c>
    </row>
    <row r="90" spans="1:15" x14ac:dyDescent="0.25">
      <c r="A90" s="87">
        <v>76</v>
      </c>
      <c r="B90" s="41" t="s">
        <v>168</v>
      </c>
      <c r="N90" s="98" t="s">
        <v>310</v>
      </c>
      <c r="O90" s="100">
        <v>8</v>
      </c>
    </row>
    <row r="91" spans="1:15" x14ac:dyDescent="0.25">
      <c r="A91" s="86">
        <v>151</v>
      </c>
      <c r="B91" s="41" t="s">
        <v>41</v>
      </c>
      <c r="N91" s="99" t="s">
        <v>311</v>
      </c>
      <c r="O91" s="101">
        <v>8</v>
      </c>
    </row>
    <row r="92" spans="1:15" x14ac:dyDescent="0.25">
      <c r="A92" s="87">
        <v>159</v>
      </c>
      <c r="B92" s="41" t="s">
        <v>41</v>
      </c>
      <c r="N92" s="98" t="s">
        <v>312</v>
      </c>
      <c r="O92" s="100">
        <v>8</v>
      </c>
    </row>
    <row r="93" spans="1:15" x14ac:dyDescent="0.25">
      <c r="A93" s="86">
        <v>200</v>
      </c>
      <c r="B93" s="41" t="s">
        <v>67</v>
      </c>
      <c r="N93" s="99" t="s">
        <v>313</v>
      </c>
      <c r="O93" s="101">
        <v>8</v>
      </c>
    </row>
    <row r="94" spans="1:15" x14ac:dyDescent="0.25">
      <c r="A94" s="87">
        <v>202</v>
      </c>
      <c r="B94" s="41" t="s">
        <v>44</v>
      </c>
      <c r="N94" s="98" t="s">
        <v>314</v>
      </c>
      <c r="O94" s="100">
        <v>8</v>
      </c>
    </row>
    <row r="95" spans="1:15" x14ac:dyDescent="0.25">
      <c r="A95" s="86">
        <v>70</v>
      </c>
      <c r="B95" s="41" t="s">
        <v>299</v>
      </c>
      <c r="N95" s="99" t="s">
        <v>315</v>
      </c>
      <c r="O95" s="101">
        <v>8</v>
      </c>
    </row>
    <row r="96" spans="1:15" x14ac:dyDescent="0.25">
      <c r="A96" s="87">
        <v>203</v>
      </c>
      <c r="B96" s="41" t="s">
        <v>46</v>
      </c>
      <c r="N96" s="98" t="s">
        <v>316</v>
      </c>
      <c r="O96" s="100">
        <v>8</v>
      </c>
    </row>
    <row r="97" spans="1:15" x14ac:dyDescent="0.25">
      <c r="A97" s="86">
        <v>104</v>
      </c>
      <c r="B97" s="41" t="s">
        <v>355</v>
      </c>
      <c r="N97" s="99" t="s">
        <v>317</v>
      </c>
      <c r="O97" s="101">
        <v>8</v>
      </c>
    </row>
    <row r="98" spans="1:15" x14ac:dyDescent="0.25">
      <c r="A98" t="s">
        <v>332</v>
      </c>
      <c r="N98" s="98" t="s">
        <v>320</v>
      </c>
      <c r="O98" s="100">
        <v>11</v>
      </c>
    </row>
    <row r="99" spans="1:15" x14ac:dyDescent="0.25">
      <c r="A99" s="87">
        <v>1</v>
      </c>
      <c r="B99" s="41" t="s">
        <v>40</v>
      </c>
      <c r="N99" s="99" t="s">
        <v>321</v>
      </c>
      <c r="O99" s="101">
        <v>11</v>
      </c>
    </row>
    <row r="100" spans="1:15" x14ac:dyDescent="0.25">
      <c r="A100" s="86">
        <v>2</v>
      </c>
      <c r="B100" s="41" t="s">
        <v>47</v>
      </c>
      <c r="N100" s="98" t="s">
        <v>322</v>
      </c>
      <c r="O100" s="100">
        <v>11</v>
      </c>
    </row>
    <row r="101" spans="1:15" x14ac:dyDescent="0.25">
      <c r="A101" s="87">
        <v>4</v>
      </c>
      <c r="B101" s="41" t="s">
        <v>47</v>
      </c>
      <c r="N101" s="99" t="s">
        <v>323</v>
      </c>
      <c r="O101" s="101">
        <v>11</v>
      </c>
    </row>
    <row r="102" spans="1:15" x14ac:dyDescent="0.25">
      <c r="A102" s="86">
        <v>5</v>
      </c>
      <c r="B102" s="41" t="s">
        <v>175</v>
      </c>
      <c r="N102" s="98" t="s">
        <v>324</v>
      </c>
      <c r="O102" s="100">
        <v>11</v>
      </c>
    </row>
    <row r="103" spans="1:15" x14ac:dyDescent="0.25">
      <c r="A103" s="87">
        <v>3</v>
      </c>
      <c r="B103" s="41" t="s">
        <v>174</v>
      </c>
      <c r="N103" s="99" t="s">
        <v>325</v>
      </c>
      <c r="O103" s="101">
        <v>11</v>
      </c>
    </row>
    <row r="104" spans="1:15" x14ac:dyDescent="0.25">
      <c r="A104" s="86">
        <v>6</v>
      </c>
      <c r="B104" s="41" t="s">
        <v>41</v>
      </c>
      <c r="N104" s="98" t="s">
        <v>326</v>
      </c>
      <c r="O104" s="100">
        <v>11</v>
      </c>
    </row>
    <row r="105" spans="1:15" x14ac:dyDescent="0.25">
      <c r="A105" s="87">
        <v>7</v>
      </c>
      <c r="B105" s="41" t="s">
        <v>67</v>
      </c>
      <c r="C105" t="s">
        <v>399</v>
      </c>
      <c r="D105" t="s">
        <v>400</v>
      </c>
      <c r="G105" t="s">
        <v>401</v>
      </c>
      <c r="N105" s="99" t="s">
        <v>327</v>
      </c>
      <c r="O105" s="101">
        <v>11</v>
      </c>
    </row>
    <row r="106" spans="1:15" x14ac:dyDescent="0.25">
      <c r="A106" s="86">
        <v>8</v>
      </c>
      <c r="B106" s="41" t="s">
        <v>67</v>
      </c>
      <c r="C106" t="s">
        <v>399</v>
      </c>
      <c r="D106" t="s">
        <v>400</v>
      </c>
      <c r="G106" t="s">
        <v>402</v>
      </c>
      <c r="N106" s="98" t="s">
        <v>328</v>
      </c>
      <c r="O106" s="100">
        <v>11</v>
      </c>
    </row>
    <row r="107" spans="1:15" x14ac:dyDescent="0.25">
      <c r="A107" s="87">
        <v>10</v>
      </c>
      <c r="B107" s="41" t="s">
        <v>46</v>
      </c>
      <c r="N107" s="99" t="s">
        <v>329</v>
      </c>
      <c r="O107" s="101">
        <v>11</v>
      </c>
    </row>
    <row r="108" spans="1:15" x14ac:dyDescent="0.25">
      <c r="A108" s="86">
        <v>11</v>
      </c>
      <c r="B108" s="41" t="s">
        <v>272</v>
      </c>
      <c r="N108" s="98" t="s">
        <v>330</v>
      </c>
      <c r="O108" s="100">
        <v>11</v>
      </c>
    </row>
    <row r="109" spans="1:15" x14ac:dyDescent="0.25">
      <c r="A109" s="87">
        <v>9</v>
      </c>
      <c r="B109" s="41" t="s">
        <v>273</v>
      </c>
      <c r="N109" s="99" t="s">
        <v>333</v>
      </c>
      <c r="O109" s="101">
        <v>7</v>
      </c>
    </row>
    <row r="110" spans="1:15" x14ac:dyDescent="0.25">
      <c r="A110" t="s">
        <v>233</v>
      </c>
      <c r="N110" s="98" t="s">
        <v>334</v>
      </c>
      <c r="O110" s="100">
        <v>7</v>
      </c>
    </row>
    <row r="111" spans="1:15" x14ac:dyDescent="0.25">
      <c r="A111" s="86">
        <v>1</v>
      </c>
      <c r="B111" s="41" t="s">
        <v>40</v>
      </c>
      <c r="N111" s="99" t="s">
        <v>335</v>
      </c>
      <c r="O111" s="101">
        <v>7</v>
      </c>
    </row>
    <row r="112" spans="1:15" x14ac:dyDescent="0.25">
      <c r="A112" s="87">
        <v>3</v>
      </c>
      <c r="B112" s="41" t="s">
        <v>47</v>
      </c>
      <c r="N112" s="98" t="s">
        <v>336</v>
      </c>
      <c r="O112" s="100">
        <v>7</v>
      </c>
    </row>
    <row r="113" spans="1:15" x14ac:dyDescent="0.25">
      <c r="A113" s="86">
        <v>4</v>
      </c>
      <c r="B113" s="41" t="s">
        <v>47</v>
      </c>
      <c r="N113" s="99" t="s">
        <v>337</v>
      </c>
      <c r="O113" s="101">
        <v>7</v>
      </c>
    </row>
    <row r="114" spans="1:15" x14ac:dyDescent="0.25">
      <c r="A114" s="87">
        <v>5</v>
      </c>
      <c r="B114" s="41" t="s">
        <v>174</v>
      </c>
      <c r="N114" s="98" t="s">
        <v>338</v>
      </c>
      <c r="O114" s="100">
        <v>7</v>
      </c>
    </row>
    <row r="115" spans="1:15" x14ac:dyDescent="0.25">
      <c r="A115" s="86">
        <v>2</v>
      </c>
      <c r="B115" s="41" t="s">
        <v>175</v>
      </c>
      <c r="N115" s="99" t="s">
        <v>339</v>
      </c>
      <c r="O115" s="101">
        <v>7</v>
      </c>
    </row>
    <row r="116" spans="1:15" x14ac:dyDescent="0.25">
      <c r="A116" s="87">
        <v>6</v>
      </c>
      <c r="B116" s="41" t="s">
        <v>41</v>
      </c>
      <c r="N116" s="98" t="s">
        <v>340</v>
      </c>
      <c r="O116" s="100">
        <v>7</v>
      </c>
    </row>
    <row r="117" spans="1:15" x14ac:dyDescent="0.25">
      <c r="A117" s="86">
        <v>7</v>
      </c>
      <c r="B117" s="41" t="s">
        <v>41</v>
      </c>
      <c r="N117" s="99" t="s">
        <v>341</v>
      </c>
      <c r="O117" s="101">
        <v>7</v>
      </c>
    </row>
    <row r="118" spans="1:15" x14ac:dyDescent="0.25">
      <c r="A118" s="87">
        <v>9</v>
      </c>
      <c r="B118" s="41" t="s">
        <v>67</v>
      </c>
      <c r="N118" s="98" t="s">
        <v>342</v>
      </c>
      <c r="O118" s="100">
        <v>7</v>
      </c>
    </row>
    <row r="119" spans="1:15" x14ac:dyDescent="0.25">
      <c r="A119" s="86">
        <v>8</v>
      </c>
      <c r="B119" s="41" t="s">
        <v>171</v>
      </c>
      <c r="N119" s="99" t="s">
        <v>343</v>
      </c>
      <c r="O119" s="101">
        <v>7</v>
      </c>
    </row>
    <row r="120" spans="1:15" x14ac:dyDescent="0.25">
      <c r="A120" s="87">
        <v>11</v>
      </c>
      <c r="B120" s="41" t="s">
        <v>46</v>
      </c>
      <c r="N120" s="98" t="s">
        <v>344</v>
      </c>
      <c r="O120" s="100">
        <v>5</v>
      </c>
    </row>
    <row r="121" spans="1:15" x14ac:dyDescent="0.25">
      <c r="A121" s="86">
        <v>10</v>
      </c>
      <c r="B121" s="41" t="s">
        <v>232</v>
      </c>
      <c r="N121" s="99" t="s">
        <v>345</v>
      </c>
      <c r="O121" s="101">
        <v>5</v>
      </c>
    </row>
    <row r="122" spans="1:15" x14ac:dyDescent="0.25">
      <c r="N122" s="98" t="s">
        <v>346</v>
      </c>
      <c r="O122" s="100">
        <v>5</v>
      </c>
    </row>
    <row r="123" spans="1:15" x14ac:dyDescent="0.25">
      <c r="N123" s="99" t="s">
        <v>347</v>
      </c>
      <c r="O123" s="101">
        <v>5</v>
      </c>
    </row>
    <row r="124" spans="1:15" x14ac:dyDescent="0.25">
      <c r="N124" s="98" t="s">
        <v>348</v>
      </c>
      <c r="O124" s="100">
        <v>5</v>
      </c>
    </row>
    <row r="125" spans="1:15" x14ac:dyDescent="0.25">
      <c r="N125" s="99" t="s">
        <v>349</v>
      </c>
      <c r="O125" s="101">
        <v>5</v>
      </c>
    </row>
    <row r="126" spans="1:15" x14ac:dyDescent="0.25">
      <c r="N126" s="98" t="s">
        <v>350</v>
      </c>
      <c r="O126" s="100">
        <v>5</v>
      </c>
    </row>
    <row r="127" spans="1:15" x14ac:dyDescent="0.25">
      <c r="N127" s="99" t="s">
        <v>351</v>
      </c>
      <c r="O127" s="101">
        <v>5</v>
      </c>
    </row>
    <row r="128" spans="1:15" x14ac:dyDescent="0.25">
      <c r="N128" s="98" t="s">
        <v>352</v>
      </c>
      <c r="O128" s="100">
        <v>5</v>
      </c>
    </row>
    <row r="129" spans="14:15" x14ac:dyDescent="0.25">
      <c r="N129" s="99" t="s">
        <v>353</v>
      </c>
      <c r="O129" s="101">
        <v>5</v>
      </c>
    </row>
    <row r="130" spans="14:15" x14ac:dyDescent="0.25">
      <c r="N130" s="98" t="s">
        <v>354</v>
      </c>
      <c r="O130" s="100">
        <v>5</v>
      </c>
    </row>
    <row r="131" spans="14:15" x14ac:dyDescent="0.25">
      <c r="N131" s="99" t="s">
        <v>358</v>
      </c>
      <c r="O131" s="101">
        <v>1</v>
      </c>
    </row>
    <row r="132" spans="14:15" x14ac:dyDescent="0.25">
      <c r="N132" s="98" t="s">
        <v>359</v>
      </c>
      <c r="O132" s="100">
        <v>1</v>
      </c>
    </row>
    <row r="133" spans="14:15" x14ac:dyDescent="0.25">
      <c r="N133" s="99" t="s">
        <v>360</v>
      </c>
      <c r="O133" s="101">
        <v>1</v>
      </c>
    </row>
    <row r="134" spans="14:15" x14ac:dyDescent="0.25">
      <c r="N134" s="98" t="s">
        <v>361</v>
      </c>
      <c r="O134" s="100">
        <v>1</v>
      </c>
    </row>
    <row r="135" spans="14:15" x14ac:dyDescent="0.25">
      <c r="N135" s="99" t="s">
        <v>362</v>
      </c>
      <c r="O135" s="101">
        <v>1</v>
      </c>
    </row>
    <row r="136" spans="14:15" x14ac:dyDescent="0.25">
      <c r="N136" s="98" t="s">
        <v>363</v>
      </c>
      <c r="O136" s="100">
        <v>1</v>
      </c>
    </row>
    <row r="137" spans="14:15" x14ac:dyDescent="0.25">
      <c r="N137" s="99" t="s">
        <v>364</v>
      </c>
      <c r="O137" s="101">
        <v>1</v>
      </c>
    </row>
    <row r="138" spans="14:15" x14ac:dyDescent="0.25">
      <c r="N138" s="98" t="s">
        <v>365</v>
      </c>
      <c r="O138" s="100">
        <v>1</v>
      </c>
    </row>
    <row r="139" spans="14:15" x14ac:dyDescent="0.25">
      <c r="N139" s="99" t="s">
        <v>366</v>
      </c>
      <c r="O139" s="101">
        <v>1</v>
      </c>
    </row>
    <row r="140" spans="14:15" x14ac:dyDescent="0.25">
      <c r="N140" s="98" t="s">
        <v>367</v>
      </c>
      <c r="O140" s="100">
        <v>1</v>
      </c>
    </row>
    <row r="141" spans="14:15" x14ac:dyDescent="0.25">
      <c r="N141" s="99" t="s">
        <v>368</v>
      </c>
      <c r="O141" s="101">
        <v>1</v>
      </c>
    </row>
    <row r="142" spans="14:15" x14ac:dyDescent="0.25">
      <c r="N142" s="98" t="s">
        <v>391</v>
      </c>
      <c r="O142" s="102">
        <v>6</v>
      </c>
    </row>
    <row r="143" spans="14:15" x14ac:dyDescent="0.25">
      <c r="N143" s="99" t="s">
        <v>392</v>
      </c>
      <c r="O143" s="102">
        <v>11</v>
      </c>
    </row>
    <row r="144" spans="14:15" x14ac:dyDescent="0.25">
      <c r="N144" s="98" t="s">
        <v>394</v>
      </c>
      <c r="O144" s="102">
        <v>1</v>
      </c>
    </row>
    <row r="145" spans="14:15" x14ac:dyDescent="0.25">
      <c r="N145" s="98" t="s">
        <v>395</v>
      </c>
      <c r="O145" s="102">
        <v>1</v>
      </c>
    </row>
    <row r="146" spans="14:15" x14ac:dyDescent="0.25">
      <c r="N146" s="98" t="s">
        <v>403</v>
      </c>
      <c r="O146" s="102">
        <v>10</v>
      </c>
    </row>
    <row r="147" spans="14:15" x14ac:dyDescent="0.25">
      <c r="N147" s="98" t="s">
        <v>404</v>
      </c>
      <c r="O147" s="102">
        <v>7</v>
      </c>
    </row>
    <row r="148" spans="14:15" x14ac:dyDescent="0.25">
      <c r="N148" s="98" t="s">
        <v>405</v>
      </c>
      <c r="O148" s="102">
        <v>9</v>
      </c>
    </row>
    <row r="149" spans="14:15" x14ac:dyDescent="0.25">
      <c r="N149" s="99" t="s">
        <v>408</v>
      </c>
      <c r="O149" s="102">
        <v>1</v>
      </c>
    </row>
    <row r="150" spans="14:15" x14ac:dyDescent="0.25">
      <c r="N150" s="98" t="s">
        <v>409</v>
      </c>
      <c r="O150" s="102">
        <v>6</v>
      </c>
    </row>
    <row r="151" spans="14:15" x14ac:dyDescent="0.25">
      <c r="N151" s="98" t="s">
        <v>410</v>
      </c>
      <c r="O151" s="102">
        <v>9</v>
      </c>
    </row>
    <row r="152" spans="14:15" x14ac:dyDescent="0.25">
      <c r="N152" s="99" t="s">
        <v>411</v>
      </c>
      <c r="O152" s="102">
        <v>1</v>
      </c>
    </row>
    <row r="153" spans="14:15" x14ac:dyDescent="0.25">
      <c r="N153" s="99" t="s">
        <v>413</v>
      </c>
      <c r="O153" s="102">
        <v>1</v>
      </c>
    </row>
    <row r="154" spans="14:15" x14ac:dyDescent="0.25">
      <c r="N154" s="99" t="s">
        <v>414</v>
      </c>
      <c r="O154" s="102">
        <v>1</v>
      </c>
    </row>
    <row r="155" spans="14:15" x14ac:dyDescent="0.25">
      <c r="N155" s="99" t="s">
        <v>415</v>
      </c>
      <c r="O155" s="102">
        <v>1</v>
      </c>
    </row>
    <row r="156" spans="14:15" x14ac:dyDescent="0.25">
      <c r="N156" s="98" t="s">
        <v>416</v>
      </c>
      <c r="O156" s="102">
        <v>8</v>
      </c>
    </row>
    <row r="157" spans="14:15" x14ac:dyDescent="0.25">
      <c r="N157" s="99" t="s">
        <v>417</v>
      </c>
      <c r="O157" s="102">
        <v>6</v>
      </c>
    </row>
    <row r="158" spans="14:15" x14ac:dyDescent="0.25">
      <c r="N158" s="98" t="s">
        <v>418</v>
      </c>
      <c r="O158" s="102">
        <v>7</v>
      </c>
    </row>
    <row r="159" spans="14:15" x14ac:dyDescent="0.25">
      <c r="N159" s="99" t="s">
        <v>419</v>
      </c>
      <c r="O159" s="102">
        <v>1</v>
      </c>
    </row>
    <row r="160" spans="14:15" x14ac:dyDescent="0.25">
      <c r="N160" s="99" t="s">
        <v>423</v>
      </c>
      <c r="O160" s="102">
        <v>6</v>
      </c>
    </row>
    <row r="161" spans="14:15" x14ac:dyDescent="0.25">
      <c r="N161" s="99" t="s">
        <v>424</v>
      </c>
      <c r="O161" s="102">
        <v>6</v>
      </c>
    </row>
    <row r="162" spans="14:15" x14ac:dyDescent="0.25">
      <c r="N162" s="99" t="s">
        <v>425</v>
      </c>
      <c r="O162" s="102">
        <v>7</v>
      </c>
    </row>
    <row r="163" spans="14:15" x14ac:dyDescent="0.25">
      <c r="N163" s="99" t="s">
        <v>428</v>
      </c>
      <c r="O163" s="102">
        <v>3</v>
      </c>
    </row>
    <row r="164" spans="14:15" x14ac:dyDescent="0.25">
      <c r="N164" s="99" t="s">
        <v>430</v>
      </c>
      <c r="O164" s="102">
        <v>9</v>
      </c>
    </row>
    <row r="165" spans="14:15" x14ac:dyDescent="0.25">
      <c r="N165" s="98" t="s">
        <v>431</v>
      </c>
      <c r="O165" s="102">
        <v>8</v>
      </c>
    </row>
    <row r="166" spans="14:15" x14ac:dyDescent="0.25">
      <c r="N166" s="99" t="s">
        <v>429</v>
      </c>
      <c r="O166" s="102">
        <v>8</v>
      </c>
    </row>
    <row r="167" spans="14:15" x14ac:dyDescent="0.25">
      <c r="N167" s="98" t="s">
        <v>432</v>
      </c>
      <c r="O167" s="102">
        <v>7</v>
      </c>
    </row>
    <row r="168" spans="14:15" x14ac:dyDescent="0.25">
      <c r="N168" s="99" t="s">
        <v>436</v>
      </c>
      <c r="O168" s="102">
        <v>7</v>
      </c>
    </row>
    <row r="169" spans="14:15" x14ac:dyDescent="0.25">
      <c r="N169" s="99" t="s">
        <v>442</v>
      </c>
      <c r="O169" s="102">
        <v>8</v>
      </c>
    </row>
    <row r="170" spans="14:15" x14ac:dyDescent="0.25">
      <c r="N170" s="99" t="s">
        <v>443</v>
      </c>
      <c r="O170" s="102">
        <v>7</v>
      </c>
    </row>
    <row r="171" spans="14:15" x14ac:dyDescent="0.25">
      <c r="N171" s="99" t="s">
        <v>444</v>
      </c>
      <c r="O171" s="102">
        <v>7</v>
      </c>
    </row>
    <row r="172" spans="14:15" x14ac:dyDescent="0.25">
      <c r="N172" s="98" t="s">
        <v>450</v>
      </c>
      <c r="O172" s="102">
        <v>1</v>
      </c>
    </row>
    <row r="173" spans="14:15" x14ac:dyDescent="0.25">
      <c r="N173" s="98" t="s">
        <v>451</v>
      </c>
      <c r="O173" s="102">
        <v>10</v>
      </c>
    </row>
    <row r="174" spans="14:15" x14ac:dyDescent="0.25">
      <c r="N174" s="98" t="s">
        <v>452</v>
      </c>
      <c r="O174" s="102">
        <v>1</v>
      </c>
    </row>
    <row r="175" spans="14:15" x14ac:dyDescent="0.25">
      <c r="N175" s="98" t="s">
        <v>453</v>
      </c>
      <c r="O175" s="102">
        <v>1</v>
      </c>
    </row>
    <row r="176" spans="14:15" x14ac:dyDescent="0.25">
      <c r="N176" s="99" t="s">
        <v>454</v>
      </c>
      <c r="O176" s="102">
        <v>1</v>
      </c>
    </row>
    <row r="177" spans="14:15" x14ac:dyDescent="0.25">
      <c r="N177" s="98" t="s">
        <v>455</v>
      </c>
      <c r="O177" s="102">
        <v>1</v>
      </c>
    </row>
    <row r="178" spans="14:15" x14ac:dyDescent="0.25">
      <c r="N178" s="98" t="s">
        <v>456</v>
      </c>
      <c r="O178" s="102">
        <v>7</v>
      </c>
    </row>
    <row r="179" spans="14:15" x14ac:dyDescent="0.25">
      <c r="N179" s="99" t="s">
        <v>484</v>
      </c>
      <c r="O179" s="102">
        <v>8</v>
      </c>
    </row>
    <row r="180" spans="14:15" x14ac:dyDescent="0.25">
      <c r="N180" s="98" t="s">
        <v>485</v>
      </c>
      <c r="O180" s="102">
        <v>2</v>
      </c>
    </row>
    <row r="181" spans="14:15" x14ac:dyDescent="0.25">
      <c r="N181" s="99" t="s">
        <v>486</v>
      </c>
      <c r="O181" s="102">
        <v>2</v>
      </c>
    </row>
    <row r="182" spans="14:15" x14ac:dyDescent="0.25">
      <c r="N182" s="99" t="s">
        <v>487</v>
      </c>
      <c r="O182" s="102">
        <v>2</v>
      </c>
    </row>
    <row r="183" spans="14:15" x14ac:dyDescent="0.25">
      <c r="N183" s="98" t="s">
        <v>488</v>
      </c>
      <c r="O183" s="102">
        <v>2</v>
      </c>
    </row>
    <row r="184" spans="14:15" x14ac:dyDescent="0.25">
      <c r="N184" s="99" t="s">
        <v>489</v>
      </c>
      <c r="O184" s="102">
        <v>2</v>
      </c>
    </row>
    <row r="185" spans="14:15" x14ac:dyDescent="0.25">
      <c r="N185" s="98" t="s">
        <v>490</v>
      </c>
      <c r="O185" s="102">
        <v>2</v>
      </c>
    </row>
    <row r="186" spans="14:15" x14ac:dyDescent="0.25">
      <c r="N186" s="99" t="s">
        <v>491</v>
      </c>
      <c r="O186" s="102">
        <v>2</v>
      </c>
    </row>
    <row r="187" spans="14:15" x14ac:dyDescent="0.25">
      <c r="N187" s="98" t="s">
        <v>492</v>
      </c>
      <c r="O187" s="102">
        <v>2</v>
      </c>
    </row>
    <row r="188" spans="14:15" x14ac:dyDescent="0.25">
      <c r="N188" s="99" t="s">
        <v>493</v>
      </c>
      <c r="O188" s="102">
        <v>2</v>
      </c>
    </row>
    <row r="189" spans="14:15" x14ac:dyDescent="0.25">
      <c r="N189" s="99" t="s">
        <v>494</v>
      </c>
      <c r="O189" s="102">
        <v>2</v>
      </c>
    </row>
    <row r="190" spans="14:15" x14ac:dyDescent="0.25">
      <c r="N190" s="99" t="s">
        <v>495</v>
      </c>
      <c r="O190" s="102">
        <v>4</v>
      </c>
    </row>
    <row r="191" spans="14:15" x14ac:dyDescent="0.25">
      <c r="N191" s="98" t="s">
        <v>496</v>
      </c>
      <c r="O191" s="102">
        <v>1</v>
      </c>
    </row>
    <row r="192" spans="14:15" x14ac:dyDescent="0.25">
      <c r="N192" s="99" t="s">
        <v>497</v>
      </c>
      <c r="O192" s="102">
        <v>2</v>
      </c>
    </row>
    <row r="193" spans="14:15" x14ac:dyDescent="0.25">
      <c r="N193" s="98" t="s">
        <v>498</v>
      </c>
      <c r="O193" s="102">
        <v>2</v>
      </c>
    </row>
    <row r="194" spans="14:15" x14ac:dyDescent="0.25">
      <c r="N194" s="99" t="s">
        <v>499</v>
      </c>
      <c r="O194" s="102">
        <v>2</v>
      </c>
    </row>
    <row r="195" spans="14:15" x14ac:dyDescent="0.25">
      <c r="N195" s="98" t="s">
        <v>500</v>
      </c>
      <c r="O195" s="102">
        <v>2</v>
      </c>
    </row>
    <row r="196" spans="14:15" x14ac:dyDescent="0.25">
      <c r="N196" s="99" t="s">
        <v>501</v>
      </c>
      <c r="O196" s="102">
        <v>2</v>
      </c>
    </row>
    <row r="197" spans="14:15" x14ac:dyDescent="0.25">
      <c r="N197" s="99" t="s">
        <v>502</v>
      </c>
      <c r="O197" s="102">
        <v>2</v>
      </c>
    </row>
    <row r="198" spans="14:15" x14ac:dyDescent="0.25">
      <c r="N198" s="98" t="s">
        <v>503</v>
      </c>
      <c r="O198" s="102">
        <v>2</v>
      </c>
    </row>
    <row r="199" spans="14:15" x14ac:dyDescent="0.25">
      <c r="N199" s="98" t="s">
        <v>504</v>
      </c>
      <c r="O199" s="102">
        <v>10</v>
      </c>
    </row>
    <row r="200" spans="14:15" x14ac:dyDescent="0.25">
      <c r="N200" s="98" t="s">
        <v>509</v>
      </c>
      <c r="O200" s="102">
        <v>3</v>
      </c>
    </row>
    <row r="201" spans="14:15" x14ac:dyDescent="0.25">
      <c r="N201" s="99" t="s">
        <v>510</v>
      </c>
      <c r="O201" s="102">
        <v>5</v>
      </c>
    </row>
    <row r="202" spans="14:15" x14ac:dyDescent="0.25">
      <c r="N202" s="98" t="s">
        <v>511</v>
      </c>
      <c r="O202" s="102">
        <v>2</v>
      </c>
    </row>
    <row r="203" spans="14:15" x14ac:dyDescent="0.25">
      <c r="N203" s="99" t="s">
        <v>512</v>
      </c>
      <c r="O203" s="102">
        <v>7</v>
      </c>
    </row>
    <row r="204" spans="14:15" x14ac:dyDescent="0.25">
      <c r="N204" s="99" t="s">
        <v>513</v>
      </c>
      <c r="O204" s="102">
        <v>2</v>
      </c>
    </row>
    <row r="205" spans="14:15" x14ac:dyDescent="0.25">
      <c r="N205" s="99" t="s">
        <v>515</v>
      </c>
      <c r="O205" s="102">
        <v>1</v>
      </c>
    </row>
    <row r="206" spans="14:15" x14ac:dyDescent="0.25">
      <c r="N206" s="99" t="s">
        <v>516</v>
      </c>
      <c r="O206" s="102">
        <v>3</v>
      </c>
    </row>
    <row r="207" spans="14:15" x14ac:dyDescent="0.25">
      <c r="N207" s="98" t="s">
        <v>517</v>
      </c>
      <c r="O207" s="102">
        <v>1</v>
      </c>
    </row>
    <row r="208" spans="14:15" x14ac:dyDescent="0.25">
      <c r="N208" s="99" t="s">
        <v>518</v>
      </c>
      <c r="O208" s="102">
        <v>3</v>
      </c>
    </row>
    <row r="209" spans="14:15" x14ac:dyDescent="0.25">
      <c r="N209" s="99" t="s">
        <v>519</v>
      </c>
      <c r="O209" s="102">
        <v>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7BEDC4-F905-4AD3-966F-CAA6C23F30E1}">
  <dimension ref="A1:B12"/>
  <sheetViews>
    <sheetView workbookViewId="0">
      <selection activeCell="G20" sqref="G20"/>
    </sheetView>
  </sheetViews>
  <sheetFormatPr defaultRowHeight="15" x14ac:dyDescent="0.25"/>
  <cols>
    <col min="2" max="2" width="21.42578125" customWidth="1"/>
  </cols>
  <sheetData>
    <row r="1" spans="1:2" x14ac:dyDescent="0.25">
      <c r="A1" t="s">
        <v>369</v>
      </c>
      <c r="B1" t="s">
        <v>766</v>
      </c>
    </row>
    <row r="2" spans="1:2" x14ac:dyDescent="0.25">
      <c r="A2">
        <v>1</v>
      </c>
      <c r="B2" t="s">
        <v>212</v>
      </c>
    </row>
    <row r="3" spans="1:2" x14ac:dyDescent="0.25">
      <c r="A3">
        <v>2</v>
      </c>
      <c r="B3" t="s">
        <v>233</v>
      </c>
    </row>
    <row r="4" spans="1:2" x14ac:dyDescent="0.25">
      <c r="A4">
        <v>3</v>
      </c>
      <c r="B4" t="s">
        <v>259</v>
      </c>
    </row>
    <row r="5" spans="1:2" x14ac:dyDescent="0.25">
      <c r="A5">
        <v>4</v>
      </c>
      <c r="B5" t="s">
        <v>260</v>
      </c>
    </row>
    <row r="6" spans="1:2" x14ac:dyDescent="0.25">
      <c r="A6">
        <v>5</v>
      </c>
      <c r="B6" t="s">
        <v>332</v>
      </c>
    </row>
    <row r="7" spans="1:2" x14ac:dyDescent="0.25">
      <c r="A7">
        <v>6</v>
      </c>
      <c r="B7" t="s">
        <v>234</v>
      </c>
    </row>
    <row r="8" spans="1:2" x14ac:dyDescent="0.25">
      <c r="A8">
        <v>7</v>
      </c>
      <c r="B8" t="s">
        <v>331</v>
      </c>
    </row>
    <row r="9" spans="1:2" x14ac:dyDescent="0.25">
      <c r="A9">
        <v>8</v>
      </c>
      <c r="B9" t="s">
        <v>302</v>
      </c>
    </row>
    <row r="10" spans="1:2" x14ac:dyDescent="0.25">
      <c r="A10">
        <v>9</v>
      </c>
      <c r="B10" t="s">
        <v>300</v>
      </c>
    </row>
    <row r="11" spans="1:2" x14ac:dyDescent="0.25">
      <c r="A11">
        <v>10</v>
      </c>
      <c r="B11" t="s">
        <v>235</v>
      </c>
    </row>
    <row r="12" spans="1:2" x14ac:dyDescent="0.25">
      <c r="A12">
        <v>11</v>
      </c>
      <c r="B12" t="s">
        <v>303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3A93E-6B78-4A7C-AA5A-14226C5449B2}">
  <dimension ref="A1:I20"/>
  <sheetViews>
    <sheetView workbookViewId="0">
      <selection activeCell="I7" sqref="I7"/>
    </sheetView>
  </sheetViews>
  <sheetFormatPr defaultRowHeight="15" x14ac:dyDescent="0.25"/>
  <cols>
    <col min="2" max="2" width="23.42578125" customWidth="1"/>
    <col min="3" max="3" width="18.140625" customWidth="1"/>
    <col min="4" max="4" width="17.7109375" customWidth="1"/>
    <col min="5" max="6" width="17.140625" customWidth="1"/>
    <col min="7" max="7" width="11.42578125" customWidth="1"/>
    <col min="8" max="8" width="10.85546875" customWidth="1"/>
    <col min="9" max="9" width="9.85546875" customWidth="1"/>
  </cols>
  <sheetData>
    <row r="1" spans="1:9" x14ac:dyDescent="0.25">
      <c r="A1" t="s">
        <v>383</v>
      </c>
      <c r="B1" t="s">
        <v>37</v>
      </c>
      <c r="C1" t="s">
        <v>387</v>
      </c>
      <c r="D1" t="s">
        <v>388</v>
      </c>
      <c r="E1" t="s">
        <v>389</v>
      </c>
      <c r="F1" t="s">
        <v>390</v>
      </c>
      <c r="G1" t="s">
        <v>385</v>
      </c>
      <c r="H1" t="s">
        <v>386</v>
      </c>
      <c r="I1" t="s">
        <v>384</v>
      </c>
    </row>
    <row r="2" spans="1:9" x14ac:dyDescent="0.25">
      <c r="A2">
        <v>31</v>
      </c>
      <c r="B2" t="str">
        <f>VLOOKUP(A2,Zawodnicy[],2,FALSE)</f>
        <v>Jacek Swoboda</v>
      </c>
      <c r="C2" t="s">
        <v>64</v>
      </c>
      <c r="D2" t="s">
        <v>61</v>
      </c>
      <c r="E2" t="s">
        <v>6</v>
      </c>
      <c r="F2" t="s">
        <v>62</v>
      </c>
      <c r="G2">
        <v>3</v>
      </c>
      <c r="H2">
        <v>1</v>
      </c>
      <c r="I2">
        <v>3</v>
      </c>
    </row>
    <row r="3" spans="1:9" x14ac:dyDescent="0.25">
      <c r="A3">
        <v>38</v>
      </c>
      <c r="B3" t="str">
        <f>VLOOKUP(A3,Zawodnicy[],2,FALSE)</f>
        <v>Boleslaw Kolbert</v>
      </c>
      <c r="C3" t="s">
        <v>61</v>
      </c>
      <c r="D3" t="s">
        <v>63</v>
      </c>
      <c r="E3" t="s">
        <v>64</v>
      </c>
      <c r="F3" t="s">
        <v>62</v>
      </c>
      <c r="G3">
        <v>3</v>
      </c>
      <c r="H3">
        <v>1</v>
      </c>
      <c r="I3">
        <v>2</v>
      </c>
    </row>
    <row r="4" spans="1:9" x14ac:dyDescent="0.25">
      <c r="A4">
        <v>39</v>
      </c>
      <c r="B4" t="str">
        <f>VLOOKUP(A4,Zawodnicy[],2,FALSE)</f>
        <v>Damazy Pionek</v>
      </c>
      <c r="C4" t="s">
        <v>9</v>
      </c>
      <c r="D4" t="s">
        <v>62</v>
      </c>
      <c r="E4" t="s">
        <v>6</v>
      </c>
      <c r="F4" t="s">
        <v>3</v>
      </c>
      <c r="G4">
        <v>4</v>
      </c>
      <c r="H4">
        <v>2</v>
      </c>
      <c r="I4">
        <v>3</v>
      </c>
    </row>
    <row r="5" spans="1:9" x14ac:dyDescent="0.25">
      <c r="A5">
        <v>40</v>
      </c>
      <c r="B5" t="str">
        <f>VLOOKUP(A5,Zawodnicy[],2,FALSE)</f>
        <v>Benedykt Adamus</v>
      </c>
      <c r="C5" t="s">
        <v>3</v>
      </c>
      <c r="D5" t="s">
        <v>60</v>
      </c>
      <c r="E5" t="s">
        <v>63</v>
      </c>
      <c r="F5" t="s">
        <v>61</v>
      </c>
      <c r="G5">
        <v>4</v>
      </c>
      <c r="H5">
        <v>2</v>
      </c>
      <c r="I5">
        <v>3</v>
      </c>
    </row>
    <row r="6" spans="1:9" x14ac:dyDescent="0.25">
      <c r="A6">
        <v>42</v>
      </c>
      <c r="B6" t="str">
        <f>VLOOKUP(A6,Zawodnicy[],2,FALSE)</f>
        <v>Olaf Skikiewicz</v>
      </c>
      <c r="C6" t="s">
        <v>64</v>
      </c>
      <c r="D6" t="s">
        <v>2</v>
      </c>
      <c r="E6" t="s">
        <v>62</v>
      </c>
      <c r="F6" t="s">
        <v>63</v>
      </c>
      <c r="G6">
        <v>3</v>
      </c>
      <c r="H6">
        <v>2</v>
      </c>
      <c r="I6">
        <v>3</v>
      </c>
    </row>
    <row r="7" spans="1:9" x14ac:dyDescent="0.25">
      <c r="A7">
        <v>45</v>
      </c>
      <c r="B7" t="str">
        <f>VLOOKUP(A7,Zawodnicy[],2,FALSE)</f>
        <v>Janusz Sierocki</v>
      </c>
      <c r="C7" t="s">
        <v>60</v>
      </c>
      <c r="D7" t="s">
        <v>63</v>
      </c>
      <c r="E7" t="s">
        <v>62</v>
      </c>
      <c r="F7" t="s">
        <v>4</v>
      </c>
      <c r="G7">
        <v>3</v>
      </c>
      <c r="H7">
        <v>1</v>
      </c>
      <c r="I7">
        <v>3</v>
      </c>
    </row>
    <row r="8" spans="1:9" x14ac:dyDescent="0.25">
      <c r="A8">
        <v>46</v>
      </c>
      <c r="B8" t="str">
        <f>VLOOKUP(A8,Zawodnicy[],2,FALSE)</f>
        <v>Iwo Duszenski</v>
      </c>
      <c r="C8" t="s">
        <v>6</v>
      </c>
      <c r="D8" t="s">
        <v>4</v>
      </c>
      <c r="E8" t="s">
        <v>62</v>
      </c>
      <c r="F8" t="s">
        <v>64</v>
      </c>
      <c r="G8">
        <v>4</v>
      </c>
      <c r="H8">
        <v>1</v>
      </c>
      <c r="I8">
        <v>2</v>
      </c>
    </row>
    <row r="9" spans="1:9" x14ac:dyDescent="0.25">
      <c r="A9">
        <v>48</v>
      </c>
      <c r="B9" t="str">
        <f>VLOOKUP(A9,Zawodnicy[],2,FALSE)</f>
        <v>Wincenty Zawaski</v>
      </c>
      <c r="C9" t="s">
        <v>3</v>
      </c>
      <c r="D9" t="s">
        <v>64</v>
      </c>
      <c r="E9" t="s">
        <v>65</v>
      </c>
      <c r="F9" t="s">
        <v>62</v>
      </c>
      <c r="G9">
        <v>3</v>
      </c>
      <c r="H9">
        <v>1</v>
      </c>
      <c r="I9">
        <v>3</v>
      </c>
    </row>
    <row r="10" spans="1:9" x14ac:dyDescent="0.25">
      <c r="A10">
        <v>49</v>
      </c>
      <c r="B10" t="str">
        <f>VLOOKUP(A10,Zawodnicy[],2,FALSE)</f>
        <v>Dobromir Kolacki</v>
      </c>
      <c r="C10" t="s">
        <v>62</v>
      </c>
      <c r="D10" t="s">
        <v>64</v>
      </c>
      <c r="E10" t="s">
        <v>2</v>
      </c>
      <c r="F10" t="s">
        <v>6</v>
      </c>
      <c r="G10">
        <v>4</v>
      </c>
      <c r="H10">
        <v>1</v>
      </c>
      <c r="I10">
        <v>2</v>
      </c>
    </row>
    <row r="11" spans="1:9" x14ac:dyDescent="0.25">
      <c r="A11">
        <v>50</v>
      </c>
      <c r="B11" t="str">
        <f>VLOOKUP(A11,Zawodnicy[],2,FALSE)</f>
        <v>Ludomil Robak</v>
      </c>
      <c r="C11" t="s">
        <v>61</v>
      </c>
      <c r="D11" t="s">
        <v>60</v>
      </c>
      <c r="E11" t="s">
        <v>3</v>
      </c>
      <c r="F11" t="s">
        <v>62</v>
      </c>
      <c r="G11">
        <v>3</v>
      </c>
      <c r="H11">
        <v>2</v>
      </c>
      <c r="I11">
        <v>1</v>
      </c>
    </row>
    <row r="12" spans="1:9" x14ac:dyDescent="0.25">
      <c r="A12">
        <v>51</v>
      </c>
      <c r="B12" t="str">
        <f>VLOOKUP(A12,Zawodnicy[],2,FALSE)</f>
        <v>Radoslaw Cichowski</v>
      </c>
      <c r="C12" t="s">
        <v>3</v>
      </c>
      <c r="D12" t="s">
        <v>63</v>
      </c>
      <c r="E12" t="s">
        <v>62</v>
      </c>
      <c r="F12" t="s">
        <v>6</v>
      </c>
      <c r="G12">
        <v>3</v>
      </c>
      <c r="H12">
        <v>2</v>
      </c>
      <c r="I12">
        <v>3</v>
      </c>
    </row>
    <row r="13" spans="1:9" x14ac:dyDescent="0.25">
      <c r="A13">
        <v>52</v>
      </c>
      <c r="B13" t="str">
        <f>VLOOKUP(A13,Zawodnicy[],2,FALSE)</f>
        <v>Roland Danisiewicz</v>
      </c>
      <c r="C13" t="s">
        <v>65</v>
      </c>
      <c r="D13" t="s">
        <v>6</v>
      </c>
      <c r="E13" t="s">
        <v>62</v>
      </c>
      <c r="F13" t="s">
        <v>63</v>
      </c>
      <c r="G13">
        <v>3</v>
      </c>
      <c r="H13">
        <v>2</v>
      </c>
      <c r="I13">
        <v>4</v>
      </c>
    </row>
    <row r="14" spans="1:9" x14ac:dyDescent="0.25">
      <c r="A14">
        <v>53</v>
      </c>
      <c r="B14" t="str">
        <f>VLOOKUP(A14,Zawodnicy[],2,FALSE)</f>
        <v>Cyryl Huratiak</v>
      </c>
      <c r="C14" t="s">
        <v>4</v>
      </c>
      <c r="D14" t="s">
        <v>63</v>
      </c>
      <c r="E14" t="s">
        <v>3</v>
      </c>
      <c r="F14" t="s">
        <v>6</v>
      </c>
      <c r="G14">
        <v>3</v>
      </c>
      <c r="H14">
        <v>2</v>
      </c>
      <c r="I14">
        <v>2</v>
      </c>
    </row>
    <row r="15" spans="1:9" x14ac:dyDescent="0.25">
      <c r="A15" s="39">
        <v>22</v>
      </c>
      <c r="B15" t="str">
        <f>VLOOKUP(A15,Zawodnicy[],2,FALSE)</f>
        <v>Daniel Dziewulski</v>
      </c>
      <c r="C15" t="s">
        <v>2</v>
      </c>
      <c r="D15" t="s">
        <v>65</v>
      </c>
      <c r="E15" t="s">
        <v>63</v>
      </c>
      <c r="F15" t="s">
        <v>4</v>
      </c>
      <c r="G15">
        <v>3</v>
      </c>
      <c r="H15">
        <v>1</v>
      </c>
      <c r="I15">
        <v>3</v>
      </c>
    </row>
    <row r="16" spans="1:9" x14ac:dyDescent="0.25">
      <c r="A16" s="39">
        <v>25</v>
      </c>
      <c r="B16" t="str">
        <f>VLOOKUP(A16,Zawodnicy[],2,FALSE)</f>
        <v>Jakub Ludwiczak</v>
      </c>
      <c r="C16" t="s">
        <v>4</v>
      </c>
      <c r="D16" t="s">
        <v>9</v>
      </c>
      <c r="E16" t="s">
        <v>3</v>
      </c>
      <c r="F16" t="s">
        <v>63</v>
      </c>
      <c r="G16">
        <v>3</v>
      </c>
      <c r="H16">
        <v>2</v>
      </c>
      <c r="I16">
        <v>2</v>
      </c>
    </row>
    <row r="17" spans="1:9" x14ac:dyDescent="0.25">
      <c r="A17" s="39">
        <v>26</v>
      </c>
      <c r="B17" t="str">
        <f>VLOOKUP(A17,Zawodnicy[],2,FALSE)</f>
        <v>Ignacy Lato</v>
      </c>
      <c r="C17" t="s">
        <v>61</v>
      </c>
      <c r="D17" t="s">
        <v>9</v>
      </c>
      <c r="E17" t="s">
        <v>65</v>
      </c>
      <c r="F17" t="s">
        <v>3</v>
      </c>
      <c r="G17">
        <v>3</v>
      </c>
      <c r="H17">
        <v>2</v>
      </c>
      <c r="I17">
        <v>4</v>
      </c>
    </row>
    <row r="18" spans="1:9" x14ac:dyDescent="0.25">
      <c r="A18" s="39">
        <v>27</v>
      </c>
      <c r="B18" t="str">
        <f>VLOOKUP(A18,Zawodnicy[],2,FALSE)</f>
        <v>Sylwester Kaszubowski</v>
      </c>
      <c r="C18" t="s">
        <v>9</v>
      </c>
      <c r="D18" t="s">
        <v>60</v>
      </c>
      <c r="E18" t="s">
        <v>61</v>
      </c>
      <c r="F18" t="s">
        <v>62</v>
      </c>
      <c r="G18">
        <v>3</v>
      </c>
      <c r="H18">
        <v>1</v>
      </c>
      <c r="I18">
        <v>4</v>
      </c>
    </row>
    <row r="19" spans="1:9" x14ac:dyDescent="0.25">
      <c r="A19" s="39">
        <v>59</v>
      </c>
      <c r="B19" t="str">
        <f>VLOOKUP(A19,Zawodnicy[],2,FALSE)</f>
        <v>Milosz Kostrzewski</v>
      </c>
      <c r="C19" t="s">
        <v>9</v>
      </c>
      <c r="D19" t="s">
        <v>61</v>
      </c>
      <c r="E19" t="s">
        <v>2</v>
      </c>
      <c r="F19" t="s">
        <v>62</v>
      </c>
      <c r="G19">
        <v>3</v>
      </c>
      <c r="H19">
        <v>2</v>
      </c>
      <c r="I19">
        <v>2</v>
      </c>
    </row>
    <row r="20" spans="1:9" x14ac:dyDescent="0.25">
      <c r="A20">
        <v>17</v>
      </c>
      <c r="B20" t="str">
        <f>VLOOKUP(A20,Zawodnicy[],2,FALSE)</f>
        <v>Hieronim Wejta</v>
      </c>
      <c r="C20" t="s">
        <v>3</v>
      </c>
      <c r="D20" t="s">
        <v>4</v>
      </c>
      <c r="E20" t="s">
        <v>62</v>
      </c>
      <c r="F20" t="s">
        <v>2</v>
      </c>
      <c r="G20">
        <v>4</v>
      </c>
      <c r="H20">
        <v>2</v>
      </c>
      <c r="I20">
        <v>3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CC437-C431-4E7D-AFB6-07DFDA9FD3E2}">
  <dimension ref="A2:P23"/>
  <sheetViews>
    <sheetView workbookViewId="0">
      <selection activeCell="P3" sqref="P3"/>
    </sheetView>
  </sheetViews>
  <sheetFormatPr defaultRowHeight="15" x14ac:dyDescent="0.25"/>
  <cols>
    <col min="1" max="1" width="12" customWidth="1"/>
    <col min="2" max="2" width="18.85546875" customWidth="1"/>
    <col min="3" max="5" width="12" customWidth="1"/>
    <col min="6" max="6" width="15.5703125" customWidth="1"/>
    <col min="7" max="8" width="12" customWidth="1"/>
    <col min="9" max="9" width="16" customWidth="1"/>
    <col min="10" max="12" width="13" customWidth="1"/>
    <col min="13" max="13" width="15.7109375" customWidth="1"/>
    <col min="14" max="15" width="13" customWidth="1"/>
    <col min="16" max="16" width="10.85546875" customWidth="1"/>
  </cols>
  <sheetData>
    <row r="2" spans="1:16" x14ac:dyDescent="0.25">
      <c r="A2" s="18" t="s">
        <v>36</v>
      </c>
      <c r="B2" s="18" t="s">
        <v>37</v>
      </c>
      <c r="C2" s="18" t="s">
        <v>2</v>
      </c>
      <c r="D2" s="18" t="s">
        <v>3</v>
      </c>
      <c r="E2" s="18" t="s">
        <v>4</v>
      </c>
      <c r="F2" s="18" t="s">
        <v>60</v>
      </c>
      <c r="G2" s="18" t="s">
        <v>6</v>
      </c>
      <c r="H2" s="18" t="s">
        <v>61</v>
      </c>
      <c r="I2" s="18" t="s">
        <v>62</v>
      </c>
      <c r="J2" s="18" t="s">
        <v>9</v>
      </c>
      <c r="K2" s="18" t="s">
        <v>63</v>
      </c>
      <c r="L2" s="18" t="s">
        <v>64</v>
      </c>
      <c r="M2" s="18" t="s">
        <v>65</v>
      </c>
      <c r="N2" s="18" t="s">
        <v>74</v>
      </c>
      <c r="O2" s="18" t="s">
        <v>75</v>
      </c>
      <c r="P2" s="18" t="s">
        <v>76</v>
      </c>
    </row>
    <row r="3" spans="1:16" x14ac:dyDescent="0.25">
      <c r="A3" s="81">
        <f>IFERROR(JuniorstwoRandom[[#This Row],[Number]],"-")</f>
        <v>31</v>
      </c>
      <c r="B3" s="18" t="str">
        <f>IFERROR(VLOOKUP(A3,Zawodnicy[],2,FALSE),"-")</f>
        <v>Jacek Swoboda</v>
      </c>
      <c r="C3" s="17">
        <f ca="1">IFERROR(IF(OR(C$2=VLOOKUP($A3,Juniores!$A2:$D2,3,FALSE),C$2=VLOOKUP($A3,Juniores!$A2:$D2,4,FALSE)),$N3,IF(OR(C$2=VLOOKUP($A3,Juniores!$A2:$F2,5,FALSE),C$2=VLOOKUP($A3,Juniores!$A2:$F2,6,FALSE)),$O3,MROUND(RAND()*(($N3-$P3)-($O3+$P3))+($O3+$P3),0.5))),"-")</f>
        <v>2</v>
      </c>
      <c r="D3" s="17">
        <f ca="1">IFERROR(IF(OR(D$2=VLOOKUP($A3,Juniores!$A2:$D2,3,FALSE),D$2=VLOOKUP($A3,Juniores!$A2:$D2,4,FALSE)),$N3,IF(OR(D$2=VLOOKUP($A3,Juniores!$A2:$F2,5,FALSE),D$2=VLOOKUP($A3,Juniores!$A2:$F2,6,FALSE)),$O3,MROUND(RAND()*(($N3-$P3)-($O3+$P3))+($O3+$P3),0.5))),"-")</f>
        <v>2</v>
      </c>
      <c r="E3" s="17">
        <f ca="1">IFERROR(IF(OR(E$2=VLOOKUP($A3,Juniores!$A2:$D2,3,FALSE),E$2=VLOOKUP($A3,Juniores!$A2:$D2,4,FALSE)),$N3,IF(OR(E$2=VLOOKUP($A3,Juniores!$A2:$F2,5,FALSE),E$2=VLOOKUP($A3,Juniores!$A2:$F2,6,FALSE)),$O3,MROUND(RAND()*(($N3-$P3)-($O3+$P3))+($O3+$P3),0.5))),"-")</f>
        <v>2.5</v>
      </c>
      <c r="F3" s="17">
        <f ca="1">IFERROR(IF(OR(F$2=VLOOKUP($A3,Juniores!$A2:$D2,3,FALSE),F$2=VLOOKUP($A3,Juniores!$A2:$D2,4,FALSE)),$N3,IF(OR(F$2=VLOOKUP($A3,Juniores!$A2:$F2,5,FALSE),F$2=VLOOKUP($A3,Juniores!$A2:$F2,6,FALSE)),$O3,MROUND(RAND()*(($N3-$P3)-($O3+$P3))+($O3+$P3),0.5))),"-")</f>
        <v>2.5</v>
      </c>
      <c r="G3" s="17">
        <f ca="1">IFERROR(IF(OR(G$2=VLOOKUP($A3,Juniores!$A2:$D2,3,FALSE),G$2=VLOOKUP($A3,Juniores!$A2:$D2,4,FALSE)),$N3,IF(OR(G$2=VLOOKUP($A3,Juniores!$A2:$F2,5,FALSE),G$2=VLOOKUP($A3,Juniores!$A2:$F2,6,FALSE)),$O3,MROUND(RAND()*(($N3-$P3)-($O3+$P3))+($O3+$P3),0.5))),"-")</f>
        <v>1</v>
      </c>
      <c r="H3" s="17">
        <f ca="1">IFERROR(IF(OR(H$2=VLOOKUP($A3,Juniores!$A2:$D2,3,FALSE),H$2=VLOOKUP($A3,Juniores!$A2:$D2,4,FALSE)),$N3,IF(OR(H$2=VLOOKUP($A3,Juniores!$A2:$F2,5,FALSE),H$2=VLOOKUP($A3,Juniores!$A2:$F2,6,FALSE)),$O3,MROUND(RAND()*(($N3-$P3)-($O3+$P3))+($O3+$P3),0.5))),"-")</f>
        <v>3</v>
      </c>
      <c r="I3" s="17">
        <f ca="1">IFERROR(IF(OR(I$2=VLOOKUP($A3,Juniores!$A2:$D2,3,FALSE),I$2=VLOOKUP($A3,Juniores!$A2:$D2,4,FALSE)),$N3,IF(OR(I$2=VLOOKUP($A3,Juniores!$A2:$F2,5,FALSE),I$2=VLOOKUP($A3,Juniores!$A2:$F2,6,FALSE)),$O3,MROUND(RAND()*(($N3-$P3)-($O3+$P3))+($O3+$P3),0.5))),"-")</f>
        <v>1</v>
      </c>
      <c r="J3" s="17">
        <f ca="1">IFERROR(IF(OR(J$2=VLOOKUP($A3,Juniores!$A2:$D2,3,FALSE),J$2=VLOOKUP($A3,Juniores!$A2:$D2,4,FALSE)),$N3,IF(OR(J$2=VLOOKUP($A3,Juniores!$A2:$F2,5,FALSE),J$2=VLOOKUP($A3,Juniores!$A2:$F2,6,FALSE)),$O3,MROUND(RAND()*(($N3-$P3)-($O3+$P3))+($O3+$P3),0.5))),"-")</f>
        <v>1.5</v>
      </c>
      <c r="K3" s="17">
        <f ca="1">IFERROR(IF(OR(K$2=VLOOKUP($A3,Juniores!$A2:$D2,3,FALSE),K$2=VLOOKUP($A3,Juniores!$A2:$D2,4,FALSE)),$N3,IF(OR(K$2=VLOOKUP($A3,Juniores!$A2:$F2,5,FALSE),K$2=VLOOKUP($A3,Juniores!$A2:$F2,6,FALSE)),$O3,MROUND(RAND()*(($N3-$P3)-($O3+$P3))+($O3+$P3),0.5))),"-")</f>
        <v>2</v>
      </c>
      <c r="L3" s="17">
        <f ca="1">IFERROR(IF(OR(L$2=VLOOKUP($A3,Juniores!$A2:$D2,3,FALSE),L$2=VLOOKUP($A3,Juniores!$A2:$D2,4,FALSE)),$N3,IF(OR(L$2=VLOOKUP($A3,Juniores!$A2:$F2,5,FALSE),L$2=VLOOKUP($A3,Juniores!$A2:$F2,6,FALSE)),$O3,MROUND(RAND()*(($N3-$P3)-($O3+$P3))+($O3+$P3),0.5))),"-")</f>
        <v>3</v>
      </c>
      <c r="M3" s="17">
        <f ca="1">IFERROR(IF(OR(M$2=VLOOKUP($A3,Juniores!$A2:$D2,3,FALSE),M$2=VLOOKUP($A3,Juniores!$A2:$D2,4,FALSE)),$N3,IF(OR(M$2=VLOOKUP($A3,Juniores!$A2:$F2,5,FALSE),M$2=VLOOKUP($A3,Juniores!$A2:$F2,6,FALSE)),$O3,MROUND(RAND()*(($N3-$P3)-($O3+$P3))+($O3+$P3),0.5))),"-")</f>
        <v>2</v>
      </c>
      <c r="N3" s="82">
        <f>IFERROR(JuniorstwoRandom[[#This Row],[MAX]],"-")</f>
        <v>3</v>
      </c>
      <c r="O3" s="82">
        <f>IFERROR(JuniorstwoRandom[[#This Row],[MIN]],"-")</f>
        <v>1</v>
      </c>
      <c r="P3" s="82">
        <f>IFERROR(JuniorstwoRandom[[#This Row],[MARGIN]],"-")</f>
        <v>0.5</v>
      </c>
    </row>
    <row r="4" spans="1:16" x14ac:dyDescent="0.25">
      <c r="A4" s="81">
        <f>IFERROR(JuniorstwoRandom[[#This Row],[Number]],"-")</f>
        <v>38</v>
      </c>
      <c r="B4" s="18" t="str">
        <f>IFERROR(VLOOKUP(A4,Zawodnicy[],2,FALSE),"-")</f>
        <v>Boleslaw Kolbert</v>
      </c>
      <c r="C4" s="17">
        <f ca="1">IFERROR(IF(OR(C$2=VLOOKUP($A4,Juniores!$A3:$D3,3,FALSE),C$2=VLOOKUP($A4,Juniores!$A3:$D3,4,FALSE)),$N4,IF(OR(C$2=VLOOKUP($A4,Juniores!$A3:$F3,5,FALSE),C$2=VLOOKUP($A4,Juniores!$A3:$F3,6,FALSE)),$O4,MROUND(RAND()*(($N4-$P4)-($O4+$P4))+($O4+$P4),0.5))),"-")</f>
        <v>2.5</v>
      </c>
      <c r="D4" s="17">
        <f ca="1">IFERROR(IF(OR(D$2=VLOOKUP($A4,Juniores!$A3:$D3,3,FALSE),D$2=VLOOKUP($A4,Juniores!$A3:$D3,4,FALSE)),$N4,IF(OR(D$2=VLOOKUP($A4,Juniores!$A3:$F3,5,FALSE),D$2=VLOOKUP($A4,Juniores!$A3:$F3,6,FALSE)),$O4,MROUND(RAND()*(($N4-$P4)-($O4+$P4))+($O4+$P4),0.5))),"-")</f>
        <v>2</v>
      </c>
      <c r="E4" s="17">
        <f ca="1">IFERROR(IF(OR(E$2=VLOOKUP($A4,Juniores!$A3:$D3,3,FALSE),E$2=VLOOKUP($A4,Juniores!$A3:$D3,4,FALSE)),$N4,IF(OR(E$2=VLOOKUP($A4,Juniores!$A3:$F3,5,FALSE),E$2=VLOOKUP($A4,Juniores!$A3:$F3,6,FALSE)),$O4,MROUND(RAND()*(($N4-$P4)-($O4+$P4))+($O4+$P4),0.5))),"-")</f>
        <v>2</v>
      </c>
      <c r="F4" s="17">
        <f ca="1">IFERROR(IF(OR(F$2=VLOOKUP($A4,Juniores!$A3:$D3,3,FALSE),F$2=VLOOKUP($A4,Juniores!$A3:$D3,4,FALSE)),$N4,IF(OR(F$2=VLOOKUP($A4,Juniores!$A3:$F3,5,FALSE),F$2=VLOOKUP($A4,Juniores!$A3:$F3,6,FALSE)),$O4,MROUND(RAND()*(($N4-$P4)-($O4+$P4))+($O4+$P4),0.5))),"-")</f>
        <v>2</v>
      </c>
      <c r="G4" s="17">
        <f ca="1">IFERROR(IF(OR(G$2=VLOOKUP($A4,Juniores!$A3:$D3,3,FALSE),G$2=VLOOKUP($A4,Juniores!$A3:$D3,4,FALSE)),$N4,IF(OR(G$2=VLOOKUP($A4,Juniores!$A3:$F3,5,FALSE),G$2=VLOOKUP($A4,Juniores!$A3:$F3,6,FALSE)),$O4,MROUND(RAND()*(($N4-$P4)-($O4+$P4))+($O4+$P4),0.5))),"-")</f>
        <v>1.5</v>
      </c>
      <c r="H4" s="17">
        <f ca="1">IFERROR(IF(OR(H$2=VLOOKUP($A4,Juniores!$A3:$D3,3,FALSE),H$2=VLOOKUP($A4,Juniores!$A3:$D3,4,FALSE)),$N4,IF(OR(H$2=VLOOKUP($A4,Juniores!$A3:$F3,5,FALSE),H$2=VLOOKUP($A4,Juniores!$A3:$F3,6,FALSE)),$O4,MROUND(RAND()*(($N4-$P4)-($O4+$P4))+($O4+$P4),0.5))),"-")</f>
        <v>3</v>
      </c>
      <c r="I4" s="17">
        <f ca="1">IFERROR(IF(OR(I$2=VLOOKUP($A4,Juniores!$A3:$D3,3,FALSE),I$2=VLOOKUP($A4,Juniores!$A3:$D3,4,FALSE)),$N4,IF(OR(I$2=VLOOKUP($A4,Juniores!$A3:$F3,5,FALSE),I$2=VLOOKUP($A4,Juniores!$A3:$F3,6,FALSE)),$O4,MROUND(RAND()*(($N4-$P4)-($O4+$P4))+($O4+$P4),0.5))),"-")</f>
        <v>1</v>
      </c>
      <c r="J4" s="17">
        <f ca="1">IFERROR(IF(OR(J$2=VLOOKUP($A4,Juniores!$A3:$D3,3,FALSE),J$2=VLOOKUP($A4,Juniores!$A3:$D3,4,FALSE)),$N4,IF(OR(J$2=VLOOKUP($A4,Juniores!$A3:$F3,5,FALSE),J$2=VLOOKUP($A4,Juniores!$A3:$F3,6,FALSE)),$O4,MROUND(RAND()*(($N4-$P4)-($O4+$P4))+($O4+$P4),0.5))),"-")</f>
        <v>1.5</v>
      </c>
      <c r="K4" s="17">
        <f ca="1">IFERROR(IF(OR(K$2=VLOOKUP($A4,Juniores!$A3:$D3,3,FALSE),K$2=VLOOKUP($A4,Juniores!$A3:$D3,4,FALSE)),$N4,IF(OR(K$2=VLOOKUP($A4,Juniores!$A3:$F3,5,FALSE),K$2=VLOOKUP($A4,Juniores!$A3:$F3,6,FALSE)),$O4,MROUND(RAND()*(($N4-$P4)-($O4+$P4))+($O4+$P4),0.5))),"-")</f>
        <v>3</v>
      </c>
      <c r="L4" s="17">
        <f ca="1">IFERROR(IF(OR(L$2=VLOOKUP($A4,Juniores!$A3:$D3,3,FALSE),L$2=VLOOKUP($A4,Juniores!$A3:$D3,4,FALSE)),$N4,IF(OR(L$2=VLOOKUP($A4,Juniores!$A3:$F3,5,FALSE),L$2=VLOOKUP($A4,Juniores!$A3:$F3,6,FALSE)),$O4,MROUND(RAND()*(($N4-$P4)-($O4+$P4))+($O4+$P4),0.5))),"-")</f>
        <v>1</v>
      </c>
      <c r="M4" s="17">
        <f ca="1">IFERROR(IF(OR(M$2=VLOOKUP($A4,Juniores!$A3:$D3,3,FALSE),M$2=VLOOKUP($A4,Juniores!$A3:$D3,4,FALSE)),$N4,IF(OR(M$2=VLOOKUP($A4,Juniores!$A3:$F3,5,FALSE),M$2=VLOOKUP($A4,Juniores!$A3:$F3,6,FALSE)),$O4,MROUND(RAND()*(($N4-$P4)-($O4+$P4))+($O4+$P4),0.5))),"-")</f>
        <v>2</v>
      </c>
      <c r="N4" s="82">
        <f>IFERROR(JuniorstwoRandom[[#This Row],[MAX]],"-")</f>
        <v>3</v>
      </c>
      <c r="O4" s="82">
        <f>IFERROR(JuniorstwoRandom[[#This Row],[MIN]],"-")</f>
        <v>1</v>
      </c>
      <c r="P4" s="82">
        <f>IFERROR(JuniorstwoRandom[[#This Row],[MARGIN]],"-")</f>
        <v>0.5</v>
      </c>
    </row>
    <row r="5" spans="1:16" x14ac:dyDescent="0.25">
      <c r="A5" s="81">
        <f>IFERROR(JuniorstwoRandom[[#This Row],[Number]],"-")</f>
        <v>39</v>
      </c>
      <c r="B5" s="18" t="str">
        <f>IFERROR(VLOOKUP(A5,Zawodnicy[],2,FALSE),"-")</f>
        <v>Damazy Pionek</v>
      </c>
      <c r="C5" s="17">
        <f ca="1">IFERROR(IF(OR(C$2=VLOOKUP($A5,Juniores!$A4:$D4,3,FALSE),C$2=VLOOKUP($A5,Juniores!$A4:$D4,4,FALSE)),$N5,IF(OR(C$2=VLOOKUP($A5,Juniores!$A4:$F4,5,FALSE),C$2=VLOOKUP($A5,Juniores!$A4:$F4,6,FALSE)),$O5,MROUND(RAND()*(($N5-$P5)-($O5+$P5))+($O5+$P5),0.5))),"-")</f>
        <v>2.5</v>
      </c>
      <c r="D5" s="17">
        <f ca="1">IFERROR(IF(OR(D$2=VLOOKUP($A5,Juniores!$A4:$D4,3,FALSE),D$2=VLOOKUP($A5,Juniores!$A4:$D4,4,FALSE)),$N5,IF(OR(D$2=VLOOKUP($A5,Juniores!$A4:$F4,5,FALSE),D$2=VLOOKUP($A5,Juniores!$A4:$F4,6,FALSE)),$O5,MROUND(RAND()*(($N5-$P5)-($O5+$P5))+($O5+$P5),0.5))),"-")</f>
        <v>2</v>
      </c>
      <c r="E5" s="17">
        <f ca="1">IFERROR(IF(OR(E$2=VLOOKUP($A5,Juniores!$A4:$D4,3,FALSE),E$2=VLOOKUP($A5,Juniores!$A4:$D4,4,FALSE)),$N5,IF(OR(E$2=VLOOKUP($A5,Juniores!$A4:$F4,5,FALSE),E$2=VLOOKUP($A5,Juniores!$A4:$F4,6,FALSE)),$O5,MROUND(RAND()*(($N5-$P5)-($O5+$P5))+($O5+$P5),0.5))),"-")</f>
        <v>3</v>
      </c>
      <c r="F5" s="17">
        <f ca="1">IFERROR(IF(OR(F$2=VLOOKUP($A5,Juniores!$A4:$D4,3,FALSE),F$2=VLOOKUP($A5,Juniores!$A4:$D4,4,FALSE)),$N5,IF(OR(F$2=VLOOKUP($A5,Juniores!$A4:$F4,5,FALSE),F$2=VLOOKUP($A5,Juniores!$A4:$F4,6,FALSE)),$O5,MROUND(RAND()*(($N5-$P5)-($O5+$P5))+($O5+$P5),0.5))),"-")</f>
        <v>2.5</v>
      </c>
      <c r="G5" s="17">
        <f ca="1">IFERROR(IF(OR(G$2=VLOOKUP($A5,Juniores!$A4:$D4,3,FALSE),G$2=VLOOKUP($A5,Juniores!$A4:$D4,4,FALSE)),$N5,IF(OR(G$2=VLOOKUP($A5,Juniores!$A4:$F4,5,FALSE),G$2=VLOOKUP($A5,Juniores!$A4:$F4,6,FALSE)),$O5,MROUND(RAND()*(($N5-$P5)-($O5+$P5))+($O5+$P5),0.5))),"-")</f>
        <v>2</v>
      </c>
      <c r="H5" s="17">
        <f ca="1">IFERROR(IF(OR(H$2=VLOOKUP($A5,Juniores!$A4:$D4,3,FALSE),H$2=VLOOKUP($A5,Juniores!$A4:$D4,4,FALSE)),$N5,IF(OR(H$2=VLOOKUP($A5,Juniores!$A4:$F4,5,FALSE),H$2=VLOOKUP($A5,Juniores!$A4:$F4,6,FALSE)),$O5,MROUND(RAND()*(($N5-$P5)-($O5+$P5))+($O5+$P5),0.5))),"-")</f>
        <v>3</v>
      </c>
      <c r="I5" s="17">
        <f ca="1">IFERROR(IF(OR(I$2=VLOOKUP($A5,Juniores!$A4:$D4,3,FALSE),I$2=VLOOKUP($A5,Juniores!$A4:$D4,4,FALSE)),$N5,IF(OR(I$2=VLOOKUP($A5,Juniores!$A4:$F4,5,FALSE),I$2=VLOOKUP($A5,Juniores!$A4:$F4,6,FALSE)),$O5,MROUND(RAND()*(($N5-$P5)-($O5+$P5))+($O5+$P5),0.5))),"-")</f>
        <v>4</v>
      </c>
      <c r="J5" s="17">
        <f ca="1">IFERROR(IF(OR(J$2=VLOOKUP($A5,Juniores!$A4:$D4,3,FALSE),J$2=VLOOKUP($A5,Juniores!$A4:$D4,4,FALSE)),$N5,IF(OR(J$2=VLOOKUP($A5,Juniores!$A4:$F4,5,FALSE),J$2=VLOOKUP($A5,Juniores!$A4:$F4,6,FALSE)),$O5,MROUND(RAND()*(($N5-$P5)-($O5+$P5))+($O5+$P5),0.5))),"-")</f>
        <v>4</v>
      </c>
      <c r="K5" s="17">
        <f ca="1">IFERROR(IF(OR(K$2=VLOOKUP($A5,Juniores!$A4:$D4,3,FALSE),K$2=VLOOKUP($A5,Juniores!$A4:$D4,4,FALSE)),$N5,IF(OR(K$2=VLOOKUP($A5,Juniores!$A4:$F4,5,FALSE),K$2=VLOOKUP($A5,Juniores!$A4:$F4,6,FALSE)),$O5,MROUND(RAND()*(($N5-$P5)-($O5+$P5))+($O5+$P5),0.5))),"-")</f>
        <v>3</v>
      </c>
      <c r="L5" s="17">
        <f ca="1">IFERROR(IF(OR(L$2=VLOOKUP($A5,Juniores!$A4:$D4,3,FALSE),L$2=VLOOKUP($A5,Juniores!$A4:$D4,4,FALSE)),$N5,IF(OR(L$2=VLOOKUP($A5,Juniores!$A4:$F4,5,FALSE),L$2=VLOOKUP($A5,Juniores!$A4:$F4,6,FALSE)),$O5,MROUND(RAND()*(($N5-$P5)-($O5+$P5))+($O5+$P5),0.5))),"-")</f>
        <v>3</v>
      </c>
      <c r="M5" s="17">
        <f ca="1">IFERROR(IF(OR(M$2=VLOOKUP($A5,Juniores!$A4:$D4,3,FALSE),M$2=VLOOKUP($A5,Juniores!$A4:$D4,4,FALSE)),$N5,IF(OR(M$2=VLOOKUP($A5,Juniores!$A4:$F4,5,FALSE),M$2=VLOOKUP($A5,Juniores!$A4:$F4,6,FALSE)),$O5,MROUND(RAND()*(($N5-$P5)-($O5+$P5))+($O5+$P5),0.5))),"-")</f>
        <v>3</v>
      </c>
      <c r="N5" s="82">
        <f>IFERROR(JuniorstwoRandom[[#This Row],[MAX]],"-")</f>
        <v>4</v>
      </c>
      <c r="O5" s="82">
        <f>IFERROR(JuniorstwoRandom[[#This Row],[MIN]],"-")</f>
        <v>2</v>
      </c>
      <c r="P5" s="82">
        <f>IFERROR(JuniorstwoRandom[[#This Row],[MARGIN]],"-")</f>
        <v>0.5</v>
      </c>
    </row>
    <row r="6" spans="1:16" x14ac:dyDescent="0.25">
      <c r="A6" s="81">
        <f>IFERROR(JuniorstwoRandom[[#This Row],[Number]],"-")</f>
        <v>40</v>
      </c>
      <c r="B6" s="18" t="str">
        <f>IFERROR(VLOOKUP(A6,Zawodnicy[],2,FALSE),"-")</f>
        <v>Benedykt Adamus</v>
      </c>
      <c r="C6" s="17">
        <f ca="1">IFERROR(IF(OR(C$2=VLOOKUP($A6,Juniores!$A5:$D5,3,FALSE),C$2=VLOOKUP($A6,Juniores!$A5:$D5,4,FALSE)),$N6,IF(OR(C$2=VLOOKUP($A6,Juniores!$A5:$F5,5,FALSE),C$2=VLOOKUP($A6,Juniores!$A5:$F5,6,FALSE)),$O6,MROUND(RAND()*(($N6-$P6)-($O6+$P6))+($O6+$P6),0.5))),"-")</f>
        <v>2.5</v>
      </c>
      <c r="D6" s="17">
        <f ca="1">IFERROR(IF(OR(D$2=VLOOKUP($A6,Juniores!$A5:$D5,3,FALSE),D$2=VLOOKUP($A6,Juniores!$A5:$D5,4,FALSE)),$N6,IF(OR(D$2=VLOOKUP($A6,Juniores!$A5:$F5,5,FALSE),D$2=VLOOKUP($A6,Juniores!$A5:$F5,6,FALSE)),$O6,MROUND(RAND()*(($N6-$P6)-($O6+$P6))+($O6+$P6),0.5))),"-")</f>
        <v>4</v>
      </c>
      <c r="E6" s="17">
        <f ca="1">IFERROR(IF(OR(E$2=VLOOKUP($A6,Juniores!$A5:$D5,3,FALSE),E$2=VLOOKUP($A6,Juniores!$A5:$D5,4,FALSE)),$N6,IF(OR(E$2=VLOOKUP($A6,Juniores!$A5:$F5,5,FALSE),E$2=VLOOKUP($A6,Juniores!$A5:$F5,6,FALSE)),$O6,MROUND(RAND()*(($N6-$P6)-($O6+$P6))+($O6+$P6),0.5))),"-")</f>
        <v>3</v>
      </c>
      <c r="F6" s="17">
        <f ca="1">IFERROR(IF(OR(F$2=VLOOKUP($A6,Juniores!$A5:$D5,3,FALSE),F$2=VLOOKUP($A6,Juniores!$A5:$D5,4,FALSE)),$N6,IF(OR(F$2=VLOOKUP($A6,Juniores!$A5:$F5,5,FALSE),F$2=VLOOKUP($A6,Juniores!$A5:$F5,6,FALSE)),$O6,MROUND(RAND()*(($N6-$P6)-($O6+$P6))+($O6+$P6),0.5))),"-")</f>
        <v>4</v>
      </c>
      <c r="G6" s="17">
        <f ca="1">IFERROR(IF(OR(G$2=VLOOKUP($A6,Juniores!$A5:$D5,3,FALSE),G$2=VLOOKUP($A6,Juniores!$A5:$D5,4,FALSE)),$N6,IF(OR(G$2=VLOOKUP($A6,Juniores!$A5:$F5,5,FALSE),G$2=VLOOKUP($A6,Juniores!$A5:$F5,6,FALSE)),$O6,MROUND(RAND()*(($N6-$P6)-($O6+$P6))+($O6+$P6),0.5))),"-")</f>
        <v>3</v>
      </c>
      <c r="H6" s="17">
        <f ca="1">IFERROR(IF(OR(H$2=VLOOKUP($A6,Juniores!$A5:$D5,3,FALSE),H$2=VLOOKUP($A6,Juniores!$A5:$D5,4,FALSE)),$N6,IF(OR(H$2=VLOOKUP($A6,Juniores!$A5:$F5,5,FALSE),H$2=VLOOKUP($A6,Juniores!$A5:$F5,6,FALSE)),$O6,MROUND(RAND()*(($N6-$P6)-($O6+$P6))+($O6+$P6),0.5))),"-")</f>
        <v>2</v>
      </c>
      <c r="I6" s="17">
        <f ca="1">IFERROR(IF(OR(I$2=VLOOKUP($A6,Juniores!$A5:$D5,3,FALSE),I$2=VLOOKUP($A6,Juniores!$A5:$D5,4,FALSE)),$N6,IF(OR(I$2=VLOOKUP($A6,Juniores!$A5:$F5,5,FALSE),I$2=VLOOKUP($A6,Juniores!$A5:$F5,6,FALSE)),$O6,MROUND(RAND()*(($N6-$P6)-($O6+$P6))+($O6+$P6),0.5))),"-")</f>
        <v>3</v>
      </c>
      <c r="J6" s="17">
        <f ca="1">IFERROR(IF(OR(J$2=VLOOKUP($A6,Juniores!$A5:$D5,3,FALSE),J$2=VLOOKUP($A6,Juniores!$A5:$D5,4,FALSE)),$N6,IF(OR(J$2=VLOOKUP($A6,Juniores!$A5:$F5,5,FALSE),J$2=VLOOKUP($A6,Juniores!$A5:$F5,6,FALSE)),$O6,MROUND(RAND()*(($N6-$P6)-($O6+$P6))+($O6+$P6),0.5))),"-")</f>
        <v>3</v>
      </c>
      <c r="K6" s="17">
        <f ca="1">IFERROR(IF(OR(K$2=VLOOKUP($A6,Juniores!$A5:$D5,3,FALSE),K$2=VLOOKUP($A6,Juniores!$A5:$D5,4,FALSE)),$N6,IF(OR(K$2=VLOOKUP($A6,Juniores!$A5:$F5,5,FALSE),K$2=VLOOKUP($A6,Juniores!$A5:$F5,6,FALSE)),$O6,MROUND(RAND()*(($N6-$P6)-($O6+$P6))+($O6+$P6),0.5))),"-")</f>
        <v>2</v>
      </c>
      <c r="L6" s="17">
        <f ca="1">IFERROR(IF(OR(L$2=VLOOKUP($A6,Juniores!$A5:$D5,3,FALSE),L$2=VLOOKUP($A6,Juniores!$A5:$D5,4,FALSE)),$N6,IF(OR(L$2=VLOOKUP($A6,Juniores!$A5:$F5,5,FALSE),L$2=VLOOKUP($A6,Juniores!$A5:$F5,6,FALSE)),$O6,MROUND(RAND()*(($N6-$P6)-($O6+$P6))+($O6+$P6),0.5))),"-")</f>
        <v>2.5</v>
      </c>
      <c r="M6" s="17">
        <f ca="1">IFERROR(IF(OR(M$2=VLOOKUP($A6,Juniores!$A5:$D5,3,FALSE),M$2=VLOOKUP($A6,Juniores!$A5:$D5,4,FALSE)),$N6,IF(OR(M$2=VLOOKUP($A6,Juniores!$A5:$F5,5,FALSE),M$2=VLOOKUP($A6,Juniores!$A5:$F5,6,FALSE)),$O6,MROUND(RAND()*(($N6-$P6)-($O6+$P6))+($O6+$P6),0.5))),"-")</f>
        <v>3</v>
      </c>
      <c r="N6" s="82">
        <f>IFERROR(JuniorstwoRandom[[#This Row],[MAX]],"-")</f>
        <v>4</v>
      </c>
      <c r="O6" s="82">
        <f>IFERROR(JuniorstwoRandom[[#This Row],[MIN]],"-")</f>
        <v>2</v>
      </c>
      <c r="P6" s="82">
        <f>IFERROR(JuniorstwoRandom[[#This Row],[MARGIN]],"-")</f>
        <v>0.5</v>
      </c>
    </row>
    <row r="7" spans="1:16" x14ac:dyDescent="0.25">
      <c r="A7" s="81">
        <f>IFERROR(JuniorstwoRandom[[#This Row],[Number]],"-")</f>
        <v>42</v>
      </c>
      <c r="B7" s="18" t="str">
        <f>IFERROR(VLOOKUP(A7,Zawodnicy[],2,FALSE),"-")</f>
        <v>Olaf Skikiewicz</v>
      </c>
      <c r="C7" s="17">
        <f ca="1">IFERROR(IF(OR(C$2=VLOOKUP($A7,Juniores!$A6:$D6,3,FALSE),C$2=VLOOKUP($A7,Juniores!$A6:$D6,4,FALSE)),$N7,IF(OR(C$2=VLOOKUP($A7,Juniores!$A6:$F6,5,FALSE),C$2=VLOOKUP($A7,Juniores!$A6:$F6,6,FALSE)),$O7,MROUND(RAND()*(($N7-$P7)-($O7+$P7))+($O7+$P7),0.5))),"-")</f>
        <v>3</v>
      </c>
      <c r="D7" s="17">
        <f ca="1">IFERROR(IF(OR(D$2=VLOOKUP($A7,Juniores!$A6:$D6,3,FALSE),D$2=VLOOKUP($A7,Juniores!$A6:$D6,4,FALSE)),$N7,IF(OR(D$2=VLOOKUP($A7,Juniores!$A6:$F6,5,FALSE),D$2=VLOOKUP($A7,Juniores!$A6:$F6,6,FALSE)),$O7,MROUND(RAND()*(($N7-$P7)-($O7+$P7))+($O7+$P7),0.5))),"-")</f>
        <v>2.5</v>
      </c>
      <c r="E7" s="17">
        <f ca="1">IFERROR(IF(OR(E$2=VLOOKUP($A7,Juniores!$A6:$D6,3,FALSE),E$2=VLOOKUP($A7,Juniores!$A6:$D6,4,FALSE)),$N7,IF(OR(E$2=VLOOKUP($A7,Juniores!$A6:$F6,5,FALSE),E$2=VLOOKUP($A7,Juniores!$A6:$F6,6,FALSE)),$O7,MROUND(RAND()*(($N7-$P7)-($O7+$P7))+($O7+$P7),0.5))),"-")</f>
        <v>2.5</v>
      </c>
      <c r="F7" s="17">
        <f ca="1">IFERROR(IF(OR(F$2=VLOOKUP($A7,Juniores!$A6:$D6,3,FALSE),F$2=VLOOKUP($A7,Juniores!$A6:$D6,4,FALSE)),$N7,IF(OR(F$2=VLOOKUP($A7,Juniores!$A6:$F6,5,FALSE),F$2=VLOOKUP($A7,Juniores!$A6:$F6,6,FALSE)),$O7,MROUND(RAND()*(($N7-$P7)-($O7+$P7))+($O7+$P7),0.5))),"-")</f>
        <v>2.5</v>
      </c>
      <c r="G7" s="17">
        <f ca="1">IFERROR(IF(OR(G$2=VLOOKUP($A7,Juniores!$A6:$D6,3,FALSE),G$2=VLOOKUP($A7,Juniores!$A6:$D6,4,FALSE)),$N7,IF(OR(G$2=VLOOKUP($A7,Juniores!$A6:$F6,5,FALSE),G$2=VLOOKUP($A7,Juniores!$A6:$F6,6,FALSE)),$O7,MROUND(RAND()*(($N7-$P7)-($O7+$P7))+($O7+$P7),0.5))),"-")</f>
        <v>2.5</v>
      </c>
      <c r="H7" s="17">
        <f ca="1">IFERROR(IF(OR(H$2=VLOOKUP($A7,Juniores!$A6:$D6,3,FALSE),H$2=VLOOKUP($A7,Juniores!$A6:$D6,4,FALSE)),$N7,IF(OR(H$2=VLOOKUP($A7,Juniores!$A6:$F6,5,FALSE),H$2=VLOOKUP($A7,Juniores!$A6:$F6,6,FALSE)),$O7,MROUND(RAND()*(($N7-$P7)-($O7+$P7))+($O7+$P7),0.5))),"-")</f>
        <v>2.5</v>
      </c>
      <c r="I7" s="17">
        <f ca="1">IFERROR(IF(OR(I$2=VLOOKUP($A7,Juniores!$A6:$D6,3,FALSE),I$2=VLOOKUP($A7,Juniores!$A6:$D6,4,FALSE)),$N7,IF(OR(I$2=VLOOKUP($A7,Juniores!$A6:$F6,5,FALSE),I$2=VLOOKUP($A7,Juniores!$A6:$F6,6,FALSE)),$O7,MROUND(RAND()*(($N7-$P7)-($O7+$P7))+($O7+$P7),0.5))),"-")</f>
        <v>2</v>
      </c>
      <c r="J7" s="17">
        <f ca="1">IFERROR(IF(OR(J$2=VLOOKUP($A7,Juniores!$A6:$D6,3,FALSE),J$2=VLOOKUP($A7,Juniores!$A6:$D6,4,FALSE)),$N7,IF(OR(J$2=VLOOKUP($A7,Juniores!$A6:$F6,5,FALSE),J$2=VLOOKUP($A7,Juniores!$A6:$F6,6,FALSE)),$O7,MROUND(RAND()*(($N7-$P7)-($O7+$P7))+($O7+$P7),0.5))),"-")</f>
        <v>2.5</v>
      </c>
      <c r="K7" s="17">
        <f ca="1">IFERROR(IF(OR(K$2=VLOOKUP($A7,Juniores!$A6:$D6,3,FALSE),K$2=VLOOKUP($A7,Juniores!$A6:$D6,4,FALSE)),$N7,IF(OR(K$2=VLOOKUP($A7,Juniores!$A6:$F6,5,FALSE),K$2=VLOOKUP($A7,Juniores!$A6:$F6,6,FALSE)),$O7,MROUND(RAND()*(($N7-$P7)-($O7+$P7))+($O7+$P7),0.5))),"-")</f>
        <v>2</v>
      </c>
      <c r="L7" s="17">
        <f ca="1">IFERROR(IF(OR(L$2=VLOOKUP($A7,Juniores!$A6:$D6,3,FALSE),L$2=VLOOKUP($A7,Juniores!$A6:$D6,4,FALSE)),$N7,IF(OR(L$2=VLOOKUP($A7,Juniores!$A6:$F6,5,FALSE),L$2=VLOOKUP($A7,Juniores!$A6:$F6,6,FALSE)),$O7,MROUND(RAND()*(($N7-$P7)-($O7+$P7))+($O7+$P7),0.5))),"-")</f>
        <v>3</v>
      </c>
      <c r="M7" s="17">
        <f ca="1">IFERROR(IF(OR(M$2=VLOOKUP($A7,Juniores!$A6:$D6,3,FALSE),M$2=VLOOKUP($A7,Juniores!$A6:$D6,4,FALSE)),$N7,IF(OR(M$2=VLOOKUP($A7,Juniores!$A6:$F6,5,FALSE),M$2=VLOOKUP($A7,Juniores!$A6:$F6,6,FALSE)),$O7,MROUND(RAND()*(($N7-$P7)-($O7+$P7))+($O7+$P7),0.5))),"-")</f>
        <v>2.5</v>
      </c>
      <c r="N7" s="82">
        <f>IFERROR(JuniorstwoRandom[[#This Row],[MAX]],"-")</f>
        <v>3</v>
      </c>
      <c r="O7" s="82">
        <f>IFERROR(JuniorstwoRandom[[#This Row],[MIN]],"-")</f>
        <v>2</v>
      </c>
      <c r="P7" s="82">
        <f>IFERROR(JuniorstwoRandom[[#This Row],[MARGIN]],"-")</f>
        <v>0.5</v>
      </c>
    </row>
    <row r="8" spans="1:16" x14ac:dyDescent="0.25">
      <c r="A8" s="81">
        <f>IFERROR(JuniorstwoRandom[[#This Row],[Number]],"-")</f>
        <v>45</v>
      </c>
      <c r="B8" s="18" t="str">
        <f>IFERROR(VLOOKUP(A8,Zawodnicy[],2,FALSE),"-")</f>
        <v>Janusz Sierocki</v>
      </c>
      <c r="C8" s="17">
        <f ca="1">IFERROR(IF(OR(C$2=VLOOKUP($A8,Juniores!$A7:$D7,3,FALSE),C$2=VLOOKUP($A8,Juniores!$A7:$D7,4,FALSE)),$N8,IF(OR(C$2=VLOOKUP($A8,Juniores!$A7:$F7,5,FALSE),C$2=VLOOKUP($A8,Juniores!$A7:$F7,6,FALSE)),$O8,MROUND(RAND()*(($N8-$P8)-($O8+$P8))+($O8+$P8),0.5))),"-")</f>
        <v>2</v>
      </c>
      <c r="D8" s="17">
        <f ca="1">IFERROR(IF(OR(D$2=VLOOKUP($A8,Juniores!$A7:$D7,3,FALSE),D$2=VLOOKUP($A8,Juniores!$A7:$D7,4,FALSE)),$N8,IF(OR(D$2=VLOOKUP($A8,Juniores!$A7:$F7,5,FALSE),D$2=VLOOKUP($A8,Juniores!$A7:$F7,6,FALSE)),$O8,MROUND(RAND()*(($N8-$P8)-($O8+$P8))+($O8+$P8),0.5))),"-")</f>
        <v>2.5</v>
      </c>
      <c r="E8" s="17">
        <f ca="1">IFERROR(IF(OR(E$2=VLOOKUP($A8,Juniores!$A7:$D7,3,FALSE),E$2=VLOOKUP($A8,Juniores!$A7:$D7,4,FALSE)),$N8,IF(OR(E$2=VLOOKUP($A8,Juniores!$A7:$F7,5,FALSE),E$2=VLOOKUP($A8,Juniores!$A7:$F7,6,FALSE)),$O8,MROUND(RAND()*(($N8-$P8)-($O8+$P8))+($O8+$P8),0.5))),"-")</f>
        <v>1</v>
      </c>
      <c r="F8" s="17">
        <f ca="1">IFERROR(IF(OR(F$2=VLOOKUP($A8,Juniores!$A7:$D7,3,FALSE),F$2=VLOOKUP($A8,Juniores!$A7:$D7,4,FALSE)),$N8,IF(OR(F$2=VLOOKUP($A8,Juniores!$A7:$F7,5,FALSE),F$2=VLOOKUP($A8,Juniores!$A7:$F7,6,FALSE)),$O8,MROUND(RAND()*(($N8-$P8)-($O8+$P8))+($O8+$P8),0.5))),"-")</f>
        <v>3</v>
      </c>
      <c r="G8" s="17">
        <f ca="1">IFERROR(IF(OR(G$2=VLOOKUP($A8,Juniores!$A7:$D7,3,FALSE),G$2=VLOOKUP($A8,Juniores!$A7:$D7,4,FALSE)),$N8,IF(OR(G$2=VLOOKUP($A8,Juniores!$A7:$F7,5,FALSE),G$2=VLOOKUP($A8,Juniores!$A7:$F7,6,FALSE)),$O8,MROUND(RAND()*(($N8-$P8)-($O8+$P8))+($O8+$P8),0.5))),"-")</f>
        <v>2</v>
      </c>
      <c r="H8" s="17">
        <f ca="1">IFERROR(IF(OR(H$2=VLOOKUP($A8,Juniores!$A7:$D7,3,FALSE),H$2=VLOOKUP($A8,Juniores!$A7:$D7,4,FALSE)),$N8,IF(OR(H$2=VLOOKUP($A8,Juniores!$A7:$F7,5,FALSE),H$2=VLOOKUP($A8,Juniores!$A7:$F7,6,FALSE)),$O8,MROUND(RAND()*(($N8-$P8)-($O8+$P8))+($O8+$P8),0.5))),"-")</f>
        <v>1.5</v>
      </c>
      <c r="I8" s="17">
        <f ca="1">IFERROR(IF(OR(I$2=VLOOKUP($A8,Juniores!$A7:$D7,3,FALSE),I$2=VLOOKUP($A8,Juniores!$A7:$D7,4,FALSE)),$N8,IF(OR(I$2=VLOOKUP($A8,Juniores!$A7:$F7,5,FALSE),I$2=VLOOKUP($A8,Juniores!$A7:$F7,6,FALSE)),$O8,MROUND(RAND()*(($N8-$P8)-($O8+$P8))+($O8+$P8),0.5))),"-")</f>
        <v>1</v>
      </c>
      <c r="J8" s="17">
        <f ca="1">IFERROR(IF(OR(J$2=VLOOKUP($A8,Juniores!$A7:$D7,3,FALSE),J$2=VLOOKUP($A8,Juniores!$A7:$D7,4,FALSE)),$N8,IF(OR(J$2=VLOOKUP($A8,Juniores!$A7:$F7,5,FALSE),J$2=VLOOKUP($A8,Juniores!$A7:$F7,6,FALSE)),$O8,MROUND(RAND()*(($N8-$P8)-($O8+$P8))+($O8+$P8),0.5))),"-")</f>
        <v>1.5</v>
      </c>
      <c r="K8" s="17">
        <f ca="1">IFERROR(IF(OR(K$2=VLOOKUP($A8,Juniores!$A7:$D7,3,FALSE),K$2=VLOOKUP($A8,Juniores!$A7:$D7,4,FALSE)),$N8,IF(OR(K$2=VLOOKUP($A8,Juniores!$A7:$F7,5,FALSE),K$2=VLOOKUP($A8,Juniores!$A7:$F7,6,FALSE)),$O8,MROUND(RAND()*(($N8-$P8)-($O8+$P8))+($O8+$P8),0.5))),"-")</f>
        <v>3</v>
      </c>
      <c r="L8" s="17">
        <f ca="1">IFERROR(IF(OR(L$2=VLOOKUP($A8,Juniores!$A7:$D7,3,FALSE),L$2=VLOOKUP($A8,Juniores!$A7:$D7,4,FALSE)),$N8,IF(OR(L$2=VLOOKUP($A8,Juniores!$A7:$F7,5,FALSE),L$2=VLOOKUP($A8,Juniores!$A7:$F7,6,FALSE)),$O8,MROUND(RAND()*(($N8-$P8)-($O8+$P8))+($O8+$P8),0.5))),"-")</f>
        <v>2</v>
      </c>
      <c r="M8" s="17">
        <f ca="1">IFERROR(IF(OR(M$2=VLOOKUP($A8,Juniores!$A7:$D7,3,FALSE),M$2=VLOOKUP($A8,Juniores!$A7:$D7,4,FALSE)),$N8,IF(OR(M$2=VLOOKUP($A8,Juniores!$A7:$F7,5,FALSE),M$2=VLOOKUP($A8,Juniores!$A7:$F7,6,FALSE)),$O8,MROUND(RAND()*(($N8-$P8)-($O8+$P8))+($O8+$P8),0.5))),"-")</f>
        <v>2</v>
      </c>
      <c r="N8" s="82">
        <f>IFERROR(JuniorstwoRandom[[#This Row],[MAX]],"-")</f>
        <v>3</v>
      </c>
      <c r="O8" s="82">
        <f>IFERROR(JuniorstwoRandom[[#This Row],[MIN]],"-")</f>
        <v>1</v>
      </c>
      <c r="P8" s="82">
        <f>IFERROR(JuniorstwoRandom[[#This Row],[MARGIN]],"-")</f>
        <v>0.5</v>
      </c>
    </row>
    <row r="9" spans="1:16" x14ac:dyDescent="0.25">
      <c r="A9" s="81">
        <f>IFERROR(JuniorstwoRandom[[#This Row],[Number]],"-")</f>
        <v>46</v>
      </c>
      <c r="B9" s="18" t="str">
        <f>IFERROR(VLOOKUP(A9,Zawodnicy[],2,FALSE),"-")</f>
        <v>Iwo Duszenski</v>
      </c>
      <c r="C9" s="17">
        <f ca="1">IFERROR(IF(OR(C$2=VLOOKUP($A9,Juniores!$A8:$D8,3,FALSE),C$2=VLOOKUP($A9,Juniores!$A8:$D8,4,FALSE)),$N9,IF(OR(C$2=VLOOKUP($A9,Juniores!$A8:$F8,5,FALSE),C$2=VLOOKUP($A9,Juniores!$A8:$F8,6,FALSE)),$O9,MROUND(RAND()*(($N9-$P9)-($O9+$P9))+($O9+$P9),0.5))),"-")</f>
        <v>2.5</v>
      </c>
      <c r="D9" s="17">
        <f ca="1">IFERROR(IF(OR(D$2=VLOOKUP($A9,Juniores!$A8:$D8,3,FALSE),D$2=VLOOKUP($A9,Juniores!$A8:$D8,4,FALSE)),$N9,IF(OR(D$2=VLOOKUP($A9,Juniores!$A8:$F8,5,FALSE),D$2=VLOOKUP($A9,Juniores!$A8:$F8,6,FALSE)),$O9,MROUND(RAND()*(($N9-$P9)-($O9+$P9))+($O9+$P9),0.5))),"-")</f>
        <v>3</v>
      </c>
      <c r="E9" s="17">
        <f ca="1">IFERROR(IF(OR(E$2=VLOOKUP($A9,Juniores!$A8:$D8,3,FALSE),E$2=VLOOKUP($A9,Juniores!$A8:$D8,4,FALSE)),$N9,IF(OR(E$2=VLOOKUP($A9,Juniores!$A8:$F8,5,FALSE),E$2=VLOOKUP($A9,Juniores!$A8:$F8,6,FALSE)),$O9,MROUND(RAND()*(($N9-$P9)-($O9+$P9))+($O9+$P9),0.5))),"-")</f>
        <v>4</v>
      </c>
      <c r="F9" s="17">
        <f ca="1">IFERROR(IF(OR(F$2=VLOOKUP($A9,Juniores!$A8:$D8,3,FALSE),F$2=VLOOKUP($A9,Juniores!$A8:$D8,4,FALSE)),$N9,IF(OR(F$2=VLOOKUP($A9,Juniores!$A8:$F8,5,FALSE),F$2=VLOOKUP($A9,Juniores!$A8:$F8,6,FALSE)),$O9,MROUND(RAND()*(($N9-$P9)-($O9+$P9))+($O9+$P9),0.5))),"-")</f>
        <v>2</v>
      </c>
      <c r="G9" s="17">
        <f ca="1">IFERROR(IF(OR(G$2=VLOOKUP($A9,Juniores!$A8:$D8,3,FALSE),G$2=VLOOKUP($A9,Juniores!$A8:$D8,4,FALSE)),$N9,IF(OR(G$2=VLOOKUP($A9,Juniores!$A8:$F8,5,FALSE),G$2=VLOOKUP($A9,Juniores!$A8:$F8,6,FALSE)),$O9,MROUND(RAND()*(($N9-$P9)-($O9+$P9))+($O9+$P9),0.5))),"-")</f>
        <v>4</v>
      </c>
      <c r="H9" s="17">
        <f ca="1">IFERROR(IF(OR(H$2=VLOOKUP($A9,Juniores!$A8:$D8,3,FALSE),H$2=VLOOKUP($A9,Juniores!$A8:$D8,4,FALSE)),$N9,IF(OR(H$2=VLOOKUP($A9,Juniores!$A8:$F8,5,FALSE),H$2=VLOOKUP($A9,Juniores!$A8:$F8,6,FALSE)),$O9,MROUND(RAND()*(($N9-$P9)-($O9+$P9))+($O9+$P9),0.5))),"-")</f>
        <v>2.5</v>
      </c>
      <c r="I9" s="17">
        <f ca="1">IFERROR(IF(OR(I$2=VLOOKUP($A9,Juniores!$A8:$D8,3,FALSE),I$2=VLOOKUP($A9,Juniores!$A8:$D8,4,FALSE)),$N9,IF(OR(I$2=VLOOKUP($A9,Juniores!$A8:$F8,5,FALSE),I$2=VLOOKUP($A9,Juniores!$A8:$F8,6,FALSE)),$O9,MROUND(RAND()*(($N9-$P9)-($O9+$P9))+($O9+$P9),0.5))),"-")</f>
        <v>1</v>
      </c>
      <c r="J9" s="17">
        <f ca="1">IFERROR(IF(OR(J$2=VLOOKUP($A9,Juniores!$A8:$D8,3,FALSE),J$2=VLOOKUP($A9,Juniores!$A8:$D8,4,FALSE)),$N9,IF(OR(J$2=VLOOKUP($A9,Juniores!$A8:$F8,5,FALSE),J$2=VLOOKUP($A9,Juniores!$A8:$F8,6,FALSE)),$O9,MROUND(RAND()*(($N9-$P9)-($O9+$P9))+($O9+$P9),0.5))),"-")</f>
        <v>1.5</v>
      </c>
      <c r="K9" s="17">
        <f ca="1">IFERROR(IF(OR(K$2=VLOOKUP($A9,Juniores!$A8:$D8,3,FALSE),K$2=VLOOKUP($A9,Juniores!$A8:$D8,4,FALSE)),$N9,IF(OR(K$2=VLOOKUP($A9,Juniores!$A8:$F8,5,FALSE),K$2=VLOOKUP($A9,Juniores!$A8:$F8,6,FALSE)),$O9,MROUND(RAND()*(($N9-$P9)-($O9+$P9))+($O9+$P9),0.5))),"-")</f>
        <v>2</v>
      </c>
      <c r="L9" s="17">
        <f ca="1">IFERROR(IF(OR(L$2=VLOOKUP($A9,Juniores!$A8:$D8,3,FALSE),L$2=VLOOKUP($A9,Juniores!$A8:$D8,4,FALSE)),$N9,IF(OR(L$2=VLOOKUP($A9,Juniores!$A8:$F8,5,FALSE),L$2=VLOOKUP($A9,Juniores!$A8:$F8,6,FALSE)),$O9,MROUND(RAND()*(($N9-$P9)-($O9+$P9))+($O9+$P9),0.5))),"-")</f>
        <v>1</v>
      </c>
      <c r="M9" s="17">
        <f ca="1">IFERROR(IF(OR(M$2=VLOOKUP($A9,Juniores!$A8:$D8,3,FALSE),M$2=VLOOKUP($A9,Juniores!$A8:$D8,4,FALSE)),$N9,IF(OR(M$2=VLOOKUP($A9,Juniores!$A8:$F8,5,FALSE),M$2=VLOOKUP($A9,Juniores!$A8:$F8,6,FALSE)),$O9,MROUND(RAND()*(($N9-$P9)-($O9+$P9))+($O9+$P9),0.5))),"-")</f>
        <v>3</v>
      </c>
      <c r="N9" s="82">
        <f>IFERROR(JuniorstwoRandom[[#This Row],[MAX]],"-")</f>
        <v>4</v>
      </c>
      <c r="O9" s="82">
        <f>IFERROR(JuniorstwoRandom[[#This Row],[MIN]],"-")</f>
        <v>1</v>
      </c>
      <c r="P9" s="82">
        <f>IFERROR(JuniorstwoRandom[[#This Row],[MARGIN]],"-")</f>
        <v>0.5</v>
      </c>
    </row>
    <row r="10" spans="1:16" x14ac:dyDescent="0.25">
      <c r="A10" s="81">
        <f>IFERROR(JuniorstwoRandom[[#This Row],[Number]],"-")</f>
        <v>48</v>
      </c>
      <c r="B10" s="18" t="str">
        <f>IFERROR(VLOOKUP(A10,Zawodnicy[],2,FALSE),"-")</f>
        <v>Wincenty Zawaski</v>
      </c>
      <c r="C10" s="17">
        <f ca="1">IFERROR(IF(OR(C$2=VLOOKUP($A10,Juniores!$A9:$D9,3,FALSE),C$2=VLOOKUP($A10,Juniores!$A9:$D9,4,FALSE)),$N10,IF(OR(C$2=VLOOKUP($A10,Juniores!$A9:$F9,5,FALSE),C$2=VLOOKUP($A10,Juniores!$A9:$F9,6,FALSE)),$O10,MROUND(RAND()*(($N10-$P10)-($O10+$P10))+($O10+$P10),0.5))),"-")</f>
        <v>1.5</v>
      </c>
      <c r="D10" s="17">
        <f ca="1">IFERROR(IF(OR(D$2=VLOOKUP($A10,Juniores!$A9:$D9,3,FALSE),D$2=VLOOKUP($A10,Juniores!$A9:$D9,4,FALSE)),$N10,IF(OR(D$2=VLOOKUP($A10,Juniores!$A9:$F9,5,FALSE),D$2=VLOOKUP($A10,Juniores!$A9:$F9,6,FALSE)),$O10,MROUND(RAND()*(($N10-$P10)-($O10+$P10))+($O10+$P10),0.5))),"-")</f>
        <v>3</v>
      </c>
      <c r="E10" s="17">
        <f ca="1">IFERROR(IF(OR(E$2=VLOOKUP($A10,Juniores!$A9:$D9,3,FALSE),E$2=VLOOKUP($A10,Juniores!$A9:$D9,4,FALSE)),$N10,IF(OR(E$2=VLOOKUP($A10,Juniores!$A9:$F9,5,FALSE),E$2=VLOOKUP($A10,Juniores!$A9:$F9,6,FALSE)),$O10,MROUND(RAND()*(($N10-$P10)-($O10+$P10))+($O10+$P10),0.5))),"-")</f>
        <v>2</v>
      </c>
      <c r="F10" s="17">
        <f ca="1">IFERROR(IF(OR(F$2=VLOOKUP($A10,Juniores!$A9:$D9,3,FALSE),F$2=VLOOKUP($A10,Juniores!$A9:$D9,4,FALSE)),$N10,IF(OR(F$2=VLOOKUP($A10,Juniores!$A9:$F9,5,FALSE),F$2=VLOOKUP($A10,Juniores!$A9:$F9,6,FALSE)),$O10,MROUND(RAND()*(($N10-$P10)-($O10+$P10))+($O10+$P10),0.5))),"-")</f>
        <v>2</v>
      </c>
      <c r="G10" s="17">
        <f ca="1">IFERROR(IF(OR(G$2=VLOOKUP($A10,Juniores!$A9:$D9,3,FALSE),G$2=VLOOKUP($A10,Juniores!$A9:$D9,4,FALSE)),$N10,IF(OR(G$2=VLOOKUP($A10,Juniores!$A9:$F9,5,FALSE),G$2=VLOOKUP($A10,Juniores!$A9:$F9,6,FALSE)),$O10,MROUND(RAND()*(($N10-$P10)-($O10+$P10))+($O10+$P10),0.5))),"-")</f>
        <v>2</v>
      </c>
      <c r="H10" s="17">
        <f ca="1">IFERROR(IF(OR(H$2=VLOOKUP($A10,Juniores!$A9:$D9,3,FALSE),H$2=VLOOKUP($A10,Juniores!$A9:$D9,4,FALSE)),$N10,IF(OR(H$2=VLOOKUP($A10,Juniores!$A9:$F9,5,FALSE),H$2=VLOOKUP($A10,Juniores!$A9:$F9,6,FALSE)),$O10,MROUND(RAND()*(($N10-$P10)-($O10+$P10))+($O10+$P10),0.5))),"-")</f>
        <v>2</v>
      </c>
      <c r="I10" s="17">
        <f ca="1">IFERROR(IF(OR(I$2=VLOOKUP($A10,Juniores!$A9:$D9,3,FALSE),I$2=VLOOKUP($A10,Juniores!$A9:$D9,4,FALSE)),$N10,IF(OR(I$2=VLOOKUP($A10,Juniores!$A9:$F9,5,FALSE),I$2=VLOOKUP($A10,Juniores!$A9:$F9,6,FALSE)),$O10,MROUND(RAND()*(($N10-$P10)-($O10+$P10))+($O10+$P10),0.5))),"-")</f>
        <v>1</v>
      </c>
      <c r="J10" s="17">
        <f ca="1">IFERROR(IF(OR(J$2=VLOOKUP($A10,Juniores!$A9:$D9,3,FALSE),J$2=VLOOKUP($A10,Juniores!$A9:$D9,4,FALSE)),$N10,IF(OR(J$2=VLOOKUP($A10,Juniores!$A9:$F9,5,FALSE),J$2=VLOOKUP($A10,Juniores!$A9:$F9,6,FALSE)),$O10,MROUND(RAND()*(($N10-$P10)-($O10+$P10))+($O10+$P10),0.5))),"-")</f>
        <v>2</v>
      </c>
      <c r="K10" s="17">
        <f ca="1">IFERROR(IF(OR(K$2=VLOOKUP($A10,Juniores!$A9:$D9,3,FALSE),K$2=VLOOKUP($A10,Juniores!$A9:$D9,4,FALSE)),$N10,IF(OR(K$2=VLOOKUP($A10,Juniores!$A9:$F9,5,FALSE),K$2=VLOOKUP($A10,Juniores!$A9:$F9,6,FALSE)),$O10,MROUND(RAND()*(($N10-$P10)-($O10+$P10))+($O10+$P10),0.5))),"-")</f>
        <v>2</v>
      </c>
      <c r="L10" s="17">
        <f ca="1">IFERROR(IF(OR(L$2=VLOOKUP($A10,Juniores!$A9:$D9,3,FALSE),L$2=VLOOKUP($A10,Juniores!$A9:$D9,4,FALSE)),$N10,IF(OR(L$2=VLOOKUP($A10,Juniores!$A9:$F9,5,FALSE),L$2=VLOOKUP($A10,Juniores!$A9:$F9,6,FALSE)),$O10,MROUND(RAND()*(($N10-$P10)-($O10+$P10))+($O10+$P10),0.5))),"-")</f>
        <v>3</v>
      </c>
      <c r="M10" s="17">
        <f ca="1">IFERROR(IF(OR(M$2=VLOOKUP($A10,Juniores!$A9:$D9,3,FALSE),M$2=VLOOKUP($A10,Juniores!$A9:$D9,4,FALSE)),$N10,IF(OR(M$2=VLOOKUP($A10,Juniores!$A9:$F9,5,FALSE),M$2=VLOOKUP($A10,Juniores!$A9:$F9,6,FALSE)),$O10,MROUND(RAND()*(($N10-$P10)-($O10+$P10))+($O10+$P10),0.5))),"-")</f>
        <v>1</v>
      </c>
      <c r="N10" s="82">
        <f>IFERROR(JuniorstwoRandom[[#This Row],[MAX]],"-")</f>
        <v>3</v>
      </c>
      <c r="O10" s="82">
        <f>IFERROR(JuniorstwoRandom[[#This Row],[MIN]],"-")</f>
        <v>1</v>
      </c>
      <c r="P10" s="82">
        <f>IFERROR(JuniorstwoRandom[[#This Row],[MARGIN]],"-")</f>
        <v>0.5</v>
      </c>
    </row>
    <row r="11" spans="1:16" x14ac:dyDescent="0.25">
      <c r="A11" s="81">
        <f>IFERROR(JuniorstwoRandom[[#This Row],[Number]],"-")</f>
        <v>49</v>
      </c>
      <c r="B11" s="18" t="str">
        <f>IFERROR(VLOOKUP(A11,Zawodnicy[],2,FALSE),"-")</f>
        <v>Dobromir Kolacki</v>
      </c>
      <c r="C11" s="17">
        <f ca="1">IFERROR(IF(OR(C$2=VLOOKUP($A11,Juniores!$A10:$D10,3,FALSE),C$2=VLOOKUP($A11,Juniores!$A10:$D10,4,FALSE)),$N11,IF(OR(C$2=VLOOKUP($A11,Juniores!$A10:$F10,5,FALSE),C$2=VLOOKUP($A11,Juniores!$A10:$F10,6,FALSE)),$O11,MROUND(RAND()*(($N11-$P11)-($O11+$P11))+($O11+$P11),0.5))),"-")</f>
        <v>1</v>
      </c>
      <c r="D11" s="17">
        <f ca="1">IFERROR(IF(OR(D$2=VLOOKUP($A11,Juniores!$A10:$D10,3,FALSE),D$2=VLOOKUP($A11,Juniores!$A10:$D10,4,FALSE)),$N11,IF(OR(D$2=VLOOKUP($A11,Juniores!$A10:$F10,5,FALSE),D$2=VLOOKUP($A11,Juniores!$A10:$F10,6,FALSE)),$O11,MROUND(RAND()*(($N11-$P11)-($O11+$P11))+($O11+$P11),0.5))),"-")</f>
        <v>2</v>
      </c>
      <c r="E11" s="17">
        <f ca="1">IFERROR(IF(OR(E$2=VLOOKUP($A11,Juniores!$A10:$D10,3,FALSE),E$2=VLOOKUP($A11,Juniores!$A10:$D10,4,FALSE)),$N11,IF(OR(E$2=VLOOKUP($A11,Juniores!$A10:$F10,5,FALSE),E$2=VLOOKUP($A11,Juniores!$A10:$F10,6,FALSE)),$O11,MROUND(RAND()*(($N11-$P11)-($O11+$P11))+($O11+$P11),0.5))),"-")</f>
        <v>3</v>
      </c>
      <c r="F11" s="17">
        <f ca="1">IFERROR(IF(OR(F$2=VLOOKUP($A11,Juniores!$A10:$D10,3,FALSE),F$2=VLOOKUP($A11,Juniores!$A10:$D10,4,FALSE)),$N11,IF(OR(F$2=VLOOKUP($A11,Juniores!$A10:$F10,5,FALSE),F$2=VLOOKUP($A11,Juniores!$A10:$F10,6,FALSE)),$O11,MROUND(RAND()*(($N11-$P11)-($O11+$P11))+($O11+$P11),0.5))),"-")</f>
        <v>2.5</v>
      </c>
      <c r="G11" s="17">
        <f ca="1">IFERROR(IF(OR(G$2=VLOOKUP($A11,Juniores!$A10:$D10,3,FALSE),G$2=VLOOKUP($A11,Juniores!$A10:$D10,4,FALSE)),$N11,IF(OR(G$2=VLOOKUP($A11,Juniores!$A10:$F10,5,FALSE),G$2=VLOOKUP($A11,Juniores!$A10:$F10,6,FALSE)),$O11,MROUND(RAND()*(($N11-$P11)-($O11+$P11))+($O11+$P11),0.5))),"-")</f>
        <v>1</v>
      </c>
      <c r="H11" s="17">
        <f ca="1">IFERROR(IF(OR(H$2=VLOOKUP($A11,Juniores!$A10:$D10,3,FALSE),H$2=VLOOKUP($A11,Juniores!$A10:$D10,4,FALSE)),$N11,IF(OR(H$2=VLOOKUP($A11,Juniores!$A10:$F10,5,FALSE),H$2=VLOOKUP($A11,Juniores!$A10:$F10,6,FALSE)),$O11,MROUND(RAND()*(($N11-$P11)-($O11+$P11))+($O11+$P11),0.5))),"-")</f>
        <v>2.5</v>
      </c>
      <c r="I11" s="17">
        <f ca="1">IFERROR(IF(OR(I$2=VLOOKUP($A11,Juniores!$A10:$D10,3,FALSE),I$2=VLOOKUP($A11,Juniores!$A10:$D10,4,FALSE)),$N11,IF(OR(I$2=VLOOKUP($A11,Juniores!$A10:$F10,5,FALSE),I$2=VLOOKUP($A11,Juniores!$A10:$F10,6,FALSE)),$O11,MROUND(RAND()*(($N11-$P11)-($O11+$P11))+($O11+$P11),0.5))),"-")</f>
        <v>4</v>
      </c>
      <c r="J11" s="17">
        <f ca="1">IFERROR(IF(OR(J$2=VLOOKUP($A11,Juniores!$A10:$D10,3,FALSE),J$2=VLOOKUP($A11,Juniores!$A10:$D10,4,FALSE)),$N11,IF(OR(J$2=VLOOKUP($A11,Juniores!$A10:$F10,5,FALSE),J$2=VLOOKUP($A11,Juniores!$A10:$F10,6,FALSE)),$O11,MROUND(RAND()*(($N11-$P11)-($O11+$P11))+($O11+$P11),0.5))),"-")</f>
        <v>2</v>
      </c>
      <c r="K11" s="17">
        <f ca="1">IFERROR(IF(OR(K$2=VLOOKUP($A11,Juniores!$A10:$D10,3,FALSE),K$2=VLOOKUP($A11,Juniores!$A10:$D10,4,FALSE)),$N11,IF(OR(K$2=VLOOKUP($A11,Juniores!$A10:$F10,5,FALSE),K$2=VLOOKUP($A11,Juniores!$A10:$F10,6,FALSE)),$O11,MROUND(RAND()*(($N11-$P11)-($O11+$P11))+($O11+$P11),0.5))),"-")</f>
        <v>2.5</v>
      </c>
      <c r="L11" s="17">
        <f ca="1">IFERROR(IF(OR(L$2=VLOOKUP($A11,Juniores!$A10:$D10,3,FALSE),L$2=VLOOKUP($A11,Juniores!$A10:$D10,4,FALSE)),$N11,IF(OR(L$2=VLOOKUP($A11,Juniores!$A10:$F10,5,FALSE),L$2=VLOOKUP($A11,Juniores!$A10:$F10,6,FALSE)),$O11,MROUND(RAND()*(($N11-$P11)-($O11+$P11))+($O11+$P11),0.5))),"-")</f>
        <v>4</v>
      </c>
      <c r="M11" s="17">
        <f ca="1">IFERROR(IF(OR(M$2=VLOOKUP($A11,Juniores!$A10:$D10,3,FALSE),M$2=VLOOKUP($A11,Juniores!$A10:$D10,4,FALSE)),$N11,IF(OR(M$2=VLOOKUP($A11,Juniores!$A10:$F10,5,FALSE),M$2=VLOOKUP($A11,Juniores!$A10:$F10,6,FALSE)),$O11,MROUND(RAND()*(($N11-$P11)-($O11+$P11))+($O11+$P11),0.5))),"-")</f>
        <v>3.5</v>
      </c>
      <c r="N11" s="82">
        <f>IFERROR(JuniorstwoRandom[[#This Row],[MAX]],"-")</f>
        <v>4</v>
      </c>
      <c r="O11" s="82">
        <f>IFERROR(JuniorstwoRandom[[#This Row],[MIN]],"-")</f>
        <v>1</v>
      </c>
      <c r="P11" s="82">
        <f>IFERROR(JuniorstwoRandom[[#This Row],[MARGIN]],"-")</f>
        <v>0.5</v>
      </c>
    </row>
    <row r="12" spans="1:16" x14ac:dyDescent="0.25">
      <c r="A12" s="81">
        <f>IFERROR(JuniorstwoRandom[[#This Row],[Number]],"-")</f>
        <v>50</v>
      </c>
      <c r="B12" s="18" t="str">
        <f>IFERROR(VLOOKUP(A12,Zawodnicy[],2,FALSE),"-")</f>
        <v>Ludomil Robak</v>
      </c>
      <c r="C12" s="17">
        <f ca="1">IFERROR(IF(OR(C$2=VLOOKUP($A12,Juniores!$A11:$D11,3,FALSE),C$2=VLOOKUP($A12,Juniores!$A11:$D11,4,FALSE)),$N12,IF(OR(C$2=VLOOKUP($A12,Juniores!$A11:$F11,5,FALSE),C$2=VLOOKUP($A12,Juniores!$A11:$F11,6,FALSE)),$O12,MROUND(RAND()*(($N12-$P12)-($O12+$P12))+($O12+$P12),0.5))),"-")</f>
        <v>2.5</v>
      </c>
      <c r="D12" s="17">
        <f ca="1">IFERROR(IF(OR(D$2=VLOOKUP($A12,Juniores!$A11:$D11,3,FALSE),D$2=VLOOKUP($A12,Juniores!$A11:$D11,4,FALSE)),$N12,IF(OR(D$2=VLOOKUP($A12,Juniores!$A11:$F11,5,FALSE),D$2=VLOOKUP($A12,Juniores!$A11:$F11,6,FALSE)),$O12,MROUND(RAND()*(($N12-$P12)-($O12+$P12))+($O12+$P12),0.5))),"-")</f>
        <v>2</v>
      </c>
      <c r="E12" s="17">
        <f ca="1">IFERROR(IF(OR(E$2=VLOOKUP($A12,Juniores!$A11:$D11,3,FALSE),E$2=VLOOKUP($A12,Juniores!$A11:$D11,4,FALSE)),$N12,IF(OR(E$2=VLOOKUP($A12,Juniores!$A11:$F11,5,FALSE),E$2=VLOOKUP($A12,Juniores!$A11:$F11,6,FALSE)),$O12,MROUND(RAND()*(($N12-$P12)-($O12+$P12))+($O12+$P12),0.5))),"-")</f>
        <v>2.5</v>
      </c>
      <c r="F12" s="17">
        <f ca="1">IFERROR(IF(OR(F$2=VLOOKUP($A12,Juniores!$A11:$D11,3,FALSE),F$2=VLOOKUP($A12,Juniores!$A11:$D11,4,FALSE)),$N12,IF(OR(F$2=VLOOKUP($A12,Juniores!$A11:$F11,5,FALSE),F$2=VLOOKUP($A12,Juniores!$A11:$F11,6,FALSE)),$O12,MROUND(RAND()*(($N12-$P12)-($O12+$P12))+($O12+$P12),0.5))),"-")</f>
        <v>3</v>
      </c>
      <c r="G12" s="17">
        <f ca="1">IFERROR(IF(OR(G$2=VLOOKUP($A12,Juniores!$A11:$D11,3,FALSE),G$2=VLOOKUP($A12,Juniores!$A11:$D11,4,FALSE)),$N12,IF(OR(G$2=VLOOKUP($A12,Juniores!$A11:$F11,5,FALSE),G$2=VLOOKUP($A12,Juniores!$A11:$F11,6,FALSE)),$O12,MROUND(RAND()*(($N12-$P12)-($O12+$P12))+($O12+$P12),0.5))),"-")</f>
        <v>2.5</v>
      </c>
      <c r="H12" s="17">
        <f ca="1">IFERROR(IF(OR(H$2=VLOOKUP($A12,Juniores!$A11:$D11,3,FALSE),H$2=VLOOKUP($A12,Juniores!$A11:$D11,4,FALSE)),$N12,IF(OR(H$2=VLOOKUP($A12,Juniores!$A11:$F11,5,FALSE),H$2=VLOOKUP($A12,Juniores!$A11:$F11,6,FALSE)),$O12,MROUND(RAND()*(($N12-$P12)-($O12+$P12))+($O12+$P12),0.5))),"-")</f>
        <v>3</v>
      </c>
      <c r="I12" s="17">
        <f ca="1">IFERROR(IF(OR(I$2=VLOOKUP($A12,Juniores!$A11:$D11,3,FALSE),I$2=VLOOKUP($A12,Juniores!$A11:$D11,4,FALSE)),$N12,IF(OR(I$2=VLOOKUP($A12,Juniores!$A11:$F11,5,FALSE),I$2=VLOOKUP($A12,Juniores!$A11:$F11,6,FALSE)),$O12,MROUND(RAND()*(($N12-$P12)-($O12+$P12))+($O12+$P12),0.5))),"-")</f>
        <v>2</v>
      </c>
      <c r="J12" s="17">
        <f ca="1">IFERROR(IF(OR(J$2=VLOOKUP($A12,Juniores!$A11:$D11,3,FALSE),J$2=VLOOKUP($A12,Juniores!$A11:$D11,4,FALSE)),$N12,IF(OR(J$2=VLOOKUP($A12,Juniores!$A11:$F11,5,FALSE),J$2=VLOOKUP($A12,Juniores!$A11:$F11,6,FALSE)),$O12,MROUND(RAND()*(($N12-$P12)-($O12+$P12))+($O12+$P12),0.5))),"-")</f>
        <v>2.5</v>
      </c>
      <c r="K12" s="17">
        <f ca="1">IFERROR(IF(OR(K$2=VLOOKUP($A12,Juniores!$A11:$D11,3,FALSE),K$2=VLOOKUP($A12,Juniores!$A11:$D11,4,FALSE)),$N12,IF(OR(K$2=VLOOKUP($A12,Juniores!$A11:$F11,5,FALSE),K$2=VLOOKUP($A12,Juniores!$A11:$F11,6,FALSE)),$O12,MROUND(RAND()*(($N12-$P12)-($O12+$P12))+($O12+$P12),0.5))),"-")</f>
        <v>2.5</v>
      </c>
      <c r="L12" s="17">
        <f ca="1">IFERROR(IF(OR(L$2=VLOOKUP($A12,Juniores!$A11:$D11,3,FALSE),L$2=VLOOKUP($A12,Juniores!$A11:$D11,4,FALSE)),$N12,IF(OR(L$2=VLOOKUP($A12,Juniores!$A11:$F11,5,FALSE),L$2=VLOOKUP($A12,Juniores!$A11:$F11,6,FALSE)),$O12,MROUND(RAND()*(($N12-$P12)-($O12+$P12))+($O12+$P12),0.5))),"-")</f>
        <v>2.5</v>
      </c>
      <c r="M12" s="17">
        <f ca="1">IFERROR(IF(OR(M$2=VLOOKUP($A12,Juniores!$A11:$D11,3,FALSE),M$2=VLOOKUP($A12,Juniores!$A11:$D11,4,FALSE)),$N12,IF(OR(M$2=VLOOKUP($A12,Juniores!$A11:$F11,5,FALSE),M$2=VLOOKUP($A12,Juniores!$A11:$F11,6,FALSE)),$O12,MROUND(RAND()*(($N12-$P12)-($O12+$P12))+($O12+$P12),0.5))),"-")</f>
        <v>2.5</v>
      </c>
      <c r="N12" s="82">
        <f>IFERROR(JuniorstwoRandom[[#This Row],[MAX]],"-")</f>
        <v>3</v>
      </c>
      <c r="O12" s="82">
        <f>IFERROR(JuniorstwoRandom[[#This Row],[MIN]],"-")</f>
        <v>2</v>
      </c>
      <c r="P12" s="82">
        <f>IFERROR(JuniorstwoRandom[[#This Row],[MARGIN]],"-")</f>
        <v>0.5</v>
      </c>
    </row>
    <row r="13" spans="1:16" x14ac:dyDescent="0.25">
      <c r="A13" s="81">
        <f>IFERROR(JuniorstwoRandom[[#This Row],[Number]],"-")</f>
        <v>51</v>
      </c>
      <c r="B13" s="18" t="str">
        <f>IFERROR(VLOOKUP(A13,Zawodnicy[],2,FALSE),"-")</f>
        <v>Radoslaw Cichowski</v>
      </c>
      <c r="C13" s="17">
        <f ca="1">IFERROR(IF(OR(C$2=VLOOKUP($A13,Juniores!$A12:$D12,3,FALSE),C$2=VLOOKUP($A13,Juniores!$A12:$D12,4,FALSE)),$N13,IF(OR(C$2=VLOOKUP($A13,Juniores!$A12:$F12,5,FALSE),C$2=VLOOKUP($A13,Juniores!$A12:$F12,6,FALSE)),$O13,MROUND(RAND()*(($N13-$P13)-($O13+$P13))+($O13+$P13),0.5))),"-")</f>
        <v>2.5</v>
      </c>
      <c r="D13" s="17">
        <f ca="1">IFERROR(IF(OR(D$2=VLOOKUP($A13,Juniores!$A12:$D12,3,FALSE),D$2=VLOOKUP($A13,Juniores!$A12:$D12,4,FALSE)),$N13,IF(OR(D$2=VLOOKUP($A13,Juniores!$A12:$F12,5,FALSE),D$2=VLOOKUP($A13,Juniores!$A12:$F12,6,FALSE)),$O13,MROUND(RAND()*(($N13-$P13)-($O13+$P13))+($O13+$P13),0.5))),"-")</f>
        <v>3</v>
      </c>
      <c r="E13" s="17">
        <f ca="1">IFERROR(IF(OR(E$2=VLOOKUP($A13,Juniores!$A12:$D12,3,FALSE),E$2=VLOOKUP($A13,Juniores!$A12:$D12,4,FALSE)),$N13,IF(OR(E$2=VLOOKUP($A13,Juniores!$A12:$F12,5,FALSE),E$2=VLOOKUP($A13,Juniores!$A12:$F12,6,FALSE)),$O13,MROUND(RAND()*(($N13-$P13)-($O13+$P13))+($O13+$P13),0.5))),"-")</f>
        <v>2.5</v>
      </c>
      <c r="F13" s="17">
        <f ca="1">IFERROR(IF(OR(F$2=VLOOKUP($A13,Juniores!$A12:$D12,3,FALSE),F$2=VLOOKUP($A13,Juniores!$A12:$D12,4,FALSE)),$N13,IF(OR(F$2=VLOOKUP($A13,Juniores!$A12:$F12,5,FALSE),F$2=VLOOKUP($A13,Juniores!$A12:$F12,6,FALSE)),$O13,MROUND(RAND()*(($N13-$P13)-($O13+$P13))+($O13+$P13),0.5))),"-")</f>
        <v>2.5</v>
      </c>
      <c r="G13" s="17">
        <f ca="1">IFERROR(IF(OR(G$2=VLOOKUP($A13,Juniores!$A12:$D12,3,FALSE),G$2=VLOOKUP($A13,Juniores!$A12:$D12,4,FALSE)),$N13,IF(OR(G$2=VLOOKUP($A13,Juniores!$A12:$F12,5,FALSE),G$2=VLOOKUP($A13,Juniores!$A12:$F12,6,FALSE)),$O13,MROUND(RAND()*(($N13-$P13)-($O13+$P13))+($O13+$P13),0.5))),"-")</f>
        <v>2</v>
      </c>
      <c r="H13" s="17">
        <f ca="1">IFERROR(IF(OR(H$2=VLOOKUP($A13,Juniores!$A12:$D12,3,FALSE),H$2=VLOOKUP($A13,Juniores!$A12:$D12,4,FALSE)),$N13,IF(OR(H$2=VLOOKUP($A13,Juniores!$A12:$F12,5,FALSE),H$2=VLOOKUP($A13,Juniores!$A12:$F12,6,FALSE)),$O13,MROUND(RAND()*(($N13-$P13)-($O13+$P13))+($O13+$P13),0.5))),"-")</f>
        <v>2.5</v>
      </c>
      <c r="I13" s="17">
        <f ca="1">IFERROR(IF(OR(I$2=VLOOKUP($A13,Juniores!$A12:$D12,3,FALSE),I$2=VLOOKUP($A13,Juniores!$A12:$D12,4,FALSE)),$N13,IF(OR(I$2=VLOOKUP($A13,Juniores!$A12:$F12,5,FALSE),I$2=VLOOKUP($A13,Juniores!$A12:$F12,6,FALSE)),$O13,MROUND(RAND()*(($N13-$P13)-($O13+$P13))+($O13+$P13),0.5))),"-")</f>
        <v>2</v>
      </c>
      <c r="J13" s="17">
        <f ca="1">IFERROR(IF(OR(J$2=VLOOKUP($A13,Juniores!$A12:$D12,3,FALSE),J$2=VLOOKUP($A13,Juniores!$A12:$D12,4,FALSE)),$N13,IF(OR(J$2=VLOOKUP($A13,Juniores!$A12:$F12,5,FALSE),J$2=VLOOKUP($A13,Juniores!$A12:$F12,6,FALSE)),$O13,MROUND(RAND()*(($N13-$P13)-($O13+$P13))+($O13+$P13),0.5))),"-")</f>
        <v>2.5</v>
      </c>
      <c r="K13" s="17">
        <f ca="1">IFERROR(IF(OR(K$2=VLOOKUP($A13,Juniores!$A12:$D12,3,FALSE),K$2=VLOOKUP($A13,Juniores!$A12:$D12,4,FALSE)),$N13,IF(OR(K$2=VLOOKUP($A13,Juniores!$A12:$F12,5,FALSE),K$2=VLOOKUP($A13,Juniores!$A12:$F12,6,FALSE)),$O13,MROUND(RAND()*(($N13-$P13)-($O13+$P13))+($O13+$P13),0.5))),"-")</f>
        <v>3</v>
      </c>
      <c r="L13" s="17">
        <f ca="1">IFERROR(IF(OR(L$2=VLOOKUP($A13,Juniores!$A12:$D12,3,FALSE),L$2=VLOOKUP($A13,Juniores!$A12:$D12,4,FALSE)),$N13,IF(OR(L$2=VLOOKUP($A13,Juniores!$A12:$F12,5,FALSE),L$2=VLOOKUP($A13,Juniores!$A12:$F12,6,FALSE)),$O13,MROUND(RAND()*(($N13-$P13)-($O13+$P13))+($O13+$P13),0.5))),"-")</f>
        <v>2.5</v>
      </c>
      <c r="M13" s="17">
        <f ca="1">IFERROR(IF(OR(M$2=VLOOKUP($A13,Juniores!$A12:$D12,3,FALSE),M$2=VLOOKUP($A13,Juniores!$A12:$D12,4,FALSE)),$N13,IF(OR(M$2=VLOOKUP($A13,Juniores!$A12:$F12,5,FALSE),M$2=VLOOKUP($A13,Juniores!$A12:$F12,6,FALSE)),$O13,MROUND(RAND()*(($N13-$P13)-($O13+$P13))+($O13+$P13),0.5))),"-")</f>
        <v>2.5</v>
      </c>
      <c r="N13" s="82">
        <f>IFERROR(JuniorstwoRandom[[#This Row],[MAX]],"-")</f>
        <v>3</v>
      </c>
      <c r="O13" s="82">
        <f>IFERROR(JuniorstwoRandom[[#This Row],[MIN]],"-")</f>
        <v>2</v>
      </c>
      <c r="P13" s="82">
        <f>IFERROR(JuniorstwoRandom[[#This Row],[MARGIN]],"-")</f>
        <v>0.5</v>
      </c>
    </row>
    <row r="14" spans="1:16" x14ac:dyDescent="0.25">
      <c r="A14" s="81">
        <f>IFERROR(JuniorstwoRandom[[#This Row],[Number]],"-")</f>
        <v>52</v>
      </c>
      <c r="B14" s="18" t="str">
        <f>IFERROR(VLOOKUP(A14,Zawodnicy[],2,FALSE),"-")</f>
        <v>Roland Danisiewicz</v>
      </c>
      <c r="C14" s="17">
        <f ca="1">IFERROR(IF(OR(C$2=VLOOKUP($A14,Juniores!$A13:$D13,3,FALSE),C$2=VLOOKUP($A14,Juniores!$A13:$D13,4,FALSE)),$N14,IF(OR(C$2=VLOOKUP($A14,Juniores!$A13:$F13,5,FALSE),C$2=VLOOKUP($A14,Juniores!$A13:$F13,6,FALSE)),$O14,MROUND(RAND()*(($N14-$P14)-($O14+$P14))+($O14+$P14),0.5))),"-")</f>
        <v>2.5</v>
      </c>
      <c r="D14" s="17">
        <f ca="1">IFERROR(IF(OR(D$2=VLOOKUP($A14,Juniores!$A13:$D13,3,FALSE),D$2=VLOOKUP($A14,Juniores!$A13:$D13,4,FALSE)),$N14,IF(OR(D$2=VLOOKUP($A14,Juniores!$A13:$F13,5,FALSE),D$2=VLOOKUP($A14,Juniores!$A13:$F13,6,FALSE)),$O14,MROUND(RAND()*(($N14-$P14)-($O14+$P14))+($O14+$P14),0.5))),"-")</f>
        <v>2.5</v>
      </c>
      <c r="E14" s="17">
        <f ca="1">IFERROR(IF(OR(E$2=VLOOKUP($A14,Juniores!$A13:$D13,3,FALSE),E$2=VLOOKUP($A14,Juniores!$A13:$D13,4,FALSE)),$N14,IF(OR(E$2=VLOOKUP($A14,Juniores!$A13:$F13,5,FALSE),E$2=VLOOKUP($A14,Juniores!$A13:$F13,6,FALSE)),$O14,MROUND(RAND()*(($N14-$P14)-($O14+$P14))+($O14+$P14),0.5))),"-")</f>
        <v>2.5</v>
      </c>
      <c r="F14" s="17">
        <f ca="1">IFERROR(IF(OR(F$2=VLOOKUP($A14,Juniores!$A13:$D13,3,FALSE),F$2=VLOOKUP($A14,Juniores!$A13:$D13,4,FALSE)),$N14,IF(OR(F$2=VLOOKUP($A14,Juniores!$A13:$F13,5,FALSE),F$2=VLOOKUP($A14,Juniores!$A13:$F13,6,FALSE)),$O14,MROUND(RAND()*(($N14-$P14)-($O14+$P14))+($O14+$P14),0.5))),"-")</f>
        <v>2.5</v>
      </c>
      <c r="G14" s="17">
        <f ca="1">IFERROR(IF(OR(G$2=VLOOKUP($A14,Juniores!$A13:$D13,3,FALSE),G$2=VLOOKUP($A14,Juniores!$A13:$D13,4,FALSE)),$N14,IF(OR(G$2=VLOOKUP($A14,Juniores!$A13:$F13,5,FALSE),G$2=VLOOKUP($A14,Juniores!$A13:$F13,6,FALSE)),$O14,MROUND(RAND()*(($N14-$P14)-($O14+$P14))+($O14+$P14),0.5))),"-")</f>
        <v>3</v>
      </c>
      <c r="H14" s="17">
        <f ca="1">IFERROR(IF(OR(H$2=VLOOKUP($A14,Juniores!$A13:$D13,3,FALSE),H$2=VLOOKUP($A14,Juniores!$A13:$D13,4,FALSE)),$N14,IF(OR(H$2=VLOOKUP($A14,Juniores!$A13:$F13,5,FALSE),H$2=VLOOKUP($A14,Juniores!$A13:$F13,6,FALSE)),$O14,MROUND(RAND()*(($N14-$P14)-($O14+$P14))+($O14+$P14),0.5))),"-")</f>
        <v>2.5</v>
      </c>
      <c r="I14" s="17">
        <f ca="1">IFERROR(IF(OR(I$2=VLOOKUP($A14,Juniores!$A13:$D13,3,FALSE),I$2=VLOOKUP($A14,Juniores!$A13:$D13,4,FALSE)),$N14,IF(OR(I$2=VLOOKUP($A14,Juniores!$A13:$F13,5,FALSE),I$2=VLOOKUP($A14,Juniores!$A13:$F13,6,FALSE)),$O14,MROUND(RAND()*(($N14-$P14)-($O14+$P14))+($O14+$P14),0.5))),"-")</f>
        <v>2</v>
      </c>
      <c r="J14" s="17">
        <f ca="1">IFERROR(IF(OR(J$2=VLOOKUP($A14,Juniores!$A13:$D13,3,FALSE),J$2=VLOOKUP($A14,Juniores!$A13:$D13,4,FALSE)),$N14,IF(OR(J$2=VLOOKUP($A14,Juniores!$A13:$F13,5,FALSE),J$2=VLOOKUP($A14,Juniores!$A13:$F13,6,FALSE)),$O14,MROUND(RAND()*(($N14-$P14)-($O14+$P14))+($O14+$P14),0.5))),"-")</f>
        <v>2.5</v>
      </c>
      <c r="K14" s="17">
        <f ca="1">IFERROR(IF(OR(K$2=VLOOKUP($A14,Juniores!$A13:$D13,3,FALSE),K$2=VLOOKUP($A14,Juniores!$A13:$D13,4,FALSE)),$N14,IF(OR(K$2=VLOOKUP($A14,Juniores!$A13:$F13,5,FALSE),K$2=VLOOKUP($A14,Juniores!$A13:$F13,6,FALSE)),$O14,MROUND(RAND()*(($N14-$P14)-($O14+$P14))+($O14+$P14),0.5))),"-")</f>
        <v>2</v>
      </c>
      <c r="L14" s="17">
        <f ca="1">IFERROR(IF(OR(L$2=VLOOKUP($A14,Juniores!$A13:$D13,3,FALSE),L$2=VLOOKUP($A14,Juniores!$A13:$D13,4,FALSE)),$N14,IF(OR(L$2=VLOOKUP($A14,Juniores!$A13:$F13,5,FALSE),L$2=VLOOKUP($A14,Juniores!$A13:$F13,6,FALSE)),$O14,MROUND(RAND()*(($N14-$P14)-($O14+$P14))+($O14+$P14),0.5))),"-")</f>
        <v>2.5</v>
      </c>
      <c r="M14" s="17">
        <f ca="1">IFERROR(IF(OR(M$2=VLOOKUP($A14,Juniores!$A13:$D13,3,FALSE),M$2=VLOOKUP($A14,Juniores!$A13:$D13,4,FALSE)),$N14,IF(OR(M$2=VLOOKUP($A14,Juniores!$A13:$F13,5,FALSE),M$2=VLOOKUP($A14,Juniores!$A13:$F13,6,FALSE)),$O14,MROUND(RAND()*(($N14-$P14)-($O14+$P14))+($O14+$P14),0.5))),"-")</f>
        <v>3</v>
      </c>
      <c r="N14" s="82">
        <f>IFERROR(JuniorstwoRandom[[#This Row],[MAX]],"-")</f>
        <v>3</v>
      </c>
      <c r="O14" s="82">
        <f>IFERROR(JuniorstwoRandom[[#This Row],[MIN]],"-")</f>
        <v>2</v>
      </c>
      <c r="P14" s="82">
        <f>IFERROR(JuniorstwoRandom[[#This Row],[MARGIN]],"-")</f>
        <v>0.5</v>
      </c>
    </row>
    <row r="15" spans="1:16" x14ac:dyDescent="0.25">
      <c r="A15" s="81">
        <f>IFERROR(JuniorstwoRandom[[#This Row],[Number]],"-")</f>
        <v>53</v>
      </c>
      <c r="B15" s="18" t="str">
        <f>IFERROR(VLOOKUP(A15,Zawodnicy[],2,FALSE),"-")</f>
        <v>Cyryl Huratiak</v>
      </c>
      <c r="C15" s="17">
        <f ca="1">IFERROR(IF(OR(C$2=VLOOKUP($A15,Juniores!$A14:$D14,3,FALSE),C$2=VLOOKUP($A15,Juniores!$A14:$D14,4,FALSE)),$N15,IF(OR(C$2=VLOOKUP($A15,Juniores!$A14:$F14,5,FALSE),C$2=VLOOKUP($A15,Juniores!$A14:$F14,6,FALSE)),$O15,MROUND(RAND()*(($N15-$P15)-($O15+$P15))+($O15+$P15),0.5))),"-")</f>
        <v>2.5</v>
      </c>
      <c r="D15" s="17">
        <f ca="1">IFERROR(IF(OR(D$2=VLOOKUP($A15,Juniores!$A14:$D14,3,FALSE),D$2=VLOOKUP($A15,Juniores!$A14:$D14,4,FALSE)),$N15,IF(OR(D$2=VLOOKUP($A15,Juniores!$A14:$F14,5,FALSE),D$2=VLOOKUP($A15,Juniores!$A14:$F14,6,FALSE)),$O15,MROUND(RAND()*(($N15-$P15)-($O15+$P15))+($O15+$P15),0.5))),"-")</f>
        <v>2</v>
      </c>
      <c r="E15" s="17">
        <f ca="1">IFERROR(IF(OR(E$2=VLOOKUP($A15,Juniores!$A14:$D14,3,FALSE),E$2=VLOOKUP($A15,Juniores!$A14:$D14,4,FALSE)),$N15,IF(OR(E$2=VLOOKUP($A15,Juniores!$A14:$F14,5,FALSE),E$2=VLOOKUP($A15,Juniores!$A14:$F14,6,FALSE)),$O15,MROUND(RAND()*(($N15-$P15)-($O15+$P15))+($O15+$P15),0.5))),"-")</f>
        <v>3</v>
      </c>
      <c r="F15" s="17">
        <f ca="1">IFERROR(IF(OR(F$2=VLOOKUP($A15,Juniores!$A14:$D14,3,FALSE),F$2=VLOOKUP($A15,Juniores!$A14:$D14,4,FALSE)),$N15,IF(OR(F$2=VLOOKUP($A15,Juniores!$A14:$F14,5,FALSE),F$2=VLOOKUP($A15,Juniores!$A14:$F14,6,FALSE)),$O15,MROUND(RAND()*(($N15-$P15)-($O15+$P15))+($O15+$P15),0.5))),"-")</f>
        <v>2.5</v>
      </c>
      <c r="G15" s="17">
        <f ca="1">IFERROR(IF(OR(G$2=VLOOKUP($A15,Juniores!$A14:$D14,3,FALSE),G$2=VLOOKUP($A15,Juniores!$A14:$D14,4,FALSE)),$N15,IF(OR(G$2=VLOOKUP($A15,Juniores!$A14:$F14,5,FALSE),G$2=VLOOKUP($A15,Juniores!$A14:$F14,6,FALSE)),$O15,MROUND(RAND()*(($N15-$P15)-($O15+$P15))+($O15+$P15),0.5))),"-")</f>
        <v>2</v>
      </c>
      <c r="H15" s="17">
        <f ca="1">IFERROR(IF(OR(H$2=VLOOKUP($A15,Juniores!$A14:$D14,3,FALSE),H$2=VLOOKUP($A15,Juniores!$A14:$D14,4,FALSE)),$N15,IF(OR(H$2=VLOOKUP($A15,Juniores!$A14:$F14,5,FALSE),H$2=VLOOKUP($A15,Juniores!$A14:$F14,6,FALSE)),$O15,MROUND(RAND()*(($N15-$P15)-($O15+$P15))+($O15+$P15),0.5))),"-")</f>
        <v>2.5</v>
      </c>
      <c r="I15" s="17">
        <f ca="1">IFERROR(IF(OR(I$2=VLOOKUP($A15,Juniores!$A14:$D14,3,FALSE),I$2=VLOOKUP($A15,Juniores!$A14:$D14,4,FALSE)),$N15,IF(OR(I$2=VLOOKUP($A15,Juniores!$A14:$F14,5,FALSE),I$2=VLOOKUP($A15,Juniores!$A14:$F14,6,FALSE)),$O15,MROUND(RAND()*(($N15-$P15)-($O15+$P15))+($O15+$P15),0.5))),"-")</f>
        <v>2.5</v>
      </c>
      <c r="J15" s="17">
        <f ca="1">IFERROR(IF(OR(J$2=VLOOKUP($A15,Juniores!$A14:$D14,3,FALSE),J$2=VLOOKUP($A15,Juniores!$A14:$D14,4,FALSE)),$N15,IF(OR(J$2=VLOOKUP($A15,Juniores!$A14:$F14,5,FALSE),J$2=VLOOKUP($A15,Juniores!$A14:$F14,6,FALSE)),$O15,MROUND(RAND()*(($N15-$P15)-($O15+$P15))+($O15+$P15),0.5))),"-")</f>
        <v>2.5</v>
      </c>
      <c r="K15" s="17">
        <f ca="1">IFERROR(IF(OR(K$2=VLOOKUP($A15,Juniores!$A14:$D14,3,FALSE),K$2=VLOOKUP($A15,Juniores!$A14:$D14,4,FALSE)),$N15,IF(OR(K$2=VLOOKUP($A15,Juniores!$A14:$F14,5,FALSE),K$2=VLOOKUP($A15,Juniores!$A14:$F14,6,FALSE)),$O15,MROUND(RAND()*(($N15-$P15)-($O15+$P15))+($O15+$P15),0.5))),"-")</f>
        <v>3</v>
      </c>
      <c r="L15" s="17">
        <f ca="1">IFERROR(IF(OR(L$2=VLOOKUP($A15,Juniores!$A14:$D14,3,FALSE),L$2=VLOOKUP($A15,Juniores!$A14:$D14,4,FALSE)),$N15,IF(OR(L$2=VLOOKUP($A15,Juniores!$A14:$F14,5,FALSE),L$2=VLOOKUP($A15,Juniores!$A14:$F14,6,FALSE)),$O15,MROUND(RAND()*(($N15-$P15)-($O15+$P15))+($O15+$P15),0.5))),"-")</f>
        <v>2.5</v>
      </c>
      <c r="M15" s="17">
        <f ca="1">IFERROR(IF(OR(M$2=VLOOKUP($A15,Juniores!$A14:$D14,3,FALSE),M$2=VLOOKUP($A15,Juniores!$A14:$D14,4,FALSE)),$N15,IF(OR(M$2=VLOOKUP($A15,Juniores!$A14:$F14,5,FALSE),M$2=VLOOKUP($A15,Juniores!$A14:$F14,6,FALSE)),$O15,MROUND(RAND()*(($N15-$P15)-($O15+$P15))+($O15+$P15),0.5))),"-")</f>
        <v>2.5</v>
      </c>
      <c r="N15" s="82">
        <f>IFERROR(JuniorstwoRandom[[#This Row],[MAX]],"-")</f>
        <v>3</v>
      </c>
      <c r="O15" s="82">
        <f>IFERROR(JuniorstwoRandom[[#This Row],[MIN]],"-")</f>
        <v>2</v>
      </c>
      <c r="P15" s="82">
        <f>IFERROR(JuniorstwoRandom[[#This Row],[MARGIN]],"-")</f>
        <v>0.5</v>
      </c>
    </row>
    <row r="16" spans="1:16" x14ac:dyDescent="0.25">
      <c r="A16" s="81">
        <f>IFERROR(JuniorstwoRandom[[#This Row],[Number]],"-")</f>
        <v>22</v>
      </c>
      <c r="B16" s="18" t="str">
        <f>IFERROR(VLOOKUP(A16,Zawodnicy[],2,FALSE),"-")</f>
        <v>Daniel Dziewulski</v>
      </c>
      <c r="C16" s="17">
        <f ca="1">IFERROR(IF(OR(C$2=VLOOKUP($A16,Juniores!$A15:$D15,3,FALSE),C$2=VLOOKUP($A16,Juniores!$A15:$D15,4,FALSE)),$N16,IF(OR(C$2=VLOOKUP($A16,Juniores!$A15:$F15,5,FALSE),C$2=VLOOKUP($A16,Juniores!$A15:$F15,6,FALSE)),$O16,MROUND(RAND()*(($N16-$P16)-($O16+$P16))+($O16+$P16),0.5))),"-")</f>
        <v>3</v>
      </c>
      <c r="D16" s="17">
        <f ca="1">IFERROR(IF(OR(D$2=VLOOKUP($A16,Juniores!$A15:$D15,3,FALSE),D$2=VLOOKUP($A16,Juniores!$A15:$D15,4,FALSE)),$N16,IF(OR(D$2=VLOOKUP($A16,Juniores!$A15:$F15,5,FALSE),D$2=VLOOKUP($A16,Juniores!$A15:$F15,6,FALSE)),$O16,MROUND(RAND()*(($N16-$P16)-($O16+$P16))+($O16+$P16),0.5))),"-")</f>
        <v>2</v>
      </c>
      <c r="E16" s="17">
        <f ca="1">IFERROR(IF(OR(E$2=VLOOKUP($A16,Juniores!$A15:$D15,3,FALSE),E$2=VLOOKUP($A16,Juniores!$A15:$D15,4,FALSE)),$N16,IF(OR(E$2=VLOOKUP($A16,Juniores!$A15:$F15,5,FALSE),E$2=VLOOKUP($A16,Juniores!$A15:$F15,6,FALSE)),$O16,MROUND(RAND()*(($N16-$P16)-($O16+$P16))+($O16+$P16),0.5))),"-")</f>
        <v>1</v>
      </c>
      <c r="F16" s="17">
        <f ca="1">IFERROR(IF(OR(F$2=VLOOKUP($A16,Juniores!$A15:$D15,3,FALSE),F$2=VLOOKUP($A16,Juniores!$A15:$D15,4,FALSE)),$N16,IF(OR(F$2=VLOOKUP($A16,Juniores!$A15:$F15,5,FALSE),F$2=VLOOKUP($A16,Juniores!$A15:$F15,6,FALSE)),$O16,MROUND(RAND()*(($N16-$P16)-($O16+$P16))+($O16+$P16),0.5))),"-")</f>
        <v>2</v>
      </c>
      <c r="G16" s="17">
        <f ca="1">IFERROR(IF(OR(G$2=VLOOKUP($A16,Juniores!$A15:$D15,3,FALSE),G$2=VLOOKUP($A16,Juniores!$A15:$D15,4,FALSE)),$N16,IF(OR(G$2=VLOOKUP($A16,Juniores!$A15:$F15,5,FALSE),G$2=VLOOKUP($A16,Juniores!$A15:$F15,6,FALSE)),$O16,MROUND(RAND()*(($N16-$P16)-($O16+$P16))+($O16+$P16),0.5))),"-")</f>
        <v>2.5</v>
      </c>
      <c r="H16" s="17">
        <f ca="1">IFERROR(IF(OR(H$2=VLOOKUP($A16,Juniores!$A15:$D15,3,FALSE),H$2=VLOOKUP($A16,Juniores!$A15:$D15,4,FALSE)),$N16,IF(OR(H$2=VLOOKUP($A16,Juniores!$A15:$F15,5,FALSE),H$2=VLOOKUP($A16,Juniores!$A15:$F15,6,FALSE)),$O16,MROUND(RAND()*(($N16-$P16)-($O16+$P16))+($O16+$P16),0.5))),"-")</f>
        <v>2.5</v>
      </c>
      <c r="I16" s="17">
        <f ca="1">IFERROR(IF(OR(I$2=VLOOKUP($A16,Juniores!$A15:$D15,3,FALSE),I$2=VLOOKUP($A16,Juniores!$A15:$D15,4,FALSE)),$N16,IF(OR(I$2=VLOOKUP($A16,Juniores!$A15:$F15,5,FALSE),I$2=VLOOKUP($A16,Juniores!$A15:$F15,6,FALSE)),$O16,MROUND(RAND()*(($N16-$P16)-($O16+$P16))+($O16+$P16),0.5))),"-")</f>
        <v>1.5</v>
      </c>
      <c r="J16" s="17">
        <f ca="1">IFERROR(IF(OR(J$2=VLOOKUP($A16,Juniores!$A15:$D15,3,FALSE),J$2=VLOOKUP($A16,Juniores!$A15:$D15,4,FALSE)),$N16,IF(OR(J$2=VLOOKUP($A16,Juniores!$A15:$F15,5,FALSE),J$2=VLOOKUP($A16,Juniores!$A15:$F15,6,FALSE)),$O16,MROUND(RAND()*(($N16-$P16)-($O16+$P16))+($O16+$P16),0.5))),"-")</f>
        <v>2.5</v>
      </c>
      <c r="K16" s="17">
        <f ca="1">IFERROR(IF(OR(K$2=VLOOKUP($A16,Juniores!$A15:$D15,3,FALSE),K$2=VLOOKUP($A16,Juniores!$A15:$D15,4,FALSE)),$N16,IF(OR(K$2=VLOOKUP($A16,Juniores!$A15:$F15,5,FALSE),K$2=VLOOKUP($A16,Juniores!$A15:$F15,6,FALSE)),$O16,MROUND(RAND()*(($N16-$P16)-($O16+$P16))+($O16+$P16),0.5))),"-")</f>
        <v>1</v>
      </c>
      <c r="L16" s="17">
        <f ca="1">IFERROR(IF(OR(L$2=VLOOKUP($A16,Juniores!$A15:$D15,3,FALSE),L$2=VLOOKUP($A16,Juniores!$A15:$D15,4,FALSE)),$N16,IF(OR(L$2=VLOOKUP($A16,Juniores!$A15:$F15,5,FALSE),L$2=VLOOKUP($A16,Juniores!$A15:$F15,6,FALSE)),$O16,MROUND(RAND()*(($N16-$P16)-($O16+$P16))+($O16+$P16),0.5))),"-")</f>
        <v>2.5</v>
      </c>
      <c r="M16" s="17">
        <f ca="1">IFERROR(IF(OR(M$2=VLOOKUP($A16,Juniores!$A15:$D15,3,FALSE),M$2=VLOOKUP($A16,Juniores!$A15:$D15,4,FALSE)),$N16,IF(OR(M$2=VLOOKUP($A16,Juniores!$A15:$F15,5,FALSE),M$2=VLOOKUP($A16,Juniores!$A15:$F15,6,FALSE)),$O16,MROUND(RAND()*(($N16-$P16)-($O16+$P16))+($O16+$P16),0.5))),"-")</f>
        <v>3</v>
      </c>
      <c r="N16" s="82">
        <f>IFERROR(JuniorstwoRandom[[#This Row],[MAX]],"-")</f>
        <v>3</v>
      </c>
      <c r="O16" s="82">
        <f>IFERROR(JuniorstwoRandom[[#This Row],[MIN]],"-")</f>
        <v>1</v>
      </c>
      <c r="P16" s="82">
        <f>IFERROR(JuniorstwoRandom[[#This Row],[MARGIN]],"-")</f>
        <v>0.5</v>
      </c>
    </row>
    <row r="17" spans="1:16" x14ac:dyDescent="0.25">
      <c r="A17" s="81">
        <f>IFERROR(JuniorstwoRandom[[#This Row],[Number]],"-")</f>
        <v>25</v>
      </c>
      <c r="B17" s="18" t="str">
        <f>IFERROR(VLOOKUP(A17,Zawodnicy[],2,FALSE),"-")</f>
        <v>Jakub Ludwiczak</v>
      </c>
      <c r="C17" s="17">
        <f ca="1">IFERROR(IF(OR(C$2=VLOOKUP($A17,Juniores!$A16:$D16,3,FALSE),C$2=VLOOKUP($A17,Juniores!$A16:$D16,4,FALSE)),$N17,IF(OR(C$2=VLOOKUP($A17,Juniores!$A16:$F16,5,FALSE),C$2=VLOOKUP($A17,Juniores!$A16:$F16,6,FALSE)),$O17,MROUND(RAND()*(($N17-$P17)-($O17+$P17))+($O17+$P17),0.5))),"-")</f>
        <v>2.5</v>
      </c>
      <c r="D17" s="17">
        <f ca="1">IFERROR(IF(OR(D$2=VLOOKUP($A17,Juniores!$A16:$D16,3,FALSE),D$2=VLOOKUP($A17,Juniores!$A16:$D16,4,FALSE)),$N17,IF(OR(D$2=VLOOKUP($A17,Juniores!$A16:$F16,5,FALSE),D$2=VLOOKUP($A17,Juniores!$A16:$F16,6,FALSE)),$O17,MROUND(RAND()*(($N17-$P17)-($O17+$P17))+($O17+$P17),0.5))),"-")</f>
        <v>2</v>
      </c>
      <c r="E17" s="17">
        <f ca="1">IFERROR(IF(OR(E$2=VLOOKUP($A17,Juniores!$A16:$D16,3,FALSE),E$2=VLOOKUP($A17,Juniores!$A16:$D16,4,FALSE)),$N17,IF(OR(E$2=VLOOKUP($A17,Juniores!$A16:$F16,5,FALSE),E$2=VLOOKUP($A17,Juniores!$A16:$F16,6,FALSE)),$O17,MROUND(RAND()*(($N17-$P17)-($O17+$P17))+($O17+$P17),0.5))),"-")</f>
        <v>3</v>
      </c>
      <c r="F17" s="17">
        <f ca="1">IFERROR(IF(OR(F$2=VLOOKUP($A17,Juniores!$A16:$D16,3,FALSE),F$2=VLOOKUP($A17,Juniores!$A16:$D16,4,FALSE)),$N17,IF(OR(F$2=VLOOKUP($A17,Juniores!$A16:$F16,5,FALSE),F$2=VLOOKUP($A17,Juniores!$A16:$F16,6,FALSE)),$O17,MROUND(RAND()*(($N17-$P17)-($O17+$P17))+($O17+$P17),0.5))),"-")</f>
        <v>2.5</v>
      </c>
      <c r="G17" s="17">
        <f ca="1">IFERROR(IF(OR(G$2=VLOOKUP($A17,Juniores!$A16:$D16,3,FALSE),G$2=VLOOKUP($A17,Juniores!$A16:$D16,4,FALSE)),$N17,IF(OR(G$2=VLOOKUP($A17,Juniores!$A16:$F16,5,FALSE),G$2=VLOOKUP($A17,Juniores!$A16:$F16,6,FALSE)),$O17,MROUND(RAND()*(($N17-$P17)-($O17+$P17))+($O17+$P17),0.5))),"-")</f>
        <v>2.5</v>
      </c>
      <c r="H17" s="17">
        <f ca="1">IFERROR(IF(OR(H$2=VLOOKUP($A17,Juniores!$A16:$D16,3,FALSE),H$2=VLOOKUP($A17,Juniores!$A16:$D16,4,FALSE)),$N17,IF(OR(H$2=VLOOKUP($A17,Juniores!$A16:$F16,5,FALSE),H$2=VLOOKUP($A17,Juniores!$A16:$F16,6,FALSE)),$O17,MROUND(RAND()*(($N17-$P17)-($O17+$P17))+($O17+$P17),0.5))),"-")</f>
        <v>2.5</v>
      </c>
      <c r="I17" s="17">
        <f ca="1">IFERROR(IF(OR(I$2=VLOOKUP($A17,Juniores!$A16:$D16,3,FALSE),I$2=VLOOKUP($A17,Juniores!$A16:$D16,4,FALSE)),$N17,IF(OR(I$2=VLOOKUP($A17,Juniores!$A16:$F16,5,FALSE),I$2=VLOOKUP($A17,Juniores!$A16:$F16,6,FALSE)),$O17,MROUND(RAND()*(($N17-$P17)-($O17+$P17))+($O17+$P17),0.5))),"-")</f>
        <v>2.5</v>
      </c>
      <c r="J17" s="17">
        <f ca="1">IFERROR(IF(OR(J$2=VLOOKUP($A17,Juniores!$A16:$D16,3,FALSE),J$2=VLOOKUP($A17,Juniores!$A16:$D16,4,FALSE)),$N17,IF(OR(J$2=VLOOKUP($A17,Juniores!$A16:$F16,5,FALSE),J$2=VLOOKUP($A17,Juniores!$A16:$F16,6,FALSE)),$O17,MROUND(RAND()*(($N17-$P17)-($O17+$P17))+($O17+$P17),0.5))),"-")</f>
        <v>3</v>
      </c>
      <c r="K17" s="17">
        <f ca="1">IFERROR(IF(OR(K$2=VLOOKUP($A17,Juniores!$A16:$D16,3,FALSE),K$2=VLOOKUP($A17,Juniores!$A16:$D16,4,FALSE)),$N17,IF(OR(K$2=VLOOKUP($A17,Juniores!$A16:$F16,5,FALSE),K$2=VLOOKUP($A17,Juniores!$A16:$F16,6,FALSE)),$O17,MROUND(RAND()*(($N17-$P17)-($O17+$P17))+($O17+$P17),0.5))),"-")</f>
        <v>2</v>
      </c>
      <c r="L17" s="17">
        <f ca="1">IFERROR(IF(OR(L$2=VLOOKUP($A17,Juniores!$A16:$D16,3,FALSE),L$2=VLOOKUP($A17,Juniores!$A16:$D16,4,FALSE)),$N17,IF(OR(L$2=VLOOKUP($A17,Juniores!$A16:$F16,5,FALSE),L$2=VLOOKUP($A17,Juniores!$A16:$F16,6,FALSE)),$O17,MROUND(RAND()*(($N17-$P17)-($O17+$P17))+($O17+$P17),0.5))),"-")</f>
        <v>2.5</v>
      </c>
      <c r="M17" s="17">
        <f ca="1">IFERROR(IF(OR(M$2=VLOOKUP($A17,Juniores!$A16:$D16,3,FALSE),M$2=VLOOKUP($A17,Juniores!$A16:$D16,4,FALSE)),$N17,IF(OR(M$2=VLOOKUP($A17,Juniores!$A16:$F16,5,FALSE),M$2=VLOOKUP($A17,Juniores!$A16:$F16,6,FALSE)),$O17,MROUND(RAND()*(($N17-$P17)-($O17+$P17))+($O17+$P17),0.5))),"-")</f>
        <v>2.5</v>
      </c>
      <c r="N17" s="82">
        <f>IFERROR(JuniorstwoRandom[[#This Row],[MAX]],"-")</f>
        <v>3</v>
      </c>
      <c r="O17" s="82">
        <f>IFERROR(JuniorstwoRandom[[#This Row],[MIN]],"-")</f>
        <v>2</v>
      </c>
      <c r="P17" s="82">
        <f>IFERROR(JuniorstwoRandom[[#This Row],[MARGIN]],"-")</f>
        <v>0.5</v>
      </c>
    </row>
    <row r="18" spans="1:16" x14ac:dyDescent="0.25">
      <c r="A18" s="81">
        <f>IFERROR(JuniorstwoRandom[[#This Row],[Number]],"-")</f>
        <v>26</v>
      </c>
      <c r="B18" s="18" t="str">
        <f>IFERROR(VLOOKUP(A18,Zawodnicy[],2,FALSE),"-")</f>
        <v>Ignacy Lato</v>
      </c>
      <c r="C18" s="17">
        <f ca="1">IFERROR(IF(OR(C$2=VLOOKUP($A18,Juniores!$A17:$D17,3,FALSE),C$2=VLOOKUP($A18,Juniores!$A17:$D17,4,FALSE)),$N18,IF(OR(C$2=VLOOKUP($A18,Juniores!$A17:$F17,5,FALSE),C$2=VLOOKUP($A18,Juniores!$A17:$F17,6,FALSE)),$O18,MROUND(RAND()*(($N18-$P18)-($O18+$P18))+($O18+$P18),0.5))),"-")</f>
        <v>2.5</v>
      </c>
      <c r="D18" s="17">
        <f ca="1">IFERROR(IF(OR(D$2=VLOOKUP($A18,Juniores!$A17:$D17,3,FALSE),D$2=VLOOKUP($A18,Juniores!$A17:$D17,4,FALSE)),$N18,IF(OR(D$2=VLOOKUP($A18,Juniores!$A17:$F17,5,FALSE),D$2=VLOOKUP($A18,Juniores!$A17:$F17,6,FALSE)),$O18,MROUND(RAND()*(($N18-$P18)-($O18+$P18))+($O18+$P18),0.5))),"-")</f>
        <v>2</v>
      </c>
      <c r="E18" s="17">
        <f ca="1">IFERROR(IF(OR(E$2=VLOOKUP($A18,Juniores!$A17:$D17,3,FALSE),E$2=VLOOKUP($A18,Juniores!$A17:$D17,4,FALSE)),$N18,IF(OR(E$2=VLOOKUP($A18,Juniores!$A17:$F17,5,FALSE),E$2=VLOOKUP($A18,Juniores!$A17:$F17,6,FALSE)),$O18,MROUND(RAND()*(($N18-$P18)-($O18+$P18))+($O18+$P18),0.5))),"-")</f>
        <v>2.5</v>
      </c>
      <c r="F18" s="17">
        <f ca="1">IFERROR(IF(OR(F$2=VLOOKUP($A18,Juniores!$A17:$D17,3,FALSE),F$2=VLOOKUP($A18,Juniores!$A17:$D17,4,FALSE)),$N18,IF(OR(F$2=VLOOKUP($A18,Juniores!$A17:$F17,5,FALSE),F$2=VLOOKUP($A18,Juniores!$A17:$F17,6,FALSE)),$O18,MROUND(RAND()*(($N18-$P18)-($O18+$P18))+($O18+$P18),0.5))),"-")</f>
        <v>2.5</v>
      </c>
      <c r="G18" s="17">
        <f ca="1">IFERROR(IF(OR(G$2=VLOOKUP($A18,Juniores!$A17:$D17,3,FALSE),G$2=VLOOKUP($A18,Juniores!$A17:$D17,4,FALSE)),$N18,IF(OR(G$2=VLOOKUP($A18,Juniores!$A17:$F17,5,FALSE),G$2=VLOOKUP($A18,Juniores!$A17:$F17,6,FALSE)),$O18,MROUND(RAND()*(($N18-$P18)-($O18+$P18))+($O18+$P18),0.5))),"-")</f>
        <v>2.5</v>
      </c>
      <c r="H18" s="17">
        <f ca="1">IFERROR(IF(OR(H$2=VLOOKUP($A18,Juniores!$A17:$D17,3,FALSE),H$2=VLOOKUP($A18,Juniores!$A17:$D17,4,FALSE)),$N18,IF(OR(H$2=VLOOKUP($A18,Juniores!$A17:$F17,5,FALSE),H$2=VLOOKUP($A18,Juniores!$A17:$F17,6,FALSE)),$O18,MROUND(RAND()*(($N18-$P18)-($O18+$P18))+($O18+$P18),0.5))),"-")</f>
        <v>3</v>
      </c>
      <c r="I18" s="17">
        <f ca="1">IFERROR(IF(OR(I$2=VLOOKUP($A18,Juniores!$A17:$D17,3,FALSE),I$2=VLOOKUP($A18,Juniores!$A17:$D17,4,FALSE)),$N18,IF(OR(I$2=VLOOKUP($A18,Juniores!$A17:$F17,5,FALSE),I$2=VLOOKUP($A18,Juniores!$A17:$F17,6,FALSE)),$O18,MROUND(RAND()*(($N18-$P18)-($O18+$P18))+($O18+$P18),0.5))),"-")</f>
        <v>2.5</v>
      </c>
      <c r="J18" s="17">
        <f ca="1">IFERROR(IF(OR(J$2=VLOOKUP($A18,Juniores!$A17:$D17,3,FALSE),J$2=VLOOKUP($A18,Juniores!$A17:$D17,4,FALSE)),$N18,IF(OR(J$2=VLOOKUP($A18,Juniores!$A17:$F17,5,FALSE),J$2=VLOOKUP($A18,Juniores!$A17:$F17,6,FALSE)),$O18,MROUND(RAND()*(($N18-$P18)-($O18+$P18))+($O18+$P18),0.5))),"-")</f>
        <v>3</v>
      </c>
      <c r="K18" s="17">
        <f ca="1">IFERROR(IF(OR(K$2=VLOOKUP($A18,Juniores!$A17:$D17,3,FALSE),K$2=VLOOKUP($A18,Juniores!$A17:$D17,4,FALSE)),$N18,IF(OR(K$2=VLOOKUP($A18,Juniores!$A17:$F17,5,FALSE),K$2=VLOOKUP($A18,Juniores!$A17:$F17,6,FALSE)),$O18,MROUND(RAND()*(($N18-$P18)-($O18+$P18))+($O18+$P18),0.5))),"-")</f>
        <v>2.5</v>
      </c>
      <c r="L18" s="17">
        <f ca="1">IFERROR(IF(OR(L$2=VLOOKUP($A18,Juniores!$A17:$D17,3,FALSE),L$2=VLOOKUP($A18,Juniores!$A17:$D17,4,FALSE)),$N18,IF(OR(L$2=VLOOKUP($A18,Juniores!$A17:$F17,5,FALSE),L$2=VLOOKUP($A18,Juniores!$A17:$F17,6,FALSE)),$O18,MROUND(RAND()*(($N18-$P18)-($O18+$P18))+($O18+$P18),0.5))),"-")</f>
        <v>2.5</v>
      </c>
      <c r="M18" s="17">
        <f ca="1">IFERROR(IF(OR(M$2=VLOOKUP($A18,Juniores!$A17:$D17,3,FALSE),M$2=VLOOKUP($A18,Juniores!$A17:$D17,4,FALSE)),$N18,IF(OR(M$2=VLOOKUP($A18,Juniores!$A17:$F17,5,FALSE),M$2=VLOOKUP($A18,Juniores!$A17:$F17,6,FALSE)),$O18,MROUND(RAND()*(($N18-$P18)-($O18+$P18))+($O18+$P18),0.5))),"-")</f>
        <v>2</v>
      </c>
      <c r="N18" s="82">
        <f>IFERROR(JuniorstwoRandom[[#This Row],[MAX]],"-")</f>
        <v>3</v>
      </c>
      <c r="O18" s="82">
        <f>IFERROR(JuniorstwoRandom[[#This Row],[MIN]],"-")</f>
        <v>2</v>
      </c>
      <c r="P18" s="82">
        <f>IFERROR(JuniorstwoRandom[[#This Row],[MARGIN]],"-")</f>
        <v>0.5</v>
      </c>
    </row>
    <row r="19" spans="1:16" x14ac:dyDescent="0.25">
      <c r="A19" s="81">
        <f>IFERROR(JuniorstwoRandom[[#This Row],[Number]],"-")</f>
        <v>27</v>
      </c>
      <c r="B19" s="18" t="str">
        <f>IFERROR(VLOOKUP(A19,Zawodnicy[],2,FALSE),"-")</f>
        <v>Sylwester Kaszubowski</v>
      </c>
      <c r="C19" s="17">
        <f ca="1">IFERROR(IF(OR(C$2=VLOOKUP($A19,Juniores!$A18:$D18,3,FALSE),C$2=VLOOKUP($A19,Juniores!$A18:$D18,4,FALSE)),$N19,IF(OR(C$2=VLOOKUP($A19,Juniores!$A18:$F18,5,FALSE),C$2=VLOOKUP($A19,Juniores!$A18:$F18,6,FALSE)),$O19,MROUND(RAND()*(($N19-$P19)-($O19+$P19))+($O19+$P19),0.5))),"-")</f>
        <v>2</v>
      </c>
      <c r="D19" s="17">
        <f ca="1">IFERROR(IF(OR(D$2=VLOOKUP($A19,Juniores!$A18:$D18,3,FALSE),D$2=VLOOKUP($A19,Juniores!$A18:$D18,4,FALSE)),$N19,IF(OR(D$2=VLOOKUP($A19,Juniores!$A18:$F18,5,FALSE),D$2=VLOOKUP($A19,Juniores!$A18:$F18,6,FALSE)),$O19,MROUND(RAND()*(($N19-$P19)-($O19+$P19))+($O19+$P19),0.5))),"-")</f>
        <v>1.5</v>
      </c>
      <c r="E19" s="17">
        <f ca="1">IFERROR(IF(OR(E$2=VLOOKUP($A19,Juniores!$A18:$D18,3,FALSE),E$2=VLOOKUP($A19,Juniores!$A18:$D18,4,FALSE)),$N19,IF(OR(E$2=VLOOKUP($A19,Juniores!$A18:$F18,5,FALSE),E$2=VLOOKUP($A19,Juniores!$A18:$F18,6,FALSE)),$O19,MROUND(RAND()*(($N19-$P19)-($O19+$P19))+($O19+$P19),0.5))),"-")</f>
        <v>1.5</v>
      </c>
      <c r="F19" s="17">
        <f ca="1">IFERROR(IF(OR(F$2=VLOOKUP($A19,Juniores!$A18:$D18,3,FALSE),F$2=VLOOKUP($A19,Juniores!$A18:$D18,4,FALSE)),$N19,IF(OR(F$2=VLOOKUP($A19,Juniores!$A18:$F18,5,FALSE),F$2=VLOOKUP($A19,Juniores!$A18:$F18,6,FALSE)),$O19,MROUND(RAND()*(($N19-$P19)-($O19+$P19))+($O19+$P19),0.5))),"-")</f>
        <v>3</v>
      </c>
      <c r="G19" s="17">
        <f ca="1">IFERROR(IF(OR(G$2=VLOOKUP($A19,Juniores!$A18:$D18,3,FALSE),G$2=VLOOKUP($A19,Juniores!$A18:$D18,4,FALSE)),$N19,IF(OR(G$2=VLOOKUP($A19,Juniores!$A18:$F18,5,FALSE),G$2=VLOOKUP($A19,Juniores!$A18:$F18,6,FALSE)),$O19,MROUND(RAND()*(($N19-$P19)-($O19+$P19))+($O19+$P19),0.5))),"-")</f>
        <v>1.5</v>
      </c>
      <c r="H19" s="17">
        <f ca="1">IFERROR(IF(OR(H$2=VLOOKUP($A19,Juniores!$A18:$D18,3,FALSE),H$2=VLOOKUP($A19,Juniores!$A18:$D18,4,FALSE)),$N19,IF(OR(H$2=VLOOKUP($A19,Juniores!$A18:$F18,5,FALSE),H$2=VLOOKUP($A19,Juniores!$A18:$F18,6,FALSE)),$O19,MROUND(RAND()*(($N19-$P19)-($O19+$P19))+($O19+$P19),0.5))),"-")</f>
        <v>1</v>
      </c>
      <c r="I19" s="17">
        <f ca="1">IFERROR(IF(OR(I$2=VLOOKUP($A19,Juniores!$A18:$D18,3,FALSE),I$2=VLOOKUP($A19,Juniores!$A18:$D18,4,FALSE)),$N19,IF(OR(I$2=VLOOKUP($A19,Juniores!$A18:$F18,5,FALSE),I$2=VLOOKUP($A19,Juniores!$A18:$F18,6,FALSE)),$O19,MROUND(RAND()*(($N19-$P19)-($O19+$P19))+($O19+$P19),0.5))),"-")</f>
        <v>1</v>
      </c>
      <c r="J19" s="17">
        <f ca="1">IFERROR(IF(OR(J$2=VLOOKUP($A19,Juniores!$A18:$D18,3,FALSE),J$2=VLOOKUP($A19,Juniores!$A18:$D18,4,FALSE)),$N19,IF(OR(J$2=VLOOKUP($A19,Juniores!$A18:$F18,5,FALSE),J$2=VLOOKUP($A19,Juniores!$A18:$F18,6,FALSE)),$O19,MROUND(RAND()*(($N19-$P19)-($O19+$P19))+($O19+$P19),0.5))),"-")</f>
        <v>3</v>
      </c>
      <c r="K19" s="17">
        <f ca="1">IFERROR(IF(OR(K$2=VLOOKUP($A19,Juniores!$A18:$D18,3,FALSE),K$2=VLOOKUP($A19,Juniores!$A18:$D18,4,FALSE)),$N19,IF(OR(K$2=VLOOKUP($A19,Juniores!$A18:$F18,5,FALSE),K$2=VLOOKUP($A19,Juniores!$A18:$F18,6,FALSE)),$O19,MROUND(RAND()*(($N19-$P19)-($O19+$P19))+($O19+$P19),0.5))),"-")</f>
        <v>1.5</v>
      </c>
      <c r="L19" s="17">
        <f ca="1">IFERROR(IF(OR(L$2=VLOOKUP($A19,Juniores!$A18:$D18,3,FALSE),L$2=VLOOKUP($A19,Juniores!$A18:$D18,4,FALSE)),$N19,IF(OR(L$2=VLOOKUP($A19,Juniores!$A18:$F18,5,FALSE),L$2=VLOOKUP($A19,Juniores!$A18:$F18,6,FALSE)),$O19,MROUND(RAND()*(($N19-$P19)-($O19+$P19))+($O19+$P19),0.5))),"-")</f>
        <v>2.5</v>
      </c>
      <c r="M19" s="17">
        <f ca="1">IFERROR(IF(OR(M$2=VLOOKUP($A19,Juniores!$A18:$D18,3,FALSE),M$2=VLOOKUP($A19,Juniores!$A18:$D18,4,FALSE)),$N19,IF(OR(M$2=VLOOKUP($A19,Juniores!$A18:$F18,5,FALSE),M$2=VLOOKUP($A19,Juniores!$A18:$F18,6,FALSE)),$O19,MROUND(RAND()*(($N19-$P19)-($O19+$P19))+($O19+$P19),0.5))),"-")</f>
        <v>2</v>
      </c>
      <c r="N19" s="82">
        <f>IFERROR(JuniorstwoRandom[[#This Row],[MAX]],"-")</f>
        <v>3</v>
      </c>
      <c r="O19" s="82">
        <f>IFERROR(JuniorstwoRandom[[#This Row],[MIN]],"-")</f>
        <v>1</v>
      </c>
      <c r="P19" s="82">
        <f>IFERROR(JuniorstwoRandom[[#This Row],[MARGIN]],"-")</f>
        <v>0.5</v>
      </c>
    </row>
    <row r="20" spans="1:16" x14ac:dyDescent="0.25">
      <c r="A20" s="81">
        <f>IFERROR(JuniorstwoRandom[[#This Row],[Number]],"-")</f>
        <v>59</v>
      </c>
      <c r="B20" s="18" t="str">
        <f>IFERROR(VLOOKUP(A20,Zawodnicy[],2,FALSE),"-")</f>
        <v>Milosz Kostrzewski</v>
      </c>
      <c r="C20" s="17">
        <f ca="1">IFERROR(IF(OR(C$2=VLOOKUP($A20,Juniores!$A19:$D19,3,FALSE),C$2=VLOOKUP($A20,Juniores!$A19:$D19,4,FALSE)),$N20,IF(OR(C$2=VLOOKUP($A20,Juniores!$A19:$F19,5,FALSE),C$2=VLOOKUP($A20,Juniores!$A19:$F19,6,FALSE)),$O20,MROUND(RAND()*(($N20-$P20)-($O20+$P20))+($O20+$P20),0.5))),"-")</f>
        <v>2</v>
      </c>
      <c r="D20" s="17">
        <f ca="1">IFERROR(IF(OR(D$2=VLOOKUP($A20,Juniores!$A19:$D19,3,FALSE),D$2=VLOOKUP($A20,Juniores!$A19:$D19,4,FALSE)),$N20,IF(OR(D$2=VLOOKUP($A20,Juniores!$A19:$F19,5,FALSE),D$2=VLOOKUP($A20,Juniores!$A19:$F19,6,FALSE)),$O20,MROUND(RAND()*(($N20-$P20)-($O20+$P20))+($O20+$P20),0.5))),"-")</f>
        <v>2.5</v>
      </c>
      <c r="E20" s="17">
        <f ca="1">IFERROR(IF(OR(E$2=VLOOKUP($A20,Juniores!$A19:$D19,3,FALSE),E$2=VLOOKUP($A20,Juniores!$A19:$D19,4,FALSE)),$N20,IF(OR(E$2=VLOOKUP($A20,Juniores!$A19:$F19,5,FALSE),E$2=VLOOKUP($A20,Juniores!$A19:$F19,6,FALSE)),$O20,MROUND(RAND()*(($N20-$P20)-($O20+$P20))+($O20+$P20),0.5))),"-")</f>
        <v>2.5</v>
      </c>
      <c r="F20" s="17">
        <f ca="1">IFERROR(IF(OR(F$2=VLOOKUP($A20,Juniores!$A19:$D19,3,FALSE),F$2=VLOOKUP($A20,Juniores!$A19:$D19,4,FALSE)),$N20,IF(OR(F$2=VLOOKUP($A20,Juniores!$A19:$F19,5,FALSE),F$2=VLOOKUP($A20,Juniores!$A19:$F19,6,FALSE)),$O20,MROUND(RAND()*(($N20-$P20)-($O20+$P20))+($O20+$P20),0.5))),"-")</f>
        <v>2.5</v>
      </c>
      <c r="G20" s="17">
        <f ca="1">IFERROR(IF(OR(G$2=VLOOKUP($A20,Juniores!$A19:$D19,3,FALSE),G$2=VLOOKUP($A20,Juniores!$A19:$D19,4,FALSE)),$N20,IF(OR(G$2=VLOOKUP($A20,Juniores!$A19:$F19,5,FALSE),G$2=VLOOKUP($A20,Juniores!$A19:$F19,6,FALSE)),$O20,MROUND(RAND()*(($N20-$P20)-($O20+$P20))+($O20+$P20),0.5))),"-")</f>
        <v>2.5</v>
      </c>
      <c r="H20" s="17">
        <f ca="1">IFERROR(IF(OR(H$2=VLOOKUP($A20,Juniores!$A19:$D19,3,FALSE),H$2=VLOOKUP($A20,Juniores!$A19:$D19,4,FALSE)),$N20,IF(OR(H$2=VLOOKUP($A20,Juniores!$A19:$F19,5,FALSE),H$2=VLOOKUP($A20,Juniores!$A19:$F19,6,FALSE)),$O20,MROUND(RAND()*(($N20-$P20)-($O20+$P20))+($O20+$P20),0.5))),"-")</f>
        <v>3</v>
      </c>
      <c r="I20" s="17">
        <f ca="1">IFERROR(IF(OR(I$2=VLOOKUP($A20,Juniores!$A19:$D19,3,FALSE),I$2=VLOOKUP($A20,Juniores!$A19:$D19,4,FALSE)),$N20,IF(OR(I$2=VLOOKUP($A20,Juniores!$A19:$F19,5,FALSE),I$2=VLOOKUP($A20,Juniores!$A19:$F19,6,FALSE)),$O20,MROUND(RAND()*(($N20-$P20)-($O20+$P20))+($O20+$P20),0.5))),"-")</f>
        <v>2</v>
      </c>
      <c r="J20" s="17">
        <f ca="1">IFERROR(IF(OR(J$2=VLOOKUP($A20,Juniores!$A19:$D19,3,FALSE),J$2=VLOOKUP($A20,Juniores!$A19:$D19,4,FALSE)),$N20,IF(OR(J$2=VLOOKUP($A20,Juniores!$A19:$F19,5,FALSE),J$2=VLOOKUP($A20,Juniores!$A19:$F19,6,FALSE)),$O20,MROUND(RAND()*(($N20-$P20)-($O20+$P20))+($O20+$P20),0.5))),"-")</f>
        <v>3</v>
      </c>
      <c r="K20" s="17">
        <f ca="1">IFERROR(IF(OR(K$2=VLOOKUP($A20,Juniores!$A19:$D19,3,FALSE),K$2=VLOOKUP($A20,Juniores!$A19:$D19,4,FALSE)),$N20,IF(OR(K$2=VLOOKUP($A20,Juniores!$A19:$F19,5,FALSE),K$2=VLOOKUP($A20,Juniores!$A19:$F19,6,FALSE)),$O20,MROUND(RAND()*(($N20-$P20)-($O20+$P20))+($O20+$P20),0.5))),"-")</f>
        <v>2.5</v>
      </c>
      <c r="L20" s="17">
        <f ca="1">IFERROR(IF(OR(L$2=VLOOKUP($A20,Juniores!$A19:$D19,3,FALSE),L$2=VLOOKUP($A20,Juniores!$A19:$D19,4,FALSE)),$N20,IF(OR(L$2=VLOOKUP($A20,Juniores!$A19:$F19,5,FALSE),L$2=VLOOKUP($A20,Juniores!$A19:$F19,6,FALSE)),$O20,MROUND(RAND()*(($N20-$P20)-($O20+$P20))+($O20+$P20),0.5))),"-")</f>
        <v>2.5</v>
      </c>
      <c r="M20" s="17">
        <f ca="1">IFERROR(IF(OR(M$2=VLOOKUP($A20,Juniores!$A19:$D19,3,FALSE),M$2=VLOOKUP($A20,Juniores!$A19:$D19,4,FALSE)),$N20,IF(OR(M$2=VLOOKUP($A20,Juniores!$A19:$F19,5,FALSE),M$2=VLOOKUP($A20,Juniores!$A19:$F19,6,FALSE)),$O20,MROUND(RAND()*(($N20-$P20)-($O20+$P20))+($O20+$P20),0.5))),"-")</f>
        <v>2.5</v>
      </c>
      <c r="N20" s="82">
        <f>IFERROR(JuniorstwoRandom[[#This Row],[MAX]],"-")</f>
        <v>3</v>
      </c>
      <c r="O20" s="82">
        <f>IFERROR(JuniorstwoRandom[[#This Row],[MIN]],"-")</f>
        <v>2</v>
      </c>
      <c r="P20" s="82">
        <f>IFERROR(JuniorstwoRandom[[#This Row],[MARGIN]],"-")</f>
        <v>0.5</v>
      </c>
    </row>
    <row r="21" spans="1:16" x14ac:dyDescent="0.25">
      <c r="A21" s="81">
        <f>IFERROR(JuniorstwoRandom[[#This Row],[Number]],"-")</f>
        <v>17</v>
      </c>
      <c r="B21" s="18" t="str">
        <f>IFERROR(VLOOKUP(A21,Zawodnicy[],2,FALSE),"-")</f>
        <v>Hieronim Wejta</v>
      </c>
      <c r="C21" s="17">
        <f ca="1">IFERROR(IF(OR(C$2=VLOOKUP($A21,Juniores!$A20:$D20,3,FALSE),C$2=VLOOKUP($A21,Juniores!$A20:$D20,4,FALSE)),$N21,IF(OR(C$2=VLOOKUP($A21,Juniores!$A20:$F20,5,FALSE),C$2=VLOOKUP($A21,Juniores!$A20:$F20,6,FALSE)),$O21,MROUND(RAND()*(($N21-$P21)-($O21+$P21))+($O21+$P21),0.5))),"-")</f>
        <v>2</v>
      </c>
      <c r="D21" s="17">
        <f ca="1">IFERROR(IF(OR(D$2=VLOOKUP($A21,Juniores!$A20:$D20,3,FALSE),D$2=VLOOKUP($A21,Juniores!$A20:$D20,4,FALSE)),$N21,IF(OR(D$2=VLOOKUP($A21,Juniores!$A20:$F20,5,FALSE),D$2=VLOOKUP($A21,Juniores!$A20:$F20,6,FALSE)),$O21,MROUND(RAND()*(($N21-$P21)-($O21+$P21))+($O21+$P21),0.5))),"-")</f>
        <v>4</v>
      </c>
      <c r="E21" s="17">
        <f ca="1">IFERROR(IF(OR(E$2=VLOOKUP($A21,Juniores!$A20:$D20,3,FALSE),E$2=VLOOKUP($A21,Juniores!$A20:$D20,4,FALSE)),$N21,IF(OR(E$2=VLOOKUP($A21,Juniores!$A20:$F20,5,FALSE),E$2=VLOOKUP($A21,Juniores!$A20:$F20,6,FALSE)),$O21,MROUND(RAND()*(($N21-$P21)-($O21+$P21))+($O21+$P21),0.5))),"-")</f>
        <v>4</v>
      </c>
      <c r="F21" s="17">
        <f ca="1">IFERROR(IF(OR(F$2=VLOOKUP($A21,Juniores!$A20:$D20,3,FALSE),F$2=VLOOKUP($A21,Juniores!$A20:$D20,4,FALSE)),$N21,IF(OR(F$2=VLOOKUP($A21,Juniores!$A20:$F20,5,FALSE),F$2=VLOOKUP($A21,Juniores!$A20:$F20,6,FALSE)),$O21,MROUND(RAND()*(($N21-$P21)-($O21+$P21))+($O21+$P21),0.5))),"-")</f>
        <v>3</v>
      </c>
      <c r="G21" s="17">
        <f ca="1">IFERROR(IF(OR(G$2=VLOOKUP($A21,Juniores!$A20:$D20,3,FALSE),G$2=VLOOKUP($A21,Juniores!$A20:$D20,4,FALSE)),$N21,IF(OR(G$2=VLOOKUP($A21,Juniores!$A20:$F20,5,FALSE),G$2=VLOOKUP($A21,Juniores!$A20:$F20,6,FALSE)),$O21,MROUND(RAND()*(($N21-$P21)-($O21+$P21))+($O21+$P21),0.5))),"-")</f>
        <v>2.5</v>
      </c>
      <c r="H21" s="17">
        <f ca="1">IFERROR(IF(OR(H$2=VLOOKUP($A21,Juniores!$A20:$D20,3,FALSE),H$2=VLOOKUP($A21,Juniores!$A20:$D20,4,FALSE)),$N21,IF(OR(H$2=VLOOKUP($A21,Juniores!$A20:$F20,5,FALSE),H$2=VLOOKUP($A21,Juniores!$A20:$F20,6,FALSE)),$O21,MROUND(RAND()*(($N21-$P21)-($O21+$P21))+($O21+$P21),0.5))),"-")</f>
        <v>3</v>
      </c>
      <c r="I21" s="17">
        <f ca="1">IFERROR(IF(OR(I$2=VLOOKUP($A21,Juniores!$A20:$D20,3,FALSE),I$2=VLOOKUP($A21,Juniores!$A20:$D20,4,FALSE)),$N21,IF(OR(I$2=VLOOKUP($A21,Juniores!$A20:$F20,5,FALSE),I$2=VLOOKUP($A21,Juniores!$A20:$F20,6,FALSE)),$O21,MROUND(RAND()*(($N21-$P21)-($O21+$P21))+($O21+$P21),0.5))),"-")</f>
        <v>2</v>
      </c>
      <c r="J21" s="17">
        <f ca="1">IFERROR(IF(OR(J$2=VLOOKUP($A21,Juniores!$A20:$D20,3,FALSE),J$2=VLOOKUP($A21,Juniores!$A20:$D20,4,FALSE)),$N21,IF(OR(J$2=VLOOKUP($A21,Juniores!$A20:$F20,5,FALSE),J$2=VLOOKUP($A21,Juniores!$A20:$F20,6,FALSE)),$O21,MROUND(RAND()*(($N21-$P21)-($O21+$P21))+($O21+$P21),0.5))),"-")</f>
        <v>2.5</v>
      </c>
      <c r="K21" s="17">
        <f ca="1">IFERROR(IF(OR(K$2=VLOOKUP($A21,Juniores!$A20:$D20,3,FALSE),K$2=VLOOKUP($A21,Juniores!$A20:$D20,4,FALSE)),$N21,IF(OR(K$2=VLOOKUP($A21,Juniores!$A20:$F20,5,FALSE),K$2=VLOOKUP($A21,Juniores!$A20:$F20,6,FALSE)),$O21,MROUND(RAND()*(($N21-$P21)-($O21+$P21))+($O21+$P21),0.5))),"-")</f>
        <v>3</v>
      </c>
      <c r="L21" s="17">
        <f ca="1">IFERROR(IF(OR(L$2=VLOOKUP($A21,Juniores!$A20:$D20,3,FALSE),L$2=VLOOKUP($A21,Juniores!$A20:$D20,4,FALSE)),$N21,IF(OR(L$2=VLOOKUP($A21,Juniores!$A20:$F20,5,FALSE),L$2=VLOOKUP($A21,Juniores!$A20:$F20,6,FALSE)),$O21,MROUND(RAND()*(($N21-$P21)-($O21+$P21))+($O21+$P21),0.5))),"-")</f>
        <v>3</v>
      </c>
      <c r="M21" s="17">
        <f ca="1">IFERROR(IF(OR(M$2=VLOOKUP($A21,Juniores!$A20:$D20,3,FALSE),M$2=VLOOKUP($A21,Juniores!$A20:$D20,4,FALSE)),$N21,IF(OR(M$2=VLOOKUP($A21,Juniores!$A20:$F20,5,FALSE),M$2=VLOOKUP($A21,Juniores!$A20:$F20,6,FALSE)),$O21,MROUND(RAND()*(($N21-$P21)-($O21+$P21))+($O21+$P21),0.5))),"-")</f>
        <v>3.5</v>
      </c>
      <c r="N21" s="82">
        <f>IFERROR(JuniorstwoRandom[[#This Row],[MAX]],"-")</f>
        <v>4</v>
      </c>
      <c r="O21" s="82">
        <f>IFERROR(JuniorstwoRandom[[#This Row],[MIN]],"-")</f>
        <v>2</v>
      </c>
      <c r="P21" s="82">
        <f>IFERROR(JuniorstwoRandom[[#This Row],[MARGIN]],"-")</f>
        <v>0.5</v>
      </c>
    </row>
    <row r="22" spans="1:16" x14ac:dyDescent="0.25">
      <c r="A22" s="81">
        <f>IFERROR(JuniorstwoRandom[[#This Row],[Number]],"-")</f>
        <v>0</v>
      </c>
      <c r="B22" s="18" t="str">
        <f>IFERROR(VLOOKUP(A22,Zawodnicy[],2,FALSE),"-")</f>
        <v>-</v>
      </c>
      <c r="C22" s="17" t="str">
        <f ca="1">IFERROR(IF(OR(C$2=VLOOKUP($A22,Juniores!$A21:$D21,3,FALSE),C$2=VLOOKUP($A22,Juniores!$A21:$D21,4,FALSE)),$N22,IF(OR(C$2=VLOOKUP($A22,Juniores!$A21:$F21,5,FALSE),C$2=VLOOKUP($A22,Juniores!$A21:$F21,6,FALSE)),$O22,MROUND(RAND()*(($N22-$P22)-($O22+$P22))+($O22+$P22),0.5))),"-")</f>
        <v>-</v>
      </c>
      <c r="D22" s="17" t="str">
        <f ca="1">IFERROR(IF(OR(D$2=VLOOKUP($A22,Juniores!$A21:$D21,3,FALSE),D$2=VLOOKUP($A22,Juniores!$A21:$D21,4,FALSE)),$N22,IF(OR(D$2=VLOOKUP($A22,Juniores!$A21:$F21,5,FALSE),D$2=VLOOKUP($A22,Juniores!$A21:$F21,6,FALSE)),$O22,MROUND(RAND()*(($N22-$P22)-($O22+$P22))+($O22+$P22),0.5))),"-")</f>
        <v>-</v>
      </c>
      <c r="E22" s="17" t="str">
        <f ca="1">IFERROR(IF(OR(E$2=VLOOKUP($A22,Juniores!$A21:$D21,3,FALSE),E$2=VLOOKUP($A22,Juniores!$A21:$D21,4,FALSE)),$N22,IF(OR(E$2=VLOOKUP($A22,Juniores!$A21:$F21,5,FALSE),E$2=VLOOKUP($A22,Juniores!$A21:$F21,6,FALSE)),$O22,MROUND(RAND()*(($N22-$P22)-($O22+$P22))+($O22+$P22),0.5))),"-")</f>
        <v>-</v>
      </c>
      <c r="F22" s="17" t="str">
        <f ca="1">IFERROR(IF(OR(F$2=VLOOKUP($A22,Juniores!$A21:$D21,3,FALSE),F$2=VLOOKUP($A22,Juniores!$A21:$D21,4,FALSE)),$N22,IF(OR(F$2=VLOOKUP($A22,Juniores!$A21:$F21,5,FALSE),F$2=VLOOKUP($A22,Juniores!$A21:$F21,6,FALSE)),$O22,MROUND(RAND()*(($N22-$P22)-($O22+$P22))+($O22+$P22),0.5))),"-")</f>
        <v>-</v>
      </c>
      <c r="G22" s="17" t="str">
        <f ca="1">IFERROR(IF(OR(G$2=VLOOKUP($A22,Juniores!$A21:$D21,3,FALSE),G$2=VLOOKUP($A22,Juniores!$A21:$D21,4,FALSE)),$N22,IF(OR(G$2=VLOOKUP($A22,Juniores!$A21:$F21,5,FALSE),G$2=VLOOKUP($A22,Juniores!$A21:$F21,6,FALSE)),$O22,MROUND(RAND()*(($N22-$P22)-($O22+$P22))+($O22+$P22),0.5))),"-")</f>
        <v>-</v>
      </c>
      <c r="H22" s="17" t="str">
        <f ca="1">IFERROR(IF(OR(H$2=VLOOKUP($A22,Juniores!$A21:$D21,3,FALSE),H$2=VLOOKUP($A22,Juniores!$A21:$D21,4,FALSE)),$N22,IF(OR(H$2=VLOOKUP($A22,Juniores!$A21:$F21,5,FALSE),H$2=VLOOKUP($A22,Juniores!$A21:$F21,6,FALSE)),$O22,MROUND(RAND()*(($N22-$P22)-($O22+$P22))+($O22+$P22),0.5))),"-")</f>
        <v>-</v>
      </c>
      <c r="I22" s="17" t="str">
        <f ca="1">IFERROR(IF(OR(I$2=VLOOKUP($A22,Juniores!$A21:$D21,3,FALSE),I$2=VLOOKUP($A22,Juniores!$A21:$D21,4,FALSE)),$N22,IF(OR(I$2=VLOOKUP($A22,Juniores!$A21:$F21,5,FALSE),I$2=VLOOKUP($A22,Juniores!$A21:$F21,6,FALSE)),$O22,MROUND(RAND()*(($N22-$P22)-($O22+$P22))+($O22+$P22),0.5))),"-")</f>
        <v>-</v>
      </c>
      <c r="J22" s="17" t="str">
        <f ca="1">IFERROR(IF(OR(J$2=VLOOKUP($A22,Juniores!$A21:$D21,3,FALSE),J$2=VLOOKUP($A22,Juniores!$A21:$D21,4,FALSE)),$N22,IF(OR(J$2=VLOOKUP($A22,Juniores!$A21:$F21,5,FALSE),J$2=VLOOKUP($A22,Juniores!$A21:$F21,6,FALSE)),$O22,MROUND(RAND()*(($N22-$P22)-($O22+$P22))+($O22+$P22),0.5))),"-")</f>
        <v>-</v>
      </c>
      <c r="K22" s="17" t="str">
        <f ca="1">IFERROR(IF(OR(K$2=VLOOKUP($A22,Juniores!$A21:$D21,3,FALSE),K$2=VLOOKUP($A22,Juniores!$A21:$D21,4,FALSE)),$N22,IF(OR(K$2=VLOOKUP($A22,Juniores!$A21:$F21,5,FALSE),K$2=VLOOKUP($A22,Juniores!$A21:$F21,6,FALSE)),$O22,MROUND(RAND()*(($N22-$P22)-($O22+$P22))+($O22+$P22),0.5))),"-")</f>
        <v>-</v>
      </c>
      <c r="L22" s="17" t="str">
        <f ca="1">IFERROR(IF(OR(L$2=VLOOKUP($A22,Juniores!$A21:$D21,3,FALSE),L$2=VLOOKUP($A22,Juniores!$A21:$D21,4,FALSE)),$N22,IF(OR(L$2=VLOOKUP($A22,Juniores!$A21:$F21,5,FALSE),L$2=VLOOKUP($A22,Juniores!$A21:$F21,6,FALSE)),$O22,MROUND(RAND()*(($N22-$P22)-($O22+$P22))+($O22+$P22),0.5))),"-")</f>
        <v>-</v>
      </c>
      <c r="M22" s="17" t="str">
        <f ca="1">IFERROR(IF(OR(M$2=VLOOKUP($A22,Juniores!$A21:$D21,3,FALSE),M$2=VLOOKUP($A22,Juniores!$A21:$D21,4,FALSE)),$N22,IF(OR(M$2=VLOOKUP($A22,Juniores!$A21:$F21,5,FALSE),M$2=VLOOKUP($A22,Juniores!$A21:$F21,6,FALSE)),$O22,MROUND(RAND()*(($N22-$P22)-($O22+$P22))+($O22+$P22),0.5))),"-")</f>
        <v>-</v>
      </c>
      <c r="N22" s="82" t="str">
        <f>IFERROR(JuniorstwoRandom[[#This Row],[MAX]],"-")</f>
        <v>-</v>
      </c>
      <c r="O22" s="82" t="str">
        <f>IFERROR(JuniorstwoRandom[[#This Row],[MIN]],"-")</f>
        <v>-</v>
      </c>
      <c r="P22" s="82">
        <f>IFERROR(JuniorstwoRandom[[#This Row],[MARGIN]],"-")</f>
        <v>0.5</v>
      </c>
    </row>
    <row r="23" spans="1:16" x14ac:dyDescent="0.25">
      <c r="A23" s="81"/>
      <c r="B23" s="18" t="str">
        <f>IFERROR(VLOOKUP(A23,Zawodnicy[],2,FALSE),"-")</f>
        <v>-</v>
      </c>
      <c r="C23" s="17" t="str">
        <f ca="1">IFERROR(IF(OR(C$2=VLOOKUP($A23,Juniores!$A21:$D21,3,FALSE),C$2=VLOOKUP($A23,Juniores!$A21:$D21,4,FALSE)),$N23,IF(OR(C$2=VLOOKUP($A23,Juniores!$A21:$F21,5,FALSE),C$2=VLOOKUP($A23,Juniores!$A21:$F21,6,FALSE)),$O23,MROUND(RAND()*(($N23-$P23)-($O23+$P23))+($O23+$P23),0.5))),"-")</f>
        <v>-</v>
      </c>
      <c r="D23" s="17" t="str">
        <f ca="1">IFERROR(IF(OR(D$2=VLOOKUP($A23,Juniores!$A21:$D21,3,FALSE),D$2=VLOOKUP($A23,Juniores!$A21:$D21,4,FALSE)),$N23,IF(OR(D$2=VLOOKUP($A23,Juniores!$A21:$F21,5,FALSE),D$2=VLOOKUP($A23,Juniores!$A21:$F21,6,FALSE)),$O23,MROUND(RAND()*(($N23-$P23)-($O23+$P23))+($O23+$P23),0.5))),"-")</f>
        <v>-</v>
      </c>
      <c r="E23" s="17" t="str">
        <f ca="1">IFERROR(IF(OR(E$2=VLOOKUP($A23,Juniores!$A21:$D21,3,FALSE),E$2=VLOOKUP($A23,Juniores!$A21:$D21,4,FALSE)),$N23,IF(OR(E$2=VLOOKUP($A23,Juniores!$A21:$F21,5,FALSE),E$2=VLOOKUP($A23,Juniores!$A21:$F21,6,FALSE)),$O23,MROUND(RAND()*(($N23-$P23)-($O23+$P23))+($O23+$P23),0.5))),"-")</f>
        <v>-</v>
      </c>
      <c r="F23" s="17" t="str">
        <f ca="1">IFERROR(IF(OR(F$2=VLOOKUP($A23,Juniores!$A21:$D21,3,FALSE),F$2=VLOOKUP($A23,Juniores!$A21:$D21,4,FALSE)),$N23,IF(OR(F$2=VLOOKUP($A23,Juniores!$A21:$F21,5,FALSE),F$2=VLOOKUP($A23,Juniores!$A21:$F21,6,FALSE)),$O23,MROUND(RAND()*(($N23-$P23)-($O23+$P23))+($O23+$P23),0.5))),"-")</f>
        <v>-</v>
      </c>
      <c r="G23" s="17" t="str">
        <f ca="1">IFERROR(IF(OR(G$2=VLOOKUP($A23,Juniores!$A21:$D21,3,FALSE),G$2=VLOOKUP($A23,Juniores!$A21:$D21,4,FALSE)),$N23,IF(OR(G$2=VLOOKUP($A23,Juniores!$A21:$F21,5,FALSE),G$2=VLOOKUP($A23,Juniores!$A21:$F21,6,FALSE)),$O23,MROUND(RAND()*(($N23-$P23)-($O23+$P23))+($O23+$P23),0.5))),"-")</f>
        <v>-</v>
      </c>
      <c r="H23" s="17" t="str">
        <f ca="1">IFERROR(IF(OR(H$2=VLOOKUP($A23,Juniores!$A21:$D21,3,FALSE),H$2=VLOOKUP($A23,Juniores!$A21:$D21,4,FALSE)),$N23,IF(OR(H$2=VLOOKUP($A23,Juniores!$A21:$F21,5,FALSE),H$2=VLOOKUP($A23,Juniores!$A21:$F21,6,FALSE)),$O23,MROUND(RAND()*(($N23-$P23)-($O23+$P23))+($O23+$P23),0.5))),"-")</f>
        <v>-</v>
      </c>
      <c r="I23" s="17" t="str">
        <f ca="1">IFERROR(IF(OR(I$2=VLOOKUP($A23,Juniores!$A21:$D21,3,FALSE),I$2=VLOOKUP($A23,Juniores!$A21:$D21,4,FALSE)),$N23,IF(OR(I$2=VLOOKUP($A23,Juniores!$A21:$F21,5,FALSE),I$2=VLOOKUP($A23,Juniores!$A21:$F21,6,FALSE)),$O23,MROUND(RAND()*(($N23-$P23)-($O23+$P23))+($O23+$P23),0.5))),"-")</f>
        <v>-</v>
      </c>
      <c r="J23" s="17" t="str">
        <f ca="1">IFERROR(IF(OR(J$2=VLOOKUP($A23,Juniores!$A21:$D21,3,FALSE),J$2=VLOOKUP($A23,Juniores!$A21:$D21,4,FALSE)),$N23,IF(OR(J$2=VLOOKUP($A23,Juniores!$A21:$F21,5,FALSE),J$2=VLOOKUP($A23,Juniores!$A21:$F21,6,FALSE)),$O23,MROUND(RAND()*(($N23-$P23)-($O23+$P23))+($O23+$P23),0.5))),"-")</f>
        <v>-</v>
      </c>
      <c r="K23" s="17" t="str">
        <f ca="1">IFERROR(IF(OR(K$2=VLOOKUP($A23,Juniores!$A21:$D21,3,FALSE),K$2=VLOOKUP($A23,Juniores!$A21:$D21,4,FALSE)),$N23,IF(OR(K$2=VLOOKUP($A23,Juniores!$A21:$F21,5,FALSE),K$2=VLOOKUP($A23,Juniores!$A21:$F21,6,FALSE)),$O23,MROUND(RAND()*(($N23-$P23)-($O23+$P23))+($O23+$P23),0.5))),"-")</f>
        <v>-</v>
      </c>
      <c r="L23" s="17" t="str">
        <f ca="1">IFERROR(IF(OR(L$2=VLOOKUP($A23,Juniores!$A21:$D21,3,FALSE),L$2=VLOOKUP($A23,Juniores!$A21:$D21,4,FALSE)),$N23,IF(OR(L$2=VLOOKUP($A23,Juniores!$A21:$F21,5,FALSE),L$2=VLOOKUP($A23,Juniores!$A21:$F21,6,FALSE)),$O23,MROUND(RAND()*(($N23-$P23)-($O23+$P23))+($O23+$P23),0.5))),"-")</f>
        <v>-</v>
      </c>
      <c r="M23" s="17" t="str">
        <f ca="1">IFERROR(IF(OR(M$2=VLOOKUP($A23,Juniores!$A21:$D21,3,FALSE),M$2=VLOOKUP($A23,Juniores!$A21:$D21,4,FALSE)),$N23,IF(OR(M$2=VLOOKUP($A23,Juniores!$A21:$F21,5,FALSE),M$2=VLOOKUP($A23,Juniores!$A21:$F21,6,FALSE)),$O23,MROUND(RAND()*(($N23-$P23)-($O23+$P23))+($O23+$P23),0.5))),"-")</f>
        <v>-</v>
      </c>
      <c r="N23" s="82" t="str">
        <f>IFERROR(JuniorstwoRandom[[#This Row],[MAX]],"-")</f>
        <v>-</v>
      </c>
      <c r="O23" s="82" t="str">
        <f>IFERROR(JuniorstwoRandom[[#This Row],[MIN]],"-")</f>
        <v>-</v>
      </c>
      <c r="P23" s="82">
        <f>IFERROR(JuniorstwoRandom[[#This Row],[MARGIN]],"-")</f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3EDB0D-8822-44F0-B3A2-8E2931834669}">
  <dimension ref="A2:R76"/>
  <sheetViews>
    <sheetView zoomScaleNormal="100" workbookViewId="0">
      <selection activeCell="O34" sqref="O34"/>
    </sheetView>
  </sheetViews>
  <sheetFormatPr defaultRowHeight="15" x14ac:dyDescent="0.25"/>
  <cols>
    <col min="1" max="1" width="11.28515625" customWidth="1"/>
    <col min="2" max="2" width="21.85546875" customWidth="1"/>
    <col min="3" max="3" width="11.7109375" customWidth="1"/>
    <col min="4" max="4" width="11.42578125" customWidth="1"/>
    <col min="5" max="5" width="10.7109375" customWidth="1"/>
    <col min="6" max="6" width="10.140625" customWidth="1"/>
    <col min="8" max="8" width="9.42578125" customWidth="1"/>
    <col min="9" max="9" width="9.7109375" customWidth="1"/>
    <col min="11" max="11" width="9.28515625" customWidth="1"/>
    <col min="20" max="20" width="9.85546875" bestFit="1" customWidth="1"/>
  </cols>
  <sheetData>
    <row r="2" spans="1:18" ht="15.75" thickBot="1" x14ac:dyDescent="0.3">
      <c r="A2" s="15" t="s">
        <v>744</v>
      </c>
      <c r="B2" s="13" t="s">
        <v>780</v>
      </c>
      <c r="C2" t="s">
        <v>749</v>
      </c>
      <c r="D2" t="s">
        <v>750</v>
      </c>
      <c r="E2" t="s">
        <v>763</v>
      </c>
      <c r="F2" t="s">
        <v>751</v>
      </c>
      <c r="G2" t="s">
        <v>752</v>
      </c>
      <c r="H2" t="s">
        <v>753</v>
      </c>
      <c r="I2" t="s">
        <v>769</v>
      </c>
      <c r="J2" t="s">
        <v>754</v>
      </c>
      <c r="K2" t="s">
        <v>755</v>
      </c>
      <c r="L2" t="s">
        <v>756</v>
      </c>
      <c r="M2" t="s">
        <v>764</v>
      </c>
      <c r="N2" t="s">
        <v>73</v>
      </c>
      <c r="O2" s="14" t="s">
        <v>74</v>
      </c>
      <c r="P2" s="14" t="s">
        <v>75</v>
      </c>
      <c r="Q2" s="14" t="s">
        <v>76</v>
      </c>
    </row>
    <row r="3" spans="1:18" x14ac:dyDescent="0.25">
      <c r="A3" s="19">
        <v>31</v>
      </c>
      <c r="B3" s="3" t="str">
        <f>IFERROR(VLOOKUP(JuniorstwoRandom[[#This Row],[Number]],Zawodnicy[],2,FALSE),"-")</f>
        <v>Jacek Swoboda</v>
      </c>
      <c r="C3">
        <f ca="1">Randabaut!C3</f>
        <v>2</v>
      </c>
      <c r="D3">
        <f ca="1">Randabaut!D3</f>
        <v>2</v>
      </c>
      <c r="E3">
        <f ca="1">Randabaut!E3</f>
        <v>2.5</v>
      </c>
      <c r="F3">
        <f ca="1">Randabaut!F3</f>
        <v>2.5</v>
      </c>
      <c r="G3">
        <f ca="1">Randabaut!G3</f>
        <v>1</v>
      </c>
      <c r="H3">
        <f ca="1">Randabaut!H3</f>
        <v>3</v>
      </c>
      <c r="I3">
        <f ca="1">Randabaut!I3</f>
        <v>1</v>
      </c>
      <c r="J3">
        <f ca="1">Randabaut!J3</f>
        <v>1.5</v>
      </c>
      <c r="K3">
        <f ca="1">Randabaut!K3</f>
        <v>2</v>
      </c>
      <c r="L3">
        <f ca="1">Randabaut!L3</f>
        <v>3</v>
      </c>
      <c r="M3">
        <f ca="1">Randabaut!M3</f>
        <v>2</v>
      </c>
      <c r="N3">
        <f>IFERROR(INDEX(Juniores[],MATCH($A3,Juniores[NR],0),MATCH(Juniores[[#Headers],[Trening]],Juniores[#Headers],0)),"-")</f>
        <v>3</v>
      </c>
      <c r="O3" s="45">
        <f>IFERROR(INDEX(Juniores[],MATCH($A3,Juniores[NR],0),MATCH(Juniores[[#Headers],[DobryPot]],Juniores[#Headers],0)),"-")</f>
        <v>3</v>
      </c>
      <c r="P3" s="45">
        <f>IFERROR(INDEX(Juniores[],MATCH($A3,Juniores[NR],0),MATCH(Juniores[[#Headers],[SłabyPot]],Juniores[#Headers],0)),"-")</f>
        <v>1</v>
      </c>
      <c r="Q3" s="20">
        <v>0.5</v>
      </c>
      <c r="R3" s="16"/>
    </row>
    <row r="4" spans="1:18" x14ac:dyDescent="0.25">
      <c r="A4" s="19">
        <v>38</v>
      </c>
      <c r="B4" s="3" t="str">
        <f>IFERROR(VLOOKUP(JuniorstwoRandom[[#This Row],[Number]],Zawodnicy[],2,FALSE),"-")</f>
        <v>Boleslaw Kolbert</v>
      </c>
      <c r="C4">
        <f ca="1">Randabaut!C4</f>
        <v>2.5</v>
      </c>
      <c r="D4">
        <f ca="1">Randabaut!D4</f>
        <v>2</v>
      </c>
      <c r="E4">
        <f ca="1">Randabaut!E4</f>
        <v>2</v>
      </c>
      <c r="F4">
        <f ca="1">Randabaut!F4</f>
        <v>2</v>
      </c>
      <c r="G4">
        <f ca="1">Randabaut!G4</f>
        <v>1.5</v>
      </c>
      <c r="H4">
        <f ca="1">Randabaut!H4</f>
        <v>3</v>
      </c>
      <c r="I4">
        <f ca="1">Randabaut!I4</f>
        <v>1</v>
      </c>
      <c r="J4">
        <f ca="1">Randabaut!J4</f>
        <v>1.5</v>
      </c>
      <c r="K4">
        <f ca="1">Randabaut!K4</f>
        <v>3</v>
      </c>
      <c r="L4">
        <f ca="1">Randabaut!L4</f>
        <v>1</v>
      </c>
      <c r="M4">
        <f ca="1">Randabaut!M4</f>
        <v>2</v>
      </c>
      <c r="N4">
        <f>IFERROR(INDEX(Juniores[],MATCH($A4,Juniores[NR],0),MATCH(Juniores[[#Headers],[Trening]],Juniores[#Headers],0)),"-")</f>
        <v>2</v>
      </c>
      <c r="O4" s="45">
        <f>IFERROR(INDEX(Juniores[],MATCH($A4,Juniores[NR],0),MATCH(Juniores[[#Headers],[DobryPot]],Juniores[#Headers],0)),"-")</f>
        <v>3</v>
      </c>
      <c r="P4" s="45">
        <f>IFERROR(INDEX(Juniores[],MATCH($A4,Juniores[NR],0),MATCH(Juniores[[#Headers],[SłabyPot]],Juniores[#Headers],0)),"-")</f>
        <v>1</v>
      </c>
      <c r="Q4" s="20">
        <v>0.5</v>
      </c>
      <c r="R4" s="16"/>
    </row>
    <row r="5" spans="1:18" x14ac:dyDescent="0.25">
      <c r="A5" s="19">
        <v>39</v>
      </c>
      <c r="B5" s="3" t="str">
        <f>IFERROR(VLOOKUP(JuniorstwoRandom[[#This Row],[Number]],Zawodnicy[],2,FALSE),"-")</f>
        <v>Damazy Pionek</v>
      </c>
      <c r="C5">
        <f ca="1">Randabaut!C5</f>
        <v>2.5</v>
      </c>
      <c r="D5">
        <f ca="1">Randabaut!D5</f>
        <v>2</v>
      </c>
      <c r="E5">
        <f ca="1">Randabaut!E5</f>
        <v>3</v>
      </c>
      <c r="F5">
        <f ca="1">Randabaut!F5</f>
        <v>2.5</v>
      </c>
      <c r="G5">
        <f ca="1">Randabaut!G5</f>
        <v>2</v>
      </c>
      <c r="H5">
        <f ca="1">Randabaut!H5</f>
        <v>3</v>
      </c>
      <c r="I5">
        <f ca="1">Randabaut!I5</f>
        <v>4</v>
      </c>
      <c r="J5">
        <f ca="1">Randabaut!J5</f>
        <v>4</v>
      </c>
      <c r="K5">
        <f ca="1">Randabaut!K5</f>
        <v>3</v>
      </c>
      <c r="L5">
        <f ca="1">Randabaut!L5</f>
        <v>3</v>
      </c>
      <c r="M5">
        <f ca="1">Randabaut!M5</f>
        <v>3</v>
      </c>
      <c r="N5">
        <f>IFERROR(INDEX(Juniores[],MATCH($A5,Juniores[NR],0),MATCH(Juniores[[#Headers],[Trening]],Juniores[#Headers],0)),"-")</f>
        <v>3</v>
      </c>
      <c r="O5" s="45">
        <f>IFERROR(INDEX(Juniores[],MATCH($A5,Juniores[NR],0),MATCH(Juniores[[#Headers],[DobryPot]],Juniores[#Headers],0)),"-")</f>
        <v>4</v>
      </c>
      <c r="P5" s="45">
        <f>IFERROR(INDEX(Juniores[],MATCH($A5,Juniores[NR],0),MATCH(Juniores[[#Headers],[SłabyPot]],Juniores[#Headers],0)),"-")</f>
        <v>2</v>
      </c>
      <c r="Q5" s="20">
        <v>0.5</v>
      </c>
      <c r="R5" s="16"/>
    </row>
    <row r="6" spans="1:18" x14ac:dyDescent="0.25">
      <c r="A6" s="19">
        <v>40</v>
      </c>
      <c r="B6" s="3" t="str">
        <f>IFERROR(VLOOKUP(JuniorstwoRandom[[#This Row],[Number]],Zawodnicy[],2,FALSE),"-")</f>
        <v>Benedykt Adamus</v>
      </c>
      <c r="C6">
        <f ca="1">Randabaut!C6</f>
        <v>2.5</v>
      </c>
      <c r="D6">
        <f ca="1">Randabaut!D6</f>
        <v>4</v>
      </c>
      <c r="E6">
        <f ca="1">Randabaut!E6</f>
        <v>3</v>
      </c>
      <c r="F6">
        <f ca="1">Randabaut!F6</f>
        <v>4</v>
      </c>
      <c r="G6">
        <f ca="1">Randabaut!G6</f>
        <v>3</v>
      </c>
      <c r="H6">
        <f ca="1">Randabaut!H6</f>
        <v>2</v>
      </c>
      <c r="I6">
        <f ca="1">Randabaut!I6</f>
        <v>3</v>
      </c>
      <c r="J6">
        <f ca="1">Randabaut!J6</f>
        <v>3</v>
      </c>
      <c r="K6">
        <f ca="1">Randabaut!K6</f>
        <v>2</v>
      </c>
      <c r="L6">
        <f ca="1">Randabaut!L6</f>
        <v>2.5</v>
      </c>
      <c r="M6">
        <f ca="1">Randabaut!M6</f>
        <v>3</v>
      </c>
      <c r="N6">
        <f>IFERROR(INDEX(Juniores[],MATCH($A6,Juniores[NR],0),MATCH(Juniores[[#Headers],[Trening]],Juniores[#Headers],0)),"-")</f>
        <v>3</v>
      </c>
      <c r="O6" s="45">
        <f>IFERROR(INDEX(Juniores[],MATCH($A6,Juniores[NR],0),MATCH(Juniores[[#Headers],[DobryPot]],Juniores[#Headers],0)),"-")</f>
        <v>4</v>
      </c>
      <c r="P6" s="45">
        <f>IFERROR(INDEX(Juniores[],MATCH($A6,Juniores[NR],0),MATCH(Juniores[[#Headers],[SłabyPot]],Juniores[#Headers],0)),"-")</f>
        <v>2</v>
      </c>
      <c r="Q6" s="20">
        <v>0.5</v>
      </c>
      <c r="R6" s="16"/>
    </row>
    <row r="7" spans="1:18" x14ac:dyDescent="0.25">
      <c r="A7" s="19">
        <v>42</v>
      </c>
      <c r="B7" s="3" t="str">
        <f>IFERROR(VLOOKUP(JuniorstwoRandom[[#This Row],[Number]],Zawodnicy[],2,FALSE),"-")</f>
        <v>Olaf Skikiewicz</v>
      </c>
      <c r="C7">
        <f ca="1">Randabaut!C7</f>
        <v>3</v>
      </c>
      <c r="D7">
        <f ca="1">Randabaut!D7</f>
        <v>2.5</v>
      </c>
      <c r="E7">
        <f ca="1">Randabaut!E7</f>
        <v>2.5</v>
      </c>
      <c r="F7">
        <f ca="1">Randabaut!F7</f>
        <v>2.5</v>
      </c>
      <c r="G7">
        <f ca="1">Randabaut!G7</f>
        <v>2.5</v>
      </c>
      <c r="H7">
        <f ca="1">Randabaut!H7</f>
        <v>2.5</v>
      </c>
      <c r="I7">
        <f ca="1">Randabaut!I7</f>
        <v>2</v>
      </c>
      <c r="J7">
        <f ca="1">Randabaut!J7</f>
        <v>2.5</v>
      </c>
      <c r="K7">
        <f ca="1">Randabaut!K7</f>
        <v>2</v>
      </c>
      <c r="L7">
        <f ca="1">Randabaut!L7</f>
        <v>3</v>
      </c>
      <c r="M7">
        <f ca="1">Randabaut!M7</f>
        <v>2.5</v>
      </c>
      <c r="N7">
        <f>IFERROR(INDEX(Juniores[],MATCH($A7,Juniores[NR],0),MATCH(Juniores[[#Headers],[Trening]],Juniores[#Headers],0)),"-")</f>
        <v>3</v>
      </c>
      <c r="O7" s="45">
        <f>IFERROR(INDEX(Juniores[],MATCH($A7,Juniores[NR],0),MATCH(Juniores[[#Headers],[DobryPot]],Juniores[#Headers],0)),"-")</f>
        <v>3</v>
      </c>
      <c r="P7" s="45">
        <f>IFERROR(INDEX(Juniores[],MATCH($A7,Juniores[NR],0),MATCH(Juniores[[#Headers],[SłabyPot]],Juniores[#Headers],0)),"-")</f>
        <v>2</v>
      </c>
      <c r="Q7" s="20">
        <v>0.5</v>
      </c>
      <c r="R7" s="16"/>
    </row>
    <row r="8" spans="1:18" x14ac:dyDescent="0.25">
      <c r="A8" s="19">
        <v>45</v>
      </c>
      <c r="B8" s="3" t="str">
        <f>IFERROR(VLOOKUP(JuniorstwoRandom[[#This Row],[Number]],Zawodnicy[],2,FALSE),"-")</f>
        <v>Janusz Sierocki</v>
      </c>
      <c r="C8">
        <f ca="1">Randabaut!C8</f>
        <v>2</v>
      </c>
      <c r="D8">
        <f ca="1">Randabaut!D8</f>
        <v>2.5</v>
      </c>
      <c r="E8">
        <f ca="1">Randabaut!E8</f>
        <v>1</v>
      </c>
      <c r="F8">
        <f ca="1">Randabaut!F8</f>
        <v>3</v>
      </c>
      <c r="G8">
        <f ca="1">Randabaut!G8</f>
        <v>2</v>
      </c>
      <c r="H8">
        <f ca="1">Randabaut!H8</f>
        <v>1.5</v>
      </c>
      <c r="I8">
        <f ca="1">Randabaut!I8</f>
        <v>1</v>
      </c>
      <c r="J8">
        <f ca="1">Randabaut!J8</f>
        <v>1.5</v>
      </c>
      <c r="K8">
        <f ca="1">Randabaut!K8</f>
        <v>3</v>
      </c>
      <c r="L8">
        <f ca="1">Randabaut!L8</f>
        <v>2</v>
      </c>
      <c r="M8">
        <f ca="1">Randabaut!M8</f>
        <v>2</v>
      </c>
      <c r="N8">
        <f>IFERROR(INDEX(Juniores[],MATCH($A8,Juniores[NR],0),MATCH(Juniores[[#Headers],[Trening]],Juniores[#Headers],0)),"-")</f>
        <v>3</v>
      </c>
      <c r="O8" s="45">
        <f>IFERROR(INDEX(Juniores[],MATCH($A8,Juniores[NR],0),MATCH(Juniores[[#Headers],[DobryPot]],Juniores[#Headers],0)),"-")</f>
        <v>3</v>
      </c>
      <c r="P8" s="45">
        <f>IFERROR(INDEX(Juniores[],MATCH($A8,Juniores[NR],0),MATCH(Juniores[[#Headers],[SłabyPot]],Juniores[#Headers],0)),"-")</f>
        <v>1</v>
      </c>
      <c r="Q8" s="20">
        <v>0.5</v>
      </c>
      <c r="R8" s="16"/>
    </row>
    <row r="9" spans="1:18" x14ac:dyDescent="0.25">
      <c r="A9" s="19">
        <v>46</v>
      </c>
      <c r="B9" s="3" t="str">
        <f>IFERROR(VLOOKUP(JuniorstwoRandom[[#This Row],[Number]],Zawodnicy[],2,FALSE),"-")</f>
        <v>Iwo Duszenski</v>
      </c>
      <c r="C9">
        <f ca="1">Randabaut!C9</f>
        <v>2.5</v>
      </c>
      <c r="D9">
        <f ca="1">Randabaut!D9</f>
        <v>3</v>
      </c>
      <c r="E9">
        <f ca="1">Randabaut!E9</f>
        <v>4</v>
      </c>
      <c r="F9">
        <f ca="1">Randabaut!F9</f>
        <v>2</v>
      </c>
      <c r="G9">
        <f ca="1">Randabaut!G9</f>
        <v>4</v>
      </c>
      <c r="H9">
        <f ca="1">Randabaut!H9</f>
        <v>2.5</v>
      </c>
      <c r="I9">
        <f ca="1">Randabaut!I9</f>
        <v>1</v>
      </c>
      <c r="J9">
        <f ca="1">Randabaut!J9</f>
        <v>1.5</v>
      </c>
      <c r="K9">
        <f ca="1">Randabaut!K9</f>
        <v>2</v>
      </c>
      <c r="L9">
        <f ca="1">Randabaut!L9</f>
        <v>1</v>
      </c>
      <c r="M9">
        <f ca="1">Randabaut!M9</f>
        <v>3</v>
      </c>
      <c r="N9">
        <f>IFERROR(INDEX(Juniores[],MATCH($A9,Juniores[NR],0),MATCH(Juniores[[#Headers],[Trening]],Juniores[#Headers],0)),"-")</f>
        <v>2</v>
      </c>
      <c r="O9" s="45">
        <f>IFERROR(INDEX(Juniores[],MATCH($A9,Juniores[NR],0),MATCH(Juniores[[#Headers],[DobryPot]],Juniores[#Headers],0)),"-")</f>
        <v>4</v>
      </c>
      <c r="P9" s="45">
        <f>IFERROR(INDEX(Juniores[],MATCH($A9,Juniores[NR],0),MATCH(Juniores[[#Headers],[SłabyPot]],Juniores[#Headers],0)),"-")</f>
        <v>1</v>
      </c>
      <c r="Q9" s="20">
        <v>0.5</v>
      </c>
      <c r="R9" s="16"/>
    </row>
    <row r="10" spans="1:18" x14ac:dyDescent="0.25">
      <c r="A10" s="19">
        <v>48</v>
      </c>
      <c r="B10" s="3" t="str">
        <f>IFERROR(VLOOKUP(JuniorstwoRandom[[#This Row],[Number]],Zawodnicy[],2,FALSE),"-")</f>
        <v>Wincenty Zawaski</v>
      </c>
      <c r="C10">
        <f ca="1">Randabaut!C10</f>
        <v>1.5</v>
      </c>
      <c r="D10">
        <f ca="1">Randabaut!D10</f>
        <v>3</v>
      </c>
      <c r="E10">
        <f ca="1">Randabaut!E10</f>
        <v>2</v>
      </c>
      <c r="F10">
        <f ca="1">Randabaut!F10</f>
        <v>2</v>
      </c>
      <c r="G10">
        <f ca="1">Randabaut!G10</f>
        <v>2</v>
      </c>
      <c r="H10">
        <f ca="1">Randabaut!H10</f>
        <v>2</v>
      </c>
      <c r="I10">
        <f ca="1">Randabaut!I10</f>
        <v>1</v>
      </c>
      <c r="J10">
        <f ca="1">Randabaut!J10</f>
        <v>2</v>
      </c>
      <c r="K10">
        <f ca="1">Randabaut!K10</f>
        <v>2</v>
      </c>
      <c r="L10">
        <f ca="1">Randabaut!L10</f>
        <v>3</v>
      </c>
      <c r="M10">
        <f ca="1">Randabaut!M10</f>
        <v>1</v>
      </c>
      <c r="N10">
        <f>IFERROR(INDEX(Juniores[],MATCH($A10,Juniores[NR],0),MATCH(Juniores[[#Headers],[Trening]],Juniores[#Headers],0)),"-")</f>
        <v>3</v>
      </c>
      <c r="O10" s="45">
        <f>IFERROR(INDEX(Juniores[],MATCH($A10,Juniores[NR],0),MATCH(Juniores[[#Headers],[DobryPot]],Juniores[#Headers],0)),"-")</f>
        <v>3</v>
      </c>
      <c r="P10" s="45">
        <f>IFERROR(INDEX(Juniores[],MATCH($A10,Juniores[NR],0),MATCH(Juniores[[#Headers],[SłabyPot]],Juniores[#Headers],0)),"-")</f>
        <v>1</v>
      </c>
      <c r="Q10" s="20">
        <v>0.5</v>
      </c>
      <c r="R10" s="16"/>
    </row>
    <row r="11" spans="1:18" x14ac:dyDescent="0.25">
      <c r="A11" s="19">
        <v>49</v>
      </c>
      <c r="B11" s="3" t="str">
        <f>IFERROR(VLOOKUP(JuniorstwoRandom[[#This Row],[Number]],Zawodnicy[],2,FALSE),"-")</f>
        <v>Dobromir Kolacki</v>
      </c>
      <c r="C11">
        <f ca="1">Randabaut!C11</f>
        <v>1</v>
      </c>
      <c r="D11">
        <f ca="1">Randabaut!D11</f>
        <v>2</v>
      </c>
      <c r="E11">
        <f ca="1">Randabaut!E11</f>
        <v>3</v>
      </c>
      <c r="F11">
        <f ca="1">Randabaut!F11</f>
        <v>2.5</v>
      </c>
      <c r="G11">
        <f ca="1">Randabaut!G11</f>
        <v>1</v>
      </c>
      <c r="H11">
        <f ca="1">Randabaut!H11</f>
        <v>2.5</v>
      </c>
      <c r="I11">
        <f ca="1">Randabaut!I11</f>
        <v>4</v>
      </c>
      <c r="J11">
        <f ca="1">Randabaut!J11</f>
        <v>2</v>
      </c>
      <c r="K11">
        <f ca="1">Randabaut!K11</f>
        <v>2.5</v>
      </c>
      <c r="L11">
        <f ca="1">Randabaut!L11</f>
        <v>4</v>
      </c>
      <c r="M11">
        <f ca="1">Randabaut!M11</f>
        <v>3.5</v>
      </c>
      <c r="N11">
        <f>IFERROR(INDEX(Juniores[],MATCH($A11,Juniores[NR],0),MATCH(Juniores[[#Headers],[Trening]],Juniores[#Headers],0)),"-")</f>
        <v>2</v>
      </c>
      <c r="O11" s="45">
        <f>IFERROR(INDEX(Juniores[],MATCH($A11,Juniores[NR],0),MATCH(Juniores[[#Headers],[DobryPot]],Juniores[#Headers],0)),"-")</f>
        <v>4</v>
      </c>
      <c r="P11" s="45">
        <f>IFERROR(INDEX(Juniores[],MATCH($A11,Juniores[NR],0),MATCH(Juniores[[#Headers],[SłabyPot]],Juniores[#Headers],0)),"-")</f>
        <v>1</v>
      </c>
      <c r="Q11" s="20">
        <v>0.5</v>
      </c>
      <c r="R11" s="16"/>
    </row>
    <row r="12" spans="1:18" x14ac:dyDescent="0.25">
      <c r="A12" s="19">
        <v>50</v>
      </c>
      <c r="B12" s="3" t="str">
        <f>IFERROR(VLOOKUP(JuniorstwoRandom[[#This Row],[Number]],Zawodnicy[],2,FALSE),"-")</f>
        <v>Ludomil Robak</v>
      </c>
      <c r="C12">
        <f ca="1">Randabaut!C12</f>
        <v>2.5</v>
      </c>
      <c r="D12">
        <f ca="1">Randabaut!D12</f>
        <v>2</v>
      </c>
      <c r="E12">
        <f ca="1">Randabaut!E12</f>
        <v>2.5</v>
      </c>
      <c r="F12">
        <f ca="1">Randabaut!F12</f>
        <v>3</v>
      </c>
      <c r="G12">
        <f ca="1">Randabaut!G12</f>
        <v>2.5</v>
      </c>
      <c r="H12">
        <f ca="1">Randabaut!H12</f>
        <v>3</v>
      </c>
      <c r="I12">
        <f ca="1">Randabaut!I12</f>
        <v>2</v>
      </c>
      <c r="J12">
        <f ca="1">Randabaut!J12</f>
        <v>2.5</v>
      </c>
      <c r="K12">
        <f ca="1">Randabaut!K12</f>
        <v>2.5</v>
      </c>
      <c r="L12">
        <f ca="1">Randabaut!L12</f>
        <v>2.5</v>
      </c>
      <c r="M12">
        <f ca="1">Randabaut!M12</f>
        <v>2.5</v>
      </c>
      <c r="N12">
        <f>IFERROR(INDEX(Juniores[],MATCH($A12,Juniores[NR],0),MATCH(Juniores[[#Headers],[Trening]],Juniores[#Headers],0)),"-")</f>
        <v>1</v>
      </c>
      <c r="O12" s="45">
        <f>IFERROR(INDEX(Juniores[],MATCH($A12,Juniores[NR],0),MATCH(Juniores[[#Headers],[DobryPot]],Juniores[#Headers],0)),"-")</f>
        <v>3</v>
      </c>
      <c r="P12" s="45">
        <f>IFERROR(INDEX(Juniores[],MATCH($A12,Juniores[NR],0),MATCH(Juniores[[#Headers],[SłabyPot]],Juniores[#Headers],0)),"-")</f>
        <v>2</v>
      </c>
      <c r="Q12" s="20">
        <v>0.5</v>
      </c>
      <c r="R12" s="16"/>
    </row>
    <row r="13" spans="1:18" x14ac:dyDescent="0.25">
      <c r="A13" s="19">
        <v>51</v>
      </c>
      <c r="B13" s="3" t="str">
        <f>IFERROR(VLOOKUP(JuniorstwoRandom[[#This Row],[Number]],Zawodnicy[],2,FALSE),"-")</f>
        <v>Radoslaw Cichowski</v>
      </c>
      <c r="C13">
        <f ca="1">Randabaut!C13</f>
        <v>2.5</v>
      </c>
      <c r="D13">
        <f ca="1">Randabaut!D13</f>
        <v>3</v>
      </c>
      <c r="E13">
        <f ca="1">Randabaut!E13</f>
        <v>2.5</v>
      </c>
      <c r="F13">
        <f ca="1">Randabaut!F13</f>
        <v>2.5</v>
      </c>
      <c r="G13">
        <f ca="1">Randabaut!G13</f>
        <v>2</v>
      </c>
      <c r="H13">
        <f ca="1">Randabaut!H13</f>
        <v>2.5</v>
      </c>
      <c r="I13">
        <f ca="1">Randabaut!I13</f>
        <v>2</v>
      </c>
      <c r="J13">
        <f ca="1">Randabaut!J13</f>
        <v>2.5</v>
      </c>
      <c r="K13">
        <f ca="1">Randabaut!K13</f>
        <v>3</v>
      </c>
      <c r="L13">
        <f ca="1">Randabaut!L13</f>
        <v>2.5</v>
      </c>
      <c r="M13">
        <f ca="1">Randabaut!M13</f>
        <v>2.5</v>
      </c>
      <c r="N13">
        <f>IFERROR(INDEX(Juniores[],MATCH($A13,Juniores[NR],0),MATCH(Juniores[[#Headers],[Trening]],Juniores[#Headers],0)),"-")</f>
        <v>3</v>
      </c>
      <c r="O13" s="45">
        <f>IFERROR(INDEX(Juniores[],MATCH($A13,Juniores[NR],0),MATCH(Juniores[[#Headers],[DobryPot]],Juniores[#Headers],0)),"-")</f>
        <v>3</v>
      </c>
      <c r="P13" s="45">
        <f>IFERROR(INDEX(Juniores[],MATCH($A13,Juniores[NR],0),MATCH(Juniores[[#Headers],[SłabyPot]],Juniores[#Headers],0)),"-")</f>
        <v>2</v>
      </c>
      <c r="Q13" s="20">
        <v>0.5</v>
      </c>
      <c r="R13" s="16"/>
    </row>
    <row r="14" spans="1:18" x14ac:dyDescent="0.25">
      <c r="A14" s="19">
        <v>52</v>
      </c>
      <c r="B14" s="3" t="str">
        <f>IFERROR(VLOOKUP(JuniorstwoRandom[[#This Row],[Number]],Zawodnicy[],2,FALSE),"-")</f>
        <v>Roland Danisiewicz</v>
      </c>
      <c r="C14">
        <f ca="1">Randabaut!C14</f>
        <v>2.5</v>
      </c>
      <c r="D14">
        <f ca="1">Randabaut!D14</f>
        <v>2.5</v>
      </c>
      <c r="E14">
        <f ca="1">Randabaut!E14</f>
        <v>2.5</v>
      </c>
      <c r="F14">
        <f ca="1">Randabaut!F14</f>
        <v>2.5</v>
      </c>
      <c r="G14">
        <f ca="1">Randabaut!G14</f>
        <v>3</v>
      </c>
      <c r="H14">
        <f ca="1">Randabaut!H14</f>
        <v>2.5</v>
      </c>
      <c r="I14">
        <f ca="1">Randabaut!I14</f>
        <v>2</v>
      </c>
      <c r="J14">
        <f ca="1">Randabaut!J14</f>
        <v>2.5</v>
      </c>
      <c r="K14">
        <f ca="1">Randabaut!K14</f>
        <v>2</v>
      </c>
      <c r="L14">
        <f ca="1">Randabaut!L14</f>
        <v>2.5</v>
      </c>
      <c r="M14">
        <f ca="1">Randabaut!M14</f>
        <v>3</v>
      </c>
      <c r="N14">
        <f>IFERROR(INDEX(Juniores[],MATCH($A14,Juniores[NR],0),MATCH(Juniores[[#Headers],[Trening]],Juniores[#Headers],0)),"-")</f>
        <v>4</v>
      </c>
      <c r="O14" s="45">
        <f>IFERROR(INDEX(Juniores[],MATCH($A14,Juniores[NR],0),MATCH(Juniores[[#Headers],[DobryPot]],Juniores[#Headers],0)),"-")</f>
        <v>3</v>
      </c>
      <c r="P14" s="45">
        <f>IFERROR(INDEX(Juniores[],MATCH($A14,Juniores[NR],0),MATCH(Juniores[[#Headers],[SłabyPot]],Juniores[#Headers],0)),"-")</f>
        <v>2</v>
      </c>
      <c r="Q14" s="20">
        <v>0.5</v>
      </c>
      <c r="R14" s="16"/>
    </row>
    <row r="15" spans="1:18" x14ac:dyDescent="0.25">
      <c r="A15" s="19">
        <v>53</v>
      </c>
      <c r="B15" s="3" t="str">
        <f>IFERROR(VLOOKUP(JuniorstwoRandom[[#This Row],[Number]],Zawodnicy[],2,FALSE),"-")</f>
        <v>Cyryl Huratiak</v>
      </c>
      <c r="C15">
        <f ca="1">Randabaut!C15</f>
        <v>2.5</v>
      </c>
      <c r="D15">
        <f ca="1">Randabaut!D15</f>
        <v>2</v>
      </c>
      <c r="E15">
        <f ca="1">Randabaut!E15</f>
        <v>3</v>
      </c>
      <c r="F15">
        <f ca="1">Randabaut!F15</f>
        <v>2.5</v>
      </c>
      <c r="G15">
        <f ca="1">Randabaut!G15</f>
        <v>2</v>
      </c>
      <c r="H15">
        <f ca="1">Randabaut!H15</f>
        <v>2.5</v>
      </c>
      <c r="I15">
        <f ca="1">Randabaut!I15</f>
        <v>2.5</v>
      </c>
      <c r="J15">
        <f ca="1">Randabaut!J15</f>
        <v>2.5</v>
      </c>
      <c r="K15">
        <f ca="1">Randabaut!K15</f>
        <v>3</v>
      </c>
      <c r="L15">
        <f ca="1">Randabaut!L15</f>
        <v>2.5</v>
      </c>
      <c r="M15">
        <f ca="1">Randabaut!M15</f>
        <v>2.5</v>
      </c>
      <c r="N15">
        <f>IFERROR(INDEX(Juniores[],MATCH($A15,Juniores[NR],0),MATCH(Juniores[[#Headers],[Trening]],Juniores[#Headers],0)),"-")</f>
        <v>2</v>
      </c>
      <c r="O15" s="45">
        <f>IFERROR(INDEX(Juniores[],MATCH($A15,Juniores[NR],0),MATCH(Juniores[[#Headers],[DobryPot]],Juniores[#Headers],0)),"-")</f>
        <v>3</v>
      </c>
      <c r="P15" s="45">
        <f>IFERROR(INDEX(Juniores[],MATCH($A15,Juniores[NR],0),MATCH(Juniores[[#Headers],[SłabyPot]],Juniores[#Headers],0)),"-")</f>
        <v>2</v>
      </c>
      <c r="Q15" s="20">
        <v>0.5</v>
      </c>
      <c r="R15" s="16"/>
    </row>
    <row r="16" spans="1:18" x14ac:dyDescent="0.25">
      <c r="A16" s="84">
        <v>22</v>
      </c>
      <c r="B16" s="3" t="str">
        <f>IFERROR(VLOOKUP(JuniorstwoRandom[[#This Row],[Number]],Zawodnicy[],2,FALSE),"-")</f>
        <v>Daniel Dziewulski</v>
      </c>
      <c r="C16">
        <f ca="1">Randabaut!C16</f>
        <v>3</v>
      </c>
      <c r="D16">
        <f ca="1">Randabaut!D16</f>
        <v>2</v>
      </c>
      <c r="E16">
        <f ca="1">Randabaut!E16</f>
        <v>1</v>
      </c>
      <c r="F16">
        <f ca="1">Randabaut!F16</f>
        <v>2</v>
      </c>
      <c r="G16">
        <f ca="1">Randabaut!G16</f>
        <v>2.5</v>
      </c>
      <c r="H16">
        <f ca="1">Randabaut!H16</f>
        <v>2.5</v>
      </c>
      <c r="I16">
        <f ca="1">Randabaut!I16</f>
        <v>1.5</v>
      </c>
      <c r="J16">
        <f ca="1">Randabaut!J16</f>
        <v>2.5</v>
      </c>
      <c r="K16">
        <f ca="1">Randabaut!K16</f>
        <v>1</v>
      </c>
      <c r="L16">
        <f ca="1">Randabaut!L16</f>
        <v>2.5</v>
      </c>
      <c r="M16">
        <f ca="1">Randabaut!M16</f>
        <v>3</v>
      </c>
      <c r="N16">
        <f>IFERROR(INDEX(Juniores[],MATCH($A16,Juniores[NR],0),MATCH(Juniores[[#Headers],[Trening]],Juniores[#Headers],0)),"-")</f>
        <v>3</v>
      </c>
      <c r="O16" s="45">
        <f>IFERROR(INDEX(Juniores[],MATCH($A16,Juniores[NR],0),MATCH(Juniores[[#Headers],[DobryPot]],Juniores[#Headers],0)),"-")</f>
        <v>3</v>
      </c>
      <c r="P16" s="45">
        <f>IFERROR(INDEX(Juniores[],MATCH($A16,Juniores[NR],0),MATCH(Juniores[[#Headers],[SłabyPot]],Juniores[#Headers],0)),"-")</f>
        <v>1</v>
      </c>
      <c r="Q16" s="20">
        <v>0.5</v>
      </c>
      <c r="R16" s="16"/>
    </row>
    <row r="17" spans="1:18" x14ac:dyDescent="0.25">
      <c r="A17" s="84">
        <v>25</v>
      </c>
      <c r="B17" s="83" t="str">
        <f>IFERROR(VLOOKUP(JuniorstwoRandom[[#This Row],[Number]],Zawodnicy[],2,FALSE),"-")</f>
        <v>Jakub Ludwiczak</v>
      </c>
      <c r="C17">
        <f ca="1">Randabaut!C17</f>
        <v>2.5</v>
      </c>
      <c r="D17">
        <f ca="1">Randabaut!D17</f>
        <v>2</v>
      </c>
      <c r="E17">
        <f ca="1">Randabaut!E17</f>
        <v>3</v>
      </c>
      <c r="F17">
        <f ca="1">Randabaut!F17</f>
        <v>2.5</v>
      </c>
      <c r="G17">
        <f ca="1">Randabaut!G17</f>
        <v>2.5</v>
      </c>
      <c r="H17">
        <f ca="1">Randabaut!H17</f>
        <v>2.5</v>
      </c>
      <c r="I17">
        <f ca="1">Randabaut!I17</f>
        <v>2.5</v>
      </c>
      <c r="J17">
        <f ca="1">Randabaut!J17</f>
        <v>3</v>
      </c>
      <c r="K17">
        <f ca="1">Randabaut!K17</f>
        <v>2</v>
      </c>
      <c r="L17">
        <f ca="1">Randabaut!L17</f>
        <v>2.5</v>
      </c>
      <c r="M17">
        <f ca="1">Randabaut!M17</f>
        <v>2.5</v>
      </c>
      <c r="N17">
        <f>IFERROR(INDEX(Juniores[],MATCH($A17,Juniores[NR],0),MATCH(Juniores[[#Headers],[Trening]],Juniores[#Headers],0)),"-")</f>
        <v>2</v>
      </c>
      <c r="O17" s="45">
        <f>IFERROR(INDEX(Juniores[],MATCH($A17,Juniores[NR],0),MATCH(Juniores[[#Headers],[DobryPot]],Juniores[#Headers],0)),"-")</f>
        <v>3</v>
      </c>
      <c r="P17" s="45">
        <f>IFERROR(INDEX(Juniores[],MATCH($A17,Juniores[NR],0),MATCH(Juniores[[#Headers],[SłabyPot]],Juniores[#Headers],0)),"-")</f>
        <v>2</v>
      </c>
      <c r="Q17" s="20">
        <v>0.5</v>
      </c>
      <c r="R17" s="16"/>
    </row>
    <row r="18" spans="1:18" x14ac:dyDescent="0.25">
      <c r="A18" s="84">
        <v>26</v>
      </c>
      <c r="B18" s="3" t="str">
        <f>IFERROR(VLOOKUP(JuniorstwoRandom[[#This Row],[Number]],Zawodnicy[],2,FALSE),"-")</f>
        <v>Ignacy Lato</v>
      </c>
      <c r="C18">
        <f ca="1">Randabaut!C18</f>
        <v>2.5</v>
      </c>
      <c r="D18">
        <f ca="1">Randabaut!D18</f>
        <v>2</v>
      </c>
      <c r="E18">
        <f ca="1">Randabaut!E18</f>
        <v>2.5</v>
      </c>
      <c r="F18">
        <f ca="1">Randabaut!F18</f>
        <v>2.5</v>
      </c>
      <c r="G18">
        <f ca="1">Randabaut!G18</f>
        <v>2.5</v>
      </c>
      <c r="H18">
        <f ca="1">Randabaut!H18</f>
        <v>3</v>
      </c>
      <c r="I18">
        <f ca="1">Randabaut!I18</f>
        <v>2.5</v>
      </c>
      <c r="J18">
        <f ca="1">Randabaut!J18</f>
        <v>3</v>
      </c>
      <c r="K18">
        <f ca="1">Randabaut!K18</f>
        <v>2.5</v>
      </c>
      <c r="L18">
        <f ca="1">Randabaut!L18</f>
        <v>2.5</v>
      </c>
      <c r="M18">
        <f ca="1">Randabaut!M18</f>
        <v>2</v>
      </c>
      <c r="N18">
        <f>IFERROR(INDEX(Juniores[],MATCH($A18,Juniores[NR],0),MATCH(Juniores[[#Headers],[Trening]],Juniores[#Headers],0)),"-")</f>
        <v>4</v>
      </c>
      <c r="O18" s="45">
        <f>IFERROR(INDEX(Juniores[],MATCH($A18,Juniores[NR],0),MATCH(Juniores[[#Headers],[DobryPot]],Juniores[#Headers],0)),"-")</f>
        <v>3</v>
      </c>
      <c r="P18" s="45">
        <f>IFERROR(INDEX(Juniores[],MATCH($A18,Juniores[NR],0),MATCH(Juniores[[#Headers],[SłabyPot]],Juniores[#Headers],0)),"-")</f>
        <v>2</v>
      </c>
      <c r="Q18" s="20">
        <v>0.5</v>
      </c>
    </row>
    <row r="19" spans="1:18" x14ac:dyDescent="0.25">
      <c r="A19" s="84">
        <v>27</v>
      </c>
      <c r="B19" s="83" t="str">
        <f>IFERROR(VLOOKUP(JuniorstwoRandom[[#This Row],[Number]],Zawodnicy[],2,FALSE),"-")</f>
        <v>Sylwester Kaszubowski</v>
      </c>
      <c r="C19">
        <f ca="1">Randabaut!C19</f>
        <v>2</v>
      </c>
      <c r="D19">
        <f ca="1">Randabaut!D19</f>
        <v>1.5</v>
      </c>
      <c r="E19">
        <f ca="1">Randabaut!E19</f>
        <v>1.5</v>
      </c>
      <c r="F19">
        <f ca="1">Randabaut!F19</f>
        <v>3</v>
      </c>
      <c r="G19">
        <f ca="1">Randabaut!G19</f>
        <v>1.5</v>
      </c>
      <c r="H19">
        <f ca="1">Randabaut!H19</f>
        <v>1</v>
      </c>
      <c r="I19">
        <f ca="1">Randabaut!I19</f>
        <v>1</v>
      </c>
      <c r="J19">
        <f ca="1">Randabaut!J19</f>
        <v>3</v>
      </c>
      <c r="K19">
        <f ca="1">Randabaut!K19</f>
        <v>1.5</v>
      </c>
      <c r="L19">
        <f ca="1">Randabaut!L19</f>
        <v>2.5</v>
      </c>
      <c r="M19">
        <f ca="1">Randabaut!M19</f>
        <v>2</v>
      </c>
      <c r="N19">
        <f>IFERROR(INDEX(Juniores[],MATCH($A19,Juniores[NR],0),MATCH(Juniores[[#Headers],[Trening]],Juniores[#Headers],0)),"-")</f>
        <v>4</v>
      </c>
      <c r="O19" s="94">
        <f>IFERROR(INDEX(Juniores[],MATCH($A19,Juniores[NR],0),MATCH(Juniores[[#Headers],[DobryPot]],Juniores[#Headers],0)),"-")</f>
        <v>3</v>
      </c>
      <c r="P19" s="94">
        <f>IFERROR(INDEX(Juniores[],MATCH($A19,Juniores[NR],0),MATCH(Juniores[[#Headers],[SłabyPot]],Juniores[#Headers],0)),"-")</f>
        <v>1</v>
      </c>
      <c r="Q19" s="20">
        <v>0.5</v>
      </c>
    </row>
    <row r="20" spans="1:18" x14ac:dyDescent="0.25">
      <c r="A20" s="84">
        <v>59</v>
      </c>
      <c r="B20" s="83" t="str">
        <f>IFERROR(VLOOKUP(JuniorstwoRandom[[#This Row],[Number]],Zawodnicy[],2,FALSE),"-")</f>
        <v>Milosz Kostrzewski</v>
      </c>
      <c r="C20">
        <f ca="1">Randabaut!C20</f>
        <v>2</v>
      </c>
      <c r="D20">
        <f ca="1">Randabaut!D20</f>
        <v>2.5</v>
      </c>
      <c r="E20">
        <f ca="1">Randabaut!E20</f>
        <v>2.5</v>
      </c>
      <c r="F20">
        <f ca="1">Randabaut!F20</f>
        <v>2.5</v>
      </c>
      <c r="G20">
        <f ca="1">Randabaut!G20</f>
        <v>2.5</v>
      </c>
      <c r="H20">
        <f ca="1">Randabaut!H20</f>
        <v>3</v>
      </c>
      <c r="I20">
        <f ca="1">Randabaut!I20</f>
        <v>2</v>
      </c>
      <c r="J20">
        <f ca="1">Randabaut!J20</f>
        <v>3</v>
      </c>
      <c r="K20">
        <f ca="1">Randabaut!K20</f>
        <v>2.5</v>
      </c>
      <c r="L20">
        <f ca="1">Randabaut!L20</f>
        <v>2.5</v>
      </c>
      <c r="M20">
        <f ca="1">Randabaut!M20</f>
        <v>2.5</v>
      </c>
      <c r="N20">
        <f>IFERROR(INDEX(Juniores[],MATCH($A20,Juniores[NR],0),MATCH(Juniores[[#Headers],[Trening]],Juniores[#Headers],0)),"-")</f>
        <v>2</v>
      </c>
      <c r="O20" s="94">
        <f>IFERROR(INDEX(Juniores[],MATCH($A20,Juniores[NR],0),MATCH(Juniores[[#Headers],[DobryPot]],Juniores[#Headers],0)),"-")</f>
        <v>3</v>
      </c>
      <c r="P20" s="94">
        <f>IFERROR(INDEX(Juniores[],MATCH($A20,Juniores[NR],0),MATCH(Juniores[[#Headers],[SłabyPot]],Juniores[#Headers],0)),"-")</f>
        <v>2</v>
      </c>
      <c r="Q20" s="20">
        <v>0.5</v>
      </c>
    </row>
    <row r="21" spans="1:18" x14ac:dyDescent="0.25">
      <c r="A21" s="19">
        <v>17</v>
      </c>
      <c r="B21" s="83" t="str">
        <f>IFERROR(VLOOKUP(JuniorstwoRandom[[#This Row],[Number]],Zawodnicy[],2,FALSE),"-")</f>
        <v>Hieronim Wejta</v>
      </c>
      <c r="C21">
        <f ca="1">Randabaut!C21</f>
        <v>2</v>
      </c>
      <c r="D21">
        <f ca="1">Randabaut!D21</f>
        <v>4</v>
      </c>
      <c r="E21">
        <f ca="1">Randabaut!E21</f>
        <v>4</v>
      </c>
      <c r="F21">
        <f ca="1">Randabaut!F21</f>
        <v>3</v>
      </c>
      <c r="G21">
        <f ca="1">Randabaut!G21</f>
        <v>2.5</v>
      </c>
      <c r="H21">
        <f ca="1">Randabaut!H21</f>
        <v>3</v>
      </c>
      <c r="I21">
        <f ca="1">Randabaut!I21</f>
        <v>2</v>
      </c>
      <c r="J21">
        <f ca="1">Randabaut!J21</f>
        <v>2.5</v>
      </c>
      <c r="K21">
        <f ca="1">Randabaut!K21</f>
        <v>3</v>
      </c>
      <c r="L21">
        <f ca="1">Randabaut!L21</f>
        <v>3</v>
      </c>
      <c r="M21">
        <f ca="1">Randabaut!M21</f>
        <v>3.5</v>
      </c>
      <c r="N21">
        <f>IFERROR(INDEX(Juniores[],MATCH($A21,Juniores[NR],0),MATCH(Juniores[[#Headers],[Trening]],Juniores[#Headers],0)),"-")</f>
        <v>3</v>
      </c>
      <c r="O21" s="94">
        <f>IFERROR(INDEX(Juniores[],MATCH($A21,Juniores[NR],0),MATCH(Juniores[[#Headers],[DobryPot]],Juniores[#Headers],0)),"-")</f>
        <v>4</v>
      </c>
      <c r="P21" s="94">
        <f>IFERROR(INDEX(Juniores[],MATCH($A21,Juniores[NR],0),MATCH(Juniores[[#Headers],[SłabyPot]],Juniores[#Headers],0)),"-")</f>
        <v>2</v>
      </c>
      <c r="Q21" s="20">
        <v>0.5</v>
      </c>
    </row>
    <row r="22" spans="1:18" x14ac:dyDescent="0.25">
      <c r="A22" s="85"/>
      <c r="B22" s="83" t="str">
        <f>IFERROR(VLOOKUP(JuniorstwoRandom[[#This Row],[Number]],Zawodnicy[],2,FALSE),"-")</f>
        <v>-</v>
      </c>
      <c r="C22" t="str">
        <f ca="1">Randabaut!C22</f>
        <v>-</v>
      </c>
      <c r="D22" t="str">
        <f ca="1">Randabaut!D22</f>
        <v>-</v>
      </c>
      <c r="E22" t="str">
        <f ca="1">Randabaut!E22</f>
        <v>-</v>
      </c>
      <c r="F22" t="str">
        <f ca="1">Randabaut!F22</f>
        <v>-</v>
      </c>
      <c r="G22" t="str">
        <f ca="1">Randabaut!G22</f>
        <v>-</v>
      </c>
      <c r="H22" t="str">
        <f ca="1">Randabaut!H22</f>
        <v>-</v>
      </c>
      <c r="I22" t="str">
        <f ca="1">Randabaut!I22</f>
        <v>-</v>
      </c>
      <c r="J22" t="str">
        <f ca="1">Randabaut!J22</f>
        <v>-</v>
      </c>
      <c r="K22" t="str">
        <f ca="1">Randabaut!K22</f>
        <v>-</v>
      </c>
      <c r="L22" t="str">
        <f ca="1">Randabaut!L22</f>
        <v>-</v>
      </c>
      <c r="M22" t="str">
        <f ca="1">Randabaut!M22</f>
        <v>-</v>
      </c>
      <c r="N22" t="str">
        <f>IFERROR(INDEX(Juniores[],MATCH($A22,Juniores[NR],0),MATCH(Juniores[[#Headers],[Trening]],Juniores[#Headers],0)),"-")</f>
        <v>-</v>
      </c>
      <c r="O22" s="94" t="str">
        <f>IFERROR(INDEX(Juniores[],MATCH($A22,Juniores[NR],0),MATCH(Juniores[[#Headers],[DobryPot]],Juniores[#Headers],0)),"-")</f>
        <v>-</v>
      </c>
      <c r="P22" s="94" t="str">
        <f>IFERROR(INDEX(Juniores[],MATCH($A22,Juniores[NR],0),MATCH(Juniores[[#Headers],[SłabyPot]],Juniores[#Headers],0)),"-")</f>
        <v>-</v>
      </c>
      <c r="Q22" s="20">
        <v>0.5</v>
      </c>
    </row>
    <row r="23" spans="1:18" x14ac:dyDescent="0.25">
      <c r="A23" s="84"/>
      <c r="B23" s="93" t="str">
        <f>IFERROR(VLOOKUP(JuniorstwoRandom[[#This Row],[Number]],Zawodnicy[],2,FALSE),"-")</f>
        <v>-</v>
      </c>
      <c r="C23" t="str">
        <f ca="1">Randabaut!C23</f>
        <v>-</v>
      </c>
      <c r="D23" t="str">
        <f ca="1">Randabaut!D23</f>
        <v>-</v>
      </c>
      <c r="E23" t="str">
        <f ca="1">Randabaut!E23</f>
        <v>-</v>
      </c>
      <c r="F23" t="str">
        <f ca="1">Randabaut!F23</f>
        <v>-</v>
      </c>
      <c r="G23" t="str">
        <f ca="1">Randabaut!G23</f>
        <v>-</v>
      </c>
      <c r="H23" t="str">
        <f ca="1">Randabaut!H23</f>
        <v>-</v>
      </c>
      <c r="I23" t="str">
        <f ca="1">Randabaut!I23</f>
        <v>-</v>
      </c>
      <c r="J23" t="str">
        <f ca="1">Randabaut!J23</f>
        <v>-</v>
      </c>
      <c r="K23" t="str">
        <f ca="1">Randabaut!K23</f>
        <v>-</v>
      </c>
      <c r="L23" t="str">
        <f ca="1">Randabaut!L23</f>
        <v>-</v>
      </c>
      <c r="M23" t="str">
        <f ca="1">Randabaut!M23</f>
        <v>-</v>
      </c>
      <c r="N23" t="str">
        <f>IFERROR(INDEX(Juniores[],MATCH($A23,Juniores[NR],0),MATCH(Juniores[[#Headers],[Trening]],Juniores[#Headers],0)),"-")</f>
        <v>-</v>
      </c>
      <c r="O23" s="94" t="str">
        <f>IFERROR(INDEX(Juniores[],MATCH($A23,Juniores[NR],0),MATCH(Juniores[[#Headers],[DobryPot]],Juniores[#Headers],0)),"-")</f>
        <v>-</v>
      </c>
      <c r="P23" s="94" t="str">
        <f>IFERROR(INDEX(Juniores[],MATCH($A23,Juniores[NR],0),MATCH(Juniores[[#Headers],[SłabyPot]],Juniores[#Headers],0)),"-")</f>
        <v>-</v>
      </c>
      <c r="Q23" s="20"/>
    </row>
    <row r="25" spans="1:18" x14ac:dyDescent="0.25">
      <c r="A25" t="s">
        <v>72</v>
      </c>
      <c r="B25" t="s">
        <v>77</v>
      </c>
      <c r="C25" t="s">
        <v>78</v>
      </c>
      <c r="D25" t="s">
        <v>82</v>
      </c>
      <c r="E25" t="s">
        <v>39</v>
      </c>
    </row>
    <row r="26" spans="1:18" x14ac:dyDescent="0.25">
      <c r="A26">
        <v>1</v>
      </c>
      <c r="B26">
        <v>4</v>
      </c>
      <c r="C26">
        <v>5</v>
      </c>
      <c r="D26">
        <v>3</v>
      </c>
      <c r="E26">
        <v>4</v>
      </c>
    </row>
    <row r="27" spans="1:18" x14ac:dyDescent="0.25">
      <c r="A27">
        <v>1.5</v>
      </c>
      <c r="B27">
        <v>5</v>
      </c>
      <c r="C27">
        <v>6</v>
      </c>
      <c r="D27">
        <v>4</v>
      </c>
      <c r="E27">
        <v>5</v>
      </c>
    </row>
    <row r="28" spans="1:18" x14ac:dyDescent="0.25">
      <c r="A28">
        <v>2</v>
      </c>
      <c r="B28">
        <v>6</v>
      </c>
      <c r="C28">
        <v>7</v>
      </c>
      <c r="D28">
        <v>5</v>
      </c>
      <c r="E28">
        <v>6</v>
      </c>
    </row>
    <row r="29" spans="1:18" x14ac:dyDescent="0.25">
      <c r="A29">
        <v>2.5</v>
      </c>
      <c r="B29">
        <v>7</v>
      </c>
      <c r="C29">
        <v>8</v>
      </c>
      <c r="D29">
        <v>6</v>
      </c>
      <c r="E29">
        <v>7</v>
      </c>
    </row>
    <row r="30" spans="1:18" x14ac:dyDescent="0.25">
      <c r="A30">
        <v>3</v>
      </c>
      <c r="B30">
        <v>8</v>
      </c>
      <c r="C30">
        <v>9</v>
      </c>
      <c r="D30">
        <v>7</v>
      </c>
      <c r="E30">
        <v>8</v>
      </c>
    </row>
    <row r="31" spans="1:18" x14ac:dyDescent="0.25">
      <c r="A31">
        <v>3.5</v>
      </c>
      <c r="B31">
        <v>9</v>
      </c>
      <c r="C31">
        <v>9</v>
      </c>
      <c r="D31">
        <v>8</v>
      </c>
      <c r="E31">
        <v>9</v>
      </c>
    </row>
    <row r="32" spans="1:18" x14ac:dyDescent="0.25">
      <c r="A32">
        <v>4</v>
      </c>
      <c r="B32">
        <v>10</v>
      </c>
      <c r="C32">
        <v>10</v>
      </c>
      <c r="D32">
        <v>9</v>
      </c>
      <c r="E32">
        <v>10</v>
      </c>
    </row>
    <row r="34" spans="1:15" ht="15.75" thickBot="1" x14ac:dyDescent="0.3">
      <c r="A34" s="13" t="s">
        <v>36</v>
      </c>
      <c r="B34" s="13" t="s">
        <v>37</v>
      </c>
      <c r="C34" t="s">
        <v>749</v>
      </c>
      <c r="D34" t="s">
        <v>750</v>
      </c>
      <c r="E34" t="s">
        <v>763</v>
      </c>
      <c r="F34" t="s">
        <v>751</v>
      </c>
      <c r="G34" t="s">
        <v>752</v>
      </c>
      <c r="H34" t="s">
        <v>753</v>
      </c>
      <c r="I34" t="s">
        <v>769</v>
      </c>
      <c r="J34" t="s">
        <v>754</v>
      </c>
      <c r="K34" t="s">
        <v>755</v>
      </c>
      <c r="L34" t="s">
        <v>756</v>
      </c>
      <c r="M34" t="s">
        <v>764</v>
      </c>
      <c r="N34" t="s">
        <v>757</v>
      </c>
      <c r="O34" t="s">
        <v>67</v>
      </c>
    </row>
    <row r="35" spans="1:15" x14ac:dyDescent="0.25">
      <c r="A35" s="39">
        <f t="shared" ref="A35:A54" si="0">A3</f>
        <v>31</v>
      </c>
      <c r="B35" s="3" t="str">
        <f>IFERROR(VLOOKUP(JuniorzyNegatyw[[#This Row],[Numer]],Zawodnicy[],2,FALSE),"-")</f>
        <v>Jacek Swoboda</v>
      </c>
      <c r="C35" s="57">
        <f ca="1">IFERROR(IF(SUMIFS(Bloki1[WB],Bloki1[Nazwa zawodnika],$B35,Bloki1[Skill],C$34)&gt;0,AVERAGEIFS(Bloki1[WB],Bloki1[Nazwa zawodnika],$B35,Bloki1[Skill],C$34),VLOOKUP(INDEX(JuniorstwoRandom[],MATCH($A35,$A$3:$A$23,0),COLUMN(C$2)),Szacunki[],2,FALSE)),"-")</f>
        <v>6</v>
      </c>
      <c r="D35" s="57">
        <f ca="1">IFERROR(IF(SUMIFS(Bloki1[WB],Bloki1[Nazwa zawodnika],$B35,Bloki1[Skill],D$34)&gt;0,AVERAGEIFS(Bloki1[WB],Bloki1[Nazwa zawodnika],$B35,Bloki1[Skill],D$34),VLOOKUP(INDEX(JuniorstwoRandom[],MATCH($A35,$A$3:$A$23,0),COLUMN(D$2)),Szacunki[],2,FALSE)),"-")</f>
        <v>6</v>
      </c>
      <c r="E35" s="57">
        <f ca="1">IFERROR(IF(SUMIFS(Bloki1[WB],Bloki1[Nazwa zawodnika],$B35,Bloki1[Skill],E$34)&gt;0,AVERAGEIFS(Bloki1[WB],Bloki1[Nazwa zawodnika],$B35,Bloki1[Skill],E$34),VLOOKUP(INDEX(JuniorstwoRandom[],MATCH($A35,$A$3:$A$23,0),COLUMN(E$2)),Szacunki[],2,FALSE)),"-")</f>
        <v>7</v>
      </c>
      <c r="F35" s="57">
        <f ca="1">IFERROR(IF(SUMIFS(Bloki1[WB],Bloki1[Nazwa zawodnika],$B35,Bloki1[Skill],F$34)&gt;0,AVERAGEIFS(Bloki1[WB],Bloki1[Nazwa zawodnika],$B35,Bloki1[Skill],F$34),VLOOKUP(INDEX(JuniorstwoRandom[],MATCH($A35,$A$3:$A$23,0),COLUMN(F$2)),Szacunki[],2,FALSE)),"-")</f>
        <v>7</v>
      </c>
      <c r="G35" s="57">
        <f ca="1">IFERROR(IF(SUMIFS(Bloki1[WB],Bloki1[Nazwa zawodnika],$B35,Bloki1[Skill],G$34)&gt;0,AVERAGEIFS(Bloki1[WB],Bloki1[Nazwa zawodnika],$B35,Bloki1[Skill],G$34),VLOOKUP(INDEX(JuniorstwoRandom[],MATCH($A35,$A$3:$A$23,0),COLUMN(G$2)),Szacunki[],2,FALSE)),"-")</f>
        <v>4</v>
      </c>
      <c r="H35" s="57">
        <f ca="1">IFERROR(IF(SUMIFS(Bloki1[WB],Bloki1[Nazwa zawodnika],$B35,Bloki1[Skill],H$34)&gt;0,AVERAGEIFS(Bloki1[WB],Bloki1[Nazwa zawodnika],$B35,Bloki1[Skill],H$34),VLOOKUP(INDEX(JuniorstwoRandom[],MATCH($A35,$A$3:$A$23,0),COLUMN(H$2)),Szacunki[],2,FALSE)),"-")</f>
        <v>8</v>
      </c>
      <c r="I35" s="57">
        <f ca="1">IFERROR(IF(SUMIFS(Bloki1[WB],Bloki1[Nazwa zawodnika],$B35,Bloki1[Skill],I$34)&gt;0,AVERAGEIFS(Bloki1[WB],Bloki1[Nazwa zawodnika],$B35,Bloki1[Skill],I$34),VLOOKUP(INDEX(JuniorstwoRandom[],MATCH($A35,$A$3:$A$23,0),COLUMN(I$2)),Szacunki[],4,FALSE)),"-")</f>
        <v>3</v>
      </c>
      <c r="J35" s="57">
        <f ca="1">IFERROR(IF(SUMIFS(Bloki1[WB],Bloki1[Nazwa zawodnika],$B35,Bloki1[Skill],J$34)&gt;0,AVERAGEIFS(Bloki1[WB],Bloki1[Nazwa zawodnika],$B35,Bloki1[Skill],J$34),VLOOKUP(INDEX(JuniorstwoRandom[],MATCH($A35,$A$3:$A$23,0),COLUMN(J$2)),Szacunki[],2,FALSE)),"-")</f>
        <v>5</v>
      </c>
      <c r="K35" s="57">
        <f ca="1">IFERROR(IF(SUMIFS(Bloki1[WB],Bloki1[Nazwa zawodnika],$B35,Bloki1[Skill],K$34)&gt;0,AVERAGEIFS(Bloki1[WB],Bloki1[Nazwa zawodnika],$B35,Bloki1[Skill],K$34),VLOOKUP(INDEX(JuniorstwoRandom[],MATCH($A35,$A$3:$A$23,0),COLUMN(K$2)),Szacunki[],2,FALSE)),"-")</f>
        <v>6</v>
      </c>
      <c r="L35" s="57">
        <f ca="1">IFERROR(IF(SUMIFS(Bloki1[WB],Bloki1[Nazwa zawodnika],$B35,Bloki1[Skill],L$34)&gt;0,AVERAGEIFS(Bloki1[WB],Bloki1[Nazwa zawodnika],$B35,Bloki1[Skill],L$34),VLOOKUP(INDEX(JuniorstwoRandom[],MATCH($A35,$A$3:$A$23,0),COLUMN(L$2)),Szacunki[],2,FALSE)),"-")</f>
        <v>8</v>
      </c>
      <c r="M35" s="57">
        <f ca="1">IFERROR(IF(SUMIFS(Bloki1[WB],Bloki1[Nazwa zawodnika],$B35,Bloki1[Skill],M$34)&gt;0,AVERAGEIFS(Bloki1[WB],Bloki1[Nazwa zawodnika],$B35,Bloki1[Skill],M$34),VLOOKUP(INDEX(JuniorstwoRandom[],MATCH($A35,$A$3:$A$23,0),COLUMN(M$2)),Szacunki[],2,FALSE)),"-")</f>
        <v>6</v>
      </c>
      <c r="N35">
        <v>10</v>
      </c>
      <c r="O35" s="26">
        <f t="shared" ref="O35:O53" ca="1" si="1">SUM(C35:M35)</f>
        <v>66</v>
      </c>
    </row>
    <row r="36" spans="1:15" x14ac:dyDescent="0.25">
      <c r="A36" s="39">
        <f t="shared" si="0"/>
        <v>38</v>
      </c>
      <c r="B36" s="3" t="str">
        <f>IFERROR(VLOOKUP(JuniorzyNegatyw[[#This Row],[Numer]],Zawodnicy[],2,FALSE),"-")</f>
        <v>Boleslaw Kolbert</v>
      </c>
      <c r="C36" s="57">
        <f ca="1">IFERROR(IF(SUMIFS(Bloki1[WB],Bloki1[Nazwa zawodnika],$B36,Bloki1[Skill],C$34)&gt;0,AVERAGEIFS(Bloki1[WB],Bloki1[Nazwa zawodnika],$B36,Bloki1[Skill],C$34),VLOOKUP(INDEX(JuniorstwoRandom[],MATCH($A36,$A$3:$A$23,0),COLUMN(C$2)),Szacunki[],2,FALSE)),"-")</f>
        <v>7</v>
      </c>
      <c r="D36" s="57">
        <f ca="1">IFERROR(IF(SUMIFS(Bloki1[WB],Bloki1[Nazwa zawodnika],$B36,Bloki1[Skill],D$34)&gt;0,AVERAGEIFS(Bloki1[WB],Bloki1[Nazwa zawodnika],$B36,Bloki1[Skill],D$34),VLOOKUP(INDEX(JuniorstwoRandom[],MATCH($A36,$A$3:$A$23,0),COLUMN(D$2)),Szacunki[],2,FALSE)),"-")</f>
        <v>6</v>
      </c>
      <c r="E36" s="57">
        <f ca="1">IFERROR(IF(SUMIFS(Bloki1[WB],Bloki1[Nazwa zawodnika],$B36,Bloki1[Skill],E$34)&gt;0,AVERAGEIFS(Bloki1[WB],Bloki1[Nazwa zawodnika],$B36,Bloki1[Skill],E$34),VLOOKUP(INDEX(JuniorstwoRandom[],MATCH($A36,$A$3:$A$23,0),COLUMN(E$2)),Szacunki[],2,FALSE)),"-")</f>
        <v>6</v>
      </c>
      <c r="F36" s="57">
        <f ca="1">IFERROR(IF(SUMIFS(Bloki1[WB],Bloki1[Nazwa zawodnika],$B36,Bloki1[Skill],F$34)&gt;0,AVERAGEIFS(Bloki1[WB],Bloki1[Nazwa zawodnika],$B36,Bloki1[Skill],F$34),VLOOKUP(INDEX(JuniorstwoRandom[],MATCH($A36,$A$3:$A$23,0),COLUMN(F$2)),Szacunki[],2,FALSE)),"-")</f>
        <v>6</v>
      </c>
      <c r="G36" s="57">
        <f ca="1">IFERROR(IF(SUMIFS(Bloki1[WB],Bloki1[Nazwa zawodnika],$B36,Bloki1[Skill],G$34)&gt;0,AVERAGEIFS(Bloki1[WB],Bloki1[Nazwa zawodnika],$B36,Bloki1[Skill],G$34),VLOOKUP(INDEX(JuniorstwoRandom[],MATCH($A36,$A$3:$A$23,0),COLUMN(G$2)),Szacunki[],2,FALSE)),"-")</f>
        <v>5</v>
      </c>
      <c r="H36" s="57">
        <f ca="1">IFERROR(IF(SUMIFS(Bloki1[WB],Bloki1[Nazwa zawodnika],$B36,Bloki1[Skill],H$34)&gt;0,AVERAGEIFS(Bloki1[WB],Bloki1[Nazwa zawodnika],$B36,Bloki1[Skill],H$34),VLOOKUP(INDEX(JuniorstwoRandom[],MATCH($A36,$A$3:$A$23,0),COLUMN(H$2)),Szacunki[],2,FALSE)),"-")</f>
        <v>8</v>
      </c>
      <c r="I36" s="57">
        <f ca="1">IFERROR(IF(SUMIFS(Bloki1[WB],Bloki1[Nazwa zawodnika],$B36,Bloki1[Skill],I$34)&gt;0,AVERAGEIFS(Bloki1[WB],Bloki1[Nazwa zawodnika],$B36,Bloki1[Skill],I$34),VLOOKUP(INDEX(JuniorstwoRandom[],MATCH($A36,$A$3:$A$23,0),COLUMN(I$2)),Szacunki[],4,FALSE)),"-")</f>
        <v>3</v>
      </c>
      <c r="J36" s="57">
        <f ca="1">IFERROR(IF(SUMIFS(Bloki1[WB],Bloki1[Nazwa zawodnika],$B36,Bloki1[Skill],J$34)&gt;0,AVERAGEIFS(Bloki1[WB],Bloki1[Nazwa zawodnika],$B36,Bloki1[Skill],J$34),VLOOKUP(INDEX(JuniorstwoRandom[],MATCH($A36,$A$3:$A$23,0),COLUMN(J$2)),Szacunki[],2,FALSE)),"-")</f>
        <v>5</v>
      </c>
      <c r="K36" s="57">
        <f ca="1">IFERROR(IF(SUMIFS(Bloki1[WB],Bloki1[Nazwa zawodnika],$B36,Bloki1[Skill],K$34)&gt;0,AVERAGEIFS(Bloki1[WB],Bloki1[Nazwa zawodnika],$B36,Bloki1[Skill],K$34),VLOOKUP(INDEX(JuniorstwoRandom[],MATCH($A36,$A$3:$A$23,0),COLUMN(K$2)),Szacunki[],2,FALSE)),"-")</f>
        <v>8</v>
      </c>
      <c r="L36" s="57">
        <f ca="1">IFERROR(IF(SUMIFS(Bloki1[WB],Bloki1[Nazwa zawodnika],$B36,Bloki1[Skill],L$34)&gt;0,AVERAGEIFS(Bloki1[WB],Bloki1[Nazwa zawodnika],$B36,Bloki1[Skill],L$34),VLOOKUP(INDEX(JuniorstwoRandom[],MATCH($A36,$A$3:$A$23,0),COLUMN(L$2)),Szacunki[],2,FALSE)),"-")</f>
        <v>4</v>
      </c>
      <c r="M36" s="57">
        <f ca="1">IFERROR(IF(SUMIFS(Bloki1[WB],Bloki1[Nazwa zawodnika],$B36,Bloki1[Skill],M$34)&gt;0,AVERAGEIFS(Bloki1[WB],Bloki1[Nazwa zawodnika],$B36,Bloki1[Skill],M$34),VLOOKUP(INDEX(JuniorstwoRandom[],MATCH($A36,$A$3:$A$23,0),COLUMN(M$2)),Szacunki[],2,FALSE)),"-")</f>
        <v>6</v>
      </c>
      <c r="N36">
        <v>10</v>
      </c>
      <c r="O36" s="26">
        <f t="shared" ca="1" si="1"/>
        <v>64</v>
      </c>
    </row>
    <row r="37" spans="1:15" x14ac:dyDescent="0.25">
      <c r="A37" s="39">
        <f t="shared" si="0"/>
        <v>39</v>
      </c>
      <c r="B37" s="3" t="str">
        <f>IFERROR(VLOOKUP(JuniorzyNegatyw[[#This Row],[Numer]],Zawodnicy[],2,FALSE),"-")</f>
        <v>Damazy Pionek</v>
      </c>
      <c r="C37" s="57">
        <f ca="1">IFERROR(IF(SUMIFS(Bloki1[WB],Bloki1[Nazwa zawodnika],$B37,Bloki1[Skill],C$34)&gt;0,AVERAGEIFS(Bloki1[WB],Bloki1[Nazwa zawodnika],$B37,Bloki1[Skill],C$34),VLOOKUP(INDEX(JuniorstwoRandom[],MATCH($A37,$A$3:$A$23,0),COLUMN(C$2)),Szacunki[],2,FALSE)),"-")</f>
        <v>7</v>
      </c>
      <c r="D37" s="57">
        <f ca="1">IFERROR(IF(SUMIFS(Bloki1[WB],Bloki1[Nazwa zawodnika],$B37,Bloki1[Skill],D$34)&gt;0,AVERAGEIFS(Bloki1[WB],Bloki1[Nazwa zawodnika],$B37,Bloki1[Skill],D$34),VLOOKUP(INDEX(JuniorstwoRandom[],MATCH($A37,$A$3:$A$23,0),COLUMN(D$2)),Szacunki[],2,FALSE)),"-")</f>
        <v>6</v>
      </c>
      <c r="E37" s="57">
        <f ca="1">IFERROR(IF(SUMIFS(Bloki1[WB],Bloki1[Nazwa zawodnika],$B37,Bloki1[Skill],E$34)&gt;0,AVERAGEIFS(Bloki1[WB],Bloki1[Nazwa zawodnika],$B37,Bloki1[Skill],E$34),VLOOKUP(INDEX(JuniorstwoRandom[],MATCH($A37,$A$3:$A$23,0),COLUMN(E$2)),Szacunki[],2,FALSE)),"-")</f>
        <v>8</v>
      </c>
      <c r="F37" s="57">
        <f ca="1">IFERROR(IF(SUMIFS(Bloki1[WB],Bloki1[Nazwa zawodnika],$B37,Bloki1[Skill],F$34)&gt;0,AVERAGEIFS(Bloki1[WB],Bloki1[Nazwa zawodnika],$B37,Bloki1[Skill],F$34),VLOOKUP(INDEX(JuniorstwoRandom[],MATCH($A37,$A$3:$A$23,0),COLUMN(F$2)),Szacunki[],2,FALSE)),"-")</f>
        <v>7</v>
      </c>
      <c r="G37" s="57">
        <f ca="1">IFERROR(IF(SUMIFS(Bloki1[WB],Bloki1[Nazwa zawodnika],$B37,Bloki1[Skill],G$34)&gt;0,AVERAGEIFS(Bloki1[WB],Bloki1[Nazwa zawodnika],$B37,Bloki1[Skill],G$34),VLOOKUP(INDEX(JuniorstwoRandom[],MATCH($A37,$A$3:$A$23,0),COLUMN(G$2)),Szacunki[],2,FALSE)),"-")</f>
        <v>6</v>
      </c>
      <c r="H37" s="57">
        <f ca="1">IFERROR(IF(SUMIFS(Bloki1[WB],Bloki1[Nazwa zawodnika],$B37,Bloki1[Skill],H$34)&gt;0,AVERAGEIFS(Bloki1[WB],Bloki1[Nazwa zawodnika],$B37,Bloki1[Skill],H$34),VLOOKUP(INDEX(JuniorstwoRandom[],MATCH($A37,$A$3:$A$23,0),COLUMN(H$2)),Szacunki[],2,FALSE)),"-")</f>
        <v>8</v>
      </c>
      <c r="I37" s="57">
        <f ca="1">IFERROR(IF(SUMIFS(Bloki1[WB],Bloki1[Nazwa zawodnika],$B37,Bloki1[Skill],I$34)&gt;0,AVERAGEIFS(Bloki1[WB],Bloki1[Nazwa zawodnika],$B37,Bloki1[Skill],I$34),VLOOKUP(INDEX(JuniorstwoRandom[],MATCH($A37,$A$3:$A$23,0),COLUMN(I$2)),Szacunki[],4,FALSE)),"-")</f>
        <v>9</v>
      </c>
      <c r="J37" s="57">
        <f ca="1">IFERROR(IF(SUMIFS(Bloki1[WB],Bloki1[Nazwa zawodnika],$B37,Bloki1[Skill],J$34)&gt;0,AVERAGEIFS(Bloki1[WB],Bloki1[Nazwa zawodnika],$B37,Bloki1[Skill],J$34),VLOOKUP(INDEX(JuniorstwoRandom[],MATCH($A37,$A$3:$A$23,0),COLUMN(J$2)),Szacunki[],2,FALSE)),"-")</f>
        <v>10</v>
      </c>
      <c r="K37" s="57">
        <f ca="1">IFERROR(IF(SUMIFS(Bloki1[WB],Bloki1[Nazwa zawodnika],$B37,Bloki1[Skill],K$34)&gt;0,AVERAGEIFS(Bloki1[WB],Bloki1[Nazwa zawodnika],$B37,Bloki1[Skill],K$34),VLOOKUP(INDEX(JuniorstwoRandom[],MATCH($A37,$A$3:$A$23,0),COLUMN(K$2)),Szacunki[],2,FALSE)),"-")</f>
        <v>8</v>
      </c>
      <c r="L37" s="57">
        <f ca="1">IFERROR(IF(SUMIFS(Bloki1[WB],Bloki1[Nazwa zawodnika],$B37,Bloki1[Skill],L$34)&gt;0,AVERAGEIFS(Bloki1[WB],Bloki1[Nazwa zawodnika],$B37,Bloki1[Skill],L$34),VLOOKUP(INDEX(JuniorstwoRandom[],MATCH($A37,$A$3:$A$23,0),COLUMN(L$2)),Szacunki[],2,FALSE)),"-")</f>
        <v>8</v>
      </c>
      <c r="M37" s="57">
        <f ca="1">IFERROR(IF(SUMIFS(Bloki1[WB],Bloki1[Nazwa zawodnika],$B37,Bloki1[Skill],M$34)&gt;0,AVERAGEIFS(Bloki1[WB],Bloki1[Nazwa zawodnika],$B37,Bloki1[Skill],M$34),VLOOKUP(INDEX(JuniorstwoRandom[],MATCH($A37,$A$3:$A$23,0),COLUMN(M$2)),Szacunki[],2,FALSE)),"-")</f>
        <v>8</v>
      </c>
      <c r="N37">
        <v>10</v>
      </c>
      <c r="O37" s="26">
        <f t="shared" ca="1" si="1"/>
        <v>85</v>
      </c>
    </row>
    <row r="38" spans="1:15" x14ac:dyDescent="0.25">
      <c r="A38" s="39">
        <f t="shared" si="0"/>
        <v>40</v>
      </c>
      <c r="B38" s="3" t="str">
        <f>IFERROR(VLOOKUP(JuniorzyNegatyw[[#This Row],[Numer]],Zawodnicy[],2,FALSE),"-")</f>
        <v>Benedykt Adamus</v>
      </c>
      <c r="C38" s="57">
        <f ca="1">IFERROR(IF(SUMIFS(Bloki1[WB],Bloki1[Nazwa zawodnika],$B38,Bloki1[Skill],C$34)&gt;0,AVERAGEIFS(Bloki1[WB],Bloki1[Nazwa zawodnika],$B38,Bloki1[Skill],C$34),VLOOKUP(INDEX(JuniorstwoRandom[],MATCH($A38,$A$3:$A$23,0),COLUMN(C$2)),Szacunki[],2,FALSE)),"-")</f>
        <v>7</v>
      </c>
      <c r="D38" s="57">
        <f ca="1">IFERROR(IF(SUMIFS(Bloki1[WB],Bloki1[Nazwa zawodnika],$B38,Bloki1[Skill],D$34)&gt;0,AVERAGEIFS(Bloki1[WB],Bloki1[Nazwa zawodnika],$B38,Bloki1[Skill],D$34),VLOOKUP(INDEX(JuniorstwoRandom[],MATCH($A38,$A$3:$A$23,0),COLUMN(D$2)),Szacunki[],2,FALSE)),"-")</f>
        <v>10</v>
      </c>
      <c r="E38" s="57">
        <f ca="1">IFERROR(IF(SUMIFS(Bloki1[WB],Bloki1[Nazwa zawodnika],$B38,Bloki1[Skill],E$34)&gt;0,AVERAGEIFS(Bloki1[WB],Bloki1[Nazwa zawodnika],$B38,Bloki1[Skill],E$34),VLOOKUP(INDEX(JuniorstwoRandom[],MATCH($A38,$A$3:$A$23,0),COLUMN(E$2)),Szacunki[],2,FALSE)),"-")</f>
        <v>8</v>
      </c>
      <c r="F38" s="57">
        <f ca="1">IFERROR(IF(SUMIFS(Bloki1[WB],Bloki1[Nazwa zawodnika],$B38,Bloki1[Skill],F$34)&gt;0,AVERAGEIFS(Bloki1[WB],Bloki1[Nazwa zawodnika],$B38,Bloki1[Skill],F$34),VLOOKUP(INDEX(JuniorstwoRandom[],MATCH($A38,$A$3:$A$23,0),COLUMN(F$2)),Szacunki[],2,FALSE)),"-")</f>
        <v>10</v>
      </c>
      <c r="G38" s="57">
        <f ca="1">IFERROR(IF(SUMIFS(Bloki1[WB],Bloki1[Nazwa zawodnika],$B38,Bloki1[Skill],G$34)&gt;0,AVERAGEIFS(Bloki1[WB],Bloki1[Nazwa zawodnika],$B38,Bloki1[Skill],G$34),VLOOKUP(INDEX(JuniorstwoRandom[],MATCH($A38,$A$3:$A$23,0),COLUMN(G$2)),Szacunki[],2,FALSE)),"-")</f>
        <v>8</v>
      </c>
      <c r="H38" s="57">
        <f ca="1">IFERROR(IF(SUMIFS(Bloki1[WB],Bloki1[Nazwa zawodnika],$B38,Bloki1[Skill],H$34)&gt;0,AVERAGEIFS(Bloki1[WB],Bloki1[Nazwa zawodnika],$B38,Bloki1[Skill],H$34),VLOOKUP(INDEX(JuniorstwoRandom[],MATCH($A38,$A$3:$A$23,0),COLUMN(H$2)),Szacunki[],2,FALSE)),"-")</f>
        <v>6</v>
      </c>
      <c r="I38" s="57">
        <f ca="1">IFERROR(IF(SUMIFS(Bloki1[WB],Bloki1[Nazwa zawodnika],$B38,Bloki1[Skill],I$34)&gt;0,AVERAGEIFS(Bloki1[WB],Bloki1[Nazwa zawodnika],$B38,Bloki1[Skill],I$34),VLOOKUP(INDEX(JuniorstwoRandom[],MATCH($A38,$A$3:$A$23,0),COLUMN(I$2)),Szacunki[],4,FALSE)),"-")</f>
        <v>7</v>
      </c>
      <c r="J38" s="57">
        <f ca="1">IFERROR(IF(SUMIFS(Bloki1[WB],Bloki1[Nazwa zawodnika],$B38,Bloki1[Skill],J$34)&gt;0,AVERAGEIFS(Bloki1[WB],Bloki1[Nazwa zawodnika],$B38,Bloki1[Skill],J$34),VLOOKUP(INDEX(JuniorstwoRandom[],MATCH($A38,$A$3:$A$23,0),COLUMN(J$2)),Szacunki[],2,FALSE)),"-")</f>
        <v>8</v>
      </c>
      <c r="K38" s="57">
        <f ca="1">IFERROR(IF(SUMIFS(Bloki1[WB],Bloki1[Nazwa zawodnika],$B38,Bloki1[Skill],K$34)&gt;0,AVERAGEIFS(Bloki1[WB],Bloki1[Nazwa zawodnika],$B38,Bloki1[Skill],K$34),VLOOKUP(INDEX(JuniorstwoRandom[],MATCH($A38,$A$3:$A$23,0),COLUMN(K$2)),Szacunki[],2,FALSE)),"-")</f>
        <v>6</v>
      </c>
      <c r="L38" s="57">
        <f ca="1">IFERROR(IF(SUMIFS(Bloki1[WB],Bloki1[Nazwa zawodnika],$B38,Bloki1[Skill],L$34)&gt;0,AVERAGEIFS(Bloki1[WB],Bloki1[Nazwa zawodnika],$B38,Bloki1[Skill],L$34),VLOOKUP(INDEX(JuniorstwoRandom[],MATCH($A38,$A$3:$A$23,0),COLUMN(L$2)),Szacunki[],2,FALSE)),"-")</f>
        <v>7</v>
      </c>
      <c r="M38" s="57">
        <f ca="1">IFERROR(IF(SUMIFS(Bloki1[WB],Bloki1[Nazwa zawodnika],$B38,Bloki1[Skill],M$34)&gt;0,AVERAGEIFS(Bloki1[WB],Bloki1[Nazwa zawodnika],$B38,Bloki1[Skill],M$34),VLOOKUP(INDEX(JuniorstwoRandom[],MATCH($A38,$A$3:$A$23,0),COLUMN(M$2)),Szacunki[],2,FALSE)),"-")</f>
        <v>8</v>
      </c>
      <c r="N38">
        <v>10</v>
      </c>
      <c r="O38" s="26">
        <f t="shared" ca="1" si="1"/>
        <v>85</v>
      </c>
    </row>
    <row r="39" spans="1:15" x14ac:dyDescent="0.25">
      <c r="A39" s="39">
        <f t="shared" si="0"/>
        <v>42</v>
      </c>
      <c r="B39" s="3" t="str">
        <f>IFERROR(VLOOKUP(JuniorzyNegatyw[[#This Row],[Numer]],Zawodnicy[],2,FALSE),"-")</f>
        <v>Olaf Skikiewicz</v>
      </c>
      <c r="C39" s="57">
        <f ca="1">IFERROR(IF(SUMIFS(Bloki1[WB],Bloki1[Nazwa zawodnika],$B39,Bloki1[Skill],C$34)&gt;0,AVERAGEIFS(Bloki1[WB],Bloki1[Nazwa zawodnika],$B39,Bloki1[Skill],C$34),VLOOKUP(INDEX(JuniorstwoRandom[],MATCH($A39,$A$3:$A$23,0),COLUMN(C$2)),Szacunki[],2,FALSE)),"-")</f>
        <v>8</v>
      </c>
      <c r="D39" s="57">
        <f ca="1">IFERROR(IF(SUMIFS(Bloki1[WB],Bloki1[Nazwa zawodnika],$B39,Bloki1[Skill],D$34)&gt;0,AVERAGEIFS(Bloki1[WB],Bloki1[Nazwa zawodnika],$B39,Bloki1[Skill],D$34),VLOOKUP(INDEX(JuniorstwoRandom[],MATCH($A39,$A$3:$A$23,0),COLUMN(D$2)),Szacunki[],2,FALSE)),"-")</f>
        <v>7</v>
      </c>
      <c r="E39" s="57">
        <f ca="1">IFERROR(IF(SUMIFS(Bloki1[WB],Bloki1[Nazwa zawodnika],$B39,Bloki1[Skill],E$34)&gt;0,AVERAGEIFS(Bloki1[WB],Bloki1[Nazwa zawodnika],$B39,Bloki1[Skill],E$34),VLOOKUP(INDEX(JuniorstwoRandom[],MATCH($A39,$A$3:$A$23,0),COLUMN(E$2)),Szacunki[],2,FALSE)),"-")</f>
        <v>7</v>
      </c>
      <c r="F39" s="57">
        <f ca="1">IFERROR(IF(SUMIFS(Bloki1[WB],Bloki1[Nazwa zawodnika],$B39,Bloki1[Skill],F$34)&gt;0,AVERAGEIFS(Bloki1[WB],Bloki1[Nazwa zawodnika],$B39,Bloki1[Skill],F$34),VLOOKUP(INDEX(JuniorstwoRandom[],MATCH($A39,$A$3:$A$23,0),COLUMN(F$2)),Szacunki[],2,FALSE)),"-")</f>
        <v>7</v>
      </c>
      <c r="G39" s="57">
        <f ca="1">IFERROR(IF(SUMIFS(Bloki1[WB],Bloki1[Nazwa zawodnika],$B39,Bloki1[Skill],G$34)&gt;0,AVERAGEIFS(Bloki1[WB],Bloki1[Nazwa zawodnika],$B39,Bloki1[Skill],G$34),VLOOKUP(INDEX(JuniorstwoRandom[],MATCH($A39,$A$3:$A$23,0),COLUMN(G$2)),Szacunki[],2,FALSE)),"-")</f>
        <v>7</v>
      </c>
      <c r="H39" s="57">
        <f ca="1">IFERROR(IF(SUMIFS(Bloki1[WB],Bloki1[Nazwa zawodnika],$B39,Bloki1[Skill],H$34)&gt;0,AVERAGEIFS(Bloki1[WB],Bloki1[Nazwa zawodnika],$B39,Bloki1[Skill],H$34),VLOOKUP(INDEX(JuniorstwoRandom[],MATCH($A39,$A$3:$A$23,0),COLUMN(H$2)),Szacunki[],2,FALSE)),"-")</f>
        <v>7</v>
      </c>
      <c r="I39" s="57">
        <f ca="1">IFERROR(IF(SUMIFS(Bloki1[WB],Bloki1[Nazwa zawodnika],$B39,Bloki1[Skill],I$34)&gt;0,AVERAGEIFS(Bloki1[WB],Bloki1[Nazwa zawodnika],$B39,Bloki1[Skill],I$34),VLOOKUP(INDEX(JuniorstwoRandom[],MATCH($A39,$A$3:$A$23,0),COLUMN(I$2)),Szacunki[],4,FALSE)),"-")</f>
        <v>5</v>
      </c>
      <c r="J39" s="57">
        <f ca="1">IFERROR(IF(SUMIFS(Bloki1[WB],Bloki1[Nazwa zawodnika],$B39,Bloki1[Skill],J$34)&gt;0,AVERAGEIFS(Bloki1[WB],Bloki1[Nazwa zawodnika],$B39,Bloki1[Skill],J$34),VLOOKUP(INDEX(JuniorstwoRandom[],MATCH($A39,$A$3:$A$23,0),COLUMN(J$2)),Szacunki[],2,FALSE)),"-")</f>
        <v>7</v>
      </c>
      <c r="K39" s="57">
        <f ca="1">IFERROR(IF(SUMIFS(Bloki1[WB],Bloki1[Nazwa zawodnika],$B39,Bloki1[Skill],K$34)&gt;0,AVERAGEIFS(Bloki1[WB],Bloki1[Nazwa zawodnika],$B39,Bloki1[Skill],K$34),VLOOKUP(INDEX(JuniorstwoRandom[],MATCH($A39,$A$3:$A$23,0),COLUMN(K$2)),Szacunki[],2,FALSE)),"-")</f>
        <v>6</v>
      </c>
      <c r="L39" s="57">
        <f ca="1">IFERROR(IF(SUMIFS(Bloki1[WB],Bloki1[Nazwa zawodnika],$B39,Bloki1[Skill],L$34)&gt;0,AVERAGEIFS(Bloki1[WB],Bloki1[Nazwa zawodnika],$B39,Bloki1[Skill],L$34),VLOOKUP(INDEX(JuniorstwoRandom[],MATCH($A39,$A$3:$A$23,0),COLUMN(L$2)),Szacunki[],2,FALSE)),"-")</f>
        <v>8</v>
      </c>
      <c r="M39" s="57">
        <f ca="1">IFERROR(IF(SUMIFS(Bloki1[WB],Bloki1[Nazwa zawodnika],$B39,Bloki1[Skill],M$34)&gt;0,AVERAGEIFS(Bloki1[WB],Bloki1[Nazwa zawodnika],$B39,Bloki1[Skill],M$34),VLOOKUP(INDEX(JuniorstwoRandom[],MATCH($A39,$A$3:$A$23,0),COLUMN(M$2)),Szacunki[],2,FALSE)),"-")</f>
        <v>7</v>
      </c>
      <c r="N39">
        <v>10</v>
      </c>
      <c r="O39" s="26">
        <f t="shared" ca="1" si="1"/>
        <v>76</v>
      </c>
    </row>
    <row r="40" spans="1:15" x14ac:dyDescent="0.25">
      <c r="A40" s="39">
        <f t="shared" si="0"/>
        <v>45</v>
      </c>
      <c r="B40" s="3" t="str">
        <f>IFERROR(VLOOKUP(JuniorzyNegatyw[[#This Row],[Numer]],Zawodnicy[],2,FALSE),"-")</f>
        <v>Janusz Sierocki</v>
      </c>
      <c r="C40" s="57">
        <f ca="1">IFERROR(IF(SUMIFS(Bloki1[WB],Bloki1[Nazwa zawodnika],$B40,Bloki1[Skill],C$34)&gt;0,AVERAGEIFS(Bloki1[WB],Bloki1[Nazwa zawodnika],$B40,Bloki1[Skill],C$34),VLOOKUP(INDEX(JuniorstwoRandom[],MATCH($A40,$A$3:$A$23,0),COLUMN(C$2)),Szacunki[],2,FALSE)),"-")</f>
        <v>6</v>
      </c>
      <c r="D40" s="57">
        <f ca="1">IFERROR(IF(SUMIFS(Bloki1[WB],Bloki1[Nazwa zawodnika],$B40,Bloki1[Skill],D$34)&gt;0,AVERAGEIFS(Bloki1[WB],Bloki1[Nazwa zawodnika],$B40,Bloki1[Skill],D$34),VLOOKUP(INDEX(JuniorstwoRandom[],MATCH($A40,$A$3:$A$23,0),COLUMN(D$2)),Szacunki[],2,FALSE)),"-")</f>
        <v>7</v>
      </c>
      <c r="E40" s="57">
        <f ca="1">IFERROR(IF(SUMIFS(Bloki1[WB],Bloki1[Nazwa zawodnika],$B40,Bloki1[Skill],E$34)&gt;0,AVERAGEIFS(Bloki1[WB],Bloki1[Nazwa zawodnika],$B40,Bloki1[Skill],E$34),VLOOKUP(INDEX(JuniorstwoRandom[],MATCH($A40,$A$3:$A$23,0),COLUMN(E$2)),Szacunki[],2,FALSE)),"-")</f>
        <v>4</v>
      </c>
      <c r="F40" s="57">
        <f ca="1">IFERROR(IF(SUMIFS(Bloki1[WB],Bloki1[Nazwa zawodnika],$B40,Bloki1[Skill],F$34)&gt;0,AVERAGEIFS(Bloki1[WB],Bloki1[Nazwa zawodnika],$B40,Bloki1[Skill],F$34),VLOOKUP(INDEX(JuniorstwoRandom[],MATCH($A40,$A$3:$A$23,0),COLUMN(F$2)),Szacunki[],2,FALSE)),"-")</f>
        <v>8</v>
      </c>
      <c r="G40" s="57">
        <f ca="1">IFERROR(IF(SUMIFS(Bloki1[WB],Bloki1[Nazwa zawodnika],$B40,Bloki1[Skill],G$34)&gt;0,AVERAGEIFS(Bloki1[WB],Bloki1[Nazwa zawodnika],$B40,Bloki1[Skill],G$34),VLOOKUP(INDEX(JuniorstwoRandom[],MATCH($A40,$A$3:$A$23,0),COLUMN(G$2)),Szacunki[],2,FALSE)),"-")</f>
        <v>6</v>
      </c>
      <c r="H40" s="57">
        <f ca="1">IFERROR(IF(SUMIFS(Bloki1[WB],Bloki1[Nazwa zawodnika],$B40,Bloki1[Skill],H$34)&gt;0,AVERAGEIFS(Bloki1[WB],Bloki1[Nazwa zawodnika],$B40,Bloki1[Skill],H$34),VLOOKUP(INDEX(JuniorstwoRandom[],MATCH($A40,$A$3:$A$23,0),COLUMN(H$2)),Szacunki[],2,FALSE)),"-")</f>
        <v>5</v>
      </c>
      <c r="I40" s="57">
        <f ca="1">IFERROR(IF(SUMIFS(Bloki1[WB],Bloki1[Nazwa zawodnika],$B40,Bloki1[Skill],I$34)&gt;0,AVERAGEIFS(Bloki1[WB],Bloki1[Nazwa zawodnika],$B40,Bloki1[Skill],I$34),VLOOKUP(INDEX(JuniorstwoRandom[],MATCH($A40,$A$3:$A$23,0),COLUMN(I$2)),Szacunki[],4,FALSE)),"-")</f>
        <v>3</v>
      </c>
      <c r="J40" s="57">
        <f ca="1">IFERROR(IF(SUMIFS(Bloki1[WB],Bloki1[Nazwa zawodnika],$B40,Bloki1[Skill],J$34)&gt;0,AVERAGEIFS(Bloki1[WB],Bloki1[Nazwa zawodnika],$B40,Bloki1[Skill],J$34),VLOOKUP(INDEX(JuniorstwoRandom[],MATCH($A40,$A$3:$A$23,0),COLUMN(J$2)),Szacunki[],2,FALSE)),"-")</f>
        <v>5</v>
      </c>
      <c r="K40" s="57">
        <f ca="1">IFERROR(IF(SUMIFS(Bloki1[WB],Bloki1[Nazwa zawodnika],$B40,Bloki1[Skill],K$34)&gt;0,AVERAGEIFS(Bloki1[WB],Bloki1[Nazwa zawodnika],$B40,Bloki1[Skill],K$34),VLOOKUP(INDEX(JuniorstwoRandom[],MATCH($A40,$A$3:$A$23,0),COLUMN(K$2)),Szacunki[],2,FALSE)),"-")</f>
        <v>8</v>
      </c>
      <c r="L40" s="57">
        <f ca="1">IFERROR(IF(SUMIFS(Bloki1[WB],Bloki1[Nazwa zawodnika],$B40,Bloki1[Skill],L$34)&gt;0,AVERAGEIFS(Bloki1[WB],Bloki1[Nazwa zawodnika],$B40,Bloki1[Skill],L$34),VLOOKUP(INDEX(JuniorstwoRandom[],MATCH($A40,$A$3:$A$23,0),COLUMN(L$2)),Szacunki[],2,FALSE)),"-")</f>
        <v>6</v>
      </c>
      <c r="M40" s="57">
        <f ca="1">IFERROR(IF(SUMIFS(Bloki1[WB],Bloki1[Nazwa zawodnika],$B40,Bloki1[Skill],M$34)&gt;0,AVERAGEIFS(Bloki1[WB],Bloki1[Nazwa zawodnika],$B40,Bloki1[Skill],M$34),VLOOKUP(INDEX(JuniorstwoRandom[],MATCH($A40,$A$3:$A$23,0),COLUMN(M$2)),Szacunki[],2,FALSE)),"-")</f>
        <v>6</v>
      </c>
      <c r="N40">
        <v>10</v>
      </c>
      <c r="O40" s="26">
        <f t="shared" ca="1" si="1"/>
        <v>64</v>
      </c>
    </row>
    <row r="41" spans="1:15" x14ac:dyDescent="0.25">
      <c r="A41" s="39">
        <f t="shared" si="0"/>
        <v>46</v>
      </c>
      <c r="B41" s="3" t="str">
        <f>IFERROR(VLOOKUP(JuniorzyNegatyw[[#This Row],[Numer]],Zawodnicy[],2,FALSE),"-")</f>
        <v>Iwo Duszenski</v>
      </c>
      <c r="C41" s="57">
        <f ca="1">IFERROR(IF(SUMIFS(Bloki1[WB],Bloki1[Nazwa zawodnika],$B41,Bloki1[Skill],C$34)&gt;0,AVERAGEIFS(Bloki1[WB],Bloki1[Nazwa zawodnika],$B41,Bloki1[Skill],C$34),VLOOKUP(INDEX(JuniorstwoRandom[],MATCH($A41,$A$3:$A$23,0),COLUMN(C$2)),Szacunki[],2,FALSE)),"-")</f>
        <v>7</v>
      </c>
      <c r="D41" s="57">
        <f ca="1">IFERROR(IF(SUMIFS(Bloki1[WB],Bloki1[Nazwa zawodnika],$B41,Bloki1[Skill],D$34)&gt;0,AVERAGEIFS(Bloki1[WB],Bloki1[Nazwa zawodnika],$B41,Bloki1[Skill],D$34),VLOOKUP(INDEX(JuniorstwoRandom[],MATCH($A41,$A$3:$A$23,0),COLUMN(D$2)),Szacunki[],2,FALSE)),"-")</f>
        <v>8</v>
      </c>
      <c r="E41" s="57">
        <f ca="1">IFERROR(IF(SUMIFS(Bloki1[WB],Bloki1[Nazwa zawodnika],$B41,Bloki1[Skill],E$34)&gt;0,AVERAGEIFS(Bloki1[WB],Bloki1[Nazwa zawodnika],$B41,Bloki1[Skill],E$34),VLOOKUP(INDEX(JuniorstwoRandom[],MATCH($A41,$A$3:$A$23,0),COLUMN(E$2)),Szacunki[],2,FALSE)),"-")</f>
        <v>10</v>
      </c>
      <c r="F41" s="57">
        <f ca="1">IFERROR(IF(SUMIFS(Bloki1[WB],Bloki1[Nazwa zawodnika],$B41,Bloki1[Skill],F$34)&gt;0,AVERAGEIFS(Bloki1[WB],Bloki1[Nazwa zawodnika],$B41,Bloki1[Skill],F$34),VLOOKUP(INDEX(JuniorstwoRandom[],MATCH($A41,$A$3:$A$23,0),COLUMN(F$2)),Szacunki[],2,FALSE)),"-")</f>
        <v>6</v>
      </c>
      <c r="G41" s="57">
        <f ca="1">IFERROR(IF(SUMIFS(Bloki1[WB],Bloki1[Nazwa zawodnika],$B41,Bloki1[Skill],G$34)&gt;0,AVERAGEIFS(Bloki1[WB],Bloki1[Nazwa zawodnika],$B41,Bloki1[Skill],G$34),VLOOKUP(INDEX(JuniorstwoRandom[],MATCH($A41,$A$3:$A$23,0),COLUMN(G$2)),Szacunki[],2,FALSE)),"-")</f>
        <v>10</v>
      </c>
      <c r="H41" s="57">
        <f ca="1">IFERROR(IF(SUMIFS(Bloki1[WB],Bloki1[Nazwa zawodnika],$B41,Bloki1[Skill],H$34)&gt;0,AVERAGEIFS(Bloki1[WB],Bloki1[Nazwa zawodnika],$B41,Bloki1[Skill],H$34),VLOOKUP(INDEX(JuniorstwoRandom[],MATCH($A41,$A$3:$A$23,0),COLUMN(H$2)),Szacunki[],2,FALSE)),"-")</f>
        <v>7</v>
      </c>
      <c r="I41" s="57">
        <f ca="1">IFERROR(IF(SUMIFS(Bloki1[WB],Bloki1[Nazwa zawodnika],$B41,Bloki1[Skill],I$34)&gt;0,AVERAGEIFS(Bloki1[WB],Bloki1[Nazwa zawodnika],$B41,Bloki1[Skill],I$34),VLOOKUP(INDEX(JuniorstwoRandom[],MATCH($A41,$A$3:$A$23,0),COLUMN(I$2)),Szacunki[],4,FALSE)),"-")</f>
        <v>3</v>
      </c>
      <c r="J41" s="57">
        <f ca="1">IFERROR(IF(SUMIFS(Bloki1[WB],Bloki1[Nazwa zawodnika],$B41,Bloki1[Skill],J$34)&gt;0,AVERAGEIFS(Bloki1[WB],Bloki1[Nazwa zawodnika],$B41,Bloki1[Skill],J$34),VLOOKUP(INDEX(JuniorstwoRandom[],MATCH($A41,$A$3:$A$23,0),COLUMN(J$2)),Szacunki[],2,FALSE)),"-")</f>
        <v>5</v>
      </c>
      <c r="K41" s="57">
        <f ca="1">IFERROR(IF(SUMIFS(Bloki1[WB],Bloki1[Nazwa zawodnika],$B41,Bloki1[Skill],K$34)&gt;0,AVERAGEIFS(Bloki1[WB],Bloki1[Nazwa zawodnika],$B41,Bloki1[Skill],K$34),VLOOKUP(INDEX(JuniorstwoRandom[],MATCH($A41,$A$3:$A$23,0),COLUMN(K$2)),Szacunki[],2,FALSE)),"-")</f>
        <v>6</v>
      </c>
      <c r="L41" s="57">
        <f ca="1">IFERROR(IF(SUMIFS(Bloki1[WB],Bloki1[Nazwa zawodnika],$B41,Bloki1[Skill],L$34)&gt;0,AVERAGEIFS(Bloki1[WB],Bloki1[Nazwa zawodnika],$B41,Bloki1[Skill],L$34),VLOOKUP(INDEX(JuniorstwoRandom[],MATCH($A41,$A$3:$A$23,0),COLUMN(L$2)),Szacunki[],2,FALSE)),"-")</f>
        <v>4</v>
      </c>
      <c r="M41" s="57">
        <f ca="1">IFERROR(IF(SUMIFS(Bloki1[WB],Bloki1[Nazwa zawodnika],$B41,Bloki1[Skill],M$34)&gt;0,AVERAGEIFS(Bloki1[WB],Bloki1[Nazwa zawodnika],$B41,Bloki1[Skill],M$34),VLOOKUP(INDEX(JuniorstwoRandom[],MATCH($A41,$A$3:$A$23,0),COLUMN(M$2)),Szacunki[],2,FALSE)),"-")</f>
        <v>8</v>
      </c>
      <c r="N41">
        <v>10</v>
      </c>
      <c r="O41" s="26">
        <f t="shared" ca="1" si="1"/>
        <v>74</v>
      </c>
    </row>
    <row r="42" spans="1:15" x14ac:dyDescent="0.25">
      <c r="A42" s="39">
        <f t="shared" si="0"/>
        <v>48</v>
      </c>
      <c r="B42" s="3" t="str">
        <f>IFERROR(VLOOKUP(JuniorzyNegatyw[[#This Row],[Numer]],Zawodnicy[],2,FALSE),"-")</f>
        <v>Wincenty Zawaski</v>
      </c>
      <c r="C42" s="57">
        <f ca="1">IFERROR(IF(SUMIFS(Bloki1[WB],Bloki1[Nazwa zawodnika],$B42,Bloki1[Skill],C$34)&gt;0,AVERAGEIFS(Bloki1[WB],Bloki1[Nazwa zawodnika],$B42,Bloki1[Skill],C$34),VLOOKUP(INDEX(JuniorstwoRandom[],MATCH($A42,$A$3:$A$23,0),COLUMN(C$2)),Szacunki[],2,FALSE)),"-")</f>
        <v>5</v>
      </c>
      <c r="D42" s="57">
        <f ca="1">IFERROR(IF(SUMIFS(Bloki1[WB],Bloki1[Nazwa zawodnika],$B42,Bloki1[Skill],D$34)&gt;0,AVERAGEIFS(Bloki1[WB],Bloki1[Nazwa zawodnika],$B42,Bloki1[Skill],D$34),VLOOKUP(INDEX(JuniorstwoRandom[],MATCH($A42,$A$3:$A$23,0),COLUMN(D$2)),Szacunki[],2,FALSE)),"-")</f>
        <v>8</v>
      </c>
      <c r="E42" s="57">
        <f ca="1">IFERROR(IF(SUMIFS(Bloki1[WB],Bloki1[Nazwa zawodnika],$B42,Bloki1[Skill],E$34)&gt;0,AVERAGEIFS(Bloki1[WB],Bloki1[Nazwa zawodnika],$B42,Bloki1[Skill],E$34),VLOOKUP(INDEX(JuniorstwoRandom[],MATCH($A42,$A$3:$A$23,0),COLUMN(E$2)),Szacunki[],2,FALSE)),"-")</f>
        <v>6</v>
      </c>
      <c r="F42" s="57">
        <f ca="1">IFERROR(IF(SUMIFS(Bloki1[WB],Bloki1[Nazwa zawodnika],$B42,Bloki1[Skill],F$34)&gt;0,AVERAGEIFS(Bloki1[WB],Bloki1[Nazwa zawodnika],$B42,Bloki1[Skill],F$34),VLOOKUP(INDEX(JuniorstwoRandom[],MATCH($A42,$A$3:$A$23,0),COLUMN(F$2)),Szacunki[],2,FALSE)),"-")</f>
        <v>6</v>
      </c>
      <c r="G42" s="57">
        <f ca="1">IFERROR(IF(SUMIFS(Bloki1[WB],Bloki1[Nazwa zawodnika],$B42,Bloki1[Skill],G$34)&gt;0,AVERAGEIFS(Bloki1[WB],Bloki1[Nazwa zawodnika],$B42,Bloki1[Skill],G$34),VLOOKUP(INDEX(JuniorstwoRandom[],MATCH($A42,$A$3:$A$23,0),COLUMN(G$2)),Szacunki[],2,FALSE)),"-")</f>
        <v>6</v>
      </c>
      <c r="H42" s="57">
        <f ca="1">IFERROR(IF(SUMIFS(Bloki1[WB],Bloki1[Nazwa zawodnika],$B42,Bloki1[Skill],H$34)&gt;0,AVERAGEIFS(Bloki1[WB],Bloki1[Nazwa zawodnika],$B42,Bloki1[Skill],H$34),VLOOKUP(INDEX(JuniorstwoRandom[],MATCH($A42,$A$3:$A$23,0),COLUMN(H$2)),Szacunki[],2,FALSE)),"-")</f>
        <v>6</v>
      </c>
      <c r="I42" s="57">
        <f ca="1">IFERROR(IF(SUMIFS(Bloki1[WB],Bloki1[Nazwa zawodnika],$B42,Bloki1[Skill],I$34)&gt;0,AVERAGEIFS(Bloki1[WB],Bloki1[Nazwa zawodnika],$B42,Bloki1[Skill],I$34),VLOOKUP(INDEX(JuniorstwoRandom[],MATCH($A42,$A$3:$A$23,0),COLUMN(I$2)),Szacunki[],4,FALSE)),"-")</f>
        <v>3</v>
      </c>
      <c r="J42" s="57">
        <f ca="1">IFERROR(IF(SUMIFS(Bloki1[WB],Bloki1[Nazwa zawodnika],$B42,Bloki1[Skill],J$34)&gt;0,AVERAGEIFS(Bloki1[WB],Bloki1[Nazwa zawodnika],$B42,Bloki1[Skill],J$34),VLOOKUP(INDEX(JuniorstwoRandom[],MATCH($A42,$A$3:$A$23,0),COLUMN(J$2)),Szacunki[],2,FALSE)),"-")</f>
        <v>6</v>
      </c>
      <c r="K42" s="57">
        <f ca="1">IFERROR(IF(SUMIFS(Bloki1[WB],Bloki1[Nazwa zawodnika],$B42,Bloki1[Skill],K$34)&gt;0,AVERAGEIFS(Bloki1[WB],Bloki1[Nazwa zawodnika],$B42,Bloki1[Skill],K$34),VLOOKUP(INDEX(JuniorstwoRandom[],MATCH($A42,$A$3:$A$23,0),COLUMN(K$2)),Szacunki[],2,FALSE)),"-")</f>
        <v>6</v>
      </c>
      <c r="L42" s="57">
        <f ca="1">IFERROR(IF(SUMIFS(Bloki1[WB],Bloki1[Nazwa zawodnika],$B42,Bloki1[Skill],L$34)&gt;0,AVERAGEIFS(Bloki1[WB],Bloki1[Nazwa zawodnika],$B42,Bloki1[Skill],L$34),VLOOKUP(INDEX(JuniorstwoRandom[],MATCH($A42,$A$3:$A$23,0),COLUMN(L$2)),Szacunki[],2,FALSE)),"-")</f>
        <v>8</v>
      </c>
      <c r="M42" s="57">
        <f ca="1">IFERROR(IF(SUMIFS(Bloki1[WB],Bloki1[Nazwa zawodnika],$B42,Bloki1[Skill],M$34)&gt;0,AVERAGEIFS(Bloki1[WB],Bloki1[Nazwa zawodnika],$B42,Bloki1[Skill],M$34),VLOOKUP(INDEX(JuniorstwoRandom[],MATCH($A42,$A$3:$A$23,0),COLUMN(M$2)),Szacunki[],2,FALSE)),"-")</f>
        <v>4</v>
      </c>
      <c r="N42">
        <v>10</v>
      </c>
      <c r="O42" s="26">
        <f t="shared" ca="1" si="1"/>
        <v>64</v>
      </c>
    </row>
    <row r="43" spans="1:15" x14ac:dyDescent="0.25">
      <c r="A43" s="39">
        <f t="shared" si="0"/>
        <v>49</v>
      </c>
      <c r="B43" s="3" t="str">
        <f>IFERROR(VLOOKUP(JuniorzyNegatyw[[#This Row],[Numer]],Zawodnicy[],2,FALSE),"-")</f>
        <v>Dobromir Kolacki</v>
      </c>
      <c r="C43" s="57">
        <f ca="1">IFERROR(IF(SUMIFS(Bloki1[WB],Bloki1[Nazwa zawodnika],$B43,Bloki1[Skill],C$34)&gt;0,AVERAGEIFS(Bloki1[WB],Bloki1[Nazwa zawodnika],$B43,Bloki1[Skill],C$34),VLOOKUP(INDEX(JuniorstwoRandom[],MATCH($A43,$A$3:$A$23,0),COLUMN(C$2)),Szacunki[],2,FALSE)),"-")</f>
        <v>4</v>
      </c>
      <c r="D43" s="57">
        <f ca="1">IFERROR(IF(SUMIFS(Bloki1[WB],Bloki1[Nazwa zawodnika],$B43,Bloki1[Skill],D$34)&gt;0,AVERAGEIFS(Bloki1[WB],Bloki1[Nazwa zawodnika],$B43,Bloki1[Skill],D$34),VLOOKUP(INDEX(JuniorstwoRandom[],MATCH($A43,$A$3:$A$23,0),COLUMN(D$2)),Szacunki[],2,FALSE)),"-")</f>
        <v>6</v>
      </c>
      <c r="E43" s="57">
        <f ca="1">IFERROR(IF(SUMIFS(Bloki1[WB],Bloki1[Nazwa zawodnika],$B43,Bloki1[Skill],E$34)&gt;0,AVERAGEIFS(Bloki1[WB],Bloki1[Nazwa zawodnika],$B43,Bloki1[Skill],E$34),VLOOKUP(INDEX(JuniorstwoRandom[],MATCH($A43,$A$3:$A$23,0),COLUMN(E$2)),Szacunki[],2,FALSE)),"-")</f>
        <v>8</v>
      </c>
      <c r="F43" s="57">
        <f ca="1">IFERROR(IF(SUMIFS(Bloki1[WB],Bloki1[Nazwa zawodnika],$B43,Bloki1[Skill],F$34)&gt;0,AVERAGEIFS(Bloki1[WB],Bloki1[Nazwa zawodnika],$B43,Bloki1[Skill],F$34),VLOOKUP(INDEX(JuniorstwoRandom[],MATCH($A43,$A$3:$A$23,0),COLUMN(F$2)),Szacunki[],2,FALSE)),"-")</f>
        <v>7</v>
      </c>
      <c r="G43" s="57">
        <f ca="1">IFERROR(IF(SUMIFS(Bloki1[WB],Bloki1[Nazwa zawodnika],$B43,Bloki1[Skill],G$34)&gt;0,AVERAGEIFS(Bloki1[WB],Bloki1[Nazwa zawodnika],$B43,Bloki1[Skill],G$34),VLOOKUP(INDEX(JuniorstwoRandom[],MATCH($A43,$A$3:$A$23,0),COLUMN(G$2)),Szacunki[],2,FALSE)),"-")</f>
        <v>4</v>
      </c>
      <c r="H43" s="57">
        <f ca="1">IFERROR(IF(SUMIFS(Bloki1[WB],Bloki1[Nazwa zawodnika],$B43,Bloki1[Skill],H$34)&gt;0,AVERAGEIFS(Bloki1[WB],Bloki1[Nazwa zawodnika],$B43,Bloki1[Skill],H$34),VLOOKUP(INDEX(JuniorstwoRandom[],MATCH($A43,$A$3:$A$23,0),COLUMN(H$2)),Szacunki[],2,FALSE)),"-")</f>
        <v>7</v>
      </c>
      <c r="I43" s="57">
        <f ca="1">IFERROR(IF(SUMIFS(Bloki1[WB],Bloki1[Nazwa zawodnika],$B43,Bloki1[Skill],I$34)&gt;0,AVERAGEIFS(Bloki1[WB],Bloki1[Nazwa zawodnika],$B43,Bloki1[Skill],I$34),VLOOKUP(INDEX(JuniorstwoRandom[],MATCH($A43,$A$3:$A$23,0),COLUMN(I$2)),Szacunki[],4,FALSE)),"-")</f>
        <v>9</v>
      </c>
      <c r="J43" s="57">
        <f ca="1">IFERROR(IF(SUMIFS(Bloki1[WB],Bloki1[Nazwa zawodnika],$B43,Bloki1[Skill],J$34)&gt;0,AVERAGEIFS(Bloki1[WB],Bloki1[Nazwa zawodnika],$B43,Bloki1[Skill],J$34),VLOOKUP(INDEX(JuniorstwoRandom[],MATCH($A43,$A$3:$A$23,0),COLUMN(J$2)),Szacunki[],2,FALSE)),"-")</f>
        <v>6</v>
      </c>
      <c r="K43" s="57">
        <f ca="1">IFERROR(IF(SUMIFS(Bloki1[WB],Bloki1[Nazwa zawodnika],$B43,Bloki1[Skill],K$34)&gt;0,AVERAGEIFS(Bloki1[WB],Bloki1[Nazwa zawodnika],$B43,Bloki1[Skill],K$34),VLOOKUP(INDEX(JuniorstwoRandom[],MATCH($A43,$A$3:$A$23,0),COLUMN(K$2)),Szacunki[],2,FALSE)),"-")</f>
        <v>7</v>
      </c>
      <c r="L43" s="57">
        <f ca="1">IFERROR(IF(SUMIFS(Bloki1[WB],Bloki1[Nazwa zawodnika],$B43,Bloki1[Skill],L$34)&gt;0,AVERAGEIFS(Bloki1[WB],Bloki1[Nazwa zawodnika],$B43,Bloki1[Skill],L$34),VLOOKUP(INDEX(JuniorstwoRandom[],MATCH($A43,$A$3:$A$23,0),COLUMN(L$2)),Szacunki[],2,FALSE)),"-")</f>
        <v>10</v>
      </c>
      <c r="M43" s="57">
        <f ca="1">IFERROR(IF(SUMIFS(Bloki1[WB],Bloki1[Nazwa zawodnika],$B43,Bloki1[Skill],M$34)&gt;0,AVERAGEIFS(Bloki1[WB],Bloki1[Nazwa zawodnika],$B43,Bloki1[Skill],M$34),VLOOKUP(INDEX(JuniorstwoRandom[],MATCH($A43,$A$3:$A$23,0),COLUMN(M$2)),Szacunki[],2,FALSE)),"-")</f>
        <v>9</v>
      </c>
      <c r="N43">
        <v>10</v>
      </c>
      <c r="O43" s="26">
        <f t="shared" ca="1" si="1"/>
        <v>77</v>
      </c>
    </row>
    <row r="44" spans="1:15" x14ac:dyDescent="0.25">
      <c r="A44" s="39">
        <f t="shared" si="0"/>
        <v>50</v>
      </c>
      <c r="B44" s="3" t="str">
        <f>IFERROR(VLOOKUP(JuniorzyNegatyw[[#This Row],[Numer]],Zawodnicy[],2,FALSE),"-")</f>
        <v>Ludomil Robak</v>
      </c>
      <c r="C44" s="57">
        <f ca="1">IFERROR(IF(SUMIFS(Bloki1[WB],Bloki1[Nazwa zawodnika],$B44,Bloki1[Skill],C$34)&gt;0,AVERAGEIFS(Bloki1[WB],Bloki1[Nazwa zawodnika],$B44,Bloki1[Skill],C$34),VLOOKUP(INDEX(JuniorstwoRandom[],MATCH($A44,$A$3:$A$23,0),COLUMN(C$2)),Szacunki[],2,FALSE)),"-")</f>
        <v>7</v>
      </c>
      <c r="D44" s="57">
        <f ca="1">IFERROR(IF(SUMIFS(Bloki1[WB],Bloki1[Nazwa zawodnika],$B44,Bloki1[Skill],D$34)&gt;0,AVERAGEIFS(Bloki1[WB],Bloki1[Nazwa zawodnika],$B44,Bloki1[Skill],D$34),VLOOKUP(INDEX(JuniorstwoRandom[],MATCH($A44,$A$3:$A$23,0),COLUMN(D$2)),Szacunki[],2,FALSE)),"-")</f>
        <v>6</v>
      </c>
      <c r="E44" s="57">
        <f ca="1">IFERROR(IF(SUMIFS(Bloki1[WB],Bloki1[Nazwa zawodnika],$B44,Bloki1[Skill],E$34)&gt;0,AVERAGEIFS(Bloki1[WB],Bloki1[Nazwa zawodnika],$B44,Bloki1[Skill],E$34),VLOOKUP(INDEX(JuniorstwoRandom[],MATCH($A44,$A$3:$A$23,0),COLUMN(E$2)),Szacunki[],2,FALSE)),"-")</f>
        <v>7</v>
      </c>
      <c r="F44" s="57">
        <f ca="1">IFERROR(IF(SUMIFS(Bloki1[WB],Bloki1[Nazwa zawodnika],$B44,Bloki1[Skill],F$34)&gt;0,AVERAGEIFS(Bloki1[WB],Bloki1[Nazwa zawodnika],$B44,Bloki1[Skill],F$34),VLOOKUP(INDEX(JuniorstwoRandom[],MATCH($A44,$A$3:$A$23,0),COLUMN(F$2)),Szacunki[],2,FALSE)),"-")</f>
        <v>8</v>
      </c>
      <c r="G44" s="57">
        <f ca="1">IFERROR(IF(SUMIFS(Bloki1[WB],Bloki1[Nazwa zawodnika],$B44,Bloki1[Skill],G$34)&gt;0,AVERAGEIFS(Bloki1[WB],Bloki1[Nazwa zawodnika],$B44,Bloki1[Skill],G$34),VLOOKUP(INDEX(JuniorstwoRandom[],MATCH($A44,$A$3:$A$23,0),COLUMN(G$2)),Szacunki[],2,FALSE)),"-")</f>
        <v>7</v>
      </c>
      <c r="H44" s="57">
        <f ca="1">IFERROR(IF(SUMIFS(Bloki1[WB],Bloki1[Nazwa zawodnika],$B44,Bloki1[Skill],H$34)&gt;0,AVERAGEIFS(Bloki1[WB],Bloki1[Nazwa zawodnika],$B44,Bloki1[Skill],H$34),VLOOKUP(INDEX(JuniorstwoRandom[],MATCH($A44,$A$3:$A$23,0),COLUMN(H$2)),Szacunki[],2,FALSE)),"-")</f>
        <v>8</v>
      </c>
      <c r="I44" s="57">
        <f ca="1">IFERROR(IF(SUMIFS(Bloki1[WB],Bloki1[Nazwa zawodnika],$B44,Bloki1[Skill],I$34)&gt;0,AVERAGEIFS(Bloki1[WB],Bloki1[Nazwa zawodnika],$B44,Bloki1[Skill],I$34),VLOOKUP(INDEX(JuniorstwoRandom[],MATCH($A44,$A$3:$A$23,0),COLUMN(I$2)),Szacunki[],4,FALSE)),"-")</f>
        <v>5</v>
      </c>
      <c r="J44" s="57">
        <f ca="1">IFERROR(IF(SUMIFS(Bloki1[WB],Bloki1[Nazwa zawodnika],$B44,Bloki1[Skill],J$34)&gt;0,AVERAGEIFS(Bloki1[WB],Bloki1[Nazwa zawodnika],$B44,Bloki1[Skill],J$34),VLOOKUP(INDEX(JuniorstwoRandom[],MATCH($A44,$A$3:$A$23,0),COLUMN(J$2)),Szacunki[],2,FALSE)),"-")</f>
        <v>7</v>
      </c>
      <c r="K44" s="57">
        <f ca="1">IFERROR(IF(SUMIFS(Bloki1[WB],Bloki1[Nazwa zawodnika],$B44,Bloki1[Skill],K$34)&gt;0,AVERAGEIFS(Bloki1[WB],Bloki1[Nazwa zawodnika],$B44,Bloki1[Skill],K$34),VLOOKUP(INDEX(JuniorstwoRandom[],MATCH($A44,$A$3:$A$23,0),COLUMN(K$2)),Szacunki[],2,FALSE)),"-")</f>
        <v>7</v>
      </c>
      <c r="L44" s="57">
        <f ca="1">IFERROR(IF(SUMIFS(Bloki1[WB],Bloki1[Nazwa zawodnika],$B44,Bloki1[Skill],L$34)&gt;0,AVERAGEIFS(Bloki1[WB],Bloki1[Nazwa zawodnika],$B44,Bloki1[Skill],L$34),VLOOKUP(INDEX(JuniorstwoRandom[],MATCH($A44,$A$3:$A$23,0),COLUMN(L$2)),Szacunki[],2,FALSE)),"-")</f>
        <v>7</v>
      </c>
      <c r="M44" s="57">
        <f ca="1">IFERROR(IF(SUMIFS(Bloki1[WB],Bloki1[Nazwa zawodnika],$B44,Bloki1[Skill],M$34)&gt;0,AVERAGEIFS(Bloki1[WB],Bloki1[Nazwa zawodnika],$B44,Bloki1[Skill],M$34),VLOOKUP(INDEX(JuniorstwoRandom[],MATCH($A44,$A$3:$A$23,0),COLUMN(M$2)),Szacunki[],2,FALSE)),"-")</f>
        <v>7</v>
      </c>
      <c r="N44">
        <v>10</v>
      </c>
      <c r="O44" s="26">
        <f t="shared" ca="1" si="1"/>
        <v>76</v>
      </c>
    </row>
    <row r="45" spans="1:15" x14ac:dyDescent="0.25">
      <c r="A45" s="39">
        <f t="shared" si="0"/>
        <v>51</v>
      </c>
      <c r="B45" s="3" t="str">
        <f>IFERROR(VLOOKUP(JuniorzyNegatyw[[#This Row],[Numer]],Zawodnicy[],2,FALSE),"-")</f>
        <v>Radoslaw Cichowski</v>
      </c>
      <c r="C45" s="57">
        <f ca="1">IFERROR(IF(SUMIFS(Bloki1[WB],Bloki1[Nazwa zawodnika],$B45,Bloki1[Skill],C$34)&gt;0,AVERAGEIFS(Bloki1[WB],Bloki1[Nazwa zawodnika],$B45,Bloki1[Skill],C$34),VLOOKUP(INDEX(JuniorstwoRandom[],MATCH($A45,$A$3:$A$23,0),COLUMN(C$2)),Szacunki[],2,FALSE)),"-")</f>
        <v>7</v>
      </c>
      <c r="D45" s="57">
        <f ca="1">IFERROR(IF(SUMIFS(Bloki1[WB],Bloki1[Nazwa zawodnika],$B45,Bloki1[Skill],D$34)&gt;0,AVERAGEIFS(Bloki1[WB],Bloki1[Nazwa zawodnika],$B45,Bloki1[Skill],D$34),VLOOKUP(INDEX(JuniorstwoRandom[],MATCH($A45,$A$3:$A$23,0),COLUMN(D$2)),Szacunki[],2,FALSE)),"-")</f>
        <v>8</v>
      </c>
      <c r="E45" s="57">
        <f ca="1">IFERROR(IF(SUMIFS(Bloki1[WB],Bloki1[Nazwa zawodnika],$B45,Bloki1[Skill],E$34)&gt;0,AVERAGEIFS(Bloki1[WB],Bloki1[Nazwa zawodnika],$B45,Bloki1[Skill],E$34),VLOOKUP(INDEX(JuniorstwoRandom[],MATCH($A45,$A$3:$A$23,0),COLUMN(E$2)),Szacunki[],2,FALSE)),"-")</f>
        <v>7</v>
      </c>
      <c r="F45" s="57">
        <f ca="1">IFERROR(IF(SUMIFS(Bloki1[WB],Bloki1[Nazwa zawodnika],$B45,Bloki1[Skill],F$34)&gt;0,AVERAGEIFS(Bloki1[WB],Bloki1[Nazwa zawodnika],$B45,Bloki1[Skill],F$34),VLOOKUP(INDEX(JuniorstwoRandom[],MATCH($A45,$A$3:$A$23,0),COLUMN(F$2)),Szacunki[],2,FALSE)),"-")</f>
        <v>7</v>
      </c>
      <c r="G45" s="57">
        <f ca="1">IFERROR(IF(SUMIFS(Bloki1[WB],Bloki1[Nazwa zawodnika],$B45,Bloki1[Skill],G$34)&gt;0,AVERAGEIFS(Bloki1[WB],Bloki1[Nazwa zawodnika],$B45,Bloki1[Skill],G$34),VLOOKUP(INDEX(JuniorstwoRandom[],MATCH($A45,$A$3:$A$23,0),COLUMN(G$2)),Szacunki[],2,FALSE)),"-")</f>
        <v>6</v>
      </c>
      <c r="H45" s="57">
        <f ca="1">IFERROR(IF(SUMIFS(Bloki1[WB],Bloki1[Nazwa zawodnika],$B45,Bloki1[Skill],H$34)&gt;0,AVERAGEIFS(Bloki1[WB],Bloki1[Nazwa zawodnika],$B45,Bloki1[Skill],H$34),VLOOKUP(INDEX(JuniorstwoRandom[],MATCH($A45,$A$3:$A$23,0),COLUMN(H$2)),Szacunki[],2,FALSE)),"-")</f>
        <v>7</v>
      </c>
      <c r="I45" s="57">
        <f ca="1">IFERROR(IF(SUMIFS(Bloki1[WB],Bloki1[Nazwa zawodnika],$B45,Bloki1[Skill],I$34)&gt;0,AVERAGEIFS(Bloki1[WB],Bloki1[Nazwa zawodnika],$B45,Bloki1[Skill],I$34),VLOOKUP(INDEX(JuniorstwoRandom[],MATCH($A45,$A$3:$A$23,0),COLUMN(I$2)),Szacunki[],4,FALSE)),"-")</f>
        <v>5</v>
      </c>
      <c r="J45" s="57">
        <f ca="1">IFERROR(IF(SUMIFS(Bloki1[WB],Bloki1[Nazwa zawodnika],$B45,Bloki1[Skill],J$34)&gt;0,AVERAGEIFS(Bloki1[WB],Bloki1[Nazwa zawodnika],$B45,Bloki1[Skill],J$34),VLOOKUP(INDEX(JuniorstwoRandom[],MATCH($A45,$A$3:$A$23,0),COLUMN(J$2)),Szacunki[],2,FALSE)),"-")</f>
        <v>7</v>
      </c>
      <c r="K45" s="57">
        <f ca="1">IFERROR(IF(SUMIFS(Bloki1[WB],Bloki1[Nazwa zawodnika],$B45,Bloki1[Skill],K$34)&gt;0,AVERAGEIFS(Bloki1[WB],Bloki1[Nazwa zawodnika],$B45,Bloki1[Skill],K$34),VLOOKUP(INDEX(JuniorstwoRandom[],MATCH($A45,$A$3:$A$23,0),COLUMN(K$2)),Szacunki[],2,FALSE)),"-")</f>
        <v>8</v>
      </c>
      <c r="L45" s="57">
        <f ca="1">IFERROR(IF(SUMIFS(Bloki1[WB],Bloki1[Nazwa zawodnika],$B45,Bloki1[Skill],L$34)&gt;0,AVERAGEIFS(Bloki1[WB],Bloki1[Nazwa zawodnika],$B45,Bloki1[Skill],L$34),VLOOKUP(INDEX(JuniorstwoRandom[],MATCH($A45,$A$3:$A$23,0),COLUMN(L$2)),Szacunki[],2,FALSE)),"-")</f>
        <v>7</v>
      </c>
      <c r="M45" s="57">
        <f ca="1">IFERROR(IF(SUMIFS(Bloki1[WB],Bloki1[Nazwa zawodnika],$B45,Bloki1[Skill],M$34)&gt;0,AVERAGEIFS(Bloki1[WB],Bloki1[Nazwa zawodnika],$B45,Bloki1[Skill],M$34),VLOOKUP(INDEX(JuniorstwoRandom[],MATCH($A45,$A$3:$A$23,0),COLUMN(M$2)),Szacunki[],2,FALSE)),"-")</f>
        <v>7</v>
      </c>
      <c r="N45">
        <v>10</v>
      </c>
      <c r="O45" s="26">
        <f t="shared" ca="1" si="1"/>
        <v>76</v>
      </c>
    </row>
    <row r="46" spans="1:15" x14ac:dyDescent="0.25">
      <c r="A46" s="39">
        <f t="shared" si="0"/>
        <v>52</v>
      </c>
      <c r="B46" s="3" t="str">
        <f>IFERROR(VLOOKUP(JuniorzyNegatyw[[#This Row],[Numer]],Zawodnicy[],2,FALSE),"-")</f>
        <v>Roland Danisiewicz</v>
      </c>
      <c r="C46" s="57">
        <f ca="1">IFERROR(IF(SUMIFS(Bloki1[WB],Bloki1[Nazwa zawodnika],$B46,Bloki1[Skill],C$34)&gt;0,AVERAGEIFS(Bloki1[WB],Bloki1[Nazwa zawodnika],$B46,Bloki1[Skill],C$34),VLOOKUP(INDEX(JuniorstwoRandom[],MATCH($A46,$A$3:$A$23,0),COLUMN(C$2)),Szacunki[],2,FALSE)),"-")</f>
        <v>7</v>
      </c>
      <c r="D46" s="57">
        <f ca="1">IFERROR(IF(SUMIFS(Bloki1[WB],Bloki1[Nazwa zawodnika],$B46,Bloki1[Skill],D$34)&gt;0,AVERAGEIFS(Bloki1[WB],Bloki1[Nazwa zawodnika],$B46,Bloki1[Skill],D$34),VLOOKUP(INDEX(JuniorstwoRandom[],MATCH($A46,$A$3:$A$23,0),COLUMN(D$2)),Szacunki[],2,FALSE)),"-")</f>
        <v>7</v>
      </c>
      <c r="E46" s="57">
        <f ca="1">IFERROR(IF(SUMIFS(Bloki1[WB],Bloki1[Nazwa zawodnika],$B46,Bloki1[Skill],E$34)&gt;0,AVERAGEIFS(Bloki1[WB],Bloki1[Nazwa zawodnika],$B46,Bloki1[Skill],E$34),VLOOKUP(INDEX(JuniorstwoRandom[],MATCH($A46,$A$3:$A$23,0),COLUMN(E$2)),Szacunki[],2,FALSE)),"-")</f>
        <v>7</v>
      </c>
      <c r="F46" s="57">
        <f ca="1">IFERROR(IF(SUMIFS(Bloki1[WB],Bloki1[Nazwa zawodnika],$B46,Bloki1[Skill],F$34)&gt;0,AVERAGEIFS(Bloki1[WB],Bloki1[Nazwa zawodnika],$B46,Bloki1[Skill],F$34),VLOOKUP(INDEX(JuniorstwoRandom[],MATCH($A46,$A$3:$A$23,0),COLUMN(F$2)),Szacunki[],2,FALSE)),"-")</f>
        <v>7</v>
      </c>
      <c r="G46" s="57">
        <f ca="1">IFERROR(IF(SUMIFS(Bloki1[WB],Bloki1[Nazwa zawodnika],$B46,Bloki1[Skill],G$34)&gt;0,AVERAGEIFS(Bloki1[WB],Bloki1[Nazwa zawodnika],$B46,Bloki1[Skill],G$34),VLOOKUP(INDEX(JuniorstwoRandom[],MATCH($A46,$A$3:$A$23,0),COLUMN(G$2)),Szacunki[],2,FALSE)),"-")</f>
        <v>8</v>
      </c>
      <c r="H46" s="57">
        <f ca="1">IFERROR(IF(SUMIFS(Bloki1[WB],Bloki1[Nazwa zawodnika],$B46,Bloki1[Skill],H$34)&gt;0,AVERAGEIFS(Bloki1[WB],Bloki1[Nazwa zawodnika],$B46,Bloki1[Skill],H$34),VLOOKUP(INDEX(JuniorstwoRandom[],MATCH($A46,$A$3:$A$23,0),COLUMN(H$2)),Szacunki[],2,FALSE)),"-")</f>
        <v>7</v>
      </c>
      <c r="I46" s="57">
        <f ca="1">IFERROR(IF(SUMIFS(Bloki1[WB],Bloki1[Nazwa zawodnika],$B46,Bloki1[Skill],I$34)&gt;0,AVERAGEIFS(Bloki1[WB],Bloki1[Nazwa zawodnika],$B46,Bloki1[Skill],I$34),VLOOKUP(INDEX(JuniorstwoRandom[],MATCH($A46,$A$3:$A$23,0),COLUMN(I$2)),Szacunki[],4,FALSE)),"-")</f>
        <v>5</v>
      </c>
      <c r="J46" s="57">
        <f ca="1">IFERROR(IF(SUMIFS(Bloki1[WB],Bloki1[Nazwa zawodnika],$B46,Bloki1[Skill],J$34)&gt;0,AVERAGEIFS(Bloki1[WB],Bloki1[Nazwa zawodnika],$B46,Bloki1[Skill],J$34),VLOOKUP(INDEX(JuniorstwoRandom[],MATCH($A46,$A$3:$A$23,0),COLUMN(J$2)),Szacunki[],2,FALSE)),"-")</f>
        <v>7</v>
      </c>
      <c r="K46" s="57">
        <f ca="1">IFERROR(IF(SUMIFS(Bloki1[WB],Bloki1[Nazwa zawodnika],$B46,Bloki1[Skill],K$34)&gt;0,AVERAGEIFS(Bloki1[WB],Bloki1[Nazwa zawodnika],$B46,Bloki1[Skill],K$34),VLOOKUP(INDEX(JuniorstwoRandom[],MATCH($A46,$A$3:$A$23,0),COLUMN(K$2)),Szacunki[],2,FALSE)),"-")</f>
        <v>6</v>
      </c>
      <c r="L46" s="57">
        <f ca="1">IFERROR(IF(SUMIFS(Bloki1[WB],Bloki1[Nazwa zawodnika],$B46,Bloki1[Skill],L$34)&gt;0,AVERAGEIFS(Bloki1[WB],Bloki1[Nazwa zawodnika],$B46,Bloki1[Skill],L$34),VLOOKUP(INDEX(JuniorstwoRandom[],MATCH($A46,$A$3:$A$23,0),COLUMN(L$2)),Szacunki[],2,FALSE)),"-")</f>
        <v>7</v>
      </c>
      <c r="M46" s="57">
        <f ca="1">IFERROR(IF(SUMIFS(Bloki1[WB],Bloki1[Nazwa zawodnika],$B46,Bloki1[Skill],M$34)&gt;0,AVERAGEIFS(Bloki1[WB],Bloki1[Nazwa zawodnika],$B46,Bloki1[Skill],M$34),VLOOKUP(INDEX(JuniorstwoRandom[],MATCH($A46,$A$3:$A$23,0),COLUMN(M$2)),Szacunki[],2,FALSE)),"-")</f>
        <v>8</v>
      </c>
      <c r="N46">
        <v>10</v>
      </c>
      <c r="O46" s="26">
        <f t="shared" ca="1" si="1"/>
        <v>76</v>
      </c>
    </row>
    <row r="47" spans="1:15" x14ac:dyDescent="0.25">
      <c r="A47" s="39">
        <f t="shared" si="0"/>
        <v>53</v>
      </c>
      <c r="B47" s="3" t="str">
        <f>IFERROR(VLOOKUP(JuniorzyNegatyw[[#This Row],[Numer]],Zawodnicy[],2,FALSE),"-")</f>
        <v>Cyryl Huratiak</v>
      </c>
      <c r="C47" s="57">
        <f ca="1">IFERROR(IF(SUMIFS(Bloki1[WB],Bloki1[Nazwa zawodnika],$B47,Bloki1[Skill],C$34)&gt;0,AVERAGEIFS(Bloki1[WB],Bloki1[Nazwa zawodnika],$B47,Bloki1[Skill],C$34),VLOOKUP(INDEX(JuniorstwoRandom[],MATCH($A47,$A$3:$A$23,0),COLUMN(C$2)),Szacunki[],2,FALSE)),"-")</f>
        <v>7</v>
      </c>
      <c r="D47" s="57">
        <f ca="1">IFERROR(IF(SUMIFS(Bloki1[WB],Bloki1[Nazwa zawodnika],$B47,Bloki1[Skill],D$34)&gt;0,AVERAGEIFS(Bloki1[WB],Bloki1[Nazwa zawodnika],$B47,Bloki1[Skill],D$34),VLOOKUP(INDEX(JuniorstwoRandom[],MATCH($A47,$A$3:$A$23,0),COLUMN(D$2)),Szacunki[],2,FALSE)),"-")</f>
        <v>6</v>
      </c>
      <c r="E47" s="57">
        <f ca="1">IFERROR(IF(SUMIFS(Bloki1[WB],Bloki1[Nazwa zawodnika],$B47,Bloki1[Skill],E$34)&gt;0,AVERAGEIFS(Bloki1[WB],Bloki1[Nazwa zawodnika],$B47,Bloki1[Skill],E$34),VLOOKUP(INDEX(JuniorstwoRandom[],MATCH($A47,$A$3:$A$23,0),COLUMN(E$2)),Szacunki[],2,FALSE)),"-")</f>
        <v>8</v>
      </c>
      <c r="F47" s="57">
        <f ca="1">IFERROR(IF(SUMIFS(Bloki1[WB],Bloki1[Nazwa zawodnika],$B47,Bloki1[Skill],F$34)&gt;0,AVERAGEIFS(Bloki1[WB],Bloki1[Nazwa zawodnika],$B47,Bloki1[Skill],F$34),VLOOKUP(INDEX(JuniorstwoRandom[],MATCH($A47,$A$3:$A$23,0),COLUMN(F$2)),Szacunki[],2,FALSE)),"-")</f>
        <v>7</v>
      </c>
      <c r="G47" s="57">
        <f ca="1">IFERROR(IF(SUMIFS(Bloki1[WB],Bloki1[Nazwa zawodnika],$B47,Bloki1[Skill],G$34)&gt;0,AVERAGEIFS(Bloki1[WB],Bloki1[Nazwa zawodnika],$B47,Bloki1[Skill],G$34),VLOOKUP(INDEX(JuniorstwoRandom[],MATCH($A47,$A$3:$A$23,0),COLUMN(G$2)),Szacunki[],2,FALSE)),"-")</f>
        <v>6</v>
      </c>
      <c r="H47" s="57">
        <f ca="1">IFERROR(IF(SUMIFS(Bloki1[WB],Bloki1[Nazwa zawodnika],$B47,Bloki1[Skill],H$34)&gt;0,AVERAGEIFS(Bloki1[WB],Bloki1[Nazwa zawodnika],$B47,Bloki1[Skill],H$34),VLOOKUP(INDEX(JuniorstwoRandom[],MATCH($A47,$A$3:$A$23,0),COLUMN(H$2)),Szacunki[],2,FALSE)),"-")</f>
        <v>7</v>
      </c>
      <c r="I47" s="57">
        <f ca="1">IFERROR(IF(SUMIFS(Bloki1[WB],Bloki1[Nazwa zawodnika],$B47,Bloki1[Skill],I$34)&gt;0,AVERAGEIFS(Bloki1[WB],Bloki1[Nazwa zawodnika],$B47,Bloki1[Skill],I$34),VLOOKUP(INDEX(JuniorstwoRandom[],MATCH($A47,$A$3:$A$23,0),COLUMN(I$2)),Szacunki[],4,FALSE)),"-")</f>
        <v>6</v>
      </c>
      <c r="J47" s="57">
        <f ca="1">IFERROR(IF(SUMIFS(Bloki1[WB],Bloki1[Nazwa zawodnika],$B47,Bloki1[Skill],J$34)&gt;0,AVERAGEIFS(Bloki1[WB],Bloki1[Nazwa zawodnika],$B47,Bloki1[Skill],J$34),VLOOKUP(INDEX(JuniorstwoRandom[],MATCH($A47,$A$3:$A$23,0),COLUMN(J$2)),Szacunki[],2,FALSE)),"-")</f>
        <v>7</v>
      </c>
      <c r="K47" s="57">
        <f ca="1">IFERROR(IF(SUMIFS(Bloki1[WB],Bloki1[Nazwa zawodnika],$B47,Bloki1[Skill],K$34)&gt;0,AVERAGEIFS(Bloki1[WB],Bloki1[Nazwa zawodnika],$B47,Bloki1[Skill],K$34),VLOOKUP(INDEX(JuniorstwoRandom[],MATCH($A47,$A$3:$A$23,0),COLUMN(K$2)),Szacunki[],2,FALSE)),"-")</f>
        <v>8</v>
      </c>
      <c r="L47" s="57">
        <f ca="1">IFERROR(IF(SUMIFS(Bloki1[WB],Bloki1[Nazwa zawodnika],$B47,Bloki1[Skill],L$34)&gt;0,AVERAGEIFS(Bloki1[WB],Bloki1[Nazwa zawodnika],$B47,Bloki1[Skill],L$34),VLOOKUP(INDEX(JuniorstwoRandom[],MATCH($A47,$A$3:$A$23,0),COLUMN(L$2)),Szacunki[],2,FALSE)),"-")</f>
        <v>7</v>
      </c>
      <c r="M47" s="57">
        <f ca="1">IFERROR(IF(SUMIFS(Bloki1[WB],Bloki1[Nazwa zawodnika],$B47,Bloki1[Skill],M$34)&gt;0,AVERAGEIFS(Bloki1[WB],Bloki1[Nazwa zawodnika],$B47,Bloki1[Skill],M$34),VLOOKUP(INDEX(JuniorstwoRandom[],MATCH($A47,$A$3:$A$23,0),COLUMN(M$2)),Szacunki[],2,FALSE)),"-")</f>
        <v>7</v>
      </c>
      <c r="N47">
        <v>10</v>
      </c>
      <c r="O47" s="26">
        <f t="shared" ca="1" si="1"/>
        <v>76</v>
      </c>
    </row>
    <row r="48" spans="1:15" x14ac:dyDescent="0.25">
      <c r="A48" s="39">
        <f t="shared" si="0"/>
        <v>22</v>
      </c>
      <c r="B48" s="3" t="str">
        <f>IFERROR(VLOOKUP(JuniorzyNegatyw[[#This Row],[Numer]],Zawodnicy[],2,FALSE),"-")</f>
        <v>Daniel Dziewulski</v>
      </c>
      <c r="C48" s="57">
        <f ca="1">IFERROR(IF(SUMIFS(Bloki1[WB],Bloki1[Nazwa zawodnika],$B48,Bloki1[Skill],C$34)&gt;0,AVERAGEIFS(Bloki1[WB],Bloki1[Nazwa zawodnika],$B48,Bloki1[Skill],C$34),VLOOKUP(INDEX(JuniorstwoRandom[],MATCH($A48,$A$3:$A$23,0),COLUMN(C$2)),Szacunki[],2,FALSE)),"-")</f>
        <v>8</v>
      </c>
      <c r="D48" s="57">
        <f ca="1">IFERROR(IF(SUMIFS(Bloki1[WB],Bloki1[Nazwa zawodnika],$B48,Bloki1[Skill],D$34)&gt;0,AVERAGEIFS(Bloki1[WB],Bloki1[Nazwa zawodnika],$B48,Bloki1[Skill],D$34),VLOOKUP(INDEX(JuniorstwoRandom[],MATCH($A48,$A$3:$A$23,0),COLUMN(D$2)),Szacunki[],2,FALSE)),"-")</f>
        <v>6</v>
      </c>
      <c r="E48" s="57">
        <f ca="1">IFERROR(IF(SUMIFS(Bloki1[WB],Bloki1[Nazwa zawodnika],$B48,Bloki1[Skill],E$34)&gt;0,AVERAGEIFS(Bloki1[WB],Bloki1[Nazwa zawodnika],$B48,Bloki1[Skill],E$34),VLOOKUP(INDEX(JuniorstwoRandom[],MATCH($A48,$A$3:$A$23,0),COLUMN(E$2)),Szacunki[],2,FALSE)),"-")</f>
        <v>4</v>
      </c>
      <c r="F48" s="57">
        <f ca="1">IFERROR(IF(SUMIFS(Bloki1[WB],Bloki1[Nazwa zawodnika],$B48,Bloki1[Skill],F$34)&gt;0,AVERAGEIFS(Bloki1[WB],Bloki1[Nazwa zawodnika],$B48,Bloki1[Skill],F$34),VLOOKUP(INDEX(JuniorstwoRandom[],MATCH($A48,$A$3:$A$23,0),COLUMN(F$2)),Szacunki[],2,FALSE)),"-")</f>
        <v>6</v>
      </c>
      <c r="G48" s="57">
        <f ca="1">IFERROR(IF(SUMIFS(Bloki1[WB],Bloki1[Nazwa zawodnika],$B48,Bloki1[Skill],G$34)&gt;0,AVERAGEIFS(Bloki1[WB],Bloki1[Nazwa zawodnika],$B48,Bloki1[Skill],G$34),VLOOKUP(INDEX(JuniorstwoRandom[],MATCH($A48,$A$3:$A$23,0),COLUMN(G$2)),Szacunki[],2,FALSE)),"-")</f>
        <v>7</v>
      </c>
      <c r="H48" s="57">
        <f ca="1">IFERROR(IF(SUMIFS(Bloki1[WB],Bloki1[Nazwa zawodnika],$B48,Bloki1[Skill],H$34)&gt;0,AVERAGEIFS(Bloki1[WB],Bloki1[Nazwa zawodnika],$B48,Bloki1[Skill],H$34),VLOOKUP(INDEX(JuniorstwoRandom[],MATCH($A48,$A$3:$A$23,0),COLUMN(H$2)),Szacunki[],2,FALSE)),"-")</f>
        <v>7</v>
      </c>
      <c r="I48" s="57">
        <f ca="1">IFERROR(IF(SUMIFS(Bloki1[WB],Bloki1[Nazwa zawodnika],$B48,Bloki1[Skill],I$34)&gt;0,AVERAGEIFS(Bloki1[WB],Bloki1[Nazwa zawodnika],$B48,Bloki1[Skill],I$34),VLOOKUP(INDEX(JuniorstwoRandom[],MATCH($A48,$A$3:$A$23,0),COLUMN(I$2)),Szacunki[],4,FALSE)),"-")</f>
        <v>4</v>
      </c>
      <c r="J48" s="57">
        <f ca="1">IFERROR(IF(SUMIFS(Bloki1[WB],Bloki1[Nazwa zawodnika],$B48,Bloki1[Skill],J$34)&gt;0,AVERAGEIFS(Bloki1[WB],Bloki1[Nazwa zawodnika],$B48,Bloki1[Skill],J$34),VLOOKUP(INDEX(JuniorstwoRandom[],MATCH($A48,$A$3:$A$23,0),COLUMN(J$2)),Szacunki[],2,FALSE)),"-")</f>
        <v>7</v>
      </c>
      <c r="K48" s="57">
        <f ca="1">IFERROR(IF(SUMIFS(Bloki1[WB],Bloki1[Nazwa zawodnika],$B48,Bloki1[Skill],K$34)&gt;0,AVERAGEIFS(Bloki1[WB],Bloki1[Nazwa zawodnika],$B48,Bloki1[Skill],K$34),VLOOKUP(INDEX(JuniorstwoRandom[],MATCH($A48,$A$3:$A$23,0),COLUMN(K$2)),Szacunki[],2,FALSE)),"-")</f>
        <v>4</v>
      </c>
      <c r="L48" s="57">
        <f ca="1">IFERROR(IF(SUMIFS(Bloki1[WB],Bloki1[Nazwa zawodnika],$B48,Bloki1[Skill],L$34)&gt;0,AVERAGEIFS(Bloki1[WB],Bloki1[Nazwa zawodnika],$B48,Bloki1[Skill],L$34),VLOOKUP(INDEX(JuniorstwoRandom[],MATCH($A48,$A$3:$A$23,0),COLUMN(L$2)),Szacunki[],2,FALSE)),"-")</f>
        <v>7</v>
      </c>
      <c r="M48" s="57">
        <f ca="1">IFERROR(IF(SUMIFS(Bloki1[WB],Bloki1[Nazwa zawodnika],$B48,Bloki1[Skill],M$34)&gt;0,AVERAGEIFS(Bloki1[WB],Bloki1[Nazwa zawodnika],$B48,Bloki1[Skill],M$34),VLOOKUP(INDEX(JuniorstwoRandom[],MATCH($A48,$A$3:$A$23,0),COLUMN(M$2)),Szacunki[],2,FALSE)),"-")</f>
        <v>8</v>
      </c>
      <c r="N48">
        <v>10</v>
      </c>
      <c r="O48" s="26">
        <f t="shared" ca="1" si="1"/>
        <v>68</v>
      </c>
    </row>
    <row r="49" spans="1:15" x14ac:dyDescent="0.25">
      <c r="A49" s="39">
        <f t="shared" si="0"/>
        <v>25</v>
      </c>
      <c r="B49" s="3" t="str">
        <f>IFERROR(VLOOKUP(JuniorzyNegatyw[[#This Row],[Numer]],Zawodnicy[],2,FALSE),"-")</f>
        <v>Jakub Ludwiczak</v>
      </c>
      <c r="C49" s="57">
        <f ca="1">IFERROR(IF(SUMIFS(Bloki1[WB],Bloki1[Nazwa zawodnika],$B49,Bloki1[Skill],C$34)&gt;0,AVERAGEIFS(Bloki1[WB],Bloki1[Nazwa zawodnika],$B49,Bloki1[Skill],C$34),VLOOKUP(INDEX(JuniorstwoRandom[],MATCH($A49,$A$3:$A$23,0),COLUMN(C$2)),Szacunki[],2,FALSE)),"-")</f>
        <v>7</v>
      </c>
      <c r="D49" s="57">
        <f ca="1">IFERROR(IF(SUMIFS(Bloki1[WB],Bloki1[Nazwa zawodnika],$B49,Bloki1[Skill],D$34)&gt;0,AVERAGEIFS(Bloki1[WB],Bloki1[Nazwa zawodnika],$B49,Bloki1[Skill],D$34),VLOOKUP(INDEX(JuniorstwoRandom[],MATCH($A49,$A$3:$A$23,0),COLUMN(D$2)),Szacunki[],2,FALSE)),"-")</f>
        <v>6</v>
      </c>
      <c r="E49" s="57">
        <f ca="1">IFERROR(IF(SUMIFS(Bloki1[WB],Bloki1[Nazwa zawodnika],$B49,Bloki1[Skill],E$34)&gt;0,AVERAGEIFS(Bloki1[WB],Bloki1[Nazwa zawodnika],$B49,Bloki1[Skill],E$34),VLOOKUP(INDEX(JuniorstwoRandom[],MATCH($A49,$A$3:$A$23,0),COLUMN(E$2)),Szacunki[],2,FALSE)),"-")</f>
        <v>8</v>
      </c>
      <c r="F49" s="57">
        <f ca="1">IFERROR(IF(SUMIFS(Bloki1[WB],Bloki1[Nazwa zawodnika],$B49,Bloki1[Skill],F$34)&gt;0,AVERAGEIFS(Bloki1[WB],Bloki1[Nazwa zawodnika],$B49,Bloki1[Skill],F$34),VLOOKUP(INDEX(JuniorstwoRandom[],MATCH($A49,$A$3:$A$23,0),COLUMN(F$2)),Szacunki[],2,FALSE)),"-")</f>
        <v>7</v>
      </c>
      <c r="G49" s="57">
        <f ca="1">IFERROR(IF(SUMIFS(Bloki1[WB],Bloki1[Nazwa zawodnika],$B49,Bloki1[Skill],G$34)&gt;0,AVERAGEIFS(Bloki1[WB],Bloki1[Nazwa zawodnika],$B49,Bloki1[Skill],G$34),VLOOKUP(INDEX(JuniorstwoRandom[],MATCH($A49,$A$3:$A$23,0),COLUMN(G$2)),Szacunki[],2,FALSE)),"-")</f>
        <v>7</v>
      </c>
      <c r="H49" s="57">
        <f ca="1">IFERROR(IF(SUMIFS(Bloki1[WB],Bloki1[Nazwa zawodnika],$B49,Bloki1[Skill],H$34)&gt;0,AVERAGEIFS(Bloki1[WB],Bloki1[Nazwa zawodnika],$B49,Bloki1[Skill],H$34),VLOOKUP(INDEX(JuniorstwoRandom[],MATCH($A49,$A$3:$A$23,0),COLUMN(H$2)),Szacunki[],2,FALSE)),"-")</f>
        <v>7</v>
      </c>
      <c r="I49" s="57">
        <f ca="1">IFERROR(IF(SUMIFS(Bloki1[WB],Bloki1[Nazwa zawodnika],$B49,Bloki1[Skill],I$34)&gt;0,AVERAGEIFS(Bloki1[WB],Bloki1[Nazwa zawodnika],$B49,Bloki1[Skill],I$34),VLOOKUP(INDEX(JuniorstwoRandom[],MATCH($A49,$A$3:$A$23,0),COLUMN(I$2)),Szacunki[],4,FALSE)),"-")</f>
        <v>6</v>
      </c>
      <c r="J49" s="57">
        <f ca="1">IFERROR(IF(SUMIFS(Bloki1[WB],Bloki1[Nazwa zawodnika],$B49,Bloki1[Skill],J$34)&gt;0,AVERAGEIFS(Bloki1[WB],Bloki1[Nazwa zawodnika],$B49,Bloki1[Skill],J$34),VLOOKUP(INDEX(JuniorstwoRandom[],MATCH($A49,$A$3:$A$23,0),COLUMN(J$2)),Szacunki[],2,FALSE)),"-")</f>
        <v>8</v>
      </c>
      <c r="K49" s="57">
        <f ca="1">IFERROR(IF(SUMIFS(Bloki1[WB],Bloki1[Nazwa zawodnika],$B49,Bloki1[Skill],K$34)&gt;0,AVERAGEIFS(Bloki1[WB],Bloki1[Nazwa zawodnika],$B49,Bloki1[Skill],K$34),VLOOKUP(INDEX(JuniorstwoRandom[],MATCH($A49,$A$3:$A$23,0),COLUMN(K$2)),Szacunki[],2,FALSE)),"-")</f>
        <v>6</v>
      </c>
      <c r="L49" s="57">
        <f ca="1">IFERROR(IF(SUMIFS(Bloki1[WB],Bloki1[Nazwa zawodnika],$B49,Bloki1[Skill],L$34)&gt;0,AVERAGEIFS(Bloki1[WB],Bloki1[Nazwa zawodnika],$B49,Bloki1[Skill],L$34),VLOOKUP(INDEX(JuniorstwoRandom[],MATCH($A49,$A$3:$A$23,0),COLUMN(L$2)),Szacunki[],2,FALSE)),"-")</f>
        <v>7</v>
      </c>
      <c r="M49" s="57">
        <f ca="1">IFERROR(IF(SUMIFS(Bloki1[WB],Bloki1[Nazwa zawodnika],$B49,Bloki1[Skill],M$34)&gt;0,AVERAGEIFS(Bloki1[WB],Bloki1[Nazwa zawodnika],$B49,Bloki1[Skill],M$34),VLOOKUP(INDEX(JuniorstwoRandom[],MATCH($A49,$A$3:$A$23,0),COLUMN(M$2)),Szacunki[],2,FALSE)),"-")</f>
        <v>7</v>
      </c>
      <c r="N49">
        <v>10</v>
      </c>
      <c r="O49" s="26">
        <f ca="1">SUM(C49:M49)</f>
        <v>76</v>
      </c>
    </row>
    <row r="50" spans="1:15" x14ac:dyDescent="0.25">
      <c r="A50" s="39">
        <f t="shared" si="0"/>
        <v>26</v>
      </c>
      <c r="B50" s="3" t="str">
        <f>IFERROR(VLOOKUP(JuniorzyNegatyw[[#This Row],[Numer]],Zawodnicy[],2,FALSE),"-")</f>
        <v>Ignacy Lato</v>
      </c>
      <c r="C50" s="57">
        <f ca="1">IFERROR(IF(SUMIFS(Bloki1[WB],Bloki1[Nazwa zawodnika],$B50,Bloki1[Skill],C$34)&gt;0,AVERAGEIFS(Bloki1[WB],Bloki1[Nazwa zawodnika],$B50,Bloki1[Skill],C$34),VLOOKUP(INDEX(JuniorstwoRandom[],MATCH($A50,$A$3:$A$23,0),COLUMN(C$2)),Szacunki[],2,FALSE)),"-")</f>
        <v>7</v>
      </c>
      <c r="D50" s="57">
        <f ca="1">IFERROR(IF(SUMIFS(Bloki1[WB],Bloki1[Nazwa zawodnika],$B50,Bloki1[Skill],D$34)&gt;0,AVERAGEIFS(Bloki1[WB],Bloki1[Nazwa zawodnika],$B50,Bloki1[Skill],D$34),VLOOKUP(INDEX(JuniorstwoRandom[],MATCH($A50,$A$3:$A$23,0),COLUMN(D$2)),Szacunki[],2,FALSE)),"-")</f>
        <v>6</v>
      </c>
      <c r="E50" s="57">
        <f ca="1">IFERROR(IF(SUMIFS(Bloki1[WB],Bloki1[Nazwa zawodnika],$B50,Bloki1[Skill],E$34)&gt;0,AVERAGEIFS(Bloki1[WB],Bloki1[Nazwa zawodnika],$B50,Bloki1[Skill],E$34),VLOOKUP(INDEX(JuniorstwoRandom[],MATCH($A50,$A$3:$A$23,0),COLUMN(E$2)),Szacunki[],2,FALSE)),"-")</f>
        <v>7</v>
      </c>
      <c r="F50" s="57">
        <f ca="1">IFERROR(IF(SUMIFS(Bloki1[WB],Bloki1[Nazwa zawodnika],$B50,Bloki1[Skill],F$34)&gt;0,AVERAGEIFS(Bloki1[WB],Bloki1[Nazwa zawodnika],$B50,Bloki1[Skill],F$34),VLOOKUP(INDEX(JuniorstwoRandom[],MATCH($A50,$A$3:$A$23,0),COLUMN(F$2)),Szacunki[],2,FALSE)),"-")</f>
        <v>7</v>
      </c>
      <c r="G50" s="57">
        <f ca="1">IFERROR(IF(SUMIFS(Bloki1[WB],Bloki1[Nazwa zawodnika],$B50,Bloki1[Skill],G$34)&gt;0,AVERAGEIFS(Bloki1[WB],Bloki1[Nazwa zawodnika],$B50,Bloki1[Skill],G$34),VLOOKUP(INDEX(JuniorstwoRandom[],MATCH($A50,$A$3:$A$23,0),COLUMN(G$2)),Szacunki[],2,FALSE)),"-")</f>
        <v>7</v>
      </c>
      <c r="H50" s="57">
        <f ca="1">IFERROR(IF(SUMIFS(Bloki1[WB],Bloki1[Nazwa zawodnika],$B50,Bloki1[Skill],H$34)&gt;0,AVERAGEIFS(Bloki1[WB],Bloki1[Nazwa zawodnika],$B50,Bloki1[Skill],H$34),VLOOKUP(INDEX(JuniorstwoRandom[],MATCH($A50,$A$3:$A$23,0),COLUMN(H$2)),Szacunki[],2,FALSE)),"-")</f>
        <v>8</v>
      </c>
      <c r="I50" s="57">
        <f ca="1">IFERROR(IF(SUMIFS(Bloki1[WB],Bloki1[Nazwa zawodnika],$B50,Bloki1[Skill],I$34)&gt;0,AVERAGEIFS(Bloki1[WB],Bloki1[Nazwa zawodnika],$B50,Bloki1[Skill],I$34),VLOOKUP(INDEX(JuniorstwoRandom[],MATCH($A50,$A$3:$A$23,0),COLUMN(I$2)),Szacunki[],4,FALSE)),"-")</f>
        <v>6</v>
      </c>
      <c r="J50" s="57">
        <f ca="1">IFERROR(IF(SUMIFS(Bloki1[WB],Bloki1[Nazwa zawodnika],$B50,Bloki1[Skill],J$34)&gt;0,AVERAGEIFS(Bloki1[WB],Bloki1[Nazwa zawodnika],$B50,Bloki1[Skill],J$34),VLOOKUP(INDEX(JuniorstwoRandom[],MATCH($A50,$A$3:$A$23,0),COLUMN(J$2)),Szacunki[],2,FALSE)),"-")</f>
        <v>8</v>
      </c>
      <c r="K50" s="57">
        <f ca="1">IFERROR(IF(SUMIFS(Bloki1[WB],Bloki1[Nazwa zawodnika],$B50,Bloki1[Skill],K$34)&gt;0,AVERAGEIFS(Bloki1[WB],Bloki1[Nazwa zawodnika],$B50,Bloki1[Skill],K$34),VLOOKUP(INDEX(JuniorstwoRandom[],MATCH($A50,$A$3:$A$23,0),COLUMN(K$2)),Szacunki[],2,FALSE)),"-")</f>
        <v>7</v>
      </c>
      <c r="L50" s="57">
        <f ca="1">IFERROR(IF(SUMIFS(Bloki1[WB],Bloki1[Nazwa zawodnika],$B50,Bloki1[Skill],L$34)&gt;0,AVERAGEIFS(Bloki1[WB],Bloki1[Nazwa zawodnika],$B50,Bloki1[Skill],L$34),VLOOKUP(INDEX(JuniorstwoRandom[],MATCH($A50,$A$3:$A$23,0),COLUMN(L$2)),Szacunki[],2,FALSE)),"-")</f>
        <v>7</v>
      </c>
      <c r="M50" s="57">
        <f ca="1">IFERROR(IF(SUMIFS(Bloki1[WB],Bloki1[Nazwa zawodnika],$B50,Bloki1[Skill],M$34)&gt;0,AVERAGEIFS(Bloki1[WB],Bloki1[Nazwa zawodnika],$B50,Bloki1[Skill],M$34),VLOOKUP(INDEX(JuniorstwoRandom[],MATCH($A50,$A$3:$A$23,0),COLUMN(M$2)),Szacunki[],2,FALSE)),"-")</f>
        <v>6</v>
      </c>
      <c r="N50">
        <v>10</v>
      </c>
      <c r="O50" s="26">
        <f ca="1">SUM(C50:M50)</f>
        <v>76</v>
      </c>
    </row>
    <row r="51" spans="1:15" x14ac:dyDescent="0.25">
      <c r="A51" s="39">
        <f t="shared" si="0"/>
        <v>27</v>
      </c>
      <c r="B51" s="3" t="str">
        <f>IFERROR(VLOOKUP(JuniorzyNegatyw[[#This Row],[Numer]],Zawodnicy[],2,FALSE),"-")</f>
        <v>Sylwester Kaszubowski</v>
      </c>
      <c r="C51" s="57">
        <f ca="1">IFERROR(IF(SUMIFS(Bloki1[WB],Bloki1[Nazwa zawodnika],$B51,Bloki1[Skill],C$34)&gt;0,AVERAGEIFS(Bloki1[WB],Bloki1[Nazwa zawodnika],$B51,Bloki1[Skill],C$34),VLOOKUP(INDEX(JuniorstwoRandom[],MATCH($A51,$A$3:$A$23,0),COLUMN(C$2)),Szacunki[],2,FALSE)),"-")</f>
        <v>6</v>
      </c>
      <c r="D51" s="57">
        <f ca="1">IFERROR(IF(SUMIFS(Bloki1[WB],Bloki1[Nazwa zawodnika],$B51,Bloki1[Skill],D$34)&gt;0,AVERAGEIFS(Bloki1[WB],Bloki1[Nazwa zawodnika],$B51,Bloki1[Skill],D$34),VLOOKUP(INDEX(JuniorstwoRandom[],MATCH($A51,$A$3:$A$23,0),COLUMN(D$2)),Szacunki[],2,FALSE)),"-")</f>
        <v>5</v>
      </c>
      <c r="E51" s="57">
        <f ca="1">IFERROR(IF(SUMIFS(Bloki1[WB],Bloki1[Nazwa zawodnika],$B51,Bloki1[Skill],E$34)&gt;0,AVERAGEIFS(Bloki1[WB],Bloki1[Nazwa zawodnika],$B51,Bloki1[Skill],E$34),VLOOKUP(INDEX(JuniorstwoRandom[],MATCH($A51,$A$3:$A$23,0),COLUMN(E$2)),Szacunki[],2,FALSE)),"-")</f>
        <v>5</v>
      </c>
      <c r="F51" s="57">
        <f ca="1">IFERROR(IF(SUMIFS(Bloki1[WB],Bloki1[Nazwa zawodnika],$B51,Bloki1[Skill],F$34)&gt;0,AVERAGEIFS(Bloki1[WB],Bloki1[Nazwa zawodnika],$B51,Bloki1[Skill],F$34),VLOOKUP(INDEX(JuniorstwoRandom[],MATCH($A51,$A$3:$A$23,0),COLUMN(F$2)),Szacunki[],2,FALSE)),"-")</f>
        <v>8</v>
      </c>
      <c r="G51" s="57">
        <f ca="1">IFERROR(IF(SUMIFS(Bloki1[WB],Bloki1[Nazwa zawodnika],$B51,Bloki1[Skill],G$34)&gt;0,AVERAGEIFS(Bloki1[WB],Bloki1[Nazwa zawodnika],$B51,Bloki1[Skill],G$34),VLOOKUP(INDEX(JuniorstwoRandom[],MATCH($A51,$A$3:$A$23,0),COLUMN(G$2)),Szacunki[],2,FALSE)),"-")</f>
        <v>5</v>
      </c>
      <c r="H51" s="57">
        <f ca="1">IFERROR(IF(SUMIFS(Bloki1[WB],Bloki1[Nazwa zawodnika],$B51,Bloki1[Skill],H$34)&gt;0,AVERAGEIFS(Bloki1[WB],Bloki1[Nazwa zawodnika],$B51,Bloki1[Skill],H$34),VLOOKUP(INDEX(JuniorstwoRandom[],MATCH($A51,$A$3:$A$23,0),COLUMN(H$2)),Szacunki[],2,FALSE)),"-")</f>
        <v>4</v>
      </c>
      <c r="I51" s="57">
        <f ca="1">IFERROR(IF(SUMIFS(Bloki1[WB],Bloki1[Nazwa zawodnika],$B51,Bloki1[Skill],I$34)&gt;0,AVERAGEIFS(Bloki1[WB],Bloki1[Nazwa zawodnika],$B51,Bloki1[Skill],I$34),VLOOKUP(INDEX(JuniorstwoRandom[],MATCH($A51,$A$3:$A$23,0),COLUMN(I$2)),Szacunki[],4,FALSE)),"-")</f>
        <v>3</v>
      </c>
      <c r="J51" s="57">
        <f ca="1">IFERROR(IF(SUMIFS(Bloki1[WB],Bloki1[Nazwa zawodnika],$B51,Bloki1[Skill],J$34)&gt;0,AVERAGEIFS(Bloki1[WB],Bloki1[Nazwa zawodnika],$B51,Bloki1[Skill],J$34),VLOOKUP(INDEX(JuniorstwoRandom[],MATCH($A51,$A$3:$A$23,0),COLUMN(J$2)),Szacunki[],2,FALSE)),"-")</f>
        <v>8</v>
      </c>
      <c r="K51" s="57">
        <f ca="1">IFERROR(IF(SUMIFS(Bloki1[WB],Bloki1[Nazwa zawodnika],$B51,Bloki1[Skill],K$34)&gt;0,AVERAGEIFS(Bloki1[WB],Bloki1[Nazwa zawodnika],$B51,Bloki1[Skill],K$34),VLOOKUP(INDEX(JuniorstwoRandom[],MATCH($A51,$A$3:$A$23,0),COLUMN(K$2)),Szacunki[],2,FALSE)),"-")</f>
        <v>5</v>
      </c>
      <c r="L51" s="57">
        <f ca="1">IFERROR(IF(SUMIFS(Bloki1[WB],Bloki1[Nazwa zawodnika],$B51,Bloki1[Skill],L$34)&gt;0,AVERAGEIFS(Bloki1[WB],Bloki1[Nazwa zawodnika],$B51,Bloki1[Skill],L$34),VLOOKUP(INDEX(JuniorstwoRandom[],MATCH($A51,$A$3:$A$23,0),COLUMN(L$2)),Szacunki[],2,FALSE)),"-")</f>
        <v>7</v>
      </c>
      <c r="M51" s="57">
        <f ca="1">IFERROR(IF(SUMIFS(Bloki1[WB],Bloki1[Nazwa zawodnika],$B51,Bloki1[Skill],M$34)&gt;0,AVERAGEIFS(Bloki1[WB],Bloki1[Nazwa zawodnika],$B51,Bloki1[Skill],M$34),VLOOKUP(INDEX(JuniorstwoRandom[],MATCH($A51,$A$3:$A$23,0),COLUMN(M$2)),Szacunki[],2,FALSE)),"-")</f>
        <v>6</v>
      </c>
      <c r="N51">
        <v>10</v>
      </c>
      <c r="O51" s="26">
        <f ca="1">SUM(C51:M51)</f>
        <v>62</v>
      </c>
    </row>
    <row r="52" spans="1:15" x14ac:dyDescent="0.25">
      <c r="A52" s="39">
        <f t="shared" si="0"/>
        <v>59</v>
      </c>
      <c r="B52" s="3" t="str">
        <f>IFERROR(VLOOKUP(JuniorzyNegatyw[[#This Row],[Numer]],Zawodnicy[],2,FALSE),"-")</f>
        <v>Milosz Kostrzewski</v>
      </c>
      <c r="C52" s="57">
        <f ca="1">IFERROR(IF(SUMIFS(Bloki1[WB],Bloki1[Nazwa zawodnika],$B52,Bloki1[Skill],C$34)&gt;0,AVERAGEIFS(Bloki1[WB],Bloki1[Nazwa zawodnika],$B52,Bloki1[Skill],C$34),VLOOKUP(INDEX(JuniorstwoRandom[],MATCH($A52,$A$3:$A$23,0),COLUMN(C$2)),Szacunki[],2,FALSE)),"-")</f>
        <v>6</v>
      </c>
      <c r="D52" s="57">
        <f ca="1">IFERROR(IF(SUMIFS(Bloki1[WB],Bloki1[Nazwa zawodnika],$B52,Bloki1[Skill],D$34)&gt;0,AVERAGEIFS(Bloki1[WB],Bloki1[Nazwa zawodnika],$B52,Bloki1[Skill],D$34),VLOOKUP(INDEX(JuniorstwoRandom[],MATCH($A52,$A$3:$A$23,0),COLUMN(D$2)),Szacunki[],2,FALSE)),"-")</f>
        <v>7</v>
      </c>
      <c r="E52" s="57">
        <f ca="1">IFERROR(IF(SUMIFS(Bloki1[WB],Bloki1[Nazwa zawodnika],$B52,Bloki1[Skill],E$34)&gt;0,AVERAGEIFS(Bloki1[WB],Bloki1[Nazwa zawodnika],$B52,Bloki1[Skill],E$34),VLOOKUP(INDEX(JuniorstwoRandom[],MATCH($A52,$A$3:$A$23,0),COLUMN(E$2)),Szacunki[],2,FALSE)),"-")</f>
        <v>7</v>
      </c>
      <c r="F52" s="57">
        <f ca="1">IFERROR(IF(SUMIFS(Bloki1[WB],Bloki1[Nazwa zawodnika],$B52,Bloki1[Skill],F$34)&gt;0,AVERAGEIFS(Bloki1[WB],Bloki1[Nazwa zawodnika],$B52,Bloki1[Skill],F$34),VLOOKUP(INDEX(JuniorstwoRandom[],MATCH($A52,$A$3:$A$23,0),COLUMN(F$2)),Szacunki[],2,FALSE)),"-")</f>
        <v>7</v>
      </c>
      <c r="G52" s="57">
        <f ca="1">IFERROR(IF(SUMIFS(Bloki1[WB],Bloki1[Nazwa zawodnika],$B52,Bloki1[Skill],G$34)&gt;0,AVERAGEIFS(Bloki1[WB],Bloki1[Nazwa zawodnika],$B52,Bloki1[Skill],G$34),VLOOKUP(INDEX(JuniorstwoRandom[],MATCH($A52,$A$3:$A$23,0),COLUMN(G$2)),Szacunki[],2,FALSE)),"-")</f>
        <v>7</v>
      </c>
      <c r="H52" s="57">
        <f ca="1">IFERROR(IF(SUMIFS(Bloki1[WB],Bloki1[Nazwa zawodnika],$B52,Bloki1[Skill],H$34)&gt;0,AVERAGEIFS(Bloki1[WB],Bloki1[Nazwa zawodnika],$B52,Bloki1[Skill],H$34),VLOOKUP(INDEX(JuniorstwoRandom[],MATCH($A52,$A$3:$A$23,0),COLUMN(H$2)),Szacunki[],2,FALSE)),"-")</f>
        <v>8</v>
      </c>
      <c r="I52" s="57">
        <f ca="1">IFERROR(IF(SUMIFS(Bloki1[WB],Bloki1[Nazwa zawodnika],$B52,Bloki1[Skill],I$34)&gt;0,AVERAGEIFS(Bloki1[WB],Bloki1[Nazwa zawodnika],$B52,Bloki1[Skill],I$34),VLOOKUP(INDEX(JuniorstwoRandom[],MATCH($A52,$A$3:$A$23,0),COLUMN(I$2)),Szacunki[],4,FALSE)),"-")</f>
        <v>5</v>
      </c>
      <c r="J52" s="57">
        <f ca="1">IFERROR(IF(SUMIFS(Bloki1[WB],Bloki1[Nazwa zawodnika],$B52,Bloki1[Skill],J$34)&gt;0,AVERAGEIFS(Bloki1[WB],Bloki1[Nazwa zawodnika],$B52,Bloki1[Skill],J$34),VLOOKUP(INDEX(JuniorstwoRandom[],MATCH($A52,$A$3:$A$23,0),COLUMN(J$2)),Szacunki[],2,FALSE)),"-")</f>
        <v>8</v>
      </c>
      <c r="K52" s="57">
        <f ca="1">IFERROR(IF(SUMIFS(Bloki1[WB],Bloki1[Nazwa zawodnika],$B52,Bloki1[Skill],K$34)&gt;0,AVERAGEIFS(Bloki1[WB],Bloki1[Nazwa zawodnika],$B52,Bloki1[Skill],K$34),VLOOKUP(INDEX(JuniorstwoRandom[],MATCH($A52,$A$3:$A$23,0),COLUMN(K$2)),Szacunki[],2,FALSE)),"-")</f>
        <v>7</v>
      </c>
      <c r="L52" s="57">
        <f ca="1">IFERROR(IF(SUMIFS(Bloki1[WB],Bloki1[Nazwa zawodnika],$B52,Bloki1[Skill],L$34)&gt;0,AVERAGEIFS(Bloki1[WB],Bloki1[Nazwa zawodnika],$B52,Bloki1[Skill],L$34),VLOOKUP(INDEX(JuniorstwoRandom[],MATCH($A52,$A$3:$A$23,0),COLUMN(L$2)),Szacunki[],2,FALSE)),"-")</f>
        <v>7</v>
      </c>
      <c r="M52" s="57">
        <f ca="1">IFERROR(IF(SUMIFS(Bloki1[WB],Bloki1[Nazwa zawodnika],$B52,Bloki1[Skill],M$34)&gt;0,AVERAGEIFS(Bloki1[WB],Bloki1[Nazwa zawodnika],$B52,Bloki1[Skill],M$34),VLOOKUP(INDEX(JuniorstwoRandom[],MATCH($A52,$A$3:$A$23,0),COLUMN(M$2)),Szacunki[],2,FALSE)),"-")</f>
        <v>7</v>
      </c>
      <c r="N52">
        <v>10</v>
      </c>
      <c r="O52" s="26">
        <f ca="1">SUM(C52:M52)</f>
        <v>76</v>
      </c>
    </row>
    <row r="53" spans="1:15" x14ac:dyDescent="0.25">
      <c r="A53" s="39">
        <f t="shared" si="0"/>
        <v>17</v>
      </c>
      <c r="B53" s="3" t="str">
        <f>IFERROR(VLOOKUP(JuniorzyNegatyw[[#This Row],[Numer]],Zawodnicy[],2,FALSE),"-")</f>
        <v>Hieronim Wejta</v>
      </c>
      <c r="C53" s="57">
        <f ca="1">IFERROR(IF(SUMIFS(Bloki1[WB],Bloki1[Nazwa zawodnika],$B53,Bloki1[Skill],C$34)&gt;0,AVERAGEIFS(Bloki1[WB],Bloki1[Nazwa zawodnika],$B53,Bloki1[Skill],C$34),VLOOKUP(INDEX(JuniorstwoRandom[],MATCH($A53,$A$3:$A$23,0),COLUMN(C$2)),Szacunki[],2,FALSE)),"-")</f>
        <v>6</v>
      </c>
      <c r="D53" s="57">
        <f ca="1">IFERROR(IF(SUMIFS(Bloki1[WB],Bloki1[Nazwa zawodnika],$B53,Bloki1[Skill],D$34)&gt;0,AVERAGEIFS(Bloki1[WB],Bloki1[Nazwa zawodnika],$B53,Bloki1[Skill],D$34),VLOOKUP(INDEX(JuniorstwoRandom[],MATCH($A53,$A$3:$A$23,0),COLUMN(D$2)),Szacunki[],2,FALSE)),"-")</f>
        <v>10</v>
      </c>
      <c r="E53" s="57">
        <f ca="1">IFERROR(IF(SUMIFS(Bloki1[WB],Bloki1[Nazwa zawodnika],$B53,Bloki1[Skill],E$34)&gt;0,AVERAGEIFS(Bloki1[WB],Bloki1[Nazwa zawodnika],$B53,Bloki1[Skill],E$34),VLOOKUP(INDEX(JuniorstwoRandom[],MATCH($A53,$A$3:$A$23,0),COLUMN(E$2)),Szacunki[],2,FALSE)),"-")</f>
        <v>10</v>
      </c>
      <c r="F53" s="57">
        <f ca="1">IFERROR(IF(SUMIFS(Bloki1[WB],Bloki1[Nazwa zawodnika],$B53,Bloki1[Skill],F$34)&gt;0,AVERAGEIFS(Bloki1[WB],Bloki1[Nazwa zawodnika],$B53,Bloki1[Skill],F$34),VLOOKUP(INDEX(JuniorstwoRandom[],MATCH($A53,$A$3:$A$23,0),COLUMN(F$2)),Szacunki[],2,FALSE)),"-")</f>
        <v>8</v>
      </c>
      <c r="G53" s="57">
        <f ca="1">IFERROR(IF(SUMIFS(Bloki1[WB],Bloki1[Nazwa zawodnika],$B53,Bloki1[Skill],G$34)&gt;0,AVERAGEIFS(Bloki1[WB],Bloki1[Nazwa zawodnika],$B53,Bloki1[Skill],G$34),VLOOKUP(INDEX(JuniorstwoRandom[],MATCH($A53,$A$3:$A$23,0),COLUMN(G$2)),Szacunki[],2,FALSE)),"-")</f>
        <v>7</v>
      </c>
      <c r="H53" s="57">
        <f ca="1">IFERROR(IF(SUMIFS(Bloki1[WB],Bloki1[Nazwa zawodnika],$B53,Bloki1[Skill],H$34)&gt;0,AVERAGEIFS(Bloki1[WB],Bloki1[Nazwa zawodnika],$B53,Bloki1[Skill],H$34),VLOOKUP(INDEX(JuniorstwoRandom[],MATCH($A53,$A$3:$A$23,0),COLUMN(H$2)),Szacunki[],2,FALSE)),"-")</f>
        <v>8</v>
      </c>
      <c r="I53" s="57">
        <f ca="1">IFERROR(IF(SUMIFS(Bloki1[WB],Bloki1[Nazwa zawodnika],$B53,Bloki1[Skill],I$34)&gt;0,AVERAGEIFS(Bloki1[WB],Bloki1[Nazwa zawodnika],$B53,Bloki1[Skill],I$34),VLOOKUP(INDEX(JuniorstwoRandom[],MATCH($A53,$A$3:$A$23,0),COLUMN(I$2)),Szacunki[],4,FALSE)),"-")</f>
        <v>5</v>
      </c>
      <c r="J53" s="57">
        <f ca="1">IFERROR(IF(SUMIFS(Bloki1[WB],Bloki1[Nazwa zawodnika],$B53,Bloki1[Skill],J$34)&gt;0,AVERAGEIFS(Bloki1[WB],Bloki1[Nazwa zawodnika],$B53,Bloki1[Skill],J$34),VLOOKUP(INDEX(JuniorstwoRandom[],MATCH($A53,$A$3:$A$23,0),COLUMN(J$2)),Szacunki[],2,FALSE)),"-")</f>
        <v>7</v>
      </c>
      <c r="K53" s="57">
        <f ca="1">IFERROR(IF(SUMIFS(Bloki1[WB],Bloki1[Nazwa zawodnika],$B53,Bloki1[Skill],K$34)&gt;0,AVERAGEIFS(Bloki1[WB],Bloki1[Nazwa zawodnika],$B53,Bloki1[Skill],K$34),VLOOKUP(INDEX(JuniorstwoRandom[],MATCH($A53,$A$3:$A$23,0),COLUMN(K$2)),Szacunki[],2,FALSE)),"-")</f>
        <v>8</v>
      </c>
      <c r="L53" s="57">
        <f ca="1">IFERROR(IF(SUMIFS(Bloki1[WB],Bloki1[Nazwa zawodnika],$B53,Bloki1[Skill],L$34)&gt;0,AVERAGEIFS(Bloki1[WB],Bloki1[Nazwa zawodnika],$B53,Bloki1[Skill],L$34),VLOOKUP(INDEX(JuniorstwoRandom[],MATCH($A53,$A$3:$A$23,0),COLUMN(L$2)),Szacunki[],2,FALSE)),"-")</f>
        <v>8</v>
      </c>
      <c r="M53" s="57">
        <f ca="1">IFERROR(IF(SUMIFS(Bloki1[WB],Bloki1[Nazwa zawodnika],$B53,Bloki1[Skill],M$34)&gt;0,AVERAGEIFS(Bloki1[WB],Bloki1[Nazwa zawodnika],$B53,Bloki1[Skill],M$34),VLOOKUP(INDEX(JuniorstwoRandom[],MATCH($A53,$A$3:$A$23,0),COLUMN(M$2)),Szacunki[],2,FALSE)),"-")</f>
        <v>9</v>
      </c>
      <c r="N53">
        <v>10</v>
      </c>
      <c r="O53" s="26">
        <f t="shared" ca="1" si="1"/>
        <v>86</v>
      </c>
    </row>
    <row r="54" spans="1:15" x14ac:dyDescent="0.25">
      <c r="A54" s="39">
        <f t="shared" si="0"/>
        <v>0</v>
      </c>
      <c r="B54" s="3" t="str">
        <f>IFERROR(VLOOKUP(JuniorzyNegatyw[[#This Row],[Numer]],Zawodnicy[],2,FALSE),"-")</f>
        <v>-</v>
      </c>
      <c r="C54" s="57" t="str">
        <f>IFERROR(IF(SUMIFS(Bloki1[WB],Bloki1[Nazwa zawodnika],$B54,Bloki1[Skill],C$34)&gt;0,AVERAGEIFS(Bloki1[WB],Bloki1[Nazwa zawodnika],$B54,Bloki1[Skill],C$34),VLOOKUP(INDEX(JuniorstwoRandom[],MATCH($A54,$A$3:$A$23,0),COLUMN(C$2)),Szacunki[],2,FALSE)),"-")</f>
        <v>-</v>
      </c>
      <c r="D54" s="57" t="str">
        <f>IFERROR(IF(SUMIFS(Bloki1[WB],Bloki1[Nazwa zawodnika],$B54,Bloki1[Skill],D$34)&gt;0,AVERAGEIFS(Bloki1[WB],Bloki1[Nazwa zawodnika],$B54,Bloki1[Skill],D$34),VLOOKUP(INDEX(JuniorstwoRandom[],MATCH($A54,$A$3:$A$23,0),COLUMN(D$2)),Szacunki[],2,FALSE)),"-")</f>
        <v>-</v>
      </c>
      <c r="E54" s="57" t="str">
        <f>IFERROR(IF(SUMIFS(Bloki1[WB],Bloki1[Nazwa zawodnika],$B54,Bloki1[Skill],E$34)&gt;0,AVERAGEIFS(Bloki1[WB],Bloki1[Nazwa zawodnika],$B54,Bloki1[Skill],E$34),VLOOKUP(INDEX(JuniorstwoRandom[],MATCH($A54,$A$3:$A$23,0),COLUMN(E$2)),Szacunki[],2,FALSE)),"-")</f>
        <v>-</v>
      </c>
      <c r="F54" s="57" t="str">
        <f>IFERROR(IF(SUMIFS(Bloki1[WB],Bloki1[Nazwa zawodnika],$B54,Bloki1[Skill],F$34)&gt;0,AVERAGEIFS(Bloki1[WB],Bloki1[Nazwa zawodnika],$B54,Bloki1[Skill],F$34),VLOOKUP(INDEX(JuniorstwoRandom[],MATCH($A54,$A$3:$A$23,0),COLUMN(F$2)),Szacunki[],2,FALSE)),"-")</f>
        <v>-</v>
      </c>
      <c r="G54" s="57" t="str">
        <f>IFERROR(IF(SUMIFS(Bloki1[WB],Bloki1[Nazwa zawodnika],$B54,Bloki1[Skill],G$34)&gt;0,AVERAGEIFS(Bloki1[WB],Bloki1[Nazwa zawodnika],$B54,Bloki1[Skill],G$34),VLOOKUP(INDEX(JuniorstwoRandom[],MATCH($A54,$A$3:$A$23,0),COLUMN(G$2)),Szacunki[],2,FALSE)),"-")</f>
        <v>-</v>
      </c>
      <c r="H54" s="57" t="str">
        <f>IFERROR(IF(SUMIFS(Bloki1[WB],Bloki1[Nazwa zawodnika],$B54,Bloki1[Skill],H$34)&gt;0,AVERAGEIFS(Bloki1[WB],Bloki1[Nazwa zawodnika],$B54,Bloki1[Skill],H$34),VLOOKUP(INDEX(JuniorstwoRandom[],MATCH($A54,$A$3:$A$23,0),COLUMN(H$2)),Szacunki[],2,FALSE)),"-")</f>
        <v>-</v>
      </c>
      <c r="I54" s="57" t="str">
        <f>IFERROR(IF(SUMIFS(Bloki1[WB],Bloki1[Nazwa zawodnika],$B54,Bloki1[Skill],I$34)&gt;0,AVERAGEIFS(Bloki1[WB],Bloki1[Nazwa zawodnika],$B54,Bloki1[Skill],I$34),VLOOKUP(INDEX(JuniorstwoRandom[],MATCH($A54,$A$3:$A$23,0),COLUMN(I$2)),Szacunki[],4,FALSE)),"-")</f>
        <v>-</v>
      </c>
      <c r="J54" s="57" t="str">
        <f>IFERROR(IF(SUMIFS(Bloki1[WB],Bloki1[Nazwa zawodnika],$B54,Bloki1[Skill],J$34)&gt;0,AVERAGEIFS(Bloki1[WB],Bloki1[Nazwa zawodnika],$B54,Bloki1[Skill],J$34),VLOOKUP(INDEX(JuniorstwoRandom[],MATCH($A54,$A$3:$A$23,0),COLUMN(J$2)),Szacunki[],2,FALSE)),"-")</f>
        <v>-</v>
      </c>
      <c r="K54" s="57" t="str">
        <f>IFERROR(IF(SUMIFS(Bloki1[WB],Bloki1[Nazwa zawodnika],$B54,Bloki1[Skill],K$34)&gt;0,AVERAGEIFS(Bloki1[WB],Bloki1[Nazwa zawodnika],$B54,Bloki1[Skill],K$34),VLOOKUP(INDEX(JuniorstwoRandom[],MATCH($A54,$A$3:$A$23,0),COLUMN(K$2)),Szacunki[],2,FALSE)),"-")</f>
        <v>-</v>
      </c>
      <c r="L54" s="57" t="str">
        <f>IFERROR(IF(SUMIFS(Bloki1[WB],Bloki1[Nazwa zawodnika],$B54,Bloki1[Skill],L$34)&gt;0,AVERAGEIFS(Bloki1[WB],Bloki1[Nazwa zawodnika],$B54,Bloki1[Skill],L$34),VLOOKUP(INDEX(JuniorstwoRandom[],MATCH($A54,$A$3:$A$23,0),COLUMN(L$2)),Szacunki[],2,FALSE)),"-")</f>
        <v>-</v>
      </c>
      <c r="M54" s="57" t="str">
        <f>IFERROR(IF(SUMIFS(Bloki1[WB],Bloki1[Nazwa zawodnika],$B54,Bloki1[Skill],M$34)&gt;0,AVERAGEIFS(Bloki1[WB],Bloki1[Nazwa zawodnika],$B54,Bloki1[Skill],M$34),VLOOKUP(INDEX(JuniorstwoRandom[],MATCH($A54,$A$3:$A$23,0),COLUMN(M$2)),Szacunki[],2,FALSE)),"-")</f>
        <v>-</v>
      </c>
      <c r="N54">
        <v>10</v>
      </c>
      <c r="O54" s="26">
        <f>SUM(C54:M54)</f>
        <v>0</v>
      </c>
    </row>
    <row r="56" spans="1:15" ht="15.75" thickBot="1" x14ac:dyDescent="0.3">
      <c r="A56" s="24" t="s">
        <v>36</v>
      </c>
      <c r="B56" s="22" t="s">
        <v>37</v>
      </c>
      <c r="C56" t="s">
        <v>749</v>
      </c>
      <c r="D56" t="s">
        <v>750</v>
      </c>
      <c r="E56" t="s">
        <v>763</v>
      </c>
      <c r="F56" t="s">
        <v>751</v>
      </c>
      <c r="G56" t="s">
        <v>752</v>
      </c>
      <c r="H56" t="s">
        <v>753</v>
      </c>
      <c r="I56" t="s">
        <v>769</v>
      </c>
      <c r="J56" t="s">
        <v>754</v>
      </c>
      <c r="K56" t="s">
        <v>755</v>
      </c>
      <c r="L56" t="s">
        <v>756</v>
      </c>
      <c r="M56" t="s">
        <v>764</v>
      </c>
      <c r="N56" t="s">
        <v>757</v>
      </c>
      <c r="O56" t="s">
        <v>67</v>
      </c>
    </row>
    <row r="57" spans="1:15" x14ac:dyDescent="0.25">
      <c r="A57" s="39">
        <f t="shared" ref="A57:A76" si="2">A3</f>
        <v>31</v>
      </c>
      <c r="B57" s="3" t="str">
        <f>IFERROR(VLOOKUP(JuniorzyPozytyw[[#This Row],[Numer]],Zawodnicy[],2,FALSE),"-")</f>
        <v>Jacek Swoboda</v>
      </c>
      <c r="C57" s="58">
        <f ca="1">IFERROR(IF(SUMIFS(Bloki1[WB],Bloki1[Nazwa zawodnika],$B57,Bloki1[Skill],C$56)&gt;0,AVERAGEIFS(Bloki1[WB],Bloki1[Nazwa zawodnika],$B57,Bloki1[Skill],C$56),VLOOKUP(INDEX(JuniorstwoRandom[],MATCH($A57,$A$3:$A$23,0),COLUMN(C$2)),Szacunki[],3,FALSE)),"-")</f>
        <v>7</v>
      </c>
      <c r="D57" s="58">
        <f ca="1">IFERROR(IF(SUMIFS(Bloki1[WB],Bloki1[Nazwa zawodnika],$B57,Bloki1[Skill],D$56)&gt;0,AVERAGEIFS(Bloki1[WB],Bloki1[Nazwa zawodnika],$B57,Bloki1[Skill],D$56),VLOOKUP(INDEX(JuniorstwoRandom[],MATCH($A57,$A$3:$A$23,0),COLUMN(D$2)),Szacunki[],3,FALSE)),"-")</f>
        <v>7</v>
      </c>
      <c r="E57" s="58">
        <f ca="1">IFERROR(IF(SUMIFS(Bloki1[WB],Bloki1[Nazwa zawodnika],$B57,Bloki1[Skill],E$56)&gt;0,AVERAGEIFS(Bloki1[WB],Bloki1[Nazwa zawodnika],$B57,Bloki1[Skill],E$56),VLOOKUP(INDEX(JuniorstwoRandom[],MATCH($A57,$A$3:$A$23,0),COLUMN(E$2)),Szacunki[],3,FALSE)),"-")</f>
        <v>8</v>
      </c>
      <c r="F57" s="58">
        <f ca="1">IFERROR(IF(SUMIFS(Bloki1[WB],Bloki1[Nazwa zawodnika],$B57,Bloki1[Skill],F$56)&gt;0,AVERAGEIFS(Bloki1[WB],Bloki1[Nazwa zawodnika],$B57,Bloki1[Skill],F$56),VLOOKUP(INDEX(JuniorstwoRandom[],MATCH($A57,$A$3:$A$23,0),COLUMN(F$2)),Szacunki[],3,FALSE)),"-")</f>
        <v>8</v>
      </c>
      <c r="G57" s="58">
        <f ca="1">IFERROR(IF(SUMIFS(Bloki1[WB],Bloki1[Nazwa zawodnika],$B57,Bloki1[Skill],G$56)&gt;0,AVERAGEIFS(Bloki1[WB],Bloki1[Nazwa zawodnika],$B57,Bloki1[Skill],G$56),VLOOKUP(INDEX(JuniorstwoRandom[],MATCH($A57,$A$3:$A$23,0),COLUMN(G$2)),Szacunki[],3,FALSE)),"-")</f>
        <v>5</v>
      </c>
      <c r="H57" s="58">
        <f ca="1">IFERROR(IF(SUMIFS(Bloki1[WB],Bloki1[Nazwa zawodnika],$B57,Bloki1[Skill],H$56)&gt;0,AVERAGEIFS(Bloki1[WB],Bloki1[Nazwa zawodnika],$B57,Bloki1[Skill],H$56),VLOOKUP(INDEX(JuniorstwoRandom[],MATCH($A57,$A$3:$A$23,0),COLUMN(H$2)),Szacunki[],3,FALSE)),"-")</f>
        <v>9</v>
      </c>
      <c r="I57" s="58">
        <f ca="1">IFERROR(IF(SUMIFS(Bloki1[WB],Bloki1[Nazwa zawodnika],$B57,Bloki1[Skill],I$56)&gt;0,AVERAGEIFS(Bloki1[WB],Bloki1[Nazwa zawodnika],$B57,Bloki1[Skill],I$56),VLOOKUP(INDEX(JuniorstwoRandom[],MATCH($A57,$A$3:$A$23,0),COLUMN(I$2)),Szacunki[],5,FALSE)),"-")</f>
        <v>4</v>
      </c>
      <c r="J57" s="58">
        <f ca="1">IFERROR(IF(SUMIFS(Bloki1[WB],Bloki1[Nazwa zawodnika],$B57,Bloki1[Skill],J$56)&gt;0,AVERAGEIFS(Bloki1[WB],Bloki1[Nazwa zawodnika],$B57,Bloki1[Skill],J$56),VLOOKUP(INDEX(JuniorstwoRandom[],MATCH($A57,$A$3:$A$23,0),COLUMN(J$2)),Szacunki[],3,FALSE)),"-")</f>
        <v>6</v>
      </c>
      <c r="K57" s="58">
        <f ca="1">IFERROR(IF(SUMIFS(Bloki1[WB],Bloki1[Nazwa zawodnika],$B57,Bloki1[Skill],K$56)&gt;0,AVERAGEIFS(Bloki1[WB],Bloki1[Nazwa zawodnika],$B57,Bloki1[Skill],K$56),VLOOKUP(INDEX(JuniorstwoRandom[],MATCH($A57,$A$3:$A$23,0),COLUMN(K$2)),Szacunki[],3,FALSE)),"-")</f>
        <v>7</v>
      </c>
      <c r="L57" s="58">
        <f ca="1">IFERROR(IF(SUMIFS(Bloki1[WB],Bloki1[Nazwa zawodnika],$B57,Bloki1[Skill],L$56)&gt;0,AVERAGEIFS(Bloki1[WB],Bloki1[Nazwa zawodnika],$B57,Bloki1[Skill],L$56),VLOOKUP(INDEX(JuniorstwoRandom[],MATCH($A57,$A$3:$A$23,0),COLUMN(L$2)),Szacunki[],3,FALSE)),"-")</f>
        <v>9</v>
      </c>
      <c r="M57" s="58">
        <f ca="1">IFERROR(IF(SUMIFS(Bloki1[WB],Bloki1[Nazwa zawodnika],$B57,Bloki1[Skill],M$56)&gt;0,AVERAGEIFS(Bloki1[WB],Bloki1[Nazwa zawodnika],$B57,Bloki1[Skill],M$56),VLOOKUP(INDEX(JuniorstwoRandom[],MATCH($A57,$A$3:$A$23,0),COLUMN(M$2)),Szacunki[],3,FALSE)),"-")</f>
        <v>7</v>
      </c>
      <c r="N57">
        <v>10</v>
      </c>
      <c r="O57" s="26">
        <f t="shared" ref="O57:O75" ca="1" si="3">SUM(C57:M57)</f>
        <v>77</v>
      </c>
    </row>
    <row r="58" spans="1:15" x14ac:dyDescent="0.25">
      <c r="A58" s="39">
        <f t="shared" si="2"/>
        <v>38</v>
      </c>
      <c r="B58" s="3" t="str">
        <f>IFERROR(VLOOKUP(JuniorzyPozytyw[[#This Row],[Numer]],Zawodnicy[],2,FALSE),"-")</f>
        <v>Boleslaw Kolbert</v>
      </c>
      <c r="C58" s="58">
        <f ca="1">IFERROR(IF(SUMIFS(Bloki1[WB],Bloki1[Nazwa zawodnika],$B58,Bloki1[Skill],C$56)&gt;0,AVERAGEIFS(Bloki1[WB],Bloki1[Nazwa zawodnika],$B58,Bloki1[Skill],C$56),VLOOKUP(INDEX(JuniorstwoRandom[],MATCH($A58,$A$3:$A$23,0),COLUMN(C$2)),Szacunki[],3,FALSE)),"-")</f>
        <v>8</v>
      </c>
      <c r="D58" s="58">
        <f ca="1">IFERROR(IF(SUMIFS(Bloki1[WB],Bloki1[Nazwa zawodnika],$B58,Bloki1[Skill],D$56)&gt;0,AVERAGEIFS(Bloki1[WB],Bloki1[Nazwa zawodnika],$B58,Bloki1[Skill],D$56),VLOOKUP(INDEX(JuniorstwoRandom[],MATCH($A58,$A$3:$A$23,0),COLUMN(D$2)),Szacunki[],3,FALSE)),"-")</f>
        <v>7</v>
      </c>
      <c r="E58" s="58">
        <f ca="1">IFERROR(IF(SUMIFS(Bloki1[WB],Bloki1[Nazwa zawodnika],$B58,Bloki1[Skill],E$56)&gt;0,AVERAGEIFS(Bloki1[WB],Bloki1[Nazwa zawodnika],$B58,Bloki1[Skill],E$56),VLOOKUP(INDEX(JuniorstwoRandom[],MATCH($A58,$A$3:$A$23,0),COLUMN(E$2)),Szacunki[],3,FALSE)),"-")</f>
        <v>7</v>
      </c>
      <c r="F58" s="58">
        <f ca="1">IFERROR(IF(SUMIFS(Bloki1[WB],Bloki1[Nazwa zawodnika],$B58,Bloki1[Skill],F$56)&gt;0,AVERAGEIFS(Bloki1[WB],Bloki1[Nazwa zawodnika],$B58,Bloki1[Skill],F$56),VLOOKUP(INDEX(JuniorstwoRandom[],MATCH($A58,$A$3:$A$23,0),COLUMN(F$2)),Szacunki[],3,FALSE)),"-")</f>
        <v>7</v>
      </c>
      <c r="G58" s="58">
        <f ca="1">IFERROR(IF(SUMIFS(Bloki1[WB],Bloki1[Nazwa zawodnika],$B58,Bloki1[Skill],G$56)&gt;0,AVERAGEIFS(Bloki1[WB],Bloki1[Nazwa zawodnika],$B58,Bloki1[Skill],G$56),VLOOKUP(INDEX(JuniorstwoRandom[],MATCH($A58,$A$3:$A$23,0),COLUMN(G$2)),Szacunki[],3,FALSE)),"-")</f>
        <v>6</v>
      </c>
      <c r="H58" s="58">
        <f ca="1">IFERROR(IF(SUMIFS(Bloki1[WB],Bloki1[Nazwa zawodnika],$B58,Bloki1[Skill],H$56)&gt;0,AVERAGEIFS(Bloki1[WB],Bloki1[Nazwa zawodnika],$B58,Bloki1[Skill],H$56),VLOOKUP(INDEX(JuniorstwoRandom[],MATCH($A58,$A$3:$A$23,0),COLUMN(H$2)),Szacunki[],3,FALSE)),"-")</f>
        <v>9</v>
      </c>
      <c r="I58" s="58">
        <f ca="1">IFERROR(IF(SUMIFS(Bloki1[WB],Bloki1[Nazwa zawodnika],$B58,Bloki1[Skill],I$56)&gt;0,AVERAGEIFS(Bloki1[WB],Bloki1[Nazwa zawodnika],$B58,Bloki1[Skill],I$56),VLOOKUP(INDEX(JuniorstwoRandom[],MATCH($A58,$A$3:$A$23,0),COLUMN(I$2)),Szacunki[],5,FALSE)),"-")</f>
        <v>4</v>
      </c>
      <c r="J58" s="58">
        <f ca="1">IFERROR(IF(SUMIFS(Bloki1[WB],Bloki1[Nazwa zawodnika],$B58,Bloki1[Skill],J$56)&gt;0,AVERAGEIFS(Bloki1[WB],Bloki1[Nazwa zawodnika],$B58,Bloki1[Skill],J$56),VLOOKUP(INDEX(JuniorstwoRandom[],MATCH($A58,$A$3:$A$23,0),COLUMN(J$2)),Szacunki[],3,FALSE)),"-")</f>
        <v>6</v>
      </c>
      <c r="K58" s="58">
        <f ca="1">IFERROR(IF(SUMIFS(Bloki1[WB],Bloki1[Nazwa zawodnika],$B58,Bloki1[Skill],K$56)&gt;0,AVERAGEIFS(Bloki1[WB],Bloki1[Nazwa zawodnika],$B58,Bloki1[Skill],K$56),VLOOKUP(INDEX(JuniorstwoRandom[],MATCH($A58,$A$3:$A$23,0),COLUMN(K$2)),Szacunki[],3,FALSE)),"-")</f>
        <v>9</v>
      </c>
      <c r="L58" s="58">
        <f ca="1">IFERROR(IF(SUMIFS(Bloki1[WB],Bloki1[Nazwa zawodnika],$B58,Bloki1[Skill],L$56)&gt;0,AVERAGEIFS(Bloki1[WB],Bloki1[Nazwa zawodnika],$B58,Bloki1[Skill],L$56),VLOOKUP(INDEX(JuniorstwoRandom[],MATCH($A58,$A$3:$A$23,0),COLUMN(L$2)),Szacunki[],3,FALSE)),"-")</f>
        <v>5</v>
      </c>
      <c r="M58" s="58">
        <f ca="1">IFERROR(IF(SUMIFS(Bloki1[WB],Bloki1[Nazwa zawodnika],$B58,Bloki1[Skill],M$56)&gt;0,AVERAGEIFS(Bloki1[WB],Bloki1[Nazwa zawodnika],$B58,Bloki1[Skill],M$56),VLOOKUP(INDEX(JuniorstwoRandom[],MATCH($A58,$A$3:$A$23,0),COLUMN(M$2)),Szacunki[],3,FALSE)),"-")</f>
        <v>7</v>
      </c>
      <c r="N58">
        <v>10</v>
      </c>
      <c r="O58" s="26">
        <f t="shared" ca="1" si="3"/>
        <v>75</v>
      </c>
    </row>
    <row r="59" spans="1:15" x14ac:dyDescent="0.25">
      <c r="A59" s="39">
        <f t="shared" si="2"/>
        <v>39</v>
      </c>
      <c r="B59" s="3" t="str">
        <f>IFERROR(VLOOKUP(JuniorzyPozytyw[[#This Row],[Numer]],Zawodnicy[],2,FALSE),"-")</f>
        <v>Damazy Pionek</v>
      </c>
      <c r="C59" s="58">
        <f ca="1">IFERROR(IF(SUMIFS(Bloki1[WB],Bloki1[Nazwa zawodnika],$B59,Bloki1[Skill],C$56)&gt;0,AVERAGEIFS(Bloki1[WB],Bloki1[Nazwa zawodnika],$B59,Bloki1[Skill],C$56),VLOOKUP(INDEX(JuniorstwoRandom[],MATCH($A59,$A$3:$A$23,0),COLUMN(C$2)),Szacunki[],3,FALSE)),"-")</f>
        <v>8</v>
      </c>
      <c r="D59" s="58">
        <f ca="1">IFERROR(IF(SUMIFS(Bloki1[WB],Bloki1[Nazwa zawodnika],$B59,Bloki1[Skill],D$56)&gt;0,AVERAGEIFS(Bloki1[WB],Bloki1[Nazwa zawodnika],$B59,Bloki1[Skill],D$56),VLOOKUP(INDEX(JuniorstwoRandom[],MATCH($A59,$A$3:$A$23,0),COLUMN(D$2)),Szacunki[],3,FALSE)),"-")</f>
        <v>7</v>
      </c>
      <c r="E59" s="58">
        <f ca="1">IFERROR(IF(SUMIFS(Bloki1[WB],Bloki1[Nazwa zawodnika],$B59,Bloki1[Skill],E$56)&gt;0,AVERAGEIFS(Bloki1[WB],Bloki1[Nazwa zawodnika],$B59,Bloki1[Skill],E$56),VLOOKUP(INDEX(JuniorstwoRandom[],MATCH($A59,$A$3:$A$23,0),COLUMN(E$2)),Szacunki[],3,FALSE)),"-")</f>
        <v>9</v>
      </c>
      <c r="F59" s="58">
        <f ca="1">IFERROR(IF(SUMIFS(Bloki1[WB],Bloki1[Nazwa zawodnika],$B59,Bloki1[Skill],F$56)&gt;0,AVERAGEIFS(Bloki1[WB],Bloki1[Nazwa zawodnika],$B59,Bloki1[Skill],F$56),VLOOKUP(INDEX(JuniorstwoRandom[],MATCH($A59,$A$3:$A$23,0),COLUMN(F$2)),Szacunki[],3,FALSE)),"-")</f>
        <v>8</v>
      </c>
      <c r="G59" s="58">
        <f ca="1">IFERROR(IF(SUMIFS(Bloki1[WB],Bloki1[Nazwa zawodnika],$B59,Bloki1[Skill],G$56)&gt;0,AVERAGEIFS(Bloki1[WB],Bloki1[Nazwa zawodnika],$B59,Bloki1[Skill],G$56),VLOOKUP(INDEX(JuniorstwoRandom[],MATCH($A59,$A$3:$A$23,0),COLUMN(G$2)),Szacunki[],3,FALSE)),"-")</f>
        <v>7</v>
      </c>
      <c r="H59" s="58">
        <f ca="1">IFERROR(IF(SUMIFS(Bloki1[WB],Bloki1[Nazwa zawodnika],$B59,Bloki1[Skill],H$56)&gt;0,AVERAGEIFS(Bloki1[WB],Bloki1[Nazwa zawodnika],$B59,Bloki1[Skill],H$56),VLOOKUP(INDEX(JuniorstwoRandom[],MATCH($A59,$A$3:$A$23,0),COLUMN(H$2)),Szacunki[],3,FALSE)),"-")</f>
        <v>9</v>
      </c>
      <c r="I59" s="58">
        <f ca="1">IFERROR(IF(SUMIFS(Bloki1[WB],Bloki1[Nazwa zawodnika],$B59,Bloki1[Skill],I$56)&gt;0,AVERAGEIFS(Bloki1[WB],Bloki1[Nazwa zawodnika],$B59,Bloki1[Skill],I$56),VLOOKUP(INDEX(JuniorstwoRandom[],MATCH($A59,$A$3:$A$23,0),COLUMN(I$2)),Szacunki[],5,FALSE)),"-")</f>
        <v>10</v>
      </c>
      <c r="J59" s="58">
        <f ca="1">IFERROR(IF(SUMIFS(Bloki1[WB],Bloki1[Nazwa zawodnika],$B59,Bloki1[Skill],J$56)&gt;0,AVERAGEIFS(Bloki1[WB],Bloki1[Nazwa zawodnika],$B59,Bloki1[Skill],J$56),VLOOKUP(INDEX(JuniorstwoRandom[],MATCH($A59,$A$3:$A$23,0),COLUMN(J$2)),Szacunki[],3,FALSE)),"-")</f>
        <v>10</v>
      </c>
      <c r="K59" s="58">
        <f ca="1">IFERROR(IF(SUMIFS(Bloki1[WB],Bloki1[Nazwa zawodnika],$B59,Bloki1[Skill],K$56)&gt;0,AVERAGEIFS(Bloki1[WB],Bloki1[Nazwa zawodnika],$B59,Bloki1[Skill],K$56),VLOOKUP(INDEX(JuniorstwoRandom[],MATCH($A59,$A$3:$A$23,0),COLUMN(K$2)),Szacunki[],3,FALSE)),"-")</f>
        <v>9</v>
      </c>
      <c r="L59" s="58">
        <f ca="1">IFERROR(IF(SUMIFS(Bloki1[WB],Bloki1[Nazwa zawodnika],$B59,Bloki1[Skill],L$56)&gt;0,AVERAGEIFS(Bloki1[WB],Bloki1[Nazwa zawodnika],$B59,Bloki1[Skill],L$56),VLOOKUP(INDEX(JuniorstwoRandom[],MATCH($A59,$A$3:$A$23,0),COLUMN(L$2)),Szacunki[],3,FALSE)),"-")</f>
        <v>9</v>
      </c>
      <c r="M59" s="58">
        <f ca="1">IFERROR(IF(SUMIFS(Bloki1[WB],Bloki1[Nazwa zawodnika],$B59,Bloki1[Skill],M$56)&gt;0,AVERAGEIFS(Bloki1[WB],Bloki1[Nazwa zawodnika],$B59,Bloki1[Skill],M$56),VLOOKUP(INDEX(JuniorstwoRandom[],MATCH($A59,$A$3:$A$23,0),COLUMN(M$2)),Szacunki[],3,FALSE)),"-")</f>
        <v>9</v>
      </c>
      <c r="N59">
        <v>10</v>
      </c>
      <c r="O59" s="26">
        <f t="shared" ca="1" si="3"/>
        <v>95</v>
      </c>
    </row>
    <row r="60" spans="1:15" x14ac:dyDescent="0.25">
      <c r="A60" s="39">
        <f t="shared" si="2"/>
        <v>40</v>
      </c>
      <c r="B60" s="3" t="str">
        <f>IFERROR(VLOOKUP(JuniorzyPozytyw[[#This Row],[Numer]],Zawodnicy[],2,FALSE),"-")</f>
        <v>Benedykt Adamus</v>
      </c>
      <c r="C60" s="58">
        <f ca="1">IFERROR(IF(SUMIFS(Bloki1[WB],Bloki1[Nazwa zawodnika],$B60,Bloki1[Skill],C$56)&gt;0,AVERAGEIFS(Bloki1[WB],Bloki1[Nazwa zawodnika],$B60,Bloki1[Skill],C$56),VLOOKUP(INDEX(JuniorstwoRandom[],MATCH($A60,$A$3:$A$23,0),COLUMN(C$2)),Szacunki[],3,FALSE)),"-")</f>
        <v>8</v>
      </c>
      <c r="D60" s="58">
        <f ca="1">IFERROR(IF(SUMIFS(Bloki1[WB],Bloki1[Nazwa zawodnika],$B60,Bloki1[Skill],D$56)&gt;0,AVERAGEIFS(Bloki1[WB],Bloki1[Nazwa zawodnika],$B60,Bloki1[Skill],D$56),VLOOKUP(INDEX(JuniorstwoRandom[],MATCH($A60,$A$3:$A$23,0),COLUMN(D$2)),Szacunki[],3,FALSE)),"-")</f>
        <v>10</v>
      </c>
      <c r="E60" s="58">
        <f ca="1">IFERROR(IF(SUMIFS(Bloki1[WB],Bloki1[Nazwa zawodnika],$B60,Bloki1[Skill],E$56)&gt;0,AVERAGEIFS(Bloki1[WB],Bloki1[Nazwa zawodnika],$B60,Bloki1[Skill],E$56),VLOOKUP(INDEX(JuniorstwoRandom[],MATCH($A60,$A$3:$A$23,0),COLUMN(E$2)),Szacunki[],3,FALSE)),"-")</f>
        <v>9</v>
      </c>
      <c r="F60" s="58">
        <f ca="1">IFERROR(IF(SUMIFS(Bloki1[WB],Bloki1[Nazwa zawodnika],$B60,Bloki1[Skill],F$56)&gt;0,AVERAGEIFS(Bloki1[WB],Bloki1[Nazwa zawodnika],$B60,Bloki1[Skill],F$56),VLOOKUP(INDEX(JuniorstwoRandom[],MATCH($A60,$A$3:$A$23,0),COLUMN(F$2)),Szacunki[],3,FALSE)),"-")</f>
        <v>10</v>
      </c>
      <c r="G60" s="58">
        <f ca="1">IFERROR(IF(SUMIFS(Bloki1[WB],Bloki1[Nazwa zawodnika],$B60,Bloki1[Skill],G$56)&gt;0,AVERAGEIFS(Bloki1[WB],Bloki1[Nazwa zawodnika],$B60,Bloki1[Skill],G$56),VLOOKUP(INDEX(JuniorstwoRandom[],MATCH($A60,$A$3:$A$23,0),COLUMN(G$2)),Szacunki[],3,FALSE)),"-")</f>
        <v>9</v>
      </c>
      <c r="H60" s="58">
        <f ca="1">IFERROR(IF(SUMIFS(Bloki1[WB],Bloki1[Nazwa zawodnika],$B60,Bloki1[Skill],H$56)&gt;0,AVERAGEIFS(Bloki1[WB],Bloki1[Nazwa zawodnika],$B60,Bloki1[Skill],H$56),VLOOKUP(INDEX(JuniorstwoRandom[],MATCH($A60,$A$3:$A$23,0),COLUMN(H$2)),Szacunki[],3,FALSE)),"-")</f>
        <v>7</v>
      </c>
      <c r="I60" s="58">
        <f ca="1">IFERROR(IF(SUMIFS(Bloki1[WB],Bloki1[Nazwa zawodnika],$B60,Bloki1[Skill],I$56)&gt;0,AVERAGEIFS(Bloki1[WB],Bloki1[Nazwa zawodnika],$B60,Bloki1[Skill],I$56),VLOOKUP(INDEX(JuniorstwoRandom[],MATCH($A60,$A$3:$A$23,0),COLUMN(I$2)),Szacunki[],5,FALSE)),"-")</f>
        <v>8</v>
      </c>
      <c r="J60" s="58">
        <f ca="1">IFERROR(IF(SUMIFS(Bloki1[WB],Bloki1[Nazwa zawodnika],$B60,Bloki1[Skill],J$56)&gt;0,AVERAGEIFS(Bloki1[WB],Bloki1[Nazwa zawodnika],$B60,Bloki1[Skill],J$56),VLOOKUP(INDEX(JuniorstwoRandom[],MATCH($A60,$A$3:$A$23,0),COLUMN(J$2)),Szacunki[],3,FALSE)),"-")</f>
        <v>9</v>
      </c>
      <c r="K60" s="58">
        <f ca="1">IFERROR(IF(SUMIFS(Bloki1[WB],Bloki1[Nazwa zawodnika],$B60,Bloki1[Skill],K$56)&gt;0,AVERAGEIFS(Bloki1[WB],Bloki1[Nazwa zawodnika],$B60,Bloki1[Skill],K$56),VLOOKUP(INDEX(JuniorstwoRandom[],MATCH($A60,$A$3:$A$23,0),COLUMN(K$2)),Szacunki[],3,FALSE)),"-")</f>
        <v>7</v>
      </c>
      <c r="L60" s="58">
        <f ca="1">IFERROR(IF(SUMIFS(Bloki1[WB],Bloki1[Nazwa zawodnika],$B60,Bloki1[Skill],L$56)&gt;0,AVERAGEIFS(Bloki1[WB],Bloki1[Nazwa zawodnika],$B60,Bloki1[Skill],L$56),VLOOKUP(INDEX(JuniorstwoRandom[],MATCH($A60,$A$3:$A$23,0),COLUMN(L$2)),Szacunki[],3,FALSE)),"-")</f>
        <v>8</v>
      </c>
      <c r="M60" s="58">
        <f ca="1">IFERROR(IF(SUMIFS(Bloki1[WB],Bloki1[Nazwa zawodnika],$B60,Bloki1[Skill],M$56)&gt;0,AVERAGEIFS(Bloki1[WB],Bloki1[Nazwa zawodnika],$B60,Bloki1[Skill],M$56),VLOOKUP(INDEX(JuniorstwoRandom[],MATCH($A60,$A$3:$A$23,0),COLUMN(M$2)),Szacunki[],3,FALSE)),"-")</f>
        <v>9</v>
      </c>
      <c r="N60">
        <v>10</v>
      </c>
      <c r="O60" s="26">
        <f t="shared" ca="1" si="3"/>
        <v>94</v>
      </c>
    </row>
    <row r="61" spans="1:15" x14ac:dyDescent="0.25">
      <c r="A61" s="39">
        <f t="shared" si="2"/>
        <v>42</v>
      </c>
      <c r="B61" s="3" t="str">
        <f>IFERROR(VLOOKUP(JuniorzyPozytyw[[#This Row],[Numer]],Zawodnicy[],2,FALSE),"-")</f>
        <v>Olaf Skikiewicz</v>
      </c>
      <c r="C61" s="58">
        <f ca="1">IFERROR(IF(SUMIFS(Bloki1[WB],Bloki1[Nazwa zawodnika],$B61,Bloki1[Skill],C$56)&gt;0,AVERAGEIFS(Bloki1[WB],Bloki1[Nazwa zawodnika],$B61,Bloki1[Skill],C$56),VLOOKUP(INDEX(JuniorstwoRandom[],MATCH($A61,$A$3:$A$23,0),COLUMN(C$2)),Szacunki[],3,FALSE)),"-")</f>
        <v>9</v>
      </c>
      <c r="D61" s="58">
        <f ca="1">IFERROR(IF(SUMIFS(Bloki1[WB],Bloki1[Nazwa zawodnika],$B61,Bloki1[Skill],D$56)&gt;0,AVERAGEIFS(Bloki1[WB],Bloki1[Nazwa zawodnika],$B61,Bloki1[Skill],D$56),VLOOKUP(INDEX(JuniorstwoRandom[],MATCH($A61,$A$3:$A$23,0),COLUMN(D$2)),Szacunki[],3,FALSE)),"-")</f>
        <v>8</v>
      </c>
      <c r="E61" s="58">
        <f ca="1">IFERROR(IF(SUMIFS(Bloki1[WB],Bloki1[Nazwa zawodnika],$B61,Bloki1[Skill],E$56)&gt;0,AVERAGEIFS(Bloki1[WB],Bloki1[Nazwa zawodnika],$B61,Bloki1[Skill],E$56),VLOOKUP(INDEX(JuniorstwoRandom[],MATCH($A61,$A$3:$A$23,0),COLUMN(E$2)),Szacunki[],3,FALSE)),"-")</f>
        <v>8</v>
      </c>
      <c r="F61" s="58">
        <f ca="1">IFERROR(IF(SUMIFS(Bloki1[WB],Bloki1[Nazwa zawodnika],$B61,Bloki1[Skill],F$56)&gt;0,AVERAGEIFS(Bloki1[WB],Bloki1[Nazwa zawodnika],$B61,Bloki1[Skill],F$56),VLOOKUP(INDEX(JuniorstwoRandom[],MATCH($A61,$A$3:$A$23,0),COLUMN(F$2)),Szacunki[],3,FALSE)),"-")</f>
        <v>8</v>
      </c>
      <c r="G61" s="58">
        <f ca="1">IFERROR(IF(SUMIFS(Bloki1[WB],Bloki1[Nazwa zawodnika],$B61,Bloki1[Skill],G$56)&gt;0,AVERAGEIFS(Bloki1[WB],Bloki1[Nazwa zawodnika],$B61,Bloki1[Skill],G$56),VLOOKUP(INDEX(JuniorstwoRandom[],MATCH($A61,$A$3:$A$23,0),COLUMN(G$2)),Szacunki[],3,FALSE)),"-")</f>
        <v>8</v>
      </c>
      <c r="H61" s="58">
        <f ca="1">IFERROR(IF(SUMIFS(Bloki1[WB],Bloki1[Nazwa zawodnika],$B61,Bloki1[Skill],H$56)&gt;0,AVERAGEIFS(Bloki1[WB],Bloki1[Nazwa zawodnika],$B61,Bloki1[Skill],H$56),VLOOKUP(INDEX(JuniorstwoRandom[],MATCH($A61,$A$3:$A$23,0),COLUMN(H$2)),Szacunki[],3,FALSE)),"-")</f>
        <v>8</v>
      </c>
      <c r="I61" s="58">
        <f ca="1">IFERROR(IF(SUMIFS(Bloki1[WB],Bloki1[Nazwa zawodnika],$B61,Bloki1[Skill],I$56)&gt;0,AVERAGEIFS(Bloki1[WB],Bloki1[Nazwa zawodnika],$B61,Bloki1[Skill],I$56),VLOOKUP(INDEX(JuniorstwoRandom[],MATCH($A61,$A$3:$A$23,0),COLUMN(I$2)),Szacunki[],5,FALSE)),"-")</f>
        <v>6</v>
      </c>
      <c r="J61" s="58">
        <f ca="1">IFERROR(IF(SUMIFS(Bloki1[WB],Bloki1[Nazwa zawodnika],$B61,Bloki1[Skill],J$56)&gt;0,AVERAGEIFS(Bloki1[WB],Bloki1[Nazwa zawodnika],$B61,Bloki1[Skill],J$56),VLOOKUP(INDEX(JuniorstwoRandom[],MATCH($A61,$A$3:$A$23,0),COLUMN(J$2)),Szacunki[],3,FALSE)),"-")</f>
        <v>8</v>
      </c>
      <c r="K61" s="58">
        <f ca="1">IFERROR(IF(SUMIFS(Bloki1[WB],Bloki1[Nazwa zawodnika],$B61,Bloki1[Skill],K$56)&gt;0,AVERAGEIFS(Bloki1[WB],Bloki1[Nazwa zawodnika],$B61,Bloki1[Skill],K$56),VLOOKUP(INDEX(JuniorstwoRandom[],MATCH($A61,$A$3:$A$23,0),COLUMN(K$2)),Szacunki[],3,FALSE)),"-")</f>
        <v>7</v>
      </c>
      <c r="L61" s="58">
        <f ca="1">IFERROR(IF(SUMIFS(Bloki1[WB],Bloki1[Nazwa zawodnika],$B61,Bloki1[Skill],L$56)&gt;0,AVERAGEIFS(Bloki1[WB],Bloki1[Nazwa zawodnika],$B61,Bloki1[Skill],L$56),VLOOKUP(INDEX(JuniorstwoRandom[],MATCH($A61,$A$3:$A$23,0),COLUMN(L$2)),Szacunki[],3,FALSE)),"-")</f>
        <v>9</v>
      </c>
      <c r="M61" s="58">
        <f ca="1">IFERROR(IF(SUMIFS(Bloki1[WB],Bloki1[Nazwa zawodnika],$B61,Bloki1[Skill],M$56)&gt;0,AVERAGEIFS(Bloki1[WB],Bloki1[Nazwa zawodnika],$B61,Bloki1[Skill],M$56),VLOOKUP(INDEX(JuniorstwoRandom[],MATCH($A61,$A$3:$A$23,0),COLUMN(M$2)),Szacunki[],3,FALSE)),"-")</f>
        <v>8</v>
      </c>
      <c r="N61">
        <v>10</v>
      </c>
      <c r="O61" s="26">
        <f t="shared" ca="1" si="3"/>
        <v>87</v>
      </c>
    </row>
    <row r="62" spans="1:15" x14ac:dyDescent="0.25">
      <c r="A62" s="39">
        <f t="shared" si="2"/>
        <v>45</v>
      </c>
      <c r="B62" s="3" t="str">
        <f>IFERROR(VLOOKUP(JuniorzyPozytyw[[#This Row],[Numer]],Zawodnicy[],2,FALSE),"-")</f>
        <v>Janusz Sierocki</v>
      </c>
      <c r="C62" s="58">
        <f ca="1">IFERROR(IF(SUMIFS(Bloki1[WB],Bloki1[Nazwa zawodnika],$B62,Bloki1[Skill],C$56)&gt;0,AVERAGEIFS(Bloki1[WB],Bloki1[Nazwa zawodnika],$B62,Bloki1[Skill],C$56),VLOOKUP(INDEX(JuniorstwoRandom[],MATCH($A62,$A$3:$A$23,0),COLUMN(C$2)),Szacunki[],3,FALSE)),"-")</f>
        <v>7</v>
      </c>
      <c r="D62" s="58">
        <f ca="1">IFERROR(IF(SUMIFS(Bloki1[WB],Bloki1[Nazwa zawodnika],$B62,Bloki1[Skill],D$56)&gt;0,AVERAGEIFS(Bloki1[WB],Bloki1[Nazwa zawodnika],$B62,Bloki1[Skill],D$56),VLOOKUP(INDEX(JuniorstwoRandom[],MATCH($A62,$A$3:$A$23,0),COLUMN(D$2)),Szacunki[],3,FALSE)),"-")</f>
        <v>8</v>
      </c>
      <c r="E62" s="58">
        <f ca="1">IFERROR(IF(SUMIFS(Bloki1[WB],Bloki1[Nazwa zawodnika],$B62,Bloki1[Skill],E$56)&gt;0,AVERAGEIFS(Bloki1[WB],Bloki1[Nazwa zawodnika],$B62,Bloki1[Skill],E$56),VLOOKUP(INDEX(JuniorstwoRandom[],MATCH($A62,$A$3:$A$23,0),COLUMN(E$2)),Szacunki[],3,FALSE)),"-")</f>
        <v>5</v>
      </c>
      <c r="F62" s="58">
        <f ca="1">IFERROR(IF(SUMIFS(Bloki1[WB],Bloki1[Nazwa zawodnika],$B62,Bloki1[Skill],F$56)&gt;0,AVERAGEIFS(Bloki1[WB],Bloki1[Nazwa zawodnika],$B62,Bloki1[Skill],F$56),VLOOKUP(INDEX(JuniorstwoRandom[],MATCH($A62,$A$3:$A$23,0),COLUMN(F$2)),Szacunki[],3,FALSE)),"-")</f>
        <v>9</v>
      </c>
      <c r="G62" s="58">
        <f ca="1">IFERROR(IF(SUMIFS(Bloki1[WB],Bloki1[Nazwa zawodnika],$B62,Bloki1[Skill],G$56)&gt;0,AVERAGEIFS(Bloki1[WB],Bloki1[Nazwa zawodnika],$B62,Bloki1[Skill],G$56),VLOOKUP(INDEX(JuniorstwoRandom[],MATCH($A62,$A$3:$A$23,0),COLUMN(G$2)),Szacunki[],3,FALSE)),"-")</f>
        <v>7</v>
      </c>
      <c r="H62" s="58">
        <f ca="1">IFERROR(IF(SUMIFS(Bloki1[WB],Bloki1[Nazwa zawodnika],$B62,Bloki1[Skill],H$56)&gt;0,AVERAGEIFS(Bloki1[WB],Bloki1[Nazwa zawodnika],$B62,Bloki1[Skill],H$56),VLOOKUP(INDEX(JuniorstwoRandom[],MATCH($A62,$A$3:$A$23,0),COLUMN(H$2)),Szacunki[],3,FALSE)),"-")</f>
        <v>6</v>
      </c>
      <c r="I62" s="58">
        <f ca="1">IFERROR(IF(SUMIFS(Bloki1[WB],Bloki1[Nazwa zawodnika],$B62,Bloki1[Skill],I$56)&gt;0,AVERAGEIFS(Bloki1[WB],Bloki1[Nazwa zawodnika],$B62,Bloki1[Skill],I$56),VLOOKUP(INDEX(JuniorstwoRandom[],MATCH($A62,$A$3:$A$23,0),COLUMN(I$2)),Szacunki[],5,FALSE)),"-")</f>
        <v>4</v>
      </c>
      <c r="J62" s="58">
        <f ca="1">IFERROR(IF(SUMIFS(Bloki1[WB],Bloki1[Nazwa zawodnika],$B62,Bloki1[Skill],J$56)&gt;0,AVERAGEIFS(Bloki1[WB],Bloki1[Nazwa zawodnika],$B62,Bloki1[Skill],J$56),VLOOKUP(INDEX(JuniorstwoRandom[],MATCH($A62,$A$3:$A$23,0),COLUMN(J$2)),Szacunki[],3,FALSE)),"-")</f>
        <v>6</v>
      </c>
      <c r="K62" s="58">
        <f ca="1">IFERROR(IF(SUMIFS(Bloki1[WB],Bloki1[Nazwa zawodnika],$B62,Bloki1[Skill],K$56)&gt;0,AVERAGEIFS(Bloki1[WB],Bloki1[Nazwa zawodnika],$B62,Bloki1[Skill],K$56),VLOOKUP(INDEX(JuniorstwoRandom[],MATCH($A62,$A$3:$A$23,0),COLUMN(K$2)),Szacunki[],3,FALSE)),"-")</f>
        <v>9</v>
      </c>
      <c r="L62" s="58">
        <f ca="1">IFERROR(IF(SUMIFS(Bloki1[WB],Bloki1[Nazwa zawodnika],$B62,Bloki1[Skill],L$56)&gt;0,AVERAGEIFS(Bloki1[WB],Bloki1[Nazwa zawodnika],$B62,Bloki1[Skill],L$56),VLOOKUP(INDEX(JuniorstwoRandom[],MATCH($A62,$A$3:$A$23,0),COLUMN(L$2)),Szacunki[],3,FALSE)),"-")</f>
        <v>7</v>
      </c>
      <c r="M62" s="58">
        <f ca="1">IFERROR(IF(SUMIFS(Bloki1[WB],Bloki1[Nazwa zawodnika],$B62,Bloki1[Skill],M$56)&gt;0,AVERAGEIFS(Bloki1[WB],Bloki1[Nazwa zawodnika],$B62,Bloki1[Skill],M$56),VLOOKUP(INDEX(JuniorstwoRandom[],MATCH($A62,$A$3:$A$23,0),COLUMN(M$2)),Szacunki[],3,FALSE)),"-")</f>
        <v>7</v>
      </c>
      <c r="N62">
        <v>10</v>
      </c>
      <c r="O62" s="26">
        <f t="shared" ca="1" si="3"/>
        <v>75</v>
      </c>
    </row>
    <row r="63" spans="1:15" x14ac:dyDescent="0.25">
      <c r="A63" s="39">
        <f t="shared" si="2"/>
        <v>46</v>
      </c>
      <c r="B63" s="3" t="str">
        <f>IFERROR(VLOOKUP(JuniorzyPozytyw[[#This Row],[Numer]],Zawodnicy[],2,FALSE),"-")</f>
        <v>Iwo Duszenski</v>
      </c>
      <c r="C63" s="58">
        <f ca="1">IFERROR(IF(SUMIFS(Bloki1[WB],Bloki1[Nazwa zawodnika],$B63,Bloki1[Skill],C$56)&gt;0,AVERAGEIFS(Bloki1[WB],Bloki1[Nazwa zawodnika],$B63,Bloki1[Skill],C$56),VLOOKUP(INDEX(JuniorstwoRandom[],MATCH($A63,$A$3:$A$23,0),COLUMN(C$2)),Szacunki[],3,FALSE)),"-")</f>
        <v>8</v>
      </c>
      <c r="D63" s="58">
        <f ca="1">IFERROR(IF(SUMIFS(Bloki1[WB],Bloki1[Nazwa zawodnika],$B63,Bloki1[Skill],D$56)&gt;0,AVERAGEIFS(Bloki1[WB],Bloki1[Nazwa zawodnika],$B63,Bloki1[Skill],D$56),VLOOKUP(INDEX(JuniorstwoRandom[],MATCH($A63,$A$3:$A$23,0),COLUMN(D$2)),Szacunki[],3,FALSE)),"-")</f>
        <v>9</v>
      </c>
      <c r="E63" s="58">
        <f ca="1">IFERROR(IF(SUMIFS(Bloki1[WB],Bloki1[Nazwa zawodnika],$B63,Bloki1[Skill],E$56)&gt;0,AVERAGEIFS(Bloki1[WB],Bloki1[Nazwa zawodnika],$B63,Bloki1[Skill],E$56),VLOOKUP(INDEX(JuniorstwoRandom[],MATCH($A63,$A$3:$A$23,0),COLUMN(E$2)),Szacunki[],3,FALSE)),"-")</f>
        <v>10</v>
      </c>
      <c r="F63" s="58">
        <f ca="1">IFERROR(IF(SUMIFS(Bloki1[WB],Bloki1[Nazwa zawodnika],$B63,Bloki1[Skill],F$56)&gt;0,AVERAGEIFS(Bloki1[WB],Bloki1[Nazwa zawodnika],$B63,Bloki1[Skill],F$56),VLOOKUP(INDEX(JuniorstwoRandom[],MATCH($A63,$A$3:$A$23,0),COLUMN(F$2)),Szacunki[],3,FALSE)),"-")</f>
        <v>7</v>
      </c>
      <c r="G63" s="58">
        <f ca="1">IFERROR(IF(SUMIFS(Bloki1[WB],Bloki1[Nazwa zawodnika],$B63,Bloki1[Skill],G$56)&gt;0,AVERAGEIFS(Bloki1[WB],Bloki1[Nazwa zawodnika],$B63,Bloki1[Skill],G$56),VLOOKUP(INDEX(JuniorstwoRandom[],MATCH($A63,$A$3:$A$23,0),COLUMN(G$2)),Szacunki[],3,FALSE)),"-")</f>
        <v>10</v>
      </c>
      <c r="H63" s="58">
        <f ca="1">IFERROR(IF(SUMIFS(Bloki1[WB],Bloki1[Nazwa zawodnika],$B63,Bloki1[Skill],H$56)&gt;0,AVERAGEIFS(Bloki1[WB],Bloki1[Nazwa zawodnika],$B63,Bloki1[Skill],H$56),VLOOKUP(INDEX(JuniorstwoRandom[],MATCH($A63,$A$3:$A$23,0),COLUMN(H$2)),Szacunki[],3,FALSE)),"-")</f>
        <v>8</v>
      </c>
      <c r="I63" s="58">
        <f ca="1">IFERROR(IF(SUMIFS(Bloki1[WB],Bloki1[Nazwa zawodnika],$B63,Bloki1[Skill],I$56)&gt;0,AVERAGEIFS(Bloki1[WB],Bloki1[Nazwa zawodnika],$B63,Bloki1[Skill],I$56),VLOOKUP(INDEX(JuniorstwoRandom[],MATCH($A63,$A$3:$A$23,0),COLUMN(I$2)),Szacunki[],5,FALSE)),"-")</f>
        <v>4</v>
      </c>
      <c r="J63" s="58">
        <f ca="1">IFERROR(IF(SUMIFS(Bloki1[WB],Bloki1[Nazwa zawodnika],$B63,Bloki1[Skill],J$56)&gt;0,AVERAGEIFS(Bloki1[WB],Bloki1[Nazwa zawodnika],$B63,Bloki1[Skill],J$56),VLOOKUP(INDEX(JuniorstwoRandom[],MATCH($A63,$A$3:$A$23,0),COLUMN(J$2)),Szacunki[],3,FALSE)),"-")</f>
        <v>6</v>
      </c>
      <c r="K63" s="58">
        <f ca="1">IFERROR(IF(SUMIFS(Bloki1[WB],Bloki1[Nazwa zawodnika],$B63,Bloki1[Skill],K$56)&gt;0,AVERAGEIFS(Bloki1[WB],Bloki1[Nazwa zawodnika],$B63,Bloki1[Skill],K$56),VLOOKUP(INDEX(JuniorstwoRandom[],MATCH($A63,$A$3:$A$23,0),COLUMN(K$2)),Szacunki[],3,FALSE)),"-")</f>
        <v>7</v>
      </c>
      <c r="L63" s="58">
        <f ca="1">IFERROR(IF(SUMIFS(Bloki1[WB],Bloki1[Nazwa zawodnika],$B63,Bloki1[Skill],L$56)&gt;0,AVERAGEIFS(Bloki1[WB],Bloki1[Nazwa zawodnika],$B63,Bloki1[Skill],L$56),VLOOKUP(INDEX(JuniorstwoRandom[],MATCH($A63,$A$3:$A$23,0),COLUMN(L$2)),Szacunki[],3,FALSE)),"-")</f>
        <v>5</v>
      </c>
      <c r="M63" s="58">
        <f ca="1">IFERROR(IF(SUMIFS(Bloki1[WB],Bloki1[Nazwa zawodnika],$B63,Bloki1[Skill],M$56)&gt;0,AVERAGEIFS(Bloki1[WB],Bloki1[Nazwa zawodnika],$B63,Bloki1[Skill],M$56),VLOOKUP(INDEX(JuniorstwoRandom[],MATCH($A63,$A$3:$A$23,0),COLUMN(M$2)),Szacunki[],3,FALSE)),"-")</f>
        <v>9</v>
      </c>
      <c r="N63">
        <v>10</v>
      </c>
      <c r="O63" s="26">
        <f t="shared" ca="1" si="3"/>
        <v>83</v>
      </c>
    </row>
    <row r="64" spans="1:15" x14ac:dyDescent="0.25">
      <c r="A64" s="39">
        <f t="shared" si="2"/>
        <v>48</v>
      </c>
      <c r="B64" s="3" t="str">
        <f>IFERROR(VLOOKUP(JuniorzyPozytyw[[#This Row],[Numer]],Zawodnicy[],2,FALSE),"-")</f>
        <v>Wincenty Zawaski</v>
      </c>
      <c r="C64" s="58">
        <f ca="1">IFERROR(IF(SUMIFS(Bloki1[WB],Bloki1[Nazwa zawodnika],$B64,Bloki1[Skill],C$56)&gt;0,AVERAGEIFS(Bloki1[WB],Bloki1[Nazwa zawodnika],$B64,Bloki1[Skill],C$56),VLOOKUP(INDEX(JuniorstwoRandom[],MATCH($A64,$A$3:$A$23,0),COLUMN(C$2)),Szacunki[],3,FALSE)),"-")</f>
        <v>6</v>
      </c>
      <c r="D64" s="58">
        <f ca="1">IFERROR(IF(SUMIFS(Bloki1[WB],Bloki1[Nazwa zawodnika],$B64,Bloki1[Skill],D$56)&gt;0,AVERAGEIFS(Bloki1[WB],Bloki1[Nazwa zawodnika],$B64,Bloki1[Skill],D$56),VLOOKUP(INDEX(JuniorstwoRandom[],MATCH($A64,$A$3:$A$23,0),COLUMN(D$2)),Szacunki[],3,FALSE)),"-")</f>
        <v>9</v>
      </c>
      <c r="E64" s="58">
        <f ca="1">IFERROR(IF(SUMIFS(Bloki1[WB],Bloki1[Nazwa zawodnika],$B64,Bloki1[Skill],E$56)&gt;0,AVERAGEIFS(Bloki1[WB],Bloki1[Nazwa zawodnika],$B64,Bloki1[Skill],E$56),VLOOKUP(INDEX(JuniorstwoRandom[],MATCH($A64,$A$3:$A$23,0),COLUMN(E$2)),Szacunki[],3,FALSE)),"-")</f>
        <v>7</v>
      </c>
      <c r="F64" s="58">
        <f ca="1">IFERROR(IF(SUMIFS(Bloki1[WB],Bloki1[Nazwa zawodnika],$B64,Bloki1[Skill],F$56)&gt;0,AVERAGEIFS(Bloki1[WB],Bloki1[Nazwa zawodnika],$B64,Bloki1[Skill],F$56),VLOOKUP(INDEX(JuniorstwoRandom[],MATCH($A64,$A$3:$A$23,0),COLUMN(F$2)),Szacunki[],3,FALSE)),"-")</f>
        <v>7</v>
      </c>
      <c r="G64" s="58">
        <f ca="1">IFERROR(IF(SUMIFS(Bloki1[WB],Bloki1[Nazwa zawodnika],$B64,Bloki1[Skill],G$56)&gt;0,AVERAGEIFS(Bloki1[WB],Bloki1[Nazwa zawodnika],$B64,Bloki1[Skill],G$56),VLOOKUP(INDEX(JuniorstwoRandom[],MATCH($A64,$A$3:$A$23,0),COLUMN(G$2)),Szacunki[],3,FALSE)),"-")</f>
        <v>7</v>
      </c>
      <c r="H64" s="58">
        <f ca="1">IFERROR(IF(SUMIFS(Bloki1[WB],Bloki1[Nazwa zawodnika],$B64,Bloki1[Skill],H$56)&gt;0,AVERAGEIFS(Bloki1[WB],Bloki1[Nazwa zawodnika],$B64,Bloki1[Skill],H$56),VLOOKUP(INDEX(JuniorstwoRandom[],MATCH($A64,$A$3:$A$23,0),COLUMN(H$2)),Szacunki[],3,FALSE)),"-")</f>
        <v>7</v>
      </c>
      <c r="I64" s="58">
        <f ca="1">IFERROR(IF(SUMIFS(Bloki1[WB],Bloki1[Nazwa zawodnika],$B64,Bloki1[Skill],I$56)&gt;0,AVERAGEIFS(Bloki1[WB],Bloki1[Nazwa zawodnika],$B64,Bloki1[Skill],I$56),VLOOKUP(INDEX(JuniorstwoRandom[],MATCH($A64,$A$3:$A$23,0),COLUMN(I$2)),Szacunki[],5,FALSE)),"-")</f>
        <v>4</v>
      </c>
      <c r="J64" s="58">
        <f ca="1">IFERROR(IF(SUMIFS(Bloki1[WB],Bloki1[Nazwa zawodnika],$B64,Bloki1[Skill],J$56)&gt;0,AVERAGEIFS(Bloki1[WB],Bloki1[Nazwa zawodnika],$B64,Bloki1[Skill],J$56),VLOOKUP(INDEX(JuniorstwoRandom[],MATCH($A64,$A$3:$A$23,0),COLUMN(J$2)),Szacunki[],3,FALSE)),"-")</f>
        <v>7</v>
      </c>
      <c r="K64" s="58">
        <f ca="1">IFERROR(IF(SUMIFS(Bloki1[WB],Bloki1[Nazwa zawodnika],$B64,Bloki1[Skill],K$56)&gt;0,AVERAGEIFS(Bloki1[WB],Bloki1[Nazwa zawodnika],$B64,Bloki1[Skill],K$56),VLOOKUP(INDEX(JuniorstwoRandom[],MATCH($A64,$A$3:$A$23,0),COLUMN(K$2)),Szacunki[],3,FALSE)),"-")</f>
        <v>7</v>
      </c>
      <c r="L64" s="58">
        <f ca="1">IFERROR(IF(SUMIFS(Bloki1[WB],Bloki1[Nazwa zawodnika],$B64,Bloki1[Skill],L$56)&gt;0,AVERAGEIFS(Bloki1[WB],Bloki1[Nazwa zawodnika],$B64,Bloki1[Skill],L$56),VLOOKUP(INDEX(JuniorstwoRandom[],MATCH($A64,$A$3:$A$23,0),COLUMN(L$2)),Szacunki[],3,FALSE)),"-")</f>
        <v>9</v>
      </c>
      <c r="M64" s="58">
        <f ca="1">IFERROR(IF(SUMIFS(Bloki1[WB],Bloki1[Nazwa zawodnika],$B64,Bloki1[Skill],M$56)&gt;0,AVERAGEIFS(Bloki1[WB],Bloki1[Nazwa zawodnika],$B64,Bloki1[Skill],M$56),VLOOKUP(INDEX(JuniorstwoRandom[],MATCH($A64,$A$3:$A$23,0),COLUMN(M$2)),Szacunki[],3,FALSE)),"-")</f>
        <v>5</v>
      </c>
      <c r="N64">
        <v>10</v>
      </c>
      <c r="O64" s="26">
        <f t="shared" ca="1" si="3"/>
        <v>75</v>
      </c>
    </row>
    <row r="65" spans="1:15" x14ac:dyDescent="0.25">
      <c r="A65" s="39">
        <f t="shared" si="2"/>
        <v>49</v>
      </c>
      <c r="B65" s="3" t="str">
        <f>IFERROR(VLOOKUP(JuniorzyPozytyw[[#This Row],[Numer]],Zawodnicy[],2,FALSE),"-")</f>
        <v>Dobromir Kolacki</v>
      </c>
      <c r="C65" s="58">
        <f ca="1">IFERROR(IF(SUMIFS(Bloki1[WB],Bloki1[Nazwa zawodnika],$B65,Bloki1[Skill],C$56)&gt;0,AVERAGEIFS(Bloki1[WB],Bloki1[Nazwa zawodnika],$B65,Bloki1[Skill],C$56),VLOOKUP(INDEX(JuniorstwoRandom[],MATCH($A65,$A$3:$A$23,0),COLUMN(C$2)),Szacunki[],3,FALSE)),"-")</f>
        <v>5</v>
      </c>
      <c r="D65" s="58">
        <f ca="1">IFERROR(IF(SUMIFS(Bloki1[WB],Bloki1[Nazwa zawodnika],$B65,Bloki1[Skill],D$56)&gt;0,AVERAGEIFS(Bloki1[WB],Bloki1[Nazwa zawodnika],$B65,Bloki1[Skill],D$56),VLOOKUP(INDEX(JuniorstwoRandom[],MATCH($A65,$A$3:$A$23,0),COLUMN(D$2)),Szacunki[],3,FALSE)),"-")</f>
        <v>7</v>
      </c>
      <c r="E65" s="58">
        <f ca="1">IFERROR(IF(SUMIFS(Bloki1[WB],Bloki1[Nazwa zawodnika],$B65,Bloki1[Skill],E$56)&gt;0,AVERAGEIFS(Bloki1[WB],Bloki1[Nazwa zawodnika],$B65,Bloki1[Skill],E$56),VLOOKUP(INDEX(JuniorstwoRandom[],MATCH($A65,$A$3:$A$23,0),COLUMN(E$2)),Szacunki[],3,FALSE)),"-")</f>
        <v>9</v>
      </c>
      <c r="F65" s="58">
        <f ca="1">IFERROR(IF(SUMIFS(Bloki1[WB],Bloki1[Nazwa zawodnika],$B65,Bloki1[Skill],F$56)&gt;0,AVERAGEIFS(Bloki1[WB],Bloki1[Nazwa zawodnika],$B65,Bloki1[Skill],F$56),VLOOKUP(INDEX(JuniorstwoRandom[],MATCH($A65,$A$3:$A$23,0),COLUMN(F$2)),Szacunki[],3,FALSE)),"-")</f>
        <v>8</v>
      </c>
      <c r="G65" s="58">
        <f ca="1">IFERROR(IF(SUMIFS(Bloki1[WB],Bloki1[Nazwa zawodnika],$B65,Bloki1[Skill],G$56)&gt;0,AVERAGEIFS(Bloki1[WB],Bloki1[Nazwa zawodnika],$B65,Bloki1[Skill],G$56),VLOOKUP(INDEX(JuniorstwoRandom[],MATCH($A65,$A$3:$A$23,0),COLUMN(G$2)),Szacunki[],3,FALSE)),"-")</f>
        <v>5</v>
      </c>
      <c r="H65" s="58">
        <f ca="1">IFERROR(IF(SUMIFS(Bloki1[WB],Bloki1[Nazwa zawodnika],$B65,Bloki1[Skill],H$56)&gt;0,AVERAGEIFS(Bloki1[WB],Bloki1[Nazwa zawodnika],$B65,Bloki1[Skill],H$56),VLOOKUP(INDEX(JuniorstwoRandom[],MATCH($A65,$A$3:$A$23,0),COLUMN(H$2)),Szacunki[],3,FALSE)),"-")</f>
        <v>8</v>
      </c>
      <c r="I65" s="58">
        <f ca="1">IFERROR(IF(SUMIFS(Bloki1[WB],Bloki1[Nazwa zawodnika],$B65,Bloki1[Skill],I$56)&gt;0,AVERAGEIFS(Bloki1[WB],Bloki1[Nazwa zawodnika],$B65,Bloki1[Skill],I$56),VLOOKUP(INDEX(JuniorstwoRandom[],MATCH($A65,$A$3:$A$23,0),COLUMN(I$2)),Szacunki[],5,FALSE)),"-")</f>
        <v>10</v>
      </c>
      <c r="J65" s="58">
        <f ca="1">IFERROR(IF(SUMIFS(Bloki1[WB],Bloki1[Nazwa zawodnika],$B65,Bloki1[Skill],J$56)&gt;0,AVERAGEIFS(Bloki1[WB],Bloki1[Nazwa zawodnika],$B65,Bloki1[Skill],J$56),VLOOKUP(INDEX(JuniorstwoRandom[],MATCH($A65,$A$3:$A$23,0),COLUMN(J$2)),Szacunki[],3,FALSE)),"-")</f>
        <v>7</v>
      </c>
      <c r="K65" s="58">
        <f ca="1">IFERROR(IF(SUMIFS(Bloki1[WB],Bloki1[Nazwa zawodnika],$B65,Bloki1[Skill],K$56)&gt;0,AVERAGEIFS(Bloki1[WB],Bloki1[Nazwa zawodnika],$B65,Bloki1[Skill],K$56),VLOOKUP(INDEX(JuniorstwoRandom[],MATCH($A65,$A$3:$A$23,0),COLUMN(K$2)),Szacunki[],3,FALSE)),"-")</f>
        <v>8</v>
      </c>
      <c r="L65" s="58">
        <f ca="1">IFERROR(IF(SUMIFS(Bloki1[WB],Bloki1[Nazwa zawodnika],$B65,Bloki1[Skill],L$56)&gt;0,AVERAGEIFS(Bloki1[WB],Bloki1[Nazwa zawodnika],$B65,Bloki1[Skill],L$56),VLOOKUP(INDEX(JuniorstwoRandom[],MATCH($A65,$A$3:$A$23,0),COLUMN(L$2)),Szacunki[],3,FALSE)),"-")</f>
        <v>10</v>
      </c>
      <c r="M65" s="58">
        <f ca="1">IFERROR(IF(SUMIFS(Bloki1[WB],Bloki1[Nazwa zawodnika],$B65,Bloki1[Skill],M$56)&gt;0,AVERAGEIFS(Bloki1[WB],Bloki1[Nazwa zawodnika],$B65,Bloki1[Skill],M$56),VLOOKUP(INDEX(JuniorstwoRandom[],MATCH($A65,$A$3:$A$23,0),COLUMN(M$2)),Szacunki[],3,FALSE)),"-")</f>
        <v>9</v>
      </c>
      <c r="N65">
        <v>10</v>
      </c>
      <c r="O65" s="26">
        <f t="shared" ca="1" si="3"/>
        <v>86</v>
      </c>
    </row>
    <row r="66" spans="1:15" x14ac:dyDescent="0.25">
      <c r="A66" s="39">
        <f t="shared" si="2"/>
        <v>50</v>
      </c>
      <c r="B66" s="3" t="str">
        <f>IFERROR(VLOOKUP(JuniorzyPozytyw[[#This Row],[Numer]],Zawodnicy[],2,FALSE),"-")</f>
        <v>Ludomil Robak</v>
      </c>
      <c r="C66" s="58">
        <f ca="1">IFERROR(IF(SUMIFS(Bloki1[WB],Bloki1[Nazwa zawodnika],$B66,Bloki1[Skill],C$56)&gt;0,AVERAGEIFS(Bloki1[WB],Bloki1[Nazwa zawodnika],$B66,Bloki1[Skill],C$56),VLOOKUP(INDEX(JuniorstwoRandom[],MATCH($A66,$A$3:$A$23,0),COLUMN(C$2)),Szacunki[],3,FALSE)),"-")</f>
        <v>8</v>
      </c>
      <c r="D66" s="58">
        <f ca="1">IFERROR(IF(SUMIFS(Bloki1[WB],Bloki1[Nazwa zawodnika],$B66,Bloki1[Skill],D$56)&gt;0,AVERAGEIFS(Bloki1[WB],Bloki1[Nazwa zawodnika],$B66,Bloki1[Skill],D$56),VLOOKUP(INDEX(JuniorstwoRandom[],MATCH($A66,$A$3:$A$23,0),COLUMN(D$2)),Szacunki[],3,FALSE)),"-")</f>
        <v>7</v>
      </c>
      <c r="E66" s="58">
        <f ca="1">IFERROR(IF(SUMIFS(Bloki1[WB],Bloki1[Nazwa zawodnika],$B66,Bloki1[Skill],E$56)&gt;0,AVERAGEIFS(Bloki1[WB],Bloki1[Nazwa zawodnika],$B66,Bloki1[Skill],E$56),VLOOKUP(INDEX(JuniorstwoRandom[],MATCH($A66,$A$3:$A$23,0),COLUMN(E$2)),Szacunki[],3,FALSE)),"-")</f>
        <v>8</v>
      </c>
      <c r="F66" s="58">
        <f ca="1">IFERROR(IF(SUMIFS(Bloki1[WB],Bloki1[Nazwa zawodnika],$B66,Bloki1[Skill],F$56)&gt;0,AVERAGEIFS(Bloki1[WB],Bloki1[Nazwa zawodnika],$B66,Bloki1[Skill],F$56),VLOOKUP(INDEX(JuniorstwoRandom[],MATCH($A66,$A$3:$A$23,0),COLUMN(F$2)),Szacunki[],3,FALSE)),"-")</f>
        <v>9</v>
      </c>
      <c r="G66" s="58">
        <f ca="1">IFERROR(IF(SUMIFS(Bloki1[WB],Bloki1[Nazwa zawodnika],$B66,Bloki1[Skill],G$56)&gt;0,AVERAGEIFS(Bloki1[WB],Bloki1[Nazwa zawodnika],$B66,Bloki1[Skill],G$56),VLOOKUP(INDEX(JuniorstwoRandom[],MATCH($A66,$A$3:$A$23,0),COLUMN(G$2)),Szacunki[],3,FALSE)),"-")</f>
        <v>8</v>
      </c>
      <c r="H66" s="58">
        <f ca="1">IFERROR(IF(SUMIFS(Bloki1[WB],Bloki1[Nazwa zawodnika],$B66,Bloki1[Skill],H$56)&gt;0,AVERAGEIFS(Bloki1[WB],Bloki1[Nazwa zawodnika],$B66,Bloki1[Skill],H$56),VLOOKUP(INDEX(JuniorstwoRandom[],MATCH($A66,$A$3:$A$23,0),COLUMN(H$2)),Szacunki[],3,FALSE)),"-")</f>
        <v>9</v>
      </c>
      <c r="I66" s="58">
        <f ca="1">IFERROR(IF(SUMIFS(Bloki1[WB],Bloki1[Nazwa zawodnika],$B66,Bloki1[Skill],I$56)&gt;0,AVERAGEIFS(Bloki1[WB],Bloki1[Nazwa zawodnika],$B66,Bloki1[Skill],I$56),VLOOKUP(INDEX(JuniorstwoRandom[],MATCH($A66,$A$3:$A$23,0),COLUMN(I$2)),Szacunki[],5,FALSE)),"-")</f>
        <v>6</v>
      </c>
      <c r="J66" s="58">
        <f ca="1">IFERROR(IF(SUMIFS(Bloki1[WB],Bloki1[Nazwa zawodnika],$B66,Bloki1[Skill],J$56)&gt;0,AVERAGEIFS(Bloki1[WB],Bloki1[Nazwa zawodnika],$B66,Bloki1[Skill],J$56),VLOOKUP(INDEX(JuniorstwoRandom[],MATCH($A66,$A$3:$A$23,0),COLUMN(J$2)),Szacunki[],3,FALSE)),"-")</f>
        <v>8</v>
      </c>
      <c r="K66" s="58">
        <f ca="1">IFERROR(IF(SUMIFS(Bloki1[WB],Bloki1[Nazwa zawodnika],$B66,Bloki1[Skill],K$56)&gt;0,AVERAGEIFS(Bloki1[WB],Bloki1[Nazwa zawodnika],$B66,Bloki1[Skill],K$56),VLOOKUP(INDEX(JuniorstwoRandom[],MATCH($A66,$A$3:$A$23,0),COLUMN(K$2)),Szacunki[],3,FALSE)),"-")</f>
        <v>8</v>
      </c>
      <c r="L66" s="58">
        <f ca="1">IFERROR(IF(SUMIFS(Bloki1[WB],Bloki1[Nazwa zawodnika],$B66,Bloki1[Skill],L$56)&gt;0,AVERAGEIFS(Bloki1[WB],Bloki1[Nazwa zawodnika],$B66,Bloki1[Skill],L$56),VLOOKUP(INDEX(JuniorstwoRandom[],MATCH($A66,$A$3:$A$23,0),COLUMN(L$2)),Szacunki[],3,FALSE)),"-")</f>
        <v>8</v>
      </c>
      <c r="M66" s="58">
        <f ca="1">IFERROR(IF(SUMIFS(Bloki1[WB],Bloki1[Nazwa zawodnika],$B66,Bloki1[Skill],M$56)&gt;0,AVERAGEIFS(Bloki1[WB],Bloki1[Nazwa zawodnika],$B66,Bloki1[Skill],M$56),VLOOKUP(INDEX(JuniorstwoRandom[],MATCH($A66,$A$3:$A$23,0),COLUMN(M$2)),Szacunki[],3,FALSE)),"-")</f>
        <v>8</v>
      </c>
      <c r="N66">
        <v>10</v>
      </c>
      <c r="O66" s="26">
        <f t="shared" ca="1" si="3"/>
        <v>87</v>
      </c>
    </row>
    <row r="67" spans="1:15" x14ac:dyDescent="0.25">
      <c r="A67" s="39">
        <f t="shared" si="2"/>
        <v>51</v>
      </c>
      <c r="B67" s="3" t="str">
        <f>IFERROR(VLOOKUP(JuniorzyPozytyw[[#This Row],[Numer]],Zawodnicy[],2,FALSE),"-")</f>
        <v>Radoslaw Cichowski</v>
      </c>
      <c r="C67" s="58">
        <f ca="1">IFERROR(IF(SUMIFS(Bloki1[WB],Bloki1[Nazwa zawodnika],$B67,Bloki1[Skill],C$56)&gt;0,AVERAGEIFS(Bloki1[WB],Bloki1[Nazwa zawodnika],$B67,Bloki1[Skill],C$56),VLOOKUP(INDEX(JuniorstwoRandom[],MATCH($A67,$A$3:$A$23,0),COLUMN(C$2)),Szacunki[],3,FALSE)),"-")</f>
        <v>8</v>
      </c>
      <c r="D67" s="58">
        <f ca="1">IFERROR(IF(SUMIFS(Bloki1[WB],Bloki1[Nazwa zawodnika],$B67,Bloki1[Skill],D$56)&gt;0,AVERAGEIFS(Bloki1[WB],Bloki1[Nazwa zawodnika],$B67,Bloki1[Skill],D$56),VLOOKUP(INDEX(JuniorstwoRandom[],MATCH($A67,$A$3:$A$23,0),COLUMN(D$2)),Szacunki[],3,FALSE)),"-")</f>
        <v>9</v>
      </c>
      <c r="E67" s="58">
        <f ca="1">IFERROR(IF(SUMIFS(Bloki1[WB],Bloki1[Nazwa zawodnika],$B67,Bloki1[Skill],E$56)&gt;0,AVERAGEIFS(Bloki1[WB],Bloki1[Nazwa zawodnika],$B67,Bloki1[Skill],E$56),VLOOKUP(INDEX(JuniorstwoRandom[],MATCH($A67,$A$3:$A$23,0),COLUMN(E$2)),Szacunki[],3,FALSE)),"-")</f>
        <v>8</v>
      </c>
      <c r="F67" s="58">
        <f ca="1">IFERROR(IF(SUMIFS(Bloki1[WB],Bloki1[Nazwa zawodnika],$B67,Bloki1[Skill],F$56)&gt;0,AVERAGEIFS(Bloki1[WB],Bloki1[Nazwa zawodnika],$B67,Bloki1[Skill],F$56),VLOOKUP(INDEX(JuniorstwoRandom[],MATCH($A67,$A$3:$A$23,0),COLUMN(F$2)),Szacunki[],3,FALSE)),"-")</f>
        <v>8</v>
      </c>
      <c r="G67" s="58">
        <f ca="1">IFERROR(IF(SUMIFS(Bloki1[WB],Bloki1[Nazwa zawodnika],$B67,Bloki1[Skill],G$56)&gt;0,AVERAGEIFS(Bloki1[WB],Bloki1[Nazwa zawodnika],$B67,Bloki1[Skill],G$56),VLOOKUP(INDEX(JuniorstwoRandom[],MATCH($A67,$A$3:$A$23,0),COLUMN(G$2)),Szacunki[],3,FALSE)),"-")</f>
        <v>7</v>
      </c>
      <c r="H67" s="58">
        <f ca="1">IFERROR(IF(SUMIFS(Bloki1[WB],Bloki1[Nazwa zawodnika],$B67,Bloki1[Skill],H$56)&gt;0,AVERAGEIFS(Bloki1[WB],Bloki1[Nazwa zawodnika],$B67,Bloki1[Skill],H$56),VLOOKUP(INDEX(JuniorstwoRandom[],MATCH($A67,$A$3:$A$23,0),COLUMN(H$2)),Szacunki[],3,FALSE)),"-")</f>
        <v>8</v>
      </c>
      <c r="I67" s="58">
        <f ca="1">IFERROR(IF(SUMIFS(Bloki1[WB],Bloki1[Nazwa zawodnika],$B67,Bloki1[Skill],I$56)&gt;0,AVERAGEIFS(Bloki1[WB],Bloki1[Nazwa zawodnika],$B67,Bloki1[Skill],I$56),VLOOKUP(INDEX(JuniorstwoRandom[],MATCH($A67,$A$3:$A$23,0),COLUMN(I$2)),Szacunki[],5,FALSE)),"-")</f>
        <v>6</v>
      </c>
      <c r="J67" s="58">
        <f ca="1">IFERROR(IF(SUMIFS(Bloki1[WB],Bloki1[Nazwa zawodnika],$B67,Bloki1[Skill],J$56)&gt;0,AVERAGEIFS(Bloki1[WB],Bloki1[Nazwa zawodnika],$B67,Bloki1[Skill],J$56),VLOOKUP(INDEX(JuniorstwoRandom[],MATCH($A67,$A$3:$A$23,0),COLUMN(J$2)),Szacunki[],3,FALSE)),"-")</f>
        <v>8</v>
      </c>
      <c r="K67" s="58">
        <f ca="1">IFERROR(IF(SUMIFS(Bloki1[WB],Bloki1[Nazwa zawodnika],$B67,Bloki1[Skill],K$56)&gt;0,AVERAGEIFS(Bloki1[WB],Bloki1[Nazwa zawodnika],$B67,Bloki1[Skill],K$56),VLOOKUP(INDEX(JuniorstwoRandom[],MATCH($A67,$A$3:$A$23,0),COLUMN(K$2)),Szacunki[],3,FALSE)),"-")</f>
        <v>9</v>
      </c>
      <c r="L67" s="58">
        <f ca="1">IFERROR(IF(SUMIFS(Bloki1[WB],Bloki1[Nazwa zawodnika],$B67,Bloki1[Skill],L$56)&gt;0,AVERAGEIFS(Bloki1[WB],Bloki1[Nazwa zawodnika],$B67,Bloki1[Skill],L$56),VLOOKUP(INDEX(JuniorstwoRandom[],MATCH($A67,$A$3:$A$23,0),COLUMN(L$2)),Szacunki[],3,FALSE)),"-")</f>
        <v>8</v>
      </c>
      <c r="M67" s="58">
        <f ca="1">IFERROR(IF(SUMIFS(Bloki1[WB],Bloki1[Nazwa zawodnika],$B67,Bloki1[Skill],M$56)&gt;0,AVERAGEIFS(Bloki1[WB],Bloki1[Nazwa zawodnika],$B67,Bloki1[Skill],M$56),VLOOKUP(INDEX(JuniorstwoRandom[],MATCH($A67,$A$3:$A$23,0),COLUMN(M$2)),Szacunki[],3,FALSE)),"-")</f>
        <v>8</v>
      </c>
      <c r="N67">
        <v>10</v>
      </c>
      <c r="O67" s="26">
        <f t="shared" ca="1" si="3"/>
        <v>87</v>
      </c>
    </row>
    <row r="68" spans="1:15" x14ac:dyDescent="0.25">
      <c r="A68" s="39">
        <f t="shared" si="2"/>
        <v>52</v>
      </c>
      <c r="B68" s="3" t="str">
        <f>IFERROR(VLOOKUP(JuniorzyPozytyw[[#This Row],[Numer]],Zawodnicy[],2,FALSE),"-")</f>
        <v>Roland Danisiewicz</v>
      </c>
      <c r="C68" s="58">
        <f ca="1">IFERROR(IF(SUMIFS(Bloki1[WB],Bloki1[Nazwa zawodnika],$B68,Bloki1[Skill],C$56)&gt;0,AVERAGEIFS(Bloki1[WB],Bloki1[Nazwa zawodnika],$B68,Bloki1[Skill],C$56),VLOOKUP(INDEX(JuniorstwoRandom[],MATCH($A68,$A$3:$A$23,0),COLUMN(C$2)),Szacunki[],3,FALSE)),"-")</f>
        <v>8</v>
      </c>
      <c r="D68" s="58">
        <f ca="1">IFERROR(IF(SUMIFS(Bloki1[WB],Bloki1[Nazwa zawodnika],$B68,Bloki1[Skill],D$56)&gt;0,AVERAGEIFS(Bloki1[WB],Bloki1[Nazwa zawodnika],$B68,Bloki1[Skill],D$56),VLOOKUP(INDEX(JuniorstwoRandom[],MATCH($A68,$A$3:$A$23,0),COLUMN(D$2)),Szacunki[],3,FALSE)),"-")</f>
        <v>8</v>
      </c>
      <c r="E68" s="58">
        <f ca="1">IFERROR(IF(SUMIFS(Bloki1[WB],Bloki1[Nazwa zawodnika],$B68,Bloki1[Skill],E$56)&gt;0,AVERAGEIFS(Bloki1[WB],Bloki1[Nazwa zawodnika],$B68,Bloki1[Skill],E$56),VLOOKUP(INDEX(JuniorstwoRandom[],MATCH($A68,$A$3:$A$23,0),COLUMN(E$2)),Szacunki[],3,FALSE)),"-")</f>
        <v>8</v>
      </c>
      <c r="F68" s="58">
        <f ca="1">IFERROR(IF(SUMIFS(Bloki1[WB],Bloki1[Nazwa zawodnika],$B68,Bloki1[Skill],F$56)&gt;0,AVERAGEIFS(Bloki1[WB],Bloki1[Nazwa zawodnika],$B68,Bloki1[Skill],F$56),VLOOKUP(INDEX(JuniorstwoRandom[],MATCH($A68,$A$3:$A$23,0),COLUMN(F$2)),Szacunki[],3,FALSE)),"-")</f>
        <v>8</v>
      </c>
      <c r="G68" s="58">
        <f ca="1">IFERROR(IF(SUMIFS(Bloki1[WB],Bloki1[Nazwa zawodnika],$B68,Bloki1[Skill],G$56)&gt;0,AVERAGEIFS(Bloki1[WB],Bloki1[Nazwa zawodnika],$B68,Bloki1[Skill],G$56),VLOOKUP(INDEX(JuniorstwoRandom[],MATCH($A68,$A$3:$A$23,0),COLUMN(G$2)),Szacunki[],3,FALSE)),"-")</f>
        <v>9</v>
      </c>
      <c r="H68" s="58">
        <f ca="1">IFERROR(IF(SUMIFS(Bloki1[WB],Bloki1[Nazwa zawodnika],$B68,Bloki1[Skill],H$56)&gt;0,AVERAGEIFS(Bloki1[WB],Bloki1[Nazwa zawodnika],$B68,Bloki1[Skill],H$56),VLOOKUP(INDEX(JuniorstwoRandom[],MATCH($A68,$A$3:$A$23,0),COLUMN(H$2)),Szacunki[],3,FALSE)),"-")</f>
        <v>8</v>
      </c>
      <c r="I68" s="58">
        <f ca="1">IFERROR(IF(SUMIFS(Bloki1[WB],Bloki1[Nazwa zawodnika],$B68,Bloki1[Skill],I$56)&gt;0,AVERAGEIFS(Bloki1[WB],Bloki1[Nazwa zawodnika],$B68,Bloki1[Skill],I$56),VLOOKUP(INDEX(JuniorstwoRandom[],MATCH($A68,$A$3:$A$23,0),COLUMN(I$2)),Szacunki[],5,FALSE)),"-")</f>
        <v>6</v>
      </c>
      <c r="J68" s="58">
        <f ca="1">IFERROR(IF(SUMIFS(Bloki1[WB],Bloki1[Nazwa zawodnika],$B68,Bloki1[Skill],J$56)&gt;0,AVERAGEIFS(Bloki1[WB],Bloki1[Nazwa zawodnika],$B68,Bloki1[Skill],J$56),VLOOKUP(INDEX(JuniorstwoRandom[],MATCH($A68,$A$3:$A$23,0),COLUMN(J$2)),Szacunki[],3,FALSE)),"-")</f>
        <v>8</v>
      </c>
      <c r="K68" s="58">
        <f ca="1">IFERROR(IF(SUMIFS(Bloki1[WB],Bloki1[Nazwa zawodnika],$B68,Bloki1[Skill],K$56)&gt;0,AVERAGEIFS(Bloki1[WB],Bloki1[Nazwa zawodnika],$B68,Bloki1[Skill],K$56),VLOOKUP(INDEX(JuniorstwoRandom[],MATCH($A68,$A$3:$A$23,0),COLUMN(K$2)),Szacunki[],3,FALSE)),"-")</f>
        <v>7</v>
      </c>
      <c r="L68" s="58">
        <f ca="1">IFERROR(IF(SUMIFS(Bloki1[WB],Bloki1[Nazwa zawodnika],$B68,Bloki1[Skill],L$56)&gt;0,AVERAGEIFS(Bloki1[WB],Bloki1[Nazwa zawodnika],$B68,Bloki1[Skill],L$56),VLOOKUP(INDEX(JuniorstwoRandom[],MATCH($A68,$A$3:$A$23,0),COLUMN(L$2)),Szacunki[],3,FALSE)),"-")</f>
        <v>8</v>
      </c>
      <c r="M68" s="58">
        <f ca="1">IFERROR(IF(SUMIFS(Bloki1[WB],Bloki1[Nazwa zawodnika],$B68,Bloki1[Skill],M$56)&gt;0,AVERAGEIFS(Bloki1[WB],Bloki1[Nazwa zawodnika],$B68,Bloki1[Skill],M$56),VLOOKUP(INDEX(JuniorstwoRandom[],MATCH($A68,$A$3:$A$23,0),COLUMN(M$2)),Szacunki[],3,FALSE)),"-")</f>
        <v>9</v>
      </c>
      <c r="N68">
        <v>10</v>
      </c>
      <c r="O68" s="26">
        <f t="shared" ca="1" si="3"/>
        <v>87</v>
      </c>
    </row>
    <row r="69" spans="1:15" x14ac:dyDescent="0.25">
      <c r="A69" s="39">
        <f t="shared" si="2"/>
        <v>53</v>
      </c>
      <c r="B69" s="3" t="str">
        <f>IFERROR(VLOOKUP(JuniorzyPozytyw[[#This Row],[Numer]],Zawodnicy[],2,FALSE),"-")</f>
        <v>Cyryl Huratiak</v>
      </c>
      <c r="C69" s="58">
        <f ca="1">IFERROR(IF(SUMIFS(Bloki1[WB],Bloki1[Nazwa zawodnika],$B69,Bloki1[Skill],C$56)&gt;0,AVERAGEIFS(Bloki1[WB],Bloki1[Nazwa zawodnika],$B69,Bloki1[Skill],C$56),VLOOKUP(INDEX(JuniorstwoRandom[],MATCH($A69,$A$3:$A$23,0),COLUMN(C$2)),Szacunki[],3,FALSE)),"-")</f>
        <v>8</v>
      </c>
      <c r="D69" s="58">
        <f ca="1">IFERROR(IF(SUMIFS(Bloki1[WB],Bloki1[Nazwa zawodnika],$B69,Bloki1[Skill],D$56)&gt;0,AVERAGEIFS(Bloki1[WB],Bloki1[Nazwa zawodnika],$B69,Bloki1[Skill],D$56),VLOOKUP(INDEX(JuniorstwoRandom[],MATCH($A69,$A$3:$A$23,0),COLUMN(D$2)),Szacunki[],3,FALSE)),"-")</f>
        <v>7</v>
      </c>
      <c r="E69" s="58">
        <f ca="1">IFERROR(IF(SUMIFS(Bloki1[WB],Bloki1[Nazwa zawodnika],$B69,Bloki1[Skill],E$56)&gt;0,AVERAGEIFS(Bloki1[WB],Bloki1[Nazwa zawodnika],$B69,Bloki1[Skill],E$56),VLOOKUP(INDEX(JuniorstwoRandom[],MATCH($A69,$A$3:$A$23,0),COLUMN(E$2)),Szacunki[],3,FALSE)),"-")</f>
        <v>9</v>
      </c>
      <c r="F69" s="58">
        <f ca="1">IFERROR(IF(SUMIFS(Bloki1[WB],Bloki1[Nazwa zawodnika],$B69,Bloki1[Skill],F$56)&gt;0,AVERAGEIFS(Bloki1[WB],Bloki1[Nazwa zawodnika],$B69,Bloki1[Skill],F$56),VLOOKUP(INDEX(JuniorstwoRandom[],MATCH($A69,$A$3:$A$23,0),COLUMN(F$2)),Szacunki[],3,FALSE)),"-")</f>
        <v>8</v>
      </c>
      <c r="G69" s="58">
        <f ca="1">IFERROR(IF(SUMIFS(Bloki1[WB],Bloki1[Nazwa zawodnika],$B69,Bloki1[Skill],G$56)&gt;0,AVERAGEIFS(Bloki1[WB],Bloki1[Nazwa zawodnika],$B69,Bloki1[Skill],G$56),VLOOKUP(INDEX(JuniorstwoRandom[],MATCH($A69,$A$3:$A$23,0),COLUMN(G$2)),Szacunki[],3,FALSE)),"-")</f>
        <v>7</v>
      </c>
      <c r="H69" s="58">
        <f ca="1">IFERROR(IF(SUMIFS(Bloki1[WB],Bloki1[Nazwa zawodnika],$B69,Bloki1[Skill],H$56)&gt;0,AVERAGEIFS(Bloki1[WB],Bloki1[Nazwa zawodnika],$B69,Bloki1[Skill],H$56),VLOOKUP(INDEX(JuniorstwoRandom[],MATCH($A69,$A$3:$A$23,0),COLUMN(H$2)),Szacunki[],3,FALSE)),"-")</f>
        <v>8</v>
      </c>
      <c r="I69" s="58">
        <f ca="1">IFERROR(IF(SUMIFS(Bloki1[WB],Bloki1[Nazwa zawodnika],$B69,Bloki1[Skill],I$56)&gt;0,AVERAGEIFS(Bloki1[WB],Bloki1[Nazwa zawodnika],$B69,Bloki1[Skill],I$56),VLOOKUP(INDEX(JuniorstwoRandom[],MATCH($A69,$A$3:$A$23,0),COLUMN(I$2)),Szacunki[],5,FALSE)),"-")</f>
        <v>7</v>
      </c>
      <c r="J69" s="58">
        <f ca="1">IFERROR(IF(SUMIFS(Bloki1[WB],Bloki1[Nazwa zawodnika],$B69,Bloki1[Skill],J$56)&gt;0,AVERAGEIFS(Bloki1[WB],Bloki1[Nazwa zawodnika],$B69,Bloki1[Skill],J$56),VLOOKUP(INDEX(JuniorstwoRandom[],MATCH($A69,$A$3:$A$23,0),COLUMN(J$2)),Szacunki[],3,FALSE)),"-")</f>
        <v>8</v>
      </c>
      <c r="K69" s="58">
        <f ca="1">IFERROR(IF(SUMIFS(Bloki1[WB],Bloki1[Nazwa zawodnika],$B69,Bloki1[Skill],K$56)&gt;0,AVERAGEIFS(Bloki1[WB],Bloki1[Nazwa zawodnika],$B69,Bloki1[Skill],K$56),VLOOKUP(INDEX(JuniorstwoRandom[],MATCH($A69,$A$3:$A$23,0),COLUMN(K$2)),Szacunki[],3,FALSE)),"-")</f>
        <v>9</v>
      </c>
      <c r="L69" s="58">
        <f ca="1">IFERROR(IF(SUMIFS(Bloki1[WB],Bloki1[Nazwa zawodnika],$B69,Bloki1[Skill],L$56)&gt;0,AVERAGEIFS(Bloki1[WB],Bloki1[Nazwa zawodnika],$B69,Bloki1[Skill],L$56),VLOOKUP(INDEX(JuniorstwoRandom[],MATCH($A69,$A$3:$A$23,0),COLUMN(L$2)),Szacunki[],3,FALSE)),"-")</f>
        <v>8</v>
      </c>
      <c r="M69" s="58">
        <f ca="1">IFERROR(IF(SUMIFS(Bloki1[WB],Bloki1[Nazwa zawodnika],$B69,Bloki1[Skill],M$56)&gt;0,AVERAGEIFS(Bloki1[WB],Bloki1[Nazwa zawodnika],$B69,Bloki1[Skill],M$56),VLOOKUP(INDEX(JuniorstwoRandom[],MATCH($A69,$A$3:$A$23,0),COLUMN(M$2)),Szacunki[],3,FALSE)),"-")</f>
        <v>8</v>
      </c>
      <c r="N69">
        <v>10</v>
      </c>
      <c r="O69" s="26">
        <f t="shared" ca="1" si="3"/>
        <v>87</v>
      </c>
    </row>
    <row r="70" spans="1:15" x14ac:dyDescent="0.25">
      <c r="A70" s="39">
        <f t="shared" si="2"/>
        <v>22</v>
      </c>
      <c r="B70" s="3" t="str">
        <f>IFERROR(VLOOKUP(JuniorzyPozytyw[[#This Row],[Numer]],Zawodnicy[],2,FALSE),"-")</f>
        <v>Daniel Dziewulski</v>
      </c>
      <c r="C70" s="58">
        <f ca="1">IFERROR(IF(SUMIFS(Bloki1[WB],Bloki1[Nazwa zawodnika],$B70,Bloki1[Skill],C$56)&gt;0,AVERAGEIFS(Bloki1[WB],Bloki1[Nazwa zawodnika],$B70,Bloki1[Skill],C$56),VLOOKUP(INDEX(JuniorstwoRandom[],MATCH($A70,$A$3:$A$23,0),COLUMN(C$2)),Szacunki[],3,FALSE)),"-")</f>
        <v>9</v>
      </c>
      <c r="D70" s="58">
        <f ca="1">IFERROR(IF(SUMIFS(Bloki1[WB],Bloki1[Nazwa zawodnika],$B70,Bloki1[Skill],D$56)&gt;0,AVERAGEIFS(Bloki1[WB],Bloki1[Nazwa zawodnika],$B70,Bloki1[Skill],D$56),VLOOKUP(INDEX(JuniorstwoRandom[],MATCH($A70,$A$3:$A$23,0),COLUMN(D$2)),Szacunki[],3,FALSE)),"-")</f>
        <v>7</v>
      </c>
      <c r="E70" s="58">
        <f ca="1">IFERROR(IF(SUMIFS(Bloki1[WB],Bloki1[Nazwa zawodnika],$B70,Bloki1[Skill],E$56)&gt;0,AVERAGEIFS(Bloki1[WB],Bloki1[Nazwa zawodnika],$B70,Bloki1[Skill],E$56),VLOOKUP(INDEX(JuniorstwoRandom[],MATCH($A70,$A$3:$A$23,0),COLUMN(E$2)),Szacunki[],3,FALSE)),"-")</f>
        <v>5</v>
      </c>
      <c r="F70" s="58">
        <f ca="1">IFERROR(IF(SUMIFS(Bloki1[WB],Bloki1[Nazwa zawodnika],$B70,Bloki1[Skill],F$56)&gt;0,AVERAGEIFS(Bloki1[WB],Bloki1[Nazwa zawodnika],$B70,Bloki1[Skill],F$56),VLOOKUP(INDEX(JuniorstwoRandom[],MATCH($A70,$A$3:$A$23,0),COLUMN(F$2)),Szacunki[],3,FALSE)),"-")</f>
        <v>7</v>
      </c>
      <c r="G70" s="58">
        <f ca="1">IFERROR(IF(SUMIFS(Bloki1[WB],Bloki1[Nazwa zawodnika],$B70,Bloki1[Skill],G$56)&gt;0,AVERAGEIFS(Bloki1[WB],Bloki1[Nazwa zawodnika],$B70,Bloki1[Skill],G$56),VLOOKUP(INDEX(JuniorstwoRandom[],MATCH($A70,$A$3:$A$23,0),COLUMN(G$2)),Szacunki[],3,FALSE)),"-")</f>
        <v>8</v>
      </c>
      <c r="H70" s="58">
        <f ca="1">IFERROR(IF(SUMIFS(Bloki1[WB],Bloki1[Nazwa zawodnika],$B70,Bloki1[Skill],H$56)&gt;0,AVERAGEIFS(Bloki1[WB],Bloki1[Nazwa zawodnika],$B70,Bloki1[Skill],H$56),VLOOKUP(INDEX(JuniorstwoRandom[],MATCH($A70,$A$3:$A$23,0),COLUMN(H$2)),Szacunki[],3,FALSE)),"-")</f>
        <v>8</v>
      </c>
      <c r="I70" s="58">
        <f ca="1">IFERROR(IF(SUMIFS(Bloki1[WB],Bloki1[Nazwa zawodnika],$B70,Bloki1[Skill],I$56)&gt;0,AVERAGEIFS(Bloki1[WB],Bloki1[Nazwa zawodnika],$B70,Bloki1[Skill],I$56),VLOOKUP(INDEX(JuniorstwoRandom[],MATCH($A70,$A$3:$A$23,0),COLUMN(I$2)),Szacunki[],5,FALSE)),"-")</f>
        <v>5</v>
      </c>
      <c r="J70" s="58">
        <f ca="1">IFERROR(IF(SUMIFS(Bloki1[WB],Bloki1[Nazwa zawodnika],$B70,Bloki1[Skill],J$56)&gt;0,AVERAGEIFS(Bloki1[WB],Bloki1[Nazwa zawodnika],$B70,Bloki1[Skill],J$56),VLOOKUP(INDEX(JuniorstwoRandom[],MATCH($A70,$A$3:$A$23,0),COLUMN(J$2)),Szacunki[],3,FALSE)),"-")</f>
        <v>8</v>
      </c>
      <c r="K70" s="58">
        <f ca="1">IFERROR(IF(SUMIFS(Bloki1[WB],Bloki1[Nazwa zawodnika],$B70,Bloki1[Skill],K$56)&gt;0,AVERAGEIFS(Bloki1[WB],Bloki1[Nazwa zawodnika],$B70,Bloki1[Skill],K$56),VLOOKUP(INDEX(JuniorstwoRandom[],MATCH($A70,$A$3:$A$23,0),COLUMN(K$2)),Szacunki[],3,FALSE)),"-")</f>
        <v>5</v>
      </c>
      <c r="L70" s="58">
        <f ca="1">IFERROR(IF(SUMIFS(Bloki1[WB],Bloki1[Nazwa zawodnika],$B70,Bloki1[Skill],L$56)&gt;0,AVERAGEIFS(Bloki1[WB],Bloki1[Nazwa zawodnika],$B70,Bloki1[Skill],L$56),VLOOKUP(INDEX(JuniorstwoRandom[],MATCH($A70,$A$3:$A$23,0),COLUMN(L$2)),Szacunki[],3,FALSE)),"-")</f>
        <v>8</v>
      </c>
      <c r="M70" s="58">
        <f ca="1">IFERROR(IF(SUMIFS(Bloki1[WB],Bloki1[Nazwa zawodnika],$B70,Bloki1[Skill],M$56)&gt;0,AVERAGEIFS(Bloki1[WB],Bloki1[Nazwa zawodnika],$B70,Bloki1[Skill],M$56),VLOOKUP(INDEX(JuniorstwoRandom[],MATCH($A70,$A$3:$A$23,0),COLUMN(M$2)),Szacunki[],3,FALSE)),"-")</f>
        <v>9</v>
      </c>
      <c r="N70">
        <v>10</v>
      </c>
      <c r="O70" s="26">
        <f t="shared" ca="1" si="3"/>
        <v>79</v>
      </c>
    </row>
    <row r="71" spans="1:15" x14ac:dyDescent="0.25">
      <c r="A71" s="39">
        <f t="shared" si="2"/>
        <v>25</v>
      </c>
      <c r="B71" s="3" t="str">
        <f>IFERROR(VLOOKUP(JuniorzyPozytyw[[#This Row],[Numer]],Zawodnicy[],2,FALSE),"-")</f>
        <v>Jakub Ludwiczak</v>
      </c>
      <c r="C71" s="58">
        <f ca="1">IFERROR(IF(SUMIFS(Bloki1[WB],Bloki1[Nazwa zawodnika],$B71,Bloki1[Skill],C$56)&gt;0,AVERAGEIFS(Bloki1[WB],Bloki1[Nazwa zawodnika],$B71,Bloki1[Skill],C$56),VLOOKUP(INDEX(JuniorstwoRandom[],MATCH($A71,$A$3:$A$23,0),COLUMN(C$2)),Szacunki[],3,FALSE)),"-")</f>
        <v>8</v>
      </c>
      <c r="D71" s="58">
        <f ca="1">IFERROR(IF(SUMIFS(Bloki1[WB],Bloki1[Nazwa zawodnika],$B71,Bloki1[Skill],D$56)&gt;0,AVERAGEIFS(Bloki1[WB],Bloki1[Nazwa zawodnika],$B71,Bloki1[Skill],D$56),VLOOKUP(INDEX(JuniorstwoRandom[],MATCH($A71,$A$3:$A$23,0),COLUMN(D$2)),Szacunki[],3,FALSE)),"-")</f>
        <v>7</v>
      </c>
      <c r="E71" s="58">
        <f ca="1">IFERROR(IF(SUMIFS(Bloki1[WB],Bloki1[Nazwa zawodnika],$B71,Bloki1[Skill],E$56)&gt;0,AVERAGEIFS(Bloki1[WB],Bloki1[Nazwa zawodnika],$B71,Bloki1[Skill],E$56),VLOOKUP(INDEX(JuniorstwoRandom[],MATCH($A71,$A$3:$A$23,0),COLUMN(E$2)),Szacunki[],3,FALSE)),"-")</f>
        <v>9</v>
      </c>
      <c r="F71" s="58">
        <f ca="1">IFERROR(IF(SUMIFS(Bloki1[WB],Bloki1[Nazwa zawodnika],$B71,Bloki1[Skill],F$56)&gt;0,AVERAGEIFS(Bloki1[WB],Bloki1[Nazwa zawodnika],$B71,Bloki1[Skill],F$56),VLOOKUP(INDEX(JuniorstwoRandom[],MATCH($A71,$A$3:$A$23,0),COLUMN(F$2)),Szacunki[],3,FALSE)),"-")</f>
        <v>8</v>
      </c>
      <c r="G71" s="58">
        <f ca="1">IFERROR(IF(SUMIFS(Bloki1[WB],Bloki1[Nazwa zawodnika],$B71,Bloki1[Skill],G$56)&gt;0,AVERAGEIFS(Bloki1[WB],Bloki1[Nazwa zawodnika],$B71,Bloki1[Skill],G$56),VLOOKUP(INDEX(JuniorstwoRandom[],MATCH($A71,$A$3:$A$23,0),COLUMN(G$2)),Szacunki[],3,FALSE)),"-")</f>
        <v>8</v>
      </c>
      <c r="H71" s="58">
        <f ca="1">IFERROR(IF(SUMIFS(Bloki1[WB],Bloki1[Nazwa zawodnika],$B71,Bloki1[Skill],H$56)&gt;0,AVERAGEIFS(Bloki1[WB],Bloki1[Nazwa zawodnika],$B71,Bloki1[Skill],H$56),VLOOKUP(INDEX(JuniorstwoRandom[],MATCH($A71,$A$3:$A$23,0),COLUMN(H$2)),Szacunki[],3,FALSE)),"-")</f>
        <v>8</v>
      </c>
      <c r="I71" s="58">
        <f ca="1">IFERROR(IF(SUMIFS(Bloki1[WB],Bloki1[Nazwa zawodnika],$B71,Bloki1[Skill],I$56)&gt;0,AVERAGEIFS(Bloki1[WB],Bloki1[Nazwa zawodnika],$B71,Bloki1[Skill],I$56),VLOOKUP(INDEX(JuniorstwoRandom[],MATCH($A71,$A$3:$A$23,0),COLUMN(I$2)),Szacunki[],5,FALSE)),"-")</f>
        <v>7</v>
      </c>
      <c r="J71" s="58">
        <f ca="1">IFERROR(IF(SUMIFS(Bloki1[WB],Bloki1[Nazwa zawodnika],$B71,Bloki1[Skill],J$56)&gt;0,AVERAGEIFS(Bloki1[WB],Bloki1[Nazwa zawodnika],$B71,Bloki1[Skill],J$56),VLOOKUP(INDEX(JuniorstwoRandom[],MATCH($A71,$A$3:$A$23,0),COLUMN(J$2)),Szacunki[],3,FALSE)),"-")</f>
        <v>9</v>
      </c>
      <c r="K71" s="58">
        <f ca="1">IFERROR(IF(SUMIFS(Bloki1[WB],Bloki1[Nazwa zawodnika],$B71,Bloki1[Skill],K$56)&gt;0,AVERAGEIFS(Bloki1[WB],Bloki1[Nazwa zawodnika],$B71,Bloki1[Skill],K$56),VLOOKUP(INDEX(JuniorstwoRandom[],MATCH($A71,$A$3:$A$23,0),COLUMN(K$2)),Szacunki[],3,FALSE)),"-")</f>
        <v>7</v>
      </c>
      <c r="L71" s="58">
        <f ca="1">IFERROR(IF(SUMIFS(Bloki1[WB],Bloki1[Nazwa zawodnika],$B71,Bloki1[Skill],L$56)&gt;0,AVERAGEIFS(Bloki1[WB],Bloki1[Nazwa zawodnika],$B71,Bloki1[Skill],L$56),VLOOKUP(INDEX(JuniorstwoRandom[],MATCH($A71,$A$3:$A$23,0),COLUMN(L$2)),Szacunki[],3,FALSE)),"-")</f>
        <v>8</v>
      </c>
      <c r="M71" s="58">
        <f ca="1">IFERROR(IF(SUMIFS(Bloki1[WB],Bloki1[Nazwa zawodnika],$B71,Bloki1[Skill],M$56)&gt;0,AVERAGEIFS(Bloki1[WB],Bloki1[Nazwa zawodnika],$B71,Bloki1[Skill],M$56),VLOOKUP(INDEX(JuniorstwoRandom[],MATCH($A71,$A$3:$A$23,0),COLUMN(M$2)),Szacunki[],3,FALSE)),"-")</f>
        <v>8</v>
      </c>
      <c r="N71">
        <v>10</v>
      </c>
      <c r="O71" s="26">
        <f ca="1">SUM(C71:M71)</f>
        <v>87</v>
      </c>
    </row>
    <row r="72" spans="1:15" x14ac:dyDescent="0.25">
      <c r="A72" s="39">
        <f t="shared" si="2"/>
        <v>26</v>
      </c>
      <c r="B72" s="3" t="str">
        <f>IFERROR(VLOOKUP(JuniorzyPozytyw[[#This Row],[Numer]],Zawodnicy[],2,FALSE),"-")</f>
        <v>Ignacy Lato</v>
      </c>
      <c r="C72" s="58">
        <f ca="1">IFERROR(IF(SUMIFS(Bloki1[WB],Bloki1[Nazwa zawodnika],$B72,Bloki1[Skill],C$56)&gt;0,AVERAGEIFS(Bloki1[WB],Bloki1[Nazwa zawodnika],$B72,Bloki1[Skill],C$56),VLOOKUP(INDEX(JuniorstwoRandom[],MATCH($A72,$A$3:$A$23,0),COLUMN(C$2)),Szacunki[],3,FALSE)),"-")</f>
        <v>8</v>
      </c>
      <c r="D72" s="58">
        <f ca="1">IFERROR(IF(SUMIFS(Bloki1[WB],Bloki1[Nazwa zawodnika],$B72,Bloki1[Skill],D$56)&gt;0,AVERAGEIFS(Bloki1[WB],Bloki1[Nazwa zawodnika],$B72,Bloki1[Skill],D$56),VLOOKUP(INDEX(JuniorstwoRandom[],MATCH($A72,$A$3:$A$23,0),COLUMN(D$2)),Szacunki[],3,FALSE)),"-")</f>
        <v>7</v>
      </c>
      <c r="E72" s="58">
        <f ca="1">IFERROR(IF(SUMIFS(Bloki1[WB],Bloki1[Nazwa zawodnika],$B72,Bloki1[Skill],E$56)&gt;0,AVERAGEIFS(Bloki1[WB],Bloki1[Nazwa zawodnika],$B72,Bloki1[Skill],E$56),VLOOKUP(INDEX(JuniorstwoRandom[],MATCH($A72,$A$3:$A$23,0),COLUMN(E$2)),Szacunki[],3,FALSE)),"-")</f>
        <v>8</v>
      </c>
      <c r="F72" s="58">
        <f ca="1">IFERROR(IF(SUMIFS(Bloki1[WB],Bloki1[Nazwa zawodnika],$B72,Bloki1[Skill],F$56)&gt;0,AVERAGEIFS(Bloki1[WB],Bloki1[Nazwa zawodnika],$B72,Bloki1[Skill],F$56),VLOOKUP(INDEX(JuniorstwoRandom[],MATCH($A72,$A$3:$A$23,0),COLUMN(F$2)),Szacunki[],3,FALSE)),"-")</f>
        <v>8</v>
      </c>
      <c r="G72" s="58">
        <f ca="1">IFERROR(IF(SUMIFS(Bloki1[WB],Bloki1[Nazwa zawodnika],$B72,Bloki1[Skill],G$56)&gt;0,AVERAGEIFS(Bloki1[WB],Bloki1[Nazwa zawodnika],$B72,Bloki1[Skill],G$56),VLOOKUP(INDEX(JuniorstwoRandom[],MATCH($A72,$A$3:$A$23,0),COLUMN(G$2)),Szacunki[],3,FALSE)),"-")</f>
        <v>8</v>
      </c>
      <c r="H72" s="58">
        <f ca="1">IFERROR(IF(SUMIFS(Bloki1[WB],Bloki1[Nazwa zawodnika],$B72,Bloki1[Skill],H$56)&gt;0,AVERAGEIFS(Bloki1[WB],Bloki1[Nazwa zawodnika],$B72,Bloki1[Skill],H$56),VLOOKUP(INDEX(JuniorstwoRandom[],MATCH($A72,$A$3:$A$23,0),COLUMN(H$2)),Szacunki[],3,FALSE)),"-")</f>
        <v>9</v>
      </c>
      <c r="I72" s="58">
        <f ca="1">IFERROR(IF(SUMIFS(Bloki1[WB],Bloki1[Nazwa zawodnika],$B72,Bloki1[Skill],I$56)&gt;0,AVERAGEIFS(Bloki1[WB],Bloki1[Nazwa zawodnika],$B72,Bloki1[Skill],I$56),VLOOKUP(INDEX(JuniorstwoRandom[],MATCH($A72,$A$3:$A$23,0),COLUMN(I$2)),Szacunki[],5,FALSE)),"-")</f>
        <v>7</v>
      </c>
      <c r="J72" s="58">
        <f ca="1">IFERROR(IF(SUMIFS(Bloki1[WB],Bloki1[Nazwa zawodnika],$B72,Bloki1[Skill],J$56)&gt;0,AVERAGEIFS(Bloki1[WB],Bloki1[Nazwa zawodnika],$B72,Bloki1[Skill],J$56),VLOOKUP(INDEX(JuniorstwoRandom[],MATCH($A72,$A$3:$A$23,0),COLUMN(J$2)),Szacunki[],3,FALSE)),"-")</f>
        <v>9</v>
      </c>
      <c r="K72" s="58">
        <f ca="1">IFERROR(IF(SUMIFS(Bloki1[WB],Bloki1[Nazwa zawodnika],$B72,Bloki1[Skill],K$56)&gt;0,AVERAGEIFS(Bloki1[WB],Bloki1[Nazwa zawodnika],$B72,Bloki1[Skill],K$56),VLOOKUP(INDEX(JuniorstwoRandom[],MATCH($A72,$A$3:$A$23,0),COLUMN(K$2)),Szacunki[],3,FALSE)),"-")</f>
        <v>8</v>
      </c>
      <c r="L72" s="58">
        <f ca="1">IFERROR(IF(SUMIFS(Bloki1[WB],Bloki1[Nazwa zawodnika],$B72,Bloki1[Skill],L$56)&gt;0,AVERAGEIFS(Bloki1[WB],Bloki1[Nazwa zawodnika],$B72,Bloki1[Skill],L$56),VLOOKUP(INDEX(JuniorstwoRandom[],MATCH($A72,$A$3:$A$23,0),COLUMN(L$2)),Szacunki[],3,FALSE)),"-")</f>
        <v>8</v>
      </c>
      <c r="M72" s="58">
        <f ca="1">IFERROR(IF(SUMIFS(Bloki1[WB],Bloki1[Nazwa zawodnika],$B72,Bloki1[Skill],M$56)&gt;0,AVERAGEIFS(Bloki1[WB],Bloki1[Nazwa zawodnika],$B72,Bloki1[Skill],M$56),VLOOKUP(INDEX(JuniorstwoRandom[],MATCH($A72,$A$3:$A$23,0),COLUMN(M$2)),Szacunki[],3,FALSE)),"-")</f>
        <v>7</v>
      </c>
      <c r="N72">
        <v>10</v>
      </c>
      <c r="O72" s="26">
        <f ca="1">SUM(C72:M72)</f>
        <v>87</v>
      </c>
    </row>
    <row r="73" spans="1:15" x14ac:dyDescent="0.25">
      <c r="A73" s="39">
        <f t="shared" si="2"/>
        <v>27</v>
      </c>
      <c r="B73" s="3" t="str">
        <f>IFERROR(VLOOKUP(JuniorzyPozytyw[[#This Row],[Numer]],Zawodnicy[],2,FALSE),"-")</f>
        <v>Sylwester Kaszubowski</v>
      </c>
      <c r="C73" s="58">
        <f ca="1">IFERROR(IF(SUMIFS(Bloki1[WB],Bloki1[Nazwa zawodnika],$B73,Bloki1[Skill],C$56)&gt;0,AVERAGEIFS(Bloki1[WB],Bloki1[Nazwa zawodnika],$B73,Bloki1[Skill],C$56),VLOOKUP(INDEX(JuniorstwoRandom[],MATCH($A73,$A$3:$A$23,0),COLUMN(C$2)),Szacunki[],3,FALSE)),"-")</f>
        <v>7</v>
      </c>
      <c r="D73" s="58">
        <f ca="1">IFERROR(IF(SUMIFS(Bloki1[WB],Bloki1[Nazwa zawodnika],$B73,Bloki1[Skill],D$56)&gt;0,AVERAGEIFS(Bloki1[WB],Bloki1[Nazwa zawodnika],$B73,Bloki1[Skill],D$56),VLOOKUP(INDEX(JuniorstwoRandom[],MATCH($A73,$A$3:$A$23,0),COLUMN(D$2)),Szacunki[],3,FALSE)),"-")</f>
        <v>6</v>
      </c>
      <c r="E73" s="58">
        <f ca="1">IFERROR(IF(SUMIFS(Bloki1[WB],Bloki1[Nazwa zawodnika],$B73,Bloki1[Skill],E$56)&gt;0,AVERAGEIFS(Bloki1[WB],Bloki1[Nazwa zawodnika],$B73,Bloki1[Skill],E$56),VLOOKUP(INDEX(JuniorstwoRandom[],MATCH($A73,$A$3:$A$23,0),COLUMN(E$2)),Szacunki[],3,FALSE)),"-")</f>
        <v>6</v>
      </c>
      <c r="F73" s="58">
        <f ca="1">IFERROR(IF(SUMIFS(Bloki1[WB],Bloki1[Nazwa zawodnika],$B73,Bloki1[Skill],F$56)&gt;0,AVERAGEIFS(Bloki1[WB],Bloki1[Nazwa zawodnika],$B73,Bloki1[Skill],F$56),VLOOKUP(INDEX(JuniorstwoRandom[],MATCH($A73,$A$3:$A$23,0),COLUMN(F$2)),Szacunki[],3,FALSE)),"-")</f>
        <v>9</v>
      </c>
      <c r="G73" s="58">
        <f ca="1">IFERROR(IF(SUMIFS(Bloki1[WB],Bloki1[Nazwa zawodnika],$B73,Bloki1[Skill],G$56)&gt;0,AVERAGEIFS(Bloki1[WB],Bloki1[Nazwa zawodnika],$B73,Bloki1[Skill],G$56),VLOOKUP(INDEX(JuniorstwoRandom[],MATCH($A73,$A$3:$A$23,0),COLUMN(G$2)),Szacunki[],3,FALSE)),"-")</f>
        <v>6</v>
      </c>
      <c r="H73" s="58">
        <f ca="1">IFERROR(IF(SUMIFS(Bloki1[WB],Bloki1[Nazwa zawodnika],$B73,Bloki1[Skill],H$56)&gt;0,AVERAGEIFS(Bloki1[WB],Bloki1[Nazwa zawodnika],$B73,Bloki1[Skill],H$56),VLOOKUP(INDEX(JuniorstwoRandom[],MATCH($A73,$A$3:$A$23,0),COLUMN(H$2)),Szacunki[],3,FALSE)),"-")</f>
        <v>5</v>
      </c>
      <c r="I73" s="58">
        <f ca="1">IFERROR(IF(SUMIFS(Bloki1[WB],Bloki1[Nazwa zawodnika],$B73,Bloki1[Skill],I$56)&gt;0,AVERAGEIFS(Bloki1[WB],Bloki1[Nazwa zawodnika],$B73,Bloki1[Skill],I$56),VLOOKUP(INDEX(JuniorstwoRandom[],MATCH($A73,$A$3:$A$23,0),COLUMN(I$2)),Szacunki[],5,FALSE)),"-")</f>
        <v>4</v>
      </c>
      <c r="J73" s="58">
        <f ca="1">IFERROR(IF(SUMIFS(Bloki1[WB],Bloki1[Nazwa zawodnika],$B73,Bloki1[Skill],J$56)&gt;0,AVERAGEIFS(Bloki1[WB],Bloki1[Nazwa zawodnika],$B73,Bloki1[Skill],J$56),VLOOKUP(INDEX(JuniorstwoRandom[],MATCH($A73,$A$3:$A$23,0),COLUMN(J$2)),Szacunki[],3,FALSE)),"-")</f>
        <v>9</v>
      </c>
      <c r="K73" s="58">
        <f ca="1">IFERROR(IF(SUMIFS(Bloki1[WB],Bloki1[Nazwa zawodnika],$B73,Bloki1[Skill],K$56)&gt;0,AVERAGEIFS(Bloki1[WB],Bloki1[Nazwa zawodnika],$B73,Bloki1[Skill],K$56),VLOOKUP(INDEX(JuniorstwoRandom[],MATCH($A73,$A$3:$A$23,0),COLUMN(K$2)),Szacunki[],3,FALSE)),"-")</f>
        <v>6</v>
      </c>
      <c r="L73" s="58">
        <f ca="1">IFERROR(IF(SUMIFS(Bloki1[WB],Bloki1[Nazwa zawodnika],$B73,Bloki1[Skill],L$56)&gt;0,AVERAGEIFS(Bloki1[WB],Bloki1[Nazwa zawodnika],$B73,Bloki1[Skill],L$56),VLOOKUP(INDEX(JuniorstwoRandom[],MATCH($A73,$A$3:$A$23,0),COLUMN(L$2)),Szacunki[],3,FALSE)),"-")</f>
        <v>8</v>
      </c>
      <c r="M73" s="58">
        <f ca="1">IFERROR(IF(SUMIFS(Bloki1[WB],Bloki1[Nazwa zawodnika],$B73,Bloki1[Skill],M$56)&gt;0,AVERAGEIFS(Bloki1[WB],Bloki1[Nazwa zawodnika],$B73,Bloki1[Skill],M$56),VLOOKUP(INDEX(JuniorstwoRandom[],MATCH($A73,$A$3:$A$23,0),COLUMN(M$2)),Szacunki[],3,FALSE)),"-")</f>
        <v>7</v>
      </c>
      <c r="N73">
        <v>10</v>
      </c>
      <c r="O73" s="26">
        <f ca="1">SUM(C73:M73)</f>
        <v>73</v>
      </c>
    </row>
    <row r="74" spans="1:15" x14ac:dyDescent="0.25">
      <c r="A74" s="39">
        <f t="shared" si="2"/>
        <v>59</v>
      </c>
      <c r="B74" s="3" t="str">
        <f>IFERROR(VLOOKUP(JuniorzyPozytyw[[#This Row],[Numer]],Zawodnicy[],2,FALSE),"-")</f>
        <v>Milosz Kostrzewski</v>
      </c>
      <c r="C74" s="58">
        <f ca="1">IFERROR(IF(SUMIFS(Bloki1[WB],Bloki1[Nazwa zawodnika],$B74,Bloki1[Skill],C$56)&gt;0,AVERAGEIFS(Bloki1[WB],Bloki1[Nazwa zawodnika],$B74,Bloki1[Skill],C$56),VLOOKUP(INDEX(JuniorstwoRandom[],MATCH($A74,$A$3:$A$23,0),COLUMN(C$2)),Szacunki[],3,FALSE)),"-")</f>
        <v>7</v>
      </c>
      <c r="D74" s="58">
        <f ca="1">IFERROR(IF(SUMIFS(Bloki1[WB],Bloki1[Nazwa zawodnika],$B74,Bloki1[Skill],D$56)&gt;0,AVERAGEIFS(Bloki1[WB],Bloki1[Nazwa zawodnika],$B74,Bloki1[Skill],D$56),VLOOKUP(INDEX(JuniorstwoRandom[],MATCH($A74,$A$3:$A$23,0),COLUMN(D$2)),Szacunki[],3,FALSE)),"-")</f>
        <v>8</v>
      </c>
      <c r="E74" s="58">
        <f ca="1">IFERROR(IF(SUMIFS(Bloki1[WB],Bloki1[Nazwa zawodnika],$B74,Bloki1[Skill],E$56)&gt;0,AVERAGEIFS(Bloki1[WB],Bloki1[Nazwa zawodnika],$B74,Bloki1[Skill],E$56),VLOOKUP(INDEX(JuniorstwoRandom[],MATCH($A74,$A$3:$A$23,0),COLUMN(E$2)),Szacunki[],3,FALSE)),"-")</f>
        <v>8</v>
      </c>
      <c r="F74" s="58">
        <f ca="1">IFERROR(IF(SUMIFS(Bloki1[WB],Bloki1[Nazwa zawodnika],$B74,Bloki1[Skill],F$56)&gt;0,AVERAGEIFS(Bloki1[WB],Bloki1[Nazwa zawodnika],$B74,Bloki1[Skill],F$56),VLOOKUP(INDEX(JuniorstwoRandom[],MATCH($A74,$A$3:$A$23,0),COLUMN(F$2)),Szacunki[],3,FALSE)),"-")</f>
        <v>8</v>
      </c>
      <c r="G74" s="58">
        <f ca="1">IFERROR(IF(SUMIFS(Bloki1[WB],Bloki1[Nazwa zawodnika],$B74,Bloki1[Skill],G$56)&gt;0,AVERAGEIFS(Bloki1[WB],Bloki1[Nazwa zawodnika],$B74,Bloki1[Skill],G$56),VLOOKUP(INDEX(JuniorstwoRandom[],MATCH($A74,$A$3:$A$23,0),COLUMN(G$2)),Szacunki[],3,FALSE)),"-")</f>
        <v>8</v>
      </c>
      <c r="H74" s="58">
        <f ca="1">IFERROR(IF(SUMIFS(Bloki1[WB],Bloki1[Nazwa zawodnika],$B74,Bloki1[Skill],H$56)&gt;0,AVERAGEIFS(Bloki1[WB],Bloki1[Nazwa zawodnika],$B74,Bloki1[Skill],H$56),VLOOKUP(INDEX(JuniorstwoRandom[],MATCH($A74,$A$3:$A$23,0),COLUMN(H$2)),Szacunki[],3,FALSE)),"-")</f>
        <v>9</v>
      </c>
      <c r="I74" s="58">
        <f ca="1">IFERROR(IF(SUMIFS(Bloki1[WB],Bloki1[Nazwa zawodnika],$B74,Bloki1[Skill],I$56)&gt;0,AVERAGEIFS(Bloki1[WB],Bloki1[Nazwa zawodnika],$B74,Bloki1[Skill],I$56),VLOOKUP(INDEX(JuniorstwoRandom[],MATCH($A74,$A$3:$A$23,0),COLUMN(I$2)),Szacunki[],5,FALSE)),"-")</f>
        <v>6</v>
      </c>
      <c r="J74" s="58">
        <f ca="1">IFERROR(IF(SUMIFS(Bloki1[WB],Bloki1[Nazwa zawodnika],$B74,Bloki1[Skill],J$56)&gt;0,AVERAGEIFS(Bloki1[WB],Bloki1[Nazwa zawodnika],$B74,Bloki1[Skill],J$56),VLOOKUP(INDEX(JuniorstwoRandom[],MATCH($A74,$A$3:$A$23,0),COLUMN(J$2)),Szacunki[],3,FALSE)),"-")</f>
        <v>9</v>
      </c>
      <c r="K74" s="58">
        <f ca="1">IFERROR(IF(SUMIFS(Bloki1[WB],Bloki1[Nazwa zawodnika],$B74,Bloki1[Skill],K$56)&gt;0,AVERAGEIFS(Bloki1[WB],Bloki1[Nazwa zawodnika],$B74,Bloki1[Skill],K$56),VLOOKUP(INDEX(JuniorstwoRandom[],MATCH($A74,$A$3:$A$23,0),COLUMN(K$2)),Szacunki[],3,FALSE)),"-")</f>
        <v>8</v>
      </c>
      <c r="L74" s="58">
        <f ca="1">IFERROR(IF(SUMIFS(Bloki1[WB],Bloki1[Nazwa zawodnika],$B74,Bloki1[Skill],L$56)&gt;0,AVERAGEIFS(Bloki1[WB],Bloki1[Nazwa zawodnika],$B74,Bloki1[Skill],L$56),VLOOKUP(INDEX(JuniorstwoRandom[],MATCH($A74,$A$3:$A$23,0),COLUMN(L$2)),Szacunki[],3,FALSE)),"-")</f>
        <v>8</v>
      </c>
      <c r="M74" s="58">
        <f ca="1">IFERROR(IF(SUMIFS(Bloki1[WB],Bloki1[Nazwa zawodnika],$B74,Bloki1[Skill],M$56)&gt;0,AVERAGEIFS(Bloki1[WB],Bloki1[Nazwa zawodnika],$B74,Bloki1[Skill],M$56),VLOOKUP(INDEX(JuniorstwoRandom[],MATCH($A74,$A$3:$A$23,0),COLUMN(M$2)),Szacunki[],3,FALSE)),"-")</f>
        <v>8</v>
      </c>
      <c r="N74">
        <v>10</v>
      </c>
      <c r="O74" s="26">
        <f ca="1">SUM(C74:M74)</f>
        <v>87</v>
      </c>
    </row>
    <row r="75" spans="1:15" x14ac:dyDescent="0.25">
      <c r="A75" s="39">
        <f t="shared" si="2"/>
        <v>17</v>
      </c>
      <c r="B75" s="3" t="str">
        <f>IFERROR(VLOOKUP(JuniorzyPozytyw[[#This Row],[Numer]],Zawodnicy[],2,FALSE),"-")</f>
        <v>Hieronim Wejta</v>
      </c>
      <c r="C75" s="58">
        <f ca="1">IFERROR(IF(SUMIFS(Bloki1[WB],Bloki1[Nazwa zawodnika],$B75,Bloki1[Skill],C$56)&gt;0,AVERAGEIFS(Bloki1[WB],Bloki1[Nazwa zawodnika],$B75,Bloki1[Skill],C$56),VLOOKUP(INDEX(JuniorstwoRandom[],MATCH($A75,$A$3:$A$23,0),COLUMN(C$2)),Szacunki[],3,FALSE)),"-")</f>
        <v>7</v>
      </c>
      <c r="D75" s="58">
        <f ca="1">IFERROR(IF(SUMIFS(Bloki1[WB],Bloki1[Nazwa zawodnika],$B75,Bloki1[Skill],D$56)&gt;0,AVERAGEIFS(Bloki1[WB],Bloki1[Nazwa zawodnika],$B75,Bloki1[Skill],D$56),VLOOKUP(INDEX(JuniorstwoRandom[],MATCH($A75,$A$3:$A$23,0),COLUMN(D$2)),Szacunki[],3,FALSE)),"-")</f>
        <v>10</v>
      </c>
      <c r="E75" s="58">
        <f ca="1">IFERROR(IF(SUMIFS(Bloki1[WB],Bloki1[Nazwa zawodnika],$B75,Bloki1[Skill],E$56)&gt;0,AVERAGEIFS(Bloki1[WB],Bloki1[Nazwa zawodnika],$B75,Bloki1[Skill],E$56),VLOOKUP(INDEX(JuniorstwoRandom[],MATCH($A75,$A$3:$A$23,0),COLUMN(E$2)),Szacunki[],3,FALSE)),"-")</f>
        <v>10</v>
      </c>
      <c r="F75" s="58">
        <f ca="1">IFERROR(IF(SUMIFS(Bloki1[WB],Bloki1[Nazwa zawodnika],$B75,Bloki1[Skill],F$56)&gt;0,AVERAGEIFS(Bloki1[WB],Bloki1[Nazwa zawodnika],$B75,Bloki1[Skill],F$56),VLOOKUP(INDEX(JuniorstwoRandom[],MATCH($A75,$A$3:$A$23,0),COLUMN(F$2)),Szacunki[],3,FALSE)),"-")</f>
        <v>9</v>
      </c>
      <c r="G75" s="58">
        <f ca="1">IFERROR(IF(SUMIFS(Bloki1[WB],Bloki1[Nazwa zawodnika],$B75,Bloki1[Skill],G$56)&gt;0,AVERAGEIFS(Bloki1[WB],Bloki1[Nazwa zawodnika],$B75,Bloki1[Skill],G$56),VLOOKUP(INDEX(JuniorstwoRandom[],MATCH($A75,$A$3:$A$23,0),COLUMN(G$2)),Szacunki[],3,FALSE)),"-")</f>
        <v>8</v>
      </c>
      <c r="H75" s="58">
        <f ca="1">IFERROR(IF(SUMIFS(Bloki1[WB],Bloki1[Nazwa zawodnika],$B75,Bloki1[Skill],H$56)&gt;0,AVERAGEIFS(Bloki1[WB],Bloki1[Nazwa zawodnika],$B75,Bloki1[Skill],H$56),VLOOKUP(INDEX(JuniorstwoRandom[],MATCH($A75,$A$3:$A$23,0),COLUMN(H$2)),Szacunki[],3,FALSE)),"-")</f>
        <v>9</v>
      </c>
      <c r="I75" s="58">
        <f ca="1">IFERROR(IF(SUMIFS(Bloki1[WB],Bloki1[Nazwa zawodnika],$B75,Bloki1[Skill],I$56)&gt;0,AVERAGEIFS(Bloki1[WB],Bloki1[Nazwa zawodnika],$B75,Bloki1[Skill],I$56),VLOOKUP(INDEX(JuniorstwoRandom[],MATCH($A75,$A$3:$A$23,0),COLUMN(I$2)),Szacunki[],5,FALSE)),"-")</f>
        <v>6</v>
      </c>
      <c r="J75" s="58">
        <f ca="1">IFERROR(IF(SUMIFS(Bloki1[WB],Bloki1[Nazwa zawodnika],$B75,Bloki1[Skill],J$56)&gt;0,AVERAGEIFS(Bloki1[WB],Bloki1[Nazwa zawodnika],$B75,Bloki1[Skill],J$56),VLOOKUP(INDEX(JuniorstwoRandom[],MATCH($A75,$A$3:$A$23,0),COLUMN(J$2)),Szacunki[],3,FALSE)),"-")</f>
        <v>8</v>
      </c>
      <c r="K75" s="58">
        <f ca="1">IFERROR(IF(SUMIFS(Bloki1[WB],Bloki1[Nazwa zawodnika],$B75,Bloki1[Skill],K$56)&gt;0,AVERAGEIFS(Bloki1[WB],Bloki1[Nazwa zawodnika],$B75,Bloki1[Skill],K$56),VLOOKUP(INDEX(JuniorstwoRandom[],MATCH($A75,$A$3:$A$23,0),COLUMN(K$2)),Szacunki[],3,FALSE)),"-")</f>
        <v>9</v>
      </c>
      <c r="L75" s="58">
        <f ca="1">IFERROR(IF(SUMIFS(Bloki1[WB],Bloki1[Nazwa zawodnika],$B75,Bloki1[Skill],L$56)&gt;0,AVERAGEIFS(Bloki1[WB],Bloki1[Nazwa zawodnika],$B75,Bloki1[Skill],L$56),VLOOKUP(INDEX(JuniorstwoRandom[],MATCH($A75,$A$3:$A$23,0),COLUMN(L$2)),Szacunki[],3,FALSE)),"-")</f>
        <v>9</v>
      </c>
      <c r="M75" s="58">
        <f ca="1">IFERROR(IF(SUMIFS(Bloki1[WB],Bloki1[Nazwa zawodnika],$B75,Bloki1[Skill],M$56)&gt;0,AVERAGEIFS(Bloki1[WB],Bloki1[Nazwa zawodnika],$B75,Bloki1[Skill],M$56),VLOOKUP(INDEX(JuniorstwoRandom[],MATCH($A75,$A$3:$A$23,0),COLUMN(M$2)),Szacunki[],3,FALSE)),"-")</f>
        <v>9</v>
      </c>
      <c r="N75">
        <v>10</v>
      </c>
      <c r="O75" s="26">
        <f t="shared" ca="1" si="3"/>
        <v>94</v>
      </c>
    </row>
    <row r="76" spans="1:15" x14ac:dyDescent="0.25">
      <c r="A76" s="39">
        <f t="shared" si="2"/>
        <v>0</v>
      </c>
      <c r="B76" s="3" t="str">
        <f>IFERROR(VLOOKUP(JuniorzyPozytyw[[#This Row],[Numer]],Zawodnicy[],2,FALSE),"-")</f>
        <v>-</v>
      </c>
      <c r="C76" s="58" t="str">
        <f>IFERROR(IF(SUMIFS(Bloki1[WB],Bloki1[Nazwa zawodnika],$B76,Bloki1[Skill],C$56)&gt;0,AVERAGEIFS(Bloki1[WB],Bloki1[Nazwa zawodnika],$B76,Bloki1[Skill],C$56),VLOOKUP(INDEX(JuniorstwoRandom[],MATCH($A76,$A$3:$A$23,0),COLUMN(C$2)),Szacunki[],3,FALSE)),"-")</f>
        <v>-</v>
      </c>
      <c r="D76" s="58" t="str">
        <f>IFERROR(IF(SUMIFS(Bloki1[WB],Bloki1[Nazwa zawodnika],$B76,Bloki1[Skill],D$56)&gt;0,AVERAGEIFS(Bloki1[WB],Bloki1[Nazwa zawodnika],$B76,Bloki1[Skill],D$56),VLOOKUP(INDEX(JuniorstwoRandom[],MATCH($A76,$A$3:$A$23,0),COLUMN(D$2)),Szacunki[],3,FALSE)),"-")</f>
        <v>-</v>
      </c>
      <c r="E76" s="58" t="str">
        <f>IFERROR(IF(SUMIFS(Bloki1[WB],Bloki1[Nazwa zawodnika],$B76,Bloki1[Skill],E$56)&gt;0,AVERAGEIFS(Bloki1[WB],Bloki1[Nazwa zawodnika],$B76,Bloki1[Skill],E$56),VLOOKUP(INDEX(JuniorstwoRandom[],MATCH($A76,$A$3:$A$23,0),COLUMN(E$2)),Szacunki[],3,FALSE)),"-")</f>
        <v>-</v>
      </c>
      <c r="F76" s="58" t="str">
        <f>IFERROR(IF(SUMIFS(Bloki1[WB],Bloki1[Nazwa zawodnika],$B76,Bloki1[Skill],F$56)&gt;0,AVERAGEIFS(Bloki1[WB],Bloki1[Nazwa zawodnika],$B76,Bloki1[Skill],F$56),VLOOKUP(INDEX(JuniorstwoRandom[],MATCH($A76,$A$3:$A$23,0),COLUMN(F$2)),Szacunki[],3,FALSE)),"-")</f>
        <v>-</v>
      </c>
      <c r="G76" s="58" t="str">
        <f>IFERROR(IF(SUMIFS(Bloki1[WB],Bloki1[Nazwa zawodnika],$B76,Bloki1[Skill],G$56)&gt;0,AVERAGEIFS(Bloki1[WB],Bloki1[Nazwa zawodnika],$B76,Bloki1[Skill],G$56),VLOOKUP(INDEX(JuniorstwoRandom[],MATCH($A76,$A$3:$A$23,0),COLUMN(G$2)),Szacunki[],3,FALSE)),"-")</f>
        <v>-</v>
      </c>
      <c r="H76" s="58" t="str">
        <f>IFERROR(IF(SUMIFS(Bloki1[WB],Bloki1[Nazwa zawodnika],$B76,Bloki1[Skill],H$56)&gt;0,AVERAGEIFS(Bloki1[WB],Bloki1[Nazwa zawodnika],$B76,Bloki1[Skill],H$56),VLOOKUP(INDEX(JuniorstwoRandom[],MATCH($A76,$A$3:$A$23,0),COLUMN(H$2)),Szacunki[],3,FALSE)),"-")</f>
        <v>-</v>
      </c>
      <c r="I76" s="58" t="str">
        <f>IFERROR(IF(SUMIFS(Bloki1[WB],Bloki1[Nazwa zawodnika],$B76,Bloki1[Skill],I$56)&gt;0,AVERAGEIFS(Bloki1[WB],Bloki1[Nazwa zawodnika],$B76,Bloki1[Skill],I$56),VLOOKUP(INDEX(JuniorstwoRandom[],MATCH($A76,$A$3:$A$23,0),COLUMN(I$2)),Szacunki[],5,FALSE)),"-")</f>
        <v>-</v>
      </c>
      <c r="J76" s="58" t="str">
        <f>IFERROR(IF(SUMIFS(Bloki1[WB],Bloki1[Nazwa zawodnika],$B76,Bloki1[Skill],J$56)&gt;0,AVERAGEIFS(Bloki1[WB],Bloki1[Nazwa zawodnika],$B76,Bloki1[Skill],J$56),VLOOKUP(INDEX(JuniorstwoRandom[],MATCH($A76,$A$3:$A$23,0),COLUMN(J$2)),Szacunki[],3,FALSE)),"-")</f>
        <v>-</v>
      </c>
      <c r="K76" s="58" t="str">
        <f>IFERROR(IF(SUMIFS(Bloki1[WB],Bloki1[Nazwa zawodnika],$B76,Bloki1[Skill],K$56)&gt;0,AVERAGEIFS(Bloki1[WB],Bloki1[Nazwa zawodnika],$B76,Bloki1[Skill],K$56),VLOOKUP(INDEX(JuniorstwoRandom[],MATCH($A76,$A$3:$A$23,0),COLUMN(K$2)),Szacunki[],3,FALSE)),"-")</f>
        <v>-</v>
      </c>
      <c r="L76" s="58" t="str">
        <f>IFERROR(IF(SUMIFS(Bloki1[WB],Bloki1[Nazwa zawodnika],$B76,Bloki1[Skill],L$56)&gt;0,AVERAGEIFS(Bloki1[WB],Bloki1[Nazwa zawodnika],$B76,Bloki1[Skill],L$56),VLOOKUP(INDEX(JuniorstwoRandom[],MATCH($A76,$A$3:$A$23,0),COLUMN(L$2)),Szacunki[],3,FALSE)),"-")</f>
        <v>-</v>
      </c>
      <c r="M76" s="58" t="str">
        <f>IFERROR(IF(SUMIFS(Bloki1[WB],Bloki1[Nazwa zawodnika],$B76,Bloki1[Skill],M$56)&gt;0,AVERAGEIFS(Bloki1[WB],Bloki1[Nazwa zawodnika],$B76,Bloki1[Skill],M$56),VLOOKUP(INDEX(JuniorstwoRandom[],MATCH($A76,$A$3:$A$23,0),COLUMN(M$2)),Szacunki[],3,FALSE)),"-")</f>
        <v>-</v>
      </c>
      <c r="N76">
        <v>10</v>
      </c>
      <c r="O76" s="26">
        <f>SUM(C76:M76)</f>
        <v>0</v>
      </c>
    </row>
  </sheetData>
  <phoneticPr fontId="3" type="noConversion"/>
  <conditionalFormatting sqref="C3:M3">
    <cfRule type="cellIs" dxfId="57" priority="39" operator="equal">
      <formula>$P$3</formula>
    </cfRule>
    <cfRule type="cellIs" dxfId="56" priority="40" operator="equal">
      <formula>$O$3</formula>
    </cfRule>
  </conditionalFormatting>
  <conditionalFormatting sqref="C4:M4">
    <cfRule type="cellIs" dxfId="55" priority="37" operator="equal">
      <formula>$P$4</formula>
    </cfRule>
    <cfRule type="cellIs" dxfId="54" priority="38" operator="equal">
      <formula>$O$4</formula>
    </cfRule>
  </conditionalFormatting>
  <conditionalFormatting sqref="C5:M5">
    <cfRule type="cellIs" dxfId="53" priority="35" operator="equal">
      <formula>$P$5</formula>
    </cfRule>
    <cfRule type="cellIs" dxfId="52" priority="36" operator="equal">
      <formula>$O$5</formula>
    </cfRule>
  </conditionalFormatting>
  <conditionalFormatting sqref="C6:M6">
    <cfRule type="cellIs" dxfId="51" priority="33" operator="equal">
      <formula>$P$6</formula>
    </cfRule>
    <cfRule type="cellIs" dxfId="50" priority="34" operator="equal">
      <formula>$O$6</formula>
    </cfRule>
  </conditionalFormatting>
  <conditionalFormatting sqref="C7:M7">
    <cfRule type="cellIs" dxfId="49" priority="31" operator="equal">
      <formula>$P$7</formula>
    </cfRule>
    <cfRule type="cellIs" dxfId="48" priority="32" operator="equal">
      <formula>$O$7</formula>
    </cfRule>
  </conditionalFormatting>
  <conditionalFormatting sqref="C8:M8">
    <cfRule type="cellIs" dxfId="47" priority="29" operator="equal">
      <formula>$P$8</formula>
    </cfRule>
    <cfRule type="cellIs" dxfId="46" priority="30" operator="equal">
      <formula>$O$8</formula>
    </cfRule>
  </conditionalFormatting>
  <conditionalFormatting sqref="C9:M9">
    <cfRule type="cellIs" dxfId="45" priority="27" operator="equal">
      <formula>$P$9</formula>
    </cfRule>
    <cfRule type="cellIs" dxfId="44" priority="28" operator="equal">
      <formula>$O$9</formula>
    </cfRule>
  </conditionalFormatting>
  <conditionalFormatting sqref="C10:M10">
    <cfRule type="cellIs" dxfId="43" priority="25" operator="equal">
      <formula>$P$10</formula>
    </cfRule>
    <cfRule type="cellIs" dxfId="42" priority="26" operator="equal">
      <formula>$O$10</formula>
    </cfRule>
  </conditionalFormatting>
  <conditionalFormatting sqref="C11:M11">
    <cfRule type="cellIs" dxfId="41" priority="23" operator="equal">
      <formula>$P$11</formula>
    </cfRule>
    <cfRule type="cellIs" dxfId="40" priority="24" operator="equal">
      <formula>$O$11</formula>
    </cfRule>
  </conditionalFormatting>
  <conditionalFormatting sqref="C12:M12">
    <cfRule type="cellIs" dxfId="39" priority="21" operator="equal">
      <formula>$P$12</formula>
    </cfRule>
    <cfRule type="cellIs" dxfId="38" priority="22" operator="equal">
      <formula>$O$12</formula>
    </cfRule>
  </conditionalFormatting>
  <conditionalFormatting sqref="C13:M13">
    <cfRule type="cellIs" dxfId="37" priority="19" operator="equal">
      <formula>$P$13</formula>
    </cfRule>
    <cfRule type="cellIs" dxfId="36" priority="20" operator="equal">
      <formula>$O$13</formula>
    </cfRule>
  </conditionalFormatting>
  <conditionalFormatting sqref="C14:M14">
    <cfRule type="cellIs" dxfId="35" priority="17" operator="equal">
      <formula>$P$14</formula>
    </cfRule>
    <cfRule type="cellIs" dxfId="34" priority="18" operator="equal">
      <formula>$O$14</formula>
    </cfRule>
  </conditionalFormatting>
  <conditionalFormatting sqref="C15:M15">
    <cfRule type="cellIs" dxfId="33" priority="15" operator="equal">
      <formula>$P$15</formula>
    </cfRule>
    <cfRule type="cellIs" dxfId="32" priority="16" operator="equal">
      <formula>$O$15</formula>
    </cfRule>
  </conditionalFormatting>
  <conditionalFormatting sqref="C16:M16">
    <cfRule type="cellIs" dxfId="31" priority="13" operator="equal">
      <formula>$P$16</formula>
    </cfRule>
    <cfRule type="cellIs" dxfId="30" priority="14" operator="equal">
      <formula>$O$16</formula>
    </cfRule>
  </conditionalFormatting>
  <conditionalFormatting sqref="C17:M17">
    <cfRule type="cellIs" dxfId="29" priority="11" operator="equal">
      <formula>$P$17</formula>
    </cfRule>
    <cfRule type="cellIs" dxfId="28" priority="12" operator="equal">
      <formula>$O$17</formula>
    </cfRule>
  </conditionalFormatting>
  <conditionalFormatting sqref="C18:M18">
    <cfRule type="cellIs" dxfId="27" priority="9" operator="equal">
      <formula>$P$18</formula>
    </cfRule>
    <cfRule type="cellIs" dxfId="26" priority="10" operator="equal">
      <formula>$O$18</formula>
    </cfRule>
  </conditionalFormatting>
  <conditionalFormatting sqref="C19:M19">
    <cfRule type="cellIs" dxfId="25" priority="7" operator="equal">
      <formula>$P$19</formula>
    </cfRule>
    <cfRule type="cellIs" dxfId="24" priority="8" operator="equal">
      <formula>$O$19</formula>
    </cfRule>
  </conditionalFormatting>
  <conditionalFormatting sqref="C20:M21">
    <cfRule type="cellIs" dxfId="23" priority="5" operator="equal">
      <formula>$P$20</formula>
    </cfRule>
    <cfRule type="cellIs" dxfId="22" priority="6" operator="equal">
      <formula>$O$20</formula>
    </cfRule>
  </conditionalFormatting>
  <conditionalFormatting sqref="C22:M22">
    <cfRule type="cellIs" dxfId="21" priority="1" operator="equal">
      <formula>$P$22</formula>
    </cfRule>
    <cfRule type="cellIs" dxfId="20" priority="2" operator="equal">
      <formula>$O$22</formula>
    </cfRule>
  </conditionalFormatting>
  <conditionalFormatting sqref="N3:N23">
    <cfRule type="colorScale" priority="111">
      <colorScale>
        <cfvo type="num" val="1"/>
        <cfvo type="percent" val="50"/>
        <cfvo type="max"/>
        <color rgb="FFF8696B"/>
        <color rgb="FFFFEB84"/>
        <color rgb="FF63BE7B"/>
      </colorScale>
    </cfRule>
    <cfRule type="iconSet" priority="112">
      <iconSet iconSet="4Arrows">
        <cfvo type="percent" val="0"/>
        <cfvo type="num" val="2"/>
        <cfvo type="num" val="3"/>
        <cfvo type="num" val="4"/>
      </iconSet>
    </cfRule>
  </conditionalFormatting>
  <pageMargins left="0.7" right="0.7" top="0.75" bottom="0.75" header="0.3" footer="0.3"/>
  <pageSetup paperSize="9" orientation="portrait" verticalDpi="0" r:id="rId1"/>
  <tableParts count="4">
    <tablePart r:id="rId2"/>
    <tablePart r:id="rId3"/>
    <tablePart r:id="rId4"/>
    <tablePart r:id="rId5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2F2E8-5136-4B8B-ADEC-A54AD0C94656}">
  <dimension ref="A1:D24"/>
  <sheetViews>
    <sheetView workbookViewId="0">
      <selection activeCell="B11" sqref="B11"/>
    </sheetView>
  </sheetViews>
  <sheetFormatPr defaultRowHeight="15" x14ac:dyDescent="0.25"/>
  <cols>
    <col min="1" max="1" width="7" customWidth="1"/>
    <col min="2" max="2" width="23.5703125" customWidth="1"/>
    <col min="3" max="3" width="13.5703125" customWidth="1"/>
  </cols>
  <sheetData>
    <row r="1" spans="1:4" x14ac:dyDescent="0.25">
      <c r="A1" t="s">
        <v>383</v>
      </c>
      <c r="B1" t="s">
        <v>37</v>
      </c>
      <c r="C1" t="s">
        <v>80</v>
      </c>
      <c r="D1" t="s">
        <v>95</v>
      </c>
    </row>
    <row r="2" spans="1:4" x14ac:dyDescent="0.25">
      <c r="A2">
        <v>22</v>
      </c>
      <c r="B2" t="str">
        <f>VLOOKUP(Bloki1[[#This Row],[NR]],Zawodnicy[],2,FALSE)</f>
        <v>Daniel Dziewulski</v>
      </c>
      <c r="C2" t="s">
        <v>3</v>
      </c>
      <c r="D2">
        <v>6</v>
      </c>
    </row>
    <row r="3" spans="1:4" x14ac:dyDescent="0.25">
      <c r="A3">
        <v>25</v>
      </c>
      <c r="B3" t="str">
        <f>VLOOKUP(Bloki1[[#This Row],[NR]],Zawodnicy[],2,FALSE)</f>
        <v>Jakub Ludwiczak</v>
      </c>
      <c r="C3" t="s">
        <v>2</v>
      </c>
      <c r="D3">
        <v>7</v>
      </c>
    </row>
    <row r="4" spans="1:4" x14ac:dyDescent="0.25">
      <c r="A4">
        <v>26</v>
      </c>
      <c r="B4" t="str">
        <f>VLOOKUP(Bloki1[[#This Row],[NR]],Zawodnicy[],2,FALSE)</f>
        <v>Ignacy Lato</v>
      </c>
      <c r="C4" t="s">
        <v>6</v>
      </c>
      <c r="D4">
        <v>6</v>
      </c>
    </row>
    <row r="5" spans="1:4" x14ac:dyDescent="0.25">
      <c r="A5">
        <v>26</v>
      </c>
      <c r="B5" t="str">
        <f>VLOOKUP(Bloki1[[#This Row],[NR]],Zawodnicy[],2,FALSE)</f>
        <v>Ignacy Lato</v>
      </c>
      <c r="C5" t="s">
        <v>2</v>
      </c>
      <c r="D5">
        <v>8</v>
      </c>
    </row>
    <row r="6" spans="1:4" x14ac:dyDescent="0.25">
      <c r="A6">
        <v>26</v>
      </c>
      <c r="B6" t="str">
        <f>VLOOKUP(Bloki1[[#This Row],[NR]],Zawodnicy[],2,FALSE)</f>
        <v>Ignacy Lato</v>
      </c>
      <c r="C6" t="s">
        <v>3</v>
      </c>
      <c r="D6">
        <v>6</v>
      </c>
    </row>
    <row r="7" spans="1:4" x14ac:dyDescent="0.25">
      <c r="A7">
        <v>31</v>
      </c>
      <c r="B7" t="str">
        <f>VLOOKUP(Bloki1[[#This Row],[NR]],Zawodnicy[],2,FALSE)</f>
        <v>Jacek Swoboda</v>
      </c>
      <c r="C7" t="s">
        <v>2</v>
      </c>
      <c r="D7">
        <v>6</v>
      </c>
    </row>
    <row r="8" spans="1:4" x14ac:dyDescent="0.25">
      <c r="A8">
        <v>31</v>
      </c>
      <c r="B8" t="str">
        <f>VLOOKUP(Bloki1[[#This Row],[NR]],Zawodnicy[],2,FALSE)</f>
        <v>Jacek Swoboda</v>
      </c>
      <c r="C8" t="s">
        <v>9</v>
      </c>
      <c r="D8">
        <v>8</v>
      </c>
    </row>
    <row r="9" spans="1:4" x14ac:dyDescent="0.25">
      <c r="A9">
        <v>31</v>
      </c>
      <c r="B9" t="str">
        <f>VLOOKUP(Bloki1[[#This Row],[NR]],Zawodnicy[],2,FALSE)</f>
        <v>Jacek Swoboda</v>
      </c>
      <c r="C9" t="s">
        <v>3</v>
      </c>
      <c r="D9">
        <v>7</v>
      </c>
    </row>
    <row r="10" spans="1:4" x14ac:dyDescent="0.25">
      <c r="A10">
        <v>33</v>
      </c>
      <c r="B10" t="e">
        <f>VLOOKUP(Bloki1[[#This Row],[NR]],Zawodnicy[],2,FALSE)</f>
        <v>#N/A</v>
      </c>
      <c r="C10" t="s">
        <v>2</v>
      </c>
      <c r="D10">
        <v>5</v>
      </c>
    </row>
    <row r="11" spans="1:4" x14ac:dyDescent="0.25">
      <c r="A11">
        <v>33</v>
      </c>
      <c r="B11" t="e">
        <f>VLOOKUP(Bloki1[[#This Row],[NR]],Zawodnicy[],2,FALSE)</f>
        <v>#N/A</v>
      </c>
      <c r="C11" t="s">
        <v>3</v>
      </c>
      <c r="D11">
        <v>8</v>
      </c>
    </row>
    <row r="12" spans="1:4" x14ac:dyDescent="0.25">
      <c r="A12">
        <v>38</v>
      </c>
      <c r="B12" t="str">
        <f>VLOOKUP(Bloki1[[#This Row],[NR]],Zawodnicy[],2,FALSE)</f>
        <v>Boleslaw Kolbert</v>
      </c>
      <c r="C12" t="s">
        <v>2</v>
      </c>
      <c r="D12">
        <v>5</v>
      </c>
    </row>
    <row r="13" spans="1:4" x14ac:dyDescent="0.25">
      <c r="A13">
        <v>45</v>
      </c>
      <c r="B13" t="str">
        <f>VLOOKUP(Bloki1[[#This Row],[NR]],Zawodnicy[],2,FALSE)</f>
        <v>Janusz Sierocki</v>
      </c>
      <c r="C13" t="s">
        <v>2</v>
      </c>
      <c r="D13">
        <v>7</v>
      </c>
    </row>
    <row r="14" spans="1:4" x14ac:dyDescent="0.25">
      <c r="A14">
        <v>22</v>
      </c>
      <c r="B14" t="str">
        <f>VLOOKUP(Bloki1[[#This Row],[NR]],Zawodnicy[],2,FALSE)</f>
        <v>Daniel Dziewulski</v>
      </c>
      <c r="C14" t="s">
        <v>2</v>
      </c>
      <c r="D14">
        <v>9</v>
      </c>
    </row>
    <row r="15" spans="1:4" x14ac:dyDescent="0.25">
      <c r="A15">
        <v>25</v>
      </c>
      <c r="B15" t="str">
        <f>VLOOKUP(Bloki1[[#This Row],[NR]],Zawodnicy[],2,FALSE)</f>
        <v>Jakub Ludwiczak</v>
      </c>
      <c r="C15" t="s">
        <v>3</v>
      </c>
      <c r="D15">
        <v>6</v>
      </c>
    </row>
    <row r="16" spans="1:4" x14ac:dyDescent="0.25">
      <c r="A16">
        <v>26</v>
      </c>
      <c r="B16" t="str">
        <f>VLOOKUP(Bloki1[[#This Row],[NR]],Zawodnicy[],2,FALSE)</f>
        <v>Ignacy Lato</v>
      </c>
      <c r="C16" t="s">
        <v>9</v>
      </c>
      <c r="D16">
        <v>9</v>
      </c>
    </row>
    <row r="17" spans="1:4" x14ac:dyDescent="0.25">
      <c r="A17">
        <v>27</v>
      </c>
      <c r="B17" t="str">
        <f>VLOOKUP(Bloki1[[#This Row],[NR]],Zawodnicy[],2,FALSE)</f>
        <v>Sylwester Kaszubowski</v>
      </c>
      <c r="C17" t="s">
        <v>2</v>
      </c>
      <c r="D17">
        <v>8</v>
      </c>
    </row>
    <row r="18" spans="1:4" x14ac:dyDescent="0.25">
      <c r="A18">
        <v>27</v>
      </c>
      <c r="B18" t="str">
        <f>VLOOKUP(Bloki1[[#This Row],[NR]],Zawodnicy[],2,FALSE)</f>
        <v>Sylwester Kaszubowski</v>
      </c>
      <c r="C18" t="s">
        <v>9</v>
      </c>
      <c r="D18">
        <v>10</v>
      </c>
    </row>
    <row r="19" spans="1:4" x14ac:dyDescent="0.25">
      <c r="A19">
        <v>28</v>
      </c>
      <c r="B19" t="e">
        <f>VLOOKUP(Bloki1[[#This Row],[NR]],Zawodnicy[],2,FALSE)</f>
        <v>#N/A</v>
      </c>
      <c r="C19" t="s">
        <v>2</v>
      </c>
      <c r="D19">
        <v>7</v>
      </c>
    </row>
    <row r="20" spans="1:4" x14ac:dyDescent="0.25">
      <c r="A20">
        <v>28</v>
      </c>
      <c r="B20" t="e">
        <f>VLOOKUP(Bloki1[[#This Row],[NR]],Zawodnicy[],2,FALSE)</f>
        <v>#N/A</v>
      </c>
      <c r="C20" t="s">
        <v>3</v>
      </c>
      <c r="D20">
        <v>7</v>
      </c>
    </row>
    <row r="21" spans="1:4" x14ac:dyDescent="0.25">
      <c r="A21">
        <v>17</v>
      </c>
      <c r="B21" t="str">
        <f>VLOOKUP(Bloki1[[#This Row],[NR]],Zawodnicy[],2,FALSE)</f>
        <v>Hieronim Wejta</v>
      </c>
      <c r="C21" t="s">
        <v>2</v>
      </c>
      <c r="D21">
        <v>6</v>
      </c>
    </row>
    <row r="22" spans="1:4" x14ac:dyDescent="0.25">
      <c r="A22">
        <v>17</v>
      </c>
      <c r="B22" t="str">
        <f>VLOOKUP(Bloki1[[#This Row],[NR]],Zawodnicy[],2,FALSE)</f>
        <v>Hieronim Wejta</v>
      </c>
      <c r="C22" t="s">
        <v>3</v>
      </c>
      <c r="D22">
        <v>9</v>
      </c>
    </row>
    <row r="23" spans="1:4" x14ac:dyDescent="0.25">
      <c r="A23">
        <v>17</v>
      </c>
      <c r="B23" t="str">
        <f>VLOOKUP(Bloki1[[#This Row],[NR]],Zawodnicy[],2,FALSE)</f>
        <v>Hieronim Wejta</v>
      </c>
      <c r="C23" t="s">
        <v>63</v>
      </c>
      <c r="D23">
        <v>8</v>
      </c>
    </row>
    <row r="24" spans="1:4" x14ac:dyDescent="0.25">
      <c r="A24">
        <v>45</v>
      </c>
      <c r="B24" t="str">
        <f>VLOOKUP(Bloki1[[#This Row],[NR]],Zawodnicy[],2,FALSE)</f>
        <v>Janusz Sierocki</v>
      </c>
      <c r="C24" t="s">
        <v>3</v>
      </c>
      <c r="D24">
        <v>8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C73DEA-41D6-45F8-8FB6-A93605EA9B5B}">
  <dimension ref="A3:V58"/>
  <sheetViews>
    <sheetView workbookViewId="0">
      <selection activeCell="O41" sqref="O41"/>
    </sheetView>
  </sheetViews>
  <sheetFormatPr defaultRowHeight="15" x14ac:dyDescent="0.25"/>
  <cols>
    <col min="1" max="1" width="10.5703125" customWidth="1"/>
    <col min="4" max="4" width="17.85546875" customWidth="1"/>
    <col min="5" max="5" width="11.140625" customWidth="1"/>
    <col min="6" max="6" width="12" customWidth="1"/>
    <col min="7" max="7" width="17.7109375" bestFit="1" customWidth="1"/>
    <col min="8" max="8" width="12.28515625" bestFit="1" customWidth="1"/>
    <col min="9" max="9" width="14.28515625" bestFit="1" customWidth="1"/>
    <col min="14" max="14" width="9.85546875" bestFit="1" customWidth="1"/>
  </cols>
  <sheetData>
    <row r="3" spans="1:19" x14ac:dyDescent="0.25">
      <c r="A3" t="s">
        <v>0</v>
      </c>
    </row>
    <row r="4" spans="1:19" x14ac:dyDescent="0.25">
      <c r="A4">
        <v>1</v>
      </c>
      <c r="B4">
        <v>3</v>
      </c>
      <c r="C4">
        <v>4</v>
      </c>
      <c r="D4">
        <v>5</v>
      </c>
    </row>
    <row r="5" spans="1:19" x14ac:dyDescent="0.25">
      <c r="A5">
        <v>1.5</v>
      </c>
      <c r="B5">
        <v>4</v>
      </c>
      <c r="C5">
        <v>5</v>
      </c>
      <c r="D5">
        <v>6</v>
      </c>
    </row>
    <row r="6" spans="1:19" x14ac:dyDescent="0.25">
      <c r="A6">
        <v>2</v>
      </c>
      <c r="B6">
        <v>5</v>
      </c>
      <c r="C6">
        <v>6</v>
      </c>
      <c r="D6">
        <v>7</v>
      </c>
    </row>
    <row r="7" spans="1:19" x14ac:dyDescent="0.25">
      <c r="A7">
        <v>2.5</v>
      </c>
      <c r="B7">
        <v>6</v>
      </c>
      <c r="C7">
        <v>7</v>
      </c>
      <c r="D7">
        <v>8</v>
      </c>
    </row>
    <row r="8" spans="1:19" x14ac:dyDescent="0.25">
      <c r="A8">
        <v>3</v>
      </c>
      <c r="B8">
        <v>7</v>
      </c>
      <c r="C8">
        <v>8</v>
      </c>
      <c r="D8">
        <v>9</v>
      </c>
    </row>
    <row r="9" spans="1:19" x14ac:dyDescent="0.25">
      <c r="A9">
        <v>3.5</v>
      </c>
      <c r="B9">
        <v>8</v>
      </c>
      <c r="C9">
        <v>9</v>
      </c>
    </row>
    <row r="10" spans="1:19" x14ac:dyDescent="0.25">
      <c r="A10">
        <v>4</v>
      </c>
      <c r="B10">
        <v>9</v>
      </c>
      <c r="C10">
        <v>10</v>
      </c>
    </row>
    <row r="12" spans="1:19" x14ac:dyDescent="0.25">
      <c r="A12" t="s">
        <v>1</v>
      </c>
      <c r="B12" t="s">
        <v>2</v>
      </c>
      <c r="C12" t="s">
        <v>3</v>
      </c>
      <c r="D12" t="s">
        <v>4</v>
      </c>
      <c r="E12" t="s">
        <v>5</v>
      </c>
      <c r="F12" t="s">
        <v>6</v>
      </c>
      <c r="G12" t="s">
        <v>7</v>
      </c>
      <c r="H12" t="s">
        <v>8</v>
      </c>
      <c r="I12" t="s">
        <v>9</v>
      </c>
      <c r="J12" t="s">
        <v>10</v>
      </c>
      <c r="K12" t="s">
        <v>11</v>
      </c>
      <c r="L12" t="s">
        <v>12</v>
      </c>
      <c r="N12" t="s">
        <v>14</v>
      </c>
      <c r="R12" t="s">
        <v>17</v>
      </c>
    </row>
    <row r="13" spans="1:19" x14ac:dyDescent="0.25">
      <c r="A13" t="s">
        <v>13</v>
      </c>
      <c r="B13">
        <v>2</v>
      </c>
      <c r="C13">
        <v>3</v>
      </c>
      <c r="D13">
        <v>3</v>
      </c>
      <c r="E13">
        <v>2</v>
      </c>
      <c r="F13">
        <v>2</v>
      </c>
      <c r="G13">
        <v>1.5</v>
      </c>
      <c r="H13">
        <v>2</v>
      </c>
      <c r="I13">
        <v>1</v>
      </c>
      <c r="J13">
        <v>1.5</v>
      </c>
      <c r="K13">
        <v>1</v>
      </c>
      <c r="L13">
        <v>2</v>
      </c>
      <c r="M13">
        <f>SUM(B13:L13)</f>
        <v>21</v>
      </c>
      <c r="N13">
        <v>1</v>
      </c>
      <c r="R13">
        <v>2.5238095238095237</v>
      </c>
      <c r="S13">
        <v>0.33333000000000002</v>
      </c>
    </row>
    <row r="14" spans="1:19" x14ac:dyDescent="0.25">
      <c r="A14" t="s">
        <v>15</v>
      </c>
      <c r="B14">
        <v>5</v>
      </c>
      <c r="C14">
        <v>7</v>
      </c>
      <c r="D14">
        <v>7</v>
      </c>
      <c r="E14">
        <v>5</v>
      </c>
      <c r="F14">
        <v>5</v>
      </c>
      <c r="G14">
        <v>4</v>
      </c>
      <c r="H14">
        <v>5</v>
      </c>
      <c r="I14">
        <v>3</v>
      </c>
      <c r="J14">
        <v>4</v>
      </c>
      <c r="K14">
        <v>3</v>
      </c>
      <c r="L14">
        <v>5</v>
      </c>
      <c r="M14">
        <f>SUM(B14:L14)</f>
        <v>53</v>
      </c>
      <c r="R14">
        <f>R13+S13</f>
        <v>2.8571395238095239</v>
      </c>
      <c r="S14">
        <v>0.33333000000000002</v>
      </c>
    </row>
    <row r="15" spans="1:19" x14ac:dyDescent="0.25">
      <c r="A15" t="s">
        <v>16</v>
      </c>
      <c r="B15">
        <v>7</v>
      </c>
      <c r="C15">
        <v>9</v>
      </c>
      <c r="D15">
        <v>9</v>
      </c>
      <c r="E15">
        <v>7</v>
      </c>
      <c r="F15">
        <v>7</v>
      </c>
      <c r="G15">
        <v>6</v>
      </c>
      <c r="H15">
        <v>7</v>
      </c>
      <c r="I15">
        <v>5</v>
      </c>
      <c r="J15">
        <v>6</v>
      </c>
      <c r="K15">
        <v>5</v>
      </c>
      <c r="L15">
        <v>7</v>
      </c>
      <c r="M15">
        <f>SUM(B15:L15)</f>
        <v>75</v>
      </c>
      <c r="R15">
        <f>R14+S14</f>
        <v>3.190469523809524</v>
      </c>
      <c r="S15">
        <v>0.33333000000000002</v>
      </c>
    </row>
    <row r="16" spans="1:19" x14ac:dyDescent="0.25">
      <c r="R16">
        <f>R15+S15</f>
        <v>3.5237995238095241</v>
      </c>
    </row>
    <row r="20" spans="1:20" x14ac:dyDescent="0.25">
      <c r="M20">
        <f>ROUND(M13*R14,0)</f>
        <v>60</v>
      </c>
    </row>
    <row r="21" spans="1:20" x14ac:dyDescent="0.25">
      <c r="M21" t="s">
        <v>112</v>
      </c>
    </row>
    <row r="22" spans="1:20" x14ac:dyDescent="0.25">
      <c r="D22" t="s">
        <v>113</v>
      </c>
      <c r="E22" t="s">
        <v>108</v>
      </c>
      <c r="F22" t="s">
        <v>106</v>
      </c>
      <c r="G22" t="s">
        <v>105</v>
      </c>
      <c r="H22" t="s">
        <v>107</v>
      </c>
      <c r="I22" t="s">
        <v>109</v>
      </c>
      <c r="J22" t="s">
        <v>110</v>
      </c>
      <c r="K22">
        <v>6</v>
      </c>
      <c r="N22" t="s">
        <v>108</v>
      </c>
      <c r="O22" t="s">
        <v>106</v>
      </c>
      <c r="P22" t="s">
        <v>105</v>
      </c>
      <c r="Q22" t="s">
        <v>107</v>
      </c>
      <c r="R22" t="s">
        <v>109</v>
      </c>
      <c r="S22" t="s">
        <v>110</v>
      </c>
      <c r="T22">
        <v>6</v>
      </c>
    </row>
    <row r="23" spans="1:20" x14ac:dyDescent="0.25">
      <c r="D23" t="s">
        <v>40</v>
      </c>
      <c r="E23">
        <v>0</v>
      </c>
      <c r="F23">
        <v>0</v>
      </c>
      <c r="G23">
        <v>3</v>
      </c>
      <c r="H23">
        <v>0</v>
      </c>
      <c r="I23">
        <v>3</v>
      </c>
      <c r="J23">
        <v>0</v>
      </c>
      <c r="K23">
        <f>SUM(E23:J23)</f>
        <v>6</v>
      </c>
      <c r="M23" t="s">
        <v>40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f>SUM(N23:S23)</f>
        <v>6</v>
      </c>
    </row>
    <row r="24" spans="1:20" x14ac:dyDescent="0.25">
      <c r="D24" t="s">
        <v>42</v>
      </c>
      <c r="E24">
        <v>1</v>
      </c>
      <c r="F24">
        <v>1.5</v>
      </c>
      <c r="G24">
        <v>1</v>
      </c>
      <c r="H24">
        <v>1</v>
      </c>
      <c r="I24">
        <v>0</v>
      </c>
      <c r="J24">
        <v>1.5</v>
      </c>
      <c r="K24">
        <f t="shared" ref="K24:K28" si="0">SUM(E24:J24)</f>
        <v>6</v>
      </c>
      <c r="M24" t="s">
        <v>42</v>
      </c>
      <c r="N24">
        <v>1</v>
      </c>
      <c r="O24">
        <v>1</v>
      </c>
      <c r="P24">
        <v>1</v>
      </c>
      <c r="Q24">
        <v>2</v>
      </c>
      <c r="R24">
        <v>0</v>
      </c>
      <c r="S24">
        <v>1</v>
      </c>
      <c r="T24">
        <f t="shared" ref="T24:T28" si="1">SUM(N24:S24)</f>
        <v>6</v>
      </c>
    </row>
    <row r="25" spans="1:20" x14ac:dyDescent="0.25">
      <c r="D25" t="s">
        <v>41</v>
      </c>
      <c r="E25">
        <v>1</v>
      </c>
      <c r="F25">
        <v>1</v>
      </c>
      <c r="G25">
        <v>1.5</v>
      </c>
      <c r="H25">
        <v>1</v>
      </c>
      <c r="I25">
        <v>0</v>
      </c>
      <c r="J25">
        <v>1.5</v>
      </c>
      <c r="K25">
        <f t="shared" si="0"/>
        <v>6</v>
      </c>
      <c r="M25" t="s">
        <v>41</v>
      </c>
      <c r="N25">
        <v>2</v>
      </c>
      <c r="O25">
        <v>2</v>
      </c>
      <c r="P25">
        <v>2</v>
      </c>
      <c r="Q25">
        <v>0</v>
      </c>
      <c r="R25">
        <v>0</v>
      </c>
      <c r="S25">
        <v>0</v>
      </c>
      <c r="T25">
        <f t="shared" si="1"/>
        <v>6</v>
      </c>
    </row>
    <row r="26" spans="1:20" x14ac:dyDescent="0.25">
      <c r="D26" t="s">
        <v>67</v>
      </c>
      <c r="E26">
        <v>1</v>
      </c>
      <c r="F26">
        <v>1</v>
      </c>
      <c r="G26">
        <v>1</v>
      </c>
      <c r="H26">
        <v>1</v>
      </c>
      <c r="I26">
        <v>0</v>
      </c>
      <c r="J26">
        <v>2</v>
      </c>
      <c r="K26">
        <f t="shared" si="0"/>
        <v>6</v>
      </c>
      <c r="M26" t="s">
        <v>67</v>
      </c>
      <c r="N26">
        <v>1</v>
      </c>
      <c r="O26">
        <v>1</v>
      </c>
      <c r="P26">
        <v>2</v>
      </c>
      <c r="Q26">
        <v>1</v>
      </c>
      <c r="R26">
        <v>0</v>
      </c>
      <c r="S26">
        <v>1</v>
      </c>
      <c r="T26">
        <f t="shared" si="1"/>
        <v>6</v>
      </c>
    </row>
    <row r="27" spans="1:20" x14ac:dyDescent="0.25">
      <c r="D27" t="s">
        <v>44</v>
      </c>
      <c r="E27">
        <v>0.75</v>
      </c>
      <c r="F27">
        <v>0.75</v>
      </c>
      <c r="G27">
        <v>1.5</v>
      </c>
      <c r="H27">
        <v>1</v>
      </c>
      <c r="I27">
        <v>0</v>
      </c>
      <c r="J27">
        <v>2</v>
      </c>
      <c r="K27">
        <f t="shared" si="0"/>
        <v>6</v>
      </c>
      <c r="M27" t="s">
        <v>44</v>
      </c>
      <c r="N27">
        <v>0.75</v>
      </c>
      <c r="O27">
        <v>0.75</v>
      </c>
      <c r="P27">
        <v>2</v>
      </c>
      <c r="Q27">
        <v>1</v>
      </c>
      <c r="R27">
        <v>0</v>
      </c>
      <c r="S27">
        <v>1.5</v>
      </c>
      <c r="T27">
        <f t="shared" si="1"/>
        <v>6</v>
      </c>
    </row>
    <row r="28" spans="1:20" x14ac:dyDescent="0.25">
      <c r="D28" t="s">
        <v>111</v>
      </c>
      <c r="E28">
        <v>0</v>
      </c>
      <c r="F28">
        <v>0</v>
      </c>
      <c r="G28">
        <v>1</v>
      </c>
      <c r="H28">
        <v>2</v>
      </c>
      <c r="I28">
        <v>0</v>
      </c>
      <c r="J28">
        <v>3</v>
      </c>
      <c r="K28">
        <f t="shared" si="0"/>
        <v>6</v>
      </c>
      <c r="M28" t="s">
        <v>111</v>
      </c>
      <c r="N28">
        <v>0</v>
      </c>
      <c r="O28">
        <v>0</v>
      </c>
      <c r="P28">
        <v>1</v>
      </c>
      <c r="Q28">
        <v>2</v>
      </c>
      <c r="R28">
        <v>0</v>
      </c>
      <c r="S28">
        <v>3</v>
      </c>
      <c r="T28">
        <f t="shared" si="1"/>
        <v>6</v>
      </c>
    </row>
    <row r="31" spans="1:20" x14ac:dyDescent="0.25">
      <c r="A31" t="s">
        <v>127</v>
      </c>
      <c r="B31" s="16">
        <f>PozycjeMG!M2+PozycjeMG!M3</f>
        <v>3.25</v>
      </c>
      <c r="D31" s="38"/>
      <c r="F31" s="16"/>
    </row>
    <row r="32" spans="1:20" x14ac:dyDescent="0.25">
      <c r="A32" t="s">
        <v>128</v>
      </c>
      <c r="B32" s="16">
        <f>PozycjeMG!M2+PozycjeMG!M4</f>
        <v>2.84375</v>
      </c>
      <c r="D32" s="38"/>
    </row>
    <row r="33" spans="1:22" x14ac:dyDescent="0.25">
      <c r="A33" t="s">
        <v>129</v>
      </c>
      <c r="B33" s="16">
        <f>PozycjeMG!M5+PozycjeMG!M4+PozycjeMG!M9</f>
        <v>3.71875</v>
      </c>
      <c r="D33" s="38"/>
    </row>
    <row r="34" spans="1:22" x14ac:dyDescent="0.25">
      <c r="A34" t="s">
        <v>140</v>
      </c>
      <c r="B34" s="16">
        <f>PozycjeMG!M2+PozycjeMG!M11+PozycjeMG!M9</f>
        <v>3.78125</v>
      </c>
      <c r="D34" s="38"/>
    </row>
    <row r="35" spans="1:22" x14ac:dyDescent="0.25">
      <c r="A35" t="s">
        <v>130</v>
      </c>
      <c r="B35" s="16">
        <f>PozycjeMG!M3+PozycjeMG!M10</f>
        <v>2.65625</v>
      </c>
      <c r="D35" s="38"/>
    </row>
    <row r="36" spans="1:22" x14ac:dyDescent="0.25">
      <c r="A36" t="s">
        <v>131</v>
      </c>
      <c r="B36" s="16">
        <f>PozycjeMG!M5+PozycjeMG!M9+PozycjeMG!M10</f>
        <v>3.78125</v>
      </c>
      <c r="D36" s="38"/>
    </row>
    <row r="37" spans="1:22" x14ac:dyDescent="0.25">
      <c r="A37" t="s">
        <v>132</v>
      </c>
      <c r="B37" s="16">
        <f>PozycjeMG!M7+PozycjeMG!M6</f>
        <v>0.875</v>
      </c>
      <c r="D37" s="38"/>
      <c r="R37" t="s">
        <v>381</v>
      </c>
    </row>
    <row r="38" spans="1:22" x14ac:dyDescent="0.25">
      <c r="A38" t="s">
        <v>133</v>
      </c>
      <c r="B38" s="16">
        <f>PozycjeMG!M9+PozycjeMG!M6</f>
        <v>2.15625</v>
      </c>
      <c r="D38" s="38"/>
      <c r="O38" s="78" t="s">
        <v>149</v>
      </c>
      <c r="R38" t="e">
        <f>VLOOKUP("*"&amp;R37&amp;"*",O38:O58,1,FALSE)</f>
        <v>#N/A</v>
      </c>
    </row>
    <row r="39" spans="1:22" x14ac:dyDescent="0.25">
      <c r="O39" s="79" t="s">
        <v>18</v>
      </c>
    </row>
    <row r="40" spans="1:22" x14ac:dyDescent="0.25">
      <c r="O40" s="78" t="s">
        <v>19</v>
      </c>
    </row>
    <row r="41" spans="1:22" x14ac:dyDescent="0.25">
      <c r="O41" s="79" t="s">
        <v>20</v>
      </c>
    </row>
    <row r="42" spans="1:22" x14ac:dyDescent="0.25">
      <c r="O42" s="78" t="s">
        <v>21</v>
      </c>
    </row>
    <row r="43" spans="1:22" x14ac:dyDescent="0.25">
      <c r="O43" s="79" t="s">
        <v>22</v>
      </c>
    </row>
    <row r="44" spans="1:22" x14ac:dyDescent="0.25">
      <c r="O44" s="78" t="s">
        <v>23</v>
      </c>
    </row>
    <row r="45" spans="1:22" x14ac:dyDescent="0.25">
      <c r="O45" s="79" t="s">
        <v>177</v>
      </c>
    </row>
    <row r="46" spans="1:22" x14ac:dyDescent="0.25">
      <c r="E46">
        <f ca="1">OFFSET(D48,0,0,1,4)</f>
        <v>23</v>
      </c>
      <c r="F46">
        <f t="array" aca="1" ref="F46" ca="1">OFFSET(D48,0,0,4,1)</f>
        <v>12</v>
      </c>
      <c r="O46" s="78" t="s">
        <v>24</v>
      </c>
    </row>
    <row r="47" spans="1:22" x14ac:dyDescent="0.25">
      <c r="O47" s="79" t="s">
        <v>25</v>
      </c>
    </row>
    <row r="48" spans="1:22" x14ac:dyDescent="0.25">
      <c r="D48">
        <v>12</v>
      </c>
      <c r="E48">
        <v>23</v>
      </c>
      <c r="F48">
        <v>34</v>
      </c>
      <c r="G48">
        <v>45</v>
      </c>
      <c r="O48" s="78" t="s">
        <v>26</v>
      </c>
      <c r="V48" t="s">
        <v>380</v>
      </c>
    </row>
    <row r="49" spans="4:22" x14ac:dyDescent="0.25">
      <c r="D49" t="s">
        <v>382</v>
      </c>
      <c r="O49" s="79" t="s">
        <v>150</v>
      </c>
      <c r="T49" t="s">
        <v>377</v>
      </c>
      <c r="V49" t="str">
        <f>VLOOKUP("*"&amp;V48&amp;"*",T49:T51,1,FALSE)</f>
        <v>jkljkjk</v>
      </c>
    </row>
    <row r="50" spans="4:22" x14ac:dyDescent="0.25">
      <c r="O50" s="78" t="s">
        <v>182</v>
      </c>
      <c r="T50" t="s">
        <v>378</v>
      </c>
    </row>
    <row r="51" spans="4:22" x14ac:dyDescent="0.25">
      <c r="O51" s="79" t="s">
        <v>183</v>
      </c>
      <c r="T51" t="s">
        <v>379</v>
      </c>
    </row>
    <row r="52" spans="4:22" x14ac:dyDescent="0.25">
      <c r="O52" s="78" t="s">
        <v>27</v>
      </c>
    </row>
    <row r="53" spans="4:22" x14ac:dyDescent="0.25">
      <c r="O53" s="79" t="s">
        <v>29</v>
      </c>
    </row>
    <row r="54" spans="4:22" x14ac:dyDescent="0.25">
      <c r="O54" s="78" t="s">
        <v>30</v>
      </c>
    </row>
    <row r="55" spans="4:22" x14ac:dyDescent="0.25">
      <c r="O55" s="79" t="s">
        <v>31</v>
      </c>
    </row>
    <row r="56" spans="4:22" x14ac:dyDescent="0.25">
      <c r="O56" s="78" t="s">
        <v>32</v>
      </c>
    </row>
    <row r="57" spans="4:22" x14ac:dyDescent="0.25">
      <c r="O57" s="79" t="s">
        <v>34</v>
      </c>
    </row>
    <row r="58" spans="4:22" x14ac:dyDescent="0.25">
      <c r="O58" s="78" t="s">
        <v>28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AC20B-5B71-4873-8A7C-EF77FC6AD4F4}">
  <dimension ref="A1:W87"/>
  <sheetViews>
    <sheetView workbookViewId="0">
      <selection activeCell="B1" sqref="B1"/>
    </sheetView>
  </sheetViews>
  <sheetFormatPr defaultRowHeight="15" x14ac:dyDescent="0.25"/>
  <cols>
    <col min="1" max="1" width="9.28515625" customWidth="1"/>
    <col min="2" max="2" width="21.7109375" customWidth="1"/>
    <col min="3" max="3" width="9.140625" customWidth="1"/>
    <col min="6" max="6" width="9.85546875" bestFit="1" customWidth="1"/>
  </cols>
  <sheetData>
    <row r="1" spans="2:23" x14ac:dyDescent="0.25">
      <c r="B1" t="s">
        <v>770</v>
      </c>
      <c r="C1" t="s">
        <v>40</v>
      </c>
      <c r="D1" t="s">
        <v>47</v>
      </c>
      <c r="E1" t="s">
        <v>66</v>
      </c>
      <c r="F1" t="s">
        <v>41</v>
      </c>
      <c r="G1" t="s">
        <v>67</v>
      </c>
      <c r="H1" t="s">
        <v>68</v>
      </c>
      <c r="I1" t="s">
        <v>44</v>
      </c>
      <c r="J1" t="s">
        <v>69</v>
      </c>
      <c r="K1" t="s">
        <v>46</v>
      </c>
      <c r="L1" t="s">
        <v>96</v>
      </c>
      <c r="M1" t="s">
        <v>115</v>
      </c>
      <c r="N1" t="s">
        <v>143</v>
      </c>
      <c r="O1" t="s">
        <v>142</v>
      </c>
      <c r="P1" t="s">
        <v>147</v>
      </c>
      <c r="Q1" t="s">
        <v>128</v>
      </c>
      <c r="R1" t="s">
        <v>129</v>
      </c>
      <c r="S1" t="s">
        <v>140</v>
      </c>
      <c r="T1" t="s">
        <v>130</v>
      </c>
      <c r="U1" t="s">
        <v>131</v>
      </c>
      <c r="V1" t="s">
        <v>141</v>
      </c>
      <c r="W1" t="s">
        <v>133</v>
      </c>
    </row>
    <row r="2" spans="2:23" x14ac:dyDescent="0.25">
      <c r="B2" s="3" t="s">
        <v>749</v>
      </c>
      <c r="C2">
        <v>0.5</v>
      </c>
      <c r="D2">
        <v>1.5</v>
      </c>
      <c r="E2">
        <v>2</v>
      </c>
      <c r="F2">
        <v>1.5</v>
      </c>
      <c r="G2">
        <v>1.5</v>
      </c>
      <c r="H2">
        <v>2</v>
      </c>
      <c r="I2">
        <v>1.5</v>
      </c>
      <c r="J2">
        <v>2</v>
      </c>
      <c r="K2">
        <v>2</v>
      </c>
      <c r="L2" s="19">
        <f>SUM(AtrybutyMG[[#This Row],[SO]:[ST]])</f>
        <v>14</v>
      </c>
      <c r="M2" s="59">
        <f>AtrybutyMG[[#This Row],[SUMA]]/COLUMNS(AtrybutyMG[[#Headers],[SO]:[ST]])</f>
        <v>1.75</v>
      </c>
      <c r="N2" s="16"/>
      <c r="O2" s="16">
        <f>AVERAGE(AtrybutyMG[[#This Row],[SO]:[ST]])*1.5</f>
        <v>2.625</v>
      </c>
      <c r="P2" s="16"/>
      <c r="Q2">
        <f>AVERAGE(AtrybutyMG[[#This Row],[SO]],AtrybutyMG[[#This Row],[DP]],AtrybutyMG[[#This Row],[BO]])*3/4</f>
        <v>1.25</v>
      </c>
      <c r="S2">
        <f>AVERAGE(AtrybutyMG[[#This Row],[BP]],AtrybutyMG[[#This Row],[BOP]])</f>
        <v>2</v>
      </c>
      <c r="W2">
        <f>AVERAGE(AtrybutyMG[[#This Row],[ST]],AtrybutyMG[[#This Row],[OP]])</f>
        <v>1.75</v>
      </c>
    </row>
    <row r="3" spans="2:23" x14ac:dyDescent="0.25">
      <c r="B3" s="3" t="s">
        <v>750</v>
      </c>
      <c r="C3">
        <v>0.5</v>
      </c>
      <c r="D3">
        <v>1.5</v>
      </c>
      <c r="E3">
        <v>1.5</v>
      </c>
      <c r="F3">
        <v>1.5</v>
      </c>
      <c r="G3">
        <v>1.5</v>
      </c>
      <c r="H3">
        <v>1.5</v>
      </c>
      <c r="I3">
        <v>1.5</v>
      </c>
      <c r="J3">
        <v>1.5</v>
      </c>
      <c r="K3">
        <v>1.5</v>
      </c>
      <c r="L3" s="19">
        <f>SUM(AtrybutyMG[[#This Row],[SO]:[ST]])</f>
        <v>12</v>
      </c>
      <c r="M3" s="59">
        <f>AtrybutyMG[[#This Row],[SUMA]]/COLUMNS(AtrybutyMG[[#Headers],[SO]:[ST]])</f>
        <v>1.5</v>
      </c>
      <c r="N3" s="16"/>
      <c r="O3" s="16">
        <f>AVERAGE(AtrybutyMG[[#This Row],[SO]:[ST]])*1.5</f>
        <v>2.25</v>
      </c>
      <c r="P3" s="16"/>
      <c r="Q3">
        <f>AVERAGE(AtrybutyMG[[#This Row],[SO]],AtrybutyMG[[#This Row],[DP]],AtrybutyMG[[#This Row],[BO]])*3/4</f>
        <v>1.125</v>
      </c>
      <c r="U3">
        <f>AVERAGE(AtrybutyMG[[#This Row],[DP]],AtrybutyMG[[#This Row],[SP]])*3/4</f>
        <v>1.125</v>
      </c>
    </row>
    <row r="4" spans="2:23" x14ac:dyDescent="0.25">
      <c r="B4" s="3" t="s">
        <v>763</v>
      </c>
      <c r="C4">
        <v>1</v>
      </c>
      <c r="D4">
        <v>1</v>
      </c>
      <c r="E4">
        <v>0.75</v>
      </c>
      <c r="F4">
        <v>1.5</v>
      </c>
      <c r="G4">
        <v>1.5</v>
      </c>
      <c r="H4">
        <v>1.25</v>
      </c>
      <c r="I4">
        <v>1.25</v>
      </c>
      <c r="J4">
        <v>1</v>
      </c>
      <c r="K4">
        <v>0.5</v>
      </c>
      <c r="L4" s="19">
        <f>SUM(AtrybutyMG[[#This Row],[SO]:[ST]])</f>
        <v>8.75</v>
      </c>
      <c r="M4" s="59">
        <f>AtrybutyMG[[#This Row],[SUMA]]/COLUMNS(AtrybutyMG[[#Headers],[SO]:[ST]])</f>
        <v>1.09375</v>
      </c>
      <c r="N4" s="16">
        <f>AtrybutyMG[[#This Row],[BR]]/2</f>
        <v>0.5</v>
      </c>
      <c r="O4" s="16"/>
      <c r="P4" s="16">
        <f>AVERAGE(AtrybutyMG[[#This Row],[SO]],AtrybutyMG[[#This Row],[DP]])</f>
        <v>1.25</v>
      </c>
      <c r="Q4">
        <f>AVERAGE(AtrybutyMG[[#This Row],[SO]],AtrybutyMG[[#This Row],[DP]],AtrybutyMG[[#This Row],[BO]])*3/4</f>
        <v>0.8125</v>
      </c>
      <c r="R4">
        <f>AVERAGE(AtrybutyMG[[#This Row],[SP]],AtrybutyMG[[#This Row],[OP]])</f>
        <v>1.375</v>
      </c>
    </row>
    <row r="5" spans="2:23" x14ac:dyDescent="0.25">
      <c r="B5" s="3" t="s">
        <v>751</v>
      </c>
      <c r="C5">
        <v>0</v>
      </c>
      <c r="D5">
        <v>0.75</v>
      </c>
      <c r="E5">
        <v>0.5</v>
      </c>
      <c r="F5">
        <v>1.25</v>
      </c>
      <c r="G5">
        <v>1.75</v>
      </c>
      <c r="H5">
        <v>1.25</v>
      </c>
      <c r="I5">
        <v>1.5</v>
      </c>
      <c r="J5">
        <v>1.25</v>
      </c>
      <c r="K5">
        <v>0.5</v>
      </c>
      <c r="L5" s="19">
        <f>SUM(AtrybutyMG[[#This Row],[SO]:[ST]])</f>
        <v>8.75</v>
      </c>
      <c r="M5" s="59">
        <f>AtrybutyMG[[#This Row],[SUMA]]/COLUMNS(AtrybutyMG[[#Headers],[SO]:[ST]])</f>
        <v>1.09375</v>
      </c>
      <c r="N5" s="16"/>
      <c r="O5" s="16"/>
      <c r="P5" s="16"/>
      <c r="R5">
        <f>AVERAGE(AtrybutyMG[[#This Row],[SP]],AtrybutyMG[[#This Row],[OP]])</f>
        <v>1.625</v>
      </c>
      <c r="T5">
        <f>AVERAGE(AtrybutyMG[[#This Row],[DP]],AtrybutyMG[[#This Row],[SP]])</f>
        <v>1.5</v>
      </c>
      <c r="U5">
        <f>AVERAGE(AtrybutyMG[[#This Row],[DP]],AtrybutyMG[[#This Row],[SP]])*3/4</f>
        <v>1.125</v>
      </c>
    </row>
    <row r="6" spans="2:23" x14ac:dyDescent="0.25">
      <c r="B6" s="3" t="s">
        <v>752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3</v>
      </c>
      <c r="L6" s="19">
        <f>SUM(AtrybutyMG[[#This Row],[SO]:[ST]])</f>
        <v>5</v>
      </c>
      <c r="M6" s="59">
        <f>AtrybutyMG[[#This Row],[SUMA]]/COLUMNS(AtrybutyMG[[#Headers],[SO]:[ST]])</f>
        <v>0.625</v>
      </c>
      <c r="N6" s="16"/>
      <c r="O6" s="16"/>
      <c r="P6" s="16"/>
      <c r="V6">
        <f>AtrybutyMG[[#This Row],[ST]]</f>
        <v>3</v>
      </c>
      <c r="W6">
        <f>AVERAGE(AtrybutyMG[[#This Row],[ST]],AtrybutyMG[[#This Row],[OP]])</f>
        <v>2</v>
      </c>
    </row>
    <row r="7" spans="2:23" x14ac:dyDescent="0.25">
      <c r="B7" s="3" t="s">
        <v>753</v>
      </c>
      <c r="C7">
        <v>0</v>
      </c>
      <c r="D7">
        <v>0.75</v>
      </c>
      <c r="E7">
        <v>0.25</v>
      </c>
      <c r="F7">
        <v>0.5</v>
      </c>
      <c r="G7">
        <v>0</v>
      </c>
      <c r="H7">
        <v>0</v>
      </c>
      <c r="I7">
        <v>0</v>
      </c>
      <c r="J7">
        <v>0</v>
      </c>
      <c r="K7">
        <v>0.5</v>
      </c>
      <c r="L7" s="19">
        <f>SUM(AtrybutyMG[[#This Row],[SO]:[ST]])</f>
        <v>2</v>
      </c>
      <c r="M7" s="59">
        <f>AtrybutyMG[[#This Row],[SUMA]]/COLUMNS(AtrybutyMG[[#Headers],[SO]:[ST]])</f>
        <v>0.25</v>
      </c>
      <c r="N7" s="16"/>
      <c r="O7" s="16"/>
      <c r="P7" s="16">
        <f>AVERAGE(AtrybutyMG[[#This Row],[SO]],AtrybutyMG[[#This Row],[DP]])</f>
        <v>0.625</v>
      </c>
      <c r="V7">
        <f>AtrybutyMG[[#This Row],[ST]]</f>
        <v>0.5</v>
      </c>
    </row>
    <row r="8" spans="2:23" x14ac:dyDescent="0.25">
      <c r="B8" s="3" t="s">
        <v>769</v>
      </c>
      <c r="C8">
        <v>5.5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 s="19">
        <f>SUM(AtrybutyMG[[#This Row],[SO]:[ST]])</f>
        <v>0</v>
      </c>
      <c r="M8" s="59">
        <f>AtrybutyMG[[#This Row],[SUMA]]/COLUMNS(AtrybutyMG[[#Headers],[SO]:[ST]])</f>
        <v>0</v>
      </c>
      <c r="N8" s="16">
        <f>AtrybutyMG[[#This Row],[BR]]/2</f>
        <v>2.75</v>
      </c>
      <c r="O8" s="16"/>
      <c r="P8" s="16"/>
    </row>
    <row r="9" spans="2:23" x14ac:dyDescent="0.25">
      <c r="B9" s="3" t="s">
        <v>754</v>
      </c>
      <c r="C9">
        <v>0</v>
      </c>
      <c r="D9">
        <v>0.75</v>
      </c>
      <c r="E9">
        <v>1</v>
      </c>
      <c r="F9">
        <v>1.5</v>
      </c>
      <c r="G9">
        <v>2</v>
      </c>
      <c r="H9">
        <v>2</v>
      </c>
      <c r="I9">
        <v>2.25</v>
      </c>
      <c r="J9">
        <v>1.5</v>
      </c>
      <c r="K9">
        <v>1.25</v>
      </c>
      <c r="L9" s="19">
        <f>SUM(AtrybutyMG[[#This Row],[SO]:[ST]])</f>
        <v>12.25</v>
      </c>
      <c r="M9" s="59">
        <f>AtrybutyMG[[#This Row],[SUMA]]/COLUMNS(AtrybutyMG[[#Headers],[SO]:[ST]])</f>
        <v>1.53125</v>
      </c>
      <c r="N9" s="16"/>
      <c r="O9" s="16"/>
      <c r="P9" s="16"/>
      <c r="R9">
        <f>AVERAGE(AtrybutyMG[[#This Row],[SP]],AtrybutyMG[[#This Row],[OP]])</f>
        <v>2.125</v>
      </c>
      <c r="S9">
        <f>AVERAGE(AtrybutyMG[[#This Row],[BP]],AtrybutyMG[[#This Row],[BOP]])</f>
        <v>1.75</v>
      </c>
      <c r="T9">
        <f>AVERAGE(AtrybutyMG[[#This Row],[DP]],AtrybutyMG[[#This Row],[SP]])</f>
        <v>1.75</v>
      </c>
      <c r="U9">
        <f>AVERAGE(AtrybutyMG[[#This Row],[DP]],AtrybutyMG[[#This Row],[SP]])*3/4</f>
        <v>1.3125</v>
      </c>
      <c r="V9">
        <f>AtrybutyMG[[#This Row],[ST]]</f>
        <v>1.25</v>
      </c>
      <c r="W9">
        <f>AVERAGE(AtrybutyMG[[#This Row],[ST]],AtrybutyMG[[#This Row],[OP]])</f>
        <v>1.75</v>
      </c>
    </row>
    <row r="10" spans="2:23" x14ac:dyDescent="0.25">
      <c r="B10" s="3" t="s">
        <v>755</v>
      </c>
      <c r="C10">
        <v>0</v>
      </c>
      <c r="D10">
        <v>3</v>
      </c>
      <c r="E10">
        <v>2.5</v>
      </c>
      <c r="F10">
        <v>1.5</v>
      </c>
      <c r="G10">
        <v>1</v>
      </c>
      <c r="H10">
        <v>0.5</v>
      </c>
      <c r="I10">
        <v>0.25</v>
      </c>
      <c r="J10">
        <v>0.25</v>
      </c>
      <c r="K10">
        <v>0.25</v>
      </c>
      <c r="L10" s="19">
        <f>SUM(AtrybutyMG[[#This Row],[SO]:[ST]])</f>
        <v>9.25</v>
      </c>
      <c r="M10" s="59">
        <f>AtrybutyMG[[#This Row],[SUMA]]/COLUMNS(AtrybutyMG[[#Headers],[SO]:[ST]])</f>
        <v>1.15625</v>
      </c>
      <c r="N10" s="16"/>
      <c r="O10" s="16"/>
      <c r="P10" s="16">
        <f>AVERAGE(AtrybutyMG[[#This Row],[SO]],AtrybutyMG[[#This Row],[DP]])</f>
        <v>2.25</v>
      </c>
      <c r="Q10">
        <f>AVERAGE(AtrybutyMG[[#This Row],[SO]],AtrybutyMG[[#This Row],[DP]],AtrybutyMG[[#This Row],[BO]])*3/4</f>
        <v>1.75</v>
      </c>
      <c r="T10">
        <f>AVERAGE(AtrybutyMG[[#This Row],[DP]],AtrybutyMG[[#This Row],[SP]])</f>
        <v>1.25</v>
      </c>
      <c r="U10">
        <f>AVERAGE(AtrybutyMG[[#This Row],[DP]],AtrybutyMG[[#This Row],[SP]])*3/4</f>
        <v>0.9375</v>
      </c>
    </row>
    <row r="11" spans="2:23" x14ac:dyDescent="0.25">
      <c r="B11" s="3" t="s">
        <v>756</v>
      </c>
      <c r="C11">
        <v>2</v>
      </c>
      <c r="D11">
        <v>0.25</v>
      </c>
      <c r="E11">
        <v>1</v>
      </c>
      <c r="F11">
        <v>0.25</v>
      </c>
      <c r="G11">
        <v>0.25</v>
      </c>
      <c r="H11">
        <v>1</v>
      </c>
      <c r="I11">
        <v>0.25</v>
      </c>
      <c r="J11">
        <v>1</v>
      </c>
      <c r="K11">
        <v>0</v>
      </c>
      <c r="L11" s="19">
        <f>SUM(AtrybutyMG[[#This Row],[SO]:[ST]])</f>
        <v>4</v>
      </c>
      <c r="M11" s="59">
        <f>AtrybutyMG[[#This Row],[SUMA]]/COLUMNS(AtrybutyMG[[#Headers],[SO]:[ST]])</f>
        <v>0.5</v>
      </c>
      <c r="N11" s="16">
        <f>AtrybutyMG[[#This Row],[BR]]/2</f>
        <v>1</v>
      </c>
      <c r="O11" s="16"/>
      <c r="P11" s="16"/>
      <c r="S11">
        <f>AVERAGE(AtrybutyMG[[#This Row],[BP]],AtrybutyMG[[#This Row],[BOP]])</f>
        <v>1</v>
      </c>
    </row>
    <row r="12" spans="2:23" x14ac:dyDescent="0.25">
      <c r="B12" s="3" t="s">
        <v>764</v>
      </c>
      <c r="C12">
        <v>0.01</v>
      </c>
      <c r="D12">
        <v>0.01</v>
      </c>
      <c r="E12">
        <v>0.01</v>
      </c>
      <c r="F12">
        <v>0.01</v>
      </c>
      <c r="G12">
        <v>0.01</v>
      </c>
      <c r="H12">
        <v>0.01</v>
      </c>
      <c r="I12">
        <v>0.01</v>
      </c>
      <c r="J12">
        <v>0.01</v>
      </c>
      <c r="K12">
        <v>0.01</v>
      </c>
      <c r="L12" s="19">
        <f>SUM(AtrybutyMG[[#This Row],[SO]:[ST]])</f>
        <v>0.08</v>
      </c>
      <c r="M12" s="59">
        <f>AtrybutyMG[[#This Row],[SUMA]]/COLUMNS(AtrybutyMG[[#Headers],[SO]:[ST]])</f>
        <v>0.01</v>
      </c>
      <c r="N12" s="16"/>
      <c r="O12" s="16"/>
      <c r="P12" s="16"/>
    </row>
    <row r="13" spans="2:23" x14ac:dyDescent="0.25">
      <c r="B13" s="3" t="s">
        <v>757</v>
      </c>
      <c r="C13">
        <v>0.5</v>
      </c>
      <c r="D13">
        <v>0.5</v>
      </c>
      <c r="E13">
        <v>0.5</v>
      </c>
      <c r="F13">
        <v>0.5</v>
      </c>
      <c r="G13">
        <v>0.5</v>
      </c>
      <c r="H13">
        <v>0.5</v>
      </c>
      <c r="I13">
        <v>0.5</v>
      </c>
      <c r="J13">
        <v>0.5</v>
      </c>
      <c r="K13">
        <v>0.5</v>
      </c>
      <c r="L13" s="19">
        <f>SUM(AtrybutyMG[[#This Row],[SO]:[ST]])</f>
        <v>4</v>
      </c>
      <c r="M13" s="59">
        <f>AtrybutyMG[[#This Row],[SUMA]]/COLUMNS(AtrybutyMG[[#Headers],[SO]:[ST]])</f>
        <v>0.5</v>
      </c>
      <c r="N13" s="16"/>
      <c r="O13" s="16"/>
      <c r="P13" s="16"/>
    </row>
    <row r="14" spans="2:23" x14ac:dyDescent="0.25">
      <c r="B14" s="3" t="s">
        <v>768</v>
      </c>
      <c r="C14">
        <f>SUM(C2:C13)</f>
        <v>10.01</v>
      </c>
      <c r="D14">
        <f t="shared" ref="D14:W14" si="0">SUM(D2:D13)</f>
        <v>10.01</v>
      </c>
      <c r="E14">
        <f t="shared" si="0"/>
        <v>10.01</v>
      </c>
      <c r="F14">
        <f t="shared" si="0"/>
        <v>10.01</v>
      </c>
      <c r="G14">
        <f t="shared" si="0"/>
        <v>10.01</v>
      </c>
      <c r="H14">
        <f t="shared" si="0"/>
        <v>10.01</v>
      </c>
      <c r="I14">
        <f t="shared" si="0"/>
        <v>10.01</v>
      </c>
      <c r="J14">
        <f t="shared" si="0"/>
        <v>10.01</v>
      </c>
      <c r="K14">
        <f t="shared" si="0"/>
        <v>10.01</v>
      </c>
      <c r="L14" s="19">
        <f t="shared" si="0"/>
        <v>80.08</v>
      </c>
      <c r="M14" s="60">
        <f t="shared" si="0"/>
        <v>10.01</v>
      </c>
      <c r="N14">
        <f t="shared" si="0"/>
        <v>4.25</v>
      </c>
      <c r="O14">
        <f t="shared" si="0"/>
        <v>4.875</v>
      </c>
      <c r="P14">
        <f t="shared" si="0"/>
        <v>4.125</v>
      </c>
      <c r="Q14">
        <f t="shared" si="0"/>
        <v>4.9375</v>
      </c>
      <c r="R14">
        <f t="shared" si="0"/>
        <v>5.125</v>
      </c>
      <c r="S14">
        <f t="shared" si="0"/>
        <v>4.75</v>
      </c>
      <c r="T14">
        <f t="shared" si="0"/>
        <v>4.5</v>
      </c>
      <c r="U14">
        <f t="shared" si="0"/>
        <v>4.5</v>
      </c>
      <c r="V14">
        <f t="shared" si="0"/>
        <v>4.75</v>
      </c>
      <c r="W14">
        <f t="shared" si="0"/>
        <v>5.5</v>
      </c>
    </row>
    <row r="20" spans="1:11" ht="15.75" thickBot="1" x14ac:dyDescent="0.3">
      <c r="A20" s="6" t="s">
        <v>36</v>
      </c>
      <c r="B20" s="5" t="s">
        <v>37</v>
      </c>
      <c r="C20" t="s">
        <v>40</v>
      </c>
      <c r="D20" t="s">
        <v>47</v>
      </c>
      <c r="E20" t="s">
        <v>66</v>
      </c>
      <c r="F20" t="s">
        <v>41</v>
      </c>
      <c r="G20" t="s">
        <v>67</v>
      </c>
      <c r="H20" t="s">
        <v>68</v>
      </c>
      <c r="I20" t="s">
        <v>44</v>
      </c>
      <c r="J20" t="s">
        <v>69</v>
      </c>
      <c r="K20" t="s">
        <v>46</v>
      </c>
    </row>
    <row r="21" spans="1:11" x14ac:dyDescent="0.25">
      <c r="A21" s="63">
        <f>PozycjeŚr[[#This Row],[Numer]]</f>
        <v>1</v>
      </c>
      <c r="B21" s="3" t="str">
        <f>IFERROR(VLOOKUP(PozycjeMG[[#This Row],[Numer]],Zawodnicy[[Number]:[Player name]],2,FALSE),"-")</f>
        <v>Radko Dochkov</v>
      </c>
      <c r="C21" s="38">
        <f>IFERROR(INDEX(Zawodnicy[],MATCH($A21,Players!$A$2:$A$30,0),MATCH($B$2,Players!$A$1:$Y$1,0))*C$2+INDEX(Zawodnicy[],MATCH($A21,Players!$A$2:$A$30,0),MATCH($B$3,Players!$A$1:$Y$1,0))*C$3+INDEX(Zawodnicy[],MATCH($A21,Players!$A$2:$A$30,0),MATCH($B$4,Players!$A$1:$Y$1,0))*C$4+INDEX(Zawodnicy[],MATCH($A21,Players!$A$2:$A$30,0),MATCH($B$5,Players!$A$1:$Y$1,0))*C$5+INDEX(Zawodnicy[],MATCH($A21,Players!$A$2:$A$30,0),MATCH($B$6,Players!$A$1:$Y$1,0))*C$6+INDEX(Zawodnicy[],MATCH($A21,Players!$A$2:$A$30,0),MATCH($B$7,Players!$A$1:$Y$1,0))*C$7+INDEX(Zawodnicy[],MATCH($A21,Players!$A$2:$A$30,0),MATCH($B$8,Players!$A$1:$Y$1,0))*C$8+INDEX(Zawodnicy[],MATCH($A21,Players!$A$2:$A$30,0),MATCH($B$9,Players!$A$1:$Y$1,0))*C$9+INDEX(Zawodnicy[],MATCH($A21,Players!$A$2:$A$30,0),MATCH($B$10,Players!$A$1:$Y$1,0))*C$10+INDEX(Zawodnicy[],MATCH($A21,Players!$A$2:$A$30,0),MATCH($B$11,Players!$A$1:$Y$1,0))*C$11+INDEX(Zawodnicy[],MATCH($A21,Players!$A$2:$A$30,0),MATCH($B$12,Players!$A$1:$Y$1,0))*C$12+INDEX(Zawodnicy[],MATCH($A21,Players!$A$2:$A$30,0),MATCH($B$13,Players!$A$1:$Y$1,0))*C$13,"-")</f>
        <v>87.54</v>
      </c>
      <c r="D21" s="38">
        <f>IFERROR(INDEX(Zawodnicy[],MATCH($A21,Players!$A$2:$A$30,0),MATCH($B$2,Players!$A$1:$Y$1,0))*D$2+INDEX(Zawodnicy[],MATCH($A21,Players!$A$2:$A$30,0),MATCH($B$3,Players!$A$1:$Y$1,0))*D$3+INDEX(Zawodnicy[],MATCH($A21,Players!$A$2:$A$30,0),MATCH($B$4,Players!$A$1:$Y$1,0))*D$4+INDEX(Zawodnicy[],MATCH($A21,Players!$A$2:$A$30,0),MATCH($B$5,Players!$A$1:$Y$1,0))*D$5+INDEX(Zawodnicy[],MATCH($A21,Players!$A$2:$A$30,0),MATCH($B$6,Players!$A$1:$Y$1,0))*D$6+INDEX(Zawodnicy[],MATCH($A21,Players!$A$2:$A$30,0),MATCH($B$7,Players!$A$1:$Y$1,0))*D$7+INDEX(Zawodnicy[],MATCH($A21,Players!$A$2:$A$30,0),MATCH($B$8,Players!$A$1:$Y$1,0))*D$8+INDEX(Zawodnicy[],MATCH($A21,Players!$A$2:$A$30,0),MATCH($B$9,Players!$A$1:$Y$1,0))*D$9+INDEX(Zawodnicy[],MATCH($A21,Players!$A$2:$A$30,0),MATCH($B$10,Players!$A$1:$Y$1,0))*D$10+INDEX(Zawodnicy[],MATCH($A21,Players!$A$2:$A$30,0),MATCH($B$11,Players!$A$1:$Y$1,0))*D$11+INDEX(Zawodnicy[],MATCH($A21,Players!$A$2:$A$30,0),MATCH($B$12,Players!$A$1:$Y$1,0))*D$12+INDEX(Zawodnicy[],MATCH($A21,Players!$A$2:$A$30,0),MATCH($B$13,Players!$A$1:$Y$1,0))*D$13,"-")</f>
        <v>50.29</v>
      </c>
      <c r="E21" s="38">
        <f>IFERROR(INDEX(Zawodnicy[],MATCH($A21,Players!$A$2:$A$35,0),MATCH($B$2,Players!$A$1:$Y$1,0))*E$2+INDEX(Zawodnicy[],MATCH($A21,Players!$A$2:$A$35,0),MATCH($B$3,Players!$A$1:$Y$1,0))*E$3+INDEX(Zawodnicy[],MATCH($A21,Players!$A$2:$A$35,0),MATCH($B$4,Players!$A$1:$Y$1,0))*E$4+INDEX(Zawodnicy[],MATCH($A21,Players!$A$2:$A$35,0),MATCH($B$5,Players!$A$1:$Y$1,0))*E$5+INDEX(Zawodnicy[],MATCH($A21,Players!$A$2:$A$35,0),MATCH($B$6,Players!$A$1:$Y$1,0))*E$6+INDEX(Zawodnicy[],MATCH($A21,Players!$A$2:$A$35,0),MATCH($B$7,Players!$A$1:$Y$1,0))*E$7+INDEX(Zawodnicy[],MATCH($A21,Players!$A$2:$A$35,0),MATCH($B$8,Players!$A$1:$Y$1,0))*E$8+INDEX(Zawodnicy[],MATCH($A21,Players!$A$2:$A$35,0),MATCH($B$9,Players!$A$1:$Y$1,0))*E$9+INDEX(Zawodnicy[],MATCH($A21,Players!$A$2:$A$35,0),MATCH($B$10,Players!$A$1:$Y$1,0))*E$10+INDEX(Zawodnicy[],MATCH($A21,Players!$A$2:$A$35,0),MATCH($B$11,Players!$A$1:$Y$1,0))*E$11+INDEX(Zawodnicy[],MATCH($A21,Players!$A$2:$A$35,0),MATCH($B$12,Players!$A$1:$Y$1,0))*E$12+INDEX(Zawodnicy[],MATCH($A21,Players!$A$2:$A$35,0),MATCH($B$13,Players!$A$1:$Y$1,0))*E$13,"-")</f>
        <v>55.79</v>
      </c>
      <c r="F21" s="38">
        <f>IFERROR(INDEX(Zawodnicy[],MATCH($A21,Players!$A$2:$A$35,0),MATCH($B$2,Players!$A$1:$Y$1,0))*F$2+INDEX(Zawodnicy[],MATCH($A21,Players!$A$2:$A$35,0),MATCH($B$3,Players!$A$1:$Y$1,0))*F$3+INDEX(Zawodnicy[],MATCH($A21,Players!$A$2:$A$35,0),MATCH($B$4,Players!$A$1:$Y$1,0))*F$4+INDEX(Zawodnicy[],MATCH($A21,Players!$A$2:$A$35,0),MATCH($B$5,Players!$A$1:$Y$1,0))*F$5+INDEX(Zawodnicy[],MATCH($A21,Players!$A$2:$A$35,0),MATCH($B$6,Players!$A$1:$Y$1,0))*F$6+INDEX(Zawodnicy[],MATCH($A21,Players!$A$2:$A$35,0),MATCH($B$7,Players!$A$1:$Y$1,0))*F$7+INDEX(Zawodnicy[],MATCH($A21,Players!$A$2:$A$35,0),MATCH($B$8,Players!$A$1:$Y$1,0))*F$8+INDEX(Zawodnicy[],MATCH($A21,Players!$A$2:$A$35,0),MATCH($B$9,Players!$A$1:$Y$1,0))*F$9+INDEX(Zawodnicy[],MATCH($A21,Players!$A$2:$A$35,0),MATCH($B$10,Players!$A$1:$Y$1,0))*F$10+INDEX(Zawodnicy[],MATCH($A21,Players!$A$2:$A$35,0),MATCH($B$11,Players!$A$1:$Y$1,0))*F$11+INDEX(Zawodnicy[],MATCH($A21,Players!$A$2:$A$35,0),MATCH($B$12,Players!$A$1:$Y$1,0))*F$12+INDEX(Zawodnicy[],MATCH($A21,Players!$A$2:$A$35,0),MATCH($B$13,Players!$A$1:$Y$1,0))*F$13,"-")</f>
        <v>58.04</v>
      </c>
      <c r="G21" s="38">
        <f>IFERROR(INDEX(Zawodnicy[],MATCH($A21,Players!$A$2:$A$35,0),MATCH($B$2,Players!$A$1:$Y$1,0))*G$2+INDEX(Zawodnicy[],MATCH($A21,Players!$A$2:$A$35,0),MATCH($B$3,Players!$A$1:$Y$1,0))*G$3+INDEX(Zawodnicy[],MATCH($A21,Players!$A$2:$A$35,0),MATCH($B$4,Players!$A$1:$Y$1,0))*G$4+INDEX(Zawodnicy[],MATCH($A21,Players!$A$2:$A$35,0),MATCH($B$5,Players!$A$1:$Y$1,0))*G$5+INDEX(Zawodnicy[],MATCH($A21,Players!$A$2:$A$35,0),MATCH($B$6,Players!$A$1:$Y$1,0))*G$6+INDEX(Zawodnicy[],MATCH($A21,Players!$A$2:$A$35,0),MATCH($B$7,Players!$A$1:$Y$1,0))*G$7+INDEX(Zawodnicy[],MATCH($A21,Players!$A$2:$A$35,0),MATCH($B$8,Players!$A$1:$Y$1,0))*G$8+INDEX(Zawodnicy[],MATCH($A21,Players!$A$2:$A$35,0),MATCH($B$9,Players!$A$1:$Y$1,0))*G$9+INDEX(Zawodnicy[],MATCH($A21,Players!$A$2:$A$35,0),MATCH($B$10,Players!$A$1:$Y$1,0))*G$10+INDEX(Zawodnicy[],MATCH($A21,Players!$A$2:$A$35,0),MATCH($B$11,Players!$A$1:$Y$1,0))*G$11+INDEX(Zawodnicy[],MATCH($A21,Players!$A$2:$A$35,0),MATCH($B$12,Players!$A$1:$Y$1,0))*G$12+INDEX(Zawodnicy[],MATCH($A21,Players!$A$2:$A$35,0),MATCH($B$13,Players!$A$1:$Y$1,0))*G$13,"-")</f>
        <v>60.04</v>
      </c>
      <c r="H21" s="38">
        <f>IFERROR(INDEX(Zawodnicy[],MATCH($A21,Players!$A$2:$A$35,0),MATCH($B$2,Players!$A$1:$Y$1,0))*H$2+INDEX(Zawodnicy[],MATCH($A21,Players!$A$2:$A$35,0),MATCH($B$3,Players!$A$1:$Y$1,0))*H$3+INDEX(Zawodnicy[],MATCH($A21,Players!$A$2:$A$35,0),MATCH($B$4,Players!$A$1:$Y$1,0))*H$4+INDEX(Zawodnicy[],MATCH($A21,Players!$A$2:$A$35,0),MATCH($B$5,Players!$A$1:$Y$1,0))*H$5+INDEX(Zawodnicy[],MATCH($A21,Players!$A$2:$A$35,0),MATCH($B$6,Players!$A$1:$Y$1,0))*H$6+INDEX(Zawodnicy[],MATCH($A21,Players!$A$2:$A$35,0),MATCH($B$7,Players!$A$1:$Y$1,0))*H$7+INDEX(Zawodnicy[],MATCH($A21,Players!$A$2:$A$35,0),MATCH($B$8,Players!$A$1:$Y$1,0))*H$8+INDEX(Zawodnicy[],MATCH($A21,Players!$A$2:$A$35,0),MATCH($B$9,Players!$A$1:$Y$1,0))*H$9+INDEX(Zawodnicy[],MATCH($A21,Players!$A$2:$A$35,0),MATCH($B$10,Players!$A$1:$Y$1,0))*H$10+INDEX(Zawodnicy[],MATCH($A21,Players!$A$2:$A$35,0),MATCH($B$11,Players!$A$1:$Y$1,0))*H$11+INDEX(Zawodnicy[],MATCH($A21,Players!$A$2:$A$35,0),MATCH($B$12,Players!$A$1:$Y$1,0))*H$12+INDEX(Zawodnicy[],MATCH($A21,Players!$A$2:$A$35,0),MATCH($B$13,Players!$A$1:$Y$1,0))*H$13,"-")</f>
        <v>65.039999999999992</v>
      </c>
      <c r="I21" s="38">
        <f>IFERROR(INDEX(Zawodnicy[],MATCH($A21,Players!$A$2:$A$35,0),MATCH($B$2,Players!$A$1:$Y$1,0))*I$2+INDEX(Zawodnicy[],MATCH($A21,Players!$A$2:$A$35,0),MATCH($B$3,Players!$A$1:$Y$1,0))*I$3+INDEX(Zawodnicy[],MATCH($A21,Players!$A$2:$A$35,0),MATCH($B$4,Players!$A$1:$Y$1,0))*I$4+INDEX(Zawodnicy[],MATCH($A21,Players!$A$2:$A$35,0),MATCH($B$5,Players!$A$1:$Y$1,0))*I$5+INDEX(Zawodnicy[],MATCH($A21,Players!$A$2:$A$35,0),MATCH($B$6,Players!$A$1:$Y$1,0))*I$6+INDEX(Zawodnicy[],MATCH($A21,Players!$A$2:$A$35,0),MATCH($B$7,Players!$A$1:$Y$1,0))*I$7+INDEX(Zawodnicy[],MATCH($A21,Players!$A$2:$A$35,0),MATCH($B$8,Players!$A$1:$Y$1,0))*I$8+INDEX(Zawodnicy[],MATCH($A21,Players!$A$2:$A$35,0),MATCH($B$9,Players!$A$1:$Y$1,0))*I$9+INDEX(Zawodnicy[],MATCH($A21,Players!$A$2:$A$35,0),MATCH($B$10,Players!$A$1:$Y$1,0))*I$10+INDEX(Zawodnicy[],MATCH($A21,Players!$A$2:$A$35,0),MATCH($B$11,Players!$A$1:$Y$1,0))*I$11+INDEX(Zawodnicy[],MATCH($A21,Players!$A$2:$A$35,0),MATCH($B$12,Players!$A$1:$Y$1,0))*I$12+INDEX(Zawodnicy[],MATCH($A21,Players!$A$2:$A$35,0),MATCH($B$13,Players!$A$1:$Y$1,0))*I$13,"-")</f>
        <v>58.79</v>
      </c>
      <c r="J21" s="38">
        <f>IFERROR(INDEX(Zawodnicy[],MATCH($A21,Players!$A$2:$A$35,0),MATCH($B$2,Players!$A$1:$Y$1,0))*J$2+INDEX(Zawodnicy[],MATCH($A21,Players!$A$2:$A$35,0),MATCH($B$3,Players!$A$1:$Y$1,0))*J$3+INDEX(Zawodnicy[],MATCH($A21,Players!$A$2:$A$35,0),MATCH($B$4,Players!$A$1:$Y$1,0))*J$4+INDEX(Zawodnicy[],MATCH($A21,Players!$A$2:$A$35,0),MATCH($B$5,Players!$A$1:$Y$1,0))*J$5+INDEX(Zawodnicy[],MATCH($A21,Players!$A$2:$A$35,0),MATCH($B$6,Players!$A$1:$Y$1,0))*J$6+INDEX(Zawodnicy[],MATCH($A21,Players!$A$2:$A$35,0),MATCH($B$7,Players!$A$1:$Y$1,0))*J$7+INDEX(Zawodnicy[],MATCH($A21,Players!$A$2:$A$35,0),MATCH($B$8,Players!$A$1:$Y$1,0))*J$8+INDEX(Zawodnicy[],MATCH($A21,Players!$A$2:$A$35,0),MATCH($B$9,Players!$A$1:$Y$1,0))*J$9+INDEX(Zawodnicy[],MATCH($A21,Players!$A$2:$A$35,0),MATCH($B$10,Players!$A$1:$Y$1,0))*J$10+INDEX(Zawodnicy[],MATCH($A21,Players!$A$2:$A$35,0),MATCH($B$11,Players!$A$1:$Y$1,0))*J$11+INDEX(Zawodnicy[],MATCH($A21,Players!$A$2:$A$35,0),MATCH($B$12,Players!$A$1:$Y$1,0))*J$12+INDEX(Zawodnicy[],MATCH($A21,Players!$A$2:$A$35,0),MATCH($B$13,Players!$A$1:$Y$1,0))*J$13,"-")</f>
        <v>62.29</v>
      </c>
      <c r="K21" s="38">
        <f>IFERROR(INDEX(Zawodnicy[],MATCH($A21,Players!$A$2:$A$35,0),MATCH($B$2,Players!$A$1:$Y$1,0))*K$2+INDEX(Zawodnicy[],MATCH($A21,Players!$A$2:$A$35,0),MATCH($B$3,Players!$A$1:$Y$1,0))*K$3+INDEX(Zawodnicy[],MATCH($A21,Players!$A$2:$A$35,0),MATCH($B$4,Players!$A$1:$Y$1,0))*K$4+INDEX(Zawodnicy[],MATCH($A21,Players!$A$2:$A$35,0),MATCH($B$5,Players!$A$1:$Y$1,0))*K$5+INDEX(Zawodnicy[],MATCH($A21,Players!$A$2:$A$35,0),MATCH($B$6,Players!$A$1:$Y$1,0))*K$6+INDEX(Zawodnicy[],MATCH($A21,Players!$A$2:$A$35,0),MATCH($B$7,Players!$A$1:$Y$1,0))*K$7+INDEX(Zawodnicy[],MATCH($A21,Players!$A$2:$A$35,0),MATCH($B$8,Players!$A$1:$Y$1,0))*K$8+INDEX(Zawodnicy[],MATCH($A21,Players!$A$2:$A$35,0),MATCH($B$9,Players!$A$1:$Y$1,0))*K$9+INDEX(Zawodnicy[],MATCH($A21,Players!$A$2:$A$35,0),MATCH($B$10,Players!$A$1:$Y$1,0))*K$10+INDEX(Zawodnicy[],MATCH($A21,Players!$A$2:$A$35,0),MATCH($B$11,Players!$A$1:$Y$1,0))*K$11+INDEX(Zawodnicy[],MATCH($A21,Players!$A$2:$A$35,0),MATCH($B$12,Players!$A$1:$Y$1,0))*K$12+INDEX(Zawodnicy[],MATCH($A21,Players!$A$2:$A$35,0),MATCH($B$13,Players!$A$1:$Y$1,0))*K$13,"-")</f>
        <v>50.79</v>
      </c>
    </row>
    <row r="22" spans="1:11" x14ac:dyDescent="0.25">
      <c r="A22" s="63">
        <f>PozycjeŚr[[#This Row],[Numer]]</f>
        <v>3</v>
      </c>
      <c r="B22" s="3" t="str">
        <f>IFERROR(VLOOKUP(PozycjeMG[[#This Row],[Numer]],Zawodnicy[[Number]:[Player name]],2,FALSE),"-")</f>
        <v>Ulryk Kaczor</v>
      </c>
      <c r="C22" s="38">
        <f>IFERROR(INDEX(Zawodnicy[],MATCH($A22,Players!$A$2:$A$35,0),MATCH($B$2,Players!$A$1:$Y$1,0))*C$2+INDEX(Zawodnicy[],MATCH($A22,Players!$A$2:$A$35,0),MATCH($B$3,Players!$A$1:$Y$1,0))*C$3+INDEX(Zawodnicy[],MATCH($A22,Players!$A$2:$A$35,0),MATCH($B$4,Players!$A$1:$Y$1,0))*C$4+INDEX(Zawodnicy[],MATCH($A22,Players!$A$2:$A$35,0),MATCH($B$5,Players!$A$1:$Y$1,0))*C$5+INDEX(Zawodnicy[],MATCH($A22,Players!$A$2:$A$35,0),MATCH($B$6,Players!$A$1:$Y$1,0))*C$6+INDEX(Zawodnicy[],MATCH($A22,Players!$A$2:$A$35,0),MATCH($B$7,Players!$A$1:$Y$1,0))*C$7+INDEX(Zawodnicy[],MATCH($A22,Players!$A$2:$A$35,0),MATCH($B$8,Players!$A$1:$Y$1,0))*C$8+INDEX(Zawodnicy[],MATCH($A22,Players!$A$2:$A$35,0),MATCH($B$9,Players!$A$1:$Y$1,0))*C$9+INDEX(Zawodnicy[],MATCH($A22,Players!$A$2:$A$35,0),MATCH($B$10,Players!$A$1:$Y$1,0))*C$10+INDEX(Zawodnicy[],MATCH($A22,Players!$A$2:$A$35,0),MATCH($B$11,Players!$A$1:$Y$1,0))*C$11+INDEX(Zawodnicy[],MATCH($A22,Players!$A$2:$A$35,0),MATCH($B$12,Players!$A$1:$Y$1,0))*C$12+INDEX(Zawodnicy[],MATCH($A22,Players!$A$2:$A$35,0),MATCH($B$13,Players!$A$1:$Y$1,0))*C$13,"-")</f>
        <v>37</v>
      </c>
      <c r="D22" s="38">
        <f>IFERROR(INDEX(Zawodnicy[],MATCH($A22,Players!$A$2:$A$35,0),MATCH($B$2,Players!$A$1:$Y$1,0))*D$2+INDEX(Zawodnicy[],MATCH($A22,Players!$A$2:$A$35,0),MATCH($B$3,Players!$A$1:$Y$1,0))*D$3+INDEX(Zawodnicy[],MATCH($A22,Players!$A$2:$A$35,0),MATCH($B$4,Players!$A$1:$Y$1,0))*D$4+INDEX(Zawodnicy[],MATCH($A22,Players!$A$2:$A$35,0),MATCH($B$5,Players!$A$1:$Y$1,0))*D$5+INDEX(Zawodnicy[],MATCH($A22,Players!$A$2:$A$35,0),MATCH($B$6,Players!$A$1:$Y$1,0))*D$6+INDEX(Zawodnicy[],MATCH($A22,Players!$A$2:$A$35,0),MATCH($B$7,Players!$A$1:$Y$1,0))*D$7+INDEX(Zawodnicy[],MATCH($A22,Players!$A$2:$A$35,0),MATCH($B$8,Players!$A$1:$Y$1,0))*D$8+INDEX(Zawodnicy[],MATCH($A22,Players!$A$2:$A$35,0),MATCH($B$9,Players!$A$1:$Y$1,0))*D$9+INDEX(Zawodnicy[],MATCH($A22,Players!$A$2:$A$35,0),MATCH($B$10,Players!$A$1:$Y$1,0))*D$10+INDEX(Zawodnicy[],MATCH($A22,Players!$A$2:$A$35,0),MATCH($B$11,Players!$A$1:$Y$1,0))*D$11+INDEX(Zawodnicy[],MATCH($A22,Players!$A$2:$A$35,0),MATCH($B$12,Players!$A$1:$Y$1,0))*D$12+INDEX(Zawodnicy[],MATCH($A22,Players!$A$2:$A$35,0),MATCH($B$13,Players!$A$1:$Y$1,0))*D$13,"-")</f>
        <v>71.5</v>
      </c>
      <c r="E22" s="38">
        <f>IFERROR(INDEX(Zawodnicy[],MATCH($A22,Players!$A$2:$A$35,0),MATCH($B$2,Players!$A$1:$Y$1,0))*E$2+INDEX(Zawodnicy[],MATCH($A22,Players!$A$2:$A$35,0),MATCH($B$3,Players!$A$1:$Y$1,0))*E$3+INDEX(Zawodnicy[],MATCH($A22,Players!$A$2:$A$35,0),MATCH($B$4,Players!$A$1:$Y$1,0))*E$4+INDEX(Zawodnicy[],MATCH($A22,Players!$A$2:$A$35,0),MATCH($B$5,Players!$A$1:$Y$1,0))*E$5+INDEX(Zawodnicy[],MATCH($A22,Players!$A$2:$A$35,0),MATCH($B$6,Players!$A$1:$Y$1,0))*E$6+INDEX(Zawodnicy[],MATCH($A22,Players!$A$2:$A$35,0),MATCH($B$7,Players!$A$1:$Y$1,0))*E$7+INDEX(Zawodnicy[],MATCH($A22,Players!$A$2:$A$35,0),MATCH($B$8,Players!$A$1:$Y$1,0))*E$8+INDEX(Zawodnicy[],MATCH($A22,Players!$A$2:$A$35,0),MATCH($B$9,Players!$A$1:$Y$1,0))*E$9+INDEX(Zawodnicy[],MATCH($A22,Players!$A$2:$A$35,0),MATCH($B$10,Players!$A$1:$Y$1,0))*E$10+INDEX(Zawodnicy[],MATCH($A22,Players!$A$2:$A$35,0),MATCH($B$11,Players!$A$1:$Y$1,0))*E$11+INDEX(Zawodnicy[],MATCH($A22,Players!$A$2:$A$35,0),MATCH($B$12,Players!$A$1:$Y$1,0))*E$12+INDEX(Zawodnicy[],MATCH($A22,Players!$A$2:$A$35,0),MATCH($B$13,Players!$A$1:$Y$1,0))*E$13,"-")</f>
        <v>68.75</v>
      </c>
      <c r="F22" s="38">
        <f>IFERROR(INDEX(Zawodnicy[],MATCH($A22,Players!$A$2:$A$35,0),MATCH($B$2,Players!$A$1:$Y$1,0))*F$2+INDEX(Zawodnicy[],MATCH($A22,Players!$A$2:$A$35,0),MATCH($B$3,Players!$A$1:$Y$1,0))*F$3+INDEX(Zawodnicy[],MATCH($A22,Players!$A$2:$A$35,0),MATCH($B$4,Players!$A$1:$Y$1,0))*F$4+INDEX(Zawodnicy[],MATCH($A22,Players!$A$2:$A$35,0),MATCH($B$5,Players!$A$1:$Y$1,0))*F$5+INDEX(Zawodnicy[],MATCH($A22,Players!$A$2:$A$35,0),MATCH($B$6,Players!$A$1:$Y$1,0))*F$6+INDEX(Zawodnicy[],MATCH($A22,Players!$A$2:$A$35,0),MATCH($B$7,Players!$A$1:$Y$1,0))*F$7+INDEX(Zawodnicy[],MATCH($A22,Players!$A$2:$A$35,0),MATCH($B$8,Players!$A$1:$Y$1,0))*F$8+INDEX(Zawodnicy[],MATCH($A22,Players!$A$2:$A$35,0),MATCH($B$9,Players!$A$1:$Y$1,0))*F$9+INDEX(Zawodnicy[],MATCH($A22,Players!$A$2:$A$35,0),MATCH($B$10,Players!$A$1:$Y$1,0))*F$10+INDEX(Zawodnicy[],MATCH($A22,Players!$A$2:$A$35,0),MATCH($B$11,Players!$A$1:$Y$1,0))*F$11+INDEX(Zawodnicy[],MATCH($A22,Players!$A$2:$A$35,0),MATCH($B$12,Players!$A$1:$Y$1,0))*F$12+INDEX(Zawodnicy[],MATCH($A22,Players!$A$2:$A$35,0),MATCH($B$13,Players!$A$1:$Y$1,0))*F$13,"-")</f>
        <v>68.25</v>
      </c>
      <c r="G22" s="38">
        <f>IFERROR(INDEX(Zawodnicy[],MATCH($A22,Players!$A$2:$A$35,0),MATCH($B$2,Players!$A$1:$Y$1,0))*G$2+INDEX(Zawodnicy[],MATCH($A22,Players!$A$2:$A$35,0),MATCH($B$3,Players!$A$1:$Y$1,0))*G$3+INDEX(Zawodnicy[],MATCH($A22,Players!$A$2:$A$35,0),MATCH($B$4,Players!$A$1:$Y$1,0))*G$4+INDEX(Zawodnicy[],MATCH($A22,Players!$A$2:$A$35,0),MATCH($B$5,Players!$A$1:$Y$1,0))*G$5+INDEX(Zawodnicy[],MATCH($A22,Players!$A$2:$A$35,0),MATCH($B$6,Players!$A$1:$Y$1,0))*G$6+INDEX(Zawodnicy[],MATCH($A22,Players!$A$2:$A$35,0),MATCH($B$7,Players!$A$1:$Y$1,0))*G$7+INDEX(Zawodnicy[],MATCH($A22,Players!$A$2:$A$35,0),MATCH($B$8,Players!$A$1:$Y$1,0))*G$8+INDEX(Zawodnicy[],MATCH($A22,Players!$A$2:$A$35,0),MATCH($B$9,Players!$A$1:$Y$1,0))*G$9+INDEX(Zawodnicy[],MATCH($A22,Players!$A$2:$A$35,0),MATCH($B$10,Players!$A$1:$Y$1,0))*G$10+INDEX(Zawodnicy[],MATCH($A22,Players!$A$2:$A$35,0),MATCH($B$11,Players!$A$1:$Y$1,0))*G$11+INDEX(Zawodnicy[],MATCH($A22,Players!$A$2:$A$35,0),MATCH($B$12,Players!$A$1:$Y$1,0))*G$12+INDEX(Zawodnicy[],MATCH($A22,Players!$A$2:$A$35,0),MATCH($B$13,Players!$A$1:$Y$1,0))*G$13,"-")</f>
        <v>67.75</v>
      </c>
      <c r="H22" s="38">
        <f>IFERROR(INDEX(Zawodnicy[],MATCH($A22,Players!$A$2:$A$35,0),MATCH($B$2,Players!$A$1:$Y$1,0))*H$2+INDEX(Zawodnicy[],MATCH($A22,Players!$A$2:$A$35,0),MATCH($B$3,Players!$A$1:$Y$1,0))*H$3+INDEX(Zawodnicy[],MATCH($A22,Players!$A$2:$A$35,0),MATCH($B$4,Players!$A$1:$Y$1,0))*H$4+INDEX(Zawodnicy[],MATCH($A22,Players!$A$2:$A$35,0),MATCH($B$5,Players!$A$1:$Y$1,0))*H$5+INDEX(Zawodnicy[],MATCH($A22,Players!$A$2:$A$35,0),MATCH($B$6,Players!$A$1:$Y$1,0))*H$6+INDEX(Zawodnicy[],MATCH($A22,Players!$A$2:$A$35,0),MATCH($B$7,Players!$A$1:$Y$1,0))*H$7+INDEX(Zawodnicy[],MATCH($A22,Players!$A$2:$A$35,0),MATCH($B$8,Players!$A$1:$Y$1,0))*H$8+INDEX(Zawodnicy[],MATCH($A22,Players!$A$2:$A$35,0),MATCH($B$9,Players!$A$1:$Y$1,0))*H$9+INDEX(Zawodnicy[],MATCH($A22,Players!$A$2:$A$35,0),MATCH($B$10,Players!$A$1:$Y$1,0))*H$10+INDEX(Zawodnicy[],MATCH($A22,Players!$A$2:$A$35,0),MATCH($B$11,Players!$A$1:$Y$1,0))*H$11+INDEX(Zawodnicy[],MATCH($A22,Players!$A$2:$A$35,0),MATCH($B$12,Players!$A$1:$Y$1,0))*H$12+INDEX(Zawodnicy[],MATCH($A22,Players!$A$2:$A$35,0),MATCH($B$13,Players!$A$1:$Y$1,0))*H$13,"-")</f>
        <v>64.25</v>
      </c>
      <c r="I22" s="38">
        <f>IFERROR(INDEX(Zawodnicy[],MATCH($A22,Players!$A$2:$A$35,0),MATCH($B$2,Players!$A$1:$Y$1,0))*I$2+INDEX(Zawodnicy[],MATCH($A22,Players!$A$2:$A$35,0),MATCH($B$3,Players!$A$1:$Y$1,0))*I$3+INDEX(Zawodnicy[],MATCH($A22,Players!$A$2:$A$35,0),MATCH($B$4,Players!$A$1:$Y$1,0))*I$4+INDEX(Zawodnicy[],MATCH($A22,Players!$A$2:$A$35,0),MATCH($B$5,Players!$A$1:$Y$1,0))*I$5+INDEX(Zawodnicy[],MATCH($A22,Players!$A$2:$A$35,0),MATCH($B$6,Players!$A$1:$Y$1,0))*I$6+INDEX(Zawodnicy[],MATCH($A22,Players!$A$2:$A$35,0),MATCH($B$7,Players!$A$1:$Y$1,0))*I$7+INDEX(Zawodnicy[],MATCH($A22,Players!$A$2:$A$35,0),MATCH($B$8,Players!$A$1:$Y$1,0))*I$8+INDEX(Zawodnicy[],MATCH($A22,Players!$A$2:$A$35,0),MATCH($B$9,Players!$A$1:$Y$1,0))*I$9+INDEX(Zawodnicy[],MATCH($A22,Players!$A$2:$A$35,0),MATCH($B$10,Players!$A$1:$Y$1,0))*I$10+INDEX(Zawodnicy[],MATCH($A22,Players!$A$2:$A$35,0),MATCH($B$11,Players!$A$1:$Y$1,0))*I$11+INDEX(Zawodnicy[],MATCH($A22,Players!$A$2:$A$35,0),MATCH($B$12,Players!$A$1:$Y$1,0))*I$12+INDEX(Zawodnicy[],MATCH($A22,Players!$A$2:$A$35,0),MATCH($B$13,Players!$A$1:$Y$1,0))*I$13,"-")</f>
        <v>62.25</v>
      </c>
      <c r="J22" s="38">
        <f>IFERROR(INDEX(Zawodnicy[],MATCH($A22,Players!$A$2:$A$35,0),MATCH($B$2,Players!$A$1:$Y$1,0))*J$2+INDEX(Zawodnicy[],MATCH($A22,Players!$A$2:$A$35,0),MATCH($B$3,Players!$A$1:$Y$1,0))*J$3+INDEX(Zawodnicy[],MATCH($A22,Players!$A$2:$A$35,0),MATCH($B$4,Players!$A$1:$Y$1,0))*J$4+INDEX(Zawodnicy[],MATCH($A22,Players!$A$2:$A$35,0),MATCH($B$5,Players!$A$1:$Y$1,0))*J$5+INDEX(Zawodnicy[],MATCH($A22,Players!$A$2:$A$35,0),MATCH($B$6,Players!$A$1:$Y$1,0))*J$6+INDEX(Zawodnicy[],MATCH($A22,Players!$A$2:$A$35,0),MATCH($B$7,Players!$A$1:$Y$1,0))*J$7+INDEX(Zawodnicy[],MATCH($A22,Players!$A$2:$A$35,0),MATCH($B$8,Players!$A$1:$Y$1,0))*J$8+INDEX(Zawodnicy[],MATCH($A22,Players!$A$2:$A$35,0),MATCH($B$9,Players!$A$1:$Y$1,0))*J$9+INDEX(Zawodnicy[],MATCH($A22,Players!$A$2:$A$35,0),MATCH($B$10,Players!$A$1:$Y$1,0))*J$10+INDEX(Zawodnicy[],MATCH($A22,Players!$A$2:$A$35,0),MATCH($B$11,Players!$A$1:$Y$1,0))*J$11+INDEX(Zawodnicy[],MATCH($A22,Players!$A$2:$A$35,0),MATCH($B$12,Players!$A$1:$Y$1,0))*J$12+INDEX(Zawodnicy[],MATCH($A22,Players!$A$2:$A$35,0),MATCH($B$13,Players!$A$1:$Y$1,0))*J$13,"-")</f>
        <v>58.5</v>
      </c>
      <c r="K22" s="38">
        <f>IFERROR(INDEX(Zawodnicy[],MATCH($A22,Players!$A$2:$A$35,0),MATCH($B$2,Players!$A$1:$Y$1,0))*K$2+INDEX(Zawodnicy[],MATCH($A22,Players!$A$2:$A$35,0),MATCH($B$3,Players!$A$1:$Y$1,0))*K$3+INDEX(Zawodnicy[],MATCH($A22,Players!$A$2:$A$35,0),MATCH($B$4,Players!$A$1:$Y$1,0))*K$4+INDEX(Zawodnicy[],MATCH($A22,Players!$A$2:$A$35,0),MATCH($B$5,Players!$A$1:$Y$1,0))*K$5+INDEX(Zawodnicy[],MATCH($A22,Players!$A$2:$A$35,0),MATCH($B$6,Players!$A$1:$Y$1,0))*K$6+INDEX(Zawodnicy[],MATCH($A22,Players!$A$2:$A$35,0),MATCH($B$7,Players!$A$1:$Y$1,0))*K$7+INDEX(Zawodnicy[],MATCH($A22,Players!$A$2:$A$35,0),MATCH($B$8,Players!$A$1:$Y$1,0))*K$8+INDEX(Zawodnicy[],MATCH($A22,Players!$A$2:$A$35,0),MATCH($B$9,Players!$A$1:$Y$1,0))*K$9+INDEX(Zawodnicy[],MATCH($A22,Players!$A$2:$A$35,0),MATCH($B$10,Players!$A$1:$Y$1,0))*K$10+INDEX(Zawodnicy[],MATCH($A22,Players!$A$2:$A$35,0),MATCH($B$11,Players!$A$1:$Y$1,0))*K$11+INDEX(Zawodnicy[],MATCH($A22,Players!$A$2:$A$35,0),MATCH($B$12,Players!$A$1:$Y$1,0))*K$12+INDEX(Zawodnicy[],MATCH($A22,Players!$A$2:$A$35,0),MATCH($B$13,Players!$A$1:$Y$1,0))*K$13,"-")</f>
        <v>54.25</v>
      </c>
    </row>
    <row r="23" spans="1:11" x14ac:dyDescent="0.25">
      <c r="A23" s="63">
        <f>PozycjeŚr[[#This Row],[Numer]]</f>
        <v>4</v>
      </c>
      <c r="B23" s="3" t="str">
        <f>IFERROR(VLOOKUP(PozycjeMG[[#This Row],[Numer]],Zawodnicy[[Number]:[Player name]],2,FALSE),"-")</f>
        <v>Bartosz Bejgier</v>
      </c>
      <c r="C23" s="38">
        <f>IFERROR(INDEX(Zawodnicy[],MATCH($A23,Players!$A$2:$A$35,0),MATCH($B$2,Players!$A$1:$Y$1,0))*C$2+INDEX(Zawodnicy[],MATCH($A23,Players!$A$2:$A$35,0),MATCH($B$3,Players!$A$1:$Y$1,0))*C$3+INDEX(Zawodnicy[],MATCH($A23,Players!$A$2:$A$35,0),MATCH($B$4,Players!$A$1:$Y$1,0))*C$4+INDEX(Zawodnicy[],MATCH($A23,Players!$A$2:$A$35,0),MATCH($B$5,Players!$A$1:$Y$1,0))*C$5+INDEX(Zawodnicy[],MATCH($A23,Players!$A$2:$A$35,0),MATCH($B$6,Players!$A$1:$Y$1,0))*C$6+INDEX(Zawodnicy[],MATCH($A23,Players!$A$2:$A$35,0),MATCH($B$7,Players!$A$1:$Y$1,0))*C$7+INDEX(Zawodnicy[],MATCH($A23,Players!$A$2:$A$35,0),MATCH($B$8,Players!$A$1:$Y$1,0))*C$8+INDEX(Zawodnicy[],MATCH($A23,Players!$A$2:$A$35,0),MATCH($B$9,Players!$A$1:$Y$1,0))*C$9+INDEX(Zawodnicy[],MATCH($A23,Players!$A$2:$A$35,0),MATCH($B$10,Players!$A$1:$Y$1,0))*C$10+INDEX(Zawodnicy[],MATCH($A23,Players!$A$2:$A$35,0),MATCH($B$11,Players!$A$1:$Y$1,0))*C$11+INDEX(Zawodnicy[],MATCH($A23,Players!$A$2:$A$35,0),MATCH($B$12,Players!$A$1:$Y$1,0))*C$12+INDEX(Zawodnicy[],MATCH($A23,Players!$A$2:$A$35,0),MATCH($B$13,Players!$A$1:$Y$1,0))*C$13,"-")</f>
        <v>32.03</v>
      </c>
      <c r="D23" s="38">
        <f>IFERROR(INDEX(Zawodnicy[],MATCH($A23,Players!$A$2:$A$35,0),MATCH($B$2,Players!$A$1:$Y$1,0))*D$2+INDEX(Zawodnicy[],MATCH($A23,Players!$A$2:$A$35,0),MATCH($B$3,Players!$A$1:$Y$1,0))*D$3+INDEX(Zawodnicy[],MATCH($A23,Players!$A$2:$A$35,0),MATCH($B$4,Players!$A$1:$Y$1,0))*D$4+INDEX(Zawodnicy[],MATCH($A23,Players!$A$2:$A$35,0),MATCH($B$5,Players!$A$1:$Y$1,0))*D$5+INDEX(Zawodnicy[],MATCH($A23,Players!$A$2:$A$35,0),MATCH($B$6,Players!$A$1:$Y$1,0))*D$6+INDEX(Zawodnicy[],MATCH($A23,Players!$A$2:$A$35,0),MATCH($B$7,Players!$A$1:$Y$1,0))*D$7+INDEX(Zawodnicy[],MATCH($A23,Players!$A$2:$A$35,0),MATCH($B$8,Players!$A$1:$Y$1,0))*D$8+INDEX(Zawodnicy[],MATCH($A23,Players!$A$2:$A$35,0),MATCH($B$9,Players!$A$1:$Y$1,0))*D$9+INDEX(Zawodnicy[],MATCH($A23,Players!$A$2:$A$35,0),MATCH($B$10,Players!$A$1:$Y$1,0))*D$10+INDEX(Zawodnicy[],MATCH($A23,Players!$A$2:$A$35,0),MATCH($B$11,Players!$A$1:$Y$1,0))*D$11+INDEX(Zawodnicy[],MATCH($A23,Players!$A$2:$A$35,0),MATCH($B$12,Players!$A$1:$Y$1,0))*D$12+INDEX(Zawodnicy[],MATCH($A23,Players!$A$2:$A$35,0),MATCH($B$13,Players!$A$1:$Y$1,0))*D$13,"-")</f>
        <v>67.03</v>
      </c>
      <c r="E23" s="38">
        <f>IFERROR(INDEX(Zawodnicy[],MATCH($A23,Players!$A$2:$A$35,0),MATCH($B$2,Players!$A$1:$Y$1,0))*E$2+INDEX(Zawodnicy[],MATCH($A23,Players!$A$2:$A$35,0),MATCH($B$3,Players!$A$1:$Y$1,0))*E$3+INDEX(Zawodnicy[],MATCH($A23,Players!$A$2:$A$35,0),MATCH($B$4,Players!$A$1:$Y$1,0))*E$4+INDEX(Zawodnicy[],MATCH($A23,Players!$A$2:$A$35,0),MATCH($B$5,Players!$A$1:$Y$1,0))*E$5+INDEX(Zawodnicy[],MATCH($A23,Players!$A$2:$A$35,0),MATCH($B$6,Players!$A$1:$Y$1,0))*E$6+INDEX(Zawodnicy[],MATCH($A23,Players!$A$2:$A$35,0),MATCH($B$7,Players!$A$1:$Y$1,0))*E$7+INDEX(Zawodnicy[],MATCH($A23,Players!$A$2:$A$35,0),MATCH($B$8,Players!$A$1:$Y$1,0))*E$8+INDEX(Zawodnicy[],MATCH($A23,Players!$A$2:$A$35,0),MATCH($B$9,Players!$A$1:$Y$1,0))*E$9+INDEX(Zawodnicy[],MATCH($A23,Players!$A$2:$A$35,0),MATCH($B$10,Players!$A$1:$Y$1,0))*E$10+INDEX(Zawodnicy[],MATCH($A23,Players!$A$2:$A$35,0),MATCH($B$11,Players!$A$1:$Y$1,0))*E$11+INDEX(Zawodnicy[],MATCH($A23,Players!$A$2:$A$35,0),MATCH($B$12,Players!$A$1:$Y$1,0))*E$12+INDEX(Zawodnicy[],MATCH($A23,Players!$A$2:$A$35,0),MATCH($B$13,Players!$A$1:$Y$1,0))*E$13,"-")</f>
        <v>66.53</v>
      </c>
      <c r="F23" s="38">
        <f>IFERROR(INDEX(Zawodnicy[],MATCH($A23,Players!$A$2:$A$35,0),MATCH($B$2,Players!$A$1:$Y$1,0))*F$2+INDEX(Zawodnicy[],MATCH($A23,Players!$A$2:$A$35,0),MATCH($B$3,Players!$A$1:$Y$1,0))*F$3+INDEX(Zawodnicy[],MATCH($A23,Players!$A$2:$A$35,0),MATCH($B$4,Players!$A$1:$Y$1,0))*F$4+INDEX(Zawodnicy[],MATCH($A23,Players!$A$2:$A$35,0),MATCH($B$5,Players!$A$1:$Y$1,0))*F$5+INDEX(Zawodnicy[],MATCH($A23,Players!$A$2:$A$35,0),MATCH($B$6,Players!$A$1:$Y$1,0))*F$6+INDEX(Zawodnicy[],MATCH($A23,Players!$A$2:$A$35,0),MATCH($B$7,Players!$A$1:$Y$1,0))*F$7+INDEX(Zawodnicy[],MATCH($A23,Players!$A$2:$A$35,0),MATCH($B$8,Players!$A$1:$Y$1,0))*F$8+INDEX(Zawodnicy[],MATCH($A23,Players!$A$2:$A$35,0),MATCH($B$9,Players!$A$1:$Y$1,0))*F$9+INDEX(Zawodnicy[],MATCH($A23,Players!$A$2:$A$35,0),MATCH($B$10,Players!$A$1:$Y$1,0))*F$10+INDEX(Zawodnicy[],MATCH($A23,Players!$A$2:$A$35,0),MATCH($B$11,Players!$A$1:$Y$1,0))*F$11+INDEX(Zawodnicy[],MATCH($A23,Players!$A$2:$A$35,0),MATCH($B$12,Players!$A$1:$Y$1,0))*F$12+INDEX(Zawodnicy[],MATCH($A23,Players!$A$2:$A$35,0),MATCH($B$13,Players!$A$1:$Y$1,0))*F$13,"-")</f>
        <v>61.78</v>
      </c>
      <c r="G23" s="38">
        <f>IFERROR(INDEX(Zawodnicy[],MATCH($A23,Players!$A$2:$A$35,0),MATCH($B$2,Players!$A$1:$Y$1,0))*G$2+INDEX(Zawodnicy[],MATCH($A23,Players!$A$2:$A$35,0),MATCH($B$3,Players!$A$1:$Y$1,0))*G$3+INDEX(Zawodnicy[],MATCH($A23,Players!$A$2:$A$35,0),MATCH($B$4,Players!$A$1:$Y$1,0))*G$4+INDEX(Zawodnicy[],MATCH($A23,Players!$A$2:$A$35,0),MATCH($B$5,Players!$A$1:$Y$1,0))*G$5+INDEX(Zawodnicy[],MATCH($A23,Players!$A$2:$A$35,0),MATCH($B$6,Players!$A$1:$Y$1,0))*G$6+INDEX(Zawodnicy[],MATCH($A23,Players!$A$2:$A$35,0),MATCH($B$7,Players!$A$1:$Y$1,0))*G$7+INDEX(Zawodnicy[],MATCH($A23,Players!$A$2:$A$35,0),MATCH($B$8,Players!$A$1:$Y$1,0))*G$8+INDEX(Zawodnicy[],MATCH($A23,Players!$A$2:$A$35,0),MATCH($B$9,Players!$A$1:$Y$1,0))*G$9+INDEX(Zawodnicy[],MATCH($A23,Players!$A$2:$A$35,0),MATCH($B$10,Players!$A$1:$Y$1,0))*G$10+INDEX(Zawodnicy[],MATCH($A23,Players!$A$2:$A$35,0),MATCH($B$11,Players!$A$1:$Y$1,0))*G$11+INDEX(Zawodnicy[],MATCH($A23,Players!$A$2:$A$35,0),MATCH($B$12,Players!$A$1:$Y$1,0))*G$12+INDEX(Zawodnicy[],MATCH($A23,Players!$A$2:$A$35,0),MATCH($B$13,Players!$A$1:$Y$1,0))*G$13,"-")</f>
        <v>61.78</v>
      </c>
      <c r="H23" s="38">
        <f>IFERROR(INDEX(Zawodnicy[],MATCH($A23,Players!$A$2:$A$35,0),MATCH($B$2,Players!$A$1:$Y$1,0))*H$2+INDEX(Zawodnicy[],MATCH($A23,Players!$A$2:$A$35,0),MATCH($B$3,Players!$A$1:$Y$1,0))*H$3+INDEX(Zawodnicy[],MATCH($A23,Players!$A$2:$A$35,0),MATCH($B$4,Players!$A$1:$Y$1,0))*H$4+INDEX(Zawodnicy[],MATCH($A23,Players!$A$2:$A$35,0),MATCH($B$5,Players!$A$1:$Y$1,0))*H$5+INDEX(Zawodnicy[],MATCH($A23,Players!$A$2:$A$35,0),MATCH($B$6,Players!$A$1:$Y$1,0))*H$6+INDEX(Zawodnicy[],MATCH($A23,Players!$A$2:$A$35,0),MATCH($B$7,Players!$A$1:$Y$1,0))*H$7+INDEX(Zawodnicy[],MATCH($A23,Players!$A$2:$A$35,0),MATCH($B$8,Players!$A$1:$Y$1,0))*H$8+INDEX(Zawodnicy[],MATCH($A23,Players!$A$2:$A$35,0),MATCH($B$9,Players!$A$1:$Y$1,0))*H$9+INDEX(Zawodnicy[],MATCH($A23,Players!$A$2:$A$35,0),MATCH($B$10,Players!$A$1:$Y$1,0))*H$10+INDEX(Zawodnicy[],MATCH($A23,Players!$A$2:$A$35,0),MATCH($B$11,Players!$A$1:$Y$1,0))*H$11+INDEX(Zawodnicy[],MATCH($A23,Players!$A$2:$A$35,0),MATCH($B$12,Players!$A$1:$Y$1,0))*H$12+INDEX(Zawodnicy[],MATCH($A23,Players!$A$2:$A$35,0),MATCH($B$13,Players!$A$1:$Y$1,0))*H$13,"-")</f>
        <v>59.28</v>
      </c>
      <c r="I23" s="38">
        <f>IFERROR(INDEX(Zawodnicy[],MATCH($A23,Players!$A$2:$A$35,0),MATCH($B$2,Players!$A$1:$Y$1,0))*I$2+INDEX(Zawodnicy[],MATCH($A23,Players!$A$2:$A$35,0),MATCH($B$3,Players!$A$1:$Y$1,0))*I$3+INDEX(Zawodnicy[],MATCH($A23,Players!$A$2:$A$35,0),MATCH($B$4,Players!$A$1:$Y$1,0))*I$4+INDEX(Zawodnicy[],MATCH($A23,Players!$A$2:$A$35,0),MATCH($B$5,Players!$A$1:$Y$1,0))*I$5+INDEX(Zawodnicy[],MATCH($A23,Players!$A$2:$A$35,0),MATCH($B$6,Players!$A$1:$Y$1,0))*I$6+INDEX(Zawodnicy[],MATCH($A23,Players!$A$2:$A$35,0),MATCH($B$7,Players!$A$1:$Y$1,0))*I$7+INDEX(Zawodnicy[],MATCH($A23,Players!$A$2:$A$35,0),MATCH($B$8,Players!$A$1:$Y$1,0))*I$8+INDEX(Zawodnicy[],MATCH($A23,Players!$A$2:$A$35,0),MATCH($B$9,Players!$A$1:$Y$1,0))*I$9+INDEX(Zawodnicy[],MATCH($A23,Players!$A$2:$A$35,0),MATCH($B$10,Players!$A$1:$Y$1,0))*I$10+INDEX(Zawodnicy[],MATCH($A23,Players!$A$2:$A$35,0),MATCH($B$11,Players!$A$1:$Y$1,0))*I$11+INDEX(Zawodnicy[],MATCH($A23,Players!$A$2:$A$35,0),MATCH($B$12,Players!$A$1:$Y$1,0))*I$12+INDEX(Zawodnicy[],MATCH($A23,Players!$A$2:$A$35,0),MATCH($B$13,Players!$A$1:$Y$1,0))*I$13,"-")</f>
        <v>54.28</v>
      </c>
      <c r="J23" s="38">
        <f>IFERROR(INDEX(Zawodnicy[],MATCH($A23,Players!$A$2:$A$35,0),MATCH($B$2,Players!$A$1:$Y$1,0))*J$2+INDEX(Zawodnicy[],MATCH($A23,Players!$A$2:$A$35,0),MATCH($B$3,Players!$A$1:$Y$1,0))*J$3+INDEX(Zawodnicy[],MATCH($A23,Players!$A$2:$A$35,0),MATCH($B$4,Players!$A$1:$Y$1,0))*J$4+INDEX(Zawodnicy[],MATCH($A23,Players!$A$2:$A$35,0),MATCH($B$5,Players!$A$1:$Y$1,0))*J$5+INDEX(Zawodnicy[],MATCH($A23,Players!$A$2:$A$35,0),MATCH($B$6,Players!$A$1:$Y$1,0))*J$6+INDEX(Zawodnicy[],MATCH($A23,Players!$A$2:$A$35,0),MATCH($B$7,Players!$A$1:$Y$1,0))*J$7+INDEX(Zawodnicy[],MATCH($A23,Players!$A$2:$A$35,0),MATCH($B$8,Players!$A$1:$Y$1,0))*J$8+INDEX(Zawodnicy[],MATCH($A23,Players!$A$2:$A$35,0),MATCH($B$9,Players!$A$1:$Y$1,0))*J$9+INDEX(Zawodnicy[],MATCH($A23,Players!$A$2:$A$35,0),MATCH($B$10,Players!$A$1:$Y$1,0))*J$10+INDEX(Zawodnicy[],MATCH($A23,Players!$A$2:$A$35,0),MATCH($B$11,Players!$A$1:$Y$1,0))*J$11+INDEX(Zawodnicy[],MATCH($A23,Players!$A$2:$A$35,0),MATCH($B$12,Players!$A$1:$Y$1,0))*J$12+INDEX(Zawodnicy[],MATCH($A23,Players!$A$2:$A$35,0),MATCH($B$13,Players!$A$1:$Y$1,0))*J$13,"-")</f>
        <v>54.78</v>
      </c>
      <c r="K23" s="38">
        <f>IFERROR(INDEX(Zawodnicy[],MATCH($A23,Players!$A$2:$A$35,0),MATCH($B$2,Players!$A$1:$Y$1,0))*K$2+INDEX(Zawodnicy[],MATCH($A23,Players!$A$2:$A$35,0),MATCH($B$3,Players!$A$1:$Y$1,0))*K$3+INDEX(Zawodnicy[],MATCH($A23,Players!$A$2:$A$35,0),MATCH($B$4,Players!$A$1:$Y$1,0))*K$4+INDEX(Zawodnicy[],MATCH($A23,Players!$A$2:$A$35,0),MATCH($B$5,Players!$A$1:$Y$1,0))*K$5+INDEX(Zawodnicy[],MATCH($A23,Players!$A$2:$A$35,0),MATCH($B$6,Players!$A$1:$Y$1,0))*K$6+INDEX(Zawodnicy[],MATCH($A23,Players!$A$2:$A$35,0),MATCH($B$7,Players!$A$1:$Y$1,0))*K$7+INDEX(Zawodnicy[],MATCH($A23,Players!$A$2:$A$35,0),MATCH($B$8,Players!$A$1:$Y$1,0))*K$8+INDEX(Zawodnicy[],MATCH($A23,Players!$A$2:$A$35,0),MATCH($B$9,Players!$A$1:$Y$1,0))*K$9+INDEX(Zawodnicy[],MATCH($A23,Players!$A$2:$A$35,0),MATCH($B$10,Players!$A$1:$Y$1,0))*K$10+INDEX(Zawodnicy[],MATCH($A23,Players!$A$2:$A$35,0),MATCH($B$11,Players!$A$1:$Y$1,0))*K$11+INDEX(Zawodnicy[],MATCH($A23,Players!$A$2:$A$35,0),MATCH($B$12,Players!$A$1:$Y$1,0))*K$12+INDEX(Zawodnicy[],MATCH($A23,Players!$A$2:$A$35,0),MATCH($B$13,Players!$A$1:$Y$1,0))*K$13,"-")</f>
        <v>46.28</v>
      </c>
    </row>
    <row r="24" spans="1:11" x14ac:dyDescent="0.25">
      <c r="A24" s="63">
        <f>PozycjeŚr[[#This Row],[Numer]]</f>
        <v>5</v>
      </c>
      <c r="B24" s="3" t="str">
        <f>IFERROR(VLOOKUP(PozycjeMG[[#This Row],[Numer]],Zawodnicy[[Number]:[Player name]],2,FALSE),"-")</f>
        <v>Lukasz Bakes</v>
      </c>
      <c r="C24" s="38">
        <f>IFERROR(INDEX(Zawodnicy[],MATCH($A24,Players!$A$2:$A$35,0),MATCH($B$2,Players!$A$1:$Y$1,0))*C$2+INDEX(Zawodnicy[],MATCH($A24,Players!$A$2:$A$35,0),MATCH($B$3,Players!$A$1:$Y$1,0))*C$3+INDEX(Zawodnicy[],MATCH($A24,Players!$A$2:$A$35,0),MATCH($B$4,Players!$A$1:$Y$1,0))*C$4+INDEX(Zawodnicy[],MATCH($A24,Players!$A$2:$A$35,0),MATCH($B$5,Players!$A$1:$Y$1,0))*C$5+INDEX(Zawodnicy[],MATCH($A24,Players!$A$2:$A$35,0),MATCH($B$6,Players!$A$1:$Y$1,0))*C$6+INDEX(Zawodnicy[],MATCH($A24,Players!$A$2:$A$35,0),MATCH($B$7,Players!$A$1:$Y$1,0))*C$7+INDEX(Zawodnicy[],MATCH($A24,Players!$A$2:$A$35,0),MATCH($B$8,Players!$A$1:$Y$1,0))*C$8+INDEX(Zawodnicy[],MATCH($A24,Players!$A$2:$A$35,0),MATCH($B$9,Players!$A$1:$Y$1,0))*C$9+INDEX(Zawodnicy[],MATCH($A24,Players!$A$2:$A$35,0),MATCH($B$10,Players!$A$1:$Y$1,0))*C$10+INDEX(Zawodnicy[],MATCH($A24,Players!$A$2:$A$35,0),MATCH($B$11,Players!$A$1:$Y$1,0))*C$11+INDEX(Zawodnicy[],MATCH($A24,Players!$A$2:$A$35,0),MATCH($B$12,Players!$A$1:$Y$1,0))*C$12+INDEX(Zawodnicy[],MATCH($A24,Players!$A$2:$A$35,0),MATCH($B$13,Players!$A$1:$Y$1,0))*C$13,"-")</f>
        <v>39.53</v>
      </c>
      <c r="D24" s="38">
        <f>IFERROR(INDEX(Zawodnicy[],MATCH($A24,Players!$A$2:$A$35,0),MATCH($B$2,Players!$A$1:$Y$1,0))*D$2+INDEX(Zawodnicy[],MATCH($A24,Players!$A$2:$A$35,0),MATCH($B$3,Players!$A$1:$Y$1,0))*D$3+INDEX(Zawodnicy[],MATCH($A24,Players!$A$2:$A$35,0),MATCH($B$4,Players!$A$1:$Y$1,0))*D$4+INDEX(Zawodnicy[],MATCH($A24,Players!$A$2:$A$35,0),MATCH($B$5,Players!$A$1:$Y$1,0))*D$5+INDEX(Zawodnicy[],MATCH($A24,Players!$A$2:$A$35,0),MATCH($B$6,Players!$A$1:$Y$1,0))*D$6+INDEX(Zawodnicy[],MATCH($A24,Players!$A$2:$A$35,0),MATCH($B$7,Players!$A$1:$Y$1,0))*D$7+INDEX(Zawodnicy[],MATCH($A24,Players!$A$2:$A$35,0),MATCH($B$8,Players!$A$1:$Y$1,0))*D$8+INDEX(Zawodnicy[],MATCH($A24,Players!$A$2:$A$35,0),MATCH($B$9,Players!$A$1:$Y$1,0))*D$9+INDEX(Zawodnicy[],MATCH($A24,Players!$A$2:$A$35,0),MATCH($B$10,Players!$A$1:$Y$1,0))*D$10+INDEX(Zawodnicy[],MATCH($A24,Players!$A$2:$A$35,0),MATCH($B$11,Players!$A$1:$Y$1,0))*D$11+INDEX(Zawodnicy[],MATCH($A24,Players!$A$2:$A$35,0),MATCH($B$12,Players!$A$1:$Y$1,0))*D$12+INDEX(Zawodnicy[],MATCH($A24,Players!$A$2:$A$35,0),MATCH($B$13,Players!$A$1:$Y$1,0))*D$13,"-")</f>
        <v>77.78</v>
      </c>
      <c r="E24" s="38">
        <f>IFERROR(INDEX(Zawodnicy[],MATCH($A24,Players!$A$2:$A$35,0),MATCH($B$2,Players!$A$1:$Y$1,0))*E$2+INDEX(Zawodnicy[],MATCH($A24,Players!$A$2:$A$35,0),MATCH($B$3,Players!$A$1:$Y$1,0))*E$3+INDEX(Zawodnicy[],MATCH($A24,Players!$A$2:$A$35,0),MATCH($B$4,Players!$A$1:$Y$1,0))*E$4+INDEX(Zawodnicy[],MATCH($A24,Players!$A$2:$A$35,0),MATCH($B$5,Players!$A$1:$Y$1,0))*E$5+INDEX(Zawodnicy[],MATCH($A24,Players!$A$2:$A$35,0),MATCH($B$6,Players!$A$1:$Y$1,0))*E$6+INDEX(Zawodnicy[],MATCH($A24,Players!$A$2:$A$35,0),MATCH($B$7,Players!$A$1:$Y$1,0))*E$7+INDEX(Zawodnicy[],MATCH($A24,Players!$A$2:$A$35,0),MATCH($B$8,Players!$A$1:$Y$1,0))*E$8+INDEX(Zawodnicy[],MATCH($A24,Players!$A$2:$A$35,0),MATCH($B$9,Players!$A$1:$Y$1,0))*E$9+INDEX(Zawodnicy[],MATCH($A24,Players!$A$2:$A$35,0),MATCH($B$10,Players!$A$1:$Y$1,0))*E$10+INDEX(Zawodnicy[],MATCH($A24,Players!$A$2:$A$35,0),MATCH($B$11,Players!$A$1:$Y$1,0))*E$11+INDEX(Zawodnicy[],MATCH($A24,Players!$A$2:$A$35,0),MATCH($B$12,Players!$A$1:$Y$1,0))*E$12+INDEX(Zawodnicy[],MATCH($A24,Players!$A$2:$A$35,0),MATCH($B$13,Players!$A$1:$Y$1,0))*E$13,"-")</f>
        <v>73.03</v>
      </c>
      <c r="F24" s="38">
        <f>IFERROR(INDEX(Zawodnicy[],MATCH($A24,Players!$A$2:$A$35,0),MATCH($B$2,Players!$A$1:$Y$1,0))*F$2+INDEX(Zawodnicy[],MATCH($A24,Players!$A$2:$A$35,0),MATCH($B$3,Players!$A$1:$Y$1,0))*F$3+INDEX(Zawodnicy[],MATCH($A24,Players!$A$2:$A$35,0),MATCH($B$4,Players!$A$1:$Y$1,0))*F$4+INDEX(Zawodnicy[],MATCH($A24,Players!$A$2:$A$35,0),MATCH($B$5,Players!$A$1:$Y$1,0))*F$5+INDEX(Zawodnicy[],MATCH($A24,Players!$A$2:$A$35,0),MATCH($B$6,Players!$A$1:$Y$1,0))*F$6+INDEX(Zawodnicy[],MATCH($A24,Players!$A$2:$A$35,0),MATCH($B$7,Players!$A$1:$Y$1,0))*F$7+INDEX(Zawodnicy[],MATCH($A24,Players!$A$2:$A$35,0),MATCH($B$8,Players!$A$1:$Y$1,0))*F$8+INDEX(Zawodnicy[],MATCH($A24,Players!$A$2:$A$35,0),MATCH($B$9,Players!$A$1:$Y$1,0))*F$9+INDEX(Zawodnicy[],MATCH($A24,Players!$A$2:$A$35,0),MATCH($B$10,Players!$A$1:$Y$1,0))*F$10+INDEX(Zawodnicy[],MATCH($A24,Players!$A$2:$A$35,0),MATCH($B$11,Players!$A$1:$Y$1,0))*F$11+INDEX(Zawodnicy[],MATCH($A24,Players!$A$2:$A$35,0),MATCH($B$12,Players!$A$1:$Y$1,0))*F$12+INDEX(Zawodnicy[],MATCH($A24,Players!$A$2:$A$35,0),MATCH($B$13,Players!$A$1:$Y$1,0))*F$13,"-")</f>
        <v>75.53</v>
      </c>
      <c r="G24" s="38">
        <f>IFERROR(INDEX(Zawodnicy[],MATCH($A24,Players!$A$2:$A$35,0),MATCH($B$2,Players!$A$1:$Y$1,0))*G$2+INDEX(Zawodnicy[],MATCH($A24,Players!$A$2:$A$35,0),MATCH($B$3,Players!$A$1:$Y$1,0))*G$3+INDEX(Zawodnicy[],MATCH($A24,Players!$A$2:$A$35,0),MATCH($B$4,Players!$A$1:$Y$1,0))*G$4+INDEX(Zawodnicy[],MATCH($A24,Players!$A$2:$A$35,0),MATCH($B$5,Players!$A$1:$Y$1,0))*G$5+INDEX(Zawodnicy[],MATCH($A24,Players!$A$2:$A$35,0),MATCH($B$6,Players!$A$1:$Y$1,0))*G$6+INDEX(Zawodnicy[],MATCH($A24,Players!$A$2:$A$35,0),MATCH($B$7,Players!$A$1:$Y$1,0))*G$7+INDEX(Zawodnicy[],MATCH($A24,Players!$A$2:$A$35,0),MATCH($B$8,Players!$A$1:$Y$1,0))*G$8+INDEX(Zawodnicy[],MATCH($A24,Players!$A$2:$A$35,0),MATCH($B$9,Players!$A$1:$Y$1,0))*G$9+INDEX(Zawodnicy[],MATCH($A24,Players!$A$2:$A$35,0),MATCH($B$10,Players!$A$1:$Y$1,0))*G$10+INDEX(Zawodnicy[],MATCH($A24,Players!$A$2:$A$35,0),MATCH($B$11,Players!$A$1:$Y$1,0))*G$11+INDEX(Zawodnicy[],MATCH($A24,Players!$A$2:$A$35,0),MATCH($B$12,Players!$A$1:$Y$1,0))*G$12+INDEX(Zawodnicy[],MATCH($A24,Players!$A$2:$A$35,0),MATCH($B$13,Players!$A$1:$Y$1,0))*G$13,"-")</f>
        <v>75.03</v>
      </c>
      <c r="H24" s="38">
        <f>IFERROR(INDEX(Zawodnicy[],MATCH($A24,Players!$A$2:$A$35,0),MATCH($B$2,Players!$A$1:$Y$1,0))*H$2+INDEX(Zawodnicy[],MATCH($A24,Players!$A$2:$A$35,0),MATCH($B$3,Players!$A$1:$Y$1,0))*H$3+INDEX(Zawodnicy[],MATCH($A24,Players!$A$2:$A$35,0),MATCH($B$4,Players!$A$1:$Y$1,0))*H$4+INDEX(Zawodnicy[],MATCH($A24,Players!$A$2:$A$35,0),MATCH($B$5,Players!$A$1:$Y$1,0))*H$5+INDEX(Zawodnicy[],MATCH($A24,Players!$A$2:$A$35,0),MATCH($B$6,Players!$A$1:$Y$1,0))*H$6+INDEX(Zawodnicy[],MATCH($A24,Players!$A$2:$A$35,0),MATCH($B$7,Players!$A$1:$Y$1,0))*H$7+INDEX(Zawodnicy[],MATCH($A24,Players!$A$2:$A$35,0),MATCH($B$8,Players!$A$1:$Y$1,0))*H$8+INDEX(Zawodnicy[],MATCH($A24,Players!$A$2:$A$35,0),MATCH($B$9,Players!$A$1:$Y$1,0))*H$9+INDEX(Zawodnicy[],MATCH($A24,Players!$A$2:$A$35,0),MATCH($B$10,Players!$A$1:$Y$1,0))*H$10+INDEX(Zawodnicy[],MATCH($A24,Players!$A$2:$A$35,0),MATCH($B$11,Players!$A$1:$Y$1,0))*H$11+INDEX(Zawodnicy[],MATCH($A24,Players!$A$2:$A$35,0),MATCH($B$12,Players!$A$1:$Y$1,0))*H$12+INDEX(Zawodnicy[],MATCH($A24,Players!$A$2:$A$35,0),MATCH($B$13,Players!$A$1:$Y$1,0))*H$13,"-")</f>
        <v>69.53</v>
      </c>
      <c r="I24" s="38">
        <f>IFERROR(INDEX(Zawodnicy[],MATCH($A24,Players!$A$2:$A$35,0),MATCH($B$2,Players!$A$1:$Y$1,0))*I$2+INDEX(Zawodnicy[],MATCH($A24,Players!$A$2:$A$35,0),MATCH($B$3,Players!$A$1:$Y$1,0))*I$3+INDEX(Zawodnicy[],MATCH($A24,Players!$A$2:$A$35,0),MATCH($B$4,Players!$A$1:$Y$1,0))*I$4+INDEX(Zawodnicy[],MATCH($A24,Players!$A$2:$A$35,0),MATCH($B$5,Players!$A$1:$Y$1,0))*I$5+INDEX(Zawodnicy[],MATCH($A24,Players!$A$2:$A$35,0),MATCH($B$6,Players!$A$1:$Y$1,0))*I$6+INDEX(Zawodnicy[],MATCH($A24,Players!$A$2:$A$35,0),MATCH($B$7,Players!$A$1:$Y$1,0))*I$7+INDEX(Zawodnicy[],MATCH($A24,Players!$A$2:$A$35,0),MATCH($B$8,Players!$A$1:$Y$1,0))*I$8+INDEX(Zawodnicy[],MATCH($A24,Players!$A$2:$A$35,0),MATCH($B$9,Players!$A$1:$Y$1,0))*I$9+INDEX(Zawodnicy[],MATCH($A24,Players!$A$2:$A$35,0),MATCH($B$10,Players!$A$1:$Y$1,0))*I$10+INDEX(Zawodnicy[],MATCH($A24,Players!$A$2:$A$35,0),MATCH($B$11,Players!$A$1:$Y$1,0))*I$11+INDEX(Zawodnicy[],MATCH($A24,Players!$A$2:$A$35,0),MATCH($B$12,Players!$A$1:$Y$1,0))*I$12+INDEX(Zawodnicy[],MATCH($A24,Players!$A$2:$A$35,0),MATCH($B$13,Players!$A$1:$Y$1,0))*I$13,"-")</f>
        <v>69.78</v>
      </c>
      <c r="J24" s="38">
        <f>IFERROR(INDEX(Zawodnicy[],MATCH($A24,Players!$A$2:$A$35,0),MATCH($B$2,Players!$A$1:$Y$1,0))*J$2+INDEX(Zawodnicy[],MATCH($A24,Players!$A$2:$A$35,0),MATCH($B$3,Players!$A$1:$Y$1,0))*J$3+INDEX(Zawodnicy[],MATCH($A24,Players!$A$2:$A$35,0),MATCH($B$4,Players!$A$1:$Y$1,0))*J$4+INDEX(Zawodnicy[],MATCH($A24,Players!$A$2:$A$35,0),MATCH($B$5,Players!$A$1:$Y$1,0))*J$5+INDEX(Zawodnicy[],MATCH($A24,Players!$A$2:$A$35,0),MATCH($B$6,Players!$A$1:$Y$1,0))*J$6+INDEX(Zawodnicy[],MATCH($A24,Players!$A$2:$A$35,0),MATCH($B$7,Players!$A$1:$Y$1,0))*J$7+INDEX(Zawodnicy[],MATCH($A24,Players!$A$2:$A$35,0),MATCH($B$8,Players!$A$1:$Y$1,0))*J$8+INDEX(Zawodnicy[],MATCH($A24,Players!$A$2:$A$35,0),MATCH($B$9,Players!$A$1:$Y$1,0))*J$9+INDEX(Zawodnicy[],MATCH($A24,Players!$A$2:$A$35,0),MATCH($B$10,Players!$A$1:$Y$1,0))*J$10+INDEX(Zawodnicy[],MATCH($A24,Players!$A$2:$A$35,0),MATCH($B$11,Players!$A$1:$Y$1,0))*J$11+INDEX(Zawodnicy[],MATCH($A24,Players!$A$2:$A$35,0),MATCH($B$12,Players!$A$1:$Y$1,0))*J$12+INDEX(Zawodnicy[],MATCH($A24,Players!$A$2:$A$35,0),MATCH($B$13,Players!$A$1:$Y$1,0))*J$13,"-")</f>
        <v>66.03</v>
      </c>
      <c r="K24" s="38">
        <f>IFERROR(INDEX(Zawodnicy[],MATCH($A24,Players!$A$2:$A$35,0),MATCH($B$2,Players!$A$1:$Y$1,0))*K$2+INDEX(Zawodnicy[],MATCH($A24,Players!$A$2:$A$35,0),MATCH($B$3,Players!$A$1:$Y$1,0))*K$3+INDEX(Zawodnicy[],MATCH($A24,Players!$A$2:$A$35,0),MATCH($B$4,Players!$A$1:$Y$1,0))*K$4+INDEX(Zawodnicy[],MATCH($A24,Players!$A$2:$A$35,0),MATCH($B$5,Players!$A$1:$Y$1,0))*K$5+INDEX(Zawodnicy[],MATCH($A24,Players!$A$2:$A$35,0),MATCH($B$6,Players!$A$1:$Y$1,0))*K$6+INDEX(Zawodnicy[],MATCH($A24,Players!$A$2:$A$35,0),MATCH($B$7,Players!$A$1:$Y$1,0))*K$7+INDEX(Zawodnicy[],MATCH($A24,Players!$A$2:$A$35,0),MATCH($B$8,Players!$A$1:$Y$1,0))*K$8+INDEX(Zawodnicy[],MATCH($A24,Players!$A$2:$A$35,0),MATCH($B$9,Players!$A$1:$Y$1,0))*K$9+INDEX(Zawodnicy[],MATCH($A24,Players!$A$2:$A$35,0),MATCH($B$10,Players!$A$1:$Y$1,0))*K$10+INDEX(Zawodnicy[],MATCH($A24,Players!$A$2:$A$35,0),MATCH($B$11,Players!$A$1:$Y$1,0))*K$11+INDEX(Zawodnicy[],MATCH($A24,Players!$A$2:$A$35,0),MATCH($B$12,Players!$A$1:$Y$1,0))*K$12+INDEX(Zawodnicy[],MATCH($A24,Players!$A$2:$A$35,0),MATCH($B$13,Players!$A$1:$Y$1,0))*K$13,"-")</f>
        <v>64.28</v>
      </c>
    </row>
    <row r="25" spans="1:11" x14ac:dyDescent="0.25">
      <c r="A25" s="63">
        <f>PozycjeŚr[[#This Row],[Numer]]</f>
        <v>6</v>
      </c>
      <c r="B25" s="3" t="str">
        <f>IFERROR(VLOOKUP(PozycjeMG[[#This Row],[Numer]],Zawodnicy[[Number]:[Player name]],2,FALSE),"-")</f>
        <v>Ignacy Cerocki</v>
      </c>
      <c r="C25" s="38">
        <f>IFERROR(INDEX(Zawodnicy[],MATCH($A25,Players!$A$2:$A$35,0),MATCH($B$2,Players!$A$1:$Y$1,0))*C$2+INDEX(Zawodnicy[],MATCH($A25,Players!$A$2:$A$35,0),MATCH($B$3,Players!$A$1:$Y$1,0))*C$3+INDEX(Zawodnicy[],MATCH($A25,Players!$A$2:$A$35,0),MATCH($B$4,Players!$A$1:$Y$1,0))*C$4+INDEX(Zawodnicy[],MATCH($A25,Players!$A$2:$A$35,0),MATCH($B$5,Players!$A$1:$Y$1,0))*C$5+INDEX(Zawodnicy[],MATCH($A25,Players!$A$2:$A$35,0),MATCH($B$6,Players!$A$1:$Y$1,0))*C$6+INDEX(Zawodnicy[],MATCH($A25,Players!$A$2:$A$35,0),MATCH($B$7,Players!$A$1:$Y$1,0))*C$7+INDEX(Zawodnicy[],MATCH($A25,Players!$A$2:$A$35,0),MATCH($B$8,Players!$A$1:$Y$1,0))*C$8+INDEX(Zawodnicy[],MATCH($A25,Players!$A$2:$A$35,0),MATCH($B$9,Players!$A$1:$Y$1,0))*C$9+INDEX(Zawodnicy[],MATCH($A25,Players!$A$2:$A$35,0),MATCH($B$10,Players!$A$1:$Y$1,0))*C$10+INDEX(Zawodnicy[],MATCH($A25,Players!$A$2:$A$35,0),MATCH($B$11,Players!$A$1:$Y$1,0))*C$11+INDEX(Zawodnicy[],MATCH($A25,Players!$A$2:$A$35,0),MATCH($B$12,Players!$A$1:$Y$1,0))*C$12+INDEX(Zawodnicy[],MATCH($A25,Players!$A$2:$A$35,0),MATCH($B$13,Players!$A$1:$Y$1,0))*C$13,"-")</f>
        <v>29.04</v>
      </c>
      <c r="D25" s="38">
        <f>IFERROR(INDEX(Zawodnicy[],MATCH($A25,Players!$A$2:$A$35,0),MATCH($B$2,Players!$A$1:$Y$1,0))*D$2+INDEX(Zawodnicy[],MATCH($A25,Players!$A$2:$A$35,0),MATCH($B$3,Players!$A$1:$Y$1,0))*D$3+INDEX(Zawodnicy[],MATCH($A25,Players!$A$2:$A$35,0),MATCH($B$4,Players!$A$1:$Y$1,0))*D$4+INDEX(Zawodnicy[],MATCH($A25,Players!$A$2:$A$35,0),MATCH($B$5,Players!$A$1:$Y$1,0))*D$5+INDEX(Zawodnicy[],MATCH($A25,Players!$A$2:$A$35,0),MATCH($B$6,Players!$A$1:$Y$1,0))*D$6+INDEX(Zawodnicy[],MATCH($A25,Players!$A$2:$A$35,0),MATCH($B$7,Players!$A$1:$Y$1,0))*D$7+INDEX(Zawodnicy[],MATCH($A25,Players!$A$2:$A$35,0),MATCH($B$8,Players!$A$1:$Y$1,0))*D$8+INDEX(Zawodnicy[],MATCH($A25,Players!$A$2:$A$35,0),MATCH($B$9,Players!$A$1:$Y$1,0))*D$9+INDEX(Zawodnicy[],MATCH($A25,Players!$A$2:$A$35,0),MATCH($B$10,Players!$A$1:$Y$1,0))*D$10+INDEX(Zawodnicy[],MATCH($A25,Players!$A$2:$A$35,0),MATCH($B$11,Players!$A$1:$Y$1,0))*D$11+INDEX(Zawodnicy[],MATCH($A25,Players!$A$2:$A$35,0),MATCH($B$12,Players!$A$1:$Y$1,0))*D$12+INDEX(Zawodnicy[],MATCH($A25,Players!$A$2:$A$35,0),MATCH($B$13,Players!$A$1:$Y$1,0))*D$13,"-")</f>
        <v>74.290000000000006</v>
      </c>
      <c r="E25" s="38">
        <f>IFERROR(INDEX(Zawodnicy[],MATCH($A25,Players!$A$2:$A$35,0),MATCH($B$2,Players!$A$1:$Y$1,0))*E$2+INDEX(Zawodnicy[],MATCH($A25,Players!$A$2:$A$35,0),MATCH($B$3,Players!$A$1:$Y$1,0))*E$3+INDEX(Zawodnicy[],MATCH($A25,Players!$A$2:$A$35,0),MATCH($B$4,Players!$A$1:$Y$1,0))*E$4+INDEX(Zawodnicy[],MATCH($A25,Players!$A$2:$A$35,0),MATCH($B$5,Players!$A$1:$Y$1,0))*E$5+INDEX(Zawodnicy[],MATCH($A25,Players!$A$2:$A$35,0),MATCH($B$6,Players!$A$1:$Y$1,0))*E$6+INDEX(Zawodnicy[],MATCH($A25,Players!$A$2:$A$35,0),MATCH($B$7,Players!$A$1:$Y$1,0))*E$7+INDEX(Zawodnicy[],MATCH($A25,Players!$A$2:$A$35,0),MATCH($B$8,Players!$A$1:$Y$1,0))*E$8+INDEX(Zawodnicy[],MATCH($A25,Players!$A$2:$A$35,0),MATCH($B$9,Players!$A$1:$Y$1,0))*E$9+INDEX(Zawodnicy[],MATCH($A25,Players!$A$2:$A$35,0),MATCH($B$10,Players!$A$1:$Y$1,0))*E$10+INDEX(Zawodnicy[],MATCH($A25,Players!$A$2:$A$35,0),MATCH($B$11,Players!$A$1:$Y$1,0))*E$11+INDEX(Zawodnicy[],MATCH($A25,Players!$A$2:$A$35,0),MATCH($B$12,Players!$A$1:$Y$1,0))*E$12+INDEX(Zawodnicy[],MATCH($A25,Players!$A$2:$A$35,0),MATCH($B$13,Players!$A$1:$Y$1,0))*E$13,"-")</f>
        <v>71.290000000000006</v>
      </c>
      <c r="F25" s="38">
        <f>IFERROR(INDEX(Zawodnicy[],MATCH($A25,Players!$A$2:$A$35,0),MATCH($B$2,Players!$A$1:$Y$1,0))*F$2+INDEX(Zawodnicy[],MATCH($A25,Players!$A$2:$A$35,0),MATCH($B$3,Players!$A$1:$Y$1,0))*F$3+INDEX(Zawodnicy[],MATCH($A25,Players!$A$2:$A$35,0),MATCH($B$4,Players!$A$1:$Y$1,0))*F$4+INDEX(Zawodnicy[],MATCH($A25,Players!$A$2:$A$35,0),MATCH($B$5,Players!$A$1:$Y$1,0))*F$5+INDEX(Zawodnicy[],MATCH($A25,Players!$A$2:$A$35,0),MATCH($B$6,Players!$A$1:$Y$1,0))*F$6+INDEX(Zawodnicy[],MATCH($A25,Players!$A$2:$A$35,0),MATCH($B$7,Players!$A$1:$Y$1,0))*F$7+INDEX(Zawodnicy[],MATCH($A25,Players!$A$2:$A$35,0),MATCH($B$8,Players!$A$1:$Y$1,0))*F$8+INDEX(Zawodnicy[],MATCH($A25,Players!$A$2:$A$35,0),MATCH($B$9,Players!$A$1:$Y$1,0))*F$9+INDEX(Zawodnicy[],MATCH($A25,Players!$A$2:$A$35,0),MATCH($B$10,Players!$A$1:$Y$1,0))*F$10+INDEX(Zawodnicy[],MATCH($A25,Players!$A$2:$A$35,0),MATCH($B$11,Players!$A$1:$Y$1,0))*F$11+INDEX(Zawodnicy[],MATCH($A25,Players!$A$2:$A$35,0),MATCH($B$12,Players!$A$1:$Y$1,0))*F$12+INDEX(Zawodnicy[],MATCH($A25,Players!$A$2:$A$35,0),MATCH($B$13,Players!$A$1:$Y$1,0))*F$13,"-")</f>
        <v>70.540000000000006</v>
      </c>
      <c r="G25" s="38">
        <f>IFERROR(INDEX(Zawodnicy[],MATCH($A25,Players!$A$2:$A$35,0),MATCH($B$2,Players!$A$1:$Y$1,0))*G$2+INDEX(Zawodnicy[],MATCH($A25,Players!$A$2:$A$35,0),MATCH($B$3,Players!$A$1:$Y$1,0))*G$3+INDEX(Zawodnicy[],MATCH($A25,Players!$A$2:$A$35,0),MATCH($B$4,Players!$A$1:$Y$1,0))*G$4+INDEX(Zawodnicy[],MATCH($A25,Players!$A$2:$A$35,0),MATCH($B$5,Players!$A$1:$Y$1,0))*G$5+INDEX(Zawodnicy[],MATCH($A25,Players!$A$2:$A$35,0),MATCH($B$6,Players!$A$1:$Y$1,0))*G$6+INDEX(Zawodnicy[],MATCH($A25,Players!$A$2:$A$35,0),MATCH($B$7,Players!$A$1:$Y$1,0))*G$7+INDEX(Zawodnicy[],MATCH($A25,Players!$A$2:$A$35,0),MATCH($B$8,Players!$A$1:$Y$1,0))*G$8+INDEX(Zawodnicy[],MATCH($A25,Players!$A$2:$A$35,0),MATCH($B$9,Players!$A$1:$Y$1,0))*G$9+INDEX(Zawodnicy[],MATCH($A25,Players!$A$2:$A$35,0),MATCH($B$10,Players!$A$1:$Y$1,0))*G$10+INDEX(Zawodnicy[],MATCH($A25,Players!$A$2:$A$35,0),MATCH($B$11,Players!$A$1:$Y$1,0))*G$11+INDEX(Zawodnicy[],MATCH($A25,Players!$A$2:$A$35,0),MATCH($B$12,Players!$A$1:$Y$1,0))*G$12+INDEX(Zawodnicy[],MATCH($A25,Players!$A$2:$A$35,0),MATCH($B$13,Players!$A$1:$Y$1,0))*G$13,"-")</f>
        <v>69.040000000000006</v>
      </c>
      <c r="H25" s="38">
        <f>IFERROR(INDEX(Zawodnicy[],MATCH($A25,Players!$A$2:$A$35,0),MATCH($B$2,Players!$A$1:$Y$1,0))*H$2+INDEX(Zawodnicy[],MATCH($A25,Players!$A$2:$A$35,0),MATCH($B$3,Players!$A$1:$Y$1,0))*H$3+INDEX(Zawodnicy[],MATCH($A25,Players!$A$2:$A$35,0),MATCH($B$4,Players!$A$1:$Y$1,0))*H$4+INDEX(Zawodnicy[],MATCH($A25,Players!$A$2:$A$35,0),MATCH($B$5,Players!$A$1:$Y$1,0))*H$5+INDEX(Zawodnicy[],MATCH($A25,Players!$A$2:$A$35,0),MATCH($B$6,Players!$A$1:$Y$1,0))*H$6+INDEX(Zawodnicy[],MATCH($A25,Players!$A$2:$A$35,0),MATCH($B$7,Players!$A$1:$Y$1,0))*H$7+INDEX(Zawodnicy[],MATCH($A25,Players!$A$2:$A$35,0),MATCH($B$8,Players!$A$1:$Y$1,0))*H$8+INDEX(Zawodnicy[],MATCH($A25,Players!$A$2:$A$35,0),MATCH($B$9,Players!$A$1:$Y$1,0))*H$9+INDEX(Zawodnicy[],MATCH($A25,Players!$A$2:$A$35,0),MATCH($B$10,Players!$A$1:$Y$1,0))*H$10+INDEX(Zawodnicy[],MATCH($A25,Players!$A$2:$A$35,0),MATCH($B$11,Players!$A$1:$Y$1,0))*H$11+INDEX(Zawodnicy[],MATCH($A25,Players!$A$2:$A$35,0),MATCH($B$12,Players!$A$1:$Y$1,0))*H$12+INDEX(Zawodnicy[],MATCH($A25,Players!$A$2:$A$35,0),MATCH($B$13,Players!$A$1:$Y$1,0))*H$13,"-")</f>
        <v>66.289999999999992</v>
      </c>
      <c r="I25" s="38">
        <f>IFERROR(INDEX(Zawodnicy[],MATCH($A25,Players!$A$2:$A$35,0),MATCH($B$2,Players!$A$1:$Y$1,0))*I$2+INDEX(Zawodnicy[],MATCH($A25,Players!$A$2:$A$35,0),MATCH($B$3,Players!$A$1:$Y$1,0))*I$3+INDEX(Zawodnicy[],MATCH($A25,Players!$A$2:$A$35,0),MATCH($B$4,Players!$A$1:$Y$1,0))*I$4+INDEX(Zawodnicy[],MATCH($A25,Players!$A$2:$A$35,0),MATCH($B$5,Players!$A$1:$Y$1,0))*I$5+INDEX(Zawodnicy[],MATCH($A25,Players!$A$2:$A$35,0),MATCH($B$6,Players!$A$1:$Y$1,0))*I$6+INDEX(Zawodnicy[],MATCH($A25,Players!$A$2:$A$35,0),MATCH($B$7,Players!$A$1:$Y$1,0))*I$7+INDEX(Zawodnicy[],MATCH($A25,Players!$A$2:$A$35,0),MATCH($B$8,Players!$A$1:$Y$1,0))*I$8+INDEX(Zawodnicy[],MATCH($A25,Players!$A$2:$A$35,0),MATCH($B$9,Players!$A$1:$Y$1,0))*I$9+INDEX(Zawodnicy[],MATCH($A25,Players!$A$2:$A$35,0),MATCH($B$10,Players!$A$1:$Y$1,0))*I$10+INDEX(Zawodnicy[],MATCH($A25,Players!$A$2:$A$35,0),MATCH($B$11,Players!$A$1:$Y$1,0))*I$11+INDEX(Zawodnicy[],MATCH($A25,Players!$A$2:$A$35,0),MATCH($B$12,Players!$A$1:$Y$1,0))*I$12+INDEX(Zawodnicy[],MATCH($A25,Players!$A$2:$A$35,0),MATCH($B$13,Players!$A$1:$Y$1,0))*I$13,"-")</f>
        <v>62.54</v>
      </c>
      <c r="J25" s="38">
        <f>IFERROR(INDEX(Zawodnicy[],MATCH($A25,Players!$A$2:$A$35,0),MATCH($B$2,Players!$A$1:$Y$1,0))*J$2+INDEX(Zawodnicy[],MATCH($A25,Players!$A$2:$A$35,0),MATCH($B$3,Players!$A$1:$Y$1,0))*J$3+INDEX(Zawodnicy[],MATCH($A25,Players!$A$2:$A$35,0),MATCH($B$4,Players!$A$1:$Y$1,0))*J$4+INDEX(Zawodnicy[],MATCH($A25,Players!$A$2:$A$35,0),MATCH($B$5,Players!$A$1:$Y$1,0))*J$5+INDEX(Zawodnicy[],MATCH($A25,Players!$A$2:$A$35,0),MATCH($B$6,Players!$A$1:$Y$1,0))*J$6+INDEX(Zawodnicy[],MATCH($A25,Players!$A$2:$A$35,0),MATCH($B$7,Players!$A$1:$Y$1,0))*J$7+INDEX(Zawodnicy[],MATCH($A25,Players!$A$2:$A$35,0),MATCH($B$8,Players!$A$1:$Y$1,0))*J$8+INDEX(Zawodnicy[],MATCH($A25,Players!$A$2:$A$35,0),MATCH($B$9,Players!$A$1:$Y$1,0))*J$9+INDEX(Zawodnicy[],MATCH($A25,Players!$A$2:$A$35,0),MATCH($B$10,Players!$A$1:$Y$1,0))*J$10+INDEX(Zawodnicy[],MATCH($A25,Players!$A$2:$A$35,0),MATCH($B$11,Players!$A$1:$Y$1,0))*J$11+INDEX(Zawodnicy[],MATCH($A25,Players!$A$2:$A$35,0),MATCH($B$12,Players!$A$1:$Y$1,0))*J$12+INDEX(Zawodnicy[],MATCH($A25,Players!$A$2:$A$35,0),MATCH($B$13,Players!$A$1:$Y$1,0))*J$13,"-")</f>
        <v>59.54</v>
      </c>
      <c r="K25" s="38">
        <f>IFERROR(INDEX(Zawodnicy[],MATCH($A25,Players!$A$2:$A$35,0),MATCH($B$2,Players!$A$1:$Y$1,0))*K$2+INDEX(Zawodnicy[],MATCH($A25,Players!$A$2:$A$35,0),MATCH($B$3,Players!$A$1:$Y$1,0))*K$3+INDEX(Zawodnicy[],MATCH($A25,Players!$A$2:$A$35,0),MATCH($B$4,Players!$A$1:$Y$1,0))*K$4+INDEX(Zawodnicy[],MATCH($A25,Players!$A$2:$A$35,0),MATCH($B$5,Players!$A$1:$Y$1,0))*K$5+INDEX(Zawodnicy[],MATCH($A25,Players!$A$2:$A$35,0),MATCH($B$6,Players!$A$1:$Y$1,0))*K$6+INDEX(Zawodnicy[],MATCH($A25,Players!$A$2:$A$35,0),MATCH($B$7,Players!$A$1:$Y$1,0))*K$7+INDEX(Zawodnicy[],MATCH($A25,Players!$A$2:$A$35,0),MATCH($B$8,Players!$A$1:$Y$1,0))*K$8+INDEX(Zawodnicy[],MATCH($A25,Players!$A$2:$A$35,0),MATCH($B$9,Players!$A$1:$Y$1,0))*K$9+INDEX(Zawodnicy[],MATCH($A25,Players!$A$2:$A$35,0),MATCH($B$10,Players!$A$1:$Y$1,0))*K$10+INDEX(Zawodnicy[],MATCH($A25,Players!$A$2:$A$35,0),MATCH($B$11,Players!$A$1:$Y$1,0))*K$11+INDEX(Zawodnicy[],MATCH($A25,Players!$A$2:$A$35,0),MATCH($B$12,Players!$A$1:$Y$1,0))*K$12+INDEX(Zawodnicy[],MATCH($A25,Players!$A$2:$A$35,0),MATCH($B$13,Players!$A$1:$Y$1,0))*K$13,"-")</f>
        <v>53.29</v>
      </c>
    </row>
    <row r="26" spans="1:11" x14ac:dyDescent="0.25">
      <c r="A26" s="63">
        <f>PozycjeŚr[[#This Row],[Numer]]</f>
        <v>8</v>
      </c>
      <c r="B26" s="3" t="str">
        <f>IFERROR(VLOOKUP(PozycjeMG[[#This Row],[Numer]],Zawodnicy[[Number]:[Player name]],2,FALSE),"-")</f>
        <v>Cyryl Walec</v>
      </c>
      <c r="C26" s="38">
        <f>IFERROR(INDEX(Zawodnicy[],MATCH($A26,Players!$A$2:$A$35,0),MATCH($B$2,Players!$A$1:$Y$1,0))*C$2+INDEX(Zawodnicy[],MATCH($A26,Players!$A$2:$A$35,0),MATCH($B$3,Players!$A$1:$Y$1,0))*C$3+INDEX(Zawodnicy[],MATCH($A26,Players!$A$2:$A$35,0),MATCH($B$4,Players!$A$1:$Y$1,0))*C$4+INDEX(Zawodnicy[],MATCH($A26,Players!$A$2:$A$35,0),MATCH($B$5,Players!$A$1:$Y$1,0))*C$5+INDEX(Zawodnicy[],MATCH($A26,Players!$A$2:$A$35,0),MATCH($B$6,Players!$A$1:$Y$1,0))*C$6+INDEX(Zawodnicy[],MATCH($A26,Players!$A$2:$A$35,0),MATCH($B$7,Players!$A$1:$Y$1,0))*C$7+INDEX(Zawodnicy[],MATCH($A26,Players!$A$2:$A$35,0),MATCH($B$8,Players!$A$1:$Y$1,0))*C$8+INDEX(Zawodnicy[],MATCH($A26,Players!$A$2:$A$35,0),MATCH($B$9,Players!$A$1:$Y$1,0))*C$9+INDEX(Zawodnicy[],MATCH($A26,Players!$A$2:$A$35,0),MATCH($B$10,Players!$A$1:$Y$1,0))*C$10+INDEX(Zawodnicy[],MATCH($A26,Players!$A$2:$A$35,0),MATCH($B$11,Players!$A$1:$Y$1,0))*C$11+INDEX(Zawodnicy[],MATCH($A26,Players!$A$2:$A$35,0),MATCH($B$12,Players!$A$1:$Y$1,0))*C$12+INDEX(Zawodnicy[],MATCH($A26,Players!$A$2:$A$35,0),MATCH($B$13,Players!$A$1:$Y$1,0))*C$13,"-")</f>
        <v>49.5</v>
      </c>
      <c r="D26" s="38">
        <f>IFERROR(INDEX(Zawodnicy[],MATCH($A26,Players!$A$2:$A$35,0),MATCH($B$2,Players!$A$1:$Y$1,0))*D$2+INDEX(Zawodnicy[],MATCH($A26,Players!$A$2:$A$35,0),MATCH($B$3,Players!$A$1:$Y$1,0))*D$3+INDEX(Zawodnicy[],MATCH($A26,Players!$A$2:$A$35,0),MATCH($B$4,Players!$A$1:$Y$1,0))*D$4+INDEX(Zawodnicy[],MATCH($A26,Players!$A$2:$A$35,0),MATCH($B$5,Players!$A$1:$Y$1,0))*D$5+INDEX(Zawodnicy[],MATCH($A26,Players!$A$2:$A$35,0),MATCH($B$6,Players!$A$1:$Y$1,0))*D$6+INDEX(Zawodnicy[],MATCH($A26,Players!$A$2:$A$35,0),MATCH($B$7,Players!$A$1:$Y$1,0))*D$7+INDEX(Zawodnicy[],MATCH($A26,Players!$A$2:$A$35,0),MATCH($B$8,Players!$A$1:$Y$1,0))*D$8+INDEX(Zawodnicy[],MATCH($A26,Players!$A$2:$A$35,0),MATCH($B$9,Players!$A$1:$Y$1,0))*D$9+INDEX(Zawodnicy[],MATCH($A26,Players!$A$2:$A$35,0),MATCH($B$10,Players!$A$1:$Y$1,0))*D$10+INDEX(Zawodnicy[],MATCH($A26,Players!$A$2:$A$35,0),MATCH($B$11,Players!$A$1:$Y$1,0))*D$11+INDEX(Zawodnicy[],MATCH($A26,Players!$A$2:$A$35,0),MATCH($B$12,Players!$A$1:$Y$1,0))*D$12+INDEX(Zawodnicy[],MATCH($A26,Players!$A$2:$A$35,0),MATCH($B$13,Players!$A$1:$Y$1,0))*D$13,"-")</f>
        <v>64</v>
      </c>
      <c r="E26" s="38">
        <f>IFERROR(INDEX(Zawodnicy[],MATCH($A26,Players!$A$2:$A$35,0),MATCH($B$2,Players!$A$1:$Y$1,0))*E$2+INDEX(Zawodnicy[],MATCH($A26,Players!$A$2:$A$35,0),MATCH($B$3,Players!$A$1:$Y$1,0))*E$3+INDEX(Zawodnicy[],MATCH($A26,Players!$A$2:$A$35,0),MATCH($B$4,Players!$A$1:$Y$1,0))*E$4+INDEX(Zawodnicy[],MATCH($A26,Players!$A$2:$A$35,0),MATCH($B$5,Players!$A$1:$Y$1,0))*E$5+INDEX(Zawodnicy[],MATCH($A26,Players!$A$2:$A$35,0),MATCH($B$6,Players!$A$1:$Y$1,0))*E$6+INDEX(Zawodnicy[],MATCH($A26,Players!$A$2:$A$35,0),MATCH($B$7,Players!$A$1:$Y$1,0))*E$7+INDEX(Zawodnicy[],MATCH($A26,Players!$A$2:$A$35,0),MATCH($B$8,Players!$A$1:$Y$1,0))*E$8+INDEX(Zawodnicy[],MATCH($A26,Players!$A$2:$A$35,0),MATCH($B$9,Players!$A$1:$Y$1,0))*E$9+INDEX(Zawodnicy[],MATCH($A26,Players!$A$2:$A$35,0),MATCH($B$10,Players!$A$1:$Y$1,0))*E$10+INDEX(Zawodnicy[],MATCH($A26,Players!$A$2:$A$35,0),MATCH($B$11,Players!$A$1:$Y$1,0))*E$11+INDEX(Zawodnicy[],MATCH($A26,Players!$A$2:$A$35,0),MATCH($B$12,Players!$A$1:$Y$1,0))*E$12+INDEX(Zawodnicy[],MATCH($A26,Players!$A$2:$A$35,0),MATCH($B$13,Players!$A$1:$Y$1,0))*E$13,"-")</f>
        <v>61.75</v>
      </c>
      <c r="F26" s="38">
        <f>IFERROR(INDEX(Zawodnicy[],MATCH($A26,Players!$A$2:$A$35,0),MATCH($B$2,Players!$A$1:$Y$1,0))*F$2+INDEX(Zawodnicy[],MATCH($A26,Players!$A$2:$A$35,0),MATCH($B$3,Players!$A$1:$Y$1,0))*F$3+INDEX(Zawodnicy[],MATCH($A26,Players!$A$2:$A$35,0),MATCH($B$4,Players!$A$1:$Y$1,0))*F$4+INDEX(Zawodnicy[],MATCH($A26,Players!$A$2:$A$35,0),MATCH($B$5,Players!$A$1:$Y$1,0))*F$5+INDEX(Zawodnicy[],MATCH($A26,Players!$A$2:$A$35,0),MATCH($B$6,Players!$A$1:$Y$1,0))*F$6+INDEX(Zawodnicy[],MATCH($A26,Players!$A$2:$A$35,0),MATCH($B$7,Players!$A$1:$Y$1,0))*F$7+INDEX(Zawodnicy[],MATCH($A26,Players!$A$2:$A$35,0),MATCH($B$8,Players!$A$1:$Y$1,0))*F$8+INDEX(Zawodnicy[],MATCH($A26,Players!$A$2:$A$35,0),MATCH($B$9,Players!$A$1:$Y$1,0))*F$9+INDEX(Zawodnicy[],MATCH($A26,Players!$A$2:$A$35,0),MATCH($B$10,Players!$A$1:$Y$1,0))*F$10+INDEX(Zawodnicy[],MATCH($A26,Players!$A$2:$A$35,0),MATCH($B$11,Players!$A$1:$Y$1,0))*F$11+INDEX(Zawodnicy[],MATCH($A26,Players!$A$2:$A$35,0),MATCH($B$12,Players!$A$1:$Y$1,0))*F$12+INDEX(Zawodnicy[],MATCH($A26,Players!$A$2:$A$35,0),MATCH($B$13,Players!$A$1:$Y$1,0))*F$13,"-")</f>
        <v>66.25</v>
      </c>
      <c r="G26" s="38">
        <f>IFERROR(INDEX(Zawodnicy[],MATCH($A26,Players!$A$2:$A$35,0),MATCH($B$2,Players!$A$1:$Y$1,0))*G$2+INDEX(Zawodnicy[],MATCH($A26,Players!$A$2:$A$35,0),MATCH($B$3,Players!$A$1:$Y$1,0))*G$3+INDEX(Zawodnicy[],MATCH($A26,Players!$A$2:$A$35,0),MATCH($B$4,Players!$A$1:$Y$1,0))*G$4+INDEX(Zawodnicy[],MATCH($A26,Players!$A$2:$A$35,0),MATCH($B$5,Players!$A$1:$Y$1,0))*G$5+INDEX(Zawodnicy[],MATCH($A26,Players!$A$2:$A$35,0),MATCH($B$6,Players!$A$1:$Y$1,0))*G$6+INDEX(Zawodnicy[],MATCH($A26,Players!$A$2:$A$35,0),MATCH($B$7,Players!$A$1:$Y$1,0))*G$7+INDEX(Zawodnicy[],MATCH($A26,Players!$A$2:$A$35,0),MATCH($B$8,Players!$A$1:$Y$1,0))*G$8+INDEX(Zawodnicy[],MATCH($A26,Players!$A$2:$A$35,0),MATCH($B$9,Players!$A$1:$Y$1,0))*G$9+INDEX(Zawodnicy[],MATCH($A26,Players!$A$2:$A$35,0),MATCH($B$10,Players!$A$1:$Y$1,0))*G$10+INDEX(Zawodnicy[],MATCH($A26,Players!$A$2:$A$35,0),MATCH($B$11,Players!$A$1:$Y$1,0))*G$11+INDEX(Zawodnicy[],MATCH($A26,Players!$A$2:$A$35,0),MATCH($B$12,Players!$A$1:$Y$1,0))*G$12+INDEX(Zawodnicy[],MATCH($A26,Players!$A$2:$A$35,0),MATCH($B$13,Players!$A$1:$Y$1,0))*G$13,"-")</f>
        <v>68.75</v>
      </c>
      <c r="H26" s="38">
        <f>IFERROR(INDEX(Zawodnicy[],MATCH($A26,Players!$A$2:$A$35,0),MATCH($B$2,Players!$A$1:$Y$1,0))*H$2+INDEX(Zawodnicy[],MATCH($A26,Players!$A$2:$A$35,0),MATCH($B$3,Players!$A$1:$Y$1,0))*H$3+INDEX(Zawodnicy[],MATCH($A26,Players!$A$2:$A$35,0),MATCH($B$4,Players!$A$1:$Y$1,0))*H$4+INDEX(Zawodnicy[],MATCH($A26,Players!$A$2:$A$35,0),MATCH($B$5,Players!$A$1:$Y$1,0))*H$5+INDEX(Zawodnicy[],MATCH($A26,Players!$A$2:$A$35,0),MATCH($B$6,Players!$A$1:$Y$1,0))*H$6+INDEX(Zawodnicy[],MATCH($A26,Players!$A$2:$A$35,0),MATCH($B$7,Players!$A$1:$Y$1,0))*H$7+INDEX(Zawodnicy[],MATCH($A26,Players!$A$2:$A$35,0),MATCH($B$8,Players!$A$1:$Y$1,0))*H$8+INDEX(Zawodnicy[],MATCH($A26,Players!$A$2:$A$35,0),MATCH($B$9,Players!$A$1:$Y$1,0))*H$9+INDEX(Zawodnicy[],MATCH($A26,Players!$A$2:$A$35,0),MATCH($B$10,Players!$A$1:$Y$1,0))*H$10+INDEX(Zawodnicy[],MATCH($A26,Players!$A$2:$A$35,0),MATCH($B$11,Players!$A$1:$Y$1,0))*H$11+INDEX(Zawodnicy[],MATCH($A26,Players!$A$2:$A$35,0),MATCH($B$12,Players!$A$1:$Y$1,0))*H$12+INDEX(Zawodnicy[],MATCH($A26,Players!$A$2:$A$35,0),MATCH($B$13,Players!$A$1:$Y$1,0))*H$13,"-")</f>
        <v>64.25</v>
      </c>
      <c r="I26" s="38">
        <f>IFERROR(INDEX(Zawodnicy[],MATCH($A26,Players!$A$2:$A$35,0),MATCH($B$2,Players!$A$1:$Y$1,0))*I$2+INDEX(Zawodnicy[],MATCH($A26,Players!$A$2:$A$35,0),MATCH($B$3,Players!$A$1:$Y$1,0))*I$3+INDEX(Zawodnicy[],MATCH($A26,Players!$A$2:$A$35,0),MATCH($B$4,Players!$A$1:$Y$1,0))*I$4+INDEX(Zawodnicy[],MATCH($A26,Players!$A$2:$A$35,0),MATCH($B$5,Players!$A$1:$Y$1,0))*I$5+INDEX(Zawodnicy[],MATCH($A26,Players!$A$2:$A$35,0),MATCH($B$6,Players!$A$1:$Y$1,0))*I$6+INDEX(Zawodnicy[],MATCH($A26,Players!$A$2:$A$35,0),MATCH($B$7,Players!$A$1:$Y$1,0))*I$7+INDEX(Zawodnicy[],MATCH($A26,Players!$A$2:$A$35,0),MATCH($B$8,Players!$A$1:$Y$1,0))*I$8+INDEX(Zawodnicy[],MATCH($A26,Players!$A$2:$A$35,0),MATCH($B$9,Players!$A$1:$Y$1,0))*I$9+INDEX(Zawodnicy[],MATCH($A26,Players!$A$2:$A$35,0),MATCH($B$10,Players!$A$1:$Y$1,0))*I$10+INDEX(Zawodnicy[],MATCH($A26,Players!$A$2:$A$35,0),MATCH($B$11,Players!$A$1:$Y$1,0))*I$11+INDEX(Zawodnicy[],MATCH($A26,Players!$A$2:$A$35,0),MATCH($B$12,Players!$A$1:$Y$1,0))*I$12+INDEX(Zawodnicy[],MATCH($A26,Players!$A$2:$A$35,0),MATCH($B$13,Players!$A$1:$Y$1,0))*I$13,"-")</f>
        <v>67.75</v>
      </c>
      <c r="J26" s="38">
        <f>IFERROR(INDEX(Zawodnicy[],MATCH($A26,Players!$A$2:$A$35,0),MATCH($B$2,Players!$A$1:$Y$1,0))*J$2+INDEX(Zawodnicy[],MATCH($A26,Players!$A$2:$A$35,0),MATCH($B$3,Players!$A$1:$Y$1,0))*J$3+INDEX(Zawodnicy[],MATCH($A26,Players!$A$2:$A$35,0),MATCH($B$4,Players!$A$1:$Y$1,0))*J$4+INDEX(Zawodnicy[],MATCH($A26,Players!$A$2:$A$35,0),MATCH($B$5,Players!$A$1:$Y$1,0))*J$5+INDEX(Zawodnicy[],MATCH($A26,Players!$A$2:$A$35,0),MATCH($B$6,Players!$A$1:$Y$1,0))*J$6+INDEX(Zawodnicy[],MATCH($A26,Players!$A$2:$A$35,0),MATCH($B$7,Players!$A$1:$Y$1,0))*J$7+INDEX(Zawodnicy[],MATCH($A26,Players!$A$2:$A$35,0),MATCH($B$8,Players!$A$1:$Y$1,0))*J$8+INDEX(Zawodnicy[],MATCH($A26,Players!$A$2:$A$35,0),MATCH($B$9,Players!$A$1:$Y$1,0))*J$9+INDEX(Zawodnicy[],MATCH($A26,Players!$A$2:$A$35,0),MATCH($B$10,Players!$A$1:$Y$1,0))*J$10+INDEX(Zawodnicy[],MATCH($A26,Players!$A$2:$A$35,0),MATCH($B$11,Players!$A$1:$Y$1,0))*J$11+INDEX(Zawodnicy[],MATCH($A26,Players!$A$2:$A$35,0),MATCH($B$12,Players!$A$1:$Y$1,0))*J$12+INDEX(Zawodnicy[],MATCH($A26,Players!$A$2:$A$35,0),MATCH($B$13,Players!$A$1:$Y$1,0))*J$13,"-")</f>
        <v>62.5</v>
      </c>
      <c r="K26" s="38">
        <f>IFERROR(INDEX(Zawodnicy[],MATCH($A26,Players!$A$2:$A$35,0),MATCH($B$2,Players!$A$1:$Y$1,0))*K$2+INDEX(Zawodnicy[],MATCH($A26,Players!$A$2:$A$35,0),MATCH($B$3,Players!$A$1:$Y$1,0))*K$3+INDEX(Zawodnicy[],MATCH($A26,Players!$A$2:$A$35,0),MATCH($B$4,Players!$A$1:$Y$1,0))*K$4+INDEX(Zawodnicy[],MATCH($A26,Players!$A$2:$A$35,0),MATCH($B$5,Players!$A$1:$Y$1,0))*K$5+INDEX(Zawodnicy[],MATCH($A26,Players!$A$2:$A$35,0),MATCH($B$6,Players!$A$1:$Y$1,0))*K$6+INDEX(Zawodnicy[],MATCH($A26,Players!$A$2:$A$35,0),MATCH($B$7,Players!$A$1:$Y$1,0))*K$7+INDEX(Zawodnicy[],MATCH($A26,Players!$A$2:$A$35,0),MATCH($B$8,Players!$A$1:$Y$1,0))*K$8+INDEX(Zawodnicy[],MATCH($A26,Players!$A$2:$A$35,0),MATCH($B$9,Players!$A$1:$Y$1,0))*K$9+INDEX(Zawodnicy[],MATCH($A26,Players!$A$2:$A$35,0),MATCH($B$10,Players!$A$1:$Y$1,0))*K$10+INDEX(Zawodnicy[],MATCH($A26,Players!$A$2:$A$35,0),MATCH($B$11,Players!$A$1:$Y$1,0))*K$11+INDEX(Zawodnicy[],MATCH($A26,Players!$A$2:$A$35,0),MATCH($B$12,Players!$A$1:$Y$1,0))*K$12+INDEX(Zawodnicy[],MATCH($A26,Players!$A$2:$A$35,0),MATCH($B$13,Players!$A$1:$Y$1,0))*K$13,"-")</f>
        <v>62.75</v>
      </c>
    </row>
    <row r="27" spans="1:11" x14ac:dyDescent="0.25">
      <c r="A27" s="63">
        <f>PozycjeŚr[[#This Row],[Numer]]</f>
        <v>9</v>
      </c>
      <c r="B27" s="3" t="str">
        <f>IFERROR(VLOOKUP(PozycjeMG[[#This Row],[Numer]],Zawodnicy[[Number]:[Player name]],2,FALSE),"-")</f>
        <v>Kajetan Grabowicz</v>
      </c>
      <c r="C27" s="38">
        <f>IFERROR(INDEX(Zawodnicy[],MATCH($A27,Players!$A$2:$A$35,0),MATCH($B$2,Players!$A$1:$Y$1,0))*C$2+INDEX(Zawodnicy[],MATCH($A27,Players!$A$2:$A$35,0),MATCH($B$3,Players!$A$1:$Y$1,0))*C$3+INDEX(Zawodnicy[],MATCH($A27,Players!$A$2:$A$35,0),MATCH($B$4,Players!$A$1:$Y$1,0))*C$4+INDEX(Zawodnicy[],MATCH($A27,Players!$A$2:$A$35,0),MATCH($B$5,Players!$A$1:$Y$1,0))*C$5+INDEX(Zawodnicy[],MATCH($A27,Players!$A$2:$A$35,0),MATCH($B$6,Players!$A$1:$Y$1,0))*C$6+INDEX(Zawodnicy[],MATCH($A27,Players!$A$2:$A$35,0),MATCH($B$7,Players!$A$1:$Y$1,0))*C$7+INDEX(Zawodnicy[],MATCH($A27,Players!$A$2:$A$35,0),MATCH($B$8,Players!$A$1:$Y$1,0))*C$8+INDEX(Zawodnicy[],MATCH($A27,Players!$A$2:$A$35,0),MATCH($B$9,Players!$A$1:$Y$1,0))*C$9+INDEX(Zawodnicy[],MATCH($A27,Players!$A$2:$A$35,0),MATCH($B$10,Players!$A$1:$Y$1,0))*C$10+INDEX(Zawodnicy[],MATCH($A27,Players!$A$2:$A$35,0),MATCH($B$11,Players!$A$1:$Y$1,0))*C$11+INDEX(Zawodnicy[],MATCH($A27,Players!$A$2:$A$35,0),MATCH($B$12,Players!$A$1:$Y$1,0))*C$12+INDEX(Zawodnicy[],MATCH($A27,Players!$A$2:$A$35,0),MATCH($B$13,Players!$A$1:$Y$1,0))*C$13,"-")</f>
        <v>24.03</v>
      </c>
      <c r="D27" s="38">
        <f>IFERROR(INDEX(Zawodnicy[],MATCH($A27,Players!$A$2:$A$35,0),MATCH($B$2,Players!$A$1:$Y$1,0))*D$2+INDEX(Zawodnicy[],MATCH($A27,Players!$A$2:$A$35,0),MATCH($B$3,Players!$A$1:$Y$1,0))*D$3+INDEX(Zawodnicy[],MATCH($A27,Players!$A$2:$A$35,0),MATCH($B$4,Players!$A$1:$Y$1,0))*D$4+INDEX(Zawodnicy[],MATCH($A27,Players!$A$2:$A$35,0),MATCH($B$5,Players!$A$1:$Y$1,0))*D$5+INDEX(Zawodnicy[],MATCH($A27,Players!$A$2:$A$35,0),MATCH($B$6,Players!$A$1:$Y$1,0))*D$6+INDEX(Zawodnicy[],MATCH($A27,Players!$A$2:$A$35,0),MATCH($B$7,Players!$A$1:$Y$1,0))*D$7+INDEX(Zawodnicy[],MATCH($A27,Players!$A$2:$A$35,0),MATCH($B$8,Players!$A$1:$Y$1,0))*D$8+INDEX(Zawodnicy[],MATCH($A27,Players!$A$2:$A$35,0),MATCH($B$9,Players!$A$1:$Y$1,0))*D$9+INDEX(Zawodnicy[],MATCH($A27,Players!$A$2:$A$35,0),MATCH($B$10,Players!$A$1:$Y$1,0))*D$10+INDEX(Zawodnicy[],MATCH($A27,Players!$A$2:$A$35,0),MATCH($B$11,Players!$A$1:$Y$1,0))*D$11+INDEX(Zawodnicy[],MATCH($A27,Players!$A$2:$A$35,0),MATCH($B$12,Players!$A$1:$Y$1,0))*D$12+INDEX(Zawodnicy[],MATCH($A27,Players!$A$2:$A$35,0),MATCH($B$13,Players!$A$1:$Y$1,0))*D$13,"-")</f>
        <v>51.03</v>
      </c>
      <c r="E27" s="38">
        <f>IFERROR(INDEX(Zawodnicy[],MATCH($A27,Players!$A$2:$A$35,0),MATCH($B$2,Players!$A$1:$Y$1,0))*E$2+INDEX(Zawodnicy[],MATCH($A27,Players!$A$2:$A$35,0),MATCH($B$3,Players!$A$1:$Y$1,0))*E$3+INDEX(Zawodnicy[],MATCH($A27,Players!$A$2:$A$35,0),MATCH($B$4,Players!$A$1:$Y$1,0))*E$4+INDEX(Zawodnicy[],MATCH($A27,Players!$A$2:$A$35,0),MATCH($B$5,Players!$A$1:$Y$1,0))*E$5+INDEX(Zawodnicy[],MATCH($A27,Players!$A$2:$A$35,0),MATCH($B$6,Players!$A$1:$Y$1,0))*E$6+INDEX(Zawodnicy[],MATCH($A27,Players!$A$2:$A$35,0),MATCH($B$7,Players!$A$1:$Y$1,0))*E$7+INDEX(Zawodnicy[],MATCH($A27,Players!$A$2:$A$35,0),MATCH($B$8,Players!$A$1:$Y$1,0))*E$8+INDEX(Zawodnicy[],MATCH($A27,Players!$A$2:$A$35,0),MATCH($B$9,Players!$A$1:$Y$1,0))*E$9+INDEX(Zawodnicy[],MATCH($A27,Players!$A$2:$A$35,0),MATCH($B$10,Players!$A$1:$Y$1,0))*E$10+INDEX(Zawodnicy[],MATCH($A27,Players!$A$2:$A$35,0),MATCH($B$11,Players!$A$1:$Y$1,0))*E$11+INDEX(Zawodnicy[],MATCH($A27,Players!$A$2:$A$35,0),MATCH($B$12,Players!$A$1:$Y$1,0))*E$12+INDEX(Zawodnicy[],MATCH($A27,Players!$A$2:$A$35,0),MATCH($B$13,Players!$A$1:$Y$1,0))*E$13,"-")</f>
        <v>51.03</v>
      </c>
      <c r="F27" s="38">
        <f>IFERROR(INDEX(Zawodnicy[],MATCH($A27,Players!$A$2:$A$35,0),MATCH($B$2,Players!$A$1:$Y$1,0))*F$2+INDEX(Zawodnicy[],MATCH($A27,Players!$A$2:$A$35,0),MATCH($B$3,Players!$A$1:$Y$1,0))*F$3+INDEX(Zawodnicy[],MATCH($A27,Players!$A$2:$A$35,0),MATCH($B$4,Players!$A$1:$Y$1,0))*F$4+INDEX(Zawodnicy[],MATCH($A27,Players!$A$2:$A$35,0),MATCH($B$5,Players!$A$1:$Y$1,0))*F$5+INDEX(Zawodnicy[],MATCH($A27,Players!$A$2:$A$35,0),MATCH($B$6,Players!$A$1:$Y$1,0))*F$6+INDEX(Zawodnicy[],MATCH($A27,Players!$A$2:$A$35,0),MATCH($B$7,Players!$A$1:$Y$1,0))*F$7+INDEX(Zawodnicy[],MATCH($A27,Players!$A$2:$A$35,0),MATCH($B$8,Players!$A$1:$Y$1,0))*F$8+INDEX(Zawodnicy[],MATCH($A27,Players!$A$2:$A$35,0),MATCH($B$9,Players!$A$1:$Y$1,0))*F$9+INDEX(Zawodnicy[],MATCH($A27,Players!$A$2:$A$35,0),MATCH($B$10,Players!$A$1:$Y$1,0))*F$10+INDEX(Zawodnicy[],MATCH($A27,Players!$A$2:$A$35,0),MATCH($B$11,Players!$A$1:$Y$1,0))*F$11+INDEX(Zawodnicy[],MATCH($A27,Players!$A$2:$A$35,0),MATCH($B$12,Players!$A$1:$Y$1,0))*F$12+INDEX(Zawodnicy[],MATCH($A27,Players!$A$2:$A$35,0),MATCH($B$13,Players!$A$1:$Y$1,0))*F$13,"-")</f>
        <v>58.28</v>
      </c>
      <c r="G27" s="38">
        <f>IFERROR(INDEX(Zawodnicy[],MATCH($A27,Players!$A$2:$A$35,0),MATCH($B$2,Players!$A$1:$Y$1,0))*G$2+INDEX(Zawodnicy[],MATCH($A27,Players!$A$2:$A$35,0),MATCH($B$3,Players!$A$1:$Y$1,0))*G$3+INDEX(Zawodnicy[],MATCH($A27,Players!$A$2:$A$35,0),MATCH($B$4,Players!$A$1:$Y$1,0))*G$4+INDEX(Zawodnicy[],MATCH($A27,Players!$A$2:$A$35,0),MATCH($B$5,Players!$A$1:$Y$1,0))*G$5+INDEX(Zawodnicy[],MATCH($A27,Players!$A$2:$A$35,0),MATCH($B$6,Players!$A$1:$Y$1,0))*G$6+INDEX(Zawodnicy[],MATCH($A27,Players!$A$2:$A$35,0),MATCH($B$7,Players!$A$1:$Y$1,0))*G$7+INDEX(Zawodnicy[],MATCH($A27,Players!$A$2:$A$35,0),MATCH($B$8,Players!$A$1:$Y$1,0))*G$8+INDEX(Zawodnicy[],MATCH($A27,Players!$A$2:$A$35,0),MATCH($B$9,Players!$A$1:$Y$1,0))*G$9+INDEX(Zawodnicy[],MATCH($A27,Players!$A$2:$A$35,0),MATCH($B$10,Players!$A$1:$Y$1,0))*G$10+INDEX(Zawodnicy[],MATCH($A27,Players!$A$2:$A$35,0),MATCH($B$11,Players!$A$1:$Y$1,0))*G$11+INDEX(Zawodnicy[],MATCH($A27,Players!$A$2:$A$35,0),MATCH($B$12,Players!$A$1:$Y$1,0))*G$12+INDEX(Zawodnicy[],MATCH($A27,Players!$A$2:$A$35,0),MATCH($B$13,Players!$A$1:$Y$1,0))*G$13,"-")</f>
        <v>60.78</v>
      </c>
      <c r="H27" s="38">
        <f>IFERROR(INDEX(Zawodnicy[],MATCH($A27,Players!$A$2:$A$35,0),MATCH($B$2,Players!$A$1:$Y$1,0))*H$2+INDEX(Zawodnicy[],MATCH($A27,Players!$A$2:$A$35,0),MATCH($B$3,Players!$A$1:$Y$1,0))*H$3+INDEX(Zawodnicy[],MATCH($A27,Players!$A$2:$A$35,0),MATCH($B$4,Players!$A$1:$Y$1,0))*H$4+INDEX(Zawodnicy[],MATCH($A27,Players!$A$2:$A$35,0),MATCH($B$5,Players!$A$1:$Y$1,0))*H$5+INDEX(Zawodnicy[],MATCH($A27,Players!$A$2:$A$35,0),MATCH($B$6,Players!$A$1:$Y$1,0))*H$6+INDEX(Zawodnicy[],MATCH($A27,Players!$A$2:$A$35,0),MATCH($B$7,Players!$A$1:$Y$1,0))*H$7+INDEX(Zawodnicy[],MATCH($A27,Players!$A$2:$A$35,0),MATCH($B$8,Players!$A$1:$Y$1,0))*H$8+INDEX(Zawodnicy[],MATCH($A27,Players!$A$2:$A$35,0),MATCH($B$9,Players!$A$1:$Y$1,0))*H$9+INDEX(Zawodnicy[],MATCH($A27,Players!$A$2:$A$35,0),MATCH($B$10,Players!$A$1:$Y$1,0))*H$10+INDEX(Zawodnicy[],MATCH($A27,Players!$A$2:$A$35,0),MATCH($B$11,Players!$A$1:$Y$1,0))*H$11+INDEX(Zawodnicy[],MATCH($A27,Players!$A$2:$A$35,0),MATCH($B$12,Players!$A$1:$Y$1,0))*H$12+INDEX(Zawodnicy[],MATCH($A27,Players!$A$2:$A$35,0),MATCH($B$13,Players!$A$1:$Y$1,0))*H$13,"-")</f>
        <v>60.53</v>
      </c>
      <c r="I27" s="38">
        <f>IFERROR(INDEX(Zawodnicy[],MATCH($A27,Players!$A$2:$A$35,0),MATCH($B$2,Players!$A$1:$Y$1,0))*I$2+INDEX(Zawodnicy[],MATCH($A27,Players!$A$2:$A$35,0),MATCH($B$3,Players!$A$1:$Y$1,0))*I$3+INDEX(Zawodnicy[],MATCH($A27,Players!$A$2:$A$35,0),MATCH($B$4,Players!$A$1:$Y$1,0))*I$4+INDEX(Zawodnicy[],MATCH($A27,Players!$A$2:$A$35,0),MATCH($B$5,Players!$A$1:$Y$1,0))*I$5+INDEX(Zawodnicy[],MATCH($A27,Players!$A$2:$A$35,0),MATCH($B$6,Players!$A$1:$Y$1,0))*I$6+INDEX(Zawodnicy[],MATCH($A27,Players!$A$2:$A$35,0),MATCH($B$7,Players!$A$1:$Y$1,0))*I$7+INDEX(Zawodnicy[],MATCH($A27,Players!$A$2:$A$35,0),MATCH($B$8,Players!$A$1:$Y$1,0))*I$8+INDEX(Zawodnicy[],MATCH($A27,Players!$A$2:$A$35,0),MATCH($B$9,Players!$A$1:$Y$1,0))*I$9+INDEX(Zawodnicy[],MATCH($A27,Players!$A$2:$A$35,0),MATCH($B$10,Players!$A$1:$Y$1,0))*I$10+INDEX(Zawodnicy[],MATCH($A27,Players!$A$2:$A$35,0),MATCH($B$11,Players!$A$1:$Y$1,0))*I$11+INDEX(Zawodnicy[],MATCH($A27,Players!$A$2:$A$35,0),MATCH($B$12,Players!$A$1:$Y$1,0))*I$12+INDEX(Zawodnicy[],MATCH($A27,Players!$A$2:$A$35,0),MATCH($B$13,Players!$A$1:$Y$1,0))*I$13,"-")</f>
        <v>69.03</v>
      </c>
      <c r="J27" s="38">
        <f>IFERROR(INDEX(Zawodnicy[],MATCH($A27,Players!$A$2:$A$35,0),MATCH($B$2,Players!$A$1:$Y$1,0))*J$2+INDEX(Zawodnicy[],MATCH($A27,Players!$A$2:$A$35,0),MATCH($B$3,Players!$A$1:$Y$1,0))*J$3+INDEX(Zawodnicy[],MATCH($A27,Players!$A$2:$A$35,0),MATCH($B$4,Players!$A$1:$Y$1,0))*J$4+INDEX(Zawodnicy[],MATCH($A27,Players!$A$2:$A$35,0),MATCH($B$5,Players!$A$1:$Y$1,0))*J$5+INDEX(Zawodnicy[],MATCH($A27,Players!$A$2:$A$35,0),MATCH($B$6,Players!$A$1:$Y$1,0))*J$6+INDEX(Zawodnicy[],MATCH($A27,Players!$A$2:$A$35,0),MATCH($B$7,Players!$A$1:$Y$1,0))*J$7+INDEX(Zawodnicy[],MATCH($A27,Players!$A$2:$A$35,0),MATCH($B$8,Players!$A$1:$Y$1,0))*J$8+INDEX(Zawodnicy[],MATCH($A27,Players!$A$2:$A$35,0),MATCH($B$9,Players!$A$1:$Y$1,0))*J$9+INDEX(Zawodnicy[],MATCH($A27,Players!$A$2:$A$35,0),MATCH($B$10,Players!$A$1:$Y$1,0))*J$10+INDEX(Zawodnicy[],MATCH($A27,Players!$A$2:$A$35,0),MATCH($B$11,Players!$A$1:$Y$1,0))*J$11+INDEX(Zawodnicy[],MATCH($A27,Players!$A$2:$A$35,0),MATCH($B$12,Players!$A$1:$Y$1,0))*J$12+INDEX(Zawodnicy[],MATCH($A27,Players!$A$2:$A$35,0),MATCH($B$13,Players!$A$1:$Y$1,0))*J$13,"-")</f>
        <v>64.03</v>
      </c>
      <c r="K27" s="38">
        <f>IFERROR(INDEX(Zawodnicy[],MATCH($A27,Players!$A$2:$A$35,0),MATCH($B$2,Players!$A$1:$Y$1,0))*K$2+INDEX(Zawodnicy[],MATCH($A27,Players!$A$2:$A$35,0),MATCH($B$3,Players!$A$1:$Y$1,0))*K$3+INDEX(Zawodnicy[],MATCH($A27,Players!$A$2:$A$35,0),MATCH($B$4,Players!$A$1:$Y$1,0))*K$4+INDEX(Zawodnicy[],MATCH($A27,Players!$A$2:$A$35,0),MATCH($B$5,Players!$A$1:$Y$1,0))*K$5+INDEX(Zawodnicy[],MATCH($A27,Players!$A$2:$A$35,0),MATCH($B$6,Players!$A$1:$Y$1,0))*K$6+INDEX(Zawodnicy[],MATCH($A27,Players!$A$2:$A$35,0),MATCH($B$7,Players!$A$1:$Y$1,0))*K$7+INDEX(Zawodnicy[],MATCH($A27,Players!$A$2:$A$35,0),MATCH($B$8,Players!$A$1:$Y$1,0))*K$8+INDEX(Zawodnicy[],MATCH($A27,Players!$A$2:$A$35,0),MATCH($B$9,Players!$A$1:$Y$1,0))*K$9+INDEX(Zawodnicy[],MATCH($A27,Players!$A$2:$A$35,0),MATCH($B$10,Players!$A$1:$Y$1,0))*K$10+INDEX(Zawodnicy[],MATCH($A27,Players!$A$2:$A$35,0),MATCH($B$11,Players!$A$1:$Y$1,0))*K$11+INDEX(Zawodnicy[],MATCH($A27,Players!$A$2:$A$35,0),MATCH($B$12,Players!$A$1:$Y$1,0))*K$12+INDEX(Zawodnicy[],MATCH($A27,Players!$A$2:$A$35,0),MATCH($B$13,Players!$A$1:$Y$1,0))*K$13,"-")</f>
        <v>77.78</v>
      </c>
    </row>
    <row r="28" spans="1:11" x14ac:dyDescent="0.25">
      <c r="A28" s="63">
        <f>PozycjeŚr[[#This Row],[Numer]]</f>
        <v>11</v>
      </c>
      <c r="B28" s="3" t="str">
        <f>IFERROR(VLOOKUP(PozycjeMG[[#This Row],[Numer]],Zawodnicy[[Number]:[Player name]],2,FALSE),"-")</f>
        <v>Roman Zakrzewski</v>
      </c>
      <c r="C28" s="38">
        <f>IFERROR(INDEX(Zawodnicy[],MATCH($A28,Players!$A$2:$A$35,0),MATCH($B$2,Players!$A$1:$Y$1,0))*C$2+INDEX(Zawodnicy[],MATCH($A28,Players!$A$2:$A$35,0),MATCH($B$3,Players!$A$1:$Y$1,0))*C$3+INDEX(Zawodnicy[],MATCH($A28,Players!$A$2:$A$35,0),MATCH($B$4,Players!$A$1:$Y$1,0))*C$4+INDEX(Zawodnicy[],MATCH($A28,Players!$A$2:$A$35,0),MATCH($B$5,Players!$A$1:$Y$1,0))*C$5+INDEX(Zawodnicy[],MATCH($A28,Players!$A$2:$A$35,0),MATCH($B$6,Players!$A$1:$Y$1,0))*C$6+INDEX(Zawodnicy[],MATCH($A28,Players!$A$2:$A$35,0),MATCH($B$7,Players!$A$1:$Y$1,0))*C$7+INDEX(Zawodnicy[],MATCH($A28,Players!$A$2:$A$35,0),MATCH($B$8,Players!$A$1:$Y$1,0))*C$8+INDEX(Zawodnicy[],MATCH($A28,Players!$A$2:$A$35,0),MATCH($B$9,Players!$A$1:$Y$1,0))*C$9+INDEX(Zawodnicy[],MATCH($A28,Players!$A$2:$A$35,0),MATCH($B$10,Players!$A$1:$Y$1,0))*C$10+INDEX(Zawodnicy[],MATCH($A28,Players!$A$2:$A$35,0),MATCH($B$11,Players!$A$1:$Y$1,0))*C$11+INDEX(Zawodnicy[],MATCH($A28,Players!$A$2:$A$35,0),MATCH($B$12,Players!$A$1:$Y$1,0))*C$12+INDEX(Zawodnicy[],MATCH($A28,Players!$A$2:$A$35,0),MATCH($B$13,Players!$A$1:$Y$1,0))*C$13,"-")</f>
        <v>29</v>
      </c>
      <c r="D28" s="38">
        <f>IFERROR(INDEX(Zawodnicy[],MATCH($A28,Players!$A$2:$A$35,0),MATCH($B$2,Players!$A$1:$Y$1,0))*D$2+INDEX(Zawodnicy[],MATCH($A28,Players!$A$2:$A$35,0),MATCH($B$3,Players!$A$1:$Y$1,0))*D$3+INDEX(Zawodnicy[],MATCH($A28,Players!$A$2:$A$35,0),MATCH($B$4,Players!$A$1:$Y$1,0))*D$4+INDEX(Zawodnicy[],MATCH($A28,Players!$A$2:$A$35,0),MATCH($B$5,Players!$A$1:$Y$1,0))*D$5+INDEX(Zawodnicy[],MATCH($A28,Players!$A$2:$A$35,0),MATCH($B$6,Players!$A$1:$Y$1,0))*D$6+INDEX(Zawodnicy[],MATCH($A28,Players!$A$2:$A$35,0),MATCH($B$7,Players!$A$1:$Y$1,0))*D$7+INDEX(Zawodnicy[],MATCH($A28,Players!$A$2:$A$35,0),MATCH($B$8,Players!$A$1:$Y$1,0))*D$8+INDEX(Zawodnicy[],MATCH($A28,Players!$A$2:$A$35,0),MATCH($B$9,Players!$A$1:$Y$1,0))*D$9+INDEX(Zawodnicy[],MATCH($A28,Players!$A$2:$A$35,0),MATCH($B$10,Players!$A$1:$Y$1,0))*D$10+INDEX(Zawodnicy[],MATCH($A28,Players!$A$2:$A$35,0),MATCH($B$11,Players!$A$1:$Y$1,0))*D$11+INDEX(Zawodnicy[],MATCH($A28,Players!$A$2:$A$35,0),MATCH($B$12,Players!$A$1:$Y$1,0))*D$12+INDEX(Zawodnicy[],MATCH($A28,Players!$A$2:$A$35,0),MATCH($B$13,Players!$A$1:$Y$1,0))*D$13,"-")</f>
        <v>56</v>
      </c>
      <c r="E28" s="38">
        <f>IFERROR(INDEX(Zawodnicy[],MATCH($A28,Players!$A$2:$A$35,0),MATCH($B$2,Players!$A$1:$Y$1,0))*E$2+INDEX(Zawodnicy[],MATCH($A28,Players!$A$2:$A$35,0),MATCH($B$3,Players!$A$1:$Y$1,0))*E$3+INDEX(Zawodnicy[],MATCH($A28,Players!$A$2:$A$35,0),MATCH($B$4,Players!$A$1:$Y$1,0))*E$4+INDEX(Zawodnicy[],MATCH($A28,Players!$A$2:$A$35,0),MATCH($B$5,Players!$A$1:$Y$1,0))*E$5+INDEX(Zawodnicy[],MATCH($A28,Players!$A$2:$A$35,0),MATCH($B$6,Players!$A$1:$Y$1,0))*E$6+INDEX(Zawodnicy[],MATCH($A28,Players!$A$2:$A$35,0),MATCH($B$7,Players!$A$1:$Y$1,0))*E$7+INDEX(Zawodnicy[],MATCH($A28,Players!$A$2:$A$35,0),MATCH($B$8,Players!$A$1:$Y$1,0))*E$8+INDEX(Zawodnicy[],MATCH($A28,Players!$A$2:$A$35,0),MATCH($B$9,Players!$A$1:$Y$1,0))*E$9+INDEX(Zawodnicy[],MATCH($A28,Players!$A$2:$A$35,0),MATCH($B$10,Players!$A$1:$Y$1,0))*E$10+INDEX(Zawodnicy[],MATCH($A28,Players!$A$2:$A$35,0),MATCH($B$11,Players!$A$1:$Y$1,0))*E$11+INDEX(Zawodnicy[],MATCH($A28,Players!$A$2:$A$35,0),MATCH($B$12,Players!$A$1:$Y$1,0))*E$12+INDEX(Zawodnicy[],MATCH($A28,Players!$A$2:$A$35,0),MATCH($B$13,Players!$A$1:$Y$1,0))*E$13,"-")</f>
        <v>56.25</v>
      </c>
      <c r="F28" s="38">
        <f>IFERROR(INDEX(Zawodnicy[],MATCH($A28,Players!$A$2:$A$35,0),MATCH($B$2,Players!$A$1:$Y$1,0))*F$2+INDEX(Zawodnicy[],MATCH($A28,Players!$A$2:$A$35,0),MATCH($B$3,Players!$A$1:$Y$1,0))*F$3+INDEX(Zawodnicy[],MATCH($A28,Players!$A$2:$A$35,0),MATCH($B$4,Players!$A$1:$Y$1,0))*F$4+INDEX(Zawodnicy[],MATCH($A28,Players!$A$2:$A$35,0),MATCH($B$5,Players!$A$1:$Y$1,0))*F$5+INDEX(Zawodnicy[],MATCH($A28,Players!$A$2:$A$35,0),MATCH($B$6,Players!$A$1:$Y$1,0))*F$6+INDEX(Zawodnicy[],MATCH($A28,Players!$A$2:$A$35,0),MATCH($B$7,Players!$A$1:$Y$1,0))*F$7+INDEX(Zawodnicy[],MATCH($A28,Players!$A$2:$A$35,0),MATCH($B$8,Players!$A$1:$Y$1,0))*F$8+INDEX(Zawodnicy[],MATCH($A28,Players!$A$2:$A$35,0),MATCH($B$9,Players!$A$1:$Y$1,0))*F$9+INDEX(Zawodnicy[],MATCH($A28,Players!$A$2:$A$35,0),MATCH($B$10,Players!$A$1:$Y$1,0))*F$10+INDEX(Zawodnicy[],MATCH($A28,Players!$A$2:$A$35,0),MATCH($B$11,Players!$A$1:$Y$1,0))*F$11+INDEX(Zawodnicy[],MATCH($A28,Players!$A$2:$A$35,0),MATCH($B$12,Players!$A$1:$Y$1,0))*F$12+INDEX(Zawodnicy[],MATCH($A28,Players!$A$2:$A$35,0),MATCH($B$13,Players!$A$1:$Y$1,0))*F$13,"-")</f>
        <v>64</v>
      </c>
      <c r="G28" s="38">
        <f>IFERROR(INDEX(Zawodnicy[],MATCH($A28,Players!$A$2:$A$35,0),MATCH($B$2,Players!$A$1:$Y$1,0))*G$2+INDEX(Zawodnicy[],MATCH($A28,Players!$A$2:$A$35,0),MATCH($B$3,Players!$A$1:$Y$1,0))*G$3+INDEX(Zawodnicy[],MATCH($A28,Players!$A$2:$A$35,0),MATCH($B$4,Players!$A$1:$Y$1,0))*G$4+INDEX(Zawodnicy[],MATCH($A28,Players!$A$2:$A$35,0),MATCH($B$5,Players!$A$1:$Y$1,0))*G$5+INDEX(Zawodnicy[],MATCH($A28,Players!$A$2:$A$35,0),MATCH($B$6,Players!$A$1:$Y$1,0))*G$6+INDEX(Zawodnicy[],MATCH($A28,Players!$A$2:$A$35,0),MATCH($B$7,Players!$A$1:$Y$1,0))*G$7+INDEX(Zawodnicy[],MATCH($A28,Players!$A$2:$A$35,0),MATCH($B$8,Players!$A$1:$Y$1,0))*G$8+INDEX(Zawodnicy[],MATCH($A28,Players!$A$2:$A$35,0),MATCH($B$9,Players!$A$1:$Y$1,0))*G$9+INDEX(Zawodnicy[],MATCH($A28,Players!$A$2:$A$35,0),MATCH($B$10,Players!$A$1:$Y$1,0))*G$10+INDEX(Zawodnicy[],MATCH($A28,Players!$A$2:$A$35,0),MATCH($B$11,Players!$A$1:$Y$1,0))*G$11+INDEX(Zawodnicy[],MATCH($A28,Players!$A$2:$A$35,0),MATCH($B$12,Players!$A$1:$Y$1,0))*G$12+INDEX(Zawodnicy[],MATCH($A28,Players!$A$2:$A$35,0),MATCH($B$13,Players!$A$1:$Y$1,0))*G$13,"-")</f>
        <v>69.5</v>
      </c>
      <c r="H28" s="38">
        <f>IFERROR(INDEX(Zawodnicy[],MATCH($A28,Players!$A$2:$A$35,0),MATCH($B$2,Players!$A$1:$Y$1,0))*H$2+INDEX(Zawodnicy[],MATCH($A28,Players!$A$2:$A$35,0),MATCH($B$3,Players!$A$1:$Y$1,0))*H$3+INDEX(Zawodnicy[],MATCH($A28,Players!$A$2:$A$35,0),MATCH($B$4,Players!$A$1:$Y$1,0))*H$4+INDEX(Zawodnicy[],MATCH($A28,Players!$A$2:$A$35,0),MATCH($B$5,Players!$A$1:$Y$1,0))*H$5+INDEX(Zawodnicy[],MATCH($A28,Players!$A$2:$A$35,0),MATCH($B$6,Players!$A$1:$Y$1,0))*H$6+INDEX(Zawodnicy[],MATCH($A28,Players!$A$2:$A$35,0),MATCH($B$7,Players!$A$1:$Y$1,0))*H$7+INDEX(Zawodnicy[],MATCH($A28,Players!$A$2:$A$35,0),MATCH($B$8,Players!$A$1:$Y$1,0))*H$8+INDEX(Zawodnicy[],MATCH($A28,Players!$A$2:$A$35,0),MATCH($B$9,Players!$A$1:$Y$1,0))*H$9+INDEX(Zawodnicy[],MATCH($A28,Players!$A$2:$A$35,0),MATCH($B$10,Players!$A$1:$Y$1,0))*H$10+INDEX(Zawodnicy[],MATCH($A28,Players!$A$2:$A$35,0),MATCH($B$11,Players!$A$1:$Y$1,0))*H$11+INDEX(Zawodnicy[],MATCH($A28,Players!$A$2:$A$35,0),MATCH($B$12,Players!$A$1:$Y$1,0))*H$12+INDEX(Zawodnicy[],MATCH($A28,Players!$A$2:$A$35,0),MATCH($B$13,Players!$A$1:$Y$1,0))*H$13,"-")</f>
        <v>66.5</v>
      </c>
      <c r="I28" s="38">
        <f>IFERROR(INDEX(Zawodnicy[],MATCH($A28,Players!$A$2:$A$35,0),MATCH($B$2,Players!$A$1:$Y$1,0))*I$2+INDEX(Zawodnicy[],MATCH($A28,Players!$A$2:$A$35,0),MATCH($B$3,Players!$A$1:$Y$1,0))*I$3+INDEX(Zawodnicy[],MATCH($A28,Players!$A$2:$A$35,0),MATCH($B$4,Players!$A$1:$Y$1,0))*I$4+INDEX(Zawodnicy[],MATCH($A28,Players!$A$2:$A$35,0),MATCH($B$5,Players!$A$1:$Y$1,0))*I$5+INDEX(Zawodnicy[],MATCH($A28,Players!$A$2:$A$35,0),MATCH($B$6,Players!$A$1:$Y$1,0))*I$6+INDEX(Zawodnicy[],MATCH($A28,Players!$A$2:$A$35,0),MATCH($B$7,Players!$A$1:$Y$1,0))*I$7+INDEX(Zawodnicy[],MATCH($A28,Players!$A$2:$A$35,0),MATCH($B$8,Players!$A$1:$Y$1,0))*I$8+INDEX(Zawodnicy[],MATCH($A28,Players!$A$2:$A$35,0),MATCH($B$9,Players!$A$1:$Y$1,0))*I$9+INDEX(Zawodnicy[],MATCH($A28,Players!$A$2:$A$35,0),MATCH($B$10,Players!$A$1:$Y$1,0))*I$10+INDEX(Zawodnicy[],MATCH($A28,Players!$A$2:$A$35,0),MATCH($B$11,Players!$A$1:$Y$1,0))*I$11+INDEX(Zawodnicy[],MATCH($A28,Players!$A$2:$A$35,0),MATCH($B$12,Players!$A$1:$Y$1,0))*I$12+INDEX(Zawodnicy[],MATCH($A28,Players!$A$2:$A$35,0),MATCH($B$13,Players!$A$1:$Y$1,0))*I$13,"-")</f>
        <v>71</v>
      </c>
      <c r="J28" s="38">
        <f>IFERROR(INDEX(Zawodnicy[],MATCH($A28,Players!$A$2:$A$35,0),MATCH($B$2,Players!$A$1:$Y$1,0))*J$2+INDEX(Zawodnicy[],MATCH($A28,Players!$A$2:$A$35,0),MATCH($B$3,Players!$A$1:$Y$1,0))*J$3+INDEX(Zawodnicy[],MATCH($A28,Players!$A$2:$A$35,0),MATCH($B$4,Players!$A$1:$Y$1,0))*J$4+INDEX(Zawodnicy[],MATCH($A28,Players!$A$2:$A$35,0),MATCH($B$5,Players!$A$1:$Y$1,0))*J$5+INDEX(Zawodnicy[],MATCH($A28,Players!$A$2:$A$35,0),MATCH($B$6,Players!$A$1:$Y$1,0))*J$6+INDEX(Zawodnicy[],MATCH($A28,Players!$A$2:$A$35,0),MATCH($B$7,Players!$A$1:$Y$1,0))*J$7+INDEX(Zawodnicy[],MATCH($A28,Players!$A$2:$A$35,0),MATCH($B$8,Players!$A$1:$Y$1,0))*J$8+INDEX(Zawodnicy[],MATCH($A28,Players!$A$2:$A$35,0),MATCH($B$9,Players!$A$1:$Y$1,0))*J$9+INDEX(Zawodnicy[],MATCH($A28,Players!$A$2:$A$35,0),MATCH($B$10,Players!$A$1:$Y$1,0))*J$10+INDEX(Zawodnicy[],MATCH($A28,Players!$A$2:$A$35,0),MATCH($B$11,Players!$A$1:$Y$1,0))*J$11+INDEX(Zawodnicy[],MATCH($A28,Players!$A$2:$A$35,0),MATCH($B$12,Players!$A$1:$Y$1,0))*J$12+INDEX(Zawodnicy[],MATCH($A28,Players!$A$2:$A$35,0),MATCH($B$13,Players!$A$1:$Y$1,0))*J$13,"-")</f>
        <v>68.25</v>
      </c>
      <c r="K28" s="38">
        <f>IFERROR(INDEX(Zawodnicy[],MATCH($A28,Players!$A$2:$A$35,0),MATCH($B$2,Players!$A$1:$Y$1,0))*K$2+INDEX(Zawodnicy[],MATCH($A28,Players!$A$2:$A$35,0),MATCH($B$3,Players!$A$1:$Y$1,0))*K$3+INDEX(Zawodnicy[],MATCH($A28,Players!$A$2:$A$35,0),MATCH($B$4,Players!$A$1:$Y$1,0))*K$4+INDEX(Zawodnicy[],MATCH($A28,Players!$A$2:$A$35,0),MATCH($B$5,Players!$A$1:$Y$1,0))*K$5+INDEX(Zawodnicy[],MATCH($A28,Players!$A$2:$A$35,0),MATCH($B$6,Players!$A$1:$Y$1,0))*K$6+INDEX(Zawodnicy[],MATCH($A28,Players!$A$2:$A$35,0),MATCH($B$7,Players!$A$1:$Y$1,0))*K$7+INDEX(Zawodnicy[],MATCH($A28,Players!$A$2:$A$35,0),MATCH($B$8,Players!$A$1:$Y$1,0))*K$8+INDEX(Zawodnicy[],MATCH($A28,Players!$A$2:$A$35,0),MATCH($B$9,Players!$A$1:$Y$1,0))*K$9+INDEX(Zawodnicy[],MATCH($A28,Players!$A$2:$A$35,0),MATCH($B$10,Players!$A$1:$Y$1,0))*K$10+INDEX(Zawodnicy[],MATCH($A28,Players!$A$2:$A$35,0),MATCH($B$11,Players!$A$1:$Y$1,0))*K$11+INDEX(Zawodnicy[],MATCH($A28,Players!$A$2:$A$35,0),MATCH($B$12,Players!$A$1:$Y$1,0))*K$12+INDEX(Zawodnicy[],MATCH($A28,Players!$A$2:$A$35,0),MATCH($B$13,Players!$A$1:$Y$1,0))*K$13,"-")</f>
        <v>68</v>
      </c>
    </row>
    <row r="29" spans="1:11" x14ac:dyDescent="0.25">
      <c r="A29" s="63">
        <f>PozycjeŚr[[#This Row],[Numer]]</f>
        <v>13</v>
      </c>
      <c r="B29" s="3" t="str">
        <f>IFERROR(VLOOKUP(PozycjeMG[[#This Row],[Numer]],Zawodnicy[[Number]:[Player name]],2,FALSE),"-")</f>
        <v>Ksawery Jurgiel</v>
      </c>
      <c r="C29" s="38">
        <f>IFERROR(INDEX(Zawodnicy[],MATCH($A29,Players!$A$2:$A$35,0),MATCH($B$2,Players!$A$1:$Y$1,0))*C$2+INDEX(Zawodnicy[],MATCH($A29,Players!$A$2:$A$35,0),MATCH($B$3,Players!$A$1:$Y$1,0))*C$3+INDEX(Zawodnicy[],MATCH($A29,Players!$A$2:$A$35,0),MATCH($B$4,Players!$A$1:$Y$1,0))*C$4+INDEX(Zawodnicy[],MATCH($A29,Players!$A$2:$A$35,0),MATCH($B$5,Players!$A$1:$Y$1,0))*C$5+INDEX(Zawodnicy[],MATCH($A29,Players!$A$2:$A$35,0),MATCH($B$6,Players!$A$1:$Y$1,0))*C$6+INDEX(Zawodnicy[],MATCH($A29,Players!$A$2:$A$35,0),MATCH($B$7,Players!$A$1:$Y$1,0))*C$7+INDEX(Zawodnicy[],MATCH($A29,Players!$A$2:$A$35,0),MATCH($B$8,Players!$A$1:$Y$1,0))*C$8+INDEX(Zawodnicy[],MATCH($A29,Players!$A$2:$A$35,0),MATCH($B$9,Players!$A$1:$Y$1,0))*C$9+INDEX(Zawodnicy[],MATCH($A29,Players!$A$2:$A$35,0),MATCH($B$10,Players!$A$1:$Y$1,0))*C$10+INDEX(Zawodnicy[],MATCH($A29,Players!$A$2:$A$35,0),MATCH($B$11,Players!$A$1:$Y$1,0))*C$11+INDEX(Zawodnicy[],MATCH($A29,Players!$A$2:$A$35,0),MATCH($B$12,Players!$A$1:$Y$1,0))*C$12+INDEX(Zawodnicy[],MATCH($A29,Players!$A$2:$A$35,0),MATCH($B$13,Players!$A$1:$Y$1,0))*C$13,"-")</f>
        <v>35.010000000000005</v>
      </c>
      <c r="D29" s="38">
        <f>IFERROR(INDEX(Zawodnicy[],MATCH($A29,Players!$A$2:$A$35,0),MATCH($B$2,Players!$A$1:$Y$1,0))*D$2+INDEX(Zawodnicy[],MATCH($A29,Players!$A$2:$A$35,0),MATCH($B$3,Players!$A$1:$Y$1,0))*D$3+INDEX(Zawodnicy[],MATCH($A29,Players!$A$2:$A$35,0),MATCH($B$4,Players!$A$1:$Y$1,0))*D$4+INDEX(Zawodnicy[],MATCH($A29,Players!$A$2:$A$35,0),MATCH($B$5,Players!$A$1:$Y$1,0))*D$5+INDEX(Zawodnicy[],MATCH($A29,Players!$A$2:$A$35,0),MATCH($B$6,Players!$A$1:$Y$1,0))*D$6+INDEX(Zawodnicy[],MATCH($A29,Players!$A$2:$A$35,0),MATCH($B$7,Players!$A$1:$Y$1,0))*D$7+INDEX(Zawodnicy[],MATCH($A29,Players!$A$2:$A$35,0),MATCH($B$8,Players!$A$1:$Y$1,0))*D$8+INDEX(Zawodnicy[],MATCH($A29,Players!$A$2:$A$35,0),MATCH($B$9,Players!$A$1:$Y$1,0))*D$9+INDEX(Zawodnicy[],MATCH($A29,Players!$A$2:$A$35,0),MATCH($B$10,Players!$A$1:$Y$1,0))*D$10+INDEX(Zawodnicy[],MATCH($A29,Players!$A$2:$A$35,0),MATCH($B$11,Players!$A$1:$Y$1,0))*D$11+INDEX(Zawodnicy[],MATCH($A29,Players!$A$2:$A$35,0),MATCH($B$12,Players!$A$1:$Y$1,0))*D$12+INDEX(Zawodnicy[],MATCH($A29,Players!$A$2:$A$35,0),MATCH($B$13,Players!$A$1:$Y$1,0))*D$13,"-")</f>
        <v>72.760000000000005</v>
      </c>
      <c r="E29" s="38">
        <f>IFERROR(INDEX(Zawodnicy[],MATCH($A29,Players!$A$2:$A$35,0),MATCH($B$2,Players!$A$1:$Y$1,0))*E$2+INDEX(Zawodnicy[],MATCH($A29,Players!$A$2:$A$35,0),MATCH($B$3,Players!$A$1:$Y$1,0))*E$3+INDEX(Zawodnicy[],MATCH($A29,Players!$A$2:$A$35,0),MATCH($B$4,Players!$A$1:$Y$1,0))*E$4+INDEX(Zawodnicy[],MATCH($A29,Players!$A$2:$A$35,0),MATCH($B$5,Players!$A$1:$Y$1,0))*E$5+INDEX(Zawodnicy[],MATCH($A29,Players!$A$2:$A$35,0),MATCH($B$6,Players!$A$1:$Y$1,0))*E$6+INDEX(Zawodnicy[],MATCH($A29,Players!$A$2:$A$35,0),MATCH($B$7,Players!$A$1:$Y$1,0))*E$7+INDEX(Zawodnicy[],MATCH($A29,Players!$A$2:$A$35,0),MATCH($B$8,Players!$A$1:$Y$1,0))*E$8+INDEX(Zawodnicy[],MATCH($A29,Players!$A$2:$A$35,0),MATCH($B$9,Players!$A$1:$Y$1,0))*E$9+INDEX(Zawodnicy[],MATCH($A29,Players!$A$2:$A$35,0),MATCH($B$10,Players!$A$1:$Y$1,0))*E$10+INDEX(Zawodnicy[],MATCH($A29,Players!$A$2:$A$35,0),MATCH($B$11,Players!$A$1:$Y$1,0))*E$11+INDEX(Zawodnicy[],MATCH($A29,Players!$A$2:$A$35,0),MATCH($B$12,Players!$A$1:$Y$1,0))*E$12+INDEX(Zawodnicy[],MATCH($A29,Players!$A$2:$A$35,0),MATCH($B$13,Players!$A$1:$Y$1,0))*E$13,"-")</f>
        <v>76.510000000000005</v>
      </c>
      <c r="F29" s="38">
        <f>IFERROR(INDEX(Zawodnicy[],MATCH($A29,Players!$A$2:$A$35,0),MATCH($B$2,Players!$A$1:$Y$1,0))*F$2+INDEX(Zawodnicy[],MATCH($A29,Players!$A$2:$A$35,0),MATCH($B$3,Players!$A$1:$Y$1,0))*F$3+INDEX(Zawodnicy[],MATCH($A29,Players!$A$2:$A$35,0),MATCH($B$4,Players!$A$1:$Y$1,0))*F$4+INDEX(Zawodnicy[],MATCH($A29,Players!$A$2:$A$35,0),MATCH($B$5,Players!$A$1:$Y$1,0))*F$5+INDEX(Zawodnicy[],MATCH($A29,Players!$A$2:$A$35,0),MATCH($B$6,Players!$A$1:$Y$1,0))*F$6+INDEX(Zawodnicy[],MATCH($A29,Players!$A$2:$A$35,0),MATCH($B$7,Players!$A$1:$Y$1,0))*F$7+INDEX(Zawodnicy[],MATCH($A29,Players!$A$2:$A$35,0),MATCH($B$8,Players!$A$1:$Y$1,0))*F$8+INDEX(Zawodnicy[],MATCH($A29,Players!$A$2:$A$35,0),MATCH($B$9,Players!$A$1:$Y$1,0))*F$9+INDEX(Zawodnicy[],MATCH($A29,Players!$A$2:$A$35,0),MATCH($B$10,Players!$A$1:$Y$1,0))*F$10+INDEX(Zawodnicy[],MATCH($A29,Players!$A$2:$A$35,0),MATCH($B$11,Players!$A$1:$Y$1,0))*F$11+INDEX(Zawodnicy[],MATCH($A29,Players!$A$2:$A$35,0),MATCH($B$12,Players!$A$1:$Y$1,0))*F$12+INDEX(Zawodnicy[],MATCH($A29,Players!$A$2:$A$35,0),MATCH($B$13,Players!$A$1:$Y$1,0))*F$13,"-")</f>
        <v>74.010000000000005</v>
      </c>
      <c r="G29" s="38">
        <f>IFERROR(INDEX(Zawodnicy[],MATCH($A29,Players!$A$2:$A$35,0),MATCH($B$2,Players!$A$1:$Y$1,0))*G$2+INDEX(Zawodnicy[],MATCH($A29,Players!$A$2:$A$35,0),MATCH($B$3,Players!$A$1:$Y$1,0))*G$3+INDEX(Zawodnicy[],MATCH($A29,Players!$A$2:$A$35,0),MATCH($B$4,Players!$A$1:$Y$1,0))*G$4+INDEX(Zawodnicy[],MATCH($A29,Players!$A$2:$A$35,0),MATCH($B$5,Players!$A$1:$Y$1,0))*G$5+INDEX(Zawodnicy[],MATCH($A29,Players!$A$2:$A$35,0),MATCH($B$6,Players!$A$1:$Y$1,0))*G$6+INDEX(Zawodnicy[],MATCH($A29,Players!$A$2:$A$35,0),MATCH($B$7,Players!$A$1:$Y$1,0))*G$7+INDEX(Zawodnicy[],MATCH($A29,Players!$A$2:$A$35,0),MATCH($B$8,Players!$A$1:$Y$1,0))*G$8+INDEX(Zawodnicy[],MATCH($A29,Players!$A$2:$A$35,0),MATCH($B$9,Players!$A$1:$Y$1,0))*G$9+INDEX(Zawodnicy[],MATCH($A29,Players!$A$2:$A$35,0),MATCH($B$10,Players!$A$1:$Y$1,0))*G$10+INDEX(Zawodnicy[],MATCH($A29,Players!$A$2:$A$35,0),MATCH($B$11,Players!$A$1:$Y$1,0))*G$11+INDEX(Zawodnicy[],MATCH($A29,Players!$A$2:$A$35,0),MATCH($B$12,Players!$A$1:$Y$1,0))*G$12+INDEX(Zawodnicy[],MATCH($A29,Players!$A$2:$A$35,0),MATCH($B$13,Players!$A$1:$Y$1,0))*G$13,"-")</f>
        <v>77.010000000000005</v>
      </c>
      <c r="H29" s="38">
        <f>IFERROR(INDEX(Zawodnicy[],MATCH($A29,Players!$A$2:$A$35,0),MATCH($B$2,Players!$A$1:$Y$1,0))*H$2+INDEX(Zawodnicy[],MATCH($A29,Players!$A$2:$A$35,0),MATCH($B$3,Players!$A$1:$Y$1,0))*H$3+INDEX(Zawodnicy[],MATCH($A29,Players!$A$2:$A$35,0),MATCH($B$4,Players!$A$1:$Y$1,0))*H$4+INDEX(Zawodnicy[],MATCH($A29,Players!$A$2:$A$35,0),MATCH($B$5,Players!$A$1:$Y$1,0))*H$5+INDEX(Zawodnicy[],MATCH($A29,Players!$A$2:$A$35,0),MATCH($B$6,Players!$A$1:$Y$1,0))*H$6+INDEX(Zawodnicy[],MATCH($A29,Players!$A$2:$A$35,0),MATCH($B$7,Players!$A$1:$Y$1,0))*H$7+INDEX(Zawodnicy[],MATCH($A29,Players!$A$2:$A$35,0),MATCH($B$8,Players!$A$1:$Y$1,0))*H$8+INDEX(Zawodnicy[],MATCH($A29,Players!$A$2:$A$35,0),MATCH($B$9,Players!$A$1:$Y$1,0))*H$9+INDEX(Zawodnicy[],MATCH($A29,Players!$A$2:$A$35,0),MATCH($B$10,Players!$A$1:$Y$1,0))*H$10+INDEX(Zawodnicy[],MATCH($A29,Players!$A$2:$A$35,0),MATCH($B$11,Players!$A$1:$Y$1,0))*H$11+INDEX(Zawodnicy[],MATCH($A29,Players!$A$2:$A$35,0),MATCH($B$12,Players!$A$1:$Y$1,0))*H$12+INDEX(Zawodnicy[],MATCH($A29,Players!$A$2:$A$35,0),MATCH($B$13,Players!$A$1:$Y$1,0))*H$13,"-")</f>
        <v>78.010000000000005</v>
      </c>
      <c r="I29" s="38">
        <f>IFERROR(INDEX(Zawodnicy[],MATCH($A29,Players!$A$2:$A$35,0),MATCH($B$2,Players!$A$1:$Y$1,0))*I$2+INDEX(Zawodnicy[],MATCH($A29,Players!$A$2:$A$35,0),MATCH($B$3,Players!$A$1:$Y$1,0))*I$3+INDEX(Zawodnicy[],MATCH($A29,Players!$A$2:$A$35,0),MATCH($B$4,Players!$A$1:$Y$1,0))*I$4+INDEX(Zawodnicy[],MATCH($A29,Players!$A$2:$A$35,0),MATCH($B$5,Players!$A$1:$Y$1,0))*I$5+INDEX(Zawodnicy[],MATCH($A29,Players!$A$2:$A$35,0),MATCH($B$6,Players!$A$1:$Y$1,0))*I$6+INDEX(Zawodnicy[],MATCH($A29,Players!$A$2:$A$35,0),MATCH($B$7,Players!$A$1:$Y$1,0))*I$7+INDEX(Zawodnicy[],MATCH($A29,Players!$A$2:$A$35,0),MATCH($B$8,Players!$A$1:$Y$1,0))*I$8+INDEX(Zawodnicy[],MATCH($A29,Players!$A$2:$A$35,0),MATCH($B$9,Players!$A$1:$Y$1,0))*I$9+INDEX(Zawodnicy[],MATCH($A29,Players!$A$2:$A$35,0),MATCH($B$10,Players!$A$1:$Y$1,0))*I$10+INDEX(Zawodnicy[],MATCH($A29,Players!$A$2:$A$35,0),MATCH($B$11,Players!$A$1:$Y$1,0))*I$11+INDEX(Zawodnicy[],MATCH($A29,Players!$A$2:$A$35,0),MATCH($B$12,Players!$A$1:$Y$1,0))*I$12+INDEX(Zawodnicy[],MATCH($A29,Players!$A$2:$A$35,0),MATCH($B$13,Players!$A$1:$Y$1,0))*I$13,"-")</f>
        <v>73.010000000000005</v>
      </c>
      <c r="J29" s="38">
        <f>IFERROR(INDEX(Zawodnicy[],MATCH($A29,Players!$A$2:$A$35,0),MATCH($B$2,Players!$A$1:$Y$1,0))*J$2+INDEX(Zawodnicy[],MATCH($A29,Players!$A$2:$A$35,0),MATCH($B$3,Players!$A$1:$Y$1,0))*J$3+INDEX(Zawodnicy[],MATCH($A29,Players!$A$2:$A$35,0),MATCH($B$4,Players!$A$1:$Y$1,0))*J$4+INDEX(Zawodnicy[],MATCH($A29,Players!$A$2:$A$35,0),MATCH($B$5,Players!$A$1:$Y$1,0))*J$5+INDEX(Zawodnicy[],MATCH($A29,Players!$A$2:$A$35,0),MATCH($B$6,Players!$A$1:$Y$1,0))*J$6+INDEX(Zawodnicy[],MATCH($A29,Players!$A$2:$A$35,0),MATCH($B$7,Players!$A$1:$Y$1,0))*J$7+INDEX(Zawodnicy[],MATCH($A29,Players!$A$2:$A$35,0),MATCH($B$8,Players!$A$1:$Y$1,0))*J$8+INDEX(Zawodnicy[],MATCH($A29,Players!$A$2:$A$35,0),MATCH($B$9,Players!$A$1:$Y$1,0))*J$9+INDEX(Zawodnicy[],MATCH($A29,Players!$A$2:$A$35,0),MATCH($B$10,Players!$A$1:$Y$1,0))*J$10+INDEX(Zawodnicy[],MATCH($A29,Players!$A$2:$A$35,0),MATCH($B$11,Players!$A$1:$Y$1,0))*J$11+INDEX(Zawodnicy[],MATCH($A29,Players!$A$2:$A$35,0),MATCH($B$12,Players!$A$1:$Y$1,0))*J$12+INDEX(Zawodnicy[],MATCH($A29,Players!$A$2:$A$35,0),MATCH($B$13,Players!$A$1:$Y$1,0))*J$13,"-")</f>
        <v>74.260000000000005</v>
      </c>
      <c r="K29" s="38">
        <f>IFERROR(INDEX(Zawodnicy[],MATCH($A29,Players!$A$2:$A$35,0),MATCH($B$2,Players!$A$1:$Y$1,0))*K$2+INDEX(Zawodnicy[],MATCH($A29,Players!$A$2:$A$35,0),MATCH($B$3,Players!$A$1:$Y$1,0))*K$3+INDEX(Zawodnicy[],MATCH($A29,Players!$A$2:$A$35,0),MATCH($B$4,Players!$A$1:$Y$1,0))*K$4+INDEX(Zawodnicy[],MATCH($A29,Players!$A$2:$A$35,0),MATCH($B$5,Players!$A$1:$Y$1,0))*K$5+INDEX(Zawodnicy[],MATCH($A29,Players!$A$2:$A$35,0),MATCH($B$6,Players!$A$1:$Y$1,0))*K$6+INDEX(Zawodnicy[],MATCH($A29,Players!$A$2:$A$35,0),MATCH($B$7,Players!$A$1:$Y$1,0))*K$7+INDEX(Zawodnicy[],MATCH($A29,Players!$A$2:$A$35,0),MATCH($B$8,Players!$A$1:$Y$1,0))*K$8+INDEX(Zawodnicy[],MATCH($A29,Players!$A$2:$A$35,0),MATCH($B$9,Players!$A$1:$Y$1,0))*K$9+INDEX(Zawodnicy[],MATCH($A29,Players!$A$2:$A$35,0),MATCH($B$10,Players!$A$1:$Y$1,0))*K$10+INDEX(Zawodnicy[],MATCH($A29,Players!$A$2:$A$35,0),MATCH($B$11,Players!$A$1:$Y$1,0))*K$11+INDEX(Zawodnicy[],MATCH($A29,Players!$A$2:$A$35,0),MATCH($B$12,Players!$A$1:$Y$1,0))*K$12+INDEX(Zawodnicy[],MATCH($A29,Players!$A$2:$A$35,0),MATCH($B$13,Players!$A$1:$Y$1,0))*K$13,"-")</f>
        <v>62.51</v>
      </c>
    </row>
    <row r="30" spans="1:11" x14ac:dyDescent="0.25">
      <c r="A30" s="63">
        <f>PozycjeŚr[[#This Row],[Numer]]</f>
        <v>14</v>
      </c>
      <c r="B30" s="3" t="str">
        <f>IFERROR(VLOOKUP(PozycjeMG[[#This Row],[Numer]],Zawodnicy[[Number]:[Player name]],2,FALSE),"-")</f>
        <v>Gustaw Tuliszewski</v>
      </c>
      <c r="C30" s="38">
        <f>IFERROR(INDEX(Zawodnicy[],MATCH($A30,Players!$A$2:$A$35,0),MATCH($B$2,Players!$A$1:$Y$1,0))*C$2+INDEX(Zawodnicy[],MATCH($A30,Players!$A$2:$A$35,0),MATCH($B$3,Players!$A$1:$Y$1,0))*C$3+INDEX(Zawodnicy[],MATCH($A30,Players!$A$2:$A$35,0),MATCH($B$4,Players!$A$1:$Y$1,0))*C$4+INDEX(Zawodnicy[],MATCH($A30,Players!$A$2:$A$35,0),MATCH($B$5,Players!$A$1:$Y$1,0))*C$5+INDEX(Zawodnicy[],MATCH($A30,Players!$A$2:$A$35,0),MATCH($B$6,Players!$A$1:$Y$1,0))*C$6+INDEX(Zawodnicy[],MATCH($A30,Players!$A$2:$A$35,0),MATCH($B$7,Players!$A$1:$Y$1,0))*C$7+INDEX(Zawodnicy[],MATCH($A30,Players!$A$2:$A$35,0),MATCH($B$8,Players!$A$1:$Y$1,0))*C$8+INDEX(Zawodnicy[],MATCH($A30,Players!$A$2:$A$35,0),MATCH($B$9,Players!$A$1:$Y$1,0))*C$9+INDEX(Zawodnicy[],MATCH($A30,Players!$A$2:$A$35,0),MATCH($B$10,Players!$A$1:$Y$1,0))*C$10+INDEX(Zawodnicy[],MATCH($A30,Players!$A$2:$A$35,0),MATCH($B$11,Players!$A$1:$Y$1,0))*C$11+INDEX(Zawodnicy[],MATCH($A30,Players!$A$2:$A$35,0),MATCH($B$12,Players!$A$1:$Y$1,0))*C$12+INDEX(Zawodnicy[],MATCH($A30,Players!$A$2:$A$35,0),MATCH($B$13,Players!$A$1:$Y$1,0))*C$13,"-")</f>
        <v>46.01</v>
      </c>
      <c r="D30" s="38">
        <f>IFERROR(INDEX(Zawodnicy[],MATCH($A30,Players!$A$2:$A$35,0),MATCH($B$2,Players!$A$1:$Y$1,0))*D$2+INDEX(Zawodnicy[],MATCH($A30,Players!$A$2:$A$35,0),MATCH($B$3,Players!$A$1:$Y$1,0))*D$3+INDEX(Zawodnicy[],MATCH($A30,Players!$A$2:$A$35,0),MATCH($B$4,Players!$A$1:$Y$1,0))*D$4+INDEX(Zawodnicy[],MATCH($A30,Players!$A$2:$A$35,0),MATCH($B$5,Players!$A$1:$Y$1,0))*D$5+INDEX(Zawodnicy[],MATCH($A30,Players!$A$2:$A$35,0),MATCH($B$6,Players!$A$1:$Y$1,0))*D$6+INDEX(Zawodnicy[],MATCH($A30,Players!$A$2:$A$35,0),MATCH($B$7,Players!$A$1:$Y$1,0))*D$7+INDEX(Zawodnicy[],MATCH($A30,Players!$A$2:$A$35,0),MATCH($B$8,Players!$A$1:$Y$1,0))*D$8+INDEX(Zawodnicy[],MATCH($A30,Players!$A$2:$A$35,0),MATCH($B$9,Players!$A$1:$Y$1,0))*D$9+INDEX(Zawodnicy[],MATCH($A30,Players!$A$2:$A$35,0),MATCH($B$10,Players!$A$1:$Y$1,0))*D$10+INDEX(Zawodnicy[],MATCH($A30,Players!$A$2:$A$35,0),MATCH($B$11,Players!$A$1:$Y$1,0))*D$11+INDEX(Zawodnicy[],MATCH($A30,Players!$A$2:$A$35,0),MATCH($B$12,Players!$A$1:$Y$1,0))*D$12+INDEX(Zawodnicy[],MATCH($A30,Players!$A$2:$A$35,0),MATCH($B$13,Players!$A$1:$Y$1,0))*D$13,"-")</f>
        <v>67.759999999999991</v>
      </c>
      <c r="E30" s="38">
        <f>IFERROR(INDEX(Zawodnicy[],MATCH($A30,Players!$A$2:$A$35,0),MATCH($B$2,Players!$A$1:$Y$1,0))*E$2+INDEX(Zawodnicy[],MATCH($A30,Players!$A$2:$A$35,0),MATCH($B$3,Players!$A$1:$Y$1,0))*E$3+INDEX(Zawodnicy[],MATCH($A30,Players!$A$2:$A$35,0),MATCH($B$4,Players!$A$1:$Y$1,0))*E$4+INDEX(Zawodnicy[],MATCH($A30,Players!$A$2:$A$35,0),MATCH($B$5,Players!$A$1:$Y$1,0))*E$5+INDEX(Zawodnicy[],MATCH($A30,Players!$A$2:$A$35,0),MATCH($B$6,Players!$A$1:$Y$1,0))*E$6+INDEX(Zawodnicy[],MATCH($A30,Players!$A$2:$A$35,0),MATCH($B$7,Players!$A$1:$Y$1,0))*E$7+INDEX(Zawodnicy[],MATCH($A30,Players!$A$2:$A$35,0),MATCH($B$8,Players!$A$1:$Y$1,0))*E$8+INDEX(Zawodnicy[],MATCH($A30,Players!$A$2:$A$35,0),MATCH($B$9,Players!$A$1:$Y$1,0))*E$9+INDEX(Zawodnicy[],MATCH($A30,Players!$A$2:$A$35,0),MATCH($B$10,Players!$A$1:$Y$1,0))*E$10+INDEX(Zawodnicy[],MATCH($A30,Players!$A$2:$A$35,0),MATCH($B$11,Players!$A$1:$Y$1,0))*E$11+INDEX(Zawodnicy[],MATCH($A30,Players!$A$2:$A$35,0),MATCH($B$12,Players!$A$1:$Y$1,0))*E$12+INDEX(Zawodnicy[],MATCH($A30,Players!$A$2:$A$35,0),MATCH($B$13,Players!$A$1:$Y$1,0))*E$13,"-")</f>
        <v>70.010000000000005</v>
      </c>
      <c r="F30" s="38">
        <f>IFERROR(INDEX(Zawodnicy[],MATCH($A30,Players!$A$2:$A$35,0),MATCH($B$2,Players!$A$1:$Y$1,0))*F$2+INDEX(Zawodnicy[],MATCH($A30,Players!$A$2:$A$35,0),MATCH($B$3,Players!$A$1:$Y$1,0))*F$3+INDEX(Zawodnicy[],MATCH($A30,Players!$A$2:$A$35,0),MATCH($B$4,Players!$A$1:$Y$1,0))*F$4+INDEX(Zawodnicy[],MATCH($A30,Players!$A$2:$A$35,0),MATCH($B$5,Players!$A$1:$Y$1,0))*F$5+INDEX(Zawodnicy[],MATCH($A30,Players!$A$2:$A$35,0),MATCH($B$6,Players!$A$1:$Y$1,0))*F$6+INDEX(Zawodnicy[],MATCH($A30,Players!$A$2:$A$35,0),MATCH($B$7,Players!$A$1:$Y$1,0))*F$7+INDEX(Zawodnicy[],MATCH($A30,Players!$A$2:$A$35,0),MATCH($B$8,Players!$A$1:$Y$1,0))*F$8+INDEX(Zawodnicy[],MATCH($A30,Players!$A$2:$A$35,0),MATCH($B$9,Players!$A$1:$Y$1,0))*F$9+INDEX(Zawodnicy[],MATCH($A30,Players!$A$2:$A$35,0),MATCH($B$10,Players!$A$1:$Y$1,0))*F$10+INDEX(Zawodnicy[],MATCH($A30,Players!$A$2:$A$35,0),MATCH($B$11,Players!$A$1:$Y$1,0))*F$11+INDEX(Zawodnicy[],MATCH($A30,Players!$A$2:$A$35,0),MATCH($B$12,Players!$A$1:$Y$1,0))*F$12+INDEX(Zawodnicy[],MATCH($A30,Players!$A$2:$A$35,0),MATCH($B$13,Players!$A$1:$Y$1,0))*F$13,"-")</f>
        <v>69.760000000000005</v>
      </c>
      <c r="G30" s="38">
        <f>IFERROR(INDEX(Zawodnicy[],MATCH($A30,Players!$A$2:$A$35,0),MATCH($B$2,Players!$A$1:$Y$1,0))*G$2+INDEX(Zawodnicy[],MATCH($A30,Players!$A$2:$A$35,0),MATCH($B$3,Players!$A$1:$Y$1,0))*G$3+INDEX(Zawodnicy[],MATCH($A30,Players!$A$2:$A$35,0),MATCH($B$4,Players!$A$1:$Y$1,0))*G$4+INDEX(Zawodnicy[],MATCH($A30,Players!$A$2:$A$35,0),MATCH($B$5,Players!$A$1:$Y$1,0))*G$5+INDEX(Zawodnicy[],MATCH($A30,Players!$A$2:$A$35,0),MATCH($B$6,Players!$A$1:$Y$1,0))*G$6+INDEX(Zawodnicy[],MATCH($A30,Players!$A$2:$A$35,0),MATCH($B$7,Players!$A$1:$Y$1,0))*G$7+INDEX(Zawodnicy[],MATCH($A30,Players!$A$2:$A$35,0),MATCH($B$8,Players!$A$1:$Y$1,0))*G$8+INDEX(Zawodnicy[],MATCH($A30,Players!$A$2:$A$35,0),MATCH($B$9,Players!$A$1:$Y$1,0))*G$9+INDEX(Zawodnicy[],MATCH($A30,Players!$A$2:$A$35,0),MATCH($B$10,Players!$A$1:$Y$1,0))*G$10+INDEX(Zawodnicy[],MATCH($A30,Players!$A$2:$A$35,0),MATCH($B$11,Players!$A$1:$Y$1,0))*G$11+INDEX(Zawodnicy[],MATCH($A30,Players!$A$2:$A$35,0),MATCH($B$12,Players!$A$1:$Y$1,0))*G$12+INDEX(Zawodnicy[],MATCH($A30,Players!$A$2:$A$35,0),MATCH($B$13,Players!$A$1:$Y$1,0))*G$13,"-")</f>
        <v>71.760000000000005</v>
      </c>
      <c r="H30" s="38">
        <f>IFERROR(INDEX(Zawodnicy[],MATCH($A30,Players!$A$2:$A$35,0),MATCH($B$2,Players!$A$1:$Y$1,0))*H$2+INDEX(Zawodnicy[],MATCH($A30,Players!$A$2:$A$35,0),MATCH($B$3,Players!$A$1:$Y$1,0))*H$3+INDEX(Zawodnicy[],MATCH($A30,Players!$A$2:$A$35,0),MATCH($B$4,Players!$A$1:$Y$1,0))*H$4+INDEX(Zawodnicy[],MATCH($A30,Players!$A$2:$A$35,0),MATCH($B$5,Players!$A$1:$Y$1,0))*H$5+INDEX(Zawodnicy[],MATCH($A30,Players!$A$2:$A$35,0),MATCH($B$6,Players!$A$1:$Y$1,0))*H$6+INDEX(Zawodnicy[],MATCH($A30,Players!$A$2:$A$35,0),MATCH($B$7,Players!$A$1:$Y$1,0))*H$7+INDEX(Zawodnicy[],MATCH($A30,Players!$A$2:$A$35,0),MATCH($B$8,Players!$A$1:$Y$1,0))*H$8+INDEX(Zawodnicy[],MATCH($A30,Players!$A$2:$A$35,0),MATCH($B$9,Players!$A$1:$Y$1,0))*H$9+INDEX(Zawodnicy[],MATCH($A30,Players!$A$2:$A$35,0),MATCH($B$10,Players!$A$1:$Y$1,0))*H$10+INDEX(Zawodnicy[],MATCH($A30,Players!$A$2:$A$35,0),MATCH($B$11,Players!$A$1:$Y$1,0))*H$11+INDEX(Zawodnicy[],MATCH($A30,Players!$A$2:$A$35,0),MATCH($B$12,Players!$A$1:$Y$1,0))*H$12+INDEX(Zawodnicy[],MATCH($A30,Players!$A$2:$A$35,0),MATCH($B$13,Players!$A$1:$Y$1,0))*H$13,"-")</f>
        <v>72.260000000000005</v>
      </c>
      <c r="I30" s="38">
        <f>IFERROR(INDEX(Zawodnicy[],MATCH($A30,Players!$A$2:$A$35,0),MATCH($B$2,Players!$A$1:$Y$1,0))*I$2+INDEX(Zawodnicy[],MATCH($A30,Players!$A$2:$A$35,0),MATCH($B$3,Players!$A$1:$Y$1,0))*I$3+INDEX(Zawodnicy[],MATCH($A30,Players!$A$2:$A$35,0),MATCH($B$4,Players!$A$1:$Y$1,0))*I$4+INDEX(Zawodnicy[],MATCH($A30,Players!$A$2:$A$35,0),MATCH($B$5,Players!$A$1:$Y$1,0))*I$5+INDEX(Zawodnicy[],MATCH($A30,Players!$A$2:$A$35,0),MATCH($B$6,Players!$A$1:$Y$1,0))*I$6+INDEX(Zawodnicy[],MATCH($A30,Players!$A$2:$A$35,0),MATCH($B$7,Players!$A$1:$Y$1,0))*I$7+INDEX(Zawodnicy[],MATCH($A30,Players!$A$2:$A$35,0),MATCH($B$8,Players!$A$1:$Y$1,0))*I$8+INDEX(Zawodnicy[],MATCH($A30,Players!$A$2:$A$35,0),MATCH($B$9,Players!$A$1:$Y$1,0))*I$9+INDEX(Zawodnicy[],MATCH($A30,Players!$A$2:$A$35,0),MATCH($B$10,Players!$A$1:$Y$1,0))*I$10+INDEX(Zawodnicy[],MATCH($A30,Players!$A$2:$A$35,0),MATCH($B$11,Players!$A$1:$Y$1,0))*I$11+INDEX(Zawodnicy[],MATCH($A30,Players!$A$2:$A$35,0),MATCH($B$12,Players!$A$1:$Y$1,0))*I$12+INDEX(Zawodnicy[],MATCH($A30,Players!$A$2:$A$35,0),MATCH($B$13,Players!$A$1:$Y$1,0))*I$13,"-")</f>
        <v>73.760000000000005</v>
      </c>
      <c r="J30" s="38">
        <f>IFERROR(INDEX(Zawodnicy[],MATCH($A30,Players!$A$2:$A$35,0),MATCH($B$2,Players!$A$1:$Y$1,0))*J$2+INDEX(Zawodnicy[],MATCH($A30,Players!$A$2:$A$35,0),MATCH($B$3,Players!$A$1:$Y$1,0))*J$3+INDEX(Zawodnicy[],MATCH($A30,Players!$A$2:$A$35,0),MATCH($B$4,Players!$A$1:$Y$1,0))*J$4+INDEX(Zawodnicy[],MATCH($A30,Players!$A$2:$A$35,0),MATCH($B$5,Players!$A$1:$Y$1,0))*J$5+INDEX(Zawodnicy[],MATCH($A30,Players!$A$2:$A$35,0),MATCH($B$6,Players!$A$1:$Y$1,0))*J$6+INDEX(Zawodnicy[],MATCH($A30,Players!$A$2:$A$35,0),MATCH($B$7,Players!$A$1:$Y$1,0))*J$7+INDEX(Zawodnicy[],MATCH($A30,Players!$A$2:$A$35,0),MATCH($B$8,Players!$A$1:$Y$1,0))*J$8+INDEX(Zawodnicy[],MATCH($A30,Players!$A$2:$A$35,0),MATCH($B$9,Players!$A$1:$Y$1,0))*J$9+INDEX(Zawodnicy[],MATCH($A30,Players!$A$2:$A$35,0),MATCH($B$10,Players!$A$1:$Y$1,0))*J$10+INDEX(Zawodnicy[],MATCH($A30,Players!$A$2:$A$35,0),MATCH($B$11,Players!$A$1:$Y$1,0))*J$11+INDEX(Zawodnicy[],MATCH($A30,Players!$A$2:$A$35,0),MATCH($B$12,Players!$A$1:$Y$1,0))*J$12+INDEX(Zawodnicy[],MATCH($A30,Players!$A$2:$A$35,0),MATCH($B$13,Players!$A$1:$Y$1,0))*J$13,"-")</f>
        <v>73.510000000000005</v>
      </c>
      <c r="K30" s="38">
        <f>IFERROR(INDEX(Zawodnicy[],MATCH($A30,Players!$A$2:$A$35,0),MATCH($B$2,Players!$A$1:$Y$1,0))*K$2+INDEX(Zawodnicy[],MATCH($A30,Players!$A$2:$A$35,0),MATCH($B$3,Players!$A$1:$Y$1,0))*K$3+INDEX(Zawodnicy[],MATCH($A30,Players!$A$2:$A$35,0),MATCH($B$4,Players!$A$1:$Y$1,0))*K$4+INDEX(Zawodnicy[],MATCH($A30,Players!$A$2:$A$35,0),MATCH($B$5,Players!$A$1:$Y$1,0))*K$5+INDEX(Zawodnicy[],MATCH($A30,Players!$A$2:$A$35,0),MATCH($B$6,Players!$A$1:$Y$1,0))*K$6+INDEX(Zawodnicy[],MATCH($A30,Players!$A$2:$A$35,0),MATCH($B$7,Players!$A$1:$Y$1,0))*K$7+INDEX(Zawodnicy[],MATCH($A30,Players!$A$2:$A$35,0),MATCH($B$8,Players!$A$1:$Y$1,0))*K$8+INDEX(Zawodnicy[],MATCH($A30,Players!$A$2:$A$35,0),MATCH($B$9,Players!$A$1:$Y$1,0))*K$9+INDEX(Zawodnicy[],MATCH($A30,Players!$A$2:$A$35,0),MATCH($B$10,Players!$A$1:$Y$1,0))*K$10+INDEX(Zawodnicy[],MATCH($A30,Players!$A$2:$A$35,0),MATCH($B$11,Players!$A$1:$Y$1,0))*K$11+INDEX(Zawodnicy[],MATCH($A30,Players!$A$2:$A$35,0),MATCH($B$12,Players!$A$1:$Y$1,0))*K$12+INDEX(Zawodnicy[],MATCH($A30,Players!$A$2:$A$35,0),MATCH($B$13,Players!$A$1:$Y$1,0))*K$13,"-")</f>
        <v>76.260000000000005</v>
      </c>
    </row>
    <row r="31" spans="1:11" x14ac:dyDescent="0.25">
      <c r="A31" s="63">
        <f>PozycjeŚr[[#This Row],[Numer]]</f>
        <v>15</v>
      </c>
      <c r="B31" s="3" t="str">
        <f>IFERROR(VLOOKUP(PozycjeMG[[#This Row],[Numer]],Zawodnicy[[Number]:[Player name]],2,FALSE),"-")</f>
        <v>Fausto Pelayo</v>
      </c>
      <c r="C31" s="38">
        <f>IFERROR(INDEX(Zawodnicy[],MATCH($A31,Players!$A$2:$A$35,0),MATCH($B$2,Players!$A$1:$Y$1,0))*C$2+INDEX(Zawodnicy[],MATCH($A31,Players!$A$2:$A$35,0),MATCH($B$3,Players!$A$1:$Y$1,0))*C$3+INDEX(Zawodnicy[],MATCH($A31,Players!$A$2:$A$35,0),MATCH($B$4,Players!$A$1:$Y$1,0))*C$4+INDEX(Zawodnicy[],MATCH($A31,Players!$A$2:$A$35,0),MATCH($B$5,Players!$A$1:$Y$1,0))*C$5+INDEX(Zawodnicy[],MATCH($A31,Players!$A$2:$A$35,0),MATCH($B$6,Players!$A$1:$Y$1,0))*C$6+INDEX(Zawodnicy[],MATCH($A31,Players!$A$2:$A$35,0),MATCH($B$7,Players!$A$1:$Y$1,0))*C$7+INDEX(Zawodnicy[],MATCH($A31,Players!$A$2:$A$35,0),MATCH($B$8,Players!$A$1:$Y$1,0))*C$8+INDEX(Zawodnicy[],MATCH($A31,Players!$A$2:$A$35,0),MATCH($B$9,Players!$A$1:$Y$1,0))*C$9+INDEX(Zawodnicy[],MATCH($A31,Players!$A$2:$A$35,0),MATCH($B$10,Players!$A$1:$Y$1,0))*C$10+INDEX(Zawodnicy[],MATCH($A31,Players!$A$2:$A$35,0),MATCH($B$11,Players!$A$1:$Y$1,0))*C$11+INDEX(Zawodnicy[],MATCH($A31,Players!$A$2:$A$35,0),MATCH($B$12,Players!$A$1:$Y$1,0))*C$12+INDEX(Zawodnicy[],MATCH($A31,Players!$A$2:$A$35,0),MATCH($B$13,Players!$A$1:$Y$1,0))*C$13,"-")</f>
        <v>28.53</v>
      </c>
      <c r="D31" s="38">
        <f>IFERROR(INDEX(Zawodnicy[],MATCH($A31,Players!$A$2:$A$35,0),MATCH($B$2,Players!$A$1:$Y$1,0))*D$2+INDEX(Zawodnicy[],MATCH($A31,Players!$A$2:$A$35,0),MATCH($B$3,Players!$A$1:$Y$1,0))*D$3+INDEX(Zawodnicy[],MATCH($A31,Players!$A$2:$A$35,0),MATCH($B$4,Players!$A$1:$Y$1,0))*D$4+INDEX(Zawodnicy[],MATCH($A31,Players!$A$2:$A$35,0),MATCH($B$5,Players!$A$1:$Y$1,0))*D$5+INDEX(Zawodnicy[],MATCH($A31,Players!$A$2:$A$35,0),MATCH($B$6,Players!$A$1:$Y$1,0))*D$6+INDEX(Zawodnicy[],MATCH($A31,Players!$A$2:$A$35,0),MATCH($B$7,Players!$A$1:$Y$1,0))*D$7+INDEX(Zawodnicy[],MATCH($A31,Players!$A$2:$A$35,0),MATCH($B$8,Players!$A$1:$Y$1,0))*D$8+INDEX(Zawodnicy[],MATCH($A31,Players!$A$2:$A$35,0),MATCH($B$9,Players!$A$1:$Y$1,0))*D$9+INDEX(Zawodnicy[],MATCH($A31,Players!$A$2:$A$35,0),MATCH($B$10,Players!$A$1:$Y$1,0))*D$10+INDEX(Zawodnicy[],MATCH($A31,Players!$A$2:$A$35,0),MATCH($B$11,Players!$A$1:$Y$1,0))*D$11+INDEX(Zawodnicy[],MATCH($A31,Players!$A$2:$A$35,0),MATCH($B$12,Players!$A$1:$Y$1,0))*D$12+INDEX(Zawodnicy[],MATCH($A31,Players!$A$2:$A$35,0),MATCH($B$13,Players!$A$1:$Y$1,0))*D$13,"-")</f>
        <v>64.03</v>
      </c>
      <c r="E31" s="38">
        <f>IFERROR(INDEX(Zawodnicy[],MATCH($A31,Players!$A$2:$A$35,0),MATCH($B$2,Players!$A$1:$Y$1,0))*E$2+INDEX(Zawodnicy[],MATCH($A31,Players!$A$2:$A$35,0),MATCH($B$3,Players!$A$1:$Y$1,0))*E$3+INDEX(Zawodnicy[],MATCH($A31,Players!$A$2:$A$35,0),MATCH($B$4,Players!$A$1:$Y$1,0))*E$4+INDEX(Zawodnicy[],MATCH($A31,Players!$A$2:$A$35,0),MATCH($B$5,Players!$A$1:$Y$1,0))*E$5+INDEX(Zawodnicy[],MATCH($A31,Players!$A$2:$A$35,0),MATCH($B$6,Players!$A$1:$Y$1,0))*E$6+INDEX(Zawodnicy[],MATCH($A31,Players!$A$2:$A$35,0),MATCH($B$7,Players!$A$1:$Y$1,0))*E$7+INDEX(Zawodnicy[],MATCH($A31,Players!$A$2:$A$35,0),MATCH($B$8,Players!$A$1:$Y$1,0))*E$8+INDEX(Zawodnicy[],MATCH($A31,Players!$A$2:$A$35,0),MATCH($B$9,Players!$A$1:$Y$1,0))*E$9+INDEX(Zawodnicy[],MATCH($A31,Players!$A$2:$A$35,0),MATCH($B$10,Players!$A$1:$Y$1,0))*E$10+INDEX(Zawodnicy[],MATCH($A31,Players!$A$2:$A$35,0),MATCH($B$11,Players!$A$1:$Y$1,0))*E$11+INDEX(Zawodnicy[],MATCH($A31,Players!$A$2:$A$35,0),MATCH($B$12,Players!$A$1:$Y$1,0))*E$12+INDEX(Zawodnicy[],MATCH($A31,Players!$A$2:$A$35,0),MATCH($B$13,Players!$A$1:$Y$1,0))*E$13,"-")</f>
        <v>63.53</v>
      </c>
      <c r="F31" s="38">
        <f>IFERROR(INDEX(Zawodnicy[],MATCH($A31,Players!$A$2:$A$35,0),MATCH($B$2,Players!$A$1:$Y$1,0))*F$2+INDEX(Zawodnicy[],MATCH($A31,Players!$A$2:$A$35,0),MATCH($B$3,Players!$A$1:$Y$1,0))*F$3+INDEX(Zawodnicy[],MATCH($A31,Players!$A$2:$A$35,0),MATCH($B$4,Players!$A$1:$Y$1,0))*F$4+INDEX(Zawodnicy[],MATCH($A31,Players!$A$2:$A$35,0),MATCH($B$5,Players!$A$1:$Y$1,0))*F$5+INDEX(Zawodnicy[],MATCH($A31,Players!$A$2:$A$35,0),MATCH($B$6,Players!$A$1:$Y$1,0))*F$6+INDEX(Zawodnicy[],MATCH($A31,Players!$A$2:$A$35,0),MATCH($B$7,Players!$A$1:$Y$1,0))*F$7+INDEX(Zawodnicy[],MATCH($A31,Players!$A$2:$A$35,0),MATCH($B$8,Players!$A$1:$Y$1,0))*F$8+INDEX(Zawodnicy[],MATCH($A31,Players!$A$2:$A$35,0),MATCH($B$9,Players!$A$1:$Y$1,0))*F$9+INDEX(Zawodnicy[],MATCH($A31,Players!$A$2:$A$35,0),MATCH($B$10,Players!$A$1:$Y$1,0))*F$10+INDEX(Zawodnicy[],MATCH($A31,Players!$A$2:$A$35,0),MATCH($B$11,Players!$A$1:$Y$1,0))*F$11+INDEX(Zawodnicy[],MATCH($A31,Players!$A$2:$A$35,0),MATCH($B$12,Players!$A$1:$Y$1,0))*F$12+INDEX(Zawodnicy[],MATCH($A31,Players!$A$2:$A$35,0),MATCH($B$13,Players!$A$1:$Y$1,0))*F$13,"-")</f>
        <v>69.28</v>
      </c>
      <c r="G31" s="38">
        <f>IFERROR(INDEX(Zawodnicy[],MATCH($A31,Players!$A$2:$A$35,0),MATCH($B$2,Players!$A$1:$Y$1,0))*G$2+INDEX(Zawodnicy[],MATCH($A31,Players!$A$2:$A$35,0),MATCH($B$3,Players!$A$1:$Y$1,0))*G$3+INDEX(Zawodnicy[],MATCH($A31,Players!$A$2:$A$35,0),MATCH($B$4,Players!$A$1:$Y$1,0))*G$4+INDEX(Zawodnicy[],MATCH($A31,Players!$A$2:$A$35,0),MATCH($B$5,Players!$A$1:$Y$1,0))*G$5+INDEX(Zawodnicy[],MATCH($A31,Players!$A$2:$A$35,0),MATCH($B$6,Players!$A$1:$Y$1,0))*G$6+INDEX(Zawodnicy[],MATCH($A31,Players!$A$2:$A$35,0),MATCH($B$7,Players!$A$1:$Y$1,0))*G$7+INDEX(Zawodnicy[],MATCH($A31,Players!$A$2:$A$35,0),MATCH($B$8,Players!$A$1:$Y$1,0))*G$8+INDEX(Zawodnicy[],MATCH($A31,Players!$A$2:$A$35,0),MATCH($B$9,Players!$A$1:$Y$1,0))*G$9+INDEX(Zawodnicy[],MATCH($A31,Players!$A$2:$A$35,0),MATCH($B$10,Players!$A$1:$Y$1,0))*G$10+INDEX(Zawodnicy[],MATCH($A31,Players!$A$2:$A$35,0),MATCH($B$11,Players!$A$1:$Y$1,0))*G$11+INDEX(Zawodnicy[],MATCH($A31,Players!$A$2:$A$35,0),MATCH($B$12,Players!$A$1:$Y$1,0))*G$12+INDEX(Zawodnicy[],MATCH($A31,Players!$A$2:$A$35,0),MATCH($B$13,Players!$A$1:$Y$1,0))*G$13,"-")</f>
        <v>74.78</v>
      </c>
      <c r="H31" s="38">
        <f>IFERROR(INDEX(Zawodnicy[],MATCH($A31,Players!$A$2:$A$35,0),MATCH($B$2,Players!$A$1:$Y$1,0))*H$2+INDEX(Zawodnicy[],MATCH($A31,Players!$A$2:$A$35,0),MATCH($B$3,Players!$A$1:$Y$1,0))*H$3+INDEX(Zawodnicy[],MATCH($A31,Players!$A$2:$A$35,0),MATCH($B$4,Players!$A$1:$Y$1,0))*H$4+INDEX(Zawodnicy[],MATCH($A31,Players!$A$2:$A$35,0),MATCH($B$5,Players!$A$1:$Y$1,0))*H$5+INDEX(Zawodnicy[],MATCH($A31,Players!$A$2:$A$35,0),MATCH($B$6,Players!$A$1:$Y$1,0))*H$6+INDEX(Zawodnicy[],MATCH($A31,Players!$A$2:$A$35,0),MATCH($B$7,Players!$A$1:$Y$1,0))*H$7+INDEX(Zawodnicy[],MATCH($A31,Players!$A$2:$A$35,0),MATCH($B$8,Players!$A$1:$Y$1,0))*H$8+INDEX(Zawodnicy[],MATCH($A31,Players!$A$2:$A$35,0),MATCH($B$9,Players!$A$1:$Y$1,0))*H$9+INDEX(Zawodnicy[],MATCH($A31,Players!$A$2:$A$35,0),MATCH($B$10,Players!$A$1:$Y$1,0))*H$10+INDEX(Zawodnicy[],MATCH($A31,Players!$A$2:$A$35,0),MATCH($B$11,Players!$A$1:$Y$1,0))*H$11+INDEX(Zawodnicy[],MATCH($A31,Players!$A$2:$A$35,0),MATCH($B$12,Players!$A$1:$Y$1,0))*H$12+INDEX(Zawodnicy[],MATCH($A31,Players!$A$2:$A$35,0),MATCH($B$13,Players!$A$1:$Y$1,0))*H$13,"-")</f>
        <v>70.28</v>
      </c>
      <c r="I31" s="38">
        <f>IFERROR(INDEX(Zawodnicy[],MATCH($A31,Players!$A$2:$A$35,0),MATCH($B$2,Players!$A$1:$Y$1,0))*I$2+INDEX(Zawodnicy[],MATCH($A31,Players!$A$2:$A$35,0),MATCH($B$3,Players!$A$1:$Y$1,0))*I$3+INDEX(Zawodnicy[],MATCH($A31,Players!$A$2:$A$35,0),MATCH($B$4,Players!$A$1:$Y$1,0))*I$4+INDEX(Zawodnicy[],MATCH($A31,Players!$A$2:$A$35,0),MATCH($B$5,Players!$A$1:$Y$1,0))*I$5+INDEX(Zawodnicy[],MATCH($A31,Players!$A$2:$A$35,0),MATCH($B$6,Players!$A$1:$Y$1,0))*I$6+INDEX(Zawodnicy[],MATCH($A31,Players!$A$2:$A$35,0),MATCH($B$7,Players!$A$1:$Y$1,0))*I$7+INDEX(Zawodnicy[],MATCH($A31,Players!$A$2:$A$35,0),MATCH($B$8,Players!$A$1:$Y$1,0))*I$8+INDEX(Zawodnicy[],MATCH($A31,Players!$A$2:$A$35,0),MATCH($B$9,Players!$A$1:$Y$1,0))*I$9+INDEX(Zawodnicy[],MATCH($A31,Players!$A$2:$A$35,0),MATCH($B$10,Players!$A$1:$Y$1,0))*I$10+INDEX(Zawodnicy[],MATCH($A31,Players!$A$2:$A$35,0),MATCH($B$11,Players!$A$1:$Y$1,0))*I$11+INDEX(Zawodnicy[],MATCH($A31,Players!$A$2:$A$35,0),MATCH($B$12,Players!$A$1:$Y$1,0))*I$12+INDEX(Zawodnicy[],MATCH($A31,Players!$A$2:$A$35,0),MATCH($B$13,Players!$A$1:$Y$1,0))*I$13,"-")</f>
        <v>71.03</v>
      </c>
      <c r="J31" s="38">
        <f>IFERROR(INDEX(Zawodnicy[],MATCH($A31,Players!$A$2:$A$35,0),MATCH($B$2,Players!$A$1:$Y$1,0))*J$2+INDEX(Zawodnicy[],MATCH($A31,Players!$A$2:$A$35,0),MATCH($B$3,Players!$A$1:$Y$1,0))*J$3+INDEX(Zawodnicy[],MATCH($A31,Players!$A$2:$A$35,0),MATCH($B$4,Players!$A$1:$Y$1,0))*J$4+INDEX(Zawodnicy[],MATCH($A31,Players!$A$2:$A$35,0),MATCH($B$5,Players!$A$1:$Y$1,0))*J$5+INDEX(Zawodnicy[],MATCH($A31,Players!$A$2:$A$35,0),MATCH($B$6,Players!$A$1:$Y$1,0))*J$6+INDEX(Zawodnicy[],MATCH($A31,Players!$A$2:$A$35,0),MATCH($B$7,Players!$A$1:$Y$1,0))*J$7+INDEX(Zawodnicy[],MATCH($A31,Players!$A$2:$A$35,0),MATCH($B$8,Players!$A$1:$Y$1,0))*J$8+INDEX(Zawodnicy[],MATCH($A31,Players!$A$2:$A$35,0),MATCH($B$9,Players!$A$1:$Y$1,0))*J$9+INDEX(Zawodnicy[],MATCH($A31,Players!$A$2:$A$35,0),MATCH($B$10,Players!$A$1:$Y$1,0))*J$10+INDEX(Zawodnicy[],MATCH($A31,Players!$A$2:$A$35,0),MATCH($B$11,Players!$A$1:$Y$1,0))*J$11+INDEX(Zawodnicy[],MATCH($A31,Players!$A$2:$A$35,0),MATCH($B$12,Players!$A$1:$Y$1,0))*J$12+INDEX(Zawodnicy[],MATCH($A31,Players!$A$2:$A$35,0),MATCH($B$13,Players!$A$1:$Y$1,0))*J$13,"-")</f>
        <v>66.03</v>
      </c>
      <c r="K31" s="38">
        <f>IFERROR(INDEX(Zawodnicy[],MATCH($A31,Players!$A$2:$A$35,0),MATCH($B$2,Players!$A$1:$Y$1,0))*K$2+INDEX(Zawodnicy[],MATCH($A31,Players!$A$2:$A$35,0),MATCH($B$3,Players!$A$1:$Y$1,0))*K$3+INDEX(Zawodnicy[],MATCH($A31,Players!$A$2:$A$35,0),MATCH($B$4,Players!$A$1:$Y$1,0))*K$4+INDEX(Zawodnicy[],MATCH($A31,Players!$A$2:$A$35,0),MATCH($B$5,Players!$A$1:$Y$1,0))*K$5+INDEX(Zawodnicy[],MATCH($A31,Players!$A$2:$A$35,0),MATCH($B$6,Players!$A$1:$Y$1,0))*K$6+INDEX(Zawodnicy[],MATCH($A31,Players!$A$2:$A$35,0),MATCH($B$7,Players!$A$1:$Y$1,0))*K$7+INDEX(Zawodnicy[],MATCH($A31,Players!$A$2:$A$35,0),MATCH($B$8,Players!$A$1:$Y$1,0))*K$8+INDEX(Zawodnicy[],MATCH($A31,Players!$A$2:$A$35,0),MATCH($B$9,Players!$A$1:$Y$1,0))*K$9+INDEX(Zawodnicy[],MATCH($A31,Players!$A$2:$A$35,0),MATCH($B$10,Players!$A$1:$Y$1,0))*K$10+INDEX(Zawodnicy[],MATCH($A31,Players!$A$2:$A$35,0),MATCH($B$11,Players!$A$1:$Y$1,0))*K$11+INDEX(Zawodnicy[],MATCH($A31,Players!$A$2:$A$35,0),MATCH($B$12,Players!$A$1:$Y$1,0))*K$12+INDEX(Zawodnicy[],MATCH($A31,Players!$A$2:$A$35,0),MATCH($B$13,Players!$A$1:$Y$1,0))*K$13,"-")</f>
        <v>56.53</v>
      </c>
    </row>
    <row r="32" spans="1:11" x14ac:dyDescent="0.25">
      <c r="A32" s="63">
        <f>PozycjeŚr[[#This Row],[Numer]]</f>
        <v>17</v>
      </c>
      <c r="B32" s="3" t="str">
        <f>IFERROR(VLOOKUP(PozycjeMG[[#This Row],[Numer]],Zawodnicy[[Number]:[Player name]],2,FALSE),"-")</f>
        <v>Hieronim Wejta</v>
      </c>
      <c r="C32" s="38">
        <f>IFERROR(INDEX(Zawodnicy[],MATCH($A32,Players!$A$2:$A$35,0),MATCH($B$2,Players!$A$1:$Y$1,0))*C$2+INDEX(Zawodnicy[],MATCH($A32,Players!$A$2:$A$35,0),MATCH($B$3,Players!$A$1:$Y$1,0))*C$3+INDEX(Zawodnicy[],MATCH($A32,Players!$A$2:$A$35,0),MATCH($B$4,Players!$A$1:$Y$1,0))*C$4+INDEX(Zawodnicy[],MATCH($A32,Players!$A$2:$A$35,0),MATCH($B$5,Players!$A$1:$Y$1,0))*C$5+INDEX(Zawodnicy[],MATCH($A32,Players!$A$2:$A$35,0),MATCH($B$6,Players!$A$1:$Y$1,0))*C$6+INDEX(Zawodnicy[],MATCH($A32,Players!$A$2:$A$35,0),MATCH($B$7,Players!$A$1:$Y$1,0))*C$7+INDEX(Zawodnicy[],MATCH($A32,Players!$A$2:$A$35,0),MATCH($B$8,Players!$A$1:$Y$1,0))*C$8+INDEX(Zawodnicy[],MATCH($A32,Players!$A$2:$A$35,0),MATCH($B$9,Players!$A$1:$Y$1,0))*C$9+INDEX(Zawodnicy[],MATCH($A32,Players!$A$2:$A$35,0),MATCH($B$10,Players!$A$1:$Y$1,0))*C$10+INDEX(Zawodnicy[],MATCH($A32,Players!$A$2:$A$35,0),MATCH($B$11,Players!$A$1:$Y$1,0))*C$11+INDEX(Zawodnicy[],MATCH($A32,Players!$A$2:$A$35,0),MATCH($B$12,Players!$A$1:$Y$1,0))*C$12+INDEX(Zawodnicy[],MATCH($A32,Players!$A$2:$A$35,0),MATCH($B$13,Players!$A$1:$Y$1,0))*C$13,"-")</f>
        <v>26.52</v>
      </c>
      <c r="D32" s="38">
        <f>IFERROR(INDEX(Zawodnicy[],MATCH($A32,Players!$A$2:$A$35,0),MATCH($B$2,Players!$A$1:$Y$1,0))*D$2+INDEX(Zawodnicy[],MATCH($A32,Players!$A$2:$A$35,0),MATCH($B$3,Players!$A$1:$Y$1,0))*D$3+INDEX(Zawodnicy[],MATCH($A32,Players!$A$2:$A$35,0),MATCH($B$4,Players!$A$1:$Y$1,0))*D$4+INDEX(Zawodnicy[],MATCH($A32,Players!$A$2:$A$35,0),MATCH($B$5,Players!$A$1:$Y$1,0))*D$5+INDEX(Zawodnicy[],MATCH($A32,Players!$A$2:$A$35,0),MATCH($B$6,Players!$A$1:$Y$1,0))*D$6+INDEX(Zawodnicy[],MATCH($A32,Players!$A$2:$A$35,0),MATCH($B$7,Players!$A$1:$Y$1,0))*D$7+INDEX(Zawodnicy[],MATCH($A32,Players!$A$2:$A$35,0),MATCH($B$8,Players!$A$1:$Y$1,0))*D$8+INDEX(Zawodnicy[],MATCH($A32,Players!$A$2:$A$35,0),MATCH($B$9,Players!$A$1:$Y$1,0))*D$9+INDEX(Zawodnicy[],MATCH($A32,Players!$A$2:$A$35,0),MATCH($B$10,Players!$A$1:$Y$1,0))*D$10+INDEX(Zawodnicy[],MATCH($A32,Players!$A$2:$A$35,0),MATCH($B$11,Players!$A$1:$Y$1,0))*D$11+INDEX(Zawodnicy[],MATCH($A32,Players!$A$2:$A$35,0),MATCH($B$12,Players!$A$1:$Y$1,0))*D$12+INDEX(Zawodnicy[],MATCH($A32,Players!$A$2:$A$35,0),MATCH($B$13,Players!$A$1:$Y$1,0))*D$13,"-")</f>
        <v>64.27000000000001</v>
      </c>
      <c r="E32" s="38">
        <f>IFERROR(INDEX(Zawodnicy[],MATCH($A32,Players!$A$2:$A$35,0),MATCH($B$2,Players!$A$1:$Y$1,0))*E$2+INDEX(Zawodnicy[],MATCH($A32,Players!$A$2:$A$35,0),MATCH($B$3,Players!$A$1:$Y$1,0))*E$3+INDEX(Zawodnicy[],MATCH($A32,Players!$A$2:$A$35,0),MATCH($B$4,Players!$A$1:$Y$1,0))*E$4+INDEX(Zawodnicy[],MATCH($A32,Players!$A$2:$A$35,0),MATCH($B$5,Players!$A$1:$Y$1,0))*E$5+INDEX(Zawodnicy[],MATCH($A32,Players!$A$2:$A$35,0),MATCH($B$6,Players!$A$1:$Y$1,0))*E$6+INDEX(Zawodnicy[],MATCH($A32,Players!$A$2:$A$35,0),MATCH($B$7,Players!$A$1:$Y$1,0))*E$7+INDEX(Zawodnicy[],MATCH($A32,Players!$A$2:$A$35,0),MATCH($B$8,Players!$A$1:$Y$1,0))*E$8+INDEX(Zawodnicy[],MATCH($A32,Players!$A$2:$A$35,0),MATCH($B$9,Players!$A$1:$Y$1,0))*E$9+INDEX(Zawodnicy[],MATCH($A32,Players!$A$2:$A$35,0),MATCH($B$10,Players!$A$1:$Y$1,0))*E$10+INDEX(Zawodnicy[],MATCH($A32,Players!$A$2:$A$35,0),MATCH($B$11,Players!$A$1:$Y$1,0))*E$11+INDEX(Zawodnicy[],MATCH($A32,Players!$A$2:$A$35,0),MATCH($B$12,Players!$A$1:$Y$1,0))*E$12+INDEX(Zawodnicy[],MATCH($A32,Players!$A$2:$A$35,0),MATCH($B$13,Players!$A$1:$Y$1,0))*E$13,"-")</f>
        <v>63.52</v>
      </c>
      <c r="F32" s="38">
        <f>IFERROR(INDEX(Zawodnicy[],MATCH($A32,Players!$A$2:$A$35,0),MATCH($B$2,Players!$A$1:$Y$1,0))*F$2+INDEX(Zawodnicy[],MATCH($A32,Players!$A$2:$A$35,0),MATCH($B$3,Players!$A$1:$Y$1,0))*F$3+INDEX(Zawodnicy[],MATCH($A32,Players!$A$2:$A$35,0),MATCH($B$4,Players!$A$1:$Y$1,0))*F$4+INDEX(Zawodnicy[],MATCH($A32,Players!$A$2:$A$35,0),MATCH($B$5,Players!$A$1:$Y$1,0))*F$5+INDEX(Zawodnicy[],MATCH($A32,Players!$A$2:$A$35,0),MATCH($B$6,Players!$A$1:$Y$1,0))*F$6+INDEX(Zawodnicy[],MATCH($A32,Players!$A$2:$A$35,0),MATCH($B$7,Players!$A$1:$Y$1,0))*F$7+INDEX(Zawodnicy[],MATCH($A32,Players!$A$2:$A$35,0),MATCH($B$8,Players!$A$1:$Y$1,0))*F$8+INDEX(Zawodnicy[],MATCH($A32,Players!$A$2:$A$35,0),MATCH($B$9,Players!$A$1:$Y$1,0))*F$9+INDEX(Zawodnicy[],MATCH($A32,Players!$A$2:$A$35,0),MATCH($B$10,Players!$A$1:$Y$1,0))*F$10+INDEX(Zawodnicy[],MATCH($A32,Players!$A$2:$A$35,0),MATCH($B$11,Players!$A$1:$Y$1,0))*F$11+INDEX(Zawodnicy[],MATCH($A32,Players!$A$2:$A$35,0),MATCH($B$12,Players!$A$1:$Y$1,0))*F$12+INDEX(Zawodnicy[],MATCH($A32,Players!$A$2:$A$35,0),MATCH($B$13,Players!$A$1:$Y$1,0))*F$13,"-")</f>
        <v>60.27</v>
      </c>
      <c r="G32" s="38">
        <f>IFERROR(INDEX(Zawodnicy[],MATCH($A32,Players!$A$2:$A$35,0),MATCH($B$2,Players!$A$1:$Y$1,0))*G$2+INDEX(Zawodnicy[],MATCH($A32,Players!$A$2:$A$35,0),MATCH($B$3,Players!$A$1:$Y$1,0))*G$3+INDEX(Zawodnicy[],MATCH($A32,Players!$A$2:$A$35,0),MATCH($B$4,Players!$A$1:$Y$1,0))*G$4+INDEX(Zawodnicy[],MATCH($A32,Players!$A$2:$A$35,0),MATCH($B$5,Players!$A$1:$Y$1,0))*G$5+INDEX(Zawodnicy[],MATCH($A32,Players!$A$2:$A$35,0),MATCH($B$6,Players!$A$1:$Y$1,0))*G$6+INDEX(Zawodnicy[],MATCH($A32,Players!$A$2:$A$35,0),MATCH($B$7,Players!$A$1:$Y$1,0))*G$7+INDEX(Zawodnicy[],MATCH($A32,Players!$A$2:$A$35,0),MATCH($B$8,Players!$A$1:$Y$1,0))*G$8+INDEX(Zawodnicy[],MATCH($A32,Players!$A$2:$A$35,0),MATCH($B$9,Players!$A$1:$Y$1,0))*G$9+INDEX(Zawodnicy[],MATCH($A32,Players!$A$2:$A$35,0),MATCH($B$10,Players!$A$1:$Y$1,0))*G$10+INDEX(Zawodnicy[],MATCH($A32,Players!$A$2:$A$35,0),MATCH($B$11,Players!$A$1:$Y$1,0))*G$11+INDEX(Zawodnicy[],MATCH($A32,Players!$A$2:$A$35,0),MATCH($B$12,Players!$A$1:$Y$1,0))*G$12+INDEX(Zawodnicy[],MATCH($A32,Players!$A$2:$A$35,0),MATCH($B$13,Players!$A$1:$Y$1,0))*G$13,"-")</f>
        <v>60.77</v>
      </c>
      <c r="H32" s="38">
        <f>IFERROR(INDEX(Zawodnicy[],MATCH($A32,Players!$A$2:$A$35,0),MATCH($B$2,Players!$A$1:$Y$1,0))*H$2+INDEX(Zawodnicy[],MATCH($A32,Players!$A$2:$A$35,0),MATCH($B$3,Players!$A$1:$Y$1,0))*H$3+INDEX(Zawodnicy[],MATCH($A32,Players!$A$2:$A$35,0),MATCH($B$4,Players!$A$1:$Y$1,0))*H$4+INDEX(Zawodnicy[],MATCH($A32,Players!$A$2:$A$35,0),MATCH($B$5,Players!$A$1:$Y$1,0))*H$5+INDEX(Zawodnicy[],MATCH($A32,Players!$A$2:$A$35,0),MATCH($B$6,Players!$A$1:$Y$1,0))*H$6+INDEX(Zawodnicy[],MATCH($A32,Players!$A$2:$A$35,0),MATCH($B$7,Players!$A$1:$Y$1,0))*H$7+INDEX(Zawodnicy[],MATCH($A32,Players!$A$2:$A$35,0),MATCH($B$8,Players!$A$1:$Y$1,0))*H$8+INDEX(Zawodnicy[],MATCH($A32,Players!$A$2:$A$35,0),MATCH($B$9,Players!$A$1:$Y$1,0))*H$9+INDEX(Zawodnicy[],MATCH($A32,Players!$A$2:$A$35,0),MATCH($B$10,Players!$A$1:$Y$1,0))*H$10+INDEX(Zawodnicy[],MATCH($A32,Players!$A$2:$A$35,0),MATCH($B$11,Players!$A$1:$Y$1,0))*H$11+INDEX(Zawodnicy[],MATCH($A32,Players!$A$2:$A$35,0),MATCH($B$12,Players!$A$1:$Y$1,0))*H$12+INDEX(Zawodnicy[],MATCH($A32,Players!$A$2:$A$35,0),MATCH($B$13,Players!$A$1:$Y$1,0))*H$13,"-")</f>
        <v>58.52</v>
      </c>
      <c r="I32" s="38">
        <f>IFERROR(INDEX(Zawodnicy[],MATCH($A32,Players!$A$2:$A$35,0),MATCH($B$2,Players!$A$1:$Y$1,0))*I$2+INDEX(Zawodnicy[],MATCH($A32,Players!$A$2:$A$35,0),MATCH($B$3,Players!$A$1:$Y$1,0))*I$3+INDEX(Zawodnicy[],MATCH($A32,Players!$A$2:$A$35,0),MATCH($B$4,Players!$A$1:$Y$1,0))*I$4+INDEX(Zawodnicy[],MATCH($A32,Players!$A$2:$A$35,0),MATCH($B$5,Players!$A$1:$Y$1,0))*I$5+INDEX(Zawodnicy[],MATCH($A32,Players!$A$2:$A$35,0),MATCH($B$6,Players!$A$1:$Y$1,0))*I$6+INDEX(Zawodnicy[],MATCH($A32,Players!$A$2:$A$35,0),MATCH($B$7,Players!$A$1:$Y$1,0))*I$7+INDEX(Zawodnicy[],MATCH($A32,Players!$A$2:$A$35,0),MATCH($B$8,Players!$A$1:$Y$1,0))*I$8+INDEX(Zawodnicy[],MATCH($A32,Players!$A$2:$A$35,0),MATCH($B$9,Players!$A$1:$Y$1,0))*I$9+INDEX(Zawodnicy[],MATCH($A32,Players!$A$2:$A$35,0),MATCH($B$10,Players!$A$1:$Y$1,0))*I$10+INDEX(Zawodnicy[],MATCH($A32,Players!$A$2:$A$35,0),MATCH($B$11,Players!$A$1:$Y$1,0))*I$11+INDEX(Zawodnicy[],MATCH($A32,Players!$A$2:$A$35,0),MATCH($B$12,Players!$A$1:$Y$1,0))*I$12+INDEX(Zawodnicy[],MATCH($A32,Players!$A$2:$A$35,0),MATCH($B$13,Players!$A$1:$Y$1,0))*I$13,"-")</f>
        <v>53.52</v>
      </c>
      <c r="J32" s="38">
        <f>IFERROR(INDEX(Zawodnicy[],MATCH($A32,Players!$A$2:$A$35,0),MATCH($B$2,Players!$A$1:$Y$1,0))*J$2+INDEX(Zawodnicy[],MATCH($A32,Players!$A$2:$A$35,0),MATCH($B$3,Players!$A$1:$Y$1,0))*J$3+INDEX(Zawodnicy[],MATCH($A32,Players!$A$2:$A$35,0),MATCH($B$4,Players!$A$1:$Y$1,0))*J$4+INDEX(Zawodnicy[],MATCH($A32,Players!$A$2:$A$35,0),MATCH($B$5,Players!$A$1:$Y$1,0))*J$5+INDEX(Zawodnicy[],MATCH($A32,Players!$A$2:$A$35,0),MATCH($B$6,Players!$A$1:$Y$1,0))*J$6+INDEX(Zawodnicy[],MATCH($A32,Players!$A$2:$A$35,0),MATCH($B$7,Players!$A$1:$Y$1,0))*J$7+INDEX(Zawodnicy[],MATCH($A32,Players!$A$2:$A$35,0),MATCH($B$8,Players!$A$1:$Y$1,0))*J$8+INDEX(Zawodnicy[],MATCH($A32,Players!$A$2:$A$35,0),MATCH($B$9,Players!$A$1:$Y$1,0))*J$9+INDEX(Zawodnicy[],MATCH($A32,Players!$A$2:$A$35,0),MATCH($B$10,Players!$A$1:$Y$1,0))*J$10+INDEX(Zawodnicy[],MATCH($A32,Players!$A$2:$A$35,0),MATCH($B$11,Players!$A$1:$Y$1,0))*J$11+INDEX(Zawodnicy[],MATCH($A32,Players!$A$2:$A$35,0),MATCH($B$12,Players!$A$1:$Y$1,0))*J$12+INDEX(Zawodnicy[],MATCH($A32,Players!$A$2:$A$35,0),MATCH($B$13,Players!$A$1:$Y$1,0))*J$13,"-")</f>
        <v>53.27</v>
      </c>
      <c r="K32" s="38">
        <f>IFERROR(INDEX(Zawodnicy[],MATCH($A32,Players!$A$2:$A$35,0),MATCH($B$2,Players!$A$1:$Y$1,0))*K$2+INDEX(Zawodnicy[],MATCH($A32,Players!$A$2:$A$35,0),MATCH($B$3,Players!$A$1:$Y$1,0))*K$3+INDEX(Zawodnicy[],MATCH($A32,Players!$A$2:$A$35,0),MATCH($B$4,Players!$A$1:$Y$1,0))*K$4+INDEX(Zawodnicy[],MATCH($A32,Players!$A$2:$A$35,0),MATCH($B$5,Players!$A$1:$Y$1,0))*K$5+INDEX(Zawodnicy[],MATCH($A32,Players!$A$2:$A$35,0),MATCH($B$6,Players!$A$1:$Y$1,0))*K$6+INDEX(Zawodnicy[],MATCH($A32,Players!$A$2:$A$35,0),MATCH($B$7,Players!$A$1:$Y$1,0))*K$7+INDEX(Zawodnicy[],MATCH($A32,Players!$A$2:$A$35,0),MATCH($B$8,Players!$A$1:$Y$1,0))*K$8+INDEX(Zawodnicy[],MATCH($A32,Players!$A$2:$A$35,0),MATCH($B$9,Players!$A$1:$Y$1,0))*K$9+INDEX(Zawodnicy[],MATCH($A32,Players!$A$2:$A$35,0),MATCH($B$10,Players!$A$1:$Y$1,0))*K$10+INDEX(Zawodnicy[],MATCH($A32,Players!$A$2:$A$35,0),MATCH($B$11,Players!$A$1:$Y$1,0))*K$11+INDEX(Zawodnicy[],MATCH($A32,Players!$A$2:$A$35,0),MATCH($B$12,Players!$A$1:$Y$1,0))*K$12+INDEX(Zawodnicy[],MATCH($A32,Players!$A$2:$A$35,0),MATCH($B$13,Players!$A$1:$Y$1,0))*K$13,"-")</f>
        <v>42.77</v>
      </c>
    </row>
    <row r="33" spans="1:11" x14ac:dyDescent="0.25">
      <c r="A33" s="63">
        <f>PozycjeŚr[[#This Row],[Numer]]</f>
        <v>18</v>
      </c>
      <c r="B33" s="3" t="str">
        <f>IFERROR(VLOOKUP(PozycjeMG[[#This Row],[Numer]],Zawodnicy[[Number]:[Player name]],2,FALSE),"-")</f>
        <v>Armando Astudillo</v>
      </c>
      <c r="C33" s="38">
        <f>IFERROR(INDEX(Zawodnicy[],MATCH($A33,Players!$A$2:$A$35,0),MATCH($B$2,Players!$A$1:$Y$1,0))*C$2+INDEX(Zawodnicy[],MATCH($A33,Players!$A$2:$A$35,0),MATCH($B$3,Players!$A$1:$Y$1,0))*C$3+INDEX(Zawodnicy[],MATCH($A33,Players!$A$2:$A$35,0),MATCH($B$4,Players!$A$1:$Y$1,0))*C$4+INDEX(Zawodnicy[],MATCH($A33,Players!$A$2:$A$35,0),MATCH($B$5,Players!$A$1:$Y$1,0))*C$5+INDEX(Zawodnicy[],MATCH($A33,Players!$A$2:$A$35,0),MATCH($B$6,Players!$A$1:$Y$1,0))*C$6+INDEX(Zawodnicy[],MATCH($A33,Players!$A$2:$A$35,0),MATCH($B$7,Players!$A$1:$Y$1,0))*C$7+INDEX(Zawodnicy[],MATCH($A33,Players!$A$2:$A$35,0),MATCH($B$8,Players!$A$1:$Y$1,0))*C$8+INDEX(Zawodnicy[],MATCH($A33,Players!$A$2:$A$35,0),MATCH($B$9,Players!$A$1:$Y$1,0))*C$9+INDEX(Zawodnicy[],MATCH($A33,Players!$A$2:$A$35,0),MATCH($B$10,Players!$A$1:$Y$1,0))*C$10+INDEX(Zawodnicy[],MATCH($A33,Players!$A$2:$A$35,0),MATCH($B$11,Players!$A$1:$Y$1,0))*C$11+INDEX(Zawodnicy[],MATCH($A33,Players!$A$2:$A$35,0),MATCH($B$12,Players!$A$1:$Y$1,0))*C$12+INDEX(Zawodnicy[],MATCH($A33,Players!$A$2:$A$35,0),MATCH($B$13,Players!$A$1:$Y$1,0))*C$13,"-")</f>
        <v>28.5</v>
      </c>
      <c r="D33" s="38">
        <f>IFERROR(INDEX(Zawodnicy[],MATCH($A33,Players!$A$2:$A$35,0),MATCH($B$2,Players!$A$1:$Y$1,0))*D$2+INDEX(Zawodnicy[],MATCH($A33,Players!$A$2:$A$35,0),MATCH($B$3,Players!$A$1:$Y$1,0))*D$3+INDEX(Zawodnicy[],MATCH($A33,Players!$A$2:$A$35,0),MATCH($B$4,Players!$A$1:$Y$1,0))*D$4+INDEX(Zawodnicy[],MATCH($A33,Players!$A$2:$A$35,0),MATCH($B$5,Players!$A$1:$Y$1,0))*D$5+INDEX(Zawodnicy[],MATCH($A33,Players!$A$2:$A$35,0),MATCH($B$6,Players!$A$1:$Y$1,0))*D$6+INDEX(Zawodnicy[],MATCH($A33,Players!$A$2:$A$35,0),MATCH($B$7,Players!$A$1:$Y$1,0))*D$7+INDEX(Zawodnicy[],MATCH($A33,Players!$A$2:$A$35,0),MATCH($B$8,Players!$A$1:$Y$1,0))*D$8+INDEX(Zawodnicy[],MATCH($A33,Players!$A$2:$A$35,0),MATCH($B$9,Players!$A$1:$Y$1,0))*D$9+INDEX(Zawodnicy[],MATCH($A33,Players!$A$2:$A$35,0),MATCH($B$10,Players!$A$1:$Y$1,0))*D$10+INDEX(Zawodnicy[],MATCH($A33,Players!$A$2:$A$35,0),MATCH($B$11,Players!$A$1:$Y$1,0))*D$11+INDEX(Zawodnicy[],MATCH($A33,Players!$A$2:$A$35,0),MATCH($B$12,Players!$A$1:$Y$1,0))*D$12+INDEX(Zawodnicy[],MATCH($A33,Players!$A$2:$A$35,0),MATCH($B$13,Players!$A$1:$Y$1,0))*D$13,"-")</f>
        <v>73.5</v>
      </c>
      <c r="E33" s="38">
        <f>IFERROR(INDEX(Zawodnicy[],MATCH($A33,Players!$A$2:$A$35,0),MATCH($B$2,Players!$A$1:$Y$1,0))*E$2+INDEX(Zawodnicy[],MATCH($A33,Players!$A$2:$A$35,0),MATCH($B$3,Players!$A$1:$Y$1,0))*E$3+INDEX(Zawodnicy[],MATCH($A33,Players!$A$2:$A$35,0),MATCH($B$4,Players!$A$1:$Y$1,0))*E$4+INDEX(Zawodnicy[],MATCH($A33,Players!$A$2:$A$35,0),MATCH($B$5,Players!$A$1:$Y$1,0))*E$5+INDEX(Zawodnicy[],MATCH($A33,Players!$A$2:$A$35,0),MATCH($B$6,Players!$A$1:$Y$1,0))*E$6+INDEX(Zawodnicy[],MATCH($A33,Players!$A$2:$A$35,0),MATCH($B$7,Players!$A$1:$Y$1,0))*E$7+INDEX(Zawodnicy[],MATCH($A33,Players!$A$2:$A$35,0),MATCH($B$8,Players!$A$1:$Y$1,0))*E$8+INDEX(Zawodnicy[],MATCH($A33,Players!$A$2:$A$35,0),MATCH($B$9,Players!$A$1:$Y$1,0))*E$9+INDEX(Zawodnicy[],MATCH($A33,Players!$A$2:$A$35,0),MATCH($B$10,Players!$A$1:$Y$1,0))*E$10+INDEX(Zawodnicy[],MATCH($A33,Players!$A$2:$A$35,0),MATCH($B$11,Players!$A$1:$Y$1,0))*E$11+INDEX(Zawodnicy[],MATCH($A33,Players!$A$2:$A$35,0),MATCH($B$12,Players!$A$1:$Y$1,0))*E$12+INDEX(Zawodnicy[],MATCH($A33,Players!$A$2:$A$35,0),MATCH($B$13,Players!$A$1:$Y$1,0))*E$13,"-")</f>
        <v>72.5</v>
      </c>
      <c r="F33" s="38">
        <f>IFERROR(INDEX(Zawodnicy[],MATCH($A33,Players!$A$2:$A$35,0),MATCH($B$2,Players!$A$1:$Y$1,0))*F$2+INDEX(Zawodnicy[],MATCH($A33,Players!$A$2:$A$35,0),MATCH($B$3,Players!$A$1:$Y$1,0))*F$3+INDEX(Zawodnicy[],MATCH($A33,Players!$A$2:$A$35,0),MATCH($B$4,Players!$A$1:$Y$1,0))*F$4+INDEX(Zawodnicy[],MATCH($A33,Players!$A$2:$A$35,0),MATCH($B$5,Players!$A$1:$Y$1,0))*F$5+INDEX(Zawodnicy[],MATCH($A33,Players!$A$2:$A$35,0),MATCH($B$6,Players!$A$1:$Y$1,0))*F$6+INDEX(Zawodnicy[],MATCH($A33,Players!$A$2:$A$35,0),MATCH($B$7,Players!$A$1:$Y$1,0))*F$7+INDEX(Zawodnicy[],MATCH($A33,Players!$A$2:$A$35,0),MATCH($B$8,Players!$A$1:$Y$1,0))*F$8+INDEX(Zawodnicy[],MATCH($A33,Players!$A$2:$A$35,0),MATCH($B$9,Players!$A$1:$Y$1,0))*F$9+INDEX(Zawodnicy[],MATCH($A33,Players!$A$2:$A$35,0),MATCH($B$10,Players!$A$1:$Y$1,0))*F$10+INDEX(Zawodnicy[],MATCH($A33,Players!$A$2:$A$35,0),MATCH($B$11,Players!$A$1:$Y$1,0))*F$11+INDEX(Zawodnicy[],MATCH($A33,Players!$A$2:$A$35,0),MATCH($B$12,Players!$A$1:$Y$1,0))*F$12+INDEX(Zawodnicy[],MATCH($A33,Players!$A$2:$A$35,0),MATCH($B$13,Players!$A$1:$Y$1,0))*F$13,"-")</f>
        <v>66.5</v>
      </c>
      <c r="G33" s="38">
        <f>IFERROR(INDEX(Zawodnicy[],MATCH($A33,Players!$A$2:$A$35,0),MATCH($B$2,Players!$A$1:$Y$1,0))*G$2+INDEX(Zawodnicy[],MATCH($A33,Players!$A$2:$A$35,0),MATCH($B$3,Players!$A$1:$Y$1,0))*G$3+INDEX(Zawodnicy[],MATCH($A33,Players!$A$2:$A$35,0),MATCH($B$4,Players!$A$1:$Y$1,0))*G$4+INDEX(Zawodnicy[],MATCH($A33,Players!$A$2:$A$35,0),MATCH($B$5,Players!$A$1:$Y$1,0))*G$5+INDEX(Zawodnicy[],MATCH($A33,Players!$A$2:$A$35,0),MATCH($B$6,Players!$A$1:$Y$1,0))*G$6+INDEX(Zawodnicy[],MATCH($A33,Players!$A$2:$A$35,0),MATCH($B$7,Players!$A$1:$Y$1,0))*G$7+INDEX(Zawodnicy[],MATCH($A33,Players!$A$2:$A$35,0),MATCH($B$8,Players!$A$1:$Y$1,0))*G$8+INDEX(Zawodnicy[],MATCH($A33,Players!$A$2:$A$35,0),MATCH($B$9,Players!$A$1:$Y$1,0))*G$9+INDEX(Zawodnicy[],MATCH($A33,Players!$A$2:$A$35,0),MATCH($B$10,Players!$A$1:$Y$1,0))*G$10+INDEX(Zawodnicy[],MATCH($A33,Players!$A$2:$A$35,0),MATCH($B$11,Players!$A$1:$Y$1,0))*G$11+INDEX(Zawodnicy[],MATCH($A33,Players!$A$2:$A$35,0),MATCH($B$12,Players!$A$1:$Y$1,0))*G$12+INDEX(Zawodnicy[],MATCH($A33,Players!$A$2:$A$35,0),MATCH($B$13,Players!$A$1:$Y$1,0))*G$13,"-")</f>
        <v>64</v>
      </c>
      <c r="H33" s="38">
        <f>IFERROR(INDEX(Zawodnicy[],MATCH($A33,Players!$A$2:$A$35,0),MATCH($B$2,Players!$A$1:$Y$1,0))*H$2+INDEX(Zawodnicy[],MATCH($A33,Players!$A$2:$A$35,0),MATCH($B$3,Players!$A$1:$Y$1,0))*H$3+INDEX(Zawodnicy[],MATCH($A33,Players!$A$2:$A$35,0),MATCH($B$4,Players!$A$1:$Y$1,0))*H$4+INDEX(Zawodnicy[],MATCH($A33,Players!$A$2:$A$35,0),MATCH($B$5,Players!$A$1:$Y$1,0))*H$5+INDEX(Zawodnicy[],MATCH($A33,Players!$A$2:$A$35,0),MATCH($B$6,Players!$A$1:$Y$1,0))*H$6+INDEX(Zawodnicy[],MATCH($A33,Players!$A$2:$A$35,0),MATCH($B$7,Players!$A$1:$Y$1,0))*H$7+INDEX(Zawodnicy[],MATCH($A33,Players!$A$2:$A$35,0),MATCH($B$8,Players!$A$1:$Y$1,0))*H$8+INDEX(Zawodnicy[],MATCH($A33,Players!$A$2:$A$35,0),MATCH($B$9,Players!$A$1:$Y$1,0))*H$9+INDEX(Zawodnicy[],MATCH($A33,Players!$A$2:$A$35,0),MATCH($B$10,Players!$A$1:$Y$1,0))*H$10+INDEX(Zawodnicy[],MATCH($A33,Players!$A$2:$A$35,0),MATCH($B$11,Players!$A$1:$Y$1,0))*H$11+INDEX(Zawodnicy[],MATCH($A33,Players!$A$2:$A$35,0),MATCH($B$12,Players!$A$1:$Y$1,0))*H$12+INDEX(Zawodnicy[],MATCH($A33,Players!$A$2:$A$35,0),MATCH($B$13,Players!$A$1:$Y$1,0))*H$13,"-")</f>
        <v>62.75</v>
      </c>
      <c r="I33" s="38">
        <f>IFERROR(INDEX(Zawodnicy[],MATCH($A33,Players!$A$2:$A$35,0),MATCH($B$2,Players!$A$1:$Y$1,0))*I$2+INDEX(Zawodnicy[],MATCH($A33,Players!$A$2:$A$35,0),MATCH($B$3,Players!$A$1:$Y$1,0))*I$3+INDEX(Zawodnicy[],MATCH($A33,Players!$A$2:$A$35,0),MATCH($B$4,Players!$A$1:$Y$1,0))*I$4+INDEX(Zawodnicy[],MATCH($A33,Players!$A$2:$A$35,0),MATCH($B$5,Players!$A$1:$Y$1,0))*I$5+INDEX(Zawodnicy[],MATCH($A33,Players!$A$2:$A$35,0),MATCH($B$6,Players!$A$1:$Y$1,0))*I$6+INDEX(Zawodnicy[],MATCH($A33,Players!$A$2:$A$35,0),MATCH($B$7,Players!$A$1:$Y$1,0))*I$7+INDEX(Zawodnicy[],MATCH($A33,Players!$A$2:$A$35,0),MATCH($B$8,Players!$A$1:$Y$1,0))*I$8+INDEX(Zawodnicy[],MATCH($A33,Players!$A$2:$A$35,0),MATCH($B$9,Players!$A$1:$Y$1,0))*I$9+INDEX(Zawodnicy[],MATCH($A33,Players!$A$2:$A$35,0),MATCH($B$10,Players!$A$1:$Y$1,0))*I$10+INDEX(Zawodnicy[],MATCH($A33,Players!$A$2:$A$35,0),MATCH($B$11,Players!$A$1:$Y$1,0))*I$11+INDEX(Zawodnicy[],MATCH($A33,Players!$A$2:$A$35,0),MATCH($B$12,Players!$A$1:$Y$1,0))*I$12+INDEX(Zawodnicy[],MATCH($A33,Players!$A$2:$A$35,0),MATCH($B$13,Players!$A$1:$Y$1,0))*I$13,"-")</f>
        <v>58.75</v>
      </c>
      <c r="J33" s="38">
        <f>IFERROR(INDEX(Zawodnicy[],MATCH($A33,Players!$A$2:$A$35,0),MATCH($B$2,Players!$A$1:$Y$1,0))*J$2+INDEX(Zawodnicy[],MATCH($A33,Players!$A$2:$A$35,0),MATCH($B$3,Players!$A$1:$Y$1,0))*J$3+INDEX(Zawodnicy[],MATCH($A33,Players!$A$2:$A$35,0),MATCH($B$4,Players!$A$1:$Y$1,0))*J$4+INDEX(Zawodnicy[],MATCH($A33,Players!$A$2:$A$35,0),MATCH($B$5,Players!$A$1:$Y$1,0))*J$5+INDEX(Zawodnicy[],MATCH($A33,Players!$A$2:$A$35,0),MATCH($B$6,Players!$A$1:$Y$1,0))*J$6+INDEX(Zawodnicy[],MATCH($A33,Players!$A$2:$A$35,0),MATCH($B$7,Players!$A$1:$Y$1,0))*J$7+INDEX(Zawodnicy[],MATCH($A33,Players!$A$2:$A$35,0),MATCH($B$8,Players!$A$1:$Y$1,0))*J$8+INDEX(Zawodnicy[],MATCH($A33,Players!$A$2:$A$35,0),MATCH($B$9,Players!$A$1:$Y$1,0))*J$9+INDEX(Zawodnicy[],MATCH($A33,Players!$A$2:$A$35,0),MATCH($B$10,Players!$A$1:$Y$1,0))*J$10+INDEX(Zawodnicy[],MATCH($A33,Players!$A$2:$A$35,0),MATCH($B$11,Players!$A$1:$Y$1,0))*J$11+INDEX(Zawodnicy[],MATCH($A33,Players!$A$2:$A$35,0),MATCH($B$12,Players!$A$1:$Y$1,0))*J$12+INDEX(Zawodnicy[],MATCH($A33,Players!$A$2:$A$35,0),MATCH($B$13,Players!$A$1:$Y$1,0))*J$13,"-")</f>
        <v>58.75</v>
      </c>
      <c r="K33" s="38">
        <f>IFERROR(INDEX(Zawodnicy[],MATCH($A33,Players!$A$2:$A$35,0),MATCH($B$2,Players!$A$1:$Y$1,0))*K$2+INDEX(Zawodnicy[],MATCH($A33,Players!$A$2:$A$35,0),MATCH($B$3,Players!$A$1:$Y$1,0))*K$3+INDEX(Zawodnicy[],MATCH($A33,Players!$A$2:$A$35,0),MATCH($B$4,Players!$A$1:$Y$1,0))*K$4+INDEX(Zawodnicy[],MATCH($A33,Players!$A$2:$A$35,0),MATCH($B$5,Players!$A$1:$Y$1,0))*K$5+INDEX(Zawodnicy[],MATCH($A33,Players!$A$2:$A$35,0),MATCH($B$6,Players!$A$1:$Y$1,0))*K$6+INDEX(Zawodnicy[],MATCH($A33,Players!$A$2:$A$35,0),MATCH($B$7,Players!$A$1:$Y$1,0))*K$7+INDEX(Zawodnicy[],MATCH($A33,Players!$A$2:$A$35,0),MATCH($B$8,Players!$A$1:$Y$1,0))*K$8+INDEX(Zawodnicy[],MATCH($A33,Players!$A$2:$A$35,0),MATCH($B$9,Players!$A$1:$Y$1,0))*K$9+INDEX(Zawodnicy[],MATCH($A33,Players!$A$2:$A$35,0),MATCH($B$10,Players!$A$1:$Y$1,0))*K$10+INDEX(Zawodnicy[],MATCH($A33,Players!$A$2:$A$35,0),MATCH($B$11,Players!$A$1:$Y$1,0))*K$11+INDEX(Zawodnicy[],MATCH($A33,Players!$A$2:$A$35,0),MATCH($B$12,Players!$A$1:$Y$1,0))*K$12+INDEX(Zawodnicy[],MATCH($A33,Players!$A$2:$A$35,0),MATCH($B$13,Players!$A$1:$Y$1,0))*K$13,"-")</f>
        <v>57</v>
      </c>
    </row>
    <row r="34" spans="1:11" x14ac:dyDescent="0.25">
      <c r="A34" s="63">
        <f>PozycjeŚr[[#This Row],[Numer]]</f>
        <v>19</v>
      </c>
      <c r="B34" s="3" t="str">
        <f>IFERROR(VLOOKUP(PozycjeMG[[#This Row],[Numer]],Zawodnicy[[Number]:[Player name]],2,FALSE),"-")</f>
        <v>Eugeniusz Huk</v>
      </c>
      <c r="C34" s="38">
        <f>IFERROR(INDEX(Zawodnicy[],MATCH($A34,Players!$A$2:$A$35,0),MATCH($B$2,Players!$A$1:$Y$1,0))*C$2+INDEX(Zawodnicy[],MATCH($A34,Players!$A$2:$A$35,0),MATCH($B$3,Players!$A$1:$Y$1,0))*C$3+INDEX(Zawodnicy[],MATCH($A34,Players!$A$2:$A$35,0),MATCH($B$4,Players!$A$1:$Y$1,0))*C$4+INDEX(Zawodnicy[],MATCH($A34,Players!$A$2:$A$35,0),MATCH($B$5,Players!$A$1:$Y$1,0))*C$5+INDEX(Zawodnicy[],MATCH($A34,Players!$A$2:$A$35,0),MATCH($B$6,Players!$A$1:$Y$1,0))*C$6+INDEX(Zawodnicy[],MATCH($A34,Players!$A$2:$A$35,0),MATCH($B$7,Players!$A$1:$Y$1,0))*C$7+INDEX(Zawodnicy[],MATCH($A34,Players!$A$2:$A$35,0),MATCH($B$8,Players!$A$1:$Y$1,0))*C$8+INDEX(Zawodnicy[],MATCH($A34,Players!$A$2:$A$35,0),MATCH($B$9,Players!$A$1:$Y$1,0))*C$9+INDEX(Zawodnicy[],MATCH($A34,Players!$A$2:$A$35,0),MATCH($B$10,Players!$A$1:$Y$1,0))*C$10+INDEX(Zawodnicy[],MATCH($A34,Players!$A$2:$A$35,0),MATCH($B$11,Players!$A$1:$Y$1,0))*C$11+INDEX(Zawodnicy[],MATCH($A34,Players!$A$2:$A$35,0),MATCH($B$12,Players!$A$1:$Y$1,0))*C$12+INDEX(Zawodnicy[],MATCH($A34,Players!$A$2:$A$35,0),MATCH($B$13,Players!$A$1:$Y$1,0))*C$13,"-")</f>
        <v>24.52</v>
      </c>
      <c r="D34" s="38">
        <f>IFERROR(INDEX(Zawodnicy[],MATCH($A34,Players!$A$2:$A$35,0),MATCH($B$2,Players!$A$1:$Y$1,0))*D$2+INDEX(Zawodnicy[],MATCH($A34,Players!$A$2:$A$35,0),MATCH($B$3,Players!$A$1:$Y$1,0))*D$3+INDEX(Zawodnicy[],MATCH($A34,Players!$A$2:$A$35,0),MATCH($B$4,Players!$A$1:$Y$1,0))*D$4+INDEX(Zawodnicy[],MATCH($A34,Players!$A$2:$A$35,0),MATCH($B$5,Players!$A$1:$Y$1,0))*D$5+INDEX(Zawodnicy[],MATCH($A34,Players!$A$2:$A$35,0),MATCH($B$6,Players!$A$1:$Y$1,0))*D$6+INDEX(Zawodnicy[],MATCH($A34,Players!$A$2:$A$35,0),MATCH($B$7,Players!$A$1:$Y$1,0))*D$7+INDEX(Zawodnicy[],MATCH($A34,Players!$A$2:$A$35,0),MATCH($B$8,Players!$A$1:$Y$1,0))*D$8+INDEX(Zawodnicy[],MATCH($A34,Players!$A$2:$A$35,0),MATCH($B$9,Players!$A$1:$Y$1,0))*D$9+INDEX(Zawodnicy[],MATCH($A34,Players!$A$2:$A$35,0),MATCH($B$10,Players!$A$1:$Y$1,0))*D$10+INDEX(Zawodnicy[],MATCH($A34,Players!$A$2:$A$35,0),MATCH($B$11,Players!$A$1:$Y$1,0))*D$11+INDEX(Zawodnicy[],MATCH($A34,Players!$A$2:$A$35,0),MATCH($B$12,Players!$A$1:$Y$1,0))*D$12+INDEX(Zawodnicy[],MATCH($A34,Players!$A$2:$A$35,0),MATCH($B$13,Players!$A$1:$Y$1,0))*D$13,"-")</f>
        <v>51.77</v>
      </c>
      <c r="E34" s="38">
        <f>IFERROR(INDEX(Zawodnicy[],MATCH($A34,Players!$A$2:$A$35,0),MATCH($B$2,Players!$A$1:$Y$1,0))*E$2+INDEX(Zawodnicy[],MATCH($A34,Players!$A$2:$A$35,0),MATCH($B$3,Players!$A$1:$Y$1,0))*E$3+INDEX(Zawodnicy[],MATCH($A34,Players!$A$2:$A$35,0),MATCH($B$4,Players!$A$1:$Y$1,0))*E$4+INDEX(Zawodnicy[],MATCH($A34,Players!$A$2:$A$35,0),MATCH($B$5,Players!$A$1:$Y$1,0))*E$5+INDEX(Zawodnicy[],MATCH($A34,Players!$A$2:$A$35,0),MATCH($B$6,Players!$A$1:$Y$1,0))*E$6+INDEX(Zawodnicy[],MATCH($A34,Players!$A$2:$A$35,0),MATCH($B$7,Players!$A$1:$Y$1,0))*E$7+INDEX(Zawodnicy[],MATCH($A34,Players!$A$2:$A$35,0),MATCH($B$8,Players!$A$1:$Y$1,0))*E$8+INDEX(Zawodnicy[],MATCH($A34,Players!$A$2:$A$35,0),MATCH($B$9,Players!$A$1:$Y$1,0))*E$9+INDEX(Zawodnicy[],MATCH($A34,Players!$A$2:$A$35,0),MATCH($B$10,Players!$A$1:$Y$1,0))*E$10+INDEX(Zawodnicy[],MATCH($A34,Players!$A$2:$A$35,0),MATCH($B$11,Players!$A$1:$Y$1,0))*E$11+INDEX(Zawodnicy[],MATCH($A34,Players!$A$2:$A$35,0),MATCH($B$12,Players!$A$1:$Y$1,0))*E$12+INDEX(Zawodnicy[],MATCH($A34,Players!$A$2:$A$35,0),MATCH($B$13,Players!$A$1:$Y$1,0))*E$13,"-")</f>
        <v>49.52</v>
      </c>
      <c r="F34" s="38">
        <f>IFERROR(INDEX(Zawodnicy[],MATCH($A34,Players!$A$2:$A$35,0),MATCH($B$2,Players!$A$1:$Y$1,0))*F$2+INDEX(Zawodnicy[],MATCH($A34,Players!$A$2:$A$35,0),MATCH($B$3,Players!$A$1:$Y$1,0))*F$3+INDEX(Zawodnicy[],MATCH($A34,Players!$A$2:$A$35,0),MATCH($B$4,Players!$A$1:$Y$1,0))*F$4+INDEX(Zawodnicy[],MATCH($A34,Players!$A$2:$A$35,0),MATCH($B$5,Players!$A$1:$Y$1,0))*F$5+INDEX(Zawodnicy[],MATCH($A34,Players!$A$2:$A$35,0),MATCH($B$6,Players!$A$1:$Y$1,0))*F$6+INDEX(Zawodnicy[],MATCH($A34,Players!$A$2:$A$35,0),MATCH($B$7,Players!$A$1:$Y$1,0))*F$7+INDEX(Zawodnicy[],MATCH($A34,Players!$A$2:$A$35,0),MATCH($B$8,Players!$A$1:$Y$1,0))*F$8+INDEX(Zawodnicy[],MATCH($A34,Players!$A$2:$A$35,0),MATCH($B$9,Players!$A$1:$Y$1,0))*F$9+INDEX(Zawodnicy[],MATCH($A34,Players!$A$2:$A$35,0),MATCH($B$10,Players!$A$1:$Y$1,0))*F$10+INDEX(Zawodnicy[],MATCH($A34,Players!$A$2:$A$35,0),MATCH($B$11,Players!$A$1:$Y$1,0))*F$11+INDEX(Zawodnicy[],MATCH($A34,Players!$A$2:$A$35,0),MATCH($B$12,Players!$A$1:$Y$1,0))*F$12+INDEX(Zawodnicy[],MATCH($A34,Players!$A$2:$A$35,0),MATCH($B$13,Players!$A$1:$Y$1,0))*F$13,"-")</f>
        <v>59.77</v>
      </c>
      <c r="G34" s="38">
        <f>IFERROR(INDEX(Zawodnicy[],MATCH($A34,Players!$A$2:$A$35,0),MATCH($B$2,Players!$A$1:$Y$1,0))*G$2+INDEX(Zawodnicy[],MATCH($A34,Players!$A$2:$A$35,0),MATCH($B$3,Players!$A$1:$Y$1,0))*G$3+INDEX(Zawodnicy[],MATCH($A34,Players!$A$2:$A$35,0),MATCH($B$4,Players!$A$1:$Y$1,0))*G$4+INDEX(Zawodnicy[],MATCH($A34,Players!$A$2:$A$35,0),MATCH($B$5,Players!$A$1:$Y$1,0))*G$5+INDEX(Zawodnicy[],MATCH($A34,Players!$A$2:$A$35,0),MATCH($B$6,Players!$A$1:$Y$1,0))*G$6+INDEX(Zawodnicy[],MATCH($A34,Players!$A$2:$A$35,0),MATCH($B$7,Players!$A$1:$Y$1,0))*G$7+INDEX(Zawodnicy[],MATCH($A34,Players!$A$2:$A$35,0),MATCH($B$8,Players!$A$1:$Y$1,0))*G$8+INDEX(Zawodnicy[],MATCH($A34,Players!$A$2:$A$35,0),MATCH($B$9,Players!$A$1:$Y$1,0))*G$9+INDEX(Zawodnicy[],MATCH($A34,Players!$A$2:$A$35,0),MATCH($B$10,Players!$A$1:$Y$1,0))*G$10+INDEX(Zawodnicy[],MATCH($A34,Players!$A$2:$A$35,0),MATCH($B$11,Players!$A$1:$Y$1,0))*G$11+INDEX(Zawodnicy[],MATCH($A34,Players!$A$2:$A$35,0),MATCH($B$12,Players!$A$1:$Y$1,0))*G$12+INDEX(Zawodnicy[],MATCH($A34,Players!$A$2:$A$35,0),MATCH($B$13,Players!$A$1:$Y$1,0))*G$13,"-")</f>
        <v>62.27</v>
      </c>
      <c r="H34" s="38">
        <f>IFERROR(INDEX(Zawodnicy[],MATCH($A34,Players!$A$2:$A$35,0),MATCH($B$2,Players!$A$1:$Y$1,0))*H$2+INDEX(Zawodnicy[],MATCH($A34,Players!$A$2:$A$35,0),MATCH($B$3,Players!$A$1:$Y$1,0))*H$3+INDEX(Zawodnicy[],MATCH($A34,Players!$A$2:$A$35,0),MATCH($B$4,Players!$A$1:$Y$1,0))*H$4+INDEX(Zawodnicy[],MATCH($A34,Players!$A$2:$A$35,0),MATCH($B$5,Players!$A$1:$Y$1,0))*H$5+INDEX(Zawodnicy[],MATCH($A34,Players!$A$2:$A$35,0),MATCH($B$6,Players!$A$1:$Y$1,0))*H$6+INDEX(Zawodnicy[],MATCH($A34,Players!$A$2:$A$35,0),MATCH($B$7,Players!$A$1:$Y$1,0))*H$7+INDEX(Zawodnicy[],MATCH($A34,Players!$A$2:$A$35,0),MATCH($B$8,Players!$A$1:$Y$1,0))*H$8+INDEX(Zawodnicy[],MATCH($A34,Players!$A$2:$A$35,0),MATCH($B$9,Players!$A$1:$Y$1,0))*H$9+INDEX(Zawodnicy[],MATCH($A34,Players!$A$2:$A$35,0),MATCH($B$10,Players!$A$1:$Y$1,0))*H$10+INDEX(Zawodnicy[],MATCH($A34,Players!$A$2:$A$35,0),MATCH($B$11,Players!$A$1:$Y$1,0))*H$11+INDEX(Zawodnicy[],MATCH($A34,Players!$A$2:$A$35,0),MATCH($B$12,Players!$A$1:$Y$1,0))*H$12+INDEX(Zawodnicy[],MATCH($A34,Players!$A$2:$A$35,0),MATCH($B$13,Players!$A$1:$Y$1,0))*H$13,"-")</f>
        <v>60.52</v>
      </c>
      <c r="I34" s="38">
        <f>IFERROR(INDEX(Zawodnicy[],MATCH($A34,Players!$A$2:$A$35,0),MATCH($B$2,Players!$A$1:$Y$1,0))*I$2+INDEX(Zawodnicy[],MATCH($A34,Players!$A$2:$A$35,0),MATCH($B$3,Players!$A$1:$Y$1,0))*I$3+INDEX(Zawodnicy[],MATCH($A34,Players!$A$2:$A$35,0),MATCH($B$4,Players!$A$1:$Y$1,0))*I$4+INDEX(Zawodnicy[],MATCH($A34,Players!$A$2:$A$35,0),MATCH($B$5,Players!$A$1:$Y$1,0))*I$5+INDEX(Zawodnicy[],MATCH($A34,Players!$A$2:$A$35,0),MATCH($B$6,Players!$A$1:$Y$1,0))*I$6+INDEX(Zawodnicy[],MATCH($A34,Players!$A$2:$A$35,0),MATCH($B$7,Players!$A$1:$Y$1,0))*I$7+INDEX(Zawodnicy[],MATCH($A34,Players!$A$2:$A$35,0),MATCH($B$8,Players!$A$1:$Y$1,0))*I$8+INDEX(Zawodnicy[],MATCH($A34,Players!$A$2:$A$35,0),MATCH($B$9,Players!$A$1:$Y$1,0))*I$9+INDEX(Zawodnicy[],MATCH($A34,Players!$A$2:$A$35,0),MATCH($B$10,Players!$A$1:$Y$1,0))*I$10+INDEX(Zawodnicy[],MATCH($A34,Players!$A$2:$A$35,0),MATCH($B$11,Players!$A$1:$Y$1,0))*I$11+INDEX(Zawodnicy[],MATCH($A34,Players!$A$2:$A$35,0),MATCH($B$12,Players!$A$1:$Y$1,0))*I$12+INDEX(Zawodnicy[],MATCH($A34,Players!$A$2:$A$35,0),MATCH($B$13,Players!$A$1:$Y$1,0))*I$13,"-")</f>
        <v>69.52</v>
      </c>
      <c r="J34" s="38">
        <f>IFERROR(INDEX(Zawodnicy[],MATCH($A34,Players!$A$2:$A$35,0),MATCH($B$2,Players!$A$1:$Y$1,0))*J$2+INDEX(Zawodnicy[],MATCH($A34,Players!$A$2:$A$35,0),MATCH($B$3,Players!$A$1:$Y$1,0))*J$3+INDEX(Zawodnicy[],MATCH($A34,Players!$A$2:$A$35,0),MATCH($B$4,Players!$A$1:$Y$1,0))*J$4+INDEX(Zawodnicy[],MATCH($A34,Players!$A$2:$A$35,0),MATCH($B$5,Players!$A$1:$Y$1,0))*J$5+INDEX(Zawodnicy[],MATCH($A34,Players!$A$2:$A$35,0),MATCH($B$6,Players!$A$1:$Y$1,0))*J$6+INDEX(Zawodnicy[],MATCH($A34,Players!$A$2:$A$35,0),MATCH($B$7,Players!$A$1:$Y$1,0))*J$7+INDEX(Zawodnicy[],MATCH($A34,Players!$A$2:$A$35,0),MATCH($B$8,Players!$A$1:$Y$1,0))*J$8+INDEX(Zawodnicy[],MATCH($A34,Players!$A$2:$A$35,0),MATCH($B$9,Players!$A$1:$Y$1,0))*J$9+INDEX(Zawodnicy[],MATCH($A34,Players!$A$2:$A$35,0),MATCH($B$10,Players!$A$1:$Y$1,0))*J$10+INDEX(Zawodnicy[],MATCH($A34,Players!$A$2:$A$35,0),MATCH($B$11,Players!$A$1:$Y$1,0))*J$11+INDEX(Zawodnicy[],MATCH($A34,Players!$A$2:$A$35,0),MATCH($B$12,Players!$A$1:$Y$1,0))*J$12+INDEX(Zawodnicy[],MATCH($A34,Players!$A$2:$A$35,0),MATCH($B$13,Players!$A$1:$Y$1,0))*J$13,"-")</f>
        <v>65.77000000000001</v>
      </c>
      <c r="K34" s="38">
        <f>IFERROR(INDEX(Zawodnicy[],MATCH($A34,Players!$A$2:$A$35,0),MATCH($B$2,Players!$A$1:$Y$1,0))*K$2+INDEX(Zawodnicy[],MATCH($A34,Players!$A$2:$A$35,0),MATCH($B$3,Players!$A$1:$Y$1,0))*K$3+INDEX(Zawodnicy[],MATCH($A34,Players!$A$2:$A$35,0),MATCH($B$4,Players!$A$1:$Y$1,0))*K$4+INDEX(Zawodnicy[],MATCH($A34,Players!$A$2:$A$35,0),MATCH($B$5,Players!$A$1:$Y$1,0))*K$5+INDEX(Zawodnicy[],MATCH($A34,Players!$A$2:$A$35,0),MATCH($B$6,Players!$A$1:$Y$1,0))*K$6+INDEX(Zawodnicy[],MATCH($A34,Players!$A$2:$A$35,0),MATCH($B$7,Players!$A$1:$Y$1,0))*K$7+INDEX(Zawodnicy[],MATCH($A34,Players!$A$2:$A$35,0),MATCH($B$8,Players!$A$1:$Y$1,0))*K$8+INDEX(Zawodnicy[],MATCH($A34,Players!$A$2:$A$35,0),MATCH($B$9,Players!$A$1:$Y$1,0))*K$9+INDEX(Zawodnicy[],MATCH($A34,Players!$A$2:$A$35,0),MATCH($B$10,Players!$A$1:$Y$1,0))*K$10+INDEX(Zawodnicy[],MATCH($A34,Players!$A$2:$A$35,0),MATCH($B$11,Players!$A$1:$Y$1,0))*K$11+INDEX(Zawodnicy[],MATCH($A34,Players!$A$2:$A$35,0),MATCH($B$12,Players!$A$1:$Y$1,0))*K$12+INDEX(Zawodnicy[],MATCH($A34,Players!$A$2:$A$35,0),MATCH($B$13,Players!$A$1:$Y$1,0))*K$13,"-")</f>
        <v>78.27</v>
      </c>
    </row>
    <row r="35" spans="1:11" x14ac:dyDescent="0.25">
      <c r="A35" s="63">
        <f>PozycjeŚr[[#This Row],[Numer]]</f>
        <v>20</v>
      </c>
      <c r="B35" s="3" t="str">
        <f>IFERROR(VLOOKUP(PozycjeMG[[#This Row],[Numer]],Zawodnicy[[Number]:[Player name]],2,FALSE),"-")</f>
        <v>Wincent Janiczek</v>
      </c>
      <c r="C35" s="38">
        <f>IFERROR(INDEX(Zawodnicy[],MATCH($A35,Players!$A$2:$A$35,0),MATCH($B$2,Players!$A$1:$Y$1,0))*C$2+INDEX(Zawodnicy[],MATCH($A35,Players!$A$2:$A$35,0),MATCH($B$3,Players!$A$1:$Y$1,0))*C$3+INDEX(Zawodnicy[],MATCH($A35,Players!$A$2:$A$35,0),MATCH($B$4,Players!$A$1:$Y$1,0))*C$4+INDEX(Zawodnicy[],MATCH($A35,Players!$A$2:$A$35,0),MATCH($B$5,Players!$A$1:$Y$1,0))*C$5+INDEX(Zawodnicy[],MATCH($A35,Players!$A$2:$A$35,0),MATCH($B$6,Players!$A$1:$Y$1,0))*C$6+INDEX(Zawodnicy[],MATCH($A35,Players!$A$2:$A$35,0),MATCH($B$7,Players!$A$1:$Y$1,0))*C$7+INDEX(Zawodnicy[],MATCH($A35,Players!$A$2:$A$35,0),MATCH($B$8,Players!$A$1:$Y$1,0))*C$8+INDEX(Zawodnicy[],MATCH($A35,Players!$A$2:$A$35,0),MATCH($B$9,Players!$A$1:$Y$1,0))*C$9+INDEX(Zawodnicy[],MATCH($A35,Players!$A$2:$A$35,0),MATCH($B$10,Players!$A$1:$Y$1,0))*C$10+INDEX(Zawodnicy[],MATCH($A35,Players!$A$2:$A$35,0),MATCH($B$11,Players!$A$1:$Y$1,0))*C$11+INDEX(Zawodnicy[],MATCH($A35,Players!$A$2:$A$35,0),MATCH($B$12,Players!$A$1:$Y$1,0))*C$12+INDEX(Zawodnicy[],MATCH($A35,Players!$A$2:$A$35,0),MATCH($B$13,Players!$A$1:$Y$1,0))*C$13,"-")</f>
        <v>25.03</v>
      </c>
      <c r="D35" s="38">
        <f>IFERROR(INDEX(Zawodnicy[],MATCH($A35,Players!$A$2:$A$35,0),MATCH($B$2,Players!$A$1:$Y$1,0))*D$2+INDEX(Zawodnicy[],MATCH($A35,Players!$A$2:$A$35,0),MATCH($B$3,Players!$A$1:$Y$1,0))*D$3+INDEX(Zawodnicy[],MATCH($A35,Players!$A$2:$A$35,0),MATCH($B$4,Players!$A$1:$Y$1,0))*D$4+INDEX(Zawodnicy[],MATCH($A35,Players!$A$2:$A$35,0),MATCH($B$5,Players!$A$1:$Y$1,0))*D$5+INDEX(Zawodnicy[],MATCH($A35,Players!$A$2:$A$35,0),MATCH($B$6,Players!$A$1:$Y$1,0))*D$6+INDEX(Zawodnicy[],MATCH($A35,Players!$A$2:$A$35,0),MATCH($B$7,Players!$A$1:$Y$1,0))*D$7+INDEX(Zawodnicy[],MATCH($A35,Players!$A$2:$A$35,0),MATCH($B$8,Players!$A$1:$Y$1,0))*D$8+INDEX(Zawodnicy[],MATCH($A35,Players!$A$2:$A$35,0),MATCH($B$9,Players!$A$1:$Y$1,0))*D$9+INDEX(Zawodnicy[],MATCH($A35,Players!$A$2:$A$35,0),MATCH($B$10,Players!$A$1:$Y$1,0))*D$10+INDEX(Zawodnicy[],MATCH($A35,Players!$A$2:$A$35,0),MATCH($B$11,Players!$A$1:$Y$1,0))*D$11+INDEX(Zawodnicy[],MATCH($A35,Players!$A$2:$A$35,0),MATCH($B$12,Players!$A$1:$Y$1,0))*D$12+INDEX(Zawodnicy[],MATCH($A35,Players!$A$2:$A$35,0),MATCH($B$13,Players!$A$1:$Y$1,0))*D$13,"-")</f>
        <v>49.03</v>
      </c>
      <c r="E35" s="38">
        <f>IFERROR(INDEX(Zawodnicy[],MATCH($A35,Players!$A$2:$A$35,0),MATCH($B$2,Players!$A$1:$Y$1,0))*E$2+INDEX(Zawodnicy[],MATCH($A35,Players!$A$2:$A$35,0),MATCH($B$3,Players!$A$1:$Y$1,0))*E$3+INDEX(Zawodnicy[],MATCH($A35,Players!$A$2:$A$35,0),MATCH($B$4,Players!$A$1:$Y$1,0))*E$4+INDEX(Zawodnicy[],MATCH($A35,Players!$A$2:$A$35,0),MATCH($B$5,Players!$A$1:$Y$1,0))*E$5+INDEX(Zawodnicy[],MATCH($A35,Players!$A$2:$A$35,0),MATCH($B$6,Players!$A$1:$Y$1,0))*E$6+INDEX(Zawodnicy[],MATCH($A35,Players!$A$2:$A$35,0),MATCH($B$7,Players!$A$1:$Y$1,0))*E$7+INDEX(Zawodnicy[],MATCH($A35,Players!$A$2:$A$35,0),MATCH($B$8,Players!$A$1:$Y$1,0))*E$8+INDEX(Zawodnicy[],MATCH($A35,Players!$A$2:$A$35,0),MATCH($B$9,Players!$A$1:$Y$1,0))*E$9+INDEX(Zawodnicy[],MATCH($A35,Players!$A$2:$A$35,0),MATCH($B$10,Players!$A$1:$Y$1,0))*E$10+INDEX(Zawodnicy[],MATCH($A35,Players!$A$2:$A$35,0),MATCH($B$11,Players!$A$1:$Y$1,0))*E$11+INDEX(Zawodnicy[],MATCH($A35,Players!$A$2:$A$35,0),MATCH($B$12,Players!$A$1:$Y$1,0))*E$12+INDEX(Zawodnicy[],MATCH($A35,Players!$A$2:$A$35,0),MATCH($B$13,Players!$A$1:$Y$1,0))*E$13,"-")</f>
        <v>54.28</v>
      </c>
      <c r="F35" s="38">
        <f>IFERROR(INDEX(Zawodnicy[],MATCH($A35,Players!$A$2:$A$35,0),MATCH($B$2,Players!$A$1:$Y$1,0))*F$2+INDEX(Zawodnicy[],MATCH($A35,Players!$A$2:$A$35,0),MATCH($B$3,Players!$A$1:$Y$1,0))*F$3+INDEX(Zawodnicy[],MATCH($A35,Players!$A$2:$A$35,0),MATCH($B$4,Players!$A$1:$Y$1,0))*F$4+INDEX(Zawodnicy[],MATCH($A35,Players!$A$2:$A$35,0),MATCH($B$5,Players!$A$1:$Y$1,0))*F$5+INDEX(Zawodnicy[],MATCH($A35,Players!$A$2:$A$35,0),MATCH($B$6,Players!$A$1:$Y$1,0))*F$6+INDEX(Zawodnicy[],MATCH($A35,Players!$A$2:$A$35,0),MATCH($B$7,Players!$A$1:$Y$1,0))*F$7+INDEX(Zawodnicy[],MATCH($A35,Players!$A$2:$A$35,0),MATCH($B$8,Players!$A$1:$Y$1,0))*F$8+INDEX(Zawodnicy[],MATCH($A35,Players!$A$2:$A$35,0),MATCH($B$9,Players!$A$1:$Y$1,0))*F$9+INDEX(Zawodnicy[],MATCH($A35,Players!$A$2:$A$35,0),MATCH($B$10,Players!$A$1:$Y$1,0))*F$10+INDEX(Zawodnicy[],MATCH($A35,Players!$A$2:$A$35,0),MATCH($B$11,Players!$A$1:$Y$1,0))*F$11+INDEX(Zawodnicy[],MATCH($A35,Players!$A$2:$A$35,0),MATCH($B$12,Players!$A$1:$Y$1,0))*F$12+INDEX(Zawodnicy[],MATCH($A35,Players!$A$2:$A$35,0),MATCH($B$13,Players!$A$1:$Y$1,0))*F$13,"-")</f>
        <v>52.53</v>
      </c>
      <c r="G35" s="38">
        <f>IFERROR(INDEX(Zawodnicy[],MATCH($A35,Players!$A$2:$A$35,0),MATCH($B$2,Players!$A$1:$Y$1,0))*G$2+INDEX(Zawodnicy[],MATCH($A35,Players!$A$2:$A$35,0),MATCH($B$3,Players!$A$1:$Y$1,0))*G$3+INDEX(Zawodnicy[],MATCH($A35,Players!$A$2:$A$35,0),MATCH($B$4,Players!$A$1:$Y$1,0))*G$4+INDEX(Zawodnicy[],MATCH($A35,Players!$A$2:$A$35,0),MATCH($B$5,Players!$A$1:$Y$1,0))*G$5+INDEX(Zawodnicy[],MATCH($A35,Players!$A$2:$A$35,0),MATCH($B$6,Players!$A$1:$Y$1,0))*G$6+INDEX(Zawodnicy[],MATCH($A35,Players!$A$2:$A$35,0),MATCH($B$7,Players!$A$1:$Y$1,0))*G$7+INDEX(Zawodnicy[],MATCH($A35,Players!$A$2:$A$35,0),MATCH($B$8,Players!$A$1:$Y$1,0))*G$8+INDEX(Zawodnicy[],MATCH($A35,Players!$A$2:$A$35,0),MATCH($B$9,Players!$A$1:$Y$1,0))*G$9+INDEX(Zawodnicy[],MATCH($A35,Players!$A$2:$A$35,0),MATCH($B$10,Players!$A$1:$Y$1,0))*G$10+INDEX(Zawodnicy[],MATCH($A35,Players!$A$2:$A$35,0),MATCH($B$11,Players!$A$1:$Y$1,0))*G$11+INDEX(Zawodnicy[],MATCH($A35,Players!$A$2:$A$35,0),MATCH($B$12,Players!$A$1:$Y$1,0))*G$12+INDEX(Zawodnicy[],MATCH($A35,Players!$A$2:$A$35,0),MATCH($B$13,Players!$A$1:$Y$1,0))*G$13,"-")</f>
        <v>55.53</v>
      </c>
      <c r="H35" s="38">
        <f>IFERROR(INDEX(Zawodnicy[],MATCH($A35,Players!$A$2:$A$35,0),MATCH($B$2,Players!$A$1:$Y$1,0))*H$2+INDEX(Zawodnicy[],MATCH($A35,Players!$A$2:$A$35,0),MATCH($B$3,Players!$A$1:$Y$1,0))*H$3+INDEX(Zawodnicy[],MATCH($A35,Players!$A$2:$A$35,0),MATCH($B$4,Players!$A$1:$Y$1,0))*H$4+INDEX(Zawodnicy[],MATCH($A35,Players!$A$2:$A$35,0),MATCH($B$5,Players!$A$1:$Y$1,0))*H$5+INDEX(Zawodnicy[],MATCH($A35,Players!$A$2:$A$35,0),MATCH($B$6,Players!$A$1:$Y$1,0))*H$6+INDEX(Zawodnicy[],MATCH($A35,Players!$A$2:$A$35,0),MATCH($B$7,Players!$A$1:$Y$1,0))*H$7+INDEX(Zawodnicy[],MATCH($A35,Players!$A$2:$A$35,0),MATCH($B$8,Players!$A$1:$Y$1,0))*H$8+INDEX(Zawodnicy[],MATCH($A35,Players!$A$2:$A$35,0),MATCH($B$9,Players!$A$1:$Y$1,0))*H$9+INDEX(Zawodnicy[],MATCH($A35,Players!$A$2:$A$35,0),MATCH($B$10,Players!$A$1:$Y$1,0))*H$10+INDEX(Zawodnicy[],MATCH($A35,Players!$A$2:$A$35,0),MATCH($B$11,Players!$A$1:$Y$1,0))*H$11+INDEX(Zawodnicy[],MATCH($A35,Players!$A$2:$A$35,0),MATCH($B$12,Players!$A$1:$Y$1,0))*H$12+INDEX(Zawodnicy[],MATCH($A35,Players!$A$2:$A$35,0),MATCH($B$13,Players!$A$1:$Y$1,0))*H$13,"-")</f>
        <v>58.78</v>
      </c>
      <c r="I35" s="38">
        <f>IFERROR(INDEX(Zawodnicy[],MATCH($A35,Players!$A$2:$A$35,0),MATCH($B$2,Players!$A$1:$Y$1,0))*I$2+INDEX(Zawodnicy[],MATCH($A35,Players!$A$2:$A$35,0),MATCH($B$3,Players!$A$1:$Y$1,0))*I$3+INDEX(Zawodnicy[],MATCH($A35,Players!$A$2:$A$35,0),MATCH($B$4,Players!$A$1:$Y$1,0))*I$4+INDEX(Zawodnicy[],MATCH($A35,Players!$A$2:$A$35,0),MATCH($B$5,Players!$A$1:$Y$1,0))*I$5+INDEX(Zawodnicy[],MATCH($A35,Players!$A$2:$A$35,0),MATCH($B$6,Players!$A$1:$Y$1,0))*I$6+INDEX(Zawodnicy[],MATCH($A35,Players!$A$2:$A$35,0),MATCH($B$7,Players!$A$1:$Y$1,0))*I$7+INDEX(Zawodnicy[],MATCH($A35,Players!$A$2:$A$35,0),MATCH($B$8,Players!$A$1:$Y$1,0))*I$8+INDEX(Zawodnicy[],MATCH($A35,Players!$A$2:$A$35,0),MATCH($B$9,Players!$A$1:$Y$1,0))*I$9+INDEX(Zawodnicy[],MATCH($A35,Players!$A$2:$A$35,0),MATCH($B$10,Players!$A$1:$Y$1,0))*I$10+INDEX(Zawodnicy[],MATCH($A35,Players!$A$2:$A$35,0),MATCH($B$11,Players!$A$1:$Y$1,0))*I$11+INDEX(Zawodnicy[],MATCH($A35,Players!$A$2:$A$35,0),MATCH($B$12,Players!$A$1:$Y$1,0))*I$12+INDEX(Zawodnicy[],MATCH($A35,Players!$A$2:$A$35,0),MATCH($B$13,Players!$A$1:$Y$1,0))*I$13,"-")</f>
        <v>57.78</v>
      </c>
      <c r="J35" s="38">
        <f>IFERROR(INDEX(Zawodnicy[],MATCH($A35,Players!$A$2:$A$35,0),MATCH($B$2,Players!$A$1:$Y$1,0))*J$2+INDEX(Zawodnicy[],MATCH($A35,Players!$A$2:$A$35,0),MATCH($B$3,Players!$A$1:$Y$1,0))*J$3+INDEX(Zawodnicy[],MATCH($A35,Players!$A$2:$A$35,0),MATCH($B$4,Players!$A$1:$Y$1,0))*J$4+INDEX(Zawodnicy[],MATCH($A35,Players!$A$2:$A$35,0),MATCH($B$5,Players!$A$1:$Y$1,0))*J$5+INDEX(Zawodnicy[],MATCH($A35,Players!$A$2:$A$35,0),MATCH($B$6,Players!$A$1:$Y$1,0))*J$6+INDEX(Zawodnicy[],MATCH($A35,Players!$A$2:$A$35,0),MATCH($B$7,Players!$A$1:$Y$1,0))*J$7+INDEX(Zawodnicy[],MATCH($A35,Players!$A$2:$A$35,0),MATCH($B$8,Players!$A$1:$Y$1,0))*J$8+INDEX(Zawodnicy[],MATCH($A35,Players!$A$2:$A$35,0),MATCH($B$9,Players!$A$1:$Y$1,0))*J$9+INDEX(Zawodnicy[],MATCH($A35,Players!$A$2:$A$35,0),MATCH($B$10,Players!$A$1:$Y$1,0))*J$10+INDEX(Zawodnicy[],MATCH($A35,Players!$A$2:$A$35,0),MATCH($B$11,Players!$A$1:$Y$1,0))*J$11+INDEX(Zawodnicy[],MATCH($A35,Players!$A$2:$A$35,0),MATCH($B$12,Players!$A$1:$Y$1,0))*J$12+INDEX(Zawodnicy[],MATCH($A35,Players!$A$2:$A$35,0),MATCH($B$13,Players!$A$1:$Y$1,0))*J$13,"-")</f>
        <v>56.03</v>
      </c>
      <c r="K35" s="38">
        <f>IFERROR(INDEX(Zawodnicy[],MATCH($A35,Players!$A$2:$A$35,0),MATCH($B$2,Players!$A$1:$Y$1,0))*K$2+INDEX(Zawodnicy[],MATCH($A35,Players!$A$2:$A$35,0),MATCH($B$3,Players!$A$1:$Y$1,0))*K$3+INDEX(Zawodnicy[],MATCH($A35,Players!$A$2:$A$35,0),MATCH($B$4,Players!$A$1:$Y$1,0))*K$4+INDEX(Zawodnicy[],MATCH($A35,Players!$A$2:$A$35,0),MATCH($B$5,Players!$A$1:$Y$1,0))*K$5+INDEX(Zawodnicy[],MATCH($A35,Players!$A$2:$A$35,0),MATCH($B$6,Players!$A$1:$Y$1,0))*K$6+INDEX(Zawodnicy[],MATCH($A35,Players!$A$2:$A$35,0),MATCH($B$7,Players!$A$1:$Y$1,0))*K$7+INDEX(Zawodnicy[],MATCH($A35,Players!$A$2:$A$35,0),MATCH($B$8,Players!$A$1:$Y$1,0))*K$8+INDEX(Zawodnicy[],MATCH($A35,Players!$A$2:$A$35,0),MATCH($B$9,Players!$A$1:$Y$1,0))*K$9+INDEX(Zawodnicy[],MATCH($A35,Players!$A$2:$A$35,0),MATCH($B$10,Players!$A$1:$Y$1,0))*K$10+INDEX(Zawodnicy[],MATCH($A35,Players!$A$2:$A$35,0),MATCH($B$11,Players!$A$1:$Y$1,0))*K$11+INDEX(Zawodnicy[],MATCH($A35,Players!$A$2:$A$35,0),MATCH($B$12,Players!$A$1:$Y$1,0))*K$12+INDEX(Zawodnicy[],MATCH($A35,Players!$A$2:$A$35,0),MATCH($B$13,Players!$A$1:$Y$1,0))*K$13,"-")</f>
        <v>55.53</v>
      </c>
    </row>
    <row r="36" spans="1:11" x14ac:dyDescent="0.25">
      <c r="A36" s="63">
        <f>PozycjeŚr[[#This Row],[Numer]]</f>
        <v>22</v>
      </c>
      <c r="B36" s="67" t="str">
        <f>IFERROR(VLOOKUP(PozycjeMG[[#This Row],[Numer]],Zawodnicy[[Number]:[Player name]],2,FALSE),"-")</f>
        <v>Daniel Dziewulski</v>
      </c>
      <c r="C36" s="38">
        <f>IFERROR(INDEX(Zawodnicy[],MATCH($A36,Players!$A$2:$A$35,0),MATCH($B$2,Players!$A$1:$Y$1,0))*C$2+INDEX(Zawodnicy[],MATCH($A36,Players!$A$2:$A$35,0),MATCH($B$3,Players!$A$1:$Y$1,0))*C$3+INDEX(Zawodnicy[],MATCH($A36,Players!$A$2:$A$35,0),MATCH($B$4,Players!$A$1:$Y$1,0))*C$4+INDEX(Zawodnicy[],MATCH($A36,Players!$A$2:$A$35,0),MATCH($B$5,Players!$A$1:$Y$1,0))*C$5+INDEX(Zawodnicy[],MATCH($A36,Players!$A$2:$A$35,0),MATCH($B$6,Players!$A$1:$Y$1,0))*C$6+INDEX(Zawodnicy[],MATCH($A36,Players!$A$2:$A$35,0),MATCH($B$7,Players!$A$1:$Y$1,0))*C$7+INDEX(Zawodnicy[],MATCH($A36,Players!$A$2:$A$35,0),MATCH($B$8,Players!$A$1:$Y$1,0))*C$8+INDEX(Zawodnicy[],MATCH($A36,Players!$A$2:$A$35,0),MATCH($B$9,Players!$A$1:$Y$1,0))*C$9+INDEX(Zawodnicy[],MATCH($A36,Players!$A$2:$A$35,0),MATCH($B$10,Players!$A$1:$Y$1,0))*C$10+INDEX(Zawodnicy[],MATCH($A36,Players!$A$2:$A$35,0),MATCH($B$11,Players!$A$1:$Y$1,0))*C$11+INDEX(Zawodnicy[],MATCH($A36,Players!$A$2:$A$35,0),MATCH($B$12,Players!$A$1:$Y$1,0))*C$12+INDEX(Zawodnicy[],MATCH($A36,Players!$A$2:$A$35,0),MATCH($B$13,Players!$A$1:$Y$1,0))*C$13,"-")</f>
        <v>21.51</v>
      </c>
      <c r="D36" s="38">
        <f>IFERROR(INDEX(Zawodnicy[],MATCH($A36,Players!$A$2:$A$35,0),MATCH($B$2,Players!$A$1:$Y$1,0))*D$2+INDEX(Zawodnicy[],MATCH($A36,Players!$A$2:$A$35,0),MATCH($B$3,Players!$A$1:$Y$1,0))*D$3+INDEX(Zawodnicy[],MATCH($A36,Players!$A$2:$A$35,0),MATCH($B$4,Players!$A$1:$Y$1,0))*D$4+INDEX(Zawodnicy[],MATCH($A36,Players!$A$2:$A$35,0),MATCH($B$5,Players!$A$1:$Y$1,0))*D$5+INDEX(Zawodnicy[],MATCH($A36,Players!$A$2:$A$35,0),MATCH($B$6,Players!$A$1:$Y$1,0))*D$6+INDEX(Zawodnicy[],MATCH($A36,Players!$A$2:$A$35,0),MATCH($B$7,Players!$A$1:$Y$1,0))*D$7+INDEX(Zawodnicy[],MATCH($A36,Players!$A$2:$A$35,0),MATCH($B$8,Players!$A$1:$Y$1,0))*D$8+INDEX(Zawodnicy[],MATCH($A36,Players!$A$2:$A$35,0),MATCH($B$9,Players!$A$1:$Y$1,0))*D$9+INDEX(Zawodnicy[],MATCH($A36,Players!$A$2:$A$35,0),MATCH($B$10,Players!$A$1:$Y$1,0))*D$10+INDEX(Zawodnicy[],MATCH($A36,Players!$A$2:$A$35,0),MATCH($B$11,Players!$A$1:$Y$1,0))*D$11+INDEX(Zawodnicy[],MATCH($A36,Players!$A$2:$A$35,0),MATCH($B$12,Players!$A$1:$Y$1,0))*D$12+INDEX(Zawodnicy[],MATCH($A36,Players!$A$2:$A$35,0),MATCH($B$13,Players!$A$1:$Y$1,0))*D$13,"-")</f>
        <v>40.01</v>
      </c>
      <c r="E36" s="38">
        <f>IFERROR(INDEX(Zawodnicy[],MATCH($A36,Players!$A$2:$A$35,0),MATCH($B$2,Players!$A$1:$Y$1,0))*E$2+INDEX(Zawodnicy[],MATCH($A36,Players!$A$2:$A$35,0),MATCH($B$3,Players!$A$1:$Y$1,0))*E$3+INDEX(Zawodnicy[],MATCH($A36,Players!$A$2:$A$35,0),MATCH($B$4,Players!$A$1:$Y$1,0))*E$4+INDEX(Zawodnicy[],MATCH($A36,Players!$A$2:$A$35,0),MATCH($B$5,Players!$A$1:$Y$1,0))*E$5+INDEX(Zawodnicy[],MATCH($A36,Players!$A$2:$A$35,0),MATCH($B$6,Players!$A$1:$Y$1,0))*E$6+INDEX(Zawodnicy[],MATCH($A36,Players!$A$2:$A$35,0),MATCH($B$7,Players!$A$1:$Y$1,0))*E$7+INDEX(Zawodnicy[],MATCH($A36,Players!$A$2:$A$35,0),MATCH($B$8,Players!$A$1:$Y$1,0))*E$8+INDEX(Zawodnicy[],MATCH($A36,Players!$A$2:$A$35,0),MATCH($B$9,Players!$A$1:$Y$1,0))*E$9+INDEX(Zawodnicy[],MATCH($A36,Players!$A$2:$A$35,0),MATCH($B$10,Players!$A$1:$Y$1,0))*E$10+INDEX(Zawodnicy[],MATCH($A36,Players!$A$2:$A$35,0),MATCH($B$11,Players!$A$1:$Y$1,0))*E$11+INDEX(Zawodnicy[],MATCH($A36,Players!$A$2:$A$35,0),MATCH($B$12,Players!$A$1:$Y$1,0))*E$12+INDEX(Zawodnicy[],MATCH($A36,Players!$A$2:$A$35,0),MATCH($B$13,Players!$A$1:$Y$1,0))*E$13,"-")</f>
        <v>43.51</v>
      </c>
      <c r="F36" s="38">
        <f>IFERROR(INDEX(Zawodnicy[],MATCH($A36,Players!$A$2:$A$35,0),MATCH($B$2,Players!$A$1:$Y$1,0))*F$2+INDEX(Zawodnicy[],MATCH($A36,Players!$A$2:$A$35,0),MATCH($B$3,Players!$A$1:$Y$1,0))*F$3+INDEX(Zawodnicy[],MATCH($A36,Players!$A$2:$A$35,0),MATCH($B$4,Players!$A$1:$Y$1,0))*F$4+INDEX(Zawodnicy[],MATCH($A36,Players!$A$2:$A$35,0),MATCH($B$5,Players!$A$1:$Y$1,0))*F$5+INDEX(Zawodnicy[],MATCH($A36,Players!$A$2:$A$35,0),MATCH($B$6,Players!$A$1:$Y$1,0))*F$6+INDEX(Zawodnicy[],MATCH($A36,Players!$A$2:$A$35,0),MATCH($B$7,Players!$A$1:$Y$1,0))*F$7+INDEX(Zawodnicy[],MATCH($A36,Players!$A$2:$A$35,0),MATCH($B$8,Players!$A$1:$Y$1,0))*F$8+INDEX(Zawodnicy[],MATCH($A36,Players!$A$2:$A$35,0),MATCH($B$9,Players!$A$1:$Y$1,0))*F$9+INDEX(Zawodnicy[],MATCH($A36,Players!$A$2:$A$35,0),MATCH($B$10,Players!$A$1:$Y$1,0))*F$10+INDEX(Zawodnicy[],MATCH($A36,Players!$A$2:$A$35,0),MATCH($B$11,Players!$A$1:$Y$1,0))*F$11+INDEX(Zawodnicy[],MATCH($A36,Players!$A$2:$A$35,0),MATCH($B$12,Players!$A$1:$Y$1,0))*F$12+INDEX(Zawodnicy[],MATCH($A36,Players!$A$2:$A$35,0),MATCH($B$13,Players!$A$1:$Y$1,0))*F$13,"-")</f>
        <v>47.51</v>
      </c>
      <c r="G36" s="38">
        <f>IFERROR(INDEX(Zawodnicy[],MATCH($A36,Players!$A$2:$A$35,0),MATCH($B$2,Players!$A$1:$Y$1,0))*G$2+INDEX(Zawodnicy[],MATCH($A36,Players!$A$2:$A$35,0),MATCH($B$3,Players!$A$1:$Y$1,0))*G$3+INDEX(Zawodnicy[],MATCH($A36,Players!$A$2:$A$35,0),MATCH($B$4,Players!$A$1:$Y$1,0))*G$4+INDEX(Zawodnicy[],MATCH($A36,Players!$A$2:$A$35,0),MATCH($B$5,Players!$A$1:$Y$1,0))*G$5+INDEX(Zawodnicy[],MATCH($A36,Players!$A$2:$A$35,0),MATCH($B$6,Players!$A$1:$Y$1,0))*G$6+INDEX(Zawodnicy[],MATCH($A36,Players!$A$2:$A$35,0),MATCH($B$7,Players!$A$1:$Y$1,0))*G$7+INDEX(Zawodnicy[],MATCH($A36,Players!$A$2:$A$35,0),MATCH($B$8,Players!$A$1:$Y$1,0))*G$8+INDEX(Zawodnicy[],MATCH($A36,Players!$A$2:$A$35,0),MATCH($B$9,Players!$A$1:$Y$1,0))*G$9+INDEX(Zawodnicy[],MATCH($A36,Players!$A$2:$A$35,0),MATCH($B$10,Players!$A$1:$Y$1,0))*G$10+INDEX(Zawodnicy[],MATCH($A36,Players!$A$2:$A$35,0),MATCH($B$11,Players!$A$1:$Y$1,0))*G$11+INDEX(Zawodnicy[],MATCH($A36,Players!$A$2:$A$35,0),MATCH($B$12,Players!$A$1:$Y$1,0))*G$12+INDEX(Zawodnicy[],MATCH($A36,Players!$A$2:$A$35,0),MATCH($B$13,Players!$A$1:$Y$1,0))*G$13,"-")</f>
        <v>52.01</v>
      </c>
      <c r="H36" s="38">
        <f>IFERROR(INDEX(Zawodnicy[],MATCH($A36,Players!$A$2:$A$35,0),MATCH($B$2,Players!$A$1:$Y$1,0))*H$2+INDEX(Zawodnicy[],MATCH($A36,Players!$A$2:$A$35,0),MATCH($B$3,Players!$A$1:$Y$1,0))*H$3+INDEX(Zawodnicy[],MATCH($A36,Players!$A$2:$A$35,0),MATCH($B$4,Players!$A$1:$Y$1,0))*H$4+INDEX(Zawodnicy[],MATCH($A36,Players!$A$2:$A$35,0),MATCH($B$5,Players!$A$1:$Y$1,0))*H$5+INDEX(Zawodnicy[],MATCH($A36,Players!$A$2:$A$35,0),MATCH($B$6,Players!$A$1:$Y$1,0))*H$6+INDEX(Zawodnicy[],MATCH($A36,Players!$A$2:$A$35,0),MATCH($B$7,Players!$A$1:$Y$1,0))*H$7+INDEX(Zawodnicy[],MATCH($A36,Players!$A$2:$A$35,0),MATCH($B$8,Players!$A$1:$Y$1,0))*H$8+INDEX(Zawodnicy[],MATCH($A36,Players!$A$2:$A$35,0),MATCH($B$9,Players!$A$1:$Y$1,0))*H$9+INDEX(Zawodnicy[],MATCH($A36,Players!$A$2:$A$35,0),MATCH($B$10,Players!$A$1:$Y$1,0))*H$10+INDEX(Zawodnicy[],MATCH($A36,Players!$A$2:$A$35,0),MATCH($B$11,Players!$A$1:$Y$1,0))*H$11+INDEX(Zawodnicy[],MATCH($A36,Players!$A$2:$A$35,0),MATCH($B$12,Players!$A$1:$Y$1,0))*H$12+INDEX(Zawodnicy[],MATCH($A36,Players!$A$2:$A$35,0),MATCH($B$13,Players!$A$1:$Y$1,0))*H$13,"-")</f>
        <v>53.51</v>
      </c>
      <c r="I36" s="38">
        <f>IFERROR(INDEX(Zawodnicy[],MATCH($A36,Players!$A$2:$A$35,0),MATCH($B$2,Players!$A$1:$Y$1,0))*I$2+INDEX(Zawodnicy[],MATCH($A36,Players!$A$2:$A$35,0),MATCH($B$3,Players!$A$1:$Y$1,0))*I$3+INDEX(Zawodnicy[],MATCH($A36,Players!$A$2:$A$35,0),MATCH($B$4,Players!$A$1:$Y$1,0))*I$4+INDEX(Zawodnicy[],MATCH($A36,Players!$A$2:$A$35,0),MATCH($B$5,Players!$A$1:$Y$1,0))*I$5+INDEX(Zawodnicy[],MATCH($A36,Players!$A$2:$A$35,0),MATCH($B$6,Players!$A$1:$Y$1,0))*I$6+INDEX(Zawodnicy[],MATCH($A36,Players!$A$2:$A$35,0),MATCH($B$7,Players!$A$1:$Y$1,0))*I$7+INDEX(Zawodnicy[],MATCH($A36,Players!$A$2:$A$35,0),MATCH($B$8,Players!$A$1:$Y$1,0))*I$8+INDEX(Zawodnicy[],MATCH($A36,Players!$A$2:$A$35,0),MATCH($B$9,Players!$A$1:$Y$1,0))*I$9+INDEX(Zawodnicy[],MATCH($A36,Players!$A$2:$A$35,0),MATCH($B$10,Players!$A$1:$Y$1,0))*I$10+INDEX(Zawodnicy[],MATCH($A36,Players!$A$2:$A$35,0),MATCH($B$11,Players!$A$1:$Y$1,0))*I$11+INDEX(Zawodnicy[],MATCH($A36,Players!$A$2:$A$35,0),MATCH($B$12,Players!$A$1:$Y$1,0))*I$12+INDEX(Zawodnicy[],MATCH($A36,Players!$A$2:$A$35,0),MATCH($B$13,Players!$A$1:$Y$1,0))*I$13,"-")</f>
        <v>51.26</v>
      </c>
      <c r="J36" s="38">
        <f>IFERROR(INDEX(Zawodnicy[],MATCH($A36,Players!$A$2:$A$35,0),MATCH($B$2,Players!$A$1:$Y$1,0))*J$2+INDEX(Zawodnicy[],MATCH($A36,Players!$A$2:$A$35,0),MATCH($B$3,Players!$A$1:$Y$1,0))*J$3+INDEX(Zawodnicy[],MATCH($A36,Players!$A$2:$A$35,0),MATCH($B$4,Players!$A$1:$Y$1,0))*J$4+INDEX(Zawodnicy[],MATCH($A36,Players!$A$2:$A$35,0),MATCH($B$5,Players!$A$1:$Y$1,0))*J$5+INDEX(Zawodnicy[],MATCH($A36,Players!$A$2:$A$35,0),MATCH($B$6,Players!$A$1:$Y$1,0))*J$6+INDEX(Zawodnicy[],MATCH($A36,Players!$A$2:$A$35,0),MATCH($B$7,Players!$A$1:$Y$1,0))*J$7+INDEX(Zawodnicy[],MATCH($A36,Players!$A$2:$A$35,0),MATCH($B$8,Players!$A$1:$Y$1,0))*J$8+INDEX(Zawodnicy[],MATCH($A36,Players!$A$2:$A$35,0),MATCH($B$9,Players!$A$1:$Y$1,0))*J$9+INDEX(Zawodnicy[],MATCH($A36,Players!$A$2:$A$35,0),MATCH($B$10,Players!$A$1:$Y$1,0))*J$10+INDEX(Zawodnicy[],MATCH($A36,Players!$A$2:$A$35,0),MATCH($B$11,Players!$A$1:$Y$1,0))*J$11+INDEX(Zawodnicy[],MATCH($A36,Players!$A$2:$A$35,0),MATCH($B$12,Players!$A$1:$Y$1,0))*J$12+INDEX(Zawodnicy[],MATCH($A36,Players!$A$2:$A$35,0),MATCH($B$13,Players!$A$1:$Y$1,0))*J$13,"-")</f>
        <v>50.26</v>
      </c>
      <c r="K36" s="38">
        <f>IFERROR(INDEX(Zawodnicy[],MATCH($A36,Players!$A$2:$A$35,0),MATCH($B$2,Players!$A$1:$Y$1,0))*K$2+INDEX(Zawodnicy[],MATCH($A36,Players!$A$2:$A$35,0),MATCH($B$3,Players!$A$1:$Y$1,0))*K$3+INDEX(Zawodnicy[],MATCH($A36,Players!$A$2:$A$35,0),MATCH($B$4,Players!$A$1:$Y$1,0))*K$4+INDEX(Zawodnicy[],MATCH($A36,Players!$A$2:$A$35,0),MATCH($B$5,Players!$A$1:$Y$1,0))*K$5+INDEX(Zawodnicy[],MATCH($A36,Players!$A$2:$A$35,0),MATCH($B$6,Players!$A$1:$Y$1,0))*K$6+INDEX(Zawodnicy[],MATCH($A36,Players!$A$2:$A$35,0),MATCH($B$7,Players!$A$1:$Y$1,0))*K$7+INDEX(Zawodnicy[],MATCH($A36,Players!$A$2:$A$35,0),MATCH($B$8,Players!$A$1:$Y$1,0))*K$8+INDEX(Zawodnicy[],MATCH($A36,Players!$A$2:$A$35,0),MATCH($B$9,Players!$A$1:$Y$1,0))*K$9+INDEX(Zawodnicy[],MATCH($A36,Players!$A$2:$A$35,0),MATCH($B$10,Players!$A$1:$Y$1,0))*K$10+INDEX(Zawodnicy[],MATCH($A36,Players!$A$2:$A$35,0),MATCH($B$11,Players!$A$1:$Y$1,0))*K$11+INDEX(Zawodnicy[],MATCH($A36,Players!$A$2:$A$35,0),MATCH($B$12,Players!$A$1:$Y$1,0))*K$12+INDEX(Zawodnicy[],MATCH($A36,Players!$A$2:$A$35,0),MATCH($B$13,Players!$A$1:$Y$1,0))*K$13,"-")</f>
        <v>43.26</v>
      </c>
    </row>
    <row r="37" spans="1:11" x14ac:dyDescent="0.25">
      <c r="A37" s="63">
        <f>PozycjeŚr[[#This Row],[Numer]]</f>
        <v>25</v>
      </c>
      <c r="B37" s="67" t="str">
        <f>IFERROR(VLOOKUP(PozycjeMG[[#This Row],[Numer]],Zawodnicy[[Number]:[Player name]],2,FALSE),"-")</f>
        <v>Jakub Ludwiczak</v>
      </c>
      <c r="C37" s="38">
        <f>IFERROR(INDEX(Zawodnicy[],MATCH($A37,Players!$A$2:$A$35,0),MATCH($B$2,Players!$A$1:$Y$1,0))*C$2+INDEX(Zawodnicy[],MATCH($A37,Players!$A$2:$A$35,0),MATCH($B$3,Players!$A$1:$Y$1,0))*C$3+INDEX(Zawodnicy[],MATCH($A37,Players!$A$2:$A$35,0),MATCH($B$4,Players!$A$1:$Y$1,0))*C$4+INDEX(Zawodnicy[],MATCH($A37,Players!$A$2:$A$35,0),MATCH($B$5,Players!$A$1:$Y$1,0))*C$5+INDEX(Zawodnicy[],MATCH($A37,Players!$A$2:$A$35,0),MATCH($B$6,Players!$A$1:$Y$1,0))*C$6+INDEX(Zawodnicy[],MATCH($A37,Players!$A$2:$A$35,0),MATCH($B$7,Players!$A$1:$Y$1,0))*C$7+INDEX(Zawodnicy[],MATCH($A37,Players!$A$2:$A$35,0),MATCH($B$8,Players!$A$1:$Y$1,0))*C$8+INDEX(Zawodnicy[],MATCH($A37,Players!$A$2:$A$35,0),MATCH($B$9,Players!$A$1:$Y$1,0))*C$9+INDEX(Zawodnicy[],MATCH($A37,Players!$A$2:$A$35,0),MATCH($B$10,Players!$A$1:$Y$1,0))*C$10+INDEX(Zawodnicy[],MATCH($A37,Players!$A$2:$A$35,0),MATCH($B$11,Players!$A$1:$Y$1,0))*C$11+INDEX(Zawodnicy[],MATCH($A37,Players!$A$2:$A$35,0),MATCH($B$12,Players!$A$1:$Y$1,0))*C$12+INDEX(Zawodnicy[],MATCH($A37,Players!$A$2:$A$35,0),MATCH($B$13,Players!$A$1:$Y$1,0))*C$13,"-")</f>
        <v>22.01</v>
      </c>
      <c r="D37" s="38">
        <f>IFERROR(INDEX(Zawodnicy[],MATCH($A37,Players!$A$2:$A$35,0),MATCH($B$2,Players!$A$1:$Y$1,0))*D$2+INDEX(Zawodnicy[],MATCH($A37,Players!$A$2:$A$35,0),MATCH($B$3,Players!$A$1:$Y$1,0))*D$3+INDEX(Zawodnicy[],MATCH($A37,Players!$A$2:$A$35,0),MATCH($B$4,Players!$A$1:$Y$1,0))*D$4+INDEX(Zawodnicy[],MATCH($A37,Players!$A$2:$A$35,0),MATCH($B$5,Players!$A$1:$Y$1,0))*D$5+INDEX(Zawodnicy[],MATCH($A37,Players!$A$2:$A$35,0),MATCH($B$6,Players!$A$1:$Y$1,0))*D$6+INDEX(Zawodnicy[],MATCH($A37,Players!$A$2:$A$35,0),MATCH($B$7,Players!$A$1:$Y$1,0))*D$7+INDEX(Zawodnicy[],MATCH($A37,Players!$A$2:$A$35,0),MATCH($B$8,Players!$A$1:$Y$1,0))*D$8+INDEX(Zawodnicy[],MATCH($A37,Players!$A$2:$A$35,0),MATCH($B$9,Players!$A$1:$Y$1,0))*D$9+INDEX(Zawodnicy[],MATCH($A37,Players!$A$2:$A$35,0),MATCH($B$10,Players!$A$1:$Y$1,0))*D$10+INDEX(Zawodnicy[],MATCH($A37,Players!$A$2:$A$35,0),MATCH($B$11,Players!$A$1:$Y$1,0))*D$11+INDEX(Zawodnicy[],MATCH($A37,Players!$A$2:$A$35,0),MATCH($B$12,Players!$A$1:$Y$1,0))*D$12+INDEX(Zawodnicy[],MATCH($A37,Players!$A$2:$A$35,0),MATCH($B$13,Players!$A$1:$Y$1,0))*D$13,"-")</f>
        <v>40.76</v>
      </c>
      <c r="E37" s="38">
        <f>IFERROR(INDEX(Zawodnicy[],MATCH($A37,Players!$A$2:$A$35,0),MATCH($B$2,Players!$A$1:$Y$1,0))*E$2+INDEX(Zawodnicy[],MATCH($A37,Players!$A$2:$A$35,0),MATCH($B$3,Players!$A$1:$Y$1,0))*E$3+INDEX(Zawodnicy[],MATCH($A37,Players!$A$2:$A$35,0),MATCH($B$4,Players!$A$1:$Y$1,0))*E$4+INDEX(Zawodnicy[],MATCH($A37,Players!$A$2:$A$35,0),MATCH($B$5,Players!$A$1:$Y$1,0))*E$5+INDEX(Zawodnicy[],MATCH($A37,Players!$A$2:$A$35,0),MATCH($B$6,Players!$A$1:$Y$1,0))*E$6+INDEX(Zawodnicy[],MATCH($A37,Players!$A$2:$A$35,0),MATCH($B$7,Players!$A$1:$Y$1,0))*E$7+INDEX(Zawodnicy[],MATCH($A37,Players!$A$2:$A$35,0),MATCH($B$8,Players!$A$1:$Y$1,0))*E$8+INDEX(Zawodnicy[],MATCH($A37,Players!$A$2:$A$35,0),MATCH($B$9,Players!$A$1:$Y$1,0))*E$9+INDEX(Zawodnicy[],MATCH($A37,Players!$A$2:$A$35,0),MATCH($B$10,Players!$A$1:$Y$1,0))*E$10+INDEX(Zawodnicy[],MATCH($A37,Players!$A$2:$A$35,0),MATCH($B$11,Players!$A$1:$Y$1,0))*E$11+INDEX(Zawodnicy[],MATCH($A37,Players!$A$2:$A$35,0),MATCH($B$12,Players!$A$1:$Y$1,0))*E$12+INDEX(Zawodnicy[],MATCH($A37,Players!$A$2:$A$35,0),MATCH($B$13,Players!$A$1:$Y$1,0))*E$13,"-")</f>
        <v>44.76</v>
      </c>
      <c r="F37" s="38">
        <f>IFERROR(INDEX(Zawodnicy[],MATCH($A37,Players!$A$2:$A$35,0),MATCH($B$2,Players!$A$1:$Y$1,0))*F$2+INDEX(Zawodnicy[],MATCH($A37,Players!$A$2:$A$35,0),MATCH($B$3,Players!$A$1:$Y$1,0))*F$3+INDEX(Zawodnicy[],MATCH($A37,Players!$A$2:$A$35,0),MATCH($B$4,Players!$A$1:$Y$1,0))*F$4+INDEX(Zawodnicy[],MATCH($A37,Players!$A$2:$A$35,0),MATCH($B$5,Players!$A$1:$Y$1,0))*F$5+INDEX(Zawodnicy[],MATCH($A37,Players!$A$2:$A$35,0),MATCH($B$6,Players!$A$1:$Y$1,0))*F$6+INDEX(Zawodnicy[],MATCH($A37,Players!$A$2:$A$35,0),MATCH($B$7,Players!$A$1:$Y$1,0))*F$7+INDEX(Zawodnicy[],MATCH($A37,Players!$A$2:$A$35,0),MATCH($B$8,Players!$A$1:$Y$1,0))*F$8+INDEX(Zawodnicy[],MATCH($A37,Players!$A$2:$A$35,0),MATCH($B$9,Players!$A$1:$Y$1,0))*F$9+INDEX(Zawodnicy[],MATCH($A37,Players!$A$2:$A$35,0),MATCH($B$10,Players!$A$1:$Y$1,0))*F$10+INDEX(Zawodnicy[],MATCH($A37,Players!$A$2:$A$35,0),MATCH($B$11,Players!$A$1:$Y$1,0))*F$11+INDEX(Zawodnicy[],MATCH($A37,Players!$A$2:$A$35,0),MATCH($B$12,Players!$A$1:$Y$1,0))*F$12+INDEX(Zawodnicy[],MATCH($A37,Players!$A$2:$A$35,0),MATCH($B$13,Players!$A$1:$Y$1,0))*F$13,"-")</f>
        <v>50.51</v>
      </c>
      <c r="G37" s="38">
        <f>IFERROR(INDEX(Zawodnicy[],MATCH($A37,Players!$A$2:$A$35,0),MATCH($B$2,Players!$A$1:$Y$1,0))*G$2+INDEX(Zawodnicy[],MATCH($A37,Players!$A$2:$A$35,0),MATCH($B$3,Players!$A$1:$Y$1,0))*G$3+INDEX(Zawodnicy[],MATCH($A37,Players!$A$2:$A$35,0),MATCH($B$4,Players!$A$1:$Y$1,0))*G$4+INDEX(Zawodnicy[],MATCH($A37,Players!$A$2:$A$35,0),MATCH($B$5,Players!$A$1:$Y$1,0))*G$5+INDEX(Zawodnicy[],MATCH($A37,Players!$A$2:$A$35,0),MATCH($B$6,Players!$A$1:$Y$1,0))*G$6+INDEX(Zawodnicy[],MATCH($A37,Players!$A$2:$A$35,0),MATCH($B$7,Players!$A$1:$Y$1,0))*G$7+INDEX(Zawodnicy[],MATCH($A37,Players!$A$2:$A$35,0),MATCH($B$8,Players!$A$1:$Y$1,0))*G$8+INDEX(Zawodnicy[],MATCH($A37,Players!$A$2:$A$35,0),MATCH($B$9,Players!$A$1:$Y$1,0))*G$9+INDEX(Zawodnicy[],MATCH($A37,Players!$A$2:$A$35,0),MATCH($B$10,Players!$A$1:$Y$1,0))*G$10+INDEX(Zawodnicy[],MATCH($A37,Players!$A$2:$A$35,0),MATCH($B$11,Players!$A$1:$Y$1,0))*G$11+INDEX(Zawodnicy[],MATCH($A37,Players!$A$2:$A$35,0),MATCH($B$12,Players!$A$1:$Y$1,0))*G$12+INDEX(Zawodnicy[],MATCH($A37,Players!$A$2:$A$35,0),MATCH($B$13,Players!$A$1:$Y$1,0))*G$13,"-")</f>
        <v>57.01</v>
      </c>
      <c r="H37" s="38">
        <f>IFERROR(INDEX(Zawodnicy[],MATCH($A37,Players!$A$2:$A$35,0),MATCH($B$2,Players!$A$1:$Y$1,0))*H$2+INDEX(Zawodnicy[],MATCH($A37,Players!$A$2:$A$35,0),MATCH($B$3,Players!$A$1:$Y$1,0))*H$3+INDEX(Zawodnicy[],MATCH($A37,Players!$A$2:$A$35,0),MATCH($B$4,Players!$A$1:$Y$1,0))*H$4+INDEX(Zawodnicy[],MATCH($A37,Players!$A$2:$A$35,0),MATCH($B$5,Players!$A$1:$Y$1,0))*H$5+INDEX(Zawodnicy[],MATCH($A37,Players!$A$2:$A$35,0),MATCH($B$6,Players!$A$1:$Y$1,0))*H$6+INDEX(Zawodnicy[],MATCH($A37,Players!$A$2:$A$35,0),MATCH($B$7,Players!$A$1:$Y$1,0))*H$7+INDEX(Zawodnicy[],MATCH($A37,Players!$A$2:$A$35,0),MATCH($B$8,Players!$A$1:$Y$1,0))*H$8+INDEX(Zawodnicy[],MATCH($A37,Players!$A$2:$A$35,0),MATCH($B$9,Players!$A$1:$Y$1,0))*H$9+INDEX(Zawodnicy[],MATCH($A37,Players!$A$2:$A$35,0),MATCH($B$10,Players!$A$1:$Y$1,0))*H$10+INDEX(Zawodnicy[],MATCH($A37,Players!$A$2:$A$35,0),MATCH($B$11,Players!$A$1:$Y$1,0))*H$11+INDEX(Zawodnicy[],MATCH($A37,Players!$A$2:$A$35,0),MATCH($B$12,Players!$A$1:$Y$1,0))*H$12+INDEX(Zawodnicy[],MATCH($A37,Players!$A$2:$A$35,0),MATCH($B$13,Players!$A$1:$Y$1,0))*H$13,"-")</f>
        <v>58.01</v>
      </c>
      <c r="I37" s="38">
        <f>IFERROR(INDEX(Zawodnicy[],MATCH($A37,Players!$A$2:$A$35,0),MATCH($B$2,Players!$A$1:$Y$1,0))*I$2+INDEX(Zawodnicy[],MATCH($A37,Players!$A$2:$A$35,0),MATCH($B$3,Players!$A$1:$Y$1,0))*I$3+INDEX(Zawodnicy[],MATCH($A37,Players!$A$2:$A$35,0),MATCH($B$4,Players!$A$1:$Y$1,0))*I$4+INDEX(Zawodnicy[],MATCH($A37,Players!$A$2:$A$35,0),MATCH($B$5,Players!$A$1:$Y$1,0))*I$5+INDEX(Zawodnicy[],MATCH($A37,Players!$A$2:$A$35,0),MATCH($B$6,Players!$A$1:$Y$1,0))*I$6+INDEX(Zawodnicy[],MATCH($A37,Players!$A$2:$A$35,0),MATCH($B$7,Players!$A$1:$Y$1,0))*I$7+INDEX(Zawodnicy[],MATCH($A37,Players!$A$2:$A$35,0),MATCH($B$8,Players!$A$1:$Y$1,0))*I$8+INDEX(Zawodnicy[],MATCH($A37,Players!$A$2:$A$35,0),MATCH($B$9,Players!$A$1:$Y$1,0))*I$9+INDEX(Zawodnicy[],MATCH($A37,Players!$A$2:$A$35,0),MATCH($B$10,Players!$A$1:$Y$1,0))*I$10+INDEX(Zawodnicy[],MATCH($A37,Players!$A$2:$A$35,0),MATCH($B$11,Players!$A$1:$Y$1,0))*I$11+INDEX(Zawodnicy[],MATCH($A37,Players!$A$2:$A$35,0),MATCH($B$12,Players!$A$1:$Y$1,0))*I$12+INDEX(Zawodnicy[],MATCH($A37,Players!$A$2:$A$35,0),MATCH($B$13,Players!$A$1:$Y$1,0))*I$13,"-")</f>
        <v>58.01</v>
      </c>
      <c r="J37" s="38">
        <f>IFERROR(INDEX(Zawodnicy[],MATCH($A37,Players!$A$2:$A$35,0),MATCH($B$2,Players!$A$1:$Y$1,0))*J$2+INDEX(Zawodnicy[],MATCH($A37,Players!$A$2:$A$35,0),MATCH($B$3,Players!$A$1:$Y$1,0))*J$3+INDEX(Zawodnicy[],MATCH($A37,Players!$A$2:$A$35,0),MATCH($B$4,Players!$A$1:$Y$1,0))*J$4+INDEX(Zawodnicy[],MATCH($A37,Players!$A$2:$A$35,0),MATCH($B$5,Players!$A$1:$Y$1,0))*J$5+INDEX(Zawodnicy[],MATCH($A37,Players!$A$2:$A$35,0),MATCH($B$6,Players!$A$1:$Y$1,0))*J$6+INDEX(Zawodnicy[],MATCH($A37,Players!$A$2:$A$35,0),MATCH($B$7,Players!$A$1:$Y$1,0))*J$7+INDEX(Zawodnicy[],MATCH($A37,Players!$A$2:$A$35,0),MATCH($B$8,Players!$A$1:$Y$1,0))*J$8+INDEX(Zawodnicy[],MATCH($A37,Players!$A$2:$A$35,0),MATCH($B$9,Players!$A$1:$Y$1,0))*J$9+INDEX(Zawodnicy[],MATCH($A37,Players!$A$2:$A$35,0),MATCH($B$10,Players!$A$1:$Y$1,0))*J$10+INDEX(Zawodnicy[],MATCH($A37,Players!$A$2:$A$35,0),MATCH($B$11,Players!$A$1:$Y$1,0))*J$11+INDEX(Zawodnicy[],MATCH($A37,Players!$A$2:$A$35,0),MATCH($B$12,Players!$A$1:$Y$1,0))*J$12+INDEX(Zawodnicy[],MATCH($A37,Players!$A$2:$A$35,0),MATCH($B$13,Players!$A$1:$Y$1,0))*J$13,"-")</f>
        <v>54.51</v>
      </c>
      <c r="K37" s="38">
        <f>IFERROR(INDEX(Zawodnicy[],MATCH($A37,Players!$A$2:$A$35,0),MATCH($B$2,Players!$A$1:$Y$1,0))*K$2+INDEX(Zawodnicy[],MATCH($A37,Players!$A$2:$A$35,0),MATCH($B$3,Players!$A$1:$Y$1,0))*K$3+INDEX(Zawodnicy[],MATCH($A37,Players!$A$2:$A$35,0),MATCH($B$4,Players!$A$1:$Y$1,0))*K$4+INDEX(Zawodnicy[],MATCH($A37,Players!$A$2:$A$35,0),MATCH($B$5,Players!$A$1:$Y$1,0))*K$5+INDEX(Zawodnicy[],MATCH($A37,Players!$A$2:$A$35,0),MATCH($B$6,Players!$A$1:$Y$1,0))*K$6+INDEX(Zawodnicy[],MATCH($A37,Players!$A$2:$A$35,0),MATCH($B$7,Players!$A$1:$Y$1,0))*K$7+INDEX(Zawodnicy[],MATCH($A37,Players!$A$2:$A$35,0),MATCH($B$8,Players!$A$1:$Y$1,0))*K$8+INDEX(Zawodnicy[],MATCH($A37,Players!$A$2:$A$35,0),MATCH($B$9,Players!$A$1:$Y$1,0))*K$9+INDEX(Zawodnicy[],MATCH($A37,Players!$A$2:$A$35,0),MATCH($B$10,Players!$A$1:$Y$1,0))*K$10+INDEX(Zawodnicy[],MATCH($A37,Players!$A$2:$A$35,0),MATCH($B$11,Players!$A$1:$Y$1,0))*K$11+INDEX(Zawodnicy[],MATCH($A37,Players!$A$2:$A$35,0),MATCH($B$12,Players!$A$1:$Y$1,0))*K$12+INDEX(Zawodnicy[],MATCH($A37,Players!$A$2:$A$35,0),MATCH($B$13,Players!$A$1:$Y$1,0))*K$13,"-")</f>
        <v>47.51</v>
      </c>
    </row>
    <row r="38" spans="1:11" x14ac:dyDescent="0.25">
      <c r="A38" s="63">
        <f>PozycjeŚr[[#This Row],[Numer]]</f>
        <v>26</v>
      </c>
      <c r="B38" s="67" t="str">
        <f>IFERROR(VLOOKUP(PozycjeMG[[#This Row],[Numer]],Zawodnicy[[Number]:[Player name]],2,FALSE),"-")</f>
        <v>Ignacy Lato</v>
      </c>
      <c r="C38" s="38">
        <f>IFERROR(INDEX(Zawodnicy[],MATCH($A38,Players!$A$2:$A$35,0),MATCH($B$2,Players!$A$1:$Y$1,0))*C$2+INDEX(Zawodnicy[],MATCH($A38,Players!$A$2:$A$35,0),MATCH($B$3,Players!$A$1:$Y$1,0))*C$3+INDEX(Zawodnicy[],MATCH($A38,Players!$A$2:$A$35,0),MATCH($B$4,Players!$A$1:$Y$1,0))*C$4+INDEX(Zawodnicy[],MATCH($A38,Players!$A$2:$A$35,0),MATCH($B$5,Players!$A$1:$Y$1,0))*C$5+INDEX(Zawodnicy[],MATCH($A38,Players!$A$2:$A$35,0),MATCH($B$6,Players!$A$1:$Y$1,0))*C$6+INDEX(Zawodnicy[],MATCH($A38,Players!$A$2:$A$35,0),MATCH($B$7,Players!$A$1:$Y$1,0))*C$7+INDEX(Zawodnicy[],MATCH($A38,Players!$A$2:$A$35,0),MATCH($B$8,Players!$A$1:$Y$1,0))*C$8+INDEX(Zawodnicy[],MATCH($A38,Players!$A$2:$A$35,0),MATCH($B$9,Players!$A$1:$Y$1,0))*C$9+INDEX(Zawodnicy[],MATCH($A38,Players!$A$2:$A$35,0),MATCH($B$10,Players!$A$1:$Y$1,0))*C$10+INDEX(Zawodnicy[],MATCH($A38,Players!$A$2:$A$35,0),MATCH($B$11,Players!$A$1:$Y$1,0))*C$11+INDEX(Zawodnicy[],MATCH($A38,Players!$A$2:$A$35,0),MATCH($B$12,Players!$A$1:$Y$1,0))*C$12+INDEX(Zawodnicy[],MATCH($A38,Players!$A$2:$A$35,0),MATCH($B$13,Players!$A$1:$Y$1,0))*C$13,"-")</f>
        <v>13.01</v>
      </c>
      <c r="D38" s="38">
        <f>IFERROR(INDEX(Zawodnicy[],MATCH($A38,Players!$A$2:$A$35,0),MATCH($B$2,Players!$A$1:$Y$1,0))*D$2+INDEX(Zawodnicy[],MATCH($A38,Players!$A$2:$A$35,0),MATCH($B$3,Players!$A$1:$Y$1,0))*D$3+INDEX(Zawodnicy[],MATCH($A38,Players!$A$2:$A$35,0),MATCH($B$4,Players!$A$1:$Y$1,0))*D$4+INDEX(Zawodnicy[],MATCH($A38,Players!$A$2:$A$35,0),MATCH($B$5,Players!$A$1:$Y$1,0))*D$5+INDEX(Zawodnicy[],MATCH($A38,Players!$A$2:$A$35,0),MATCH($B$6,Players!$A$1:$Y$1,0))*D$6+INDEX(Zawodnicy[],MATCH($A38,Players!$A$2:$A$35,0),MATCH($B$7,Players!$A$1:$Y$1,0))*D$7+INDEX(Zawodnicy[],MATCH($A38,Players!$A$2:$A$35,0),MATCH($B$8,Players!$A$1:$Y$1,0))*D$8+INDEX(Zawodnicy[],MATCH($A38,Players!$A$2:$A$35,0),MATCH($B$9,Players!$A$1:$Y$1,0))*D$9+INDEX(Zawodnicy[],MATCH($A38,Players!$A$2:$A$35,0),MATCH($B$10,Players!$A$1:$Y$1,0))*D$10+INDEX(Zawodnicy[],MATCH($A38,Players!$A$2:$A$35,0),MATCH($B$11,Players!$A$1:$Y$1,0))*D$11+INDEX(Zawodnicy[],MATCH($A38,Players!$A$2:$A$35,0),MATCH($B$12,Players!$A$1:$Y$1,0))*D$12+INDEX(Zawodnicy[],MATCH($A38,Players!$A$2:$A$35,0),MATCH($B$13,Players!$A$1:$Y$1,0))*D$13,"-")</f>
        <v>34.01</v>
      </c>
      <c r="E38" s="38">
        <f>IFERROR(INDEX(Zawodnicy[],MATCH($A38,Players!$A$2:$A$35,0),MATCH($B$2,Players!$A$1:$Y$1,0))*E$2+INDEX(Zawodnicy[],MATCH($A38,Players!$A$2:$A$35,0),MATCH($B$3,Players!$A$1:$Y$1,0))*E$3+INDEX(Zawodnicy[],MATCH($A38,Players!$A$2:$A$35,0),MATCH($B$4,Players!$A$1:$Y$1,0))*E$4+INDEX(Zawodnicy[],MATCH($A38,Players!$A$2:$A$35,0),MATCH($B$5,Players!$A$1:$Y$1,0))*E$5+INDEX(Zawodnicy[],MATCH($A38,Players!$A$2:$A$35,0),MATCH($B$6,Players!$A$1:$Y$1,0))*E$6+INDEX(Zawodnicy[],MATCH($A38,Players!$A$2:$A$35,0),MATCH($B$7,Players!$A$1:$Y$1,0))*E$7+INDEX(Zawodnicy[],MATCH($A38,Players!$A$2:$A$35,0),MATCH($B$8,Players!$A$1:$Y$1,0))*E$8+INDEX(Zawodnicy[],MATCH($A38,Players!$A$2:$A$35,0),MATCH($B$9,Players!$A$1:$Y$1,0))*E$9+INDEX(Zawodnicy[],MATCH($A38,Players!$A$2:$A$35,0),MATCH($B$10,Players!$A$1:$Y$1,0))*E$10+INDEX(Zawodnicy[],MATCH($A38,Players!$A$2:$A$35,0),MATCH($B$11,Players!$A$1:$Y$1,0))*E$11+INDEX(Zawodnicy[],MATCH($A38,Players!$A$2:$A$35,0),MATCH($B$12,Players!$A$1:$Y$1,0))*E$12+INDEX(Zawodnicy[],MATCH($A38,Players!$A$2:$A$35,0),MATCH($B$13,Players!$A$1:$Y$1,0))*E$13,"-")</f>
        <v>39.76</v>
      </c>
      <c r="F38" s="38">
        <f>IFERROR(INDEX(Zawodnicy[],MATCH($A38,Players!$A$2:$A$35,0),MATCH($B$2,Players!$A$1:$Y$1,0))*F$2+INDEX(Zawodnicy[],MATCH($A38,Players!$A$2:$A$35,0),MATCH($B$3,Players!$A$1:$Y$1,0))*F$3+INDEX(Zawodnicy[],MATCH($A38,Players!$A$2:$A$35,0),MATCH($B$4,Players!$A$1:$Y$1,0))*F$4+INDEX(Zawodnicy[],MATCH($A38,Players!$A$2:$A$35,0),MATCH($B$5,Players!$A$1:$Y$1,0))*F$5+INDEX(Zawodnicy[],MATCH($A38,Players!$A$2:$A$35,0),MATCH($B$6,Players!$A$1:$Y$1,0))*F$6+INDEX(Zawodnicy[],MATCH($A38,Players!$A$2:$A$35,0),MATCH($B$7,Players!$A$1:$Y$1,0))*F$7+INDEX(Zawodnicy[],MATCH($A38,Players!$A$2:$A$35,0),MATCH($B$8,Players!$A$1:$Y$1,0))*F$8+INDEX(Zawodnicy[],MATCH($A38,Players!$A$2:$A$35,0),MATCH($B$9,Players!$A$1:$Y$1,0))*F$9+INDEX(Zawodnicy[],MATCH($A38,Players!$A$2:$A$35,0),MATCH($B$10,Players!$A$1:$Y$1,0))*F$10+INDEX(Zawodnicy[],MATCH($A38,Players!$A$2:$A$35,0),MATCH($B$11,Players!$A$1:$Y$1,0))*F$11+INDEX(Zawodnicy[],MATCH($A38,Players!$A$2:$A$35,0),MATCH($B$12,Players!$A$1:$Y$1,0))*F$12+INDEX(Zawodnicy[],MATCH($A38,Players!$A$2:$A$35,0),MATCH($B$13,Players!$A$1:$Y$1,0))*F$13,"-")</f>
        <v>42.26</v>
      </c>
      <c r="G38" s="38">
        <f>IFERROR(INDEX(Zawodnicy[],MATCH($A38,Players!$A$2:$A$35,0),MATCH($B$2,Players!$A$1:$Y$1,0))*G$2+INDEX(Zawodnicy[],MATCH($A38,Players!$A$2:$A$35,0),MATCH($B$3,Players!$A$1:$Y$1,0))*G$3+INDEX(Zawodnicy[],MATCH($A38,Players!$A$2:$A$35,0),MATCH($B$4,Players!$A$1:$Y$1,0))*G$4+INDEX(Zawodnicy[],MATCH($A38,Players!$A$2:$A$35,0),MATCH($B$5,Players!$A$1:$Y$1,0))*G$5+INDEX(Zawodnicy[],MATCH($A38,Players!$A$2:$A$35,0),MATCH($B$6,Players!$A$1:$Y$1,0))*G$6+INDEX(Zawodnicy[],MATCH($A38,Players!$A$2:$A$35,0),MATCH($B$7,Players!$A$1:$Y$1,0))*G$7+INDEX(Zawodnicy[],MATCH($A38,Players!$A$2:$A$35,0),MATCH($B$8,Players!$A$1:$Y$1,0))*G$8+INDEX(Zawodnicy[],MATCH($A38,Players!$A$2:$A$35,0),MATCH($B$9,Players!$A$1:$Y$1,0))*G$9+INDEX(Zawodnicy[],MATCH($A38,Players!$A$2:$A$35,0),MATCH($B$10,Players!$A$1:$Y$1,0))*G$10+INDEX(Zawodnicy[],MATCH($A38,Players!$A$2:$A$35,0),MATCH($B$11,Players!$A$1:$Y$1,0))*G$11+INDEX(Zawodnicy[],MATCH($A38,Players!$A$2:$A$35,0),MATCH($B$12,Players!$A$1:$Y$1,0))*G$12+INDEX(Zawodnicy[],MATCH($A38,Players!$A$2:$A$35,0),MATCH($B$13,Players!$A$1:$Y$1,0))*G$13,"-")</f>
        <v>47.26</v>
      </c>
      <c r="H38" s="38">
        <f>IFERROR(INDEX(Zawodnicy[],MATCH($A38,Players!$A$2:$A$35,0),MATCH($B$2,Players!$A$1:$Y$1,0))*H$2+INDEX(Zawodnicy[],MATCH($A38,Players!$A$2:$A$35,0),MATCH($B$3,Players!$A$1:$Y$1,0))*H$3+INDEX(Zawodnicy[],MATCH($A38,Players!$A$2:$A$35,0),MATCH($B$4,Players!$A$1:$Y$1,0))*H$4+INDEX(Zawodnicy[],MATCH($A38,Players!$A$2:$A$35,0),MATCH($B$5,Players!$A$1:$Y$1,0))*H$5+INDEX(Zawodnicy[],MATCH($A38,Players!$A$2:$A$35,0),MATCH($B$6,Players!$A$1:$Y$1,0))*H$6+INDEX(Zawodnicy[],MATCH($A38,Players!$A$2:$A$35,0),MATCH($B$7,Players!$A$1:$Y$1,0))*H$7+INDEX(Zawodnicy[],MATCH($A38,Players!$A$2:$A$35,0),MATCH($B$8,Players!$A$1:$Y$1,0))*H$8+INDEX(Zawodnicy[],MATCH($A38,Players!$A$2:$A$35,0),MATCH($B$9,Players!$A$1:$Y$1,0))*H$9+INDEX(Zawodnicy[],MATCH($A38,Players!$A$2:$A$35,0),MATCH($B$10,Players!$A$1:$Y$1,0))*H$10+INDEX(Zawodnicy[],MATCH($A38,Players!$A$2:$A$35,0),MATCH($B$11,Players!$A$1:$Y$1,0))*H$11+INDEX(Zawodnicy[],MATCH($A38,Players!$A$2:$A$35,0),MATCH($B$12,Players!$A$1:$Y$1,0))*H$12+INDEX(Zawodnicy[],MATCH($A38,Players!$A$2:$A$35,0),MATCH($B$13,Players!$A$1:$Y$1,0))*H$13,"-")</f>
        <v>51.01</v>
      </c>
      <c r="I38" s="38">
        <f>IFERROR(INDEX(Zawodnicy[],MATCH($A38,Players!$A$2:$A$35,0),MATCH($B$2,Players!$A$1:$Y$1,0))*I$2+INDEX(Zawodnicy[],MATCH($A38,Players!$A$2:$A$35,0),MATCH($B$3,Players!$A$1:$Y$1,0))*I$3+INDEX(Zawodnicy[],MATCH($A38,Players!$A$2:$A$35,0),MATCH($B$4,Players!$A$1:$Y$1,0))*I$4+INDEX(Zawodnicy[],MATCH($A38,Players!$A$2:$A$35,0),MATCH($B$5,Players!$A$1:$Y$1,0))*I$5+INDEX(Zawodnicy[],MATCH($A38,Players!$A$2:$A$35,0),MATCH($B$6,Players!$A$1:$Y$1,0))*I$6+INDEX(Zawodnicy[],MATCH($A38,Players!$A$2:$A$35,0),MATCH($B$7,Players!$A$1:$Y$1,0))*I$7+INDEX(Zawodnicy[],MATCH($A38,Players!$A$2:$A$35,0),MATCH($B$8,Players!$A$1:$Y$1,0))*I$8+INDEX(Zawodnicy[],MATCH($A38,Players!$A$2:$A$35,0),MATCH($B$9,Players!$A$1:$Y$1,0))*I$9+INDEX(Zawodnicy[],MATCH($A38,Players!$A$2:$A$35,0),MATCH($B$10,Players!$A$1:$Y$1,0))*I$10+INDEX(Zawodnicy[],MATCH($A38,Players!$A$2:$A$35,0),MATCH($B$11,Players!$A$1:$Y$1,0))*I$11+INDEX(Zawodnicy[],MATCH($A38,Players!$A$2:$A$35,0),MATCH($B$12,Players!$A$1:$Y$1,0))*I$12+INDEX(Zawodnicy[],MATCH($A38,Players!$A$2:$A$35,0),MATCH($B$13,Players!$A$1:$Y$1,0))*I$13,"-")</f>
        <v>54.51</v>
      </c>
      <c r="J38" s="38">
        <f>IFERROR(INDEX(Zawodnicy[],MATCH($A38,Players!$A$2:$A$35,0),MATCH($B$2,Players!$A$1:$Y$1,0))*J$2+INDEX(Zawodnicy[],MATCH($A38,Players!$A$2:$A$35,0),MATCH($B$3,Players!$A$1:$Y$1,0))*J$3+INDEX(Zawodnicy[],MATCH($A38,Players!$A$2:$A$35,0),MATCH($B$4,Players!$A$1:$Y$1,0))*J$4+INDEX(Zawodnicy[],MATCH($A38,Players!$A$2:$A$35,0),MATCH($B$5,Players!$A$1:$Y$1,0))*J$5+INDEX(Zawodnicy[],MATCH($A38,Players!$A$2:$A$35,0),MATCH($B$6,Players!$A$1:$Y$1,0))*J$6+INDEX(Zawodnicy[],MATCH($A38,Players!$A$2:$A$35,0),MATCH($B$7,Players!$A$1:$Y$1,0))*J$7+INDEX(Zawodnicy[],MATCH($A38,Players!$A$2:$A$35,0),MATCH($B$8,Players!$A$1:$Y$1,0))*J$8+INDEX(Zawodnicy[],MATCH($A38,Players!$A$2:$A$35,0),MATCH($B$9,Players!$A$1:$Y$1,0))*J$9+INDEX(Zawodnicy[],MATCH($A38,Players!$A$2:$A$35,0),MATCH($B$10,Players!$A$1:$Y$1,0))*J$10+INDEX(Zawodnicy[],MATCH($A38,Players!$A$2:$A$35,0),MATCH($B$11,Players!$A$1:$Y$1,0))*J$11+INDEX(Zawodnicy[],MATCH($A38,Players!$A$2:$A$35,0),MATCH($B$12,Players!$A$1:$Y$1,0))*J$12+INDEX(Zawodnicy[],MATCH($A38,Players!$A$2:$A$35,0),MATCH($B$13,Players!$A$1:$Y$1,0))*J$13,"-")</f>
        <v>52.26</v>
      </c>
      <c r="K38" s="38">
        <f>IFERROR(INDEX(Zawodnicy[],MATCH($A38,Players!$A$2:$A$35,0),MATCH($B$2,Players!$A$1:$Y$1,0))*K$2+INDEX(Zawodnicy[],MATCH($A38,Players!$A$2:$A$35,0),MATCH($B$3,Players!$A$1:$Y$1,0))*K$3+INDEX(Zawodnicy[],MATCH($A38,Players!$A$2:$A$35,0),MATCH($B$4,Players!$A$1:$Y$1,0))*K$4+INDEX(Zawodnicy[],MATCH($A38,Players!$A$2:$A$35,0),MATCH($B$5,Players!$A$1:$Y$1,0))*K$5+INDEX(Zawodnicy[],MATCH($A38,Players!$A$2:$A$35,0),MATCH($B$6,Players!$A$1:$Y$1,0))*K$6+INDEX(Zawodnicy[],MATCH($A38,Players!$A$2:$A$35,0),MATCH($B$7,Players!$A$1:$Y$1,0))*K$7+INDEX(Zawodnicy[],MATCH($A38,Players!$A$2:$A$35,0),MATCH($B$8,Players!$A$1:$Y$1,0))*K$8+INDEX(Zawodnicy[],MATCH($A38,Players!$A$2:$A$35,0),MATCH($B$9,Players!$A$1:$Y$1,0))*K$9+INDEX(Zawodnicy[],MATCH($A38,Players!$A$2:$A$35,0),MATCH($B$10,Players!$A$1:$Y$1,0))*K$10+INDEX(Zawodnicy[],MATCH($A38,Players!$A$2:$A$35,0),MATCH($B$11,Players!$A$1:$Y$1,0))*K$11+INDEX(Zawodnicy[],MATCH($A38,Players!$A$2:$A$35,0),MATCH($B$12,Players!$A$1:$Y$1,0))*K$12+INDEX(Zawodnicy[],MATCH($A38,Players!$A$2:$A$35,0),MATCH($B$13,Players!$A$1:$Y$1,0))*K$13,"-")</f>
        <v>58.26</v>
      </c>
    </row>
    <row r="39" spans="1:11" x14ac:dyDescent="0.25">
      <c r="A39" s="63">
        <f>PozycjeŚr[[#This Row],[Numer]]</f>
        <v>27</v>
      </c>
      <c r="B39" s="67" t="str">
        <f>IFERROR(VLOOKUP(PozycjeMG[[#This Row],[Numer]],Zawodnicy[[Number]:[Player name]],2,FALSE),"-")</f>
        <v>Sylwester Kaszubowski</v>
      </c>
      <c r="C39" s="38">
        <f>IFERROR(INDEX(Zawodnicy[],MATCH($A39,Players!$A$2:$A$35,0),MATCH($B$2,Players!$A$1:$Y$1,0))*C$2+INDEX(Zawodnicy[],MATCH($A39,Players!$A$2:$A$35,0),MATCH($B$3,Players!$A$1:$Y$1,0))*C$3+INDEX(Zawodnicy[],MATCH($A39,Players!$A$2:$A$35,0),MATCH($B$4,Players!$A$1:$Y$1,0))*C$4+INDEX(Zawodnicy[],MATCH($A39,Players!$A$2:$A$35,0),MATCH($B$5,Players!$A$1:$Y$1,0))*C$5+INDEX(Zawodnicy[],MATCH($A39,Players!$A$2:$A$35,0),MATCH($B$6,Players!$A$1:$Y$1,0))*C$6+INDEX(Zawodnicy[],MATCH($A39,Players!$A$2:$A$35,0),MATCH($B$7,Players!$A$1:$Y$1,0))*C$7+INDEX(Zawodnicy[],MATCH($A39,Players!$A$2:$A$35,0),MATCH($B$8,Players!$A$1:$Y$1,0))*C$8+INDEX(Zawodnicy[],MATCH($A39,Players!$A$2:$A$35,0),MATCH($B$9,Players!$A$1:$Y$1,0))*C$9+INDEX(Zawodnicy[],MATCH($A39,Players!$A$2:$A$35,0),MATCH($B$10,Players!$A$1:$Y$1,0))*C$10+INDEX(Zawodnicy[],MATCH($A39,Players!$A$2:$A$35,0),MATCH($B$11,Players!$A$1:$Y$1,0))*C$11+INDEX(Zawodnicy[],MATCH($A39,Players!$A$2:$A$35,0),MATCH($B$12,Players!$A$1:$Y$1,0))*C$12+INDEX(Zawodnicy[],MATCH($A39,Players!$A$2:$A$35,0),MATCH($B$13,Players!$A$1:$Y$1,0))*C$13,"-")</f>
        <v>17.52</v>
      </c>
      <c r="D39" s="38">
        <f>IFERROR(INDEX(Zawodnicy[],MATCH($A39,Players!$A$2:$A$35,0),MATCH($B$2,Players!$A$1:$Y$1,0))*D$2+INDEX(Zawodnicy[],MATCH($A39,Players!$A$2:$A$35,0),MATCH($B$3,Players!$A$1:$Y$1,0))*D$3+INDEX(Zawodnicy[],MATCH($A39,Players!$A$2:$A$35,0),MATCH($B$4,Players!$A$1:$Y$1,0))*D$4+INDEX(Zawodnicy[],MATCH($A39,Players!$A$2:$A$35,0),MATCH($B$5,Players!$A$1:$Y$1,0))*D$5+INDEX(Zawodnicy[],MATCH($A39,Players!$A$2:$A$35,0),MATCH($B$6,Players!$A$1:$Y$1,0))*D$6+INDEX(Zawodnicy[],MATCH($A39,Players!$A$2:$A$35,0),MATCH($B$7,Players!$A$1:$Y$1,0))*D$7+INDEX(Zawodnicy[],MATCH($A39,Players!$A$2:$A$35,0),MATCH($B$8,Players!$A$1:$Y$1,0))*D$8+INDEX(Zawodnicy[],MATCH($A39,Players!$A$2:$A$35,0),MATCH($B$9,Players!$A$1:$Y$1,0))*D$9+INDEX(Zawodnicy[],MATCH($A39,Players!$A$2:$A$35,0),MATCH($B$10,Players!$A$1:$Y$1,0))*D$10+INDEX(Zawodnicy[],MATCH($A39,Players!$A$2:$A$35,0),MATCH($B$11,Players!$A$1:$Y$1,0))*D$11+INDEX(Zawodnicy[],MATCH($A39,Players!$A$2:$A$35,0),MATCH($B$12,Players!$A$1:$Y$1,0))*D$12+INDEX(Zawodnicy[],MATCH($A39,Players!$A$2:$A$35,0),MATCH($B$13,Players!$A$1:$Y$1,0))*D$13,"-")</f>
        <v>40.770000000000003</v>
      </c>
      <c r="E39" s="38">
        <f>IFERROR(INDEX(Zawodnicy[],MATCH($A39,Players!$A$2:$A$35,0),MATCH($B$2,Players!$A$1:$Y$1,0))*E$2+INDEX(Zawodnicy[],MATCH($A39,Players!$A$2:$A$35,0),MATCH($B$3,Players!$A$1:$Y$1,0))*E$3+INDEX(Zawodnicy[],MATCH($A39,Players!$A$2:$A$35,0),MATCH($B$4,Players!$A$1:$Y$1,0))*E$4+INDEX(Zawodnicy[],MATCH($A39,Players!$A$2:$A$35,0),MATCH($B$5,Players!$A$1:$Y$1,0))*E$5+INDEX(Zawodnicy[],MATCH($A39,Players!$A$2:$A$35,0),MATCH($B$6,Players!$A$1:$Y$1,0))*E$6+INDEX(Zawodnicy[],MATCH($A39,Players!$A$2:$A$35,0),MATCH($B$7,Players!$A$1:$Y$1,0))*E$7+INDEX(Zawodnicy[],MATCH($A39,Players!$A$2:$A$35,0),MATCH($B$8,Players!$A$1:$Y$1,0))*E$8+INDEX(Zawodnicy[],MATCH($A39,Players!$A$2:$A$35,0),MATCH($B$9,Players!$A$1:$Y$1,0))*E$9+INDEX(Zawodnicy[],MATCH($A39,Players!$A$2:$A$35,0),MATCH($B$10,Players!$A$1:$Y$1,0))*E$10+INDEX(Zawodnicy[],MATCH($A39,Players!$A$2:$A$35,0),MATCH($B$11,Players!$A$1:$Y$1,0))*E$11+INDEX(Zawodnicy[],MATCH($A39,Players!$A$2:$A$35,0),MATCH($B$12,Players!$A$1:$Y$1,0))*E$12+INDEX(Zawodnicy[],MATCH($A39,Players!$A$2:$A$35,0),MATCH($B$13,Players!$A$1:$Y$1,0))*E$13,"-")</f>
        <v>44.02</v>
      </c>
      <c r="F39" s="38">
        <f>IFERROR(INDEX(Zawodnicy[],MATCH($A39,Players!$A$2:$A$35,0),MATCH($B$2,Players!$A$1:$Y$1,0))*F$2+INDEX(Zawodnicy[],MATCH($A39,Players!$A$2:$A$35,0),MATCH($B$3,Players!$A$1:$Y$1,0))*F$3+INDEX(Zawodnicy[],MATCH($A39,Players!$A$2:$A$35,0),MATCH($B$4,Players!$A$1:$Y$1,0))*F$4+INDEX(Zawodnicy[],MATCH($A39,Players!$A$2:$A$35,0),MATCH($B$5,Players!$A$1:$Y$1,0))*F$5+INDEX(Zawodnicy[],MATCH($A39,Players!$A$2:$A$35,0),MATCH($B$6,Players!$A$1:$Y$1,0))*F$6+INDEX(Zawodnicy[],MATCH($A39,Players!$A$2:$A$35,0),MATCH($B$7,Players!$A$1:$Y$1,0))*F$7+INDEX(Zawodnicy[],MATCH($A39,Players!$A$2:$A$35,0),MATCH($B$8,Players!$A$1:$Y$1,0))*F$8+INDEX(Zawodnicy[],MATCH($A39,Players!$A$2:$A$35,0),MATCH($B$9,Players!$A$1:$Y$1,0))*F$9+INDEX(Zawodnicy[],MATCH($A39,Players!$A$2:$A$35,0),MATCH($B$10,Players!$A$1:$Y$1,0))*F$10+INDEX(Zawodnicy[],MATCH($A39,Players!$A$2:$A$35,0),MATCH($B$11,Players!$A$1:$Y$1,0))*F$11+INDEX(Zawodnicy[],MATCH($A39,Players!$A$2:$A$35,0),MATCH($B$12,Players!$A$1:$Y$1,0))*F$12+INDEX(Zawodnicy[],MATCH($A39,Players!$A$2:$A$35,0),MATCH($B$13,Players!$A$1:$Y$1,0))*F$13,"-")</f>
        <v>48.52</v>
      </c>
      <c r="G39" s="38">
        <f>IFERROR(INDEX(Zawodnicy[],MATCH($A39,Players!$A$2:$A$35,0),MATCH($B$2,Players!$A$1:$Y$1,0))*G$2+INDEX(Zawodnicy[],MATCH($A39,Players!$A$2:$A$35,0),MATCH($B$3,Players!$A$1:$Y$1,0))*G$3+INDEX(Zawodnicy[],MATCH($A39,Players!$A$2:$A$35,0),MATCH($B$4,Players!$A$1:$Y$1,0))*G$4+INDEX(Zawodnicy[],MATCH($A39,Players!$A$2:$A$35,0),MATCH($B$5,Players!$A$1:$Y$1,0))*G$5+INDEX(Zawodnicy[],MATCH($A39,Players!$A$2:$A$35,0),MATCH($B$6,Players!$A$1:$Y$1,0))*G$6+INDEX(Zawodnicy[],MATCH($A39,Players!$A$2:$A$35,0),MATCH($B$7,Players!$A$1:$Y$1,0))*G$7+INDEX(Zawodnicy[],MATCH($A39,Players!$A$2:$A$35,0),MATCH($B$8,Players!$A$1:$Y$1,0))*G$8+INDEX(Zawodnicy[],MATCH($A39,Players!$A$2:$A$35,0),MATCH($B$9,Players!$A$1:$Y$1,0))*G$9+INDEX(Zawodnicy[],MATCH($A39,Players!$A$2:$A$35,0),MATCH($B$10,Players!$A$1:$Y$1,0))*G$10+INDEX(Zawodnicy[],MATCH($A39,Players!$A$2:$A$35,0),MATCH($B$11,Players!$A$1:$Y$1,0))*G$11+INDEX(Zawodnicy[],MATCH($A39,Players!$A$2:$A$35,0),MATCH($B$12,Players!$A$1:$Y$1,0))*G$12+INDEX(Zawodnicy[],MATCH($A39,Players!$A$2:$A$35,0),MATCH($B$13,Players!$A$1:$Y$1,0))*G$13,"-")</f>
        <v>53.52</v>
      </c>
      <c r="H39" s="38">
        <f>IFERROR(INDEX(Zawodnicy[],MATCH($A39,Players!$A$2:$A$35,0),MATCH($B$2,Players!$A$1:$Y$1,0))*H$2+INDEX(Zawodnicy[],MATCH($A39,Players!$A$2:$A$35,0),MATCH($B$3,Players!$A$1:$Y$1,0))*H$3+INDEX(Zawodnicy[],MATCH($A39,Players!$A$2:$A$35,0),MATCH($B$4,Players!$A$1:$Y$1,0))*H$4+INDEX(Zawodnicy[],MATCH($A39,Players!$A$2:$A$35,0),MATCH($B$5,Players!$A$1:$Y$1,0))*H$5+INDEX(Zawodnicy[],MATCH($A39,Players!$A$2:$A$35,0),MATCH($B$6,Players!$A$1:$Y$1,0))*H$6+INDEX(Zawodnicy[],MATCH($A39,Players!$A$2:$A$35,0),MATCH($B$7,Players!$A$1:$Y$1,0))*H$7+INDEX(Zawodnicy[],MATCH($A39,Players!$A$2:$A$35,0),MATCH($B$8,Players!$A$1:$Y$1,0))*H$8+INDEX(Zawodnicy[],MATCH($A39,Players!$A$2:$A$35,0),MATCH($B$9,Players!$A$1:$Y$1,0))*H$9+INDEX(Zawodnicy[],MATCH($A39,Players!$A$2:$A$35,0),MATCH($B$10,Players!$A$1:$Y$1,0))*H$10+INDEX(Zawodnicy[],MATCH($A39,Players!$A$2:$A$35,0),MATCH($B$11,Players!$A$1:$Y$1,0))*H$11+INDEX(Zawodnicy[],MATCH($A39,Players!$A$2:$A$35,0),MATCH($B$12,Players!$A$1:$Y$1,0))*H$12+INDEX(Zawodnicy[],MATCH($A39,Players!$A$2:$A$35,0),MATCH($B$13,Players!$A$1:$Y$1,0))*H$13,"-")</f>
        <v>54.27</v>
      </c>
      <c r="I39" s="38">
        <f>IFERROR(INDEX(Zawodnicy[],MATCH($A39,Players!$A$2:$A$35,0),MATCH($B$2,Players!$A$1:$Y$1,0))*I$2+INDEX(Zawodnicy[],MATCH($A39,Players!$A$2:$A$35,0),MATCH($B$3,Players!$A$1:$Y$1,0))*I$3+INDEX(Zawodnicy[],MATCH($A39,Players!$A$2:$A$35,0),MATCH($B$4,Players!$A$1:$Y$1,0))*I$4+INDEX(Zawodnicy[],MATCH($A39,Players!$A$2:$A$35,0),MATCH($B$5,Players!$A$1:$Y$1,0))*I$5+INDEX(Zawodnicy[],MATCH($A39,Players!$A$2:$A$35,0),MATCH($B$6,Players!$A$1:$Y$1,0))*I$6+INDEX(Zawodnicy[],MATCH($A39,Players!$A$2:$A$35,0),MATCH($B$7,Players!$A$1:$Y$1,0))*I$7+INDEX(Zawodnicy[],MATCH($A39,Players!$A$2:$A$35,0),MATCH($B$8,Players!$A$1:$Y$1,0))*I$8+INDEX(Zawodnicy[],MATCH($A39,Players!$A$2:$A$35,0),MATCH($B$9,Players!$A$1:$Y$1,0))*I$9+INDEX(Zawodnicy[],MATCH($A39,Players!$A$2:$A$35,0),MATCH($B$10,Players!$A$1:$Y$1,0))*I$10+INDEX(Zawodnicy[],MATCH($A39,Players!$A$2:$A$35,0),MATCH($B$11,Players!$A$1:$Y$1,0))*I$11+INDEX(Zawodnicy[],MATCH($A39,Players!$A$2:$A$35,0),MATCH($B$12,Players!$A$1:$Y$1,0))*I$12+INDEX(Zawodnicy[],MATCH($A39,Players!$A$2:$A$35,0),MATCH($B$13,Players!$A$1:$Y$1,0))*I$13,"-")</f>
        <v>54.02</v>
      </c>
      <c r="J39" s="38">
        <f>IFERROR(INDEX(Zawodnicy[],MATCH($A39,Players!$A$2:$A$35,0),MATCH($B$2,Players!$A$1:$Y$1,0))*J$2+INDEX(Zawodnicy[],MATCH($A39,Players!$A$2:$A$35,0),MATCH($B$3,Players!$A$1:$Y$1,0))*J$3+INDEX(Zawodnicy[],MATCH($A39,Players!$A$2:$A$35,0),MATCH($B$4,Players!$A$1:$Y$1,0))*J$4+INDEX(Zawodnicy[],MATCH($A39,Players!$A$2:$A$35,0),MATCH($B$5,Players!$A$1:$Y$1,0))*J$5+INDEX(Zawodnicy[],MATCH($A39,Players!$A$2:$A$35,0),MATCH($B$6,Players!$A$1:$Y$1,0))*J$6+INDEX(Zawodnicy[],MATCH($A39,Players!$A$2:$A$35,0),MATCH($B$7,Players!$A$1:$Y$1,0))*J$7+INDEX(Zawodnicy[],MATCH($A39,Players!$A$2:$A$35,0),MATCH($B$8,Players!$A$1:$Y$1,0))*J$8+INDEX(Zawodnicy[],MATCH($A39,Players!$A$2:$A$35,0),MATCH($B$9,Players!$A$1:$Y$1,0))*J$9+INDEX(Zawodnicy[],MATCH($A39,Players!$A$2:$A$35,0),MATCH($B$10,Players!$A$1:$Y$1,0))*J$10+INDEX(Zawodnicy[],MATCH($A39,Players!$A$2:$A$35,0),MATCH($B$11,Players!$A$1:$Y$1,0))*J$11+INDEX(Zawodnicy[],MATCH($A39,Players!$A$2:$A$35,0),MATCH($B$12,Players!$A$1:$Y$1,0))*J$12+INDEX(Zawodnicy[],MATCH($A39,Players!$A$2:$A$35,0),MATCH($B$13,Players!$A$1:$Y$1,0))*J$13,"-")</f>
        <v>50.27</v>
      </c>
      <c r="K39" s="38">
        <f>IFERROR(INDEX(Zawodnicy[],MATCH($A39,Players!$A$2:$A$35,0),MATCH($B$2,Players!$A$1:$Y$1,0))*K$2+INDEX(Zawodnicy[],MATCH($A39,Players!$A$2:$A$35,0),MATCH($B$3,Players!$A$1:$Y$1,0))*K$3+INDEX(Zawodnicy[],MATCH($A39,Players!$A$2:$A$35,0),MATCH($B$4,Players!$A$1:$Y$1,0))*K$4+INDEX(Zawodnicy[],MATCH($A39,Players!$A$2:$A$35,0),MATCH($B$5,Players!$A$1:$Y$1,0))*K$5+INDEX(Zawodnicy[],MATCH($A39,Players!$A$2:$A$35,0),MATCH($B$6,Players!$A$1:$Y$1,0))*K$6+INDEX(Zawodnicy[],MATCH($A39,Players!$A$2:$A$35,0),MATCH($B$7,Players!$A$1:$Y$1,0))*K$7+INDEX(Zawodnicy[],MATCH($A39,Players!$A$2:$A$35,0),MATCH($B$8,Players!$A$1:$Y$1,0))*K$8+INDEX(Zawodnicy[],MATCH($A39,Players!$A$2:$A$35,0),MATCH($B$9,Players!$A$1:$Y$1,0))*K$9+INDEX(Zawodnicy[],MATCH($A39,Players!$A$2:$A$35,0),MATCH($B$10,Players!$A$1:$Y$1,0))*K$10+INDEX(Zawodnicy[],MATCH($A39,Players!$A$2:$A$35,0),MATCH($B$11,Players!$A$1:$Y$1,0))*K$11+INDEX(Zawodnicy[],MATCH($A39,Players!$A$2:$A$35,0),MATCH($B$12,Players!$A$1:$Y$1,0))*K$12+INDEX(Zawodnicy[],MATCH($A39,Players!$A$2:$A$35,0),MATCH($B$13,Players!$A$1:$Y$1,0))*K$13,"-")</f>
        <v>46.27</v>
      </c>
    </row>
    <row r="40" spans="1:11" x14ac:dyDescent="0.25">
      <c r="A40" s="63">
        <f>PozycjeŚr[[#This Row],[Numer]]</f>
        <v>60</v>
      </c>
      <c r="B40" s="67" t="str">
        <f>IFERROR(VLOOKUP(PozycjeMG[[#This Row],[Numer]],Zawodnicy[[Number]:[Player name]],2,FALSE),"-")</f>
        <v>Filip Blochowiak</v>
      </c>
      <c r="C40" s="38">
        <f>IFERROR(INDEX(Zawodnicy[],MATCH($A40,Players!$A$2:$A$35,0),MATCH($B$2,Players!$A$1:$Y$1,0))*C$2+INDEX(Zawodnicy[],MATCH($A40,Players!$A$2:$A$35,0),MATCH($B$3,Players!$A$1:$Y$1,0))*C$3+INDEX(Zawodnicy[],MATCH($A40,Players!$A$2:$A$35,0),MATCH($B$4,Players!$A$1:$Y$1,0))*C$4+INDEX(Zawodnicy[],MATCH($A40,Players!$A$2:$A$35,0),MATCH($B$5,Players!$A$1:$Y$1,0))*C$5+INDEX(Zawodnicy[],MATCH($A40,Players!$A$2:$A$35,0),MATCH($B$6,Players!$A$1:$Y$1,0))*C$6+INDEX(Zawodnicy[],MATCH($A40,Players!$A$2:$A$35,0),MATCH($B$7,Players!$A$1:$Y$1,0))*C$7+INDEX(Zawodnicy[],MATCH($A40,Players!$A$2:$A$35,0),MATCH($B$8,Players!$A$1:$Y$1,0))*C$8+INDEX(Zawodnicy[],MATCH($A40,Players!$A$2:$A$35,0),MATCH($B$9,Players!$A$1:$Y$1,0))*C$9+INDEX(Zawodnicy[],MATCH($A40,Players!$A$2:$A$35,0),MATCH($B$10,Players!$A$1:$Y$1,0))*C$10+INDEX(Zawodnicy[],MATCH($A40,Players!$A$2:$A$35,0),MATCH($B$11,Players!$A$1:$Y$1,0))*C$11+INDEX(Zawodnicy[],MATCH($A40,Players!$A$2:$A$35,0),MATCH($B$12,Players!$A$1:$Y$1,0))*C$12+INDEX(Zawodnicy[],MATCH($A40,Players!$A$2:$A$35,0),MATCH($B$13,Players!$A$1:$Y$1,0))*C$13,"-")</f>
        <v>30.06</v>
      </c>
      <c r="D40" s="38">
        <f>IFERROR(INDEX(Zawodnicy[],MATCH($A40,Players!$A$2:$A$35,0),MATCH($B$2,Players!$A$1:$Y$1,0))*D$2+INDEX(Zawodnicy[],MATCH($A40,Players!$A$2:$A$35,0),MATCH($B$3,Players!$A$1:$Y$1,0))*D$3+INDEX(Zawodnicy[],MATCH($A40,Players!$A$2:$A$35,0),MATCH($B$4,Players!$A$1:$Y$1,0))*D$4+INDEX(Zawodnicy[],MATCH($A40,Players!$A$2:$A$35,0),MATCH($B$5,Players!$A$1:$Y$1,0))*D$5+INDEX(Zawodnicy[],MATCH($A40,Players!$A$2:$A$35,0),MATCH($B$6,Players!$A$1:$Y$1,0))*D$6+INDEX(Zawodnicy[],MATCH($A40,Players!$A$2:$A$35,0),MATCH($B$7,Players!$A$1:$Y$1,0))*D$7+INDEX(Zawodnicy[],MATCH($A40,Players!$A$2:$A$35,0),MATCH($B$8,Players!$A$1:$Y$1,0))*D$8+INDEX(Zawodnicy[],MATCH($A40,Players!$A$2:$A$35,0),MATCH($B$9,Players!$A$1:$Y$1,0))*D$9+INDEX(Zawodnicy[],MATCH($A40,Players!$A$2:$A$35,0),MATCH($B$10,Players!$A$1:$Y$1,0))*D$10+INDEX(Zawodnicy[],MATCH($A40,Players!$A$2:$A$35,0),MATCH($B$11,Players!$A$1:$Y$1,0))*D$11+INDEX(Zawodnicy[],MATCH($A40,Players!$A$2:$A$35,0),MATCH($B$12,Players!$A$1:$Y$1,0))*D$12+INDEX(Zawodnicy[],MATCH($A40,Players!$A$2:$A$35,0),MATCH($B$13,Players!$A$1:$Y$1,0))*D$13,"-")</f>
        <v>77.31</v>
      </c>
      <c r="E40" s="38">
        <f>IFERROR(INDEX(Zawodnicy[],MATCH($A40,Players!$A$2:$A$35,0),MATCH($B$2,Players!$A$1:$Y$1,0))*E$2+INDEX(Zawodnicy[],MATCH($A40,Players!$A$2:$A$35,0),MATCH($B$3,Players!$A$1:$Y$1,0))*E$3+INDEX(Zawodnicy[],MATCH($A40,Players!$A$2:$A$35,0),MATCH($B$4,Players!$A$1:$Y$1,0))*E$4+INDEX(Zawodnicy[],MATCH($A40,Players!$A$2:$A$35,0),MATCH($B$5,Players!$A$1:$Y$1,0))*E$5+INDEX(Zawodnicy[],MATCH($A40,Players!$A$2:$A$35,0),MATCH($B$6,Players!$A$1:$Y$1,0))*E$6+INDEX(Zawodnicy[],MATCH($A40,Players!$A$2:$A$35,0),MATCH($B$7,Players!$A$1:$Y$1,0))*E$7+INDEX(Zawodnicy[],MATCH($A40,Players!$A$2:$A$35,0),MATCH($B$8,Players!$A$1:$Y$1,0))*E$8+INDEX(Zawodnicy[],MATCH($A40,Players!$A$2:$A$35,0),MATCH($B$9,Players!$A$1:$Y$1,0))*E$9+INDEX(Zawodnicy[],MATCH($A40,Players!$A$2:$A$35,0),MATCH($B$10,Players!$A$1:$Y$1,0))*E$10+INDEX(Zawodnicy[],MATCH($A40,Players!$A$2:$A$35,0),MATCH($B$11,Players!$A$1:$Y$1,0))*E$11+INDEX(Zawodnicy[],MATCH($A40,Players!$A$2:$A$35,0),MATCH($B$12,Players!$A$1:$Y$1,0))*E$12+INDEX(Zawodnicy[],MATCH($A40,Players!$A$2:$A$35,0),MATCH($B$13,Players!$A$1:$Y$1,0))*E$13,"-")</f>
        <v>75.31</v>
      </c>
      <c r="F40" s="38">
        <f>IFERROR(INDEX(Zawodnicy[],MATCH($A40,Players!$A$2:$A$35,0),MATCH($B$2,Players!$A$1:$Y$1,0))*F$2+INDEX(Zawodnicy[],MATCH($A40,Players!$A$2:$A$35,0),MATCH($B$3,Players!$A$1:$Y$1,0))*F$3+INDEX(Zawodnicy[],MATCH($A40,Players!$A$2:$A$35,0),MATCH($B$4,Players!$A$1:$Y$1,0))*F$4+INDEX(Zawodnicy[],MATCH($A40,Players!$A$2:$A$35,0),MATCH($B$5,Players!$A$1:$Y$1,0))*F$5+INDEX(Zawodnicy[],MATCH($A40,Players!$A$2:$A$35,0),MATCH($B$6,Players!$A$1:$Y$1,0))*F$6+INDEX(Zawodnicy[],MATCH($A40,Players!$A$2:$A$35,0),MATCH($B$7,Players!$A$1:$Y$1,0))*F$7+INDEX(Zawodnicy[],MATCH($A40,Players!$A$2:$A$35,0),MATCH($B$8,Players!$A$1:$Y$1,0))*F$8+INDEX(Zawodnicy[],MATCH($A40,Players!$A$2:$A$35,0),MATCH($B$9,Players!$A$1:$Y$1,0))*F$9+INDEX(Zawodnicy[],MATCH($A40,Players!$A$2:$A$35,0),MATCH($B$10,Players!$A$1:$Y$1,0))*F$10+INDEX(Zawodnicy[],MATCH($A40,Players!$A$2:$A$35,0),MATCH($B$11,Players!$A$1:$Y$1,0))*F$11+INDEX(Zawodnicy[],MATCH($A40,Players!$A$2:$A$35,0),MATCH($B$12,Players!$A$1:$Y$1,0))*F$12+INDEX(Zawodnicy[],MATCH($A40,Players!$A$2:$A$35,0),MATCH($B$13,Players!$A$1:$Y$1,0))*F$13,"-")</f>
        <v>74.31</v>
      </c>
      <c r="G40" s="38">
        <f>IFERROR(INDEX(Zawodnicy[],MATCH($A40,Players!$A$2:$A$35,0),MATCH($B$2,Players!$A$1:$Y$1,0))*G$2+INDEX(Zawodnicy[],MATCH($A40,Players!$A$2:$A$35,0),MATCH($B$3,Players!$A$1:$Y$1,0))*G$3+INDEX(Zawodnicy[],MATCH($A40,Players!$A$2:$A$35,0),MATCH($B$4,Players!$A$1:$Y$1,0))*G$4+INDEX(Zawodnicy[],MATCH($A40,Players!$A$2:$A$35,0),MATCH($B$5,Players!$A$1:$Y$1,0))*G$5+INDEX(Zawodnicy[],MATCH($A40,Players!$A$2:$A$35,0),MATCH($B$6,Players!$A$1:$Y$1,0))*G$6+INDEX(Zawodnicy[],MATCH($A40,Players!$A$2:$A$35,0),MATCH($B$7,Players!$A$1:$Y$1,0))*G$7+INDEX(Zawodnicy[],MATCH($A40,Players!$A$2:$A$35,0),MATCH($B$8,Players!$A$1:$Y$1,0))*G$8+INDEX(Zawodnicy[],MATCH($A40,Players!$A$2:$A$35,0),MATCH($B$9,Players!$A$1:$Y$1,0))*G$9+INDEX(Zawodnicy[],MATCH($A40,Players!$A$2:$A$35,0),MATCH($B$10,Players!$A$1:$Y$1,0))*G$10+INDEX(Zawodnicy[],MATCH($A40,Players!$A$2:$A$35,0),MATCH($B$11,Players!$A$1:$Y$1,0))*G$11+INDEX(Zawodnicy[],MATCH($A40,Players!$A$2:$A$35,0),MATCH($B$12,Players!$A$1:$Y$1,0))*G$12+INDEX(Zawodnicy[],MATCH($A40,Players!$A$2:$A$35,0),MATCH($B$13,Players!$A$1:$Y$1,0))*G$13,"-")</f>
        <v>72.81</v>
      </c>
      <c r="H40" s="38">
        <f>IFERROR(INDEX(Zawodnicy[],MATCH($A40,Players!$A$2:$A$35,0),MATCH($B$2,Players!$A$1:$Y$1,0))*H$2+INDEX(Zawodnicy[],MATCH($A40,Players!$A$2:$A$35,0),MATCH($B$3,Players!$A$1:$Y$1,0))*H$3+INDEX(Zawodnicy[],MATCH($A40,Players!$A$2:$A$35,0),MATCH($B$4,Players!$A$1:$Y$1,0))*H$4+INDEX(Zawodnicy[],MATCH($A40,Players!$A$2:$A$35,0),MATCH($B$5,Players!$A$1:$Y$1,0))*H$5+INDEX(Zawodnicy[],MATCH($A40,Players!$A$2:$A$35,0),MATCH($B$6,Players!$A$1:$Y$1,0))*H$6+INDEX(Zawodnicy[],MATCH($A40,Players!$A$2:$A$35,0),MATCH($B$7,Players!$A$1:$Y$1,0))*H$7+INDEX(Zawodnicy[],MATCH($A40,Players!$A$2:$A$35,0),MATCH($B$8,Players!$A$1:$Y$1,0))*H$8+INDEX(Zawodnicy[],MATCH($A40,Players!$A$2:$A$35,0),MATCH($B$9,Players!$A$1:$Y$1,0))*H$9+INDEX(Zawodnicy[],MATCH($A40,Players!$A$2:$A$35,0),MATCH($B$10,Players!$A$1:$Y$1,0))*H$10+INDEX(Zawodnicy[],MATCH($A40,Players!$A$2:$A$35,0),MATCH($B$11,Players!$A$1:$Y$1,0))*H$11+INDEX(Zawodnicy[],MATCH($A40,Players!$A$2:$A$35,0),MATCH($B$12,Players!$A$1:$Y$1,0))*H$12+INDEX(Zawodnicy[],MATCH($A40,Players!$A$2:$A$35,0),MATCH($B$13,Players!$A$1:$Y$1,0))*H$13,"-")</f>
        <v>71.06</v>
      </c>
      <c r="I40" s="38">
        <f>IFERROR(INDEX(Zawodnicy[],MATCH($A40,Players!$A$2:$A$35,0),MATCH($B$2,Players!$A$1:$Y$1,0))*I$2+INDEX(Zawodnicy[],MATCH($A40,Players!$A$2:$A$35,0),MATCH($B$3,Players!$A$1:$Y$1,0))*I$3+INDEX(Zawodnicy[],MATCH($A40,Players!$A$2:$A$35,0),MATCH($B$4,Players!$A$1:$Y$1,0))*I$4+INDEX(Zawodnicy[],MATCH($A40,Players!$A$2:$A$35,0),MATCH($B$5,Players!$A$1:$Y$1,0))*I$5+INDEX(Zawodnicy[],MATCH($A40,Players!$A$2:$A$35,0),MATCH($B$6,Players!$A$1:$Y$1,0))*I$6+INDEX(Zawodnicy[],MATCH($A40,Players!$A$2:$A$35,0),MATCH($B$7,Players!$A$1:$Y$1,0))*I$7+INDEX(Zawodnicy[],MATCH($A40,Players!$A$2:$A$35,0),MATCH($B$8,Players!$A$1:$Y$1,0))*I$8+INDEX(Zawodnicy[],MATCH($A40,Players!$A$2:$A$35,0),MATCH($B$9,Players!$A$1:$Y$1,0))*I$9+INDEX(Zawodnicy[],MATCH($A40,Players!$A$2:$A$35,0),MATCH($B$10,Players!$A$1:$Y$1,0))*I$10+INDEX(Zawodnicy[],MATCH($A40,Players!$A$2:$A$35,0),MATCH($B$11,Players!$A$1:$Y$1,0))*I$11+INDEX(Zawodnicy[],MATCH($A40,Players!$A$2:$A$35,0),MATCH($B$12,Players!$A$1:$Y$1,0))*I$12+INDEX(Zawodnicy[],MATCH($A40,Players!$A$2:$A$35,0),MATCH($B$13,Players!$A$1:$Y$1,0))*I$13,"-")</f>
        <v>67.31</v>
      </c>
      <c r="J40" s="38">
        <f>IFERROR(INDEX(Zawodnicy[],MATCH($A40,Players!$A$2:$A$35,0),MATCH($B$2,Players!$A$1:$Y$1,0))*J$2+INDEX(Zawodnicy[],MATCH($A40,Players!$A$2:$A$35,0),MATCH($B$3,Players!$A$1:$Y$1,0))*J$3+INDEX(Zawodnicy[],MATCH($A40,Players!$A$2:$A$35,0),MATCH($B$4,Players!$A$1:$Y$1,0))*J$4+INDEX(Zawodnicy[],MATCH($A40,Players!$A$2:$A$35,0),MATCH($B$5,Players!$A$1:$Y$1,0))*J$5+INDEX(Zawodnicy[],MATCH($A40,Players!$A$2:$A$35,0),MATCH($B$6,Players!$A$1:$Y$1,0))*J$6+INDEX(Zawodnicy[],MATCH($A40,Players!$A$2:$A$35,0),MATCH($B$7,Players!$A$1:$Y$1,0))*J$7+INDEX(Zawodnicy[],MATCH($A40,Players!$A$2:$A$35,0),MATCH($B$8,Players!$A$1:$Y$1,0))*J$8+INDEX(Zawodnicy[],MATCH($A40,Players!$A$2:$A$35,0),MATCH($B$9,Players!$A$1:$Y$1,0))*J$9+INDEX(Zawodnicy[],MATCH($A40,Players!$A$2:$A$35,0),MATCH($B$10,Players!$A$1:$Y$1,0))*J$10+INDEX(Zawodnicy[],MATCH($A40,Players!$A$2:$A$35,0),MATCH($B$11,Players!$A$1:$Y$1,0))*J$11+INDEX(Zawodnicy[],MATCH($A40,Players!$A$2:$A$35,0),MATCH($B$12,Players!$A$1:$Y$1,0))*J$12+INDEX(Zawodnicy[],MATCH($A40,Players!$A$2:$A$35,0),MATCH($B$13,Players!$A$1:$Y$1,0))*J$13,"-")</f>
        <v>66.31</v>
      </c>
      <c r="K40" s="38">
        <f>IFERROR(INDEX(Zawodnicy[],MATCH($A40,Players!$A$2:$A$35,0),MATCH($B$2,Players!$A$1:$Y$1,0))*K$2+INDEX(Zawodnicy[],MATCH($A40,Players!$A$2:$A$35,0),MATCH($B$3,Players!$A$1:$Y$1,0))*K$3+INDEX(Zawodnicy[],MATCH($A40,Players!$A$2:$A$35,0),MATCH($B$4,Players!$A$1:$Y$1,0))*K$4+INDEX(Zawodnicy[],MATCH($A40,Players!$A$2:$A$35,0),MATCH($B$5,Players!$A$1:$Y$1,0))*K$5+INDEX(Zawodnicy[],MATCH($A40,Players!$A$2:$A$35,0),MATCH($B$6,Players!$A$1:$Y$1,0))*K$6+INDEX(Zawodnicy[],MATCH($A40,Players!$A$2:$A$35,0),MATCH($B$7,Players!$A$1:$Y$1,0))*K$7+INDEX(Zawodnicy[],MATCH($A40,Players!$A$2:$A$35,0),MATCH($B$8,Players!$A$1:$Y$1,0))*K$8+INDEX(Zawodnicy[],MATCH($A40,Players!$A$2:$A$35,0),MATCH($B$9,Players!$A$1:$Y$1,0))*K$9+INDEX(Zawodnicy[],MATCH($A40,Players!$A$2:$A$35,0),MATCH($B$10,Players!$A$1:$Y$1,0))*K$10+INDEX(Zawodnicy[],MATCH($A40,Players!$A$2:$A$35,0),MATCH($B$11,Players!$A$1:$Y$1,0))*K$11+INDEX(Zawodnicy[],MATCH($A40,Players!$A$2:$A$35,0),MATCH($B$12,Players!$A$1:$Y$1,0))*K$12+INDEX(Zawodnicy[],MATCH($A40,Players!$A$2:$A$35,0),MATCH($B$13,Players!$A$1:$Y$1,0))*K$13,"-")</f>
        <v>60.56</v>
      </c>
    </row>
    <row r="42" spans="1:11" ht="15.75" thickBot="1" x14ac:dyDescent="0.3">
      <c r="A42" s="15" t="s">
        <v>36</v>
      </c>
      <c r="B42" s="13" t="s">
        <v>37</v>
      </c>
      <c r="C42" s="23" t="s">
        <v>40</v>
      </c>
      <c r="D42" s="23" t="s">
        <v>47</v>
      </c>
      <c r="E42" s="23" t="s">
        <v>66</v>
      </c>
      <c r="F42" s="23" t="s">
        <v>41</v>
      </c>
      <c r="G42" s="23" t="s">
        <v>67</v>
      </c>
      <c r="H42" s="23" t="s">
        <v>68</v>
      </c>
      <c r="I42" s="23" t="s">
        <v>44</v>
      </c>
      <c r="J42" s="23" t="s">
        <v>69</v>
      </c>
      <c r="K42" s="23" t="s">
        <v>46</v>
      </c>
    </row>
    <row r="43" spans="1:11" x14ac:dyDescent="0.25">
      <c r="A43">
        <f>IFERROR(PozJunNŚr[[#This Row],[Numer]],"-")</f>
        <v>31</v>
      </c>
      <c r="B43" s="3" t="str">
        <f>IFERROR(VLOOKUP(PozJunNMG[[#This Row],[Numer]],Zawodnicy[[Number]:[Player name]],2,FALSE),"-")</f>
        <v>Jacek Swoboda</v>
      </c>
      <c r="C43" s="38">
        <f ca="1">IFERROR(INDEX(JuniorzyNegatyw[],MATCH($A43,Juniorstwo!$A$35:$A$54,0),MATCH($B$2,Juniorstwo!$A$34:$N$34,0))*C$2+INDEX(JuniorzyNegatyw[],MATCH($A43,Juniorstwo!$A$35:$A$54,0),MATCH($B$3,Juniorstwo!$A$34:$N$34,0))*C$3+INDEX(JuniorzyNegatyw[],MATCH($A43,Juniorstwo!$A$35:$A$54,0),MATCH($B$4,Juniorstwo!$A$34:$N$34,0))*C$4+INDEX(JuniorzyNegatyw[],MATCH($A43,Juniorstwo!$A$35:$A$54,0),MATCH($B$5,Juniorstwo!$A$34:$N$34,0))*C$5+INDEX(JuniorzyNegatyw[],MATCH($A43,Juniorstwo!$A$35:$A$54,0),MATCH($B$6,Juniorstwo!$A$34:$N$34,0))*C$6+INDEX(JuniorzyNegatyw[],MATCH($A43,Juniorstwo!$A$35:$A$54,0),MATCH($B$7,Juniorstwo!$A$34:$N$34,0))*C$7+INDEX(JuniorzyNegatyw[],MATCH($A43,Juniorstwo!$A$35:$A$54,0),MATCH($B$8,Juniorstwo!$A$34:$N$34,0))*C$8+INDEX(JuniorzyNegatyw[],MATCH($A43,Juniorstwo!$A$35:$A$54,0),MATCH($B$9,Juniorstwo!$A$34:$N$34,0))*C$9+INDEX(JuniorzyNegatyw[],MATCH($A43,Juniorstwo!$A$35:$A$54,0),MATCH($B$10,Juniorstwo!$A$34:$N$34,0))*C$10+INDEX(JuniorzyNegatyw[],MATCH($A43,Juniorstwo!$A$35:$A$54,0),MATCH($B$11,Juniorstwo!$A$34:$N$34,0))*C$11+INDEX(JuniorzyNegatyw[],MATCH($A43,Juniorstwo!$A$35:$A$54,0),MATCH($B$12,Juniorstwo!$A$34:$N$34,0))*C$12+INDEX(JuniorzyNegatyw[],MATCH($A43,Juniorstwo!$A$35:$A$54,0),MATCH($B$13,Juniorstwo!$A$34:$N$34,0))*C$13,"-")</f>
        <v>50.56</v>
      </c>
      <c r="D43" s="38">
        <f ca="1">IFERROR(INDEX(JuniorzyNegatyw[],MATCH($A43,Juniorstwo!$A$35:$A$54,0),MATCH($B$2,Juniorstwo!$A$34:$N$34,0))*D$2+INDEX(JuniorzyNegatyw[],MATCH($A43,Juniorstwo!$A$35:$A$54,0),MATCH($B$3,Juniorstwo!$A$34:$N$34,0))*D$3+INDEX(JuniorzyNegatyw[],MATCH($A43,Juniorstwo!$A$35:$A$54,0),MATCH($B$4,Juniorstwo!$A$34:$N$34,0))*D$4+INDEX(JuniorzyNegatyw[],MATCH($A43,Juniorstwo!$A$35:$A$54,0),MATCH($B$5,Juniorstwo!$A$34:$N$34,0))*D$5+INDEX(JuniorzyNegatyw[],MATCH($A43,Juniorstwo!$A$35:$A$54,0),MATCH($B$6,Juniorstwo!$A$34:$N$34,0))*D$6+INDEX(JuniorzyNegatyw[],MATCH($A43,Juniorstwo!$A$35:$A$54,0),MATCH($B$7,Juniorstwo!$A$34:$N$34,0))*D$7+INDEX(JuniorzyNegatyw[],MATCH($A43,Juniorstwo!$A$35:$A$54,0),MATCH($B$8,Juniorstwo!$A$34:$N$34,0))*D$8+INDEX(JuniorzyNegatyw[],MATCH($A43,Juniorstwo!$A$35:$A$54,0),MATCH($B$9,Juniorstwo!$A$34:$N$34,0))*D$9+INDEX(JuniorzyNegatyw[],MATCH($A43,Juniorstwo!$A$35:$A$54,0),MATCH($B$10,Juniorstwo!$A$34:$N$34,0))*D$10+INDEX(JuniorzyNegatyw[],MATCH($A43,Juniorstwo!$A$35:$A$54,0),MATCH($B$11,Juniorstwo!$A$34:$N$34,0))*D$11+INDEX(JuniorzyNegatyw[],MATCH($A43,Juniorstwo!$A$35:$A$54,0),MATCH($B$12,Juniorstwo!$A$34:$N$34,0))*D$12+INDEX(JuniorzyNegatyw[],MATCH($A43,Juniorstwo!$A$35:$A$54,0),MATCH($B$13,Juniorstwo!$A$34:$N$34,0))*D$13,"-")</f>
        <v>65.06</v>
      </c>
      <c r="E43" s="38">
        <f ca="1">IFERROR(INDEX(JuniorzyNegatyw[],MATCH($A43,Juniorstwo!$A$35:$A$54,0),MATCH($B$2,Juniorstwo!$A$34:$N$34,0))*E$2+INDEX(JuniorzyNegatyw[],MATCH($A43,Juniorstwo!$A$35:$A$54,0),MATCH($B$3,Juniorstwo!$A$34:$N$34,0))*E$3+INDEX(JuniorzyNegatyw[],MATCH($A43,Juniorstwo!$A$35:$A$54,0),MATCH($B$4,Juniorstwo!$A$34:$N$34,0))*E$4+INDEX(JuniorzyNegatyw[],MATCH($A43,Juniorstwo!$A$35:$A$54,0),MATCH($B$5,Juniorstwo!$A$34:$N$34,0))*E$5+INDEX(JuniorzyNegatyw[],MATCH($A43,Juniorstwo!$A$35:$A$54,0),MATCH($B$6,Juniorstwo!$A$34:$N$34,0))*E$6+INDEX(JuniorzyNegatyw[],MATCH($A43,Juniorstwo!$A$35:$A$54,0),MATCH($B$7,Juniorstwo!$A$34:$N$34,0))*E$7+INDEX(JuniorzyNegatyw[],MATCH($A43,Juniorstwo!$A$35:$A$54,0),MATCH($B$8,Juniorstwo!$A$34:$N$34,0))*E$8+INDEX(JuniorzyNegatyw[],MATCH($A43,Juniorstwo!$A$35:$A$54,0),MATCH($B$9,Juniorstwo!$A$34:$N$34,0))*E$9+INDEX(JuniorzyNegatyw[],MATCH($A43,Juniorstwo!$A$35:$A$54,0),MATCH($B$10,Juniorstwo!$A$34:$N$34,0))*E$10+INDEX(JuniorzyNegatyw[],MATCH($A43,Juniorstwo!$A$35:$A$54,0),MATCH($B$11,Juniorstwo!$A$34:$N$34,0))*E$11+INDEX(JuniorzyNegatyw[],MATCH($A43,Juniorstwo!$A$35:$A$54,0),MATCH($B$12,Juniorstwo!$A$34:$N$34,0))*E$12+INDEX(JuniorzyNegatyw[],MATCH($A43,Juniorstwo!$A$35:$A$54,0),MATCH($B$13,Juniorstwo!$A$34:$N$34,0))*E$13,"-")</f>
        <v>64.81</v>
      </c>
      <c r="F43" s="38">
        <f ca="1">IFERROR(INDEX(JuniorzyNegatyw[],MATCH($A43,Juniorstwo!$A$35:$A$54,0),MATCH($B$2,Juniorstwo!$A$34:$N$34,0))*F$2+INDEX(JuniorzyNegatyw[],MATCH($A43,Juniorstwo!$A$35:$A$54,0),MATCH($B$3,Juniorstwo!$A$34:$N$34,0))*F$3+INDEX(JuniorzyNegatyw[],MATCH($A43,Juniorstwo!$A$35:$A$54,0),MATCH($B$4,Juniorstwo!$A$34:$N$34,0))*F$4+INDEX(JuniorzyNegatyw[],MATCH($A43,Juniorstwo!$A$35:$A$54,0),MATCH($B$5,Juniorstwo!$A$34:$N$34,0))*F$5+INDEX(JuniorzyNegatyw[],MATCH($A43,Juniorstwo!$A$35:$A$54,0),MATCH($B$6,Juniorstwo!$A$34:$N$34,0))*F$6+INDEX(JuniorzyNegatyw[],MATCH($A43,Juniorstwo!$A$35:$A$54,0),MATCH($B$7,Juniorstwo!$A$34:$N$34,0))*F$7+INDEX(JuniorzyNegatyw[],MATCH($A43,Juniorstwo!$A$35:$A$54,0),MATCH($B$8,Juniorstwo!$A$34:$N$34,0))*F$8+INDEX(JuniorzyNegatyw[],MATCH($A43,Juniorstwo!$A$35:$A$54,0),MATCH($B$9,Juniorstwo!$A$34:$N$34,0))*F$9+INDEX(JuniorzyNegatyw[],MATCH($A43,Juniorstwo!$A$35:$A$54,0),MATCH($B$10,Juniorstwo!$A$34:$N$34,0))*F$10+INDEX(JuniorzyNegatyw[],MATCH($A43,Juniorstwo!$A$35:$A$54,0),MATCH($B$11,Juniorstwo!$A$34:$N$34,0))*F$11+INDEX(JuniorzyNegatyw[],MATCH($A43,Juniorstwo!$A$35:$A$54,0),MATCH($B$12,Juniorstwo!$A$34:$N$34,0))*F$12+INDEX(JuniorzyNegatyw[],MATCH($A43,Juniorstwo!$A$35:$A$54,0),MATCH($B$13,Juniorstwo!$A$34:$N$34,0))*F$13,"-")</f>
        <v>64.81</v>
      </c>
      <c r="G43" s="38">
        <f ca="1">IFERROR(INDEX(JuniorzyNegatyw[],MATCH($A43,Juniorstwo!$A$35:$A$54,0),MATCH($B$2,Juniorstwo!$A$34:$N$34,0))*G$2+INDEX(JuniorzyNegatyw[],MATCH($A43,Juniorstwo!$A$35:$A$54,0),MATCH($B$3,Juniorstwo!$A$34:$N$34,0))*G$3+INDEX(JuniorzyNegatyw[],MATCH($A43,Juniorstwo!$A$35:$A$54,0),MATCH($B$4,Juniorstwo!$A$34:$N$34,0))*G$4+INDEX(JuniorzyNegatyw[],MATCH($A43,Juniorstwo!$A$35:$A$54,0),MATCH($B$5,Juniorstwo!$A$34:$N$34,0))*G$5+INDEX(JuniorzyNegatyw[],MATCH($A43,Juniorstwo!$A$35:$A$54,0),MATCH($B$6,Juniorstwo!$A$34:$N$34,0))*G$6+INDEX(JuniorzyNegatyw[],MATCH($A43,Juniorstwo!$A$35:$A$54,0),MATCH($B$7,Juniorstwo!$A$34:$N$34,0))*G$7+INDEX(JuniorzyNegatyw[],MATCH($A43,Juniorstwo!$A$35:$A$54,0),MATCH($B$8,Juniorstwo!$A$34:$N$34,0))*G$8+INDEX(JuniorzyNegatyw[],MATCH($A43,Juniorstwo!$A$35:$A$54,0),MATCH($B$9,Juniorstwo!$A$34:$N$34,0))*G$9+INDEX(JuniorzyNegatyw[],MATCH($A43,Juniorstwo!$A$35:$A$54,0),MATCH($B$10,Juniorstwo!$A$34:$N$34,0))*G$10+INDEX(JuniorzyNegatyw[],MATCH($A43,Juniorstwo!$A$35:$A$54,0),MATCH($B$11,Juniorstwo!$A$34:$N$34,0))*G$11+INDEX(JuniorzyNegatyw[],MATCH($A43,Juniorstwo!$A$35:$A$54,0),MATCH($B$12,Juniorstwo!$A$34:$N$34,0))*G$12+INDEX(JuniorzyNegatyw[],MATCH($A43,Juniorstwo!$A$35:$A$54,0),MATCH($B$13,Juniorstwo!$A$34:$N$34,0))*G$13,"-")</f>
        <v>63.81</v>
      </c>
      <c r="H43" s="38">
        <f ca="1">IFERROR(INDEX(JuniorzyNegatyw[],MATCH($A43,Juniorstwo!$A$35:$A$54,0),MATCH($B$2,Juniorstwo!$A$34:$N$34,0))*H$2+INDEX(JuniorzyNegatyw[],MATCH($A43,Juniorstwo!$A$35:$A$54,0),MATCH($B$3,Juniorstwo!$A$34:$N$34,0))*H$3+INDEX(JuniorzyNegatyw[],MATCH($A43,Juniorstwo!$A$35:$A$54,0),MATCH($B$4,Juniorstwo!$A$34:$N$34,0))*H$4+INDEX(JuniorzyNegatyw[],MATCH($A43,Juniorstwo!$A$35:$A$54,0),MATCH($B$5,Juniorstwo!$A$34:$N$34,0))*H$5+INDEX(JuniorzyNegatyw[],MATCH($A43,Juniorstwo!$A$35:$A$54,0),MATCH($B$6,Juniorstwo!$A$34:$N$34,0))*H$6+INDEX(JuniorzyNegatyw[],MATCH($A43,Juniorstwo!$A$35:$A$54,0),MATCH($B$7,Juniorstwo!$A$34:$N$34,0))*H$7+INDEX(JuniorzyNegatyw[],MATCH($A43,Juniorstwo!$A$35:$A$54,0),MATCH($B$8,Juniorstwo!$A$34:$N$34,0))*H$8+INDEX(JuniorzyNegatyw[],MATCH($A43,Juniorstwo!$A$35:$A$54,0),MATCH($B$9,Juniorstwo!$A$34:$N$34,0))*H$9+INDEX(JuniorzyNegatyw[],MATCH($A43,Juniorstwo!$A$35:$A$54,0),MATCH($B$10,Juniorstwo!$A$34:$N$34,0))*H$10+INDEX(JuniorzyNegatyw[],MATCH($A43,Juniorstwo!$A$35:$A$54,0),MATCH($B$11,Juniorstwo!$A$34:$N$34,0))*H$11+INDEX(JuniorzyNegatyw[],MATCH($A43,Juniorstwo!$A$35:$A$54,0),MATCH($B$12,Juniorstwo!$A$34:$N$34,0))*H$12+INDEX(JuniorzyNegatyw[],MATCH($A43,Juniorstwo!$A$35:$A$54,0),MATCH($B$13,Juniorstwo!$A$34:$N$34,0))*H$13,"-")</f>
        <v>64.56</v>
      </c>
      <c r="I43" s="38">
        <f ca="1">IFERROR(INDEX(JuniorzyNegatyw[],MATCH($A43,Juniorstwo!$A$35:$A$54,0),MATCH($B$2,Juniorstwo!$A$34:$N$34,0))*I$2+INDEX(JuniorzyNegatyw[],MATCH($A43,Juniorstwo!$A$35:$A$54,0),MATCH($B$3,Juniorstwo!$A$34:$N$34,0))*I$3+INDEX(JuniorzyNegatyw[],MATCH($A43,Juniorstwo!$A$35:$A$54,0),MATCH($B$4,Juniorstwo!$A$34:$N$34,0))*I$4+INDEX(JuniorzyNegatyw[],MATCH($A43,Juniorstwo!$A$35:$A$54,0),MATCH($B$5,Juniorstwo!$A$34:$N$34,0))*I$5+INDEX(JuniorzyNegatyw[],MATCH($A43,Juniorstwo!$A$35:$A$54,0),MATCH($B$6,Juniorstwo!$A$34:$N$34,0))*I$6+INDEX(JuniorzyNegatyw[],MATCH($A43,Juniorstwo!$A$35:$A$54,0),MATCH($B$7,Juniorstwo!$A$34:$N$34,0))*I$7+INDEX(JuniorzyNegatyw[],MATCH($A43,Juniorstwo!$A$35:$A$54,0),MATCH($B$8,Juniorstwo!$A$34:$N$34,0))*I$8+INDEX(JuniorzyNegatyw[],MATCH($A43,Juniorstwo!$A$35:$A$54,0),MATCH($B$9,Juniorstwo!$A$34:$N$34,0))*I$9+INDEX(JuniorzyNegatyw[],MATCH($A43,Juniorstwo!$A$35:$A$54,0),MATCH($B$10,Juniorstwo!$A$34:$N$34,0))*I$10+INDEX(JuniorzyNegatyw[],MATCH($A43,Juniorstwo!$A$35:$A$54,0),MATCH($B$11,Juniorstwo!$A$34:$N$34,0))*I$11+INDEX(JuniorzyNegatyw[],MATCH($A43,Juniorstwo!$A$35:$A$54,0),MATCH($B$12,Juniorstwo!$A$34:$N$34,0))*I$12+INDEX(JuniorzyNegatyw[],MATCH($A43,Juniorstwo!$A$35:$A$54,0),MATCH($B$13,Juniorstwo!$A$34:$N$34,0))*I$13,"-")</f>
        <v>61.06</v>
      </c>
      <c r="J43" s="38">
        <f ca="1">IFERROR(INDEX(JuniorzyNegatyw[],MATCH($A43,Juniorstwo!$A$35:$A$54,0),MATCH($B$2,Juniorstwo!$A$34:$N$34,0))*J$2+INDEX(JuniorzyNegatyw[],MATCH($A43,Juniorstwo!$A$35:$A$54,0),MATCH($B$3,Juniorstwo!$A$34:$N$34,0))*J$3+INDEX(JuniorzyNegatyw[],MATCH($A43,Juniorstwo!$A$35:$A$54,0),MATCH($B$4,Juniorstwo!$A$34:$N$34,0))*J$4+INDEX(JuniorzyNegatyw[],MATCH($A43,Juniorstwo!$A$35:$A$54,0),MATCH($B$5,Juniorstwo!$A$34:$N$34,0))*J$5+INDEX(JuniorzyNegatyw[],MATCH($A43,Juniorstwo!$A$35:$A$54,0),MATCH($B$6,Juniorstwo!$A$34:$N$34,0))*J$6+INDEX(JuniorzyNegatyw[],MATCH($A43,Juniorstwo!$A$35:$A$54,0),MATCH($B$7,Juniorstwo!$A$34:$N$34,0))*J$7+INDEX(JuniorzyNegatyw[],MATCH($A43,Juniorstwo!$A$35:$A$54,0),MATCH($B$8,Juniorstwo!$A$34:$N$34,0))*J$8+INDEX(JuniorzyNegatyw[],MATCH($A43,Juniorstwo!$A$35:$A$54,0),MATCH($B$9,Juniorstwo!$A$34:$N$34,0))*J$9+INDEX(JuniorzyNegatyw[],MATCH($A43,Juniorstwo!$A$35:$A$54,0),MATCH($B$10,Juniorstwo!$A$34:$N$34,0))*J$10+INDEX(JuniorzyNegatyw[],MATCH($A43,Juniorstwo!$A$35:$A$54,0),MATCH($B$11,Juniorstwo!$A$34:$N$34,0))*J$11+INDEX(JuniorzyNegatyw[],MATCH($A43,Juniorstwo!$A$35:$A$54,0),MATCH($B$12,Juniorstwo!$A$34:$N$34,0))*J$12+INDEX(JuniorzyNegatyw[],MATCH($A43,Juniorstwo!$A$35:$A$54,0),MATCH($B$13,Juniorstwo!$A$34:$N$34,0))*J$13,"-")</f>
        <v>62.81</v>
      </c>
      <c r="K43" s="38">
        <f ca="1">IFERROR(INDEX(JuniorzyNegatyw[],MATCH($A43,Juniorstwo!$A$35:$A$54,0),MATCH($B$2,Juniorstwo!$A$34:$N$34,0))*K$2+INDEX(JuniorzyNegatyw[],MATCH($A43,Juniorstwo!$A$35:$A$54,0),MATCH($B$3,Juniorstwo!$A$34:$N$34,0))*K$3+INDEX(JuniorzyNegatyw[],MATCH($A43,Juniorstwo!$A$35:$A$54,0),MATCH($B$4,Juniorstwo!$A$34:$N$34,0))*K$4+INDEX(JuniorzyNegatyw[],MATCH($A43,Juniorstwo!$A$35:$A$54,0),MATCH($B$5,Juniorstwo!$A$34:$N$34,0))*K$5+INDEX(JuniorzyNegatyw[],MATCH($A43,Juniorstwo!$A$35:$A$54,0),MATCH($B$6,Juniorstwo!$A$34:$N$34,0))*K$6+INDEX(JuniorzyNegatyw[],MATCH($A43,Juniorstwo!$A$35:$A$54,0),MATCH($B$7,Juniorstwo!$A$34:$N$34,0))*K$7+INDEX(JuniorzyNegatyw[],MATCH($A43,Juniorstwo!$A$35:$A$54,0),MATCH($B$8,Juniorstwo!$A$34:$N$34,0))*K$8+INDEX(JuniorzyNegatyw[],MATCH($A43,Juniorstwo!$A$35:$A$54,0),MATCH($B$9,Juniorstwo!$A$34:$N$34,0))*K$9+INDEX(JuniorzyNegatyw[],MATCH($A43,Juniorstwo!$A$35:$A$54,0),MATCH($B$10,Juniorstwo!$A$34:$N$34,0))*K$10+INDEX(JuniorzyNegatyw[],MATCH($A43,Juniorstwo!$A$35:$A$54,0),MATCH($B$11,Juniorstwo!$A$34:$N$34,0))*K$11+INDEX(JuniorzyNegatyw[],MATCH($A43,Juniorstwo!$A$35:$A$54,0),MATCH($B$12,Juniorstwo!$A$34:$N$34,0))*K$12+INDEX(JuniorzyNegatyw[],MATCH($A43,Juniorstwo!$A$35:$A$54,0),MATCH($B$13,Juniorstwo!$A$34:$N$34,0))*K$13,"-")</f>
        <v>56.81</v>
      </c>
    </row>
    <row r="44" spans="1:11" x14ac:dyDescent="0.25">
      <c r="A44">
        <f>IFERROR(PozJunNŚr[[#This Row],[Numer]],"-")</f>
        <v>38</v>
      </c>
      <c r="B44" s="3" t="str">
        <f>IFERROR(VLOOKUP(PozJunNMG[[#This Row],[Numer]],Zawodnicy[[Number]:[Player name]],2,FALSE),"-")</f>
        <v>Boleslaw Kolbert</v>
      </c>
      <c r="C44" s="38">
        <f ca="1">IFERROR(INDEX(JuniorzyNegatyw[],MATCH($A44,Juniorstwo!$A$35:$A$54,0),MATCH($B$2,Juniorstwo!$A$34:$N$34,0))*C$2+INDEX(JuniorzyNegatyw[],MATCH($A44,Juniorstwo!$A$35:$A$54,0),MATCH($B$3,Juniorstwo!$A$34:$N$34,0))*C$3+INDEX(JuniorzyNegatyw[],MATCH($A44,Juniorstwo!$A$35:$A$54,0),MATCH($B$4,Juniorstwo!$A$34:$N$34,0))*C$4+INDEX(JuniorzyNegatyw[],MATCH($A44,Juniorstwo!$A$35:$A$54,0),MATCH($B$5,Juniorstwo!$A$34:$N$34,0))*C$5+INDEX(JuniorzyNegatyw[],MATCH($A44,Juniorstwo!$A$35:$A$54,0),MATCH($B$6,Juniorstwo!$A$34:$N$34,0))*C$6+INDEX(JuniorzyNegatyw[],MATCH($A44,Juniorstwo!$A$35:$A$54,0),MATCH($B$7,Juniorstwo!$A$34:$N$34,0))*C$7+INDEX(JuniorzyNegatyw[],MATCH($A44,Juniorstwo!$A$35:$A$54,0),MATCH($B$8,Juniorstwo!$A$34:$N$34,0))*C$8+INDEX(JuniorzyNegatyw[],MATCH($A44,Juniorstwo!$A$35:$A$54,0),MATCH($B$9,Juniorstwo!$A$34:$N$34,0))*C$9+INDEX(JuniorzyNegatyw[],MATCH($A44,Juniorstwo!$A$35:$A$54,0),MATCH($B$10,Juniorstwo!$A$34:$N$34,0))*C$10+INDEX(JuniorzyNegatyw[],MATCH($A44,Juniorstwo!$A$35:$A$54,0),MATCH($B$11,Juniorstwo!$A$34:$N$34,0))*C$11+INDEX(JuniorzyNegatyw[],MATCH($A44,Juniorstwo!$A$35:$A$54,0),MATCH($B$12,Juniorstwo!$A$34:$N$34,0))*C$12+INDEX(JuniorzyNegatyw[],MATCH($A44,Juniorstwo!$A$35:$A$54,0),MATCH($B$13,Juniorstwo!$A$34:$N$34,0))*C$13,"-")</f>
        <v>42.06</v>
      </c>
      <c r="D44" s="38">
        <f ca="1">IFERROR(INDEX(JuniorzyNegatyw[],MATCH($A44,Juniorstwo!$A$35:$A$54,0),MATCH($B$2,Juniorstwo!$A$34:$N$34,0))*D$2+INDEX(JuniorzyNegatyw[],MATCH($A44,Juniorstwo!$A$35:$A$54,0),MATCH($B$3,Juniorstwo!$A$34:$N$34,0))*D$3+INDEX(JuniorzyNegatyw[],MATCH($A44,Juniorstwo!$A$35:$A$54,0),MATCH($B$4,Juniorstwo!$A$34:$N$34,0))*D$4+INDEX(JuniorzyNegatyw[],MATCH($A44,Juniorstwo!$A$35:$A$54,0),MATCH($B$5,Juniorstwo!$A$34:$N$34,0))*D$5+INDEX(JuniorzyNegatyw[],MATCH($A44,Juniorstwo!$A$35:$A$54,0),MATCH($B$6,Juniorstwo!$A$34:$N$34,0))*D$6+INDEX(JuniorzyNegatyw[],MATCH($A44,Juniorstwo!$A$35:$A$54,0),MATCH($B$7,Juniorstwo!$A$34:$N$34,0))*D$7+INDEX(JuniorzyNegatyw[],MATCH($A44,Juniorstwo!$A$35:$A$54,0),MATCH($B$8,Juniorstwo!$A$34:$N$34,0))*D$8+INDEX(JuniorzyNegatyw[],MATCH($A44,Juniorstwo!$A$35:$A$54,0),MATCH($B$9,Juniorstwo!$A$34:$N$34,0))*D$9+INDEX(JuniorzyNegatyw[],MATCH($A44,Juniorstwo!$A$35:$A$54,0),MATCH($B$10,Juniorstwo!$A$34:$N$34,0))*D$10+INDEX(JuniorzyNegatyw[],MATCH($A44,Juniorstwo!$A$35:$A$54,0),MATCH($B$11,Juniorstwo!$A$34:$N$34,0))*D$11+INDEX(JuniorzyNegatyw[],MATCH($A44,Juniorstwo!$A$35:$A$54,0),MATCH($B$12,Juniorstwo!$A$34:$N$34,0))*D$12+INDEX(JuniorzyNegatyw[],MATCH($A44,Juniorstwo!$A$35:$A$54,0),MATCH($B$13,Juniorstwo!$A$34:$N$34,0))*D$13,"-")</f>
        <v>69.81</v>
      </c>
      <c r="E44" s="38">
        <f ca="1">IFERROR(INDEX(JuniorzyNegatyw[],MATCH($A44,Juniorstwo!$A$35:$A$54,0),MATCH($B$2,Juniorstwo!$A$34:$N$34,0))*E$2+INDEX(JuniorzyNegatyw[],MATCH($A44,Juniorstwo!$A$35:$A$54,0),MATCH($B$3,Juniorstwo!$A$34:$N$34,0))*E$3+INDEX(JuniorzyNegatyw[],MATCH($A44,Juniorstwo!$A$35:$A$54,0),MATCH($B$4,Juniorstwo!$A$34:$N$34,0))*E$4+INDEX(JuniorzyNegatyw[],MATCH($A44,Juniorstwo!$A$35:$A$54,0),MATCH($B$5,Juniorstwo!$A$34:$N$34,0))*E$5+INDEX(JuniorzyNegatyw[],MATCH($A44,Juniorstwo!$A$35:$A$54,0),MATCH($B$6,Juniorstwo!$A$34:$N$34,0))*E$6+INDEX(JuniorzyNegatyw[],MATCH($A44,Juniorstwo!$A$35:$A$54,0),MATCH($B$7,Juniorstwo!$A$34:$N$34,0))*E$7+INDEX(JuniorzyNegatyw[],MATCH($A44,Juniorstwo!$A$35:$A$54,0),MATCH($B$8,Juniorstwo!$A$34:$N$34,0))*E$8+INDEX(JuniorzyNegatyw[],MATCH($A44,Juniorstwo!$A$35:$A$54,0),MATCH($B$9,Juniorstwo!$A$34:$N$34,0))*E$9+INDEX(JuniorzyNegatyw[],MATCH($A44,Juniorstwo!$A$35:$A$54,0),MATCH($B$10,Juniorstwo!$A$34:$N$34,0))*E$10+INDEX(JuniorzyNegatyw[],MATCH($A44,Juniorstwo!$A$35:$A$54,0),MATCH($B$11,Juniorstwo!$A$34:$N$34,0))*E$11+INDEX(JuniorzyNegatyw[],MATCH($A44,Juniorstwo!$A$35:$A$54,0),MATCH($B$12,Juniorstwo!$A$34:$N$34,0))*E$12+INDEX(JuniorzyNegatyw[],MATCH($A44,Juniorstwo!$A$35:$A$54,0),MATCH($B$13,Juniorstwo!$A$34:$N$34,0))*E$13,"-")</f>
        <v>66.56</v>
      </c>
      <c r="F44" s="38">
        <f ca="1">IFERROR(INDEX(JuniorzyNegatyw[],MATCH($A44,Juniorstwo!$A$35:$A$54,0),MATCH($B$2,Juniorstwo!$A$34:$N$34,0))*F$2+INDEX(JuniorzyNegatyw[],MATCH($A44,Juniorstwo!$A$35:$A$54,0),MATCH($B$3,Juniorstwo!$A$34:$N$34,0))*F$3+INDEX(JuniorzyNegatyw[],MATCH($A44,Juniorstwo!$A$35:$A$54,0),MATCH($B$4,Juniorstwo!$A$34:$N$34,0))*F$4+INDEX(JuniorzyNegatyw[],MATCH($A44,Juniorstwo!$A$35:$A$54,0),MATCH($B$5,Juniorstwo!$A$34:$N$34,0))*F$5+INDEX(JuniorzyNegatyw[],MATCH($A44,Juniorstwo!$A$35:$A$54,0),MATCH($B$6,Juniorstwo!$A$34:$N$34,0))*F$6+INDEX(JuniorzyNegatyw[],MATCH($A44,Juniorstwo!$A$35:$A$54,0),MATCH($B$7,Juniorstwo!$A$34:$N$34,0))*F$7+INDEX(JuniorzyNegatyw[],MATCH($A44,Juniorstwo!$A$35:$A$54,0),MATCH($B$8,Juniorstwo!$A$34:$N$34,0))*F$8+INDEX(JuniorzyNegatyw[],MATCH($A44,Juniorstwo!$A$35:$A$54,0),MATCH($B$9,Juniorstwo!$A$34:$N$34,0))*F$9+INDEX(JuniorzyNegatyw[],MATCH($A44,Juniorstwo!$A$35:$A$54,0),MATCH($B$10,Juniorstwo!$A$34:$N$34,0))*F$10+INDEX(JuniorzyNegatyw[],MATCH($A44,Juniorstwo!$A$35:$A$54,0),MATCH($B$11,Juniorstwo!$A$34:$N$34,0))*F$11+INDEX(JuniorzyNegatyw[],MATCH($A44,Juniorstwo!$A$35:$A$54,0),MATCH($B$12,Juniorstwo!$A$34:$N$34,0))*F$12+INDEX(JuniorzyNegatyw[],MATCH($A44,Juniorstwo!$A$35:$A$54,0),MATCH($B$13,Juniorstwo!$A$34:$N$34,0))*F$13,"-")</f>
        <v>65.56</v>
      </c>
      <c r="G44" s="38">
        <f ca="1">IFERROR(INDEX(JuniorzyNegatyw[],MATCH($A44,Juniorstwo!$A$35:$A$54,0),MATCH($B$2,Juniorstwo!$A$34:$N$34,0))*G$2+INDEX(JuniorzyNegatyw[],MATCH($A44,Juniorstwo!$A$35:$A$54,0),MATCH($B$3,Juniorstwo!$A$34:$N$34,0))*G$3+INDEX(JuniorzyNegatyw[],MATCH($A44,Juniorstwo!$A$35:$A$54,0),MATCH($B$4,Juniorstwo!$A$34:$N$34,0))*G$4+INDEX(JuniorzyNegatyw[],MATCH($A44,Juniorstwo!$A$35:$A$54,0),MATCH($B$5,Juniorstwo!$A$34:$N$34,0))*G$5+INDEX(JuniorzyNegatyw[],MATCH($A44,Juniorstwo!$A$35:$A$54,0),MATCH($B$6,Juniorstwo!$A$34:$N$34,0))*G$6+INDEX(JuniorzyNegatyw[],MATCH($A44,Juniorstwo!$A$35:$A$54,0),MATCH($B$7,Juniorstwo!$A$34:$N$34,0))*G$7+INDEX(JuniorzyNegatyw[],MATCH($A44,Juniorstwo!$A$35:$A$54,0),MATCH($B$8,Juniorstwo!$A$34:$N$34,0))*G$8+INDEX(JuniorzyNegatyw[],MATCH($A44,Juniorstwo!$A$35:$A$54,0),MATCH($B$9,Juniorstwo!$A$34:$N$34,0))*G$9+INDEX(JuniorzyNegatyw[],MATCH($A44,Juniorstwo!$A$35:$A$54,0),MATCH($B$10,Juniorstwo!$A$34:$N$34,0))*G$10+INDEX(JuniorzyNegatyw[],MATCH($A44,Juniorstwo!$A$35:$A$54,0),MATCH($B$11,Juniorstwo!$A$34:$N$34,0))*G$11+INDEX(JuniorzyNegatyw[],MATCH($A44,Juniorstwo!$A$35:$A$54,0),MATCH($B$12,Juniorstwo!$A$34:$N$34,0))*G$12+INDEX(JuniorzyNegatyw[],MATCH($A44,Juniorstwo!$A$35:$A$54,0),MATCH($B$13,Juniorstwo!$A$34:$N$34,0))*G$13,"-")</f>
        <v>63.06</v>
      </c>
      <c r="H44" s="38">
        <f ca="1">IFERROR(INDEX(JuniorzyNegatyw[],MATCH($A44,Juniorstwo!$A$35:$A$54,0),MATCH($B$2,Juniorstwo!$A$34:$N$34,0))*H$2+INDEX(JuniorzyNegatyw[],MATCH($A44,Juniorstwo!$A$35:$A$54,0),MATCH($B$3,Juniorstwo!$A$34:$N$34,0))*H$3+INDEX(JuniorzyNegatyw[],MATCH($A44,Juniorstwo!$A$35:$A$54,0),MATCH($B$4,Juniorstwo!$A$34:$N$34,0))*H$4+INDEX(JuniorzyNegatyw[],MATCH($A44,Juniorstwo!$A$35:$A$54,0),MATCH($B$5,Juniorstwo!$A$34:$N$34,0))*H$5+INDEX(JuniorzyNegatyw[],MATCH($A44,Juniorstwo!$A$35:$A$54,0),MATCH($B$6,Juniorstwo!$A$34:$N$34,0))*H$6+INDEX(JuniorzyNegatyw[],MATCH($A44,Juniorstwo!$A$35:$A$54,0),MATCH($B$7,Juniorstwo!$A$34:$N$34,0))*H$7+INDEX(JuniorzyNegatyw[],MATCH($A44,Juniorstwo!$A$35:$A$54,0),MATCH($B$8,Juniorstwo!$A$34:$N$34,0))*H$8+INDEX(JuniorzyNegatyw[],MATCH($A44,Juniorstwo!$A$35:$A$54,0),MATCH($B$9,Juniorstwo!$A$34:$N$34,0))*H$9+INDEX(JuniorzyNegatyw[],MATCH($A44,Juniorstwo!$A$35:$A$54,0),MATCH($B$10,Juniorstwo!$A$34:$N$34,0))*H$10+INDEX(JuniorzyNegatyw[],MATCH($A44,Juniorstwo!$A$35:$A$54,0),MATCH($B$11,Juniorstwo!$A$34:$N$34,0))*H$11+INDEX(JuniorzyNegatyw[],MATCH($A44,Juniorstwo!$A$35:$A$54,0),MATCH($B$12,Juniorstwo!$A$34:$N$34,0))*H$12+INDEX(JuniorzyNegatyw[],MATCH($A44,Juniorstwo!$A$35:$A$54,0),MATCH($B$13,Juniorstwo!$A$34:$N$34,0))*H$13,"-")</f>
        <v>61.06</v>
      </c>
      <c r="I44" s="38">
        <f ca="1">IFERROR(INDEX(JuniorzyNegatyw[],MATCH($A44,Juniorstwo!$A$35:$A$54,0),MATCH($B$2,Juniorstwo!$A$34:$N$34,0))*I$2+INDEX(JuniorzyNegatyw[],MATCH($A44,Juniorstwo!$A$35:$A$54,0),MATCH($B$3,Juniorstwo!$A$34:$N$34,0))*I$3+INDEX(JuniorzyNegatyw[],MATCH($A44,Juniorstwo!$A$35:$A$54,0),MATCH($B$4,Juniorstwo!$A$34:$N$34,0))*I$4+INDEX(JuniorzyNegatyw[],MATCH($A44,Juniorstwo!$A$35:$A$54,0),MATCH($B$5,Juniorstwo!$A$34:$N$34,0))*I$5+INDEX(JuniorzyNegatyw[],MATCH($A44,Juniorstwo!$A$35:$A$54,0),MATCH($B$6,Juniorstwo!$A$34:$N$34,0))*I$6+INDEX(JuniorzyNegatyw[],MATCH($A44,Juniorstwo!$A$35:$A$54,0),MATCH($B$7,Juniorstwo!$A$34:$N$34,0))*I$7+INDEX(JuniorzyNegatyw[],MATCH($A44,Juniorstwo!$A$35:$A$54,0),MATCH($B$8,Juniorstwo!$A$34:$N$34,0))*I$8+INDEX(JuniorzyNegatyw[],MATCH($A44,Juniorstwo!$A$35:$A$54,0),MATCH($B$9,Juniorstwo!$A$34:$N$34,0))*I$9+INDEX(JuniorzyNegatyw[],MATCH($A44,Juniorstwo!$A$35:$A$54,0),MATCH($B$10,Juniorstwo!$A$34:$N$34,0))*I$10+INDEX(JuniorzyNegatyw[],MATCH($A44,Juniorstwo!$A$35:$A$54,0),MATCH($B$11,Juniorstwo!$A$34:$N$34,0))*I$11+INDEX(JuniorzyNegatyw[],MATCH($A44,Juniorstwo!$A$35:$A$54,0),MATCH($B$12,Juniorstwo!$A$34:$N$34,0))*I$12+INDEX(JuniorzyNegatyw[],MATCH($A44,Juniorstwo!$A$35:$A$54,0),MATCH($B$13,Juniorstwo!$A$34:$N$34,0))*I$13,"-")</f>
        <v>60.31</v>
      </c>
      <c r="J44" s="38">
        <f ca="1">IFERROR(INDEX(JuniorzyNegatyw[],MATCH($A44,Juniorstwo!$A$35:$A$54,0),MATCH($B$2,Juniorstwo!$A$34:$N$34,0))*J$2+INDEX(JuniorzyNegatyw[],MATCH($A44,Juniorstwo!$A$35:$A$54,0),MATCH($B$3,Juniorstwo!$A$34:$N$34,0))*J$3+INDEX(JuniorzyNegatyw[],MATCH($A44,Juniorstwo!$A$35:$A$54,0),MATCH($B$4,Juniorstwo!$A$34:$N$34,0))*J$4+INDEX(JuniorzyNegatyw[],MATCH($A44,Juniorstwo!$A$35:$A$54,0),MATCH($B$5,Juniorstwo!$A$34:$N$34,0))*J$5+INDEX(JuniorzyNegatyw[],MATCH($A44,Juniorstwo!$A$35:$A$54,0),MATCH($B$6,Juniorstwo!$A$34:$N$34,0))*J$6+INDEX(JuniorzyNegatyw[],MATCH($A44,Juniorstwo!$A$35:$A$54,0),MATCH($B$7,Juniorstwo!$A$34:$N$34,0))*J$7+INDEX(JuniorzyNegatyw[],MATCH($A44,Juniorstwo!$A$35:$A$54,0),MATCH($B$8,Juniorstwo!$A$34:$N$34,0))*J$8+INDEX(JuniorzyNegatyw[],MATCH($A44,Juniorstwo!$A$35:$A$54,0),MATCH($B$9,Juniorstwo!$A$34:$N$34,0))*J$9+INDEX(JuniorzyNegatyw[],MATCH($A44,Juniorstwo!$A$35:$A$54,0),MATCH($B$10,Juniorstwo!$A$34:$N$34,0))*J$10+INDEX(JuniorzyNegatyw[],MATCH($A44,Juniorstwo!$A$35:$A$54,0),MATCH($B$11,Juniorstwo!$A$34:$N$34,0))*J$11+INDEX(JuniorzyNegatyw[],MATCH($A44,Juniorstwo!$A$35:$A$54,0),MATCH($B$12,Juniorstwo!$A$34:$N$34,0))*J$12+INDEX(JuniorzyNegatyw[],MATCH($A44,Juniorstwo!$A$35:$A$54,0),MATCH($B$13,Juniorstwo!$A$34:$N$34,0))*J$13,"-")</f>
        <v>60.06</v>
      </c>
      <c r="K44" s="38">
        <f ca="1">IFERROR(INDEX(JuniorzyNegatyw[],MATCH($A44,Juniorstwo!$A$35:$A$54,0),MATCH($B$2,Juniorstwo!$A$34:$N$34,0))*K$2+INDEX(JuniorzyNegatyw[],MATCH($A44,Juniorstwo!$A$35:$A$54,0),MATCH($B$3,Juniorstwo!$A$34:$N$34,0))*K$3+INDEX(JuniorzyNegatyw[],MATCH($A44,Juniorstwo!$A$35:$A$54,0),MATCH($B$4,Juniorstwo!$A$34:$N$34,0))*K$4+INDEX(JuniorzyNegatyw[],MATCH($A44,Juniorstwo!$A$35:$A$54,0),MATCH($B$5,Juniorstwo!$A$34:$N$34,0))*K$5+INDEX(JuniorzyNegatyw[],MATCH($A44,Juniorstwo!$A$35:$A$54,0),MATCH($B$6,Juniorstwo!$A$34:$N$34,0))*K$6+INDEX(JuniorzyNegatyw[],MATCH($A44,Juniorstwo!$A$35:$A$54,0),MATCH($B$7,Juniorstwo!$A$34:$N$34,0))*K$7+INDEX(JuniorzyNegatyw[],MATCH($A44,Juniorstwo!$A$35:$A$54,0),MATCH($B$8,Juniorstwo!$A$34:$N$34,0))*K$8+INDEX(JuniorzyNegatyw[],MATCH($A44,Juniorstwo!$A$35:$A$54,0),MATCH($B$9,Juniorstwo!$A$34:$N$34,0))*K$9+INDEX(JuniorzyNegatyw[],MATCH($A44,Juniorstwo!$A$35:$A$54,0),MATCH($B$10,Juniorstwo!$A$34:$N$34,0))*K$10+INDEX(JuniorzyNegatyw[],MATCH($A44,Juniorstwo!$A$35:$A$54,0),MATCH($B$11,Juniorstwo!$A$34:$N$34,0))*K$11+INDEX(JuniorzyNegatyw[],MATCH($A44,Juniorstwo!$A$35:$A$54,0),MATCH($B$12,Juniorstwo!$A$34:$N$34,0))*K$12+INDEX(JuniorzyNegatyw[],MATCH($A44,Juniorstwo!$A$35:$A$54,0),MATCH($B$13,Juniorstwo!$A$34:$N$34,0))*K$13,"-")</f>
        <v>61.31</v>
      </c>
    </row>
    <row r="45" spans="1:11" x14ac:dyDescent="0.25">
      <c r="A45">
        <f>IFERROR(PozJunNŚr[[#This Row],[Numer]],"-")</f>
        <v>39</v>
      </c>
      <c r="B45" s="3" t="str">
        <f>IFERROR(VLOOKUP(PozJunNMG[[#This Row],[Numer]],Zawodnicy[[Number]:[Player name]],2,FALSE),"-")</f>
        <v>Damazy Pionek</v>
      </c>
      <c r="C45" s="38">
        <f ca="1">IFERROR(INDEX(JuniorzyNegatyw[],MATCH($A45,Juniorstwo!$A$35:$A$54,0),MATCH($B$2,Juniorstwo!$A$34:$N$34,0))*C$2+INDEX(JuniorzyNegatyw[],MATCH($A45,Juniorstwo!$A$35:$A$54,0),MATCH($B$3,Juniorstwo!$A$34:$N$34,0))*C$3+INDEX(JuniorzyNegatyw[],MATCH($A45,Juniorstwo!$A$35:$A$54,0),MATCH($B$4,Juniorstwo!$A$34:$N$34,0))*C$4+INDEX(JuniorzyNegatyw[],MATCH($A45,Juniorstwo!$A$35:$A$54,0),MATCH($B$5,Juniorstwo!$A$34:$N$34,0))*C$5+INDEX(JuniorzyNegatyw[],MATCH($A45,Juniorstwo!$A$35:$A$54,0),MATCH($B$6,Juniorstwo!$A$34:$N$34,0))*C$6+INDEX(JuniorzyNegatyw[],MATCH($A45,Juniorstwo!$A$35:$A$54,0),MATCH($B$7,Juniorstwo!$A$34:$N$34,0))*C$7+INDEX(JuniorzyNegatyw[],MATCH($A45,Juniorstwo!$A$35:$A$54,0),MATCH($B$8,Juniorstwo!$A$34:$N$34,0))*C$8+INDEX(JuniorzyNegatyw[],MATCH($A45,Juniorstwo!$A$35:$A$54,0),MATCH($B$9,Juniorstwo!$A$34:$N$34,0))*C$9+INDEX(JuniorzyNegatyw[],MATCH($A45,Juniorstwo!$A$35:$A$54,0),MATCH($B$10,Juniorstwo!$A$34:$N$34,0))*C$10+INDEX(JuniorzyNegatyw[],MATCH($A45,Juniorstwo!$A$35:$A$54,0),MATCH($B$11,Juniorstwo!$A$34:$N$34,0))*C$11+INDEX(JuniorzyNegatyw[],MATCH($A45,Juniorstwo!$A$35:$A$54,0),MATCH($B$12,Juniorstwo!$A$34:$N$34,0))*C$12+INDEX(JuniorzyNegatyw[],MATCH($A45,Juniorstwo!$A$35:$A$54,0),MATCH($B$13,Juniorstwo!$A$34:$N$34,0))*C$13,"-")</f>
        <v>85.08</v>
      </c>
      <c r="D45" s="38">
        <f ca="1">IFERROR(INDEX(JuniorzyNegatyw[],MATCH($A45,Juniorstwo!$A$35:$A$54,0),MATCH($B$2,Juniorstwo!$A$34:$N$34,0))*D$2+INDEX(JuniorzyNegatyw[],MATCH($A45,Juniorstwo!$A$35:$A$54,0),MATCH($B$3,Juniorstwo!$A$34:$N$34,0))*D$3+INDEX(JuniorzyNegatyw[],MATCH($A45,Juniorstwo!$A$35:$A$54,0),MATCH($B$4,Juniorstwo!$A$34:$N$34,0))*D$4+INDEX(JuniorzyNegatyw[],MATCH($A45,Juniorstwo!$A$35:$A$54,0),MATCH($B$5,Juniorstwo!$A$34:$N$34,0))*D$5+INDEX(JuniorzyNegatyw[],MATCH($A45,Juniorstwo!$A$35:$A$54,0),MATCH($B$6,Juniorstwo!$A$34:$N$34,0))*D$6+INDEX(JuniorzyNegatyw[],MATCH($A45,Juniorstwo!$A$35:$A$54,0),MATCH($B$7,Juniorstwo!$A$34:$N$34,0))*D$7+INDEX(JuniorzyNegatyw[],MATCH($A45,Juniorstwo!$A$35:$A$54,0),MATCH($B$8,Juniorstwo!$A$34:$N$34,0))*D$8+INDEX(JuniorzyNegatyw[],MATCH($A45,Juniorstwo!$A$35:$A$54,0),MATCH($B$9,Juniorstwo!$A$34:$N$34,0))*D$9+INDEX(JuniorzyNegatyw[],MATCH($A45,Juniorstwo!$A$35:$A$54,0),MATCH($B$10,Juniorstwo!$A$34:$N$34,0))*D$10+INDEX(JuniorzyNegatyw[],MATCH($A45,Juniorstwo!$A$35:$A$54,0),MATCH($B$11,Juniorstwo!$A$34:$N$34,0))*D$11+INDEX(JuniorzyNegatyw[],MATCH($A45,Juniorstwo!$A$35:$A$54,0),MATCH($B$12,Juniorstwo!$A$34:$N$34,0))*D$12+INDEX(JuniorzyNegatyw[],MATCH($A45,Juniorstwo!$A$35:$A$54,0),MATCH($B$13,Juniorstwo!$A$34:$N$34,0))*D$13,"-")</f>
        <v>77.33</v>
      </c>
      <c r="E45" s="38">
        <f ca="1">IFERROR(INDEX(JuniorzyNegatyw[],MATCH($A45,Juniorstwo!$A$35:$A$54,0),MATCH($B$2,Juniorstwo!$A$34:$N$34,0))*E$2+INDEX(JuniorzyNegatyw[],MATCH($A45,Juniorstwo!$A$35:$A$54,0),MATCH($B$3,Juniorstwo!$A$34:$N$34,0))*E$3+INDEX(JuniorzyNegatyw[],MATCH($A45,Juniorstwo!$A$35:$A$54,0),MATCH($B$4,Juniorstwo!$A$34:$N$34,0))*E$4+INDEX(JuniorzyNegatyw[],MATCH($A45,Juniorstwo!$A$35:$A$54,0),MATCH($B$5,Juniorstwo!$A$34:$N$34,0))*E$5+INDEX(JuniorzyNegatyw[],MATCH($A45,Juniorstwo!$A$35:$A$54,0),MATCH($B$6,Juniorstwo!$A$34:$N$34,0))*E$6+INDEX(JuniorzyNegatyw[],MATCH($A45,Juniorstwo!$A$35:$A$54,0),MATCH($B$7,Juniorstwo!$A$34:$N$34,0))*E$7+INDEX(JuniorzyNegatyw[],MATCH($A45,Juniorstwo!$A$35:$A$54,0),MATCH($B$8,Juniorstwo!$A$34:$N$34,0))*E$8+INDEX(JuniorzyNegatyw[],MATCH($A45,Juniorstwo!$A$35:$A$54,0),MATCH($B$9,Juniorstwo!$A$34:$N$34,0))*E$9+INDEX(JuniorzyNegatyw[],MATCH($A45,Juniorstwo!$A$35:$A$54,0),MATCH($B$10,Juniorstwo!$A$34:$N$34,0))*E$10+INDEX(JuniorzyNegatyw[],MATCH($A45,Juniorstwo!$A$35:$A$54,0),MATCH($B$11,Juniorstwo!$A$34:$N$34,0))*E$11+INDEX(JuniorzyNegatyw[],MATCH($A45,Juniorstwo!$A$35:$A$54,0),MATCH($B$12,Juniorstwo!$A$34:$N$34,0))*E$12+INDEX(JuniorzyNegatyw[],MATCH($A45,Juniorstwo!$A$35:$A$54,0),MATCH($B$13,Juniorstwo!$A$34:$N$34,0))*E$13,"-")</f>
        <v>77.58</v>
      </c>
      <c r="F45" s="38">
        <f ca="1">IFERROR(INDEX(JuniorzyNegatyw[],MATCH($A45,Juniorstwo!$A$35:$A$54,0),MATCH($B$2,Juniorstwo!$A$34:$N$34,0))*F$2+INDEX(JuniorzyNegatyw[],MATCH($A45,Juniorstwo!$A$35:$A$54,0),MATCH($B$3,Juniorstwo!$A$34:$N$34,0))*F$3+INDEX(JuniorzyNegatyw[],MATCH($A45,Juniorstwo!$A$35:$A$54,0),MATCH($B$4,Juniorstwo!$A$34:$N$34,0))*F$4+INDEX(JuniorzyNegatyw[],MATCH($A45,Juniorstwo!$A$35:$A$54,0),MATCH($B$5,Juniorstwo!$A$34:$N$34,0))*F$5+INDEX(JuniorzyNegatyw[],MATCH($A45,Juniorstwo!$A$35:$A$54,0),MATCH($B$6,Juniorstwo!$A$34:$N$34,0))*F$6+INDEX(JuniorzyNegatyw[],MATCH($A45,Juniorstwo!$A$35:$A$54,0),MATCH($B$7,Juniorstwo!$A$34:$N$34,0))*F$7+INDEX(JuniorzyNegatyw[],MATCH($A45,Juniorstwo!$A$35:$A$54,0),MATCH($B$8,Juniorstwo!$A$34:$N$34,0))*F$8+INDEX(JuniorzyNegatyw[],MATCH($A45,Juniorstwo!$A$35:$A$54,0),MATCH($B$9,Juniorstwo!$A$34:$N$34,0))*F$9+INDEX(JuniorzyNegatyw[],MATCH($A45,Juniorstwo!$A$35:$A$54,0),MATCH($B$10,Juniorstwo!$A$34:$N$34,0))*F$10+INDEX(JuniorzyNegatyw[],MATCH($A45,Juniorstwo!$A$35:$A$54,0),MATCH($B$11,Juniorstwo!$A$34:$N$34,0))*F$11+INDEX(JuniorzyNegatyw[],MATCH($A45,Juniorstwo!$A$35:$A$54,0),MATCH($B$12,Juniorstwo!$A$34:$N$34,0))*F$12+INDEX(JuniorzyNegatyw[],MATCH($A45,Juniorstwo!$A$35:$A$54,0),MATCH($B$13,Juniorstwo!$A$34:$N$34,0))*F$13,"-")</f>
        <v>78.33</v>
      </c>
      <c r="G45" s="38">
        <f ca="1">IFERROR(INDEX(JuniorzyNegatyw[],MATCH($A45,Juniorstwo!$A$35:$A$54,0),MATCH($B$2,Juniorstwo!$A$34:$N$34,0))*G$2+INDEX(JuniorzyNegatyw[],MATCH($A45,Juniorstwo!$A$35:$A$54,0),MATCH($B$3,Juniorstwo!$A$34:$N$34,0))*G$3+INDEX(JuniorzyNegatyw[],MATCH($A45,Juniorstwo!$A$35:$A$54,0),MATCH($B$4,Juniorstwo!$A$34:$N$34,0))*G$4+INDEX(JuniorzyNegatyw[],MATCH($A45,Juniorstwo!$A$35:$A$54,0),MATCH($B$5,Juniorstwo!$A$34:$N$34,0))*G$5+INDEX(JuniorzyNegatyw[],MATCH($A45,Juniorstwo!$A$35:$A$54,0),MATCH($B$6,Juniorstwo!$A$34:$N$34,0))*G$6+INDEX(JuniorzyNegatyw[],MATCH($A45,Juniorstwo!$A$35:$A$54,0),MATCH($B$7,Juniorstwo!$A$34:$N$34,0))*G$7+INDEX(JuniorzyNegatyw[],MATCH($A45,Juniorstwo!$A$35:$A$54,0),MATCH($B$8,Juniorstwo!$A$34:$N$34,0))*G$8+INDEX(JuniorzyNegatyw[],MATCH($A45,Juniorstwo!$A$35:$A$54,0),MATCH($B$9,Juniorstwo!$A$34:$N$34,0))*G$9+INDEX(JuniorzyNegatyw[],MATCH($A45,Juniorstwo!$A$35:$A$54,0),MATCH($B$10,Juniorstwo!$A$34:$N$34,0))*G$10+INDEX(JuniorzyNegatyw[],MATCH($A45,Juniorstwo!$A$35:$A$54,0),MATCH($B$11,Juniorstwo!$A$34:$N$34,0))*G$11+INDEX(JuniorzyNegatyw[],MATCH($A45,Juniorstwo!$A$35:$A$54,0),MATCH($B$12,Juniorstwo!$A$34:$N$34,0))*G$12+INDEX(JuniorzyNegatyw[],MATCH($A45,Juniorstwo!$A$35:$A$54,0),MATCH($B$13,Juniorstwo!$A$34:$N$34,0))*G$13,"-")</f>
        <v>78.83</v>
      </c>
      <c r="H45" s="38">
        <f ca="1">IFERROR(INDEX(JuniorzyNegatyw[],MATCH($A45,Juniorstwo!$A$35:$A$54,0),MATCH($B$2,Juniorstwo!$A$34:$N$34,0))*H$2+INDEX(JuniorzyNegatyw[],MATCH($A45,Juniorstwo!$A$35:$A$54,0),MATCH($B$3,Juniorstwo!$A$34:$N$34,0))*H$3+INDEX(JuniorzyNegatyw[],MATCH($A45,Juniorstwo!$A$35:$A$54,0),MATCH($B$4,Juniorstwo!$A$34:$N$34,0))*H$4+INDEX(JuniorzyNegatyw[],MATCH($A45,Juniorstwo!$A$35:$A$54,0),MATCH($B$5,Juniorstwo!$A$34:$N$34,0))*H$5+INDEX(JuniorzyNegatyw[],MATCH($A45,Juniorstwo!$A$35:$A$54,0),MATCH($B$6,Juniorstwo!$A$34:$N$34,0))*H$6+INDEX(JuniorzyNegatyw[],MATCH($A45,Juniorstwo!$A$35:$A$54,0),MATCH($B$7,Juniorstwo!$A$34:$N$34,0))*H$7+INDEX(JuniorzyNegatyw[],MATCH($A45,Juniorstwo!$A$35:$A$54,0),MATCH($B$8,Juniorstwo!$A$34:$N$34,0))*H$8+INDEX(JuniorzyNegatyw[],MATCH($A45,Juniorstwo!$A$35:$A$54,0),MATCH($B$9,Juniorstwo!$A$34:$N$34,0))*H$9+INDEX(JuniorzyNegatyw[],MATCH($A45,Juniorstwo!$A$35:$A$54,0),MATCH($B$10,Juniorstwo!$A$34:$N$34,0))*H$10+INDEX(JuniorzyNegatyw[],MATCH($A45,Juniorstwo!$A$35:$A$54,0),MATCH($B$11,Juniorstwo!$A$34:$N$34,0))*H$11+INDEX(JuniorzyNegatyw[],MATCH($A45,Juniorstwo!$A$35:$A$54,0),MATCH($B$12,Juniorstwo!$A$34:$N$34,0))*H$12+INDEX(JuniorzyNegatyw[],MATCH($A45,Juniorstwo!$A$35:$A$54,0),MATCH($B$13,Juniorstwo!$A$34:$N$34,0))*H$13,"-")</f>
        <v>78.83</v>
      </c>
      <c r="I45" s="38">
        <f ca="1">IFERROR(INDEX(JuniorzyNegatyw[],MATCH($A45,Juniorstwo!$A$35:$A$54,0),MATCH($B$2,Juniorstwo!$A$34:$N$34,0))*I$2+INDEX(JuniorzyNegatyw[],MATCH($A45,Juniorstwo!$A$35:$A$54,0),MATCH($B$3,Juniorstwo!$A$34:$N$34,0))*I$3+INDEX(JuniorzyNegatyw[],MATCH($A45,Juniorstwo!$A$35:$A$54,0),MATCH($B$4,Juniorstwo!$A$34:$N$34,0))*I$4+INDEX(JuniorzyNegatyw[],MATCH($A45,Juniorstwo!$A$35:$A$54,0),MATCH($B$5,Juniorstwo!$A$34:$N$34,0))*I$5+INDEX(JuniorzyNegatyw[],MATCH($A45,Juniorstwo!$A$35:$A$54,0),MATCH($B$6,Juniorstwo!$A$34:$N$34,0))*I$6+INDEX(JuniorzyNegatyw[],MATCH($A45,Juniorstwo!$A$35:$A$54,0),MATCH($B$7,Juniorstwo!$A$34:$N$34,0))*I$7+INDEX(JuniorzyNegatyw[],MATCH($A45,Juniorstwo!$A$35:$A$54,0),MATCH($B$8,Juniorstwo!$A$34:$N$34,0))*I$8+INDEX(JuniorzyNegatyw[],MATCH($A45,Juniorstwo!$A$35:$A$54,0),MATCH($B$9,Juniorstwo!$A$34:$N$34,0))*I$9+INDEX(JuniorzyNegatyw[],MATCH($A45,Juniorstwo!$A$35:$A$54,0),MATCH($B$10,Juniorstwo!$A$34:$N$34,0))*I$10+INDEX(JuniorzyNegatyw[],MATCH($A45,Juniorstwo!$A$35:$A$54,0),MATCH($B$11,Juniorstwo!$A$34:$N$34,0))*I$11+INDEX(JuniorzyNegatyw[],MATCH($A45,Juniorstwo!$A$35:$A$54,0),MATCH($B$12,Juniorstwo!$A$34:$N$34,0))*I$12+INDEX(JuniorzyNegatyw[],MATCH($A45,Juniorstwo!$A$35:$A$54,0),MATCH($B$13,Juniorstwo!$A$34:$N$34,0))*I$13,"-")</f>
        <v>77.58</v>
      </c>
      <c r="J45" s="38">
        <f ca="1">IFERROR(INDEX(JuniorzyNegatyw[],MATCH($A45,Juniorstwo!$A$35:$A$54,0),MATCH($B$2,Juniorstwo!$A$34:$N$34,0))*J$2+INDEX(JuniorzyNegatyw[],MATCH($A45,Juniorstwo!$A$35:$A$54,0),MATCH($B$3,Juniorstwo!$A$34:$N$34,0))*J$3+INDEX(JuniorzyNegatyw[],MATCH($A45,Juniorstwo!$A$35:$A$54,0),MATCH($B$4,Juniorstwo!$A$34:$N$34,0))*J$4+INDEX(JuniorzyNegatyw[],MATCH($A45,Juniorstwo!$A$35:$A$54,0),MATCH($B$5,Juniorstwo!$A$34:$N$34,0))*J$5+INDEX(JuniorzyNegatyw[],MATCH($A45,Juniorstwo!$A$35:$A$54,0),MATCH($B$6,Juniorstwo!$A$34:$N$34,0))*J$6+INDEX(JuniorzyNegatyw[],MATCH($A45,Juniorstwo!$A$35:$A$54,0),MATCH($B$7,Juniorstwo!$A$34:$N$34,0))*J$7+INDEX(JuniorzyNegatyw[],MATCH($A45,Juniorstwo!$A$35:$A$54,0),MATCH($B$8,Juniorstwo!$A$34:$N$34,0))*J$8+INDEX(JuniorzyNegatyw[],MATCH($A45,Juniorstwo!$A$35:$A$54,0),MATCH($B$9,Juniorstwo!$A$34:$N$34,0))*J$9+INDEX(JuniorzyNegatyw[],MATCH($A45,Juniorstwo!$A$35:$A$54,0),MATCH($B$10,Juniorstwo!$A$34:$N$34,0))*J$10+INDEX(JuniorzyNegatyw[],MATCH($A45,Juniorstwo!$A$35:$A$54,0),MATCH($B$11,Juniorstwo!$A$34:$N$34,0))*J$11+INDEX(JuniorzyNegatyw[],MATCH($A45,Juniorstwo!$A$35:$A$54,0),MATCH($B$12,Juniorstwo!$A$34:$N$34,0))*J$12+INDEX(JuniorzyNegatyw[],MATCH($A45,Juniorstwo!$A$35:$A$54,0),MATCH($B$13,Juniorstwo!$A$34:$N$34,0))*J$13,"-")</f>
        <v>75.83</v>
      </c>
      <c r="K45" s="38">
        <f ca="1">IFERROR(INDEX(JuniorzyNegatyw[],MATCH($A45,Juniorstwo!$A$35:$A$54,0),MATCH($B$2,Juniorstwo!$A$34:$N$34,0))*K$2+INDEX(JuniorzyNegatyw[],MATCH($A45,Juniorstwo!$A$35:$A$54,0),MATCH($B$3,Juniorstwo!$A$34:$N$34,0))*K$3+INDEX(JuniorzyNegatyw[],MATCH($A45,Juniorstwo!$A$35:$A$54,0),MATCH($B$4,Juniorstwo!$A$34:$N$34,0))*K$4+INDEX(JuniorzyNegatyw[],MATCH($A45,Juniorstwo!$A$35:$A$54,0),MATCH($B$5,Juniorstwo!$A$34:$N$34,0))*K$5+INDEX(JuniorzyNegatyw[],MATCH($A45,Juniorstwo!$A$35:$A$54,0),MATCH($B$6,Juniorstwo!$A$34:$N$34,0))*K$6+INDEX(JuniorzyNegatyw[],MATCH($A45,Juniorstwo!$A$35:$A$54,0),MATCH($B$7,Juniorstwo!$A$34:$N$34,0))*K$7+INDEX(JuniorzyNegatyw[],MATCH($A45,Juniorstwo!$A$35:$A$54,0),MATCH($B$8,Juniorstwo!$A$34:$N$34,0))*K$8+INDEX(JuniorzyNegatyw[],MATCH($A45,Juniorstwo!$A$35:$A$54,0),MATCH($B$9,Juniorstwo!$A$34:$N$34,0))*K$9+INDEX(JuniorzyNegatyw[],MATCH($A45,Juniorstwo!$A$35:$A$54,0),MATCH($B$10,Juniorstwo!$A$34:$N$34,0))*K$10+INDEX(JuniorzyNegatyw[],MATCH($A45,Juniorstwo!$A$35:$A$54,0),MATCH($B$11,Juniorstwo!$A$34:$N$34,0))*K$11+INDEX(JuniorzyNegatyw[],MATCH($A45,Juniorstwo!$A$35:$A$54,0),MATCH($B$12,Juniorstwo!$A$34:$N$34,0))*K$12+INDEX(JuniorzyNegatyw[],MATCH($A45,Juniorstwo!$A$35:$A$54,0),MATCH($B$13,Juniorstwo!$A$34:$N$34,0))*K$13,"-")</f>
        <v>72.08</v>
      </c>
    </row>
    <row r="46" spans="1:11" x14ac:dyDescent="0.25">
      <c r="A46">
        <f>IFERROR(PozJunNŚr[[#This Row],[Numer]],"-")</f>
        <v>40</v>
      </c>
      <c r="B46" s="3" t="str">
        <f>IFERROR(VLOOKUP(PozJunNMG[[#This Row],[Numer]],Zawodnicy[[Number]:[Player name]],2,FALSE),"-")</f>
        <v>Benedykt Adamus</v>
      </c>
      <c r="C46" s="38">
        <f ca="1">IFERROR(INDEX(JuniorzyNegatyw[],MATCH($A46,Juniorstwo!$A$35:$A$54,0),MATCH($B$2,Juniorstwo!$A$34:$N$34,0))*C$2+INDEX(JuniorzyNegatyw[],MATCH($A46,Juniorstwo!$A$35:$A$54,0),MATCH($B$3,Juniorstwo!$A$34:$N$34,0))*C$3+INDEX(JuniorzyNegatyw[],MATCH($A46,Juniorstwo!$A$35:$A$54,0),MATCH($B$4,Juniorstwo!$A$34:$N$34,0))*C$4+INDEX(JuniorzyNegatyw[],MATCH($A46,Juniorstwo!$A$35:$A$54,0),MATCH($B$5,Juniorstwo!$A$34:$N$34,0))*C$5+INDEX(JuniorzyNegatyw[],MATCH($A46,Juniorstwo!$A$35:$A$54,0),MATCH($B$6,Juniorstwo!$A$34:$N$34,0))*C$6+INDEX(JuniorzyNegatyw[],MATCH($A46,Juniorstwo!$A$35:$A$54,0),MATCH($B$7,Juniorstwo!$A$34:$N$34,0))*C$7+INDEX(JuniorzyNegatyw[],MATCH($A46,Juniorstwo!$A$35:$A$54,0),MATCH($B$8,Juniorstwo!$A$34:$N$34,0))*C$8+INDEX(JuniorzyNegatyw[],MATCH($A46,Juniorstwo!$A$35:$A$54,0),MATCH($B$9,Juniorstwo!$A$34:$N$34,0))*C$9+INDEX(JuniorzyNegatyw[],MATCH($A46,Juniorstwo!$A$35:$A$54,0),MATCH($B$10,Juniorstwo!$A$34:$N$34,0))*C$10+INDEX(JuniorzyNegatyw[],MATCH($A46,Juniorstwo!$A$35:$A$54,0),MATCH($B$11,Juniorstwo!$A$34:$N$34,0))*C$11+INDEX(JuniorzyNegatyw[],MATCH($A46,Juniorstwo!$A$35:$A$54,0),MATCH($B$12,Juniorstwo!$A$34:$N$34,0))*C$12+INDEX(JuniorzyNegatyw[],MATCH($A46,Juniorstwo!$A$35:$A$54,0),MATCH($B$13,Juniorstwo!$A$34:$N$34,0))*C$13,"-")</f>
        <v>74.08</v>
      </c>
      <c r="D46" s="38">
        <f ca="1">IFERROR(INDEX(JuniorzyNegatyw[],MATCH($A46,Juniorstwo!$A$35:$A$54,0),MATCH($B$2,Juniorstwo!$A$34:$N$34,0))*D$2+INDEX(JuniorzyNegatyw[],MATCH($A46,Juniorstwo!$A$35:$A$54,0),MATCH($B$3,Juniorstwo!$A$34:$N$34,0))*D$3+INDEX(JuniorzyNegatyw[],MATCH($A46,Juniorstwo!$A$35:$A$54,0),MATCH($B$4,Juniorstwo!$A$34:$N$34,0))*D$4+INDEX(JuniorzyNegatyw[],MATCH($A46,Juniorstwo!$A$35:$A$54,0),MATCH($B$5,Juniorstwo!$A$34:$N$34,0))*D$5+INDEX(JuniorzyNegatyw[],MATCH($A46,Juniorstwo!$A$35:$A$54,0),MATCH($B$6,Juniorstwo!$A$34:$N$34,0))*D$6+INDEX(JuniorzyNegatyw[],MATCH($A46,Juniorstwo!$A$35:$A$54,0),MATCH($B$7,Juniorstwo!$A$34:$N$34,0))*D$7+INDEX(JuniorzyNegatyw[],MATCH($A46,Juniorstwo!$A$35:$A$54,0),MATCH($B$8,Juniorstwo!$A$34:$N$34,0))*D$8+INDEX(JuniorzyNegatyw[],MATCH($A46,Juniorstwo!$A$35:$A$54,0),MATCH($B$9,Juniorstwo!$A$34:$N$34,0))*D$9+INDEX(JuniorzyNegatyw[],MATCH($A46,Juniorstwo!$A$35:$A$54,0),MATCH($B$10,Juniorstwo!$A$34:$N$34,0))*D$10+INDEX(JuniorzyNegatyw[],MATCH($A46,Juniorstwo!$A$35:$A$54,0),MATCH($B$11,Juniorstwo!$A$34:$N$34,0))*D$11+INDEX(JuniorzyNegatyw[],MATCH($A46,Juniorstwo!$A$35:$A$54,0),MATCH($B$12,Juniorstwo!$A$34:$N$34,0))*D$12+INDEX(JuniorzyNegatyw[],MATCH($A46,Juniorstwo!$A$35:$A$54,0),MATCH($B$13,Juniorstwo!$A$34:$N$34,0))*D$13,"-")</f>
        <v>76.33</v>
      </c>
      <c r="E46" s="38">
        <f ca="1">IFERROR(INDEX(JuniorzyNegatyw[],MATCH($A46,Juniorstwo!$A$35:$A$54,0),MATCH($B$2,Juniorstwo!$A$34:$N$34,0))*E$2+INDEX(JuniorzyNegatyw[],MATCH($A46,Juniorstwo!$A$35:$A$54,0),MATCH($B$3,Juniorstwo!$A$34:$N$34,0))*E$3+INDEX(JuniorzyNegatyw[],MATCH($A46,Juniorstwo!$A$35:$A$54,0),MATCH($B$4,Juniorstwo!$A$34:$N$34,0))*E$4+INDEX(JuniorzyNegatyw[],MATCH($A46,Juniorstwo!$A$35:$A$54,0),MATCH($B$5,Juniorstwo!$A$34:$N$34,0))*E$5+INDEX(JuniorzyNegatyw[],MATCH($A46,Juniorstwo!$A$35:$A$54,0),MATCH($B$6,Juniorstwo!$A$34:$N$34,0))*E$6+INDEX(JuniorzyNegatyw[],MATCH($A46,Juniorstwo!$A$35:$A$54,0),MATCH($B$7,Juniorstwo!$A$34:$N$34,0))*E$7+INDEX(JuniorzyNegatyw[],MATCH($A46,Juniorstwo!$A$35:$A$54,0),MATCH($B$8,Juniorstwo!$A$34:$N$34,0))*E$8+INDEX(JuniorzyNegatyw[],MATCH($A46,Juniorstwo!$A$35:$A$54,0),MATCH($B$9,Juniorstwo!$A$34:$N$34,0))*E$9+INDEX(JuniorzyNegatyw[],MATCH($A46,Juniorstwo!$A$35:$A$54,0),MATCH($B$10,Juniorstwo!$A$34:$N$34,0))*E$10+INDEX(JuniorzyNegatyw[],MATCH($A46,Juniorstwo!$A$35:$A$54,0),MATCH($B$11,Juniorstwo!$A$34:$N$34,0))*E$11+INDEX(JuniorzyNegatyw[],MATCH($A46,Juniorstwo!$A$35:$A$54,0),MATCH($B$12,Juniorstwo!$A$34:$N$34,0))*E$12+INDEX(JuniorzyNegatyw[],MATCH($A46,Juniorstwo!$A$35:$A$54,0),MATCH($B$13,Juniorstwo!$A$34:$N$34,0))*E$13,"-")</f>
        <v>76.58</v>
      </c>
      <c r="F46" s="38">
        <f ca="1">IFERROR(INDEX(JuniorzyNegatyw[],MATCH($A46,Juniorstwo!$A$35:$A$54,0),MATCH($B$2,Juniorstwo!$A$34:$N$34,0))*F$2+INDEX(JuniorzyNegatyw[],MATCH($A46,Juniorstwo!$A$35:$A$54,0),MATCH($B$3,Juniorstwo!$A$34:$N$34,0))*F$3+INDEX(JuniorzyNegatyw[],MATCH($A46,Juniorstwo!$A$35:$A$54,0),MATCH($B$4,Juniorstwo!$A$34:$N$34,0))*F$4+INDEX(JuniorzyNegatyw[],MATCH($A46,Juniorstwo!$A$35:$A$54,0),MATCH($B$5,Juniorstwo!$A$34:$N$34,0))*F$5+INDEX(JuniorzyNegatyw[],MATCH($A46,Juniorstwo!$A$35:$A$54,0),MATCH($B$6,Juniorstwo!$A$34:$N$34,0))*F$6+INDEX(JuniorzyNegatyw[],MATCH($A46,Juniorstwo!$A$35:$A$54,0),MATCH($B$7,Juniorstwo!$A$34:$N$34,0))*F$7+INDEX(JuniorzyNegatyw[],MATCH($A46,Juniorstwo!$A$35:$A$54,0),MATCH($B$8,Juniorstwo!$A$34:$N$34,0))*F$8+INDEX(JuniorzyNegatyw[],MATCH($A46,Juniorstwo!$A$35:$A$54,0),MATCH($B$9,Juniorstwo!$A$34:$N$34,0))*F$9+INDEX(JuniorzyNegatyw[],MATCH($A46,Juniorstwo!$A$35:$A$54,0),MATCH($B$10,Juniorstwo!$A$34:$N$34,0))*F$10+INDEX(JuniorzyNegatyw[],MATCH($A46,Juniorstwo!$A$35:$A$54,0),MATCH($B$11,Juniorstwo!$A$34:$N$34,0))*F$11+INDEX(JuniorzyNegatyw[],MATCH($A46,Juniorstwo!$A$35:$A$54,0),MATCH($B$12,Juniorstwo!$A$34:$N$34,0))*F$12+INDEX(JuniorzyNegatyw[],MATCH($A46,Juniorstwo!$A$35:$A$54,0),MATCH($B$13,Juniorstwo!$A$34:$N$34,0))*F$13,"-")</f>
        <v>80.83</v>
      </c>
      <c r="G46" s="38">
        <f ca="1">IFERROR(INDEX(JuniorzyNegatyw[],MATCH($A46,Juniorstwo!$A$35:$A$54,0),MATCH($B$2,Juniorstwo!$A$34:$N$34,0))*G$2+INDEX(JuniorzyNegatyw[],MATCH($A46,Juniorstwo!$A$35:$A$54,0),MATCH($B$3,Juniorstwo!$A$34:$N$34,0))*G$3+INDEX(JuniorzyNegatyw[],MATCH($A46,Juniorstwo!$A$35:$A$54,0),MATCH($B$4,Juniorstwo!$A$34:$N$34,0))*G$4+INDEX(JuniorzyNegatyw[],MATCH($A46,Juniorstwo!$A$35:$A$54,0),MATCH($B$5,Juniorstwo!$A$34:$N$34,0))*G$5+INDEX(JuniorzyNegatyw[],MATCH($A46,Juniorstwo!$A$35:$A$54,0),MATCH($B$6,Juniorstwo!$A$34:$N$34,0))*G$6+INDEX(JuniorzyNegatyw[],MATCH($A46,Juniorstwo!$A$35:$A$54,0),MATCH($B$7,Juniorstwo!$A$34:$N$34,0))*G$7+INDEX(JuniorzyNegatyw[],MATCH($A46,Juniorstwo!$A$35:$A$54,0),MATCH($B$8,Juniorstwo!$A$34:$N$34,0))*G$8+INDEX(JuniorzyNegatyw[],MATCH($A46,Juniorstwo!$A$35:$A$54,0),MATCH($B$9,Juniorstwo!$A$34:$N$34,0))*G$9+INDEX(JuniorzyNegatyw[],MATCH($A46,Juniorstwo!$A$35:$A$54,0),MATCH($B$10,Juniorstwo!$A$34:$N$34,0))*G$10+INDEX(JuniorzyNegatyw[],MATCH($A46,Juniorstwo!$A$35:$A$54,0),MATCH($B$11,Juniorstwo!$A$34:$N$34,0))*G$11+INDEX(JuniorzyNegatyw[],MATCH($A46,Juniorstwo!$A$35:$A$54,0),MATCH($B$12,Juniorstwo!$A$34:$N$34,0))*G$12+INDEX(JuniorzyNegatyw[],MATCH($A46,Juniorstwo!$A$35:$A$54,0),MATCH($B$13,Juniorstwo!$A$34:$N$34,0))*G$13,"-")</f>
        <v>83.83</v>
      </c>
      <c r="H46" s="38">
        <f ca="1">IFERROR(INDEX(JuniorzyNegatyw[],MATCH($A46,Juniorstwo!$A$35:$A$54,0),MATCH($B$2,Juniorstwo!$A$34:$N$34,0))*H$2+INDEX(JuniorzyNegatyw[],MATCH($A46,Juniorstwo!$A$35:$A$54,0),MATCH($B$3,Juniorstwo!$A$34:$N$34,0))*H$3+INDEX(JuniorzyNegatyw[],MATCH($A46,Juniorstwo!$A$35:$A$54,0),MATCH($B$4,Juniorstwo!$A$34:$N$34,0))*H$4+INDEX(JuniorzyNegatyw[],MATCH($A46,Juniorstwo!$A$35:$A$54,0),MATCH($B$5,Juniorstwo!$A$34:$N$34,0))*H$5+INDEX(JuniorzyNegatyw[],MATCH($A46,Juniorstwo!$A$35:$A$54,0),MATCH($B$6,Juniorstwo!$A$34:$N$34,0))*H$6+INDEX(JuniorzyNegatyw[],MATCH($A46,Juniorstwo!$A$35:$A$54,0),MATCH($B$7,Juniorstwo!$A$34:$N$34,0))*H$7+INDEX(JuniorzyNegatyw[],MATCH($A46,Juniorstwo!$A$35:$A$54,0),MATCH($B$8,Juniorstwo!$A$34:$N$34,0))*H$8+INDEX(JuniorzyNegatyw[],MATCH($A46,Juniorstwo!$A$35:$A$54,0),MATCH($B$9,Juniorstwo!$A$34:$N$34,0))*H$9+INDEX(JuniorzyNegatyw[],MATCH($A46,Juniorstwo!$A$35:$A$54,0),MATCH($B$10,Juniorstwo!$A$34:$N$34,0))*H$10+INDEX(JuniorzyNegatyw[],MATCH($A46,Juniorstwo!$A$35:$A$54,0),MATCH($B$11,Juniorstwo!$A$34:$N$34,0))*H$11+INDEX(JuniorzyNegatyw[],MATCH($A46,Juniorstwo!$A$35:$A$54,0),MATCH($B$12,Juniorstwo!$A$34:$N$34,0))*H$12+INDEX(JuniorzyNegatyw[],MATCH($A46,Juniorstwo!$A$35:$A$54,0),MATCH($B$13,Juniorstwo!$A$34:$N$34,0))*H$13,"-")</f>
        <v>82.58</v>
      </c>
      <c r="I46" s="38">
        <f ca="1">IFERROR(INDEX(JuniorzyNegatyw[],MATCH($A46,Juniorstwo!$A$35:$A$54,0),MATCH($B$2,Juniorstwo!$A$34:$N$34,0))*I$2+INDEX(JuniorzyNegatyw[],MATCH($A46,Juniorstwo!$A$35:$A$54,0),MATCH($B$3,Juniorstwo!$A$34:$N$34,0))*I$3+INDEX(JuniorzyNegatyw[],MATCH($A46,Juniorstwo!$A$35:$A$54,0),MATCH($B$4,Juniorstwo!$A$34:$N$34,0))*I$4+INDEX(JuniorzyNegatyw[],MATCH($A46,Juniorstwo!$A$35:$A$54,0),MATCH($B$5,Juniorstwo!$A$34:$N$34,0))*I$5+INDEX(JuniorzyNegatyw[],MATCH($A46,Juniorstwo!$A$35:$A$54,0),MATCH($B$6,Juniorstwo!$A$34:$N$34,0))*I$6+INDEX(JuniorzyNegatyw[],MATCH($A46,Juniorstwo!$A$35:$A$54,0),MATCH($B$7,Juniorstwo!$A$34:$N$34,0))*I$7+INDEX(JuniorzyNegatyw[],MATCH($A46,Juniorstwo!$A$35:$A$54,0),MATCH($B$8,Juniorstwo!$A$34:$N$34,0))*I$8+INDEX(JuniorzyNegatyw[],MATCH($A46,Juniorstwo!$A$35:$A$54,0),MATCH($B$9,Juniorstwo!$A$34:$N$34,0))*I$9+INDEX(JuniorzyNegatyw[],MATCH($A46,Juniorstwo!$A$35:$A$54,0),MATCH($B$10,Juniorstwo!$A$34:$N$34,0))*I$10+INDEX(JuniorzyNegatyw[],MATCH($A46,Juniorstwo!$A$35:$A$54,0),MATCH($B$11,Juniorstwo!$A$34:$N$34,0))*I$11+INDEX(JuniorzyNegatyw[],MATCH($A46,Juniorstwo!$A$35:$A$54,0),MATCH($B$12,Juniorstwo!$A$34:$N$34,0))*I$12+INDEX(JuniorzyNegatyw[],MATCH($A46,Juniorstwo!$A$35:$A$54,0),MATCH($B$13,Juniorstwo!$A$34:$N$34,0))*I$13,"-")</f>
        <v>84.83</v>
      </c>
      <c r="J46" s="38">
        <f ca="1">IFERROR(INDEX(JuniorzyNegatyw[],MATCH($A46,Juniorstwo!$A$35:$A$54,0),MATCH($B$2,Juniorstwo!$A$34:$N$34,0))*J$2+INDEX(JuniorzyNegatyw[],MATCH($A46,Juniorstwo!$A$35:$A$54,0),MATCH($B$3,Juniorstwo!$A$34:$N$34,0))*J$3+INDEX(JuniorzyNegatyw[],MATCH($A46,Juniorstwo!$A$35:$A$54,0),MATCH($B$4,Juniorstwo!$A$34:$N$34,0))*J$4+INDEX(JuniorzyNegatyw[],MATCH($A46,Juniorstwo!$A$35:$A$54,0),MATCH($B$5,Juniorstwo!$A$34:$N$34,0))*J$5+INDEX(JuniorzyNegatyw[],MATCH($A46,Juniorstwo!$A$35:$A$54,0),MATCH($B$6,Juniorstwo!$A$34:$N$34,0))*J$6+INDEX(JuniorzyNegatyw[],MATCH($A46,Juniorstwo!$A$35:$A$54,0),MATCH($B$7,Juniorstwo!$A$34:$N$34,0))*J$7+INDEX(JuniorzyNegatyw[],MATCH($A46,Juniorstwo!$A$35:$A$54,0),MATCH($B$8,Juniorstwo!$A$34:$N$34,0))*J$8+INDEX(JuniorzyNegatyw[],MATCH($A46,Juniorstwo!$A$35:$A$54,0),MATCH($B$9,Juniorstwo!$A$34:$N$34,0))*J$9+INDEX(JuniorzyNegatyw[],MATCH($A46,Juniorstwo!$A$35:$A$54,0),MATCH($B$10,Juniorstwo!$A$34:$N$34,0))*J$10+INDEX(JuniorzyNegatyw[],MATCH($A46,Juniorstwo!$A$35:$A$54,0),MATCH($B$11,Juniorstwo!$A$34:$N$34,0))*J$11+INDEX(JuniorzyNegatyw[],MATCH($A46,Juniorstwo!$A$35:$A$54,0),MATCH($B$12,Juniorstwo!$A$34:$N$34,0))*J$12+INDEX(JuniorzyNegatyw[],MATCH($A46,Juniorstwo!$A$35:$A$54,0),MATCH($B$13,Juniorstwo!$A$34:$N$34,0))*J$13,"-")</f>
        <v>83.08</v>
      </c>
      <c r="K46" s="38">
        <f ca="1">IFERROR(INDEX(JuniorzyNegatyw[],MATCH($A46,Juniorstwo!$A$35:$A$54,0),MATCH($B$2,Juniorstwo!$A$34:$N$34,0))*K$2+INDEX(JuniorzyNegatyw[],MATCH($A46,Juniorstwo!$A$35:$A$54,0),MATCH($B$3,Juniorstwo!$A$34:$N$34,0))*K$3+INDEX(JuniorzyNegatyw[],MATCH($A46,Juniorstwo!$A$35:$A$54,0),MATCH($B$4,Juniorstwo!$A$34:$N$34,0))*K$4+INDEX(JuniorzyNegatyw[],MATCH($A46,Juniorstwo!$A$35:$A$54,0),MATCH($B$5,Juniorstwo!$A$34:$N$34,0))*K$5+INDEX(JuniorzyNegatyw[],MATCH($A46,Juniorstwo!$A$35:$A$54,0),MATCH($B$6,Juniorstwo!$A$34:$N$34,0))*K$6+INDEX(JuniorzyNegatyw[],MATCH($A46,Juniorstwo!$A$35:$A$54,0),MATCH($B$7,Juniorstwo!$A$34:$N$34,0))*K$7+INDEX(JuniorzyNegatyw[],MATCH($A46,Juniorstwo!$A$35:$A$54,0),MATCH($B$8,Juniorstwo!$A$34:$N$34,0))*K$8+INDEX(JuniorzyNegatyw[],MATCH($A46,Juniorstwo!$A$35:$A$54,0),MATCH($B$9,Juniorstwo!$A$34:$N$34,0))*K$9+INDEX(JuniorzyNegatyw[],MATCH($A46,Juniorstwo!$A$35:$A$54,0),MATCH($B$10,Juniorstwo!$A$34:$N$34,0))*K$10+INDEX(JuniorzyNegatyw[],MATCH($A46,Juniorstwo!$A$35:$A$54,0),MATCH($B$11,Juniorstwo!$A$34:$N$34,0))*K$11+INDEX(JuniorzyNegatyw[],MATCH($A46,Juniorstwo!$A$35:$A$54,0),MATCH($B$12,Juniorstwo!$A$34:$N$34,0))*K$12+INDEX(JuniorzyNegatyw[],MATCH($A46,Juniorstwo!$A$35:$A$54,0),MATCH($B$13,Juniorstwo!$A$34:$N$34,0))*K$13,"-")</f>
        <v>81.58</v>
      </c>
    </row>
    <row r="47" spans="1:11" x14ac:dyDescent="0.25">
      <c r="A47">
        <f>IFERROR(PozJunNŚr[[#This Row],[Numer]],"-")</f>
        <v>42</v>
      </c>
      <c r="B47" s="3" t="str">
        <f>IFERROR(VLOOKUP(PozJunNMG[[#This Row],[Numer]],Zawodnicy[[Number]:[Player name]],2,FALSE),"-")</f>
        <v>Olaf Skikiewicz</v>
      </c>
      <c r="C47" s="38">
        <f ca="1">IFERROR(INDEX(JuniorzyNegatyw[],MATCH($A47,Juniorstwo!$A$35:$A$54,0),MATCH($B$2,Juniorstwo!$A$34:$N$34,0))*C$2+INDEX(JuniorzyNegatyw[],MATCH($A47,Juniorstwo!$A$35:$A$54,0),MATCH($B$3,Juniorstwo!$A$34:$N$34,0))*C$3+INDEX(JuniorzyNegatyw[],MATCH($A47,Juniorstwo!$A$35:$A$54,0),MATCH($B$4,Juniorstwo!$A$34:$N$34,0))*C$4+INDEX(JuniorzyNegatyw[],MATCH($A47,Juniorstwo!$A$35:$A$54,0),MATCH($B$5,Juniorstwo!$A$34:$N$34,0))*C$5+INDEX(JuniorzyNegatyw[],MATCH($A47,Juniorstwo!$A$35:$A$54,0),MATCH($B$6,Juniorstwo!$A$34:$N$34,0))*C$6+INDEX(JuniorzyNegatyw[],MATCH($A47,Juniorstwo!$A$35:$A$54,0),MATCH($B$7,Juniorstwo!$A$34:$N$34,0))*C$7+INDEX(JuniorzyNegatyw[],MATCH($A47,Juniorstwo!$A$35:$A$54,0),MATCH($B$8,Juniorstwo!$A$34:$N$34,0))*C$8+INDEX(JuniorzyNegatyw[],MATCH($A47,Juniorstwo!$A$35:$A$54,0),MATCH($B$9,Juniorstwo!$A$34:$N$34,0))*C$9+INDEX(JuniorzyNegatyw[],MATCH($A47,Juniorstwo!$A$35:$A$54,0),MATCH($B$10,Juniorstwo!$A$34:$N$34,0))*C$10+INDEX(JuniorzyNegatyw[],MATCH($A47,Juniorstwo!$A$35:$A$54,0),MATCH($B$11,Juniorstwo!$A$34:$N$34,0))*C$11+INDEX(JuniorzyNegatyw[],MATCH($A47,Juniorstwo!$A$35:$A$54,0),MATCH($B$12,Juniorstwo!$A$34:$N$34,0))*C$12+INDEX(JuniorzyNegatyw[],MATCH($A47,Juniorstwo!$A$35:$A$54,0),MATCH($B$13,Juniorstwo!$A$34:$N$34,0))*C$13,"-")</f>
        <v>63.07</v>
      </c>
      <c r="D47" s="38">
        <f ca="1">IFERROR(INDEX(JuniorzyNegatyw[],MATCH($A47,Juniorstwo!$A$35:$A$54,0),MATCH($B$2,Juniorstwo!$A$34:$N$34,0))*D$2+INDEX(JuniorzyNegatyw[],MATCH($A47,Juniorstwo!$A$35:$A$54,0),MATCH($B$3,Juniorstwo!$A$34:$N$34,0))*D$3+INDEX(JuniorzyNegatyw[],MATCH($A47,Juniorstwo!$A$35:$A$54,0),MATCH($B$4,Juniorstwo!$A$34:$N$34,0))*D$4+INDEX(JuniorzyNegatyw[],MATCH($A47,Juniorstwo!$A$35:$A$54,0),MATCH($B$5,Juniorstwo!$A$34:$N$34,0))*D$5+INDEX(JuniorzyNegatyw[],MATCH($A47,Juniorstwo!$A$35:$A$54,0),MATCH($B$6,Juniorstwo!$A$34:$N$34,0))*D$6+INDEX(JuniorzyNegatyw[],MATCH($A47,Juniorstwo!$A$35:$A$54,0),MATCH($B$7,Juniorstwo!$A$34:$N$34,0))*D$7+INDEX(JuniorzyNegatyw[],MATCH($A47,Juniorstwo!$A$35:$A$54,0),MATCH($B$8,Juniorstwo!$A$34:$N$34,0))*D$8+INDEX(JuniorzyNegatyw[],MATCH($A47,Juniorstwo!$A$35:$A$54,0),MATCH($B$9,Juniorstwo!$A$34:$N$34,0))*D$9+INDEX(JuniorzyNegatyw[],MATCH($A47,Juniorstwo!$A$35:$A$54,0),MATCH($B$10,Juniorstwo!$A$34:$N$34,0))*D$10+INDEX(JuniorzyNegatyw[],MATCH($A47,Juniorstwo!$A$35:$A$54,0),MATCH($B$11,Juniorstwo!$A$34:$N$34,0))*D$11+INDEX(JuniorzyNegatyw[],MATCH($A47,Juniorstwo!$A$35:$A$54,0),MATCH($B$12,Juniorstwo!$A$34:$N$34,0))*D$12+INDEX(JuniorzyNegatyw[],MATCH($A47,Juniorstwo!$A$35:$A$54,0),MATCH($B$13,Juniorstwo!$A$34:$N$34,0))*D$13,"-")</f>
        <v>70.319999999999993</v>
      </c>
      <c r="E47" s="38">
        <f ca="1">IFERROR(INDEX(JuniorzyNegatyw[],MATCH($A47,Juniorstwo!$A$35:$A$54,0),MATCH($B$2,Juniorstwo!$A$34:$N$34,0))*E$2+INDEX(JuniorzyNegatyw[],MATCH($A47,Juniorstwo!$A$35:$A$54,0),MATCH($B$3,Juniorstwo!$A$34:$N$34,0))*E$3+INDEX(JuniorzyNegatyw[],MATCH($A47,Juniorstwo!$A$35:$A$54,0),MATCH($B$4,Juniorstwo!$A$34:$N$34,0))*E$4+INDEX(JuniorzyNegatyw[],MATCH($A47,Juniorstwo!$A$35:$A$54,0),MATCH($B$5,Juniorstwo!$A$34:$N$34,0))*E$5+INDEX(JuniorzyNegatyw[],MATCH($A47,Juniorstwo!$A$35:$A$54,0),MATCH($B$6,Juniorstwo!$A$34:$N$34,0))*E$6+INDEX(JuniorzyNegatyw[],MATCH($A47,Juniorstwo!$A$35:$A$54,0),MATCH($B$7,Juniorstwo!$A$34:$N$34,0))*E$7+INDEX(JuniorzyNegatyw[],MATCH($A47,Juniorstwo!$A$35:$A$54,0),MATCH($B$8,Juniorstwo!$A$34:$N$34,0))*E$8+INDEX(JuniorzyNegatyw[],MATCH($A47,Juniorstwo!$A$35:$A$54,0),MATCH($B$9,Juniorstwo!$A$34:$N$34,0))*E$9+INDEX(JuniorzyNegatyw[],MATCH($A47,Juniorstwo!$A$35:$A$54,0),MATCH($B$10,Juniorstwo!$A$34:$N$34,0))*E$10+INDEX(JuniorzyNegatyw[],MATCH($A47,Juniorstwo!$A$35:$A$54,0),MATCH($B$11,Juniorstwo!$A$34:$N$34,0))*E$11+INDEX(JuniorzyNegatyw[],MATCH($A47,Juniorstwo!$A$35:$A$54,0),MATCH($B$12,Juniorstwo!$A$34:$N$34,0))*E$12+INDEX(JuniorzyNegatyw[],MATCH($A47,Juniorstwo!$A$35:$A$54,0),MATCH($B$13,Juniorstwo!$A$34:$N$34,0))*E$13,"-")</f>
        <v>72.069999999999993</v>
      </c>
      <c r="F47" s="38">
        <f ca="1">IFERROR(INDEX(JuniorzyNegatyw[],MATCH($A47,Juniorstwo!$A$35:$A$54,0),MATCH($B$2,Juniorstwo!$A$34:$N$34,0))*F$2+INDEX(JuniorzyNegatyw[],MATCH($A47,Juniorstwo!$A$35:$A$54,0),MATCH($B$3,Juniorstwo!$A$34:$N$34,0))*F$3+INDEX(JuniorzyNegatyw[],MATCH($A47,Juniorstwo!$A$35:$A$54,0),MATCH($B$4,Juniorstwo!$A$34:$N$34,0))*F$4+INDEX(JuniorzyNegatyw[],MATCH($A47,Juniorstwo!$A$35:$A$54,0),MATCH($B$5,Juniorstwo!$A$34:$N$34,0))*F$5+INDEX(JuniorzyNegatyw[],MATCH($A47,Juniorstwo!$A$35:$A$54,0),MATCH($B$6,Juniorstwo!$A$34:$N$34,0))*F$6+INDEX(JuniorzyNegatyw[],MATCH($A47,Juniorstwo!$A$35:$A$54,0),MATCH($B$7,Juniorstwo!$A$34:$N$34,0))*F$7+INDEX(JuniorzyNegatyw[],MATCH($A47,Juniorstwo!$A$35:$A$54,0),MATCH($B$8,Juniorstwo!$A$34:$N$34,0))*F$8+INDEX(JuniorzyNegatyw[],MATCH($A47,Juniorstwo!$A$35:$A$54,0),MATCH($B$9,Juniorstwo!$A$34:$N$34,0))*F$9+INDEX(JuniorzyNegatyw[],MATCH($A47,Juniorstwo!$A$35:$A$54,0),MATCH($B$10,Juniorstwo!$A$34:$N$34,0))*F$10+INDEX(JuniorzyNegatyw[],MATCH($A47,Juniorstwo!$A$35:$A$54,0),MATCH($B$11,Juniorstwo!$A$34:$N$34,0))*F$11+INDEX(JuniorzyNegatyw[],MATCH($A47,Juniorstwo!$A$35:$A$54,0),MATCH($B$12,Juniorstwo!$A$34:$N$34,0))*F$12+INDEX(JuniorzyNegatyw[],MATCH($A47,Juniorstwo!$A$35:$A$54,0),MATCH($B$13,Juniorstwo!$A$34:$N$34,0))*F$13,"-")</f>
        <v>71.819999999999993</v>
      </c>
      <c r="G47" s="38">
        <f ca="1">IFERROR(INDEX(JuniorzyNegatyw[],MATCH($A47,Juniorstwo!$A$35:$A$54,0),MATCH($B$2,Juniorstwo!$A$34:$N$34,0))*G$2+INDEX(JuniorzyNegatyw[],MATCH($A47,Juniorstwo!$A$35:$A$54,0),MATCH($B$3,Juniorstwo!$A$34:$N$34,0))*G$3+INDEX(JuniorzyNegatyw[],MATCH($A47,Juniorstwo!$A$35:$A$54,0),MATCH($B$4,Juniorstwo!$A$34:$N$34,0))*G$4+INDEX(JuniorzyNegatyw[],MATCH($A47,Juniorstwo!$A$35:$A$54,0),MATCH($B$5,Juniorstwo!$A$34:$N$34,0))*G$5+INDEX(JuniorzyNegatyw[],MATCH($A47,Juniorstwo!$A$35:$A$54,0),MATCH($B$6,Juniorstwo!$A$34:$N$34,0))*G$6+INDEX(JuniorzyNegatyw[],MATCH($A47,Juniorstwo!$A$35:$A$54,0),MATCH($B$7,Juniorstwo!$A$34:$N$34,0))*G$7+INDEX(JuniorzyNegatyw[],MATCH($A47,Juniorstwo!$A$35:$A$54,0),MATCH($B$8,Juniorstwo!$A$34:$N$34,0))*G$8+INDEX(JuniorzyNegatyw[],MATCH($A47,Juniorstwo!$A$35:$A$54,0),MATCH($B$9,Juniorstwo!$A$34:$N$34,0))*G$9+INDEX(JuniorzyNegatyw[],MATCH($A47,Juniorstwo!$A$35:$A$54,0),MATCH($B$10,Juniorstwo!$A$34:$N$34,0))*G$10+INDEX(JuniorzyNegatyw[],MATCH($A47,Juniorstwo!$A$35:$A$54,0),MATCH($B$11,Juniorstwo!$A$34:$N$34,0))*G$11+INDEX(JuniorzyNegatyw[],MATCH($A47,Juniorstwo!$A$35:$A$54,0),MATCH($B$12,Juniorstwo!$A$34:$N$34,0))*G$12+INDEX(JuniorzyNegatyw[],MATCH($A47,Juniorstwo!$A$35:$A$54,0),MATCH($B$13,Juniorstwo!$A$34:$N$34,0))*G$13,"-")</f>
        <v>72.319999999999993</v>
      </c>
      <c r="H47" s="38">
        <f ca="1">IFERROR(INDEX(JuniorzyNegatyw[],MATCH($A47,Juniorstwo!$A$35:$A$54,0),MATCH($B$2,Juniorstwo!$A$34:$N$34,0))*H$2+INDEX(JuniorzyNegatyw[],MATCH($A47,Juniorstwo!$A$35:$A$54,0),MATCH($B$3,Juniorstwo!$A$34:$N$34,0))*H$3+INDEX(JuniorzyNegatyw[],MATCH($A47,Juniorstwo!$A$35:$A$54,0),MATCH($B$4,Juniorstwo!$A$34:$N$34,0))*H$4+INDEX(JuniorzyNegatyw[],MATCH($A47,Juniorstwo!$A$35:$A$54,0),MATCH($B$5,Juniorstwo!$A$34:$N$34,0))*H$5+INDEX(JuniorzyNegatyw[],MATCH($A47,Juniorstwo!$A$35:$A$54,0),MATCH($B$6,Juniorstwo!$A$34:$N$34,0))*H$6+INDEX(JuniorzyNegatyw[],MATCH($A47,Juniorstwo!$A$35:$A$54,0),MATCH($B$7,Juniorstwo!$A$34:$N$34,0))*H$7+INDEX(JuniorzyNegatyw[],MATCH($A47,Juniorstwo!$A$35:$A$54,0),MATCH($B$8,Juniorstwo!$A$34:$N$34,0))*H$8+INDEX(JuniorzyNegatyw[],MATCH($A47,Juniorstwo!$A$35:$A$54,0),MATCH($B$9,Juniorstwo!$A$34:$N$34,0))*H$9+INDEX(JuniorzyNegatyw[],MATCH($A47,Juniorstwo!$A$35:$A$54,0),MATCH($B$10,Juniorstwo!$A$34:$N$34,0))*H$10+INDEX(JuniorzyNegatyw[],MATCH($A47,Juniorstwo!$A$35:$A$54,0),MATCH($B$11,Juniorstwo!$A$34:$N$34,0))*H$11+INDEX(JuniorzyNegatyw[],MATCH($A47,Juniorstwo!$A$35:$A$54,0),MATCH($B$12,Juniorstwo!$A$34:$N$34,0))*H$12+INDEX(JuniorzyNegatyw[],MATCH($A47,Juniorstwo!$A$35:$A$54,0),MATCH($B$13,Juniorstwo!$A$34:$N$34,0))*H$13,"-")</f>
        <v>74.069999999999993</v>
      </c>
      <c r="I47" s="38">
        <f ca="1">IFERROR(INDEX(JuniorzyNegatyw[],MATCH($A47,Juniorstwo!$A$35:$A$54,0),MATCH($B$2,Juniorstwo!$A$34:$N$34,0))*I$2+INDEX(JuniorzyNegatyw[],MATCH($A47,Juniorstwo!$A$35:$A$54,0),MATCH($B$3,Juniorstwo!$A$34:$N$34,0))*I$3+INDEX(JuniorzyNegatyw[],MATCH($A47,Juniorstwo!$A$35:$A$54,0),MATCH($B$4,Juniorstwo!$A$34:$N$34,0))*I$4+INDEX(JuniorzyNegatyw[],MATCH($A47,Juniorstwo!$A$35:$A$54,0),MATCH($B$5,Juniorstwo!$A$34:$N$34,0))*I$5+INDEX(JuniorzyNegatyw[],MATCH($A47,Juniorstwo!$A$35:$A$54,0),MATCH($B$6,Juniorstwo!$A$34:$N$34,0))*I$6+INDEX(JuniorzyNegatyw[],MATCH($A47,Juniorstwo!$A$35:$A$54,0),MATCH($B$7,Juniorstwo!$A$34:$N$34,0))*I$7+INDEX(JuniorzyNegatyw[],MATCH($A47,Juniorstwo!$A$35:$A$54,0),MATCH($B$8,Juniorstwo!$A$34:$N$34,0))*I$8+INDEX(JuniorzyNegatyw[],MATCH($A47,Juniorstwo!$A$35:$A$54,0),MATCH($B$9,Juniorstwo!$A$34:$N$34,0))*I$9+INDEX(JuniorzyNegatyw[],MATCH($A47,Juniorstwo!$A$35:$A$54,0),MATCH($B$10,Juniorstwo!$A$34:$N$34,0))*I$10+INDEX(JuniorzyNegatyw[],MATCH($A47,Juniorstwo!$A$35:$A$54,0),MATCH($B$11,Juniorstwo!$A$34:$N$34,0))*I$11+INDEX(JuniorzyNegatyw[],MATCH($A47,Juniorstwo!$A$35:$A$54,0),MATCH($B$12,Juniorstwo!$A$34:$N$34,0))*I$12+INDEX(JuniorzyNegatyw[],MATCH($A47,Juniorstwo!$A$35:$A$54,0),MATCH($B$13,Juniorstwo!$A$34:$N$34,0))*I$13,"-")</f>
        <v>73.069999999999993</v>
      </c>
      <c r="J47" s="38">
        <f ca="1">IFERROR(INDEX(JuniorzyNegatyw[],MATCH($A47,Juniorstwo!$A$35:$A$54,0),MATCH($B$2,Juniorstwo!$A$34:$N$34,0))*J$2+INDEX(JuniorzyNegatyw[],MATCH($A47,Juniorstwo!$A$35:$A$54,0),MATCH($B$3,Juniorstwo!$A$34:$N$34,0))*J$3+INDEX(JuniorzyNegatyw[],MATCH($A47,Juniorstwo!$A$35:$A$54,0),MATCH($B$4,Juniorstwo!$A$34:$N$34,0))*J$4+INDEX(JuniorzyNegatyw[],MATCH($A47,Juniorstwo!$A$35:$A$54,0),MATCH($B$5,Juniorstwo!$A$34:$N$34,0))*J$5+INDEX(JuniorzyNegatyw[],MATCH($A47,Juniorstwo!$A$35:$A$54,0),MATCH($B$6,Juniorstwo!$A$34:$N$34,0))*J$6+INDEX(JuniorzyNegatyw[],MATCH($A47,Juniorstwo!$A$35:$A$54,0),MATCH($B$7,Juniorstwo!$A$34:$N$34,0))*J$7+INDEX(JuniorzyNegatyw[],MATCH($A47,Juniorstwo!$A$35:$A$54,0),MATCH($B$8,Juniorstwo!$A$34:$N$34,0))*J$8+INDEX(JuniorzyNegatyw[],MATCH($A47,Juniorstwo!$A$35:$A$54,0),MATCH($B$9,Juniorstwo!$A$34:$N$34,0))*J$9+INDEX(JuniorzyNegatyw[],MATCH($A47,Juniorstwo!$A$35:$A$54,0),MATCH($B$10,Juniorstwo!$A$34:$N$34,0))*J$10+INDEX(JuniorzyNegatyw[],MATCH($A47,Juniorstwo!$A$35:$A$54,0),MATCH($B$11,Juniorstwo!$A$34:$N$34,0))*J$11+INDEX(JuniorzyNegatyw[],MATCH($A47,Juniorstwo!$A$35:$A$54,0),MATCH($B$12,Juniorstwo!$A$34:$N$34,0))*J$12+INDEX(JuniorzyNegatyw[],MATCH($A47,Juniorstwo!$A$35:$A$54,0),MATCH($B$13,Juniorstwo!$A$34:$N$34,0))*J$13,"-")</f>
        <v>74.319999999999993</v>
      </c>
      <c r="K47" s="38">
        <f ca="1">IFERROR(INDEX(JuniorzyNegatyw[],MATCH($A47,Juniorstwo!$A$35:$A$54,0),MATCH($B$2,Juniorstwo!$A$34:$N$34,0))*K$2+INDEX(JuniorzyNegatyw[],MATCH($A47,Juniorstwo!$A$35:$A$54,0),MATCH($B$3,Juniorstwo!$A$34:$N$34,0))*K$3+INDEX(JuniorzyNegatyw[],MATCH($A47,Juniorstwo!$A$35:$A$54,0),MATCH($B$4,Juniorstwo!$A$34:$N$34,0))*K$4+INDEX(JuniorzyNegatyw[],MATCH($A47,Juniorstwo!$A$35:$A$54,0),MATCH($B$5,Juniorstwo!$A$34:$N$34,0))*K$5+INDEX(JuniorzyNegatyw[],MATCH($A47,Juniorstwo!$A$35:$A$54,0),MATCH($B$6,Juniorstwo!$A$34:$N$34,0))*K$6+INDEX(JuniorzyNegatyw[],MATCH($A47,Juniorstwo!$A$35:$A$54,0),MATCH($B$7,Juniorstwo!$A$34:$N$34,0))*K$7+INDEX(JuniorzyNegatyw[],MATCH($A47,Juniorstwo!$A$35:$A$54,0),MATCH($B$8,Juniorstwo!$A$34:$N$34,0))*K$8+INDEX(JuniorzyNegatyw[],MATCH($A47,Juniorstwo!$A$35:$A$54,0),MATCH($B$9,Juniorstwo!$A$34:$N$34,0))*K$9+INDEX(JuniorzyNegatyw[],MATCH($A47,Juniorstwo!$A$35:$A$54,0),MATCH($B$10,Juniorstwo!$A$34:$N$34,0))*K$10+INDEX(JuniorzyNegatyw[],MATCH($A47,Juniorstwo!$A$35:$A$54,0),MATCH($B$11,Juniorstwo!$A$34:$N$34,0))*K$11+INDEX(JuniorzyNegatyw[],MATCH($A47,Juniorstwo!$A$35:$A$54,0),MATCH($B$12,Juniorstwo!$A$34:$N$34,0))*K$12+INDEX(JuniorzyNegatyw[],MATCH($A47,Juniorstwo!$A$35:$A$54,0),MATCH($B$13,Juniorstwo!$A$34:$N$34,0))*K$13,"-")</f>
        <v>73.319999999999993</v>
      </c>
    </row>
    <row r="48" spans="1:11" x14ac:dyDescent="0.25">
      <c r="A48">
        <f>IFERROR(PozJunNŚr[[#This Row],[Numer]],"-")</f>
        <v>45</v>
      </c>
      <c r="B48" s="3" t="str">
        <f>IFERROR(VLOOKUP(PozJunNMG[[#This Row],[Numer]],Zawodnicy[[Number]:[Player name]],2,FALSE),"-")</f>
        <v>Janusz Sierocki</v>
      </c>
      <c r="C48" s="38">
        <f ca="1">IFERROR(INDEX(JuniorzyNegatyw[],MATCH($A48,Juniorstwo!$A$35:$A$54,0),MATCH($B$2,Juniorstwo!$A$34:$N$34,0))*C$2+INDEX(JuniorzyNegatyw[],MATCH($A48,Juniorstwo!$A$35:$A$54,0),MATCH($B$3,Juniorstwo!$A$34:$N$34,0))*C$3+INDEX(JuniorzyNegatyw[],MATCH($A48,Juniorstwo!$A$35:$A$54,0),MATCH($B$4,Juniorstwo!$A$34:$N$34,0))*C$4+INDEX(JuniorzyNegatyw[],MATCH($A48,Juniorstwo!$A$35:$A$54,0),MATCH($B$5,Juniorstwo!$A$34:$N$34,0))*C$5+INDEX(JuniorzyNegatyw[],MATCH($A48,Juniorstwo!$A$35:$A$54,0),MATCH($B$6,Juniorstwo!$A$34:$N$34,0))*C$6+INDEX(JuniorzyNegatyw[],MATCH($A48,Juniorstwo!$A$35:$A$54,0),MATCH($B$7,Juniorstwo!$A$34:$N$34,0))*C$7+INDEX(JuniorzyNegatyw[],MATCH($A48,Juniorstwo!$A$35:$A$54,0),MATCH($B$8,Juniorstwo!$A$34:$N$34,0))*C$8+INDEX(JuniorzyNegatyw[],MATCH($A48,Juniorstwo!$A$35:$A$54,0),MATCH($B$9,Juniorstwo!$A$34:$N$34,0))*C$9+INDEX(JuniorzyNegatyw[],MATCH($A48,Juniorstwo!$A$35:$A$54,0),MATCH($B$10,Juniorstwo!$A$34:$N$34,0))*C$10+INDEX(JuniorzyNegatyw[],MATCH($A48,Juniorstwo!$A$35:$A$54,0),MATCH($B$11,Juniorstwo!$A$34:$N$34,0))*C$11+INDEX(JuniorzyNegatyw[],MATCH($A48,Juniorstwo!$A$35:$A$54,0),MATCH($B$12,Juniorstwo!$A$34:$N$34,0))*C$12+INDEX(JuniorzyNegatyw[],MATCH($A48,Juniorstwo!$A$35:$A$54,0),MATCH($B$13,Juniorstwo!$A$34:$N$34,0))*C$13,"-")</f>
        <v>44.06</v>
      </c>
      <c r="D48" s="38">
        <f ca="1">IFERROR(INDEX(JuniorzyNegatyw[],MATCH($A48,Juniorstwo!$A$35:$A$54,0),MATCH($B$2,Juniorstwo!$A$34:$N$34,0))*D$2+INDEX(JuniorzyNegatyw[],MATCH($A48,Juniorstwo!$A$35:$A$54,0),MATCH($B$3,Juniorstwo!$A$34:$N$34,0))*D$3+INDEX(JuniorzyNegatyw[],MATCH($A48,Juniorstwo!$A$35:$A$54,0),MATCH($B$4,Juniorstwo!$A$34:$N$34,0))*D$4+INDEX(JuniorzyNegatyw[],MATCH($A48,Juniorstwo!$A$35:$A$54,0),MATCH($B$5,Juniorstwo!$A$34:$N$34,0))*D$5+INDEX(JuniorzyNegatyw[],MATCH($A48,Juniorstwo!$A$35:$A$54,0),MATCH($B$6,Juniorstwo!$A$34:$N$34,0))*D$6+INDEX(JuniorzyNegatyw[],MATCH($A48,Juniorstwo!$A$35:$A$54,0),MATCH($B$7,Juniorstwo!$A$34:$N$34,0))*D$7+INDEX(JuniorzyNegatyw[],MATCH($A48,Juniorstwo!$A$35:$A$54,0),MATCH($B$8,Juniorstwo!$A$34:$N$34,0))*D$8+INDEX(JuniorzyNegatyw[],MATCH($A48,Juniorstwo!$A$35:$A$54,0),MATCH($B$9,Juniorstwo!$A$34:$N$34,0))*D$9+INDEX(JuniorzyNegatyw[],MATCH($A48,Juniorstwo!$A$35:$A$54,0),MATCH($B$10,Juniorstwo!$A$34:$N$34,0))*D$10+INDEX(JuniorzyNegatyw[],MATCH($A48,Juniorstwo!$A$35:$A$54,0),MATCH($B$11,Juniorstwo!$A$34:$N$34,0))*D$11+INDEX(JuniorzyNegatyw[],MATCH($A48,Juniorstwo!$A$35:$A$54,0),MATCH($B$12,Juniorstwo!$A$34:$N$34,0))*D$12+INDEX(JuniorzyNegatyw[],MATCH($A48,Juniorstwo!$A$35:$A$54,0),MATCH($B$13,Juniorstwo!$A$34:$N$34,0))*D$13,"-")</f>
        <v>67.56</v>
      </c>
      <c r="E48" s="38">
        <f ca="1">IFERROR(INDEX(JuniorzyNegatyw[],MATCH($A48,Juniorstwo!$A$35:$A$54,0),MATCH($B$2,Juniorstwo!$A$34:$N$34,0))*E$2+INDEX(JuniorzyNegatyw[],MATCH($A48,Juniorstwo!$A$35:$A$54,0),MATCH($B$3,Juniorstwo!$A$34:$N$34,0))*E$3+INDEX(JuniorzyNegatyw[],MATCH($A48,Juniorstwo!$A$35:$A$54,0),MATCH($B$4,Juniorstwo!$A$34:$N$34,0))*E$4+INDEX(JuniorzyNegatyw[],MATCH($A48,Juniorstwo!$A$35:$A$54,0),MATCH($B$5,Juniorstwo!$A$34:$N$34,0))*E$5+INDEX(JuniorzyNegatyw[],MATCH($A48,Juniorstwo!$A$35:$A$54,0),MATCH($B$6,Juniorstwo!$A$34:$N$34,0))*E$6+INDEX(JuniorzyNegatyw[],MATCH($A48,Juniorstwo!$A$35:$A$54,0),MATCH($B$7,Juniorstwo!$A$34:$N$34,0))*E$7+INDEX(JuniorzyNegatyw[],MATCH($A48,Juniorstwo!$A$35:$A$54,0),MATCH($B$8,Juniorstwo!$A$34:$N$34,0))*E$8+INDEX(JuniorzyNegatyw[],MATCH($A48,Juniorstwo!$A$35:$A$54,0),MATCH($B$9,Juniorstwo!$A$34:$N$34,0))*E$9+INDEX(JuniorzyNegatyw[],MATCH($A48,Juniorstwo!$A$35:$A$54,0),MATCH($B$10,Juniorstwo!$A$34:$N$34,0))*E$10+INDEX(JuniorzyNegatyw[],MATCH($A48,Juniorstwo!$A$35:$A$54,0),MATCH($B$11,Juniorstwo!$A$34:$N$34,0))*E$11+INDEX(JuniorzyNegatyw[],MATCH($A48,Juniorstwo!$A$35:$A$54,0),MATCH($B$12,Juniorstwo!$A$34:$N$34,0))*E$12+INDEX(JuniorzyNegatyw[],MATCH($A48,Juniorstwo!$A$35:$A$54,0),MATCH($B$13,Juniorstwo!$A$34:$N$34,0))*E$13,"-")</f>
        <v>66.81</v>
      </c>
      <c r="F48" s="38">
        <f ca="1">IFERROR(INDEX(JuniorzyNegatyw[],MATCH($A48,Juniorstwo!$A$35:$A$54,0),MATCH($B$2,Juniorstwo!$A$34:$N$34,0))*F$2+INDEX(JuniorzyNegatyw[],MATCH($A48,Juniorstwo!$A$35:$A$54,0),MATCH($B$3,Juniorstwo!$A$34:$N$34,0))*F$3+INDEX(JuniorzyNegatyw[],MATCH($A48,Juniorstwo!$A$35:$A$54,0),MATCH($B$4,Juniorstwo!$A$34:$N$34,0))*F$4+INDEX(JuniorzyNegatyw[],MATCH($A48,Juniorstwo!$A$35:$A$54,0),MATCH($B$5,Juniorstwo!$A$34:$N$34,0))*F$5+INDEX(JuniorzyNegatyw[],MATCH($A48,Juniorstwo!$A$35:$A$54,0),MATCH($B$6,Juniorstwo!$A$34:$N$34,0))*F$6+INDEX(JuniorzyNegatyw[],MATCH($A48,Juniorstwo!$A$35:$A$54,0),MATCH($B$7,Juniorstwo!$A$34:$N$34,0))*F$7+INDEX(JuniorzyNegatyw[],MATCH($A48,Juniorstwo!$A$35:$A$54,0),MATCH($B$8,Juniorstwo!$A$34:$N$34,0))*F$8+INDEX(JuniorzyNegatyw[],MATCH($A48,Juniorstwo!$A$35:$A$54,0),MATCH($B$9,Juniorstwo!$A$34:$N$34,0))*F$9+INDEX(JuniorzyNegatyw[],MATCH($A48,Juniorstwo!$A$35:$A$54,0),MATCH($B$10,Juniorstwo!$A$34:$N$34,0))*F$10+INDEX(JuniorzyNegatyw[],MATCH($A48,Juniorstwo!$A$35:$A$54,0),MATCH($B$11,Juniorstwo!$A$34:$N$34,0))*F$11+INDEX(JuniorzyNegatyw[],MATCH($A48,Juniorstwo!$A$35:$A$54,0),MATCH($B$12,Juniorstwo!$A$34:$N$34,0))*F$12+INDEX(JuniorzyNegatyw[],MATCH($A48,Juniorstwo!$A$35:$A$54,0),MATCH($B$13,Juniorstwo!$A$34:$N$34,0))*F$13,"-")</f>
        <v>64.06</v>
      </c>
      <c r="G48" s="38">
        <f ca="1">IFERROR(INDEX(JuniorzyNegatyw[],MATCH($A48,Juniorstwo!$A$35:$A$54,0),MATCH($B$2,Juniorstwo!$A$34:$N$34,0))*G$2+INDEX(JuniorzyNegatyw[],MATCH($A48,Juniorstwo!$A$35:$A$54,0),MATCH($B$3,Juniorstwo!$A$34:$N$34,0))*G$3+INDEX(JuniorzyNegatyw[],MATCH($A48,Juniorstwo!$A$35:$A$54,0),MATCH($B$4,Juniorstwo!$A$34:$N$34,0))*G$4+INDEX(JuniorzyNegatyw[],MATCH($A48,Juniorstwo!$A$35:$A$54,0),MATCH($B$5,Juniorstwo!$A$34:$N$34,0))*G$5+INDEX(JuniorzyNegatyw[],MATCH($A48,Juniorstwo!$A$35:$A$54,0),MATCH($B$6,Juniorstwo!$A$34:$N$34,0))*G$6+INDEX(JuniorzyNegatyw[],MATCH($A48,Juniorstwo!$A$35:$A$54,0),MATCH($B$7,Juniorstwo!$A$34:$N$34,0))*G$7+INDEX(JuniorzyNegatyw[],MATCH($A48,Juniorstwo!$A$35:$A$54,0),MATCH($B$8,Juniorstwo!$A$34:$N$34,0))*G$8+INDEX(JuniorzyNegatyw[],MATCH($A48,Juniorstwo!$A$35:$A$54,0),MATCH($B$9,Juniorstwo!$A$34:$N$34,0))*G$9+INDEX(JuniorzyNegatyw[],MATCH($A48,Juniorstwo!$A$35:$A$54,0),MATCH($B$10,Juniorstwo!$A$34:$N$34,0))*G$10+INDEX(JuniorzyNegatyw[],MATCH($A48,Juniorstwo!$A$35:$A$54,0),MATCH($B$11,Juniorstwo!$A$34:$N$34,0))*G$11+INDEX(JuniorzyNegatyw[],MATCH($A48,Juniorstwo!$A$35:$A$54,0),MATCH($B$12,Juniorstwo!$A$34:$N$34,0))*G$12+INDEX(JuniorzyNegatyw[],MATCH($A48,Juniorstwo!$A$35:$A$54,0),MATCH($B$13,Juniorstwo!$A$34:$N$34,0))*G$13,"-")</f>
        <v>64.06</v>
      </c>
      <c r="H48" s="38">
        <f ca="1">IFERROR(INDEX(JuniorzyNegatyw[],MATCH($A48,Juniorstwo!$A$35:$A$54,0),MATCH($B$2,Juniorstwo!$A$34:$N$34,0))*H$2+INDEX(JuniorzyNegatyw[],MATCH($A48,Juniorstwo!$A$35:$A$54,0),MATCH($B$3,Juniorstwo!$A$34:$N$34,0))*H$3+INDEX(JuniorzyNegatyw[],MATCH($A48,Juniorstwo!$A$35:$A$54,0),MATCH($B$4,Juniorstwo!$A$34:$N$34,0))*H$4+INDEX(JuniorzyNegatyw[],MATCH($A48,Juniorstwo!$A$35:$A$54,0),MATCH($B$5,Juniorstwo!$A$34:$N$34,0))*H$5+INDEX(JuniorzyNegatyw[],MATCH($A48,Juniorstwo!$A$35:$A$54,0),MATCH($B$6,Juniorstwo!$A$34:$N$34,0))*H$6+INDEX(JuniorzyNegatyw[],MATCH($A48,Juniorstwo!$A$35:$A$54,0),MATCH($B$7,Juniorstwo!$A$34:$N$34,0))*H$7+INDEX(JuniorzyNegatyw[],MATCH($A48,Juniorstwo!$A$35:$A$54,0),MATCH($B$8,Juniorstwo!$A$34:$N$34,0))*H$8+INDEX(JuniorzyNegatyw[],MATCH($A48,Juniorstwo!$A$35:$A$54,0),MATCH($B$9,Juniorstwo!$A$34:$N$34,0))*H$9+INDEX(JuniorzyNegatyw[],MATCH($A48,Juniorstwo!$A$35:$A$54,0),MATCH($B$10,Juniorstwo!$A$34:$N$34,0))*H$10+INDEX(JuniorzyNegatyw[],MATCH($A48,Juniorstwo!$A$35:$A$54,0),MATCH($B$11,Juniorstwo!$A$34:$N$34,0))*H$11+INDEX(JuniorzyNegatyw[],MATCH($A48,Juniorstwo!$A$35:$A$54,0),MATCH($B$12,Juniorstwo!$A$34:$N$34,0))*H$12+INDEX(JuniorzyNegatyw[],MATCH($A48,Juniorstwo!$A$35:$A$54,0),MATCH($B$13,Juniorstwo!$A$34:$N$34,0))*H$13,"-")</f>
        <v>62.56</v>
      </c>
      <c r="I48" s="38">
        <f ca="1">IFERROR(INDEX(JuniorzyNegatyw[],MATCH($A48,Juniorstwo!$A$35:$A$54,0),MATCH($B$2,Juniorstwo!$A$34:$N$34,0))*I$2+INDEX(JuniorzyNegatyw[],MATCH($A48,Juniorstwo!$A$35:$A$54,0),MATCH($B$3,Juniorstwo!$A$34:$N$34,0))*I$3+INDEX(JuniorzyNegatyw[],MATCH($A48,Juniorstwo!$A$35:$A$54,0),MATCH($B$4,Juniorstwo!$A$34:$N$34,0))*I$4+INDEX(JuniorzyNegatyw[],MATCH($A48,Juniorstwo!$A$35:$A$54,0),MATCH($B$5,Juniorstwo!$A$34:$N$34,0))*I$5+INDEX(JuniorzyNegatyw[],MATCH($A48,Juniorstwo!$A$35:$A$54,0),MATCH($B$6,Juniorstwo!$A$34:$N$34,0))*I$6+INDEX(JuniorzyNegatyw[],MATCH($A48,Juniorstwo!$A$35:$A$54,0),MATCH($B$7,Juniorstwo!$A$34:$N$34,0))*I$7+INDEX(JuniorzyNegatyw[],MATCH($A48,Juniorstwo!$A$35:$A$54,0),MATCH($B$8,Juniorstwo!$A$34:$N$34,0))*I$8+INDEX(JuniorzyNegatyw[],MATCH($A48,Juniorstwo!$A$35:$A$54,0),MATCH($B$9,Juniorstwo!$A$34:$N$34,0))*I$9+INDEX(JuniorzyNegatyw[],MATCH($A48,Juniorstwo!$A$35:$A$54,0),MATCH($B$10,Juniorstwo!$A$34:$N$34,0))*I$10+INDEX(JuniorzyNegatyw[],MATCH($A48,Juniorstwo!$A$35:$A$54,0),MATCH($B$11,Juniorstwo!$A$34:$N$34,0))*I$11+INDEX(JuniorzyNegatyw[],MATCH($A48,Juniorstwo!$A$35:$A$54,0),MATCH($B$12,Juniorstwo!$A$34:$N$34,0))*I$12+INDEX(JuniorzyNegatyw[],MATCH($A48,Juniorstwo!$A$35:$A$54,0),MATCH($B$13,Juniorstwo!$A$34:$N$34,0))*I$13,"-")</f>
        <v>62.31</v>
      </c>
      <c r="J48" s="38">
        <f ca="1">IFERROR(INDEX(JuniorzyNegatyw[],MATCH($A48,Juniorstwo!$A$35:$A$54,0),MATCH($B$2,Juniorstwo!$A$34:$N$34,0))*J$2+INDEX(JuniorzyNegatyw[],MATCH($A48,Juniorstwo!$A$35:$A$54,0),MATCH($B$3,Juniorstwo!$A$34:$N$34,0))*J$3+INDEX(JuniorzyNegatyw[],MATCH($A48,Juniorstwo!$A$35:$A$54,0),MATCH($B$4,Juniorstwo!$A$34:$N$34,0))*J$4+INDEX(JuniorzyNegatyw[],MATCH($A48,Juniorstwo!$A$35:$A$54,0),MATCH($B$5,Juniorstwo!$A$34:$N$34,0))*J$5+INDEX(JuniorzyNegatyw[],MATCH($A48,Juniorstwo!$A$35:$A$54,0),MATCH($B$6,Juniorstwo!$A$34:$N$34,0))*J$6+INDEX(JuniorzyNegatyw[],MATCH($A48,Juniorstwo!$A$35:$A$54,0),MATCH($B$7,Juniorstwo!$A$34:$N$34,0))*J$7+INDEX(JuniorzyNegatyw[],MATCH($A48,Juniorstwo!$A$35:$A$54,0),MATCH($B$8,Juniorstwo!$A$34:$N$34,0))*J$8+INDEX(JuniorzyNegatyw[],MATCH($A48,Juniorstwo!$A$35:$A$54,0),MATCH($B$9,Juniorstwo!$A$34:$N$34,0))*J$9+INDEX(JuniorzyNegatyw[],MATCH($A48,Juniorstwo!$A$35:$A$54,0),MATCH($B$10,Juniorstwo!$A$34:$N$34,0))*J$10+INDEX(JuniorzyNegatyw[],MATCH($A48,Juniorstwo!$A$35:$A$54,0),MATCH($B$11,Juniorstwo!$A$34:$N$34,0))*J$11+INDEX(JuniorzyNegatyw[],MATCH($A48,Juniorstwo!$A$35:$A$54,0),MATCH($B$12,Juniorstwo!$A$34:$N$34,0))*J$12+INDEX(JuniorzyNegatyw[],MATCH($A48,Juniorstwo!$A$35:$A$54,0),MATCH($B$13,Juniorstwo!$A$34:$N$34,0))*J$13,"-")</f>
        <v>63.06</v>
      </c>
      <c r="K48" s="38">
        <f ca="1">IFERROR(INDEX(JuniorzyNegatyw[],MATCH($A48,Juniorstwo!$A$35:$A$54,0),MATCH($B$2,Juniorstwo!$A$34:$N$34,0))*K$2+INDEX(JuniorzyNegatyw[],MATCH($A48,Juniorstwo!$A$35:$A$54,0),MATCH($B$3,Juniorstwo!$A$34:$N$34,0))*K$3+INDEX(JuniorzyNegatyw[],MATCH($A48,Juniorstwo!$A$35:$A$54,0),MATCH($B$4,Juniorstwo!$A$34:$N$34,0))*K$4+INDEX(JuniorzyNegatyw[],MATCH($A48,Juniorstwo!$A$35:$A$54,0),MATCH($B$5,Juniorstwo!$A$34:$N$34,0))*K$5+INDEX(JuniorzyNegatyw[],MATCH($A48,Juniorstwo!$A$35:$A$54,0),MATCH($B$6,Juniorstwo!$A$34:$N$34,0))*K$6+INDEX(JuniorzyNegatyw[],MATCH($A48,Juniorstwo!$A$35:$A$54,0),MATCH($B$7,Juniorstwo!$A$34:$N$34,0))*K$7+INDEX(JuniorzyNegatyw[],MATCH($A48,Juniorstwo!$A$35:$A$54,0),MATCH($B$8,Juniorstwo!$A$34:$N$34,0))*K$8+INDEX(JuniorzyNegatyw[],MATCH($A48,Juniorstwo!$A$35:$A$54,0),MATCH($B$9,Juniorstwo!$A$34:$N$34,0))*K$9+INDEX(JuniorzyNegatyw[],MATCH($A48,Juniorstwo!$A$35:$A$54,0),MATCH($B$10,Juniorstwo!$A$34:$N$34,0))*K$10+INDEX(JuniorzyNegatyw[],MATCH($A48,Juniorstwo!$A$35:$A$54,0),MATCH($B$11,Juniorstwo!$A$34:$N$34,0))*K$11+INDEX(JuniorzyNegatyw[],MATCH($A48,Juniorstwo!$A$35:$A$54,0),MATCH($B$12,Juniorstwo!$A$34:$N$34,0))*K$12+INDEX(JuniorzyNegatyw[],MATCH($A48,Juniorstwo!$A$35:$A$54,0),MATCH($B$13,Juniorstwo!$A$34:$N$34,0))*K$13,"-")</f>
        <v>62.31</v>
      </c>
    </row>
    <row r="49" spans="1:11" x14ac:dyDescent="0.25">
      <c r="A49">
        <f>IFERROR(PozJunNŚr[[#This Row],[Numer]],"-")</f>
        <v>46</v>
      </c>
      <c r="B49" s="3" t="str">
        <f>IFERROR(VLOOKUP(PozJunNMG[[#This Row],[Numer]],Zawodnicy[[Number]:[Player name]],2,FALSE),"-")</f>
        <v>Iwo Duszenski</v>
      </c>
      <c r="C49" s="38">
        <f ca="1">IFERROR(INDEX(JuniorzyNegatyw[],MATCH($A49,Juniorstwo!$A$35:$A$54,0),MATCH($B$2,Juniorstwo!$A$34:$N$34,0))*C$2+INDEX(JuniorzyNegatyw[],MATCH($A49,Juniorstwo!$A$35:$A$54,0),MATCH($B$3,Juniorstwo!$A$34:$N$34,0))*C$3+INDEX(JuniorzyNegatyw[],MATCH($A49,Juniorstwo!$A$35:$A$54,0),MATCH($B$4,Juniorstwo!$A$34:$N$34,0))*C$4+INDEX(JuniorzyNegatyw[],MATCH($A49,Juniorstwo!$A$35:$A$54,0),MATCH($B$5,Juniorstwo!$A$34:$N$34,0))*C$5+INDEX(JuniorzyNegatyw[],MATCH($A49,Juniorstwo!$A$35:$A$54,0),MATCH($B$6,Juniorstwo!$A$34:$N$34,0))*C$6+INDEX(JuniorzyNegatyw[],MATCH($A49,Juniorstwo!$A$35:$A$54,0),MATCH($B$7,Juniorstwo!$A$34:$N$34,0))*C$7+INDEX(JuniorzyNegatyw[],MATCH($A49,Juniorstwo!$A$35:$A$54,0),MATCH($B$8,Juniorstwo!$A$34:$N$34,0))*C$8+INDEX(JuniorzyNegatyw[],MATCH($A49,Juniorstwo!$A$35:$A$54,0),MATCH($B$9,Juniorstwo!$A$34:$N$34,0))*C$9+INDEX(JuniorzyNegatyw[],MATCH($A49,Juniorstwo!$A$35:$A$54,0),MATCH($B$10,Juniorstwo!$A$34:$N$34,0))*C$10+INDEX(JuniorzyNegatyw[],MATCH($A49,Juniorstwo!$A$35:$A$54,0),MATCH($B$11,Juniorstwo!$A$34:$N$34,0))*C$11+INDEX(JuniorzyNegatyw[],MATCH($A49,Juniorstwo!$A$35:$A$54,0),MATCH($B$12,Juniorstwo!$A$34:$N$34,0))*C$12+INDEX(JuniorzyNegatyw[],MATCH($A49,Juniorstwo!$A$35:$A$54,0),MATCH($B$13,Juniorstwo!$A$34:$N$34,0))*C$13,"-")</f>
        <v>47.08</v>
      </c>
      <c r="D49" s="38">
        <f ca="1">IFERROR(INDEX(JuniorzyNegatyw[],MATCH($A49,Juniorstwo!$A$35:$A$54,0),MATCH($B$2,Juniorstwo!$A$34:$N$34,0))*D$2+INDEX(JuniorzyNegatyw[],MATCH($A49,Juniorstwo!$A$35:$A$54,0),MATCH($B$3,Juniorstwo!$A$34:$N$34,0))*D$3+INDEX(JuniorzyNegatyw[],MATCH($A49,Juniorstwo!$A$35:$A$54,0),MATCH($B$4,Juniorstwo!$A$34:$N$34,0))*D$4+INDEX(JuniorzyNegatyw[],MATCH($A49,Juniorstwo!$A$35:$A$54,0),MATCH($B$5,Juniorstwo!$A$34:$N$34,0))*D$5+INDEX(JuniorzyNegatyw[],MATCH($A49,Juniorstwo!$A$35:$A$54,0),MATCH($B$6,Juniorstwo!$A$34:$N$34,0))*D$6+INDEX(JuniorzyNegatyw[],MATCH($A49,Juniorstwo!$A$35:$A$54,0),MATCH($B$7,Juniorstwo!$A$34:$N$34,0))*D$7+INDEX(JuniorzyNegatyw[],MATCH($A49,Juniorstwo!$A$35:$A$54,0),MATCH($B$8,Juniorstwo!$A$34:$N$34,0))*D$8+INDEX(JuniorzyNegatyw[],MATCH($A49,Juniorstwo!$A$35:$A$54,0),MATCH($B$9,Juniorstwo!$A$34:$N$34,0))*D$9+INDEX(JuniorzyNegatyw[],MATCH($A49,Juniorstwo!$A$35:$A$54,0),MATCH($B$10,Juniorstwo!$A$34:$N$34,0))*D$10+INDEX(JuniorzyNegatyw[],MATCH($A49,Juniorstwo!$A$35:$A$54,0),MATCH($B$11,Juniorstwo!$A$34:$N$34,0))*D$11+INDEX(JuniorzyNegatyw[],MATCH($A49,Juniorstwo!$A$35:$A$54,0),MATCH($B$12,Juniorstwo!$A$34:$N$34,0))*D$12+INDEX(JuniorzyNegatyw[],MATCH($A49,Juniorstwo!$A$35:$A$54,0),MATCH($B$13,Juniorstwo!$A$34:$N$34,0))*D$13,"-")</f>
        <v>70.08</v>
      </c>
      <c r="E49" s="38">
        <f ca="1">IFERROR(INDEX(JuniorzyNegatyw[],MATCH($A49,Juniorstwo!$A$35:$A$54,0),MATCH($B$2,Juniorstwo!$A$34:$N$34,0))*E$2+INDEX(JuniorzyNegatyw[],MATCH($A49,Juniorstwo!$A$35:$A$54,0),MATCH($B$3,Juniorstwo!$A$34:$N$34,0))*E$3+INDEX(JuniorzyNegatyw[],MATCH($A49,Juniorstwo!$A$35:$A$54,0),MATCH($B$4,Juniorstwo!$A$34:$N$34,0))*E$4+INDEX(JuniorzyNegatyw[],MATCH($A49,Juniorstwo!$A$35:$A$54,0),MATCH($B$5,Juniorstwo!$A$34:$N$34,0))*E$5+INDEX(JuniorzyNegatyw[],MATCH($A49,Juniorstwo!$A$35:$A$54,0),MATCH($B$6,Juniorstwo!$A$34:$N$34,0))*E$6+INDEX(JuniorzyNegatyw[],MATCH($A49,Juniorstwo!$A$35:$A$54,0),MATCH($B$7,Juniorstwo!$A$34:$N$34,0))*E$7+INDEX(JuniorzyNegatyw[],MATCH($A49,Juniorstwo!$A$35:$A$54,0),MATCH($B$8,Juniorstwo!$A$34:$N$34,0))*E$8+INDEX(JuniorzyNegatyw[],MATCH($A49,Juniorstwo!$A$35:$A$54,0),MATCH($B$9,Juniorstwo!$A$34:$N$34,0))*E$9+INDEX(JuniorzyNegatyw[],MATCH($A49,Juniorstwo!$A$35:$A$54,0),MATCH($B$10,Juniorstwo!$A$34:$N$34,0))*E$10+INDEX(JuniorzyNegatyw[],MATCH($A49,Juniorstwo!$A$35:$A$54,0),MATCH($B$11,Juniorstwo!$A$34:$N$34,0))*E$11+INDEX(JuniorzyNegatyw[],MATCH($A49,Juniorstwo!$A$35:$A$54,0),MATCH($B$12,Juniorstwo!$A$34:$N$34,0))*E$12+INDEX(JuniorzyNegatyw[],MATCH($A49,Juniorstwo!$A$35:$A$54,0),MATCH($B$13,Juniorstwo!$A$34:$N$34,0))*E$13,"-")</f>
        <v>67.33</v>
      </c>
      <c r="F49" s="38">
        <f ca="1">IFERROR(INDEX(JuniorzyNegatyw[],MATCH($A49,Juniorstwo!$A$35:$A$54,0),MATCH($B$2,Juniorstwo!$A$34:$N$34,0))*F$2+INDEX(JuniorzyNegatyw[],MATCH($A49,Juniorstwo!$A$35:$A$54,0),MATCH($B$3,Juniorstwo!$A$34:$N$34,0))*F$3+INDEX(JuniorzyNegatyw[],MATCH($A49,Juniorstwo!$A$35:$A$54,0),MATCH($B$4,Juniorstwo!$A$34:$N$34,0))*F$4+INDEX(JuniorzyNegatyw[],MATCH($A49,Juniorstwo!$A$35:$A$54,0),MATCH($B$5,Juniorstwo!$A$34:$N$34,0))*F$5+INDEX(JuniorzyNegatyw[],MATCH($A49,Juniorstwo!$A$35:$A$54,0),MATCH($B$6,Juniorstwo!$A$34:$N$34,0))*F$6+INDEX(JuniorzyNegatyw[],MATCH($A49,Juniorstwo!$A$35:$A$54,0),MATCH($B$7,Juniorstwo!$A$34:$N$34,0))*F$7+INDEX(JuniorzyNegatyw[],MATCH($A49,Juniorstwo!$A$35:$A$54,0),MATCH($B$8,Juniorstwo!$A$34:$N$34,0))*F$8+INDEX(JuniorzyNegatyw[],MATCH($A49,Juniorstwo!$A$35:$A$54,0),MATCH($B$9,Juniorstwo!$A$34:$N$34,0))*F$9+INDEX(JuniorzyNegatyw[],MATCH($A49,Juniorstwo!$A$35:$A$54,0),MATCH($B$10,Juniorstwo!$A$34:$N$34,0))*F$10+INDEX(JuniorzyNegatyw[],MATCH($A49,Juniorstwo!$A$35:$A$54,0),MATCH($B$11,Juniorstwo!$A$34:$N$34,0))*F$11+INDEX(JuniorzyNegatyw[],MATCH($A49,Juniorstwo!$A$35:$A$54,0),MATCH($B$12,Juniorstwo!$A$34:$N$34,0))*F$12+INDEX(JuniorzyNegatyw[],MATCH($A49,Juniorstwo!$A$35:$A$54,0),MATCH($B$13,Juniorstwo!$A$34:$N$34,0))*F$13,"-")</f>
        <v>71.08</v>
      </c>
      <c r="G49" s="38">
        <f ca="1">IFERROR(INDEX(JuniorzyNegatyw[],MATCH($A49,Juniorstwo!$A$35:$A$54,0),MATCH($B$2,Juniorstwo!$A$34:$N$34,0))*G$2+INDEX(JuniorzyNegatyw[],MATCH($A49,Juniorstwo!$A$35:$A$54,0),MATCH($B$3,Juniorstwo!$A$34:$N$34,0))*G$3+INDEX(JuniorzyNegatyw[],MATCH($A49,Juniorstwo!$A$35:$A$54,0),MATCH($B$4,Juniorstwo!$A$34:$N$34,0))*G$4+INDEX(JuniorzyNegatyw[],MATCH($A49,Juniorstwo!$A$35:$A$54,0),MATCH($B$5,Juniorstwo!$A$34:$N$34,0))*G$5+INDEX(JuniorzyNegatyw[],MATCH($A49,Juniorstwo!$A$35:$A$54,0),MATCH($B$6,Juniorstwo!$A$34:$N$34,0))*G$6+INDEX(JuniorzyNegatyw[],MATCH($A49,Juniorstwo!$A$35:$A$54,0),MATCH($B$7,Juniorstwo!$A$34:$N$34,0))*G$7+INDEX(JuniorzyNegatyw[],MATCH($A49,Juniorstwo!$A$35:$A$54,0),MATCH($B$8,Juniorstwo!$A$34:$N$34,0))*G$8+INDEX(JuniorzyNegatyw[],MATCH($A49,Juniorstwo!$A$35:$A$54,0),MATCH($B$9,Juniorstwo!$A$34:$N$34,0))*G$9+INDEX(JuniorzyNegatyw[],MATCH($A49,Juniorstwo!$A$35:$A$54,0),MATCH($B$10,Juniorstwo!$A$34:$N$34,0))*G$10+INDEX(JuniorzyNegatyw[],MATCH($A49,Juniorstwo!$A$35:$A$54,0),MATCH($B$11,Juniorstwo!$A$34:$N$34,0))*G$11+INDEX(JuniorzyNegatyw[],MATCH($A49,Juniorstwo!$A$35:$A$54,0),MATCH($B$12,Juniorstwo!$A$34:$N$34,0))*G$12+INDEX(JuniorzyNegatyw[],MATCH($A49,Juniorstwo!$A$35:$A$54,0),MATCH($B$13,Juniorstwo!$A$34:$N$34,0))*G$13,"-")</f>
        <v>70.08</v>
      </c>
      <c r="H49" s="38">
        <f ca="1">IFERROR(INDEX(JuniorzyNegatyw[],MATCH($A49,Juniorstwo!$A$35:$A$54,0),MATCH($B$2,Juniorstwo!$A$34:$N$34,0))*H$2+INDEX(JuniorzyNegatyw[],MATCH($A49,Juniorstwo!$A$35:$A$54,0),MATCH($B$3,Juniorstwo!$A$34:$N$34,0))*H$3+INDEX(JuniorzyNegatyw[],MATCH($A49,Juniorstwo!$A$35:$A$54,0),MATCH($B$4,Juniorstwo!$A$34:$N$34,0))*H$4+INDEX(JuniorzyNegatyw[],MATCH($A49,Juniorstwo!$A$35:$A$54,0),MATCH($B$5,Juniorstwo!$A$34:$N$34,0))*H$5+INDEX(JuniorzyNegatyw[],MATCH($A49,Juniorstwo!$A$35:$A$54,0),MATCH($B$6,Juniorstwo!$A$34:$N$34,0))*H$6+INDEX(JuniorzyNegatyw[],MATCH($A49,Juniorstwo!$A$35:$A$54,0),MATCH($B$7,Juniorstwo!$A$34:$N$34,0))*H$7+INDEX(JuniorzyNegatyw[],MATCH($A49,Juniorstwo!$A$35:$A$54,0),MATCH($B$8,Juniorstwo!$A$34:$N$34,0))*H$8+INDEX(JuniorzyNegatyw[],MATCH($A49,Juniorstwo!$A$35:$A$54,0),MATCH($B$9,Juniorstwo!$A$34:$N$34,0))*H$9+INDEX(JuniorzyNegatyw[],MATCH($A49,Juniorstwo!$A$35:$A$54,0),MATCH($B$10,Juniorstwo!$A$34:$N$34,0))*H$10+INDEX(JuniorzyNegatyw[],MATCH($A49,Juniorstwo!$A$35:$A$54,0),MATCH($B$11,Juniorstwo!$A$34:$N$34,0))*H$11+INDEX(JuniorzyNegatyw[],MATCH($A49,Juniorstwo!$A$35:$A$54,0),MATCH($B$12,Juniorstwo!$A$34:$N$34,0))*H$12+INDEX(JuniorzyNegatyw[],MATCH($A49,Juniorstwo!$A$35:$A$54,0),MATCH($B$13,Juniorstwo!$A$34:$N$34,0))*H$13,"-")</f>
        <v>68.08</v>
      </c>
      <c r="I49" s="38">
        <f ca="1">IFERROR(INDEX(JuniorzyNegatyw[],MATCH($A49,Juniorstwo!$A$35:$A$54,0),MATCH($B$2,Juniorstwo!$A$34:$N$34,0))*I$2+INDEX(JuniorzyNegatyw[],MATCH($A49,Juniorstwo!$A$35:$A$54,0),MATCH($B$3,Juniorstwo!$A$34:$N$34,0))*I$3+INDEX(JuniorzyNegatyw[],MATCH($A49,Juniorstwo!$A$35:$A$54,0),MATCH($B$4,Juniorstwo!$A$34:$N$34,0))*I$4+INDEX(JuniorzyNegatyw[],MATCH($A49,Juniorstwo!$A$35:$A$54,0),MATCH($B$5,Juniorstwo!$A$34:$N$34,0))*I$5+INDEX(JuniorzyNegatyw[],MATCH($A49,Juniorstwo!$A$35:$A$54,0),MATCH($B$6,Juniorstwo!$A$34:$N$34,0))*I$6+INDEX(JuniorzyNegatyw[],MATCH($A49,Juniorstwo!$A$35:$A$54,0),MATCH($B$7,Juniorstwo!$A$34:$N$34,0))*I$7+INDEX(JuniorzyNegatyw[],MATCH($A49,Juniorstwo!$A$35:$A$54,0),MATCH($B$8,Juniorstwo!$A$34:$N$34,0))*I$8+INDEX(JuniorzyNegatyw[],MATCH($A49,Juniorstwo!$A$35:$A$54,0),MATCH($B$9,Juniorstwo!$A$34:$N$34,0))*I$9+INDEX(JuniorzyNegatyw[],MATCH($A49,Juniorstwo!$A$35:$A$54,0),MATCH($B$10,Juniorstwo!$A$34:$N$34,0))*I$10+INDEX(JuniorzyNegatyw[],MATCH($A49,Juniorstwo!$A$35:$A$54,0),MATCH($B$11,Juniorstwo!$A$34:$N$34,0))*I$11+INDEX(JuniorzyNegatyw[],MATCH($A49,Juniorstwo!$A$35:$A$54,0),MATCH($B$12,Juniorstwo!$A$34:$N$34,0))*I$12+INDEX(JuniorzyNegatyw[],MATCH($A49,Juniorstwo!$A$35:$A$54,0),MATCH($B$13,Juniorstwo!$A$34:$N$34,0))*I$13,"-")</f>
        <v>72.83</v>
      </c>
      <c r="J49" s="38">
        <f ca="1">IFERROR(INDEX(JuniorzyNegatyw[],MATCH($A49,Juniorstwo!$A$35:$A$54,0),MATCH($B$2,Juniorstwo!$A$34:$N$34,0))*J$2+INDEX(JuniorzyNegatyw[],MATCH($A49,Juniorstwo!$A$35:$A$54,0),MATCH($B$3,Juniorstwo!$A$34:$N$34,0))*J$3+INDEX(JuniorzyNegatyw[],MATCH($A49,Juniorstwo!$A$35:$A$54,0),MATCH($B$4,Juniorstwo!$A$34:$N$34,0))*J$4+INDEX(JuniorzyNegatyw[],MATCH($A49,Juniorstwo!$A$35:$A$54,0),MATCH($B$5,Juniorstwo!$A$34:$N$34,0))*J$5+INDEX(JuniorzyNegatyw[],MATCH($A49,Juniorstwo!$A$35:$A$54,0),MATCH($B$6,Juniorstwo!$A$34:$N$34,0))*J$6+INDEX(JuniorzyNegatyw[],MATCH($A49,Juniorstwo!$A$35:$A$54,0),MATCH($B$7,Juniorstwo!$A$34:$N$34,0))*J$7+INDEX(JuniorzyNegatyw[],MATCH($A49,Juniorstwo!$A$35:$A$54,0),MATCH($B$8,Juniorstwo!$A$34:$N$34,0))*J$8+INDEX(JuniorzyNegatyw[],MATCH($A49,Juniorstwo!$A$35:$A$54,0),MATCH($B$9,Juniorstwo!$A$34:$N$34,0))*J$9+INDEX(JuniorzyNegatyw[],MATCH($A49,Juniorstwo!$A$35:$A$54,0),MATCH($B$10,Juniorstwo!$A$34:$N$34,0))*J$10+INDEX(JuniorzyNegatyw[],MATCH($A49,Juniorstwo!$A$35:$A$54,0),MATCH($B$11,Juniorstwo!$A$34:$N$34,0))*J$11+INDEX(JuniorzyNegatyw[],MATCH($A49,Juniorstwo!$A$35:$A$54,0),MATCH($B$12,Juniorstwo!$A$34:$N$34,0))*J$12+INDEX(JuniorzyNegatyw[],MATCH($A49,Juniorstwo!$A$35:$A$54,0),MATCH($B$13,Juniorstwo!$A$34:$N$34,0))*J$13,"-")</f>
        <v>71.58</v>
      </c>
      <c r="K49" s="38">
        <f ca="1">IFERROR(INDEX(JuniorzyNegatyw[],MATCH($A49,Juniorstwo!$A$35:$A$54,0),MATCH($B$2,Juniorstwo!$A$34:$N$34,0))*K$2+INDEX(JuniorzyNegatyw[],MATCH($A49,Juniorstwo!$A$35:$A$54,0),MATCH($B$3,Juniorstwo!$A$34:$N$34,0))*K$3+INDEX(JuniorzyNegatyw[],MATCH($A49,Juniorstwo!$A$35:$A$54,0),MATCH($B$4,Juniorstwo!$A$34:$N$34,0))*K$4+INDEX(JuniorzyNegatyw[],MATCH($A49,Juniorstwo!$A$35:$A$54,0),MATCH($B$5,Juniorstwo!$A$34:$N$34,0))*K$5+INDEX(JuniorzyNegatyw[],MATCH($A49,Juniorstwo!$A$35:$A$54,0),MATCH($B$6,Juniorstwo!$A$34:$N$34,0))*K$6+INDEX(JuniorzyNegatyw[],MATCH($A49,Juniorstwo!$A$35:$A$54,0),MATCH($B$7,Juniorstwo!$A$34:$N$34,0))*K$7+INDEX(JuniorzyNegatyw[],MATCH($A49,Juniorstwo!$A$35:$A$54,0),MATCH($B$8,Juniorstwo!$A$34:$N$34,0))*K$8+INDEX(JuniorzyNegatyw[],MATCH($A49,Juniorstwo!$A$35:$A$54,0),MATCH($B$9,Juniorstwo!$A$34:$N$34,0))*K$9+INDEX(JuniorzyNegatyw[],MATCH($A49,Juniorstwo!$A$35:$A$54,0),MATCH($B$10,Juniorstwo!$A$34:$N$34,0))*K$10+INDEX(JuniorzyNegatyw[],MATCH($A49,Juniorstwo!$A$35:$A$54,0),MATCH($B$11,Juniorstwo!$A$34:$N$34,0))*K$11+INDEX(JuniorzyNegatyw[],MATCH($A49,Juniorstwo!$A$35:$A$54,0),MATCH($B$12,Juniorstwo!$A$34:$N$34,0))*K$12+INDEX(JuniorzyNegatyw[],MATCH($A49,Juniorstwo!$A$35:$A$54,0),MATCH($B$13,Juniorstwo!$A$34:$N$34,0))*K$13,"-")</f>
        <v>80.33</v>
      </c>
    </row>
    <row r="50" spans="1:11" x14ac:dyDescent="0.25">
      <c r="A50">
        <f>IFERROR(PozJunNŚr[[#This Row],[Numer]],"-")</f>
        <v>48</v>
      </c>
      <c r="B50" s="3" t="str">
        <f>IFERROR(VLOOKUP(PozJunNMG[[#This Row],[Numer]],Zawodnicy[[Number]:[Player name]],2,FALSE),"-")</f>
        <v>Wincenty Zawaski</v>
      </c>
      <c r="C50" s="38">
        <f ca="1">IFERROR(INDEX(JuniorzyNegatyw[],MATCH($A50,Juniorstwo!$A$35:$A$54,0),MATCH($B$2,Juniorstwo!$A$34:$N$34,0))*C$2+INDEX(JuniorzyNegatyw[],MATCH($A50,Juniorstwo!$A$35:$A$54,0),MATCH($B$3,Juniorstwo!$A$34:$N$34,0))*C$3+INDEX(JuniorzyNegatyw[],MATCH($A50,Juniorstwo!$A$35:$A$54,0),MATCH($B$4,Juniorstwo!$A$34:$N$34,0))*C$4+INDEX(JuniorzyNegatyw[],MATCH($A50,Juniorstwo!$A$35:$A$54,0),MATCH($B$5,Juniorstwo!$A$34:$N$34,0))*C$5+INDEX(JuniorzyNegatyw[],MATCH($A50,Juniorstwo!$A$35:$A$54,0),MATCH($B$6,Juniorstwo!$A$34:$N$34,0))*C$6+INDEX(JuniorzyNegatyw[],MATCH($A50,Juniorstwo!$A$35:$A$54,0),MATCH($B$7,Juniorstwo!$A$34:$N$34,0))*C$7+INDEX(JuniorzyNegatyw[],MATCH($A50,Juniorstwo!$A$35:$A$54,0),MATCH($B$8,Juniorstwo!$A$34:$N$34,0))*C$8+INDEX(JuniorzyNegatyw[],MATCH($A50,Juniorstwo!$A$35:$A$54,0),MATCH($B$9,Juniorstwo!$A$34:$N$34,0))*C$9+INDEX(JuniorzyNegatyw[],MATCH($A50,Juniorstwo!$A$35:$A$54,0),MATCH($B$10,Juniorstwo!$A$34:$N$34,0))*C$10+INDEX(JuniorzyNegatyw[],MATCH($A50,Juniorstwo!$A$35:$A$54,0),MATCH($B$11,Juniorstwo!$A$34:$N$34,0))*C$11+INDEX(JuniorzyNegatyw[],MATCH($A50,Juniorstwo!$A$35:$A$54,0),MATCH($B$12,Juniorstwo!$A$34:$N$34,0))*C$12+INDEX(JuniorzyNegatyw[],MATCH($A50,Juniorstwo!$A$35:$A$54,0),MATCH($B$13,Juniorstwo!$A$34:$N$34,0))*C$13,"-")</f>
        <v>50.04</v>
      </c>
      <c r="D50" s="38">
        <f ca="1">IFERROR(INDEX(JuniorzyNegatyw[],MATCH($A50,Juniorstwo!$A$35:$A$54,0),MATCH($B$2,Juniorstwo!$A$34:$N$34,0))*D$2+INDEX(JuniorzyNegatyw[],MATCH($A50,Juniorstwo!$A$35:$A$54,0),MATCH($B$3,Juniorstwo!$A$34:$N$34,0))*D$3+INDEX(JuniorzyNegatyw[],MATCH($A50,Juniorstwo!$A$35:$A$54,0),MATCH($B$4,Juniorstwo!$A$34:$N$34,0))*D$4+INDEX(JuniorzyNegatyw[],MATCH($A50,Juniorstwo!$A$35:$A$54,0),MATCH($B$5,Juniorstwo!$A$34:$N$34,0))*D$5+INDEX(JuniorzyNegatyw[],MATCH($A50,Juniorstwo!$A$35:$A$54,0),MATCH($B$6,Juniorstwo!$A$34:$N$34,0))*D$6+INDEX(JuniorzyNegatyw[],MATCH($A50,Juniorstwo!$A$35:$A$54,0),MATCH($B$7,Juniorstwo!$A$34:$N$34,0))*D$7+INDEX(JuniorzyNegatyw[],MATCH($A50,Juniorstwo!$A$35:$A$54,0),MATCH($B$8,Juniorstwo!$A$34:$N$34,0))*D$8+INDEX(JuniorzyNegatyw[],MATCH($A50,Juniorstwo!$A$35:$A$54,0),MATCH($B$9,Juniorstwo!$A$34:$N$34,0))*D$9+INDEX(JuniorzyNegatyw[],MATCH($A50,Juniorstwo!$A$35:$A$54,0),MATCH($B$10,Juniorstwo!$A$34:$N$34,0))*D$10+INDEX(JuniorzyNegatyw[],MATCH($A50,Juniorstwo!$A$35:$A$54,0),MATCH($B$11,Juniorstwo!$A$34:$N$34,0))*D$11+INDEX(JuniorzyNegatyw[],MATCH($A50,Juniorstwo!$A$35:$A$54,0),MATCH($B$12,Juniorstwo!$A$34:$N$34,0))*D$12+INDEX(JuniorzyNegatyw[],MATCH($A50,Juniorstwo!$A$35:$A$54,0),MATCH($B$13,Juniorstwo!$A$34:$N$34,0))*D$13,"-")</f>
        <v>64.039999999999992</v>
      </c>
      <c r="E50" s="38">
        <f ca="1">IFERROR(INDEX(JuniorzyNegatyw[],MATCH($A50,Juniorstwo!$A$35:$A$54,0),MATCH($B$2,Juniorstwo!$A$34:$N$34,0))*E$2+INDEX(JuniorzyNegatyw[],MATCH($A50,Juniorstwo!$A$35:$A$54,0),MATCH($B$3,Juniorstwo!$A$34:$N$34,0))*E$3+INDEX(JuniorzyNegatyw[],MATCH($A50,Juniorstwo!$A$35:$A$54,0),MATCH($B$4,Juniorstwo!$A$34:$N$34,0))*E$4+INDEX(JuniorzyNegatyw[],MATCH($A50,Juniorstwo!$A$35:$A$54,0),MATCH($B$5,Juniorstwo!$A$34:$N$34,0))*E$5+INDEX(JuniorzyNegatyw[],MATCH($A50,Juniorstwo!$A$35:$A$54,0),MATCH($B$6,Juniorstwo!$A$34:$N$34,0))*E$6+INDEX(JuniorzyNegatyw[],MATCH($A50,Juniorstwo!$A$35:$A$54,0),MATCH($B$7,Juniorstwo!$A$34:$N$34,0))*E$7+INDEX(JuniorzyNegatyw[],MATCH($A50,Juniorstwo!$A$35:$A$54,0),MATCH($B$8,Juniorstwo!$A$34:$N$34,0))*E$8+INDEX(JuniorzyNegatyw[],MATCH($A50,Juniorstwo!$A$35:$A$54,0),MATCH($B$9,Juniorstwo!$A$34:$N$34,0))*E$9+INDEX(JuniorzyNegatyw[],MATCH($A50,Juniorstwo!$A$35:$A$54,0),MATCH($B$10,Juniorstwo!$A$34:$N$34,0))*E$10+INDEX(JuniorzyNegatyw[],MATCH($A50,Juniorstwo!$A$35:$A$54,0),MATCH($B$11,Juniorstwo!$A$34:$N$34,0))*E$11+INDEX(JuniorzyNegatyw[],MATCH($A50,Juniorstwo!$A$35:$A$54,0),MATCH($B$12,Juniorstwo!$A$34:$N$34,0))*E$12+INDEX(JuniorzyNegatyw[],MATCH($A50,Juniorstwo!$A$35:$A$54,0),MATCH($B$13,Juniorstwo!$A$34:$N$34,0))*E$13,"-")</f>
        <v>65.039999999999992</v>
      </c>
      <c r="F50" s="38">
        <f ca="1">IFERROR(INDEX(JuniorzyNegatyw[],MATCH($A50,Juniorstwo!$A$35:$A$54,0),MATCH($B$2,Juniorstwo!$A$34:$N$34,0))*F$2+INDEX(JuniorzyNegatyw[],MATCH($A50,Juniorstwo!$A$35:$A$54,0),MATCH($B$3,Juniorstwo!$A$34:$N$34,0))*F$3+INDEX(JuniorzyNegatyw[],MATCH($A50,Juniorstwo!$A$35:$A$54,0),MATCH($B$4,Juniorstwo!$A$34:$N$34,0))*F$4+INDEX(JuniorzyNegatyw[],MATCH($A50,Juniorstwo!$A$35:$A$54,0),MATCH($B$5,Juniorstwo!$A$34:$N$34,0))*F$5+INDEX(JuniorzyNegatyw[],MATCH($A50,Juniorstwo!$A$35:$A$54,0),MATCH($B$6,Juniorstwo!$A$34:$N$34,0))*F$6+INDEX(JuniorzyNegatyw[],MATCH($A50,Juniorstwo!$A$35:$A$54,0),MATCH($B$7,Juniorstwo!$A$34:$N$34,0))*F$7+INDEX(JuniorzyNegatyw[],MATCH($A50,Juniorstwo!$A$35:$A$54,0),MATCH($B$8,Juniorstwo!$A$34:$N$34,0))*F$8+INDEX(JuniorzyNegatyw[],MATCH($A50,Juniorstwo!$A$35:$A$54,0),MATCH($B$9,Juniorstwo!$A$34:$N$34,0))*F$9+INDEX(JuniorzyNegatyw[],MATCH($A50,Juniorstwo!$A$35:$A$54,0),MATCH($B$10,Juniorstwo!$A$34:$N$34,0))*F$10+INDEX(JuniorzyNegatyw[],MATCH($A50,Juniorstwo!$A$35:$A$54,0),MATCH($B$11,Juniorstwo!$A$34:$N$34,0))*F$11+INDEX(JuniorzyNegatyw[],MATCH($A50,Juniorstwo!$A$35:$A$54,0),MATCH($B$12,Juniorstwo!$A$34:$N$34,0))*F$12+INDEX(JuniorzyNegatyw[],MATCH($A50,Juniorstwo!$A$35:$A$54,0),MATCH($B$13,Juniorstwo!$A$34:$N$34,0))*F$13,"-")</f>
        <v>64.039999999999992</v>
      </c>
      <c r="G50" s="38">
        <f ca="1">IFERROR(INDEX(JuniorzyNegatyw[],MATCH($A50,Juniorstwo!$A$35:$A$54,0),MATCH($B$2,Juniorstwo!$A$34:$N$34,0))*G$2+INDEX(JuniorzyNegatyw[],MATCH($A50,Juniorstwo!$A$35:$A$54,0),MATCH($B$3,Juniorstwo!$A$34:$N$34,0))*G$3+INDEX(JuniorzyNegatyw[],MATCH($A50,Juniorstwo!$A$35:$A$54,0),MATCH($B$4,Juniorstwo!$A$34:$N$34,0))*G$4+INDEX(JuniorzyNegatyw[],MATCH($A50,Juniorstwo!$A$35:$A$54,0),MATCH($B$5,Juniorstwo!$A$34:$N$34,0))*G$5+INDEX(JuniorzyNegatyw[],MATCH($A50,Juniorstwo!$A$35:$A$54,0),MATCH($B$6,Juniorstwo!$A$34:$N$34,0))*G$6+INDEX(JuniorzyNegatyw[],MATCH($A50,Juniorstwo!$A$35:$A$54,0),MATCH($B$7,Juniorstwo!$A$34:$N$34,0))*G$7+INDEX(JuniorzyNegatyw[],MATCH($A50,Juniorstwo!$A$35:$A$54,0),MATCH($B$8,Juniorstwo!$A$34:$N$34,0))*G$8+INDEX(JuniorzyNegatyw[],MATCH($A50,Juniorstwo!$A$35:$A$54,0),MATCH($B$9,Juniorstwo!$A$34:$N$34,0))*G$9+INDEX(JuniorzyNegatyw[],MATCH($A50,Juniorstwo!$A$35:$A$54,0),MATCH($B$10,Juniorstwo!$A$34:$N$34,0))*G$10+INDEX(JuniorzyNegatyw[],MATCH($A50,Juniorstwo!$A$35:$A$54,0),MATCH($B$11,Juniorstwo!$A$34:$N$34,0))*G$11+INDEX(JuniorzyNegatyw[],MATCH($A50,Juniorstwo!$A$35:$A$54,0),MATCH($B$12,Juniorstwo!$A$34:$N$34,0))*G$12+INDEX(JuniorzyNegatyw[],MATCH($A50,Juniorstwo!$A$35:$A$54,0),MATCH($B$13,Juniorstwo!$A$34:$N$34,0))*G$13,"-")</f>
        <v>64.039999999999992</v>
      </c>
      <c r="H50" s="38">
        <f ca="1">IFERROR(INDEX(JuniorzyNegatyw[],MATCH($A50,Juniorstwo!$A$35:$A$54,0),MATCH($B$2,Juniorstwo!$A$34:$N$34,0))*H$2+INDEX(JuniorzyNegatyw[],MATCH($A50,Juniorstwo!$A$35:$A$54,0),MATCH($B$3,Juniorstwo!$A$34:$N$34,0))*H$3+INDEX(JuniorzyNegatyw[],MATCH($A50,Juniorstwo!$A$35:$A$54,0),MATCH($B$4,Juniorstwo!$A$34:$N$34,0))*H$4+INDEX(JuniorzyNegatyw[],MATCH($A50,Juniorstwo!$A$35:$A$54,0),MATCH($B$5,Juniorstwo!$A$34:$N$34,0))*H$5+INDEX(JuniorzyNegatyw[],MATCH($A50,Juniorstwo!$A$35:$A$54,0),MATCH($B$6,Juniorstwo!$A$34:$N$34,0))*H$6+INDEX(JuniorzyNegatyw[],MATCH($A50,Juniorstwo!$A$35:$A$54,0),MATCH($B$7,Juniorstwo!$A$34:$N$34,0))*H$7+INDEX(JuniorzyNegatyw[],MATCH($A50,Juniorstwo!$A$35:$A$54,0),MATCH($B$8,Juniorstwo!$A$34:$N$34,0))*H$8+INDEX(JuniorzyNegatyw[],MATCH($A50,Juniorstwo!$A$35:$A$54,0),MATCH($B$9,Juniorstwo!$A$34:$N$34,0))*H$9+INDEX(JuniorzyNegatyw[],MATCH($A50,Juniorstwo!$A$35:$A$54,0),MATCH($B$10,Juniorstwo!$A$34:$N$34,0))*H$10+INDEX(JuniorzyNegatyw[],MATCH($A50,Juniorstwo!$A$35:$A$54,0),MATCH($B$11,Juniorstwo!$A$34:$N$34,0))*H$11+INDEX(JuniorzyNegatyw[],MATCH($A50,Juniorstwo!$A$35:$A$54,0),MATCH($B$12,Juniorstwo!$A$34:$N$34,0))*H$12+INDEX(JuniorzyNegatyw[],MATCH($A50,Juniorstwo!$A$35:$A$54,0),MATCH($B$13,Juniorstwo!$A$34:$N$34,0))*H$13,"-")</f>
        <v>65.039999999999992</v>
      </c>
      <c r="I50" s="38">
        <f ca="1">IFERROR(INDEX(JuniorzyNegatyw[],MATCH($A50,Juniorstwo!$A$35:$A$54,0),MATCH($B$2,Juniorstwo!$A$34:$N$34,0))*I$2+INDEX(JuniorzyNegatyw[],MATCH($A50,Juniorstwo!$A$35:$A$54,0),MATCH($B$3,Juniorstwo!$A$34:$N$34,0))*I$3+INDEX(JuniorzyNegatyw[],MATCH($A50,Juniorstwo!$A$35:$A$54,0),MATCH($B$4,Juniorstwo!$A$34:$N$34,0))*I$4+INDEX(JuniorzyNegatyw[],MATCH($A50,Juniorstwo!$A$35:$A$54,0),MATCH($B$5,Juniorstwo!$A$34:$N$34,0))*I$5+INDEX(JuniorzyNegatyw[],MATCH($A50,Juniorstwo!$A$35:$A$54,0),MATCH($B$6,Juniorstwo!$A$34:$N$34,0))*I$6+INDEX(JuniorzyNegatyw[],MATCH($A50,Juniorstwo!$A$35:$A$54,0),MATCH($B$7,Juniorstwo!$A$34:$N$34,0))*I$7+INDEX(JuniorzyNegatyw[],MATCH($A50,Juniorstwo!$A$35:$A$54,0),MATCH($B$8,Juniorstwo!$A$34:$N$34,0))*I$8+INDEX(JuniorzyNegatyw[],MATCH($A50,Juniorstwo!$A$35:$A$54,0),MATCH($B$9,Juniorstwo!$A$34:$N$34,0))*I$9+INDEX(JuniorzyNegatyw[],MATCH($A50,Juniorstwo!$A$35:$A$54,0),MATCH($B$10,Juniorstwo!$A$34:$N$34,0))*I$10+INDEX(JuniorzyNegatyw[],MATCH($A50,Juniorstwo!$A$35:$A$54,0),MATCH($B$11,Juniorstwo!$A$34:$N$34,0))*I$11+INDEX(JuniorzyNegatyw[],MATCH($A50,Juniorstwo!$A$35:$A$54,0),MATCH($B$12,Juniorstwo!$A$34:$N$34,0))*I$12+INDEX(JuniorzyNegatyw[],MATCH($A50,Juniorstwo!$A$35:$A$54,0),MATCH($B$13,Juniorstwo!$A$34:$N$34,0))*I$13,"-")</f>
        <v>64.039999999999992</v>
      </c>
      <c r="J50" s="38">
        <f ca="1">IFERROR(INDEX(JuniorzyNegatyw[],MATCH($A50,Juniorstwo!$A$35:$A$54,0),MATCH($B$2,Juniorstwo!$A$34:$N$34,0))*J$2+INDEX(JuniorzyNegatyw[],MATCH($A50,Juniorstwo!$A$35:$A$54,0),MATCH($B$3,Juniorstwo!$A$34:$N$34,0))*J$3+INDEX(JuniorzyNegatyw[],MATCH($A50,Juniorstwo!$A$35:$A$54,0),MATCH($B$4,Juniorstwo!$A$34:$N$34,0))*J$4+INDEX(JuniorzyNegatyw[],MATCH($A50,Juniorstwo!$A$35:$A$54,0),MATCH($B$5,Juniorstwo!$A$34:$N$34,0))*J$5+INDEX(JuniorzyNegatyw[],MATCH($A50,Juniorstwo!$A$35:$A$54,0),MATCH($B$6,Juniorstwo!$A$34:$N$34,0))*J$6+INDEX(JuniorzyNegatyw[],MATCH($A50,Juniorstwo!$A$35:$A$54,0),MATCH($B$7,Juniorstwo!$A$34:$N$34,0))*J$7+INDEX(JuniorzyNegatyw[],MATCH($A50,Juniorstwo!$A$35:$A$54,0),MATCH($B$8,Juniorstwo!$A$34:$N$34,0))*J$8+INDEX(JuniorzyNegatyw[],MATCH($A50,Juniorstwo!$A$35:$A$54,0),MATCH($B$9,Juniorstwo!$A$34:$N$34,0))*J$9+INDEX(JuniorzyNegatyw[],MATCH($A50,Juniorstwo!$A$35:$A$54,0),MATCH($B$10,Juniorstwo!$A$34:$N$34,0))*J$10+INDEX(JuniorzyNegatyw[],MATCH($A50,Juniorstwo!$A$35:$A$54,0),MATCH($B$11,Juniorstwo!$A$34:$N$34,0))*J$11+INDEX(JuniorzyNegatyw[],MATCH($A50,Juniorstwo!$A$35:$A$54,0),MATCH($B$12,Juniorstwo!$A$34:$N$34,0))*J$12+INDEX(JuniorzyNegatyw[],MATCH($A50,Juniorstwo!$A$35:$A$54,0),MATCH($B$13,Juniorstwo!$A$34:$N$34,0))*J$13,"-")</f>
        <v>65.039999999999992</v>
      </c>
      <c r="K50" s="38">
        <f ca="1">IFERROR(INDEX(JuniorzyNegatyw[],MATCH($A50,Juniorstwo!$A$35:$A$54,0),MATCH($B$2,Juniorstwo!$A$34:$N$34,0))*K$2+INDEX(JuniorzyNegatyw[],MATCH($A50,Juniorstwo!$A$35:$A$54,0),MATCH($B$3,Juniorstwo!$A$34:$N$34,0))*K$3+INDEX(JuniorzyNegatyw[],MATCH($A50,Juniorstwo!$A$35:$A$54,0),MATCH($B$4,Juniorstwo!$A$34:$N$34,0))*K$4+INDEX(JuniorzyNegatyw[],MATCH($A50,Juniorstwo!$A$35:$A$54,0),MATCH($B$5,Juniorstwo!$A$34:$N$34,0))*K$5+INDEX(JuniorzyNegatyw[],MATCH($A50,Juniorstwo!$A$35:$A$54,0),MATCH($B$6,Juniorstwo!$A$34:$N$34,0))*K$6+INDEX(JuniorzyNegatyw[],MATCH($A50,Juniorstwo!$A$35:$A$54,0),MATCH($B$7,Juniorstwo!$A$34:$N$34,0))*K$7+INDEX(JuniorzyNegatyw[],MATCH($A50,Juniorstwo!$A$35:$A$54,0),MATCH($B$8,Juniorstwo!$A$34:$N$34,0))*K$8+INDEX(JuniorzyNegatyw[],MATCH($A50,Juniorstwo!$A$35:$A$54,0),MATCH($B$9,Juniorstwo!$A$34:$N$34,0))*K$9+INDEX(JuniorzyNegatyw[],MATCH($A50,Juniorstwo!$A$35:$A$54,0),MATCH($B$10,Juniorstwo!$A$34:$N$34,0))*K$10+INDEX(JuniorzyNegatyw[],MATCH($A50,Juniorstwo!$A$35:$A$54,0),MATCH($B$11,Juniorstwo!$A$34:$N$34,0))*K$11+INDEX(JuniorzyNegatyw[],MATCH($A50,Juniorstwo!$A$35:$A$54,0),MATCH($B$12,Juniorstwo!$A$34:$N$34,0))*K$12+INDEX(JuniorzyNegatyw[],MATCH($A50,Juniorstwo!$A$35:$A$54,0),MATCH($B$13,Juniorstwo!$A$34:$N$34,0))*K$13,"-")</f>
        <v>63.04</v>
      </c>
    </row>
    <row r="51" spans="1:11" x14ac:dyDescent="0.25">
      <c r="A51">
        <f>IFERROR(PozJunNŚr[[#This Row],[Numer]],"-")</f>
        <v>49</v>
      </c>
      <c r="B51" s="3" t="str">
        <f>IFERROR(VLOOKUP(PozJunNMG[[#This Row],[Numer]],Zawodnicy[[Number]:[Player name]],2,FALSE),"-")</f>
        <v>Dobromir Kolacki</v>
      </c>
      <c r="C51" s="38">
        <f ca="1">IFERROR(INDEX(JuniorzyNegatyw[],MATCH($A51,Juniorstwo!$A$35:$A$54,0),MATCH($B$2,Juniorstwo!$A$34:$N$34,0))*C$2+INDEX(JuniorzyNegatyw[],MATCH($A51,Juniorstwo!$A$35:$A$54,0),MATCH($B$3,Juniorstwo!$A$34:$N$34,0))*C$3+INDEX(JuniorzyNegatyw[],MATCH($A51,Juniorstwo!$A$35:$A$54,0),MATCH($B$4,Juniorstwo!$A$34:$N$34,0))*C$4+INDEX(JuniorzyNegatyw[],MATCH($A51,Juniorstwo!$A$35:$A$54,0),MATCH($B$5,Juniorstwo!$A$34:$N$34,0))*C$5+INDEX(JuniorzyNegatyw[],MATCH($A51,Juniorstwo!$A$35:$A$54,0),MATCH($B$6,Juniorstwo!$A$34:$N$34,0))*C$6+INDEX(JuniorzyNegatyw[],MATCH($A51,Juniorstwo!$A$35:$A$54,0),MATCH($B$7,Juniorstwo!$A$34:$N$34,0))*C$7+INDEX(JuniorzyNegatyw[],MATCH($A51,Juniorstwo!$A$35:$A$54,0),MATCH($B$8,Juniorstwo!$A$34:$N$34,0))*C$8+INDEX(JuniorzyNegatyw[],MATCH($A51,Juniorstwo!$A$35:$A$54,0),MATCH($B$9,Juniorstwo!$A$34:$N$34,0))*C$9+INDEX(JuniorzyNegatyw[],MATCH($A51,Juniorstwo!$A$35:$A$54,0),MATCH($B$10,Juniorstwo!$A$34:$N$34,0))*C$10+INDEX(JuniorzyNegatyw[],MATCH($A51,Juniorstwo!$A$35:$A$54,0),MATCH($B$11,Juniorstwo!$A$34:$N$34,0))*C$11+INDEX(JuniorzyNegatyw[],MATCH($A51,Juniorstwo!$A$35:$A$54,0),MATCH($B$12,Juniorstwo!$A$34:$N$34,0))*C$12+INDEX(JuniorzyNegatyw[],MATCH($A51,Juniorstwo!$A$35:$A$54,0),MATCH($B$13,Juniorstwo!$A$34:$N$34,0))*C$13,"-")</f>
        <v>87.59</v>
      </c>
      <c r="D51" s="38">
        <f ca="1">IFERROR(INDEX(JuniorzyNegatyw[],MATCH($A51,Juniorstwo!$A$35:$A$54,0),MATCH($B$2,Juniorstwo!$A$34:$N$34,0))*D$2+INDEX(JuniorzyNegatyw[],MATCH($A51,Juniorstwo!$A$35:$A$54,0),MATCH($B$3,Juniorstwo!$A$34:$N$34,0))*D$3+INDEX(JuniorzyNegatyw[],MATCH($A51,Juniorstwo!$A$35:$A$54,0),MATCH($B$4,Juniorstwo!$A$34:$N$34,0))*D$4+INDEX(JuniorzyNegatyw[],MATCH($A51,Juniorstwo!$A$35:$A$54,0),MATCH($B$5,Juniorstwo!$A$34:$N$34,0))*D$5+INDEX(JuniorzyNegatyw[],MATCH($A51,Juniorstwo!$A$35:$A$54,0),MATCH($B$6,Juniorstwo!$A$34:$N$34,0))*D$6+INDEX(JuniorzyNegatyw[],MATCH($A51,Juniorstwo!$A$35:$A$54,0),MATCH($B$7,Juniorstwo!$A$34:$N$34,0))*D$7+INDEX(JuniorzyNegatyw[],MATCH($A51,Juniorstwo!$A$35:$A$54,0),MATCH($B$8,Juniorstwo!$A$34:$N$34,0))*D$8+INDEX(JuniorzyNegatyw[],MATCH($A51,Juniorstwo!$A$35:$A$54,0),MATCH($B$9,Juniorstwo!$A$34:$N$34,0))*D$9+INDEX(JuniorzyNegatyw[],MATCH($A51,Juniorstwo!$A$35:$A$54,0),MATCH($B$10,Juniorstwo!$A$34:$N$34,0))*D$10+INDEX(JuniorzyNegatyw[],MATCH($A51,Juniorstwo!$A$35:$A$54,0),MATCH($B$11,Juniorstwo!$A$34:$N$34,0))*D$11+INDEX(JuniorzyNegatyw[],MATCH($A51,Juniorstwo!$A$35:$A$54,0),MATCH($B$12,Juniorstwo!$A$34:$N$34,0))*D$12+INDEX(JuniorzyNegatyw[],MATCH($A51,Juniorstwo!$A$35:$A$54,0),MATCH($B$13,Juniorstwo!$A$34:$N$34,0))*D$13,"-")</f>
        <v>66.59</v>
      </c>
      <c r="E51" s="38">
        <f ca="1">IFERROR(INDEX(JuniorzyNegatyw[],MATCH($A51,Juniorstwo!$A$35:$A$54,0),MATCH($B$2,Juniorstwo!$A$34:$N$34,0))*E$2+INDEX(JuniorzyNegatyw[],MATCH($A51,Juniorstwo!$A$35:$A$54,0),MATCH($B$3,Juniorstwo!$A$34:$N$34,0))*E$3+INDEX(JuniorzyNegatyw[],MATCH($A51,Juniorstwo!$A$35:$A$54,0),MATCH($B$4,Juniorstwo!$A$34:$N$34,0))*E$4+INDEX(JuniorzyNegatyw[],MATCH($A51,Juniorstwo!$A$35:$A$54,0),MATCH($B$5,Juniorstwo!$A$34:$N$34,0))*E$5+INDEX(JuniorzyNegatyw[],MATCH($A51,Juniorstwo!$A$35:$A$54,0),MATCH($B$6,Juniorstwo!$A$34:$N$34,0))*E$6+INDEX(JuniorzyNegatyw[],MATCH($A51,Juniorstwo!$A$35:$A$54,0),MATCH($B$7,Juniorstwo!$A$34:$N$34,0))*E$7+INDEX(JuniorzyNegatyw[],MATCH($A51,Juniorstwo!$A$35:$A$54,0),MATCH($B$8,Juniorstwo!$A$34:$N$34,0))*E$8+INDEX(JuniorzyNegatyw[],MATCH($A51,Juniorstwo!$A$35:$A$54,0),MATCH($B$9,Juniorstwo!$A$34:$N$34,0))*E$9+INDEX(JuniorzyNegatyw[],MATCH($A51,Juniorstwo!$A$35:$A$54,0),MATCH($B$10,Juniorstwo!$A$34:$N$34,0))*E$10+INDEX(JuniorzyNegatyw[],MATCH($A51,Juniorstwo!$A$35:$A$54,0),MATCH($B$11,Juniorstwo!$A$34:$N$34,0))*E$11+INDEX(JuniorzyNegatyw[],MATCH($A51,Juniorstwo!$A$35:$A$54,0),MATCH($B$12,Juniorstwo!$A$34:$N$34,0))*E$12+INDEX(JuniorzyNegatyw[],MATCH($A51,Juniorstwo!$A$35:$A$54,0),MATCH($B$13,Juniorstwo!$A$34:$N$34,0))*E$13,"-")</f>
        <v>66.84</v>
      </c>
      <c r="F51" s="38">
        <f ca="1">IFERROR(INDEX(JuniorzyNegatyw[],MATCH($A51,Juniorstwo!$A$35:$A$54,0),MATCH($B$2,Juniorstwo!$A$34:$N$34,0))*F$2+INDEX(JuniorzyNegatyw[],MATCH($A51,Juniorstwo!$A$35:$A$54,0),MATCH($B$3,Juniorstwo!$A$34:$N$34,0))*F$3+INDEX(JuniorzyNegatyw[],MATCH($A51,Juniorstwo!$A$35:$A$54,0),MATCH($B$4,Juniorstwo!$A$34:$N$34,0))*F$4+INDEX(JuniorzyNegatyw[],MATCH($A51,Juniorstwo!$A$35:$A$54,0),MATCH($B$5,Juniorstwo!$A$34:$N$34,0))*F$5+INDEX(JuniorzyNegatyw[],MATCH($A51,Juniorstwo!$A$35:$A$54,0),MATCH($B$6,Juniorstwo!$A$34:$N$34,0))*F$6+INDEX(JuniorzyNegatyw[],MATCH($A51,Juniorstwo!$A$35:$A$54,0),MATCH($B$7,Juniorstwo!$A$34:$N$34,0))*F$7+INDEX(JuniorzyNegatyw[],MATCH($A51,Juniorstwo!$A$35:$A$54,0),MATCH($B$8,Juniorstwo!$A$34:$N$34,0))*F$8+INDEX(JuniorzyNegatyw[],MATCH($A51,Juniorstwo!$A$35:$A$54,0),MATCH($B$9,Juniorstwo!$A$34:$N$34,0))*F$9+INDEX(JuniorzyNegatyw[],MATCH($A51,Juniorstwo!$A$35:$A$54,0),MATCH($B$10,Juniorstwo!$A$34:$N$34,0))*F$10+INDEX(JuniorzyNegatyw[],MATCH($A51,Juniorstwo!$A$35:$A$54,0),MATCH($B$11,Juniorstwo!$A$34:$N$34,0))*F$11+INDEX(JuniorzyNegatyw[],MATCH($A51,Juniorstwo!$A$35:$A$54,0),MATCH($B$12,Juniorstwo!$A$34:$N$34,0))*F$12+INDEX(JuniorzyNegatyw[],MATCH($A51,Juniorstwo!$A$35:$A$54,0),MATCH($B$13,Juniorstwo!$A$34:$N$34,0))*F$13,"-")</f>
        <v>66.34</v>
      </c>
      <c r="G51" s="38">
        <f ca="1">IFERROR(INDEX(JuniorzyNegatyw[],MATCH($A51,Juniorstwo!$A$35:$A$54,0),MATCH($B$2,Juniorstwo!$A$34:$N$34,0))*G$2+INDEX(JuniorzyNegatyw[],MATCH($A51,Juniorstwo!$A$35:$A$54,0),MATCH($B$3,Juniorstwo!$A$34:$N$34,0))*G$3+INDEX(JuniorzyNegatyw[],MATCH($A51,Juniorstwo!$A$35:$A$54,0),MATCH($B$4,Juniorstwo!$A$34:$N$34,0))*G$4+INDEX(JuniorzyNegatyw[],MATCH($A51,Juniorstwo!$A$35:$A$54,0),MATCH($B$5,Juniorstwo!$A$34:$N$34,0))*G$5+INDEX(JuniorzyNegatyw[],MATCH($A51,Juniorstwo!$A$35:$A$54,0),MATCH($B$6,Juniorstwo!$A$34:$N$34,0))*G$6+INDEX(JuniorzyNegatyw[],MATCH($A51,Juniorstwo!$A$35:$A$54,0),MATCH($B$7,Juniorstwo!$A$34:$N$34,0))*G$7+INDEX(JuniorzyNegatyw[],MATCH($A51,Juniorstwo!$A$35:$A$54,0),MATCH($B$8,Juniorstwo!$A$34:$N$34,0))*G$8+INDEX(JuniorzyNegatyw[],MATCH($A51,Juniorstwo!$A$35:$A$54,0),MATCH($B$9,Juniorstwo!$A$34:$N$34,0))*G$9+INDEX(JuniorzyNegatyw[],MATCH($A51,Juniorstwo!$A$35:$A$54,0),MATCH($B$10,Juniorstwo!$A$34:$N$34,0))*G$10+INDEX(JuniorzyNegatyw[],MATCH($A51,Juniorstwo!$A$35:$A$54,0),MATCH($B$11,Juniorstwo!$A$34:$N$34,0))*G$11+INDEX(JuniorzyNegatyw[],MATCH($A51,Juniorstwo!$A$35:$A$54,0),MATCH($B$12,Juniorstwo!$A$34:$N$34,0))*G$12+INDEX(JuniorzyNegatyw[],MATCH($A51,Juniorstwo!$A$35:$A$54,0),MATCH($B$13,Juniorstwo!$A$34:$N$34,0))*G$13,"-")</f>
        <v>65.84</v>
      </c>
      <c r="H51" s="38">
        <f ca="1">IFERROR(INDEX(JuniorzyNegatyw[],MATCH($A51,Juniorstwo!$A$35:$A$54,0),MATCH($B$2,Juniorstwo!$A$34:$N$34,0))*H$2+INDEX(JuniorzyNegatyw[],MATCH($A51,Juniorstwo!$A$35:$A$54,0),MATCH($B$3,Juniorstwo!$A$34:$N$34,0))*H$3+INDEX(JuniorzyNegatyw[],MATCH($A51,Juniorstwo!$A$35:$A$54,0),MATCH($B$4,Juniorstwo!$A$34:$N$34,0))*H$4+INDEX(JuniorzyNegatyw[],MATCH($A51,Juniorstwo!$A$35:$A$54,0),MATCH($B$5,Juniorstwo!$A$34:$N$34,0))*H$5+INDEX(JuniorzyNegatyw[],MATCH($A51,Juniorstwo!$A$35:$A$54,0),MATCH($B$6,Juniorstwo!$A$34:$N$34,0))*H$6+INDEX(JuniorzyNegatyw[],MATCH($A51,Juniorstwo!$A$35:$A$54,0),MATCH($B$7,Juniorstwo!$A$34:$N$34,0))*H$7+INDEX(JuniorzyNegatyw[],MATCH($A51,Juniorstwo!$A$35:$A$54,0),MATCH($B$8,Juniorstwo!$A$34:$N$34,0))*H$8+INDEX(JuniorzyNegatyw[],MATCH($A51,Juniorstwo!$A$35:$A$54,0),MATCH($B$9,Juniorstwo!$A$34:$N$34,0))*H$9+INDEX(JuniorzyNegatyw[],MATCH($A51,Juniorstwo!$A$35:$A$54,0),MATCH($B$10,Juniorstwo!$A$34:$N$34,0))*H$10+INDEX(JuniorzyNegatyw[],MATCH($A51,Juniorstwo!$A$35:$A$54,0),MATCH($B$11,Juniorstwo!$A$34:$N$34,0))*H$11+INDEX(JuniorzyNegatyw[],MATCH($A51,Juniorstwo!$A$35:$A$54,0),MATCH($B$12,Juniorstwo!$A$34:$N$34,0))*H$12+INDEX(JuniorzyNegatyw[],MATCH($A51,Juniorstwo!$A$35:$A$54,0),MATCH($B$13,Juniorstwo!$A$34:$N$34,0))*H$13,"-")</f>
        <v>66.34</v>
      </c>
      <c r="I51" s="38">
        <f ca="1">IFERROR(INDEX(JuniorzyNegatyw[],MATCH($A51,Juniorstwo!$A$35:$A$54,0),MATCH($B$2,Juniorstwo!$A$34:$N$34,0))*I$2+INDEX(JuniorzyNegatyw[],MATCH($A51,Juniorstwo!$A$35:$A$54,0),MATCH($B$3,Juniorstwo!$A$34:$N$34,0))*I$3+INDEX(JuniorzyNegatyw[],MATCH($A51,Juniorstwo!$A$35:$A$54,0),MATCH($B$4,Juniorstwo!$A$34:$N$34,0))*I$4+INDEX(JuniorzyNegatyw[],MATCH($A51,Juniorstwo!$A$35:$A$54,0),MATCH($B$5,Juniorstwo!$A$34:$N$34,0))*I$5+INDEX(JuniorzyNegatyw[],MATCH($A51,Juniorstwo!$A$35:$A$54,0),MATCH($B$6,Juniorstwo!$A$34:$N$34,0))*I$6+INDEX(JuniorzyNegatyw[],MATCH($A51,Juniorstwo!$A$35:$A$54,0),MATCH($B$7,Juniorstwo!$A$34:$N$34,0))*I$7+INDEX(JuniorzyNegatyw[],MATCH($A51,Juniorstwo!$A$35:$A$54,0),MATCH($B$8,Juniorstwo!$A$34:$N$34,0))*I$8+INDEX(JuniorzyNegatyw[],MATCH($A51,Juniorstwo!$A$35:$A$54,0),MATCH($B$9,Juniorstwo!$A$34:$N$34,0))*I$9+INDEX(JuniorzyNegatyw[],MATCH($A51,Juniorstwo!$A$35:$A$54,0),MATCH($B$10,Juniorstwo!$A$34:$N$34,0))*I$10+INDEX(JuniorzyNegatyw[],MATCH($A51,Juniorstwo!$A$35:$A$54,0),MATCH($B$11,Juniorstwo!$A$34:$N$34,0))*I$11+INDEX(JuniorzyNegatyw[],MATCH($A51,Juniorstwo!$A$35:$A$54,0),MATCH($B$12,Juniorstwo!$A$34:$N$34,0))*I$12+INDEX(JuniorzyNegatyw[],MATCH($A51,Juniorstwo!$A$35:$A$54,0),MATCH($B$13,Juniorstwo!$A$34:$N$34,0))*I$13,"-")</f>
        <v>62.34</v>
      </c>
      <c r="J51" s="38">
        <f ca="1">IFERROR(INDEX(JuniorzyNegatyw[],MATCH($A51,Juniorstwo!$A$35:$A$54,0),MATCH($B$2,Juniorstwo!$A$34:$N$34,0))*J$2+INDEX(JuniorzyNegatyw[],MATCH($A51,Juniorstwo!$A$35:$A$54,0),MATCH($B$3,Juniorstwo!$A$34:$N$34,0))*J$3+INDEX(JuniorzyNegatyw[],MATCH($A51,Juniorstwo!$A$35:$A$54,0),MATCH($B$4,Juniorstwo!$A$34:$N$34,0))*J$4+INDEX(JuniorzyNegatyw[],MATCH($A51,Juniorstwo!$A$35:$A$54,0),MATCH($B$5,Juniorstwo!$A$34:$N$34,0))*J$5+INDEX(JuniorzyNegatyw[],MATCH($A51,Juniorstwo!$A$35:$A$54,0),MATCH($B$6,Juniorstwo!$A$34:$N$34,0))*J$6+INDEX(JuniorzyNegatyw[],MATCH($A51,Juniorstwo!$A$35:$A$54,0),MATCH($B$7,Juniorstwo!$A$34:$N$34,0))*J$7+INDEX(JuniorzyNegatyw[],MATCH($A51,Juniorstwo!$A$35:$A$54,0),MATCH($B$8,Juniorstwo!$A$34:$N$34,0))*J$8+INDEX(JuniorzyNegatyw[],MATCH($A51,Juniorstwo!$A$35:$A$54,0),MATCH($B$9,Juniorstwo!$A$34:$N$34,0))*J$9+INDEX(JuniorzyNegatyw[],MATCH($A51,Juniorstwo!$A$35:$A$54,0),MATCH($B$10,Juniorstwo!$A$34:$N$34,0))*J$10+INDEX(JuniorzyNegatyw[],MATCH($A51,Juniorstwo!$A$35:$A$54,0),MATCH($B$11,Juniorstwo!$A$34:$N$34,0))*J$11+INDEX(JuniorzyNegatyw[],MATCH($A51,Juniorstwo!$A$35:$A$54,0),MATCH($B$12,Juniorstwo!$A$34:$N$34,0))*J$12+INDEX(JuniorzyNegatyw[],MATCH($A51,Juniorstwo!$A$35:$A$54,0),MATCH($B$13,Juniorstwo!$A$34:$N$34,0))*J$13,"-")</f>
        <v>63.59</v>
      </c>
      <c r="K51" s="38">
        <f ca="1">IFERROR(INDEX(JuniorzyNegatyw[],MATCH($A51,Juniorstwo!$A$35:$A$54,0),MATCH($B$2,Juniorstwo!$A$34:$N$34,0))*K$2+INDEX(JuniorzyNegatyw[],MATCH($A51,Juniorstwo!$A$35:$A$54,0),MATCH($B$3,Juniorstwo!$A$34:$N$34,0))*K$3+INDEX(JuniorzyNegatyw[],MATCH($A51,Juniorstwo!$A$35:$A$54,0),MATCH($B$4,Juniorstwo!$A$34:$N$34,0))*K$4+INDEX(JuniorzyNegatyw[],MATCH($A51,Juniorstwo!$A$35:$A$54,0),MATCH($B$5,Juniorstwo!$A$34:$N$34,0))*K$5+INDEX(JuniorzyNegatyw[],MATCH($A51,Juniorstwo!$A$35:$A$54,0),MATCH($B$6,Juniorstwo!$A$34:$N$34,0))*K$6+INDEX(JuniorzyNegatyw[],MATCH($A51,Juniorstwo!$A$35:$A$54,0),MATCH($B$7,Juniorstwo!$A$34:$N$34,0))*K$7+INDEX(JuniorzyNegatyw[],MATCH($A51,Juniorstwo!$A$35:$A$54,0),MATCH($B$8,Juniorstwo!$A$34:$N$34,0))*K$8+INDEX(JuniorzyNegatyw[],MATCH($A51,Juniorstwo!$A$35:$A$54,0),MATCH($B$9,Juniorstwo!$A$34:$N$34,0))*K$9+INDEX(JuniorzyNegatyw[],MATCH($A51,Juniorstwo!$A$35:$A$54,0),MATCH($B$10,Juniorstwo!$A$34:$N$34,0))*K$10+INDEX(JuniorzyNegatyw[],MATCH($A51,Juniorstwo!$A$35:$A$54,0),MATCH($B$11,Juniorstwo!$A$34:$N$34,0))*K$11+INDEX(JuniorzyNegatyw[],MATCH($A51,Juniorstwo!$A$35:$A$54,0),MATCH($B$12,Juniorstwo!$A$34:$N$34,0))*K$12+INDEX(JuniorzyNegatyw[],MATCH($A51,Juniorstwo!$A$35:$A$54,0),MATCH($B$13,Juniorstwo!$A$34:$N$34,0))*K$13,"-")</f>
        <v>54.34</v>
      </c>
    </row>
    <row r="52" spans="1:11" x14ac:dyDescent="0.25">
      <c r="A52">
        <f>IFERROR(PozJunNŚr[[#This Row],[Numer]],"-")</f>
        <v>50</v>
      </c>
      <c r="B52" s="3" t="str">
        <f>IFERROR(VLOOKUP(PozJunNMG[[#This Row],[Numer]],Zawodnicy[[Number]:[Player name]],2,FALSE),"-")</f>
        <v>Ludomil Robak</v>
      </c>
      <c r="C52" s="38">
        <f ca="1">IFERROR(INDEX(JuniorzyNegatyw[],MATCH($A52,Juniorstwo!$A$35:$A$54,0),MATCH($B$2,Juniorstwo!$A$34:$N$34,0))*C$2+INDEX(JuniorzyNegatyw[],MATCH($A52,Juniorstwo!$A$35:$A$54,0),MATCH($B$3,Juniorstwo!$A$34:$N$34,0))*C$3+INDEX(JuniorzyNegatyw[],MATCH($A52,Juniorstwo!$A$35:$A$54,0),MATCH($B$4,Juniorstwo!$A$34:$N$34,0))*C$4+INDEX(JuniorzyNegatyw[],MATCH($A52,Juniorstwo!$A$35:$A$54,0),MATCH($B$5,Juniorstwo!$A$34:$N$34,0))*C$5+INDEX(JuniorzyNegatyw[],MATCH($A52,Juniorstwo!$A$35:$A$54,0),MATCH($B$6,Juniorstwo!$A$34:$N$34,0))*C$6+INDEX(JuniorzyNegatyw[],MATCH($A52,Juniorstwo!$A$35:$A$54,0),MATCH($B$7,Juniorstwo!$A$34:$N$34,0))*C$7+INDEX(JuniorzyNegatyw[],MATCH($A52,Juniorstwo!$A$35:$A$54,0),MATCH($B$8,Juniorstwo!$A$34:$N$34,0))*C$8+INDEX(JuniorzyNegatyw[],MATCH($A52,Juniorstwo!$A$35:$A$54,0),MATCH($B$9,Juniorstwo!$A$34:$N$34,0))*C$9+INDEX(JuniorzyNegatyw[],MATCH($A52,Juniorstwo!$A$35:$A$54,0),MATCH($B$10,Juniorstwo!$A$34:$N$34,0))*C$10+INDEX(JuniorzyNegatyw[],MATCH($A52,Juniorstwo!$A$35:$A$54,0),MATCH($B$11,Juniorstwo!$A$34:$N$34,0))*C$11+INDEX(JuniorzyNegatyw[],MATCH($A52,Juniorstwo!$A$35:$A$54,0),MATCH($B$12,Juniorstwo!$A$34:$N$34,0))*C$12+INDEX(JuniorzyNegatyw[],MATCH($A52,Juniorstwo!$A$35:$A$54,0),MATCH($B$13,Juniorstwo!$A$34:$N$34,0))*C$13,"-")</f>
        <v>60.07</v>
      </c>
      <c r="D52" s="38">
        <f ca="1">IFERROR(INDEX(JuniorzyNegatyw[],MATCH($A52,Juniorstwo!$A$35:$A$54,0),MATCH($B$2,Juniorstwo!$A$34:$N$34,0))*D$2+INDEX(JuniorzyNegatyw[],MATCH($A52,Juniorstwo!$A$35:$A$54,0),MATCH($B$3,Juniorstwo!$A$34:$N$34,0))*D$3+INDEX(JuniorzyNegatyw[],MATCH($A52,Juniorstwo!$A$35:$A$54,0),MATCH($B$4,Juniorstwo!$A$34:$N$34,0))*D$4+INDEX(JuniorzyNegatyw[],MATCH($A52,Juniorstwo!$A$35:$A$54,0),MATCH($B$5,Juniorstwo!$A$34:$N$34,0))*D$5+INDEX(JuniorzyNegatyw[],MATCH($A52,Juniorstwo!$A$35:$A$54,0),MATCH($B$6,Juniorstwo!$A$34:$N$34,0))*D$6+INDEX(JuniorzyNegatyw[],MATCH($A52,Juniorstwo!$A$35:$A$54,0),MATCH($B$7,Juniorstwo!$A$34:$N$34,0))*D$7+INDEX(JuniorzyNegatyw[],MATCH($A52,Juniorstwo!$A$35:$A$54,0),MATCH($B$8,Juniorstwo!$A$34:$N$34,0))*D$8+INDEX(JuniorzyNegatyw[],MATCH($A52,Juniorstwo!$A$35:$A$54,0),MATCH($B$9,Juniorstwo!$A$34:$N$34,0))*D$9+INDEX(JuniorzyNegatyw[],MATCH($A52,Juniorstwo!$A$35:$A$54,0),MATCH($B$10,Juniorstwo!$A$34:$N$34,0))*D$10+INDEX(JuniorzyNegatyw[],MATCH($A52,Juniorstwo!$A$35:$A$54,0),MATCH($B$11,Juniorstwo!$A$34:$N$34,0))*D$11+INDEX(JuniorzyNegatyw[],MATCH($A52,Juniorstwo!$A$35:$A$54,0),MATCH($B$12,Juniorstwo!$A$34:$N$34,0))*D$12+INDEX(JuniorzyNegatyw[],MATCH($A52,Juniorstwo!$A$35:$A$54,0),MATCH($B$13,Juniorstwo!$A$34:$N$34,0))*D$13,"-")</f>
        <v>71.569999999999993</v>
      </c>
      <c r="E52" s="38">
        <f ca="1">IFERROR(INDEX(JuniorzyNegatyw[],MATCH($A52,Juniorstwo!$A$35:$A$54,0),MATCH($B$2,Juniorstwo!$A$34:$N$34,0))*E$2+INDEX(JuniorzyNegatyw[],MATCH($A52,Juniorstwo!$A$35:$A$54,0),MATCH($B$3,Juniorstwo!$A$34:$N$34,0))*E$3+INDEX(JuniorzyNegatyw[],MATCH($A52,Juniorstwo!$A$35:$A$54,0),MATCH($B$4,Juniorstwo!$A$34:$N$34,0))*E$4+INDEX(JuniorzyNegatyw[],MATCH($A52,Juniorstwo!$A$35:$A$54,0),MATCH($B$5,Juniorstwo!$A$34:$N$34,0))*E$5+INDEX(JuniorzyNegatyw[],MATCH($A52,Juniorstwo!$A$35:$A$54,0),MATCH($B$6,Juniorstwo!$A$34:$N$34,0))*E$6+INDEX(JuniorzyNegatyw[],MATCH($A52,Juniorstwo!$A$35:$A$54,0),MATCH($B$7,Juniorstwo!$A$34:$N$34,0))*E$7+INDEX(JuniorzyNegatyw[],MATCH($A52,Juniorstwo!$A$35:$A$54,0),MATCH($B$8,Juniorstwo!$A$34:$N$34,0))*E$8+INDEX(JuniorzyNegatyw[],MATCH($A52,Juniorstwo!$A$35:$A$54,0),MATCH($B$9,Juniorstwo!$A$34:$N$34,0))*E$9+INDEX(JuniorzyNegatyw[],MATCH($A52,Juniorstwo!$A$35:$A$54,0),MATCH($B$10,Juniorstwo!$A$34:$N$34,0))*E$10+INDEX(JuniorzyNegatyw[],MATCH($A52,Juniorstwo!$A$35:$A$54,0),MATCH($B$11,Juniorstwo!$A$34:$N$34,0))*E$11+INDEX(JuniorzyNegatyw[],MATCH($A52,Juniorstwo!$A$35:$A$54,0),MATCH($B$12,Juniorstwo!$A$34:$N$34,0))*E$12+INDEX(JuniorzyNegatyw[],MATCH($A52,Juniorstwo!$A$35:$A$54,0),MATCH($B$13,Juniorstwo!$A$34:$N$34,0))*E$13,"-")</f>
        <v>70.819999999999993</v>
      </c>
      <c r="F52" s="38">
        <f ca="1">IFERROR(INDEX(JuniorzyNegatyw[],MATCH($A52,Juniorstwo!$A$35:$A$54,0),MATCH($B$2,Juniorstwo!$A$34:$N$34,0))*F$2+INDEX(JuniorzyNegatyw[],MATCH($A52,Juniorstwo!$A$35:$A$54,0),MATCH($B$3,Juniorstwo!$A$34:$N$34,0))*F$3+INDEX(JuniorzyNegatyw[],MATCH($A52,Juniorstwo!$A$35:$A$54,0),MATCH($B$4,Juniorstwo!$A$34:$N$34,0))*F$4+INDEX(JuniorzyNegatyw[],MATCH($A52,Juniorstwo!$A$35:$A$54,0),MATCH($B$5,Juniorstwo!$A$34:$N$34,0))*F$5+INDEX(JuniorzyNegatyw[],MATCH($A52,Juniorstwo!$A$35:$A$54,0),MATCH($B$6,Juniorstwo!$A$34:$N$34,0))*F$6+INDEX(JuniorzyNegatyw[],MATCH($A52,Juniorstwo!$A$35:$A$54,0),MATCH($B$7,Juniorstwo!$A$34:$N$34,0))*F$7+INDEX(JuniorzyNegatyw[],MATCH($A52,Juniorstwo!$A$35:$A$54,0),MATCH($B$8,Juniorstwo!$A$34:$N$34,0))*F$8+INDEX(JuniorzyNegatyw[],MATCH($A52,Juniorstwo!$A$35:$A$54,0),MATCH($B$9,Juniorstwo!$A$34:$N$34,0))*F$9+INDEX(JuniorzyNegatyw[],MATCH($A52,Juniorstwo!$A$35:$A$54,0),MATCH($B$10,Juniorstwo!$A$34:$N$34,0))*F$10+INDEX(JuniorzyNegatyw[],MATCH($A52,Juniorstwo!$A$35:$A$54,0),MATCH($B$11,Juniorstwo!$A$34:$N$34,0))*F$11+INDEX(JuniorzyNegatyw[],MATCH($A52,Juniorstwo!$A$35:$A$54,0),MATCH($B$12,Juniorstwo!$A$34:$N$34,0))*F$12+INDEX(JuniorzyNegatyw[],MATCH($A52,Juniorstwo!$A$35:$A$54,0),MATCH($B$13,Juniorstwo!$A$34:$N$34,0))*F$13,"-")</f>
        <v>71.819999999999993</v>
      </c>
      <c r="G52" s="38">
        <f ca="1">IFERROR(INDEX(JuniorzyNegatyw[],MATCH($A52,Juniorstwo!$A$35:$A$54,0),MATCH($B$2,Juniorstwo!$A$34:$N$34,0))*G$2+INDEX(JuniorzyNegatyw[],MATCH($A52,Juniorstwo!$A$35:$A$54,0),MATCH($B$3,Juniorstwo!$A$34:$N$34,0))*G$3+INDEX(JuniorzyNegatyw[],MATCH($A52,Juniorstwo!$A$35:$A$54,0),MATCH($B$4,Juniorstwo!$A$34:$N$34,0))*G$4+INDEX(JuniorzyNegatyw[],MATCH($A52,Juniorstwo!$A$35:$A$54,0),MATCH($B$5,Juniorstwo!$A$34:$N$34,0))*G$5+INDEX(JuniorzyNegatyw[],MATCH($A52,Juniorstwo!$A$35:$A$54,0),MATCH($B$6,Juniorstwo!$A$34:$N$34,0))*G$6+INDEX(JuniorzyNegatyw[],MATCH($A52,Juniorstwo!$A$35:$A$54,0),MATCH($B$7,Juniorstwo!$A$34:$N$34,0))*G$7+INDEX(JuniorzyNegatyw[],MATCH($A52,Juniorstwo!$A$35:$A$54,0),MATCH($B$8,Juniorstwo!$A$34:$N$34,0))*G$8+INDEX(JuniorzyNegatyw[],MATCH($A52,Juniorstwo!$A$35:$A$54,0),MATCH($B$9,Juniorstwo!$A$34:$N$34,0))*G$9+INDEX(JuniorzyNegatyw[],MATCH($A52,Juniorstwo!$A$35:$A$54,0),MATCH($B$10,Juniorstwo!$A$34:$N$34,0))*G$10+INDEX(JuniorzyNegatyw[],MATCH($A52,Juniorstwo!$A$35:$A$54,0),MATCH($B$11,Juniorstwo!$A$34:$N$34,0))*G$11+INDEX(JuniorzyNegatyw[],MATCH($A52,Juniorstwo!$A$35:$A$54,0),MATCH($B$12,Juniorstwo!$A$34:$N$34,0))*G$12+INDEX(JuniorzyNegatyw[],MATCH($A52,Juniorstwo!$A$35:$A$54,0),MATCH($B$13,Juniorstwo!$A$34:$N$34,0))*G$13,"-")</f>
        <v>71.819999999999993</v>
      </c>
      <c r="H52" s="38">
        <f ca="1">IFERROR(INDEX(JuniorzyNegatyw[],MATCH($A52,Juniorstwo!$A$35:$A$54,0),MATCH($B$2,Juniorstwo!$A$34:$N$34,0))*H$2+INDEX(JuniorzyNegatyw[],MATCH($A52,Juniorstwo!$A$35:$A$54,0),MATCH($B$3,Juniorstwo!$A$34:$N$34,0))*H$3+INDEX(JuniorzyNegatyw[],MATCH($A52,Juniorstwo!$A$35:$A$54,0),MATCH($B$4,Juniorstwo!$A$34:$N$34,0))*H$4+INDEX(JuniorzyNegatyw[],MATCH($A52,Juniorstwo!$A$35:$A$54,0),MATCH($B$5,Juniorstwo!$A$34:$N$34,0))*H$5+INDEX(JuniorzyNegatyw[],MATCH($A52,Juniorstwo!$A$35:$A$54,0),MATCH($B$6,Juniorstwo!$A$34:$N$34,0))*H$6+INDEX(JuniorzyNegatyw[],MATCH($A52,Juniorstwo!$A$35:$A$54,0),MATCH($B$7,Juniorstwo!$A$34:$N$34,0))*H$7+INDEX(JuniorzyNegatyw[],MATCH($A52,Juniorstwo!$A$35:$A$54,0),MATCH($B$8,Juniorstwo!$A$34:$N$34,0))*H$8+INDEX(JuniorzyNegatyw[],MATCH($A52,Juniorstwo!$A$35:$A$54,0),MATCH($B$9,Juniorstwo!$A$34:$N$34,0))*H$9+INDEX(JuniorzyNegatyw[],MATCH($A52,Juniorstwo!$A$35:$A$54,0),MATCH($B$10,Juniorstwo!$A$34:$N$34,0))*H$10+INDEX(JuniorzyNegatyw[],MATCH($A52,Juniorstwo!$A$35:$A$54,0),MATCH($B$11,Juniorstwo!$A$34:$N$34,0))*H$11+INDEX(JuniorzyNegatyw[],MATCH($A52,Juniorstwo!$A$35:$A$54,0),MATCH($B$12,Juniorstwo!$A$34:$N$34,0))*H$12+INDEX(JuniorzyNegatyw[],MATCH($A52,Juniorstwo!$A$35:$A$54,0),MATCH($B$13,Juniorstwo!$A$34:$N$34,0))*H$13,"-")</f>
        <v>71.319999999999993</v>
      </c>
      <c r="I52" s="38">
        <f ca="1">IFERROR(INDEX(JuniorzyNegatyw[],MATCH($A52,Juniorstwo!$A$35:$A$54,0),MATCH($B$2,Juniorstwo!$A$34:$N$34,0))*I$2+INDEX(JuniorzyNegatyw[],MATCH($A52,Juniorstwo!$A$35:$A$54,0),MATCH($B$3,Juniorstwo!$A$34:$N$34,0))*I$3+INDEX(JuniorzyNegatyw[],MATCH($A52,Juniorstwo!$A$35:$A$54,0),MATCH($B$4,Juniorstwo!$A$34:$N$34,0))*I$4+INDEX(JuniorzyNegatyw[],MATCH($A52,Juniorstwo!$A$35:$A$54,0),MATCH($B$5,Juniorstwo!$A$34:$N$34,0))*I$5+INDEX(JuniorzyNegatyw[],MATCH($A52,Juniorstwo!$A$35:$A$54,0),MATCH($B$6,Juniorstwo!$A$34:$N$34,0))*I$6+INDEX(JuniorzyNegatyw[],MATCH($A52,Juniorstwo!$A$35:$A$54,0),MATCH($B$7,Juniorstwo!$A$34:$N$34,0))*I$7+INDEX(JuniorzyNegatyw[],MATCH($A52,Juniorstwo!$A$35:$A$54,0),MATCH($B$8,Juniorstwo!$A$34:$N$34,0))*I$8+INDEX(JuniorzyNegatyw[],MATCH($A52,Juniorstwo!$A$35:$A$54,0),MATCH($B$9,Juniorstwo!$A$34:$N$34,0))*I$9+INDEX(JuniorzyNegatyw[],MATCH($A52,Juniorstwo!$A$35:$A$54,0),MATCH($B$10,Juniorstwo!$A$34:$N$34,0))*I$10+INDEX(JuniorzyNegatyw[],MATCH($A52,Juniorstwo!$A$35:$A$54,0),MATCH($B$11,Juniorstwo!$A$34:$N$34,0))*I$11+INDEX(JuniorzyNegatyw[],MATCH($A52,Juniorstwo!$A$35:$A$54,0),MATCH($B$12,Juniorstwo!$A$34:$N$34,0))*I$12+INDEX(JuniorzyNegatyw[],MATCH($A52,Juniorstwo!$A$35:$A$54,0),MATCH($B$13,Juniorstwo!$A$34:$N$34,0))*I$13,"-")</f>
        <v>71.569999999999993</v>
      </c>
      <c r="J52" s="38">
        <f ca="1">IFERROR(INDEX(JuniorzyNegatyw[],MATCH($A52,Juniorstwo!$A$35:$A$54,0),MATCH($B$2,Juniorstwo!$A$34:$N$34,0))*J$2+INDEX(JuniorzyNegatyw[],MATCH($A52,Juniorstwo!$A$35:$A$54,0),MATCH($B$3,Juniorstwo!$A$34:$N$34,0))*J$3+INDEX(JuniorzyNegatyw[],MATCH($A52,Juniorstwo!$A$35:$A$54,0),MATCH($B$4,Juniorstwo!$A$34:$N$34,0))*J$4+INDEX(JuniorzyNegatyw[],MATCH($A52,Juniorstwo!$A$35:$A$54,0),MATCH($B$5,Juniorstwo!$A$34:$N$34,0))*J$5+INDEX(JuniorzyNegatyw[],MATCH($A52,Juniorstwo!$A$35:$A$54,0),MATCH($B$6,Juniorstwo!$A$34:$N$34,0))*J$6+INDEX(JuniorzyNegatyw[],MATCH($A52,Juniorstwo!$A$35:$A$54,0),MATCH($B$7,Juniorstwo!$A$34:$N$34,0))*J$7+INDEX(JuniorzyNegatyw[],MATCH($A52,Juniorstwo!$A$35:$A$54,0),MATCH($B$8,Juniorstwo!$A$34:$N$34,0))*J$8+INDEX(JuniorzyNegatyw[],MATCH($A52,Juniorstwo!$A$35:$A$54,0),MATCH($B$9,Juniorstwo!$A$34:$N$34,0))*J$9+INDEX(JuniorzyNegatyw[],MATCH($A52,Juniorstwo!$A$35:$A$54,0),MATCH($B$10,Juniorstwo!$A$34:$N$34,0))*J$10+INDEX(JuniorzyNegatyw[],MATCH($A52,Juniorstwo!$A$35:$A$54,0),MATCH($B$11,Juniorstwo!$A$34:$N$34,0))*J$11+INDEX(JuniorzyNegatyw[],MATCH($A52,Juniorstwo!$A$35:$A$54,0),MATCH($B$12,Juniorstwo!$A$34:$N$34,0))*J$12+INDEX(JuniorzyNegatyw[],MATCH($A52,Juniorstwo!$A$35:$A$54,0),MATCH($B$13,Juniorstwo!$A$34:$N$34,0))*J$13,"-")</f>
        <v>71.319999999999993</v>
      </c>
      <c r="K52" s="38">
        <f ca="1">IFERROR(INDEX(JuniorzyNegatyw[],MATCH($A52,Juniorstwo!$A$35:$A$54,0),MATCH($B$2,Juniorstwo!$A$34:$N$34,0))*K$2+INDEX(JuniorzyNegatyw[],MATCH($A52,Juniorstwo!$A$35:$A$54,0),MATCH($B$3,Juniorstwo!$A$34:$N$34,0))*K$3+INDEX(JuniorzyNegatyw[],MATCH($A52,Juniorstwo!$A$35:$A$54,0),MATCH($B$4,Juniorstwo!$A$34:$N$34,0))*K$4+INDEX(JuniorzyNegatyw[],MATCH($A52,Juniorstwo!$A$35:$A$54,0),MATCH($B$5,Juniorstwo!$A$34:$N$34,0))*K$5+INDEX(JuniorzyNegatyw[],MATCH($A52,Juniorstwo!$A$35:$A$54,0),MATCH($B$6,Juniorstwo!$A$34:$N$34,0))*K$6+INDEX(JuniorzyNegatyw[],MATCH($A52,Juniorstwo!$A$35:$A$54,0),MATCH($B$7,Juniorstwo!$A$34:$N$34,0))*K$7+INDEX(JuniorzyNegatyw[],MATCH($A52,Juniorstwo!$A$35:$A$54,0),MATCH($B$8,Juniorstwo!$A$34:$N$34,0))*K$8+INDEX(JuniorzyNegatyw[],MATCH($A52,Juniorstwo!$A$35:$A$54,0),MATCH($B$9,Juniorstwo!$A$34:$N$34,0))*K$9+INDEX(JuniorzyNegatyw[],MATCH($A52,Juniorstwo!$A$35:$A$54,0),MATCH($B$10,Juniorstwo!$A$34:$N$34,0))*K$10+INDEX(JuniorzyNegatyw[],MATCH($A52,Juniorstwo!$A$35:$A$54,0),MATCH($B$11,Juniorstwo!$A$34:$N$34,0))*K$11+INDEX(JuniorzyNegatyw[],MATCH($A52,Juniorstwo!$A$35:$A$54,0),MATCH($B$12,Juniorstwo!$A$34:$N$34,0))*K$12+INDEX(JuniorzyNegatyw[],MATCH($A52,Juniorstwo!$A$35:$A$54,0),MATCH($B$13,Juniorstwo!$A$34:$N$34,0))*K$13,"-")</f>
        <v>71.069999999999993</v>
      </c>
    </row>
    <row r="53" spans="1:11" x14ac:dyDescent="0.25">
      <c r="A53">
        <f>IFERROR(PozJunNŚr[[#This Row],[Numer]],"-")</f>
        <v>51</v>
      </c>
      <c r="B53" s="3" t="str">
        <f>IFERROR(VLOOKUP(PozJunNMG[[#This Row],[Numer]],Zawodnicy[[Number]:[Player name]],2,FALSE),"-")</f>
        <v>Radoslaw Cichowski</v>
      </c>
      <c r="C53" s="38">
        <f ca="1">IFERROR(INDEX(JuniorzyNegatyw[],MATCH($A53,Juniorstwo!$A$35:$A$54,0),MATCH($B$2,Juniorstwo!$A$34:$N$34,0))*C$2+INDEX(JuniorzyNegatyw[],MATCH($A53,Juniorstwo!$A$35:$A$54,0),MATCH($B$3,Juniorstwo!$A$34:$N$34,0))*C$3+INDEX(JuniorzyNegatyw[],MATCH($A53,Juniorstwo!$A$35:$A$54,0),MATCH($B$4,Juniorstwo!$A$34:$N$34,0))*C$4+INDEX(JuniorzyNegatyw[],MATCH($A53,Juniorstwo!$A$35:$A$54,0),MATCH($B$5,Juniorstwo!$A$34:$N$34,0))*C$5+INDEX(JuniorzyNegatyw[],MATCH($A53,Juniorstwo!$A$35:$A$54,0),MATCH($B$6,Juniorstwo!$A$34:$N$34,0))*C$6+INDEX(JuniorzyNegatyw[],MATCH($A53,Juniorstwo!$A$35:$A$54,0),MATCH($B$7,Juniorstwo!$A$34:$N$34,0))*C$7+INDEX(JuniorzyNegatyw[],MATCH($A53,Juniorstwo!$A$35:$A$54,0),MATCH($B$8,Juniorstwo!$A$34:$N$34,0))*C$8+INDEX(JuniorzyNegatyw[],MATCH($A53,Juniorstwo!$A$35:$A$54,0),MATCH($B$9,Juniorstwo!$A$34:$N$34,0))*C$9+INDEX(JuniorzyNegatyw[],MATCH($A53,Juniorstwo!$A$35:$A$54,0),MATCH($B$10,Juniorstwo!$A$34:$N$34,0))*C$10+INDEX(JuniorzyNegatyw[],MATCH($A53,Juniorstwo!$A$35:$A$54,0),MATCH($B$11,Juniorstwo!$A$34:$N$34,0))*C$11+INDEX(JuniorzyNegatyw[],MATCH($A53,Juniorstwo!$A$35:$A$54,0),MATCH($B$12,Juniorstwo!$A$34:$N$34,0))*C$12+INDEX(JuniorzyNegatyw[],MATCH($A53,Juniorstwo!$A$35:$A$54,0),MATCH($B$13,Juniorstwo!$A$34:$N$34,0))*C$13,"-")</f>
        <v>61.07</v>
      </c>
      <c r="D53" s="38">
        <f ca="1">IFERROR(INDEX(JuniorzyNegatyw[],MATCH($A53,Juniorstwo!$A$35:$A$54,0),MATCH($B$2,Juniorstwo!$A$34:$N$34,0))*D$2+INDEX(JuniorzyNegatyw[],MATCH($A53,Juniorstwo!$A$35:$A$54,0),MATCH($B$3,Juniorstwo!$A$34:$N$34,0))*D$3+INDEX(JuniorzyNegatyw[],MATCH($A53,Juniorstwo!$A$35:$A$54,0),MATCH($B$4,Juniorstwo!$A$34:$N$34,0))*D$4+INDEX(JuniorzyNegatyw[],MATCH($A53,Juniorstwo!$A$35:$A$54,0),MATCH($B$5,Juniorstwo!$A$34:$N$34,0))*D$5+INDEX(JuniorzyNegatyw[],MATCH($A53,Juniorstwo!$A$35:$A$54,0),MATCH($B$6,Juniorstwo!$A$34:$N$34,0))*D$6+INDEX(JuniorzyNegatyw[],MATCH($A53,Juniorstwo!$A$35:$A$54,0),MATCH($B$7,Juniorstwo!$A$34:$N$34,0))*D$7+INDEX(JuniorzyNegatyw[],MATCH($A53,Juniorstwo!$A$35:$A$54,0),MATCH($B$8,Juniorstwo!$A$34:$N$34,0))*D$8+INDEX(JuniorzyNegatyw[],MATCH($A53,Juniorstwo!$A$35:$A$54,0),MATCH($B$9,Juniorstwo!$A$34:$N$34,0))*D$9+INDEX(JuniorzyNegatyw[],MATCH($A53,Juniorstwo!$A$35:$A$54,0),MATCH($B$10,Juniorstwo!$A$34:$N$34,0))*D$10+INDEX(JuniorzyNegatyw[],MATCH($A53,Juniorstwo!$A$35:$A$54,0),MATCH($B$11,Juniorstwo!$A$34:$N$34,0))*D$11+INDEX(JuniorzyNegatyw[],MATCH($A53,Juniorstwo!$A$35:$A$54,0),MATCH($B$12,Juniorstwo!$A$34:$N$34,0))*D$12+INDEX(JuniorzyNegatyw[],MATCH($A53,Juniorstwo!$A$35:$A$54,0),MATCH($B$13,Juniorstwo!$A$34:$N$34,0))*D$13,"-")</f>
        <v>76.069999999999993</v>
      </c>
      <c r="E53" s="38">
        <f ca="1">IFERROR(INDEX(JuniorzyNegatyw[],MATCH($A53,Juniorstwo!$A$35:$A$54,0),MATCH($B$2,Juniorstwo!$A$34:$N$34,0))*E$2+INDEX(JuniorzyNegatyw[],MATCH($A53,Juniorstwo!$A$35:$A$54,0),MATCH($B$3,Juniorstwo!$A$34:$N$34,0))*E$3+INDEX(JuniorzyNegatyw[],MATCH($A53,Juniorstwo!$A$35:$A$54,0),MATCH($B$4,Juniorstwo!$A$34:$N$34,0))*E$4+INDEX(JuniorzyNegatyw[],MATCH($A53,Juniorstwo!$A$35:$A$54,0),MATCH($B$5,Juniorstwo!$A$34:$N$34,0))*E$5+INDEX(JuniorzyNegatyw[],MATCH($A53,Juniorstwo!$A$35:$A$54,0),MATCH($B$6,Juniorstwo!$A$34:$N$34,0))*E$6+INDEX(JuniorzyNegatyw[],MATCH($A53,Juniorstwo!$A$35:$A$54,0),MATCH($B$7,Juniorstwo!$A$34:$N$34,0))*E$7+INDEX(JuniorzyNegatyw[],MATCH($A53,Juniorstwo!$A$35:$A$54,0),MATCH($B$8,Juniorstwo!$A$34:$N$34,0))*E$8+INDEX(JuniorzyNegatyw[],MATCH($A53,Juniorstwo!$A$35:$A$54,0),MATCH($B$9,Juniorstwo!$A$34:$N$34,0))*E$9+INDEX(JuniorzyNegatyw[],MATCH($A53,Juniorstwo!$A$35:$A$54,0),MATCH($B$10,Juniorstwo!$A$34:$N$34,0))*E$10+INDEX(JuniorzyNegatyw[],MATCH($A53,Juniorstwo!$A$35:$A$54,0),MATCH($B$11,Juniorstwo!$A$34:$N$34,0))*E$11+INDEX(JuniorzyNegatyw[],MATCH($A53,Juniorstwo!$A$35:$A$54,0),MATCH($B$12,Juniorstwo!$A$34:$N$34,0))*E$12+INDEX(JuniorzyNegatyw[],MATCH($A53,Juniorstwo!$A$35:$A$54,0),MATCH($B$13,Juniorstwo!$A$34:$N$34,0))*E$13,"-")</f>
        <v>75.569999999999993</v>
      </c>
      <c r="F53" s="38">
        <f ca="1">IFERROR(INDEX(JuniorzyNegatyw[],MATCH($A53,Juniorstwo!$A$35:$A$54,0),MATCH($B$2,Juniorstwo!$A$34:$N$34,0))*F$2+INDEX(JuniorzyNegatyw[],MATCH($A53,Juniorstwo!$A$35:$A$54,0),MATCH($B$3,Juniorstwo!$A$34:$N$34,0))*F$3+INDEX(JuniorzyNegatyw[],MATCH($A53,Juniorstwo!$A$35:$A$54,0),MATCH($B$4,Juniorstwo!$A$34:$N$34,0))*F$4+INDEX(JuniorzyNegatyw[],MATCH($A53,Juniorstwo!$A$35:$A$54,0),MATCH($B$5,Juniorstwo!$A$34:$N$34,0))*F$5+INDEX(JuniorzyNegatyw[],MATCH($A53,Juniorstwo!$A$35:$A$54,0),MATCH($B$6,Juniorstwo!$A$34:$N$34,0))*F$6+INDEX(JuniorzyNegatyw[],MATCH($A53,Juniorstwo!$A$35:$A$54,0),MATCH($B$7,Juniorstwo!$A$34:$N$34,0))*F$7+INDEX(JuniorzyNegatyw[],MATCH($A53,Juniorstwo!$A$35:$A$54,0),MATCH($B$8,Juniorstwo!$A$34:$N$34,0))*F$8+INDEX(JuniorzyNegatyw[],MATCH($A53,Juniorstwo!$A$35:$A$54,0),MATCH($B$9,Juniorstwo!$A$34:$N$34,0))*F$9+INDEX(JuniorzyNegatyw[],MATCH($A53,Juniorstwo!$A$35:$A$54,0),MATCH($B$10,Juniorstwo!$A$34:$N$34,0))*F$10+INDEX(JuniorzyNegatyw[],MATCH($A53,Juniorstwo!$A$35:$A$54,0),MATCH($B$11,Juniorstwo!$A$34:$N$34,0))*F$11+INDEX(JuniorzyNegatyw[],MATCH($A53,Juniorstwo!$A$35:$A$54,0),MATCH($B$12,Juniorstwo!$A$34:$N$34,0))*F$12+INDEX(JuniorzyNegatyw[],MATCH($A53,Juniorstwo!$A$35:$A$54,0),MATCH($B$13,Juniorstwo!$A$34:$N$34,0))*F$13,"-")</f>
        <v>74.569999999999993</v>
      </c>
      <c r="G53" s="38">
        <f ca="1">IFERROR(INDEX(JuniorzyNegatyw[],MATCH($A53,Juniorstwo!$A$35:$A$54,0),MATCH($B$2,Juniorstwo!$A$34:$N$34,0))*G$2+INDEX(JuniorzyNegatyw[],MATCH($A53,Juniorstwo!$A$35:$A$54,0),MATCH($B$3,Juniorstwo!$A$34:$N$34,0))*G$3+INDEX(JuniorzyNegatyw[],MATCH($A53,Juniorstwo!$A$35:$A$54,0),MATCH($B$4,Juniorstwo!$A$34:$N$34,0))*G$4+INDEX(JuniorzyNegatyw[],MATCH($A53,Juniorstwo!$A$35:$A$54,0),MATCH($B$5,Juniorstwo!$A$34:$N$34,0))*G$5+INDEX(JuniorzyNegatyw[],MATCH($A53,Juniorstwo!$A$35:$A$54,0),MATCH($B$6,Juniorstwo!$A$34:$N$34,0))*G$6+INDEX(JuniorzyNegatyw[],MATCH($A53,Juniorstwo!$A$35:$A$54,0),MATCH($B$7,Juniorstwo!$A$34:$N$34,0))*G$7+INDEX(JuniorzyNegatyw[],MATCH($A53,Juniorstwo!$A$35:$A$54,0),MATCH($B$8,Juniorstwo!$A$34:$N$34,0))*G$8+INDEX(JuniorzyNegatyw[],MATCH($A53,Juniorstwo!$A$35:$A$54,0),MATCH($B$9,Juniorstwo!$A$34:$N$34,0))*G$9+INDEX(JuniorzyNegatyw[],MATCH($A53,Juniorstwo!$A$35:$A$54,0),MATCH($B$10,Juniorstwo!$A$34:$N$34,0))*G$10+INDEX(JuniorzyNegatyw[],MATCH($A53,Juniorstwo!$A$35:$A$54,0),MATCH($B$11,Juniorstwo!$A$34:$N$34,0))*G$11+INDEX(JuniorzyNegatyw[],MATCH($A53,Juniorstwo!$A$35:$A$54,0),MATCH($B$12,Juniorstwo!$A$34:$N$34,0))*G$12+INDEX(JuniorzyNegatyw[],MATCH($A53,Juniorstwo!$A$35:$A$54,0),MATCH($B$13,Juniorstwo!$A$34:$N$34,0))*G$13,"-")</f>
        <v>74.069999999999993</v>
      </c>
      <c r="H53" s="38">
        <f ca="1">IFERROR(INDEX(JuniorzyNegatyw[],MATCH($A53,Juniorstwo!$A$35:$A$54,0),MATCH($B$2,Juniorstwo!$A$34:$N$34,0))*H$2+INDEX(JuniorzyNegatyw[],MATCH($A53,Juniorstwo!$A$35:$A$54,0),MATCH($B$3,Juniorstwo!$A$34:$N$34,0))*H$3+INDEX(JuniorzyNegatyw[],MATCH($A53,Juniorstwo!$A$35:$A$54,0),MATCH($B$4,Juniorstwo!$A$34:$N$34,0))*H$4+INDEX(JuniorzyNegatyw[],MATCH($A53,Juniorstwo!$A$35:$A$54,0),MATCH($B$5,Juniorstwo!$A$34:$N$34,0))*H$5+INDEX(JuniorzyNegatyw[],MATCH($A53,Juniorstwo!$A$35:$A$54,0),MATCH($B$6,Juniorstwo!$A$34:$N$34,0))*H$6+INDEX(JuniorzyNegatyw[],MATCH($A53,Juniorstwo!$A$35:$A$54,0),MATCH($B$7,Juniorstwo!$A$34:$N$34,0))*H$7+INDEX(JuniorzyNegatyw[],MATCH($A53,Juniorstwo!$A$35:$A$54,0),MATCH($B$8,Juniorstwo!$A$34:$N$34,0))*H$8+INDEX(JuniorzyNegatyw[],MATCH($A53,Juniorstwo!$A$35:$A$54,0),MATCH($B$9,Juniorstwo!$A$34:$N$34,0))*H$9+INDEX(JuniorzyNegatyw[],MATCH($A53,Juniorstwo!$A$35:$A$54,0),MATCH($B$10,Juniorstwo!$A$34:$N$34,0))*H$10+INDEX(JuniorzyNegatyw[],MATCH($A53,Juniorstwo!$A$35:$A$54,0),MATCH($B$11,Juniorstwo!$A$34:$N$34,0))*H$11+INDEX(JuniorzyNegatyw[],MATCH($A53,Juniorstwo!$A$35:$A$54,0),MATCH($B$12,Juniorstwo!$A$34:$N$34,0))*H$12+INDEX(JuniorzyNegatyw[],MATCH($A53,Juniorstwo!$A$35:$A$54,0),MATCH($B$13,Juniorstwo!$A$34:$N$34,0))*H$13,"-")</f>
        <v>73.569999999999993</v>
      </c>
      <c r="I53" s="38">
        <f ca="1">IFERROR(INDEX(JuniorzyNegatyw[],MATCH($A53,Juniorstwo!$A$35:$A$54,0),MATCH($B$2,Juniorstwo!$A$34:$N$34,0))*I$2+INDEX(JuniorzyNegatyw[],MATCH($A53,Juniorstwo!$A$35:$A$54,0),MATCH($B$3,Juniorstwo!$A$34:$N$34,0))*I$3+INDEX(JuniorzyNegatyw[],MATCH($A53,Juniorstwo!$A$35:$A$54,0),MATCH($B$4,Juniorstwo!$A$34:$N$34,0))*I$4+INDEX(JuniorzyNegatyw[],MATCH($A53,Juniorstwo!$A$35:$A$54,0),MATCH($B$5,Juniorstwo!$A$34:$N$34,0))*I$5+INDEX(JuniorzyNegatyw[],MATCH($A53,Juniorstwo!$A$35:$A$54,0),MATCH($B$6,Juniorstwo!$A$34:$N$34,0))*I$6+INDEX(JuniorzyNegatyw[],MATCH($A53,Juniorstwo!$A$35:$A$54,0),MATCH($B$7,Juniorstwo!$A$34:$N$34,0))*I$7+INDEX(JuniorzyNegatyw[],MATCH($A53,Juniorstwo!$A$35:$A$54,0),MATCH($B$8,Juniorstwo!$A$34:$N$34,0))*I$8+INDEX(JuniorzyNegatyw[],MATCH($A53,Juniorstwo!$A$35:$A$54,0),MATCH($B$9,Juniorstwo!$A$34:$N$34,0))*I$9+INDEX(JuniorzyNegatyw[],MATCH($A53,Juniorstwo!$A$35:$A$54,0),MATCH($B$10,Juniorstwo!$A$34:$N$34,0))*I$10+INDEX(JuniorzyNegatyw[],MATCH($A53,Juniorstwo!$A$35:$A$54,0),MATCH($B$11,Juniorstwo!$A$34:$N$34,0))*I$11+INDEX(JuniorzyNegatyw[],MATCH($A53,Juniorstwo!$A$35:$A$54,0),MATCH($B$12,Juniorstwo!$A$34:$N$34,0))*I$12+INDEX(JuniorzyNegatyw[],MATCH($A53,Juniorstwo!$A$35:$A$54,0),MATCH($B$13,Juniorstwo!$A$34:$N$34,0))*I$13,"-")</f>
        <v>72.319999999999993</v>
      </c>
      <c r="J53" s="38">
        <f ca="1">IFERROR(INDEX(JuniorzyNegatyw[],MATCH($A53,Juniorstwo!$A$35:$A$54,0),MATCH($B$2,Juniorstwo!$A$34:$N$34,0))*J$2+INDEX(JuniorzyNegatyw[],MATCH($A53,Juniorstwo!$A$35:$A$54,0),MATCH($B$3,Juniorstwo!$A$34:$N$34,0))*J$3+INDEX(JuniorzyNegatyw[],MATCH($A53,Juniorstwo!$A$35:$A$54,0),MATCH($B$4,Juniorstwo!$A$34:$N$34,0))*J$4+INDEX(JuniorzyNegatyw[],MATCH($A53,Juniorstwo!$A$35:$A$54,0),MATCH($B$5,Juniorstwo!$A$34:$N$34,0))*J$5+INDEX(JuniorzyNegatyw[],MATCH($A53,Juniorstwo!$A$35:$A$54,0),MATCH($B$6,Juniorstwo!$A$34:$N$34,0))*J$6+INDEX(JuniorzyNegatyw[],MATCH($A53,Juniorstwo!$A$35:$A$54,0),MATCH($B$7,Juniorstwo!$A$34:$N$34,0))*J$7+INDEX(JuniorzyNegatyw[],MATCH($A53,Juniorstwo!$A$35:$A$54,0),MATCH($B$8,Juniorstwo!$A$34:$N$34,0))*J$8+INDEX(JuniorzyNegatyw[],MATCH($A53,Juniorstwo!$A$35:$A$54,0),MATCH($B$9,Juniorstwo!$A$34:$N$34,0))*J$9+INDEX(JuniorzyNegatyw[],MATCH($A53,Juniorstwo!$A$35:$A$54,0),MATCH($B$10,Juniorstwo!$A$34:$N$34,0))*J$10+INDEX(JuniorzyNegatyw[],MATCH($A53,Juniorstwo!$A$35:$A$54,0),MATCH($B$11,Juniorstwo!$A$34:$N$34,0))*J$11+INDEX(JuniorzyNegatyw[],MATCH($A53,Juniorstwo!$A$35:$A$54,0),MATCH($B$12,Juniorstwo!$A$34:$N$34,0))*J$12+INDEX(JuniorzyNegatyw[],MATCH($A53,Juniorstwo!$A$35:$A$54,0),MATCH($B$13,Juniorstwo!$A$34:$N$34,0))*J$13,"-")</f>
        <v>72.319999999999993</v>
      </c>
      <c r="K53" s="38">
        <f ca="1">IFERROR(INDEX(JuniorzyNegatyw[],MATCH($A53,Juniorstwo!$A$35:$A$54,0),MATCH($B$2,Juniorstwo!$A$34:$N$34,0))*K$2+INDEX(JuniorzyNegatyw[],MATCH($A53,Juniorstwo!$A$35:$A$54,0),MATCH($B$3,Juniorstwo!$A$34:$N$34,0))*K$3+INDEX(JuniorzyNegatyw[],MATCH($A53,Juniorstwo!$A$35:$A$54,0),MATCH($B$4,Juniorstwo!$A$34:$N$34,0))*K$4+INDEX(JuniorzyNegatyw[],MATCH($A53,Juniorstwo!$A$35:$A$54,0),MATCH($B$5,Juniorstwo!$A$34:$N$34,0))*K$5+INDEX(JuniorzyNegatyw[],MATCH($A53,Juniorstwo!$A$35:$A$54,0),MATCH($B$6,Juniorstwo!$A$34:$N$34,0))*K$6+INDEX(JuniorzyNegatyw[],MATCH($A53,Juniorstwo!$A$35:$A$54,0),MATCH($B$7,Juniorstwo!$A$34:$N$34,0))*K$7+INDEX(JuniorzyNegatyw[],MATCH($A53,Juniorstwo!$A$35:$A$54,0),MATCH($B$8,Juniorstwo!$A$34:$N$34,0))*K$8+INDEX(JuniorzyNegatyw[],MATCH($A53,Juniorstwo!$A$35:$A$54,0),MATCH($B$9,Juniorstwo!$A$34:$N$34,0))*K$9+INDEX(JuniorzyNegatyw[],MATCH($A53,Juniorstwo!$A$35:$A$54,0),MATCH($B$10,Juniorstwo!$A$34:$N$34,0))*K$10+INDEX(JuniorzyNegatyw[],MATCH($A53,Juniorstwo!$A$35:$A$54,0),MATCH($B$11,Juniorstwo!$A$34:$N$34,0))*K$11+INDEX(JuniorzyNegatyw[],MATCH($A53,Juniorstwo!$A$35:$A$54,0),MATCH($B$12,Juniorstwo!$A$34:$N$34,0))*K$12+INDEX(JuniorzyNegatyw[],MATCH($A53,Juniorstwo!$A$35:$A$54,0),MATCH($B$13,Juniorstwo!$A$34:$N$34,0))*K$13,"-")</f>
        <v>70.319999999999993</v>
      </c>
    </row>
    <row r="54" spans="1:11" x14ac:dyDescent="0.25">
      <c r="A54">
        <f>IFERROR(PozJunNŚr[[#This Row],[Numer]],"-")</f>
        <v>52</v>
      </c>
      <c r="B54" s="3" t="str">
        <f>IFERROR(VLOOKUP(PozJunNMG[[#This Row],[Numer]],Zawodnicy[[Number]:[Player name]],2,FALSE),"-")</f>
        <v>Roland Danisiewicz</v>
      </c>
      <c r="C54" s="38">
        <f ca="1">IFERROR(INDEX(JuniorzyNegatyw[],MATCH($A54,Juniorstwo!$A$35:$A$54,0),MATCH($B$2,Juniorstwo!$A$34:$N$34,0))*C$2+INDEX(JuniorzyNegatyw[],MATCH($A54,Juniorstwo!$A$35:$A$54,0),MATCH($B$3,Juniorstwo!$A$34:$N$34,0))*C$3+INDEX(JuniorzyNegatyw[],MATCH($A54,Juniorstwo!$A$35:$A$54,0),MATCH($B$4,Juniorstwo!$A$34:$N$34,0))*C$4+INDEX(JuniorzyNegatyw[],MATCH($A54,Juniorstwo!$A$35:$A$54,0),MATCH($B$5,Juniorstwo!$A$34:$N$34,0))*C$5+INDEX(JuniorzyNegatyw[],MATCH($A54,Juniorstwo!$A$35:$A$54,0),MATCH($B$6,Juniorstwo!$A$34:$N$34,0))*C$6+INDEX(JuniorzyNegatyw[],MATCH($A54,Juniorstwo!$A$35:$A$54,0),MATCH($B$7,Juniorstwo!$A$34:$N$34,0))*C$7+INDEX(JuniorzyNegatyw[],MATCH($A54,Juniorstwo!$A$35:$A$54,0),MATCH($B$8,Juniorstwo!$A$34:$N$34,0))*C$8+INDEX(JuniorzyNegatyw[],MATCH($A54,Juniorstwo!$A$35:$A$54,0),MATCH($B$9,Juniorstwo!$A$34:$N$34,0))*C$9+INDEX(JuniorzyNegatyw[],MATCH($A54,Juniorstwo!$A$35:$A$54,0),MATCH($B$10,Juniorstwo!$A$34:$N$34,0))*C$10+INDEX(JuniorzyNegatyw[],MATCH($A54,Juniorstwo!$A$35:$A$54,0),MATCH($B$11,Juniorstwo!$A$34:$N$34,0))*C$11+INDEX(JuniorzyNegatyw[],MATCH($A54,Juniorstwo!$A$35:$A$54,0),MATCH($B$12,Juniorstwo!$A$34:$N$34,0))*C$12+INDEX(JuniorzyNegatyw[],MATCH($A54,Juniorstwo!$A$35:$A$54,0),MATCH($B$13,Juniorstwo!$A$34:$N$34,0))*C$13,"-")</f>
        <v>60.58</v>
      </c>
      <c r="D54" s="38">
        <f ca="1">IFERROR(INDEX(JuniorzyNegatyw[],MATCH($A54,Juniorstwo!$A$35:$A$54,0),MATCH($B$2,Juniorstwo!$A$34:$N$34,0))*D$2+INDEX(JuniorzyNegatyw[],MATCH($A54,Juniorstwo!$A$35:$A$54,0),MATCH($B$3,Juniorstwo!$A$34:$N$34,0))*D$3+INDEX(JuniorzyNegatyw[],MATCH($A54,Juniorstwo!$A$35:$A$54,0),MATCH($B$4,Juniorstwo!$A$34:$N$34,0))*D$4+INDEX(JuniorzyNegatyw[],MATCH($A54,Juniorstwo!$A$35:$A$54,0),MATCH($B$5,Juniorstwo!$A$34:$N$34,0))*D$5+INDEX(JuniorzyNegatyw[],MATCH($A54,Juniorstwo!$A$35:$A$54,0),MATCH($B$6,Juniorstwo!$A$34:$N$34,0))*D$6+INDEX(JuniorzyNegatyw[],MATCH($A54,Juniorstwo!$A$35:$A$54,0),MATCH($B$7,Juniorstwo!$A$34:$N$34,0))*D$7+INDEX(JuniorzyNegatyw[],MATCH($A54,Juniorstwo!$A$35:$A$54,0),MATCH($B$8,Juniorstwo!$A$34:$N$34,0))*D$8+INDEX(JuniorzyNegatyw[],MATCH($A54,Juniorstwo!$A$35:$A$54,0),MATCH($B$9,Juniorstwo!$A$34:$N$34,0))*D$9+INDEX(JuniorzyNegatyw[],MATCH($A54,Juniorstwo!$A$35:$A$54,0),MATCH($B$10,Juniorstwo!$A$34:$N$34,0))*D$10+INDEX(JuniorzyNegatyw[],MATCH($A54,Juniorstwo!$A$35:$A$54,0),MATCH($B$11,Juniorstwo!$A$34:$N$34,0))*D$11+INDEX(JuniorzyNegatyw[],MATCH($A54,Juniorstwo!$A$35:$A$54,0),MATCH($B$12,Juniorstwo!$A$34:$N$34,0))*D$12+INDEX(JuniorzyNegatyw[],MATCH($A54,Juniorstwo!$A$35:$A$54,0),MATCH($B$13,Juniorstwo!$A$34:$N$34,0))*D$13,"-")</f>
        <v>68.58</v>
      </c>
      <c r="E54" s="38">
        <f ca="1">IFERROR(INDEX(JuniorzyNegatyw[],MATCH($A54,Juniorstwo!$A$35:$A$54,0),MATCH($B$2,Juniorstwo!$A$34:$N$34,0))*E$2+INDEX(JuniorzyNegatyw[],MATCH($A54,Juniorstwo!$A$35:$A$54,0),MATCH($B$3,Juniorstwo!$A$34:$N$34,0))*E$3+INDEX(JuniorzyNegatyw[],MATCH($A54,Juniorstwo!$A$35:$A$54,0),MATCH($B$4,Juniorstwo!$A$34:$N$34,0))*E$4+INDEX(JuniorzyNegatyw[],MATCH($A54,Juniorstwo!$A$35:$A$54,0),MATCH($B$5,Juniorstwo!$A$34:$N$34,0))*E$5+INDEX(JuniorzyNegatyw[],MATCH($A54,Juniorstwo!$A$35:$A$54,0),MATCH($B$6,Juniorstwo!$A$34:$N$34,0))*E$6+INDEX(JuniorzyNegatyw[],MATCH($A54,Juniorstwo!$A$35:$A$54,0),MATCH($B$7,Juniorstwo!$A$34:$N$34,0))*E$7+INDEX(JuniorzyNegatyw[],MATCH($A54,Juniorstwo!$A$35:$A$54,0),MATCH($B$8,Juniorstwo!$A$34:$N$34,0))*E$8+INDEX(JuniorzyNegatyw[],MATCH($A54,Juniorstwo!$A$35:$A$54,0),MATCH($B$9,Juniorstwo!$A$34:$N$34,0))*E$9+INDEX(JuniorzyNegatyw[],MATCH($A54,Juniorstwo!$A$35:$A$54,0),MATCH($B$10,Juniorstwo!$A$34:$N$34,0))*E$10+INDEX(JuniorzyNegatyw[],MATCH($A54,Juniorstwo!$A$35:$A$54,0),MATCH($B$11,Juniorstwo!$A$34:$N$34,0))*E$11+INDEX(JuniorzyNegatyw[],MATCH($A54,Juniorstwo!$A$35:$A$54,0),MATCH($B$12,Juniorstwo!$A$34:$N$34,0))*E$12+INDEX(JuniorzyNegatyw[],MATCH($A54,Juniorstwo!$A$35:$A$54,0),MATCH($B$13,Juniorstwo!$A$34:$N$34,0))*E$13,"-")</f>
        <v>69.08</v>
      </c>
      <c r="F54" s="38">
        <f ca="1">IFERROR(INDEX(JuniorzyNegatyw[],MATCH($A54,Juniorstwo!$A$35:$A$54,0),MATCH($B$2,Juniorstwo!$A$34:$N$34,0))*F$2+INDEX(JuniorzyNegatyw[],MATCH($A54,Juniorstwo!$A$35:$A$54,0),MATCH($B$3,Juniorstwo!$A$34:$N$34,0))*F$3+INDEX(JuniorzyNegatyw[],MATCH($A54,Juniorstwo!$A$35:$A$54,0),MATCH($B$4,Juniorstwo!$A$34:$N$34,0))*F$4+INDEX(JuniorzyNegatyw[],MATCH($A54,Juniorstwo!$A$35:$A$54,0),MATCH($B$5,Juniorstwo!$A$34:$N$34,0))*F$5+INDEX(JuniorzyNegatyw[],MATCH($A54,Juniorstwo!$A$35:$A$54,0),MATCH($B$6,Juniorstwo!$A$34:$N$34,0))*F$6+INDEX(JuniorzyNegatyw[],MATCH($A54,Juniorstwo!$A$35:$A$54,0),MATCH($B$7,Juniorstwo!$A$34:$N$34,0))*F$7+INDEX(JuniorzyNegatyw[],MATCH($A54,Juniorstwo!$A$35:$A$54,0),MATCH($B$8,Juniorstwo!$A$34:$N$34,0))*F$8+INDEX(JuniorzyNegatyw[],MATCH($A54,Juniorstwo!$A$35:$A$54,0),MATCH($B$9,Juniorstwo!$A$34:$N$34,0))*F$9+INDEX(JuniorzyNegatyw[],MATCH($A54,Juniorstwo!$A$35:$A$54,0),MATCH($B$10,Juniorstwo!$A$34:$N$34,0))*F$10+INDEX(JuniorzyNegatyw[],MATCH($A54,Juniorstwo!$A$35:$A$54,0),MATCH($B$11,Juniorstwo!$A$34:$N$34,0))*F$11+INDEX(JuniorzyNegatyw[],MATCH($A54,Juniorstwo!$A$35:$A$54,0),MATCH($B$12,Juniorstwo!$A$34:$N$34,0))*F$12+INDEX(JuniorzyNegatyw[],MATCH($A54,Juniorstwo!$A$35:$A$54,0),MATCH($B$13,Juniorstwo!$A$34:$N$34,0))*F$13,"-")</f>
        <v>70.08</v>
      </c>
      <c r="G54" s="38">
        <f ca="1">IFERROR(INDEX(JuniorzyNegatyw[],MATCH($A54,Juniorstwo!$A$35:$A$54,0),MATCH($B$2,Juniorstwo!$A$34:$N$34,0))*G$2+INDEX(JuniorzyNegatyw[],MATCH($A54,Juniorstwo!$A$35:$A$54,0),MATCH($B$3,Juniorstwo!$A$34:$N$34,0))*G$3+INDEX(JuniorzyNegatyw[],MATCH($A54,Juniorstwo!$A$35:$A$54,0),MATCH($B$4,Juniorstwo!$A$34:$N$34,0))*G$4+INDEX(JuniorzyNegatyw[],MATCH($A54,Juniorstwo!$A$35:$A$54,0),MATCH($B$5,Juniorstwo!$A$34:$N$34,0))*G$5+INDEX(JuniorzyNegatyw[],MATCH($A54,Juniorstwo!$A$35:$A$54,0),MATCH($B$6,Juniorstwo!$A$34:$N$34,0))*G$6+INDEX(JuniorzyNegatyw[],MATCH($A54,Juniorstwo!$A$35:$A$54,0),MATCH($B$7,Juniorstwo!$A$34:$N$34,0))*G$7+INDEX(JuniorzyNegatyw[],MATCH($A54,Juniorstwo!$A$35:$A$54,0),MATCH($B$8,Juniorstwo!$A$34:$N$34,0))*G$8+INDEX(JuniorzyNegatyw[],MATCH($A54,Juniorstwo!$A$35:$A$54,0),MATCH($B$9,Juniorstwo!$A$34:$N$34,0))*G$9+INDEX(JuniorzyNegatyw[],MATCH($A54,Juniorstwo!$A$35:$A$54,0),MATCH($B$10,Juniorstwo!$A$34:$N$34,0))*G$10+INDEX(JuniorzyNegatyw[],MATCH($A54,Juniorstwo!$A$35:$A$54,0),MATCH($B$11,Juniorstwo!$A$34:$N$34,0))*G$11+INDEX(JuniorzyNegatyw[],MATCH($A54,Juniorstwo!$A$35:$A$54,0),MATCH($B$12,Juniorstwo!$A$34:$N$34,0))*G$12+INDEX(JuniorzyNegatyw[],MATCH($A54,Juniorstwo!$A$35:$A$54,0),MATCH($B$13,Juniorstwo!$A$34:$N$34,0))*G$13,"-")</f>
        <v>70.58</v>
      </c>
      <c r="H54" s="38">
        <f ca="1">IFERROR(INDEX(JuniorzyNegatyw[],MATCH($A54,Juniorstwo!$A$35:$A$54,0),MATCH($B$2,Juniorstwo!$A$34:$N$34,0))*H$2+INDEX(JuniorzyNegatyw[],MATCH($A54,Juniorstwo!$A$35:$A$54,0),MATCH($B$3,Juniorstwo!$A$34:$N$34,0))*H$3+INDEX(JuniorzyNegatyw[],MATCH($A54,Juniorstwo!$A$35:$A$54,0),MATCH($B$4,Juniorstwo!$A$34:$N$34,0))*H$4+INDEX(JuniorzyNegatyw[],MATCH($A54,Juniorstwo!$A$35:$A$54,0),MATCH($B$5,Juniorstwo!$A$34:$N$34,0))*H$5+INDEX(JuniorzyNegatyw[],MATCH($A54,Juniorstwo!$A$35:$A$54,0),MATCH($B$6,Juniorstwo!$A$34:$N$34,0))*H$6+INDEX(JuniorzyNegatyw[],MATCH($A54,Juniorstwo!$A$35:$A$54,0),MATCH($B$7,Juniorstwo!$A$34:$N$34,0))*H$7+INDEX(JuniorzyNegatyw[],MATCH($A54,Juniorstwo!$A$35:$A$54,0),MATCH($B$8,Juniorstwo!$A$34:$N$34,0))*H$8+INDEX(JuniorzyNegatyw[],MATCH($A54,Juniorstwo!$A$35:$A$54,0),MATCH($B$9,Juniorstwo!$A$34:$N$34,0))*H$9+INDEX(JuniorzyNegatyw[],MATCH($A54,Juniorstwo!$A$35:$A$54,0),MATCH($B$10,Juniorstwo!$A$34:$N$34,0))*H$10+INDEX(JuniorzyNegatyw[],MATCH($A54,Juniorstwo!$A$35:$A$54,0),MATCH($B$11,Juniorstwo!$A$34:$N$34,0))*H$11+INDEX(JuniorzyNegatyw[],MATCH($A54,Juniorstwo!$A$35:$A$54,0),MATCH($B$12,Juniorstwo!$A$34:$N$34,0))*H$12+INDEX(JuniorzyNegatyw[],MATCH($A54,Juniorstwo!$A$35:$A$54,0),MATCH($B$13,Juniorstwo!$A$34:$N$34,0))*H$13,"-")</f>
        <v>71.08</v>
      </c>
      <c r="I54" s="38">
        <f ca="1">IFERROR(INDEX(JuniorzyNegatyw[],MATCH($A54,Juniorstwo!$A$35:$A$54,0),MATCH($B$2,Juniorstwo!$A$34:$N$34,0))*I$2+INDEX(JuniorzyNegatyw[],MATCH($A54,Juniorstwo!$A$35:$A$54,0),MATCH($B$3,Juniorstwo!$A$34:$N$34,0))*I$3+INDEX(JuniorzyNegatyw[],MATCH($A54,Juniorstwo!$A$35:$A$54,0),MATCH($B$4,Juniorstwo!$A$34:$N$34,0))*I$4+INDEX(JuniorzyNegatyw[],MATCH($A54,Juniorstwo!$A$35:$A$54,0),MATCH($B$5,Juniorstwo!$A$34:$N$34,0))*I$5+INDEX(JuniorzyNegatyw[],MATCH($A54,Juniorstwo!$A$35:$A$54,0),MATCH($B$6,Juniorstwo!$A$34:$N$34,0))*I$6+INDEX(JuniorzyNegatyw[],MATCH($A54,Juniorstwo!$A$35:$A$54,0),MATCH($B$7,Juniorstwo!$A$34:$N$34,0))*I$7+INDEX(JuniorzyNegatyw[],MATCH($A54,Juniorstwo!$A$35:$A$54,0),MATCH($B$8,Juniorstwo!$A$34:$N$34,0))*I$8+INDEX(JuniorzyNegatyw[],MATCH($A54,Juniorstwo!$A$35:$A$54,0),MATCH($B$9,Juniorstwo!$A$34:$N$34,0))*I$9+INDEX(JuniorzyNegatyw[],MATCH($A54,Juniorstwo!$A$35:$A$54,0),MATCH($B$10,Juniorstwo!$A$34:$N$34,0))*I$10+INDEX(JuniorzyNegatyw[],MATCH($A54,Juniorstwo!$A$35:$A$54,0),MATCH($B$11,Juniorstwo!$A$34:$N$34,0))*I$11+INDEX(JuniorzyNegatyw[],MATCH($A54,Juniorstwo!$A$35:$A$54,0),MATCH($B$12,Juniorstwo!$A$34:$N$34,0))*I$12+INDEX(JuniorzyNegatyw[],MATCH($A54,Juniorstwo!$A$35:$A$54,0),MATCH($B$13,Juniorstwo!$A$34:$N$34,0))*I$13,"-")</f>
        <v>72.33</v>
      </c>
      <c r="J54" s="38">
        <f ca="1">IFERROR(INDEX(JuniorzyNegatyw[],MATCH($A54,Juniorstwo!$A$35:$A$54,0),MATCH($B$2,Juniorstwo!$A$34:$N$34,0))*J$2+INDEX(JuniorzyNegatyw[],MATCH($A54,Juniorstwo!$A$35:$A$54,0),MATCH($B$3,Juniorstwo!$A$34:$N$34,0))*J$3+INDEX(JuniorzyNegatyw[],MATCH($A54,Juniorstwo!$A$35:$A$54,0),MATCH($B$4,Juniorstwo!$A$34:$N$34,0))*J$4+INDEX(JuniorzyNegatyw[],MATCH($A54,Juniorstwo!$A$35:$A$54,0),MATCH($B$5,Juniorstwo!$A$34:$N$34,0))*J$5+INDEX(JuniorzyNegatyw[],MATCH($A54,Juniorstwo!$A$35:$A$54,0),MATCH($B$6,Juniorstwo!$A$34:$N$34,0))*J$6+INDEX(JuniorzyNegatyw[],MATCH($A54,Juniorstwo!$A$35:$A$54,0),MATCH($B$7,Juniorstwo!$A$34:$N$34,0))*J$7+INDEX(JuniorzyNegatyw[],MATCH($A54,Juniorstwo!$A$35:$A$54,0),MATCH($B$8,Juniorstwo!$A$34:$N$34,0))*J$8+INDEX(JuniorzyNegatyw[],MATCH($A54,Juniorstwo!$A$35:$A$54,0),MATCH($B$9,Juniorstwo!$A$34:$N$34,0))*J$9+INDEX(JuniorzyNegatyw[],MATCH($A54,Juniorstwo!$A$35:$A$54,0),MATCH($B$10,Juniorstwo!$A$34:$N$34,0))*J$10+INDEX(JuniorzyNegatyw[],MATCH($A54,Juniorstwo!$A$35:$A$54,0),MATCH($B$11,Juniorstwo!$A$34:$N$34,0))*J$11+INDEX(JuniorzyNegatyw[],MATCH($A54,Juniorstwo!$A$35:$A$54,0),MATCH($B$12,Juniorstwo!$A$34:$N$34,0))*J$12+INDEX(JuniorzyNegatyw[],MATCH($A54,Juniorstwo!$A$35:$A$54,0),MATCH($B$13,Juniorstwo!$A$34:$N$34,0))*J$13,"-")</f>
        <v>72.33</v>
      </c>
      <c r="K54" s="38">
        <f ca="1">IFERROR(INDEX(JuniorzyNegatyw[],MATCH($A54,Juniorstwo!$A$35:$A$54,0),MATCH($B$2,Juniorstwo!$A$34:$N$34,0))*K$2+INDEX(JuniorzyNegatyw[],MATCH($A54,Juniorstwo!$A$35:$A$54,0),MATCH($B$3,Juniorstwo!$A$34:$N$34,0))*K$3+INDEX(JuniorzyNegatyw[],MATCH($A54,Juniorstwo!$A$35:$A$54,0),MATCH($B$4,Juniorstwo!$A$34:$N$34,0))*K$4+INDEX(JuniorzyNegatyw[],MATCH($A54,Juniorstwo!$A$35:$A$54,0),MATCH($B$5,Juniorstwo!$A$34:$N$34,0))*K$5+INDEX(JuniorzyNegatyw[],MATCH($A54,Juniorstwo!$A$35:$A$54,0),MATCH($B$6,Juniorstwo!$A$34:$N$34,0))*K$6+INDEX(JuniorzyNegatyw[],MATCH($A54,Juniorstwo!$A$35:$A$54,0),MATCH($B$7,Juniorstwo!$A$34:$N$34,0))*K$7+INDEX(JuniorzyNegatyw[],MATCH($A54,Juniorstwo!$A$35:$A$54,0),MATCH($B$8,Juniorstwo!$A$34:$N$34,0))*K$8+INDEX(JuniorzyNegatyw[],MATCH($A54,Juniorstwo!$A$35:$A$54,0),MATCH($B$9,Juniorstwo!$A$34:$N$34,0))*K$9+INDEX(JuniorzyNegatyw[],MATCH($A54,Juniorstwo!$A$35:$A$54,0),MATCH($B$10,Juniorstwo!$A$34:$N$34,0))*K$10+INDEX(JuniorzyNegatyw[],MATCH($A54,Juniorstwo!$A$35:$A$54,0),MATCH($B$11,Juniorstwo!$A$34:$N$34,0))*K$11+INDEX(JuniorzyNegatyw[],MATCH($A54,Juniorstwo!$A$35:$A$54,0),MATCH($B$12,Juniorstwo!$A$34:$N$34,0))*K$12+INDEX(JuniorzyNegatyw[],MATCH($A54,Juniorstwo!$A$35:$A$54,0),MATCH($B$13,Juniorstwo!$A$34:$N$34,0))*K$13,"-")</f>
        <v>74.33</v>
      </c>
    </row>
    <row r="55" spans="1:11" x14ac:dyDescent="0.25">
      <c r="A55">
        <f>IFERROR(PozJunNŚr[[#This Row],[Numer]],"-")</f>
        <v>53</v>
      </c>
      <c r="B55" s="3" t="str">
        <f>IFERROR(VLOOKUP(PozJunNMG[[#This Row],[Numer]],Zawodnicy[[Number]:[Player name]],2,FALSE),"-")</f>
        <v>Cyryl Huratiak</v>
      </c>
      <c r="C55" s="38">
        <f ca="1">IFERROR(INDEX(JuniorzyNegatyw[],MATCH($A55,Juniorstwo!$A$35:$A$54,0),MATCH($B$2,Juniorstwo!$A$34:$N$34,0))*C$2+INDEX(JuniorzyNegatyw[],MATCH($A55,Juniorstwo!$A$35:$A$54,0),MATCH($B$3,Juniorstwo!$A$34:$N$34,0))*C$3+INDEX(JuniorzyNegatyw[],MATCH($A55,Juniorstwo!$A$35:$A$54,0),MATCH($B$4,Juniorstwo!$A$34:$N$34,0))*C$4+INDEX(JuniorzyNegatyw[],MATCH($A55,Juniorstwo!$A$35:$A$54,0),MATCH($B$5,Juniorstwo!$A$34:$N$34,0))*C$5+INDEX(JuniorzyNegatyw[],MATCH($A55,Juniorstwo!$A$35:$A$54,0),MATCH($B$6,Juniorstwo!$A$34:$N$34,0))*C$6+INDEX(JuniorzyNegatyw[],MATCH($A55,Juniorstwo!$A$35:$A$54,0),MATCH($B$7,Juniorstwo!$A$34:$N$34,0))*C$7+INDEX(JuniorzyNegatyw[],MATCH($A55,Juniorstwo!$A$35:$A$54,0),MATCH($B$8,Juniorstwo!$A$34:$N$34,0))*C$8+INDEX(JuniorzyNegatyw[],MATCH($A55,Juniorstwo!$A$35:$A$54,0),MATCH($B$9,Juniorstwo!$A$34:$N$34,0))*C$9+INDEX(JuniorzyNegatyw[],MATCH($A55,Juniorstwo!$A$35:$A$54,0),MATCH($B$10,Juniorstwo!$A$34:$N$34,0))*C$10+INDEX(JuniorzyNegatyw[],MATCH($A55,Juniorstwo!$A$35:$A$54,0),MATCH($B$11,Juniorstwo!$A$34:$N$34,0))*C$11+INDEX(JuniorzyNegatyw[],MATCH($A55,Juniorstwo!$A$35:$A$54,0),MATCH($B$12,Juniorstwo!$A$34:$N$34,0))*C$12+INDEX(JuniorzyNegatyw[],MATCH($A55,Juniorstwo!$A$35:$A$54,0),MATCH($B$13,Juniorstwo!$A$34:$N$34,0))*C$13,"-")</f>
        <v>66.569999999999993</v>
      </c>
      <c r="D55" s="38">
        <f ca="1">IFERROR(INDEX(JuniorzyNegatyw[],MATCH($A55,Juniorstwo!$A$35:$A$54,0),MATCH($B$2,Juniorstwo!$A$34:$N$34,0))*D$2+INDEX(JuniorzyNegatyw[],MATCH($A55,Juniorstwo!$A$35:$A$54,0),MATCH($B$3,Juniorstwo!$A$34:$N$34,0))*D$3+INDEX(JuniorzyNegatyw[],MATCH($A55,Juniorstwo!$A$35:$A$54,0),MATCH($B$4,Juniorstwo!$A$34:$N$34,0))*D$4+INDEX(JuniorzyNegatyw[],MATCH($A55,Juniorstwo!$A$35:$A$54,0),MATCH($B$5,Juniorstwo!$A$34:$N$34,0))*D$5+INDEX(JuniorzyNegatyw[],MATCH($A55,Juniorstwo!$A$35:$A$54,0),MATCH($B$6,Juniorstwo!$A$34:$N$34,0))*D$6+INDEX(JuniorzyNegatyw[],MATCH($A55,Juniorstwo!$A$35:$A$54,0),MATCH($B$7,Juniorstwo!$A$34:$N$34,0))*D$7+INDEX(JuniorzyNegatyw[],MATCH($A55,Juniorstwo!$A$35:$A$54,0),MATCH($B$8,Juniorstwo!$A$34:$N$34,0))*D$8+INDEX(JuniorzyNegatyw[],MATCH($A55,Juniorstwo!$A$35:$A$54,0),MATCH($B$9,Juniorstwo!$A$34:$N$34,0))*D$9+INDEX(JuniorzyNegatyw[],MATCH($A55,Juniorstwo!$A$35:$A$54,0),MATCH($B$10,Juniorstwo!$A$34:$N$34,0))*D$10+INDEX(JuniorzyNegatyw[],MATCH($A55,Juniorstwo!$A$35:$A$54,0),MATCH($B$11,Juniorstwo!$A$34:$N$34,0))*D$11+INDEX(JuniorzyNegatyw[],MATCH($A55,Juniorstwo!$A$35:$A$54,0),MATCH($B$12,Juniorstwo!$A$34:$N$34,0))*D$12+INDEX(JuniorzyNegatyw[],MATCH($A55,Juniorstwo!$A$35:$A$54,0),MATCH($B$13,Juniorstwo!$A$34:$N$34,0))*D$13,"-")</f>
        <v>74.069999999999993</v>
      </c>
      <c r="E55" s="38">
        <f ca="1">IFERROR(INDEX(JuniorzyNegatyw[],MATCH($A55,Juniorstwo!$A$35:$A$54,0),MATCH($B$2,Juniorstwo!$A$34:$N$34,0))*E$2+INDEX(JuniorzyNegatyw[],MATCH($A55,Juniorstwo!$A$35:$A$54,0),MATCH($B$3,Juniorstwo!$A$34:$N$34,0))*E$3+INDEX(JuniorzyNegatyw[],MATCH($A55,Juniorstwo!$A$35:$A$54,0),MATCH($B$4,Juniorstwo!$A$34:$N$34,0))*E$4+INDEX(JuniorzyNegatyw[],MATCH($A55,Juniorstwo!$A$35:$A$54,0),MATCH($B$5,Juniorstwo!$A$34:$N$34,0))*E$5+INDEX(JuniorzyNegatyw[],MATCH($A55,Juniorstwo!$A$35:$A$54,0),MATCH($B$6,Juniorstwo!$A$34:$N$34,0))*E$6+INDEX(JuniorzyNegatyw[],MATCH($A55,Juniorstwo!$A$35:$A$54,0),MATCH($B$7,Juniorstwo!$A$34:$N$34,0))*E$7+INDEX(JuniorzyNegatyw[],MATCH($A55,Juniorstwo!$A$35:$A$54,0),MATCH($B$8,Juniorstwo!$A$34:$N$34,0))*E$8+INDEX(JuniorzyNegatyw[],MATCH($A55,Juniorstwo!$A$35:$A$54,0),MATCH($B$9,Juniorstwo!$A$34:$N$34,0))*E$9+INDEX(JuniorzyNegatyw[],MATCH($A55,Juniorstwo!$A$35:$A$54,0),MATCH($B$10,Juniorstwo!$A$34:$N$34,0))*E$10+INDEX(JuniorzyNegatyw[],MATCH($A55,Juniorstwo!$A$35:$A$54,0),MATCH($B$11,Juniorstwo!$A$34:$N$34,0))*E$11+INDEX(JuniorzyNegatyw[],MATCH($A55,Juniorstwo!$A$35:$A$54,0),MATCH($B$12,Juniorstwo!$A$34:$N$34,0))*E$12+INDEX(JuniorzyNegatyw[],MATCH($A55,Juniorstwo!$A$35:$A$54,0),MATCH($B$13,Juniorstwo!$A$34:$N$34,0))*E$13,"-")</f>
        <v>73.319999999999993</v>
      </c>
      <c r="F55" s="38">
        <f ca="1">IFERROR(INDEX(JuniorzyNegatyw[],MATCH($A55,Juniorstwo!$A$35:$A$54,0),MATCH($B$2,Juniorstwo!$A$34:$N$34,0))*F$2+INDEX(JuniorzyNegatyw[],MATCH($A55,Juniorstwo!$A$35:$A$54,0),MATCH($B$3,Juniorstwo!$A$34:$N$34,0))*F$3+INDEX(JuniorzyNegatyw[],MATCH($A55,Juniorstwo!$A$35:$A$54,0),MATCH($B$4,Juniorstwo!$A$34:$N$34,0))*F$4+INDEX(JuniorzyNegatyw[],MATCH($A55,Juniorstwo!$A$35:$A$54,0),MATCH($B$5,Juniorstwo!$A$34:$N$34,0))*F$5+INDEX(JuniorzyNegatyw[],MATCH($A55,Juniorstwo!$A$35:$A$54,0),MATCH($B$6,Juniorstwo!$A$34:$N$34,0))*F$6+INDEX(JuniorzyNegatyw[],MATCH($A55,Juniorstwo!$A$35:$A$54,0),MATCH($B$7,Juniorstwo!$A$34:$N$34,0))*F$7+INDEX(JuniorzyNegatyw[],MATCH($A55,Juniorstwo!$A$35:$A$54,0),MATCH($B$8,Juniorstwo!$A$34:$N$34,0))*F$8+INDEX(JuniorzyNegatyw[],MATCH($A55,Juniorstwo!$A$35:$A$54,0),MATCH($B$9,Juniorstwo!$A$34:$N$34,0))*F$9+INDEX(JuniorzyNegatyw[],MATCH($A55,Juniorstwo!$A$35:$A$54,0),MATCH($B$10,Juniorstwo!$A$34:$N$34,0))*F$10+INDEX(JuniorzyNegatyw[],MATCH($A55,Juniorstwo!$A$35:$A$54,0),MATCH($B$11,Juniorstwo!$A$34:$N$34,0))*F$11+INDEX(JuniorzyNegatyw[],MATCH($A55,Juniorstwo!$A$35:$A$54,0),MATCH($B$12,Juniorstwo!$A$34:$N$34,0))*F$12+INDEX(JuniorzyNegatyw[],MATCH($A55,Juniorstwo!$A$35:$A$54,0),MATCH($B$13,Juniorstwo!$A$34:$N$34,0))*F$13,"-")</f>
        <v>73.069999999999993</v>
      </c>
      <c r="G55" s="38">
        <f ca="1">IFERROR(INDEX(JuniorzyNegatyw[],MATCH($A55,Juniorstwo!$A$35:$A$54,0),MATCH($B$2,Juniorstwo!$A$34:$N$34,0))*G$2+INDEX(JuniorzyNegatyw[],MATCH($A55,Juniorstwo!$A$35:$A$54,0),MATCH($B$3,Juniorstwo!$A$34:$N$34,0))*G$3+INDEX(JuniorzyNegatyw[],MATCH($A55,Juniorstwo!$A$35:$A$54,0),MATCH($B$4,Juniorstwo!$A$34:$N$34,0))*G$4+INDEX(JuniorzyNegatyw[],MATCH($A55,Juniorstwo!$A$35:$A$54,0),MATCH($B$5,Juniorstwo!$A$34:$N$34,0))*G$5+INDEX(JuniorzyNegatyw[],MATCH($A55,Juniorstwo!$A$35:$A$54,0),MATCH($B$6,Juniorstwo!$A$34:$N$34,0))*G$6+INDEX(JuniorzyNegatyw[],MATCH($A55,Juniorstwo!$A$35:$A$54,0),MATCH($B$7,Juniorstwo!$A$34:$N$34,0))*G$7+INDEX(JuniorzyNegatyw[],MATCH($A55,Juniorstwo!$A$35:$A$54,0),MATCH($B$8,Juniorstwo!$A$34:$N$34,0))*G$8+INDEX(JuniorzyNegatyw[],MATCH($A55,Juniorstwo!$A$35:$A$54,0),MATCH($B$9,Juniorstwo!$A$34:$N$34,0))*G$9+INDEX(JuniorzyNegatyw[],MATCH($A55,Juniorstwo!$A$35:$A$54,0),MATCH($B$10,Juniorstwo!$A$34:$N$34,0))*G$10+INDEX(JuniorzyNegatyw[],MATCH($A55,Juniorstwo!$A$35:$A$54,0),MATCH($B$11,Juniorstwo!$A$34:$N$34,0))*G$11+INDEX(JuniorzyNegatyw[],MATCH($A55,Juniorstwo!$A$35:$A$54,0),MATCH($B$12,Juniorstwo!$A$34:$N$34,0))*G$12+INDEX(JuniorzyNegatyw[],MATCH($A55,Juniorstwo!$A$35:$A$54,0),MATCH($B$13,Juniorstwo!$A$34:$N$34,0))*G$13,"-")</f>
        <v>72.569999999999993</v>
      </c>
      <c r="H55" s="38">
        <f ca="1">IFERROR(INDEX(JuniorzyNegatyw[],MATCH($A55,Juniorstwo!$A$35:$A$54,0),MATCH($B$2,Juniorstwo!$A$34:$N$34,0))*H$2+INDEX(JuniorzyNegatyw[],MATCH($A55,Juniorstwo!$A$35:$A$54,0),MATCH($B$3,Juniorstwo!$A$34:$N$34,0))*H$3+INDEX(JuniorzyNegatyw[],MATCH($A55,Juniorstwo!$A$35:$A$54,0),MATCH($B$4,Juniorstwo!$A$34:$N$34,0))*H$4+INDEX(JuniorzyNegatyw[],MATCH($A55,Juniorstwo!$A$35:$A$54,0),MATCH($B$5,Juniorstwo!$A$34:$N$34,0))*H$5+INDEX(JuniorzyNegatyw[],MATCH($A55,Juniorstwo!$A$35:$A$54,0),MATCH($B$6,Juniorstwo!$A$34:$N$34,0))*H$6+INDEX(JuniorzyNegatyw[],MATCH($A55,Juniorstwo!$A$35:$A$54,0),MATCH($B$7,Juniorstwo!$A$34:$N$34,0))*H$7+INDEX(JuniorzyNegatyw[],MATCH($A55,Juniorstwo!$A$35:$A$54,0),MATCH($B$8,Juniorstwo!$A$34:$N$34,0))*H$8+INDEX(JuniorzyNegatyw[],MATCH($A55,Juniorstwo!$A$35:$A$54,0),MATCH($B$9,Juniorstwo!$A$34:$N$34,0))*H$9+INDEX(JuniorzyNegatyw[],MATCH($A55,Juniorstwo!$A$35:$A$54,0),MATCH($B$10,Juniorstwo!$A$34:$N$34,0))*H$10+INDEX(JuniorzyNegatyw[],MATCH($A55,Juniorstwo!$A$35:$A$54,0),MATCH($B$11,Juniorstwo!$A$34:$N$34,0))*H$11+INDEX(JuniorzyNegatyw[],MATCH($A55,Juniorstwo!$A$35:$A$54,0),MATCH($B$12,Juniorstwo!$A$34:$N$34,0))*H$12+INDEX(JuniorzyNegatyw[],MATCH($A55,Juniorstwo!$A$35:$A$54,0),MATCH($B$13,Juniorstwo!$A$34:$N$34,0))*H$13,"-")</f>
        <v>71.819999999999993</v>
      </c>
      <c r="I55" s="38">
        <f ca="1">IFERROR(INDEX(JuniorzyNegatyw[],MATCH($A55,Juniorstwo!$A$35:$A$54,0),MATCH($B$2,Juniorstwo!$A$34:$N$34,0))*I$2+INDEX(JuniorzyNegatyw[],MATCH($A55,Juniorstwo!$A$35:$A$54,0),MATCH($B$3,Juniorstwo!$A$34:$N$34,0))*I$3+INDEX(JuniorzyNegatyw[],MATCH($A55,Juniorstwo!$A$35:$A$54,0),MATCH($B$4,Juniorstwo!$A$34:$N$34,0))*I$4+INDEX(JuniorzyNegatyw[],MATCH($A55,Juniorstwo!$A$35:$A$54,0),MATCH($B$5,Juniorstwo!$A$34:$N$34,0))*I$5+INDEX(JuniorzyNegatyw[],MATCH($A55,Juniorstwo!$A$35:$A$54,0),MATCH($B$6,Juniorstwo!$A$34:$N$34,0))*I$6+INDEX(JuniorzyNegatyw[],MATCH($A55,Juniorstwo!$A$35:$A$54,0),MATCH($B$7,Juniorstwo!$A$34:$N$34,0))*I$7+INDEX(JuniorzyNegatyw[],MATCH($A55,Juniorstwo!$A$35:$A$54,0),MATCH($B$8,Juniorstwo!$A$34:$N$34,0))*I$8+INDEX(JuniorzyNegatyw[],MATCH($A55,Juniorstwo!$A$35:$A$54,0),MATCH($B$9,Juniorstwo!$A$34:$N$34,0))*I$9+INDEX(JuniorzyNegatyw[],MATCH($A55,Juniorstwo!$A$35:$A$54,0),MATCH($B$10,Juniorstwo!$A$34:$N$34,0))*I$10+INDEX(JuniorzyNegatyw[],MATCH($A55,Juniorstwo!$A$35:$A$54,0),MATCH($B$11,Juniorstwo!$A$34:$N$34,0))*I$11+INDEX(JuniorzyNegatyw[],MATCH($A55,Juniorstwo!$A$35:$A$54,0),MATCH($B$12,Juniorstwo!$A$34:$N$34,0))*I$12+INDEX(JuniorzyNegatyw[],MATCH($A55,Juniorstwo!$A$35:$A$54,0),MATCH($B$13,Juniorstwo!$A$34:$N$34,0))*I$13,"-")</f>
        <v>70.569999999999993</v>
      </c>
      <c r="J55" s="38">
        <f ca="1">IFERROR(INDEX(JuniorzyNegatyw[],MATCH($A55,Juniorstwo!$A$35:$A$54,0),MATCH($B$2,Juniorstwo!$A$34:$N$34,0))*J$2+INDEX(JuniorzyNegatyw[],MATCH($A55,Juniorstwo!$A$35:$A$54,0),MATCH($B$3,Juniorstwo!$A$34:$N$34,0))*J$3+INDEX(JuniorzyNegatyw[],MATCH($A55,Juniorstwo!$A$35:$A$54,0),MATCH($B$4,Juniorstwo!$A$34:$N$34,0))*J$4+INDEX(JuniorzyNegatyw[],MATCH($A55,Juniorstwo!$A$35:$A$54,0),MATCH($B$5,Juniorstwo!$A$34:$N$34,0))*J$5+INDEX(JuniorzyNegatyw[],MATCH($A55,Juniorstwo!$A$35:$A$54,0),MATCH($B$6,Juniorstwo!$A$34:$N$34,0))*J$6+INDEX(JuniorzyNegatyw[],MATCH($A55,Juniorstwo!$A$35:$A$54,0),MATCH($B$7,Juniorstwo!$A$34:$N$34,0))*J$7+INDEX(JuniorzyNegatyw[],MATCH($A55,Juniorstwo!$A$35:$A$54,0),MATCH($B$8,Juniorstwo!$A$34:$N$34,0))*J$8+INDEX(JuniorzyNegatyw[],MATCH($A55,Juniorstwo!$A$35:$A$54,0),MATCH($B$9,Juniorstwo!$A$34:$N$34,0))*J$9+INDEX(JuniorzyNegatyw[],MATCH($A55,Juniorstwo!$A$35:$A$54,0),MATCH($B$10,Juniorstwo!$A$34:$N$34,0))*J$10+INDEX(JuniorzyNegatyw[],MATCH($A55,Juniorstwo!$A$35:$A$54,0),MATCH($B$11,Juniorstwo!$A$34:$N$34,0))*J$11+INDEX(JuniorzyNegatyw[],MATCH($A55,Juniorstwo!$A$35:$A$54,0),MATCH($B$12,Juniorstwo!$A$34:$N$34,0))*J$12+INDEX(JuniorzyNegatyw[],MATCH($A55,Juniorstwo!$A$35:$A$54,0),MATCH($B$13,Juniorstwo!$A$34:$N$34,0))*J$13,"-")</f>
        <v>70.319999999999993</v>
      </c>
      <c r="K55" s="38">
        <f ca="1">IFERROR(INDEX(JuniorzyNegatyw[],MATCH($A55,Juniorstwo!$A$35:$A$54,0),MATCH($B$2,Juniorstwo!$A$34:$N$34,0))*K$2+INDEX(JuniorzyNegatyw[],MATCH($A55,Juniorstwo!$A$35:$A$54,0),MATCH($B$3,Juniorstwo!$A$34:$N$34,0))*K$3+INDEX(JuniorzyNegatyw[],MATCH($A55,Juniorstwo!$A$35:$A$54,0),MATCH($B$4,Juniorstwo!$A$34:$N$34,0))*K$4+INDEX(JuniorzyNegatyw[],MATCH($A55,Juniorstwo!$A$35:$A$54,0),MATCH($B$5,Juniorstwo!$A$34:$N$34,0))*K$5+INDEX(JuniorzyNegatyw[],MATCH($A55,Juniorstwo!$A$35:$A$54,0),MATCH($B$6,Juniorstwo!$A$34:$N$34,0))*K$6+INDEX(JuniorzyNegatyw[],MATCH($A55,Juniorstwo!$A$35:$A$54,0),MATCH($B$7,Juniorstwo!$A$34:$N$34,0))*K$7+INDEX(JuniorzyNegatyw[],MATCH($A55,Juniorstwo!$A$35:$A$54,0),MATCH($B$8,Juniorstwo!$A$34:$N$34,0))*K$8+INDEX(JuniorzyNegatyw[],MATCH($A55,Juniorstwo!$A$35:$A$54,0),MATCH($B$9,Juniorstwo!$A$34:$N$34,0))*K$9+INDEX(JuniorzyNegatyw[],MATCH($A55,Juniorstwo!$A$35:$A$54,0),MATCH($B$10,Juniorstwo!$A$34:$N$34,0))*K$10+INDEX(JuniorzyNegatyw[],MATCH($A55,Juniorstwo!$A$35:$A$54,0),MATCH($B$11,Juniorstwo!$A$34:$N$34,0))*K$11+INDEX(JuniorzyNegatyw[],MATCH($A55,Juniorstwo!$A$35:$A$54,0),MATCH($B$12,Juniorstwo!$A$34:$N$34,0))*K$12+INDEX(JuniorzyNegatyw[],MATCH($A55,Juniorstwo!$A$35:$A$54,0),MATCH($B$13,Juniorstwo!$A$34:$N$34,0))*K$13,"-")</f>
        <v>67.819999999999993</v>
      </c>
    </row>
    <row r="56" spans="1:11" x14ac:dyDescent="0.25">
      <c r="A56">
        <f>IFERROR(PozJunNŚr[[#This Row],[Numer]],"-")</f>
        <v>22</v>
      </c>
      <c r="B56" s="3" t="str">
        <f>IFERROR(VLOOKUP(PozJunNMG[[#This Row],[Numer]],Zawodnicy[[Number]:[Player name]],2,FALSE),"-")</f>
        <v>Daniel Dziewulski</v>
      </c>
      <c r="C56" s="38">
        <f ca="1">IFERROR(INDEX(JuniorzyNegatyw[],MATCH($A56,Juniorstwo!$A$35:$A$54,0),MATCH($B$2,Juniorstwo!$A$34:$N$34,0))*C$2+INDEX(JuniorzyNegatyw[],MATCH($A56,Juniorstwo!$A$35:$A$54,0),MATCH($B$3,Juniorstwo!$A$34:$N$34,0))*C$3+INDEX(JuniorzyNegatyw[],MATCH($A56,Juniorstwo!$A$35:$A$54,0),MATCH($B$4,Juniorstwo!$A$34:$N$34,0))*C$4+INDEX(JuniorzyNegatyw[],MATCH($A56,Juniorstwo!$A$35:$A$54,0),MATCH($B$5,Juniorstwo!$A$34:$N$34,0))*C$5+INDEX(JuniorzyNegatyw[],MATCH($A56,Juniorstwo!$A$35:$A$54,0),MATCH($B$6,Juniorstwo!$A$34:$N$34,0))*C$6+INDEX(JuniorzyNegatyw[],MATCH($A56,Juniorstwo!$A$35:$A$54,0),MATCH($B$7,Juniorstwo!$A$34:$N$34,0))*C$7+INDEX(JuniorzyNegatyw[],MATCH($A56,Juniorstwo!$A$35:$A$54,0),MATCH($B$8,Juniorstwo!$A$34:$N$34,0))*C$8+INDEX(JuniorzyNegatyw[],MATCH($A56,Juniorstwo!$A$35:$A$54,0),MATCH($B$9,Juniorstwo!$A$34:$N$34,0))*C$9+INDEX(JuniorzyNegatyw[],MATCH($A56,Juniorstwo!$A$35:$A$54,0),MATCH($B$10,Juniorstwo!$A$34:$N$34,0))*C$10+INDEX(JuniorzyNegatyw[],MATCH($A56,Juniorstwo!$A$35:$A$54,0),MATCH($B$11,Juniorstwo!$A$34:$N$34,0))*C$11+INDEX(JuniorzyNegatyw[],MATCH($A56,Juniorstwo!$A$35:$A$54,0),MATCH($B$12,Juniorstwo!$A$34:$N$34,0))*C$12+INDEX(JuniorzyNegatyw[],MATCH($A56,Juniorstwo!$A$35:$A$54,0),MATCH($B$13,Juniorstwo!$A$34:$N$34,0))*C$13,"-")</f>
        <v>52.08</v>
      </c>
      <c r="D56" s="38">
        <f ca="1">IFERROR(INDEX(JuniorzyNegatyw[],MATCH($A56,Juniorstwo!$A$35:$A$54,0),MATCH($B$2,Juniorstwo!$A$34:$N$34,0))*D$2+INDEX(JuniorzyNegatyw[],MATCH($A56,Juniorstwo!$A$35:$A$54,0),MATCH($B$3,Juniorstwo!$A$34:$N$34,0))*D$3+INDEX(JuniorzyNegatyw[],MATCH($A56,Juniorstwo!$A$35:$A$54,0),MATCH($B$4,Juniorstwo!$A$34:$N$34,0))*D$4+INDEX(JuniorzyNegatyw[],MATCH($A56,Juniorstwo!$A$35:$A$54,0),MATCH($B$5,Juniorstwo!$A$34:$N$34,0))*D$5+INDEX(JuniorzyNegatyw[],MATCH($A56,Juniorstwo!$A$35:$A$54,0),MATCH($B$6,Juniorstwo!$A$34:$N$34,0))*D$6+INDEX(JuniorzyNegatyw[],MATCH($A56,Juniorstwo!$A$35:$A$54,0),MATCH($B$7,Juniorstwo!$A$34:$N$34,0))*D$7+INDEX(JuniorzyNegatyw[],MATCH($A56,Juniorstwo!$A$35:$A$54,0),MATCH($B$8,Juniorstwo!$A$34:$N$34,0))*D$8+INDEX(JuniorzyNegatyw[],MATCH($A56,Juniorstwo!$A$35:$A$54,0),MATCH($B$9,Juniorstwo!$A$34:$N$34,0))*D$9+INDEX(JuniorzyNegatyw[],MATCH($A56,Juniorstwo!$A$35:$A$54,0),MATCH($B$10,Juniorstwo!$A$34:$N$34,0))*D$10+INDEX(JuniorzyNegatyw[],MATCH($A56,Juniorstwo!$A$35:$A$54,0),MATCH($B$11,Juniorstwo!$A$34:$N$34,0))*D$11+INDEX(JuniorzyNegatyw[],MATCH($A56,Juniorstwo!$A$35:$A$54,0),MATCH($B$12,Juniorstwo!$A$34:$N$34,0))*D$12+INDEX(JuniorzyNegatyw[],MATCH($A56,Juniorstwo!$A$35:$A$54,0),MATCH($B$13,Juniorstwo!$A$34:$N$34,0))*D$13,"-")</f>
        <v>58.83</v>
      </c>
      <c r="E56" s="38">
        <f ca="1">IFERROR(INDEX(JuniorzyNegatyw[],MATCH($A56,Juniorstwo!$A$35:$A$54,0),MATCH($B$2,Juniorstwo!$A$34:$N$34,0))*E$2+INDEX(JuniorzyNegatyw[],MATCH($A56,Juniorstwo!$A$35:$A$54,0),MATCH($B$3,Juniorstwo!$A$34:$N$34,0))*E$3+INDEX(JuniorzyNegatyw[],MATCH($A56,Juniorstwo!$A$35:$A$54,0),MATCH($B$4,Juniorstwo!$A$34:$N$34,0))*E$4+INDEX(JuniorzyNegatyw[],MATCH($A56,Juniorstwo!$A$35:$A$54,0),MATCH($B$5,Juniorstwo!$A$34:$N$34,0))*E$5+INDEX(JuniorzyNegatyw[],MATCH($A56,Juniorstwo!$A$35:$A$54,0),MATCH($B$6,Juniorstwo!$A$34:$N$34,0))*E$6+INDEX(JuniorzyNegatyw[],MATCH($A56,Juniorstwo!$A$35:$A$54,0),MATCH($B$7,Juniorstwo!$A$34:$N$34,0))*E$7+INDEX(JuniorzyNegatyw[],MATCH($A56,Juniorstwo!$A$35:$A$54,0),MATCH($B$8,Juniorstwo!$A$34:$N$34,0))*E$8+INDEX(JuniorzyNegatyw[],MATCH($A56,Juniorstwo!$A$35:$A$54,0),MATCH($B$9,Juniorstwo!$A$34:$N$34,0))*E$9+INDEX(JuniorzyNegatyw[],MATCH($A56,Juniorstwo!$A$35:$A$54,0),MATCH($B$10,Juniorstwo!$A$34:$N$34,0))*E$10+INDEX(JuniorzyNegatyw[],MATCH($A56,Juniorstwo!$A$35:$A$54,0),MATCH($B$11,Juniorstwo!$A$34:$N$34,0))*E$11+INDEX(JuniorzyNegatyw[],MATCH($A56,Juniorstwo!$A$35:$A$54,0),MATCH($B$12,Juniorstwo!$A$34:$N$34,0))*E$12+INDEX(JuniorzyNegatyw[],MATCH($A56,Juniorstwo!$A$35:$A$54,0),MATCH($B$13,Juniorstwo!$A$34:$N$34,0))*E$13,"-")</f>
        <v>61.83</v>
      </c>
      <c r="F56" s="38">
        <f ca="1">IFERROR(INDEX(JuniorzyNegatyw[],MATCH($A56,Juniorstwo!$A$35:$A$54,0),MATCH($B$2,Juniorstwo!$A$34:$N$34,0))*F$2+INDEX(JuniorzyNegatyw[],MATCH($A56,Juniorstwo!$A$35:$A$54,0),MATCH($B$3,Juniorstwo!$A$34:$N$34,0))*F$3+INDEX(JuniorzyNegatyw[],MATCH($A56,Juniorstwo!$A$35:$A$54,0),MATCH($B$4,Juniorstwo!$A$34:$N$34,0))*F$4+INDEX(JuniorzyNegatyw[],MATCH($A56,Juniorstwo!$A$35:$A$54,0),MATCH($B$5,Juniorstwo!$A$34:$N$34,0))*F$5+INDEX(JuniorzyNegatyw[],MATCH($A56,Juniorstwo!$A$35:$A$54,0),MATCH($B$6,Juniorstwo!$A$34:$N$34,0))*F$6+INDEX(JuniorzyNegatyw[],MATCH($A56,Juniorstwo!$A$35:$A$54,0),MATCH($B$7,Juniorstwo!$A$34:$N$34,0))*F$7+INDEX(JuniorzyNegatyw[],MATCH($A56,Juniorstwo!$A$35:$A$54,0),MATCH($B$8,Juniorstwo!$A$34:$N$34,0))*F$8+INDEX(JuniorzyNegatyw[],MATCH($A56,Juniorstwo!$A$35:$A$54,0),MATCH($B$9,Juniorstwo!$A$34:$N$34,0))*F$9+INDEX(JuniorzyNegatyw[],MATCH($A56,Juniorstwo!$A$35:$A$54,0),MATCH($B$10,Juniorstwo!$A$34:$N$34,0))*F$10+INDEX(JuniorzyNegatyw[],MATCH($A56,Juniorstwo!$A$35:$A$54,0),MATCH($B$11,Juniorstwo!$A$34:$N$34,0))*F$11+INDEX(JuniorzyNegatyw[],MATCH($A56,Juniorstwo!$A$35:$A$54,0),MATCH($B$12,Juniorstwo!$A$34:$N$34,0))*F$12+INDEX(JuniorzyNegatyw[],MATCH($A56,Juniorstwo!$A$35:$A$54,0),MATCH($B$13,Juniorstwo!$A$34:$N$34,0))*F$13,"-")</f>
        <v>61.33</v>
      </c>
      <c r="G56" s="38">
        <f ca="1">IFERROR(INDEX(JuniorzyNegatyw[],MATCH($A56,Juniorstwo!$A$35:$A$54,0),MATCH($B$2,Juniorstwo!$A$34:$N$34,0))*G$2+INDEX(JuniorzyNegatyw[],MATCH($A56,Juniorstwo!$A$35:$A$54,0),MATCH($B$3,Juniorstwo!$A$34:$N$34,0))*G$3+INDEX(JuniorzyNegatyw[],MATCH($A56,Juniorstwo!$A$35:$A$54,0),MATCH($B$4,Juniorstwo!$A$34:$N$34,0))*G$4+INDEX(JuniorzyNegatyw[],MATCH($A56,Juniorstwo!$A$35:$A$54,0),MATCH($B$5,Juniorstwo!$A$34:$N$34,0))*G$5+INDEX(JuniorzyNegatyw[],MATCH($A56,Juniorstwo!$A$35:$A$54,0),MATCH($B$6,Juniorstwo!$A$34:$N$34,0))*G$6+INDEX(JuniorzyNegatyw[],MATCH($A56,Juniorstwo!$A$35:$A$54,0),MATCH($B$7,Juniorstwo!$A$34:$N$34,0))*G$7+INDEX(JuniorzyNegatyw[],MATCH($A56,Juniorstwo!$A$35:$A$54,0),MATCH($B$8,Juniorstwo!$A$34:$N$34,0))*G$8+INDEX(JuniorzyNegatyw[],MATCH($A56,Juniorstwo!$A$35:$A$54,0),MATCH($B$9,Juniorstwo!$A$34:$N$34,0))*G$9+INDEX(JuniorzyNegatyw[],MATCH($A56,Juniorstwo!$A$35:$A$54,0),MATCH($B$10,Juniorstwo!$A$34:$N$34,0))*G$10+INDEX(JuniorzyNegatyw[],MATCH($A56,Juniorstwo!$A$35:$A$54,0),MATCH($B$11,Juniorstwo!$A$34:$N$34,0))*G$11+INDEX(JuniorzyNegatyw[],MATCH($A56,Juniorstwo!$A$35:$A$54,0),MATCH($B$12,Juniorstwo!$A$34:$N$34,0))*G$12+INDEX(JuniorzyNegatyw[],MATCH($A56,Juniorstwo!$A$35:$A$54,0),MATCH($B$13,Juniorstwo!$A$34:$N$34,0))*G$13,"-")</f>
        <v>62.33</v>
      </c>
      <c r="H56" s="38">
        <f ca="1">IFERROR(INDEX(JuniorzyNegatyw[],MATCH($A56,Juniorstwo!$A$35:$A$54,0),MATCH($B$2,Juniorstwo!$A$34:$N$34,0))*H$2+INDEX(JuniorzyNegatyw[],MATCH($A56,Juniorstwo!$A$35:$A$54,0),MATCH($B$3,Juniorstwo!$A$34:$N$34,0))*H$3+INDEX(JuniorzyNegatyw[],MATCH($A56,Juniorstwo!$A$35:$A$54,0),MATCH($B$4,Juniorstwo!$A$34:$N$34,0))*H$4+INDEX(JuniorzyNegatyw[],MATCH($A56,Juniorstwo!$A$35:$A$54,0),MATCH($B$5,Juniorstwo!$A$34:$N$34,0))*H$5+INDEX(JuniorzyNegatyw[],MATCH($A56,Juniorstwo!$A$35:$A$54,0),MATCH($B$6,Juniorstwo!$A$34:$N$34,0))*H$6+INDEX(JuniorzyNegatyw[],MATCH($A56,Juniorstwo!$A$35:$A$54,0),MATCH($B$7,Juniorstwo!$A$34:$N$34,0))*H$7+INDEX(JuniorzyNegatyw[],MATCH($A56,Juniorstwo!$A$35:$A$54,0),MATCH($B$8,Juniorstwo!$A$34:$N$34,0))*H$8+INDEX(JuniorzyNegatyw[],MATCH($A56,Juniorstwo!$A$35:$A$54,0),MATCH($B$9,Juniorstwo!$A$34:$N$34,0))*H$9+INDEX(JuniorzyNegatyw[],MATCH($A56,Juniorstwo!$A$35:$A$54,0),MATCH($B$10,Juniorstwo!$A$34:$N$34,0))*H$10+INDEX(JuniorzyNegatyw[],MATCH($A56,Juniorstwo!$A$35:$A$54,0),MATCH($B$11,Juniorstwo!$A$34:$N$34,0))*H$11+INDEX(JuniorzyNegatyw[],MATCH($A56,Juniorstwo!$A$35:$A$54,0),MATCH($B$12,Juniorstwo!$A$34:$N$34,0))*H$12+INDEX(JuniorzyNegatyw[],MATCH($A56,Juniorstwo!$A$35:$A$54,0),MATCH($B$13,Juniorstwo!$A$34:$N$34,0))*H$13,"-")</f>
        <v>65.58</v>
      </c>
      <c r="I56" s="38">
        <f ca="1">IFERROR(INDEX(JuniorzyNegatyw[],MATCH($A56,Juniorstwo!$A$35:$A$54,0),MATCH($B$2,Juniorstwo!$A$34:$N$34,0))*I$2+INDEX(JuniorzyNegatyw[],MATCH($A56,Juniorstwo!$A$35:$A$54,0),MATCH($B$3,Juniorstwo!$A$34:$N$34,0))*I$3+INDEX(JuniorzyNegatyw[],MATCH($A56,Juniorstwo!$A$35:$A$54,0),MATCH($B$4,Juniorstwo!$A$34:$N$34,0))*I$4+INDEX(JuniorzyNegatyw[],MATCH($A56,Juniorstwo!$A$35:$A$54,0),MATCH($B$5,Juniorstwo!$A$34:$N$34,0))*I$5+INDEX(JuniorzyNegatyw[],MATCH($A56,Juniorstwo!$A$35:$A$54,0),MATCH($B$6,Juniorstwo!$A$34:$N$34,0))*I$6+INDEX(JuniorzyNegatyw[],MATCH($A56,Juniorstwo!$A$35:$A$54,0),MATCH($B$7,Juniorstwo!$A$34:$N$34,0))*I$7+INDEX(JuniorzyNegatyw[],MATCH($A56,Juniorstwo!$A$35:$A$54,0),MATCH($B$8,Juniorstwo!$A$34:$N$34,0))*I$8+INDEX(JuniorzyNegatyw[],MATCH($A56,Juniorstwo!$A$35:$A$54,0),MATCH($B$9,Juniorstwo!$A$34:$N$34,0))*I$9+INDEX(JuniorzyNegatyw[],MATCH($A56,Juniorstwo!$A$35:$A$54,0),MATCH($B$10,Juniorstwo!$A$34:$N$34,0))*I$10+INDEX(JuniorzyNegatyw[],MATCH($A56,Juniorstwo!$A$35:$A$54,0),MATCH($B$11,Juniorstwo!$A$34:$N$34,0))*I$11+INDEX(JuniorzyNegatyw[],MATCH($A56,Juniorstwo!$A$35:$A$54,0),MATCH($B$12,Juniorstwo!$A$34:$N$34,0))*I$12+INDEX(JuniorzyNegatyw[],MATCH($A56,Juniorstwo!$A$35:$A$54,0),MATCH($B$13,Juniorstwo!$A$34:$N$34,0))*I$13,"-")</f>
        <v>65.58</v>
      </c>
      <c r="J56" s="38">
        <f ca="1">IFERROR(INDEX(JuniorzyNegatyw[],MATCH($A56,Juniorstwo!$A$35:$A$54,0),MATCH($B$2,Juniorstwo!$A$34:$N$34,0))*J$2+INDEX(JuniorzyNegatyw[],MATCH($A56,Juniorstwo!$A$35:$A$54,0),MATCH($B$3,Juniorstwo!$A$34:$N$34,0))*J$3+INDEX(JuniorzyNegatyw[],MATCH($A56,Juniorstwo!$A$35:$A$54,0),MATCH($B$4,Juniorstwo!$A$34:$N$34,0))*J$4+INDEX(JuniorzyNegatyw[],MATCH($A56,Juniorstwo!$A$35:$A$54,0),MATCH($B$5,Juniorstwo!$A$34:$N$34,0))*J$5+INDEX(JuniorzyNegatyw[],MATCH($A56,Juniorstwo!$A$35:$A$54,0),MATCH($B$6,Juniorstwo!$A$34:$N$34,0))*J$6+INDEX(JuniorzyNegatyw[],MATCH($A56,Juniorstwo!$A$35:$A$54,0),MATCH($B$7,Juniorstwo!$A$34:$N$34,0))*J$7+INDEX(JuniorzyNegatyw[],MATCH($A56,Juniorstwo!$A$35:$A$54,0),MATCH($B$8,Juniorstwo!$A$34:$N$34,0))*J$8+INDEX(JuniorzyNegatyw[],MATCH($A56,Juniorstwo!$A$35:$A$54,0),MATCH($B$9,Juniorstwo!$A$34:$N$34,0))*J$9+INDEX(JuniorzyNegatyw[],MATCH($A56,Juniorstwo!$A$35:$A$54,0),MATCH($B$10,Juniorstwo!$A$34:$N$34,0))*J$10+INDEX(JuniorzyNegatyw[],MATCH($A56,Juniorstwo!$A$35:$A$54,0),MATCH($B$11,Juniorstwo!$A$34:$N$34,0))*J$11+INDEX(JuniorzyNegatyw[],MATCH($A56,Juniorstwo!$A$35:$A$54,0),MATCH($B$12,Juniorstwo!$A$34:$N$34,0))*J$12+INDEX(JuniorzyNegatyw[],MATCH($A56,Juniorstwo!$A$35:$A$54,0),MATCH($B$13,Juniorstwo!$A$34:$N$34,0))*J$13,"-")</f>
        <v>67.08</v>
      </c>
      <c r="K56" s="38">
        <f ca="1">IFERROR(INDEX(JuniorzyNegatyw[],MATCH($A56,Juniorstwo!$A$35:$A$54,0),MATCH($B$2,Juniorstwo!$A$34:$N$34,0))*K$2+INDEX(JuniorzyNegatyw[],MATCH($A56,Juniorstwo!$A$35:$A$54,0),MATCH($B$3,Juniorstwo!$A$34:$N$34,0))*K$3+INDEX(JuniorzyNegatyw[],MATCH($A56,Juniorstwo!$A$35:$A$54,0),MATCH($B$4,Juniorstwo!$A$34:$N$34,0))*K$4+INDEX(JuniorzyNegatyw[],MATCH($A56,Juniorstwo!$A$35:$A$54,0),MATCH($B$5,Juniorstwo!$A$34:$N$34,0))*K$5+INDEX(JuniorzyNegatyw[],MATCH($A56,Juniorstwo!$A$35:$A$54,0),MATCH($B$6,Juniorstwo!$A$34:$N$34,0))*K$6+INDEX(JuniorzyNegatyw[],MATCH($A56,Juniorstwo!$A$35:$A$54,0),MATCH($B$7,Juniorstwo!$A$34:$N$34,0))*K$7+INDEX(JuniorzyNegatyw[],MATCH($A56,Juniorstwo!$A$35:$A$54,0),MATCH($B$8,Juniorstwo!$A$34:$N$34,0))*K$8+INDEX(JuniorzyNegatyw[],MATCH($A56,Juniorstwo!$A$35:$A$54,0),MATCH($B$9,Juniorstwo!$A$34:$N$34,0))*K$9+INDEX(JuniorzyNegatyw[],MATCH($A56,Juniorstwo!$A$35:$A$54,0),MATCH($B$10,Juniorstwo!$A$34:$N$34,0))*K$10+INDEX(JuniorzyNegatyw[],MATCH($A56,Juniorstwo!$A$35:$A$54,0),MATCH($B$11,Juniorstwo!$A$34:$N$34,0))*K$11+INDEX(JuniorzyNegatyw[],MATCH($A56,Juniorstwo!$A$35:$A$54,0),MATCH($B$12,Juniorstwo!$A$34:$N$34,0))*K$12+INDEX(JuniorzyNegatyw[],MATCH($A56,Juniorstwo!$A$35:$A$54,0),MATCH($B$13,Juniorstwo!$A$34:$N$34,0))*K$13,"-")</f>
        <v>69.33</v>
      </c>
    </row>
    <row r="57" spans="1:11" x14ac:dyDescent="0.25">
      <c r="A57">
        <f>IFERROR(PozJunNŚr[[#This Row],[Numer]],"-")</f>
        <v>25</v>
      </c>
      <c r="B57" s="3" t="str">
        <f>IFERROR(VLOOKUP(PozJunNMG[[#This Row],[Numer]],Zawodnicy[[Number]:[Player name]],2,FALSE),"-")</f>
        <v>Jakub Ludwiczak</v>
      </c>
      <c r="C57" s="38">
        <f ca="1">IFERROR(INDEX(JuniorzyNegatyw[],MATCH($A57,Juniorstwo!$A$35:$A$54,0),MATCH($B$2,Juniorstwo!$A$34:$N$34,0))*C$2+INDEX(JuniorzyNegatyw[],MATCH($A57,Juniorstwo!$A$35:$A$54,0),MATCH($B$3,Juniorstwo!$A$34:$N$34,0))*C$3+INDEX(JuniorzyNegatyw[],MATCH($A57,Juniorstwo!$A$35:$A$54,0),MATCH($B$4,Juniorstwo!$A$34:$N$34,0))*C$4+INDEX(JuniorzyNegatyw[],MATCH($A57,Juniorstwo!$A$35:$A$54,0),MATCH($B$5,Juniorstwo!$A$34:$N$34,0))*C$5+INDEX(JuniorzyNegatyw[],MATCH($A57,Juniorstwo!$A$35:$A$54,0),MATCH($B$6,Juniorstwo!$A$34:$N$34,0))*C$6+INDEX(JuniorzyNegatyw[],MATCH($A57,Juniorstwo!$A$35:$A$54,0),MATCH($B$7,Juniorstwo!$A$34:$N$34,0))*C$7+INDEX(JuniorzyNegatyw[],MATCH($A57,Juniorstwo!$A$35:$A$54,0),MATCH($B$8,Juniorstwo!$A$34:$N$34,0))*C$8+INDEX(JuniorzyNegatyw[],MATCH($A57,Juniorstwo!$A$35:$A$54,0),MATCH($B$9,Juniorstwo!$A$34:$N$34,0))*C$9+INDEX(JuniorzyNegatyw[],MATCH($A57,Juniorstwo!$A$35:$A$54,0),MATCH($B$10,Juniorstwo!$A$34:$N$34,0))*C$10+INDEX(JuniorzyNegatyw[],MATCH($A57,Juniorstwo!$A$35:$A$54,0),MATCH($B$11,Juniorstwo!$A$34:$N$34,0))*C$11+INDEX(JuniorzyNegatyw[],MATCH($A57,Juniorstwo!$A$35:$A$54,0),MATCH($B$12,Juniorstwo!$A$34:$N$34,0))*C$12+INDEX(JuniorzyNegatyw[],MATCH($A57,Juniorstwo!$A$35:$A$54,0),MATCH($B$13,Juniorstwo!$A$34:$N$34,0))*C$13,"-")</f>
        <v>66.569999999999993</v>
      </c>
      <c r="D57" s="38">
        <f ca="1">IFERROR(INDEX(JuniorzyNegatyw[],MATCH($A57,Juniorstwo!$A$35:$A$54,0),MATCH($B$2,Juniorstwo!$A$34:$N$34,0))*D$2+INDEX(JuniorzyNegatyw[],MATCH($A57,Juniorstwo!$A$35:$A$54,0),MATCH($B$3,Juniorstwo!$A$34:$N$34,0))*D$3+INDEX(JuniorzyNegatyw[],MATCH($A57,Juniorstwo!$A$35:$A$54,0),MATCH($B$4,Juniorstwo!$A$34:$N$34,0))*D$4+INDEX(JuniorzyNegatyw[],MATCH($A57,Juniorstwo!$A$35:$A$54,0),MATCH($B$5,Juniorstwo!$A$34:$N$34,0))*D$5+INDEX(JuniorzyNegatyw[],MATCH($A57,Juniorstwo!$A$35:$A$54,0),MATCH($B$6,Juniorstwo!$A$34:$N$34,0))*D$6+INDEX(JuniorzyNegatyw[],MATCH($A57,Juniorstwo!$A$35:$A$54,0),MATCH($B$7,Juniorstwo!$A$34:$N$34,0))*D$7+INDEX(JuniorzyNegatyw[],MATCH($A57,Juniorstwo!$A$35:$A$54,0),MATCH($B$8,Juniorstwo!$A$34:$N$34,0))*D$8+INDEX(JuniorzyNegatyw[],MATCH($A57,Juniorstwo!$A$35:$A$54,0),MATCH($B$9,Juniorstwo!$A$34:$N$34,0))*D$9+INDEX(JuniorzyNegatyw[],MATCH($A57,Juniorstwo!$A$35:$A$54,0),MATCH($B$10,Juniorstwo!$A$34:$N$34,0))*D$10+INDEX(JuniorzyNegatyw[],MATCH($A57,Juniorstwo!$A$35:$A$54,0),MATCH($B$11,Juniorstwo!$A$34:$N$34,0))*D$11+INDEX(JuniorzyNegatyw[],MATCH($A57,Juniorstwo!$A$35:$A$54,0),MATCH($B$12,Juniorstwo!$A$34:$N$34,0))*D$12+INDEX(JuniorzyNegatyw[],MATCH($A57,Juniorstwo!$A$35:$A$54,0),MATCH($B$13,Juniorstwo!$A$34:$N$34,0))*D$13,"-")</f>
        <v>68.819999999999993</v>
      </c>
      <c r="E57" s="38">
        <f ca="1">IFERROR(INDEX(JuniorzyNegatyw[],MATCH($A57,Juniorstwo!$A$35:$A$54,0),MATCH($B$2,Juniorstwo!$A$34:$N$34,0))*E$2+INDEX(JuniorzyNegatyw[],MATCH($A57,Juniorstwo!$A$35:$A$54,0),MATCH($B$3,Juniorstwo!$A$34:$N$34,0))*E$3+INDEX(JuniorzyNegatyw[],MATCH($A57,Juniorstwo!$A$35:$A$54,0),MATCH($B$4,Juniorstwo!$A$34:$N$34,0))*E$4+INDEX(JuniorzyNegatyw[],MATCH($A57,Juniorstwo!$A$35:$A$54,0),MATCH($B$5,Juniorstwo!$A$34:$N$34,0))*E$5+INDEX(JuniorzyNegatyw[],MATCH($A57,Juniorstwo!$A$35:$A$54,0),MATCH($B$6,Juniorstwo!$A$34:$N$34,0))*E$6+INDEX(JuniorzyNegatyw[],MATCH($A57,Juniorstwo!$A$35:$A$54,0),MATCH($B$7,Juniorstwo!$A$34:$N$34,0))*E$7+INDEX(JuniorzyNegatyw[],MATCH($A57,Juniorstwo!$A$35:$A$54,0),MATCH($B$8,Juniorstwo!$A$34:$N$34,0))*E$8+INDEX(JuniorzyNegatyw[],MATCH($A57,Juniorstwo!$A$35:$A$54,0),MATCH($B$9,Juniorstwo!$A$34:$N$34,0))*E$9+INDEX(JuniorzyNegatyw[],MATCH($A57,Juniorstwo!$A$35:$A$54,0),MATCH($B$10,Juniorstwo!$A$34:$N$34,0))*E$10+INDEX(JuniorzyNegatyw[],MATCH($A57,Juniorstwo!$A$35:$A$54,0),MATCH($B$11,Juniorstwo!$A$34:$N$34,0))*E$11+INDEX(JuniorzyNegatyw[],MATCH($A57,Juniorstwo!$A$35:$A$54,0),MATCH($B$12,Juniorstwo!$A$34:$N$34,0))*E$12+INDEX(JuniorzyNegatyw[],MATCH($A57,Juniorstwo!$A$35:$A$54,0),MATCH($B$13,Juniorstwo!$A$34:$N$34,0))*E$13,"-")</f>
        <v>69.319999999999993</v>
      </c>
      <c r="F57" s="38">
        <f ca="1">IFERROR(INDEX(JuniorzyNegatyw[],MATCH($A57,Juniorstwo!$A$35:$A$54,0),MATCH($B$2,Juniorstwo!$A$34:$N$34,0))*F$2+INDEX(JuniorzyNegatyw[],MATCH($A57,Juniorstwo!$A$35:$A$54,0),MATCH($B$3,Juniorstwo!$A$34:$N$34,0))*F$3+INDEX(JuniorzyNegatyw[],MATCH($A57,Juniorstwo!$A$35:$A$54,0),MATCH($B$4,Juniorstwo!$A$34:$N$34,0))*F$4+INDEX(JuniorzyNegatyw[],MATCH($A57,Juniorstwo!$A$35:$A$54,0),MATCH($B$5,Juniorstwo!$A$34:$N$34,0))*F$5+INDEX(JuniorzyNegatyw[],MATCH($A57,Juniorstwo!$A$35:$A$54,0),MATCH($B$6,Juniorstwo!$A$34:$N$34,0))*F$6+INDEX(JuniorzyNegatyw[],MATCH($A57,Juniorstwo!$A$35:$A$54,0),MATCH($B$7,Juniorstwo!$A$34:$N$34,0))*F$7+INDEX(JuniorzyNegatyw[],MATCH($A57,Juniorstwo!$A$35:$A$54,0),MATCH($B$8,Juniorstwo!$A$34:$N$34,0))*F$8+INDEX(JuniorzyNegatyw[],MATCH($A57,Juniorstwo!$A$35:$A$54,0),MATCH($B$9,Juniorstwo!$A$34:$N$34,0))*F$9+INDEX(JuniorzyNegatyw[],MATCH($A57,Juniorstwo!$A$35:$A$54,0),MATCH($B$10,Juniorstwo!$A$34:$N$34,0))*F$10+INDEX(JuniorzyNegatyw[],MATCH($A57,Juniorstwo!$A$35:$A$54,0),MATCH($B$11,Juniorstwo!$A$34:$N$34,0))*F$11+INDEX(JuniorzyNegatyw[],MATCH($A57,Juniorstwo!$A$35:$A$54,0),MATCH($B$12,Juniorstwo!$A$34:$N$34,0))*F$12+INDEX(JuniorzyNegatyw[],MATCH($A57,Juniorstwo!$A$35:$A$54,0),MATCH($B$13,Juniorstwo!$A$34:$N$34,0))*F$13,"-")</f>
        <v>71.569999999999993</v>
      </c>
      <c r="G57" s="38">
        <f ca="1">IFERROR(INDEX(JuniorzyNegatyw[],MATCH($A57,Juniorstwo!$A$35:$A$54,0),MATCH($B$2,Juniorstwo!$A$34:$N$34,0))*G$2+INDEX(JuniorzyNegatyw[],MATCH($A57,Juniorstwo!$A$35:$A$54,0),MATCH($B$3,Juniorstwo!$A$34:$N$34,0))*G$3+INDEX(JuniorzyNegatyw[],MATCH($A57,Juniorstwo!$A$35:$A$54,0),MATCH($B$4,Juniorstwo!$A$34:$N$34,0))*G$4+INDEX(JuniorzyNegatyw[],MATCH($A57,Juniorstwo!$A$35:$A$54,0),MATCH($B$5,Juniorstwo!$A$34:$N$34,0))*G$5+INDEX(JuniorzyNegatyw[],MATCH($A57,Juniorstwo!$A$35:$A$54,0),MATCH($B$6,Juniorstwo!$A$34:$N$34,0))*G$6+INDEX(JuniorzyNegatyw[],MATCH($A57,Juniorstwo!$A$35:$A$54,0),MATCH($B$7,Juniorstwo!$A$34:$N$34,0))*G$7+INDEX(JuniorzyNegatyw[],MATCH($A57,Juniorstwo!$A$35:$A$54,0),MATCH($B$8,Juniorstwo!$A$34:$N$34,0))*G$8+INDEX(JuniorzyNegatyw[],MATCH($A57,Juniorstwo!$A$35:$A$54,0),MATCH($B$9,Juniorstwo!$A$34:$N$34,0))*G$9+INDEX(JuniorzyNegatyw[],MATCH($A57,Juniorstwo!$A$35:$A$54,0),MATCH($B$10,Juniorstwo!$A$34:$N$34,0))*G$10+INDEX(JuniorzyNegatyw[],MATCH($A57,Juniorstwo!$A$35:$A$54,0),MATCH($B$11,Juniorstwo!$A$34:$N$34,0))*G$11+INDEX(JuniorzyNegatyw[],MATCH($A57,Juniorstwo!$A$35:$A$54,0),MATCH($B$12,Juniorstwo!$A$34:$N$34,0))*G$12+INDEX(JuniorzyNegatyw[],MATCH($A57,Juniorstwo!$A$35:$A$54,0),MATCH($B$13,Juniorstwo!$A$34:$N$34,0))*G$13,"-")</f>
        <v>72.569999999999993</v>
      </c>
      <c r="H57" s="38">
        <f ca="1">IFERROR(INDEX(JuniorzyNegatyw[],MATCH($A57,Juniorstwo!$A$35:$A$54,0),MATCH($B$2,Juniorstwo!$A$34:$N$34,0))*H$2+INDEX(JuniorzyNegatyw[],MATCH($A57,Juniorstwo!$A$35:$A$54,0),MATCH($B$3,Juniorstwo!$A$34:$N$34,0))*H$3+INDEX(JuniorzyNegatyw[],MATCH($A57,Juniorstwo!$A$35:$A$54,0),MATCH($B$4,Juniorstwo!$A$34:$N$34,0))*H$4+INDEX(JuniorzyNegatyw[],MATCH($A57,Juniorstwo!$A$35:$A$54,0),MATCH($B$5,Juniorstwo!$A$34:$N$34,0))*H$5+INDEX(JuniorzyNegatyw[],MATCH($A57,Juniorstwo!$A$35:$A$54,0),MATCH($B$6,Juniorstwo!$A$34:$N$34,0))*H$6+INDEX(JuniorzyNegatyw[],MATCH($A57,Juniorstwo!$A$35:$A$54,0),MATCH($B$7,Juniorstwo!$A$34:$N$34,0))*H$7+INDEX(JuniorzyNegatyw[],MATCH($A57,Juniorstwo!$A$35:$A$54,0),MATCH($B$8,Juniorstwo!$A$34:$N$34,0))*H$8+INDEX(JuniorzyNegatyw[],MATCH($A57,Juniorstwo!$A$35:$A$54,0),MATCH($B$9,Juniorstwo!$A$34:$N$34,0))*H$9+INDEX(JuniorzyNegatyw[],MATCH($A57,Juniorstwo!$A$35:$A$54,0),MATCH($B$10,Juniorstwo!$A$34:$N$34,0))*H$10+INDEX(JuniorzyNegatyw[],MATCH($A57,Juniorstwo!$A$35:$A$54,0),MATCH($B$11,Juniorstwo!$A$34:$N$34,0))*H$11+INDEX(JuniorzyNegatyw[],MATCH($A57,Juniorstwo!$A$35:$A$54,0),MATCH($B$12,Juniorstwo!$A$34:$N$34,0))*H$12+INDEX(JuniorzyNegatyw[],MATCH($A57,Juniorstwo!$A$35:$A$54,0),MATCH($B$13,Juniorstwo!$A$34:$N$34,0))*H$13,"-")</f>
        <v>72.819999999999993</v>
      </c>
      <c r="I57" s="38">
        <f ca="1">IFERROR(INDEX(JuniorzyNegatyw[],MATCH($A57,Juniorstwo!$A$35:$A$54,0),MATCH($B$2,Juniorstwo!$A$34:$N$34,0))*I$2+INDEX(JuniorzyNegatyw[],MATCH($A57,Juniorstwo!$A$35:$A$54,0),MATCH($B$3,Juniorstwo!$A$34:$N$34,0))*I$3+INDEX(JuniorzyNegatyw[],MATCH($A57,Juniorstwo!$A$35:$A$54,0),MATCH($B$4,Juniorstwo!$A$34:$N$34,0))*I$4+INDEX(JuniorzyNegatyw[],MATCH($A57,Juniorstwo!$A$35:$A$54,0),MATCH($B$5,Juniorstwo!$A$34:$N$34,0))*I$5+INDEX(JuniorzyNegatyw[],MATCH($A57,Juniorstwo!$A$35:$A$54,0),MATCH($B$6,Juniorstwo!$A$34:$N$34,0))*I$6+INDEX(JuniorzyNegatyw[],MATCH($A57,Juniorstwo!$A$35:$A$54,0),MATCH($B$7,Juniorstwo!$A$34:$N$34,0))*I$7+INDEX(JuniorzyNegatyw[],MATCH($A57,Juniorstwo!$A$35:$A$54,0),MATCH($B$8,Juniorstwo!$A$34:$N$34,0))*I$8+INDEX(JuniorzyNegatyw[],MATCH($A57,Juniorstwo!$A$35:$A$54,0),MATCH($B$9,Juniorstwo!$A$34:$N$34,0))*I$9+INDEX(JuniorzyNegatyw[],MATCH($A57,Juniorstwo!$A$35:$A$54,0),MATCH($B$10,Juniorstwo!$A$34:$N$34,0))*I$10+INDEX(JuniorzyNegatyw[],MATCH($A57,Juniorstwo!$A$35:$A$54,0),MATCH($B$11,Juniorstwo!$A$34:$N$34,0))*I$11+INDEX(JuniorzyNegatyw[],MATCH($A57,Juniorstwo!$A$35:$A$54,0),MATCH($B$12,Juniorstwo!$A$34:$N$34,0))*I$12+INDEX(JuniorzyNegatyw[],MATCH($A57,Juniorstwo!$A$35:$A$54,0),MATCH($B$13,Juniorstwo!$A$34:$N$34,0))*I$13,"-")</f>
        <v>73.319999999999993</v>
      </c>
      <c r="J57" s="38">
        <f ca="1">IFERROR(INDEX(JuniorzyNegatyw[],MATCH($A57,Juniorstwo!$A$35:$A$54,0),MATCH($B$2,Juniorstwo!$A$34:$N$34,0))*J$2+INDEX(JuniorzyNegatyw[],MATCH($A57,Juniorstwo!$A$35:$A$54,0),MATCH($B$3,Juniorstwo!$A$34:$N$34,0))*J$3+INDEX(JuniorzyNegatyw[],MATCH($A57,Juniorstwo!$A$35:$A$54,0),MATCH($B$4,Juniorstwo!$A$34:$N$34,0))*J$4+INDEX(JuniorzyNegatyw[],MATCH($A57,Juniorstwo!$A$35:$A$54,0),MATCH($B$5,Juniorstwo!$A$34:$N$34,0))*J$5+INDEX(JuniorzyNegatyw[],MATCH($A57,Juniorstwo!$A$35:$A$54,0),MATCH($B$6,Juniorstwo!$A$34:$N$34,0))*J$6+INDEX(JuniorzyNegatyw[],MATCH($A57,Juniorstwo!$A$35:$A$54,0),MATCH($B$7,Juniorstwo!$A$34:$N$34,0))*J$7+INDEX(JuniorzyNegatyw[],MATCH($A57,Juniorstwo!$A$35:$A$54,0),MATCH($B$8,Juniorstwo!$A$34:$N$34,0))*J$8+INDEX(JuniorzyNegatyw[],MATCH($A57,Juniorstwo!$A$35:$A$54,0),MATCH($B$9,Juniorstwo!$A$34:$N$34,0))*J$9+INDEX(JuniorzyNegatyw[],MATCH($A57,Juniorstwo!$A$35:$A$54,0),MATCH($B$10,Juniorstwo!$A$34:$N$34,0))*J$10+INDEX(JuniorzyNegatyw[],MATCH($A57,Juniorstwo!$A$35:$A$54,0),MATCH($B$11,Juniorstwo!$A$34:$N$34,0))*J$11+INDEX(JuniorzyNegatyw[],MATCH($A57,Juniorstwo!$A$35:$A$54,0),MATCH($B$12,Juniorstwo!$A$34:$N$34,0))*J$12+INDEX(JuniorzyNegatyw[],MATCH($A57,Juniorstwo!$A$35:$A$54,0),MATCH($B$13,Juniorstwo!$A$34:$N$34,0))*J$13,"-")</f>
        <v>72.319999999999993</v>
      </c>
      <c r="K57" s="38">
        <f ca="1">IFERROR(INDEX(JuniorzyNegatyw[],MATCH($A57,Juniorstwo!$A$35:$A$54,0),MATCH($B$2,Juniorstwo!$A$34:$N$34,0))*K$2+INDEX(JuniorzyNegatyw[],MATCH($A57,Juniorstwo!$A$35:$A$54,0),MATCH($B$3,Juniorstwo!$A$34:$N$34,0))*K$3+INDEX(JuniorzyNegatyw[],MATCH($A57,Juniorstwo!$A$35:$A$54,0),MATCH($B$4,Juniorstwo!$A$34:$N$34,0))*K$4+INDEX(JuniorzyNegatyw[],MATCH($A57,Juniorstwo!$A$35:$A$54,0),MATCH($B$5,Juniorstwo!$A$34:$N$34,0))*K$5+INDEX(JuniorzyNegatyw[],MATCH($A57,Juniorstwo!$A$35:$A$54,0),MATCH($B$6,Juniorstwo!$A$34:$N$34,0))*K$6+INDEX(JuniorzyNegatyw[],MATCH($A57,Juniorstwo!$A$35:$A$54,0),MATCH($B$7,Juniorstwo!$A$34:$N$34,0))*K$7+INDEX(JuniorzyNegatyw[],MATCH($A57,Juniorstwo!$A$35:$A$54,0),MATCH($B$8,Juniorstwo!$A$34:$N$34,0))*K$8+INDEX(JuniorzyNegatyw[],MATCH($A57,Juniorstwo!$A$35:$A$54,0),MATCH($B$9,Juniorstwo!$A$34:$N$34,0))*K$9+INDEX(JuniorzyNegatyw[],MATCH($A57,Juniorstwo!$A$35:$A$54,0),MATCH($B$10,Juniorstwo!$A$34:$N$34,0))*K$10+INDEX(JuniorzyNegatyw[],MATCH($A57,Juniorstwo!$A$35:$A$54,0),MATCH($B$11,Juniorstwo!$A$34:$N$34,0))*K$11+INDEX(JuniorzyNegatyw[],MATCH($A57,Juniorstwo!$A$35:$A$54,0),MATCH($B$12,Juniorstwo!$A$34:$N$34,0))*K$12+INDEX(JuniorzyNegatyw[],MATCH($A57,Juniorstwo!$A$35:$A$54,0),MATCH($B$13,Juniorstwo!$A$34:$N$34,0))*K$13,"-")</f>
        <v>71.569999999999993</v>
      </c>
    </row>
    <row r="58" spans="1:11" x14ac:dyDescent="0.25">
      <c r="A58">
        <f>IFERROR(PozJunNŚr[[#This Row],[Numer]],"-")</f>
        <v>26</v>
      </c>
      <c r="B58" s="3" t="str">
        <f>IFERROR(VLOOKUP(PozJunNMG[[#This Row],[Numer]],Zawodnicy[[Number]:[Player name]],2,FALSE),"-")</f>
        <v>Ignacy Lato</v>
      </c>
      <c r="C58" s="38">
        <f ca="1">IFERROR(INDEX(JuniorzyNegatyw[],MATCH($A58,Juniorstwo!$A$35:$A$54,0),MATCH($B$2,Juniorstwo!$A$34:$N$34,0))*C$2+INDEX(JuniorzyNegatyw[],MATCH($A58,Juniorstwo!$A$35:$A$54,0),MATCH($B$3,Juniorstwo!$A$34:$N$34,0))*C$3+INDEX(JuniorzyNegatyw[],MATCH($A58,Juniorstwo!$A$35:$A$54,0),MATCH($B$4,Juniorstwo!$A$34:$N$34,0))*C$4+INDEX(JuniorzyNegatyw[],MATCH($A58,Juniorstwo!$A$35:$A$54,0),MATCH($B$5,Juniorstwo!$A$34:$N$34,0))*C$5+INDEX(JuniorzyNegatyw[],MATCH($A58,Juniorstwo!$A$35:$A$54,0),MATCH($B$6,Juniorstwo!$A$34:$N$34,0))*C$6+INDEX(JuniorzyNegatyw[],MATCH($A58,Juniorstwo!$A$35:$A$54,0),MATCH($B$7,Juniorstwo!$A$34:$N$34,0))*C$7+INDEX(JuniorzyNegatyw[],MATCH($A58,Juniorstwo!$A$35:$A$54,0),MATCH($B$8,Juniorstwo!$A$34:$N$34,0))*C$8+INDEX(JuniorzyNegatyw[],MATCH($A58,Juniorstwo!$A$35:$A$54,0),MATCH($B$9,Juniorstwo!$A$34:$N$34,0))*C$9+INDEX(JuniorzyNegatyw[],MATCH($A58,Juniorstwo!$A$35:$A$54,0),MATCH($B$10,Juniorstwo!$A$34:$N$34,0))*C$10+INDEX(JuniorzyNegatyw[],MATCH($A58,Juniorstwo!$A$35:$A$54,0),MATCH($B$11,Juniorstwo!$A$34:$N$34,0))*C$11+INDEX(JuniorzyNegatyw[],MATCH($A58,Juniorstwo!$A$35:$A$54,0),MATCH($B$12,Juniorstwo!$A$34:$N$34,0))*C$12+INDEX(JuniorzyNegatyw[],MATCH($A58,Juniorstwo!$A$35:$A$54,0),MATCH($B$13,Juniorstwo!$A$34:$N$34,0))*C$13,"-")</f>
        <v>65.56</v>
      </c>
      <c r="D58" s="38">
        <f ca="1">IFERROR(INDEX(JuniorzyNegatyw[],MATCH($A58,Juniorstwo!$A$35:$A$54,0),MATCH($B$2,Juniorstwo!$A$34:$N$34,0))*D$2+INDEX(JuniorzyNegatyw[],MATCH($A58,Juniorstwo!$A$35:$A$54,0),MATCH($B$3,Juniorstwo!$A$34:$N$34,0))*D$3+INDEX(JuniorzyNegatyw[],MATCH($A58,Juniorstwo!$A$35:$A$54,0),MATCH($B$4,Juniorstwo!$A$34:$N$34,0))*D$4+INDEX(JuniorzyNegatyw[],MATCH($A58,Juniorstwo!$A$35:$A$54,0),MATCH($B$5,Juniorstwo!$A$34:$N$34,0))*D$5+INDEX(JuniorzyNegatyw[],MATCH($A58,Juniorstwo!$A$35:$A$54,0),MATCH($B$6,Juniorstwo!$A$34:$N$34,0))*D$6+INDEX(JuniorzyNegatyw[],MATCH($A58,Juniorstwo!$A$35:$A$54,0),MATCH($B$7,Juniorstwo!$A$34:$N$34,0))*D$7+INDEX(JuniorzyNegatyw[],MATCH($A58,Juniorstwo!$A$35:$A$54,0),MATCH($B$8,Juniorstwo!$A$34:$N$34,0))*D$8+INDEX(JuniorzyNegatyw[],MATCH($A58,Juniorstwo!$A$35:$A$54,0),MATCH($B$9,Juniorstwo!$A$34:$N$34,0))*D$9+INDEX(JuniorzyNegatyw[],MATCH($A58,Juniorstwo!$A$35:$A$54,0),MATCH($B$10,Juniorstwo!$A$34:$N$34,0))*D$10+INDEX(JuniorzyNegatyw[],MATCH($A58,Juniorstwo!$A$35:$A$54,0),MATCH($B$11,Juniorstwo!$A$34:$N$34,0))*D$11+INDEX(JuniorzyNegatyw[],MATCH($A58,Juniorstwo!$A$35:$A$54,0),MATCH($B$12,Juniorstwo!$A$34:$N$34,0))*D$12+INDEX(JuniorzyNegatyw[],MATCH($A58,Juniorstwo!$A$35:$A$54,0),MATCH($B$13,Juniorstwo!$A$34:$N$34,0))*D$13,"-")</f>
        <v>71.56</v>
      </c>
      <c r="E58" s="38">
        <f ca="1">IFERROR(INDEX(JuniorzyNegatyw[],MATCH($A58,Juniorstwo!$A$35:$A$54,0),MATCH($B$2,Juniorstwo!$A$34:$N$34,0))*E$2+INDEX(JuniorzyNegatyw[],MATCH($A58,Juniorstwo!$A$35:$A$54,0),MATCH($B$3,Juniorstwo!$A$34:$N$34,0))*E$3+INDEX(JuniorzyNegatyw[],MATCH($A58,Juniorstwo!$A$35:$A$54,0),MATCH($B$4,Juniorstwo!$A$34:$N$34,0))*E$4+INDEX(JuniorzyNegatyw[],MATCH($A58,Juniorstwo!$A$35:$A$54,0),MATCH($B$5,Juniorstwo!$A$34:$N$34,0))*E$5+INDEX(JuniorzyNegatyw[],MATCH($A58,Juniorstwo!$A$35:$A$54,0),MATCH($B$6,Juniorstwo!$A$34:$N$34,0))*E$6+INDEX(JuniorzyNegatyw[],MATCH($A58,Juniorstwo!$A$35:$A$54,0),MATCH($B$7,Juniorstwo!$A$34:$N$34,0))*E$7+INDEX(JuniorzyNegatyw[],MATCH($A58,Juniorstwo!$A$35:$A$54,0),MATCH($B$8,Juniorstwo!$A$34:$N$34,0))*E$8+INDEX(JuniorzyNegatyw[],MATCH($A58,Juniorstwo!$A$35:$A$54,0),MATCH($B$9,Juniorstwo!$A$34:$N$34,0))*E$9+INDEX(JuniorzyNegatyw[],MATCH($A58,Juniorstwo!$A$35:$A$54,0),MATCH($B$10,Juniorstwo!$A$34:$N$34,0))*E$10+INDEX(JuniorzyNegatyw[],MATCH($A58,Juniorstwo!$A$35:$A$54,0),MATCH($B$11,Juniorstwo!$A$34:$N$34,0))*E$11+INDEX(JuniorzyNegatyw[],MATCH($A58,Juniorstwo!$A$35:$A$54,0),MATCH($B$12,Juniorstwo!$A$34:$N$34,0))*E$12+INDEX(JuniorzyNegatyw[],MATCH($A58,Juniorstwo!$A$35:$A$54,0),MATCH($B$13,Juniorstwo!$A$34:$N$34,0))*E$13,"-")</f>
        <v>71.31</v>
      </c>
      <c r="F58" s="38">
        <f ca="1">IFERROR(INDEX(JuniorzyNegatyw[],MATCH($A58,Juniorstwo!$A$35:$A$54,0),MATCH($B$2,Juniorstwo!$A$34:$N$34,0))*F$2+INDEX(JuniorzyNegatyw[],MATCH($A58,Juniorstwo!$A$35:$A$54,0),MATCH($B$3,Juniorstwo!$A$34:$N$34,0))*F$3+INDEX(JuniorzyNegatyw[],MATCH($A58,Juniorstwo!$A$35:$A$54,0),MATCH($B$4,Juniorstwo!$A$34:$N$34,0))*F$4+INDEX(JuniorzyNegatyw[],MATCH($A58,Juniorstwo!$A$35:$A$54,0),MATCH($B$5,Juniorstwo!$A$34:$N$34,0))*F$5+INDEX(JuniorzyNegatyw[],MATCH($A58,Juniorstwo!$A$35:$A$54,0),MATCH($B$6,Juniorstwo!$A$34:$N$34,0))*F$6+INDEX(JuniorzyNegatyw[],MATCH($A58,Juniorstwo!$A$35:$A$54,0),MATCH($B$7,Juniorstwo!$A$34:$N$34,0))*F$7+INDEX(JuniorzyNegatyw[],MATCH($A58,Juniorstwo!$A$35:$A$54,0),MATCH($B$8,Juniorstwo!$A$34:$N$34,0))*F$8+INDEX(JuniorzyNegatyw[],MATCH($A58,Juniorstwo!$A$35:$A$54,0),MATCH($B$9,Juniorstwo!$A$34:$N$34,0))*F$9+INDEX(JuniorzyNegatyw[],MATCH($A58,Juniorstwo!$A$35:$A$54,0),MATCH($B$10,Juniorstwo!$A$34:$N$34,0))*F$10+INDEX(JuniorzyNegatyw[],MATCH($A58,Juniorstwo!$A$35:$A$54,0),MATCH($B$11,Juniorstwo!$A$34:$N$34,0))*F$11+INDEX(JuniorzyNegatyw[],MATCH($A58,Juniorstwo!$A$35:$A$54,0),MATCH($B$12,Juniorstwo!$A$34:$N$34,0))*F$12+INDEX(JuniorzyNegatyw[],MATCH($A58,Juniorstwo!$A$35:$A$54,0),MATCH($B$13,Juniorstwo!$A$34:$N$34,0))*F$13,"-")</f>
        <v>72.06</v>
      </c>
      <c r="G58" s="38">
        <f ca="1">IFERROR(INDEX(JuniorzyNegatyw[],MATCH($A58,Juniorstwo!$A$35:$A$54,0),MATCH($B$2,Juniorstwo!$A$34:$N$34,0))*G$2+INDEX(JuniorzyNegatyw[],MATCH($A58,Juniorstwo!$A$35:$A$54,0),MATCH($B$3,Juniorstwo!$A$34:$N$34,0))*G$3+INDEX(JuniorzyNegatyw[],MATCH($A58,Juniorstwo!$A$35:$A$54,0),MATCH($B$4,Juniorstwo!$A$34:$N$34,0))*G$4+INDEX(JuniorzyNegatyw[],MATCH($A58,Juniorstwo!$A$35:$A$54,0),MATCH($B$5,Juniorstwo!$A$34:$N$34,0))*G$5+INDEX(JuniorzyNegatyw[],MATCH($A58,Juniorstwo!$A$35:$A$54,0),MATCH($B$6,Juniorstwo!$A$34:$N$34,0))*G$6+INDEX(JuniorzyNegatyw[],MATCH($A58,Juniorstwo!$A$35:$A$54,0),MATCH($B$7,Juniorstwo!$A$34:$N$34,0))*G$7+INDEX(JuniorzyNegatyw[],MATCH($A58,Juniorstwo!$A$35:$A$54,0),MATCH($B$8,Juniorstwo!$A$34:$N$34,0))*G$8+INDEX(JuniorzyNegatyw[],MATCH($A58,Juniorstwo!$A$35:$A$54,0),MATCH($B$9,Juniorstwo!$A$34:$N$34,0))*G$9+INDEX(JuniorzyNegatyw[],MATCH($A58,Juniorstwo!$A$35:$A$54,0),MATCH($B$10,Juniorstwo!$A$34:$N$34,0))*G$10+INDEX(JuniorzyNegatyw[],MATCH($A58,Juniorstwo!$A$35:$A$54,0),MATCH($B$11,Juniorstwo!$A$34:$N$34,0))*G$11+INDEX(JuniorzyNegatyw[],MATCH($A58,Juniorstwo!$A$35:$A$54,0),MATCH($B$12,Juniorstwo!$A$34:$N$34,0))*G$12+INDEX(JuniorzyNegatyw[],MATCH($A58,Juniorstwo!$A$35:$A$54,0),MATCH($B$13,Juniorstwo!$A$34:$N$34,0))*G$13,"-")</f>
        <v>72.06</v>
      </c>
      <c r="H58" s="38">
        <f ca="1">IFERROR(INDEX(JuniorzyNegatyw[],MATCH($A58,Juniorstwo!$A$35:$A$54,0),MATCH($B$2,Juniorstwo!$A$34:$N$34,0))*H$2+INDEX(JuniorzyNegatyw[],MATCH($A58,Juniorstwo!$A$35:$A$54,0),MATCH($B$3,Juniorstwo!$A$34:$N$34,0))*H$3+INDEX(JuniorzyNegatyw[],MATCH($A58,Juniorstwo!$A$35:$A$54,0),MATCH($B$4,Juniorstwo!$A$34:$N$34,0))*H$4+INDEX(JuniorzyNegatyw[],MATCH($A58,Juniorstwo!$A$35:$A$54,0),MATCH($B$5,Juniorstwo!$A$34:$N$34,0))*H$5+INDEX(JuniorzyNegatyw[],MATCH($A58,Juniorstwo!$A$35:$A$54,0),MATCH($B$6,Juniorstwo!$A$34:$N$34,0))*H$6+INDEX(JuniorzyNegatyw[],MATCH($A58,Juniorstwo!$A$35:$A$54,0),MATCH($B$7,Juniorstwo!$A$34:$N$34,0))*H$7+INDEX(JuniorzyNegatyw[],MATCH($A58,Juniorstwo!$A$35:$A$54,0),MATCH($B$8,Juniorstwo!$A$34:$N$34,0))*H$8+INDEX(JuniorzyNegatyw[],MATCH($A58,Juniorstwo!$A$35:$A$54,0),MATCH($B$9,Juniorstwo!$A$34:$N$34,0))*H$9+INDEX(JuniorzyNegatyw[],MATCH($A58,Juniorstwo!$A$35:$A$54,0),MATCH($B$10,Juniorstwo!$A$34:$N$34,0))*H$10+INDEX(JuniorzyNegatyw[],MATCH($A58,Juniorstwo!$A$35:$A$54,0),MATCH($B$11,Juniorstwo!$A$34:$N$34,0))*H$11+INDEX(JuniorzyNegatyw[],MATCH($A58,Juniorstwo!$A$35:$A$54,0),MATCH($B$12,Juniorstwo!$A$34:$N$34,0))*H$12+INDEX(JuniorzyNegatyw[],MATCH($A58,Juniorstwo!$A$35:$A$54,0),MATCH($B$13,Juniorstwo!$A$34:$N$34,0))*H$13,"-")</f>
        <v>72.06</v>
      </c>
      <c r="I58" s="38">
        <f ca="1">IFERROR(INDEX(JuniorzyNegatyw[],MATCH($A58,Juniorstwo!$A$35:$A$54,0),MATCH($B$2,Juniorstwo!$A$34:$N$34,0))*I$2+INDEX(JuniorzyNegatyw[],MATCH($A58,Juniorstwo!$A$35:$A$54,0),MATCH($B$3,Juniorstwo!$A$34:$N$34,0))*I$3+INDEX(JuniorzyNegatyw[],MATCH($A58,Juniorstwo!$A$35:$A$54,0),MATCH($B$4,Juniorstwo!$A$34:$N$34,0))*I$4+INDEX(JuniorzyNegatyw[],MATCH($A58,Juniorstwo!$A$35:$A$54,0),MATCH($B$5,Juniorstwo!$A$34:$N$34,0))*I$5+INDEX(JuniorzyNegatyw[],MATCH($A58,Juniorstwo!$A$35:$A$54,0),MATCH($B$6,Juniorstwo!$A$34:$N$34,0))*I$6+INDEX(JuniorzyNegatyw[],MATCH($A58,Juniorstwo!$A$35:$A$54,0),MATCH($B$7,Juniorstwo!$A$34:$N$34,0))*I$7+INDEX(JuniorzyNegatyw[],MATCH($A58,Juniorstwo!$A$35:$A$54,0),MATCH($B$8,Juniorstwo!$A$34:$N$34,0))*I$8+INDEX(JuniorzyNegatyw[],MATCH($A58,Juniorstwo!$A$35:$A$54,0),MATCH($B$9,Juniorstwo!$A$34:$N$34,0))*I$9+INDEX(JuniorzyNegatyw[],MATCH($A58,Juniorstwo!$A$35:$A$54,0),MATCH($B$10,Juniorstwo!$A$34:$N$34,0))*I$10+INDEX(JuniorzyNegatyw[],MATCH($A58,Juniorstwo!$A$35:$A$54,0),MATCH($B$11,Juniorstwo!$A$34:$N$34,0))*I$11+INDEX(JuniorzyNegatyw[],MATCH($A58,Juniorstwo!$A$35:$A$54,0),MATCH($B$12,Juniorstwo!$A$34:$N$34,0))*I$12+INDEX(JuniorzyNegatyw[],MATCH($A58,Juniorstwo!$A$35:$A$54,0),MATCH($B$13,Juniorstwo!$A$34:$N$34,0))*I$13,"-")</f>
        <v>72.31</v>
      </c>
      <c r="J58" s="38">
        <f ca="1">IFERROR(INDEX(JuniorzyNegatyw[],MATCH($A58,Juniorstwo!$A$35:$A$54,0),MATCH($B$2,Juniorstwo!$A$34:$N$34,0))*J$2+INDEX(JuniorzyNegatyw[],MATCH($A58,Juniorstwo!$A$35:$A$54,0),MATCH($B$3,Juniorstwo!$A$34:$N$34,0))*J$3+INDEX(JuniorzyNegatyw[],MATCH($A58,Juniorstwo!$A$35:$A$54,0),MATCH($B$4,Juniorstwo!$A$34:$N$34,0))*J$4+INDEX(JuniorzyNegatyw[],MATCH($A58,Juniorstwo!$A$35:$A$54,0),MATCH($B$5,Juniorstwo!$A$34:$N$34,0))*J$5+INDEX(JuniorzyNegatyw[],MATCH($A58,Juniorstwo!$A$35:$A$54,0),MATCH($B$6,Juniorstwo!$A$34:$N$34,0))*J$6+INDEX(JuniorzyNegatyw[],MATCH($A58,Juniorstwo!$A$35:$A$54,0),MATCH($B$7,Juniorstwo!$A$34:$N$34,0))*J$7+INDEX(JuniorzyNegatyw[],MATCH($A58,Juniorstwo!$A$35:$A$54,0),MATCH($B$8,Juniorstwo!$A$34:$N$34,0))*J$8+INDEX(JuniorzyNegatyw[],MATCH($A58,Juniorstwo!$A$35:$A$54,0),MATCH($B$9,Juniorstwo!$A$34:$N$34,0))*J$9+INDEX(JuniorzyNegatyw[],MATCH($A58,Juniorstwo!$A$35:$A$54,0),MATCH($B$10,Juniorstwo!$A$34:$N$34,0))*J$10+INDEX(JuniorzyNegatyw[],MATCH($A58,Juniorstwo!$A$35:$A$54,0),MATCH($B$11,Juniorstwo!$A$34:$N$34,0))*J$11+INDEX(JuniorzyNegatyw[],MATCH($A58,Juniorstwo!$A$35:$A$54,0),MATCH($B$12,Juniorstwo!$A$34:$N$34,0))*J$12+INDEX(JuniorzyNegatyw[],MATCH($A58,Juniorstwo!$A$35:$A$54,0),MATCH($B$13,Juniorstwo!$A$34:$N$34,0))*J$13,"-")</f>
        <v>71.56</v>
      </c>
      <c r="K58" s="38">
        <f ca="1">IFERROR(INDEX(JuniorzyNegatyw[],MATCH($A58,Juniorstwo!$A$35:$A$54,0),MATCH($B$2,Juniorstwo!$A$34:$N$34,0))*K$2+INDEX(JuniorzyNegatyw[],MATCH($A58,Juniorstwo!$A$35:$A$54,0),MATCH($B$3,Juniorstwo!$A$34:$N$34,0))*K$3+INDEX(JuniorzyNegatyw[],MATCH($A58,Juniorstwo!$A$35:$A$54,0),MATCH($B$4,Juniorstwo!$A$34:$N$34,0))*K$4+INDEX(JuniorzyNegatyw[],MATCH($A58,Juniorstwo!$A$35:$A$54,0),MATCH($B$5,Juniorstwo!$A$34:$N$34,0))*K$5+INDEX(JuniorzyNegatyw[],MATCH($A58,Juniorstwo!$A$35:$A$54,0),MATCH($B$6,Juniorstwo!$A$34:$N$34,0))*K$6+INDEX(JuniorzyNegatyw[],MATCH($A58,Juniorstwo!$A$35:$A$54,0),MATCH($B$7,Juniorstwo!$A$34:$N$34,0))*K$7+INDEX(JuniorzyNegatyw[],MATCH($A58,Juniorstwo!$A$35:$A$54,0),MATCH($B$8,Juniorstwo!$A$34:$N$34,0))*K$8+INDEX(JuniorzyNegatyw[],MATCH($A58,Juniorstwo!$A$35:$A$54,0),MATCH($B$9,Juniorstwo!$A$34:$N$34,0))*K$9+INDEX(JuniorzyNegatyw[],MATCH($A58,Juniorstwo!$A$35:$A$54,0),MATCH($B$10,Juniorstwo!$A$34:$N$34,0))*K$10+INDEX(JuniorzyNegatyw[],MATCH($A58,Juniorstwo!$A$35:$A$54,0),MATCH($B$11,Juniorstwo!$A$34:$N$34,0))*K$11+INDEX(JuniorzyNegatyw[],MATCH($A58,Juniorstwo!$A$35:$A$54,0),MATCH($B$12,Juniorstwo!$A$34:$N$34,0))*K$12+INDEX(JuniorzyNegatyw[],MATCH($A58,Juniorstwo!$A$35:$A$54,0),MATCH($B$13,Juniorstwo!$A$34:$N$34,0))*K$13,"-")</f>
        <v>71.81</v>
      </c>
    </row>
    <row r="59" spans="1:11" x14ac:dyDescent="0.25">
      <c r="A59">
        <f>IFERROR(PozJunNŚr[[#This Row],[Numer]],"-")</f>
        <v>27</v>
      </c>
      <c r="B59" s="3" t="str">
        <f>IFERROR(VLOOKUP(PozJunNMG[[#This Row],[Numer]],Zawodnicy[[Number]:[Player name]],2,FALSE),"-")</f>
        <v>Sylwester Kaszubowski</v>
      </c>
      <c r="C59" s="38">
        <f ca="1">IFERROR(INDEX(JuniorzyNegatyw[],MATCH($A59,Juniorstwo!$A$35:$A$54,0),MATCH($B$2,Juniorstwo!$A$34:$N$34,0))*C$2+INDEX(JuniorzyNegatyw[],MATCH($A59,Juniorstwo!$A$35:$A$54,0),MATCH($B$3,Juniorstwo!$A$34:$N$34,0))*C$3+INDEX(JuniorzyNegatyw[],MATCH($A59,Juniorstwo!$A$35:$A$54,0),MATCH($B$4,Juniorstwo!$A$34:$N$34,0))*C$4+INDEX(JuniorzyNegatyw[],MATCH($A59,Juniorstwo!$A$35:$A$54,0),MATCH($B$5,Juniorstwo!$A$34:$N$34,0))*C$5+INDEX(JuniorzyNegatyw[],MATCH($A59,Juniorstwo!$A$35:$A$54,0),MATCH($B$6,Juniorstwo!$A$34:$N$34,0))*C$6+INDEX(JuniorzyNegatyw[],MATCH($A59,Juniorstwo!$A$35:$A$54,0),MATCH($B$7,Juniorstwo!$A$34:$N$34,0))*C$7+INDEX(JuniorzyNegatyw[],MATCH($A59,Juniorstwo!$A$35:$A$54,0),MATCH($B$8,Juniorstwo!$A$34:$N$34,0))*C$8+INDEX(JuniorzyNegatyw[],MATCH($A59,Juniorstwo!$A$35:$A$54,0),MATCH($B$9,Juniorstwo!$A$34:$N$34,0))*C$9+INDEX(JuniorzyNegatyw[],MATCH($A59,Juniorstwo!$A$35:$A$54,0),MATCH($B$10,Juniorstwo!$A$34:$N$34,0))*C$10+INDEX(JuniorzyNegatyw[],MATCH($A59,Juniorstwo!$A$35:$A$54,0),MATCH($B$11,Juniorstwo!$A$34:$N$34,0))*C$11+INDEX(JuniorzyNegatyw[],MATCH($A59,Juniorstwo!$A$35:$A$54,0),MATCH($B$12,Juniorstwo!$A$34:$N$34,0))*C$12+INDEX(JuniorzyNegatyw[],MATCH($A59,Juniorstwo!$A$35:$A$54,0),MATCH($B$13,Juniorstwo!$A$34:$N$34,0))*C$13,"-")</f>
        <v>46.06</v>
      </c>
      <c r="D59" s="38">
        <f ca="1">IFERROR(INDEX(JuniorzyNegatyw[],MATCH($A59,Juniorstwo!$A$35:$A$54,0),MATCH($B$2,Juniorstwo!$A$34:$N$34,0))*D$2+INDEX(JuniorzyNegatyw[],MATCH($A59,Juniorstwo!$A$35:$A$54,0),MATCH($B$3,Juniorstwo!$A$34:$N$34,0))*D$3+INDEX(JuniorzyNegatyw[],MATCH($A59,Juniorstwo!$A$35:$A$54,0),MATCH($B$4,Juniorstwo!$A$34:$N$34,0))*D$4+INDEX(JuniorzyNegatyw[],MATCH($A59,Juniorstwo!$A$35:$A$54,0),MATCH($B$5,Juniorstwo!$A$34:$N$34,0))*D$5+INDEX(JuniorzyNegatyw[],MATCH($A59,Juniorstwo!$A$35:$A$54,0),MATCH($B$6,Juniorstwo!$A$34:$N$34,0))*D$6+INDEX(JuniorzyNegatyw[],MATCH($A59,Juniorstwo!$A$35:$A$54,0),MATCH($B$7,Juniorstwo!$A$34:$N$34,0))*D$7+INDEX(JuniorzyNegatyw[],MATCH($A59,Juniorstwo!$A$35:$A$54,0),MATCH($B$8,Juniorstwo!$A$34:$N$34,0))*D$8+INDEX(JuniorzyNegatyw[],MATCH($A59,Juniorstwo!$A$35:$A$54,0),MATCH($B$9,Juniorstwo!$A$34:$N$34,0))*D$9+INDEX(JuniorzyNegatyw[],MATCH($A59,Juniorstwo!$A$35:$A$54,0),MATCH($B$10,Juniorstwo!$A$34:$N$34,0))*D$10+INDEX(JuniorzyNegatyw[],MATCH($A59,Juniorstwo!$A$35:$A$54,0),MATCH($B$11,Juniorstwo!$A$34:$N$34,0))*D$11+INDEX(JuniorzyNegatyw[],MATCH($A59,Juniorstwo!$A$35:$A$54,0),MATCH($B$12,Juniorstwo!$A$34:$N$34,0))*D$12+INDEX(JuniorzyNegatyw[],MATCH($A59,Juniorstwo!$A$35:$A$54,0),MATCH($B$13,Juniorstwo!$A$34:$N$34,0))*D$13,"-")</f>
        <v>58.31</v>
      </c>
      <c r="E59" s="38">
        <f ca="1">IFERROR(INDEX(JuniorzyNegatyw[],MATCH($A59,Juniorstwo!$A$35:$A$54,0),MATCH($B$2,Juniorstwo!$A$34:$N$34,0))*E$2+INDEX(JuniorzyNegatyw[],MATCH($A59,Juniorstwo!$A$35:$A$54,0),MATCH($B$3,Juniorstwo!$A$34:$N$34,0))*E$3+INDEX(JuniorzyNegatyw[],MATCH($A59,Juniorstwo!$A$35:$A$54,0),MATCH($B$4,Juniorstwo!$A$34:$N$34,0))*E$4+INDEX(JuniorzyNegatyw[],MATCH($A59,Juniorstwo!$A$35:$A$54,0),MATCH($B$5,Juniorstwo!$A$34:$N$34,0))*E$5+INDEX(JuniorzyNegatyw[],MATCH($A59,Juniorstwo!$A$35:$A$54,0),MATCH($B$6,Juniorstwo!$A$34:$N$34,0))*E$6+INDEX(JuniorzyNegatyw[],MATCH($A59,Juniorstwo!$A$35:$A$54,0),MATCH($B$7,Juniorstwo!$A$34:$N$34,0))*E$7+INDEX(JuniorzyNegatyw[],MATCH($A59,Juniorstwo!$A$35:$A$54,0),MATCH($B$8,Juniorstwo!$A$34:$N$34,0))*E$8+INDEX(JuniorzyNegatyw[],MATCH($A59,Juniorstwo!$A$35:$A$54,0),MATCH($B$9,Juniorstwo!$A$34:$N$34,0))*E$9+INDEX(JuniorzyNegatyw[],MATCH($A59,Juniorstwo!$A$35:$A$54,0),MATCH($B$10,Juniorstwo!$A$34:$N$34,0))*E$10+INDEX(JuniorzyNegatyw[],MATCH($A59,Juniorstwo!$A$35:$A$54,0),MATCH($B$11,Juniorstwo!$A$34:$N$34,0))*E$11+INDEX(JuniorzyNegatyw[],MATCH($A59,Juniorstwo!$A$35:$A$54,0),MATCH($B$12,Juniorstwo!$A$34:$N$34,0))*E$12+INDEX(JuniorzyNegatyw[],MATCH($A59,Juniorstwo!$A$35:$A$54,0),MATCH($B$13,Juniorstwo!$A$34:$N$34,0))*E$13,"-")</f>
        <v>60.81</v>
      </c>
      <c r="F59" s="38">
        <f ca="1">IFERROR(INDEX(JuniorzyNegatyw[],MATCH($A59,Juniorstwo!$A$35:$A$54,0),MATCH($B$2,Juniorstwo!$A$34:$N$34,0))*F$2+INDEX(JuniorzyNegatyw[],MATCH($A59,Juniorstwo!$A$35:$A$54,0),MATCH($B$3,Juniorstwo!$A$34:$N$34,0))*F$3+INDEX(JuniorzyNegatyw[],MATCH($A59,Juniorstwo!$A$35:$A$54,0),MATCH($B$4,Juniorstwo!$A$34:$N$34,0))*F$4+INDEX(JuniorzyNegatyw[],MATCH($A59,Juniorstwo!$A$35:$A$54,0),MATCH($B$5,Juniorstwo!$A$34:$N$34,0))*F$5+INDEX(JuniorzyNegatyw[],MATCH($A59,Juniorstwo!$A$35:$A$54,0),MATCH($B$6,Juniorstwo!$A$34:$N$34,0))*F$6+INDEX(JuniorzyNegatyw[],MATCH($A59,Juniorstwo!$A$35:$A$54,0),MATCH($B$7,Juniorstwo!$A$34:$N$34,0))*F$7+INDEX(JuniorzyNegatyw[],MATCH($A59,Juniorstwo!$A$35:$A$54,0),MATCH($B$8,Juniorstwo!$A$34:$N$34,0))*F$8+INDEX(JuniorzyNegatyw[],MATCH($A59,Juniorstwo!$A$35:$A$54,0),MATCH($B$9,Juniorstwo!$A$34:$N$34,0))*F$9+INDEX(JuniorzyNegatyw[],MATCH($A59,Juniorstwo!$A$35:$A$54,0),MATCH($B$10,Juniorstwo!$A$34:$N$34,0))*F$10+INDEX(JuniorzyNegatyw[],MATCH($A59,Juniorstwo!$A$35:$A$54,0),MATCH($B$11,Juniorstwo!$A$34:$N$34,0))*F$11+INDEX(JuniorzyNegatyw[],MATCH($A59,Juniorstwo!$A$35:$A$54,0),MATCH($B$12,Juniorstwo!$A$34:$N$34,0))*F$12+INDEX(JuniorzyNegatyw[],MATCH($A59,Juniorstwo!$A$35:$A$54,0),MATCH($B$13,Juniorstwo!$A$34:$N$34,0))*F$13,"-")</f>
        <v>62.31</v>
      </c>
      <c r="G59" s="38">
        <f ca="1">IFERROR(INDEX(JuniorzyNegatyw[],MATCH($A59,Juniorstwo!$A$35:$A$54,0),MATCH($B$2,Juniorstwo!$A$34:$N$34,0))*G$2+INDEX(JuniorzyNegatyw[],MATCH($A59,Juniorstwo!$A$35:$A$54,0),MATCH($B$3,Juniorstwo!$A$34:$N$34,0))*G$3+INDEX(JuniorzyNegatyw[],MATCH($A59,Juniorstwo!$A$35:$A$54,0),MATCH($B$4,Juniorstwo!$A$34:$N$34,0))*G$4+INDEX(JuniorzyNegatyw[],MATCH($A59,Juniorstwo!$A$35:$A$54,0),MATCH($B$5,Juniorstwo!$A$34:$N$34,0))*G$5+INDEX(JuniorzyNegatyw[],MATCH($A59,Juniorstwo!$A$35:$A$54,0),MATCH($B$6,Juniorstwo!$A$34:$N$34,0))*G$6+INDEX(JuniorzyNegatyw[],MATCH($A59,Juniorstwo!$A$35:$A$54,0),MATCH($B$7,Juniorstwo!$A$34:$N$34,0))*G$7+INDEX(JuniorzyNegatyw[],MATCH($A59,Juniorstwo!$A$35:$A$54,0),MATCH($B$8,Juniorstwo!$A$34:$N$34,0))*G$8+INDEX(JuniorzyNegatyw[],MATCH($A59,Juniorstwo!$A$35:$A$54,0),MATCH($B$9,Juniorstwo!$A$34:$N$34,0))*G$9+INDEX(JuniorzyNegatyw[],MATCH($A59,Juniorstwo!$A$35:$A$54,0),MATCH($B$10,Juniorstwo!$A$34:$N$34,0))*G$10+INDEX(JuniorzyNegatyw[],MATCH($A59,Juniorstwo!$A$35:$A$54,0),MATCH($B$11,Juniorstwo!$A$34:$N$34,0))*G$11+INDEX(JuniorzyNegatyw[],MATCH($A59,Juniorstwo!$A$35:$A$54,0),MATCH($B$12,Juniorstwo!$A$34:$N$34,0))*G$12+INDEX(JuniorzyNegatyw[],MATCH($A59,Juniorstwo!$A$35:$A$54,0),MATCH($B$13,Juniorstwo!$A$34:$N$34,0))*G$13,"-")</f>
        <v>65.81</v>
      </c>
      <c r="H59" s="38">
        <f ca="1">IFERROR(INDEX(JuniorzyNegatyw[],MATCH($A59,Juniorstwo!$A$35:$A$54,0),MATCH($B$2,Juniorstwo!$A$34:$N$34,0))*H$2+INDEX(JuniorzyNegatyw[],MATCH($A59,Juniorstwo!$A$35:$A$54,0),MATCH($B$3,Juniorstwo!$A$34:$N$34,0))*H$3+INDEX(JuniorzyNegatyw[],MATCH($A59,Juniorstwo!$A$35:$A$54,0),MATCH($B$4,Juniorstwo!$A$34:$N$34,0))*H$4+INDEX(JuniorzyNegatyw[],MATCH($A59,Juniorstwo!$A$35:$A$54,0),MATCH($B$5,Juniorstwo!$A$34:$N$34,0))*H$5+INDEX(JuniorzyNegatyw[],MATCH($A59,Juniorstwo!$A$35:$A$54,0),MATCH($B$6,Juniorstwo!$A$34:$N$34,0))*H$6+INDEX(JuniorzyNegatyw[],MATCH($A59,Juniorstwo!$A$35:$A$54,0),MATCH($B$7,Juniorstwo!$A$34:$N$34,0))*H$7+INDEX(JuniorzyNegatyw[],MATCH($A59,Juniorstwo!$A$35:$A$54,0),MATCH($B$8,Juniorstwo!$A$34:$N$34,0))*H$8+INDEX(JuniorzyNegatyw[],MATCH($A59,Juniorstwo!$A$35:$A$54,0),MATCH($B$9,Juniorstwo!$A$34:$N$34,0))*H$9+INDEX(JuniorzyNegatyw[],MATCH($A59,Juniorstwo!$A$35:$A$54,0),MATCH($B$10,Juniorstwo!$A$34:$N$34,0))*H$10+INDEX(JuniorzyNegatyw[],MATCH($A59,Juniorstwo!$A$35:$A$54,0),MATCH($B$11,Juniorstwo!$A$34:$N$34,0))*H$11+INDEX(JuniorzyNegatyw[],MATCH($A59,Juniorstwo!$A$35:$A$54,0),MATCH($B$12,Juniorstwo!$A$34:$N$34,0))*H$12+INDEX(JuniorzyNegatyw[],MATCH($A59,Juniorstwo!$A$35:$A$54,0),MATCH($B$13,Juniorstwo!$A$34:$N$34,0))*H$13,"-")</f>
        <v>66.31</v>
      </c>
      <c r="I59" s="38">
        <f ca="1">IFERROR(INDEX(JuniorzyNegatyw[],MATCH($A59,Juniorstwo!$A$35:$A$54,0),MATCH($B$2,Juniorstwo!$A$34:$N$34,0))*I$2+INDEX(JuniorzyNegatyw[],MATCH($A59,Juniorstwo!$A$35:$A$54,0),MATCH($B$3,Juniorstwo!$A$34:$N$34,0))*I$3+INDEX(JuniorzyNegatyw[],MATCH($A59,Juniorstwo!$A$35:$A$54,0),MATCH($B$4,Juniorstwo!$A$34:$N$34,0))*I$4+INDEX(JuniorzyNegatyw[],MATCH($A59,Juniorstwo!$A$35:$A$54,0),MATCH($B$5,Juniorstwo!$A$34:$N$34,0))*I$5+INDEX(JuniorzyNegatyw[],MATCH($A59,Juniorstwo!$A$35:$A$54,0),MATCH($B$6,Juniorstwo!$A$34:$N$34,0))*I$6+INDEX(JuniorzyNegatyw[],MATCH($A59,Juniorstwo!$A$35:$A$54,0),MATCH($B$7,Juniorstwo!$A$34:$N$34,0))*I$7+INDEX(JuniorzyNegatyw[],MATCH($A59,Juniorstwo!$A$35:$A$54,0),MATCH($B$8,Juniorstwo!$A$34:$N$34,0))*I$8+INDEX(JuniorzyNegatyw[],MATCH($A59,Juniorstwo!$A$35:$A$54,0),MATCH($B$9,Juniorstwo!$A$34:$N$34,0))*I$9+INDEX(JuniorzyNegatyw[],MATCH($A59,Juniorstwo!$A$35:$A$54,0),MATCH($B$10,Juniorstwo!$A$34:$N$34,0))*I$10+INDEX(JuniorzyNegatyw[],MATCH($A59,Juniorstwo!$A$35:$A$54,0),MATCH($B$11,Juniorstwo!$A$34:$N$34,0))*I$11+INDEX(JuniorzyNegatyw[],MATCH($A59,Juniorstwo!$A$35:$A$54,0),MATCH($B$12,Juniorstwo!$A$34:$N$34,0))*I$12+INDEX(JuniorzyNegatyw[],MATCH($A59,Juniorstwo!$A$35:$A$54,0),MATCH($B$13,Juniorstwo!$A$34:$N$34,0))*I$13,"-")</f>
        <v>65.81</v>
      </c>
      <c r="J59" s="38">
        <f ca="1">IFERROR(INDEX(JuniorzyNegatyw[],MATCH($A59,Juniorstwo!$A$35:$A$54,0),MATCH($B$2,Juniorstwo!$A$34:$N$34,0))*J$2+INDEX(JuniorzyNegatyw[],MATCH($A59,Juniorstwo!$A$35:$A$54,0),MATCH($B$3,Juniorstwo!$A$34:$N$34,0))*J$3+INDEX(JuniorzyNegatyw[],MATCH($A59,Juniorstwo!$A$35:$A$54,0),MATCH($B$4,Juniorstwo!$A$34:$N$34,0))*J$4+INDEX(JuniorzyNegatyw[],MATCH($A59,Juniorstwo!$A$35:$A$54,0),MATCH($B$5,Juniorstwo!$A$34:$N$34,0))*J$5+INDEX(JuniorzyNegatyw[],MATCH($A59,Juniorstwo!$A$35:$A$54,0),MATCH($B$6,Juniorstwo!$A$34:$N$34,0))*J$6+INDEX(JuniorzyNegatyw[],MATCH($A59,Juniorstwo!$A$35:$A$54,0),MATCH($B$7,Juniorstwo!$A$34:$N$34,0))*J$7+INDEX(JuniorzyNegatyw[],MATCH($A59,Juniorstwo!$A$35:$A$54,0),MATCH($B$8,Juniorstwo!$A$34:$N$34,0))*J$8+INDEX(JuniorzyNegatyw[],MATCH($A59,Juniorstwo!$A$35:$A$54,0),MATCH($B$9,Juniorstwo!$A$34:$N$34,0))*J$9+INDEX(JuniorzyNegatyw[],MATCH($A59,Juniorstwo!$A$35:$A$54,0),MATCH($B$10,Juniorstwo!$A$34:$N$34,0))*J$10+INDEX(JuniorzyNegatyw[],MATCH($A59,Juniorstwo!$A$35:$A$54,0),MATCH($B$11,Juniorstwo!$A$34:$N$34,0))*J$11+INDEX(JuniorzyNegatyw[],MATCH($A59,Juniorstwo!$A$35:$A$54,0),MATCH($B$12,Juniorstwo!$A$34:$N$34,0))*J$12+INDEX(JuniorzyNegatyw[],MATCH($A59,Juniorstwo!$A$35:$A$54,0),MATCH($B$13,Juniorstwo!$A$34:$N$34,0))*J$13,"-")</f>
        <v>64.81</v>
      </c>
      <c r="K59" s="38">
        <f ca="1">IFERROR(INDEX(JuniorzyNegatyw[],MATCH($A59,Juniorstwo!$A$35:$A$54,0),MATCH($B$2,Juniorstwo!$A$34:$N$34,0))*K$2+INDEX(JuniorzyNegatyw[],MATCH($A59,Juniorstwo!$A$35:$A$54,0),MATCH($B$3,Juniorstwo!$A$34:$N$34,0))*K$3+INDEX(JuniorzyNegatyw[],MATCH($A59,Juniorstwo!$A$35:$A$54,0),MATCH($B$4,Juniorstwo!$A$34:$N$34,0))*K$4+INDEX(JuniorzyNegatyw[],MATCH($A59,Juniorstwo!$A$35:$A$54,0),MATCH($B$5,Juniorstwo!$A$34:$N$34,0))*K$5+INDEX(JuniorzyNegatyw[],MATCH($A59,Juniorstwo!$A$35:$A$54,0),MATCH($B$6,Juniorstwo!$A$34:$N$34,0))*K$6+INDEX(JuniorzyNegatyw[],MATCH($A59,Juniorstwo!$A$35:$A$54,0),MATCH($B$7,Juniorstwo!$A$34:$N$34,0))*K$7+INDEX(JuniorzyNegatyw[],MATCH($A59,Juniorstwo!$A$35:$A$54,0),MATCH($B$8,Juniorstwo!$A$34:$N$34,0))*K$8+INDEX(JuniorzyNegatyw[],MATCH($A59,Juniorstwo!$A$35:$A$54,0),MATCH($B$9,Juniorstwo!$A$34:$N$34,0))*K$9+INDEX(JuniorzyNegatyw[],MATCH($A59,Juniorstwo!$A$35:$A$54,0),MATCH($B$10,Juniorstwo!$A$34:$N$34,0))*K$10+INDEX(JuniorzyNegatyw[],MATCH($A59,Juniorstwo!$A$35:$A$54,0),MATCH($B$11,Juniorstwo!$A$34:$N$34,0))*K$11+INDEX(JuniorzyNegatyw[],MATCH($A59,Juniorstwo!$A$35:$A$54,0),MATCH($B$12,Juniorstwo!$A$34:$N$34,0))*K$12+INDEX(JuniorzyNegatyw[],MATCH($A59,Juniorstwo!$A$35:$A$54,0),MATCH($B$13,Juniorstwo!$A$34:$N$34,0))*K$13,"-")</f>
        <v>59.31</v>
      </c>
    </row>
    <row r="60" spans="1:11" x14ac:dyDescent="0.25">
      <c r="A60">
        <f>IFERROR(PozJunNŚr[[#This Row],[Numer]],"-")</f>
        <v>59</v>
      </c>
      <c r="B60" s="3" t="str">
        <f>IFERROR(VLOOKUP(PozJunNMG[[#This Row],[Numer]],Zawodnicy[[Number]:[Player name]],2,FALSE),"-")</f>
        <v>Milosz Kostrzewski</v>
      </c>
      <c r="C60" s="38">
        <f ca="1">IFERROR(INDEX(JuniorzyNegatyw[],MATCH($A60,Juniorstwo!$A$35:$A$54,0),MATCH($B$2,Juniorstwo!$A$34:$N$34,0))*C$2+INDEX(JuniorzyNegatyw[],MATCH($A60,Juniorstwo!$A$35:$A$54,0),MATCH($B$3,Juniorstwo!$A$34:$N$34,0))*C$3+INDEX(JuniorzyNegatyw[],MATCH($A60,Juniorstwo!$A$35:$A$54,0),MATCH($B$4,Juniorstwo!$A$34:$N$34,0))*C$4+INDEX(JuniorzyNegatyw[],MATCH($A60,Juniorstwo!$A$35:$A$54,0),MATCH($B$5,Juniorstwo!$A$34:$N$34,0))*C$5+INDEX(JuniorzyNegatyw[],MATCH($A60,Juniorstwo!$A$35:$A$54,0),MATCH($B$6,Juniorstwo!$A$34:$N$34,0))*C$6+INDEX(JuniorzyNegatyw[],MATCH($A60,Juniorstwo!$A$35:$A$54,0),MATCH($B$7,Juniorstwo!$A$34:$N$34,0))*C$7+INDEX(JuniorzyNegatyw[],MATCH($A60,Juniorstwo!$A$35:$A$54,0),MATCH($B$8,Juniorstwo!$A$34:$N$34,0))*C$8+INDEX(JuniorzyNegatyw[],MATCH($A60,Juniorstwo!$A$35:$A$54,0),MATCH($B$9,Juniorstwo!$A$34:$N$34,0))*C$9+INDEX(JuniorzyNegatyw[],MATCH($A60,Juniorstwo!$A$35:$A$54,0),MATCH($B$10,Juniorstwo!$A$34:$N$34,0))*C$10+INDEX(JuniorzyNegatyw[],MATCH($A60,Juniorstwo!$A$35:$A$54,0),MATCH($B$11,Juniorstwo!$A$34:$N$34,0))*C$11+INDEX(JuniorzyNegatyw[],MATCH($A60,Juniorstwo!$A$35:$A$54,0),MATCH($B$12,Juniorstwo!$A$34:$N$34,0))*C$12+INDEX(JuniorzyNegatyw[],MATCH($A60,Juniorstwo!$A$35:$A$54,0),MATCH($B$13,Juniorstwo!$A$34:$N$34,0))*C$13,"-")</f>
        <v>60.07</v>
      </c>
      <c r="D60" s="38">
        <f ca="1">IFERROR(INDEX(JuniorzyNegatyw[],MATCH($A60,Juniorstwo!$A$35:$A$54,0),MATCH($B$2,Juniorstwo!$A$34:$N$34,0))*D$2+INDEX(JuniorzyNegatyw[],MATCH($A60,Juniorstwo!$A$35:$A$54,0),MATCH($B$3,Juniorstwo!$A$34:$N$34,0))*D$3+INDEX(JuniorzyNegatyw[],MATCH($A60,Juniorstwo!$A$35:$A$54,0),MATCH($B$4,Juniorstwo!$A$34:$N$34,0))*D$4+INDEX(JuniorzyNegatyw[],MATCH($A60,Juniorstwo!$A$35:$A$54,0),MATCH($B$5,Juniorstwo!$A$34:$N$34,0))*D$5+INDEX(JuniorzyNegatyw[],MATCH($A60,Juniorstwo!$A$35:$A$54,0),MATCH($B$6,Juniorstwo!$A$34:$N$34,0))*D$6+INDEX(JuniorzyNegatyw[],MATCH($A60,Juniorstwo!$A$35:$A$54,0),MATCH($B$7,Juniorstwo!$A$34:$N$34,0))*D$7+INDEX(JuniorzyNegatyw[],MATCH($A60,Juniorstwo!$A$35:$A$54,0),MATCH($B$8,Juniorstwo!$A$34:$N$34,0))*D$8+INDEX(JuniorzyNegatyw[],MATCH($A60,Juniorstwo!$A$35:$A$54,0),MATCH($B$9,Juniorstwo!$A$34:$N$34,0))*D$9+INDEX(JuniorzyNegatyw[],MATCH($A60,Juniorstwo!$A$35:$A$54,0),MATCH($B$10,Juniorstwo!$A$34:$N$34,0))*D$10+INDEX(JuniorzyNegatyw[],MATCH($A60,Juniorstwo!$A$35:$A$54,0),MATCH($B$11,Juniorstwo!$A$34:$N$34,0))*D$11+INDEX(JuniorzyNegatyw[],MATCH($A60,Juniorstwo!$A$35:$A$54,0),MATCH($B$12,Juniorstwo!$A$34:$N$34,0))*D$12+INDEX(JuniorzyNegatyw[],MATCH($A60,Juniorstwo!$A$35:$A$54,0),MATCH($B$13,Juniorstwo!$A$34:$N$34,0))*D$13,"-")</f>
        <v>71.569999999999993</v>
      </c>
      <c r="E60" s="38">
        <f ca="1">IFERROR(INDEX(JuniorzyNegatyw[],MATCH($A60,Juniorstwo!$A$35:$A$54,0),MATCH($B$2,Juniorstwo!$A$34:$N$34,0))*E$2+INDEX(JuniorzyNegatyw[],MATCH($A60,Juniorstwo!$A$35:$A$54,0),MATCH($B$3,Juniorstwo!$A$34:$N$34,0))*E$3+INDEX(JuniorzyNegatyw[],MATCH($A60,Juniorstwo!$A$35:$A$54,0),MATCH($B$4,Juniorstwo!$A$34:$N$34,0))*E$4+INDEX(JuniorzyNegatyw[],MATCH($A60,Juniorstwo!$A$35:$A$54,0),MATCH($B$5,Juniorstwo!$A$34:$N$34,0))*E$5+INDEX(JuniorzyNegatyw[],MATCH($A60,Juniorstwo!$A$35:$A$54,0),MATCH($B$6,Juniorstwo!$A$34:$N$34,0))*E$6+INDEX(JuniorzyNegatyw[],MATCH($A60,Juniorstwo!$A$35:$A$54,0),MATCH($B$7,Juniorstwo!$A$34:$N$34,0))*E$7+INDEX(JuniorzyNegatyw[],MATCH($A60,Juniorstwo!$A$35:$A$54,0),MATCH($B$8,Juniorstwo!$A$34:$N$34,0))*E$8+INDEX(JuniorzyNegatyw[],MATCH($A60,Juniorstwo!$A$35:$A$54,0),MATCH($B$9,Juniorstwo!$A$34:$N$34,0))*E$9+INDEX(JuniorzyNegatyw[],MATCH($A60,Juniorstwo!$A$35:$A$54,0),MATCH($B$10,Juniorstwo!$A$34:$N$34,0))*E$10+INDEX(JuniorzyNegatyw[],MATCH($A60,Juniorstwo!$A$35:$A$54,0),MATCH($B$11,Juniorstwo!$A$34:$N$34,0))*E$11+INDEX(JuniorzyNegatyw[],MATCH($A60,Juniorstwo!$A$35:$A$54,0),MATCH($B$12,Juniorstwo!$A$34:$N$34,0))*E$12+INDEX(JuniorzyNegatyw[],MATCH($A60,Juniorstwo!$A$35:$A$54,0),MATCH($B$13,Juniorstwo!$A$34:$N$34,0))*E$13,"-")</f>
        <v>70.819999999999993</v>
      </c>
      <c r="F60" s="38">
        <f ca="1">IFERROR(INDEX(JuniorzyNegatyw[],MATCH($A60,Juniorstwo!$A$35:$A$54,0),MATCH($B$2,Juniorstwo!$A$34:$N$34,0))*F$2+INDEX(JuniorzyNegatyw[],MATCH($A60,Juniorstwo!$A$35:$A$54,0),MATCH($B$3,Juniorstwo!$A$34:$N$34,0))*F$3+INDEX(JuniorzyNegatyw[],MATCH($A60,Juniorstwo!$A$35:$A$54,0),MATCH($B$4,Juniorstwo!$A$34:$N$34,0))*F$4+INDEX(JuniorzyNegatyw[],MATCH($A60,Juniorstwo!$A$35:$A$54,0),MATCH($B$5,Juniorstwo!$A$34:$N$34,0))*F$5+INDEX(JuniorzyNegatyw[],MATCH($A60,Juniorstwo!$A$35:$A$54,0),MATCH($B$6,Juniorstwo!$A$34:$N$34,0))*F$6+INDEX(JuniorzyNegatyw[],MATCH($A60,Juniorstwo!$A$35:$A$54,0),MATCH($B$7,Juniorstwo!$A$34:$N$34,0))*F$7+INDEX(JuniorzyNegatyw[],MATCH($A60,Juniorstwo!$A$35:$A$54,0),MATCH($B$8,Juniorstwo!$A$34:$N$34,0))*F$8+INDEX(JuniorzyNegatyw[],MATCH($A60,Juniorstwo!$A$35:$A$54,0),MATCH($B$9,Juniorstwo!$A$34:$N$34,0))*F$9+INDEX(JuniorzyNegatyw[],MATCH($A60,Juniorstwo!$A$35:$A$54,0),MATCH($B$10,Juniorstwo!$A$34:$N$34,0))*F$10+INDEX(JuniorzyNegatyw[],MATCH($A60,Juniorstwo!$A$35:$A$54,0),MATCH($B$11,Juniorstwo!$A$34:$N$34,0))*F$11+INDEX(JuniorzyNegatyw[],MATCH($A60,Juniorstwo!$A$35:$A$54,0),MATCH($B$12,Juniorstwo!$A$34:$N$34,0))*F$12+INDEX(JuniorzyNegatyw[],MATCH($A60,Juniorstwo!$A$35:$A$54,0),MATCH($B$13,Juniorstwo!$A$34:$N$34,0))*F$13,"-")</f>
        <v>72.069999999999993</v>
      </c>
      <c r="G60" s="38">
        <f ca="1">IFERROR(INDEX(JuniorzyNegatyw[],MATCH($A60,Juniorstwo!$A$35:$A$54,0),MATCH($B$2,Juniorstwo!$A$34:$N$34,0))*G$2+INDEX(JuniorzyNegatyw[],MATCH($A60,Juniorstwo!$A$35:$A$54,0),MATCH($B$3,Juniorstwo!$A$34:$N$34,0))*G$3+INDEX(JuniorzyNegatyw[],MATCH($A60,Juniorstwo!$A$35:$A$54,0),MATCH($B$4,Juniorstwo!$A$34:$N$34,0))*G$4+INDEX(JuniorzyNegatyw[],MATCH($A60,Juniorstwo!$A$35:$A$54,0),MATCH($B$5,Juniorstwo!$A$34:$N$34,0))*G$5+INDEX(JuniorzyNegatyw[],MATCH($A60,Juniorstwo!$A$35:$A$54,0),MATCH($B$6,Juniorstwo!$A$34:$N$34,0))*G$6+INDEX(JuniorzyNegatyw[],MATCH($A60,Juniorstwo!$A$35:$A$54,0),MATCH($B$7,Juniorstwo!$A$34:$N$34,0))*G$7+INDEX(JuniorzyNegatyw[],MATCH($A60,Juniorstwo!$A$35:$A$54,0),MATCH($B$8,Juniorstwo!$A$34:$N$34,0))*G$8+INDEX(JuniorzyNegatyw[],MATCH($A60,Juniorstwo!$A$35:$A$54,0),MATCH($B$9,Juniorstwo!$A$34:$N$34,0))*G$9+INDEX(JuniorzyNegatyw[],MATCH($A60,Juniorstwo!$A$35:$A$54,0),MATCH($B$10,Juniorstwo!$A$34:$N$34,0))*G$10+INDEX(JuniorzyNegatyw[],MATCH($A60,Juniorstwo!$A$35:$A$54,0),MATCH($B$11,Juniorstwo!$A$34:$N$34,0))*G$11+INDEX(JuniorzyNegatyw[],MATCH($A60,Juniorstwo!$A$35:$A$54,0),MATCH($B$12,Juniorstwo!$A$34:$N$34,0))*G$12+INDEX(JuniorzyNegatyw[],MATCH($A60,Juniorstwo!$A$35:$A$54,0),MATCH($B$13,Juniorstwo!$A$34:$N$34,0))*G$13,"-")</f>
        <v>72.069999999999993</v>
      </c>
      <c r="H60" s="38">
        <f ca="1">IFERROR(INDEX(JuniorzyNegatyw[],MATCH($A60,Juniorstwo!$A$35:$A$54,0),MATCH($B$2,Juniorstwo!$A$34:$N$34,0))*H$2+INDEX(JuniorzyNegatyw[],MATCH($A60,Juniorstwo!$A$35:$A$54,0),MATCH($B$3,Juniorstwo!$A$34:$N$34,0))*H$3+INDEX(JuniorzyNegatyw[],MATCH($A60,Juniorstwo!$A$35:$A$54,0),MATCH($B$4,Juniorstwo!$A$34:$N$34,0))*H$4+INDEX(JuniorzyNegatyw[],MATCH($A60,Juniorstwo!$A$35:$A$54,0),MATCH($B$5,Juniorstwo!$A$34:$N$34,0))*H$5+INDEX(JuniorzyNegatyw[],MATCH($A60,Juniorstwo!$A$35:$A$54,0),MATCH($B$6,Juniorstwo!$A$34:$N$34,0))*H$6+INDEX(JuniorzyNegatyw[],MATCH($A60,Juniorstwo!$A$35:$A$54,0),MATCH($B$7,Juniorstwo!$A$34:$N$34,0))*H$7+INDEX(JuniorzyNegatyw[],MATCH($A60,Juniorstwo!$A$35:$A$54,0),MATCH($B$8,Juniorstwo!$A$34:$N$34,0))*H$8+INDEX(JuniorzyNegatyw[],MATCH($A60,Juniorstwo!$A$35:$A$54,0),MATCH($B$9,Juniorstwo!$A$34:$N$34,0))*H$9+INDEX(JuniorzyNegatyw[],MATCH($A60,Juniorstwo!$A$35:$A$54,0),MATCH($B$10,Juniorstwo!$A$34:$N$34,0))*H$10+INDEX(JuniorzyNegatyw[],MATCH($A60,Juniorstwo!$A$35:$A$54,0),MATCH($B$11,Juniorstwo!$A$34:$N$34,0))*H$11+INDEX(JuniorzyNegatyw[],MATCH($A60,Juniorstwo!$A$35:$A$54,0),MATCH($B$12,Juniorstwo!$A$34:$N$34,0))*H$12+INDEX(JuniorzyNegatyw[],MATCH($A60,Juniorstwo!$A$35:$A$54,0),MATCH($B$13,Juniorstwo!$A$34:$N$34,0))*H$13,"-")</f>
        <v>71.569999999999993</v>
      </c>
      <c r="I60" s="38">
        <f ca="1">IFERROR(INDEX(JuniorzyNegatyw[],MATCH($A60,Juniorstwo!$A$35:$A$54,0),MATCH($B$2,Juniorstwo!$A$34:$N$34,0))*I$2+INDEX(JuniorzyNegatyw[],MATCH($A60,Juniorstwo!$A$35:$A$54,0),MATCH($B$3,Juniorstwo!$A$34:$N$34,0))*I$3+INDEX(JuniorzyNegatyw[],MATCH($A60,Juniorstwo!$A$35:$A$54,0),MATCH($B$4,Juniorstwo!$A$34:$N$34,0))*I$4+INDEX(JuniorzyNegatyw[],MATCH($A60,Juniorstwo!$A$35:$A$54,0),MATCH($B$5,Juniorstwo!$A$34:$N$34,0))*I$5+INDEX(JuniorzyNegatyw[],MATCH($A60,Juniorstwo!$A$35:$A$54,0),MATCH($B$6,Juniorstwo!$A$34:$N$34,0))*I$6+INDEX(JuniorzyNegatyw[],MATCH($A60,Juniorstwo!$A$35:$A$54,0),MATCH($B$7,Juniorstwo!$A$34:$N$34,0))*I$7+INDEX(JuniorzyNegatyw[],MATCH($A60,Juniorstwo!$A$35:$A$54,0),MATCH($B$8,Juniorstwo!$A$34:$N$34,0))*I$8+INDEX(JuniorzyNegatyw[],MATCH($A60,Juniorstwo!$A$35:$A$54,0),MATCH($B$9,Juniorstwo!$A$34:$N$34,0))*I$9+INDEX(JuniorzyNegatyw[],MATCH($A60,Juniorstwo!$A$35:$A$54,0),MATCH($B$10,Juniorstwo!$A$34:$N$34,0))*I$10+INDEX(JuniorzyNegatyw[],MATCH($A60,Juniorstwo!$A$35:$A$54,0),MATCH($B$11,Juniorstwo!$A$34:$N$34,0))*I$11+INDEX(JuniorzyNegatyw[],MATCH($A60,Juniorstwo!$A$35:$A$54,0),MATCH($B$12,Juniorstwo!$A$34:$N$34,0))*I$12+INDEX(JuniorzyNegatyw[],MATCH($A60,Juniorstwo!$A$35:$A$54,0),MATCH($B$13,Juniorstwo!$A$34:$N$34,0))*I$13,"-")</f>
        <v>72.319999999999993</v>
      </c>
      <c r="J60" s="38">
        <f ca="1">IFERROR(INDEX(JuniorzyNegatyw[],MATCH($A60,Juniorstwo!$A$35:$A$54,0),MATCH($B$2,Juniorstwo!$A$34:$N$34,0))*J$2+INDEX(JuniorzyNegatyw[],MATCH($A60,Juniorstwo!$A$35:$A$54,0),MATCH($B$3,Juniorstwo!$A$34:$N$34,0))*J$3+INDEX(JuniorzyNegatyw[],MATCH($A60,Juniorstwo!$A$35:$A$54,0),MATCH($B$4,Juniorstwo!$A$34:$N$34,0))*J$4+INDEX(JuniorzyNegatyw[],MATCH($A60,Juniorstwo!$A$35:$A$54,0),MATCH($B$5,Juniorstwo!$A$34:$N$34,0))*J$5+INDEX(JuniorzyNegatyw[],MATCH($A60,Juniorstwo!$A$35:$A$54,0),MATCH($B$6,Juniorstwo!$A$34:$N$34,0))*J$6+INDEX(JuniorzyNegatyw[],MATCH($A60,Juniorstwo!$A$35:$A$54,0),MATCH($B$7,Juniorstwo!$A$34:$N$34,0))*J$7+INDEX(JuniorzyNegatyw[],MATCH($A60,Juniorstwo!$A$35:$A$54,0),MATCH($B$8,Juniorstwo!$A$34:$N$34,0))*J$8+INDEX(JuniorzyNegatyw[],MATCH($A60,Juniorstwo!$A$35:$A$54,0),MATCH($B$9,Juniorstwo!$A$34:$N$34,0))*J$9+INDEX(JuniorzyNegatyw[],MATCH($A60,Juniorstwo!$A$35:$A$54,0),MATCH($B$10,Juniorstwo!$A$34:$N$34,0))*J$10+INDEX(JuniorzyNegatyw[],MATCH($A60,Juniorstwo!$A$35:$A$54,0),MATCH($B$11,Juniorstwo!$A$34:$N$34,0))*J$11+INDEX(JuniorzyNegatyw[],MATCH($A60,Juniorstwo!$A$35:$A$54,0),MATCH($B$12,Juniorstwo!$A$34:$N$34,0))*J$12+INDEX(JuniorzyNegatyw[],MATCH($A60,Juniorstwo!$A$35:$A$54,0),MATCH($B$13,Juniorstwo!$A$34:$N$34,0))*J$13,"-")</f>
        <v>71.069999999999993</v>
      </c>
      <c r="K60" s="38">
        <f ca="1">IFERROR(INDEX(JuniorzyNegatyw[],MATCH($A60,Juniorstwo!$A$35:$A$54,0),MATCH($B$2,Juniorstwo!$A$34:$N$34,0))*K$2+INDEX(JuniorzyNegatyw[],MATCH($A60,Juniorstwo!$A$35:$A$54,0),MATCH($B$3,Juniorstwo!$A$34:$N$34,0))*K$3+INDEX(JuniorzyNegatyw[],MATCH($A60,Juniorstwo!$A$35:$A$54,0),MATCH($B$4,Juniorstwo!$A$34:$N$34,0))*K$4+INDEX(JuniorzyNegatyw[],MATCH($A60,Juniorstwo!$A$35:$A$54,0),MATCH($B$5,Juniorstwo!$A$34:$N$34,0))*K$5+INDEX(JuniorzyNegatyw[],MATCH($A60,Juniorstwo!$A$35:$A$54,0),MATCH($B$6,Juniorstwo!$A$34:$N$34,0))*K$6+INDEX(JuniorzyNegatyw[],MATCH($A60,Juniorstwo!$A$35:$A$54,0),MATCH($B$7,Juniorstwo!$A$34:$N$34,0))*K$7+INDEX(JuniorzyNegatyw[],MATCH($A60,Juniorstwo!$A$35:$A$54,0),MATCH($B$8,Juniorstwo!$A$34:$N$34,0))*K$8+INDEX(JuniorzyNegatyw[],MATCH($A60,Juniorstwo!$A$35:$A$54,0),MATCH($B$9,Juniorstwo!$A$34:$N$34,0))*K$9+INDEX(JuniorzyNegatyw[],MATCH($A60,Juniorstwo!$A$35:$A$54,0),MATCH($B$10,Juniorstwo!$A$34:$N$34,0))*K$10+INDEX(JuniorzyNegatyw[],MATCH($A60,Juniorstwo!$A$35:$A$54,0),MATCH($B$11,Juniorstwo!$A$34:$N$34,0))*K$11+INDEX(JuniorzyNegatyw[],MATCH($A60,Juniorstwo!$A$35:$A$54,0),MATCH($B$12,Juniorstwo!$A$34:$N$34,0))*K$12+INDEX(JuniorzyNegatyw[],MATCH($A60,Juniorstwo!$A$35:$A$54,0),MATCH($B$13,Juniorstwo!$A$34:$N$34,0))*K$13,"-")</f>
        <v>71.319999999999993</v>
      </c>
    </row>
    <row r="61" spans="1:11" x14ac:dyDescent="0.25">
      <c r="A61">
        <f>IFERROR(PozJunNŚr[[#This Row],[Numer]],"-")</f>
        <v>17</v>
      </c>
      <c r="B61" s="3" t="str">
        <f>IFERROR(VLOOKUP(PozJunNMG[[#This Row],[Numer]],Zawodnicy[[Number]:[Player name]],2,FALSE),"-")</f>
        <v>Hieronim Wejta</v>
      </c>
      <c r="C61" s="38">
        <f ca="1">IFERROR(INDEX(JuniorzyNegatyw[],MATCH($A61,Juniorstwo!$A$35:$A$54,0),MATCH($B$2,Juniorstwo!$A$34:$N$34,0))*C$2+INDEX(JuniorzyNegatyw[],MATCH($A61,Juniorstwo!$A$35:$A$54,0),MATCH($B$3,Juniorstwo!$A$34:$N$34,0))*C$3+INDEX(JuniorzyNegatyw[],MATCH($A61,Juniorstwo!$A$35:$A$54,0),MATCH($B$4,Juniorstwo!$A$34:$N$34,0))*C$4+INDEX(JuniorzyNegatyw[],MATCH($A61,Juniorstwo!$A$35:$A$54,0),MATCH($B$5,Juniorstwo!$A$34:$N$34,0))*C$5+INDEX(JuniorzyNegatyw[],MATCH($A61,Juniorstwo!$A$35:$A$54,0),MATCH($B$6,Juniorstwo!$A$34:$N$34,0))*C$6+INDEX(JuniorzyNegatyw[],MATCH($A61,Juniorstwo!$A$35:$A$54,0),MATCH($B$7,Juniorstwo!$A$34:$N$34,0))*C$7+INDEX(JuniorzyNegatyw[],MATCH($A61,Juniorstwo!$A$35:$A$54,0),MATCH($B$8,Juniorstwo!$A$34:$N$34,0))*C$8+INDEX(JuniorzyNegatyw[],MATCH($A61,Juniorstwo!$A$35:$A$54,0),MATCH($B$9,Juniorstwo!$A$34:$N$34,0))*C$9+INDEX(JuniorzyNegatyw[],MATCH($A61,Juniorstwo!$A$35:$A$54,0),MATCH($B$10,Juniorstwo!$A$34:$N$34,0))*C$10+INDEX(JuniorzyNegatyw[],MATCH($A61,Juniorstwo!$A$35:$A$54,0),MATCH($B$11,Juniorstwo!$A$34:$N$34,0))*C$11+INDEX(JuniorzyNegatyw[],MATCH($A61,Juniorstwo!$A$35:$A$54,0),MATCH($B$12,Juniorstwo!$A$34:$N$34,0))*C$12+INDEX(JuniorzyNegatyw[],MATCH($A61,Juniorstwo!$A$35:$A$54,0),MATCH($B$13,Juniorstwo!$A$34:$N$34,0))*C$13,"-")</f>
        <v>66.59</v>
      </c>
      <c r="D61" s="38">
        <f ca="1">IFERROR(INDEX(JuniorzyNegatyw[],MATCH($A61,Juniorstwo!$A$35:$A$54,0),MATCH($B$2,Juniorstwo!$A$34:$N$34,0))*D$2+INDEX(JuniorzyNegatyw[],MATCH($A61,Juniorstwo!$A$35:$A$54,0),MATCH($B$3,Juniorstwo!$A$34:$N$34,0))*D$3+INDEX(JuniorzyNegatyw[],MATCH($A61,Juniorstwo!$A$35:$A$54,0),MATCH($B$4,Juniorstwo!$A$34:$N$34,0))*D$4+INDEX(JuniorzyNegatyw[],MATCH($A61,Juniorstwo!$A$35:$A$54,0),MATCH($B$5,Juniorstwo!$A$34:$N$34,0))*D$5+INDEX(JuniorzyNegatyw[],MATCH($A61,Juniorstwo!$A$35:$A$54,0),MATCH($B$6,Juniorstwo!$A$34:$N$34,0))*D$6+INDEX(JuniorzyNegatyw[],MATCH($A61,Juniorstwo!$A$35:$A$54,0),MATCH($B$7,Juniorstwo!$A$34:$N$34,0))*D$7+INDEX(JuniorzyNegatyw[],MATCH($A61,Juniorstwo!$A$35:$A$54,0),MATCH($B$8,Juniorstwo!$A$34:$N$34,0))*D$8+INDEX(JuniorzyNegatyw[],MATCH($A61,Juniorstwo!$A$35:$A$54,0),MATCH($B$9,Juniorstwo!$A$34:$N$34,0))*D$9+INDEX(JuniorzyNegatyw[],MATCH($A61,Juniorstwo!$A$35:$A$54,0),MATCH($B$10,Juniorstwo!$A$34:$N$34,0))*D$10+INDEX(JuniorzyNegatyw[],MATCH($A61,Juniorstwo!$A$35:$A$54,0),MATCH($B$11,Juniorstwo!$A$34:$N$34,0))*D$11+INDEX(JuniorzyNegatyw[],MATCH($A61,Juniorstwo!$A$35:$A$54,0),MATCH($B$12,Juniorstwo!$A$34:$N$34,0))*D$12+INDEX(JuniorzyNegatyw[],MATCH($A61,Juniorstwo!$A$35:$A$54,0),MATCH($B$13,Juniorstwo!$A$34:$N$34,0))*D$13,"-")</f>
        <v>82.34</v>
      </c>
      <c r="E61" s="38">
        <f ca="1">IFERROR(INDEX(JuniorzyNegatyw[],MATCH($A61,Juniorstwo!$A$35:$A$54,0),MATCH($B$2,Juniorstwo!$A$34:$N$34,0))*E$2+INDEX(JuniorzyNegatyw[],MATCH($A61,Juniorstwo!$A$35:$A$54,0),MATCH($B$3,Juniorstwo!$A$34:$N$34,0))*E$3+INDEX(JuniorzyNegatyw[],MATCH($A61,Juniorstwo!$A$35:$A$54,0),MATCH($B$4,Juniorstwo!$A$34:$N$34,0))*E$4+INDEX(JuniorzyNegatyw[],MATCH($A61,Juniorstwo!$A$35:$A$54,0),MATCH($B$5,Juniorstwo!$A$34:$N$34,0))*E$5+INDEX(JuniorzyNegatyw[],MATCH($A61,Juniorstwo!$A$35:$A$54,0),MATCH($B$6,Juniorstwo!$A$34:$N$34,0))*E$6+INDEX(JuniorzyNegatyw[],MATCH($A61,Juniorstwo!$A$35:$A$54,0),MATCH($B$7,Juniorstwo!$A$34:$N$34,0))*E$7+INDEX(JuniorzyNegatyw[],MATCH($A61,Juniorstwo!$A$35:$A$54,0),MATCH($B$8,Juniorstwo!$A$34:$N$34,0))*E$8+INDEX(JuniorzyNegatyw[],MATCH($A61,Juniorstwo!$A$35:$A$54,0),MATCH($B$9,Juniorstwo!$A$34:$N$34,0))*E$9+INDEX(JuniorzyNegatyw[],MATCH($A61,Juniorstwo!$A$35:$A$54,0),MATCH($B$10,Juniorstwo!$A$34:$N$34,0))*E$10+INDEX(JuniorzyNegatyw[],MATCH($A61,Juniorstwo!$A$35:$A$54,0),MATCH($B$11,Juniorstwo!$A$34:$N$34,0))*E$11+INDEX(JuniorzyNegatyw[],MATCH($A61,Juniorstwo!$A$35:$A$54,0),MATCH($B$12,Juniorstwo!$A$34:$N$34,0))*E$12+INDEX(JuniorzyNegatyw[],MATCH($A61,Juniorstwo!$A$35:$A$54,0),MATCH($B$13,Juniorstwo!$A$34:$N$34,0))*E$13,"-")</f>
        <v>80.59</v>
      </c>
      <c r="F61" s="38">
        <f ca="1">IFERROR(INDEX(JuniorzyNegatyw[],MATCH($A61,Juniorstwo!$A$35:$A$54,0),MATCH($B$2,Juniorstwo!$A$34:$N$34,0))*F$2+INDEX(JuniorzyNegatyw[],MATCH($A61,Juniorstwo!$A$35:$A$54,0),MATCH($B$3,Juniorstwo!$A$34:$N$34,0))*F$3+INDEX(JuniorzyNegatyw[],MATCH($A61,Juniorstwo!$A$35:$A$54,0),MATCH($B$4,Juniorstwo!$A$34:$N$34,0))*F$4+INDEX(JuniorzyNegatyw[],MATCH($A61,Juniorstwo!$A$35:$A$54,0),MATCH($B$5,Juniorstwo!$A$34:$N$34,0))*F$5+INDEX(JuniorzyNegatyw[],MATCH($A61,Juniorstwo!$A$35:$A$54,0),MATCH($B$6,Juniorstwo!$A$34:$N$34,0))*F$6+INDEX(JuniorzyNegatyw[],MATCH($A61,Juniorstwo!$A$35:$A$54,0),MATCH($B$7,Juniorstwo!$A$34:$N$34,0))*F$7+INDEX(JuniorzyNegatyw[],MATCH($A61,Juniorstwo!$A$35:$A$54,0),MATCH($B$8,Juniorstwo!$A$34:$N$34,0))*F$8+INDEX(JuniorzyNegatyw[],MATCH($A61,Juniorstwo!$A$35:$A$54,0),MATCH($B$9,Juniorstwo!$A$34:$N$34,0))*F$9+INDEX(JuniorzyNegatyw[],MATCH($A61,Juniorstwo!$A$35:$A$54,0),MATCH($B$10,Juniorstwo!$A$34:$N$34,0))*F$10+INDEX(JuniorzyNegatyw[],MATCH($A61,Juniorstwo!$A$35:$A$54,0),MATCH($B$11,Juniorstwo!$A$34:$N$34,0))*F$11+INDEX(JuniorzyNegatyw[],MATCH($A61,Juniorstwo!$A$35:$A$54,0),MATCH($B$12,Juniorstwo!$A$34:$N$34,0))*F$12+INDEX(JuniorzyNegatyw[],MATCH($A61,Juniorstwo!$A$35:$A$54,0),MATCH($B$13,Juniorstwo!$A$34:$N$34,0))*F$13,"-")</f>
        <v>82.59</v>
      </c>
      <c r="G61" s="38">
        <f ca="1">IFERROR(INDEX(JuniorzyNegatyw[],MATCH($A61,Juniorstwo!$A$35:$A$54,0),MATCH($B$2,Juniorstwo!$A$34:$N$34,0))*G$2+INDEX(JuniorzyNegatyw[],MATCH($A61,Juniorstwo!$A$35:$A$54,0),MATCH($B$3,Juniorstwo!$A$34:$N$34,0))*G$3+INDEX(JuniorzyNegatyw[],MATCH($A61,Juniorstwo!$A$35:$A$54,0),MATCH($B$4,Juniorstwo!$A$34:$N$34,0))*G$4+INDEX(JuniorzyNegatyw[],MATCH($A61,Juniorstwo!$A$35:$A$54,0),MATCH($B$5,Juniorstwo!$A$34:$N$34,0))*G$5+INDEX(JuniorzyNegatyw[],MATCH($A61,Juniorstwo!$A$35:$A$54,0),MATCH($B$6,Juniorstwo!$A$34:$N$34,0))*G$6+INDEX(JuniorzyNegatyw[],MATCH($A61,Juniorstwo!$A$35:$A$54,0),MATCH($B$7,Juniorstwo!$A$34:$N$34,0))*G$7+INDEX(JuniorzyNegatyw[],MATCH($A61,Juniorstwo!$A$35:$A$54,0),MATCH($B$8,Juniorstwo!$A$34:$N$34,0))*G$8+INDEX(JuniorzyNegatyw[],MATCH($A61,Juniorstwo!$A$35:$A$54,0),MATCH($B$9,Juniorstwo!$A$34:$N$34,0))*G$9+INDEX(JuniorzyNegatyw[],MATCH($A61,Juniorstwo!$A$35:$A$54,0),MATCH($B$10,Juniorstwo!$A$34:$N$34,0))*G$10+INDEX(JuniorzyNegatyw[],MATCH($A61,Juniorstwo!$A$35:$A$54,0),MATCH($B$11,Juniorstwo!$A$34:$N$34,0))*G$11+INDEX(JuniorzyNegatyw[],MATCH($A61,Juniorstwo!$A$35:$A$54,0),MATCH($B$12,Juniorstwo!$A$34:$N$34,0))*G$12+INDEX(JuniorzyNegatyw[],MATCH($A61,Juniorstwo!$A$35:$A$54,0),MATCH($B$13,Juniorstwo!$A$34:$N$34,0))*G$13,"-")</f>
        <v>82.09</v>
      </c>
      <c r="H61" s="38">
        <f ca="1">IFERROR(INDEX(JuniorzyNegatyw[],MATCH($A61,Juniorstwo!$A$35:$A$54,0),MATCH($B$2,Juniorstwo!$A$34:$N$34,0))*H$2+INDEX(JuniorzyNegatyw[],MATCH($A61,Juniorstwo!$A$35:$A$54,0),MATCH($B$3,Juniorstwo!$A$34:$N$34,0))*H$3+INDEX(JuniorzyNegatyw[],MATCH($A61,Juniorstwo!$A$35:$A$54,0),MATCH($B$4,Juniorstwo!$A$34:$N$34,0))*H$4+INDEX(JuniorzyNegatyw[],MATCH($A61,Juniorstwo!$A$35:$A$54,0),MATCH($B$5,Juniorstwo!$A$34:$N$34,0))*H$5+INDEX(JuniorzyNegatyw[],MATCH($A61,Juniorstwo!$A$35:$A$54,0),MATCH($B$6,Juniorstwo!$A$34:$N$34,0))*H$6+INDEX(JuniorzyNegatyw[],MATCH($A61,Juniorstwo!$A$35:$A$54,0),MATCH($B$7,Juniorstwo!$A$34:$N$34,0))*H$7+INDEX(JuniorzyNegatyw[],MATCH($A61,Juniorstwo!$A$35:$A$54,0),MATCH($B$8,Juniorstwo!$A$34:$N$34,0))*H$8+INDEX(JuniorzyNegatyw[],MATCH($A61,Juniorstwo!$A$35:$A$54,0),MATCH($B$9,Juniorstwo!$A$34:$N$34,0))*H$9+INDEX(JuniorzyNegatyw[],MATCH($A61,Juniorstwo!$A$35:$A$54,0),MATCH($B$10,Juniorstwo!$A$34:$N$34,0))*H$10+INDEX(JuniorzyNegatyw[],MATCH($A61,Juniorstwo!$A$35:$A$54,0),MATCH($B$11,Juniorstwo!$A$34:$N$34,0))*H$11+INDEX(JuniorzyNegatyw[],MATCH($A61,Juniorstwo!$A$35:$A$54,0),MATCH($B$12,Juniorstwo!$A$34:$N$34,0))*H$12+INDEX(JuniorzyNegatyw[],MATCH($A61,Juniorstwo!$A$35:$A$54,0),MATCH($B$13,Juniorstwo!$A$34:$N$34,0))*H$13,"-")</f>
        <v>80.59</v>
      </c>
      <c r="I61" s="38">
        <f ca="1">IFERROR(INDEX(JuniorzyNegatyw[],MATCH($A61,Juniorstwo!$A$35:$A$54,0),MATCH($B$2,Juniorstwo!$A$34:$N$34,0))*I$2+INDEX(JuniorzyNegatyw[],MATCH($A61,Juniorstwo!$A$35:$A$54,0),MATCH($B$3,Juniorstwo!$A$34:$N$34,0))*I$3+INDEX(JuniorzyNegatyw[],MATCH($A61,Juniorstwo!$A$35:$A$54,0),MATCH($B$4,Juniorstwo!$A$34:$N$34,0))*I$4+INDEX(JuniorzyNegatyw[],MATCH($A61,Juniorstwo!$A$35:$A$54,0),MATCH($B$5,Juniorstwo!$A$34:$N$34,0))*I$5+INDEX(JuniorzyNegatyw[],MATCH($A61,Juniorstwo!$A$35:$A$54,0),MATCH($B$6,Juniorstwo!$A$34:$N$34,0))*I$6+INDEX(JuniorzyNegatyw[],MATCH($A61,Juniorstwo!$A$35:$A$54,0),MATCH($B$7,Juniorstwo!$A$34:$N$34,0))*I$7+INDEX(JuniorzyNegatyw[],MATCH($A61,Juniorstwo!$A$35:$A$54,0),MATCH($B$8,Juniorstwo!$A$34:$N$34,0))*I$8+INDEX(JuniorzyNegatyw[],MATCH($A61,Juniorstwo!$A$35:$A$54,0),MATCH($B$9,Juniorstwo!$A$34:$N$34,0))*I$9+INDEX(JuniorzyNegatyw[],MATCH($A61,Juniorstwo!$A$35:$A$54,0),MATCH($B$10,Juniorstwo!$A$34:$N$34,0))*I$10+INDEX(JuniorzyNegatyw[],MATCH($A61,Juniorstwo!$A$35:$A$54,0),MATCH($B$11,Juniorstwo!$A$34:$N$34,0))*I$11+INDEX(JuniorzyNegatyw[],MATCH($A61,Juniorstwo!$A$35:$A$54,0),MATCH($B$12,Juniorstwo!$A$34:$N$34,0))*I$12+INDEX(JuniorzyNegatyw[],MATCH($A61,Juniorstwo!$A$35:$A$54,0),MATCH($B$13,Juniorstwo!$A$34:$N$34,0))*I$13,"-")</f>
        <v>80.34</v>
      </c>
      <c r="J61" s="38">
        <f ca="1">IFERROR(INDEX(JuniorzyNegatyw[],MATCH($A61,Juniorstwo!$A$35:$A$54,0),MATCH($B$2,Juniorstwo!$A$34:$N$34,0))*J$2+INDEX(JuniorzyNegatyw[],MATCH($A61,Juniorstwo!$A$35:$A$54,0),MATCH($B$3,Juniorstwo!$A$34:$N$34,0))*J$3+INDEX(JuniorzyNegatyw[],MATCH($A61,Juniorstwo!$A$35:$A$54,0),MATCH($B$4,Juniorstwo!$A$34:$N$34,0))*J$4+INDEX(JuniorzyNegatyw[],MATCH($A61,Juniorstwo!$A$35:$A$54,0),MATCH($B$5,Juniorstwo!$A$34:$N$34,0))*J$5+INDEX(JuniorzyNegatyw[],MATCH($A61,Juniorstwo!$A$35:$A$54,0),MATCH($B$6,Juniorstwo!$A$34:$N$34,0))*J$6+INDEX(JuniorzyNegatyw[],MATCH($A61,Juniorstwo!$A$35:$A$54,0),MATCH($B$7,Juniorstwo!$A$34:$N$34,0))*J$7+INDEX(JuniorzyNegatyw[],MATCH($A61,Juniorstwo!$A$35:$A$54,0),MATCH($B$8,Juniorstwo!$A$34:$N$34,0))*J$8+INDEX(JuniorzyNegatyw[],MATCH($A61,Juniorstwo!$A$35:$A$54,0),MATCH($B$9,Juniorstwo!$A$34:$N$34,0))*J$9+INDEX(JuniorzyNegatyw[],MATCH($A61,Juniorstwo!$A$35:$A$54,0),MATCH($B$10,Juniorstwo!$A$34:$N$34,0))*J$10+INDEX(JuniorzyNegatyw[],MATCH($A61,Juniorstwo!$A$35:$A$54,0),MATCH($B$11,Juniorstwo!$A$34:$N$34,0))*J$11+INDEX(JuniorzyNegatyw[],MATCH($A61,Juniorstwo!$A$35:$A$54,0),MATCH($B$12,Juniorstwo!$A$34:$N$34,0))*J$12+INDEX(JuniorzyNegatyw[],MATCH($A61,Juniorstwo!$A$35:$A$54,0),MATCH($B$13,Juniorstwo!$A$34:$N$34,0))*J$13,"-")</f>
        <v>79.59</v>
      </c>
      <c r="K61" s="38">
        <f ca="1">IFERROR(INDEX(JuniorzyNegatyw[],MATCH($A61,Juniorstwo!$A$35:$A$54,0),MATCH($B$2,Juniorstwo!$A$34:$N$34,0))*K$2+INDEX(JuniorzyNegatyw[],MATCH($A61,Juniorstwo!$A$35:$A$54,0),MATCH($B$3,Juniorstwo!$A$34:$N$34,0))*K$3+INDEX(JuniorzyNegatyw[],MATCH($A61,Juniorstwo!$A$35:$A$54,0),MATCH($B$4,Juniorstwo!$A$34:$N$34,0))*K$4+INDEX(JuniorzyNegatyw[],MATCH($A61,Juniorstwo!$A$35:$A$54,0),MATCH($B$5,Juniorstwo!$A$34:$N$34,0))*K$5+INDEX(JuniorzyNegatyw[],MATCH($A61,Juniorstwo!$A$35:$A$54,0),MATCH($B$6,Juniorstwo!$A$34:$N$34,0))*K$6+INDEX(JuniorzyNegatyw[],MATCH($A61,Juniorstwo!$A$35:$A$54,0),MATCH($B$7,Juniorstwo!$A$34:$N$34,0))*K$7+INDEX(JuniorzyNegatyw[],MATCH($A61,Juniorstwo!$A$35:$A$54,0),MATCH($B$8,Juniorstwo!$A$34:$N$34,0))*K$8+INDEX(JuniorzyNegatyw[],MATCH($A61,Juniorstwo!$A$35:$A$54,0),MATCH($B$9,Juniorstwo!$A$34:$N$34,0))*K$9+INDEX(JuniorzyNegatyw[],MATCH($A61,Juniorstwo!$A$35:$A$54,0),MATCH($B$10,Juniorstwo!$A$34:$N$34,0))*K$10+INDEX(JuniorzyNegatyw[],MATCH($A61,Juniorstwo!$A$35:$A$54,0),MATCH($B$11,Juniorstwo!$A$34:$N$34,0))*K$11+INDEX(JuniorzyNegatyw[],MATCH($A61,Juniorstwo!$A$35:$A$54,0),MATCH($B$12,Juniorstwo!$A$34:$N$34,0))*K$12+INDEX(JuniorzyNegatyw[],MATCH($A61,Juniorstwo!$A$35:$A$54,0),MATCH($B$13,Juniorstwo!$A$34:$N$34,0))*K$13,"-")</f>
        <v>76.84</v>
      </c>
    </row>
    <row r="62" spans="1:11" x14ac:dyDescent="0.25">
      <c r="A62">
        <f>IFERROR(PozJunNŚr[[#This Row],[Numer]],"-")</f>
        <v>0</v>
      </c>
      <c r="B62" s="3" t="str">
        <f>IFERROR(VLOOKUP(PozJunNMG[[#This Row],[Numer]],Zawodnicy[[Number]:[Player name]],2,FALSE),"-")</f>
        <v>-</v>
      </c>
      <c r="C62" s="38" t="str">
        <f>IFERROR(INDEX(JuniorzyNegatyw[],MATCH($A62,Juniorstwo!$A$35:$A$54,0),MATCH($B$2,Juniorstwo!$A$34:$N$34,0))*C$2+INDEX(JuniorzyNegatyw[],MATCH($A62,Juniorstwo!$A$35:$A$54,0),MATCH($B$3,Juniorstwo!$A$34:$N$34,0))*C$3+INDEX(JuniorzyNegatyw[],MATCH($A62,Juniorstwo!$A$35:$A$54,0),MATCH($B$4,Juniorstwo!$A$34:$N$34,0))*C$4+INDEX(JuniorzyNegatyw[],MATCH($A62,Juniorstwo!$A$35:$A$54,0),MATCH($B$5,Juniorstwo!$A$34:$N$34,0))*C$5+INDEX(JuniorzyNegatyw[],MATCH($A62,Juniorstwo!$A$35:$A$54,0),MATCH($B$6,Juniorstwo!$A$34:$N$34,0))*C$6+INDEX(JuniorzyNegatyw[],MATCH($A62,Juniorstwo!$A$35:$A$54,0),MATCH($B$7,Juniorstwo!$A$34:$N$34,0))*C$7+INDEX(JuniorzyNegatyw[],MATCH($A62,Juniorstwo!$A$35:$A$54,0),MATCH($B$8,Juniorstwo!$A$34:$N$34,0))*C$8+INDEX(JuniorzyNegatyw[],MATCH($A62,Juniorstwo!$A$35:$A$54,0),MATCH($B$9,Juniorstwo!$A$34:$N$34,0))*C$9+INDEX(JuniorzyNegatyw[],MATCH($A62,Juniorstwo!$A$35:$A$54,0),MATCH($B$10,Juniorstwo!$A$34:$N$34,0))*C$10+INDEX(JuniorzyNegatyw[],MATCH($A62,Juniorstwo!$A$35:$A$54,0),MATCH($B$11,Juniorstwo!$A$34:$N$34,0))*C$11+INDEX(JuniorzyNegatyw[],MATCH($A62,Juniorstwo!$A$35:$A$54,0),MATCH($B$12,Juniorstwo!$A$34:$N$34,0))*C$12+INDEX(JuniorzyNegatyw[],MATCH($A62,Juniorstwo!$A$35:$A$54,0),MATCH($B$13,Juniorstwo!$A$34:$N$34,0))*C$13,"-")</f>
        <v>-</v>
      </c>
      <c r="D62" s="38" t="str">
        <f>IFERROR(INDEX(JuniorzyNegatyw[],MATCH($A62,Juniorstwo!$A$35:$A$54,0),MATCH($B$2,Juniorstwo!$A$34:$N$34,0))*D$2+INDEX(JuniorzyNegatyw[],MATCH($A62,Juniorstwo!$A$35:$A$54,0),MATCH($B$3,Juniorstwo!$A$34:$N$34,0))*D$3+INDEX(JuniorzyNegatyw[],MATCH($A62,Juniorstwo!$A$35:$A$54,0),MATCH($B$4,Juniorstwo!$A$34:$N$34,0))*D$4+INDEX(JuniorzyNegatyw[],MATCH($A62,Juniorstwo!$A$35:$A$54,0),MATCH($B$5,Juniorstwo!$A$34:$N$34,0))*D$5+INDEX(JuniorzyNegatyw[],MATCH($A62,Juniorstwo!$A$35:$A$54,0),MATCH($B$6,Juniorstwo!$A$34:$N$34,0))*D$6+INDEX(JuniorzyNegatyw[],MATCH($A62,Juniorstwo!$A$35:$A$54,0),MATCH($B$7,Juniorstwo!$A$34:$N$34,0))*D$7+INDEX(JuniorzyNegatyw[],MATCH($A62,Juniorstwo!$A$35:$A$54,0),MATCH($B$8,Juniorstwo!$A$34:$N$34,0))*D$8+INDEX(JuniorzyNegatyw[],MATCH($A62,Juniorstwo!$A$35:$A$54,0),MATCH($B$9,Juniorstwo!$A$34:$N$34,0))*D$9+INDEX(JuniorzyNegatyw[],MATCH($A62,Juniorstwo!$A$35:$A$54,0),MATCH($B$10,Juniorstwo!$A$34:$N$34,0))*D$10+INDEX(JuniorzyNegatyw[],MATCH($A62,Juniorstwo!$A$35:$A$54,0),MATCH($B$11,Juniorstwo!$A$34:$N$34,0))*D$11+INDEX(JuniorzyNegatyw[],MATCH($A62,Juniorstwo!$A$35:$A$54,0),MATCH($B$12,Juniorstwo!$A$34:$N$34,0))*D$12+INDEX(JuniorzyNegatyw[],MATCH($A62,Juniorstwo!$A$35:$A$54,0),MATCH($B$13,Juniorstwo!$A$34:$N$34,0))*D$13,"-")</f>
        <v>-</v>
      </c>
      <c r="E62" s="38" t="str">
        <f>IFERROR(INDEX(JuniorzyNegatyw[],MATCH($A62,Juniorstwo!$A$35:$A$54,0),MATCH($B$2,Juniorstwo!$A$34:$N$34,0))*E$2+INDEX(JuniorzyNegatyw[],MATCH($A62,Juniorstwo!$A$35:$A$54,0),MATCH($B$3,Juniorstwo!$A$34:$N$34,0))*E$3+INDEX(JuniorzyNegatyw[],MATCH($A62,Juniorstwo!$A$35:$A$54,0),MATCH($B$4,Juniorstwo!$A$34:$N$34,0))*E$4+INDEX(JuniorzyNegatyw[],MATCH($A62,Juniorstwo!$A$35:$A$54,0),MATCH($B$5,Juniorstwo!$A$34:$N$34,0))*E$5+INDEX(JuniorzyNegatyw[],MATCH($A62,Juniorstwo!$A$35:$A$54,0),MATCH($B$6,Juniorstwo!$A$34:$N$34,0))*E$6+INDEX(JuniorzyNegatyw[],MATCH($A62,Juniorstwo!$A$35:$A$54,0),MATCH($B$7,Juniorstwo!$A$34:$N$34,0))*E$7+INDEX(JuniorzyNegatyw[],MATCH($A62,Juniorstwo!$A$35:$A$54,0),MATCH($B$8,Juniorstwo!$A$34:$N$34,0))*E$8+INDEX(JuniorzyNegatyw[],MATCH($A62,Juniorstwo!$A$35:$A$54,0),MATCH($B$9,Juniorstwo!$A$34:$N$34,0))*E$9+INDEX(JuniorzyNegatyw[],MATCH($A62,Juniorstwo!$A$35:$A$54,0),MATCH($B$10,Juniorstwo!$A$34:$N$34,0))*E$10+INDEX(JuniorzyNegatyw[],MATCH($A62,Juniorstwo!$A$35:$A$54,0),MATCH($B$11,Juniorstwo!$A$34:$N$34,0))*E$11+INDEX(JuniorzyNegatyw[],MATCH($A62,Juniorstwo!$A$35:$A$54,0),MATCH($B$12,Juniorstwo!$A$34:$N$34,0))*E$12+INDEX(JuniorzyNegatyw[],MATCH($A62,Juniorstwo!$A$35:$A$54,0),MATCH($B$13,Juniorstwo!$A$34:$N$34,0))*E$13,"-")</f>
        <v>-</v>
      </c>
      <c r="F62" s="38" t="str">
        <f>IFERROR(INDEX(JuniorzyNegatyw[],MATCH($A62,Juniorstwo!$A$35:$A$54,0),MATCH($B$2,Juniorstwo!$A$34:$N$34,0))*F$2+INDEX(JuniorzyNegatyw[],MATCH($A62,Juniorstwo!$A$35:$A$54,0),MATCH($B$3,Juniorstwo!$A$34:$N$34,0))*F$3+INDEX(JuniorzyNegatyw[],MATCH($A62,Juniorstwo!$A$35:$A$54,0),MATCH($B$4,Juniorstwo!$A$34:$N$34,0))*F$4+INDEX(JuniorzyNegatyw[],MATCH($A62,Juniorstwo!$A$35:$A$54,0),MATCH($B$5,Juniorstwo!$A$34:$N$34,0))*F$5+INDEX(JuniorzyNegatyw[],MATCH($A62,Juniorstwo!$A$35:$A$54,0),MATCH($B$6,Juniorstwo!$A$34:$N$34,0))*F$6+INDEX(JuniorzyNegatyw[],MATCH($A62,Juniorstwo!$A$35:$A$54,0),MATCH($B$7,Juniorstwo!$A$34:$N$34,0))*F$7+INDEX(JuniorzyNegatyw[],MATCH($A62,Juniorstwo!$A$35:$A$54,0),MATCH($B$8,Juniorstwo!$A$34:$N$34,0))*F$8+INDEX(JuniorzyNegatyw[],MATCH($A62,Juniorstwo!$A$35:$A$54,0),MATCH($B$9,Juniorstwo!$A$34:$N$34,0))*F$9+INDEX(JuniorzyNegatyw[],MATCH($A62,Juniorstwo!$A$35:$A$54,0),MATCH($B$10,Juniorstwo!$A$34:$N$34,0))*F$10+INDEX(JuniorzyNegatyw[],MATCH($A62,Juniorstwo!$A$35:$A$54,0),MATCH($B$11,Juniorstwo!$A$34:$N$34,0))*F$11+INDEX(JuniorzyNegatyw[],MATCH($A62,Juniorstwo!$A$35:$A$54,0),MATCH($B$12,Juniorstwo!$A$34:$N$34,0))*F$12+INDEX(JuniorzyNegatyw[],MATCH($A62,Juniorstwo!$A$35:$A$54,0),MATCH($B$13,Juniorstwo!$A$34:$N$34,0))*F$13,"-")</f>
        <v>-</v>
      </c>
      <c r="G62" s="38" t="str">
        <f>IFERROR(INDEX(JuniorzyNegatyw[],MATCH($A62,Juniorstwo!$A$35:$A$54,0),MATCH($B$2,Juniorstwo!$A$34:$N$34,0))*G$2+INDEX(JuniorzyNegatyw[],MATCH($A62,Juniorstwo!$A$35:$A$54,0),MATCH($B$3,Juniorstwo!$A$34:$N$34,0))*G$3+INDEX(JuniorzyNegatyw[],MATCH($A62,Juniorstwo!$A$35:$A$54,0),MATCH($B$4,Juniorstwo!$A$34:$N$34,0))*G$4+INDEX(JuniorzyNegatyw[],MATCH($A62,Juniorstwo!$A$35:$A$54,0),MATCH($B$5,Juniorstwo!$A$34:$N$34,0))*G$5+INDEX(JuniorzyNegatyw[],MATCH($A62,Juniorstwo!$A$35:$A$54,0),MATCH($B$6,Juniorstwo!$A$34:$N$34,0))*G$6+INDEX(JuniorzyNegatyw[],MATCH($A62,Juniorstwo!$A$35:$A$54,0),MATCH($B$7,Juniorstwo!$A$34:$N$34,0))*G$7+INDEX(JuniorzyNegatyw[],MATCH($A62,Juniorstwo!$A$35:$A$54,0),MATCH($B$8,Juniorstwo!$A$34:$N$34,0))*G$8+INDEX(JuniorzyNegatyw[],MATCH($A62,Juniorstwo!$A$35:$A$54,0),MATCH($B$9,Juniorstwo!$A$34:$N$34,0))*G$9+INDEX(JuniorzyNegatyw[],MATCH($A62,Juniorstwo!$A$35:$A$54,0),MATCH($B$10,Juniorstwo!$A$34:$N$34,0))*G$10+INDEX(JuniorzyNegatyw[],MATCH($A62,Juniorstwo!$A$35:$A$54,0),MATCH($B$11,Juniorstwo!$A$34:$N$34,0))*G$11+INDEX(JuniorzyNegatyw[],MATCH($A62,Juniorstwo!$A$35:$A$54,0),MATCH($B$12,Juniorstwo!$A$34:$N$34,0))*G$12+INDEX(JuniorzyNegatyw[],MATCH($A62,Juniorstwo!$A$35:$A$54,0),MATCH($B$13,Juniorstwo!$A$34:$N$34,0))*G$13,"-")</f>
        <v>-</v>
      </c>
      <c r="H62" s="38" t="str">
        <f>IFERROR(INDEX(JuniorzyNegatyw[],MATCH($A62,Juniorstwo!$A$35:$A$54,0),MATCH($B$2,Juniorstwo!$A$34:$N$34,0))*H$2+INDEX(JuniorzyNegatyw[],MATCH($A62,Juniorstwo!$A$35:$A$54,0),MATCH($B$3,Juniorstwo!$A$34:$N$34,0))*H$3+INDEX(JuniorzyNegatyw[],MATCH($A62,Juniorstwo!$A$35:$A$54,0),MATCH($B$4,Juniorstwo!$A$34:$N$34,0))*H$4+INDEX(JuniorzyNegatyw[],MATCH($A62,Juniorstwo!$A$35:$A$54,0),MATCH($B$5,Juniorstwo!$A$34:$N$34,0))*H$5+INDEX(JuniorzyNegatyw[],MATCH($A62,Juniorstwo!$A$35:$A$54,0),MATCH($B$6,Juniorstwo!$A$34:$N$34,0))*H$6+INDEX(JuniorzyNegatyw[],MATCH($A62,Juniorstwo!$A$35:$A$54,0),MATCH($B$7,Juniorstwo!$A$34:$N$34,0))*H$7+INDEX(JuniorzyNegatyw[],MATCH($A62,Juniorstwo!$A$35:$A$54,0),MATCH($B$8,Juniorstwo!$A$34:$N$34,0))*H$8+INDEX(JuniorzyNegatyw[],MATCH($A62,Juniorstwo!$A$35:$A$54,0),MATCH($B$9,Juniorstwo!$A$34:$N$34,0))*H$9+INDEX(JuniorzyNegatyw[],MATCH($A62,Juniorstwo!$A$35:$A$54,0),MATCH($B$10,Juniorstwo!$A$34:$N$34,0))*H$10+INDEX(JuniorzyNegatyw[],MATCH($A62,Juniorstwo!$A$35:$A$54,0),MATCH($B$11,Juniorstwo!$A$34:$N$34,0))*H$11+INDEX(JuniorzyNegatyw[],MATCH($A62,Juniorstwo!$A$35:$A$54,0),MATCH($B$12,Juniorstwo!$A$34:$N$34,0))*H$12+INDEX(JuniorzyNegatyw[],MATCH($A62,Juniorstwo!$A$35:$A$54,0),MATCH($B$13,Juniorstwo!$A$34:$N$34,0))*H$13,"-")</f>
        <v>-</v>
      </c>
      <c r="I62" s="38" t="str">
        <f>IFERROR(INDEX(JuniorzyNegatyw[],MATCH($A62,Juniorstwo!$A$35:$A$54,0),MATCH($B$2,Juniorstwo!$A$34:$N$34,0))*I$2+INDEX(JuniorzyNegatyw[],MATCH($A62,Juniorstwo!$A$35:$A$54,0),MATCH($B$3,Juniorstwo!$A$34:$N$34,0))*I$3+INDEX(JuniorzyNegatyw[],MATCH($A62,Juniorstwo!$A$35:$A$54,0),MATCH($B$4,Juniorstwo!$A$34:$N$34,0))*I$4+INDEX(JuniorzyNegatyw[],MATCH($A62,Juniorstwo!$A$35:$A$54,0),MATCH($B$5,Juniorstwo!$A$34:$N$34,0))*I$5+INDEX(JuniorzyNegatyw[],MATCH($A62,Juniorstwo!$A$35:$A$54,0),MATCH($B$6,Juniorstwo!$A$34:$N$34,0))*I$6+INDEX(JuniorzyNegatyw[],MATCH($A62,Juniorstwo!$A$35:$A$54,0),MATCH($B$7,Juniorstwo!$A$34:$N$34,0))*I$7+INDEX(JuniorzyNegatyw[],MATCH($A62,Juniorstwo!$A$35:$A$54,0),MATCH($B$8,Juniorstwo!$A$34:$N$34,0))*I$8+INDEX(JuniorzyNegatyw[],MATCH($A62,Juniorstwo!$A$35:$A$54,0),MATCH($B$9,Juniorstwo!$A$34:$N$34,0))*I$9+INDEX(JuniorzyNegatyw[],MATCH($A62,Juniorstwo!$A$35:$A$54,0),MATCH($B$10,Juniorstwo!$A$34:$N$34,0))*I$10+INDEX(JuniorzyNegatyw[],MATCH($A62,Juniorstwo!$A$35:$A$54,0),MATCH($B$11,Juniorstwo!$A$34:$N$34,0))*I$11+INDEX(JuniorzyNegatyw[],MATCH($A62,Juniorstwo!$A$35:$A$54,0),MATCH($B$12,Juniorstwo!$A$34:$N$34,0))*I$12+INDEX(JuniorzyNegatyw[],MATCH($A62,Juniorstwo!$A$35:$A$54,0),MATCH($B$13,Juniorstwo!$A$34:$N$34,0))*I$13,"-")</f>
        <v>-</v>
      </c>
      <c r="J62" s="38" t="str">
        <f>IFERROR(INDEX(JuniorzyNegatyw[],MATCH($A62,Juniorstwo!$A$35:$A$54,0),MATCH($B$2,Juniorstwo!$A$34:$N$34,0))*J$2+INDEX(JuniorzyNegatyw[],MATCH($A62,Juniorstwo!$A$35:$A$54,0),MATCH($B$3,Juniorstwo!$A$34:$N$34,0))*J$3+INDEX(JuniorzyNegatyw[],MATCH($A62,Juniorstwo!$A$35:$A$54,0),MATCH($B$4,Juniorstwo!$A$34:$N$34,0))*J$4+INDEX(JuniorzyNegatyw[],MATCH($A62,Juniorstwo!$A$35:$A$54,0),MATCH($B$5,Juniorstwo!$A$34:$N$34,0))*J$5+INDEX(JuniorzyNegatyw[],MATCH($A62,Juniorstwo!$A$35:$A$54,0),MATCH($B$6,Juniorstwo!$A$34:$N$34,0))*J$6+INDEX(JuniorzyNegatyw[],MATCH($A62,Juniorstwo!$A$35:$A$54,0),MATCH($B$7,Juniorstwo!$A$34:$N$34,0))*J$7+INDEX(JuniorzyNegatyw[],MATCH($A62,Juniorstwo!$A$35:$A$54,0),MATCH($B$8,Juniorstwo!$A$34:$N$34,0))*J$8+INDEX(JuniorzyNegatyw[],MATCH($A62,Juniorstwo!$A$35:$A$54,0),MATCH($B$9,Juniorstwo!$A$34:$N$34,0))*J$9+INDEX(JuniorzyNegatyw[],MATCH($A62,Juniorstwo!$A$35:$A$54,0),MATCH($B$10,Juniorstwo!$A$34:$N$34,0))*J$10+INDEX(JuniorzyNegatyw[],MATCH($A62,Juniorstwo!$A$35:$A$54,0),MATCH($B$11,Juniorstwo!$A$34:$N$34,0))*J$11+INDEX(JuniorzyNegatyw[],MATCH($A62,Juniorstwo!$A$35:$A$54,0),MATCH($B$12,Juniorstwo!$A$34:$N$34,0))*J$12+INDEX(JuniorzyNegatyw[],MATCH($A62,Juniorstwo!$A$35:$A$54,0),MATCH($B$13,Juniorstwo!$A$34:$N$34,0))*J$13,"-")</f>
        <v>-</v>
      </c>
      <c r="K62" s="38" t="str">
        <f>IFERROR(INDEX(JuniorzyNegatyw[],MATCH($A62,Juniorstwo!$A$35:$A$54,0),MATCH($B$2,Juniorstwo!$A$34:$N$34,0))*K$2+INDEX(JuniorzyNegatyw[],MATCH($A62,Juniorstwo!$A$35:$A$54,0),MATCH($B$3,Juniorstwo!$A$34:$N$34,0))*K$3+INDEX(JuniorzyNegatyw[],MATCH($A62,Juniorstwo!$A$35:$A$54,0),MATCH($B$4,Juniorstwo!$A$34:$N$34,0))*K$4+INDEX(JuniorzyNegatyw[],MATCH($A62,Juniorstwo!$A$35:$A$54,0),MATCH($B$5,Juniorstwo!$A$34:$N$34,0))*K$5+INDEX(JuniorzyNegatyw[],MATCH($A62,Juniorstwo!$A$35:$A$54,0),MATCH($B$6,Juniorstwo!$A$34:$N$34,0))*K$6+INDEX(JuniorzyNegatyw[],MATCH($A62,Juniorstwo!$A$35:$A$54,0),MATCH($B$7,Juniorstwo!$A$34:$N$34,0))*K$7+INDEX(JuniorzyNegatyw[],MATCH($A62,Juniorstwo!$A$35:$A$54,0),MATCH($B$8,Juniorstwo!$A$34:$N$34,0))*K$8+INDEX(JuniorzyNegatyw[],MATCH($A62,Juniorstwo!$A$35:$A$54,0),MATCH($B$9,Juniorstwo!$A$34:$N$34,0))*K$9+INDEX(JuniorzyNegatyw[],MATCH($A62,Juniorstwo!$A$35:$A$54,0),MATCH($B$10,Juniorstwo!$A$34:$N$34,0))*K$10+INDEX(JuniorzyNegatyw[],MATCH($A62,Juniorstwo!$A$35:$A$54,0),MATCH($B$11,Juniorstwo!$A$34:$N$34,0))*K$11+INDEX(JuniorzyNegatyw[],MATCH($A62,Juniorstwo!$A$35:$A$54,0),MATCH($B$12,Juniorstwo!$A$34:$N$34,0))*K$12+INDEX(JuniorzyNegatyw[],MATCH($A62,Juniorstwo!$A$35:$A$54,0),MATCH($B$13,Juniorstwo!$A$34:$N$34,0))*K$13,"-")</f>
        <v>-</v>
      </c>
    </row>
    <row r="63" spans="1:11" x14ac:dyDescent="0.25">
      <c r="A63">
        <f>IFERROR(PozJunNŚr[[#This Row],[Numer]],"-")</f>
        <v>0</v>
      </c>
      <c r="B63" s="3" t="str">
        <f>IFERROR(VLOOKUP(PozJunNMG[[#This Row],[Numer]],Zawodnicy[[Number]:[Player name]],2,FALSE),"-")</f>
        <v>-</v>
      </c>
      <c r="C63" s="38" t="str">
        <f>IFERROR(INDEX(JuniorzyNegatyw[],MATCH($A63,Juniorstwo!$A$35:$A$54,0),MATCH($B$2,Juniorstwo!$A$34:$N$34,0))*C$2+INDEX(JuniorzyNegatyw[],MATCH($A63,Juniorstwo!$A$35:$A$54,0),MATCH($B$3,Juniorstwo!$A$34:$N$34,0))*C$3+INDEX(JuniorzyNegatyw[],MATCH($A63,Juniorstwo!$A$35:$A$54,0),MATCH($B$4,Juniorstwo!$A$34:$N$34,0))*C$4+INDEX(JuniorzyNegatyw[],MATCH($A63,Juniorstwo!$A$35:$A$54,0),MATCH($B$5,Juniorstwo!$A$34:$N$34,0))*C$5+INDEX(JuniorzyNegatyw[],MATCH($A63,Juniorstwo!$A$35:$A$54,0),MATCH($B$6,Juniorstwo!$A$34:$N$34,0))*C$6+INDEX(JuniorzyNegatyw[],MATCH($A63,Juniorstwo!$A$35:$A$54,0),MATCH($B$7,Juniorstwo!$A$34:$N$34,0))*C$7+INDEX(JuniorzyNegatyw[],MATCH($A63,Juniorstwo!$A$35:$A$54,0),MATCH($B$8,Juniorstwo!$A$34:$N$34,0))*C$8+INDEX(JuniorzyNegatyw[],MATCH($A63,Juniorstwo!$A$35:$A$54,0),MATCH($B$9,Juniorstwo!$A$34:$N$34,0))*C$9+INDEX(JuniorzyNegatyw[],MATCH($A63,Juniorstwo!$A$35:$A$54,0),MATCH($B$10,Juniorstwo!$A$34:$N$34,0))*C$10+INDEX(JuniorzyNegatyw[],MATCH($A63,Juniorstwo!$A$35:$A$54,0),MATCH($B$11,Juniorstwo!$A$34:$N$34,0))*C$11+INDEX(JuniorzyNegatyw[],MATCH($A63,Juniorstwo!$A$35:$A$54,0),MATCH($B$12,Juniorstwo!$A$34:$N$34,0))*C$12+INDEX(JuniorzyNegatyw[],MATCH($A63,Juniorstwo!$A$35:$A$54,0),MATCH($B$13,Juniorstwo!$A$34:$N$34,0))*C$13,"-")</f>
        <v>-</v>
      </c>
      <c r="D63" s="38" t="str">
        <f>IFERROR(INDEX(JuniorzyNegatyw[],MATCH($A63,Juniorstwo!$A$35:$A$54,0),MATCH($B$2,Juniorstwo!$A$34:$N$34,0))*D$2+INDEX(JuniorzyNegatyw[],MATCH($A63,Juniorstwo!$A$35:$A$54,0),MATCH($B$3,Juniorstwo!$A$34:$N$34,0))*D$3+INDEX(JuniorzyNegatyw[],MATCH($A63,Juniorstwo!$A$35:$A$54,0),MATCH($B$4,Juniorstwo!$A$34:$N$34,0))*D$4+INDEX(JuniorzyNegatyw[],MATCH($A63,Juniorstwo!$A$35:$A$54,0),MATCH($B$5,Juniorstwo!$A$34:$N$34,0))*D$5+INDEX(JuniorzyNegatyw[],MATCH($A63,Juniorstwo!$A$35:$A$54,0),MATCH($B$6,Juniorstwo!$A$34:$N$34,0))*D$6+INDEX(JuniorzyNegatyw[],MATCH($A63,Juniorstwo!$A$35:$A$54,0),MATCH($B$7,Juniorstwo!$A$34:$N$34,0))*D$7+INDEX(JuniorzyNegatyw[],MATCH($A63,Juniorstwo!$A$35:$A$54,0),MATCH($B$8,Juniorstwo!$A$34:$N$34,0))*D$8+INDEX(JuniorzyNegatyw[],MATCH($A63,Juniorstwo!$A$35:$A$54,0),MATCH($B$9,Juniorstwo!$A$34:$N$34,0))*D$9+INDEX(JuniorzyNegatyw[],MATCH($A63,Juniorstwo!$A$35:$A$54,0),MATCH($B$10,Juniorstwo!$A$34:$N$34,0))*D$10+INDEX(JuniorzyNegatyw[],MATCH($A63,Juniorstwo!$A$35:$A$54,0),MATCH($B$11,Juniorstwo!$A$34:$N$34,0))*D$11+INDEX(JuniorzyNegatyw[],MATCH($A63,Juniorstwo!$A$35:$A$54,0),MATCH($B$12,Juniorstwo!$A$34:$N$34,0))*D$12+INDEX(JuniorzyNegatyw[],MATCH($A63,Juniorstwo!$A$35:$A$54,0),MATCH($B$13,Juniorstwo!$A$34:$N$34,0))*D$13,"-")</f>
        <v>-</v>
      </c>
      <c r="E63" s="38" t="str">
        <f>IFERROR(INDEX(JuniorzyNegatyw[],MATCH($A63,Juniorstwo!$A$35:$A$54,0),MATCH($B$2,Juniorstwo!$A$34:$N$34,0))*E$2+INDEX(JuniorzyNegatyw[],MATCH($A63,Juniorstwo!$A$35:$A$54,0),MATCH($B$3,Juniorstwo!$A$34:$N$34,0))*E$3+INDEX(JuniorzyNegatyw[],MATCH($A63,Juniorstwo!$A$35:$A$54,0),MATCH($B$4,Juniorstwo!$A$34:$N$34,0))*E$4+INDEX(JuniorzyNegatyw[],MATCH($A63,Juniorstwo!$A$35:$A$54,0),MATCH($B$5,Juniorstwo!$A$34:$N$34,0))*E$5+INDEX(JuniorzyNegatyw[],MATCH($A63,Juniorstwo!$A$35:$A$54,0),MATCH($B$6,Juniorstwo!$A$34:$N$34,0))*E$6+INDEX(JuniorzyNegatyw[],MATCH($A63,Juniorstwo!$A$35:$A$54,0),MATCH($B$7,Juniorstwo!$A$34:$N$34,0))*E$7+INDEX(JuniorzyNegatyw[],MATCH($A63,Juniorstwo!$A$35:$A$54,0),MATCH($B$8,Juniorstwo!$A$34:$N$34,0))*E$8+INDEX(JuniorzyNegatyw[],MATCH($A63,Juniorstwo!$A$35:$A$54,0),MATCH($B$9,Juniorstwo!$A$34:$N$34,0))*E$9+INDEX(JuniorzyNegatyw[],MATCH($A63,Juniorstwo!$A$35:$A$54,0),MATCH($B$10,Juniorstwo!$A$34:$N$34,0))*E$10+INDEX(JuniorzyNegatyw[],MATCH($A63,Juniorstwo!$A$35:$A$54,0),MATCH($B$11,Juniorstwo!$A$34:$N$34,0))*E$11+INDEX(JuniorzyNegatyw[],MATCH($A63,Juniorstwo!$A$35:$A$54,0),MATCH($B$12,Juniorstwo!$A$34:$N$34,0))*E$12+INDEX(JuniorzyNegatyw[],MATCH($A63,Juniorstwo!$A$35:$A$54,0),MATCH($B$13,Juniorstwo!$A$34:$N$34,0))*E$13,"-")</f>
        <v>-</v>
      </c>
      <c r="F63" s="38" t="str">
        <f>IFERROR(INDEX(JuniorzyNegatyw[],MATCH($A63,Juniorstwo!$A$35:$A$54,0),MATCH($B$2,Juniorstwo!$A$34:$N$34,0))*F$2+INDEX(JuniorzyNegatyw[],MATCH($A63,Juniorstwo!$A$35:$A$54,0),MATCH($B$3,Juniorstwo!$A$34:$N$34,0))*F$3+INDEX(JuniorzyNegatyw[],MATCH($A63,Juniorstwo!$A$35:$A$54,0),MATCH($B$4,Juniorstwo!$A$34:$N$34,0))*F$4+INDEX(JuniorzyNegatyw[],MATCH($A63,Juniorstwo!$A$35:$A$54,0),MATCH($B$5,Juniorstwo!$A$34:$N$34,0))*F$5+INDEX(JuniorzyNegatyw[],MATCH($A63,Juniorstwo!$A$35:$A$54,0),MATCH($B$6,Juniorstwo!$A$34:$N$34,0))*F$6+INDEX(JuniorzyNegatyw[],MATCH($A63,Juniorstwo!$A$35:$A$54,0),MATCH($B$7,Juniorstwo!$A$34:$N$34,0))*F$7+INDEX(JuniorzyNegatyw[],MATCH($A63,Juniorstwo!$A$35:$A$54,0),MATCH($B$8,Juniorstwo!$A$34:$N$34,0))*F$8+INDEX(JuniorzyNegatyw[],MATCH($A63,Juniorstwo!$A$35:$A$54,0),MATCH($B$9,Juniorstwo!$A$34:$N$34,0))*F$9+INDEX(JuniorzyNegatyw[],MATCH($A63,Juniorstwo!$A$35:$A$54,0),MATCH($B$10,Juniorstwo!$A$34:$N$34,0))*F$10+INDEX(JuniorzyNegatyw[],MATCH($A63,Juniorstwo!$A$35:$A$54,0),MATCH($B$11,Juniorstwo!$A$34:$N$34,0))*F$11+INDEX(JuniorzyNegatyw[],MATCH($A63,Juniorstwo!$A$35:$A$54,0),MATCH($B$12,Juniorstwo!$A$34:$N$34,0))*F$12+INDEX(JuniorzyNegatyw[],MATCH($A63,Juniorstwo!$A$35:$A$54,0),MATCH($B$13,Juniorstwo!$A$34:$N$34,0))*F$13,"-")</f>
        <v>-</v>
      </c>
      <c r="G63" s="38" t="str">
        <f>IFERROR(INDEX(JuniorzyNegatyw[],MATCH($A63,Juniorstwo!$A$35:$A$54,0),MATCH($B$2,Juniorstwo!$A$34:$N$34,0))*G$2+INDEX(JuniorzyNegatyw[],MATCH($A63,Juniorstwo!$A$35:$A$54,0),MATCH($B$3,Juniorstwo!$A$34:$N$34,0))*G$3+INDEX(JuniorzyNegatyw[],MATCH($A63,Juniorstwo!$A$35:$A$54,0),MATCH($B$4,Juniorstwo!$A$34:$N$34,0))*G$4+INDEX(JuniorzyNegatyw[],MATCH($A63,Juniorstwo!$A$35:$A$54,0),MATCH($B$5,Juniorstwo!$A$34:$N$34,0))*G$5+INDEX(JuniorzyNegatyw[],MATCH($A63,Juniorstwo!$A$35:$A$54,0),MATCH($B$6,Juniorstwo!$A$34:$N$34,0))*G$6+INDEX(JuniorzyNegatyw[],MATCH($A63,Juniorstwo!$A$35:$A$54,0),MATCH($B$7,Juniorstwo!$A$34:$N$34,0))*G$7+INDEX(JuniorzyNegatyw[],MATCH($A63,Juniorstwo!$A$35:$A$54,0),MATCH($B$8,Juniorstwo!$A$34:$N$34,0))*G$8+INDEX(JuniorzyNegatyw[],MATCH($A63,Juniorstwo!$A$35:$A$54,0),MATCH($B$9,Juniorstwo!$A$34:$N$34,0))*G$9+INDEX(JuniorzyNegatyw[],MATCH($A63,Juniorstwo!$A$35:$A$54,0),MATCH($B$10,Juniorstwo!$A$34:$N$34,0))*G$10+INDEX(JuniorzyNegatyw[],MATCH($A63,Juniorstwo!$A$35:$A$54,0),MATCH($B$11,Juniorstwo!$A$34:$N$34,0))*G$11+INDEX(JuniorzyNegatyw[],MATCH($A63,Juniorstwo!$A$35:$A$54,0),MATCH($B$12,Juniorstwo!$A$34:$N$34,0))*G$12+INDEX(JuniorzyNegatyw[],MATCH($A63,Juniorstwo!$A$35:$A$54,0),MATCH($B$13,Juniorstwo!$A$34:$N$34,0))*G$13,"-")</f>
        <v>-</v>
      </c>
      <c r="H63" s="38" t="str">
        <f>IFERROR(INDEX(JuniorzyNegatyw[],MATCH($A63,Juniorstwo!$A$35:$A$54,0),MATCH($B$2,Juniorstwo!$A$34:$N$34,0))*H$2+INDEX(JuniorzyNegatyw[],MATCH($A63,Juniorstwo!$A$35:$A$54,0),MATCH($B$3,Juniorstwo!$A$34:$N$34,0))*H$3+INDEX(JuniorzyNegatyw[],MATCH($A63,Juniorstwo!$A$35:$A$54,0),MATCH($B$4,Juniorstwo!$A$34:$N$34,0))*H$4+INDEX(JuniorzyNegatyw[],MATCH($A63,Juniorstwo!$A$35:$A$54,0),MATCH($B$5,Juniorstwo!$A$34:$N$34,0))*H$5+INDEX(JuniorzyNegatyw[],MATCH($A63,Juniorstwo!$A$35:$A$54,0),MATCH($B$6,Juniorstwo!$A$34:$N$34,0))*H$6+INDEX(JuniorzyNegatyw[],MATCH($A63,Juniorstwo!$A$35:$A$54,0),MATCH($B$7,Juniorstwo!$A$34:$N$34,0))*H$7+INDEX(JuniorzyNegatyw[],MATCH($A63,Juniorstwo!$A$35:$A$54,0),MATCH($B$8,Juniorstwo!$A$34:$N$34,0))*H$8+INDEX(JuniorzyNegatyw[],MATCH($A63,Juniorstwo!$A$35:$A$54,0),MATCH($B$9,Juniorstwo!$A$34:$N$34,0))*H$9+INDEX(JuniorzyNegatyw[],MATCH($A63,Juniorstwo!$A$35:$A$54,0),MATCH($B$10,Juniorstwo!$A$34:$N$34,0))*H$10+INDEX(JuniorzyNegatyw[],MATCH($A63,Juniorstwo!$A$35:$A$54,0),MATCH($B$11,Juniorstwo!$A$34:$N$34,0))*H$11+INDEX(JuniorzyNegatyw[],MATCH($A63,Juniorstwo!$A$35:$A$54,0),MATCH($B$12,Juniorstwo!$A$34:$N$34,0))*H$12+INDEX(JuniorzyNegatyw[],MATCH($A63,Juniorstwo!$A$35:$A$54,0),MATCH($B$13,Juniorstwo!$A$34:$N$34,0))*H$13,"-")</f>
        <v>-</v>
      </c>
      <c r="I63" s="38" t="str">
        <f>IFERROR(INDEX(JuniorzyNegatyw[],MATCH($A63,Juniorstwo!$A$35:$A$54,0),MATCH($B$2,Juniorstwo!$A$34:$N$34,0))*I$2+INDEX(JuniorzyNegatyw[],MATCH($A63,Juniorstwo!$A$35:$A$54,0),MATCH($B$3,Juniorstwo!$A$34:$N$34,0))*I$3+INDEX(JuniorzyNegatyw[],MATCH($A63,Juniorstwo!$A$35:$A$54,0),MATCH($B$4,Juniorstwo!$A$34:$N$34,0))*I$4+INDEX(JuniorzyNegatyw[],MATCH($A63,Juniorstwo!$A$35:$A$54,0),MATCH($B$5,Juniorstwo!$A$34:$N$34,0))*I$5+INDEX(JuniorzyNegatyw[],MATCH($A63,Juniorstwo!$A$35:$A$54,0),MATCH($B$6,Juniorstwo!$A$34:$N$34,0))*I$6+INDEX(JuniorzyNegatyw[],MATCH($A63,Juniorstwo!$A$35:$A$54,0),MATCH($B$7,Juniorstwo!$A$34:$N$34,0))*I$7+INDEX(JuniorzyNegatyw[],MATCH($A63,Juniorstwo!$A$35:$A$54,0),MATCH($B$8,Juniorstwo!$A$34:$N$34,0))*I$8+INDEX(JuniorzyNegatyw[],MATCH($A63,Juniorstwo!$A$35:$A$54,0),MATCH($B$9,Juniorstwo!$A$34:$N$34,0))*I$9+INDEX(JuniorzyNegatyw[],MATCH($A63,Juniorstwo!$A$35:$A$54,0),MATCH($B$10,Juniorstwo!$A$34:$N$34,0))*I$10+INDEX(JuniorzyNegatyw[],MATCH($A63,Juniorstwo!$A$35:$A$54,0),MATCH($B$11,Juniorstwo!$A$34:$N$34,0))*I$11+INDEX(JuniorzyNegatyw[],MATCH($A63,Juniorstwo!$A$35:$A$54,0),MATCH($B$12,Juniorstwo!$A$34:$N$34,0))*I$12+INDEX(JuniorzyNegatyw[],MATCH($A63,Juniorstwo!$A$35:$A$54,0),MATCH($B$13,Juniorstwo!$A$34:$N$34,0))*I$13,"-")</f>
        <v>-</v>
      </c>
      <c r="J63" s="38" t="str">
        <f>IFERROR(INDEX(JuniorzyNegatyw[],MATCH($A63,Juniorstwo!$A$35:$A$54,0),MATCH($B$2,Juniorstwo!$A$34:$N$34,0))*J$2+INDEX(JuniorzyNegatyw[],MATCH($A63,Juniorstwo!$A$35:$A$54,0),MATCH($B$3,Juniorstwo!$A$34:$N$34,0))*J$3+INDEX(JuniorzyNegatyw[],MATCH($A63,Juniorstwo!$A$35:$A$54,0),MATCH($B$4,Juniorstwo!$A$34:$N$34,0))*J$4+INDEX(JuniorzyNegatyw[],MATCH($A63,Juniorstwo!$A$35:$A$54,0),MATCH($B$5,Juniorstwo!$A$34:$N$34,0))*J$5+INDEX(JuniorzyNegatyw[],MATCH($A63,Juniorstwo!$A$35:$A$54,0),MATCH($B$6,Juniorstwo!$A$34:$N$34,0))*J$6+INDEX(JuniorzyNegatyw[],MATCH($A63,Juniorstwo!$A$35:$A$54,0),MATCH($B$7,Juniorstwo!$A$34:$N$34,0))*J$7+INDEX(JuniorzyNegatyw[],MATCH($A63,Juniorstwo!$A$35:$A$54,0),MATCH($B$8,Juniorstwo!$A$34:$N$34,0))*J$8+INDEX(JuniorzyNegatyw[],MATCH($A63,Juniorstwo!$A$35:$A$54,0),MATCH($B$9,Juniorstwo!$A$34:$N$34,0))*J$9+INDEX(JuniorzyNegatyw[],MATCH($A63,Juniorstwo!$A$35:$A$54,0),MATCH($B$10,Juniorstwo!$A$34:$N$34,0))*J$10+INDEX(JuniorzyNegatyw[],MATCH($A63,Juniorstwo!$A$35:$A$54,0),MATCH($B$11,Juniorstwo!$A$34:$N$34,0))*J$11+INDEX(JuniorzyNegatyw[],MATCH($A63,Juniorstwo!$A$35:$A$54,0),MATCH($B$12,Juniorstwo!$A$34:$N$34,0))*J$12+INDEX(JuniorzyNegatyw[],MATCH($A63,Juniorstwo!$A$35:$A$54,0),MATCH($B$13,Juniorstwo!$A$34:$N$34,0))*J$13,"-")</f>
        <v>-</v>
      </c>
      <c r="K63" s="38" t="str">
        <f>IFERROR(INDEX(JuniorzyNegatyw[],MATCH($A63,Juniorstwo!$A$35:$A$54,0),MATCH($B$2,Juniorstwo!$A$34:$N$34,0))*K$2+INDEX(JuniorzyNegatyw[],MATCH($A63,Juniorstwo!$A$35:$A$54,0),MATCH($B$3,Juniorstwo!$A$34:$N$34,0))*K$3+INDEX(JuniorzyNegatyw[],MATCH($A63,Juniorstwo!$A$35:$A$54,0),MATCH($B$4,Juniorstwo!$A$34:$N$34,0))*K$4+INDEX(JuniorzyNegatyw[],MATCH($A63,Juniorstwo!$A$35:$A$54,0),MATCH($B$5,Juniorstwo!$A$34:$N$34,0))*K$5+INDEX(JuniorzyNegatyw[],MATCH($A63,Juniorstwo!$A$35:$A$54,0),MATCH($B$6,Juniorstwo!$A$34:$N$34,0))*K$6+INDEX(JuniorzyNegatyw[],MATCH($A63,Juniorstwo!$A$35:$A$54,0),MATCH($B$7,Juniorstwo!$A$34:$N$34,0))*K$7+INDEX(JuniorzyNegatyw[],MATCH($A63,Juniorstwo!$A$35:$A$54,0),MATCH($B$8,Juniorstwo!$A$34:$N$34,0))*K$8+INDEX(JuniorzyNegatyw[],MATCH($A63,Juniorstwo!$A$35:$A$54,0),MATCH($B$9,Juniorstwo!$A$34:$N$34,0))*K$9+INDEX(JuniorzyNegatyw[],MATCH($A63,Juniorstwo!$A$35:$A$54,0),MATCH($B$10,Juniorstwo!$A$34:$N$34,0))*K$10+INDEX(JuniorzyNegatyw[],MATCH($A63,Juniorstwo!$A$35:$A$54,0),MATCH($B$11,Juniorstwo!$A$34:$N$34,0))*K$11+INDEX(JuniorzyNegatyw[],MATCH($A63,Juniorstwo!$A$35:$A$54,0),MATCH($B$12,Juniorstwo!$A$34:$N$34,0))*K$12+INDEX(JuniorzyNegatyw[],MATCH($A63,Juniorstwo!$A$35:$A$54,0),MATCH($B$13,Juniorstwo!$A$34:$N$34,0))*K$13,"-")</f>
        <v>-</v>
      </c>
    </row>
    <row r="64" spans="1:11" x14ac:dyDescent="0.25">
      <c r="A64" s="25"/>
      <c r="B64" s="21"/>
    </row>
    <row r="65" spans="1:11" x14ac:dyDescent="0.25">
      <c r="A65" s="25"/>
      <c r="B65" s="21"/>
    </row>
    <row r="66" spans="1:11" ht="15.75" thickBot="1" x14ac:dyDescent="0.3">
      <c r="A66" s="13" t="s">
        <v>36</v>
      </c>
      <c r="B66" s="13" t="s">
        <v>37</v>
      </c>
      <c r="C66" s="23" t="s">
        <v>40</v>
      </c>
      <c r="D66" s="23" t="s">
        <v>47</v>
      </c>
      <c r="E66" s="23" t="s">
        <v>66</v>
      </c>
      <c r="F66" s="23" t="s">
        <v>41</v>
      </c>
      <c r="G66" s="23" t="s">
        <v>67</v>
      </c>
      <c r="H66" s="23" t="s">
        <v>68</v>
      </c>
      <c r="I66" s="23" t="s">
        <v>44</v>
      </c>
      <c r="J66" s="23" t="s">
        <v>69</v>
      </c>
      <c r="K66" s="23" t="s">
        <v>46</v>
      </c>
    </row>
    <row r="67" spans="1:11" x14ac:dyDescent="0.25">
      <c r="A67">
        <f>IFERROR(PozycjeŚr!A43,"-")</f>
        <v>31</v>
      </c>
      <c r="B67" s="3" t="str">
        <f>IFERROR(VLOOKUP(PozJunPMG[[#This Row],[Numer]],Zawodnicy[[Number]:[Player name]],2,FALSE),"-")</f>
        <v>Jacek Swoboda</v>
      </c>
      <c r="C67" s="38">
        <f ca="1">IFERROR(INDEX(JuniorzyPozytyw[],MATCH($A67,Juniorstwo!$A$57:$A$76,0),MATCH($B$2,Juniorstwo!$A$56:$N$56,0))*C$2+INDEX(JuniorzyPozytyw[],MATCH($A67,Juniorstwo!$A$57:$A$76,0),MATCH($B$3,Juniorstwo!$A$56:$N$56,0))*C$3+INDEX(JuniorzyPozytyw[],MATCH($A67,Juniorstwo!$A$57:$A$76,0),MATCH($B$4,Juniorstwo!$A$56:$N$56,0))*C$4+INDEX(JuniorzyPozytyw[],MATCH($A67,Juniorstwo!$A$57:$A$76,0),MATCH($B$5,Juniorstwo!$A$56:$N$56,0))*C$5+INDEX(JuniorzyPozytyw[],MATCH($A67,Juniorstwo!$A$57:$A$76,0),MATCH($B$6,Juniorstwo!$A$56:$N$56,0))*C$6+INDEX(JuniorzyPozytyw[],MATCH($A67,Juniorstwo!$A$57:$A$76,0),MATCH($B$7,Juniorstwo!$A$56:$N$56,0))*C$7+INDEX(JuniorzyPozytyw[],MATCH($A67,Juniorstwo!$A$57:$A$76,0),MATCH($B$8,Juniorstwo!$A$56:$N$56,0))*C$8+INDEX(JuniorzyPozytyw[],MATCH($A67,Juniorstwo!$A$57:$A$76,0),MATCH($B$9,Juniorstwo!$A$56:$N$56,0))*C$9+INDEX(JuniorzyPozytyw[],MATCH($A67,Juniorstwo!$A$57:$A$76,0),MATCH($B$10,Juniorstwo!$A$56:$N$56,0))*C$10+INDEX(JuniorzyPozytyw[],MATCH($A67,Juniorstwo!$A$57:$A$76,0),MATCH($B$11,Juniorstwo!$A$56:$N$56,0))*C$11+INDEX(JuniorzyPozytyw[],MATCH($A67,Juniorstwo!$A$57:$A$76,0),MATCH($B$12,Juniorstwo!$A$56:$N$56,0))*C$12+INDEX(JuniorzyPozytyw[],MATCH($A67,Juniorstwo!$A$57:$A$76,0),MATCH($B$13,Juniorstwo!$A$56:$N$56,0))*C$13,"-")</f>
        <v>60.07</v>
      </c>
      <c r="D67" s="38">
        <f ca="1">IFERROR(INDEX(JuniorzyPozytyw[],MATCH($A67,Juniorstwo!$A$57:$A$76,0),MATCH($B$2,Juniorstwo!$A$56:$N$56,0))*D$2+INDEX(JuniorzyPozytyw[],MATCH($A67,Juniorstwo!$A$57:$A$76,0),MATCH($B$3,Juniorstwo!$A$56:$N$56,0))*D$3+INDEX(JuniorzyPozytyw[],MATCH($A67,Juniorstwo!$A$57:$A$76,0),MATCH($B$4,Juniorstwo!$A$56:$N$56,0))*D$4+INDEX(JuniorzyPozytyw[],MATCH($A67,Juniorstwo!$A$57:$A$76,0),MATCH($B$5,Juniorstwo!$A$56:$N$56,0))*D$5+INDEX(JuniorzyPozytyw[],MATCH($A67,Juniorstwo!$A$57:$A$76,0),MATCH($B$6,Juniorstwo!$A$56:$N$56,0))*D$6+INDEX(JuniorzyPozytyw[],MATCH($A67,Juniorstwo!$A$57:$A$76,0),MATCH($B$7,Juniorstwo!$A$56:$N$56,0))*D$7+INDEX(JuniorzyPozytyw[],MATCH($A67,Juniorstwo!$A$57:$A$76,0),MATCH($B$8,Juniorstwo!$A$56:$N$56,0))*D$8+INDEX(JuniorzyPozytyw[],MATCH($A67,Juniorstwo!$A$57:$A$76,0),MATCH($B$9,Juniorstwo!$A$56:$N$56,0))*D$9+INDEX(JuniorzyPozytyw[],MATCH($A67,Juniorstwo!$A$57:$A$76,0),MATCH($B$10,Juniorstwo!$A$56:$N$56,0))*D$10+INDEX(JuniorzyPozytyw[],MATCH($A67,Juniorstwo!$A$57:$A$76,0),MATCH($B$11,Juniorstwo!$A$56:$N$56,0))*D$11+INDEX(JuniorzyPozytyw[],MATCH($A67,Juniorstwo!$A$57:$A$76,0),MATCH($B$12,Juniorstwo!$A$56:$N$56,0))*D$12+INDEX(JuniorzyPozytyw[],MATCH($A67,Juniorstwo!$A$57:$A$76,0),MATCH($B$13,Juniorstwo!$A$56:$N$56,0))*D$13,"-")</f>
        <v>74.569999999999993</v>
      </c>
      <c r="E67" s="38">
        <f ca="1">IFERROR(INDEX(JuniorzyPozytyw[],MATCH($A67,Juniorstwo!$A$57:$A$76,0),MATCH($B$2,Juniorstwo!$A$56:$N$56,0))*E$2+INDEX(JuniorzyPozytyw[],MATCH($A67,Juniorstwo!$A$57:$A$76,0),MATCH($B$3,Juniorstwo!$A$56:$N$56,0))*E$3+INDEX(JuniorzyPozytyw[],MATCH($A67,Juniorstwo!$A$57:$A$76,0),MATCH($B$4,Juniorstwo!$A$56:$N$56,0))*E$4+INDEX(JuniorzyPozytyw[],MATCH($A67,Juniorstwo!$A$57:$A$76,0),MATCH($B$5,Juniorstwo!$A$56:$N$56,0))*E$5+INDEX(JuniorzyPozytyw[],MATCH($A67,Juniorstwo!$A$57:$A$76,0),MATCH($B$6,Juniorstwo!$A$56:$N$56,0))*E$6+INDEX(JuniorzyPozytyw[],MATCH($A67,Juniorstwo!$A$57:$A$76,0),MATCH($B$7,Juniorstwo!$A$56:$N$56,0))*E$7+INDEX(JuniorzyPozytyw[],MATCH($A67,Juniorstwo!$A$57:$A$76,0),MATCH($B$8,Juniorstwo!$A$56:$N$56,0))*E$8+INDEX(JuniorzyPozytyw[],MATCH($A67,Juniorstwo!$A$57:$A$76,0),MATCH($B$9,Juniorstwo!$A$56:$N$56,0))*E$9+INDEX(JuniorzyPozytyw[],MATCH($A67,Juniorstwo!$A$57:$A$76,0),MATCH($B$10,Juniorstwo!$A$56:$N$56,0))*E$10+INDEX(JuniorzyPozytyw[],MATCH($A67,Juniorstwo!$A$57:$A$76,0),MATCH($B$11,Juniorstwo!$A$56:$N$56,0))*E$11+INDEX(JuniorzyPozytyw[],MATCH($A67,Juniorstwo!$A$57:$A$76,0),MATCH($B$12,Juniorstwo!$A$56:$N$56,0))*E$12+INDEX(JuniorzyPozytyw[],MATCH($A67,Juniorstwo!$A$57:$A$76,0),MATCH($B$13,Juniorstwo!$A$56:$N$56,0))*E$13,"-")</f>
        <v>74.319999999999993</v>
      </c>
      <c r="F67" s="38">
        <f ca="1">IFERROR(INDEX(JuniorzyPozytyw[],MATCH($A67,Juniorstwo!$A$57:$A$76,0),MATCH($B$2,Juniorstwo!$A$56:$N$56,0))*F$2+INDEX(JuniorzyPozytyw[],MATCH($A67,Juniorstwo!$A$57:$A$76,0),MATCH($B$3,Juniorstwo!$A$56:$N$56,0))*F$3+INDEX(JuniorzyPozytyw[],MATCH($A67,Juniorstwo!$A$57:$A$76,0),MATCH($B$4,Juniorstwo!$A$56:$N$56,0))*F$4+INDEX(JuniorzyPozytyw[],MATCH($A67,Juniorstwo!$A$57:$A$76,0),MATCH($B$5,Juniorstwo!$A$56:$N$56,0))*F$5+INDEX(JuniorzyPozytyw[],MATCH($A67,Juniorstwo!$A$57:$A$76,0),MATCH($B$6,Juniorstwo!$A$56:$N$56,0))*F$6+INDEX(JuniorzyPozytyw[],MATCH($A67,Juniorstwo!$A$57:$A$76,0),MATCH($B$7,Juniorstwo!$A$56:$N$56,0))*F$7+INDEX(JuniorzyPozytyw[],MATCH($A67,Juniorstwo!$A$57:$A$76,0),MATCH($B$8,Juniorstwo!$A$56:$N$56,0))*F$8+INDEX(JuniorzyPozytyw[],MATCH($A67,Juniorstwo!$A$57:$A$76,0),MATCH($B$9,Juniorstwo!$A$56:$N$56,0))*F$9+INDEX(JuniorzyPozytyw[],MATCH($A67,Juniorstwo!$A$57:$A$76,0),MATCH($B$10,Juniorstwo!$A$56:$N$56,0))*F$10+INDEX(JuniorzyPozytyw[],MATCH($A67,Juniorstwo!$A$57:$A$76,0),MATCH($B$11,Juniorstwo!$A$56:$N$56,0))*F$11+INDEX(JuniorzyPozytyw[],MATCH($A67,Juniorstwo!$A$57:$A$76,0),MATCH($B$12,Juniorstwo!$A$56:$N$56,0))*F$12+INDEX(JuniorzyPozytyw[],MATCH($A67,Juniorstwo!$A$57:$A$76,0),MATCH($B$13,Juniorstwo!$A$56:$N$56,0))*F$13,"-")</f>
        <v>74.319999999999993</v>
      </c>
      <c r="G67" s="38">
        <f ca="1">IFERROR(INDEX(JuniorzyPozytyw[],MATCH($A67,Juniorstwo!$A$57:$A$76,0),MATCH($B$2,Juniorstwo!$A$56:$N$56,0))*G$2+INDEX(JuniorzyPozytyw[],MATCH($A67,Juniorstwo!$A$57:$A$76,0),MATCH($B$3,Juniorstwo!$A$56:$N$56,0))*G$3+INDEX(JuniorzyPozytyw[],MATCH($A67,Juniorstwo!$A$57:$A$76,0),MATCH($B$4,Juniorstwo!$A$56:$N$56,0))*G$4+INDEX(JuniorzyPozytyw[],MATCH($A67,Juniorstwo!$A$57:$A$76,0),MATCH($B$5,Juniorstwo!$A$56:$N$56,0))*G$5+INDEX(JuniorzyPozytyw[],MATCH($A67,Juniorstwo!$A$57:$A$76,0),MATCH($B$6,Juniorstwo!$A$56:$N$56,0))*G$6+INDEX(JuniorzyPozytyw[],MATCH($A67,Juniorstwo!$A$57:$A$76,0),MATCH($B$7,Juniorstwo!$A$56:$N$56,0))*G$7+INDEX(JuniorzyPozytyw[],MATCH($A67,Juniorstwo!$A$57:$A$76,0),MATCH($B$8,Juniorstwo!$A$56:$N$56,0))*G$8+INDEX(JuniorzyPozytyw[],MATCH($A67,Juniorstwo!$A$57:$A$76,0),MATCH($B$9,Juniorstwo!$A$56:$N$56,0))*G$9+INDEX(JuniorzyPozytyw[],MATCH($A67,Juniorstwo!$A$57:$A$76,0),MATCH($B$10,Juniorstwo!$A$56:$N$56,0))*G$10+INDEX(JuniorzyPozytyw[],MATCH($A67,Juniorstwo!$A$57:$A$76,0),MATCH($B$11,Juniorstwo!$A$56:$N$56,0))*G$11+INDEX(JuniorzyPozytyw[],MATCH($A67,Juniorstwo!$A$57:$A$76,0),MATCH($B$12,Juniorstwo!$A$56:$N$56,0))*G$12+INDEX(JuniorzyPozytyw[],MATCH($A67,Juniorstwo!$A$57:$A$76,0),MATCH($B$13,Juniorstwo!$A$56:$N$56,0))*G$13,"-")</f>
        <v>73.319999999999993</v>
      </c>
      <c r="H67" s="38">
        <f ca="1">IFERROR(INDEX(JuniorzyPozytyw[],MATCH($A67,Juniorstwo!$A$57:$A$76,0),MATCH($B$2,Juniorstwo!$A$56:$N$56,0))*H$2+INDEX(JuniorzyPozytyw[],MATCH($A67,Juniorstwo!$A$57:$A$76,0),MATCH($B$3,Juniorstwo!$A$56:$N$56,0))*H$3+INDEX(JuniorzyPozytyw[],MATCH($A67,Juniorstwo!$A$57:$A$76,0),MATCH($B$4,Juniorstwo!$A$56:$N$56,0))*H$4+INDEX(JuniorzyPozytyw[],MATCH($A67,Juniorstwo!$A$57:$A$76,0),MATCH($B$5,Juniorstwo!$A$56:$N$56,0))*H$5+INDEX(JuniorzyPozytyw[],MATCH($A67,Juniorstwo!$A$57:$A$76,0),MATCH($B$6,Juniorstwo!$A$56:$N$56,0))*H$6+INDEX(JuniorzyPozytyw[],MATCH($A67,Juniorstwo!$A$57:$A$76,0),MATCH($B$7,Juniorstwo!$A$56:$N$56,0))*H$7+INDEX(JuniorzyPozytyw[],MATCH($A67,Juniorstwo!$A$57:$A$76,0),MATCH($B$8,Juniorstwo!$A$56:$N$56,0))*H$8+INDEX(JuniorzyPozytyw[],MATCH($A67,Juniorstwo!$A$57:$A$76,0),MATCH($B$9,Juniorstwo!$A$56:$N$56,0))*H$9+INDEX(JuniorzyPozytyw[],MATCH($A67,Juniorstwo!$A$57:$A$76,0),MATCH($B$10,Juniorstwo!$A$56:$N$56,0))*H$10+INDEX(JuniorzyPozytyw[],MATCH($A67,Juniorstwo!$A$57:$A$76,0),MATCH($B$11,Juniorstwo!$A$56:$N$56,0))*H$11+INDEX(JuniorzyPozytyw[],MATCH($A67,Juniorstwo!$A$57:$A$76,0),MATCH($B$12,Juniorstwo!$A$56:$N$56,0))*H$12+INDEX(JuniorzyPozytyw[],MATCH($A67,Juniorstwo!$A$57:$A$76,0),MATCH($B$13,Juniorstwo!$A$56:$N$56,0))*H$13,"-")</f>
        <v>74.069999999999993</v>
      </c>
      <c r="I67" s="38">
        <f ca="1">IFERROR(INDEX(JuniorzyPozytyw[],MATCH($A67,Juniorstwo!$A$57:$A$76,0),MATCH($B$2,Juniorstwo!$A$56:$N$56,0))*I$2+INDEX(JuniorzyPozytyw[],MATCH($A67,Juniorstwo!$A$57:$A$76,0),MATCH($B$3,Juniorstwo!$A$56:$N$56,0))*I$3+INDEX(JuniorzyPozytyw[],MATCH($A67,Juniorstwo!$A$57:$A$76,0),MATCH($B$4,Juniorstwo!$A$56:$N$56,0))*I$4+INDEX(JuniorzyPozytyw[],MATCH($A67,Juniorstwo!$A$57:$A$76,0),MATCH($B$5,Juniorstwo!$A$56:$N$56,0))*I$5+INDEX(JuniorzyPozytyw[],MATCH($A67,Juniorstwo!$A$57:$A$76,0),MATCH($B$6,Juniorstwo!$A$56:$N$56,0))*I$6+INDEX(JuniorzyPozytyw[],MATCH($A67,Juniorstwo!$A$57:$A$76,0),MATCH($B$7,Juniorstwo!$A$56:$N$56,0))*I$7+INDEX(JuniorzyPozytyw[],MATCH($A67,Juniorstwo!$A$57:$A$76,0),MATCH($B$8,Juniorstwo!$A$56:$N$56,0))*I$8+INDEX(JuniorzyPozytyw[],MATCH($A67,Juniorstwo!$A$57:$A$76,0),MATCH($B$9,Juniorstwo!$A$56:$N$56,0))*I$9+INDEX(JuniorzyPozytyw[],MATCH($A67,Juniorstwo!$A$57:$A$76,0),MATCH($B$10,Juniorstwo!$A$56:$N$56,0))*I$10+INDEX(JuniorzyPozytyw[],MATCH($A67,Juniorstwo!$A$57:$A$76,0),MATCH($B$11,Juniorstwo!$A$56:$N$56,0))*I$11+INDEX(JuniorzyPozytyw[],MATCH($A67,Juniorstwo!$A$57:$A$76,0),MATCH($B$12,Juniorstwo!$A$56:$N$56,0))*I$12+INDEX(JuniorzyPozytyw[],MATCH($A67,Juniorstwo!$A$57:$A$76,0),MATCH($B$13,Juniorstwo!$A$56:$N$56,0))*I$13,"-")</f>
        <v>70.569999999999993</v>
      </c>
      <c r="J67" s="38">
        <f ca="1">IFERROR(INDEX(JuniorzyPozytyw[],MATCH($A67,Juniorstwo!$A$57:$A$76,0),MATCH($B$2,Juniorstwo!$A$56:$N$56,0))*J$2+INDEX(JuniorzyPozytyw[],MATCH($A67,Juniorstwo!$A$57:$A$76,0),MATCH($B$3,Juniorstwo!$A$56:$N$56,0))*J$3+INDEX(JuniorzyPozytyw[],MATCH($A67,Juniorstwo!$A$57:$A$76,0),MATCH($B$4,Juniorstwo!$A$56:$N$56,0))*J$4+INDEX(JuniorzyPozytyw[],MATCH($A67,Juniorstwo!$A$57:$A$76,0),MATCH($B$5,Juniorstwo!$A$56:$N$56,0))*J$5+INDEX(JuniorzyPozytyw[],MATCH($A67,Juniorstwo!$A$57:$A$76,0),MATCH($B$6,Juniorstwo!$A$56:$N$56,0))*J$6+INDEX(JuniorzyPozytyw[],MATCH($A67,Juniorstwo!$A$57:$A$76,0),MATCH($B$7,Juniorstwo!$A$56:$N$56,0))*J$7+INDEX(JuniorzyPozytyw[],MATCH($A67,Juniorstwo!$A$57:$A$76,0),MATCH($B$8,Juniorstwo!$A$56:$N$56,0))*J$8+INDEX(JuniorzyPozytyw[],MATCH($A67,Juniorstwo!$A$57:$A$76,0),MATCH($B$9,Juniorstwo!$A$56:$N$56,0))*J$9+INDEX(JuniorzyPozytyw[],MATCH($A67,Juniorstwo!$A$57:$A$76,0),MATCH($B$10,Juniorstwo!$A$56:$N$56,0))*J$10+INDEX(JuniorzyPozytyw[],MATCH($A67,Juniorstwo!$A$57:$A$76,0),MATCH($B$11,Juniorstwo!$A$56:$N$56,0))*J$11+INDEX(JuniorzyPozytyw[],MATCH($A67,Juniorstwo!$A$57:$A$76,0),MATCH($B$12,Juniorstwo!$A$56:$N$56,0))*J$12+INDEX(JuniorzyPozytyw[],MATCH($A67,Juniorstwo!$A$57:$A$76,0),MATCH($B$13,Juniorstwo!$A$56:$N$56,0))*J$13,"-")</f>
        <v>72.319999999999993</v>
      </c>
      <c r="K67" s="38">
        <f ca="1">IFERROR(INDEX(JuniorzyPozytyw[],MATCH($A67,Juniorstwo!$A$57:$A$76,0),MATCH($B$2,Juniorstwo!$A$56:$N$56,0))*K$2+INDEX(JuniorzyPozytyw[],MATCH($A67,Juniorstwo!$A$57:$A$76,0),MATCH($B$3,Juniorstwo!$A$56:$N$56,0))*K$3+INDEX(JuniorzyPozytyw[],MATCH($A67,Juniorstwo!$A$57:$A$76,0),MATCH($B$4,Juniorstwo!$A$56:$N$56,0))*K$4+INDEX(JuniorzyPozytyw[],MATCH($A67,Juniorstwo!$A$57:$A$76,0),MATCH($B$5,Juniorstwo!$A$56:$N$56,0))*K$5+INDEX(JuniorzyPozytyw[],MATCH($A67,Juniorstwo!$A$57:$A$76,0),MATCH($B$6,Juniorstwo!$A$56:$N$56,0))*K$6+INDEX(JuniorzyPozytyw[],MATCH($A67,Juniorstwo!$A$57:$A$76,0),MATCH($B$7,Juniorstwo!$A$56:$N$56,0))*K$7+INDEX(JuniorzyPozytyw[],MATCH($A67,Juniorstwo!$A$57:$A$76,0),MATCH($B$8,Juniorstwo!$A$56:$N$56,0))*K$8+INDEX(JuniorzyPozytyw[],MATCH($A67,Juniorstwo!$A$57:$A$76,0),MATCH($B$9,Juniorstwo!$A$56:$N$56,0))*K$9+INDEX(JuniorzyPozytyw[],MATCH($A67,Juniorstwo!$A$57:$A$76,0),MATCH($B$10,Juniorstwo!$A$56:$N$56,0))*K$10+INDEX(JuniorzyPozytyw[],MATCH($A67,Juniorstwo!$A$57:$A$76,0),MATCH($B$11,Juniorstwo!$A$56:$N$56,0))*K$11+INDEX(JuniorzyPozytyw[],MATCH($A67,Juniorstwo!$A$57:$A$76,0),MATCH($B$12,Juniorstwo!$A$56:$N$56,0))*K$12+INDEX(JuniorzyPozytyw[],MATCH($A67,Juniorstwo!$A$57:$A$76,0),MATCH($B$13,Juniorstwo!$A$56:$N$56,0))*K$13,"-")</f>
        <v>66.319999999999993</v>
      </c>
    </row>
    <row r="68" spans="1:11" x14ac:dyDescent="0.25">
      <c r="A68">
        <f>IFERROR(PozycjeŚr!A44,"-")</f>
        <v>38</v>
      </c>
      <c r="B68" s="3" t="str">
        <f>IFERROR(VLOOKUP(PozJunPMG[[#This Row],[Numer]],Zawodnicy[[Number]:[Player name]],2,FALSE),"-")</f>
        <v>Boleslaw Kolbert</v>
      </c>
      <c r="C68" s="38">
        <f ca="1">IFERROR(INDEX(JuniorzyPozytyw[],MATCH($A68,Juniorstwo!$A$57:$A$76,0),MATCH($B$2,Juniorstwo!$A$56:$N$56,0))*C$2+INDEX(JuniorzyPozytyw[],MATCH($A68,Juniorstwo!$A$57:$A$76,0),MATCH($B$3,Juniorstwo!$A$56:$N$56,0))*C$3+INDEX(JuniorzyPozytyw[],MATCH($A68,Juniorstwo!$A$57:$A$76,0),MATCH($B$4,Juniorstwo!$A$56:$N$56,0))*C$4+INDEX(JuniorzyPozytyw[],MATCH($A68,Juniorstwo!$A$57:$A$76,0),MATCH($B$5,Juniorstwo!$A$56:$N$56,0))*C$5+INDEX(JuniorzyPozytyw[],MATCH($A68,Juniorstwo!$A$57:$A$76,0),MATCH($B$6,Juniorstwo!$A$56:$N$56,0))*C$6+INDEX(JuniorzyPozytyw[],MATCH($A68,Juniorstwo!$A$57:$A$76,0),MATCH($B$7,Juniorstwo!$A$56:$N$56,0))*C$7+INDEX(JuniorzyPozytyw[],MATCH($A68,Juniorstwo!$A$57:$A$76,0),MATCH($B$8,Juniorstwo!$A$56:$N$56,0))*C$8+INDEX(JuniorzyPozytyw[],MATCH($A68,Juniorstwo!$A$57:$A$76,0),MATCH($B$9,Juniorstwo!$A$56:$N$56,0))*C$9+INDEX(JuniorzyPozytyw[],MATCH($A68,Juniorstwo!$A$57:$A$76,0),MATCH($B$10,Juniorstwo!$A$56:$N$56,0))*C$10+INDEX(JuniorzyPozytyw[],MATCH($A68,Juniorstwo!$A$57:$A$76,0),MATCH($B$11,Juniorstwo!$A$56:$N$56,0))*C$11+INDEX(JuniorzyPozytyw[],MATCH($A68,Juniorstwo!$A$57:$A$76,0),MATCH($B$12,Juniorstwo!$A$56:$N$56,0))*C$12+INDEX(JuniorzyPozytyw[],MATCH($A68,Juniorstwo!$A$57:$A$76,0),MATCH($B$13,Juniorstwo!$A$56:$N$56,0))*C$13,"-")</f>
        <v>51.57</v>
      </c>
      <c r="D68" s="38">
        <f ca="1">IFERROR(INDEX(JuniorzyPozytyw[],MATCH($A68,Juniorstwo!$A$57:$A$76,0),MATCH($B$2,Juniorstwo!$A$56:$N$56,0))*D$2+INDEX(JuniorzyPozytyw[],MATCH($A68,Juniorstwo!$A$57:$A$76,0),MATCH($B$3,Juniorstwo!$A$56:$N$56,0))*D$3+INDEX(JuniorzyPozytyw[],MATCH($A68,Juniorstwo!$A$57:$A$76,0),MATCH($B$4,Juniorstwo!$A$56:$N$56,0))*D$4+INDEX(JuniorzyPozytyw[],MATCH($A68,Juniorstwo!$A$57:$A$76,0),MATCH($B$5,Juniorstwo!$A$56:$N$56,0))*D$5+INDEX(JuniorzyPozytyw[],MATCH($A68,Juniorstwo!$A$57:$A$76,0),MATCH($B$6,Juniorstwo!$A$56:$N$56,0))*D$6+INDEX(JuniorzyPozytyw[],MATCH($A68,Juniorstwo!$A$57:$A$76,0),MATCH($B$7,Juniorstwo!$A$56:$N$56,0))*D$7+INDEX(JuniorzyPozytyw[],MATCH($A68,Juniorstwo!$A$57:$A$76,0),MATCH($B$8,Juniorstwo!$A$56:$N$56,0))*D$8+INDEX(JuniorzyPozytyw[],MATCH($A68,Juniorstwo!$A$57:$A$76,0),MATCH($B$9,Juniorstwo!$A$56:$N$56,0))*D$9+INDEX(JuniorzyPozytyw[],MATCH($A68,Juniorstwo!$A$57:$A$76,0),MATCH($B$10,Juniorstwo!$A$56:$N$56,0))*D$10+INDEX(JuniorzyPozytyw[],MATCH($A68,Juniorstwo!$A$57:$A$76,0),MATCH($B$11,Juniorstwo!$A$56:$N$56,0))*D$11+INDEX(JuniorzyPozytyw[],MATCH($A68,Juniorstwo!$A$57:$A$76,0),MATCH($B$12,Juniorstwo!$A$56:$N$56,0))*D$12+INDEX(JuniorzyPozytyw[],MATCH($A68,Juniorstwo!$A$57:$A$76,0),MATCH($B$13,Juniorstwo!$A$56:$N$56,0))*D$13,"-")</f>
        <v>79.319999999999993</v>
      </c>
      <c r="E68" s="38">
        <f ca="1">IFERROR(INDEX(JuniorzyPozytyw[],MATCH($A68,Juniorstwo!$A$57:$A$76,0),MATCH($B$2,Juniorstwo!$A$56:$N$56,0))*E$2+INDEX(JuniorzyPozytyw[],MATCH($A68,Juniorstwo!$A$57:$A$76,0),MATCH($B$3,Juniorstwo!$A$56:$N$56,0))*E$3+INDEX(JuniorzyPozytyw[],MATCH($A68,Juniorstwo!$A$57:$A$76,0),MATCH($B$4,Juniorstwo!$A$56:$N$56,0))*E$4+INDEX(JuniorzyPozytyw[],MATCH($A68,Juniorstwo!$A$57:$A$76,0),MATCH($B$5,Juniorstwo!$A$56:$N$56,0))*E$5+INDEX(JuniorzyPozytyw[],MATCH($A68,Juniorstwo!$A$57:$A$76,0),MATCH($B$6,Juniorstwo!$A$56:$N$56,0))*E$6+INDEX(JuniorzyPozytyw[],MATCH($A68,Juniorstwo!$A$57:$A$76,0),MATCH($B$7,Juniorstwo!$A$56:$N$56,0))*E$7+INDEX(JuniorzyPozytyw[],MATCH($A68,Juniorstwo!$A$57:$A$76,0),MATCH($B$8,Juniorstwo!$A$56:$N$56,0))*E$8+INDEX(JuniorzyPozytyw[],MATCH($A68,Juniorstwo!$A$57:$A$76,0),MATCH($B$9,Juniorstwo!$A$56:$N$56,0))*E$9+INDEX(JuniorzyPozytyw[],MATCH($A68,Juniorstwo!$A$57:$A$76,0),MATCH($B$10,Juniorstwo!$A$56:$N$56,0))*E$10+INDEX(JuniorzyPozytyw[],MATCH($A68,Juniorstwo!$A$57:$A$76,0),MATCH($B$11,Juniorstwo!$A$56:$N$56,0))*E$11+INDEX(JuniorzyPozytyw[],MATCH($A68,Juniorstwo!$A$57:$A$76,0),MATCH($B$12,Juniorstwo!$A$56:$N$56,0))*E$12+INDEX(JuniorzyPozytyw[],MATCH($A68,Juniorstwo!$A$57:$A$76,0),MATCH($B$13,Juniorstwo!$A$56:$N$56,0))*E$13,"-")</f>
        <v>76.069999999999993</v>
      </c>
      <c r="F68" s="38">
        <f ca="1">IFERROR(INDEX(JuniorzyPozytyw[],MATCH($A68,Juniorstwo!$A$57:$A$76,0),MATCH($B$2,Juniorstwo!$A$56:$N$56,0))*F$2+INDEX(JuniorzyPozytyw[],MATCH($A68,Juniorstwo!$A$57:$A$76,0),MATCH($B$3,Juniorstwo!$A$56:$N$56,0))*F$3+INDEX(JuniorzyPozytyw[],MATCH($A68,Juniorstwo!$A$57:$A$76,0),MATCH($B$4,Juniorstwo!$A$56:$N$56,0))*F$4+INDEX(JuniorzyPozytyw[],MATCH($A68,Juniorstwo!$A$57:$A$76,0),MATCH($B$5,Juniorstwo!$A$56:$N$56,0))*F$5+INDEX(JuniorzyPozytyw[],MATCH($A68,Juniorstwo!$A$57:$A$76,0),MATCH($B$6,Juniorstwo!$A$56:$N$56,0))*F$6+INDEX(JuniorzyPozytyw[],MATCH($A68,Juniorstwo!$A$57:$A$76,0),MATCH($B$7,Juniorstwo!$A$56:$N$56,0))*F$7+INDEX(JuniorzyPozytyw[],MATCH($A68,Juniorstwo!$A$57:$A$76,0),MATCH($B$8,Juniorstwo!$A$56:$N$56,0))*F$8+INDEX(JuniorzyPozytyw[],MATCH($A68,Juniorstwo!$A$57:$A$76,0),MATCH($B$9,Juniorstwo!$A$56:$N$56,0))*F$9+INDEX(JuniorzyPozytyw[],MATCH($A68,Juniorstwo!$A$57:$A$76,0),MATCH($B$10,Juniorstwo!$A$56:$N$56,0))*F$10+INDEX(JuniorzyPozytyw[],MATCH($A68,Juniorstwo!$A$57:$A$76,0),MATCH($B$11,Juniorstwo!$A$56:$N$56,0))*F$11+INDEX(JuniorzyPozytyw[],MATCH($A68,Juniorstwo!$A$57:$A$76,0),MATCH($B$12,Juniorstwo!$A$56:$N$56,0))*F$12+INDEX(JuniorzyPozytyw[],MATCH($A68,Juniorstwo!$A$57:$A$76,0),MATCH($B$13,Juniorstwo!$A$56:$N$56,0))*F$13,"-")</f>
        <v>75.069999999999993</v>
      </c>
      <c r="G68" s="38">
        <f ca="1">IFERROR(INDEX(JuniorzyPozytyw[],MATCH($A68,Juniorstwo!$A$57:$A$76,0),MATCH($B$2,Juniorstwo!$A$56:$N$56,0))*G$2+INDEX(JuniorzyPozytyw[],MATCH($A68,Juniorstwo!$A$57:$A$76,0),MATCH($B$3,Juniorstwo!$A$56:$N$56,0))*G$3+INDEX(JuniorzyPozytyw[],MATCH($A68,Juniorstwo!$A$57:$A$76,0),MATCH($B$4,Juniorstwo!$A$56:$N$56,0))*G$4+INDEX(JuniorzyPozytyw[],MATCH($A68,Juniorstwo!$A$57:$A$76,0),MATCH($B$5,Juniorstwo!$A$56:$N$56,0))*G$5+INDEX(JuniorzyPozytyw[],MATCH($A68,Juniorstwo!$A$57:$A$76,0),MATCH($B$6,Juniorstwo!$A$56:$N$56,0))*G$6+INDEX(JuniorzyPozytyw[],MATCH($A68,Juniorstwo!$A$57:$A$76,0),MATCH($B$7,Juniorstwo!$A$56:$N$56,0))*G$7+INDEX(JuniorzyPozytyw[],MATCH($A68,Juniorstwo!$A$57:$A$76,0),MATCH($B$8,Juniorstwo!$A$56:$N$56,0))*G$8+INDEX(JuniorzyPozytyw[],MATCH($A68,Juniorstwo!$A$57:$A$76,0),MATCH($B$9,Juniorstwo!$A$56:$N$56,0))*G$9+INDEX(JuniorzyPozytyw[],MATCH($A68,Juniorstwo!$A$57:$A$76,0),MATCH($B$10,Juniorstwo!$A$56:$N$56,0))*G$10+INDEX(JuniorzyPozytyw[],MATCH($A68,Juniorstwo!$A$57:$A$76,0),MATCH($B$11,Juniorstwo!$A$56:$N$56,0))*G$11+INDEX(JuniorzyPozytyw[],MATCH($A68,Juniorstwo!$A$57:$A$76,0),MATCH($B$12,Juniorstwo!$A$56:$N$56,0))*G$12+INDEX(JuniorzyPozytyw[],MATCH($A68,Juniorstwo!$A$57:$A$76,0),MATCH($B$13,Juniorstwo!$A$56:$N$56,0))*G$13,"-")</f>
        <v>72.569999999999993</v>
      </c>
      <c r="H68" s="38">
        <f ca="1">IFERROR(INDEX(JuniorzyPozytyw[],MATCH($A68,Juniorstwo!$A$57:$A$76,0),MATCH($B$2,Juniorstwo!$A$56:$N$56,0))*H$2+INDEX(JuniorzyPozytyw[],MATCH($A68,Juniorstwo!$A$57:$A$76,0),MATCH($B$3,Juniorstwo!$A$56:$N$56,0))*H$3+INDEX(JuniorzyPozytyw[],MATCH($A68,Juniorstwo!$A$57:$A$76,0),MATCH($B$4,Juniorstwo!$A$56:$N$56,0))*H$4+INDEX(JuniorzyPozytyw[],MATCH($A68,Juniorstwo!$A$57:$A$76,0),MATCH($B$5,Juniorstwo!$A$56:$N$56,0))*H$5+INDEX(JuniorzyPozytyw[],MATCH($A68,Juniorstwo!$A$57:$A$76,0),MATCH($B$6,Juniorstwo!$A$56:$N$56,0))*H$6+INDEX(JuniorzyPozytyw[],MATCH($A68,Juniorstwo!$A$57:$A$76,0),MATCH($B$7,Juniorstwo!$A$56:$N$56,0))*H$7+INDEX(JuniorzyPozytyw[],MATCH($A68,Juniorstwo!$A$57:$A$76,0),MATCH($B$8,Juniorstwo!$A$56:$N$56,0))*H$8+INDEX(JuniorzyPozytyw[],MATCH($A68,Juniorstwo!$A$57:$A$76,0),MATCH($B$9,Juniorstwo!$A$56:$N$56,0))*H$9+INDEX(JuniorzyPozytyw[],MATCH($A68,Juniorstwo!$A$57:$A$76,0),MATCH($B$10,Juniorstwo!$A$56:$N$56,0))*H$10+INDEX(JuniorzyPozytyw[],MATCH($A68,Juniorstwo!$A$57:$A$76,0),MATCH($B$11,Juniorstwo!$A$56:$N$56,0))*H$11+INDEX(JuniorzyPozytyw[],MATCH($A68,Juniorstwo!$A$57:$A$76,0),MATCH($B$12,Juniorstwo!$A$56:$N$56,0))*H$12+INDEX(JuniorzyPozytyw[],MATCH($A68,Juniorstwo!$A$57:$A$76,0),MATCH($B$13,Juniorstwo!$A$56:$N$56,0))*H$13,"-")</f>
        <v>70.569999999999993</v>
      </c>
      <c r="I68" s="38">
        <f ca="1">IFERROR(INDEX(JuniorzyPozytyw[],MATCH($A68,Juniorstwo!$A$57:$A$76,0),MATCH($B$2,Juniorstwo!$A$56:$N$56,0))*I$2+INDEX(JuniorzyPozytyw[],MATCH($A68,Juniorstwo!$A$57:$A$76,0),MATCH($B$3,Juniorstwo!$A$56:$N$56,0))*I$3+INDEX(JuniorzyPozytyw[],MATCH($A68,Juniorstwo!$A$57:$A$76,0),MATCH($B$4,Juniorstwo!$A$56:$N$56,0))*I$4+INDEX(JuniorzyPozytyw[],MATCH($A68,Juniorstwo!$A$57:$A$76,0),MATCH($B$5,Juniorstwo!$A$56:$N$56,0))*I$5+INDEX(JuniorzyPozytyw[],MATCH($A68,Juniorstwo!$A$57:$A$76,0),MATCH($B$6,Juniorstwo!$A$56:$N$56,0))*I$6+INDEX(JuniorzyPozytyw[],MATCH($A68,Juniorstwo!$A$57:$A$76,0),MATCH($B$7,Juniorstwo!$A$56:$N$56,0))*I$7+INDEX(JuniorzyPozytyw[],MATCH($A68,Juniorstwo!$A$57:$A$76,0),MATCH($B$8,Juniorstwo!$A$56:$N$56,0))*I$8+INDEX(JuniorzyPozytyw[],MATCH($A68,Juniorstwo!$A$57:$A$76,0),MATCH($B$9,Juniorstwo!$A$56:$N$56,0))*I$9+INDEX(JuniorzyPozytyw[],MATCH($A68,Juniorstwo!$A$57:$A$76,0),MATCH($B$10,Juniorstwo!$A$56:$N$56,0))*I$10+INDEX(JuniorzyPozytyw[],MATCH($A68,Juniorstwo!$A$57:$A$76,0),MATCH($B$11,Juniorstwo!$A$56:$N$56,0))*I$11+INDEX(JuniorzyPozytyw[],MATCH($A68,Juniorstwo!$A$57:$A$76,0),MATCH($B$12,Juniorstwo!$A$56:$N$56,0))*I$12+INDEX(JuniorzyPozytyw[],MATCH($A68,Juniorstwo!$A$57:$A$76,0),MATCH($B$13,Juniorstwo!$A$56:$N$56,0))*I$13,"-")</f>
        <v>69.819999999999993</v>
      </c>
      <c r="J68" s="38">
        <f ca="1">IFERROR(INDEX(JuniorzyPozytyw[],MATCH($A68,Juniorstwo!$A$57:$A$76,0),MATCH($B$2,Juniorstwo!$A$56:$N$56,0))*J$2+INDEX(JuniorzyPozytyw[],MATCH($A68,Juniorstwo!$A$57:$A$76,0),MATCH($B$3,Juniorstwo!$A$56:$N$56,0))*J$3+INDEX(JuniorzyPozytyw[],MATCH($A68,Juniorstwo!$A$57:$A$76,0),MATCH($B$4,Juniorstwo!$A$56:$N$56,0))*J$4+INDEX(JuniorzyPozytyw[],MATCH($A68,Juniorstwo!$A$57:$A$76,0),MATCH($B$5,Juniorstwo!$A$56:$N$56,0))*J$5+INDEX(JuniorzyPozytyw[],MATCH($A68,Juniorstwo!$A$57:$A$76,0),MATCH($B$6,Juniorstwo!$A$56:$N$56,0))*J$6+INDEX(JuniorzyPozytyw[],MATCH($A68,Juniorstwo!$A$57:$A$76,0),MATCH($B$7,Juniorstwo!$A$56:$N$56,0))*J$7+INDEX(JuniorzyPozytyw[],MATCH($A68,Juniorstwo!$A$57:$A$76,0),MATCH($B$8,Juniorstwo!$A$56:$N$56,0))*J$8+INDEX(JuniorzyPozytyw[],MATCH($A68,Juniorstwo!$A$57:$A$76,0),MATCH($B$9,Juniorstwo!$A$56:$N$56,0))*J$9+INDEX(JuniorzyPozytyw[],MATCH($A68,Juniorstwo!$A$57:$A$76,0),MATCH($B$10,Juniorstwo!$A$56:$N$56,0))*J$10+INDEX(JuniorzyPozytyw[],MATCH($A68,Juniorstwo!$A$57:$A$76,0),MATCH($B$11,Juniorstwo!$A$56:$N$56,0))*J$11+INDEX(JuniorzyPozytyw[],MATCH($A68,Juniorstwo!$A$57:$A$76,0),MATCH($B$12,Juniorstwo!$A$56:$N$56,0))*J$12+INDEX(JuniorzyPozytyw[],MATCH($A68,Juniorstwo!$A$57:$A$76,0),MATCH($B$13,Juniorstwo!$A$56:$N$56,0))*J$13,"-")</f>
        <v>69.569999999999993</v>
      </c>
      <c r="K68" s="38">
        <f ca="1">IFERROR(INDEX(JuniorzyPozytyw[],MATCH($A68,Juniorstwo!$A$57:$A$76,0),MATCH($B$2,Juniorstwo!$A$56:$N$56,0))*K$2+INDEX(JuniorzyPozytyw[],MATCH($A68,Juniorstwo!$A$57:$A$76,0),MATCH($B$3,Juniorstwo!$A$56:$N$56,0))*K$3+INDEX(JuniorzyPozytyw[],MATCH($A68,Juniorstwo!$A$57:$A$76,0),MATCH($B$4,Juniorstwo!$A$56:$N$56,0))*K$4+INDEX(JuniorzyPozytyw[],MATCH($A68,Juniorstwo!$A$57:$A$76,0),MATCH($B$5,Juniorstwo!$A$56:$N$56,0))*K$5+INDEX(JuniorzyPozytyw[],MATCH($A68,Juniorstwo!$A$57:$A$76,0),MATCH($B$6,Juniorstwo!$A$56:$N$56,0))*K$6+INDEX(JuniorzyPozytyw[],MATCH($A68,Juniorstwo!$A$57:$A$76,0),MATCH($B$7,Juniorstwo!$A$56:$N$56,0))*K$7+INDEX(JuniorzyPozytyw[],MATCH($A68,Juniorstwo!$A$57:$A$76,0),MATCH($B$8,Juniorstwo!$A$56:$N$56,0))*K$8+INDEX(JuniorzyPozytyw[],MATCH($A68,Juniorstwo!$A$57:$A$76,0),MATCH($B$9,Juniorstwo!$A$56:$N$56,0))*K$9+INDEX(JuniorzyPozytyw[],MATCH($A68,Juniorstwo!$A$57:$A$76,0),MATCH($B$10,Juniorstwo!$A$56:$N$56,0))*K$10+INDEX(JuniorzyPozytyw[],MATCH($A68,Juniorstwo!$A$57:$A$76,0),MATCH($B$11,Juniorstwo!$A$56:$N$56,0))*K$11+INDEX(JuniorzyPozytyw[],MATCH($A68,Juniorstwo!$A$57:$A$76,0),MATCH($B$12,Juniorstwo!$A$56:$N$56,0))*K$12+INDEX(JuniorzyPozytyw[],MATCH($A68,Juniorstwo!$A$57:$A$76,0),MATCH($B$13,Juniorstwo!$A$56:$N$56,0))*K$13,"-")</f>
        <v>70.819999999999993</v>
      </c>
    </row>
    <row r="69" spans="1:11" x14ac:dyDescent="0.25">
      <c r="A69">
        <f>IFERROR(PozycjeŚr!A45,"-")</f>
        <v>39</v>
      </c>
      <c r="B69" s="3" t="str">
        <f>IFERROR(VLOOKUP(PozJunPMG[[#This Row],[Numer]],Zawodnicy[[Number]:[Player name]],2,FALSE),"-")</f>
        <v>Damazy Pionek</v>
      </c>
      <c r="C69" s="38">
        <f ca="1">IFERROR(INDEX(JuniorzyPozytyw[],MATCH($A69,Juniorstwo!$A$57:$A$76,0),MATCH($B$2,Juniorstwo!$A$56:$N$56,0))*C$2+INDEX(JuniorzyPozytyw[],MATCH($A69,Juniorstwo!$A$57:$A$76,0),MATCH($B$3,Juniorstwo!$A$56:$N$56,0))*C$3+INDEX(JuniorzyPozytyw[],MATCH($A69,Juniorstwo!$A$57:$A$76,0),MATCH($B$4,Juniorstwo!$A$56:$N$56,0))*C$4+INDEX(JuniorzyPozytyw[],MATCH($A69,Juniorstwo!$A$57:$A$76,0),MATCH($B$5,Juniorstwo!$A$56:$N$56,0))*C$5+INDEX(JuniorzyPozytyw[],MATCH($A69,Juniorstwo!$A$57:$A$76,0),MATCH($B$6,Juniorstwo!$A$56:$N$56,0))*C$6+INDEX(JuniorzyPozytyw[],MATCH($A69,Juniorstwo!$A$57:$A$76,0),MATCH($B$7,Juniorstwo!$A$56:$N$56,0))*C$7+INDEX(JuniorzyPozytyw[],MATCH($A69,Juniorstwo!$A$57:$A$76,0),MATCH($B$8,Juniorstwo!$A$56:$N$56,0))*C$8+INDEX(JuniorzyPozytyw[],MATCH($A69,Juniorstwo!$A$57:$A$76,0),MATCH($B$9,Juniorstwo!$A$56:$N$56,0))*C$9+INDEX(JuniorzyPozytyw[],MATCH($A69,Juniorstwo!$A$57:$A$76,0),MATCH($B$10,Juniorstwo!$A$56:$N$56,0))*C$10+INDEX(JuniorzyPozytyw[],MATCH($A69,Juniorstwo!$A$57:$A$76,0),MATCH($B$11,Juniorstwo!$A$56:$N$56,0))*C$11+INDEX(JuniorzyPozytyw[],MATCH($A69,Juniorstwo!$A$57:$A$76,0),MATCH($B$12,Juniorstwo!$A$56:$N$56,0))*C$12+INDEX(JuniorzyPozytyw[],MATCH($A69,Juniorstwo!$A$57:$A$76,0),MATCH($B$13,Juniorstwo!$A$56:$N$56,0))*C$13,"-")</f>
        <v>94.59</v>
      </c>
      <c r="D69" s="38">
        <f ca="1">IFERROR(INDEX(JuniorzyPozytyw[],MATCH($A69,Juniorstwo!$A$57:$A$76,0),MATCH($B$2,Juniorstwo!$A$56:$N$56,0))*D$2+INDEX(JuniorzyPozytyw[],MATCH($A69,Juniorstwo!$A$57:$A$76,0),MATCH($B$3,Juniorstwo!$A$56:$N$56,0))*D$3+INDEX(JuniorzyPozytyw[],MATCH($A69,Juniorstwo!$A$57:$A$76,0),MATCH($B$4,Juniorstwo!$A$56:$N$56,0))*D$4+INDEX(JuniorzyPozytyw[],MATCH($A69,Juniorstwo!$A$57:$A$76,0),MATCH($B$5,Juniorstwo!$A$56:$N$56,0))*D$5+INDEX(JuniorzyPozytyw[],MATCH($A69,Juniorstwo!$A$57:$A$76,0),MATCH($B$6,Juniorstwo!$A$56:$N$56,0))*D$6+INDEX(JuniorzyPozytyw[],MATCH($A69,Juniorstwo!$A$57:$A$76,0),MATCH($B$7,Juniorstwo!$A$56:$N$56,0))*D$7+INDEX(JuniorzyPozytyw[],MATCH($A69,Juniorstwo!$A$57:$A$76,0),MATCH($B$8,Juniorstwo!$A$56:$N$56,0))*D$8+INDEX(JuniorzyPozytyw[],MATCH($A69,Juniorstwo!$A$57:$A$76,0),MATCH($B$9,Juniorstwo!$A$56:$N$56,0))*D$9+INDEX(JuniorzyPozytyw[],MATCH($A69,Juniorstwo!$A$57:$A$76,0),MATCH($B$10,Juniorstwo!$A$56:$N$56,0))*D$10+INDEX(JuniorzyPozytyw[],MATCH($A69,Juniorstwo!$A$57:$A$76,0),MATCH($B$11,Juniorstwo!$A$56:$N$56,0))*D$11+INDEX(JuniorzyPozytyw[],MATCH($A69,Juniorstwo!$A$57:$A$76,0),MATCH($B$12,Juniorstwo!$A$56:$N$56,0))*D$12+INDEX(JuniorzyPozytyw[],MATCH($A69,Juniorstwo!$A$57:$A$76,0),MATCH($B$13,Juniorstwo!$A$56:$N$56,0))*D$13,"-")</f>
        <v>86.09</v>
      </c>
      <c r="E69" s="38">
        <f ca="1">IFERROR(INDEX(JuniorzyPozytyw[],MATCH($A69,Juniorstwo!$A$57:$A$76,0),MATCH($B$2,Juniorstwo!$A$56:$N$56,0))*E$2+INDEX(JuniorzyPozytyw[],MATCH($A69,Juniorstwo!$A$57:$A$76,0),MATCH($B$3,Juniorstwo!$A$56:$N$56,0))*E$3+INDEX(JuniorzyPozytyw[],MATCH($A69,Juniorstwo!$A$57:$A$76,0),MATCH($B$4,Juniorstwo!$A$56:$N$56,0))*E$4+INDEX(JuniorzyPozytyw[],MATCH($A69,Juniorstwo!$A$57:$A$76,0),MATCH($B$5,Juniorstwo!$A$56:$N$56,0))*E$5+INDEX(JuniorzyPozytyw[],MATCH($A69,Juniorstwo!$A$57:$A$76,0),MATCH($B$6,Juniorstwo!$A$56:$N$56,0))*E$6+INDEX(JuniorzyPozytyw[],MATCH($A69,Juniorstwo!$A$57:$A$76,0),MATCH($B$7,Juniorstwo!$A$56:$N$56,0))*E$7+INDEX(JuniorzyPozytyw[],MATCH($A69,Juniorstwo!$A$57:$A$76,0),MATCH($B$8,Juniorstwo!$A$56:$N$56,0))*E$8+INDEX(JuniorzyPozytyw[],MATCH($A69,Juniorstwo!$A$57:$A$76,0),MATCH($B$9,Juniorstwo!$A$56:$N$56,0))*E$9+INDEX(JuniorzyPozytyw[],MATCH($A69,Juniorstwo!$A$57:$A$76,0),MATCH($B$10,Juniorstwo!$A$56:$N$56,0))*E$10+INDEX(JuniorzyPozytyw[],MATCH($A69,Juniorstwo!$A$57:$A$76,0),MATCH($B$11,Juniorstwo!$A$56:$N$56,0))*E$11+INDEX(JuniorzyPozytyw[],MATCH($A69,Juniorstwo!$A$57:$A$76,0),MATCH($B$12,Juniorstwo!$A$56:$N$56,0))*E$12+INDEX(JuniorzyPozytyw[],MATCH($A69,Juniorstwo!$A$57:$A$76,0),MATCH($B$13,Juniorstwo!$A$56:$N$56,0))*E$13,"-")</f>
        <v>86.09</v>
      </c>
      <c r="F69" s="38">
        <f ca="1">IFERROR(INDEX(JuniorzyPozytyw[],MATCH($A69,Juniorstwo!$A$57:$A$76,0),MATCH($B$2,Juniorstwo!$A$56:$N$56,0))*F$2+INDEX(JuniorzyPozytyw[],MATCH($A69,Juniorstwo!$A$57:$A$76,0),MATCH($B$3,Juniorstwo!$A$56:$N$56,0))*F$3+INDEX(JuniorzyPozytyw[],MATCH($A69,Juniorstwo!$A$57:$A$76,0),MATCH($B$4,Juniorstwo!$A$56:$N$56,0))*F$4+INDEX(JuniorzyPozytyw[],MATCH($A69,Juniorstwo!$A$57:$A$76,0),MATCH($B$5,Juniorstwo!$A$56:$N$56,0))*F$5+INDEX(JuniorzyPozytyw[],MATCH($A69,Juniorstwo!$A$57:$A$76,0),MATCH($B$6,Juniorstwo!$A$56:$N$56,0))*F$6+INDEX(JuniorzyPozytyw[],MATCH($A69,Juniorstwo!$A$57:$A$76,0),MATCH($B$7,Juniorstwo!$A$56:$N$56,0))*F$7+INDEX(JuniorzyPozytyw[],MATCH($A69,Juniorstwo!$A$57:$A$76,0),MATCH($B$8,Juniorstwo!$A$56:$N$56,0))*F$8+INDEX(JuniorzyPozytyw[],MATCH($A69,Juniorstwo!$A$57:$A$76,0),MATCH($B$9,Juniorstwo!$A$56:$N$56,0))*F$9+INDEX(JuniorzyPozytyw[],MATCH($A69,Juniorstwo!$A$57:$A$76,0),MATCH($B$10,Juniorstwo!$A$56:$N$56,0))*F$10+INDEX(JuniorzyPozytyw[],MATCH($A69,Juniorstwo!$A$57:$A$76,0),MATCH($B$11,Juniorstwo!$A$56:$N$56,0))*F$11+INDEX(JuniorzyPozytyw[],MATCH($A69,Juniorstwo!$A$57:$A$76,0),MATCH($B$12,Juniorstwo!$A$56:$N$56,0))*F$12+INDEX(JuniorzyPozytyw[],MATCH($A69,Juniorstwo!$A$57:$A$76,0),MATCH($B$13,Juniorstwo!$A$56:$N$56,0))*F$13,"-")</f>
        <v>86.34</v>
      </c>
      <c r="G69" s="38">
        <f ca="1">IFERROR(INDEX(JuniorzyPozytyw[],MATCH($A69,Juniorstwo!$A$57:$A$76,0),MATCH($B$2,Juniorstwo!$A$56:$N$56,0))*G$2+INDEX(JuniorzyPozytyw[],MATCH($A69,Juniorstwo!$A$57:$A$76,0),MATCH($B$3,Juniorstwo!$A$56:$N$56,0))*G$3+INDEX(JuniorzyPozytyw[],MATCH($A69,Juniorstwo!$A$57:$A$76,0),MATCH($B$4,Juniorstwo!$A$56:$N$56,0))*G$4+INDEX(JuniorzyPozytyw[],MATCH($A69,Juniorstwo!$A$57:$A$76,0),MATCH($B$5,Juniorstwo!$A$56:$N$56,0))*G$5+INDEX(JuniorzyPozytyw[],MATCH($A69,Juniorstwo!$A$57:$A$76,0),MATCH($B$6,Juniorstwo!$A$56:$N$56,0))*G$6+INDEX(JuniorzyPozytyw[],MATCH($A69,Juniorstwo!$A$57:$A$76,0),MATCH($B$7,Juniorstwo!$A$56:$N$56,0))*G$7+INDEX(JuniorzyPozytyw[],MATCH($A69,Juniorstwo!$A$57:$A$76,0),MATCH($B$8,Juniorstwo!$A$56:$N$56,0))*G$8+INDEX(JuniorzyPozytyw[],MATCH($A69,Juniorstwo!$A$57:$A$76,0),MATCH($B$9,Juniorstwo!$A$56:$N$56,0))*G$9+INDEX(JuniorzyPozytyw[],MATCH($A69,Juniorstwo!$A$57:$A$76,0),MATCH($B$10,Juniorstwo!$A$56:$N$56,0))*G$10+INDEX(JuniorzyPozytyw[],MATCH($A69,Juniorstwo!$A$57:$A$76,0),MATCH($B$11,Juniorstwo!$A$56:$N$56,0))*G$11+INDEX(JuniorzyPozytyw[],MATCH($A69,Juniorstwo!$A$57:$A$76,0),MATCH($B$12,Juniorstwo!$A$56:$N$56,0))*G$12+INDEX(JuniorzyPozytyw[],MATCH($A69,Juniorstwo!$A$57:$A$76,0),MATCH($B$13,Juniorstwo!$A$56:$N$56,0))*G$13,"-")</f>
        <v>86.34</v>
      </c>
      <c r="H69" s="38">
        <f ca="1">IFERROR(INDEX(JuniorzyPozytyw[],MATCH($A69,Juniorstwo!$A$57:$A$76,0),MATCH($B$2,Juniorstwo!$A$56:$N$56,0))*H$2+INDEX(JuniorzyPozytyw[],MATCH($A69,Juniorstwo!$A$57:$A$76,0),MATCH($B$3,Juniorstwo!$A$56:$N$56,0))*H$3+INDEX(JuniorzyPozytyw[],MATCH($A69,Juniorstwo!$A$57:$A$76,0),MATCH($B$4,Juniorstwo!$A$56:$N$56,0))*H$4+INDEX(JuniorzyPozytyw[],MATCH($A69,Juniorstwo!$A$57:$A$76,0),MATCH($B$5,Juniorstwo!$A$56:$N$56,0))*H$5+INDEX(JuniorzyPozytyw[],MATCH($A69,Juniorstwo!$A$57:$A$76,0),MATCH($B$6,Juniorstwo!$A$56:$N$56,0))*H$6+INDEX(JuniorzyPozytyw[],MATCH($A69,Juniorstwo!$A$57:$A$76,0),MATCH($B$7,Juniorstwo!$A$56:$N$56,0))*H$7+INDEX(JuniorzyPozytyw[],MATCH($A69,Juniorstwo!$A$57:$A$76,0),MATCH($B$8,Juniorstwo!$A$56:$N$56,0))*H$8+INDEX(JuniorzyPozytyw[],MATCH($A69,Juniorstwo!$A$57:$A$76,0),MATCH($B$9,Juniorstwo!$A$56:$N$56,0))*H$9+INDEX(JuniorzyPozytyw[],MATCH($A69,Juniorstwo!$A$57:$A$76,0),MATCH($B$10,Juniorstwo!$A$56:$N$56,0))*H$10+INDEX(JuniorzyPozytyw[],MATCH($A69,Juniorstwo!$A$57:$A$76,0),MATCH($B$11,Juniorstwo!$A$56:$N$56,0))*H$11+INDEX(JuniorzyPozytyw[],MATCH($A69,Juniorstwo!$A$57:$A$76,0),MATCH($B$12,Juniorstwo!$A$56:$N$56,0))*H$12+INDEX(JuniorzyPozytyw[],MATCH($A69,Juniorstwo!$A$57:$A$76,0),MATCH($B$13,Juniorstwo!$A$56:$N$56,0))*H$13,"-")</f>
        <v>86.34</v>
      </c>
      <c r="I69" s="38">
        <f ca="1">IFERROR(INDEX(JuniorzyPozytyw[],MATCH($A69,Juniorstwo!$A$57:$A$76,0),MATCH($B$2,Juniorstwo!$A$56:$N$56,0))*I$2+INDEX(JuniorzyPozytyw[],MATCH($A69,Juniorstwo!$A$57:$A$76,0),MATCH($B$3,Juniorstwo!$A$56:$N$56,0))*I$3+INDEX(JuniorzyPozytyw[],MATCH($A69,Juniorstwo!$A$57:$A$76,0),MATCH($B$4,Juniorstwo!$A$56:$N$56,0))*I$4+INDEX(JuniorzyPozytyw[],MATCH($A69,Juniorstwo!$A$57:$A$76,0),MATCH($B$5,Juniorstwo!$A$56:$N$56,0))*I$5+INDEX(JuniorzyPozytyw[],MATCH($A69,Juniorstwo!$A$57:$A$76,0),MATCH($B$6,Juniorstwo!$A$56:$N$56,0))*I$6+INDEX(JuniorzyPozytyw[],MATCH($A69,Juniorstwo!$A$57:$A$76,0),MATCH($B$7,Juniorstwo!$A$56:$N$56,0))*I$7+INDEX(JuniorzyPozytyw[],MATCH($A69,Juniorstwo!$A$57:$A$76,0),MATCH($B$8,Juniorstwo!$A$56:$N$56,0))*I$8+INDEX(JuniorzyPozytyw[],MATCH($A69,Juniorstwo!$A$57:$A$76,0),MATCH($B$9,Juniorstwo!$A$56:$N$56,0))*I$9+INDEX(JuniorzyPozytyw[],MATCH($A69,Juniorstwo!$A$57:$A$76,0),MATCH($B$10,Juniorstwo!$A$56:$N$56,0))*I$10+INDEX(JuniorzyPozytyw[],MATCH($A69,Juniorstwo!$A$57:$A$76,0),MATCH($B$11,Juniorstwo!$A$56:$N$56,0))*I$11+INDEX(JuniorzyPozytyw[],MATCH($A69,Juniorstwo!$A$57:$A$76,0),MATCH($B$12,Juniorstwo!$A$56:$N$56,0))*I$12+INDEX(JuniorzyPozytyw[],MATCH($A69,Juniorstwo!$A$57:$A$76,0),MATCH($B$13,Juniorstwo!$A$56:$N$56,0))*I$13,"-")</f>
        <v>84.84</v>
      </c>
      <c r="J69" s="38">
        <f ca="1">IFERROR(INDEX(JuniorzyPozytyw[],MATCH($A69,Juniorstwo!$A$57:$A$76,0),MATCH($B$2,Juniorstwo!$A$56:$N$56,0))*J$2+INDEX(JuniorzyPozytyw[],MATCH($A69,Juniorstwo!$A$57:$A$76,0),MATCH($B$3,Juniorstwo!$A$56:$N$56,0))*J$3+INDEX(JuniorzyPozytyw[],MATCH($A69,Juniorstwo!$A$57:$A$76,0),MATCH($B$4,Juniorstwo!$A$56:$N$56,0))*J$4+INDEX(JuniorzyPozytyw[],MATCH($A69,Juniorstwo!$A$57:$A$76,0),MATCH($B$5,Juniorstwo!$A$56:$N$56,0))*J$5+INDEX(JuniorzyPozytyw[],MATCH($A69,Juniorstwo!$A$57:$A$76,0),MATCH($B$6,Juniorstwo!$A$56:$N$56,0))*J$6+INDEX(JuniorzyPozytyw[],MATCH($A69,Juniorstwo!$A$57:$A$76,0),MATCH($B$7,Juniorstwo!$A$56:$N$56,0))*J$7+INDEX(JuniorzyPozytyw[],MATCH($A69,Juniorstwo!$A$57:$A$76,0),MATCH($B$8,Juniorstwo!$A$56:$N$56,0))*J$8+INDEX(JuniorzyPozytyw[],MATCH($A69,Juniorstwo!$A$57:$A$76,0),MATCH($B$9,Juniorstwo!$A$56:$N$56,0))*J$9+INDEX(JuniorzyPozytyw[],MATCH($A69,Juniorstwo!$A$57:$A$76,0),MATCH($B$10,Juniorstwo!$A$56:$N$56,0))*J$10+INDEX(JuniorzyPozytyw[],MATCH($A69,Juniorstwo!$A$57:$A$76,0),MATCH($B$11,Juniorstwo!$A$56:$N$56,0))*J$11+INDEX(JuniorzyPozytyw[],MATCH($A69,Juniorstwo!$A$57:$A$76,0),MATCH($B$12,Juniorstwo!$A$56:$N$56,0))*J$12+INDEX(JuniorzyPozytyw[],MATCH($A69,Juniorstwo!$A$57:$A$76,0),MATCH($B$13,Juniorstwo!$A$56:$N$56,0))*J$13,"-")</f>
        <v>83.84</v>
      </c>
      <c r="K69" s="38">
        <f ca="1">IFERROR(INDEX(JuniorzyPozytyw[],MATCH($A69,Juniorstwo!$A$57:$A$76,0),MATCH($B$2,Juniorstwo!$A$56:$N$56,0))*K$2+INDEX(JuniorzyPozytyw[],MATCH($A69,Juniorstwo!$A$57:$A$76,0),MATCH($B$3,Juniorstwo!$A$56:$N$56,0))*K$3+INDEX(JuniorzyPozytyw[],MATCH($A69,Juniorstwo!$A$57:$A$76,0),MATCH($B$4,Juniorstwo!$A$56:$N$56,0))*K$4+INDEX(JuniorzyPozytyw[],MATCH($A69,Juniorstwo!$A$57:$A$76,0),MATCH($B$5,Juniorstwo!$A$56:$N$56,0))*K$5+INDEX(JuniorzyPozytyw[],MATCH($A69,Juniorstwo!$A$57:$A$76,0),MATCH($B$6,Juniorstwo!$A$56:$N$56,0))*K$6+INDEX(JuniorzyPozytyw[],MATCH($A69,Juniorstwo!$A$57:$A$76,0),MATCH($B$7,Juniorstwo!$A$56:$N$56,0))*K$7+INDEX(JuniorzyPozytyw[],MATCH($A69,Juniorstwo!$A$57:$A$76,0),MATCH($B$8,Juniorstwo!$A$56:$N$56,0))*K$8+INDEX(JuniorzyPozytyw[],MATCH($A69,Juniorstwo!$A$57:$A$76,0),MATCH($B$9,Juniorstwo!$A$56:$N$56,0))*K$9+INDEX(JuniorzyPozytyw[],MATCH($A69,Juniorstwo!$A$57:$A$76,0),MATCH($B$10,Juniorstwo!$A$56:$N$56,0))*K$10+INDEX(JuniorzyPozytyw[],MATCH($A69,Juniorstwo!$A$57:$A$76,0),MATCH($B$11,Juniorstwo!$A$56:$N$56,0))*K$11+INDEX(JuniorzyPozytyw[],MATCH($A69,Juniorstwo!$A$57:$A$76,0),MATCH($B$12,Juniorstwo!$A$56:$N$56,0))*K$12+INDEX(JuniorzyPozytyw[],MATCH($A69,Juniorstwo!$A$57:$A$76,0),MATCH($B$13,Juniorstwo!$A$56:$N$56,0))*K$13,"-")</f>
        <v>80.34</v>
      </c>
    </row>
    <row r="70" spans="1:11" x14ac:dyDescent="0.25">
      <c r="A70">
        <f>IFERROR(PozycjeŚr!A46,"-")</f>
        <v>40</v>
      </c>
      <c r="B70" s="3" t="str">
        <f>IFERROR(VLOOKUP(PozJunPMG[[#This Row],[Numer]],Zawodnicy[[Number]:[Player name]],2,FALSE),"-")</f>
        <v>Benedykt Adamus</v>
      </c>
      <c r="C70" s="38">
        <f ca="1">IFERROR(INDEX(JuniorzyPozytyw[],MATCH($A70,Juniorstwo!$A$57:$A$76,0),MATCH($B$2,Juniorstwo!$A$56:$N$56,0))*C$2+INDEX(JuniorzyPozytyw[],MATCH($A70,Juniorstwo!$A$57:$A$76,0),MATCH($B$3,Juniorstwo!$A$56:$N$56,0))*C$3+INDEX(JuniorzyPozytyw[],MATCH($A70,Juniorstwo!$A$57:$A$76,0),MATCH($B$4,Juniorstwo!$A$56:$N$56,0))*C$4+INDEX(JuniorzyPozytyw[],MATCH($A70,Juniorstwo!$A$57:$A$76,0),MATCH($B$5,Juniorstwo!$A$56:$N$56,0))*C$5+INDEX(JuniorzyPozytyw[],MATCH($A70,Juniorstwo!$A$57:$A$76,0),MATCH($B$6,Juniorstwo!$A$56:$N$56,0))*C$6+INDEX(JuniorzyPozytyw[],MATCH($A70,Juniorstwo!$A$57:$A$76,0),MATCH($B$7,Juniorstwo!$A$56:$N$56,0))*C$7+INDEX(JuniorzyPozytyw[],MATCH($A70,Juniorstwo!$A$57:$A$76,0),MATCH($B$8,Juniorstwo!$A$56:$N$56,0))*C$8+INDEX(JuniorzyPozytyw[],MATCH($A70,Juniorstwo!$A$57:$A$76,0),MATCH($B$9,Juniorstwo!$A$56:$N$56,0))*C$9+INDEX(JuniorzyPozytyw[],MATCH($A70,Juniorstwo!$A$57:$A$76,0),MATCH($B$10,Juniorstwo!$A$56:$N$56,0))*C$10+INDEX(JuniorzyPozytyw[],MATCH($A70,Juniorstwo!$A$57:$A$76,0),MATCH($B$11,Juniorstwo!$A$56:$N$56,0))*C$11+INDEX(JuniorzyPozytyw[],MATCH($A70,Juniorstwo!$A$57:$A$76,0),MATCH($B$12,Juniorstwo!$A$56:$N$56,0))*C$12+INDEX(JuniorzyPozytyw[],MATCH($A70,Juniorstwo!$A$57:$A$76,0),MATCH($B$13,Juniorstwo!$A$56:$N$56,0))*C$13,"-")</f>
        <v>83.09</v>
      </c>
      <c r="D70" s="38">
        <f ca="1">IFERROR(INDEX(JuniorzyPozytyw[],MATCH($A70,Juniorstwo!$A$57:$A$76,0),MATCH($B$2,Juniorstwo!$A$56:$N$56,0))*D$2+INDEX(JuniorzyPozytyw[],MATCH($A70,Juniorstwo!$A$57:$A$76,0),MATCH($B$3,Juniorstwo!$A$56:$N$56,0))*D$3+INDEX(JuniorzyPozytyw[],MATCH($A70,Juniorstwo!$A$57:$A$76,0),MATCH($B$4,Juniorstwo!$A$56:$N$56,0))*D$4+INDEX(JuniorzyPozytyw[],MATCH($A70,Juniorstwo!$A$57:$A$76,0),MATCH($B$5,Juniorstwo!$A$56:$N$56,0))*D$5+INDEX(JuniorzyPozytyw[],MATCH($A70,Juniorstwo!$A$57:$A$76,0),MATCH($B$6,Juniorstwo!$A$56:$N$56,0))*D$6+INDEX(JuniorzyPozytyw[],MATCH($A70,Juniorstwo!$A$57:$A$76,0),MATCH($B$7,Juniorstwo!$A$56:$N$56,0))*D$7+INDEX(JuniorzyPozytyw[],MATCH($A70,Juniorstwo!$A$57:$A$76,0),MATCH($B$8,Juniorstwo!$A$56:$N$56,0))*D$8+INDEX(JuniorzyPozytyw[],MATCH($A70,Juniorstwo!$A$57:$A$76,0),MATCH($B$9,Juniorstwo!$A$56:$N$56,0))*D$9+INDEX(JuniorzyPozytyw[],MATCH($A70,Juniorstwo!$A$57:$A$76,0),MATCH($B$10,Juniorstwo!$A$56:$N$56,0))*D$10+INDEX(JuniorzyPozytyw[],MATCH($A70,Juniorstwo!$A$57:$A$76,0),MATCH($B$11,Juniorstwo!$A$56:$N$56,0))*D$11+INDEX(JuniorzyPozytyw[],MATCH($A70,Juniorstwo!$A$57:$A$76,0),MATCH($B$12,Juniorstwo!$A$56:$N$56,0))*D$12+INDEX(JuniorzyPozytyw[],MATCH($A70,Juniorstwo!$A$57:$A$76,0),MATCH($B$13,Juniorstwo!$A$56:$N$56,0))*D$13,"-")</f>
        <v>83.59</v>
      </c>
      <c r="E70" s="38">
        <f ca="1">IFERROR(INDEX(JuniorzyPozytyw[],MATCH($A70,Juniorstwo!$A$57:$A$76,0),MATCH($B$2,Juniorstwo!$A$56:$N$56,0))*E$2+INDEX(JuniorzyPozytyw[],MATCH($A70,Juniorstwo!$A$57:$A$76,0),MATCH($B$3,Juniorstwo!$A$56:$N$56,0))*E$3+INDEX(JuniorzyPozytyw[],MATCH($A70,Juniorstwo!$A$57:$A$76,0),MATCH($B$4,Juniorstwo!$A$56:$N$56,0))*E$4+INDEX(JuniorzyPozytyw[],MATCH($A70,Juniorstwo!$A$57:$A$76,0),MATCH($B$5,Juniorstwo!$A$56:$N$56,0))*E$5+INDEX(JuniorzyPozytyw[],MATCH($A70,Juniorstwo!$A$57:$A$76,0),MATCH($B$6,Juniorstwo!$A$56:$N$56,0))*E$6+INDEX(JuniorzyPozytyw[],MATCH($A70,Juniorstwo!$A$57:$A$76,0),MATCH($B$7,Juniorstwo!$A$56:$N$56,0))*E$7+INDEX(JuniorzyPozytyw[],MATCH($A70,Juniorstwo!$A$57:$A$76,0),MATCH($B$8,Juniorstwo!$A$56:$N$56,0))*E$8+INDEX(JuniorzyPozytyw[],MATCH($A70,Juniorstwo!$A$57:$A$76,0),MATCH($B$9,Juniorstwo!$A$56:$N$56,0))*E$9+INDEX(JuniorzyPozytyw[],MATCH($A70,Juniorstwo!$A$57:$A$76,0),MATCH($B$10,Juniorstwo!$A$56:$N$56,0))*E$10+INDEX(JuniorzyPozytyw[],MATCH($A70,Juniorstwo!$A$57:$A$76,0),MATCH($B$11,Juniorstwo!$A$56:$N$56,0))*E$11+INDEX(JuniorzyPozytyw[],MATCH($A70,Juniorstwo!$A$57:$A$76,0),MATCH($B$12,Juniorstwo!$A$56:$N$56,0))*E$12+INDEX(JuniorzyPozytyw[],MATCH($A70,Juniorstwo!$A$57:$A$76,0),MATCH($B$13,Juniorstwo!$A$56:$N$56,0))*E$13,"-")</f>
        <v>84.09</v>
      </c>
      <c r="F70" s="38">
        <f ca="1">IFERROR(INDEX(JuniorzyPozytyw[],MATCH($A70,Juniorstwo!$A$57:$A$76,0),MATCH($B$2,Juniorstwo!$A$56:$N$56,0))*F$2+INDEX(JuniorzyPozytyw[],MATCH($A70,Juniorstwo!$A$57:$A$76,0),MATCH($B$3,Juniorstwo!$A$56:$N$56,0))*F$3+INDEX(JuniorzyPozytyw[],MATCH($A70,Juniorstwo!$A$57:$A$76,0),MATCH($B$4,Juniorstwo!$A$56:$N$56,0))*F$4+INDEX(JuniorzyPozytyw[],MATCH($A70,Juniorstwo!$A$57:$A$76,0),MATCH($B$5,Juniorstwo!$A$56:$N$56,0))*F$5+INDEX(JuniorzyPozytyw[],MATCH($A70,Juniorstwo!$A$57:$A$76,0),MATCH($B$6,Juniorstwo!$A$56:$N$56,0))*F$6+INDEX(JuniorzyPozytyw[],MATCH($A70,Juniorstwo!$A$57:$A$76,0),MATCH($B$7,Juniorstwo!$A$56:$N$56,0))*F$7+INDEX(JuniorzyPozytyw[],MATCH($A70,Juniorstwo!$A$57:$A$76,0),MATCH($B$8,Juniorstwo!$A$56:$N$56,0))*F$8+INDEX(JuniorzyPozytyw[],MATCH($A70,Juniorstwo!$A$57:$A$76,0),MATCH($B$9,Juniorstwo!$A$56:$N$56,0))*F$9+INDEX(JuniorzyPozytyw[],MATCH($A70,Juniorstwo!$A$57:$A$76,0),MATCH($B$10,Juniorstwo!$A$56:$N$56,0))*F$10+INDEX(JuniorzyPozytyw[],MATCH($A70,Juniorstwo!$A$57:$A$76,0),MATCH($B$11,Juniorstwo!$A$56:$N$56,0))*F$11+INDEX(JuniorzyPozytyw[],MATCH($A70,Juniorstwo!$A$57:$A$76,0),MATCH($B$12,Juniorstwo!$A$56:$N$56,0))*F$12+INDEX(JuniorzyPozytyw[],MATCH($A70,Juniorstwo!$A$57:$A$76,0),MATCH($B$13,Juniorstwo!$A$56:$N$56,0))*F$13,"-")</f>
        <v>87.59</v>
      </c>
      <c r="G70" s="38">
        <f ca="1">IFERROR(INDEX(JuniorzyPozytyw[],MATCH($A70,Juniorstwo!$A$57:$A$76,0),MATCH($B$2,Juniorstwo!$A$56:$N$56,0))*G$2+INDEX(JuniorzyPozytyw[],MATCH($A70,Juniorstwo!$A$57:$A$76,0),MATCH($B$3,Juniorstwo!$A$56:$N$56,0))*G$3+INDEX(JuniorzyPozytyw[],MATCH($A70,Juniorstwo!$A$57:$A$76,0),MATCH($B$4,Juniorstwo!$A$56:$N$56,0))*G$4+INDEX(JuniorzyPozytyw[],MATCH($A70,Juniorstwo!$A$57:$A$76,0),MATCH($B$5,Juniorstwo!$A$56:$N$56,0))*G$5+INDEX(JuniorzyPozytyw[],MATCH($A70,Juniorstwo!$A$57:$A$76,0),MATCH($B$6,Juniorstwo!$A$56:$N$56,0))*G$6+INDEX(JuniorzyPozytyw[],MATCH($A70,Juniorstwo!$A$57:$A$76,0),MATCH($B$7,Juniorstwo!$A$56:$N$56,0))*G$7+INDEX(JuniorzyPozytyw[],MATCH($A70,Juniorstwo!$A$57:$A$76,0),MATCH($B$8,Juniorstwo!$A$56:$N$56,0))*G$8+INDEX(JuniorzyPozytyw[],MATCH($A70,Juniorstwo!$A$57:$A$76,0),MATCH($B$9,Juniorstwo!$A$56:$N$56,0))*G$9+INDEX(JuniorzyPozytyw[],MATCH($A70,Juniorstwo!$A$57:$A$76,0),MATCH($B$10,Juniorstwo!$A$56:$N$56,0))*G$10+INDEX(JuniorzyPozytyw[],MATCH($A70,Juniorstwo!$A$57:$A$76,0),MATCH($B$11,Juniorstwo!$A$56:$N$56,0))*G$11+INDEX(JuniorzyPozytyw[],MATCH($A70,Juniorstwo!$A$57:$A$76,0),MATCH($B$12,Juniorstwo!$A$56:$N$56,0))*G$12+INDEX(JuniorzyPozytyw[],MATCH($A70,Juniorstwo!$A$57:$A$76,0),MATCH($B$13,Juniorstwo!$A$56:$N$56,0))*G$13,"-")</f>
        <v>90.09</v>
      </c>
      <c r="H70" s="38">
        <f ca="1">IFERROR(INDEX(JuniorzyPozytyw[],MATCH($A70,Juniorstwo!$A$57:$A$76,0),MATCH($B$2,Juniorstwo!$A$56:$N$56,0))*H$2+INDEX(JuniorzyPozytyw[],MATCH($A70,Juniorstwo!$A$57:$A$76,0),MATCH($B$3,Juniorstwo!$A$56:$N$56,0))*H$3+INDEX(JuniorzyPozytyw[],MATCH($A70,Juniorstwo!$A$57:$A$76,0),MATCH($B$4,Juniorstwo!$A$56:$N$56,0))*H$4+INDEX(JuniorzyPozytyw[],MATCH($A70,Juniorstwo!$A$57:$A$76,0),MATCH($B$5,Juniorstwo!$A$56:$N$56,0))*H$5+INDEX(JuniorzyPozytyw[],MATCH($A70,Juniorstwo!$A$57:$A$76,0),MATCH($B$6,Juniorstwo!$A$56:$N$56,0))*H$6+INDEX(JuniorzyPozytyw[],MATCH($A70,Juniorstwo!$A$57:$A$76,0),MATCH($B$7,Juniorstwo!$A$56:$N$56,0))*H$7+INDEX(JuniorzyPozytyw[],MATCH($A70,Juniorstwo!$A$57:$A$76,0),MATCH($B$8,Juniorstwo!$A$56:$N$56,0))*H$8+INDEX(JuniorzyPozytyw[],MATCH($A70,Juniorstwo!$A$57:$A$76,0),MATCH($B$9,Juniorstwo!$A$56:$N$56,0))*H$9+INDEX(JuniorzyPozytyw[],MATCH($A70,Juniorstwo!$A$57:$A$76,0),MATCH($B$10,Juniorstwo!$A$56:$N$56,0))*H$10+INDEX(JuniorzyPozytyw[],MATCH($A70,Juniorstwo!$A$57:$A$76,0),MATCH($B$11,Juniorstwo!$A$56:$N$56,0))*H$11+INDEX(JuniorzyPozytyw[],MATCH($A70,Juniorstwo!$A$57:$A$76,0),MATCH($B$12,Juniorstwo!$A$56:$N$56,0))*H$12+INDEX(JuniorzyPozytyw[],MATCH($A70,Juniorstwo!$A$57:$A$76,0),MATCH($B$13,Juniorstwo!$A$56:$N$56,0))*H$13,"-")</f>
        <v>89.34</v>
      </c>
      <c r="I70" s="38">
        <f ca="1">IFERROR(INDEX(JuniorzyPozytyw[],MATCH($A70,Juniorstwo!$A$57:$A$76,0),MATCH($B$2,Juniorstwo!$A$56:$N$56,0))*I$2+INDEX(JuniorzyPozytyw[],MATCH($A70,Juniorstwo!$A$57:$A$76,0),MATCH($B$3,Juniorstwo!$A$56:$N$56,0))*I$3+INDEX(JuniorzyPozytyw[],MATCH($A70,Juniorstwo!$A$57:$A$76,0),MATCH($B$4,Juniorstwo!$A$56:$N$56,0))*I$4+INDEX(JuniorzyPozytyw[],MATCH($A70,Juniorstwo!$A$57:$A$76,0),MATCH($B$5,Juniorstwo!$A$56:$N$56,0))*I$5+INDEX(JuniorzyPozytyw[],MATCH($A70,Juniorstwo!$A$57:$A$76,0),MATCH($B$6,Juniorstwo!$A$56:$N$56,0))*I$6+INDEX(JuniorzyPozytyw[],MATCH($A70,Juniorstwo!$A$57:$A$76,0),MATCH($B$7,Juniorstwo!$A$56:$N$56,0))*I$7+INDEX(JuniorzyPozytyw[],MATCH($A70,Juniorstwo!$A$57:$A$76,0),MATCH($B$8,Juniorstwo!$A$56:$N$56,0))*I$8+INDEX(JuniorzyPozytyw[],MATCH($A70,Juniorstwo!$A$57:$A$76,0),MATCH($B$9,Juniorstwo!$A$56:$N$56,0))*I$9+INDEX(JuniorzyPozytyw[],MATCH($A70,Juniorstwo!$A$57:$A$76,0),MATCH($B$10,Juniorstwo!$A$56:$N$56,0))*I$10+INDEX(JuniorzyPozytyw[],MATCH($A70,Juniorstwo!$A$57:$A$76,0),MATCH($B$11,Juniorstwo!$A$56:$N$56,0))*I$11+INDEX(JuniorzyPozytyw[],MATCH($A70,Juniorstwo!$A$57:$A$76,0),MATCH($B$12,Juniorstwo!$A$56:$N$56,0))*I$12+INDEX(JuniorzyPozytyw[],MATCH($A70,Juniorstwo!$A$57:$A$76,0),MATCH($B$13,Juniorstwo!$A$56:$N$56,0))*I$13,"-")</f>
        <v>91.34</v>
      </c>
      <c r="J70" s="38">
        <f ca="1">IFERROR(INDEX(JuniorzyPozytyw[],MATCH($A70,Juniorstwo!$A$57:$A$76,0),MATCH($B$2,Juniorstwo!$A$56:$N$56,0))*J$2+INDEX(JuniorzyPozytyw[],MATCH($A70,Juniorstwo!$A$57:$A$76,0),MATCH($B$3,Juniorstwo!$A$56:$N$56,0))*J$3+INDEX(JuniorzyPozytyw[],MATCH($A70,Juniorstwo!$A$57:$A$76,0),MATCH($B$4,Juniorstwo!$A$56:$N$56,0))*J$4+INDEX(JuniorzyPozytyw[],MATCH($A70,Juniorstwo!$A$57:$A$76,0),MATCH($B$5,Juniorstwo!$A$56:$N$56,0))*J$5+INDEX(JuniorzyPozytyw[],MATCH($A70,Juniorstwo!$A$57:$A$76,0),MATCH($B$6,Juniorstwo!$A$56:$N$56,0))*J$6+INDEX(JuniorzyPozytyw[],MATCH($A70,Juniorstwo!$A$57:$A$76,0),MATCH($B$7,Juniorstwo!$A$56:$N$56,0))*J$7+INDEX(JuniorzyPozytyw[],MATCH($A70,Juniorstwo!$A$57:$A$76,0),MATCH($B$8,Juniorstwo!$A$56:$N$56,0))*J$8+INDEX(JuniorzyPozytyw[],MATCH($A70,Juniorstwo!$A$57:$A$76,0),MATCH($B$9,Juniorstwo!$A$56:$N$56,0))*J$9+INDEX(JuniorzyPozytyw[],MATCH($A70,Juniorstwo!$A$57:$A$76,0),MATCH($B$10,Juniorstwo!$A$56:$N$56,0))*J$10+INDEX(JuniorzyPozytyw[],MATCH($A70,Juniorstwo!$A$57:$A$76,0),MATCH($B$11,Juniorstwo!$A$56:$N$56,0))*J$11+INDEX(JuniorzyPozytyw[],MATCH($A70,Juniorstwo!$A$57:$A$76,0),MATCH($B$12,Juniorstwo!$A$56:$N$56,0))*J$12+INDEX(JuniorzyPozytyw[],MATCH($A70,Juniorstwo!$A$57:$A$76,0),MATCH($B$13,Juniorstwo!$A$56:$N$56,0))*J$13,"-")</f>
        <v>89.84</v>
      </c>
      <c r="K70" s="38">
        <f ca="1">IFERROR(INDEX(JuniorzyPozytyw[],MATCH($A70,Juniorstwo!$A$57:$A$76,0),MATCH($B$2,Juniorstwo!$A$56:$N$56,0))*K$2+INDEX(JuniorzyPozytyw[],MATCH($A70,Juniorstwo!$A$57:$A$76,0),MATCH($B$3,Juniorstwo!$A$56:$N$56,0))*K$3+INDEX(JuniorzyPozytyw[],MATCH($A70,Juniorstwo!$A$57:$A$76,0),MATCH($B$4,Juniorstwo!$A$56:$N$56,0))*K$4+INDEX(JuniorzyPozytyw[],MATCH($A70,Juniorstwo!$A$57:$A$76,0),MATCH($B$5,Juniorstwo!$A$56:$N$56,0))*K$5+INDEX(JuniorzyPozytyw[],MATCH($A70,Juniorstwo!$A$57:$A$76,0),MATCH($B$6,Juniorstwo!$A$56:$N$56,0))*K$6+INDEX(JuniorzyPozytyw[],MATCH($A70,Juniorstwo!$A$57:$A$76,0),MATCH($B$7,Juniorstwo!$A$56:$N$56,0))*K$7+INDEX(JuniorzyPozytyw[],MATCH($A70,Juniorstwo!$A$57:$A$76,0),MATCH($B$8,Juniorstwo!$A$56:$N$56,0))*K$8+INDEX(JuniorzyPozytyw[],MATCH($A70,Juniorstwo!$A$57:$A$76,0),MATCH($B$9,Juniorstwo!$A$56:$N$56,0))*K$9+INDEX(JuniorzyPozytyw[],MATCH($A70,Juniorstwo!$A$57:$A$76,0),MATCH($B$10,Juniorstwo!$A$56:$N$56,0))*K$10+INDEX(JuniorzyPozytyw[],MATCH($A70,Juniorstwo!$A$57:$A$76,0),MATCH($B$11,Juniorstwo!$A$56:$N$56,0))*K$11+INDEX(JuniorzyPozytyw[],MATCH($A70,Juniorstwo!$A$57:$A$76,0),MATCH($B$12,Juniorstwo!$A$56:$N$56,0))*K$12+INDEX(JuniorzyPozytyw[],MATCH($A70,Juniorstwo!$A$57:$A$76,0),MATCH($B$13,Juniorstwo!$A$56:$N$56,0))*K$13,"-")</f>
        <v>89.09</v>
      </c>
    </row>
    <row r="71" spans="1:11" x14ac:dyDescent="0.25">
      <c r="A71">
        <f>IFERROR(PozycjeŚr!A47,"-")</f>
        <v>42</v>
      </c>
      <c r="B71" s="3" t="str">
        <f>IFERROR(VLOOKUP(PozJunPMG[[#This Row],[Numer]],Zawodnicy[[Number]:[Player name]],2,FALSE),"-")</f>
        <v>Olaf Skikiewicz</v>
      </c>
      <c r="C71" s="38">
        <f ca="1">IFERROR(INDEX(JuniorzyPozytyw[],MATCH($A71,Juniorstwo!$A$57:$A$76,0),MATCH($B$2,Juniorstwo!$A$56:$N$56,0))*C$2+INDEX(JuniorzyPozytyw[],MATCH($A71,Juniorstwo!$A$57:$A$76,0),MATCH($B$3,Juniorstwo!$A$56:$N$56,0))*C$3+INDEX(JuniorzyPozytyw[],MATCH($A71,Juniorstwo!$A$57:$A$76,0),MATCH($B$4,Juniorstwo!$A$56:$N$56,0))*C$4+INDEX(JuniorzyPozytyw[],MATCH($A71,Juniorstwo!$A$57:$A$76,0),MATCH($B$5,Juniorstwo!$A$56:$N$56,0))*C$5+INDEX(JuniorzyPozytyw[],MATCH($A71,Juniorstwo!$A$57:$A$76,0),MATCH($B$6,Juniorstwo!$A$56:$N$56,0))*C$6+INDEX(JuniorzyPozytyw[],MATCH($A71,Juniorstwo!$A$57:$A$76,0),MATCH($B$7,Juniorstwo!$A$56:$N$56,0))*C$7+INDEX(JuniorzyPozytyw[],MATCH($A71,Juniorstwo!$A$57:$A$76,0),MATCH($B$8,Juniorstwo!$A$56:$N$56,0))*C$8+INDEX(JuniorzyPozytyw[],MATCH($A71,Juniorstwo!$A$57:$A$76,0),MATCH($B$9,Juniorstwo!$A$56:$N$56,0))*C$9+INDEX(JuniorzyPozytyw[],MATCH($A71,Juniorstwo!$A$57:$A$76,0),MATCH($B$10,Juniorstwo!$A$56:$N$56,0))*C$10+INDEX(JuniorzyPozytyw[],MATCH($A71,Juniorstwo!$A$57:$A$76,0),MATCH($B$11,Juniorstwo!$A$56:$N$56,0))*C$11+INDEX(JuniorzyPozytyw[],MATCH($A71,Juniorstwo!$A$57:$A$76,0),MATCH($B$12,Juniorstwo!$A$56:$N$56,0))*C$12+INDEX(JuniorzyPozytyw[],MATCH($A71,Juniorstwo!$A$57:$A$76,0),MATCH($B$13,Juniorstwo!$A$56:$N$56,0))*C$13,"-")</f>
        <v>72.58</v>
      </c>
      <c r="D71" s="38">
        <f ca="1">IFERROR(INDEX(JuniorzyPozytyw[],MATCH($A71,Juniorstwo!$A$57:$A$76,0),MATCH($B$2,Juniorstwo!$A$56:$N$56,0))*D$2+INDEX(JuniorzyPozytyw[],MATCH($A71,Juniorstwo!$A$57:$A$76,0),MATCH($B$3,Juniorstwo!$A$56:$N$56,0))*D$3+INDEX(JuniorzyPozytyw[],MATCH($A71,Juniorstwo!$A$57:$A$76,0),MATCH($B$4,Juniorstwo!$A$56:$N$56,0))*D$4+INDEX(JuniorzyPozytyw[],MATCH($A71,Juniorstwo!$A$57:$A$76,0),MATCH($B$5,Juniorstwo!$A$56:$N$56,0))*D$5+INDEX(JuniorzyPozytyw[],MATCH($A71,Juniorstwo!$A$57:$A$76,0),MATCH($B$6,Juniorstwo!$A$56:$N$56,0))*D$6+INDEX(JuniorzyPozytyw[],MATCH($A71,Juniorstwo!$A$57:$A$76,0),MATCH($B$7,Juniorstwo!$A$56:$N$56,0))*D$7+INDEX(JuniorzyPozytyw[],MATCH($A71,Juniorstwo!$A$57:$A$76,0),MATCH($B$8,Juniorstwo!$A$56:$N$56,0))*D$8+INDEX(JuniorzyPozytyw[],MATCH($A71,Juniorstwo!$A$57:$A$76,0),MATCH($B$9,Juniorstwo!$A$56:$N$56,0))*D$9+INDEX(JuniorzyPozytyw[],MATCH($A71,Juniorstwo!$A$57:$A$76,0),MATCH($B$10,Juniorstwo!$A$56:$N$56,0))*D$10+INDEX(JuniorzyPozytyw[],MATCH($A71,Juniorstwo!$A$57:$A$76,0),MATCH($B$11,Juniorstwo!$A$56:$N$56,0))*D$11+INDEX(JuniorzyPozytyw[],MATCH($A71,Juniorstwo!$A$57:$A$76,0),MATCH($B$12,Juniorstwo!$A$56:$N$56,0))*D$12+INDEX(JuniorzyPozytyw[],MATCH($A71,Juniorstwo!$A$57:$A$76,0),MATCH($B$13,Juniorstwo!$A$56:$N$56,0))*D$13,"-")</f>
        <v>79.83</v>
      </c>
      <c r="E71" s="38">
        <f ca="1">IFERROR(INDEX(JuniorzyPozytyw[],MATCH($A71,Juniorstwo!$A$57:$A$76,0),MATCH($B$2,Juniorstwo!$A$56:$N$56,0))*E$2+INDEX(JuniorzyPozytyw[],MATCH($A71,Juniorstwo!$A$57:$A$76,0),MATCH($B$3,Juniorstwo!$A$56:$N$56,0))*E$3+INDEX(JuniorzyPozytyw[],MATCH($A71,Juniorstwo!$A$57:$A$76,0),MATCH($B$4,Juniorstwo!$A$56:$N$56,0))*E$4+INDEX(JuniorzyPozytyw[],MATCH($A71,Juniorstwo!$A$57:$A$76,0),MATCH($B$5,Juniorstwo!$A$56:$N$56,0))*E$5+INDEX(JuniorzyPozytyw[],MATCH($A71,Juniorstwo!$A$57:$A$76,0),MATCH($B$6,Juniorstwo!$A$56:$N$56,0))*E$6+INDEX(JuniorzyPozytyw[],MATCH($A71,Juniorstwo!$A$57:$A$76,0),MATCH($B$7,Juniorstwo!$A$56:$N$56,0))*E$7+INDEX(JuniorzyPozytyw[],MATCH($A71,Juniorstwo!$A$57:$A$76,0),MATCH($B$8,Juniorstwo!$A$56:$N$56,0))*E$8+INDEX(JuniorzyPozytyw[],MATCH($A71,Juniorstwo!$A$57:$A$76,0),MATCH($B$9,Juniorstwo!$A$56:$N$56,0))*E$9+INDEX(JuniorzyPozytyw[],MATCH($A71,Juniorstwo!$A$57:$A$76,0),MATCH($B$10,Juniorstwo!$A$56:$N$56,0))*E$10+INDEX(JuniorzyPozytyw[],MATCH($A71,Juniorstwo!$A$57:$A$76,0),MATCH($B$11,Juniorstwo!$A$56:$N$56,0))*E$11+INDEX(JuniorzyPozytyw[],MATCH($A71,Juniorstwo!$A$57:$A$76,0),MATCH($B$12,Juniorstwo!$A$56:$N$56,0))*E$12+INDEX(JuniorzyPozytyw[],MATCH($A71,Juniorstwo!$A$57:$A$76,0),MATCH($B$13,Juniorstwo!$A$56:$N$56,0))*E$13,"-")</f>
        <v>81.58</v>
      </c>
      <c r="F71" s="38">
        <f ca="1">IFERROR(INDEX(JuniorzyPozytyw[],MATCH($A71,Juniorstwo!$A$57:$A$76,0),MATCH($B$2,Juniorstwo!$A$56:$N$56,0))*F$2+INDEX(JuniorzyPozytyw[],MATCH($A71,Juniorstwo!$A$57:$A$76,0),MATCH($B$3,Juniorstwo!$A$56:$N$56,0))*F$3+INDEX(JuniorzyPozytyw[],MATCH($A71,Juniorstwo!$A$57:$A$76,0),MATCH($B$4,Juniorstwo!$A$56:$N$56,0))*F$4+INDEX(JuniorzyPozytyw[],MATCH($A71,Juniorstwo!$A$57:$A$76,0),MATCH($B$5,Juniorstwo!$A$56:$N$56,0))*F$5+INDEX(JuniorzyPozytyw[],MATCH($A71,Juniorstwo!$A$57:$A$76,0),MATCH($B$6,Juniorstwo!$A$56:$N$56,0))*F$6+INDEX(JuniorzyPozytyw[],MATCH($A71,Juniorstwo!$A$57:$A$76,0),MATCH($B$7,Juniorstwo!$A$56:$N$56,0))*F$7+INDEX(JuniorzyPozytyw[],MATCH($A71,Juniorstwo!$A$57:$A$76,0),MATCH($B$8,Juniorstwo!$A$56:$N$56,0))*F$8+INDEX(JuniorzyPozytyw[],MATCH($A71,Juniorstwo!$A$57:$A$76,0),MATCH($B$9,Juniorstwo!$A$56:$N$56,0))*F$9+INDEX(JuniorzyPozytyw[],MATCH($A71,Juniorstwo!$A$57:$A$76,0),MATCH($B$10,Juniorstwo!$A$56:$N$56,0))*F$10+INDEX(JuniorzyPozytyw[],MATCH($A71,Juniorstwo!$A$57:$A$76,0),MATCH($B$11,Juniorstwo!$A$56:$N$56,0))*F$11+INDEX(JuniorzyPozytyw[],MATCH($A71,Juniorstwo!$A$57:$A$76,0),MATCH($B$12,Juniorstwo!$A$56:$N$56,0))*F$12+INDEX(JuniorzyPozytyw[],MATCH($A71,Juniorstwo!$A$57:$A$76,0),MATCH($B$13,Juniorstwo!$A$56:$N$56,0))*F$13,"-")</f>
        <v>81.33</v>
      </c>
      <c r="G71" s="38">
        <f ca="1">IFERROR(INDEX(JuniorzyPozytyw[],MATCH($A71,Juniorstwo!$A$57:$A$76,0),MATCH($B$2,Juniorstwo!$A$56:$N$56,0))*G$2+INDEX(JuniorzyPozytyw[],MATCH($A71,Juniorstwo!$A$57:$A$76,0),MATCH($B$3,Juniorstwo!$A$56:$N$56,0))*G$3+INDEX(JuniorzyPozytyw[],MATCH($A71,Juniorstwo!$A$57:$A$76,0),MATCH($B$4,Juniorstwo!$A$56:$N$56,0))*G$4+INDEX(JuniorzyPozytyw[],MATCH($A71,Juniorstwo!$A$57:$A$76,0),MATCH($B$5,Juniorstwo!$A$56:$N$56,0))*G$5+INDEX(JuniorzyPozytyw[],MATCH($A71,Juniorstwo!$A$57:$A$76,0),MATCH($B$6,Juniorstwo!$A$56:$N$56,0))*G$6+INDEX(JuniorzyPozytyw[],MATCH($A71,Juniorstwo!$A$57:$A$76,0),MATCH($B$7,Juniorstwo!$A$56:$N$56,0))*G$7+INDEX(JuniorzyPozytyw[],MATCH($A71,Juniorstwo!$A$57:$A$76,0),MATCH($B$8,Juniorstwo!$A$56:$N$56,0))*G$8+INDEX(JuniorzyPozytyw[],MATCH($A71,Juniorstwo!$A$57:$A$76,0),MATCH($B$9,Juniorstwo!$A$56:$N$56,0))*G$9+INDEX(JuniorzyPozytyw[],MATCH($A71,Juniorstwo!$A$57:$A$76,0),MATCH($B$10,Juniorstwo!$A$56:$N$56,0))*G$10+INDEX(JuniorzyPozytyw[],MATCH($A71,Juniorstwo!$A$57:$A$76,0),MATCH($B$11,Juniorstwo!$A$56:$N$56,0))*G$11+INDEX(JuniorzyPozytyw[],MATCH($A71,Juniorstwo!$A$57:$A$76,0),MATCH($B$12,Juniorstwo!$A$56:$N$56,0))*G$12+INDEX(JuniorzyPozytyw[],MATCH($A71,Juniorstwo!$A$57:$A$76,0),MATCH($B$13,Juniorstwo!$A$56:$N$56,0))*G$13,"-")</f>
        <v>81.83</v>
      </c>
      <c r="H71" s="38">
        <f ca="1">IFERROR(INDEX(JuniorzyPozytyw[],MATCH($A71,Juniorstwo!$A$57:$A$76,0),MATCH($B$2,Juniorstwo!$A$56:$N$56,0))*H$2+INDEX(JuniorzyPozytyw[],MATCH($A71,Juniorstwo!$A$57:$A$76,0),MATCH($B$3,Juniorstwo!$A$56:$N$56,0))*H$3+INDEX(JuniorzyPozytyw[],MATCH($A71,Juniorstwo!$A$57:$A$76,0),MATCH($B$4,Juniorstwo!$A$56:$N$56,0))*H$4+INDEX(JuniorzyPozytyw[],MATCH($A71,Juniorstwo!$A$57:$A$76,0),MATCH($B$5,Juniorstwo!$A$56:$N$56,0))*H$5+INDEX(JuniorzyPozytyw[],MATCH($A71,Juniorstwo!$A$57:$A$76,0),MATCH($B$6,Juniorstwo!$A$56:$N$56,0))*H$6+INDEX(JuniorzyPozytyw[],MATCH($A71,Juniorstwo!$A$57:$A$76,0),MATCH($B$7,Juniorstwo!$A$56:$N$56,0))*H$7+INDEX(JuniorzyPozytyw[],MATCH($A71,Juniorstwo!$A$57:$A$76,0),MATCH($B$8,Juniorstwo!$A$56:$N$56,0))*H$8+INDEX(JuniorzyPozytyw[],MATCH($A71,Juniorstwo!$A$57:$A$76,0),MATCH($B$9,Juniorstwo!$A$56:$N$56,0))*H$9+INDEX(JuniorzyPozytyw[],MATCH($A71,Juniorstwo!$A$57:$A$76,0),MATCH($B$10,Juniorstwo!$A$56:$N$56,0))*H$10+INDEX(JuniorzyPozytyw[],MATCH($A71,Juniorstwo!$A$57:$A$76,0),MATCH($B$11,Juniorstwo!$A$56:$N$56,0))*H$11+INDEX(JuniorzyPozytyw[],MATCH($A71,Juniorstwo!$A$57:$A$76,0),MATCH($B$12,Juniorstwo!$A$56:$N$56,0))*H$12+INDEX(JuniorzyPozytyw[],MATCH($A71,Juniorstwo!$A$57:$A$76,0),MATCH($B$13,Juniorstwo!$A$56:$N$56,0))*H$13,"-")</f>
        <v>83.58</v>
      </c>
      <c r="I71" s="38">
        <f ca="1">IFERROR(INDEX(JuniorzyPozytyw[],MATCH($A71,Juniorstwo!$A$57:$A$76,0),MATCH($B$2,Juniorstwo!$A$56:$N$56,0))*I$2+INDEX(JuniorzyPozytyw[],MATCH($A71,Juniorstwo!$A$57:$A$76,0),MATCH($B$3,Juniorstwo!$A$56:$N$56,0))*I$3+INDEX(JuniorzyPozytyw[],MATCH($A71,Juniorstwo!$A$57:$A$76,0),MATCH($B$4,Juniorstwo!$A$56:$N$56,0))*I$4+INDEX(JuniorzyPozytyw[],MATCH($A71,Juniorstwo!$A$57:$A$76,0),MATCH($B$5,Juniorstwo!$A$56:$N$56,0))*I$5+INDEX(JuniorzyPozytyw[],MATCH($A71,Juniorstwo!$A$57:$A$76,0),MATCH($B$6,Juniorstwo!$A$56:$N$56,0))*I$6+INDEX(JuniorzyPozytyw[],MATCH($A71,Juniorstwo!$A$57:$A$76,0),MATCH($B$7,Juniorstwo!$A$56:$N$56,0))*I$7+INDEX(JuniorzyPozytyw[],MATCH($A71,Juniorstwo!$A$57:$A$76,0),MATCH($B$8,Juniorstwo!$A$56:$N$56,0))*I$8+INDEX(JuniorzyPozytyw[],MATCH($A71,Juniorstwo!$A$57:$A$76,0),MATCH($B$9,Juniorstwo!$A$56:$N$56,0))*I$9+INDEX(JuniorzyPozytyw[],MATCH($A71,Juniorstwo!$A$57:$A$76,0),MATCH($B$10,Juniorstwo!$A$56:$N$56,0))*I$10+INDEX(JuniorzyPozytyw[],MATCH($A71,Juniorstwo!$A$57:$A$76,0),MATCH($B$11,Juniorstwo!$A$56:$N$56,0))*I$11+INDEX(JuniorzyPozytyw[],MATCH($A71,Juniorstwo!$A$57:$A$76,0),MATCH($B$12,Juniorstwo!$A$56:$N$56,0))*I$12+INDEX(JuniorzyPozytyw[],MATCH($A71,Juniorstwo!$A$57:$A$76,0),MATCH($B$13,Juniorstwo!$A$56:$N$56,0))*I$13,"-")</f>
        <v>82.58</v>
      </c>
      <c r="J71" s="38">
        <f ca="1">IFERROR(INDEX(JuniorzyPozytyw[],MATCH($A71,Juniorstwo!$A$57:$A$76,0),MATCH($B$2,Juniorstwo!$A$56:$N$56,0))*J$2+INDEX(JuniorzyPozytyw[],MATCH($A71,Juniorstwo!$A$57:$A$76,0),MATCH($B$3,Juniorstwo!$A$56:$N$56,0))*J$3+INDEX(JuniorzyPozytyw[],MATCH($A71,Juniorstwo!$A$57:$A$76,0),MATCH($B$4,Juniorstwo!$A$56:$N$56,0))*J$4+INDEX(JuniorzyPozytyw[],MATCH($A71,Juniorstwo!$A$57:$A$76,0),MATCH($B$5,Juniorstwo!$A$56:$N$56,0))*J$5+INDEX(JuniorzyPozytyw[],MATCH($A71,Juniorstwo!$A$57:$A$76,0),MATCH($B$6,Juniorstwo!$A$56:$N$56,0))*J$6+INDEX(JuniorzyPozytyw[],MATCH($A71,Juniorstwo!$A$57:$A$76,0),MATCH($B$7,Juniorstwo!$A$56:$N$56,0))*J$7+INDEX(JuniorzyPozytyw[],MATCH($A71,Juniorstwo!$A$57:$A$76,0),MATCH($B$8,Juniorstwo!$A$56:$N$56,0))*J$8+INDEX(JuniorzyPozytyw[],MATCH($A71,Juniorstwo!$A$57:$A$76,0),MATCH($B$9,Juniorstwo!$A$56:$N$56,0))*J$9+INDEX(JuniorzyPozytyw[],MATCH($A71,Juniorstwo!$A$57:$A$76,0),MATCH($B$10,Juniorstwo!$A$56:$N$56,0))*J$10+INDEX(JuniorzyPozytyw[],MATCH($A71,Juniorstwo!$A$57:$A$76,0),MATCH($B$11,Juniorstwo!$A$56:$N$56,0))*J$11+INDEX(JuniorzyPozytyw[],MATCH($A71,Juniorstwo!$A$57:$A$76,0),MATCH($B$12,Juniorstwo!$A$56:$N$56,0))*J$12+INDEX(JuniorzyPozytyw[],MATCH($A71,Juniorstwo!$A$57:$A$76,0),MATCH($B$13,Juniorstwo!$A$56:$N$56,0))*J$13,"-")</f>
        <v>83.83</v>
      </c>
      <c r="K71" s="38">
        <f ca="1">IFERROR(INDEX(JuniorzyPozytyw[],MATCH($A71,Juniorstwo!$A$57:$A$76,0),MATCH($B$2,Juniorstwo!$A$56:$N$56,0))*K$2+INDEX(JuniorzyPozytyw[],MATCH($A71,Juniorstwo!$A$57:$A$76,0),MATCH($B$3,Juniorstwo!$A$56:$N$56,0))*K$3+INDEX(JuniorzyPozytyw[],MATCH($A71,Juniorstwo!$A$57:$A$76,0),MATCH($B$4,Juniorstwo!$A$56:$N$56,0))*K$4+INDEX(JuniorzyPozytyw[],MATCH($A71,Juniorstwo!$A$57:$A$76,0),MATCH($B$5,Juniorstwo!$A$56:$N$56,0))*K$5+INDEX(JuniorzyPozytyw[],MATCH($A71,Juniorstwo!$A$57:$A$76,0),MATCH($B$6,Juniorstwo!$A$56:$N$56,0))*K$6+INDEX(JuniorzyPozytyw[],MATCH($A71,Juniorstwo!$A$57:$A$76,0),MATCH($B$7,Juniorstwo!$A$56:$N$56,0))*K$7+INDEX(JuniorzyPozytyw[],MATCH($A71,Juniorstwo!$A$57:$A$76,0),MATCH($B$8,Juniorstwo!$A$56:$N$56,0))*K$8+INDEX(JuniorzyPozytyw[],MATCH($A71,Juniorstwo!$A$57:$A$76,0),MATCH($B$9,Juniorstwo!$A$56:$N$56,0))*K$9+INDEX(JuniorzyPozytyw[],MATCH($A71,Juniorstwo!$A$57:$A$76,0),MATCH($B$10,Juniorstwo!$A$56:$N$56,0))*K$10+INDEX(JuniorzyPozytyw[],MATCH($A71,Juniorstwo!$A$57:$A$76,0),MATCH($B$11,Juniorstwo!$A$56:$N$56,0))*K$11+INDEX(JuniorzyPozytyw[],MATCH($A71,Juniorstwo!$A$57:$A$76,0),MATCH($B$12,Juniorstwo!$A$56:$N$56,0))*K$12+INDEX(JuniorzyPozytyw[],MATCH($A71,Juniorstwo!$A$57:$A$76,0),MATCH($B$13,Juniorstwo!$A$56:$N$56,0))*K$13,"-")</f>
        <v>82.83</v>
      </c>
    </row>
    <row r="72" spans="1:11" x14ac:dyDescent="0.25">
      <c r="A72">
        <f>IFERROR(PozycjeŚr!A48,"-")</f>
        <v>45</v>
      </c>
      <c r="B72" s="3" t="str">
        <f>IFERROR(VLOOKUP(PozJunPMG[[#This Row],[Numer]],Zawodnicy[[Number]:[Player name]],2,FALSE),"-")</f>
        <v>Janusz Sierocki</v>
      </c>
      <c r="C72" s="38">
        <f ca="1">IFERROR(INDEX(JuniorzyPozytyw[],MATCH($A72,Juniorstwo!$A$57:$A$76,0),MATCH($B$2,Juniorstwo!$A$56:$N$56,0))*C$2+INDEX(JuniorzyPozytyw[],MATCH($A72,Juniorstwo!$A$57:$A$76,0),MATCH($B$3,Juniorstwo!$A$56:$N$56,0))*C$3+INDEX(JuniorzyPozytyw[],MATCH($A72,Juniorstwo!$A$57:$A$76,0),MATCH($B$4,Juniorstwo!$A$56:$N$56,0))*C$4+INDEX(JuniorzyPozytyw[],MATCH($A72,Juniorstwo!$A$57:$A$76,0),MATCH($B$5,Juniorstwo!$A$56:$N$56,0))*C$5+INDEX(JuniorzyPozytyw[],MATCH($A72,Juniorstwo!$A$57:$A$76,0),MATCH($B$6,Juniorstwo!$A$56:$N$56,0))*C$6+INDEX(JuniorzyPozytyw[],MATCH($A72,Juniorstwo!$A$57:$A$76,0),MATCH($B$7,Juniorstwo!$A$56:$N$56,0))*C$7+INDEX(JuniorzyPozytyw[],MATCH($A72,Juniorstwo!$A$57:$A$76,0),MATCH($B$8,Juniorstwo!$A$56:$N$56,0))*C$8+INDEX(JuniorzyPozytyw[],MATCH($A72,Juniorstwo!$A$57:$A$76,0),MATCH($B$9,Juniorstwo!$A$56:$N$56,0))*C$9+INDEX(JuniorzyPozytyw[],MATCH($A72,Juniorstwo!$A$57:$A$76,0),MATCH($B$10,Juniorstwo!$A$56:$N$56,0))*C$10+INDEX(JuniorzyPozytyw[],MATCH($A72,Juniorstwo!$A$57:$A$76,0),MATCH($B$11,Juniorstwo!$A$56:$N$56,0))*C$11+INDEX(JuniorzyPozytyw[],MATCH($A72,Juniorstwo!$A$57:$A$76,0),MATCH($B$12,Juniorstwo!$A$56:$N$56,0))*C$12+INDEX(JuniorzyPozytyw[],MATCH($A72,Juniorstwo!$A$57:$A$76,0),MATCH($B$13,Juniorstwo!$A$56:$N$56,0))*C$13,"-")</f>
        <v>53.57</v>
      </c>
      <c r="D72" s="38">
        <f ca="1">IFERROR(INDEX(JuniorzyPozytyw[],MATCH($A72,Juniorstwo!$A$57:$A$76,0),MATCH($B$2,Juniorstwo!$A$56:$N$56,0))*D$2+INDEX(JuniorzyPozytyw[],MATCH($A72,Juniorstwo!$A$57:$A$76,0),MATCH($B$3,Juniorstwo!$A$56:$N$56,0))*D$3+INDEX(JuniorzyPozytyw[],MATCH($A72,Juniorstwo!$A$57:$A$76,0),MATCH($B$4,Juniorstwo!$A$56:$N$56,0))*D$4+INDEX(JuniorzyPozytyw[],MATCH($A72,Juniorstwo!$A$57:$A$76,0),MATCH($B$5,Juniorstwo!$A$56:$N$56,0))*D$5+INDEX(JuniorzyPozytyw[],MATCH($A72,Juniorstwo!$A$57:$A$76,0),MATCH($B$6,Juniorstwo!$A$56:$N$56,0))*D$6+INDEX(JuniorzyPozytyw[],MATCH($A72,Juniorstwo!$A$57:$A$76,0),MATCH($B$7,Juniorstwo!$A$56:$N$56,0))*D$7+INDEX(JuniorzyPozytyw[],MATCH($A72,Juniorstwo!$A$57:$A$76,0),MATCH($B$8,Juniorstwo!$A$56:$N$56,0))*D$8+INDEX(JuniorzyPozytyw[],MATCH($A72,Juniorstwo!$A$57:$A$76,0),MATCH($B$9,Juniorstwo!$A$56:$N$56,0))*D$9+INDEX(JuniorzyPozytyw[],MATCH($A72,Juniorstwo!$A$57:$A$76,0),MATCH($B$10,Juniorstwo!$A$56:$N$56,0))*D$10+INDEX(JuniorzyPozytyw[],MATCH($A72,Juniorstwo!$A$57:$A$76,0),MATCH($B$11,Juniorstwo!$A$56:$N$56,0))*D$11+INDEX(JuniorzyPozytyw[],MATCH($A72,Juniorstwo!$A$57:$A$76,0),MATCH($B$12,Juniorstwo!$A$56:$N$56,0))*D$12+INDEX(JuniorzyPozytyw[],MATCH($A72,Juniorstwo!$A$57:$A$76,0),MATCH($B$13,Juniorstwo!$A$56:$N$56,0))*D$13,"-")</f>
        <v>77.069999999999993</v>
      </c>
      <c r="E72" s="38">
        <f ca="1">IFERROR(INDEX(JuniorzyPozytyw[],MATCH($A72,Juniorstwo!$A$57:$A$76,0),MATCH($B$2,Juniorstwo!$A$56:$N$56,0))*E$2+INDEX(JuniorzyPozytyw[],MATCH($A72,Juniorstwo!$A$57:$A$76,0),MATCH($B$3,Juniorstwo!$A$56:$N$56,0))*E$3+INDEX(JuniorzyPozytyw[],MATCH($A72,Juniorstwo!$A$57:$A$76,0),MATCH($B$4,Juniorstwo!$A$56:$N$56,0))*E$4+INDEX(JuniorzyPozytyw[],MATCH($A72,Juniorstwo!$A$57:$A$76,0),MATCH($B$5,Juniorstwo!$A$56:$N$56,0))*E$5+INDEX(JuniorzyPozytyw[],MATCH($A72,Juniorstwo!$A$57:$A$76,0),MATCH($B$6,Juniorstwo!$A$56:$N$56,0))*E$6+INDEX(JuniorzyPozytyw[],MATCH($A72,Juniorstwo!$A$57:$A$76,0),MATCH($B$7,Juniorstwo!$A$56:$N$56,0))*E$7+INDEX(JuniorzyPozytyw[],MATCH($A72,Juniorstwo!$A$57:$A$76,0),MATCH($B$8,Juniorstwo!$A$56:$N$56,0))*E$8+INDEX(JuniorzyPozytyw[],MATCH($A72,Juniorstwo!$A$57:$A$76,0),MATCH($B$9,Juniorstwo!$A$56:$N$56,0))*E$9+INDEX(JuniorzyPozytyw[],MATCH($A72,Juniorstwo!$A$57:$A$76,0),MATCH($B$10,Juniorstwo!$A$56:$N$56,0))*E$10+INDEX(JuniorzyPozytyw[],MATCH($A72,Juniorstwo!$A$57:$A$76,0),MATCH($B$11,Juniorstwo!$A$56:$N$56,0))*E$11+INDEX(JuniorzyPozytyw[],MATCH($A72,Juniorstwo!$A$57:$A$76,0),MATCH($B$12,Juniorstwo!$A$56:$N$56,0))*E$12+INDEX(JuniorzyPozytyw[],MATCH($A72,Juniorstwo!$A$57:$A$76,0),MATCH($B$13,Juniorstwo!$A$56:$N$56,0))*E$13,"-")</f>
        <v>76.319999999999993</v>
      </c>
      <c r="F72" s="38">
        <f ca="1">IFERROR(INDEX(JuniorzyPozytyw[],MATCH($A72,Juniorstwo!$A$57:$A$76,0),MATCH($B$2,Juniorstwo!$A$56:$N$56,0))*F$2+INDEX(JuniorzyPozytyw[],MATCH($A72,Juniorstwo!$A$57:$A$76,0),MATCH($B$3,Juniorstwo!$A$56:$N$56,0))*F$3+INDEX(JuniorzyPozytyw[],MATCH($A72,Juniorstwo!$A$57:$A$76,0),MATCH($B$4,Juniorstwo!$A$56:$N$56,0))*F$4+INDEX(JuniorzyPozytyw[],MATCH($A72,Juniorstwo!$A$57:$A$76,0),MATCH($B$5,Juniorstwo!$A$56:$N$56,0))*F$5+INDEX(JuniorzyPozytyw[],MATCH($A72,Juniorstwo!$A$57:$A$76,0),MATCH($B$6,Juniorstwo!$A$56:$N$56,0))*F$6+INDEX(JuniorzyPozytyw[],MATCH($A72,Juniorstwo!$A$57:$A$76,0),MATCH($B$7,Juniorstwo!$A$56:$N$56,0))*F$7+INDEX(JuniorzyPozytyw[],MATCH($A72,Juniorstwo!$A$57:$A$76,0),MATCH($B$8,Juniorstwo!$A$56:$N$56,0))*F$8+INDEX(JuniorzyPozytyw[],MATCH($A72,Juniorstwo!$A$57:$A$76,0),MATCH($B$9,Juniorstwo!$A$56:$N$56,0))*F$9+INDEX(JuniorzyPozytyw[],MATCH($A72,Juniorstwo!$A$57:$A$76,0),MATCH($B$10,Juniorstwo!$A$56:$N$56,0))*F$10+INDEX(JuniorzyPozytyw[],MATCH($A72,Juniorstwo!$A$57:$A$76,0),MATCH($B$11,Juniorstwo!$A$56:$N$56,0))*F$11+INDEX(JuniorzyPozytyw[],MATCH($A72,Juniorstwo!$A$57:$A$76,0),MATCH($B$12,Juniorstwo!$A$56:$N$56,0))*F$12+INDEX(JuniorzyPozytyw[],MATCH($A72,Juniorstwo!$A$57:$A$76,0),MATCH($B$13,Juniorstwo!$A$56:$N$56,0))*F$13,"-")</f>
        <v>73.569999999999993</v>
      </c>
      <c r="G72" s="38">
        <f ca="1">IFERROR(INDEX(JuniorzyPozytyw[],MATCH($A72,Juniorstwo!$A$57:$A$76,0),MATCH($B$2,Juniorstwo!$A$56:$N$56,0))*G$2+INDEX(JuniorzyPozytyw[],MATCH($A72,Juniorstwo!$A$57:$A$76,0),MATCH($B$3,Juniorstwo!$A$56:$N$56,0))*G$3+INDEX(JuniorzyPozytyw[],MATCH($A72,Juniorstwo!$A$57:$A$76,0),MATCH($B$4,Juniorstwo!$A$56:$N$56,0))*G$4+INDEX(JuniorzyPozytyw[],MATCH($A72,Juniorstwo!$A$57:$A$76,0),MATCH($B$5,Juniorstwo!$A$56:$N$56,0))*G$5+INDEX(JuniorzyPozytyw[],MATCH($A72,Juniorstwo!$A$57:$A$76,0),MATCH($B$6,Juniorstwo!$A$56:$N$56,0))*G$6+INDEX(JuniorzyPozytyw[],MATCH($A72,Juniorstwo!$A$57:$A$76,0),MATCH($B$7,Juniorstwo!$A$56:$N$56,0))*G$7+INDEX(JuniorzyPozytyw[],MATCH($A72,Juniorstwo!$A$57:$A$76,0),MATCH($B$8,Juniorstwo!$A$56:$N$56,0))*G$8+INDEX(JuniorzyPozytyw[],MATCH($A72,Juniorstwo!$A$57:$A$76,0),MATCH($B$9,Juniorstwo!$A$56:$N$56,0))*G$9+INDEX(JuniorzyPozytyw[],MATCH($A72,Juniorstwo!$A$57:$A$76,0),MATCH($B$10,Juniorstwo!$A$56:$N$56,0))*G$10+INDEX(JuniorzyPozytyw[],MATCH($A72,Juniorstwo!$A$57:$A$76,0),MATCH($B$11,Juniorstwo!$A$56:$N$56,0))*G$11+INDEX(JuniorzyPozytyw[],MATCH($A72,Juniorstwo!$A$57:$A$76,0),MATCH($B$12,Juniorstwo!$A$56:$N$56,0))*G$12+INDEX(JuniorzyPozytyw[],MATCH($A72,Juniorstwo!$A$57:$A$76,0),MATCH($B$13,Juniorstwo!$A$56:$N$56,0))*G$13,"-")</f>
        <v>73.569999999999993</v>
      </c>
      <c r="H72" s="38">
        <f ca="1">IFERROR(INDEX(JuniorzyPozytyw[],MATCH($A72,Juniorstwo!$A$57:$A$76,0),MATCH($B$2,Juniorstwo!$A$56:$N$56,0))*H$2+INDEX(JuniorzyPozytyw[],MATCH($A72,Juniorstwo!$A$57:$A$76,0),MATCH($B$3,Juniorstwo!$A$56:$N$56,0))*H$3+INDEX(JuniorzyPozytyw[],MATCH($A72,Juniorstwo!$A$57:$A$76,0),MATCH($B$4,Juniorstwo!$A$56:$N$56,0))*H$4+INDEX(JuniorzyPozytyw[],MATCH($A72,Juniorstwo!$A$57:$A$76,0),MATCH($B$5,Juniorstwo!$A$56:$N$56,0))*H$5+INDEX(JuniorzyPozytyw[],MATCH($A72,Juniorstwo!$A$57:$A$76,0),MATCH($B$6,Juniorstwo!$A$56:$N$56,0))*H$6+INDEX(JuniorzyPozytyw[],MATCH($A72,Juniorstwo!$A$57:$A$76,0),MATCH($B$7,Juniorstwo!$A$56:$N$56,0))*H$7+INDEX(JuniorzyPozytyw[],MATCH($A72,Juniorstwo!$A$57:$A$76,0),MATCH($B$8,Juniorstwo!$A$56:$N$56,0))*H$8+INDEX(JuniorzyPozytyw[],MATCH($A72,Juniorstwo!$A$57:$A$76,0),MATCH($B$9,Juniorstwo!$A$56:$N$56,0))*H$9+INDEX(JuniorzyPozytyw[],MATCH($A72,Juniorstwo!$A$57:$A$76,0),MATCH($B$10,Juniorstwo!$A$56:$N$56,0))*H$10+INDEX(JuniorzyPozytyw[],MATCH($A72,Juniorstwo!$A$57:$A$76,0),MATCH($B$11,Juniorstwo!$A$56:$N$56,0))*H$11+INDEX(JuniorzyPozytyw[],MATCH($A72,Juniorstwo!$A$57:$A$76,0),MATCH($B$12,Juniorstwo!$A$56:$N$56,0))*H$12+INDEX(JuniorzyPozytyw[],MATCH($A72,Juniorstwo!$A$57:$A$76,0),MATCH($B$13,Juniorstwo!$A$56:$N$56,0))*H$13,"-")</f>
        <v>72.069999999999993</v>
      </c>
      <c r="I72" s="38">
        <f ca="1">IFERROR(INDEX(JuniorzyPozytyw[],MATCH($A72,Juniorstwo!$A$57:$A$76,0),MATCH($B$2,Juniorstwo!$A$56:$N$56,0))*I$2+INDEX(JuniorzyPozytyw[],MATCH($A72,Juniorstwo!$A$57:$A$76,0),MATCH($B$3,Juniorstwo!$A$56:$N$56,0))*I$3+INDEX(JuniorzyPozytyw[],MATCH($A72,Juniorstwo!$A$57:$A$76,0),MATCH($B$4,Juniorstwo!$A$56:$N$56,0))*I$4+INDEX(JuniorzyPozytyw[],MATCH($A72,Juniorstwo!$A$57:$A$76,0),MATCH($B$5,Juniorstwo!$A$56:$N$56,0))*I$5+INDEX(JuniorzyPozytyw[],MATCH($A72,Juniorstwo!$A$57:$A$76,0),MATCH($B$6,Juniorstwo!$A$56:$N$56,0))*I$6+INDEX(JuniorzyPozytyw[],MATCH($A72,Juniorstwo!$A$57:$A$76,0),MATCH($B$7,Juniorstwo!$A$56:$N$56,0))*I$7+INDEX(JuniorzyPozytyw[],MATCH($A72,Juniorstwo!$A$57:$A$76,0),MATCH($B$8,Juniorstwo!$A$56:$N$56,0))*I$8+INDEX(JuniorzyPozytyw[],MATCH($A72,Juniorstwo!$A$57:$A$76,0),MATCH($B$9,Juniorstwo!$A$56:$N$56,0))*I$9+INDEX(JuniorzyPozytyw[],MATCH($A72,Juniorstwo!$A$57:$A$76,0),MATCH($B$10,Juniorstwo!$A$56:$N$56,0))*I$10+INDEX(JuniorzyPozytyw[],MATCH($A72,Juniorstwo!$A$57:$A$76,0),MATCH($B$11,Juniorstwo!$A$56:$N$56,0))*I$11+INDEX(JuniorzyPozytyw[],MATCH($A72,Juniorstwo!$A$57:$A$76,0),MATCH($B$12,Juniorstwo!$A$56:$N$56,0))*I$12+INDEX(JuniorzyPozytyw[],MATCH($A72,Juniorstwo!$A$57:$A$76,0),MATCH($B$13,Juniorstwo!$A$56:$N$56,0))*I$13,"-")</f>
        <v>71.819999999999993</v>
      </c>
      <c r="J72" s="38">
        <f ca="1">IFERROR(INDEX(JuniorzyPozytyw[],MATCH($A72,Juniorstwo!$A$57:$A$76,0),MATCH($B$2,Juniorstwo!$A$56:$N$56,0))*J$2+INDEX(JuniorzyPozytyw[],MATCH($A72,Juniorstwo!$A$57:$A$76,0),MATCH($B$3,Juniorstwo!$A$56:$N$56,0))*J$3+INDEX(JuniorzyPozytyw[],MATCH($A72,Juniorstwo!$A$57:$A$76,0),MATCH($B$4,Juniorstwo!$A$56:$N$56,0))*J$4+INDEX(JuniorzyPozytyw[],MATCH($A72,Juniorstwo!$A$57:$A$76,0),MATCH($B$5,Juniorstwo!$A$56:$N$56,0))*J$5+INDEX(JuniorzyPozytyw[],MATCH($A72,Juniorstwo!$A$57:$A$76,0),MATCH($B$6,Juniorstwo!$A$56:$N$56,0))*J$6+INDEX(JuniorzyPozytyw[],MATCH($A72,Juniorstwo!$A$57:$A$76,0),MATCH($B$7,Juniorstwo!$A$56:$N$56,0))*J$7+INDEX(JuniorzyPozytyw[],MATCH($A72,Juniorstwo!$A$57:$A$76,0),MATCH($B$8,Juniorstwo!$A$56:$N$56,0))*J$8+INDEX(JuniorzyPozytyw[],MATCH($A72,Juniorstwo!$A$57:$A$76,0),MATCH($B$9,Juniorstwo!$A$56:$N$56,0))*J$9+INDEX(JuniorzyPozytyw[],MATCH($A72,Juniorstwo!$A$57:$A$76,0),MATCH($B$10,Juniorstwo!$A$56:$N$56,0))*J$10+INDEX(JuniorzyPozytyw[],MATCH($A72,Juniorstwo!$A$57:$A$76,0),MATCH($B$11,Juniorstwo!$A$56:$N$56,0))*J$11+INDEX(JuniorzyPozytyw[],MATCH($A72,Juniorstwo!$A$57:$A$76,0),MATCH($B$12,Juniorstwo!$A$56:$N$56,0))*J$12+INDEX(JuniorzyPozytyw[],MATCH($A72,Juniorstwo!$A$57:$A$76,0),MATCH($B$13,Juniorstwo!$A$56:$N$56,0))*J$13,"-")</f>
        <v>72.569999999999993</v>
      </c>
      <c r="K72" s="38">
        <f ca="1">IFERROR(INDEX(JuniorzyPozytyw[],MATCH($A72,Juniorstwo!$A$57:$A$76,0),MATCH($B$2,Juniorstwo!$A$56:$N$56,0))*K$2+INDEX(JuniorzyPozytyw[],MATCH($A72,Juniorstwo!$A$57:$A$76,0),MATCH($B$3,Juniorstwo!$A$56:$N$56,0))*K$3+INDEX(JuniorzyPozytyw[],MATCH($A72,Juniorstwo!$A$57:$A$76,0),MATCH($B$4,Juniorstwo!$A$56:$N$56,0))*K$4+INDEX(JuniorzyPozytyw[],MATCH($A72,Juniorstwo!$A$57:$A$76,0),MATCH($B$5,Juniorstwo!$A$56:$N$56,0))*K$5+INDEX(JuniorzyPozytyw[],MATCH($A72,Juniorstwo!$A$57:$A$76,0),MATCH($B$6,Juniorstwo!$A$56:$N$56,0))*K$6+INDEX(JuniorzyPozytyw[],MATCH($A72,Juniorstwo!$A$57:$A$76,0),MATCH($B$7,Juniorstwo!$A$56:$N$56,0))*K$7+INDEX(JuniorzyPozytyw[],MATCH($A72,Juniorstwo!$A$57:$A$76,0),MATCH($B$8,Juniorstwo!$A$56:$N$56,0))*K$8+INDEX(JuniorzyPozytyw[],MATCH($A72,Juniorstwo!$A$57:$A$76,0),MATCH($B$9,Juniorstwo!$A$56:$N$56,0))*K$9+INDEX(JuniorzyPozytyw[],MATCH($A72,Juniorstwo!$A$57:$A$76,0),MATCH($B$10,Juniorstwo!$A$56:$N$56,0))*K$10+INDEX(JuniorzyPozytyw[],MATCH($A72,Juniorstwo!$A$57:$A$76,0),MATCH($B$11,Juniorstwo!$A$56:$N$56,0))*K$11+INDEX(JuniorzyPozytyw[],MATCH($A72,Juniorstwo!$A$57:$A$76,0),MATCH($B$12,Juniorstwo!$A$56:$N$56,0))*K$12+INDEX(JuniorzyPozytyw[],MATCH($A72,Juniorstwo!$A$57:$A$76,0),MATCH($B$13,Juniorstwo!$A$56:$N$56,0))*K$13,"-")</f>
        <v>71.819999999999993</v>
      </c>
    </row>
    <row r="73" spans="1:11" x14ac:dyDescent="0.25">
      <c r="A73">
        <f>IFERROR(PozycjeŚr!A49,"-")</f>
        <v>46</v>
      </c>
      <c r="B73" s="3" t="str">
        <f>IFERROR(VLOOKUP(PozJunPMG[[#This Row],[Numer]],Zawodnicy[[Number]:[Player name]],2,FALSE),"-")</f>
        <v>Iwo Duszenski</v>
      </c>
      <c r="C73" s="38">
        <f ca="1">IFERROR(INDEX(JuniorzyPozytyw[],MATCH($A73,Juniorstwo!$A$57:$A$76,0),MATCH($B$2,Juniorstwo!$A$56:$N$56,0))*C$2+INDEX(JuniorzyPozytyw[],MATCH($A73,Juniorstwo!$A$57:$A$76,0),MATCH($B$3,Juniorstwo!$A$56:$N$56,0))*C$3+INDEX(JuniorzyPozytyw[],MATCH($A73,Juniorstwo!$A$57:$A$76,0),MATCH($B$4,Juniorstwo!$A$56:$N$56,0))*C$4+INDEX(JuniorzyPozytyw[],MATCH($A73,Juniorstwo!$A$57:$A$76,0),MATCH($B$5,Juniorstwo!$A$56:$N$56,0))*C$5+INDEX(JuniorzyPozytyw[],MATCH($A73,Juniorstwo!$A$57:$A$76,0),MATCH($B$6,Juniorstwo!$A$56:$N$56,0))*C$6+INDEX(JuniorzyPozytyw[],MATCH($A73,Juniorstwo!$A$57:$A$76,0),MATCH($B$7,Juniorstwo!$A$56:$N$56,0))*C$7+INDEX(JuniorzyPozytyw[],MATCH($A73,Juniorstwo!$A$57:$A$76,0),MATCH($B$8,Juniorstwo!$A$56:$N$56,0))*C$8+INDEX(JuniorzyPozytyw[],MATCH($A73,Juniorstwo!$A$57:$A$76,0),MATCH($B$9,Juniorstwo!$A$56:$N$56,0))*C$9+INDEX(JuniorzyPozytyw[],MATCH($A73,Juniorstwo!$A$57:$A$76,0),MATCH($B$10,Juniorstwo!$A$56:$N$56,0))*C$10+INDEX(JuniorzyPozytyw[],MATCH($A73,Juniorstwo!$A$57:$A$76,0),MATCH($B$11,Juniorstwo!$A$56:$N$56,0))*C$11+INDEX(JuniorzyPozytyw[],MATCH($A73,Juniorstwo!$A$57:$A$76,0),MATCH($B$12,Juniorstwo!$A$56:$N$56,0))*C$12+INDEX(JuniorzyPozytyw[],MATCH($A73,Juniorstwo!$A$57:$A$76,0),MATCH($B$13,Juniorstwo!$A$56:$N$56,0))*C$13,"-")</f>
        <v>55.59</v>
      </c>
      <c r="D73" s="38">
        <f ca="1">IFERROR(INDEX(JuniorzyPozytyw[],MATCH($A73,Juniorstwo!$A$57:$A$76,0),MATCH($B$2,Juniorstwo!$A$56:$N$56,0))*D$2+INDEX(JuniorzyPozytyw[],MATCH($A73,Juniorstwo!$A$57:$A$76,0),MATCH($B$3,Juniorstwo!$A$56:$N$56,0))*D$3+INDEX(JuniorzyPozytyw[],MATCH($A73,Juniorstwo!$A$57:$A$76,0),MATCH($B$4,Juniorstwo!$A$56:$N$56,0))*D$4+INDEX(JuniorzyPozytyw[],MATCH($A73,Juniorstwo!$A$57:$A$76,0),MATCH($B$5,Juniorstwo!$A$56:$N$56,0))*D$5+INDEX(JuniorzyPozytyw[],MATCH($A73,Juniorstwo!$A$57:$A$76,0),MATCH($B$6,Juniorstwo!$A$56:$N$56,0))*D$6+INDEX(JuniorzyPozytyw[],MATCH($A73,Juniorstwo!$A$57:$A$76,0),MATCH($B$7,Juniorstwo!$A$56:$N$56,0))*D$7+INDEX(JuniorzyPozytyw[],MATCH($A73,Juniorstwo!$A$57:$A$76,0),MATCH($B$8,Juniorstwo!$A$56:$N$56,0))*D$8+INDEX(JuniorzyPozytyw[],MATCH($A73,Juniorstwo!$A$57:$A$76,0),MATCH($B$9,Juniorstwo!$A$56:$N$56,0))*D$9+INDEX(JuniorzyPozytyw[],MATCH($A73,Juniorstwo!$A$57:$A$76,0),MATCH($B$10,Juniorstwo!$A$56:$N$56,0))*D$10+INDEX(JuniorzyPozytyw[],MATCH($A73,Juniorstwo!$A$57:$A$76,0),MATCH($B$11,Juniorstwo!$A$56:$N$56,0))*D$11+INDEX(JuniorzyPozytyw[],MATCH($A73,Juniorstwo!$A$57:$A$76,0),MATCH($B$12,Juniorstwo!$A$56:$N$56,0))*D$12+INDEX(JuniorzyPozytyw[],MATCH($A73,Juniorstwo!$A$57:$A$76,0),MATCH($B$13,Juniorstwo!$A$56:$N$56,0))*D$13,"-")</f>
        <v>78.59</v>
      </c>
      <c r="E73" s="38">
        <f ca="1">IFERROR(INDEX(JuniorzyPozytyw[],MATCH($A73,Juniorstwo!$A$57:$A$76,0),MATCH($B$2,Juniorstwo!$A$56:$N$56,0))*E$2+INDEX(JuniorzyPozytyw[],MATCH($A73,Juniorstwo!$A$57:$A$76,0),MATCH($B$3,Juniorstwo!$A$56:$N$56,0))*E$3+INDEX(JuniorzyPozytyw[],MATCH($A73,Juniorstwo!$A$57:$A$76,0),MATCH($B$4,Juniorstwo!$A$56:$N$56,0))*E$4+INDEX(JuniorzyPozytyw[],MATCH($A73,Juniorstwo!$A$57:$A$76,0),MATCH($B$5,Juniorstwo!$A$56:$N$56,0))*E$5+INDEX(JuniorzyPozytyw[],MATCH($A73,Juniorstwo!$A$57:$A$76,0),MATCH($B$6,Juniorstwo!$A$56:$N$56,0))*E$6+INDEX(JuniorzyPozytyw[],MATCH($A73,Juniorstwo!$A$57:$A$76,0),MATCH($B$7,Juniorstwo!$A$56:$N$56,0))*E$7+INDEX(JuniorzyPozytyw[],MATCH($A73,Juniorstwo!$A$57:$A$76,0),MATCH($B$8,Juniorstwo!$A$56:$N$56,0))*E$8+INDEX(JuniorzyPozytyw[],MATCH($A73,Juniorstwo!$A$57:$A$76,0),MATCH($B$9,Juniorstwo!$A$56:$N$56,0))*E$9+INDEX(JuniorzyPozytyw[],MATCH($A73,Juniorstwo!$A$57:$A$76,0),MATCH($B$10,Juniorstwo!$A$56:$N$56,0))*E$10+INDEX(JuniorzyPozytyw[],MATCH($A73,Juniorstwo!$A$57:$A$76,0),MATCH($B$11,Juniorstwo!$A$56:$N$56,0))*E$11+INDEX(JuniorzyPozytyw[],MATCH($A73,Juniorstwo!$A$57:$A$76,0),MATCH($B$12,Juniorstwo!$A$56:$N$56,0))*E$12+INDEX(JuniorzyPozytyw[],MATCH($A73,Juniorstwo!$A$57:$A$76,0),MATCH($B$13,Juniorstwo!$A$56:$N$56,0))*E$13,"-")</f>
        <v>76.09</v>
      </c>
      <c r="F73" s="38">
        <f ca="1">IFERROR(INDEX(JuniorzyPozytyw[],MATCH($A73,Juniorstwo!$A$57:$A$76,0),MATCH($B$2,Juniorstwo!$A$56:$N$56,0))*F$2+INDEX(JuniorzyPozytyw[],MATCH($A73,Juniorstwo!$A$57:$A$76,0),MATCH($B$3,Juniorstwo!$A$56:$N$56,0))*F$3+INDEX(JuniorzyPozytyw[],MATCH($A73,Juniorstwo!$A$57:$A$76,0),MATCH($B$4,Juniorstwo!$A$56:$N$56,0))*F$4+INDEX(JuniorzyPozytyw[],MATCH($A73,Juniorstwo!$A$57:$A$76,0),MATCH($B$5,Juniorstwo!$A$56:$N$56,0))*F$5+INDEX(JuniorzyPozytyw[],MATCH($A73,Juniorstwo!$A$57:$A$76,0),MATCH($B$6,Juniorstwo!$A$56:$N$56,0))*F$6+INDEX(JuniorzyPozytyw[],MATCH($A73,Juniorstwo!$A$57:$A$76,0),MATCH($B$7,Juniorstwo!$A$56:$N$56,0))*F$7+INDEX(JuniorzyPozytyw[],MATCH($A73,Juniorstwo!$A$57:$A$76,0),MATCH($B$8,Juniorstwo!$A$56:$N$56,0))*F$8+INDEX(JuniorzyPozytyw[],MATCH($A73,Juniorstwo!$A$57:$A$76,0),MATCH($B$9,Juniorstwo!$A$56:$N$56,0))*F$9+INDEX(JuniorzyPozytyw[],MATCH($A73,Juniorstwo!$A$57:$A$76,0),MATCH($B$10,Juniorstwo!$A$56:$N$56,0))*F$10+INDEX(JuniorzyPozytyw[],MATCH($A73,Juniorstwo!$A$57:$A$76,0),MATCH($B$11,Juniorstwo!$A$56:$N$56,0))*F$11+INDEX(JuniorzyPozytyw[],MATCH($A73,Juniorstwo!$A$57:$A$76,0),MATCH($B$12,Juniorstwo!$A$56:$N$56,0))*F$12+INDEX(JuniorzyPozytyw[],MATCH($A73,Juniorstwo!$A$57:$A$76,0),MATCH($B$13,Juniorstwo!$A$56:$N$56,0))*F$13,"-")</f>
        <v>79.09</v>
      </c>
      <c r="G73" s="38">
        <f ca="1">IFERROR(INDEX(JuniorzyPozytyw[],MATCH($A73,Juniorstwo!$A$57:$A$76,0),MATCH($B$2,Juniorstwo!$A$56:$N$56,0))*G$2+INDEX(JuniorzyPozytyw[],MATCH($A73,Juniorstwo!$A$57:$A$76,0),MATCH($B$3,Juniorstwo!$A$56:$N$56,0))*G$3+INDEX(JuniorzyPozytyw[],MATCH($A73,Juniorstwo!$A$57:$A$76,0),MATCH($B$4,Juniorstwo!$A$56:$N$56,0))*G$4+INDEX(JuniorzyPozytyw[],MATCH($A73,Juniorstwo!$A$57:$A$76,0),MATCH($B$5,Juniorstwo!$A$56:$N$56,0))*G$5+INDEX(JuniorzyPozytyw[],MATCH($A73,Juniorstwo!$A$57:$A$76,0),MATCH($B$6,Juniorstwo!$A$56:$N$56,0))*G$6+INDEX(JuniorzyPozytyw[],MATCH($A73,Juniorstwo!$A$57:$A$76,0),MATCH($B$7,Juniorstwo!$A$56:$N$56,0))*G$7+INDEX(JuniorzyPozytyw[],MATCH($A73,Juniorstwo!$A$57:$A$76,0),MATCH($B$8,Juniorstwo!$A$56:$N$56,0))*G$8+INDEX(JuniorzyPozytyw[],MATCH($A73,Juniorstwo!$A$57:$A$76,0),MATCH($B$9,Juniorstwo!$A$56:$N$56,0))*G$9+INDEX(JuniorzyPozytyw[],MATCH($A73,Juniorstwo!$A$57:$A$76,0),MATCH($B$10,Juniorstwo!$A$56:$N$56,0))*G$10+INDEX(JuniorzyPozytyw[],MATCH($A73,Juniorstwo!$A$57:$A$76,0),MATCH($B$11,Juniorstwo!$A$56:$N$56,0))*G$11+INDEX(JuniorzyPozytyw[],MATCH($A73,Juniorstwo!$A$57:$A$76,0),MATCH($B$12,Juniorstwo!$A$56:$N$56,0))*G$12+INDEX(JuniorzyPozytyw[],MATCH($A73,Juniorstwo!$A$57:$A$76,0),MATCH($B$13,Juniorstwo!$A$56:$N$56,0))*G$13,"-")</f>
        <v>78.09</v>
      </c>
      <c r="H73" s="38">
        <f ca="1">IFERROR(INDEX(JuniorzyPozytyw[],MATCH($A73,Juniorstwo!$A$57:$A$76,0),MATCH($B$2,Juniorstwo!$A$56:$N$56,0))*H$2+INDEX(JuniorzyPozytyw[],MATCH($A73,Juniorstwo!$A$57:$A$76,0),MATCH($B$3,Juniorstwo!$A$56:$N$56,0))*H$3+INDEX(JuniorzyPozytyw[],MATCH($A73,Juniorstwo!$A$57:$A$76,0),MATCH($B$4,Juniorstwo!$A$56:$N$56,0))*H$4+INDEX(JuniorzyPozytyw[],MATCH($A73,Juniorstwo!$A$57:$A$76,0),MATCH($B$5,Juniorstwo!$A$56:$N$56,0))*H$5+INDEX(JuniorzyPozytyw[],MATCH($A73,Juniorstwo!$A$57:$A$76,0),MATCH($B$6,Juniorstwo!$A$56:$N$56,0))*H$6+INDEX(JuniorzyPozytyw[],MATCH($A73,Juniorstwo!$A$57:$A$76,0),MATCH($B$7,Juniorstwo!$A$56:$N$56,0))*H$7+INDEX(JuniorzyPozytyw[],MATCH($A73,Juniorstwo!$A$57:$A$76,0),MATCH($B$8,Juniorstwo!$A$56:$N$56,0))*H$8+INDEX(JuniorzyPozytyw[],MATCH($A73,Juniorstwo!$A$57:$A$76,0),MATCH($B$9,Juniorstwo!$A$56:$N$56,0))*H$9+INDEX(JuniorzyPozytyw[],MATCH($A73,Juniorstwo!$A$57:$A$76,0),MATCH($B$10,Juniorstwo!$A$56:$N$56,0))*H$10+INDEX(JuniorzyPozytyw[],MATCH($A73,Juniorstwo!$A$57:$A$76,0),MATCH($B$11,Juniorstwo!$A$56:$N$56,0))*H$11+INDEX(JuniorzyPozytyw[],MATCH($A73,Juniorstwo!$A$57:$A$76,0),MATCH($B$12,Juniorstwo!$A$56:$N$56,0))*H$12+INDEX(JuniorzyPozytyw[],MATCH($A73,Juniorstwo!$A$57:$A$76,0),MATCH($B$13,Juniorstwo!$A$56:$N$56,0))*H$13,"-")</f>
        <v>76.34</v>
      </c>
      <c r="I73" s="38">
        <f ca="1">IFERROR(INDEX(JuniorzyPozytyw[],MATCH($A73,Juniorstwo!$A$57:$A$76,0),MATCH($B$2,Juniorstwo!$A$56:$N$56,0))*I$2+INDEX(JuniorzyPozytyw[],MATCH($A73,Juniorstwo!$A$57:$A$76,0),MATCH($B$3,Juniorstwo!$A$56:$N$56,0))*I$3+INDEX(JuniorzyPozytyw[],MATCH($A73,Juniorstwo!$A$57:$A$76,0),MATCH($B$4,Juniorstwo!$A$56:$N$56,0))*I$4+INDEX(JuniorzyPozytyw[],MATCH($A73,Juniorstwo!$A$57:$A$76,0),MATCH($B$5,Juniorstwo!$A$56:$N$56,0))*I$5+INDEX(JuniorzyPozytyw[],MATCH($A73,Juniorstwo!$A$57:$A$76,0),MATCH($B$6,Juniorstwo!$A$56:$N$56,0))*I$6+INDEX(JuniorzyPozytyw[],MATCH($A73,Juniorstwo!$A$57:$A$76,0),MATCH($B$7,Juniorstwo!$A$56:$N$56,0))*I$7+INDEX(JuniorzyPozytyw[],MATCH($A73,Juniorstwo!$A$57:$A$76,0),MATCH($B$8,Juniorstwo!$A$56:$N$56,0))*I$8+INDEX(JuniorzyPozytyw[],MATCH($A73,Juniorstwo!$A$57:$A$76,0),MATCH($B$9,Juniorstwo!$A$56:$N$56,0))*I$9+INDEX(JuniorzyPozytyw[],MATCH($A73,Juniorstwo!$A$57:$A$76,0),MATCH($B$10,Juniorstwo!$A$56:$N$56,0))*I$10+INDEX(JuniorzyPozytyw[],MATCH($A73,Juniorstwo!$A$57:$A$76,0),MATCH($B$11,Juniorstwo!$A$56:$N$56,0))*I$11+INDEX(JuniorzyPozytyw[],MATCH($A73,Juniorstwo!$A$57:$A$76,0),MATCH($B$12,Juniorstwo!$A$56:$N$56,0))*I$12+INDEX(JuniorzyPozytyw[],MATCH($A73,Juniorstwo!$A$57:$A$76,0),MATCH($B$13,Juniorstwo!$A$56:$N$56,0))*I$13,"-")</f>
        <v>80.09</v>
      </c>
      <c r="J73" s="38">
        <f ca="1">IFERROR(INDEX(JuniorzyPozytyw[],MATCH($A73,Juniorstwo!$A$57:$A$76,0),MATCH($B$2,Juniorstwo!$A$56:$N$56,0))*J$2+INDEX(JuniorzyPozytyw[],MATCH($A73,Juniorstwo!$A$57:$A$76,0),MATCH($B$3,Juniorstwo!$A$56:$N$56,0))*J$3+INDEX(JuniorzyPozytyw[],MATCH($A73,Juniorstwo!$A$57:$A$76,0),MATCH($B$4,Juniorstwo!$A$56:$N$56,0))*J$4+INDEX(JuniorzyPozytyw[],MATCH($A73,Juniorstwo!$A$57:$A$76,0),MATCH($B$5,Juniorstwo!$A$56:$N$56,0))*J$5+INDEX(JuniorzyPozytyw[],MATCH($A73,Juniorstwo!$A$57:$A$76,0),MATCH($B$6,Juniorstwo!$A$56:$N$56,0))*J$6+INDEX(JuniorzyPozytyw[],MATCH($A73,Juniorstwo!$A$57:$A$76,0),MATCH($B$7,Juniorstwo!$A$56:$N$56,0))*J$7+INDEX(JuniorzyPozytyw[],MATCH($A73,Juniorstwo!$A$57:$A$76,0),MATCH($B$8,Juniorstwo!$A$56:$N$56,0))*J$8+INDEX(JuniorzyPozytyw[],MATCH($A73,Juniorstwo!$A$57:$A$76,0),MATCH($B$9,Juniorstwo!$A$56:$N$56,0))*J$9+INDEX(JuniorzyPozytyw[],MATCH($A73,Juniorstwo!$A$57:$A$76,0),MATCH($B$10,Juniorstwo!$A$56:$N$56,0))*J$10+INDEX(JuniorzyPozytyw[],MATCH($A73,Juniorstwo!$A$57:$A$76,0),MATCH($B$11,Juniorstwo!$A$56:$N$56,0))*J$11+INDEX(JuniorzyPozytyw[],MATCH($A73,Juniorstwo!$A$57:$A$76,0),MATCH($B$12,Juniorstwo!$A$56:$N$56,0))*J$12+INDEX(JuniorzyPozytyw[],MATCH($A73,Juniorstwo!$A$57:$A$76,0),MATCH($B$13,Juniorstwo!$A$56:$N$56,0))*J$13,"-")</f>
        <v>79.09</v>
      </c>
      <c r="K73" s="38">
        <f ca="1">IFERROR(INDEX(JuniorzyPozytyw[],MATCH($A73,Juniorstwo!$A$57:$A$76,0),MATCH($B$2,Juniorstwo!$A$56:$N$56,0))*K$2+INDEX(JuniorzyPozytyw[],MATCH($A73,Juniorstwo!$A$57:$A$76,0),MATCH($B$3,Juniorstwo!$A$56:$N$56,0))*K$3+INDEX(JuniorzyPozytyw[],MATCH($A73,Juniorstwo!$A$57:$A$76,0),MATCH($B$4,Juniorstwo!$A$56:$N$56,0))*K$4+INDEX(JuniorzyPozytyw[],MATCH($A73,Juniorstwo!$A$57:$A$76,0),MATCH($B$5,Juniorstwo!$A$56:$N$56,0))*K$5+INDEX(JuniorzyPozytyw[],MATCH($A73,Juniorstwo!$A$57:$A$76,0),MATCH($B$6,Juniorstwo!$A$56:$N$56,0))*K$6+INDEX(JuniorzyPozytyw[],MATCH($A73,Juniorstwo!$A$57:$A$76,0),MATCH($B$7,Juniorstwo!$A$56:$N$56,0))*K$7+INDEX(JuniorzyPozytyw[],MATCH($A73,Juniorstwo!$A$57:$A$76,0),MATCH($B$8,Juniorstwo!$A$56:$N$56,0))*K$8+INDEX(JuniorzyPozytyw[],MATCH($A73,Juniorstwo!$A$57:$A$76,0),MATCH($B$9,Juniorstwo!$A$56:$N$56,0))*K$9+INDEX(JuniorzyPozytyw[],MATCH($A73,Juniorstwo!$A$57:$A$76,0),MATCH($B$10,Juniorstwo!$A$56:$N$56,0))*K$10+INDEX(JuniorzyPozytyw[],MATCH($A73,Juniorstwo!$A$57:$A$76,0),MATCH($B$11,Juniorstwo!$A$56:$N$56,0))*K$11+INDEX(JuniorzyPozytyw[],MATCH($A73,Juniorstwo!$A$57:$A$76,0),MATCH($B$12,Juniorstwo!$A$56:$N$56,0))*K$12+INDEX(JuniorzyPozytyw[],MATCH($A73,Juniorstwo!$A$57:$A$76,0),MATCH($B$13,Juniorstwo!$A$56:$N$56,0))*K$13,"-")</f>
        <v>86.34</v>
      </c>
    </row>
    <row r="74" spans="1:11" x14ac:dyDescent="0.25">
      <c r="A74">
        <f>IFERROR(PozycjeŚr!A50,"-")</f>
        <v>48</v>
      </c>
      <c r="B74" s="3" t="str">
        <f>IFERROR(VLOOKUP(PozJunPMG[[#This Row],[Numer]],Zawodnicy[[Number]:[Player name]],2,FALSE),"-")</f>
        <v>Wincenty Zawaski</v>
      </c>
      <c r="C74" s="38">
        <f ca="1">IFERROR(INDEX(JuniorzyPozytyw[],MATCH($A74,Juniorstwo!$A$57:$A$76,0),MATCH($B$2,Juniorstwo!$A$56:$N$56,0))*C$2+INDEX(JuniorzyPozytyw[],MATCH($A74,Juniorstwo!$A$57:$A$76,0),MATCH($B$3,Juniorstwo!$A$56:$N$56,0))*C$3+INDEX(JuniorzyPozytyw[],MATCH($A74,Juniorstwo!$A$57:$A$76,0),MATCH($B$4,Juniorstwo!$A$56:$N$56,0))*C$4+INDEX(JuniorzyPozytyw[],MATCH($A74,Juniorstwo!$A$57:$A$76,0),MATCH($B$5,Juniorstwo!$A$56:$N$56,0))*C$5+INDEX(JuniorzyPozytyw[],MATCH($A74,Juniorstwo!$A$57:$A$76,0),MATCH($B$6,Juniorstwo!$A$56:$N$56,0))*C$6+INDEX(JuniorzyPozytyw[],MATCH($A74,Juniorstwo!$A$57:$A$76,0),MATCH($B$7,Juniorstwo!$A$56:$N$56,0))*C$7+INDEX(JuniorzyPozytyw[],MATCH($A74,Juniorstwo!$A$57:$A$76,0),MATCH($B$8,Juniorstwo!$A$56:$N$56,0))*C$8+INDEX(JuniorzyPozytyw[],MATCH($A74,Juniorstwo!$A$57:$A$76,0),MATCH($B$9,Juniorstwo!$A$56:$N$56,0))*C$9+INDEX(JuniorzyPozytyw[],MATCH($A74,Juniorstwo!$A$57:$A$76,0),MATCH($B$10,Juniorstwo!$A$56:$N$56,0))*C$10+INDEX(JuniorzyPozytyw[],MATCH($A74,Juniorstwo!$A$57:$A$76,0),MATCH($B$11,Juniorstwo!$A$56:$N$56,0))*C$11+INDEX(JuniorzyPozytyw[],MATCH($A74,Juniorstwo!$A$57:$A$76,0),MATCH($B$12,Juniorstwo!$A$56:$N$56,0))*C$12+INDEX(JuniorzyPozytyw[],MATCH($A74,Juniorstwo!$A$57:$A$76,0),MATCH($B$13,Juniorstwo!$A$56:$N$56,0))*C$13,"-")</f>
        <v>59.55</v>
      </c>
      <c r="D74" s="38">
        <f ca="1">IFERROR(INDEX(JuniorzyPozytyw[],MATCH($A74,Juniorstwo!$A$57:$A$76,0),MATCH($B$2,Juniorstwo!$A$56:$N$56,0))*D$2+INDEX(JuniorzyPozytyw[],MATCH($A74,Juniorstwo!$A$57:$A$76,0),MATCH($B$3,Juniorstwo!$A$56:$N$56,0))*D$3+INDEX(JuniorzyPozytyw[],MATCH($A74,Juniorstwo!$A$57:$A$76,0),MATCH($B$4,Juniorstwo!$A$56:$N$56,0))*D$4+INDEX(JuniorzyPozytyw[],MATCH($A74,Juniorstwo!$A$57:$A$76,0),MATCH($B$5,Juniorstwo!$A$56:$N$56,0))*D$5+INDEX(JuniorzyPozytyw[],MATCH($A74,Juniorstwo!$A$57:$A$76,0),MATCH($B$6,Juniorstwo!$A$56:$N$56,0))*D$6+INDEX(JuniorzyPozytyw[],MATCH($A74,Juniorstwo!$A$57:$A$76,0),MATCH($B$7,Juniorstwo!$A$56:$N$56,0))*D$7+INDEX(JuniorzyPozytyw[],MATCH($A74,Juniorstwo!$A$57:$A$76,0),MATCH($B$8,Juniorstwo!$A$56:$N$56,0))*D$8+INDEX(JuniorzyPozytyw[],MATCH($A74,Juniorstwo!$A$57:$A$76,0),MATCH($B$9,Juniorstwo!$A$56:$N$56,0))*D$9+INDEX(JuniorzyPozytyw[],MATCH($A74,Juniorstwo!$A$57:$A$76,0),MATCH($B$10,Juniorstwo!$A$56:$N$56,0))*D$10+INDEX(JuniorzyPozytyw[],MATCH($A74,Juniorstwo!$A$57:$A$76,0),MATCH($B$11,Juniorstwo!$A$56:$N$56,0))*D$11+INDEX(JuniorzyPozytyw[],MATCH($A74,Juniorstwo!$A$57:$A$76,0),MATCH($B$12,Juniorstwo!$A$56:$N$56,0))*D$12+INDEX(JuniorzyPozytyw[],MATCH($A74,Juniorstwo!$A$57:$A$76,0),MATCH($B$13,Juniorstwo!$A$56:$N$56,0))*D$13,"-")</f>
        <v>73.55</v>
      </c>
      <c r="E74" s="38">
        <f ca="1">IFERROR(INDEX(JuniorzyPozytyw[],MATCH($A74,Juniorstwo!$A$57:$A$76,0),MATCH($B$2,Juniorstwo!$A$56:$N$56,0))*E$2+INDEX(JuniorzyPozytyw[],MATCH($A74,Juniorstwo!$A$57:$A$76,0),MATCH($B$3,Juniorstwo!$A$56:$N$56,0))*E$3+INDEX(JuniorzyPozytyw[],MATCH($A74,Juniorstwo!$A$57:$A$76,0),MATCH($B$4,Juniorstwo!$A$56:$N$56,0))*E$4+INDEX(JuniorzyPozytyw[],MATCH($A74,Juniorstwo!$A$57:$A$76,0),MATCH($B$5,Juniorstwo!$A$56:$N$56,0))*E$5+INDEX(JuniorzyPozytyw[],MATCH($A74,Juniorstwo!$A$57:$A$76,0),MATCH($B$6,Juniorstwo!$A$56:$N$56,0))*E$6+INDEX(JuniorzyPozytyw[],MATCH($A74,Juniorstwo!$A$57:$A$76,0),MATCH($B$7,Juniorstwo!$A$56:$N$56,0))*E$7+INDEX(JuniorzyPozytyw[],MATCH($A74,Juniorstwo!$A$57:$A$76,0),MATCH($B$8,Juniorstwo!$A$56:$N$56,0))*E$8+INDEX(JuniorzyPozytyw[],MATCH($A74,Juniorstwo!$A$57:$A$76,0),MATCH($B$9,Juniorstwo!$A$56:$N$56,0))*E$9+INDEX(JuniorzyPozytyw[],MATCH($A74,Juniorstwo!$A$57:$A$76,0),MATCH($B$10,Juniorstwo!$A$56:$N$56,0))*E$10+INDEX(JuniorzyPozytyw[],MATCH($A74,Juniorstwo!$A$57:$A$76,0),MATCH($B$11,Juniorstwo!$A$56:$N$56,0))*E$11+INDEX(JuniorzyPozytyw[],MATCH($A74,Juniorstwo!$A$57:$A$76,0),MATCH($B$12,Juniorstwo!$A$56:$N$56,0))*E$12+INDEX(JuniorzyPozytyw[],MATCH($A74,Juniorstwo!$A$57:$A$76,0),MATCH($B$13,Juniorstwo!$A$56:$N$56,0))*E$13,"-")</f>
        <v>74.55</v>
      </c>
      <c r="F74" s="38">
        <f ca="1">IFERROR(INDEX(JuniorzyPozytyw[],MATCH($A74,Juniorstwo!$A$57:$A$76,0),MATCH($B$2,Juniorstwo!$A$56:$N$56,0))*F$2+INDEX(JuniorzyPozytyw[],MATCH($A74,Juniorstwo!$A$57:$A$76,0),MATCH($B$3,Juniorstwo!$A$56:$N$56,0))*F$3+INDEX(JuniorzyPozytyw[],MATCH($A74,Juniorstwo!$A$57:$A$76,0),MATCH($B$4,Juniorstwo!$A$56:$N$56,0))*F$4+INDEX(JuniorzyPozytyw[],MATCH($A74,Juniorstwo!$A$57:$A$76,0),MATCH($B$5,Juniorstwo!$A$56:$N$56,0))*F$5+INDEX(JuniorzyPozytyw[],MATCH($A74,Juniorstwo!$A$57:$A$76,0),MATCH($B$6,Juniorstwo!$A$56:$N$56,0))*F$6+INDEX(JuniorzyPozytyw[],MATCH($A74,Juniorstwo!$A$57:$A$76,0),MATCH($B$7,Juniorstwo!$A$56:$N$56,0))*F$7+INDEX(JuniorzyPozytyw[],MATCH($A74,Juniorstwo!$A$57:$A$76,0),MATCH($B$8,Juniorstwo!$A$56:$N$56,0))*F$8+INDEX(JuniorzyPozytyw[],MATCH($A74,Juniorstwo!$A$57:$A$76,0),MATCH($B$9,Juniorstwo!$A$56:$N$56,0))*F$9+INDEX(JuniorzyPozytyw[],MATCH($A74,Juniorstwo!$A$57:$A$76,0),MATCH($B$10,Juniorstwo!$A$56:$N$56,0))*F$10+INDEX(JuniorzyPozytyw[],MATCH($A74,Juniorstwo!$A$57:$A$76,0),MATCH($B$11,Juniorstwo!$A$56:$N$56,0))*F$11+INDEX(JuniorzyPozytyw[],MATCH($A74,Juniorstwo!$A$57:$A$76,0),MATCH($B$12,Juniorstwo!$A$56:$N$56,0))*F$12+INDEX(JuniorzyPozytyw[],MATCH($A74,Juniorstwo!$A$57:$A$76,0),MATCH($B$13,Juniorstwo!$A$56:$N$56,0))*F$13,"-")</f>
        <v>73.55</v>
      </c>
      <c r="G74" s="38">
        <f ca="1">IFERROR(INDEX(JuniorzyPozytyw[],MATCH($A74,Juniorstwo!$A$57:$A$76,0),MATCH($B$2,Juniorstwo!$A$56:$N$56,0))*G$2+INDEX(JuniorzyPozytyw[],MATCH($A74,Juniorstwo!$A$57:$A$76,0),MATCH($B$3,Juniorstwo!$A$56:$N$56,0))*G$3+INDEX(JuniorzyPozytyw[],MATCH($A74,Juniorstwo!$A$57:$A$76,0),MATCH($B$4,Juniorstwo!$A$56:$N$56,0))*G$4+INDEX(JuniorzyPozytyw[],MATCH($A74,Juniorstwo!$A$57:$A$76,0),MATCH($B$5,Juniorstwo!$A$56:$N$56,0))*G$5+INDEX(JuniorzyPozytyw[],MATCH($A74,Juniorstwo!$A$57:$A$76,0),MATCH($B$6,Juniorstwo!$A$56:$N$56,0))*G$6+INDEX(JuniorzyPozytyw[],MATCH($A74,Juniorstwo!$A$57:$A$76,0),MATCH($B$7,Juniorstwo!$A$56:$N$56,0))*G$7+INDEX(JuniorzyPozytyw[],MATCH($A74,Juniorstwo!$A$57:$A$76,0),MATCH($B$8,Juniorstwo!$A$56:$N$56,0))*G$8+INDEX(JuniorzyPozytyw[],MATCH($A74,Juniorstwo!$A$57:$A$76,0),MATCH($B$9,Juniorstwo!$A$56:$N$56,0))*G$9+INDEX(JuniorzyPozytyw[],MATCH($A74,Juniorstwo!$A$57:$A$76,0),MATCH($B$10,Juniorstwo!$A$56:$N$56,0))*G$10+INDEX(JuniorzyPozytyw[],MATCH($A74,Juniorstwo!$A$57:$A$76,0),MATCH($B$11,Juniorstwo!$A$56:$N$56,0))*G$11+INDEX(JuniorzyPozytyw[],MATCH($A74,Juniorstwo!$A$57:$A$76,0),MATCH($B$12,Juniorstwo!$A$56:$N$56,0))*G$12+INDEX(JuniorzyPozytyw[],MATCH($A74,Juniorstwo!$A$57:$A$76,0),MATCH($B$13,Juniorstwo!$A$56:$N$56,0))*G$13,"-")</f>
        <v>73.55</v>
      </c>
      <c r="H74" s="38">
        <f ca="1">IFERROR(INDEX(JuniorzyPozytyw[],MATCH($A74,Juniorstwo!$A$57:$A$76,0),MATCH($B$2,Juniorstwo!$A$56:$N$56,0))*H$2+INDEX(JuniorzyPozytyw[],MATCH($A74,Juniorstwo!$A$57:$A$76,0),MATCH($B$3,Juniorstwo!$A$56:$N$56,0))*H$3+INDEX(JuniorzyPozytyw[],MATCH($A74,Juniorstwo!$A$57:$A$76,0),MATCH($B$4,Juniorstwo!$A$56:$N$56,0))*H$4+INDEX(JuniorzyPozytyw[],MATCH($A74,Juniorstwo!$A$57:$A$76,0),MATCH($B$5,Juniorstwo!$A$56:$N$56,0))*H$5+INDEX(JuniorzyPozytyw[],MATCH($A74,Juniorstwo!$A$57:$A$76,0),MATCH($B$6,Juniorstwo!$A$56:$N$56,0))*H$6+INDEX(JuniorzyPozytyw[],MATCH($A74,Juniorstwo!$A$57:$A$76,0),MATCH($B$7,Juniorstwo!$A$56:$N$56,0))*H$7+INDEX(JuniorzyPozytyw[],MATCH($A74,Juniorstwo!$A$57:$A$76,0),MATCH($B$8,Juniorstwo!$A$56:$N$56,0))*H$8+INDEX(JuniorzyPozytyw[],MATCH($A74,Juniorstwo!$A$57:$A$76,0),MATCH($B$9,Juniorstwo!$A$56:$N$56,0))*H$9+INDEX(JuniorzyPozytyw[],MATCH($A74,Juniorstwo!$A$57:$A$76,0),MATCH($B$10,Juniorstwo!$A$56:$N$56,0))*H$10+INDEX(JuniorzyPozytyw[],MATCH($A74,Juniorstwo!$A$57:$A$76,0),MATCH($B$11,Juniorstwo!$A$56:$N$56,0))*H$11+INDEX(JuniorzyPozytyw[],MATCH($A74,Juniorstwo!$A$57:$A$76,0),MATCH($B$12,Juniorstwo!$A$56:$N$56,0))*H$12+INDEX(JuniorzyPozytyw[],MATCH($A74,Juniorstwo!$A$57:$A$76,0),MATCH($B$13,Juniorstwo!$A$56:$N$56,0))*H$13,"-")</f>
        <v>74.55</v>
      </c>
      <c r="I74" s="38">
        <f ca="1">IFERROR(INDEX(JuniorzyPozytyw[],MATCH($A74,Juniorstwo!$A$57:$A$76,0),MATCH($B$2,Juniorstwo!$A$56:$N$56,0))*I$2+INDEX(JuniorzyPozytyw[],MATCH($A74,Juniorstwo!$A$57:$A$76,0),MATCH($B$3,Juniorstwo!$A$56:$N$56,0))*I$3+INDEX(JuniorzyPozytyw[],MATCH($A74,Juniorstwo!$A$57:$A$76,0),MATCH($B$4,Juniorstwo!$A$56:$N$56,0))*I$4+INDEX(JuniorzyPozytyw[],MATCH($A74,Juniorstwo!$A$57:$A$76,0),MATCH($B$5,Juniorstwo!$A$56:$N$56,0))*I$5+INDEX(JuniorzyPozytyw[],MATCH($A74,Juniorstwo!$A$57:$A$76,0),MATCH($B$6,Juniorstwo!$A$56:$N$56,0))*I$6+INDEX(JuniorzyPozytyw[],MATCH($A74,Juniorstwo!$A$57:$A$76,0),MATCH($B$7,Juniorstwo!$A$56:$N$56,0))*I$7+INDEX(JuniorzyPozytyw[],MATCH($A74,Juniorstwo!$A$57:$A$76,0),MATCH($B$8,Juniorstwo!$A$56:$N$56,0))*I$8+INDEX(JuniorzyPozytyw[],MATCH($A74,Juniorstwo!$A$57:$A$76,0),MATCH($B$9,Juniorstwo!$A$56:$N$56,0))*I$9+INDEX(JuniorzyPozytyw[],MATCH($A74,Juniorstwo!$A$57:$A$76,0),MATCH($B$10,Juniorstwo!$A$56:$N$56,0))*I$10+INDEX(JuniorzyPozytyw[],MATCH($A74,Juniorstwo!$A$57:$A$76,0),MATCH($B$11,Juniorstwo!$A$56:$N$56,0))*I$11+INDEX(JuniorzyPozytyw[],MATCH($A74,Juniorstwo!$A$57:$A$76,0),MATCH($B$12,Juniorstwo!$A$56:$N$56,0))*I$12+INDEX(JuniorzyPozytyw[],MATCH($A74,Juniorstwo!$A$57:$A$76,0),MATCH($B$13,Juniorstwo!$A$56:$N$56,0))*I$13,"-")</f>
        <v>73.55</v>
      </c>
      <c r="J74" s="38">
        <f ca="1">IFERROR(INDEX(JuniorzyPozytyw[],MATCH($A74,Juniorstwo!$A$57:$A$76,0),MATCH($B$2,Juniorstwo!$A$56:$N$56,0))*J$2+INDEX(JuniorzyPozytyw[],MATCH($A74,Juniorstwo!$A$57:$A$76,0),MATCH($B$3,Juniorstwo!$A$56:$N$56,0))*J$3+INDEX(JuniorzyPozytyw[],MATCH($A74,Juniorstwo!$A$57:$A$76,0),MATCH($B$4,Juniorstwo!$A$56:$N$56,0))*J$4+INDEX(JuniorzyPozytyw[],MATCH($A74,Juniorstwo!$A$57:$A$76,0),MATCH($B$5,Juniorstwo!$A$56:$N$56,0))*J$5+INDEX(JuniorzyPozytyw[],MATCH($A74,Juniorstwo!$A$57:$A$76,0),MATCH($B$6,Juniorstwo!$A$56:$N$56,0))*J$6+INDEX(JuniorzyPozytyw[],MATCH($A74,Juniorstwo!$A$57:$A$76,0),MATCH($B$7,Juniorstwo!$A$56:$N$56,0))*J$7+INDEX(JuniorzyPozytyw[],MATCH($A74,Juniorstwo!$A$57:$A$76,0),MATCH($B$8,Juniorstwo!$A$56:$N$56,0))*J$8+INDEX(JuniorzyPozytyw[],MATCH($A74,Juniorstwo!$A$57:$A$76,0),MATCH($B$9,Juniorstwo!$A$56:$N$56,0))*J$9+INDEX(JuniorzyPozytyw[],MATCH($A74,Juniorstwo!$A$57:$A$76,0),MATCH($B$10,Juniorstwo!$A$56:$N$56,0))*J$10+INDEX(JuniorzyPozytyw[],MATCH($A74,Juniorstwo!$A$57:$A$76,0),MATCH($B$11,Juniorstwo!$A$56:$N$56,0))*J$11+INDEX(JuniorzyPozytyw[],MATCH($A74,Juniorstwo!$A$57:$A$76,0),MATCH($B$12,Juniorstwo!$A$56:$N$56,0))*J$12+INDEX(JuniorzyPozytyw[],MATCH($A74,Juniorstwo!$A$57:$A$76,0),MATCH($B$13,Juniorstwo!$A$56:$N$56,0))*J$13,"-")</f>
        <v>74.55</v>
      </c>
      <c r="K74" s="38">
        <f ca="1">IFERROR(INDEX(JuniorzyPozytyw[],MATCH($A74,Juniorstwo!$A$57:$A$76,0),MATCH($B$2,Juniorstwo!$A$56:$N$56,0))*K$2+INDEX(JuniorzyPozytyw[],MATCH($A74,Juniorstwo!$A$57:$A$76,0),MATCH($B$3,Juniorstwo!$A$56:$N$56,0))*K$3+INDEX(JuniorzyPozytyw[],MATCH($A74,Juniorstwo!$A$57:$A$76,0),MATCH($B$4,Juniorstwo!$A$56:$N$56,0))*K$4+INDEX(JuniorzyPozytyw[],MATCH($A74,Juniorstwo!$A$57:$A$76,0),MATCH($B$5,Juniorstwo!$A$56:$N$56,0))*K$5+INDEX(JuniorzyPozytyw[],MATCH($A74,Juniorstwo!$A$57:$A$76,0),MATCH($B$6,Juniorstwo!$A$56:$N$56,0))*K$6+INDEX(JuniorzyPozytyw[],MATCH($A74,Juniorstwo!$A$57:$A$76,0),MATCH($B$7,Juniorstwo!$A$56:$N$56,0))*K$7+INDEX(JuniorzyPozytyw[],MATCH($A74,Juniorstwo!$A$57:$A$76,0),MATCH($B$8,Juniorstwo!$A$56:$N$56,0))*K$8+INDEX(JuniorzyPozytyw[],MATCH($A74,Juniorstwo!$A$57:$A$76,0),MATCH($B$9,Juniorstwo!$A$56:$N$56,0))*K$9+INDEX(JuniorzyPozytyw[],MATCH($A74,Juniorstwo!$A$57:$A$76,0),MATCH($B$10,Juniorstwo!$A$56:$N$56,0))*K$10+INDEX(JuniorzyPozytyw[],MATCH($A74,Juniorstwo!$A$57:$A$76,0),MATCH($B$11,Juniorstwo!$A$56:$N$56,0))*K$11+INDEX(JuniorzyPozytyw[],MATCH($A74,Juniorstwo!$A$57:$A$76,0),MATCH($B$12,Juniorstwo!$A$56:$N$56,0))*K$12+INDEX(JuniorzyPozytyw[],MATCH($A74,Juniorstwo!$A$57:$A$76,0),MATCH($B$13,Juniorstwo!$A$56:$N$56,0))*K$13,"-")</f>
        <v>72.55</v>
      </c>
    </row>
    <row r="75" spans="1:11" x14ac:dyDescent="0.25">
      <c r="A75">
        <f>IFERROR(PozycjeŚr!A51,"-")</f>
        <v>49</v>
      </c>
      <c r="B75" s="3" t="str">
        <f>IFERROR(VLOOKUP(PozJunPMG[[#This Row],[Numer]],Zawodnicy[[Number]:[Player name]],2,FALSE),"-")</f>
        <v>Dobromir Kolacki</v>
      </c>
      <c r="C75" s="38">
        <f ca="1">IFERROR(INDEX(JuniorzyPozytyw[],MATCH($A75,Juniorstwo!$A$57:$A$76,0),MATCH($B$2,Juniorstwo!$A$56:$N$56,0))*C$2+INDEX(JuniorzyPozytyw[],MATCH($A75,Juniorstwo!$A$57:$A$76,0),MATCH($B$3,Juniorstwo!$A$56:$N$56,0))*C$3+INDEX(JuniorzyPozytyw[],MATCH($A75,Juniorstwo!$A$57:$A$76,0),MATCH($B$4,Juniorstwo!$A$56:$N$56,0))*C$4+INDEX(JuniorzyPozytyw[],MATCH($A75,Juniorstwo!$A$57:$A$76,0),MATCH($B$5,Juniorstwo!$A$56:$N$56,0))*C$5+INDEX(JuniorzyPozytyw[],MATCH($A75,Juniorstwo!$A$57:$A$76,0),MATCH($B$6,Juniorstwo!$A$56:$N$56,0))*C$6+INDEX(JuniorzyPozytyw[],MATCH($A75,Juniorstwo!$A$57:$A$76,0),MATCH($B$7,Juniorstwo!$A$56:$N$56,0))*C$7+INDEX(JuniorzyPozytyw[],MATCH($A75,Juniorstwo!$A$57:$A$76,0),MATCH($B$8,Juniorstwo!$A$56:$N$56,0))*C$8+INDEX(JuniorzyPozytyw[],MATCH($A75,Juniorstwo!$A$57:$A$76,0),MATCH($B$9,Juniorstwo!$A$56:$N$56,0))*C$9+INDEX(JuniorzyPozytyw[],MATCH($A75,Juniorstwo!$A$57:$A$76,0),MATCH($B$10,Juniorstwo!$A$56:$N$56,0))*C$10+INDEX(JuniorzyPozytyw[],MATCH($A75,Juniorstwo!$A$57:$A$76,0),MATCH($B$11,Juniorstwo!$A$56:$N$56,0))*C$11+INDEX(JuniorzyPozytyw[],MATCH($A75,Juniorstwo!$A$57:$A$76,0),MATCH($B$12,Juniorstwo!$A$56:$N$56,0))*C$12+INDEX(JuniorzyPozytyw[],MATCH($A75,Juniorstwo!$A$57:$A$76,0),MATCH($B$13,Juniorstwo!$A$56:$N$56,0))*C$13,"-")</f>
        <v>95.09</v>
      </c>
      <c r="D75" s="38">
        <f ca="1">IFERROR(INDEX(JuniorzyPozytyw[],MATCH($A75,Juniorstwo!$A$57:$A$76,0),MATCH($B$2,Juniorstwo!$A$56:$N$56,0))*D$2+INDEX(JuniorzyPozytyw[],MATCH($A75,Juniorstwo!$A$57:$A$76,0),MATCH($B$3,Juniorstwo!$A$56:$N$56,0))*D$3+INDEX(JuniorzyPozytyw[],MATCH($A75,Juniorstwo!$A$57:$A$76,0),MATCH($B$4,Juniorstwo!$A$56:$N$56,0))*D$4+INDEX(JuniorzyPozytyw[],MATCH($A75,Juniorstwo!$A$57:$A$76,0),MATCH($B$5,Juniorstwo!$A$56:$N$56,0))*D$5+INDEX(JuniorzyPozytyw[],MATCH($A75,Juniorstwo!$A$57:$A$76,0),MATCH($B$6,Juniorstwo!$A$56:$N$56,0))*D$6+INDEX(JuniorzyPozytyw[],MATCH($A75,Juniorstwo!$A$57:$A$76,0),MATCH($B$7,Juniorstwo!$A$56:$N$56,0))*D$7+INDEX(JuniorzyPozytyw[],MATCH($A75,Juniorstwo!$A$57:$A$76,0),MATCH($B$8,Juniorstwo!$A$56:$N$56,0))*D$8+INDEX(JuniorzyPozytyw[],MATCH($A75,Juniorstwo!$A$57:$A$76,0),MATCH($B$9,Juniorstwo!$A$56:$N$56,0))*D$9+INDEX(JuniorzyPozytyw[],MATCH($A75,Juniorstwo!$A$57:$A$76,0),MATCH($B$10,Juniorstwo!$A$56:$N$56,0))*D$10+INDEX(JuniorzyPozytyw[],MATCH($A75,Juniorstwo!$A$57:$A$76,0),MATCH($B$11,Juniorstwo!$A$56:$N$56,0))*D$11+INDEX(JuniorzyPozytyw[],MATCH($A75,Juniorstwo!$A$57:$A$76,0),MATCH($B$12,Juniorstwo!$A$56:$N$56,0))*D$12+INDEX(JuniorzyPozytyw[],MATCH($A75,Juniorstwo!$A$57:$A$76,0),MATCH($B$13,Juniorstwo!$A$56:$N$56,0))*D$13,"-")</f>
        <v>75.84</v>
      </c>
      <c r="E75" s="38">
        <f ca="1">IFERROR(INDEX(JuniorzyPozytyw[],MATCH($A75,Juniorstwo!$A$57:$A$76,0),MATCH($B$2,Juniorstwo!$A$56:$N$56,0))*E$2+INDEX(JuniorzyPozytyw[],MATCH($A75,Juniorstwo!$A$57:$A$76,0),MATCH($B$3,Juniorstwo!$A$56:$N$56,0))*E$3+INDEX(JuniorzyPozytyw[],MATCH($A75,Juniorstwo!$A$57:$A$76,0),MATCH($B$4,Juniorstwo!$A$56:$N$56,0))*E$4+INDEX(JuniorzyPozytyw[],MATCH($A75,Juniorstwo!$A$57:$A$76,0),MATCH($B$5,Juniorstwo!$A$56:$N$56,0))*E$5+INDEX(JuniorzyPozytyw[],MATCH($A75,Juniorstwo!$A$57:$A$76,0),MATCH($B$6,Juniorstwo!$A$56:$N$56,0))*E$6+INDEX(JuniorzyPozytyw[],MATCH($A75,Juniorstwo!$A$57:$A$76,0),MATCH($B$7,Juniorstwo!$A$56:$N$56,0))*E$7+INDEX(JuniorzyPozytyw[],MATCH($A75,Juniorstwo!$A$57:$A$76,0),MATCH($B$8,Juniorstwo!$A$56:$N$56,0))*E$8+INDEX(JuniorzyPozytyw[],MATCH($A75,Juniorstwo!$A$57:$A$76,0),MATCH($B$9,Juniorstwo!$A$56:$N$56,0))*E$9+INDEX(JuniorzyPozytyw[],MATCH($A75,Juniorstwo!$A$57:$A$76,0),MATCH($B$10,Juniorstwo!$A$56:$N$56,0))*E$10+INDEX(JuniorzyPozytyw[],MATCH($A75,Juniorstwo!$A$57:$A$76,0),MATCH($B$11,Juniorstwo!$A$56:$N$56,0))*E$11+INDEX(JuniorzyPozytyw[],MATCH($A75,Juniorstwo!$A$57:$A$76,0),MATCH($B$12,Juniorstwo!$A$56:$N$56,0))*E$12+INDEX(JuniorzyPozytyw[],MATCH($A75,Juniorstwo!$A$57:$A$76,0),MATCH($B$13,Juniorstwo!$A$56:$N$56,0))*E$13,"-")</f>
        <v>75.34</v>
      </c>
      <c r="F75" s="38">
        <f ca="1">IFERROR(INDEX(JuniorzyPozytyw[],MATCH($A75,Juniorstwo!$A$57:$A$76,0),MATCH($B$2,Juniorstwo!$A$56:$N$56,0))*F$2+INDEX(JuniorzyPozytyw[],MATCH($A75,Juniorstwo!$A$57:$A$76,0),MATCH($B$3,Juniorstwo!$A$56:$N$56,0))*F$3+INDEX(JuniorzyPozytyw[],MATCH($A75,Juniorstwo!$A$57:$A$76,0),MATCH($B$4,Juniorstwo!$A$56:$N$56,0))*F$4+INDEX(JuniorzyPozytyw[],MATCH($A75,Juniorstwo!$A$57:$A$76,0),MATCH($B$5,Juniorstwo!$A$56:$N$56,0))*F$5+INDEX(JuniorzyPozytyw[],MATCH($A75,Juniorstwo!$A$57:$A$76,0),MATCH($B$6,Juniorstwo!$A$56:$N$56,0))*F$6+INDEX(JuniorzyPozytyw[],MATCH($A75,Juniorstwo!$A$57:$A$76,0),MATCH($B$7,Juniorstwo!$A$56:$N$56,0))*F$7+INDEX(JuniorzyPozytyw[],MATCH($A75,Juniorstwo!$A$57:$A$76,0),MATCH($B$8,Juniorstwo!$A$56:$N$56,0))*F$8+INDEX(JuniorzyPozytyw[],MATCH($A75,Juniorstwo!$A$57:$A$76,0),MATCH($B$9,Juniorstwo!$A$56:$N$56,0))*F$9+INDEX(JuniorzyPozytyw[],MATCH($A75,Juniorstwo!$A$57:$A$76,0),MATCH($B$10,Juniorstwo!$A$56:$N$56,0))*F$10+INDEX(JuniorzyPozytyw[],MATCH($A75,Juniorstwo!$A$57:$A$76,0),MATCH($B$11,Juniorstwo!$A$56:$N$56,0))*F$11+INDEX(JuniorzyPozytyw[],MATCH($A75,Juniorstwo!$A$57:$A$76,0),MATCH($B$12,Juniorstwo!$A$56:$N$56,0))*F$12+INDEX(JuniorzyPozytyw[],MATCH($A75,Juniorstwo!$A$57:$A$76,0),MATCH($B$13,Juniorstwo!$A$56:$N$56,0))*F$13,"-")</f>
        <v>75.59</v>
      </c>
      <c r="G75" s="38">
        <f ca="1">IFERROR(INDEX(JuniorzyPozytyw[],MATCH($A75,Juniorstwo!$A$57:$A$76,0),MATCH($B$2,Juniorstwo!$A$56:$N$56,0))*G$2+INDEX(JuniorzyPozytyw[],MATCH($A75,Juniorstwo!$A$57:$A$76,0),MATCH($B$3,Juniorstwo!$A$56:$N$56,0))*G$3+INDEX(JuniorzyPozytyw[],MATCH($A75,Juniorstwo!$A$57:$A$76,0),MATCH($B$4,Juniorstwo!$A$56:$N$56,0))*G$4+INDEX(JuniorzyPozytyw[],MATCH($A75,Juniorstwo!$A$57:$A$76,0),MATCH($B$5,Juniorstwo!$A$56:$N$56,0))*G$5+INDEX(JuniorzyPozytyw[],MATCH($A75,Juniorstwo!$A$57:$A$76,0),MATCH($B$6,Juniorstwo!$A$56:$N$56,0))*G$6+INDEX(JuniorzyPozytyw[],MATCH($A75,Juniorstwo!$A$57:$A$76,0),MATCH($B$7,Juniorstwo!$A$56:$N$56,0))*G$7+INDEX(JuniorzyPozytyw[],MATCH($A75,Juniorstwo!$A$57:$A$76,0),MATCH($B$8,Juniorstwo!$A$56:$N$56,0))*G$8+INDEX(JuniorzyPozytyw[],MATCH($A75,Juniorstwo!$A$57:$A$76,0),MATCH($B$9,Juniorstwo!$A$56:$N$56,0))*G$9+INDEX(JuniorzyPozytyw[],MATCH($A75,Juniorstwo!$A$57:$A$76,0),MATCH($B$10,Juniorstwo!$A$56:$N$56,0))*G$10+INDEX(JuniorzyPozytyw[],MATCH($A75,Juniorstwo!$A$57:$A$76,0),MATCH($B$11,Juniorstwo!$A$56:$N$56,0))*G$11+INDEX(JuniorzyPozytyw[],MATCH($A75,Juniorstwo!$A$57:$A$76,0),MATCH($B$12,Juniorstwo!$A$56:$N$56,0))*G$12+INDEX(JuniorzyPozytyw[],MATCH($A75,Juniorstwo!$A$57:$A$76,0),MATCH($B$13,Juniorstwo!$A$56:$N$56,0))*G$13,"-")</f>
        <v>75.09</v>
      </c>
      <c r="H75" s="38">
        <f ca="1">IFERROR(INDEX(JuniorzyPozytyw[],MATCH($A75,Juniorstwo!$A$57:$A$76,0),MATCH($B$2,Juniorstwo!$A$56:$N$56,0))*H$2+INDEX(JuniorzyPozytyw[],MATCH($A75,Juniorstwo!$A$57:$A$76,0),MATCH($B$3,Juniorstwo!$A$56:$N$56,0))*H$3+INDEX(JuniorzyPozytyw[],MATCH($A75,Juniorstwo!$A$57:$A$76,0),MATCH($B$4,Juniorstwo!$A$56:$N$56,0))*H$4+INDEX(JuniorzyPozytyw[],MATCH($A75,Juniorstwo!$A$57:$A$76,0),MATCH($B$5,Juniorstwo!$A$56:$N$56,0))*H$5+INDEX(JuniorzyPozytyw[],MATCH($A75,Juniorstwo!$A$57:$A$76,0),MATCH($B$6,Juniorstwo!$A$56:$N$56,0))*H$6+INDEX(JuniorzyPozytyw[],MATCH($A75,Juniorstwo!$A$57:$A$76,0),MATCH($B$7,Juniorstwo!$A$56:$N$56,0))*H$7+INDEX(JuniorzyPozytyw[],MATCH($A75,Juniorstwo!$A$57:$A$76,0),MATCH($B$8,Juniorstwo!$A$56:$N$56,0))*H$8+INDEX(JuniorzyPozytyw[],MATCH($A75,Juniorstwo!$A$57:$A$76,0),MATCH($B$9,Juniorstwo!$A$56:$N$56,0))*H$9+INDEX(JuniorzyPozytyw[],MATCH($A75,Juniorstwo!$A$57:$A$76,0),MATCH($B$10,Juniorstwo!$A$56:$N$56,0))*H$10+INDEX(JuniorzyPozytyw[],MATCH($A75,Juniorstwo!$A$57:$A$76,0),MATCH($B$11,Juniorstwo!$A$56:$N$56,0))*H$11+INDEX(JuniorzyPozytyw[],MATCH($A75,Juniorstwo!$A$57:$A$76,0),MATCH($B$12,Juniorstwo!$A$56:$N$56,0))*H$12+INDEX(JuniorzyPozytyw[],MATCH($A75,Juniorstwo!$A$57:$A$76,0),MATCH($B$13,Juniorstwo!$A$56:$N$56,0))*H$13,"-")</f>
        <v>74.84</v>
      </c>
      <c r="I75" s="38">
        <f ca="1">IFERROR(INDEX(JuniorzyPozytyw[],MATCH($A75,Juniorstwo!$A$57:$A$76,0),MATCH($B$2,Juniorstwo!$A$56:$N$56,0))*I$2+INDEX(JuniorzyPozytyw[],MATCH($A75,Juniorstwo!$A$57:$A$76,0),MATCH($B$3,Juniorstwo!$A$56:$N$56,0))*I$3+INDEX(JuniorzyPozytyw[],MATCH($A75,Juniorstwo!$A$57:$A$76,0),MATCH($B$4,Juniorstwo!$A$56:$N$56,0))*I$4+INDEX(JuniorzyPozytyw[],MATCH($A75,Juniorstwo!$A$57:$A$76,0),MATCH($B$5,Juniorstwo!$A$56:$N$56,0))*I$5+INDEX(JuniorzyPozytyw[],MATCH($A75,Juniorstwo!$A$57:$A$76,0),MATCH($B$6,Juniorstwo!$A$56:$N$56,0))*I$6+INDEX(JuniorzyPozytyw[],MATCH($A75,Juniorstwo!$A$57:$A$76,0),MATCH($B$7,Juniorstwo!$A$56:$N$56,0))*I$7+INDEX(JuniorzyPozytyw[],MATCH($A75,Juniorstwo!$A$57:$A$76,0),MATCH($B$8,Juniorstwo!$A$56:$N$56,0))*I$8+INDEX(JuniorzyPozytyw[],MATCH($A75,Juniorstwo!$A$57:$A$76,0),MATCH($B$9,Juniorstwo!$A$56:$N$56,0))*I$9+INDEX(JuniorzyPozytyw[],MATCH($A75,Juniorstwo!$A$57:$A$76,0),MATCH($B$10,Juniorstwo!$A$56:$N$56,0))*I$10+INDEX(JuniorzyPozytyw[],MATCH($A75,Juniorstwo!$A$57:$A$76,0),MATCH($B$11,Juniorstwo!$A$56:$N$56,0))*I$11+INDEX(JuniorzyPozytyw[],MATCH($A75,Juniorstwo!$A$57:$A$76,0),MATCH($B$12,Juniorstwo!$A$56:$N$56,0))*I$12+INDEX(JuniorzyPozytyw[],MATCH($A75,Juniorstwo!$A$57:$A$76,0),MATCH($B$13,Juniorstwo!$A$56:$N$56,0))*I$13,"-")</f>
        <v>71.59</v>
      </c>
      <c r="J75" s="38">
        <f ca="1">IFERROR(INDEX(JuniorzyPozytyw[],MATCH($A75,Juniorstwo!$A$57:$A$76,0),MATCH($B$2,Juniorstwo!$A$56:$N$56,0))*J$2+INDEX(JuniorzyPozytyw[],MATCH($A75,Juniorstwo!$A$57:$A$76,0),MATCH($B$3,Juniorstwo!$A$56:$N$56,0))*J$3+INDEX(JuniorzyPozytyw[],MATCH($A75,Juniorstwo!$A$57:$A$76,0),MATCH($B$4,Juniorstwo!$A$56:$N$56,0))*J$4+INDEX(JuniorzyPozytyw[],MATCH($A75,Juniorstwo!$A$57:$A$76,0),MATCH($B$5,Juniorstwo!$A$56:$N$56,0))*J$5+INDEX(JuniorzyPozytyw[],MATCH($A75,Juniorstwo!$A$57:$A$76,0),MATCH($B$6,Juniorstwo!$A$56:$N$56,0))*J$6+INDEX(JuniorzyPozytyw[],MATCH($A75,Juniorstwo!$A$57:$A$76,0),MATCH($B$7,Juniorstwo!$A$56:$N$56,0))*J$7+INDEX(JuniorzyPozytyw[],MATCH($A75,Juniorstwo!$A$57:$A$76,0),MATCH($B$8,Juniorstwo!$A$56:$N$56,0))*J$8+INDEX(JuniorzyPozytyw[],MATCH($A75,Juniorstwo!$A$57:$A$76,0),MATCH($B$9,Juniorstwo!$A$56:$N$56,0))*J$9+INDEX(JuniorzyPozytyw[],MATCH($A75,Juniorstwo!$A$57:$A$76,0),MATCH($B$10,Juniorstwo!$A$56:$N$56,0))*J$10+INDEX(JuniorzyPozytyw[],MATCH($A75,Juniorstwo!$A$57:$A$76,0),MATCH($B$11,Juniorstwo!$A$56:$N$56,0))*J$11+INDEX(JuniorzyPozytyw[],MATCH($A75,Juniorstwo!$A$57:$A$76,0),MATCH($B$12,Juniorstwo!$A$56:$N$56,0))*J$12+INDEX(JuniorzyPozytyw[],MATCH($A75,Juniorstwo!$A$57:$A$76,0),MATCH($B$13,Juniorstwo!$A$56:$N$56,0))*J$13,"-")</f>
        <v>72.09</v>
      </c>
      <c r="K75" s="38">
        <f ca="1">IFERROR(INDEX(JuniorzyPozytyw[],MATCH($A75,Juniorstwo!$A$57:$A$76,0),MATCH($B$2,Juniorstwo!$A$56:$N$56,0))*K$2+INDEX(JuniorzyPozytyw[],MATCH($A75,Juniorstwo!$A$57:$A$76,0),MATCH($B$3,Juniorstwo!$A$56:$N$56,0))*K$3+INDEX(JuniorzyPozytyw[],MATCH($A75,Juniorstwo!$A$57:$A$76,0),MATCH($B$4,Juniorstwo!$A$56:$N$56,0))*K$4+INDEX(JuniorzyPozytyw[],MATCH($A75,Juniorstwo!$A$57:$A$76,0),MATCH($B$5,Juniorstwo!$A$56:$N$56,0))*K$5+INDEX(JuniorzyPozytyw[],MATCH($A75,Juniorstwo!$A$57:$A$76,0),MATCH($B$6,Juniorstwo!$A$56:$N$56,0))*K$6+INDEX(JuniorzyPozytyw[],MATCH($A75,Juniorstwo!$A$57:$A$76,0),MATCH($B$7,Juniorstwo!$A$56:$N$56,0))*K$7+INDEX(JuniorzyPozytyw[],MATCH($A75,Juniorstwo!$A$57:$A$76,0),MATCH($B$8,Juniorstwo!$A$56:$N$56,0))*K$8+INDEX(JuniorzyPozytyw[],MATCH($A75,Juniorstwo!$A$57:$A$76,0),MATCH($B$9,Juniorstwo!$A$56:$N$56,0))*K$9+INDEX(JuniorzyPozytyw[],MATCH($A75,Juniorstwo!$A$57:$A$76,0),MATCH($B$10,Juniorstwo!$A$56:$N$56,0))*K$10+INDEX(JuniorzyPozytyw[],MATCH($A75,Juniorstwo!$A$57:$A$76,0),MATCH($B$11,Juniorstwo!$A$56:$N$56,0))*K$11+INDEX(JuniorzyPozytyw[],MATCH($A75,Juniorstwo!$A$57:$A$76,0),MATCH($B$12,Juniorstwo!$A$56:$N$56,0))*K$12+INDEX(JuniorzyPozytyw[],MATCH($A75,Juniorstwo!$A$57:$A$76,0),MATCH($B$13,Juniorstwo!$A$56:$N$56,0))*K$13,"-")</f>
        <v>63.84</v>
      </c>
    </row>
    <row r="76" spans="1:11" x14ac:dyDescent="0.25">
      <c r="A76">
        <f>IFERROR(PozycjeŚr!A52,"-")</f>
        <v>50</v>
      </c>
      <c r="B76" s="3" t="str">
        <f>IFERROR(VLOOKUP(PozJunPMG[[#This Row],[Numer]],Zawodnicy[[Number]:[Player name]],2,FALSE),"-")</f>
        <v>Ludomil Robak</v>
      </c>
      <c r="C76" s="38">
        <f ca="1">IFERROR(INDEX(JuniorzyPozytyw[],MATCH($A76,Juniorstwo!$A$57:$A$76,0),MATCH($B$2,Juniorstwo!$A$56:$N$56,0))*C$2+INDEX(JuniorzyPozytyw[],MATCH($A76,Juniorstwo!$A$57:$A$76,0),MATCH($B$3,Juniorstwo!$A$56:$N$56,0))*C$3+INDEX(JuniorzyPozytyw[],MATCH($A76,Juniorstwo!$A$57:$A$76,0),MATCH($B$4,Juniorstwo!$A$56:$N$56,0))*C$4+INDEX(JuniorzyPozytyw[],MATCH($A76,Juniorstwo!$A$57:$A$76,0),MATCH($B$5,Juniorstwo!$A$56:$N$56,0))*C$5+INDEX(JuniorzyPozytyw[],MATCH($A76,Juniorstwo!$A$57:$A$76,0),MATCH($B$6,Juniorstwo!$A$56:$N$56,0))*C$6+INDEX(JuniorzyPozytyw[],MATCH($A76,Juniorstwo!$A$57:$A$76,0),MATCH($B$7,Juniorstwo!$A$56:$N$56,0))*C$7+INDEX(JuniorzyPozytyw[],MATCH($A76,Juniorstwo!$A$57:$A$76,0),MATCH($B$8,Juniorstwo!$A$56:$N$56,0))*C$8+INDEX(JuniorzyPozytyw[],MATCH($A76,Juniorstwo!$A$57:$A$76,0),MATCH($B$9,Juniorstwo!$A$56:$N$56,0))*C$9+INDEX(JuniorzyPozytyw[],MATCH($A76,Juniorstwo!$A$57:$A$76,0),MATCH($B$10,Juniorstwo!$A$56:$N$56,0))*C$10+INDEX(JuniorzyPozytyw[],MATCH($A76,Juniorstwo!$A$57:$A$76,0),MATCH($B$11,Juniorstwo!$A$56:$N$56,0))*C$11+INDEX(JuniorzyPozytyw[],MATCH($A76,Juniorstwo!$A$57:$A$76,0),MATCH($B$12,Juniorstwo!$A$56:$N$56,0))*C$12+INDEX(JuniorzyPozytyw[],MATCH($A76,Juniorstwo!$A$57:$A$76,0),MATCH($B$13,Juniorstwo!$A$56:$N$56,0))*C$13,"-")</f>
        <v>69.58</v>
      </c>
      <c r="D76" s="38">
        <f ca="1">IFERROR(INDEX(JuniorzyPozytyw[],MATCH($A76,Juniorstwo!$A$57:$A$76,0),MATCH($B$2,Juniorstwo!$A$56:$N$56,0))*D$2+INDEX(JuniorzyPozytyw[],MATCH($A76,Juniorstwo!$A$57:$A$76,0),MATCH($B$3,Juniorstwo!$A$56:$N$56,0))*D$3+INDEX(JuniorzyPozytyw[],MATCH($A76,Juniorstwo!$A$57:$A$76,0),MATCH($B$4,Juniorstwo!$A$56:$N$56,0))*D$4+INDEX(JuniorzyPozytyw[],MATCH($A76,Juniorstwo!$A$57:$A$76,0),MATCH($B$5,Juniorstwo!$A$56:$N$56,0))*D$5+INDEX(JuniorzyPozytyw[],MATCH($A76,Juniorstwo!$A$57:$A$76,0),MATCH($B$6,Juniorstwo!$A$56:$N$56,0))*D$6+INDEX(JuniorzyPozytyw[],MATCH($A76,Juniorstwo!$A$57:$A$76,0),MATCH($B$7,Juniorstwo!$A$56:$N$56,0))*D$7+INDEX(JuniorzyPozytyw[],MATCH($A76,Juniorstwo!$A$57:$A$76,0),MATCH($B$8,Juniorstwo!$A$56:$N$56,0))*D$8+INDEX(JuniorzyPozytyw[],MATCH($A76,Juniorstwo!$A$57:$A$76,0),MATCH($B$9,Juniorstwo!$A$56:$N$56,0))*D$9+INDEX(JuniorzyPozytyw[],MATCH($A76,Juniorstwo!$A$57:$A$76,0),MATCH($B$10,Juniorstwo!$A$56:$N$56,0))*D$10+INDEX(JuniorzyPozytyw[],MATCH($A76,Juniorstwo!$A$57:$A$76,0),MATCH($B$11,Juniorstwo!$A$56:$N$56,0))*D$11+INDEX(JuniorzyPozytyw[],MATCH($A76,Juniorstwo!$A$57:$A$76,0),MATCH($B$12,Juniorstwo!$A$56:$N$56,0))*D$12+INDEX(JuniorzyPozytyw[],MATCH($A76,Juniorstwo!$A$57:$A$76,0),MATCH($B$13,Juniorstwo!$A$56:$N$56,0))*D$13,"-")</f>
        <v>81.08</v>
      </c>
      <c r="E76" s="38">
        <f ca="1">IFERROR(INDEX(JuniorzyPozytyw[],MATCH($A76,Juniorstwo!$A$57:$A$76,0),MATCH($B$2,Juniorstwo!$A$56:$N$56,0))*E$2+INDEX(JuniorzyPozytyw[],MATCH($A76,Juniorstwo!$A$57:$A$76,0),MATCH($B$3,Juniorstwo!$A$56:$N$56,0))*E$3+INDEX(JuniorzyPozytyw[],MATCH($A76,Juniorstwo!$A$57:$A$76,0),MATCH($B$4,Juniorstwo!$A$56:$N$56,0))*E$4+INDEX(JuniorzyPozytyw[],MATCH($A76,Juniorstwo!$A$57:$A$76,0),MATCH($B$5,Juniorstwo!$A$56:$N$56,0))*E$5+INDEX(JuniorzyPozytyw[],MATCH($A76,Juniorstwo!$A$57:$A$76,0),MATCH($B$6,Juniorstwo!$A$56:$N$56,0))*E$6+INDEX(JuniorzyPozytyw[],MATCH($A76,Juniorstwo!$A$57:$A$76,0),MATCH($B$7,Juniorstwo!$A$56:$N$56,0))*E$7+INDEX(JuniorzyPozytyw[],MATCH($A76,Juniorstwo!$A$57:$A$76,0),MATCH($B$8,Juniorstwo!$A$56:$N$56,0))*E$8+INDEX(JuniorzyPozytyw[],MATCH($A76,Juniorstwo!$A$57:$A$76,0),MATCH($B$9,Juniorstwo!$A$56:$N$56,0))*E$9+INDEX(JuniorzyPozytyw[],MATCH($A76,Juniorstwo!$A$57:$A$76,0),MATCH($B$10,Juniorstwo!$A$56:$N$56,0))*E$10+INDEX(JuniorzyPozytyw[],MATCH($A76,Juniorstwo!$A$57:$A$76,0),MATCH($B$11,Juniorstwo!$A$56:$N$56,0))*E$11+INDEX(JuniorzyPozytyw[],MATCH($A76,Juniorstwo!$A$57:$A$76,0),MATCH($B$12,Juniorstwo!$A$56:$N$56,0))*E$12+INDEX(JuniorzyPozytyw[],MATCH($A76,Juniorstwo!$A$57:$A$76,0),MATCH($B$13,Juniorstwo!$A$56:$N$56,0))*E$13,"-")</f>
        <v>80.33</v>
      </c>
      <c r="F76" s="38">
        <f ca="1">IFERROR(INDEX(JuniorzyPozytyw[],MATCH($A76,Juniorstwo!$A$57:$A$76,0),MATCH($B$2,Juniorstwo!$A$56:$N$56,0))*F$2+INDEX(JuniorzyPozytyw[],MATCH($A76,Juniorstwo!$A$57:$A$76,0),MATCH($B$3,Juniorstwo!$A$56:$N$56,0))*F$3+INDEX(JuniorzyPozytyw[],MATCH($A76,Juniorstwo!$A$57:$A$76,0),MATCH($B$4,Juniorstwo!$A$56:$N$56,0))*F$4+INDEX(JuniorzyPozytyw[],MATCH($A76,Juniorstwo!$A$57:$A$76,0),MATCH($B$5,Juniorstwo!$A$56:$N$56,0))*F$5+INDEX(JuniorzyPozytyw[],MATCH($A76,Juniorstwo!$A$57:$A$76,0),MATCH($B$6,Juniorstwo!$A$56:$N$56,0))*F$6+INDEX(JuniorzyPozytyw[],MATCH($A76,Juniorstwo!$A$57:$A$76,0),MATCH($B$7,Juniorstwo!$A$56:$N$56,0))*F$7+INDEX(JuniorzyPozytyw[],MATCH($A76,Juniorstwo!$A$57:$A$76,0),MATCH($B$8,Juniorstwo!$A$56:$N$56,0))*F$8+INDEX(JuniorzyPozytyw[],MATCH($A76,Juniorstwo!$A$57:$A$76,0),MATCH($B$9,Juniorstwo!$A$56:$N$56,0))*F$9+INDEX(JuniorzyPozytyw[],MATCH($A76,Juniorstwo!$A$57:$A$76,0),MATCH($B$10,Juniorstwo!$A$56:$N$56,0))*F$10+INDEX(JuniorzyPozytyw[],MATCH($A76,Juniorstwo!$A$57:$A$76,0),MATCH($B$11,Juniorstwo!$A$56:$N$56,0))*F$11+INDEX(JuniorzyPozytyw[],MATCH($A76,Juniorstwo!$A$57:$A$76,0),MATCH($B$12,Juniorstwo!$A$56:$N$56,0))*F$12+INDEX(JuniorzyPozytyw[],MATCH($A76,Juniorstwo!$A$57:$A$76,0),MATCH($B$13,Juniorstwo!$A$56:$N$56,0))*F$13,"-")</f>
        <v>81.33</v>
      </c>
      <c r="G76" s="38">
        <f ca="1">IFERROR(INDEX(JuniorzyPozytyw[],MATCH($A76,Juniorstwo!$A$57:$A$76,0),MATCH($B$2,Juniorstwo!$A$56:$N$56,0))*G$2+INDEX(JuniorzyPozytyw[],MATCH($A76,Juniorstwo!$A$57:$A$76,0),MATCH($B$3,Juniorstwo!$A$56:$N$56,0))*G$3+INDEX(JuniorzyPozytyw[],MATCH($A76,Juniorstwo!$A$57:$A$76,0),MATCH($B$4,Juniorstwo!$A$56:$N$56,0))*G$4+INDEX(JuniorzyPozytyw[],MATCH($A76,Juniorstwo!$A$57:$A$76,0),MATCH($B$5,Juniorstwo!$A$56:$N$56,0))*G$5+INDEX(JuniorzyPozytyw[],MATCH($A76,Juniorstwo!$A$57:$A$76,0),MATCH($B$6,Juniorstwo!$A$56:$N$56,0))*G$6+INDEX(JuniorzyPozytyw[],MATCH($A76,Juniorstwo!$A$57:$A$76,0),MATCH($B$7,Juniorstwo!$A$56:$N$56,0))*G$7+INDEX(JuniorzyPozytyw[],MATCH($A76,Juniorstwo!$A$57:$A$76,0),MATCH($B$8,Juniorstwo!$A$56:$N$56,0))*G$8+INDEX(JuniorzyPozytyw[],MATCH($A76,Juniorstwo!$A$57:$A$76,0),MATCH($B$9,Juniorstwo!$A$56:$N$56,0))*G$9+INDEX(JuniorzyPozytyw[],MATCH($A76,Juniorstwo!$A$57:$A$76,0),MATCH($B$10,Juniorstwo!$A$56:$N$56,0))*G$10+INDEX(JuniorzyPozytyw[],MATCH($A76,Juniorstwo!$A$57:$A$76,0),MATCH($B$11,Juniorstwo!$A$56:$N$56,0))*G$11+INDEX(JuniorzyPozytyw[],MATCH($A76,Juniorstwo!$A$57:$A$76,0),MATCH($B$12,Juniorstwo!$A$56:$N$56,0))*G$12+INDEX(JuniorzyPozytyw[],MATCH($A76,Juniorstwo!$A$57:$A$76,0),MATCH($B$13,Juniorstwo!$A$56:$N$56,0))*G$13,"-")</f>
        <v>81.33</v>
      </c>
      <c r="H76" s="38">
        <f ca="1">IFERROR(INDEX(JuniorzyPozytyw[],MATCH($A76,Juniorstwo!$A$57:$A$76,0),MATCH($B$2,Juniorstwo!$A$56:$N$56,0))*H$2+INDEX(JuniorzyPozytyw[],MATCH($A76,Juniorstwo!$A$57:$A$76,0),MATCH($B$3,Juniorstwo!$A$56:$N$56,0))*H$3+INDEX(JuniorzyPozytyw[],MATCH($A76,Juniorstwo!$A$57:$A$76,0),MATCH($B$4,Juniorstwo!$A$56:$N$56,0))*H$4+INDEX(JuniorzyPozytyw[],MATCH($A76,Juniorstwo!$A$57:$A$76,0),MATCH($B$5,Juniorstwo!$A$56:$N$56,0))*H$5+INDEX(JuniorzyPozytyw[],MATCH($A76,Juniorstwo!$A$57:$A$76,0),MATCH($B$6,Juniorstwo!$A$56:$N$56,0))*H$6+INDEX(JuniorzyPozytyw[],MATCH($A76,Juniorstwo!$A$57:$A$76,0),MATCH($B$7,Juniorstwo!$A$56:$N$56,0))*H$7+INDEX(JuniorzyPozytyw[],MATCH($A76,Juniorstwo!$A$57:$A$76,0),MATCH($B$8,Juniorstwo!$A$56:$N$56,0))*H$8+INDEX(JuniorzyPozytyw[],MATCH($A76,Juniorstwo!$A$57:$A$76,0),MATCH($B$9,Juniorstwo!$A$56:$N$56,0))*H$9+INDEX(JuniorzyPozytyw[],MATCH($A76,Juniorstwo!$A$57:$A$76,0),MATCH($B$10,Juniorstwo!$A$56:$N$56,0))*H$10+INDEX(JuniorzyPozytyw[],MATCH($A76,Juniorstwo!$A$57:$A$76,0),MATCH($B$11,Juniorstwo!$A$56:$N$56,0))*H$11+INDEX(JuniorzyPozytyw[],MATCH($A76,Juniorstwo!$A$57:$A$76,0),MATCH($B$12,Juniorstwo!$A$56:$N$56,0))*H$12+INDEX(JuniorzyPozytyw[],MATCH($A76,Juniorstwo!$A$57:$A$76,0),MATCH($B$13,Juniorstwo!$A$56:$N$56,0))*H$13,"-")</f>
        <v>80.83</v>
      </c>
      <c r="I76" s="38">
        <f ca="1">IFERROR(INDEX(JuniorzyPozytyw[],MATCH($A76,Juniorstwo!$A$57:$A$76,0),MATCH($B$2,Juniorstwo!$A$56:$N$56,0))*I$2+INDEX(JuniorzyPozytyw[],MATCH($A76,Juniorstwo!$A$57:$A$76,0),MATCH($B$3,Juniorstwo!$A$56:$N$56,0))*I$3+INDEX(JuniorzyPozytyw[],MATCH($A76,Juniorstwo!$A$57:$A$76,0),MATCH($B$4,Juniorstwo!$A$56:$N$56,0))*I$4+INDEX(JuniorzyPozytyw[],MATCH($A76,Juniorstwo!$A$57:$A$76,0),MATCH($B$5,Juniorstwo!$A$56:$N$56,0))*I$5+INDEX(JuniorzyPozytyw[],MATCH($A76,Juniorstwo!$A$57:$A$76,0),MATCH($B$6,Juniorstwo!$A$56:$N$56,0))*I$6+INDEX(JuniorzyPozytyw[],MATCH($A76,Juniorstwo!$A$57:$A$76,0),MATCH($B$7,Juniorstwo!$A$56:$N$56,0))*I$7+INDEX(JuniorzyPozytyw[],MATCH($A76,Juniorstwo!$A$57:$A$76,0),MATCH($B$8,Juniorstwo!$A$56:$N$56,0))*I$8+INDEX(JuniorzyPozytyw[],MATCH($A76,Juniorstwo!$A$57:$A$76,0),MATCH($B$9,Juniorstwo!$A$56:$N$56,0))*I$9+INDEX(JuniorzyPozytyw[],MATCH($A76,Juniorstwo!$A$57:$A$76,0),MATCH($B$10,Juniorstwo!$A$56:$N$56,0))*I$10+INDEX(JuniorzyPozytyw[],MATCH($A76,Juniorstwo!$A$57:$A$76,0),MATCH($B$11,Juniorstwo!$A$56:$N$56,0))*I$11+INDEX(JuniorzyPozytyw[],MATCH($A76,Juniorstwo!$A$57:$A$76,0),MATCH($B$12,Juniorstwo!$A$56:$N$56,0))*I$12+INDEX(JuniorzyPozytyw[],MATCH($A76,Juniorstwo!$A$57:$A$76,0),MATCH($B$13,Juniorstwo!$A$56:$N$56,0))*I$13,"-")</f>
        <v>81.08</v>
      </c>
      <c r="J76" s="38">
        <f ca="1">IFERROR(INDEX(JuniorzyPozytyw[],MATCH($A76,Juniorstwo!$A$57:$A$76,0),MATCH($B$2,Juniorstwo!$A$56:$N$56,0))*J$2+INDEX(JuniorzyPozytyw[],MATCH($A76,Juniorstwo!$A$57:$A$76,0),MATCH($B$3,Juniorstwo!$A$56:$N$56,0))*J$3+INDEX(JuniorzyPozytyw[],MATCH($A76,Juniorstwo!$A$57:$A$76,0),MATCH($B$4,Juniorstwo!$A$56:$N$56,0))*J$4+INDEX(JuniorzyPozytyw[],MATCH($A76,Juniorstwo!$A$57:$A$76,0),MATCH($B$5,Juniorstwo!$A$56:$N$56,0))*J$5+INDEX(JuniorzyPozytyw[],MATCH($A76,Juniorstwo!$A$57:$A$76,0),MATCH($B$6,Juniorstwo!$A$56:$N$56,0))*J$6+INDEX(JuniorzyPozytyw[],MATCH($A76,Juniorstwo!$A$57:$A$76,0),MATCH($B$7,Juniorstwo!$A$56:$N$56,0))*J$7+INDEX(JuniorzyPozytyw[],MATCH($A76,Juniorstwo!$A$57:$A$76,0),MATCH($B$8,Juniorstwo!$A$56:$N$56,0))*J$8+INDEX(JuniorzyPozytyw[],MATCH($A76,Juniorstwo!$A$57:$A$76,0),MATCH($B$9,Juniorstwo!$A$56:$N$56,0))*J$9+INDEX(JuniorzyPozytyw[],MATCH($A76,Juniorstwo!$A$57:$A$76,0),MATCH($B$10,Juniorstwo!$A$56:$N$56,0))*J$10+INDEX(JuniorzyPozytyw[],MATCH($A76,Juniorstwo!$A$57:$A$76,0),MATCH($B$11,Juniorstwo!$A$56:$N$56,0))*J$11+INDEX(JuniorzyPozytyw[],MATCH($A76,Juniorstwo!$A$57:$A$76,0),MATCH($B$12,Juniorstwo!$A$56:$N$56,0))*J$12+INDEX(JuniorzyPozytyw[],MATCH($A76,Juniorstwo!$A$57:$A$76,0),MATCH($B$13,Juniorstwo!$A$56:$N$56,0))*J$13,"-")</f>
        <v>80.83</v>
      </c>
      <c r="K76" s="38">
        <f ca="1">IFERROR(INDEX(JuniorzyPozytyw[],MATCH($A76,Juniorstwo!$A$57:$A$76,0),MATCH($B$2,Juniorstwo!$A$56:$N$56,0))*K$2+INDEX(JuniorzyPozytyw[],MATCH($A76,Juniorstwo!$A$57:$A$76,0),MATCH($B$3,Juniorstwo!$A$56:$N$56,0))*K$3+INDEX(JuniorzyPozytyw[],MATCH($A76,Juniorstwo!$A$57:$A$76,0),MATCH($B$4,Juniorstwo!$A$56:$N$56,0))*K$4+INDEX(JuniorzyPozytyw[],MATCH($A76,Juniorstwo!$A$57:$A$76,0),MATCH($B$5,Juniorstwo!$A$56:$N$56,0))*K$5+INDEX(JuniorzyPozytyw[],MATCH($A76,Juniorstwo!$A$57:$A$76,0),MATCH($B$6,Juniorstwo!$A$56:$N$56,0))*K$6+INDEX(JuniorzyPozytyw[],MATCH($A76,Juniorstwo!$A$57:$A$76,0),MATCH($B$7,Juniorstwo!$A$56:$N$56,0))*K$7+INDEX(JuniorzyPozytyw[],MATCH($A76,Juniorstwo!$A$57:$A$76,0),MATCH($B$8,Juniorstwo!$A$56:$N$56,0))*K$8+INDEX(JuniorzyPozytyw[],MATCH($A76,Juniorstwo!$A$57:$A$76,0),MATCH($B$9,Juniorstwo!$A$56:$N$56,0))*K$9+INDEX(JuniorzyPozytyw[],MATCH($A76,Juniorstwo!$A$57:$A$76,0),MATCH($B$10,Juniorstwo!$A$56:$N$56,0))*K$10+INDEX(JuniorzyPozytyw[],MATCH($A76,Juniorstwo!$A$57:$A$76,0),MATCH($B$11,Juniorstwo!$A$56:$N$56,0))*K$11+INDEX(JuniorzyPozytyw[],MATCH($A76,Juniorstwo!$A$57:$A$76,0),MATCH($B$12,Juniorstwo!$A$56:$N$56,0))*K$12+INDEX(JuniorzyPozytyw[],MATCH($A76,Juniorstwo!$A$57:$A$76,0),MATCH($B$13,Juniorstwo!$A$56:$N$56,0))*K$13,"-")</f>
        <v>80.58</v>
      </c>
    </row>
    <row r="77" spans="1:11" x14ac:dyDescent="0.25">
      <c r="A77">
        <f>IFERROR(PozycjeŚr!A53,"-")</f>
        <v>51</v>
      </c>
      <c r="B77" s="3" t="str">
        <f>IFERROR(VLOOKUP(PozJunPMG[[#This Row],[Numer]],Zawodnicy[[Number]:[Player name]],2,FALSE),"-")</f>
        <v>Radoslaw Cichowski</v>
      </c>
      <c r="C77" s="38">
        <f ca="1">IFERROR(INDEX(JuniorzyPozytyw[],MATCH($A77,Juniorstwo!$A$57:$A$76,0),MATCH($B$2,Juniorstwo!$A$56:$N$56,0))*C$2+INDEX(JuniorzyPozytyw[],MATCH($A77,Juniorstwo!$A$57:$A$76,0),MATCH($B$3,Juniorstwo!$A$56:$N$56,0))*C$3+INDEX(JuniorzyPozytyw[],MATCH($A77,Juniorstwo!$A$57:$A$76,0),MATCH($B$4,Juniorstwo!$A$56:$N$56,0))*C$4+INDEX(JuniorzyPozytyw[],MATCH($A77,Juniorstwo!$A$57:$A$76,0),MATCH($B$5,Juniorstwo!$A$56:$N$56,0))*C$5+INDEX(JuniorzyPozytyw[],MATCH($A77,Juniorstwo!$A$57:$A$76,0),MATCH($B$6,Juniorstwo!$A$56:$N$56,0))*C$6+INDEX(JuniorzyPozytyw[],MATCH($A77,Juniorstwo!$A$57:$A$76,0),MATCH($B$7,Juniorstwo!$A$56:$N$56,0))*C$7+INDEX(JuniorzyPozytyw[],MATCH($A77,Juniorstwo!$A$57:$A$76,0),MATCH($B$8,Juniorstwo!$A$56:$N$56,0))*C$8+INDEX(JuniorzyPozytyw[],MATCH($A77,Juniorstwo!$A$57:$A$76,0),MATCH($B$9,Juniorstwo!$A$56:$N$56,0))*C$9+INDEX(JuniorzyPozytyw[],MATCH($A77,Juniorstwo!$A$57:$A$76,0),MATCH($B$10,Juniorstwo!$A$56:$N$56,0))*C$10+INDEX(JuniorzyPozytyw[],MATCH($A77,Juniorstwo!$A$57:$A$76,0),MATCH($B$11,Juniorstwo!$A$56:$N$56,0))*C$11+INDEX(JuniorzyPozytyw[],MATCH($A77,Juniorstwo!$A$57:$A$76,0),MATCH($B$12,Juniorstwo!$A$56:$N$56,0))*C$12+INDEX(JuniorzyPozytyw[],MATCH($A77,Juniorstwo!$A$57:$A$76,0),MATCH($B$13,Juniorstwo!$A$56:$N$56,0))*C$13,"-")</f>
        <v>70.58</v>
      </c>
      <c r="D77" s="38">
        <f ca="1">IFERROR(INDEX(JuniorzyPozytyw[],MATCH($A77,Juniorstwo!$A$57:$A$76,0),MATCH($B$2,Juniorstwo!$A$56:$N$56,0))*D$2+INDEX(JuniorzyPozytyw[],MATCH($A77,Juniorstwo!$A$57:$A$76,0),MATCH($B$3,Juniorstwo!$A$56:$N$56,0))*D$3+INDEX(JuniorzyPozytyw[],MATCH($A77,Juniorstwo!$A$57:$A$76,0),MATCH($B$4,Juniorstwo!$A$56:$N$56,0))*D$4+INDEX(JuniorzyPozytyw[],MATCH($A77,Juniorstwo!$A$57:$A$76,0),MATCH($B$5,Juniorstwo!$A$56:$N$56,0))*D$5+INDEX(JuniorzyPozytyw[],MATCH($A77,Juniorstwo!$A$57:$A$76,0),MATCH($B$6,Juniorstwo!$A$56:$N$56,0))*D$6+INDEX(JuniorzyPozytyw[],MATCH($A77,Juniorstwo!$A$57:$A$76,0),MATCH($B$7,Juniorstwo!$A$56:$N$56,0))*D$7+INDEX(JuniorzyPozytyw[],MATCH($A77,Juniorstwo!$A$57:$A$76,0),MATCH($B$8,Juniorstwo!$A$56:$N$56,0))*D$8+INDEX(JuniorzyPozytyw[],MATCH($A77,Juniorstwo!$A$57:$A$76,0),MATCH($B$9,Juniorstwo!$A$56:$N$56,0))*D$9+INDEX(JuniorzyPozytyw[],MATCH($A77,Juniorstwo!$A$57:$A$76,0),MATCH($B$10,Juniorstwo!$A$56:$N$56,0))*D$10+INDEX(JuniorzyPozytyw[],MATCH($A77,Juniorstwo!$A$57:$A$76,0),MATCH($B$11,Juniorstwo!$A$56:$N$56,0))*D$11+INDEX(JuniorzyPozytyw[],MATCH($A77,Juniorstwo!$A$57:$A$76,0),MATCH($B$12,Juniorstwo!$A$56:$N$56,0))*D$12+INDEX(JuniorzyPozytyw[],MATCH($A77,Juniorstwo!$A$57:$A$76,0),MATCH($B$13,Juniorstwo!$A$56:$N$56,0))*D$13,"-")</f>
        <v>85.58</v>
      </c>
      <c r="E77" s="38">
        <f ca="1">IFERROR(INDEX(JuniorzyPozytyw[],MATCH($A77,Juniorstwo!$A$57:$A$76,0),MATCH($B$2,Juniorstwo!$A$56:$N$56,0))*E$2+INDEX(JuniorzyPozytyw[],MATCH($A77,Juniorstwo!$A$57:$A$76,0),MATCH($B$3,Juniorstwo!$A$56:$N$56,0))*E$3+INDEX(JuniorzyPozytyw[],MATCH($A77,Juniorstwo!$A$57:$A$76,0),MATCH($B$4,Juniorstwo!$A$56:$N$56,0))*E$4+INDEX(JuniorzyPozytyw[],MATCH($A77,Juniorstwo!$A$57:$A$76,0),MATCH($B$5,Juniorstwo!$A$56:$N$56,0))*E$5+INDEX(JuniorzyPozytyw[],MATCH($A77,Juniorstwo!$A$57:$A$76,0),MATCH($B$6,Juniorstwo!$A$56:$N$56,0))*E$6+INDEX(JuniorzyPozytyw[],MATCH($A77,Juniorstwo!$A$57:$A$76,0),MATCH($B$7,Juniorstwo!$A$56:$N$56,0))*E$7+INDEX(JuniorzyPozytyw[],MATCH($A77,Juniorstwo!$A$57:$A$76,0),MATCH($B$8,Juniorstwo!$A$56:$N$56,0))*E$8+INDEX(JuniorzyPozytyw[],MATCH($A77,Juniorstwo!$A$57:$A$76,0),MATCH($B$9,Juniorstwo!$A$56:$N$56,0))*E$9+INDEX(JuniorzyPozytyw[],MATCH($A77,Juniorstwo!$A$57:$A$76,0),MATCH($B$10,Juniorstwo!$A$56:$N$56,0))*E$10+INDEX(JuniorzyPozytyw[],MATCH($A77,Juniorstwo!$A$57:$A$76,0),MATCH($B$11,Juniorstwo!$A$56:$N$56,0))*E$11+INDEX(JuniorzyPozytyw[],MATCH($A77,Juniorstwo!$A$57:$A$76,0),MATCH($B$12,Juniorstwo!$A$56:$N$56,0))*E$12+INDEX(JuniorzyPozytyw[],MATCH($A77,Juniorstwo!$A$57:$A$76,0),MATCH($B$13,Juniorstwo!$A$56:$N$56,0))*E$13,"-")</f>
        <v>85.08</v>
      </c>
      <c r="F77" s="38">
        <f ca="1">IFERROR(INDEX(JuniorzyPozytyw[],MATCH($A77,Juniorstwo!$A$57:$A$76,0),MATCH($B$2,Juniorstwo!$A$56:$N$56,0))*F$2+INDEX(JuniorzyPozytyw[],MATCH($A77,Juniorstwo!$A$57:$A$76,0),MATCH($B$3,Juniorstwo!$A$56:$N$56,0))*F$3+INDEX(JuniorzyPozytyw[],MATCH($A77,Juniorstwo!$A$57:$A$76,0),MATCH($B$4,Juniorstwo!$A$56:$N$56,0))*F$4+INDEX(JuniorzyPozytyw[],MATCH($A77,Juniorstwo!$A$57:$A$76,0),MATCH($B$5,Juniorstwo!$A$56:$N$56,0))*F$5+INDEX(JuniorzyPozytyw[],MATCH($A77,Juniorstwo!$A$57:$A$76,0),MATCH($B$6,Juniorstwo!$A$56:$N$56,0))*F$6+INDEX(JuniorzyPozytyw[],MATCH($A77,Juniorstwo!$A$57:$A$76,0),MATCH($B$7,Juniorstwo!$A$56:$N$56,0))*F$7+INDEX(JuniorzyPozytyw[],MATCH($A77,Juniorstwo!$A$57:$A$76,0),MATCH($B$8,Juniorstwo!$A$56:$N$56,0))*F$8+INDEX(JuniorzyPozytyw[],MATCH($A77,Juniorstwo!$A$57:$A$76,0),MATCH($B$9,Juniorstwo!$A$56:$N$56,0))*F$9+INDEX(JuniorzyPozytyw[],MATCH($A77,Juniorstwo!$A$57:$A$76,0),MATCH($B$10,Juniorstwo!$A$56:$N$56,0))*F$10+INDEX(JuniorzyPozytyw[],MATCH($A77,Juniorstwo!$A$57:$A$76,0),MATCH($B$11,Juniorstwo!$A$56:$N$56,0))*F$11+INDEX(JuniorzyPozytyw[],MATCH($A77,Juniorstwo!$A$57:$A$76,0),MATCH($B$12,Juniorstwo!$A$56:$N$56,0))*F$12+INDEX(JuniorzyPozytyw[],MATCH($A77,Juniorstwo!$A$57:$A$76,0),MATCH($B$13,Juniorstwo!$A$56:$N$56,0))*F$13,"-")</f>
        <v>84.08</v>
      </c>
      <c r="G77" s="38">
        <f ca="1">IFERROR(INDEX(JuniorzyPozytyw[],MATCH($A77,Juniorstwo!$A$57:$A$76,0),MATCH($B$2,Juniorstwo!$A$56:$N$56,0))*G$2+INDEX(JuniorzyPozytyw[],MATCH($A77,Juniorstwo!$A$57:$A$76,0),MATCH($B$3,Juniorstwo!$A$56:$N$56,0))*G$3+INDEX(JuniorzyPozytyw[],MATCH($A77,Juniorstwo!$A$57:$A$76,0),MATCH($B$4,Juniorstwo!$A$56:$N$56,0))*G$4+INDEX(JuniorzyPozytyw[],MATCH($A77,Juniorstwo!$A$57:$A$76,0),MATCH($B$5,Juniorstwo!$A$56:$N$56,0))*G$5+INDEX(JuniorzyPozytyw[],MATCH($A77,Juniorstwo!$A$57:$A$76,0),MATCH($B$6,Juniorstwo!$A$56:$N$56,0))*G$6+INDEX(JuniorzyPozytyw[],MATCH($A77,Juniorstwo!$A$57:$A$76,0),MATCH($B$7,Juniorstwo!$A$56:$N$56,0))*G$7+INDEX(JuniorzyPozytyw[],MATCH($A77,Juniorstwo!$A$57:$A$76,0),MATCH($B$8,Juniorstwo!$A$56:$N$56,0))*G$8+INDEX(JuniorzyPozytyw[],MATCH($A77,Juniorstwo!$A$57:$A$76,0),MATCH($B$9,Juniorstwo!$A$56:$N$56,0))*G$9+INDEX(JuniorzyPozytyw[],MATCH($A77,Juniorstwo!$A$57:$A$76,0),MATCH($B$10,Juniorstwo!$A$56:$N$56,0))*G$10+INDEX(JuniorzyPozytyw[],MATCH($A77,Juniorstwo!$A$57:$A$76,0),MATCH($B$11,Juniorstwo!$A$56:$N$56,0))*G$11+INDEX(JuniorzyPozytyw[],MATCH($A77,Juniorstwo!$A$57:$A$76,0),MATCH($B$12,Juniorstwo!$A$56:$N$56,0))*G$12+INDEX(JuniorzyPozytyw[],MATCH($A77,Juniorstwo!$A$57:$A$76,0),MATCH($B$13,Juniorstwo!$A$56:$N$56,0))*G$13,"-")</f>
        <v>83.58</v>
      </c>
      <c r="H77" s="38">
        <f ca="1">IFERROR(INDEX(JuniorzyPozytyw[],MATCH($A77,Juniorstwo!$A$57:$A$76,0),MATCH($B$2,Juniorstwo!$A$56:$N$56,0))*H$2+INDEX(JuniorzyPozytyw[],MATCH($A77,Juniorstwo!$A$57:$A$76,0),MATCH($B$3,Juniorstwo!$A$56:$N$56,0))*H$3+INDEX(JuniorzyPozytyw[],MATCH($A77,Juniorstwo!$A$57:$A$76,0),MATCH($B$4,Juniorstwo!$A$56:$N$56,0))*H$4+INDEX(JuniorzyPozytyw[],MATCH($A77,Juniorstwo!$A$57:$A$76,0),MATCH($B$5,Juniorstwo!$A$56:$N$56,0))*H$5+INDEX(JuniorzyPozytyw[],MATCH($A77,Juniorstwo!$A$57:$A$76,0),MATCH($B$6,Juniorstwo!$A$56:$N$56,0))*H$6+INDEX(JuniorzyPozytyw[],MATCH($A77,Juniorstwo!$A$57:$A$76,0),MATCH($B$7,Juniorstwo!$A$56:$N$56,0))*H$7+INDEX(JuniorzyPozytyw[],MATCH($A77,Juniorstwo!$A$57:$A$76,0),MATCH($B$8,Juniorstwo!$A$56:$N$56,0))*H$8+INDEX(JuniorzyPozytyw[],MATCH($A77,Juniorstwo!$A$57:$A$76,0),MATCH($B$9,Juniorstwo!$A$56:$N$56,0))*H$9+INDEX(JuniorzyPozytyw[],MATCH($A77,Juniorstwo!$A$57:$A$76,0),MATCH($B$10,Juniorstwo!$A$56:$N$56,0))*H$10+INDEX(JuniorzyPozytyw[],MATCH($A77,Juniorstwo!$A$57:$A$76,0),MATCH($B$11,Juniorstwo!$A$56:$N$56,0))*H$11+INDEX(JuniorzyPozytyw[],MATCH($A77,Juniorstwo!$A$57:$A$76,0),MATCH($B$12,Juniorstwo!$A$56:$N$56,0))*H$12+INDEX(JuniorzyPozytyw[],MATCH($A77,Juniorstwo!$A$57:$A$76,0),MATCH($B$13,Juniorstwo!$A$56:$N$56,0))*H$13,"-")</f>
        <v>83.08</v>
      </c>
      <c r="I77" s="38">
        <f ca="1">IFERROR(INDEX(JuniorzyPozytyw[],MATCH($A77,Juniorstwo!$A$57:$A$76,0),MATCH($B$2,Juniorstwo!$A$56:$N$56,0))*I$2+INDEX(JuniorzyPozytyw[],MATCH($A77,Juniorstwo!$A$57:$A$76,0),MATCH($B$3,Juniorstwo!$A$56:$N$56,0))*I$3+INDEX(JuniorzyPozytyw[],MATCH($A77,Juniorstwo!$A$57:$A$76,0),MATCH($B$4,Juniorstwo!$A$56:$N$56,0))*I$4+INDEX(JuniorzyPozytyw[],MATCH($A77,Juniorstwo!$A$57:$A$76,0),MATCH($B$5,Juniorstwo!$A$56:$N$56,0))*I$5+INDEX(JuniorzyPozytyw[],MATCH($A77,Juniorstwo!$A$57:$A$76,0),MATCH($B$6,Juniorstwo!$A$56:$N$56,0))*I$6+INDEX(JuniorzyPozytyw[],MATCH($A77,Juniorstwo!$A$57:$A$76,0),MATCH($B$7,Juniorstwo!$A$56:$N$56,0))*I$7+INDEX(JuniorzyPozytyw[],MATCH($A77,Juniorstwo!$A$57:$A$76,0),MATCH($B$8,Juniorstwo!$A$56:$N$56,0))*I$8+INDEX(JuniorzyPozytyw[],MATCH($A77,Juniorstwo!$A$57:$A$76,0),MATCH($B$9,Juniorstwo!$A$56:$N$56,0))*I$9+INDEX(JuniorzyPozytyw[],MATCH($A77,Juniorstwo!$A$57:$A$76,0),MATCH($B$10,Juniorstwo!$A$56:$N$56,0))*I$10+INDEX(JuniorzyPozytyw[],MATCH($A77,Juniorstwo!$A$57:$A$76,0),MATCH($B$11,Juniorstwo!$A$56:$N$56,0))*I$11+INDEX(JuniorzyPozytyw[],MATCH($A77,Juniorstwo!$A$57:$A$76,0),MATCH($B$12,Juniorstwo!$A$56:$N$56,0))*I$12+INDEX(JuniorzyPozytyw[],MATCH($A77,Juniorstwo!$A$57:$A$76,0),MATCH($B$13,Juniorstwo!$A$56:$N$56,0))*I$13,"-")</f>
        <v>81.83</v>
      </c>
      <c r="J77" s="38">
        <f ca="1">IFERROR(INDEX(JuniorzyPozytyw[],MATCH($A77,Juniorstwo!$A$57:$A$76,0),MATCH($B$2,Juniorstwo!$A$56:$N$56,0))*J$2+INDEX(JuniorzyPozytyw[],MATCH($A77,Juniorstwo!$A$57:$A$76,0),MATCH($B$3,Juniorstwo!$A$56:$N$56,0))*J$3+INDEX(JuniorzyPozytyw[],MATCH($A77,Juniorstwo!$A$57:$A$76,0),MATCH($B$4,Juniorstwo!$A$56:$N$56,0))*J$4+INDEX(JuniorzyPozytyw[],MATCH($A77,Juniorstwo!$A$57:$A$76,0),MATCH($B$5,Juniorstwo!$A$56:$N$56,0))*J$5+INDEX(JuniorzyPozytyw[],MATCH($A77,Juniorstwo!$A$57:$A$76,0),MATCH($B$6,Juniorstwo!$A$56:$N$56,0))*J$6+INDEX(JuniorzyPozytyw[],MATCH($A77,Juniorstwo!$A$57:$A$76,0),MATCH($B$7,Juniorstwo!$A$56:$N$56,0))*J$7+INDEX(JuniorzyPozytyw[],MATCH($A77,Juniorstwo!$A$57:$A$76,0),MATCH($B$8,Juniorstwo!$A$56:$N$56,0))*J$8+INDEX(JuniorzyPozytyw[],MATCH($A77,Juniorstwo!$A$57:$A$76,0),MATCH($B$9,Juniorstwo!$A$56:$N$56,0))*J$9+INDEX(JuniorzyPozytyw[],MATCH($A77,Juniorstwo!$A$57:$A$76,0),MATCH($B$10,Juniorstwo!$A$56:$N$56,0))*J$10+INDEX(JuniorzyPozytyw[],MATCH($A77,Juniorstwo!$A$57:$A$76,0),MATCH($B$11,Juniorstwo!$A$56:$N$56,0))*J$11+INDEX(JuniorzyPozytyw[],MATCH($A77,Juniorstwo!$A$57:$A$76,0),MATCH($B$12,Juniorstwo!$A$56:$N$56,0))*J$12+INDEX(JuniorzyPozytyw[],MATCH($A77,Juniorstwo!$A$57:$A$76,0),MATCH($B$13,Juniorstwo!$A$56:$N$56,0))*J$13,"-")</f>
        <v>81.83</v>
      </c>
      <c r="K77" s="38">
        <f ca="1">IFERROR(INDEX(JuniorzyPozytyw[],MATCH($A77,Juniorstwo!$A$57:$A$76,0),MATCH($B$2,Juniorstwo!$A$56:$N$56,0))*K$2+INDEX(JuniorzyPozytyw[],MATCH($A77,Juniorstwo!$A$57:$A$76,0),MATCH($B$3,Juniorstwo!$A$56:$N$56,0))*K$3+INDEX(JuniorzyPozytyw[],MATCH($A77,Juniorstwo!$A$57:$A$76,0),MATCH($B$4,Juniorstwo!$A$56:$N$56,0))*K$4+INDEX(JuniorzyPozytyw[],MATCH($A77,Juniorstwo!$A$57:$A$76,0),MATCH($B$5,Juniorstwo!$A$56:$N$56,0))*K$5+INDEX(JuniorzyPozytyw[],MATCH($A77,Juniorstwo!$A$57:$A$76,0),MATCH($B$6,Juniorstwo!$A$56:$N$56,0))*K$6+INDEX(JuniorzyPozytyw[],MATCH($A77,Juniorstwo!$A$57:$A$76,0),MATCH($B$7,Juniorstwo!$A$56:$N$56,0))*K$7+INDEX(JuniorzyPozytyw[],MATCH($A77,Juniorstwo!$A$57:$A$76,0),MATCH($B$8,Juniorstwo!$A$56:$N$56,0))*K$8+INDEX(JuniorzyPozytyw[],MATCH($A77,Juniorstwo!$A$57:$A$76,0),MATCH($B$9,Juniorstwo!$A$56:$N$56,0))*K$9+INDEX(JuniorzyPozytyw[],MATCH($A77,Juniorstwo!$A$57:$A$76,0),MATCH($B$10,Juniorstwo!$A$56:$N$56,0))*K$10+INDEX(JuniorzyPozytyw[],MATCH($A77,Juniorstwo!$A$57:$A$76,0),MATCH($B$11,Juniorstwo!$A$56:$N$56,0))*K$11+INDEX(JuniorzyPozytyw[],MATCH($A77,Juniorstwo!$A$57:$A$76,0),MATCH($B$12,Juniorstwo!$A$56:$N$56,0))*K$12+INDEX(JuniorzyPozytyw[],MATCH($A77,Juniorstwo!$A$57:$A$76,0),MATCH($B$13,Juniorstwo!$A$56:$N$56,0))*K$13,"-")</f>
        <v>79.83</v>
      </c>
    </row>
    <row r="78" spans="1:11" x14ac:dyDescent="0.25">
      <c r="A78">
        <f>IFERROR(PozycjeŚr!A54,"-")</f>
        <v>52</v>
      </c>
      <c r="B78" s="3" t="str">
        <f>IFERROR(VLOOKUP(PozJunPMG[[#This Row],[Numer]],Zawodnicy[[Number]:[Player name]],2,FALSE),"-")</f>
        <v>Roland Danisiewicz</v>
      </c>
      <c r="C78" s="38">
        <f ca="1">IFERROR(INDEX(JuniorzyPozytyw[],MATCH($A78,Juniorstwo!$A$57:$A$76,0),MATCH($B$2,Juniorstwo!$A$56:$N$56,0))*C$2+INDEX(JuniorzyPozytyw[],MATCH($A78,Juniorstwo!$A$57:$A$76,0),MATCH($B$3,Juniorstwo!$A$56:$N$56,0))*C$3+INDEX(JuniorzyPozytyw[],MATCH($A78,Juniorstwo!$A$57:$A$76,0),MATCH($B$4,Juniorstwo!$A$56:$N$56,0))*C$4+INDEX(JuniorzyPozytyw[],MATCH($A78,Juniorstwo!$A$57:$A$76,0),MATCH($B$5,Juniorstwo!$A$56:$N$56,0))*C$5+INDEX(JuniorzyPozytyw[],MATCH($A78,Juniorstwo!$A$57:$A$76,0),MATCH($B$6,Juniorstwo!$A$56:$N$56,0))*C$6+INDEX(JuniorzyPozytyw[],MATCH($A78,Juniorstwo!$A$57:$A$76,0),MATCH($B$7,Juniorstwo!$A$56:$N$56,0))*C$7+INDEX(JuniorzyPozytyw[],MATCH($A78,Juniorstwo!$A$57:$A$76,0),MATCH($B$8,Juniorstwo!$A$56:$N$56,0))*C$8+INDEX(JuniorzyPozytyw[],MATCH($A78,Juniorstwo!$A$57:$A$76,0),MATCH($B$9,Juniorstwo!$A$56:$N$56,0))*C$9+INDEX(JuniorzyPozytyw[],MATCH($A78,Juniorstwo!$A$57:$A$76,0),MATCH($B$10,Juniorstwo!$A$56:$N$56,0))*C$10+INDEX(JuniorzyPozytyw[],MATCH($A78,Juniorstwo!$A$57:$A$76,0),MATCH($B$11,Juniorstwo!$A$56:$N$56,0))*C$11+INDEX(JuniorzyPozytyw[],MATCH($A78,Juniorstwo!$A$57:$A$76,0),MATCH($B$12,Juniorstwo!$A$56:$N$56,0))*C$12+INDEX(JuniorzyPozytyw[],MATCH($A78,Juniorstwo!$A$57:$A$76,0),MATCH($B$13,Juniorstwo!$A$56:$N$56,0))*C$13,"-")</f>
        <v>70.09</v>
      </c>
      <c r="D78" s="38">
        <f ca="1">IFERROR(INDEX(JuniorzyPozytyw[],MATCH($A78,Juniorstwo!$A$57:$A$76,0),MATCH($B$2,Juniorstwo!$A$56:$N$56,0))*D$2+INDEX(JuniorzyPozytyw[],MATCH($A78,Juniorstwo!$A$57:$A$76,0),MATCH($B$3,Juniorstwo!$A$56:$N$56,0))*D$3+INDEX(JuniorzyPozytyw[],MATCH($A78,Juniorstwo!$A$57:$A$76,0),MATCH($B$4,Juniorstwo!$A$56:$N$56,0))*D$4+INDEX(JuniorzyPozytyw[],MATCH($A78,Juniorstwo!$A$57:$A$76,0),MATCH($B$5,Juniorstwo!$A$56:$N$56,0))*D$5+INDEX(JuniorzyPozytyw[],MATCH($A78,Juniorstwo!$A$57:$A$76,0),MATCH($B$6,Juniorstwo!$A$56:$N$56,0))*D$6+INDEX(JuniorzyPozytyw[],MATCH($A78,Juniorstwo!$A$57:$A$76,0),MATCH($B$7,Juniorstwo!$A$56:$N$56,0))*D$7+INDEX(JuniorzyPozytyw[],MATCH($A78,Juniorstwo!$A$57:$A$76,0),MATCH($B$8,Juniorstwo!$A$56:$N$56,0))*D$8+INDEX(JuniorzyPozytyw[],MATCH($A78,Juniorstwo!$A$57:$A$76,0),MATCH($B$9,Juniorstwo!$A$56:$N$56,0))*D$9+INDEX(JuniorzyPozytyw[],MATCH($A78,Juniorstwo!$A$57:$A$76,0),MATCH($B$10,Juniorstwo!$A$56:$N$56,0))*D$10+INDEX(JuniorzyPozytyw[],MATCH($A78,Juniorstwo!$A$57:$A$76,0),MATCH($B$11,Juniorstwo!$A$56:$N$56,0))*D$11+INDEX(JuniorzyPozytyw[],MATCH($A78,Juniorstwo!$A$57:$A$76,0),MATCH($B$12,Juniorstwo!$A$56:$N$56,0))*D$12+INDEX(JuniorzyPozytyw[],MATCH($A78,Juniorstwo!$A$57:$A$76,0),MATCH($B$13,Juniorstwo!$A$56:$N$56,0))*D$13,"-")</f>
        <v>78.09</v>
      </c>
      <c r="E78" s="38">
        <f ca="1">IFERROR(INDEX(JuniorzyPozytyw[],MATCH($A78,Juniorstwo!$A$57:$A$76,0),MATCH($B$2,Juniorstwo!$A$56:$N$56,0))*E$2+INDEX(JuniorzyPozytyw[],MATCH($A78,Juniorstwo!$A$57:$A$76,0),MATCH($B$3,Juniorstwo!$A$56:$N$56,0))*E$3+INDEX(JuniorzyPozytyw[],MATCH($A78,Juniorstwo!$A$57:$A$76,0),MATCH($B$4,Juniorstwo!$A$56:$N$56,0))*E$4+INDEX(JuniorzyPozytyw[],MATCH($A78,Juniorstwo!$A$57:$A$76,0),MATCH($B$5,Juniorstwo!$A$56:$N$56,0))*E$5+INDEX(JuniorzyPozytyw[],MATCH($A78,Juniorstwo!$A$57:$A$76,0),MATCH($B$6,Juniorstwo!$A$56:$N$56,0))*E$6+INDEX(JuniorzyPozytyw[],MATCH($A78,Juniorstwo!$A$57:$A$76,0),MATCH($B$7,Juniorstwo!$A$56:$N$56,0))*E$7+INDEX(JuniorzyPozytyw[],MATCH($A78,Juniorstwo!$A$57:$A$76,0),MATCH($B$8,Juniorstwo!$A$56:$N$56,0))*E$8+INDEX(JuniorzyPozytyw[],MATCH($A78,Juniorstwo!$A$57:$A$76,0),MATCH($B$9,Juniorstwo!$A$56:$N$56,0))*E$9+INDEX(JuniorzyPozytyw[],MATCH($A78,Juniorstwo!$A$57:$A$76,0),MATCH($B$10,Juniorstwo!$A$56:$N$56,0))*E$10+INDEX(JuniorzyPozytyw[],MATCH($A78,Juniorstwo!$A$57:$A$76,0),MATCH($B$11,Juniorstwo!$A$56:$N$56,0))*E$11+INDEX(JuniorzyPozytyw[],MATCH($A78,Juniorstwo!$A$57:$A$76,0),MATCH($B$12,Juniorstwo!$A$56:$N$56,0))*E$12+INDEX(JuniorzyPozytyw[],MATCH($A78,Juniorstwo!$A$57:$A$76,0),MATCH($B$13,Juniorstwo!$A$56:$N$56,0))*E$13,"-")</f>
        <v>78.59</v>
      </c>
      <c r="F78" s="38">
        <f ca="1">IFERROR(INDEX(JuniorzyPozytyw[],MATCH($A78,Juniorstwo!$A$57:$A$76,0),MATCH($B$2,Juniorstwo!$A$56:$N$56,0))*F$2+INDEX(JuniorzyPozytyw[],MATCH($A78,Juniorstwo!$A$57:$A$76,0),MATCH($B$3,Juniorstwo!$A$56:$N$56,0))*F$3+INDEX(JuniorzyPozytyw[],MATCH($A78,Juniorstwo!$A$57:$A$76,0),MATCH($B$4,Juniorstwo!$A$56:$N$56,0))*F$4+INDEX(JuniorzyPozytyw[],MATCH($A78,Juniorstwo!$A$57:$A$76,0),MATCH($B$5,Juniorstwo!$A$56:$N$56,0))*F$5+INDEX(JuniorzyPozytyw[],MATCH($A78,Juniorstwo!$A$57:$A$76,0),MATCH($B$6,Juniorstwo!$A$56:$N$56,0))*F$6+INDEX(JuniorzyPozytyw[],MATCH($A78,Juniorstwo!$A$57:$A$76,0),MATCH($B$7,Juniorstwo!$A$56:$N$56,0))*F$7+INDEX(JuniorzyPozytyw[],MATCH($A78,Juniorstwo!$A$57:$A$76,0),MATCH($B$8,Juniorstwo!$A$56:$N$56,0))*F$8+INDEX(JuniorzyPozytyw[],MATCH($A78,Juniorstwo!$A$57:$A$76,0),MATCH($B$9,Juniorstwo!$A$56:$N$56,0))*F$9+INDEX(JuniorzyPozytyw[],MATCH($A78,Juniorstwo!$A$57:$A$76,0),MATCH($B$10,Juniorstwo!$A$56:$N$56,0))*F$10+INDEX(JuniorzyPozytyw[],MATCH($A78,Juniorstwo!$A$57:$A$76,0),MATCH($B$11,Juniorstwo!$A$56:$N$56,0))*F$11+INDEX(JuniorzyPozytyw[],MATCH($A78,Juniorstwo!$A$57:$A$76,0),MATCH($B$12,Juniorstwo!$A$56:$N$56,0))*F$12+INDEX(JuniorzyPozytyw[],MATCH($A78,Juniorstwo!$A$57:$A$76,0),MATCH($B$13,Juniorstwo!$A$56:$N$56,0))*F$13,"-")</f>
        <v>79.59</v>
      </c>
      <c r="G78" s="38">
        <f ca="1">IFERROR(INDEX(JuniorzyPozytyw[],MATCH($A78,Juniorstwo!$A$57:$A$76,0),MATCH($B$2,Juniorstwo!$A$56:$N$56,0))*G$2+INDEX(JuniorzyPozytyw[],MATCH($A78,Juniorstwo!$A$57:$A$76,0),MATCH($B$3,Juniorstwo!$A$56:$N$56,0))*G$3+INDEX(JuniorzyPozytyw[],MATCH($A78,Juniorstwo!$A$57:$A$76,0),MATCH($B$4,Juniorstwo!$A$56:$N$56,0))*G$4+INDEX(JuniorzyPozytyw[],MATCH($A78,Juniorstwo!$A$57:$A$76,0),MATCH($B$5,Juniorstwo!$A$56:$N$56,0))*G$5+INDEX(JuniorzyPozytyw[],MATCH($A78,Juniorstwo!$A$57:$A$76,0),MATCH($B$6,Juniorstwo!$A$56:$N$56,0))*G$6+INDEX(JuniorzyPozytyw[],MATCH($A78,Juniorstwo!$A$57:$A$76,0),MATCH($B$7,Juniorstwo!$A$56:$N$56,0))*G$7+INDEX(JuniorzyPozytyw[],MATCH($A78,Juniorstwo!$A$57:$A$76,0),MATCH($B$8,Juniorstwo!$A$56:$N$56,0))*G$8+INDEX(JuniorzyPozytyw[],MATCH($A78,Juniorstwo!$A$57:$A$76,0),MATCH($B$9,Juniorstwo!$A$56:$N$56,0))*G$9+INDEX(JuniorzyPozytyw[],MATCH($A78,Juniorstwo!$A$57:$A$76,0),MATCH($B$10,Juniorstwo!$A$56:$N$56,0))*G$10+INDEX(JuniorzyPozytyw[],MATCH($A78,Juniorstwo!$A$57:$A$76,0),MATCH($B$11,Juniorstwo!$A$56:$N$56,0))*G$11+INDEX(JuniorzyPozytyw[],MATCH($A78,Juniorstwo!$A$57:$A$76,0),MATCH($B$12,Juniorstwo!$A$56:$N$56,0))*G$12+INDEX(JuniorzyPozytyw[],MATCH($A78,Juniorstwo!$A$57:$A$76,0),MATCH($B$13,Juniorstwo!$A$56:$N$56,0))*G$13,"-")</f>
        <v>80.09</v>
      </c>
      <c r="H78" s="38">
        <f ca="1">IFERROR(INDEX(JuniorzyPozytyw[],MATCH($A78,Juniorstwo!$A$57:$A$76,0),MATCH($B$2,Juniorstwo!$A$56:$N$56,0))*H$2+INDEX(JuniorzyPozytyw[],MATCH($A78,Juniorstwo!$A$57:$A$76,0),MATCH($B$3,Juniorstwo!$A$56:$N$56,0))*H$3+INDEX(JuniorzyPozytyw[],MATCH($A78,Juniorstwo!$A$57:$A$76,0),MATCH($B$4,Juniorstwo!$A$56:$N$56,0))*H$4+INDEX(JuniorzyPozytyw[],MATCH($A78,Juniorstwo!$A$57:$A$76,0),MATCH($B$5,Juniorstwo!$A$56:$N$56,0))*H$5+INDEX(JuniorzyPozytyw[],MATCH($A78,Juniorstwo!$A$57:$A$76,0),MATCH($B$6,Juniorstwo!$A$56:$N$56,0))*H$6+INDEX(JuniorzyPozytyw[],MATCH($A78,Juniorstwo!$A$57:$A$76,0),MATCH($B$7,Juniorstwo!$A$56:$N$56,0))*H$7+INDEX(JuniorzyPozytyw[],MATCH($A78,Juniorstwo!$A$57:$A$76,0),MATCH($B$8,Juniorstwo!$A$56:$N$56,0))*H$8+INDEX(JuniorzyPozytyw[],MATCH($A78,Juniorstwo!$A$57:$A$76,0),MATCH($B$9,Juniorstwo!$A$56:$N$56,0))*H$9+INDEX(JuniorzyPozytyw[],MATCH($A78,Juniorstwo!$A$57:$A$76,0),MATCH($B$10,Juniorstwo!$A$56:$N$56,0))*H$10+INDEX(JuniorzyPozytyw[],MATCH($A78,Juniorstwo!$A$57:$A$76,0),MATCH($B$11,Juniorstwo!$A$56:$N$56,0))*H$11+INDEX(JuniorzyPozytyw[],MATCH($A78,Juniorstwo!$A$57:$A$76,0),MATCH($B$12,Juniorstwo!$A$56:$N$56,0))*H$12+INDEX(JuniorzyPozytyw[],MATCH($A78,Juniorstwo!$A$57:$A$76,0),MATCH($B$13,Juniorstwo!$A$56:$N$56,0))*H$13,"-")</f>
        <v>80.59</v>
      </c>
      <c r="I78" s="38">
        <f ca="1">IFERROR(INDEX(JuniorzyPozytyw[],MATCH($A78,Juniorstwo!$A$57:$A$76,0),MATCH($B$2,Juniorstwo!$A$56:$N$56,0))*I$2+INDEX(JuniorzyPozytyw[],MATCH($A78,Juniorstwo!$A$57:$A$76,0),MATCH($B$3,Juniorstwo!$A$56:$N$56,0))*I$3+INDEX(JuniorzyPozytyw[],MATCH($A78,Juniorstwo!$A$57:$A$76,0),MATCH($B$4,Juniorstwo!$A$56:$N$56,0))*I$4+INDEX(JuniorzyPozytyw[],MATCH($A78,Juniorstwo!$A$57:$A$76,0),MATCH($B$5,Juniorstwo!$A$56:$N$56,0))*I$5+INDEX(JuniorzyPozytyw[],MATCH($A78,Juniorstwo!$A$57:$A$76,0),MATCH($B$6,Juniorstwo!$A$56:$N$56,0))*I$6+INDEX(JuniorzyPozytyw[],MATCH($A78,Juniorstwo!$A$57:$A$76,0),MATCH($B$7,Juniorstwo!$A$56:$N$56,0))*I$7+INDEX(JuniorzyPozytyw[],MATCH($A78,Juniorstwo!$A$57:$A$76,0),MATCH($B$8,Juniorstwo!$A$56:$N$56,0))*I$8+INDEX(JuniorzyPozytyw[],MATCH($A78,Juniorstwo!$A$57:$A$76,0),MATCH($B$9,Juniorstwo!$A$56:$N$56,0))*I$9+INDEX(JuniorzyPozytyw[],MATCH($A78,Juniorstwo!$A$57:$A$76,0),MATCH($B$10,Juniorstwo!$A$56:$N$56,0))*I$10+INDEX(JuniorzyPozytyw[],MATCH($A78,Juniorstwo!$A$57:$A$76,0),MATCH($B$11,Juniorstwo!$A$56:$N$56,0))*I$11+INDEX(JuniorzyPozytyw[],MATCH($A78,Juniorstwo!$A$57:$A$76,0),MATCH($B$12,Juniorstwo!$A$56:$N$56,0))*I$12+INDEX(JuniorzyPozytyw[],MATCH($A78,Juniorstwo!$A$57:$A$76,0),MATCH($B$13,Juniorstwo!$A$56:$N$56,0))*I$13,"-")</f>
        <v>81.84</v>
      </c>
      <c r="J78" s="38">
        <f ca="1">IFERROR(INDEX(JuniorzyPozytyw[],MATCH($A78,Juniorstwo!$A$57:$A$76,0),MATCH($B$2,Juniorstwo!$A$56:$N$56,0))*J$2+INDEX(JuniorzyPozytyw[],MATCH($A78,Juniorstwo!$A$57:$A$76,0),MATCH($B$3,Juniorstwo!$A$56:$N$56,0))*J$3+INDEX(JuniorzyPozytyw[],MATCH($A78,Juniorstwo!$A$57:$A$76,0),MATCH($B$4,Juniorstwo!$A$56:$N$56,0))*J$4+INDEX(JuniorzyPozytyw[],MATCH($A78,Juniorstwo!$A$57:$A$76,0),MATCH($B$5,Juniorstwo!$A$56:$N$56,0))*J$5+INDEX(JuniorzyPozytyw[],MATCH($A78,Juniorstwo!$A$57:$A$76,0),MATCH($B$6,Juniorstwo!$A$56:$N$56,0))*J$6+INDEX(JuniorzyPozytyw[],MATCH($A78,Juniorstwo!$A$57:$A$76,0),MATCH($B$7,Juniorstwo!$A$56:$N$56,0))*J$7+INDEX(JuniorzyPozytyw[],MATCH($A78,Juniorstwo!$A$57:$A$76,0),MATCH($B$8,Juniorstwo!$A$56:$N$56,0))*J$8+INDEX(JuniorzyPozytyw[],MATCH($A78,Juniorstwo!$A$57:$A$76,0),MATCH($B$9,Juniorstwo!$A$56:$N$56,0))*J$9+INDEX(JuniorzyPozytyw[],MATCH($A78,Juniorstwo!$A$57:$A$76,0),MATCH($B$10,Juniorstwo!$A$56:$N$56,0))*J$10+INDEX(JuniorzyPozytyw[],MATCH($A78,Juniorstwo!$A$57:$A$76,0),MATCH($B$11,Juniorstwo!$A$56:$N$56,0))*J$11+INDEX(JuniorzyPozytyw[],MATCH($A78,Juniorstwo!$A$57:$A$76,0),MATCH($B$12,Juniorstwo!$A$56:$N$56,0))*J$12+INDEX(JuniorzyPozytyw[],MATCH($A78,Juniorstwo!$A$57:$A$76,0),MATCH($B$13,Juniorstwo!$A$56:$N$56,0))*J$13,"-")</f>
        <v>81.84</v>
      </c>
      <c r="K78" s="38">
        <f ca="1">IFERROR(INDEX(JuniorzyPozytyw[],MATCH($A78,Juniorstwo!$A$57:$A$76,0),MATCH($B$2,Juniorstwo!$A$56:$N$56,0))*K$2+INDEX(JuniorzyPozytyw[],MATCH($A78,Juniorstwo!$A$57:$A$76,0),MATCH($B$3,Juniorstwo!$A$56:$N$56,0))*K$3+INDEX(JuniorzyPozytyw[],MATCH($A78,Juniorstwo!$A$57:$A$76,0),MATCH($B$4,Juniorstwo!$A$56:$N$56,0))*K$4+INDEX(JuniorzyPozytyw[],MATCH($A78,Juniorstwo!$A$57:$A$76,0),MATCH($B$5,Juniorstwo!$A$56:$N$56,0))*K$5+INDEX(JuniorzyPozytyw[],MATCH($A78,Juniorstwo!$A$57:$A$76,0),MATCH($B$6,Juniorstwo!$A$56:$N$56,0))*K$6+INDEX(JuniorzyPozytyw[],MATCH($A78,Juniorstwo!$A$57:$A$76,0),MATCH($B$7,Juniorstwo!$A$56:$N$56,0))*K$7+INDEX(JuniorzyPozytyw[],MATCH($A78,Juniorstwo!$A$57:$A$76,0),MATCH($B$8,Juniorstwo!$A$56:$N$56,0))*K$8+INDEX(JuniorzyPozytyw[],MATCH($A78,Juniorstwo!$A$57:$A$76,0),MATCH($B$9,Juniorstwo!$A$56:$N$56,0))*K$9+INDEX(JuniorzyPozytyw[],MATCH($A78,Juniorstwo!$A$57:$A$76,0),MATCH($B$10,Juniorstwo!$A$56:$N$56,0))*K$10+INDEX(JuniorzyPozytyw[],MATCH($A78,Juniorstwo!$A$57:$A$76,0),MATCH($B$11,Juniorstwo!$A$56:$N$56,0))*K$11+INDEX(JuniorzyPozytyw[],MATCH($A78,Juniorstwo!$A$57:$A$76,0),MATCH($B$12,Juniorstwo!$A$56:$N$56,0))*K$12+INDEX(JuniorzyPozytyw[],MATCH($A78,Juniorstwo!$A$57:$A$76,0),MATCH($B$13,Juniorstwo!$A$56:$N$56,0))*K$13,"-")</f>
        <v>83.84</v>
      </c>
    </row>
    <row r="79" spans="1:11" x14ac:dyDescent="0.25">
      <c r="A79">
        <f>IFERROR(PozycjeŚr!A55,"-")</f>
        <v>53</v>
      </c>
      <c r="B79" s="3" t="str">
        <f>IFERROR(VLOOKUP(PozJunPMG[[#This Row],[Numer]],Zawodnicy[[Number]:[Player name]],2,FALSE),"-")</f>
        <v>Cyryl Huratiak</v>
      </c>
      <c r="C79" s="38">
        <f ca="1">IFERROR(INDEX(JuniorzyPozytyw[],MATCH($A79,Juniorstwo!$A$57:$A$76,0),MATCH($B$2,Juniorstwo!$A$56:$N$56,0))*C$2+INDEX(JuniorzyPozytyw[],MATCH($A79,Juniorstwo!$A$57:$A$76,0),MATCH($B$3,Juniorstwo!$A$56:$N$56,0))*C$3+INDEX(JuniorzyPozytyw[],MATCH($A79,Juniorstwo!$A$57:$A$76,0),MATCH($B$4,Juniorstwo!$A$56:$N$56,0))*C$4+INDEX(JuniorzyPozytyw[],MATCH($A79,Juniorstwo!$A$57:$A$76,0),MATCH($B$5,Juniorstwo!$A$56:$N$56,0))*C$5+INDEX(JuniorzyPozytyw[],MATCH($A79,Juniorstwo!$A$57:$A$76,0),MATCH($B$6,Juniorstwo!$A$56:$N$56,0))*C$6+INDEX(JuniorzyPozytyw[],MATCH($A79,Juniorstwo!$A$57:$A$76,0),MATCH($B$7,Juniorstwo!$A$56:$N$56,0))*C$7+INDEX(JuniorzyPozytyw[],MATCH($A79,Juniorstwo!$A$57:$A$76,0),MATCH($B$8,Juniorstwo!$A$56:$N$56,0))*C$8+INDEX(JuniorzyPozytyw[],MATCH($A79,Juniorstwo!$A$57:$A$76,0),MATCH($B$9,Juniorstwo!$A$56:$N$56,0))*C$9+INDEX(JuniorzyPozytyw[],MATCH($A79,Juniorstwo!$A$57:$A$76,0),MATCH($B$10,Juniorstwo!$A$56:$N$56,0))*C$10+INDEX(JuniorzyPozytyw[],MATCH($A79,Juniorstwo!$A$57:$A$76,0),MATCH($B$11,Juniorstwo!$A$56:$N$56,0))*C$11+INDEX(JuniorzyPozytyw[],MATCH($A79,Juniorstwo!$A$57:$A$76,0),MATCH($B$12,Juniorstwo!$A$56:$N$56,0))*C$12+INDEX(JuniorzyPozytyw[],MATCH($A79,Juniorstwo!$A$57:$A$76,0),MATCH($B$13,Juniorstwo!$A$56:$N$56,0))*C$13,"-")</f>
        <v>76.08</v>
      </c>
      <c r="D79" s="38">
        <f ca="1">IFERROR(INDEX(JuniorzyPozytyw[],MATCH($A79,Juniorstwo!$A$57:$A$76,0),MATCH($B$2,Juniorstwo!$A$56:$N$56,0))*D$2+INDEX(JuniorzyPozytyw[],MATCH($A79,Juniorstwo!$A$57:$A$76,0),MATCH($B$3,Juniorstwo!$A$56:$N$56,0))*D$3+INDEX(JuniorzyPozytyw[],MATCH($A79,Juniorstwo!$A$57:$A$76,0),MATCH($B$4,Juniorstwo!$A$56:$N$56,0))*D$4+INDEX(JuniorzyPozytyw[],MATCH($A79,Juniorstwo!$A$57:$A$76,0),MATCH($B$5,Juniorstwo!$A$56:$N$56,0))*D$5+INDEX(JuniorzyPozytyw[],MATCH($A79,Juniorstwo!$A$57:$A$76,0),MATCH($B$6,Juniorstwo!$A$56:$N$56,0))*D$6+INDEX(JuniorzyPozytyw[],MATCH($A79,Juniorstwo!$A$57:$A$76,0),MATCH($B$7,Juniorstwo!$A$56:$N$56,0))*D$7+INDEX(JuniorzyPozytyw[],MATCH($A79,Juniorstwo!$A$57:$A$76,0),MATCH($B$8,Juniorstwo!$A$56:$N$56,0))*D$8+INDEX(JuniorzyPozytyw[],MATCH($A79,Juniorstwo!$A$57:$A$76,0),MATCH($B$9,Juniorstwo!$A$56:$N$56,0))*D$9+INDEX(JuniorzyPozytyw[],MATCH($A79,Juniorstwo!$A$57:$A$76,0),MATCH($B$10,Juniorstwo!$A$56:$N$56,0))*D$10+INDEX(JuniorzyPozytyw[],MATCH($A79,Juniorstwo!$A$57:$A$76,0),MATCH($B$11,Juniorstwo!$A$56:$N$56,0))*D$11+INDEX(JuniorzyPozytyw[],MATCH($A79,Juniorstwo!$A$57:$A$76,0),MATCH($B$12,Juniorstwo!$A$56:$N$56,0))*D$12+INDEX(JuniorzyPozytyw[],MATCH($A79,Juniorstwo!$A$57:$A$76,0),MATCH($B$13,Juniorstwo!$A$56:$N$56,0))*D$13,"-")</f>
        <v>83.58</v>
      </c>
      <c r="E79" s="38">
        <f ca="1">IFERROR(INDEX(JuniorzyPozytyw[],MATCH($A79,Juniorstwo!$A$57:$A$76,0),MATCH($B$2,Juniorstwo!$A$56:$N$56,0))*E$2+INDEX(JuniorzyPozytyw[],MATCH($A79,Juniorstwo!$A$57:$A$76,0),MATCH($B$3,Juniorstwo!$A$56:$N$56,0))*E$3+INDEX(JuniorzyPozytyw[],MATCH($A79,Juniorstwo!$A$57:$A$76,0),MATCH($B$4,Juniorstwo!$A$56:$N$56,0))*E$4+INDEX(JuniorzyPozytyw[],MATCH($A79,Juniorstwo!$A$57:$A$76,0),MATCH($B$5,Juniorstwo!$A$56:$N$56,0))*E$5+INDEX(JuniorzyPozytyw[],MATCH($A79,Juniorstwo!$A$57:$A$76,0),MATCH($B$6,Juniorstwo!$A$56:$N$56,0))*E$6+INDEX(JuniorzyPozytyw[],MATCH($A79,Juniorstwo!$A$57:$A$76,0),MATCH($B$7,Juniorstwo!$A$56:$N$56,0))*E$7+INDEX(JuniorzyPozytyw[],MATCH($A79,Juniorstwo!$A$57:$A$76,0),MATCH($B$8,Juniorstwo!$A$56:$N$56,0))*E$8+INDEX(JuniorzyPozytyw[],MATCH($A79,Juniorstwo!$A$57:$A$76,0),MATCH($B$9,Juniorstwo!$A$56:$N$56,0))*E$9+INDEX(JuniorzyPozytyw[],MATCH($A79,Juniorstwo!$A$57:$A$76,0),MATCH($B$10,Juniorstwo!$A$56:$N$56,0))*E$10+INDEX(JuniorzyPozytyw[],MATCH($A79,Juniorstwo!$A$57:$A$76,0),MATCH($B$11,Juniorstwo!$A$56:$N$56,0))*E$11+INDEX(JuniorzyPozytyw[],MATCH($A79,Juniorstwo!$A$57:$A$76,0),MATCH($B$12,Juniorstwo!$A$56:$N$56,0))*E$12+INDEX(JuniorzyPozytyw[],MATCH($A79,Juniorstwo!$A$57:$A$76,0),MATCH($B$13,Juniorstwo!$A$56:$N$56,0))*E$13,"-")</f>
        <v>82.83</v>
      </c>
      <c r="F79" s="38">
        <f ca="1">IFERROR(INDEX(JuniorzyPozytyw[],MATCH($A79,Juniorstwo!$A$57:$A$76,0),MATCH($B$2,Juniorstwo!$A$56:$N$56,0))*F$2+INDEX(JuniorzyPozytyw[],MATCH($A79,Juniorstwo!$A$57:$A$76,0),MATCH($B$3,Juniorstwo!$A$56:$N$56,0))*F$3+INDEX(JuniorzyPozytyw[],MATCH($A79,Juniorstwo!$A$57:$A$76,0),MATCH($B$4,Juniorstwo!$A$56:$N$56,0))*F$4+INDEX(JuniorzyPozytyw[],MATCH($A79,Juniorstwo!$A$57:$A$76,0),MATCH($B$5,Juniorstwo!$A$56:$N$56,0))*F$5+INDEX(JuniorzyPozytyw[],MATCH($A79,Juniorstwo!$A$57:$A$76,0),MATCH($B$6,Juniorstwo!$A$56:$N$56,0))*F$6+INDEX(JuniorzyPozytyw[],MATCH($A79,Juniorstwo!$A$57:$A$76,0),MATCH($B$7,Juniorstwo!$A$56:$N$56,0))*F$7+INDEX(JuniorzyPozytyw[],MATCH($A79,Juniorstwo!$A$57:$A$76,0),MATCH($B$8,Juniorstwo!$A$56:$N$56,0))*F$8+INDEX(JuniorzyPozytyw[],MATCH($A79,Juniorstwo!$A$57:$A$76,0),MATCH($B$9,Juniorstwo!$A$56:$N$56,0))*F$9+INDEX(JuniorzyPozytyw[],MATCH($A79,Juniorstwo!$A$57:$A$76,0),MATCH($B$10,Juniorstwo!$A$56:$N$56,0))*F$10+INDEX(JuniorzyPozytyw[],MATCH($A79,Juniorstwo!$A$57:$A$76,0),MATCH($B$11,Juniorstwo!$A$56:$N$56,0))*F$11+INDEX(JuniorzyPozytyw[],MATCH($A79,Juniorstwo!$A$57:$A$76,0),MATCH($B$12,Juniorstwo!$A$56:$N$56,0))*F$12+INDEX(JuniorzyPozytyw[],MATCH($A79,Juniorstwo!$A$57:$A$76,0),MATCH($B$13,Juniorstwo!$A$56:$N$56,0))*F$13,"-")</f>
        <v>82.58</v>
      </c>
      <c r="G79" s="38">
        <f ca="1">IFERROR(INDEX(JuniorzyPozytyw[],MATCH($A79,Juniorstwo!$A$57:$A$76,0),MATCH($B$2,Juniorstwo!$A$56:$N$56,0))*G$2+INDEX(JuniorzyPozytyw[],MATCH($A79,Juniorstwo!$A$57:$A$76,0),MATCH($B$3,Juniorstwo!$A$56:$N$56,0))*G$3+INDEX(JuniorzyPozytyw[],MATCH($A79,Juniorstwo!$A$57:$A$76,0),MATCH($B$4,Juniorstwo!$A$56:$N$56,0))*G$4+INDEX(JuniorzyPozytyw[],MATCH($A79,Juniorstwo!$A$57:$A$76,0),MATCH($B$5,Juniorstwo!$A$56:$N$56,0))*G$5+INDEX(JuniorzyPozytyw[],MATCH($A79,Juniorstwo!$A$57:$A$76,0),MATCH($B$6,Juniorstwo!$A$56:$N$56,0))*G$6+INDEX(JuniorzyPozytyw[],MATCH($A79,Juniorstwo!$A$57:$A$76,0),MATCH($B$7,Juniorstwo!$A$56:$N$56,0))*G$7+INDEX(JuniorzyPozytyw[],MATCH($A79,Juniorstwo!$A$57:$A$76,0),MATCH($B$8,Juniorstwo!$A$56:$N$56,0))*G$8+INDEX(JuniorzyPozytyw[],MATCH($A79,Juniorstwo!$A$57:$A$76,0),MATCH($B$9,Juniorstwo!$A$56:$N$56,0))*G$9+INDEX(JuniorzyPozytyw[],MATCH($A79,Juniorstwo!$A$57:$A$76,0),MATCH($B$10,Juniorstwo!$A$56:$N$56,0))*G$10+INDEX(JuniorzyPozytyw[],MATCH($A79,Juniorstwo!$A$57:$A$76,0),MATCH($B$11,Juniorstwo!$A$56:$N$56,0))*G$11+INDEX(JuniorzyPozytyw[],MATCH($A79,Juniorstwo!$A$57:$A$76,0),MATCH($B$12,Juniorstwo!$A$56:$N$56,0))*G$12+INDEX(JuniorzyPozytyw[],MATCH($A79,Juniorstwo!$A$57:$A$76,0),MATCH($B$13,Juniorstwo!$A$56:$N$56,0))*G$13,"-")</f>
        <v>82.08</v>
      </c>
      <c r="H79" s="38">
        <f ca="1">IFERROR(INDEX(JuniorzyPozytyw[],MATCH($A79,Juniorstwo!$A$57:$A$76,0),MATCH($B$2,Juniorstwo!$A$56:$N$56,0))*H$2+INDEX(JuniorzyPozytyw[],MATCH($A79,Juniorstwo!$A$57:$A$76,0),MATCH($B$3,Juniorstwo!$A$56:$N$56,0))*H$3+INDEX(JuniorzyPozytyw[],MATCH($A79,Juniorstwo!$A$57:$A$76,0),MATCH($B$4,Juniorstwo!$A$56:$N$56,0))*H$4+INDEX(JuniorzyPozytyw[],MATCH($A79,Juniorstwo!$A$57:$A$76,0),MATCH($B$5,Juniorstwo!$A$56:$N$56,0))*H$5+INDEX(JuniorzyPozytyw[],MATCH($A79,Juniorstwo!$A$57:$A$76,0),MATCH($B$6,Juniorstwo!$A$56:$N$56,0))*H$6+INDEX(JuniorzyPozytyw[],MATCH($A79,Juniorstwo!$A$57:$A$76,0),MATCH($B$7,Juniorstwo!$A$56:$N$56,0))*H$7+INDEX(JuniorzyPozytyw[],MATCH($A79,Juniorstwo!$A$57:$A$76,0),MATCH($B$8,Juniorstwo!$A$56:$N$56,0))*H$8+INDEX(JuniorzyPozytyw[],MATCH($A79,Juniorstwo!$A$57:$A$76,0),MATCH($B$9,Juniorstwo!$A$56:$N$56,0))*H$9+INDEX(JuniorzyPozytyw[],MATCH($A79,Juniorstwo!$A$57:$A$76,0),MATCH($B$10,Juniorstwo!$A$56:$N$56,0))*H$10+INDEX(JuniorzyPozytyw[],MATCH($A79,Juniorstwo!$A$57:$A$76,0),MATCH($B$11,Juniorstwo!$A$56:$N$56,0))*H$11+INDEX(JuniorzyPozytyw[],MATCH($A79,Juniorstwo!$A$57:$A$76,0),MATCH($B$12,Juniorstwo!$A$56:$N$56,0))*H$12+INDEX(JuniorzyPozytyw[],MATCH($A79,Juniorstwo!$A$57:$A$76,0),MATCH($B$13,Juniorstwo!$A$56:$N$56,0))*H$13,"-")</f>
        <v>81.33</v>
      </c>
      <c r="I79" s="38">
        <f ca="1">IFERROR(INDEX(JuniorzyPozytyw[],MATCH($A79,Juniorstwo!$A$57:$A$76,0),MATCH($B$2,Juniorstwo!$A$56:$N$56,0))*I$2+INDEX(JuniorzyPozytyw[],MATCH($A79,Juniorstwo!$A$57:$A$76,0),MATCH($B$3,Juniorstwo!$A$56:$N$56,0))*I$3+INDEX(JuniorzyPozytyw[],MATCH($A79,Juniorstwo!$A$57:$A$76,0),MATCH($B$4,Juniorstwo!$A$56:$N$56,0))*I$4+INDEX(JuniorzyPozytyw[],MATCH($A79,Juniorstwo!$A$57:$A$76,0),MATCH($B$5,Juniorstwo!$A$56:$N$56,0))*I$5+INDEX(JuniorzyPozytyw[],MATCH($A79,Juniorstwo!$A$57:$A$76,0),MATCH($B$6,Juniorstwo!$A$56:$N$56,0))*I$6+INDEX(JuniorzyPozytyw[],MATCH($A79,Juniorstwo!$A$57:$A$76,0),MATCH($B$7,Juniorstwo!$A$56:$N$56,0))*I$7+INDEX(JuniorzyPozytyw[],MATCH($A79,Juniorstwo!$A$57:$A$76,0),MATCH($B$8,Juniorstwo!$A$56:$N$56,0))*I$8+INDEX(JuniorzyPozytyw[],MATCH($A79,Juniorstwo!$A$57:$A$76,0),MATCH($B$9,Juniorstwo!$A$56:$N$56,0))*I$9+INDEX(JuniorzyPozytyw[],MATCH($A79,Juniorstwo!$A$57:$A$76,0),MATCH($B$10,Juniorstwo!$A$56:$N$56,0))*I$10+INDEX(JuniorzyPozytyw[],MATCH($A79,Juniorstwo!$A$57:$A$76,0),MATCH($B$11,Juniorstwo!$A$56:$N$56,0))*I$11+INDEX(JuniorzyPozytyw[],MATCH($A79,Juniorstwo!$A$57:$A$76,0),MATCH($B$12,Juniorstwo!$A$56:$N$56,0))*I$12+INDEX(JuniorzyPozytyw[],MATCH($A79,Juniorstwo!$A$57:$A$76,0),MATCH($B$13,Juniorstwo!$A$56:$N$56,0))*I$13,"-")</f>
        <v>80.08</v>
      </c>
      <c r="J79" s="38">
        <f ca="1">IFERROR(INDEX(JuniorzyPozytyw[],MATCH($A79,Juniorstwo!$A$57:$A$76,0),MATCH($B$2,Juniorstwo!$A$56:$N$56,0))*J$2+INDEX(JuniorzyPozytyw[],MATCH($A79,Juniorstwo!$A$57:$A$76,0),MATCH($B$3,Juniorstwo!$A$56:$N$56,0))*J$3+INDEX(JuniorzyPozytyw[],MATCH($A79,Juniorstwo!$A$57:$A$76,0),MATCH($B$4,Juniorstwo!$A$56:$N$56,0))*J$4+INDEX(JuniorzyPozytyw[],MATCH($A79,Juniorstwo!$A$57:$A$76,0),MATCH($B$5,Juniorstwo!$A$56:$N$56,0))*J$5+INDEX(JuniorzyPozytyw[],MATCH($A79,Juniorstwo!$A$57:$A$76,0),MATCH($B$6,Juniorstwo!$A$56:$N$56,0))*J$6+INDEX(JuniorzyPozytyw[],MATCH($A79,Juniorstwo!$A$57:$A$76,0),MATCH($B$7,Juniorstwo!$A$56:$N$56,0))*J$7+INDEX(JuniorzyPozytyw[],MATCH($A79,Juniorstwo!$A$57:$A$76,0),MATCH($B$8,Juniorstwo!$A$56:$N$56,0))*J$8+INDEX(JuniorzyPozytyw[],MATCH($A79,Juniorstwo!$A$57:$A$76,0),MATCH($B$9,Juniorstwo!$A$56:$N$56,0))*J$9+INDEX(JuniorzyPozytyw[],MATCH($A79,Juniorstwo!$A$57:$A$76,0),MATCH($B$10,Juniorstwo!$A$56:$N$56,0))*J$10+INDEX(JuniorzyPozytyw[],MATCH($A79,Juniorstwo!$A$57:$A$76,0),MATCH($B$11,Juniorstwo!$A$56:$N$56,0))*J$11+INDEX(JuniorzyPozytyw[],MATCH($A79,Juniorstwo!$A$57:$A$76,0),MATCH($B$12,Juniorstwo!$A$56:$N$56,0))*J$12+INDEX(JuniorzyPozytyw[],MATCH($A79,Juniorstwo!$A$57:$A$76,0),MATCH($B$13,Juniorstwo!$A$56:$N$56,0))*J$13,"-")</f>
        <v>79.83</v>
      </c>
      <c r="K79" s="38">
        <f ca="1">IFERROR(INDEX(JuniorzyPozytyw[],MATCH($A79,Juniorstwo!$A$57:$A$76,0),MATCH($B$2,Juniorstwo!$A$56:$N$56,0))*K$2+INDEX(JuniorzyPozytyw[],MATCH($A79,Juniorstwo!$A$57:$A$76,0),MATCH($B$3,Juniorstwo!$A$56:$N$56,0))*K$3+INDEX(JuniorzyPozytyw[],MATCH($A79,Juniorstwo!$A$57:$A$76,0),MATCH($B$4,Juniorstwo!$A$56:$N$56,0))*K$4+INDEX(JuniorzyPozytyw[],MATCH($A79,Juniorstwo!$A$57:$A$76,0),MATCH($B$5,Juniorstwo!$A$56:$N$56,0))*K$5+INDEX(JuniorzyPozytyw[],MATCH($A79,Juniorstwo!$A$57:$A$76,0),MATCH($B$6,Juniorstwo!$A$56:$N$56,0))*K$6+INDEX(JuniorzyPozytyw[],MATCH($A79,Juniorstwo!$A$57:$A$76,0),MATCH($B$7,Juniorstwo!$A$56:$N$56,0))*K$7+INDEX(JuniorzyPozytyw[],MATCH($A79,Juniorstwo!$A$57:$A$76,0),MATCH($B$8,Juniorstwo!$A$56:$N$56,0))*K$8+INDEX(JuniorzyPozytyw[],MATCH($A79,Juniorstwo!$A$57:$A$76,0),MATCH($B$9,Juniorstwo!$A$56:$N$56,0))*K$9+INDEX(JuniorzyPozytyw[],MATCH($A79,Juniorstwo!$A$57:$A$76,0),MATCH($B$10,Juniorstwo!$A$56:$N$56,0))*K$10+INDEX(JuniorzyPozytyw[],MATCH($A79,Juniorstwo!$A$57:$A$76,0),MATCH($B$11,Juniorstwo!$A$56:$N$56,0))*K$11+INDEX(JuniorzyPozytyw[],MATCH($A79,Juniorstwo!$A$57:$A$76,0),MATCH($B$12,Juniorstwo!$A$56:$N$56,0))*K$12+INDEX(JuniorzyPozytyw[],MATCH($A79,Juniorstwo!$A$57:$A$76,0),MATCH($B$13,Juniorstwo!$A$56:$N$56,0))*K$13,"-")</f>
        <v>77.33</v>
      </c>
    </row>
    <row r="80" spans="1:11" x14ac:dyDescent="0.25">
      <c r="A80">
        <f>IFERROR(PozycjeŚr!A56,"-")</f>
        <v>22</v>
      </c>
      <c r="B80" s="3" t="str">
        <f>IFERROR(VLOOKUP(PozJunPMG[[#This Row],[Numer]],Zawodnicy[[Number]:[Player name]],2,FALSE),"-")</f>
        <v>Daniel Dziewulski</v>
      </c>
      <c r="C80" s="38">
        <f ca="1">IFERROR(INDEX(JuniorzyPozytyw[],MATCH($A80,Juniorstwo!$A$57:$A$76,0),MATCH($B$2,Juniorstwo!$A$56:$N$56,0))*C$2+INDEX(JuniorzyPozytyw[],MATCH($A80,Juniorstwo!$A$57:$A$76,0),MATCH($B$3,Juniorstwo!$A$56:$N$56,0))*C$3+INDEX(JuniorzyPozytyw[],MATCH($A80,Juniorstwo!$A$57:$A$76,0),MATCH($B$4,Juniorstwo!$A$56:$N$56,0))*C$4+INDEX(JuniorzyPozytyw[],MATCH($A80,Juniorstwo!$A$57:$A$76,0),MATCH($B$5,Juniorstwo!$A$56:$N$56,0))*C$5+INDEX(JuniorzyPozytyw[],MATCH($A80,Juniorstwo!$A$57:$A$76,0),MATCH($B$6,Juniorstwo!$A$56:$N$56,0))*C$6+INDEX(JuniorzyPozytyw[],MATCH($A80,Juniorstwo!$A$57:$A$76,0),MATCH($B$7,Juniorstwo!$A$56:$N$56,0))*C$7+INDEX(JuniorzyPozytyw[],MATCH($A80,Juniorstwo!$A$57:$A$76,0),MATCH($B$8,Juniorstwo!$A$56:$N$56,0))*C$8+INDEX(JuniorzyPozytyw[],MATCH($A80,Juniorstwo!$A$57:$A$76,0),MATCH($B$9,Juniorstwo!$A$56:$N$56,0))*C$9+INDEX(JuniorzyPozytyw[],MATCH($A80,Juniorstwo!$A$57:$A$76,0),MATCH($B$10,Juniorstwo!$A$56:$N$56,0))*C$10+INDEX(JuniorzyPozytyw[],MATCH($A80,Juniorstwo!$A$57:$A$76,0),MATCH($B$11,Juniorstwo!$A$56:$N$56,0))*C$11+INDEX(JuniorzyPozytyw[],MATCH($A80,Juniorstwo!$A$57:$A$76,0),MATCH($B$12,Juniorstwo!$A$56:$N$56,0))*C$12+INDEX(JuniorzyPozytyw[],MATCH($A80,Juniorstwo!$A$57:$A$76,0),MATCH($B$13,Juniorstwo!$A$56:$N$56,0))*C$13,"-")</f>
        <v>61.59</v>
      </c>
      <c r="D80" s="38">
        <f ca="1">IFERROR(INDEX(JuniorzyPozytyw[],MATCH($A80,Juniorstwo!$A$57:$A$76,0),MATCH($B$2,Juniorstwo!$A$56:$N$56,0))*D$2+INDEX(JuniorzyPozytyw[],MATCH($A80,Juniorstwo!$A$57:$A$76,0),MATCH($B$3,Juniorstwo!$A$56:$N$56,0))*D$3+INDEX(JuniorzyPozytyw[],MATCH($A80,Juniorstwo!$A$57:$A$76,0),MATCH($B$4,Juniorstwo!$A$56:$N$56,0))*D$4+INDEX(JuniorzyPozytyw[],MATCH($A80,Juniorstwo!$A$57:$A$76,0),MATCH($B$5,Juniorstwo!$A$56:$N$56,0))*D$5+INDEX(JuniorzyPozytyw[],MATCH($A80,Juniorstwo!$A$57:$A$76,0),MATCH($B$6,Juniorstwo!$A$56:$N$56,0))*D$6+INDEX(JuniorzyPozytyw[],MATCH($A80,Juniorstwo!$A$57:$A$76,0),MATCH($B$7,Juniorstwo!$A$56:$N$56,0))*D$7+INDEX(JuniorzyPozytyw[],MATCH($A80,Juniorstwo!$A$57:$A$76,0),MATCH($B$8,Juniorstwo!$A$56:$N$56,0))*D$8+INDEX(JuniorzyPozytyw[],MATCH($A80,Juniorstwo!$A$57:$A$76,0),MATCH($B$9,Juniorstwo!$A$56:$N$56,0))*D$9+INDEX(JuniorzyPozytyw[],MATCH($A80,Juniorstwo!$A$57:$A$76,0),MATCH($B$10,Juniorstwo!$A$56:$N$56,0))*D$10+INDEX(JuniorzyPozytyw[],MATCH($A80,Juniorstwo!$A$57:$A$76,0),MATCH($B$11,Juniorstwo!$A$56:$N$56,0))*D$11+INDEX(JuniorzyPozytyw[],MATCH($A80,Juniorstwo!$A$57:$A$76,0),MATCH($B$12,Juniorstwo!$A$56:$N$56,0))*D$12+INDEX(JuniorzyPozytyw[],MATCH($A80,Juniorstwo!$A$57:$A$76,0),MATCH($B$13,Juniorstwo!$A$56:$N$56,0))*D$13,"-")</f>
        <v>68.34</v>
      </c>
      <c r="E80" s="38">
        <f ca="1">IFERROR(INDEX(JuniorzyPozytyw[],MATCH($A80,Juniorstwo!$A$57:$A$76,0),MATCH($B$2,Juniorstwo!$A$56:$N$56,0))*E$2+INDEX(JuniorzyPozytyw[],MATCH($A80,Juniorstwo!$A$57:$A$76,0),MATCH($B$3,Juniorstwo!$A$56:$N$56,0))*E$3+INDEX(JuniorzyPozytyw[],MATCH($A80,Juniorstwo!$A$57:$A$76,0),MATCH($B$4,Juniorstwo!$A$56:$N$56,0))*E$4+INDEX(JuniorzyPozytyw[],MATCH($A80,Juniorstwo!$A$57:$A$76,0),MATCH($B$5,Juniorstwo!$A$56:$N$56,0))*E$5+INDEX(JuniorzyPozytyw[],MATCH($A80,Juniorstwo!$A$57:$A$76,0),MATCH($B$6,Juniorstwo!$A$56:$N$56,0))*E$6+INDEX(JuniorzyPozytyw[],MATCH($A80,Juniorstwo!$A$57:$A$76,0),MATCH($B$7,Juniorstwo!$A$56:$N$56,0))*E$7+INDEX(JuniorzyPozytyw[],MATCH($A80,Juniorstwo!$A$57:$A$76,0),MATCH($B$8,Juniorstwo!$A$56:$N$56,0))*E$8+INDEX(JuniorzyPozytyw[],MATCH($A80,Juniorstwo!$A$57:$A$76,0),MATCH($B$9,Juniorstwo!$A$56:$N$56,0))*E$9+INDEX(JuniorzyPozytyw[],MATCH($A80,Juniorstwo!$A$57:$A$76,0),MATCH($B$10,Juniorstwo!$A$56:$N$56,0))*E$10+INDEX(JuniorzyPozytyw[],MATCH($A80,Juniorstwo!$A$57:$A$76,0),MATCH($B$11,Juniorstwo!$A$56:$N$56,0))*E$11+INDEX(JuniorzyPozytyw[],MATCH($A80,Juniorstwo!$A$57:$A$76,0),MATCH($B$12,Juniorstwo!$A$56:$N$56,0))*E$12+INDEX(JuniorzyPozytyw[],MATCH($A80,Juniorstwo!$A$57:$A$76,0),MATCH($B$13,Juniorstwo!$A$56:$N$56,0))*E$13,"-")</f>
        <v>71.34</v>
      </c>
      <c r="F80" s="38">
        <f ca="1">IFERROR(INDEX(JuniorzyPozytyw[],MATCH($A80,Juniorstwo!$A$57:$A$76,0),MATCH($B$2,Juniorstwo!$A$56:$N$56,0))*F$2+INDEX(JuniorzyPozytyw[],MATCH($A80,Juniorstwo!$A$57:$A$76,0),MATCH($B$3,Juniorstwo!$A$56:$N$56,0))*F$3+INDEX(JuniorzyPozytyw[],MATCH($A80,Juniorstwo!$A$57:$A$76,0),MATCH($B$4,Juniorstwo!$A$56:$N$56,0))*F$4+INDEX(JuniorzyPozytyw[],MATCH($A80,Juniorstwo!$A$57:$A$76,0),MATCH($B$5,Juniorstwo!$A$56:$N$56,0))*F$5+INDEX(JuniorzyPozytyw[],MATCH($A80,Juniorstwo!$A$57:$A$76,0),MATCH($B$6,Juniorstwo!$A$56:$N$56,0))*F$6+INDEX(JuniorzyPozytyw[],MATCH($A80,Juniorstwo!$A$57:$A$76,0),MATCH($B$7,Juniorstwo!$A$56:$N$56,0))*F$7+INDEX(JuniorzyPozytyw[],MATCH($A80,Juniorstwo!$A$57:$A$76,0),MATCH($B$8,Juniorstwo!$A$56:$N$56,0))*F$8+INDEX(JuniorzyPozytyw[],MATCH($A80,Juniorstwo!$A$57:$A$76,0),MATCH($B$9,Juniorstwo!$A$56:$N$56,0))*F$9+INDEX(JuniorzyPozytyw[],MATCH($A80,Juniorstwo!$A$57:$A$76,0),MATCH($B$10,Juniorstwo!$A$56:$N$56,0))*F$10+INDEX(JuniorzyPozytyw[],MATCH($A80,Juniorstwo!$A$57:$A$76,0),MATCH($B$11,Juniorstwo!$A$56:$N$56,0))*F$11+INDEX(JuniorzyPozytyw[],MATCH($A80,Juniorstwo!$A$57:$A$76,0),MATCH($B$12,Juniorstwo!$A$56:$N$56,0))*F$12+INDEX(JuniorzyPozytyw[],MATCH($A80,Juniorstwo!$A$57:$A$76,0),MATCH($B$13,Juniorstwo!$A$56:$N$56,0))*F$13,"-")</f>
        <v>70.84</v>
      </c>
      <c r="G80" s="38">
        <f ca="1">IFERROR(INDEX(JuniorzyPozytyw[],MATCH($A80,Juniorstwo!$A$57:$A$76,0),MATCH($B$2,Juniorstwo!$A$56:$N$56,0))*G$2+INDEX(JuniorzyPozytyw[],MATCH($A80,Juniorstwo!$A$57:$A$76,0),MATCH($B$3,Juniorstwo!$A$56:$N$56,0))*G$3+INDEX(JuniorzyPozytyw[],MATCH($A80,Juniorstwo!$A$57:$A$76,0),MATCH($B$4,Juniorstwo!$A$56:$N$56,0))*G$4+INDEX(JuniorzyPozytyw[],MATCH($A80,Juniorstwo!$A$57:$A$76,0),MATCH($B$5,Juniorstwo!$A$56:$N$56,0))*G$5+INDEX(JuniorzyPozytyw[],MATCH($A80,Juniorstwo!$A$57:$A$76,0),MATCH($B$6,Juniorstwo!$A$56:$N$56,0))*G$6+INDEX(JuniorzyPozytyw[],MATCH($A80,Juniorstwo!$A$57:$A$76,0),MATCH($B$7,Juniorstwo!$A$56:$N$56,0))*G$7+INDEX(JuniorzyPozytyw[],MATCH($A80,Juniorstwo!$A$57:$A$76,0),MATCH($B$8,Juniorstwo!$A$56:$N$56,0))*G$8+INDEX(JuniorzyPozytyw[],MATCH($A80,Juniorstwo!$A$57:$A$76,0),MATCH($B$9,Juniorstwo!$A$56:$N$56,0))*G$9+INDEX(JuniorzyPozytyw[],MATCH($A80,Juniorstwo!$A$57:$A$76,0),MATCH($B$10,Juniorstwo!$A$56:$N$56,0))*G$10+INDEX(JuniorzyPozytyw[],MATCH($A80,Juniorstwo!$A$57:$A$76,0),MATCH($B$11,Juniorstwo!$A$56:$N$56,0))*G$11+INDEX(JuniorzyPozytyw[],MATCH($A80,Juniorstwo!$A$57:$A$76,0),MATCH($B$12,Juniorstwo!$A$56:$N$56,0))*G$12+INDEX(JuniorzyPozytyw[],MATCH($A80,Juniorstwo!$A$57:$A$76,0),MATCH($B$13,Juniorstwo!$A$56:$N$56,0))*G$13,"-")</f>
        <v>71.84</v>
      </c>
      <c r="H80" s="38">
        <f ca="1">IFERROR(INDEX(JuniorzyPozytyw[],MATCH($A80,Juniorstwo!$A$57:$A$76,0),MATCH($B$2,Juniorstwo!$A$56:$N$56,0))*H$2+INDEX(JuniorzyPozytyw[],MATCH($A80,Juniorstwo!$A$57:$A$76,0),MATCH($B$3,Juniorstwo!$A$56:$N$56,0))*H$3+INDEX(JuniorzyPozytyw[],MATCH($A80,Juniorstwo!$A$57:$A$76,0),MATCH($B$4,Juniorstwo!$A$56:$N$56,0))*H$4+INDEX(JuniorzyPozytyw[],MATCH($A80,Juniorstwo!$A$57:$A$76,0),MATCH($B$5,Juniorstwo!$A$56:$N$56,0))*H$5+INDEX(JuniorzyPozytyw[],MATCH($A80,Juniorstwo!$A$57:$A$76,0),MATCH($B$6,Juniorstwo!$A$56:$N$56,0))*H$6+INDEX(JuniorzyPozytyw[],MATCH($A80,Juniorstwo!$A$57:$A$76,0),MATCH($B$7,Juniorstwo!$A$56:$N$56,0))*H$7+INDEX(JuniorzyPozytyw[],MATCH($A80,Juniorstwo!$A$57:$A$76,0),MATCH($B$8,Juniorstwo!$A$56:$N$56,0))*H$8+INDEX(JuniorzyPozytyw[],MATCH($A80,Juniorstwo!$A$57:$A$76,0),MATCH($B$9,Juniorstwo!$A$56:$N$56,0))*H$9+INDEX(JuniorzyPozytyw[],MATCH($A80,Juniorstwo!$A$57:$A$76,0),MATCH($B$10,Juniorstwo!$A$56:$N$56,0))*H$10+INDEX(JuniorzyPozytyw[],MATCH($A80,Juniorstwo!$A$57:$A$76,0),MATCH($B$11,Juniorstwo!$A$56:$N$56,0))*H$11+INDEX(JuniorzyPozytyw[],MATCH($A80,Juniorstwo!$A$57:$A$76,0),MATCH($B$12,Juniorstwo!$A$56:$N$56,0))*H$12+INDEX(JuniorzyPozytyw[],MATCH($A80,Juniorstwo!$A$57:$A$76,0),MATCH($B$13,Juniorstwo!$A$56:$N$56,0))*H$13,"-")</f>
        <v>75.09</v>
      </c>
      <c r="I80" s="38">
        <f ca="1">IFERROR(INDEX(JuniorzyPozytyw[],MATCH($A80,Juniorstwo!$A$57:$A$76,0),MATCH($B$2,Juniorstwo!$A$56:$N$56,0))*I$2+INDEX(JuniorzyPozytyw[],MATCH($A80,Juniorstwo!$A$57:$A$76,0),MATCH($B$3,Juniorstwo!$A$56:$N$56,0))*I$3+INDEX(JuniorzyPozytyw[],MATCH($A80,Juniorstwo!$A$57:$A$76,0),MATCH($B$4,Juniorstwo!$A$56:$N$56,0))*I$4+INDEX(JuniorzyPozytyw[],MATCH($A80,Juniorstwo!$A$57:$A$76,0),MATCH($B$5,Juniorstwo!$A$56:$N$56,0))*I$5+INDEX(JuniorzyPozytyw[],MATCH($A80,Juniorstwo!$A$57:$A$76,0),MATCH($B$6,Juniorstwo!$A$56:$N$56,0))*I$6+INDEX(JuniorzyPozytyw[],MATCH($A80,Juniorstwo!$A$57:$A$76,0),MATCH($B$7,Juniorstwo!$A$56:$N$56,0))*I$7+INDEX(JuniorzyPozytyw[],MATCH($A80,Juniorstwo!$A$57:$A$76,0),MATCH($B$8,Juniorstwo!$A$56:$N$56,0))*I$8+INDEX(JuniorzyPozytyw[],MATCH($A80,Juniorstwo!$A$57:$A$76,0),MATCH($B$9,Juniorstwo!$A$56:$N$56,0))*I$9+INDEX(JuniorzyPozytyw[],MATCH($A80,Juniorstwo!$A$57:$A$76,0),MATCH($B$10,Juniorstwo!$A$56:$N$56,0))*I$10+INDEX(JuniorzyPozytyw[],MATCH($A80,Juniorstwo!$A$57:$A$76,0),MATCH($B$11,Juniorstwo!$A$56:$N$56,0))*I$11+INDEX(JuniorzyPozytyw[],MATCH($A80,Juniorstwo!$A$57:$A$76,0),MATCH($B$12,Juniorstwo!$A$56:$N$56,0))*I$12+INDEX(JuniorzyPozytyw[],MATCH($A80,Juniorstwo!$A$57:$A$76,0),MATCH($B$13,Juniorstwo!$A$56:$N$56,0))*I$13,"-")</f>
        <v>75.09</v>
      </c>
      <c r="J80" s="38">
        <f ca="1">IFERROR(INDEX(JuniorzyPozytyw[],MATCH($A80,Juniorstwo!$A$57:$A$76,0),MATCH($B$2,Juniorstwo!$A$56:$N$56,0))*J$2+INDEX(JuniorzyPozytyw[],MATCH($A80,Juniorstwo!$A$57:$A$76,0),MATCH($B$3,Juniorstwo!$A$56:$N$56,0))*J$3+INDEX(JuniorzyPozytyw[],MATCH($A80,Juniorstwo!$A$57:$A$76,0),MATCH($B$4,Juniorstwo!$A$56:$N$56,0))*J$4+INDEX(JuniorzyPozytyw[],MATCH($A80,Juniorstwo!$A$57:$A$76,0),MATCH($B$5,Juniorstwo!$A$56:$N$56,0))*J$5+INDEX(JuniorzyPozytyw[],MATCH($A80,Juniorstwo!$A$57:$A$76,0),MATCH($B$6,Juniorstwo!$A$56:$N$56,0))*J$6+INDEX(JuniorzyPozytyw[],MATCH($A80,Juniorstwo!$A$57:$A$76,0),MATCH($B$7,Juniorstwo!$A$56:$N$56,0))*J$7+INDEX(JuniorzyPozytyw[],MATCH($A80,Juniorstwo!$A$57:$A$76,0),MATCH($B$8,Juniorstwo!$A$56:$N$56,0))*J$8+INDEX(JuniorzyPozytyw[],MATCH($A80,Juniorstwo!$A$57:$A$76,0),MATCH($B$9,Juniorstwo!$A$56:$N$56,0))*J$9+INDEX(JuniorzyPozytyw[],MATCH($A80,Juniorstwo!$A$57:$A$76,0),MATCH($B$10,Juniorstwo!$A$56:$N$56,0))*J$10+INDEX(JuniorzyPozytyw[],MATCH($A80,Juniorstwo!$A$57:$A$76,0),MATCH($B$11,Juniorstwo!$A$56:$N$56,0))*J$11+INDEX(JuniorzyPozytyw[],MATCH($A80,Juniorstwo!$A$57:$A$76,0),MATCH($B$12,Juniorstwo!$A$56:$N$56,0))*J$12+INDEX(JuniorzyPozytyw[],MATCH($A80,Juniorstwo!$A$57:$A$76,0),MATCH($B$13,Juniorstwo!$A$56:$N$56,0))*J$13,"-")</f>
        <v>76.59</v>
      </c>
      <c r="K80" s="38">
        <f ca="1">IFERROR(INDEX(JuniorzyPozytyw[],MATCH($A80,Juniorstwo!$A$57:$A$76,0),MATCH($B$2,Juniorstwo!$A$56:$N$56,0))*K$2+INDEX(JuniorzyPozytyw[],MATCH($A80,Juniorstwo!$A$57:$A$76,0),MATCH($B$3,Juniorstwo!$A$56:$N$56,0))*K$3+INDEX(JuniorzyPozytyw[],MATCH($A80,Juniorstwo!$A$57:$A$76,0),MATCH($B$4,Juniorstwo!$A$56:$N$56,0))*K$4+INDEX(JuniorzyPozytyw[],MATCH($A80,Juniorstwo!$A$57:$A$76,0),MATCH($B$5,Juniorstwo!$A$56:$N$56,0))*K$5+INDEX(JuniorzyPozytyw[],MATCH($A80,Juniorstwo!$A$57:$A$76,0),MATCH($B$6,Juniorstwo!$A$56:$N$56,0))*K$6+INDEX(JuniorzyPozytyw[],MATCH($A80,Juniorstwo!$A$57:$A$76,0),MATCH($B$7,Juniorstwo!$A$56:$N$56,0))*K$7+INDEX(JuniorzyPozytyw[],MATCH($A80,Juniorstwo!$A$57:$A$76,0),MATCH($B$8,Juniorstwo!$A$56:$N$56,0))*K$8+INDEX(JuniorzyPozytyw[],MATCH($A80,Juniorstwo!$A$57:$A$76,0),MATCH($B$9,Juniorstwo!$A$56:$N$56,0))*K$9+INDEX(JuniorzyPozytyw[],MATCH($A80,Juniorstwo!$A$57:$A$76,0),MATCH($B$10,Juniorstwo!$A$56:$N$56,0))*K$10+INDEX(JuniorzyPozytyw[],MATCH($A80,Juniorstwo!$A$57:$A$76,0),MATCH($B$11,Juniorstwo!$A$56:$N$56,0))*K$11+INDEX(JuniorzyPozytyw[],MATCH($A80,Juniorstwo!$A$57:$A$76,0),MATCH($B$12,Juniorstwo!$A$56:$N$56,0))*K$12+INDEX(JuniorzyPozytyw[],MATCH($A80,Juniorstwo!$A$57:$A$76,0),MATCH($B$13,Juniorstwo!$A$56:$N$56,0))*K$13,"-")</f>
        <v>78.84</v>
      </c>
    </row>
    <row r="81" spans="1:11" x14ac:dyDescent="0.25">
      <c r="A81">
        <f>IFERROR(PozycjeŚr!A57,"-")</f>
        <v>25</v>
      </c>
      <c r="B81" s="3" t="str">
        <f>IFERROR(VLOOKUP(PozJunPMG[[#This Row],[Numer]],Zawodnicy[[Number]:[Player name]],2,FALSE),"-")</f>
        <v>Jakub Ludwiczak</v>
      </c>
      <c r="C81" s="38">
        <f ca="1">IFERROR(INDEX(JuniorzyPozytyw[],MATCH($A81,Juniorstwo!$A$57:$A$76,0),MATCH($B$2,Juniorstwo!$A$56:$N$56,0))*C$2+INDEX(JuniorzyPozytyw[],MATCH($A81,Juniorstwo!$A$57:$A$76,0),MATCH($B$3,Juniorstwo!$A$56:$N$56,0))*C$3+INDEX(JuniorzyPozytyw[],MATCH($A81,Juniorstwo!$A$57:$A$76,0),MATCH($B$4,Juniorstwo!$A$56:$N$56,0))*C$4+INDEX(JuniorzyPozytyw[],MATCH($A81,Juniorstwo!$A$57:$A$76,0),MATCH($B$5,Juniorstwo!$A$56:$N$56,0))*C$5+INDEX(JuniorzyPozytyw[],MATCH($A81,Juniorstwo!$A$57:$A$76,0),MATCH($B$6,Juniorstwo!$A$56:$N$56,0))*C$6+INDEX(JuniorzyPozytyw[],MATCH($A81,Juniorstwo!$A$57:$A$76,0),MATCH($B$7,Juniorstwo!$A$56:$N$56,0))*C$7+INDEX(JuniorzyPozytyw[],MATCH($A81,Juniorstwo!$A$57:$A$76,0),MATCH($B$8,Juniorstwo!$A$56:$N$56,0))*C$8+INDEX(JuniorzyPozytyw[],MATCH($A81,Juniorstwo!$A$57:$A$76,0),MATCH($B$9,Juniorstwo!$A$56:$N$56,0))*C$9+INDEX(JuniorzyPozytyw[],MATCH($A81,Juniorstwo!$A$57:$A$76,0),MATCH($B$10,Juniorstwo!$A$56:$N$56,0))*C$10+INDEX(JuniorzyPozytyw[],MATCH($A81,Juniorstwo!$A$57:$A$76,0),MATCH($B$11,Juniorstwo!$A$56:$N$56,0))*C$11+INDEX(JuniorzyPozytyw[],MATCH($A81,Juniorstwo!$A$57:$A$76,0),MATCH($B$12,Juniorstwo!$A$56:$N$56,0))*C$12+INDEX(JuniorzyPozytyw[],MATCH($A81,Juniorstwo!$A$57:$A$76,0),MATCH($B$13,Juniorstwo!$A$56:$N$56,0))*C$13,"-")</f>
        <v>76.08</v>
      </c>
      <c r="D81" s="38">
        <f ca="1">IFERROR(INDEX(JuniorzyPozytyw[],MATCH($A81,Juniorstwo!$A$57:$A$76,0),MATCH($B$2,Juniorstwo!$A$56:$N$56,0))*D$2+INDEX(JuniorzyPozytyw[],MATCH($A81,Juniorstwo!$A$57:$A$76,0),MATCH($B$3,Juniorstwo!$A$56:$N$56,0))*D$3+INDEX(JuniorzyPozytyw[],MATCH($A81,Juniorstwo!$A$57:$A$76,0),MATCH($B$4,Juniorstwo!$A$56:$N$56,0))*D$4+INDEX(JuniorzyPozytyw[],MATCH($A81,Juniorstwo!$A$57:$A$76,0),MATCH($B$5,Juniorstwo!$A$56:$N$56,0))*D$5+INDEX(JuniorzyPozytyw[],MATCH($A81,Juniorstwo!$A$57:$A$76,0),MATCH($B$6,Juniorstwo!$A$56:$N$56,0))*D$6+INDEX(JuniorzyPozytyw[],MATCH($A81,Juniorstwo!$A$57:$A$76,0),MATCH($B$7,Juniorstwo!$A$56:$N$56,0))*D$7+INDEX(JuniorzyPozytyw[],MATCH($A81,Juniorstwo!$A$57:$A$76,0),MATCH($B$8,Juniorstwo!$A$56:$N$56,0))*D$8+INDEX(JuniorzyPozytyw[],MATCH($A81,Juniorstwo!$A$57:$A$76,0),MATCH($B$9,Juniorstwo!$A$56:$N$56,0))*D$9+INDEX(JuniorzyPozytyw[],MATCH($A81,Juniorstwo!$A$57:$A$76,0),MATCH($B$10,Juniorstwo!$A$56:$N$56,0))*D$10+INDEX(JuniorzyPozytyw[],MATCH($A81,Juniorstwo!$A$57:$A$76,0),MATCH($B$11,Juniorstwo!$A$56:$N$56,0))*D$11+INDEX(JuniorzyPozytyw[],MATCH($A81,Juniorstwo!$A$57:$A$76,0),MATCH($B$12,Juniorstwo!$A$56:$N$56,0))*D$12+INDEX(JuniorzyPozytyw[],MATCH($A81,Juniorstwo!$A$57:$A$76,0),MATCH($B$13,Juniorstwo!$A$56:$N$56,0))*D$13,"-")</f>
        <v>78.33</v>
      </c>
      <c r="E81" s="38">
        <f ca="1">IFERROR(INDEX(JuniorzyPozytyw[],MATCH($A81,Juniorstwo!$A$57:$A$76,0),MATCH($B$2,Juniorstwo!$A$56:$N$56,0))*E$2+INDEX(JuniorzyPozytyw[],MATCH($A81,Juniorstwo!$A$57:$A$76,0),MATCH($B$3,Juniorstwo!$A$56:$N$56,0))*E$3+INDEX(JuniorzyPozytyw[],MATCH($A81,Juniorstwo!$A$57:$A$76,0),MATCH($B$4,Juniorstwo!$A$56:$N$56,0))*E$4+INDEX(JuniorzyPozytyw[],MATCH($A81,Juniorstwo!$A$57:$A$76,0),MATCH($B$5,Juniorstwo!$A$56:$N$56,0))*E$5+INDEX(JuniorzyPozytyw[],MATCH($A81,Juniorstwo!$A$57:$A$76,0),MATCH($B$6,Juniorstwo!$A$56:$N$56,0))*E$6+INDEX(JuniorzyPozytyw[],MATCH($A81,Juniorstwo!$A$57:$A$76,0),MATCH($B$7,Juniorstwo!$A$56:$N$56,0))*E$7+INDEX(JuniorzyPozytyw[],MATCH($A81,Juniorstwo!$A$57:$A$76,0),MATCH($B$8,Juniorstwo!$A$56:$N$56,0))*E$8+INDEX(JuniorzyPozytyw[],MATCH($A81,Juniorstwo!$A$57:$A$76,0),MATCH($B$9,Juniorstwo!$A$56:$N$56,0))*E$9+INDEX(JuniorzyPozytyw[],MATCH($A81,Juniorstwo!$A$57:$A$76,0),MATCH($B$10,Juniorstwo!$A$56:$N$56,0))*E$10+INDEX(JuniorzyPozytyw[],MATCH($A81,Juniorstwo!$A$57:$A$76,0),MATCH($B$11,Juniorstwo!$A$56:$N$56,0))*E$11+INDEX(JuniorzyPozytyw[],MATCH($A81,Juniorstwo!$A$57:$A$76,0),MATCH($B$12,Juniorstwo!$A$56:$N$56,0))*E$12+INDEX(JuniorzyPozytyw[],MATCH($A81,Juniorstwo!$A$57:$A$76,0),MATCH($B$13,Juniorstwo!$A$56:$N$56,0))*E$13,"-")</f>
        <v>78.83</v>
      </c>
      <c r="F81" s="38">
        <f ca="1">IFERROR(INDEX(JuniorzyPozytyw[],MATCH($A81,Juniorstwo!$A$57:$A$76,0),MATCH($B$2,Juniorstwo!$A$56:$N$56,0))*F$2+INDEX(JuniorzyPozytyw[],MATCH($A81,Juniorstwo!$A$57:$A$76,0),MATCH($B$3,Juniorstwo!$A$56:$N$56,0))*F$3+INDEX(JuniorzyPozytyw[],MATCH($A81,Juniorstwo!$A$57:$A$76,0),MATCH($B$4,Juniorstwo!$A$56:$N$56,0))*F$4+INDEX(JuniorzyPozytyw[],MATCH($A81,Juniorstwo!$A$57:$A$76,0),MATCH($B$5,Juniorstwo!$A$56:$N$56,0))*F$5+INDEX(JuniorzyPozytyw[],MATCH($A81,Juniorstwo!$A$57:$A$76,0),MATCH($B$6,Juniorstwo!$A$56:$N$56,0))*F$6+INDEX(JuniorzyPozytyw[],MATCH($A81,Juniorstwo!$A$57:$A$76,0),MATCH($B$7,Juniorstwo!$A$56:$N$56,0))*F$7+INDEX(JuniorzyPozytyw[],MATCH($A81,Juniorstwo!$A$57:$A$76,0),MATCH($B$8,Juniorstwo!$A$56:$N$56,0))*F$8+INDEX(JuniorzyPozytyw[],MATCH($A81,Juniorstwo!$A$57:$A$76,0),MATCH($B$9,Juniorstwo!$A$56:$N$56,0))*F$9+INDEX(JuniorzyPozytyw[],MATCH($A81,Juniorstwo!$A$57:$A$76,0),MATCH($B$10,Juniorstwo!$A$56:$N$56,0))*F$10+INDEX(JuniorzyPozytyw[],MATCH($A81,Juniorstwo!$A$57:$A$76,0),MATCH($B$11,Juniorstwo!$A$56:$N$56,0))*F$11+INDEX(JuniorzyPozytyw[],MATCH($A81,Juniorstwo!$A$57:$A$76,0),MATCH($B$12,Juniorstwo!$A$56:$N$56,0))*F$12+INDEX(JuniorzyPozytyw[],MATCH($A81,Juniorstwo!$A$57:$A$76,0),MATCH($B$13,Juniorstwo!$A$56:$N$56,0))*F$13,"-")</f>
        <v>81.08</v>
      </c>
      <c r="G81" s="38">
        <f ca="1">IFERROR(INDEX(JuniorzyPozytyw[],MATCH($A81,Juniorstwo!$A$57:$A$76,0),MATCH($B$2,Juniorstwo!$A$56:$N$56,0))*G$2+INDEX(JuniorzyPozytyw[],MATCH($A81,Juniorstwo!$A$57:$A$76,0),MATCH($B$3,Juniorstwo!$A$56:$N$56,0))*G$3+INDEX(JuniorzyPozytyw[],MATCH($A81,Juniorstwo!$A$57:$A$76,0),MATCH($B$4,Juniorstwo!$A$56:$N$56,0))*G$4+INDEX(JuniorzyPozytyw[],MATCH($A81,Juniorstwo!$A$57:$A$76,0),MATCH($B$5,Juniorstwo!$A$56:$N$56,0))*G$5+INDEX(JuniorzyPozytyw[],MATCH($A81,Juniorstwo!$A$57:$A$76,0),MATCH($B$6,Juniorstwo!$A$56:$N$56,0))*G$6+INDEX(JuniorzyPozytyw[],MATCH($A81,Juniorstwo!$A$57:$A$76,0),MATCH($B$7,Juniorstwo!$A$56:$N$56,0))*G$7+INDEX(JuniorzyPozytyw[],MATCH($A81,Juniorstwo!$A$57:$A$76,0),MATCH($B$8,Juniorstwo!$A$56:$N$56,0))*G$8+INDEX(JuniorzyPozytyw[],MATCH($A81,Juniorstwo!$A$57:$A$76,0),MATCH($B$9,Juniorstwo!$A$56:$N$56,0))*G$9+INDEX(JuniorzyPozytyw[],MATCH($A81,Juniorstwo!$A$57:$A$76,0),MATCH($B$10,Juniorstwo!$A$56:$N$56,0))*G$10+INDEX(JuniorzyPozytyw[],MATCH($A81,Juniorstwo!$A$57:$A$76,0),MATCH($B$11,Juniorstwo!$A$56:$N$56,0))*G$11+INDEX(JuniorzyPozytyw[],MATCH($A81,Juniorstwo!$A$57:$A$76,0),MATCH($B$12,Juniorstwo!$A$56:$N$56,0))*G$12+INDEX(JuniorzyPozytyw[],MATCH($A81,Juniorstwo!$A$57:$A$76,0),MATCH($B$13,Juniorstwo!$A$56:$N$56,0))*G$13,"-")</f>
        <v>82.08</v>
      </c>
      <c r="H81" s="38">
        <f ca="1">IFERROR(INDEX(JuniorzyPozytyw[],MATCH($A81,Juniorstwo!$A$57:$A$76,0),MATCH($B$2,Juniorstwo!$A$56:$N$56,0))*H$2+INDEX(JuniorzyPozytyw[],MATCH($A81,Juniorstwo!$A$57:$A$76,0),MATCH($B$3,Juniorstwo!$A$56:$N$56,0))*H$3+INDEX(JuniorzyPozytyw[],MATCH($A81,Juniorstwo!$A$57:$A$76,0),MATCH($B$4,Juniorstwo!$A$56:$N$56,0))*H$4+INDEX(JuniorzyPozytyw[],MATCH($A81,Juniorstwo!$A$57:$A$76,0),MATCH($B$5,Juniorstwo!$A$56:$N$56,0))*H$5+INDEX(JuniorzyPozytyw[],MATCH($A81,Juniorstwo!$A$57:$A$76,0),MATCH($B$6,Juniorstwo!$A$56:$N$56,0))*H$6+INDEX(JuniorzyPozytyw[],MATCH($A81,Juniorstwo!$A$57:$A$76,0),MATCH($B$7,Juniorstwo!$A$56:$N$56,0))*H$7+INDEX(JuniorzyPozytyw[],MATCH($A81,Juniorstwo!$A$57:$A$76,0),MATCH($B$8,Juniorstwo!$A$56:$N$56,0))*H$8+INDEX(JuniorzyPozytyw[],MATCH($A81,Juniorstwo!$A$57:$A$76,0),MATCH($B$9,Juniorstwo!$A$56:$N$56,0))*H$9+INDEX(JuniorzyPozytyw[],MATCH($A81,Juniorstwo!$A$57:$A$76,0),MATCH($B$10,Juniorstwo!$A$56:$N$56,0))*H$10+INDEX(JuniorzyPozytyw[],MATCH($A81,Juniorstwo!$A$57:$A$76,0),MATCH($B$11,Juniorstwo!$A$56:$N$56,0))*H$11+INDEX(JuniorzyPozytyw[],MATCH($A81,Juniorstwo!$A$57:$A$76,0),MATCH($B$12,Juniorstwo!$A$56:$N$56,0))*H$12+INDEX(JuniorzyPozytyw[],MATCH($A81,Juniorstwo!$A$57:$A$76,0),MATCH($B$13,Juniorstwo!$A$56:$N$56,0))*H$13,"-")</f>
        <v>82.33</v>
      </c>
      <c r="I81" s="38">
        <f ca="1">IFERROR(INDEX(JuniorzyPozytyw[],MATCH($A81,Juniorstwo!$A$57:$A$76,0),MATCH($B$2,Juniorstwo!$A$56:$N$56,0))*I$2+INDEX(JuniorzyPozytyw[],MATCH($A81,Juniorstwo!$A$57:$A$76,0),MATCH($B$3,Juniorstwo!$A$56:$N$56,0))*I$3+INDEX(JuniorzyPozytyw[],MATCH($A81,Juniorstwo!$A$57:$A$76,0),MATCH($B$4,Juniorstwo!$A$56:$N$56,0))*I$4+INDEX(JuniorzyPozytyw[],MATCH($A81,Juniorstwo!$A$57:$A$76,0),MATCH($B$5,Juniorstwo!$A$56:$N$56,0))*I$5+INDEX(JuniorzyPozytyw[],MATCH($A81,Juniorstwo!$A$57:$A$76,0),MATCH($B$6,Juniorstwo!$A$56:$N$56,0))*I$6+INDEX(JuniorzyPozytyw[],MATCH($A81,Juniorstwo!$A$57:$A$76,0),MATCH($B$7,Juniorstwo!$A$56:$N$56,0))*I$7+INDEX(JuniorzyPozytyw[],MATCH($A81,Juniorstwo!$A$57:$A$76,0),MATCH($B$8,Juniorstwo!$A$56:$N$56,0))*I$8+INDEX(JuniorzyPozytyw[],MATCH($A81,Juniorstwo!$A$57:$A$76,0),MATCH($B$9,Juniorstwo!$A$56:$N$56,0))*I$9+INDEX(JuniorzyPozytyw[],MATCH($A81,Juniorstwo!$A$57:$A$76,0),MATCH($B$10,Juniorstwo!$A$56:$N$56,0))*I$10+INDEX(JuniorzyPozytyw[],MATCH($A81,Juniorstwo!$A$57:$A$76,0),MATCH($B$11,Juniorstwo!$A$56:$N$56,0))*I$11+INDEX(JuniorzyPozytyw[],MATCH($A81,Juniorstwo!$A$57:$A$76,0),MATCH($B$12,Juniorstwo!$A$56:$N$56,0))*I$12+INDEX(JuniorzyPozytyw[],MATCH($A81,Juniorstwo!$A$57:$A$76,0),MATCH($B$13,Juniorstwo!$A$56:$N$56,0))*I$13,"-")</f>
        <v>82.83</v>
      </c>
      <c r="J81" s="38">
        <f ca="1">IFERROR(INDEX(JuniorzyPozytyw[],MATCH($A81,Juniorstwo!$A$57:$A$76,0),MATCH($B$2,Juniorstwo!$A$56:$N$56,0))*J$2+INDEX(JuniorzyPozytyw[],MATCH($A81,Juniorstwo!$A$57:$A$76,0),MATCH($B$3,Juniorstwo!$A$56:$N$56,0))*J$3+INDEX(JuniorzyPozytyw[],MATCH($A81,Juniorstwo!$A$57:$A$76,0),MATCH($B$4,Juniorstwo!$A$56:$N$56,0))*J$4+INDEX(JuniorzyPozytyw[],MATCH($A81,Juniorstwo!$A$57:$A$76,0),MATCH($B$5,Juniorstwo!$A$56:$N$56,0))*J$5+INDEX(JuniorzyPozytyw[],MATCH($A81,Juniorstwo!$A$57:$A$76,0),MATCH($B$6,Juniorstwo!$A$56:$N$56,0))*J$6+INDEX(JuniorzyPozytyw[],MATCH($A81,Juniorstwo!$A$57:$A$76,0),MATCH($B$7,Juniorstwo!$A$56:$N$56,0))*J$7+INDEX(JuniorzyPozytyw[],MATCH($A81,Juniorstwo!$A$57:$A$76,0),MATCH($B$8,Juniorstwo!$A$56:$N$56,0))*J$8+INDEX(JuniorzyPozytyw[],MATCH($A81,Juniorstwo!$A$57:$A$76,0),MATCH($B$9,Juniorstwo!$A$56:$N$56,0))*J$9+INDEX(JuniorzyPozytyw[],MATCH($A81,Juniorstwo!$A$57:$A$76,0),MATCH($B$10,Juniorstwo!$A$56:$N$56,0))*J$10+INDEX(JuniorzyPozytyw[],MATCH($A81,Juniorstwo!$A$57:$A$76,0),MATCH($B$11,Juniorstwo!$A$56:$N$56,0))*J$11+INDEX(JuniorzyPozytyw[],MATCH($A81,Juniorstwo!$A$57:$A$76,0),MATCH($B$12,Juniorstwo!$A$56:$N$56,0))*J$12+INDEX(JuniorzyPozytyw[],MATCH($A81,Juniorstwo!$A$57:$A$76,0),MATCH($B$13,Juniorstwo!$A$56:$N$56,0))*J$13,"-")</f>
        <v>81.83</v>
      </c>
      <c r="K81" s="38">
        <f ca="1">IFERROR(INDEX(JuniorzyPozytyw[],MATCH($A81,Juniorstwo!$A$57:$A$76,0),MATCH($B$2,Juniorstwo!$A$56:$N$56,0))*K$2+INDEX(JuniorzyPozytyw[],MATCH($A81,Juniorstwo!$A$57:$A$76,0),MATCH($B$3,Juniorstwo!$A$56:$N$56,0))*K$3+INDEX(JuniorzyPozytyw[],MATCH($A81,Juniorstwo!$A$57:$A$76,0),MATCH($B$4,Juniorstwo!$A$56:$N$56,0))*K$4+INDEX(JuniorzyPozytyw[],MATCH($A81,Juniorstwo!$A$57:$A$76,0),MATCH($B$5,Juniorstwo!$A$56:$N$56,0))*K$5+INDEX(JuniorzyPozytyw[],MATCH($A81,Juniorstwo!$A$57:$A$76,0),MATCH($B$6,Juniorstwo!$A$56:$N$56,0))*K$6+INDEX(JuniorzyPozytyw[],MATCH($A81,Juniorstwo!$A$57:$A$76,0),MATCH($B$7,Juniorstwo!$A$56:$N$56,0))*K$7+INDEX(JuniorzyPozytyw[],MATCH($A81,Juniorstwo!$A$57:$A$76,0),MATCH($B$8,Juniorstwo!$A$56:$N$56,0))*K$8+INDEX(JuniorzyPozytyw[],MATCH($A81,Juniorstwo!$A$57:$A$76,0),MATCH($B$9,Juniorstwo!$A$56:$N$56,0))*K$9+INDEX(JuniorzyPozytyw[],MATCH($A81,Juniorstwo!$A$57:$A$76,0),MATCH($B$10,Juniorstwo!$A$56:$N$56,0))*K$10+INDEX(JuniorzyPozytyw[],MATCH($A81,Juniorstwo!$A$57:$A$76,0),MATCH($B$11,Juniorstwo!$A$56:$N$56,0))*K$11+INDEX(JuniorzyPozytyw[],MATCH($A81,Juniorstwo!$A$57:$A$76,0),MATCH($B$12,Juniorstwo!$A$56:$N$56,0))*K$12+INDEX(JuniorzyPozytyw[],MATCH($A81,Juniorstwo!$A$57:$A$76,0),MATCH($B$13,Juniorstwo!$A$56:$N$56,0))*K$13,"-")</f>
        <v>81.08</v>
      </c>
    </row>
    <row r="82" spans="1:11" x14ac:dyDescent="0.25">
      <c r="A82">
        <f>IFERROR(PozycjeŚr!A58,"-")</f>
        <v>26</v>
      </c>
      <c r="B82" s="3" t="str">
        <f>IFERROR(VLOOKUP(PozJunPMG[[#This Row],[Numer]],Zawodnicy[[Number]:[Player name]],2,FALSE),"-")</f>
        <v>Ignacy Lato</v>
      </c>
      <c r="C82" s="38">
        <f ca="1">IFERROR(INDEX(JuniorzyPozytyw[],MATCH($A82,Juniorstwo!$A$57:$A$76,0),MATCH($B$2,Juniorstwo!$A$56:$N$56,0))*C$2+INDEX(JuniorzyPozytyw[],MATCH($A82,Juniorstwo!$A$57:$A$76,0),MATCH($B$3,Juniorstwo!$A$56:$N$56,0))*C$3+INDEX(JuniorzyPozytyw[],MATCH($A82,Juniorstwo!$A$57:$A$76,0),MATCH($B$4,Juniorstwo!$A$56:$N$56,0))*C$4+INDEX(JuniorzyPozytyw[],MATCH($A82,Juniorstwo!$A$57:$A$76,0),MATCH($B$5,Juniorstwo!$A$56:$N$56,0))*C$5+INDEX(JuniorzyPozytyw[],MATCH($A82,Juniorstwo!$A$57:$A$76,0),MATCH($B$6,Juniorstwo!$A$56:$N$56,0))*C$6+INDEX(JuniorzyPozytyw[],MATCH($A82,Juniorstwo!$A$57:$A$76,0),MATCH($B$7,Juniorstwo!$A$56:$N$56,0))*C$7+INDEX(JuniorzyPozytyw[],MATCH($A82,Juniorstwo!$A$57:$A$76,0),MATCH($B$8,Juniorstwo!$A$56:$N$56,0))*C$8+INDEX(JuniorzyPozytyw[],MATCH($A82,Juniorstwo!$A$57:$A$76,0),MATCH($B$9,Juniorstwo!$A$56:$N$56,0))*C$9+INDEX(JuniorzyPozytyw[],MATCH($A82,Juniorstwo!$A$57:$A$76,0),MATCH($B$10,Juniorstwo!$A$56:$N$56,0))*C$10+INDEX(JuniorzyPozytyw[],MATCH($A82,Juniorstwo!$A$57:$A$76,0),MATCH($B$11,Juniorstwo!$A$56:$N$56,0))*C$11+INDEX(JuniorzyPozytyw[],MATCH($A82,Juniorstwo!$A$57:$A$76,0),MATCH($B$12,Juniorstwo!$A$56:$N$56,0))*C$12+INDEX(JuniorzyPozytyw[],MATCH($A82,Juniorstwo!$A$57:$A$76,0),MATCH($B$13,Juniorstwo!$A$56:$N$56,0))*C$13,"-")</f>
        <v>75.069999999999993</v>
      </c>
      <c r="D82" s="38">
        <f ca="1">IFERROR(INDEX(JuniorzyPozytyw[],MATCH($A82,Juniorstwo!$A$57:$A$76,0),MATCH($B$2,Juniorstwo!$A$56:$N$56,0))*D$2+INDEX(JuniorzyPozytyw[],MATCH($A82,Juniorstwo!$A$57:$A$76,0),MATCH($B$3,Juniorstwo!$A$56:$N$56,0))*D$3+INDEX(JuniorzyPozytyw[],MATCH($A82,Juniorstwo!$A$57:$A$76,0),MATCH($B$4,Juniorstwo!$A$56:$N$56,0))*D$4+INDEX(JuniorzyPozytyw[],MATCH($A82,Juniorstwo!$A$57:$A$76,0),MATCH($B$5,Juniorstwo!$A$56:$N$56,0))*D$5+INDEX(JuniorzyPozytyw[],MATCH($A82,Juniorstwo!$A$57:$A$76,0),MATCH($B$6,Juniorstwo!$A$56:$N$56,0))*D$6+INDEX(JuniorzyPozytyw[],MATCH($A82,Juniorstwo!$A$57:$A$76,0),MATCH($B$7,Juniorstwo!$A$56:$N$56,0))*D$7+INDEX(JuniorzyPozytyw[],MATCH($A82,Juniorstwo!$A$57:$A$76,0),MATCH($B$8,Juniorstwo!$A$56:$N$56,0))*D$8+INDEX(JuniorzyPozytyw[],MATCH($A82,Juniorstwo!$A$57:$A$76,0),MATCH($B$9,Juniorstwo!$A$56:$N$56,0))*D$9+INDEX(JuniorzyPozytyw[],MATCH($A82,Juniorstwo!$A$57:$A$76,0),MATCH($B$10,Juniorstwo!$A$56:$N$56,0))*D$10+INDEX(JuniorzyPozytyw[],MATCH($A82,Juniorstwo!$A$57:$A$76,0),MATCH($B$11,Juniorstwo!$A$56:$N$56,0))*D$11+INDEX(JuniorzyPozytyw[],MATCH($A82,Juniorstwo!$A$57:$A$76,0),MATCH($B$12,Juniorstwo!$A$56:$N$56,0))*D$12+INDEX(JuniorzyPozytyw[],MATCH($A82,Juniorstwo!$A$57:$A$76,0),MATCH($B$13,Juniorstwo!$A$56:$N$56,0))*D$13,"-")</f>
        <v>81.069999999999993</v>
      </c>
      <c r="E82" s="38">
        <f ca="1">IFERROR(INDEX(JuniorzyPozytyw[],MATCH($A82,Juniorstwo!$A$57:$A$76,0),MATCH($B$2,Juniorstwo!$A$56:$N$56,0))*E$2+INDEX(JuniorzyPozytyw[],MATCH($A82,Juniorstwo!$A$57:$A$76,0),MATCH($B$3,Juniorstwo!$A$56:$N$56,0))*E$3+INDEX(JuniorzyPozytyw[],MATCH($A82,Juniorstwo!$A$57:$A$76,0),MATCH($B$4,Juniorstwo!$A$56:$N$56,0))*E$4+INDEX(JuniorzyPozytyw[],MATCH($A82,Juniorstwo!$A$57:$A$76,0),MATCH($B$5,Juniorstwo!$A$56:$N$56,0))*E$5+INDEX(JuniorzyPozytyw[],MATCH($A82,Juniorstwo!$A$57:$A$76,0),MATCH($B$6,Juniorstwo!$A$56:$N$56,0))*E$6+INDEX(JuniorzyPozytyw[],MATCH($A82,Juniorstwo!$A$57:$A$76,0),MATCH($B$7,Juniorstwo!$A$56:$N$56,0))*E$7+INDEX(JuniorzyPozytyw[],MATCH($A82,Juniorstwo!$A$57:$A$76,0),MATCH($B$8,Juniorstwo!$A$56:$N$56,0))*E$8+INDEX(JuniorzyPozytyw[],MATCH($A82,Juniorstwo!$A$57:$A$76,0),MATCH($B$9,Juniorstwo!$A$56:$N$56,0))*E$9+INDEX(JuniorzyPozytyw[],MATCH($A82,Juniorstwo!$A$57:$A$76,0),MATCH($B$10,Juniorstwo!$A$56:$N$56,0))*E$10+INDEX(JuniorzyPozytyw[],MATCH($A82,Juniorstwo!$A$57:$A$76,0),MATCH($B$11,Juniorstwo!$A$56:$N$56,0))*E$11+INDEX(JuniorzyPozytyw[],MATCH($A82,Juniorstwo!$A$57:$A$76,0),MATCH($B$12,Juniorstwo!$A$56:$N$56,0))*E$12+INDEX(JuniorzyPozytyw[],MATCH($A82,Juniorstwo!$A$57:$A$76,0),MATCH($B$13,Juniorstwo!$A$56:$N$56,0))*E$13,"-")</f>
        <v>80.819999999999993</v>
      </c>
      <c r="F82" s="38">
        <f ca="1">IFERROR(INDEX(JuniorzyPozytyw[],MATCH($A82,Juniorstwo!$A$57:$A$76,0),MATCH($B$2,Juniorstwo!$A$56:$N$56,0))*F$2+INDEX(JuniorzyPozytyw[],MATCH($A82,Juniorstwo!$A$57:$A$76,0),MATCH($B$3,Juniorstwo!$A$56:$N$56,0))*F$3+INDEX(JuniorzyPozytyw[],MATCH($A82,Juniorstwo!$A$57:$A$76,0),MATCH($B$4,Juniorstwo!$A$56:$N$56,0))*F$4+INDEX(JuniorzyPozytyw[],MATCH($A82,Juniorstwo!$A$57:$A$76,0),MATCH($B$5,Juniorstwo!$A$56:$N$56,0))*F$5+INDEX(JuniorzyPozytyw[],MATCH($A82,Juniorstwo!$A$57:$A$76,0),MATCH($B$6,Juniorstwo!$A$56:$N$56,0))*F$6+INDEX(JuniorzyPozytyw[],MATCH($A82,Juniorstwo!$A$57:$A$76,0),MATCH($B$7,Juniorstwo!$A$56:$N$56,0))*F$7+INDEX(JuniorzyPozytyw[],MATCH($A82,Juniorstwo!$A$57:$A$76,0),MATCH($B$8,Juniorstwo!$A$56:$N$56,0))*F$8+INDEX(JuniorzyPozytyw[],MATCH($A82,Juniorstwo!$A$57:$A$76,0),MATCH($B$9,Juniorstwo!$A$56:$N$56,0))*F$9+INDEX(JuniorzyPozytyw[],MATCH($A82,Juniorstwo!$A$57:$A$76,0),MATCH($B$10,Juniorstwo!$A$56:$N$56,0))*F$10+INDEX(JuniorzyPozytyw[],MATCH($A82,Juniorstwo!$A$57:$A$76,0),MATCH($B$11,Juniorstwo!$A$56:$N$56,0))*F$11+INDEX(JuniorzyPozytyw[],MATCH($A82,Juniorstwo!$A$57:$A$76,0),MATCH($B$12,Juniorstwo!$A$56:$N$56,0))*F$12+INDEX(JuniorzyPozytyw[],MATCH($A82,Juniorstwo!$A$57:$A$76,0),MATCH($B$13,Juniorstwo!$A$56:$N$56,0))*F$13,"-")</f>
        <v>81.569999999999993</v>
      </c>
      <c r="G82" s="38">
        <f ca="1">IFERROR(INDEX(JuniorzyPozytyw[],MATCH($A82,Juniorstwo!$A$57:$A$76,0),MATCH($B$2,Juniorstwo!$A$56:$N$56,0))*G$2+INDEX(JuniorzyPozytyw[],MATCH($A82,Juniorstwo!$A$57:$A$76,0),MATCH($B$3,Juniorstwo!$A$56:$N$56,0))*G$3+INDEX(JuniorzyPozytyw[],MATCH($A82,Juniorstwo!$A$57:$A$76,0),MATCH($B$4,Juniorstwo!$A$56:$N$56,0))*G$4+INDEX(JuniorzyPozytyw[],MATCH($A82,Juniorstwo!$A$57:$A$76,0),MATCH($B$5,Juniorstwo!$A$56:$N$56,0))*G$5+INDEX(JuniorzyPozytyw[],MATCH($A82,Juniorstwo!$A$57:$A$76,0),MATCH($B$6,Juniorstwo!$A$56:$N$56,0))*G$6+INDEX(JuniorzyPozytyw[],MATCH($A82,Juniorstwo!$A$57:$A$76,0),MATCH($B$7,Juniorstwo!$A$56:$N$56,0))*G$7+INDEX(JuniorzyPozytyw[],MATCH($A82,Juniorstwo!$A$57:$A$76,0),MATCH($B$8,Juniorstwo!$A$56:$N$56,0))*G$8+INDEX(JuniorzyPozytyw[],MATCH($A82,Juniorstwo!$A$57:$A$76,0),MATCH($B$9,Juniorstwo!$A$56:$N$56,0))*G$9+INDEX(JuniorzyPozytyw[],MATCH($A82,Juniorstwo!$A$57:$A$76,0),MATCH($B$10,Juniorstwo!$A$56:$N$56,0))*G$10+INDEX(JuniorzyPozytyw[],MATCH($A82,Juniorstwo!$A$57:$A$76,0),MATCH($B$11,Juniorstwo!$A$56:$N$56,0))*G$11+INDEX(JuniorzyPozytyw[],MATCH($A82,Juniorstwo!$A$57:$A$76,0),MATCH($B$12,Juniorstwo!$A$56:$N$56,0))*G$12+INDEX(JuniorzyPozytyw[],MATCH($A82,Juniorstwo!$A$57:$A$76,0),MATCH($B$13,Juniorstwo!$A$56:$N$56,0))*G$13,"-")</f>
        <v>81.569999999999993</v>
      </c>
      <c r="H82" s="38">
        <f ca="1">IFERROR(INDEX(JuniorzyPozytyw[],MATCH($A82,Juniorstwo!$A$57:$A$76,0),MATCH($B$2,Juniorstwo!$A$56:$N$56,0))*H$2+INDEX(JuniorzyPozytyw[],MATCH($A82,Juniorstwo!$A$57:$A$76,0),MATCH($B$3,Juniorstwo!$A$56:$N$56,0))*H$3+INDEX(JuniorzyPozytyw[],MATCH($A82,Juniorstwo!$A$57:$A$76,0),MATCH($B$4,Juniorstwo!$A$56:$N$56,0))*H$4+INDEX(JuniorzyPozytyw[],MATCH($A82,Juniorstwo!$A$57:$A$76,0),MATCH($B$5,Juniorstwo!$A$56:$N$56,0))*H$5+INDEX(JuniorzyPozytyw[],MATCH($A82,Juniorstwo!$A$57:$A$76,0),MATCH($B$6,Juniorstwo!$A$56:$N$56,0))*H$6+INDEX(JuniorzyPozytyw[],MATCH($A82,Juniorstwo!$A$57:$A$76,0),MATCH($B$7,Juniorstwo!$A$56:$N$56,0))*H$7+INDEX(JuniorzyPozytyw[],MATCH($A82,Juniorstwo!$A$57:$A$76,0),MATCH($B$8,Juniorstwo!$A$56:$N$56,0))*H$8+INDEX(JuniorzyPozytyw[],MATCH($A82,Juniorstwo!$A$57:$A$76,0),MATCH($B$9,Juniorstwo!$A$56:$N$56,0))*H$9+INDEX(JuniorzyPozytyw[],MATCH($A82,Juniorstwo!$A$57:$A$76,0),MATCH($B$10,Juniorstwo!$A$56:$N$56,0))*H$10+INDEX(JuniorzyPozytyw[],MATCH($A82,Juniorstwo!$A$57:$A$76,0),MATCH($B$11,Juniorstwo!$A$56:$N$56,0))*H$11+INDEX(JuniorzyPozytyw[],MATCH($A82,Juniorstwo!$A$57:$A$76,0),MATCH($B$12,Juniorstwo!$A$56:$N$56,0))*H$12+INDEX(JuniorzyPozytyw[],MATCH($A82,Juniorstwo!$A$57:$A$76,0),MATCH($B$13,Juniorstwo!$A$56:$N$56,0))*H$13,"-")</f>
        <v>81.569999999999993</v>
      </c>
      <c r="I82" s="38">
        <f ca="1">IFERROR(INDEX(JuniorzyPozytyw[],MATCH($A82,Juniorstwo!$A$57:$A$76,0),MATCH($B$2,Juniorstwo!$A$56:$N$56,0))*I$2+INDEX(JuniorzyPozytyw[],MATCH($A82,Juniorstwo!$A$57:$A$76,0),MATCH($B$3,Juniorstwo!$A$56:$N$56,0))*I$3+INDEX(JuniorzyPozytyw[],MATCH($A82,Juniorstwo!$A$57:$A$76,0),MATCH($B$4,Juniorstwo!$A$56:$N$56,0))*I$4+INDEX(JuniorzyPozytyw[],MATCH($A82,Juniorstwo!$A$57:$A$76,0),MATCH($B$5,Juniorstwo!$A$56:$N$56,0))*I$5+INDEX(JuniorzyPozytyw[],MATCH($A82,Juniorstwo!$A$57:$A$76,0),MATCH($B$6,Juniorstwo!$A$56:$N$56,0))*I$6+INDEX(JuniorzyPozytyw[],MATCH($A82,Juniorstwo!$A$57:$A$76,0),MATCH($B$7,Juniorstwo!$A$56:$N$56,0))*I$7+INDEX(JuniorzyPozytyw[],MATCH($A82,Juniorstwo!$A$57:$A$76,0),MATCH($B$8,Juniorstwo!$A$56:$N$56,0))*I$8+INDEX(JuniorzyPozytyw[],MATCH($A82,Juniorstwo!$A$57:$A$76,0),MATCH($B$9,Juniorstwo!$A$56:$N$56,0))*I$9+INDEX(JuniorzyPozytyw[],MATCH($A82,Juniorstwo!$A$57:$A$76,0),MATCH($B$10,Juniorstwo!$A$56:$N$56,0))*I$10+INDEX(JuniorzyPozytyw[],MATCH($A82,Juniorstwo!$A$57:$A$76,0),MATCH($B$11,Juniorstwo!$A$56:$N$56,0))*I$11+INDEX(JuniorzyPozytyw[],MATCH($A82,Juniorstwo!$A$57:$A$76,0),MATCH($B$12,Juniorstwo!$A$56:$N$56,0))*I$12+INDEX(JuniorzyPozytyw[],MATCH($A82,Juniorstwo!$A$57:$A$76,0),MATCH($B$13,Juniorstwo!$A$56:$N$56,0))*I$13,"-")</f>
        <v>81.819999999999993</v>
      </c>
      <c r="J82" s="38">
        <f ca="1">IFERROR(INDEX(JuniorzyPozytyw[],MATCH($A82,Juniorstwo!$A$57:$A$76,0),MATCH($B$2,Juniorstwo!$A$56:$N$56,0))*J$2+INDEX(JuniorzyPozytyw[],MATCH($A82,Juniorstwo!$A$57:$A$76,0),MATCH($B$3,Juniorstwo!$A$56:$N$56,0))*J$3+INDEX(JuniorzyPozytyw[],MATCH($A82,Juniorstwo!$A$57:$A$76,0),MATCH($B$4,Juniorstwo!$A$56:$N$56,0))*J$4+INDEX(JuniorzyPozytyw[],MATCH($A82,Juniorstwo!$A$57:$A$76,0),MATCH($B$5,Juniorstwo!$A$56:$N$56,0))*J$5+INDEX(JuniorzyPozytyw[],MATCH($A82,Juniorstwo!$A$57:$A$76,0),MATCH($B$6,Juniorstwo!$A$56:$N$56,0))*J$6+INDEX(JuniorzyPozytyw[],MATCH($A82,Juniorstwo!$A$57:$A$76,0),MATCH($B$7,Juniorstwo!$A$56:$N$56,0))*J$7+INDEX(JuniorzyPozytyw[],MATCH($A82,Juniorstwo!$A$57:$A$76,0),MATCH($B$8,Juniorstwo!$A$56:$N$56,0))*J$8+INDEX(JuniorzyPozytyw[],MATCH($A82,Juniorstwo!$A$57:$A$76,0),MATCH($B$9,Juniorstwo!$A$56:$N$56,0))*J$9+INDEX(JuniorzyPozytyw[],MATCH($A82,Juniorstwo!$A$57:$A$76,0),MATCH($B$10,Juniorstwo!$A$56:$N$56,0))*J$10+INDEX(JuniorzyPozytyw[],MATCH($A82,Juniorstwo!$A$57:$A$76,0),MATCH($B$11,Juniorstwo!$A$56:$N$56,0))*J$11+INDEX(JuniorzyPozytyw[],MATCH($A82,Juniorstwo!$A$57:$A$76,0),MATCH($B$12,Juniorstwo!$A$56:$N$56,0))*J$12+INDEX(JuniorzyPozytyw[],MATCH($A82,Juniorstwo!$A$57:$A$76,0),MATCH($B$13,Juniorstwo!$A$56:$N$56,0))*J$13,"-")</f>
        <v>81.069999999999993</v>
      </c>
      <c r="K82" s="38">
        <f ca="1">IFERROR(INDEX(JuniorzyPozytyw[],MATCH($A82,Juniorstwo!$A$57:$A$76,0),MATCH($B$2,Juniorstwo!$A$56:$N$56,0))*K$2+INDEX(JuniorzyPozytyw[],MATCH($A82,Juniorstwo!$A$57:$A$76,0),MATCH($B$3,Juniorstwo!$A$56:$N$56,0))*K$3+INDEX(JuniorzyPozytyw[],MATCH($A82,Juniorstwo!$A$57:$A$76,0),MATCH($B$4,Juniorstwo!$A$56:$N$56,0))*K$4+INDEX(JuniorzyPozytyw[],MATCH($A82,Juniorstwo!$A$57:$A$76,0),MATCH($B$5,Juniorstwo!$A$56:$N$56,0))*K$5+INDEX(JuniorzyPozytyw[],MATCH($A82,Juniorstwo!$A$57:$A$76,0),MATCH($B$6,Juniorstwo!$A$56:$N$56,0))*K$6+INDEX(JuniorzyPozytyw[],MATCH($A82,Juniorstwo!$A$57:$A$76,0),MATCH($B$7,Juniorstwo!$A$56:$N$56,0))*K$7+INDEX(JuniorzyPozytyw[],MATCH($A82,Juniorstwo!$A$57:$A$76,0),MATCH($B$8,Juniorstwo!$A$56:$N$56,0))*K$8+INDEX(JuniorzyPozytyw[],MATCH($A82,Juniorstwo!$A$57:$A$76,0),MATCH($B$9,Juniorstwo!$A$56:$N$56,0))*K$9+INDEX(JuniorzyPozytyw[],MATCH($A82,Juniorstwo!$A$57:$A$76,0),MATCH($B$10,Juniorstwo!$A$56:$N$56,0))*K$10+INDEX(JuniorzyPozytyw[],MATCH($A82,Juniorstwo!$A$57:$A$76,0),MATCH($B$11,Juniorstwo!$A$56:$N$56,0))*K$11+INDEX(JuniorzyPozytyw[],MATCH($A82,Juniorstwo!$A$57:$A$76,0),MATCH($B$12,Juniorstwo!$A$56:$N$56,0))*K$12+INDEX(JuniorzyPozytyw[],MATCH($A82,Juniorstwo!$A$57:$A$76,0),MATCH($B$13,Juniorstwo!$A$56:$N$56,0))*K$13,"-")</f>
        <v>81.319999999999993</v>
      </c>
    </row>
    <row r="83" spans="1:11" x14ac:dyDescent="0.25">
      <c r="A83">
        <f>IFERROR(PozycjeŚr!A59,"-")</f>
        <v>27</v>
      </c>
      <c r="B83" s="3" t="str">
        <f>IFERROR(VLOOKUP(PozJunPMG[[#This Row],[Numer]],Zawodnicy[[Number]:[Player name]],2,FALSE),"-")</f>
        <v>Sylwester Kaszubowski</v>
      </c>
      <c r="C83" s="38">
        <f ca="1">IFERROR(INDEX(JuniorzyPozytyw[],MATCH($A83,Juniorstwo!$A$57:$A$76,0),MATCH($B$2,Juniorstwo!$A$56:$N$56,0))*C$2+INDEX(JuniorzyPozytyw[],MATCH($A83,Juniorstwo!$A$57:$A$76,0),MATCH($B$3,Juniorstwo!$A$56:$N$56,0))*C$3+INDEX(JuniorzyPozytyw[],MATCH($A83,Juniorstwo!$A$57:$A$76,0),MATCH($B$4,Juniorstwo!$A$56:$N$56,0))*C$4+INDEX(JuniorzyPozytyw[],MATCH($A83,Juniorstwo!$A$57:$A$76,0),MATCH($B$5,Juniorstwo!$A$56:$N$56,0))*C$5+INDEX(JuniorzyPozytyw[],MATCH($A83,Juniorstwo!$A$57:$A$76,0),MATCH($B$6,Juniorstwo!$A$56:$N$56,0))*C$6+INDEX(JuniorzyPozytyw[],MATCH($A83,Juniorstwo!$A$57:$A$76,0),MATCH($B$7,Juniorstwo!$A$56:$N$56,0))*C$7+INDEX(JuniorzyPozytyw[],MATCH($A83,Juniorstwo!$A$57:$A$76,0),MATCH($B$8,Juniorstwo!$A$56:$N$56,0))*C$8+INDEX(JuniorzyPozytyw[],MATCH($A83,Juniorstwo!$A$57:$A$76,0),MATCH($B$9,Juniorstwo!$A$56:$N$56,0))*C$9+INDEX(JuniorzyPozytyw[],MATCH($A83,Juniorstwo!$A$57:$A$76,0),MATCH($B$10,Juniorstwo!$A$56:$N$56,0))*C$10+INDEX(JuniorzyPozytyw[],MATCH($A83,Juniorstwo!$A$57:$A$76,0),MATCH($B$11,Juniorstwo!$A$56:$N$56,0))*C$11+INDEX(JuniorzyPozytyw[],MATCH($A83,Juniorstwo!$A$57:$A$76,0),MATCH($B$12,Juniorstwo!$A$56:$N$56,0))*C$12+INDEX(JuniorzyPozytyw[],MATCH($A83,Juniorstwo!$A$57:$A$76,0),MATCH($B$13,Juniorstwo!$A$56:$N$56,0))*C$13,"-")</f>
        <v>55.57</v>
      </c>
      <c r="D83" s="38">
        <f ca="1">IFERROR(INDEX(JuniorzyPozytyw[],MATCH($A83,Juniorstwo!$A$57:$A$76,0),MATCH($B$2,Juniorstwo!$A$56:$N$56,0))*D$2+INDEX(JuniorzyPozytyw[],MATCH($A83,Juniorstwo!$A$57:$A$76,0),MATCH($B$3,Juniorstwo!$A$56:$N$56,0))*D$3+INDEX(JuniorzyPozytyw[],MATCH($A83,Juniorstwo!$A$57:$A$76,0),MATCH($B$4,Juniorstwo!$A$56:$N$56,0))*D$4+INDEX(JuniorzyPozytyw[],MATCH($A83,Juniorstwo!$A$57:$A$76,0),MATCH($B$5,Juniorstwo!$A$56:$N$56,0))*D$5+INDEX(JuniorzyPozytyw[],MATCH($A83,Juniorstwo!$A$57:$A$76,0),MATCH($B$6,Juniorstwo!$A$56:$N$56,0))*D$6+INDEX(JuniorzyPozytyw[],MATCH($A83,Juniorstwo!$A$57:$A$76,0),MATCH($B$7,Juniorstwo!$A$56:$N$56,0))*D$7+INDEX(JuniorzyPozytyw[],MATCH($A83,Juniorstwo!$A$57:$A$76,0),MATCH($B$8,Juniorstwo!$A$56:$N$56,0))*D$8+INDEX(JuniorzyPozytyw[],MATCH($A83,Juniorstwo!$A$57:$A$76,0),MATCH($B$9,Juniorstwo!$A$56:$N$56,0))*D$9+INDEX(JuniorzyPozytyw[],MATCH($A83,Juniorstwo!$A$57:$A$76,0),MATCH($B$10,Juniorstwo!$A$56:$N$56,0))*D$10+INDEX(JuniorzyPozytyw[],MATCH($A83,Juniorstwo!$A$57:$A$76,0),MATCH($B$11,Juniorstwo!$A$56:$N$56,0))*D$11+INDEX(JuniorzyPozytyw[],MATCH($A83,Juniorstwo!$A$57:$A$76,0),MATCH($B$12,Juniorstwo!$A$56:$N$56,0))*D$12+INDEX(JuniorzyPozytyw[],MATCH($A83,Juniorstwo!$A$57:$A$76,0),MATCH($B$13,Juniorstwo!$A$56:$N$56,0))*D$13,"-")</f>
        <v>67.819999999999993</v>
      </c>
      <c r="E83" s="38">
        <f ca="1">IFERROR(INDEX(JuniorzyPozytyw[],MATCH($A83,Juniorstwo!$A$57:$A$76,0),MATCH($B$2,Juniorstwo!$A$56:$N$56,0))*E$2+INDEX(JuniorzyPozytyw[],MATCH($A83,Juniorstwo!$A$57:$A$76,0),MATCH($B$3,Juniorstwo!$A$56:$N$56,0))*E$3+INDEX(JuniorzyPozytyw[],MATCH($A83,Juniorstwo!$A$57:$A$76,0),MATCH($B$4,Juniorstwo!$A$56:$N$56,0))*E$4+INDEX(JuniorzyPozytyw[],MATCH($A83,Juniorstwo!$A$57:$A$76,0),MATCH($B$5,Juniorstwo!$A$56:$N$56,0))*E$5+INDEX(JuniorzyPozytyw[],MATCH($A83,Juniorstwo!$A$57:$A$76,0),MATCH($B$6,Juniorstwo!$A$56:$N$56,0))*E$6+INDEX(JuniorzyPozytyw[],MATCH($A83,Juniorstwo!$A$57:$A$76,0),MATCH($B$7,Juniorstwo!$A$56:$N$56,0))*E$7+INDEX(JuniorzyPozytyw[],MATCH($A83,Juniorstwo!$A$57:$A$76,0),MATCH($B$8,Juniorstwo!$A$56:$N$56,0))*E$8+INDEX(JuniorzyPozytyw[],MATCH($A83,Juniorstwo!$A$57:$A$76,0),MATCH($B$9,Juniorstwo!$A$56:$N$56,0))*E$9+INDEX(JuniorzyPozytyw[],MATCH($A83,Juniorstwo!$A$57:$A$76,0),MATCH($B$10,Juniorstwo!$A$56:$N$56,0))*E$10+INDEX(JuniorzyPozytyw[],MATCH($A83,Juniorstwo!$A$57:$A$76,0),MATCH($B$11,Juniorstwo!$A$56:$N$56,0))*E$11+INDEX(JuniorzyPozytyw[],MATCH($A83,Juniorstwo!$A$57:$A$76,0),MATCH($B$12,Juniorstwo!$A$56:$N$56,0))*E$12+INDEX(JuniorzyPozytyw[],MATCH($A83,Juniorstwo!$A$57:$A$76,0),MATCH($B$13,Juniorstwo!$A$56:$N$56,0))*E$13,"-")</f>
        <v>70.319999999999993</v>
      </c>
      <c r="F83" s="38">
        <f ca="1">IFERROR(INDEX(JuniorzyPozytyw[],MATCH($A83,Juniorstwo!$A$57:$A$76,0),MATCH($B$2,Juniorstwo!$A$56:$N$56,0))*F$2+INDEX(JuniorzyPozytyw[],MATCH($A83,Juniorstwo!$A$57:$A$76,0),MATCH($B$3,Juniorstwo!$A$56:$N$56,0))*F$3+INDEX(JuniorzyPozytyw[],MATCH($A83,Juniorstwo!$A$57:$A$76,0),MATCH($B$4,Juniorstwo!$A$56:$N$56,0))*F$4+INDEX(JuniorzyPozytyw[],MATCH($A83,Juniorstwo!$A$57:$A$76,0),MATCH($B$5,Juniorstwo!$A$56:$N$56,0))*F$5+INDEX(JuniorzyPozytyw[],MATCH($A83,Juniorstwo!$A$57:$A$76,0),MATCH($B$6,Juniorstwo!$A$56:$N$56,0))*F$6+INDEX(JuniorzyPozytyw[],MATCH($A83,Juniorstwo!$A$57:$A$76,0),MATCH($B$7,Juniorstwo!$A$56:$N$56,0))*F$7+INDEX(JuniorzyPozytyw[],MATCH($A83,Juniorstwo!$A$57:$A$76,0),MATCH($B$8,Juniorstwo!$A$56:$N$56,0))*F$8+INDEX(JuniorzyPozytyw[],MATCH($A83,Juniorstwo!$A$57:$A$76,0),MATCH($B$9,Juniorstwo!$A$56:$N$56,0))*F$9+INDEX(JuniorzyPozytyw[],MATCH($A83,Juniorstwo!$A$57:$A$76,0),MATCH($B$10,Juniorstwo!$A$56:$N$56,0))*F$10+INDEX(JuniorzyPozytyw[],MATCH($A83,Juniorstwo!$A$57:$A$76,0),MATCH($B$11,Juniorstwo!$A$56:$N$56,0))*F$11+INDEX(JuniorzyPozytyw[],MATCH($A83,Juniorstwo!$A$57:$A$76,0),MATCH($B$12,Juniorstwo!$A$56:$N$56,0))*F$12+INDEX(JuniorzyPozytyw[],MATCH($A83,Juniorstwo!$A$57:$A$76,0),MATCH($B$13,Juniorstwo!$A$56:$N$56,0))*F$13,"-")</f>
        <v>71.819999999999993</v>
      </c>
      <c r="G83" s="38">
        <f ca="1">IFERROR(INDEX(JuniorzyPozytyw[],MATCH($A83,Juniorstwo!$A$57:$A$76,0),MATCH($B$2,Juniorstwo!$A$56:$N$56,0))*G$2+INDEX(JuniorzyPozytyw[],MATCH($A83,Juniorstwo!$A$57:$A$76,0),MATCH($B$3,Juniorstwo!$A$56:$N$56,0))*G$3+INDEX(JuniorzyPozytyw[],MATCH($A83,Juniorstwo!$A$57:$A$76,0),MATCH($B$4,Juniorstwo!$A$56:$N$56,0))*G$4+INDEX(JuniorzyPozytyw[],MATCH($A83,Juniorstwo!$A$57:$A$76,0),MATCH($B$5,Juniorstwo!$A$56:$N$56,0))*G$5+INDEX(JuniorzyPozytyw[],MATCH($A83,Juniorstwo!$A$57:$A$76,0),MATCH($B$6,Juniorstwo!$A$56:$N$56,0))*G$6+INDEX(JuniorzyPozytyw[],MATCH($A83,Juniorstwo!$A$57:$A$76,0),MATCH($B$7,Juniorstwo!$A$56:$N$56,0))*G$7+INDEX(JuniorzyPozytyw[],MATCH($A83,Juniorstwo!$A$57:$A$76,0),MATCH($B$8,Juniorstwo!$A$56:$N$56,0))*G$8+INDEX(JuniorzyPozytyw[],MATCH($A83,Juniorstwo!$A$57:$A$76,0),MATCH($B$9,Juniorstwo!$A$56:$N$56,0))*G$9+INDEX(JuniorzyPozytyw[],MATCH($A83,Juniorstwo!$A$57:$A$76,0),MATCH($B$10,Juniorstwo!$A$56:$N$56,0))*G$10+INDEX(JuniorzyPozytyw[],MATCH($A83,Juniorstwo!$A$57:$A$76,0),MATCH($B$11,Juniorstwo!$A$56:$N$56,0))*G$11+INDEX(JuniorzyPozytyw[],MATCH($A83,Juniorstwo!$A$57:$A$76,0),MATCH($B$12,Juniorstwo!$A$56:$N$56,0))*G$12+INDEX(JuniorzyPozytyw[],MATCH($A83,Juniorstwo!$A$57:$A$76,0),MATCH($B$13,Juniorstwo!$A$56:$N$56,0))*G$13,"-")</f>
        <v>75.319999999999993</v>
      </c>
      <c r="H83" s="38">
        <f ca="1">IFERROR(INDEX(JuniorzyPozytyw[],MATCH($A83,Juniorstwo!$A$57:$A$76,0),MATCH($B$2,Juniorstwo!$A$56:$N$56,0))*H$2+INDEX(JuniorzyPozytyw[],MATCH($A83,Juniorstwo!$A$57:$A$76,0),MATCH($B$3,Juniorstwo!$A$56:$N$56,0))*H$3+INDEX(JuniorzyPozytyw[],MATCH($A83,Juniorstwo!$A$57:$A$76,0),MATCH($B$4,Juniorstwo!$A$56:$N$56,0))*H$4+INDEX(JuniorzyPozytyw[],MATCH($A83,Juniorstwo!$A$57:$A$76,0),MATCH($B$5,Juniorstwo!$A$56:$N$56,0))*H$5+INDEX(JuniorzyPozytyw[],MATCH($A83,Juniorstwo!$A$57:$A$76,0),MATCH($B$6,Juniorstwo!$A$56:$N$56,0))*H$6+INDEX(JuniorzyPozytyw[],MATCH($A83,Juniorstwo!$A$57:$A$76,0),MATCH($B$7,Juniorstwo!$A$56:$N$56,0))*H$7+INDEX(JuniorzyPozytyw[],MATCH($A83,Juniorstwo!$A$57:$A$76,0),MATCH($B$8,Juniorstwo!$A$56:$N$56,0))*H$8+INDEX(JuniorzyPozytyw[],MATCH($A83,Juniorstwo!$A$57:$A$76,0),MATCH($B$9,Juniorstwo!$A$56:$N$56,0))*H$9+INDEX(JuniorzyPozytyw[],MATCH($A83,Juniorstwo!$A$57:$A$76,0),MATCH($B$10,Juniorstwo!$A$56:$N$56,0))*H$10+INDEX(JuniorzyPozytyw[],MATCH($A83,Juniorstwo!$A$57:$A$76,0),MATCH($B$11,Juniorstwo!$A$56:$N$56,0))*H$11+INDEX(JuniorzyPozytyw[],MATCH($A83,Juniorstwo!$A$57:$A$76,0),MATCH($B$12,Juniorstwo!$A$56:$N$56,0))*H$12+INDEX(JuniorzyPozytyw[],MATCH($A83,Juniorstwo!$A$57:$A$76,0),MATCH($B$13,Juniorstwo!$A$56:$N$56,0))*H$13,"-")</f>
        <v>75.819999999999993</v>
      </c>
      <c r="I83" s="38">
        <f ca="1">IFERROR(INDEX(JuniorzyPozytyw[],MATCH($A83,Juniorstwo!$A$57:$A$76,0),MATCH($B$2,Juniorstwo!$A$56:$N$56,0))*I$2+INDEX(JuniorzyPozytyw[],MATCH($A83,Juniorstwo!$A$57:$A$76,0),MATCH($B$3,Juniorstwo!$A$56:$N$56,0))*I$3+INDEX(JuniorzyPozytyw[],MATCH($A83,Juniorstwo!$A$57:$A$76,0),MATCH($B$4,Juniorstwo!$A$56:$N$56,0))*I$4+INDEX(JuniorzyPozytyw[],MATCH($A83,Juniorstwo!$A$57:$A$76,0),MATCH($B$5,Juniorstwo!$A$56:$N$56,0))*I$5+INDEX(JuniorzyPozytyw[],MATCH($A83,Juniorstwo!$A$57:$A$76,0),MATCH($B$6,Juniorstwo!$A$56:$N$56,0))*I$6+INDEX(JuniorzyPozytyw[],MATCH($A83,Juniorstwo!$A$57:$A$76,0),MATCH($B$7,Juniorstwo!$A$56:$N$56,0))*I$7+INDEX(JuniorzyPozytyw[],MATCH($A83,Juniorstwo!$A$57:$A$76,0),MATCH($B$8,Juniorstwo!$A$56:$N$56,0))*I$8+INDEX(JuniorzyPozytyw[],MATCH($A83,Juniorstwo!$A$57:$A$76,0),MATCH($B$9,Juniorstwo!$A$56:$N$56,0))*I$9+INDEX(JuniorzyPozytyw[],MATCH($A83,Juniorstwo!$A$57:$A$76,0),MATCH($B$10,Juniorstwo!$A$56:$N$56,0))*I$10+INDEX(JuniorzyPozytyw[],MATCH($A83,Juniorstwo!$A$57:$A$76,0),MATCH($B$11,Juniorstwo!$A$56:$N$56,0))*I$11+INDEX(JuniorzyPozytyw[],MATCH($A83,Juniorstwo!$A$57:$A$76,0),MATCH($B$12,Juniorstwo!$A$56:$N$56,0))*I$12+INDEX(JuniorzyPozytyw[],MATCH($A83,Juniorstwo!$A$57:$A$76,0),MATCH($B$13,Juniorstwo!$A$56:$N$56,0))*I$13,"-")</f>
        <v>75.319999999999993</v>
      </c>
      <c r="J83" s="38">
        <f ca="1">IFERROR(INDEX(JuniorzyPozytyw[],MATCH($A83,Juniorstwo!$A$57:$A$76,0),MATCH($B$2,Juniorstwo!$A$56:$N$56,0))*J$2+INDEX(JuniorzyPozytyw[],MATCH($A83,Juniorstwo!$A$57:$A$76,0),MATCH($B$3,Juniorstwo!$A$56:$N$56,0))*J$3+INDEX(JuniorzyPozytyw[],MATCH($A83,Juniorstwo!$A$57:$A$76,0),MATCH($B$4,Juniorstwo!$A$56:$N$56,0))*J$4+INDEX(JuniorzyPozytyw[],MATCH($A83,Juniorstwo!$A$57:$A$76,0),MATCH($B$5,Juniorstwo!$A$56:$N$56,0))*J$5+INDEX(JuniorzyPozytyw[],MATCH($A83,Juniorstwo!$A$57:$A$76,0),MATCH($B$6,Juniorstwo!$A$56:$N$56,0))*J$6+INDEX(JuniorzyPozytyw[],MATCH($A83,Juniorstwo!$A$57:$A$76,0),MATCH($B$7,Juniorstwo!$A$56:$N$56,0))*J$7+INDEX(JuniorzyPozytyw[],MATCH($A83,Juniorstwo!$A$57:$A$76,0),MATCH($B$8,Juniorstwo!$A$56:$N$56,0))*J$8+INDEX(JuniorzyPozytyw[],MATCH($A83,Juniorstwo!$A$57:$A$76,0),MATCH($B$9,Juniorstwo!$A$56:$N$56,0))*J$9+INDEX(JuniorzyPozytyw[],MATCH($A83,Juniorstwo!$A$57:$A$76,0),MATCH($B$10,Juniorstwo!$A$56:$N$56,0))*J$10+INDEX(JuniorzyPozytyw[],MATCH($A83,Juniorstwo!$A$57:$A$76,0),MATCH($B$11,Juniorstwo!$A$56:$N$56,0))*J$11+INDEX(JuniorzyPozytyw[],MATCH($A83,Juniorstwo!$A$57:$A$76,0),MATCH($B$12,Juniorstwo!$A$56:$N$56,0))*J$12+INDEX(JuniorzyPozytyw[],MATCH($A83,Juniorstwo!$A$57:$A$76,0),MATCH($B$13,Juniorstwo!$A$56:$N$56,0))*J$13,"-")</f>
        <v>74.319999999999993</v>
      </c>
      <c r="K83" s="38">
        <f ca="1">IFERROR(INDEX(JuniorzyPozytyw[],MATCH($A83,Juniorstwo!$A$57:$A$76,0),MATCH($B$2,Juniorstwo!$A$56:$N$56,0))*K$2+INDEX(JuniorzyPozytyw[],MATCH($A83,Juniorstwo!$A$57:$A$76,0),MATCH($B$3,Juniorstwo!$A$56:$N$56,0))*K$3+INDEX(JuniorzyPozytyw[],MATCH($A83,Juniorstwo!$A$57:$A$76,0),MATCH($B$4,Juniorstwo!$A$56:$N$56,0))*K$4+INDEX(JuniorzyPozytyw[],MATCH($A83,Juniorstwo!$A$57:$A$76,0),MATCH($B$5,Juniorstwo!$A$56:$N$56,0))*K$5+INDEX(JuniorzyPozytyw[],MATCH($A83,Juniorstwo!$A$57:$A$76,0),MATCH($B$6,Juniorstwo!$A$56:$N$56,0))*K$6+INDEX(JuniorzyPozytyw[],MATCH($A83,Juniorstwo!$A$57:$A$76,0),MATCH($B$7,Juniorstwo!$A$56:$N$56,0))*K$7+INDEX(JuniorzyPozytyw[],MATCH($A83,Juniorstwo!$A$57:$A$76,0),MATCH($B$8,Juniorstwo!$A$56:$N$56,0))*K$8+INDEX(JuniorzyPozytyw[],MATCH($A83,Juniorstwo!$A$57:$A$76,0),MATCH($B$9,Juniorstwo!$A$56:$N$56,0))*K$9+INDEX(JuniorzyPozytyw[],MATCH($A83,Juniorstwo!$A$57:$A$76,0),MATCH($B$10,Juniorstwo!$A$56:$N$56,0))*K$10+INDEX(JuniorzyPozytyw[],MATCH($A83,Juniorstwo!$A$57:$A$76,0),MATCH($B$11,Juniorstwo!$A$56:$N$56,0))*K$11+INDEX(JuniorzyPozytyw[],MATCH($A83,Juniorstwo!$A$57:$A$76,0),MATCH($B$12,Juniorstwo!$A$56:$N$56,0))*K$12+INDEX(JuniorzyPozytyw[],MATCH($A83,Juniorstwo!$A$57:$A$76,0),MATCH($B$13,Juniorstwo!$A$56:$N$56,0))*K$13,"-")</f>
        <v>68.819999999999993</v>
      </c>
    </row>
    <row r="84" spans="1:11" x14ac:dyDescent="0.25">
      <c r="A84">
        <f>IFERROR(PozycjeŚr!A60,"-")</f>
        <v>59</v>
      </c>
      <c r="B84" s="3" t="str">
        <f>IFERROR(VLOOKUP(PozJunPMG[[#This Row],[Numer]],Zawodnicy[[Number]:[Player name]],2,FALSE),"-")</f>
        <v>Milosz Kostrzewski</v>
      </c>
      <c r="C84" s="38">
        <f ca="1">IFERROR(INDEX(JuniorzyPozytyw[],MATCH($A84,Juniorstwo!$A$57:$A$76,0),MATCH($B$2,Juniorstwo!$A$56:$N$56,0))*C$2+INDEX(JuniorzyPozytyw[],MATCH($A84,Juniorstwo!$A$57:$A$76,0),MATCH($B$3,Juniorstwo!$A$56:$N$56,0))*C$3+INDEX(JuniorzyPozytyw[],MATCH($A84,Juniorstwo!$A$57:$A$76,0),MATCH($B$4,Juniorstwo!$A$56:$N$56,0))*C$4+INDEX(JuniorzyPozytyw[],MATCH($A84,Juniorstwo!$A$57:$A$76,0),MATCH($B$5,Juniorstwo!$A$56:$N$56,0))*C$5+INDEX(JuniorzyPozytyw[],MATCH($A84,Juniorstwo!$A$57:$A$76,0),MATCH($B$6,Juniorstwo!$A$56:$N$56,0))*C$6+INDEX(JuniorzyPozytyw[],MATCH($A84,Juniorstwo!$A$57:$A$76,0),MATCH($B$7,Juniorstwo!$A$56:$N$56,0))*C$7+INDEX(JuniorzyPozytyw[],MATCH($A84,Juniorstwo!$A$57:$A$76,0),MATCH($B$8,Juniorstwo!$A$56:$N$56,0))*C$8+INDEX(JuniorzyPozytyw[],MATCH($A84,Juniorstwo!$A$57:$A$76,0),MATCH($B$9,Juniorstwo!$A$56:$N$56,0))*C$9+INDEX(JuniorzyPozytyw[],MATCH($A84,Juniorstwo!$A$57:$A$76,0),MATCH($B$10,Juniorstwo!$A$56:$N$56,0))*C$10+INDEX(JuniorzyPozytyw[],MATCH($A84,Juniorstwo!$A$57:$A$76,0),MATCH($B$11,Juniorstwo!$A$56:$N$56,0))*C$11+INDEX(JuniorzyPozytyw[],MATCH($A84,Juniorstwo!$A$57:$A$76,0),MATCH($B$12,Juniorstwo!$A$56:$N$56,0))*C$12+INDEX(JuniorzyPozytyw[],MATCH($A84,Juniorstwo!$A$57:$A$76,0),MATCH($B$13,Juniorstwo!$A$56:$N$56,0))*C$13,"-")</f>
        <v>69.58</v>
      </c>
      <c r="D84" s="38">
        <f ca="1">IFERROR(INDEX(JuniorzyPozytyw[],MATCH($A84,Juniorstwo!$A$57:$A$76,0),MATCH($B$2,Juniorstwo!$A$56:$N$56,0))*D$2+INDEX(JuniorzyPozytyw[],MATCH($A84,Juniorstwo!$A$57:$A$76,0),MATCH($B$3,Juniorstwo!$A$56:$N$56,0))*D$3+INDEX(JuniorzyPozytyw[],MATCH($A84,Juniorstwo!$A$57:$A$76,0),MATCH($B$4,Juniorstwo!$A$56:$N$56,0))*D$4+INDEX(JuniorzyPozytyw[],MATCH($A84,Juniorstwo!$A$57:$A$76,0),MATCH($B$5,Juniorstwo!$A$56:$N$56,0))*D$5+INDEX(JuniorzyPozytyw[],MATCH($A84,Juniorstwo!$A$57:$A$76,0),MATCH($B$6,Juniorstwo!$A$56:$N$56,0))*D$6+INDEX(JuniorzyPozytyw[],MATCH($A84,Juniorstwo!$A$57:$A$76,0),MATCH($B$7,Juniorstwo!$A$56:$N$56,0))*D$7+INDEX(JuniorzyPozytyw[],MATCH($A84,Juniorstwo!$A$57:$A$76,0),MATCH($B$8,Juniorstwo!$A$56:$N$56,0))*D$8+INDEX(JuniorzyPozytyw[],MATCH($A84,Juniorstwo!$A$57:$A$76,0),MATCH($B$9,Juniorstwo!$A$56:$N$56,0))*D$9+INDEX(JuniorzyPozytyw[],MATCH($A84,Juniorstwo!$A$57:$A$76,0),MATCH($B$10,Juniorstwo!$A$56:$N$56,0))*D$10+INDEX(JuniorzyPozytyw[],MATCH($A84,Juniorstwo!$A$57:$A$76,0),MATCH($B$11,Juniorstwo!$A$56:$N$56,0))*D$11+INDEX(JuniorzyPozytyw[],MATCH($A84,Juniorstwo!$A$57:$A$76,0),MATCH($B$12,Juniorstwo!$A$56:$N$56,0))*D$12+INDEX(JuniorzyPozytyw[],MATCH($A84,Juniorstwo!$A$57:$A$76,0),MATCH($B$13,Juniorstwo!$A$56:$N$56,0))*D$13,"-")</f>
        <v>81.08</v>
      </c>
      <c r="E84" s="38">
        <f ca="1">IFERROR(INDEX(JuniorzyPozytyw[],MATCH($A84,Juniorstwo!$A$57:$A$76,0),MATCH($B$2,Juniorstwo!$A$56:$N$56,0))*E$2+INDEX(JuniorzyPozytyw[],MATCH($A84,Juniorstwo!$A$57:$A$76,0),MATCH($B$3,Juniorstwo!$A$56:$N$56,0))*E$3+INDEX(JuniorzyPozytyw[],MATCH($A84,Juniorstwo!$A$57:$A$76,0),MATCH($B$4,Juniorstwo!$A$56:$N$56,0))*E$4+INDEX(JuniorzyPozytyw[],MATCH($A84,Juniorstwo!$A$57:$A$76,0),MATCH($B$5,Juniorstwo!$A$56:$N$56,0))*E$5+INDEX(JuniorzyPozytyw[],MATCH($A84,Juniorstwo!$A$57:$A$76,0),MATCH($B$6,Juniorstwo!$A$56:$N$56,0))*E$6+INDEX(JuniorzyPozytyw[],MATCH($A84,Juniorstwo!$A$57:$A$76,0),MATCH($B$7,Juniorstwo!$A$56:$N$56,0))*E$7+INDEX(JuniorzyPozytyw[],MATCH($A84,Juniorstwo!$A$57:$A$76,0),MATCH($B$8,Juniorstwo!$A$56:$N$56,0))*E$8+INDEX(JuniorzyPozytyw[],MATCH($A84,Juniorstwo!$A$57:$A$76,0),MATCH($B$9,Juniorstwo!$A$56:$N$56,0))*E$9+INDEX(JuniorzyPozytyw[],MATCH($A84,Juniorstwo!$A$57:$A$76,0),MATCH($B$10,Juniorstwo!$A$56:$N$56,0))*E$10+INDEX(JuniorzyPozytyw[],MATCH($A84,Juniorstwo!$A$57:$A$76,0),MATCH($B$11,Juniorstwo!$A$56:$N$56,0))*E$11+INDEX(JuniorzyPozytyw[],MATCH($A84,Juniorstwo!$A$57:$A$76,0),MATCH($B$12,Juniorstwo!$A$56:$N$56,0))*E$12+INDEX(JuniorzyPozytyw[],MATCH($A84,Juniorstwo!$A$57:$A$76,0),MATCH($B$13,Juniorstwo!$A$56:$N$56,0))*E$13,"-")</f>
        <v>80.33</v>
      </c>
      <c r="F84" s="38">
        <f ca="1">IFERROR(INDEX(JuniorzyPozytyw[],MATCH($A84,Juniorstwo!$A$57:$A$76,0),MATCH($B$2,Juniorstwo!$A$56:$N$56,0))*F$2+INDEX(JuniorzyPozytyw[],MATCH($A84,Juniorstwo!$A$57:$A$76,0),MATCH($B$3,Juniorstwo!$A$56:$N$56,0))*F$3+INDEX(JuniorzyPozytyw[],MATCH($A84,Juniorstwo!$A$57:$A$76,0),MATCH($B$4,Juniorstwo!$A$56:$N$56,0))*F$4+INDEX(JuniorzyPozytyw[],MATCH($A84,Juniorstwo!$A$57:$A$76,0),MATCH($B$5,Juniorstwo!$A$56:$N$56,0))*F$5+INDEX(JuniorzyPozytyw[],MATCH($A84,Juniorstwo!$A$57:$A$76,0),MATCH($B$6,Juniorstwo!$A$56:$N$56,0))*F$6+INDEX(JuniorzyPozytyw[],MATCH($A84,Juniorstwo!$A$57:$A$76,0),MATCH($B$7,Juniorstwo!$A$56:$N$56,0))*F$7+INDEX(JuniorzyPozytyw[],MATCH($A84,Juniorstwo!$A$57:$A$76,0),MATCH($B$8,Juniorstwo!$A$56:$N$56,0))*F$8+INDEX(JuniorzyPozytyw[],MATCH($A84,Juniorstwo!$A$57:$A$76,0),MATCH($B$9,Juniorstwo!$A$56:$N$56,0))*F$9+INDEX(JuniorzyPozytyw[],MATCH($A84,Juniorstwo!$A$57:$A$76,0),MATCH($B$10,Juniorstwo!$A$56:$N$56,0))*F$10+INDEX(JuniorzyPozytyw[],MATCH($A84,Juniorstwo!$A$57:$A$76,0),MATCH($B$11,Juniorstwo!$A$56:$N$56,0))*F$11+INDEX(JuniorzyPozytyw[],MATCH($A84,Juniorstwo!$A$57:$A$76,0),MATCH($B$12,Juniorstwo!$A$56:$N$56,0))*F$12+INDEX(JuniorzyPozytyw[],MATCH($A84,Juniorstwo!$A$57:$A$76,0),MATCH($B$13,Juniorstwo!$A$56:$N$56,0))*F$13,"-")</f>
        <v>81.58</v>
      </c>
      <c r="G84" s="38">
        <f ca="1">IFERROR(INDEX(JuniorzyPozytyw[],MATCH($A84,Juniorstwo!$A$57:$A$76,0),MATCH($B$2,Juniorstwo!$A$56:$N$56,0))*G$2+INDEX(JuniorzyPozytyw[],MATCH($A84,Juniorstwo!$A$57:$A$76,0),MATCH($B$3,Juniorstwo!$A$56:$N$56,0))*G$3+INDEX(JuniorzyPozytyw[],MATCH($A84,Juniorstwo!$A$57:$A$76,0),MATCH($B$4,Juniorstwo!$A$56:$N$56,0))*G$4+INDEX(JuniorzyPozytyw[],MATCH($A84,Juniorstwo!$A$57:$A$76,0),MATCH($B$5,Juniorstwo!$A$56:$N$56,0))*G$5+INDEX(JuniorzyPozytyw[],MATCH($A84,Juniorstwo!$A$57:$A$76,0),MATCH($B$6,Juniorstwo!$A$56:$N$56,0))*G$6+INDEX(JuniorzyPozytyw[],MATCH($A84,Juniorstwo!$A$57:$A$76,0),MATCH($B$7,Juniorstwo!$A$56:$N$56,0))*G$7+INDEX(JuniorzyPozytyw[],MATCH($A84,Juniorstwo!$A$57:$A$76,0),MATCH($B$8,Juniorstwo!$A$56:$N$56,0))*G$8+INDEX(JuniorzyPozytyw[],MATCH($A84,Juniorstwo!$A$57:$A$76,0),MATCH($B$9,Juniorstwo!$A$56:$N$56,0))*G$9+INDEX(JuniorzyPozytyw[],MATCH($A84,Juniorstwo!$A$57:$A$76,0),MATCH($B$10,Juniorstwo!$A$56:$N$56,0))*G$10+INDEX(JuniorzyPozytyw[],MATCH($A84,Juniorstwo!$A$57:$A$76,0),MATCH($B$11,Juniorstwo!$A$56:$N$56,0))*G$11+INDEX(JuniorzyPozytyw[],MATCH($A84,Juniorstwo!$A$57:$A$76,0),MATCH($B$12,Juniorstwo!$A$56:$N$56,0))*G$12+INDEX(JuniorzyPozytyw[],MATCH($A84,Juniorstwo!$A$57:$A$76,0),MATCH($B$13,Juniorstwo!$A$56:$N$56,0))*G$13,"-")</f>
        <v>81.58</v>
      </c>
      <c r="H84" s="38">
        <f ca="1">IFERROR(INDEX(JuniorzyPozytyw[],MATCH($A84,Juniorstwo!$A$57:$A$76,0),MATCH($B$2,Juniorstwo!$A$56:$N$56,0))*H$2+INDEX(JuniorzyPozytyw[],MATCH($A84,Juniorstwo!$A$57:$A$76,0),MATCH($B$3,Juniorstwo!$A$56:$N$56,0))*H$3+INDEX(JuniorzyPozytyw[],MATCH($A84,Juniorstwo!$A$57:$A$76,0),MATCH($B$4,Juniorstwo!$A$56:$N$56,0))*H$4+INDEX(JuniorzyPozytyw[],MATCH($A84,Juniorstwo!$A$57:$A$76,0),MATCH($B$5,Juniorstwo!$A$56:$N$56,0))*H$5+INDEX(JuniorzyPozytyw[],MATCH($A84,Juniorstwo!$A$57:$A$76,0),MATCH($B$6,Juniorstwo!$A$56:$N$56,0))*H$6+INDEX(JuniorzyPozytyw[],MATCH($A84,Juniorstwo!$A$57:$A$76,0),MATCH($B$7,Juniorstwo!$A$56:$N$56,0))*H$7+INDEX(JuniorzyPozytyw[],MATCH($A84,Juniorstwo!$A$57:$A$76,0),MATCH($B$8,Juniorstwo!$A$56:$N$56,0))*H$8+INDEX(JuniorzyPozytyw[],MATCH($A84,Juniorstwo!$A$57:$A$76,0),MATCH($B$9,Juniorstwo!$A$56:$N$56,0))*H$9+INDEX(JuniorzyPozytyw[],MATCH($A84,Juniorstwo!$A$57:$A$76,0),MATCH($B$10,Juniorstwo!$A$56:$N$56,0))*H$10+INDEX(JuniorzyPozytyw[],MATCH($A84,Juniorstwo!$A$57:$A$76,0),MATCH($B$11,Juniorstwo!$A$56:$N$56,0))*H$11+INDEX(JuniorzyPozytyw[],MATCH($A84,Juniorstwo!$A$57:$A$76,0),MATCH($B$12,Juniorstwo!$A$56:$N$56,0))*H$12+INDEX(JuniorzyPozytyw[],MATCH($A84,Juniorstwo!$A$57:$A$76,0),MATCH($B$13,Juniorstwo!$A$56:$N$56,0))*H$13,"-")</f>
        <v>81.08</v>
      </c>
      <c r="I84" s="38">
        <f ca="1">IFERROR(INDEX(JuniorzyPozytyw[],MATCH($A84,Juniorstwo!$A$57:$A$76,0),MATCH($B$2,Juniorstwo!$A$56:$N$56,0))*I$2+INDEX(JuniorzyPozytyw[],MATCH($A84,Juniorstwo!$A$57:$A$76,0),MATCH($B$3,Juniorstwo!$A$56:$N$56,0))*I$3+INDEX(JuniorzyPozytyw[],MATCH($A84,Juniorstwo!$A$57:$A$76,0),MATCH($B$4,Juniorstwo!$A$56:$N$56,0))*I$4+INDEX(JuniorzyPozytyw[],MATCH($A84,Juniorstwo!$A$57:$A$76,0),MATCH($B$5,Juniorstwo!$A$56:$N$56,0))*I$5+INDEX(JuniorzyPozytyw[],MATCH($A84,Juniorstwo!$A$57:$A$76,0),MATCH($B$6,Juniorstwo!$A$56:$N$56,0))*I$6+INDEX(JuniorzyPozytyw[],MATCH($A84,Juniorstwo!$A$57:$A$76,0),MATCH($B$7,Juniorstwo!$A$56:$N$56,0))*I$7+INDEX(JuniorzyPozytyw[],MATCH($A84,Juniorstwo!$A$57:$A$76,0),MATCH($B$8,Juniorstwo!$A$56:$N$56,0))*I$8+INDEX(JuniorzyPozytyw[],MATCH($A84,Juniorstwo!$A$57:$A$76,0),MATCH($B$9,Juniorstwo!$A$56:$N$56,0))*I$9+INDEX(JuniorzyPozytyw[],MATCH($A84,Juniorstwo!$A$57:$A$76,0),MATCH($B$10,Juniorstwo!$A$56:$N$56,0))*I$10+INDEX(JuniorzyPozytyw[],MATCH($A84,Juniorstwo!$A$57:$A$76,0),MATCH($B$11,Juniorstwo!$A$56:$N$56,0))*I$11+INDEX(JuniorzyPozytyw[],MATCH($A84,Juniorstwo!$A$57:$A$76,0),MATCH($B$12,Juniorstwo!$A$56:$N$56,0))*I$12+INDEX(JuniorzyPozytyw[],MATCH($A84,Juniorstwo!$A$57:$A$76,0),MATCH($B$13,Juniorstwo!$A$56:$N$56,0))*I$13,"-")</f>
        <v>81.83</v>
      </c>
      <c r="J84" s="38">
        <f ca="1">IFERROR(INDEX(JuniorzyPozytyw[],MATCH($A84,Juniorstwo!$A$57:$A$76,0),MATCH($B$2,Juniorstwo!$A$56:$N$56,0))*J$2+INDEX(JuniorzyPozytyw[],MATCH($A84,Juniorstwo!$A$57:$A$76,0),MATCH($B$3,Juniorstwo!$A$56:$N$56,0))*J$3+INDEX(JuniorzyPozytyw[],MATCH($A84,Juniorstwo!$A$57:$A$76,0),MATCH($B$4,Juniorstwo!$A$56:$N$56,0))*J$4+INDEX(JuniorzyPozytyw[],MATCH($A84,Juniorstwo!$A$57:$A$76,0),MATCH($B$5,Juniorstwo!$A$56:$N$56,0))*J$5+INDEX(JuniorzyPozytyw[],MATCH($A84,Juniorstwo!$A$57:$A$76,0),MATCH($B$6,Juniorstwo!$A$56:$N$56,0))*J$6+INDEX(JuniorzyPozytyw[],MATCH($A84,Juniorstwo!$A$57:$A$76,0),MATCH($B$7,Juniorstwo!$A$56:$N$56,0))*J$7+INDEX(JuniorzyPozytyw[],MATCH($A84,Juniorstwo!$A$57:$A$76,0),MATCH($B$8,Juniorstwo!$A$56:$N$56,0))*J$8+INDEX(JuniorzyPozytyw[],MATCH($A84,Juniorstwo!$A$57:$A$76,0),MATCH($B$9,Juniorstwo!$A$56:$N$56,0))*J$9+INDEX(JuniorzyPozytyw[],MATCH($A84,Juniorstwo!$A$57:$A$76,0),MATCH($B$10,Juniorstwo!$A$56:$N$56,0))*J$10+INDEX(JuniorzyPozytyw[],MATCH($A84,Juniorstwo!$A$57:$A$76,0),MATCH($B$11,Juniorstwo!$A$56:$N$56,0))*J$11+INDEX(JuniorzyPozytyw[],MATCH($A84,Juniorstwo!$A$57:$A$76,0),MATCH($B$12,Juniorstwo!$A$56:$N$56,0))*J$12+INDEX(JuniorzyPozytyw[],MATCH($A84,Juniorstwo!$A$57:$A$76,0),MATCH($B$13,Juniorstwo!$A$56:$N$56,0))*J$13,"-")</f>
        <v>80.58</v>
      </c>
      <c r="K84" s="38">
        <f ca="1">IFERROR(INDEX(JuniorzyPozytyw[],MATCH($A84,Juniorstwo!$A$57:$A$76,0),MATCH($B$2,Juniorstwo!$A$56:$N$56,0))*K$2+INDEX(JuniorzyPozytyw[],MATCH($A84,Juniorstwo!$A$57:$A$76,0),MATCH($B$3,Juniorstwo!$A$56:$N$56,0))*K$3+INDEX(JuniorzyPozytyw[],MATCH($A84,Juniorstwo!$A$57:$A$76,0),MATCH($B$4,Juniorstwo!$A$56:$N$56,0))*K$4+INDEX(JuniorzyPozytyw[],MATCH($A84,Juniorstwo!$A$57:$A$76,0),MATCH($B$5,Juniorstwo!$A$56:$N$56,0))*K$5+INDEX(JuniorzyPozytyw[],MATCH($A84,Juniorstwo!$A$57:$A$76,0),MATCH($B$6,Juniorstwo!$A$56:$N$56,0))*K$6+INDEX(JuniorzyPozytyw[],MATCH($A84,Juniorstwo!$A$57:$A$76,0),MATCH($B$7,Juniorstwo!$A$56:$N$56,0))*K$7+INDEX(JuniorzyPozytyw[],MATCH($A84,Juniorstwo!$A$57:$A$76,0),MATCH($B$8,Juniorstwo!$A$56:$N$56,0))*K$8+INDEX(JuniorzyPozytyw[],MATCH($A84,Juniorstwo!$A$57:$A$76,0),MATCH($B$9,Juniorstwo!$A$56:$N$56,0))*K$9+INDEX(JuniorzyPozytyw[],MATCH($A84,Juniorstwo!$A$57:$A$76,0),MATCH($B$10,Juniorstwo!$A$56:$N$56,0))*K$10+INDEX(JuniorzyPozytyw[],MATCH($A84,Juniorstwo!$A$57:$A$76,0),MATCH($B$11,Juniorstwo!$A$56:$N$56,0))*K$11+INDEX(JuniorzyPozytyw[],MATCH($A84,Juniorstwo!$A$57:$A$76,0),MATCH($B$12,Juniorstwo!$A$56:$N$56,0))*K$12+INDEX(JuniorzyPozytyw[],MATCH($A84,Juniorstwo!$A$57:$A$76,0),MATCH($B$13,Juniorstwo!$A$56:$N$56,0))*K$13,"-")</f>
        <v>80.83</v>
      </c>
    </row>
    <row r="85" spans="1:11" x14ac:dyDescent="0.25">
      <c r="A85">
        <f>IFERROR(PozycjeŚr!A61,"-")</f>
        <v>17</v>
      </c>
      <c r="B85" s="3" t="str">
        <f>IFERROR(VLOOKUP(PozJunPMG[[#This Row],[Numer]],Zawodnicy[[Number]:[Player name]],2,FALSE),"-")</f>
        <v>Hieronim Wejta</v>
      </c>
      <c r="C85" s="38">
        <f ca="1">IFERROR(INDEX(JuniorzyPozytyw[],MATCH($A85,Juniorstwo!$A$57:$A$76,0),MATCH($B$2,Juniorstwo!$A$56:$N$56,0))*C$2+INDEX(JuniorzyPozytyw[],MATCH($A85,Juniorstwo!$A$57:$A$76,0),MATCH($B$3,Juniorstwo!$A$56:$N$56,0))*C$3+INDEX(JuniorzyPozytyw[],MATCH($A85,Juniorstwo!$A$57:$A$76,0),MATCH($B$4,Juniorstwo!$A$56:$N$56,0))*C$4+INDEX(JuniorzyPozytyw[],MATCH($A85,Juniorstwo!$A$57:$A$76,0),MATCH($B$5,Juniorstwo!$A$56:$N$56,0))*C$5+INDEX(JuniorzyPozytyw[],MATCH($A85,Juniorstwo!$A$57:$A$76,0),MATCH($B$6,Juniorstwo!$A$56:$N$56,0))*C$6+INDEX(JuniorzyPozytyw[],MATCH($A85,Juniorstwo!$A$57:$A$76,0),MATCH($B$7,Juniorstwo!$A$56:$N$56,0))*C$7+INDEX(JuniorzyPozytyw[],MATCH($A85,Juniorstwo!$A$57:$A$76,0),MATCH($B$8,Juniorstwo!$A$56:$N$56,0))*C$8+INDEX(JuniorzyPozytyw[],MATCH($A85,Juniorstwo!$A$57:$A$76,0),MATCH($B$9,Juniorstwo!$A$56:$N$56,0))*C$9+INDEX(JuniorzyPozytyw[],MATCH($A85,Juniorstwo!$A$57:$A$76,0),MATCH($B$10,Juniorstwo!$A$56:$N$56,0))*C$10+INDEX(JuniorzyPozytyw[],MATCH($A85,Juniorstwo!$A$57:$A$76,0),MATCH($B$11,Juniorstwo!$A$56:$N$56,0))*C$11+INDEX(JuniorzyPozytyw[],MATCH($A85,Juniorstwo!$A$57:$A$76,0),MATCH($B$12,Juniorstwo!$A$56:$N$56,0))*C$12+INDEX(JuniorzyPozytyw[],MATCH($A85,Juniorstwo!$A$57:$A$76,0),MATCH($B$13,Juniorstwo!$A$56:$N$56,0))*C$13,"-")</f>
        <v>74.59</v>
      </c>
      <c r="D85" s="38">
        <f ca="1">IFERROR(INDEX(JuniorzyPozytyw[],MATCH($A85,Juniorstwo!$A$57:$A$76,0),MATCH($B$2,Juniorstwo!$A$56:$N$56,0))*D$2+INDEX(JuniorzyPozytyw[],MATCH($A85,Juniorstwo!$A$57:$A$76,0),MATCH($B$3,Juniorstwo!$A$56:$N$56,0))*D$3+INDEX(JuniorzyPozytyw[],MATCH($A85,Juniorstwo!$A$57:$A$76,0),MATCH($B$4,Juniorstwo!$A$56:$N$56,0))*D$4+INDEX(JuniorzyPozytyw[],MATCH($A85,Juniorstwo!$A$57:$A$76,0),MATCH($B$5,Juniorstwo!$A$56:$N$56,0))*D$5+INDEX(JuniorzyPozytyw[],MATCH($A85,Juniorstwo!$A$57:$A$76,0),MATCH($B$6,Juniorstwo!$A$56:$N$56,0))*D$6+INDEX(JuniorzyPozytyw[],MATCH($A85,Juniorstwo!$A$57:$A$76,0),MATCH($B$7,Juniorstwo!$A$56:$N$56,0))*D$7+INDEX(JuniorzyPozytyw[],MATCH($A85,Juniorstwo!$A$57:$A$76,0),MATCH($B$8,Juniorstwo!$A$56:$N$56,0))*D$8+INDEX(JuniorzyPozytyw[],MATCH($A85,Juniorstwo!$A$57:$A$76,0),MATCH($B$9,Juniorstwo!$A$56:$N$56,0))*D$9+INDEX(JuniorzyPozytyw[],MATCH($A85,Juniorstwo!$A$57:$A$76,0),MATCH($B$10,Juniorstwo!$A$56:$N$56,0))*D$10+INDEX(JuniorzyPozytyw[],MATCH($A85,Juniorstwo!$A$57:$A$76,0),MATCH($B$11,Juniorstwo!$A$56:$N$56,0))*D$11+INDEX(JuniorzyPozytyw[],MATCH($A85,Juniorstwo!$A$57:$A$76,0),MATCH($B$12,Juniorstwo!$A$56:$N$56,0))*D$12+INDEX(JuniorzyPozytyw[],MATCH($A85,Juniorstwo!$A$57:$A$76,0),MATCH($B$13,Juniorstwo!$A$56:$N$56,0))*D$13,"-")</f>
        <v>89.34</v>
      </c>
      <c r="E85" s="38">
        <f ca="1">IFERROR(INDEX(JuniorzyPozytyw[],MATCH($A85,Juniorstwo!$A$57:$A$76,0),MATCH($B$2,Juniorstwo!$A$56:$N$56,0))*E$2+INDEX(JuniorzyPozytyw[],MATCH($A85,Juniorstwo!$A$57:$A$76,0),MATCH($B$3,Juniorstwo!$A$56:$N$56,0))*E$3+INDEX(JuniorzyPozytyw[],MATCH($A85,Juniorstwo!$A$57:$A$76,0),MATCH($B$4,Juniorstwo!$A$56:$N$56,0))*E$4+INDEX(JuniorzyPozytyw[],MATCH($A85,Juniorstwo!$A$57:$A$76,0),MATCH($B$5,Juniorstwo!$A$56:$N$56,0))*E$5+INDEX(JuniorzyPozytyw[],MATCH($A85,Juniorstwo!$A$57:$A$76,0),MATCH($B$6,Juniorstwo!$A$56:$N$56,0))*E$6+INDEX(JuniorzyPozytyw[],MATCH($A85,Juniorstwo!$A$57:$A$76,0),MATCH($B$7,Juniorstwo!$A$56:$N$56,0))*E$7+INDEX(JuniorzyPozytyw[],MATCH($A85,Juniorstwo!$A$57:$A$76,0),MATCH($B$8,Juniorstwo!$A$56:$N$56,0))*E$8+INDEX(JuniorzyPozytyw[],MATCH($A85,Juniorstwo!$A$57:$A$76,0),MATCH($B$9,Juniorstwo!$A$56:$N$56,0))*E$9+INDEX(JuniorzyPozytyw[],MATCH($A85,Juniorstwo!$A$57:$A$76,0),MATCH($B$10,Juniorstwo!$A$56:$N$56,0))*E$10+INDEX(JuniorzyPozytyw[],MATCH($A85,Juniorstwo!$A$57:$A$76,0),MATCH($B$11,Juniorstwo!$A$56:$N$56,0))*E$11+INDEX(JuniorzyPozytyw[],MATCH($A85,Juniorstwo!$A$57:$A$76,0),MATCH($B$12,Juniorstwo!$A$56:$N$56,0))*E$12+INDEX(JuniorzyPozytyw[],MATCH($A85,Juniorstwo!$A$57:$A$76,0),MATCH($B$13,Juniorstwo!$A$56:$N$56,0))*E$13,"-")</f>
        <v>87.84</v>
      </c>
      <c r="F85" s="38">
        <f ca="1">IFERROR(INDEX(JuniorzyPozytyw[],MATCH($A85,Juniorstwo!$A$57:$A$76,0),MATCH($B$2,Juniorstwo!$A$56:$N$56,0))*F$2+INDEX(JuniorzyPozytyw[],MATCH($A85,Juniorstwo!$A$57:$A$76,0),MATCH($B$3,Juniorstwo!$A$56:$N$56,0))*F$3+INDEX(JuniorzyPozytyw[],MATCH($A85,Juniorstwo!$A$57:$A$76,0),MATCH($B$4,Juniorstwo!$A$56:$N$56,0))*F$4+INDEX(JuniorzyPozytyw[],MATCH($A85,Juniorstwo!$A$57:$A$76,0),MATCH($B$5,Juniorstwo!$A$56:$N$56,0))*F$5+INDEX(JuniorzyPozytyw[],MATCH($A85,Juniorstwo!$A$57:$A$76,0),MATCH($B$6,Juniorstwo!$A$56:$N$56,0))*F$6+INDEX(JuniorzyPozytyw[],MATCH($A85,Juniorstwo!$A$57:$A$76,0),MATCH($B$7,Juniorstwo!$A$56:$N$56,0))*F$7+INDEX(JuniorzyPozytyw[],MATCH($A85,Juniorstwo!$A$57:$A$76,0),MATCH($B$8,Juniorstwo!$A$56:$N$56,0))*F$8+INDEX(JuniorzyPozytyw[],MATCH($A85,Juniorstwo!$A$57:$A$76,0),MATCH($B$9,Juniorstwo!$A$56:$N$56,0))*F$9+INDEX(JuniorzyPozytyw[],MATCH($A85,Juniorstwo!$A$57:$A$76,0),MATCH($B$10,Juniorstwo!$A$56:$N$56,0))*F$10+INDEX(JuniorzyPozytyw[],MATCH($A85,Juniorstwo!$A$57:$A$76,0),MATCH($B$11,Juniorstwo!$A$56:$N$56,0))*F$11+INDEX(JuniorzyPozytyw[],MATCH($A85,Juniorstwo!$A$57:$A$76,0),MATCH($B$12,Juniorstwo!$A$56:$N$56,0))*F$12+INDEX(JuniorzyPozytyw[],MATCH($A85,Juniorstwo!$A$57:$A$76,0),MATCH($B$13,Juniorstwo!$A$56:$N$56,0))*F$13,"-")</f>
        <v>89.09</v>
      </c>
      <c r="G85" s="38">
        <f ca="1">IFERROR(INDEX(JuniorzyPozytyw[],MATCH($A85,Juniorstwo!$A$57:$A$76,0),MATCH($B$2,Juniorstwo!$A$56:$N$56,0))*G$2+INDEX(JuniorzyPozytyw[],MATCH($A85,Juniorstwo!$A$57:$A$76,0),MATCH($B$3,Juniorstwo!$A$56:$N$56,0))*G$3+INDEX(JuniorzyPozytyw[],MATCH($A85,Juniorstwo!$A$57:$A$76,0),MATCH($B$4,Juniorstwo!$A$56:$N$56,0))*G$4+INDEX(JuniorzyPozytyw[],MATCH($A85,Juniorstwo!$A$57:$A$76,0),MATCH($B$5,Juniorstwo!$A$56:$N$56,0))*G$5+INDEX(JuniorzyPozytyw[],MATCH($A85,Juniorstwo!$A$57:$A$76,0),MATCH($B$6,Juniorstwo!$A$56:$N$56,0))*G$6+INDEX(JuniorzyPozytyw[],MATCH($A85,Juniorstwo!$A$57:$A$76,0),MATCH($B$7,Juniorstwo!$A$56:$N$56,0))*G$7+INDEX(JuniorzyPozytyw[],MATCH($A85,Juniorstwo!$A$57:$A$76,0),MATCH($B$8,Juniorstwo!$A$56:$N$56,0))*G$8+INDEX(JuniorzyPozytyw[],MATCH($A85,Juniorstwo!$A$57:$A$76,0),MATCH($B$9,Juniorstwo!$A$56:$N$56,0))*G$9+INDEX(JuniorzyPozytyw[],MATCH($A85,Juniorstwo!$A$57:$A$76,0),MATCH($B$10,Juniorstwo!$A$56:$N$56,0))*G$10+INDEX(JuniorzyPozytyw[],MATCH($A85,Juniorstwo!$A$57:$A$76,0),MATCH($B$11,Juniorstwo!$A$56:$N$56,0))*G$11+INDEX(JuniorzyPozytyw[],MATCH($A85,Juniorstwo!$A$57:$A$76,0),MATCH($B$12,Juniorstwo!$A$56:$N$56,0))*G$12+INDEX(JuniorzyPozytyw[],MATCH($A85,Juniorstwo!$A$57:$A$76,0),MATCH($B$13,Juniorstwo!$A$56:$N$56,0))*G$13,"-")</f>
        <v>88.59</v>
      </c>
      <c r="H85" s="38">
        <f ca="1">IFERROR(INDEX(JuniorzyPozytyw[],MATCH($A85,Juniorstwo!$A$57:$A$76,0),MATCH($B$2,Juniorstwo!$A$56:$N$56,0))*H$2+INDEX(JuniorzyPozytyw[],MATCH($A85,Juniorstwo!$A$57:$A$76,0),MATCH($B$3,Juniorstwo!$A$56:$N$56,0))*H$3+INDEX(JuniorzyPozytyw[],MATCH($A85,Juniorstwo!$A$57:$A$76,0),MATCH($B$4,Juniorstwo!$A$56:$N$56,0))*H$4+INDEX(JuniorzyPozytyw[],MATCH($A85,Juniorstwo!$A$57:$A$76,0),MATCH($B$5,Juniorstwo!$A$56:$N$56,0))*H$5+INDEX(JuniorzyPozytyw[],MATCH($A85,Juniorstwo!$A$57:$A$76,0),MATCH($B$6,Juniorstwo!$A$56:$N$56,0))*H$6+INDEX(JuniorzyPozytyw[],MATCH($A85,Juniorstwo!$A$57:$A$76,0),MATCH($B$7,Juniorstwo!$A$56:$N$56,0))*H$7+INDEX(JuniorzyPozytyw[],MATCH($A85,Juniorstwo!$A$57:$A$76,0),MATCH($B$8,Juniorstwo!$A$56:$N$56,0))*H$8+INDEX(JuniorzyPozytyw[],MATCH($A85,Juniorstwo!$A$57:$A$76,0),MATCH($B$9,Juniorstwo!$A$56:$N$56,0))*H$9+INDEX(JuniorzyPozytyw[],MATCH($A85,Juniorstwo!$A$57:$A$76,0),MATCH($B$10,Juniorstwo!$A$56:$N$56,0))*H$10+INDEX(JuniorzyPozytyw[],MATCH($A85,Juniorstwo!$A$57:$A$76,0),MATCH($B$11,Juniorstwo!$A$56:$N$56,0))*H$11+INDEX(JuniorzyPozytyw[],MATCH($A85,Juniorstwo!$A$57:$A$76,0),MATCH($B$12,Juniorstwo!$A$56:$N$56,0))*H$12+INDEX(JuniorzyPozytyw[],MATCH($A85,Juniorstwo!$A$57:$A$76,0),MATCH($B$13,Juniorstwo!$A$56:$N$56,0))*H$13,"-")</f>
        <v>87.34</v>
      </c>
      <c r="I85" s="38">
        <f ca="1">IFERROR(INDEX(JuniorzyPozytyw[],MATCH($A85,Juniorstwo!$A$57:$A$76,0),MATCH($B$2,Juniorstwo!$A$56:$N$56,0))*I$2+INDEX(JuniorzyPozytyw[],MATCH($A85,Juniorstwo!$A$57:$A$76,0),MATCH($B$3,Juniorstwo!$A$56:$N$56,0))*I$3+INDEX(JuniorzyPozytyw[],MATCH($A85,Juniorstwo!$A$57:$A$76,0),MATCH($B$4,Juniorstwo!$A$56:$N$56,0))*I$4+INDEX(JuniorzyPozytyw[],MATCH($A85,Juniorstwo!$A$57:$A$76,0),MATCH($B$5,Juniorstwo!$A$56:$N$56,0))*I$5+INDEX(JuniorzyPozytyw[],MATCH($A85,Juniorstwo!$A$57:$A$76,0),MATCH($B$6,Juniorstwo!$A$56:$N$56,0))*I$6+INDEX(JuniorzyPozytyw[],MATCH($A85,Juniorstwo!$A$57:$A$76,0),MATCH($B$7,Juniorstwo!$A$56:$N$56,0))*I$7+INDEX(JuniorzyPozytyw[],MATCH($A85,Juniorstwo!$A$57:$A$76,0),MATCH($B$8,Juniorstwo!$A$56:$N$56,0))*I$8+INDEX(JuniorzyPozytyw[],MATCH($A85,Juniorstwo!$A$57:$A$76,0),MATCH($B$9,Juniorstwo!$A$56:$N$56,0))*I$9+INDEX(JuniorzyPozytyw[],MATCH($A85,Juniorstwo!$A$57:$A$76,0),MATCH($B$10,Juniorstwo!$A$56:$N$56,0))*I$10+INDEX(JuniorzyPozytyw[],MATCH($A85,Juniorstwo!$A$57:$A$76,0),MATCH($B$11,Juniorstwo!$A$56:$N$56,0))*I$11+INDEX(JuniorzyPozytyw[],MATCH($A85,Juniorstwo!$A$57:$A$76,0),MATCH($B$12,Juniorstwo!$A$56:$N$56,0))*I$12+INDEX(JuniorzyPozytyw[],MATCH($A85,Juniorstwo!$A$57:$A$76,0),MATCH($B$13,Juniorstwo!$A$56:$N$56,0))*I$13,"-")</f>
        <v>87.09</v>
      </c>
      <c r="J85" s="38">
        <f ca="1">IFERROR(INDEX(JuniorzyPozytyw[],MATCH($A85,Juniorstwo!$A$57:$A$76,0),MATCH($B$2,Juniorstwo!$A$56:$N$56,0))*J$2+INDEX(JuniorzyPozytyw[],MATCH($A85,Juniorstwo!$A$57:$A$76,0),MATCH($B$3,Juniorstwo!$A$56:$N$56,0))*J$3+INDEX(JuniorzyPozytyw[],MATCH($A85,Juniorstwo!$A$57:$A$76,0),MATCH($B$4,Juniorstwo!$A$56:$N$56,0))*J$4+INDEX(JuniorzyPozytyw[],MATCH($A85,Juniorstwo!$A$57:$A$76,0),MATCH($B$5,Juniorstwo!$A$56:$N$56,0))*J$5+INDEX(JuniorzyPozytyw[],MATCH($A85,Juniorstwo!$A$57:$A$76,0),MATCH($B$6,Juniorstwo!$A$56:$N$56,0))*J$6+INDEX(JuniorzyPozytyw[],MATCH($A85,Juniorstwo!$A$57:$A$76,0),MATCH($B$7,Juniorstwo!$A$56:$N$56,0))*J$7+INDEX(JuniorzyPozytyw[],MATCH($A85,Juniorstwo!$A$57:$A$76,0),MATCH($B$8,Juniorstwo!$A$56:$N$56,0))*J$8+INDEX(JuniorzyPozytyw[],MATCH($A85,Juniorstwo!$A$57:$A$76,0),MATCH($B$9,Juniorstwo!$A$56:$N$56,0))*J$9+INDEX(JuniorzyPozytyw[],MATCH($A85,Juniorstwo!$A$57:$A$76,0),MATCH($B$10,Juniorstwo!$A$56:$N$56,0))*J$10+INDEX(JuniorzyPozytyw[],MATCH($A85,Juniorstwo!$A$57:$A$76,0),MATCH($B$11,Juniorstwo!$A$56:$N$56,0))*J$11+INDEX(JuniorzyPozytyw[],MATCH($A85,Juniorstwo!$A$57:$A$76,0),MATCH($B$12,Juniorstwo!$A$56:$N$56,0))*J$12+INDEX(JuniorzyPozytyw[],MATCH($A85,Juniorstwo!$A$57:$A$76,0),MATCH($B$13,Juniorstwo!$A$56:$N$56,0))*J$13,"-")</f>
        <v>86.59</v>
      </c>
      <c r="K85" s="38">
        <f ca="1">IFERROR(INDEX(JuniorzyPozytyw[],MATCH($A85,Juniorstwo!$A$57:$A$76,0),MATCH($B$2,Juniorstwo!$A$56:$N$56,0))*K$2+INDEX(JuniorzyPozytyw[],MATCH($A85,Juniorstwo!$A$57:$A$76,0),MATCH($B$3,Juniorstwo!$A$56:$N$56,0))*K$3+INDEX(JuniorzyPozytyw[],MATCH($A85,Juniorstwo!$A$57:$A$76,0),MATCH($B$4,Juniorstwo!$A$56:$N$56,0))*K$4+INDEX(JuniorzyPozytyw[],MATCH($A85,Juniorstwo!$A$57:$A$76,0),MATCH($B$5,Juniorstwo!$A$56:$N$56,0))*K$5+INDEX(JuniorzyPozytyw[],MATCH($A85,Juniorstwo!$A$57:$A$76,0),MATCH($B$6,Juniorstwo!$A$56:$N$56,0))*K$6+INDEX(JuniorzyPozytyw[],MATCH($A85,Juniorstwo!$A$57:$A$76,0),MATCH($B$7,Juniorstwo!$A$56:$N$56,0))*K$7+INDEX(JuniorzyPozytyw[],MATCH($A85,Juniorstwo!$A$57:$A$76,0),MATCH($B$8,Juniorstwo!$A$56:$N$56,0))*K$8+INDEX(JuniorzyPozytyw[],MATCH($A85,Juniorstwo!$A$57:$A$76,0),MATCH($B$9,Juniorstwo!$A$56:$N$56,0))*K$9+INDEX(JuniorzyPozytyw[],MATCH($A85,Juniorstwo!$A$57:$A$76,0),MATCH($B$10,Juniorstwo!$A$56:$N$56,0))*K$10+INDEX(JuniorzyPozytyw[],MATCH($A85,Juniorstwo!$A$57:$A$76,0),MATCH($B$11,Juniorstwo!$A$56:$N$56,0))*K$11+INDEX(JuniorzyPozytyw[],MATCH($A85,Juniorstwo!$A$57:$A$76,0),MATCH($B$12,Juniorstwo!$A$56:$N$56,0))*K$12+INDEX(JuniorzyPozytyw[],MATCH($A85,Juniorstwo!$A$57:$A$76,0),MATCH($B$13,Juniorstwo!$A$56:$N$56,0))*K$13,"-")</f>
        <v>84.34</v>
      </c>
    </row>
    <row r="86" spans="1:11" x14ac:dyDescent="0.25">
      <c r="A86">
        <f>IFERROR(PozycjeŚr!A62,"-")</f>
        <v>0</v>
      </c>
      <c r="B86" s="3" t="str">
        <f>IFERROR(VLOOKUP(PozJunPMG[[#This Row],[Numer]],Zawodnicy[[Number]:[Player name]],2,FALSE),"-")</f>
        <v>-</v>
      </c>
      <c r="C86" s="38" t="str">
        <f>IFERROR(INDEX(JuniorzyPozytyw[],MATCH($A86,Juniorstwo!$A$57:$A$76,0),MATCH($B$2,Juniorstwo!$A$56:$N$56,0))*C$2+INDEX(JuniorzyPozytyw[],MATCH($A86,Juniorstwo!$A$57:$A$76,0),MATCH($B$3,Juniorstwo!$A$56:$N$56,0))*C$3+INDEX(JuniorzyPozytyw[],MATCH($A86,Juniorstwo!$A$57:$A$76,0),MATCH($B$4,Juniorstwo!$A$56:$N$56,0))*C$4+INDEX(JuniorzyPozytyw[],MATCH($A86,Juniorstwo!$A$57:$A$76,0),MATCH($B$5,Juniorstwo!$A$56:$N$56,0))*C$5+INDEX(JuniorzyPozytyw[],MATCH($A86,Juniorstwo!$A$57:$A$76,0),MATCH($B$6,Juniorstwo!$A$56:$N$56,0))*C$6+INDEX(JuniorzyPozytyw[],MATCH($A86,Juniorstwo!$A$57:$A$76,0),MATCH($B$7,Juniorstwo!$A$56:$N$56,0))*C$7+INDEX(JuniorzyPozytyw[],MATCH($A86,Juniorstwo!$A$57:$A$76,0),MATCH($B$8,Juniorstwo!$A$56:$N$56,0))*C$8+INDEX(JuniorzyPozytyw[],MATCH($A86,Juniorstwo!$A$57:$A$76,0),MATCH($B$9,Juniorstwo!$A$56:$N$56,0))*C$9+INDEX(JuniorzyPozytyw[],MATCH($A86,Juniorstwo!$A$57:$A$76,0),MATCH($B$10,Juniorstwo!$A$56:$N$56,0))*C$10+INDEX(JuniorzyPozytyw[],MATCH($A86,Juniorstwo!$A$57:$A$76,0),MATCH($B$11,Juniorstwo!$A$56:$N$56,0))*C$11+INDEX(JuniorzyPozytyw[],MATCH($A86,Juniorstwo!$A$57:$A$76,0),MATCH($B$12,Juniorstwo!$A$56:$N$56,0))*C$12+INDEX(JuniorzyPozytyw[],MATCH($A86,Juniorstwo!$A$57:$A$76,0),MATCH($B$13,Juniorstwo!$A$56:$N$56,0))*C$13,"-")</f>
        <v>-</v>
      </c>
      <c r="D86" s="38" t="str">
        <f>IFERROR(INDEX(JuniorzyPozytyw[],MATCH($A86,Juniorstwo!$A$57:$A$76,0),MATCH($B$2,Juniorstwo!$A$56:$N$56,0))*D$2+INDEX(JuniorzyPozytyw[],MATCH($A86,Juniorstwo!$A$57:$A$76,0),MATCH($B$3,Juniorstwo!$A$56:$N$56,0))*D$3+INDEX(JuniorzyPozytyw[],MATCH($A86,Juniorstwo!$A$57:$A$76,0),MATCH($B$4,Juniorstwo!$A$56:$N$56,0))*D$4+INDEX(JuniorzyPozytyw[],MATCH($A86,Juniorstwo!$A$57:$A$76,0),MATCH($B$5,Juniorstwo!$A$56:$N$56,0))*D$5+INDEX(JuniorzyPozytyw[],MATCH($A86,Juniorstwo!$A$57:$A$76,0),MATCH($B$6,Juniorstwo!$A$56:$N$56,0))*D$6+INDEX(JuniorzyPozytyw[],MATCH($A86,Juniorstwo!$A$57:$A$76,0),MATCH($B$7,Juniorstwo!$A$56:$N$56,0))*D$7+INDEX(JuniorzyPozytyw[],MATCH($A86,Juniorstwo!$A$57:$A$76,0),MATCH($B$8,Juniorstwo!$A$56:$N$56,0))*D$8+INDEX(JuniorzyPozytyw[],MATCH($A86,Juniorstwo!$A$57:$A$76,0),MATCH($B$9,Juniorstwo!$A$56:$N$56,0))*D$9+INDEX(JuniorzyPozytyw[],MATCH($A86,Juniorstwo!$A$57:$A$76,0),MATCH($B$10,Juniorstwo!$A$56:$N$56,0))*D$10+INDEX(JuniorzyPozytyw[],MATCH($A86,Juniorstwo!$A$57:$A$76,0),MATCH($B$11,Juniorstwo!$A$56:$N$56,0))*D$11+INDEX(JuniorzyPozytyw[],MATCH($A86,Juniorstwo!$A$57:$A$76,0),MATCH($B$12,Juniorstwo!$A$56:$N$56,0))*D$12+INDEX(JuniorzyPozytyw[],MATCH($A86,Juniorstwo!$A$57:$A$76,0),MATCH($B$13,Juniorstwo!$A$56:$N$56,0))*D$13,"-")</f>
        <v>-</v>
      </c>
      <c r="E86" s="38" t="str">
        <f>IFERROR(INDEX(JuniorzyPozytyw[],MATCH($A86,Juniorstwo!$A$57:$A$76,0),MATCH($B$2,Juniorstwo!$A$56:$N$56,0))*E$2+INDEX(JuniorzyPozytyw[],MATCH($A86,Juniorstwo!$A$57:$A$76,0),MATCH($B$3,Juniorstwo!$A$56:$N$56,0))*E$3+INDEX(JuniorzyPozytyw[],MATCH($A86,Juniorstwo!$A$57:$A$76,0),MATCH($B$4,Juniorstwo!$A$56:$N$56,0))*E$4+INDEX(JuniorzyPozytyw[],MATCH($A86,Juniorstwo!$A$57:$A$76,0),MATCH($B$5,Juniorstwo!$A$56:$N$56,0))*E$5+INDEX(JuniorzyPozytyw[],MATCH($A86,Juniorstwo!$A$57:$A$76,0),MATCH($B$6,Juniorstwo!$A$56:$N$56,0))*E$6+INDEX(JuniorzyPozytyw[],MATCH($A86,Juniorstwo!$A$57:$A$76,0),MATCH($B$7,Juniorstwo!$A$56:$N$56,0))*E$7+INDEX(JuniorzyPozytyw[],MATCH($A86,Juniorstwo!$A$57:$A$76,0),MATCH($B$8,Juniorstwo!$A$56:$N$56,0))*E$8+INDEX(JuniorzyPozytyw[],MATCH($A86,Juniorstwo!$A$57:$A$76,0),MATCH($B$9,Juniorstwo!$A$56:$N$56,0))*E$9+INDEX(JuniorzyPozytyw[],MATCH($A86,Juniorstwo!$A$57:$A$76,0),MATCH($B$10,Juniorstwo!$A$56:$N$56,0))*E$10+INDEX(JuniorzyPozytyw[],MATCH($A86,Juniorstwo!$A$57:$A$76,0),MATCH($B$11,Juniorstwo!$A$56:$N$56,0))*E$11+INDEX(JuniorzyPozytyw[],MATCH($A86,Juniorstwo!$A$57:$A$76,0),MATCH($B$12,Juniorstwo!$A$56:$N$56,0))*E$12+INDEX(JuniorzyPozytyw[],MATCH($A86,Juniorstwo!$A$57:$A$76,0),MATCH($B$13,Juniorstwo!$A$56:$N$56,0))*E$13,"-")</f>
        <v>-</v>
      </c>
      <c r="F86" s="38" t="str">
        <f>IFERROR(INDEX(JuniorzyPozytyw[],MATCH($A86,Juniorstwo!$A$57:$A$76,0),MATCH($B$2,Juniorstwo!$A$56:$N$56,0))*F$2+INDEX(JuniorzyPozytyw[],MATCH($A86,Juniorstwo!$A$57:$A$76,0),MATCH($B$3,Juniorstwo!$A$56:$N$56,0))*F$3+INDEX(JuniorzyPozytyw[],MATCH($A86,Juniorstwo!$A$57:$A$76,0),MATCH($B$4,Juniorstwo!$A$56:$N$56,0))*F$4+INDEX(JuniorzyPozytyw[],MATCH($A86,Juniorstwo!$A$57:$A$76,0),MATCH($B$5,Juniorstwo!$A$56:$N$56,0))*F$5+INDEX(JuniorzyPozytyw[],MATCH($A86,Juniorstwo!$A$57:$A$76,0),MATCH($B$6,Juniorstwo!$A$56:$N$56,0))*F$6+INDEX(JuniorzyPozytyw[],MATCH($A86,Juniorstwo!$A$57:$A$76,0),MATCH($B$7,Juniorstwo!$A$56:$N$56,0))*F$7+INDEX(JuniorzyPozytyw[],MATCH($A86,Juniorstwo!$A$57:$A$76,0),MATCH($B$8,Juniorstwo!$A$56:$N$56,0))*F$8+INDEX(JuniorzyPozytyw[],MATCH($A86,Juniorstwo!$A$57:$A$76,0),MATCH($B$9,Juniorstwo!$A$56:$N$56,0))*F$9+INDEX(JuniorzyPozytyw[],MATCH($A86,Juniorstwo!$A$57:$A$76,0),MATCH($B$10,Juniorstwo!$A$56:$N$56,0))*F$10+INDEX(JuniorzyPozytyw[],MATCH($A86,Juniorstwo!$A$57:$A$76,0),MATCH($B$11,Juniorstwo!$A$56:$N$56,0))*F$11+INDEX(JuniorzyPozytyw[],MATCH($A86,Juniorstwo!$A$57:$A$76,0),MATCH($B$12,Juniorstwo!$A$56:$N$56,0))*F$12+INDEX(JuniorzyPozytyw[],MATCH($A86,Juniorstwo!$A$57:$A$76,0),MATCH($B$13,Juniorstwo!$A$56:$N$56,0))*F$13,"-")</f>
        <v>-</v>
      </c>
      <c r="G86" s="38" t="str">
        <f>IFERROR(INDEX(JuniorzyPozytyw[],MATCH($A86,Juniorstwo!$A$57:$A$76,0),MATCH($B$2,Juniorstwo!$A$56:$N$56,0))*G$2+INDEX(JuniorzyPozytyw[],MATCH($A86,Juniorstwo!$A$57:$A$76,0),MATCH($B$3,Juniorstwo!$A$56:$N$56,0))*G$3+INDEX(JuniorzyPozytyw[],MATCH($A86,Juniorstwo!$A$57:$A$76,0),MATCH($B$4,Juniorstwo!$A$56:$N$56,0))*G$4+INDEX(JuniorzyPozytyw[],MATCH($A86,Juniorstwo!$A$57:$A$76,0),MATCH($B$5,Juniorstwo!$A$56:$N$56,0))*G$5+INDEX(JuniorzyPozytyw[],MATCH($A86,Juniorstwo!$A$57:$A$76,0),MATCH($B$6,Juniorstwo!$A$56:$N$56,0))*G$6+INDEX(JuniorzyPozytyw[],MATCH($A86,Juniorstwo!$A$57:$A$76,0),MATCH($B$7,Juniorstwo!$A$56:$N$56,0))*G$7+INDEX(JuniorzyPozytyw[],MATCH($A86,Juniorstwo!$A$57:$A$76,0),MATCH($B$8,Juniorstwo!$A$56:$N$56,0))*G$8+INDEX(JuniorzyPozytyw[],MATCH($A86,Juniorstwo!$A$57:$A$76,0),MATCH($B$9,Juniorstwo!$A$56:$N$56,0))*G$9+INDEX(JuniorzyPozytyw[],MATCH($A86,Juniorstwo!$A$57:$A$76,0),MATCH($B$10,Juniorstwo!$A$56:$N$56,0))*G$10+INDEX(JuniorzyPozytyw[],MATCH($A86,Juniorstwo!$A$57:$A$76,0),MATCH($B$11,Juniorstwo!$A$56:$N$56,0))*G$11+INDEX(JuniorzyPozytyw[],MATCH($A86,Juniorstwo!$A$57:$A$76,0),MATCH($B$12,Juniorstwo!$A$56:$N$56,0))*G$12+INDEX(JuniorzyPozytyw[],MATCH($A86,Juniorstwo!$A$57:$A$76,0),MATCH($B$13,Juniorstwo!$A$56:$N$56,0))*G$13,"-")</f>
        <v>-</v>
      </c>
      <c r="H86" s="38" t="str">
        <f>IFERROR(INDEX(JuniorzyPozytyw[],MATCH($A86,Juniorstwo!$A$57:$A$76,0),MATCH($B$2,Juniorstwo!$A$56:$N$56,0))*H$2+INDEX(JuniorzyPozytyw[],MATCH($A86,Juniorstwo!$A$57:$A$76,0),MATCH($B$3,Juniorstwo!$A$56:$N$56,0))*H$3+INDEX(JuniorzyPozytyw[],MATCH($A86,Juniorstwo!$A$57:$A$76,0),MATCH($B$4,Juniorstwo!$A$56:$N$56,0))*H$4+INDEX(JuniorzyPozytyw[],MATCH($A86,Juniorstwo!$A$57:$A$76,0),MATCH($B$5,Juniorstwo!$A$56:$N$56,0))*H$5+INDEX(JuniorzyPozytyw[],MATCH($A86,Juniorstwo!$A$57:$A$76,0),MATCH($B$6,Juniorstwo!$A$56:$N$56,0))*H$6+INDEX(JuniorzyPozytyw[],MATCH($A86,Juniorstwo!$A$57:$A$76,0),MATCH($B$7,Juniorstwo!$A$56:$N$56,0))*H$7+INDEX(JuniorzyPozytyw[],MATCH($A86,Juniorstwo!$A$57:$A$76,0),MATCH($B$8,Juniorstwo!$A$56:$N$56,0))*H$8+INDEX(JuniorzyPozytyw[],MATCH($A86,Juniorstwo!$A$57:$A$76,0),MATCH($B$9,Juniorstwo!$A$56:$N$56,0))*H$9+INDEX(JuniorzyPozytyw[],MATCH($A86,Juniorstwo!$A$57:$A$76,0),MATCH($B$10,Juniorstwo!$A$56:$N$56,0))*H$10+INDEX(JuniorzyPozytyw[],MATCH($A86,Juniorstwo!$A$57:$A$76,0),MATCH($B$11,Juniorstwo!$A$56:$N$56,0))*H$11+INDEX(JuniorzyPozytyw[],MATCH($A86,Juniorstwo!$A$57:$A$76,0),MATCH($B$12,Juniorstwo!$A$56:$N$56,0))*H$12+INDEX(JuniorzyPozytyw[],MATCH($A86,Juniorstwo!$A$57:$A$76,0),MATCH($B$13,Juniorstwo!$A$56:$N$56,0))*H$13,"-")</f>
        <v>-</v>
      </c>
      <c r="I86" s="38" t="str">
        <f>IFERROR(INDEX(JuniorzyPozytyw[],MATCH($A86,Juniorstwo!$A$57:$A$76,0),MATCH($B$2,Juniorstwo!$A$56:$N$56,0))*I$2+INDEX(JuniorzyPozytyw[],MATCH($A86,Juniorstwo!$A$57:$A$76,0),MATCH($B$3,Juniorstwo!$A$56:$N$56,0))*I$3+INDEX(JuniorzyPozytyw[],MATCH($A86,Juniorstwo!$A$57:$A$76,0),MATCH($B$4,Juniorstwo!$A$56:$N$56,0))*I$4+INDEX(JuniorzyPozytyw[],MATCH($A86,Juniorstwo!$A$57:$A$76,0),MATCH($B$5,Juniorstwo!$A$56:$N$56,0))*I$5+INDEX(JuniorzyPozytyw[],MATCH($A86,Juniorstwo!$A$57:$A$76,0),MATCH($B$6,Juniorstwo!$A$56:$N$56,0))*I$6+INDEX(JuniorzyPozytyw[],MATCH($A86,Juniorstwo!$A$57:$A$76,0),MATCH($B$7,Juniorstwo!$A$56:$N$56,0))*I$7+INDEX(JuniorzyPozytyw[],MATCH($A86,Juniorstwo!$A$57:$A$76,0),MATCH($B$8,Juniorstwo!$A$56:$N$56,0))*I$8+INDEX(JuniorzyPozytyw[],MATCH($A86,Juniorstwo!$A$57:$A$76,0),MATCH($B$9,Juniorstwo!$A$56:$N$56,0))*I$9+INDEX(JuniorzyPozytyw[],MATCH($A86,Juniorstwo!$A$57:$A$76,0),MATCH($B$10,Juniorstwo!$A$56:$N$56,0))*I$10+INDEX(JuniorzyPozytyw[],MATCH($A86,Juniorstwo!$A$57:$A$76,0),MATCH($B$11,Juniorstwo!$A$56:$N$56,0))*I$11+INDEX(JuniorzyPozytyw[],MATCH($A86,Juniorstwo!$A$57:$A$76,0),MATCH($B$12,Juniorstwo!$A$56:$N$56,0))*I$12+INDEX(JuniorzyPozytyw[],MATCH($A86,Juniorstwo!$A$57:$A$76,0),MATCH($B$13,Juniorstwo!$A$56:$N$56,0))*I$13,"-")</f>
        <v>-</v>
      </c>
      <c r="J86" s="38" t="str">
        <f>IFERROR(INDEX(JuniorzyPozytyw[],MATCH($A86,Juniorstwo!$A$57:$A$76,0),MATCH($B$2,Juniorstwo!$A$56:$N$56,0))*J$2+INDEX(JuniorzyPozytyw[],MATCH($A86,Juniorstwo!$A$57:$A$76,0),MATCH($B$3,Juniorstwo!$A$56:$N$56,0))*J$3+INDEX(JuniorzyPozytyw[],MATCH($A86,Juniorstwo!$A$57:$A$76,0),MATCH($B$4,Juniorstwo!$A$56:$N$56,0))*J$4+INDEX(JuniorzyPozytyw[],MATCH($A86,Juniorstwo!$A$57:$A$76,0),MATCH($B$5,Juniorstwo!$A$56:$N$56,0))*J$5+INDEX(JuniorzyPozytyw[],MATCH($A86,Juniorstwo!$A$57:$A$76,0),MATCH($B$6,Juniorstwo!$A$56:$N$56,0))*J$6+INDEX(JuniorzyPozytyw[],MATCH($A86,Juniorstwo!$A$57:$A$76,0),MATCH($B$7,Juniorstwo!$A$56:$N$56,0))*J$7+INDEX(JuniorzyPozytyw[],MATCH($A86,Juniorstwo!$A$57:$A$76,0),MATCH($B$8,Juniorstwo!$A$56:$N$56,0))*J$8+INDEX(JuniorzyPozytyw[],MATCH($A86,Juniorstwo!$A$57:$A$76,0),MATCH($B$9,Juniorstwo!$A$56:$N$56,0))*J$9+INDEX(JuniorzyPozytyw[],MATCH($A86,Juniorstwo!$A$57:$A$76,0),MATCH($B$10,Juniorstwo!$A$56:$N$56,0))*J$10+INDEX(JuniorzyPozytyw[],MATCH($A86,Juniorstwo!$A$57:$A$76,0),MATCH($B$11,Juniorstwo!$A$56:$N$56,0))*J$11+INDEX(JuniorzyPozytyw[],MATCH($A86,Juniorstwo!$A$57:$A$76,0),MATCH($B$12,Juniorstwo!$A$56:$N$56,0))*J$12+INDEX(JuniorzyPozytyw[],MATCH($A86,Juniorstwo!$A$57:$A$76,0),MATCH($B$13,Juniorstwo!$A$56:$N$56,0))*J$13,"-")</f>
        <v>-</v>
      </c>
      <c r="K86" s="38" t="str">
        <f>IFERROR(INDEX(JuniorzyPozytyw[],MATCH($A86,Juniorstwo!$A$57:$A$76,0),MATCH($B$2,Juniorstwo!$A$56:$N$56,0))*K$2+INDEX(JuniorzyPozytyw[],MATCH($A86,Juniorstwo!$A$57:$A$76,0),MATCH($B$3,Juniorstwo!$A$56:$N$56,0))*K$3+INDEX(JuniorzyPozytyw[],MATCH($A86,Juniorstwo!$A$57:$A$76,0),MATCH($B$4,Juniorstwo!$A$56:$N$56,0))*K$4+INDEX(JuniorzyPozytyw[],MATCH($A86,Juniorstwo!$A$57:$A$76,0),MATCH($B$5,Juniorstwo!$A$56:$N$56,0))*K$5+INDEX(JuniorzyPozytyw[],MATCH($A86,Juniorstwo!$A$57:$A$76,0),MATCH($B$6,Juniorstwo!$A$56:$N$56,0))*K$6+INDEX(JuniorzyPozytyw[],MATCH($A86,Juniorstwo!$A$57:$A$76,0),MATCH($B$7,Juniorstwo!$A$56:$N$56,0))*K$7+INDEX(JuniorzyPozytyw[],MATCH($A86,Juniorstwo!$A$57:$A$76,0),MATCH($B$8,Juniorstwo!$A$56:$N$56,0))*K$8+INDEX(JuniorzyPozytyw[],MATCH($A86,Juniorstwo!$A$57:$A$76,0),MATCH($B$9,Juniorstwo!$A$56:$N$56,0))*K$9+INDEX(JuniorzyPozytyw[],MATCH($A86,Juniorstwo!$A$57:$A$76,0),MATCH($B$10,Juniorstwo!$A$56:$N$56,0))*K$10+INDEX(JuniorzyPozytyw[],MATCH($A86,Juniorstwo!$A$57:$A$76,0),MATCH($B$11,Juniorstwo!$A$56:$N$56,0))*K$11+INDEX(JuniorzyPozytyw[],MATCH($A86,Juniorstwo!$A$57:$A$76,0),MATCH($B$12,Juniorstwo!$A$56:$N$56,0))*K$12+INDEX(JuniorzyPozytyw[],MATCH($A86,Juniorstwo!$A$57:$A$76,0),MATCH($B$13,Juniorstwo!$A$56:$N$56,0))*K$13,"-")</f>
        <v>-</v>
      </c>
    </row>
    <row r="87" spans="1:11" x14ac:dyDescent="0.25">
      <c r="A87">
        <f>IFERROR(PozycjeŚr!A63,"-")</f>
        <v>0</v>
      </c>
      <c r="B87" s="3" t="str">
        <f>IFERROR(VLOOKUP(PozJunPMG[[#This Row],[Numer]],Zawodnicy[[Number]:[Player name]],2,FALSE),"-")</f>
        <v>-</v>
      </c>
      <c r="C87" s="38" t="str">
        <f>IFERROR(INDEX(JuniorzyPozytyw[],MATCH($A87,Juniorstwo!$A$57:$A$76,0),MATCH($B$2,Juniorstwo!$A$56:$N$56,0))*C$2+INDEX(JuniorzyPozytyw[],MATCH($A87,Juniorstwo!$A$57:$A$76,0),MATCH($B$3,Juniorstwo!$A$56:$N$56,0))*C$3+INDEX(JuniorzyPozytyw[],MATCH($A87,Juniorstwo!$A$57:$A$76,0),MATCH($B$4,Juniorstwo!$A$56:$N$56,0))*C$4+INDEX(JuniorzyPozytyw[],MATCH($A87,Juniorstwo!$A$57:$A$76,0),MATCH($B$5,Juniorstwo!$A$56:$N$56,0))*C$5+INDEX(JuniorzyPozytyw[],MATCH($A87,Juniorstwo!$A$57:$A$76,0),MATCH($B$6,Juniorstwo!$A$56:$N$56,0))*C$6+INDEX(JuniorzyPozytyw[],MATCH($A87,Juniorstwo!$A$57:$A$76,0),MATCH($B$7,Juniorstwo!$A$56:$N$56,0))*C$7+INDEX(JuniorzyPozytyw[],MATCH($A87,Juniorstwo!$A$57:$A$76,0),MATCH($B$8,Juniorstwo!$A$56:$N$56,0))*C$8+INDEX(JuniorzyPozytyw[],MATCH($A87,Juniorstwo!$A$57:$A$76,0),MATCH($B$9,Juniorstwo!$A$56:$N$56,0))*C$9+INDEX(JuniorzyPozytyw[],MATCH($A87,Juniorstwo!$A$57:$A$76,0),MATCH($B$10,Juniorstwo!$A$56:$N$56,0))*C$10+INDEX(JuniorzyPozytyw[],MATCH($A87,Juniorstwo!$A$57:$A$76,0),MATCH($B$11,Juniorstwo!$A$56:$N$56,0))*C$11+INDEX(JuniorzyPozytyw[],MATCH($A87,Juniorstwo!$A$57:$A$76,0),MATCH($B$12,Juniorstwo!$A$56:$N$56,0))*C$12+INDEX(JuniorzyPozytyw[],MATCH($A87,Juniorstwo!$A$57:$A$76,0),MATCH($B$13,Juniorstwo!$A$56:$N$56,0))*C$13,"-")</f>
        <v>-</v>
      </c>
      <c r="D87" s="38" t="str">
        <f>IFERROR(INDEX(JuniorzyPozytyw[],MATCH($A87,Juniorstwo!$A$57:$A$76,0),MATCH($B$2,Juniorstwo!$A$56:$N$56,0))*D$2+INDEX(JuniorzyPozytyw[],MATCH($A87,Juniorstwo!$A$57:$A$76,0),MATCH($B$3,Juniorstwo!$A$56:$N$56,0))*D$3+INDEX(JuniorzyPozytyw[],MATCH($A87,Juniorstwo!$A$57:$A$76,0),MATCH($B$4,Juniorstwo!$A$56:$N$56,0))*D$4+INDEX(JuniorzyPozytyw[],MATCH($A87,Juniorstwo!$A$57:$A$76,0),MATCH($B$5,Juniorstwo!$A$56:$N$56,0))*D$5+INDEX(JuniorzyPozytyw[],MATCH($A87,Juniorstwo!$A$57:$A$76,0),MATCH($B$6,Juniorstwo!$A$56:$N$56,0))*D$6+INDEX(JuniorzyPozytyw[],MATCH($A87,Juniorstwo!$A$57:$A$76,0),MATCH($B$7,Juniorstwo!$A$56:$N$56,0))*D$7+INDEX(JuniorzyPozytyw[],MATCH($A87,Juniorstwo!$A$57:$A$76,0),MATCH($B$8,Juniorstwo!$A$56:$N$56,0))*D$8+INDEX(JuniorzyPozytyw[],MATCH($A87,Juniorstwo!$A$57:$A$76,0),MATCH($B$9,Juniorstwo!$A$56:$N$56,0))*D$9+INDEX(JuniorzyPozytyw[],MATCH($A87,Juniorstwo!$A$57:$A$76,0),MATCH($B$10,Juniorstwo!$A$56:$N$56,0))*D$10+INDEX(JuniorzyPozytyw[],MATCH($A87,Juniorstwo!$A$57:$A$76,0),MATCH($B$11,Juniorstwo!$A$56:$N$56,0))*D$11+INDEX(JuniorzyPozytyw[],MATCH($A87,Juniorstwo!$A$57:$A$76,0),MATCH($B$12,Juniorstwo!$A$56:$N$56,0))*D$12+INDEX(JuniorzyPozytyw[],MATCH($A87,Juniorstwo!$A$57:$A$76,0),MATCH($B$13,Juniorstwo!$A$56:$N$56,0))*D$13,"-")</f>
        <v>-</v>
      </c>
      <c r="E87" s="38" t="str">
        <f>IFERROR(INDEX(JuniorzyPozytyw[],MATCH($A87,Juniorstwo!$A$57:$A$76,0),MATCH($B$2,Juniorstwo!$A$56:$N$56,0))*E$2+INDEX(JuniorzyPozytyw[],MATCH($A87,Juniorstwo!$A$57:$A$76,0),MATCH($B$3,Juniorstwo!$A$56:$N$56,0))*E$3+INDEX(JuniorzyPozytyw[],MATCH($A87,Juniorstwo!$A$57:$A$76,0),MATCH($B$4,Juniorstwo!$A$56:$N$56,0))*E$4+INDEX(JuniorzyPozytyw[],MATCH($A87,Juniorstwo!$A$57:$A$76,0),MATCH($B$5,Juniorstwo!$A$56:$N$56,0))*E$5+INDEX(JuniorzyPozytyw[],MATCH($A87,Juniorstwo!$A$57:$A$76,0),MATCH($B$6,Juniorstwo!$A$56:$N$56,0))*E$6+INDEX(JuniorzyPozytyw[],MATCH($A87,Juniorstwo!$A$57:$A$76,0),MATCH($B$7,Juniorstwo!$A$56:$N$56,0))*E$7+INDEX(JuniorzyPozytyw[],MATCH($A87,Juniorstwo!$A$57:$A$76,0),MATCH($B$8,Juniorstwo!$A$56:$N$56,0))*E$8+INDEX(JuniorzyPozytyw[],MATCH($A87,Juniorstwo!$A$57:$A$76,0),MATCH($B$9,Juniorstwo!$A$56:$N$56,0))*E$9+INDEX(JuniorzyPozytyw[],MATCH($A87,Juniorstwo!$A$57:$A$76,0),MATCH($B$10,Juniorstwo!$A$56:$N$56,0))*E$10+INDEX(JuniorzyPozytyw[],MATCH($A87,Juniorstwo!$A$57:$A$76,0),MATCH($B$11,Juniorstwo!$A$56:$N$56,0))*E$11+INDEX(JuniorzyPozytyw[],MATCH($A87,Juniorstwo!$A$57:$A$76,0),MATCH($B$12,Juniorstwo!$A$56:$N$56,0))*E$12+INDEX(JuniorzyPozytyw[],MATCH($A87,Juniorstwo!$A$57:$A$76,0),MATCH($B$13,Juniorstwo!$A$56:$N$56,0))*E$13,"-")</f>
        <v>-</v>
      </c>
      <c r="F87" s="38" t="str">
        <f>IFERROR(INDEX(JuniorzyPozytyw[],MATCH($A87,Juniorstwo!$A$57:$A$76,0),MATCH($B$2,Juniorstwo!$A$56:$N$56,0))*F$2+INDEX(JuniorzyPozytyw[],MATCH($A87,Juniorstwo!$A$57:$A$76,0),MATCH($B$3,Juniorstwo!$A$56:$N$56,0))*F$3+INDEX(JuniorzyPozytyw[],MATCH($A87,Juniorstwo!$A$57:$A$76,0),MATCH($B$4,Juniorstwo!$A$56:$N$56,0))*F$4+INDEX(JuniorzyPozytyw[],MATCH($A87,Juniorstwo!$A$57:$A$76,0),MATCH($B$5,Juniorstwo!$A$56:$N$56,0))*F$5+INDEX(JuniorzyPozytyw[],MATCH($A87,Juniorstwo!$A$57:$A$76,0),MATCH($B$6,Juniorstwo!$A$56:$N$56,0))*F$6+INDEX(JuniorzyPozytyw[],MATCH($A87,Juniorstwo!$A$57:$A$76,0),MATCH($B$7,Juniorstwo!$A$56:$N$56,0))*F$7+INDEX(JuniorzyPozytyw[],MATCH($A87,Juniorstwo!$A$57:$A$76,0),MATCH($B$8,Juniorstwo!$A$56:$N$56,0))*F$8+INDEX(JuniorzyPozytyw[],MATCH($A87,Juniorstwo!$A$57:$A$76,0),MATCH($B$9,Juniorstwo!$A$56:$N$56,0))*F$9+INDEX(JuniorzyPozytyw[],MATCH($A87,Juniorstwo!$A$57:$A$76,0),MATCH($B$10,Juniorstwo!$A$56:$N$56,0))*F$10+INDEX(JuniorzyPozytyw[],MATCH($A87,Juniorstwo!$A$57:$A$76,0),MATCH($B$11,Juniorstwo!$A$56:$N$56,0))*F$11+INDEX(JuniorzyPozytyw[],MATCH($A87,Juniorstwo!$A$57:$A$76,0),MATCH($B$12,Juniorstwo!$A$56:$N$56,0))*F$12+INDEX(JuniorzyPozytyw[],MATCH($A87,Juniorstwo!$A$57:$A$76,0),MATCH($B$13,Juniorstwo!$A$56:$N$56,0))*F$13,"-")</f>
        <v>-</v>
      </c>
      <c r="G87" s="38" t="str">
        <f>IFERROR(INDEX(JuniorzyPozytyw[],MATCH($A87,Juniorstwo!$A$57:$A$76,0),MATCH($B$2,Juniorstwo!$A$56:$N$56,0))*G$2+INDEX(JuniorzyPozytyw[],MATCH($A87,Juniorstwo!$A$57:$A$76,0),MATCH($B$3,Juniorstwo!$A$56:$N$56,0))*G$3+INDEX(JuniorzyPozytyw[],MATCH($A87,Juniorstwo!$A$57:$A$76,0),MATCH($B$4,Juniorstwo!$A$56:$N$56,0))*G$4+INDEX(JuniorzyPozytyw[],MATCH($A87,Juniorstwo!$A$57:$A$76,0),MATCH($B$5,Juniorstwo!$A$56:$N$56,0))*G$5+INDEX(JuniorzyPozytyw[],MATCH($A87,Juniorstwo!$A$57:$A$76,0),MATCH($B$6,Juniorstwo!$A$56:$N$56,0))*G$6+INDEX(JuniorzyPozytyw[],MATCH($A87,Juniorstwo!$A$57:$A$76,0),MATCH($B$7,Juniorstwo!$A$56:$N$56,0))*G$7+INDEX(JuniorzyPozytyw[],MATCH($A87,Juniorstwo!$A$57:$A$76,0),MATCH($B$8,Juniorstwo!$A$56:$N$56,0))*G$8+INDEX(JuniorzyPozytyw[],MATCH($A87,Juniorstwo!$A$57:$A$76,0),MATCH($B$9,Juniorstwo!$A$56:$N$56,0))*G$9+INDEX(JuniorzyPozytyw[],MATCH($A87,Juniorstwo!$A$57:$A$76,0),MATCH($B$10,Juniorstwo!$A$56:$N$56,0))*G$10+INDEX(JuniorzyPozytyw[],MATCH($A87,Juniorstwo!$A$57:$A$76,0),MATCH($B$11,Juniorstwo!$A$56:$N$56,0))*G$11+INDEX(JuniorzyPozytyw[],MATCH($A87,Juniorstwo!$A$57:$A$76,0),MATCH($B$12,Juniorstwo!$A$56:$N$56,0))*G$12+INDEX(JuniorzyPozytyw[],MATCH($A87,Juniorstwo!$A$57:$A$76,0),MATCH($B$13,Juniorstwo!$A$56:$N$56,0))*G$13,"-")</f>
        <v>-</v>
      </c>
      <c r="H87" s="38" t="str">
        <f>IFERROR(INDEX(JuniorzyPozytyw[],MATCH($A87,Juniorstwo!$A$57:$A$76,0),MATCH($B$2,Juniorstwo!$A$56:$N$56,0))*H$2+INDEX(JuniorzyPozytyw[],MATCH($A87,Juniorstwo!$A$57:$A$76,0),MATCH($B$3,Juniorstwo!$A$56:$N$56,0))*H$3+INDEX(JuniorzyPozytyw[],MATCH($A87,Juniorstwo!$A$57:$A$76,0),MATCH($B$4,Juniorstwo!$A$56:$N$56,0))*H$4+INDEX(JuniorzyPozytyw[],MATCH($A87,Juniorstwo!$A$57:$A$76,0),MATCH($B$5,Juniorstwo!$A$56:$N$56,0))*H$5+INDEX(JuniorzyPozytyw[],MATCH($A87,Juniorstwo!$A$57:$A$76,0),MATCH($B$6,Juniorstwo!$A$56:$N$56,0))*H$6+INDEX(JuniorzyPozytyw[],MATCH($A87,Juniorstwo!$A$57:$A$76,0),MATCH($B$7,Juniorstwo!$A$56:$N$56,0))*H$7+INDEX(JuniorzyPozytyw[],MATCH($A87,Juniorstwo!$A$57:$A$76,0),MATCH($B$8,Juniorstwo!$A$56:$N$56,0))*H$8+INDEX(JuniorzyPozytyw[],MATCH($A87,Juniorstwo!$A$57:$A$76,0),MATCH($B$9,Juniorstwo!$A$56:$N$56,0))*H$9+INDEX(JuniorzyPozytyw[],MATCH($A87,Juniorstwo!$A$57:$A$76,0),MATCH($B$10,Juniorstwo!$A$56:$N$56,0))*H$10+INDEX(JuniorzyPozytyw[],MATCH($A87,Juniorstwo!$A$57:$A$76,0),MATCH($B$11,Juniorstwo!$A$56:$N$56,0))*H$11+INDEX(JuniorzyPozytyw[],MATCH($A87,Juniorstwo!$A$57:$A$76,0),MATCH($B$12,Juniorstwo!$A$56:$N$56,0))*H$12+INDEX(JuniorzyPozytyw[],MATCH($A87,Juniorstwo!$A$57:$A$76,0),MATCH($B$13,Juniorstwo!$A$56:$N$56,0))*H$13,"-")</f>
        <v>-</v>
      </c>
      <c r="I87" s="38" t="str">
        <f>IFERROR(INDEX(JuniorzyPozytyw[],MATCH($A87,Juniorstwo!$A$57:$A$76,0),MATCH($B$2,Juniorstwo!$A$56:$N$56,0))*I$2+INDEX(JuniorzyPozytyw[],MATCH($A87,Juniorstwo!$A$57:$A$76,0),MATCH($B$3,Juniorstwo!$A$56:$N$56,0))*I$3+INDEX(JuniorzyPozytyw[],MATCH($A87,Juniorstwo!$A$57:$A$76,0),MATCH($B$4,Juniorstwo!$A$56:$N$56,0))*I$4+INDEX(JuniorzyPozytyw[],MATCH($A87,Juniorstwo!$A$57:$A$76,0),MATCH($B$5,Juniorstwo!$A$56:$N$56,0))*I$5+INDEX(JuniorzyPozytyw[],MATCH($A87,Juniorstwo!$A$57:$A$76,0),MATCH($B$6,Juniorstwo!$A$56:$N$56,0))*I$6+INDEX(JuniorzyPozytyw[],MATCH($A87,Juniorstwo!$A$57:$A$76,0),MATCH($B$7,Juniorstwo!$A$56:$N$56,0))*I$7+INDEX(JuniorzyPozytyw[],MATCH($A87,Juniorstwo!$A$57:$A$76,0),MATCH($B$8,Juniorstwo!$A$56:$N$56,0))*I$8+INDEX(JuniorzyPozytyw[],MATCH($A87,Juniorstwo!$A$57:$A$76,0),MATCH($B$9,Juniorstwo!$A$56:$N$56,0))*I$9+INDEX(JuniorzyPozytyw[],MATCH($A87,Juniorstwo!$A$57:$A$76,0),MATCH($B$10,Juniorstwo!$A$56:$N$56,0))*I$10+INDEX(JuniorzyPozytyw[],MATCH($A87,Juniorstwo!$A$57:$A$76,0),MATCH($B$11,Juniorstwo!$A$56:$N$56,0))*I$11+INDEX(JuniorzyPozytyw[],MATCH($A87,Juniorstwo!$A$57:$A$76,0),MATCH($B$12,Juniorstwo!$A$56:$N$56,0))*I$12+INDEX(JuniorzyPozytyw[],MATCH($A87,Juniorstwo!$A$57:$A$76,0),MATCH($B$13,Juniorstwo!$A$56:$N$56,0))*I$13,"-")</f>
        <v>-</v>
      </c>
      <c r="J87" s="38" t="str">
        <f>IFERROR(INDEX(JuniorzyPozytyw[],MATCH($A87,Juniorstwo!$A$57:$A$76,0),MATCH($B$2,Juniorstwo!$A$56:$N$56,0))*J$2+INDEX(JuniorzyPozytyw[],MATCH($A87,Juniorstwo!$A$57:$A$76,0),MATCH($B$3,Juniorstwo!$A$56:$N$56,0))*J$3+INDEX(JuniorzyPozytyw[],MATCH($A87,Juniorstwo!$A$57:$A$76,0),MATCH($B$4,Juniorstwo!$A$56:$N$56,0))*J$4+INDEX(JuniorzyPozytyw[],MATCH($A87,Juniorstwo!$A$57:$A$76,0),MATCH($B$5,Juniorstwo!$A$56:$N$56,0))*J$5+INDEX(JuniorzyPozytyw[],MATCH($A87,Juniorstwo!$A$57:$A$76,0),MATCH($B$6,Juniorstwo!$A$56:$N$56,0))*J$6+INDEX(JuniorzyPozytyw[],MATCH($A87,Juniorstwo!$A$57:$A$76,0),MATCH($B$7,Juniorstwo!$A$56:$N$56,0))*J$7+INDEX(JuniorzyPozytyw[],MATCH($A87,Juniorstwo!$A$57:$A$76,0),MATCH($B$8,Juniorstwo!$A$56:$N$56,0))*J$8+INDEX(JuniorzyPozytyw[],MATCH($A87,Juniorstwo!$A$57:$A$76,0),MATCH($B$9,Juniorstwo!$A$56:$N$56,0))*J$9+INDEX(JuniorzyPozytyw[],MATCH($A87,Juniorstwo!$A$57:$A$76,0),MATCH($B$10,Juniorstwo!$A$56:$N$56,0))*J$10+INDEX(JuniorzyPozytyw[],MATCH($A87,Juniorstwo!$A$57:$A$76,0),MATCH($B$11,Juniorstwo!$A$56:$N$56,0))*J$11+INDEX(JuniorzyPozytyw[],MATCH($A87,Juniorstwo!$A$57:$A$76,0),MATCH($B$12,Juniorstwo!$A$56:$N$56,0))*J$12+INDEX(JuniorzyPozytyw[],MATCH($A87,Juniorstwo!$A$57:$A$76,0),MATCH($B$13,Juniorstwo!$A$56:$N$56,0))*J$13,"-")</f>
        <v>-</v>
      </c>
      <c r="K87" s="38" t="str">
        <f>IFERROR(INDEX(JuniorzyPozytyw[],MATCH($A87,Juniorstwo!$A$57:$A$76,0),MATCH($B$2,Juniorstwo!$A$56:$N$56,0))*K$2+INDEX(JuniorzyPozytyw[],MATCH($A87,Juniorstwo!$A$57:$A$76,0),MATCH($B$3,Juniorstwo!$A$56:$N$56,0))*K$3+INDEX(JuniorzyPozytyw[],MATCH($A87,Juniorstwo!$A$57:$A$76,0),MATCH($B$4,Juniorstwo!$A$56:$N$56,0))*K$4+INDEX(JuniorzyPozytyw[],MATCH($A87,Juniorstwo!$A$57:$A$76,0),MATCH($B$5,Juniorstwo!$A$56:$N$56,0))*K$5+INDEX(JuniorzyPozytyw[],MATCH($A87,Juniorstwo!$A$57:$A$76,0),MATCH($B$6,Juniorstwo!$A$56:$N$56,0))*K$6+INDEX(JuniorzyPozytyw[],MATCH($A87,Juniorstwo!$A$57:$A$76,0),MATCH($B$7,Juniorstwo!$A$56:$N$56,0))*K$7+INDEX(JuniorzyPozytyw[],MATCH($A87,Juniorstwo!$A$57:$A$76,0),MATCH($B$8,Juniorstwo!$A$56:$N$56,0))*K$8+INDEX(JuniorzyPozytyw[],MATCH($A87,Juniorstwo!$A$57:$A$76,0),MATCH($B$9,Juniorstwo!$A$56:$N$56,0))*K$9+INDEX(JuniorzyPozytyw[],MATCH($A87,Juniorstwo!$A$57:$A$76,0),MATCH($B$10,Juniorstwo!$A$56:$N$56,0))*K$10+INDEX(JuniorzyPozytyw[],MATCH($A87,Juniorstwo!$A$57:$A$76,0),MATCH($B$11,Juniorstwo!$A$56:$N$56,0))*K$11+INDEX(JuniorzyPozytyw[],MATCH($A87,Juniorstwo!$A$57:$A$76,0),MATCH($B$12,Juniorstwo!$A$56:$N$56,0))*K$12+INDEX(JuniorzyPozytyw[],MATCH($A87,Juniorstwo!$A$57:$A$76,0),MATCH($B$13,Juniorstwo!$A$56:$N$56,0))*K$13,"-")</f>
        <v>-</v>
      </c>
    </row>
  </sheetData>
  <phoneticPr fontId="3" type="noConversion"/>
  <conditionalFormatting sqref="C21:C3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1:C4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8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9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0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1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2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3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4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5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6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7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8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9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0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7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1:K40">
    <cfRule type="colorScale" priority="10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:K4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:K55 C63:K63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4:K44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5:K45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:K4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7:K47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:K48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9:K49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0:K50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:K51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:K52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:K53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:K54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5:K55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6:K5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:K5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:K58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:K59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0:K60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1:K6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2:K62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3:K63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7:K67 D68:K80 D87:K87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7:K67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1:K8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2:K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3:K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4:K8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5:K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6:K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1:D34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1:D4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1:E34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1:E4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8:K68 C68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9:K69 C69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0:K70 C70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1:K71 C71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2:K72 C72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3:K73 C73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4:K74 C74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5:K75 C75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6:K76 C76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7:K77 C7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8:K78 C78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9:K79 C79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80:K80 C8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87:K87 C87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1:F34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1:F40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1:G34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1:G4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1:H40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1:I40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1:J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1:K4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ignoredErrors>
    <ignoredError sqref="C21:D21 O2:W13 N4:N11 M14:W14 L14" calculatedColumn="1"/>
  </ignoredErrors>
  <tableParts count="4">
    <tablePart r:id="rId1"/>
    <tablePart r:id="rId2"/>
    <tablePart r:id="rId3"/>
    <tablePart r:id="rId4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850B6-514C-476F-B080-04C1A6906353}">
  <dimension ref="A1:W87"/>
  <sheetViews>
    <sheetView workbookViewId="0">
      <selection activeCell="B1" sqref="B1"/>
    </sheetView>
  </sheetViews>
  <sheetFormatPr defaultRowHeight="15" x14ac:dyDescent="0.25"/>
  <cols>
    <col min="1" max="1" width="9.28515625" customWidth="1"/>
    <col min="2" max="2" width="21.7109375" customWidth="1"/>
    <col min="3" max="3" width="9.140625" customWidth="1"/>
    <col min="6" max="6" width="9.85546875" bestFit="1" customWidth="1"/>
  </cols>
  <sheetData>
    <row r="1" spans="2:23" x14ac:dyDescent="0.25">
      <c r="B1" t="s">
        <v>770</v>
      </c>
      <c r="C1" t="s">
        <v>40</v>
      </c>
      <c r="D1" t="s">
        <v>47</v>
      </c>
      <c r="E1" t="s">
        <v>66</v>
      </c>
      <c r="F1" t="s">
        <v>41</v>
      </c>
      <c r="G1" t="s">
        <v>67</v>
      </c>
      <c r="H1" t="s">
        <v>68</v>
      </c>
      <c r="I1" t="s">
        <v>44</v>
      </c>
      <c r="J1" t="s">
        <v>69</v>
      </c>
      <c r="K1" t="s">
        <v>46</v>
      </c>
      <c r="L1" t="s">
        <v>96</v>
      </c>
      <c r="M1" t="s">
        <v>115</v>
      </c>
      <c r="N1" t="s">
        <v>143</v>
      </c>
      <c r="O1" t="s">
        <v>142</v>
      </c>
      <c r="P1" t="s">
        <v>147</v>
      </c>
      <c r="Q1" t="s">
        <v>128</v>
      </c>
      <c r="R1" t="s">
        <v>129</v>
      </c>
      <c r="S1" t="s">
        <v>140</v>
      </c>
      <c r="T1" t="s">
        <v>130</v>
      </c>
      <c r="U1" t="s">
        <v>131</v>
      </c>
      <c r="V1" t="s">
        <v>141</v>
      </c>
      <c r="W1" t="s">
        <v>133</v>
      </c>
    </row>
    <row r="2" spans="2:23" x14ac:dyDescent="0.25">
      <c r="B2" s="3" t="s">
        <v>749</v>
      </c>
      <c r="C2">
        <v>1</v>
      </c>
      <c r="D2">
        <v>1</v>
      </c>
      <c r="E2">
        <v>2</v>
      </c>
      <c r="F2">
        <v>1</v>
      </c>
      <c r="G2">
        <v>1</v>
      </c>
      <c r="H2">
        <v>2</v>
      </c>
      <c r="I2">
        <v>1</v>
      </c>
      <c r="J2">
        <v>2</v>
      </c>
      <c r="K2">
        <v>1</v>
      </c>
      <c r="L2" s="19">
        <f>SUM(AtrybutyMM[[#This Row],[BR]:[ST]])</f>
        <v>12</v>
      </c>
      <c r="M2" s="59">
        <f>AtrybutyMM[[#This Row],[SUMA]]/COLUMNS(AtrybutyMM[[#Headers],[BR]:[ST]])</f>
        <v>1.3333333333333333</v>
      </c>
      <c r="N2" s="16"/>
      <c r="O2" s="16">
        <f>AVERAGE(AtrybutyMM[[#This Row],[SO]:[ST]])*1.5</f>
        <v>2.0625</v>
      </c>
      <c r="P2" s="16"/>
      <c r="Q2">
        <f>AVERAGE(AtrybutyMM[[#This Row],[SO]],AtrybutyMM[[#This Row],[DP]],AtrybutyMM[[#This Row],[BO]])*3/4</f>
        <v>1</v>
      </c>
      <c r="S2">
        <f>AVERAGE(AtrybutyMM[[#This Row],[BP]],AtrybutyMM[[#This Row],[BOP]])</f>
        <v>2</v>
      </c>
      <c r="W2">
        <f>AVERAGE(AtrybutyMM[[#This Row],[ST]],AtrybutyMM[[#This Row],[OP]])</f>
        <v>1</v>
      </c>
    </row>
    <row r="3" spans="2:23" x14ac:dyDescent="0.25">
      <c r="B3" s="3" t="s">
        <v>750</v>
      </c>
      <c r="C3">
        <v>0.5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 s="19">
        <f>SUM(AtrybutyMM[[#This Row],[BR]:[ST]])</f>
        <v>8.5</v>
      </c>
      <c r="M3" s="59">
        <f>AtrybutyMM[[#This Row],[SUMA]]/COLUMNS(AtrybutyMM[[#Headers],[BR]:[ST]])</f>
        <v>0.94444444444444442</v>
      </c>
      <c r="N3" s="16"/>
      <c r="O3" s="16">
        <f>AVERAGE(AtrybutyMM[[#This Row],[SO]:[ST]])*1.5</f>
        <v>1.5</v>
      </c>
      <c r="P3" s="16"/>
      <c r="Q3">
        <f>AVERAGE(AtrybutyMM[[#This Row],[SO]],AtrybutyMM[[#This Row],[DP]],AtrybutyMM[[#This Row],[BO]])*3/4</f>
        <v>0.75</v>
      </c>
      <c r="U3">
        <f>AVERAGE(AtrybutyMM[[#This Row],[DP]],AtrybutyMM[[#This Row],[SP]])*3/4</f>
        <v>0.75</v>
      </c>
    </row>
    <row r="4" spans="2:23" x14ac:dyDescent="0.25">
      <c r="B4" s="3" t="s">
        <v>763</v>
      </c>
      <c r="C4">
        <v>0.5</v>
      </c>
      <c r="D4">
        <v>0.5</v>
      </c>
      <c r="E4">
        <v>0.5</v>
      </c>
      <c r="F4">
        <v>0.5</v>
      </c>
      <c r="G4">
        <v>0.5</v>
      </c>
      <c r="H4">
        <v>0.5</v>
      </c>
      <c r="I4">
        <v>0.5</v>
      </c>
      <c r="J4">
        <v>0.5</v>
      </c>
      <c r="K4">
        <v>0.5</v>
      </c>
      <c r="L4" s="19">
        <f>SUM(AtrybutyMM[[#This Row],[BR]:[ST]])</f>
        <v>4.5</v>
      </c>
      <c r="M4" s="59">
        <f>AtrybutyMM[[#This Row],[SUMA]]/COLUMNS(AtrybutyMM[[#Headers],[BR]:[ST]])</f>
        <v>0.5</v>
      </c>
      <c r="N4" s="16">
        <f>AtrybutyMM[[#This Row],[BR]]/2</f>
        <v>0.25</v>
      </c>
      <c r="O4" s="16"/>
      <c r="P4" s="16">
        <f>AVERAGE(AtrybutyMM[[#This Row],[SO]],AtrybutyMM[[#This Row],[DP]])</f>
        <v>0.5</v>
      </c>
      <c r="Q4">
        <f>AVERAGE(AtrybutyMM[[#This Row],[SO]],AtrybutyMM[[#This Row],[DP]],AtrybutyMM[[#This Row],[BO]])*3/4</f>
        <v>0.375</v>
      </c>
      <c r="R4">
        <f>AVERAGE(AtrybutyMM[[#This Row],[SP]],AtrybutyMM[[#This Row],[OP]])</f>
        <v>0.5</v>
      </c>
    </row>
    <row r="5" spans="2:23" x14ac:dyDescent="0.25">
      <c r="B5" s="3" t="s">
        <v>751</v>
      </c>
      <c r="C5">
        <v>0</v>
      </c>
      <c r="D5">
        <v>1</v>
      </c>
      <c r="E5">
        <v>1</v>
      </c>
      <c r="F5">
        <v>2.5</v>
      </c>
      <c r="G5">
        <v>2.5</v>
      </c>
      <c r="H5">
        <v>2</v>
      </c>
      <c r="I5">
        <v>2.5</v>
      </c>
      <c r="J5">
        <v>1.5</v>
      </c>
      <c r="K5">
        <v>1</v>
      </c>
      <c r="L5" s="19">
        <f>SUM(AtrybutyMM[[#This Row],[BR]:[ST]])</f>
        <v>14</v>
      </c>
      <c r="M5" s="59">
        <f>AtrybutyMM[[#This Row],[SUMA]]/COLUMNS(AtrybutyMM[[#Headers],[BR]:[ST]])</f>
        <v>1.5555555555555556</v>
      </c>
      <c r="N5" s="16"/>
      <c r="O5" s="16"/>
      <c r="P5" s="16"/>
      <c r="R5">
        <f>AVERAGE(AtrybutyMM[[#This Row],[SP]],AtrybutyMM[[#This Row],[OP]])</f>
        <v>2.5</v>
      </c>
      <c r="T5">
        <f>AVERAGE(AtrybutyMM[[#This Row],[DP]],AtrybutyMM[[#This Row],[SP]])</f>
        <v>2.5</v>
      </c>
      <c r="U5">
        <f>AVERAGE(AtrybutyMM[[#This Row],[DP]],AtrybutyMM[[#This Row],[SP]])*3/4</f>
        <v>1.875</v>
      </c>
    </row>
    <row r="6" spans="2:23" x14ac:dyDescent="0.25">
      <c r="B6" s="3" t="s">
        <v>752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  <c r="J6">
        <v>1</v>
      </c>
      <c r="K6">
        <v>2.5</v>
      </c>
      <c r="L6" s="19">
        <f>SUM(AtrybutyMM[[#This Row],[BR]:[ST]])</f>
        <v>4.5</v>
      </c>
      <c r="M6" s="59">
        <f>AtrybutyMM[[#This Row],[SUMA]]/COLUMNS(AtrybutyMM[[#Headers],[BR]:[ST]])</f>
        <v>0.5</v>
      </c>
      <c r="N6" s="16"/>
      <c r="O6" s="16"/>
      <c r="P6" s="16"/>
      <c r="V6">
        <f>AtrybutyMM[[#This Row],[ST]]</f>
        <v>2.5</v>
      </c>
      <c r="W6">
        <f>AVERAGE(AtrybutyMM[[#This Row],[ST]],AtrybutyMM[[#This Row],[OP]])</f>
        <v>1.75</v>
      </c>
    </row>
    <row r="7" spans="2:23" x14ac:dyDescent="0.25">
      <c r="B7" s="3" t="s">
        <v>753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0.5</v>
      </c>
      <c r="L7" s="19">
        <f>SUM(AtrybutyMM[[#This Row],[BR]:[ST]])</f>
        <v>0.5</v>
      </c>
      <c r="M7" s="59">
        <f>AtrybutyMM[[#This Row],[SUMA]]/COLUMNS(AtrybutyMM[[#Headers],[BR]:[ST]])</f>
        <v>5.5555555555555552E-2</v>
      </c>
      <c r="N7" s="16"/>
      <c r="O7" s="16"/>
      <c r="P7" s="16">
        <f>AVERAGE(AtrybutyMM[[#This Row],[SO]],AtrybutyMM[[#This Row],[DP]])</f>
        <v>0</v>
      </c>
      <c r="V7">
        <f>AtrybutyMM[[#This Row],[ST]]</f>
        <v>0.5</v>
      </c>
    </row>
    <row r="8" spans="2:23" x14ac:dyDescent="0.25">
      <c r="B8" s="3" t="s">
        <v>769</v>
      </c>
      <c r="C8">
        <v>5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 s="19">
        <f>SUM(AtrybutyMM[[#This Row],[BR]:[ST]])</f>
        <v>5</v>
      </c>
      <c r="M8" s="59">
        <f>AtrybutyMM[[#This Row],[SUMA]]/COLUMNS(AtrybutyMM[[#Headers],[BR]:[ST]])</f>
        <v>0.55555555555555558</v>
      </c>
      <c r="N8" s="16">
        <f>AtrybutyMM[[#This Row],[BR]]/2</f>
        <v>2.5</v>
      </c>
      <c r="O8" s="16"/>
      <c r="P8" s="16"/>
    </row>
    <row r="9" spans="2:23" x14ac:dyDescent="0.25">
      <c r="B9" s="3" t="s">
        <v>754</v>
      </c>
      <c r="C9">
        <v>0.5</v>
      </c>
      <c r="D9">
        <v>1</v>
      </c>
      <c r="E9">
        <v>1</v>
      </c>
      <c r="F9">
        <v>2</v>
      </c>
      <c r="G9">
        <v>2</v>
      </c>
      <c r="H9">
        <v>2.5</v>
      </c>
      <c r="I9">
        <v>3</v>
      </c>
      <c r="J9">
        <v>1.5</v>
      </c>
      <c r="K9">
        <v>2</v>
      </c>
      <c r="L9" s="19">
        <f>SUM(AtrybutyMM[[#This Row],[BR]:[ST]])</f>
        <v>15.5</v>
      </c>
      <c r="M9" s="59">
        <f>AtrybutyMM[[#This Row],[SUMA]]/COLUMNS(AtrybutyMM[[#Headers],[BR]:[ST]])</f>
        <v>1.7222222222222223</v>
      </c>
      <c r="N9" s="16"/>
      <c r="O9" s="16"/>
      <c r="P9" s="16"/>
      <c r="R9">
        <f>AVERAGE(AtrybutyMM[[#This Row],[SP]],AtrybutyMM[[#This Row],[OP]])</f>
        <v>2.5</v>
      </c>
      <c r="S9">
        <f>AVERAGE(AtrybutyMM[[#This Row],[BP]],AtrybutyMM[[#This Row],[BOP]])</f>
        <v>2</v>
      </c>
      <c r="T9">
        <f>AVERAGE(AtrybutyMM[[#This Row],[DP]],AtrybutyMM[[#This Row],[SP]])</f>
        <v>2</v>
      </c>
      <c r="U9">
        <f>AVERAGE(AtrybutyMM[[#This Row],[DP]],AtrybutyMM[[#This Row],[SP]])*3/4</f>
        <v>1.5</v>
      </c>
      <c r="V9">
        <f>AtrybutyMM[[#This Row],[ST]]</f>
        <v>2</v>
      </c>
      <c r="W9">
        <f>AVERAGE(AtrybutyMM[[#This Row],[ST]],AtrybutyMM[[#This Row],[OP]])</f>
        <v>2.5</v>
      </c>
    </row>
    <row r="10" spans="2:23" x14ac:dyDescent="0.25">
      <c r="B10" s="3" t="s">
        <v>755</v>
      </c>
      <c r="C10">
        <v>0</v>
      </c>
      <c r="D10">
        <v>4.5</v>
      </c>
      <c r="E10">
        <v>3.5</v>
      </c>
      <c r="F10">
        <v>2.5</v>
      </c>
      <c r="G10">
        <v>2</v>
      </c>
      <c r="H10">
        <v>0.5</v>
      </c>
      <c r="I10">
        <v>0.5</v>
      </c>
      <c r="J10">
        <v>0.5</v>
      </c>
      <c r="K10">
        <v>1</v>
      </c>
      <c r="L10" s="19">
        <f>SUM(AtrybutyMM[[#This Row],[BR]:[ST]])</f>
        <v>15</v>
      </c>
      <c r="M10" s="59">
        <f>AtrybutyMM[[#This Row],[SUMA]]/COLUMNS(AtrybutyMM[[#Headers],[BR]:[ST]])</f>
        <v>1.6666666666666667</v>
      </c>
      <c r="N10" s="16"/>
      <c r="O10" s="16"/>
      <c r="P10" s="16">
        <f>AVERAGE(AtrybutyMM[[#This Row],[SO]],AtrybutyMM[[#This Row],[DP]])</f>
        <v>3.5</v>
      </c>
      <c r="Q10">
        <f>AVERAGE(AtrybutyMM[[#This Row],[SO]],AtrybutyMM[[#This Row],[DP]],AtrybutyMM[[#This Row],[BO]])*3/4</f>
        <v>2.625</v>
      </c>
      <c r="T10">
        <f>AVERAGE(AtrybutyMM[[#This Row],[DP]],AtrybutyMM[[#This Row],[SP]])</f>
        <v>2.25</v>
      </c>
      <c r="U10">
        <f>AVERAGE(AtrybutyMM[[#This Row],[DP]],AtrybutyMM[[#This Row],[SP]])*3/4</f>
        <v>1.6875</v>
      </c>
    </row>
    <row r="11" spans="2:23" x14ac:dyDescent="0.25">
      <c r="B11" s="3" t="s">
        <v>756</v>
      </c>
      <c r="C11">
        <v>2</v>
      </c>
      <c r="D11">
        <v>0.5</v>
      </c>
      <c r="E11">
        <v>0.5</v>
      </c>
      <c r="F11">
        <v>0</v>
      </c>
      <c r="G11">
        <v>0.5</v>
      </c>
      <c r="H11">
        <v>1</v>
      </c>
      <c r="I11">
        <v>0</v>
      </c>
      <c r="J11">
        <v>1.5</v>
      </c>
      <c r="K11">
        <v>0</v>
      </c>
      <c r="L11" s="19">
        <f>SUM(AtrybutyMM[[#This Row],[BR]:[ST]])</f>
        <v>6</v>
      </c>
      <c r="M11" s="59">
        <f>AtrybutyMM[[#This Row],[SUMA]]/COLUMNS(AtrybutyMM[[#Headers],[BR]:[ST]])</f>
        <v>0.66666666666666663</v>
      </c>
      <c r="N11" s="16">
        <f>AtrybutyMM[[#This Row],[BR]]/2</f>
        <v>1</v>
      </c>
      <c r="O11" s="16"/>
      <c r="P11" s="16"/>
      <c r="S11">
        <f>AVERAGE(AtrybutyMM[[#This Row],[BP]],AtrybutyMM[[#This Row],[BOP]])</f>
        <v>1.25</v>
      </c>
    </row>
    <row r="12" spans="2:23" x14ac:dyDescent="0.25">
      <c r="B12" s="3" t="s">
        <v>764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 s="19">
        <f>SUM(AtrybutyMM[[#This Row],[BR]:[ST]])</f>
        <v>0</v>
      </c>
      <c r="M12" s="59">
        <f>AtrybutyMM[[#This Row],[SUMA]]/COLUMNS(AtrybutyMM[[#Headers],[BR]:[ST]])</f>
        <v>0</v>
      </c>
      <c r="N12" s="16"/>
      <c r="O12" s="16"/>
      <c r="P12" s="16"/>
    </row>
    <row r="13" spans="2:23" x14ac:dyDescent="0.25">
      <c r="B13" s="3" t="s">
        <v>757</v>
      </c>
      <c r="C13">
        <v>0.5</v>
      </c>
      <c r="D13">
        <v>0.5</v>
      </c>
      <c r="E13">
        <v>0.5</v>
      </c>
      <c r="F13">
        <v>0.5</v>
      </c>
      <c r="G13">
        <v>0.5</v>
      </c>
      <c r="H13">
        <v>0.5</v>
      </c>
      <c r="I13">
        <v>0.5</v>
      </c>
      <c r="J13">
        <v>0.5</v>
      </c>
      <c r="K13">
        <v>0.5</v>
      </c>
      <c r="L13" s="19">
        <f>SUM(AtrybutyMM[[#This Row],[BR]:[ST]])</f>
        <v>4.5</v>
      </c>
      <c r="M13" s="59">
        <f>AtrybutyMM[[#This Row],[SUMA]]/COLUMNS(AtrybutyMM[[#Headers],[BR]:[ST]])</f>
        <v>0.5</v>
      </c>
      <c r="N13" s="16"/>
      <c r="O13" s="16"/>
      <c r="P13" s="16"/>
    </row>
    <row r="14" spans="2:23" x14ac:dyDescent="0.25">
      <c r="B14" s="3" t="s">
        <v>768</v>
      </c>
      <c r="C14">
        <f>SUM(C2:C13)</f>
        <v>10</v>
      </c>
      <c r="D14">
        <f t="shared" ref="D14:W14" si="0">SUM(D2:D13)</f>
        <v>10</v>
      </c>
      <c r="E14">
        <f t="shared" si="0"/>
        <v>10</v>
      </c>
      <c r="F14">
        <f t="shared" si="0"/>
        <v>10</v>
      </c>
      <c r="G14">
        <f t="shared" si="0"/>
        <v>10</v>
      </c>
      <c r="H14">
        <f t="shared" si="0"/>
        <v>10</v>
      </c>
      <c r="I14">
        <f t="shared" si="0"/>
        <v>10</v>
      </c>
      <c r="J14">
        <f t="shared" si="0"/>
        <v>10</v>
      </c>
      <c r="K14">
        <f t="shared" si="0"/>
        <v>10</v>
      </c>
      <c r="L14" s="19">
        <f>SUM(AtrybutyMM[[#This Row],[BR]:[ST]])</f>
        <v>90</v>
      </c>
      <c r="M14" s="59">
        <f>AtrybutyMM[[#This Row],[SUMA]]/COLUMNS(AtrybutyMM[[#Headers],[BR]:[ST]])</f>
        <v>10</v>
      </c>
      <c r="N14">
        <f t="shared" si="0"/>
        <v>3.75</v>
      </c>
      <c r="O14">
        <f t="shared" si="0"/>
        <v>3.5625</v>
      </c>
      <c r="P14">
        <f t="shared" si="0"/>
        <v>4</v>
      </c>
      <c r="Q14">
        <f t="shared" si="0"/>
        <v>4.75</v>
      </c>
      <c r="R14">
        <f t="shared" si="0"/>
        <v>5.5</v>
      </c>
      <c r="S14">
        <f t="shared" si="0"/>
        <v>5.25</v>
      </c>
      <c r="T14">
        <f t="shared" si="0"/>
        <v>6.75</v>
      </c>
      <c r="U14">
        <f t="shared" si="0"/>
        <v>5.8125</v>
      </c>
      <c r="V14">
        <f t="shared" si="0"/>
        <v>5</v>
      </c>
      <c r="W14">
        <f t="shared" si="0"/>
        <v>5.25</v>
      </c>
    </row>
    <row r="20" spans="1:11" ht="15.75" thickBot="1" x14ac:dyDescent="0.3">
      <c r="A20" s="6" t="s">
        <v>36</v>
      </c>
      <c r="B20" s="5" t="s">
        <v>37</v>
      </c>
      <c r="C20" t="s">
        <v>40</v>
      </c>
      <c r="D20" t="s">
        <v>47</v>
      </c>
      <c r="E20" t="s">
        <v>66</v>
      </c>
      <c r="F20" t="s">
        <v>41</v>
      </c>
      <c r="G20" t="s">
        <v>67</v>
      </c>
      <c r="H20" t="s">
        <v>68</v>
      </c>
      <c r="I20" t="s">
        <v>44</v>
      </c>
      <c r="J20" t="s">
        <v>69</v>
      </c>
      <c r="K20" t="s">
        <v>46</v>
      </c>
    </row>
    <row r="21" spans="1:11" x14ac:dyDescent="0.25">
      <c r="A21" s="63">
        <f>PozycjeŚr[[#This Row],[Numer]]</f>
        <v>1</v>
      </c>
      <c r="B21" s="3" t="str">
        <f>IFERROR(VLOOKUP(PozycjeMM[[#This Row],[Numer]],Zawodnicy[[Number]:[Player name]],2,FALSE),"-")</f>
        <v>Radko Dochkov</v>
      </c>
      <c r="C21" s="38">
        <f>IFERROR(INDEX(Zawodnicy[],MATCH($A21,Players!$A$2:$A$35,0),MATCH($B$2,Players!$A$1:$Y$1,0))*C$2+INDEX(Zawodnicy[],MATCH($A21,Players!$A$2:$A$35,0),MATCH($B$3,Players!$A$1:$Y$1,0))*C$3+INDEX(Zawodnicy[],MATCH($A21,Players!$A$2:$A$35,0),MATCH($B$4,Players!$A$1:$Y$1,0))*C$4+INDEX(Zawodnicy[],MATCH($A21,Players!$A$2:$A$35,0),MATCH($B$5,Players!$A$1:$Y$1,0))*C$5+INDEX(Zawodnicy[],MATCH($A21,Players!$A$2:$A$35,0),MATCH($B$6,Players!$A$1:$Y$1,0))*C$6+INDEX(Zawodnicy[],MATCH($A21,Players!$A$2:$A$35,0),MATCH($B$7,Players!$A$1:$Y$1,0))*C$7+INDEX(Zawodnicy[],MATCH($A21,Players!$A$2:$A$35,0),MATCH($B$8,Players!$A$1:$Y$1,0))*C$8+INDEX(Zawodnicy[],MATCH($A21,Players!$A$2:$A$35,0),MATCH($B$9,Players!$A$1:$Y$1,0))*C$9+INDEX(Zawodnicy[],MATCH($A21,Players!$A$2:$A$35,0),MATCH($B$10,Players!$A$1:$Y$1,0))*C$10+INDEX(Zawodnicy[],MATCH($A21,Players!$A$2:$A$35,0),MATCH($B$11,Players!$A$1:$Y$1,0))*C$11+INDEX(Zawodnicy[],MATCH($A21,Players!$A$2:$A$35,0),MATCH($B$12,Players!$A$1:$Y$1,0))*C$12+INDEX(Zawodnicy[],MATCH($A21,Players!$A$2:$A$35,0),MATCH($B$13,Players!$A$1:$Y$1,0))*C$13,"-")</f>
        <v>84</v>
      </c>
      <c r="D21" s="38">
        <f>IFERROR(INDEX(Zawodnicy[],MATCH($A21,Players!$A$2:$A$35,0),MATCH($B$2,Players!$A$1:$Y$1,0))*D$2+INDEX(Zawodnicy[],MATCH($A21,Players!$A$2:$A$35,0),MATCH($B$3,Players!$A$1:$Y$1,0))*D$3+INDEX(Zawodnicy[],MATCH($A21,Players!$A$2:$A$35,0),MATCH($B$4,Players!$A$1:$Y$1,0))*D$4+INDEX(Zawodnicy[],MATCH($A21,Players!$A$2:$A$35,0),MATCH($B$5,Players!$A$1:$Y$1,0))*D$5+INDEX(Zawodnicy[],MATCH($A21,Players!$A$2:$A$35,0),MATCH($B$6,Players!$A$1:$Y$1,0))*D$6+INDEX(Zawodnicy[],MATCH($A21,Players!$A$2:$A$35,0),MATCH($B$7,Players!$A$1:$Y$1,0))*D$7+INDEX(Zawodnicy[],MATCH($A21,Players!$A$2:$A$35,0),MATCH($B$8,Players!$A$1:$Y$1,0))*D$8+INDEX(Zawodnicy[],MATCH($A21,Players!$A$2:$A$35,0),MATCH($B$9,Players!$A$1:$Y$1,0))*D$9+INDEX(Zawodnicy[],MATCH($A21,Players!$A$2:$A$35,0),MATCH($B$10,Players!$A$1:$Y$1,0))*D$10+INDEX(Zawodnicy[],MATCH($A21,Players!$A$2:$A$35,0),MATCH($B$11,Players!$A$1:$Y$1,0))*D$11+INDEX(Zawodnicy[],MATCH($A21,Players!$A$2:$A$35,0),MATCH($B$12,Players!$A$1:$Y$1,0))*D$12+INDEX(Zawodnicy[],MATCH($A21,Players!$A$2:$A$35,0),MATCH($B$13,Players!$A$1:$Y$1,0))*D$13,"-")</f>
        <v>41</v>
      </c>
      <c r="E21" s="38">
        <f>IFERROR(INDEX(Zawodnicy[],MATCH($A21,Players!$A$2:$A$35,0),MATCH($B$2,Players!$A$1:$Y$1,0))*E$2+INDEX(Zawodnicy[],MATCH($A21,Players!$A$2:$A$35,0),MATCH($B$3,Players!$A$1:$Y$1,0))*E$3+INDEX(Zawodnicy[],MATCH($A21,Players!$A$2:$A$35,0),MATCH($B$4,Players!$A$1:$Y$1,0))*E$4+INDEX(Zawodnicy[],MATCH($A21,Players!$A$2:$A$35,0),MATCH($B$5,Players!$A$1:$Y$1,0))*E$5+INDEX(Zawodnicy[],MATCH($A21,Players!$A$2:$A$35,0),MATCH($B$6,Players!$A$1:$Y$1,0))*E$6+INDEX(Zawodnicy[],MATCH($A21,Players!$A$2:$A$35,0),MATCH($B$7,Players!$A$1:$Y$1,0))*E$7+INDEX(Zawodnicy[],MATCH($A21,Players!$A$2:$A$35,0),MATCH($B$8,Players!$A$1:$Y$1,0))*E$8+INDEX(Zawodnicy[],MATCH($A21,Players!$A$2:$A$35,0),MATCH($B$9,Players!$A$1:$Y$1,0))*E$9+INDEX(Zawodnicy[],MATCH($A21,Players!$A$2:$A$35,0),MATCH($B$10,Players!$A$1:$Y$1,0))*E$10+INDEX(Zawodnicy[],MATCH($A21,Players!$A$2:$A$35,0),MATCH($B$11,Players!$A$1:$Y$1,0))*E$11+INDEX(Zawodnicy[],MATCH($A21,Players!$A$2:$A$35,0),MATCH($B$12,Players!$A$1:$Y$1,0))*E$12+INDEX(Zawodnicy[],MATCH($A21,Players!$A$2:$A$35,0),MATCH($B$13,Players!$A$1:$Y$1,0))*E$13,"-")</f>
        <v>48</v>
      </c>
      <c r="F21" s="38">
        <f>IFERROR(INDEX(Zawodnicy[],MATCH($A21,Players!$A$2:$A$35,0),MATCH($B$2,Players!$A$1:$Y$1,0))*F$2+INDEX(Zawodnicy[],MATCH($A21,Players!$A$2:$A$35,0),MATCH($B$3,Players!$A$1:$Y$1,0))*F$3+INDEX(Zawodnicy[],MATCH($A21,Players!$A$2:$A$35,0),MATCH($B$4,Players!$A$1:$Y$1,0))*F$4+INDEX(Zawodnicy[],MATCH($A21,Players!$A$2:$A$35,0),MATCH($B$5,Players!$A$1:$Y$1,0))*F$5+INDEX(Zawodnicy[],MATCH($A21,Players!$A$2:$A$35,0),MATCH($B$6,Players!$A$1:$Y$1,0))*F$6+INDEX(Zawodnicy[],MATCH($A21,Players!$A$2:$A$35,0),MATCH($B$7,Players!$A$1:$Y$1,0))*F$7+INDEX(Zawodnicy[],MATCH($A21,Players!$A$2:$A$35,0),MATCH($B$8,Players!$A$1:$Y$1,0))*F$8+INDEX(Zawodnicy[],MATCH($A21,Players!$A$2:$A$35,0),MATCH($B$9,Players!$A$1:$Y$1,0))*F$9+INDEX(Zawodnicy[],MATCH($A21,Players!$A$2:$A$35,0),MATCH($B$10,Players!$A$1:$Y$1,0))*F$10+INDEX(Zawodnicy[],MATCH($A21,Players!$A$2:$A$35,0),MATCH($B$11,Players!$A$1:$Y$1,0))*F$11+INDEX(Zawodnicy[],MATCH($A21,Players!$A$2:$A$35,0),MATCH($B$12,Players!$A$1:$Y$1,0))*F$12+INDEX(Zawodnicy[],MATCH($A21,Players!$A$2:$A$35,0),MATCH($B$13,Players!$A$1:$Y$1,0))*F$13,"-")</f>
        <v>45</v>
      </c>
      <c r="G21" s="38">
        <f>IFERROR(INDEX(Zawodnicy[],MATCH($A21,Players!$A$2:$A$35,0),MATCH($B$2,Players!$A$1:$Y$1,0))*G$2+INDEX(Zawodnicy[],MATCH($A21,Players!$A$2:$A$35,0),MATCH($B$3,Players!$A$1:$Y$1,0))*G$3+INDEX(Zawodnicy[],MATCH($A21,Players!$A$2:$A$35,0),MATCH($B$4,Players!$A$1:$Y$1,0))*G$4+INDEX(Zawodnicy[],MATCH($A21,Players!$A$2:$A$35,0),MATCH($B$5,Players!$A$1:$Y$1,0))*G$5+INDEX(Zawodnicy[],MATCH($A21,Players!$A$2:$A$35,0),MATCH($B$6,Players!$A$1:$Y$1,0))*G$6+INDEX(Zawodnicy[],MATCH($A21,Players!$A$2:$A$35,0),MATCH($B$7,Players!$A$1:$Y$1,0))*G$7+INDEX(Zawodnicy[],MATCH($A21,Players!$A$2:$A$35,0),MATCH($B$8,Players!$A$1:$Y$1,0))*G$8+INDEX(Zawodnicy[],MATCH($A21,Players!$A$2:$A$35,0),MATCH($B$9,Players!$A$1:$Y$1,0))*G$9+INDEX(Zawodnicy[],MATCH($A21,Players!$A$2:$A$35,0),MATCH($B$10,Players!$A$1:$Y$1,0))*G$10+INDEX(Zawodnicy[],MATCH($A21,Players!$A$2:$A$35,0),MATCH($B$11,Players!$A$1:$Y$1,0))*G$11+INDEX(Zawodnicy[],MATCH($A21,Players!$A$2:$A$35,0),MATCH($B$12,Players!$A$1:$Y$1,0))*G$12+INDEX(Zawodnicy[],MATCH($A21,Players!$A$2:$A$35,0),MATCH($B$13,Players!$A$1:$Y$1,0))*G$13,"-")</f>
        <v>48.5</v>
      </c>
      <c r="H21" s="38">
        <f>IFERROR(INDEX(Zawodnicy[],MATCH($A21,Players!$A$2:$A$35,0),MATCH($B$2,Players!$A$1:$Y$1,0))*H$2+INDEX(Zawodnicy[],MATCH($A21,Players!$A$2:$A$35,0),MATCH($B$3,Players!$A$1:$Y$1,0))*H$3+INDEX(Zawodnicy[],MATCH($A21,Players!$A$2:$A$35,0),MATCH($B$4,Players!$A$1:$Y$1,0))*H$4+INDEX(Zawodnicy[],MATCH($A21,Players!$A$2:$A$35,0),MATCH($B$5,Players!$A$1:$Y$1,0))*H$5+INDEX(Zawodnicy[],MATCH($A21,Players!$A$2:$A$35,0),MATCH($B$6,Players!$A$1:$Y$1,0))*H$6+INDEX(Zawodnicy[],MATCH($A21,Players!$A$2:$A$35,0),MATCH($B$7,Players!$A$1:$Y$1,0))*H$7+INDEX(Zawodnicy[],MATCH($A21,Players!$A$2:$A$35,0),MATCH($B$8,Players!$A$1:$Y$1,0))*H$8+INDEX(Zawodnicy[],MATCH($A21,Players!$A$2:$A$35,0),MATCH($B$9,Players!$A$1:$Y$1,0))*H$9+INDEX(Zawodnicy[],MATCH($A21,Players!$A$2:$A$35,0),MATCH($B$10,Players!$A$1:$Y$1,0))*H$10+INDEX(Zawodnicy[],MATCH($A21,Players!$A$2:$A$35,0),MATCH($B$11,Players!$A$1:$Y$1,0))*H$11+INDEX(Zawodnicy[],MATCH($A21,Players!$A$2:$A$35,0),MATCH($B$12,Players!$A$1:$Y$1,0))*H$12+INDEX(Zawodnicy[],MATCH($A21,Players!$A$2:$A$35,0),MATCH($B$13,Players!$A$1:$Y$1,0))*H$13,"-")</f>
        <v>59</v>
      </c>
      <c r="I21" s="38">
        <f>IFERROR(INDEX(Zawodnicy[],MATCH($A21,Players!$A$2:$A$35,0),MATCH($B$2,Players!$A$1:$Y$1,0))*I$2+INDEX(Zawodnicy[],MATCH($A21,Players!$A$2:$A$35,0),MATCH($B$3,Players!$A$1:$Y$1,0))*I$3+INDEX(Zawodnicy[],MATCH($A21,Players!$A$2:$A$35,0),MATCH($B$4,Players!$A$1:$Y$1,0))*I$4+INDEX(Zawodnicy[],MATCH($A21,Players!$A$2:$A$35,0),MATCH($B$5,Players!$A$1:$Y$1,0))*I$5+INDEX(Zawodnicy[],MATCH($A21,Players!$A$2:$A$35,0),MATCH($B$6,Players!$A$1:$Y$1,0))*I$6+INDEX(Zawodnicy[],MATCH($A21,Players!$A$2:$A$35,0),MATCH($B$7,Players!$A$1:$Y$1,0))*I$7+INDEX(Zawodnicy[],MATCH($A21,Players!$A$2:$A$35,0),MATCH($B$8,Players!$A$1:$Y$1,0))*I$8+INDEX(Zawodnicy[],MATCH($A21,Players!$A$2:$A$35,0),MATCH($B$9,Players!$A$1:$Y$1,0))*I$9+INDEX(Zawodnicy[],MATCH($A21,Players!$A$2:$A$35,0),MATCH($B$10,Players!$A$1:$Y$1,0))*I$10+INDEX(Zawodnicy[],MATCH($A21,Players!$A$2:$A$35,0),MATCH($B$11,Players!$A$1:$Y$1,0))*I$11+INDEX(Zawodnicy[],MATCH($A21,Players!$A$2:$A$35,0),MATCH($B$12,Players!$A$1:$Y$1,0))*I$12+INDEX(Zawodnicy[],MATCH($A21,Players!$A$2:$A$35,0),MATCH($B$13,Players!$A$1:$Y$1,0))*I$13,"-")</f>
        <v>49</v>
      </c>
      <c r="J21" s="38">
        <f>IFERROR(INDEX(Zawodnicy[],MATCH($A21,Players!$A$2:$A$35,0),MATCH($B$2,Players!$A$1:$Y$1,0))*J$2+INDEX(Zawodnicy[],MATCH($A21,Players!$A$2:$A$35,0),MATCH($B$3,Players!$A$1:$Y$1,0))*J$3+INDEX(Zawodnicy[],MATCH($A21,Players!$A$2:$A$35,0),MATCH($B$4,Players!$A$1:$Y$1,0))*J$4+INDEX(Zawodnicy[],MATCH($A21,Players!$A$2:$A$35,0),MATCH($B$5,Players!$A$1:$Y$1,0))*J$5+INDEX(Zawodnicy[],MATCH($A21,Players!$A$2:$A$35,0),MATCH($B$6,Players!$A$1:$Y$1,0))*J$6+INDEX(Zawodnicy[],MATCH($A21,Players!$A$2:$A$35,0),MATCH($B$7,Players!$A$1:$Y$1,0))*J$7+INDEX(Zawodnicy[],MATCH($A21,Players!$A$2:$A$35,0),MATCH($B$8,Players!$A$1:$Y$1,0))*J$8+INDEX(Zawodnicy[],MATCH($A21,Players!$A$2:$A$35,0),MATCH($B$9,Players!$A$1:$Y$1,0))*J$9+INDEX(Zawodnicy[],MATCH($A21,Players!$A$2:$A$35,0),MATCH($B$10,Players!$A$1:$Y$1,0))*J$10+INDEX(Zawodnicy[],MATCH($A21,Players!$A$2:$A$35,0),MATCH($B$11,Players!$A$1:$Y$1,0))*J$11+INDEX(Zawodnicy[],MATCH($A21,Players!$A$2:$A$35,0),MATCH($B$12,Players!$A$1:$Y$1,0))*J$12+INDEX(Zawodnicy[],MATCH($A21,Players!$A$2:$A$35,0),MATCH($B$13,Players!$A$1:$Y$1,0))*J$13,"-")</f>
        <v>59</v>
      </c>
      <c r="K21" s="38">
        <f>IFERROR(INDEX(Zawodnicy[],MATCH($A21,Players!$A$2:$A$35,0),MATCH($B$2,Players!$A$1:$Y$1,0))*K$2+INDEX(Zawodnicy[],MATCH($A21,Players!$A$2:$A$35,0),MATCH($B$3,Players!$A$1:$Y$1,0))*K$3+INDEX(Zawodnicy[],MATCH($A21,Players!$A$2:$A$35,0),MATCH($B$4,Players!$A$1:$Y$1,0))*K$4+INDEX(Zawodnicy[],MATCH($A21,Players!$A$2:$A$35,0),MATCH($B$5,Players!$A$1:$Y$1,0))*K$5+INDEX(Zawodnicy[],MATCH($A21,Players!$A$2:$A$35,0),MATCH($B$6,Players!$A$1:$Y$1,0))*K$6+INDEX(Zawodnicy[],MATCH($A21,Players!$A$2:$A$35,0),MATCH($B$7,Players!$A$1:$Y$1,0))*K$7+INDEX(Zawodnicy[],MATCH($A21,Players!$A$2:$A$35,0),MATCH($B$8,Players!$A$1:$Y$1,0))*K$8+INDEX(Zawodnicy[],MATCH($A21,Players!$A$2:$A$35,0),MATCH($B$9,Players!$A$1:$Y$1,0))*K$9+INDEX(Zawodnicy[],MATCH($A21,Players!$A$2:$A$35,0),MATCH($B$10,Players!$A$1:$Y$1,0))*K$10+INDEX(Zawodnicy[],MATCH($A21,Players!$A$2:$A$35,0),MATCH($B$11,Players!$A$1:$Y$1,0))*K$11+INDEX(Zawodnicy[],MATCH($A21,Players!$A$2:$A$35,0),MATCH($B$12,Players!$A$1:$Y$1,0))*K$12+INDEX(Zawodnicy[],MATCH($A21,Players!$A$2:$A$35,0),MATCH($B$13,Players!$A$1:$Y$1,0))*K$13,"-")</f>
        <v>44</v>
      </c>
    </row>
    <row r="22" spans="1:11" x14ac:dyDescent="0.25">
      <c r="A22" s="63">
        <f>PozycjeŚr[[#This Row],[Numer]]</f>
        <v>3</v>
      </c>
      <c r="B22" s="3" t="str">
        <f>IFERROR(VLOOKUP(PozycjeMM[[#This Row],[Numer]],Zawodnicy[[Number]:[Player name]],2,FALSE),"-")</f>
        <v>Ulryk Kaczor</v>
      </c>
      <c r="C22" s="38">
        <f>IFERROR(INDEX(Zawodnicy[],MATCH($A22,Players!$A$2:$A$35,0),MATCH($B$2,Players!$A$1:$Y$1,0))*C$2+INDEX(Zawodnicy[],MATCH($A22,Players!$A$2:$A$35,0),MATCH($B$3,Players!$A$1:$Y$1,0))*C$3+INDEX(Zawodnicy[],MATCH($A22,Players!$A$2:$A$35,0),MATCH($B$4,Players!$A$1:$Y$1,0))*C$4+INDEX(Zawodnicy[],MATCH($A22,Players!$A$2:$A$35,0),MATCH($B$5,Players!$A$1:$Y$1,0))*C$5+INDEX(Zawodnicy[],MATCH($A22,Players!$A$2:$A$35,0),MATCH($B$6,Players!$A$1:$Y$1,0))*C$6+INDEX(Zawodnicy[],MATCH($A22,Players!$A$2:$A$35,0),MATCH($B$7,Players!$A$1:$Y$1,0))*C$7+INDEX(Zawodnicy[],MATCH($A22,Players!$A$2:$A$35,0),MATCH($B$8,Players!$A$1:$Y$1,0))*C$8+INDEX(Zawodnicy[],MATCH($A22,Players!$A$2:$A$35,0),MATCH($B$9,Players!$A$1:$Y$1,0))*C$9+INDEX(Zawodnicy[],MATCH($A22,Players!$A$2:$A$35,0),MATCH($B$10,Players!$A$1:$Y$1,0))*C$10+INDEX(Zawodnicy[],MATCH($A22,Players!$A$2:$A$35,0),MATCH($B$11,Players!$A$1:$Y$1,0))*C$11+INDEX(Zawodnicy[],MATCH($A22,Players!$A$2:$A$35,0),MATCH($B$12,Players!$A$1:$Y$1,0))*C$12+INDEX(Zawodnicy[],MATCH($A22,Players!$A$2:$A$35,0),MATCH($B$13,Players!$A$1:$Y$1,0))*C$13,"-")</f>
        <v>40</v>
      </c>
      <c r="D22" s="38">
        <f>IFERROR(INDEX(Zawodnicy[],MATCH($A22,Players!$A$2:$A$35,0),MATCH($B$2,Players!$A$1:$Y$1,0))*D$2+INDEX(Zawodnicy[],MATCH($A22,Players!$A$2:$A$35,0),MATCH($B$3,Players!$A$1:$Y$1,0))*D$3+INDEX(Zawodnicy[],MATCH($A22,Players!$A$2:$A$35,0),MATCH($B$4,Players!$A$1:$Y$1,0))*D$4+INDEX(Zawodnicy[],MATCH($A22,Players!$A$2:$A$35,0),MATCH($B$5,Players!$A$1:$Y$1,0))*D$5+INDEX(Zawodnicy[],MATCH($A22,Players!$A$2:$A$35,0),MATCH($B$6,Players!$A$1:$Y$1,0))*D$6+INDEX(Zawodnicy[],MATCH($A22,Players!$A$2:$A$35,0),MATCH($B$7,Players!$A$1:$Y$1,0))*D$7+INDEX(Zawodnicy[],MATCH($A22,Players!$A$2:$A$35,0),MATCH($B$8,Players!$A$1:$Y$1,0))*D$8+INDEX(Zawodnicy[],MATCH($A22,Players!$A$2:$A$35,0),MATCH($B$9,Players!$A$1:$Y$1,0))*D$9+INDEX(Zawodnicy[],MATCH($A22,Players!$A$2:$A$35,0),MATCH($B$10,Players!$A$1:$Y$1,0))*D$10+INDEX(Zawodnicy[],MATCH($A22,Players!$A$2:$A$35,0),MATCH($B$11,Players!$A$1:$Y$1,0))*D$11+INDEX(Zawodnicy[],MATCH($A22,Players!$A$2:$A$35,0),MATCH($B$12,Players!$A$1:$Y$1,0))*D$12+INDEX(Zawodnicy[],MATCH($A22,Players!$A$2:$A$35,0),MATCH($B$13,Players!$A$1:$Y$1,0))*D$13,"-")</f>
        <v>75</v>
      </c>
      <c r="E22" s="38">
        <f>IFERROR(INDEX(Zawodnicy[],MATCH($A22,Players!$A$2:$A$35,0),MATCH($B$2,Players!$A$1:$Y$1,0))*E$2+INDEX(Zawodnicy[],MATCH($A22,Players!$A$2:$A$35,0),MATCH($B$3,Players!$A$1:$Y$1,0))*E$3+INDEX(Zawodnicy[],MATCH($A22,Players!$A$2:$A$35,0),MATCH($B$4,Players!$A$1:$Y$1,0))*E$4+INDEX(Zawodnicy[],MATCH($A22,Players!$A$2:$A$35,0),MATCH($B$5,Players!$A$1:$Y$1,0))*E$5+INDEX(Zawodnicy[],MATCH($A22,Players!$A$2:$A$35,0),MATCH($B$6,Players!$A$1:$Y$1,0))*E$6+INDEX(Zawodnicy[],MATCH($A22,Players!$A$2:$A$35,0),MATCH($B$7,Players!$A$1:$Y$1,0))*E$7+INDEX(Zawodnicy[],MATCH($A22,Players!$A$2:$A$35,0),MATCH($B$8,Players!$A$1:$Y$1,0))*E$8+INDEX(Zawodnicy[],MATCH($A22,Players!$A$2:$A$35,0),MATCH($B$9,Players!$A$1:$Y$1,0))*E$9+INDEX(Zawodnicy[],MATCH($A22,Players!$A$2:$A$35,0),MATCH($B$10,Players!$A$1:$Y$1,0))*E$10+INDEX(Zawodnicy[],MATCH($A22,Players!$A$2:$A$35,0),MATCH($B$11,Players!$A$1:$Y$1,0))*E$11+INDEX(Zawodnicy[],MATCH($A22,Players!$A$2:$A$35,0),MATCH($B$12,Players!$A$1:$Y$1,0))*E$12+INDEX(Zawodnicy[],MATCH($A22,Players!$A$2:$A$35,0),MATCH($B$13,Players!$A$1:$Y$1,0))*E$13,"-")</f>
        <v>73</v>
      </c>
      <c r="F22" s="38">
        <f>IFERROR(INDEX(Zawodnicy[],MATCH($A22,Players!$A$2:$A$35,0),MATCH($B$2,Players!$A$1:$Y$1,0))*F$2+INDEX(Zawodnicy[],MATCH($A22,Players!$A$2:$A$35,0),MATCH($B$3,Players!$A$1:$Y$1,0))*F$3+INDEX(Zawodnicy[],MATCH($A22,Players!$A$2:$A$35,0),MATCH($B$4,Players!$A$1:$Y$1,0))*F$4+INDEX(Zawodnicy[],MATCH($A22,Players!$A$2:$A$35,0),MATCH($B$5,Players!$A$1:$Y$1,0))*F$5+INDEX(Zawodnicy[],MATCH($A22,Players!$A$2:$A$35,0),MATCH($B$6,Players!$A$1:$Y$1,0))*F$6+INDEX(Zawodnicy[],MATCH($A22,Players!$A$2:$A$35,0),MATCH($B$7,Players!$A$1:$Y$1,0))*F$7+INDEX(Zawodnicy[],MATCH($A22,Players!$A$2:$A$35,0),MATCH($B$8,Players!$A$1:$Y$1,0))*F$8+INDEX(Zawodnicy[],MATCH($A22,Players!$A$2:$A$35,0),MATCH($B$9,Players!$A$1:$Y$1,0))*F$9+INDEX(Zawodnicy[],MATCH($A22,Players!$A$2:$A$35,0),MATCH($B$10,Players!$A$1:$Y$1,0))*F$10+INDEX(Zawodnicy[],MATCH($A22,Players!$A$2:$A$35,0),MATCH($B$11,Players!$A$1:$Y$1,0))*F$11+INDEX(Zawodnicy[],MATCH($A22,Players!$A$2:$A$35,0),MATCH($B$12,Players!$A$1:$Y$1,0))*F$12+INDEX(Zawodnicy[],MATCH($A22,Players!$A$2:$A$35,0),MATCH($B$13,Players!$A$1:$Y$1,0))*F$13,"-")</f>
        <v>71.5</v>
      </c>
      <c r="G22" s="38">
        <f>IFERROR(INDEX(Zawodnicy[],MATCH($A22,Players!$A$2:$A$35,0),MATCH($B$2,Players!$A$1:$Y$1,0))*G$2+INDEX(Zawodnicy[],MATCH($A22,Players!$A$2:$A$35,0),MATCH($B$3,Players!$A$1:$Y$1,0))*G$3+INDEX(Zawodnicy[],MATCH($A22,Players!$A$2:$A$35,0),MATCH($B$4,Players!$A$1:$Y$1,0))*G$4+INDEX(Zawodnicy[],MATCH($A22,Players!$A$2:$A$35,0),MATCH($B$5,Players!$A$1:$Y$1,0))*G$5+INDEX(Zawodnicy[],MATCH($A22,Players!$A$2:$A$35,0),MATCH($B$6,Players!$A$1:$Y$1,0))*G$6+INDEX(Zawodnicy[],MATCH($A22,Players!$A$2:$A$35,0),MATCH($B$7,Players!$A$1:$Y$1,0))*G$7+INDEX(Zawodnicy[],MATCH($A22,Players!$A$2:$A$35,0),MATCH($B$8,Players!$A$1:$Y$1,0))*G$8+INDEX(Zawodnicy[],MATCH($A22,Players!$A$2:$A$35,0),MATCH($B$9,Players!$A$1:$Y$1,0))*G$9+INDEX(Zawodnicy[],MATCH($A22,Players!$A$2:$A$35,0),MATCH($B$10,Players!$A$1:$Y$1,0))*G$10+INDEX(Zawodnicy[],MATCH($A22,Players!$A$2:$A$35,0),MATCH($B$11,Players!$A$1:$Y$1,0))*G$11+INDEX(Zawodnicy[],MATCH($A22,Players!$A$2:$A$35,0),MATCH($B$12,Players!$A$1:$Y$1,0))*G$12+INDEX(Zawodnicy[],MATCH($A22,Players!$A$2:$A$35,0),MATCH($B$13,Players!$A$1:$Y$1,0))*G$13,"-")</f>
        <v>68</v>
      </c>
      <c r="H22" s="38">
        <f>IFERROR(INDEX(Zawodnicy[],MATCH($A22,Players!$A$2:$A$35,0),MATCH($B$2,Players!$A$1:$Y$1,0))*H$2+INDEX(Zawodnicy[],MATCH($A22,Players!$A$2:$A$35,0),MATCH($B$3,Players!$A$1:$Y$1,0))*H$3+INDEX(Zawodnicy[],MATCH($A22,Players!$A$2:$A$35,0),MATCH($B$4,Players!$A$1:$Y$1,0))*H$4+INDEX(Zawodnicy[],MATCH($A22,Players!$A$2:$A$35,0),MATCH($B$5,Players!$A$1:$Y$1,0))*H$5+INDEX(Zawodnicy[],MATCH($A22,Players!$A$2:$A$35,0),MATCH($B$6,Players!$A$1:$Y$1,0))*H$6+INDEX(Zawodnicy[],MATCH($A22,Players!$A$2:$A$35,0),MATCH($B$7,Players!$A$1:$Y$1,0))*H$7+INDEX(Zawodnicy[],MATCH($A22,Players!$A$2:$A$35,0),MATCH($B$8,Players!$A$1:$Y$1,0))*H$8+INDEX(Zawodnicy[],MATCH($A22,Players!$A$2:$A$35,0),MATCH($B$9,Players!$A$1:$Y$1,0))*H$9+INDEX(Zawodnicy[],MATCH($A22,Players!$A$2:$A$35,0),MATCH($B$10,Players!$A$1:$Y$1,0))*H$10+INDEX(Zawodnicy[],MATCH($A22,Players!$A$2:$A$35,0),MATCH($B$11,Players!$A$1:$Y$1,0))*H$11+INDEX(Zawodnicy[],MATCH($A22,Players!$A$2:$A$35,0),MATCH($B$12,Players!$A$1:$Y$1,0))*H$12+INDEX(Zawodnicy[],MATCH($A22,Players!$A$2:$A$35,0),MATCH($B$13,Players!$A$1:$Y$1,0))*H$13,"-")</f>
        <v>64</v>
      </c>
      <c r="I22" s="38">
        <f>IFERROR(INDEX(Zawodnicy[],MATCH($A22,Players!$A$2:$A$35,0),MATCH($B$2,Players!$A$1:$Y$1,0))*I$2+INDEX(Zawodnicy[],MATCH($A22,Players!$A$2:$A$35,0),MATCH($B$3,Players!$A$1:$Y$1,0))*I$3+INDEX(Zawodnicy[],MATCH($A22,Players!$A$2:$A$35,0),MATCH($B$4,Players!$A$1:$Y$1,0))*I$4+INDEX(Zawodnicy[],MATCH($A22,Players!$A$2:$A$35,0),MATCH($B$5,Players!$A$1:$Y$1,0))*I$5+INDEX(Zawodnicy[],MATCH($A22,Players!$A$2:$A$35,0),MATCH($B$6,Players!$A$1:$Y$1,0))*I$6+INDEX(Zawodnicy[],MATCH($A22,Players!$A$2:$A$35,0),MATCH($B$7,Players!$A$1:$Y$1,0))*I$7+INDEX(Zawodnicy[],MATCH($A22,Players!$A$2:$A$35,0),MATCH($B$8,Players!$A$1:$Y$1,0))*I$8+INDEX(Zawodnicy[],MATCH($A22,Players!$A$2:$A$35,0),MATCH($B$9,Players!$A$1:$Y$1,0))*I$9+INDEX(Zawodnicy[],MATCH($A22,Players!$A$2:$A$35,0),MATCH($B$10,Players!$A$1:$Y$1,0))*I$10+INDEX(Zawodnicy[],MATCH($A22,Players!$A$2:$A$35,0),MATCH($B$11,Players!$A$1:$Y$1,0))*I$11+INDEX(Zawodnicy[],MATCH($A22,Players!$A$2:$A$35,0),MATCH($B$12,Players!$A$1:$Y$1,0))*I$12+INDEX(Zawodnicy[],MATCH($A22,Players!$A$2:$A$35,0),MATCH($B$13,Players!$A$1:$Y$1,0))*I$13,"-")</f>
        <v>63.5</v>
      </c>
      <c r="J22" s="38">
        <f>IFERROR(INDEX(Zawodnicy[],MATCH($A22,Players!$A$2:$A$35,0),MATCH($B$2,Players!$A$1:$Y$1,0))*J$2+INDEX(Zawodnicy[],MATCH($A22,Players!$A$2:$A$35,0),MATCH($B$3,Players!$A$1:$Y$1,0))*J$3+INDEX(Zawodnicy[],MATCH($A22,Players!$A$2:$A$35,0),MATCH($B$4,Players!$A$1:$Y$1,0))*J$4+INDEX(Zawodnicy[],MATCH($A22,Players!$A$2:$A$35,0),MATCH($B$5,Players!$A$1:$Y$1,0))*J$5+INDEX(Zawodnicy[],MATCH($A22,Players!$A$2:$A$35,0),MATCH($B$6,Players!$A$1:$Y$1,0))*J$6+INDEX(Zawodnicy[],MATCH($A22,Players!$A$2:$A$35,0),MATCH($B$7,Players!$A$1:$Y$1,0))*J$7+INDEX(Zawodnicy[],MATCH($A22,Players!$A$2:$A$35,0),MATCH($B$8,Players!$A$1:$Y$1,0))*J$8+INDEX(Zawodnicy[],MATCH($A22,Players!$A$2:$A$35,0),MATCH($B$9,Players!$A$1:$Y$1,0))*J$9+INDEX(Zawodnicy[],MATCH($A22,Players!$A$2:$A$35,0),MATCH($B$10,Players!$A$1:$Y$1,0))*J$10+INDEX(Zawodnicy[],MATCH($A22,Players!$A$2:$A$35,0),MATCH($B$11,Players!$A$1:$Y$1,0))*J$11+INDEX(Zawodnicy[],MATCH($A22,Players!$A$2:$A$35,0),MATCH($B$12,Players!$A$1:$Y$1,0))*J$12+INDEX(Zawodnicy[],MATCH($A22,Players!$A$2:$A$35,0),MATCH($B$13,Players!$A$1:$Y$1,0))*J$13,"-")</f>
        <v>56.5</v>
      </c>
      <c r="K22" s="38">
        <f>IFERROR(INDEX(Zawodnicy[],MATCH($A22,Players!$A$2:$A$35,0),MATCH($B$2,Players!$A$1:$Y$1,0))*K$2+INDEX(Zawodnicy[],MATCH($A22,Players!$A$2:$A$35,0),MATCH($B$3,Players!$A$1:$Y$1,0))*K$3+INDEX(Zawodnicy[],MATCH($A22,Players!$A$2:$A$35,0),MATCH($B$4,Players!$A$1:$Y$1,0))*K$4+INDEX(Zawodnicy[],MATCH($A22,Players!$A$2:$A$35,0),MATCH($B$5,Players!$A$1:$Y$1,0))*K$5+INDEX(Zawodnicy[],MATCH($A22,Players!$A$2:$A$35,0),MATCH($B$6,Players!$A$1:$Y$1,0))*K$6+INDEX(Zawodnicy[],MATCH($A22,Players!$A$2:$A$35,0),MATCH($B$7,Players!$A$1:$Y$1,0))*K$7+INDEX(Zawodnicy[],MATCH($A22,Players!$A$2:$A$35,0),MATCH($B$8,Players!$A$1:$Y$1,0))*K$8+INDEX(Zawodnicy[],MATCH($A22,Players!$A$2:$A$35,0),MATCH($B$9,Players!$A$1:$Y$1,0))*K$9+INDEX(Zawodnicy[],MATCH($A22,Players!$A$2:$A$35,0),MATCH($B$10,Players!$A$1:$Y$1,0))*K$10+INDEX(Zawodnicy[],MATCH($A22,Players!$A$2:$A$35,0),MATCH($B$11,Players!$A$1:$Y$1,0))*K$11+INDEX(Zawodnicy[],MATCH($A22,Players!$A$2:$A$35,0),MATCH($B$12,Players!$A$1:$Y$1,0))*K$12+INDEX(Zawodnicy[],MATCH($A22,Players!$A$2:$A$35,0),MATCH($B$13,Players!$A$1:$Y$1,0))*K$13,"-")</f>
        <v>58</v>
      </c>
    </row>
    <row r="23" spans="1:11" x14ac:dyDescent="0.25">
      <c r="A23" s="63">
        <f>PozycjeŚr[[#This Row],[Numer]]</f>
        <v>4</v>
      </c>
      <c r="B23" s="3" t="str">
        <f>IFERROR(VLOOKUP(PozycjeMM[[#This Row],[Numer]],Zawodnicy[[Number]:[Player name]],2,FALSE),"-")</f>
        <v>Bartosz Bejgier</v>
      </c>
      <c r="C23" s="38">
        <f>IFERROR(INDEX(Zawodnicy[],MATCH($A23,Players!$A$2:$A$35,0),MATCH($B$2,Players!$A$1:$Y$1,0))*C$2+INDEX(Zawodnicy[],MATCH($A23,Players!$A$2:$A$35,0),MATCH($B$3,Players!$A$1:$Y$1,0))*C$3+INDEX(Zawodnicy[],MATCH($A23,Players!$A$2:$A$35,0),MATCH($B$4,Players!$A$1:$Y$1,0))*C$4+INDEX(Zawodnicy[],MATCH($A23,Players!$A$2:$A$35,0),MATCH($B$5,Players!$A$1:$Y$1,0))*C$5+INDEX(Zawodnicy[],MATCH($A23,Players!$A$2:$A$35,0),MATCH($B$6,Players!$A$1:$Y$1,0))*C$6+INDEX(Zawodnicy[],MATCH($A23,Players!$A$2:$A$35,0),MATCH($B$7,Players!$A$1:$Y$1,0))*C$7+INDEX(Zawodnicy[],MATCH($A23,Players!$A$2:$A$35,0),MATCH($B$8,Players!$A$1:$Y$1,0))*C$8+INDEX(Zawodnicy[],MATCH($A23,Players!$A$2:$A$35,0),MATCH($B$9,Players!$A$1:$Y$1,0))*C$9+INDEX(Zawodnicy[],MATCH($A23,Players!$A$2:$A$35,0),MATCH($B$10,Players!$A$1:$Y$1,0))*C$10+INDEX(Zawodnicy[],MATCH($A23,Players!$A$2:$A$35,0),MATCH($B$11,Players!$A$1:$Y$1,0))*C$11+INDEX(Zawodnicy[],MATCH($A23,Players!$A$2:$A$35,0),MATCH($B$12,Players!$A$1:$Y$1,0))*C$12+INDEX(Zawodnicy[],MATCH($A23,Players!$A$2:$A$35,0),MATCH($B$13,Players!$A$1:$Y$1,0))*C$13,"-")</f>
        <v>34.5</v>
      </c>
      <c r="D23" s="38">
        <f>IFERROR(INDEX(Zawodnicy[],MATCH($A23,Players!$A$2:$A$35,0),MATCH($B$2,Players!$A$1:$Y$1,0))*D$2+INDEX(Zawodnicy[],MATCH($A23,Players!$A$2:$A$35,0),MATCH($B$3,Players!$A$1:$Y$1,0))*D$3+INDEX(Zawodnicy[],MATCH($A23,Players!$A$2:$A$35,0),MATCH($B$4,Players!$A$1:$Y$1,0))*D$4+INDEX(Zawodnicy[],MATCH($A23,Players!$A$2:$A$35,0),MATCH($B$5,Players!$A$1:$Y$1,0))*D$5+INDEX(Zawodnicy[],MATCH($A23,Players!$A$2:$A$35,0),MATCH($B$6,Players!$A$1:$Y$1,0))*D$6+INDEX(Zawodnicy[],MATCH($A23,Players!$A$2:$A$35,0),MATCH($B$7,Players!$A$1:$Y$1,0))*D$7+INDEX(Zawodnicy[],MATCH($A23,Players!$A$2:$A$35,0),MATCH($B$8,Players!$A$1:$Y$1,0))*D$8+INDEX(Zawodnicy[],MATCH($A23,Players!$A$2:$A$35,0),MATCH($B$9,Players!$A$1:$Y$1,0))*D$9+INDEX(Zawodnicy[],MATCH($A23,Players!$A$2:$A$35,0),MATCH($B$10,Players!$A$1:$Y$1,0))*D$10+INDEX(Zawodnicy[],MATCH($A23,Players!$A$2:$A$35,0),MATCH($B$11,Players!$A$1:$Y$1,0))*D$11+INDEX(Zawodnicy[],MATCH($A23,Players!$A$2:$A$35,0),MATCH($B$12,Players!$A$1:$Y$1,0))*D$12+INDEX(Zawodnicy[],MATCH($A23,Players!$A$2:$A$35,0),MATCH($B$13,Players!$A$1:$Y$1,0))*D$13,"-")</f>
        <v>72.5</v>
      </c>
      <c r="E23" s="38">
        <f>IFERROR(INDEX(Zawodnicy[],MATCH($A23,Players!$A$2:$A$35,0),MATCH($B$2,Players!$A$1:$Y$1,0))*E$2+INDEX(Zawodnicy[],MATCH($A23,Players!$A$2:$A$35,0),MATCH($B$3,Players!$A$1:$Y$1,0))*E$3+INDEX(Zawodnicy[],MATCH($A23,Players!$A$2:$A$35,0),MATCH($B$4,Players!$A$1:$Y$1,0))*E$4+INDEX(Zawodnicy[],MATCH($A23,Players!$A$2:$A$35,0),MATCH($B$5,Players!$A$1:$Y$1,0))*E$5+INDEX(Zawodnicy[],MATCH($A23,Players!$A$2:$A$35,0),MATCH($B$6,Players!$A$1:$Y$1,0))*E$6+INDEX(Zawodnicy[],MATCH($A23,Players!$A$2:$A$35,0),MATCH($B$7,Players!$A$1:$Y$1,0))*E$7+INDEX(Zawodnicy[],MATCH($A23,Players!$A$2:$A$35,0),MATCH($B$8,Players!$A$1:$Y$1,0))*E$8+INDEX(Zawodnicy[],MATCH($A23,Players!$A$2:$A$35,0),MATCH($B$9,Players!$A$1:$Y$1,0))*E$9+INDEX(Zawodnicy[],MATCH($A23,Players!$A$2:$A$35,0),MATCH($B$10,Players!$A$1:$Y$1,0))*E$10+INDEX(Zawodnicy[],MATCH($A23,Players!$A$2:$A$35,0),MATCH($B$11,Players!$A$1:$Y$1,0))*E$11+INDEX(Zawodnicy[],MATCH($A23,Players!$A$2:$A$35,0),MATCH($B$12,Players!$A$1:$Y$1,0))*E$12+INDEX(Zawodnicy[],MATCH($A23,Players!$A$2:$A$35,0),MATCH($B$13,Players!$A$1:$Y$1,0))*E$13,"-")</f>
        <v>71.5</v>
      </c>
      <c r="F23" s="38">
        <f>IFERROR(INDEX(Zawodnicy[],MATCH($A23,Players!$A$2:$A$35,0),MATCH($B$2,Players!$A$1:$Y$1,0))*F$2+INDEX(Zawodnicy[],MATCH($A23,Players!$A$2:$A$35,0),MATCH($B$3,Players!$A$1:$Y$1,0))*F$3+INDEX(Zawodnicy[],MATCH($A23,Players!$A$2:$A$35,0),MATCH($B$4,Players!$A$1:$Y$1,0))*F$4+INDEX(Zawodnicy[],MATCH($A23,Players!$A$2:$A$35,0),MATCH($B$5,Players!$A$1:$Y$1,0))*F$5+INDEX(Zawodnicy[],MATCH($A23,Players!$A$2:$A$35,0),MATCH($B$6,Players!$A$1:$Y$1,0))*F$6+INDEX(Zawodnicy[],MATCH($A23,Players!$A$2:$A$35,0),MATCH($B$7,Players!$A$1:$Y$1,0))*F$7+INDEX(Zawodnicy[],MATCH($A23,Players!$A$2:$A$35,0),MATCH($B$8,Players!$A$1:$Y$1,0))*F$8+INDEX(Zawodnicy[],MATCH($A23,Players!$A$2:$A$35,0),MATCH($B$9,Players!$A$1:$Y$1,0))*F$9+INDEX(Zawodnicy[],MATCH($A23,Players!$A$2:$A$35,0),MATCH($B$10,Players!$A$1:$Y$1,0))*F$10+INDEX(Zawodnicy[],MATCH($A23,Players!$A$2:$A$35,0),MATCH($B$11,Players!$A$1:$Y$1,0))*F$11+INDEX(Zawodnicy[],MATCH($A23,Players!$A$2:$A$35,0),MATCH($B$12,Players!$A$1:$Y$1,0))*F$12+INDEX(Zawodnicy[],MATCH($A23,Players!$A$2:$A$35,0),MATCH($B$13,Players!$A$1:$Y$1,0))*F$13,"-")</f>
        <v>66</v>
      </c>
      <c r="G23" s="38">
        <f>IFERROR(INDEX(Zawodnicy[],MATCH($A23,Players!$A$2:$A$35,0),MATCH($B$2,Players!$A$1:$Y$1,0))*G$2+INDEX(Zawodnicy[],MATCH($A23,Players!$A$2:$A$35,0),MATCH($B$3,Players!$A$1:$Y$1,0))*G$3+INDEX(Zawodnicy[],MATCH($A23,Players!$A$2:$A$35,0),MATCH($B$4,Players!$A$1:$Y$1,0))*G$4+INDEX(Zawodnicy[],MATCH($A23,Players!$A$2:$A$35,0),MATCH($B$5,Players!$A$1:$Y$1,0))*G$5+INDEX(Zawodnicy[],MATCH($A23,Players!$A$2:$A$35,0),MATCH($B$6,Players!$A$1:$Y$1,0))*G$6+INDEX(Zawodnicy[],MATCH($A23,Players!$A$2:$A$35,0),MATCH($B$7,Players!$A$1:$Y$1,0))*G$7+INDEX(Zawodnicy[],MATCH($A23,Players!$A$2:$A$35,0),MATCH($B$8,Players!$A$1:$Y$1,0))*G$8+INDEX(Zawodnicy[],MATCH($A23,Players!$A$2:$A$35,0),MATCH($B$9,Players!$A$1:$Y$1,0))*G$9+INDEX(Zawodnicy[],MATCH($A23,Players!$A$2:$A$35,0),MATCH($B$10,Players!$A$1:$Y$1,0))*G$10+INDEX(Zawodnicy[],MATCH($A23,Players!$A$2:$A$35,0),MATCH($B$11,Players!$A$1:$Y$1,0))*G$11+INDEX(Zawodnicy[],MATCH($A23,Players!$A$2:$A$35,0),MATCH($B$12,Players!$A$1:$Y$1,0))*G$12+INDEX(Zawodnicy[],MATCH($A23,Players!$A$2:$A$35,0),MATCH($B$13,Players!$A$1:$Y$1,0))*G$13,"-")</f>
        <v>63</v>
      </c>
      <c r="H23" s="38">
        <f>IFERROR(INDEX(Zawodnicy[],MATCH($A23,Players!$A$2:$A$35,0),MATCH($B$2,Players!$A$1:$Y$1,0))*H$2+INDEX(Zawodnicy[],MATCH($A23,Players!$A$2:$A$35,0),MATCH($B$3,Players!$A$1:$Y$1,0))*H$3+INDEX(Zawodnicy[],MATCH($A23,Players!$A$2:$A$35,0),MATCH($B$4,Players!$A$1:$Y$1,0))*H$4+INDEX(Zawodnicy[],MATCH($A23,Players!$A$2:$A$35,0),MATCH($B$5,Players!$A$1:$Y$1,0))*H$5+INDEX(Zawodnicy[],MATCH($A23,Players!$A$2:$A$35,0),MATCH($B$6,Players!$A$1:$Y$1,0))*H$6+INDEX(Zawodnicy[],MATCH($A23,Players!$A$2:$A$35,0),MATCH($B$7,Players!$A$1:$Y$1,0))*H$7+INDEX(Zawodnicy[],MATCH($A23,Players!$A$2:$A$35,0),MATCH($B$8,Players!$A$1:$Y$1,0))*H$8+INDEX(Zawodnicy[],MATCH($A23,Players!$A$2:$A$35,0),MATCH($B$9,Players!$A$1:$Y$1,0))*H$9+INDEX(Zawodnicy[],MATCH($A23,Players!$A$2:$A$35,0),MATCH($B$10,Players!$A$1:$Y$1,0))*H$10+INDEX(Zawodnicy[],MATCH($A23,Players!$A$2:$A$35,0),MATCH($B$11,Players!$A$1:$Y$1,0))*H$11+INDEX(Zawodnicy[],MATCH($A23,Players!$A$2:$A$35,0),MATCH($B$12,Players!$A$1:$Y$1,0))*H$12+INDEX(Zawodnicy[],MATCH($A23,Players!$A$2:$A$35,0),MATCH($B$13,Players!$A$1:$Y$1,0))*H$13,"-")</f>
        <v>58</v>
      </c>
      <c r="I23" s="38">
        <f>IFERROR(INDEX(Zawodnicy[],MATCH($A23,Players!$A$2:$A$35,0),MATCH($B$2,Players!$A$1:$Y$1,0))*I$2+INDEX(Zawodnicy[],MATCH($A23,Players!$A$2:$A$35,0),MATCH($B$3,Players!$A$1:$Y$1,0))*I$3+INDEX(Zawodnicy[],MATCH($A23,Players!$A$2:$A$35,0),MATCH($B$4,Players!$A$1:$Y$1,0))*I$4+INDEX(Zawodnicy[],MATCH($A23,Players!$A$2:$A$35,0),MATCH($B$5,Players!$A$1:$Y$1,0))*I$5+INDEX(Zawodnicy[],MATCH($A23,Players!$A$2:$A$35,0),MATCH($B$6,Players!$A$1:$Y$1,0))*I$6+INDEX(Zawodnicy[],MATCH($A23,Players!$A$2:$A$35,0),MATCH($B$7,Players!$A$1:$Y$1,0))*I$7+INDEX(Zawodnicy[],MATCH($A23,Players!$A$2:$A$35,0),MATCH($B$8,Players!$A$1:$Y$1,0))*I$8+INDEX(Zawodnicy[],MATCH($A23,Players!$A$2:$A$35,0),MATCH($B$9,Players!$A$1:$Y$1,0))*I$9+INDEX(Zawodnicy[],MATCH($A23,Players!$A$2:$A$35,0),MATCH($B$10,Players!$A$1:$Y$1,0))*I$10+INDEX(Zawodnicy[],MATCH($A23,Players!$A$2:$A$35,0),MATCH($B$11,Players!$A$1:$Y$1,0))*I$11+INDEX(Zawodnicy[],MATCH($A23,Players!$A$2:$A$35,0),MATCH($B$12,Players!$A$1:$Y$1,0))*I$12+INDEX(Zawodnicy[],MATCH($A23,Players!$A$2:$A$35,0),MATCH($B$13,Players!$A$1:$Y$1,0))*I$13,"-")</f>
        <v>53</v>
      </c>
      <c r="J23" s="38">
        <f>IFERROR(INDEX(Zawodnicy[],MATCH($A23,Players!$A$2:$A$35,0),MATCH($B$2,Players!$A$1:$Y$1,0))*J$2+INDEX(Zawodnicy[],MATCH($A23,Players!$A$2:$A$35,0),MATCH($B$3,Players!$A$1:$Y$1,0))*J$3+INDEX(Zawodnicy[],MATCH($A23,Players!$A$2:$A$35,0),MATCH($B$4,Players!$A$1:$Y$1,0))*J$4+INDEX(Zawodnicy[],MATCH($A23,Players!$A$2:$A$35,0),MATCH($B$5,Players!$A$1:$Y$1,0))*J$5+INDEX(Zawodnicy[],MATCH($A23,Players!$A$2:$A$35,0),MATCH($B$6,Players!$A$1:$Y$1,0))*J$6+INDEX(Zawodnicy[],MATCH($A23,Players!$A$2:$A$35,0),MATCH($B$7,Players!$A$1:$Y$1,0))*J$7+INDEX(Zawodnicy[],MATCH($A23,Players!$A$2:$A$35,0),MATCH($B$8,Players!$A$1:$Y$1,0))*J$8+INDEX(Zawodnicy[],MATCH($A23,Players!$A$2:$A$35,0),MATCH($B$9,Players!$A$1:$Y$1,0))*J$9+INDEX(Zawodnicy[],MATCH($A23,Players!$A$2:$A$35,0),MATCH($B$10,Players!$A$1:$Y$1,0))*J$10+INDEX(Zawodnicy[],MATCH($A23,Players!$A$2:$A$35,0),MATCH($B$11,Players!$A$1:$Y$1,0))*J$11+INDEX(Zawodnicy[],MATCH($A23,Players!$A$2:$A$35,0),MATCH($B$12,Players!$A$1:$Y$1,0))*J$12+INDEX(Zawodnicy[],MATCH($A23,Players!$A$2:$A$35,0),MATCH($B$13,Players!$A$1:$Y$1,0))*J$13,"-")</f>
        <v>53.5</v>
      </c>
      <c r="K23" s="38">
        <f>IFERROR(INDEX(Zawodnicy[],MATCH($A23,Players!$A$2:$A$35,0),MATCH($B$2,Players!$A$1:$Y$1,0))*K$2+INDEX(Zawodnicy[],MATCH($A23,Players!$A$2:$A$35,0),MATCH($B$3,Players!$A$1:$Y$1,0))*K$3+INDEX(Zawodnicy[],MATCH($A23,Players!$A$2:$A$35,0),MATCH($B$4,Players!$A$1:$Y$1,0))*K$4+INDEX(Zawodnicy[],MATCH($A23,Players!$A$2:$A$35,0),MATCH($B$5,Players!$A$1:$Y$1,0))*K$5+INDEX(Zawodnicy[],MATCH($A23,Players!$A$2:$A$35,0),MATCH($B$6,Players!$A$1:$Y$1,0))*K$6+INDEX(Zawodnicy[],MATCH($A23,Players!$A$2:$A$35,0),MATCH($B$7,Players!$A$1:$Y$1,0))*K$7+INDEX(Zawodnicy[],MATCH($A23,Players!$A$2:$A$35,0),MATCH($B$8,Players!$A$1:$Y$1,0))*K$8+INDEX(Zawodnicy[],MATCH($A23,Players!$A$2:$A$35,0),MATCH($B$9,Players!$A$1:$Y$1,0))*K$9+INDEX(Zawodnicy[],MATCH($A23,Players!$A$2:$A$35,0),MATCH($B$10,Players!$A$1:$Y$1,0))*K$10+INDEX(Zawodnicy[],MATCH($A23,Players!$A$2:$A$35,0),MATCH($B$11,Players!$A$1:$Y$1,0))*K$11+INDEX(Zawodnicy[],MATCH($A23,Players!$A$2:$A$35,0),MATCH($B$12,Players!$A$1:$Y$1,0))*K$12+INDEX(Zawodnicy[],MATCH($A23,Players!$A$2:$A$35,0),MATCH($B$13,Players!$A$1:$Y$1,0))*K$13,"-")</f>
        <v>46.5</v>
      </c>
    </row>
    <row r="24" spans="1:11" x14ac:dyDescent="0.25">
      <c r="A24" s="63">
        <f>PozycjeŚr[[#This Row],[Numer]]</f>
        <v>5</v>
      </c>
      <c r="B24" s="3" t="str">
        <f>IFERROR(VLOOKUP(PozycjeMM[[#This Row],[Numer]],Zawodnicy[[Number]:[Player name]],2,FALSE),"-")</f>
        <v>Lukasz Bakes</v>
      </c>
      <c r="C24" s="38">
        <f>IFERROR(INDEX(Zawodnicy[],MATCH($A24,Players!$A$2:$A$35,0),MATCH($B$2,Players!$A$1:$Y$1,0))*C$2+INDEX(Zawodnicy[],MATCH($A24,Players!$A$2:$A$35,0),MATCH($B$3,Players!$A$1:$Y$1,0))*C$3+INDEX(Zawodnicy[],MATCH($A24,Players!$A$2:$A$35,0),MATCH($B$4,Players!$A$1:$Y$1,0))*C$4+INDEX(Zawodnicy[],MATCH($A24,Players!$A$2:$A$35,0),MATCH($B$5,Players!$A$1:$Y$1,0))*C$5+INDEX(Zawodnicy[],MATCH($A24,Players!$A$2:$A$35,0),MATCH($B$6,Players!$A$1:$Y$1,0))*C$6+INDEX(Zawodnicy[],MATCH($A24,Players!$A$2:$A$35,0),MATCH($B$7,Players!$A$1:$Y$1,0))*C$7+INDEX(Zawodnicy[],MATCH($A24,Players!$A$2:$A$35,0),MATCH($B$8,Players!$A$1:$Y$1,0))*C$8+INDEX(Zawodnicy[],MATCH($A24,Players!$A$2:$A$35,0),MATCH($B$9,Players!$A$1:$Y$1,0))*C$9+INDEX(Zawodnicy[],MATCH($A24,Players!$A$2:$A$35,0),MATCH($B$10,Players!$A$1:$Y$1,0))*C$10+INDEX(Zawodnicy[],MATCH($A24,Players!$A$2:$A$35,0),MATCH($B$11,Players!$A$1:$Y$1,0))*C$11+INDEX(Zawodnicy[],MATCH($A24,Players!$A$2:$A$35,0),MATCH($B$12,Players!$A$1:$Y$1,0))*C$12+INDEX(Zawodnicy[],MATCH($A24,Players!$A$2:$A$35,0),MATCH($B$13,Players!$A$1:$Y$1,0))*C$13,"-")</f>
        <v>40.5</v>
      </c>
      <c r="D24" s="38">
        <f>IFERROR(INDEX(Zawodnicy[],MATCH($A24,Players!$A$2:$A$35,0),MATCH($B$2,Players!$A$1:$Y$1,0))*D$2+INDEX(Zawodnicy[],MATCH($A24,Players!$A$2:$A$35,0),MATCH($B$3,Players!$A$1:$Y$1,0))*D$3+INDEX(Zawodnicy[],MATCH($A24,Players!$A$2:$A$35,0),MATCH($B$4,Players!$A$1:$Y$1,0))*D$4+INDEX(Zawodnicy[],MATCH($A24,Players!$A$2:$A$35,0),MATCH($B$5,Players!$A$1:$Y$1,0))*D$5+INDEX(Zawodnicy[],MATCH($A24,Players!$A$2:$A$35,0),MATCH($B$6,Players!$A$1:$Y$1,0))*D$6+INDEX(Zawodnicy[],MATCH($A24,Players!$A$2:$A$35,0),MATCH($B$7,Players!$A$1:$Y$1,0))*D$7+INDEX(Zawodnicy[],MATCH($A24,Players!$A$2:$A$35,0),MATCH($B$8,Players!$A$1:$Y$1,0))*D$8+INDEX(Zawodnicy[],MATCH($A24,Players!$A$2:$A$35,0),MATCH($B$9,Players!$A$1:$Y$1,0))*D$9+INDEX(Zawodnicy[],MATCH($A24,Players!$A$2:$A$35,0),MATCH($B$10,Players!$A$1:$Y$1,0))*D$10+INDEX(Zawodnicy[],MATCH($A24,Players!$A$2:$A$35,0),MATCH($B$11,Players!$A$1:$Y$1,0))*D$11+INDEX(Zawodnicy[],MATCH($A24,Players!$A$2:$A$35,0),MATCH($B$12,Players!$A$1:$Y$1,0))*D$12+INDEX(Zawodnicy[],MATCH($A24,Players!$A$2:$A$35,0),MATCH($B$13,Players!$A$1:$Y$1,0))*D$13,"-")</f>
        <v>78.5</v>
      </c>
      <c r="E24" s="38">
        <f>IFERROR(INDEX(Zawodnicy[],MATCH($A24,Players!$A$2:$A$35,0),MATCH($B$2,Players!$A$1:$Y$1,0))*E$2+INDEX(Zawodnicy[],MATCH($A24,Players!$A$2:$A$35,0),MATCH($B$3,Players!$A$1:$Y$1,0))*E$3+INDEX(Zawodnicy[],MATCH($A24,Players!$A$2:$A$35,0),MATCH($B$4,Players!$A$1:$Y$1,0))*E$4+INDEX(Zawodnicy[],MATCH($A24,Players!$A$2:$A$35,0),MATCH($B$5,Players!$A$1:$Y$1,0))*E$5+INDEX(Zawodnicy[],MATCH($A24,Players!$A$2:$A$35,0),MATCH($B$6,Players!$A$1:$Y$1,0))*E$6+INDEX(Zawodnicy[],MATCH($A24,Players!$A$2:$A$35,0),MATCH($B$7,Players!$A$1:$Y$1,0))*E$7+INDEX(Zawodnicy[],MATCH($A24,Players!$A$2:$A$35,0),MATCH($B$8,Players!$A$1:$Y$1,0))*E$8+INDEX(Zawodnicy[],MATCH($A24,Players!$A$2:$A$35,0),MATCH($B$9,Players!$A$1:$Y$1,0))*E$9+INDEX(Zawodnicy[],MATCH($A24,Players!$A$2:$A$35,0),MATCH($B$10,Players!$A$1:$Y$1,0))*E$10+INDEX(Zawodnicy[],MATCH($A24,Players!$A$2:$A$35,0),MATCH($B$11,Players!$A$1:$Y$1,0))*E$11+INDEX(Zawodnicy[],MATCH($A24,Players!$A$2:$A$35,0),MATCH($B$12,Players!$A$1:$Y$1,0))*E$12+INDEX(Zawodnicy[],MATCH($A24,Players!$A$2:$A$35,0),MATCH($B$13,Players!$A$1:$Y$1,0))*E$13,"-")</f>
        <v>77.5</v>
      </c>
      <c r="F24" s="38">
        <f>IFERROR(INDEX(Zawodnicy[],MATCH($A24,Players!$A$2:$A$35,0),MATCH($B$2,Players!$A$1:$Y$1,0))*F$2+INDEX(Zawodnicy[],MATCH($A24,Players!$A$2:$A$35,0),MATCH($B$3,Players!$A$1:$Y$1,0))*F$3+INDEX(Zawodnicy[],MATCH($A24,Players!$A$2:$A$35,0),MATCH($B$4,Players!$A$1:$Y$1,0))*F$4+INDEX(Zawodnicy[],MATCH($A24,Players!$A$2:$A$35,0),MATCH($B$5,Players!$A$1:$Y$1,0))*F$5+INDEX(Zawodnicy[],MATCH($A24,Players!$A$2:$A$35,0),MATCH($B$6,Players!$A$1:$Y$1,0))*F$6+INDEX(Zawodnicy[],MATCH($A24,Players!$A$2:$A$35,0),MATCH($B$7,Players!$A$1:$Y$1,0))*F$7+INDEX(Zawodnicy[],MATCH($A24,Players!$A$2:$A$35,0),MATCH($B$8,Players!$A$1:$Y$1,0))*F$8+INDEX(Zawodnicy[],MATCH($A24,Players!$A$2:$A$35,0),MATCH($B$9,Players!$A$1:$Y$1,0))*F$9+INDEX(Zawodnicy[],MATCH($A24,Players!$A$2:$A$35,0),MATCH($B$10,Players!$A$1:$Y$1,0))*F$10+INDEX(Zawodnicy[],MATCH($A24,Players!$A$2:$A$35,0),MATCH($B$11,Players!$A$1:$Y$1,0))*F$11+INDEX(Zawodnicy[],MATCH($A24,Players!$A$2:$A$35,0),MATCH($B$12,Players!$A$1:$Y$1,0))*F$12+INDEX(Zawodnicy[],MATCH($A24,Players!$A$2:$A$35,0),MATCH($B$13,Players!$A$1:$Y$1,0))*F$13,"-")</f>
        <v>76.5</v>
      </c>
      <c r="G24" s="38">
        <f>IFERROR(INDEX(Zawodnicy[],MATCH($A24,Players!$A$2:$A$35,0),MATCH($B$2,Players!$A$1:$Y$1,0))*G$2+INDEX(Zawodnicy[],MATCH($A24,Players!$A$2:$A$35,0),MATCH($B$3,Players!$A$1:$Y$1,0))*G$3+INDEX(Zawodnicy[],MATCH($A24,Players!$A$2:$A$35,0),MATCH($B$4,Players!$A$1:$Y$1,0))*G$4+INDEX(Zawodnicy[],MATCH($A24,Players!$A$2:$A$35,0),MATCH($B$5,Players!$A$1:$Y$1,0))*G$5+INDEX(Zawodnicy[],MATCH($A24,Players!$A$2:$A$35,0),MATCH($B$6,Players!$A$1:$Y$1,0))*G$6+INDEX(Zawodnicy[],MATCH($A24,Players!$A$2:$A$35,0),MATCH($B$7,Players!$A$1:$Y$1,0))*G$7+INDEX(Zawodnicy[],MATCH($A24,Players!$A$2:$A$35,0),MATCH($B$8,Players!$A$1:$Y$1,0))*G$8+INDEX(Zawodnicy[],MATCH($A24,Players!$A$2:$A$35,0),MATCH($B$9,Players!$A$1:$Y$1,0))*G$9+INDEX(Zawodnicy[],MATCH($A24,Players!$A$2:$A$35,0),MATCH($B$10,Players!$A$1:$Y$1,0))*G$10+INDEX(Zawodnicy[],MATCH($A24,Players!$A$2:$A$35,0),MATCH($B$11,Players!$A$1:$Y$1,0))*G$11+INDEX(Zawodnicy[],MATCH($A24,Players!$A$2:$A$35,0),MATCH($B$12,Players!$A$1:$Y$1,0))*G$12+INDEX(Zawodnicy[],MATCH($A24,Players!$A$2:$A$35,0),MATCH($B$13,Players!$A$1:$Y$1,0))*G$13,"-")</f>
        <v>72.5</v>
      </c>
      <c r="H24" s="38">
        <f>IFERROR(INDEX(Zawodnicy[],MATCH($A24,Players!$A$2:$A$35,0),MATCH($B$2,Players!$A$1:$Y$1,0))*H$2+INDEX(Zawodnicy[],MATCH($A24,Players!$A$2:$A$35,0),MATCH($B$3,Players!$A$1:$Y$1,0))*H$3+INDEX(Zawodnicy[],MATCH($A24,Players!$A$2:$A$35,0),MATCH($B$4,Players!$A$1:$Y$1,0))*H$4+INDEX(Zawodnicy[],MATCH($A24,Players!$A$2:$A$35,0),MATCH($B$5,Players!$A$1:$Y$1,0))*H$5+INDEX(Zawodnicy[],MATCH($A24,Players!$A$2:$A$35,0),MATCH($B$6,Players!$A$1:$Y$1,0))*H$6+INDEX(Zawodnicy[],MATCH($A24,Players!$A$2:$A$35,0),MATCH($B$7,Players!$A$1:$Y$1,0))*H$7+INDEX(Zawodnicy[],MATCH($A24,Players!$A$2:$A$35,0),MATCH($B$8,Players!$A$1:$Y$1,0))*H$8+INDEX(Zawodnicy[],MATCH($A24,Players!$A$2:$A$35,0),MATCH($B$9,Players!$A$1:$Y$1,0))*H$9+INDEX(Zawodnicy[],MATCH($A24,Players!$A$2:$A$35,0),MATCH($B$10,Players!$A$1:$Y$1,0))*H$10+INDEX(Zawodnicy[],MATCH($A24,Players!$A$2:$A$35,0),MATCH($B$11,Players!$A$1:$Y$1,0))*H$11+INDEX(Zawodnicy[],MATCH($A24,Players!$A$2:$A$35,0),MATCH($B$12,Players!$A$1:$Y$1,0))*H$12+INDEX(Zawodnicy[],MATCH($A24,Players!$A$2:$A$35,0),MATCH($B$13,Players!$A$1:$Y$1,0))*H$13,"-")</f>
        <v>67</v>
      </c>
      <c r="I24" s="38">
        <f>IFERROR(INDEX(Zawodnicy[],MATCH($A24,Players!$A$2:$A$35,0),MATCH($B$2,Players!$A$1:$Y$1,0))*I$2+INDEX(Zawodnicy[],MATCH($A24,Players!$A$2:$A$35,0),MATCH($B$3,Players!$A$1:$Y$1,0))*I$3+INDEX(Zawodnicy[],MATCH($A24,Players!$A$2:$A$35,0),MATCH($B$4,Players!$A$1:$Y$1,0))*I$4+INDEX(Zawodnicy[],MATCH($A24,Players!$A$2:$A$35,0),MATCH($B$5,Players!$A$1:$Y$1,0))*I$5+INDEX(Zawodnicy[],MATCH($A24,Players!$A$2:$A$35,0),MATCH($B$6,Players!$A$1:$Y$1,0))*I$6+INDEX(Zawodnicy[],MATCH($A24,Players!$A$2:$A$35,0),MATCH($B$7,Players!$A$1:$Y$1,0))*I$7+INDEX(Zawodnicy[],MATCH($A24,Players!$A$2:$A$35,0),MATCH($B$8,Players!$A$1:$Y$1,0))*I$8+INDEX(Zawodnicy[],MATCH($A24,Players!$A$2:$A$35,0),MATCH($B$9,Players!$A$1:$Y$1,0))*I$9+INDEX(Zawodnicy[],MATCH($A24,Players!$A$2:$A$35,0),MATCH($B$10,Players!$A$1:$Y$1,0))*I$10+INDEX(Zawodnicy[],MATCH($A24,Players!$A$2:$A$35,0),MATCH($B$11,Players!$A$1:$Y$1,0))*I$11+INDEX(Zawodnicy[],MATCH($A24,Players!$A$2:$A$35,0),MATCH($B$12,Players!$A$1:$Y$1,0))*I$12+INDEX(Zawodnicy[],MATCH($A24,Players!$A$2:$A$35,0),MATCH($B$13,Players!$A$1:$Y$1,0))*I$13,"-")</f>
        <v>68.5</v>
      </c>
      <c r="J24" s="38">
        <f>IFERROR(INDEX(Zawodnicy[],MATCH($A24,Players!$A$2:$A$35,0),MATCH($B$2,Players!$A$1:$Y$1,0))*J$2+INDEX(Zawodnicy[],MATCH($A24,Players!$A$2:$A$35,0),MATCH($B$3,Players!$A$1:$Y$1,0))*J$3+INDEX(Zawodnicy[],MATCH($A24,Players!$A$2:$A$35,0),MATCH($B$4,Players!$A$1:$Y$1,0))*J$4+INDEX(Zawodnicy[],MATCH($A24,Players!$A$2:$A$35,0),MATCH($B$5,Players!$A$1:$Y$1,0))*J$5+INDEX(Zawodnicy[],MATCH($A24,Players!$A$2:$A$35,0),MATCH($B$6,Players!$A$1:$Y$1,0))*J$6+INDEX(Zawodnicy[],MATCH($A24,Players!$A$2:$A$35,0),MATCH($B$7,Players!$A$1:$Y$1,0))*J$7+INDEX(Zawodnicy[],MATCH($A24,Players!$A$2:$A$35,0),MATCH($B$8,Players!$A$1:$Y$1,0))*J$8+INDEX(Zawodnicy[],MATCH($A24,Players!$A$2:$A$35,0),MATCH($B$9,Players!$A$1:$Y$1,0))*J$9+INDEX(Zawodnicy[],MATCH($A24,Players!$A$2:$A$35,0),MATCH($B$10,Players!$A$1:$Y$1,0))*J$10+INDEX(Zawodnicy[],MATCH($A24,Players!$A$2:$A$35,0),MATCH($B$11,Players!$A$1:$Y$1,0))*J$11+INDEX(Zawodnicy[],MATCH($A24,Players!$A$2:$A$35,0),MATCH($B$12,Players!$A$1:$Y$1,0))*J$12+INDEX(Zawodnicy[],MATCH($A24,Players!$A$2:$A$35,0),MATCH($B$13,Players!$A$1:$Y$1,0))*J$13,"-")</f>
        <v>62</v>
      </c>
      <c r="K24" s="38">
        <f>IFERROR(INDEX(Zawodnicy[],MATCH($A24,Players!$A$2:$A$35,0),MATCH($B$2,Players!$A$1:$Y$1,0))*K$2+INDEX(Zawodnicy[],MATCH($A24,Players!$A$2:$A$35,0),MATCH($B$3,Players!$A$1:$Y$1,0))*K$3+INDEX(Zawodnicy[],MATCH($A24,Players!$A$2:$A$35,0),MATCH($B$4,Players!$A$1:$Y$1,0))*K$4+INDEX(Zawodnicy[],MATCH($A24,Players!$A$2:$A$35,0),MATCH($B$5,Players!$A$1:$Y$1,0))*K$5+INDEX(Zawodnicy[],MATCH($A24,Players!$A$2:$A$35,0),MATCH($B$6,Players!$A$1:$Y$1,0))*K$6+INDEX(Zawodnicy[],MATCH($A24,Players!$A$2:$A$35,0),MATCH($B$7,Players!$A$1:$Y$1,0))*K$7+INDEX(Zawodnicy[],MATCH($A24,Players!$A$2:$A$35,0),MATCH($B$8,Players!$A$1:$Y$1,0))*K$8+INDEX(Zawodnicy[],MATCH($A24,Players!$A$2:$A$35,0),MATCH($B$9,Players!$A$1:$Y$1,0))*K$9+INDEX(Zawodnicy[],MATCH($A24,Players!$A$2:$A$35,0),MATCH($B$10,Players!$A$1:$Y$1,0))*K$10+INDEX(Zawodnicy[],MATCH($A24,Players!$A$2:$A$35,0),MATCH($B$11,Players!$A$1:$Y$1,0))*K$11+INDEX(Zawodnicy[],MATCH($A24,Players!$A$2:$A$35,0),MATCH($B$12,Players!$A$1:$Y$1,0))*K$12+INDEX(Zawodnicy[],MATCH($A24,Players!$A$2:$A$35,0),MATCH($B$13,Players!$A$1:$Y$1,0))*K$13,"-")</f>
        <v>65</v>
      </c>
    </row>
    <row r="25" spans="1:11" x14ac:dyDescent="0.25">
      <c r="A25" s="63">
        <f>PozycjeŚr[[#This Row],[Numer]]</f>
        <v>6</v>
      </c>
      <c r="B25" s="3" t="str">
        <f>IFERROR(VLOOKUP(PozycjeMM[[#This Row],[Numer]],Zawodnicy[[Number]:[Player name]],2,FALSE),"-")</f>
        <v>Ignacy Cerocki</v>
      </c>
      <c r="C25" s="38">
        <f>IFERROR(INDEX(Zawodnicy[],MATCH($A25,Players!$A$2:$A$35,0),MATCH($B$2,Players!$A$1:$Y$1,0))*C$2+INDEX(Zawodnicy[],MATCH($A25,Players!$A$2:$A$35,0),MATCH($B$3,Players!$A$1:$Y$1,0))*C$3+INDEX(Zawodnicy[],MATCH($A25,Players!$A$2:$A$35,0),MATCH($B$4,Players!$A$1:$Y$1,0))*C$4+INDEX(Zawodnicy[],MATCH($A25,Players!$A$2:$A$35,0),MATCH($B$5,Players!$A$1:$Y$1,0))*C$5+INDEX(Zawodnicy[],MATCH($A25,Players!$A$2:$A$35,0),MATCH($B$6,Players!$A$1:$Y$1,0))*C$6+INDEX(Zawodnicy[],MATCH($A25,Players!$A$2:$A$35,0),MATCH($B$7,Players!$A$1:$Y$1,0))*C$7+INDEX(Zawodnicy[],MATCH($A25,Players!$A$2:$A$35,0),MATCH($B$8,Players!$A$1:$Y$1,0))*C$8+INDEX(Zawodnicy[],MATCH($A25,Players!$A$2:$A$35,0),MATCH($B$9,Players!$A$1:$Y$1,0))*C$9+INDEX(Zawodnicy[],MATCH($A25,Players!$A$2:$A$35,0),MATCH($B$10,Players!$A$1:$Y$1,0))*C$10+INDEX(Zawodnicy[],MATCH($A25,Players!$A$2:$A$35,0),MATCH($B$11,Players!$A$1:$Y$1,0))*C$11+INDEX(Zawodnicy[],MATCH($A25,Players!$A$2:$A$35,0),MATCH($B$12,Players!$A$1:$Y$1,0))*C$12+INDEX(Zawodnicy[],MATCH($A25,Players!$A$2:$A$35,0),MATCH($B$13,Players!$A$1:$Y$1,0))*C$13,"-")</f>
        <v>33</v>
      </c>
      <c r="D25" s="38">
        <f>IFERROR(INDEX(Zawodnicy[],MATCH($A25,Players!$A$2:$A$35,0),MATCH($B$2,Players!$A$1:$Y$1,0))*D$2+INDEX(Zawodnicy[],MATCH($A25,Players!$A$2:$A$35,0),MATCH($B$3,Players!$A$1:$Y$1,0))*D$3+INDEX(Zawodnicy[],MATCH($A25,Players!$A$2:$A$35,0),MATCH($B$4,Players!$A$1:$Y$1,0))*D$4+INDEX(Zawodnicy[],MATCH($A25,Players!$A$2:$A$35,0),MATCH($B$5,Players!$A$1:$Y$1,0))*D$5+INDEX(Zawodnicy[],MATCH($A25,Players!$A$2:$A$35,0),MATCH($B$6,Players!$A$1:$Y$1,0))*D$6+INDEX(Zawodnicy[],MATCH($A25,Players!$A$2:$A$35,0),MATCH($B$7,Players!$A$1:$Y$1,0))*D$7+INDEX(Zawodnicy[],MATCH($A25,Players!$A$2:$A$35,0),MATCH($B$8,Players!$A$1:$Y$1,0))*D$8+INDEX(Zawodnicy[],MATCH($A25,Players!$A$2:$A$35,0),MATCH($B$9,Players!$A$1:$Y$1,0))*D$9+INDEX(Zawodnicy[],MATCH($A25,Players!$A$2:$A$35,0),MATCH($B$10,Players!$A$1:$Y$1,0))*D$10+INDEX(Zawodnicy[],MATCH($A25,Players!$A$2:$A$35,0),MATCH($B$11,Players!$A$1:$Y$1,0))*D$11+INDEX(Zawodnicy[],MATCH($A25,Players!$A$2:$A$35,0),MATCH($B$12,Players!$A$1:$Y$1,0))*D$12+INDEX(Zawodnicy[],MATCH($A25,Players!$A$2:$A$35,0),MATCH($B$13,Players!$A$1:$Y$1,0))*D$13,"-")</f>
        <v>76.5</v>
      </c>
      <c r="E25" s="38">
        <f>IFERROR(INDEX(Zawodnicy[],MATCH($A25,Players!$A$2:$A$35,0),MATCH($B$2,Players!$A$1:$Y$1,0))*E$2+INDEX(Zawodnicy[],MATCH($A25,Players!$A$2:$A$35,0),MATCH($B$3,Players!$A$1:$Y$1,0))*E$3+INDEX(Zawodnicy[],MATCH($A25,Players!$A$2:$A$35,0),MATCH($B$4,Players!$A$1:$Y$1,0))*E$4+INDEX(Zawodnicy[],MATCH($A25,Players!$A$2:$A$35,0),MATCH($B$5,Players!$A$1:$Y$1,0))*E$5+INDEX(Zawodnicy[],MATCH($A25,Players!$A$2:$A$35,0),MATCH($B$6,Players!$A$1:$Y$1,0))*E$6+INDEX(Zawodnicy[],MATCH($A25,Players!$A$2:$A$35,0),MATCH($B$7,Players!$A$1:$Y$1,0))*E$7+INDEX(Zawodnicy[],MATCH($A25,Players!$A$2:$A$35,0),MATCH($B$8,Players!$A$1:$Y$1,0))*E$8+INDEX(Zawodnicy[],MATCH($A25,Players!$A$2:$A$35,0),MATCH($B$9,Players!$A$1:$Y$1,0))*E$9+INDEX(Zawodnicy[],MATCH($A25,Players!$A$2:$A$35,0),MATCH($B$10,Players!$A$1:$Y$1,0))*E$10+INDEX(Zawodnicy[],MATCH($A25,Players!$A$2:$A$35,0),MATCH($B$11,Players!$A$1:$Y$1,0))*E$11+INDEX(Zawodnicy[],MATCH($A25,Players!$A$2:$A$35,0),MATCH($B$12,Players!$A$1:$Y$1,0))*E$12+INDEX(Zawodnicy[],MATCH($A25,Players!$A$2:$A$35,0),MATCH($B$13,Players!$A$1:$Y$1,0))*E$13,"-")</f>
        <v>74.5</v>
      </c>
      <c r="F25" s="38">
        <f>IFERROR(INDEX(Zawodnicy[],MATCH($A25,Players!$A$2:$A$35,0),MATCH($B$2,Players!$A$1:$Y$1,0))*F$2+INDEX(Zawodnicy[],MATCH($A25,Players!$A$2:$A$35,0),MATCH($B$3,Players!$A$1:$Y$1,0))*F$3+INDEX(Zawodnicy[],MATCH($A25,Players!$A$2:$A$35,0),MATCH($B$4,Players!$A$1:$Y$1,0))*F$4+INDEX(Zawodnicy[],MATCH($A25,Players!$A$2:$A$35,0),MATCH($B$5,Players!$A$1:$Y$1,0))*F$5+INDEX(Zawodnicy[],MATCH($A25,Players!$A$2:$A$35,0),MATCH($B$6,Players!$A$1:$Y$1,0))*F$6+INDEX(Zawodnicy[],MATCH($A25,Players!$A$2:$A$35,0),MATCH($B$7,Players!$A$1:$Y$1,0))*F$7+INDEX(Zawodnicy[],MATCH($A25,Players!$A$2:$A$35,0),MATCH($B$8,Players!$A$1:$Y$1,0))*F$8+INDEX(Zawodnicy[],MATCH($A25,Players!$A$2:$A$35,0),MATCH($B$9,Players!$A$1:$Y$1,0))*F$9+INDEX(Zawodnicy[],MATCH($A25,Players!$A$2:$A$35,0),MATCH($B$10,Players!$A$1:$Y$1,0))*F$10+INDEX(Zawodnicy[],MATCH($A25,Players!$A$2:$A$35,0),MATCH($B$11,Players!$A$1:$Y$1,0))*F$11+INDEX(Zawodnicy[],MATCH($A25,Players!$A$2:$A$35,0),MATCH($B$12,Players!$A$1:$Y$1,0))*F$12+INDEX(Zawodnicy[],MATCH($A25,Players!$A$2:$A$35,0),MATCH($B$13,Players!$A$1:$Y$1,0))*F$13,"-")</f>
        <v>72.5</v>
      </c>
      <c r="G25" s="38">
        <f>IFERROR(INDEX(Zawodnicy[],MATCH($A25,Players!$A$2:$A$35,0),MATCH($B$2,Players!$A$1:$Y$1,0))*G$2+INDEX(Zawodnicy[],MATCH($A25,Players!$A$2:$A$35,0),MATCH($B$3,Players!$A$1:$Y$1,0))*G$3+INDEX(Zawodnicy[],MATCH($A25,Players!$A$2:$A$35,0),MATCH($B$4,Players!$A$1:$Y$1,0))*G$4+INDEX(Zawodnicy[],MATCH($A25,Players!$A$2:$A$35,0),MATCH($B$5,Players!$A$1:$Y$1,0))*G$5+INDEX(Zawodnicy[],MATCH($A25,Players!$A$2:$A$35,0),MATCH($B$6,Players!$A$1:$Y$1,0))*G$6+INDEX(Zawodnicy[],MATCH($A25,Players!$A$2:$A$35,0),MATCH($B$7,Players!$A$1:$Y$1,0))*G$7+INDEX(Zawodnicy[],MATCH($A25,Players!$A$2:$A$35,0),MATCH($B$8,Players!$A$1:$Y$1,0))*G$8+INDEX(Zawodnicy[],MATCH($A25,Players!$A$2:$A$35,0),MATCH($B$9,Players!$A$1:$Y$1,0))*G$9+INDEX(Zawodnicy[],MATCH($A25,Players!$A$2:$A$35,0),MATCH($B$10,Players!$A$1:$Y$1,0))*G$10+INDEX(Zawodnicy[],MATCH($A25,Players!$A$2:$A$35,0),MATCH($B$11,Players!$A$1:$Y$1,0))*G$11+INDEX(Zawodnicy[],MATCH($A25,Players!$A$2:$A$35,0),MATCH($B$12,Players!$A$1:$Y$1,0))*G$12+INDEX(Zawodnicy[],MATCH($A25,Players!$A$2:$A$35,0),MATCH($B$13,Players!$A$1:$Y$1,0))*G$13,"-")</f>
        <v>69.5</v>
      </c>
      <c r="H25" s="38">
        <f>IFERROR(INDEX(Zawodnicy[],MATCH($A25,Players!$A$2:$A$35,0),MATCH($B$2,Players!$A$1:$Y$1,0))*H$2+INDEX(Zawodnicy[],MATCH($A25,Players!$A$2:$A$35,0),MATCH($B$3,Players!$A$1:$Y$1,0))*H$3+INDEX(Zawodnicy[],MATCH($A25,Players!$A$2:$A$35,0),MATCH($B$4,Players!$A$1:$Y$1,0))*H$4+INDEX(Zawodnicy[],MATCH($A25,Players!$A$2:$A$35,0),MATCH($B$5,Players!$A$1:$Y$1,0))*H$5+INDEX(Zawodnicy[],MATCH($A25,Players!$A$2:$A$35,0),MATCH($B$6,Players!$A$1:$Y$1,0))*H$6+INDEX(Zawodnicy[],MATCH($A25,Players!$A$2:$A$35,0),MATCH($B$7,Players!$A$1:$Y$1,0))*H$7+INDEX(Zawodnicy[],MATCH($A25,Players!$A$2:$A$35,0),MATCH($B$8,Players!$A$1:$Y$1,0))*H$8+INDEX(Zawodnicy[],MATCH($A25,Players!$A$2:$A$35,0),MATCH($B$9,Players!$A$1:$Y$1,0))*H$9+INDEX(Zawodnicy[],MATCH($A25,Players!$A$2:$A$35,0),MATCH($B$10,Players!$A$1:$Y$1,0))*H$10+INDEX(Zawodnicy[],MATCH($A25,Players!$A$2:$A$35,0),MATCH($B$11,Players!$A$1:$Y$1,0))*H$11+INDEX(Zawodnicy[],MATCH($A25,Players!$A$2:$A$35,0),MATCH($B$12,Players!$A$1:$Y$1,0))*H$12+INDEX(Zawodnicy[],MATCH($A25,Players!$A$2:$A$35,0),MATCH($B$13,Players!$A$1:$Y$1,0))*H$13,"-")</f>
        <v>66</v>
      </c>
      <c r="I25" s="38">
        <f>IFERROR(INDEX(Zawodnicy[],MATCH($A25,Players!$A$2:$A$35,0),MATCH($B$2,Players!$A$1:$Y$1,0))*I$2+INDEX(Zawodnicy[],MATCH($A25,Players!$A$2:$A$35,0),MATCH($B$3,Players!$A$1:$Y$1,0))*I$3+INDEX(Zawodnicy[],MATCH($A25,Players!$A$2:$A$35,0),MATCH($B$4,Players!$A$1:$Y$1,0))*I$4+INDEX(Zawodnicy[],MATCH($A25,Players!$A$2:$A$35,0),MATCH($B$5,Players!$A$1:$Y$1,0))*I$5+INDEX(Zawodnicy[],MATCH($A25,Players!$A$2:$A$35,0),MATCH($B$6,Players!$A$1:$Y$1,0))*I$6+INDEX(Zawodnicy[],MATCH($A25,Players!$A$2:$A$35,0),MATCH($B$7,Players!$A$1:$Y$1,0))*I$7+INDEX(Zawodnicy[],MATCH($A25,Players!$A$2:$A$35,0),MATCH($B$8,Players!$A$1:$Y$1,0))*I$8+INDEX(Zawodnicy[],MATCH($A25,Players!$A$2:$A$35,0),MATCH($B$9,Players!$A$1:$Y$1,0))*I$9+INDEX(Zawodnicy[],MATCH($A25,Players!$A$2:$A$35,0),MATCH($B$10,Players!$A$1:$Y$1,0))*I$10+INDEX(Zawodnicy[],MATCH($A25,Players!$A$2:$A$35,0),MATCH($B$11,Players!$A$1:$Y$1,0))*I$11+INDEX(Zawodnicy[],MATCH($A25,Players!$A$2:$A$35,0),MATCH($B$12,Players!$A$1:$Y$1,0))*I$12+INDEX(Zawodnicy[],MATCH($A25,Players!$A$2:$A$35,0),MATCH($B$13,Players!$A$1:$Y$1,0))*I$13,"-")</f>
        <v>63.5</v>
      </c>
      <c r="J25" s="38">
        <f>IFERROR(INDEX(Zawodnicy[],MATCH($A25,Players!$A$2:$A$35,0),MATCH($B$2,Players!$A$1:$Y$1,0))*J$2+INDEX(Zawodnicy[],MATCH($A25,Players!$A$2:$A$35,0),MATCH($B$3,Players!$A$1:$Y$1,0))*J$3+INDEX(Zawodnicy[],MATCH($A25,Players!$A$2:$A$35,0),MATCH($B$4,Players!$A$1:$Y$1,0))*J$4+INDEX(Zawodnicy[],MATCH($A25,Players!$A$2:$A$35,0),MATCH($B$5,Players!$A$1:$Y$1,0))*J$5+INDEX(Zawodnicy[],MATCH($A25,Players!$A$2:$A$35,0),MATCH($B$6,Players!$A$1:$Y$1,0))*J$6+INDEX(Zawodnicy[],MATCH($A25,Players!$A$2:$A$35,0),MATCH($B$7,Players!$A$1:$Y$1,0))*J$7+INDEX(Zawodnicy[],MATCH($A25,Players!$A$2:$A$35,0),MATCH($B$8,Players!$A$1:$Y$1,0))*J$8+INDEX(Zawodnicy[],MATCH($A25,Players!$A$2:$A$35,0),MATCH($B$9,Players!$A$1:$Y$1,0))*J$9+INDEX(Zawodnicy[],MATCH($A25,Players!$A$2:$A$35,0),MATCH($B$10,Players!$A$1:$Y$1,0))*J$10+INDEX(Zawodnicy[],MATCH($A25,Players!$A$2:$A$35,0),MATCH($B$11,Players!$A$1:$Y$1,0))*J$11+INDEX(Zawodnicy[],MATCH($A25,Players!$A$2:$A$35,0),MATCH($B$12,Players!$A$1:$Y$1,0))*J$12+INDEX(Zawodnicy[],MATCH($A25,Players!$A$2:$A$35,0),MATCH($B$13,Players!$A$1:$Y$1,0))*J$13,"-")</f>
        <v>58</v>
      </c>
      <c r="K25" s="38">
        <f>IFERROR(INDEX(Zawodnicy[],MATCH($A25,Players!$A$2:$A$35,0),MATCH($B$2,Players!$A$1:$Y$1,0))*K$2+INDEX(Zawodnicy[],MATCH($A25,Players!$A$2:$A$35,0),MATCH($B$3,Players!$A$1:$Y$1,0))*K$3+INDEX(Zawodnicy[],MATCH($A25,Players!$A$2:$A$35,0),MATCH($B$4,Players!$A$1:$Y$1,0))*K$4+INDEX(Zawodnicy[],MATCH($A25,Players!$A$2:$A$35,0),MATCH($B$5,Players!$A$1:$Y$1,0))*K$5+INDEX(Zawodnicy[],MATCH($A25,Players!$A$2:$A$35,0),MATCH($B$6,Players!$A$1:$Y$1,0))*K$6+INDEX(Zawodnicy[],MATCH($A25,Players!$A$2:$A$35,0),MATCH($B$7,Players!$A$1:$Y$1,0))*K$7+INDEX(Zawodnicy[],MATCH($A25,Players!$A$2:$A$35,0),MATCH($B$8,Players!$A$1:$Y$1,0))*K$8+INDEX(Zawodnicy[],MATCH($A25,Players!$A$2:$A$35,0),MATCH($B$9,Players!$A$1:$Y$1,0))*K$9+INDEX(Zawodnicy[],MATCH($A25,Players!$A$2:$A$35,0),MATCH($B$10,Players!$A$1:$Y$1,0))*K$10+INDEX(Zawodnicy[],MATCH($A25,Players!$A$2:$A$35,0),MATCH($B$11,Players!$A$1:$Y$1,0))*K$11+INDEX(Zawodnicy[],MATCH($A25,Players!$A$2:$A$35,0),MATCH($B$12,Players!$A$1:$Y$1,0))*K$12+INDEX(Zawodnicy[],MATCH($A25,Players!$A$2:$A$35,0),MATCH($B$13,Players!$A$1:$Y$1,0))*K$13,"-")</f>
        <v>57.5</v>
      </c>
    </row>
    <row r="26" spans="1:11" x14ac:dyDescent="0.25">
      <c r="A26" s="63">
        <f>PozycjeŚr[[#This Row],[Numer]]</f>
        <v>8</v>
      </c>
      <c r="B26" s="3" t="str">
        <f>IFERROR(VLOOKUP(PozycjeMM[[#This Row],[Numer]],Zawodnicy[[Number]:[Player name]],2,FALSE),"-")</f>
        <v>Cyryl Walec</v>
      </c>
      <c r="C26" s="38">
        <f>IFERROR(INDEX(Zawodnicy[],MATCH($A26,Players!$A$2:$A$35,0),MATCH($B$2,Players!$A$1:$Y$1,0))*C$2+INDEX(Zawodnicy[],MATCH($A26,Players!$A$2:$A$35,0),MATCH($B$3,Players!$A$1:$Y$1,0))*C$3+INDEX(Zawodnicy[],MATCH($A26,Players!$A$2:$A$35,0),MATCH($B$4,Players!$A$1:$Y$1,0))*C$4+INDEX(Zawodnicy[],MATCH($A26,Players!$A$2:$A$35,0),MATCH($B$5,Players!$A$1:$Y$1,0))*C$5+INDEX(Zawodnicy[],MATCH($A26,Players!$A$2:$A$35,0),MATCH($B$6,Players!$A$1:$Y$1,0))*C$6+INDEX(Zawodnicy[],MATCH($A26,Players!$A$2:$A$35,0),MATCH($B$7,Players!$A$1:$Y$1,0))*C$7+INDEX(Zawodnicy[],MATCH($A26,Players!$A$2:$A$35,0),MATCH($B$8,Players!$A$1:$Y$1,0))*C$8+INDEX(Zawodnicy[],MATCH($A26,Players!$A$2:$A$35,0),MATCH($B$9,Players!$A$1:$Y$1,0))*C$9+INDEX(Zawodnicy[],MATCH($A26,Players!$A$2:$A$35,0),MATCH($B$10,Players!$A$1:$Y$1,0))*C$10+INDEX(Zawodnicy[],MATCH($A26,Players!$A$2:$A$35,0),MATCH($B$11,Players!$A$1:$Y$1,0))*C$11+INDEX(Zawodnicy[],MATCH($A26,Players!$A$2:$A$35,0),MATCH($B$12,Players!$A$1:$Y$1,0))*C$12+INDEX(Zawodnicy[],MATCH($A26,Players!$A$2:$A$35,0),MATCH($B$13,Players!$A$1:$Y$1,0))*C$13,"-")</f>
        <v>50</v>
      </c>
      <c r="D26" s="38">
        <f>IFERROR(INDEX(Zawodnicy[],MATCH($A26,Players!$A$2:$A$35,0),MATCH($B$2,Players!$A$1:$Y$1,0))*D$2+INDEX(Zawodnicy[],MATCH($A26,Players!$A$2:$A$35,0),MATCH($B$3,Players!$A$1:$Y$1,0))*D$3+INDEX(Zawodnicy[],MATCH($A26,Players!$A$2:$A$35,0),MATCH($B$4,Players!$A$1:$Y$1,0))*D$4+INDEX(Zawodnicy[],MATCH($A26,Players!$A$2:$A$35,0),MATCH($B$5,Players!$A$1:$Y$1,0))*D$5+INDEX(Zawodnicy[],MATCH($A26,Players!$A$2:$A$35,0),MATCH($B$6,Players!$A$1:$Y$1,0))*D$6+INDEX(Zawodnicy[],MATCH($A26,Players!$A$2:$A$35,0),MATCH($B$7,Players!$A$1:$Y$1,0))*D$7+INDEX(Zawodnicy[],MATCH($A26,Players!$A$2:$A$35,0),MATCH($B$8,Players!$A$1:$Y$1,0))*D$8+INDEX(Zawodnicy[],MATCH($A26,Players!$A$2:$A$35,0),MATCH($B$9,Players!$A$1:$Y$1,0))*D$9+INDEX(Zawodnicy[],MATCH($A26,Players!$A$2:$A$35,0),MATCH($B$10,Players!$A$1:$Y$1,0))*D$10+INDEX(Zawodnicy[],MATCH($A26,Players!$A$2:$A$35,0),MATCH($B$11,Players!$A$1:$Y$1,0))*D$11+INDEX(Zawodnicy[],MATCH($A26,Players!$A$2:$A$35,0),MATCH($B$12,Players!$A$1:$Y$1,0))*D$12+INDEX(Zawodnicy[],MATCH($A26,Players!$A$2:$A$35,0),MATCH($B$13,Players!$A$1:$Y$1,0))*D$13,"-")</f>
        <v>67</v>
      </c>
      <c r="E26" s="38">
        <f>IFERROR(INDEX(Zawodnicy[],MATCH($A26,Players!$A$2:$A$35,0),MATCH($B$2,Players!$A$1:$Y$1,0))*E$2+INDEX(Zawodnicy[],MATCH($A26,Players!$A$2:$A$35,0),MATCH($B$3,Players!$A$1:$Y$1,0))*E$3+INDEX(Zawodnicy[],MATCH($A26,Players!$A$2:$A$35,0),MATCH($B$4,Players!$A$1:$Y$1,0))*E$4+INDEX(Zawodnicy[],MATCH($A26,Players!$A$2:$A$35,0),MATCH($B$5,Players!$A$1:$Y$1,0))*E$5+INDEX(Zawodnicy[],MATCH($A26,Players!$A$2:$A$35,0),MATCH($B$6,Players!$A$1:$Y$1,0))*E$6+INDEX(Zawodnicy[],MATCH($A26,Players!$A$2:$A$35,0),MATCH($B$7,Players!$A$1:$Y$1,0))*E$7+INDEX(Zawodnicy[],MATCH($A26,Players!$A$2:$A$35,0),MATCH($B$8,Players!$A$1:$Y$1,0))*E$8+INDEX(Zawodnicy[],MATCH($A26,Players!$A$2:$A$35,0),MATCH($B$9,Players!$A$1:$Y$1,0))*E$9+INDEX(Zawodnicy[],MATCH($A26,Players!$A$2:$A$35,0),MATCH($B$10,Players!$A$1:$Y$1,0))*E$10+INDEX(Zawodnicy[],MATCH($A26,Players!$A$2:$A$35,0),MATCH($B$11,Players!$A$1:$Y$1,0))*E$11+INDEX(Zawodnicy[],MATCH($A26,Players!$A$2:$A$35,0),MATCH($B$12,Players!$A$1:$Y$1,0))*E$12+INDEX(Zawodnicy[],MATCH($A26,Players!$A$2:$A$35,0),MATCH($B$13,Players!$A$1:$Y$1,0))*E$13,"-")</f>
        <v>66</v>
      </c>
      <c r="F26" s="38">
        <f>IFERROR(INDEX(Zawodnicy[],MATCH($A26,Players!$A$2:$A$35,0),MATCH($B$2,Players!$A$1:$Y$1,0))*F$2+INDEX(Zawodnicy[],MATCH($A26,Players!$A$2:$A$35,0),MATCH($B$3,Players!$A$1:$Y$1,0))*F$3+INDEX(Zawodnicy[],MATCH($A26,Players!$A$2:$A$35,0),MATCH($B$4,Players!$A$1:$Y$1,0))*F$4+INDEX(Zawodnicy[],MATCH($A26,Players!$A$2:$A$35,0),MATCH($B$5,Players!$A$1:$Y$1,0))*F$5+INDEX(Zawodnicy[],MATCH($A26,Players!$A$2:$A$35,0),MATCH($B$6,Players!$A$1:$Y$1,0))*F$6+INDEX(Zawodnicy[],MATCH($A26,Players!$A$2:$A$35,0),MATCH($B$7,Players!$A$1:$Y$1,0))*F$7+INDEX(Zawodnicy[],MATCH($A26,Players!$A$2:$A$35,0),MATCH($B$8,Players!$A$1:$Y$1,0))*F$8+INDEX(Zawodnicy[],MATCH($A26,Players!$A$2:$A$35,0),MATCH($B$9,Players!$A$1:$Y$1,0))*F$9+INDEX(Zawodnicy[],MATCH($A26,Players!$A$2:$A$35,0),MATCH($B$10,Players!$A$1:$Y$1,0))*F$10+INDEX(Zawodnicy[],MATCH($A26,Players!$A$2:$A$35,0),MATCH($B$11,Players!$A$1:$Y$1,0))*F$11+INDEX(Zawodnicy[],MATCH($A26,Players!$A$2:$A$35,0),MATCH($B$12,Players!$A$1:$Y$1,0))*F$12+INDEX(Zawodnicy[],MATCH($A26,Players!$A$2:$A$35,0),MATCH($B$13,Players!$A$1:$Y$1,0))*F$13,"-")</f>
        <v>70.5</v>
      </c>
      <c r="G26" s="38">
        <f>IFERROR(INDEX(Zawodnicy[],MATCH($A26,Players!$A$2:$A$35,0),MATCH($B$2,Players!$A$1:$Y$1,0))*G$2+INDEX(Zawodnicy[],MATCH($A26,Players!$A$2:$A$35,0),MATCH($B$3,Players!$A$1:$Y$1,0))*G$3+INDEX(Zawodnicy[],MATCH($A26,Players!$A$2:$A$35,0),MATCH($B$4,Players!$A$1:$Y$1,0))*G$4+INDEX(Zawodnicy[],MATCH($A26,Players!$A$2:$A$35,0),MATCH($B$5,Players!$A$1:$Y$1,0))*G$5+INDEX(Zawodnicy[],MATCH($A26,Players!$A$2:$A$35,0),MATCH($B$6,Players!$A$1:$Y$1,0))*G$6+INDEX(Zawodnicy[],MATCH($A26,Players!$A$2:$A$35,0),MATCH($B$7,Players!$A$1:$Y$1,0))*G$7+INDEX(Zawodnicy[],MATCH($A26,Players!$A$2:$A$35,0),MATCH($B$8,Players!$A$1:$Y$1,0))*G$8+INDEX(Zawodnicy[],MATCH($A26,Players!$A$2:$A$35,0),MATCH($B$9,Players!$A$1:$Y$1,0))*G$9+INDEX(Zawodnicy[],MATCH($A26,Players!$A$2:$A$35,0),MATCH($B$10,Players!$A$1:$Y$1,0))*G$10+INDEX(Zawodnicy[],MATCH($A26,Players!$A$2:$A$35,0),MATCH($B$11,Players!$A$1:$Y$1,0))*G$11+INDEX(Zawodnicy[],MATCH($A26,Players!$A$2:$A$35,0),MATCH($B$12,Players!$A$1:$Y$1,0))*G$12+INDEX(Zawodnicy[],MATCH($A26,Players!$A$2:$A$35,0),MATCH($B$13,Players!$A$1:$Y$1,0))*G$13,"-")</f>
        <v>68</v>
      </c>
      <c r="H26" s="38">
        <f>IFERROR(INDEX(Zawodnicy[],MATCH($A26,Players!$A$2:$A$35,0),MATCH($B$2,Players!$A$1:$Y$1,0))*H$2+INDEX(Zawodnicy[],MATCH($A26,Players!$A$2:$A$35,0),MATCH($B$3,Players!$A$1:$Y$1,0))*H$3+INDEX(Zawodnicy[],MATCH($A26,Players!$A$2:$A$35,0),MATCH($B$4,Players!$A$1:$Y$1,0))*H$4+INDEX(Zawodnicy[],MATCH($A26,Players!$A$2:$A$35,0),MATCH($B$5,Players!$A$1:$Y$1,0))*H$5+INDEX(Zawodnicy[],MATCH($A26,Players!$A$2:$A$35,0),MATCH($B$6,Players!$A$1:$Y$1,0))*H$6+INDEX(Zawodnicy[],MATCH($A26,Players!$A$2:$A$35,0),MATCH($B$7,Players!$A$1:$Y$1,0))*H$7+INDEX(Zawodnicy[],MATCH($A26,Players!$A$2:$A$35,0),MATCH($B$8,Players!$A$1:$Y$1,0))*H$8+INDEX(Zawodnicy[],MATCH($A26,Players!$A$2:$A$35,0),MATCH($B$9,Players!$A$1:$Y$1,0))*H$9+INDEX(Zawodnicy[],MATCH($A26,Players!$A$2:$A$35,0),MATCH($B$10,Players!$A$1:$Y$1,0))*H$10+INDEX(Zawodnicy[],MATCH($A26,Players!$A$2:$A$35,0),MATCH($B$11,Players!$A$1:$Y$1,0))*H$11+INDEX(Zawodnicy[],MATCH($A26,Players!$A$2:$A$35,0),MATCH($B$12,Players!$A$1:$Y$1,0))*H$12+INDEX(Zawodnicy[],MATCH($A26,Players!$A$2:$A$35,0),MATCH($B$13,Players!$A$1:$Y$1,0))*H$13,"-")</f>
        <v>65</v>
      </c>
      <c r="I26" s="38">
        <f>IFERROR(INDEX(Zawodnicy[],MATCH($A26,Players!$A$2:$A$35,0),MATCH($B$2,Players!$A$1:$Y$1,0))*I$2+INDEX(Zawodnicy[],MATCH($A26,Players!$A$2:$A$35,0),MATCH($B$3,Players!$A$1:$Y$1,0))*I$3+INDEX(Zawodnicy[],MATCH($A26,Players!$A$2:$A$35,0),MATCH($B$4,Players!$A$1:$Y$1,0))*I$4+INDEX(Zawodnicy[],MATCH($A26,Players!$A$2:$A$35,0),MATCH($B$5,Players!$A$1:$Y$1,0))*I$5+INDEX(Zawodnicy[],MATCH($A26,Players!$A$2:$A$35,0),MATCH($B$6,Players!$A$1:$Y$1,0))*I$6+INDEX(Zawodnicy[],MATCH($A26,Players!$A$2:$A$35,0),MATCH($B$7,Players!$A$1:$Y$1,0))*I$7+INDEX(Zawodnicy[],MATCH($A26,Players!$A$2:$A$35,0),MATCH($B$8,Players!$A$1:$Y$1,0))*I$8+INDEX(Zawodnicy[],MATCH($A26,Players!$A$2:$A$35,0),MATCH($B$9,Players!$A$1:$Y$1,0))*I$9+INDEX(Zawodnicy[],MATCH($A26,Players!$A$2:$A$35,0),MATCH($B$10,Players!$A$1:$Y$1,0))*I$10+INDEX(Zawodnicy[],MATCH($A26,Players!$A$2:$A$35,0),MATCH($B$11,Players!$A$1:$Y$1,0))*I$11+INDEX(Zawodnicy[],MATCH($A26,Players!$A$2:$A$35,0),MATCH($B$12,Players!$A$1:$Y$1,0))*I$12+INDEX(Zawodnicy[],MATCH($A26,Players!$A$2:$A$35,0),MATCH($B$13,Players!$A$1:$Y$1,0))*I$13,"-")</f>
        <v>70.5</v>
      </c>
      <c r="J26" s="38">
        <f>IFERROR(INDEX(Zawodnicy[],MATCH($A26,Players!$A$2:$A$35,0),MATCH($B$2,Players!$A$1:$Y$1,0))*J$2+INDEX(Zawodnicy[],MATCH($A26,Players!$A$2:$A$35,0),MATCH($B$3,Players!$A$1:$Y$1,0))*J$3+INDEX(Zawodnicy[],MATCH($A26,Players!$A$2:$A$35,0),MATCH($B$4,Players!$A$1:$Y$1,0))*J$4+INDEX(Zawodnicy[],MATCH($A26,Players!$A$2:$A$35,0),MATCH($B$5,Players!$A$1:$Y$1,0))*J$5+INDEX(Zawodnicy[],MATCH($A26,Players!$A$2:$A$35,0),MATCH($B$6,Players!$A$1:$Y$1,0))*J$6+INDEX(Zawodnicy[],MATCH($A26,Players!$A$2:$A$35,0),MATCH($B$7,Players!$A$1:$Y$1,0))*J$7+INDEX(Zawodnicy[],MATCH($A26,Players!$A$2:$A$35,0),MATCH($B$8,Players!$A$1:$Y$1,0))*J$8+INDEX(Zawodnicy[],MATCH($A26,Players!$A$2:$A$35,0),MATCH($B$9,Players!$A$1:$Y$1,0))*J$9+INDEX(Zawodnicy[],MATCH($A26,Players!$A$2:$A$35,0),MATCH($B$10,Players!$A$1:$Y$1,0))*J$10+INDEX(Zawodnicy[],MATCH($A26,Players!$A$2:$A$35,0),MATCH($B$11,Players!$A$1:$Y$1,0))*J$11+INDEX(Zawodnicy[],MATCH($A26,Players!$A$2:$A$35,0),MATCH($B$12,Players!$A$1:$Y$1,0))*J$12+INDEX(Zawodnicy[],MATCH($A26,Players!$A$2:$A$35,0),MATCH($B$13,Players!$A$1:$Y$1,0))*J$13,"-")</f>
        <v>60.5</v>
      </c>
      <c r="K26" s="38">
        <f>IFERROR(INDEX(Zawodnicy[],MATCH($A26,Players!$A$2:$A$35,0),MATCH($B$2,Players!$A$1:$Y$1,0))*K$2+INDEX(Zawodnicy[],MATCH($A26,Players!$A$2:$A$35,0),MATCH($B$3,Players!$A$1:$Y$1,0))*K$3+INDEX(Zawodnicy[],MATCH($A26,Players!$A$2:$A$35,0),MATCH($B$4,Players!$A$1:$Y$1,0))*K$4+INDEX(Zawodnicy[],MATCH($A26,Players!$A$2:$A$35,0),MATCH($B$5,Players!$A$1:$Y$1,0))*K$5+INDEX(Zawodnicy[],MATCH($A26,Players!$A$2:$A$35,0),MATCH($B$6,Players!$A$1:$Y$1,0))*K$6+INDEX(Zawodnicy[],MATCH($A26,Players!$A$2:$A$35,0),MATCH($B$7,Players!$A$1:$Y$1,0))*K$7+INDEX(Zawodnicy[],MATCH($A26,Players!$A$2:$A$35,0),MATCH($B$8,Players!$A$1:$Y$1,0))*K$8+INDEX(Zawodnicy[],MATCH($A26,Players!$A$2:$A$35,0),MATCH($B$9,Players!$A$1:$Y$1,0))*K$9+INDEX(Zawodnicy[],MATCH($A26,Players!$A$2:$A$35,0),MATCH($B$10,Players!$A$1:$Y$1,0))*K$10+INDEX(Zawodnicy[],MATCH($A26,Players!$A$2:$A$35,0),MATCH($B$11,Players!$A$1:$Y$1,0))*K$11+INDEX(Zawodnicy[],MATCH($A26,Players!$A$2:$A$35,0),MATCH($B$12,Players!$A$1:$Y$1,0))*K$12+INDEX(Zawodnicy[],MATCH($A26,Players!$A$2:$A$35,0),MATCH($B$13,Players!$A$1:$Y$1,0))*K$13,"-")</f>
        <v>66</v>
      </c>
    </row>
    <row r="27" spans="1:11" x14ac:dyDescent="0.25">
      <c r="A27" s="63">
        <f>PozycjeŚr[[#This Row],[Numer]]</f>
        <v>9</v>
      </c>
      <c r="B27" s="3" t="str">
        <f>IFERROR(VLOOKUP(PozycjeMM[[#This Row],[Numer]],Zawodnicy[[Number]:[Player name]],2,FALSE),"-")</f>
        <v>Kajetan Grabowicz</v>
      </c>
      <c r="C27" s="38">
        <f>IFERROR(INDEX(Zawodnicy[],MATCH($A27,Players!$A$2:$A$35,0),MATCH($B$2,Players!$A$1:$Y$1,0))*C$2+INDEX(Zawodnicy[],MATCH($A27,Players!$A$2:$A$35,0),MATCH($B$3,Players!$A$1:$Y$1,0))*C$3+INDEX(Zawodnicy[],MATCH($A27,Players!$A$2:$A$35,0),MATCH($B$4,Players!$A$1:$Y$1,0))*C$4+INDEX(Zawodnicy[],MATCH($A27,Players!$A$2:$A$35,0),MATCH($B$5,Players!$A$1:$Y$1,0))*C$5+INDEX(Zawodnicy[],MATCH($A27,Players!$A$2:$A$35,0),MATCH($B$6,Players!$A$1:$Y$1,0))*C$6+INDEX(Zawodnicy[],MATCH($A27,Players!$A$2:$A$35,0),MATCH($B$7,Players!$A$1:$Y$1,0))*C$7+INDEX(Zawodnicy[],MATCH($A27,Players!$A$2:$A$35,0),MATCH($B$8,Players!$A$1:$Y$1,0))*C$8+INDEX(Zawodnicy[],MATCH($A27,Players!$A$2:$A$35,0),MATCH($B$9,Players!$A$1:$Y$1,0))*C$9+INDEX(Zawodnicy[],MATCH($A27,Players!$A$2:$A$35,0),MATCH($B$10,Players!$A$1:$Y$1,0))*C$10+INDEX(Zawodnicy[],MATCH($A27,Players!$A$2:$A$35,0),MATCH($B$11,Players!$A$1:$Y$1,0))*C$11+INDEX(Zawodnicy[],MATCH($A27,Players!$A$2:$A$35,0),MATCH($B$12,Players!$A$1:$Y$1,0))*C$12+INDEX(Zawodnicy[],MATCH($A27,Players!$A$2:$A$35,0),MATCH($B$13,Players!$A$1:$Y$1,0))*C$13,"-")</f>
        <v>28.5</v>
      </c>
      <c r="D27" s="38">
        <f>IFERROR(INDEX(Zawodnicy[],MATCH($A27,Players!$A$2:$A$35,0),MATCH($B$2,Players!$A$1:$Y$1,0))*D$2+INDEX(Zawodnicy[],MATCH($A27,Players!$A$2:$A$35,0),MATCH($B$3,Players!$A$1:$Y$1,0))*D$3+INDEX(Zawodnicy[],MATCH($A27,Players!$A$2:$A$35,0),MATCH($B$4,Players!$A$1:$Y$1,0))*D$4+INDEX(Zawodnicy[],MATCH($A27,Players!$A$2:$A$35,0),MATCH($B$5,Players!$A$1:$Y$1,0))*D$5+INDEX(Zawodnicy[],MATCH($A27,Players!$A$2:$A$35,0),MATCH($B$6,Players!$A$1:$Y$1,0))*D$6+INDEX(Zawodnicy[],MATCH($A27,Players!$A$2:$A$35,0),MATCH($B$7,Players!$A$1:$Y$1,0))*D$7+INDEX(Zawodnicy[],MATCH($A27,Players!$A$2:$A$35,0),MATCH($B$8,Players!$A$1:$Y$1,0))*D$8+INDEX(Zawodnicy[],MATCH($A27,Players!$A$2:$A$35,0),MATCH($B$9,Players!$A$1:$Y$1,0))*D$9+INDEX(Zawodnicy[],MATCH($A27,Players!$A$2:$A$35,0),MATCH($B$10,Players!$A$1:$Y$1,0))*D$10+INDEX(Zawodnicy[],MATCH($A27,Players!$A$2:$A$35,0),MATCH($B$11,Players!$A$1:$Y$1,0))*D$11+INDEX(Zawodnicy[],MATCH($A27,Players!$A$2:$A$35,0),MATCH($B$12,Players!$A$1:$Y$1,0))*D$12+INDEX(Zawodnicy[],MATCH($A27,Players!$A$2:$A$35,0),MATCH($B$13,Players!$A$1:$Y$1,0))*D$13,"-")</f>
        <v>43</v>
      </c>
      <c r="E27" s="38">
        <f>IFERROR(INDEX(Zawodnicy[],MATCH($A27,Players!$A$2:$A$35,0),MATCH($B$2,Players!$A$1:$Y$1,0))*E$2+INDEX(Zawodnicy[],MATCH($A27,Players!$A$2:$A$35,0),MATCH($B$3,Players!$A$1:$Y$1,0))*E$3+INDEX(Zawodnicy[],MATCH($A27,Players!$A$2:$A$35,0),MATCH($B$4,Players!$A$1:$Y$1,0))*E$4+INDEX(Zawodnicy[],MATCH($A27,Players!$A$2:$A$35,0),MATCH($B$5,Players!$A$1:$Y$1,0))*E$5+INDEX(Zawodnicy[],MATCH($A27,Players!$A$2:$A$35,0),MATCH($B$6,Players!$A$1:$Y$1,0))*E$6+INDEX(Zawodnicy[],MATCH($A27,Players!$A$2:$A$35,0),MATCH($B$7,Players!$A$1:$Y$1,0))*E$7+INDEX(Zawodnicy[],MATCH($A27,Players!$A$2:$A$35,0),MATCH($B$8,Players!$A$1:$Y$1,0))*E$8+INDEX(Zawodnicy[],MATCH($A27,Players!$A$2:$A$35,0),MATCH($B$9,Players!$A$1:$Y$1,0))*E$9+INDEX(Zawodnicy[],MATCH($A27,Players!$A$2:$A$35,0),MATCH($B$10,Players!$A$1:$Y$1,0))*E$10+INDEX(Zawodnicy[],MATCH($A27,Players!$A$2:$A$35,0),MATCH($B$11,Players!$A$1:$Y$1,0))*E$11+INDEX(Zawodnicy[],MATCH($A27,Players!$A$2:$A$35,0),MATCH($B$12,Players!$A$1:$Y$1,0))*E$12+INDEX(Zawodnicy[],MATCH($A27,Players!$A$2:$A$35,0),MATCH($B$13,Players!$A$1:$Y$1,0))*E$13,"-")</f>
        <v>48</v>
      </c>
      <c r="F27" s="38">
        <f>IFERROR(INDEX(Zawodnicy[],MATCH($A27,Players!$A$2:$A$35,0),MATCH($B$2,Players!$A$1:$Y$1,0))*F$2+INDEX(Zawodnicy[],MATCH($A27,Players!$A$2:$A$35,0),MATCH($B$3,Players!$A$1:$Y$1,0))*F$3+INDEX(Zawodnicy[],MATCH($A27,Players!$A$2:$A$35,0),MATCH($B$4,Players!$A$1:$Y$1,0))*F$4+INDEX(Zawodnicy[],MATCH($A27,Players!$A$2:$A$35,0),MATCH($B$5,Players!$A$1:$Y$1,0))*F$5+INDEX(Zawodnicy[],MATCH($A27,Players!$A$2:$A$35,0),MATCH($B$6,Players!$A$1:$Y$1,0))*F$6+INDEX(Zawodnicy[],MATCH($A27,Players!$A$2:$A$35,0),MATCH($B$7,Players!$A$1:$Y$1,0))*F$7+INDEX(Zawodnicy[],MATCH($A27,Players!$A$2:$A$35,0),MATCH($B$8,Players!$A$1:$Y$1,0))*F$8+INDEX(Zawodnicy[],MATCH($A27,Players!$A$2:$A$35,0),MATCH($B$9,Players!$A$1:$Y$1,0))*F$9+INDEX(Zawodnicy[],MATCH($A27,Players!$A$2:$A$35,0),MATCH($B$10,Players!$A$1:$Y$1,0))*F$10+INDEX(Zawodnicy[],MATCH($A27,Players!$A$2:$A$35,0),MATCH($B$11,Players!$A$1:$Y$1,0))*F$11+INDEX(Zawodnicy[],MATCH($A27,Players!$A$2:$A$35,0),MATCH($B$12,Players!$A$1:$Y$1,0))*F$12+INDEX(Zawodnicy[],MATCH($A27,Players!$A$2:$A$35,0),MATCH($B$13,Players!$A$1:$Y$1,0))*F$13,"-")</f>
        <v>53.5</v>
      </c>
      <c r="G27" s="38">
        <f>IFERROR(INDEX(Zawodnicy[],MATCH($A27,Players!$A$2:$A$35,0),MATCH($B$2,Players!$A$1:$Y$1,0))*G$2+INDEX(Zawodnicy[],MATCH($A27,Players!$A$2:$A$35,0),MATCH($B$3,Players!$A$1:$Y$1,0))*G$3+INDEX(Zawodnicy[],MATCH($A27,Players!$A$2:$A$35,0),MATCH($B$4,Players!$A$1:$Y$1,0))*G$4+INDEX(Zawodnicy[],MATCH($A27,Players!$A$2:$A$35,0),MATCH($B$5,Players!$A$1:$Y$1,0))*G$5+INDEX(Zawodnicy[],MATCH($A27,Players!$A$2:$A$35,0),MATCH($B$6,Players!$A$1:$Y$1,0))*G$6+INDEX(Zawodnicy[],MATCH($A27,Players!$A$2:$A$35,0),MATCH($B$7,Players!$A$1:$Y$1,0))*G$7+INDEX(Zawodnicy[],MATCH($A27,Players!$A$2:$A$35,0),MATCH($B$8,Players!$A$1:$Y$1,0))*G$8+INDEX(Zawodnicy[],MATCH($A27,Players!$A$2:$A$35,0),MATCH($B$9,Players!$A$1:$Y$1,0))*G$9+INDEX(Zawodnicy[],MATCH($A27,Players!$A$2:$A$35,0),MATCH($B$10,Players!$A$1:$Y$1,0))*G$10+INDEX(Zawodnicy[],MATCH($A27,Players!$A$2:$A$35,0),MATCH($B$11,Players!$A$1:$Y$1,0))*G$11+INDEX(Zawodnicy[],MATCH($A27,Players!$A$2:$A$35,0),MATCH($B$12,Players!$A$1:$Y$1,0))*G$12+INDEX(Zawodnicy[],MATCH($A27,Players!$A$2:$A$35,0),MATCH($B$13,Players!$A$1:$Y$1,0))*G$13,"-")</f>
        <v>53</v>
      </c>
      <c r="H27" s="38">
        <f>IFERROR(INDEX(Zawodnicy[],MATCH($A27,Players!$A$2:$A$35,0),MATCH($B$2,Players!$A$1:$Y$1,0))*H$2+INDEX(Zawodnicy[],MATCH($A27,Players!$A$2:$A$35,0),MATCH($B$3,Players!$A$1:$Y$1,0))*H$3+INDEX(Zawodnicy[],MATCH($A27,Players!$A$2:$A$35,0),MATCH($B$4,Players!$A$1:$Y$1,0))*H$4+INDEX(Zawodnicy[],MATCH($A27,Players!$A$2:$A$35,0),MATCH($B$5,Players!$A$1:$Y$1,0))*H$5+INDEX(Zawodnicy[],MATCH($A27,Players!$A$2:$A$35,0),MATCH($B$6,Players!$A$1:$Y$1,0))*H$6+INDEX(Zawodnicy[],MATCH($A27,Players!$A$2:$A$35,0),MATCH($B$7,Players!$A$1:$Y$1,0))*H$7+INDEX(Zawodnicy[],MATCH($A27,Players!$A$2:$A$35,0),MATCH($B$8,Players!$A$1:$Y$1,0))*H$8+INDEX(Zawodnicy[],MATCH($A27,Players!$A$2:$A$35,0),MATCH($B$9,Players!$A$1:$Y$1,0))*H$9+INDEX(Zawodnicy[],MATCH($A27,Players!$A$2:$A$35,0),MATCH($B$10,Players!$A$1:$Y$1,0))*H$10+INDEX(Zawodnicy[],MATCH($A27,Players!$A$2:$A$35,0),MATCH($B$11,Players!$A$1:$Y$1,0))*H$11+INDEX(Zawodnicy[],MATCH($A27,Players!$A$2:$A$35,0),MATCH($B$12,Players!$A$1:$Y$1,0))*H$12+INDEX(Zawodnicy[],MATCH($A27,Players!$A$2:$A$35,0),MATCH($B$13,Players!$A$1:$Y$1,0))*H$13,"-")</f>
        <v>60</v>
      </c>
      <c r="I27" s="38">
        <f>IFERROR(INDEX(Zawodnicy[],MATCH($A27,Players!$A$2:$A$35,0),MATCH($B$2,Players!$A$1:$Y$1,0))*I$2+INDEX(Zawodnicy[],MATCH($A27,Players!$A$2:$A$35,0),MATCH($B$3,Players!$A$1:$Y$1,0))*I$3+INDEX(Zawodnicy[],MATCH($A27,Players!$A$2:$A$35,0),MATCH($B$4,Players!$A$1:$Y$1,0))*I$4+INDEX(Zawodnicy[],MATCH($A27,Players!$A$2:$A$35,0),MATCH($B$5,Players!$A$1:$Y$1,0))*I$5+INDEX(Zawodnicy[],MATCH($A27,Players!$A$2:$A$35,0),MATCH($B$6,Players!$A$1:$Y$1,0))*I$6+INDEX(Zawodnicy[],MATCH($A27,Players!$A$2:$A$35,0),MATCH($B$7,Players!$A$1:$Y$1,0))*I$7+INDEX(Zawodnicy[],MATCH($A27,Players!$A$2:$A$35,0),MATCH($B$8,Players!$A$1:$Y$1,0))*I$8+INDEX(Zawodnicy[],MATCH($A27,Players!$A$2:$A$35,0),MATCH($B$9,Players!$A$1:$Y$1,0))*I$9+INDEX(Zawodnicy[],MATCH($A27,Players!$A$2:$A$35,0),MATCH($B$10,Players!$A$1:$Y$1,0))*I$10+INDEX(Zawodnicy[],MATCH($A27,Players!$A$2:$A$35,0),MATCH($B$11,Players!$A$1:$Y$1,0))*I$11+INDEX(Zawodnicy[],MATCH($A27,Players!$A$2:$A$35,0),MATCH($B$12,Players!$A$1:$Y$1,0))*I$12+INDEX(Zawodnicy[],MATCH($A27,Players!$A$2:$A$35,0),MATCH($B$13,Players!$A$1:$Y$1,0))*I$13,"-")</f>
        <v>68.5</v>
      </c>
      <c r="J27" s="38">
        <f>IFERROR(INDEX(Zawodnicy[],MATCH($A27,Players!$A$2:$A$35,0),MATCH($B$2,Players!$A$1:$Y$1,0))*J$2+INDEX(Zawodnicy[],MATCH($A27,Players!$A$2:$A$35,0),MATCH($B$3,Players!$A$1:$Y$1,0))*J$3+INDEX(Zawodnicy[],MATCH($A27,Players!$A$2:$A$35,0),MATCH($B$4,Players!$A$1:$Y$1,0))*J$4+INDEX(Zawodnicy[],MATCH($A27,Players!$A$2:$A$35,0),MATCH($B$5,Players!$A$1:$Y$1,0))*J$5+INDEX(Zawodnicy[],MATCH($A27,Players!$A$2:$A$35,0),MATCH($B$6,Players!$A$1:$Y$1,0))*J$6+INDEX(Zawodnicy[],MATCH($A27,Players!$A$2:$A$35,0),MATCH($B$7,Players!$A$1:$Y$1,0))*J$7+INDEX(Zawodnicy[],MATCH($A27,Players!$A$2:$A$35,0),MATCH($B$8,Players!$A$1:$Y$1,0))*J$8+INDEX(Zawodnicy[],MATCH($A27,Players!$A$2:$A$35,0),MATCH($B$9,Players!$A$1:$Y$1,0))*J$9+INDEX(Zawodnicy[],MATCH($A27,Players!$A$2:$A$35,0),MATCH($B$10,Players!$A$1:$Y$1,0))*J$10+INDEX(Zawodnicy[],MATCH($A27,Players!$A$2:$A$35,0),MATCH($B$11,Players!$A$1:$Y$1,0))*J$11+INDEX(Zawodnicy[],MATCH($A27,Players!$A$2:$A$35,0),MATCH($B$12,Players!$A$1:$Y$1,0))*J$12+INDEX(Zawodnicy[],MATCH($A27,Players!$A$2:$A$35,0),MATCH($B$13,Players!$A$1:$Y$1,0))*J$13,"-")</f>
        <v>59.5</v>
      </c>
      <c r="K27" s="38">
        <f>IFERROR(INDEX(Zawodnicy[],MATCH($A27,Players!$A$2:$A$35,0),MATCH($B$2,Players!$A$1:$Y$1,0))*K$2+INDEX(Zawodnicy[],MATCH($A27,Players!$A$2:$A$35,0),MATCH($B$3,Players!$A$1:$Y$1,0))*K$3+INDEX(Zawodnicy[],MATCH($A27,Players!$A$2:$A$35,0),MATCH($B$4,Players!$A$1:$Y$1,0))*K$4+INDEX(Zawodnicy[],MATCH($A27,Players!$A$2:$A$35,0),MATCH($B$5,Players!$A$1:$Y$1,0))*K$5+INDEX(Zawodnicy[],MATCH($A27,Players!$A$2:$A$35,0),MATCH($B$6,Players!$A$1:$Y$1,0))*K$6+INDEX(Zawodnicy[],MATCH($A27,Players!$A$2:$A$35,0),MATCH($B$7,Players!$A$1:$Y$1,0))*K$7+INDEX(Zawodnicy[],MATCH($A27,Players!$A$2:$A$35,0),MATCH($B$8,Players!$A$1:$Y$1,0))*K$8+INDEX(Zawodnicy[],MATCH($A27,Players!$A$2:$A$35,0),MATCH($B$9,Players!$A$1:$Y$1,0))*K$9+INDEX(Zawodnicy[],MATCH($A27,Players!$A$2:$A$35,0),MATCH($B$10,Players!$A$1:$Y$1,0))*K$10+INDEX(Zawodnicy[],MATCH($A27,Players!$A$2:$A$35,0),MATCH($B$11,Players!$A$1:$Y$1,0))*K$11+INDEX(Zawodnicy[],MATCH($A27,Players!$A$2:$A$35,0),MATCH($B$12,Players!$A$1:$Y$1,0))*K$12+INDEX(Zawodnicy[],MATCH($A27,Players!$A$2:$A$35,0),MATCH($B$13,Players!$A$1:$Y$1,0))*K$13,"-")</f>
        <v>72.5</v>
      </c>
    </row>
    <row r="28" spans="1:11" x14ac:dyDescent="0.25">
      <c r="A28" s="63">
        <f>PozycjeŚr[[#This Row],[Numer]]</f>
        <v>11</v>
      </c>
      <c r="B28" s="3" t="str">
        <f>IFERROR(VLOOKUP(PozycjeMM[[#This Row],[Numer]],Zawodnicy[[Number]:[Player name]],2,FALSE),"-")</f>
        <v>Roman Zakrzewski</v>
      </c>
      <c r="C28" s="38">
        <f>IFERROR(INDEX(Zawodnicy[],MATCH($A28,Players!$A$2:$A$35,0),MATCH($B$2,Players!$A$1:$Y$1,0))*C$2+INDEX(Zawodnicy[],MATCH($A28,Players!$A$2:$A$35,0),MATCH($B$3,Players!$A$1:$Y$1,0))*C$3+INDEX(Zawodnicy[],MATCH($A28,Players!$A$2:$A$35,0),MATCH($B$4,Players!$A$1:$Y$1,0))*C$4+INDEX(Zawodnicy[],MATCH($A28,Players!$A$2:$A$35,0),MATCH($B$5,Players!$A$1:$Y$1,0))*C$5+INDEX(Zawodnicy[],MATCH($A28,Players!$A$2:$A$35,0),MATCH($B$6,Players!$A$1:$Y$1,0))*C$6+INDEX(Zawodnicy[],MATCH($A28,Players!$A$2:$A$35,0),MATCH($B$7,Players!$A$1:$Y$1,0))*C$7+INDEX(Zawodnicy[],MATCH($A28,Players!$A$2:$A$35,0),MATCH($B$8,Players!$A$1:$Y$1,0))*C$8+INDEX(Zawodnicy[],MATCH($A28,Players!$A$2:$A$35,0),MATCH($B$9,Players!$A$1:$Y$1,0))*C$9+INDEX(Zawodnicy[],MATCH($A28,Players!$A$2:$A$35,0),MATCH($B$10,Players!$A$1:$Y$1,0))*C$10+INDEX(Zawodnicy[],MATCH($A28,Players!$A$2:$A$35,0),MATCH($B$11,Players!$A$1:$Y$1,0))*C$11+INDEX(Zawodnicy[],MATCH($A28,Players!$A$2:$A$35,0),MATCH($B$12,Players!$A$1:$Y$1,0))*C$12+INDEX(Zawodnicy[],MATCH($A28,Players!$A$2:$A$35,0),MATCH($B$13,Players!$A$1:$Y$1,0))*C$13,"-")</f>
        <v>31</v>
      </c>
      <c r="D28" s="38">
        <f>IFERROR(INDEX(Zawodnicy[],MATCH($A28,Players!$A$2:$A$35,0),MATCH($B$2,Players!$A$1:$Y$1,0))*D$2+INDEX(Zawodnicy[],MATCH($A28,Players!$A$2:$A$35,0),MATCH($B$3,Players!$A$1:$Y$1,0))*D$3+INDEX(Zawodnicy[],MATCH($A28,Players!$A$2:$A$35,0),MATCH($B$4,Players!$A$1:$Y$1,0))*D$4+INDEX(Zawodnicy[],MATCH($A28,Players!$A$2:$A$35,0),MATCH($B$5,Players!$A$1:$Y$1,0))*D$5+INDEX(Zawodnicy[],MATCH($A28,Players!$A$2:$A$35,0),MATCH($B$6,Players!$A$1:$Y$1,0))*D$6+INDEX(Zawodnicy[],MATCH($A28,Players!$A$2:$A$35,0),MATCH($B$7,Players!$A$1:$Y$1,0))*D$7+INDEX(Zawodnicy[],MATCH($A28,Players!$A$2:$A$35,0),MATCH($B$8,Players!$A$1:$Y$1,0))*D$8+INDEX(Zawodnicy[],MATCH($A28,Players!$A$2:$A$35,0),MATCH($B$9,Players!$A$1:$Y$1,0))*D$9+INDEX(Zawodnicy[],MATCH($A28,Players!$A$2:$A$35,0),MATCH($B$10,Players!$A$1:$Y$1,0))*D$10+INDEX(Zawodnicy[],MATCH($A28,Players!$A$2:$A$35,0),MATCH($B$11,Players!$A$1:$Y$1,0))*D$11+INDEX(Zawodnicy[],MATCH($A28,Players!$A$2:$A$35,0),MATCH($B$12,Players!$A$1:$Y$1,0))*D$12+INDEX(Zawodnicy[],MATCH($A28,Players!$A$2:$A$35,0),MATCH($B$13,Players!$A$1:$Y$1,0))*D$13,"-")</f>
        <v>52.5</v>
      </c>
      <c r="E28" s="38">
        <f>IFERROR(INDEX(Zawodnicy[],MATCH($A28,Players!$A$2:$A$35,0),MATCH($B$2,Players!$A$1:$Y$1,0))*E$2+INDEX(Zawodnicy[],MATCH($A28,Players!$A$2:$A$35,0),MATCH($B$3,Players!$A$1:$Y$1,0))*E$3+INDEX(Zawodnicy[],MATCH($A28,Players!$A$2:$A$35,0),MATCH($B$4,Players!$A$1:$Y$1,0))*E$4+INDEX(Zawodnicy[],MATCH($A28,Players!$A$2:$A$35,0),MATCH($B$5,Players!$A$1:$Y$1,0))*E$5+INDEX(Zawodnicy[],MATCH($A28,Players!$A$2:$A$35,0),MATCH($B$6,Players!$A$1:$Y$1,0))*E$6+INDEX(Zawodnicy[],MATCH($A28,Players!$A$2:$A$35,0),MATCH($B$7,Players!$A$1:$Y$1,0))*E$7+INDEX(Zawodnicy[],MATCH($A28,Players!$A$2:$A$35,0),MATCH($B$8,Players!$A$1:$Y$1,0))*E$8+INDEX(Zawodnicy[],MATCH($A28,Players!$A$2:$A$35,0),MATCH($B$9,Players!$A$1:$Y$1,0))*E$9+INDEX(Zawodnicy[],MATCH($A28,Players!$A$2:$A$35,0),MATCH($B$10,Players!$A$1:$Y$1,0))*E$10+INDEX(Zawodnicy[],MATCH($A28,Players!$A$2:$A$35,0),MATCH($B$11,Players!$A$1:$Y$1,0))*E$11+INDEX(Zawodnicy[],MATCH($A28,Players!$A$2:$A$35,0),MATCH($B$12,Players!$A$1:$Y$1,0))*E$12+INDEX(Zawodnicy[],MATCH($A28,Players!$A$2:$A$35,0),MATCH($B$13,Players!$A$1:$Y$1,0))*E$13,"-")</f>
        <v>57.5</v>
      </c>
      <c r="F28" s="38">
        <f>IFERROR(INDEX(Zawodnicy[],MATCH($A28,Players!$A$2:$A$35,0),MATCH($B$2,Players!$A$1:$Y$1,0))*F$2+INDEX(Zawodnicy[],MATCH($A28,Players!$A$2:$A$35,0),MATCH($B$3,Players!$A$1:$Y$1,0))*F$3+INDEX(Zawodnicy[],MATCH($A28,Players!$A$2:$A$35,0),MATCH($B$4,Players!$A$1:$Y$1,0))*F$4+INDEX(Zawodnicy[],MATCH($A28,Players!$A$2:$A$35,0),MATCH($B$5,Players!$A$1:$Y$1,0))*F$5+INDEX(Zawodnicy[],MATCH($A28,Players!$A$2:$A$35,0),MATCH($B$6,Players!$A$1:$Y$1,0))*F$6+INDEX(Zawodnicy[],MATCH($A28,Players!$A$2:$A$35,0),MATCH($B$7,Players!$A$1:$Y$1,0))*F$7+INDEX(Zawodnicy[],MATCH($A28,Players!$A$2:$A$35,0),MATCH($B$8,Players!$A$1:$Y$1,0))*F$8+INDEX(Zawodnicy[],MATCH($A28,Players!$A$2:$A$35,0),MATCH($B$9,Players!$A$1:$Y$1,0))*F$9+INDEX(Zawodnicy[],MATCH($A28,Players!$A$2:$A$35,0),MATCH($B$10,Players!$A$1:$Y$1,0))*F$10+INDEX(Zawodnicy[],MATCH($A28,Players!$A$2:$A$35,0),MATCH($B$11,Players!$A$1:$Y$1,0))*F$11+INDEX(Zawodnicy[],MATCH($A28,Players!$A$2:$A$35,0),MATCH($B$12,Players!$A$1:$Y$1,0))*F$12+INDEX(Zawodnicy[],MATCH($A28,Players!$A$2:$A$35,0),MATCH($B$13,Players!$A$1:$Y$1,0))*F$13,"-")</f>
        <v>65.5</v>
      </c>
      <c r="G28" s="38">
        <f>IFERROR(INDEX(Zawodnicy[],MATCH($A28,Players!$A$2:$A$35,0),MATCH($B$2,Players!$A$1:$Y$1,0))*G$2+INDEX(Zawodnicy[],MATCH($A28,Players!$A$2:$A$35,0),MATCH($B$3,Players!$A$1:$Y$1,0))*G$3+INDEX(Zawodnicy[],MATCH($A28,Players!$A$2:$A$35,0),MATCH($B$4,Players!$A$1:$Y$1,0))*G$4+INDEX(Zawodnicy[],MATCH($A28,Players!$A$2:$A$35,0),MATCH($B$5,Players!$A$1:$Y$1,0))*G$5+INDEX(Zawodnicy[],MATCH($A28,Players!$A$2:$A$35,0),MATCH($B$6,Players!$A$1:$Y$1,0))*G$6+INDEX(Zawodnicy[],MATCH($A28,Players!$A$2:$A$35,0),MATCH($B$7,Players!$A$1:$Y$1,0))*G$7+INDEX(Zawodnicy[],MATCH($A28,Players!$A$2:$A$35,0),MATCH($B$8,Players!$A$1:$Y$1,0))*G$8+INDEX(Zawodnicy[],MATCH($A28,Players!$A$2:$A$35,0),MATCH($B$9,Players!$A$1:$Y$1,0))*G$9+INDEX(Zawodnicy[],MATCH($A28,Players!$A$2:$A$35,0),MATCH($B$10,Players!$A$1:$Y$1,0))*G$10+INDEX(Zawodnicy[],MATCH($A28,Players!$A$2:$A$35,0),MATCH($B$11,Players!$A$1:$Y$1,0))*G$11+INDEX(Zawodnicy[],MATCH($A28,Players!$A$2:$A$35,0),MATCH($B$12,Players!$A$1:$Y$1,0))*G$12+INDEX(Zawodnicy[],MATCH($A28,Players!$A$2:$A$35,0),MATCH($B$13,Players!$A$1:$Y$1,0))*G$13,"-")</f>
        <v>65</v>
      </c>
      <c r="H28" s="38">
        <f>IFERROR(INDEX(Zawodnicy[],MATCH($A28,Players!$A$2:$A$35,0),MATCH($B$2,Players!$A$1:$Y$1,0))*H$2+INDEX(Zawodnicy[],MATCH($A28,Players!$A$2:$A$35,0),MATCH($B$3,Players!$A$1:$Y$1,0))*H$3+INDEX(Zawodnicy[],MATCH($A28,Players!$A$2:$A$35,0),MATCH($B$4,Players!$A$1:$Y$1,0))*H$4+INDEX(Zawodnicy[],MATCH($A28,Players!$A$2:$A$35,0),MATCH($B$5,Players!$A$1:$Y$1,0))*H$5+INDEX(Zawodnicy[],MATCH($A28,Players!$A$2:$A$35,0),MATCH($B$6,Players!$A$1:$Y$1,0))*H$6+INDEX(Zawodnicy[],MATCH($A28,Players!$A$2:$A$35,0),MATCH($B$7,Players!$A$1:$Y$1,0))*H$7+INDEX(Zawodnicy[],MATCH($A28,Players!$A$2:$A$35,0),MATCH($B$8,Players!$A$1:$Y$1,0))*H$8+INDEX(Zawodnicy[],MATCH($A28,Players!$A$2:$A$35,0),MATCH($B$9,Players!$A$1:$Y$1,0))*H$9+INDEX(Zawodnicy[],MATCH($A28,Players!$A$2:$A$35,0),MATCH($B$10,Players!$A$1:$Y$1,0))*H$10+INDEX(Zawodnicy[],MATCH($A28,Players!$A$2:$A$35,0),MATCH($B$11,Players!$A$1:$Y$1,0))*H$11+INDEX(Zawodnicy[],MATCH($A28,Players!$A$2:$A$35,0),MATCH($B$12,Players!$A$1:$Y$1,0))*H$12+INDEX(Zawodnicy[],MATCH($A28,Players!$A$2:$A$35,0),MATCH($B$13,Players!$A$1:$Y$1,0))*H$13,"-")</f>
        <v>67</v>
      </c>
      <c r="I28" s="38">
        <f>IFERROR(INDEX(Zawodnicy[],MATCH($A28,Players!$A$2:$A$35,0),MATCH($B$2,Players!$A$1:$Y$1,0))*I$2+INDEX(Zawodnicy[],MATCH($A28,Players!$A$2:$A$35,0),MATCH($B$3,Players!$A$1:$Y$1,0))*I$3+INDEX(Zawodnicy[],MATCH($A28,Players!$A$2:$A$35,0),MATCH($B$4,Players!$A$1:$Y$1,0))*I$4+INDEX(Zawodnicy[],MATCH($A28,Players!$A$2:$A$35,0),MATCH($B$5,Players!$A$1:$Y$1,0))*I$5+INDEX(Zawodnicy[],MATCH($A28,Players!$A$2:$A$35,0),MATCH($B$6,Players!$A$1:$Y$1,0))*I$6+INDEX(Zawodnicy[],MATCH($A28,Players!$A$2:$A$35,0),MATCH($B$7,Players!$A$1:$Y$1,0))*I$7+INDEX(Zawodnicy[],MATCH($A28,Players!$A$2:$A$35,0),MATCH($B$8,Players!$A$1:$Y$1,0))*I$8+INDEX(Zawodnicy[],MATCH($A28,Players!$A$2:$A$35,0),MATCH($B$9,Players!$A$1:$Y$1,0))*I$9+INDEX(Zawodnicy[],MATCH($A28,Players!$A$2:$A$35,0),MATCH($B$10,Players!$A$1:$Y$1,0))*I$10+INDEX(Zawodnicy[],MATCH($A28,Players!$A$2:$A$35,0),MATCH($B$11,Players!$A$1:$Y$1,0))*I$11+INDEX(Zawodnicy[],MATCH($A28,Players!$A$2:$A$35,0),MATCH($B$12,Players!$A$1:$Y$1,0))*I$12+INDEX(Zawodnicy[],MATCH($A28,Players!$A$2:$A$35,0),MATCH($B$13,Players!$A$1:$Y$1,0))*I$13,"-")</f>
        <v>71.5</v>
      </c>
      <c r="J28" s="38">
        <f>IFERROR(INDEX(Zawodnicy[],MATCH($A28,Players!$A$2:$A$35,0),MATCH($B$2,Players!$A$1:$Y$1,0))*J$2+INDEX(Zawodnicy[],MATCH($A28,Players!$A$2:$A$35,0),MATCH($B$3,Players!$A$1:$Y$1,0))*J$3+INDEX(Zawodnicy[],MATCH($A28,Players!$A$2:$A$35,0),MATCH($B$4,Players!$A$1:$Y$1,0))*J$4+INDEX(Zawodnicy[],MATCH($A28,Players!$A$2:$A$35,0),MATCH($B$5,Players!$A$1:$Y$1,0))*J$5+INDEX(Zawodnicy[],MATCH($A28,Players!$A$2:$A$35,0),MATCH($B$6,Players!$A$1:$Y$1,0))*J$6+INDEX(Zawodnicy[],MATCH($A28,Players!$A$2:$A$35,0),MATCH($B$7,Players!$A$1:$Y$1,0))*J$7+INDEX(Zawodnicy[],MATCH($A28,Players!$A$2:$A$35,0),MATCH($B$8,Players!$A$1:$Y$1,0))*J$8+INDEX(Zawodnicy[],MATCH($A28,Players!$A$2:$A$35,0),MATCH($B$9,Players!$A$1:$Y$1,0))*J$9+INDEX(Zawodnicy[],MATCH($A28,Players!$A$2:$A$35,0),MATCH($B$10,Players!$A$1:$Y$1,0))*J$10+INDEX(Zawodnicy[],MATCH($A28,Players!$A$2:$A$35,0),MATCH($B$11,Players!$A$1:$Y$1,0))*J$11+INDEX(Zawodnicy[],MATCH($A28,Players!$A$2:$A$35,0),MATCH($B$12,Players!$A$1:$Y$1,0))*J$12+INDEX(Zawodnicy[],MATCH($A28,Players!$A$2:$A$35,0),MATCH($B$13,Players!$A$1:$Y$1,0))*J$13,"-")</f>
        <v>65</v>
      </c>
      <c r="K28" s="38">
        <f>IFERROR(INDEX(Zawodnicy[],MATCH($A28,Players!$A$2:$A$35,0),MATCH($B$2,Players!$A$1:$Y$1,0))*K$2+INDEX(Zawodnicy[],MATCH($A28,Players!$A$2:$A$35,0),MATCH($B$3,Players!$A$1:$Y$1,0))*K$3+INDEX(Zawodnicy[],MATCH($A28,Players!$A$2:$A$35,0),MATCH($B$4,Players!$A$1:$Y$1,0))*K$4+INDEX(Zawodnicy[],MATCH($A28,Players!$A$2:$A$35,0),MATCH($B$5,Players!$A$1:$Y$1,0))*K$5+INDEX(Zawodnicy[],MATCH($A28,Players!$A$2:$A$35,0),MATCH($B$6,Players!$A$1:$Y$1,0))*K$6+INDEX(Zawodnicy[],MATCH($A28,Players!$A$2:$A$35,0),MATCH($B$7,Players!$A$1:$Y$1,0))*K$7+INDEX(Zawodnicy[],MATCH($A28,Players!$A$2:$A$35,0),MATCH($B$8,Players!$A$1:$Y$1,0))*K$8+INDEX(Zawodnicy[],MATCH($A28,Players!$A$2:$A$35,0),MATCH($B$9,Players!$A$1:$Y$1,0))*K$9+INDEX(Zawodnicy[],MATCH($A28,Players!$A$2:$A$35,0),MATCH($B$10,Players!$A$1:$Y$1,0))*K$10+INDEX(Zawodnicy[],MATCH($A28,Players!$A$2:$A$35,0),MATCH($B$11,Players!$A$1:$Y$1,0))*K$11+INDEX(Zawodnicy[],MATCH($A28,Players!$A$2:$A$35,0),MATCH($B$12,Players!$A$1:$Y$1,0))*K$12+INDEX(Zawodnicy[],MATCH($A28,Players!$A$2:$A$35,0),MATCH($B$13,Players!$A$1:$Y$1,0))*K$13,"-")</f>
        <v>64</v>
      </c>
    </row>
    <row r="29" spans="1:11" x14ac:dyDescent="0.25">
      <c r="A29" s="63">
        <f>PozycjeŚr[[#This Row],[Numer]]</f>
        <v>13</v>
      </c>
      <c r="B29" s="3" t="str">
        <f>IFERROR(VLOOKUP(PozycjeMM[[#This Row],[Numer]],Zawodnicy[[Number]:[Player name]],2,FALSE),"-")</f>
        <v>Ksawery Jurgiel</v>
      </c>
      <c r="C29" s="38">
        <f>IFERROR(INDEX(Zawodnicy[],MATCH($A29,Players!$A$2:$A$35,0),MATCH($B$2,Players!$A$1:$Y$1,0))*C$2+INDEX(Zawodnicy[],MATCH($A29,Players!$A$2:$A$35,0),MATCH($B$3,Players!$A$1:$Y$1,0))*C$3+INDEX(Zawodnicy[],MATCH($A29,Players!$A$2:$A$35,0),MATCH($B$4,Players!$A$1:$Y$1,0))*C$4+INDEX(Zawodnicy[],MATCH($A29,Players!$A$2:$A$35,0),MATCH($B$5,Players!$A$1:$Y$1,0))*C$5+INDEX(Zawodnicy[],MATCH($A29,Players!$A$2:$A$35,0),MATCH($B$6,Players!$A$1:$Y$1,0))*C$6+INDEX(Zawodnicy[],MATCH($A29,Players!$A$2:$A$35,0),MATCH($B$7,Players!$A$1:$Y$1,0))*C$7+INDEX(Zawodnicy[],MATCH($A29,Players!$A$2:$A$35,0),MATCH($B$8,Players!$A$1:$Y$1,0))*C$8+INDEX(Zawodnicy[],MATCH($A29,Players!$A$2:$A$35,0),MATCH($B$9,Players!$A$1:$Y$1,0))*C$9+INDEX(Zawodnicy[],MATCH($A29,Players!$A$2:$A$35,0),MATCH($B$10,Players!$A$1:$Y$1,0))*C$10+INDEX(Zawodnicy[],MATCH($A29,Players!$A$2:$A$35,0),MATCH($B$11,Players!$A$1:$Y$1,0))*C$11+INDEX(Zawodnicy[],MATCH($A29,Players!$A$2:$A$35,0),MATCH($B$12,Players!$A$1:$Y$1,0))*C$12+INDEX(Zawodnicy[],MATCH($A29,Players!$A$2:$A$35,0),MATCH($B$13,Players!$A$1:$Y$1,0))*C$13,"-")</f>
        <v>39.5</v>
      </c>
      <c r="D29" s="38">
        <f>IFERROR(INDEX(Zawodnicy[],MATCH($A29,Players!$A$2:$A$35,0),MATCH($B$2,Players!$A$1:$Y$1,0))*D$2+INDEX(Zawodnicy[],MATCH($A29,Players!$A$2:$A$35,0),MATCH($B$3,Players!$A$1:$Y$1,0))*D$3+INDEX(Zawodnicy[],MATCH($A29,Players!$A$2:$A$35,0),MATCH($B$4,Players!$A$1:$Y$1,0))*D$4+INDEX(Zawodnicy[],MATCH($A29,Players!$A$2:$A$35,0),MATCH($B$5,Players!$A$1:$Y$1,0))*D$5+INDEX(Zawodnicy[],MATCH($A29,Players!$A$2:$A$35,0),MATCH($B$6,Players!$A$1:$Y$1,0))*D$6+INDEX(Zawodnicy[],MATCH($A29,Players!$A$2:$A$35,0),MATCH($B$7,Players!$A$1:$Y$1,0))*D$7+INDEX(Zawodnicy[],MATCH($A29,Players!$A$2:$A$35,0),MATCH($B$8,Players!$A$1:$Y$1,0))*D$8+INDEX(Zawodnicy[],MATCH($A29,Players!$A$2:$A$35,0),MATCH($B$9,Players!$A$1:$Y$1,0))*D$9+INDEX(Zawodnicy[],MATCH($A29,Players!$A$2:$A$35,0),MATCH($B$10,Players!$A$1:$Y$1,0))*D$10+INDEX(Zawodnicy[],MATCH($A29,Players!$A$2:$A$35,0),MATCH($B$11,Players!$A$1:$Y$1,0))*D$11+INDEX(Zawodnicy[],MATCH($A29,Players!$A$2:$A$35,0),MATCH($B$12,Players!$A$1:$Y$1,0))*D$12+INDEX(Zawodnicy[],MATCH($A29,Players!$A$2:$A$35,0),MATCH($B$13,Players!$A$1:$Y$1,0))*D$13,"-")</f>
        <v>75.5</v>
      </c>
      <c r="E29" s="38">
        <f>IFERROR(INDEX(Zawodnicy[],MATCH($A29,Players!$A$2:$A$35,0),MATCH($B$2,Players!$A$1:$Y$1,0))*E$2+INDEX(Zawodnicy[],MATCH($A29,Players!$A$2:$A$35,0),MATCH($B$3,Players!$A$1:$Y$1,0))*E$3+INDEX(Zawodnicy[],MATCH($A29,Players!$A$2:$A$35,0),MATCH($B$4,Players!$A$1:$Y$1,0))*E$4+INDEX(Zawodnicy[],MATCH($A29,Players!$A$2:$A$35,0),MATCH($B$5,Players!$A$1:$Y$1,0))*E$5+INDEX(Zawodnicy[],MATCH($A29,Players!$A$2:$A$35,0),MATCH($B$6,Players!$A$1:$Y$1,0))*E$6+INDEX(Zawodnicy[],MATCH($A29,Players!$A$2:$A$35,0),MATCH($B$7,Players!$A$1:$Y$1,0))*E$7+INDEX(Zawodnicy[],MATCH($A29,Players!$A$2:$A$35,0),MATCH($B$8,Players!$A$1:$Y$1,0))*E$8+INDEX(Zawodnicy[],MATCH($A29,Players!$A$2:$A$35,0),MATCH($B$9,Players!$A$1:$Y$1,0))*E$9+INDEX(Zawodnicy[],MATCH($A29,Players!$A$2:$A$35,0),MATCH($B$10,Players!$A$1:$Y$1,0))*E$10+INDEX(Zawodnicy[],MATCH($A29,Players!$A$2:$A$35,0),MATCH($B$11,Players!$A$1:$Y$1,0))*E$11+INDEX(Zawodnicy[],MATCH($A29,Players!$A$2:$A$35,0),MATCH($B$12,Players!$A$1:$Y$1,0))*E$12+INDEX(Zawodnicy[],MATCH($A29,Players!$A$2:$A$35,0),MATCH($B$13,Players!$A$1:$Y$1,0))*E$13,"-")</f>
        <v>76.5</v>
      </c>
      <c r="F29" s="38">
        <f>IFERROR(INDEX(Zawodnicy[],MATCH($A29,Players!$A$2:$A$35,0),MATCH($B$2,Players!$A$1:$Y$1,0))*F$2+INDEX(Zawodnicy[],MATCH($A29,Players!$A$2:$A$35,0),MATCH($B$3,Players!$A$1:$Y$1,0))*F$3+INDEX(Zawodnicy[],MATCH($A29,Players!$A$2:$A$35,0),MATCH($B$4,Players!$A$1:$Y$1,0))*F$4+INDEX(Zawodnicy[],MATCH($A29,Players!$A$2:$A$35,0),MATCH($B$5,Players!$A$1:$Y$1,0))*F$5+INDEX(Zawodnicy[],MATCH($A29,Players!$A$2:$A$35,0),MATCH($B$6,Players!$A$1:$Y$1,0))*F$6+INDEX(Zawodnicy[],MATCH($A29,Players!$A$2:$A$35,0),MATCH($B$7,Players!$A$1:$Y$1,0))*F$7+INDEX(Zawodnicy[],MATCH($A29,Players!$A$2:$A$35,0),MATCH($B$8,Players!$A$1:$Y$1,0))*F$8+INDEX(Zawodnicy[],MATCH($A29,Players!$A$2:$A$35,0),MATCH($B$9,Players!$A$1:$Y$1,0))*F$9+INDEX(Zawodnicy[],MATCH($A29,Players!$A$2:$A$35,0),MATCH($B$10,Players!$A$1:$Y$1,0))*F$10+INDEX(Zawodnicy[],MATCH($A29,Players!$A$2:$A$35,0),MATCH($B$11,Players!$A$1:$Y$1,0))*F$11+INDEX(Zawodnicy[],MATCH($A29,Players!$A$2:$A$35,0),MATCH($B$12,Players!$A$1:$Y$1,0))*F$12+INDEX(Zawodnicy[],MATCH($A29,Players!$A$2:$A$35,0),MATCH($B$13,Players!$A$1:$Y$1,0))*F$13,"-")</f>
        <v>76.5</v>
      </c>
      <c r="G29" s="38">
        <f>IFERROR(INDEX(Zawodnicy[],MATCH($A29,Players!$A$2:$A$35,0),MATCH($B$2,Players!$A$1:$Y$1,0))*G$2+INDEX(Zawodnicy[],MATCH($A29,Players!$A$2:$A$35,0),MATCH($B$3,Players!$A$1:$Y$1,0))*G$3+INDEX(Zawodnicy[],MATCH($A29,Players!$A$2:$A$35,0),MATCH($B$4,Players!$A$1:$Y$1,0))*G$4+INDEX(Zawodnicy[],MATCH($A29,Players!$A$2:$A$35,0),MATCH($B$5,Players!$A$1:$Y$1,0))*G$5+INDEX(Zawodnicy[],MATCH($A29,Players!$A$2:$A$35,0),MATCH($B$6,Players!$A$1:$Y$1,0))*G$6+INDEX(Zawodnicy[],MATCH($A29,Players!$A$2:$A$35,0),MATCH($B$7,Players!$A$1:$Y$1,0))*G$7+INDEX(Zawodnicy[],MATCH($A29,Players!$A$2:$A$35,0),MATCH($B$8,Players!$A$1:$Y$1,0))*G$8+INDEX(Zawodnicy[],MATCH($A29,Players!$A$2:$A$35,0),MATCH($B$9,Players!$A$1:$Y$1,0))*G$9+INDEX(Zawodnicy[],MATCH($A29,Players!$A$2:$A$35,0),MATCH($B$10,Players!$A$1:$Y$1,0))*G$10+INDEX(Zawodnicy[],MATCH($A29,Players!$A$2:$A$35,0),MATCH($B$11,Players!$A$1:$Y$1,0))*G$11+INDEX(Zawodnicy[],MATCH($A29,Players!$A$2:$A$35,0),MATCH($B$12,Players!$A$1:$Y$1,0))*G$12+INDEX(Zawodnicy[],MATCH($A29,Players!$A$2:$A$35,0),MATCH($B$13,Players!$A$1:$Y$1,0))*G$13,"-")</f>
        <v>77</v>
      </c>
      <c r="H29" s="38">
        <f>IFERROR(INDEX(Zawodnicy[],MATCH($A29,Players!$A$2:$A$35,0),MATCH($B$2,Players!$A$1:$Y$1,0))*H$2+INDEX(Zawodnicy[],MATCH($A29,Players!$A$2:$A$35,0),MATCH($B$3,Players!$A$1:$Y$1,0))*H$3+INDEX(Zawodnicy[],MATCH($A29,Players!$A$2:$A$35,0),MATCH($B$4,Players!$A$1:$Y$1,0))*H$4+INDEX(Zawodnicy[],MATCH($A29,Players!$A$2:$A$35,0),MATCH($B$5,Players!$A$1:$Y$1,0))*H$5+INDEX(Zawodnicy[],MATCH($A29,Players!$A$2:$A$35,0),MATCH($B$6,Players!$A$1:$Y$1,0))*H$6+INDEX(Zawodnicy[],MATCH($A29,Players!$A$2:$A$35,0),MATCH($B$7,Players!$A$1:$Y$1,0))*H$7+INDEX(Zawodnicy[],MATCH($A29,Players!$A$2:$A$35,0),MATCH($B$8,Players!$A$1:$Y$1,0))*H$8+INDEX(Zawodnicy[],MATCH($A29,Players!$A$2:$A$35,0),MATCH($B$9,Players!$A$1:$Y$1,0))*H$9+INDEX(Zawodnicy[],MATCH($A29,Players!$A$2:$A$35,0),MATCH($B$10,Players!$A$1:$Y$1,0))*H$10+INDEX(Zawodnicy[],MATCH($A29,Players!$A$2:$A$35,0),MATCH($B$11,Players!$A$1:$Y$1,0))*H$11+INDEX(Zawodnicy[],MATCH($A29,Players!$A$2:$A$35,0),MATCH($B$12,Players!$A$1:$Y$1,0))*H$12+INDEX(Zawodnicy[],MATCH($A29,Players!$A$2:$A$35,0),MATCH($B$13,Players!$A$1:$Y$1,0))*H$13,"-")</f>
        <v>78</v>
      </c>
      <c r="I29" s="38">
        <f>IFERROR(INDEX(Zawodnicy[],MATCH($A29,Players!$A$2:$A$35,0),MATCH($B$2,Players!$A$1:$Y$1,0))*I$2+INDEX(Zawodnicy[],MATCH($A29,Players!$A$2:$A$35,0),MATCH($B$3,Players!$A$1:$Y$1,0))*I$3+INDEX(Zawodnicy[],MATCH($A29,Players!$A$2:$A$35,0),MATCH($B$4,Players!$A$1:$Y$1,0))*I$4+INDEX(Zawodnicy[],MATCH($A29,Players!$A$2:$A$35,0),MATCH($B$5,Players!$A$1:$Y$1,0))*I$5+INDEX(Zawodnicy[],MATCH($A29,Players!$A$2:$A$35,0),MATCH($B$6,Players!$A$1:$Y$1,0))*I$6+INDEX(Zawodnicy[],MATCH($A29,Players!$A$2:$A$35,0),MATCH($B$7,Players!$A$1:$Y$1,0))*I$7+INDEX(Zawodnicy[],MATCH($A29,Players!$A$2:$A$35,0),MATCH($B$8,Players!$A$1:$Y$1,0))*I$8+INDEX(Zawodnicy[],MATCH($A29,Players!$A$2:$A$35,0),MATCH($B$9,Players!$A$1:$Y$1,0))*I$9+INDEX(Zawodnicy[],MATCH($A29,Players!$A$2:$A$35,0),MATCH($B$10,Players!$A$1:$Y$1,0))*I$10+INDEX(Zawodnicy[],MATCH($A29,Players!$A$2:$A$35,0),MATCH($B$11,Players!$A$1:$Y$1,0))*I$11+INDEX(Zawodnicy[],MATCH($A29,Players!$A$2:$A$35,0),MATCH($B$12,Players!$A$1:$Y$1,0))*I$12+INDEX(Zawodnicy[],MATCH($A29,Players!$A$2:$A$35,0),MATCH($B$13,Players!$A$1:$Y$1,0))*I$13,"-")</f>
        <v>72.5</v>
      </c>
      <c r="J29" s="38">
        <f>IFERROR(INDEX(Zawodnicy[],MATCH($A29,Players!$A$2:$A$35,0),MATCH($B$2,Players!$A$1:$Y$1,0))*J$2+INDEX(Zawodnicy[],MATCH($A29,Players!$A$2:$A$35,0),MATCH($B$3,Players!$A$1:$Y$1,0))*J$3+INDEX(Zawodnicy[],MATCH($A29,Players!$A$2:$A$35,0),MATCH($B$4,Players!$A$1:$Y$1,0))*J$4+INDEX(Zawodnicy[],MATCH($A29,Players!$A$2:$A$35,0),MATCH($B$5,Players!$A$1:$Y$1,0))*J$5+INDEX(Zawodnicy[],MATCH($A29,Players!$A$2:$A$35,0),MATCH($B$6,Players!$A$1:$Y$1,0))*J$6+INDEX(Zawodnicy[],MATCH($A29,Players!$A$2:$A$35,0),MATCH($B$7,Players!$A$1:$Y$1,0))*J$7+INDEX(Zawodnicy[],MATCH($A29,Players!$A$2:$A$35,0),MATCH($B$8,Players!$A$1:$Y$1,0))*J$8+INDEX(Zawodnicy[],MATCH($A29,Players!$A$2:$A$35,0),MATCH($B$9,Players!$A$1:$Y$1,0))*J$9+INDEX(Zawodnicy[],MATCH($A29,Players!$A$2:$A$35,0),MATCH($B$10,Players!$A$1:$Y$1,0))*J$10+INDEX(Zawodnicy[],MATCH($A29,Players!$A$2:$A$35,0),MATCH($B$11,Players!$A$1:$Y$1,0))*J$11+INDEX(Zawodnicy[],MATCH($A29,Players!$A$2:$A$35,0),MATCH($B$12,Players!$A$1:$Y$1,0))*J$12+INDEX(Zawodnicy[],MATCH($A29,Players!$A$2:$A$35,0),MATCH($B$13,Players!$A$1:$Y$1,0))*J$13,"-")</f>
        <v>74</v>
      </c>
      <c r="K29" s="38">
        <f>IFERROR(INDEX(Zawodnicy[],MATCH($A29,Players!$A$2:$A$35,0),MATCH($B$2,Players!$A$1:$Y$1,0))*K$2+INDEX(Zawodnicy[],MATCH($A29,Players!$A$2:$A$35,0),MATCH($B$3,Players!$A$1:$Y$1,0))*K$3+INDEX(Zawodnicy[],MATCH($A29,Players!$A$2:$A$35,0),MATCH($B$4,Players!$A$1:$Y$1,0))*K$4+INDEX(Zawodnicy[],MATCH($A29,Players!$A$2:$A$35,0),MATCH($B$5,Players!$A$1:$Y$1,0))*K$5+INDEX(Zawodnicy[],MATCH($A29,Players!$A$2:$A$35,0),MATCH($B$6,Players!$A$1:$Y$1,0))*K$6+INDEX(Zawodnicy[],MATCH($A29,Players!$A$2:$A$35,0),MATCH($B$7,Players!$A$1:$Y$1,0))*K$7+INDEX(Zawodnicy[],MATCH($A29,Players!$A$2:$A$35,0),MATCH($B$8,Players!$A$1:$Y$1,0))*K$8+INDEX(Zawodnicy[],MATCH($A29,Players!$A$2:$A$35,0),MATCH($B$9,Players!$A$1:$Y$1,0))*K$9+INDEX(Zawodnicy[],MATCH($A29,Players!$A$2:$A$35,0),MATCH($B$10,Players!$A$1:$Y$1,0))*K$10+INDEX(Zawodnicy[],MATCH($A29,Players!$A$2:$A$35,0),MATCH($B$11,Players!$A$1:$Y$1,0))*K$11+INDEX(Zawodnicy[],MATCH($A29,Players!$A$2:$A$35,0),MATCH($B$12,Players!$A$1:$Y$1,0))*K$12+INDEX(Zawodnicy[],MATCH($A29,Players!$A$2:$A$35,0),MATCH($B$13,Players!$A$1:$Y$1,0))*K$13,"-")</f>
        <v>62.5</v>
      </c>
    </row>
    <row r="30" spans="1:11" x14ac:dyDescent="0.25">
      <c r="A30" s="63">
        <f>PozycjeŚr[[#This Row],[Numer]]</f>
        <v>14</v>
      </c>
      <c r="B30" s="3" t="str">
        <f>IFERROR(VLOOKUP(PozycjeMM[[#This Row],[Numer]],Zawodnicy[[Number]:[Player name]],2,FALSE),"-")</f>
        <v>Gustaw Tuliszewski</v>
      </c>
      <c r="C30" s="38">
        <f>IFERROR(INDEX(Zawodnicy[],MATCH($A30,Players!$A$2:$A$35,0),MATCH($B$2,Players!$A$1:$Y$1,0))*C$2+INDEX(Zawodnicy[],MATCH($A30,Players!$A$2:$A$35,0),MATCH($B$3,Players!$A$1:$Y$1,0))*C$3+INDEX(Zawodnicy[],MATCH($A30,Players!$A$2:$A$35,0),MATCH($B$4,Players!$A$1:$Y$1,0))*C$4+INDEX(Zawodnicy[],MATCH($A30,Players!$A$2:$A$35,0),MATCH($B$5,Players!$A$1:$Y$1,0))*C$5+INDEX(Zawodnicy[],MATCH($A30,Players!$A$2:$A$35,0),MATCH($B$6,Players!$A$1:$Y$1,0))*C$6+INDEX(Zawodnicy[],MATCH($A30,Players!$A$2:$A$35,0),MATCH($B$7,Players!$A$1:$Y$1,0))*C$7+INDEX(Zawodnicy[],MATCH($A30,Players!$A$2:$A$35,0),MATCH($B$8,Players!$A$1:$Y$1,0))*C$8+INDEX(Zawodnicy[],MATCH($A30,Players!$A$2:$A$35,0),MATCH($B$9,Players!$A$1:$Y$1,0))*C$9+INDEX(Zawodnicy[],MATCH($A30,Players!$A$2:$A$35,0),MATCH($B$10,Players!$A$1:$Y$1,0))*C$10+INDEX(Zawodnicy[],MATCH($A30,Players!$A$2:$A$35,0),MATCH($B$11,Players!$A$1:$Y$1,0))*C$11+INDEX(Zawodnicy[],MATCH($A30,Players!$A$2:$A$35,0),MATCH($B$12,Players!$A$1:$Y$1,0))*C$12+INDEX(Zawodnicy[],MATCH($A30,Players!$A$2:$A$35,0),MATCH($B$13,Players!$A$1:$Y$1,0))*C$13,"-")</f>
        <v>49</v>
      </c>
      <c r="D30" s="38">
        <f>IFERROR(INDEX(Zawodnicy[],MATCH($A30,Players!$A$2:$A$35,0),MATCH($B$2,Players!$A$1:$Y$1,0))*D$2+INDEX(Zawodnicy[],MATCH($A30,Players!$A$2:$A$35,0),MATCH($B$3,Players!$A$1:$Y$1,0))*D$3+INDEX(Zawodnicy[],MATCH($A30,Players!$A$2:$A$35,0),MATCH($B$4,Players!$A$1:$Y$1,0))*D$4+INDEX(Zawodnicy[],MATCH($A30,Players!$A$2:$A$35,0),MATCH($B$5,Players!$A$1:$Y$1,0))*D$5+INDEX(Zawodnicy[],MATCH($A30,Players!$A$2:$A$35,0),MATCH($B$6,Players!$A$1:$Y$1,0))*D$6+INDEX(Zawodnicy[],MATCH($A30,Players!$A$2:$A$35,0),MATCH($B$7,Players!$A$1:$Y$1,0))*D$7+INDEX(Zawodnicy[],MATCH($A30,Players!$A$2:$A$35,0),MATCH($B$8,Players!$A$1:$Y$1,0))*D$8+INDEX(Zawodnicy[],MATCH($A30,Players!$A$2:$A$35,0),MATCH($B$9,Players!$A$1:$Y$1,0))*D$9+INDEX(Zawodnicy[],MATCH($A30,Players!$A$2:$A$35,0),MATCH($B$10,Players!$A$1:$Y$1,0))*D$10+INDEX(Zawodnicy[],MATCH($A30,Players!$A$2:$A$35,0),MATCH($B$11,Players!$A$1:$Y$1,0))*D$11+INDEX(Zawodnicy[],MATCH($A30,Players!$A$2:$A$35,0),MATCH($B$12,Players!$A$1:$Y$1,0))*D$12+INDEX(Zawodnicy[],MATCH($A30,Players!$A$2:$A$35,0),MATCH($B$13,Players!$A$1:$Y$1,0))*D$13,"-")</f>
        <v>67</v>
      </c>
      <c r="E30" s="38">
        <f>IFERROR(INDEX(Zawodnicy[],MATCH($A30,Players!$A$2:$A$35,0),MATCH($B$2,Players!$A$1:$Y$1,0))*E$2+INDEX(Zawodnicy[],MATCH($A30,Players!$A$2:$A$35,0),MATCH($B$3,Players!$A$1:$Y$1,0))*E$3+INDEX(Zawodnicy[],MATCH($A30,Players!$A$2:$A$35,0),MATCH($B$4,Players!$A$1:$Y$1,0))*E$4+INDEX(Zawodnicy[],MATCH($A30,Players!$A$2:$A$35,0),MATCH($B$5,Players!$A$1:$Y$1,0))*E$5+INDEX(Zawodnicy[],MATCH($A30,Players!$A$2:$A$35,0),MATCH($B$6,Players!$A$1:$Y$1,0))*E$6+INDEX(Zawodnicy[],MATCH($A30,Players!$A$2:$A$35,0),MATCH($B$7,Players!$A$1:$Y$1,0))*E$7+INDEX(Zawodnicy[],MATCH($A30,Players!$A$2:$A$35,0),MATCH($B$8,Players!$A$1:$Y$1,0))*E$8+INDEX(Zawodnicy[],MATCH($A30,Players!$A$2:$A$35,0),MATCH($B$9,Players!$A$1:$Y$1,0))*E$9+INDEX(Zawodnicy[],MATCH($A30,Players!$A$2:$A$35,0),MATCH($B$10,Players!$A$1:$Y$1,0))*E$10+INDEX(Zawodnicy[],MATCH($A30,Players!$A$2:$A$35,0),MATCH($B$11,Players!$A$1:$Y$1,0))*E$11+INDEX(Zawodnicy[],MATCH($A30,Players!$A$2:$A$35,0),MATCH($B$12,Players!$A$1:$Y$1,0))*E$12+INDEX(Zawodnicy[],MATCH($A30,Players!$A$2:$A$35,0),MATCH($B$13,Players!$A$1:$Y$1,0))*E$13,"-")</f>
        <v>70</v>
      </c>
      <c r="F30" s="38">
        <f>IFERROR(INDEX(Zawodnicy[],MATCH($A30,Players!$A$2:$A$35,0),MATCH($B$2,Players!$A$1:$Y$1,0))*F$2+INDEX(Zawodnicy[],MATCH($A30,Players!$A$2:$A$35,0),MATCH($B$3,Players!$A$1:$Y$1,0))*F$3+INDEX(Zawodnicy[],MATCH($A30,Players!$A$2:$A$35,0),MATCH($B$4,Players!$A$1:$Y$1,0))*F$4+INDEX(Zawodnicy[],MATCH($A30,Players!$A$2:$A$35,0),MATCH($B$5,Players!$A$1:$Y$1,0))*F$5+INDEX(Zawodnicy[],MATCH($A30,Players!$A$2:$A$35,0),MATCH($B$6,Players!$A$1:$Y$1,0))*F$6+INDEX(Zawodnicy[],MATCH($A30,Players!$A$2:$A$35,0),MATCH($B$7,Players!$A$1:$Y$1,0))*F$7+INDEX(Zawodnicy[],MATCH($A30,Players!$A$2:$A$35,0),MATCH($B$8,Players!$A$1:$Y$1,0))*F$8+INDEX(Zawodnicy[],MATCH($A30,Players!$A$2:$A$35,0),MATCH($B$9,Players!$A$1:$Y$1,0))*F$9+INDEX(Zawodnicy[],MATCH($A30,Players!$A$2:$A$35,0),MATCH($B$10,Players!$A$1:$Y$1,0))*F$10+INDEX(Zawodnicy[],MATCH($A30,Players!$A$2:$A$35,0),MATCH($B$11,Players!$A$1:$Y$1,0))*F$11+INDEX(Zawodnicy[],MATCH($A30,Players!$A$2:$A$35,0),MATCH($B$12,Players!$A$1:$Y$1,0))*F$12+INDEX(Zawodnicy[],MATCH($A30,Players!$A$2:$A$35,0),MATCH($B$13,Players!$A$1:$Y$1,0))*F$13,"-")</f>
        <v>68.5</v>
      </c>
      <c r="G30" s="38">
        <f>IFERROR(INDEX(Zawodnicy[],MATCH($A30,Players!$A$2:$A$35,0),MATCH($B$2,Players!$A$1:$Y$1,0))*G$2+INDEX(Zawodnicy[],MATCH($A30,Players!$A$2:$A$35,0),MATCH($B$3,Players!$A$1:$Y$1,0))*G$3+INDEX(Zawodnicy[],MATCH($A30,Players!$A$2:$A$35,0),MATCH($B$4,Players!$A$1:$Y$1,0))*G$4+INDEX(Zawodnicy[],MATCH($A30,Players!$A$2:$A$35,0),MATCH($B$5,Players!$A$1:$Y$1,0))*G$5+INDEX(Zawodnicy[],MATCH($A30,Players!$A$2:$A$35,0),MATCH($B$6,Players!$A$1:$Y$1,0))*G$6+INDEX(Zawodnicy[],MATCH($A30,Players!$A$2:$A$35,0),MATCH($B$7,Players!$A$1:$Y$1,0))*G$7+INDEX(Zawodnicy[],MATCH($A30,Players!$A$2:$A$35,0),MATCH($B$8,Players!$A$1:$Y$1,0))*G$8+INDEX(Zawodnicy[],MATCH($A30,Players!$A$2:$A$35,0),MATCH($B$9,Players!$A$1:$Y$1,0))*G$9+INDEX(Zawodnicy[],MATCH($A30,Players!$A$2:$A$35,0),MATCH($B$10,Players!$A$1:$Y$1,0))*G$10+INDEX(Zawodnicy[],MATCH($A30,Players!$A$2:$A$35,0),MATCH($B$11,Players!$A$1:$Y$1,0))*G$11+INDEX(Zawodnicy[],MATCH($A30,Players!$A$2:$A$35,0),MATCH($B$12,Players!$A$1:$Y$1,0))*G$12+INDEX(Zawodnicy[],MATCH($A30,Players!$A$2:$A$35,0),MATCH($B$13,Players!$A$1:$Y$1,0))*G$13,"-")</f>
        <v>68</v>
      </c>
      <c r="H30" s="38">
        <f>IFERROR(INDEX(Zawodnicy[],MATCH($A30,Players!$A$2:$A$35,0),MATCH($B$2,Players!$A$1:$Y$1,0))*H$2+INDEX(Zawodnicy[],MATCH($A30,Players!$A$2:$A$35,0),MATCH($B$3,Players!$A$1:$Y$1,0))*H$3+INDEX(Zawodnicy[],MATCH($A30,Players!$A$2:$A$35,0),MATCH($B$4,Players!$A$1:$Y$1,0))*H$4+INDEX(Zawodnicy[],MATCH($A30,Players!$A$2:$A$35,0),MATCH($B$5,Players!$A$1:$Y$1,0))*H$5+INDEX(Zawodnicy[],MATCH($A30,Players!$A$2:$A$35,0),MATCH($B$6,Players!$A$1:$Y$1,0))*H$6+INDEX(Zawodnicy[],MATCH($A30,Players!$A$2:$A$35,0),MATCH($B$7,Players!$A$1:$Y$1,0))*H$7+INDEX(Zawodnicy[],MATCH($A30,Players!$A$2:$A$35,0),MATCH($B$8,Players!$A$1:$Y$1,0))*H$8+INDEX(Zawodnicy[],MATCH($A30,Players!$A$2:$A$35,0),MATCH($B$9,Players!$A$1:$Y$1,0))*H$9+INDEX(Zawodnicy[],MATCH($A30,Players!$A$2:$A$35,0),MATCH($B$10,Players!$A$1:$Y$1,0))*H$10+INDEX(Zawodnicy[],MATCH($A30,Players!$A$2:$A$35,0),MATCH($B$11,Players!$A$1:$Y$1,0))*H$11+INDEX(Zawodnicy[],MATCH($A30,Players!$A$2:$A$35,0),MATCH($B$12,Players!$A$1:$Y$1,0))*H$12+INDEX(Zawodnicy[],MATCH($A30,Players!$A$2:$A$35,0),MATCH($B$13,Players!$A$1:$Y$1,0))*H$13,"-")</f>
        <v>71</v>
      </c>
      <c r="I30" s="38">
        <f>IFERROR(INDEX(Zawodnicy[],MATCH($A30,Players!$A$2:$A$35,0),MATCH($B$2,Players!$A$1:$Y$1,0))*I$2+INDEX(Zawodnicy[],MATCH($A30,Players!$A$2:$A$35,0),MATCH($B$3,Players!$A$1:$Y$1,0))*I$3+INDEX(Zawodnicy[],MATCH($A30,Players!$A$2:$A$35,0),MATCH($B$4,Players!$A$1:$Y$1,0))*I$4+INDEX(Zawodnicy[],MATCH($A30,Players!$A$2:$A$35,0),MATCH($B$5,Players!$A$1:$Y$1,0))*I$5+INDEX(Zawodnicy[],MATCH($A30,Players!$A$2:$A$35,0),MATCH($B$6,Players!$A$1:$Y$1,0))*I$6+INDEX(Zawodnicy[],MATCH($A30,Players!$A$2:$A$35,0),MATCH($B$7,Players!$A$1:$Y$1,0))*I$7+INDEX(Zawodnicy[],MATCH($A30,Players!$A$2:$A$35,0),MATCH($B$8,Players!$A$1:$Y$1,0))*I$8+INDEX(Zawodnicy[],MATCH($A30,Players!$A$2:$A$35,0),MATCH($B$9,Players!$A$1:$Y$1,0))*I$9+INDEX(Zawodnicy[],MATCH($A30,Players!$A$2:$A$35,0),MATCH($B$10,Players!$A$1:$Y$1,0))*I$10+INDEX(Zawodnicy[],MATCH($A30,Players!$A$2:$A$35,0),MATCH($B$11,Players!$A$1:$Y$1,0))*I$11+INDEX(Zawodnicy[],MATCH($A30,Players!$A$2:$A$35,0),MATCH($B$12,Players!$A$1:$Y$1,0))*I$12+INDEX(Zawodnicy[],MATCH($A30,Players!$A$2:$A$35,0),MATCH($B$13,Players!$A$1:$Y$1,0))*I$13,"-")</f>
        <v>71.5</v>
      </c>
      <c r="J30" s="38">
        <f>IFERROR(INDEX(Zawodnicy[],MATCH($A30,Players!$A$2:$A$35,0),MATCH($B$2,Players!$A$1:$Y$1,0))*J$2+INDEX(Zawodnicy[],MATCH($A30,Players!$A$2:$A$35,0),MATCH($B$3,Players!$A$1:$Y$1,0))*J$3+INDEX(Zawodnicy[],MATCH($A30,Players!$A$2:$A$35,0),MATCH($B$4,Players!$A$1:$Y$1,0))*J$4+INDEX(Zawodnicy[],MATCH($A30,Players!$A$2:$A$35,0),MATCH($B$5,Players!$A$1:$Y$1,0))*J$5+INDEX(Zawodnicy[],MATCH($A30,Players!$A$2:$A$35,0),MATCH($B$6,Players!$A$1:$Y$1,0))*J$6+INDEX(Zawodnicy[],MATCH($A30,Players!$A$2:$A$35,0),MATCH($B$7,Players!$A$1:$Y$1,0))*J$7+INDEX(Zawodnicy[],MATCH($A30,Players!$A$2:$A$35,0),MATCH($B$8,Players!$A$1:$Y$1,0))*J$8+INDEX(Zawodnicy[],MATCH($A30,Players!$A$2:$A$35,0),MATCH($B$9,Players!$A$1:$Y$1,0))*J$9+INDEX(Zawodnicy[],MATCH($A30,Players!$A$2:$A$35,0),MATCH($B$10,Players!$A$1:$Y$1,0))*J$10+INDEX(Zawodnicy[],MATCH($A30,Players!$A$2:$A$35,0),MATCH($B$11,Players!$A$1:$Y$1,0))*J$11+INDEX(Zawodnicy[],MATCH($A30,Players!$A$2:$A$35,0),MATCH($B$12,Players!$A$1:$Y$1,0))*J$12+INDEX(Zawodnicy[],MATCH($A30,Players!$A$2:$A$35,0),MATCH($B$13,Players!$A$1:$Y$1,0))*J$13,"-")</f>
        <v>71.5</v>
      </c>
      <c r="K30" s="38">
        <f>IFERROR(INDEX(Zawodnicy[],MATCH($A30,Players!$A$2:$A$35,0),MATCH($B$2,Players!$A$1:$Y$1,0))*K$2+INDEX(Zawodnicy[],MATCH($A30,Players!$A$2:$A$35,0),MATCH($B$3,Players!$A$1:$Y$1,0))*K$3+INDEX(Zawodnicy[],MATCH($A30,Players!$A$2:$A$35,0),MATCH($B$4,Players!$A$1:$Y$1,0))*K$4+INDEX(Zawodnicy[],MATCH($A30,Players!$A$2:$A$35,0),MATCH($B$5,Players!$A$1:$Y$1,0))*K$5+INDEX(Zawodnicy[],MATCH($A30,Players!$A$2:$A$35,0),MATCH($B$6,Players!$A$1:$Y$1,0))*K$6+INDEX(Zawodnicy[],MATCH($A30,Players!$A$2:$A$35,0),MATCH($B$7,Players!$A$1:$Y$1,0))*K$7+INDEX(Zawodnicy[],MATCH($A30,Players!$A$2:$A$35,0),MATCH($B$8,Players!$A$1:$Y$1,0))*K$8+INDEX(Zawodnicy[],MATCH($A30,Players!$A$2:$A$35,0),MATCH($B$9,Players!$A$1:$Y$1,0))*K$9+INDEX(Zawodnicy[],MATCH($A30,Players!$A$2:$A$35,0),MATCH($B$10,Players!$A$1:$Y$1,0))*K$10+INDEX(Zawodnicy[],MATCH($A30,Players!$A$2:$A$35,0),MATCH($B$11,Players!$A$1:$Y$1,0))*K$11+INDEX(Zawodnicy[],MATCH($A30,Players!$A$2:$A$35,0),MATCH($B$12,Players!$A$1:$Y$1,0))*K$12+INDEX(Zawodnicy[],MATCH($A30,Players!$A$2:$A$35,0),MATCH($B$13,Players!$A$1:$Y$1,0))*K$13,"-")</f>
        <v>72</v>
      </c>
    </row>
    <row r="31" spans="1:11" x14ac:dyDescent="0.25">
      <c r="A31" s="63">
        <f>PozycjeŚr[[#This Row],[Numer]]</f>
        <v>15</v>
      </c>
      <c r="B31" s="3" t="str">
        <f>IFERROR(VLOOKUP(PozycjeMM[[#This Row],[Numer]],Zawodnicy[[Number]:[Player name]],2,FALSE),"-")</f>
        <v>Fausto Pelayo</v>
      </c>
      <c r="C31" s="38">
        <f>IFERROR(INDEX(Zawodnicy[],MATCH($A31,Players!$A$2:$A$35,0),MATCH($B$2,Players!$A$1:$Y$1,0))*C$2+INDEX(Zawodnicy[],MATCH($A31,Players!$A$2:$A$35,0),MATCH($B$3,Players!$A$1:$Y$1,0))*C$3+INDEX(Zawodnicy[],MATCH($A31,Players!$A$2:$A$35,0),MATCH($B$4,Players!$A$1:$Y$1,0))*C$4+INDEX(Zawodnicy[],MATCH($A31,Players!$A$2:$A$35,0),MATCH($B$5,Players!$A$1:$Y$1,0))*C$5+INDEX(Zawodnicy[],MATCH($A31,Players!$A$2:$A$35,0),MATCH($B$6,Players!$A$1:$Y$1,0))*C$6+INDEX(Zawodnicy[],MATCH($A31,Players!$A$2:$A$35,0),MATCH($B$7,Players!$A$1:$Y$1,0))*C$7+INDEX(Zawodnicy[],MATCH($A31,Players!$A$2:$A$35,0),MATCH($B$8,Players!$A$1:$Y$1,0))*C$8+INDEX(Zawodnicy[],MATCH($A31,Players!$A$2:$A$35,0),MATCH($B$9,Players!$A$1:$Y$1,0))*C$9+INDEX(Zawodnicy[],MATCH($A31,Players!$A$2:$A$35,0),MATCH($B$10,Players!$A$1:$Y$1,0))*C$10+INDEX(Zawodnicy[],MATCH($A31,Players!$A$2:$A$35,0),MATCH($B$11,Players!$A$1:$Y$1,0))*C$11+INDEX(Zawodnicy[],MATCH($A31,Players!$A$2:$A$35,0),MATCH($B$12,Players!$A$1:$Y$1,0))*C$12+INDEX(Zawodnicy[],MATCH($A31,Players!$A$2:$A$35,0),MATCH($B$13,Players!$A$1:$Y$1,0))*C$13,"-")</f>
        <v>31.5</v>
      </c>
      <c r="D31" s="38">
        <f>IFERROR(INDEX(Zawodnicy[],MATCH($A31,Players!$A$2:$A$35,0),MATCH($B$2,Players!$A$1:$Y$1,0))*D$2+INDEX(Zawodnicy[],MATCH($A31,Players!$A$2:$A$35,0),MATCH($B$3,Players!$A$1:$Y$1,0))*D$3+INDEX(Zawodnicy[],MATCH($A31,Players!$A$2:$A$35,0),MATCH($B$4,Players!$A$1:$Y$1,0))*D$4+INDEX(Zawodnicy[],MATCH($A31,Players!$A$2:$A$35,0),MATCH($B$5,Players!$A$1:$Y$1,0))*D$5+INDEX(Zawodnicy[],MATCH($A31,Players!$A$2:$A$35,0),MATCH($B$6,Players!$A$1:$Y$1,0))*D$6+INDEX(Zawodnicy[],MATCH($A31,Players!$A$2:$A$35,0),MATCH($B$7,Players!$A$1:$Y$1,0))*D$7+INDEX(Zawodnicy[],MATCH($A31,Players!$A$2:$A$35,0),MATCH($B$8,Players!$A$1:$Y$1,0))*D$8+INDEX(Zawodnicy[],MATCH($A31,Players!$A$2:$A$35,0),MATCH($B$9,Players!$A$1:$Y$1,0))*D$9+INDEX(Zawodnicy[],MATCH($A31,Players!$A$2:$A$35,0),MATCH($B$10,Players!$A$1:$Y$1,0))*D$10+INDEX(Zawodnicy[],MATCH($A31,Players!$A$2:$A$35,0),MATCH($B$11,Players!$A$1:$Y$1,0))*D$11+INDEX(Zawodnicy[],MATCH($A31,Players!$A$2:$A$35,0),MATCH($B$12,Players!$A$1:$Y$1,0))*D$12+INDEX(Zawodnicy[],MATCH($A31,Players!$A$2:$A$35,0),MATCH($B$13,Players!$A$1:$Y$1,0))*D$13,"-")</f>
        <v>67</v>
      </c>
      <c r="E31" s="38">
        <f>IFERROR(INDEX(Zawodnicy[],MATCH($A31,Players!$A$2:$A$35,0),MATCH($B$2,Players!$A$1:$Y$1,0))*E$2+INDEX(Zawodnicy[],MATCH($A31,Players!$A$2:$A$35,0),MATCH($B$3,Players!$A$1:$Y$1,0))*E$3+INDEX(Zawodnicy[],MATCH($A31,Players!$A$2:$A$35,0),MATCH($B$4,Players!$A$1:$Y$1,0))*E$4+INDEX(Zawodnicy[],MATCH($A31,Players!$A$2:$A$35,0),MATCH($B$5,Players!$A$1:$Y$1,0))*E$5+INDEX(Zawodnicy[],MATCH($A31,Players!$A$2:$A$35,0),MATCH($B$6,Players!$A$1:$Y$1,0))*E$6+INDEX(Zawodnicy[],MATCH($A31,Players!$A$2:$A$35,0),MATCH($B$7,Players!$A$1:$Y$1,0))*E$7+INDEX(Zawodnicy[],MATCH($A31,Players!$A$2:$A$35,0),MATCH($B$8,Players!$A$1:$Y$1,0))*E$8+INDEX(Zawodnicy[],MATCH($A31,Players!$A$2:$A$35,0),MATCH($B$9,Players!$A$1:$Y$1,0))*E$9+INDEX(Zawodnicy[],MATCH($A31,Players!$A$2:$A$35,0),MATCH($B$10,Players!$A$1:$Y$1,0))*E$10+INDEX(Zawodnicy[],MATCH($A31,Players!$A$2:$A$35,0),MATCH($B$11,Players!$A$1:$Y$1,0))*E$11+INDEX(Zawodnicy[],MATCH($A31,Players!$A$2:$A$35,0),MATCH($B$12,Players!$A$1:$Y$1,0))*E$12+INDEX(Zawodnicy[],MATCH($A31,Players!$A$2:$A$35,0),MATCH($B$13,Players!$A$1:$Y$1,0))*E$13,"-")</f>
        <v>67</v>
      </c>
      <c r="F31" s="38">
        <f>IFERROR(INDEX(Zawodnicy[],MATCH($A31,Players!$A$2:$A$35,0),MATCH($B$2,Players!$A$1:$Y$1,0))*F$2+INDEX(Zawodnicy[],MATCH($A31,Players!$A$2:$A$35,0),MATCH($B$3,Players!$A$1:$Y$1,0))*F$3+INDEX(Zawodnicy[],MATCH($A31,Players!$A$2:$A$35,0),MATCH($B$4,Players!$A$1:$Y$1,0))*F$4+INDEX(Zawodnicy[],MATCH($A31,Players!$A$2:$A$35,0),MATCH($B$5,Players!$A$1:$Y$1,0))*F$5+INDEX(Zawodnicy[],MATCH($A31,Players!$A$2:$A$35,0),MATCH($B$6,Players!$A$1:$Y$1,0))*F$6+INDEX(Zawodnicy[],MATCH($A31,Players!$A$2:$A$35,0),MATCH($B$7,Players!$A$1:$Y$1,0))*F$7+INDEX(Zawodnicy[],MATCH($A31,Players!$A$2:$A$35,0),MATCH($B$8,Players!$A$1:$Y$1,0))*F$8+INDEX(Zawodnicy[],MATCH($A31,Players!$A$2:$A$35,0),MATCH($B$9,Players!$A$1:$Y$1,0))*F$9+INDEX(Zawodnicy[],MATCH($A31,Players!$A$2:$A$35,0),MATCH($B$10,Players!$A$1:$Y$1,0))*F$10+INDEX(Zawodnicy[],MATCH($A31,Players!$A$2:$A$35,0),MATCH($B$11,Players!$A$1:$Y$1,0))*F$11+INDEX(Zawodnicy[],MATCH($A31,Players!$A$2:$A$35,0),MATCH($B$12,Players!$A$1:$Y$1,0))*F$12+INDEX(Zawodnicy[],MATCH($A31,Players!$A$2:$A$35,0),MATCH($B$13,Players!$A$1:$Y$1,0))*F$13,"-")</f>
        <v>76.5</v>
      </c>
      <c r="G31" s="38">
        <f>IFERROR(INDEX(Zawodnicy[],MATCH($A31,Players!$A$2:$A$35,0),MATCH($B$2,Players!$A$1:$Y$1,0))*G$2+INDEX(Zawodnicy[],MATCH($A31,Players!$A$2:$A$35,0),MATCH($B$3,Players!$A$1:$Y$1,0))*G$3+INDEX(Zawodnicy[],MATCH($A31,Players!$A$2:$A$35,0),MATCH($B$4,Players!$A$1:$Y$1,0))*G$4+INDEX(Zawodnicy[],MATCH($A31,Players!$A$2:$A$35,0),MATCH($B$5,Players!$A$1:$Y$1,0))*G$5+INDEX(Zawodnicy[],MATCH($A31,Players!$A$2:$A$35,0),MATCH($B$6,Players!$A$1:$Y$1,0))*G$6+INDEX(Zawodnicy[],MATCH($A31,Players!$A$2:$A$35,0),MATCH($B$7,Players!$A$1:$Y$1,0))*G$7+INDEX(Zawodnicy[],MATCH($A31,Players!$A$2:$A$35,0),MATCH($B$8,Players!$A$1:$Y$1,0))*G$8+INDEX(Zawodnicy[],MATCH($A31,Players!$A$2:$A$35,0),MATCH($B$9,Players!$A$1:$Y$1,0))*G$9+INDEX(Zawodnicy[],MATCH($A31,Players!$A$2:$A$35,0),MATCH($B$10,Players!$A$1:$Y$1,0))*G$10+INDEX(Zawodnicy[],MATCH($A31,Players!$A$2:$A$35,0),MATCH($B$11,Players!$A$1:$Y$1,0))*G$11+INDEX(Zawodnicy[],MATCH($A31,Players!$A$2:$A$35,0),MATCH($B$12,Players!$A$1:$Y$1,0))*G$12+INDEX(Zawodnicy[],MATCH($A31,Players!$A$2:$A$35,0),MATCH($B$13,Players!$A$1:$Y$1,0))*G$13,"-")</f>
        <v>75</v>
      </c>
      <c r="H31" s="38">
        <f>IFERROR(INDEX(Zawodnicy[],MATCH($A31,Players!$A$2:$A$35,0),MATCH($B$2,Players!$A$1:$Y$1,0))*H$2+INDEX(Zawodnicy[],MATCH($A31,Players!$A$2:$A$35,0),MATCH($B$3,Players!$A$1:$Y$1,0))*H$3+INDEX(Zawodnicy[],MATCH($A31,Players!$A$2:$A$35,0),MATCH($B$4,Players!$A$1:$Y$1,0))*H$4+INDEX(Zawodnicy[],MATCH($A31,Players!$A$2:$A$35,0),MATCH($B$5,Players!$A$1:$Y$1,0))*H$5+INDEX(Zawodnicy[],MATCH($A31,Players!$A$2:$A$35,0),MATCH($B$6,Players!$A$1:$Y$1,0))*H$6+INDEX(Zawodnicy[],MATCH($A31,Players!$A$2:$A$35,0),MATCH($B$7,Players!$A$1:$Y$1,0))*H$7+INDEX(Zawodnicy[],MATCH($A31,Players!$A$2:$A$35,0),MATCH($B$8,Players!$A$1:$Y$1,0))*H$8+INDEX(Zawodnicy[],MATCH($A31,Players!$A$2:$A$35,0),MATCH($B$9,Players!$A$1:$Y$1,0))*H$9+INDEX(Zawodnicy[],MATCH($A31,Players!$A$2:$A$35,0),MATCH($B$10,Players!$A$1:$Y$1,0))*H$10+INDEX(Zawodnicy[],MATCH($A31,Players!$A$2:$A$35,0),MATCH($B$11,Players!$A$1:$Y$1,0))*H$11+INDEX(Zawodnicy[],MATCH($A31,Players!$A$2:$A$35,0),MATCH($B$12,Players!$A$1:$Y$1,0))*H$12+INDEX(Zawodnicy[],MATCH($A31,Players!$A$2:$A$35,0),MATCH($B$13,Players!$A$1:$Y$1,0))*H$13,"-")</f>
        <v>72.5</v>
      </c>
      <c r="I31" s="38">
        <f>IFERROR(INDEX(Zawodnicy[],MATCH($A31,Players!$A$2:$A$35,0),MATCH($B$2,Players!$A$1:$Y$1,0))*I$2+INDEX(Zawodnicy[],MATCH($A31,Players!$A$2:$A$35,0),MATCH($B$3,Players!$A$1:$Y$1,0))*I$3+INDEX(Zawodnicy[],MATCH($A31,Players!$A$2:$A$35,0),MATCH($B$4,Players!$A$1:$Y$1,0))*I$4+INDEX(Zawodnicy[],MATCH($A31,Players!$A$2:$A$35,0),MATCH($B$5,Players!$A$1:$Y$1,0))*I$5+INDEX(Zawodnicy[],MATCH($A31,Players!$A$2:$A$35,0),MATCH($B$6,Players!$A$1:$Y$1,0))*I$6+INDEX(Zawodnicy[],MATCH($A31,Players!$A$2:$A$35,0),MATCH($B$7,Players!$A$1:$Y$1,0))*I$7+INDEX(Zawodnicy[],MATCH($A31,Players!$A$2:$A$35,0),MATCH($B$8,Players!$A$1:$Y$1,0))*I$8+INDEX(Zawodnicy[],MATCH($A31,Players!$A$2:$A$35,0),MATCH($B$9,Players!$A$1:$Y$1,0))*I$9+INDEX(Zawodnicy[],MATCH($A31,Players!$A$2:$A$35,0),MATCH($B$10,Players!$A$1:$Y$1,0))*I$10+INDEX(Zawodnicy[],MATCH($A31,Players!$A$2:$A$35,0),MATCH($B$11,Players!$A$1:$Y$1,0))*I$11+INDEX(Zawodnicy[],MATCH($A31,Players!$A$2:$A$35,0),MATCH($B$12,Players!$A$1:$Y$1,0))*I$12+INDEX(Zawodnicy[],MATCH($A31,Players!$A$2:$A$35,0),MATCH($B$13,Players!$A$1:$Y$1,0))*I$13,"-")</f>
        <v>75.5</v>
      </c>
      <c r="J31" s="38">
        <f>IFERROR(INDEX(Zawodnicy[],MATCH($A31,Players!$A$2:$A$35,0),MATCH($B$2,Players!$A$1:$Y$1,0))*J$2+INDEX(Zawodnicy[],MATCH($A31,Players!$A$2:$A$35,0),MATCH($B$3,Players!$A$1:$Y$1,0))*J$3+INDEX(Zawodnicy[],MATCH($A31,Players!$A$2:$A$35,0),MATCH($B$4,Players!$A$1:$Y$1,0))*J$4+INDEX(Zawodnicy[],MATCH($A31,Players!$A$2:$A$35,0),MATCH($B$5,Players!$A$1:$Y$1,0))*J$5+INDEX(Zawodnicy[],MATCH($A31,Players!$A$2:$A$35,0),MATCH($B$6,Players!$A$1:$Y$1,0))*J$6+INDEX(Zawodnicy[],MATCH($A31,Players!$A$2:$A$35,0),MATCH($B$7,Players!$A$1:$Y$1,0))*J$7+INDEX(Zawodnicy[],MATCH($A31,Players!$A$2:$A$35,0),MATCH($B$8,Players!$A$1:$Y$1,0))*J$8+INDEX(Zawodnicy[],MATCH($A31,Players!$A$2:$A$35,0),MATCH($B$9,Players!$A$1:$Y$1,0))*J$9+INDEX(Zawodnicy[],MATCH($A31,Players!$A$2:$A$35,0),MATCH($B$10,Players!$A$1:$Y$1,0))*J$10+INDEX(Zawodnicy[],MATCH($A31,Players!$A$2:$A$35,0),MATCH($B$11,Players!$A$1:$Y$1,0))*J$11+INDEX(Zawodnicy[],MATCH($A31,Players!$A$2:$A$35,0),MATCH($B$12,Players!$A$1:$Y$1,0))*J$12+INDEX(Zawodnicy[],MATCH($A31,Players!$A$2:$A$35,0),MATCH($B$13,Players!$A$1:$Y$1,0))*J$13,"-")</f>
        <v>64</v>
      </c>
      <c r="K31" s="38">
        <f>IFERROR(INDEX(Zawodnicy[],MATCH($A31,Players!$A$2:$A$35,0),MATCH($B$2,Players!$A$1:$Y$1,0))*K$2+INDEX(Zawodnicy[],MATCH($A31,Players!$A$2:$A$35,0),MATCH($B$3,Players!$A$1:$Y$1,0))*K$3+INDEX(Zawodnicy[],MATCH($A31,Players!$A$2:$A$35,0),MATCH($B$4,Players!$A$1:$Y$1,0))*K$4+INDEX(Zawodnicy[],MATCH($A31,Players!$A$2:$A$35,0),MATCH($B$5,Players!$A$1:$Y$1,0))*K$5+INDEX(Zawodnicy[],MATCH($A31,Players!$A$2:$A$35,0),MATCH($B$6,Players!$A$1:$Y$1,0))*K$6+INDEX(Zawodnicy[],MATCH($A31,Players!$A$2:$A$35,0),MATCH($B$7,Players!$A$1:$Y$1,0))*K$7+INDEX(Zawodnicy[],MATCH($A31,Players!$A$2:$A$35,0),MATCH($B$8,Players!$A$1:$Y$1,0))*K$8+INDEX(Zawodnicy[],MATCH($A31,Players!$A$2:$A$35,0),MATCH($B$9,Players!$A$1:$Y$1,0))*K$9+INDEX(Zawodnicy[],MATCH($A31,Players!$A$2:$A$35,0),MATCH($B$10,Players!$A$1:$Y$1,0))*K$10+INDEX(Zawodnicy[],MATCH($A31,Players!$A$2:$A$35,0),MATCH($B$11,Players!$A$1:$Y$1,0))*K$11+INDEX(Zawodnicy[],MATCH($A31,Players!$A$2:$A$35,0),MATCH($B$12,Players!$A$1:$Y$1,0))*K$12+INDEX(Zawodnicy[],MATCH($A31,Players!$A$2:$A$35,0),MATCH($B$13,Players!$A$1:$Y$1,0))*K$13,"-")</f>
        <v>60.5</v>
      </c>
    </row>
    <row r="32" spans="1:11" x14ac:dyDescent="0.25">
      <c r="A32" s="63">
        <f>PozycjeŚr[[#This Row],[Numer]]</f>
        <v>17</v>
      </c>
      <c r="B32" s="3" t="str">
        <f>IFERROR(VLOOKUP(PozycjeMM[[#This Row],[Numer]],Zawodnicy[[Number]:[Player name]],2,FALSE),"-")</f>
        <v>Hieronim Wejta</v>
      </c>
      <c r="C32" s="38">
        <f>IFERROR(INDEX(Zawodnicy[],MATCH($A32,Players!$A$2:$A$35,0),MATCH($B$2,Players!$A$1:$Y$1,0))*C$2+INDEX(Zawodnicy[],MATCH($A32,Players!$A$2:$A$35,0),MATCH($B$3,Players!$A$1:$Y$1,0))*C$3+INDEX(Zawodnicy[],MATCH($A32,Players!$A$2:$A$35,0),MATCH($B$4,Players!$A$1:$Y$1,0))*C$4+INDEX(Zawodnicy[],MATCH($A32,Players!$A$2:$A$35,0),MATCH($B$5,Players!$A$1:$Y$1,0))*C$5+INDEX(Zawodnicy[],MATCH($A32,Players!$A$2:$A$35,0),MATCH($B$6,Players!$A$1:$Y$1,0))*C$6+INDEX(Zawodnicy[],MATCH($A32,Players!$A$2:$A$35,0),MATCH($B$7,Players!$A$1:$Y$1,0))*C$7+INDEX(Zawodnicy[],MATCH($A32,Players!$A$2:$A$35,0),MATCH($B$8,Players!$A$1:$Y$1,0))*C$8+INDEX(Zawodnicy[],MATCH($A32,Players!$A$2:$A$35,0),MATCH($B$9,Players!$A$1:$Y$1,0))*C$9+INDEX(Zawodnicy[],MATCH($A32,Players!$A$2:$A$35,0),MATCH($B$10,Players!$A$1:$Y$1,0))*C$10+INDEX(Zawodnicy[],MATCH($A32,Players!$A$2:$A$35,0),MATCH($B$11,Players!$A$1:$Y$1,0))*C$11+INDEX(Zawodnicy[],MATCH($A32,Players!$A$2:$A$35,0),MATCH($B$12,Players!$A$1:$Y$1,0))*C$12+INDEX(Zawodnicy[],MATCH($A32,Players!$A$2:$A$35,0),MATCH($B$13,Players!$A$1:$Y$1,0))*C$13,"-")</f>
        <v>30</v>
      </c>
      <c r="D32" s="38">
        <f>IFERROR(INDEX(Zawodnicy[],MATCH($A32,Players!$A$2:$A$35,0),MATCH($B$2,Players!$A$1:$Y$1,0))*D$2+INDEX(Zawodnicy[],MATCH($A32,Players!$A$2:$A$35,0),MATCH($B$3,Players!$A$1:$Y$1,0))*D$3+INDEX(Zawodnicy[],MATCH($A32,Players!$A$2:$A$35,0),MATCH($B$4,Players!$A$1:$Y$1,0))*D$4+INDEX(Zawodnicy[],MATCH($A32,Players!$A$2:$A$35,0),MATCH($B$5,Players!$A$1:$Y$1,0))*D$5+INDEX(Zawodnicy[],MATCH($A32,Players!$A$2:$A$35,0),MATCH($B$6,Players!$A$1:$Y$1,0))*D$6+INDEX(Zawodnicy[],MATCH($A32,Players!$A$2:$A$35,0),MATCH($B$7,Players!$A$1:$Y$1,0))*D$7+INDEX(Zawodnicy[],MATCH($A32,Players!$A$2:$A$35,0),MATCH($B$8,Players!$A$1:$Y$1,0))*D$8+INDEX(Zawodnicy[],MATCH($A32,Players!$A$2:$A$35,0),MATCH($B$9,Players!$A$1:$Y$1,0))*D$9+INDEX(Zawodnicy[],MATCH($A32,Players!$A$2:$A$35,0),MATCH($B$10,Players!$A$1:$Y$1,0))*D$10+INDEX(Zawodnicy[],MATCH($A32,Players!$A$2:$A$35,0),MATCH($B$11,Players!$A$1:$Y$1,0))*D$11+INDEX(Zawodnicy[],MATCH($A32,Players!$A$2:$A$35,0),MATCH($B$12,Players!$A$1:$Y$1,0))*D$12+INDEX(Zawodnicy[],MATCH($A32,Players!$A$2:$A$35,0),MATCH($B$13,Players!$A$1:$Y$1,0))*D$13,"-")</f>
        <v>69</v>
      </c>
      <c r="E32" s="38">
        <f>IFERROR(INDEX(Zawodnicy[],MATCH($A32,Players!$A$2:$A$35,0),MATCH($B$2,Players!$A$1:$Y$1,0))*E$2+INDEX(Zawodnicy[],MATCH($A32,Players!$A$2:$A$35,0),MATCH($B$3,Players!$A$1:$Y$1,0))*E$3+INDEX(Zawodnicy[],MATCH($A32,Players!$A$2:$A$35,0),MATCH($B$4,Players!$A$1:$Y$1,0))*E$4+INDEX(Zawodnicy[],MATCH($A32,Players!$A$2:$A$35,0),MATCH($B$5,Players!$A$1:$Y$1,0))*E$5+INDEX(Zawodnicy[],MATCH($A32,Players!$A$2:$A$35,0),MATCH($B$6,Players!$A$1:$Y$1,0))*E$6+INDEX(Zawodnicy[],MATCH($A32,Players!$A$2:$A$35,0),MATCH($B$7,Players!$A$1:$Y$1,0))*E$7+INDEX(Zawodnicy[],MATCH($A32,Players!$A$2:$A$35,0),MATCH($B$8,Players!$A$1:$Y$1,0))*E$8+INDEX(Zawodnicy[],MATCH($A32,Players!$A$2:$A$35,0),MATCH($B$9,Players!$A$1:$Y$1,0))*E$9+INDEX(Zawodnicy[],MATCH($A32,Players!$A$2:$A$35,0),MATCH($B$10,Players!$A$1:$Y$1,0))*E$10+INDEX(Zawodnicy[],MATCH($A32,Players!$A$2:$A$35,0),MATCH($B$11,Players!$A$1:$Y$1,0))*E$11+INDEX(Zawodnicy[],MATCH($A32,Players!$A$2:$A$35,0),MATCH($B$12,Players!$A$1:$Y$1,0))*E$12+INDEX(Zawodnicy[],MATCH($A32,Players!$A$2:$A$35,0),MATCH($B$13,Players!$A$1:$Y$1,0))*E$13,"-")</f>
        <v>67</v>
      </c>
      <c r="F32" s="38">
        <f>IFERROR(INDEX(Zawodnicy[],MATCH($A32,Players!$A$2:$A$35,0),MATCH($B$2,Players!$A$1:$Y$1,0))*F$2+INDEX(Zawodnicy[],MATCH($A32,Players!$A$2:$A$35,0),MATCH($B$3,Players!$A$1:$Y$1,0))*F$3+INDEX(Zawodnicy[],MATCH($A32,Players!$A$2:$A$35,0),MATCH($B$4,Players!$A$1:$Y$1,0))*F$4+INDEX(Zawodnicy[],MATCH($A32,Players!$A$2:$A$35,0),MATCH($B$5,Players!$A$1:$Y$1,0))*F$5+INDEX(Zawodnicy[],MATCH($A32,Players!$A$2:$A$35,0),MATCH($B$6,Players!$A$1:$Y$1,0))*F$6+INDEX(Zawodnicy[],MATCH($A32,Players!$A$2:$A$35,0),MATCH($B$7,Players!$A$1:$Y$1,0))*F$7+INDEX(Zawodnicy[],MATCH($A32,Players!$A$2:$A$35,0),MATCH($B$8,Players!$A$1:$Y$1,0))*F$8+INDEX(Zawodnicy[],MATCH($A32,Players!$A$2:$A$35,0),MATCH($B$9,Players!$A$1:$Y$1,0))*F$9+INDEX(Zawodnicy[],MATCH($A32,Players!$A$2:$A$35,0),MATCH($B$10,Players!$A$1:$Y$1,0))*F$10+INDEX(Zawodnicy[],MATCH($A32,Players!$A$2:$A$35,0),MATCH($B$11,Players!$A$1:$Y$1,0))*F$11+INDEX(Zawodnicy[],MATCH($A32,Players!$A$2:$A$35,0),MATCH($B$12,Players!$A$1:$Y$1,0))*F$12+INDEX(Zawodnicy[],MATCH($A32,Players!$A$2:$A$35,0),MATCH($B$13,Players!$A$1:$Y$1,0))*F$13,"-")</f>
        <v>66.5</v>
      </c>
      <c r="G32" s="38">
        <f>IFERROR(INDEX(Zawodnicy[],MATCH($A32,Players!$A$2:$A$35,0),MATCH($B$2,Players!$A$1:$Y$1,0))*G$2+INDEX(Zawodnicy[],MATCH($A32,Players!$A$2:$A$35,0),MATCH($B$3,Players!$A$1:$Y$1,0))*G$3+INDEX(Zawodnicy[],MATCH($A32,Players!$A$2:$A$35,0),MATCH($B$4,Players!$A$1:$Y$1,0))*G$4+INDEX(Zawodnicy[],MATCH($A32,Players!$A$2:$A$35,0),MATCH($B$5,Players!$A$1:$Y$1,0))*G$5+INDEX(Zawodnicy[],MATCH($A32,Players!$A$2:$A$35,0),MATCH($B$6,Players!$A$1:$Y$1,0))*G$6+INDEX(Zawodnicy[],MATCH($A32,Players!$A$2:$A$35,0),MATCH($B$7,Players!$A$1:$Y$1,0))*G$7+INDEX(Zawodnicy[],MATCH($A32,Players!$A$2:$A$35,0),MATCH($B$8,Players!$A$1:$Y$1,0))*G$8+INDEX(Zawodnicy[],MATCH($A32,Players!$A$2:$A$35,0),MATCH($B$9,Players!$A$1:$Y$1,0))*G$9+INDEX(Zawodnicy[],MATCH($A32,Players!$A$2:$A$35,0),MATCH($B$10,Players!$A$1:$Y$1,0))*G$10+INDEX(Zawodnicy[],MATCH($A32,Players!$A$2:$A$35,0),MATCH($B$11,Players!$A$1:$Y$1,0))*G$11+INDEX(Zawodnicy[],MATCH($A32,Players!$A$2:$A$35,0),MATCH($B$12,Players!$A$1:$Y$1,0))*G$12+INDEX(Zawodnicy[],MATCH($A32,Players!$A$2:$A$35,0),MATCH($B$13,Players!$A$1:$Y$1,0))*G$13,"-")</f>
        <v>64.5</v>
      </c>
      <c r="H32" s="38">
        <f>IFERROR(INDEX(Zawodnicy[],MATCH($A32,Players!$A$2:$A$35,0),MATCH($B$2,Players!$A$1:$Y$1,0))*H$2+INDEX(Zawodnicy[],MATCH($A32,Players!$A$2:$A$35,0),MATCH($B$3,Players!$A$1:$Y$1,0))*H$3+INDEX(Zawodnicy[],MATCH($A32,Players!$A$2:$A$35,0),MATCH($B$4,Players!$A$1:$Y$1,0))*H$4+INDEX(Zawodnicy[],MATCH($A32,Players!$A$2:$A$35,0),MATCH($B$5,Players!$A$1:$Y$1,0))*H$5+INDEX(Zawodnicy[],MATCH($A32,Players!$A$2:$A$35,0),MATCH($B$6,Players!$A$1:$Y$1,0))*H$6+INDEX(Zawodnicy[],MATCH($A32,Players!$A$2:$A$35,0),MATCH($B$7,Players!$A$1:$Y$1,0))*H$7+INDEX(Zawodnicy[],MATCH($A32,Players!$A$2:$A$35,0),MATCH($B$8,Players!$A$1:$Y$1,0))*H$8+INDEX(Zawodnicy[],MATCH($A32,Players!$A$2:$A$35,0),MATCH($B$9,Players!$A$1:$Y$1,0))*H$9+INDEX(Zawodnicy[],MATCH($A32,Players!$A$2:$A$35,0),MATCH($B$10,Players!$A$1:$Y$1,0))*H$10+INDEX(Zawodnicy[],MATCH($A32,Players!$A$2:$A$35,0),MATCH($B$11,Players!$A$1:$Y$1,0))*H$11+INDEX(Zawodnicy[],MATCH($A32,Players!$A$2:$A$35,0),MATCH($B$12,Players!$A$1:$Y$1,0))*H$12+INDEX(Zawodnicy[],MATCH($A32,Players!$A$2:$A$35,0),MATCH($B$13,Players!$A$1:$Y$1,0))*H$13,"-")</f>
        <v>59.5</v>
      </c>
      <c r="I32" s="38">
        <f>IFERROR(INDEX(Zawodnicy[],MATCH($A32,Players!$A$2:$A$35,0),MATCH($B$2,Players!$A$1:$Y$1,0))*I$2+INDEX(Zawodnicy[],MATCH($A32,Players!$A$2:$A$35,0),MATCH($B$3,Players!$A$1:$Y$1,0))*I$3+INDEX(Zawodnicy[],MATCH($A32,Players!$A$2:$A$35,0),MATCH($B$4,Players!$A$1:$Y$1,0))*I$4+INDEX(Zawodnicy[],MATCH($A32,Players!$A$2:$A$35,0),MATCH($B$5,Players!$A$1:$Y$1,0))*I$5+INDEX(Zawodnicy[],MATCH($A32,Players!$A$2:$A$35,0),MATCH($B$6,Players!$A$1:$Y$1,0))*I$6+INDEX(Zawodnicy[],MATCH($A32,Players!$A$2:$A$35,0),MATCH($B$7,Players!$A$1:$Y$1,0))*I$7+INDEX(Zawodnicy[],MATCH($A32,Players!$A$2:$A$35,0),MATCH($B$8,Players!$A$1:$Y$1,0))*I$8+INDEX(Zawodnicy[],MATCH($A32,Players!$A$2:$A$35,0),MATCH($B$9,Players!$A$1:$Y$1,0))*I$9+INDEX(Zawodnicy[],MATCH($A32,Players!$A$2:$A$35,0),MATCH($B$10,Players!$A$1:$Y$1,0))*I$10+INDEX(Zawodnicy[],MATCH($A32,Players!$A$2:$A$35,0),MATCH($B$11,Players!$A$1:$Y$1,0))*I$11+INDEX(Zawodnicy[],MATCH($A32,Players!$A$2:$A$35,0),MATCH($B$12,Players!$A$1:$Y$1,0))*I$12+INDEX(Zawodnicy[],MATCH($A32,Players!$A$2:$A$35,0),MATCH($B$13,Players!$A$1:$Y$1,0))*I$13,"-")</f>
        <v>55.5</v>
      </c>
      <c r="J32" s="38">
        <f>IFERROR(INDEX(Zawodnicy[],MATCH($A32,Players!$A$2:$A$35,0),MATCH($B$2,Players!$A$1:$Y$1,0))*J$2+INDEX(Zawodnicy[],MATCH($A32,Players!$A$2:$A$35,0),MATCH($B$3,Players!$A$1:$Y$1,0))*J$3+INDEX(Zawodnicy[],MATCH($A32,Players!$A$2:$A$35,0),MATCH($B$4,Players!$A$1:$Y$1,0))*J$4+INDEX(Zawodnicy[],MATCH($A32,Players!$A$2:$A$35,0),MATCH($B$5,Players!$A$1:$Y$1,0))*J$5+INDEX(Zawodnicy[],MATCH($A32,Players!$A$2:$A$35,0),MATCH($B$6,Players!$A$1:$Y$1,0))*J$6+INDEX(Zawodnicy[],MATCH($A32,Players!$A$2:$A$35,0),MATCH($B$7,Players!$A$1:$Y$1,0))*J$7+INDEX(Zawodnicy[],MATCH($A32,Players!$A$2:$A$35,0),MATCH($B$8,Players!$A$1:$Y$1,0))*J$8+INDEX(Zawodnicy[],MATCH($A32,Players!$A$2:$A$35,0),MATCH($B$9,Players!$A$1:$Y$1,0))*J$9+INDEX(Zawodnicy[],MATCH($A32,Players!$A$2:$A$35,0),MATCH($B$10,Players!$A$1:$Y$1,0))*J$10+INDEX(Zawodnicy[],MATCH($A32,Players!$A$2:$A$35,0),MATCH($B$11,Players!$A$1:$Y$1,0))*J$11+INDEX(Zawodnicy[],MATCH($A32,Players!$A$2:$A$35,0),MATCH($B$12,Players!$A$1:$Y$1,0))*J$12+INDEX(Zawodnicy[],MATCH($A32,Players!$A$2:$A$35,0),MATCH($B$13,Players!$A$1:$Y$1,0))*J$13,"-")</f>
        <v>53</v>
      </c>
      <c r="K32" s="38">
        <f>IFERROR(INDEX(Zawodnicy[],MATCH($A32,Players!$A$2:$A$35,0),MATCH($B$2,Players!$A$1:$Y$1,0))*K$2+INDEX(Zawodnicy[],MATCH($A32,Players!$A$2:$A$35,0),MATCH($B$3,Players!$A$1:$Y$1,0))*K$3+INDEX(Zawodnicy[],MATCH($A32,Players!$A$2:$A$35,0),MATCH($B$4,Players!$A$1:$Y$1,0))*K$4+INDEX(Zawodnicy[],MATCH($A32,Players!$A$2:$A$35,0),MATCH($B$5,Players!$A$1:$Y$1,0))*K$5+INDEX(Zawodnicy[],MATCH($A32,Players!$A$2:$A$35,0),MATCH($B$6,Players!$A$1:$Y$1,0))*K$6+INDEX(Zawodnicy[],MATCH($A32,Players!$A$2:$A$35,0),MATCH($B$7,Players!$A$1:$Y$1,0))*K$7+INDEX(Zawodnicy[],MATCH($A32,Players!$A$2:$A$35,0),MATCH($B$8,Players!$A$1:$Y$1,0))*K$8+INDEX(Zawodnicy[],MATCH($A32,Players!$A$2:$A$35,0),MATCH($B$9,Players!$A$1:$Y$1,0))*K$9+INDEX(Zawodnicy[],MATCH($A32,Players!$A$2:$A$35,0),MATCH($B$10,Players!$A$1:$Y$1,0))*K$10+INDEX(Zawodnicy[],MATCH($A32,Players!$A$2:$A$35,0),MATCH($B$11,Players!$A$1:$Y$1,0))*K$11+INDEX(Zawodnicy[],MATCH($A32,Players!$A$2:$A$35,0),MATCH($B$12,Players!$A$1:$Y$1,0))*K$12+INDEX(Zawodnicy[],MATCH($A32,Players!$A$2:$A$35,0),MATCH($B$13,Players!$A$1:$Y$1,0))*K$13,"-")</f>
        <v>45.5</v>
      </c>
    </row>
    <row r="33" spans="1:11" x14ac:dyDescent="0.25">
      <c r="A33" s="63">
        <f>PozycjeŚr[[#This Row],[Numer]]</f>
        <v>18</v>
      </c>
      <c r="B33" s="3" t="str">
        <f>IFERROR(VLOOKUP(PozycjeMM[[#This Row],[Numer]],Zawodnicy[[Number]:[Player name]],2,FALSE),"-")</f>
        <v>Armando Astudillo</v>
      </c>
      <c r="C33" s="38">
        <f>IFERROR(INDEX(Zawodnicy[],MATCH($A33,Players!$A$2:$A$35,0),MATCH($B$2,Players!$A$1:$Y$1,0))*C$2+INDEX(Zawodnicy[],MATCH($A33,Players!$A$2:$A$35,0),MATCH($B$3,Players!$A$1:$Y$1,0))*C$3+INDEX(Zawodnicy[],MATCH($A33,Players!$A$2:$A$35,0),MATCH($B$4,Players!$A$1:$Y$1,0))*C$4+INDEX(Zawodnicy[],MATCH($A33,Players!$A$2:$A$35,0),MATCH($B$5,Players!$A$1:$Y$1,0))*C$5+INDEX(Zawodnicy[],MATCH($A33,Players!$A$2:$A$35,0),MATCH($B$6,Players!$A$1:$Y$1,0))*C$6+INDEX(Zawodnicy[],MATCH($A33,Players!$A$2:$A$35,0),MATCH($B$7,Players!$A$1:$Y$1,0))*C$7+INDEX(Zawodnicy[],MATCH($A33,Players!$A$2:$A$35,0),MATCH($B$8,Players!$A$1:$Y$1,0))*C$8+INDEX(Zawodnicy[],MATCH($A33,Players!$A$2:$A$35,0),MATCH($B$9,Players!$A$1:$Y$1,0))*C$9+INDEX(Zawodnicy[],MATCH($A33,Players!$A$2:$A$35,0),MATCH($B$10,Players!$A$1:$Y$1,0))*C$10+INDEX(Zawodnicy[],MATCH($A33,Players!$A$2:$A$35,0),MATCH($B$11,Players!$A$1:$Y$1,0))*C$11+INDEX(Zawodnicy[],MATCH($A33,Players!$A$2:$A$35,0),MATCH($B$12,Players!$A$1:$Y$1,0))*C$12+INDEX(Zawodnicy[],MATCH($A33,Players!$A$2:$A$35,0),MATCH($B$13,Players!$A$1:$Y$1,0))*C$13,"-")</f>
        <v>32.5</v>
      </c>
      <c r="D33" s="38">
        <f>IFERROR(INDEX(Zawodnicy[],MATCH($A33,Players!$A$2:$A$35,0),MATCH($B$2,Players!$A$1:$Y$1,0))*D$2+INDEX(Zawodnicy[],MATCH($A33,Players!$A$2:$A$35,0),MATCH($B$3,Players!$A$1:$Y$1,0))*D$3+INDEX(Zawodnicy[],MATCH($A33,Players!$A$2:$A$35,0),MATCH($B$4,Players!$A$1:$Y$1,0))*D$4+INDEX(Zawodnicy[],MATCH($A33,Players!$A$2:$A$35,0),MATCH($B$5,Players!$A$1:$Y$1,0))*D$5+INDEX(Zawodnicy[],MATCH($A33,Players!$A$2:$A$35,0),MATCH($B$6,Players!$A$1:$Y$1,0))*D$6+INDEX(Zawodnicy[],MATCH($A33,Players!$A$2:$A$35,0),MATCH($B$7,Players!$A$1:$Y$1,0))*D$7+INDEX(Zawodnicy[],MATCH($A33,Players!$A$2:$A$35,0),MATCH($B$8,Players!$A$1:$Y$1,0))*D$8+INDEX(Zawodnicy[],MATCH($A33,Players!$A$2:$A$35,0),MATCH($B$9,Players!$A$1:$Y$1,0))*D$9+INDEX(Zawodnicy[],MATCH($A33,Players!$A$2:$A$35,0),MATCH($B$10,Players!$A$1:$Y$1,0))*D$10+INDEX(Zawodnicy[],MATCH($A33,Players!$A$2:$A$35,0),MATCH($B$11,Players!$A$1:$Y$1,0))*D$11+INDEX(Zawodnicy[],MATCH($A33,Players!$A$2:$A$35,0),MATCH($B$12,Players!$A$1:$Y$1,0))*D$12+INDEX(Zawodnicy[],MATCH($A33,Players!$A$2:$A$35,0),MATCH($B$13,Players!$A$1:$Y$1,0))*D$13,"-")</f>
        <v>77.5</v>
      </c>
      <c r="E33" s="38">
        <f>IFERROR(INDEX(Zawodnicy[],MATCH($A33,Players!$A$2:$A$35,0),MATCH($B$2,Players!$A$1:$Y$1,0))*E$2+INDEX(Zawodnicy[],MATCH($A33,Players!$A$2:$A$35,0),MATCH($B$3,Players!$A$1:$Y$1,0))*E$3+INDEX(Zawodnicy[],MATCH($A33,Players!$A$2:$A$35,0),MATCH($B$4,Players!$A$1:$Y$1,0))*E$4+INDEX(Zawodnicy[],MATCH($A33,Players!$A$2:$A$35,0),MATCH($B$5,Players!$A$1:$Y$1,0))*E$5+INDEX(Zawodnicy[],MATCH($A33,Players!$A$2:$A$35,0),MATCH($B$6,Players!$A$1:$Y$1,0))*E$6+INDEX(Zawodnicy[],MATCH($A33,Players!$A$2:$A$35,0),MATCH($B$7,Players!$A$1:$Y$1,0))*E$7+INDEX(Zawodnicy[],MATCH($A33,Players!$A$2:$A$35,0),MATCH($B$8,Players!$A$1:$Y$1,0))*E$8+INDEX(Zawodnicy[],MATCH($A33,Players!$A$2:$A$35,0),MATCH($B$9,Players!$A$1:$Y$1,0))*E$9+INDEX(Zawodnicy[],MATCH($A33,Players!$A$2:$A$35,0),MATCH($B$10,Players!$A$1:$Y$1,0))*E$10+INDEX(Zawodnicy[],MATCH($A33,Players!$A$2:$A$35,0),MATCH($B$11,Players!$A$1:$Y$1,0))*E$11+INDEX(Zawodnicy[],MATCH($A33,Players!$A$2:$A$35,0),MATCH($B$12,Players!$A$1:$Y$1,0))*E$12+INDEX(Zawodnicy[],MATCH($A33,Players!$A$2:$A$35,0),MATCH($B$13,Players!$A$1:$Y$1,0))*E$13,"-")</f>
        <v>76.5</v>
      </c>
      <c r="F33" s="38">
        <f>IFERROR(INDEX(Zawodnicy[],MATCH($A33,Players!$A$2:$A$35,0),MATCH($B$2,Players!$A$1:$Y$1,0))*F$2+INDEX(Zawodnicy[],MATCH($A33,Players!$A$2:$A$35,0),MATCH($B$3,Players!$A$1:$Y$1,0))*F$3+INDEX(Zawodnicy[],MATCH($A33,Players!$A$2:$A$35,0),MATCH($B$4,Players!$A$1:$Y$1,0))*F$4+INDEX(Zawodnicy[],MATCH($A33,Players!$A$2:$A$35,0),MATCH($B$5,Players!$A$1:$Y$1,0))*F$5+INDEX(Zawodnicy[],MATCH($A33,Players!$A$2:$A$35,0),MATCH($B$6,Players!$A$1:$Y$1,0))*F$6+INDEX(Zawodnicy[],MATCH($A33,Players!$A$2:$A$35,0),MATCH($B$7,Players!$A$1:$Y$1,0))*F$7+INDEX(Zawodnicy[],MATCH($A33,Players!$A$2:$A$35,0),MATCH($B$8,Players!$A$1:$Y$1,0))*F$8+INDEX(Zawodnicy[],MATCH($A33,Players!$A$2:$A$35,0),MATCH($B$9,Players!$A$1:$Y$1,0))*F$9+INDEX(Zawodnicy[],MATCH($A33,Players!$A$2:$A$35,0),MATCH($B$10,Players!$A$1:$Y$1,0))*F$10+INDEX(Zawodnicy[],MATCH($A33,Players!$A$2:$A$35,0),MATCH($B$11,Players!$A$1:$Y$1,0))*F$11+INDEX(Zawodnicy[],MATCH($A33,Players!$A$2:$A$35,0),MATCH($B$12,Players!$A$1:$Y$1,0))*F$12+INDEX(Zawodnicy[],MATCH($A33,Players!$A$2:$A$35,0),MATCH($B$13,Players!$A$1:$Y$1,0))*F$13,"-")</f>
        <v>66.5</v>
      </c>
      <c r="G33" s="38">
        <f>IFERROR(INDEX(Zawodnicy[],MATCH($A33,Players!$A$2:$A$35,0),MATCH($B$2,Players!$A$1:$Y$1,0))*G$2+INDEX(Zawodnicy[],MATCH($A33,Players!$A$2:$A$35,0),MATCH($B$3,Players!$A$1:$Y$1,0))*G$3+INDEX(Zawodnicy[],MATCH($A33,Players!$A$2:$A$35,0),MATCH($B$4,Players!$A$1:$Y$1,0))*G$4+INDEX(Zawodnicy[],MATCH($A33,Players!$A$2:$A$35,0),MATCH($B$5,Players!$A$1:$Y$1,0))*G$5+INDEX(Zawodnicy[],MATCH($A33,Players!$A$2:$A$35,0),MATCH($B$6,Players!$A$1:$Y$1,0))*G$6+INDEX(Zawodnicy[],MATCH($A33,Players!$A$2:$A$35,0),MATCH($B$7,Players!$A$1:$Y$1,0))*G$7+INDEX(Zawodnicy[],MATCH($A33,Players!$A$2:$A$35,0),MATCH($B$8,Players!$A$1:$Y$1,0))*G$8+INDEX(Zawodnicy[],MATCH($A33,Players!$A$2:$A$35,0),MATCH($B$9,Players!$A$1:$Y$1,0))*G$9+INDEX(Zawodnicy[],MATCH($A33,Players!$A$2:$A$35,0),MATCH($B$10,Players!$A$1:$Y$1,0))*G$10+INDEX(Zawodnicy[],MATCH($A33,Players!$A$2:$A$35,0),MATCH($B$11,Players!$A$1:$Y$1,0))*G$11+INDEX(Zawodnicy[],MATCH($A33,Players!$A$2:$A$35,0),MATCH($B$12,Players!$A$1:$Y$1,0))*G$12+INDEX(Zawodnicy[],MATCH($A33,Players!$A$2:$A$35,0),MATCH($B$13,Players!$A$1:$Y$1,0))*G$13,"-")</f>
        <v>63</v>
      </c>
      <c r="H33" s="38">
        <f>IFERROR(INDEX(Zawodnicy[],MATCH($A33,Players!$A$2:$A$35,0),MATCH($B$2,Players!$A$1:$Y$1,0))*H$2+INDEX(Zawodnicy[],MATCH($A33,Players!$A$2:$A$35,0),MATCH($B$3,Players!$A$1:$Y$1,0))*H$3+INDEX(Zawodnicy[],MATCH($A33,Players!$A$2:$A$35,0),MATCH($B$4,Players!$A$1:$Y$1,0))*H$4+INDEX(Zawodnicy[],MATCH($A33,Players!$A$2:$A$35,0),MATCH($B$5,Players!$A$1:$Y$1,0))*H$5+INDEX(Zawodnicy[],MATCH($A33,Players!$A$2:$A$35,0),MATCH($B$6,Players!$A$1:$Y$1,0))*H$6+INDEX(Zawodnicy[],MATCH($A33,Players!$A$2:$A$35,0),MATCH($B$7,Players!$A$1:$Y$1,0))*H$7+INDEX(Zawodnicy[],MATCH($A33,Players!$A$2:$A$35,0),MATCH($B$8,Players!$A$1:$Y$1,0))*H$8+INDEX(Zawodnicy[],MATCH($A33,Players!$A$2:$A$35,0),MATCH($B$9,Players!$A$1:$Y$1,0))*H$9+INDEX(Zawodnicy[],MATCH($A33,Players!$A$2:$A$35,0),MATCH($B$10,Players!$A$1:$Y$1,0))*H$10+INDEX(Zawodnicy[],MATCH($A33,Players!$A$2:$A$35,0),MATCH($B$11,Players!$A$1:$Y$1,0))*H$11+INDEX(Zawodnicy[],MATCH($A33,Players!$A$2:$A$35,0),MATCH($B$12,Players!$A$1:$Y$1,0))*H$12+INDEX(Zawodnicy[],MATCH($A33,Players!$A$2:$A$35,0),MATCH($B$13,Players!$A$1:$Y$1,0))*H$13,"-")</f>
        <v>60</v>
      </c>
      <c r="I33" s="38">
        <f>IFERROR(INDEX(Zawodnicy[],MATCH($A33,Players!$A$2:$A$35,0),MATCH($B$2,Players!$A$1:$Y$1,0))*I$2+INDEX(Zawodnicy[],MATCH($A33,Players!$A$2:$A$35,0),MATCH($B$3,Players!$A$1:$Y$1,0))*I$3+INDEX(Zawodnicy[],MATCH($A33,Players!$A$2:$A$35,0),MATCH($B$4,Players!$A$1:$Y$1,0))*I$4+INDEX(Zawodnicy[],MATCH($A33,Players!$A$2:$A$35,0),MATCH($B$5,Players!$A$1:$Y$1,0))*I$5+INDEX(Zawodnicy[],MATCH($A33,Players!$A$2:$A$35,0),MATCH($B$6,Players!$A$1:$Y$1,0))*I$6+INDEX(Zawodnicy[],MATCH($A33,Players!$A$2:$A$35,0),MATCH($B$7,Players!$A$1:$Y$1,0))*I$7+INDEX(Zawodnicy[],MATCH($A33,Players!$A$2:$A$35,0),MATCH($B$8,Players!$A$1:$Y$1,0))*I$8+INDEX(Zawodnicy[],MATCH($A33,Players!$A$2:$A$35,0),MATCH($B$9,Players!$A$1:$Y$1,0))*I$9+INDEX(Zawodnicy[],MATCH($A33,Players!$A$2:$A$35,0),MATCH($B$10,Players!$A$1:$Y$1,0))*I$10+INDEX(Zawodnicy[],MATCH($A33,Players!$A$2:$A$35,0),MATCH($B$11,Players!$A$1:$Y$1,0))*I$11+INDEX(Zawodnicy[],MATCH($A33,Players!$A$2:$A$35,0),MATCH($B$12,Players!$A$1:$Y$1,0))*I$12+INDEX(Zawodnicy[],MATCH($A33,Players!$A$2:$A$35,0),MATCH($B$13,Players!$A$1:$Y$1,0))*I$13,"-")</f>
        <v>55.5</v>
      </c>
      <c r="J33" s="38">
        <f>IFERROR(INDEX(Zawodnicy[],MATCH($A33,Players!$A$2:$A$35,0),MATCH($B$2,Players!$A$1:$Y$1,0))*J$2+INDEX(Zawodnicy[],MATCH($A33,Players!$A$2:$A$35,0),MATCH($B$3,Players!$A$1:$Y$1,0))*J$3+INDEX(Zawodnicy[],MATCH($A33,Players!$A$2:$A$35,0),MATCH($B$4,Players!$A$1:$Y$1,0))*J$4+INDEX(Zawodnicy[],MATCH($A33,Players!$A$2:$A$35,0),MATCH($B$5,Players!$A$1:$Y$1,0))*J$5+INDEX(Zawodnicy[],MATCH($A33,Players!$A$2:$A$35,0),MATCH($B$6,Players!$A$1:$Y$1,0))*J$6+INDEX(Zawodnicy[],MATCH($A33,Players!$A$2:$A$35,0),MATCH($B$7,Players!$A$1:$Y$1,0))*J$7+INDEX(Zawodnicy[],MATCH($A33,Players!$A$2:$A$35,0),MATCH($B$8,Players!$A$1:$Y$1,0))*J$8+INDEX(Zawodnicy[],MATCH($A33,Players!$A$2:$A$35,0),MATCH($B$9,Players!$A$1:$Y$1,0))*J$9+INDEX(Zawodnicy[],MATCH($A33,Players!$A$2:$A$35,0),MATCH($B$10,Players!$A$1:$Y$1,0))*J$10+INDEX(Zawodnicy[],MATCH($A33,Players!$A$2:$A$35,0),MATCH($B$11,Players!$A$1:$Y$1,0))*J$11+INDEX(Zawodnicy[],MATCH($A33,Players!$A$2:$A$35,0),MATCH($B$12,Players!$A$1:$Y$1,0))*J$12+INDEX(Zawodnicy[],MATCH($A33,Players!$A$2:$A$35,0),MATCH($B$13,Players!$A$1:$Y$1,0))*J$13,"-")</f>
        <v>57</v>
      </c>
      <c r="K33" s="38">
        <f>IFERROR(INDEX(Zawodnicy[],MATCH($A33,Players!$A$2:$A$35,0),MATCH($B$2,Players!$A$1:$Y$1,0))*K$2+INDEX(Zawodnicy[],MATCH($A33,Players!$A$2:$A$35,0),MATCH($B$3,Players!$A$1:$Y$1,0))*K$3+INDEX(Zawodnicy[],MATCH($A33,Players!$A$2:$A$35,0),MATCH($B$4,Players!$A$1:$Y$1,0))*K$4+INDEX(Zawodnicy[],MATCH($A33,Players!$A$2:$A$35,0),MATCH($B$5,Players!$A$1:$Y$1,0))*K$5+INDEX(Zawodnicy[],MATCH($A33,Players!$A$2:$A$35,0),MATCH($B$6,Players!$A$1:$Y$1,0))*K$6+INDEX(Zawodnicy[],MATCH($A33,Players!$A$2:$A$35,0),MATCH($B$7,Players!$A$1:$Y$1,0))*K$7+INDEX(Zawodnicy[],MATCH($A33,Players!$A$2:$A$35,0),MATCH($B$8,Players!$A$1:$Y$1,0))*K$8+INDEX(Zawodnicy[],MATCH($A33,Players!$A$2:$A$35,0),MATCH($B$9,Players!$A$1:$Y$1,0))*K$9+INDEX(Zawodnicy[],MATCH($A33,Players!$A$2:$A$35,0),MATCH($B$10,Players!$A$1:$Y$1,0))*K$10+INDEX(Zawodnicy[],MATCH($A33,Players!$A$2:$A$35,0),MATCH($B$11,Players!$A$1:$Y$1,0))*K$11+INDEX(Zawodnicy[],MATCH($A33,Players!$A$2:$A$35,0),MATCH($B$12,Players!$A$1:$Y$1,0))*K$12+INDEX(Zawodnicy[],MATCH($A33,Players!$A$2:$A$35,0),MATCH($B$13,Players!$A$1:$Y$1,0))*K$13,"-")</f>
        <v>56.5</v>
      </c>
    </row>
    <row r="34" spans="1:11" x14ac:dyDescent="0.25">
      <c r="A34" s="63">
        <f>PozycjeŚr[[#This Row],[Numer]]</f>
        <v>19</v>
      </c>
      <c r="B34" s="3" t="str">
        <f>IFERROR(VLOOKUP(PozycjeMM[[#This Row],[Numer]],Zawodnicy[[Number]:[Player name]],2,FALSE),"-")</f>
        <v>Eugeniusz Huk</v>
      </c>
      <c r="C34" s="38">
        <f>IFERROR(INDEX(Zawodnicy[],MATCH($A34,Players!$A$2:$A$35,0),MATCH($B$2,Players!$A$1:$Y$1,0))*C$2+INDEX(Zawodnicy[],MATCH($A34,Players!$A$2:$A$35,0),MATCH($B$3,Players!$A$1:$Y$1,0))*C$3+INDEX(Zawodnicy[],MATCH($A34,Players!$A$2:$A$35,0),MATCH($B$4,Players!$A$1:$Y$1,0))*C$4+INDEX(Zawodnicy[],MATCH($A34,Players!$A$2:$A$35,0),MATCH($B$5,Players!$A$1:$Y$1,0))*C$5+INDEX(Zawodnicy[],MATCH($A34,Players!$A$2:$A$35,0),MATCH($B$6,Players!$A$1:$Y$1,0))*C$6+INDEX(Zawodnicy[],MATCH($A34,Players!$A$2:$A$35,0),MATCH($B$7,Players!$A$1:$Y$1,0))*C$7+INDEX(Zawodnicy[],MATCH($A34,Players!$A$2:$A$35,0),MATCH($B$8,Players!$A$1:$Y$1,0))*C$8+INDEX(Zawodnicy[],MATCH($A34,Players!$A$2:$A$35,0),MATCH($B$9,Players!$A$1:$Y$1,0))*C$9+INDEX(Zawodnicy[],MATCH($A34,Players!$A$2:$A$35,0),MATCH($B$10,Players!$A$1:$Y$1,0))*C$10+INDEX(Zawodnicy[],MATCH($A34,Players!$A$2:$A$35,0),MATCH($B$11,Players!$A$1:$Y$1,0))*C$11+INDEX(Zawodnicy[],MATCH($A34,Players!$A$2:$A$35,0),MATCH($B$12,Players!$A$1:$Y$1,0))*C$12+INDEX(Zawodnicy[],MATCH($A34,Players!$A$2:$A$35,0),MATCH($B$13,Players!$A$1:$Y$1,0))*C$13,"-")</f>
        <v>27.5</v>
      </c>
      <c r="D34" s="38">
        <f>IFERROR(INDEX(Zawodnicy[],MATCH($A34,Players!$A$2:$A$35,0),MATCH($B$2,Players!$A$1:$Y$1,0))*D$2+INDEX(Zawodnicy[],MATCH($A34,Players!$A$2:$A$35,0),MATCH($B$3,Players!$A$1:$Y$1,0))*D$3+INDEX(Zawodnicy[],MATCH($A34,Players!$A$2:$A$35,0),MATCH($B$4,Players!$A$1:$Y$1,0))*D$4+INDEX(Zawodnicy[],MATCH($A34,Players!$A$2:$A$35,0),MATCH($B$5,Players!$A$1:$Y$1,0))*D$5+INDEX(Zawodnicy[],MATCH($A34,Players!$A$2:$A$35,0),MATCH($B$6,Players!$A$1:$Y$1,0))*D$6+INDEX(Zawodnicy[],MATCH($A34,Players!$A$2:$A$35,0),MATCH($B$7,Players!$A$1:$Y$1,0))*D$7+INDEX(Zawodnicy[],MATCH($A34,Players!$A$2:$A$35,0),MATCH($B$8,Players!$A$1:$Y$1,0))*D$8+INDEX(Zawodnicy[],MATCH($A34,Players!$A$2:$A$35,0),MATCH($B$9,Players!$A$1:$Y$1,0))*D$9+INDEX(Zawodnicy[],MATCH($A34,Players!$A$2:$A$35,0),MATCH($B$10,Players!$A$1:$Y$1,0))*D$10+INDEX(Zawodnicy[],MATCH($A34,Players!$A$2:$A$35,0),MATCH($B$11,Players!$A$1:$Y$1,0))*D$11+INDEX(Zawodnicy[],MATCH($A34,Players!$A$2:$A$35,0),MATCH($B$12,Players!$A$1:$Y$1,0))*D$12+INDEX(Zawodnicy[],MATCH($A34,Players!$A$2:$A$35,0),MATCH($B$13,Players!$A$1:$Y$1,0))*D$13,"-")</f>
        <v>40.5</v>
      </c>
      <c r="E34" s="38">
        <f>IFERROR(INDEX(Zawodnicy[],MATCH($A34,Players!$A$2:$A$35,0),MATCH($B$2,Players!$A$1:$Y$1,0))*E$2+INDEX(Zawodnicy[],MATCH($A34,Players!$A$2:$A$35,0),MATCH($B$3,Players!$A$1:$Y$1,0))*E$3+INDEX(Zawodnicy[],MATCH($A34,Players!$A$2:$A$35,0),MATCH($B$4,Players!$A$1:$Y$1,0))*E$4+INDEX(Zawodnicy[],MATCH($A34,Players!$A$2:$A$35,0),MATCH($B$5,Players!$A$1:$Y$1,0))*E$5+INDEX(Zawodnicy[],MATCH($A34,Players!$A$2:$A$35,0),MATCH($B$6,Players!$A$1:$Y$1,0))*E$6+INDEX(Zawodnicy[],MATCH($A34,Players!$A$2:$A$35,0),MATCH($B$7,Players!$A$1:$Y$1,0))*E$7+INDEX(Zawodnicy[],MATCH($A34,Players!$A$2:$A$35,0),MATCH($B$8,Players!$A$1:$Y$1,0))*E$8+INDEX(Zawodnicy[],MATCH($A34,Players!$A$2:$A$35,0),MATCH($B$9,Players!$A$1:$Y$1,0))*E$9+INDEX(Zawodnicy[],MATCH($A34,Players!$A$2:$A$35,0),MATCH($B$10,Players!$A$1:$Y$1,0))*E$10+INDEX(Zawodnicy[],MATCH($A34,Players!$A$2:$A$35,0),MATCH($B$11,Players!$A$1:$Y$1,0))*E$11+INDEX(Zawodnicy[],MATCH($A34,Players!$A$2:$A$35,0),MATCH($B$12,Players!$A$1:$Y$1,0))*E$12+INDEX(Zawodnicy[],MATCH($A34,Players!$A$2:$A$35,0),MATCH($B$13,Players!$A$1:$Y$1,0))*E$13,"-")</f>
        <v>46.5</v>
      </c>
      <c r="F34" s="38">
        <f>IFERROR(INDEX(Zawodnicy[],MATCH($A34,Players!$A$2:$A$35,0),MATCH($B$2,Players!$A$1:$Y$1,0))*F$2+INDEX(Zawodnicy[],MATCH($A34,Players!$A$2:$A$35,0),MATCH($B$3,Players!$A$1:$Y$1,0))*F$3+INDEX(Zawodnicy[],MATCH($A34,Players!$A$2:$A$35,0),MATCH($B$4,Players!$A$1:$Y$1,0))*F$4+INDEX(Zawodnicy[],MATCH($A34,Players!$A$2:$A$35,0),MATCH($B$5,Players!$A$1:$Y$1,0))*F$5+INDEX(Zawodnicy[],MATCH($A34,Players!$A$2:$A$35,0),MATCH($B$6,Players!$A$1:$Y$1,0))*F$6+INDEX(Zawodnicy[],MATCH($A34,Players!$A$2:$A$35,0),MATCH($B$7,Players!$A$1:$Y$1,0))*F$7+INDEX(Zawodnicy[],MATCH($A34,Players!$A$2:$A$35,0),MATCH($B$8,Players!$A$1:$Y$1,0))*F$8+INDEX(Zawodnicy[],MATCH($A34,Players!$A$2:$A$35,0),MATCH($B$9,Players!$A$1:$Y$1,0))*F$9+INDEX(Zawodnicy[],MATCH($A34,Players!$A$2:$A$35,0),MATCH($B$10,Players!$A$1:$Y$1,0))*F$10+INDEX(Zawodnicy[],MATCH($A34,Players!$A$2:$A$35,0),MATCH($B$11,Players!$A$1:$Y$1,0))*F$11+INDEX(Zawodnicy[],MATCH($A34,Players!$A$2:$A$35,0),MATCH($B$12,Players!$A$1:$Y$1,0))*F$12+INDEX(Zawodnicy[],MATCH($A34,Players!$A$2:$A$35,0),MATCH($B$13,Players!$A$1:$Y$1,0))*F$13,"-")</f>
        <v>56</v>
      </c>
      <c r="G34" s="38">
        <f>IFERROR(INDEX(Zawodnicy[],MATCH($A34,Players!$A$2:$A$35,0),MATCH($B$2,Players!$A$1:$Y$1,0))*G$2+INDEX(Zawodnicy[],MATCH($A34,Players!$A$2:$A$35,0),MATCH($B$3,Players!$A$1:$Y$1,0))*G$3+INDEX(Zawodnicy[],MATCH($A34,Players!$A$2:$A$35,0),MATCH($B$4,Players!$A$1:$Y$1,0))*G$4+INDEX(Zawodnicy[],MATCH($A34,Players!$A$2:$A$35,0),MATCH($B$5,Players!$A$1:$Y$1,0))*G$5+INDEX(Zawodnicy[],MATCH($A34,Players!$A$2:$A$35,0),MATCH($B$6,Players!$A$1:$Y$1,0))*G$6+INDEX(Zawodnicy[],MATCH($A34,Players!$A$2:$A$35,0),MATCH($B$7,Players!$A$1:$Y$1,0))*G$7+INDEX(Zawodnicy[],MATCH($A34,Players!$A$2:$A$35,0),MATCH($B$8,Players!$A$1:$Y$1,0))*G$8+INDEX(Zawodnicy[],MATCH($A34,Players!$A$2:$A$35,0),MATCH($B$9,Players!$A$1:$Y$1,0))*G$9+INDEX(Zawodnicy[],MATCH($A34,Players!$A$2:$A$35,0),MATCH($B$10,Players!$A$1:$Y$1,0))*G$10+INDEX(Zawodnicy[],MATCH($A34,Players!$A$2:$A$35,0),MATCH($B$11,Players!$A$1:$Y$1,0))*G$11+INDEX(Zawodnicy[],MATCH($A34,Players!$A$2:$A$35,0),MATCH($B$12,Players!$A$1:$Y$1,0))*G$12+INDEX(Zawodnicy[],MATCH($A34,Players!$A$2:$A$35,0),MATCH($B$13,Players!$A$1:$Y$1,0))*G$13,"-")</f>
        <v>56</v>
      </c>
      <c r="H34" s="38">
        <f>IFERROR(INDEX(Zawodnicy[],MATCH($A34,Players!$A$2:$A$35,0),MATCH($B$2,Players!$A$1:$Y$1,0))*H$2+INDEX(Zawodnicy[],MATCH($A34,Players!$A$2:$A$35,0),MATCH($B$3,Players!$A$1:$Y$1,0))*H$3+INDEX(Zawodnicy[],MATCH($A34,Players!$A$2:$A$35,0),MATCH($B$4,Players!$A$1:$Y$1,0))*H$4+INDEX(Zawodnicy[],MATCH($A34,Players!$A$2:$A$35,0),MATCH($B$5,Players!$A$1:$Y$1,0))*H$5+INDEX(Zawodnicy[],MATCH($A34,Players!$A$2:$A$35,0),MATCH($B$6,Players!$A$1:$Y$1,0))*H$6+INDEX(Zawodnicy[],MATCH($A34,Players!$A$2:$A$35,0),MATCH($B$7,Players!$A$1:$Y$1,0))*H$7+INDEX(Zawodnicy[],MATCH($A34,Players!$A$2:$A$35,0),MATCH($B$8,Players!$A$1:$Y$1,0))*H$8+INDEX(Zawodnicy[],MATCH($A34,Players!$A$2:$A$35,0),MATCH($B$9,Players!$A$1:$Y$1,0))*H$9+INDEX(Zawodnicy[],MATCH($A34,Players!$A$2:$A$35,0),MATCH($B$10,Players!$A$1:$Y$1,0))*H$10+INDEX(Zawodnicy[],MATCH($A34,Players!$A$2:$A$35,0),MATCH($B$11,Players!$A$1:$Y$1,0))*H$11+INDEX(Zawodnicy[],MATCH($A34,Players!$A$2:$A$35,0),MATCH($B$12,Players!$A$1:$Y$1,0))*H$12+INDEX(Zawodnicy[],MATCH($A34,Players!$A$2:$A$35,0),MATCH($B$13,Players!$A$1:$Y$1,0))*H$13,"-")</f>
        <v>61</v>
      </c>
      <c r="I34" s="38">
        <f>IFERROR(INDEX(Zawodnicy[],MATCH($A34,Players!$A$2:$A$35,0),MATCH($B$2,Players!$A$1:$Y$1,0))*I$2+INDEX(Zawodnicy[],MATCH($A34,Players!$A$2:$A$35,0),MATCH($B$3,Players!$A$1:$Y$1,0))*I$3+INDEX(Zawodnicy[],MATCH($A34,Players!$A$2:$A$35,0),MATCH($B$4,Players!$A$1:$Y$1,0))*I$4+INDEX(Zawodnicy[],MATCH($A34,Players!$A$2:$A$35,0),MATCH($B$5,Players!$A$1:$Y$1,0))*I$5+INDEX(Zawodnicy[],MATCH($A34,Players!$A$2:$A$35,0),MATCH($B$6,Players!$A$1:$Y$1,0))*I$6+INDEX(Zawodnicy[],MATCH($A34,Players!$A$2:$A$35,0),MATCH($B$7,Players!$A$1:$Y$1,0))*I$7+INDEX(Zawodnicy[],MATCH($A34,Players!$A$2:$A$35,0),MATCH($B$8,Players!$A$1:$Y$1,0))*I$8+INDEX(Zawodnicy[],MATCH($A34,Players!$A$2:$A$35,0),MATCH($B$9,Players!$A$1:$Y$1,0))*I$9+INDEX(Zawodnicy[],MATCH($A34,Players!$A$2:$A$35,0),MATCH($B$10,Players!$A$1:$Y$1,0))*I$10+INDEX(Zawodnicy[],MATCH($A34,Players!$A$2:$A$35,0),MATCH($B$11,Players!$A$1:$Y$1,0))*I$11+INDEX(Zawodnicy[],MATCH($A34,Players!$A$2:$A$35,0),MATCH($B$12,Players!$A$1:$Y$1,0))*I$12+INDEX(Zawodnicy[],MATCH($A34,Players!$A$2:$A$35,0),MATCH($B$13,Players!$A$1:$Y$1,0))*I$13,"-")</f>
        <v>70</v>
      </c>
      <c r="J34" s="38">
        <f>IFERROR(INDEX(Zawodnicy[],MATCH($A34,Players!$A$2:$A$35,0),MATCH($B$2,Players!$A$1:$Y$1,0))*J$2+INDEX(Zawodnicy[],MATCH($A34,Players!$A$2:$A$35,0),MATCH($B$3,Players!$A$1:$Y$1,0))*J$3+INDEX(Zawodnicy[],MATCH($A34,Players!$A$2:$A$35,0),MATCH($B$4,Players!$A$1:$Y$1,0))*J$4+INDEX(Zawodnicy[],MATCH($A34,Players!$A$2:$A$35,0),MATCH($B$5,Players!$A$1:$Y$1,0))*J$5+INDEX(Zawodnicy[],MATCH($A34,Players!$A$2:$A$35,0),MATCH($B$6,Players!$A$1:$Y$1,0))*J$6+INDEX(Zawodnicy[],MATCH($A34,Players!$A$2:$A$35,0),MATCH($B$7,Players!$A$1:$Y$1,0))*J$7+INDEX(Zawodnicy[],MATCH($A34,Players!$A$2:$A$35,0),MATCH($B$8,Players!$A$1:$Y$1,0))*J$8+INDEX(Zawodnicy[],MATCH($A34,Players!$A$2:$A$35,0),MATCH($B$9,Players!$A$1:$Y$1,0))*J$9+INDEX(Zawodnicy[],MATCH($A34,Players!$A$2:$A$35,0),MATCH($B$10,Players!$A$1:$Y$1,0))*J$10+INDEX(Zawodnicy[],MATCH($A34,Players!$A$2:$A$35,0),MATCH($B$11,Players!$A$1:$Y$1,0))*J$11+INDEX(Zawodnicy[],MATCH($A34,Players!$A$2:$A$35,0),MATCH($B$12,Players!$A$1:$Y$1,0))*J$12+INDEX(Zawodnicy[],MATCH($A34,Players!$A$2:$A$35,0),MATCH($B$13,Players!$A$1:$Y$1,0))*J$13,"-")</f>
        <v>61.5</v>
      </c>
      <c r="K34" s="38">
        <f>IFERROR(INDEX(Zawodnicy[],MATCH($A34,Players!$A$2:$A$35,0),MATCH($B$2,Players!$A$1:$Y$1,0))*K$2+INDEX(Zawodnicy[],MATCH($A34,Players!$A$2:$A$35,0),MATCH($B$3,Players!$A$1:$Y$1,0))*K$3+INDEX(Zawodnicy[],MATCH($A34,Players!$A$2:$A$35,0),MATCH($B$4,Players!$A$1:$Y$1,0))*K$4+INDEX(Zawodnicy[],MATCH($A34,Players!$A$2:$A$35,0),MATCH($B$5,Players!$A$1:$Y$1,0))*K$5+INDEX(Zawodnicy[],MATCH($A34,Players!$A$2:$A$35,0),MATCH($B$6,Players!$A$1:$Y$1,0))*K$6+INDEX(Zawodnicy[],MATCH($A34,Players!$A$2:$A$35,0),MATCH($B$7,Players!$A$1:$Y$1,0))*K$7+INDEX(Zawodnicy[],MATCH($A34,Players!$A$2:$A$35,0),MATCH($B$8,Players!$A$1:$Y$1,0))*K$8+INDEX(Zawodnicy[],MATCH($A34,Players!$A$2:$A$35,0),MATCH($B$9,Players!$A$1:$Y$1,0))*K$9+INDEX(Zawodnicy[],MATCH($A34,Players!$A$2:$A$35,0),MATCH($B$10,Players!$A$1:$Y$1,0))*K$10+INDEX(Zawodnicy[],MATCH($A34,Players!$A$2:$A$35,0),MATCH($B$11,Players!$A$1:$Y$1,0))*K$11+INDEX(Zawodnicy[],MATCH($A34,Players!$A$2:$A$35,0),MATCH($B$12,Players!$A$1:$Y$1,0))*K$12+INDEX(Zawodnicy[],MATCH($A34,Players!$A$2:$A$35,0),MATCH($B$13,Players!$A$1:$Y$1,0))*K$13,"-")</f>
        <v>71.5</v>
      </c>
    </row>
    <row r="35" spans="1:11" x14ac:dyDescent="0.25">
      <c r="A35" s="63">
        <f>PozycjeŚr[[#This Row],[Numer]]</f>
        <v>20</v>
      </c>
      <c r="B35" s="3" t="str">
        <f>IFERROR(VLOOKUP(PozycjeMM[[#This Row],[Numer]],Zawodnicy[[Number]:[Player name]],2,FALSE),"-")</f>
        <v>Wincent Janiczek</v>
      </c>
      <c r="C35" s="38">
        <f>IFERROR(INDEX(Zawodnicy[],MATCH($A35,Players!$A$2:$A$35,0),MATCH($B$2,Players!$A$1:$Y$1,0))*C$2+INDEX(Zawodnicy[],MATCH($A35,Players!$A$2:$A$35,0),MATCH($B$3,Players!$A$1:$Y$1,0))*C$3+INDEX(Zawodnicy[],MATCH($A35,Players!$A$2:$A$35,0),MATCH($B$4,Players!$A$1:$Y$1,0))*C$4+INDEX(Zawodnicy[],MATCH($A35,Players!$A$2:$A$35,0),MATCH($B$5,Players!$A$1:$Y$1,0))*C$5+INDEX(Zawodnicy[],MATCH($A35,Players!$A$2:$A$35,0),MATCH($B$6,Players!$A$1:$Y$1,0))*C$6+INDEX(Zawodnicy[],MATCH($A35,Players!$A$2:$A$35,0),MATCH($B$7,Players!$A$1:$Y$1,0))*C$7+INDEX(Zawodnicy[],MATCH($A35,Players!$A$2:$A$35,0),MATCH($B$8,Players!$A$1:$Y$1,0))*C$8+INDEX(Zawodnicy[],MATCH($A35,Players!$A$2:$A$35,0),MATCH($B$9,Players!$A$1:$Y$1,0))*C$9+INDEX(Zawodnicy[],MATCH($A35,Players!$A$2:$A$35,0),MATCH($B$10,Players!$A$1:$Y$1,0))*C$10+INDEX(Zawodnicy[],MATCH($A35,Players!$A$2:$A$35,0),MATCH($B$11,Players!$A$1:$Y$1,0))*C$11+INDEX(Zawodnicy[],MATCH($A35,Players!$A$2:$A$35,0),MATCH($B$12,Players!$A$1:$Y$1,0))*C$12+INDEX(Zawodnicy[],MATCH($A35,Players!$A$2:$A$35,0),MATCH($B$13,Players!$A$1:$Y$1,0))*C$13,"-")</f>
        <v>32</v>
      </c>
      <c r="D35" s="38">
        <f>IFERROR(INDEX(Zawodnicy[],MATCH($A35,Players!$A$2:$A$35,0),MATCH($B$2,Players!$A$1:$Y$1,0))*D$2+INDEX(Zawodnicy[],MATCH($A35,Players!$A$2:$A$35,0),MATCH($B$3,Players!$A$1:$Y$1,0))*D$3+INDEX(Zawodnicy[],MATCH($A35,Players!$A$2:$A$35,0),MATCH($B$4,Players!$A$1:$Y$1,0))*D$4+INDEX(Zawodnicy[],MATCH($A35,Players!$A$2:$A$35,0),MATCH($B$5,Players!$A$1:$Y$1,0))*D$5+INDEX(Zawodnicy[],MATCH($A35,Players!$A$2:$A$35,0),MATCH($B$6,Players!$A$1:$Y$1,0))*D$6+INDEX(Zawodnicy[],MATCH($A35,Players!$A$2:$A$35,0),MATCH($B$7,Players!$A$1:$Y$1,0))*D$7+INDEX(Zawodnicy[],MATCH($A35,Players!$A$2:$A$35,0),MATCH($B$8,Players!$A$1:$Y$1,0))*D$8+INDEX(Zawodnicy[],MATCH($A35,Players!$A$2:$A$35,0),MATCH($B$9,Players!$A$1:$Y$1,0))*D$9+INDEX(Zawodnicy[],MATCH($A35,Players!$A$2:$A$35,0),MATCH($B$10,Players!$A$1:$Y$1,0))*D$10+INDEX(Zawodnicy[],MATCH($A35,Players!$A$2:$A$35,0),MATCH($B$11,Players!$A$1:$Y$1,0))*D$11+INDEX(Zawodnicy[],MATCH($A35,Players!$A$2:$A$35,0),MATCH($B$12,Players!$A$1:$Y$1,0))*D$12+INDEX(Zawodnicy[],MATCH($A35,Players!$A$2:$A$35,0),MATCH($B$13,Players!$A$1:$Y$1,0))*D$13,"-")</f>
        <v>49</v>
      </c>
      <c r="E35" s="38">
        <f>IFERROR(INDEX(Zawodnicy[],MATCH($A35,Players!$A$2:$A$35,0),MATCH($B$2,Players!$A$1:$Y$1,0))*E$2+INDEX(Zawodnicy[],MATCH($A35,Players!$A$2:$A$35,0),MATCH($B$3,Players!$A$1:$Y$1,0))*E$3+INDEX(Zawodnicy[],MATCH($A35,Players!$A$2:$A$35,0),MATCH($B$4,Players!$A$1:$Y$1,0))*E$4+INDEX(Zawodnicy[],MATCH($A35,Players!$A$2:$A$35,0),MATCH($B$5,Players!$A$1:$Y$1,0))*E$5+INDEX(Zawodnicy[],MATCH($A35,Players!$A$2:$A$35,0),MATCH($B$6,Players!$A$1:$Y$1,0))*E$6+INDEX(Zawodnicy[],MATCH($A35,Players!$A$2:$A$35,0),MATCH($B$7,Players!$A$1:$Y$1,0))*E$7+INDEX(Zawodnicy[],MATCH($A35,Players!$A$2:$A$35,0),MATCH($B$8,Players!$A$1:$Y$1,0))*E$8+INDEX(Zawodnicy[],MATCH($A35,Players!$A$2:$A$35,0),MATCH($B$9,Players!$A$1:$Y$1,0))*E$9+INDEX(Zawodnicy[],MATCH($A35,Players!$A$2:$A$35,0),MATCH($B$10,Players!$A$1:$Y$1,0))*E$10+INDEX(Zawodnicy[],MATCH($A35,Players!$A$2:$A$35,0),MATCH($B$11,Players!$A$1:$Y$1,0))*E$11+INDEX(Zawodnicy[],MATCH($A35,Players!$A$2:$A$35,0),MATCH($B$12,Players!$A$1:$Y$1,0))*E$12+INDEX(Zawodnicy[],MATCH($A35,Players!$A$2:$A$35,0),MATCH($B$13,Players!$A$1:$Y$1,0))*E$13,"-")</f>
        <v>53</v>
      </c>
      <c r="F35" s="38">
        <f>IFERROR(INDEX(Zawodnicy[],MATCH($A35,Players!$A$2:$A$35,0),MATCH($B$2,Players!$A$1:$Y$1,0))*F$2+INDEX(Zawodnicy[],MATCH($A35,Players!$A$2:$A$35,0),MATCH($B$3,Players!$A$1:$Y$1,0))*F$3+INDEX(Zawodnicy[],MATCH($A35,Players!$A$2:$A$35,0),MATCH($B$4,Players!$A$1:$Y$1,0))*F$4+INDEX(Zawodnicy[],MATCH($A35,Players!$A$2:$A$35,0),MATCH($B$5,Players!$A$1:$Y$1,0))*F$5+INDEX(Zawodnicy[],MATCH($A35,Players!$A$2:$A$35,0),MATCH($B$6,Players!$A$1:$Y$1,0))*F$6+INDEX(Zawodnicy[],MATCH($A35,Players!$A$2:$A$35,0),MATCH($B$7,Players!$A$1:$Y$1,0))*F$7+INDEX(Zawodnicy[],MATCH($A35,Players!$A$2:$A$35,0),MATCH($B$8,Players!$A$1:$Y$1,0))*F$8+INDEX(Zawodnicy[],MATCH($A35,Players!$A$2:$A$35,0),MATCH($B$9,Players!$A$1:$Y$1,0))*F$9+INDEX(Zawodnicy[],MATCH($A35,Players!$A$2:$A$35,0),MATCH($B$10,Players!$A$1:$Y$1,0))*F$10+INDEX(Zawodnicy[],MATCH($A35,Players!$A$2:$A$35,0),MATCH($B$11,Players!$A$1:$Y$1,0))*F$11+INDEX(Zawodnicy[],MATCH($A35,Players!$A$2:$A$35,0),MATCH($B$12,Players!$A$1:$Y$1,0))*F$12+INDEX(Zawodnicy[],MATCH($A35,Players!$A$2:$A$35,0),MATCH($B$13,Players!$A$1:$Y$1,0))*F$13,"-")</f>
        <v>52</v>
      </c>
      <c r="G35" s="38">
        <f>IFERROR(INDEX(Zawodnicy[],MATCH($A35,Players!$A$2:$A$35,0),MATCH($B$2,Players!$A$1:$Y$1,0))*G$2+INDEX(Zawodnicy[],MATCH($A35,Players!$A$2:$A$35,0),MATCH($B$3,Players!$A$1:$Y$1,0))*G$3+INDEX(Zawodnicy[],MATCH($A35,Players!$A$2:$A$35,0),MATCH($B$4,Players!$A$1:$Y$1,0))*G$4+INDEX(Zawodnicy[],MATCH($A35,Players!$A$2:$A$35,0),MATCH($B$5,Players!$A$1:$Y$1,0))*G$5+INDEX(Zawodnicy[],MATCH($A35,Players!$A$2:$A$35,0),MATCH($B$6,Players!$A$1:$Y$1,0))*G$6+INDEX(Zawodnicy[],MATCH($A35,Players!$A$2:$A$35,0),MATCH($B$7,Players!$A$1:$Y$1,0))*G$7+INDEX(Zawodnicy[],MATCH($A35,Players!$A$2:$A$35,0),MATCH($B$8,Players!$A$1:$Y$1,0))*G$8+INDEX(Zawodnicy[],MATCH($A35,Players!$A$2:$A$35,0),MATCH($B$9,Players!$A$1:$Y$1,0))*G$9+INDEX(Zawodnicy[],MATCH($A35,Players!$A$2:$A$35,0),MATCH($B$10,Players!$A$1:$Y$1,0))*G$10+INDEX(Zawodnicy[],MATCH($A35,Players!$A$2:$A$35,0),MATCH($B$11,Players!$A$1:$Y$1,0))*G$11+INDEX(Zawodnicy[],MATCH($A35,Players!$A$2:$A$35,0),MATCH($B$12,Players!$A$1:$Y$1,0))*G$12+INDEX(Zawodnicy[],MATCH($A35,Players!$A$2:$A$35,0),MATCH($B$13,Players!$A$1:$Y$1,0))*G$13,"-")</f>
        <v>52</v>
      </c>
      <c r="H35" s="38">
        <f>IFERROR(INDEX(Zawodnicy[],MATCH($A35,Players!$A$2:$A$35,0),MATCH($B$2,Players!$A$1:$Y$1,0))*H$2+INDEX(Zawodnicy[],MATCH($A35,Players!$A$2:$A$35,0),MATCH($B$3,Players!$A$1:$Y$1,0))*H$3+INDEX(Zawodnicy[],MATCH($A35,Players!$A$2:$A$35,0),MATCH($B$4,Players!$A$1:$Y$1,0))*H$4+INDEX(Zawodnicy[],MATCH($A35,Players!$A$2:$A$35,0),MATCH($B$5,Players!$A$1:$Y$1,0))*H$5+INDEX(Zawodnicy[],MATCH($A35,Players!$A$2:$A$35,0),MATCH($B$6,Players!$A$1:$Y$1,0))*H$6+INDEX(Zawodnicy[],MATCH($A35,Players!$A$2:$A$35,0),MATCH($B$7,Players!$A$1:$Y$1,0))*H$7+INDEX(Zawodnicy[],MATCH($A35,Players!$A$2:$A$35,0),MATCH($B$8,Players!$A$1:$Y$1,0))*H$8+INDEX(Zawodnicy[],MATCH($A35,Players!$A$2:$A$35,0),MATCH($B$9,Players!$A$1:$Y$1,0))*H$9+INDEX(Zawodnicy[],MATCH($A35,Players!$A$2:$A$35,0),MATCH($B$10,Players!$A$1:$Y$1,0))*H$10+INDEX(Zawodnicy[],MATCH($A35,Players!$A$2:$A$35,0),MATCH($B$11,Players!$A$1:$Y$1,0))*H$11+INDEX(Zawodnicy[],MATCH($A35,Players!$A$2:$A$35,0),MATCH($B$12,Players!$A$1:$Y$1,0))*H$12+INDEX(Zawodnicy[],MATCH($A35,Players!$A$2:$A$35,0),MATCH($B$13,Players!$A$1:$Y$1,0))*H$13,"-")</f>
        <v>60</v>
      </c>
      <c r="I35" s="38">
        <f>IFERROR(INDEX(Zawodnicy[],MATCH($A35,Players!$A$2:$A$35,0),MATCH($B$2,Players!$A$1:$Y$1,0))*I$2+INDEX(Zawodnicy[],MATCH($A35,Players!$A$2:$A$35,0),MATCH($B$3,Players!$A$1:$Y$1,0))*I$3+INDEX(Zawodnicy[],MATCH($A35,Players!$A$2:$A$35,0),MATCH($B$4,Players!$A$1:$Y$1,0))*I$4+INDEX(Zawodnicy[],MATCH($A35,Players!$A$2:$A$35,0),MATCH($B$5,Players!$A$1:$Y$1,0))*I$5+INDEX(Zawodnicy[],MATCH($A35,Players!$A$2:$A$35,0),MATCH($B$6,Players!$A$1:$Y$1,0))*I$6+INDEX(Zawodnicy[],MATCH($A35,Players!$A$2:$A$35,0),MATCH($B$7,Players!$A$1:$Y$1,0))*I$7+INDEX(Zawodnicy[],MATCH($A35,Players!$A$2:$A$35,0),MATCH($B$8,Players!$A$1:$Y$1,0))*I$8+INDEX(Zawodnicy[],MATCH($A35,Players!$A$2:$A$35,0),MATCH($B$9,Players!$A$1:$Y$1,0))*I$9+INDEX(Zawodnicy[],MATCH($A35,Players!$A$2:$A$35,0),MATCH($B$10,Players!$A$1:$Y$1,0))*I$10+INDEX(Zawodnicy[],MATCH($A35,Players!$A$2:$A$35,0),MATCH($B$11,Players!$A$1:$Y$1,0))*I$11+INDEX(Zawodnicy[],MATCH($A35,Players!$A$2:$A$35,0),MATCH($B$12,Players!$A$1:$Y$1,0))*I$12+INDEX(Zawodnicy[],MATCH($A35,Players!$A$2:$A$35,0),MATCH($B$13,Players!$A$1:$Y$1,0))*I$13,"-")</f>
        <v>58</v>
      </c>
      <c r="J35" s="38">
        <f>IFERROR(INDEX(Zawodnicy[],MATCH($A35,Players!$A$2:$A$35,0),MATCH($B$2,Players!$A$1:$Y$1,0))*J$2+INDEX(Zawodnicy[],MATCH($A35,Players!$A$2:$A$35,0),MATCH($B$3,Players!$A$1:$Y$1,0))*J$3+INDEX(Zawodnicy[],MATCH($A35,Players!$A$2:$A$35,0),MATCH($B$4,Players!$A$1:$Y$1,0))*J$4+INDEX(Zawodnicy[],MATCH($A35,Players!$A$2:$A$35,0),MATCH($B$5,Players!$A$1:$Y$1,0))*J$5+INDEX(Zawodnicy[],MATCH($A35,Players!$A$2:$A$35,0),MATCH($B$6,Players!$A$1:$Y$1,0))*J$6+INDEX(Zawodnicy[],MATCH($A35,Players!$A$2:$A$35,0),MATCH($B$7,Players!$A$1:$Y$1,0))*J$7+INDEX(Zawodnicy[],MATCH($A35,Players!$A$2:$A$35,0),MATCH($B$8,Players!$A$1:$Y$1,0))*J$8+INDEX(Zawodnicy[],MATCH($A35,Players!$A$2:$A$35,0),MATCH($B$9,Players!$A$1:$Y$1,0))*J$9+INDEX(Zawodnicy[],MATCH($A35,Players!$A$2:$A$35,0),MATCH($B$10,Players!$A$1:$Y$1,0))*J$10+INDEX(Zawodnicy[],MATCH($A35,Players!$A$2:$A$35,0),MATCH($B$11,Players!$A$1:$Y$1,0))*J$11+INDEX(Zawodnicy[],MATCH($A35,Players!$A$2:$A$35,0),MATCH($B$12,Players!$A$1:$Y$1,0))*J$12+INDEX(Zawodnicy[],MATCH($A35,Players!$A$2:$A$35,0),MATCH($B$13,Players!$A$1:$Y$1,0))*J$13,"-")</f>
        <v>55</v>
      </c>
      <c r="K35" s="38">
        <f>IFERROR(INDEX(Zawodnicy[],MATCH($A35,Players!$A$2:$A$35,0),MATCH($B$2,Players!$A$1:$Y$1,0))*K$2+INDEX(Zawodnicy[],MATCH($A35,Players!$A$2:$A$35,0),MATCH($B$3,Players!$A$1:$Y$1,0))*K$3+INDEX(Zawodnicy[],MATCH($A35,Players!$A$2:$A$35,0),MATCH($B$4,Players!$A$1:$Y$1,0))*K$4+INDEX(Zawodnicy[],MATCH($A35,Players!$A$2:$A$35,0),MATCH($B$5,Players!$A$1:$Y$1,0))*K$5+INDEX(Zawodnicy[],MATCH($A35,Players!$A$2:$A$35,0),MATCH($B$6,Players!$A$1:$Y$1,0))*K$6+INDEX(Zawodnicy[],MATCH($A35,Players!$A$2:$A$35,0),MATCH($B$7,Players!$A$1:$Y$1,0))*K$7+INDEX(Zawodnicy[],MATCH($A35,Players!$A$2:$A$35,0),MATCH($B$8,Players!$A$1:$Y$1,0))*K$8+INDEX(Zawodnicy[],MATCH($A35,Players!$A$2:$A$35,0),MATCH($B$9,Players!$A$1:$Y$1,0))*K$9+INDEX(Zawodnicy[],MATCH($A35,Players!$A$2:$A$35,0),MATCH($B$10,Players!$A$1:$Y$1,0))*K$10+INDEX(Zawodnicy[],MATCH($A35,Players!$A$2:$A$35,0),MATCH($B$11,Players!$A$1:$Y$1,0))*K$11+INDEX(Zawodnicy[],MATCH($A35,Players!$A$2:$A$35,0),MATCH($B$12,Players!$A$1:$Y$1,0))*K$12+INDEX(Zawodnicy[],MATCH($A35,Players!$A$2:$A$35,0),MATCH($B$13,Players!$A$1:$Y$1,0))*K$13,"-")</f>
        <v>54</v>
      </c>
    </row>
    <row r="36" spans="1:11" x14ac:dyDescent="0.25">
      <c r="A36" s="63">
        <f>PozycjeŚr[[#This Row],[Numer]]</f>
        <v>22</v>
      </c>
      <c r="B36" s="67" t="str">
        <f>IFERROR(VLOOKUP(PozycjeMM[[#This Row],[Numer]],Zawodnicy[[Number]:[Player name]],2,FALSE),"-")</f>
        <v>Daniel Dziewulski</v>
      </c>
      <c r="C36" s="38">
        <f>IFERROR(INDEX(Zawodnicy[],MATCH($A36,Players!$A$2:$A$35,0),MATCH($B$2,Players!$A$1:$Y$1,0))*C$2+INDEX(Zawodnicy[],MATCH($A36,Players!$A$2:$A$35,0),MATCH($B$3,Players!$A$1:$Y$1,0))*C$3+INDEX(Zawodnicy[],MATCH($A36,Players!$A$2:$A$35,0),MATCH($B$4,Players!$A$1:$Y$1,0))*C$4+INDEX(Zawodnicy[],MATCH($A36,Players!$A$2:$A$35,0),MATCH($B$5,Players!$A$1:$Y$1,0))*C$5+INDEX(Zawodnicy[],MATCH($A36,Players!$A$2:$A$35,0),MATCH($B$6,Players!$A$1:$Y$1,0))*C$6+INDEX(Zawodnicy[],MATCH($A36,Players!$A$2:$A$35,0),MATCH($B$7,Players!$A$1:$Y$1,0))*C$7+INDEX(Zawodnicy[],MATCH($A36,Players!$A$2:$A$35,0),MATCH($B$8,Players!$A$1:$Y$1,0))*C$8+INDEX(Zawodnicy[],MATCH($A36,Players!$A$2:$A$35,0),MATCH($B$9,Players!$A$1:$Y$1,0))*C$9+INDEX(Zawodnicy[],MATCH($A36,Players!$A$2:$A$35,0),MATCH($B$10,Players!$A$1:$Y$1,0))*C$10+INDEX(Zawodnicy[],MATCH($A36,Players!$A$2:$A$35,0),MATCH($B$11,Players!$A$1:$Y$1,0))*C$11+INDEX(Zawodnicy[],MATCH($A36,Players!$A$2:$A$35,0),MATCH($B$12,Players!$A$1:$Y$1,0))*C$12+INDEX(Zawodnicy[],MATCH($A36,Players!$A$2:$A$35,0),MATCH($B$13,Players!$A$1:$Y$1,0))*C$13,"-")</f>
        <v>26.5</v>
      </c>
      <c r="D36" s="38">
        <f>IFERROR(INDEX(Zawodnicy[],MATCH($A36,Players!$A$2:$A$35,0),MATCH($B$2,Players!$A$1:$Y$1,0))*D$2+INDEX(Zawodnicy[],MATCH($A36,Players!$A$2:$A$35,0),MATCH($B$3,Players!$A$1:$Y$1,0))*D$3+INDEX(Zawodnicy[],MATCH($A36,Players!$A$2:$A$35,0),MATCH($B$4,Players!$A$1:$Y$1,0))*D$4+INDEX(Zawodnicy[],MATCH($A36,Players!$A$2:$A$35,0),MATCH($B$5,Players!$A$1:$Y$1,0))*D$5+INDEX(Zawodnicy[],MATCH($A36,Players!$A$2:$A$35,0),MATCH($B$6,Players!$A$1:$Y$1,0))*D$6+INDEX(Zawodnicy[],MATCH($A36,Players!$A$2:$A$35,0),MATCH($B$7,Players!$A$1:$Y$1,0))*D$7+INDEX(Zawodnicy[],MATCH($A36,Players!$A$2:$A$35,0),MATCH($B$8,Players!$A$1:$Y$1,0))*D$8+INDEX(Zawodnicy[],MATCH($A36,Players!$A$2:$A$35,0),MATCH($B$9,Players!$A$1:$Y$1,0))*D$9+INDEX(Zawodnicy[],MATCH($A36,Players!$A$2:$A$35,0),MATCH($B$10,Players!$A$1:$Y$1,0))*D$10+INDEX(Zawodnicy[],MATCH($A36,Players!$A$2:$A$35,0),MATCH($B$11,Players!$A$1:$Y$1,0))*D$11+INDEX(Zawodnicy[],MATCH($A36,Players!$A$2:$A$35,0),MATCH($B$12,Players!$A$1:$Y$1,0))*D$12+INDEX(Zawodnicy[],MATCH($A36,Players!$A$2:$A$35,0),MATCH($B$13,Players!$A$1:$Y$1,0))*D$13,"-")</f>
        <v>34.5</v>
      </c>
      <c r="E36" s="38">
        <f>IFERROR(INDEX(Zawodnicy[],MATCH($A36,Players!$A$2:$A$35,0),MATCH($B$2,Players!$A$1:$Y$1,0))*E$2+INDEX(Zawodnicy[],MATCH($A36,Players!$A$2:$A$35,0),MATCH($B$3,Players!$A$1:$Y$1,0))*E$3+INDEX(Zawodnicy[],MATCH($A36,Players!$A$2:$A$35,0),MATCH($B$4,Players!$A$1:$Y$1,0))*E$4+INDEX(Zawodnicy[],MATCH($A36,Players!$A$2:$A$35,0),MATCH($B$5,Players!$A$1:$Y$1,0))*E$5+INDEX(Zawodnicy[],MATCH($A36,Players!$A$2:$A$35,0),MATCH($B$6,Players!$A$1:$Y$1,0))*E$6+INDEX(Zawodnicy[],MATCH($A36,Players!$A$2:$A$35,0),MATCH($B$7,Players!$A$1:$Y$1,0))*E$7+INDEX(Zawodnicy[],MATCH($A36,Players!$A$2:$A$35,0),MATCH($B$8,Players!$A$1:$Y$1,0))*E$8+INDEX(Zawodnicy[],MATCH($A36,Players!$A$2:$A$35,0),MATCH($B$9,Players!$A$1:$Y$1,0))*E$9+INDEX(Zawodnicy[],MATCH($A36,Players!$A$2:$A$35,0),MATCH($B$10,Players!$A$1:$Y$1,0))*E$10+INDEX(Zawodnicy[],MATCH($A36,Players!$A$2:$A$35,0),MATCH($B$11,Players!$A$1:$Y$1,0))*E$11+INDEX(Zawodnicy[],MATCH($A36,Players!$A$2:$A$35,0),MATCH($B$12,Players!$A$1:$Y$1,0))*E$12+INDEX(Zawodnicy[],MATCH($A36,Players!$A$2:$A$35,0),MATCH($B$13,Players!$A$1:$Y$1,0))*E$13,"-")</f>
        <v>42.5</v>
      </c>
      <c r="F36" s="38">
        <f>IFERROR(INDEX(Zawodnicy[],MATCH($A36,Players!$A$2:$A$35,0),MATCH($B$2,Players!$A$1:$Y$1,0))*F$2+INDEX(Zawodnicy[],MATCH($A36,Players!$A$2:$A$35,0),MATCH($B$3,Players!$A$1:$Y$1,0))*F$3+INDEX(Zawodnicy[],MATCH($A36,Players!$A$2:$A$35,0),MATCH($B$4,Players!$A$1:$Y$1,0))*F$4+INDEX(Zawodnicy[],MATCH($A36,Players!$A$2:$A$35,0),MATCH($B$5,Players!$A$1:$Y$1,0))*F$5+INDEX(Zawodnicy[],MATCH($A36,Players!$A$2:$A$35,0),MATCH($B$6,Players!$A$1:$Y$1,0))*F$6+INDEX(Zawodnicy[],MATCH($A36,Players!$A$2:$A$35,0),MATCH($B$7,Players!$A$1:$Y$1,0))*F$7+INDEX(Zawodnicy[],MATCH($A36,Players!$A$2:$A$35,0),MATCH($B$8,Players!$A$1:$Y$1,0))*F$8+INDEX(Zawodnicy[],MATCH($A36,Players!$A$2:$A$35,0),MATCH($B$9,Players!$A$1:$Y$1,0))*F$9+INDEX(Zawodnicy[],MATCH($A36,Players!$A$2:$A$35,0),MATCH($B$10,Players!$A$1:$Y$1,0))*F$10+INDEX(Zawodnicy[],MATCH($A36,Players!$A$2:$A$35,0),MATCH($B$11,Players!$A$1:$Y$1,0))*F$11+INDEX(Zawodnicy[],MATCH($A36,Players!$A$2:$A$35,0),MATCH($B$12,Players!$A$1:$Y$1,0))*F$12+INDEX(Zawodnicy[],MATCH($A36,Players!$A$2:$A$35,0),MATCH($B$13,Players!$A$1:$Y$1,0))*F$13,"-")</f>
        <v>46.5</v>
      </c>
      <c r="G36" s="38">
        <f>IFERROR(INDEX(Zawodnicy[],MATCH($A36,Players!$A$2:$A$35,0),MATCH($B$2,Players!$A$1:$Y$1,0))*G$2+INDEX(Zawodnicy[],MATCH($A36,Players!$A$2:$A$35,0),MATCH($B$3,Players!$A$1:$Y$1,0))*G$3+INDEX(Zawodnicy[],MATCH($A36,Players!$A$2:$A$35,0),MATCH($B$4,Players!$A$1:$Y$1,0))*G$4+INDEX(Zawodnicy[],MATCH($A36,Players!$A$2:$A$35,0),MATCH($B$5,Players!$A$1:$Y$1,0))*G$5+INDEX(Zawodnicy[],MATCH($A36,Players!$A$2:$A$35,0),MATCH($B$6,Players!$A$1:$Y$1,0))*G$6+INDEX(Zawodnicy[],MATCH($A36,Players!$A$2:$A$35,0),MATCH($B$7,Players!$A$1:$Y$1,0))*G$7+INDEX(Zawodnicy[],MATCH($A36,Players!$A$2:$A$35,0),MATCH($B$8,Players!$A$1:$Y$1,0))*G$8+INDEX(Zawodnicy[],MATCH($A36,Players!$A$2:$A$35,0),MATCH($B$9,Players!$A$1:$Y$1,0))*G$9+INDEX(Zawodnicy[],MATCH($A36,Players!$A$2:$A$35,0),MATCH($B$10,Players!$A$1:$Y$1,0))*G$10+INDEX(Zawodnicy[],MATCH($A36,Players!$A$2:$A$35,0),MATCH($B$11,Players!$A$1:$Y$1,0))*G$11+INDEX(Zawodnicy[],MATCH($A36,Players!$A$2:$A$35,0),MATCH($B$12,Players!$A$1:$Y$1,0))*G$12+INDEX(Zawodnicy[],MATCH($A36,Players!$A$2:$A$35,0),MATCH($B$13,Players!$A$1:$Y$1,0))*G$13,"-")</f>
        <v>47</v>
      </c>
      <c r="H36" s="38">
        <f>IFERROR(INDEX(Zawodnicy[],MATCH($A36,Players!$A$2:$A$35,0),MATCH($B$2,Players!$A$1:$Y$1,0))*H$2+INDEX(Zawodnicy[],MATCH($A36,Players!$A$2:$A$35,0),MATCH($B$3,Players!$A$1:$Y$1,0))*H$3+INDEX(Zawodnicy[],MATCH($A36,Players!$A$2:$A$35,0),MATCH($B$4,Players!$A$1:$Y$1,0))*H$4+INDEX(Zawodnicy[],MATCH($A36,Players!$A$2:$A$35,0),MATCH($B$5,Players!$A$1:$Y$1,0))*H$5+INDEX(Zawodnicy[],MATCH($A36,Players!$A$2:$A$35,0),MATCH($B$6,Players!$A$1:$Y$1,0))*H$6+INDEX(Zawodnicy[],MATCH($A36,Players!$A$2:$A$35,0),MATCH($B$7,Players!$A$1:$Y$1,0))*H$7+INDEX(Zawodnicy[],MATCH($A36,Players!$A$2:$A$35,0),MATCH($B$8,Players!$A$1:$Y$1,0))*H$8+INDEX(Zawodnicy[],MATCH($A36,Players!$A$2:$A$35,0),MATCH($B$9,Players!$A$1:$Y$1,0))*H$9+INDEX(Zawodnicy[],MATCH($A36,Players!$A$2:$A$35,0),MATCH($B$10,Players!$A$1:$Y$1,0))*H$10+INDEX(Zawodnicy[],MATCH($A36,Players!$A$2:$A$35,0),MATCH($B$11,Players!$A$1:$Y$1,0))*H$11+INDEX(Zawodnicy[],MATCH($A36,Players!$A$2:$A$35,0),MATCH($B$12,Players!$A$1:$Y$1,0))*H$12+INDEX(Zawodnicy[],MATCH($A36,Players!$A$2:$A$35,0),MATCH($B$13,Players!$A$1:$Y$1,0))*H$13,"-")</f>
        <v>55.5</v>
      </c>
      <c r="I36" s="38">
        <f>IFERROR(INDEX(Zawodnicy[],MATCH($A36,Players!$A$2:$A$35,0),MATCH($B$2,Players!$A$1:$Y$1,0))*I$2+INDEX(Zawodnicy[],MATCH($A36,Players!$A$2:$A$35,0),MATCH($B$3,Players!$A$1:$Y$1,0))*I$3+INDEX(Zawodnicy[],MATCH($A36,Players!$A$2:$A$35,0),MATCH($B$4,Players!$A$1:$Y$1,0))*I$4+INDEX(Zawodnicy[],MATCH($A36,Players!$A$2:$A$35,0),MATCH($B$5,Players!$A$1:$Y$1,0))*I$5+INDEX(Zawodnicy[],MATCH($A36,Players!$A$2:$A$35,0),MATCH($B$6,Players!$A$1:$Y$1,0))*I$6+INDEX(Zawodnicy[],MATCH($A36,Players!$A$2:$A$35,0),MATCH($B$7,Players!$A$1:$Y$1,0))*I$7+INDEX(Zawodnicy[],MATCH($A36,Players!$A$2:$A$35,0),MATCH($B$8,Players!$A$1:$Y$1,0))*I$8+INDEX(Zawodnicy[],MATCH($A36,Players!$A$2:$A$35,0),MATCH($B$9,Players!$A$1:$Y$1,0))*I$9+INDEX(Zawodnicy[],MATCH($A36,Players!$A$2:$A$35,0),MATCH($B$10,Players!$A$1:$Y$1,0))*I$10+INDEX(Zawodnicy[],MATCH($A36,Players!$A$2:$A$35,0),MATCH($B$11,Players!$A$1:$Y$1,0))*I$11+INDEX(Zawodnicy[],MATCH($A36,Players!$A$2:$A$35,0),MATCH($B$12,Players!$A$1:$Y$1,0))*I$12+INDEX(Zawodnicy[],MATCH($A36,Players!$A$2:$A$35,0),MATCH($B$13,Players!$A$1:$Y$1,0))*I$13,"-")</f>
        <v>51.5</v>
      </c>
      <c r="J36" s="38">
        <f>IFERROR(INDEX(Zawodnicy[],MATCH($A36,Players!$A$2:$A$35,0),MATCH($B$2,Players!$A$1:$Y$1,0))*J$2+INDEX(Zawodnicy[],MATCH($A36,Players!$A$2:$A$35,0),MATCH($B$3,Players!$A$1:$Y$1,0))*J$3+INDEX(Zawodnicy[],MATCH($A36,Players!$A$2:$A$35,0),MATCH($B$4,Players!$A$1:$Y$1,0))*J$4+INDEX(Zawodnicy[],MATCH($A36,Players!$A$2:$A$35,0),MATCH($B$5,Players!$A$1:$Y$1,0))*J$5+INDEX(Zawodnicy[],MATCH($A36,Players!$A$2:$A$35,0),MATCH($B$6,Players!$A$1:$Y$1,0))*J$6+INDEX(Zawodnicy[],MATCH($A36,Players!$A$2:$A$35,0),MATCH($B$7,Players!$A$1:$Y$1,0))*J$7+INDEX(Zawodnicy[],MATCH($A36,Players!$A$2:$A$35,0),MATCH($B$8,Players!$A$1:$Y$1,0))*J$8+INDEX(Zawodnicy[],MATCH($A36,Players!$A$2:$A$35,0),MATCH($B$9,Players!$A$1:$Y$1,0))*J$9+INDEX(Zawodnicy[],MATCH($A36,Players!$A$2:$A$35,0),MATCH($B$10,Players!$A$1:$Y$1,0))*J$10+INDEX(Zawodnicy[],MATCH($A36,Players!$A$2:$A$35,0),MATCH($B$11,Players!$A$1:$Y$1,0))*J$11+INDEX(Zawodnicy[],MATCH($A36,Players!$A$2:$A$35,0),MATCH($B$12,Players!$A$1:$Y$1,0))*J$12+INDEX(Zawodnicy[],MATCH($A36,Players!$A$2:$A$35,0),MATCH($B$13,Players!$A$1:$Y$1,0))*J$13,"-")</f>
        <v>48.5</v>
      </c>
      <c r="K36" s="38">
        <f>IFERROR(INDEX(Zawodnicy[],MATCH($A36,Players!$A$2:$A$35,0),MATCH($B$2,Players!$A$1:$Y$1,0))*K$2+INDEX(Zawodnicy[],MATCH($A36,Players!$A$2:$A$35,0),MATCH($B$3,Players!$A$1:$Y$1,0))*K$3+INDEX(Zawodnicy[],MATCH($A36,Players!$A$2:$A$35,0),MATCH($B$4,Players!$A$1:$Y$1,0))*K$4+INDEX(Zawodnicy[],MATCH($A36,Players!$A$2:$A$35,0),MATCH($B$5,Players!$A$1:$Y$1,0))*K$5+INDEX(Zawodnicy[],MATCH($A36,Players!$A$2:$A$35,0),MATCH($B$6,Players!$A$1:$Y$1,0))*K$6+INDEX(Zawodnicy[],MATCH($A36,Players!$A$2:$A$35,0),MATCH($B$7,Players!$A$1:$Y$1,0))*K$7+INDEX(Zawodnicy[],MATCH($A36,Players!$A$2:$A$35,0),MATCH($B$8,Players!$A$1:$Y$1,0))*K$8+INDEX(Zawodnicy[],MATCH($A36,Players!$A$2:$A$35,0),MATCH($B$9,Players!$A$1:$Y$1,0))*K$9+INDEX(Zawodnicy[],MATCH($A36,Players!$A$2:$A$35,0),MATCH($B$10,Players!$A$1:$Y$1,0))*K$10+INDEX(Zawodnicy[],MATCH($A36,Players!$A$2:$A$35,0),MATCH($B$11,Players!$A$1:$Y$1,0))*K$11+INDEX(Zawodnicy[],MATCH($A36,Players!$A$2:$A$35,0),MATCH($B$12,Players!$A$1:$Y$1,0))*K$12+INDEX(Zawodnicy[],MATCH($A36,Players!$A$2:$A$35,0),MATCH($B$13,Players!$A$1:$Y$1,0))*K$13,"-")</f>
        <v>39.5</v>
      </c>
    </row>
    <row r="37" spans="1:11" x14ac:dyDescent="0.25">
      <c r="A37" s="63">
        <f>PozycjeŚr[[#This Row],[Numer]]</f>
        <v>25</v>
      </c>
      <c r="B37" s="67" t="str">
        <f>IFERROR(VLOOKUP(PozycjeMM[[#This Row],[Numer]],Zawodnicy[[Number]:[Player name]],2,FALSE),"-")</f>
        <v>Jakub Ludwiczak</v>
      </c>
      <c r="C37" s="38">
        <f>IFERROR(INDEX(Zawodnicy[],MATCH($A37,Players!$A$2:$A$35,0),MATCH($B$2,Players!$A$1:$Y$1,0))*C$2+INDEX(Zawodnicy[],MATCH($A37,Players!$A$2:$A$35,0),MATCH($B$3,Players!$A$1:$Y$1,0))*C$3+INDEX(Zawodnicy[],MATCH($A37,Players!$A$2:$A$35,0),MATCH($B$4,Players!$A$1:$Y$1,0))*C$4+INDEX(Zawodnicy[],MATCH($A37,Players!$A$2:$A$35,0),MATCH($B$5,Players!$A$1:$Y$1,0))*C$5+INDEX(Zawodnicy[],MATCH($A37,Players!$A$2:$A$35,0),MATCH($B$6,Players!$A$1:$Y$1,0))*C$6+INDEX(Zawodnicy[],MATCH($A37,Players!$A$2:$A$35,0),MATCH($B$7,Players!$A$1:$Y$1,0))*C$7+INDEX(Zawodnicy[],MATCH($A37,Players!$A$2:$A$35,0),MATCH($B$8,Players!$A$1:$Y$1,0))*C$8+INDEX(Zawodnicy[],MATCH($A37,Players!$A$2:$A$35,0),MATCH($B$9,Players!$A$1:$Y$1,0))*C$9+INDEX(Zawodnicy[],MATCH($A37,Players!$A$2:$A$35,0),MATCH($B$10,Players!$A$1:$Y$1,0))*C$10+INDEX(Zawodnicy[],MATCH($A37,Players!$A$2:$A$35,0),MATCH($B$11,Players!$A$1:$Y$1,0))*C$11+INDEX(Zawodnicy[],MATCH($A37,Players!$A$2:$A$35,0),MATCH($B$12,Players!$A$1:$Y$1,0))*C$12+INDEX(Zawodnicy[],MATCH($A37,Players!$A$2:$A$35,0),MATCH($B$13,Players!$A$1:$Y$1,0))*C$13,"-")</f>
        <v>28</v>
      </c>
      <c r="D37" s="38">
        <f>IFERROR(INDEX(Zawodnicy[],MATCH($A37,Players!$A$2:$A$35,0),MATCH($B$2,Players!$A$1:$Y$1,0))*D$2+INDEX(Zawodnicy[],MATCH($A37,Players!$A$2:$A$35,0),MATCH($B$3,Players!$A$1:$Y$1,0))*D$3+INDEX(Zawodnicy[],MATCH($A37,Players!$A$2:$A$35,0),MATCH($B$4,Players!$A$1:$Y$1,0))*D$4+INDEX(Zawodnicy[],MATCH($A37,Players!$A$2:$A$35,0),MATCH($B$5,Players!$A$1:$Y$1,0))*D$5+INDEX(Zawodnicy[],MATCH($A37,Players!$A$2:$A$35,0),MATCH($B$6,Players!$A$1:$Y$1,0))*D$6+INDEX(Zawodnicy[],MATCH($A37,Players!$A$2:$A$35,0),MATCH($B$7,Players!$A$1:$Y$1,0))*D$7+INDEX(Zawodnicy[],MATCH($A37,Players!$A$2:$A$35,0),MATCH($B$8,Players!$A$1:$Y$1,0))*D$8+INDEX(Zawodnicy[],MATCH($A37,Players!$A$2:$A$35,0),MATCH($B$9,Players!$A$1:$Y$1,0))*D$9+INDEX(Zawodnicy[],MATCH($A37,Players!$A$2:$A$35,0),MATCH($B$10,Players!$A$1:$Y$1,0))*D$10+INDEX(Zawodnicy[],MATCH($A37,Players!$A$2:$A$35,0),MATCH($B$11,Players!$A$1:$Y$1,0))*D$11+INDEX(Zawodnicy[],MATCH($A37,Players!$A$2:$A$35,0),MATCH($B$12,Players!$A$1:$Y$1,0))*D$12+INDEX(Zawodnicy[],MATCH($A37,Players!$A$2:$A$35,0),MATCH($B$13,Players!$A$1:$Y$1,0))*D$13,"-")</f>
        <v>37.5</v>
      </c>
      <c r="E37" s="38">
        <f>IFERROR(INDEX(Zawodnicy[],MATCH($A37,Players!$A$2:$A$35,0),MATCH($B$2,Players!$A$1:$Y$1,0))*E$2+INDEX(Zawodnicy[],MATCH($A37,Players!$A$2:$A$35,0),MATCH($B$3,Players!$A$1:$Y$1,0))*E$3+INDEX(Zawodnicy[],MATCH($A37,Players!$A$2:$A$35,0),MATCH($B$4,Players!$A$1:$Y$1,0))*E$4+INDEX(Zawodnicy[],MATCH($A37,Players!$A$2:$A$35,0),MATCH($B$5,Players!$A$1:$Y$1,0))*E$5+INDEX(Zawodnicy[],MATCH($A37,Players!$A$2:$A$35,0),MATCH($B$6,Players!$A$1:$Y$1,0))*E$6+INDEX(Zawodnicy[],MATCH($A37,Players!$A$2:$A$35,0),MATCH($B$7,Players!$A$1:$Y$1,0))*E$7+INDEX(Zawodnicy[],MATCH($A37,Players!$A$2:$A$35,0),MATCH($B$8,Players!$A$1:$Y$1,0))*E$8+INDEX(Zawodnicy[],MATCH($A37,Players!$A$2:$A$35,0),MATCH($B$9,Players!$A$1:$Y$1,0))*E$9+INDEX(Zawodnicy[],MATCH($A37,Players!$A$2:$A$35,0),MATCH($B$10,Players!$A$1:$Y$1,0))*E$10+INDEX(Zawodnicy[],MATCH($A37,Players!$A$2:$A$35,0),MATCH($B$11,Players!$A$1:$Y$1,0))*E$11+INDEX(Zawodnicy[],MATCH($A37,Players!$A$2:$A$35,0),MATCH($B$12,Players!$A$1:$Y$1,0))*E$12+INDEX(Zawodnicy[],MATCH($A37,Players!$A$2:$A$35,0),MATCH($B$13,Players!$A$1:$Y$1,0))*E$13,"-")</f>
        <v>43.5</v>
      </c>
      <c r="F37" s="38">
        <f>IFERROR(INDEX(Zawodnicy[],MATCH($A37,Players!$A$2:$A$35,0),MATCH($B$2,Players!$A$1:$Y$1,0))*F$2+INDEX(Zawodnicy[],MATCH($A37,Players!$A$2:$A$35,0),MATCH($B$3,Players!$A$1:$Y$1,0))*F$3+INDEX(Zawodnicy[],MATCH($A37,Players!$A$2:$A$35,0),MATCH($B$4,Players!$A$1:$Y$1,0))*F$4+INDEX(Zawodnicy[],MATCH($A37,Players!$A$2:$A$35,0),MATCH($B$5,Players!$A$1:$Y$1,0))*F$5+INDEX(Zawodnicy[],MATCH($A37,Players!$A$2:$A$35,0),MATCH($B$6,Players!$A$1:$Y$1,0))*F$6+INDEX(Zawodnicy[],MATCH($A37,Players!$A$2:$A$35,0),MATCH($B$7,Players!$A$1:$Y$1,0))*F$7+INDEX(Zawodnicy[],MATCH($A37,Players!$A$2:$A$35,0),MATCH($B$8,Players!$A$1:$Y$1,0))*F$8+INDEX(Zawodnicy[],MATCH($A37,Players!$A$2:$A$35,0),MATCH($B$9,Players!$A$1:$Y$1,0))*F$9+INDEX(Zawodnicy[],MATCH($A37,Players!$A$2:$A$35,0),MATCH($B$10,Players!$A$1:$Y$1,0))*F$10+INDEX(Zawodnicy[],MATCH($A37,Players!$A$2:$A$35,0),MATCH($B$11,Players!$A$1:$Y$1,0))*F$11+INDEX(Zawodnicy[],MATCH($A37,Players!$A$2:$A$35,0),MATCH($B$12,Players!$A$1:$Y$1,0))*F$12+INDEX(Zawodnicy[],MATCH($A37,Players!$A$2:$A$35,0),MATCH($B$13,Players!$A$1:$Y$1,0))*F$13,"-")</f>
        <v>53.5</v>
      </c>
      <c r="G37" s="38">
        <f>IFERROR(INDEX(Zawodnicy[],MATCH($A37,Players!$A$2:$A$35,0),MATCH($B$2,Players!$A$1:$Y$1,0))*G$2+INDEX(Zawodnicy[],MATCH($A37,Players!$A$2:$A$35,0),MATCH($B$3,Players!$A$1:$Y$1,0))*G$3+INDEX(Zawodnicy[],MATCH($A37,Players!$A$2:$A$35,0),MATCH($B$4,Players!$A$1:$Y$1,0))*G$4+INDEX(Zawodnicy[],MATCH($A37,Players!$A$2:$A$35,0),MATCH($B$5,Players!$A$1:$Y$1,0))*G$5+INDEX(Zawodnicy[],MATCH($A37,Players!$A$2:$A$35,0),MATCH($B$6,Players!$A$1:$Y$1,0))*G$6+INDEX(Zawodnicy[],MATCH($A37,Players!$A$2:$A$35,0),MATCH($B$7,Players!$A$1:$Y$1,0))*G$7+INDEX(Zawodnicy[],MATCH($A37,Players!$A$2:$A$35,0),MATCH($B$8,Players!$A$1:$Y$1,0))*G$8+INDEX(Zawodnicy[],MATCH($A37,Players!$A$2:$A$35,0),MATCH($B$9,Players!$A$1:$Y$1,0))*G$9+INDEX(Zawodnicy[],MATCH($A37,Players!$A$2:$A$35,0),MATCH($B$10,Players!$A$1:$Y$1,0))*G$10+INDEX(Zawodnicy[],MATCH($A37,Players!$A$2:$A$35,0),MATCH($B$11,Players!$A$1:$Y$1,0))*G$11+INDEX(Zawodnicy[],MATCH($A37,Players!$A$2:$A$35,0),MATCH($B$12,Players!$A$1:$Y$1,0))*G$12+INDEX(Zawodnicy[],MATCH($A37,Players!$A$2:$A$35,0),MATCH($B$13,Players!$A$1:$Y$1,0))*G$13,"-")</f>
        <v>54.5</v>
      </c>
      <c r="H37" s="38">
        <f>IFERROR(INDEX(Zawodnicy[],MATCH($A37,Players!$A$2:$A$35,0),MATCH($B$2,Players!$A$1:$Y$1,0))*H$2+INDEX(Zawodnicy[],MATCH($A37,Players!$A$2:$A$35,0),MATCH($B$3,Players!$A$1:$Y$1,0))*H$3+INDEX(Zawodnicy[],MATCH($A37,Players!$A$2:$A$35,0),MATCH($B$4,Players!$A$1:$Y$1,0))*H$4+INDEX(Zawodnicy[],MATCH($A37,Players!$A$2:$A$35,0),MATCH($B$5,Players!$A$1:$Y$1,0))*H$5+INDEX(Zawodnicy[],MATCH($A37,Players!$A$2:$A$35,0),MATCH($B$6,Players!$A$1:$Y$1,0))*H$6+INDEX(Zawodnicy[],MATCH($A37,Players!$A$2:$A$35,0),MATCH($B$7,Players!$A$1:$Y$1,0))*H$7+INDEX(Zawodnicy[],MATCH($A37,Players!$A$2:$A$35,0),MATCH($B$8,Players!$A$1:$Y$1,0))*H$8+INDEX(Zawodnicy[],MATCH($A37,Players!$A$2:$A$35,0),MATCH($B$9,Players!$A$1:$Y$1,0))*H$9+INDEX(Zawodnicy[],MATCH($A37,Players!$A$2:$A$35,0),MATCH($B$10,Players!$A$1:$Y$1,0))*H$10+INDEX(Zawodnicy[],MATCH($A37,Players!$A$2:$A$35,0),MATCH($B$11,Players!$A$1:$Y$1,0))*H$11+INDEX(Zawodnicy[],MATCH($A37,Players!$A$2:$A$35,0),MATCH($B$12,Players!$A$1:$Y$1,0))*H$12+INDEX(Zawodnicy[],MATCH($A37,Players!$A$2:$A$35,0),MATCH($B$13,Players!$A$1:$Y$1,0))*H$13,"-")</f>
        <v>62.5</v>
      </c>
      <c r="I37" s="38">
        <f>IFERROR(INDEX(Zawodnicy[],MATCH($A37,Players!$A$2:$A$35,0),MATCH($B$2,Players!$A$1:$Y$1,0))*I$2+INDEX(Zawodnicy[],MATCH($A37,Players!$A$2:$A$35,0),MATCH($B$3,Players!$A$1:$Y$1,0))*I$3+INDEX(Zawodnicy[],MATCH($A37,Players!$A$2:$A$35,0),MATCH($B$4,Players!$A$1:$Y$1,0))*I$4+INDEX(Zawodnicy[],MATCH($A37,Players!$A$2:$A$35,0),MATCH($B$5,Players!$A$1:$Y$1,0))*I$5+INDEX(Zawodnicy[],MATCH($A37,Players!$A$2:$A$35,0),MATCH($B$6,Players!$A$1:$Y$1,0))*I$6+INDEX(Zawodnicy[],MATCH($A37,Players!$A$2:$A$35,0),MATCH($B$7,Players!$A$1:$Y$1,0))*I$7+INDEX(Zawodnicy[],MATCH($A37,Players!$A$2:$A$35,0),MATCH($B$8,Players!$A$1:$Y$1,0))*I$8+INDEX(Zawodnicy[],MATCH($A37,Players!$A$2:$A$35,0),MATCH($B$9,Players!$A$1:$Y$1,0))*I$9+INDEX(Zawodnicy[],MATCH($A37,Players!$A$2:$A$35,0),MATCH($B$10,Players!$A$1:$Y$1,0))*I$10+INDEX(Zawodnicy[],MATCH($A37,Players!$A$2:$A$35,0),MATCH($B$11,Players!$A$1:$Y$1,0))*I$11+INDEX(Zawodnicy[],MATCH($A37,Players!$A$2:$A$35,0),MATCH($B$12,Players!$A$1:$Y$1,0))*I$12+INDEX(Zawodnicy[],MATCH($A37,Players!$A$2:$A$35,0),MATCH($B$13,Players!$A$1:$Y$1,0))*I$13,"-")</f>
        <v>62.5</v>
      </c>
      <c r="J37" s="38">
        <f>IFERROR(INDEX(Zawodnicy[],MATCH($A37,Players!$A$2:$A$35,0),MATCH($B$2,Players!$A$1:$Y$1,0))*J$2+INDEX(Zawodnicy[],MATCH($A37,Players!$A$2:$A$35,0),MATCH($B$3,Players!$A$1:$Y$1,0))*J$3+INDEX(Zawodnicy[],MATCH($A37,Players!$A$2:$A$35,0),MATCH($B$4,Players!$A$1:$Y$1,0))*J$4+INDEX(Zawodnicy[],MATCH($A37,Players!$A$2:$A$35,0),MATCH($B$5,Players!$A$1:$Y$1,0))*J$5+INDEX(Zawodnicy[],MATCH($A37,Players!$A$2:$A$35,0),MATCH($B$6,Players!$A$1:$Y$1,0))*J$6+INDEX(Zawodnicy[],MATCH($A37,Players!$A$2:$A$35,0),MATCH($B$7,Players!$A$1:$Y$1,0))*J$7+INDEX(Zawodnicy[],MATCH($A37,Players!$A$2:$A$35,0),MATCH($B$8,Players!$A$1:$Y$1,0))*J$8+INDEX(Zawodnicy[],MATCH($A37,Players!$A$2:$A$35,0),MATCH($B$9,Players!$A$1:$Y$1,0))*J$9+INDEX(Zawodnicy[],MATCH($A37,Players!$A$2:$A$35,0),MATCH($B$10,Players!$A$1:$Y$1,0))*J$10+INDEX(Zawodnicy[],MATCH($A37,Players!$A$2:$A$35,0),MATCH($B$11,Players!$A$1:$Y$1,0))*J$11+INDEX(Zawodnicy[],MATCH($A37,Players!$A$2:$A$35,0),MATCH($B$12,Players!$A$1:$Y$1,0))*J$12+INDEX(Zawodnicy[],MATCH($A37,Players!$A$2:$A$35,0),MATCH($B$13,Players!$A$1:$Y$1,0))*J$13,"-")</f>
        <v>53.5</v>
      </c>
      <c r="K37" s="38">
        <f>IFERROR(INDEX(Zawodnicy[],MATCH($A37,Players!$A$2:$A$35,0),MATCH($B$2,Players!$A$1:$Y$1,0))*K$2+INDEX(Zawodnicy[],MATCH($A37,Players!$A$2:$A$35,0),MATCH($B$3,Players!$A$1:$Y$1,0))*K$3+INDEX(Zawodnicy[],MATCH($A37,Players!$A$2:$A$35,0),MATCH($B$4,Players!$A$1:$Y$1,0))*K$4+INDEX(Zawodnicy[],MATCH($A37,Players!$A$2:$A$35,0),MATCH($B$5,Players!$A$1:$Y$1,0))*K$5+INDEX(Zawodnicy[],MATCH($A37,Players!$A$2:$A$35,0),MATCH($B$6,Players!$A$1:$Y$1,0))*K$6+INDEX(Zawodnicy[],MATCH($A37,Players!$A$2:$A$35,0),MATCH($B$7,Players!$A$1:$Y$1,0))*K$7+INDEX(Zawodnicy[],MATCH($A37,Players!$A$2:$A$35,0),MATCH($B$8,Players!$A$1:$Y$1,0))*K$8+INDEX(Zawodnicy[],MATCH($A37,Players!$A$2:$A$35,0),MATCH($B$9,Players!$A$1:$Y$1,0))*K$9+INDEX(Zawodnicy[],MATCH($A37,Players!$A$2:$A$35,0),MATCH($B$10,Players!$A$1:$Y$1,0))*K$10+INDEX(Zawodnicy[],MATCH($A37,Players!$A$2:$A$35,0),MATCH($B$11,Players!$A$1:$Y$1,0))*K$11+INDEX(Zawodnicy[],MATCH($A37,Players!$A$2:$A$35,0),MATCH($B$12,Players!$A$1:$Y$1,0))*K$12+INDEX(Zawodnicy[],MATCH($A37,Players!$A$2:$A$35,0),MATCH($B$13,Players!$A$1:$Y$1,0))*K$13,"-")</f>
        <v>47.5</v>
      </c>
    </row>
    <row r="38" spans="1:11" x14ac:dyDescent="0.25">
      <c r="A38" s="63">
        <f>PozycjeŚr[[#This Row],[Numer]]</f>
        <v>26</v>
      </c>
      <c r="B38" s="67" t="str">
        <f>IFERROR(VLOOKUP(PozycjeMM[[#This Row],[Numer]],Zawodnicy[[Number]:[Player name]],2,FALSE),"-")</f>
        <v>Ignacy Lato</v>
      </c>
      <c r="C38" s="38">
        <f>IFERROR(INDEX(Zawodnicy[],MATCH($A38,Players!$A$2:$A$35,0),MATCH($B$2,Players!$A$1:$Y$1,0))*C$2+INDEX(Zawodnicy[],MATCH($A38,Players!$A$2:$A$35,0),MATCH($B$3,Players!$A$1:$Y$1,0))*C$3+INDEX(Zawodnicy[],MATCH($A38,Players!$A$2:$A$35,0),MATCH($B$4,Players!$A$1:$Y$1,0))*C$4+INDEX(Zawodnicy[],MATCH($A38,Players!$A$2:$A$35,0),MATCH($B$5,Players!$A$1:$Y$1,0))*C$5+INDEX(Zawodnicy[],MATCH($A38,Players!$A$2:$A$35,0),MATCH($B$6,Players!$A$1:$Y$1,0))*C$6+INDEX(Zawodnicy[],MATCH($A38,Players!$A$2:$A$35,0),MATCH($B$7,Players!$A$1:$Y$1,0))*C$7+INDEX(Zawodnicy[],MATCH($A38,Players!$A$2:$A$35,0),MATCH($B$8,Players!$A$1:$Y$1,0))*C$8+INDEX(Zawodnicy[],MATCH($A38,Players!$A$2:$A$35,0),MATCH($B$9,Players!$A$1:$Y$1,0))*C$9+INDEX(Zawodnicy[],MATCH($A38,Players!$A$2:$A$35,0),MATCH($B$10,Players!$A$1:$Y$1,0))*C$10+INDEX(Zawodnicy[],MATCH($A38,Players!$A$2:$A$35,0),MATCH($B$11,Players!$A$1:$Y$1,0))*C$11+INDEX(Zawodnicy[],MATCH($A38,Players!$A$2:$A$35,0),MATCH($B$12,Players!$A$1:$Y$1,0))*C$12+INDEX(Zawodnicy[],MATCH($A38,Players!$A$2:$A$35,0),MATCH($B$13,Players!$A$1:$Y$1,0))*C$13,"-")</f>
        <v>21</v>
      </c>
      <c r="D38" s="38">
        <f>IFERROR(INDEX(Zawodnicy[],MATCH($A38,Players!$A$2:$A$35,0),MATCH($B$2,Players!$A$1:$Y$1,0))*D$2+INDEX(Zawodnicy[],MATCH($A38,Players!$A$2:$A$35,0),MATCH($B$3,Players!$A$1:$Y$1,0))*D$3+INDEX(Zawodnicy[],MATCH($A38,Players!$A$2:$A$35,0),MATCH($B$4,Players!$A$1:$Y$1,0))*D$4+INDEX(Zawodnicy[],MATCH($A38,Players!$A$2:$A$35,0),MATCH($B$5,Players!$A$1:$Y$1,0))*D$5+INDEX(Zawodnicy[],MATCH($A38,Players!$A$2:$A$35,0),MATCH($B$6,Players!$A$1:$Y$1,0))*D$6+INDEX(Zawodnicy[],MATCH($A38,Players!$A$2:$A$35,0),MATCH($B$7,Players!$A$1:$Y$1,0))*D$7+INDEX(Zawodnicy[],MATCH($A38,Players!$A$2:$A$35,0),MATCH($B$8,Players!$A$1:$Y$1,0))*D$8+INDEX(Zawodnicy[],MATCH($A38,Players!$A$2:$A$35,0),MATCH($B$9,Players!$A$1:$Y$1,0))*D$9+INDEX(Zawodnicy[],MATCH($A38,Players!$A$2:$A$35,0),MATCH($B$10,Players!$A$1:$Y$1,0))*D$10+INDEX(Zawodnicy[],MATCH($A38,Players!$A$2:$A$35,0),MATCH($B$11,Players!$A$1:$Y$1,0))*D$11+INDEX(Zawodnicy[],MATCH($A38,Players!$A$2:$A$35,0),MATCH($B$12,Players!$A$1:$Y$1,0))*D$12+INDEX(Zawodnicy[],MATCH($A38,Players!$A$2:$A$35,0),MATCH($B$13,Players!$A$1:$Y$1,0))*D$13,"-")</f>
        <v>28.5</v>
      </c>
      <c r="E38" s="38">
        <f>IFERROR(INDEX(Zawodnicy[],MATCH($A38,Players!$A$2:$A$35,0),MATCH($B$2,Players!$A$1:$Y$1,0))*E$2+INDEX(Zawodnicy[],MATCH($A38,Players!$A$2:$A$35,0),MATCH($B$3,Players!$A$1:$Y$1,0))*E$3+INDEX(Zawodnicy[],MATCH($A38,Players!$A$2:$A$35,0),MATCH($B$4,Players!$A$1:$Y$1,0))*E$4+INDEX(Zawodnicy[],MATCH($A38,Players!$A$2:$A$35,0),MATCH($B$5,Players!$A$1:$Y$1,0))*E$5+INDEX(Zawodnicy[],MATCH($A38,Players!$A$2:$A$35,0),MATCH($B$6,Players!$A$1:$Y$1,0))*E$6+INDEX(Zawodnicy[],MATCH($A38,Players!$A$2:$A$35,0),MATCH($B$7,Players!$A$1:$Y$1,0))*E$7+INDEX(Zawodnicy[],MATCH($A38,Players!$A$2:$A$35,0),MATCH($B$8,Players!$A$1:$Y$1,0))*E$8+INDEX(Zawodnicy[],MATCH($A38,Players!$A$2:$A$35,0),MATCH($B$9,Players!$A$1:$Y$1,0))*E$9+INDEX(Zawodnicy[],MATCH($A38,Players!$A$2:$A$35,0),MATCH($B$10,Players!$A$1:$Y$1,0))*E$10+INDEX(Zawodnicy[],MATCH($A38,Players!$A$2:$A$35,0),MATCH($B$11,Players!$A$1:$Y$1,0))*E$11+INDEX(Zawodnicy[],MATCH($A38,Players!$A$2:$A$35,0),MATCH($B$12,Players!$A$1:$Y$1,0))*E$12+INDEX(Zawodnicy[],MATCH($A38,Players!$A$2:$A$35,0),MATCH($B$13,Players!$A$1:$Y$1,0))*E$13,"-")</f>
        <v>36.5</v>
      </c>
      <c r="F38" s="38">
        <f>IFERROR(INDEX(Zawodnicy[],MATCH($A38,Players!$A$2:$A$35,0),MATCH($B$2,Players!$A$1:$Y$1,0))*F$2+INDEX(Zawodnicy[],MATCH($A38,Players!$A$2:$A$35,0),MATCH($B$3,Players!$A$1:$Y$1,0))*F$3+INDEX(Zawodnicy[],MATCH($A38,Players!$A$2:$A$35,0),MATCH($B$4,Players!$A$1:$Y$1,0))*F$4+INDEX(Zawodnicy[],MATCH($A38,Players!$A$2:$A$35,0),MATCH($B$5,Players!$A$1:$Y$1,0))*F$5+INDEX(Zawodnicy[],MATCH($A38,Players!$A$2:$A$35,0),MATCH($B$6,Players!$A$1:$Y$1,0))*F$6+INDEX(Zawodnicy[],MATCH($A38,Players!$A$2:$A$35,0),MATCH($B$7,Players!$A$1:$Y$1,0))*F$7+INDEX(Zawodnicy[],MATCH($A38,Players!$A$2:$A$35,0),MATCH($B$8,Players!$A$1:$Y$1,0))*F$8+INDEX(Zawodnicy[],MATCH($A38,Players!$A$2:$A$35,0),MATCH($B$9,Players!$A$1:$Y$1,0))*F$9+INDEX(Zawodnicy[],MATCH($A38,Players!$A$2:$A$35,0),MATCH($B$10,Players!$A$1:$Y$1,0))*F$10+INDEX(Zawodnicy[],MATCH($A38,Players!$A$2:$A$35,0),MATCH($B$11,Players!$A$1:$Y$1,0))*F$11+INDEX(Zawodnicy[],MATCH($A38,Players!$A$2:$A$35,0),MATCH($B$12,Players!$A$1:$Y$1,0))*F$12+INDEX(Zawodnicy[],MATCH($A38,Players!$A$2:$A$35,0),MATCH($B$13,Players!$A$1:$Y$1,0))*F$13,"-")</f>
        <v>41</v>
      </c>
      <c r="G38" s="38">
        <f>IFERROR(INDEX(Zawodnicy[],MATCH($A38,Players!$A$2:$A$35,0),MATCH($B$2,Players!$A$1:$Y$1,0))*G$2+INDEX(Zawodnicy[],MATCH($A38,Players!$A$2:$A$35,0),MATCH($B$3,Players!$A$1:$Y$1,0))*G$3+INDEX(Zawodnicy[],MATCH($A38,Players!$A$2:$A$35,0),MATCH($B$4,Players!$A$1:$Y$1,0))*G$4+INDEX(Zawodnicy[],MATCH($A38,Players!$A$2:$A$35,0),MATCH($B$5,Players!$A$1:$Y$1,0))*G$5+INDEX(Zawodnicy[],MATCH($A38,Players!$A$2:$A$35,0),MATCH($B$6,Players!$A$1:$Y$1,0))*G$6+INDEX(Zawodnicy[],MATCH($A38,Players!$A$2:$A$35,0),MATCH($B$7,Players!$A$1:$Y$1,0))*G$7+INDEX(Zawodnicy[],MATCH($A38,Players!$A$2:$A$35,0),MATCH($B$8,Players!$A$1:$Y$1,0))*G$8+INDEX(Zawodnicy[],MATCH($A38,Players!$A$2:$A$35,0),MATCH($B$9,Players!$A$1:$Y$1,0))*G$9+INDEX(Zawodnicy[],MATCH($A38,Players!$A$2:$A$35,0),MATCH($B$10,Players!$A$1:$Y$1,0))*G$10+INDEX(Zawodnicy[],MATCH($A38,Players!$A$2:$A$35,0),MATCH($B$11,Players!$A$1:$Y$1,0))*G$11+INDEX(Zawodnicy[],MATCH($A38,Players!$A$2:$A$35,0),MATCH($B$12,Players!$A$1:$Y$1,0))*G$12+INDEX(Zawodnicy[],MATCH($A38,Players!$A$2:$A$35,0),MATCH($B$13,Players!$A$1:$Y$1,0))*G$13,"-")</f>
        <v>42</v>
      </c>
      <c r="H38" s="38">
        <f>IFERROR(INDEX(Zawodnicy[],MATCH($A38,Players!$A$2:$A$35,0),MATCH($B$2,Players!$A$1:$Y$1,0))*H$2+INDEX(Zawodnicy[],MATCH($A38,Players!$A$2:$A$35,0),MATCH($B$3,Players!$A$1:$Y$1,0))*H$3+INDEX(Zawodnicy[],MATCH($A38,Players!$A$2:$A$35,0),MATCH($B$4,Players!$A$1:$Y$1,0))*H$4+INDEX(Zawodnicy[],MATCH($A38,Players!$A$2:$A$35,0),MATCH($B$5,Players!$A$1:$Y$1,0))*H$5+INDEX(Zawodnicy[],MATCH($A38,Players!$A$2:$A$35,0),MATCH($B$6,Players!$A$1:$Y$1,0))*H$6+INDEX(Zawodnicy[],MATCH($A38,Players!$A$2:$A$35,0),MATCH($B$7,Players!$A$1:$Y$1,0))*H$7+INDEX(Zawodnicy[],MATCH($A38,Players!$A$2:$A$35,0),MATCH($B$8,Players!$A$1:$Y$1,0))*H$8+INDEX(Zawodnicy[],MATCH($A38,Players!$A$2:$A$35,0),MATCH($B$9,Players!$A$1:$Y$1,0))*H$9+INDEX(Zawodnicy[],MATCH($A38,Players!$A$2:$A$35,0),MATCH($B$10,Players!$A$1:$Y$1,0))*H$10+INDEX(Zawodnicy[],MATCH($A38,Players!$A$2:$A$35,0),MATCH($B$11,Players!$A$1:$Y$1,0))*H$11+INDEX(Zawodnicy[],MATCH($A38,Players!$A$2:$A$35,0),MATCH($B$12,Players!$A$1:$Y$1,0))*H$12+INDEX(Zawodnicy[],MATCH($A38,Players!$A$2:$A$35,0),MATCH($B$13,Players!$A$1:$Y$1,0))*H$13,"-")</f>
        <v>54</v>
      </c>
      <c r="I38" s="38">
        <f>IFERROR(INDEX(Zawodnicy[],MATCH($A38,Players!$A$2:$A$35,0),MATCH($B$2,Players!$A$1:$Y$1,0))*I$2+INDEX(Zawodnicy[],MATCH($A38,Players!$A$2:$A$35,0),MATCH($B$3,Players!$A$1:$Y$1,0))*I$3+INDEX(Zawodnicy[],MATCH($A38,Players!$A$2:$A$35,0),MATCH($B$4,Players!$A$1:$Y$1,0))*I$4+INDEX(Zawodnicy[],MATCH($A38,Players!$A$2:$A$35,0),MATCH($B$5,Players!$A$1:$Y$1,0))*I$5+INDEX(Zawodnicy[],MATCH($A38,Players!$A$2:$A$35,0),MATCH($B$6,Players!$A$1:$Y$1,0))*I$6+INDEX(Zawodnicy[],MATCH($A38,Players!$A$2:$A$35,0),MATCH($B$7,Players!$A$1:$Y$1,0))*I$7+INDEX(Zawodnicy[],MATCH($A38,Players!$A$2:$A$35,0),MATCH($B$8,Players!$A$1:$Y$1,0))*I$8+INDEX(Zawodnicy[],MATCH($A38,Players!$A$2:$A$35,0),MATCH($B$9,Players!$A$1:$Y$1,0))*I$9+INDEX(Zawodnicy[],MATCH($A38,Players!$A$2:$A$35,0),MATCH($B$10,Players!$A$1:$Y$1,0))*I$10+INDEX(Zawodnicy[],MATCH($A38,Players!$A$2:$A$35,0),MATCH($B$11,Players!$A$1:$Y$1,0))*I$11+INDEX(Zawodnicy[],MATCH($A38,Players!$A$2:$A$35,0),MATCH($B$12,Players!$A$1:$Y$1,0))*I$12+INDEX(Zawodnicy[],MATCH($A38,Players!$A$2:$A$35,0),MATCH($B$13,Players!$A$1:$Y$1,0))*I$13,"-")</f>
        <v>56</v>
      </c>
      <c r="J38" s="38">
        <f>IFERROR(INDEX(Zawodnicy[],MATCH($A38,Players!$A$2:$A$35,0),MATCH($B$2,Players!$A$1:$Y$1,0))*J$2+INDEX(Zawodnicy[],MATCH($A38,Players!$A$2:$A$35,0),MATCH($B$3,Players!$A$1:$Y$1,0))*J$3+INDEX(Zawodnicy[],MATCH($A38,Players!$A$2:$A$35,0),MATCH($B$4,Players!$A$1:$Y$1,0))*J$4+INDEX(Zawodnicy[],MATCH($A38,Players!$A$2:$A$35,0),MATCH($B$5,Players!$A$1:$Y$1,0))*J$5+INDEX(Zawodnicy[],MATCH($A38,Players!$A$2:$A$35,0),MATCH($B$6,Players!$A$1:$Y$1,0))*J$6+INDEX(Zawodnicy[],MATCH($A38,Players!$A$2:$A$35,0),MATCH($B$7,Players!$A$1:$Y$1,0))*J$7+INDEX(Zawodnicy[],MATCH($A38,Players!$A$2:$A$35,0),MATCH($B$8,Players!$A$1:$Y$1,0))*J$8+INDEX(Zawodnicy[],MATCH($A38,Players!$A$2:$A$35,0),MATCH($B$9,Players!$A$1:$Y$1,0))*J$9+INDEX(Zawodnicy[],MATCH($A38,Players!$A$2:$A$35,0),MATCH($B$10,Players!$A$1:$Y$1,0))*J$10+INDEX(Zawodnicy[],MATCH($A38,Players!$A$2:$A$35,0),MATCH($B$11,Players!$A$1:$Y$1,0))*J$11+INDEX(Zawodnicy[],MATCH($A38,Players!$A$2:$A$35,0),MATCH($B$12,Players!$A$1:$Y$1,0))*J$12+INDEX(Zawodnicy[],MATCH($A38,Players!$A$2:$A$35,0),MATCH($B$13,Players!$A$1:$Y$1,0))*J$13,"-")</f>
        <v>50.5</v>
      </c>
      <c r="K38" s="38">
        <f>IFERROR(INDEX(Zawodnicy[],MATCH($A38,Players!$A$2:$A$35,0),MATCH($B$2,Players!$A$1:$Y$1,0))*K$2+INDEX(Zawodnicy[],MATCH($A38,Players!$A$2:$A$35,0),MATCH($B$3,Players!$A$1:$Y$1,0))*K$3+INDEX(Zawodnicy[],MATCH($A38,Players!$A$2:$A$35,0),MATCH($B$4,Players!$A$1:$Y$1,0))*K$4+INDEX(Zawodnicy[],MATCH($A38,Players!$A$2:$A$35,0),MATCH($B$5,Players!$A$1:$Y$1,0))*K$5+INDEX(Zawodnicy[],MATCH($A38,Players!$A$2:$A$35,0),MATCH($B$6,Players!$A$1:$Y$1,0))*K$6+INDEX(Zawodnicy[],MATCH($A38,Players!$A$2:$A$35,0),MATCH($B$7,Players!$A$1:$Y$1,0))*K$7+INDEX(Zawodnicy[],MATCH($A38,Players!$A$2:$A$35,0),MATCH($B$8,Players!$A$1:$Y$1,0))*K$8+INDEX(Zawodnicy[],MATCH($A38,Players!$A$2:$A$35,0),MATCH($B$9,Players!$A$1:$Y$1,0))*K$9+INDEX(Zawodnicy[],MATCH($A38,Players!$A$2:$A$35,0),MATCH($B$10,Players!$A$1:$Y$1,0))*K$10+INDEX(Zawodnicy[],MATCH($A38,Players!$A$2:$A$35,0),MATCH($B$11,Players!$A$1:$Y$1,0))*K$11+INDEX(Zawodnicy[],MATCH($A38,Players!$A$2:$A$35,0),MATCH($B$12,Players!$A$1:$Y$1,0))*K$12+INDEX(Zawodnicy[],MATCH($A38,Players!$A$2:$A$35,0),MATCH($B$13,Players!$A$1:$Y$1,0))*K$13,"-")</f>
        <v>52.5</v>
      </c>
    </row>
    <row r="39" spans="1:11" x14ac:dyDescent="0.25">
      <c r="A39" s="63">
        <f>PozycjeŚr[[#This Row],[Numer]]</f>
        <v>27</v>
      </c>
      <c r="B39" s="67" t="str">
        <f>IFERROR(VLOOKUP(PozycjeMM[[#This Row],[Numer]],Zawodnicy[[Number]:[Player name]],2,FALSE),"-")</f>
        <v>Sylwester Kaszubowski</v>
      </c>
      <c r="C39" s="38">
        <f>IFERROR(INDEX(Zawodnicy[],MATCH($A39,Players!$A$2:$A$35,0),MATCH($B$2,Players!$A$1:$Y$1,0))*C$2+INDEX(Zawodnicy[],MATCH($A39,Players!$A$2:$A$35,0),MATCH($B$3,Players!$A$1:$Y$1,0))*C$3+INDEX(Zawodnicy[],MATCH($A39,Players!$A$2:$A$35,0),MATCH($B$4,Players!$A$1:$Y$1,0))*C$4+INDEX(Zawodnicy[],MATCH($A39,Players!$A$2:$A$35,0),MATCH($B$5,Players!$A$1:$Y$1,0))*C$5+INDEX(Zawodnicy[],MATCH($A39,Players!$A$2:$A$35,0),MATCH($B$6,Players!$A$1:$Y$1,0))*C$6+INDEX(Zawodnicy[],MATCH($A39,Players!$A$2:$A$35,0),MATCH($B$7,Players!$A$1:$Y$1,0))*C$7+INDEX(Zawodnicy[],MATCH($A39,Players!$A$2:$A$35,0),MATCH($B$8,Players!$A$1:$Y$1,0))*C$8+INDEX(Zawodnicy[],MATCH($A39,Players!$A$2:$A$35,0),MATCH($B$9,Players!$A$1:$Y$1,0))*C$9+INDEX(Zawodnicy[],MATCH($A39,Players!$A$2:$A$35,0),MATCH($B$10,Players!$A$1:$Y$1,0))*C$10+INDEX(Zawodnicy[],MATCH($A39,Players!$A$2:$A$35,0),MATCH($B$11,Players!$A$1:$Y$1,0))*C$11+INDEX(Zawodnicy[],MATCH($A39,Players!$A$2:$A$35,0),MATCH($B$12,Players!$A$1:$Y$1,0))*C$12+INDEX(Zawodnicy[],MATCH($A39,Players!$A$2:$A$35,0),MATCH($B$13,Players!$A$1:$Y$1,0))*C$13,"-")</f>
        <v>23.5</v>
      </c>
      <c r="D39" s="38">
        <f>IFERROR(INDEX(Zawodnicy[],MATCH($A39,Players!$A$2:$A$35,0),MATCH($B$2,Players!$A$1:$Y$1,0))*D$2+INDEX(Zawodnicy[],MATCH($A39,Players!$A$2:$A$35,0),MATCH($B$3,Players!$A$1:$Y$1,0))*D$3+INDEX(Zawodnicy[],MATCH($A39,Players!$A$2:$A$35,0),MATCH($B$4,Players!$A$1:$Y$1,0))*D$4+INDEX(Zawodnicy[],MATCH($A39,Players!$A$2:$A$35,0),MATCH($B$5,Players!$A$1:$Y$1,0))*D$5+INDEX(Zawodnicy[],MATCH($A39,Players!$A$2:$A$35,0),MATCH($B$6,Players!$A$1:$Y$1,0))*D$6+INDEX(Zawodnicy[],MATCH($A39,Players!$A$2:$A$35,0),MATCH($B$7,Players!$A$1:$Y$1,0))*D$7+INDEX(Zawodnicy[],MATCH($A39,Players!$A$2:$A$35,0),MATCH($B$8,Players!$A$1:$Y$1,0))*D$8+INDEX(Zawodnicy[],MATCH($A39,Players!$A$2:$A$35,0),MATCH($B$9,Players!$A$1:$Y$1,0))*D$9+INDEX(Zawodnicy[],MATCH($A39,Players!$A$2:$A$35,0),MATCH($B$10,Players!$A$1:$Y$1,0))*D$10+INDEX(Zawodnicy[],MATCH($A39,Players!$A$2:$A$35,0),MATCH($B$11,Players!$A$1:$Y$1,0))*D$11+INDEX(Zawodnicy[],MATCH($A39,Players!$A$2:$A$35,0),MATCH($B$12,Players!$A$1:$Y$1,0))*D$12+INDEX(Zawodnicy[],MATCH($A39,Players!$A$2:$A$35,0),MATCH($B$13,Players!$A$1:$Y$1,0))*D$13,"-")</f>
        <v>35</v>
      </c>
      <c r="E39" s="38">
        <f>IFERROR(INDEX(Zawodnicy[],MATCH($A39,Players!$A$2:$A$35,0),MATCH($B$2,Players!$A$1:$Y$1,0))*E$2+INDEX(Zawodnicy[],MATCH($A39,Players!$A$2:$A$35,0),MATCH($B$3,Players!$A$1:$Y$1,0))*E$3+INDEX(Zawodnicy[],MATCH($A39,Players!$A$2:$A$35,0),MATCH($B$4,Players!$A$1:$Y$1,0))*E$4+INDEX(Zawodnicy[],MATCH($A39,Players!$A$2:$A$35,0),MATCH($B$5,Players!$A$1:$Y$1,0))*E$5+INDEX(Zawodnicy[],MATCH($A39,Players!$A$2:$A$35,0),MATCH($B$6,Players!$A$1:$Y$1,0))*E$6+INDEX(Zawodnicy[],MATCH($A39,Players!$A$2:$A$35,0),MATCH($B$7,Players!$A$1:$Y$1,0))*E$7+INDEX(Zawodnicy[],MATCH($A39,Players!$A$2:$A$35,0),MATCH($B$8,Players!$A$1:$Y$1,0))*E$8+INDEX(Zawodnicy[],MATCH($A39,Players!$A$2:$A$35,0),MATCH($B$9,Players!$A$1:$Y$1,0))*E$9+INDEX(Zawodnicy[],MATCH($A39,Players!$A$2:$A$35,0),MATCH($B$10,Players!$A$1:$Y$1,0))*E$10+INDEX(Zawodnicy[],MATCH($A39,Players!$A$2:$A$35,0),MATCH($B$11,Players!$A$1:$Y$1,0))*E$11+INDEX(Zawodnicy[],MATCH($A39,Players!$A$2:$A$35,0),MATCH($B$12,Players!$A$1:$Y$1,0))*E$12+INDEX(Zawodnicy[],MATCH($A39,Players!$A$2:$A$35,0),MATCH($B$13,Players!$A$1:$Y$1,0))*E$13,"-")</f>
        <v>42</v>
      </c>
      <c r="F39" s="38">
        <f>IFERROR(INDEX(Zawodnicy[],MATCH($A39,Players!$A$2:$A$35,0),MATCH($B$2,Players!$A$1:$Y$1,0))*F$2+INDEX(Zawodnicy[],MATCH($A39,Players!$A$2:$A$35,0),MATCH($B$3,Players!$A$1:$Y$1,0))*F$3+INDEX(Zawodnicy[],MATCH($A39,Players!$A$2:$A$35,0),MATCH($B$4,Players!$A$1:$Y$1,0))*F$4+INDEX(Zawodnicy[],MATCH($A39,Players!$A$2:$A$35,0),MATCH($B$5,Players!$A$1:$Y$1,0))*F$5+INDEX(Zawodnicy[],MATCH($A39,Players!$A$2:$A$35,0),MATCH($B$6,Players!$A$1:$Y$1,0))*F$6+INDEX(Zawodnicy[],MATCH($A39,Players!$A$2:$A$35,0),MATCH($B$7,Players!$A$1:$Y$1,0))*F$7+INDEX(Zawodnicy[],MATCH($A39,Players!$A$2:$A$35,0),MATCH($B$8,Players!$A$1:$Y$1,0))*F$8+INDEX(Zawodnicy[],MATCH($A39,Players!$A$2:$A$35,0),MATCH($B$9,Players!$A$1:$Y$1,0))*F$9+INDEX(Zawodnicy[],MATCH($A39,Players!$A$2:$A$35,0),MATCH($B$10,Players!$A$1:$Y$1,0))*F$10+INDEX(Zawodnicy[],MATCH($A39,Players!$A$2:$A$35,0),MATCH($B$11,Players!$A$1:$Y$1,0))*F$11+INDEX(Zawodnicy[],MATCH($A39,Players!$A$2:$A$35,0),MATCH($B$12,Players!$A$1:$Y$1,0))*F$12+INDEX(Zawodnicy[],MATCH($A39,Players!$A$2:$A$35,0),MATCH($B$13,Players!$A$1:$Y$1,0))*F$13,"-")</f>
        <v>47</v>
      </c>
      <c r="G39" s="38">
        <f>IFERROR(INDEX(Zawodnicy[],MATCH($A39,Players!$A$2:$A$35,0),MATCH($B$2,Players!$A$1:$Y$1,0))*G$2+INDEX(Zawodnicy[],MATCH($A39,Players!$A$2:$A$35,0),MATCH($B$3,Players!$A$1:$Y$1,0))*G$3+INDEX(Zawodnicy[],MATCH($A39,Players!$A$2:$A$35,0),MATCH($B$4,Players!$A$1:$Y$1,0))*G$4+INDEX(Zawodnicy[],MATCH($A39,Players!$A$2:$A$35,0),MATCH($B$5,Players!$A$1:$Y$1,0))*G$5+INDEX(Zawodnicy[],MATCH($A39,Players!$A$2:$A$35,0),MATCH($B$6,Players!$A$1:$Y$1,0))*G$6+INDEX(Zawodnicy[],MATCH($A39,Players!$A$2:$A$35,0),MATCH($B$7,Players!$A$1:$Y$1,0))*G$7+INDEX(Zawodnicy[],MATCH($A39,Players!$A$2:$A$35,0),MATCH($B$8,Players!$A$1:$Y$1,0))*G$8+INDEX(Zawodnicy[],MATCH($A39,Players!$A$2:$A$35,0),MATCH($B$9,Players!$A$1:$Y$1,0))*G$9+INDEX(Zawodnicy[],MATCH($A39,Players!$A$2:$A$35,0),MATCH($B$10,Players!$A$1:$Y$1,0))*G$10+INDEX(Zawodnicy[],MATCH($A39,Players!$A$2:$A$35,0),MATCH($B$11,Players!$A$1:$Y$1,0))*G$11+INDEX(Zawodnicy[],MATCH($A39,Players!$A$2:$A$35,0),MATCH($B$12,Players!$A$1:$Y$1,0))*G$12+INDEX(Zawodnicy[],MATCH($A39,Players!$A$2:$A$35,0),MATCH($B$13,Players!$A$1:$Y$1,0))*G$13,"-")</f>
        <v>46.5</v>
      </c>
      <c r="H39" s="38">
        <f>IFERROR(INDEX(Zawodnicy[],MATCH($A39,Players!$A$2:$A$35,0),MATCH($B$2,Players!$A$1:$Y$1,0))*H$2+INDEX(Zawodnicy[],MATCH($A39,Players!$A$2:$A$35,0),MATCH($B$3,Players!$A$1:$Y$1,0))*H$3+INDEX(Zawodnicy[],MATCH($A39,Players!$A$2:$A$35,0),MATCH($B$4,Players!$A$1:$Y$1,0))*H$4+INDEX(Zawodnicy[],MATCH($A39,Players!$A$2:$A$35,0),MATCH($B$5,Players!$A$1:$Y$1,0))*H$5+INDEX(Zawodnicy[],MATCH($A39,Players!$A$2:$A$35,0),MATCH($B$6,Players!$A$1:$Y$1,0))*H$6+INDEX(Zawodnicy[],MATCH($A39,Players!$A$2:$A$35,0),MATCH($B$7,Players!$A$1:$Y$1,0))*H$7+INDEX(Zawodnicy[],MATCH($A39,Players!$A$2:$A$35,0),MATCH($B$8,Players!$A$1:$Y$1,0))*H$8+INDEX(Zawodnicy[],MATCH($A39,Players!$A$2:$A$35,0),MATCH($B$9,Players!$A$1:$Y$1,0))*H$9+INDEX(Zawodnicy[],MATCH($A39,Players!$A$2:$A$35,0),MATCH($B$10,Players!$A$1:$Y$1,0))*H$10+INDEX(Zawodnicy[],MATCH($A39,Players!$A$2:$A$35,0),MATCH($B$11,Players!$A$1:$Y$1,0))*H$11+INDEX(Zawodnicy[],MATCH($A39,Players!$A$2:$A$35,0),MATCH($B$12,Players!$A$1:$Y$1,0))*H$12+INDEX(Zawodnicy[],MATCH($A39,Players!$A$2:$A$35,0),MATCH($B$13,Players!$A$1:$Y$1,0))*H$13,"-")</f>
        <v>55</v>
      </c>
      <c r="I39" s="38">
        <f>IFERROR(INDEX(Zawodnicy[],MATCH($A39,Players!$A$2:$A$35,0),MATCH($B$2,Players!$A$1:$Y$1,0))*I$2+INDEX(Zawodnicy[],MATCH($A39,Players!$A$2:$A$35,0),MATCH($B$3,Players!$A$1:$Y$1,0))*I$3+INDEX(Zawodnicy[],MATCH($A39,Players!$A$2:$A$35,0),MATCH($B$4,Players!$A$1:$Y$1,0))*I$4+INDEX(Zawodnicy[],MATCH($A39,Players!$A$2:$A$35,0),MATCH($B$5,Players!$A$1:$Y$1,0))*I$5+INDEX(Zawodnicy[],MATCH($A39,Players!$A$2:$A$35,0),MATCH($B$6,Players!$A$1:$Y$1,0))*I$6+INDEX(Zawodnicy[],MATCH($A39,Players!$A$2:$A$35,0),MATCH($B$7,Players!$A$1:$Y$1,0))*I$7+INDEX(Zawodnicy[],MATCH($A39,Players!$A$2:$A$35,0),MATCH($B$8,Players!$A$1:$Y$1,0))*I$8+INDEX(Zawodnicy[],MATCH($A39,Players!$A$2:$A$35,0),MATCH($B$9,Players!$A$1:$Y$1,0))*I$9+INDEX(Zawodnicy[],MATCH($A39,Players!$A$2:$A$35,0),MATCH($B$10,Players!$A$1:$Y$1,0))*I$10+INDEX(Zawodnicy[],MATCH($A39,Players!$A$2:$A$35,0),MATCH($B$11,Players!$A$1:$Y$1,0))*I$11+INDEX(Zawodnicy[],MATCH($A39,Players!$A$2:$A$35,0),MATCH($B$12,Players!$A$1:$Y$1,0))*I$12+INDEX(Zawodnicy[],MATCH($A39,Players!$A$2:$A$35,0),MATCH($B$13,Players!$A$1:$Y$1,0))*I$13,"-")</f>
        <v>54</v>
      </c>
      <c r="J39" s="38">
        <f>IFERROR(INDEX(Zawodnicy[],MATCH($A39,Players!$A$2:$A$35,0),MATCH($B$2,Players!$A$1:$Y$1,0))*J$2+INDEX(Zawodnicy[],MATCH($A39,Players!$A$2:$A$35,0),MATCH($B$3,Players!$A$1:$Y$1,0))*J$3+INDEX(Zawodnicy[],MATCH($A39,Players!$A$2:$A$35,0),MATCH($B$4,Players!$A$1:$Y$1,0))*J$4+INDEX(Zawodnicy[],MATCH($A39,Players!$A$2:$A$35,0),MATCH($B$5,Players!$A$1:$Y$1,0))*J$5+INDEX(Zawodnicy[],MATCH($A39,Players!$A$2:$A$35,0),MATCH($B$6,Players!$A$1:$Y$1,0))*J$6+INDEX(Zawodnicy[],MATCH($A39,Players!$A$2:$A$35,0),MATCH($B$7,Players!$A$1:$Y$1,0))*J$7+INDEX(Zawodnicy[],MATCH($A39,Players!$A$2:$A$35,0),MATCH($B$8,Players!$A$1:$Y$1,0))*J$8+INDEX(Zawodnicy[],MATCH($A39,Players!$A$2:$A$35,0),MATCH($B$9,Players!$A$1:$Y$1,0))*J$9+INDEX(Zawodnicy[],MATCH($A39,Players!$A$2:$A$35,0),MATCH($B$10,Players!$A$1:$Y$1,0))*J$10+INDEX(Zawodnicy[],MATCH($A39,Players!$A$2:$A$35,0),MATCH($B$11,Players!$A$1:$Y$1,0))*J$11+INDEX(Zawodnicy[],MATCH($A39,Players!$A$2:$A$35,0),MATCH($B$12,Players!$A$1:$Y$1,0))*J$12+INDEX(Zawodnicy[],MATCH($A39,Players!$A$2:$A$35,0),MATCH($B$13,Players!$A$1:$Y$1,0))*J$13,"-")</f>
        <v>46</v>
      </c>
      <c r="K39" s="38">
        <f>IFERROR(INDEX(Zawodnicy[],MATCH($A39,Players!$A$2:$A$35,0),MATCH($B$2,Players!$A$1:$Y$1,0))*K$2+INDEX(Zawodnicy[],MATCH($A39,Players!$A$2:$A$35,0),MATCH($B$3,Players!$A$1:$Y$1,0))*K$3+INDEX(Zawodnicy[],MATCH($A39,Players!$A$2:$A$35,0),MATCH($B$4,Players!$A$1:$Y$1,0))*K$4+INDEX(Zawodnicy[],MATCH($A39,Players!$A$2:$A$35,0),MATCH($B$5,Players!$A$1:$Y$1,0))*K$5+INDEX(Zawodnicy[],MATCH($A39,Players!$A$2:$A$35,0),MATCH($B$6,Players!$A$1:$Y$1,0))*K$6+INDEX(Zawodnicy[],MATCH($A39,Players!$A$2:$A$35,0),MATCH($B$7,Players!$A$1:$Y$1,0))*K$7+INDEX(Zawodnicy[],MATCH($A39,Players!$A$2:$A$35,0),MATCH($B$8,Players!$A$1:$Y$1,0))*K$8+INDEX(Zawodnicy[],MATCH($A39,Players!$A$2:$A$35,0),MATCH($B$9,Players!$A$1:$Y$1,0))*K$9+INDEX(Zawodnicy[],MATCH($A39,Players!$A$2:$A$35,0),MATCH($B$10,Players!$A$1:$Y$1,0))*K$10+INDEX(Zawodnicy[],MATCH($A39,Players!$A$2:$A$35,0),MATCH($B$11,Players!$A$1:$Y$1,0))*K$11+INDEX(Zawodnicy[],MATCH($A39,Players!$A$2:$A$35,0),MATCH($B$12,Players!$A$1:$Y$1,0))*K$12+INDEX(Zawodnicy[],MATCH($A39,Players!$A$2:$A$35,0),MATCH($B$13,Players!$A$1:$Y$1,0))*K$13,"-")</f>
        <v>42.5</v>
      </c>
    </row>
    <row r="40" spans="1:11" x14ac:dyDescent="0.25">
      <c r="A40" s="63">
        <f>PozycjeŚr[[#This Row],[Numer]]</f>
        <v>60</v>
      </c>
      <c r="B40" s="67" t="str">
        <f>IFERROR(VLOOKUP(PozycjeMM[[#This Row],[Numer]],Zawodnicy[[Number]:[Player name]],2,FALSE),"-")</f>
        <v>Filip Blochowiak</v>
      </c>
      <c r="C40" s="38">
        <f>IFERROR(INDEX(Zawodnicy[],MATCH($A40,Players!$A$2:$A$35,0),MATCH($B$2,Players!$A$1:$Y$1,0))*C$2+INDEX(Zawodnicy[],MATCH($A40,Players!$A$2:$A$35,0),MATCH($B$3,Players!$A$1:$Y$1,0))*C$3+INDEX(Zawodnicy[],MATCH($A40,Players!$A$2:$A$35,0),MATCH($B$4,Players!$A$1:$Y$1,0))*C$4+INDEX(Zawodnicy[],MATCH($A40,Players!$A$2:$A$35,0),MATCH($B$5,Players!$A$1:$Y$1,0))*C$5+INDEX(Zawodnicy[],MATCH($A40,Players!$A$2:$A$35,0),MATCH($B$6,Players!$A$1:$Y$1,0))*C$6+INDEX(Zawodnicy[],MATCH($A40,Players!$A$2:$A$35,0),MATCH($B$7,Players!$A$1:$Y$1,0))*C$7+INDEX(Zawodnicy[],MATCH($A40,Players!$A$2:$A$35,0),MATCH($B$8,Players!$A$1:$Y$1,0))*C$8+INDEX(Zawodnicy[],MATCH($A40,Players!$A$2:$A$35,0),MATCH($B$9,Players!$A$1:$Y$1,0))*C$9+INDEX(Zawodnicy[],MATCH($A40,Players!$A$2:$A$35,0),MATCH($B$10,Players!$A$1:$Y$1,0))*C$10+INDEX(Zawodnicy[],MATCH($A40,Players!$A$2:$A$35,0),MATCH($B$11,Players!$A$1:$Y$1,0))*C$11+INDEX(Zawodnicy[],MATCH($A40,Players!$A$2:$A$35,0),MATCH($B$12,Players!$A$1:$Y$1,0))*C$12+INDEX(Zawodnicy[],MATCH($A40,Players!$A$2:$A$35,0),MATCH($B$13,Players!$A$1:$Y$1,0))*C$13,"-")</f>
        <v>33.5</v>
      </c>
      <c r="D40" s="38">
        <f>IFERROR(INDEX(Zawodnicy[],MATCH($A40,Players!$A$2:$A$35,0),MATCH($B$2,Players!$A$1:$Y$1,0))*D$2+INDEX(Zawodnicy[],MATCH($A40,Players!$A$2:$A$35,0),MATCH($B$3,Players!$A$1:$Y$1,0))*D$3+INDEX(Zawodnicy[],MATCH($A40,Players!$A$2:$A$35,0),MATCH($B$4,Players!$A$1:$Y$1,0))*D$4+INDEX(Zawodnicy[],MATCH($A40,Players!$A$2:$A$35,0),MATCH($B$5,Players!$A$1:$Y$1,0))*D$5+INDEX(Zawodnicy[],MATCH($A40,Players!$A$2:$A$35,0),MATCH($B$6,Players!$A$1:$Y$1,0))*D$6+INDEX(Zawodnicy[],MATCH($A40,Players!$A$2:$A$35,0),MATCH($B$7,Players!$A$1:$Y$1,0))*D$7+INDEX(Zawodnicy[],MATCH($A40,Players!$A$2:$A$35,0),MATCH($B$8,Players!$A$1:$Y$1,0))*D$8+INDEX(Zawodnicy[],MATCH($A40,Players!$A$2:$A$35,0),MATCH($B$9,Players!$A$1:$Y$1,0))*D$9+INDEX(Zawodnicy[],MATCH($A40,Players!$A$2:$A$35,0),MATCH($B$10,Players!$A$1:$Y$1,0))*D$10+INDEX(Zawodnicy[],MATCH($A40,Players!$A$2:$A$35,0),MATCH($B$11,Players!$A$1:$Y$1,0))*D$11+INDEX(Zawodnicy[],MATCH($A40,Players!$A$2:$A$35,0),MATCH($B$12,Players!$A$1:$Y$1,0))*D$12+INDEX(Zawodnicy[],MATCH($A40,Players!$A$2:$A$35,0),MATCH($B$13,Players!$A$1:$Y$1,0))*D$13,"-")</f>
        <v>79</v>
      </c>
      <c r="E40" s="38">
        <f>IFERROR(INDEX(Zawodnicy[],MATCH($A40,Players!$A$2:$A$35,0),MATCH($B$2,Players!$A$1:$Y$1,0))*E$2+INDEX(Zawodnicy[],MATCH($A40,Players!$A$2:$A$35,0),MATCH($B$3,Players!$A$1:$Y$1,0))*E$3+INDEX(Zawodnicy[],MATCH($A40,Players!$A$2:$A$35,0),MATCH($B$4,Players!$A$1:$Y$1,0))*E$4+INDEX(Zawodnicy[],MATCH($A40,Players!$A$2:$A$35,0),MATCH($B$5,Players!$A$1:$Y$1,0))*E$5+INDEX(Zawodnicy[],MATCH($A40,Players!$A$2:$A$35,0),MATCH($B$6,Players!$A$1:$Y$1,0))*E$6+INDEX(Zawodnicy[],MATCH($A40,Players!$A$2:$A$35,0),MATCH($B$7,Players!$A$1:$Y$1,0))*E$7+INDEX(Zawodnicy[],MATCH($A40,Players!$A$2:$A$35,0),MATCH($B$8,Players!$A$1:$Y$1,0))*E$8+INDEX(Zawodnicy[],MATCH($A40,Players!$A$2:$A$35,0),MATCH($B$9,Players!$A$1:$Y$1,0))*E$9+INDEX(Zawodnicy[],MATCH($A40,Players!$A$2:$A$35,0),MATCH($B$10,Players!$A$1:$Y$1,0))*E$10+INDEX(Zawodnicy[],MATCH($A40,Players!$A$2:$A$35,0),MATCH($B$11,Players!$A$1:$Y$1,0))*E$11+INDEX(Zawodnicy[],MATCH($A40,Players!$A$2:$A$35,0),MATCH($B$12,Players!$A$1:$Y$1,0))*E$12+INDEX(Zawodnicy[],MATCH($A40,Players!$A$2:$A$35,0),MATCH($B$13,Players!$A$1:$Y$1,0))*E$13,"-")</f>
        <v>78</v>
      </c>
      <c r="F40" s="38">
        <f>IFERROR(INDEX(Zawodnicy[],MATCH($A40,Players!$A$2:$A$35,0),MATCH($B$2,Players!$A$1:$Y$1,0))*F$2+INDEX(Zawodnicy[],MATCH($A40,Players!$A$2:$A$35,0),MATCH($B$3,Players!$A$1:$Y$1,0))*F$3+INDEX(Zawodnicy[],MATCH($A40,Players!$A$2:$A$35,0),MATCH($B$4,Players!$A$1:$Y$1,0))*F$4+INDEX(Zawodnicy[],MATCH($A40,Players!$A$2:$A$35,0),MATCH($B$5,Players!$A$1:$Y$1,0))*F$5+INDEX(Zawodnicy[],MATCH($A40,Players!$A$2:$A$35,0),MATCH($B$6,Players!$A$1:$Y$1,0))*F$6+INDEX(Zawodnicy[],MATCH($A40,Players!$A$2:$A$35,0),MATCH($B$7,Players!$A$1:$Y$1,0))*F$7+INDEX(Zawodnicy[],MATCH($A40,Players!$A$2:$A$35,0),MATCH($B$8,Players!$A$1:$Y$1,0))*F$8+INDEX(Zawodnicy[],MATCH($A40,Players!$A$2:$A$35,0),MATCH($B$9,Players!$A$1:$Y$1,0))*F$9+INDEX(Zawodnicy[],MATCH($A40,Players!$A$2:$A$35,0),MATCH($B$10,Players!$A$1:$Y$1,0))*F$10+INDEX(Zawodnicy[],MATCH($A40,Players!$A$2:$A$35,0),MATCH($B$11,Players!$A$1:$Y$1,0))*F$11+INDEX(Zawodnicy[],MATCH($A40,Players!$A$2:$A$35,0),MATCH($B$12,Players!$A$1:$Y$1,0))*F$12+INDEX(Zawodnicy[],MATCH($A40,Players!$A$2:$A$35,0),MATCH($B$13,Players!$A$1:$Y$1,0))*F$13,"-")</f>
        <v>74.5</v>
      </c>
      <c r="G40" s="38">
        <f>IFERROR(INDEX(Zawodnicy[],MATCH($A40,Players!$A$2:$A$35,0),MATCH($B$2,Players!$A$1:$Y$1,0))*G$2+INDEX(Zawodnicy[],MATCH($A40,Players!$A$2:$A$35,0),MATCH($B$3,Players!$A$1:$Y$1,0))*G$3+INDEX(Zawodnicy[],MATCH($A40,Players!$A$2:$A$35,0),MATCH($B$4,Players!$A$1:$Y$1,0))*G$4+INDEX(Zawodnicy[],MATCH($A40,Players!$A$2:$A$35,0),MATCH($B$5,Players!$A$1:$Y$1,0))*G$5+INDEX(Zawodnicy[],MATCH($A40,Players!$A$2:$A$35,0),MATCH($B$6,Players!$A$1:$Y$1,0))*G$6+INDEX(Zawodnicy[],MATCH($A40,Players!$A$2:$A$35,0),MATCH($B$7,Players!$A$1:$Y$1,0))*G$7+INDEX(Zawodnicy[],MATCH($A40,Players!$A$2:$A$35,0),MATCH($B$8,Players!$A$1:$Y$1,0))*G$8+INDEX(Zawodnicy[],MATCH($A40,Players!$A$2:$A$35,0),MATCH($B$9,Players!$A$1:$Y$1,0))*G$9+INDEX(Zawodnicy[],MATCH($A40,Players!$A$2:$A$35,0),MATCH($B$10,Players!$A$1:$Y$1,0))*G$10+INDEX(Zawodnicy[],MATCH($A40,Players!$A$2:$A$35,0),MATCH($B$11,Players!$A$1:$Y$1,0))*G$11+INDEX(Zawodnicy[],MATCH($A40,Players!$A$2:$A$35,0),MATCH($B$12,Players!$A$1:$Y$1,0))*G$12+INDEX(Zawodnicy[],MATCH($A40,Players!$A$2:$A$35,0),MATCH($B$13,Players!$A$1:$Y$1,0))*G$13,"-")</f>
        <v>72.5</v>
      </c>
      <c r="H40" s="38">
        <f>IFERROR(INDEX(Zawodnicy[],MATCH($A40,Players!$A$2:$A$35,0),MATCH($B$2,Players!$A$1:$Y$1,0))*H$2+INDEX(Zawodnicy[],MATCH($A40,Players!$A$2:$A$35,0),MATCH($B$3,Players!$A$1:$Y$1,0))*H$3+INDEX(Zawodnicy[],MATCH($A40,Players!$A$2:$A$35,0),MATCH($B$4,Players!$A$1:$Y$1,0))*H$4+INDEX(Zawodnicy[],MATCH($A40,Players!$A$2:$A$35,0),MATCH($B$5,Players!$A$1:$Y$1,0))*H$5+INDEX(Zawodnicy[],MATCH($A40,Players!$A$2:$A$35,0),MATCH($B$6,Players!$A$1:$Y$1,0))*H$6+INDEX(Zawodnicy[],MATCH($A40,Players!$A$2:$A$35,0),MATCH($B$7,Players!$A$1:$Y$1,0))*H$7+INDEX(Zawodnicy[],MATCH($A40,Players!$A$2:$A$35,0),MATCH($B$8,Players!$A$1:$Y$1,0))*H$8+INDEX(Zawodnicy[],MATCH($A40,Players!$A$2:$A$35,0),MATCH($B$9,Players!$A$1:$Y$1,0))*H$9+INDEX(Zawodnicy[],MATCH($A40,Players!$A$2:$A$35,0),MATCH($B$10,Players!$A$1:$Y$1,0))*H$10+INDEX(Zawodnicy[],MATCH($A40,Players!$A$2:$A$35,0),MATCH($B$11,Players!$A$1:$Y$1,0))*H$11+INDEX(Zawodnicy[],MATCH($A40,Players!$A$2:$A$35,0),MATCH($B$12,Players!$A$1:$Y$1,0))*H$12+INDEX(Zawodnicy[],MATCH($A40,Players!$A$2:$A$35,0),MATCH($B$13,Players!$A$1:$Y$1,0))*H$13,"-")</f>
        <v>70</v>
      </c>
      <c r="I40" s="38">
        <f>IFERROR(INDEX(Zawodnicy[],MATCH($A40,Players!$A$2:$A$35,0),MATCH($B$2,Players!$A$1:$Y$1,0))*I$2+INDEX(Zawodnicy[],MATCH($A40,Players!$A$2:$A$35,0),MATCH($B$3,Players!$A$1:$Y$1,0))*I$3+INDEX(Zawodnicy[],MATCH($A40,Players!$A$2:$A$35,0),MATCH($B$4,Players!$A$1:$Y$1,0))*I$4+INDEX(Zawodnicy[],MATCH($A40,Players!$A$2:$A$35,0),MATCH($B$5,Players!$A$1:$Y$1,0))*I$5+INDEX(Zawodnicy[],MATCH($A40,Players!$A$2:$A$35,0),MATCH($B$6,Players!$A$1:$Y$1,0))*I$6+INDEX(Zawodnicy[],MATCH($A40,Players!$A$2:$A$35,0),MATCH($B$7,Players!$A$1:$Y$1,0))*I$7+INDEX(Zawodnicy[],MATCH($A40,Players!$A$2:$A$35,0),MATCH($B$8,Players!$A$1:$Y$1,0))*I$8+INDEX(Zawodnicy[],MATCH($A40,Players!$A$2:$A$35,0),MATCH($B$9,Players!$A$1:$Y$1,0))*I$9+INDEX(Zawodnicy[],MATCH($A40,Players!$A$2:$A$35,0),MATCH($B$10,Players!$A$1:$Y$1,0))*I$10+INDEX(Zawodnicy[],MATCH($A40,Players!$A$2:$A$35,0),MATCH($B$11,Players!$A$1:$Y$1,0))*I$11+INDEX(Zawodnicy[],MATCH($A40,Players!$A$2:$A$35,0),MATCH($B$12,Players!$A$1:$Y$1,0))*I$12+INDEX(Zawodnicy[],MATCH($A40,Players!$A$2:$A$35,0),MATCH($B$13,Players!$A$1:$Y$1,0))*I$13,"-")</f>
        <v>66.5</v>
      </c>
      <c r="J40" s="38">
        <f>IFERROR(INDEX(Zawodnicy[],MATCH($A40,Players!$A$2:$A$35,0),MATCH($B$2,Players!$A$1:$Y$1,0))*J$2+INDEX(Zawodnicy[],MATCH($A40,Players!$A$2:$A$35,0),MATCH($B$3,Players!$A$1:$Y$1,0))*J$3+INDEX(Zawodnicy[],MATCH($A40,Players!$A$2:$A$35,0),MATCH($B$4,Players!$A$1:$Y$1,0))*J$4+INDEX(Zawodnicy[],MATCH($A40,Players!$A$2:$A$35,0),MATCH($B$5,Players!$A$1:$Y$1,0))*J$5+INDEX(Zawodnicy[],MATCH($A40,Players!$A$2:$A$35,0),MATCH($B$6,Players!$A$1:$Y$1,0))*J$6+INDEX(Zawodnicy[],MATCH($A40,Players!$A$2:$A$35,0),MATCH($B$7,Players!$A$1:$Y$1,0))*J$7+INDEX(Zawodnicy[],MATCH($A40,Players!$A$2:$A$35,0),MATCH($B$8,Players!$A$1:$Y$1,0))*J$8+INDEX(Zawodnicy[],MATCH($A40,Players!$A$2:$A$35,0),MATCH($B$9,Players!$A$1:$Y$1,0))*J$9+INDEX(Zawodnicy[],MATCH($A40,Players!$A$2:$A$35,0),MATCH($B$10,Players!$A$1:$Y$1,0))*J$10+INDEX(Zawodnicy[],MATCH($A40,Players!$A$2:$A$35,0),MATCH($B$11,Players!$A$1:$Y$1,0))*J$11+INDEX(Zawodnicy[],MATCH($A40,Players!$A$2:$A$35,0),MATCH($B$12,Players!$A$1:$Y$1,0))*J$12+INDEX(Zawodnicy[],MATCH($A40,Players!$A$2:$A$35,0),MATCH($B$13,Players!$A$1:$Y$1,0))*J$13,"-")</f>
        <v>65.5</v>
      </c>
      <c r="K40" s="38">
        <f>IFERROR(INDEX(Zawodnicy[],MATCH($A40,Players!$A$2:$A$35,0),MATCH($B$2,Players!$A$1:$Y$1,0))*K$2+INDEX(Zawodnicy[],MATCH($A40,Players!$A$2:$A$35,0),MATCH($B$3,Players!$A$1:$Y$1,0))*K$3+INDEX(Zawodnicy[],MATCH($A40,Players!$A$2:$A$35,0),MATCH($B$4,Players!$A$1:$Y$1,0))*K$4+INDEX(Zawodnicy[],MATCH($A40,Players!$A$2:$A$35,0),MATCH($B$5,Players!$A$1:$Y$1,0))*K$5+INDEX(Zawodnicy[],MATCH($A40,Players!$A$2:$A$35,0),MATCH($B$6,Players!$A$1:$Y$1,0))*K$6+INDEX(Zawodnicy[],MATCH($A40,Players!$A$2:$A$35,0),MATCH($B$7,Players!$A$1:$Y$1,0))*K$7+INDEX(Zawodnicy[],MATCH($A40,Players!$A$2:$A$35,0),MATCH($B$8,Players!$A$1:$Y$1,0))*K$8+INDEX(Zawodnicy[],MATCH($A40,Players!$A$2:$A$35,0),MATCH($B$9,Players!$A$1:$Y$1,0))*K$9+INDEX(Zawodnicy[],MATCH($A40,Players!$A$2:$A$35,0),MATCH($B$10,Players!$A$1:$Y$1,0))*K$10+INDEX(Zawodnicy[],MATCH($A40,Players!$A$2:$A$35,0),MATCH($B$11,Players!$A$1:$Y$1,0))*K$11+INDEX(Zawodnicy[],MATCH($A40,Players!$A$2:$A$35,0),MATCH($B$12,Players!$A$1:$Y$1,0))*K$12+INDEX(Zawodnicy[],MATCH($A40,Players!$A$2:$A$35,0),MATCH($B$13,Players!$A$1:$Y$1,0))*K$13,"-")</f>
        <v>63</v>
      </c>
    </row>
    <row r="42" spans="1:11" ht="15.75" thickBot="1" x14ac:dyDescent="0.3">
      <c r="A42" s="15" t="s">
        <v>36</v>
      </c>
      <c r="B42" s="13" t="s">
        <v>37</v>
      </c>
      <c r="C42" s="23" t="s">
        <v>40</v>
      </c>
      <c r="D42" s="23" t="s">
        <v>47</v>
      </c>
      <c r="E42" s="23" t="s">
        <v>66</v>
      </c>
      <c r="F42" s="23" t="s">
        <v>41</v>
      </c>
      <c r="G42" s="23" t="s">
        <v>67</v>
      </c>
      <c r="H42" s="23" t="s">
        <v>68</v>
      </c>
      <c r="I42" s="23" t="s">
        <v>44</v>
      </c>
      <c r="J42" s="23" t="s">
        <v>69</v>
      </c>
      <c r="K42" s="23" t="s">
        <v>46</v>
      </c>
    </row>
    <row r="43" spans="1:11" x14ac:dyDescent="0.25">
      <c r="A43">
        <f>IFERROR(PozJunNŚr[[#This Row],[Numer]],"-")</f>
        <v>31</v>
      </c>
      <c r="B43" s="3" t="str">
        <f>IFERROR(VLOOKUP(PozJunNMM[[#This Row],[Numer]],Zawodnicy[[Number]:[Player name]],2,FALSE),"-")</f>
        <v>Jacek Swoboda</v>
      </c>
      <c r="C43" s="38">
        <f ca="1">IFERROR(INDEX(JuniorzyNegatyw[],MATCH($A43,Juniorstwo!$A$35:$A$54,0),MATCH($B$2,Juniorstwo!$A$34:$N$34,0))*C$2+INDEX(JuniorzyNegatyw[],MATCH($A43,Juniorstwo!$A$35:$A$54,0),MATCH($B$3,Juniorstwo!$A$34:$N$34,0))*C$3+INDEX(JuniorzyNegatyw[],MATCH($A43,Juniorstwo!$A$35:$A$54,0),MATCH($B$4,Juniorstwo!$A$34:$N$34,0))*C$4+INDEX(JuniorzyNegatyw[],MATCH($A43,Juniorstwo!$A$35:$A$54,0),MATCH($B$5,Juniorstwo!$A$34:$N$34,0))*C$5+INDEX(JuniorzyNegatyw[],MATCH($A43,Juniorstwo!$A$35:$A$54,0),MATCH($B$6,Juniorstwo!$A$34:$N$34,0))*C$6+INDEX(JuniorzyNegatyw[],MATCH($A43,Juniorstwo!$A$35:$A$54,0),MATCH($B$7,Juniorstwo!$A$34:$N$34,0))*C$7+INDEX(JuniorzyNegatyw[],MATCH($A43,Juniorstwo!$A$35:$A$54,0),MATCH($B$8,Juniorstwo!$A$34:$N$34,0))*C$8+INDEX(JuniorzyNegatyw[],MATCH($A43,Juniorstwo!$A$35:$A$54,0),MATCH($B$9,Juniorstwo!$A$34:$N$34,0))*C$9+INDEX(JuniorzyNegatyw[],MATCH($A43,Juniorstwo!$A$35:$A$54,0),MATCH($B$10,Juniorstwo!$A$34:$N$34,0))*C$10+INDEX(JuniorzyNegatyw[],MATCH($A43,Juniorstwo!$A$35:$A$54,0),MATCH($B$11,Juniorstwo!$A$34:$N$34,0))*C$11+INDEX(JuniorzyNegatyw[],MATCH($A43,Juniorstwo!$A$35:$A$54,0),MATCH($B$12,Juniorstwo!$A$34:$N$34,0))*C$12+INDEX(JuniorzyNegatyw[],MATCH($A43,Juniorstwo!$A$35:$A$54,0),MATCH($B$13,Juniorstwo!$A$34:$N$34,0))*C$13,"-")</f>
        <v>51</v>
      </c>
      <c r="D43" s="38">
        <f ca="1">IFERROR(INDEX(JuniorzyNegatyw[],MATCH($A43,Juniorstwo!$A$35:$A$54,0),MATCH($B$2,Juniorstwo!$A$34:$N$34,0))*D$2+INDEX(JuniorzyNegatyw[],MATCH($A43,Juniorstwo!$A$35:$A$54,0),MATCH($B$3,Juniorstwo!$A$34:$N$34,0))*D$3+INDEX(JuniorzyNegatyw[],MATCH($A43,Juniorstwo!$A$35:$A$54,0),MATCH($B$4,Juniorstwo!$A$34:$N$34,0))*D$4+INDEX(JuniorzyNegatyw[],MATCH($A43,Juniorstwo!$A$35:$A$54,0),MATCH($B$5,Juniorstwo!$A$34:$N$34,0))*D$5+INDEX(JuniorzyNegatyw[],MATCH($A43,Juniorstwo!$A$35:$A$54,0),MATCH($B$6,Juniorstwo!$A$34:$N$34,0))*D$6+INDEX(JuniorzyNegatyw[],MATCH($A43,Juniorstwo!$A$35:$A$54,0),MATCH($B$7,Juniorstwo!$A$34:$N$34,0))*D$7+INDEX(JuniorzyNegatyw[],MATCH($A43,Juniorstwo!$A$35:$A$54,0),MATCH($B$8,Juniorstwo!$A$34:$N$34,0))*D$8+INDEX(JuniorzyNegatyw[],MATCH($A43,Juniorstwo!$A$35:$A$54,0),MATCH($B$9,Juniorstwo!$A$34:$N$34,0))*D$9+INDEX(JuniorzyNegatyw[],MATCH($A43,Juniorstwo!$A$35:$A$54,0),MATCH($B$10,Juniorstwo!$A$34:$N$34,0))*D$10+INDEX(JuniorzyNegatyw[],MATCH($A43,Juniorstwo!$A$35:$A$54,0),MATCH($B$11,Juniorstwo!$A$34:$N$34,0))*D$11+INDEX(JuniorzyNegatyw[],MATCH($A43,Juniorstwo!$A$35:$A$54,0),MATCH($B$12,Juniorstwo!$A$34:$N$34,0))*D$12+INDEX(JuniorzyNegatyw[],MATCH($A43,Juniorstwo!$A$35:$A$54,0),MATCH($B$13,Juniorstwo!$A$34:$N$34,0))*D$13,"-")</f>
        <v>63.5</v>
      </c>
      <c r="E43" s="38">
        <f ca="1">IFERROR(INDEX(JuniorzyNegatyw[],MATCH($A43,Juniorstwo!$A$35:$A$54,0),MATCH($B$2,Juniorstwo!$A$34:$N$34,0))*E$2+INDEX(JuniorzyNegatyw[],MATCH($A43,Juniorstwo!$A$35:$A$54,0),MATCH($B$3,Juniorstwo!$A$34:$N$34,0))*E$3+INDEX(JuniorzyNegatyw[],MATCH($A43,Juniorstwo!$A$35:$A$54,0),MATCH($B$4,Juniorstwo!$A$34:$N$34,0))*E$4+INDEX(JuniorzyNegatyw[],MATCH($A43,Juniorstwo!$A$35:$A$54,0),MATCH($B$5,Juniorstwo!$A$34:$N$34,0))*E$5+INDEX(JuniorzyNegatyw[],MATCH($A43,Juniorstwo!$A$35:$A$54,0),MATCH($B$6,Juniorstwo!$A$34:$N$34,0))*E$6+INDEX(JuniorzyNegatyw[],MATCH($A43,Juniorstwo!$A$35:$A$54,0),MATCH($B$7,Juniorstwo!$A$34:$N$34,0))*E$7+INDEX(JuniorzyNegatyw[],MATCH($A43,Juniorstwo!$A$35:$A$54,0),MATCH($B$8,Juniorstwo!$A$34:$N$34,0))*E$8+INDEX(JuniorzyNegatyw[],MATCH($A43,Juniorstwo!$A$35:$A$54,0),MATCH($B$9,Juniorstwo!$A$34:$N$34,0))*E$9+INDEX(JuniorzyNegatyw[],MATCH($A43,Juniorstwo!$A$35:$A$54,0),MATCH($B$10,Juniorstwo!$A$34:$N$34,0))*E$10+INDEX(JuniorzyNegatyw[],MATCH($A43,Juniorstwo!$A$35:$A$54,0),MATCH($B$11,Juniorstwo!$A$34:$N$34,0))*E$11+INDEX(JuniorzyNegatyw[],MATCH($A43,Juniorstwo!$A$35:$A$54,0),MATCH($B$12,Juniorstwo!$A$34:$N$34,0))*E$12+INDEX(JuniorzyNegatyw[],MATCH($A43,Juniorstwo!$A$35:$A$54,0),MATCH($B$13,Juniorstwo!$A$34:$N$34,0))*E$13,"-")</f>
        <v>63.5</v>
      </c>
      <c r="F43" s="38">
        <f ca="1">IFERROR(INDEX(JuniorzyNegatyw[],MATCH($A43,Juniorstwo!$A$35:$A$54,0),MATCH($B$2,Juniorstwo!$A$34:$N$34,0))*F$2+INDEX(JuniorzyNegatyw[],MATCH($A43,Juniorstwo!$A$35:$A$54,0),MATCH($B$3,Juniorstwo!$A$34:$N$34,0))*F$3+INDEX(JuniorzyNegatyw[],MATCH($A43,Juniorstwo!$A$35:$A$54,0),MATCH($B$4,Juniorstwo!$A$34:$N$34,0))*F$4+INDEX(JuniorzyNegatyw[],MATCH($A43,Juniorstwo!$A$35:$A$54,0),MATCH($B$5,Juniorstwo!$A$34:$N$34,0))*F$5+INDEX(JuniorzyNegatyw[],MATCH($A43,Juniorstwo!$A$35:$A$54,0),MATCH($B$6,Juniorstwo!$A$34:$N$34,0))*F$6+INDEX(JuniorzyNegatyw[],MATCH($A43,Juniorstwo!$A$35:$A$54,0),MATCH($B$7,Juniorstwo!$A$34:$N$34,0))*F$7+INDEX(JuniorzyNegatyw[],MATCH($A43,Juniorstwo!$A$35:$A$54,0),MATCH($B$8,Juniorstwo!$A$34:$N$34,0))*F$8+INDEX(JuniorzyNegatyw[],MATCH($A43,Juniorstwo!$A$35:$A$54,0),MATCH($B$9,Juniorstwo!$A$34:$N$34,0))*F$9+INDEX(JuniorzyNegatyw[],MATCH($A43,Juniorstwo!$A$35:$A$54,0),MATCH($B$10,Juniorstwo!$A$34:$N$34,0))*F$10+INDEX(JuniorzyNegatyw[],MATCH($A43,Juniorstwo!$A$35:$A$54,0),MATCH($B$11,Juniorstwo!$A$34:$N$34,0))*F$11+INDEX(JuniorzyNegatyw[],MATCH($A43,Juniorstwo!$A$35:$A$54,0),MATCH($B$12,Juniorstwo!$A$34:$N$34,0))*F$12+INDEX(JuniorzyNegatyw[],MATCH($A43,Juniorstwo!$A$35:$A$54,0),MATCH($B$13,Juniorstwo!$A$34:$N$34,0))*F$13,"-")</f>
        <v>63</v>
      </c>
      <c r="G43" s="38">
        <f ca="1">IFERROR(INDEX(JuniorzyNegatyw[],MATCH($A43,Juniorstwo!$A$35:$A$54,0),MATCH($B$2,Juniorstwo!$A$34:$N$34,0))*G$2+INDEX(JuniorzyNegatyw[],MATCH($A43,Juniorstwo!$A$35:$A$54,0),MATCH($B$3,Juniorstwo!$A$34:$N$34,0))*G$3+INDEX(JuniorzyNegatyw[],MATCH($A43,Juniorstwo!$A$35:$A$54,0),MATCH($B$4,Juniorstwo!$A$34:$N$34,0))*G$4+INDEX(JuniorzyNegatyw[],MATCH($A43,Juniorstwo!$A$35:$A$54,0),MATCH($B$5,Juniorstwo!$A$34:$N$34,0))*G$5+INDEX(JuniorzyNegatyw[],MATCH($A43,Juniorstwo!$A$35:$A$54,0),MATCH($B$6,Juniorstwo!$A$34:$N$34,0))*G$6+INDEX(JuniorzyNegatyw[],MATCH($A43,Juniorstwo!$A$35:$A$54,0),MATCH($B$7,Juniorstwo!$A$34:$N$34,0))*G$7+INDEX(JuniorzyNegatyw[],MATCH($A43,Juniorstwo!$A$35:$A$54,0),MATCH($B$8,Juniorstwo!$A$34:$N$34,0))*G$8+INDEX(JuniorzyNegatyw[],MATCH($A43,Juniorstwo!$A$35:$A$54,0),MATCH($B$9,Juniorstwo!$A$34:$N$34,0))*G$9+INDEX(JuniorzyNegatyw[],MATCH($A43,Juniorstwo!$A$35:$A$54,0),MATCH($B$10,Juniorstwo!$A$34:$N$34,0))*G$10+INDEX(JuniorzyNegatyw[],MATCH($A43,Juniorstwo!$A$35:$A$54,0),MATCH($B$11,Juniorstwo!$A$34:$N$34,0))*G$11+INDEX(JuniorzyNegatyw[],MATCH($A43,Juniorstwo!$A$35:$A$54,0),MATCH($B$12,Juniorstwo!$A$34:$N$34,0))*G$12+INDEX(JuniorzyNegatyw[],MATCH($A43,Juniorstwo!$A$35:$A$54,0),MATCH($B$13,Juniorstwo!$A$34:$N$34,0))*G$13,"-")</f>
        <v>64</v>
      </c>
      <c r="H43" s="38">
        <f ca="1">IFERROR(INDEX(JuniorzyNegatyw[],MATCH($A43,Juniorstwo!$A$35:$A$54,0),MATCH($B$2,Juniorstwo!$A$34:$N$34,0))*H$2+INDEX(JuniorzyNegatyw[],MATCH($A43,Juniorstwo!$A$35:$A$54,0),MATCH($B$3,Juniorstwo!$A$34:$N$34,0))*H$3+INDEX(JuniorzyNegatyw[],MATCH($A43,Juniorstwo!$A$35:$A$54,0),MATCH($B$4,Juniorstwo!$A$34:$N$34,0))*H$4+INDEX(JuniorzyNegatyw[],MATCH($A43,Juniorstwo!$A$35:$A$54,0),MATCH($B$5,Juniorstwo!$A$34:$N$34,0))*H$5+INDEX(JuniorzyNegatyw[],MATCH($A43,Juniorstwo!$A$35:$A$54,0),MATCH($B$6,Juniorstwo!$A$34:$N$34,0))*H$6+INDEX(JuniorzyNegatyw[],MATCH($A43,Juniorstwo!$A$35:$A$54,0),MATCH($B$7,Juniorstwo!$A$34:$N$34,0))*H$7+INDEX(JuniorzyNegatyw[],MATCH($A43,Juniorstwo!$A$35:$A$54,0),MATCH($B$8,Juniorstwo!$A$34:$N$34,0))*H$8+INDEX(JuniorzyNegatyw[],MATCH($A43,Juniorstwo!$A$35:$A$54,0),MATCH($B$9,Juniorstwo!$A$34:$N$34,0))*H$9+INDEX(JuniorzyNegatyw[],MATCH($A43,Juniorstwo!$A$35:$A$54,0),MATCH($B$10,Juniorstwo!$A$34:$N$34,0))*H$10+INDEX(JuniorzyNegatyw[],MATCH($A43,Juniorstwo!$A$35:$A$54,0),MATCH($B$11,Juniorstwo!$A$34:$N$34,0))*H$11+INDEX(JuniorzyNegatyw[],MATCH($A43,Juniorstwo!$A$35:$A$54,0),MATCH($B$12,Juniorstwo!$A$34:$N$34,0))*H$12+INDEX(JuniorzyNegatyw[],MATCH($A43,Juniorstwo!$A$35:$A$54,0),MATCH($B$13,Juniorstwo!$A$34:$N$34,0))*H$13,"-")</f>
        <v>64</v>
      </c>
      <c r="I43" s="38">
        <f ca="1">IFERROR(INDEX(JuniorzyNegatyw[],MATCH($A43,Juniorstwo!$A$35:$A$54,0),MATCH($B$2,Juniorstwo!$A$34:$N$34,0))*I$2+INDEX(JuniorzyNegatyw[],MATCH($A43,Juniorstwo!$A$35:$A$54,0),MATCH($B$3,Juniorstwo!$A$34:$N$34,0))*I$3+INDEX(JuniorzyNegatyw[],MATCH($A43,Juniorstwo!$A$35:$A$54,0),MATCH($B$4,Juniorstwo!$A$34:$N$34,0))*I$4+INDEX(JuniorzyNegatyw[],MATCH($A43,Juniorstwo!$A$35:$A$54,0),MATCH($B$5,Juniorstwo!$A$34:$N$34,0))*I$5+INDEX(JuniorzyNegatyw[],MATCH($A43,Juniorstwo!$A$35:$A$54,0),MATCH($B$6,Juniorstwo!$A$34:$N$34,0))*I$6+INDEX(JuniorzyNegatyw[],MATCH($A43,Juniorstwo!$A$35:$A$54,0),MATCH($B$7,Juniorstwo!$A$34:$N$34,0))*I$7+INDEX(JuniorzyNegatyw[],MATCH($A43,Juniorstwo!$A$35:$A$54,0),MATCH($B$8,Juniorstwo!$A$34:$N$34,0))*I$8+INDEX(JuniorzyNegatyw[],MATCH($A43,Juniorstwo!$A$35:$A$54,0),MATCH($B$9,Juniorstwo!$A$34:$N$34,0))*I$9+INDEX(JuniorzyNegatyw[],MATCH($A43,Juniorstwo!$A$35:$A$54,0),MATCH($B$10,Juniorstwo!$A$34:$N$34,0))*I$10+INDEX(JuniorzyNegatyw[],MATCH($A43,Juniorstwo!$A$35:$A$54,0),MATCH($B$11,Juniorstwo!$A$34:$N$34,0))*I$11+INDEX(JuniorzyNegatyw[],MATCH($A43,Juniorstwo!$A$35:$A$54,0),MATCH($B$12,Juniorstwo!$A$34:$N$34,0))*I$12+INDEX(JuniorzyNegatyw[],MATCH($A43,Juniorstwo!$A$35:$A$54,0),MATCH($B$13,Juniorstwo!$A$34:$N$34,0))*I$13,"-")</f>
        <v>60</v>
      </c>
      <c r="J43" s="38">
        <f ca="1">IFERROR(INDEX(JuniorzyNegatyw[],MATCH($A43,Juniorstwo!$A$35:$A$54,0),MATCH($B$2,Juniorstwo!$A$34:$N$34,0))*J$2+INDEX(JuniorzyNegatyw[],MATCH($A43,Juniorstwo!$A$35:$A$54,0),MATCH($B$3,Juniorstwo!$A$34:$N$34,0))*J$3+INDEX(JuniorzyNegatyw[],MATCH($A43,Juniorstwo!$A$35:$A$54,0),MATCH($B$4,Juniorstwo!$A$34:$N$34,0))*J$4+INDEX(JuniorzyNegatyw[],MATCH($A43,Juniorstwo!$A$35:$A$54,0),MATCH($B$5,Juniorstwo!$A$34:$N$34,0))*J$5+INDEX(JuniorzyNegatyw[],MATCH($A43,Juniorstwo!$A$35:$A$54,0),MATCH($B$6,Juniorstwo!$A$34:$N$34,0))*J$6+INDEX(JuniorzyNegatyw[],MATCH($A43,Juniorstwo!$A$35:$A$54,0),MATCH($B$7,Juniorstwo!$A$34:$N$34,0))*J$7+INDEX(JuniorzyNegatyw[],MATCH($A43,Juniorstwo!$A$35:$A$54,0),MATCH($B$8,Juniorstwo!$A$34:$N$34,0))*J$8+INDEX(JuniorzyNegatyw[],MATCH($A43,Juniorstwo!$A$35:$A$54,0),MATCH($B$9,Juniorstwo!$A$34:$N$34,0))*J$9+INDEX(JuniorzyNegatyw[],MATCH($A43,Juniorstwo!$A$35:$A$54,0),MATCH($B$10,Juniorstwo!$A$34:$N$34,0))*J$10+INDEX(JuniorzyNegatyw[],MATCH($A43,Juniorstwo!$A$35:$A$54,0),MATCH($B$11,Juniorstwo!$A$34:$N$34,0))*J$11+INDEX(JuniorzyNegatyw[],MATCH($A43,Juniorstwo!$A$35:$A$54,0),MATCH($B$12,Juniorstwo!$A$34:$N$34,0))*J$12+INDEX(JuniorzyNegatyw[],MATCH($A43,Juniorstwo!$A$35:$A$54,0),MATCH($B$13,Juniorstwo!$A$34:$N$34,0))*J$13,"-")</f>
        <v>63.5</v>
      </c>
      <c r="K43" s="38">
        <f ca="1">IFERROR(INDEX(JuniorzyNegatyw[],MATCH($A43,Juniorstwo!$A$35:$A$54,0),MATCH($B$2,Juniorstwo!$A$34:$N$34,0))*K$2+INDEX(JuniorzyNegatyw[],MATCH($A43,Juniorstwo!$A$35:$A$54,0),MATCH($B$3,Juniorstwo!$A$34:$N$34,0))*K$3+INDEX(JuniorzyNegatyw[],MATCH($A43,Juniorstwo!$A$35:$A$54,0),MATCH($B$4,Juniorstwo!$A$34:$N$34,0))*K$4+INDEX(JuniorzyNegatyw[],MATCH($A43,Juniorstwo!$A$35:$A$54,0),MATCH($B$5,Juniorstwo!$A$34:$N$34,0))*K$5+INDEX(JuniorzyNegatyw[],MATCH($A43,Juniorstwo!$A$35:$A$54,0),MATCH($B$6,Juniorstwo!$A$34:$N$34,0))*K$6+INDEX(JuniorzyNegatyw[],MATCH($A43,Juniorstwo!$A$35:$A$54,0),MATCH($B$7,Juniorstwo!$A$34:$N$34,0))*K$7+INDEX(JuniorzyNegatyw[],MATCH($A43,Juniorstwo!$A$35:$A$54,0),MATCH($B$8,Juniorstwo!$A$34:$N$34,0))*K$8+INDEX(JuniorzyNegatyw[],MATCH($A43,Juniorstwo!$A$35:$A$54,0),MATCH($B$9,Juniorstwo!$A$34:$N$34,0))*K$9+INDEX(JuniorzyNegatyw[],MATCH($A43,Juniorstwo!$A$35:$A$54,0),MATCH($B$10,Juniorstwo!$A$34:$N$34,0))*K$10+INDEX(JuniorzyNegatyw[],MATCH($A43,Juniorstwo!$A$35:$A$54,0),MATCH($B$11,Juniorstwo!$A$34:$N$34,0))*K$11+INDEX(JuniorzyNegatyw[],MATCH($A43,Juniorstwo!$A$35:$A$54,0),MATCH($B$12,Juniorstwo!$A$34:$N$34,0))*K$12+INDEX(JuniorzyNegatyw[],MATCH($A43,Juniorstwo!$A$35:$A$54,0),MATCH($B$13,Juniorstwo!$A$34:$N$34,0))*K$13,"-")</f>
        <v>57.5</v>
      </c>
    </row>
    <row r="44" spans="1:11" x14ac:dyDescent="0.25">
      <c r="A44">
        <f>IFERROR(PozJunNŚr[[#This Row],[Numer]],"-")</f>
        <v>38</v>
      </c>
      <c r="B44" s="3" t="str">
        <f>IFERROR(VLOOKUP(PozJunNMM[[#This Row],[Numer]],Zawodnicy[[Number]:[Player name]],2,FALSE),"-")</f>
        <v>Boleslaw Kolbert</v>
      </c>
      <c r="C44" s="38">
        <f ca="1">IFERROR(INDEX(JuniorzyNegatyw[],MATCH($A44,Juniorstwo!$A$35:$A$54,0),MATCH($B$2,Juniorstwo!$A$34:$N$34,0))*C$2+INDEX(JuniorzyNegatyw[],MATCH($A44,Juniorstwo!$A$35:$A$54,0),MATCH($B$3,Juniorstwo!$A$34:$N$34,0))*C$3+INDEX(JuniorzyNegatyw[],MATCH($A44,Juniorstwo!$A$35:$A$54,0),MATCH($B$4,Juniorstwo!$A$34:$N$34,0))*C$4+INDEX(JuniorzyNegatyw[],MATCH($A44,Juniorstwo!$A$35:$A$54,0),MATCH($B$5,Juniorstwo!$A$34:$N$34,0))*C$5+INDEX(JuniorzyNegatyw[],MATCH($A44,Juniorstwo!$A$35:$A$54,0),MATCH($B$6,Juniorstwo!$A$34:$N$34,0))*C$6+INDEX(JuniorzyNegatyw[],MATCH($A44,Juniorstwo!$A$35:$A$54,0),MATCH($B$7,Juniorstwo!$A$34:$N$34,0))*C$7+INDEX(JuniorzyNegatyw[],MATCH($A44,Juniorstwo!$A$35:$A$54,0),MATCH($B$8,Juniorstwo!$A$34:$N$34,0))*C$8+INDEX(JuniorzyNegatyw[],MATCH($A44,Juniorstwo!$A$35:$A$54,0),MATCH($B$9,Juniorstwo!$A$34:$N$34,0))*C$9+INDEX(JuniorzyNegatyw[],MATCH($A44,Juniorstwo!$A$35:$A$54,0),MATCH($B$10,Juniorstwo!$A$34:$N$34,0))*C$10+INDEX(JuniorzyNegatyw[],MATCH($A44,Juniorstwo!$A$35:$A$54,0),MATCH($B$11,Juniorstwo!$A$34:$N$34,0))*C$11+INDEX(JuniorzyNegatyw[],MATCH($A44,Juniorstwo!$A$35:$A$54,0),MATCH($B$12,Juniorstwo!$A$34:$N$34,0))*C$12+INDEX(JuniorzyNegatyw[],MATCH($A44,Juniorstwo!$A$35:$A$54,0),MATCH($B$13,Juniorstwo!$A$34:$N$34,0))*C$13,"-")</f>
        <v>43.5</v>
      </c>
      <c r="D44" s="38">
        <f ca="1">IFERROR(INDEX(JuniorzyNegatyw[],MATCH($A44,Juniorstwo!$A$35:$A$54,0),MATCH($B$2,Juniorstwo!$A$34:$N$34,0))*D$2+INDEX(JuniorzyNegatyw[],MATCH($A44,Juniorstwo!$A$35:$A$54,0),MATCH($B$3,Juniorstwo!$A$34:$N$34,0))*D$3+INDEX(JuniorzyNegatyw[],MATCH($A44,Juniorstwo!$A$35:$A$54,0),MATCH($B$4,Juniorstwo!$A$34:$N$34,0))*D$4+INDEX(JuniorzyNegatyw[],MATCH($A44,Juniorstwo!$A$35:$A$54,0),MATCH($B$5,Juniorstwo!$A$34:$N$34,0))*D$5+INDEX(JuniorzyNegatyw[],MATCH($A44,Juniorstwo!$A$35:$A$54,0),MATCH($B$6,Juniorstwo!$A$34:$N$34,0))*D$6+INDEX(JuniorzyNegatyw[],MATCH($A44,Juniorstwo!$A$35:$A$54,0),MATCH($B$7,Juniorstwo!$A$34:$N$34,0))*D$7+INDEX(JuniorzyNegatyw[],MATCH($A44,Juniorstwo!$A$35:$A$54,0),MATCH($B$8,Juniorstwo!$A$34:$N$34,0))*D$8+INDEX(JuniorzyNegatyw[],MATCH($A44,Juniorstwo!$A$35:$A$54,0),MATCH($B$9,Juniorstwo!$A$34:$N$34,0))*D$9+INDEX(JuniorzyNegatyw[],MATCH($A44,Juniorstwo!$A$35:$A$54,0),MATCH($B$10,Juniorstwo!$A$34:$N$34,0))*D$10+INDEX(JuniorzyNegatyw[],MATCH($A44,Juniorstwo!$A$35:$A$54,0),MATCH($B$11,Juniorstwo!$A$34:$N$34,0))*D$11+INDEX(JuniorzyNegatyw[],MATCH($A44,Juniorstwo!$A$35:$A$54,0),MATCH($B$12,Juniorstwo!$A$34:$N$34,0))*D$12+INDEX(JuniorzyNegatyw[],MATCH($A44,Juniorstwo!$A$35:$A$54,0),MATCH($B$13,Juniorstwo!$A$34:$N$34,0))*D$13,"-")</f>
        <v>70</v>
      </c>
      <c r="E44" s="38">
        <f ca="1">IFERROR(INDEX(JuniorzyNegatyw[],MATCH($A44,Juniorstwo!$A$35:$A$54,0),MATCH($B$2,Juniorstwo!$A$34:$N$34,0))*E$2+INDEX(JuniorzyNegatyw[],MATCH($A44,Juniorstwo!$A$35:$A$54,0),MATCH($B$3,Juniorstwo!$A$34:$N$34,0))*E$3+INDEX(JuniorzyNegatyw[],MATCH($A44,Juniorstwo!$A$35:$A$54,0),MATCH($B$4,Juniorstwo!$A$34:$N$34,0))*E$4+INDEX(JuniorzyNegatyw[],MATCH($A44,Juniorstwo!$A$35:$A$54,0),MATCH($B$5,Juniorstwo!$A$34:$N$34,0))*E$5+INDEX(JuniorzyNegatyw[],MATCH($A44,Juniorstwo!$A$35:$A$54,0),MATCH($B$6,Juniorstwo!$A$34:$N$34,0))*E$6+INDEX(JuniorzyNegatyw[],MATCH($A44,Juniorstwo!$A$35:$A$54,0),MATCH($B$7,Juniorstwo!$A$34:$N$34,0))*E$7+INDEX(JuniorzyNegatyw[],MATCH($A44,Juniorstwo!$A$35:$A$54,0),MATCH($B$8,Juniorstwo!$A$34:$N$34,0))*E$8+INDEX(JuniorzyNegatyw[],MATCH($A44,Juniorstwo!$A$35:$A$54,0),MATCH($B$9,Juniorstwo!$A$34:$N$34,0))*E$9+INDEX(JuniorzyNegatyw[],MATCH($A44,Juniorstwo!$A$35:$A$54,0),MATCH($B$10,Juniorstwo!$A$34:$N$34,0))*E$10+INDEX(JuniorzyNegatyw[],MATCH($A44,Juniorstwo!$A$35:$A$54,0),MATCH($B$11,Juniorstwo!$A$34:$N$34,0))*E$11+INDEX(JuniorzyNegatyw[],MATCH($A44,Juniorstwo!$A$35:$A$54,0),MATCH($B$12,Juniorstwo!$A$34:$N$34,0))*E$12+INDEX(JuniorzyNegatyw[],MATCH($A44,Juniorstwo!$A$35:$A$54,0),MATCH($B$13,Juniorstwo!$A$34:$N$34,0))*E$13,"-")</f>
        <v>69</v>
      </c>
      <c r="F44" s="38">
        <f ca="1">IFERROR(INDEX(JuniorzyNegatyw[],MATCH($A44,Juniorstwo!$A$35:$A$54,0),MATCH($B$2,Juniorstwo!$A$34:$N$34,0))*F$2+INDEX(JuniorzyNegatyw[],MATCH($A44,Juniorstwo!$A$35:$A$54,0),MATCH($B$3,Juniorstwo!$A$34:$N$34,0))*F$3+INDEX(JuniorzyNegatyw[],MATCH($A44,Juniorstwo!$A$35:$A$54,0),MATCH($B$4,Juniorstwo!$A$34:$N$34,0))*F$4+INDEX(JuniorzyNegatyw[],MATCH($A44,Juniorstwo!$A$35:$A$54,0),MATCH($B$5,Juniorstwo!$A$34:$N$34,0))*F$5+INDEX(JuniorzyNegatyw[],MATCH($A44,Juniorstwo!$A$35:$A$54,0),MATCH($B$6,Juniorstwo!$A$34:$N$34,0))*F$6+INDEX(JuniorzyNegatyw[],MATCH($A44,Juniorstwo!$A$35:$A$54,0),MATCH($B$7,Juniorstwo!$A$34:$N$34,0))*F$7+INDEX(JuniorzyNegatyw[],MATCH($A44,Juniorstwo!$A$35:$A$54,0),MATCH($B$8,Juniorstwo!$A$34:$N$34,0))*F$8+INDEX(JuniorzyNegatyw[],MATCH($A44,Juniorstwo!$A$35:$A$54,0),MATCH($B$9,Juniorstwo!$A$34:$N$34,0))*F$9+INDEX(JuniorzyNegatyw[],MATCH($A44,Juniorstwo!$A$35:$A$54,0),MATCH($B$10,Juniorstwo!$A$34:$N$34,0))*F$10+INDEX(JuniorzyNegatyw[],MATCH($A44,Juniorstwo!$A$35:$A$54,0),MATCH($B$11,Juniorstwo!$A$34:$N$34,0))*F$11+INDEX(JuniorzyNegatyw[],MATCH($A44,Juniorstwo!$A$35:$A$54,0),MATCH($B$12,Juniorstwo!$A$34:$N$34,0))*F$12+INDEX(JuniorzyNegatyw[],MATCH($A44,Juniorstwo!$A$35:$A$54,0),MATCH($B$13,Juniorstwo!$A$34:$N$34,0))*F$13,"-")</f>
        <v>66</v>
      </c>
      <c r="G44" s="38">
        <f ca="1">IFERROR(INDEX(JuniorzyNegatyw[],MATCH($A44,Juniorstwo!$A$35:$A$54,0),MATCH($B$2,Juniorstwo!$A$34:$N$34,0))*G$2+INDEX(JuniorzyNegatyw[],MATCH($A44,Juniorstwo!$A$35:$A$54,0),MATCH($B$3,Juniorstwo!$A$34:$N$34,0))*G$3+INDEX(JuniorzyNegatyw[],MATCH($A44,Juniorstwo!$A$35:$A$54,0),MATCH($B$4,Juniorstwo!$A$34:$N$34,0))*G$4+INDEX(JuniorzyNegatyw[],MATCH($A44,Juniorstwo!$A$35:$A$54,0),MATCH($B$5,Juniorstwo!$A$34:$N$34,0))*G$5+INDEX(JuniorzyNegatyw[],MATCH($A44,Juniorstwo!$A$35:$A$54,0),MATCH($B$6,Juniorstwo!$A$34:$N$34,0))*G$6+INDEX(JuniorzyNegatyw[],MATCH($A44,Juniorstwo!$A$35:$A$54,0),MATCH($B$7,Juniorstwo!$A$34:$N$34,0))*G$7+INDEX(JuniorzyNegatyw[],MATCH($A44,Juniorstwo!$A$35:$A$54,0),MATCH($B$8,Juniorstwo!$A$34:$N$34,0))*G$8+INDEX(JuniorzyNegatyw[],MATCH($A44,Juniorstwo!$A$35:$A$54,0),MATCH($B$9,Juniorstwo!$A$34:$N$34,0))*G$9+INDEX(JuniorzyNegatyw[],MATCH($A44,Juniorstwo!$A$35:$A$54,0),MATCH($B$10,Juniorstwo!$A$34:$N$34,0))*G$10+INDEX(JuniorzyNegatyw[],MATCH($A44,Juniorstwo!$A$35:$A$54,0),MATCH($B$11,Juniorstwo!$A$34:$N$34,0))*G$11+INDEX(JuniorzyNegatyw[],MATCH($A44,Juniorstwo!$A$35:$A$54,0),MATCH($B$12,Juniorstwo!$A$34:$N$34,0))*G$12+INDEX(JuniorzyNegatyw[],MATCH($A44,Juniorstwo!$A$35:$A$54,0),MATCH($B$13,Juniorstwo!$A$34:$N$34,0))*G$13,"-")</f>
        <v>64</v>
      </c>
      <c r="H44" s="38">
        <f ca="1">IFERROR(INDEX(JuniorzyNegatyw[],MATCH($A44,Juniorstwo!$A$35:$A$54,0),MATCH($B$2,Juniorstwo!$A$34:$N$34,0))*H$2+INDEX(JuniorzyNegatyw[],MATCH($A44,Juniorstwo!$A$35:$A$54,0),MATCH($B$3,Juniorstwo!$A$34:$N$34,0))*H$3+INDEX(JuniorzyNegatyw[],MATCH($A44,Juniorstwo!$A$35:$A$54,0),MATCH($B$4,Juniorstwo!$A$34:$N$34,0))*H$4+INDEX(JuniorzyNegatyw[],MATCH($A44,Juniorstwo!$A$35:$A$54,0),MATCH($B$5,Juniorstwo!$A$34:$N$34,0))*H$5+INDEX(JuniorzyNegatyw[],MATCH($A44,Juniorstwo!$A$35:$A$54,0),MATCH($B$6,Juniorstwo!$A$34:$N$34,0))*H$6+INDEX(JuniorzyNegatyw[],MATCH($A44,Juniorstwo!$A$35:$A$54,0),MATCH($B$7,Juniorstwo!$A$34:$N$34,0))*H$7+INDEX(JuniorzyNegatyw[],MATCH($A44,Juniorstwo!$A$35:$A$54,0),MATCH($B$8,Juniorstwo!$A$34:$N$34,0))*H$8+INDEX(JuniorzyNegatyw[],MATCH($A44,Juniorstwo!$A$35:$A$54,0),MATCH($B$9,Juniorstwo!$A$34:$N$34,0))*H$9+INDEX(JuniorzyNegatyw[],MATCH($A44,Juniorstwo!$A$35:$A$54,0),MATCH($B$10,Juniorstwo!$A$34:$N$34,0))*H$10+INDEX(JuniorzyNegatyw[],MATCH($A44,Juniorstwo!$A$35:$A$54,0),MATCH($B$11,Juniorstwo!$A$34:$N$34,0))*H$11+INDEX(JuniorzyNegatyw[],MATCH($A44,Juniorstwo!$A$35:$A$54,0),MATCH($B$12,Juniorstwo!$A$34:$N$34,0))*H$12+INDEX(JuniorzyNegatyw[],MATCH($A44,Juniorstwo!$A$35:$A$54,0),MATCH($B$13,Juniorstwo!$A$34:$N$34,0))*H$13,"-")</f>
        <v>60.5</v>
      </c>
      <c r="I44" s="38">
        <f ca="1">IFERROR(INDEX(JuniorzyNegatyw[],MATCH($A44,Juniorstwo!$A$35:$A$54,0),MATCH($B$2,Juniorstwo!$A$34:$N$34,0))*I$2+INDEX(JuniorzyNegatyw[],MATCH($A44,Juniorstwo!$A$35:$A$54,0),MATCH($B$3,Juniorstwo!$A$34:$N$34,0))*I$3+INDEX(JuniorzyNegatyw[],MATCH($A44,Juniorstwo!$A$35:$A$54,0),MATCH($B$4,Juniorstwo!$A$34:$N$34,0))*I$4+INDEX(JuniorzyNegatyw[],MATCH($A44,Juniorstwo!$A$35:$A$54,0),MATCH($B$5,Juniorstwo!$A$34:$N$34,0))*I$5+INDEX(JuniorzyNegatyw[],MATCH($A44,Juniorstwo!$A$35:$A$54,0),MATCH($B$6,Juniorstwo!$A$34:$N$34,0))*I$6+INDEX(JuniorzyNegatyw[],MATCH($A44,Juniorstwo!$A$35:$A$54,0),MATCH($B$7,Juniorstwo!$A$34:$N$34,0))*I$7+INDEX(JuniorzyNegatyw[],MATCH($A44,Juniorstwo!$A$35:$A$54,0),MATCH($B$8,Juniorstwo!$A$34:$N$34,0))*I$8+INDEX(JuniorzyNegatyw[],MATCH($A44,Juniorstwo!$A$35:$A$54,0),MATCH($B$9,Juniorstwo!$A$34:$N$34,0))*I$9+INDEX(JuniorzyNegatyw[],MATCH($A44,Juniorstwo!$A$35:$A$54,0),MATCH($B$10,Juniorstwo!$A$34:$N$34,0))*I$10+INDEX(JuniorzyNegatyw[],MATCH($A44,Juniorstwo!$A$35:$A$54,0),MATCH($B$11,Juniorstwo!$A$34:$N$34,0))*I$11+INDEX(JuniorzyNegatyw[],MATCH($A44,Juniorstwo!$A$35:$A$54,0),MATCH($B$12,Juniorstwo!$A$34:$N$34,0))*I$12+INDEX(JuniorzyNegatyw[],MATCH($A44,Juniorstwo!$A$35:$A$54,0),MATCH($B$13,Juniorstwo!$A$34:$N$34,0))*I$13,"-")</f>
        <v>60</v>
      </c>
      <c r="J44" s="38">
        <f ca="1">IFERROR(INDEX(JuniorzyNegatyw[],MATCH($A44,Juniorstwo!$A$35:$A$54,0),MATCH($B$2,Juniorstwo!$A$34:$N$34,0))*J$2+INDEX(JuniorzyNegatyw[],MATCH($A44,Juniorstwo!$A$35:$A$54,0),MATCH($B$3,Juniorstwo!$A$34:$N$34,0))*J$3+INDEX(JuniorzyNegatyw[],MATCH($A44,Juniorstwo!$A$35:$A$54,0),MATCH($B$4,Juniorstwo!$A$34:$N$34,0))*J$4+INDEX(JuniorzyNegatyw[],MATCH($A44,Juniorstwo!$A$35:$A$54,0),MATCH($B$5,Juniorstwo!$A$34:$N$34,0))*J$5+INDEX(JuniorzyNegatyw[],MATCH($A44,Juniorstwo!$A$35:$A$54,0),MATCH($B$6,Juniorstwo!$A$34:$N$34,0))*J$6+INDEX(JuniorzyNegatyw[],MATCH($A44,Juniorstwo!$A$35:$A$54,0),MATCH($B$7,Juniorstwo!$A$34:$N$34,0))*J$7+INDEX(JuniorzyNegatyw[],MATCH($A44,Juniorstwo!$A$35:$A$54,0),MATCH($B$8,Juniorstwo!$A$34:$N$34,0))*J$8+INDEX(JuniorzyNegatyw[],MATCH($A44,Juniorstwo!$A$35:$A$54,0),MATCH($B$9,Juniorstwo!$A$34:$N$34,0))*J$9+INDEX(JuniorzyNegatyw[],MATCH($A44,Juniorstwo!$A$35:$A$54,0),MATCH($B$10,Juniorstwo!$A$34:$N$34,0))*J$10+INDEX(JuniorzyNegatyw[],MATCH($A44,Juniorstwo!$A$35:$A$54,0),MATCH($B$11,Juniorstwo!$A$34:$N$34,0))*J$11+INDEX(JuniorzyNegatyw[],MATCH($A44,Juniorstwo!$A$35:$A$54,0),MATCH($B$12,Juniorstwo!$A$34:$N$34,0))*J$12+INDEX(JuniorzyNegatyw[],MATCH($A44,Juniorstwo!$A$35:$A$54,0),MATCH($B$13,Juniorstwo!$A$34:$N$34,0))*J$13,"-")</f>
        <v>59.5</v>
      </c>
      <c r="K44" s="38">
        <f ca="1">IFERROR(INDEX(JuniorzyNegatyw[],MATCH($A44,Juniorstwo!$A$35:$A$54,0),MATCH($B$2,Juniorstwo!$A$34:$N$34,0))*K$2+INDEX(JuniorzyNegatyw[],MATCH($A44,Juniorstwo!$A$35:$A$54,0),MATCH($B$3,Juniorstwo!$A$34:$N$34,0))*K$3+INDEX(JuniorzyNegatyw[],MATCH($A44,Juniorstwo!$A$35:$A$54,0),MATCH($B$4,Juniorstwo!$A$34:$N$34,0))*K$4+INDEX(JuniorzyNegatyw[],MATCH($A44,Juniorstwo!$A$35:$A$54,0),MATCH($B$5,Juniorstwo!$A$34:$N$34,0))*K$5+INDEX(JuniorzyNegatyw[],MATCH($A44,Juniorstwo!$A$35:$A$54,0),MATCH($B$6,Juniorstwo!$A$34:$N$34,0))*K$6+INDEX(JuniorzyNegatyw[],MATCH($A44,Juniorstwo!$A$35:$A$54,0),MATCH($B$7,Juniorstwo!$A$34:$N$34,0))*K$7+INDEX(JuniorzyNegatyw[],MATCH($A44,Juniorstwo!$A$35:$A$54,0),MATCH($B$8,Juniorstwo!$A$34:$N$34,0))*K$8+INDEX(JuniorzyNegatyw[],MATCH($A44,Juniorstwo!$A$35:$A$54,0),MATCH($B$9,Juniorstwo!$A$34:$N$34,0))*K$9+INDEX(JuniorzyNegatyw[],MATCH($A44,Juniorstwo!$A$35:$A$54,0),MATCH($B$10,Juniorstwo!$A$34:$N$34,0))*K$10+INDEX(JuniorzyNegatyw[],MATCH($A44,Juniorstwo!$A$35:$A$54,0),MATCH($B$11,Juniorstwo!$A$34:$N$34,0))*K$11+INDEX(JuniorzyNegatyw[],MATCH($A44,Juniorstwo!$A$35:$A$54,0),MATCH($B$12,Juniorstwo!$A$34:$N$34,0))*K$12+INDEX(JuniorzyNegatyw[],MATCH($A44,Juniorstwo!$A$35:$A$54,0),MATCH($B$13,Juniorstwo!$A$34:$N$34,0))*K$13,"-")</f>
        <v>61.5</v>
      </c>
    </row>
    <row r="45" spans="1:11" x14ac:dyDescent="0.25">
      <c r="A45">
        <f>IFERROR(PozJunNŚr[[#This Row],[Numer]],"-")</f>
        <v>39</v>
      </c>
      <c r="B45" s="3" t="str">
        <f>IFERROR(VLOOKUP(PozJunNMM[[#This Row],[Numer]],Zawodnicy[[Number]:[Player name]],2,FALSE),"-")</f>
        <v>Damazy Pionek</v>
      </c>
      <c r="C45" s="38">
        <f ca="1">IFERROR(INDEX(JuniorzyNegatyw[],MATCH($A45,Juniorstwo!$A$35:$A$54,0),MATCH($B$2,Juniorstwo!$A$34:$N$34,0))*C$2+INDEX(JuniorzyNegatyw[],MATCH($A45,Juniorstwo!$A$35:$A$54,0),MATCH($B$3,Juniorstwo!$A$34:$N$34,0))*C$3+INDEX(JuniorzyNegatyw[],MATCH($A45,Juniorstwo!$A$35:$A$54,0),MATCH($B$4,Juniorstwo!$A$34:$N$34,0))*C$4+INDEX(JuniorzyNegatyw[],MATCH($A45,Juniorstwo!$A$35:$A$54,0),MATCH($B$5,Juniorstwo!$A$34:$N$34,0))*C$5+INDEX(JuniorzyNegatyw[],MATCH($A45,Juniorstwo!$A$35:$A$54,0),MATCH($B$6,Juniorstwo!$A$34:$N$34,0))*C$6+INDEX(JuniorzyNegatyw[],MATCH($A45,Juniorstwo!$A$35:$A$54,0),MATCH($B$7,Juniorstwo!$A$34:$N$34,0))*C$7+INDEX(JuniorzyNegatyw[],MATCH($A45,Juniorstwo!$A$35:$A$54,0),MATCH($B$8,Juniorstwo!$A$34:$N$34,0))*C$8+INDEX(JuniorzyNegatyw[],MATCH($A45,Juniorstwo!$A$35:$A$54,0),MATCH($B$9,Juniorstwo!$A$34:$N$34,0))*C$9+INDEX(JuniorzyNegatyw[],MATCH($A45,Juniorstwo!$A$35:$A$54,0),MATCH($B$10,Juniorstwo!$A$34:$N$34,0))*C$10+INDEX(JuniorzyNegatyw[],MATCH($A45,Juniorstwo!$A$35:$A$54,0),MATCH($B$11,Juniorstwo!$A$34:$N$34,0))*C$11+INDEX(JuniorzyNegatyw[],MATCH($A45,Juniorstwo!$A$35:$A$54,0),MATCH($B$12,Juniorstwo!$A$34:$N$34,0))*C$12+INDEX(JuniorzyNegatyw[],MATCH($A45,Juniorstwo!$A$35:$A$54,0),MATCH($B$13,Juniorstwo!$A$34:$N$34,0))*C$13,"-")</f>
        <v>85</v>
      </c>
      <c r="D45" s="38">
        <f ca="1">IFERROR(INDEX(JuniorzyNegatyw[],MATCH($A45,Juniorstwo!$A$35:$A$54,0),MATCH($B$2,Juniorstwo!$A$34:$N$34,0))*D$2+INDEX(JuniorzyNegatyw[],MATCH($A45,Juniorstwo!$A$35:$A$54,0),MATCH($B$3,Juniorstwo!$A$34:$N$34,0))*D$3+INDEX(JuniorzyNegatyw[],MATCH($A45,Juniorstwo!$A$35:$A$54,0),MATCH($B$4,Juniorstwo!$A$34:$N$34,0))*D$4+INDEX(JuniorzyNegatyw[],MATCH($A45,Juniorstwo!$A$35:$A$54,0),MATCH($B$5,Juniorstwo!$A$34:$N$34,0))*D$5+INDEX(JuniorzyNegatyw[],MATCH($A45,Juniorstwo!$A$35:$A$54,0),MATCH($B$6,Juniorstwo!$A$34:$N$34,0))*D$6+INDEX(JuniorzyNegatyw[],MATCH($A45,Juniorstwo!$A$35:$A$54,0),MATCH($B$7,Juniorstwo!$A$34:$N$34,0))*D$7+INDEX(JuniorzyNegatyw[],MATCH($A45,Juniorstwo!$A$35:$A$54,0),MATCH($B$8,Juniorstwo!$A$34:$N$34,0))*D$8+INDEX(JuniorzyNegatyw[],MATCH($A45,Juniorstwo!$A$35:$A$54,0),MATCH($B$9,Juniorstwo!$A$34:$N$34,0))*D$9+INDEX(JuniorzyNegatyw[],MATCH($A45,Juniorstwo!$A$35:$A$54,0),MATCH($B$10,Juniorstwo!$A$34:$N$34,0))*D$10+INDEX(JuniorzyNegatyw[],MATCH($A45,Juniorstwo!$A$35:$A$54,0),MATCH($B$11,Juniorstwo!$A$34:$N$34,0))*D$11+INDEX(JuniorzyNegatyw[],MATCH($A45,Juniorstwo!$A$35:$A$54,0),MATCH($B$12,Juniorstwo!$A$34:$N$34,0))*D$12+INDEX(JuniorzyNegatyw[],MATCH($A45,Juniorstwo!$A$35:$A$54,0),MATCH($B$13,Juniorstwo!$A$34:$N$34,0))*D$13,"-")</f>
        <v>79</v>
      </c>
      <c r="E45" s="38">
        <f ca="1">IFERROR(INDEX(JuniorzyNegatyw[],MATCH($A45,Juniorstwo!$A$35:$A$54,0),MATCH($B$2,Juniorstwo!$A$34:$N$34,0))*E$2+INDEX(JuniorzyNegatyw[],MATCH($A45,Juniorstwo!$A$35:$A$54,0),MATCH($B$3,Juniorstwo!$A$34:$N$34,0))*E$3+INDEX(JuniorzyNegatyw[],MATCH($A45,Juniorstwo!$A$35:$A$54,0),MATCH($B$4,Juniorstwo!$A$34:$N$34,0))*E$4+INDEX(JuniorzyNegatyw[],MATCH($A45,Juniorstwo!$A$35:$A$54,0),MATCH($B$5,Juniorstwo!$A$34:$N$34,0))*E$5+INDEX(JuniorzyNegatyw[],MATCH($A45,Juniorstwo!$A$35:$A$54,0),MATCH($B$6,Juniorstwo!$A$34:$N$34,0))*E$6+INDEX(JuniorzyNegatyw[],MATCH($A45,Juniorstwo!$A$35:$A$54,0),MATCH($B$7,Juniorstwo!$A$34:$N$34,0))*E$7+INDEX(JuniorzyNegatyw[],MATCH($A45,Juniorstwo!$A$35:$A$54,0),MATCH($B$8,Juniorstwo!$A$34:$N$34,0))*E$8+INDEX(JuniorzyNegatyw[],MATCH($A45,Juniorstwo!$A$35:$A$54,0),MATCH($B$9,Juniorstwo!$A$34:$N$34,0))*E$9+INDEX(JuniorzyNegatyw[],MATCH($A45,Juniorstwo!$A$35:$A$54,0),MATCH($B$10,Juniorstwo!$A$34:$N$34,0))*E$10+INDEX(JuniorzyNegatyw[],MATCH($A45,Juniorstwo!$A$35:$A$54,0),MATCH($B$11,Juniorstwo!$A$34:$N$34,0))*E$11+INDEX(JuniorzyNegatyw[],MATCH($A45,Juniorstwo!$A$35:$A$54,0),MATCH($B$12,Juniorstwo!$A$34:$N$34,0))*E$12+INDEX(JuniorzyNegatyw[],MATCH($A45,Juniorstwo!$A$35:$A$54,0),MATCH($B$13,Juniorstwo!$A$34:$N$34,0))*E$13,"-")</f>
        <v>78</v>
      </c>
      <c r="F45" s="38">
        <f ca="1">IFERROR(INDEX(JuniorzyNegatyw[],MATCH($A45,Juniorstwo!$A$35:$A$54,0),MATCH($B$2,Juniorstwo!$A$34:$N$34,0))*F$2+INDEX(JuniorzyNegatyw[],MATCH($A45,Juniorstwo!$A$35:$A$54,0),MATCH($B$3,Juniorstwo!$A$34:$N$34,0))*F$3+INDEX(JuniorzyNegatyw[],MATCH($A45,Juniorstwo!$A$35:$A$54,0),MATCH($B$4,Juniorstwo!$A$34:$N$34,0))*F$4+INDEX(JuniorzyNegatyw[],MATCH($A45,Juniorstwo!$A$35:$A$54,0),MATCH($B$5,Juniorstwo!$A$34:$N$34,0))*F$5+INDEX(JuniorzyNegatyw[],MATCH($A45,Juniorstwo!$A$35:$A$54,0),MATCH($B$6,Juniorstwo!$A$34:$N$34,0))*F$6+INDEX(JuniorzyNegatyw[],MATCH($A45,Juniorstwo!$A$35:$A$54,0),MATCH($B$7,Juniorstwo!$A$34:$N$34,0))*F$7+INDEX(JuniorzyNegatyw[],MATCH($A45,Juniorstwo!$A$35:$A$54,0),MATCH($B$8,Juniorstwo!$A$34:$N$34,0))*F$8+INDEX(JuniorzyNegatyw[],MATCH($A45,Juniorstwo!$A$35:$A$54,0),MATCH($B$9,Juniorstwo!$A$34:$N$34,0))*F$9+INDEX(JuniorzyNegatyw[],MATCH($A45,Juniorstwo!$A$35:$A$54,0),MATCH($B$10,Juniorstwo!$A$34:$N$34,0))*F$10+INDEX(JuniorzyNegatyw[],MATCH($A45,Juniorstwo!$A$35:$A$54,0),MATCH($B$11,Juniorstwo!$A$34:$N$34,0))*F$11+INDEX(JuniorzyNegatyw[],MATCH($A45,Juniorstwo!$A$35:$A$54,0),MATCH($B$12,Juniorstwo!$A$34:$N$34,0))*F$12+INDEX(JuniorzyNegatyw[],MATCH($A45,Juniorstwo!$A$35:$A$54,0),MATCH($B$13,Juniorstwo!$A$34:$N$34,0))*F$13,"-")</f>
        <v>79.5</v>
      </c>
      <c r="G45" s="38">
        <f ca="1">IFERROR(INDEX(JuniorzyNegatyw[],MATCH($A45,Juniorstwo!$A$35:$A$54,0),MATCH($B$2,Juniorstwo!$A$34:$N$34,0))*G$2+INDEX(JuniorzyNegatyw[],MATCH($A45,Juniorstwo!$A$35:$A$54,0),MATCH($B$3,Juniorstwo!$A$34:$N$34,0))*G$3+INDEX(JuniorzyNegatyw[],MATCH($A45,Juniorstwo!$A$35:$A$54,0),MATCH($B$4,Juniorstwo!$A$34:$N$34,0))*G$4+INDEX(JuniorzyNegatyw[],MATCH($A45,Juniorstwo!$A$35:$A$54,0),MATCH($B$5,Juniorstwo!$A$34:$N$34,0))*G$5+INDEX(JuniorzyNegatyw[],MATCH($A45,Juniorstwo!$A$35:$A$54,0),MATCH($B$6,Juniorstwo!$A$34:$N$34,0))*G$6+INDEX(JuniorzyNegatyw[],MATCH($A45,Juniorstwo!$A$35:$A$54,0),MATCH($B$7,Juniorstwo!$A$34:$N$34,0))*G$7+INDEX(JuniorzyNegatyw[],MATCH($A45,Juniorstwo!$A$35:$A$54,0),MATCH($B$8,Juniorstwo!$A$34:$N$34,0))*G$8+INDEX(JuniorzyNegatyw[],MATCH($A45,Juniorstwo!$A$35:$A$54,0),MATCH($B$9,Juniorstwo!$A$34:$N$34,0))*G$9+INDEX(JuniorzyNegatyw[],MATCH($A45,Juniorstwo!$A$35:$A$54,0),MATCH($B$10,Juniorstwo!$A$34:$N$34,0))*G$10+INDEX(JuniorzyNegatyw[],MATCH($A45,Juniorstwo!$A$35:$A$54,0),MATCH($B$11,Juniorstwo!$A$34:$N$34,0))*G$11+INDEX(JuniorzyNegatyw[],MATCH($A45,Juniorstwo!$A$35:$A$54,0),MATCH($B$12,Juniorstwo!$A$34:$N$34,0))*G$12+INDEX(JuniorzyNegatyw[],MATCH($A45,Juniorstwo!$A$35:$A$54,0),MATCH($B$13,Juniorstwo!$A$34:$N$34,0))*G$13,"-")</f>
        <v>79.5</v>
      </c>
      <c r="H45" s="38">
        <f ca="1">IFERROR(INDEX(JuniorzyNegatyw[],MATCH($A45,Juniorstwo!$A$35:$A$54,0),MATCH($B$2,Juniorstwo!$A$34:$N$34,0))*H$2+INDEX(JuniorzyNegatyw[],MATCH($A45,Juniorstwo!$A$35:$A$54,0),MATCH($B$3,Juniorstwo!$A$34:$N$34,0))*H$3+INDEX(JuniorzyNegatyw[],MATCH($A45,Juniorstwo!$A$35:$A$54,0),MATCH($B$4,Juniorstwo!$A$34:$N$34,0))*H$4+INDEX(JuniorzyNegatyw[],MATCH($A45,Juniorstwo!$A$35:$A$54,0),MATCH($B$5,Juniorstwo!$A$34:$N$34,0))*H$5+INDEX(JuniorzyNegatyw[],MATCH($A45,Juniorstwo!$A$35:$A$54,0),MATCH($B$6,Juniorstwo!$A$34:$N$34,0))*H$6+INDEX(JuniorzyNegatyw[],MATCH($A45,Juniorstwo!$A$35:$A$54,0),MATCH($B$7,Juniorstwo!$A$34:$N$34,0))*H$7+INDEX(JuniorzyNegatyw[],MATCH($A45,Juniorstwo!$A$35:$A$54,0),MATCH($B$8,Juniorstwo!$A$34:$N$34,0))*H$8+INDEX(JuniorzyNegatyw[],MATCH($A45,Juniorstwo!$A$35:$A$54,0),MATCH($B$9,Juniorstwo!$A$34:$N$34,0))*H$9+INDEX(JuniorzyNegatyw[],MATCH($A45,Juniorstwo!$A$35:$A$54,0),MATCH($B$10,Juniorstwo!$A$34:$N$34,0))*H$10+INDEX(JuniorzyNegatyw[],MATCH($A45,Juniorstwo!$A$35:$A$54,0),MATCH($B$11,Juniorstwo!$A$34:$N$34,0))*H$11+INDEX(JuniorzyNegatyw[],MATCH($A45,Juniorstwo!$A$35:$A$54,0),MATCH($B$12,Juniorstwo!$A$34:$N$34,0))*H$12+INDEX(JuniorzyNegatyw[],MATCH($A45,Juniorstwo!$A$35:$A$54,0),MATCH($B$13,Juniorstwo!$A$34:$N$34,0))*H$13,"-")</f>
        <v>80</v>
      </c>
      <c r="I45" s="38">
        <f ca="1">IFERROR(INDEX(JuniorzyNegatyw[],MATCH($A45,Juniorstwo!$A$35:$A$54,0),MATCH($B$2,Juniorstwo!$A$34:$N$34,0))*I$2+INDEX(JuniorzyNegatyw[],MATCH($A45,Juniorstwo!$A$35:$A$54,0),MATCH($B$3,Juniorstwo!$A$34:$N$34,0))*I$3+INDEX(JuniorzyNegatyw[],MATCH($A45,Juniorstwo!$A$35:$A$54,0),MATCH($B$4,Juniorstwo!$A$34:$N$34,0))*I$4+INDEX(JuniorzyNegatyw[],MATCH($A45,Juniorstwo!$A$35:$A$54,0),MATCH($B$5,Juniorstwo!$A$34:$N$34,0))*I$5+INDEX(JuniorzyNegatyw[],MATCH($A45,Juniorstwo!$A$35:$A$54,0),MATCH($B$6,Juniorstwo!$A$34:$N$34,0))*I$6+INDEX(JuniorzyNegatyw[],MATCH($A45,Juniorstwo!$A$35:$A$54,0),MATCH($B$7,Juniorstwo!$A$34:$N$34,0))*I$7+INDEX(JuniorzyNegatyw[],MATCH($A45,Juniorstwo!$A$35:$A$54,0),MATCH($B$8,Juniorstwo!$A$34:$N$34,0))*I$8+INDEX(JuniorzyNegatyw[],MATCH($A45,Juniorstwo!$A$35:$A$54,0),MATCH($B$9,Juniorstwo!$A$34:$N$34,0))*I$9+INDEX(JuniorzyNegatyw[],MATCH($A45,Juniorstwo!$A$35:$A$54,0),MATCH($B$10,Juniorstwo!$A$34:$N$34,0))*I$10+INDEX(JuniorzyNegatyw[],MATCH($A45,Juniorstwo!$A$35:$A$54,0),MATCH($B$11,Juniorstwo!$A$34:$N$34,0))*I$11+INDEX(JuniorzyNegatyw[],MATCH($A45,Juniorstwo!$A$35:$A$54,0),MATCH($B$12,Juniorstwo!$A$34:$N$34,0))*I$12+INDEX(JuniorzyNegatyw[],MATCH($A45,Juniorstwo!$A$35:$A$54,0),MATCH($B$13,Juniorstwo!$A$34:$N$34,0))*I$13,"-")</f>
        <v>79.5</v>
      </c>
      <c r="J45" s="38">
        <f ca="1">IFERROR(INDEX(JuniorzyNegatyw[],MATCH($A45,Juniorstwo!$A$35:$A$54,0),MATCH($B$2,Juniorstwo!$A$34:$N$34,0))*J$2+INDEX(JuniorzyNegatyw[],MATCH($A45,Juniorstwo!$A$35:$A$54,0),MATCH($B$3,Juniorstwo!$A$34:$N$34,0))*J$3+INDEX(JuniorzyNegatyw[],MATCH($A45,Juniorstwo!$A$35:$A$54,0),MATCH($B$4,Juniorstwo!$A$34:$N$34,0))*J$4+INDEX(JuniorzyNegatyw[],MATCH($A45,Juniorstwo!$A$35:$A$54,0),MATCH($B$5,Juniorstwo!$A$34:$N$34,0))*J$5+INDEX(JuniorzyNegatyw[],MATCH($A45,Juniorstwo!$A$35:$A$54,0),MATCH($B$6,Juniorstwo!$A$34:$N$34,0))*J$6+INDEX(JuniorzyNegatyw[],MATCH($A45,Juniorstwo!$A$35:$A$54,0),MATCH($B$7,Juniorstwo!$A$34:$N$34,0))*J$7+INDEX(JuniorzyNegatyw[],MATCH($A45,Juniorstwo!$A$35:$A$54,0),MATCH($B$8,Juniorstwo!$A$34:$N$34,0))*J$8+INDEX(JuniorzyNegatyw[],MATCH($A45,Juniorstwo!$A$35:$A$54,0),MATCH($B$9,Juniorstwo!$A$34:$N$34,0))*J$9+INDEX(JuniorzyNegatyw[],MATCH($A45,Juniorstwo!$A$35:$A$54,0),MATCH($B$10,Juniorstwo!$A$34:$N$34,0))*J$10+INDEX(JuniorzyNegatyw[],MATCH($A45,Juniorstwo!$A$35:$A$54,0),MATCH($B$11,Juniorstwo!$A$34:$N$34,0))*J$11+INDEX(JuniorzyNegatyw[],MATCH($A45,Juniorstwo!$A$35:$A$54,0),MATCH($B$12,Juniorstwo!$A$34:$N$34,0))*J$12+INDEX(JuniorzyNegatyw[],MATCH($A45,Juniorstwo!$A$35:$A$54,0),MATCH($B$13,Juniorstwo!$A$34:$N$34,0))*J$13,"-")</f>
        <v>76.5</v>
      </c>
      <c r="K45" s="38">
        <f ca="1">IFERROR(INDEX(JuniorzyNegatyw[],MATCH($A45,Juniorstwo!$A$35:$A$54,0),MATCH($B$2,Juniorstwo!$A$34:$N$34,0))*K$2+INDEX(JuniorzyNegatyw[],MATCH($A45,Juniorstwo!$A$35:$A$54,0),MATCH($B$3,Juniorstwo!$A$34:$N$34,0))*K$3+INDEX(JuniorzyNegatyw[],MATCH($A45,Juniorstwo!$A$35:$A$54,0),MATCH($B$4,Juniorstwo!$A$34:$N$34,0))*K$4+INDEX(JuniorzyNegatyw[],MATCH($A45,Juniorstwo!$A$35:$A$54,0),MATCH($B$5,Juniorstwo!$A$34:$N$34,0))*K$5+INDEX(JuniorzyNegatyw[],MATCH($A45,Juniorstwo!$A$35:$A$54,0),MATCH($B$6,Juniorstwo!$A$34:$N$34,0))*K$6+INDEX(JuniorzyNegatyw[],MATCH($A45,Juniorstwo!$A$35:$A$54,0),MATCH($B$7,Juniorstwo!$A$34:$N$34,0))*K$7+INDEX(JuniorzyNegatyw[],MATCH($A45,Juniorstwo!$A$35:$A$54,0),MATCH($B$8,Juniorstwo!$A$34:$N$34,0))*K$8+INDEX(JuniorzyNegatyw[],MATCH($A45,Juniorstwo!$A$35:$A$54,0),MATCH($B$9,Juniorstwo!$A$34:$N$34,0))*K$9+INDEX(JuniorzyNegatyw[],MATCH($A45,Juniorstwo!$A$35:$A$54,0),MATCH($B$10,Juniorstwo!$A$34:$N$34,0))*K$10+INDEX(JuniorzyNegatyw[],MATCH($A45,Juniorstwo!$A$35:$A$54,0),MATCH($B$11,Juniorstwo!$A$34:$N$34,0))*K$11+INDEX(JuniorzyNegatyw[],MATCH($A45,Juniorstwo!$A$35:$A$54,0),MATCH($B$12,Juniorstwo!$A$34:$N$34,0))*K$12+INDEX(JuniorzyNegatyw[],MATCH($A45,Juniorstwo!$A$35:$A$54,0),MATCH($B$13,Juniorstwo!$A$34:$N$34,0))*K$13,"-")</f>
        <v>76</v>
      </c>
    </row>
    <row r="46" spans="1:11" x14ac:dyDescent="0.25">
      <c r="A46">
        <f>IFERROR(PozJunNŚr[[#This Row],[Numer]],"-")</f>
        <v>40</v>
      </c>
      <c r="B46" s="3" t="str">
        <f>IFERROR(VLOOKUP(PozJunNMM[[#This Row],[Numer]],Zawodnicy[[Number]:[Player name]],2,FALSE),"-")</f>
        <v>Benedykt Adamus</v>
      </c>
      <c r="C46" s="38">
        <f ca="1">IFERROR(INDEX(JuniorzyNegatyw[],MATCH($A46,Juniorstwo!$A$35:$A$54,0),MATCH($B$2,Juniorstwo!$A$34:$N$34,0))*C$2+INDEX(JuniorzyNegatyw[],MATCH($A46,Juniorstwo!$A$35:$A$54,0),MATCH($B$3,Juniorstwo!$A$34:$N$34,0))*C$3+INDEX(JuniorzyNegatyw[],MATCH($A46,Juniorstwo!$A$35:$A$54,0),MATCH($B$4,Juniorstwo!$A$34:$N$34,0))*C$4+INDEX(JuniorzyNegatyw[],MATCH($A46,Juniorstwo!$A$35:$A$54,0),MATCH($B$5,Juniorstwo!$A$34:$N$34,0))*C$5+INDEX(JuniorzyNegatyw[],MATCH($A46,Juniorstwo!$A$35:$A$54,0),MATCH($B$6,Juniorstwo!$A$34:$N$34,0))*C$6+INDEX(JuniorzyNegatyw[],MATCH($A46,Juniorstwo!$A$35:$A$54,0),MATCH($B$7,Juniorstwo!$A$34:$N$34,0))*C$7+INDEX(JuniorzyNegatyw[],MATCH($A46,Juniorstwo!$A$35:$A$54,0),MATCH($B$8,Juniorstwo!$A$34:$N$34,0))*C$8+INDEX(JuniorzyNegatyw[],MATCH($A46,Juniorstwo!$A$35:$A$54,0),MATCH($B$9,Juniorstwo!$A$34:$N$34,0))*C$9+INDEX(JuniorzyNegatyw[],MATCH($A46,Juniorstwo!$A$35:$A$54,0),MATCH($B$10,Juniorstwo!$A$34:$N$34,0))*C$10+INDEX(JuniorzyNegatyw[],MATCH($A46,Juniorstwo!$A$35:$A$54,0),MATCH($B$11,Juniorstwo!$A$34:$N$34,0))*C$11+INDEX(JuniorzyNegatyw[],MATCH($A46,Juniorstwo!$A$35:$A$54,0),MATCH($B$12,Juniorstwo!$A$34:$N$34,0))*C$12+INDEX(JuniorzyNegatyw[],MATCH($A46,Juniorstwo!$A$35:$A$54,0),MATCH($B$13,Juniorstwo!$A$34:$N$34,0))*C$13,"-")</f>
        <v>74</v>
      </c>
      <c r="D46" s="38">
        <f ca="1">IFERROR(INDEX(JuniorzyNegatyw[],MATCH($A46,Juniorstwo!$A$35:$A$54,0),MATCH($B$2,Juniorstwo!$A$34:$N$34,0))*D$2+INDEX(JuniorzyNegatyw[],MATCH($A46,Juniorstwo!$A$35:$A$54,0),MATCH($B$3,Juniorstwo!$A$34:$N$34,0))*D$3+INDEX(JuniorzyNegatyw[],MATCH($A46,Juniorstwo!$A$35:$A$54,0),MATCH($B$4,Juniorstwo!$A$34:$N$34,0))*D$4+INDEX(JuniorzyNegatyw[],MATCH($A46,Juniorstwo!$A$35:$A$54,0),MATCH($B$5,Juniorstwo!$A$34:$N$34,0))*D$5+INDEX(JuniorzyNegatyw[],MATCH($A46,Juniorstwo!$A$35:$A$54,0),MATCH($B$6,Juniorstwo!$A$34:$N$34,0))*D$6+INDEX(JuniorzyNegatyw[],MATCH($A46,Juniorstwo!$A$35:$A$54,0),MATCH($B$7,Juniorstwo!$A$34:$N$34,0))*D$7+INDEX(JuniorzyNegatyw[],MATCH($A46,Juniorstwo!$A$35:$A$54,0),MATCH($B$8,Juniorstwo!$A$34:$N$34,0))*D$8+INDEX(JuniorzyNegatyw[],MATCH($A46,Juniorstwo!$A$35:$A$54,0),MATCH($B$9,Juniorstwo!$A$34:$N$34,0))*D$9+INDEX(JuniorzyNegatyw[],MATCH($A46,Juniorstwo!$A$35:$A$54,0),MATCH($B$10,Juniorstwo!$A$34:$N$34,0))*D$10+INDEX(JuniorzyNegatyw[],MATCH($A46,Juniorstwo!$A$35:$A$54,0),MATCH($B$11,Juniorstwo!$A$34:$N$34,0))*D$11+INDEX(JuniorzyNegatyw[],MATCH($A46,Juniorstwo!$A$35:$A$54,0),MATCH($B$12,Juniorstwo!$A$34:$N$34,0))*D$12+INDEX(JuniorzyNegatyw[],MATCH($A46,Juniorstwo!$A$35:$A$54,0),MATCH($B$13,Juniorstwo!$A$34:$N$34,0))*D$13,"-")</f>
        <v>74.5</v>
      </c>
      <c r="E46" s="38">
        <f ca="1">IFERROR(INDEX(JuniorzyNegatyw[],MATCH($A46,Juniorstwo!$A$35:$A$54,0),MATCH($B$2,Juniorstwo!$A$34:$N$34,0))*E$2+INDEX(JuniorzyNegatyw[],MATCH($A46,Juniorstwo!$A$35:$A$54,0),MATCH($B$3,Juniorstwo!$A$34:$N$34,0))*E$3+INDEX(JuniorzyNegatyw[],MATCH($A46,Juniorstwo!$A$35:$A$54,0),MATCH($B$4,Juniorstwo!$A$34:$N$34,0))*E$4+INDEX(JuniorzyNegatyw[],MATCH($A46,Juniorstwo!$A$35:$A$54,0),MATCH($B$5,Juniorstwo!$A$34:$N$34,0))*E$5+INDEX(JuniorzyNegatyw[],MATCH($A46,Juniorstwo!$A$35:$A$54,0),MATCH($B$6,Juniorstwo!$A$34:$N$34,0))*E$6+INDEX(JuniorzyNegatyw[],MATCH($A46,Juniorstwo!$A$35:$A$54,0),MATCH($B$7,Juniorstwo!$A$34:$N$34,0))*E$7+INDEX(JuniorzyNegatyw[],MATCH($A46,Juniorstwo!$A$35:$A$54,0),MATCH($B$8,Juniorstwo!$A$34:$N$34,0))*E$8+INDEX(JuniorzyNegatyw[],MATCH($A46,Juniorstwo!$A$35:$A$54,0),MATCH($B$9,Juniorstwo!$A$34:$N$34,0))*E$9+INDEX(JuniorzyNegatyw[],MATCH($A46,Juniorstwo!$A$35:$A$54,0),MATCH($B$10,Juniorstwo!$A$34:$N$34,0))*E$10+INDEX(JuniorzyNegatyw[],MATCH($A46,Juniorstwo!$A$35:$A$54,0),MATCH($B$11,Juniorstwo!$A$34:$N$34,0))*E$11+INDEX(JuniorzyNegatyw[],MATCH($A46,Juniorstwo!$A$35:$A$54,0),MATCH($B$12,Juniorstwo!$A$34:$N$34,0))*E$12+INDEX(JuniorzyNegatyw[],MATCH($A46,Juniorstwo!$A$35:$A$54,0),MATCH($B$13,Juniorstwo!$A$34:$N$34,0))*E$13,"-")</f>
        <v>75.5</v>
      </c>
      <c r="F46" s="38">
        <f ca="1">IFERROR(INDEX(JuniorzyNegatyw[],MATCH($A46,Juniorstwo!$A$35:$A$54,0),MATCH($B$2,Juniorstwo!$A$34:$N$34,0))*F$2+INDEX(JuniorzyNegatyw[],MATCH($A46,Juniorstwo!$A$35:$A$54,0),MATCH($B$3,Juniorstwo!$A$34:$N$34,0))*F$3+INDEX(JuniorzyNegatyw[],MATCH($A46,Juniorstwo!$A$35:$A$54,0),MATCH($B$4,Juniorstwo!$A$34:$N$34,0))*F$4+INDEX(JuniorzyNegatyw[],MATCH($A46,Juniorstwo!$A$35:$A$54,0),MATCH($B$5,Juniorstwo!$A$34:$N$34,0))*F$5+INDEX(JuniorzyNegatyw[],MATCH($A46,Juniorstwo!$A$35:$A$54,0),MATCH($B$6,Juniorstwo!$A$34:$N$34,0))*F$6+INDEX(JuniorzyNegatyw[],MATCH($A46,Juniorstwo!$A$35:$A$54,0),MATCH($B$7,Juniorstwo!$A$34:$N$34,0))*F$7+INDEX(JuniorzyNegatyw[],MATCH($A46,Juniorstwo!$A$35:$A$54,0),MATCH($B$8,Juniorstwo!$A$34:$N$34,0))*F$8+INDEX(JuniorzyNegatyw[],MATCH($A46,Juniorstwo!$A$35:$A$54,0),MATCH($B$9,Juniorstwo!$A$34:$N$34,0))*F$9+INDEX(JuniorzyNegatyw[],MATCH($A46,Juniorstwo!$A$35:$A$54,0),MATCH($B$10,Juniorstwo!$A$34:$N$34,0))*F$10+INDEX(JuniorzyNegatyw[],MATCH($A46,Juniorstwo!$A$35:$A$54,0),MATCH($B$11,Juniorstwo!$A$34:$N$34,0))*F$11+INDEX(JuniorzyNegatyw[],MATCH($A46,Juniorstwo!$A$35:$A$54,0),MATCH($B$12,Juniorstwo!$A$34:$N$34,0))*F$12+INDEX(JuniorzyNegatyw[],MATCH($A46,Juniorstwo!$A$35:$A$54,0),MATCH($B$13,Juniorstwo!$A$34:$N$34,0))*F$13,"-")</f>
        <v>82</v>
      </c>
      <c r="G46" s="38">
        <f ca="1">IFERROR(INDEX(JuniorzyNegatyw[],MATCH($A46,Juniorstwo!$A$35:$A$54,0),MATCH($B$2,Juniorstwo!$A$34:$N$34,0))*G$2+INDEX(JuniorzyNegatyw[],MATCH($A46,Juniorstwo!$A$35:$A$54,0),MATCH($B$3,Juniorstwo!$A$34:$N$34,0))*G$3+INDEX(JuniorzyNegatyw[],MATCH($A46,Juniorstwo!$A$35:$A$54,0),MATCH($B$4,Juniorstwo!$A$34:$N$34,0))*G$4+INDEX(JuniorzyNegatyw[],MATCH($A46,Juniorstwo!$A$35:$A$54,0),MATCH($B$5,Juniorstwo!$A$34:$N$34,0))*G$5+INDEX(JuniorzyNegatyw[],MATCH($A46,Juniorstwo!$A$35:$A$54,0),MATCH($B$6,Juniorstwo!$A$34:$N$34,0))*G$6+INDEX(JuniorzyNegatyw[],MATCH($A46,Juniorstwo!$A$35:$A$54,0),MATCH($B$7,Juniorstwo!$A$34:$N$34,0))*G$7+INDEX(JuniorzyNegatyw[],MATCH($A46,Juniorstwo!$A$35:$A$54,0),MATCH($B$8,Juniorstwo!$A$34:$N$34,0))*G$8+INDEX(JuniorzyNegatyw[],MATCH($A46,Juniorstwo!$A$35:$A$54,0),MATCH($B$9,Juniorstwo!$A$34:$N$34,0))*G$9+INDEX(JuniorzyNegatyw[],MATCH($A46,Juniorstwo!$A$35:$A$54,0),MATCH($B$10,Juniorstwo!$A$34:$N$34,0))*G$10+INDEX(JuniorzyNegatyw[],MATCH($A46,Juniorstwo!$A$35:$A$54,0),MATCH($B$11,Juniorstwo!$A$34:$N$34,0))*G$11+INDEX(JuniorzyNegatyw[],MATCH($A46,Juniorstwo!$A$35:$A$54,0),MATCH($B$12,Juniorstwo!$A$34:$N$34,0))*G$12+INDEX(JuniorzyNegatyw[],MATCH($A46,Juniorstwo!$A$35:$A$54,0),MATCH($B$13,Juniorstwo!$A$34:$N$34,0))*G$13,"-")</f>
        <v>82.5</v>
      </c>
      <c r="H46" s="38">
        <f ca="1">IFERROR(INDEX(JuniorzyNegatyw[],MATCH($A46,Juniorstwo!$A$35:$A$54,0),MATCH($B$2,Juniorstwo!$A$34:$N$34,0))*H$2+INDEX(JuniorzyNegatyw[],MATCH($A46,Juniorstwo!$A$35:$A$54,0),MATCH($B$3,Juniorstwo!$A$34:$N$34,0))*H$3+INDEX(JuniorzyNegatyw[],MATCH($A46,Juniorstwo!$A$35:$A$54,0),MATCH($B$4,Juniorstwo!$A$34:$N$34,0))*H$4+INDEX(JuniorzyNegatyw[],MATCH($A46,Juniorstwo!$A$35:$A$54,0),MATCH($B$5,Juniorstwo!$A$34:$N$34,0))*H$5+INDEX(JuniorzyNegatyw[],MATCH($A46,Juniorstwo!$A$35:$A$54,0),MATCH($B$6,Juniorstwo!$A$34:$N$34,0))*H$6+INDEX(JuniorzyNegatyw[],MATCH($A46,Juniorstwo!$A$35:$A$54,0),MATCH($B$7,Juniorstwo!$A$34:$N$34,0))*H$7+INDEX(JuniorzyNegatyw[],MATCH($A46,Juniorstwo!$A$35:$A$54,0),MATCH($B$8,Juniorstwo!$A$34:$N$34,0))*H$8+INDEX(JuniorzyNegatyw[],MATCH($A46,Juniorstwo!$A$35:$A$54,0),MATCH($B$9,Juniorstwo!$A$34:$N$34,0))*H$9+INDEX(JuniorzyNegatyw[],MATCH($A46,Juniorstwo!$A$35:$A$54,0),MATCH($B$10,Juniorstwo!$A$34:$N$34,0))*H$10+INDEX(JuniorzyNegatyw[],MATCH($A46,Juniorstwo!$A$35:$A$54,0),MATCH($B$11,Juniorstwo!$A$34:$N$34,0))*H$11+INDEX(JuniorzyNegatyw[],MATCH($A46,Juniorstwo!$A$35:$A$54,0),MATCH($B$12,Juniorstwo!$A$34:$N$34,0))*H$12+INDEX(JuniorzyNegatyw[],MATCH($A46,Juniorstwo!$A$35:$A$54,0),MATCH($B$13,Juniorstwo!$A$34:$N$34,0))*H$13,"-")</f>
        <v>83</v>
      </c>
      <c r="I46" s="38">
        <f ca="1">IFERROR(INDEX(JuniorzyNegatyw[],MATCH($A46,Juniorstwo!$A$35:$A$54,0),MATCH($B$2,Juniorstwo!$A$34:$N$34,0))*I$2+INDEX(JuniorzyNegatyw[],MATCH($A46,Juniorstwo!$A$35:$A$54,0),MATCH($B$3,Juniorstwo!$A$34:$N$34,0))*I$3+INDEX(JuniorzyNegatyw[],MATCH($A46,Juniorstwo!$A$35:$A$54,0),MATCH($B$4,Juniorstwo!$A$34:$N$34,0))*I$4+INDEX(JuniorzyNegatyw[],MATCH($A46,Juniorstwo!$A$35:$A$54,0),MATCH($B$5,Juniorstwo!$A$34:$N$34,0))*I$5+INDEX(JuniorzyNegatyw[],MATCH($A46,Juniorstwo!$A$35:$A$54,0),MATCH($B$6,Juniorstwo!$A$34:$N$34,0))*I$6+INDEX(JuniorzyNegatyw[],MATCH($A46,Juniorstwo!$A$35:$A$54,0),MATCH($B$7,Juniorstwo!$A$34:$N$34,0))*I$7+INDEX(JuniorzyNegatyw[],MATCH($A46,Juniorstwo!$A$35:$A$54,0),MATCH($B$8,Juniorstwo!$A$34:$N$34,0))*I$8+INDEX(JuniorzyNegatyw[],MATCH($A46,Juniorstwo!$A$35:$A$54,0),MATCH($B$9,Juniorstwo!$A$34:$N$34,0))*I$9+INDEX(JuniorzyNegatyw[],MATCH($A46,Juniorstwo!$A$35:$A$54,0),MATCH($B$10,Juniorstwo!$A$34:$N$34,0))*I$10+INDEX(JuniorzyNegatyw[],MATCH($A46,Juniorstwo!$A$35:$A$54,0),MATCH($B$11,Juniorstwo!$A$34:$N$34,0))*I$11+INDEX(JuniorzyNegatyw[],MATCH($A46,Juniorstwo!$A$35:$A$54,0),MATCH($B$12,Juniorstwo!$A$34:$N$34,0))*I$12+INDEX(JuniorzyNegatyw[],MATCH($A46,Juniorstwo!$A$35:$A$54,0),MATCH($B$13,Juniorstwo!$A$34:$N$34,0))*I$13,"-")</f>
        <v>86</v>
      </c>
      <c r="J46" s="38">
        <f ca="1">IFERROR(INDEX(JuniorzyNegatyw[],MATCH($A46,Juniorstwo!$A$35:$A$54,0),MATCH($B$2,Juniorstwo!$A$34:$N$34,0))*J$2+INDEX(JuniorzyNegatyw[],MATCH($A46,Juniorstwo!$A$35:$A$54,0),MATCH($B$3,Juniorstwo!$A$34:$N$34,0))*J$3+INDEX(JuniorzyNegatyw[],MATCH($A46,Juniorstwo!$A$35:$A$54,0),MATCH($B$4,Juniorstwo!$A$34:$N$34,0))*J$4+INDEX(JuniorzyNegatyw[],MATCH($A46,Juniorstwo!$A$35:$A$54,0),MATCH($B$5,Juniorstwo!$A$34:$N$34,0))*J$5+INDEX(JuniorzyNegatyw[],MATCH($A46,Juniorstwo!$A$35:$A$54,0),MATCH($B$6,Juniorstwo!$A$34:$N$34,0))*J$6+INDEX(JuniorzyNegatyw[],MATCH($A46,Juniorstwo!$A$35:$A$54,0),MATCH($B$7,Juniorstwo!$A$34:$N$34,0))*J$7+INDEX(JuniorzyNegatyw[],MATCH($A46,Juniorstwo!$A$35:$A$54,0),MATCH($B$8,Juniorstwo!$A$34:$N$34,0))*J$8+INDEX(JuniorzyNegatyw[],MATCH($A46,Juniorstwo!$A$35:$A$54,0),MATCH($B$9,Juniorstwo!$A$34:$N$34,0))*J$9+INDEX(JuniorzyNegatyw[],MATCH($A46,Juniorstwo!$A$35:$A$54,0),MATCH($B$10,Juniorstwo!$A$34:$N$34,0))*J$10+INDEX(JuniorzyNegatyw[],MATCH($A46,Juniorstwo!$A$35:$A$54,0),MATCH($B$11,Juniorstwo!$A$34:$N$34,0))*J$11+INDEX(JuniorzyNegatyw[],MATCH($A46,Juniorstwo!$A$35:$A$54,0),MATCH($B$12,Juniorstwo!$A$34:$N$34,0))*J$12+INDEX(JuniorzyNegatyw[],MATCH($A46,Juniorstwo!$A$35:$A$54,0),MATCH($B$13,Juniorstwo!$A$34:$N$34,0))*J$13,"-")</f>
        <v>81.5</v>
      </c>
      <c r="K46" s="38">
        <f ca="1">IFERROR(INDEX(JuniorzyNegatyw[],MATCH($A46,Juniorstwo!$A$35:$A$54,0),MATCH($B$2,Juniorstwo!$A$34:$N$34,0))*K$2+INDEX(JuniorzyNegatyw[],MATCH($A46,Juniorstwo!$A$35:$A$54,0),MATCH($B$3,Juniorstwo!$A$34:$N$34,0))*K$3+INDEX(JuniorzyNegatyw[],MATCH($A46,Juniorstwo!$A$35:$A$54,0),MATCH($B$4,Juniorstwo!$A$34:$N$34,0))*K$4+INDEX(JuniorzyNegatyw[],MATCH($A46,Juniorstwo!$A$35:$A$54,0),MATCH($B$5,Juniorstwo!$A$34:$N$34,0))*K$5+INDEX(JuniorzyNegatyw[],MATCH($A46,Juniorstwo!$A$35:$A$54,0),MATCH($B$6,Juniorstwo!$A$34:$N$34,0))*K$6+INDEX(JuniorzyNegatyw[],MATCH($A46,Juniorstwo!$A$35:$A$54,0),MATCH($B$7,Juniorstwo!$A$34:$N$34,0))*K$7+INDEX(JuniorzyNegatyw[],MATCH($A46,Juniorstwo!$A$35:$A$54,0),MATCH($B$8,Juniorstwo!$A$34:$N$34,0))*K$8+INDEX(JuniorzyNegatyw[],MATCH($A46,Juniorstwo!$A$35:$A$54,0),MATCH($B$9,Juniorstwo!$A$34:$N$34,0))*K$9+INDEX(JuniorzyNegatyw[],MATCH($A46,Juniorstwo!$A$35:$A$54,0),MATCH($B$10,Juniorstwo!$A$34:$N$34,0))*K$10+INDEX(JuniorzyNegatyw[],MATCH($A46,Juniorstwo!$A$35:$A$54,0),MATCH($B$11,Juniorstwo!$A$34:$N$34,0))*K$11+INDEX(JuniorzyNegatyw[],MATCH($A46,Juniorstwo!$A$35:$A$54,0),MATCH($B$12,Juniorstwo!$A$34:$N$34,0))*K$12+INDEX(JuniorzyNegatyw[],MATCH($A46,Juniorstwo!$A$35:$A$54,0),MATCH($B$13,Juniorstwo!$A$34:$N$34,0))*K$13,"-")</f>
        <v>81</v>
      </c>
    </row>
    <row r="47" spans="1:11" x14ac:dyDescent="0.25">
      <c r="A47">
        <f>IFERROR(PozJunNŚr[[#This Row],[Numer]],"-")</f>
        <v>42</v>
      </c>
      <c r="B47" s="3" t="str">
        <f>IFERROR(VLOOKUP(PozJunNMM[[#This Row],[Numer]],Zawodnicy[[Number]:[Player name]],2,FALSE),"-")</f>
        <v>Olaf Skikiewicz</v>
      </c>
      <c r="C47" s="38">
        <f ca="1">IFERROR(INDEX(JuniorzyNegatyw[],MATCH($A47,Juniorstwo!$A$35:$A$54,0),MATCH($B$2,Juniorstwo!$A$34:$N$34,0))*C$2+INDEX(JuniorzyNegatyw[],MATCH($A47,Juniorstwo!$A$35:$A$54,0),MATCH($B$3,Juniorstwo!$A$34:$N$34,0))*C$3+INDEX(JuniorzyNegatyw[],MATCH($A47,Juniorstwo!$A$35:$A$54,0),MATCH($B$4,Juniorstwo!$A$34:$N$34,0))*C$4+INDEX(JuniorzyNegatyw[],MATCH($A47,Juniorstwo!$A$35:$A$54,0),MATCH($B$5,Juniorstwo!$A$34:$N$34,0))*C$5+INDEX(JuniorzyNegatyw[],MATCH($A47,Juniorstwo!$A$35:$A$54,0),MATCH($B$6,Juniorstwo!$A$34:$N$34,0))*C$6+INDEX(JuniorzyNegatyw[],MATCH($A47,Juniorstwo!$A$35:$A$54,0),MATCH($B$7,Juniorstwo!$A$34:$N$34,0))*C$7+INDEX(JuniorzyNegatyw[],MATCH($A47,Juniorstwo!$A$35:$A$54,0),MATCH($B$8,Juniorstwo!$A$34:$N$34,0))*C$8+INDEX(JuniorzyNegatyw[],MATCH($A47,Juniorstwo!$A$35:$A$54,0),MATCH($B$9,Juniorstwo!$A$34:$N$34,0))*C$9+INDEX(JuniorzyNegatyw[],MATCH($A47,Juniorstwo!$A$35:$A$54,0),MATCH($B$10,Juniorstwo!$A$34:$N$34,0))*C$10+INDEX(JuniorzyNegatyw[],MATCH($A47,Juniorstwo!$A$35:$A$54,0),MATCH($B$11,Juniorstwo!$A$34:$N$34,0))*C$11+INDEX(JuniorzyNegatyw[],MATCH($A47,Juniorstwo!$A$35:$A$54,0),MATCH($B$12,Juniorstwo!$A$34:$N$34,0))*C$12+INDEX(JuniorzyNegatyw[],MATCH($A47,Juniorstwo!$A$35:$A$54,0),MATCH($B$13,Juniorstwo!$A$34:$N$34,0))*C$13,"-")</f>
        <v>64.5</v>
      </c>
      <c r="D47" s="38">
        <f ca="1">IFERROR(INDEX(JuniorzyNegatyw[],MATCH($A47,Juniorstwo!$A$35:$A$54,0),MATCH($B$2,Juniorstwo!$A$34:$N$34,0))*D$2+INDEX(JuniorzyNegatyw[],MATCH($A47,Juniorstwo!$A$35:$A$54,0),MATCH($B$3,Juniorstwo!$A$34:$N$34,0))*D$3+INDEX(JuniorzyNegatyw[],MATCH($A47,Juniorstwo!$A$35:$A$54,0),MATCH($B$4,Juniorstwo!$A$34:$N$34,0))*D$4+INDEX(JuniorzyNegatyw[],MATCH($A47,Juniorstwo!$A$35:$A$54,0),MATCH($B$5,Juniorstwo!$A$34:$N$34,0))*D$5+INDEX(JuniorzyNegatyw[],MATCH($A47,Juniorstwo!$A$35:$A$54,0),MATCH($B$6,Juniorstwo!$A$34:$N$34,0))*D$6+INDEX(JuniorzyNegatyw[],MATCH($A47,Juniorstwo!$A$35:$A$54,0),MATCH($B$7,Juniorstwo!$A$34:$N$34,0))*D$7+INDEX(JuniorzyNegatyw[],MATCH($A47,Juniorstwo!$A$35:$A$54,0),MATCH($B$8,Juniorstwo!$A$34:$N$34,0))*D$8+INDEX(JuniorzyNegatyw[],MATCH($A47,Juniorstwo!$A$35:$A$54,0),MATCH($B$9,Juniorstwo!$A$34:$N$34,0))*D$9+INDEX(JuniorzyNegatyw[],MATCH($A47,Juniorstwo!$A$35:$A$54,0),MATCH($B$10,Juniorstwo!$A$34:$N$34,0))*D$10+INDEX(JuniorzyNegatyw[],MATCH($A47,Juniorstwo!$A$35:$A$54,0),MATCH($B$11,Juniorstwo!$A$34:$N$34,0))*D$11+INDEX(JuniorzyNegatyw[],MATCH($A47,Juniorstwo!$A$35:$A$54,0),MATCH($B$12,Juniorstwo!$A$34:$N$34,0))*D$12+INDEX(JuniorzyNegatyw[],MATCH($A47,Juniorstwo!$A$35:$A$54,0),MATCH($B$13,Juniorstwo!$A$34:$N$34,0))*D$13,"-")</f>
        <v>68.5</v>
      </c>
      <c r="E47" s="38">
        <f ca="1">IFERROR(INDEX(JuniorzyNegatyw[],MATCH($A47,Juniorstwo!$A$35:$A$54,0),MATCH($B$2,Juniorstwo!$A$34:$N$34,0))*E$2+INDEX(JuniorzyNegatyw[],MATCH($A47,Juniorstwo!$A$35:$A$54,0),MATCH($B$3,Juniorstwo!$A$34:$N$34,0))*E$3+INDEX(JuniorzyNegatyw[],MATCH($A47,Juniorstwo!$A$35:$A$54,0),MATCH($B$4,Juniorstwo!$A$34:$N$34,0))*E$4+INDEX(JuniorzyNegatyw[],MATCH($A47,Juniorstwo!$A$35:$A$54,0),MATCH($B$5,Juniorstwo!$A$34:$N$34,0))*E$5+INDEX(JuniorzyNegatyw[],MATCH($A47,Juniorstwo!$A$35:$A$54,0),MATCH($B$6,Juniorstwo!$A$34:$N$34,0))*E$6+INDEX(JuniorzyNegatyw[],MATCH($A47,Juniorstwo!$A$35:$A$54,0),MATCH($B$7,Juniorstwo!$A$34:$N$34,0))*E$7+INDEX(JuniorzyNegatyw[],MATCH($A47,Juniorstwo!$A$35:$A$54,0),MATCH($B$8,Juniorstwo!$A$34:$N$34,0))*E$8+INDEX(JuniorzyNegatyw[],MATCH($A47,Juniorstwo!$A$35:$A$54,0),MATCH($B$9,Juniorstwo!$A$34:$N$34,0))*E$9+INDEX(JuniorzyNegatyw[],MATCH($A47,Juniorstwo!$A$35:$A$54,0),MATCH($B$10,Juniorstwo!$A$34:$N$34,0))*E$10+INDEX(JuniorzyNegatyw[],MATCH($A47,Juniorstwo!$A$35:$A$54,0),MATCH($B$11,Juniorstwo!$A$34:$N$34,0))*E$11+INDEX(JuniorzyNegatyw[],MATCH($A47,Juniorstwo!$A$35:$A$54,0),MATCH($B$12,Juniorstwo!$A$34:$N$34,0))*E$12+INDEX(JuniorzyNegatyw[],MATCH($A47,Juniorstwo!$A$35:$A$54,0),MATCH($B$13,Juniorstwo!$A$34:$N$34,0))*E$13,"-")</f>
        <v>70.5</v>
      </c>
      <c r="F47" s="38">
        <f ca="1">IFERROR(INDEX(JuniorzyNegatyw[],MATCH($A47,Juniorstwo!$A$35:$A$54,0),MATCH($B$2,Juniorstwo!$A$34:$N$34,0))*F$2+INDEX(JuniorzyNegatyw[],MATCH($A47,Juniorstwo!$A$35:$A$54,0),MATCH($B$3,Juniorstwo!$A$34:$N$34,0))*F$3+INDEX(JuniorzyNegatyw[],MATCH($A47,Juniorstwo!$A$35:$A$54,0),MATCH($B$4,Juniorstwo!$A$34:$N$34,0))*F$4+INDEX(JuniorzyNegatyw[],MATCH($A47,Juniorstwo!$A$35:$A$54,0),MATCH($B$5,Juniorstwo!$A$34:$N$34,0))*F$5+INDEX(JuniorzyNegatyw[],MATCH($A47,Juniorstwo!$A$35:$A$54,0),MATCH($B$6,Juniorstwo!$A$34:$N$34,0))*F$6+INDEX(JuniorzyNegatyw[],MATCH($A47,Juniorstwo!$A$35:$A$54,0),MATCH($B$7,Juniorstwo!$A$34:$N$34,0))*F$7+INDEX(JuniorzyNegatyw[],MATCH($A47,Juniorstwo!$A$35:$A$54,0),MATCH($B$8,Juniorstwo!$A$34:$N$34,0))*F$8+INDEX(JuniorzyNegatyw[],MATCH($A47,Juniorstwo!$A$35:$A$54,0),MATCH($B$9,Juniorstwo!$A$34:$N$34,0))*F$9+INDEX(JuniorzyNegatyw[],MATCH($A47,Juniorstwo!$A$35:$A$54,0),MATCH($B$10,Juniorstwo!$A$34:$N$34,0))*F$10+INDEX(JuniorzyNegatyw[],MATCH($A47,Juniorstwo!$A$35:$A$54,0),MATCH($B$11,Juniorstwo!$A$34:$N$34,0))*F$11+INDEX(JuniorzyNegatyw[],MATCH($A47,Juniorstwo!$A$35:$A$54,0),MATCH($B$12,Juniorstwo!$A$34:$N$34,0))*F$12+INDEX(JuniorzyNegatyw[],MATCH($A47,Juniorstwo!$A$35:$A$54,0),MATCH($B$13,Juniorstwo!$A$34:$N$34,0))*F$13,"-")</f>
        <v>70</v>
      </c>
      <c r="G47" s="38">
        <f ca="1">IFERROR(INDEX(JuniorzyNegatyw[],MATCH($A47,Juniorstwo!$A$35:$A$54,0),MATCH($B$2,Juniorstwo!$A$34:$N$34,0))*G$2+INDEX(JuniorzyNegatyw[],MATCH($A47,Juniorstwo!$A$35:$A$54,0),MATCH($B$3,Juniorstwo!$A$34:$N$34,0))*G$3+INDEX(JuniorzyNegatyw[],MATCH($A47,Juniorstwo!$A$35:$A$54,0),MATCH($B$4,Juniorstwo!$A$34:$N$34,0))*G$4+INDEX(JuniorzyNegatyw[],MATCH($A47,Juniorstwo!$A$35:$A$54,0),MATCH($B$5,Juniorstwo!$A$34:$N$34,0))*G$5+INDEX(JuniorzyNegatyw[],MATCH($A47,Juniorstwo!$A$35:$A$54,0),MATCH($B$6,Juniorstwo!$A$34:$N$34,0))*G$6+INDEX(JuniorzyNegatyw[],MATCH($A47,Juniorstwo!$A$35:$A$54,0),MATCH($B$7,Juniorstwo!$A$34:$N$34,0))*G$7+INDEX(JuniorzyNegatyw[],MATCH($A47,Juniorstwo!$A$35:$A$54,0),MATCH($B$8,Juniorstwo!$A$34:$N$34,0))*G$8+INDEX(JuniorzyNegatyw[],MATCH($A47,Juniorstwo!$A$35:$A$54,0),MATCH($B$9,Juniorstwo!$A$34:$N$34,0))*G$9+INDEX(JuniorzyNegatyw[],MATCH($A47,Juniorstwo!$A$35:$A$54,0),MATCH($B$10,Juniorstwo!$A$34:$N$34,0))*G$10+INDEX(JuniorzyNegatyw[],MATCH($A47,Juniorstwo!$A$35:$A$54,0),MATCH($B$11,Juniorstwo!$A$34:$N$34,0))*G$11+INDEX(JuniorzyNegatyw[],MATCH($A47,Juniorstwo!$A$35:$A$54,0),MATCH($B$12,Juniorstwo!$A$34:$N$34,0))*G$12+INDEX(JuniorzyNegatyw[],MATCH($A47,Juniorstwo!$A$35:$A$54,0),MATCH($B$13,Juniorstwo!$A$34:$N$34,0))*G$13,"-")</f>
        <v>71</v>
      </c>
      <c r="H47" s="38">
        <f ca="1">IFERROR(INDEX(JuniorzyNegatyw[],MATCH($A47,Juniorstwo!$A$35:$A$54,0),MATCH($B$2,Juniorstwo!$A$34:$N$34,0))*H$2+INDEX(JuniorzyNegatyw[],MATCH($A47,Juniorstwo!$A$35:$A$54,0),MATCH($B$3,Juniorstwo!$A$34:$N$34,0))*H$3+INDEX(JuniorzyNegatyw[],MATCH($A47,Juniorstwo!$A$35:$A$54,0),MATCH($B$4,Juniorstwo!$A$34:$N$34,0))*H$4+INDEX(JuniorzyNegatyw[],MATCH($A47,Juniorstwo!$A$35:$A$54,0),MATCH($B$5,Juniorstwo!$A$34:$N$34,0))*H$5+INDEX(JuniorzyNegatyw[],MATCH($A47,Juniorstwo!$A$35:$A$54,0),MATCH($B$6,Juniorstwo!$A$34:$N$34,0))*H$6+INDEX(JuniorzyNegatyw[],MATCH($A47,Juniorstwo!$A$35:$A$54,0),MATCH($B$7,Juniorstwo!$A$34:$N$34,0))*H$7+INDEX(JuniorzyNegatyw[],MATCH($A47,Juniorstwo!$A$35:$A$54,0),MATCH($B$8,Juniorstwo!$A$34:$N$34,0))*H$8+INDEX(JuniorzyNegatyw[],MATCH($A47,Juniorstwo!$A$35:$A$54,0),MATCH($B$9,Juniorstwo!$A$34:$N$34,0))*H$9+INDEX(JuniorzyNegatyw[],MATCH($A47,Juniorstwo!$A$35:$A$54,0),MATCH($B$10,Juniorstwo!$A$34:$N$34,0))*H$10+INDEX(JuniorzyNegatyw[],MATCH($A47,Juniorstwo!$A$35:$A$54,0),MATCH($B$11,Juniorstwo!$A$34:$N$34,0))*H$11+INDEX(JuniorzyNegatyw[],MATCH($A47,Juniorstwo!$A$35:$A$54,0),MATCH($B$12,Juniorstwo!$A$34:$N$34,0))*H$12+INDEX(JuniorzyNegatyw[],MATCH($A47,Juniorstwo!$A$35:$A$54,0),MATCH($B$13,Juniorstwo!$A$34:$N$34,0))*H$13,"-")</f>
        <v>74</v>
      </c>
      <c r="I47" s="38">
        <f ca="1">IFERROR(INDEX(JuniorzyNegatyw[],MATCH($A47,Juniorstwo!$A$35:$A$54,0),MATCH($B$2,Juniorstwo!$A$34:$N$34,0))*I$2+INDEX(JuniorzyNegatyw[],MATCH($A47,Juniorstwo!$A$35:$A$54,0),MATCH($B$3,Juniorstwo!$A$34:$N$34,0))*I$3+INDEX(JuniorzyNegatyw[],MATCH($A47,Juniorstwo!$A$35:$A$54,0),MATCH($B$4,Juniorstwo!$A$34:$N$34,0))*I$4+INDEX(JuniorzyNegatyw[],MATCH($A47,Juniorstwo!$A$35:$A$54,0),MATCH($B$5,Juniorstwo!$A$34:$N$34,0))*I$5+INDEX(JuniorzyNegatyw[],MATCH($A47,Juniorstwo!$A$35:$A$54,0),MATCH($B$6,Juniorstwo!$A$34:$N$34,0))*I$6+INDEX(JuniorzyNegatyw[],MATCH($A47,Juniorstwo!$A$35:$A$54,0),MATCH($B$7,Juniorstwo!$A$34:$N$34,0))*I$7+INDEX(JuniorzyNegatyw[],MATCH($A47,Juniorstwo!$A$35:$A$54,0),MATCH($B$8,Juniorstwo!$A$34:$N$34,0))*I$8+INDEX(JuniorzyNegatyw[],MATCH($A47,Juniorstwo!$A$35:$A$54,0),MATCH($B$9,Juniorstwo!$A$34:$N$34,0))*I$9+INDEX(JuniorzyNegatyw[],MATCH($A47,Juniorstwo!$A$35:$A$54,0),MATCH($B$10,Juniorstwo!$A$34:$N$34,0))*I$10+INDEX(JuniorzyNegatyw[],MATCH($A47,Juniorstwo!$A$35:$A$54,0),MATCH($B$11,Juniorstwo!$A$34:$N$34,0))*I$11+INDEX(JuniorzyNegatyw[],MATCH($A47,Juniorstwo!$A$35:$A$54,0),MATCH($B$12,Juniorstwo!$A$34:$N$34,0))*I$12+INDEX(JuniorzyNegatyw[],MATCH($A47,Juniorstwo!$A$35:$A$54,0),MATCH($B$13,Juniorstwo!$A$34:$N$34,0))*I$13,"-")</f>
        <v>72</v>
      </c>
      <c r="J47" s="38">
        <f ca="1">IFERROR(INDEX(JuniorzyNegatyw[],MATCH($A47,Juniorstwo!$A$35:$A$54,0),MATCH($B$2,Juniorstwo!$A$34:$N$34,0))*J$2+INDEX(JuniorzyNegatyw[],MATCH($A47,Juniorstwo!$A$35:$A$54,0),MATCH($B$3,Juniorstwo!$A$34:$N$34,0))*J$3+INDEX(JuniorzyNegatyw[],MATCH($A47,Juniorstwo!$A$35:$A$54,0),MATCH($B$4,Juniorstwo!$A$34:$N$34,0))*J$4+INDEX(JuniorzyNegatyw[],MATCH($A47,Juniorstwo!$A$35:$A$54,0),MATCH($B$5,Juniorstwo!$A$34:$N$34,0))*J$5+INDEX(JuniorzyNegatyw[],MATCH($A47,Juniorstwo!$A$35:$A$54,0),MATCH($B$6,Juniorstwo!$A$34:$N$34,0))*J$6+INDEX(JuniorzyNegatyw[],MATCH($A47,Juniorstwo!$A$35:$A$54,0),MATCH($B$7,Juniorstwo!$A$34:$N$34,0))*J$7+INDEX(JuniorzyNegatyw[],MATCH($A47,Juniorstwo!$A$35:$A$54,0),MATCH($B$8,Juniorstwo!$A$34:$N$34,0))*J$8+INDEX(JuniorzyNegatyw[],MATCH($A47,Juniorstwo!$A$35:$A$54,0),MATCH($B$9,Juniorstwo!$A$34:$N$34,0))*J$9+INDEX(JuniorzyNegatyw[],MATCH($A47,Juniorstwo!$A$35:$A$54,0),MATCH($B$10,Juniorstwo!$A$34:$N$34,0))*J$10+INDEX(JuniorzyNegatyw[],MATCH($A47,Juniorstwo!$A$35:$A$54,0),MATCH($B$11,Juniorstwo!$A$34:$N$34,0))*J$11+INDEX(JuniorzyNegatyw[],MATCH($A47,Juniorstwo!$A$35:$A$54,0),MATCH($B$12,Juniorstwo!$A$34:$N$34,0))*J$12+INDEX(JuniorzyNegatyw[],MATCH($A47,Juniorstwo!$A$35:$A$54,0),MATCH($B$13,Juniorstwo!$A$34:$N$34,0))*J$13,"-")</f>
        <v>74.5</v>
      </c>
      <c r="K47" s="38">
        <f ca="1">IFERROR(INDEX(JuniorzyNegatyw[],MATCH($A47,Juniorstwo!$A$35:$A$54,0),MATCH($B$2,Juniorstwo!$A$34:$N$34,0))*K$2+INDEX(JuniorzyNegatyw[],MATCH($A47,Juniorstwo!$A$35:$A$54,0),MATCH($B$3,Juniorstwo!$A$34:$N$34,0))*K$3+INDEX(JuniorzyNegatyw[],MATCH($A47,Juniorstwo!$A$35:$A$54,0),MATCH($B$4,Juniorstwo!$A$34:$N$34,0))*K$4+INDEX(JuniorzyNegatyw[],MATCH($A47,Juniorstwo!$A$35:$A$54,0),MATCH($B$5,Juniorstwo!$A$34:$N$34,0))*K$5+INDEX(JuniorzyNegatyw[],MATCH($A47,Juniorstwo!$A$35:$A$54,0),MATCH($B$6,Juniorstwo!$A$34:$N$34,0))*K$6+INDEX(JuniorzyNegatyw[],MATCH($A47,Juniorstwo!$A$35:$A$54,0),MATCH($B$7,Juniorstwo!$A$34:$N$34,0))*K$7+INDEX(JuniorzyNegatyw[],MATCH($A47,Juniorstwo!$A$35:$A$54,0),MATCH($B$8,Juniorstwo!$A$34:$N$34,0))*K$8+INDEX(JuniorzyNegatyw[],MATCH($A47,Juniorstwo!$A$35:$A$54,0),MATCH($B$9,Juniorstwo!$A$34:$N$34,0))*K$9+INDEX(JuniorzyNegatyw[],MATCH($A47,Juniorstwo!$A$35:$A$54,0),MATCH($B$10,Juniorstwo!$A$34:$N$34,0))*K$10+INDEX(JuniorzyNegatyw[],MATCH($A47,Juniorstwo!$A$35:$A$54,0),MATCH($B$11,Juniorstwo!$A$34:$N$34,0))*K$11+INDEX(JuniorzyNegatyw[],MATCH($A47,Juniorstwo!$A$35:$A$54,0),MATCH($B$12,Juniorstwo!$A$34:$N$34,0))*K$12+INDEX(JuniorzyNegatyw[],MATCH($A47,Juniorstwo!$A$35:$A$54,0),MATCH($B$13,Juniorstwo!$A$34:$N$34,0))*K$13,"-")</f>
        <v>71.5</v>
      </c>
    </row>
    <row r="48" spans="1:11" x14ac:dyDescent="0.25">
      <c r="A48">
        <f>IFERROR(PozJunNŚr[[#This Row],[Numer]],"-")</f>
        <v>45</v>
      </c>
      <c r="B48" s="3" t="str">
        <f>IFERROR(VLOOKUP(PozJunNMM[[#This Row],[Numer]],Zawodnicy[[Number]:[Player name]],2,FALSE),"-")</f>
        <v>Janusz Sierocki</v>
      </c>
      <c r="C48" s="38">
        <f ca="1">IFERROR(INDEX(JuniorzyNegatyw[],MATCH($A48,Juniorstwo!$A$35:$A$54,0),MATCH($B$2,Juniorstwo!$A$34:$N$34,0))*C$2+INDEX(JuniorzyNegatyw[],MATCH($A48,Juniorstwo!$A$35:$A$54,0),MATCH($B$3,Juniorstwo!$A$34:$N$34,0))*C$3+INDEX(JuniorzyNegatyw[],MATCH($A48,Juniorstwo!$A$35:$A$54,0),MATCH($B$4,Juniorstwo!$A$34:$N$34,0))*C$4+INDEX(JuniorzyNegatyw[],MATCH($A48,Juniorstwo!$A$35:$A$54,0),MATCH($B$5,Juniorstwo!$A$34:$N$34,0))*C$5+INDEX(JuniorzyNegatyw[],MATCH($A48,Juniorstwo!$A$35:$A$54,0),MATCH($B$6,Juniorstwo!$A$34:$N$34,0))*C$6+INDEX(JuniorzyNegatyw[],MATCH($A48,Juniorstwo!$A$35:$A$54,0),MATCH($B$7,Juniorstwo!$A$34:$N$34,0))*C$7+INDEX(JuniorzyNegatyw[],MATCH($A48,Juniorstwo!$A$35:$A$54,0),MATCH($B$8,Juniorstwo!$A$34:$N$34,0))*C$8+INDEX(JuniorzyNegatyw[],MATCH($A48,Juniorstwo!$A$35:$A$54,0),MATCH($B$9,Juniorstwo!$A$34:$N$34,0))*C$9+INDEX(JuniorzyNegatyw[],MATCH($A48,Juniorstwo!$A$35:$A$54,0),MATCH($B$10,Juniorstwo!$A$34:$N$34,0))*C$10+INDEX(JuniorzyNegatyw[],MATCH($A48,Juniorstwo!$A$35:$A$54,0),MATCH($B$11,Juniorstwo!$A$34:$N$34,0))*C$11+INDEX(JuniorzyNegatyw[],MATCH($A48,Juniorstwo!$A$35:$A$54,0),MATCH($B$12,Juniorstwo!$A$34:$N$34,0))*C$12+INDEX(JuniorzyNegatyw[],MATCH($A48,Juniorstwo!$A$35:$A$54,0),MATCH($B$13,Juniorstwo!$A$34:$N$34,0))*C$13,"-")</f>
        <v>46</v>
      </c>
      <c r="D48" s="38">
        <f ca="1">IFERROR(INDEX(JuniorzyNegatyw[],MATCH($A48,Juniorstwo!$A$35:$A$54,0),MATCH($B$2,Juniorstwo!$A$34:$N$34,0))*D$2+INDEX(JuniorzyNegatyw[],MATCH($A48,Juniorstwo!$A$35:$A$54,0),MATCH($B$3,Juniorstwo!$A$34:$N$34,0))*D$3+INDEX(JuniorzyNegatyw[],MATCH($A48,Juniorstwo!$A$35:$A$54,0),MATCH($B$4,Juniorstwo!$A$34:$N$34,0))*D$4+INDEX(JuniorzyNegatyw[],MATCH($A48,Juniorstwo!$A$35:$A$54,0),MATCH($B$5,Juniorstwo!$A$34:$N$34,0))*D$5+INDEX(JuniorzyNegatyw[],MATCH($A48,Juniorstwo!$A$35:$A$54,0),MATCH($B$6,Juniorstwo!$A$34:$N$34,0))*D$6+INDEX(JuniorzyNegatyw[],MATCH($A48,Juniorstwo!$A$35:$A$54,0),MATCH($B$7,Juniorstwo!$A$34:$N$34,0))*D$7+INDEX(JuniorzyNegatyw[],MATCH($A48,Juniorstwo!$A$35:$A$54,0),MATCH($B$8,Juniorstwo!$A$34:$N$34,0))*D$8+INDEX(JuniorzyNegatyw[],MATCH($A48,Juniorstwo!$A$35:$A$54,0),MATCH($B$9,Juniorstwo!$A$34:$N$34,0))*D$9+INDEX(JuniorzyNegatyw[],MATCH($A48,Juniorstwo!$A$35:$A$54,0),MATCH($B$10,Juniorstwo!$A$34:$N$34,0))*D$10+INDEX(JuniorzyNegatyw[],MATCH($A48,Juniorstwo!$A$35:$A$54,0),MATCH($B$11,Juniorstwo!$A$34:$N$34,0))*D$11+INDEX(JuniorzyNegatyw[],MATCH($A48,Juniorstwo!$A$35:$A$54,0),MATCH($B$12,Juniorstwo!$A$34:$N$34,0))*D$12+INDEX(JuniorzyNegatyw[],MATCH($A48,Juniorstwo!$A$35:$A$54,0),MATCH($B$13,Juniorstwo!$A$34:$N$34,0))*D$13,"-")</f>
        <v>72</v>
      </c>
      <c r="E48" s="38">
        <f ca="1">IFERROR(INDEX(JuniorzyNegatyw[],MATCH($A48,Juniorstwo!$A$35:$A$54,0),MATCH($B$2,Juniorstwo!$A$34:$N$34,0))*E$2+INDEX(JuniorzyNegatyw[],MATCH($A48,Juniorstwo!$A$35:$A$54,0),MATCH($B$3,Juniorstwo!$A$34:$N$34,0))*E$3+INDEX(JuniorzyNegatyw[],MATCH($A48,Juniorstwo!$A$35:$A$54,0),MATCH($B$4,Juniorstwo!$A$34:$N$34,0))*E$4+INDEX(JuniorzyNegatyw[],MATCH($A48,Juniorstwo!$A$35:$A$54,0),MATCH($B$5,Juniorstwo!$A$34:$N$34,0))*E$5+INDEX(JuniorzyNegatyw[],MATCH($A48,Juniorstwo!$A$35:$A$54,0),MATCH($B$6,Juniorstwo!$A$34:$N$34,0))*E$6+INDEX(JuniorzyNegatyw[],MATCH($A48,Juniorstwo!$A$35:$A$54,0),MATCH($B$7,Juniorstwo!$A$34:$N$34,0))*E$7+INDEX(JuniorzyNegatyw[],MATCH($A48,Juniorstwo!$A$35:$A$54,0),MATCH($B$8,Juniorstwo!$A$34:$N$34,0))*E$8+INDEX(JuniorzyNegatyw[],MATCH($A48,Juniorstwo!$A$35:$A$54,0),MATCH($B$9,Juniorstwo!$A$34:$N$34,0))*E$9+INDEX(JuniorzyNegatyw[],MATCH($A48,Juniorstwo!$A$35:$A$54,0),MATCH($B$10,Juniorstwo!$A$34:$N$34,0))*E$10+INDEX(JuniorzyNegatyw[],MATCH($A48,Juniorstwo!$A$35:$A$54,0),MATCH($B$11,Juniorstwo!$A$34:$N$34,0))*E$11+INDEX(JuniorzyNegatyw[],MATCH($A48,Juniorstwo!$A$35:$A$54,0),MATCH($B$12,Juniorstwo!$A$34:$N$34,0))*E$12+INDEX(JuniorzyNegatyw[],MATCH($A48,Juniorstwo!$A$35:$A$54,0),MATCH($B$13,Juniorstwo!$A$34:$N$34,0))*E$13,"-")</f>
        <v>70</v>
      </c>
      <c r="F48" s="38">
        <f ca="1">IFERROR(INDEX(JuniorzyNegatyw[],MATCH($A48,Juniorstwo!$A$35:$A$54,0),MATCH($B$2,Juniorstwo!$A$34:$N$34,0))*F$2+INDEX(JuniorzyNegatyw[],MATCH($A48,Juniorstwo!$A$35:$A$54,0),MATCH($B$3,Juniorstwo!$A$34:$N$34,0))*F$3+INDEX(JuniorzyNegatyw[],MATCH($A48,Juniorstwo!$A$35:$A$54,0),MATCH($B$4,Juniorstwo!$A$34:$N$34,0))*F$4+INDEX(JuniorzyNegatyw[],MATCH($A48,Juniorstwo!$A$35:$A$54,0),MATCH($B$5,Juniorstwo!$A$34:$N$34,0))*F$5+INDEX(JuniorzyNegatyw[],MATCH($A48,Juniorstwo!$A$35:$A$54,0),MATCH($B$6,Juniorstwo!$A$34:$N$34,0))*F$6+INDEX(JuniorzyNegatyw[],MATCH($A48,Juniorstwo!$A$35:$A$54,0),MATCH($B$7,Juniorstwo!$A$34:$N$34,0))*F$7+INDEX(JuniorzyNegatyw[],MATCH($A48,Juniorstwo!$A$35:$A$54,0),MATCH($B$8,Juniorstwo!$A$34:$N$34,0))*F$8+INDEX(JuniorzyNegatyw[],MATCH($A48,Juniorstwo!$A$35:$A$54,0),MATCH($B$9,Juniorstwo!$A$34:$N$34,0))*F$9+INDEX(JuniorzyNegatyw[],MATCH($A48,Juniorstwo!$A$35:$A$54,0),MATCH($B$10,Juniorstwo!$A$34:$N$34,0))*F$10+INDEX(JuniorzyNegatyw[],MATCH($A48,Juniorstwo!$A$35:$A$54,0),MATCH($B$11,Juniorstwo!$A$34:$N$34,0))*F$11+INDEX(JuniorzyNegatyw[],MATCH($A48,Juniorstwo!$A$35:$A$54,0),MATCH($B$12,Juniorstwo!$A$34:$N$34,0))*F$12+INDEX(JuniorzyNegatyw[],MATCH($A48,Juniorstwo!$A$35:$A$54,0),MATCH($B$13,Juniorstwo!$A$34:$N$34,0))*F$13,"-")</f>
        <v>70</v>
      </c>
      <c r="G48" s="38">
        <f ca="1">IFERROR(INDEX(JuniorzyNegatyw[],MATCH($A48,Juniorstwo!$A$35:$A$54,0),MATCH($B$2,Juniorstwo!$A$34:$N$34,0))*G$2+INDEX(JuniorzyNegatyw[],MATCH($A48,Juniorstwo!$A$35:$A$54,0),MATCH($B$3,Juniorstwo!$A$34:$N$34,0))*G$3+INDEX(JuniorzyNegatyw[],MATCH($A48,Juniorstwo!$A$35:$A$54,0),MATCH($B$4,Juniorstwo!$A$34:$N$34,0))*G$4+INDEX(JuniorzyNegatyw[],MATCH($A48,Juniorstwo!$A$35:$A$54,0),MATCH($B$5,Juniorstwo!$A$34:$N$34,0))*G$5+INDEX(JuniorzyNegatyw[],MATCH($A48,Juniorstwo!$A$35:$A$54,0),MATCH($B$6,Juniorstwo!$A$34:$N$34,0))*G$6+INDEX(JuniorzyNegatyw[],MATCH($A48,Juniorstwo!$A$35:$A$54,0),MATCH($B$7,Juniorstwo!$A$34:$N$34,0))*G$7+INDEX(JuniorzyNegatyw[],MATCH($A48,Juniorstwo!$A$35:$A$54,0),MATCH($B$8,Juniorstwo!$A$34:$N$34,0))*G$8+INDEX(JuniorzyNegatyw[],MATCH($A48,Juniorstwo!$A$35:$A$54,0),MATCH($B$9,Juniorstwo!$A$34:$N$34,0))*G$9+INDEX(JuniorzyNegatyw[],MATCH($A48,Juniorstwo!$A$35:$A$54,0),MATCH($B$10,Juniorstwo!$A$34:$N$34,0))*G$10+INDEX(JuniorzyNegatyw[],MATCH($A48,Juniorstwo!$A$35:$A$54,0),MATCH($B$11,Juniorstwo!$A$34:$N$34,0))*G$11+INDEX(JuniorzyNegatyw[],MATCH($A48,Juniorstwo!$A$35:$A$54,0),MATCH($B$12,Juniorstwo!$A$34:$N$34,0))*G$12+INDEX(JuniorzyNegatyw[],MATCH($A48,Juniorstwo!$A$35:$A$54,0),MATCH($B$13,Juniorstwo!$A$34:$N$34,0))*G$13,"-")</f>
        <v>69</v>
      </c>
      <c r="H48" s="38">
        <f ca="1">IFERROR(INDEX(JuniorzyNegatyw[],MATCH($A48,Juniorstwo!$A$35:$A$54,0),MATCH($B$2,Juniorstwo!$A$34:$N$34,0))*H$2+INDEX(JuniorzyNegatyw[],MATCH($A48,Juniorstwo!$A$35:$A$54,0),MATCH($B$3,Juniorstwo!$A$34:$N$34,0))*H$3+INDEX(JuniorzyNegatyw[],MATCH($A48,Juniorstwo!$A$35:$A$54,0),MATCH($B$4,Juniorstwo!$A$34:$N$34,0))*H$4+INDEX(JuniorzyNegatyw[],MATCH($A48,Juniorstwo!$A$35:$A$54,0),MATCH($B$5,Juniorstwo!$A$34:$N$34,0))*H$5+INDEX(JuniorzyNegatyw[],MATCH($A48,Juniorstwo!$A$35:$A$54,0),MATCH($B$6,Juniorstwo!$A$34:$N$34,0))*H$6+INDEX(JuniorzyNegatyw[],MATCH($A48,Juniorstwo!$A$35:$A$54,0),MATCH($B$7,Juniorstwo!$A$34:$N$34,0))*H$7+INDEX(JuniorzyNegatyw[],MATCH($A48,Juniorstwo!$A$35:$A$54,0),MATCH($B$8,Juniorstwo!$A$34:$N$34,0))*H$8+INDEX(JuniorzyNegatyw[],MATCH($A48,Juniorstwo!$A$35:$A$54,0),MATCH($B$9,Juniorstwo!$A$34:$N$34,0))*H$9+INDEX(JuniorzyNegatyw[],MATCH($A48,Juniorstwo!$A$35:$A$54,0),MATCH($B$10,Juniorstwo!$A$34:$N$34,0))*H$10+INDEX(JuniorzyNegatyw[],MATCH($A48,Juniorstwo!$A$35:$A$54,0),MATCH($B$11,Juniorstwo!$A$34:$N$34,0))*H$11+INDEX(JuniorzyNegatyw[],MATCH($A48,Juniorstwo!$A$35:$A$54,0),MATCH($B$12,Juniorstwo!$A$34:$N$34,0))*H$12+INDEX(JuniorzyNegatyw[],MATCH($A48,Juniorstwo!$A$35:$A$54,0),MATCH($B$13,Juniorstwo!$A$34:$N$34,0))*H$13,"-")</f>
        <v>64.5</v>
      </c>
      <c r="I48" s="38">
        <f ca="1">IFERROR(INDEX(JuniorzyNegatyw[],MATCH($A48,Juniorstwo!$A$35:$A$54,0),MATCH($B$2,Juniorstwo!$A$34:$N$34,0))*I$2+INDEX(JuniorzyNegatyw[],MATCH($A48,Juniorstwo!$A$35:$A$54,0),MATCH($B$3,Juniorstwo!$A$34:$N$34,0))*I$3+INDEX(JuniorzyNegatyw[],MATCH($A48,Juniorstwo!$A$35:$A$54,0),MATCH($B$4,Juniorstwo!$A$34:$N$34,0))*I$4+INDEX(JuniorzyNegatyw[],MATCH($A48,Juniorstwo!$A$35:$A$54,0),MATCH($B$5,Juniorstwo!$A$34:$N$34,0))*I$5+INDEX(JuniorzyNegatyw[],MATCH($A48,Juniorstwo!$A$35:$A$54,0),MATCH($B$6,Juniorstwo!$A$34:$N$34,0))*I$6+INDEX(JuniorzyNegatyw[],MATCH($A48,Juniorstwo!$A$35:$A$54,0),MATCH($B$7,Juniorstwo!$A$34:$N$34,0))*I$7+INDEX(JuniorzyNegatyw[],MATCH($A48,Juniorstwo!$A$35:$A$54,0),MATCH($B$8,Juniorstwo!$A$34:$N$34,0))*I$8+INDEX(JuniorzyNegatyw[],MATCH($A48,Juniorstwo!$A$35:$A$54,0),MATCH($B$9,Juniorstwo!$A$34:$N$34,0))*I$9+INDEX(JuniorzyNegatyw[],MATCH($A48,Juniorstwo!$A$35:$A$54,0),MATCH($B$10,Juniorstwo!$A$34:$N$34,0))*I$10+INDEX(JuniorzyNegatyw[],MATCH($A48,Juniorstwo!$A$35:$A$54,0),MATCH($B$11,Juniorstwo!$A$34:$N$34,0))*I$11+INDEX(JuniorzyNegatyw[],MATCH($A48,Juniorstwo!$A$35:$A$54,0),MATCH($B$12,Juniorstwo!$A$34:$N$34,0))*I$12+INDEX(JuniorzyNegatyw[],MATCH($A48,Juniorstwo!$A$35:$A$54,0),MATCH($B$13,Juniorstwo!$A$34:$N$34,0))*I$13,"-")</f>
        <v>65</v>
      </c>
      <c r="J48" s="38">
        <f ca="1">IFERROR(INDEX(JuniorzyNegatyw[],MATCH($A48,Juniorstwo!$A$35:$A$54,0),MATCH($B$2,Juniorstwo!$A$34:$N$34,0))*J$2+INDEX(JuniorzyNegatyw[],MATCH($A48,Juniorstwo!$A$35:$A$54,0),MATCH($B$3,Juniorstwo!$A$34:$N$34,0))*J$3+INDEX(JuniorzyNegatyw[],MATCH($A48,Juniorstwo!$A$35:$A$54,0),MATCH($B$4,Juniorstwo!$A$34:$N$34,0))*J$4+INDEX(JuniorzyNegatyw[],MATCH($A48,Juniorstwo!$A$35:$A$54,0),MATCH($B$5,Juniorstwo!$A$34:$N$34,0))*J$5+INDEX(JuniorzyNegatyw[],MATCH($A48,Juniorstwo!$A$35:$A$54,0),MATCH($B$6,Juniorstwo!$A$34:$N$34,0))*J$6+INDEX(JuniorzyNegatyw[],MATCH($A48,Juniorstwo!$A$35:$A$54,0),MATCH($B$7,Juniorstwo!$A$34:$N$34,0))*J$7+INDEX(JuniorzyNegatyw[],MATCH($A48,Juniorstwo!$A$35:$A$54,0),MATCH($B$8,Juniorstwo!$A$34:$N$34,0))*J$8+INDEX(JuniorzyNegatyw[],MATCH($A48,Juniorstwo!$A$35:$A$54,0),MATCH($B$9,Juniorstwo!$A$34:$N$34,0))*J$9+INDEX(JuniorzyNegatyw[],MATCH($A48,Juniorstwo!$A$35:$A$54,0),MATCH($B$10,Juniorstwo!$A$34:$N$34,0))*J$10+INDEX(JuniorzyNegatyw[],MATCH($A48,Juniorstwo!$A$35:$A$54,0),MATCH($B$11,Juniorstwo!$A$34:$N$34,0))*J$11+INDEX(JuniorzyNegatyw[],MATCH($A48,Juniorstwo!$A$35:$A$54,0),MATCH($B$12,Juniorstwo!$A$34:$N$34,0))*J$12+INDEX(JuniorzyNegatyw[],MATCH($A48,Juniorstwo!$A$35:$A$54,0),MATCH($B$13,Juniorstwo!$A$34:$N$34,0))*J$13,"-")</f>
        <v>64.5</v>
      </c>
      <c r="K48" s="38">
        <f ca="1">IFERROR(INDEX(JuniorzyNegatyw[],MATCH($A48,Juniorstwo!$A$35:$A$54,0),MATCH($B$2,Juniorstwo!$A$34:$N$34,0))*K$2+INDEX(JuniorzyNegatyw[],MATCH($A48,Juniorstwo!$A$35:$A$54,0),MATCH($B$3,Juniorstwo!$A$34:$N$34,0))*K$3+INDEX(JuniorzyNegatyw[],MATCH($A48,Juniorstwo!$A$35:$A$54,0),MATCH($B$4,Juniorstwo!$A$34:$N$34,0))*K$4+INDEX(JuniorzyNegatyw[],MATCH($A48,Juniorstwo!$A$35:$A$54,0),MATCH($B$5,Juniorstwo!$A$34:$N$34,0))*K$5+INDEX(JuniorzyNegatyw[],MATCH($A48,Juniorstwo!$A$35:$A$54,0),MATCH($B$6,Juniorstwo!$A$34:$N$34,0))*K$6+INDEX(JuniorzyNegatyw[],MATCH($A48,Juniorstwo!$A$35:$A$54,0),MATCH($B$7,Juniorstwo!$A$34:$N$34,0))*K$7+INDEX(JuniorzyNegatyw[],MATCH($A48,Juniorstwo!$A$35:$A$54,0),MATCH($B$8,Juniorstwo!$A$34:$N$34,0))*K$8+INDEX(JuniorzyNegatyw[],MATCH($A48,Juniorstwo!$A$35:$A$54,0),MATCH($B$9,Juniorstwo!$A$34:$N$34,0))*K$9+INDEX(JuniorzyNegatyw[],MATCH($A48,Juniorstwo!$A$35:$A$54,0),MATCH($B$10,Juniorstwo!$A$34:$N$34,0))*K$10+INDEX(JuniorzyNegatyw[],MATCH($A48,Juniorstwo!$A$35:$A$54,0),MATCH($B$11,Juniorstwo!$A$34:$N$34,0))*K$11+INDEX(JuniorzyNegatyw[],MATCH($A48,Juniorstwo!$A$35:$A$54,0),MATCH($B$12,Juniorstwo!$A$34:$N$34,0))*K$12+INDEX(JuniorzyNegatyw[],MATCH($A48,Juniorstwo!$A$35:$A$54,0),MATCH($B$13,Juniorstwo!$A$34:$N$34,0))*K$13,"-")</f>
        <v>63.5</v>
      </c>
    </row>
    <row r="49" spans="1:11" x14ac:dyDescent="0.25">
      <c r="A49">
        <f>IFERROR(PozJunNŚr[[#This Row],[Numer]],"-")</f>
        <v>46</v>
      </c>
      <c r="B49" s="3" t="str">
        <f>IFERROR(VLOOKUP(PozJunNMM[[#This Row],[Numer]],Zawodnicy[[Number]:[Player name]],2,FALSE),"-")</f>
        <v>Iwo Duszenski</v>
      </c>
      <c r="C49" s="38">
        <f ca="1">IFERROR(INDEX(JuniorzyNegatyw[],MATCH($A49,Juniorstwo!$A$35:$A$54,0),MATCH($B$2,Juniorstwo!$A$34:$N$34,0))*C$2+INDEX(JuniorzyNegatyw[],MATCH($A49,Juniorstwo!$A$35:$A$54,0),MATCH($B$3,Juniorstwo!$A$34:$N$34,0))*C$3+INDEX(JuniorzyNegatyw[],MATCH($A49,Juniorstwo!$A$35:$A$54,0),MATCH($B$4,Juniorstwo!$A$34:$N$34,0))*C$4+INDEX(JuniorzyNegatyw[],MATCH($A49,Juniorstwo!$A$35:$A$54,0),MATCH($B$5,Juniorstwo!$A$34:$N$34,0))*C$5+INDEX(JuniorzyNegatyw[],MATCH($A49,Juniorstwo!$A$35:$A$54,0),MATCH($B$6,Juniorstwo!$A$34:$N$34,0))*C$6+INDEX(JuniorzyNegatyw[],MATCH($A49,Juniorstwo!$A$35:$A$54,0),MATCH($B$7,Juniorstwo!$A$34:$N$34,0))*C$7+INDEX(JuniorzyNegatyw[],MATCH($A49,Juniorstwo!$A$35:$A$54,0),MATCH($B$8,Juniorstwo!$A$34:$N$34,0))*C$8+INDEX(JuniorzyNegatyw[],MATCH($A49,Juniorstwo!$A$35:$A$54,0),MATCH($B$9,Juniorstwo!$A$34:$N$34,0))*C$9+INDEX(JuniorzyNegatyw[],MATCH($A49,Juniorstwo!$A$35:$A$54,0),MATCH($B$10,Juniorstwo!$A$34:$N$34,0))*C$10+INDEX(JuniorzyNegatyw[],MATCH($A49,Juniorstwo!$A$35:$A$54,0),MATCH($B$11,Juniorstwo!$A$34:$N$34,0))*C$11+INDEX(JuniorzyNegatyw[],MATCH($A49,Juniorstwo!$A$35:$A$54,0),MATCH($B$12,Juniorstwo!$A$34:$N$34,0))*C$12+INDEX(JuniorzyNegatyw[],MATCH($A49,Juniorstwo!$A$35:$A$54,0),MATCH($B$13,Juniorstwo!$A$34:$N$34,0))*C$13,"-")</f>
        <v>46.5</v>
      </c>
      <c r="D49" s="38">
        <f ca="1">IFERROR(INDEX(JuniorzyNegatyw[],MATCH($A49,Juniorstwo!$A$35:$A$54,0),MATCH($B$2,Juniorstwo!$A$34:$N$34,0))*D$2+INDEX(JuniorzyNegatyw[],MATCH($A49,Juniorstwo!$A$35:$A$54,0),MATCH($B$3,Juniorstwo!$A$34:$N$34,0))*D$3+INDEX(JuniorzyNegatyw[],MATCH($A49,Juniorstwo!$A$35:$A$54,0),MATCH($B$4,Juniorstwo!$A$34:$N$34,0))*D$4+INDEX(JuniorzyNegatyw[],MATCH($A49,Juniorstwo!$A$35:$A$54,0),MATCH($B$5,Juniorstwo!$A$34:$N$34,0))*D$5+INDEX(JuniorzyNegatyw[],MATCH($A49,Juniorstwo!$A$35:$A$54,0),MATCH($B$6,Juniorstwo!$A$34:$N$34,0))*D$6+INDEX(JuniorzyNegatyw[],MATCH($A49,Juniorstwo!$A$35:$A$54,0),MATCH($B$7,Juniorstwo!$A$34:$N$34,0))*D$7+INDEX(JuniorzyNegatyw[],MATCH($A49,Juniorstwo!$A$35:$A$54,0),MATCH($B$8,Juniorstwo!$A$34:$N$34,0))*D$8+INDEX(JuniorzyNegatyw[],MATCH($A49,Juniorstwo!$A$35:$A$54,0),MATCH($B$9,Juniorstwo!$A$34:$N$34,0))*D$9+INDEX(JuniorzyNegatyw[],MATCH($A49,Juniorstwo!$A$35:$A$54,0),MATCH($B$10,Juniorstwo!$A$34:$N$34,0))*D$10+INDEX(JuniorzyNegatyw[],MATCH($A49,Juniorstwo!$A$35:$A$54,0),MATCH($B$11,Juniorstwo!$A$34:$N$34,0))*D$11+INDEX(JuniorzyNegatyw[],MATCH($A49,Juniorstwo!$A$35:$A$54,0),MATCH($B$12,Juniorstwo!$A$34:$N$34,0))*D$12+INDEX(JuniorzyNegatyw[],MATCH($A49,Juniorstwo!$A$35:$A$54,0),MATCH($B$13,Juniorstwo!$A$34:$N$34,0))*D$13,"-")</f>
        <v>65</v>
      </c>
      <c r="E49" s="38">
        <f ca="1">IFERROR(INDEX(JuniorzyNegatyw[],MATCH($A49,Juniorstwo!$A$35:$A$54,0),MATCH($B$2,Juniorstwo!$A$34:$N$34,0))*E$2+INDEX(JuniorzyNegatyw[],MATCH($A49,Juniorstwo!$A$35:$A$54,0),MATCH($B$3,Juniorstwo!$A$34:$N$34,0))*E$3+INDEX(JuniorzyNegatyw[],MATCH($A49,Juniorstwo!$A$35:$A$54,0),MATCH($B$4,Juniorstwo!$A$34:$N$34,0))*E$4+INDEX(JuniorzyNegatyw[],MATCH($A49,Juniorstwo!$A$35:$A$54,0),MATCH($B$5,Juniorstwo!$A$34:$N$34,0))*E$5+INDEX(JuniorzyNegatyw[],MATCH($A49,Juniorstwo!$A$35:$A$54,0),MATCH($B$6,Juniorstwo!$A$34:$N$34,0))*E$6+INDEX(JuniorzyNegatyw[],MATCH($A49,Juniorstwo!$A$35:$A$54,0),MATCH($B$7,Juniorstwo!$A$34:$N$34,0))*E$7+INDEX(JuniorzyNegatyw[],MATCH($A49,Juniorstwo!$A$35:$A$54,0),MATCH($B$8,Juniorstwo!$A$34:$N$34,0))*E$8+INDEX(JuniorzyNegatyw[],MATCH($A49,Juniorstwo!$A$35:$A$54,0),MATCH($B$9,Juniorstwo!$A$34:$N$34,0))*E$9+INDEX(JuniorzyNegatyw[],MATCH($A49,Juniorstwo!$A$35:$A$54,0),MATCH($B$10,Juniorstwo!$A$34:$N$34,0))*E$10+INDEX(JuniorzyNegatyw[],MATCH($A49,Juniorstwo!$A$35:$A$54,0),MATCH($B$11,Juniorstwo!$A$34:$N$34,0))*E$11+INDEX(JuniorzyNegatyw[],MATCH($A49,Juniorstwo!$A$35:$A$54,0),MATCH($B$12,Juniorstwo!$A$34:$N$34,0))*E$12+INDEX(JuniorzyNegatyw[],MATCH($A49,Juniorstwo!$A$35:$A$54,0),MATCH($B$13,Juniorstwo!$A$34:$N$34,0))*E$13,"-")</f>
        <v>66</v>
      </c>
      <c r="F49" s="38">
        <f ca="1">IFERROR(INDEX(JuniorzyNegatyw[],MATCH($A49,Juniorstwo!$A$35:$A$54,0),MATCH($B$2,Juniorstwo!$A$34:$N$34,0))*F$2+INDEX(JuniorzyNegatyw[],MATCH($A49,Juniorstwo!$A$35:$A$54,0),MATCH($B$3,Juniorstwo!$A$34:$N$34,0))*F$3+INDEX(JuniorzyNegatyw[],MATCH($A49,Juniorstwo!$A$35:$A$54,0),MATCH($B$4,Juniorstwo!$A$34:$N$34,0))*F$4+INDEX(JuniorzyNegatyw[],MATCH($A49,Juniorstwo!$A$35:$A$54,0),MATCH($B$5,Juniorstwo!$A$34:$N$34,0))*F$5+INDEX(JuniorzyNegatyw[],MATCH($A49,Juniorstwo!$A$35:$A$54,0),MATCH($B$6,Juniorstwo!$A$34:$N$34,0))*F$6+INDEX(JuniorzyNegatyw[],MATCH($A49,Juniorstwo!$A$35:$A$54,0),MATCH($B$7,Juniorstwo!$A$34:$N$34,0))*F$7+INDEX(JuniorzyNegatyw[],MATCH($A49,Juniorstwo!$A$35:$A$54,0),MATCH($B$8,Juniorstwo!$A$34:$N$34,0))*F$8+INDEX(JuniorzyNegatyw[],MATCH($A49,Juniorstwo!$A$35:$A$54,0),MATCH($B$9,Juniorstwo!$A$34:$N$34,0))*F$9+INDEX(JuniorzyNegatyw[],MATCH($A49,Juniorstwo!$A$35:$A$54,0),MATCH($B$10,Juniorstwo!$A$34:$N$34,0))*F$10+INDEX(JuniorzyNegatyw[],MATCH($A49,Juniorstwo!$A$35:$A$54,0),MATCH($B$11,Juniorstwo!$A$34:$N$34,0))*F$11+INDEX(JuniorzyNegatyw[],MATCH($A49,Juniorstwo!$A$35:$A$54,0),MATCH($B$12,Juniorstwo!$A$34:$N$34,0))*F$12+INDEX(JuniorzyNegatyw[],MATCH($A49,Juniorstwo!$A$35:$A$54,0),MATCH($B$13,Juniorstwo!$A$34:$N$34,0))*F$13,"-")</f>
        <v>65</v>
      </c>
      <c r="G49" s="38">
        <f ca="1">IFERROR(INDEX(JuniorzyNegatyw[],MATCH($A49,Juniorstwo!$A$35:$A$54,0),MATCH($B$2,Juniorstwo!$A$34:$N$34,0))*G$2+INDEX(JuniorzyNegatyw[],MATCH($A49,Juniorstwo!$A$35:$A$54,0),MATCH($B$3,Juniorstwo!$A$34:$N$34,0))*G$3+INDEX(JuniorzyNegatyw[],MATCH($A49,Juniorstwo!$A$35:$A$54,0),MATCH($B$4,Juniorstwo!$A$34:$N$34,0))*G$4+INDEX(JuniorzyNegatyw[],MATCH($A49,Juniorstwo!$A$35:$A$54,0),MATCH($B$5,Juniorstwo!$A$34:$N$34,0))*G$5+INDEX(JuniorzyNegatyw[],MATCH($A49,Juniorstwo!$A$35:$A$54,0),MATCH($B$6,Juniorstwo!$A$34:$N$34,0))*G$6+INDEX(JuniorzyNegatyw[],MATCH($A49,Juniorstwo!$A$35:$A$54,0),MATCH($B$7,Juniorstwo!$A$34:$N$34,0))*G$7+INDEX(JuniorzyNegatyw[],MATCH($A49,Juniorstwo!$A$35:$A$54,0),MATCH($B$8,Juniorstwo!$A$34:$N$34,0))*G$8+INDEX(JuniorzyNegatyw[],MATCH($A49,Juniorstwo!$A$35:$A$54,0),MATCH($B$9,Juniorstwo!$A$34:$N$34,0))*G$9+INDEX(JuniorzyNegatyw[],MATCH($A49,Juniorstwo!$A$35:$A$54,0),MATCH($B$10,Juniorstwo!$A$34:$N$34,0))*G$10+INDEX(JuniorzyNegatyw[],MATCH($A49,Juniorstwo!$A$35:$A$54,0),MATCH($B$11,Juniorstwo!$A$34:$N$34,0))*G$11+INDEX(JuniorzyNegatyw[],MATCH($A49,Juniorstwo!$A$35:$A$54,0),MATCH($B$12,Juniorstwo!$A$34:$N$34,0))*G$12+INDEX(JuniorzyNegatyw[],MATCH($A49,Juniorstwo!$A$35:$A$54,0),MATCH($B$13,Juniorstwo!$A$34:$N$34,0))*G$13,"-")</f>
        <v>64</v>
      </c>
      <c r="H49" s="38">
        <f ca="1">IFERROR(INDEX(JuniorzyNegatyw[],MATCH($A49,Juniorstwo!$A$35:$A$54,0),MATCH($B$2,Juniorstwo!$A$34:$N$34,0))*H$2+INDEX(JuniorzyNegatyw[],MATCH($A49,Juniorstwo!$A$35:$A$54,0),MATCH($B$3,Juniorstwo!$A$34:$N$34,0))*H$3+INDEX(JuniorzyNegatyw[],MATCH($A49,Juniorstwo!$A$35:$A$54,0),MATCH($B$4,Juniorstwo!$A$34:$N$34,0))*H$4+INDEX(JuniorzyNegatyw[],MATCH($A49,Juniorstwo!$A$35:$A$54,0),MATCH($B$5,Juniorstwo!$A$34:$N$34,0))*H$5+INDEX(JuniorzyNegatyw[],MATCH($A49,Juniorstwo!$A$35:$A$54,0),MATCH($B$6,Juniorstwo!$A$34:$N$34,0))*H$6+INDEX(JuniorzyNegatyw[],MATCH($A49,Juniorstwo!$A$35:$A$54,0),MATCH($B$7,Juniorstwo!$A$34:$N$34,0))*H$7+INDEX(JuniorzyNegatyw[],MATCH($A49,Juniorstwo!$A$35:$A$54,0),MATCH($B$8,Juniorstwo!$A$34:$N$34,0))*H$8+INDEX(JuniorzyNegatyw[],MATCH($A49,Juniorstwo!$A$35:$A$54,0),MATCH($B$9,Juniorstwo!$A$34:$N$34,0))*H$9+INDEX(JuniorzyNegatyw[],MATCH($A49,Juniorstwo!$A$35:$A$54,0),MATCH($B$10,Juniorstwo!$A$34:$N$34,0))*H$10+INDEX(JuniorzyNegatyw[],MATCH($A49,Juniorstwo!$A$35:$A$54,0),MATCH($B$11,Juniorstwo!$A$34:$N$34,0))*H$11+INDEX(JuniorzyNegatyw[],MATCH($A49,Juniorstwo!$A$35:$A$54,0),MATCH($B$12,Juniorstwo!$A$34:$N$34,0))*H$12+INDEX(JuniorzyNegatyw[],MATCH($A49,Juniorstwo!$A$35:$A$54,0),MATCH($B$13,Juniorstwo!$A$34:$N$34,0))*H$13,"-")</f>
        <v>63.5</v>
      </c>
      <c r="I49" s="38">
        <f ca="1">IFERROR(INDEX(JuniorzyNegatyw[],MATCH($A49,Juniorstwo!$A$35:$A$54,0),MATCH($B$2,Juniorstwo!$A$34:$N$34,0))*I$2+INDEX(JuniorzyNegatyw[],MATCH($A49,Juniorstwo!$A$35:$A$54,0),MATCH($B$3,Juniorstwo!$A$34:$N$34,0))*I$3+INDEX(JuniorzyNegatyw[],MATCH($A49,Juniorstwo!$A$35:$A$54,0),MATCH($B$4,Juniorstwo!$A$34:$N$34,0))*I$4+INDEX(JuniorzyNegatyw[],MATCH($A49,Juniorstwo!$A$35:$A$54,0),MATCH($B$5,Juniorstwo!$A$34:$N$34,0))*I$5+INDEX(JuniorzyNegatyw[],MATCH($A49,Juniorstwo!$A$35:$A$54,0),MATCH($B$6,Juniorstwo!$A$34:$N$34,0))*I$6+INDEX(JuniorzyNegatyw[],MATCH($A49,Juniorstwo!$A$35:$A$54,0),MATCH($B$7,Juniorstwo!$A$34:$N$34,0))*I$7+INDEX(JuniorzyNegatyw[],MATCH($A49,Juniorstwo!$A$35:$A$54,0),MATCH($B$8,Juniorstwo!$A$34:$N$34,0))*I$8+INDEX(JuniorzyNegatyw[],MATCH($A49,Juniorstwo!$A$35:$A$54,0),MATCH($B$9,Juniorstwo!$A$34:$N$34,0))*I$9+INDEX(JuniorzyNegatyw[],MATCH($A49,Juniorstwo!$A$35:$A$54,0),MATCH($B$10,Juniorstwo!$A$34:$N$34,0))*I$10+INDEX(JuniorzyNegatyw[],MATCH($A49,Juniorstwo!$A$35:$A$54,0),MATCH($B$11,Juniorstwo!$A$34:$N$34,0))*I$11+INDEX(JuniorzyNegatyw[],MATCH($A49,Juniorstwo!$A$35:$A$54,0),MATCH($B$12,Juniorstwo!$A$34:$N$34,0))*I$12+INDEX(JuniorzyNegatyw[],MATCH($A49,Juniorstwo!$A$35:$A$54,0),MATCH($B$13,Juniorstwo!$A$34:$N$34,0))*I$13,"-")</f>
        <v>68</v>
      </c>
      <c r="J49" s="38">
        <f ca="1">IFERROR(INDEX(JuniorzyNegatyw[],MATCH($A49,Juniorstwo!$A$35:$A$54,0),MATCH($B$2,Juniorstwo!$A$34:$N$34,0))*J$2+INDEX(JuniorzyNegatyw[],MATCH($A49,Juniorstwo!$A$35:$A$54,0),MATCH($B$3,Juniorstwo!$A$34:$N$34,0))*J$3+INDEX(JuniorzyNegatyw[],MATCH($A49,Juniorstwo!$A$35:$A$54,0),MATCH($B$4,Juniorstwo!$A$34:$N$34,0))*J$4+INDEX(JuniorzyNegatyw[],MATCH($A49,Juniorstwo!$A$35:$A$54,0),MATCH($B$5,Juniorstwo!$A$34:$N$34,0))*J$5+INDEX(JuniorzyNegatyw[],MATCH($A49,Juniorstwo!$A$35:$A$54,0),MATCH($B$6,Juniorstwo!$A$34:$N$34,0))*J$6+INDEX(JuniorzyNegatyw[],MATCH($A49,Juniorstwo!$A$35:$A$54,0),MATCH($B$7,Juniorstwo!$A$34:$N$34,0))*J$7+INDEX(JuniorzyNegatyw[],MATCH($A49,Juniorstwo!$A$35:$A$54,0),MATCH($B$8,Juniorstwo!$A$34:$N$34,0))*J$8+INDEX(JuniorzyNegatyw[],MATCH($A49,Juniorstwo!$A$35:$A$54,0),MATCH($B$9,Juniorstwo!$A$34:$N$34,0))*J$9+INDEX(JuniorzyNegatyw[],MATCH($A49,Juniorstwo!$A$35:$A$54,0),MATCH($B$10,Juniorstwo!$A$34:$N$34,0))*J$10+INDEX(JuniorzyNegatyw[],MATCH($A49,Juniorstwo!$A$35:$A$54,0),MATCH($B$11,Juniorstwo!$A$34:$N$34,0))*J$11+INDEX(JuniorzyNegatyw[],MATCH($A49,Juniorstwo!$A$35:$A$54,0),MATCH($B$12,Juniorstwo!$A$34:$N$34,0))*J$12+INDEX(JuniorzyNegatyw[],MATCH($A49,Juniorstwo!$A$35:$A$54,0),MATCH($B$13,Juniorstwo!$A$34:$N$34,0))*J$13,"-")</f>
        <v>67.5</v>
      </c>
      <c r="K49" s="38">
        <f ca="1">IFERROR(INDEX(JuniorzyNegatyw[],MATCH($A49,Juniorstwo!$A$35:$A$54,0),MATCH($B$2,Juniorstwo!$A$34:$N$34,0))*K$2+INDEX(JuniorzyNegatyw[],MATCH($A49,Juniorstwo!$A$35:$A$54,0),MATCH($B$3,Juniorstwo!$A$34:$N$34,0))*K$3+INDEX(JuniorzyNegatyw[],MATCH($A49,Juniorstwo!$A$35:$A$54,0),MATCH($B$4,Juniorstwo!$A$34:$N$34,0))*K$4+INDEX(JuniorzyNegatyw[],MATCH($A49,Juniorstwo!$A$35:$A$54,0),MATCH($B$5,Juniorstwo!$A$34:$N$34,0))*K$5+INDEX(JuniorzyNegatyw[],MATCH($A49,Juniorstwo!$A$35:$A$54,0),MATCH($B$6,Juniorstwo!$A$34:$N$34,0))*K$6+INDEX(JuniorzyNegatyw[],MATCH($A49,Juniorstwo!$A$35:$A$54,0),MATCH($B$7,Juniorstwo!$A$34:$N$34,0))*K$7+INDEX(JuniorzyNegatyw[],MATCH($A49,Juniorstwo!$A$35:$A$54,0),MATCH($B$8,Juniorstwo!$A$34:$N$34,0))*K$8+INDEX(JuniorzyNegatyw[],MATCH($A49,Juniorstwo!$A$35:$A$54,0),MATCH($B$9,Juniorstwo!$A$34:$N$34,0))*K$9+INDEX(JuniorzyNegatyw[],MATCH($A49,Juniorstwo!$A$35:$A$54,0),MATCH($B$10,Juniorstwo!$A$34:$N$34,0))*K$10+INDEX(JuniorzyNegatyw[],MATCH($A49,Juniorstwo!$A$35:$A$54,0),MATCH($B$11,Juniorstwo!$A$34:$N$34,0))*K$11+INDEX(JuniorzyNegatyw[],MATCH($A49,Juniorstwo!$A$35:$A$54,0),MATCH($B$12,Juniorstwo!$A$34:$N$34,0))*K$12+INDEX(JuniorzyNegatyw[],MATCH($A49,Juniorstwo!$A$35:$A$54,0),MATCH($B$13,Juniorstwo!$A$34:$N$34,0))*K$13,"-")</f>
        <v>75.5</v>
      </c>
    </row>
    <row r="50" spans="1:11" x14ac:dyDescent="0.25">
      <c r="A50">
        <f>IFERROR(PozJunNŚr[[#This Row],[Numer]],"-")</f>
        <v>48</v>
      </c>
      <c r="B50" s="3" t="str">
        <f>IFERROR(VLOOKUP(PozJunNMM[[#This Row],[Numer]],Zawodnicy[[Number]:[Player name]],2,FALSE),"-")</f>
        <v>Wincenty Zawaski</v>
      </c>
      <c r="C50" s="38">
        <f ca="1">IFERROR(INDEX(JuniorzyNegatyw[],MATCH($A50,Juniorstwo!$A$35:$A$54,0),MATCH($B$2,Juniorstwo!$A$34:$N$34,0))*C$2+INDEX(JuniorzyNegatyw[],MATCH($A50,Juniorstwo!$A$35:$A$54,0),MATCH($B$3,Juniorstwo!$A$34:$N$34,0))*C$3+INDEX(JuniorzyNegatyw[],MATCH($A50,Juniorstwo!$A$35:$A$54,0),MATCH($B$4,Juniorstwo!$A$34:$N$34,0))*C$4+INDEX(JuniorzyNegatyw[],MATCH($A50,Juniorstwo!$A$35:$A$54,0),MATCH($B$5,Juniorstwo!$A$34:$N$34,0))*C$5+INDEX(JuniorzyNegatyw[],MATCH($A50,Juniorstwo!$A$35:$A$54,0),MATCH($B$6,Juniorstwo!$A$34:$N$34,0))*C$6+INDEX(JuniorzyNegatyw[],MATCH($A50,Juniorstwo!$A$35:$A$54,0),MATCH($B$7,Juniorstwo!$A$34:$N$34,0))*C$7+INDEX(JuniorzyNegatyw[],MATCH($A50,Juniorstwo!$A$35:$A$54,0),MATCH($B$8,Juniorstwo!$A$34:$N$34,0))*C$8+INDEX(JuniorzyNegatyw[],MATCH($A50,Juniorstwo!$A$35:$A$54,0),MATCH($B$9,Juniorstwo!$A$34:$N$34,0))*C$9+INDEX(JuniorzyNegatyw[],MATCH($A50,Juniorstwo!$A$35:$A$54,0),MATCH($B$10,Juniorstwo!$A$34:$N$34,0))*C$10+INDEX(JuniorzyNegatyw[],MATCH($A50,Juniorstwo!$A$35:$A$54,0),MATCH($B$11,Juniorstwo!$A$34:$N$34,0))*C$11+INDEX(JuniorzyNegatyw[],MATCH($A50,Juniorstwo!$A$35:$A$54,0),MATCH($B$12,Juniorstwo!$A$34:$N$34,0))*C$12+INDEX(JuniorzyNegatyw[],MATCH($A50,Juniorstwo!$A$35:$A$54,0),MATCH($B$13,Juniorstwo!$A$34:$N$34,0))*C$13,"-")</f>
        <v>51</v>
      </c>
      <c r="D50" s="38">
        <f ca="1">IFERROR(INDEX(JuniorzyNegatyw[],MATCH($A50,Juniorstwo!$A$35:$A$54,0),MATCH($B$2,Juniorstwo!$A$34:$N$34,0))*D$2+INDEX(JuniorzyNegatyw[],MATCH($A50,Juniorstwo!$A$35:$A$54,0),MATCH($B$3,Juniorstwo!$A$34:$N$34,0))*D$3+INDEX(JuniorzyNegatyw[],MATCH($A50,Juniorstwo!$A$35:$A$54,0),MATCH($B$4,Juniorstwo!$A$34:$N$34,0))*D$4+INDEX(JuniorzyNegatyw[],MATCH($A50,Juniorstwo!$A$35:$A$54,0),MATCH($B$5,Juniorstwo!$A$34:$N$34,0))*D$5+INDEX(JuniorzyNegatyw[],MATCH($A50,Juniorstwo!$A$35:$A$54,0),MATCH($B$6,Juniorstwo!$A$34:$N$34,0))*D$6+INDEX(JuniorzyNegatyw[],MATCH($A50,Juniorstwo!$A$35:$A$54,0),MATCH($B$7,Juniorstwo!$A$34:$N$34,0))*D$7+INDEX(JuniorzyNegatyw[],MATCH($A50,Juniorstwo!$A$35:$A$54,0),MATCH($B$8,Juniorstwo!$A$34:$N$34,0))*D$8+INDEX(JuniorzyNegatyw[],MATCH($A50,Juniorstwo!$A$35:$A$54,0),MATCH($B$9,Juniorstwo!$A$34:$N$34,0))*D$9+INDEX(JuniorzyNegatyw[],MATCH($A50,Juniorstwo!$A$35:$A$54,0),MATCH($B$10,Juniorstwo!$A$34:$N$34,0))*D$10+INDEX(JuniorzyNegatyw[],MATCH($A50,Juniorstwo!$A$35:$A$54,0),MATCH($B$11,Juniorstwo!$A$34:$N$34,0))*D$11+INDEX(JuniorzyNegatyw[],MATCH($A50,Juniorstwo!$A$35:$A$54,0),MATCH($B$12,Juniorstwo!$A$34:$N$34,0))*D$12+INDEX(JuniorzyNegatyw[],MATCH($A50,Juniorstwo!$A$35:$A$54,0),MATCH($B$13,Juniorstwo!$A$34:$N$34,0))*D$13,"-")</f>
        <v>64</v>
      </c>
      <c r="E50" s="38">
        <f ca="1">IFERROR(INDEX(JuniorzyNegatyw[],MATCH($A50,Juniorstwo!$A$35:$A$54,0),MATCH($B$2,Juniorstwo!$A$34:$N$34,0))*E$2+INDEX(JuniorzyNegatyw[],MATCH($A50,Juniorstwo!$A$35:$A$54,0),MATCH($B$3,Juniorstwo!$A$34:$N$34,0))*E$3+INDEX(JuniorzyNegatyw[],MATCH($A50,Juniorstwo!$A$35:$A$54,0),MATCH($B$4,Juniorstwo!$A$34:$N$34,0))*E$4+INDEX(JuniorzyNegatyw[],MATCH($A50,Juniorstwo!$A$35:$A$54,0),MATCH($B$5,Juniorstwo!$A$34:$N$34,0))*E$5+INDEX(JuniorzyNegatyw[],MATCH($A50,Juniorstwo!$A$35:$A$54,0),MATCH($B$6,Juniorstwo!$A$34:$N$34,0))*E$6+INDEX(JuniorzyNegatyw[],MATCH($A50,Juniorstwo!$A$35:$A$54,0),MATCH($B$7,Juniorstwo!$A$34:$N$34,0))*E$7+INDEX(JuniorzyNegatyw[],MATCH($A50,Juniorstwo!$A$35:$A$54,0),MATCH($B$8,Juniorstwo!$A$34:$N$34,0))*E$8+INDEX(JuniorzyNegatyw[],MATCH($A50,Juniorstwo!$A$35:$A$54,0),MATCH($B$9,Juniorstwo!$A$34:$N$34,0))*E$9+INDEX(JuniorzyNegatyw[],MATCH($A50,Juniorstwo!$A$35:$A$54,0),MATCH($B$10,Juniorstwo!$A$34:$N$34,0))*E$10+INDEX(JuniorzyNegatyw[],MATCH($A50,Juniorstwo!$A$35:$A$54,0),MATCH($B$11,Juniorstwo!$A$34:$N$34,0))*E$11+INDEX(JuniorzyNegatyw[],MATCH($A50,Juniorstwo!$A$35:$A$54,0),MATCH($B$12,Juniorstwo!$A$34:$N$34,0))*E$12+INDEX(JuniorzyNegatyw[],MATCH($A50,Juniorstwo!$A$35:$A$54,0),MATCH($B$13,Juniorstwo!$A$34:$N$34,0))*E$13,"-")</f>
        <v>63</v>
      </c>
      <c r="F50" s="38">
        <f ca="1">IFERROR(INDEX(JuniorzyNegatyw[],MATCH($A50,Juniorstwo!$A$35:$A$54,0),MATCH($B$2,Juniorstwo!$A$34:$N$34,0))*F$2+INDEX(JuniorzyNegatyw[],MATCH($A50,Juniorstwo!$A$35:$A$54,0),MATCH($B$3,Juniorstwo!$A$34:$N$34,0))*F$3+INDEX(JuniorzyNegatyw[],MATCH($A50,Juniorstwo!$A$35:$A$54,0),MATCH($B$4,Juniorstwo!$A$34:$N$34,0))*F$4+INDEX(JuniorzyNegatyw[],MATCH($A50,Juniorstwo!$A$35:$A$54,0),MATCH($B$5,Juniorstwo!$A$34:$N$34,0))*F$5+INDEX(JuniorzyNegatyw[],MATCH($A50,Juniorstwo!$A$35:$A$54,0),MATCH($B$6,Juniorstwo!$A$34:$N$34,0))*F$6+INDEX(JuniorzyNegatyw[],MATCH($A50,Juniorstwo!$A$35:$A$54,0),MATCH($B$7,Juniorstwo!$A$34:$N$34,0))*F$7+INDEX(JuniorzyNegatyw[],MATCH($A50,Juniorstwo!$A$35:$A$54,0),MATCH($B$8,Juniorstwo!$A$34:$N$34,0))*F$8+INDEX(JuniorzyNegatyw[],MATCH($A50,Juniorstwo!$A$35:$A$54,0),MATCH($B$9,Juniorstwo!$A$34:$N$34,0))*F$9+INDEX(JuniorzyNegatyw[],MATCH($A50,Juniorstwo!$A$35:$A$54,0),MATCH($B$10,Juniorstwo!$A$34:$N$34,0))*F$10+INDEX(JuniorzyNegatyw[],MATCH($A50,Juniorstwo!$A$35:$A$54,0),MATCH($B$11,Juniorstwo!$A$34:$N$34,0))*F$11+INDEX(JuniorzyNegatyw[],MATCH($A50,Juniorstwo!$A$35:$A$54,0),MATCH($B$12,Juniorstwo!$A$34:$N$34,0))*F$12+INDEX(JuniorzyNegatyw[],MATCH($A50,Juniorstwo!$A$35:$A$54,0),MATCH($B$13,Juniorstwo!$A$34:$N$34,0))*F$13,"-")</f>
        <v>63</v>
      </c>
      <c r="G50" s="38">
        <f ca="1">IFERROR(INDEX(JuniorzyNegatyw[],MATCH($A50,Juniorstwo!$A$35:$A$54,0),MATCH($B$2,Juniorstwo!$A$34:$N$34,0))*G$2+INDEX(JuniorzyNegatyw[],MATCH($A50,Juniorstwo!$A$35:$A$54,0),MATCH($B$3,Juniorstwo!$A$34:$N$34,0))*G$3+INDEX(JuniorzyNegatyw[],MATCH($A50,Juniorstwo!$A$35:$A$54,0),MATCH($B$4,Juniorstwo!$A$34:$N$34,0))*G$4+INDEX(JuniorzyNegatyw[],MATCH($A50,Juniorstwo!$A$35:$A$54,0),MATCH($B$5,Juniorstwo!$A$34:$N$34,0))*G$5+INDEX(JuniorzyNegatyw[],MATCH($A50,Juniorstwo!$A$35:$A$54,0),MATCH($B$6,Juniorstwo!$A$34:$N$34,0))*G$6+INDEX(JuniorzyNegatyw[],MATCH($A50,Juniorstwo!$A$35:$A$54,0),MATCH($B$7,Juniorstwo!$A$34:$N$34,0))*G$7+INDEX(JuniorzyNegatyw[],MATCH($A50,Juniorstwo!$A$35:$A$54,0),MATCH($B$8,Juniorstwo!$A$34:$N$34,0))*G$8+INDEX(JuniorzyNegatyw[],MATCH($A50,Juniorstwo!$A$35:$A$54,0),MATCH($B$9,Juniorstwo!$A$34:$N$34,0))*G$9+INDEX(JuniorzyNegatyw[],MATCH($A50,Juniorstwo!$A$35:$A$54,0),MATCH($B$10,Juniorstwo!$A$34:$N$34,0))*G$10+INDEX(JuniorzyNegatyw[],MATCH($A50,Juniorstwo!$A$35:$A$54,0),MATCH($B$11,Juniorstwo!$A$34:$N$34,0))*G$11+INDEX(JuniorzyNegatyw[],MATCH($A50,Juniorstwo!$A$35:$A$54,0),MATCH($B$12,Juniorstwo!$A$34:$N$34,0))*G$12+INDEX(JuniorzyNegatyw[],MATCH($A50,Juniorstwo!$A$35:$A$54,0),MATCH($B$13,Juniorstwo!$A$34:$N$34,0))*G$13,"-")</f>
        <v>64</v>
      </c>
      <c r="H50" s="38">
        <f ca="1">IFERROR(INDEX(JuniorzyNegatyw[],MATCH($A50,Juniorstwo!$A$35:$A$54,0),MATCH($B$2,Juniorstwo!$A$34:$N$34,0))*H$2+INDEX(JuniorzyNegatyw[],MATCH($A50,Juniorstwo!$A$35:$A$54,0),MATCH($B$3,Juniorstwo!$A$34:$N$34,0))*H$3+INDEX(JuniorzyNegatyw[],MATCH($A50,Juniorstwo!$A$35:$A$54,0),MATCH($B$4,Juniorstwo!$A$34:$N$34,0))*H$4+INDEX(JuniorzyNegatyw[],MATCH($A50,Juniorstwo!$A$35:$A$54,0),MATCH($B$5,Juniorstwo!$A$34:$N$34,0))*H$5+INDEX(JuniorzyNegatyw[],MATCH($A50,Juniorstwo!$A$35:$A$54,0),MATCH($B$6,Juniorstwo!$A$34:$N$34,0))*H$6+INDEX(JuniorzyNegatyw[],MATCH($A50,Juniorstwo!$A$35:$A$54,0),MATCH($B$7,Juniorstwo!$A$34:$N$34,0))*H$7+INDEX(JuniorzyNegatyw[],MATCH($A50,Juniorstwo!$A$35:$A$54,0),MATCH($B$8,Juniorstwo!$A$34:$N$34,0))*H$8+INDEX(JuniorzyNegatyw[],MATCH($A50,Juniorstwo!$A$35:$A$54,0),MATCH($B$9,Juniorstwo!$A$34:$N$34,0))*H$9+INDEX(JuniorzyNegatyw[],MATCH($A50,Juniorstwo!$A$35:$A$54,0),MATCH($B$10,Juniorstwo!$A$34:$N$34,0))*H$10+INDEX(JuniorzyNegatyw[],MATCH($A50,Juniorstwo!$A$35:$A$54,0),MATCH($B$11,Juniorstwo!$A$34:$N$34,0))*H$11+INDEX(JuniorzyNegatyw[],MATCH($A50,Juniorstwo!$A$35:$A$54,0),MATCH($B$12,Juniorstwo!$A$34:$N$34,0))*H$12+INDEX(JuniorzyNegatyw[],MATCH($A50,Juniorstwo!$A$35:$A$54,0),MATCH($B$13,Juniorstwo!$A$34:$N$34,0))*H$13,"-")</f>
        <v>64</v>
      </c>
      <c r="I50" s="38">
        <f ca="1">IFERROR(INDEX(JuniorzyNegatyw[],MATCH($A50,Juniorstwo!$A$35:$A$54,0),MATCH($B$2,Juniorstwo!$A$34:$N$34,0))*I$2+INDEX(JuniorzyNegatyw[],MATCH($A50,Juniorstwo!$A$35:$A$54,0),MATCH($B$3,Juniorstwo!$A$34:$N$34,0))*I$3+INDEX(JuniorzyNegatyw[],MATCH($A50,Juniorstwo!$A$35:$A$54,0),MATCH($B$4,Juniorstwo!$A$34:$N$34,0))*I$4+INDEX(JuniorzyNegatyw[],MATCH($A50,Juniorstwo!$A$35:$A$54,0),MATCH($B$5,Juniorstwo!$A$34:$N$34,0))*I$5+INDEX(JuniorzyNegatyw[],MATCH($A50,Juniorstwo!$A$35:$A$54,0),MATCH($B$6,Juniorstwo!$A$34:$N$34,0))*I$6+INDEX(JuniorzyNegatyw[],MATCH($A50,Juniorstwo!$A$35:$A$54,0),MATCH($B$7,Juniorstwo!$A$34:$N$34,0))*I$7+INDEX(JuniorzyNegatyw[],MATCH($A50,Juniorstwo!$A$35:$A$54,0),MATCH($B$8,Juniorstwo!$A$34:$N$34,0))*I$8+INDEX(JuniorzyNegatyw[],MATCH($A50,Juniorstwo!$A$35:$A$54,0),MATCH($B$9,Juniorstwo!$A$34:$N$34,0))*I$9+INDEX(JuniorzyNegatyw[],MATCH($A50,Juniorstwo!$A$35:$A$54,0),MATCH($B$10,Juniorstwo!$A$34:$N$34,0))*I$10+INDEX(JuniorzyNegatyw[],MATCH($A50,Juniorstwo!$A$35:$A$54,0),MATCH($B$11,Juniorstwo!$A$34:$N$34,0))*I$11+INDEX(JuniorzyNegatyw[],MATCH($A50,Juniorstwo!$A$35:$A$54,0),MATCH($B$12,Juniorstwo!$A$34:$N$34,0))*I$12+INDEX(JuniorzyNegatyw[],MATCH($A50,Juniorstwo!$A$35:$A$54,0),MATCH($B$13,Juniorstwo!$A$34:$N$34,0))*I$13,"-")</f>
        <v>63</v>
      </c>
      <c r="J50" s="38">
        <f ca="1">IFERROR(INDEX(JuniorzyNegatyw[],MATCH($A50,Juniorstwo!$A$35:$A$54,0),MATCH($B$2,Juniorstwo!$A$34:$N$34,0))*J$2+INDEX(JuniorzyNegatyw[],MATCH($A50,Juniorstwo!$A$35:$A$54,0),MATCH($B$3,Juniorstwo!$A$34:$N$34,0))*J$3+INDEX(JuniorzyNegatyw[],MATCH($A50,Juniorstwo!$A$35:$A$54,0),MATCH($B$4,Juniorstwo!$A$34:$N$34,0))*J$4+INDEX(JuniorzyNegatyw[],MATCH($A50,Juniorstwo!$A$35:$A$54,0),MATCH($B$5,Juniorstwo!$A$34:$N$34,0))*J$5+INDEX(JuniorzyNegatyw[],MATCH($A50,Juniorstwo!$A$35:$A$54,0),MATCH($B$6,Juniorstwo!$A$34:$N$34,0))*J$6+INDEX(JuniorzyNegatyw[],MATCH($A50,Juniorstwo!$A$35:$A$54,0),MATCH($B$7,Juniorstwo!$A$34:$N$34,0))*J$7+INDEX(JuniorzyNegatyw[],MATCH($A50,Juniorstwo!$A$35:$A$54,0),MATCH($B$8,Juniorstwo!$A$34:$N$34,0))*J$8+INDEX(JuniorzyNegatyw[],MATCH($A50,Juniorstwo!$A$35:$A$54,0),MATCH($B$9,Juniorstwo!$A$34:$N$34,0))*J$9+INDEX(JuniorzyNegatyw[],MATCH($A50,Juniorstwo!$A$35:$A$54,0),MATCH($B$10,Juniorstwo!$A$34:$N$34,0))*J$10+INDEX(JuniorzyNegatyw[],MATCH($A50,Juniorstwo!$A$35:$A$54,0),MATCH($B$11,Juniorstwo!$A$34:$N$34,0))*J$11+INDEX(JuniorzyNegatyw[],MATCH($A50,Juniorstwo!$A$35:$A$54,0),MATCH($B$12,Juniorstwo!$A$34:$N$34,0))*J$12+INDEX(JuniorzyNegatyw[],MATCH($A50,Juniorstwo!$A$35:$A$54,0),MATCH($B$13,Juniorstwo!$A$34:$N$34,0))*J$13,"-")</f>
        <v>65</v>
      </c>
      <c r="K50" s="38">
        <f ca="1">IFERROR(INDEX(JuniorzyNegatyw[],MATCH($A50,Juniorstwo!$A$35:$A$54,0),MATCH($B$2,Juniorstwo!$A$34:$N$34,0))*K$2+INDEX(JuniorzyNegatyw[],MATCH($A50,Juniorstwo!$A$35:$A$54,0),MATCH($B$3,Juniorstwo!$A$34:$N$34,0))*K$3+INDEX(JuniorzyNegatyw[],MATCH($A50,Juniorstwo!$A$35:$A$54,0),MATCH($B$4,Juniorstwo!$A$34:$N$34,0))*K$4+INDEX(JuniorzyNegatyw[],MATCH($A50,Juniorstwo!$A$35:$A$54,0),MATCH($B$5,Juniorstwo!$A$34:$N$34,0))*K$5+INDEX(JuniorzyNegatyw[],MATCH($A50,Juniorstwo!$A$35:$A$54,0),MATCH($B$6,Juniorstwo!$A$34:$N$34,0))*K$6+INDEX(JuniorzyNegatyw[],MATCH($A50,Juniorstwo!$A$35:$A$54,0),MATCH($B$7,Juniorstwo!$A$34:$N$34,0))*K$7+INDEX(JuniorzyNegatyw[],MATCH($A50,Juniorstwo!$A$35:$A$54,0),MATCH($B$8,Juniorstwo!$A$34:$N$34,0))*K$8+INDEX(JuniorzyNegatyw[],MATCH($A50,Juniorstwo!$A$35:$A$54,0),MATCH($B$9,Juniorstwo!$A$34:$N$34,0))*K$9+INDEX(JuniorzyNegatyw[],MATCH($A50,Juniorstwo!$A$35:$A$54,0),MATCH($B$10,Juniorstwo!$A$34:$N$34,0))*K$10+INDEX(JuniorzyNegatyw[],MATCH($A50,Juniorstwo!$A$35:$A$54,0),MATCH($B$11,Juniorstwo!$A$34:$N$34,0))*K$11+INDEX(JuniorzyNegatyw[],MATCH($A50,Juniorstwo!$A$35:$A$54,0),MATCH($B$12,Juniorstwo!$A$34:$N$34,0))*K$12+INDEX(JuniorzyNegatyw[],MATCH($A50,Juniorstwo!$A$35:$A$54,0),MATCH($B$13,Juniorstwo!$A$34:$N$34,0))*K$13,"-")</f>
        <v>63</v>
      </c>
    </row>
    <row r="51" spans="1:11" x14ac:dyDescent="0.25">
      <c r="A51">
        <f>IFERROR(PozJunNŚr[[#This Row],[Numer]],"-")</f>
        <v>49</v>
      </c>
      <c r="B51" s="3" t="str">
        <f>IFERROR(VLOOKUP(PozJunNMM[[#This Row],[Numer]],Zawodnicy[[Number]:[Player name]],2,FALSE),"-")</f>
        <v>Dobromir Kolacki</v>
      </c>
      <c r="C51" s="38">
        <f ca="1">IFERROR(INDEX(JuniorzyNegatyw[],MATCH($A51,Juniorstwo!$A$35:$A$54,0),MATCH($B$2,Juniorstwo!$A$34:$N$34,0))*C$2+INDEX(JuniorzyNegatyw[],MATCH($A51,Juniorstwo!$A$35:$A$54,0),MATCH($B$3,Juniorstwo!$A$34:$N$34,0))*C$3+INDEX(JuniorzyNegatyw[],MATCH($A51,Juniorstwo!$A$35:$A$54,0),MATCH($B$4,Juniorstwo!$A$34:$N$34,0))*C$4+INDEX(JuniorzyNegatyw[],MATCH($A51,Juniorstwo!$A$35:$A$54,0),MATCH($B$5,Juniorstwo!$A$34:$N$34,0))*C$5+INDEX(JuniorzyNegatyw[],MATCH($A51,Juniorstwo!$A$35:$A$54,0),MATCH($B$6,Juniorstwo!$A$34:$N$34,0))*C$6+INDEX(JuniorzyNegatyw[],MATCH($A51,Juniorstwo!$A$35:$A$54,0),MATCH($B$7,Juniorstwo!$A$34:$N$34,0))*C$7+INDEX(JuniorzyNegatyw[],MATCH($A51,Juniorstwo!$A$35:$A$54,0),MATCH($B$8,Juniorstwo!$A$34:$N$34,0))*C$8+INDEX(JuniorzyNegatyw[],MATCH($A51,Juniorstwo!$A$35:$A$54,0),MATCH($B$9,Juniorstwo!$A$34:$N$34,0))*C$9+INDEX(JuniorzyNegatyw[],MATCH($A51,Juniorstwo!$A$35:$A$54,0),MATCH($B$10,Juniorstwo!$A$34:$N$34,0))*C$10+INDEX(JuniorzyNegatyw[],MATCH($A51,Juniorstwo!$A$35:$A$54,0),MATCH($B$11,Juniorstwo!$A$34:$N$34,0))*C$11+INDEX(JuniorzyNegatyw[],MATCH($A51,Juniorstwo!$A$35:$A$54,0),MATCH($B$12,Juniorstwo!$A$34:$N$34,0))*C$12+INDEX(JuniorzyNegatyw[],MATCH($A51,Juniorstwo!$A$35:$A$54,0),MATCH($B$13,Juniorstwo!$A$34:$N$34,0))*C$13,"-")</f>
        <v>84</v>
      </c>
      <c r="D51" s="38">
        <f ca="1">IFERROR(INDEX(JuniorzyNegatyw[],MATCH($A51,Juniorstwo!$A$35:$A$54,0),MATCH($B$2,Juniorstwo!$A$34:$N$34,0))*D$2+INDEX(JuniorzyNegatyw[],MATCH($A51,Juniorstwo!$A$35:$A$54,0),MATCH($B$3,Juniorstwo!$A$34:$N$34,0))*D$3+INDEX(JuniorzyNegatyw[],MATCH($A51,Juniorstwo!$A$35:$A$54,0),MATCH($B$4,Juniorstwo!$A$34:$N$34,0))*D$4+INDEX(JuniorzyNegatyw[],MATCH($A51,Juniorstwo!$A$35:$A$54,0),MATCH($B$5,Juniorstwo!$A$34:$N$34,0))*D$5+INDEX(JuniorzyNegatyw[],MATCH($A51,Juniorstwo!$A$35:$A$54,0),MATCH($B$6,Juniorstwo!$A$34:$N$34,0))*D$6+INDEX(JuniorzyNegatyw[],MATCH($A51,Juniorstwo!$A$35:$A$54,0),MATCH($B$7,Juniorstwo!$A$34:$N$34,0))*D$7+INDEX(JuniorzyNegatyw[],MATCH($A51,Juniorstwo!$A$35:$A$54,0),MATCH($B$8,Juniorstwo!$A$34:$N$34,0))*D$8+INDEX(JuniorzyNegatyw[],MATCH($A51,Juniorstwo!$A$35:$A$54,0),MATCH($B$9,Juniorstwo!$A$34:$N$34,0))*D$9+INDEX(JuniorzyNegatyw[],MATCH($A51,Juniorstwo!$A$35:$A$54,0),MATCH($B$10,Juniorstwo!$A$34:$N$34,0))*D$10+INDEX(JuniorzyNegatyw[],MATCH($A51,Juniorstwo!$A$35:$A$54,0),MATCH($B$11,Juniorstwo!$A$34:$N$34,0))*D$11+INDEX(JuniorzyNegatyw[],MATCH($A51,Juniorstwo!$A$35:$A$54,0),MATCH($B$12,Juniorstwo!$A$34:$N$34,0))*D$12+INDEX(JuniorzyNegatyw[],MATCH($A51,Juniorstwo!$A$35:$A$54,0),MATCH($B$13,Juniorstwo!$A$34:$N$34,0))*D$13,"-")</f>
        <v>68.5</v>
      </c>
      <c r="E51" s="38">
        <f ca="1">IFERROR(INDEX(JuniorzyNegatyw[],MATCH($A51,Juniorstwo!$A$35:$A$54,0),MATCH($B$2,Juniorstwo!$A$34:$N$34,0))*E$2+INDEX(JuniorzyNegatyw[],MATCH($A51,Juniorstwo!$A$35:$A$54,0),MATCH($B$3,Juniorstwo!$A$34:$N$34,0))*E$3+INDEX(JuniorzyNegatyw[],MATCH($A51,Juniorstwo!$A$35:$A$54,0),MATCH($B$4,Juniorstwo!$A$34:$N$34,0))*E$4+INDEX(JuniorzyNegatyw[],MATCH($A51,Juniorstwo!$A$35:$A$54,0),MATCH($B$5,Juniorstwo!$A$34:$N$34,0))*E$5+INDEX(JuniorzyNegatyw[],MATCH($A51,Juniorstwo!$A$35:$A$54,0),MATCH($B$6,Juniorstwo!$A$34:$N$34,0))*E$6+INDEX(JuniorzyNegatyw[],MATCH($A51,Juniorstwo!$A$35:$A$54,0),MATCH($B$7,Juniorstwo!$A$34:$N$34,0))*E$7+INDEX(JuniorzyNegatyw[],MATCH($A51,Juniorstwo!$A$35:$A$54,0),MATCH($B$8,Juniorstwo!$A$34:$N$34,0))*E$8+INDEX(JuniorzyNegatyw[],MATCH($A51,Juniorstwo!$A$35:$A$54,0),MATCH($B$9,Juniorstwo!$A$34:$N$34,0))*E$9+INDEX(JuniorzyNegatyw[],MATCH($A51,Juniorstwo!$A$35:$A$54,0),MATCH($B$10,Juniorstwo!$A$34:$N$34,0))*E$10+INDEX(JuniorzyNegatyw[],MATCH($A51,Juniorstwo!$A$35:$A$54,0),MATCH($B$11,Juniorstwo!$A$34:$N$34,0))*E$11+INDEX(JuniorzyNegatyw[],MATCH($A51,Juniorstwo!$A$35:$A$54,0),MATCH($B$12,Juniorstwo!$A$34:$N$34,0))*E$12+INDEX(JuniorzyNegatyw[],MATCH($A51,Juniorstwo!$A$35:$A$54,0),MATCH($B$13,Juniorstwo!$A$34:$N$34,0))*E$13,"-")</f>
        <v>65.5</v>
      </c>
      <c r="F51" s="38">
        <f ca="1">IFERROR(INDEX(JuniorzyNegatyw[],MATCH($A51,Juniorstwo!$A$35:$A$54,0),MATCH($B$2,Juniorstwo!$A$34:$N$34,0))*F$2+INDEX(JuniorzyNegatyw[],MATCH($A51,Juniorstwo!$A$35:$A$54,0),MATCH($B$3,Juniorstwo!$A$34:$N$34,0))*F$3+INDEX(JuniorzyNegatyw[],MATCH($A51,Juniorstwo!$A$35:$A$54,0),MATCH($B$4,Juniorstwo!$A$34:$N$34,0))*F$4+INDEX(JuniorzyNegatyw[],MATCH($A51,Juniorstwo!$A$35:$A$54,0),MATCH($B$5,Juniorstwo!$A$34:$N$34,0))*F$5+INDEX(JuniorzyNegatyw[],MATCH($A51,Juniorstwo!$A$35:$A$54,0),MATCH($B$6,Juniorstwo!$A$34:$N$34,0))*F$6+INDEX(JuniorzyNegatyw[],MATCH($A51,Juniorstwo!$A$35:$A$54,0),MATCH($B$7,Juniorstwo!$A$34:$N$34,0))*F$7+INDEX(JuniorzyNegatyw[],MATCH($A51,Juniorstwo!$A$35:$A$54,0),MATCH($B$8,Juniorstwo!$A$34:$N$34,0))*F$8+INDEX(JuniorzyNegatyw[],MATCH($A51,Juniorstwo!$A$35:$A$54,0),MATCH($B$9,Juniorstwo!$A$34:$N$34,0))*F$9+INDEX(JuniorzyNegatyw[],MATCH($A51,Juniorstwo!$A$35:$A$54,0),MATCH($B$10,Juniorstwo!$A$34:$N$34,0))*F$10+INDEX(JuniorzyNegatyw[],MATCH($A51,Juniorstwo!$A$35:$A$54,0),MATCH($B$11,Juniorstwo!$A$34:$N$34,0))*F$11+INDEX(JuniorzyNegatyw[],MATCH($A51,Juniorstwo!$A$35:$A$54,0),MATCH($B$12,Juniorstwo!$A$34:$N$34,0))*F$12+INDEX(JuniorzyNegatyw[],MATCH($A51,Juniorstwo!$A$35:$A$54,0),MATCH($B$13,Juniorstwo!$A$34:$N$34,0))*F$13,"-")</f>
        <v>66</v>
      </c>
      <c r="G51" s="38">
        <f ca="1">IFERROR(INDEX(JuniorzyNegatyw[],MATCH($A51,Juniorstwo!$A$35:$A$54,0),MATCH($B$2,Juniorstwo!$A$34:$N$34,0))*G$2+INDEX(JuniorzyNegatyw[],MATCH($A51,Juniorstwo!$A$35:$A$54,0),MATCH($B$3,Juniorstwo!$A$34:$N$34,0))*G$3+INDEX(JuniorzyNegatyw[],MATCH($A51,Juniorstwo!$A$35:$A$54,0),MATCH($B$4,Juniorstwo!$A$34:$N$34,0))*G$4+INDEX(JuniorzyNegatyw[],MATCH($A51,Juniorstwo!$A$35:$A$54,0),MATCH($B$5,Juniorstwo!$A$34:$N$34,0))*G$5+INDEX(JuniorzyNegatyw[],MATCH($A51,Juniorstwo!$A$35:$A$54,0),MATCH($B$6,Juniorstwo!$A$34:$N$34,0))*G$6+INDEX(JuniorzyNegatyw[],MATCH($A51,Juniorstwo!$A$35:$A$54,0),MATCH($B$7,Juniorstwo!$A$34:$N$34,0))*G$7+INDEX(JuniorzyNegatyw[],MATCH($A51,Juniorstwo!$A$35:$A$54,0),MATCH($B$8,Juniorstwo!$A$34:$N$34,0))*G$8+INDEX(JuniorzyNegatyw[],MATCH($A51,Juniorstwo!$A$35:$A$54,0),MATCH($B$9,Juniorstwo!$A$34:$N$34,0))*G$9+INDEX(JuniorzyNegatyw[],MATCH($A51,Juniorstwo!$A$35:$A$54,0),MATCH($B$10,Juniorstwo!$A$34:$N$34,0))*G$10+INDEX(JuniorzyNegatyw[],MATCH($A51,Juniorstwo!$A$35:$A$54,0),MATCH($B$11,Juniorstwo!$A$34:$N$34,0))*G$11+INDEX(JuniorzyNegatyw[],MATCH($A51,Juniorstwo!$A$35:$A$54,0),MATCH($B$12,Juniorstwo!$A$34:$N$34,0))*G$12+INDEX(JuniorzyNegatyw[],MATCH($A51,Juniorstwo!$A$35:$A$54,0),MATCH($B$13,Juniorstwo!$A$34:$N$34,0))*G$13,"-")</f>
        <v>67.5</v>
      </c>
      <c r="H51" s="38">
        <f ca="1">IFERROR(INDEX(JuniorzyNegatyw[],MATCH($A51,Juniorstwo!$A$35:$A$54,0),MATCH($B$2,Juniorstwo!$A$34:$N$34,0))*H$2+INDEX(JuniorzyNegatyw[],MATCH($A51,Juniorstwo!$A$35:$A$54,0),MATCH($B$3,Juniorstwo!$A$34:$N$34,0))*H$3+INDEX(JuniorzyNegatyw[],MATCH($A51,Juniorstwo!$A$35:$A$54,0),MATCH($B$4,Juniorstwo!$A$34:$N$34,0))*H$4+INDEX(JuniorzyNegatyw[],MATCH($A51,Juniorstwo!$A$35:$A$54,0),MATCH($B$5,Juniorstwo!$A$34:$N$34,0))*H$5+INDEX(JuniorzyNegatyw[],MATCH($A51,Juniorstwo!$A$35:$A$54,0),MATCH($B$6,Juniorstwo!$A$34:$N$34,0))*H$6+INDEX(JuniorzyNegatyw[],MATCH($A51,Juniorstwo!$A$35:$A$54,0),MATCH($B$7,Juniorstwo!$A$34:$N$34,0))*H$7+INDEX(JuniorzyNegatyw[],MATCH($A51,Juniorstwo!$A$35:$A$54,0),MATCH($B$8,Juniorstwo!$A$34:$N$34,0))*H$8+INDEX(JuniorzyNegatyw[],MATCH($A51,Juniorstwo!$A$35:$A$54,0),MATCH($B$9,Juniorstwo!$A$34:$N$34,0))*H$9+INDEX(JuniorzyNegatyw[],MATCH($A51,Juniorstwo!$A$35:$A$54,0),MATCH($B$10,Juniorstwo!$A$34:$N$34,0))*H$10+INDEX(JuniorzyNegatyw[],MATCH($A51,Juniorstwo!$A$35:$A$54,0),MATCH($B$11,Juniorstwo!$A$34:$N$34,0))*H$11+INDEX(JuniorzyNegatyw[],MATCH($A51,Juniorstwo!$A$35:$A$54,0),MATCH($B$12,Juniorstwo!$A$34:$N$34,0))*H$12+INDEX(JuniorzyNegatyw[],MATCH($A51,Juniorstwo!$A$35:$A$54,0),MATCH($B$13,Juniorstwo!$A$34:$N$34,0))*H$13,"-")</f>
        <v>65.5</v>
      </c>
      <c r="I51" s="38">
        <f ca="1">IFERROR(INDEX(JuniorzyNegatyw[],MATCH($A51,Juniorstwo!$A$35:$A$54,0),MATCH($B$2,Juniorstwo!$A$34:$N$34,0))*I$2+INDEX(JuniorzyNegatyw[],MATCH($A51,Juniorstwo!$A$35:$A$54,0),MATCH($B$3,Juniorstwo!$A$34:$N$34,0))*I$3+INDEX(JuniorzyNegatyw[],MATCH($A51,Juniorstwo!$A$35:$A$54,0),MATCH($B$4,Juniorstwo!$A$34:$N$34,0))*I$4+INDEX(JuniorzyNegatyw[],MATCH($A51,Juniorstwo!$A$35:$A$54,0),MATCH($B$5,Juniorstwo!$A$34:$N$34,0))*I$5+INDEX(JuniorzyNegatyw[],MATCH($A51,Juniorstwo!$A$35:$A$54,0),MATCH($B$6,Juniorstwo!$A$34:$N$34,0))*I$6+INDEX(JuniorzyNegatyw[],MATCH($A51,Juniorstwo!$A$35:$A$54,0),MATCH($B$7,Juniorstwo!$A$34:$N$34,0))*I$7+INDEX(JuniorzyNegatyw[],MATCH($A51,Juniorstwo!$A$35:$A$54,0),MATCH($B$8,Juniorstwo!$A$34:$N$34,0))*I$8+INDEX(JuniorzyNegatyw[],MATCH($A51,Juniorstwo!$A$35:$A$54,0),MATCH($B$9,Juniorstwo!$A$34:$N$34,0))*I$9+INDEX(JuniorzyNegatyw[],MATCH($A51,Juniorstwo!$A$35:$A$54,0),MATCH($B$10,Juniorstwo!$A$34:$N$34,0))*I$10+INDEX(JuniorzyNegatyw[],MATCH($A51,Juniorstwo!$A$35:$A$54,0),MATCH($B$11,Juniorstwo!$A$34:$N$34,0))*I$11+INDEX(JuniorzyNegatyw[],MATCH($A51,Juniorstwo!$A$35:$A$54,0),MATCH($B$12,Juniorstwo!$A$34:$N$34,0))*I$12+INDEX(JuniorzyNegatyw[],MATCH($A51,Juniorstwo!$A$35:$A$54,0),MATCH($B$13,Juniorstwo!$A$34:$N$34,0))*I$13,"-")</f>
        <v>62</v>
      </c>
      <c r="J51" s="38">
        <f ca="1">IFERROR(INDEX(JuniorzyNegatyw[],MATCH($A51,Juniorstwo!$A$35:$A$54,0),MATCH($B$2,Juniorstwo!$A$34:$N$34,0))*J$2+INDEX(JuniorzyNegatyw[],MATCH($A51,Juniorstwo!$A$35:$A$54,0),MATCH($B$3,Juniorstwo!$A$34:$N$34,0))*J$3+INDEX(JuniorzyNegatyw[],MATCH($A51,Juniorstwo!$A$35:$A$54,0),MATCH($B$4,Juniorstwo!$A$34:$N$34,0))*J$4+INDEX(JuniorzyNegatyw[],MATCH($A51,Juniorstwo!$A$35:$A$54,0),MATCH($B$5,Juniorstwo!$A$34:$N$34,0))*J$5+INDEX(JuniorzyNegatyw[],MATCH($A51,Juniorstwo!$A$35:$A$54,0),MATCH($B$6,Juniorstwo!$A$34:$N$34,0))*J$6+INDEX(JuniorzyNegatyw[],MATCH($A51,Juniorstwo!$A$35:$A$54,0),MATCH($B$7,Juniorstwo!$A$34:$N$34,0))*J$7+INDEX(JuniorzyNegatyw[],MATCH($A51,Juniorstwo!$A$35:$A$54,0),MATCH($B$8,Juniorstwo!$A$34:$N$34,0))*J$8+INDEX(JuniorzyNegatyw[],MATCH($A51,Juniorstwo!$A$35:$A$54,0),MATCH($B$9,Juniorstwo!$A$34:$N$34,0))*J$9+INDEX(JuniorzyNegatyw[],MATCH($A51,Juniorstwo!$A$35:$A$54,0),MATCH($B$10,Juniorstwo!$A$34:$N$34,0))*J$10+INDEX(JuniorzyNegatyw[],MATCH($A51,Juniorstwo!$A$35:$A$54,0),MATCH($B$11,Juniorstwo!$A$34:$N$34,0))*J$11+INDEX(JuniorzyNegatyw[],MATCH($A51,Juniorstwo!$A$35:$A$54,0),MATCH($B$12,Juniorstwo!$A$34:$N$34,0))*J$12+INDEX(JuniorzyNegatyw[],MATCH($A51,Juniorstwo!$A$35:$A$54,0),MATCH($B$13,Juniorstwo!$A$34:$N$34,0))*J$13,"-")</f>
        <v>65</v>
      </c>
      <c r="K51" s="38">
        <f ca="1">IFERROR(INDEX(JuniorzyNegatyw[],MATCH($A51,Juniorstwo!$A$35:$A$54,0),MATCH($B$2,Juniorstwo!$A$34:$N$34,0))*K$2+INDEX(JuniorzyNegatyw[],MATCH($A51,Juniorstwo!$A$35:$A$54,0),MATCH($B$3,Juniorstwo!$A$34:$N$34,0))*K$3+INDEX(JuniorzyNegatyw[],MATCH($A51,Juniorstwo!$A$35:$A$54,0),MATCH($B$4,Juniorstwo!$A$34:$N$34,0))*K$4+INDEX(JuniorzyNegatyw[],MATCH($A51,Juniorstwo!$A$35:$A$54,0),MATCH($B$5,Juniorstwo!$A$34:$N$34,0))*K$5+INDEX(JuniorzyNegatyw[],MATCH($A51,Juniorstwo!$A$35:$A$54,0),MATCH($B$6,Juniorstwo!$A$34:$N$34,0))*K$6+INDEX(JuniorzyNegatyw[],MATCH($A51,Juniorstwo!$A$35:$A$54,0),MATCH($B$7,Juniorstwo!$A$34:$N$34,0))*K$7+INDEX(JuniorzyNegatyw[],MATCH($A51,Juniorstwo!$A$35:$A$54,0),MATCH($B$8,Juniorstwo!$A$34:$N$34,0))*K$8+INDEX(JuniorzyNegatyw[],MATCH($A51,Juniorstwo!$A$35:$A$54,0),MATCH($B$9,Juniorstwo!$A$34:$N$34,0))*K$9+INDEX(JuniorzyNegatyw[],MATCH($A51,Juniorstwo!$A$35:$A$54,0),MATCH($B$10,Juniorstwo!$A$34:$N$34,0))*K$10+INDEX(JuniorzyNegatyw[],MATCH($A51,Juniorstwo!$A$35:$A$54,0),MATCH($B$11,Juniorstwo!$A$34:$N$34,0))*K$11+INDEX(JuniorzyNegatyw[],MATCH($A51,Juniorstwo!$A$35:$A$54,0),MATCH($B$12,Juniorstwo!$A$34:$N$34,0))*K$12+INDEX(JuniorzyNegatyw[],MATCH($A51,Juniorstwo!$A$35:$A$54,0),MATCH($B$13,Juniorstwo!$A$34:$N$34,0))*K$13,"-")</f>
        <v>58.5</v>
      </c>
    </row>
    <row r="52" spans="1:11" x14ac:dyDescent="0.25">
      <c r="A52">
        <f>IFERROR(PozJunNŚr[[#This Row],[Numer]],"-")</f>
        <v>50</v>
      </c>
      <c r="B52" s="3" t="str">
        <f>IFERROR(VLOOKUP(PozJunNMM[[#This Row],[Numer]],Zawodnicy[[Number]:[Player name]],2,FALSE),"-")</f>
        <v>Ludomil Robak</v>
      </c>
      <c r="C52" s="38">
        <f ca="1">IFERROR(INDEX(JuniorzyNegatyw[],MATCH($A52,Juniorstwo!$A$35:$A$54,0),MATCH($B$2,Juniorstwo!$A$34:$N$34,0))*C$2+INDEX(JuniorzyNegatyw[],MATCH($A52,Juniorstwo!$A$35:$A$54,0),MATCH($B$3,Juniorstwo!$A$34:$N$34,0))*C$3+INDEX(JuniorzyNegatyw[],MATCH($A52,Juniorstwo!$A$35:$A$54,0),MATCH($B$4,Juniorstwo!$A$34:$N$34,0))*C$4+INDEX(JuniorzyNegatyw[],MATCH($A52,Juniorstwo!$A$35:$A$54,0),MATCH($B$5,Juniorstwo!$A$34:$N$34,0))*C$5+INDEX(JuniorzyNegatyw[],MATCH($A52,Juniorstwo!$A$35:$A$54,0),MATCH($B$6,Juniorstwo!$A$34:$N$34,0))*C$6+INDEX(JuniorzyNegatyw[],MATCH($A52,Juniorstwo!$A$35:$A$54,0),MATCH($B$7,Juniorstwo!$A$34:$N$34,0))*C$7+INDEX(JuniorzyNegatyw[],MATCH($A52,Juniorstwo!$A$35:$A$54,0),MATCH($B$8,Juniorstwo!$A$34:$N$34,0))*C$8+INDEX(JuniorzyNegatyw[],MATCH($A52,Juniorstwo!$A$35:$A$54,0),MATCH($B$9,Juniorstwo!$A$34:$N$34,0))*C$9+INDEX(JuniorzyNegatyw[],MATCH($A52,Juniorstwo!$A$35:$A$54,0),MATCH($B$10,Juniorstwo!$A$34:$N$34,0))*C$10+INDEX(JuniorzyNegatyw[],MATCH($A52,Juniorstwo!$A$35:$A$54,0),MATCH($B$11,Juniorstwo!$A$34:$N$34,0))*C$11+INDEX(JuniorzyNegatyw[],MATCH($A52,Juniorstwo!$A$35:$A$54,0),MATCH($B$12,Juniorstwo!$A$34:$N$34,0))*C$12+INDEX(JuniorzyNegatyw[],MATCH($A52,Juniorstwo!$A$35:$A$54,0),MATCH($B$13,Juniorstwo!$A$34:$N$34,0))*C$13,"-")</f>
        <v>61</v>
      </c>
      <c r="D52" s="38">
        <f ca="1">IFERROR(INDEX(JuniorzyNegatyw[],MATCH($A52,Juniorstwo!$A$35:$A$54,0),MATCH($B$2,Juniorstwo!$A$34:$N$34,0))*D$2+INDEX(JuniorzyNegatyw[],MATCH($A52,Juniorstwo!$A$35:$A$54,0),MATCH($B$3,Juniorstwo!$A$34:$N$34,0))*D$3+INDEX(JuniorzyNegatyw[],MATCH($A52,Juniorstwo!$A$35:$A$54,0),MATCH($B$4,Juniorstwo!$A$34:$N$34,0))*D$4+INDEX(JuniorzyNegatyw[],MATCH($A52,Juniorstwo!$A$35:$A$54,0),MATCH($B$5,Juniorstwo!$A$34:$N$34,0))*D$5+INDEX(JuniorzyNegatyw[],MATCH($A52,Juniorstwo!$A$35:$A$54,0),MATCH($B$6,Juniorstwo!$A$34:$N$34,0))*D$6+INDEX(JuniorzyNegatyw[],MATCH($A52,Juniorstwo!$A$35:$A$54,0),MATCH($B$7,Juniorstwo!$A$34:$N$34,0))*D$7+INDEX(JuniorzyNegatyw[],MATCH($A52,Juniorstwo!$A$35:$A$54,0),MATCH($B$8,Juniorstwo!$A$34:$N$34,0))*D$8+INDEX(JuniorzyNegatyw[],MATCH($A52,Juniorstwo!$A$35:$A$54,0),MATCH($B$9,Juniorstwo!$A$34:$N$34,0))*D$9+INDEX(JuniorzyNegatyw[],MATCH($A52,Juniorstwo!$A$35:$A$54,0),MATCH($B$10,Juniorstwo!$A$34:$N$34,0))*D$10+INDEX(JuniorzyNegatyw[],MATCH($A52,Juniorstwo!$A$35:$A$54,0),MATCH($B$11,Juniorstwo!$A$34:$N$34,0))*D$11+INDEX(JuniorzyNegatyw[],MATCH($A52,Juniorstwo!$A$35:$A$54,0),MATCH($B$12,Juniorstwo!$A$34:$N$34,0))*D$12+INDEX(JuniorzyNegatyw[],MATCH($A52,Juniorstwo!$A$35:$A$54,0),MATCH($B$13,Juniorstwo!$A$34:$N$34,0))*D$13,"-")</f>
        <v>71.5</v>
      </c>
      <c r="E52" s="38">
        <f ca="1">IFERROR(INDEX(JuniorzyNegatyw[],MATCH($A52,Juniorstwo!$A$35:$A$54,0),MATCH($B$2,Juniorstwo!$A$34:$N$34,0))*E$2+INDEX(JuniorzyNegatyw[],MATCH($A52,Juniorstwo!$A$35:$A$54,0),MATCH($B$3,Juniorstwo!$A$34:$N$34,0))*E$3+INDEX(JuniorzyNegatyw[],MATCH($A52,Juniorstwo!$A$35:$A$54,0),MATCH($B$4,Juniorstwo!$A$34:$N$34,0))*E$4+INDEX(JuniorzyNegatyw[],MATCH($A52,Juniorstwo!$A$35:$A$54,0),MATCH($B$5,Juniorstwo!$A$34:$N$34,0))*E$5+INDEX(JuniorzyNegatyw[],MATCH($A52,Juniorstwo!$A$35:$A$54,0),MATCH($B$6,Juniorstwo!$A$34:$N$34,0))*E$6+INDEX(JuniorzyNegatyw[],MATCH($A52,Juniorstwo!$A$35:$A$54,0),MATCH($B$7,Juniorstwo!$A$34:$N$34,0))*E$7+INDEX(JuniorzyNegatyw[],MATCH($A52,Juniorstwo!$A$35:$A$54,0),MATCH($B$8,Juniorstwo!$A$34:$N$34,0))*E$8+INDEX(JuniorzyNegatyw[],MATCH($A52,Juniorstwo!$A$35:$A$54,0),MATCH($B$9,Juniorstwo!$A$34:$N$34,0))*E$9+INDEX(JuniorzyNegatyw[],MATCH($A52,Juniorstwo!$A$35:$A$54,0),MATCH($B$10,Juniorstwo!$A$34:$N$34,0))*E$10+INDEX(JuniorzyNegatyw[],MATCH($A52,Juniorstwo!$A$35:$A$54,0),MATCH($B$11,Juniorstwo!$A$34:$N$34,0))*E$11+INDEX(JuniorzyNegatyw[],MATCH($A52,Juniorstwo!$A$35:$A$54,0),MATCH($B$12,Juniorstwo!$A$34:$N$34,0))*E$12+INDEX(JuniorzyNegatyw[],MATCH($A52,Juniorstwo!$A$35:$A$54,0),MATCH($B$13,Juniorstwo!$A$34:$N$34,0))*E$13,"-")</f>
        <v>71.5</v>
      </c>
      <c r="F52" s="38">
        <f ca="1">IFERROR(INDEX(JuniorzyNegatyw[],MATCH($A52,Juniorstwo!$A$35:$A$54,0),MATCH($B$2,Juniorstwo!$A$34:$N$34,0))*F$2+INDEX(JuniorzyNegatyw[],MATCH($A52,Juniorstwo!$A$35:$A$54,0),MATCH($B$3,Juniorstwo!$A$34:$N$34,0))*F$3+INDEX(JuniorzyNegatyw[],MATCH($A52,Juniorstwo!$A$35:$A$54,0),MATCH($B$4,Juniorstwo!$A$34:$N$34,0))*F$4+INDEX(JuniorzyNegatyw[],MATCH($A52,Juniorstwo!$A$35:$A$54,0),MATCH($B$5,Juniorstwo!$A$34:$N$34,0))*F$5+INDEX(JuniorzyNegatyw[],MATCH($A52,Juniorstwo!$A$35:$A$54,0),MATCH($B$6,Juniorstwo!$A$34:$N$34,0))*F$6+INDEX(JuniorzyNegatyw[],MATCH($A52,Juniorstwo!$A$35:$A$54,0),MATCH($B$7,Juniorstwo!$A$34:$N$34,0))*F$7+INDEX(JuniorzyNegatyw[],MATCH($A52,Juniorstwo!$A$35:$A$54,0),MATCH($B$8,Juniorstwo!$A$34:$N$34,0))*F$8+INDEX(JuniorzyNegatyw[],MATCH($A52,Juniorstwo!$A$35:$A$54,0),MATCH($B$9,Juniorstwo!$A$34:$N$34,0))*F$9+INDEX(JuniorzyNegatyw[],MATCH($A52,Juniorstwo!$A$35:$A$54,0),MATCH($B$10,Juniorstwo!$A$34:$N$34,0))*F$10+INDEX(JuniorzyNegatyw[],MATCH($A52,Juniorstwo!$A$35:$A$54,0),MATCH($B$11,Juniorstwo!$A$34:$N$34,0))*F$11+INDEX(JuniorzyNegatyw[],MATCH($A52,Juniorstwo!$A$35:$A$54,0),MATCH($B$12,Juniorstwo!$A$34:$N$34,0))*F$12+INDEX(JuniorzyNegatyw[],MATCH($A52,Juniorstwo!$A$35:$A$54,0),MATCH($B$13,Juniorstwo!$A$34:$N$34,0))*F$13,"-")</f>
        <v>73</v>
      </c>
      <c r="G52" s="38">
        <f ca="1">IFERROR(INDEX(JuniorzyNegatyw[],MATCH($A52,Juniorstwo!$A$35:$A$54,0),MATCH($B$2,Juniorstwo!$A$34:$N$34,0))*G$2+INDEX(JuniorzyNegatyw[],MATCH($A52,Juniorstwo!$A$35:$A$54,0),MATCH($B$3,Juniorstwo!$A$34:$N$34,0))*G$3+INDEX(JuniorzyNegatyw[],MATCH($A52,Juniorstwo!$A$35:$A$54,0),MATCH($B$4,Juniorstwo!$A$34:$N$34,0))*G$4+INDEX(JuniorzyNegatyw[],MATCH($A52,Juniorstwo!$A$35:$A$54,0),MATCH($B$5,Juniorstwo!$A$34:$N$34,0))*G$5+INDEX(JuniorzyNegatyw[],MATCH($A52,Juniorstwo!$A$35:$A$54,0),MATCH($B$6,Juniorstwo!$A$34:$N$34,0))*G$6+INDEX(JuniorzyNegatyw[],MATCH($A52,Juniorstwo!$A$35:$A$54,0),MATCH($B$7,Juniorstwo!$A$34:$N$34,0))*G$7+INDEX(JuniorzyNegatyw[],MATCH($A52,Juniorstwo!$A$35:$A$54,0),MATCH($B$8,Juniorstwo!$A$34:$N$34,0))*G$8+INDEX(JuniorzyNegatyw[],MATCH($A52,Juniorstwo!$A$35:$A$54,0),MATCH($B$9,Juniorstwo!$A$34:$N$34,0))*G$9+INDEX(JuniorzyNegatyw[],MATCH($A52,Juniorstwo!$A$35:$A$54,0),MATCH($B$10,Juniorstwo!$A$34:$N$34,0))*G$10+INDEX(JuniorzyNegatyw[],MATCH($A52,Juniorstwo!$A$35:$A$54,0),MATCH($B$11,Juniorstwo!$A$34:$N$34,0))*G$11+INDEX(JuniorzyNegatyw[],MATCH($A52,Juniorstwo!$A$35:$A$54,0),MATCH($B$12,Juniorstwo!$A$34:$N$34,0))*G$12+INDEX(JuniorzyNegatyw[],MATCH($A52,Juniorstwo!$A$35:$A$54,0),MATCH($B$13,Juniorstwo!$A$34:$N$34,0))*G$13,"-")</f>
        <v>73</v>
      </c>
      <c r="H52" s="38">
        <f ca="1">IFERROR(INDEX(JuniorzyNegatyw[],MATCH($A52,Juniorstwo!$A$35:$A$54,0),MATCH($B$2,Juniorstwo!$A$34:$N$34,0))*H$2+INDEX(JuniorzyNegatyw[],MATCH($A52,Juniorstwo!$A$35:$A$54,0),MATCH($B$3,Juniorstwo!$A$34:$N$34,0))*H$3+INDEX(JuniorzyNegatyw[],MATCH($A52,Juniorstwo!$A$35:$A$54,0),MATCH($B$4,Juniorstwo!$A$34:$N$34,0))*H$4+INDEX(JuniorzyNegatyw[],MATCH($A52,Juniorstwo!$A$35:$A$54,0),MATCH($B$5,Juniorstwo!$A$34:$N$34,0))*H$5+INDEX(JuniorzyNegatyw[],MATCH($A52,Juniorstwo!$A$35:$A$54,0),MATCH($B$6,Juniorstwo!$A$34:$N$34,0))*H$6+INDEX(JuniorzyNegatyw[],MATCH($A52,Juniorstwo!$A$35:$A$54,0),MATCH($B$7,Juniorstwo!$A$34:$N$34,0))*H$7+INDEX(JuniorzyNegatyw[],MATCH($A52,Juniorstwo!$A$35:$A$54,0),MATCH($B$8,Juniorstwo!$A$34:$N$34,0))*H$8+INDEX(JuniorzyNegatyw[],MATCH($A52,Juniorstwo!$A$35:$A$54,0),MATCH($B$9,Juniorstwo!$A$34:$N$34,0))*H$9+INDEX(JuniorzyNegatyw[],MATCH($A52,Juniorstwo!$A$35:$A$54,0),MATCH($B$10,Juniorstwo!$A$34:$N$34,0))*H$10+INDEX(JuniorzyNegatyw[],MATCH($A52,Juniorstwo!$A$35:$A$54,0),MATCH($B$11,Juniorstwo!$A$34:$N$34,0))*H$11+INDEX(JuniorzyNegatyw[],MATCH($A52,Juniorstwo!$A$35:$A$54,0),MATCH($B$12,Juniorstwo!$A$34:$N$34,0))*H$12+INDEX(JuniorzyNegatyw[],MATCH($A52,Juniorstwo!$A$35:$A$54,0),MATCH($B$13,Juniorstwo!$A$34:$N$34,0))*H$13,"-")</f>
        <v>72.5</v>
      </c>
      <c r="I52" s="38">
        <f ca="1">IFERROR(INDEX(JuniorzyNegatyw[],MATCH($A52,Juniorstwo!$A$35:$A$54,0),MATCH($B$2,Juniorstwo!$A$34:$N$34,0))*I$2+INDEX(JuniorzyNegatyw[],MATCH($A52,Juniorstwo!$A$35:$A$54,0),MATCH($B$3,Juniorstwo!$A$34:$N$34,0))*I$3+INDEX(JuniorzyNegatyw[],MATCH($A52,Juniorstwo!$A$35:$A$54,0),MATCH($B$4,Juniorstwo!$A$34:$N$34,0))*I$4+INDEX(JuniorzyNegatyw[],MATCH($A52,Juniorstwo!$A$35:$A$54,0),MATCH($B$5,Juniorstwo!$A$34:$N$34,0))*I$5+INDEX(JuniorzyNegatyw[],MATCH($A52,Juniorstwo!$A$35:$A$54,0),MATCH($B$6,Juniorstwo!$A$34:$N$34,0))*I$6+INDEX(JuniorzyNegatyw[],MATCH($A52,Juniorstwo!$A$35:$A$54,0),MATCH($B$7,Juniorstwo!$A$34:$N$34,0))*I$7+INDEX(JuniorzyNegatyw[],MATCH($A52,Juniorstwo!$A$35:$A$54,0),MATCH($B$8,Juniorstwo!$A$34:$N$34,0))*I$8+INDEX(JuniorzyNegatyw[],MATCH($A52,Juniorstwo!$A$35:$A$54,0),MATCH($B$9,Juniorstwo!$A$34:$N$34,0))*I$9+INDEX(JuniorzyNegatyw[],MATCH($A52,Juniorstwo!$A$35:$A$54,0),MATCH($B$10,Juniorstwo!$A$34:$N$34,0))*I$10+INDEX(JuniorzyNegatyw[],MATCH($A52,Juniorstwo!$A$35:$A$54,0),MATCH($B$11,Juniorstwo!$A$34:$N$34,0))*I$11+INDEX(JuniorzyNegatyw[],MATCH($A52,Juniorstwo!$A$35:$A$54,0),MATCH($B$12,Juniorstwo!$A$34:$N$34,0))*I$12+INDEX(JuniorzyNegatyw[],MATCH($A52,Juniorstwo!$A$35:$A$54,0),MATCH($B$13,Juniorstwo!$A$34:$N$34,0))*I$13,"-")</f>
        <v>73</v>
      </c>
      <c r="J52" s="38">
        <f ca="1">IFERROR(INDEX(JuniorzyNegatyw[],MATCH($A52,Juniorstwo!$A$35:$A$54,0),MATCH($B$2,Juniorstwo!$A$34:$N$34,0))*J$2+INDEX(JuniorzyNegatyw[],MATCH($A52,Juniorstwo!$A$35:$A$54,0),MATCH($B$3,Juniorstwo!$A$34:$N$34,0))*J$3+INDEX(JuniorzyNegatyw[],MATCH($A52,Juniorstwo!$A$35:$A$54,0),MATCH($B$4,Juniorstwo!$A$34:$N$34,0))*J$4+INDEX(JuniorzyNegatyw[],MATCH($A52,Juniorstwo!$A$35:$A$54,0),MATCH($B$5,Juniorstwo!$A$34:$N$34,0))*J$5+INDEX(JuniorzyNegatyw[],MATCH($A52,Juniorstwo!$A$35:$A$54,0),MATCH($B$6,Juniorstwo!$A$34:$N$34,0))*J$6+INDEX(JuniorzyNegatyw[],MATCH($A52,Juniorstwo!$A$35:$A$54,0),MATCH($B$7,Juniorstwo!$A$34:$N$34,0))*J$7+INDEX(JuniorzyNegatyw[],MATCH($A52,Juniorstwo!$A$35:$A$54,0),MATCH($B$8,Juniorstwo!$A$34:$N$34,0))*J$8+INDEX(JuniorzyNegatyw[],MATCH($A52,Juniorstwo!$A$35:$A$54,0),MATCH($B$9,Juniorstwo!$A$34:$N$34,0))*J$9+INDEX(JuniorzyNegatyw[],MATCH($A52,Juniorstwo!$A$35:$A$54,0),MATCH($B$10,Juniorstwo!$A$34:$N$34,0))*J$10+INDEX(JuniorzyNegatyw[],MATCH($A52,Juniorstwo!$A$35:$A$54,0),MATCH($B$11,Juniorstwo!$A$34:$N$34,0))*J$11+INDEX(JuniorzyNegatyw[],MATCH($A52,Juniorstwo!$A$35:$A$54,0),MATCH($B$12,Juniorstwo!$A$34:$N$34,0))*J$12+INDEX(JuniorzyNegatyw[],MATCH($A52,Juniorstwo!$A$35:$A$54,0),MATCH($B$13,Juniorstwo!$A$34:$N$34,0))*J$13,"-")</f>
        <v>72</v>
      </c>
      <c r="K52" s="38">
        <f ca="1">IFERROR(INDEX(JuniorzyNegatyw[],MATCH($A52,Juniorstwo!$A$35:$A$54,0),MATCH($B$2,Juniorstwo!$A$34:$N$34,0))*K$2+INDEX(JuniorzyNegatyw[],MATCH($A52,Juniorstwo!$A$35:$A$54,0),MATCH($B$3,Juniorstwo!$A$34:$N$34,0))*K$3+INDEX(JuniorzyNegatyw[],MATCH($A52,Juniorstwo!$A$35:$A$54,0),MATCH($B$4,Juniorstwo!$A$34:$N$34,0))*K$4+INDEX(JuniorzyNegatyw[],MATCH($A52,Juniorstwo!$A$35:$A$54,0),MATCH($B$5,Juniorstwo!$A$34:$N$34,0))*K$5+INDEX(JuniorzyNegatyw[],MATCH($A52,Juniorstwo!$A$35:$A$54,0),MATCH($B$6,Juniorstwo!$A$34:$N$34,0))*K$6+INDEX(JuniorzyNegatyw[],MATCH($A52,Juniorstwo!$A$35:$A$54,0),MATCH($B$7,Juniorstwo!$A$34:$N$34,0))*K$7+INDEX(JuniorzyNegatyw[],MATCH($A52,Juniorstwo!$A$35:$A$54,0),MATCH($B$8,Juniorstwo!$A$34:$N$34,0))*K$8+INDEX(JuniorzyNegatyw[],MATCH($A52,Juniorstwo!$A$35:$A$54,0),MATCH($B$9,Juniorstwo!$A$34:$N$34,0))*K$9+INDEX(JuniorzyNegatyw[],MATCH($A52,Juniorstwo!$A$35:$A$54,0),MATCH($B$10,Juniorstwo!$A$34:$N$34,0))*K$10+INDEX(JuniorzyNegatyw[],MATCH($A52,Juniorstwo!$A$35:$A$54,0),MATCH($B$11,Juniorstwo!$A$34:$N$34,0))*K$11+INDEX(JuniorzyNegatyw[],MATCH($A52,Juniorstwo!$A$35:$A$54,0),MATCH($B$12,Juniorstwo!$A$34:$N$34,0))*K$12+INDEX(JuniorzyNegatyw[],MATCH($A52,Juniorstwo!$A$35:$A$54,0),MATCH($B$13,Juniorstwo!$A$34:$N$34,0))*K$13,"-")</f>
        <v>72</v>
      </c>
    </row>
    <row r="53" spans="1:11" x14ac:dyDescent="0.25">
      <c r="A53">
        <f>IFERROR(PozJunNŚr[[#This Row],[Numer]],"-")</f>
        <v>51</v>
      </c>
      <c r="B53" s="3" t="str">
        <f>IFERROR(VLOOKUP(PozJunNMM[[#This Row],[Numer]],Zawodnicy[[Number]:[Player name]],2,FALSE),"-")</f>
        <v>Radoslaw Cichowski</v>
      </c>
      <c r="C53" s="38">
        <f ca="1">IFERROR(INDEX(JuniorzyNegatyw[],MATCH($A53,Juniorstwo!$A$35:$A$54,0),MATCH($B$2,Juniorstwo!$A$34:$N$34,0))*C$2+INDEX(JuniorzyNegatyw[],MATCH($A53,Juniorstwo!$A$35:$A$54,0),MATCH($B$3,Juniorstwo!$A$34:$N$34,0))*C$3+INDEX(JuniorzyNegatyw[],MATCH($A53,Juniorstwo!$A$35:$A$54,0),MATCH($B$4,Juniorstwo!$A$34:$N$34,0))*C$4+INDEX(JuniorzyNegatyw[],MATCH($A53,Juniorstwo!$A$35:$A$54,0),MATCH($B$5,Juniorstwo!$A$34:$N$34,0))*C$5+INDEX(JuniorzyNegatyw[],MATCH($A53,Juniorstwo!$A$35:$A$54,0),MATCH($B$6,Juniorstwo!$A$34:$N$34,0))*C$6+INDEX(JuniorzyNegatyw[],MATCH($A53,Juniorstwo!$A$35:$A$54,0),MATCH($B$7,Juniorstwo!$A$34:$N$34,0))*C$7+INDEX(JuniorzyNegatyw[],MATCH($A53,Juniorstwo!$A$35:$A$54,0),MATCH($B$8,Juniorstwo!$A$34:$N$34,0))*C$8+INDEX(JuniorzyNegatyw[],MATCH($A53,Juniorstwo!$A$35:$A$54,0),MATCH($B$9,Juniorstwo!$A$34:$N$34,0))*C$9+INDEX(JuniorzyNegatyw[],MATCH($A53,Juniorstwo!$A$35:$A$54,0),MATCH($B$10,Juniorstwo!$A$34:$N$34,0))*C$10+INDEX(JuniorzyNegatyw[],MATCH($A53,Juniorstwo!$A$35:$A$54,0),MATCH($B$11,Juniorstwo!$A$34:$N$34,0))*C$11+INDEX(JuniorzyNegatyw[],MATCH($A53,Juniorstwo!$A$35:$A$54,0),MATCH($B$12,Juniorstwo!$A$34:$N$34,0))*C$12+INDEX(JuniorzyNegatyw[],MATCH($A53,Juniorstwo!$A$35:$A$54,0),MATCH($B$13,Juniorstwo!$A$34:$N$34,0))*C$13,"-")</f>
        <v>62</v>
      </c>
      <c r="D53" s="38">
        <f ca="1">IFERROR(INDEX(JuniorzyNegatyw[],MATCH($A53,Juniorstwo!$A$35:$A$54,0),MATCH($B$2,Juniorstwo!$A$34:$N$34,0))*D$2+INDEX(JuniorzyNegatyw[],MATCH($A53,Juniorstwo!$A$35:$A$54,0),MATCH($B$3,Juniorstwo!$A$34:$N$34,0))*D$3+INDEX(JuniorzyNegatyw[],MATCH($A53,Juniorstwo!$A$35:$A$54,0),MATCH($B$4,Juniorstwo!$A$34:$N$34,0))*D$4+INDEX(JuniorzyNegatyw[],MATCH($A53,Juniorstwo!$A$35:$A$54,0),MATCH($B$5,Juniorstwo!$A$34:$N$34,0))*D$5+INDEX(JuniorzyNegatyw[],MATCH($A53,Juniorstwo!$A$35:$A$54,0),MATCH($B$6,Juniorstwo!$A$34:$N$34,0))*D$6+INDEX(JuniorzyNegatyw[],MATCH($A53,Juniorstwo!$A$35:$A$54,0),MATCH($B$7,Juniorstwo!$A$34:$N$34,0))*D$7+INDEX(JuniorzyNegatyw[],MATCH($A53,Juniorstwo!$A$35:$A$54,0),MATCH($B$8,Juniorstwo!$A$34:$N$34,0))*D$8+INDEX(JuniorzyNegatyw[],MATCH($A53,Juniorstwo!$A$35:$A$54,0),MATCH($B$9,Juniorstwo!$A$34:$N$34,0))*D$9+INDEX(JuniorzyNegatyw[],MATCH($A53,Juniorstwo!$A$35:$A$54,0),MATCH($B$10,Juniorstwo!$A$34:$N$34,0))*D$10+INDEX(JuniorzyNegatyw[],MATCH($A53,Juniorstwo!$A$35:$A$54,0),MATCH($B$11,Juniorstwo!$A$34:$N$34,0))*D$11+INDEX(JuniorzyNegatyw[],MATCH($A53,Juniorstwo!$A$35:$A$54,0),MATCH($B$12,Juniorstwo!$A$34:$N$34,0))*D$12+INDEX(JuniorzyNegatyw[],MATCH($A53,Juniorstwo!$A$35:$A$54,0),MATCH($B$13,Juniorstwo!$A$34:$N$34,0))*D$13,"-")</f>
        <v>77</v>
      </c>
      <c r="E53" s="38">
        <f ca="1">IFERROR(INDEX(JuniorzyNegatyw[],MATCH($A53,Juniorstwo!$A$35:$A$54,0),MATCH($B$2,Juniorstwo!$A$34:$N$34,0))*E$2+INDEX(JuniorzyNegatyw[],MATCH($A53,Juniorstwo!$A$35:$A$54,0),MATCH($B$3,Juniorstwo!$A$34:$N$34,0))*E$3+INDEX(JuniorzyNegatyw[],MATCH($A53,Juniorstwo!$A$35:$A$54,0),MATCH($B$4,Juniorstwo!$A$34:$N$34,0))*E$4+INDEX(JuniorzyNegatyw[],MATCH($A53,Juniorstwo!$A$35:$A$54,0),MATCH($B$5,Juniorstwo!$A$34:$N$34,0))*E$5+INDEX(JuniorzyNegatyw[],MATCH($A53,Juniorstwo!$A$35:$A$54,0),MATCH($B$6,Juniorstwo!$A$34:$N$34,0))*E$6+INDEX(JuniorzyNegatyw[],MATCH($A53,Juniorstwo!$A$35:$A$54,0),MATCH($B$7,Juniorstwo!$A$34:$N$34,0))*E$7+INDEX(JuniorzyNegatyw[],MATCH($A53,Juniorstwo!$A$35:$A$54,0),MATCH($B$8,Juniorstwo!$A$34:$N$34,0))*E$8+INDEX(JuniorzyNegatyw[],MATCH($A53,Juniorstwo!$A$35:$A$54,0),MATCH($B$9,Juniorstwo!$A$34:$N$34,0))*E$9+INDEX(JuniorzyNegatyw[],MATCH($A53,Juniorstwo!$A$35:$A$54,0),MATCH($B$10,Juniorstwo!$A$34:$N$34,0))*E$10+INDEX(JuniorzyNegatyw[],MATCH($A53,Juniorstwo!$A$35:$A$54,0),MATCH($B$11,Juniorstwo!$A$34:$N$34,0))*E$11+INDEX(JuniorzyNegatyw[],MATCH($A53,Juniorstwo!$A$35:$A$54,0),MATCH($B$12,Juniorstwo!$A$34:$N$34,0))*E$12+INDEX(JuniorzyNegatyw[],MATCH($A53,Juniorstwo!$A$35:$A$54,0),MATCH($B$13,Juniorstwo!$A$34:$N$34,0))*E$13,"-")</f>
        <v>76</v>
      </c>
      <c r="F53" s="38">
        <f ca="1">IFERROR(INDEX(JuniorzyNegatyw[],MATCH($A53,Juniorstwo!$A$35:$A$54,0),MATCH($B$2,Juniorstwo!$A$34:$N$34,0))*F$2+INDEX(JuniorzyNegatyw[],MATCH($A53,Juniorstwo!$A$35:$A$54,0),MATCH($B$3,Juniorstwo!$A$34:$N$34,0))*F$3+INDEX(JuniorzyNegatyw[],MATCH($A53,Juniorstwo!$A$35:$A$54,0),MATCH($B$4,Juniorstwo!$A$34:$N$34,0))*F$4+INDEX(JuniorzyNegatyw[],MATCH($A53,Juniorstwo!$A$35:$A$54,0),MATCH($B$5,Juniorstwo!$A$34:$N$34,0))*F$5+INDEX(JuniorzyNegatyw[],MATCH($A53,Juniorstwo!$A$35:$A$54,0),MATCH($B$6,Juniorstwo!$A$34:$N$34,0))*F$6+INDEX(JuniorzyNegatyw[],MATCH($A53,Juniorstwo!$A$35:$A$54,0),MATCH($B$7,Juniorstwo!$A$34:$N$34,0))*F$7+INDEX(JuniorzyNegatyw[],MATCH($A53,Juniorstwo!$A$35:$A$54,0),MATCH($B$8,Juniorstwo!$A$34:$N$34,0))*F$8+INDEX(JuniorzyNegatyw[],MATCH($A53,Juniorstwo!$A$35:$A$54,0),MATCH($B$9,Juniorstwo!$A$34:$N$34,0))*F$9+INDEX(JuniorzyNegatyw[],MATCH($A53,Juniorstwo!$A$35:$A$54,0),MATCH($B$10,Juniorstwo!$A$34:$N$34,0))*F$10+INDEX(JuniorzyNegatyw[],MATCH($A53,Juniorstwo!$A$35:$A$54,0),MATCH($B$11,Juniorstwo!$A$34:$N$34,0))*F$11+INDEX(JuniorzyNegatyw[],MATCH($A53,Juniorstwo!$A$35:$A$54,0),MATCH($B$12,Juniorstwo!$A$34:$N$34,0))*F$12+INDEX(JuniorzyNegatyw[],MATCH($A53,Juniorstwo!$A$35:$A$54,0),MATCH($B$13,Juniorstwo!$A$34:$N$34,0))*F$13,"-")</f>
        <v>75</v>
      </c>
      <c r="G53" s="38">
        <f ca="1">IFERROR(INDEX(JuniorzyNegatyw[],MATCH($A53,Juniorstwo!$A$35:$A$54,0),MATCH($B$2,Juniorstwo!$A$34:$N$34,0))*G$2+INDEX(JuniorzyNegatyw[],MATCH($A53,Juniorstwo!$A$35:$A$54,0),MATCH($B$3,Juniorstwo!$A$34:$N$34,0))*G$3+INDEX(JuniorzyNegatyw[],MATCH($A53,Juniorstwo!$A$35:$A$54,0),MATCH($B$4,Juniorstwo!$A$34:$N$34,0))*G$4+INDEX(JuniorzyNegatyw[],MATCH($A53,Juniorstwo!$A$35:$A$54,0),MATCH($B$5,Juniorstwo!$A$34:$N$34,0))*G$5+INDEX(JuniorzyNegatyw[],MATCH($A53,Juniorstwo!$A$35:$A$54,0),MATCH($B$6,Juniorstwo!$A$34:$N$34,0))*G$6+INDEX(JuniorzyNegatyw[],MATCH($A53,Juniorstwo!$A$35:$A$54,0),MATCH($B$7,Juniorstwo!$A$34:$N$34,0))*G$7+INDEX(JuniorzyNegatyw[],MATCH($A53,Juniorstwo!$A$35:$A$54,0),MATCH($B$8,Juniorstwo!$A$34:$N$34,0))*G$8+INDEX(JuniorzyNegatyw[],MATCH($A53,Juniorstwo!$A$35:$A$54,0),MATCH($B$9,Juniorstwo!$A$34:$N$34,0))*G$9+INDEX(JuniorzyNegatyw[],MATCH($A53,Juniorstwo!$A$35:$A$54,0),MATCH($B$10,Juniorstwo!$A$34:$N$34,0))*G$10+INDEX(JuniorzyNegatyw[],MATCH($A53,Juniorstwo!$A$35:$A$54,0),MATCH($B$11,Juniorstwo!$A$34:$N$34,0))*G$11+INDEX(JuniorzyNegatyw[],MATCH($A53,Juniorstwo!$A$35:$A$54,0),MATCH($B$12,Juniorstwo!$A$34:$N$34,0))*G$12+INDEX(JuniorzyNegatyw[],MATCH($A53,Juniorstwo!$A$35:$A$54,0),MATCH($B$13,Juniorstwo!$A$34:$N$34,0))*G$13,"-")</f>
        <v>74.5</v>
      </c>
      <c r="H53" s="38">
        <f ca="1">IFERROR(INDEX(JuniorzyNegatyw[],MATCH($A53,Juniorstwo!$A$35:$A$54,0),MATCH($B$2,Juniorstwo!$A$34:$N$34,0))*H$2+INDEX(JuniorzyNegatyw[],MATCH($A53,Juniorstwo!$A$35:$A$54,0),MATCH($B$3,Juniorstwo!$A$34:$N$34,0))*H$3+INDEX(JuniorzyNegatyw[],MATCH($A53,Juniorstwo!$A$35:$A$54,0),MATCH($B$4,Juniorstwo!$A$34:$N$34,0))*H$4+INDEX(JuniorzyNegatyw[],MATCH($A53,Juniorstwo!$A$35:$A$54,0),MATCH($B$5,Juniorstwo!$A$34:$N$34,0))*H$5+INDEX(JuniorzyNegatyw[],MATCH($A53,Juniorstwo!$A$35:$A$54,0),MATCH($B$6,Juniorstwo!$A$34:$N$34,0))*H$6+INDEX(JuniorzyNegatyw[],MATCH($A53,Juniorstwo!$A$35:$A$54,0),MATCH($B$7,Juniorstwo!$A$34:$N$34,0))*H$7+INDEX(JuniorzyNegatyw[],MATCH($A53,Juniorstwo!$A$35:$A$54,0),MATCH($B$8,Juniorstwo!$A$34:$N$34,0))*H$8+INDEX(JuniorzyNegatyw[],MATCH($A53,Juniorstwo!$A$35:$A$54,0),MATCH($B$9,Juniorstwo!$A$34:$N$34,0))*H$9+INDEX(JuniorzyNegatyw[],MATCH($A53,Juniorstwo!$A$35:$A$54,0),MATCH($B$10,Juniorstwo!$A$34:$N$34,0))*H$10+INDEX(JuniorzyNegatyw[],MATCH($A53,Juniorstwo!$A$35:$A$54,0),MATCH($B$11,Juniorstwo!$A$34:$N$34,0))*H$11+INDEX(JuniorzyNegatyw[],MATCH($A53,Juniorstwo!$A$35:$A$54,0),MATCH($B$12,Juniorstwo!$A$34:$N$34,0))*H$12+INDEX(JuniorzyNegatyw[],MATCH($A53,Juniorstwo!$A$35:$A$54,0),MATCH($B$13,Juniorstwo!$A$34:$N$34,0))*H$13,"-")</f>
        <v>73</v>
      </c>
      <c r="I53" s="38">
        <f ca="1">IFERROR(INDEX(JuniorzyNegatyw[],MATCH($A53,Juniorstwo!$A$35:$A$54,0),MATCH($B$2,Juniorstwo!$A$34:$N$34,0))*I$2+INDEX(JuniorzyNegatyw[],MATCH($A53,Juniorstwo!$A$35:$A$54,0),MATCH($B$3,Juniorstwo!$A$34:$N$34,0))*I$3+INDEX(JuniorzyNegatyw[],MATCH($A53,Juniorstwo!$A$35:$A$54,0),MATCH($B$4,Juniorstwo!$A$34:$N$34,0))*I$4+INDEX(JuniorzyNegatyw[],MATCH($A53,Juniorstwo!$A$35:$A$54,0),MATCH($B$5,Juniorstwo!$A$34:$N$34,0))*I$5+INDEX(JuniorzyNegatyw[],MATCH($A53,Juniorstwo!$A$35:$A$54,0),MATCH($B$6,Juniorstwo!$A$34:$N$34,0))*I$6+INDEX(JuniorzyNegatyw[],MATCH($A53,Juniorstwo!$A$35:$A$54,0),MATCH($B$7,Juniorstwo!$A$34:$N$34,0))*I$7+INDEX(JuniorzyNegatyw[],MATCH($A53,Juniorstwo!$A$35:$A$54,0),MATCH($B$8,Juniorstwo!$A$34:$N$34,0))*I$8+INDEX(JuniorzyNegatyw[],MATCH($A53,Juniorstwo!$A$35:$A$54,0),MATCH($B$9,Juniorstwo!$A$34:$N$34,0))*I$9+INDEX(JuniorzyNegatyw[],MATCH($A53,Juniorstwo!$A$35:$A$54,0),MATCH($B$10,Juniorstwo!$A$34:$N$34,0))*I$10+INDEX(JuniorzyNegatyw[],MATCH($A53,Juniorstwo!$A$35:$A$54,0),MATCH($B$11,Juniorstwo!$A$34:$N$34,0))*I$11+INDEX(JuniorzyNegatyw[],MATCH($A53,Juniorstwo!$A$35:$A$54,0),MATCH($B$12,Juniorstwo!$A$34:$N$34,0))*I$12+INDEX(JuniorzyNegatyw[],MATCH($A53,Juniorstwo!$A$35:$A$54,0),MATCH($B$13,Juniorstwo!$A$34:$N$34,0))*I$13,"-")</f>
        <v>72</v>
      </c>
      <c r="J53" s="38">
        <f ca="1">IFERROR(INDEX(JuniorzyNegatyw[],MATCH($A53,Juniorstwo!$A$35:$A$54,0),MATCH($B$2,Juniorstwo!$A$34:$N$34,0))*J$2+INDEX(JuniorzyNegatyw[],MATCH($A53,Juniorstwo!$A$35:$A$54,0),MATCH($B$3,Juniorstwo!$A$34:$N$34,0))*J$3+INDEX(JuniorzyNegatyw[],MATCH($A53,Juniorstwo!$A$35:$A$54,0),MATCH($B$4,Juniorstwo!$A$34:$N$34,0))*J$4+INDEX(JuniorzyNegatyw[],MATCH($A53,Juniorstwo!$A$35:$A$54,0),MATCH($B$5,Juniorstwo!$A$34:$N$34,0))*J$5+INDEX(JuniorzyNegatyw[],MATCH($A53,Juniorstwo!$A$35:$A$54,0),MATCH($B$6,Juniorstwo!$A$34:$N$34,0))*J$6+INDEX(JuniorzyNegatyw[],MATCH($A53,Juniorstwo!$A$35:$A$54,0),MATCH($B$7,Juniorstwo!$A$34:$N$34,0))*J$7+INDEX(JuniorzyNegatyw[],MATCH($A53,Juniorstwo!$A$35:$A$54,0),MATCH($B$8,Juniorstwo!$A$34:$N$34,0))*J$8+INDEX(JuniorzyNegatyw[],MATCH($A53,Juniorstwo!$A$35:$A$54,0),MATCH($B$9,Juniorstwo!$A$34:$N$34,0))*J$9+INDEX(JuniorzyNegatyw[],MATCH($A53,Juniorstwo!$A$35:$A$54,0),MATCH($B$10,Juniorstwo!$A$34:$N$34,0))*J$10+INDEX(JuniorzyNegatyw[],MATCH($A53,Juniorstwo!$A$35:$A$54,0),MATCH($B$11,Juniorstwo!$A$34:$N$34,0))*J$11+INDEX(JuniorzyNegatyw[],MATCH($A53,Juniorstwo!$A$35:$A$54,0),MATCH($B$12,Juniorstwo!$A$34:$N$34,0))*J$12+INDEX(JuniorzyNegatyw[],MATCH($A53,Juniorstwo!$A$35:$A$54,0),MATCH($B$13,Juniorstwo!$A$34:$N$34,0))*J$13,"-")</f>
        <v>72</v>
      </c>
      <c r="K53" s="38">
        <f ca="1">IFERROR(INDEX(JuniorzyNegatyw[],MATCH($A53,Juniorstwo!$A$35:$A$54,0),MATCH($B$2,Juniorstwo!$A$34:$N$34,0))*K$2+INDEX(JuniorzyNegatyw[],MATCH($A53,Juniorstwo!$A$35:$A$54,0),MATCH($B$3,Juniorstwo!$A$34:$N$34,0))*K$3+INDEX(JuniorzyNegatyw[],MATCH($A53,Juniorstwo!$A$35:$A$54,0),MATCH($B$4,Juniorstwo!$A$34:$N$34,0))*K$4+INDEX(JuniorzyNegatyw[],MATCH($A53,Juniorstwo!$A$35:$A$54,0),MATCH($B$5,Juniorstwo!$A$34:$N$34,0))*K$5+INDEX(JuniorzyNegatyw[],MATCH($A53,Juniorstwo!$A$35:$A$54,0),MATCH($B$6,Juniorstwo!$A$34:$N$34,0))*K$6+INDEX(JuniorzyNegatyw[],MATCH($A53,Juniorstwo!$A$35:$A$54,0),MATCH($B$7,Juniorstwo!$A$34:$N$34,0))*K$7+INDEX(JuniorzyNegatyw[],MATCH($A53,Juniorstwo!$A$35:$A$54,0),MATCH($B$8,Juniorstwo!$A$34:$N$34,0))*K$8+INDEX(JuniorzyNegatyw[],MATCH($A53,Juniorstwo!$A$35:$A$54,0),MATCH($B$9,Juniorstwo!$A$34:$N$34,0))*K$9+INDEX(JuniorzyNegatyw[],MATCH($A53,Juniorstwo!$A$35:$A$54,0),MATCH($B$10,Juniorstwo!$A$34:$N$34,0))*K$10+INDEX(JuniorzyNegatyw[],MATCH($A53,Juniorstwo!$A$35:$A$54,0),MATCH($B$11,Juniorstwo!$A$34:$N$34,0))*K$11+INDEX(JuniorzyNegatyw[],MATCH($A53,Juniorstwo!$A$35:$A$54,0),MATCH($B$12,Juniorstwo!$A$34:$N$34,0))*K$12+INDEX(JuniorzyNegatyw[],MATCH($A53,Juniorstwo!$A$35:$A$54,0),MATCH($B$13,Juniorstwo!$A$34:$N$34,0))*K$13,"-")</f>
        <v>71</v>
      </c>
    </row>
    <row r="54" spans="1:11" x14ac:dyDescent="0.25">
      <c r="A54">
        <f>IFERROR(PozJunNŚr[[#This Row],[Numer]],"-")</f>
        <v>52</v>
      </c>
      <c r="B54" s="3" t="str">
        <f>IFERROR(VLOOKUP(PozJunNMM[[#This Row],[Numer]],Zawodnicy[[Number]:[Player name]],2,FALSE),"-")</f>
        <v>Roland Danisiewicz</v>
      </c>
      <c r="C54" s="38">
        <f ca="1">IFERROR(INDEX(JuniorzyNegatyw[],MATCH($A54,Juniorstwo!$A$35:$A$54,0),MATCH($B$2,Juniorstwo!$A$34:$N$34,0))*C$2+INDEX(JuniorzyNegatyw[],MATCH($A54,Juniorstwo!$A$35:$A$54,0),MATCH($B$3,Juniorstwo!$A$34:$N$34,0))*C$3+INDEX(JuniorzyNegatyw[],MATCH($A54,Juniorstwo!$A$35:$A$54,0),MATCH($B$4,Juniorstwo!$A$34:$N$34,0))*C$4+INDEX(JuniorzyNegatyw[],MATCH($A54,Juniorstwo!$A$35:$A$54,0),MATCH($B$5,Juniorstwo!$A$34:$N$34,0))*C$5+INDEX(JuniorzyNegatyw[],MATCH($A54,Juniorstwo!$A$35:$A$54,0),MATCH($B$6,Juniorstwo!$A$34:$N$34,0))*C$6+INDEX(JuniorzyNegatyw[],MATCH($A54,Juniorstwo!$A$35:$A$54,0),MATCH($B$7,Juniorstwo!$A$34:$N$34,0))*C$7+INDEX(JuniorzyNegatyw[],MATCH($A54,Juniorstwo!$A$35:$A$54,0),MATCH($B$8,Juniorstwo!$A$34:$N$34,0))*C$8+INDEX(JuniorzyNegatyw[],MATCH($A54,Juniorstwo!$A$35:$A$54,0),MATCH($B$9,Juniorstwo!$A$34:$N$34,0))*C$9+INDEX(JuniorzyNegatyw[],MATCH($A54,Juniorstwo!$A$35:$A$54,0),MATCH($B$10,Juniorstwo!$A$34:$N$34,0))*C$10+INDEX(JuniorzyNegatyw[],MATCH($A54,Juniorstwo!$A$35:$A$54,0),MATCH($B$11,Juniorstwo!$A$34:$N$34,0))*C$11+INDEX(JuniorzyNegatyw[],MATCH($A54,Juniorstwo!$A$35:$A$54,0),MATCH($B$12,Juniorstwo!$A$34:$N$34,0))*C$12+INDEX(JuniorzyNegatyw[],MATCH($A54,Juniorstwo!$A$35:$A$54,0),MATCH($B$13,Juniorstwo!$A$34:$N$34,0))*C$13,"-")</f>
        <v>61.5</v>
      </c>
      <c r="D54" s="38">
        <f ca="1">IFERROR(INDEX(JuniorzyNegatyw[],MATCH($A54,Juniorstwo!$A$35:$A$54,0),MATCH($B$2,Juniorstwo!$A$34:$N$34,0))*D$2+INDEX(JuniorzyNegatyw[],MATCH($A54,Juniorstwo!$A$35:$A$54,0),MATCH($B$3,Juniorstwo!$A$34:$N$34,0))*D$3+INDEX(JuniorzyNegatyw[],MATCH($A54,Juniorstwo!$A$35:$A$54,0),MATCH($B$4,Juniorstwo!$A$34:$N$34,0))*D$4+INDEX(JuniorzyNegatyw[],MATCH($A54,Juniorstwo!$A$35:$A$54,0),MATCH($B$5,Juniorstwo!$A$34:$N$34,0))*D$5+INDEX(JuniorzyNegatyw[],MATCH($A54,Juniorstwo!$A$35:$A$54,0),MATCH($B$6,Juniorstwo!$A$34:$N$34,0))*D$6+INDEX(JuniorzyNegatyw[],MATCH($A54,Juniorstwo!$A$35:$A$54,0),MATCH($B$7,Juniorstwo!$A$34:$N$34,0))*D$7+INDEX(JuniorzyNegatyw[],MATCH($A54,Juniorstwo!$A$35:$A$54,0),MATCH($B$8,Juniorstwo!$A$34:$N$34,0))*D$8+INDEX(JuniorzyNegatyw[],MATCH($A54,Juniorstwo!$A$35:$A$54,0),MATCH($B$9,Juniorstwo!$A$34:$N$34,0))*D$9+INDEX(JuniorzyNegatyw[],MATCH($A54,Juniorstwo!$A$35:$A$54,0),MATCH($B$10,Juniorstwo!$A$34:$N$34,0))*D$10+INDEX(JuniorzyNegatyw[],MATCH($A54,Juniorstwo!$A$35:$A$54,0),MATCH($B$11,Juniorstwo!$A$34:$N$34,0))*D$11+INDEX(JuniorzyNegatyw[],MATCH($A54,Juniorstwo!$A$35:$A$54,0),MATCH($B$12,Juniorstwo!$A$34:$N$34,0))*D$12+INDEX(JuniorzyNegatyw[],MATCH($A54,Juniorstwo!$A$35:$A$54,0),MATCH($B$13,Juniorstwo!$A$34:$N$34,0))*D$13,"-")</f>
        <v>67</v>
      </c>
      <c r="E54" s="38">
        <f ca="1">IFERROR(INDEX(JuniorzyNegatyw[],MATCH($A54,Juniorstwo!$A$35:$A$54,0),MATCH($B$2,Juniorstwo!$A$34:$N$34,0))*E$2+INDEX(JuniorzyNegatyw[],MATCH($A54,Juniorstwo!$A$35:$A$54,0),MATCH($B$3,Juniorstwo!$A$34:$N$34,0))*E$3+INDEX(JuniorzyNegatyw[],MATCH($A54,Juniorstwo!$A$35:$A$54,0),MATCH($B$4,Juniorstwo!$A$34:$N$34,0))*E$4+INDEX(JuniorzyNegatyw[],MATCH($A54,Juniorstwo!$A$35:$A$54,0),MATCH($B$5,Juniorstwo!$A$34:$N$34,0))*E$5+INDEX(JuniorzyNegatyw[],MATCH($A54,Juniorstwo!$A$35:$A$54,0),MATCH($B$6,Juniorstwo!$A$34:$N$34,0))*E$6+INDEX(JuniorzyNegatyw[],MATCH($A54,Juniorstwo!$A$35:$A$54,0),MATCH($B$7,Juniorstwo!$A$34:$N$34,0))*E$7+INDEX(JuniorzyNegatyw[],MATCH($A54,Juniorstwo!$A$35:$A$54,0),MATCH($B$8,Juniorstwo!$A$34:$N$34,0))*E$8+INDEX(JuniorzyNegatyw[],MATCH($A54,Juniorstwo!$A$35:$A$54,0),MATCH($B$9,Juniorstwo!$A$34:$N$34,0))*E$9+INDEX(JuniorzyNegatyw[],MATCH($A54,Juniorstwo!$A$35:$A$54,0),MATCH($B$10,Juniorstwo!$A$34:$N$34,0))*E$10+INDEX(JuniorzyNegatyw[],MATCH($A54,Juniorstwo!$A$35:$A$54,0),MATCH($B$11,Juniorstwo!$A$34:$N$34,0))*E$11+INDEX(JuniorzyNegatyw[],MATCH($A54,Juniorstwo!$A$35:$A$54,0),MATCH($B$12,Juniorstwo!$A$34:$N$34,0))*E$12+INDEX(JuniorzyNegatyw[],MATCH($A54,Juniorstwo!$A$35:$A$54,0),MATCH($B$13,Juniorstwo!$A$34:$N$34,0))*E$13,"-")</f>
        <v>68</v>
      </c>
      <c r="F54" s="38">
        <f ca="1">IFERROR(INDEX(JuniorzyNegatyw[],MATCH($A54,Juniorstwo!$A$35:$A$54,0),MATCH($B$2,Juniorstwo!$A$34:$N$34,0))*F$2+INDEX(JuniorzyNegatyw[],MATCH($A54,Juniorstwo!$A$35:$A$54,0),MATCH($B$3,Juniorstwo!$A$34:$N$34,0))*F$3+INDEX(JuniorzyNegatyw[],MATCH($A54,Juniorstwo!$A$35:$A$54,0),MATCH($B$4,Juniorstwo!$A$34:$N$34,0))*F$4+INDEX(JuniorzyNegatyw[],MATCH($A54,Juniorstwo!$A$35:$A$54,0),MATCH($B$5,Juniorstwo!$A$34:$N$34,0))*F$5+INDEX(JuniorzyNegatyw[],MATCH($A54,Juniorstwo!$A$35:$A$54,0),MATCH($B$6,Juniorstwo!$A$34:$N$34,0))*F$6+INDEX(JuniorzyNegatyw[],MATCH($A54,Juniorstwo!$A$35:$A$54,0),MATCH($B$7,Juniorstwo!$A$34:$N$34,0))*F$7+INDEX(JuniorzyNegatyw[],MATCH($A54,Juniorstwo!$A$35:$A$54,0),MATCH($B$8,Juniorstwo!$A$34:$N$34,0))*F$8+INDEX(JuniorzyNegatyw[],MATCH($A54,Juniorstwo!$A$35:$A$54,0),MATCH($B$9,Juniorstwo!$A$34:$N$34,0))*F$9+INDEX(JuniorzyNegatyw[],MATCH($A54,Juniorstwo!$A$35:$A$54,0),MATCH($B$10,Juniorstwo!$A$34:$N$34,0))*F$10+INDEX(JuniorzyNegatyw[],MATCH($A54,Juniorstwo!$A$35:$A$54,0),MATCH($B$11,Juniorstwo!$A$34:$N$34,0))*F$11+INDEX(JuniorzyNegatyw[],MATCH($A54,Juniorstwo!$A$35:$A$54,0),MATCH($B$12,Juniorstwo!$A$34:$N$34,0))*F$12+INDEX(JuniorzyNegatyw[],MATCH($A54,Juniorstwo!$A$35:$A$54,0),MATCH($B$13,Juniorstwo!$A$34:$N$34,0))*F$13,"-")</f>
        <v>69</v>
      </c>
      <c r="G54" s="38">
        <f ca="1">IFERROR(INDEX(JuniorzyNegatyw[],MATCH($A54,Juniorstwo!$A$35:$A$54,0),MATCH($B$2,Juniorstwo!$A$34:$N$34,0))*G$2+INDEX(JuniorzyNegatyw[],MATCH($A54,Juniorstwo!$A$35:$A$54,0),MATCH($B$3,Juniorstwo!$A$34:$N$34,0))*G$3+INDEX(JuniorzyNegatyw[],MATCH($A54,Juniorstwo!$A$35:$A$54,0),MATCH($B$4,Juniorstwo!$A$34:$N$34,0))*G$4+INDEX(JuniorzyNegatyw[],MATCH($A54,Juniorstwo!$A$35:$A$54,0),MATCH($B$5,Juniorstwo!$A$34:$N$34,0))*G$5+INDEX(JuniorzyNegatyw[],MATCH($A54,Juniorstwo!$A$35:$A$54,0),MATCH($B$6,Juniorstwo!$A$34:$N$34,0))*G$6+INDEX(JuniorzyNegatyw[],MATCH($A54,Juniorstwo!$A$35:$A$54,0),MATCH($B$7,Juniorstwo!$A$34:$N$34,0))*G$7+INDEX(JuniorzyNegatyw[],MATCH($A54,Juniorstwo!$A$35:$A$54,0),MATCH($B$8,Juniorstwo!$A$34:$N$34,0))*G$8+INDEX(JuniorzyNegatyw[],MATCH($A54,Juniorstwo!$A$35:$A$54,0),MATCH($B$9,Juniorstwo!$A$34:$N$34,0))*G$9+INDEX(JuniorzyNegatyw[],MATCH($A54,Juniorstwo!$A$35:$A$54,0),MATCH($B$10,Juniorstwo!$A$34:$N$34,0))*G$10+INDEX(JuniorzyNegatyw[],MATCH($A54,Juniorstwo!$A$35:$A$54,0),MATCH($B$11,Juniorstwo!$A$34:$N$34,0))*G$11+INDEX(JuniorzyNegatyw[],MATCH($A54,Juniorstwo!$A$35:$A$54,0),MATCH($B$12,Juniorstwo!$A$34:$N$34,0))*G$12+INDEX(JuniorzyNegatyw[],MATCH($A54,Juniorstwo!$A$35:$A$54,0),MATCH($B$13,Juniorstwo!$A$34:$N$34,0))*G$13,"-")</f>
        <v>69.5</v>
      </c>
      <c r="H54" s="38">
        <f ca="1">IFERROR(INDEX(JuniorzyNegatyw[],MATCH($A54,Juniorstwo!$A$35:$A$54,0),MATCH($B$2,Juniorstwo!$A$34:$N$34,0))*H$2+INDEX(JuniorzyNegatyw[],MATCH($A54,Juniorstwo!$A$35:$A$54,0),MATCH($B$3,Juniorstwo!$A$34:$N$34,0))*H$3+INDEX(JuniorzyNegatyw[],MATCH($A54,Juniorstwo!$A$35:$A$54,0),MATCH($B$4,Juniorstwo!$A$34:$N$34,0))*H$4+INDEX(JuniorzyNegatyw[],MATCH($A54,Juniorstwo!$A$35:$A$54,0),MATCH($B$5,Juniorstwo!$A$34:$N$34,0))*H$5+INDEX(JuniorzyNegatyw[],MATCH($A54,Juniorstwo!$A$35:$A$54,0),MATCH($B$6,Juniorstwo!$A$34:$N$34,0))*H$6+INDEX(JuniorzyNegatyw[],MATCH($A54,Juniorstwo!$A$35:$A$54,0),MATCH($B$7,Juniorstwo!$A$34:$N$34,0))*H$7+INDEX(JuniorzyNegatyw[],MATCH($A54,Juniorstwo!$A$35:$A$54,0),MATCH($B$8,Juniorstwo!$A$34:$N$34,0))*H$8+INDEX(JuniorzyNegatyw[],MATCH($A54,Juniorstwo!$A$35:$A$54,0),MATCH($B$9,Juniorstwo!$A$34:$N$34,0))*H$9+INDEX(JuniorzyNegatyw[],MATCH($A54,Juniorstwo!$A$35:$A$54,0),MATCH($B$10,Juniorstwo!$A$34:$N$34,0))*H$10+INDEX(JuniorzyNegatyw[],MATCH($A54,Juniorstwo!$A$35:$A$54,0),MATCH($B$11,Juniorstwo!$A$34:$N$34,0))*H$11+INDEX(JuniorzyNegatyw[],MATCH($A54,Juniorstwo!$A$35:$A$54,0),MATCH($B$12,Juniorstwo!$A$34:$N$34,0))*H$12+INDEX(JuniorzyNegatyw[],MATCH($A54,Juniorstwo!$A$35:$A$54,0),MATCH($B$13,Juniorstwo!$A$34:$N$34,0))*H$13,"-")</f>
        <v>71</v>
      </c>
      <c r="I54" s="38">
        <f ca="1">IFERROR(INDEX(JuniorzyNegatyw[],MATCH($A54,Juniorstwo!$A$35:$A$54,0),MATCH($B$2,Juniorstwo!$A$34:$N$34,0))*I$2+INDEX(JuniorzyNegatyw[],MATCH($A54,Juniorstwo!$A$35:$A$54,0),MATCH($B$3,Juniorstwo!$A$34:$N$34,0))*I$3+INDEX(JuniorzyNegatyw[],MATCH($A54,Juniorstwo!$A$35:$A$54,0),MATCH($B$4,Juniorstwo!$A$34:$N$34,0))*I$4+INDEX(JuniorzyNegatyw[],MATCH($A54,Juniorstwo!$A$35:$A$54,0),MATCH($B$5,Juniorstwo!$A$34:$N$34,0))*I$5+INDEX(JuniorzyNegatyw[],MATCH($A54,Juniorstwo!$A$35:$A$54,0),MATCH($B$6,Juniorstwo!$A$34:$N$34,0))*I$6+INDEX(JuniorzyNegatyw[],MATCH($A54,Juniorstwo!$A$35:$A$54,0),MATCH($B$7,Juniorstwo!$A$34:$N$34,0))*I$7+INDEX(JuniorzyNegatyw[],MATCH($A54,Juniorstwo!$A$35:$A$54,0),MATCH($B$8,Juniorstwo!$A$34:$N$34,0))*I$8+INDEX(JuniorzyNegatyw[],MATCH($A54,Juniorstwo!$A$35:$A$54,0),MATCH($B$9,Juniorstwo!$A$34:$N$34,0))*I$9+INDEX(JuniorzyNegatyw[],MATCH($A54,Juniorstwo!$A$35:$A$54,0),MATCH($B$10,Juniorstwo!$A$34:$N$34,0))*I$10+INDEX(JuniorzyNegatyw[],MATCH($A54,Juniorstwo!$A$35:$A$54,0),MATCH($B$11,Juniorstwo!$A$34:$N$34,0))*I$11+INDEX(JuniorzyNegatyw[],MATCH($A54,Juniorstwo!$A$35:$A$54,0),MATCH($B$12,Juniorstwo!$A$34:$N$34,0))*I$12+INDEX(JuniorzyNegatyw[],MATCH($A54,Juniorstwo!$A$35:$A$54,0),MATCH($B$13,Juniorstwo!$A$34:$N$34,0))*I$13,"-")</f>
        <v>72</v>
      </c>
      <c r="J54" s="38">
        <f ca="1">IFERROR(INDEX(JuniorzyNegatyw[],MATCH($A54,Juniorstwo!$A$35:$A$54,0),MATCH($B$2,Juniorstwo!$A$34:$N$34,0))*J$2+INDEX(JuniorzyNegatyw[],MATCH($A54,Juniorstwo!$A$35:$A$54,0),MATCH($B$3,Juniorstwo!$A$34:$N$34,0))*J$3+INDEX(JuniorzyNegatyw[],MATCH($A54,Juniorstwo!$A$35:$A$54,0),MATCH($B$4,Juniorstwo!$A$34:$N$34,0))*J$4+INDEX(JuniorzyNegatyw[],MATCH($A54,Juniorstwo!$A$35:$A$54,0),MATCH($B$5,Juniorstwo!$A$34:$N$34,0))*J$5+INDEX(JuniorzyNegatyw[],MATCH($A54,Juniorstwo!$A$35:$A$54,0),MATCH($B$6,Juniorstwo!$A$34:$N$34,0))*J$6+INDEX(JuniorzyNegatyw[],MATCH($A54,Juniorstwo!$A$35:$A$54,0),MATCH($B$7,Juniorstwo!$A$34:$N$34,0))*J$7+INDEX(JuniorzyNegatyw[],MATCH($A54,Juniorstwo!$A$35:$A$54,0),MATCH($B$8,Juniorstwo!$A$34:$N$34,0))*J$8+INDEX(JuniorzyNegatyw[],MATCH($A54,Juniorstwo!$A$35:$A$54,0),MATCH($B$9,Juniorstwo!$A$34:$N$34,0))*J$9+INDEX(JuniorzyNegatyw[],MATCH($A54,Juniorstwo!$A$35:$A$54,0),MATCH($B$10,Juniorstwo!$A$34:$N$34,0))*J$10+INDEX(JuniorzyNegatyw[],MATCH($A54,Juniorstwo!$A$35:$A$54,0),MATCH($B$11,Juniorstwo!$A$34:$N$34,0))*J$11+INDEX(JuniorzyNegatyw[],MATCH($A54,Juniorstwo!$A$35:$A$54,0),MATCH($B$12,Juniorstwo!$A$34:$N$34,0))*J$12+INDEX(JuniorzyNegatyw[],MATCH($A54,Juniorstwo!$A$35:$A$54,0),MATCH($B$13,Juniorstwo!$A$34:$N$34,0))*J$13,"-")</f>
        <v>72</v>
      </c>
      <c r="K54" s="38">
        <f ca="1">IFERROR(INDEX(JuniorzyNegatyw[],MATCH($A54,Juniorstwo!$A$35:$A$54,0),MATCH($B$2,Juniorstwo!$A$34:$N$34,0))*K$2+INDEX(JuniorzyNegatyw[],MATCH($A54,Juniorstwo!$A$35:$A$54,0),MATCH($B$3,Juniorstwo!$A$34:$N$34,0))*K$3+INDEX(JuniorzyNegatyw[],MATCH($A54,Juniorstwo!$A$35:$A$54,0),MATCH($B$4,Juniorstwo!$A$34:$N$34,0))*K$4+INDEX(JuniorzyNegatyw[],MATCH($A54,Juniorstwo!$A$35:$A$54,0),MATCH($B$5,Juniorstwo!$A$34:$N$34,0))*K$5+INDEX(JuniorzyNegatyw[],MATCH($A54,Juniorstwo!$A$35:$A$54,0),MATCH($B$6,Juniorstwo!$A$34:$N$34,0))*K$6+INDEX(JuniorzyNegatyw[],MATCH($A54,Juniorstwo!$A$35:$A$54,0),MATCH($B$7,Juniorstwo!$A$34:$N$34,0))*K$7+INDEX(JuniorzyNegatyw[],MATCH($A54,Juniorstwo!$A$35:$A$54,0),MATCH($B$8,Juniorstwo!$A$34:$N$34,0))*K$8+INDEX(JuniorzyNegatyw[],MATCH($A54,Juniorstwo!$A$35:$A$54,0),MATCH($B$9,Juniorstwo!$A$34:$N$34,0))*K$9+INDEX(JuniorzyNegatyw[],MATCH($A54,Juniorstwo!$A$35:$A$54,0),MATCH($B$10,Juniorstwo!$A$34:$N$34,0))*K$10+INDEX(JuniorzyNegatyw[],MATCH($A54,Juniorstwo!$A$35:$A$54,0),MATCH($B$11,Juniorstwo!$A$34:$N$34,0))*K$11+INDEX(JuniorzyNegatyw[],MATCH($A54,Juniorstwo!$A$35:$A$54,0),MATCH($B$12,Juniorstwo!$A$34:$N$34,0))*K$12+INDEX(JuniorzyNegatyw[],MATCH($A54,Juniorstwo!$A$35:$A$54,0),MATCH($B$13,Juniorstwo!$A$34:$N$34,0))*K$13,"-")</f>
        <v>73</v>
      </c>
    </row>
    <row r="55" spans="1:11" x14ac:dyDescent="0.25">
      <c r="A55">
        <f>IFERROR(PozJunNŚr[[#This Row],[Numer]],"-")</f>
        <v>53</v>
      </c>
      <c r="B55" s="3" t="str">
        <f>IFERROR(VLOOKUP(PozJunNMM[[#This Row],[Numer]],Zawodnicy[[Number]:[Player name]],2,FALSE),"-")</f>
        <v>Cyryl Huratiak</v>
      </c>
      <c r="C55" s="38">
        <f ca="1">IFERROR(INDEX(JuniorzyNegatyw[],MATCH($A55,Juniorstwo!$A$35:$A$54,0),MATCH($B$2,Juniorstwo!$A$34:$N$34,0))*C$2+INDEX(JuniorzyNegatyw[],MATCH($A55,Juniorstwo!$A$35:$A$54,0),MATCH($B$3,Juniorstwo!$A$34:$N$34,0))*C$3+INDEX(JuniorzyNegatyw[],MATCH($A55,Juniorstwo!$A$35:$A$54,0),MATCH($B$4,Juniorstwo!$A$34:$N$34,0))*C$4+INDEX(JuniorzyNegatyw[],MATCH($A55,Juniorstwo!$A$35:$A$54,0),MATCH($B$5,Juniorstwo!$A$34:$N$34,0))*C$5+INDEX(JuniorzyNegatyw[],MATCH($A55,Juniorstwo!$A$35:$A$54,0),MATCH($B$6,Juniorstwo!$A$34:$N$34,0))*C$6+INDEX(JuniorzyNegatyw[],MATCH($A55,Juniorstwo!$A$35:$A$54,0),MATCH($B$7,Juniorstwo!$A$34:$N$34,0))*C$7+INDEX(JuniorzyNegatyw[],MATCH($A55,Juniorstwo!$A$35:$A$54,0),MATCH($B$8,Juniorstwo!$A$34:$N$34,0))*C$8+INDEX(JuniorzyNegatyw[],MATCH($A55,Juniorstwo!$A$35:$A$54,0),MATCH($B$9,Juniorstwo!$A$34:$N$34,0))*C$9+INDEX(JuniorzyNegatyw[],MATCH($A55,Juniorstwo!$A$35:$A$54,0),MATCH($B$10,Juniorstwo!$A$34:$N$34,0))*C$10+INDEX(JuniorzyNegatyw[],MATCH($A55,Juniorstwo!$A$35:$A$54,0),MATCH($B$11,Juniorstwo!$A$34:$N$34,0))*C$11+INDEX(JuniorzyNegatyw[],MATCH($A55,Juniorstwo!$A$35:$A$54,0),MATCH($B$12,Juniorstwo!$A$34:$N$34,0))*C$12+INDEX(JuniorzyNegatyw[],MATCH($A55,Juniorstwo!$A$35:$A$54,0),MATCH($B$13,Juniorstwo!$A$34:$N$34,0))*C$13,"-")</f>
        <v>66.5</v>
      </c>
      <c r="D55" s="38">
        <f ca="1">IFERROR(INDEX(JuniorzyNegatyw[],MATCH($A55,Juniorstwo!$A$35:$A$54,0),MATCH($B$2,Juniorstwo!$A$34:$N$34,0))*D$2+INDEX(JuniorzyNegatyw[],MATCH($A55,Juniorstwo!$A$35:$A$54,0),MATCH($B$3,Juniorstwo!$A$34:$N$34,0))*D$3+INDEX(JuniorzyNegatyw[],MATCH($A55,Juniorstwo!$A$35:$A$54,0),MATCH($B$4,Juniorstwo!$A$34:$N$34,0))*D$4+INDEX(JuniorzyNegatyw[],MATCH($A55,Juniorstwo!$A$35:$A$54,0),MATCH($B$5,Juniorstwo!$A$34:$N$34,0))*D$5+INDEX(JuniorzyNegatyw[],MATCH($A55,Juniorstwo!$A$35:$A$54,0),MATCH($B$6,Juniorstwo!$A$34:$N$34,0))*D$6+INDEX(JuniorzyNegatyw[],MATCH($A55,Juniorstwo!$A$35:$A$54,0),MATCH($B$7,Juniorstwo!$A$34:$N$34,0))*D$7+INDEX(JuniorzyNegatyw[],MATCH($A55,Juniorstwo!$A$35:$A$54,0),MATCH($B$8,Juniorstwo!$A$34:$N$34,0))*D$8+INDEX(JuniorzyNegatyw[],MATCH($A55,Juniorstwo!$A$35:$A$54,0),MATCH($B$9,Juniorstwo!$A$34:$N$34,0))*D$9+INDEX(JuniorzyNegatyw[],MATCH($A55,Juniorstwo!$A$35:$A$54,0),MATCH($B$10,Juniorstwo!$A$34:$N$34,0))*D$10+INDEX(JuniorzyNegatyw[],MATCH($A55,Juniorstwo!$A$35:$A$54,0),MATCH($B$11,Juniorstwo!$A$34:$N$34,0))*D$11+INDEX(JuniorzyNegatyw[],MATCH($A55,Juniorstwo!$A$35:$A$54,0),MATCH($B$12,Juniorstwo!$A$34:$N$34,0))*D$12+INDEX(JuniorzyNegatyw[],MATCH($A55,Juniorstwo!$A$35:$A$54,0),MATCH($B$13,Juniorstwo!$A$34:$N$34,0))*D$13,"-")</f>
        <v>75.5</v>
      </c>
      <c r="E55" s="38">
        <f ca="1">IFERROR(INDEX(JuniorzyNegatyw[],MATCH($A55,Juniorstwo!$A$35:$A$54,0),MATCH($B$2,Juniorstwo!$A$34:$N$34,0))*E$2+INDEX(JuniorzyNegatyw[],MATCH($A55,Juniorstwo!$A$35:$A$54,0),MATCH($B$3,Juniorstwo!$A$34:$N$34,0))*E$3+INDEX(JuniorzyNegatyw[],MATCH($A55,Juniorstwo!$A$35:$A$54,0),MATCH($B$4,Juniorstwo!$A$34:$N$34,0))*E$4+INDEX(JuniorzyNegatyw[],MATCH($A55,Juniorstwo!$A$35:$A$54,0),MATCH($B$5,Juniorstwo!$A$34:$N$34,0))*E$5+INDEX(JuniorzyNegatyw[],MATCH($A55,Juniorstwo!$A$35:$A$54,0),MATCH($B$6,Juniorstwo!$A$34:$N$34,0))*E$6+INDEX(JuniorzyNegatyw[],MATCH($A55,Juniorstwo!$A$35:$A$54,0),MATCH($B$7,Juniorstwo!$A$34:$N$34,0))*E$7+INDEX(JuniorzyNegatyw[],MATCH($A55,Juniorstwo!$A$35:$A$54,0),MATCH($B$8,Juniorstwo!$A$34:$N$34,0))*E$8+INDEX(JuniorzyNegatyw[],MATCH($A55,Juniorstwo!$A$35:$A$54,0),MATCH($B$9,Juniorstwo!$A$34:$N$34,0))*E$9+INDEX(JuniorzyNegatyw[],MATCH($A55,Juniorstwo!$A$35:$A$54,0),MATCH($B$10,Juniorstwo!$A$34:$N$34,0))*E$10+INDEX(JuniorzyNegatyw[],MATCH($A55,Juniorstwo!$A$35:$A$54,0),MATCH($B$11,Juniorstwo!$A$34:$N$34,0))*E$11+INDEX(JuniorzyNegatyw[],MATCH($A55,Juniorstwo!$A$35:$A$54,0),MATCH($B$12,Juniorstwo!$A$34:$N$34,0))*E$12+INDEX(JuniorzyNegatyw[],MATCH($A55,Juniorstwo!$A$35:$A$54,0),MATCH($B$13,Juniorstwo!$A$34:$N$34,0))*E$13,"-")</f>
        <v>74.5</v>
      </c>
      <c r="F55" s="38">
        <f ca="1">IFERROR(INDEX(JuniorzyNegatyw[],MATCH($A55,Juniorstwo!$A$35:$A$54,0),MATCH($B$2,Juniorstwo!$A$34:$N$34,0))*F$2+INDEX(JuniorzyNegatyw[],MATCH($A55,Juniorstwo!$A$35:$A$54,0),MATCH($B$3,Juniorstwo!$A$34:$N$34,0))*F$3+INDEX(JuniorzyNegatyw[],MATCH($A55,Juniorstwo!$A$35:$A$54,0),MATCH($B$4,Juniorstwo!$A$34:$N$34,0))*F$4+INDEX(JuniorzyNegatyw[],MATCH($A55,Juniorstwo!$A$35:$A$54,0),MATCH($B$5,Juniorstwo!$A$34:$N$34,0))*F$5+INDEX(JuniorzyNegatyw[],MATCH($A55,Juniorstwo!$A$35:$A$54,0),MATCH($B$6,Juniorstwo!$A$34:$N$34,0))*F$6+INDEX(JuniorzyNegatyw[],MATCH($A55,Juniorstwo!$A$35:$A$54,0),MATCH($B$7,Juniorstwo!$A$34:$N$34,0))*F$7+INDEX(JuniorzyNegatyw[],MATCH($A55,Juniorstwo!$A$35:$A$54,0),MATCH($B$8,Juniorstwo!$A$34:$N$34,0))*F$8+INDEX(JuniorzyNegatyw[],MATCH($A55,Juniorstwo!$A$35:$A$54,0),MATCH($B$9,Juniorstwo!$A$34:$N$34,0))*F$9+INDEX(JuniorzyNegatyw[],MATCH($A55,Juniorstwo!$A$35:$A$54,0),MATCH($B$10,Juniorstwo!$A$34:$N$34,0))*F$10+INDEX(JuniorzyNegatyw[],MATCH($A55,Juniorstwo!$A$35:$A$54,0),MATCH($B$11,Juniorstwo!$A$34:$N$34,0))*F$11+INDEX(JuniorzyNegatyw[],MATCH($A55,Juniorstwo!$A$35:$A$54,0),MATCH($B$12,Juniorstwo!$A$34:$N$34,0))*F$12+INDEX(JuniorzyNegatyw[],MATCH($A55,Juniorstwo!$A$35:$A$54,0),MATCH($B$13,Juniorstwo!$A$34:$N$34,0))*F$13,"-")</f>
        <v>73.5</v>
      </c>
      <c r="G55" s="38">
        <f ca="1">IFERROR(INDEX(JuniorzyNegatyw[],MATCH($A55,Juniorstwo!$A$35:$A$54,0),MATCH($B$2,Juniorstwo!$A$34:$N$34,0))*G$2+INDEX(JuniorzyNegatyw[],MATCH($A55,Juniorstwo!$A$35:$A$54,0),MATCH($B$3,Juniorstwo!$A$34:$N$34,0))*G$3+INDEX(JuniorzyNegatyw[],MATCH($A55,Juniorstwo!$A$35:$A$54,0),MATCH($B$4,Juniorstwo!$A$34:$N$34,0))*G$4+INDEX(JuniorzyNegatyw[],MATCH($A55,Juniorstwo!$A$35:$A$54,0),MATCH($B$5,Juniorstwo!$A$34:$N$34,0))*G$5+INDEX(JuniorzyNegatyw[],MATCH($A55,Juniorstwo!$A$35:$A$54,0),MATCH($B$6,Juniorstwo!$A$34:$N$34,0))*G$6+INDEX(JuniorzyNegatyw[],MATCH($A55,Juniorstwo!$A$35:$A$54,0),MATCH($B$7,Juniorstwo!$A$34:$N$34,0))*G$7+INDEX(JuniorzyNegatyw[],MATCH($A55,Juniorstwo!$A$35:$A$54,0),MATCH($B$8,Juniorstwo!$A$34:$N$34,0))*G$8+INDEX(JuniorzyNegatyw[],MATCH($A55,Juniorstwo!$A$35:$A$54,0),MATCH($B$9,Juniorstwo!$A$34:$N$34,0))*G$9+INDEX(JuniorzyNegatyw[],MATCH($A55,Juniorstwo!$A$35:$A$54,0),MATCH($B$10,Juniorstwo!$A$34:$N$34,0))*G$10+INDEX(JuniorzyNegatyw[],MATCH($A55,Juniorstwo!$A$35:$A$54,0),MATCH($B$11,Juniorstwo!$A$34:$N$34,0))*G$11+INDEX(JuniorzyNegatyw[],MATCH($A55,Juniorstwo!$A$35:$A$54,0),MATCH($B$12,Juniorstwo!$A$34:$N$34,0))*G$12+INDEX(JuniorzyNegatyw[],MATCH($A55,Juniorstwo!$A$35:$A$54,0),MATCH($B$13,Juniorstwo!$A$34:$N$34,0))*G$13,"-")</f>
        <v>73</v>
      </c>
      <c r="H55" s="38">
        <f ca="1">IFERROR(INDEX(JuniorzyNegatyw[],MATCH($A55,Juniorstwo!$A$35:$A$54,0),MATCH($B$2,Juniorstwo!$A$34:$N$34,0))*H$2+INDEX(JuniorzyNegatyw[],MATCH($A55,Juniorstwo!$A$35:$A$54,0),MATCH($B$3,Juniorstwo!$A$34:$N$34,0))*H$3+INDEX(JuniorzyNegatyw[],MATCH($A55,Juniorstwo!$A$35:$A$54,0),MATCH($B$4,Juniorstwo!$A$34:$N$34,0))*H$4+INDEX(JuniorzyNegatyw[],MATCH($A55,Juniorstwo!$A$35:$A$54,0),MATCH($B$5,Juniorstwo!$A$34:$N$34,0))*H$5+INDEX(JuniorzyNegatyw[],MATCH($A55,Juniorstwo!$A$35:$A$54,0),MATCH($B$6,Juniorstwo!$A$34:$N$34,0))*H$6+INDEX(JuniorzyNegatyw[],MATCH($A55,Juniorstwo!$A$35:$A$54,0),MATCH($B$7,Juniorstwo!$A$34:$N$34,0))*H$7+INDEX(JuniorzyNegatyw[],MATCH($A55,Juniorstwo!$A$35:$A$54,0),MATCH($B$8,Juniorstwo!$A$34:$N$34,0))*H$8+INDEX(JuniorzyNegatyw[],MATCH($A55,Juniorstwo!$A$35:$A$54,0),MATCH($B$9,Juniorstwo!$A$34:$N$34,0))*H$9+INDEX(JuniorzyNegatyw[],MATCH($A55,Juniorstwo!$A$35:$A$54,0),MATCH($B$10,Juniorstwo!$A$34:$N$34,0))*H$10+INDEX(JuniorzyNegatyw[],MATCH($A55,Juniorstwo!$A$35:$A$54,0),MATCH($B$11,Juniorstwo!$A$34:$N$34,0))*H$11+INDEX(JuniorzyNegatyw[],MATCH($A55,Juniorstwo!$A$35:$A$54,0),MATCH($B$12,Juniorstwo!$A$34:$N$34,0))*H$12+INDEX(JuniorzyNegatyw[],MATCH($A55,Juniorstwo!$A$35:$A$54,0),MATCH($B$13,Juniorstwo!$A$34:$N$34,0))*H$13,"-")</f>
        <v>71.5</v>
      </c>
      <c r="I55" s="38">
        <f ca="1">IFERROR(INDEX(JuniorzyNegatyw[],MATCH($A55,Juniorstwo!$A$35:$A$54,0),MATCH($B$2,Juniorstwo!$A$34:$N$34,0))*I$2+INDEX(JuniorzyNegatyw[],MATCH($A55,Juniorstwo!$A$35:$A$54,0),MATCH($B$3,Juniorstwo!$A$34:$N$34,0))*I$3+INDEX(JuniorzyNegatyw[],MATCH($A55,Juniorstwo!$A$35:$A$54,0),MATCH($B$4,Juniorstwo!$A$34:$N$34,0))*I$4+INDEX(JuniorzyNegatyw[],MATCH($A55,Juniorstwo!$A$35:$A$54,0),MATCH($B$5,Juniorstwo!$A$34:$N$34,0))*I$5+INDEX(JuniorzyNegatyw[],MATCH($A55,Juniorstwo!$A$35:$A$54,0),MATCH($B$6,Juniorstwo!$A$34:$N$34,0))*I$6+INDEX(JuniorzyNegatyw[],MATCH($A55,Juniorstwo!$A$35:$A$54,0),MATCH($B$7,Juniorstwo!$A$34:$N$34,0))*I$7+INDEX(JuniorzyNegatyw[],MATCH($A55,Juniorstwo!$A$35:$A$54,0),MATCH($B$8,Juniorstwo!$A$34:$N$34,0))*I$8+INDEX(JuniorzyNegatyw[],MATCH($A55,Juniorstwo!$A$35:$A$54,0),MATCH($B$9,Juniorstwo!$A$34:$N$34,0))*I$9+INDEX(JuniorzyNegatyw[],MATCH($A55,Juniorstwo!$A$35:$A$54,0),MATCH($B$10,Juniorstwo!$A$34:$N$34,0))*I$10+INDEX(JuniorzyNegatyw[],MATCH($A55,Juniorstwo!$A$35:$A$54,0),MATCH($B$11,Juniorstwo!$A$34:$N$34,0))*I$11+INDEX(JuniorzyNegatyw[],MATCH($A55,Juniorstwo!$A$35:$A$54,0),MATCH($B$12,Juniorstwo!$A$34:$N$34,0))*I$12+INDEX(JuniorzyNegatyw[],MATCH($A55,Juniorstwo!$A$35:$A$54,0),MATCH($B$13,Juniorstwo!$A$34:$N$34,0))*I$13,"-")</f>
        <v>70.5</v>
      </c>
      <c r="J55" s="38">
        <f ca="1">IFERROR(INDEX(JuniorzyNegatyw[],MATCH($A55,Juniorstwo!$A$35:$A$54,0),MATCH($B$2,Juniorstwo!$A$34:$N$34,0))*J$2+INDEX(JuniorzyNegatyw[],MATCH($A55,Juniorstwo!$A$35:$A$54,0),MATCH($B$3,Juniorstwo!$A$34:$N$34,0))*J$3+INDEX(JuniorzyNegatyw[],MATCH($A55,Juniorstwo!$A$35:$A$54,0),MATCH($B$4,Juniorstwo!$A$34:$N$34,0))*J$4+INDEX(JuniorzyNegatyw[],MATCH($A55,Juniorstwo!$A$35:$A$54,0),MATCH($B$5,Juniorstwo!$A$34:$N$34,0))*J$5+INDEX(JuniorzyNegatyw[],MATCH($A55,Juniorstwo!$A$35:$A$54,0),MATCH($B$6,Juniorstwo!$A$34:$N$34,0))*J$6+INDEX(JuniorzyNegatyw[],MATCH($A55,Juniorstwo!$A$35:$A$54,0),MATCH($B$7,Juniorstwo!$A$34:$N$34,0))*J$7+INDEX(JuniorzyNegatyw[],MATCH($A55,Juniorstwo!$A$35:$A$54,0),MATCH($B$8,Juniorstwo!$A$34:$N$34,0))*J$8+INDEX(JuniorzyNegatyw[],MATCH($A55,Juniorstwo!$A$35:$A$54,0),MATCH($B$9,Juniorstwo!$A$34:$N$34,0))*J$9+INDEX(JuniorzyNegatyw[],MATCH($A55,Juniorstwo!$A$35:$A$54,0),MATCH($B$10,Juniorstwo!$A$34:$N$34,0))*J$10+INDEX(JuniorzyNegatyw[],MATCH($A55,Juniorstwo!$A$35:$A$54,0),MATCH($B$11,Juniorstwo!$A$34:$N$34,0))*J$11+INDEX(JuniorzyNegatyw[],MATCH($A55,Juniorstwo!$A$35:$A$54,0),MATCH($B$12,Juniorstwo!$A$34:$N$34,0))*J$12+INDEX(JuniorzyNegatyw[],MATCH($A55,Juniorstwo!$A$35:$A$54,0),MATCH($B$13,Juniorstwo!$A$34:$N$34,0))*J$13,"-")</f>
        <v>70.5</v>
      </c>
      <c r="K55" s="38">
        <f ca="1">IFERROR(INDEX(JuniorzyNegatyw[],MATCH($A55,Juniorstwo!$A$35:$A$54,0),MATCH($B$2,Juniorstwo!$A$34:$N$34,0))*K$2+INDEX(JuniorzyNegatyw[],MATCH($A55,Juniorstwo!$A$35:$A$54,0),MATCH($B$3,Juniorstwo!$A$34:$N$34,0))*K$3+INDEX(JuniorzyNegatyw[],MATCH($A55,Juniorstwo!$A$35:$A$54,0),MATCH($B$4,Juniorstwo!$A$34:$N$34,0))*K$4+INDEX(JuniorzyNegatyw[],MATCH($A55,Juniorstwo!$A$35:$A$54,0),MATCH($B$5,Juniorstwo!$A$34:$N$34,0))*K$5+INDEX(JuniorzyNegatyw[],MATCH($A55,Juniorstwo!$A$35:$A$54,0),MATCH($B$6,Juniorstwo!$A$34:$N$34,0))*K$6+INDEX(JuniorzyNegatyw[],MATCH($A55,Juniorstwo!$A$35:$A$54,0),MATCH($B$7,Juniorstwo!$A$34:$N$34,0))*K$7+INDEX(JuniorzyNegatyw[],MATCH($A55,Juniorstwo!$A$35:$A$54,0),MATCH($B$8,Juniorstwo!$A$34:$N$34,0))*K$8+INDEX(JuniorzyNegatyw[],MATCH($A55,Juniorstwo!$A$35:$A$54,0),MATCH($B$9,Juniorstwo!$A$34:$N$34,0))*K$9+INDEX(JuniorzyNegatyw[],MATCH($A55,Juniorstwo!$A$35:$A$54,0),MATCH($B$10,Juniorstwo!$A$34:$N$34,0))*K$10+INDEX(JuniorzyNegatyw[],MATCH($A55,Juniorstwo!$A$35:$A$54,0),MATCH($B$11,Juniorstwo!$A$34:$N$34,0))*K$11+INDEX(JuniorzyNegatyw[],MATCH($A55,Juniorstwo!$A$35:$A$54,0),MATCH($B$12,Juniorstwo!$A$34:$N$34,0))*K$12+INDEX(JuniorzyNegatyw[],MATCH($A55,Juniorstwo!$A$35:$A$54,0),MATCH($B$13,Juniorstwo!$A$34:$N$34,0))*K$13,"-")</f>
        <v>69.5</v>
      </c>
    </row>
    <row r="56" spans="1:11" x14ac:dyDescent="0.25">
      <c r="A56">
        <f>IFERROR(PozJunNŚr[[#This Row],[Numer]],"-")</f>
        <v>22</v>
      </c>
      <c r="B56" s="3" t="str">
        <f>IFERROR(VLOOKUP(PozJunNMM[[#This Row],[Numer]],Zawodnicy[[Number]:[Player name]],2,FALSE),"-")</f>
        <v>Daniel Dziewulski</v>
      </c>
      <c r="C56" s="38">
        <f ca="1">IFERROR(INDEX(JuniorzyNegatyw[],MATCH($A56,Juniorstwo!$A$35:$A$54,0),MATCH($B$2,Juniorstwo!$A$34:$N$34,0))*C$2+INDEX(JuniorzyNegatyw[],MATCH($A56,Juniorstwo!$A$35:$A$54,0),MATCH($B$3,Juniorstwo!$A$34:$N$34,0))*C$3+INDEX(JuniorzyNegatyw[],MATCH($A56,Juniorstwo!$A$35:$A$54,0),MATCH($B$4,Juniorstwo!$A$34:$N$34,0))*C$4+INDEX(JuniorzyNegatyw[],MATCH($A56,Juniorstwo!$A$35:$A$54,0),MATCH($B$5,Juniorstwo!$A$34:$N$34,0))*C$5+INDEX(JuniorzyNegatyw[],MATCH($A56,Juniorstwo!$A$35:$A$54,0),MATCH($B$6,Juniorstwo!$A$34:$N$34,0))*C$6+INDEX(JuniorzyNegatyw[],MATCH($A56,Juniorstwo!$A$35:$A$54,0),MATCH($B$7,Juniorstwo!$A$34:$N$34,0))*C$7+INDEX(JuniorzyNegatyw[],MATCH($A56,Juniorstwo!$A$35:$A$54,0),MATCH($B$8,Juniorstwo!$A$34:$N$34,0))*C$8+INDEX(JuniorzyNegatyw[],MATCH($A56,Juniorstwo!$A$35:$A$54,0),MATCH($B$9,Juniorstwo!$A$34:$N$34,0))*C$9+INDEX(JuniorzyNegatyw[],MATCH($A56,Juniorstwo!$A$35:$A$54,0),MATCH($B$10,Juniorstwo!$A$34:$N$34,0))*C$10+INDEX(JuniorzyNegatyw[],MATCH($A56,Juniorstwo!$A$35:$A$54,0),MATCH($B$11,Juniorstwo!$A$34:$N$34,0))*C$11+INDEX(JuniorzyNegatyw[],MATCH($A56,Juniorstwo!$A$35:$A$54,0),MATCH($B$12,Juniorstwo!$A$34:$N$34,0))*C$12+INDEX(JuniorzyNegatyw[],MATCH($A56,Juniorstwo!$A$35:$A$54,0),MATCH($B$13,Juniorstwo!$A$34:$N$34,0))*C$13,"-")</f>
        <v>55.5</v>
      </c>
      <c r="D56" s="38">
        <f ca="1">IFERROR(INDEX(JuniorzyNegatyw[],MATCH($A56,Juniorstwo!$A$35:$A$54,0),MATCH($B$2,Juniorstwo!$A$34:$N$34,0))*D$2+INDEX(JuniorzyNegatyw[],MATCH($A56,Juniorstwo!$A$35:$A$54,0),MATCH($B$3,Juniorstwo!$A$34:$N$34,0))*D$3+INDEX(JuniorzyNegatyw[],MATCH($A56,Juniorstwo!$A$35:$A$54,0),MATCH($B$4,Juniorstwo!$A$34:$N$34,0))*D$4+INDEX(JuniorzyNegatyw[],MATCH($A56,Juniorstwo!$A$35:$A$54,0),MATCH($B$5,Juniorstwo!$A$34:$N$34,0))*D$5+INDEX(JuniorzyNegatyw[],MATCH($A56,Juniorstwo!$A$35:$A$54,0),MATCH($B$6,Juniorstwo!$A$34:$N$34,0))*D$6+INDEX(JuniorzyNegatyw[],MATCH($A56,Juniorstwo!$A$35:$A$54,0),MATCH($B$7,Juniorstwo!$A$34:$N$34,0))*D$7+INDEX(JuniorzyNegatyw[],MATCH($A56,Juniorstwo!$A$35:$A$54,0),MATCH($B$8,Juniorstwo!$A$34:$N$34,0))*D$8+INDEX(JuniorzyNegatyw[],MATCH($A56,Juniorstwo!$A$35:$A$54,0),MATCH($B$9,Juniorstwo!$A$34:$N$34,0))*D$9+INDEX(JuniorzyNegatyw[],MATCH($A56,Juniorstwo!$A$35:$A$54,0),MATCH($B$10,Juniorstwo!$A$34:$N$34,0))*D$10+INDEX(JuniorzyNegatyw[],MATCH($A56,Juniorstwo!$A$35:$A$54,0),MATCH($B$11,Juniorstwo!$A$34:$N$34,0))*D$11+INDEX(JuniorzyNegatyw[],MATCH($A56,Juniorstwo!$A$35:$A$54,0),MATCH($B$12,Juniorstwo!$A$34:$N$34,0))*D$12+INDEX(JuniorzyNegatyw[],MATCH($A56,Juniorstwo!$A$35:$A$54,0),MATCH($B$13,Juniorstwo!$A$34:$N$34,0))*D$13,"-")</f>
        <v>55.5</v>
      </c>
      <c r="E56" s="38">
        <f ca="1">IFERROR(INDEX(JuniorzyNegatyw[],MATCH($A56,Juniorstwo!$A$35:$A$54,0),MATCH($B$2,Juniorstwo!$A$34:$N$34,0))*E$2+INDEX(JuniorzyNegatyw[],MATCH($A56,Juniorstwo!$A$35:$A$54,0),MATCH($B$3,Juniorstwo!$A$34:$N$34,0))*E$3+INDEX(JuniorzyNegatyw[],MATCH($A56,Juniorstwo!$A$35:$A$54,0),MATCH($B$4,Juniorstwo!$A$34:$N$34,0))*E$4+INDEX(JuniorzyNegatyw[],MATCH($A56,Juniorstwo!$A$35:$A$54,0),MATCH($B$5,Juniorstwo!$A$34:$N$34,0))*E$5+INDEX(JuniorzyNegatyw[],MATCH($A56,Juniorstwo!$A$35:$A$54,0),MATCH($B$6,Juniorstwo!$A$34:$N$34,0))*E$6+INDEX(JuniorzyNegatyw[],MATCH($A56,Juniorstwo!$A$35:$A$54,0),MATCH($B$7,Juniorstwo!$A$34:$N$34,0))*E$7+INDEX(JuniorzyNegatyw[],MATCH($A56,Juniorstwo!$A$35:$A$54,0),MATCH($B$8,Juniorstwo!$A$34:$N$34,0))*E$8+INDEX(JuniorzyNegatyw[],MATCH($A56,Juniorstwo!$A$35:$A$54,0),MATCH($B$9,Juniorstwo!$A$34:$N$34,0))*E$9+INDEX(JuniorzyNegatyw[],MATCH($A56,Juniorstwo!$A$35:$A$54,0),MATCH($B$10,Juniorstwo!$A$34:$N$34,0))*E$10+INDEX(JuniorzyNegatyw[],MATCH($A56,Juniorstwo!$A$35:$A$54,0),MATCH($B$11,Juniorstwo!$A$34:$N$34,0))*E$11+INDEX(JuniorzyNegatyw[],MATCH($A56,Juniorstwo!$A$35:$A$54,0),MATCH($B$12,Juniorstwo!$A$34:$N$34,0))*E$12+INDEX(JuniorzyNegatyw[],MATCH($A56,Juniorstwo!$A$35:$A$54,0),MATCH($B$13,Juniorstwo!$A$34:$N$34,0))*E$13,"-")</f>
        <v>59.5</v>
      </c>
      <c r="F56" s="38">
        <f ca="1">IFERROR(INDEX(JuniorzyNegatyw[],MATCH($A56,Juniorstwo!$A$35:$A$54,0),MATCH($B$2,Juniorstwo!$A$34:$N$34,0))*F$2+INDEX(JuniorzyNegatyw[],MATCH($A56,Juniorstwo!$A$35:$A$54,0),MATCH($B$3,Juniorstwo!$A$34:$N$34,0))*F$3+INDEX(JuniorzyNegatyw[],MATCH($A56,Juniorstwo!$A$35:$A$54,0),MATCH($B$4,Juniorstwo!$A$34:$N$34,0))*F$4+INDEX(JuniorzyNegatyw[],MATCH($A56,Juniorstwo!$A$35:$A$54,0),MATCH($B$5,Juniorstwo!$A$34:$N$34,0))*F$5+INDEX(JuniorzyNegatyw[],MATCH($A56,Juniorstwo!$A$35:$A$54,0),MATCH($B$6,Juniorstwo!$A$34:$N$34,0))*F$6+INDEX(JuniorzyNegatyw[],MATCH($A56,Juniorstwo!$A$35:$A$54,0),MATCH($B$7,Juniorstwo!$A$34:$N$34,0))*F$7+INDEX(JuniorzyNegatyw[],MATCH($A56,Juniorstwo!$A$35:$A$54,0),MATCH($B$8,Juniorstwo!$A$34:$N$34,0))*F$8+INDEX(JuniorzyNegatyw[],MATCH($A56,Juniorstwo!$A$35:$A$54,0),MATCH($B$9,Juniorstwo!$A$34:$N$34,0))*F$9+INDEX(JuniorzyNegatyw[],MATCH($A56,Juniorstwo!$A$35:$A$54,0),MATCH($B$10,Juniorstwo!$A$34:$N$34,0))*F$10+INDEX(JuniorzyNegatyw[],MATCH($A56,Juniorstwo!$A$35:$A$54,0),MATCH($B$11,Juniorstwo!$A$34:$N$34,0))*F$11+INDEX(JuniorzyNegatyw[],MATCH($A56,Juniorstwo!$A$35:$A$54,0),MATCH($B$12,Juniorstwo!$A$34:$N$34,0))*F$12+INDEX(JuniorzyNegatyw[],MATCH($A56,Juniorstwo!$A$35:$A$54,0),MATCH($B$13,Juniorstwo!$A$34:$N$34,0))*F$13,"-")</f>
        <v>60</v>
      </c>
      <c r="G56" s="38">
        <f ca="1">IFERROR(INDEX(JuniorzyNegatyw[],MATCH($A56,Juniorstwo!$A$35:$A$54,0),MATCH($B$2,Juniorstwo!$A$34:$N$34,0))*G$2+INDEX(JuniorzyNegatyw[],MATCH($A56,Juniorstwo!$A$35:$A$54,0),MATCH($B$3,Juniorstwo!$A$34:$N$34,0))*G$3+INDEX(JuniorzyNegatyw[],MATCH($A56,Juniorstwo!$A$35:$A$54,0),MATCH($B$4,Juniorstwo!$A$34:$N$34,0))*G$4+INDEX(JuniorzyNegatyw[],MATCH($A56,Juniorstwo!$A$35:$A$54,0),MATCH($B$5,Juniorstwo!$A$34:$N$34,0))*G$5+INDEX(JuniorzyNegatyw[],MATCH($A56,Juniorstwo!$A$35:$A$54,0),MATCH($B$6,Juniorstwo!$A$34:$N$34,0))*G$6+INDEX(JuniorzyNegatyw[],MATCH($A56,Juniorstwo!$A$35:$A$54,0),MATCH($B$7,Juniorstwo!$A$34:$N$34,0))*G$7+INDEX(JuniorzyNegatyw[],MATCH($A56,Juniorstwo!$A$35:$A$54,0),MATCH($B$8,Juniorstwo!$A$34:$N$34,0))*G$8+INDEX(JuniorzyNegatyw[],MATCH($A56,Juniorstwo!$A$35:$A$54,0),MATCH($B$9,Juniorstwo!$A$34:$N$34,0))*G$9+INDEX(JuniorzyNegatyw[],MATCH($A56,Juniorstwo!$A$35:$A$54,0),MATCH($B$10,Juniorstwo!$A$34:$N$34,0))*G$10+INDEX(JuniorzyNegatyw[],MATCH($A56,Juniorstwo!$A$35:$A$54,0),MATCH($B$11,Juniorstwo!$A$34:$N$34,0))*G$11+INDEX(JuniorzyNegatyw[],MATCH($A56,Juniorstwo!$A$35:$A$54,0),MATCH($B$12,Juniorstwo!$A$34:$N$34,0))*G$12+INDEX(JuniorzyNegatyw[],MATCH($A56,Juniorstwo!$A$35:$A$54,0),MATCH($B$13,Juniorstwo!$A$34:$N$34,0))*G$13,"-")</f>
        <v>61.5</v>
      </c>
      <c r="H56" s="38">
        <f ca="1">IFERROR(INDEX(JuniorzyNegatyw[],MATCH($A56,Juniorstwo!$A$35:$A$54,0),MATCH($B$2,Juniorstwo!$A$34:$N$34,0))*H$2+INDEX(JuniorzyNegatyw[],MATCH($A56,Juniorstwo!$A$35:$A$54,0),MATCH($B$3,Juniorstwo!$A$34:$N$34,0))*H$3+INDEX(JuniorzyNegatyw[],MATCH($A56,Juniorstwo!$A$35:$A$54,0),MATCH($B$4,Juniorstwo!$A$34:$N$34,0))*H$4+INDEX(JuniorzyNegatyw[],MATCH($A56,Juniorstwo!$A$35:$A$54,0),MATCH($B$5,Juniorstwo!$A$34:$N$34,0))*H$5+INDEX(JuniorzyNegatyw[],MATCH($A56,Juniorstwo!$A$35:$A$54,0),MATCH($B$6,Juniorstwo!$A$34:$N$34,0))*H$6+INDEX(JuniorzyNegatyw[],MATCH($A56,Juniorstwo!$A$35:$A$54,0),MATCH($B$7,Juniorstwo!$A$34:$N$34,0))*H$7+INDEX(JuniorzyNegatyw[],MATCH($A56,Juniorstwo!$A$35:$A$54,0),MATCH($B$8,Juniorstwo!$A$34:$N$34,0))*H$8+INDEX(JuniorzyNegatyw[],MATCH($A56,Juniorstwo!$A$35:$A$54,0),MATCH($B$9,Juniorstwo!$A$34:$N$34,0))*H$9+INDEX(JuniorzyNegatyw[],MATCH($A56,Juniorstwo!$A$35:$A$54,0),MATCH($B$10,Juniorstwo!$A$34:$N$34,0))*H$10+INDEX(JuniorzyNegatyw[],MATCH($A56,Juniorstwo!$A$35:$A$54,0),MATCH($B$11,Juniorstwo!$A$34:$N$34,0))*H$11+INDEX(JuniorzyNegatyw[],MATCH($A56,Juniorstwo!$A$35:$A$54,0),MATCH($B$12,Juniorstwo!$A$34:$N$34,0))*H$12+INDEX(JuniorzyNegatyw[],MATCH($A56,Juniorstwo!$A$35:$A$54,0),MATCH($B$13,Juniorstwo!$A$34:$N$34,0))*H$13,"-")</f>
        <v>67.5</v>
      </c>
      <c r="I56" s="38">
        <f ca="1">IFERROR(INDEX(JuniorzyNegatyw[],MATCH($A56,Juniorstwo!$A$35:$A$54,0),MATCH($B$2,Juniorstwo!$A$34:$N$34,0))*I$2+INDEX(JuniorzyNegatyw[],MATCH($A56,Juniorstwo!$A$35:$A$54,0),MATCH($B$3,Juniorstwo!$A$34:$N$34,0))*I$3+INDEX(JuniorzyNegatyw[],MATCH($A56,Juniorstwo!$A$35:$A$54,0),MATCH($B$4,Juniorstwo!$A$34:$N$34,0))*I$4+INDEX(JuniorzyNegatyw[],MATCH($A56,Juniorstwo!$A$35:$A$54,0),MATCH($B$5,Juniorstwo!$A$34:$N$34,0))*I$5+INDEX(JuniorzyNegatyw[],MATCH($A56,Juniorstwo!$A$35:$A$54,0),MATCH($B$6,Juniorstwo!$A$34:$N$34,0))*I$6+INDEX(JuniorzyNegatyw[],MATCH($A56,Juniorstwo!$A$35:$A$54,0),MATCH($B$7,Juniorstwo!$A$34:$N$34,0))*I$7+INDEX(JuniorzyNegatyw[],MATCH($A56,Juniorstwo!$A$35:$A$54,0),MATCH($B$8,Juniorstwo!$A$34:$N$34,0))*I$8+INDEX(JuniorzyNegatyw[],MATCH($A56,Juniorstwo!$A$35:$A$54,0),MATCH($B$9,Juniorstwo!$A$34:$N$34,0))*I$9+INDEX(JuniorzyNegatyw[],MATCH($A56,Juniorstwo!$A$35:$A$54,0),MATCH($B$10,Juniorstwo!$A$34:$N$34,0))*I$10+INDEX(JuniorzyNegatyw[],MATCH($A56,Juniorstwo!$A$35:$A$54,0),MATCH($B$11,Juniorstwo!$A$34:$N$34,0))*I$11+INDEX(JuniorzyNegatyw[],MATCH($A56,Juniorstwo!$A$35:$A$54,0),MATCH($B$12,Juniorstwo!$A$34:$N$34,0))*I$12+INDEX(JuniorzyNegatyw[],MATCH($A56,Juniorstwo!$A$35:$A$54,0),MATCH($B$13,Juniorstwo!$A$34:$N$34,0))*I$13,"-")</f>
        <v>66</v>
      </c>
      <c r="J56" s="38">
        <f ca="1">IFERROR(INDEX(JuniorzyNegatyw[],MATCH($A56,Juniorstwo!$A$35:$A$54,0),MATCH($B$2,Juniorstwo!$A$34:$N$34,0))*J$2+INDEX(JuniorzyNegatyw[],MATCH($A56,Juniorstwo!$A$35:$A$54,0),MATCH($B$3,Juniorstwo!$A$34:$N$34,0))*J$3+INDEX(JuniorzyNegatyw[],MATCH($A56,Juniorstwo!$A$35:$A$54,0),MATCH($B$4,Juniorstwo!$A$34:$N$34,0))*J$4+INDEX(JuniorzyNegatyw[],MATCH($A56,Juniorstwo!$A$35:$A$54,0),MATCH($B$5,Juniorstwo!$A$34:$N$34,0))*J$5+INDEX(JuniorzyNegatyw[],MATCH($A56,Juniorstwo!$A$35:$A$54,0),MATCH($B$6,Juniorstwo!$A$34:$N$34,0))*J$6+INDEX(JuniorzyNegatyw[],MATCH($A56,Juniorstwo!$A$35:$A$54,0),MATCH($B$7,Juniorstwo!$A$34:$N$34,0))*J$7+INDEX(JuniorzyNegatyw[],MATCH($A56,Juniorstwo!$A$35:$A$54,0),MATCH($B$8,Juniorstwo!$A$34:$N$34,0))*J$8+INDEX(JuniorzyNegatyw[],MATCH($A56,Juniorstwo!$A$35:$A$54,0),MATCH($B$9,Juniorstwo!$A$34:$N$34,0))*J$9+INDEX(JuniorzyNegatyw[],MATCH($A56,Juniorstwo!$A$35:$A$54,0),MATCH($B$10,Juniorstwo!$A$34:$N$34,0))*J$10+INDEX(JuniorzyNegatyw[],MATCH($A56,Juniorstwo!$A$35:$A$54,0),MATCH($B$11,Juniorstwo!$A$34:$N$34,0))*J$11+INDEX(JuniorzyNegatyw[],MATCH($A56,Juniorstwo!$A$35:$A$54,0),MATCH($B$12,Juniorstwo!$A$34:$N$34,0))*J$12+INDEX(JuniorzyNegatyw[],MATCH($A56,Juniorstwo!$A$35:$A$54,0),MATCH($B$13,Juniorstwo!$A$34:$N$34,0))*J$13,"-")</f>
        <v>68</v>
      </c>
      <c r="K56" s="38">
        <f ca="1">IFERROR(INDEX(JuniorzyNegatyw[],MATCH($A56,Juniorstwo!$A$35:$A$54,0),MATCH($B$2,Juniorstwo!$A$34:$N$34,0))*K$2+INDEX(JuniorzyNegatyw[],MATCH($A56,Juniorstwo!$A$35:$A$54,0),MATCH($B$3,Juniorstwo!$A$34:$N$34,0))*K$3+INDEX(JuniorzyNegatyw[],MATCH($A56,Juniorstwo!$A$35:$A$54,0),MATCH($B$4,Juniorstwo!$A$34:$N$34,0))*K$4+INDEX(JuniorzyNegatyw[],MATCH($A56,Juniorstwo!$A$35:$A$54,0),MATCH($B$5,Juniorstwo!$A$34:$N$34,0))*K$5+INDEX(JuniorzyNegatyw[],MATCH($A56,Juniorstwo!$A$35:$A$54,0),MATCH($B$6,Juniorstwo!$A$34:$N$34,0))*K$6+INDEX(JuniorzyNegatyw[],MATCH($A56,Juniorstwo!$A$35:$A$54,0),MATCH($B$7,Juniorstwo!$A$34:$N$34,0))*K$7+INDEX(JuniorzyNegatyw[],MATCH($A56,Juniorstwo!$A$35:$A$54,0),MATCH($B$8,Juniorstwo!$A$34:$N$34,0))*K$8+INDEX(JuniorzyNegatyw[],MATCH($A56,Juniorstwo!$A$35:$A$54,0),MATCH($B$9,Juniorstwo!$A$34:$N$34,0))*K$9+INDEX(JuniorzyNegatyw[],MATCH($A56,Juniorstwo!$A$35:$A$54,0),MATCH($B$10,Juniorstwo!$A$34:$N$34,0))*K$10+INDEX(JuniorzyNegatyw[],MATCH($A56,Juniorstwo!$A$35:$A$54,0),MATCH($B$11,Juniorstwo!$A$34:$N$34,0))*K$11+INDEX(JuniorzyNegatyw[],MATCH($A56,Juniorstwo!$A$35:$A$54,0),MATCH($B$12,Juniorstwo!$A$34:$N$34,0))*K$12+INDEX(JuniorzyNegatyw[],MATCH($A56,Juniorstwo!$A$35:$A$54,0),MATCH($B$13,Juniorstwo!$A$34:$N$34,0))*K$13,"-")</f>
        <v>66</v>
      </c>
    </row>
    <row r="57" spans="1:11" x14ac:dyDescent="0.25">
      <c r="A57">
        <f>IFERROR(PozJunNŚr[[#This Row],[Numer]],"-")</f>
        <v>25</v>
      </c>
      <c r="B57" s="3" t="str">
        <f>IFERROR(VLOOKUP(PozJunNMM[[#This Row],[Numer]],Zawodnicy[[Number]:[Player name]],2,FALSE),"-")</f>
        <v>Jakub Ludwiczak</v>
      </c>
      <c r="C57" s="38">
        <f ca="1">IFERROR(INDEX(JuniorzyNegatyw[],MATCH($A57,Juniorstwo!$A$35:$A$54,0),MATCH($B$2,Juniorstwo!$A$34:$N$34,0))*C$2+INDEX(JuniorzyNegatyw[],MATCH($A57,Juniorstwo!$A$35:$A$54,0),MATCH($B$3,Juniorstwo!$A$34:$N$34,0))*C$3+INDEX(JuniorzyNegatyw[],MATCH($A57,Juniorstwo!$A$35:$A$54,0),MATCH($B$4,Juniorstwo!$A$34:$N$34,0))*C$4+INDEX(JuniorzyNegatyw[],MATCH($A57,Juniorstwo!$A$35:$A$54,0),MATCH($B$5,Juniorstwo!$A$34:$N$34,0))*C$5+INDEX(JuniorzyNegatyw[],MATCH($A57,Juniorstwo!$A$35:$A$54,0),MATCH($B$6,Juniorstwo!$A$34:$N$34,0))*C$6+INDEX(JuniorzyNegatyw[],MATCH($A57,Juniorstwo!$A$35:$A$54,0),MATCH($B$7,Juniorstwo!$A$34:$N$34,0))*C$7+INDEX(JuniorzyNegatyw[],MATCH($A57,Juniorstwo!$A$35:$A$54,0),MATCH($B$8,Juniorstwo!$A$34:$N$34,0))*C$8+INDEX(JuniorzyNegatyw[],MATCH($A57,Juniorstwo!$A$35:$A$54,0),MATCH($B$9,Juniorstwo!$A$34:$N$34,0))*C$9+INDEX(JuniorzyNegatyw[],MATCH($A57,Juniorstwo!$A$35:$A$54,0),MATCH($B$10,Juniorstwo!$A$34:$N$34,0))*C$10+INDEX(JuniorzyNegatyw[],MATCH($A57,Juniorstwo!$A$35:$A$54,0),MATCH($B$11,Juniorstwo!$A$34:$N$34,0))*C$11+INDEX(JuniorzyNegatyw[],MATCH($A57,Juniorstwo!$A$35:$A$54,0),MATCH($B$12,Juniorstwo!$A$34:$N$34,0))*C$12+INDEX(JuniorzyNegatyw[],MATCH($A57,Juniorstwo!$A$35:$A$54,0),MATCH($B$13,Juniorstwo!$A$34:$N$34,0))*C$13,"-")</f>
        <v>67</v>
      </c>
      <c r="D57" s="38">
        <f ca="1">IFERROR(INDEX(JuniorzyNegatyw[],MATCH($A57,Juniorstwo!$A$35:$A$54,0),MATCH($B$2,Juniorstwo!$A$34:$N$34,0))*D$2+INDEX(JuniorzyNegatyw[],MATCH($A57,Juniorstwo!$A$35:$A$54,0),MATCH($B$3,Juniorstwo!$A$34:$N$34,0))*D$3+INDEX(JuniorzyNegatyw[],MATCH($A57,Juniorstwo!$A$35:$A$54,0),MATCH($B$4,Juniorstwo!$A$34:$N$34,0))*D$4+INDEX(JuniorzyNegatyw[],MATCH($A57,Juniorstwo!$A$35:$A$54,0),MATCH($B$5,Juniorstwo!$A$34:$N$34,0))*D$5+INDEX(JuniorzyNegatyw[],MATCH($A57,Juniorstwo!$A$35:$A$54,0),MATCH($B$6,Juniorstwo!$A$34:$N$34,0))*D$6+INDEX(JuniorzyNegatyw[],MATCH($A57,Juniorstwo!$A$35:$A$54,0),MATCH($B$7,Juniorstwo!$A$34:$N$34,0))*D$7+INDEX(JuniorzyNegatyw[],MATCH($A57,Juniorstwo!$A$35:$A$54,0),MATCH($B$8,Juniorstwo!$A$34:$N$34,0))*D$8+INDEX(JuniorzyNegatyw[],MATCH($A57,Juniorstwo!$A$35:$A$54,0),MATCH($B$9,Juniorstwo!$A$34:$N$34,0))*D$9+INDEX(JuniorzyNegatyw[],MATCH($A57,Juniorstwo!$A$35:$A$54,0),MATCH($B$10,Juniorstwo!$A$34:$N$34,0))*D$10+INDEX(JuniorzyNegatyw[],MATCH($A57,Juniorstwo!$A$35:$A$54,0),MATCH($B$11,Juniorstwo!$A$34:$N$34,0))*D$11+INDEX(JuniorzyNegatyw[],MATCH($A57,Juniorstwo!$A$35:$A$54,0),MATCH($B$12,Juniorstwo!$A$34:$N$34,0))*D$12+INDEX(JuniorzyNegatyw[],MATCH($A57,Juniorstwo!$A$35:$A$54,0),MATCH($B$13,Juniorstwo!$A$34:$N$34,0))*D$13,"-")</f>
        <v>67.5</v>
      </c>
      <c r="E57" s="38">
        <f ca="1">IFERROR(INDEX(JuniorzyNegatyw[],MATCH($A57,Juniorstwo!$A$35:$A$54,0),MATCH($B$2,Juniorstwo!$A$34:$N$34,0))*E$2+INDEX(JuniorzyNegatyw[],MATCH($A57,Juniorstwo!$A$35:$A$54,0),MATCH($B$3,Juniorstwo!$A$34:$N$34,0))*E$3+INDEX(JuniorzyNegatyw[],MATCH($A57,Juniorstwo!$A$35:$A$54,0),MATCH($B$4,Juniorstwo!$A$34:$N$34,0))*E$4+INDEX(JuniorzyNegatyw[],MATCH($A57,Juniorstwo!$A$35:$A$54,0),MATCH($B$5,Juniorstwo!$A$34:$N$34,0))*E$5+INDEX(JuniorzyNegatyw[],MATCH($A57,Juniorstwo!$A$35:$A$54,0),MATCH($B$6,Juniorstwo!$A$34:$N$34,0))*E$6+INDEX(JuniorzyNegatyw[],MATCH($A57,Juniorstwo!$A$35:$A$54,0),MATCH($B$7,Juniorstwo!$A$34:$N$34,0))*E$7+INDEX(JuniorzyNegatyw[],MATCH($A57,Juniorstwo!$A$35:$A$54,0),MATCH($B$8,Juniorstwo!$A$34:$N$34,0))*E$8+INDEX(JuniorzyNegatyw[],MATCH($A57,Juniorstwo!$A$35:$A$54,0),MATCH($B$9,Juniorstwo!$A$34:$N$34,0))*E$9+INDEX(JuniorzyNegatyw[],MATCH($A57,Juniorstwo!$A$35:$A$54,0),MATCH($B$10,Juniorstwo!$A$34:$N$34,0))*E$10+INDEX(JuniorzyNegatyw[],MATCH($A57,Juniorstwo!$A$35:$A$54,0),MATCH($B$11,Juniorstwo!$A$34:$N$34,0))*E$11+INDEX(JuniorzyNegatyw[],MATCH($A57,Juniorstwo!$A$35:$A$54,0),MATCH($B$12,Juniorstwo!$A$34:$N$34,0))*E$12+INDEX(JuniorzyNegatyw[],MATCH($A57,Juniorstwo!$A$35:$A$54,0),MATCH($B$13,Juniorstwo!$A$34:$N$34,0))*E$13,"-")</f>
        <v>68.5</v>
      </c>
      <c r="F57" s="38">
        <f ca="1">IFERROR(INDEX(JuniorzyNegatyw[],MATCH($A57,Juniorstwo!$A$35:$A$54,0),MATCH($B$2,Juniorstwo!$A$34:$N$34,0))*F$2+INDEX(JuniorzyNegatyw[],MATCH($A57,Juniorstwo!$A$35:$A$54,0),MATCH($B$3,Juniorstwo!$A$34:$N$34,0))*F$3+INDEX(JuniorzyNegatyw[],MATCH($A57,Juniorstwo!$A$35:$A$54,0),MATCH($B$4,Juniorstwo!$A$34:$N$34,0))*F$4+INDEX(JuniorzyNegatyw[],MATCH($A57,Juniorstwo!$A$35:$A$54,0),MATCH($B$5,Juniorstwo!$A$34:$N$34,0))*F$5+INDEX(JuniorzyNegatyw[],MATCH($A57,Juniorstwo!$A$35:$A$54,0),MATCH($B$6,Juniorstwo!$A$34:$N$34,0))*F$6+INDEX(JuniorzyNegatyw[],MATCH($A57,Juniorstwo!$A$35:$A$54,0),MATCH($B$7,Juniorstwo!$A$34:$N$34,0))*F$7+INDEX(JuniorzyNegatyw[],MATCH($A57,Juniorstwo!$A$35:$A$54,0),MATCH($B$8,Juniorstwo!$A$34:$N$34,0))*F$8+INDEX(JuniorzyNegatyw[],MATCH($A57,Juniorstwo!$A$35:$A$54,0),MATCH($B$9,Juniorstwo!$A$34:$N$34,0))*F$9+INDEX(JuniorzyNegatyw[],MATCH($A57,Juniorstwo!$A$35:$A$54,0),MATCH($B$10,Juniorstwo!$A$34:$N$34,0))*F$10+INDEX(JuniorzyNegatyw[],MATCH($A57,Juniorstwo!$A$35:$A$54,0),MATCH($B$11,Juniorstwo!$A$34:$N$34,0))*F$11+INDEX(JuniorzyNegatyw[],MATCH($A57,Juniorstwo!$A$35:$A$54,0),MATCH($B$12,Juniorstwo!$A$34:$N$34,0))*F$12+INDEX(JuniorzyNegatyw[],MATCH($A57,Juniorstwo!$A$35:$A$54,0),MATCH($B$13,Juniorstwo!$A$34:$N$34,0))*F$13,"-")</f>
        <v>70.5</v>
      </c>
      <c r="G57" s="38">
        <f ca="1">IFERROR(INDEX(JuniorzyNegatyw[],MATCH($A57,Juniorstwo!$A$35:$A$54,0),MATCH($B$2,Juniorstwo!$A$34:$N$34,0))*G$2+INDEX(JuniorzyNegatyw[],MATCH($A57,Juniorstwo!$A$35:$A$54,0),MATCH($B$3,Juniorstwo!$A$34:$N$34,0))*G$3+INDEX(JuniorzyNegatyw[],MATCH($A57,Juniorstwo!$A$35:$A$54,0),MATCH($B$4,Juniorstwo!$A$34:$N$34,0))*G$4+INDEX(JuniorzyNegatyw[],MATCH($A57,Juniorstwo!$A$35:$A$54,0),MATCH($B$5,Juniorstwo!$A$34:$N$34,0))*G$5+INDEX(JuniorzyNegatyw[],MATCH($A57,Juniorstwo!$A$35:$A$54,0),MATCH($B$6,Juniorstwo!$A$34:$N$34,0))*G$6+INDEX(JuniorzyNegatyw[],MATCH($A57,Juniorstwo!$A$35:$A$54,0),MATCH($B$7,Juniorstwo!$A$34:$N$34,0))*G$7+INDEX(JuniorzyNegatyw[],MATCH($A57,Juniorstwo!$A$35:$A$54,0),MATCH($B$8,Juniorstwo!$A$34:$N$34,0))*G$8+INDEX(JuniorzyNegatyw[],MATCH($A57,Juniorstwo!$A$35:$A$54,0),MATCH($B$9,Juniorstwo!$A$34:$N$34,0))*G$9+INDEX(JuniorzyNegatyw[],MATCH($A57,Juniorstwo!$A$35:$A$54,0),MATCH($B$10,Juniorstwo!$A$34:$N$34,0))*G$10+INDEX(JuniorzyNegatyw[],MATCH($A57,Juniorstwo!$A$35:$A$54,0),MATCH($B$11,Juniorstwo!$A$34:$N$34,0))*G$11+INDEX(JuniorzyNegatyw[],MATCH($A57,Juniorstwo!$A$35:$A$54,0),MATCH($B$12,Juniorstwo!$A$34:$N$34,0))*G$12+INDEX(JuniorzyNegatyw[],MATCH($A57,Juniorstwo!$A$35:$A$54,0),MATCH($B$13,Juniorstwo!$A$34:$N$34,0))*G$13,"-")</f>
        <v>71</v>
      </c>
      <c r="H57" s="38">
        <f ca="1">IFERROR(INDEX(JuniorzyNegatyw[],MATCH($A57,Juniorstwo!$A$35:$A$54,0),MATCH($B$2,Juniorstwo!$A$34:$N$34,0))*H$2+INDEX(JuniorzyNegatyw[],MATCH($A57,Juniorstwo!$A$35:$A$54,0),MATCH($B$3,Juniorstwo!$A$34:$N$34,0))*H$3+INDEX(JuniorzyNegatyw[],MATCH($A57,Juniorstwo!$A$35:$A$54,0),MATCH($B$4,Juniorstwo!$A$34:$N$34,0))*H$4+INDEX(JuniorzyNegatyw[],MATCH($A57,Juniorstwo!$A$35:$A$54,0),MATCH($B$5,Juniorstwo!$A$34:$N$34,0))*H$5+INDEX(JuniorzyNegatyw[],MATCH($A57,Juniorstwo!$A$35:$A$54,0),MATCH($B$6,Juniorstwo!$A$34:$N$34,0))*H$6+INDEX(JuniorzyNegatyw[],MATCH($A57,Juniorstwo!$A$35:$A$54,0),MATCH($B$7,Juniorstwo!$A$34:$N$34,0))*H$7+INDEX(JuniorzyNegatyw[],MATCH($A57,Juniorstwo!$A$35:$A$54,0),MATCH($B$8,Juniorstwo!$A$34:$N$34,0))*H$8+INDEX(JuniorzyNegatyw[],MATCH($A57,Juniorstwo!$A$35:$A$54,0),MATCH($B$9,Juniorstwo!$A$34:$N$34,0))*H$9+INDEX(JuniorzyNegatyw[],MATCH($A57,Juniorstwo!$A$35:$A$54,0),MATCH($B$10,Juniorstwo!$A$34:$N$34,0))*H$10+INDEX(JuniorzyNegatyw[],MATCH($A57,Juniorstwo!$A$35:$A$54,0),MATCH($B$11,Juniorstwo!$A$34:$N$34,0))*H$11+INDEX(JuniorzyNegatyw[],MATCH($A57,Juniorstwo!$A$35:$A$54,0),MATCH($B$12,Juniorstwo!$A$34:$N$34,0))*H$12+INDEX(JuniorzyNegatyw[],MATCH($A57,Juniorstwo!$A$35:$A$54,0),MATCH($B$13,Juniorstwo!$A$34:$N$34,0))*H$13,"-")</f>
        <v>73</v>
      </c>
      <c r="I57" s="38">
        <f ca="1">IFERROR(INDEX(JuniorzyNegatyw[],MATCH($A57,Juniorstwo!$A$35:$A$54,0),MATCH($B$2,Juniorstwo!$A$34:$N$34,0))*I$2+INDEX(JuniorzyNegatyw[],MATCH($A57,Juniorstwo!$A$35:$A$54,0),MATCH($B$3,Juniorstwo!$A$34:$N$34,0))*I$3+INDEX(JuniorzyNegatyw[],MATCH($A57,Juniorstwo!$A$35:$A$54,0),MATCH($B$4,Juniorstwo!$A$34:$N$34,0))*I$4+INDEX(JuniorzyNegatyw[],MATCH($A57,Juniorstwo!$A$35:$A$54,0),MATCH($B$5,Juniorstwo!$A$34:$N$34,0))*I$5+INDEX(JuniorzyNegatyw[],MATCH($A57,Juniorstwo!$A$35:$A$54,0),MATCH($B$6,Juniorstwo!$A$34:$N$34,0))*I$6+INDEX(JuniorzyNegatyw[],MATCH($A57,Juniorstwo!$A$35:$A$54,0),MATCH($B$7,Juniorstwo!$A$34:$N$34,0))*I$7+INDEX(JuniorzyNegatyw[],MATCH($A57,Juniorstwo!$A$35:$A$54,0),MATCH($B$8,Juniorstwo!$A$34:$N$34,0))*I$8+INDEX(JuniorzyNegatyw[],MATCH($A57,Juniorstwo!$A$35:$A$54,0),MATCH($B$9,Juniorstwo!$A$34:$N$34,0))*I$9+INDEX(JuniorzyNegatyw[],MATCH($A57,Juniorstwo!$A$35:$A$54,0),MATCH($B$10,Juniorstwo!$A$34:$N$34,0))*I$10+INDEX(JuniorzyNegatyw[],MATCH($A57,Juniorstwo!$A$35:$A$54,0),MATCH($B$11,Juniorstwo!$A$34:$N$34,0))*I$11+INDEX(JuniorzyNegatyw[],MATCH($A57,Juniorstwo!$A$35:$A$54,0),MATCH($B$12,Juniorstwo!$A$34:$N$34,0))*I$12+INDEX(JuniorzyNegatyw[],MATCH($A57,Juniorstwo!$A$35:$A$54,0),MATCH($B$13,Juniorstwo!$A$34:$N$34,0))*I$13,"-")</f>
        <v>73.5</v>
      </c>
      <c r="J57" s="38">
        <f ca="1">IFERROR(INDEX(JuniorzyNegatyw[],MATCH($A57,Juniorstwo!$A$35:$A$54,0),MATCH($B$2,Juniorstwo!$A$34:$N$34,0))*J$2+INDEX(JuniorzyNegatyw[],MATCH($A57,Juniorstwo!$A$35:$A$54,0),MATCH($B$3,Juniorstwo!$A$34:$N$34,0))*J$3+INDEX(JuniorzyNegatyw[],MATCH($A57,Juniorstwo!$A$35:$A$54,0),MATCH($B$4,Juniorstwo!$A$34:$N$34,0))*J$4+INDEX(JuniorzyNegatyw[],MATCH($A57,Juniorstwo!$A$35:$A$54,0),MATCH($B$5,Juniorstwo!$A$34:$N$34,0))*J$5+INDEX(JuniorzyNegatyw[],MATCH($A57,Juniorstwo!$A$35:$A$54,0),MATCH($B$6,Juniorstwo!$A$34:$N$34,0))*J$6+INDEX(JuniorzyNegatyw[],MATCH($A57,Juniorstwo!$A$35:$A$54,0),MATCH($B$7,Juniorstwo!$A$34:$N$34,0))*J$7+INDEX(JuniorzyNegatyw[],MATCH($A57,Juniorstwo!$A$35:$A$54,0),MATCH($B$8,Juniorstwo!$A$34:$N$34,0))*J$8+INDEX(JuniorzyNegatyw[],MATCH($A57,Juniorstwo!$A$35:$A$54,0),MATCH($B$9,Juniorstwo!$A$34:$N$34,0))*J$9+INDEX(JuniorzyNegatyw[],MATCH($A57,Juniorstwo!$A$35:$A$54,0),MATCH($B$10,Juniorstwo!$A$34:$N$34,0))*J$10+INDEX(JuniorzyNegatyw[],MATCH($A57,Juniorstwo!$A$35:$A$54,0),MATCH($B$11,Juniorstwo!$A$34:$N$34,0))*J$11+INDEX(JuniorzyNegatyw[],MATCH($A57,Juniorstwo!$A$35:$A$54,0),MATCH($B$12,Juniorstwo!$A$34:$N$34,0))*J$12+INDEX(JuniorzyNegatyw[],MATCH($A57,Juniorstwo!$A$35:$A$54,0),MATCH($B$13,Juniorstwo!$A$34:$N$34,0))*J$13,"-")</f>
        <v>72</v>
      </c>
      <c r="K57" s="38">
        <f ca="1">IFERROR(INDEX(JuniorzyNegatyw[],MATCH($A57,Juniorstwo!$A$35:$A$54,0),MATCH($B$2,Juniorstwo!$A$34:$N$34,0))*K$2+INDEX(JuniorzyNegatyw[],MATCH($A57,Juniorstwo!$A$35:$A$54,0),MATCH($B$3,Juniorstwo!$A$34:$N$34,0))*K$3+INDEX(JuniorzyNegatyw[],MATCH($A57,Juniorstwo!$A$35:$A$54,0),MATCH($B$4,Juniorstwo!$A$34:$N$34,0))*K$4+INDEX(JuniorzyNegatyw[],MATCH($A57,Juniorstwo!$A$35:$A$54,0),MATCH($B$5,Juniorstwo!$A$34:$N$34,0))*K$5+INDEX(JuniorzyNegatyw[],MATCH($A57,Juniorstwo!$A$35:$A$54,0),MATCH($B$6,Juniorstwo!$A$34:$N$34,0))*K$6+INDEX(JuniorzyNegatyw[],MATCH($A57,Juniorstwo!$A$35:$A$54,0),MATCH($B$7,Juniorstwo!$A$34:$N$34,0))*K$7+INDEX(JuniorzyNegatyw[],MATCH($A57,Juniorstwo!$A$35:$A$54,0),MATCH($B$8,Juniorstwo!$A$34:$N$34,0))*K$8+INDEX(JuniorzyNegatyw[],MATCH($A57,Juniorstwo!$A$35:$A$54,0),MATCH($B$9,Juniorstwo!$A$34:$N$34,0))*K$9+INDEX(JuniorzyNegatyw[],MATCH($A57,Juniorstwo!$A$35:$A$54,0),MATCH($B$10,Juniorstwo!$A$34:$N$34,0))*K$10+INDEX(JuniorzyNegatyw[],MATCH($A57,Juniorstwo!$A$35:$A$54,0),MATCH($B$11,Juniorstwo!$A$34:$N$34,0))*K$11+INDEX(JuniorzyNegatyw[],MATCH($A57,Juniorstwo!$A$35:$A$54,0),MATCH($B$12,Juniorstwo!$A$34:$N$34,0))*K$12+INDEX(JuniorzyNegatyw[],MATCH($A57,Juniorstwo!$A$35:$A$54,0),MATCH($B$13,Juniorstwo!$A$34:$N$34,0))*K$13,"-")</f>
        <v>72</v>
      </c>
    </row>
    <row r="58" spans="1:11" x14ac:dyDescent="0.25">
      <c r="A58">
        <f>IFERROR(PozJunNŚr[[#This Row],[Numer]],"-")</f>
        <v>26</v>
      </c>
      <c r="B58" s="3" t="str">
        <f>IFERROR(VLOOKUP(PozJunNMM[[#This Row],[Numer]],Zawodnicy[[Number]:[Player name]],2,FALSE),"-")</f>
        <v>Ignacy Lato</v>
      </c>
      <c r="C58" s="38">
        <f ca="1">IFERROR(INDEX(JuniorzyNegatyw[],MATCH($A58,Juniorstwo!$A$35:$A$54,0),MATCH($B$2,Juniorstwo!$A$34:$N$34,0))*C$2+INDEX(JuniorzyNegatyw[],MATCH($A58,Juniorstwo!$A$35:$A$54,0),MATCH($B$3,Juniorstwo!$A$34:$N$34,0))*C$3+INDEX(JuniorzyNegatyw[],MATCH($A58,Juniorstwo!$A$35:$A$54,0),MATCH($B$4,Juniorstwo!$A$34:$N$34,0))*C$4+INDEX(JuniorzyNegatyw[],MATCH($A58,Juniorstwo!$A$35:$A$54,0),MATCH($B$5,Juniorstwo!$A$34:$N$34,0))*C$5+INDEX(JuniorzyNegatyw[],MATCH($A58,Juniorstwo!$A$35:$A$54,0),MATCH($B$6,Juniorstwo!$A$34:$N$34,0))*C$6+INDEX(JuniorzyNegatyw[],MATCH($A58,Juniorstwo!$A$35:$A$54,0),MATCH($B$7,Juniorstwo!$A$34:$N$34,0))*C$7+INDEX(JuniorzyNegatyw[],MATCH($A58,Juniorstwo!$A$35:$A$54,0),MATCH($B$8,Juniorstwo!$A$34:$N$34,0))*C$8+INDEX(JuniorzyNegatyw[],MATCH($A58,Juniorstwo!$A$35:$A$54,0),MATCH($B$9,Juniorstwo!$A$34:$N$34,0))*C$9+INDEX(JuniorzyNegatyw[],MATCH($A58,Juniorstwo!$A$35:$A$54,0),MATCH($B$10,Juniorstwo!$A$34:$N$34,0))*C$10+INDEX(JuniorzyNegatyw[],MATCH($A58,Juniorstwo!$A$35:$A$54,0),MATCH($B$11,Juniorstwo!$A$34:$N$34,0))*C$11+INDEX(JuniorzyNegatyw[],MATCH($A58,Juniorstwo!$A$35:$A$54,0),MATCH($B$12,Juniorstwo!$A$34:$N$34,0))*C$12+INDEX(JuniorzyNegatyw[],MATCH($A58,Juniorstwo!$A$35:$A$54,0),MATCH($B$13,Juniorstwo!$A$34:$N$34,0))*C$13,"-")</f>
        <v>66.5</v>
      </c>
      <c r="D58" s="38">
        <f ca="1">IFERROR(INDEX(JuniorzyNegatyw[],MATCH($A58,Juniorstwo!$A$35:$A$54,0),MATCH($B$2,Juniorstwo!$A$34:$N$34,0))*D$2+INDEX(JuniorzyNegatyw[],MATCH($A58,Juniorstwo!$A$35:$A$54,0),MATCH($B$3,Juniorstwo!$A$34:$N$34,0))*D$3+INDEX(JuniorzyNegatyw[],MATCH($A58,Juniorstwo!$A$35:$A$54,0),MATCH($B$4,Juniorstwo!$A$34:$N$34,0))*D$4+INDEX(JuniorzyNegatyw[],MATCH($A58,Juniorstwo!$A$35:$A$54,0),MATCH($B$5,Juniorstwo!$A$34:$N$34,0))*D$5+INDEX(JuniorzyNegatyw[],MATCH($A58,Juniorstwo!$A$35:$A$54,0),MATCH($B$6,Juniorstwo!$A$34:$N$34,0))*D$6+INDEX(JuniorzyNegatyw[],MATCH($A58,Juniorstwo!$A$35:$A$54,0),MATCH($B$7,Juniorstwo!$A$34:$N$34,0))*D$7+INDEX(JuniorzyNegatyw[],MATCH($A58,Juniorstwo!$A$35:$A$54,0),MATCH($B$8,Juniorstwo!$A$34:$N$34,0))*D$8+INDEX(JuniorzyNegatyw[],MATCH($A58,Juniorstwo!$A$35:$A$54,0),MATCH($B$9,Juniorstwo!$A$34:$N$34,0))*D$9+INDEX(JuniorzyNegatyw[],MATCH($A58,Juniorstwo!$A$35:$A$54,0),MATCH($B$10,Juniorstwo!$A$34:$N$34,0))*D$10+INDEX(JuniorzyNegatyw[],MATCH($A58,Juniorstwo!$A$35:$A$54,0),MATCH($B$11,Juniorstwo!$A$34:$N$34,0))*D$11+INDEX(JuniorzyNegatyw[],MATCH($A58,Juniorstwo!$A$35:$A$54,0),MATCH($B$12,Juniorstwo!$A$34:$N$34,0))*D$12+INDEX(JuniorzyNegatyw[],MATCH($A58,Juniorstwo!$A$35:$A$54,0),MATCH($B$13,Juniorstwo!$A$34:$N$34,0))*D$13,"-")</f>
        <v>71.5</v>
      </c>
      <c r="E58" s="38">
        <f ca="1">IFERROR(INDEX(JuniorzyNegatyw[],MATCH($A58,Juniorstwo!$A$35:$A$54,0),MATCH($B$2,Juniorstwo!$A$34:$N$34,0))*E$2+INDEX(JuniorzyNegatyw[],MATCH($A58,Juniorstwo!$A$35:$A$54,0),MATCH($B$3,Juniorstwo!$A$34:$N$34,0))*E$3+INDEX(JuniorzyNegatyw[],MATCH($A58,Juniorstwo!$A$35:$A$54,0),MATCH($B$4,Juniorstwo!$A$34:$N$34,0))*E$4+INDEX(JuniorzyNegatyw[],MATCH($A58,Juniorstwo!$A$35:$A$54,0),MATCH($B$5,Juniorstwo!$A$34:$N$34,0))*E$5+INDEX(JuniorzyNegatyw[],MATCH($A58,Juniorstwo!$A$35:$A$54,0),MATCH($B$6,Juniorstwo!$A$34:$N$34,0))*E$6+INDEX(JuniorzyNegatyw[],MATCH($A58,Juniorstwo!$A$35:$A$54,0),MATCH($B$7,Juniorstwo!$A$34:$N$34,0))*E$7+INDEX(JuniorzyNegatyw[],MATCH($A58,Juniorstwo!$A$35:$A$54,0),MATCH($B$8,Juniorstwo!$A$34:$N$34,0))*E$8+INDEX(JuniorzyNegatyw[],MATCH($A58,Juniorstwo!$A$35:$A$54,0),MATCH($B$9,Juniorstwo!$A$34:$N$34,0))*E$9+INDEX(JuniorzyNegatyw[],MATCH($A58,Juniorstwo!$A$35:$A$54,0),MATCH($B$10,Juniorstwo!$A$34:$N$34,0))*E$10+INDEX(JuniorzyNegatyw[],MATCH($A58,Juniorstwo!$A$35:$A$54,0),MATCH($B$11,Juniorstwo!$A$34:$N$34,0))*E$11+INDEX(JuniorzyNegatyw[],MATCH($A58,Juniorstwo!$A$35:$A$54,0),MATCH($B$12,Juniorstwo!$A$34:$N$34,0))*E$12+INDEX(JuniorzyNegatyw[],MATCH($A58,Juniorstwo!$A$35:$A$54,0),MATCH($B$13,Juniorstwo!$A$34:$N$34,0))*E$13,"-")</f>
        <v>71.5</v>
      </c>
      <c r="F58" s="38">
        <f ca="1">IFERROR(INDEX(JuniorzyNegatyw[],MATCH($A58,Juniorstwo!$A$35:$A$54,0),MATCH($B$2,Juniorstwo!$A$34:$N$34,0))*F$2+INDEX(JuniorzyNegatyw[],MATCH($A58,Juniorstwo!$A$35:$A$54,0),MATCH($B$3,Juniorstwo!$A$34:$N$34,0))*F$3+INDEX(JuniorzyNegatyw[],MATCH($A58,Juniorstwo!$A$35:$A$54,0),MATCH($B$4,Juniorstwo!$A$34:$N$34,0))*F$4+INDEX(JuniorzyNegatyw[],MATCH($A58,Juniorstwo!$A$35:$A$54,0),MATCH($B$5,Juniorstwo!$A$34:$N$34,0))*F$5+INDEX(JuniorzyNegatyw[],MATCH($A58,Juniorstwo!$A$35:$A$54,0),MATCH($B$6,Juniorstwo!$A$34:$N$34,0))*F$6+INDEX(JuniorzyNegatyw[],MATCH($A58,Juniorstwo!$A$35:$A$54,0),MATCH($B$7,Juniorstwo!$A$34:$N$34,0))*F$7+INDEX(JuniorzyNegatyw[],MATCH($A58,Juniorstwo!$A$35:$A$54,0),MATCH($B$8,Juniorstwo!$A$34:$N$34,0))*F$8+INDEX(JuniorzyNegatyw[],MATCH($A58,Juniorstwo!$A$35:$A$54,0),MATCH($B$9,Juniorstwo!$A$34:$N$34,0))*F$9+INDEX(JuniorzyNegatyw[],MATCH($A58,Juniorstwo!$A$35:$A$54,0),MATCH($B$10,Juniorstwo!$A$34:$N$34,0))*F$10+INDEX(JuniorzyNegatyw[],MATCH($A58,Juniorstwo!$A$35:$A$54,0),MATCH($B$11,Juniorstwo!$A$34:$N$34,0))*F$11+INDEX(JuniorzyNegatyw[],MATCH($A58,Juniorstwo!$A$35:$A$54,0),MATCH($B$12,Juniorstwo!$A$34:$N$34,0))*F$12+INDEX(JuniorzyNegatyw[],MATCH($A58,Juniorstwo!$A$35:$A$54,0),MATCH($B$13,Juniorstwo!$A$34:$N$34,0))*F$13,"-")</f>
        <v>72.5</v>
      </c>
      <c r="G58" s="38">
        <f ca="1">IFERROR(INDEX(JuniorzyNegatyw[],MATCH($A58,Juniorstwo!$A$35:$A$54,0),MATCH($B$2,Juniorstwo!$A$34:$N$34,0))*G$2+INDEX(JuniorzyNegatyw[],MATCH($A58,Juniorstwo!$A$35:$A$54,0),MATCH($B$3,Juniorstwo!$A$34:$N$34,0))*G$3+INDEX(JuniorzyNegatyw[],MATCH($A58,Juniorstwo!$A$35:$A$54,0),MATCH($B$4,Juniorstwo!$A$34:$N$34,0))*G$4+INDEX(JuniorzyNegatyw[],MATCH($A58,Juniorstwo!$A$35:$A$54,0),MATCH($B$5,Juniorstwo!$A$34:$N$34,0))*G$5+INDEX(JuniorzyNegatyw[],MATCH($A58,Juniorstwo!$A$35:$A$54,0),MATCH($B$6,Juniorstwo!$A$34:$N$34,0))*G$6+INDEX(JuniorzyNegatyw[],MATCH($A58,Juniorstwo!$A$35:$A$54,0),MATCH($B$7,Juniorstwo!$A$34:$N$34,0))*G$7+INDEX(JuniorzyNegatyw[],MATCH($A58,Juniorstwo!$A$35:$A$54,0),MATCH($B$8,Juniorstwo!$A$34:$N$34,0))*G$8+INDEX(JuniorzyNegatyw[],MATCH($A58,Juniorstwo!$A$35:$A$54,0),MATCH($B$9,Juniorstwo!$A$34:$N$34,0))*G$9+INDEX(JuniorzyNegatyw[],MATCH($A58,Juniorstwo!$A$35:$A$54,0),MATCH($B$10,Juniorstwo!$A$34:$N$34,0))*G$10+INDEX(JuniorzyNegatyw[],MATCH($A58,Juniorstwo!$A$35:$A$54,0),MATCH($B$11,Juniorstwo!$A$34:$N$34,0))*G$11+INDEX(JuniorzyNegatyw[],MATCH($A58,Juniorstwo!$A$35:$A$54,0),MATCH($B$12,Juniorstwo!$A$34:$N$34,0))*G$12+INDEX(JuniorzyNegatyw[],MATCH($A58,Juniorstwo!$A$35:$A$54,0),MATCH($B$13,Juniorstwo!$A$34:$N$34,0))*G$13,"-")</f>
        <v>72.5</v>
      </c>
      <c r="H58" s="38">
        <f ca="1">IFERROR(INDEX(JuniorzyNegatyw[],MATCH($A58,Juniorstwo!$A$35:$A$54,0),MATCH($B$2,Juniorstwo!$A$34:$N$34,0))*H$2+INDEX(JuniorzyNegatyw[],MATCH($A58,Juniorstwo!$A$35:$A$54,0),MATCH($B$3,Juniorstwo!$A$34:$N$34,0))*H$3+INDEX(JuniorzyNegatyw[],MATCH($A58,Juniorstwo!$A$35:$A$54,0),MATCH($B$4,Juniorstwo!$A$34:$N$34,0))*H$4+INDEX(JuniorzyNegatyw[],MATCH($A58,Juniorstwo!$A$35:$A$54,0),MATCH($B$5,Juniorstwo!$A$34:$N$34,0))*H$5+INDEX(JuniorzyNegatyw[],MATCH($A58,Juniorstwo!$A$35:$A$54,0),MATCH($B$6,Juniorstwo!$A$34:$N$34,0))*H$6+INDEX(JuniorzyNegatyw[],MATCH($A58,Juniorstwo!$A$35:$A$54,0),MATCH($B$7,Juniorstwo!$A$34:$N$34,0))*H$7+INDEX(JuniorzyNegatyw[],MATCH($A58,Juniorstwo!$A$35:$A$54,0),MATCH($B$8,Juniorstwo!$A$34:$N$34,0))*H$8+INDEX(JuniorzyNegatyw[],MATCH($A58,Juniorstwo!$A$35:$A$54,0),MATCH($B$9,Juniorstwo!$A$34:$N$34,0))*H$9+INDEX(JuniorzyNegatyw[],MATCH($A58,Juniorstwo!$A$35:$A$54,0),MATCH($B$10,Juniorstwo!$A$34:$N$34,0))*H$10+INDEX(JuniorzyNegatyw[],MATCH($A58,Juniorstwo!$A$35:$A$54,0),MATCH($B$11,Juniorstwo!$A$34:$N$34,0))*H$11+INDEX(JuniorzyNegatyw[],MATCH($A58,Juniorstwo!$A$35:$A$54,0),MATCH($B$12,Juniorstwo!$A$34:$N$34,0))*H$12+INDEX(JuniorzyNegatyw[],MATCH($A58,Juniorstwo!$A$35:$A$54,0),MATCH($B$13,Juniorstwo!$A$34:$N$34,0))*H$13,"-")</f>
        <v>73</v>
      </c>
      <c r="I58" s="38">
        <f ca="1">IFERROR(INDEX(JuniorzyNegatyw[],MATCH($A58,Juniorstwo!$A$35:$A$54,0),MATCH($B$2,Juniorstwo!$A$34:$N$34,0))*I$2+INDEX(JuniorzyNegatyw[],MATCH($A58,Juniorstwo!$A$35:$A$54,0),MATCH($B$3,Juniorstwo!$A$34:$N$34,0))*I$3+INDEX(JuniorzyNegatyw[],MATCH($A58,Juniorstwo!$A$35:$A$54,0),MATCH($B$4,Juniorstwo!$A$34:$N$34,0))*I$4+INDEX(JuniorzyNegatyw[],MATCH($A58,Juniorstwo!$A$35:$A$54,0),MATCH($B$5,Juniorstwo!$A$34:$N$34,0))*I$5+INDEX(JuniorzyNegatyw[],MATCH($A58,Juniorstwo!$A$35:$A$54,0),MATCH($B$6,Juniorstwo!$A$34:$N$34,0))*I$6+INDEX(JuniorzyNegatyw[],MATCH($A58,Juniorstwo!$A$35:$A$54,0),MATCH($B$7,Juniorstwo!$A$34:$N$34,0))*I$7+INDEX(JuniorzyNegatyw[],MATCH($A58,Juniorstwo!$A$35:$A$54,0),MATCH($B$8,Juniorstwo!$A$34:$N$34,0))*I$8+INDEX(JuniorzyNegatyw[],MATCH($A58,Juniorstwo!$A$35:$A$54,0),MATCH($B$9,Juniorstwo!$A$34:$N$34,0))*I$9+INDEX(JuniorzyNegatyw[],MATCH($A58,Juniorstwo!$A$35:$A$54,0),MATCH($B$10,Juniorstwo!$A$34:$N$34,0))*I$10+INDEX(JuniorzyNegatyw[],MATCH($A58,Juniorstwo!$A$35:$A$54,0),MATCH($B$11,Juniorstwo!$A$34:$N$34,0))*I$11+INDEX(JuniorzyNegatyw[],MATCH($A58,Juniorstwo!$A$35:$A$54,0),MATCH($B$12,Juniorstwo!$A$34:$N$34,0))*I$12+INDEX(JuniorzyNegatyw[],MATCH($A58,Juniorstwo!$A$35:$A$54,0),MATCH($B$13,Juniorstwo!$A$34:$N$34,0))*I$13,"-")</f>
        <v>73.5</v>
      </c>
      <c r="J58" s="38">
        <f ca="1">IFERROR(INDEX(JuniorzyNegatyw[],MATCH($A58,Juniorstwo!$A$35:$A$54,0),MATCH($B$2,Juniorstwo!$A$34:$N$34,0))*J$2+INDEX(JuniorzyNegatyw[],MATCH($A58,Juniorstwo!$A$35:$A$54,0),MATCH($B$3,Juniorstwo!$A$34:$N$34,0))*J$3+INDEX(JuniorzyNegatyw[],MATCH($A58,Juniorstwo!$A$35:$A$54,0),MATCH($B$4,Juniorstwo!$A$34:$N$34,0))*J$4+INDEX(JuniorzyNegatyw[],MATCH($A58,Juniorstwo!$A$35:$A$54,0),MATCH($B$5,Juniorstwo!$A$34:$N$34,0))*J$5+INDEX(JuniorzyNegatyw[],MATCH($A58,Juniorstwo!$A$35:$A$54,0),MATCH($B$6,Juniorstwo!$A$34:$N$34,0))*J$6+INDEX(JuniorzyNegatyw[],MATCH($A58,Juniorstwo!$A$35:$A$54,0),MATCH($B$7,Juniorstwo!$A$34:$N$34,0))*J$7+INDEX(JuniorzyNegatyw[],MATCH($A58,Juniorstwo!$A$35:$A$54,0),MATCH($B$8,Juniorstwo!$A$34:$N$34,0))*J$8+INDEX(JuniorzyNegatyw[],MATCH($A58,Juniorstwo!$A$35:$A$54,0),MATCH($B$9,Juniorstwo!$A$34:$N$34,0))*J$9+INDEX(JuniorzyNegatyw[],MATCH($A58,Juniorstwo!$A$35:$A$54,0),MATCH($B$10,Juniorstwo!$A$34:$N$34,0))*J$10+INDEX(JuniorzyNegatyw[],MATCH($A58,Juniorstwo!$A$35:$A$54,0),MATCH($B$11,Juniorstwo!$A$34:$N$34,0))*J$11+INDEX(JuniorzyNegatyw[],MATCH($A58,Juniorstwo!$A$35:$A$54,0),MATCH($B$12,Juniorstwo!$A$34:$N$34,0))*J$12+INDEX(JuniorzyNegatyw[],MATCH($A58,Juniorstwo!$A$35:$A$54,0),MATCH($B$13,Juniorstwo!$A$34:$N$34,0))*J$13,"-")</f>
        <v>72</v>
      </c>
      <c r="K58" s="38">
        <f ca="1">IFERROR(INDEX(JuniorzyNegatyw[],MATCH($A58,Juniorstwo!$A$35:$A$54,0),MATCH($B$2,Juniorstwo!$A$34:$N$34,0))*K$2+INDEX(JuniorzyNegatyw[],MATCH($A58,Juniorstwo!$A$35:$A$54,0),MATCH($B$3,Juniorstwo!$A$34:$N$34,0))*K$3+INDEX(JuniorzyNegatyw[],MATCH($A58,Juniorstwo!$A$35:$A$54,0),MATCH($B$4,Juniorstwo!$A$34:$N$34,0))*K$4+INDEX(JuniorzyNegatyw[],MATCH($A58,Juniorstwo!$A$35:$A$54,0),MATCH($B$5,Juniorstwo!$A$34:$N$34,0))*K$5+INDEX(JuniorzyNegatyw[],MATCH($A58,Juniorstwo!$A$35:$A$54,0),MATCH($B$6,Juniorstwo!$A$34:$N$34,0))*K$6+INDEX(JuniorzyNegatyw[],MATCH($A58,Juniorstwo!$A$35:$A$54,0),MATCH($B$7,Juniorstwo!$A$34:$N$34,0))*K$7+INDEX(JuniorzyNegatyw[],MATCH($A58,Juniorstwo!$A$35:$A$54,0),MATCH($B$8,Juniorstwo!$A$34:$N$34,0))*K$8+INDEX(JuniorzyNegatyw[],MATCH($A58,Juniorstwo!$A$35:$A$54,0),MATCH($B$9,Juniorstwo!$A$34:$N$34,0))*K$9+INDEX(JuniorzyNegatyw[],MATCH($A58,Juniorstwo!$A$35:$A$54,0),MATCH($B$10,Juniorstwo!$A$34:$N$34,0))*K$10+INDEX(JuniorzyNegatyw[],MATCH($A58,Juniorstwo!$A$35:$A$54,0),MATCH($B$11,Juniorstwo!$A$34:$N$34,0))*K$11+INDEX(JuniorzyNegatyw[],MATCH($A58,Juniorstwo!$A$35:$A$54,0),MATCH($B$12,Juniorstwo!$A$34:$N$34,0))*K$12+INDEX(JuniorzyNegatyw[],MATCH($A58,Juniorstwo!$A$35:$A$54,0),MATCH($B$13,Juniorstwo!$A$34:$N$34,0))*K$13,"-")</f>
        <v>73</v>
      </c>
    </row>
    <row r="59" spans="1:11" x14ac:dyDescent="0.25">
      <c r="A59">
        <f>IFERROR(PozJunNŚr[[#This Row],[Numer]],"-")</f>
        <v>27</v>
      </c>
      <c r="B59" s="3" t="str">
        <f>IFERROR(VLOOKUP(PozJunNMM[[#This Row],[Numer]],Zawodnicy[[Number]:[Player name]],2,FALSE),"-")</f>
        <v>Sylwester Kaszubowski</v>
      </c>
      <c r="C59" s="38">
        <f ca="1">IFERROR(INDEX(JuniorzyNegatyw[],MATCH($A59,Juniorstwo!$A$35:$A$54,0),MATCH($B$2,Juniorstwo!$A$34:$N$34,0))*C$2+INDEX(JuniorzyNegatyw[],MATCH($A59,Juniorstwo!$A$35:$A$54,0),MATCH($B$3,Juniorstwo!$A$34:$N$34,0))*C$3+INDEX(JuniorzyNegatyw[],MATCH($A59,Juniorstwo!$A$35:$A$54,0),MATCH($B$4,Juniorstwo!$A$34:$N$34,0))*C$4+INDEX(JuniorzyNegatyw[],MATCH($A59,Juniorstwo!$A$35:$A$54,0),MATCH($B$5,Juniorstwo!$A$34:$N$34,0))*C$5+INDEX(JuniorzyNegatyw[],MATCH($A59,Juniorstwo!$A$35:$A$54,0),MATCH($B$6,Juniorstwo!$A$34:$N$34,0))*C$6+INDEX(JuniorzyNegatyw[],MATCH($A59,Juniorstwo!$A$35:$A$54,0),MATCH($B$7,Juniorstwo!$A$34:$N$34,0))*C$7+INDEX(JuniorzyNegatyw[],MATCH($A59,Juniorstwo!$A$35:$A$54,0),MATCH($B$8,Juniorstwo!$A$34:$N$34,0))*C$8+INDEX(JuniorzyNegatyw[],MATCH($A59,Juniorstwo!$A$35:$A$54,0),MATCH($B$9,Juniorstwo!$A$34:$N$34,0))*C$9+INDEX(JuniorzyNegatyw[],MATCH($A59,Juniorstwo!$A$35:$A$54,0),MATCH($B$10,Juniorstwo!$A$34:$N$34,0))*C$10+INDEX(JuniorzyNegatyw[],MATCH($A59,Juniorstwo!$A$35:$A$54,0),MATCH($B$11,Juniorstwo!$A$34:$N$34,0))*C$11+INDEX(JuniorzyNegatyw[],MATCH($A59,Juniorstwo!$A$35:$A$54,0),MATCH($B$12,Juniorstwo!$A$34:$N$34,0))*C$12+INDEX(JuniorzyNegatyw[],MATCH($A59,Juniorstwo!$A$35:$A$54,0),MATCH($B$13,Juniorstwo!$A$34:$N$34,0))*C$13,"-")</f>
        <v>49</v>
      </c>
      <c r="D59" s="38">
        <f ca="1">IFERROR(INDEX(JuniorzyNegatyw[],MATCH($A59,Juniorstwo!$A$35:$A$54,0),MATCH($B$2,Juniorstwo!$A$34:$N$34,0))*D$2+INDEX(JuniorzyNegatyw[],MATCH($A59,Juniorstwo!$A$35:$A$54,0),MATCH($B$3,Juniorstwo!$A$34:$N$34,0))*D$3+INDEX(JuniorzyNegatyw[],MATCH($A59,Juniorstwo!$A$35:$A$54,0),MATCH($B$4,Juniorstwo!$A$34:$N$34,0))*D$4+INDEX(JuniorzyNegatyw[],MATCH($A59,Juniorstwo!$A$35:$A$54,0),MATCH($B$5,Juniorstwo!$A$34:$N$34,0))*D$5+INDEX(JuniorzyNegatyw[],MATCH($A59,Juniorstwo!$A$35:$A$54,0),MATCH($B$6,Juniorstwo!$A$34:$N$34,0))*D$6+INDEX(JuniorzyNegatyw[],MATCH($A59,Juniorstwo!$A$35:$A$54,0),MATCH($B$7,Juniorstwo!$A$34:$N$34,0))*D$7+INDEX(JuniorzyNegatyw[],MATCH($A59,Juniorstwo!$A$35:$A$54,0),MATCH($B$8,Juniorstwo!$A$34:$N$34,0))*D$8+INDEX(JuniorzyNegatyw[],MATCH($A59,Juniorstwo!$A$35:$A$54,0),MATCH($B$9,Juniorstwo!$A$34:$N$34,0))*D$9+INDEX(JuniorzyNegatyw[],MATCH($A59,Juniorstwo!$A$35:$A$54,0),MATCH($B$10,Juniorstwo!$A$34:$N$34,0))*D$10+INDEX(JuniorzyNegatyw[],MATCH($A59,Juniorstwo!$A$35:$A$54,0),MATCH($B$11,Juniorstwo!$A$34:$N$34,0))*D$11+INDEX(JuniorzyNegatyw[],MATCH($A59,Juniorstwo!$A$35:$A$54,0),MATCH($B$12,Juniorstwo!$A$34:$N$34,0))*D$12+INDEX(JuniorzyNegatyw[],MATCH($A59,Juniorstwo!$A$35:$A$54,0),MATCH($B$13,Juniorstwo!$A$34:$N$34,0))*D$13,"-")</f>
        <v>60.5</v>
      </c>
      <c r="E59" s="38">
        <f ca="1">IFERROR(INDEX(JuniorzyNegatyw[],MATCH($A59,Juniorstwo!$A$35:$A$54,0),MATCH($B$2,Juniorstwo!$A$34:$N$34,0))*E$2+INDEX(JuniorzyNegatyw[],MATCH($A59,Juniorstwo!$A$35:$A$54,0),MATCH($B$3,Juniorstwo!$A$34:$N$34,0))*E$3+INDEX(JuniorzyNegatyw[],MATCH($A59,Juniorstwo!$A$35:$A$54,0),MATCH($B$4,Juniorstwo!$A$34:$N$34,0))*E$4+INDEX(JuniorzyNegatyw[],MATCH($A59,Juniorstwo!$A$35:$A$54,0),MATCH($B$5,Juniorstwo!$A$34:$N$34,0))*E$5+INDEX(JuniorzyNegatyw[],MATCH($A59,Juniorstwo!$A$35:$A$54,0),MATCH($B$6,Juniorstwo!$A$34:$N$34,0))*E$6+INDEX(JuniorzyNegatyw[],MATCH($A59,Juniorstwo!$A$35:$A$54,0),MATCH($B$7,Juniorstwo!$A$34:$N$34,0))*E$7+INDEX(JuniorzyNegatyw[],MATCH($A59,Juniorstwo!$A$35:$A$54,0),MATCH($B$8,Juniorstwo!$A$34:$N$34,0))*E$8+INDEX(JuniorzyNegatyw[],MATCH($A59,Juniorstwo!$A$35:$A$54,0),MATCH($B$9,Juniorstwo!$A$34:$N$34,0))*E$9+INDEX(JuniorzyNegatyw[],MATCH($A59,Juniorstwo!$A$35:$A$54,0),MATCH($B$10,Juniorstwo!$A$34:$N$34,0))*E$10+INDEX(JuniorzyNegatyw[],MATCH($A59,Juniorstwo!$A$35:$A$54,0),MATCH($B$11,Juniorstwo!$A$34:$N$34,0))*E$11+INDEX(JuniorzyNegatyw[],MATCH($A59,Juniorstwo!$A$35:$A$54,0),MATCH($B$12,Juniorstwo!$A$34:$N$34,0))*E$12+INDEX(JuniorzyNegatyw[],MATCH($A59,Juniorstwo!$A$35:$A$54,0),MATCH($B$13,Juniorstwo!$A$34:$N$34,0))*E$13,"-")</f>
        <v>61.5</v>
      </c>
      <c r="F59" s="38">
        <f ca="1">IFERROR(INDEX(JuniorzyNegatyw[],MATCH($A59,Juniorstwo!$A$35:$A$54,0),MATCH($B$2,Juniorstwo!$A$34:$N$34,0))*F$2+INDEX(JuniorzyNegatyw[],MATCH($A59,Juniorstwo!$A$35:$A$54,0),MATCH($B$3,Juniorstwo!$A$34:$N$34,0))*F$3+INDEX(JuniorzyNegatyw[],MATCH($A59,Juniorstwo!$A$35:$A$54,0),MATCH($B$4,Juniorstwo!$A$34:$N$34,0))*F$4+INDEX(JuniorzyNegatyw[],MATCH($A59,Juniorstwo!$A$35:$A$54,0),MATCH($B$5,Juniorstwo!$A$34:$N$34,0))*F$5+INDEX(JuniorzyNegatyw[],MATCH($A59,Juniorstwo!$A$35:$A$54,0),MATCH($B$6,Juniorstwo!$A$34:$N$34,0))*F$6+INDEX(JuniorzyNegatyw[],MATCH($A59,Juniorstwo!$A$35:$A$54,0),MATCH($B$7,Juniorstwo!$A$34:$N$34,0))*F$7+INDEX(JuniorzyNegatyw[],MATCH($A59,Juniorstwo!$A$35:$A$54,0),MATCH($B$8,Juniorstwo!$A$34:$N$34,0))*F$8+INDEX(JuniorzyNegatyw[],MATCH($A59,Juniorstwo!$A$35:$A$54,0),MATCH($B$9,Juniorstwo!$A$34:$N$34,0))*F$9+INDEX(JuniorzyNegatyw[],MATCH($A59,Juniorstwo!$A$35:$A$54,0),MATCH($B$10,Juniorstwo!$A$34:$N$34,0))*F$10+INDEX(JuniorzyNegatyw[],MATCH($A59,Juniorstwo!$A$35:$A$54,0),MATCH($B$11,Juniorstwo!$A$34:$N$34,0))*F$11+INDEX(JuniorzyNegatyw[],MATCH($A59,Juniorstwo!$A$35:$A$54,0),MATCH($B$12,Juniorstwo!$A$34:$N$34,0))*F$12+INDEX(JuniorzyNegatyw[],MATCH($A59,Juniorstwo!$A$35:$A$54,0),MATCH($B$13,Juniorstwo!$A$34:$N$34,0))*F$13,"-")</f>
        <v>67</v>
      </c>
      <c r="G59" s="38">
        <f ca="1">IFERROR(INDEX(JuniorzyNegatyw[],MATCH($A59,Juniorstwo!$A$35:$A$54,0),MATCH($B$2,Juniorstwo!$A$34:$N$34,0))*G$2+INDEX(JuniorzyNegatyw[],MATCH($A59,Juniorstwo!$A$35:$A$54,0),MATCH($B$3,Juniorstwo!$A$34:$N$34,0))*G$3+INDEX(JuniorzyNegatyw[],MATCH($A59,Juniorstwo!$A$35:$A$54,0),MATCH($B$4,Juniorstwo!$A$34:$N$34,0))*G$4+INDEX(JuniorzyNegatyw[],MATCH($A59,Juniorstwo!$A$35:$A$54,0),MATCH($B$5,Juniorstwo!$A$34:$N$34,0))*G$5+INDEX(JuniorzyNegatyw[],MATCH($A59,Juniorstwo!$A$35:$A$54,0),MATCH($B$6,Juniorstwo!$A$34:$N$34,0))*G$6+INDEX(JuniorzyNegatyw[],MATCH($A59,Juniorstwo!$A$35:$A$54,0),MATCH($B$7,Juniorstwo!$A$34:$N$34,0))*G$7+INDEX(JuniorzyNegatyw[],MATCH($A59,Juniorstwo!$A$35:$A$54,0),MATCH($B$8,Juniorstwo!$A$34:$N$34,0))*G$8+INDEX(JuniorzyNegatyw[],MATCH($A59,Juniorstwo!$A$35:$A$54,0),MATCH($B$9,Juniorstwo!$A$34:$N$34,0))*G$9+INDEX(JuniorzyNegatyw[],MATCH($A59,Juniorstwo!$A$35:$A$54,0),MATCH($B$10,Juniorstwo!$A$34:$N$34,0))*G$10+INDEX(JuniorzyNegatyw[],MATCH($A59,Juniorstwo!$A$35:$A$54,0),MATCH($B$11,Juniorstwo!$A$34:$N$34,0))*G$11+INDEX(JuniorzyNegatyw[],MATCH($A59,Juniorstwo!$A$35:$A$54,0),MATCH($B$12,Juniorstwo!$A$34:$N$34,0))*G$12+INDEX(JuniorzyNegatyw[],MATCH($A59,Juniorstwo!$A$35:$A$54,0),MATCH($B$13,Juniorstwo!$A$34:$N$34,0))*G$13,"-")</f>
        <v>68</v>
      </c>
      <c r="H59" s="38">
        <f ca="1">IFERROR(INDEX(JuniorzyNegatyw[],MATCH($A59,Juniorstwo!$A$35:$A$54,0),MATCH($B$2,Juniorstwo!$A$34:$N$34,0))*H$2+INDEX(JuniorzyNegatyw[],MATCH($A59,Juniorstwo!$A$35:$A$54,0),MATCH($B$3,Juniorstwo!$A$34:$N$34,0))*H$3+INDEX(JuniorzyNegatyw[],MATCH($A59,Juniorstwo!$A$35:$A$54,0),MATCH($B$4,Juniorstwo!$A$34:$N$34,0))*H$4+INDEX(JuniorzyNegatyw[],MATCH($A59,Juniorstwo!$A$35:$A$54,0),MATCH($B$5,Juniorstwo!$A$34:$N$34,0))*H$5+INDEX(JuniorzyNegatyw[],MATCH($A59,Juniorstwo!$A$35:$A$54,0),MATCH($B$6,Juniorstwo!$A$34:$N$34,0))*H$6+INDEX(JuniorzyNegatyw[],MATCH($A59,Juniorstwo!$A$35:$A$54,0),MATCH($B$7,Juniorstwo!$A$34:$N$34,0))*H$7+INDEX(JuniorzyNegatyw[],MATCH($A59,Juniorstwo!$A$35:$A$54,0),MATCH($B$8,Juniorstwo!$A$34:$N$34,0))*H$8+INDEX(JuniorzyNegatyw[],MATCH($A59,Juniorstwo!$A$35:$A$54,0),MATCH($B$9,Juniorstwo!$A$34:$N$34,0))*H$9+INDEX(JuniorzyNegatyw[],MATCH($A59,Juniorstwo!$A$35:$A$54,0),MATCH($B$10,Juniorstwo!$A$34:$N$34,0))*H$10+INDEX(JuniorzyNegatyw[],MATCH($A59,Juniorstwo!$A$35:$A$54,0),MATCH($B$11,Juniorstwo!$A$34:$N$34,0))*H$11+INDEX(JuniorzyNegatyw[],MATCH($A59,Juniorstwo!$A$35:$A$54,0),MATCH($B$12,Juniorstwo!$A$34:$N$34,0))*H$12+INDEX(JuniorzyNegatyw[],MATCH($A59,Juniorstwo!$A$35:$A$54,0),MATCH($B$13,Juniorstwo!$A$34:$N$34,0))*H$13,"-")</f>
        <v>70</v>
      </c>
      <c r="I59" s="38">
        <f ca="1">IFERROR(INDEX(JuniorzyNegatyw[],MATCH($A59,Juniorstwo!$A$35:$A$54,0),MATCH($B$2,Juniorstwo!$A$34:$N$34,0))*I$2+INDEX(JuniorzyNegatyw[],MATCH($A59,Juniorstwo!$A$35:$A$54,0),MATCH($B$3,Juniorstwo!$A$34:$N$34,0))*I$3+INDEX(JuniorzyNegatyw[],MATCH($A59,Juniorstwo!$A$35:$A$54,0),MATCH($B$4,Juniorstwo!$A$34:$N$34,0))*I$4+INDEX(JuniorzyNegatyw[],MATCH($A59,Juniorstwo!$A$35:$A$54,0),MATCH($B$5,Juniorstwo!$A$34:$N$34,0))*I$5+INDEX(JuniorzyNegatyw[],MATCH($A59,Juniorstwo!$A$35:$A$54,0),MATCH($B$6,Juniorstwo!$A$34:$N$34,0))*I$6+INDEX(JuniorzyNegatyw[],MATCH($A59,Juniorstwo!$A$35:$A$54,0),MATCH($B$7,Juniorstwo!$A$34:$N$34,0))*I$7+INDEX(JuniorzyNegatyw[],MATCH($A59,Juniorstwo!$A$35:$A$54,0),MATCH($B$8,Juniorstwo!$A$34:$N$34,0))*I$8+INDEX(JuniorzyNegatyw[],MATCH($A59,Juniorstwo!$A$35:$A$54,0),MATCH($B$9,Juniorstwo!$A$34:$N$34,0))*I$9+INDEX(JuniorzyNegatyw[],MATCH($A59,Juniorstwo!$A$35:$A$54,0),MATCH($B$10,Juniorstwo!$A$34:$N$34,0))*I$10+INDEX(JuniorzyNegatyw[],MATCH($A59,Juniorstwo!$A$35:$A$54,0),MATCH($B$11,Juniorstwo!$A$34:$N$34,0))*I$11+INDEX(JuniorzyNegatyw[],MATCH($A59,Juniorstwo!$A$35:$A$54,0),MATCH($B$12,Juniorstwo!$A$34:$N$34,0))*I$12+INDEX(JuniorzyNegatyw[],MATCH($A59,Juniorstwo!$A$35:$A$54,0),MATCH($B$13,Juniorstwo!$A$34:$N$34,0))*I$13,"-")</f>
        <v>70</v>
      </c>
      <c r="J59" s="38">
        <f ca="1">IFERROR(INDEX(JuniorzyNegatyw[],MATCH($A59,Juniorstwo!$A$35:$A$54,0),MATCH($B$2,Juniorstwo!$A$34:$N$34,0))*J$2+INDEX(JuniorzyNegatyw[],MATCH($A59,Juniorstwo!$A$35:$A$54,0),MATCH($B$3,Juniorstwo!$A$34:$N$34,0))*J$3+INDEX(JuniorzyNegatyw[],MATCH($A59,Juniorstwo!$A$35:$A$54,0),MATCH($B$4,Juniorstwo!$A$34:$N$34,0))*J$4+INDEX(JuniorzyNegatyw[],MATCH($A59,Juniorstwo!$A$35:$A$54,0),MATCH($B$5,Juniorstwo!$A$34:$N$34,0))*J$5+INDEX(JuniorzyNegatyw[],MATCH($A59,Juniorstwo!$A$35:$A$54,0),MATCH($B$6,Juniorstwo!$A$34:$N$34,0))*J$6+INDEX(JuniorzyNegatyw[],MATCH($A59,Juniorstwo!$A$35:$A$54,0),MATCH($B$7,Juniorstwo!$A$34:$N$34,0))*J$7+INDEX(JuniorzyNegatyw[],MATCH($A59,Juniorstwo!$A$35:$A$54,0),MATCH($B$8,Juniorstwo!$A$34:$N$34,0))*J$8+INDEX(JuniorzyNegatyw[],MATCH($A59,Juniorstwo!$A$35:$A$54,0),MATCH($B$9,Juniorstwo!$A$34:$N$34,0))*J$9+INDEX(JuniorzyNegatyw[],MATCH($A59,Juniorstwo!$A$35:$A$54,0),MATCH($B$10,Juniorstwo!$A$34:$N$34,0))*J$10+INDEX(JuniorzyNegatyw[],MATCH($A59,Juniorstwo!$A$35:$A$54,0),MATCH($B$11,Juniorstwo!$A$34:$N$34,0))*J$11+INDEX(JuniorzyNegatyw[],MATCH($A59,Juniorstwo!$A$35:$A$54,0),MATCH($B$12,Juniorstwo!$A$34:$N$34,0))*J$12+INDEX(JuniorzyNegatyw[],MATCH($A59,Juniorstwo!$A$35:$A$54,0),MATCH($B$13,Juniorstwo!$A$34:$N$34,0))*J$13,"-")</f>
        <v>66.5</v>
      </c>
      <c r="K59" s="38">
        <f ca="1">IFERROR(INDEX(JuniorzyNegatyw[],MATCH($A59,Juniorstwo!$A$35:$A$54,0),MATCH($B$2,Juniorstwo!$A$34:$N$34,0))*K$2+INDEX(JuniorzyNegatyw[],MATCH($A59,Juniorstwo!$A$35:$A$54,0),MATCH($B$3,Juniorstwo!$A$34:$N$34,0))*K$3+INDEX(JuniorzyNegatyw[],MATCH($A59,Juniorstwo!$A$35:$A$54,0),MATCH($B$4,Juniorstwo!$A$34:$N$34,0))*K$4+INDEX(JuniorzyNegatyw[],MATCH($A59,Juniorstwo!$A$35:$A$54,0),MATCH($B$5,Juniorstwo!$A$34:$N$34,0))*K$5+INDEX(JuniorzyNegatyw[],MATCH($A59,Juniorstwo!$A$35:$A$54,0),MATCH($B$6,Juniorstwo!$A$34:$N$34,0))*K$6+INDEX(JuniorzyNegatyw[],MATCH($A59,Juniorstwo!$A$35:$A$54,0),MATCH($B$7,Juniorstwo!$A$34:$N$34,0))*K$7+INDEX(JuniorzyNegatyw[],MATCH($A59,Juniorstwo!$A$35:$A$54,0),MATCH($B$8,Juniorstwo!$A$34:$N$34,0))*K$8+INDEX(JuniorzyNegatyw[],MATCH($A59,Juniorstwo!$A$35:$A$54,0),MATCH($B$9,Juniorstwo!$A$34:$N$34,0))*K$9+INDEX(JuniorzyNegatyw[],MATCH($A59,Juniorstwo!$A$35:$A$54,0),MATCH($B$10,Juniorstwo!$A$34:$N$34,0))*K$10+INDEX(JuniorzyNegatyw[],MATCH($A59,Juniorstwo!$A$35:$A$54,0),MATCH($B$11,Juniorstwo!$A$34:$N$34,0))*K$11+INDEX(JuniorzyNegatyw[],MATCH($A59,Juniorstwo!$A$35:$A$54,0),MATCH($B$12,Juniorstwo!$A$34:$N$34,0))*K$12+INDEX(JuniorzyNegatyw[],MATCH($A59,Juniorstwo!$A$35:$A$54,0),MATCH($B$13,Juniorstwo!$A$34:$N$34,0))*K$13,"-")</f>
        <v>62</v>
      </c>
    </row>
    <row r="60" spans="1:11" x14ac:dyDescent="0.25">
      <c r="A60">
        <f>IFERROR(PozJunNŚr[[#This Row],[Numer]],"-")</f>
        <v>59</v>
      </c>
      <c r="B60" s="3" t="str">
        <f>IFERROR(VLOOKUP(PozJunNMM[[#This Row],[Numer]],Zawodnicy[[Number]:[Player name]],2,FALSE),"-")</f>
        <v>Milosz Kostrzewski</v>
      </c>
      <c r="C60" s="38">
        <f ca="1">IFERROR(INDEX(JuniorzyNegatyw[],MATCH($A60,Juniorstwo!$A$35:$A$54,0),MATCH($B$2,Juniorstwo!$A$34:$N$34,0))*C$2+INDEX(JuniorzyNegatyw[],MATCH($A60,Juniorstwo!$A$35:$A$54,0),MATCH($B$3,Juniorstwo!$A$34:$N$34,0))*C$3+INDEX(JuniorzyNegatyw[],MATCH($A60,Juniorstwo!$A$35:$A$54,0),MATCH($B$4,Juniorstwo!$A$34:$N$34,0))*C$4+INDEX(JuniorzyNegatyw[],MATCH($A60,Juniorstwo!$A$35:$A$54,0),MATCH($B$5,Juniorstwo!$A$34:$N$34,0))*C$5+INDEX(JuniorzyNegatyw[],MATCH($A60,Juniorstwo!$A$35:$A$54,0),MATCH($B$6,Juniorstwo!$A$34:$N$34,0))*C$6+INDEX(JuniorzyNegatyw[],MATCH($A60,Juniorstwo!$A$35:$A$54,0),MATCH($B$7,Juniorstwo!$A$34:$N$34,0))*C$7+INDEX(JuniorzyNegatyw[],MATCH($A60,Juniorstwo!$A$35:$A$54,0),MATCH($B$8,Juniorstwo!$A$34:$N$34,0))*C$8+INDEX(JuniorzyNegatyw[],MATCH($A60,Juniorstwo!$A$35:$A$54,0),MATCH($B$9,Juniorstwo!$A$34:$N$34,0))*C$9+INDEX(JuniorzyNegatyw[],MATCH($A60,Juniorstwo!$A$35:$A$54,0),MATCH($B$10,Juniorstwo!$A$34:$N$34,0))*C$10+INDEX(JuniorzyNegatyw[],MATCH($A60,Juniorstwo!$A$35:$A$54,0),MATCH($B$11,Juniorstwo!$A$34:$N$34,0))*C$11+INDEX(JuniorzyNegatyw[],MATCH($A60,Juniorstwo!$A$35:$A$54,0),MATCH($B$12,Juniorstwo!$A$34:$N$34,0))*C$12+INDEX(JuniorzyNegatyw[],MATCH($A60,Juniorstwo!$A$35:$A$54,0),MATCH($B$13,Juniorstwo!$A$34:$N$34,0))*C$13,"-")</f>
        <v>61</v>
      </c>
      <c r="D60" s="38">
        <f ca="1">IFERROR(INDEX(JuniorzyNegatyw[],MATCH($A60,Juniorstwo!$A$35:$A$54,0),MATCH($B$2,Juniorstwo!$A$34:$N$34,0))*D$2+INDEX(JuniorzyNegatyw[],MATCH($A60,Juniorstwo!$A$35:$A$54,0),MATCH($B$3,Juniorstwo!$A$34:$N$34,0))*D$3+INDEX(JuniorzyNegatyw[],MATCH($A60,Juniorstwo!$A$35:$A$54,0),MATCH($B$4,Juniorstwo!$A$34:$N$34,0))*D$4+INDEX(JuniorzyNegatyw[],MATCH($A60,Juniorstwo!$A$35:$A$54,0),MATCH($B$5,Juniorstwo!$A$34:$N$34,0))*D$5+INDEX(JuniorzyNegatyw[],MATCH($A60,Juniorstwo!$A$35:$A$54,0),MATCH($B$6,Juniorstwo!$A$34:$N$34,0))*D$6+INDEX(JuniorzyNegatyw[],MATCH($A60,Juniorstwo!$A$35:$A$54,0),MATCH($B$7,Juniorstwo!$A$34:$N$34,0))*D$7+INDEX(JuniorzyNegatyw[],MATCH($A60,Juniorstwo!$A$35:$A$54,0),MATCH($B$8,Juniorstwo!$A$34:$N$34,0))*D$8+INDEX(JuniorzyNegatyw[],MATCH($A60,Juniorstwo!$A$35:$A$54,0),MATCH($B$9,Juniorstwo!$A$34:$N$34,0))*D$9+INDEX(JuniorzyNegatyw[],MATCH($A60,Juniorstwo!$A$35:$A$54,0),MATCH($B$10,Juniorstwo!$A$34:$N$34,0))*D$10+INDEX(JuniorzyNegatyw[],MATCH($A60,Juniorstwo!$A$35:$A$54,0),MATCH($B$11,Juniorstwo!$A$34:$N$34,0))*D$11+INDEX(JuniorzyNegatyw[],MATCH($A60,Juniorstwo!$A$35:$A$54,0),MATCH($B$12,Juniorstwo!$A$34:$N$34,0))*D$12+INDEX(JuniorzyNegatyw[],MATCH($A60,Juniorstwo!$A$35:$A$54,0),MATCH($B$13,Juniorstwo!$A$34:$N$34,0))*D$13,"-")</f>
        <v>71.5</v>
      </c>
      <c r="E60" s="38">
        <f ca="1">IFERROR(INDEX(JuniorzyNegatyw[],MATCH($A60,Juniorstwo!$A$35:$A$54,0),MATCH($B$2,Juniorstwo!$A$34:$N$34,0))*E$2+INDEX(JuniorzyNegatyw[],MATCH($A60,Juniorstwo!$A$35:$A$54,0),MATCH($B$3,Juniorstwo!$A$34:$N$34,0))*E$3+INDEX(JuniorzyNegatyw[],MATCH($A60,Juniorstwo!$A$35:$A$54,0),MATCH($B$4,Juniorstwo!$A$34:$N$34,0))*E$4+INDEX(JuniorzyNegatyw[],MATCH($A60,Juniorstwo!$A$35:$A$54,0),MATCH($B$5,Juniorstwo!$A$34:$N$34,0))*E$5+INDEX(JuniorzyNegatyw[],MATCH($A60,Juniorstwo!$A$35:$A$54,0),MATCH($B$6,Juniorstwo!$A$34:$N$34,0))*E$6+INDEX(JuniorzyNegatyw[],MATCH($A60,Juniorstwo!$A$35:$A$54,0),MATCH($B$7,Juniorstwo!$A$34:$N$34,0))*E$7+INDEX(JuniorzyNegatyw[],MATCH($A60,Juniorstwo!$A$35:$A$54,0),MATCH($B$8,Juniorstwo!$A$34:$N$34,0))*E$8+INDEX(JuniorzyNegatyw[],MATCH($A60,Juniorstwo!$A$35:$A$54,0),MATCH($B$9,Juniorstwo!$A$34:$N$34,0))*E$9+INDEX(JuniorzyNegatyw[],MATCH($A60,Juniorstwo!$A$35:$A$54,0),MATCH($B$10,Juniorstwo!$A$34:$N$34,0))*E$10+INDEX(JuniorzyNegatyw[],MATCH($A60,Juniorstwo!$A$35:$A$54,0),MATCH($B$11,Juniorstwo!$A$34:$N$34,0))*E$11+INDEX(JuniorzyNegatyw[],MATCH($A60,Juniorstwo!$A$35:$A$54,0),MATCH($B$12,Juniorstwo!$A$34:$N$34,0))*E$12+INDEX(JuniorzyNegatyw[],MATCH($A60,Juniorstwo!$A$35:$A$54,0),MATCH($B$13,Juniorstwo!$A$34:$N$34,0))*E$13,"-")</f>
        <v>70.5</v>
      </c>
      <c r="F60" s="38">
        <f ca="1">IFERROR(INDEX(JuniorzyNegatyw[],MATCH($A60,Juniorstwo!$A$35:$A$54,0),MATCH($B$2,Juniorstwo!$A$34:$N$34,0))*F$2+INDEX(JuniorzyNegatyw[],MATCH($A60,Juniorstwo!$A$35:$A$54,0),MATCH($B$3,Juniorstwo!$A$34:$N$34,0))*F$3+INDEX(JuniorzyNegatyw[],MATCH($A60,Juniorstwo!$A$35:$A$54,0),MATCH($B$4,Juniorstwo!$A$34:$N$34,0))*F$4+INDEX(JuniorzyNegatyw[],MATCH($A60,Juniorstwo!$A$35:$A$54,0),MATCH($B$5,Juniorstwo!$A$34:$N$34,0))*F$5+INDEX(JuniorzyNegatyw[],MATCH($A60,Juniorstwo!$A$35:$A$54,0),MATCH($B$6,Juniorstwo!$A$34:$N$34,0))*F$6+INDEX(JuniorzyNegatyw[],MATCH($A60,Juniorstwo!$A$35:$A$54,0),MATCH($B$7,Juniorstwo!$A$34:$N$34,0))*F$7+INDEX(JuniorzyNegatyw[],MATCH($A60,Juniorstwo!$A$35:$A$54,0),MATCH($B$8,Juniorstwo!$A$34:$N$34,0))*F$8+INDEX(JuniorzyNegatyw[],MATCH($A60,Juniorstwo!$A$35:$A$54,0),MATCH($B$9,Juniorstwo!$A$34:$N$34,0))*F$9+INDEX(JuniorzyNegatyw[],MATCH($A60,Juniorstwo!$A$35:$A$54,0),MATCH($B$10,Juniorstwo!$A$34:$N$34,0))*F$10+INDEX(JuniorzyNegatyw[],MATCH($A60,Juniorstwo!$A$35:$A$54,0),MATCH($B$11,Juniorstwo!$A$34:$N$34,0))*F$11+INDEX(JuniorzyNegatyw[],MATCH($A60,Juniorstwo!$A$35:$A$54,0),MATCH($B$12,Juniorstwo!$A$34:$N$34,0))*F$12+INDEX(JuniorzyNegatyw[],MATCH($A60,Juniorstwo!$A$35:$A$54,0),MATCH($B$13,Juniorstwo!$A$34:$N$34,0))*F$13,"-")</f>
        <v>72.5</v>
      </c>
      <c r="G60" s="38">
        <f ca="1">IFERROR(INDEX(JuniorzyNegatyw[],MATCH($A60,Juniorstwo!$A$35:$A$54,0),MATCH($B$2,Juniorstwo!$A$34:$N$34,0))*G$2+INDEX(JuniorzyNegatyw[],MATCH($A60,Juniorstwo!$A$35:$A$54,0),MATCH($B$3,Juniorstwo!$A$34:$N$34,0))*G$3+INDEX(JuniorzyNegatyw[],MATCH($A60,Juniorstwo!$A$35:$A$54,0),MATCH($B$4,Juniorstwo!$A$34:$N$34,0))*G$4+INDEX(JuniorzyNegatyw[],MATCH($A60,Juniorstwo!$A$35:$A$54,0),MATCH($B$5,Juniorstwo!$A$34:$N$34,0))*G$5+INDEX(JuniorzyNegatyw[],MATCH($A60,Juniorstwo!$A$35:$A$54,0),MATCH($B$6,Juniorstwo!$A$34:$N$34,0))*G$6+INDEX(JuniorzyNegatyw[],MATCH($A60,Juniorstwo!$A$35:$A$54,0),MATCH($B$7,Juniorstwo!$A$34:$N$34,0))*G$7+INDEX(JuniorzyNegatyw[],MATCH($A60,Juniorstwo!$A$35:$A$54,0),MATCH($B$8,Juniorstwo!$A$34:$N$34,0))*G$8+INDEX(JuniorzyNegatyw[],MATCH($A60,Juniorstwo!$A$35:$A$54,0),MATCH($B$9,Juniorstwo!$A$34:$N$34,0))*G$9+INDEX(JuniorzyNegatyw[],MATCH($A60,Juniorstwo!$A$35:$A$54,0),MATCH($B$10,Juniorstwo!$A$34:$N$34,0))*G$10+INDEX(JuniorzyNegatyw[],MATCH($A60,Juniorstwo!$A$35:$A$54,0),MATCH($B$11,Juniorstwo!$A$34:$N$34,0))*G$11+INDEX(JuniorzyNegatyw[],MATCH($A60,Juniorstwo!$A$35:$A$54,0),MATCH($B$12,Juniorstwo!$A$34:$N$34,0))*G$12+INDEX(JuniorzyNegatyw[],MATCH($A60,Juniorstwo!$A$35:$A$54,0),MATCH($B$13,Juniorstwo!$A$34:$N$34,0))*G$13,"-")</f>
        <v>72.5</v>
      </c>
      <c r="H60" s="38">
        <f ca="1">IFERROR(INDEX(JuniorzyNegatyw[],MATCH($A60,Juniorstwo!$A$35:$A$54,0),MATCH($B$2,Juniorstwo!$A$34:$N$34,0))*H$2+INDEX(JuniorzyNegatyw[],MATCH($A60,Juniorstwo!$A$35:$A$54,0),MATCH($B$3,Juniorstwo!$A$34:$N$34,0))*H$3+INDEX(JuniorzyNegatyw[],MATCH($A60,Juniorstwo!$A$35:$A$54,0),MATCH($B$4,Juniorstwo!$A$34:$N$34,0))*H$4+INDEX(JuniorzyNegatyw[],MATCH($A60,Juniorstwo!$A$35:$A$54,0),MATCH($B$5,Juniorstwo!$A$34:$N$34,0))*H$5+INDEX(JuniorzyNegatyw[],MATCH($A60,Juniorstwo!$A$35:$A$54,0),MATCH($B$6,Juniorstwo!$A$34:$N$34,0))*H$6+INDEX(JuniorzyNegatyw[],MATCH($A60,Juniorstwo!$A$35:$A$54,0),MATCH($B$7,Juniorstwo!$A$34:$N$34,0))*H$7+INDEX(JuniorzyNegatyw[],MATCH($A60,Juniorstwo!$A$35:$A$54,0),MATCH($B$8,Juniorstwo!$A$34:$N$34,0))*H$8+INDEX(JuniorzyNegatyw[],MATCH($A60,Juniorstwo!$A$35:$A$54,0),MATCH($B$9,Juniorstwo!$A$34:$N$34,0))*H$9+INDEX(JuniorzyNegatyw[],MATCH($A60,Juniorstwo!$A$35:$A$54,0),MATCH($B$10,Juniorstwo!$A$34:$N$34,0))*H$10+INDEX(JuniorzyNegatyw[],MATCH($A60,Juniorstwo!$A$35:$A$54,0),MATCH($B$11,Juniorstwo!$A$34:$N$34,0))*H$11+INDEX(JuniorzyNegatyw[],MATCH($A60,Juniorstwo!$A$35:$A$54,0),MATCH($B$12,Juniorstwo!$A$34:$N$34,0))*H$12+INDEX(JuniorzyNegatyw[],MATCH($A60,Juniorstwo!$A$35:$A$54,0),MATCH($B$13,Juniorstwo!$A$34:$N$34,0))*H$13,"-")</f>
        <v>72</v>
      </c>
      <c r="I60" s="38">
        <f ca="1">IFERROR(INDEX(JuniorzyNegatyw[],MATCH($A60,Juniorstwo!$A$35:$A$54,0),MATCH($B$2,Juniorstwo!$A$34:$N$34,0))*I$2+INDEX(JuniorzyNegatyw[],MATCH($A60,Juniorstwo!$A$35:$A$54,0),MATCH($B$3,Juniorstwo!$A$34:$N$34,0))*I$3+INDEX(JuniorzyNegatyw[],MATCH($A60,Juniorstwo!$A$35:$A$54,0),MATCH($B$4,Juniorstwo!$A$34:$N$34,0))*I$4+INDEX(JuniorzyNegatyw[],MATCH($A60,Juniorstwo!$A$35:$A$54,0),MATCH($B$5,Juniorstwo!$A$34:$N$34,0))*I$5+INDEX(JuniorzyNegatyw[],MATCH($A60,Juniorstwo!$A$35:$A$54,0),MATCH($B$6,Juniorstwo!$A$34:$N$34,0))*I$6+INDEX(JuniorzyNegatyw[],MATCH($A60,Juniorstwo!$A$35:$A$54,0),MATCH($B$7,Juniorstwo!$A$34:$N$34,0))*I$7+INDEX(JuniorzyNegatyw[],MATCH($A60,Juniorstwo!$A$35:$A$54,0),MATCH($B$8,Juniorstwo!$A$34:$N$34,0))*I$8+INDEX(JuniorzyNegatyw[],MATCH($A60,Juniorstwo!$A$35:$A$54,0),MATCH($B$9,Juniorstwo!$A$34:$N$34,0))*I$9+INDEX(JuniorzyNegatyw[],MATCH($A60,Juniorstwo!$A$35:$A$54,0),MATCH($B$10,Juniorstwo!$A$34:$N$34,0))*I$10+INDEX(JuniorzyNegatyw[],MATCH($A60,Juniorstwo!$A$35:$A$54,0),MATCH($B$11,Juniorstwo!$A$34:$N$34,0))*I$11+INDEX(JuniorzyNegatyw[],MATCH($A60,Juniorstwo!$A$35:$A$54,0),MATCH($B$12,Juniorstwo!$A$34:$N$34,0))*I$12+INDEX(JuniorzyNegatyw[],MATCH($A60,Juniorstwo!$A$35:$A$54,0),MATCH($B$13,Juniorstwo!$A$34:$N$34,0))*I$13,"-")</f>
        <v>73.5</v>
      </c>
      <c r="J60" s="38">
        <f ca="1">IFERROR(INDEX(JuniorzyNegatyw[],MATCH($A60,Juniorstwo!$A$35:$A$54,0),MATCH($B$2,Juniorstwo!$A$34:$N$34,0))*J$2+INDEX(JuniorzyNegatyw[],MATCH($A60,Juniorstwo!$A$35:$A$54,0),MATCH($B$3,Juniorstwo!$A$34:$N$34,0))*J$3+INDEX(JuniorzyNegatyw[],MATCH($A60,Juniorstwo!$A$35:$A$54,0),MATCH($B$4,Juniorstwo!$A$34:$N$34,0))*J$4+INDEX(JuniorzyNegatyw[],MATCH($A60,Juniorstwo!$A$35:$A$54,0),MATCH($B$5,Juniorstwo!$A$34:$N$34,0))*J$5+INDEX(JuniorzyNegatyw[],MATCH($A60,Juniorstwo!$A$35:$A$54,0),MATCH($B$6,Juniorstwo!$A$34:$N$34,0))*J$6+INDEX(JuniorzyNegatyw[],MATCH($A60,Juniorstwo!$A$35:$A$54,0),MATCH($B$7,Juniorstwo!$A$34:$N$34,0))*J$7+INDEX(JuniorzyNegatyw[],MATCH($A60,Juniorstwo!$A$35:$A$54,0),MATCH($B$8,Juniorstwo!$A$34:$N$34,0))*J$8+INDEX(JuniorzyNegatyw[],MATCH($A60,Juniorstwo!$A$35:$A$54,0),MATCH($B$9,Juniorstwo!$A$34:$N$34,0))*J$9+INDEX(JuniorzyNegatyw[],MATCH($A60,Juniorstwo!$A$35:$A$54,0),MATCH($B$10,Juniorstwo!$A$34:$N$34,0))*J$10+INDEX(JuniorzyNegatyw[],MATCH($A60,Juniorstwo!$A$35:$A$54,0),MATCH($B$11,Juniorstwo!$A$34:$N$34,0))*J$11+INDEX(JuniorzyNegatyw[],MATCH($A60,Juniorstwo!$A$35:$A$54,0),MATCH($B$12,Juniorstwo!$A$34:$N$34,0))*J$12+INDEX(JuniorzyNegatyw[],MATCH($A60,Juniorstwo!$A$35:$A$54,0),MATCH($B$13,Juniorstwo!$A$34:$N$34,0))*J$13,"-")</f>
        <v>71</v>
      </c>
      <c r="K60" s="38">
        <f ca="1">IFERROR(INDEX(JuniorzyNegatyw[],MATCH($A60,Juniorstwo!$A$35:$A$54,0),MATCH($B$2,Juniorstwo!$A$34:$N$34,0))*K$2+INDEX(JuniorzyNegatyw[],MATCH($A60,Juniorstwo!$A$35:$A$54,0),MATCH($B$3,Juniorstwo!$A$34:$N$34,0))*K$3+INDEX(JuniorzyNegatyw[],MATCH($A60,Juniorstwo!$A$35:$A$54,0),MATCH($B$4,Juniorstwo!$A$34:$N$34,0))*K$4+INDEX(JuniorzyNegatyw[],MATCH($A60,Juniorstwo!$A$35:$A$54,0),MATCH($B$5,Juniorstwo!$A$34:$N$34,0))*K$5+INDEX(JuniorzyNegatyw[],MATCH($A60,Juniorstwo!$A$35:$A$54,0),MATCH($B$6,Juniorstwo!$A$34:$N$34,0))*K$6+INDEX(JuniorzyNegatyw[],MATCH($A60,Juniorstwo!$A$35:$A$54,0),MATCH($B$7,Juniorstwo!$A$34:$N$34,0))*K$7+INDEX(JuniorzyNegatyw[],MATCH($A60,Juniorstwo!$A$35:$A$54,0),MATCH($B$8,Juniorstwo!$A$34:$N$34,0))*K$8+INDEX(JuniorzyNegatyw[],MATCH($A60,Juniorstwo!$A$35:$A$54,0),MATCH($B$9,Juniorstwo!$A$34:$N$34,0))*K$9+INDEX(JuniorzyNegatyw[],MATCH($A60,Juniorstwo!$A$35:$A$54,0),MATCH($B$10,Juniorstwo!$A$34:$N$34,0))*K$10+INDEX(JuniorzyNegatyw[],MATCH($A60,Juniorstwo!$A$35:$A$54,0),MATCH($B$11,Juniorstwo!$A$34:$N$34,0))*K$11+INDEX(JuniorzyNegatyw[],MATCH($A60,Juniorstwo!$A$35:$A$54,0),MATCH($B$12,Juniorstwo!$A$34:$N$34,0))*K$12+INDEX(JuniorzyNegatyw[],MATCH($A60,Juniorstwo!$A$35:$A$54,0),MATCH($B$13,Juniorstwo!$A$34:$N$34,0))*K$13,"-")</f>
        <v>73</v>
      </c>
    </row>
    <row r="61" spans="1:11" x14ac:dyDescent="0.25">
      <c r="A61">
        <f>IFERROR(PozJunNŚr[[#This Row],[Numer]],"-")</f>
        <v>17</v>
      </c>
      <c r="B61" s="3" t="str">
        <f>IFERROR(VLOOKUP(PozJunNMM[[#This Row],[Numer]],Zawodnicy[[Number]:[Player name]],2,FALSE),"-")</f>
        <v>Hieronim Wejta</v>
      </c>
      <c r="C61" s="38">
        <f ca="1">IFERROR(INDEX(JuniorzyNegatyw[],MATCH($A61,Juniorstwo!$A$35:$A$54,0),MATCH($B$2,Juniorstwo!$A$34:$N$34,0))*C$2+INDEX(JuniorzyNegatyw[],MATCH($A61,Juniorstwo!$A$35:$A$54,0),MATCH($B$3,Juniorstwo!$A$34:$N$34,0))*C$3+INDEX(JuniorzyNegatyw[],MATCH($A61,Juniorstwo!$A$35:$A$54,0),MATCH($B$4,Juniorstwo!$A$34:$N$34,0))*C$4+INDEX(JuniorzyNegatyw[],MATCH($A61,Juniorstwo!$A$35:$A$54,0),MATCH($B$5,Juniorstwo!$A$34:$N$34,0))*C$5+INDEX(JuniorzyNegatyw[],MATCH($A61,Juniorstwo!$A$35:$A$54,0),MATCH($B$6,Juniorstwo!$A$34:$N$34,0))*C$6+INDEX(JuniorzyNegatyw[],MATCH($A61,Juniorstwo!$A$35:$A$54,0),MATCH($B$7,Juniorstwo!$A$34:$N$34,0))*C$7+INDEX(JuniorzyNegatyw[],MATCH($A61,Juniorstwo!$A$35:$A$54,0),MATCH($B$8,Juniorstwo!$A$34:$N$34,0))*C$8+INDEX(JuniorzyNegatyw[],MATCH($A61,Juniorstwo!$A$35:$A$54,0),MATCH($B$9,Juniorstwo!$A$34:$N$34,0))*C$9+INDEX(JuniorzyNegatyw[],MATCH($A61,Juniorstwo!$A$35:$A$54,0),MATCH($B$10,Juniorstwo!$A$34:$N$34,0))*C$10+INDEX(JuniorzyNegatyw[],MATCH($A61,Juniorstwo!$A$35:$A$54,0),MATCH($B$11,Juniorstwo!$A$34:$N$34,0))*C$11+INDEX(JuniorzyNegatyw[],MATCH($A61,Juniorstwo!$A$35:$A$54,0),MATCH($B$12,Juniorstwo!$A$34:$N$34,0))*C$12+INDEX(JuniorzyNegatyw[],MATCH($A61,Juniorstwo!$A$35:$A$54,0),MATCH($B$13,Juniorstwo!$A$34:$N$34,0))*C$13,"-")</f>
        <v>65.5</v>
      </c>
      <c r="D61" s="38">
        <f ca="1">IFERROR(INDEX(JuniorzyNegatyw[],MATCH($A61,Juniorstwo!$A$35:$A$54,0),MATCH($B$2,Juniorstwo!$A$34:$N$34,0))*D$2+INDEX(JuniorzyNegatyw[],MATCH($A61,Juniorstwo!$A$35:$A$54,0),MATCH($B$3,Juniorstwo!$A$34:$N$34,0))*D$3+INDEX(JuniorzyNegatyw[],MATCH($A61,Juniorstwo!$A$35:$A$54,0),MATCH($B$4,Juniorstwo!$A$34:$N$34,0))*D$4+INDEX(JuniorzyNegatyw[],MATCH($A61,Juniorstwo!$A$35:$A$54,0),MATCH($B$5,Juniorstwo!$A$34:$N$34,0))*D$5+INDEX(JuniorzyNegatyw[],MATCH($A61,Juniorstwo!$A$35:$A$54,0),MATCH($B$6,Juniorstwo!$A$34:$N$34,0))*D$6+INDEX(JuniorzyNegatyw[],MATCH($A61,Juniorstwo!$A$35:$A$54,0),MATCH($B$7,Juniorstwo!$A$34:$N$34,0))*D$7+INDEX(JuniorzyNegatyw[],MATCH($A61,Juniorstwo!$A$35:$A$54,0),MATCH($B$8,Juniorstwo!$A$34:$N$34,0))*D$8+INDEX(JuniorzyNegatyw[],MATCH($A61,Juniorstwo!$A$35:$A$54,0),MATCH($B$9,Juniorstwo!$A$34:$N$34,0))*D$9+INDEX(JuniorzyNegatyw[],MATCH($A61,Juniorstwo!$A$35:$A$54,0),MATCH($B$10,Juniorstwo!$A$34:$N$34,0))*D$10+INDEX(JuniorzyNegatyw[],MATCH($A61,Juniorstwo!$A$35:$A$54,0),MATCH($B$11,Juniorstwo!$A$34:$N$34,0))*D$11+INDEX(JuniorzyNegatyw[],MATCH($A61,Juniorstwo!$A$35:$A$54,0),MATCH($B$12,Juniorstwo!$A$34:$N$34,0))*D$12+INDEX(JuniorzyNegatyw[],MATCH($A61,Juniorstwo!$A$35:$A$54,0),MATCH($B$13,Juniorstwo!$A$34:$N$34,0))*D$13,"-")</f>
        <v>81</v>
      </c>
      <c r="E61" s="38">
        <f ca="1">IFERROR(INDEX(JuniorzyNegatyw[],MATCH($A61,Juniorstwo!$A$35:$A$54,0),MATCH($B$2,Juniorstwo!$A$34:$N$34,0))*E$2+INDEX(JuniorzyNegatyw[],MATCH($A61,Juniorstwo!$A$35:$A$54,0),MATCH($B$3,Juniorstwo!$A$34:$N$34,0))*E$3+INDEX(JuniorzyNegatyw[],MATCH($A61,Juniorstwo!$A$35:$A$54,0),MATCH($B$4,Juniorstwo!$A$34:$N$34,0))*E$4+INDEX(JuniorzyNegatyw[],MATCH($A61,Juniorstwo!$A$35:$A$54,0),MATCH($B$5,Juniorstwo!$A$34:$N$34,0))*E$5+INDEX(JuniorzyNegatyw[],MATCH($A61,Juniorstwo!$A$35:$A$54,0),MATCH($B$6,Juniorstwo!$A$34:$N$34,0))*E$6+INDEX(JuniorzyNegatyw[],MATCH($A61,Juniorstwo!$A$35:$A$54,0),MATCH($B$7,Juniorstwo!$A$34:$N$34,0))*E$7+INDEX(JuniorzyNegatyw[],MATCH($A61,Juniorstwo!$A$35:$A$54,0),MATCH($B$8,Juniorstwo!$A$34:$N$34,0))*E$8+INDEX(JuniorzyNegatyw[],MATCH($A61,Juniorstwo!$A$35:$A$54,0),MATCH($B$9,Juniorstwo!$A$34:$N$34,0))*E$9+INDEX(JuniorzyNegatyw[],MATCH($A61,Juniorstwo!$A$35:$A$54,0),MATCH($B$10,Juniorstwo!$A$34:$N$34,0))*E$10+INDEX(JuniorzyNegatyw[],MATCH($A61,Juniorstwo!$A$35:$A$54,0),MATCH($B$11,Juniorstwo!$A$34:$N$34,0))*E$11+INDEX(JuniorzyNegatyw[],MATCH($A61,Juniorstwo!$A$35:$A$54,0),MATCH($B$12,Juniorstwo!$A$34:$N$34,0))*E$12+INDEX(JuniorzyNegatyw[],MATCH($A61,Juniorstwo!$A$35:$A$54,0),MATCH($B$13,Juniorstwo!$A$34:$N$34,0))*E$13,"-")</f>
        <v>79</v>
      </c>
      <c r="F61" s="38">
        <f ca="1">IFERROR(INDEX(JuniorzyNegatyw[],MATCH($A61,Juniorstwo!$A$35:$A$54,0),MATCH($B$2,Juniorstwo!$A$34:$N$34,0))*F$2+INDEX(JuniorzyNegatyw[],MATCH($A61,Juniorstwo!$A$35:$A$54,0),MATCH($B$3,Juniorstwo!$A$34:$N$34,0))*F$3+INDEX(JuniorzyNegatyw[],MATCH($A61,Juniorstwo!$A$35:$A$54,0),MATCH($B$4,Juniorstwo!$A$34:$N$34,0))*F$4+INDEX(JuniorzyNegatyw[],MATCH($A61,Juniorstwo!$A$35:$A$54,0),MATCH($B$5,Juniorstwo!$A$34:$N$34,0))*F$5+INDEX(JuniorzyNegatyw[],MATCH($A61,Juniorstwo!$A$35:$A$54,0),MATCH($B$6,Juniorstwo!$A$34:$N$34,0))*F$6+INDEX(JuniorzyNegatyw[],MATCH($A61,Juniorstwo!$A$35:$A$54,0),MATCH($B$7,Juniorstwo!$A$34:$N$34,0))*F$7+INDEX(JuniorzyNegatyw[],MATCH($A61,Juniorstwo!$A$35:$A$54,0),MATCH($B$8,Juniorstwo!$A$34:$N$34,0))*F$8+INDEX(JuniorzyNegatyw[],MATCH($A61,Juniorstwo!$A$35:$A$54,0),MATCH($B$9,Juniorstwo!$A$34:$N$34,0))*F$9+INDEX(JuniorzyNegatyw[],MATCH($A61,Juniorstwo!$A$35:$A$54,0),MATCH($B$10,Juniorstwo!$A$34:$N$34,0))*F$10+INDEX(JuniorzyNegatyw[],MATCH($A61,Juniorstwo!$A$35:$A$54,0),MATCH($B$11,Juniorstwo!$A$34:$N$34,0))*F$11+INDEX(JuniorzyNegatyw[],MATCH($A61,Juniorstwo!$A$35:$A$54,0),MATCH($B$12,Juniorstwo!$A$34:$N$34,0))*F$12+INDEX(JuniorzyNegatyw[],MATCH($A61,Juniorstwo!$A$35:$A$54,0),MATCH($B$13,Juniorstwo!$A$34:$N$34,0))*F$13,"-")</f>
        <v>80</v>
      </c>
      <c r="G61" s="38">
        <f ca="1">IFERROR(INDEX(JuniorzyNegatyw[],MATCH($A61,Juniorstwo!$A$35:$A$54,0),MATCH($B$2,Juniorstwo!$A$34:$N$34,0))*G$2+INDEX(JuniorzyNegatyw[],MATCH($A61,Juniorstwo!$A$35:$A$54,0),MATCH($B$3,Juniorstwo!$A$34:$N$34,0))*G$3+INDEX(JuniorzyNegatyw[],MATCH($A61,Juniorstwo!$A$35:$A$54,0),MATCH($B$4,Juniorstwo!$A$34:$N$34,0))*G$4+INDEX(JuniorzyNegatyw[],MATCH($A61,Juniorstwo!$A$35:$A$54,0),MATCH($B$5,Juniorstwo!$A$34:$N$34,0))*G$5+INDEX(JuniorzyNegatyw[],MATCH($A61,Juniorstwo!$A$35:$A$54,0),MATCH($B$6,Juniorstwo!$A$34:$N$34,0))*G$6+INDEX(JuniorzyNegatyw[],MATCH($A61,Juniorstwo!$A$35:$A$54,0),MATCH($B$7,Juniorstwo!$A$34:$N$34,0))*G$7+INDEX(JuniorzyNegatyw[],MATCH($A61,Juniorstwo!$A$35:$A$54,0),MATCH($B$8,Juniorstwo!$A$34:$N$34,0))*G$8+INDEX(JuniorzyNegatyw[],MATCH($A61,Juniorstwo!$A$35:$A$54,0),MATCH($B$9,Juniorstwo!$A$34:$N$34,0))*G$9+INDEX(JuniorzyNegatyw[],MATCH($A61,Juniorstwo!$A$35:$A$54,0),MATCH($B$10,Juniorstwo!$A$34:$N$34,0))*G$10+INDEX(JuniorzyNegatyw[],MATCH($A61,Juniorstwo!$A$35:$A$54,0),MATCH($B$11,Juniorstwo!$A$34:$N$34,0))*G$11+INDEX(JuniorzyNegatyw[],MATCH($A61,Juniorstwo!$A$35:$A$54,0),MATCH($B$12,Juniorstwo!$A$34:$N$34,0))*G$12+INDEX(JuniorzyNegatyw[],MATCH($A61,Juniorstwo!$A$35:$A$54,0),MATCH($B$13,Juniorstwo!$A$34:$N$34,0))*G$13,"-")</f>
        <v>80</v>
      </c>
      <c r="H61" s="38">
        <f ca="1">IFERROR(INDEX(JuniorzyNegatyw[],MATCH($A61,Juniorstwo!$A$35:$A$54,0),MATCH($B$2,Juniorstwo!$A$34:$N$34,0))*H$2+INDEX(JuniorzyNegatyw[],MATCH($A61,Juniorstwo!$A$35:$A$54,0),MATCH($B$3,Juniorstwo!$A$34:$N$34,0))*H$3+INDEX(JuniorzyNegatyw[],MATCH($A61,Juniorstwo!$A$35:$A$54,0),MATCH($B$4,Juniorstwo!$A$34:$N$34,0))*H$4+INDEX(JuniorzyNegatyw[],MATCH($A61,Juniorstwo!$A$35:$A$54,0),MATCH($B$5,Juniorstwo!$A$34:$N$34,0))*H$5+INDEX(JuniorzyNegatyw[],MATCH($A61,Juniorstwo!$A$35:$A$54,0),MATCH($B$6,Juniorstwo!$A$34:$N$34,0))*H$6+INDEX(JuniorzyNegatyw[],MATCH($A61,Juniorstwo!$A$35:$A$54,0),MATCH($B$7,Juniorstwo!$A$34:$N$34,0))*H$7+INDEX(JuniorzyNegatyw[],MATCH($A61,Juniorstwo!$A$35:$A$54,0),MATCH($B$8,Juniorstwo!$A$34:$N$34,0))*H$8+INDEX(JuniorzyNegatyw[],MATCH($A61,Juniorstwo!$A$35:$A$54,0),MATCH($B$9,Juniorstwo!$A$34:$N$34,0))*H$9+INDEX(JuniorzyNegatyw[],MATCH($A61,Juniorstwo!$A$35:$A$54,0),MATCH($B$10,Juniorstwo!$A$34:$N$34,0))*H$10+INDEX(JuniorzyNegatyw[],MATCH($A61,Juniorstwo!$A$35:$A$54,0),MATCH($B$11,Juniorstwo!$A$34:$N$34,0))*H$11+INDEX(JuniorzyNegatyw[],MATCH($A61,Juniorstwo!$A$35:$A$54,0),MATCH($B$12,Juniorstwo!$A$34:$N$34,0))*H$12+INDEX(JuniorzyNegatyw[],MATCH($A61,Juniorstwo!$A$35:$A$54,0),MATCH($B$13,Juniorstwo!$A$34:$N$34,0))*H$13,"-")</f>
        <v>77.5</v>
      </c>
      <c r="I61" s="38">
        <f ca="1">IFERROR(INDEX(JuniorzyNegatyw[],MATCH($A61,Juniorstwo!$A$35:$A$54,0),MATCH($B$2,Juniorstwo!$A$34:$N$34,0))*I$2+INDEX(JuniorzyNegatyw[],MATCH($A61,Juniorstwo!$A$35:$A$54,0),MATCH($B$3,Juniorstwo!$A$34:$N$34,0))*I$3+INDEX(JuniorzyNegatyw[],MATCH($A61,Juniorstwo!$A$35:$A$54,0),MATCH($B$4,Juniorstwo!$A$34:$N$34,0))*I$4+INDEX(JuniorzyNegatyw[],MATCH($A61,Juniorstwo!$A$35:$A$54,0),MATCH($B$5,Juniorstwo!$A$34:$N$34,0))*I$5+INDEX(JuniorzyNegatyw[],MATCH($A61,Juniorstwo!$A$35:$A$54,0),MATCH($B$6,Juniorstwo!$A$34:$N$34,0))*I$6+INDEX(JuniorzyNegatyw[],MATCH($A61,Juniorstwo!$A$35:$A$54,0),MATCH($B$7,Juniorstwo!$A$34:$N$34,0))*I$7+INDEX(JuniorzyNegatyw[],MATCH($A61,Juniorstwo!$A$35:$A$54,0),MATCH($B$8,Juniorstwo!$A$34:$N$34,0))*I$8+INDEX(JuniorzyNegatyw[],MATCH($A61,Juniorstwo!$A$35:$A$54,0),MATCH($B$9,Juniorstwo!$A$34:$N$34,0))*I$9+INDEX(JuniorzyNegatyw[],MATCH($A61,Juniorstwo!$A$35:$A$54,0),MATCH($B$10,Juniorstwo!$A$34:$N$34,0))*I$10+INDEX(JuniorzyNegatyw[],MATCH($A61,Juniorstwo!$A$35:$A$54,0),MATCH($B$11,Juniorstwo!$A$34:$N$34,0))*I$11+INDEX(JuniorzyNegatyw[],MATCH($A61,Juniorstwo!$A$35:$A$54,0),MATCH($B$12,Juniorstwo!$A$34:$N$34,0))*I$12+INDEX(JuniorzyNegatyw[],MATCH($A61,Juniorstwo!$A$35:$A$54,0),MATCH($B$13,Juniorstwo!$A$34:$N$34,0))*I$13,"-")</f>
        <v>78</v>
      </c>
      <c r="J61" s="38">
        <f ca="1">IFERROR(INDEX(JuniorzyNegatyw[],MATCH($A61,Juniorstwo!$A$35:$A$54,0),MATCH($B$2,Juniorstwo!$A$34:$N$34,0))*J$2+INDEX(JuniorzyNegatyw[],MATCH($A61,Juniorstwo!$A$35:$A$54,0),MATCH($B$3,Juniorstwo!$A$34:$N$34,0))*J$3+INDEX(JuniorzyNegatyw[],MATCH($A61,Juniorstwo!$A$35:$A$54,0),MATCH($B$4,Juniorstwo!$A$34:$N$34,0))*J$4+INDEX(JuniorzyNegatyw[],MATCH($A61,Juniorstwo!$A$35:$A$54,0),MATCH($B$5,Juniorstwo!$A$34:$N$34,0))*J$5+INDEX(JuniorzyNegatyw[],MATCH($A61,Juniorstwo!$A$35:$A$54,0),MATCH($B$6,Juniorstwo!$A$34:$N$34,0))*J$6+INDEX(JuniorzyNegatyw[],MATCH($A61,Juniorstwo!$A$35:$A$54,0),MATCH($B$7,Juniorstwo!$A$34:$N$34,0))*J$7+INDEX(JuniorzyNegatyw[],MATCH($A61,Juniorstwo!$A$35:$A$54,0),MATCH($B$8,Juniorstwo!$A$34:$N$34,0))*J$8+INDEX(JuniorzyNegatyw[],MATCH($A61,Juniorstwo!$A$35:$A$54,0),MATCH($B$9,Juniorstwo!$A$34:$N$34,0))*J$9+INDEX(JuniorzyNegatyw[],MATCH($A61,Juniorstwo!$A$35:$A$54,0),MATCH($B$10,Juniorstwo!$A$34:$N$34,0))*J$10+INDEX(JuniorzyNegatyw[],MATCH($A61,Juniorstwo!$A$35:$A$54,0),MATCH($B$11,Juniorstwo!$A$34:$N$34,0))*J$11+INDEX(JuniorzyNegatyw[],MATCH($A61,Juniorstwo!$A$35:$A$54,0),MATCH($B$12,Juniorstwo!$A$34:$N$34,0))*J$12+INDEX(JuniorzyNegatyw[],MATCH($A61,Juniorstwo!$A$35:$A$54,0),MATCH($B$13,Juniorstwo!$A$34:$N$34,0))*J$13,"-")</f>
        <v>77.5</v>
      </c>
      <c r="K61" s="38">
        <f ca="1">IFERROR(INDEX(JuniorzyNegatyw[],MATCH($A61,Juniorstwo!$A$35:$A$54,0),MATCH($B$2,Juniorstwo!$A$34:$N$34,0))*K$2+INDEX(JuniorzyNegatyw[],MATCH($A61,Juniorstwo!$A$35:$A$54,0),MATCH($B$3,Juniorstwo!$A$34:$N$34,0))*K$3+INDEX(JuniorzyNegatyw[],MATCH($A61,Juniorstwo!$A$35:$A$54,0),MATCH($B$4,Juniorstwo!$A$34:$N$34,0))*K$4+INDEX(JuniorzyNegatyw[],MATCH($A61,Juniorstwo!$A$35:$A$54,0),MATCH($B$5,Juniorstwo!$A$34:$N$34,0))*K$5+INDEX(JuniorzyNegatyw[],MATCH($A61,Juniorstwo!$A$35:$A$54,0),MATCH($B$6,Juniorstwo!$A$34:$N$34,0))*K$6+INDEX(JuniorzyNegatyw[],MATCH($A61,Juniorstwo!$A$35:$A$54,0),MATCH($B$7,Juniorstwo!$A$34:$N$34,0))*K$7+INDEX(JuniorzyNegatyw[],MATCH($A61,Juniorstwo!$A$35:$A$54,0),MATCH($B$8,Juniorstwo!$A$34:$N$34,0))*K$8+INDEX(JuniorzyNegatyw[],MATCH($A61,Juniorstwo!$A$35:$A$54,0),MATCH($B$9,Juniorstwo!$A$34:$N$34,0))*K$9+INDEX(JuniorzyNegatyw[],MATCH($A61,Juniorstwo!$A$35:$A$54,0),MATCH($B$10,Juniorstwo!$A$34:$N$34,0))*K$10+INDEX(JuniorzyNegatyw[],MATCH($A61,Juniorstwo!$A$35:$A$54,0),MATCH($B$11,Juniorstwo!$A$34:$N$34,0))*K$11+INDEX(JuniorzyNegatyw[],MATCH($A61,Juniorstwo!$A$35:$A$54,0),MATCH($B$12,Juniorstwo!$A$34:$N$34,0))*K$12+INDEX(JuniorzyNegatyw[],MATCH($A61,Juniorstwo!$A$35:$A$54,0),MATCH($B$13,Juniorstwo!$A$34:$N$34,0))*K$13,"-")</f>
        <v>77.5</v>
      </c>
    </row>
    <row r="62" spans="1:11" x14ac:dyDescent="0.25">
      <c r="A62">
        <f>IFERROR(PozJunNŚr[[#This Row],[Numer]],"-")</f>
        <v>0</v>
      </c>
      <c r="B62" s="3" t="str">
        <f>IFERROR(VLOOKUP(PozJunNMM[[#This Row],[Numer]],Zawodnicy[[Number]:[Player name]],2,FALSE),"-")</f>
        <v>-</v>
      </c>
      <c r="C62" s="38" t="str">
        <f>IFERROR(INDEX(JuniorzyNegatyw[],MATCH($A62,Juniorstwo!$A$35:$A$54,0),MATCH($B$2,Juniorstwo!$A$34:$N$34,0))*C$2+INDEX(JuniorzyNegatyw[],MATCH($A62,Juniorstwo!$A$35:$A$54,0),MATCH($B$3,Juniorstwo!$A$34:$N$34,0))*C$3+INDEX(JuniorzyNegatyw[],MATCH($A62,Juniorstwo!$A$35:$A$54,0),MATCH($B$4,Juniorstwo!$A$34:$N$34,0))*C$4+INDEX(JuniorzyNegatyw[],MATCH($A62,Juniorstwo!$A$35:$A$54,0),MATCH($B$5,Juniorstwo!$A$34:$N$34,0))*C$5+INDEX(JuniorzyNegatyw[],MATCH($A62,Juniorstwo!$A$35:$A$54,0),MATCH($B$6,Juniorstwo!$A$34:$N$34,0))*C$6+INDEX(JuniorzyNegatyw[],MATCH($A62,Juniorstwo!$A$35:$A$54,0),MATCH($B$7,Juniorstwo!$A$34:$N$34,0))*C$7+INDEX(JuniorzyNegatyw[],MATCH($A62,Juniorstwo!$A$35:$A$54,0),MATCH($B$8,Juniorstwo!$A$34:$N$34,0))*C$8+INDEX(JuniorzyNegatyw[],MATCH($A62,Juniorstwo!$A$35:$A$54,0),MATCH($B$9,Juniorstwo!$A$34:$N$34,0))*C$9+INDEX(JuniorzyNegatyw[],MATCH($A62,Juniorstwo!$A$35:$A$54,0),MATCH($B$10,Juniorstwo!$A$34:$N$34,0))*C$10+INDEX(JuniorzyNegatyw[],MATCH($A62,Juniorstwo!$A$35:$A$54,0),MATCH($B$11,Juniorstwo!$A$34:$N$34,0))*C$11+INDEX(JuniorzyNegatyw[],MATCH($A62,Juniorstwo!$A$35:$A$54,0),MATCH($B$12,Juniorstwo!$A$34:$N$34,0))*C$12+INDEX(JuniorzyNegatyw[],MATCH($A62,Juniorstwo!$A$35:$A$54,0),MATCH($B$13,Juniorstwo!$A$34:$N$34,0))*C$13,"-")</f>
        <v>-</v>
      </c>
      <c r="D62" s="38" t="str">
        <f>IFERROR(INDEX(JuniorzyNegatyw[],MATCH($A62,Juniorstwo!$A$35:$A$54,0),MATCH($B$2,Juniorstwo!$A$34:$N$34,0))*D$2+INDEX(JuniorzyNegatyw[],MATCH($A62,Juniorstwo!$A$35:$A$54,0),MATCH($B$3,Juniorstwo!$A$34:$N$34,0))*D$3+INDEX(JuniorzyNegatyw[],MATCH($A62,Juniorstwo!$A$35:$A$54,0),MATCH($B$4,Juniorstwo!$A$34:$N$34,0))*D$4+INDEX(JuniorzyNegatyw[],MATCH($A62,Juniorstwo!$A$35:$A$54,0),MATCH($B$5,Juniorstwo!$A$34:$N$34,0))*D$5+INDEX(JuniorzyNegatyw[],MATCH($A62,Juniorstwo!$A$35:$A$54,0),MATCH($B$6,Juniorstwo!$A$34:$N$34,0))*D$6+INDEX(JuniorzyNegatyw[],MATCH($A62,Juniorstwo!$A$35:$A$54,0),MATCH($B$7,Juniorstwo!$A$34:$N$34,0))*D$7+INDEX(JuniorzyNegatyw[],MATCH($A62,Juniorstwo!$A$35:$A$54,0),MATCH($B$8,Juniorstwo!$A$34:$N$34,0))*D$8+INDEX(JuniorzyNegatyw[],MATCH($A62,Juniorstwo!$A$35:$A$54,0),MATCH($B$9,Juniorstwo!$A$34:$N$34,0))*D$9+INDEX(JuniorzyNegatyw[],MATCH($A62,Juniorstwo!$A$35:$A$54,0),MATCH($B$10,Juniorstwo!$A$34:$N$34,0))*D$10+INDEX(JuniorzyNegatyw[],MATCH($A62,Juniorstwo!$A$35:$A$54,0),MATCH($B$11,Juniorstwo!$A$34:$N$34,0))*D$11+INDEX(JuniorzyNegatyw[],MATCH($A62,Juniorstwo!$A$35:$A$54,0),MATCH($B$12,Juniorstwo!$A$34:$N$34,0))*D$12+INDEX(JuniorzyNegatyw[],MATCH($A62,Juniorstwo!$A$35:$A$54,0),MATCH($B$13,Juniorstwo!$A$34:$N$34,0))*D$13,"-")</f>
        <v>-</v>
      </c>
      <c r="E62" s="38" t="str">
        <f>IFERROR(INDEX(JuniorzyNegatyw[],MATCH($A62,Juniorstwo!$A$35:$A$54,0),MATCH($B$2,Juniorstwo!$A$34:$N$34,0))*E$2+INDEX(JuniorzyNegatyw[],MATCH($A62,Juniorstwo!$A$35:$A$54,0),MATCH($B$3,Juniorstwo!$A$34:$N$34,0))*E$3+INDEX(JuniorzyNegatyw[],MATCH($A62,Juniorstwo!$A$35:$A$54,0),MATCH($B$4,Juniorstwo!$A$34:$N$34,0))*E$4+INDEX(JuniorzyNegatyw[],MATCH($A62,Juniorstwo!$A$35:$A$54,0),MATCH($B$5,Juniorstwo!$A$34:$N$34,0))*E$5+INDEX(JuniorzyNegatyw[],MATCH($A62,Juniorstwo!$A$35:$A$54,0),MATCH($B$6,Juniorstwo!$A$34:$N$34,0))*E$6+INDEX(JuniorzyNegatyw[],MATCH($A62,Juniorstwo!$A$35:$A$54,0),MATCH($B$7,Juniorstwo!$A$34:$N$34,0))*E$7+INDEX(JuniorzyNegatyw[],MATCH($A62,Juniorstwo!$A$35:$A$54,0),MATCH($B$8,Juniorstwo!$A$34:$N$34,0))*E$8+INDEX(JuniorzyNegatyw[],MATCH($A62,Juniorstwo!$A$35:$A$54,0),MATCH($B$9,Juniorstwo!$A$34:$N$34,0))*E$9+INDEX(JuniorzyNegatyw[],MATCH($A62,Juniorstwo!$A$35:$A$54,0),MATCH($B$10,Juniorstwo!$A$34:$N$34,0))*E$10+INDEX(JuniorzyNegatyw[],MATCH($A62,Juniorstwo!$A$35:$A$54,0),MATCH($B$11,Juniorstwo!$A$34:$N$34,0))*E$11+INDEX(JuniorzyNegatyw[],MATCH($A62,Juniorstwo!$A$35:$A$54,0),MATCH($B$12,Juniorstwo!$A$34:$N$34,0))*E$12+INDEX(JuniorzyNegatyw[],MATCH($A62,Juniorstwo!$A$35:$A$54,0),MATCH($B$13,Juniorstwo!$A$34:$N$34,0))*E$13,"-")</f>
        <v>-</v>
      </c>
      <c r="F62" s="38" t="str">
        <f>IFERROR(INDEX(JuniorzyNegatyw[],MATCH($A62,Juniorstwo!$A$35:$A$54,0),MATCH($B$2,Juniorstwo!$A$34:$N$34,0))*F$2+INDEX(JuniorzyNegatyw[],MATCH($A62,Juniorstwo!$A$35:$A$54,0),MATCH($B$3,Juniorstwo!$A$34:$N$34,0))*F$3+INDEX(JuniorzyNegatyw[],MATCH($A62,Juniorstwo!$A$35:$A$54,0),MATCH($B$4,Juniorstwo!$A$34:$N$34,0))*F$4+INDEX(JuniorzyNegatyw[],MATCH($A62,Juniorstwo!$A$35:$A$54,0),MATCH($B$5,Juniorstwo!$A$34:$N$34,0))*F$5+INDEX(JuniorzyNegatyw[],MATCH($A62,Juniorstwo!$A$35:$A$54,0),MATCH($B$6,Juniorstwo!$A$34:$N$34,0))*F$6+INDEX(JuniorzyNegatyw[],MATCH($A62,Juniorstwo!$A$35:$A$54,0),MATCH($B$7,Juniorstwo!$A$34:$N$34,0))*F$7+INDEX(JuniorzyNegatyw[],MATCH($A62,Juniorstwo!$A$35:$A$54,0),MATCH($B$8,Juniorstwo!$A$34:$N$34,0))*F$8+INDEX(JuniorzyNegatyw[],MATCH($A62,Juniorstwo!$A$35:$A$54,0),MATCH($B$9,Juniorstwo!$A$34:$N$34,0))*F$9+INDEX(JuniorzyNegatyw[],MATCH($A62,Juniorstwo!$A$35:$A$54,0),MATCH($B$10,Juniorstwo!$A$34:$N$34,0))*F$10+INDEX(JuniorzyNegatyw[],MATCH($A62,Juniorstwo!$A$35:$A$54,0),MATCH($B$11,Juniorstwo!$A$34:$N$34,0))*F$11+INDEX(JuniorzyNegatyw[],MATCH($A62,Juniorstwo!$A$35:$A$54,0),MATCH($B$12,Juniorstwo!$A$34:$N$34,0))*F$12+INDEX(JuniorzyNegatyw[],MATCH($A62,Juniorstwo!$A$35:$A$54,0),MATCH($B$13,Juniorstwo!$A$34:$N$34,0))*F$13,"-")</f>
        <v>-</v>
      </c>
      <c r="G62" s="38" t="str">
        <f>IFERROR(INDEX(JuniorzyNegatyw[],MATCH($A62,Juniorstwo!$A$35:$A$54,0),MATCH($B$2,Juniorstwo!$A$34:$N$34,0))*G$2+INDEX(JuniorzyNegatyw[],MATCH($A62,Juniorstwo!$A$35:$A$54,0),MATCH($B$3,Juniorstwo!$A$34:$N$34,0))*G$3+INDEX(JuniorzyNegatyw[],MATCH($A62,Juniorstwo!$A$35:$A$54,0),MATCH($B$4,Juniorstwo!$A$34:$N$34,0))*G$4+INDEX(JuniorzyNegatyw[],MATCH($A62,Juniorstwo!$A$35:$A$54,0),MATCH($B$5,Juniorstwo!$A$34:$N$34,0))*G$5+INDEX(JuniorzyNegatyw[],MATCH($A62,Juniorstwo!$A$35:$A$54,0),MATCH($B$6,Juniorstwo!$A$34:$N$34,0))*G$6+INDEX(JuniorzyNegatyw[],MATCH($A62,Juniorstwo!$A$35:$A$54,0),MATCH($B$7,Juniorstwo!$A$34:$N$34,0))*G$7+INDEX(JuniorzyNegatyw[],MATCH($A62,Juniorstwo!$A$35:$A$54,0),MATCH($B$8,Juniorstwo!$A$34:$N$34,0))*G$8+INDEX(JuniorzyNegatyw[],MATCH($A62,Juniorstwo!$A$35:$A$54,0),MATCH($B$9,Juniorstwo!$A$34:$N$34,0))*G$9+INDEX(JuniorzyNegatyw[],MATCH($A62,Juniorstwo!$A$35:$A$54,0),MATCH($B$10,Juniorstwo!$A$34:$N$34,0))*G$10+INDEX(JuniorzyNegatyw[],MATCH($A62,Juniorstwo!$A$35:$A$54,0),MATCH($B$11,Juniorstwo!$A$34:$N$34,0))*G$11+INDEX(JuniorzyNegatyw[],MATCH($A62,Juniorstwo!$A$35:$A$54,0),MATCH($B$12,Juniorstwo!$A$34:$N$34,0))*G$12+INDEX(JuniorzyNegatyw[],MATCH($A62,Juniorstwo!$A$35:$A$54,0),MATCH($B$13,Juniorstwo!$A$34:$N$34,0))*G$13,"-")</f>
        <v>-</v>
      </c>
      <c r="H62" s="38" t="str">
        <f>IFERROR(INDEX(JuniorzyNegatyw[],MATCH($A62,Juniorstwo!$A$35:$A$54,0),MATCH($B$2,Juniorstwo!$A$34:$N$34,0))*H$2+INDEX(JuniorzyNegatyw[],MATCH($A62,Juniorstwo!$A$35:$A$54,0),MATCH($B$3,Juniorstwo!$A$34:$N$34,0))*H$3+INDEX(JuniorzyNegatyw[],MATCH($A62,Juniorstwo!$A$35:$A$54,0),MATCH($B$4,Juniorstwo!$A$34:$N$34,0))*H$4+INDEX(JuniorzyNegatyw[],MATCH($A62,Juniorstwo!$A$35:$A$54,0),MATCH($B$5,Juniorstwo!$A$34:$N$34,0))*H$5+INDEX(JuniorzyNegatyw[],MATCH($A62,Juniorstwo!$A$35:$A$54,0),MATCH($B$6,Juniorstwo!$A$34:$N$34,0))*H$6+INDEX(JuniorzyNegatyw[],MATCH($A62,Juniorstwo!$A$35:$A$54,0),MATCH($B$7,Juniorstwo!$A$34:$N$34,0))*H$7+INDEX(JuniorzyNegatyw[],MATCH($A62,Juniorstwo!$A$35:$A$54,0),MATCH($B$8,Juniorstwo!$A$34:$N$34,0))*H$8+INDEX(JuniorzyNegatyw[],MATCH($A62,Juniorstwo!$A$35:$A$54,0),MATCH($B$9,Juniorstwo!$A$34:$N$34,0))*H$9+INDEX(JuniorzyNegatyw[],MATCH($A62,Juniorstwo!$A$35:$A$54,0),MATCH($B$10,Juniorstwo!$A$34:$N$34,0))*H$10+INDEX(JuniorzyNegatyw[],MATCH($A62,Juniorstwo!$A$35:$A$54,0),MATCH($B$11,Juniorstwo!$A$34:$N$34,0))*H$11+INDEX(JuniorzyNegatyw[],MATCH($A62,Juniorstwo!$A$35:$A$54,0),MATCH($B$12,Juniorstwo!$A$34:$N$34,0))*H$12+INDEX(JuniorzyNegatyw[],MATCH($A62,Juniorstwo!$A$35:$A$54,0),MATCH($B$13,Juniorstwo!$A$34:$N$34,0))*H$13,"-")</f>
        <v>-</v>
      </c>
      <c r="I62" s="38" t="str">
        <f>IFERROR(INDEX(JuniorzyNegatyw[],MATCH($A62,Juniorstwo!$A$35:$A$54,0),MATCH($B$2,Juniorstwo!$A$34:$N$34,0))*I$2+INDEX(JuniorzyNegatyw[],MATCH($A62,Juniorstwo!$A$35:$A$54,0),MATCH($B$3,Juniorstwo!$A$34:$N$34,0))*I$3+INDEX(JuniorzyNegatyw[],MATCH($A62,Juniorstwo!$A$35:$A$54,0),MATCH($B$4,Juniorstwo!$A$34:$N$34,0))*I$4+INDEX(JuniorzyNegatyw[],MATCH($A62,Juniorstwo!$A$35:$A$54,0),MATCH($B$5,Juniorstwo!$A$34:$N$34,0))*I$5+INDEX(JuniorzyNegatyw[],MATCH($A62,Juniorstwo!$A$35:$A$54,0),MATCH($B$6,Juniorstwo!$A$34:$N$34,0))*I$6+INDEX(JuniorzyNegatyw[],MATCH($A62,Juniorstwo!$A$35:$A$54,0),MATCH($B$7,Juniorstwo!$A$34:$N$34,0))*I$7+INDEX(JuniorzyNegatyw[],MATCH($A62,Juniorstwo!$A$35:$A$54,0),MATCH($B$8,Juniorstwo!$A$34:$N$34,0))*I$8+INDEX(JuniorzyNegatyw[],MATCH($A62,Juniorstwo!$A$35:$A$54,0),MATCH($B$9,Juniorstwo!$A$34:$N$34,0))*I$9+INDEX(JuniorzyNegatyw[],MATCH($A62,Juniorstwo!$A$35:$A$54,0),MATCH($B$10,Juniorstwo!$A$34:$N$34,0))*I$10+INDEX(JuniorzyNegatyw[],MATCH($A62,Juniorstwo!$A$35:$A$54,0),MATCH($B$11,Juniorstwo!$A$34:$N$34,0))*I$11+INDEX(JuniorzyNegatyw[],MATCH($A62,Juniorstwo!$A$35:$A$54,0),MATCH($B$12,Juniorstwo!$A$34:$N$34,0))*I$12+INDEX(JuniorzyNegatyw[],MATCH($A62,Juniorstwo!$A$35:$A$54,0),MATCH($B$13,Juniorstwo!$A$34:$N$34,0))*I$13,"-")</f>
        <v>-</v>
      </c>
      <c r="J62" s="38" t="str">
        <f>IFERROR(INDEX(JuniorzyNegatyw[],MATCH($A62,Juniorstwo!$A$35:$A$54,0),MATCH($B$2,Juniorstwo!$A$34:$N$34,0))*J$2+INDEX(JuniorzyNegatyw[],MATCH($A62,Juniorstwo!$A$35:$A$54,0),MATCH($B$3,Juniorstwo!$A$34:$N$34,0))*J$3+INDEX(JuniorzyNegatyw[],MATCH($A62,Juniorstwo!$A$35:$A$54,0),MATCH($B$4,Juniorstwo!$A$34:$N$34,0))*J$4+INDEX(JuniorzyNegatyw[],MATCH($A62,Juniorstwo!$A$35:$A$54,0),MATCH($B$5,Juniorstwo!$A$34:$N$34,0))*J$5+INDEX(JuniorzyNegatyw[],MATCH($A62,Juniorstwo!$A$35:$A$54,0),MATCH($B$6,Juniorstwo!$A$34:$N$34,0))*J$6+INDEX(JuniorzyNegatyw[],MATCH($A62,Juniorstwo!$A$35:$A$54,0),MATCH($B$7,Juniorstwo!$A$34:$N$34,0))*J$7+INDEX(JuniorzyNegatyw[],MATCH($A62,Juniorstwo!$A$35:$A$54,0),MATCH($B$8,Juniorstwo!$A$34:$N$34,0))*J$8+INDEX(JuniorzyNegatyw[],MATCH($A62,Juniorstwo!$A$35:$A$54,0),MATCH($B$9,Juniorstwo!$A$34:$N$34,0))*J$9+INDEX(JuniorzyNegatyw[],MATCH($A62,Juniorstwo!$A$35:$A$54,0),MATCH($B$10,Juniorstwo!$A$34:$N$34,0))*J$10+INDEX(JuniorzyNegatyw[],MATCH($A62,Juniorstwo!$A$35:$A$54,0),MATCH($B$11,Juniorstwo!$A$34:$N$34,0))*J$11+INDEX(JuniorzyNegatyw[],MATCH($A62,Juniorstwo!$A$35:$A$54,0),MATCH($B$12,Juniorstwo!$A$34:$N$34,0))*J$12+INDEX(JuniorzyNegatyw[],MATCH($A62,Juniorstwo!$A$35:$A$54,0),MATCH($B$13,Juniorstwo!$A$34:$N$34,0))*J$13,"-")</f>
        <v>-</v>
      </c>
      <c r="K62" s="38" t="str">
        <f>IFERROR(INDEX(JuniorzyNegatyw[],MATCH($A62,Juniorstwo!$A$35:$A$54,0),MATCH($B$2,Juniorstwo!$A$34:$N$34,0))*K$2+INDEX(JuniorzyNegatyw[],MATCH($A62,Juniorstwo!$A$35:$A$54,0),MATCH($B$3,Juniorstwo!$A$34:$N$34,0))*K$3+INDEX(JuniorzyNegatyw[],MATCH($A62,Juniorstwo!$A$35:$A$54,0),MATCH($B$4,Juniorstwo!$A$34:$N$34,0))*K$4+INDEX(JuniorzyNegatyw[],MATCH($A62,Juniorstwo!$A$35:$A$54,0),MATCH($B$5,Juniorstwo!$A$34:$N$34,0))*K$5+INDEX(JuniorzyNegatyw[],MATCH($A62,Juniorstwo!$A$35:$A$54,0),MATCH($B$6,Juniorstwo!$A$34:$N$34,0))*K$6+INDEX(JuniorzyNegatyw[],MATCH($A62,Juniorstwo!$A$35:$A$54,0),MATCH($B$7,Juniorstwo!$A$34:$N$34,0))*K$7+INDEX(JuniorzyNegatyw[],MATCH($A62,Juniorstwo!$A$35:$A$54,0),MATCH($B$8,Juniorstwo!$A$34:$N$34,0))*K$8+INDEX(JuniorzyNegatyw[],MATCH($A62,Juniorstwo!$A$35:$A$54,0),MATCH($B$9,Juniorstwo!$A$34:$N$34,0))*K$9+INDEX(JuniorzyNegatyw[],MATCH($A62,Juniorstwo!$A$35:$A$54,0),MATCH($B$10,Juniorstwo!$A$34:$N$34,0))*K$10+INDEX(JuniorzyNegatyw[],MATCH($A62,Juniorstwo!$A$35:$A$54,0),MATCH($B$11,Juniorstwo!$A$34:$N$34,0))*K$11+INDEX(JuniorzyNegatyw[],MATCH($A62,Juniorstwo!$A$35:$A$54,0),MATCH($B$12,Juniorstwo!$A$34:$N$34,0))*K$12+INDEX(JuniorzyNegatyw[],MATCH($A62,Juniorstwo!$A$35:$A$54,0),MATCH($B$13,Juniorstwo!$A$34:$N$34,0))*K$13,"-")</f>
        <v>-</v>
      </c>
    </row>
    <row r="63" spans="1:11" x14ac:dyDescent="0.25">
      <c r="A63">
        <f>IFERROR(PozJunNŚr[[#This Row],[Numer]],"-")</f>
        <v>0</v>
      </c>
      <c r="B63" s="3" t="str">
        <f>IFERROR(VLOOKUP(PozJunNMM[[#This Row],[Numer]],Zawodnicy[[Number]:[Player name]],2,FALSE),"-")</f>
        <v>-</v>
      </c>
      <c r="C63" s="38" t="str">
        <f>IFERROR(INDEX(JuniorzyNegatyw[],MATCH($A63,Juniorstwo!$A$35:$A$54,0),MATCH($B$2,Juniorstwo!$A$34:$N$34,0))*C$2+INDEX(JuniorzyNegatyw[],MATCH($A63,Juniorstwo!$A$35:$A$54,0),MATCH($B$3,Juniorstwo!$A$34:$N$34,0))*C$3+INDEX(JuniorzyNegatyw[],MATCH($A63,Juniorstwo!$A$35:$A$54,0),MATCH($B$4,Juniorstwo!$A$34:$N$34,0))*C$4+INDEX(JuniorzyNegatyw[],MATCH($A63,Juniorstwo!$A$35:$A$54,0),MATCH($B$5,Juniorstwo!$A$34:$N$34,0))*C$5+INDEX(JuniorzyNegatyw[],MATCH($A63,Juniorstwo!$A$35:$A$54,0),MATCH($B$6,Juniorstwo!$A$34:$N$34,0))*C$6+INDEX(JuniorzyNegatyw[],MATCH($A63,Juniorstwo!$A$35:$A$54,0),MATCH($B$7,Juniorstwo!$A$34:$N$34,0))*C$7+INDEX(JuniorzyNegatyw[],MATCH($A63,Juniorstwo!$A$35:$A$54,0),MATCH($B$8,Juniorstwo!$A$34:$N$34,0))*C$8+INDEX(JuniorzyNegatyw[],MATCH($A63,Juniorstwo!$A$35:$A$54,0),MATCH($B$9,Juniorstwo!$A$34:$N$34,0))*C$9+INDEX(JuniorzyNegatyw[],MATCH($A63,Juniorstwo!$A$35:$A$54,0),MATCH($B$10,Juniorstwo!$A$34:$N$34,0))*C$10+INDEX(JuniorzyNegatyw[],MATCH($A63,Juniorstwo!$A$35:$A$54,0),MATCH($B$11,Juniorstwo!$A$34:$N$34,0))*C$11+INDEX(JuniorzyNegatyw[],MATCH($A63,Juniorstwo!$A$35:$A$54,0),MATCH($B$12,Juniorstwo!$A$34:$N$34,0))*C$12+INDEX(JuniorzyNegatyw[],MATCH($A63,Juniorstwo!$A$35:$A$54,0),MATCH($B$13,Juniorstwo!$A$34:$N$34,0))*C$13,"-")</f>
        <v>-</v>
      </c>
      <c r="D63" s="38" t="str">
        <f>IFERROR(INDEX(JuniorzyNegatyw[],MATCH($A63,Juniorstwo!$A$35:$A$54,0),MATCH($B$2,Juniorstwo!$A$34:$N$34,0))*D$2+INDEX(JuniorzyNegatyw[],MATCH($A63,Juniorstwo!$A$35:$A$54,0),MATCH($B$3,Juniorstwo!$A$34:$N$34,0))*D$3+INDEX(JuniorzyNegatyw[],MATCH($A63,Juniorstwo!$A$35:$A$54,0),MATCH($B$4,Juniorstwo!$A$34:$N$34,0))*D$4+INDEX(JuniorzyNegatyw[],MATCH($A63,Juniorstwo!$A$35:$A$54,0),MATCH($B$5,Juniorstwo!$A$34:$N$34,0))*D$5+INDEX(JuniorzyNegatyw[],MATCH($A63,Juniorstwo!$A$35:$A$54,0),MATCH($B$6,Juniorstwo!$A$34:$N$34,0))*D$6+INDEX(JuniorzyNegatyw[],MATCH($A63,Juniorstwo!$A$35:$A$54,0),MATCH($B$7,Juniorstwo!$A$34:$N$34,0))*D$7+INDEX(JuniorzyNegatyw[],MATCH($A63,Juniorstwo!$A$35:$A$54,0),MATCH($B$8,Juniorstwo!$A$34:$N$34,0))*D$8+INDEX(JuniorzyNegatyw[],MATCH($A63,Juniorstwo!$A$35:$A$54,0),MATCH($B$9,Juniorstwo!$A$34:$N$34,0))*D$9+INDEX(JuniorzyNegatyw[],MATCH($A63,Juniorstwo!$A$35:$A$54,0),MATCH($B$10,Juniorstwo!$A$34:$N$34,0))*D$10+INDEX(JuniorzyNegatyw[],MATCH($A63,Juniorstwo!$A$35:$A$54,0),MATCH($B$11,Juniorstwo!$A$34:$N$34,0))*D$11+INDEX(JuniorzyNegatyw[],MATCH($A63,Juniorstwo!$A$35:$A$54,0),MATCH($B$12,Juniorstwo!$A$34:$N$34,0))*D$12+INDEX(JuniorzyNegatyw[],MATCH($A63,Juniorstwo!$A$35:$A$54,0),MATCH($B$13,Juniorstwo!$A$34:$N$34,0))*D$13,"-")</f>
        <v>-</v>
      </c>
      <c r="E63" s="38" t="str">
        <f>IFERROR(INDEX(JuniorzyNegatyw[],MATCH($A63,Juniorstwo!$A$35:$A$54,0),MATCH($B$2,Juniorstwo!$A$34:$N$34,0))*E$2+INDEX(JuniorzyNegatyw[],MATCH($A63,Juniorstwo!$A$35:$A$54,0),MATCH($B$3,Juniorstwo!$A$34:$N$34,0))*E$3+INDEX(JuniorzyNegatyw[],MATCH($A63,Juniorstwo!$A$35:$A$54,0),MATCH($B$4,Juniorstwo!$A$34:$N$34,0))*E$4+INDEX(JuniorzyNegatyw[],MATCH($A63,Juniorstwo!$A$35:$A$54,0),MATCH($B$5,Juniorstwo!$A$34:$N$34,0))*E$5+INDEX(JuniorzyNegatyw[],MATCH($A63,Juniorstwo!$A$35:$A$54,0),MATCH($B$6,Juniorstwo!$A$34:$N$34,0))*E$6+INDEX(JuniorzyNegatyw[],MATCH($A63,Juniorstwo!$A$35:$A$54,0),MATCH($B$7,Juniorstwo!$A$34:$N$34,0))*E$7+INDEX(JuniorzyNegatyw[],MATCH($A63,Juniorstwo!$A$35:$A$54,0),MATCH($B$8,Juniorstwo!$A$34:$N$34,0))*E$8+INDEX(JuniorzyNegatyw[],MATCH($A63,Juniorstwo!$A$35:$A$54,0),MATCH($B$9,Juniorstwo!$A$34:$N$34,0))*E$9+INDEX(JuniorzyNegatyw[],MATCH($A63,Juniorstwo!$A$35:$A$54,0),MATCH($B$10,Juniorstwo!$A$34:$N$34,0))*E$10+INDEX(JuniorzyNegatyw[],MATCH($A63,Juniorstwo!$A$35:$A$54,0),MATCH($B$11,Juniorstwo!$A$34:$N$34,0))*E$11+INDEX(JuniorzyNegatyw[],MATCH($A63,Juniorstwo!$A$35:$A$54,0),MATCH($B$12,Juniorstwo!$A$34:$N$34,0))*E$12+INDEX(JuniorzyNegatyw[],MATCH($A63,Juniorstwo!$A$35:$A$54,0),MATCH($B$13,Juniorstwo!$A$34:$N$34,0))*E$13,"-")</f>
        <v>-</v>
      </c>
      <c r="F63" s="38" t="str">
        <f>IFERROR(INDEX(JuniorzyNegatyw[],MATCH($A63,Juniorstwo!$A$35:$A$54,0),MATCH($B$2,Juniorstwo!$A$34:$N$34,0))*F$2+INDEX(JuniorzyNegatyw[],MATCH($A63,Juniorstwo!$A$35:$A$54,0),MATCH($B$3,Juniorstwo!$A$34:$N$34,0))*F$3+INDEX(JuniorzyNegatyw[],MATCH($A63,Juniorstwo!$A$35:$A$54,0),MATCH($B$4,Juniorstwo!$A$34:$N$34,0))*F$4+INDEX(JuniorzyNegatyw[],MATCH($A63,Juniorstwo!$A$35:$A$54,0),MATCH($B$5,Juniorstwo!$A$34:$N$34,0))*F$5+INDEX(JuniorzyNegatyw[],MATCH($A63,Juniorstwo!$A$35:$A$54,0),MATCH($B$6,Juniorstwo!$A$34:$N$34,0))*F$6+INDEX(JuniorzyNegatyw[],MATCH($A63,Juniorstwo!$A$35:$A$54,0),MATCH($B$7,Juniorstwo!$A$34:$N$34,0))*F$7+INDEX(JuniorzyNegatyw[],MATCH($A63,Juniorstwo!$A$35:$A$54,0),MATCH($B$8,Juniorstwo!$A$34:$N$34,0))*F$8+INDEX(JuniorzyNegatyw[],MATCH($A63,Juniorstwo!$A$35:$A$54,0),MATCH($B$9,Juniorstwo!$A$34:$N$34,0))*F$9+INDEX(JuniorzyNegatyw[],MATCH($A63,Juniorstwo!$A$35:$A$54,0),MATCH($B$10,Juniorstwo!$A$34:$N$34,0))*F$10+INDEX(JuniorzyNegatyw[],MATCH($A63,Juniorstwo!$A$35:$A$54,0),MATCH($B$11,Juniorstwo!$A$34:$N$34,0))*F$11+INDEX(JuniorzyNegatyw[],MATCH($A63,Juniorstwo!$A$35:$A$54,0),MATCH($B$12,Juniorstwo!$A$34:$N$34,0))*F$12+INDEX(JuniorzyNegatyw[],MATCH($A63,Juniorstwo!$A$35:$A$54,0),MATCH($B$13,Juniorstwo!$A$34:$N$34,0))*F$13,"-")</f>
        <v>-</v>
      </c>
      <c r="G63" s="38" t="str">
        <f>IFERROR(INDEX(JuniorzyNegatyw[],MATCH($A63,Juniorstwo!$A$35:$A$54,0),MATCH($B$2,Juniorstwo!$A$34:$N$34,0))*G$2+INDEX(JuniorzyNegatyw[],MATCH($A63,Juniorstwo!$A$35:$A$54,0),MATCH($B$3,Juniorstwo!$A$34:$N$34,0))*G$3+INDEX(JuniorzyNegatyw[],MATCH($A63,Juniorstwo!$A$35:$A$54,0),MATCH($B$4,Juniorstwo!$A$34:$N$34,0))*G$4+INDEX(JuniorzyNegatyw[],MATCH($A63,Juniorstwo!$A$35:$A$54,0),MATCH($B$5,Juniorstwo!$A$34:$N$34,0))*G$5+INDEX(JuniorzyNegatyw[],MATCH($A63,Juniorstwo!$A$35:$A$54,0),MATCH($B$6,Juniorstwo!$A$34:$N$34,0))*G$6+INDEX(JuniorzyNegatyw[],MATCH($A63,Juniorstwo!$A$35:$A$54,0),MATCH($B$7,Juniorstwo!$A$34:$N$34,0))*G$7+INDEX(JuniorzyNegatyw[],MATCH($A63,Juniorstwo!$A$35:$A$54,0),MATCH($B$8,Juniorstwo!$A$34:$N$34,0))*G$8+INDEX(JuniorzyNegatyw[],MATCH($A63,Juniorstwo!$A$35:$A$54,0),MATCH($B$9,Juniorstwo!$A$34:$N$34,0))*G$9+INDEX(JuniorzyNegatyw[],MATCH($A63,Juniorstwo!$A$35:$A$54,0),MATCH($B$10,Juniorstwo!$A$34:$N$34,0))*G$10+INDEX(JuniorzyNegatyw[],MATCH($A63,Juniorstwo!$A$35:$A$54,0),MATCH($B$11,Juniorstwo!$A$34:$N$34,0))*G$11+INDEX(JuniorzyNegatyw[],MATCH($A63,Juniorstwo!$A$35:$A$54,0),MATCH($B$12,Juniorstwo!$A$34:$N$34,0))*G$12+INDEX(JuniorzyNegatyw[],MATCH($A63,Juniorstwo!$A$35:$A$54,0),MATCH($B$13,Juniorstwo!$A$34:$N$34,0))*G$13,"-")</f>
        <v>-</v>
      </c>
      <c r="H63" s="38" t="str">
        <f>IFERROR(INDEX(JuniorzyNegatyw[],MATCH($A63,Juniorstwo!$A$35:$A$54,0),MATCH($B$2,Juniorstwo!$A$34:$N$34,0))*H$2+INDEX(JuniorzyNegatyw[],MATCH($A63,Juniorstwo!$A$35:$A$54,0),MATCH($B$3,Juniorstwo!$A$34:$N$34,0))*H$3+INDEX(JuniorzyNegatyw[],MATCH($A63,Juniorstwo!$A$35:$A$54,0),MATCH($B$4,Juniorstwo!$A$34:$N$34,0))*H$4+INDEX(JuniorzyNegatyw[],MATCH($A63,Juniorstwo!$A$35:$A$54,0),MATCH($B$5,Juniorstwo!$A$34:$N$34,0))*H$5+INDEX(JuniorzyNegatyw[],MATCH($A63,Juniorstwo!$A$35:$A$54,0),MATCH($B$6,Juniorstwo!$A$34:$N$34,0))*H$6+INDEX(JuniorzyNegatyw[],MATCH($A63,Juniorstwo!$A$35:$A$54,0),MATCH($B$7,Juniorstwo!$A$34:$N$34,0))*H$7+INDEX(JuniorzyNegatyw[],MATCH($A63,Juniorstwo!$A$35:$A$54,0),MATCH($B$8,Juniorstwo!$A$34:$N$34,0))*H$8+INDEX(JuniorzyNegatyw[],MATCH($A63,Juniorstwo!$A$35:$A$54,0),MATCH($B$9,Juniorstwo!$A$34:$N$34,0))*H$9+INDEX(JuniorzyNegatyw[],MATCH($A63,Juniorstwo!$A$35:$A$54,0),MATCH($B$10,Juniorstwo!$A$34:$N$34,0))*H$10+INDEX(JuniorzyNegatyw[],MATCH($A63,Juniorstwo!$A$35:$A$54,0),MATCH($B$11,Juniorstwo!$A$34:$N$34,0))*H$11+INDEX(JuniorzyNegatyw[],MATCH($A63,Juniorstwo!$A$35:$A$54,0),MATCH($B$12,Juniorstwo!$A$34:$N$34,0))*H$12+INDEX(JuniorzyNegatyw[],MATCH($A63,Juniorstwo!$A$35:$A$54,0),MATCH($B$13,Juniorstwo!$A$34:$N$34,0))*H$13,"-")</f>
        <v>-</v>
      </c>
      <c r="I63" s="38" t="str">
        <f>IFERROR(INDEX(JuniorzyNegatyw[],MATCH($A63,Juniorstwo!$A$35:$A$54,0),MATCH($B$2,Juniorstwo!$A$34:$N$34,0))*I$2+INDEX(JuniorzyNegatyw[],MATCH($A63,Juniorstwo!$A$35:$A$54,0),MATCH($B$3,Juniorstwo!$A$34:$N$34,0))*I$3+INDEX(JuniorzyNegatyw[],MATCH($A63,Juniorstwo!$A$35:$A$54,0),MATCH($B$4,Juniorstwo!$A$34:$N$34,0))*I$4+INDEX(JuniorzyNegatyw[],MATCH($A63,Juniorstwo!$A$35:$A$54,0),MATCH($B$5,Juniorstwo!$A$34:$N$34,0))*I$5+INDEX(JuniorzyNegatyw[],MATCH($A63,Juniorstwo!$A$35:$A$54,0),MATCH($B$6,Juniorstwo!$A$34:$N$34,0))*I$6+INDEX(JuniorzyNegatyw[],MATCH($A63,Juniorstwo!$A$35:$A$54,0),MATCH($B$7,Juniorstwo!$A$34:$N$34,0))*I$7+INDEX(JuniorzyNegatyw[],MATCH($A63,Juniorstwo!$A$35:$A$54,0),MATCH($B$8,Juniorstwo!$A$34:$N$34,0))*I$8+INDEX(JuniorzyNegatyw[],MATCH($A63,Juniorstwo!$A$35:$A$54,0),MATCH($B$9,Juniorstwo!$A$34:$N$34,0))*I$9+INDEX(JuniorzyNegatyw[],MATCH($A63,Juniorstwo!$A$35:$A$54,0),MATCH($B$10,Juniorstwo!$A$34:$N$34,0))*I$10+INDEX(JuniorzyNegatyw[],MATCH($A63,Juniorstwo!$A$35:$A$54,0),MATCH($B$11,Juniorstwo!$A$34:$N$34,0))*I$11+INDEX(JuniorzyNegatyw[],MATCH($A63,Juniorstwo!$A$35:$A$54,0),MATCH($B$12,Juniorstwo!$A$34:$N$34,0))*I$12+INDEX(JuniorzyNegatyw[],MATCH($A63,Juniorstwo!$A$35:$A$54,0),MATCH($B$13,Juniorstwo!$A$34:$N$34,0))*I$13,"-")</f>
        <v>-</v>
      </c>
      <c r="J63" s="38" t="str">
        <f>IFERROR(INDEX(JuniorzyNegatyw[],MATCH($A63,Juniorstwo!$A$35:$A$54,0),MATCH($B$2,Juniorstwo!$A$34:$N$34,0))*J$2+INDEX(JuniorzyNegatyw[],MATCH($A63,Juniorstwo!$A$35:$A$54,0),MATCH($B$3,Juniorstwo!$A$34:$N$34,0))*J$3+INDEX(JuniorzyNegatyw[],MATCH($A63,Juniorstwo!$A$35:$A$54,0),MATCH($B$4,Juniorstwo!$A$34:$N$34,0))*J$4+INDEX(JuniorzyNegatyw[],MATCH($A63,Juniorstwo!$A$35:$A$54,0),MATCH($B$5,Juniorstwo!$A$34:$N$34,0))*J$5+INDEX(JuniorzyNegatyw[],MATCH($A63,Juniorstwo!$A$35:$A$54,0),MATCH($B$6,Juniorstwo!$A$34:$N$34,0))*J$6+INDEX(JuniorzyNegatyw[],MATCH($A63,Juniorstwo!$A$35:$A$54,0),MATCH($B$7,Juniorstwo!$A$34:$N$34,0))*J$7+INDEX(JuniorzyNegatyw[],MATCH($A63,Juniorstwo!$A$35:$A$54,0),MATCH($B$8,Juniorstwo!$A$34:$N$34,0))*J$8+INDEX(JuniorzyNegatyw[],MATCH($A63,Juniorstwo!$A$35:$A$54,0),MATCH($B$9,Juniorstwo!$A$34:$N$34,0))*J$9+INDEX(JuniorzyNegatyw[],MATCH($A63,Juniorstwo!$A$35:$A$54,0),MATCH($B$10,Juniorstwo!$A$34:$N$34,0))*J$10+INDEX(JuniorzyNegatyw[],MATCH($A63,Juniorstwo!$A$35:$A$54,0),MATCH($B$11,Juniorstwo!$A$34:$N$34,0))*J$11+INDEX(JuniorzyNegatyw[],MATCH($A63,Juniorstwo!$A$35:$A$54,0),MATCH($B$12,Juniorstwo!$A$34:$N$34,0))*J$12+INDEX(JuniorzyNegatyw[],MATCH($A63,Juniorstwo!$A$35:$A$54,0),MATCH($B$13,Juniorstwo!$A$34:$N$34,0))*J$13,"-")</f>
        <v>-</v>
      </c>
      <c r="K63" s="38" t="str">
        <f>IFERROR(INDEX(JuniorzyNegatyw[],MATCH($A63,Juniorstwo!$A$35:$A$54,0),MATCH($B$2,Juniorstwo!$A$34:$N$34,0))*K$2+INDEX(JuniorzyNegatyw[],MATCH($A63,Juniorstwo!$A$35:$A$54,0),MATCH($B$3,Juniorstwo!$A$34:$N$34,0))*K$3+INDEX(JuniorzyNegatyw[],MATCH($A63,Juniorstwo!$A$35:$A$54,0),MATCH($B$4,Juniorstwo!$A$34:$N$34,0))*K$4+INDEX(JuniorzyNegatyw[],MATCH($A63,Juniorstwo!$A$35:$A$54,0),MATCH($B$5,Juniorstwo!$A$34:$N$34,0))*K$5+INDEX(JuniorzyNegatyw[],MATCH($A63,Juniorstwo!$A$35:$A$54,0),MATCH($B$6,Juniorstwo!$A$34:$N$34,0))*K$6+INDEX(JuniorzyNegatyw[],MATCH($A63,Juniorstwo!$A$35:$A$54,0),MATCH($B$7,Juniorstwo!$A$34:$N$34,0))*K$7+INDEX(JuniorzyNegatyw[],MATCH($A63,Juniorstwo!$A$35:$A$54,0),MATCH($B$8,Juniorstwo!$A$34:$N$34,0))*K$8+INDEX(JuniorzyNegatyw[],MATCH($A63,Juniorstwo!$A$35:$A$54,0),MATCH($B$9,Juniorstwo!$A$34:$N$34,0))*K$9+INDEX(JuniorzyNegatyw[],MATCH($A63,Juniorstwo!$A$35:$A$54,0),MATCH($B$10,Juniorstwo!$A$34:$N$34,0))*K$10+INDEX(JuniorzyNegatyw[],MATCH($A63,Juniorstwo!$A$35:$A$54,0),MATCH($B$11,Juniorstwo!$A$34:$N$34,0))*K$11+INDEX(JuniorzyNegatyw[],MATCH($A63,Juniorstwo!$A$35:$A$54,0),MATCH($B$12,Juniorstwo!$A$34:$N$34,0))*K$12+INDEX(JuniorzyNegatyw[],MATCH($A63,Juniorstwo!$A$35:$A$54,0),MATCH($B$13,Juniorstwo!$A$34:$N$34,0))*K$13,"-")</f>
        <v>-</v>
      </c>
    </row>
    <row r="64" spans="1:11" x14ac:dyDescent="0.25">
      <c r="A64" s="25"/>
      <c r="B64" s="21"/>
    </row>
    <row r="65" spans="1:11" x14ac:dyDescent="0.25">
      <c r="A65" s="25"/>
      <c r="B65" s="21"/>
    </row>
    <row r="66" spans="1:11" ht="15.75" thickBot="1" x14ac:dyDescent="0.3">
      <c r="A66" s="13" t="s">
        <v>36</v>
      </c>
      <c r="B66" s="13" t="s">
        <v>37</v>
      </c>
      <c r="C66" s="23" t="s">
        <v>40</v>
      </c>
      <c r="D66" s="23" t="s">
        <v>47</v>
      </c>
      <c r="E66" s="23" t="s">
        <v>66</v>
      </c>
      <c r="F66" s="23" t="s">
        <v>41</v>
      </c>
      <c r="G66" s="23" t="s">
        <v>67</v>
      </c>
      <c r="H66" s="23" t="s">
        <v>68</v>
      </c>
      <c r="I66" s="23" t="s">
        <v>44</v>
      </c>
      <c r="J66" s="23" t="s">
        <v>69</v>
      </c>
      <c r="K66" s="23" t="s">
        <v>46</v>
      </c>
    </row>
    <row r="67" spans="1:11" x14ac:dyDescent="0.25">
      <c r="A67">
        <f>IFERROR(PozJunPŚr[[#This Row],[Numer]],"-")</f>
        <v>31</v>
      </c>
      <c r="B67" s="3" t="str">
        <f>IFERROR(VLOOKUP(PozJunPMM[[#This Row],[Numer]],Zawodnicy[[Number]:[Player name]],2,FALSE),"-")</f>
        <v>Jacek Swoboda</v>
      </c>
      <c r="C67" s="38">
        <f ca="1">IFERROR(INDEX(JuniorzyPozytyw[],MATCH($A67,Juniorstwo!$A$57:$A$76,0),MATCH($B$2,Juniorstwo!$A$56:$N$56,0))*C$2+INDEX(JuniorzyPozytyw[],MATCH($A67,Juniorstwo!$A$57:$A$76,0),MATCH($B$3,Juniorstwo!$A$56:$N$56,0))*C$3+INDEX(JuniorzyPozytyw[],MATCH($A67,Juniorstwo!$A$57:$A$76,0),MATCH($B$4,Juniorstwo!$A$56:$N$56,0))*C$4+INDEX(JuniorzyPozytyw[],MATCH($A67,Juniorstwo!$A$57:$A$76,0),MATCH($B$5,Juniorstwo!$A$56:$N$56,0))*C$5+INDEX(JuniorzyPozytyw[],MATCH($A67,Juniorstwo!$A$57:$A$76,0),MATCH($B$6,Juniorstwo!$A$56:$N$56,0))*C$6+INDEX(JuniorzyPozytyw[],MATCH($A67,Juniorstwo!$A$57:$A$76,0),MATCH($B$7,Juniorstwo!$A$56:$N$56,0))*C$7+INDEX(JuniorzyPozytyw[],MATCH($A67,Juniorstwo!$A$57:$A$76,0),MATCH($B$8,Juniorstwo!$A$56:$N$56,0))*C$8+INDEX(JuniorzyPozytyw[],MATCH($A67,Juniorstwo!$A$57:$A$76,0),MATCH($B$9,Juniorstwo!$A$56:$N$56,0))*C$9+INDEX(JuniorzyPozytyw[],MATCH($A67,Juniorstwo!$A$57:$A$76,0),MATCH($B$10,Juniorstwo!$A$56:$N$56,0))*C$10+INDEX(JuniorzyPozytyw[],MATCH($A67,Juniorstwo!$A$57:$A$76,0),MATCH($B$11,Juniorstwo!$A$56:$N$56,0))*C$11+INDEX(JuniorzyPozytyw[],MATCH($A67,Juniorstwo!$A$57:$A$76,0),MATCH($B$12,Juniorstwo!$A$56:$N$56,0))*C$12+INDEX(JuniorzyPozytyw[],MATCH($A67,Juniorstwo!$A$57:$A$76,0),MATCH($B$13,Juniorstwo!$A$56:$N$56,0))*C$13,"-")</f>
        <v>60.5</v>
      </c>
      <c r="D67" s="38">
        <f ca="1">IFERROR(INDEX(JuniorzyPozytyw[],MATCH($A67,Juniorstwo!$A$57:$A$76,0),MATCH($B$2,Juniorstwo!$A$56:$N$56,0))*D$2+INDEX(JuniorzyPozytyw[],MATCH($A67,Juniorstwo!$A$57:$A$76,0),MATCH($B$3,Juniorstwo!$A$56:$N$56,0))*D$3+INDEX(JuniorzyPozytyw[],MATCH($A67,Juniorstwo!$A$57:$A$76,0),MATCH($B$4,Juniorstwo!$A$56:$N$56,0))*D$4+INDEX(JuniorzyPozytyw[],MATCH($A67,Juniorstwo!$A$57:$A$76,0),MATCH($B$5,Juniorstwo!$A$56:$N$56,0))*D$5+INDEX(JuniorzyPozytyw[],MATCH($A67,Juniorstwo!$A$57:$A$76,0),MATCH($B$6,Juniorstwo!$A$56:$N$56,0))*D$6+INDEX(JuniorzyPozytyw[],MATCH($A67,Juniorstwo!$A$57:$A$76,0),MATCH($B$7,Juniorstwo!$A$56:$N$56,0))*D$7+INDEX(JuniorzyPozytyw[],MATCH($A67,Juniorstwo!$A$57:$A$76,0),MATCH($B$8,Juniorstwo!$A$56:$N$56,0))*D$8+INDEX(JuniorzyPozytyw[],MATCH($A67,Juniorstwo!$A$57:$A$76,0),MATCH($B$9,Juniorstwo!$A$56:$N$56,0))*D$9+INDEX(JuniorzyPozytyw[],MATCH($A67,Juniorstwo!$A$57:$A$76,0),MATCH($B$10,Juniorstwo!$A$56:$N$56,0))*D$10+INDEX(JuniorzyPozytyw[],MATCH($A67,Juniorstwo!$A$57:$A$76,0),MATCH($B$11,Juniorstwo!$A$56:$N$56,0))*D$11+INDEX(JuniorzyPozytyw[],MATCH($A67,Juniorstwo!$A$57:$A$76,0),MATCH($B$12,Juniorstwo!$A$56:$N$56,0))*D$12+INDEX(JuniorzyPozytyw[],MATCH($A67,Juniorstwo!$A$57:$A$76,0),MATCH($B$13,Juniorstwo!$A$56:$N$56,0))*D$13,"-")</f>
        <v>73</v>
      </c>
      <c r="E67" s="38">
        <f ca="1">IFERROR(INDEX(JuniorzyPozytyw[],MATCH($A67,Juniorstwo!$A$57:$A$76,0),MATCH($B$2,Juniorstwo!$A$56:$N$56,0))*E$2+INDEX(JuniorzyPozytyw[],MATCH($A67,Juniorstwo!$A$57:$A$76,0),MATCH($B$3,Juniorstwo!$A$56:$N$56,0))*E$3+INDEX(JuniorzyPozytyw[],MATCH($A67,Juniorstwo!$A$57:$A$76,0),MATCH($B$4,Juniorstwo!$A$56:$N$56,0))*E$4+INDEX(JuniorzyPozytyw[],MATCH($A67,Juniorstwo!$A$57:$A$76,0),MATCH($B$5,Juniorstwo!$A$56:$N$56,0))*E$5+INDEX(JuniorzyPozytyw[],MATCH($A67,Juniorstwo!$A$57:$A$76,0),MATCH($B$6,Juniorstwo!$A$56:$N$56,0))*E$6+INDEX(JuniorzyPozytyw[],MATCH($A67,Juniorstwo!$A$57:$A$76,0),MATCH($B$7,Juniorstwo!$A$56:$N$56,0))*E$7+INDEX(JuniorzyPozytyw[],MATCH($A67,Juniorstwo!$A$57:$A$76,0),MATCH($B$8,Juniorstwo!$A$56:$N$56,0))*E$8+INDEX(JuniorzyPozytyw[],MATCH($A67,Juniorstwo!$A$57:$A$76,0),MATCH($B$9,Juniorstwo!$A$56:$N$56,0))*E$9+INDEX(JuniorzyPozytyw[],MATCH($A67,Juniorstwo!$A$57:$A$76,0),MATCH($B$10,Juniorstwo!$A$56:$N$56,0))*E$10+INDEX(JuniorzyPozytyw[],MATCH($A67,Juniorstwo!$A$57:$A$76,0),MATCH($B$11,Juniorstwo!$A$56:$N$56,0))*E$11+INDEX(JuniorzyPozytyw[],MATCH($A67,Juniorstwo!$A$57:$A$76,0),MATCH($B$12,Juniorstwo!$A$56:$N$56,0))*E$12+INDEX(JuniorzyPozytyw[],MATCH($A67,Juniorstwo!$A$57:$A$76,0),MATCH($B$13,Juniorstwo!$A$56:$N$56,0))*E$13,"-")</f>
        <v>73</v>
      </c>
      <c r="F67" s="38">
        <f ca="1">IFERROR(INDEX(JuniorzyPozytyw[],MATCH($A67,Juniorstwo!$A$57:$A$76,0),MATCH($B$2,Juniorstwo!$A$56:$N$56,0))*F$2+INDEX(JuniorzyPozytyw[],MATCH($A67,Juniorstwo!$A$57:$A$76,0),MATCH($B$3,Juniorstwo!$A$56:$N$56,0))*F$3+INDEX(JuniorzyPozytyw[],MATCH($A67,Juniorstwo!$A$57:$A$76,0),MATCH($B$4,Juniorstwo!$A$56:$N$56,0))*F$4+INDEX(JuniorzyPozytyw[],MATCH($A67,Juniorstwo!$A$57:$A$76,0),MATCH($B$5,Juniorstwo!$A$56:$N$56,0))*F$5+INDEX(JuniorzyPozytyw[],MATCH($A67,Juniorstwo!$A$57:$A$76,0),MATCH($B$6,Juniorstwo!$A$56:$N$56,0))*F$6+INDEX(JuniorzyPozytyw[],MATCH($A67,Juniorstwo!$A$57:$A$76,0),MATCH($B$7,Juniorstwo!$A$56:$N$56,0))*F$7+INDEX(JuniorzyPozytyw[],MATCH($A67,Juniorstwo!$A$57:$A$76,0),MATCH($B$8,Juniorstwo!$A$56:$N$56,0))*F$8+INDEX(JuniorzyPozytyw[],MATCH($A67,Juniorstwo!$A$57:$A$76,0),MATCH($B$9,Juniorstwo!$A$56:$N$56,0))*F$9+INDEX(JuniorzyPozytyw[],MATCH($A67,Juniorstwo!$A$57:$A$76,0),MATCH($B$10,Juniorstwo!$A$56:$N$56,0))*F$10+INDEX(JuniorzyPozytyw[],MATCH($A67,Juniorstwo!$A$57:$A$76,0),MATCH($B$11,Juniorstwo!$A$56:$N$56,0))*F$11+INDEX(JuniorzyPozytyw[],MATCH($A67,Juniorstwo!$A$57:$A$76,0),MATCH($B$12,Juniorstwo!$A$56:$N$56,0))*F$12+INDEX(JuniorzyPozytyw[],MATCH($A67,Juniorstwo!$A$57:$A$76,0),MATCH($B$13,Juniorstwo!$A$56:$N$56,0))*F$13,"-")</f>
        <v>72.5</v>
      </c>
      <c r="G67" s="38">
        <f ca="1">IFERROR(INDEX(JuniorzyPozytyw[],MATCH($A67,Juniorstwo!$A$57:$A$76,0),MATCH($B$2,Juniorstwo!$A$56:$N$56,0))*G$2+INDEX(JuniorzyPozytyw[],MATCH($A67,Juniorstwo!$A$57:$A$76,0),MATCH($B$3,Juniorstwo!$A$56:$N$56,0))*G$3+INDEX(JuniorzyPozytyw[],MATCH($A67,Juniorstwo!$A$57:$A$76,0),MATCH($B$4,Juniorstwo!$A$56:$N$56,0))*G$4+INDEX(JuniorzyPozytyw[],MATCH($A67,Juniorstwo!$A$57:$A$76,0),MATCH($B$5,Juniorstwo!$A$56:$N$56,0))*G$5+INDEX(JuniorzyPozytyw[],MATCH($A67,Juniorstwo!$A$57:$A$76,0),MATCH($B$6,Juniorstwo!$A$56:$N$56,0))*G$6+INDEX(JuniorzyPozytyw[],MATCH($A67,Juniorstwo!$A$57:$A$76,0),MATCH($B$7,Juniorstwo!$A$56:$N$56,0))*G$7+INDEX(JuniorzyPozytyw[],MATCH($A67,Juniorstwo!$A$57:$A$76,0),MATCH($B$8,Juniorstwo!$A$56:$N$56,0))*G$8+INDEX(JuniorzyPozytyw[],MATCH($A67,Juniorstwo!$A$57:$A$76,0),MATCH($B$9,Juniorstwo!$A$56:$N$56,0))*G$9+INDEX(JuniorzyPozytyw[],MATCH($A67,Juniorstwo!$A$57:$A$76,0),MATCH($B$10,Juniorstwo!$A$56:$N$56,0))*G$10+INDEX(JuniorzyPozytyw[],MATCH($A67,Juniorstwo!$A$57:$A$76,0),MATCH($B$11,Juniorstwo!$A$56:$N$56,0))*G$11+INDEX(JuniorzyPozytyw[],MATCH($A67,Juniorstwo!$A$57:$A$76,0),MATCH($B$12,Juniorstwo!$A$56:$N$56,0))*G$12+INDEX(JuniorzyPozytyw[],MATCH($A67,Juniorstwo!$A$57:$A$76,0),MATCH($B$13,Juniorstwo!$A$56:$N$56,0))*G$13,"-")</f>
        <v>73.5</v>
      </c>
      <c r="H67" s="38">
        <f ca="1">IFERROR(INDEX(JuniorzyPozytyw[],MATCH($A67,Juniorstwo!$A$57:$A$76,0),MATCH($B$2,Juniorstwo!$A$56:$N$56,0))*H$2+INDEX(JuniorzyPozytyw[],MATCH($A67,Juniorstwo!$A$57:$A$76,0),MATCH($B$3,Juniorstwo!$A$56:$N$56,0))*H$3+INDEX(JuniorzyPozytyw[],MATCH($A67,Juniorstwo!$A$57:$A$76,0),MATCH($B$4,Juniorstwo!$A$56:$N$56,0))*H$4+INDEX(JuniorzyPozytyw[],MATCH($A67,Juniorstwo!$A$57:$A$76,0),MATCH($B$5,Juniorstwo!$A$56:$N$56,0))*H$5+INDEX(JuniorzyPozytyw[],MATCH($A67,Juniorstwo!$A$57:$A$76,0),MATCH($B$6,Juniorstwo!$A$56:$N$56,0))*H$6+INDEX(JuniorzyPozytyw[],MATCH($A67,Juniorstwo!$A$57:$A$76,0),MATCH($B$7,Juniorstwo!$A$56:$N$56,0))*H$7+INDEX(JuniorzyPozytyw[],MATCH($A67,Juniorstwo!$A$57:$A$76,0),MATCH($B$8,Juniorstwo!$A$56:$N$56,0))*H$8+INDEX(JuniorzyPozytyw[],MATCH($A67,Juniorstwo!$A$57:$A$76,0),MATCH($B$9,Juniorstwo!$A$56:$N$56,0))*H$9+INDEX(JuniorzyPozytyw[],MATCH($A67,Juniorstwo!$A$57:$A$76,0),MATCH($B$10,Juniorstwo!$A$56:$N$56,0))*H$10+INDEX(JuniorzyPozytyw[],MATCH($A67,Juniorstwo!$A$57:$A$76,0),MATCH($B$11,Juniorstwo!$A$56:$N$56,0))*H$11+INDEX(JuniorzyPozytyw[],MATCH($A67,Juniorstwo!$A$57:$A$76,0),MATCH($B$12,Juniorstwo!$A$56:$N$56,0))*H$12+INDEX(JuniorzyPozytyw[],MATCH($A67,Juniorstwo!$A$57:$A$76,0),MATCH($B$13,Juniorstwo!$A$56:$N$56,0))*H$13,"-")</f>
        <v>73.5</v>
      </c>
      <c r="I67" s="38">
        <f ca="1">IFERROR(INDEX(JuniorzyPozytyw[],MATCH($A67,Juniorstwo!$A$57:$A$76,0),MATCH($B$2,Juniorstwo!$A$56:$N$56,0))*I$2+INDEX(JuniorzyPozytyw[],MATCH($A67,Juniorstwo!$A$57:$A$76,0),MATCH($B$3,Juniorstwo!$A$56:$N$56,0))*I$3+INDEX(JuniorzyPozytyw[],MATCH($A67,Juniorstwo!$A$57:$A$76,0),MATCH($B$4,Juniorstwo!$A$56:$N$56,0))*I$4+INDEX(JuniorzyPozytyw[],MATCH($A67,Juniorstwo!$A$57:$A$76,0),MATCH($B$5,Juniorstwo!$A$56:$N$56,0))*I$5+INDEX(JuniorzyPozytyw[],MATCH($A67,Juniorstwo!$A$57:$A$76,0),MATCH($B$6,Juniorstwo!$A$56:$N$56,0))*I$6+INDEX(JuniorzyPozytyw[],MATCH($A67,Juniorstwo!$A$57:$A$76,0),MATCH($B$7,Juniorstwo!$A$56:$N$56,0))*I$7+INDEX(JuniorzyPozytyw[],MATCH($A67,Juniorstwo!$A$57:$A$76,0),MATCH($B$8,Juniorstwo!$A$56:$N$56,0))*I$8+INDEX(JuniorzyPozytyw[],MATCH($A67,Juniorstwo!$A$57:$A$76,0),MATCH($B$9,Juniorstwo!$A$56:$N$56,0))*I$9+INDEX(JuniorzyPozytyw[],MATCH($A67,Juniorstwo!$A$57:$A$76,0),MATCH($B$10,Juniorstwo!$A$56:$N$56,0))*I$10+INDEX(JuniorzyPozytyw[],MATCH($A67,Juniorstwo!$A$57:$A$76,0),MATCH($B$11,Juniorstwo!$A$56:$N$56,0))*I$11+INDEX(JuniorzyPozytyw[],MATCH($A67,Juniorstwo!$A$57:$A$76,0),MATCH($B$12,Juniorstwo!$A$56:$N$56,0))*I$12+INDEX(JuniorzyPozytyw[],MATCH($A67,Juniorstwo!$A$57:$A$76,0),MATCH($B$13,Juniorstwo!$A$56:$N$56,0))*I$13,"-")</f>
        <v>69.5</v>
      </c>
      <c r="J67" s="38">
        <f ca="1">IFERROR(INDEX(JuniorzyPozytyw[],MATCH($A67,Juniorstwo!$A$57:$A$76,0),MATCH($B$2,Juniorstwo!$A$56:$N$56,0))*J$2+INDEX(JuniorzyPozytyw[],MATCH($A67,Juniorstwo!$A$57:$A$76,0),MATCH($B$3,Juniorstwo!$A$56:$N$56,0))*J$3+INDEX(JuniorzyPozytyw[],MATCH($A67,Juniorstwo!$A$57:$A$76,0),MATCH($B$4,Juniorstwo!$A$56:$N$56,0))*J$4+INDEX(JuniorzyPozytyw[],MATCH($A67,Juniorstwo!$A$57:$A$76,0),MATCH($B$5,Juniorstwo!$A$56:$N$56,0))*J$5+INDEX(JuniorzyPozytyw[],MATCH($A67,Juniorstwo!$A$57:$A$76,0),MATCH($B$6,Juniorstwo!$A$56:$N$56,0))*J$6+INDEX(JuniorzyPozytyw[],MATCH($A67,Juniorstwo!$A$57:$A$76,0),MATCH($B$7,Juniorstwo!$A$56:$N$56,0))*J$7+INDEX(JuniorzyPozytyw[],MATCH($A67,Juniorstwo!$A$57:$A$76,0),MATCH($B$8,Juniorstwo!$A$56:$N$56,0))*J$8+INDEX(JuniorzyPozytyw[],MATCH($A67,Juniorstwo!$A$57:$A$76,0),MATCH($B$9,Juniorstwo!$A$56:$N$56,0))*J$9+INDEX(JuniorzyPozytyw[],MATCH($A67,Juniorstwo!$A$57:$A$76,0),MATCH($B$10,Juniorstwo!$A$56:$N$56,0))*J$10+INDEX(JuniorzyPozytyw[],MATCH($A67,Juniorstwo!$A$57:$A$76,0),MATCH($B$11,Juniorstwo!$A$56:$N$56,0))*J$11+INDEX(JuniorzyPozytyw[],MATCH($A67,Juniorstwo!$A$57:$A$76,0),MATCH($B$12,Juniorstwo!$A$56:$N$56,0))*J$12+INDEX(JuniorzyPozytyw[],MATCH($A67,Juniorstwo!$A$57:$A$76,0),MATCH($B$13,Juniorstwo!$A$56:$N$56,0))*J$13,"-")</f>
        <v>73</v>
      </c>
      <c r="K67" s="38">
        <f ca="1">IFERROR(INDEX(JuniorzyPozytyw[],MATCH($A67,Juniorstwo!$A$57:$A$76,0),MATCH($B$2,Juniorstwo!$A$56:$N$56,0))*K$2+INDEX(JuniorzyPozytyw[],MATCH($A67,Juniorstwo!$A$57:$A$76,0),MATCH($B$3,Juniorstwo!$A$56:$N$56,0))*K$3+INDEX(JuniorzyPozytyw[],MATCH($A67,Juniorstwo!$A$57:$A$76,0),MATCH($B$4,Juniorstwo!$A$56:$N$56,0))*K$4+INDEX(JuniorzyPozytyw[],MATCH($A67,Juniorstwo!$A$57:$A$76,0),MATCH($B$5,Juniorstwo!$A$56:$N$56,0))*K$5+INDEX(JuniorzyPozytyw[],MATCH($A67,Juniorstwo!$A$57:$A$76,0),MATCH($B$6,Juniorstwo!$A$56:$N$56,0))*K$6+INDEX(JuniorzyPozytyw[],MATCH($A67,Juniorstwo!$A$57:$A$76,0),MATCH($B$7,Juniorstwo!$A$56:$N$56,0))*K$7+INDEX(JuniorzyPozytyw[],MATCH($A67,Juniorstwo!$A$57:$A$76,0),MATCH($B$8,Juniorstwo!$A$56:$N$56,0))*K$8+INDEX(JuniorzyPozytyw[],MATCH($A67,Juniorstwo!$A$57:$A$76,0),MATCH($B$9,Juniorstwo!$A$56:$N$56,0))*K$9+INDEX(JuniorzyPozytyw[],MATCH($A67,Juniorstwo!$A$57:$A$76,0),MATCH($B$10,Juniorstwo!$A$56:$N$56,0))*K$10+INDEX(JuniorzyPozytyw[],MATCH($A67,Juniorstwo!$A$57:$A$76,0),MATCH($B$11,Juniorstwo!$A$56:$N$56,0))*K$11+INDEX(JuniorzyPozytyw[],MATCH($A67,Juniorstwo!$A$57:$A$76,0),MATCH($B$12,Juniorstwo!$A$56:$N$56,0))*K$12+INDEX(JuniorzyPozytyw[],MATCH($A67,Juniorstwo!$A$57:$A$76,0),MATCH($B$13,Juniorstwo!$A$56:$N$56,0))*K$13,"-")</f>
        <v>67</v>
      </c>
    </row>
    <row r="68" spans="1:11" x14ac:dyDescent="0.25">
      <c r="A68">
        <f>IFERROR(PozJunPŚr[[#This Row],[Numer]],"-")</f>
        <v>38</v>
      </c>
      <c r="B68" s="3" t="str">
        <f>IFERROR(VLOOKUP(PozJunPMM[[#This Row],[Numer]],Zawodnicy[[Number]:[Player name]],2,FALSE),"-")</f>
        <v>Boleslaw Kolbert</v>
      </c>
      <c r="C68" s="38">
        <f ca="1">IFERROR(INDEX(JuniorzyPozytyw[],MATCH($A68,Juniorstwo!$A$57:$A$76,0),MATCH($B$2,Juniorstwo!$A$56:$N$56,0))*C$2+INDEX(JuniorzyPozytyw[],MATCH($A68,Juniorstwo!$A$57:$A$76,0),MATCH($B$3,Juniorstwo!$A$56:$N$56,0))*C$3+INDEX(JuniorzyPozytyw[],MATCH($A68,Juniorstwo!$A$57:$A$76,0),MATCH($B$4,Juniorstwo!$A$56:$N$56,0))*C$4+INDEX(JuniorzyPozytyw[],MATCH($A68,Juniorstwo!$A$57:$A$76,0),MATCH($B$5,Juniorstwo!$A$56:$N$56,0))*C$5+INDEX(JuniorzyPozytyw[],MATCH($A68,Juniorstwo!$A$57:$A$76,0),MATCH($B$6,Juniorstwo!$A$56:$N$56,0))*C$6+INDEX(JuniorzyPozytyw[],MATCH($A68,Juniorstwo!$A$57:$A$76,0),MATCH($B$7,Juniorstwo!$A$56:$N$56,0))*C$7+INDEX(JuniorzyPozytyw[],MATCH($A68,Juniorstwo!$A$57:$A$76,0),MATCH($B$8,Juniorstwo!$A$56:$N$56,0))*C$8+INDEX(JuniorzyPozytyw[],MATCH($A68,Juniorstwo!$A$57:$A$76,0),MATCH($B$9,Juniorstwo!$A$56:$N$56,0))*C$9+INDEX(JuniorzyPozytyw[],MATCH($A68,Juniorstwo!$A$57:$A$76,0),MATCH($B$10,Juniorstwo!$A$56:$N$56,0))*C$10+INDEX(JuniorzyPozytyw[],MATCH($A68,Juniorstwo!$A$57:$A$76,0),MATCH($B$11,Juniorstwo!$A$56:$N$56,0))*C$11+INDEX(JuniorzyPozytyw[],MATCH($A68,Juniorstwo!$A$57:$A$76,0),MATCH($B$12,Juniorstwo!$A$56:$N$56,0))*C$12+INDEX(JuniorzyPozytyw[],MATCH($A68,Juniorstwo!$A$57:$A$76,0),MATCH($B$13,Juniorstwo!$A$56:$N$56,0))*C$13,"-")</f>
        <v>53</v>
      </c>
      <c r="D68" s="38">
        <f ca="1">IFERROR(INDEX(JuniorzyPozytyw[],MATCH($A68,Juniorstwo!$A$57:$A$76,0),MATCH($B$2,Juniorstwo!$A$56:$N$56,0))*D$2+INDEX(JuniorzyPozytyw[],MATCH($A68,Juniorstwo!$A$57:$A$76,0),MATCH($B$3,Juniorstwo!$A$56:$N$56,0))*D$3+INDEX(JuniorzyPozytyw[],MATCH($A68,Juniorstwo!$A$57:$A$76,0),MATCH($B$4,Juniorstwo!$A$56:$N$56,0))*D$4+INDEX(JuniorzyPozytyw[],MATCH($A68,Juniorstwo!$A$57:$A$76,0),MATCH($B$5,Juniorstwo!$A$56:$N$56,0))*D$5+INDEX(JuniorzyPozytyw[],MATCH($A68,Juniorstwo!$A$57:$A$76,0),MATCH($B$6,Juniorstwo!$A$56:$N$56,0))*D$6+INDEX(JuniorzyPozytyw[],MATCH($A68,Juniorstwo!$A$57:$A$76,0),MATCH($B$7,Juniorstwo!$A$56:$N$56,0))*D$7+INDEX(JuniorzyPozytyw[],MATCH($A68,Juniorstwo!$A$57:$A$76,0),MATCH($B$8,Juniorstwo!$A$56:$N$56,0))*D$8+INDEX(JuniorzyPozytyw[],MATCH($A68,Juniorstwo!$A$57:$A$76,0),MATCH($B$9,Juniorstwo!$A$56:$N$56,0))*D$9+INDEX(JuniorzyPozytyw[],MATCH($A68,Juniorstwo!$A$57:$A$76,0),MATCH($B$10,Juniorstwo!$A$56:$N$56,0))*D$10+INDEX(JuniorzyPozytyw[],MATCH($A68,Juniorstwo!$A$57:$A$76,0),MATCH($B$11,Juniorstwo!$A$56:$N$56,0))*D$11+INDEX(JuniorzyPozytyw[],MATCH($A68,Juniorstwo!$A$57:$A$76,0),MATCH($B$12,Juniorstwo!$A$56:$N$56,0))*D$12+INDEX(JuniorzyPozytyw[],MATCH($A68,Juniorstwo!$A$57:$A$76,0),MATCH($B$13,Juniorstwo!$A$56:$N$56,0))*D$13,"-")</f>
        <v>79.5</v>
      </c>
      <c r="E68" s="38">
        <f ca="1">IFERROR(INDEX(JuniorzyPozytyw[],MATCH($A68,Juniorstwo!$A$57:$A$76,0),MATCH($B$2,Juniorstwo!$A$56:$N$56,0))*E$2+INDEX(JuniorzyPozytyw[],MATCH($A68,Juniorstwo!$A$57:$A$76,0),MATCH($B$3,Juniorstwo!$A$56:$N$56,0))*E$3+INDEX(JuniorzyPozytyw[],MATCH($A68,Juniorstwo!$A$57:$A$76,0),MATCH($B$4,Juniorstwo!$A$56:$N$56,0))*E$4+INDEX(JuniorzyPozytyw[],MATCH($A68,Juniorstwo!$A$57:$A$76,0),MATCH($B$5,Juniorstwo!$A$56:$N$56,0))*E$5+INDEX(JuniorzyPozytyw[],MATCH($A68,Juniorstwo!$A$57:$A$76,0),MATCH($B$6,Juniorstwo!$A$56:$N$56,0))*E$6+INDEX(JuniorzyPozytyw[],MATCH($A68,Juniorstwo!$A$57:$A$76,0),MATCH($B$7,Juniorstwo!$A$56:$N$56,0))*E$7+INDEX(JuniorzyPozytyw[],MATCH($A68,Juniorstwo!$A$57:$A$76,0),MATCH($B$8,Juniorstwo!$A$56:$N$56,0))*E$8+INDEX(JuniorzyPozytyw[],MATCH($A68,Juniorstwo!$A$57:$A$76,0),MATCH($B$9,Juniorstwo!$A$56:$N$56,0))*E$9+INDEX(JuniorzyPozytyw[],MATCH($A68,Juniorstwo!$A$57:$A$76,0),MATCH($B$10,Juniorstwo!$A$56:$N$56,0))*E$10+INDEX(JuniorzyPozytyw[],MATCH($A68,Juniorstwo!$A$57:$A$76,0),MATCH($B$11,Juniorstwo!$A$56:$N$56,0))*E$11+INDEX(JuniorzyPozytyw[],MATCH($A68,Juniorstwo!$A$57:$A$76,0),MATCH($B$12,Juniorstwo!$A$56:$N$56,0))*E$12+INDEX(JuniorzyPozytyw[],MATCH($A68,Juniorstwo!$A$57:$A$76,0),MATCH($B$13,Juniorstwo!$A$56:$N$56,0))*E$13,"-")</f>
        <v>78.5</v>
      </c>
      <c r="F68" s="38">
        <f ca="1">IFERROR(INDEX(JuniorzyPozytyw[],MATCH($A68,Juniorstwo!$A$57:$A$76,0),MATCH($B$2,Juniorstwo!$A$56:$N$56,0))*F$2+INDEX(JuniorzyPozytyw[],MATCH($A68,Juniorstwo!$A$57:$A$76,0),MATCH($B$3,Juniorstwo!$A$56:$N$56,0))*F$3+INDEX(JuniorzyPozytyw[],MATCH($A68,Juniorstwo!$A$57:$A$76,0),MATCH($B$4,Juniorstwo!$A$56:$N$56,0))*F$4+INDEX(JuniorzyPozytyw[],MATCH($A68,Juniorstwo!$A$57:$A$76,0),MATCH($B$5,Juniorstwo!$A$56:$N$56,0))*F$5+INDEX(JuniorzyPozytyw[],MATCH($A68,Juniorstwo!$A$57:$A$76,0),MATCH($B$6,Juniorstwo!$A$56:$N$56,0))*F$6+INDEX(JuniorzyPozytyw[],MATCH($A68,Juniorstwo!$A$57:$A$76,0),MATCH($B$7,Juniorstwo!$A$56:$N$56,0))*F$7+INDEX(JuniorzyPozytyw[],MATCH($A68,Juniorstwo!$A$57:$A$76,0),MATCH($B$8,Juniorstwo!$A$56:$N$56,0))*F$8+INDEX(JuniorzyPozytyw[],MATCH($A68,Juniorstwo!$A$57:$A$76,0),MATCH($B$9,Juniorstwo!$A$56:$N$56,0))*F$9+INDEX(JuniorzyPozytyw[],MATCH($A68,Juniorstwo!$A$57:$A$76,0),MATCH($B$10,Juniorstwo!$A$56:$N$56,0))*F$10+INDEX(JuniorzyPozytyw[],MATCH($A68,Juniorstwo!$A$57:$A$76,0),MATCH($B$11,Juniorstwo!$A$56:$N$56,0))*F$11+INDEX(JuniorzyPozytyw[],MATCH($A68,Juniorstwo!$A$57:$A$76,0),MATCH($B$12,Juniorstwo!$A$56:$N$56,0))*F$12+INDEX(JuniorzyPozytyw[],MATCH($A68,Juniorstwo!$A$57:$A$76,0),MATCH($B$13,Juniorstwo!$A$56:$N$56,0))*F$13,"-")</f>
        <v>75.5</v>
      </c>
      <c r="G68" s="38">
        <f ca="1">IFERROR(INDEX(JuniorzyPozytyw[],MATCH($A68,Juniorstwo!$A$57:$A$76,0),MATCH($B$2,Juniorstwo!$A$56:$N$56,0))*G$2+INDEX(JuniorzyPozytyw[],MATCH($A68,Juniorstwo!$A$57:$A$76,0),MATCH($B$3,Juniorstwo!$A$56:$N$56,0))*G$3+INDEX(JuniorzyPozytyw[],MATCH($A68,Juniorstwo!$A$57:$A$76,0),MATCH($B$4,Juniorstwo!$A$56:$N$56,0))*G$4+INDEX(JuniorzyPozytyw[],MATCH($A68,Juniorstwo!$A$57:$A$76,0),MATCH($B$5,Juniorstwo!$A$56:$N$56,0))*G$5+INDEX(JuniorzyPozytyw[],MATCH($A68,Juniorstwo!$A$57:$A$76,0),MATCH($B$6,Juniorstwo!$A$56:$N$56,0))*G$6+INDEX(JuniorzyPozytyw[],MATCH($A68,Juniorstwo!$A$57:$A$76,0),MATCH($B$7,Juniorstwo!$A$56:$N$56,0))*G$7+INDEX(JuniorzyPozytyw[],MATCH($A68,Juniorstwo!$A$57:$A$76,0),MATCH($B$8,Juniorstwo!$A$56:$N$56,0))*G$8+INDEX(JuniorzyPozytyw[],MATCH($A68,Juniorstwo!$A$57:$A$76,0),MATCH($B$9,Juniorstwo!$A$56:$N$56,0))*G$9+INDEX(JuniorzyPozytyw[],MATCH($A68,Juniorstwo!$A$57:$A$76,0),MATCH($B$10,Juniorstwo!$A$56:$N$56,0))*G$10+INDEX(JuniorzyPozytyw[],MATCH($A68,Juniorstwo!$A$57:$A$76,0),MATCH($B$11,Juniorstwo!$A$56:$N$56,0))*G$11+INDEX(JuniorzyPozytyw[],MATCH($A68,Juniorstwo!$A$57:$A$76,0),MATCH($B$12,Juniorstwo!$A$56:$N$56,0))*G$12+INDEX(JuniorzyPozytyw[],MATCH($A68,Juniorstwo!$A$57:$A$76,0),MATCH($B$13,Juniorstwo!$A$56:$N$56,0))*G$13,"-")</f>
        <v>73.5</v>
      </c>
      <c r="H68" s="38">
        <f ca="1">IFERROR(INDEX(JuniorzyPozytyw[],MATCH($A68,Juniorstwo!$A$57:$A$76,0),MATCH($B$2,Juniorstwo!$A$56:$N$56,0))*H$2+INDEX(JuniorzyPozytyw[],MATCH($A68,Juniorstwo!$A$57:$A$76,0),MATCH($B$3,Juniorstwo!$A$56:$N$56,0))*H$3+INDEX(JuniorzyPozytyw[],MATCH($A68,Juniorstwo!$A$57:$A$76,0),MATCH($B$4,Juniorstwo!$A$56:$N$56,0))*H$4+INDEX(JuniorzyPozytyw[],MATCH($A68,Juniorstwo!$A$57:$A$76,0),MATCH($B$5,Juniorstwo!$A$56:$N$56,0))*H$5+INDEX(JuniorzyPozytyw[],MATCH($A68,Juniorstwo!$A$57:$A$76,0),MATCH($B$6,Juniorstwo!$A$56:$N$56,0))*H$6+INDEX(JuniorzyPozytyw[],MATCH($A68,Juniorstwo!$A$57:$A$76,0),MATCH($B$7,Juniorstwo!$A$56:$N$56,0))*H$7+INDEX(JuniorzyPozytyw[],MATCH($A68,Juniorstwo!$A$57:$A$76,0),MATCH($B$8,Juniorstwo!$A$56:$N$56,0))*H$8+INDEX(JuniorzyPozytyw[],MATCH($A68,Juniorstwo!$A$57:$A$76,0),MATCH($B$9,Juniorstwo!$A$56:$N$56,0))*H$9+INDEX(JuniorzyPozytyw[],MATCH($A68,Juniorstwo!$A$57:$A$76,0),MATCH($B$10,Juniorstwo!$A$56:$N$56,0))*H$10+INDEX(JuniorzyPozytyw[],MATCH($A68,Juniorstwo!$A$57:$A$76,0),MATCH($B$11,Juniorstwo!$A$56:$N$56,0))*H$11+INDEX(JuniorzyPozytyw[],MATCH($A68,Juniorstwo!$A$57:$A$76,0),MATCH($B$12,Juniorstwo!$A$56:$N$56,0))*H$12+INDEX(JuniorzyPozytyw[],MATCH($A68,Juniorstwo!$A$57:$A$76,0),MATCH($B$13,Juniorstwo!$A$56:$N$56,0))*H$13,"-")</f>
        <v>70</v>
      </c>
      <c r="I68" s="38">
        <f ca="1">IFERROR(INDEX(JuniorzyPozytyw[],MATCH($A68,Juniorstwo!$A$57:$A$76,0),MATCH($B$2,Juniorstwo!$A$56:$N$56,0))*I$2+INDEX(JuniorzyPozytyw[],MATCH($A68,Juniorstwo!$A$57:$A$76,0),MATCH($B$3,Juniorstwo!$A$56:$N$56,0))*I$3+INDEX(JuniorzyPozytyw[],MATCH($A68,Juniorstwo!$A$57:$A$76,0),MATCH($B$4,Juniorstwo!$A$56:$N$56,0))*I$4+INDEX(JuniorzyPozytyw[],MATCH($A68,Juniorstwo!$A$57:$A$76,0),MATCH($B$5,Juniorstwo!$A$56:$N$56,0))*I$5+INDEX(JuniorzyPozytyw[],MATCH($A68,Juniorstwo!$A$57:$A$76,0),MATCH($B$6,Juniorstwo!$A$56:$N$56,0))*I$6+INDEX(JuniorzyPozytyw[],MATCH($A68,Juniorstwo!$A$57:$A$76,0),MATCH($B$7,Juniorstwo!$A$56:$N$56,0))*I$7+INDEX(JuniorzyPozytyw[],MATCH($A68,Juniorstwo!$A$57:$A$76,0),MATCH($B$8,Juniorstwo!$A$56:$N$56,0))*I$8+INDEX(JuniorzyPozytyw[],MATCH($A68,Juniorstwo!$A$57:$A$76,0),MATCH($B$9,Juniorstwo!$A$56:$N$56,0))*I$9+INDEX(JuniorzyPozytyw[],MATCH($A68,Juniorstwo!$A$57:$A$76,0),MATCH($B$10,Juniorstwo!$A$56:$N$56,0))*I$10+INDEX(JuniorzyPozytyw[],MATCH($A68,Juniorstwo!$A$57:$A$76,0),MATCH($B$11,Juniorstwo!$A$56:$N$56,0))*I$11+INDEX(JuniorzyPozytyw[],MATCH($A68,Juniorstwo!$A$57:$A$76,0),MATCH($B$12,Juniorstwo!$A$56:$N$56,0))*I$12+INDEX(JuniorzyPozytyw[],MATCH($A68,Juniorstwo!$A$57:$A$76,0),MATCH($B$13,Juniorstwo!$A$56:$N$56,0))*I$13,"-")</f>
        <v>69.5</v>
      </c>
      <c r="J68" s="38">
        <f ca="1">IFERROR(INDEX(JuniorzyPozytyw[],MATCH($A68,Juniorstwo!$A$57:$A$76,0),MATCH($B$2,Juniorstwo!$A$56:$N$56,0))*J$2+INDEX(JuniorzyPozytyw[],MATCH($A68,Juniorstwo!$A$57:$A$76,0),MATCH($B$3,Juniorstwo!$A$56:$N$56,0))*J$3+INDEX(JuniorzyPozytyw[],MATCH($A68,Juniorstwo!$A$57:$A$76,0),MATCH($B$4,Juniorstwo!$A$56:$N$56,0))*J$4+INDEX(JuniorzyPozytyw[],MATCH($A68,Juniorstwo!$A$57:$A$76,0),MATCH($B$5,Juniorstwo!$A$56:$N$56,0))*J$5+INDEX(JuniorzyPozytyw[],MATCH($A68,Juniorstwo!$A$57:$A$76,0),MATCH($B$6,Juniorstwo!$A$56:$N$56,0))*J$6+INDEX(JuniorzyPozytyw[],MATCH($A68,Juniorstwo!$A$57:$A$76,0),MATCH($B$7,Juniorstwo!$A$56:$N$56,0))*J$7+INDEX(JuniorzyPozytyw[],MATCH($A68,Juniorstwo!$A$57:$A$76,0),MATCH($B$8,Juniorstwo!$A$56:$N$56,0))*J$8+INDEX(JuniorzyPozytyw[],MATCH($A68,Juniorstwo!$A$57:$A$76,0),MATCH($B$9,Juniorstwo!$A$56:$N$56,0))*J$9+INDEX(JuniorzyPozytyw[],MATCH($A68,Juniorstwo!$A$57:$A$76,0),MATCH($B$10,Juniorstwo!$A$56:$N$56,0))*J$10+INDEX(JuniorzyPozytyw[],MATCH($A68,Juniorstwo!$A$57:$A$76,0),MATCH($B$11,Juniorstwo!$A$56:$N$56,0))*J$11+INDEX(JuniorzyPozytyw[],MATCH($A68,Juniorstwo!$A$57:$A$76,0),MATCH($B$12,Juniorstwo!$A$56:$N$56,0))*J$12+INDEX(JuniorzyPozytyw[],MATCH($A68,Juniorstwo!$A$57:$A$76,0),MATCH($B$13,Juniorstwo!$A$56:$N$56,0))*J$13,"-")</f>
        <v>69</v>
      </c>
      <c r="K68" s="38">
        <f ca="1">IFERROR(INDEX(JuniorzyPozytyw[],MATCH($A68,Juniorstwo!$A$57:$A$76,0),MATCH($B$2,Juniorstwo!$A$56:$N$56,0))*K$2+INDEX(JuniorzyPozytyw[],MATCH($A68,Juniorstwo!$A$57:$A$76,0),MATCH($B$3,Juniorstwo!$A$56:$N$56,0))*K$3+INDEX(JuniorzyPozytyw[],MATCH($A68,Juniorstwo!$A$57:$A$76,0),MATCH($B$4,Juniorstwo!$A$56:$N$56,0))*K$4+INDEX(JuniorzyPozytyw[],MATCH($A68,Juniorstwo!$A$57:$A$76,0),MATCH($B$5,Juniorstwo!$A$56:$N$56,0))*K$5+INDEX(JuniorzyPozytyw[],MATCH($A68,Juniorstwo!$A$57:$A$76,0),MATCH($B$6,Juniorstwo!$A$56:$N$56,0))*K$6+INDEX(JuniorzyPozytyw[],MATCH($A68,Juniorstwo!$A$57:$A$76,0),MATCH($B$7,Juniorstwo!$A$56:$N$56,0))*K$7+INDEX(JuniorzyPozytyw[],MATCH($A68,Juniorstwo!$A$57:$A$76,0),MATCH($B$8,Juniorstwo!$A$56:$N$56,0))*K$8+INDEX(JuniorzyPozytyw[],MATCH($A68,Juniorstwo!$A$57:$A$76,0),MATCH($B$9,Juniorstwo!$A$56:$N$56,0))*K$9+INDEX(JuniorzyPozytyw[],MATCH($A68,Juniorstwo!$A$57:$A$76,0),MATCH($B$10,Juniorstwo!$A$56:$N$56,0))*K$10+INDEX(JuniorzyPozytyw[],MATCH($A68,Juniorstwo!$A$57:$A$76,0),MATCH($B$11,Juniorstwo!$A$56:$N$56,0))*K$11+INDEX(JuniorzyPozytyw[],MATCH($A68,Juniorstwo!$A$57:$A$76,0),MATCH($B$12,Juniorstwo!$A$56:$N$56,0))*K$12+INDEX(JuniorzyPozytyw[],MATCH($A68,Juniorstwo!$A$57:$A$76,0),MATCH($B$13,Juniorstwo!$A$56:$N$56,0))*K$13,"-")</f>
        <v>71</v>
      </c>
    </row>
    <row r="69" spans="1:11" x14ac:dyDescent="0.25">
      <c r="A69">
        <f>IFERROR(PozJunPŚr[[#This Row],[Numer]],"-")</f>
        <v>39</v>
      </c>
      <c r="B69" s="3" t="str">
        <f>IFERROR(VLOOKUP(PozJunPMM[[#This Row],[Numer]],Zawodnicy[[Number]:[Player name]],2,FALSE),"-")</f>
        <v>Damazy Pionek</v>
      </c>
      <c r="C69" s="38">
        <f ca="1">IFERROR(INDEX(JuniorzyPozytyw[],MATCH($A69,Juniorstwo!$A$57:$A$76,0),MATCH($B$2,Juniorstwo!$A$56:$N$56,0))*C$2+INDEX(JuniorzyPozytyw[],MATCH($A69,Juniorstwo!$A$57:$A$76,0),MATCH($B$3,Juniorstwo!$A$56:$N$56,0))*C$3+INDEX(JuniorzyPozytyw[],MATCH($A69,Juniorstwo!$A$57:$A$76,0),MATCH($B$4,Juniorstwo!$A$56:$N$56,0))*C$4+INDEX(JuniorzyPozytyw[],MATCH($A69,Juniorstwo!$A$57:$A$76,0),MATCH($B$5,Juniorstwo!$A$56:$N$56,0))*C$5+INDEX(JuniorzyPozytyw[],MATCH($A69,Juniorstwo!$A$57:$A$76,0),MATCH($B$6,Juniorstwo!$A$56:$N$56,0))*C$6+INDEX(JuniorzyPozytyw[],MATCH($A69,Juniorstwo!$A$57:$A$76,0),MATCH($B$7,Juniorstwo!$A$56:$N$56,0))*C$7+INDEX(JuniorzyPozytyw[],MATCH($A69,Juniorstwo!$A$57:$A$76,0),MATCH($B$8,Juniorstwo!$A$56:$N$56,0))*C$8+INDEX(JuniorzyPozytyw[],MATCH($A69,Juniorstwo!$A$57:$A$76,0),MATCH($B$9,Juniorstwo!$A$56:$N$56,0))*C$9+INDEX(JuniorzyPozytyw[],MATCH($A69,Juniorstwo!$A$57:$A$76,0),MATCH($B$10,Juniorstwo!$A$56:$N$56,0))*C$10+INDEX(JuniorzyPozytyw[],MATCH($A69,Juniorstwo!$A$57:$A$76,0),MATCH($B$11,Juniorstwo!$A$56:$N$56,0))*C$11+INDEX(JuniorzyPozytyw[],MATCH($A69,Juniorstwo!$A$57:$A$76,0),MATCH($B$12,Juniorstwo!$A$56:$N$56,0))*C$12+INDEX(JuniorzyPozytyw[],MATCH($A69,Juniorstwo!$A$57:$A$76,0),MATCH($B$13,Juniorstwo!$A$56:$N$56,0))*C$13,"-")</f>
        <v>94</v>
      </c>
      <c r="D69" s="38">
        <f ca="1">IFERROR(INDEX(JuniorzyPozytyw[],MATCH($A69,Juniorstwo!$A$57:$A$76,0),MATCH($B$2,Juniorstwo!$A$56:$N$56,0))*D$2+INDEX(JuniorzyPozytyw[],MATCH($A69,Juniorstwo!$A$57:$A$76,0),MATCH($B$3,Juniorstwo!$A$56:$N$56,0))*D$3+INDEX(JuniorzyPozytyw[],MATCH($A69,Juniorstwo!$A$57:$A$76,0),MATCH($B$4,Juniorstwo!$A$56:$N$56,0))*D$4+INDEX(JuniorzyPozytyw[],MATCH($A69,Juniorstwo!$A$57:$A$76,0),MATCH($B$5,Juniorstwo!$A$56:$N$56,0))*D$5+INDEX(JuniorzyPozytyw[],MATCH($A69,Juniorstwo!$A$57:$A$76,0),MATCH($B$6,Juniorstwo!$A$56:$N$56,0))*D$6+INDEX(JuniorzyPozytyw[],MATCH($A69,Juniorstwo!$A$57:$A$76,0),MATCH($B$7,Juniorstwo!$A$56:$N$56,0))*D$7+INDEX(JuniorzyPozytyw[],MATCH($A69,Juniorstwo!$A$57:$A$76,0),MATCH($B$8,Juniorstwo!$A$56:$N$56,0))*D$8+INDEX(JuniorzyPozytyw[],MATCH($A69,Juniorstwo!$A$57:$A$76,0),MATCH($B$9,Juniorstwo!$A$56:$N$56,0))*D$9+INDEX(JuniorzyPozytyw[],MATCH($A69,Juniorstwo!$A$57:$A$76,0),MATCH($B$10,Juniorstwo!$A$56:$N$56,0))*D$10+INDEX(JuniorzyPozytyw[],MATCH($A69,Juniorstwo!$A$57:$A$76,0),MATCH($B$11,Juniorstwo!$A$56:$N$56,0))*D$11+INDEX(JuniorzyPozytyw[],MATCH($A69,Juniorstwo!$A$57:$A$76,0),MATCH($B$12,Juniorstwo!$A$56:$N$56,0))*D$12+INDEX(JuniorzyPozytyw[],MATCH($A69,Juniorstwo!$A$57:$A$76,0),MATCH($B$13,Juniorstwo!$A$56:$N$56,0))*D$13,"-")</f>
        <v>87.5</v>
      </c>
      <c r="E69" s="38">
        <f ca="1">IFERROR(INDEX(JuniorzyPozytyw[],MATCH($A69,Juniorstwo!$A$57:$A$76,0),MATCH($B$2,Juniorstwo!$A$56:$N$56,0))*E$2+INDEX(JuniorzyPozytyw[],MATCH($A69,Juniorstwo!$A$57:$A$76,0),MATCH($B$3,Juniorstwo!$A$56:$N$56,0))*E$3+INDEX(JuniorzyPozytyw[],MATCH($A69,Juniorstwo!$A$57:$A$76,0),MATCH($B$4,Juniorstwo!$A$56:$N$56,0))*E$4+INDEX(JuniorzyPozytyw[],MATCH($A69,Juniorstwo!$A$57:$A$76,0),MATCH($B$5,Juniorstwo!$A$56:$N$56,0))*E$5+INDEX(JuniorzyPozytyw[],MATCH($A69,Juniorstwo!$A$57:$A$76,0),MATCH($B$6,Juniorstwo!$A$56:$N$56,0))*E$6+INDEX(JuniorzyPozytyw[],MATCH($A69,Juniorstwo!$A$57:$A$76,0),MATCH($B$7,Juniorstwo!$A$56:$N$56,0))*E$7+INDEX(JuniorzyPozytyw[],MATCH($A69,Juniorstwo!$A$57:$A$76,0),MATCH($B$8,Juniorstwo!$A$56:$N$56,0))*E$8+INDEX(JuniorzyPozytyw[],MATCH($A69,Juniorstwo!$A$57:$A$76,0),MATCH($B$9,Juniorstwo!$A$56:$N$56,0))*E$9+INDEX(JuniorzyPozytyw[],MATCH($A69,Juniorstwo!$A$57:$A$76,0),MATCH($B$10,Juniorstwo!$A$56:$N$56,0))*E$10+INDEX(JuniorzyPozytyw[],MATCH($A69,Juniorstwo!$A$57:$A$76,0),MATCH($B$11,Juniorstwo!$A$56:$N$56,0))*E$11+INDEX(JuniorzyPozytyw[],MATCH($A69,Juniorstwo!$A$57:$A$76,0),MATCH($B$12,Juniorstwo!$A$56:$N$56,0))*E$12+INDEX(JuniorzyPozytyw[],MATCH($A69,Juniorstwo!$A$57:$A$76,0),MATCH($B$13,Juniorstwo!$A$56:$N$56,0))*E$13,"-")</f>
        <v>86.5</v>
      </c>
      <c r="F69" s="38">
        <f ca="1">IFERROR(INDEX(JuniorzyPozytyw[],MATCH($A69,Juniorstwo!$A$57:$A$76,0),MATCH($B$2,Juniorstwo!$A$56:$N$56,0))*F$2+INDEX(JuniorzyPozytyw[],MATCH($A69,Juniorstwo!$A$57:$A$76,0),MATCH($B$3,Juniorstwo!$A$56:$N$56,0))*F$3+INDEX(JuniorzyPozytyw[],MATCH($A69,Juniorstwo!$A$57:$A$76,0),MATCH($B$4,Juniorstwo!$A$56:$N$56,0))*F$4+INDEX(JuniorzyPozytyw[],MATCH($A69,Juniorstwo!$A$57:$A$76,0),MATCH($B$5,Juniorstwo!$A$56:$N$56,0))*F$5+INDEX(JuniorzyPozytyw[],MATCH($A69,Juniorstwo!$A$57:$A$76,0),MATCH($B$6,Juniorstwo!$A$56:$N$56,0))*F$6+INDEX(JuniorzyPozytyw[],MATCH($A69,Juniorstwo!$A$57:$A$76,0),MATCH($B$7,Juniorstwo!$A$56:$N$56,0))*F$7+INDEX(JuniorzyPozytyw[],MATCH($A69,Juniorstwo!$A$57:$A$76,0),MATCH($B$8,Juniorstwo!$A$56:$N$56,0))*F$8+INDEX(JuniorzyPozytyw[],MATCH($A69,Juniorstwo!$A$57:$A$76,0),MATCH($B$9,Juniorstwo!$A$56:$N$56,0))*F$9+INDEX(JuniorzyPozytyw[],MATCH($A69,Juniorstwo!$A$57:$A$76,0),MATCH($B$10,Juniorstwo!$A$56:$N$56,0))*F$10+INDEX(JuniorzyPozytyw[],MATCH($A69,Juniorstwo!$A$57:$A$76,0),MATCH($B$11,Juniorstwo!$A$56:$N$56,0))*F$11+INDEX(JuniorzyPozytyw[],MATCH($A69,Juniorstwo!$A$57:$A$76,0),MATCH($B$12,Juniorstwo!$A$56:$N$56,0))*F$12+INDEX(JuniorzyPozytyw[],MATCH($A69,Juniorstwo!$A$57:$A$76,0),MATCH($B$13,Juniorstwo!$A$56:$N$56,0))*F$13,"-")</f>
        <v>87</v>
      </c>
      <c r="G69" s="38">
        <f ca="1">IFERROR(INDEX(JuniorzyPozytyw[],MATCH($A69,Juniorstwo!$A$57:$A$76,0),MATCH($B$2,Juniorstwo!$A$56:$N$56,0))*G$2+INDEX(JuniorzyPozytyw[],MATCH($A69,Juniorstwo!$A$57:$A$76,0),MATCH($B$3,Juniorstwo!$A$56:$N$56,0))*G$3+INDEX(JuniorzyPozytyw[],MATCH($A69,Juniorstwo!$A$57:$A$76,0),MATCH($B$4,Juniorstwo!$A$56:$N$56,0))*G$4+INDEX(JuniorzyPozytyw[],MATCH($A69,Juniorstwo!$A$57:$A$76,0),MATCH($B$5,Juniorstwo!$A$56:$N$56,0))*G$5+INDEX(JuniorzyPozytyw[],MATCH($A69,Juniorstwo!$A$57:$A$76,0),MATCH($B$6,Juniorstwo!$A$56:$N$56,0))*G$6+INDEX(JuniorzyPozytyw[],MATCH($A69,Juniorstwo!$A$57:$A$76,0),MATCH($B$7,Juniorstwo!$A$56:$N$56,0))*G$7+INDEX(JuniorzyPozytyw[],MATCH($A69,Juniorstwo!$A$57:$A$76,0),MATCH($B$8,Juniorstwo!$A$56:$N$56,0))*G$8+INDEX(JuniorzyPozytyw[],MATCH($A69,Juniorstwo!$A$57:$A$76,0),MATCH($B$9,Juniorstwo!$A$56:$N$56,0))*G$9+INDEX(JuniorzyPozytyw[],MATCH($A69,Juniorstwo!$A$57:$A$76,0),MATCH($B$10,Juniorstwo!$A$56:$N$56,0))*G$10+INDEX(JuniorzyPozytyw[],MATCH($A69,Juniorstwo!$A$57:$A$76,0),MATCH($B$11,Juniorstwo!$A$56:$N$56,0))*G$11+INDEX(JuniorzyPozytyw[],MATCH($A69,Juniorstwo!$A$57:$A$76,0),MATCH($B$12,Juniorstwo!$A$56:$N$56,0))*G$12+INDEX(JuniorzyPozytyw[],MATCH($A69,Juniorstwo!$A$57:$A$76,0),MATCH($B$13,Juniorstwo!$A$56:$N$56,0))*G$13,"-")</f>
        <v>87</v>
      </c>
      <c r="H69" s="38">
        <f ca="1">IFERROR(INDEX(JuniorzyPozytyw[],MATCH($A69,Juniorstwo!$A$57:$A$76,0),MATCH($B$2,Juniorstwo!$A$56:$N$56,0))*H$2+INDEX(JuniorzyPozytyw[],MATCH($A69,Juniorstwo!$A$57:$A$76,0),MATCH($B$3,Juniorstwo!$A$56:$N$56,0))*H$3+INDEX(JuniorzyPozytyw[],MATCH($A69,Juniorstwo!$A$57:$A$76,0),MATCH($B$4,Juniorstwo!$A$56:$N$56,0))*H$4+INDEX(JuniorzyPozytyw[],MATCH($A69,Juniorstwo!$A$57:$A$76,0),MATCH($B$5,Juniorstwo!$A$56:$N$56,0))*H$5+INDEX(JuniorzyPozytyw[],MATCH($A69,Juniorstwo!$A$57:$A$76,0),MATCH($B$6,Juniorstwo!$A$56:$N$56,0))*H$6+INDEX(JuniorzyPozytyw[],MATCH($A69,Juniorstwo!$A$57:$A$76,0),MATCH($B$7,Juniorstwo!$A$56:$N$56,0))*H$7+INDEX(JuniorzyPozytyw[],MATCH($A69,Juniorstwo!$A$57:$A$76,0),MATCH($B$8,Juniorstwo!$A$56:$N$56,0))*H$8+INDEX(JuniorzyPozytyw[],MATCH($A69,Juniorstwo!$A$57:$A$76,0),MATCH($B$9,Juniorstwo!$A$56:$N$56,0))*H$9+INDEX(JuniorzyPozytyw[],MATCH($A69,Juniorstwo!$A$57:$A$76,0),MATCH($B$10,Juniorstwo!$A$56:$N$56,0))*H$10+INDEX(JuniorzyPozytyw[],MATCH($A69,Juniorstwo!$A$57:$A$76,0),MATCH($B$11,Juniorstwo!$A$56:$N$56,0))*H$11+INDEX(JuniorzyPozytyw[],MATCH($A69,Juniorstwo!$A$57:$A$76,0),MATCH($B$12,Juniorstwo!$A$56:$N$56,0))*H$12+INDEX(JuniorzyPozytyw[],MATCH($A69,Juniorstwo!$A$57:$A$76,0),MATCH($B$13,Juniorstwo!$A$56:$N$56,0))*H$13,"-")</f>
        <v>87</v>
      </c>
      <c r="I69" s="38">
        <f ca="1">IFERROR(INDEX(JuniorzyPozytyw[],MATCH($A69,Juniorstwo!$A$57:$A$76,0),MATCH($B$2,Juniorstwo!$A$56:$N$56,0))*I$2+INDEX(JuniorzyPozytyw[],MATCH($A69,Juniorstwo!$A$57:$A$76,0),MATCH($B$3,Juniorstwo!$A$56:$N$56,0))*I$3+INDEX(JuniorzyPozytyw[],MATCH($A69,Juniorstwo!$A$57:$A$76,0),MATCH($B$4,Juniorstwo!$A$56:$N$56,0))*I$4+INDEX(JuniorzyPozytyw[],MATCH($A69,Juniorstwo!$A$57:$A$76,0),MATCH($B$5,Juniorstwo!$A$56:$N$56,0))*I$5+INDEX(JuniorzyPozytyw[],MATCH($A69,Juniorstwo!$A$57:$A$76,0),MATCH($B$6,Juniorstwo!$A$56:$N$56,0))*I$6+INDEX(JuniorzyPozytyw[],MATCH($A69,Juniorstwo!$A$57:$A$76,0),MATCH($B$7,Juniorstwo!$A$56:$N$56,0))*I$7+INDEX(JuniorzyPozytyw[],MATCH($A69,Juniorstwo!$A$57:$A$76,0),MATCH($B$8,Juniorstwo!$A$56:$N$56,0))*I$8+INDEX(JuniorzyPozytyw[],MATCH($A69,Juniorstwo!$A$57:$A$76,0),MATCH($B$9,Juniorstwo!$A$56:$N$56,0))*I$9+INDEX(JuniorzyPozytyw[],MATCH($A69,Juniorstwo!$A$57:$A$76,0),MATCH($B$10,Juniorstwo!$A$56:$N$56,0))*I$10+INDEX(JuniorzyPozytyw[],MATCH($A69,Juniorstwo!$A$57:$A$76,0),MATCH($B$11,Juniorstwo!$A$56:$N$56,0))*I$11+INDEX(JuniorzyPozytyw[],MATCH($A69,Juniorstwo!$A$57:$A$76,0),MATCH($B$12,Juniorstwo!$A$56:$N$56,0))*I$12+INDEX(JuniorzyPozytyw[],MATCH($A69,Juniorstwo!$A$57:$A$76,0),MATCH($B$13,Juniorstwo!$A$56:$N$56,0))*I$13,"-")</f>
        <v>86</v>
      </c>
      <c r="J69" s="38">
        <f ca="1">IFERROR(INDEX(JuniorzyPozytyw[],MATCH($A69,Juniorstwo!$A$57:$A$76,0),MATCH($B$2,Juniorstwo!$A$56:$N$56,0))*J$2+INDEX(JuniorzyPozytyw[],MATCH($A69,Juniorstwo!$A$57:$A$76,0),MATCH($B$3,Juniorstwo!$A$56:$N$56,0))*J$3+INDEX(JuniorzyPozytyw[],MATCH($A69,Juniorstwo!$A$57:$A$76,0),MATCH($B$4,Juniorstwo!$A$56:$N$56,0))*J$4+INDEX(JuniorzyPozytyw[],MATCH($A69,Juniorstwo!$A$57:$A$76,0),MATCH($B$5,Juniorstwo!$A$56:$N$56,0))*J$5+INDEX(JuniorzyPozytyw[],MATCH($A69,Juniorstwo!$A$57:$A$76,0),MATCH($B$6,Juniorstwo!$A$56:$N$56,0))*J$6+INDEX(JuniorzyPozytyw[],MATCH($A69,Juniorstwo!$A$57:$A$76,0),MATCH($B$7,Juniorstwo!$A$56:$N$56,0))*J$7+INDEX(JuniorzyPozytyw[],MATCH($A69,Juniorstwo!$A$57:$A$76,0),MATCH($B$8,Juniorstwo!$A$56:$N$56,0))*J$8+INDEX(JuniorzyPozytyw[],MATCH($A69,Juniorstwo!$A$57:$A$76,0),MATCH($B$9,Juniorstwo!$A$56:$N$56,0))*J$9+INDEX(JuniorzyPozytyw[],MATCH($A69,Juniorstwo!$A$57:$A$76,0),MATCH($B$10,Juniorstwo!$A$56:$N$56,0))*J$10+INDEX(JuniorzyPozytyw[],MATCH($A69,Juniorstwo!$A$57:$A$76,0),MATCH($B$11,Juniorstwo!$A$56:$N$56,0))*J$11+INDEX(JuniorzyPozytyw[],MATCH($A69,Juniorstwo!$A$57:$A$76,0),MATCH($B$12,Juniorstwo!$A$56:$N$56,0))*J$12+INDEX(JuniorzyPozytyw[],MATCH($A69,Juniorstwo!$A$57:$A$76,0),MATCH($B$13,Juniorstwo!$A$56:$N$56,0))*J$13,"-")</f>
        <v>84.5</v>
      </c>
      <c r="K69" s="38">
        <f ca="1">IFERROR(INDEX(JuniorzyPozytyw[],MATCH($A69,Juniorstwo!$A$57:$A$76,0),MATCH($B$2,Juniorstwo!$A$56:$N$56,0))*K$2+INDEX(JuniorzyPozytyw[],MATCH($A69,Juniorstwo!$A$57:$A$76,0),MATCH($B$3,Juniorstwo!$A$56:$N$56,0))*K$3+INDEX(JuniorzyPozytyw[],MATCH($A69,Juniorstwo!$A$57:$A$76,0),MATCH($B$4,Juniorstwo!$A$56:$N$56,0))*K$4+INDEX(JuniorzyPozytyw[],MATCH($A69,Juniorstwo!$A$57:$A$76,0),MATCH($B$5,Juniorstwo!$A$56:$N$56,0))*K$5+INDEX(JuniorzyPozytyw[],MATCH($A69,Juniorstwo!$A$57:$A$76,0),MATCH($B$6,Juniorstwo!$A$56:$N$56,0))*K$6+INDEX(JuniorzyPozytyw[],MATCH($A69,Juniorstwo!$A$57:$A$76,0),MATCH($B$7,Juniorstwo!$A$56:$N$56,0))*K$7+INDEX(JuniorzyPozytyw[],MATCH($A69,Juniorstwo!$A$57:$A$76,0),MATCH($B$8,Juniorstwo!$A$56:$N$56,0))*K$8+INDEX(JuniorzyPozytyw[],MATCH($A69,Juniorstwo!$A$57:$A$76,0),MATCH($B$9,Juniorstwo!$A$56:$N$56,0))*K$9+INDEX(JuniorzyPozytyw[],MATCH($A69,Juniorstwo!$A$57:$A$76,0),MATCH($B$10,Juniorstwo!$A$56:$N$56,0))*K$10+INDEX(JuniorzyPozytyw[],MATCH($A69,Juniorstwo!$A$57:$A$76,0),MATCH($B$11,Juniorstwo!$A$56:$N$56,0))*K$11+INDEX(JuniorzyPozytyw[],MATCH($A69,Juniorstwo!$A$57:$A$76,0),MATCH($B$12,Juniorstwo!$A$56:$N$56,0))*K$12+INDEX(JuniorzyPozytyw[],MATCH($A69,Juniorstwo!$A$57:$A$76,0),MATCH($B$13,Juniorstwo!$A$56:$N$56,0))*K$13,"-")</f>
        <v>83.5</v>
      </c>
    </row>
    <row r="70" spans="1:11" x14ac:dyDescent="0.25">
      <c r="A70">
        <f>IFERROR(PozJunPŚr[[#This Row],[Numer]],"-")</f>
        <v>40</v>
      </c>
      <c r="B70" s="3" t="str">
        <f>IFERROR(VLOOKUP(PozJunPMM[[#This Row],[Numer]],Zawodnicy[[Number]:[Player name]],2,FALSE),"-")</f>
        <v>Benedykt Adamus</v>
      </c>
      <c r="C70" s="38">
        <f ca="1">IFERROR(INDEX(JuniorzyPozytyw[],MATCH($A70,Juniorstwo!$A$57:$A$76,0),MATCH($B$2,Juniorstwo!$A$56:$N$56,0))*C$2+INDEX(JuniorzyPozytyw[],MATCH($A70,Juniorstwo!$A$57:$A$76,0),MATCH($B$3,Juniorstwo!$A$56:$N$56,0))*C$3+INDEX(JuniorzyPozytyw[],MATCH($A70,Juniorstwo!$A$57:$A$76,0),MATCH($B$4,Juniorstwo!$A$56:$N$56,0))*C$4+INDEX(JuniorzyPozytyw[],MATCH($A70,Juniorstwo!$A$57:$A$76,0),MATCH($B$5,Juniorstwo!$A$56:$N$56,0))*C$5+INDEX(JuniorzyPozytyw[],MATCH($A70,Juniorstwo!$A$57:$A$76,0),MATCH($B$6,Juniorstwo!$A$56:$N$56,0))*C$6+INDEX(JuniorzyPozytyw[],MATCH($A70,Juniorstwo!$A$57:$A$76,0),MATCH($B$7,Juniorstwo!$A$56:$N$56,0))*C$7+INDEX(JuniorzyPozytyw[],MATCH($A70,Juniorstwo!$A$57:$A$76,0),MATCH($B$8,Juniorstwo!$A$56:$N$56,0))*C$8+INDEX(JuniorzyPozytyw[],MATCH($A70,Juniorstwo!$A$57:$A$76,0),MATCH($B$9,Juniorstwo!$A$56:$N$56,0))*C$9+INDEX(JuniorzyPozytyw[],MATCH($A70,Juniorstwo!$A$57:$A$76,0),MATCH($B$10,Juniorstwo!$A$56:$N$56,0))*C$10+INDEX(JuniorzyPozytyw[],MATCH($A70,Juniorstwo!$A$57:$A$76,0),MATCH($B$11,Juniorstwo!$A$56:$N$56,0))*C$11+INDEX(JuniorzyPozytyw[],MATCH($A70,Juniorstwo!$A$57:$A$76,0),MATCH($B$12,Juniorstwo!$A$56:$N$56,0))*C$12+INDEX(JuniorzyPozytyw[],MATCH($A70,Juniorstwo!$A$57:$A$76,0),MATCH($B$13,Juniorstwo!$A$56:$N$56,0))*C$13,"-")</f>
        <v>83</v>
      </c>
      <c r="D70" s="38">
        <f ca="1">IFERROR(INDEX(JuniorzyPozytyw[],MATCH($A70,Juniorstwo!$A$57:$A$76,0),MATCH($B$2,Juniorstwo!$A$56:$N$56,0))*D$2+INDEX(JuniorzyPozytyw[],MATCH($A70,Juniorstwo!$A$57:$A$76,0),MATCH($B$3,Juniorstwo!$A$56:$N$56,0))*D$3+INDEX(JuniorzyPozytyw[],MATCH($A70,Juniorstwo!$A$57:$A$76,0),MATCH($B$4,Juniorstwo!$A$56:$N$56,0))*D$4+INDEX(JuniorzyPozytyw[],MATCH($A70,Juniorstwo!$A$57:$A$76,0),MATCH($B$5,Juniorstwo!$A$56:$N$56,0))*D$5+INDEX(JuniorzyPozytyw[],MATCH($A70,Juniorstwo!$A$57:$A$76,0),MATCH($B$6,Juniorstwo!$A$56:$N$56,0))*D$6+INDEX(JuniorzyPozytyw[],MATCH($A70,Juniorstwo!$A$57:$A$76,0),MATCH($B$7,Juniorstwo!$A$56:$N$56,0))*D$7+INDEX(JuniorzyPozytyw[],MATCH($A70,Juniorstwo!$A$57:$A$76,0),MATCH($B$8,Juniorstwo!$A$56:$N$56,0))*D$8+INDEX(JuniorzyPozytyw[],MATCH($A70,Juniorstwo!$A$57:$A$76,0),MATCH($B$9,Juniorstwo!$A$56:$N$56,0))*D$9+INDEX(JuniorzyPozytyw[],MATCH($A70,Juniorstwo!$A$57:$A$76,0),MATCH($B$10,Juniorstwo!$A$56:$N$56,0))*D$10+INDEX(JuniorzyPozytyw[],MATCH($A70,Juniorstwo!$A$57:$A$76,0),MATCH($B$11,Juniorstwo!$A$56:$N$56,0))*D$11+INDEX(JuniorzyPozytyw[],MATCH($A70,Juniorstwo!$A$57:$A$76,0),MATCH($B$12,Juniorstwo!$A$56:$N$56,0))*D$12+INDEX(JuniorzyPozytyw[],MATCH($A70,Juniorstwo!$A$57:$A$76,0),MATCH($B$13,Juniorstwo!$A$56:$N$56,0))*D$13,"-")</f>
        <v>82</v>
      </c>
      <c r="E70" s="38">
        <f ca="1">IFERROR(INDEX(JuniorzyPozytyw[],MATCH($A70,Juniorstwo!$A$57:$A$76,0),MATCH($B$2,Juniorstwo!$A$56:$N$56,0))*E$2+INDEX(JuniorzyPozytyw[],MATCH($A70,Juniorstwo!$A$57:$A$76,0),MATCH($B$3,Juniorstwo!$A$56:$N$56,0))*E$3+INDEX(JuniorzyPozytyw[],MATCH($A70,Juniorstwo!$A$57:$A$76,0),MATCH($B$4,Juniorstwo!$A$56:$N$56,0))*E$4+INDEX(JuniorzyPozytyw[],MATCH($A70,Juniorstwo!$A$57:$A$76,0),MATCH($B$5,Juniorstwo!$A$56:$N$56,0))*E$5+INDEX(JuniorzyPozytyw[],MATCH($A70,Juniorstwo!$A$57:$A$76,0),MATCH($B$6,Juniorstwo!$A$56:$N$56,0))*E$6+INDEX(JuniorzyPozytyw[],MATCH($A70,Juniorstwo!$A$57:$A$76,0),MATCH($B$7,Juniorstwo!$A$56:$N$56,0))*E$7+INDEX(JuniorzyPozytyw[],MATCH($A70,Juniorstwo!$A$57:$A$76,0),MATCH($B$8,Juniorstwo!$A$56:$N$56,0))*E$8+INDEX(JuniorzyPozytyw[],MATCH($A70,Juniorstwo!$A$57:$A$76,0),MATCH($B$9,Juniorstwo!$A$56:$N$56,0))*E$9+INDEX(JuniorzyPozytyw[],MATCH($A70,Juniorstwo!$A$57:$A$76,0),MATCH($B$10,Juniorstwo!$A$56:$N$56,0))*E$10+INDEX(JuniorzyPozytyw[],MATCH($A70,Juniorstwo!$A$57:$A$76,0),MATCH($B$11,Juniorstwo!$A$56:$N$56,0))*E$11+INDEX(JuniorzyPozytyw[],MATCH($A70,Juniorstwo!$A$57:$A$76,0),MATCH($B$12,Juniorstwo!$A$56:$N$56,0))*E$12+INDEX(JuniorzyPozytyw[],MATCH($A70,Juniorstwo!$A$57:$A$76,0),MATCH($B$13,Juniorstwo!$A$56:$N$56,0))*E$13,"-")</f>
        <v>83</v>
      </c>
      <c r="F70" s="38">
        <f ca="1">IFERROR(INDEX(JuniorzyPozytyw[],MATCH($A70,Juniorstwo!$A$57:$A$76,0),MATCH($B$2,Juniorstwo!$A$56:$N$56,0))*F$2+INDEX(JuniorzyPozytyw[],MATCH($A70,Juniorstwo!$A$57:$A$76,0),MATCH($B$3,Juniorstwo!$A$56:$N$56,0))*F$3+INDEX(JuniorzyPozytyw[],MATCH($A70,Juniorstwo!$A$57:$A$76,0),MATCH($B$4,Juniorstwo!$A$56:$N$56,0))*F$4+INDEX(JuniorzyPozytyw[],MATCH($A70,Juniorstwo!$A$57:$A$76,0),MATCH($B$5,Juniorstwo!$A$56:$N$56,0))*F$5+INDEX(JuniorzyPozytyw[],MATCH($A70,Juniorstwo!$A$57:$A$76,0),MATCH($B$6,Juniorstwo!$A$56:$N$56,0))*F$6+INDEX(JuniorzyPozytyw[],MATCH($A70,Juniorstwo!$A$57:$A$76,0),MATCH($B$7,Juniorstwo!$A$56:$N$56,0))*F$7+INDEX(JuniorzyPozytyw[],MATCH($A70,Juniorstwo!$A$57:$A$76,0),MATCH($B$8,Juniorstwo!$A$56:$N$56,0))*F$8+INDEX(JuniorzyPozytyw[],MATCH($A70,Juniorstwo!$A$57:$A$76,0),MATCH($B$9,Juniorstwo!$A$56:$N$56,0))*F$9+INDEX(JuniorzyPozytyw[],MATCH($A70,Juniorstwo!$A$57:$A$76,0),MATCH($B$10,Juniorstwo!$A$56:$N$56,0))*F$10+INDEX(JuniorzyPozytyw[],MATCH($A70,Juniorstwo!$A$57:$A$76,0),MATCH($B$11,Juniorstwo!$A$56:$N$56,0))*F$11+INDEX(JuniorzyPozytyw[],MATCH($A70,Juniorstwo!$A$57:$A$76,0),MATCH($B$12,Juniorstwo!$A$56:$N$56,0))*F$12+INDEX(JuniorzyPozytyw[],MATCH($A70,Juniorstwo!$A$57:$A$76,0),MATCH($B$13,Juniorstwo!$A$56:$N$56,0))*F$13,"-")</f>
        <v>88</v>
      </c>
      <c r="G70" s="38">
        <f ca="1">IFERROR(INDEX(JuniorzyPozytyw[],MATCH($A70,Juniorstwo!$A$57:$A$76,0),MATCH($B$2,Juniorstwo!$A$56:$N$56,0))*G$2+INDEX(JuniorzyPozytyw[],MATCH($A70,Juniorstwo!$A$57:$A$76,0),MATCH($B$3,Juniorstwo!$A$56:$N$56,0))*G$3+INDEX(JuniorzyPozytyw[],MATCH($A70,Juniorstwo!$A$57:$A$76,0),MATCH($B$4,Juniorstwo!$A$56:$N$56,0))*G$4+INDEX(JuniorzyPozytyw[],MATCH($A70,Juniorstwo!$A$57:$A$76,0),MATCH($B$5,Juniorstwo!$A$56:$N$56,0))*G$5+INDEX(JuniorzyPozytyw[],MATCH($A70,Juniorstwo!$A$57:$A$76,0),MATCH($B$6,Juniorstwo!$A$56:$N$56,0))*G$6+INDEX(JuniorzyPozytyw[],MATCH($A70,Juniorstwo!$A$57:$A$76,0),MATCH($B$7,Juniorstwo!$A$56:$N$56,0))*G$7+INDEX(JuniorzyPozytyw[],MATCH($A70,Juniorstwo!$A$57:$A$76,0),MATCH($B$8,Juniorstwo!$A$56:$N$56,0))*G$8+INDEX(JuniorzyPozytyw[],MATCH($A70,Juniorstwo!$A$57:$A$76,0),MATCH($B$9,Juniorstwo!$A$56:$N$56,0))*G$9+INDEX(JuniorzyPozytyw[],MATCH($A70,Juniorstwo!$A$57:$A$76,0),MATCH($B$10,Juniorstwo!$A$56:$N$56,0))*G$10+INDEX(JuniorzyPozytyw[],MATCH($A70,Juniorstwo!$A$57:$A$76,0),MATCH($B$11,Juniorstwo!$A$56:$N$56,0))*G$11+INDEX(JuniorzyPozytyw[],MATCH($A70,Juniorstwo!$A$57:$A$76,0),MATCH($B$12,Juniorstwo!$A$56:$N$56,0))*G$12+INDEX(JuniorzyPozytyw[],MATCH($A70,Juniorstwo!$A$57:$A$76,0),MATCH($B$13,Juniorstwo!$A$56:$N$56,0))*G$13,"-")</f>
        <v>88.5</v>
      </c>
      <c r="H70" s="38">
        <f ca="1">IFERROR(INDEX(JuniorzyPozytyw[],MATCH($A70,Juniorstwo!$A$57:$A$76,0),MATCH($B$2,Juniorstwo!$A$56:$N$56,0))*H$2+INDEX(JuniorzyPozytyw[],MATCH($A70,Juniorstwo!$A$57:$A$76,0),MATCH($B$3,Juniorstwo!$A$56:$N$56,0))*H$3+INDEX(JuniorzyPozytyw[],MATCH($A70,Juniorstwo!$A$57:$A$76,0),MATCH($B$4,Juniorstwo!$A$56:$N$56,0))*H$4+INDEX(JuniorzyPozytyw[],MATCH($A70,Juniorstwo!$A$57:$A$76,0),MATCH($B$5,Juniorstwo!$A$56:$N$56,0))*H$5+INDEX(JuniorzyPozytyw[],MATCH($A70,Juniorstwo!$A$57:$A$76,0),MATCH($B$6,Juniorstwo!$A$56:$N$56,0))*H$6+INDEX(JuniorzyPozytyw[],MATCH($A70,Juniorstwo!$A$57:$A$76,0),MATCH($B$7,Juniorstwo!$A$56:$N$56,0))*H$7+INDEX(JuniorzyPozytyw[],MATCH($A70,Juniorstwo!$A$57:$A$76,0),MATCH($B$8,Juniorstwo!$A$56:$N$56,0))*H$8+INDEX(JuniorzyPozytyw[],MATCH($A70,Juniorstwo!$A$57:$A$76,0),MATCH($B$9,Juniorstwo!$A$56:$N$56,0))*H$9+INDEX(JuniorzyPozytyw[],MATCH($A70,Juniorstwo!$A$57:$A$76,0),MATCH($B$10,Juniorstwo!$A$56:$N$56,0))*H$10+INDEX(JuniorzyPozytyw[],MATCH($A70,Juniorstwo!$A$57:$A$76,0),MATCH($B$11,Juniorstwo!$A$56:$N$56,0))*H$11+INDEX(JuniorzyPozytyw[],MATCH($A70,Juniorstwo!$A$57:$A$76,0),MATCH($B$12,Juniorstwo!$A$56:$N$56,0))*H$12+INDEX(JuniorzyPozytyw[],MATCH($A70,Juniorstwo!$A$57:$A$76,0),MATCH($B$13,Juniorstwo!$A$56:$N$56,0))*H$13,"-")</f>
        <v>89.5</v>
      </c>
      <c r="I70" s="38">
        <f ca="1">IFERROR(INDEX(JuniorzyPozytyw[],MATCH($A70,Juniorstwo!$A$57:$A$76,0),MATCH($B$2,Juniorstwo!$A$56:$N$56,0))*I$2+INDEX(JuniorzyPozytyw[],MATCH($A70,Juniorstwo!$A$57:$A$76,0),MATCH($B$3,Juniorstwo!$A$56:$N$56,0))*I$3+INDEX(JuniorzyPozytyw[],MATCH($A70,Juniorstwo!$A$57:$A$76,0),MATCH($B$4,Juniorstwo!$A$56:$N$56,0))*I$4+INDEX(JuniorzyPozytyw[],MATCH($A70,Juniorstwo!$A$57:$A$76,0),MATCH($B$5,Juniorstwo!$A$56:$N$56,0))*I$5+INDEX(JuniorzyPozytyw[],MATCH($A70,Juniorstwo!$A$57:$A$76,0),MATCH($B$6,Juniorstwo!$A$56:$N$56,0))*I$6+INDEX(JuniorzyPozytyw[],MATCH($A70,Juniorstwo!$A$57:$A$76,0),MATCH($B$7,Juniorstwo!$A$56:$N$56,0))*I$7+INDEX(JuniorzyPozytyw[],MATCH($A70,Juniorstwo!$A$57:$A$76,0),MATCH($B$8,Juniorstwo!$A$56:$N$56,0))*I$8+INDEX(JuniorzyPozytyw[],MATCH($A70,Juniorstwo!$A$57:$A$76,0),MATCH($B$9,Juniorstwo!$A$56:$N$56,0))*I$9+INDEX(JuniorzyPozytyw[],MATCH($A70,Juniorstwo!$A$57:$A$76,0),MATCH($B$10,Juniorstwo!$A$56:$N$56,0))*I$10+INDEX(JuniorzyPozytyw[],MATCH($A70,Juniorstwo!$A$57:$A$76,0),MATCH($B$11,Juniorstwo!$A$56:$N$56,0))*I$11+INDEX(JuniorzyPozytyw[],MATCH($A70,Juniorstwo!$A$57:$A$76,0),MATCH($B$12,Juniorstwo!$A$56:$N$56,0))*I$12+INDEX(JuniorzyPozytyw[],MATCH($A70,Juniorstwo!$A$57:$A$76,0),MATCH($B$13,Juniorstwo!$A$56:$N$56,0))*I$13,"-")</f>
        <v>92</v>
      </c>
      <c r="J70" s="38">
        <f ca="1">IFERROR(INDEX(JuniorzyPozytyw[],MATCH($A70,Juniorstwo!$A$57:$A$76,0),MATCH($B$2,Juniorstwo!$A$56:$N$56,0))*J$2+INDEX(JuniorzyPozytyw[],MATCH($A70,Juniorstwo!$A$57:$A$76,0),MATCH($B$3,Juniorstwo!$A$56:$N$56,0))*J$3+INDEX(JuniorzyPozytyw[],MATCH($A70,Juniorstwo!$A$57:$A$76,0),MATCH($B$4,Juniorstwo!$A$56:$N$56,0))*J$4+INDEX(JuniorzyPozytyw[],MATCH($A70,Juniorstwo!$A$57:$A$76,0),MATCH($B$5,Juniorstwo!$A$56:$N$56,0))*J$5+INDEX(JuniorzyPozytyw[],MATCH($A70,Juniorstwo!$A$57:$A$76,0),MATCH($B$6,Juniorstwo!$A$56:$N$56,0))*J$6+INDEX(JuniorzyPozytyw[],MATCH($A70,Juniorstwo!$A$57:$A$76,0),MATCH($B$7,Juniorstwo!$A$56:$N$56,0))*J$7+INDEX(JuniorzyPozytyw[],MATCH($A70,Juniorstwo!$A$57:$A$76,0),MATCH($B$8,Juniorstwo!$A$56:$N$56,0))*J$8+INDEX(JuniorzyPozytyw[],MATCH($A70,Juniorstwo!$A$57:$A$76,0),MATCH($B$9,Juniorstwo!$A$56:$N$56,0))*J$9+INDEX(JuniorzyPozytyw[],MATCH($A70,Juniorstwo!$A$57:$A$76,0),MATCH($B$10,Juniorstwo!$A$56:$N$56,0))*J$10+INDEX(JuniorzyPozytyw[],MATCH($A70,Juniorstwo!$A$57:$A$76,0),MATCH($B$11,Juniorstwo!$A$56:$N$56,0))*J$11+INDEX(JuniorzyPozytyw[],MATCH($A70,Juniorstwo!$A$57:$A$76,0),MATCH($B$12,Juniorstwo!$A$56:$N$56,0))*J$12+INDEX(JuniorzyPozytyw[],MATCH($A70,Juniorstwo!$A$57:$A$76,0),MATCH($B$13,Juniorstwo!$A$56:$N$56,0))*J$13,"-")</f>
        <v>88.5</v>
      </c>
      <c r="K70" s="38">
        <f ca="1">IFERROR(INDEX(JuniorzyPozytyw[],MATCH($A70,Juniorstwo!$A$57:$A$76,0),MATCH($B$2,Juniorstwo!$A$56:$N$56,0))*K$2+INDEX(JuniorzyPozytyw[],MATCH($A70,Juniorstwo!$A$57:$A$76,0),MATCH($B$3,Juniorstwo!$A$56:$N$56,0))*K$3+INDEX(JuniorzyPozytyw[],MATCH($A70,Juniorstwo!$A$57:$A$76,0),MATCH($B$4,Juniorstwo!$A$56:$N$56,0))*K$4+INDEX(JuniorzyPozytyw[],MATCH($A70,Juniorstwo!$A$57:$A$76,0),MATCH($B$5,Juniorstwo!$A$56:$N$56,0))*K$5+INDEX(JuniorzyPozytyw[],MATCH($A70,Juniorstwo!$A$57:$A$76,0),MATCH($B$6,Juniorstwo!$A$56:$N$56,0))*K$6+INDEX(JuniorzyPozytyw[],MATCH($A70,Juniorstwo!$A$57:$A$76,0),MATCH($B$7,Juniorstwo!$A$56:$N$56,0))*K$7+INDEX(JuniorzyPozytyw[],MATCH($A70,Juniorstwo!$A$57:$A$76,0),MATCH($B$8,Juniorstwo!$A$56:$N$56,0))*K$8+INDEX(JuniorzyPozytyw[],MATCH($A70,Juniorstwo!$A$57:$A$76,0),MATCH($B$9,Juniorstwo!$A$56:$N$56,0))*K$9+INDEX(JuniorzyPozytyw[],MATCH($A70,Juniorstwo!$A$57:$A$76,0),MATCH($B$10,Juniorstwo!$A$56:$N$56,0))*K$10+INDEX(JuniorzyPozytyw[],MATCH($A70,Juniorstwo!$A$57:$A$76,0),MATCH($B$11,Juniorstwo!$A$56:$N$56,0))*K$11+INDEX(JuniorzyPozytyw[],MATCH($A70,Juniorstwo!$A$57:$A$76,0),MATCH($B$12,Juniorstwo!$A$56:$N$56,0))*K$12+INDEX(JuniorzyPozytyw[],MATCH($A70,Juniorstwo!$A$57:$A$76,0),MATCH($B$13,Juniorstwo!$A$56:$N$56,0))*K$13,"-")</f>
        <v>88.5</v>
      </c>
    </row>
    <row r="71" spans="1:11" x14ac:dyDescent="0.25">
      <c r="A71">
        <f>IFERROR(PozJunPŚr[[#This Row],[Numer]],"-")</f>
        <v>42</v>
      </c>
      <c r="B71" s="3" t="str">
        <f>IFERROR(VLOOKUP(PozJunPMM[[#This Row],[Numer]],Zawodnicy[[Number]:[Player name]],2,FALSE),"-")</f>
        <v>Olaf Skikiewicz</v>
      </c>
      <c r="C71" s="38">
        <f ca="1">IFERROR(INDEX(JuniorzyPozytyw[],MATCH($A71,Juniorstwo!$A$57:$A$76,0),MATCH($B$2,Juniorstwo!$A$56:$N$56,0))*C$2+INDEX(JuniorzyPozytyw[],MATCH($A71,Juniorstwo!$A$57:$A$76,0),MATCH($B$3,Juniorstwo!$A$56:$N$56,0))*C$3+INDEX(JuniorzyPozytyw[],MATCH($A71,Juniorstwo!$A$57:$A$76,0),MATCH($B$4,Juniorstwo!$A$56:$N$56,0))*C$4+INDEX(JuniorzyPozytyw[],MATCH($A71,Juniorstwo!$A$57:$A$76,0),MATCH($B$5,Juniorstwo!$A$56:$N$56,0))*C$5+INDEX(JuniorzyPozytyw[],MATCH($A71,Juniorstwo!$A$57:$A$76,0),MATCH($B$6,Juniorstwo!$A$56:$N$56,0))*C$6+INDEX(JuniorzyPozytyw[],MATCH($A71,Juniorstwo!$A$57:$A$76,0),MATCH($B$7,Juniorstwo!$A$56:$N$56,0))*C$7+INDEX(JuniorzyPozytyw[],MATCH($A71,Juniorstwo!$A$57:$A$76,0),MATCH($B$8,Juniorstwo!$A$56:$N$56,0))*C$8+INDEX(JuniorzyPozytyw[],MATCH($A71,Juniorstwo!$A$57:$A$76,0),MATCH($B$9,Juniorstwo!$A$56:$N$56,0))*C$9+INDEX(JuniorzyPozytyw[],MATCH($A71,Juniorstwo!$A$57:$A$76,0),MATCH($B$10,Juniorstwo!$A$56:$N$56,0))*C$10+INDEX(JuniorzyPozytyw[],MATCH($A71,Juniorstwo!$A$57:$A$76,0),MATCH($B$11,Juniorstwo!$A$56:$N$56,0))*C$11+INDEX(JuniorzyPozytyw[],MATCH($A71,Juniorstwo!$A$57:$A$76,0),MATCH($B$12,Juniorstwo!$A$56:$N$56,0))*C$12+INDEX(JuniorzyPozytyw[],MATCH($A71,Juniorstwo!$A$57:$A$76,0),MATCH($B$13,Juniorstwo!$A$56:$N$56,0))*C$13,"-")</f>
        <v>74</v>
      </c>
      <c r="D71" s="38">
        <f ca="1">IFERROR(INDEX(JuniorzyPozytyw[],MATCH($A71,Juniorstwo!$A$57:$A$76,0),MATCH($B$2,Juniorstwo!$A$56:$N$56,0))*D$2+INDEX(JuniorzyPozytyw[],MATCH($A71,Juniorstwo!$A$57:$A$76,0),MATCH($B$3,Juniorstwo!$A$56:$N$56,0))*D$3+INDEX(JuniorzyPozytyw[],MATCH($A71,Juniorstwo!$A$57:$A$76,0),MATCH($B$4,Juniorstwo!$A$56:$N$56,0))*D$4+INDEX(JuniorzyPozytyw[],MATCH($A71,Juniorstwo!$A$57:$A$76,0),MATCH($B$5,Juniorstwo!$A$56:$N$56,0))*D$5+INDEX(JuniorzyPozytyw[],MATCH($A71,Juniorstwo!$A$57:$A$76,0),MATCH($B$6,Juniorstwo!$A$56:$N$56,0))*D$6+INDEX(JuniorzyPozytyw[],MATCH($A71,Juniorstwo!$A$57:$A$76,0),MATCH($B$7,Juniorstwo!$A$56:$N$56,0))*D$7+INDEX(JuniorzyPozytyw[],MATCH($A71,Juniorstwo!$A$57:$A$76,0),MATCH($B$8,Juniorstwo!$A$56:$N$56,0))*D$8+INDEX(JuniorzyPozytyw[],MATCH($A71,Juniorstwo!$A$57:$A$76,0),MATCH($B$9,Juniorstwo!$A$56:$N$56,0))*D$9+INDEX(JuniorzyPozytyw[],MATCH($A71,Juniorstwo!$A$57:$A$76,0),MATCH($B$10,Juniorstwo!$A$56:$N$56,0))*D$10+INDEX(JuniorzyPozytyw[],MATCH($A71,Juniorstwo!$A$57:$A$76,0),MATCH($B$11,Juniorstwo!$A$56:$N$56,0))*D$11+INDEX(JuniorzyPozytyw[],MATCH($A71,Juniorstwo!$A$57:$A$76,0),MATCH($B$12,Juniorstwo!$A$56:$N$56,0))*D$12+INDEX(JuniorzyPozytyw[],MATCH($A71,Juniorstwo!$A$57:$A$76,0),MATCH($B$13,Juniorstwo!$A$56:$N$56,0))*D$13,"-")</f>
        <v>78</v>
      </c>
      <c r="E71" s="38">
        <f ca="1">IFERROR(INDEX(JuniorzyPozytyw[],MATCH($A71,Juniorstwo!$A$57:$A$76,0),MATCH($B$2,Juniorstwo!$A$56:$N$56,0))*E$2+INDEX(JuniorzyPozytyw[],MATCH($A71,Juniorstwo!$A$57:$A$76,0),MATCH($B$3,Juniorstwo!$A$56:$N$56,0))*E$3+INDEX(JuniorzyPozytyw[],MATCH($A71,Juniorstwo!$A$57:$A$76,0),MATCH($B$4,Juniorstwo!$A$56:$N$56,0))*E$4+INDEX(JuniorzyPozytyw[],MATCH($A71,Juniorstwo!$A$57:$A$76,0),MATCH($B$5,Juniorstwo!$A$56:$N$56,0))*E$5+INDEX(JuniorzyPozytyw[],MATCH($A71,Juniorstwo!$A$57:$A$76,0),MATCH($B$6,Juniorstwo!$A$56:$N$56,0))*E$6+INDEX(JuniorzyPozytyw[],MATCH($A71,Juniorstwo!$A$57:$A$76,0),MATCH($B$7,Juniorstwo!$A$56:$N$56,0))*E$7+INDEX(JuniorzyPozytyw[],MATCH($A71,Juniorstwo!$A$57:$A$76,0),MATCH($B$8,Juniorstwo!$A$56:$N$56,0))*E$8+INDEX(JuniorzyPozytyw[],MATCH($A71,Juniorstwo!$A$57:$A$76,0),MATCH($B$9,Juniorstwo!$A$56:$N$56,0))*E$9+INDEX(JuniorzyPozytyw[],MATCH($A71,Juniorstwo!$A$57:$A$76,0),MATCH($B$10,Juniorstwo!$A$56:$N$56,0))*E$10+INDEX(JuniorzyPozytyw[],MATCH($A71,Juniorstwo!$A$57:$A$76,0),MATCH($B$11,Juniorstwo!$A$56:$N$56,0))*E$11+INDEX(JuniorzyPozytyw[],MATCH($A71,Juniorstwo!$A$57:$A$76,0),MATCH($B$12,Juniorstwo!$A$56:$N$56,0))*E$12+INDEX(JuniorzyPozytyw[],MATCH($A71,Juniorstwo!$A$57:$A$76,0),MATCH($B$13,Juniorstwo!$A$56:$N$56,0))*E$13,"-")</f>
        <v>80</v>
      </c>
      <c r="F71" s="38">
        <f ca="1">IFERROR(INDEX(JuniorzyPozytyw[],MATCH($A71,Juniorstwo!$A$57:$A$76,0),MATCH($B$2,Juniorstwo!$A$56:$N$56,0))*F$2+INDEX(JuniorzyPozytyw[],MATCH($A71,Juniorstwo!$A$57:$A$76,0),MATCH($B$3,Juniorstwo!$A$56:$N$56,0))*F$3+INDEX(JuniorzyPozytyw[],MATCH($A71,Juniorstwo!$A$57:$A$76,0),MATCH($B$4,Juniorstwo!$A$56:$N$56,0))*F$4+INDEX(JuniorzyPozytyw[],MATCH($A71,Juniorstwo!$A$57:$A$76,0),MATCH($B$5,Juniorstwo!$A$56:$N$56,0))*F$5+INDEX(JuniorzyPozytyw[],MATCH($A71,Juniorstwo!$A$57:$A$76,0),MATCH($B$6,Juniorstwo!$A$56:$N$56,0))*F$6+INDEX(JuniorzyPozytyw[],MATCH($A71,Juniorstwo!$A$57:$A$76,0),MATCH($B$7,Juniorstwo!$A$56:$N$56,0))*F$7+INDEX(JuniorzyPozytyw[],MATCH($A71,Juniorstwo!$A$57:$A$76,0),MATCH($B$8,Juniorstwo!$A$56:$N$56,0))*F$8+INDEX(JuniorzyPozytyw[],MATCH($A71,Juniorstwo!$A$57:$A$76,0),MATCH($B$9,Juniorstwo!$A$56:$N$56,0))*F$9+INDEX(JuniorzyPozytyw[],MATCH($A71,Juniorstwo!$A$57:$A$76,0),MATCH($B$10,Juniorstwo!$A$56:$N$56,0))*F$10+INDEX(JuniorzyPozytyw[],MATCH($A71,Juniorstwo!$A$57:$A$76,0),MATCH($B$11,Juniorstwo!$A$56:$N$56,0))*F$11+INDEX(JuniorzyPozytyw[],MATCH($A71,Juniorstwo!$A$57:$A$76,0),MATCH($B$12,Juniorstwo!$A$56:$N$56,0))*F$12+INDEX(JuniorzyPozytyw[],MATCH($A71,Juniorstwo!$A$57:$A$76,0),MATCH($B$13,Juniorstwo!$A$56:$N$56,0))*F$13,"-")</f>
        <v>79.5</v>
      </c>
      <c r="G71" s="38">
        <f ca="1">IFERROR(INDEX(JuniorzyPozytyw[],MATCH($A71,Juniorstwo!$A$57:$A$76,0),MATCH($B$2,Juniorstwo!$A$56:$N$56,0))*G$2+INDEX(JuniorzyPozytyw[],MATCH($A71,Juniorstwo!$A$57:$A$76,0),MATCH($B$3,Juniorstwo!$A$56:$N$56,0))*G$3+INDEX(JuniorzyPozytyw[],MATCH($A71,Juniorstwo!$A$57:$A$76,0),MATCH($B$4,Juniorstwo!$A$56:$N$56,0))*G$4+INDEX(JuniorzyPozytyw[],MATCH($A71,Juniorstwo!$A$57:$A$76,0),MATCH($B$5,Juniorstwo!$A$56:$N$56,0))*G$5+INDEX(JuniorzyPozytyw[],MATCH($A71,Juniorstwo!$A$57:$A$76,0),MATCH($B$6,Juniorstwo!$A$56:$N$56,0))*G$6+INDEX(JuniorzyPozytyw[],MATCH($A71,Juniorstwo!$A$57:$A$76,0),MATCH($B$7,Juniorstwo!$A$56:$N$56,0))*G$7+INDEX(JuniorzyPozytyw[],MATCH($A71,Juniorstwo!$A$57:$A$76,0),MATCH($B$8,Juniorstwo!$A$56:$N$56,0))*G$8+INDEX(JuniorzyPozytyw[],MATCH($A71,Juniorstwo!$A$57:$A$76,0),MATCH($B$9,Juniorstwo!$A$56:$N$56,0))*G$9+INDEX(JuniorzyPozytyw[],MATCH($A71,Juniorstwo!$A$57:$A$76,0),MATCH($B$10,Juniorstwo!$A$56:$N$56,0))*G$10+INDEX(JuniorzyPozytyw[],MATCH($A71,Juniorstwo!$A$57:$A$76,0),MATCH($B$11,Juniorstwo!$A$56:$N$56,0))*G$11+INDEX(JuniorzyPozytyw[],MATCH($A71,Juniorstwo!$A$57:$A$76,0),MATCH($B$12,Juniorstwo!$A$56:$N$56,0))*G$12+INDEX(JuniorzyPozytyw[],MATCH($A71,Juniorstwo!$A$57:$A$76,0),MATCH($B$13,Juniorstwo!$A$56:$N$56,0))*G$13,"-")</f>
        <v>80.5</v>
      </c>
      <c r="H71" s="38">
        <f ca="1">IFERROR(INDEX(JuniorzyPozytyw[],MATCH($A71,Juniorstwo!$A$57:$A$76,0),MATCH($B$2,Juniorstwo!$A$56:$N$56,0))*H$2+INDEX(JuniorzyPozytyw[],MATCH($A71,Juniorstwo!$A$57:$A$76,0),MATCH($B$3,Juniorstwo!$A$56:$N$56,0))*H$3+INDEX(JuniorzyPozytyw[],MATCH($A71,Juniorstwo!$A$57:$A$76,0),MATCH($B$4,Juniorstwo!$A$56:$N$56,0))*H$4+INDEX(JuniorzyPozytyw[],MATCH($A71,Juniorstwo!$A$57:$A$76,0),MATCH($B$5,Juniorstwo!$A$56:$N$56,0))*H$5+INDEX(JuniorzyPozytyw[],MATCH($A71,Juniorstwo!$A$57:$A$76,0),MATCH($B$6,Juniorstwo!$A$56:$N$56,0))*H$6+INDEX(JuniorzyPozytyw[],MATCH($A71,Juniorstwo!$A$57:$A$76,0),MATCH($B$7,Juniorstwo!$A$56:$N$56,0))*H$7+INDEX(JuniorzyPozytyw[],MATCH($A71,Juniorstwo!$A$57:$A$76,0),MATCH($B$8,Juniorstwo!$A$56:$N$56,0))*H$8+INDEX(JuniorzyPozytyw[],MATCH($A71,Juniorstwo!$A$57:$A$76,0),MATCH($B$9,Juniorstwo!$A$56:$N$56,0))*H$9+INDEX(JuniorzyPozytyw[],MATCH($A71,Juniorstwo!$A$57:$A$76,0),MATCH($B$10,Juniorstwo!$A$56:$N$56,0))*H$10+INDEX(JuniorzyPozytyw[],MATCH($A71,Juniorstwo!$A$57:$A$76,0),MATCH($B$11,Juniorstwo!$A$56:$N$56,0))*H$11+INDEX(JuniorzyPozytyw[],MATCH($A71,Juniorstwo!$A$57:$A$76,0),MATCH($B$12,Juniorstwo!$A$56:$N$56,0))*H$12+INDEX(JuniorzyPozytyw[],MATCH($A71,Juniorstwo!$A$57:$A$76,0),MATCH($B$13,Juniorstwo!$A$56:$N$56,0))*H$13,"-")</f>
        <v>83.5</v>
      </c>
      <c r="I71" s="38">
        <f ca="1">IFERROR(INDEX(JuniorzyPozytyw[],MATCH($A71,Juniorstwo!$A$57:$A$76,0),MATCH($B$2,Juniorstwo!$A$56:$N$56,0))*I$2+INDEX(JuniorzyPozytyw[],MATCH($A71,Juniorstwo!$A$57:$A$76,0),MATCH($B$3,Juniorstwo!$A$56:$N$56,0))*I$3+INDEX(JuniorzyPozytyw[],MATCH($A71,Juniorstwo!$A$57:$A$76,0),MATCH($B$4,Juniorstwo!$A$56:$N$56,0))*I$4+INDEX(JuniorzyPozytyw[],MATCH($A71,Juniorstwo!$A$57:$A$76,0),MATCH($B$5,Juniorstwo!$A$56:$N$56,0))*I$5+INDEX(JuniorzyPozytyw[],MATCH($A71,Juniorstwo!$A$57:$A$76,0),MATCH($B$6,Juniorstwo!$A$56:$N$56,0))*I$6+INDEX(JuniorzyPozytyw[],MATCH($A71,Juniorstwo!$A$57:$A$76,0),MATCH($B$7,Juniorstwo!$A$56:$N$56,0))*I$7+INDEX(JuniorzyPozytyw[],MATCH($A71,Juniorstwo!$A$57:$A$76,0),MATCH($B$8,Juniorstwo!$A$56:$N$56,0))*I$8+INDEX(JuniorzyPozytyw[],MATCH($A71,Juniorstwo!$A$57:$A$76,0),MATCH($B$9,Juniorstwo!$A$56:$N$56,0))*I$9+INDEX(JuniorzyPozytyw[],MATCH($A71,Juniorstwo!$A$57:$A$76,0),MATCH($B$10,Juniorstwo!$A$56:$N$56,0))*I$10+INDEX(JuniorzyPozytyw[],MATCH($A71,Juniorstwo!$A$57:$A$76,0),MATCH($B$11,Juniorstwo!$A$56:$N$56,0))*I$11+INDEX(JuniorzyPozytyw[],MATCH($A71,Juniorstwo!$A$57:$A$76,0),MATCH($B$12,Juniorstwo!$A$56:$N$56,0))*I$12+INDEX(JuniorzyPozytyw[],MATCH($A71,Juniorstwo!$A$57:$A$76,0),MATCH($B$13,Juniorstwo!$A$56:$N$56,0))*I$13,"-")</f>
        <v>81.5</v>
      </c>
      <c r="J71" s="38">
        <f ca="1">IFERROR(INDEX(JuniorzyPozytyw[],MATCH($A71,Juniorstwo!$A$57:$A$76,0),MATCH($B$2,Juniorstwo!$A$56:$N$56,0))*J$2+INDEX(JuniorzyPozytyw[],MATCH($A71,Juniorstwo!$A$57:$A$76,0),MATCH($B$3,Juniorstwo!$A$56:$N$56,0))*J$3+INDEX(JuniorzyPozytyw[],MATCH($A71,Juniorstwo!$A$57:$A$76,0),MATCH($B$4,Juniorstwo!$A$56:$N$56,0))*J$4+INDEX(JuniorzyPozytyw[],MATCH($A71,Juniorstwo!$A$57:$A$76,0),MATCH($B$5,Juniorstwo!$A$56:$N$56,0))*J$5+INDEX(JuniorzyPozytyw[],MATCH($A71,Juniorstwo!$A$57:$A$76,0),MATCH($B$6,Juniorstwo!$A$56:$N$56,0))*J$6+INDEX(JuniorzyPozytyw[],MATCH($A71,Juniorstwo!$A$57:$A$76,0),MATCH($B$7,Juniorstwo!$A$56:$N$56,0))*J$7+INDEX(JuniorzyPozytyw[],MATCH($A71,Juniorstwo!$A$57:$A$76,0),MATCH($B$8,Juniorstwo!$A$56:$N$56,0))*J$8+INDEX(JuniorzyPozytyw[],MATCH($A71,Juniorstwo!$A$57:$A$76,0),MATCH($B$9,Juniorstwo!$A$56:$N$56,0))*J$9+INDEX(JuniorzyPozytyw[],MATCH($A71,Juniorstwo!$A$57:$A$76,0),MATCH($B$10,Juniorstwo!$A$56:$N$56,0))*J$10+INDEX(JuniorzyPozytyw[],MATCH($A71,Juniorstwo!$A$57:$A$76,0),MATCH($B$11,Juniorstwo!$A$56:$N$56,0))*J$11+INDEX(JuniorzyPozytyw[],MATCH($A71,Juniorstwo!$A$57:$A$76,0),MATCH($B$12,Juniorstwo!$A$56:$N$56,0))*J$12+INDEX(JuniorzyPozytyw[],MATCH($A71,Juniorstwo!$A$57:$A$76,0),MATCH($B$13,Juniorstwo!$A$56:$N$56,0))*J$13,"-")</f>
        <v>84</v>
      </c>
      <c r="K71" s="38">
        <f ca="1">IFERROR(INDEX(JuniorzyPozytyw[],MATCH($A71,Juniorstwo!$A$57:$A$76,0),MATCH($B$2,Juniorstwo!$A$56:$N$56,0))*K$2+INDEX(JuniorzyPozytyw[],MATCH($A71,Juniorstwo!$A$57:$A$76,0),MATCH($B$3,Juniorstwo!$A$56:$N$56,0))*K$3+INDEX(JuniorzyPozytyw[],MATCH($A71,Juniorstwo!$A$57:$A$76,0),MATCH($B$4,Juniorstwo!$A$56:$N$56,0))*K$4+INDEX(JuniorzyPozytyw[],MATCH($A71,Juniorstwo!$A$57:$A$76,0),MATCH($B$5,Juniorstwo!$A$56:$N$56,0))*K$5+INDEX(JuniorzyPozytyw[],MATCH($A71,Juniorstwo!$A$57:$A$76,0),MATCH($B$6,Juniorstwo!$A$56:$N$56,0))*K$6+INDEX(JuniorzyPozytyw[],MATCH($A71,Juniorstwo!$A$57:$A$76,0),MATCH($B$7,Juniorstwo!$A$56:$N$56,0))*K$7+INDEX(JuniorzyPozytyw[],MATCH($A71,Juniorstwo!$A$57:$A$76,0),MATCH($B$8,Juniorstwo!$A$56:$N$56,0))*K$8+INDEX(JuniorzyPozytyw[],MATCH($A71,Juniorstwo!$A$57:$A$76,0),MATCH($B$9,Juniorstwo!$A$56:$N$56,0))*K$9+INDEX(JuniorzyPozytyw[],MATCH($A71,Juniorstwo!$A$57:$A$76,0),MATCH($B$10,Juniorstwo!$A$56:$N$56,0))*K$10+INDEX(JuniorzyPozytyw[],MATCH($A71,Juniorstwo!$A$57:$A$76,0),MATCH($B$11,Juniorstwo!$A$56:$N$56,0))*K$11+INDEX(JuniorzyPozytyw[],MATCH($A71,Juniorstwo!$A$57:$A$76,0),MATCH($B$12,Juniorstwo!$A$56:$N$56,0))*K$12+INDEX(JuniorzyPozytyw[],MATCH($A71,Juniorstwo!$A$57:$A$76,0),MATCH($B$13,Juniorstwo!$A$56:$N$56,0))*K$13,"-")</f>
        <v>81</v>
      </c>
    </row>
    <row r="72" spans="1:11" x14ac:dyDescent="0.25">
      <c r="A72">
        <f>IFERROR(PozJunPŚr[[#This Row],[Numer]],"-")</f>
        <v>45</v>
      </c>
      <c r="B72" s="3" t="str">
        <f>IFERROR(VLOOKUP(PozJunPMM[[#This Row],[Numer]],Zawodnicy[[Number]:[Player name]],2,FALSE),"-")</f>
        <v>Janusz Sierocki</v>
      </c>
      <c r="C72" s="38">
        <f ca="1">IFERROR(INDEX(JuniorzyPozytyw[],MATCH($A72,Juniorstwo!$A$57:$A$76,0),MATCH($B$2,Juniorstwo!$A$56:$N$56,0))*C$2+INDEX(JuniorzyPozytyw[],MATCH($A72,Juniorstwo!$A$57:$A$76,0),MATCH($B$3,Juniorstwo!$A$56:$N$56,0))*C$3+INDEX(JuniorzyPozytyw[],MATCH($A72,Juniorstwo!$A$57:$A$76,0),MATCH($B$4,Juniorstwo!$A$56:$N$56,0))*C$4+INDEX(JuniorzyPozytyw[],MATCH($A72,Juniorstwo!$A$57:$A$76,0),MATCH($B$5,Juniorstwo!$A$56:$N$56,0))*C$5+INDEX(JuniorzyPozytyw[],MATCH($A72,Juniorstwo!$A$57:$A$76,0),MATCH($B$6,Juniorstwo!$A$56:$N$56,0))*C$6+INDEX(JuniorzyPozytyw[],MATCH($A72,Juniorstwo!$A$57:$A$76,0),MATCH($B$7,Juniorstwo!$A$56:$N$56,0))*C$7+INDEX(JuniorzyPozytyw[],MATCH($A72,Juniorstwo!$A$57:$A$76,0),MATCH($B$8,Juniorstwo!$A$56:$N$56,0))*C$8+INDEX(JuniorzyPozytyw[],MATCH($A72,Juniorstwo!$A$57:$A$76,0),MATCH($B$9,Juniorstwo!$A$56:$N$56,0))*C$9+INDEX(JuniorzyPozytyw[],MATCH($A72,Juniorstwo!$A$57:$A$76,0),MATCH($B$10,Juniorstwo!$A$56:$N$56,0))*C$10+INDEX(JuniorzyPozytyw[],MATCH($A72,Juniorstwo!$A$57:$A$76,0),MATCH($B$11,Juniorstwo!$A$56:$N$56,0))*C$11+INDEX(JuniorzyPozytyw[],MATCH($A72,Juniorstwo!$A$57:$A$76,0),MATCH($B$12,Juniorstwo!$A$56:$N$56,0))*C$12+INDEX(JuniorzyPozytyw[],MATCH($A72,Juniorstwo!$A$57:$A$76,0),MATCH($B$13,Juniorstwo!$A$56:$N$56,0))*C$13,"-")</f>
        <v>55.5</v>
      </c>
      <c r="D72" s="38">
        <f ca="1">IFERROR(INDEX(JuniorzyPozytyw[],MATCH($A72,Juniorstwo!$A$57:$A$76,0),MATCH($B$2,Juniorstwo!$A$56:$N$56,0))*D$2+INDEX(JuniorzyPozytyw[],MATCH($A72,Juniorstwo!$A$57:$A$76,0),MATCH($B$3,Juniorstwo!$A$56:$N$56,0))*D$3+INDEX(JuniorzyPozytyw[],MATCH($A72,Juniorstwo!$A$57:$A$76,0),MATCH($B$4,Juniorstwo!$A$56:$N$56,0))*D$4+INDEX(JuniorzyPozytyw[],MATCH($A72,Juniorstwo!$A$57:$A$76,0),MATCH($B$5,Juniorstwo!$A$56:$N$56,0))*D$5+INDEX(JuniorzyPozytyw[],MATCH($A72,Juniorstwo!$A$57:$A$76,0),MATCH($B$6,Juniorstwo!$A$56:$N$56,0))*D$6+INDEX(JuniorzyPozytyw[],MATCH($A72,Juniorstwo!$A$57:$A$76,0),MATCH($B$7,Juniorstwo!$A$56:$N$56,0))*D$7+INDEX(JuniorzyPozytyw[],MATCH($A72,Juniorstwo!$A$57:$A$76,0),MATCH($B$8,Juniorstwo!$A$56:$N$56,0))*D$8+INDEX(JuniorzyPozytyw[],MATCH($A72,Juniorstwo!$A$57:$A$76,0),MATCH($B$9,Juniorstwo!$A$56:$N$56,0))*D$9+INDEX(JuniorzyPozytyw[],MATCH($A72,Juniorstwo!$A$57:$A$76,0),MATCH($B$10,Juniorstwo!$A$56:$N$56,0))*D$10+INDEX(JuniorzyPozytyw[],MATCH($A72,Juniorstwo!$A$57:$A$76,0),MATCH($B$11,Juniorstwo!$A$56:$N$56,0))*D$11+INDEX(JuniorzyPozytyw[],MATCH($A72,Juniorstwo!$A$57:$A$76,0),MATCH($B$12,Juniorstwo!$A$56:$N$56,0))*D$12+INDEX(JuniorzyPozytyw[],MATCH($A72,Juniorstwo!$A$57:$A$76,0),MATCH($B$13,Juniorstwo!$A$56:$N$56,0))*D$13,"-")</f>
        <v>81.5</v>
      </c>
      <c r="E72" s="38">
        <f ca="1">IFERROR(INDEX(JuniorzyPozytyw[],MATCH($A72,Juniorstwo!$A$57:$A$76,0),MATCH($B$2,Juniorstwo!$A$56:$N$56,0))*E$2+INDEX(JuniorzyPozytyw[],MATCH($A72,Juniorstwo!$A$57:$A$76,0),MATCH($B$3,Juniorstwo!$A$56:$N$56,0))*E$3+INDEX(JuniorzyPozytyw[],MATCH($A72,Juniorstwo!$A$57:$A$76,0),MATCH($B$4,Juniorstwo!$A$56:$N$56,0))*E$4+INDEX(JuniorzyPozytyw[],MATCH($A72,Juniorstwo!$A$57:$A$76,0),MATCH($B$5,Juniorstwo!$A$56:$N$56,0))*E$5+INDEX(JuniorzyPozytyw[],MATCH($A72,Juniorstwo!$A$57:$A$76,0),MATCH($B$6,Juniorstwo!$A$56:$N$56,0))*E$6+INDEX(JuniorzyPozytyw[],MATCH($A72,Juniorstwo!$A$57:$A$76,0),MATCH($B$7,Juniorstwo!$A$56:$N$56,0))*E$7+INDEX(JuniorzyPozytyw[],MATCH($A72,Juniorstwo!$A$57:$A$76,0),MATCH($B$8,Juniorstwo!$A$56:$N$56,0))*E$8+INDEX(JuniorzyPozytyw[],MATCH($A72,Juniorstwo!$A$57:$A$76,0),MATCH($B$9,Juniorstwo!$A$56:$N$56,0))*E$9+INDEX(JuniorzyPozytyw[],MATCH($A72,Juniorstwo!$A$57:$A$76,0),MATCH($B$10,Juniorstwo!$A$56:$N$56,0))*E$10+INDEX(JuniorzyPozytyw[],MATCH($A72,Juniorstwo!$A$57:$A$76,0),MATCH($B$11,Juniorstwo!$A$56:$N$56,0))*E$11+INDEX(JuniorzyPozytyw[],MATCH($A72,Juniorstwo!$A$57:$A$76,0),MATCH($B$12,Juniorstwo!$A$56:$N$56,0))*E$12+INDEX(JuniorzyPozytyw[],MATCH($A72,Juniorstwo!$A$57:$A$76,0),MATCH($B$13,Juniorstwo!$A$56:$N$56,0))*E$13,"-")</f>
        <v>79.5</v>
      </c>
      <c r="F72" s="38">
        <f ca="1">IFERROR(INDEX(JuniorzyPozytyw[],MATCH($A72,Juniorstwo!$A$57:$A$76,0),MATCH($B$2,Juniorstwo!$A$56:$N$56,0))*F$2+INDEX(JuniorzyPozytyw[],MATCH($A72,Juniorstwo!$A$57:$A$76,0),MATCH($B$3,Juniorstwo!$A$56:$N$56,0))*F$3+INDEX(JuniorzyPozytyw[],MATCH($A72,Juniorstwo!$A$57:$A$76,0),MATCH($B$4,Juniorstwo!$A$56:$N$56,0))*F$4+INDEX(JuniorzyPozytyw[],MATCH($A72,Juniorstwo!$A$57:$A$76,0),MATCH($B$5,Juniorstwo!$A$56:$N$56,0))*F$5+INDEX(JuniorzyPozytyw[],MATCH($A72,Juniorstwo!$A$57:$A$76,0),MATCH($B$6,Juniorstwo!$A$56:$N$56,0))*F$6+INDEX(JuniorzyPozytyw[],MATCH($A72,Juniorstwo!$A$57:$A$76,0),MATCH($B$7,Juniorstwo!$A$56:$N$56,0))*F$7+INDEX(JuniorzyPozytyw[],MATCH($A72,Juniorstwo!$A$57:$A$76,0),MATCH($B$8,Juniorstwo!$A$56:$N$56,0))*F$8+INDEX(JuniorzyPozytyw[],MATCH($A72,Juniorstwo!$A$57:$A$76,0),MATCH($B$9,Juniorstwo!$A$56:$N$56,0))*F$9+INDEX(JuniorzyPozytyw[],MATCH($A72,Juniorstwo!$A$57:$A$76,0),MATCH($B$10,Juniorstwo!$A$56:$N$56,0))*F$10+INDEX(JuniorzyPozytyw[],MATCH($A72,Juniorstwo!$A$57:$A$76,0),MATCH($B$11,Juniorstwo!$A$56:$N$56,0))*F$11+INDEX(JuniorzyPozytyw[],MATCH($A72,Juniorstwo!$A$57:$A$76,0),MATCH($B$12,Juniorstwo!$A$56:$N$56,0))*F$12+INDEX(JuniorzyPozytyw[],MATCH($A72,Juniorstwo!$A$57:$A$76,0),MATCH($B$13,Juniorstwo!$A$56:$N$56,0))*F$13,"-")</f>
        <v>79.5</v>
      </c>
      <c r="G72" s="38">
        <f ca="1">IFERROR(INDEX(JuniorzyPozytyw[],MATCH($A72,Juniorstwo!$A$57:$A$76,0),MATCH($B$2,Juniorstwo!$A$56:$N$56,0))*G$2+INDEX(JuniorzyPozytyw[],MATCH($A72,Juniorstwo!$A$57:$A$76,0),MATCH($B$3,Juniorstwo!$A$56:$N$56,0))*G$3+INDEX(JuniorzyPozytyw[],MATCH($A72,Juniorstwo!$A$57:$A$76,0),MATCH($B$4,Juniorstwo!$A$56:$N$56,0))*G$4+INDEX(JuniorzyPozytyw[],MATCH($A72,Juniorstwo!$A$57:$A$76,0),MATCH($B$5,Juniorstwo!$A$56:$N$56,0))*G$5+INDEX(JuniorzyPozytyw[],MATCH($A72,Juniorstwo!$A$57:$A$76,0),MATCH($B$6,Juniorstwo!$A$56:$N$56,0))*G$6+INDEX(JuniorzyPozytyw[],MATCH($A72,Juniorstwo!$A$57:$A$76,0),MATCH($B$7,Juniorstwo!$A$56:$N$56,0))*G$7+INDEX(JuniorzyPozytyw[],MATCH($A72,Juniorstwo!$A$57:$A$76,0),MATCH($B$8,Juniorstwo!$A$56:$N$56,0))*G$8+INDEX(JuniorzyPozytyw[],MATCH($A72,Juniorstwo!$A$57:$A$76,0),MATCH($B$9,Juniorstwo!$A$56:$N$56,0))*G$9+INDEX(JuniorzyPozytyw[],MATCH($A72,Juniorstwo!$A$57:$A$76,0),MATCH($B$10,Juniorstwo!$A$56:$N$56,0))*G$10+INDEX(JuniorzyPozytyw[],MATCH($A72,Juniorstwo!$A$57:$A$76,0),MATCH($B$11,Juniorstwo!$A$56:$N$56,0))*G$11+INDEX(JuniorzyPozytyw[],MATCH($A72,Juniorstwo!$A$57:$A$76,0),MATCH($B$12,Juniorstwo!$A$56:$N$56,0))*G$12+INDEX(JuniorzyPozytyw[],MATCH($A72,Juniorstwo!$A$57:$A$76,0),MATCH($B$13,Juniorstwo!$A$56:$N$56,0))*G$13,"-")</f>
        <v>78.5</v>
      </c>
      <c r="H72" s="38">
        <f ca="1">IFERROR(INDEX(JuniorzyPozytyw[],MATCH($A72,Juniorstwo!$A$57:$A$76,0),MATCH($B$2,Juniorstwo!$A$56:$N$56,0))*H$2+INDEX(JuniorzyPozytyw[],MATCH($A72,Juniorstwo!$A$57:$A$76,0),MATCH($B$3,Juniorstwo!$A$56:$N$56,0))*H$3+INDEX(JuniorzyPozytyw[],MATCH($A72,Juniorstwo!$A$57:$A$76,0),MATCH($B$4,Juniorstwo!$A$56:$N$56,0))*H$4+INDEX(JuniorzyPozytyw[],MATCH($A72,Juniorstwo!$A$57:$A$76,0),MATCH($B$5,Juniorstwo!$A$56:$N$56,0))*H$5+INDEX(JuniorzyPozytyw[],MATCH($A72,Juniorstwo!$A$57:$A$76,0),MATCH($B$6,Juniorstwo!$A$56:$N$56,0))*H$6+INDEX(JuniorzyPozytyw[],MATCH($A72,Juniorstwo!$A$57:$A$76,0),MATCH($B$7,Juniorstwo!$A$56:$N$56,0))*H$7+INDEX(JuniorzyPozytyw[],MATCH($A72,Juniorstwo!$A$57:$A$76,0),MATCH($B$8,Juniorstwo!$A$56:$N$56,0))*H$8+INDEX(JuniorzyPozytyw[],MATCH($A72,Juniorstwo!$A$57:$A$76,0),MATCH($B$9,Juniorstwo!$A$56:$N$56,0))*H$9+INDEX(JuniorzyPozytyw[],MATCH($A72,Juniorstwo!$A$57:$A$76,0),MATCH($B$10,Juniorstwo!$A$56:$N$56,0))*H$10+INDEX(JuniorzyPozytyw[],MATCH($A72,Juniorstwo!$A$57:$A$76,0),MATCH($B$11,Juniorstwo!$A$56:$N$56,0))*H$11+INDEX(JuniorzyPozytyw[],MATCH($A72,Juniorstwo!$A$57:$A$76,0),MATCH($B$12,Juniorstwo!$A$56:$N$56,0))*H$12+INDEX(JuniorzyPozytyw[],MATCH($A72,Juniorstwo!$A$57:$A$76,0),MATCH($B$13,Juniorstwo!$A$56:$N$56,0))*H$13,"-")</f>
        <v>74</v>
      </c>
      <c r="I72" s="38">
        <f ca="1">IFERROR(INDEX(JuniorzyPozytyw[],MATCH($A72,Juniorstwo!$A$57:$A$76,0),MATCH($B$2,Juniorstwo!$A$56:$N$56,0))*I$2+INDEX(JuniorzyPozytyw[],MATCH($A72,Juniorstwo!$A$57:$A$76,0),MATCH($B$3,Juniorstwo!$A$56:$N$56,0))*I$3+INDEX(JuniorzyPozytyw[],MATCH($A72,Juniorstwo!$A$57:$A$76,0),MATCH($B$4,Juniorstwo!$A$56:$N$56,0))*I$4+INDEX(JuniorzyPozytyw[],MATCH($A72,Juniorstwo!$A$57:$A$76,0),MATCH($B$5,Juniorstwo!$A$56:$N$56,0))*I$5+INDEX(JuniorzyPozytyw[],MATCH($A72,Juniorstwo!$A$57:$A$76,0),MATCH($B$6,Juniorstwo!$A$56:$N$56,0))*I$6+INDEX(JuniorzyPozytyw[],MATCH($A72,Juniorstwo!$A$57:$A$76,0),MATCH($B$7,Juniorstwo!$A$56:$N$56,0))*I$7+INDEX(JuniorzyPozytyw[],MATCH($A72,Juniorstwo!$A$57:$A$76,0),MATCH($B$8,Juniorstwo!$A$56:$N$56,0))*I$8+INDEX(JuniorzyPozytyw[],MATCH($A72,Juniorstwo!$A$57:$A$76,0),MATCH($B$9,Juniorstwo!$A$56:$N$56,0))*I$9+INDEX(JuniorzyPozytyw[],MATCH($A72,Juniorstwo!$A$57:$A$76,0),MATCH($B$10,Juniorstwo!$A$56:$N$56,0))*I$10+INDEX(JuniorzyPozytyw[],MATCH($A72,Juniorstwo!$A$57:$A$76,0),MATCH($B$11,Juniorstwo!$A$56:$N$56,0))*I$11+INDEX(JuniorzyPozytyw[],MATCH($A72,Juniorstwo!$A$57:$A$76,0),MATCH($B$12,Juniorstwo!$A$56:$N$56,0))*I$12+INDEX(JuniorzyPozytyw[],MATCH($A72,Juniorstwo!$A$57:$A$76,0),MATCH($B$13,Juniorstwo!$A$56:$N$56,0))*I$13,"-")</f>
        <v>74.5</v>
      </c>
      <c r="J72" s="38">
        <f ca="1">IFERROR(INDEX(JuniorzyPozytyw[],MATCH($A72,Juniorstwo!$A$57:$A$76,0),MATCH($B$2,Juniorstwo!$A$56:$N$56,0))*J$2+INDEX(JuniorzyPozytyw[],MATCH($A72,Juniorstwo!$A$57:$A$76,0),MATCH($B$3,Juniorstwo!$A$56:$N$56,0))*J$3+INDEX(JuniorzyPozytyw[],MATCH($A72,Juniorstwo!$A$57:$A$76,0),MATCH($B$4,Juniorstwo!$A$56:$N$56,0))*J$4+INDEX(JuniorzyPozytyw[],MATCH($A72,Juniorstwo!$A$57:$A$76,0),MATCH($B$5,Juniorstwo!$A$56:$N$56,0))*J$5+INDEX(JuniorzyPozytyw[],MATCH($A72,Juniorstwo!$A$57:$A$76,0),MATCH($B$6,Juniorstwo!$A$56:$N$56,0))*J$6+INDEX(JuniorzyPozytyw[],MATCH($A72,Juniorstwo!$A$57:$A$76,0),MATCH($B$7,Juniorstwo!$A$56:$N$56,0))*J$7+INDEX(JuniorzyPozytyw[],MATCH($A72,Juniorstwo!$A$57:$A$76,0),MATCH($B$8,Juniorstwo!$A$56:$N$56,0))*J$8+INDEX(JuniorzyPozytyw[],MATCH($A72,Juniorstwo!$A$57:$A$76,0),MATCH($B$9,Juniorstwo!$A$56:$N$56,0))*J$9+INDEX(JuniorzyPozytyw[],MATCH($A72,Juniorstwo!$A$57:$A$76,0),MATCH($B$10,Juniorstwo!$A$56:$N$56,0))*J$10+INDEX(JuniorzyPozytyw[],MATCH($A72,Juniorstwo!$A$57:$A$76,0),MATCH($B$11,Juniorstwo!$A$56:$N$56,0))*J$11+INDEX(JuniorzyPozytyw[],MATCH($A72,Juniorstwo!$A$57:$A$76,0),MATCH($B$12,Juniorstwo!$A$56:$N$56,0))*J$12+INDEX(JuniorzyPozytyw[],MATCH($A72,Juniorstwo!$A$57:$A$76,0),MATCH($B$13,Juniorstwo!$A$56:$N$56,0))*J$13,"-")</f>
        <v>74</v>
      </c>
      <c r="K72" s="38">
        <f ca="1">IFERROR(INDEX(JuniorzyPozytyw[],MATCH($A72,Juniorstwo!$A$57:$A$76,0),MATCH($B$2,Juniorstwo!$A$56:$N$56,0))*K$2+INDEX(JuniorzyPozytyw[],MATCH($A72,Juniorstwo!$A$57:$A$76,0),MATCH($B$3,Juniorstwo!$A$56:$N$56,0))*K$3+INDEX(JuniorzyPozytyw[],MATCH($A72,Juniorstwo!$A$57:$A$76,0),MATCH($B$4,Juniorstwo!$A$56:$N$56,0))*K$4+INDEX(JuniorzyPozytyw[],MATCH($A72,Juniorstwo!$A$57:$A$76,0),MATCH($B$5,Juniorstwo!$A$56:$N$56,0))*K$5+INDEX(JuniorzyPozytyw[],MATCH($A72,Juniorstwo!$A$57:$A$76,0),MATCH($B$6,Juniorstwo!$A$56:$N$56,0))*K$6+INDEX(JuniorzyPozytyw[],MATCH($A72,Juniorstwo!$A$57:$A$76,0),MATCH($B$7,Juniorstwo!$A$56:$N$56,0))*K$7+INDEX(JuniorzyPozytyw[],MATCH($A72,Juniorstwo!$A$57:$A$76,0),MATCH($B$8,Juniorstwo!$A$56:$N$56,0))*K$8+INDEX(JuniorzyPozytyw[],MATCH($A72,Juniorstwo!$A$57:$A$76,0),MATCH($B$9,Juniorstwo!$A$56:$N$56,0))*K$9+INDEX(JuniorzyPozytyw[],MATCH($A72,Juniorstwo!$A$57:$A$76,0),MATCH($B$10,Juniorstwo!$A$56:$N$56,0))*K$10+INDEX(JuniorzyPozytyw[],MATCH($A72,Juniorstwo!$A$57:$A$76,0),MATCH($B$11,Juniorstwo!$A$56:$N$56,0))*K$11+INDEX(JuniorzyPozytyw[],MATCH($A72,Juniorstwo!$A$57:$A$76,0),MATCH($B$12,Juniorstwo!$A$56:$N$56,0))*K$12+INDEX(JuniorzyPozytyw[],MATCH($A72,Juniorstwo!$A$57:$A$76,0),MATCH($B$13,Juniorstwo!$A$56:$N$56,0))*K$13,"-")</f>
        <v>73</v>
      </c>
    </row>
    <row r="73" spans="1:11" x14ac:dyDescent="0.25">
      <c r="A73">
        <f>IFERROR(PozJunPŚr[[#This Row],[Numer]],"-")</f>
        <v>46</v>
      </c>
      <c r="B73" s="3" t="str">
        <f>IFERROR(VLOOKUP(PozJunPMM[[#This Row],[Numer]],Zawodnicy[[Number]:[Player name]],2,FALSE),"-")</f>
        <v>Iwo Duszenski</v>
      </c>
      <c r="C73" s="38">
        <f ca="1">IFERROR(INDEX(JuniorzyPozytyw[],MATCH($A73,Juniorstwo!$A$57:$A$76,0),MATCH($B$2,Juniorstwo!$A$56:$N$56,0))*C$2+INDEX(JuniorzyPozytyw[],MATCH($A73,Juniorstwo!$A$57:$A$76,0),MATCH($B$3,Juniorstwo!$A$56:$N$56,0))*C$3+INDEX(JuniorzyPozytyw[],MATCH($A73,Juniorstwo!$A$57:$A$76,0),MATCH($B$4,Juniorstwo!$A$56:$N$56,0))*C$4+INDEX(JuniorzyPozytyw[],MATCH($A73,Juniorstwo!$A$57:$A$76,0),MATCH($B$5,Juniorstwo!$A$56:$N$56,0))*C$5+INDEX(JuniorzyPozytyw[],MATCH($A73,Juniorstwo!$A$57:$A$76,0),MATCH($B$6,Juniorstwo!$A$56:$N$56,0))*C$6+INDEX(JuniorzyPozytyw[],MATCH($A73,Juniorstwo!$A$57:$A$76,0),MATCH($B$7,Juniorstwo!$A$56:$N$56,0))*C$7+INDEX(JuniorzyPozytyw[],MATCH($A73,Juniorstwo!$A$57:$A$76,0),MATCH($B$8,Juniorstwo!$A$56:$N$56,0))*C$8+INDEX(JuniorzyPozytyw[],MATCH($A73,Juniorstwo!$A$57:$A$76,0),MATCH($B$9,Juniorstwo!$A$56:$N$56,0))*C$9+INDEX(JuniorzyPozytyw[],MATCH($A73,Juniorstwo!$A$57:$A$76,0),MATCH($B$10,Juniorstwo!$A$56:$N$56,0))*C$10+INDEX(JuniorzyPozytyw[],MATCH($A73,Juniorstwo!$A$57:$A$76,0),MATCH($B$11,Juniorstwo!$A$56:$N$56,0))*C$11+INDEX(JuniorzyPozytyw[],MATCH($A73,Juniorstwo!$A$57:$A$76,0),MATCH($B$12,Juniorstwo!$A$56:$N$56,0))*C$12+INDEX(JuniorzyPozytyw[],MATCH($A73,Juniorstwo!$A$57:$A$76,0),MATCH($B$13,Juniorstwo!$A$56:$N$56,0))*C$13,"-")</f>
        <v>55.5</v>
      </c>
      <c r="D73" s="38">
        <f ca="1">IFERROR(INDEX(JuniorzyPozytyw[],MATCH($A73,Juniorstwo!$A$57:$A$76,0),MATCH($B$2,Juniorstwo!$A$56:$N$56,0))*D$2+INDEX(JuniorzyPozytyw[],MATCH($A73,Juniorstwo!$A$57:$A$76,0),MATCH($B$3,Juniorstwo!$A$56:$N$56,0))*D$3+INDEX(JuniorzyPozytyw[],MATCH($A73,Juniorstwo!$A$57:$A$76,0),MATCH($B$4,Juniorstwo!$A$56:$N$56,0))*D$4+INDEX(JuniorzyPozytyw[],MATCH($A73,Juniorstwo!$A$57:$A$76,0),MATCH($B$5,Juniorstwo!$A$56:$N$56,0))*D$5+INDEX(JuniorzyPozytyw[],MATCH($A73,Juniorstwo!$A$57:$A$76,0),MATCH($B$6,Juniorstwo!$A$56:$N$56,0))*D$6+INDEX(JuniorzyPozytyw[],MATCH($A73,Juniorstwo!$A$57:$A$76,0),MATCH($B$7,Juniorstwo!$A$56:$N$56,0))*D$7+INDEX(JuniorzyPozytyw[],MATCH($A73,Juniorstwo!$A$57:$A$76,0),MATCH($B$8,Juniorstwo!$A$56:$N$56,0))*D$8+INDEX(JuniorzyPozytyw[],MATCH($A73,Juniorstwo!$A$57:$A$76,0),MATCH($B$9,Juniorstwo!$A$56:$N$56,0))*D$9+INDEX(JuniorzyPozytyw[],MATCH($A73,Juniorstwo!$A$57:$A$76,0),MATCH($B$10,Juniorstwo!$A$56:$N$56,0))*D$10+INDEX(JuniorzyPozytyw[],MATCH($A73,Juniorstwo!$A$57:$A$76,0),MATCH($B$11,Juniorstwo!$A$56:$N$56,0))*D$11+INDEX(JuniorzyPozytyw[],MATCH($A73,Juniorstwo!$A$57:$A$76,0),MATCH($B$12,Juniorstwo!$A$56:$N$56,0))*D$12+INDEX(JuniorzyPozytyw[],MATCH($A73,Juniorstwo!$A$57:$A$76,0),MATCH($B$13,Juniorstwo!$A$56:$N$56,0))*D$13,"-")</f>
        <v>74</v>
      </c>
      <c r="E73" s="38">
        <f ca="1">IFERROR(INDEX(JuniorzyPozytyw[],MATCH($A73,Juniorstwo!$A$57:$A$76,0),MATCH($B$2,Juniorstwo!$A$56:$N$56,0))*E$2+INDEX(JuniorzyPozytyw[],MATCH($A73,Juniorstwo!$A$57:$A$76,0),MATCH($B$3,Juniorstwo!$A$56:$N$56,0))*E$3+INDEX(JuniorzyPozytyw[],MATCH($A73,Juniorstwo!$A$57:$A$76,0),MATCH($B$4,Juniorstwo!$A$56:$N$56,0))*E$4+INDEX(JuniorzyPozytyw[],MATCH($A73,Juniorstwo!$A$57:$A$76,0),MATCH($B$5,Juniorstwo!$A$56:$N$56,0))*E$5+INDEX(JuniorzyPozytyw[],MATCH($A73,Juniorstwo!$A$57:$A$76,0),MATCH($B$6,Juniorstwo!$A$56:$N$56,0))*E$6+INDEX(JuniorzyPozytyw[],MATCH($A73,Juniorstwo!$A$57:$A$76,0),MATCH($B$7,Juniorstwo!$A$56:$N$56,0))*E$7+INDEX(JuniorzyPozytyw[],MATCH($A73,Juniorstwo!$A$57:$A$76,0),MATCH($B$8,Juniorstwo!$A$56:$N$56,0))*E$8+INDEX(JuniorzyPozytyw[],MATCH($A73,Juniorstwo!$A$57:$A$76,0),MATCH($B$9,Juniorstwo!$A$56:$N$56,0))*E$9+INDEX(JuniorzyPozytyw[],MATCH($A73,Juniorstwo!$A$57:$A$76,0),MATCH($B$10,Juniorstwo!$A$56:$N$56,0))*E$10+INDEX(JuniorzyPozytyw[],MATCH($A73,Juniorstwo!$A$57:$A$76,0),MATCH($B$11,Juniorstwo!$A$56:$N$56,0))*E$11+INDEX(JuniorzyPozytyw[],MATCH($A73,Juniorstwo!$A$57:$A$76,0),MATCH($B$12,Juniorstwo!$A$56:$N$56,0))*E$12+INDEX(JuniorzyPozytyw[],MATCH($A73,Juniorstwo!$A$57:$A$76,0),MATCH($B$13,Juniorstwo!$A$56:$N$56,0))*E$13,"-")</f>
        <v>75</v>
      </c>
      <c r="F73" s="38">
        <f ca="1">IFERROR(INDEX(JuniorzyPozytyw[],MATCH($A73,Juniorstwo!$A$57:$A$76,0),MATCH($B$2,Juniorstwo!$A$56:$N$56,0))*F$2+INDEX(JuniorzyPozytyw[],MATCH($A73,Juniorstwo!$A$57:$A$76,0),MATCH($B$3,Juniorstwo!$A$56:$N$56,0))*F$3+INDEX(JuniorzyPozytyw[],MATCH($A73,Juniorstwo!$A$57:$A$76,0),MATCH($B$4,Juniorstwo!$A$56:$N$56,0))*F$4+INDEX(JuniorzyPozytyw[],MATCH($A73,Juniorstwo!$A$57:$A$76,0),MATCH($B$5,Juniorstwo!$A$56:$N$56,0))*F$5+INDEX(JuniorzyPozytyw[],MATCH($A73,Juniorstwo!$A$57:$A$76,0),MATCH($B$6,Juniorstwo!$A$56:$N$56,0))*F$6+INDEX(JuniorzyPozytyw[],MATCH($A73,Juniorstwo!$A$57:$A$76,0),MATCH($B$7,Juniorstwo!$A$56:$N$56,0))*F$7+INDEX(JuniorzyPozytyw[],MATCH($A73,Juniorstwo!$A$57:$A$76,0),MATCH($B$8,Juniorstwo!$A$56:$N$56,0))*F$8+INDEX(JuniorzyPozytyw[],MATCH($A73,Juniorstwo!$A$57:$A$76,0),MATCH($B$9,Juniorstwo!$A$56:$N$56,0))*F$9+INDEX(JuniorzyPozytyw[],MATCH($A73,Juniorstwo!$A$57:$A$76,0),MATCH($B$10,Juniorstwo!$A$56:$N$56,0))*F$10+INDEX(JuniorzyPozytyw[],MATCH($A73,Juniorstwo!$A$57:$A$76,0),MATCH($B$11,Juniorstwo!$A$56:$N$56,0))*F$11+INDEX(JuniorzyPozytyw[],MATCH($A73,Juniorstwo!$A$57:$A$76,0),MATCH($B$12,Juniorstwo!$A$56:$N$56,0))*F$12+INDEX(JuniorzyPozytyw[],MATCH($A73,Juniorstwo!$A$57:$A$76,0),MATCH($B$13,Juniorstwo!$A$56:$N$56,0))*F$13,"-")</f>
        <v>74</v>
      </c>
      <c r="G73" s="38">
        <f ca="1">IFERROR(INDEX(JuniorzyPozytyw[],MATCH($A73,Juniorstwo!$A$57:$A$76,0),MATCH($B$2,Juniorstwo!$A$56:$N$56,0))*G$2+INDEX(JuniorzyPozytyw[],MATCH($A73,Juniorstwo!$A$57:$A$76,0),MATCH($B$3,Juniorstwo!$A$56:$N$56,0))*G$3+INDEX(JuniorzyPozytyw[],MATCH($A73,Juniorstwo!$A$57:$A$76,0),MATCH($B$4,Juniorstwo!$A$56:$N$56,0))*G$4+INDEX(JuniorzyPozytyw[],MATCH($A73,Juniorstwo!$A$57:$A$76,0),MATCH($B$5,Juniorstwo!$A$56:$N$56,0))*G$5+INDEX(JuniorzyPozytyw[],MATCH($A73,Juniorstwo!$A$57:$A$76,0),MATCH($B$6,Juniorstwo!$A$56:$N$56,0))*G$6+INDEX(JuniorzyPozytyw[],MATCH($A73,Juniorstwo!$A$57:$A$76,0),MATCH($B$7,Juniorstwo!$A$56:$N$56,0))*G$7+INDEX(JuniorzyPozytyw[],MATCH($A73,Juniorstwo!$A$57:$A$76,0),MATCH($B$8,Juniorstwo!$A$56:$N$56,0))*G$8+INDEX(JuniorzyPozytyw[],MATCH($A73,Juniorstwo!$A$57:$A$76,0),MATCH($B$9,Juniorstwo!$A$56:$N$56,0))*G$9+INDEX(JuniorzyPozytyw[],MATCH($A73,Juniorstwo!$A$57:$A$76,0),MATCH($B$10,Juniorstwo!$A$56:$N$56,0))*G$10+INDEX(JuniorzyPozytyw[],MATCH($A73,Juniorstwo!$A$57:$A$76,0),MATCH($B$11,Juniorstwo!$A$56:$N$56,0))*G$11+INDEX(JuniorzyPozytyw[],MATCH($A73,Juniorstwo!$A$57:$A$76,0),MATCH($B$12,Juniorstwo!$A$56:$N$56,0))*G$12+INDEX(JuniorzyPozytyw[],MATCH($A73,Juniorstwo!$A$57:$A$76,0),MATCH($B$13,Juniorstwo!$A$56:$N$56,0))*G$13,"-")</f>
        <v>73</v>
      </c>
      <c r="H73" s="38">
        <f ca="1">IFERROR(INDEX(JuniorzyPozytyw[],MATCH($A73,Juniorstwo!$A$57:$A$76,0),MATCH($B$2,Juniorstwo!$A$56:$N$56,0))*H$2+INDEX(JuniorzyPozytyw[],MATCH($A73,Juniorstwo!$A$57:$A$76,0),MATCH($B$3,Juniorstwo!$A$56:$N$56,0))*H$3+INDEX(JuniorzyPozytyw[],MATCH($A73,Juniorstwo!$A$57:$A$76,0),MATCH($B$4,Juniorstwo!$A$56:$N$56,0))*H$4+INDEX(JuniorzyPozytyw[],MATCH($A73,Juniorstwo!$A$57:$A$76,0),MATCH($B$5,Juniorstwo!$A$56:$N$56,0))*H$5+INDEX(JuniorzyPozytyw[],MATCH($A73,Juniorstwo!$A$57:$A$76,0),MATCH($B$6,Juniorstwo!$A$56:$N$56,0))*H$6+INDEX(JuniorzyPozytyw[],MATCH($A73,Juniorstwo!$A$57:$A$76,0),MATCH($B$7,Juniorstwo!$A$56:$N$56,0))*H$7+INDEX(JuniorzyPozytyw[],MATCH($A73,Juniorstwo!$A$57:$A$76,0),MATCH($B$8,Juniorstwo!$A$56:$N$56,0))*H$8+INDEX(JuniorzyPozytyw[],MATCH($A73,Juniorstwo!$A$57:$A$76,0),MATCH($B$9,Juniorstwo!$A$56:$N$56,0))*H$9+INDEX(JuniorzyPozytyw[],MATCH($A73,Juniorstwo!$A$57:$A$76,0),MATCH($B$10,Juniorstwo!$A$56:$N$56,0))*H$10+INDEX(JuniorzyPozytyw[],MATCH($A73,Juniorstwo!$A$57:$A$76,0),MATCH($B$11,Juniorstwo!$A$56:$N$56,0))*H$11+INDEX(JuniorzyPozytyw[],MATCH($A73,Juniorstwo!$A$57:$A$76,0),MATCH($B$12,Juniorstwo!$A$56:$N$56,0))*H$12+INDEX(JuniorzyPozytyw[],MATCH($A73,Juniorstwo!$A$57:$A$76,0),MATCH($B$13,Juniorstwo!$A$56:$N$56,0))*H$13,"-")</f>
        <v>72.5</v>
      </c>
      <c r="I73" s="38">
        <f ca="1">IFERROR(INDEX(JuniorzyPozytyw[],MATCH($A73,Juniorstwo!$A$57:$A$76,0),MATCH($B$2,Juniorstwo!$A$56:$N$56,0))*I$2+INDEX(JuniorzyPozytyw[],MATCH($A73,Juniorstwo!$A$57:$A$76,0),MATCH($B$3,Juniorstwo!$A$56:$N$56,0))*I$3+INDEX(JuniorzyPozytyw[],MATCH($A73,Juniorstwo!$A$57:$A$76,0),MATCH($B$4,Juniorstwo!$A$56:$N$56,0))*I$4+INDEX(JuniorzyPozytyw[],MATCH($A73,Juniorstwo!$A$57:$A$76,0),MATCH($B$5,Juniorstwo!$A$56:$N$56,0))*I$5+INDEX(JuniorzyPozytyw[],MATCH($A73,Juniorstwo!$A$57:$A$76,0),MATCH($B$6,Juniorstwo!$A$56:$N$56,0))*I$6+INDEX(JuniorzyPozytyw[],MATCH($A73,Juniorstwo!$A$57:$A$76,0),MATCH($B$7,Juniorstwo!$A$56:$N$56,0))*I$7+INDEX(JuniorzyPozytyw[],MATCH($A73,Juniorstwo!$A$57:$A$76,0),MATCH($B$8,Juniorstwo!$A$56:$N$56,0))*I$8+INDEX(JuniorzyPozytyw[],MATCH($A73,Juniorstwo!$A$57:$A$76,0),MATCH($B$9,Juniorstwo!$A$56:$N$56,0))*I$9+INDEX(JuniorzyPozytyw[],MATCH($A73,Juniorstwo!$A$57:$A$76,0),MATCH($B$10,Juniorstwo!$A$56:$N$56,0))*I$10+INDEX(JuniorzyPozytyw[],MATCH($A73,Juniorstwo!$A$57:$A$76,0),MATCH($B$11,Juniorstwo!$A$56:$N$56,0))*I$11+INDEX(JuniorzyPozytyw[],MATCH($A73,Juniorstwo!$A$57:$A$76,0),MATCH($B$12,Juniorstwo!$A$56:$N$56,0))*I$12+INDEX(JuniorzyPozytyw[],MATCH($A73,Juniorstwo!$A$57:$A$76,0),MATCH($B$13,Juniorstwo!$A$56:$N$56,0))*I$13,"-")</f>
        <v>76</v>
      </c>
      <c r="J73" s="38">
        <f ca="1">IFERROR(INDEX(JuniorzyPozytyw[],MATCH($A73,Juniorstwo!$A$57:$A$76,0),MATCH($B$2,Juniorstwo!$A$56:$N$56,0))*J$2+INDEX(JuniorzyPozytyw[],MATCH($A73,Juniorstwo!$A$57:$A$76,0),MATCH($B$3,Juniorstwo!$A$56:$N$56,0))*J$3+INDEX(JuniorzyPozytyw[],MATCH($A73,Juniorstwo!$A$57:$A$76,0),MATCH($B$4,Juniorstwo!$A$56:$N$56,0))*J$4+INDEX(JuniorzyPozytyw[],MATCH($A73,Juniorstwo!$A$57:$A$76,0),MATCH($B$5,Juniorstwo!$A$56:$N$56,0))*J$5+INDEX(JuniorzyPozytyw[],MATCH($A73,Juniorstwo!$A$57:$A$76,0),MATCH($B$6,Juniorstwo!$A$56:$N$56,0))*J$6+INDEX(JuniorzyPozytyw[],MATCH($A73,Juniorstwo!$A$57:$A$76,0),MATCH($B$7,Juniorstwo!$A$56:$N$56,0))*J$7+INDEX(JuniorzyPozytyw[],MATCH($A73,Juniorstwo!$A$57:$A$76,0),MATCH($B$8,Juniorstwo!$A$56:$N$56,0))*J$8+INDEX(JuniorzyPozytyw[],MATCH($A73,Juniorstwo!$A$57:$A$76,0),MATCH($B$9,Juniorstwo!$A$56:$N$56,0))*J$9+INDEX(JuniorzyPozytyw[],MATCH($A73,Juniorstwo!$A$57:$A$76,0),MATCH($B$10,Juniorstwo!$A$56:$N$56,0))*J$10+INDEX(JuniorzyPozytyw[],MATCH($A73,Juniorstwo!$A$57:$A$76,0),MATCH($B$11,Juniorstwo!$A$56:$N$56,0))*J$11+INDEX(JuniorzyPozytyw[],MATCH($A73,Juniorstwo!$A$57:$A$76,0),MATCH($B$12,Juniorstwo!$A$56:$N$56,0))*J$12+INDEX(JuniorzyPozytyw[],MATCH($A73,Juniorstwo!$A$57:$A$76,0),MATCH($B$13,Juniorstwo!$A$56:$N$56,0))*J$13,"-")</f>
        <v>75.5</v>
      </c>
      <c r="K73" s="38">
        <f ca="1">IFERROR(INDEX(JuniorzyPozytyw[],MATCH($A73,Juniorstwo!$A$57:$A$76,0),MATCH($B$2,Juniorstwo!$A$56:$N$56,0))*K$2+INDEX(JuniorzyPozytyw[],MATCH($A73,Juniorstwo!$A$57:$A$76,0),MATCH($B$3,Juniorstwo!$A$56:$N$56,0))*K$3+INDEX(JuniorzyPozytyw[],MATCH($A73,Juniorstwo!$A$57:$A$76,0),MATCH($B$4,Juniorstwo!$A$56:$N$56,0))*K$4+INDEX(JuniorzyPozytyw[],MATCH($A73,Juniorstwo!$A$57:$A$76,0),MATCH($B$5,Juniorstwo!$A$56:$N$56,0))*K$5+INDEX(JuniorzyPozytyw[],MATCH($A73,Juniorstwo!$A$57:$A$76,0),MATCH($B$6,Juniorstwo!$A$56:$N$56,0))*K$6+INDEX(JuniorzyPozytyw[],MATCH($A73,Juniorstwo!$A$57:$A$76,0),MATCH($B$7,Juniorstwo!$A$56:$N$56,0))*K$7+INDEX(JuniorzyPozytyw[],MATCH($A73,Juniorstwo!$A$57:$A$76,0),MATCH($B$8,Juniorstwo!$A$56:$N$56,0))*K$8+INDEX(JuniorzyPozytyw[],MATCH($A73,Juniorstwo!$A$57:$A$76,0),MATCH($B$9,Juniorstwo!$A$56:$N$56,0))*K$9+INDEX(JuniorzyPozytyw[],MATCH($A73,Juniorstwo!$A$57:$A$76,0),MATCH($B$10,Juniorstwo!$A$56:$N$56,0))*K$10+INDEX(JuniorzyPozytyw[],MATCH($A73,Juniorstwo!$A$57:$A$76,0),MATCH($B$11,Juniorstwo!$A$56:$N$56,0))*K$11+INDEX(JuniorzyPozytyw[],MATCH($A73,Juniorstwo!$A$57:$A$76,0),MATCH($B$12,Juniorstwo!$A$56:$N$56,0))*K$12+INDEX(JuniorzyPozytyw[],MATCH($A73,Juniorstwo!$A$57:$A$76,0),MATCH($B$13,Juniorstwo!$A$56:$N$56,0))*K$13,"-")</f>
        <v>82</v>
      </c>
    </row>
    <row r="74" spans="1:11" x14ac:dyDescent="0.25">
      <c r="A74">
        <f>IFERROR(PozJunPŚr[[#This Row],[Numer]],"-")</f>
        <v>48</v>
      </c>
      <c r="B74" s="3" t="str">
        <f>IFERROR(VLOOKUP(PozJunPMM[[#This Row],[Numer]],Zawodnicy[[Number]:[Player name]],2,FALSE),"-")</f>
        <v>Wincenty Zawaski</v>
      </c>
      <c r="C74" s="38">
        <f ca="1">IFERROR(INDEX(JuniorzyPozytyw[],MATCH($A74,Juniorstwo!$A$57:$A$76,0),MATCH($B$2,Juniorstwo!$A$56:$N$56,0))*C$2+INDEX(JuniorzyPozytyw[],MATCH($A74,Juniorstwo!$A$57:$A$76,0),MATCH($B$3,Juniorstwo!$A$56:$N$56,0))*C$3+INDEX(JuniorzyPozytyw[],MATCH($A74,Juniorstwo!$A$57:$A$76,0),MATCH($B$4,Juniorstwo!$A$56:$N$56,0))*C$4+INDEX(JuniorzyPozytyw[],MATCH($A74,Juniorstwo!$A$57:$A$76,0),MATCH($B$5,Juniorstwo!$A$56:$N$56,0))*C$5+INDEX(JuniorzyPozytyw[],MATCH($A74,Juniorstwo!$A$57:$A$76,0),MATCH($B$6,Juniorstwo!$A$56:$N$56,0))*C$6+INDEX(JuniorzyPozytyw[],MATCH($A74,Juniorstwo!$A$57:$A$76,0),MATCH($B$7,Juniorstwo!$A$56:$N$56,0))*C$7+INDEX(JuniorzyPozytyw[],MATCH($A74,Juniorstwo!$A$57:$A$76,0),MATCH($B$8,Juniorstwo!$A$56:$N$56,0))*C$8+INDEX(JuniorzyPozytyw[],MATCH($A74,Juniorstwo!$A$57:$A$76,0),MATCH($B$9,Juniorstwo!$A$56:$N$56,0))*C$9+INDEX(JuniorzyPozytyw[],MATCH($A74,Juniorstwo!$A$57:$A$76,0),MATCH($B$10,Juniorstwo!$A$56:$N$56,0))*C$10+INDEX(JuniorzyPozytyw[],MATCH($A74,Juniorstwo!$A$57:$A$76,0),MATCH($B$11,Juniorstwo!$A$56:$N$56,0))*C$11+INDEX(JuniorzyPozytyw[],MATCH($A74,Juniorstwo!$A$57:$A$76,0),MATCH($B$12,Juniorstwo!$A$56:$N$56,0))*C$12+INDEX(JuniorzyPozytyw[],MATCH($A74,Juniorstwo!$A$57:$A$76,0),MATCH($B$13,Juniorstwo!$A$56:$N$56,0))*C$13,"-")</f>
        <v>60.5</v>
      </c>
      <c r="D74" s="38">
        <f ca="1">IFERROR(INDEX(JuniorzyPozytyw[],MATCH($A74,Juniorstwo!$A$57:$A$76,0),MATCH($B$2,Juniorstwo!$A$56:$N$56,0))*D$2+INDEX(JuniorzyPozytyw[],MATCH($A74,Juniorstwo!$A$57:$A$76,0),MATCH($B$3,Juniorstwo!$A$56:$N$56,0))*D$3+INDEX(JuniorzyPozytyw[],MATCH($A74,Juniorstwo!$A$57:$A$76,0),MATCH($B$4,Juniorstwo!$A$56:$N$56,0))*D$4+INDEX(JuniorzyPozytyw[],MATCH($A74,Juniorstwo!$A$57:$A$76,0),MATCH($B$5,Juniorstwo!$A$56:$N$56,0))*D$5+INDEX(JuniorzyPozytyw[],MATCH($A74,Juniorstwo!$A$57:$A$76,0),MATCH($B$6,Juniorstwo!$A$56:$N$56,0))*D$6+INDEX(JuniorzyPozytyw[],MATCH($A74,Juniorstwo!$A$57:$A$76,0),MATCH($B$7,Juniorstwo!$A$56:$N$56,0))*D$7+INDEX(JuniorzyPozytyw[],MATCH($A74,Juniorstwo!$A$57:$A$76,0),MATCH($B$8,Juniorstwo!$A$56:$N$56,0))*D$8+INDEX(JuniorzyPozytyw[],MATCH($A74,Juniorstwo!$A$57:$A$76,0),MATCH($B$9,Juniorstwo!$A$56:$N$56,0))*D$9+INDEX(JuniorzyPozytyw[],MATCH($A74,Juniorstwo!$A$57:$A$76,0),MATCH($B$10,Juniorstwo!$A$56:$N$56,0))*D$10+INDEX(JuniorzyPozytyw[],MATCH($A74,Juniorstwo!$A$57:$A$76,0),MATCH($B$11,Juniorstwo!$A$56:$N$56,0))*D$11+INDEX(JuniorzyPozytyw[],MATCH($A74,Juniorstwo!$A$57:$A$76,0),MATCH($B$12,Juniorstwo!$A$56:$N$56,0))*D$12+INDEX(JuniorzyPozytyw[],MATCH($A74,Juniorstwo!$A$57:$A$76,0),MATCH($B$13,Juniorstwo!$A$56:$N$56,0))*D$13,"-")</f>
        <v>73.5</v>
      </c>
      <c r="E74" s="38">
        <f ca="1">IFERROR(INDEX(JuniorzyPozytyw[],MATCH($A74,Juniorstwo!$A$57:$A$76,0),MATCH($B$2,Juniorstwo!$A$56:$N$56,0))*E$2+INDEX(JuniorzyPozytyw[],MATCH($A74,Juniorstwo!$A$57:$A$76,0),MATCH($B$3,Juniorstwo!$A$56:$N$56,0))*E$3+INDEX(JuniorzyPozytyw[],MATCH($A74,Juniorstwo!$A$57:$A$76,0),MATCH($B$4,Juniorstwo!$A$56:$N$56,0))*E$4+INDEX(JuniorzyPozytyw[],MATCH($A74,Juniorstwo!$A$57:$A$76,0),MATCH($B$5,Juniorstwo!$A$56:$N$56,0))*E$5+INDEX(JuniorzyPozytyw[],MATCH($A74,Juniorstwo!$A$57:$A$76,0),MATCH($B$6,Juniorstwo!$A$56:$N$56,0))*E$6+INDEX(JuniorzyPozytyw[],MATCH($A74,Juniorstwo!$A$57:$A$76,0),MATCH($B$7,Juniorstwo!$A$56:$N$56,0))*E$7+INDEX(JuniorzyPozytyw[],MATCH($A74,Juniorstwo!$A$57:$A$76,0),MATCH($B$8,Juniorstwo!$A$56:$N$56,0))*E$8+INDEX(JuniorzyPozytyw[],MATCH($A74,Juniorstwo!$A$57:$A$76,0),MATCH($B$9,Juniorstwo!$A$56:$N$56,0))*E$9+INDEX(JuniorzyPozytyw[],MATCH($A74,Juniorstwo!$A$57:$A$76,0),MATCH($B$10,Juniorstwo!$A$56:$N$56,0))*E$10+INDEX(JuniorzyPozytyw[],MATCH($A74,Juniorstwo!$A$57:$A$76,0),MATCH($B$11,Juniorstwo!$A$56:$N$56,0))*E$11+INDEX(JuniorzyPozytyw[],MATCH($A74,Juniorstwo!$A$57:$A$76,0),MATCH($B$12,Juniorstwo!$A$56:$N$56,0))*E$12+INDEX(JuniorzyPozytyw[],MATCH($A74,Juniorstwo!$A$57:$A$76,0),MATCH($B$13,Juniorstwo!$A$56:$N$56,0))*E$13,"-")</f>
        <v>72.5</v>
      </c>
      <c r="F74" s="38">
        <f ca="1">IFERROR(INDEX(JuniorzyPozytyw[],MATCH($A74,Juniorstwo!$A$57:$A$76,0),MATCH($B$2,Juniorstwo!$A$56:$N$56,0))*F$2+INDEX(JuniorzyPozytyw[],MATCH($A74,Juniorstwo!$A$57:$A$76,0),MATCH($B$3,Juniorstwo!$A$56:$N$56,0))*F$3+INDEX(JuniorzyPozytyw[],MATCH($A74,Juniorstwo!$A$57:$A$76,0),MATCH($B$4,Juniorstwo!$A$56:$N$56,0))*F$4+INDEX(JuniorzyPozytyw[],MATCH($A74,Juniorstwo!$A$57:$A$76,0),MATCH($B$5,Juniorstwo!$A$56:$N$56,0))*F$5+INDEX(JuniorzyPozytyw[],MATCH($A74,Juniorstwo!$A$57:$A$76,0),MATCH($B$6,Juniorstwo!$A$56:$N$56,0))*F$6+INDEX(JuniorzyPozytyw[],MATCH($A74,Juniorstwo!$A$57:$A$76,0),MATCH($B$7,Juniorstwo!$A$56:$N$56,0))*F$7+INDEX(JuniorzyPozytyw[],MATCH($A74,Juniorstwo!$A$57:$A$76,0),MATCH($B$8,Juniorstwo!$A$56:$N$56,0))*F$8+INDEX(JuniorzyPozytyw[],MATCH($A74,Juniorstwo!$A$57:$A$76,0),MATCH($B$9,Juniorstwo!$A$56:$N$56,0))*F$9+INDEX(JuniorzyPozytyw[],MATCH($A74,Juniorstwo!$A$57:$A$76,0),MATCH($B$10,Juniorstwo!$A$56:$N$56,0))*F$10+INDEX(JuniorzyPozytyw[],MATCH($A74,Juniorstwo!$A$57:$A$76,0),MATCH($B$11,Juniorstwo!$A$56:$N$56,0))*F$11+INDEX(JuniorzyPozytyw[],MATCH($A74,Juniorstwo!$A$57:$A$76,0),MATCH($B$12,Juniorstwo!$A$56:$N$56,0))*F$12+INDEX(JuniorzyPozytyw[],MATCH($A74,Juniorstwo!$A$57:$A$76,0),MATCH($B$13,Juniorstwo!$A$56:$N$56,0))*F$13,"-")</f>
        <v>72.5</v>
      </c>
      <c r="G74" s="38">
        <f ca="1">IFERROR(INDEX(JuniorzyPozytyw[],MATCH($A74,Juniorstwo!$A$57:$A$76,0),MATCH($B$2,Juniorstwo!$A$56:$N$56,0))*G$2+INDEX(JuniorzyPozytyw[],MATCH($A74,Juniorstwo!$A$57:$A$76,0),MATCH($B$3,Juniorstwo!$A$56:$N$56,0))*G$3+INDEX(JuniorzyPozytyw[],MATCH($A74,Juniorstwo!$A$57:$A$76,0),MATCH($B$4,Juniorstwo!$A$56:$N$56,0))*G$4+INDEX(JuniorzyPozytyw[],MATCH($A74,Juniorstwo!$A$57:$A$76,0),MATCH($B$5,Juniorstwo!$A$56:$N$56,0))*G$5+INDEX(JuniorzyPozytyw[],MATCH($A74,Juniorstwo!$A$57:$A$76,0),MATCH($B$6,Juniorstwo!$A$56:$N$56,0))*G$6+INDEX(JuniorzyPozytyw[],MATCH($A74,Juniorstwo!$A$57:$A$76,0),MATCH($B$7,Juniorstwo!$A$56:$N$56,0))*G$7+INDEX(JuniorzyPozytyw[],MATCH($A74,Juniorstwo!$A$57:$A$76,0),MATCH($B$8,Juniorstwo!$A$56:$N$56,0))*G$8+INDEX(JuniorzyPozytyw[],MATCH($A74,Juniorstwo!$A$57:$A$76,0),MATCH($B$9,Juniorstwo!$A$56:$N$56,0))*G$9+INDEX(JuniorzyPozytyw[],MATCH($A74,Juniorstwo!$A$57:$A$76,0),MATCH($B$10,Juniorstwo!$A$56:$N$56,0))*G$10+INDEX(JuniorzyPozytyw[],MATCH($A74,Juniorstwo!$A$57:$A$76,0),MATCH($B$11,Juniorstwo!$A$56:$N$56,0))*G$11+INDEX(JuniorzyPozytyw[],MATCH($A74,Juniorstwo!$A$57:$A$76,0),MATCH($B$12,Juniorstwo!$A$56:$N$56,0))*G$12+INDEX(JuniorzyPozytyw[],MATCH($A74,Juniorstwo!$A$57:$A$76,0),MATCH($B$13,Juniorstwo!$A$56:$N$56,0))*G$13,"-")</f>
        <v>73.5</v>
      </c>
      <c r="H74" s="38">
        <f ca="1">IFERROR(INDEX(JuniorzyPozytyw[],MATCH($A74,Juniorstwo!$A$57:$A$76,0),MATCH($B$2,Juniorstwo!$A$56:$N$56,0))*H$2+INDEX(JuniorzyPozytyw[],MATCH($A74,Juniorstwo!$A$57:$A$76,0),MATCH($B$3,Juniorstwo!$A$56:$N$56,0))*H$3+INDEX(JuniorzyPozytyw[],MATCH($A74,Juniorstwo!$A$57:$A$76,0),MATCH($B$4,Juniorstwo!$A$56:$N$56,0))*H$4+INDEX(JuniorzyPozytyw[],MATCH($A74,Juniorstwo!$A$57:$A$76,0),MATCH($B$5,Juniorstwo!$A$56:$N$56,0))*H$5+INDEX(JuniorzyPozytyw[],MATCH($A74,Juniorstwo!$A$57:$A$76,0),MATCH($B$6,Juniorstwo!$A$56:$N$56,0))*H$6+INDEX(JuniorzyPozytyw[],MATCH($A74,Juniorstwo!$A$57:$A$76,0),MATCH($B$7,Juniorstwo!$A$56:$N$56,0))*H$7+INDEX(JuniorzyPozytyw[],MATCH($A74,Juniorstwo!$A$57:$A$76,0),MATCH($B$8,Juniorstwo!$A$56:$N$56,0))*H$8+INDEX(JuniorzyPozytyw[],MATCH($A74,Juniorstwo!$A$57:$A$76,0),MATCH($B$9,Juniorstwo!$A$56:$N$56,0))*H$9+INDEX(JuniorzyPozytyw[],MATCH($A74,Juniorstwo!$A$57:$A$76,0),MATCH($B$10,Juniorstwo!$A$56:$N$56,0))*H$10+INDEX(JuniorzyPozytyw[],MATCH($A74,Juniorstwo!$A$57:$A$76,0),MATCH($B$11,Juniorstwo!$A$56:$N$56,0))*H$11+INDEX(JuniorzyPozytyw[],MATCH($A74,Juniorstwo!$A$57:$A$76,0),MATCH($B$12,Juniorstwo!$A$56:$N$56,0))*H$12+INDEX(JuniorzyPozytyw[],MATCH($A74,Juniorstwo!$A$57:$A$76,0),MATCH($B$13,Juniorstwo!$A$56:$N$56,0))*H$13,"-")</f>
        <v>73.5</v>
      </c>
      <c r="I74" s="38">
        <f ca="1">IFERROR(INDEX(JuniorzyPozytyw[],MATCH($A74,Juniorstwo!$A$57:$A$76,0),MATCH($B$2,Juniorstwo!$A$56:$N$56,0))*I$2+INDEX(JuniorzyPozytyw[],MATCH($A74,Juniorstwo!$A$57:$A$76,0),MATCH($B$3,Juniorstwo!$A$56:$N$56,0))*I$3+INDEX(JuniorzyPozytyw[],MATCH($A74,Juniorstwo!$A$57:$A$76,0),MATCH($B$4,Juniorstwo!$A$56:$N$56,0))*I$4+INDEX(JuniorzyPozytyw[],MATCH($A74,Juniorstwo!$A$57:$A$76,0),MATCH($B$5,Juniorstwo!$A$56:$N$56,0))*I$5+INDEX(JuniorzyPozytyw[],MATCH($A74,Juniorstwo!$A$57:$A$76,0),MATCH($B$6,Juniorstwo!$A$56:$N$56,0))*I$6+INDEX(JuniorzyPozytyw[],MATCH($A74,Juniorstwo!$A$57:$A$76,0),MATCH($B$7,Juniorstwo!$A$56:$N$56,0))*I$7+INDEX(JuniorzyPozytyw[],MATCH($A74,Juniorstwo!$A$57:$A$76,0),MATCH($B$8,Juniorstwo!$A$56:$N$56,0))*I$8+INDEX(JuniorzyPozytyw[],MATCH($A74,Juniorstwo!$A$57:$A$76,0),MATCH($B$9,Juniorstwo!$A$56:$N$56,0))*I$9+INDEX(JuniorzyPozytyw[],MATCH($A74,Juniorstwo!$A$57:$A$76,0),MATCH($B$10,Juniorstwo!$A$56:$N$56,0))*I$10+INDEX(JuniorzyPozytyw[],MATCH($A74,Juniorstwo!$A$57:$A$76,0),MATCH($B$11,Juniorstwo!$A$56:$N$56,0))*I$11+INDEX(JuniorzyPozytyw[],MATCH($A74,Juniorstwo!$A$57:$A$76,0),MATCH($B$12,Juniorstwo!$A$56:$N$56,0))*I$12+INDEX(JuniorzyPozytyw[],MATCH($A74,Juniorstwo!$A$57:$A$76,0),MATCH($B$13,Juniorstwo!$A$56:$N$56,0))*I$13,"-")</f>
        <v>72.5</v>
      </c>
      <c r="J74" s="38">
        <f ca="1">IFERROR(INDEX(JuniorzyPozytyw[],MATCH($A74,Juniorstwo!$A$57:$A$76,0),MATCH($B$2,Juniorstwo!$A$56:$N$56,0))*J$2+INDEX(JuniorzyPozytyw[],MATCH($A74,Juniorstwo!$A$57:$A$76,0),MATCH($B$3,Juniorstwo!$A$56:$N$56,0))*J$3+INDEX(JuniorzyPozytyw[],MATCH($A74,Juniorstwo!$A$57:$A$76,0),MATCH($B$4,Juniorstwo!$A$56:$N$56,0))*J$4+INDEX(JuniorzyPozytyw[],MATCH($A74,Juniorstwo!$A$57:$A$76,0),MATCH($B$5,Juniorstwo!$A$56:$N$56,0))*J$5+INDEX(JuniorzyPozytyw[],MATCH($A74,Juniorstwo!$A$57:$A$76,0),MATCH($B$6,Juniorstwo!$A$56:$N$56,0))*J$6+INDEX(JuniorzyPozytyw[],MATCH($A74,Juniorstwo!$A$57:$A$76,0),MATCH($B$7,Juniorstwo!$A$56:$N$56,0))*J$7+INDEX(JuniorzyPozytyw[],MATCH($A74,Juniorstwo!$A$57:$A$76,0),MATCH($B$8,Juniorstwo!$A$56:$N$56,0))*J$8+INDEX(JuniorzyPozytyw[],MATCH($A74,Juniorstwo!$A$57:$A$76,0),MATCH($B$9,Juniorstwo!$A$56:$N$56,0))*J$9+INDEX(JuniorzyPozytyw[],MATCH($A74,Juniorstwo!$A$57:$A$76,0),MATCH($B$10,Juniorstwo!$A$56:$N$56,0))*J$10+INDEX(JuniorzyPozytyw[],MATCH($A74,Juniorstwo!$A$57:$A$76,0),MATCH($B$11,Juniorstwo!$A$56:$N$56,0))*J$11+INDEX(JuniorzyPozytyw[],MATCH($A74,Juniorstwo!$A$57:$A$76,0),MATCH($B$12,Juniorstwo!$A$56:$N$56,0))*J$12+INDEX(JuniorzyPozytyw[],MATCH($A74,Juniorstwo!$A$57:$A$76,0),MATCH($B$13,Juniorstwo!$A$56:$N$56,0))*J$13,"-")</f>
        <v>74.5</v>
      </c>
      <c r="K74" s="38">
        <f ca="1">IFERROR(INDEX(JuniorzyPozytyw[],MATCH($A74,Juniorstwo!$A$57:$A$76,0),MATCH($B$2,Juniorstwo!$A$56:$N$56,0))*K$2+INDEX(JuniorzyPozytyw[],MATCH($A74,Juniorstwo!$A$57:$A$76,0),MATCH($B$3,Juniorstwo!$A$56:$N$56,0))*K$3+INDEX(JuniorzyPozytyw[],MATCH($A74,Juniorstwo!$A$57:$A$76,0),MATCH($B$4,Juniorstwo!$A$56:$N$56,0))*K$4+INDEX(JuniorzyPozytyw[],MATCH($A74,Juniorstwo!$A$57:$A$76,0),MATCH($B$5,Juniorstwo!$A$56:$N$56,0))*K$5+INDEX(JuniorzyPozytyw[],MATCH($A74,Juniorstwo!$A$57:$A$76,0),MATCH($B$6,Juniorstwo!$A$56:$N$56,0))*K$6+INDEX(JuniorzyPozytyw[],MATCH($A74,Juniorstwo!$A$57:$A$76,0),MATCH($B$7,Juniorstwo!$A$56:$N$56,0))*K$7+INDEX(JuniorzyPozytyw[],MATCH($A74,Juniorstwo!$A$57:$A$76,0),MATCH($B$8,Juniorstwo!$A$56:$N$56,0))*K$8+INDEX(JuniorzyPozytyw[],MATCH($A74,Juniorstwo!$A$57:$A$76,0),MATCH($B$9,Juniorstwo!$A$56:$N$56,0))*K$9+INDEX(JuniorzyPozytyw[],MATCH($A74,Juniorstwo!$A$57:$A$76,0),MATCH($B$10,Juniorstwo!$A$56:$N$56,0))*K$10+INDEX(JuniorzyPozytyw[],MATCH($A74,Juniorstwo!$A$57:$A$76,0),MATCH($B$11,Juniorstwo!$A$56:$N$56,0))*K$11+INDEX(JuniorzyPozytyw[],MATCH($A74,Juniorstwo!$A$57:$A$76,0),MATCH($B$12,Juniorstwo!$A$56:$N$56,0))*K$12+INDEX(JuniorzyPozytyw[],MATCH($A74,Juniorstwo!$A$57:$A$76,0),MATCH($B$13,Juniorstwo!$A$56:$N$56,0))*K$13,"-")</f>
        <v>72.5</v>
      </c>
    </row>
    <row r="75" spans="1:11" x14ac:dyDescent="0.25">
      <c r="A75">
        <f>IFERROR(PozJunPŚr[[#This Row],[Numer]],"-")</f>
        <v>49</v>
      </c>
      <c r="B75" s="3" t="str">
        <f>IFERROR(VLOOKUP(PozJunPMM[[#This Row],[Numer]],Zawodnicy[[Number]:[Player name]],2,FALSE),"-")</f>
        <v>Dobromir Kolacki</v>
      </c>
      <c r="C75" s="38">
        <f ca="1">IFERROR(INDEX(JuniorzyPozytyw[],MATCH($A75,Juniorstwo!$A$57:$A$76,0),MATCH($B$2,Juniorstwo!$A$56:$N$56,0))*C$2+INDEX(JuniorzyPozytyw[],MATCH($A75,Juniorstwo!$A$57:$A$76,0),MATCH($B$3,Juniorstwo!$A$56:$N$56,0))*C$3+INDEX(JuniorzyPozytyw[],MATCH($A75,Juniorstwo!$A$57:$A$76,0),MATCH($B$4,Juniorstwo!$A$56:$N$56,0))*C$4+INDEX(JuniorzyPozytyw[],MATCH($A75,Juniorstwo!$A$57:$A$76,0),MATCH($B$5,Juniorstwo!$A$56:$N$56,0))*C$5+INDEX(JuniorzyPozytyw[],MATCH($A75,Juniorstwo!$A$57:$A$76,0),MATCH($B$6,Juniorstwo!$A$56:$N$56,0))*C$6+INDEX(JuniorzyPozytyw[],MATCH($A75,Juniorstwo!$A$57:$A$76,0),MATCH($B$7,Juniorstwo!$A$56:$N$56,0))*C$7+INDEX(JuniorzyPozytyw[],MATCH($A75,Juniorstwo!$A$57:$A$76,0),MATCH($B$8,Juniorstwo!$A$56:$N$56,0))*C$8+INDEX(JuniorzyPozytyw[],MATCH($A75,Juniorstwo!$A$57:$A$76,0),MATCH($B$9,Juniorstwo!$A$56:$N$56,0))*C$9+INDEX(JuniorzyPozytyw[],MATCH($A75,Juniorstwo!$A$57:$A$76,0),MATCH($B$10,Juniorstwo!$A$56:$N$56,0))*C$10+INDEX(JuniorzyPozytyw[],MATCH($A75,Juniorstwo!$A$57:$A$76,0),MATCH($B$11,Juniorstwo!$A$56:$N$56,0))*C$11+INDEX(JuniorzyPozytyw[],MATCH($A75,Juniorstwo!$A$57:$A$76,0),MATCH($B$12,Juniorstwo!$A$56:$N$56,0))*C$12+INDEX(JuniorzyPozytyw[],MATCH($A75,Juniorstwo!$A$57:$A$76,0),MATCH($B$13,Juniorstwo!$A$56:$N$56,0))*C$13,"-")</f>
        <v>91.5</v>
      </c>
      <c r="D75" s="38">
        <f ca="1">IFERROR(INDEX(JuniorzyPozytyw[],MATCH($A75,Juniorstwo!$A$57:$A$76,0),MATCH($B$2,Juniorstwo!$A$56:$N$56,0))*D$2+INDEX(JuniorzyPozytyw[],MATCH($A75,Juniorstwo!$A$57:$A$76,0),MATCH($B$3,Juniorstwo!$A$56:$N$56,0))*D$3+INDEX(JuniorzyPozytyw[],MATCH($A75,Juniorstwo!$A$57:$A$76,0),MATCH($B$4,Juniorstwo!$A$56:$N$56,0))*D$4+INDEX(JuniorzyPozytyw[],MATCH($A75,Juniorstwo!$A$57:$A$76,0),MATCH($B$5,Juniorstwo!$A$56:$N$56,0))*D$5+INDEX(JuniorzyPozytyw[],MATCH($A75,Juniorstwo!$A$57:$A$76,0),MATCH($B$6,Juniorstwo!$A$56:$N$56,0))*D$6+INDEX(JuniorzyPozytyw[],MATCH($A75,Juniorstwo!$A$57:$A$76,0),MATCH($B$7,Juniorstwo!$A$56:$N$56,0))*D$7+INDEX(JuniorzyPozytyw[],MATCH($A75,Juniorstwo!$A$57:$A$76,0),MATCH($B$8,Juniorstwo!$A$56:$N$56,0))*D$8+INDEX(JuniorzyPozytyw[],MATCH($A75,Juniorstwo!$A$57:$A$76,0),MATCH($B$9,Juniorstwo!$A$56:$N$56,0))*D$9+INDEX(JuniorzyPozytyw[],MATCH($A75,Juniorstwo!$A$57:$A$76,0),MATCH($B$10,Juniorstwo!$A$56:$N$56,0))*D$10+INDEX(JuniorzyPozytyw[],MATCH($A75,Juniorstwo!$A$57:$A$76,0),MATCH($B$11,Juniorstwo!$A$56:$N$56,0))*D$11+INDEX(JuniorzyPozytyw[],MATCH($A75,Juniorstwo!$A$57:$A$76,0),MATCH($B$12,Juniorstwo!$A$56:$N$56,0))*D$12+INDEX(JuniorzyPozytyw[],MATCH($A75,Juniorstwo!$A$57:$A$76,0),MATCH($B$13,Juniorstwo!$A$56:$N$56,0))*D$13,"-")</f>
        <v>77.5</v>
      </c>
      <c r="E75" s="38">
        <f ca="1">IFERROR(INDEX(JuniorzyPozytyw[],MATCH($A75,Juniorstwo!$A$57:$A$76,0),MATCH($B$2,Juniorstwo!$A$56:$N$56,0))*E$2+INDEX(JuniorzyPozytyw[],MATCH($A75,Juniorstwo!$A$57:$A$76,0),MATCH($B$3,Juniorstwo!$A$56:$N$56,0))*E$3+INDEX(JuniorzyPozytyw[],MATCH($A75,Juniorstwo!$A$57:$A$76,0),MATCH($B$4,Juniorstwo!$A$56:$N$56,0))*E$4+INDEX(JuniorzyPozytyw[],MATCH($A75,Juniorstwo!$A$57:$A$76,0),MATCH($B$5,Juniorstwo!$A$56:$N$56,0))*E$5+INDEX(JuniorzyPozytyw[],MATCH($A75,Juniorstwo!$A$57:$A$76,0),MATCH($B$6,Juniorstwo!$A$56:$N$56,0))*E$6+INDEX(JuniorzyPozytyw[],MATCH($A75,Juniorstwo!$A$57:$A$76,0),MATCH($B$7,Juniorstwo!$A$56:$N$56,0))*E$7+INDEX(JuniorzyPozytyw[],MATCH($A75,Juniorstwo!$A$57:$A$76,0),MATCH($B$8,Juniorstwo!$A$56:$N$56,0))*E$8+INDEX(JuniorzyPozytyw[],MATCH($A75,Juniorstwo!$A$57:$A$76,0),MATCH($B$9,Juniorstwo!$A$56:$N$56,0))*E$9+INDEX(JuniorzyPozytyw[],MATCH($A75,Juniorstwo!$A$57:$A$76,0),MATCH($B$10,Juniorstwo!$A$56:$N$56,0))*E$10+INDEX(JuniorzyPozytyw[],MATCH($A75,Juniorstwo!$A$57:$A$76,0),MATCH($B$11,Juniorstwo!$A$56:$N$56,0))*E$11+INDEX(JuniorzyPozytyw[],MATCH($A75,Juniorstwo!$A$57:$A$76,0),MATCH($B$12,Juniorstwo!$A$56:$N$56,0))*E$12+INDEX(JuniorzyPozytyw[],MATCH($A75,Juniorstwo!$A$57:$A$76,0),MATCH($B$13,Juniorstwo!$A$56:$N$56,0))*E$13,"-")</f>
        <v>74.5</v>
      </c>
      <c r="F75" s="38">
        <f ca="1">IFERROR(INDEX(JuniorzyPozytyw[],MATCH($A75,Juniorstwo!$A$57:$A$76,0),MATCH($B$2,Juniorstwo!$A$56:$N$56,0))*F$2+INDEX(JuniorzyPozytyw[],MATCH($A75,Juniorstwo!$A$57:$A$76,0),MATCH($B$3,Juniorstwo!$A$56:$N$56,0))*F$3+INDEX(JuniorzyPozytyw[],MATCH($A75,Juniorstwo!$A$57:$A$76,0),MATCH($B$4,Juniorstwo!$A$56:$N$56,0))*F$4+INDEX(JuniorzyPozytyw[],MATCH($A75,Juniorstwo!$A$57:$A$76,0),MATCH($B$5,Juniorstwo!$A$56:$N$56,0))*F$5+INDEX(JuniorzyPozytyw[],MATCH($A75,Juniorstwo!$A$57:$A$76,0),MATCH($B$6,Juniorstwo!$A$56:$N$56,0))*F$6+INDEX(JuniorzyPozytyw[],MATCH($A75,Juniorstwo!$A$57:$A$76,0),MATCH($B$7,Juniorstwo!$A$56:$N$56,0))*F$7+INDEX(JuniorzyPozytyw[],MATCH($A75,Juniorstwo!$A$57:$A$76,0),MATCH($B$8,Juniorstwo!$A$56:$N$56,0))*F$8+INDEX(JuniorzyPozytyw[],MATCH($A75,Juniorstwo!$A$57:$A$76,0),MATCH($B$9,Juniorstwo!$A$56:$N$56,0))*F$9+INDEX(JuniorzyPozytyw[],MATCH($A75,Juniorstwo!$A$57:$A$76,0),MATCH($B$10,Juniorstwo!$A$56:$N$56,0))*F$10+INDEX(JuniorzyPozytyw[],MATCH($A75,Juniorstwo!$A$57:$A$76,0),MATCH($B$11,Juniorstwo!$A$56:$N$56,0))*F$11+INDEX(JuniorzyPozytyw[],MATCH($A75,Juniorstwo!$A$57:$A$76,0),MATCH($B$12,Juniorstwo!$A$56:$N$56,0))*F$12+INDEX(JuniorzyPozytyw[],MATCH($A75,Juniorstwo!$A$57:$A$76,0),MATCH($B$13,Juniorstwo!$A$56:$N$56,0))*F$13,"-")</f>
        <v>75.5</v>
      </c>
      <c r="G75" s="38">
        <f ca="1">IFERROR(INDEX(JuniorzyPozytyw[],MATCH($A75,Juniorstwo!$A$57:$A$76,0),MATCH($B$2,Juniorstwo!$A$56:$N$56,0))*G$2+INDEX(JuniorzyPozytyw[],MATCH($A75,Juniorstwo!$A$57:$A$76,0),MATCH($B$3,Juniorstwo!$A$56:$N$56,0))*G$3+INDEX(JuniorzyPozytyw[],MATCH($A75,Juniorstwo!$A$57:$A$76,0),MATCH($B$4,Juniorstwo!$A$56:$N$56,0))*G$4+INDEX(JuniorzyPozytyw[],MATCH($A75,Juniorstwo!$A$57:$A$76,0),MATCH($B$5,Juniorstwo!$A$56:$N$56,0))*G$5+INDEX(JuniorzyPozytyw[],MATCH($A75,Juniorstwo!$A$57:$A$76,0),MATCH($B$6,Juniorstwo!$A$56:$N$56,0))*G$6+INDEX(JuniorzyPozytyw[],MATCH($A75,Juniorstwo!$A$57:$A$76,0),MATCH($B$7,Juniorstwo!$A$56:$N$56,0))*G$7+INDEX(JuniorzyPozytyw[],MATCH($A75,Juniorstwo!$A$57:$A$76,0),MATCH($B$8,Juniorstwo!$A$56:$N$56,0))*G$8+INDEX(JuniorzyPozytyw[],MATCH($A75,Juniorstwo!$A$57:$A$76,0),MATCH($B$9,Juniorstwo!$A$56:$N$56,0))*G$9+INDEX(JuniorzyPozytyw[],MATCH($A75,Juniorstwo!$A$57:$A$76,0),MATCH($B$10,Juniorstwo!$A$56:$N$56,0))*G$10+INDEX(JuniorzyPozytyw[],MATCH($A75,Juniorstwo!$A$57:$A$76,0),MATCH($B$11,Juniorstwo!$A$56:$N$56,0))*G$11+INDEX(JuniorzyPozytyw[],MATCH($A75,Juniorstwo!$A$57:$A$76,0),MATCH($B$12,Juniorstwo!$A$56:$N$56,0))*G$12+INDEX(JuniorzyPozytyw[],MATCH($A75,Juniorstwo!$A$57:$A$76,0),MATCH($B$13,Juniorstwo!$A$56:$N$56,0))*G$13,"-")</f>
        <v>76.5</v>
      </c>
      <c r="H75" s="38">
        <f ca="1">IFERROR(INDEX(JuniorzyPozytyw[],MATCH($A75,Juniorstwo!$A$57:$A$76,0),MATCH($B$2,Juniorstwo!$A$56:$N$56,0))*H$2+INDEX(JuniorzyPozytyw[],MATCH($A75,Juniorstwo!$A$57:$A$76,0),MATCH($B$3,Juniorstwo!$A$56:$N$56,0))*H$3+INDEX(JuniorzyPozytyw[],MATCH($A75,Juniorstwo!$A$57:$A$76,0),MATCH($B$4,Juniorstwo!$A$56:$N$56,0))*H$4+INDEX(JuniorzyPozytyw[],MATCH($A75,Juniorstwo!$A$57:$A$76,0),MATCH($B$5,Juniorstwo!$A$56:$N$56,0))*H$5+INDEX(JuniorzyPozytyw[],MATCH($A75,Juniorstwo!$A$57:$A$76,0),MATCH($B$6,Juniorstwo!$A$56:$N$56,0))*H$6+INDEX(JuniorzyPozytyw[],MATCH($A75,Juniorstwo!$A$57:$A$76,0),MATCH($B$7,Juniorstwo!$A$56:$N$56,0))*H$7+INDEX(JuniorzyPozytyw[],MATCH($A75,Juniorstwo!$A$57:$A$76,0),MATCH($B$8,Juniorstwo!$A$56:$N$56,0))*H$8+INDEX(JuniorzyPozytyw[],MATCH($A75,Juniorstwo!$A$57:$A$76,0),MATCH($B$9,Juniorstwo!$A$56:$N$56,0))*H$9+INDEX(JuniorzyPozytyw[],MATCH($A75,Juniorstwo!$A$57:$A$76,0),MATCH($B$10,Juniorstwo!$A$56:$N$56,0))*H$10+INDEX(JuniorzyPozytyw[],MATCH($A75,Juniorstwo!$A$57:$A$76,0),MATCH($B$11,Juniorstwo!$A$56:$N$56,0))*H$11+INDEX(JuniorzyPozytyw[],MATCH($A75,Juniorstwo!$A$57:$A$76,0),MATCH($B$12,Juniorstwo!$A$56:$N$56,0))*H$12+INDEX(JuniorzyPozytyw[],MATCH($A75,Juniorstwo!$A$57:$A$76,0),MATCH($B$13,Juniorstwo!$A$56:$N$56,0))*H$13,"-")</f>
        <v>74</v>
      </c>
      <c r="I75" s="38">
        <f ca="1">IFERROR(INDEX(JuniorzyPozytyw[],MATCH($A75,Juniorstwo!$A$57:$A$76,0),MATCH($B$2,Juniorstwo!$A$56:$N$56,0))*I$2+INDEX(JuniorzyPozytyw[],MATCH($A75,Juniorstwo!$A$57:$A$76,0),MATCH($B$3,Juniorstwo!$A$56:$N$56,0))*I$3+INDEX(JuniorzyPozytyw[],MATCH($A75,Juniorstwo!$A$57:$A$76,0),MATCH($B$4,Juniorstwo!$A$56:$N$56,0))*I$4+INDEX(JuniorzyPozytyw[],MATCH($A75,Juniorstwo!$A$57:$A$76,0),MATCH($B$5,Juniorstwo!$A$56:$N$56,0))*I$5+INDEX(JuniorzyPozytyw[],MATCH($A75,Juniorstwo!$A$57:$A$76,0),MATCH($B$6,Juniorstwo!$A$56:$N$56,0))*I$6+INDEX(JuniorzyPozytyw[],MATCH($A75,Juniorstwo!$A$57:$A$76,0),MATCH($B$7,Juniorstwo!$A$56:$N$56,0))*I$7+INDEX(JuniorzyPozytyw[],MATCH($A75,Juniorstwo!$A$57:$A$76,0),MATCH($B$8,Juniorstwo!$A$56:$N$56,0))*I$8+INDEX(JuniorzyPozytyw[],MATCH($A75,Juniorstwo!$A$57:$A$76,0),MATCH($B$9,Juniorstwo!$A$56:$N$56,0))*I$9+INDEX(JuniorzyPozytyw[],MATCH($A75,Juniorstwo!$A$57:$A$76,0),MATCH($B$10,Juniorstwo!$A$56:$N$56,0))*I$10+INDEX(JuniorzyPozytyw[],MATCH($A75,Juniorstwo!$A$57:$A$76,0),MATCH($B$11,Juniorstwo!$A$56:$N$56,0))*I$11+INDEX(JuniorzyPozytyw[],MATCH($A75,Juniorstwo!$A$57:$A$76,0),MATCH($B$12,Juniorstwo!$A$56:$N$56,0))*I$12+INDEX(JuniorzyPozytyw[],MATCH($A75,Juniorstwo!$A$57:$A$76,0),MATCH($B$13,Juniorstwo!$A$56:$N$56,0))*I$13,"-")</f>
        <v>71.5</v>
      </c>
      <c r="J75" s="38">
        <f ca="1">IFERROR(INDEX(JuniorzyPozytyw[],MATCH($A75,Juniorstwo!$A$57:$A$76,0),MATCH($B$2,Juniorstwo!$A$56:$N$56,0))*J$2+INDEX(JuniorzyPozytyw[],MATCH($A75,Juniorstwo!$A$57:$A$76,0),MATCH($B$3,Juniorstwo!$A$56:$N$56,0))*J$3+INDEX(JuniorzyPozytyw[],MATCH($A75,Juniorstwo!$A$57:$A$76,0),MATCH($B$4,Juniorstwo!$A$56:$N$56,0))*J$4+INDEX(JuniorzyPozytyw[],MATCH($A75,Juniorstwo!$A$57:$A$76,0),MATCH($B$5,Juniorstwo!$A$56:$N$56,0))*J$5+INDEX(JuniorzyPozytyw[],MATCH($A75,Juniorstwo!$A$57:$A$76,0),MATCH($B$6,Juniorstwo!$A$56:$N$56,0))*J$6+INDEX(JuniorzyPozytyw[],MATCH($A75,Juniorstwo!$A$57:$A$76,0),MATCH($B$7,Juniorstwo!$A$56:$N$56,0))*J$7+INDEX(JuniorzyPozytyw[],MATCH($A75,Juniorstwo!$A$57:$A$76,0),MATCH($B$8,Juniorstwo!$A$56:$N$56,0))*J$8+INDEX(JuniorzyPozytyw[],MATCH($A75,Juniorstwo!$A$57:$A$76,0),MATCH($B$9,Juniorstwo!$A$56:$N$56,0))*J$9+INDEX(JuniorzyPozytyw[],MATCH($A75,Juniorstwo!$A$57:$A$76,0),MATCH($B$10,Juniorstwo!$A$56:$N$56,0))*J$10+INDEX(JuniorzyPozytyw[],MATCH($A75,Juniorstwo!$A$57:$A$76,0),MATCH($B$11,Juniorstwo!$A$56:$N$56,0))*J$11+INDEX(JuniorzyPozytyw[],MATCH($A75,Juniorstwo!$A$57:$A$76,0),MATCH($B$12,Juniorstwo!$A$56:$N$56,0))*J$12+INDEX(JuniorzyPozytyw[],MATCH($A75,Juniorstwo!$A$57:$A$76,0),MATCH($B$13,Juniorstwo!$A$56:$N$56,0))*J$13,"-")</f>
        <v>73</v>
      </c>
      <c r="K75" s="38">
        <f ca="1">IFERROR(INDEX(JuniorzyPozytyw[],MATCH($A75,Juniorstwo!$A$57:$A$76,0),MATCH($B$2,Juniorstwo!$A$56:$N$56,0))*K$2+INDEX(JuniorzyPozytyw[],MATCH($A75,Juniorstwo!$A$57:$A$76,0),MATCH($B$3,Juniorstwo!$A$56:$N$56,0))*K$3+INDEX(JuniorzyPozytyw[],MATCH($A75,Juniorstwo!$A$57:$A$76,0),MATCH($B$4,Juniorstwo!$A$56:$N$56,0))*K$4+INDEX(JuniorzyPozytyw[],MATCH($A75,Juniorstwo!$A$57:$A$76,0),MATCH($B$5,Juniorstwo!$A$56:$N$56,0))*K$5+INDEX(JuniorzyPozytyw[],MATCH($A75,Juniorstwo!$A$57:$A$76,0),MATCH($B$6,Juniorstwo!$A$56:$N$56,0))*K$6+INDEX(JuniorzyPozytyw[],MATCH($A75,Juniorstwo!$A$57:$A$76,0),MATCH($B$7,Juniorstwo!$A$56:$N$56,0))*K$7+INDEX(JuniorzyPozytyw[],MATCH($A75,Juniorstwo!$A$57:$A$76,0),MATCH($B$8,Juniorstwo!$A$56:$N$56,0))*K$8+INDEX(JuniorzyPozytyw[],MATCH($A75,Juniorstwo!$A$57:$A$76,0),MATCH($B$9,Juniorstwo!$A$56:$N$56,0))*K$9+INDEX(JuniorzyPozytyw[],MATCH($A75,Juniorstwo!$A$57:$A$76,0),MATCH($B$10,Juniorstwo!$A$56:$N$56,0))*K$10+INDEX(JuniorzyPozytyw[],MATCH($A75,Juniorstwo!$A$57:$A$76,0),MATCH($B$11,Juniorstwo!$A$56:$N$56,0))*K$11+INDEX(JuniorzyPozytyw[],MATCH($A75,Juniorstwo!$A$57:$A$76,0),MATCH($B$12,Juniorstwo!$A$56:$N$56,0))*K$12+INDEX(JuniorzyPozytyw[],MATCH($A75,Juniorstwo!$A$57:$A$76,0),MATCH($B$13,Juniorstwo!$A$56:$N$56,0))*K$13,"-")</f>
        <v>68</v>
      </c>
    </row>
    <row r="76" spans="1:11" x14ac:dyDescent="0.25">
      <c r="A76">
        <f>IFERROR(PozJunPŚr[[#This Row],[Numer]],"-")</f>
        <v>50</v>
      </c>
      <c r="B76" s="3" t="str">
        <f>IFERROR(VLOOKUP(PozJunPMM[[#This Row],[Numer]],Zawodnicy[[Number]:[Player name]],2,FALSE),"-")</f>
        <v>Ludomil Robak</v>
      </c>
      <c r="C76" s="38">
        <f ca="1">IFERROR(INDEX(JuniorzyPozytyw[],MATCH($A76,Juniorstwo!$A$57:$A$76,0),MATCH($B$2,Juniorstwo!$A$56:$N$56,0))*C$2+INDEX(JuniorzyPozytyw[],MATCH($A76,Juniorstwo!$A$57:$A$76,0),MATCH($B$3,Juniorstwo!$A$56:$N$56,0))*C$3+INDEX(JuniorzyPozytyw[],MATCH($A76,Juniorstwo!$A$57:$A$76,0),MATCH($B$4,Juniorstwo!$A$56:$N$56,0))*C$4+INDEX(JuniorzyPozytyw[],MATCH($A76,Juniorstwo!$A$57:$A$76,0),MATCH($B$5,Juniorstwo!$A$56:$N$56,0))*C$5+INDEX(JuniorzyPozytyw[],MATCH($A76,Juniorstwo!$A$57:$A$76,0),MATCH($B$6,Juniorstwo!$A$56:$N$56,0))*C$6+INDEX(JuniorzyPozytyw[],MATCH($A76,Juniorstwo!$A$57:$A$76,0),MATCH($B$7,Juniorstwo!$A$56:$N$56,0))*C$7+INDEX(JuniorzyPozytyw[],MATCH($A76,Juniorstwo!$A$57:$A$76,0),MATCH($B$8,Juniorstwo!$A$56:$N$56,0))*C$8+INDEX(JuniorzyPozytyw[],MATCH($A76,Juniorstwo!$A$57:$A$76,0),MATCH($B$9,Juniorstwo!$A$56:$N$56,0))*C$9+INDEX(JuniorzyPozytyw[],MATCH($A76,Juniorstwo!$A$57:$A$76,0),MATCH($B$10,Juniorstwo!$A$56:$N$56,0))*C$10+INDEX(JuniorzyPozytyw[],MATCH($A76,Juniorstwo!$A$57:$A$76,0),MATCH($B$11,Juniorstwo!$A$56:$N$56,0))*C$11+INDEX(JuniorzyPozytyw[],MATCH($A76,Juniorstwo!$A$57:$A$76,0),MATCH($B$12,Juniorstwo!$A$56:$N$56,0))*C$12+INDEX(JuniorzyPozytyw[],MATCH($A76,Juniorstwo!$A$57:$A$76,0),MATCH($B$13,Juniorstwo!$A$56:$N$56,0))*C$13,"-")</f>
        <v>70.5</v>
      </c>
      <c r="D76" s="38">
        <f ca="1">IFERROR(INDEX(JuniorzyPozytyw[],MATCH($A76,Juniorstwo!$A$57:$A$76,0),MATCH($B$2,Juniorstwo!$A$56:$N$56,0))*D$2+INDEX(JuniorzyPozytyw[],MATCH($A76,Juniorstwo!$A$57:$A$76,0),MATCH($B$3,Juniorstwo!$A$56:$N$56,0))*D$3+INDEX(JuniorzyPozytyw[],MATCH($A76,Juniorstwo!$A$57:$A$76,0),MATCH($B$4,Juniorstwo!$A$56:$N$56,0))*D$4+INDEX(JuniorzyPozytyw[],MATCH($A76,Juniorstwo!$A$57:$A$76,0),MATCH($B$5,Juniorstwo!$A$56:$N$56,0))*D$5+INDEX(JuniorzyPozytyw[],MATCH($A76,Juniorstwo!$A$57:$A$76,0),MATCH($B$6,Juniorstwo!$A$56:$N$56,0))*D$6+INDEX(JuniorzyPozytyw[],MATCH($A76,Juniorstwo!$A$57:$A$76,0),MATCH($B$7,Juniorstwo!$A$56:$N$56,0))*D$7+INDEX(JuniorzyPozytyw[],MATCH($A76,Juniorstwo!$A$57:$A$76,0),MATCH($B$8,Juniorstwo!$A$56:$N$56,0))*D$8+INDEX(JuniorzyPozytyw[],MATCH($A76,Juniorstwo!$A$57:$A$76,0),MATCH($B$9,Juniorstwo!$A$56:$N$56,0))*D$9+INDEX(JuniorzyPozytyw[],MATCH($A76,Juniorstwo!$A$57:$A$76,0),MATCH($B$10,Juniorstwo!$A$56:$N$56,0))*D$10+INDEX(JuniorzyPozytyw[],MATCH($A76,Juniorstwo!$A$57:$A$76,0),MATCH($B$11,Juniorstwo!$A$56:$N$56,0))*D$11+INDEX(JuniorzyPozytyw[],MATCH($A76,Juniorstwo!$A$57:$A$76,0),MATCH($B$12,Juniorstwo!$A$56:$N$56,0))*D$12+INDEX(JuniorzyPozytyw[],MATCH($A76,Juniorstwo!$A$57:$A$76,0),MATCH($B$13,Juniorstwo!$A$56:$N$56,0))*D$13,"-")</f>
        <v>81</v>
      </c>
      <c r="E76" s="38">
        <f ca="1">IFERROR(INDEX(JuniorzyPozytyw[],MATCH($A76,Juniorstwo!$A$57:$A$76,0),MATCH($B$2,Juniorstwo!$A$56:$N$56,0))*E$2+INDEX(JuniorzyPozytyw[],MATCH($A76,Juniorstwo!$A$57:$A$76,0),MATCH($B$3,Juniorstwo!$A$56:$N$56,0))*E$3+INDEX(JuniorzyPozytyw[],MATCH($A76,Juniorstwo!$A$57:$A$76,0),MATCH($B$4,Juniorstwo!$A$56:$N$56,0))*E$4+INDEX(JuniorzyPozytyw[],MATCH($A76,Juniorstwo!$A$57:$A$76,0),MATCH($B$5,Juniorstwo!$A$56:$N$56,0))*E$5+INDEX(JuniorzyPozytyw[],MATCH($A76,Juniorstwo!$A$57:$A$76,0),MATCH($B$6,Juniorstwo!$A$56:$N$56,0))*E$6+INDEX(JuniorzyPozytyw[],MATCH($A76,Juniorstwo!$A$57:$A$76,0),MATCH($B$7,Juniorstwo!$A$56:$N$56,0))*E$7+INDEX(JuniorzyPozytyw[],MATCH($A76,Juniorstwo!$A$57:$A$76,0),MATCH($B$8,Juniorstwo!$A$56:$N$56,0))*E$8+INDEX(JuniorzyPozytyw[],MATCH($A76,Juniorstwo!$A$57:$A$76,0),MATCH($B$9,Juniorstwo!$A$56:$N$56,0))*E$9+INDEX(JuniorzyPozytyw[],MATCH($A76,Juniorstwo!$A$57:$A$76,0),MATCH($B$10,Juniorstwo!$A$56:$N$56,0))*E$10+INDEX(JuniorzyPozytyw[],MATCH($A76,Juniorstwo!$A$57:$A$76,0),MATCH($B$11,Juniorstwo!$A$56:$N$56,0))*E$11+INDEX(JuniorzyPozytyw[],MATCH($A76,Juniorstwo!$A$57:$A$76,0),MATCH($B$12,Juniorstwo!$A$56:$N$56,0))*E$12+INDEX(JuniorzyPozytyw[],MATCH($A76,Juniorstwo!$A$57:$A$76,0),MATCH($B$13,Juniorstwo!$A$56:$N$56,0))*E$13,"-")</f>
        <v>81</v>
      </c>
      <c r="F76" s="38">
        <f ca="1">IFERROR(INDEX(JuniorzyPozytyw[],MATCH($A76,Juniorstwo!$A$57:$A$76,0),MATCH($B$2,Juniorstwo!$A$56:$N$56,0))*F$2+INDEX(JuniorzyPozytyw[],MATCH($A76,Juniorstwo!$A$57:$A$76,0),MATCH($B$3,Juniorstwo!$A$56:$N$56,0))*F$3+INDEX(JuniorzyPozytyw[],MATCH($A76,Juniorstwo!$A$57:$A$76,0),MATCH($B$4,Juniorstwo!$A$56:$N$56,0))*F$4+INDEX(JuniorzyPozytyw[],MATCH($A76,Juniorstwo!$A$57:$A$76,0),MATCH($B$5,Juniorstwo!$A$56:$N$56,0))*F$5+INDEX(JuniorzyPozytyw[],MATCH($A76,Juniorstwo!$A$57:$A$76,0),MATCH($B$6,Juniorstwo!$A$56:$N$56,0))*F$6+INDEX(JuniorzyPozytyw[],MATCH($A76,Juniorstwo!$A$57:$A$76,0),MATCH($B$7,Juniorstwo!$A$56:$N$56,0))*F$7+INDEX(JuniorzyPozytyw[],MATCH($A76,Juniorstwo!$A$57:$A$76,0),MATCH($B$8,Juniorstwo!$A$56:$N$56,0))*F$8+INDEX(JuniorzyPozytyw[],MATCH($A76,Juniorstwo!$A$57:$A$76,0),MATCH($B$9,Juniorstwo!$A$56:$N$56,0))*F$9+INDEX(JuniorzyPozytyw[],MATCH($A76,Juniorstwo!$A$57:$A$76,0),MATCH($B$10,Juniorstwo!$A$56:$N$56,0))*F$10+INDEX(JuniorzyPozytyw[],MATCH($A76,Juniorstwo!$A$57:$A$76,0),MATCH($B$11,Juniorstwo!$A$56:$N$56,0))*F$11+INDEX(JuniorzyPozytyw[],MATCH($A76,Juniorstwo!$A$57:$A$76,0),MATCH($B$12,Juniorstwo!$A$56:$N$56,0))*F$12+INDEX(JuniorzyPozytyw[],MATCH($A76,Juniorstwo!$A$57:$A$76,0),MATCH($B$13,Juniorstwo!$A$56:$N$56,0))*F$13,"-")</f>
        <v>82.5</v>
      </c>
      <c r="G76" s="38">
        <f ca="1">IFERROR(INDEX(JuniorzyPozytyw[],MATCH($A76,Juniorstwo!$A$57:$A$76,0),MATCH($B$2,Juniorstwo!$A$56:$N$56,0))*G$2+INDEX(JuniorzyPozytyw[],MATCH($A76,Juniorstwo!$A$57:$A$76,0),MATCH($B$3,Juniorstwo!$A$56:$N$56,0))*G$3+INDEX(JuniorzyPozytyw[],MATCH($A76,Juniorstwo!$A$57:$A$76,0),MATCH($B$4,Juniorstwo!$A$56:$N$56,0))*G$4+INDEX(JuniorzyPozytyw[],MATCH($A76,Juniorstwo!$A$57:$A$76,0),MATCH($B$5,Juniorstwo!$A$56:$N$56,0))*G$5+INDEX(JuniorzyPozytyw[],MATCH($A76,Juniorstwo!$A$57:$A$76,0),MATCH($B$6,Juniorstwo!$A$56:$N$56,0))*G$6+INDEX(JuniorzyPozytyw[],MATCH($A76,Juniorstwo!$A$57:$A$76,0),MATCH($B$7,Juniorstwo!$A$56:$N$56,0))*G$7+INDEX(JuniorzyPozytyw[],MATCH($A76,Juniorstwo!$A$57:$A$76,0),MATCH($B$8,Juniorstwo!$A$56:$N$56,0))*G$8+INDEX(JuniorzyPozytyw[],MATCH($A76,Juniorstwo!$A$57:$A$76,0),MATCH($B$9,Juniorstwo!$A$56:$N$56,0))*G$9+INDEX(JuniorzyPozytyw[],MATCH($A76,Juniorstwo!$A$57:$A$76,0),MATCH($B$10,Juniorstwo!$A$56:$N$56,0))*G$10+INDEX(JuniorzyPozytyw[],MATCH($A76,Juniorstwo!$A$57:$A$76,0),MATCH($B$11,Juniorstwo!$A$56:$N$56,0))*G$11+INDEX(JuniorzyPozytyw[],MATCH($A76,Juniorstwo!$A$57:$A$76,0),MATCH($B$12,Juniorstwo!$A$56:$N$56,0))*G$12+INDEX(JuniorzyPozytyw[],MATCH($A76,Juniorstwo!$A$57:$A$76,0),MATCH($B$13,Juniorstwo!$A$56:$N$56,0))*G$13,"-")</f>
        <v>82.5</v>
      </c>
      <c r="H76" s="38">
        <f ca="1">IFERROR(INDEX(JuniorzyPozytyw[],MATCH($A76,Juniorstwo!$A$57:$A$76,0),MATCH($B$2,Juniorstwo!$A$56:$N$56,0))*H$2+INDEX(JuniorzyPozytyw[],MATCH($A76,Juniorstwo!$A$57:$A$76,0),MATCH($B$3,Juniorstwo!$A$56:$N$56,0))*H$3+INDEX(JuniorzyPozytyw[],MATCH($A76,Juniorstwo!$A$57:$A$76,0),MATCH($B$4,Juniorstwo!$A$56:$N$56,0))*H$4+INDEX(JuniorzyPozytyw[],MATCH($A76,Juniorstwo!$A$57:$A$76,0),MATCH($B$5,Juniorstwo!$A$56:$N$56,0))*H$5+INDEX(JuniorzyPozytyw[],MATCH($A76,Juniorstwo!$A$57:$A$76,0),MATCH($B$6,Juniorstwo!$A$56:$N$56,0))*H$6+INDEX(JuniorzyPozytyw[],MATCH($A76,Juniorstwo!$A$57:$A$76,0),MATCH($B$7,Juniorstwo!$A$56:$N$56,0))*H$7+INDEX(JuniorzyPozytyw[],MATCH($A76,Juniorstwo!$A$57:$A$76,0),MATCH($B$8,Juniorstwo!$A$56:$N$56,0))*H$8+INDEX(JuniorzyPozytyw[],MATCH($A76,Juniorstwo!$A$57:$A$76,0),MATCH($B$9,Juniorstwo!$A$56:$N$56,0))*H$9+INDEX(JuniorzyPozytyw[],MATCH($A76,Juniorstwo!$A$57:$A$76,0),MATCH($B$10,Juniorstwo!$A$56:$N$56,0))*H$10+INDEX(JuniorzyPozytyw[],MATCH($A76,Juniorstwo!$A$57:$A$76,0),MATCH($B$11,Juniorstwo!$A$56:$N$56,0))*H$11+INDEX(JuniorzyPozytyw[],MATCH($A76,Juniorstwo!$A$57:$A$76,0),MATCH($B$12,Juniorstwo!$A$56:$N$56,0))*H$12+INDEX(JuniorzyPozytyw[],MATCH($A76,Juniorstwo!$A$57:$A$76,0),MATCH($B$13,Juniorstwo!$A$56:$N$56,0))*H$13,"-")</f>
        <v>82</v>
      </c>
      <c r="I76" s="38">
        <f ca="1">IFERROR(INDEX(JuniorzyPozytyw[],MATCH($A76,Juniorstwo!$A$57:$A$76,0),MATCH($B$2,Juniorstwo!$A$56:$N$56,0))*I$2+INDEX(JuniorzyPozytyw[],MATCH($A76,Juniorstwo!$A$57:$A$76,0),MATCH($B$3,Juniorstwo!$A$56:$N$56,0))*I$3+INDEX(JuniorzyPozytyw[],MATCH($A76,Juniorstwo!$A$57:$A$76,0),MATCH($B$4,Juniorstwo!$A$56:$N$56,0))*I$4+INDEX(JuniorzyPozytyw[],MATCH($A76,Juniorstwo!$A$57:$A$76,0),MATCH($B$5,Juniorstwo!$A$56:$N$56,0))*I$5+INDEX(JuniorzyPozytyw[],MATCH($A76,Juniorstwo!$A$57:$A$76,0),MATCH($B$6,Juniorstwo!$A$56:$N$56,0))*I$6+INDEX(JuniorzyPozytyw[],MATCH($A76,Juniorstwo!$A$57:$A$76,0),MATCH($B$7,Juniorstwo!$A$56:$N$56,0))*I$7+INDEX(JuniorzyPozytyw[],MATCH($A76,Juniorstwo!$A$57:$A$76,0),MATCH($B$8,Juniorstwo!$A$56:$N$56,0))*I$8+INDEX(JuniorzyPozytyw[],MATCH($A76,Juniorstwo!$A$57:$A$76,0),MATCH($B$9,Juniorstwo!$A$56:$N$56,0))*I$9+INDEX(JuniorzyPozytyw[],MATCH($A76,Juniorstwo!$A$57:$A$76,0),MATCH($B$10,Juniorstwo!$A$56:$N$56,0))*I$10+INDEX(JuniorzyPozytyw[],MATCH($A76,Juniorstwo!$A$57:$A$76,0),MATCH($B$11,Juniorstwo!$A$56:$N$56,0))*I$11+INDEX(JuniorzyPozytyw[],MATCH($A76,Juniorstwo!$A$57:$A$76,0),MATCH($B$12,Juniorstwo!$A$56:$N$56,0))*I$12+INDEX(JuniorzyPozytyw[],MATCH($A76,Juniorstwo!$A$57:$A$76,0),MATCH($B$13,Juniorstwo!$A$56:$N$56,0))*I$13,"-")</f>
        <v>82.5</v>
      </c>
      <c r="J76" s="38">
        <f ca="1">IFERROR(INDEX(JuniorzyPozytyw[],MATCH($A76,Juniorstwo!$A$57:$A$76,0),MATCH($B$2,Juniorstwo!$A$56:$N$56,0))*J$2+INDEX(JuniorzyPozytyw[],MATCH($A76,Juniorstwo!$A$57:$A$76,0),MATCH($B$3,Juniorstwo!$A$56:$N$56,0))*J$3+INDEX(JuniorzyPozytyw[],MATCH($A76,Juniorstwo!$A$57:$A$76,0),MATCH($B$4,Juniorstwo!$A$56:$N$56,0))*J$4+INDEX(JuniorzyPozytyw[],MATCH($A76,Juniorstwo!$A$57:$A$76,0),MATCH($B$5,Juniorstwo!$A$56:$N$56,0))*J$5+INDEX(JuniorzyPozytyw[],MATCH($A76,Juniorstwo!$A$57:$A$76,0),MATCH($B$6,Juniorstwo!$A$56:$N$56,0))*J$6+INDEX(JuniorzyPozytyw[],MATCH($A76,Juniorstwo!$A$57:$A$76,0),MATCH($B$7,Juniorstwo!$A$56:$N$56,0))*J$7+INDEX(JuniorzyPozytyw[],MATCH($A76,Juniorstwo!$A$57:$A$76,0),MATCH($B$8,Juniorstwo!$A$56:$N$56,0))*J$8+INDEX(JuniorzyPozytyw[],MATCH($A76,Juniorstwo!$A$57:$A$76,0),MATCH($B$9,Juniorstwo!$A$56:$N$56,0))*J$9+INDEX(JuniorzyPozytyw[],MATCH($A76,Juniorstwo!$A$57:$A$76,0),MATCH($B$10,Juniorstwo!$A$56:$N$56,0))*J$10+INDEX(JuniorzyPozytyw[],MATCH($A76,Juniorstwo!$A$57:$A$76,0),MATCH($B$11,Juniorstwo!$A$56:$N$56,0))*J$11+INDEX(JuniorzyPozytyw[],MATCH($A76,Juniorstwo!$A$57:$A$76,0),MATCH($B$12,Juniorstwo!$A$56:$N$56,0))*J$12+INDEX(JuniorzyPozytyw[],MATCH($A76,Juniorstwo!$A$57:$A$76,0),MATCH($B$13,Juniorstwo!$A$56:$N$56,0))*J$13,"-")</f>
        <v>81.5</v>
      </c>
      <c r="K76" s="38">
        <f ca="1">IFERROR(INDEX(JuniorzyPozytyw[],MATCH($A76,Juniorstwo!$A$57:$A$76,0),MATCH($B$2,Juniorstwo!$A$56:$N$56,0))*K$2+INDEX(JuniorzyPozytyw[],MATCH($A76,Juniorstwo!$A$57:$A$76,0),MATCH($B$3,Juniorstwo!$A$56:$N$56,0))*K$3+INDEX(JuniorzyPozytyw[],MATCH($A76,Juniorstwo!$A$57:$A$76,0),MATCH($B$4,Juniorstwo!$A$56:$N$56,0))*K$4+INDEX(JuniorzyPozytyw[],MATCH($A76,Juniorstwo!$A$57:$A$76,0),MATCH($B$5,Juniorstwo!$A$56:$N$56,0))*K$5+INDEX(JuniorzyPozytyw[],MATCH($A76,Juniorstwo!$A$57:$A$76,0),MATCH($B$6,Juniorstwo!$A$56:$N$56,0))*K$6+INDEX(JuniorzyPozytyw[],MATCH($A76,Juniorstwo!$A$57:$A$76,0),MATCH($B$7,Juniorstwo!$A$56:$N$56,0))*K$7+INDEX(JuniorzyPozytyw[],MATCH($A76,Juniorstwo!$A$57:$A$76,0),MATCH($B$8,Juniorstwo!$A$56:$N$56,0))*K$8+INDEX(JuniorzyPozytyw[],MATCH($A76,Juniorstwo!$A$57:$A$76,0),MATCH($B$9,Juniorstwo!$A$56:$N$56,0))*K$9+INDEX(JuniorzyPozytyw[],MATCH($A76,Juniorstwo!$A$57:$A$76,0),MATCH($B$10,Juniorstwo!$A$56:$N$56,0))*K$10+INDEX(JuniorzyPozytyw[],MATCH($A76,Juniorstwo!$A$57:$A$76,0),MATCH($B$11,Juniorstwo!$A$56:$N$56,0))*K$11+INDEX(JuniorzyPozytyw[],MATCH($A76,Juniorstwo!$A$57:$A$76,0),MATCH($B$12,Juniorstwo!$A$56:$N$56,0))*K$12+INDEX(JuniorzyPozytyw[],MATCH($A76,Juniorstwo!$A$57:$A$76,0),MATCH($B$13,Juniorstwo!$A$56:$N$56,0))*K$13,"-")</f>
        <v>81.5</v>
      </c>
    </row>
    <row r="77" spans="1:11" x14ac:dyDescent="0.25">
      <c r="A77">
        <f>IFERROR(PozJunPŚr[[#This Row],[Numer]],"-")</f>
        <v>51</v>
      </c>
      <c r="B77" s="3" t="str">
        <f>IFERROR(VLOOKUP(PozJunPMM[[#This Row],[Numer]],Zawodnicy[[Number]:[Player name]],2,FALSE),"-")</f>
        <v>Radoslaw Cichowski</v>
      </c>
      <c r="C77" s="38">
        <f ca="1">IFERROR(INDEX(JuniorzyPozytyw[],MATCH($A77,Juniorstwo!$A$57:$A$76,0),MATCH($B$2,Juniorstwo!$A$56:$N$56,0))*C$2+INDEX(JuniorzyPozytyw[],MATCH($A77,Juniorstwo!$A$57:$A$76,0),MATCH($B$3,Juniorstwo!$A$56:$N$56,0))*C$3+INDEX(JuniorzyPozytyw[],MATCH($A77,Juniorstwo!$A$57:$A$76,0),MATCH($B$4,Juniorstwo!$A$56:$N$56,0))*C$4+INDEX(JuniorzyPozytyw[],MATCH($A77,Juniorstwo!$A$57:$A$76,0),MATCH($B$5,Juniorstwo!$A$56:$N$56,0))*C$5+INDEX(JuniorzyPozytyw[],MATCH($A77,Juniorstwo!$A$57:$A$76,0),MATCH($B$6,Juniorstwo!$A$56:$N$56,0))*C$6+INDEX(JuniorzyPozytyw[],MATCH($A77,Juniorstwo!$A$57:$A$76,0),MATCH($B$7,Juniorstwo!$A$56:$N$56,0))*C$7+INDEX(JuniorzyPozytyw[],MATCH($A77,Juniorstwo!$A$57:$A$76,0),MATCH($B$8,Juniorstwo!$A$56:$N$56,0))*C$8+INDEX(JuniorzyPozytyw[],MATCH($A77,Juniorstwo!$A$57:$A$76,0),MATCH($B$9,Juniorstwo!$A$56:$N$56,0))*C$9+INDEX(JuniorzyPozytyw[],MATCH($A77,Juniorstwo!$A$57:$A$76,0),MATCH($B$10,Juniorstwo!$A$56:$N$56,0))*C$10+INDEX(JuniorzyPozytyw[],MATCH($A77,Juniorstwo!$A$57:$A$76,0),MATCH($B$11,Juniorstwo!$A$56:$N$56,0))*C$11+INDEX(JuniorzyPozytyw[],MATCH($A77,Juniorstwo!$A$57:$A$76,0),MATCH($B$12,Juniorstwo!$A$56:$N$56,0))*C$12+INDEX(JuniorzyPozytyw[],MATCH($A77,Juniorstwo!$A$57:$A$76,0),MATCH($B$13,Juniorstwo!$A$56:$N$56,0))*C$13,"-")</f>
        <v>71.5</v>
      </c>
      <c r="D77" s="38">
        <f ca="1">IFERROR(INDEX(JuniorzyPozytyw[],MATCH($A77,Juniorstwo!$A$57:$A$76,0),MATCH($B$2,Juniorstwo!$A$56:$N$56,0))*D$2+INDEX(JuniorzyPozytyw[],MATCH($A77,Juniorstwo!$A$57:$A$76,0),MATCH($B$3,Juniorstwo!$A$56:$N$56,0))*D$3+INDEX(JuniorzyPozytyw[],MATCH($A77,Juniorstwo!$A$57:$A$76,0),MATCH($B$4,Juniorstwo!$A$56:$N$56,0))*D$4+INDEX(JuniorzyPozytyw[],MATCH($A77,Juniorstwo!$A$57:$A$76,0),MATCH($B$5,Juniorstwo!$A$56:$N$56,0))*D$5+INDEX(JuniorzyPozytyw[],MATCH($A77,Juniorstwo!$A$57:$A$76,0),MATCH($B$6,Juniorstwo!$A$56:$N$56,0))*D$6+INDEX(JuniorzyPozytyw[],MATCH($A77,Juniorstwo!$A$57:$A$76,0),MATCH($B$7,Juniorstwo!$A$56:$N$56,0))*D$7+INDEX(JuniorzyPozytyw[],MATCH($A77,Juniorstwo!$A$57:$A$76,0),MATCH($B$8,Juniorstwo!$A$56:$N$56,0))*D$8+INDEX(JuniorzyPozytyw[],MATCH($A77,Juniorstwo!$A$57:$A$76,0),MATCH($B$9,Juniorstwo!$A$56:$N$56,0))*D$9+INDEX(JuniorzyPozytyw[],MATCH($A77,Juniorstwo!$A$57:$A$76,0),MATCH($B$10,Juniorstwo!$A$56:$N$56,0))*D$10+INDEX(JuniorzyPozytyw[],MATCH($A77,Juniorstwo!$A$57:$A$76,0),MATCH($B$11,Juniorstwo!$A$56:$N$56,0))*D$11+INDEX(JuniorzyPozytyw[],MATCH($A77,Juniorstwo!$A$57:$A$76,0),MATCH($B$12,Juniorstwo!$A$56:$N$56,0))*D$12+INDEX(JuniorzyPozytyw[],MATCH($A77,Juniorstwo!$A$57:$A$76,0),MATCH($B$13,Juniorstwo!$A$56:$N$56,0))*D$13,"-")</f>
        <v>86.5</v>
      </c>
      <c r="E77" s="38">
        <f ca="1">IFERROR(INDEX(JuniorzyPozytyw[],MATCH($A77,Juniorstwo!$A$57:$A$76,0),MATCH($B$2,Juniorstwo!$A$56:$N$56,0))*E$2+INDEX(JuniorzyPozytyw[],MATCH($A77,Juniorstwo!$A$57:$A$76,0),MATCH($B$3,Juniorstwo!$A$56:$N$56,0))*E$3+INDEX(JuniorzyPozytyw[],MATCH($A77,Juniorstwo!$A$57:$A$76,0),MATCH($B$4,Juniorstwo!$A$56:$N$56,0))*E$4+INDEX(JuniorzyPozytyw[],MATCH($A77,Juniorstwo!$A$57:$A$76,0),MATCH($B$5,Juniorstwo!$A$56:$N$56,0))*E$5+INDEX(JuniorzyPozytyw[],MATCH($A77,Juniorstwo!$A$57:$A$76,0),MATCH($B$6,Juniorstwo!$A$56:$N$56,0))*E$6+INDEX(JuniorzyPozytyw[],MATCH($A77,Juniorstwo!$A$57:$A$76,0),MATCH($B$7,Juniorstwo!$A$56:$N$56,0))*E$7+INDEX(JuniorzyPozytyw[],MATCH($A77,Juniorstwo!$A$57:$A$76,0),MATCH($B$8,Juniorstwo!$A$56:$N$56,0))*E$8+INDEX(JuniorzyPozytyw[],MATCH($A77,Juniorstwo!$A$57:$A$76,0),MATCH($B$9,Juniorstwo!$A$56:$N$56,0))*E$9+INDEX(JuniorzyPozytyw[],MATCH($A77,Juniorstwo!$A$57:$A$76,0),MATCH($B$10,Juniorstwo!$A$56:$N$56,0))*E$10+INDEX(JuniorzyPozytyw[],MATCH($A77,Juniorstwo!$A$57:$A$76,0),MATCH($B$11,Juniorstwo!$A$56:$N$56,0))*E$11+INDEX(JuniorzyPozytyw[],MATCH($A77,Juniorstwo!$A$57:$A$76,0),MATCH($B$12,Juniorstwo!$A$56:$N$56,0))*E$12+INDEX(JuniorzyPozytyw[],MATCH($A77,Juniorstwo!$A$57:$A$76,0),MATCH($B$13,Juniorstwo!$A$56:$N$56,0))*E$13,"-")</f>
        <v>85.5</v>
      </c>
      <c r="F77" s="38">
        <f ca="1">IFERROR(INDEX(JuniorzyPozytyw[],MATCH($A77,Juniorstwo!$A$57:$A$76,0),MATCH($B$2,Juniorstwo!$A$56:$N$56,0))*F$2+INDEX(JuniorzyPozytyw[],MATCH($A77,Juniorstwo!$A$57:$A$76,0),MATCH($B$3,Juniorstwo!$A$56:$N$56,0))*F$3+INDEX(JuniorzyPozytyw[],MATCH($A77,Juniorstwo!$A$57:$A$76,0),MATCH($B$4,Juniorstwo!$A$56:$N$56,0))*F$4+INDEX(JuniorzyPozytyw[],MATCH($A77,Juniorstwo!$A$57:$A$76,0),MATCH($B$5,Juniorstwo!$A$56:$N$56,0))*F$5+INDEX(JuniorzyPozytyw[],MATCH($A77,Juniorstwo!$A$57:$A$76,0),MATCH($B$6,Juniorstwo!$A$56:$N$56,0))*F$6+INDEX(JuniorzyPozytyw[],MATCH($A77,Juniorstwo!$A$57:$A$76,0),MATCH($B$7,Juniorstwo!$A$56:$N$56,0))*F$7+INDEX(JuniorzyPozytyw[],MATCH($A77,Juniorstwo!$A$57:$A$76,0),MATCH($B$8,Juniorstwo!$A$56:$N$56,0))*F$8+INDEX(JuniorzyPozytyw[],MATCH($A77,Juniorstwo!$A$57:$A$76,0),MATCH($B$9,Juniorstwo!$A$56:$N$56,0))*F$9+INDEX(JuniorzyPozytyw[],MATCH($A77,Juniorstwo!$A$57:$A$76,0),MATCH($B$10,Juniorstwo!$A$56:$N$56,0))*F$10+INDEX(JuniorzyPozytyw[],MATCH($A77,Juniorstwo!$A$57:$A$76,0),MATCH($B$11,Juniorstwo!$A$56:$N$56,0))*F$11+INDEX(JuniorzyPozytyw[],MATCH($A77,Juniorstwo!$A$57:$A$76,0),MATCH($B$12,Juniorstwo!$A$56:$N$56,0))*F$12+INDEX(JuniorzyPozytyw[],MATCH($A77,Juniorstwo!$A$57:$A$76,0),MATCH($B$13,Juniorstwo!$A$56:$N$56,0))*F$13,"-")</f>
        <v>84.5</v>
      </c>
      <c r="G77" s="38">
        <f ca="1">IFERROR(INDEX(JuniorzyPozytyw[],MATCH($A77,Juniorstwo!$A$57:$A$76,0),MATCH($B$2,Juniorstwo!$A$56:$N$56,0))*G$2+INDEX(JuniorzyPozytyw[],MATCH($A77,Juniorstwo!$A$57:$A$76,0),MATCH($B$3,Juniorstwo!$A$56:$N$56,0))*G$3+INDEX(JuniorzyPozytyw[],MATCH($A77,Juniorstwo!$A$57:$A$76,0),MATCH($B$4,Juniorstwo!$A$56:$N$56,0))*G$4+INDEX(JuniorzyPozytyw[],MATCH($A77,Juniorstwo!$A$57:$A$76,0),MATCH($B$5,Juniorstwo!$A$56:$N$56,0))*G$5+INDEX(JuniorzyPozytyw[],MATCH($A77,Juniorstwo!$A$57:$A$76,0),MATCH($B$6,Juniorstwo!$A$56:$N$56,0))*G$6+INDEX(JuniorzyPozytyw[],MATCH($A77,Juniorstwo!$A$57:$A$76,0),MATCH($B$7,Juniorstwo!$A$56:$N$56,0))*G$7+INDEX(JuniorzyPozytyw[],MATCH($A77,Juniorstwo!$A$57:$A$76,0),MATCH($B$8,Juniorstwo!$A$56:$N$56,0))*G$8+INDEX(JuniorzyPozytyw[],MATCH($A77,Juniorstwo!$A$57:$A$76,0),MATCH($B$9,Juniorstwo!$A$56:$N$56,0))*G$9+INDEX(JuniorzyPozytyw[],MATCH($A77,Juniorstwo!$A$57:$A$76,0),MATCH($B$10,Juniorstwo!$A$56:$N$56,0))*G$10+INDEX(JuniorzyPozytyw[],MATCH($A77,Juniorstwo!$A$57:$A$76,0),MATCH($B$11,Juniorstwo!$A$56:$N$56,0))*G$11+INDEX(JuniorzyPozytyw[],MATCH($A77,Juniorstwo!$A$57:$A$76,0),MATCH($B$12,Juniorstwo!$A$56:$N$56,0))*G$12+INDEX(JuniorzyPozytyw[],MATCH($A77,Juniorstwo!$A$57:$A$76,0),MATCH($B$13,Juniorstwo!$A$56:$N$56,0))*G$13,"-")</f>
        <v>84</v>
      </c>
      <c r="H77" s="38">
        <f ca="1">IFERROR(INDEX(JuniorzyPozytyw[],MATCH($A77,Juniorstwo!$A$57:$A$76,0),MATCH($B$2,Juniorstwo!$A$56:$N$56,0))*H$2+INDEX(JuniorzyPozytyw[],MATCH($A77,Juniorstwo!$A$57:$A$76,0),MATCH($B$3,Juniorstwo!$A$56:$N$56,0))*H$3+INDEX(JuniorzyPozytyw[],MATCH($A77,Juniorstwo!$A$57:$A$76,0),MATCH($B$4,Juniorstwo!$A$56:$N$56,0))*H$4+INDEX(JuniorzyPozytyw[],MATCH($A77,Juniorstwo!$A$57:$A$76,0),MATCH($B$5,Juniorstwo!$A$56:$N$56,0))*H$5+INDEX(JuniorzyPozytyw[],MATCH($A77,Juniorstwo!$A$57:$A$76,0),MATCH($B$6,Juniorstwo!$A$56:$N$56,0))*H$6+INDEX(JuniorzyPozytyw[],MATCH($A77,Juniorstwo!$A$57:$A$76,0),MATCH($B$7,Juniorstwo!$A$56:$N$56,0))*H$7+INDEX(JuniorzyPozytyw[],MATCH($A77,Juniorstwo!$A$57:$A$76,0),MATCH($B$8,Juniorstwo!$A$56:$N$56,0))*H$8+INDEX(JuniorzyPozytyw[],MATCH($A77,Juniorstwo!$A$57:$A$76,0),MATCH($B$9,Juniorstwo!$A$56:$N$56,0))*H$9+INDEX(JuniorzyPozytyw[],MATCH($A77,Juniorstwo!$A$57:$A$76,0),MATCH($B$10,Juniorstwo!$A$56:$N$56,0))*H$10+INDEX(JuniorzyPozytyw[],MATCH($A77,Juniorstwo!$A$57:$A$76,0),MATCH($B$11,Juniorstwo!$A$56:$N$56,0))*H$11+INDEX(JuniorzyPozytyw[],MATCH($A77,Juniorstwo!$A$57:$A$76,0),MATCH($B$12,Juniorstwo!$A$56:$N$56,0))*H$12+INDEX(JuniorzyPozytyw[],MATCH($A77,Juniorstwo!$A$57:$A$76,0),MATCH($B$13,Juniorstwo!$A$56:$N$56,0))*H$13,"-")</f>
        <v>82.5</v>
      </c>
      <c r="I77" s="38">
        <f ca="1">IFERROR(INDEX(JuniorzyPozytyw[],MATCH($A77,Juniorstwo!$A$57:$A$76,0),MATCH($B$2,Juniorstwo!$A$56:$N$56,0))*I$2+INDEX(JuniorzyPozytyw[],MATCH($A77,Juniorstwo!$A$57:$A$76,0),MATCH($B$3,Juniorstwo!$A$56:$N$56,0))*I$3+INDEX(JuniorzyPozytyw[],MATCH($A77,Juniorstwo!$A$57:$A$76,0),MATCH($B$4,Juniorstwo!$A$56:$N$56,0))*I$4+INDEX(JuniorzyPozytyw[],MATCH($A77,Juniorstwo!$A$57:$A$76,0),MATCH($B$5,Juniorstwo!$A$56:$N$56,0))*I$5+INDEX(JuniorzyPozytyw[],MATCH($A77,Juniorstwo!$A$57:$A$76,0),MATCH($B$6,Juniorstwo!$A$56:$N$56,0))*I$6+INDEX(JuniorzyPozytyw[],MATCH($A77,Juniorstwo!$A$57:$A$76,0),MATCH($B$7,Juniorstwo!$A$56:$N$56,0))*I$7+INDEX(JuniorzyPozytyw[],MATCH($A77,Juniorstwo!$A$57:$A$76,0),MATCH($B$8,Juniorstwo!$A$56:$N$56,0))*I$8+INDEX(JuniorzyPozytyw[],MATCH($A77,Juniorstwo!$A$57:$A$76,0),MATCH($B$9,Juniorstwo!$A$56:$N$56,0))*I$9+INDEX(JuniorzyPozytyw[],MATCH($A77,Juniorstwo!$A$57:$A$76,0),MATCH($B$10,Juniorstwo!$A$56:$N$56,0))*I$10+INDEX(JuniorzyPozytyw[],MATCH($A77,Juniorstwo!$A$57:$A$76,0),MATCH($B$11,Juniorstwo!$A$56:$N$56,0))*I$11+INDEX(JuniorzyPozytyw[],MATCH($A77,Juniorstwo!$A$57:$A$76,0),MATCH($B$12,Juniorstwo!$A$56:$N$56,0))*I$12+INDEX(JuniorzyPozytyw[],MATCH($A77,Juniorstwo!$A$57:$A$76,0),MATCH($B$13,Juniorstwo!$A$56:$N$56,0))*I$13,"-")</f>
        <v>81.5</v>
      </c>
      <c r="J77" s="38">
        <f ca="1">IFERROR(INDEX(JuniorzyPozytyw[],MATCH($A77,Juniorstwo!$A$57:$A$76,0),MATCH($B$2,Juniorstwo!$A$56:$N$56,0))*J$2+INDEX(JuniorzyPozytyw[],MATCH($A77,Juniorstwo!$A$57:$A$76,0),MATCH($B$3,Juniorstwo!$A$56:$N$56,0))*J$3+INDEX(JuniorzyPozytyw[],MATCH($A77,Juniorstwo!$A$57:$A$76,0),MATCH($B$4,Juniorstwo!$A$56:$N$56,0))*J$4+INDEX(JuniorzyPozytyw[],MATCH($A77,Juniorstwo!$A$57:$A$76,0),MATCH($B$5,Juniorstwo!$A$56:$N$56,0))*J$5+INDEX(JuniorzyPozytyw[],MATCH($A77,Juniorstwo!$A$57:$A$76,0),MATCH($B$6,Juniorstwo!$A$56:$N$56,0))*J$6+INDEX(JuniorzyPozytyw[],MATCH($A77,Juniorstwo!$A$57:$A$76,0),MATCH($B$7,Juniorstwo!$A$56:$N$56,0))*J$7+INDEX(JuniorzyPozytyw[],MATCH($A77,Juniorstwo!$A$57:$A$76,0),MATCH($B$8,Juniorstwo!$A$56:$N$56,0))*J$8+INDEX(JuniorzyPozytyw[],MATCH($A77,Juniorstwo!$A$57:$A$76,0),MATCH($B$9,Juniorstwo!$A$56:$N$56,0))*J$9+INDEX(JuniorzyPozytyw[],MATCH($A77,Juniorstwo!$A$57:$A$76,0),MATCH($B$10,Juniorstwo!$A$56:$N$56,0))*J$10+INDEX(JuniorzyPozytyw[],MATCH($A77,Juniorstwo!$A$57:$A$76,0),MATCH($B$11,Juniorstwo!$A$56:$N$56,0))*J$11+INDEX(JuniorzyPozytyw[],MATCH($A77,Juniorstwo!$A$57:$A$76,0),MATCH($B$12,Juniorstwo!$A$56:$N$56,0))*J$12+INDEX(JuniorzyPozytyw[],MATCH($A77,Juniorstwo!$A$57:$A$76,0),MATCH($B$13,Juniorstwo!$A$56:$N$56,0))*J$13,"-")</f>
        <v>81.5</v>
      </c>
      <c r="K77" s="38">
        <f ca="1">IFERROR(INDEX(JuniorzyPozytyw[],MATCH($A77,Juniorstwo!$A$57:$A$76,0),MATCH($B$2,Juniorstwo!$A$56:$N$56,0))*K$2+INDEX(JuniorzyPozytyw[],MATCH($A77,Juniorstwo!$A$57:$A$76,0),MATCH($B$3,Juniorstwo!$A$56:$N$56,0))*K$3+INDEX(JuniorzyPozytyw[],MATCH($A77,Juniorstwo!$A$57:$A$76,0),MATCH($B$4,Juniorstwo!$A$56:$N$56,0))*K$4+INDEX(JuniorzyPozytyw[],MATCH($A77,Juniorstwo!$A$57:$A$76,0),MATCH($B$5,Juniorstwo!$A$56:$N$56,0))*K$5+INDEX(JuniorzyPozytyw[],MATCH($A77,Juniorstwo!$A$57:$A$76,0),MATCH($B$6,Juniorstwo!$A$56:$N$56,0))*K$6+INDEX(JuniorzyPozytyw[],MATCH($A77,Juniorstwo!$A$57:$A$76,0),MATCH($B$7,Juniorstwo!$A$56:$N$56,0))*K$7+INDEX(JuniorzyPozytyw[],MATCH($A77,Juniorstwo!$A$57:$A$76,0),MATCH($B$8,Juniorstwo!$A$56:$N$56,0))*K$8+INDEX(JuniorzyPozytyw[],MATCH($A77,Juniorstwo!$A$57:$A$76,0),MATCH($B$9,Juniorstwo!$A$56:$N$56,0))*K$9+INDEX(JuniorzyPozytyw[],MATCH($A77,Juniorstwo!$A$57:$A$76,0),MATCH($B$10,Juniorstwo!$A$56:$N$56,0))*K$10+INDEX(JuniorzyPozytyw[],MATCH($A77,Juniorstwo!$A$57:$A$76,0),MATCH($B$11,Juniorstwo!$A$56:$N$56,0))*K$11+INDEX(JuniorzyPozytyw[],MATCH($A77,Juniorstwo!$A$57:$A$76,0),MATCH($B$12,Juniorstwo!$A$56:$N$56,0))*K$12+INDEX(JuniorzyPozytyw[],MATCH($A77,Juniorstwo!$A$57:$A$76,0),MATCH($B$13,Juniorstwo!$A$56:$N$56,0))*K$13,"-")</f>
        <v>80.5</v>
      </c>
    </row>
    <row r="78" spans="1:11" x14ac:dyDescent="0.25">
      <c r="A78">
        <f>IFERROR(PozJunPŚr[[#This Row],[Numer]],"-")</f>
        <v>52</v>
      </c>
      <c r="B78" s="3" t="str">
        <f>IFERROR(VLOOKUP(PozJunPMM[[#This Row],[Numer]],Zawodnicy[[Number]:[Player name]],2,FALSE),"-")</f>
        <v>Roland Danisiewicz</v>
      </c>
      <c r="C78" s="38">
        <f ca="1">IFERROR(INDEX(JuniorzyPozytyw[],MATCH($A78,Juniorstwo!$A$57:$A$76,0),MATCH($B$2,Juniorstwo!$A$56:$N$56,0))*C$2+INDEX(JuniorzyPozytyw[],MATCH($A78,Juniorstwo!$A$57:$A$76,0),MATCH($B$3,Juniorstwo!$A$56:$N$56,0))*C$3+INDEX(JuniorzyPozytyw[],MATCH($A78,Juniorstwo!$A$57:$A$76,0),MATCH($B$4,Juniorstwo!$A$56:$N$56,0))*C$4+INDEX(JuniorzyPozytyw[],MATCH($A78,Juniorstwo!$A$57:$A$76,0),MATCH($B$5,Juniorstwo!$A$56:$N$56,0))*C$5+INDEX(JuniorzyPozytyw[],MATCH($A78,Juniorstwo!$A$57:$A$76,0),MATCH($B$6,Juniorstwo!$A$56:$N$56,0))*C$6+INDEX(JuniorzyPozytyw[],MATCH($A78,Juniorstwo!$A$57:$A$76,0),MATCH($B$7,Juniorstwo!$A$56:$N$56,0))*C$7+INDEX(JuniorzyPozytyw[],MATCH($A78,Juniorstwo!$A$57:$A$76,0),MATCH($B$8,Juniorstwo!$A$56:$N$56,0))*C$8+INDEX(JuniorzyPozytyw[],MATCH($A78,Juniorstwo!$A$57:$A$76,0),MATCH($B$9,Juniorstwo!$A$56:$N$56,0))*C$9+INDEX(JuniorzyPozytyw[],MATCH($A78,Juniorstwo!$A$57:$A$76,0),MATCH($B$10,Juniorstwo!$A$56:$N$56,0))*C$10+INDEX(JuniorzyPozytyw[],MATCH($A78,Juniorstwo!$A$57:$A$76,0),MATCH($B$11,Juniorstwo!$A$56:$N$56,0))*C$11+INDEX(JuniorzyPozytyw[],MATCH($A78,Juniorstwo!$A$57:$A$76,0),MATCH($B$12,Juniorstwo!$A$56:$N$56,0))*C$12+INDEX(JuniorzyPozytyw[],MATCH($A78,Juniorstwo!$A$57:$A$76,0),MATCH($B$13,Juniorstwo!$A$56:$N$56,0))*C$13,"-")</f>
        <v>71</v>
      </c>
      <c r="D78" s="38">
        <f ca="1">IFERROR(INDEX(JuniorzyPozytyw[],MATCH($A78,Juniorstwo!$A$57:$A$76,0),MATCH($B$2,Juniorstwo!$A$56:$N$56,0))*D$2+INDEX(JuniorzyPozytyw[],MATCH($A78,Juniorstwo!$A$57:$A$76,0),MATCH($B$3,Juniorstwo!$A$56:$N$56,0))*D$3+INDEX(JuniorzyPozytyw[],MATCH($A78,Juniorstwo!$A$57:$A$76,0),MATCH($B$4,Juniorstwo!$A$56:$N$56,0))*D$4+INDEX(JuniorzyPozytyw[],MATCH($A78,Juniorstwo!$A$57:$A$76,0),MATCH($B$5,Juniorstwo!$A$56:$N$56,0))*D$5+INDEX(JuniorzyPozytyw[],MATCH($A78,Juniorstwo!$A$57:$A$76,0),MATCH($B$6,Juniorstwo!$A$56:$N$56,0))*D$6+INDEX(JuniorzyPozytyw[],MATCH($A78,Juniorstwo!$A$57:$A$76,0),MATCH($B$7,Juniorstwo!$A$56:$N$56,0))*D$7+INDEX(JuniorzyPozytyw[],MATCH($A78,Juniorstwo!$A$57:$A$76,0),MATCH($B$8,Juniorstwo!$A$56:$N$56,0))*D$8+INDEX(JuniorzyPozytyw[],MATCH($A78,Juniorstwo!$A$57:$A$76,0),MATCH($B$9,Juniorstwo!$A$56:$N$56,0))*D$9+INDEX(JuniorzyPozytyw[],MATCH($A78,Juniorstwo!$A$57:$A$76,0),MATCH($B$10,Juniorstwo!$A$56:$N$56,0))*D$10+INDEX(JuniorzyPozytyw[],MATCH($A78,Juniorstwo!$A$57:$A$76,0),MATCH($B$11,Juniorstwo!$A$56:$N$56,0))*D$11+INDEX(JuniorzyPozytyw[],MATCH($A78,Juniorstwo!$A$57:$A$76,0),MATCH($B$12,Juniorstwo!$A$56:$N$56,0))*D$12+INDEX(JuniorzyPozytyw[],MATCH($A78,Juniorstwo!$A$57:$A$76,0),MATCH($B$13,Juniorstwo!$A$56:$N$56,0))*D$13,"-")</f>
        <v>76.5</v>
      </c>
      <c r="E78" s="38">
        <f ca="1">IFERROR(INDEX(JuniorzyPozytyw[],MATCH($A78,Juniorstwo!$A$57:$A$76,0),MATCH($B$2,Juniorstwo!$A$56:$N$56,0))*E$2+INDEX(JuniorzyPozytyw[],MATCH($A78,Juniorstwo!$A$57:$A$76,0),MATCH($B$3,Juniorstwo!$A$56:$N$56,0))*E$3+INDEX(JuniorzyPozytyw[],MATCH($A78,Juniorstwo!$A$57:$A$76,0),MATCH($B$4,Juniorstwo!$A$56:$N$56,0))*E$4+INDEX(JuniorzyPozytyw[],MATCH($A78,Juniorstwo!$A$57:$A$76,0),MATCH($B$5,Juniorstwo!$A$56:$N$56,0))*E$5+INDEX(JuniorzyPozytyw[],MATCH($A78,Juniorstwo!$A$57:$A$76,0),MATCH($B$6,Juniorstwo!$A$56:$N$56,0))*E$6+INDEX(JuniorzyPozytyw[],MATCH($A78,Juniorstwo!$A$57:$A$76,0),MATCH($B$7,Juniorstwo!$A$56:$N$56,0))*E$7+INDEX(JuniorzyPozytyw[],MATCH($A78,Juniorstwo!$A$57:$A$76,0),MATCH($B$8,Juniorstwo!$A$56:$N$56,0))*E$8+INDEX(JuniorzyPozytyw[],MATCH($A78,Juniorstwo!$A$57:$A$76,0),MATCH($B$9,Juniorstwo!$A$56:$N$56,0))*E$9+INDEX(JuniorzyPozytyw[],MATCH($A78,Juniorstwo!$A$57:$A$76,0),MATCH($B$10,Juniorstwo!$A$56:$N$56,0))*E$10+INDEX(JuniorzyPozytyw[],MATCH($A78,Juniorstwo!$A$57:$A$76,0),MATCH($B$11,Juniorstwo!$A$56:$N$56,0))*E$11+INDEX(JuniorzyPozytyw[],MATCH($A78,Juniorstwo!$A$57:$A$76,0),MATCH($B$12,Juniorstwo!$A$56:$N$56,0))*E$12+INDEX(JuniorzyPozytyw[],MATCH($A78,Juniorstwo!$A$57:$A$76,0),MATCH($B$13,Juniorstwo!$A$56:$N$56,0))*E$13,"-")</f>
        <v>77.5</v>
      </c>
      <c r="F78" s="38">
        <f ca="1">IFERROR(INDEX(JuniorzyPozytyw[],MATCH($A78,Juniorstwo!$A$57:$A$76,0),MATCH($B$2,Juniorstwo!$A$56:$N$56,0))*F$2+INDEX(JuniorzyPozytyw[],MATCH($A78,Juniorstwo!$A$57:$A$76,0),MATCH($B$3,Juniorstwo!$A$56:$N$56,0))*F$3+INDEX(JuniorzyPozytyw[],MATCH($A78,Juniorstwo!$A$57:$A$76,0),MATCH($B$4,Juniorstwo!$A$56:$N$56,0))*F$4+INDEX(JuniorzyPozytyw[],MATCH($A78,Juniorstwo!$A$57:$A$76,0),MATCH($B$5,Juniorstwo!$A$56:$N$56,0))*F$5+INDEX(JuniorzyPozytyw[],MATCH($A78,Juniorstwo!$A$57:$A$76,0),MATCH($B$6,Juniorstwo!$A$56:$N$56,0))*F$6+INDEX(JuniorzyPozytyw[],MATCH($A78,Juniorstwo!$A$57:$A$76,0),MATCH($B$7,Juniorstwo!$A$56:$N$56,0))*F$7+INDEX(JuniorzyPozytyw[],MATCH($A78,Juniorstwo!$A$57:$A$76,0),MATCH($B$8,Juniorstwo!$A$56:$N$56,0))*F$8+INDEX(JuniorzyPozytyw[],MATCH($A78,Juniorstwo!$A$57:$A$76,0),MATCH($B$9,Juniorstwo!$A$56:$N$56,0))*F$9+INDEX(JuniorzyPozytyw[],MATCH($A78,Juniorstwo!$A$57:$A$76,0),MATCH($B$10,Juniorstwo!$A$56:$N$56,0))*F$10+INDEX(JuniorzyPozytyw[],MATCH($A78,Juniorstwo!$A$57:$A$76,0),MATCH($B$11,Juniorstwo!$A$56:$N$56,0))*F$11+INDEX(JuniorzyPozytyw[],MATCH($A78,Juniorstwo!$A$57:$A$76,0),MATCH($B$12,Juniorstwo!$A$56:$N$56,0))*F$12+INDEX(JuniorzyPozytyw[],MATCH($A78,Juniorstwo!$A$57:$A$76,0),MATCH($B$13,Juniorstwo!$A$56:$N$56,0))*F$13,"-")</f>
        <v>78.5</v>
      </c>
      <c r="G78" s="38">
        <f ca="1">IFERROR(INDEX(JuniorzyPozytyw[],MATCH($A78,Juniorstwo!$A$57:$A$76,0),MATCH($B$2,Juniorstwo!$A$56:$N$56,0))*G$2+INDEX(JuniorzyPozytyw[],MATCH($A78,Juniorstwo!$A$57:$A$76,0),MATCH($B$3,Juniorstwo!$A$56:$N$56,0))*G$3+INDEX(JuniorzyPozytyw[],MATCH($A78,Juniorstwo!$A$57:$A$76,0),MATCH($B$4,Juniorstwo!$A$56:$N$56,0))*G$4+INDEX(JuniorzyPozytyw[],MATCH($A78,Juniorstwo!$A$57:$A$76,0),MATCH($B$5,Juniorstwo!$A$56:$N$56,0))*G$5+INDEX(JuniorzyPozytyw[],MATCH($A78,Juniorstwo!$A$57:$A$76,0),MATCH($B$6,Juniorstwo!$A$56:$N$56,0))*G$6+INDEX(JuniorzyPozytyw[],MATCH($A78,Juniorstwo!$A$57:$A$76,0),MATCH($B$7,Juniorstwo!$A$56:$N$56,0))*G$7+INDEX(JuniorzyPozytyw[],MATCH($A78,Juniorstwo!$A$57:$A$76,0),MATCH($B$8,Juniorstwo!$A$56:$N$56,0))*G$8+INDEX(JuniorzyPozytyw[],MATCH($A78,Juniorstwo!$A$57:$A$76,0),MATCH($B$9,Juniorstwo!$A$56:$N$56,0))*G$9+INDEX(JuniorzyPozytyw[],MATCH($A78,Juniorstwo!$A$57:$A$76,0),MATCH($B$10,Juniorstwo!$A$56:$N$56,0))*G$10+INDEX(JuniorzyPozytyw[],MATCH($A78,Juniorstwo!$A$57:$A$76,0),MATCH($B$11,Juniorstwo!$A$56:$N$56,0))*G$11+INDEX(JuniorzyPozytyw[],MATCH($A78,Juniorstwo!$A$57:$A$76,0),MATCH($B$12,Juniorstwo!$A$56:$N$56,0))*G$12+INDEX(JuniorzyPozytyw[],MATCH($A78,Juniorstwo!$A$57:$A$76,0),MATCH($B$13,Juniorstwo!$A$56:$N$56,0))*G$13,"-")</f>
        <v>79</v>
      </c>
      <c r="H78" s="38">
        <f ca="1">IFERROR(INDEX(JuniorzyPozytyw[],MATCH($A78,Juniorstwo!$A$57:$A$76,0),MATCH($B$2,Juniorstwo!$A$56:$N$56,0))*H$2+INDEX(JuniorzyPozytyw[],MATCH($A78,Juniorstwo!$A$57:$A$76,0),MATCH($B$3,Juniorstwo!$A$56:$N$56,0))*H$3+INDEX(JuniorzyPozytyw[],MATCH($A78,Juniorstwo!$A$57:$A$76,0),MATCH($B$4,Juniorstwo!$A$56:$N$56,0))*H$4+INDEX(JuniorzyPozytyw[],MATCH($A78,Juniorstwo!$A$57:$A$76,0),MATCH($B$5,Juniorstwo!$A$56:$N$56,0))*H$5+INDEX(JuniorzyPozytyw[],MATCH($A78,Juniorstwo!$A$57:$A$76,0),MATCH($B$6,Juniorstwo!$A$56:$N$56,0))*H$6+INDEX(JuniorzyPozytyw[],MATCH($A78,Juniorstwo!$A$57:$A$76,0),MATCH($B$7,Juniorstwo!$A$56:$N$56,0))*H$7+INDEX(JuniorzyPozytyw[],MATCH($A78,Juniorstwo!$A$57:$A$76,0),MATCH($B$8,Juniorstwo!$A$56:$N$56,0))*H$8+INDEX(JuniorzyPozytyw[],MATCH($A78,Juniorstwo!$A$57:$A$76,0),MATCH($B$9,Juniorstwo!$A$56:$N$56,0))*H$9+INDEX(JuniorzyPozytyw[],MATCH($A78,Juniorstwo!$A$57:$A$76,0),MATCH($B$10,Juniorstwo!$A$56:$N$56,0))*H$10+INDEX(JuniorzyPozytyw[],MATCH($A78,Juniorstwo!$A$57:$A$76,0),MATCH($B$11,Juniorstwo!$A$56:$N$56,0))*H$11+INDEX(JuniorzyPozytyw[],MATCH($A78,Juniorstwo!$A$57:$A$76,0),MATCH($B$12,Juniorstwo!$A$56:$N$56,0))*H$12+INDEX(JuniorzyPozytyw[],MATCH($A78,Juniorstwo!$A$57:$A$76,0),MATCH($B$13,Juniorstwo!$A$56:$N$56,0))*H$13,"-")</f>
        <v>80.5</v>
      </c>
      <c r="I78" s="38">
        <f ca="1">IFERROR(INDEX(JuniorzyPozytyw[],MATCH($A78,Juniorstwo!$A$57:$A$76,0),MATCH($B$2,Juniorstwo!$A$56:$N$56,0))*I$2+INDEX(JuniorzyPozytyw[],MATCH($A78,Juniorstwo!$A$57:$A$76,0),MATCH($B$3,Juniorstwo!$A$56:$N$56,0))*I$3+INDEX(JuniorzyPozytyw[],MATCH($A78,Juniorstwo!$A$57:$A$76,0),MATCH($B$4,Juniorstwo!$A$56:$N$56,0))*I$4+INDEX(JuniorzyPozytyw[],MATCH($A78,Juniorstwo!$A$57:$A$76,0),MATCH($B$5,Juniorstwo!$A$56:$N$56,0))*I$5+INDEX(JuniorzyPozytyw[],MATCH($A78,Juniorstwo!$A$57:$A$76,0),MATCH($B$6,Juniorstwo!$A$56:$N$56,0))*I$6+INDEX(JuniorzyPozytyw[],MATCH($A78,Juniorstwo!$A$57:$A$76,0),MATCH($B$7,Juniorstwo!$A$56:$N$56,0))*I$7+INDEX(JuniorzyPozytyw[],MATCH($A78,Juniorstwo!$A$57:$A$76,0),MATCH($B$8,Juniorstwo!$A$56:$N$56,0))*I$8+INDEX(JuniorzyPozytyw[],MATCH($A78,Juniorstwo!$A$57:$A$76,0),MATCH($B$9,Juniorstwo!$A$56:$N$56,0))*I$9+INDEX(JuniorzyPozytyw[],MATCH($A78,Juniorstwo!$A$57:$A$76,0),MATCH($B$10,Juniorstwo!$A$56:$N$56,0))*I$10+INDEX(JuniorzyPozytyw[],MATCH($A78,Juniorstwo!$A$57:$A$76,0),MATCH($B$11,Juniorstwo!$A$56:$N$56,0))*I$11+INDEX(JuniorzyPozytyw[],MATCH($A78,Juniorstwo!$A$57:$A$76,0),MATCH($B$12,Juniorstwo!$A$56:$N$56,0))*I$12+INDEX(JuniorzyPozytyw[],MATCH($A78,Juniorstwo!$A$57:$A$76,0),MATCH($B$13,Juniorstwo!$A$56:$N$56,0))*I$13,"-")</f>
        <v>81.5</v>
      </c>
      <c r="J78" s="38">
        <f ca="1">IFERROR(INDEX(JuniorzyPozytyw[],MATCH($A78,Juniorstwo!$A$57:$A$76,0),MATCH($B$2,Juniorstwo!$A$56:$N$56,0))*J$2+INDEX(JuniorzyPozytyw[],MATCH($A78,Juniorstwo!$A$57:$A$76,0),MATCH($B$3,Juniorstwo!$A$56:$N$56,0))*J$3+INDEX(JuniorzyPozytyw[],MATCH($A78,Juniorstwo!$A$57:$A$76,0),MATCH($B$4,Juniorstwo!$A$56:$N$56,0))*J$4+INDEX(JuniorzyPozytyw[],MATCH($A78,Juniorstwo!$A$57:$A$76,0),MATCH($B$5,Juniorstwo!$A$56:$N$56,0))*J$5+INDEX(JuniorzyPozytyw[],MATCH($A78,Juniorstwo!$A$57:$A$76,0),MATCH($B$6,Juniorstwo!$A$56:$N$56,0))*J$6+INDEX(JuniorzyPozytyw[],MATCH($A78,Juniorstwo!$A$57:$A$76,0),MATCH($B$7,Juniorstwo!$A$56:$N$56,0))*J$7+INDEX(JuniorzyPozytyw[],MATCH($A78,Juniorstwo!$A$57:$A$76,0),MATCH($B$8,Juniorstwo!$A$56:$N$56,0))*J$8+INDEX(JuniorzyPozytyw[],MATCH($A78,Juniorstwo!$A$57:$A$76,0),MATCH($B$9,Juniorstwo!$A$56:$N$56,0))*J$9+INDEX(JuniorzyPozytyw[],MATCH($A78,Juniorstwo!$A$57:$A$76,0),MATCH($B$10,Juniorstwo!$A$56:$N$56,0))*J$10+INDEX(JuniorzyPozytyw[],MATCH($A78,Juniorstwo!$A$57:$A$76,0),MATCH($B$11,Juniorstwo!$A$56:$N$56,0))*J$11+INDEX(JuniorzyPozytyw[],MATCH($A78,Juniorstwo!$A$57:$A$76,0),MATCH($B$12,Juniorstwo!$A$56:$N$56,0))*J$12+INDEX(JuniorzyPozytyw[],MATCH($A78,Juniorstwo!$A$57:$A$76,0),MATCH($B$13,Juniorstwo!$A$56:$N$56,0))*J$13,"-")</f>
        <v>81.5</v>
      </c>
      <c r="K78" s="38">
        <f ca="1">IFERROR(INDEX(JuniorzyPozytyw[],MATCH($A78,Juniorstwo!$A$57:$A$76,0),MATCH($B$2,Juniorstwo!$A$56:$N$56,0))*K$2+INDEX(JuniorzyPozytyw[],MATCH($A78,Juniorstwo!$A$57:$A$76,0),MATCH($B$3,Juniorstwo!$A$56:$N$56,0))*K$3+INDEX(JuniorzyPozytyw[],MATCH($A78,Juniorstwo!$A$57:$A$76,0),MATCH($B$4,Juniorstwo!$A$56:$N$56,0))*K$4+INDEX(JuniorzyPozytyw[],MATCH($A78,Juniorstwo!$A$57:$A$76,0),MATCH($B$5,Juniorstwo!$A$56:$N$56,0))*K$5+INDEX(JuniorzyPozytyw[],MATCH($A78,Juniorstwo!$A$57:$A$76,0),MATCH($B$6,Juniorstwo!$A$56:$N$56,0))*K$6+INDEX(JuniorzyPozytyw[],MATCH($A78,Juniorstwo!$A$57:$A$76,0),MATCH($B$7,Juniorstwo!$A$56:$N$56,0))*K$7+INDEX(JuniorzyPozytyw[],MATCH($A78,Juniorstwo!$A$57:$A$76,0),MATCH($B$8,Juniorstwo!$A$56:$N$56,0))*K$8+INDEX(JuniorzyPozytyw[],MATCH($A78,Juniorstwo!$A$57:$A$76,0),MATCH($B$9,Juniorstwo!$A$56:$N$56,0))*K$9+INDEX(JuniorzyPozytyw[],MATCH($A78,Juniorstwo!$A$57:$A$76,0),MATCH($B$10,Juniorstwo!$A$56:$N$56,0))*K$10+INDEX(JuniorzyPozytyw[],MATCH($A78,Juniorstwo!$A$57:$A$76,0),MATCH($B$11,Juniorstwo!$A$56:$N$56,0))*K$11+INDEX(JuniorzyPozytyw[],MATCH($A78,Juniorstwo!$A$57:$A$76,0),MATCH($B$12,Juniorstwo!$A$56:$N$56,0))*K$12+INDEX(JuniorzyPozytyw[],MATCH($A78,Juniorstwo!$A$57:$A$76,0),MATCH($B$13,Juniorstwo!$A$56:$N$56,0))*K$13,"-")</f>
        <v>82.5</v>
      </c>
    </row>
    <row r="79" spans="1:11" x14ac:dyDescent="0.25">
      <c r="A79">
        <f>IFERROR(PozJunPŚr[[#This Row],[Numer]],"-")</f>
        <v>53</v>
      </c>
      <c r="B79" s="3" t="str">
        <f>IFERROR(VLOOKUP(PozJunPMM[[#This Row],[Numer]],Zawodnicy[[Number]:[Player name]],2,FALSE),"-")</f>
        <v>Cyryl Huratiak</v>
      </c>
      <c r="C79" s="38">
        <f ca="1">IFERROR(INDEX(JuniorzyPozytyw[],MATCH($A79,Juniorstwo!$A$57:$A$76,0),MATCH($B$2,Juniorstwo!$A$56:$N$56,0))*C$2+INDEX(JuniorzyPozytyw[],MATCH($A79,Juniorstwo!$A$57:$A$76,0),MATCH($B$3,Juniorstwo!$A$56:$N$56,0))*C$3+INDEX(JuniorzyPozytyw[],MATCH($A79,Juniorstwo!$A$57:$A$76,0),MATCH($B$4,Juniorstwo!$A$56:$N$56,0))*C$4+INDEX(JuniorzyPozytyw[],MATCH($A79,Juniorstwo!$A$57:$A$76,0),MATCH($B$5,Juniorstwo!$A$56:$N$56,0))*C$5+INDEX(JuniorzyPozytyw[],MATCH($A79,Juniorstwo!$A$57:$A$76,0),MATCH($B$6,Juniorstwo!$A$56:$N$56,0))*C$6+INDEX(JuniorzyPozytyw[],MATCH($A79,Juniorstwo!$A$57:$A$76,0),MATCH($B$7,Juniorstwo!$A$56:$N$56,0))*C$7+INDEX(JuniorzyPozytyw[],MATCH($A79,Juniorstwo!$A$57:$A$76,0),MATCH($B$8,Juniorstwo!$A$56:$N$56,0))*C$8+INDEX(JuniorzyPozytyw[],MATCH($A79,Juniorstwo!$A$57:$A$76,0),MATCH($B$9,Juniorstwo!$A$56:$N$56,0))*C$9+INDEX(JuniorzyPozytyw[],MATCH($A79,Juniorstwo!$A$57:$A$76,0),MATCH($B$10,Juniorstwo!$A$56:$N$56,0))*C$10+INDEX(JuniorzyPozytyw[],MATCH($A79,Juniorstwo!$A$57:$A$76,0),MATCH($B$11,Juniorstwo!$A$56:$N$56,0))*C$11+INDEX(JuniorzyPozytyw[],MATCH($A79,Juniorstwo!$A$57:$A$76,0),MATCH($B$12,Juniorstwo!$A$56:$N$56,0))*C$12+INDEX(JuniorzyPozytyw[],MATCH($A79,Juniorstwo!$A$57:$A$76,0),MATCH($B$13,Juniorstwo!$A$56:$N$56,0))*C$13,"-")</f>
        <v>76</v>
      </c>
      <c r="D79" s="38">
        <f ca="1">IFERROR(INDEX(JuniorzyPozytyw[],MATCH($A79,Juniorstwo!$A$57:$A$76,0),MATCH($B$2,Juniorstwo!$A$56:$N$56,0))*D$2+INDEX(JuniorzyPozytyw[],MATCH($A79,Juniorstwo!$A$57:$A$76,0),MATCH($B$3,Juniorstwo!$A$56:$N$56,0))*D$3+INDEX(JuniorzyPozytyw[],MATCH($A79,Juniorstwo!$A$57:$A$76,0),MATCH($B$4,Juniorstwo!$A$56:$N$56,0))*D$4+INDEX(JuniorzyPozytyw[],MATCH($A79,Juniorstwo!$A$57:$A$76,0),MATCH($B$5,Juniorstwo!$A$56:$N$56,0))*D$5+INDEX(JuniorzyPozytyw[],MATCH($A79,Juniorstwo!$A$57:$A$76,0),MATCH($B$6,Juniorstwo!$A$56:$N$56,0))*D$6+INDEX(JuniorzyPozytyw[],MATCH($A79,Juniorstwo!$A$57:$A$76,0),MATCH($B$7,Juniorstwo!$A$56:$N$56,0))*D$7+INDEX(JuniorzyPozytyw[],MATCH($A79,Juniorstwo!$A$57:$A$76,0),MATCH($B$8,Juniorstwo!$A$56:$N$56,0))*D$8+INDEX(JuniorzyPozytyw[],MATCH($A79,Juniorstwo!$A$57:$A$76,0),MATCH($B$9,Juniorstwo!$A$56:$N$56,0))*D$9+INDEX(JuniorzyPozytyw[],MATCH($A79,Juniorstwo!$A$57:$A$76,0),MATCH($B$10,Juniorstwo!$A$56:$N$56,0))*D$10+INDEX(JuniorzyPozytyw[],MATCH($A79,Juniorstwo!$A$57:$A$76,0),MATCH($B$11,Juniorstwo!$A$56:$N$56,0))*D$11+INDEX(JuniorzyPozytyw[],MATCH($A79,Juniorstwo!$A$57:$A$76,0),MATCH($B$12,Juniorstwo!$A$56:$N$56,0))*D$12+INDEX(JuniorzyPozytyw[],MATCH($A79,Juniorstwo!$A$57:$A$76,0),MATCH($B$13,Juniorstwo!$A$56:$N$56,0))*D$13,"-")</f>
        <v>85</v>
      </c>
      <c r="E79" s="38">
        <f ca="1">IFERROR(INDEX(JuniorzyPozytyw[],MATCH($A79,Juniorstwo!$A$57:$A$76,0),MATCH($B$2,Juniorstwo!$A$56:$N$56,0))*E$2+INDEX(JuniorzyPozytyw[],MATCH($A79,Juniorstwo!$A$57:$A$76,0),MATCH($B$3,Juniorstwo!$A$56:$N$56,0))*E$3+INDEX(JuniorzyPozytyw[],MATCH($A79,Juniorstwo!$A$57:$A$76,0),MATCH($B$4,Juniorstwo!$A$56:$N$56,0))*E$4+INDEX(JuniorzyPozytyw[],MATCH($A79,Juniorstwo!$A$57:$A$76,0),MATCH($B$5,Juniorstwo!$A$56:$N$56,0))*E$5+INDEX(JuniorzyPozytyw[],MATCH($A79,Juniorstwo!$A$57:$A$76,0),MATCH($B$6,Juniorstwo!$A$56:$N$56,0))*E$6+INDEX(JuniorzyPozytyw[],MATCH($A79,Juniorstwo!$A$57:$A$76,0),MATCH($B$7,Juniorstwo!$A$56:$N$56,0))*E$7+INDEX(JuniorzyPozytyw[],MATCH($A79,Juniorstwo!$A$57:$A$76,0),MATCH($B$8,Juniorstwo!$A$56:$N$56,0))*E$8+INDEX(JuniorzyPozytyw[],MATCH($A79,Juniorstwo!$A$57:$A$76,0),MATCH($B$9,Juniorstwo!$A$56:$N$56,0))*E$9+INDEX(JuniorzyPozytyw[],MATCH($A79,Juniorstwo!$A$57:$A$76,0),MATCH($B$10,Juniorstwo!$A$56:$N$56,0))*E$10+INDEX(JuniorzyPozytyw[],MATCH($A79,Juniorstwo!$A$57:$A$76,0),MATCH($B$11,Juniorstwo!$A$56:$N$56,0))*E$11+INDEX(JuniorzyPozytyw[],MATCH($A79,Juniorstwo!$A$57:$A$76,0),MATCH($B$12,Juniorstwo!$A$56:$N$56,0))*E$12+INDEX(JuniorzyPozytyw[],MATCH($A79,Juniorstwo!$A$57:$A$76,0),MATCH($B$13,Juniorstwo!$A$56:$N$56,0))*E$13,"-")</f>
        <v>84</v>
      </c>
      <c r="F79" s="38">
        <f ca="1">IFERROR(INDEX(JuniorzyPozytyw[],MATCH($A79,Juniorstwo!$A$57:$A$76,0),MATCH($B$2,Juniorstwo!$A$56:$N$56,0))*F$2+INDEX(JuniorzyPozytyw[],MATCH($A79,Juniorstwo!$A$57:$A$76,0),MATCH($B$3,Juniorstwo!$A$56:$N$56,0))*F$3+INDEX(JuniorzyPozytyw[],MATCH($A79,Juniorstwo!$A$57:$A$76,0),MATCH($B$4,Juniorstwo!$A$56:$N$56,0))*F$4+INDEX(JuniorzyPozytyw[],MATCH($A79,Juniorstwo!$A$57:$A$76,0),MATCH($B$5,Juniorstwo!$A$56:$N$56,0))*F$5+INDEX(JuniorzyPozytyw[],MATCH($A79,Juniorstwo!$A$57:$A$76,0),MATCH($B$6,Juniorstwo!$A$56:$N$56,0))*F$6+INDEX(JuniorzyPozytyw[],MATCH($A79,Juniorstwo!$A$57:$A$76,0),MATCH($B$7,Juniorstwo!$A$56:$N$56,0))*F$7+INDEX(JuniorzyPozytyw[],MATCH($A79,Juniorstwo!$A$57:$A$76,0),MATCH($B$8,Juniorstwo!$A$56:$N$56,0))*F$8+INDEX(JuniorzyPozytyw[],MATCH($A79,Juniorstwo!$A$57:$A$76,0),MATCH($B$9,Juniorstwo!$A$56:$N$56,0))*F$9+INDEX(JuniorzyPozytyw[],MATCH($A79,Juniorstwo!$A$57:$A$76,0),MATCH($B$10,Juniorstwo!$A$56:$N$56,0))*F$10+INDEX(JuniorzyPozytyw[],MATCH($A79,Juniorstwo!$A$57:$A$76,0),MATCH($B$11,Juniorstwo!$A$56:$N$56,0))*F$11+INDEX(JuniorzyPozytyw[],MATCH($A79,Juniorstwo!$A$57:$A$76,0),MATCH($B$12,Juniorstwo!$A$56:$N$56,0))*F$12+INDEX(JuniorzyPozytyw[],MATCH($A79,Juniorstwo!$A$57:$A$76,0),MATCH($B$13,Juniorstwo!$A$56:$N$56,0))*F$13,"-")</f>
        <v>83</v>
      </c>
      <c r="G79" s="38">
        <f ca="1">IFERROR(INDEX(JuniorzyPozytyw[],MATCH($A79,Juniorstwo!$A$57:$A$76,0),MATCH($B$2,Juniorstwo!$A$56:$N$56,0))*G$2+INDEX(JuniorzyPozytyw[],MATCH($A79,Juniorstwo!$A$57:$A$76,0),MATCH($B$3,Juniorstwo!$A$56:$N$56,0))*G$3+INDEX(JuniorzyPozytyw[],MATCH($A79,Juniorstwo!$A$57:$A$76,0),MATCH($B$4,Juniorstwo!$A$56:$N$56,0))*G$4+INDEX(JuniorzyPozytyw[],MATCH($A79,Juniorstwo!$A$57:$A$76,0),MATCH($B$5,Juniorstwo!$A$56:$N$56,0))*G$5+INDEX(JuniorzyPozytyw[],MATCH($A79,Juniorstwo!$A$57:$A$76,0),MATCH($B$6,Juniorstwo!$A$56:$N$56,0))*G$6+INDEX(JuniorzyPozytyw[],MATCH($A79,Juniorstwo!$A$57:$A$76,0),MATCH($B$7,Juniorstwo!$A$56:$N$56,0))*G$7+INDEX(JuniorzyPozytyw[],MATCH($A79,Juniorstwo!$A$57:$A$76,0),MATCH($B$8,Juniorstwo!$A$56:$N$56,0))*G$8+INDEX(JuniorzyPozytyw[],MATCH($A79,Juniorstwo!$A$57:$A$76,0),MATCH($B$9,Juniorstwo!$A$56:$N$56,0))*G$9+INDEX(JuniorzyPozytyw[],MATCH($A79,Juniorstwo!$A$57:$A$76,0),MATCH($B$10,Juniorstwo!$A$56:$N$56,0))*G$10+INDEX(JuniorzyPozytyw[],MATCH($A79,Juniorstwo!$A$57:$A$76,0),MATCH($B$11,Juniorstwo!$A$56:$N$56,0))*G$11+INDEX(JuniorzyPozytyw[],MATCH($A79,Juniorstwo!$A$57:$A$76,0),MATCH($B$12,Juniorstwo!$A$56:$N$56,0))*G$12+INDEX(JuniorzyPozytyw[],MATCH($A79,Juniorstwo!$A$57:$A$76,0),MATCH($B$13,Juniorstwo!$A$56:$N$56,0))*G$13,"-")</f>
        <v>82.5</v>
      </c>
      <c r="H79" s="38">
        <f ca="1">IFERROR(INDEX(JuniorzyPozytyw[],MATCH($A79,Juniorstwo!$A$57:$A$76,0),MATCH($B$2,Juniorstwo!$A$56:$N$56,0))*H$2+INDEX(JuniorzyPozytyw[],MATCH($A79,Juniorstwo!$A$57:$A$76,0),MATCH($B$3,Juniorstwo!$A$56:$N$56,0))*H$3+INDEX(JuniorzyPozytyw[],MATCH($A79,Juniorstwo!$A$57:$A$76,0),MATCH($B$4,Juniorstwo!$A$56:$N$56,0))*H$4+INDEX(JuniorzyPozytyw[],MATCH($A79,Juniorstwo!$A$57:$A$76,0),MATCH($B$5,Juniorstwo!$A$56:$N$56,0))*H$5+INDEX(JuniorzyPozytyw[],MATCH($A79,Juniorstwo!$A$57:$A$76,0),MATCH($B$6,Juniorstwo!$A$56:$N$56,0))*H$6+INDEX(JuniorzyPozytyw[],MATCH($A79,Juniorstwo!$A$57:$A$76,0),MATCH($B$7,Juniorstwo!$A$56:$N$56,0))*H$7+INDEX(JuniorzyPozytyw[],MATCH($A79,Juniorstwo!$A$57:$A$76,0),MATCH($B$8,Juniorstwo!$A$56:$N$56,0))*H$8+INDEX(JuniorzyPozytyw[],MATCH($A79,Juniorstwo!$A$57:$A$76,0),MATCH($B$9,Juniorstwo!$A$56:$N$56,0))*H$9+INDEX(JuniorzyPozytyw[],MATCH($A79,Juniorstwo!$A$57:$A$76,0),MATCH($B$10,Juniorstwo!$A$56:$N$56,0))*H$10+INDEX(JuniorzyPozytyw[],MATCH($A79,Juniorstwo!$A$57:$A$76,0),MATCH($B$11,Juniorstwo!$A$56:$N$56,0))*H$11+INDEX(JuniorzyPozytyw[],MATCH($A79,Juniorstwo!$A$57:$A$76,0),MATCH($B$12,Juniorstwo!$A$56:$N$56,0))*H$12+INDEX(JuniorzyPozytyw[],MATCH($A79,Juniorstwo!$A$57:$A$76,0),MATCH($B$13,Juniorstwo!$A$56:$N$56,0))*H$13,"-")</f>
        <v>81</v>
      </c>
      <c r="I79" s="38">
        <f ca="1">IFERROR(INDEX(JuniorzyPozytyw[],MATCH($A79,Juniorstwo!$A$57:$A$76,0),MATCH($B$2,Juniorstwo!$A$56:$N$56,0))*I$2+INDEX(JuniorzyPozytyw[],MATCH($A79,Juniorstwo!$A$57:$A$76,0),MATCH($B$3,Juniorstwo!$A$56:$N$56,0))*I$3+INDEX(JuniorzyPozytyw[],MATCH($A79,Juniorstwo!$A$57:$A$76,0),MATCH($B$4,Juniorstwo!$A$56:$N$56,0))*I$4+INDEX(JuniorzyPozytyw[],MATCH($A79,Juniorstwo!$A$57:$A$76,0),MATCH($B$5,Juniorstwo!$A$56:$N$56,0))*I$5+INDEX(JuniorzyPozytyw[],MATCH($A79,Juniorstwo!$A$57:$A$76,0),MATCH($B$6,Juniorstwo!$A$56:$N$56,0))*I$6+INDEX(JuniorzyPozytyw[],MATCH($A79,Juniorstwo!$A$57:$A$76,0),MATCH($B$7,Juniorstwo!$A$56:$N$56,0))*I$7+INDEX(JuniorzyPozytyw[],MATCH($A79,Juniorstwo!$A$57:$A$76,0),MATCH($B$8,Juniorstwo!$A$56:$N$56,0))*I$8+INDEX(JuniorzyPozytyw[],MATCH($A79,Juniorstwo!$A$57:$A$76,0),MATCH($B$9,Juniorstwo!$A$56:$N$56,0))*I$9+INDEX(JuniorzyPozytyw[],MATCH($A79,Juniorstwo!$A$57:$A$76,0),MATCH($B$10,Juniorstwo!$A$56:$N$56,0))*I$10+INDEX(JuniorzyPozytyw[],MATCH($A79,Juniorstwo!$A$57:$A$76,0),MATCH($B$11,Juniorstwo!$A$56:$N$56,0))*I$11+INDEX(JuniorzyPozytyw[],MATCH($A79,Juniorstwo!$A$57:$A$76,0),MATCH($B$12,Juniorstwo!$A$56:$N$56,0))*I$12+INDEX(JuniorzyPozytyw[],MATCH($A79,Juniorstwo!$A$57:$A$76,0),MATCH($B$13,Juniorstwo!$A$56:$N$56,0))*I$13,"-")</f>
        <v>80</v>
      </c>
      <c r="J79" s="38">
        <f ca="1">IFERROR(INDEX(JuniorzyPozytyw[],MATCH($A79,Juniorstwo!$A$57:$A$76,0),MATCH($B$2,Juniorstwo!$A$56:$N$56,0))*J$2+INDEX(JuniorzyPozytyw[],MATCH($A79,Juniorstwo!$A$57:$A$76,0),MATCH($B$3,Juniorstwo!$A$56:$N$56,0))*J$3+INDEX(JuniorzyPozytyw[],MATCH($A79,Juniorstwo!$A$57:$A$76,0),MATCH($B$4,Juniorstwo!$A$56:$N$56,0))*J$4+INDEX(JuniorzyPozytyw[],MATCH($A79,Juniorstwo!$A$57:$A$76,0),MATCH($B$5,Juniorstwo!$A$56:$N$56,0))*J$5+INDEX(JuniorzyPozytyw[],MATCH($A79,Juniorstwo!$A$57:$A$76,0),MATCH($B$6,Juniorstwo!$A$56:$N$56,0))*J$6+INDEX(JuniorzyPozytyw[],MATCH($A79,Juniorstwo!$A$57:$A$76,0),MATCH($B$7,Juniorstwo!$A$56:$N$56,0))*J$7+INDEX(JuniorzyPozytyw[],MATCH($A79,Juniorstwo!$A$57:$A$76,0),MATCH($B$8,Juniorstwo!$A$56:$N$56,0))*J$8+INDEX(JuniorzyPozytyw[],MATCH($A79,Juniorstwo!$A$57:$A$76,0),MATCH($B$9,Juniorstwo!$A$56:$N$56,0))*J$9+INDEX(JuniorzyPozytyw[],MATCH($A79,Juniorstwo!$A$57:$A$76,0),MATCH($B$10,Juniorstwo!$A$56:$N$56,0))*J$10+INDEX(JuniorzyPozytyw[],MATCH($A79,Juniorstwo!$A$57:$A$76,0),MATCH($B$11,Juniorstwo!$A$56:$N$56,0))*J$11+INDEX(JuniorzyPozytyw[],MATCH($A79,Juniorstwo!$A$57:$A$76,0),MATCH($B$12,Juniorstwo!$A$56:$N$56,0))*J$12+INDEX(JuniorzyPozytyw[],MATCH($A79,Juniorstwo!$A$57:$A$76,0),MATCH($B$13,Juniorstwo!$A$56:$N$56,0))*J$13,"-")</f>
        <v>80</v>
      </c>
      <c r="K79" s="38">
        <f ca="1">IFERROR(INDEX(JuniorzyPozytyw[],MATCH($A79,Juniorstwo!$A$57:$A$76,0),MATCH($B$2,Juniorstwo!$A$56:$N$56,0))*K$2+INDEX(JuniorzyPozytyw[],MATCH($A79,Juniorstwo!$A$57:$A$76,0),MATCH($B$3,Juniorstwo!$A$56:$N$56,0))*K$3+INDEX(JuniorzyPozytyw[],MATCH($A79,Juniorstwo!$A$57:$A$76,0),MATCH($B$4,Juniorstwo!$A$56:$N$56,0))*K$4+INDEX(JuniorzyPozytyw[],MATCH($A79,Juniorstwo!$A$57:$A$76,0),MATCH($B$5,Juniorstwo!$A$56:$N$56,0))*K$5+INDEX(JuniorzyPozytyw[],MATCH($A79,Juniorstwo!$A$57:$A$76,0),MATCH($B$6,Juniorstwo!$A$56:$N$56,0))*K$6+INDEX(JuniorzyPozytyw[],MATCH($A79,Juniorstwo!$A$57:$A$76,0),MATCH($B$7,Juniorstwo!$A$56:$N$56,0))*K$7+INDEX(JuniorzyPozytyw[],MATCH($A79,Juniorstwo!$A$57:$A$76,0),MATCH($B$8,Juniorstwo!$A$56:$N$56,0))*K$8+INDEX(JuniorzyPozytyw[],MATCH($A79,Juniorstwo!$A$57:$A$76,0),MATCH($B$9,Juniorstwo!$A$56:$N$56,0))*K$9+INDEX(JuniorzyPozytyw[],MATCH($A79,Juniorstwo!$A$57:$A$76,0),MATCH($B$10,Juniorstwo!$A$56:$N$56,0))*K$10+INDEX(JuniorzyPozytyw[],MATCH($A79,Juniorstwo!$A$57:$A$76,0),MATCH($B$11,Juniorstwo!$A$56:$N$56,0))*K$11+INDEX(JuniorzyPozytyw[],MATCH($A79,Juniorstwo!$A$57:$A$76,0),MATCH($B$12,Juniorstwo!$A$56:$N$56,0))*K$12+INDEX(JuniorzyPozytyw[],MATCH($A79,Juniorstwo!$A$57:$A$76,0),MATCH($B$13,Juniorstwo!$A$56:$N$56,0))*K$13,"-")</f>
        <v>79</v>
      </c>
    </row>
    <row r="80" spans="1:11" x14ac:dyDescent="0.25">
      <c r="A80">
        <f>IFERROR(PozJunPŚr[[#This Row],[Numer]],"-")</f>
        <v>22</v>
      </c>
      <c r="B80" s="3" t="str">
        <f>IFERROR(VLOOKUP(PozJunPMM[[#This Row],[Numer]],Zawodnicy[[Number]:[Player name]],2,FALSE),"-")</f>
        <v>Daniel Dziewulski</v>
      </c>
      <c r="C80" s="38">
        <f ca="1">IFERROR(INDEX(JuniorzyPozytyw[],MATCH($A80,Juniorstwo!$A$57:$A$76,0),MATCH($B$2,Juniorstwo!$A$56:$N$56,0))*C$2+INDEX(JuniorzyPozytyw[],MATCH($A80,Juniorstwo!$A$57:$A$76,0),MATCH($B$3,Juniorstwo!$A$56:$N$56,0))*C$3+INDEX(JuniorzyPozytyw[],MATCH($A80,Juniorstwo!$A$57:$A$76,0),MATCH($B$4,Juniorstwo!$A$56:$N$56,0))*C$4+INDEX(JuniorzyPozytyw[],MATCH($A80,Juniorstwo!$A$57:$A$76,0),MATCH($B$5,Juniorstwo!$A$56:$N$56,0))*C$5+INDEX(JuniorzyPozytyw[],MATCH($A80,Juniorstwo!$A$57:$A$76,0),MATCH($B$6,Juniorstwo!$A$56:$N$56,0))*C$6+INDEX(JuniorzyPozytyw[],MATCH($A80,Juniorstwo!$A$57:$A$76,0),MATCH($B$7,Juniorstwo!$A$56:$N$56,0))*C$7+INDEX(JuniorzyPozytyw[],MATCH($A80,Juniorstwo!$A$57:$A$76,0),MATCH($B$8,Juniorstwo!$A$56:$N$56,0))*C$8+INDEX(JuniorzyPozytyw[],MATCH($A80,Juniorstwo!$A$57:$A$76,0),MATCH($B$9,Juniorstwo!$A$56:$N$56,0))*C$9+INDEX(JuniorzyPozytyw[],MATCH($A80,Juniorstwo!$A$57:$A$76,0),MATCH($B$10,Juniorstwo!$A$56:$N$56,0))*C$10+INDEX(JuniorzyPozytyw[],MATCH($A80,Juniorstwo!$A$57:$A$76,0),MATCH($B$11,Juniorstwo!$A$56:$N$56,0))*C$11+INDEX(JuniorzyPozytyw[],MATCH($A80,Juniorstwo!$A$57:$A$76,0),MATCH($B$12,Juniorstwo!$A$56:$N$56,0))*C$12+INDEX(JuniorzyPozytyw[],MATCH($A80,Juniorstwo!$A$57:$A$76,0),MATCH($B$13,Juniorstwo!$A$56:$N$56,0))*C$13,"-")</f>
        <v>65</v>
      </c>
      <c r="D80" s="38">
        <f ca="1">IFERROR(INDEX(JuniorzyPozytyw[],MATCH($A80,Juniorstwo!$A$57:$A$76,0),MATCH($B$2,Juniorstwo!$A$56:$N$56,0))*D$2+INDEX(JuniorzyPozytyw[],MATCH($A80,Juniorstwo!$A$57:$A$76,0),MATCH($B$3,Juniorstwo!$A$56:$N$56,0))*D$3+INDEX(JuniorzyPozytyw[],MATCH($A80,Juniorstwo!$A$57:$A$76,0),MATCH($B$4,Juniorstwo!$A$56:$N$56,0))*D$4+INDEX(JuniorzyPozytyw[],MATCH($A80,Juniorstwo!$A$57:$A$76,0),MATCH($B$5,Juniorstwo!$A$56:$N$56,0))*D$5+INDEX(JuniorzyPozytyw[],MATCH($A80,Juniorstwo!$A$57:$A$76,0),MATCH($B$6,Juniorstwo!$A$56:$N$56,0))*D$6+INDEX(JuniorzyPozytyw[],MATCH($A80,Juniorstwo!$A$57:$A$76,0),MATCH($B$7,Juniorstwo!$A$56:$N$56,0))*D$7+INDEX(JuniorzyPozytyw[],MATCH($A80,Juniorstwo!$A$57:$A$76,0),MATCH($B$8,Juniorstwo!$A$56:$N$56,0))*D$8+INDEX(JuniorzyPozytyw[],MATCH($A80,Juniorstwo!$A$57:$A$76,0),MATCH($B$9,Juniorstwo!$A$56:$N$56,0))*D$9+INDEX(JuniorzyPozytyw[],MATCH($A80,Juniorstwo!$A$57:$A$76,0),MATCH($B$10,Juniorstwo!$A$56:$N$56,0))*D$10+INDEX(JuniorzyPozytyw[],MATCH($A80,Juniorstwo!$A$57:$A$76,0),MATCH($B$11,Juniorstwo!$A$56:$N$56,0))*D$11+INDEX(JuniorzyPozytyw[],MATCH($A80,Juniorstwo!$A$57:$A$76,0),MATCH($B$12,Juniorstwo!$A$56:$N$56,0))*D$12+INDEX(JuniorzyPozytyw[],MATCH($A80,Juniorstwo!$A$57:$A$76,0),MATCH($B$13,Juniorstwo!$A$56:$N$56,0))*D$13,"-")</f>
        <v>65</v>
      </c>
      <c r="E80" s="38">
        <f ca="1">IFERROR(INDEX(JuniorzyPozytyw[],MATCH($A80,Juniorstwo!$A$57:$A$76,0),MATCH($B$2,Juniorstwo!$A$56:$N$56,0))*E$2+INDEX(JuniorzyPozytyw[],MATCH($A80,Juniorstwo!$A$57:$A$76,0),MATCH($B$3,Juniorstwo!$A$56:$N$56,0))*E$3+INDEX(JuniorzyPozytyw[],MATCH($A80,Juniorstwo!$A$57:$A$76,0),MATCH($B$4,Juniorstwo!$A$56:$N$56,0))*E$4+INDEX(JuniorzyPozytyw[],MATCH($A80,Juniorstwo!$A$57:$A$76,0),MATCH($B$5,Juniorstwo!$A$56:$N$56,0))*E$5+INDEX(JuniorzyPozytyw[],MATCH($A80,Juniorstwo!$A$57:$A$76,0),MATCH($B$6,Juniorstwo!$A$56:$N$56,0))*E$6+INDEX(JuniorzyPozytyw[],MATCH($A80,Juniorstwo!$A$57:$A$76,0),MATCH($B$7,Juniorstwo!$A$56:$N$56,0))*E$7+INDEX(JuniorzyPozytyw[],MATCH($A80,Juniorstwo!$A$57:$A$76,0),MATCH($B$8,Juniorstwo!$A$56:$N$56,0))*E$8+INDEX(JuniorzyPozytyw[],MATCH($A80,Juniorstwo!$A$57:$A$76,0),MATCH($B$9,Juniorstwo!$A$56:$N$56,0))*E$9+INDEX(JuniorzyPozytyw[],MATCH($A80,Juniorstwo!$A$57:$A$76,0),MATCH($B$10,Juniorstwo!$A$56:$N$56,0))*E$10+INDEX(JuniorzyPozytyw[],MATCH($A80,Juniorstwo!$A$57:$A$76,0),MATCH($B$11,Juniorstwo!$A$56:$N$56,0))*E$11+INDEX(JuniorzyPozytyw[],MATCH($A80,Juniorstwo!$A$57:$A$76,0),MATCH($B$12,Juniorstwo!$A$56:$N$56,0))*E$12+INDEX(JuniorzyPozytyw[],MATCH($A80,Juniorstwo!$A$57:$A$76,0),MATCH($B$13,Juniorstwo!$A$56:$N$56,0))*E$13,"-")</f>
        <v>69</v>
      </c>
      <c r="F80" s="38">
        <f ca="1">IFERROR(INDEX(JuniorzyPozytyw[],MATCH($A80,Juniorstwo!$A$57:$A$76,0),MATCH($B$2,Juniorstwo!$A$56:$N$56,0))*F$2+INDEX(JuniorzyPozytyw[],MATCH($A80,Juniorstwo!$A$57:$A$76,0),MATCH($B$3,Juniorstwo!$A$56:$N$56,0))*F$3+INDEX(JuniorzyPozytyw[],MATCH($A80,Juniorstwo!$A$57:$A$76,0),MATCH($B$4,Juniorstwo!$A$56:$N$56,0))*F$4+INDEX(JuniorzyPozytyw[],MATCH($A80,Juniorstwo!$A$57:$A$76,0),MATCH($B$5,Juniorstwo!$A$56:$N$56,0))*F$5+INDEX(JuniorzyPozytyw[],MATCH($A80,Juniorstwo!$A$57:$A$76,0),MATCH($B$6,Juniorstwo!$A$56:$N$56,0))*F$6+INDEX(JuniorzyPozytyw[],MATCH($A80,Juniorstwo!$A$57:$A$76,0),MATCH($B$7,Juniorstwo!$A$56:$N$56,0))*F$7+INDEX(JuniorzyPozytyw[],MATCH($A80,Juniorstwo!$A$57:$A$76,0),MATCH($B$8,Juniorstwo!$A$56:$N$56,0))*F$8+INDEX(JuniorzyPozytyw[],MATCH($A80,Juniorstwo!$A$57:$A$76,0),MATCH($B$9,Juniorstwo!$A$56:$N$56,0))*F$9+INDEX(JuniorzyPozytyw[],MATCH($A80,Juniorstwo!$A$57:$A$76,0),MATCH($B$10,Juniorstwo!$A$56:$N$56,0))*F$10+INDEX(JuniorzyPozytyw[],MATCH($A80,Juniorstwo!$A$57:$A$76,0),MATCH($B$11,Juniorstwo!$A$56:$N$56,0))*F$11+INDEX(JuniorzyPozytyw[],MATCH($A80,Juniorstwo!$A$57:$A$76,0),MATCH($B$12,Juniorstwo!$A$56:$N$56,0))*F$12+INDEX(JuniorzyPozytyw[],MATCH($A80,Juniorstwo!$A$57:$A$76,0),MATCH($B$13,Juniorstwo!$A$56:$N$56,0))*F$13,"-")</f>
        <v>69.5</v>
      </c>
      <c r="G80" s="38">
        <f ca="1">IFERROR(INDEX(JuniorzyPozytyw[],MATCH($A80,Juniorstwo!$A$57:$A$76,0),MATCH($B$2,Juniorstwo!$A$56:$N$56,0))*G$2+INDEX(JuniorzyPozytyw[],MATCH($A80,Juniorstwo!$A$57:$A$76,0),MATCH($B$3,Juniorstwo!$A$56:$N$56,0))*G$3+INDEX(JuniorzyPozytyw[],MATCH($A80,Juniorstwo!$A$57:$A$76,0),MATCH($B$4,Juniorstwo!$A$56:$N$56,0))*G$4+INDEX(JuniorzyPozytyw[],MATCH($A80,Juniorstwo!$A$57:$A$76,0),MATCH($B$5,Juniorstwo!$A$56:$N$56,0))*G$5+INDEX(JuniorzyPozytyw[],MATCH($A80,Juniorstwo!$A$57:$A$76,0),MATCH($B$6,Juniorstwo!$A$56:$N$56,0))*G$6+INDEX(JuniorzyPozytyw[],MATCH($A80,Juniorstwo!$A$57:$A$76,0),MATCH($B$7,Juniorstwo!$A$56:$N$56,0))*G$7+INDEX(JuniorzyPozytyw[],MATCH($A80,Juniorstwo!$A$57:$A$76,0),MATCH($B$8,Juniorstwo!$A$56:$N$56,0))*G$8+INDEX(JuniorzyPozytyw[],MATCH($A80,Juniorstwo!$A$57:$A$76,0),MATCH($B$9,Juniorstwo!$A$56:$N$56,0))*G$9+INDEX(JuniorzyPozytyw[],MATCH($A80,Juniorstwo!$A$57:$A$76,0),MATCH($B$10,Juniorstwo!$A$56:$N$56,0))*G$10+INDEX(JuniorzyPozytyw[],MATCH($A80,Juniorstwo!$A$57:$A$76,0),MATCH($B$11,Juniorstwo!$A$56:$N$56,0))*G$11+INDEX(JuniorzyPozytyw[],MATCH($A80,Juniorstwo!$A$57:$A$76,0),MATCH($B$12,Juniorstwo!$A$56:$N$56,0))*G$12+INDEX(JuniorzyPozytyw[],MATCH($A80,Juniorstwo!$A$57:$A$76,0),MATCH($B$13,Juniorstwo!$A$56:$N$56,0))*G$13,"-")</f>
        <v>71</v>
      </c>
      <c r="H80" s="38">
        <f ca="1">IFERROR(INDEX(JuniorzyPozytyw[],MATCH($A80,Juniorstwo!$A$57:$A$76,0),MATCH($B$2,Juniorstwo!$A$56:$N$56,0))*H$2+INDEX(JuniorzyPozytyw[],MATCH($A80,Juniorstwo!$A$57:$A$76,0),MATCH($B$3,Juniorstwo!$A$56:$N$56,0))*H$3+INDEX(JuniorzyPozytyw[],MATCH($A80,Juniorstwo!$A$57:$A$76,0),MATCH($B$4,Juniorstwo!$A$56:$N$56,0))*H$4+INDEX(JuniorzyPozytyw[],MATCH($A80,Juniorstwo!$A$57:$A$76,0),MATCH($B$5,Juniorstwo!$A$56:$N$56,0))*H$5+INDEX(JuniorzyPozytyw[],MATCH($A80,Juniorstwo!$A$57:$A$76,0),MATCH($B$6,Juniorstwo!$A$56:$N$56,0))*H$6+INDEX(JuniorzyPozytyw[],MATCH($A80,Juniorstwo!$A$57:$A$76,0),MATCH($B$7,Juniorstwo!$A$56:$N$56,0))*H$7+INDEX(JuniorzyPozytyw[],MATCH($A80,Juniorstwo!$A$57:$A$76,0),MATCH($B$8,Juniorstwo!$A$56:$N$56,0))*H$8+INDEX(JuniorzyPozytyw[],MATCH($A80,Juniorstwo!$A$57:$A$76,0),MATCH($B$9,Juniorstwo!$A$56:$N$56,0))*H$9+INDEX(JuniorzyPozytyw[],MATCH($A80,Juniorstwo!$A$57:$A$76,0),MATCH($B$10,Juniorstwo!$A$56:$N$56,0))*H$10+INDEX(JuniorzyPozytyw[],MATCH($A80,Juniorstwo!$A$57:$A$76,0),MATCH($B$11,Juniorstwo!$A$56:$N$56,0))*H$11+INDEX(JuniorzyPozytyw[],MATCH($A80,Juniorstwo!$A$57:$A$76,0),MATCH($B$12,Juniorstwo!$A$56:$N$56,0))*H$12+INDEX(JuniorzyPozytyw[],MATCH($A80,Juniorstwo!$A$57:$A$76,0),MATCH($B$13,Juniorstwo!$A$56:$N$56,0))*H$13,"-")</f>
        <v>77</v>
      </c>
      <c r="I80" s="38">
        <f ca="1">IFERROR(INDEX(JuniorzyPozytyw[],MATCH($A80,Juniorstwo!$A$57:$A$76,0),MATCH($B$2,Juniorstwo!$A$56:$N$56,0))*I$2+INDEX(JuniorzyPozytyw[],MATCH($A80,Juniorstwo!$A$57:$A$76,0),MATCH($B$3,Juniorstwo!$A$56:$N$56,0))*I$3+INDEX(JuniorzyPozytyw[],MATCH($A80,Juniorstwo!$A$57:$A$76,0),MATCH($B$4,Juniorstwo!$A$56:$N$56,0))*I$4+INDEX(JuniorzyPozytyw[],MATCH($A80,Juniorstwo!$A$57:$A$76,0),MATCH($B$5,Juniorstwo!$A$56:$N$56,0))*I$5+INDEX(JuniorzyPozytyw[],MATCH($A80,Juniorstwo!$A$57:$A$76,0),MATCH($B$6,Juniorstwo!$A$56:$N$56,0))*I$6+INDEX(JuniorzyPozytyw[],MATCH($A80,Juniorstwo!$A$57:$A$76,0),MATCH($B$7,Juniorstwo!$A$56:$N$56,0))*I$7+INDEX(JuniorzyPozytyw[],MATCH($A80,Juniorstwo!$A$57:$A$76,0),MATCH($B$8,Juniorstwo!$A$56:$N$56,0))*I$8+INDEX(JuniorzyPozytyw[],MATCH($A80,Juniorstwo!$A$57:$A$76,0),MATCH($B$9,Juniorstwo!$A$56:$N$56,0))*I$9+INDEX(JuniorzyPozytyw[],MATCH($A80,Juniorstwo!$A$57:$A$76,0),MATCH($B$10,Juniorstwo!$A$56:$N$56,0))*I$10+INDEX(JuniorzyPozytyw[],MATCH($A80,Juniorstwo!$A$57:$A$76,0),MATCH($B$11,Juniorstwo!$A$56:$N$56,0))*I$11+INDEX(JuniorzyPozytyw[],MATCH($A80,Juniorstwo!$A$57:$A$76,0),MATCH($B$12,Juniorstwo!$A$56:$N$56,0))*I$12+INDEX(JuniorzyPozytyw[],MATCH($A80,Juniorstwo!$A$57:$A$76,0),MATCH($B$13,Juniorstwo!$A$56:$N$56,0))*I$13,"-")</f>
        <v>75.5</v>
      </c>
      <c r="J80" s="38">
        <f ca="1">IFERROR(INDEX(JuniorzyPozytyw[],MATCH($A80,Juniorstwo!$A$57:$A$76,0),MATCH($B$2,Juniorstwo!$A$56:$N$56,0))*J$2+INDEX(JuniorzyPozytyw[],MATCH($A80,Juniorstwo!$A$57:$A$76,0),MATCH($B$3,Juniorstwo!$A$56:$N$56,0))*J$3+INDEX(JuniorzyPozytyw[],MATCH($A80,Juniorstwo!$A$57:$A$76,0),MATCH($B$4,Juniorstwo!$A$56:$N$56,0))*J$4+INDEX(JuniorzyPozytyw[],MATCH($A80,Juniorstwo!$A$57:$A$76,0),MATCH($B$5,Juniorstwo!$A$56:$N$56,0))*J$5+INDEX(JuniorzyPozytyw[],MATCH($A80,Juniorstwo!$A$57:$A$76,0),MATCH($B$6,Juniorstwo!$A$56:$N$56,0))*J$6+INDEX(JuniorzyPozytyw[],MATCH($A80,Juniorstwo!$A$57:$A$76,0),MATCH($B$7,Juniorstwo!$A$56:$N$56,0))*J$7+INDEX(JuniorzyPozytyw[],MATCH($A80,Juniorstwo!$A$57:$A$76,0),MATCH($B$8,Juniorstwo!$A$56:$N$56,0))*J$8+INDEX(JuniorzyPozytyw[],MATCH($A80,Juniorstwo!$A$57:$A$76,0),MATCH($B$9,Juniorstwo!$A$56:$N$56,0))*J$9+INDEX(JuniorzyPozytyw[],MATCH($A80,Juniorstwo!$A$57:$A$76,0),MATCH($B$10,Juniorstwo!$A$56:$N$56,0))*J$10+INDEX(JuniorzyPozytyw[],MATCH($A80,Juniorstwo!$A$57:$A$76,0),MATCH($B$11,Juniorstwo!$A$56:$N$56,0))*J$11+INDEX(JuniorzyPozytyw[],MATCH($A80,Juniorstwo!$A$57:$A$76,0),MATCH($B$12,Juniorstwo!$A$56:$N$56,0))*J$12+INDEX(JuniorzyPozytyw[],MATCH($A80,Juniorstwo!$A$57:$A$76,0),MATCH($B$13,Juniorstwo!$A$56:$N$56,0))*J$13,"-")</f>
        <v>77.5</v>
      </c>
      <c r="K80" s="38">
        <f ca="1">IFERROR(INDEX(JuniorzyPozytyw[],MATCH($A80,Juniorstwo!$A$57:$A$76,0),MATCH($B$2,Juniorstwo!$A$56:$N$56,0))*K$2+INDEX(JuniorzyPozytyw[],MATCH($A80,Juniorstwo!$A$57:$A$76,0),MATCH($B$3,Juniorstwo!$A$56:$N$56,0))*K$3+INDEX(JuniorzyPozytyw[],MATCH($A80,Juniorstwo!$A$57:$A$76,0),MATCH($B$4,Juniorstwo!$A$56:$N$56,0))*K$4+INDEX(JuniorzyPozytyw[],MATCH($A80,Juniorstwo!$A$57:$A$76,0),MATCH($B$5,Juniorstwo!$A$56:$N$56,0))*K$5+INDEX(JuniorzyPozytyw[],MATCH($A80,Juniorstwo!$A$57:$A$76,0),MATCH($B$6,Juniorstwo!$A$56:$N$56,0))*K$6+INDEX(JuniorzyPozytyw[],MATCH($A80,Juniorstwo!$A$57:$A$76,0),MATCH($B$7,Juniorstwo!$A$56:$N$56,0))*K$7+INDEX(JuniorzyPozytyw[],MATCH($A80,Juniorstwo!$A$57:$A$76,0),MATCH($B$8,Juniorstwo!$A$56:$N$56,0))*K$8+INDEX(JuniorzyPozytyw[],MATCH($A80,Juniorstwo!$A$57:$A$76,0),MATCH($B$9,Juniorstwo!$A$56:$N$56,0))*K$9+INDEX(JuniorzyPozytyw[],MATCH($A80,Juniorstwo!$A$57:$A$76,0),MATCH($B$10,Juniorstwo!$A$56:$N$56,0))*K$10+INDEX(JuniorzyPozytyw[],MATCH($A80,Juniorstwo!$A$57:$A$76,0),MATCH($B$11,Juniorstwo!$A$56:$N$56,0))*K$11+INDEX(JuniorzyPozytyw[],MATCH($A80,Juniorstwo!$A$57:$A$76,0),MATCH($B$12,Juniorstwo!$A$56:$N$56,0))*K$12+INDEX(JuniorzyPozytyw[],MATCH($A80,Juniorstwo!$A$57:$A$76,0),MATCH($B$13,Juniorstwo!$A$56:$N$56,0))*K$13,"-")</f>
        <v>75.5</v>
      </c>
    </row>
    <row r="81" spans="1:11" x14ac:dyDescent="0.25">
      <c r="A81">
        <f>IFERROR(PozJunPŚr[[#This Row],[Numer]],"-")</f>
        <v>25</v>
      </c>
      <c r="B81" s="3" t="str">
        <f>IFERROR(VLOOKUP(PozJunPMM[[#This Row],[Numer]],Zawodnicy[[Number]:[Player name]],2,FALSE),"-")</f>
        <v>Jakub Ludwiczak</v>
      </c>
      <c r="C81" s="38">
        <f ca="1">IFERROR(INDEX(JuniorzyPozytyw[],MATCH($A81,Juniorstwo!$A$57:$A$76,0),MATCH($B$2,Juniorstwo!$A$56:$N$56,0))*C$2+INDEX(JuniorzyPozytyw[],MATCH($A81,Juniorstwo!$A$57:$A$76,0),MATCH($B$3,Juniorstwo!$A$56:$N$56,0))*C$3+INDEX(JuniorzyPozytyw[],MATCH($A81,Juniorstwo!$A$57:$A$76,0),MATCH($B$4,Juniorstwo!$A$56:$N$56,0))*C$4+INDEX(JuniorzyPozytyw[],MATCH($A81,Juniorstwo!$A$57:$A$76,0),MATCH($B$5,Juniorstwo!$A$56:$N$56,0))*C$5+INDEX(JuniorzyPozytyw[],MATCH($A81,Juniorstwo!$A$57:$A$76,0),MATCH($B$6,Juniorstwo!$A$56:$N$56,0))*C$6+INDEX(JuniorzyPozytyw[],MATCH($A81,Juniorstwo!$A$57:$A$76,0),MATCH($B$7,Juniorstwo!$A$56:$N$56,0))*C$7+INDEX(JuniorzyPozytyw[],MATCH($A81,Juniorstwo!$A$57:$A$76,0),MATCH($B$8,Juniorstwo!$A$56:$N$56,0))*C$8+INDEX(JuniorzyPozytyw[],MATCH($A81,Juniorstwo!$A$57:$A$76,0),MATCH($B$9,Juniorstwo!$A$56:$N$56,0))*C$9+INDEX(JuniorzyPozytyw[],MATCH($A81,Juniorstwo!$A$57:$A$76,0),MATCH($B$10,Juniorstwo!$A$56:$N$56,0))*C$10+INDEX(JuniorzyPozytyw[],MATCH($A81,Juniorstwo!$A$57:$A$76,0),MATCH($B$11,Juniorstwo!$A$56:$N$56,0))*C$11+INDEX(JuniorzyPozytyw[],MATCH($A81,Juniorstwo!$A$57:$A$76,0),MATCH($B$12,Juniorstwo!$A$56:$N$56,0))*C$12+INDEX(JuniorzyPozytyw[],MATCH($A81,Juniorstwo!$A$57:$A$76,0),MATCH($B$13,Juniorstwo!$A$56:$N$56,0))*C$13,"-")</f>
        <v>76.5</v>
      </c>
      <c r="D81" s="38">
        <f ca="1">IFERROR(INDEX(JuniorzyPozytyw[],MATCH($A81,Juniorstwo!$A$57:$A$76,0),MATCH($B$2,Juniorstwo!$A$56:$N$56,0))*D$2+INDEX(JuniorzyPozytyw[],MATCH($A81,Juniorstwo!$A$57:$A$76,0),MATCH($B$3,Juniorstwo!$A$56:$N$56,0))*D$3+INDEX(JuniorzyPozytyw[],MATCH($A81,Juniorstwo!$A$57:$A$76,0),MATCH($B$4,Juniorstwo!$A$56:$N$56,0))*D$4+INDEX(JuniorzyPozytyw[],MATCH($A81,Juniorstwo!$A$57:$A$76,0),MATCH($B$5,Juniorstwo!$A$56:$N$56,0))*D$5+INDEX(JuniorzyPozytyw[],MATCH($A81,Juniorstwo!$A$57:$A$76,0),MATCH($B$6,Juniorstwo!$A$56:$N$56,0))*D$6+INDEX(JuniorzyPozytyw[],MATCH($A81,Juniorstwo!$A$57:$A$76,0),MATCH($B$7,Juniorstwo!$A$56:$N$56,0))*D$7+INDEX(JuniorzyPozytyw[],MATCH($A81,Juniorstwo!$A$57:$A$76,0),MATCH($B$8,Juniorstwo!$A$56:$N$56,0))*D$8+INDEX(JuniorzyPozytyw[],MATCH($A81,Juniorstwo!$A$57:$A$76,0),MATCH($B$9,Juniorstwo!$A$56:$N$56,0))*D$9+INDEX(JuniorzyPozytyw[],MATCH($A81,Juniorstwo!$A$57:$A$76,0),MATCH($B$10,Juniorstwo!$A$56:$N$56,0))*D$10+INDEX(JuniorzyPozytyw[],MATCH($A81,Juniorstwo!$A$57:$A$76,0),MATCH($B$11,Juniorstwo!$A$56:$N$56,0))*D$11+INDEX(JuniorzyPozytyw[],MATCH($A81,Juniorstwo!$A$57:$A$76,0),MATCH($B$12,Juniorstwo!$A$56:$N$56,0))*D$12+INDEX(JuniorzyPozytyw[],MATCH($A81,Juniorstwo!$A$57:$A$76,0),MATCH($B$13,Juniorstwo!$A$56:$N$56,0))*D$13,"-")</f>
        <v>77</v>
      </c>
      <c r="E81" s="38">
        <f ca="1">IFERROR(INDEX(JuniorzyPozytyw[],MATCH($A81,Juniorstwo!$A$57:$A$76,0),MATCH($B$2,Juniorstwo!$A$56:$N$56,0))*E$2+INDEX(JuniorzyPozytyw[],MATCH($A81,Juniorstwo!$A$57:$A$76,0),MATCH($B$3,Juniorstwo!$A$56:$N$56,0))*E$3+INDEX(JuniorzyPozytyw[],MATCH($A81,Juniorstwo!$A$57:$A$76,0),MATCH($B$4,Juniorstwo!$A$56:$N$56,0))*E$4+INDEX(JuniorzyPozytyw[],MATCH($A81,Juniorstwo!$A$57:$A$76,0),MATCH($B$5,Juniorstwo!$A$56:$N$56,0))*E$5+INDEX(JuniorzyPozytyw[],MATCH($A81,Juniorstwo!$A$57:$A$76,0),MATCH($B$6,Juniorstwo!$A$56:$N$56,0))*E$6+INDEX(JuniorzyPozytyw[],MATCH($A81,Juniorstwo!$A$57:$A$76,0),MATCH($B$7,Juniorstwo!$A$56:$N$56,0))*E$7+INDEX(JuniorzyPozytyw[],MATCH($A81,Juniorstwo!$A$57:$A$76,0),MATCH($B$8,Juniorstwo!$A$56:$N$56,0))*E$8+INDEX(JuniorzyPozytyw[],MATCH($A81,Juniorstwo!$A$57:$A$76,0),MATCH($B$9,Juniorstwo!$A$56:$N$56,0))*E$9+INDEX(JuniorzyPozytyw[],MATCH($A81,Juniorstwo!$A$57:$A$76,0),MATCH($B$10,Juniorstwo!$A$56:$N$56,0))*E$10+INDEX(JuniorzyPozytyw[],MATCH($A81,Juniorstwo!$A$57:$A$76,0),MATCH($B$11,Juniorstwo!$A$56:$N$56,0))*E$11+INDEX(JuniorzyPozytyw[],MATCH($A81,Juniorstwo!$A$57:$A$76,0),MATCH($B$12,Juniorstwo!$A$56:$N$56,0))*E$12+INDEX(JuniorzyPozytyw[],MATCH($A81,Juniorstwo!$A$57:$A$76,0),MATCH($B$13,Juniorstwo!$A$56:$N$56,0))*E$13,"-")</f>
        <v>78</v>
      </c>
      <c r="F81" s="38">
        <f ca="1">IFERROR(INDEX(JuniorzyPozytyw[],MATCH($A81,Juniorstwo!$A$57:$A$76,0),MATCH($B$2,Juniorstwo!$A$56:$N$56,0))*F$2+INDEX(JuniorzyPozytyw[],MATCH($A81,Juniorstwo!$A$57:$A$76,0),MATCH($B$3,Juniorstwo!$A$56:$N$56,0))*F$3+INDEX(JuniorzyPozytyw[],MATCH($A81,Juniorstwo!$A$57:$A$76,0),MATCH($B$4,Juniorstwo!$A$56:$N$56,0))*F$4+INDEX(JuniorzyPozytyw[],MATCH($A81,Juniorstwo!$A$57:$A$76,0),MATCH($B$5,Juniorstwo!$A$56:$N$56,0))*F$5+INDEX(JuniorzyPozytyw[],MATCH($A81,Juniorstwo!$A$57:$A$76,0),MATCH($B$6,Juniorstwo!$A$56:$N$56,0))*F$6+INDEX(JuniorzyPozytyw[],MATCH($A81,Juniorstwo!$A$57:$A$76,0),MATCH($B$7,Juniorstwo!$A$56:$N$56,0))*F$7+INDEX(JuniorzyPozytyw[],MATCH($A81,Juniorstwo!$A$57:$A$76,0),MATCH($B$8,Juniorstwo!$A$56:$N$56,0))*F$8+INDEX(JuniorzyPozytyw[],MATCH($A81,Juniorstwo!$A$57:$A$76,0),MATCH($B$9,Juniorstwo!$A$56:$N$56,0))*F$9+INDEX(JuniorzyPozytyw[],MATCH($A81,Juniorstwo!$A$57:$A$76,0),MATCH($B$10,Juniorstwo!$A$56:$N$56,0))*F$10+INDEX(JuniorzyPozytyw[],MATCH($A81,Juniorstwo!$A$57:$A$76,0),MATCH($B$11,Juniorstwo!$A$56:$N$56,0))*F$11+INDEX(JuniorzyPozytyw[],MATCH($A81,Juniorstwo!$A$57:$A$76,0),MATCH($B$12,Juniorstwo!$A$56:$N$56,0))*F$12+INDEX(JuniorzyPozytyw[],MATCH($A81,Juniorstwo!$A$57:$A$76,0),MATCH($B$13,Juniorstwo!$A$56:$N$56,0))*F$13,"-")</f>
        <v>80</v>
      </c>
      <c r="G81" s="38">
        <f ca="1">IFERROR(INDEX(JuniorzyPozytyw[],MATCH($A81,Juniorstwo!$A$57:$A$76,0),MATCH($B$2,Juniorstwo!$A$56:$N$56,0))*G$2+INDEX(JuniorzyPozytyw[],MATCH($A81,Juniorstwo!$A$57:$A$76,0),MATCH($B$3,Juniorstwo!$A$56:$N$56,0))*G$3+INDEX(JuniorzyPozytyw[],MATCH($A81,Juniorstwo!$A$57:$A$76,0),MATCH($B$4,Juniorstwo!$A$56:$N$56,0))*G$4+INDEX(JuniorzyPozytyw[],MATCH($A81,Juniorstwo!$A$57:$A$76,0),MATCH($B$5,Juniorstwo!$A$56:$N$56,0))*G$5+INDEX(JuniorzyPozytyw[],MATCH($A81,Juniorstwo!$A$57:$A$76,0),MATCH($B$6,Juniorstwo!$A$56:$N$56,0))*G$6+INDEX(JuniorzyPozytyw[],MATCH($A81,Juniorstwo!$A$57:$A$76,0),MATCH($B$7,Juniorstwo!$A$56:$N$56,0))*G$7+INDEX(JuniorzyPozytyw[],MATCH($A81,Juniorstwo!$A$57:$A$76,0),MATCH($B$8,Juniorstwo!$A$56:$N$56,0))*G$8+INDEX(JuniorzyPozytyw[],MATCH($A81,Juniorstwo!$A$57:$A$76,0),MATCH($B$9,Juniorstwo!$A$56:$N$56,0))*G$9+INDEX(JuniorzyPozytyw[],MATCH($A81,Juniorstwo!$A$57:$A$76,0),MATCH($B$10,Juniorstwo!$A$56:$N$56,0))*G$10+INDEX(JuniorzyPozytyw[],MATCH($A81,Juniorstwo!$A$57:$A$76,0),MATCH($B$11,Juniorstwo!$A$56:$N$56,0))*G$11+INDEX(JuniorzyPozytyw[],MATCH($A81,Juniorstwo!$A$57:$A$76,0),MATCH($B$12,Juniorstwo!$A$56:$N$56,0))*G$12+INDEX(JuniorzyPozytyw[],MATCH($A81,Juniorstwo!$A$57:$A$76,0),MATCH($B$13,Juniorstwo!$A$56:$N$56,0))*G$13,"-")</f>
        <v>80.5</v>
      </c>
      <c r="H81" s="38">
        <f ca="1">IFERROR(INDEX(JuniorzyPozytyw[],MATCH($A81,Juniorstwo!$A$57:$A$76,0),MATCH($B$2,Juniorstwo!$A$56:$N$56,0))*H$2+INDEX(JuniorzyPozytyw[],MATCH($A81,Juniorstwo!$A$57:$A$76,0),MATCH($B$3,Juniorstwo!$A$56:$N$56,0))*H$3+INDEX(JuniorzyPozytyw[],MATCH($A81,Juniorstwo!$A$57:$A$76,0),MATCH($B$4,Juniorstwo!$A$56:$N$56,0))*H$4+INDEX(JuniorzyPozytyw[],MATCH($A81,Juniorstwo!$A$57:$A$76,0),MATCH($B$5,Juniorstwo!$A$56:$N$56,0))*H$5+INDEX(JuniorzyPozytyw[],MATCH($A81,Juniorstwo!$A$57:$A$76,0),MATCH($B$6,Juniorstwo!$A$56:$N$56,0))*H$6+INDEX(JuniorzyPozytyw[],MATCH($A81,Juniorstwo!$A$57:$A$76,0),MATCH($B$7,Juniorstwo!$A$56:$N$56,0))*H$7+INDEX(JuniorzyPozytyw[],MATCH($A81,Juniorstwo!$A$57:$A$76,0),MATCH($B$8,Juniorstwo!$A$56:$N$56,0))*H$8+INDEX(JuniorzyPozytyw[],MATCH($A81,Juniorstwo!$A$57:$A$76,0),MATCH($B$9,Juniorstwo!$A$56:$N$56,0))*H$9+INDEX(JuniorzyPozytyw[],MATCH($A81,Juniorstwo!$A$57:$A$76,0),MATCH($B$10,Juniorstwo!$A$56:$N$56,0))*H$10+INDEX(JuniorzyPozytyw[],MATCH($A81,Juniorstwo!$A$57:$A$76,0),MATCH($B$11,Juniorstwo!$A$56:$N$56,0))*H$11+INDEX(JuniorzyPozytyw[],MATCH($A81,Juniorstwo!$A$57:$A$76,0),MATCH($B$12,Juniorstwo!$A$56:$N$56,0))*H$12+INDEX(JuniorzyPozytyw[],MATCH($A81,Juniorstwo!$A$57:$A$76,0),MATCH($B$13,Juniorstwo!$A$56:$N$56,0))*H$13,"-")</f>
        <v>82.5</v>
      </c>
      <c r="I81" s="38">
        <f ca="1">IFERROR(INDEX(JuniorzyPozytyw[],MATCH($A81,Juniorstwo!$A$57:$A$76,0),MATCH($B$2,Juniorstwo!$A$56:$N$56,0))*I$2+INDEX(JuniorzyPozytyw[],MATCH($A81,Juniorstwo!$A$57:$A$76,0),MATCH($B$3,Juniorstwo!$A$56:$N$56,0))*I$3+INDEX(JuniorzyPozytyw[],MATCH($A81,Juniorstwo!$A$57:$A$76,0),MATCH($B$4,Juniorstwo!$A$56:$N$56,0))*I$4+INDEX(JuniorzyPozytyw[],MATCH($A81,Juniorstwo!$A$57:$A$76,0),MATCH($B$5,Juniorstwo!$A$56:$N$56,0))*I$5+INDEX(JuniorzyPozytyw[],MATCH($A81,Juniorstwo!$A$57:$A$76,0),MATCH($B$6,Juniorstwo!$A$56:$N$56,0))*I$6+INDEX(JuniorzyPozytyw[],MATCH($A81,Juniorstwo!$A$57:$A$76,0),MATCH($B$7,Juniorstwo!$A$56:$N$56,0))*I$7+INDEX(JuniorzyPozytyw[],MATCH($A81,Juniorstwo!$A$57:$A$76,0),MATCH($B$8,Juniorstwo!$A$56:$N$56,0))*I$8+INDEX(JuniorzyPozytyw[],MATCH($A81,Juniorstwo!$A$57:$A$76,0),MATCH($B$9,Juniorstwo!$A$56:$N$56,0))*I$9+INDEX(JuniorzyPozytyw[],MATCH($A81,Juniorstwo!$A$57:$A$76,0),MATCH($B$10,Juniorstwo!$A$56:$N$56,0))*I$10+INDEX(JuniorzyPozytyw[],MATCH($A81,Juniorstwo!$A$57:$A$76,0),MATCH($B$11,Juniorstwo!$A$56:$N$56,0))*I$11+INDEX(JuniorzyPozytyw[],MATCH($A81,Juniorstwo!$A$57:$A$76,0),MATCH($B$12,Juniorstwo!$A$56:$N$56,0))*I$12+INDEX(JuniorzyPozytyw[],MATCH($A81,Juniorstwo!$A$57:$A$76,0),MATCH($B$13,Juniorstwo!$A$56:$N$56,0))*I$13,"-")</f>
        <v>83</v>
      </c>
      <c r="J81" s="38">
        <f ca="1">IFERROR(INDEX(JuniorzyPozytyw[],MATCH($A81,Juniorstwo!$A$57:$A$76,0),MATCH($B$2,Juniorstwo!$A$56:$N$56,0))*J$2+INDEX(JuniorzyPozytyw[],MATCH($A81,Juniorstwo!$A$57:$A$76,0),MATCH($B$3,Juniorstwo!$A$56:$N$56,0))*J$3+INDEX(JuniorzyPozytyw[],MATCH($A81,Juniorstwo!$A$57:$A$76,0),MATCH($B$4,Juniorstwo!$A$56:$N$56,0))*J$4+INDEX(JuniorzyPozytyw[],MATCH($A81,Juniorstwo!$A$57:$A$76,0),MATCH($B$5,Juniorstwo!$A$56:$N$56,0))*J$5+INDEX(JuniorzyPozytyw[],MATCH($A81,Juniorstwo!$A$57:$A$76,0),MATCH($B$6,Juniorstwo!$A$56:$N$56,0))*J$6+INDEX(JuniorzyPozytyw[],MATCH($A81,Juniorstwo!$A$57:$A$76,0),MATCH($B$7,Juniorstwo!$A$56:$N$56,0))*J$7+INDEX(JuniorzyPozytyw[],MATCH($A81,Juniorstwo!$A$57:$A$76,0),MATCH($B$8,Juniorstwo!$A$56:$N$56,0))*J$8+INDEX(JuniorzyPozytyw[],MATCH($A81,Juniorstwo!$A$57:$A$76,0),MATCH($B$9,Juniorstwo!$A$56:$N$56,0))*J$9+INDEX(JuniorzyPozytyw[],MATCH($A81,Juniorstwo!$A$57:$A$76,0),MATCH($B$10,Juniorstwo!$A$56:$N$56,0))*J$10+INDEX(JuniorzyPozytyw[],MATCH($A81,Juniorstwo!$A$57:$A$76,0),MATCH($B$11,Juniorstwo!$A$56:$N$56,0))*J$11+INDEX(JuniorzyPozytyw[],MATCH($A81,Juniorstwo!$A$57:$A$76,0),MATCH($B$12,Juniorstwo!$A$56:$N$56,0))*J$12+INDEX(JuniorzyPozytyw[],MATCH($A81,Juniorstwo!$A$57:$A$76,0),MATCH($B$13,Juniorstwo!$A$56:$N$56,0))*J$13,"-")</f>
        <v>81.5</v>
      </c>
      <c r="K81" s="38">
        <f ca="1">IFERROR(INDEX(JuniorzyPozytyw[],MATCH($A81,Juniorstwo!$A$57:$A$76,0),MATCH($B$2,Juniorstwo!$A$56:$N$56,0))*K$2+INDEX(JuniorzyPozytyw[],MATCH($A81,Juniorstwo!$A$57:$A$76,0),MATCH($B$3,Juniorstwo!$A$56:$N$56,0))*K$3+INDEX(JuniorzyPozytyw[],MATCH($A81,Juniorstwo!$A$57:$A$76,0),MATCH($B$4,Juniorstwo!$A$56:$N$56,0))*K$4+INDEX(JuniorzyPozytyw[],MATCH($A81,Juniorstwo!$A$57:$A$76,0),MATCH($B$5,Juniorstwo!$A$56:$N$56,0))*K$5+INDEX(JuniorzyPozytyw[],MATCH($A81,Juniorstwo!$A$57:$A$76,0),MATCH($B$6,Juniorstwo!$A$56:$N$56,0))*K$6+INDEX(JuniorzyPozytyw[],MATCH($A81,Juniorstwo!$A$57:$A$76,0),MATCH($B$7,Juniorstwo!$A$56:$N$56,0))*K$7+INDEX(JuniorzyPozytyw[],MATCH($A81,Juniorstwo!$A$57:$A$76,0),MATCH($B$8,Juniorstwo!$A$56:$N$56,0))*K$8+INDEX(JuniorzyPozytyw[],MATCH($A81,Juniorstwo!$A$57:$A$76,0),MATCH($B$9,Juniorstwo!$A$56:$N$56,0))*K$9+INDEX(JuniorzyPozytyw[],MATCH($A81,Juniorstwo!$A$57:$A$76,0),MATCH($B$10,Juniorstwo!$A$56:$N$56,0))*K$10+INDEX(JuniorzyPozytyw[],MATCH($A81,Juniorstwo!$A$57:$A$76,0),MATCH($B$11,Juniorstwo!$A$56:$N$56,0))*K$11+INDEX(JuniorzyPozytyw[],MATCH($A81,Juniorstwo!$A$57:$A$76,0),MATCH($B$12,Juniorstwo!$A$56:$N$56,0))*K$12+INDEX(JuniorzyPozytyw[],MATCH($A81,Juniorstwo!$A$57:$A$76,0),MATCH($B$13,Juniorstwo!$A$56:$N$56,0))*K$13,"-")</f>
        <v>81.5</v>
      </c>
    </row>
    <row r="82" spans="1:11" x14ac:dyDescent="0.25">
      <c r="A82">
        <f>IFERROR(PozJunPŚr[[#This Row],[Numer]],"-")</f>
        <v>26</v>
      </c>
      <c r="B82" s="3" t="str">
        <f>IFERROR(VLOOKUP(PozJunPMM[[#This Row],[Numer]],Zawodnicy[[Number]:[Player name]],2,FALSE),"-")</f>
        <v>Ignacy Lato</v>
      </c>
      <c r="C82" s="38">
        <f ca="1">IFERROR(INDEX(JuniorzyPozytyw[],MATCH($A82,Juniorstwo!$A$57:$A$76,0),MATCH($B$2,Juniorstwo!$A$56:$N$56,0))*C$2+INDEX(JuniorzyPozytyw[],MATCH($A82,Juniorstwo!$A$57:$A$76,0),MATCH($B$3,Juniorstwo!$A$56:$N$56,0))*C$3+INDEX(JuniorzyPozytyw[],MATCH($A82,Juniorstwo!$A$57:$A$76,0),MATCH($B$4,Juniorstwo!$A$56:$N$56,0))*C$4+INDEX(JuniorzyPozytyw[],MATCH($A82,Juniorstwo!$A$57:$A$76,0),MATCH($B$5,Juniorstwo!$A$56:$N$56,0))*C$5+INDEX(JuniorzyPozytyw[],MATCH($A82,Juniorstwo!$A$57:$A$76,0),MATCH($B$6,Juniorstwo!$A$56:$N$56,0))*C$6+INDEX(JuniorzyPozytyw[],MATCH($A82,Juniorstwo!$A$57:$A$76,0),MATCH($B$7,Juniorstwo!$A$56:$N$56,0))*C$7+INDEX(JuniorzyPozytyw[],MATCH($A82,Juniorstwo!$A$57:$A$76,0),MATCH($B$8,Juniorstwo!$A$56:$N$56,0))*C$8+INDEX(JuniorzyPozytyw[],MATCH($A82,Juniorstwo!$A$57:$A$76,0),MATCH($B$9,Juniorstwo!$A$56:$N$56,0))*C$9+INDEX(JuniorzyPozytyw[],MATCH($A82,Juniorstwo!$A$57:$A$76,0),MATCH($B$10,Juniorstwo!$A$56:$N$56,0))*C$10+INDEX(JuniorzyPozytyw[],MATCH($A82,Juniorstwo!$A$57:$A$76,0),MATCH($B$11,Juniorstwo!$A$56:$N$56,0))*C$11+INDEX(JuniorzyPozytyw[],MATCH($A82,Juniorstwo!$A$57:$A$76,0),MATCH($B$12,Juniorstwo!$A$56:$N$56,0))*C$12+INDEX(JuniorzyPozytyw[],MATCH($A82,Juniorstwo!$A$57:$A$76,0),MATCH($B$13,Juniorstwo!$A$56:$N$56,0))*C$13,"-")</f>
        <v>76</v>
      </c>
      <c r="D82" s="38">
        <f ca="1">IFERROR(INDEX(JuniorzyPozytyw[],MATCH($A82,Juniorstwo!$A$57:$A$76,0),MATCH($B$2,Juniorstwo!$A$56:$N$56,0))*D$2+INDEX(JuniorzyPozytyw[],MATCH($A82,Juniorstwo!$A$57:$A$76,0),MATCH($B$3,Juniorstwo!$A$56:$N$56,0))*D$3+INDEX(JuniorzyPozytyw[],MATCH($A82,Juniorstwo!$A$57:$A$76,0),MATCH($B$4,Juniorstwo!$A$56:$N$56,0))*D$4+INDEX(JuniorzyPozytyw[],MATCH($A82,Juniorstwo!$A$57:$A$76,0),MATCH($B$5,Juniorstwo!$A$56:$N$56,0))*D$5+INDEX(JuniorzyPozytyw[],MATCH($A82,Juniorstwo!$A$57:$A$76,0),MATCH($B$6,Juniorstwo!$A$56:$N$56,0))*D$6+INDEX(JuniorzyPozytyw[],MATCH($A82,Juniorstwo!$A$57:$A$76,0),MATCH($B$7,Juniorstwo!$A$56:$N$56,0))*D$7+INDEX(JuniorzyPozytyw[],MATCH($A82,Juniorstwo!$A$57:$A$76,0),MATCH($B$8,Juniorstwo!$A$56:$N$56,0))*D$8+INDEX(JuniorzyPozytyw[],MATCH($A82,Juniorstwo!$A$57:$A$76,0),MATCH($B$9,Juniorstwo!$A$56:$N$56,0))*D$9+INDEX(JuniorzyPozytyw[],MATCH($A82,Juniorstwo!$A$57:$A$76,0),MATCH($B$10,Juniorstwo!$A$56:$N$56,0))*D$10+INDEX(JuniorzyPozytyw[],MATCH($A82,Juniorstwo!$A$57:$A$76,0),MATCH($B$11,Juniorstwo!$A$56:$N$56,0))*D$11+INDEX(JuniorzyPozytyw[],MATCH($A82,Juniorstwo!$A$57:$A$76,0),MATCH($B$12,Juniorstwo!$A$56:$N$56,0))*D$12+INDEX(JuniorzyPozytyw[],MATCH($A82,Juniorstwo!$A$57:$A$76,0),MATCH($B$13,Juniorstwo!$A$56:$N$56,0))*D$13,"-")</f>
        <v>81</v>
      </c>
      <c r="E82" s="38">
        <f ca="1">IFERROR(INDEX(JuniorzyPozytyw[],MATCH($A82,Juniorstwo!$A$57:$A$76,0),MATCH($B$2,Juniorstwo!$A$56:$N$56,0))*E$2+INDEX(JuniorzyPozytyw[],MATCH($A82,Juniorstwo!$A$57:$A$76,0),MATCH($B$3,Juniorstwo!$A$56:$N$56,0))*E$3+INDEX(JuniorzyPozytyw[],MATCH($A82,Juniorstwo!$A$57:$A$76,0),MATCH($B$4,Juniorstwo!$A$56:$N$56,0))*E$4+INDEX(JuniorzyPozytyw[],MATCH($A82,Juniorstwo!$A$57:$A$76,0),MATCH($B$5,Juniorstwo!$A$56:$N$56,0))*E$5+INDEX(JuniorzyPozytyw[],MATCH($A82,Juniorstwo!$A$57:$A$76,0),MATCH($B$6,Juniorstwo!$A$56:$N$56,0))*E$6+INDEX(JuniorzyPozytyw[],MATCH($A82,Juniorstwo!$A$57:$A$76,0),MATCH($B$7,Juniorstwo!$A$56:$N$56,0))*E$7+INDEX(JuniorzyPozytyw[],MATCH($A82,Juniorstwo!$A$57:$A$76,0),MATCH($B$8,Juniorstwo!$A$56:$N$56,0))*E$8+INDEX(JuniorzyPozytyw[],MATCH($A82,Juniorstwo!$A$57:$A$76,0),MATCH($B$9,Juniorstwo!$A$56:$N$56,0))*E$9+INDEX(JuniorzyPozytyw[],MATCH($A82,Juniorstwo!$A$57:$A$76,0),MATCH($B$10,Juniorstwo!$A$56:$N$56,0))*E$10+INDEX(JuniorzyPozytyw[],MATCH($A82,Juniorstwo!$A$57:$A$76,0),MATCH($B$11,Juniorstwo!$A$56:$N$56,0))*E$11+INDEX(JuniorzyPozytyw[],MATCH($A82,Juniorstwo!$A$57:$A$76,0),MATCH($B$12,Juniorstwo!$A$56:$N$56,0))*E$12+INDEX(JuniorzyPozytyw[],MATCH($A82,Juniorstwo!$A$57:$A$76,0),MATCH($B$13,Juniorstwo!$A$56:$N$56,0))*E$13,"-")</f>
        <v>81</v>
      </c>
      <c r="F82" s="38">
        <f ca="1">IFERROR(INDEX(JuniorzyPozytyw[],MATCH($A82,Juniorstwo!$A$57:$A$76,0),MATCH($B$2,Juniorstwo!$A$56:$N$56,0))*F$2+INDEX(JuniorzyPozytyw[],MATCH($A82,Juniorstwo!$A$57:$A$76,0),MATCH($B$3,Juniorstwo!$A$56:$N$56,0))*F$3+INDEX(JuniorzyPozytyw[],MATCH($A82,Juniorstwo!$A$57:$A$76,0),MATCH($B$4,Juniorstwo!$A$56:$N$56,0))*F$4+INDEX(JuniorzyPozytyw[],MATCH($A82,Juniorstwo!$A$57:$A$76,0),MATCH($B$5,Juniorstwo!$A$56:$N$56,0))*F$5+INDEX(JuniorzyPozytyw[],MATCH($A82,Juniorstwo!$A$57:$A$76,0),MATCH($B$6,Juniorstwo!$A$56:$N$56,0))*F$6+INDEX(JuniorzyPozytyw[],MATCH($A82,Juniorstwo!$A$57:$A$76,0),MATCH($B$7,Juniorstwo!$A$56:$N$56,0))*F$7+INDEX(JuniorzyPozytyw[],MATCH($A82,Juniorstwo!$A$57:$A$76,0),MATCH($B$8,Juniorstwo!$A$56:$N$56,0))*F$8+INDEX(JuniorzyPozytyw[],MATCH($A82,Juniorstwo!$A$57:$A$76,0),MATCH($B$9,Juniorstwo!$A$56:$N$56,0))*F$9+INDEX(JuniorzyPozytyw[],MATCH($A82,Juniorstwo!$A$57:$A$76,0),MATCH($B$10,Juniorstwo!$A$56:$N$56,0))*F$10+INDEX(JuniorzyPozytyw[],MATCH($A82,Juniorstwo!$A$57:$A$76,0),MATCH($B$11,Juniorstwo!$A$56:$N$56,0))*F$11+INDEX(JuniorzyPozytyw[],MATCH($A82,Juniorstwo!$A$57:$A$76,0),MATCH($B$12,Juniorstwo!$A$56:$N$56,0))*F$12+INDEX(JuniorzyPozytyw[],MATCH($A82,Juniorstwo!$A$57:$A$76,0),MATCH($B$13,Juniorstwo!$A$56:$N$56,0))*F$13,"-")</f>
        <v>82</v>
      </c>
      <c r="G82" s="38">
        <f ca="1">IFERROR(INDEX(JuniorzyPozytyw[],MATCH($A82,Juniorstwo!$A$57:$A$76,0),MATCH($B$2,Juniorstwo!$A$56:$N$56,0))*G$2+INDEX(JuniorzyPozytyw[],MATCH($A82,Juniorstwo!$A$57:$A$76,0),MATCH($B$3,Juniorstwo!$A$56:$N$56,0))*G$3+INDEX(JuniorzyPozytyw[],MATCH($A82,Juniorstwo!$A$57:$A$76,0),MATCH($B$4,Juniorstwo!$A$56:$N$56,0))*G$4+INDEX(JuniorzyPozytyw[],MATCH($A82,Juniorstwo!$A$57:$A$76,0),MATCH($B$5,Juniorstwo!$A$56:$N$56,0))*G$5+INDEX(JuniorzyPozytyw[],MATCH($A82,Juniorstwo!$A$57:$A$76,0),MATCH($B$6,Juniorstwo!$A$56:$N$56,0))*G$6+INDEX(JuniorzyPozytyw[],MATCH($A82,Juniorstwo!$A$57:$A$76,0),MATCH($B$7,Juniorstwo!$A$56:$N$56,0))*G$7+INDEX(JuniorzyPozytyw[],MATCH($A82,Juniorstwo!$A$57:$A$76,0),MATCH($B$8,Juniorstwo!$A$56:$N$56,0))*G$8+INDEX(JuniorzyPozytyw[],MATCH($A82,Juniorstwo!$A$57:$A$76,0),MATCH($B$9,Juniorstwo!$A$56:$N$56,0))*G$9+INDEX(JuniorzyPozytyw[],MATCH($A82,Juniorstwo!$A$57:$A$76,0),MATCH($B$10,Juniorstwo!$A$56:$N$56,0))*G$10+INDEX(JuniorzyPozytyw[],MATCH($A82,Juniorstwo!$A$57:$A$76,0),MATCH($B$11,Juniorstwo!$A$56:$N$56,0))*G$11+INDEX(JuniorzyPozytyw[],MATCH($A82,Juniorstwo!$A$57:$A$76,0),MATCH($B$12,Juniorstwo!$A$56:$N$56,0))*G$12+INDEX(JuniorzyPozytyw[],MATCH($A82,Juniorstwo!$A$57:$A$76,0),MATCH($B$13,Juniorstwo!$A$56:$N$56,0))*G$13,"-")</f>
        <v>82</v>
      </c>
      <c r="H82" s="38">
        <f ca="1">IFERROR(INDEX(JuniorzyPozytyw[],MATCH($A82,Juniorstwo!$A$57:$A$76,0),MATCH($B$2,Juniorstwo!$A$56:$N$56,0))*H$2+INDEX(JuniorzyPozytyw[],MATCH($A82,Juniorstwo!$A$57:$A$76,0),MATCH($B$3,Juniorstwo!$A$56:$N$56,0))*H$3+INDEX(JuniorzyPozytyw[],MATCH($A82,Juniorstwo!$A$57:$A$76,0),MATCH($B$4,Juniorstwo!$A$56:$N$56,0))*H$4+INDEX(JuniorzyPozytyw[],MATCH($A82,Juniorstwo!$A$57:$A$76,0),MATCH($B$5,Juniorstwo!$A$56:$N$56,0))*H$5+INDEX(JuniorzyPozytyw[],MATCH($A82,Juniorstwo!$A$57:$A$76,0),MATCH($B$6,Juniorstwo!$A$56:$N$56,0))*H$6+INDEX(JuniorzyPozytyw[],MATCH($A82,Juniorstwo!$A$57:$A$76,0),MATCH($B$7,Juniorstwo!$A$56:$N$56,0))*H$7+INDEX(JuniorzyPozytyw[],MATCH($A82,Juniorstwo!$A$57:$A$76,0),MATCH($B$8,Juniorstwo!$A$56:$N$56,0))*H$8+INDEX(JuniorzyPozytyw[],MATCH($A82,Juniorstwo!$A$57:$A$76,0),MATCH($B$9,Juniorstwo!$A$56:$N$56,0))*H$9+INDEX(JuniorzyPozytyw[],MATCH($A82,Juniorstwo!$A$57:$A$76,0),MATCH($B$10,Juniorstwo!$A$56:$N$56,0))*H$10+INDEX(JuniorzyPozytyw[],MATCH($A82,Juniorstwo!$A$57:$A$76,0),MATCH($B$11,Juniorstwo!$A$56:$N$56,0))*H$11+INDEX(JuniorzyPozytyw[],MATCH($A82,Juniorstwo!$A$57:$A$76,0),MATCH($B$12,Juniorstwo!$A$56:$N$56,0))*H$12+INDEX(JuniorzyPozytyw[],MATCH($A82,Juniorstwo!$A$57:$A$76,0),MATCH($B$13,Juniorstwo!$A$56:$N$56,0))*H$13,"-")</f>
        <v>82.5</v>
      </c>
      <c r="I82" s="38">
        <f ca="1">IFERROR(INDEX(JuniorzyPozytyw[],MATCH($A82,Juniorstwo!$A$57:$A$76,0),MATCH($B$2,Juniorstwo!$A$56:$N$56,0))*I$2+INDEX(JuniorzyPozytyw[],MATCH($A82,Juniorstwo!$A$57:$A$76,0),MATCH($B$3,Juniorstwo!$A$56:$N$56,0))*I$3+INDEX(JuniorzyPozytyw[],MATCH($A82,Juniorstwo!$A$57:$A$76,0),MATCH($B$4,Juniorstwo!$A$56:$N$56,0))*I$4+INDEX(JuniorzyPozytyw[],MATCH($A82,Juniorstwo!$A$57:$A$76,0),MATCH($B$5,Juniorstwo!$A$56:$N$56,0))*I$5+INDEX(JuniorzyPozytyw[],MATCH($A82,Juniorstwo!$A$57:$A$76,0),MATCH($B$6,Juniorstwo!$A$56:$N$56,0))*I$6+INDEX(JuniorzyPozytyw[],MATCH($A82,Juniorstwo!$A$57:$A$76,0),MATCH($B$7,Juniorstwo!$A$56:$N$56,0))*I$7+INDEX(JuniorzyPozytyw[],MATCH($A82,Juniorstwo!$A$57:$A$76,0),MATCH($B$8,Juniorstwo!$A$56:$N$56,0))*I$8+INDEX(JuniorzyPozytyw[],MATCH($A82,Juniorstwo!$A$57:$A$76,0),MATCH($B$9,Juniorstwo!$A$56:$N$56,0))*I$9+INDEX(JuniorzyPozytyw[],MATCH($A82,Juniorstwo!$A$57:$A$76,0),MATCH($B$10,Juniorstwo!$A$56:$N$56,0))*I$10+INDEX(JuniorzyPozytyw[],MATCH($A82,Juniorstwo!$A$57:$A$76,0),MATCH($B$11,Juniorstwo!$A$56:$N$56,0))*I$11+INDEX(JuniorzyPozytyw[],MATCH($A82,Juniorstwo!$A$57:$A$76,0),MATCH($B$12,Juniorstwo!$A$56:$N$56,0))*I$12+INDEX(JuniorzyPozytyw[],MATCH($A82,Juniorstwo!$A$57:$A$76,0),MATCH($B$13,Juniorstwo!$A$56:$N$56,0))*I$13,"-")</f>
        <v>83</v>
      </c>
      <c r="J82" s="38">
        <f ca="1">IFERROR(INDEX(JuniorzyPozytyw[],MATCH($A82,Juniorstwo!$A$57:$A$76,0),MATCH($B$2,Juniorstwo!$A$56:$N$56,0))*J$2+INDEX(JuniorzyPozytyw[],MATCH($A82,Juniorstwo!$A$57:$A$76,0),MATCH($B$3,Juniorstwo!$A$56:$N$56,0))*J$3+INDEX(JuniorzyPozytyw[],MATCH($A82,Juniorstwo!$A$57:$A$76,0),MATCH($B$4,Juniorstwo!$A$56:$N$56,0))*J$4+INDEX(JuniorzyPozytyw[],MATCH($A82,Juniorstwo!$A$57:$A$76,0),MATCH($B$5,Juniorstwo!$A$56:$N$56,0))*J$5+INDEX(JuniorzyPozytyw[],MATCH($A82,Juniorstwo!$A$57:$A$76,0),MATCH($B$6,Juniorstwo!$A$56:$N$56,0))*J$6+INDEX(JuniorzyPozytyw[],MATCH($A82,Juniorstwo!$A$57:$A$76,0),MATCH($B$7,Juniorstwo!$A$56:$N$56,0))*J$7+INDEX(JuniorzyPozytyw[],MATCH($A82,Juniorstwo!$A$57:$A$76,0),MATCH($B$8,Juniorstwo!$A$56:$N$56,0))*J$8+INDEX(JuniorzyPozytyw[],MATCH($A82,Juniorstwo!$A$57:$A$76,0),MATCH($B$9,Juniorstwo!$A$56:$N$56,0))*J$9+INDEX(JuniorzyPozytyw[],MATCH($A82,Juniorstwo!$A$57:$A$76,0),MATCH($B$10,Juniorstwo!$A$56:$N$56,0))*J$10+INDEX(JuniorzyPozytyw[],MATCH($A82,Juniorstwo!$A$57:$A$76,0),MATCH($B$11,Juniorstwo!$A$56:$N$56,0))*J$11+INDEX(JuniorzyPozytyw[],MATCH($A82,Juniorstwo!$A$57:$A$76,0),MATCH($B$12,Juniorstwo!$A$56:$N$56,0))*J$12+INDEX(JuniorzyPozytyw[],MATCH($A82,Juniorstwo!$A$57:$A$76,0),MATCH($B$13,Juniorstwo!$A$56:$N$56,0))*J$13,"-")</f>
        <v>81.5</v>
      </c>
      <c r="K82" s="38">
        <f ca="1">IFERROR(INDEX(JuniorzyPozytyw[],MATCH($A82,Juniorstwo!$A$57:$A$76,0),MATCH($B$2,Juniorstwo!$A$56:$N$56,0))*K$2+INDEX(JuniorzyPozytyw[],MATCH($A82,Juniorstwo!$A$57:$A$76,0),MATCH($B$3,Juniorstwo!$A$56:$N$56,0))*K$3+INDEX(JuniorzyPozytyw[],MATCH($A82,Juniorstwo!$A$57:$A$76,0),MATCH($B$4,Juniorstwo!$A$56:$N$56,0))*K$4+INDEX(JuniorzyPozytyw[],MATCH($A82,Juniorstwo!$A$57:$A$76,0),MATCH($B$5,Juniorstwo!$A$56:$N$56,0))*K$5+INDEX(JuniorzyPozytyw[],MATCH($A82,Juniorstwo!$A$57:$A$76,0),MATCH($B$6,Juniorstwo!$A$56:$N$56,0))*K$6+INDEX(JuniorzyPozytyw[],MATCH($A82,Juniorstwo!$A$57:$A$76,0),MATCH($B$7,Juniorstwo!$A$56:$N$56,0))*K$7+INDEX(JuniorzyPozytyw[],MATCH($A82,Juniorstwo!$A$57:$A$76,0),MATCH($B$8,Juniorstwo!$A$56:$N$56,0))*K$8+INDEX(JuniorzyPozytyw[],MATCH($A82,Juniorstwo!$A$57:$A$76,0),MATCH($B$9,Juniorstwo!$A$56:$N$56,0))*K$9+INDEX(JuniorzyPozytyw[],MATCH($A82,Juniorstwo!$A$57:$A$76,0),MATCH($B$10,Juniorstwo!$A$56:$N$56,0))*K$10+INDEX(JuniorzyPozytyw[],MATCH($A82,Juniorstwo!$A$57:$A$76,0),MATCH($B$11,Juniorstwo!$A$56:$N$56,0))*K$11+INDEX(JuniorzyPozytyw[],MATCH($A82,Juniorstwo!$A$57:$A$76,0),MATCH($B$12,Juniorstwo!$A$56:$N$56,0))*K$12+INDEX(JuniorzyPozytyw[],MATCH($A82,Juniorstwo!$A$57:$A$76,0),MATCH($B$13,Juniorstwo!$A$56:$N$56,0))*K$13,"-")</f>
        <v>82.5</v>
      </c>
    </row>
    <row r="83" spans="1:11" x14ac:dyDescent="0.25">
      <c r="A83">
        <f>IFERROR(PozJunPŚr[[#This Row],[Numer]],"-")</f>
        <v>27</v>
      </c>
      <c r="B83" s="3" t="str">
        <f>IFERROR(VLOOKUP(PozJunPMM[[#This Row],[Numer]],Zawodnicy[[Number]:[Player name]],2,FALSE),"-")</f>
        <v>Sylwester Kaszubowski</v>
      </c>
      <c r="C83" s="38">
        <f ca="1">IFERROR(INDEX(JuniorzyPozytyw[],MATCH($A83,Juniorstwo!$A$57:$A$76,0),MATCH($B$2,Juniorstwo!$A$56:$N$56,0))*C$2+INDEX(JuniorzyPozytyw[],MATCH($A83,Juniorstwo!$A$57:$A$76,0),MATCH($B$3,Juniorstwo!$A$56:$N$56,0))*C$3+INDEX(JuniorzyPozytyw[],MATCH($A83,Juniorstwo!$A$57:$A$76,0),MATCH($B$4,Juniorstwo!$A$56:$N$56,0))*C$4+INDEX(JuniorzyPozytyw[],MATCH($A83,Juniorstwo!$A$57:$A$76,0),MATCH($B$5,Juniorstwo!$A$56:$N$56,0))*C$5+INDEX(JuniorzyPozytyw[],MATCH($A83,Juniorstwo!$A$57:$A$76,0),MATCH($B$6,Juniorstwo!$A$56:$N$56,0))*C$6+INDEX(JuniorzyPozytyw[],MATCH($A83,Juniorstwo!$A$57:$A$76,0),MATCH($B$7,Juniorstwo!$A$56:$N$56,0))*C$7+INDEX(JuniorzyPozytyw[],MATCH($A83,Juniorstwo!$A$57:$A$76,0),MATCH($B$8,Juniorstwo!$A$56:$N$56,0))*C$8+INDEX(JuniorzyPozytyw[],MATCH($A83,Juniorstwo!$A$57:$A$76,0),MATCH($B$9,Juniorstwo!$A$56:$N$56,0))*C$9+INDEX(JuniorzyPozytyw[],MATCH($A83,Juniorstwo!$A$57:$A$76,0),MATCH($B$10,Juniorstwo!$A$56:$N$56,0))*C$10+INDEX(JuniorzyPozytyw[],MATCH($A83,Juniorstwo!$A$57:$A$76,0),MATCH($B$11,Juniorstwo!$A$56:$N$56,0))*C$11+INDEX(JuniorzyPozytyw[],MATCH($A83,Juniorstwo!$A$57:$A$76,0),MATCH($B$12,Juniorstwo!$A$56:$N$56,0))*C$12+INDEX(JuniorzyPozytyw[],MATCH($A83,Juniorstwo!$A$57:$A$76,0),MATCH($B$13,Juniorstwo!$A$56:$N$56,0))*C$13,"-")</f>
        <v>58.5</v>
      </c>
      <c r="D83" s="38">
        <f ca="1">IFERROR(INDEX(JuniorzyPozytyw[],MATCH($A83,Juniorstwo!$A$57:$A$76,0),MATCH($B$2,Juniorstwo!$A$56:$N$56,0))*D$2+INDEX(JuniorzyPozytyw[],MATCH($A83,Juniorstwo!$A$57:$A$76,0),MATCH($B$3,Juniorstwo!$A$56:$N$56,0))*D$3+INDEX(JuniorzyPozytyw[],MATCH($A83,Juniorstwo!$A$57:$A$76,0),MATCH($B$4,Juniorstwo!$A$56:$N$56,0))*D$4+INDEX(JuniorzyPozytyw[],MATCH($A83,Juniorstwo!$A$57:$A$76,0),MATCH($B$5,Juniorstwo!$A$56:$N$56,0))*D$5+INDEX(JuniorzyPozytyw[],MATCH($A83,Juniorstwo!$A$57:$A$76,0),MATCH($B$6,Juniorstwo!$A$56:$N$56,0))*D$6+INDEX(JuniorzyPozytyw[],MATCH($A83,Juniorstwo!$A$57:$A$76,0),MATCH($B$7,Juniorstwo!$A$56:$N$56,0))*D$7+INDEX(JuniorzyPozytyw[],MATCH($A83,Juniorstwo!$A$57:$A$76,0),MATCH($B$8,Juniorstwo!$A$56:$N$56,0))*D$8+INDEX(JuniorzyPozytyw[],MATCH($A83,Juniorstwo!$A$57:$A$76,0),MATCH($B$9,Juniorstwo!$A$56:$N$56,0))*D$9+INDEX(JuniorzyPozytyw[],MATCH($A83,Juniorstwo!$A$57:$A$76,0),MATCH($B$10,Juniorstwo!$A$56:$N$56,0))*D$10+INDEX(JuniorzyPozytyw[],MATCH($A83,Juniorstwo!$A$57:$A$76,0),MATCH($B$11,Juniorstwo!$A$56:$N$56,0))*D$11+INDEX(JuniorzyPozytyw[],MATCH($A83,Juniorstwo!$A$57:$A$76,0),MATCH($B$12,Juniorstwo!$A$56:$N$56,0))*D$12+INDEX(JuniorzyPozytyw[],MATCH($A83,Juniorstwo!$A$57:$A$76,0),MATCH($B$13,Juniorstwo!$A$56:$N$56,0))*D$13,"-")</f>
        <v>70</v>
      </c>
      <c r="E83" s="38">
        <f ca="1">IFERROR(INDEX(JuniorzyPozytyw[],MATCH($A83,Juniorstwo!$A$57:$A$76,0),MATCH($B$2,Juniorstwo!$A$56:$N$56,0))*E$2+INDEX(JuniorzyPozytyw[],MATCH($A83,Juniorstwo!$A$57:$A$76,0),MATCH($B$3,Juniorstwo!$A$56:$N$56,0))*E$3+INDEX(JuniorzyPozytyw[],MATCH($A83,Juniorstwo!$A$57:$A$76,0),MATCH($B$4,Juniorstwo!$A$56:$N$56,0))*E$4+INDEX(JuniorzyPozytyw[],MATCH($A83,Juniorstwo!$A$57:$A$76,0),MATCH($B$5,Juniorstwo!$A$56:$N$56,0))*E$5+INDEX(JuniorzyPozytyw[],MATCH($A83,Juniorstwo!$A$57:$A$76,0),MATCH($B$6,Juniorstwo!$A$56:$N$56,0))*E$6+INDEX(JuniorzyPozytyw[],MATCH($A83,Juniorstwo!$A$57:$A$76,0),MATCH($B$7,Juniorstwo!$A$56:$N$56,0))*E$7+INDEX(JuniorzyPozytyw[],MATCH($A83,Juniorstwo!$A$57:$A$76,0),MATCH($B$8,Juniorstwo!$A$56:$N$56,0))*E$8+INDEX(JuniorzyPozytyw[],MATCH($A83,Juniorstwo!$A$57:$A$76,0),MATCH($B$9,Juniorstwo!$A$56:$N$56,0))*E$9+INDEX(JuniorzyPozytyw[],MATCH($A83,Juniorstwo!$A$57:$A$76,0),MATCH($B$10,Juniorstwo!$A$56:$N$56,0))*E$10+INDEX(JuniorzyPozytyw[],MATCH($A83,Juniorstwo!$A$57:$A$76,0),MATCH($B$11,Juniorstwo!$A$56:$N$56,0))*E$11+INDEX(JuniorzyPozytyw[],MATCH($A83,Juniorstwo!$A$57:$A$76,0),MATCH($B$12,Juniorstwo!$A$56:$N$56,0))*E$12+INDEX(JuniorzyPozytyw[],MATCH($A83,Juniorstwo!$A$57:$A$76,0),MATCH($B$13,Juniorstwo!$A$56:$N$56,0))*E$13,"-")</f>
        <v>71</v>
      </c>
      <c r="F83" s="38">
        <f ca="1">IFERROR(INDEX(JuniorzyPozytyw[],MATCH($A83,Juniorstwo!$A$57:$A$76,0),MATCH($B$2,Juniorstwo!$A$56:$N$56,0))*F$2+INDEX(JuniorzyPozytyw[],MATCH($A83,Juniorstwo!$A$57:$A$76,0),MATCH($B$3,Juniorstwo!$A$56:$N$56,0))*F$3+INDEX(JuniorzyPozytyw[],MATCH($A83,Juniorstwo!$A$57:$A$76,0),MATCH($B$4,Juniorstwo!$A$56:$N$56,0))*F$4+INDEX(JuniorzyPozytyw[],MATCH($A83,Juniorstwo!$A$57:$A$76,0),MATCH($B$5,Juniorstwo!$A$56:$N$56,0))*F$5+INDEX(JuniorzyPozytyw[],MATCH($A83,Juniorstwo!$A$57:$A$76,0),MATCH($B$6,Juniorstwo!$A$56:$N$56,0))*F$6+INDEX(JuniorzyPozytyw[],MATCH($A83,Juniorstwo!$A$57:$A$76,0),MATCH($B$7,Juniorstwo!$A$56:$N$56,0))*F$7+INDEX(JuniorzyPozytyw[],MATCH($A83,Juniorstwo!$A$57:$A$76,0),MATCH($B$8,Juniorstwo!$A$56:$N$56,0))*F$8+INDEX(JuniorzyPozytyw[],MATCH($A83,Juniorstwo!$A$57:$A$76,0),MATCH($B$9,Juniorstwo!$A$56:$N$56,0))*F$9+INDEX(JuniorzyPozytyw[],MATCH($A83,Juniorstwo!$A$57:$A$76,0),MATCH($B$10,Juniorstwo!$A$56:$N$56,0))*F$10+INDEX(JuniorzyPozytyw[],MATCH($A83,Juniorstwo!$A$57:$A$76,0),MATCH($B$11,Juniorstwo!$A$56:$N$56,0))*F$11+INDEX(JuniorzyPozytyw[],MATCH($A83,Juniorstwo!$A$57:$A$76,0),MATCH($B$12,Juniorstwo!$A$56:$N$56,0))*F$12+INDEX(JuniorzyPozytyw[],MATCH($A83,Juniorstwo!$A$57:$A$76,0),MATCH($B$13,Juniorstwo!$A$56:$N$56,0))*F$13,"-")</f>
        <v>76.5</v>
      </c>
      <c r="G83" s="38">
        <f ca="1">IFERROR(INDEX(JuniorzyPozytyw[],MATCH($A83,Juniorstwo!$A$57:$A$76,0),MATCH($B$2,Juniorstwo!$A$56:$N$56,0))*G$2+INDEX(JuniorzyPozytyw[],MATCH($A83,Juniorstwo!$A$57:$A$76,0),MATCH($B$3,Juniorstwo!$A$56:$N$56,0))*G$3+INDEX(JuniorzyPozytyw[],MATCH($A83,Juniorstwo!$A$57:$A$76,0),MATCH($B$4,Juniorstwo!$A$56:$N$56,0))*G$4+INDEX(JuniorzyPozytyw[],MATCH($A83,Juniorstwo!$A$57:$A$76,0),MATCH($B$5,Juniorstwo!$A$56:$N$56,0))*G$5+INDEX(JuniorzyPozytyw[],MATCH($A83,Juniorstwo!$A$57:$A$76,0),MATCH($B$6,Juniorstwo!$A$56:$N$56,0))*G$6+INDEX(JuniorzyPozytyw[],MATCH($A83,Juniorstwo!$A$57:$A$76,0),MATCH($B$7,Juniorstwo!$A$56:$N$56,0))*G$7+INDEX(JuniorzyPozytyw[],MATCH($A83,Juniorstwo!$A$57:$A$76,0),MATCH($B$8,Juniorstwo!$A$56:$N$56,0))*G$8+INDEX(JuniorzyPozytyw[],MATCH($A83,Juniorstwo!$A$57:$A$76,0),MATCH($B$9,Juniorstwo!$A$56:$N$56,0))*G$9+INDEX(JuniorzyPozytyw[],MATCH($A83,Juniorstwo!$A$57:$A$76,0),MATCH($B$10,Juniorstwo!$A$56:$N$56,0))*G$10+INDEX(JuniorzyPozytyw[],MATCH($A83,Juniorstwo!$A$57:$A$76,0),MATCH($B$11,Juniorstwo!$A$56:$N$56,0))*G$11+INDEX(JuniorzyPozytyw[],MATCH($A83,Juniorstwo!$A$57:$A$76,0),MATCH($B$12,Juniorstwo!$A$56:$N$56,0))*G$12+INDEX(JuniorzyPozytyw[],MATCH($A83,Juniorstwo!$A$57:$A$76,0),MATCH($B$13,Juniorstwo!$A$56:$N$56,0))*G$13,"-")</f>
        <v>77.5</v>
      </c>
      <c r="H83" s="38">
        <f ca="1">IFERROR(INDEX(JuniorzyPozytyw[],MATCH($A83,Juniorstwo!$A$57:$A$76,0),MATCH($B$2,Juniorstwo!$A$56:$N$56,0))*H$2+INDEX(JuniorzyPozytyw[],MATCH($A83,Juniorstwo!$A$57:$A$76,0),MATCH($B$3,Juniorstwo!$A$56:$N$56,0))*H$3+INDEX(JuniorzyPozytyw[],MATCH($A83,Juniorstwo!$A$57:$A$76,0),MATCH($B$4,Juniorstwo!$A$56:$N$56,0))*H$4+INDEX(JuniorzyPozytyw[],MATCH($A83,Juniorstwo!$A$57:$A$76,0),MATCH($B$5,Juniorstwo!$A$56:$N$56,0))*H$5+INDEX(JuniorzyPozytyw[],MATCH($A83,Juniorstwo!$A$57:$A$76,0),MATCH($B$6,Juniorstwo!$A$56:$N$56,0))*H$6+INDEX(JuniorzyPozytyw[],MATCH($A83,Juniorstwo!$A$57:$A$76,0),MATCH($B$7,Juniorstwo!$A$56:$N$56,0))*H$7+INDEX(JuniorzyPozytyw[],MATCH($A83,Juniorstwo!$A$57:$A$76,0),MATCH($B$8,Juniorstwo!$A$56:$N$56,0))*H$8+INDEX(JuniorzyPozytyw[],MATCH($A83,Juniorstwo!$A$57:$A$76,0),MATCH($B$9,Juniorstwo!$A$56:$N$56,0))*H$9+INDEX(JuniorzyPozytyw[],MATCH($A83,Juniorstwo!$A$57:$A$76,0),MATCH($B$10,Juniorstwo!$A$56:$N$56,0))*H$10+INDEX(JuniorzyPozytyw[],MATCH($A83,Juniorstwo!$A$57:$A$76,0),MATCH($B$11,Juniorstwo!$A$56:$N$56,0))*H$11+INDEX(JuniorzyPozytyw[],MATCH($A83,Juniorstwo!$A$57:$A$76,0),MATCH($B$12,Juniorstwo!$A$56:$N$56,0))*H$12+INDEX(JuniorzyPozytyw[],MATCH($A83,Juniorstwo!$A$57:$A$76,0),MATCH($B$13,Juniorstwo!$A$56:$N$56,0))*H$13,"-")</f>
        <v>79.5</v>
      </c>
      <c r="I83" s="38">
        <f ca="1">IFERROR(INDEX(JuniorzyPozytyw[],MATCH($A83,Juniorstwo!$A$57:$A$76,0),MATCH($B$2,Juniorstwo!$A$56:$N$56,0))*I$2+INDEX(JuniorzyPozytyw[],MATCH($A83,Juniorstwo!$A$57:$A$76,0),MATCH($B$3,Juniorstwo!$A$56:$N$56,0))*I$3+INDEX(JuniorzyPozytyw[],MATCH($A83,Juniorstwo!$A$57:$A$76,0),MATCH($B$4,Juniorstwo!$A$56:$N$56,0))*I$4+INDEX(JuniorzyPozytyw[],MATCH($A83,Juniorstwo!$A$57:$A$76,0),MATCH($B$5,Juniorstwo!$A$56:$N$56,0))*I$5+INDEX(JuniorzyPozytyw[],MATCH($A83,Juniorstwo!$A$57:$A$76,0),MATCH($B$6,Juniorstwo!$A$56:$N$56,0))*I$6+INDEX(JuniorzyPozytyw[],MATCH($A83,Juniorstwo!$A$57:$A$76,0),MATCH($B$7,Juniorstwo!$A$56:$N$56,0))*I$7+INDEX(JuniorzyPozytyw[],MATCH($A83,Juniorstwo!$A$57:$A$76,0),MATCH($B$8,Juniorstwo!$A$56:$N$56,0))*I$8+INDEX(JuniorzyPozytyw[],MATCH($A83,Juniorstwo!$A$57:$A$76,0),MATCH($B$9,Juniorstwo!$A$56:$N$56,0))*I$9+INDEX(JuniorzyPozytyw[],MATCH($A83,Juniorstwo!$A$57:$A$76,0),MATCH($B$10,Juniorstwo!$A$56:$N$56,0))*I$10+INDEX(JuniorzyPozytyw[],MATCH($A83,Juniorstwo!$A$57:$A$76,0),MATCH($B$11,Juniorstwo!$A$56:$N$56,0))*I$11+INDEX(JuniorzyPozytyw[],MATCH($A83,Juniorstwo!$A$57:$A$76,0),MATCH($B$12,Juniorstwo!$A$56:$N$56,0))*I$12+INDEX(JuniorzyPozytyw[],MATCH($A83,Juniorstwo!$A$57:$A$76,0),MATCH($B$13,Juniorstwo!$A$56:$N$56,0))*I$13,"-")</f>
        <v>79.5</v>
      </c>
      <c r="J83" s="38">
        <f ca="1">IFERROR(INDEX(JuniorzyPozytyw[],MATCH($A83,Juniorstwo!$A$57:$A$76,0),MATCH($B$2,Juniorstwo!$A$56:$N$56,0))*J$2+INDEX(JuniorzyPozytyw[],MATCH($A83,Juniorstwo!$A$57:$A$76,0),MATCH($B$3,Juniorstwo!$A$56:$N$56,0))*J$3+INDEX(JuniorzyPozytyw[],MATCH($A83,Juniorstwo!$A$57:$A$76,0),MATCH($B$4,Juniorstwo!$A$56:$N$56,0))*J$4+INDEX(JuniorzyPozytyw[],MATCH($A83,Juniorstwo!$A$57:$A$76,0),MATCH($B$5,Juniorstwo!$A$56:$N$56,0))*J$5+INDEX(JuniorzyPozytyw[],MATCH($A83,Juniorstwo!$A$57:$A$76,0),MATCH($B$6,Juniorstwo!$A$56:$N$56,0))*J$6+INDEX(JuniorzyPozytyw[],MATCH($A83,Juniorstwo!$A$57:$A$76,0),MATCH($B$7,Juniorstwo!$A$56:$N$56,0))*J$7+INDEX(JuniorzyPozytyw[],MATCH($A83,Juniorstwo!$A$57:$A$76,0),MATCH($B$8,Juniorstwo!$A$56:$N$56,0))*J$8+INDEX(JuniorzyPozytyw[],MATCH($A83,Juniorstwo!$A$57:$A$76,0),MATCH($B$9,Juniorstwo!$A$56:$N$56,0))*J$9+INDEX(JuniorzyPozytyw[],MATCH($A83,Juniorstwo!$A$57:$A$76,0),MATCH($B$10,Juniorstwo!$A$56:$N$56,0))*J$10+INDEX(JuniorzyPozytyw[],MATCH($A83,Juniorstwo!$A$57:$A$76,0),MATCH($B$11,Juniorstwo!$A$56:$N$56,0))*J$11+INDEX(JuniorzyPozytyw[],MATCH($A83,Juniorstwo!$A$57:$A$76,0),MATCH($B$12,Juniorstwo!$A$56:$N$56,0))*J$12+INDEX(JuniorzyPozytyw[],MATCH($A83,Juniorstwo!$A$57:$A$76,0),MATCH($B$13,Juniorstwo!$A$56:$N$56,0))*J$13,"-")</f>
        <v>76</v>
      </c>
      <c r="K83" s="38">
        <f ca="1">IFERROR(INDEX(JuniorzyPozytyw[],MATCH($A83,Juniorstwo!$A$57:$A$76,0),MATCH($B$2,Juniorstwo!$A$56:$N$56,0))*K$2+INDEX(JuniorzyPozytyw[],MATCH($A83,Juniorstwo!$A$57:$A$76,0),MATCH($B$3,Juniorstwo!$A$56:$N$56,0))*K$3+INDEX(JuniorzyPozytyw[],MATCH($A83,Juniorstwo!$A$57:$A$76,0),MATCH($B$4,Juniorstwo!$A$56:$N$56,0))*K$4+INDEX(JuniorzyPozytyw[],MATCH($A83,Juniorstwo!$A$57:$A$76,0),MATCH($B$5,Juniorstwo!$A$56:$N$56,0))*K$5+INDEX(JuniorzyPozytyw[],MATCH($A83,Juniorstwo!$A$57:$A$76,0),MATCH($B$6,Juniorstwo!$A$56:$N$56,0))*K$6+INDEX(JuniorzyPozytyw[],MATCH($A83,Juniorstwo!$A$57:$A$76,0),MATCH($B$7,Juniorstwo!$A$56:$N$56,0))*K$7+INDEX(JuniorzyPozytyw[],MATCH($A83,Juniorstwo!$A$57:$A$76,0),MATCH($B$8,Juniorstwo!$A$56:$N$56,0))*K$8+INDEX(JuniorzyPozytyw[],MATCH($A83,Juniorstwo!$A$57:$A$76,0),MATCH($B$9,Juniorstwo!$A$56:$N$56,0))*K$9+INDEX(JuniorzyPozytyw[],MATCH($A83,Juniorstwo!$A$57:$A$76,0),MATCH($B$10,Juniorstwo!$A$56:$N$56,0))*K$10+INDEX(JuniorzyPozytyw[],MATCH($A83,Juniorstwo!$A$57:$A$76,0),MATCH($B$11,Juniorstwo!$A$56:$N$56,0))*K$11+INDEX(JuniorzyPozytyw[],MATCH($A83,Juniorstwo!$A$57:$A$76,0),MATCH($B$12,Juniorstwo!$A$56:$N$56,0))*K$12+INDEX(JuniorzyPozytyw[],MATCH($A83,Juniorstwo!$A$57:$A$76,0),MATCH($B$13,Juniorstwo!$A$56:$N$56,0))*K$13,"-")</f>
        <v>71.5</v>
      </c>
    </row>
    <row r="84" spans="1:11" x14ac:dyDescent="0.25">
      <c r="A84">
        <f>IFERROR(PozJunPŚr[[#This Row],[Numer]],"-")</f>
        <v>59</v>
      </c>
      <c r="B84" s="3" t="str">
        <f>IFERROR(VLOOKUP(PozJunPMM[[#This Row],[Numer]],Zawodnicy[[Number]:[Player name]],2,FALSE),"-")</f>
        <v>Milosz Kostrzewski</v>
      </c>
      <c r="C84" s="38">
        <f ca="1">IFERROR(INDEX(JuniorzyPozytyw[],MATCH($A84,Juniorstwo!$A$57:$A$76,0),MATCH($B$2,Juniorstwo!$A$56:$N$56,0))*C$2+INDEX(JuniorzyPozytyw[],MATCH($A84,Juniorstwo!$A$57:$A$76,0),MATCH($B$3,Juniorstwo!$A$56:$N$56,0))*C$3+INDEX(JuniorzyPozytyw[],MATCH($A84,Juniorstwo!$A$57:$A$76,0),MATCH($B$4,Juniorstwo!$A$56:$N$56,0))*C$4+INDEX(JuniorzyPozytyw[],MATCH($A84,Juniorstwo!$A$57:$A$76,0),MATCH($B$5,Juniorstwo!$A$56:$N$56,0))*C$5+INDEX(JuniorzyPozytyw[],MATCH($A84,Juniorstwo!$A$57:$A$76,0),MATCH($B$6,Juniorstwo!$A$56:$N$56,0))*C$6+INDEX(JuniorzyPozytyw[],MATCH($A84,Juniorstwo!$A$57:$A$76,0),MATCH($B$7,Juniorstwo!$A$56:$N$56,0))*C$7+INDEX(JuniorzyPozytyw[],MATCH($A84,Juniorstwo!$A$57:$A$76,0),MATCH($B$8,Juniorstwo!$A$56:$N$56,0))*C$8+INDEX(JuniorzyPozytyw[],MATCH($A84,Juniorstwo!$A$57:$A$76,0),MATCH($B$9,Juniorstwo!$A$56:$N$56,0))*C$9+INDEX(JuniorzyPozytyw[],MATCH($A84,Juniorstwo!$A$57:$A$76,0),MATCH($B$10,Juniorstwo!$A$56:$N$56,0))*C$10+INDEX(JuniorzyPozytyw[],MATCH($A84,Juniorstwo!$A$57:$A$76,0),MATCH($B$11,Juniorstwo!$A$56:$N$56,0))*C$11+INDEX(JuniorzyPozytyw[],MATCH($A84,Juniorstwo!$A$57:$A$76,0),MATCH($B$12,Juniorstwo!$A$56:$N$56,0))*C$12+INDEX(JuniorzyPozytyw[],MATCH($A84,Juniorstwo!$A$57:$A$76,0),MATCH($B$13,Juniorstwo!$A$56:$N$56,0))*C$13,"-")</f>
        <v>70.5</v>
      </c>
      <c r="D84" s="38">
        <f ca="1">IFERROR(INDEX(JuniorzyPozytyw[],MATCH($A84,Juniorstwo!$A$57:$A$76,0),MATCH($B$2,Juniorstwo!$A$56:$N$56,0))*D$2+INDEX(JuniorzyPozytyw[],MATCH($A84,Juniorstwo!$A$57:$A$76,0),MATCH($B$3,Juniorstwo!$A$56:$N$56,0))*D$3+INDEX(JuniorzyPozytyw[],MATCH($A84,Juniorstwo!$A$57:$A$76,0),MATCH($B$4,Juniorstwo!$A$56:$N$56,0))*D$4+INDEX(JuniorzyPozytyw[],MATCH($A84,Juniorstwo!$A$57:$A$76,0),MATCH($B$5,Juniorstwo!$A$56:$N$56,0))*D$5+INDEX(JuniorzyPozytyw[],MATCH($A84,Juniorstwo!$A$57:$A$76,0),MATCH($B$6,Juniorstwo!$A$56:$N$56,0))*D$6+INDEX(JuniorzyPozytyw[],MATCH($A84,Juniorstwo!$A$57:$A$76,0),MATCH($B$7,Juniorstwo!$A$56:$N$56,0))*D$7+INDEX(JuniorzyPozytyw[],MATCH($A84,Juniorstwo!$A$57:$A$76,0),MATCH($B$8,Juniorstwo!$A$56:$N$56,0))*D$8+INDEX(JuniorzyPozytyw[],MATCH($A84,Juniorstwo!$A$57:$A$76,0),MATCH($B$9,Juniorstwo!$A$56:$N$56,0))*D$9+INDEX(JuniorzyPozytyw[],MATCH($A84,Juniorstwo!$A$57:$A$76,0),MATCH($B$10,Juniorstwo!$A$56:$N$56,0))*D$10+INDEX(JuniorzyPozytyw[],MATCH($A84,Juniorstwo!$A$57:$A$76,0),MATCH($B$11,Juniorstwo!$A$56:$N$56,0))*D$11+INDEX(JuniorzyPozytyw[],MATCH($A84,Juniorstwo!$A$57:$A$76,0),MATCH($B$12,Juniorstwo!$A$56:$N$56,0))*D$12+INDEX(JuniorzyPozytyw[],MATCH($A84,Juniorstwo!$A$57:$A$76,0),MATCH($B$13,Juniorstwo!$A$56:$N$56,0))*D$13,"-")</f>
        <v>81</v>
      </c>
      <c r="E84" s="38">
        <f ca="1">IFERROR(INDEX(JuniorzyPozytyw[],MATCH($A84,Juniorstwo!$A$57:$A$76,0),MATCH($B$2,Juniorstwo!$A$56:$N$56,0))*E$2+INDEX(JuniorzyPozytyw[],MATCH($A84,Juniorstwo!$A$57:$A$76,0),MATCH($B$3,Juniorstwo!$A$56:$N$56,0))*E$3+INDEX(JuniorzyPozytyw[],MATCH($A84,Juniorstwo!$A$57:$A$76,0),MATCH($B$4,Juniorstwo!$A$56:$N$56,0))*E$4+INDEX(JuniorzyPozytyw[],MATCH($A84,Juniorstwo!$A$57:$A$76,0),MATCH($B$5,Juniorstwo!$A$56:$N$56,0))*E$5+INDEX(JuniorzyPozytyw[],MATCH($A84,Juniorstwo!$A$57:$A$76,0),MATCH($B$6,Juniorstwo!$A$56:$N$56,0))*E$6+INDEX(JuniorzyPozytyw[],MATCH($A84,Juniorstwo!$A$57:$A$76,0),MATCH($B$7,Juniorstwo!$A$56:$N$56,0))*E$7+INDEX(JuniorzyPozytyw[],MATCH($A84,Juniorstwo!$A$57:$A$76,0),MATCH($B$8,Juniorstwo!$A$56:$N$56,0))*E$8+INDEX(JuniorzyPozytyw[],MATCH($A84,Juniorstwo!$A$57:$A$76,0),MATCH($B$9,Juniorstwo!$A$56:$N$56,0))*E$9+INDEX(JuniorzyPozytyw[],MATCH($A84,Juniorstwo!$A$57:$A$76,0),MATCH($B$10,Juniorstwo!$A$56:$N$56,0))*E$10+INDEX(JuniorzyPozytyw[],MATCH($A84,Juniorstwo!$A$57:$A$76,0),MATCH($B$11,Juniorstwo!$A$56:$N$56,0))*E$11+INDEX(JuniorzyPozytyw[],MATCH($A84,Juniorstwo!$A$57:$A$76,0),MATCH($B$12,Juniorstwo!$A$56:$N$56,0))*E$12+INDEX(JuniorzyPozytyw[],MATCH($A84,Juniorstwo!$A$57:$A$76,0),MATCH($B$13,Juniorstwo!$A$56:$N$56,0))*E$13,"-")</f>
        <v>80</v>
      </c>
      <c r="F84" s="38">
        <f ca="1">IFERROR(INDEX(JuniorzyPozytyw[],MATCH($A84,Juniorstwo!$A$57:$A$76,0),MATCH($B$2,Juniorstwo!$A$56:$N$56,0))*F$2+INDEX(JuniorzyPozytyw[],MATCH($A84,Juniorstwo!$A$57:$A$76,0),MATCH($B$3,Juniorstwo!$A$56:$N$56,0))*F$3+INDEX(JuniorzyPozytyw[],MATCH($A84,Juniorstwo!$A$57:$A$76,0),MATCH($B$4,Juniorstwo!$A$56:$N$56,0))*F$4+INDEX(JuniorzyPozytyw[],MATCH($A84,Juniorstwo!$A$57:$A$76,0),MATCH($B$5,Juniorstwo!$A$56:$N$56,0))*F$5+INDEX(JuniorzyPozytyw[],MATCH($A84,Juniorstwo!$A$57:$A$76,0),MATCH($B$6,Juniorstwo!$A$56:$N$56,0))*F$6+INDEX(JuniorzyPozytyw[],MATCH($A84,Juniorstwo!$A$57:$A$76,0),MATCH($B$7,Juniorstwo!$A$56:$N$56,0))*F$7+INDEX(JuniorzyPozytyw[],MATCH($A84,Juniorstwo!$A$57:$A$76,0),MATCH($B$8,Juniorstwo!$A$56:$N$56,0))*F$8+INDEX(JuniorzyPozytyw[],MATCH($A84,Juniorstwo!$A$57:$A$76,0),MATCH($B$9,Juniorstwo!$A$56:$N$56,0))*F$9+INDEX(JuniorzyPozytyw[],MATCH($A84,Juniorstwo!$A$57:$A$76,0),MATCH($B$10,Juniorstwo!$A$56:$N$56,0))*F$10+INDEX(JuniorzyPozytyw[],MATCH($A84,Juniorstwo!$A$57:$A$76,0),MATCH($B$11,Juniorstwo!$A$56:$N$56,0))*F$11+INDEX(JuniorzyPozytyw[],MATCH($A84,Juniorstwo!$A$57:$A$76,0),MATCH($B$12,Juniorstwo!$A$56:$N$56,0))*F$12+INDEX(JuniorzyPozytyw[],MATCH($A84,Juniorstwo!$A$57:$A$76,0),MATCH($B$13,Juniorstwo!$A$56:$N$56,0))*F$13,"-")</f>
        <v>82</v>
      </c>
      <c r="G84" s="38">
        <f ca="1">IFERROR(INDEX(JuniorzyPozytyw[],MATCH($A84,Juniorstwo!$A$57:$A$76,0),MATCH($B$2,Juniorstwo!$A$56:$N$56,0))*G$2+INDEX(JuniorzyPozytyw[],MATCH($A84,Juniorstwo!$A$57:$A$76,0),MATCH($B$3,Juniorstwo!$A$56:$N$56,0))*G$3+INDEX(JuniorzyPozytyw[],MATCH($A84,Juniorstwo!$A$57:$A$76,0),MATCH($B$4,Juniorstwo!$A$56:$N$56,0))*G$4+INDEX(JuniorzyPozytyw[],MATCH($A84,Juniorstwo!$A$57:$A$76,0),MATCH($B$5,Juniorstwo!$A$56:$N$56,0))*G$5+INDEX(JuniorzyPozytyw[],MATCH($A84,Juniorstwo!$A$57:$A$76,0),MATCH($B$6,Juniorstwo!$A$56:$N$56,0))*G$6+INDEX(JuniorzyPozytyw[],MATCH($A84,Juniorstwo!$A$57:$A$76,0),MATCH($B$7,Juniorstwo!$A$56:$N$56,0))*G$7+INDEX(JuniorzyPozytyw[],MATCH($A84,Juniorstwo!$A$57:$A$76,0),MATCH($B$8,Juniorstwo!$A$56:$N$56,0))*G$8+INDEX(JuniorzyPozytyw[],MATCH($A84,Juniorstwo!$A$57:$A$76,0),MATCH($B$9,Juniorstwo!$A$56:$N$56,0))*G$9+INDEX(JuniorzyPozytyw[],MATCH($A84,Juniorstwo!$A$57:$A$76,0),MATCH($B$10,Juniorstwo!$A$56:$N$56,0))*G$10+INDEX(JuniorzyPozytyw[],MATCH($A84,Juniorstwo!$A$57:$A$76,0),MATCH($B$11,Juniorstwo!$A$56:$N$56,0))*G$11+INDEX(JuniorzyPozytyw[],MATCH($A84,Juniorstwo!$A$57:$A$76,0),MATCH($B$12,Juniorstwo!$A$56:$N$56,0))*G$12+INDEX(JuniorzyPozytyw[],MATCH($A84,Juniorstwo!$A$57:$A$76,0),MATCH($B$13,Juniorstwo!$A$56:$N$56,0))*G$13,"-")</f>
        <v>82</v>
      </c>
      <c r="H84" s="38">
        <f ca="1">IFERROR(INDEX(JuniorzyPozytyw[],MATCH($A84,Juniorstwo!$A$57:$A$76,0),MATCH($B$2,Juniorstwo!$A$56:$N$56,0))*H$2+INDEX(JuniorzyPozytyw[],MATCH($A84,Juniorstwo!$A$57:$A$76,0),MATCH($B$3,Juniorstwo!$A$56:$N$56,0))*H$3+INDEX(JuniorzyPozytyw[],MATCH($A84,Juniorstwo!$A$57:$A$76,0),MATCH($B$4,Juniorstwo!$A$56:$N$56,0))*H$4+INDEX(JuniorzyPozytyw[],MATCH($A84,Juniorstwo!$A$57:$A$76,0),MATCH($B$5,Juniorstwo!$A$56:$N$56,0))*H$5+INDEX(JuniorzyPozytyw[],MATCH($A84,Juniorstwo!$A$57:$A$76,0),MATCH($B$6,Juniorstwo!$A$56:$N$56,0))*H$6+INDEX(JuniorzyPozytyw[],MATCH($A84,Juniorstwo!$A$57:$A$76,0),MATCH($B$7,Juniorstwo!$A$56:$N$56,0))*H$7+INDEX(JuniorzyPozytyw[],MATCH($A84,Juniorstwo!$A$57:$A$76,0),MATCH($B$8,Juniorstwo!$A$56:$N$56,0))*H$8+INDEX(JuniorzyPozytyw[],MATCH($A84,Juniorstwo!$A$57:$A$76,0),MATCH($B$9,Juniorstwo!$A$56:$N$56,0))*H$9+INDEX(JuniorzyPozytyw[],MATCH($A84,Juniorstwo!$A$57:$A$76,0),MATCH($B$10,Juniorstwo!$A$56:$N$56,0))*H$10+INDEX(JuniorzyPozytyw[],MATCH($A84,Juniorstwo!$A$57:$A$76,0),MATCH($B$11,Juniorstwo!$A$56:$N$56,0))*H$11+INDEX(JuniorzyPozytyw[],MATCH($A84,Juniorstwo!$A$57:$A$76,0),MATCH($B$12,Juniorstwo!$A$56:$N$56,0))*H$12+INDEX(JuniorzyPozytyw[],MATCH($A84,Juniorstwo!$A$57:$A$76,0),MATCH($B$13,Juniorstwo!$A$56:$N$56,0))*H$13,"-")</f>
        <v>81.5</v>
      </c>
      <c r="I84" s="38">
        <f ca="1">IFERROR(INDEX(JuniorzyPozytyw[],MATCH($A84,Juniorstwo!$A$57:$A$76,0),MATCH($B$2,Juniorstwo!$A$56:$N$56,0))*I$2+INDEX(JuniorzyPozytyw[],MATCH($A84,Juniorstwo!$A$57:$A$76,0),MATCH($B$3,Juniorstwo!$A$56:$N$56,0))*I$3+INDEX(JuniorzyPozytyw[],MATCH($A84,Juniorstwo!$A$57:$A$76,0),MATCH($B$4,Juniorstwo!$A$56:$N$56,0))*I$4+INDEX(JuniorzyPozytyw[],MATCH($A84,Juniorstwo!$A$57:$A$76,0),MATCH($B$5,Juniorstwo!$A$56:$N$56,0))*I$5+INDEX(JuniorzyPozytyw[],MATCH($A84,Juniorstwo!$A$57:$A$76,0),MATCH($B$6,Juniorstwo!$A$56:$N$56,0))*I$6+INDEX(JuniorzyPozytyw[],MATCH($A84,Juniorstwo!$A$57:$A$76,0),MATCH($B$7,Juniorstwo!$A$56:$N$56,0))*I$7+INDEX(JuniorzyPozytyw[],MATCH($A84,Juniorstwo!$A$57:$A$76,0),MATCH($B$8,Juniorstwo!$A$56:$N$56,0))*I$8+INDEX(JuniorzyPozytyw[],MATCH($A84,Juniorstwo!$A$57:$A$76,0),MATCH($B$9,Juniorstwo!$A$56:$N$56,0))*I$9+INDEX(JuniorzyPozytyw[],MATCH($A84,Juniorstwo!$A$57:$A$76,0),MATCH($B$10,Juniorstwo!$A$56:$N$56,0))*I$10+INDEX(JuniorzyPozytyw[],MATCH($A84,Juniorstwo!$A$57:$A$76,0),MATCH($B$11,Juniorstwo!$A$56:$N$56,0))*I$11+INDEX(JuniorzyPozytyw[],MATCH($A84,Juniorstwo!$A$57:$A$76,0),MATCH($B$12,Juniorstwo!$A$56:$N$56,0))*I$12+INDEX(JuniorzyPozytyw[],MATCH($A84,Juniorstwo!$A$57:$A$76,0),MATCH($B$13,Juniorstwo!$A$56:$N$56,0))*I$13,"-")</f>
        <v>83</v>
      </c>
      <c r="J84" s="38">
        <f ca="1">IFERROR(INDEX(JuniorzyPozytyw[],MATCH($A84,Juniorstwo!$A$57:$A$76,0),MATCH($B$2,Juniorstwo!$A$56:$N$56,0))*J$2+INDEX(JuniorzyPozytyw[],MATCH($A84,Juniorstwo!$A$57:$A$76,0),MATCH($B$3,Juniorstwo!$A$56:$N$56,0))*J$3+INDEX(JuniorzyPozytyw[],MATCH($A84,Juniorstwo!$A$57:$A$76,0),MATCH($B$4,Juniorstwo!$A$56:$N$56,0))*J$4+INDEX(JuniorzyPozytyw[],MATCH($A84,Juniorstwo!$A$57:$A$76,0),MATCH($B$5,Juniorstwo!$A$56:$N$56,0))*J$5+INDEX(JuniorzyPozytyw[],MATCH($A84,Juniorstwo!$A$57:$A$76,0),MATCH($B$6,Juniorstwo!$A$56:$N$56,0))*J$6+INDEX(JuniorzyPozytyw[],MATCH($A84,Juniorstwo!$A$57:$A$76,0),MATCH($B$7,Juniorstwo!$A$56:$N$56,0))*J$7+INDEX(JuniorzyPozytyw[],MATCH($A84,Juniorstwo!$A$57:$A$76,0),MATCH($B$8,Juniorstwo!$A$56:$N$56,0))*J$8+INDEX(JuniorzyPozytyw[],MATCH($A84,Juniorstwo!$A$57:$A$76,0),MATCH($B$9,Juniorstwo!$A$56:$N$56,0))*J$9+INDEX(JuniorzyPozytyw[],MATCH($A84,Juniorstwo!$A$57:$A$76,0),MATCH($B$10,Juniorstwo!$A$56:$N$56,0))*J$10+INDEX(JuniorzyPozytyw[],MATCH($A84,Juniorstwo!$A$57:$A$76,0),MATCH($B$11,Juniorstwo!$A$56:$N$56,0))*J$11+INDEX(JuniorzyPozytyw[],MATCH($A84,Juniorstwo!$A$57:$A$76,0),MATCH($B$12,Juniorstwo!$A$56:$N$56,0))*J$12+INDEX(JuniorzyPozytyw[],MATCH($A84,Juniorstwo!$A$57:$A$76,0),MATCH($B$13,Juniorstwo!$A$56:$N$56,0))*J$13,"-")</f>
        <v>80.5</v>
      </c>
      <c r="K84" s="38">
        <f ca="1">IFERROR(INDEX(JuniorzyPozytyw[],MATCH($A84,Juniorstwo!$A$57:$A$76,0),MATCH($B$2,Juniorstwo!$A$56:$N$56,0))*K$2+INDEX(JuniorzyPozytyw[],MATCH($A84,Juniorstwo!$A$57:$A$76,0),MATCH($B$3,Juniorstwo!$A$56:$N$56,0))*K$3+INDEX(JuniorzyPozytyw[],MATCH($A84,Juniorstwo!$A$57:$A$76,0),MATCH($B$4,Juniorstwo!$A$56:$N$56,0))*K$4+INDEX(JuniorzyPozytyw[],MATCH($A84,Juniorstwo!$A$57:$A$76,0),MATCH($B$5,Juniorstwo!$A$56:$N$56,0))*K$5+INDEX(JuniorzyPozytyw[],MATCH($A84,Juniorstwo!$A$57:$A$76,0),MATCH($B$6,Juniorstwo!$A$56:$N$56,0))*K$6+INDEX(JuniorzyPozytyw[],MATCH($A84,Juniorstwo!$A$57:$A$76,0),MATCH($B$7,Juniorstwo!$A$56:$N$56,0))*K$7+INDEX(JuniorzyPozytyw[],MATCH($A84,Juniorstwo!$A$57:$A$76,0),MATCH($B$8,Juniorstwo!$A$56:$N$56,0))*K$8+INDEX(JuniorzyPozytyw[],MATCH($A84,Juniorstwo!$A$57:$A$76,0),MATCH($B$9,Juniorstwo!$A$56:$N$56,0))*K$9+INDEX(JuniorzyPozytyw[],MATCH($A84,Juniorstwo!$A$57:$A$76,0),MATCH($B$10,Juniorstwo!$A$56:$N$56,0))*K$10+INDEX(JuniorzyPozytyw[],MATCH($A84,Juniorstwo!$A$57:$A$76,0),MATCH($B$11,Juniorstwo!$A$56:$N$56,0))*K$11+INDEX(JuniorzyPozytyw[],MATCH($A84,Juniorstwo!$A$57:$A$76,0),MATCH($B$12,Juniorstwo!$A$56:$N$56,0))*K$12+INDEX(JuniorzyPozytyw[],MATCH($A84,Juniorstwo!$A$57:$A$76,0),MATCH($B$13,Juniorstwo!$A$56:$N$56,0))*K$13,"-")</f>
        <v>82.5</v>
      </c>
    </row>
    <row r="85" spans="1:11" x14ac:dyDescent="0.25">
      <c r="A85">
        <f>IFERROR(PozJunPŚr[[#This Row],[Numer]],"-")</f>
        <v>17</v>
      </c>
      <c r="B85" s="3" t="str">
        <f>IFERROR(VLOOKUP(PozJunPMM[[#This Row],[Numer]],Zawodnicy[[Number]:[Player name]],2,FALSE),"-")</f>
        <v>Hieronim Wejta</v>
      </c>
      <c r="C85" s="38">
        <f ca="1">IFERROR(INDEX(JuniorzyPozytyw[],MATCH($A85,Juniorstwo!$A$57:$A$76,0),MATCH($B$2,Juniorstwo!$A$56:$N$56,0))*C$2+INDEX(JuniorzyPozytyw[],MATCH($A85,Juniorstwo!$A$57:$A$76,0),MATCH($B$3,Juniorstwo!$A$56:$N$56,0))*C$3+INDEX(JuniorzyPozytyw[],MATCH($A85,Juniorstwo!$A$57:$A$76,0),MATCH($B$4,Juniorstwo!$A$56:$N$56,0))*C$4+INDEX(JuniorzyPozytyw[],MATCH($A85,Juniorstwo!$A$57:$A$76,0),MATCH($B$5,Juniorstwo!$A$56:$N$56,0))*C$5+INDEX(JuniorzyPozytyw[],MATCH($A85,Juniorstwo!$A$57:$A$76,0),MATCH($B$6,Juniorstwo!$A$56:$N$56,0))*C$6+INDEX(JuniorzyPozytyw[],MATCH($A85,Juniorstwo!$A$57:$A$76,0),MATCH($B$7,Juniorstwo!$A$56:$N$56,0))*C$7+INDEX(JuniorzyPozytyw[],MATCH($A85,Juniorstwo!$A$57:$A$76,0),MATCH($B$8,Juniorstwo!$A$56:$N$56,0))*C$8+INDEX(JuniorzyPozytyw[],MATCH($A85,Juniorstwo!$A$57:$A$76,0),MATCH($B$9,Juniorstwo!$A$56:$N$56,0))*C$9+INDEX(JuniorzyPozytyw[],MATCH($A85,Juniorstwo!$A$57:$A$76,0),MATCH($B$10,Juniorstwo!$A$56:$N$56,0))*C$10+INDEX(JuniorzyPozytyw[],MATCH($A85,Juniorstwo!$A$57:$A$76,0),MATCH($B$11,Juniorstwo!$A$56:$N$56,0))*C$11+INDEX(JuniorzyPozytyw[],MATCH($A85,Juniorstwo!$A$57:$A$76,0),MATCH($B$12,Juniorstwo!$A$56:$N$56,0))*C$12+INDEX(JuniorzyPozytyw[],MATCH($A85,Juniorstwo!$A$57:$A$76,0),MATCH($B$13,Juniorstwo!$A$56:$N$56,0))*C$13,"-")</f>
        <v>74</v>
      </c>
      <c r="D85" s="38">
        <f ca="1">IFERROR(INDEX(JuniorzyPozytyw[],MATCH($A85,Juniorstwo!$A$57:$A$76,0),MATCH($B$2,Juniorstwo!$A$56:$N$56,0))*D$2+INDEX(JuniorzyPozytyw[],MATCH($A85,Juniorstwo!$A$57:$A$76,0),MATCH($B$3,Juniorstwo!$A$56:$N$56,0))*D$3+INDEX(JuniorzyPozytyw[],MATCH($A85,Juniorstwo!$A$57:$A$76,0),MATCH($B$4,Juniorstwo!$A$56:$N$56,0))*D$4+INDEX(JuniorzyPozytyw[],MATCH($A85,Juniorstwo!$A$57:$A$76,0),MATCH($B$5,Juniorstwo!$A$56:$N$56,0))*D$5+INDEX(JuniorzyPozytyw[],MATCH($A85,Juniorstwo!$A$57:$A$76,0),MATCH($B$6,Juniorstwo!$A$56:$N$56,0))*D$6+INDEX(JuniorzyPozytyw[],MATCH($A85,Juniorstwo!$A$57:$A$76,0),MATCH($B$7,Juniorstwo!$A$56:$N$56,0))*D$7+INDEX(JuniorzyPozytyw[],MATCH($A85,Juniorstwo!$A$57:$A$76,0),MATCH($B$8,Juniorstwo!$A$56:$N$56,0))*D$8+INDEX(JuniorzyPozytyw[],MATCH($A85,Juniorstwo!$A$57:$A$76,0),MATCH($B$9,Juniorstwo!$A$56:$N$56,0))*D$9+INDEX(JuniorzyPozytyw[],MATCH($A85,Juniorstwo!$A$57:$A$76,0),MATCH($B$10,Juniorstwo!$A$56:$N$56,0))*D$10+INDEX(JuniorzyPozytyw[],MATCH($A85,Juniorstwo!$A$57:$A$76,0),MATCH($B$11,Juniorstwo!$A$56:$N$56,0))*D$11+INDEX(JuniorzyPozytyw[],MATCH($A85,Juniorstwo!$A$57:$A$76,0),MATCH($B$12,Juniorstwo!$A$56:$N$56,0))*D$12+INDEX(JuniorzyPozytyw[],MATCH($A85,Juniorstwo!$A$57:$A$76,0),MATCH($B$13,Juniorstwo!$A$56:$N$56,0))*D$13,"-")</f>
        <v>89</v>
      </c>
      <c r="E85" s="38">
        <f ca="1">IFERROR(INDEX(JuniorzyPozytyw[],MATCH($A85,Juniorstwo!$A$57:$A$76,0),MATCH($B$2,Juniorstwo!$A$56:$N$56,0))*E$2+INDEX(JuniorzyPozytyw[],MATCH($A85,Juniorstwo!$A$57:$A$76,0),MATCH($B$3,Juniorstwo!$A$56:$N$56,0))*E$3+INDEX(JuniorzyPozytyw[],MATCH($A85,Juniorstwo!$A$57:$A$76,0),MATCH($B$4,Juniorstwo!$A$56:$N$56,0))*E$4+INDEX(JuniorzyPozytyw[],MATCH($A85,Juniorstwo!$A$57:$A$76,0),MATCH($B$5,Juniorstwo!$A$56:$N$56,0))*E$5+INDEX(JuniorzyPozytyw[],MATCH($A85,Juniorstwo!$A$57:$A$76,0),MATCH($B$6,Juniorstwo!$A$56:$N$56,0))*E$6+INDEX(JuniorzyPozytyw[],MATCH($A85,Juniorstwo!$A$57:$A$76,0),MATCH($B$7,Juniorstwo!$A$56:$N$56,0))*E$7+INDEX(JuniorzyPozytyw[],MATCH($A85,Juniorstwo!$A$57:$A$76,0),MATCH($B$8,Juniorstwo!$A$56:$N$56,0))*E$8+INDEX(JuniorzyPozytyw[],MATCH($A85,Juniorstwo!$A$57:$A$76,0),MATCH($B$9,Juniorstwo!$A$56:$N$56,0))*E$9+INDEX(JuniorzyPozytyw[],MATCH($A85,Juniorstwo!$A$57:$A$76,0),MATCH($B$10,Juniorstwo!$A$56:$N$56,0))*E$10+INDEX(JuniorzyPozytyw[],MATCH($A85,Juniorstwo!$A$57:$A$76,0),MATCH($B$11,Juniorstwo!$A$56:$N$56,0))*E$11+INDEX(JuniorzyPozytyw[],MATCH($A85,Juniorstwo!$A$57:$A$76,0),MATCH($B$12,Juniorstwo!$A$56:$N$56,0))*E$12+INDEX(JuniorzyPozytyw[],MATCH($A85,Juniorstwo!$A$57:$A$76,0),MATCH($B$13,Juniorstwo!$A$56:$N$56,0))*E$13,"-")</f>
        <v>87</v>
      </c>
      <c r="F85" s="38">
        <f ca="1">IFERROR(INDEX(JuniorzyPozytyw[],MATCH($A85,Juniorstwo!$A$57:$A$76,0),MATCH($B$2,Juniorstwo!$A$56:$N$56,0))*F$2+INDEX(JuniorzyPozytyw[],MATCH($A85,Juniorstwo!$A$57:$A$76,0),MATCH($B$3,Juniorstwo!$A$56:$N$56,0))*F$3+INDEX(JuniorzyPozytyw[],MATCH($A85,Juniorstwo!$A$57:$A$76,0),MATCH($B$4,Juniorstwo!$A$56:$N$56,0))*F$4+INDEX(JuniorzyPozytyw[],MATCH($A85,Juniorstwo!$A$57:$A$76,0),MATCH($B$5,Juniorstwo!$A$56:$N$56,0))*F$5+INDEX(JuniorzyPozytyw[],MATCH($A85,Juniorstwo!$A$57:$A$76,0),MATCH($B$6,Juniorstwo!$A$56:$N$56,0))*F$6+INDEX(JuniorzyPozytyw[],MATCH($A85,Juniorstwo!$A$57:$A$76,0),MATCH($B$7,Juniorstwo!$A$56:$N$56,0))*F$7+INDEX(JuniorzyPozytyw[],MATCH($A85,Juniorstwo!$A$57:$A$76,0),MATCH($B$8,Juniorstwo!$A$56:$N$56,0))*F$8+INDEX(JuniorzyPozytyw[],MATCH($A85,Juniorstwo!$A$57:$A$76,0),MATCH($B$9,Juniorstwo!$A$56:$N$56,0))*F$9+INDEX(JuniorzyPozytyw[],MATCH($A85,Juniorstwo!$A$57:$A$76,0),MATCH($B$10,Juniorstwo!$A$56:$N$56,0))*F$10+INDEX(JuniorzyPozytyw[],MATCH($A85,Juniorstwo!$A$57:$A$76,0),MATCH($B$11,Juniorstwo!$A$56:$N$56,0))*F$11+INDEX(JuniorzyPozytyw[],MATCH($A85,Juniorstwo!$A$57:$A$76,0),MATCH($B$12,Juniorstwo!$A$56:$N$56,0))*F$12+INDEX(JuniorzyPozytyw[],MATCH($A85,Juniorstwo!$A$57:$A$76,0),MATCH($B$13,Juniorstwo!$A$56:$N$56,0))*F$13,"-")</f>
        <v>88</v>
      </c>
      <c r="G85" s="38">
        <f ca="1">IFERROR(INDEX(JuniorzyPozytyw[],MATCH($A85,Juniorstwo!$A$57:$A$76,0),MATCH($B$2,Juniorstwo!$A$56:$N$56,0))*G$2+INDEX(JuniorzyPozytyw[],MATCH($A85,Juniorstwo!$A$57:$A$76,0),MATCH($B$3,Juniorstwo!$A$56:$N$56,0))*G$3+INDEX(JuniorzyPozytyw[],MATCH($A85,Juniorstwo!$A$57:$A$76,0),MATCH($B$4,Juniorstwo!$A$56:$N$56,0))*G$4+INDEX(JuniorzyPozytyw[],MATCH($A85,Juniorstwo!$A$57:$A$76,0),MATCH($B$5,Juniorstwo!$A$56:$N$56,0))*G$5+INDEX(JuniorzyPozytyw[],MATCH($A85,Juniorstwo!$A$57:$A$76,0),MATCH($B$6,Juniorstwo!$A$56:$N$56,0))*G$6+INDEX(JuniorzyPozytyw[],MATCH($A85,Juniorstwo!$A$57:$A$76,0),MATCH($B$7,Juniorstwo!$A$56:$N$56,0))*G$7+INDEX(JuniorzyPozytyw[],MATCH($A85,Juniorstwo!$A$57:$A$76,0),MATCH($B$8,Juniorstwo!$A$56:$N$56,0))*G$8+INDEX(JuniorzyPozytyw[],MATCH($A85,Juniorstwo!$A$57:$A$76,0),MATCH($B$9,Juniorstwo!$A$56:$N$56,0))*G$9+INDEX(JuniorzyPozytyw[],MATCH($A85,Juniorstwo!$A$57:$A$76,0),MATCH($B$10,Juniorstwo!$A$56:$N$56,0))*G$10+INDEX(JuniorzyPozytyw[],MATCH($A85,Juniorstwo!$A$57:$A$76,0),MATCH($B$11,Juniorstwo!$A$56:$N$56,0))*G$11+INDEX(JuniorzyPozytyw[],MATCH($A85,Juniorstwo!$A$57:$A$76,0),MATCH($B$12,Juniorstwo!$A$56:$N$56,0))*G$12+INDEX(JuniorzyPozytyw[],MATCH($A85,Juniorstwo!$A$57:$A$76,0),MATCH($B$13,Juniorstwo!$A$56:$N$56,0))*G$13,"-")</f>
        <v>88</v>
      </c>
      <c r="H85" s="38">
        <f ca="1">IFERROR(INDEX(JuniorzyPozytyw[],MATCH($A85,Juniorstwo!$A$57:$A$76,0),MATCH($B$2,Juniorstwo!$A$56:$N$56,0))*H$2+INDEX(JuniorzyPozytyw[],MATCH($A85,Juniorstwo!$A$57:$A$76,0),MATCH($B$3,Juniorstwo!$A$56:$N$56,0))*H$3+INDEX(JuniorzyPozytyw[],MATCH($A85,Juniorstwo!$A$57:$A$76,0),MATCH($B$4,Juniorstwo!$A$56:$N$56,0))*H$4+INDEX(JuniorzyPozytyw[],MATCH($A85,Juniorstwo!$A$57:$A$76,0),MATCH($B$5,Juniorstwo!$A$56:$N$56,0))*H$5+INDEX(JuniorzyPozytyw[],MATCH($A85,Juniorstwo!$A$57:$A$76,0),MATCH($B$6,Juniorstwo!$A$56:$N$56,0))*H$6+INDEX(JuniorzyPozytyw[],MATCH($A85,Juniorstwo!$A$57:$A$76,0),MATCH($B$7,Juniorstwo!$A$56:$N$56,0))*H$7+INDEX(JuniorzyPozytyw[],MATCH($A85,Juniorstwo!$A$57:$A$76,0),MATCH($B$8,Juniorstwo!$A$56:$N$56,0))*H$8+INDEX(JuniorzyPozytyw[],MATCH($A85,Juniorstwo!$A$57:$A$76,0),MATCH($B$9,Juniorstwo!$A$56:$N$56,0))*H$9+INDEX(JuniorzyPozytyw[],MATCH($A85,Juniorstwo!$A$57:$A$76,0),MATCH($B$10,Juniorstwo!$A$56:$N$56,0))*H$10+INDEX(JuniorzyPozytyw[],MATCH($A85,Juniorstwo!$A$57:$A$76,0),MATCH($B$11,Juniorstwo!$A$56:$N$56,0))*H$11+INDEX(JuniorzyPozytyw[],MATCH($A85,Juniorstwo!$A$57:$A$76,0),MATCH($B$12,Juniorstwo!$A$56:$N$56,0))*H$12+INDEX(JuniorzyPozytyw[],MATCH($A85,Juniorstwo!$A$57:$A$76,0),MATCH($B$13,Juniorstwo!$A$56:$N$56,0))*H$13,"-")</f>
        <v>85.5</v>
      </c>
      <c r="I85" s="38">
        <f ca="1">IFERROR(INDEX(JuniorzyPozytyw[],MATCH($A85,Juniorstwo!$A$57:$A$76,0),MATCH($B$2,Juniorstwo!$A$56:$N$56,0))*I$2+INDEX(JuniorzyPozytyw[],MATCH($A85,Juniorstwo!$A$57:$A$76,0),MATCH($B$3,Juniorstwo!$A$56:$N$56,0))*I$3+INDEX(JuniorzyPozytyw[],MATCH($A85,Juniorstwo!$A$57:$A$76,0),MATCH($B$4,Juniorstwo!$A$56:$N$56,0))*I$4+INDEX(JuniorzyPozytyw[],MATCH($A85,Juniorstwo!$A$57:$A$76,0),MATCH($B$5,Juniorstwo!$A$56:$N$56,0))*I$5+INDEX(JuniorzyPozytyw[],MATCH($A85,Juniorstwo!$A$57:$A$76,0),MATCH($B$6,Juniorstwo!$A$56:$N$56,0))*I$6+INDEX(JuniorzyPozytyw[],MATCH($A85,Juniorstwo!$A$57:$A$76,0),MATCH($B$7,Juniorstwo!$A$56:$N$56,0))*I$7+INDEX(JuniorzyPozytyw[],MATCH($A85,Juniorstwo!$A$57:$A$76,0),MATCH($B$8,Juniorstwo!$A$56:$N$56,0))*I$8+INDEX(JuniorzyPozytyw[],MATCH($A85,Juniorstwo!$A$57:$A$76,0),MATCH($B$9,Juniorstwo!$A$56:$N$56,0))*I$9+INDEX(JuniorzyPozytyw[],MATCH($A85,Juniorstwo!$A$57:$A$76,0),MATCH($B$10,Juniorstwo!$A$56:$N$56,0))*I$10+INDEX(JuniorzyPozytyw[],MATCH($A85,Juniorstwo!$A$57:$A$76,0),MATCH($B$11,Juniorstwo!$A$56:$N$56,0))*I$11+INDEX(JuniorzyPozytyw[],MATCH($A85,Juniorstwo!$A$57:$A$76,0),MATCH($B$12,Juniorstwo!$A$56:$N$56,0))*I$12+INDEX(JuniorzyPozytyw[],MATCH($A85,Juniorstwo!$A$57:$A$76,0),MATCH($B$13,Juniorstwo!$A$56:$N$56,0))*I$13,"-")</f>
        <v>86</v>
      </c>
      <c r="J85" s="38">
        <f ca="1">IFERROR(INDEX(JuniorzyPozytyw[],MATCH($A85,Juniorstwo!$A$57:$A$76,0),MATCH($B$2,Juniorstwo!$A$56:$N$56,0))*J$2+INDEX(JuniorzyPozytyw[],MATCH($A85,Juniorstwo!$A$57:$A$76,0),MATCH($B$3,Juniorstwo!$A$56:$N$56,0))*J$3+INDEX(JuniorzyPozytyw[],MATCH($A85,Juniorstwo!$A$57:$A$76,0),MATCH($B$4,Juniorstwo!$A$56:$N$56,0))*J$4+INDEX(JuniorzyPozytyw[],MATCH($A85,Juniorstwo!$A$57:$A$76,0),MATCH($B$5,Juniorstwo!$A$56:$N$56,0))*J$5+INDEX(JuniorzyPozytyw[],MATCH($A85,Juniorstwo!$A$57:$A$76,0),MATCH($B$6,Juniorstwo!$A$56:$N$56,0))*J$6+INDEX(JuniorzyPozytyw[],MATCH($A85,Juniorstwo!$A$57:$A$76,0),MATCH($B$7,Juniorstwo!$A$56:$N$56,0))*J$7+INDEX(JuniorzyPozytyw[],MATCH($A85,Juniorstwo!$A$57:$A$76,0),MATCH($B$8,Juniorstwo!$A$56:$N$56,0))*J$8+INDEX(JuniorzyPozytyw[],MATCH($A85,Juniorstwo!$A$57:$A$76,0),MATCH($B$9,Juniorstwo!$A$56:$N$56,0))*J$9+INDEX(JuniorzyPozytyw[],MATCH($A85,Juniorstwo!$A$57:$A$76,0),MATCH($B$10,Juniorstwo!$A$56:$N$56,0))*J$10+INDEX(JuniorzyPozytyw[],MATCH($A85,Juniorstwo!$A$57:$A$76,0),MATCH($B$11,Juniorstwo!$A$56:$N$56,0))*J$11+INDEX(JuniorzyPozytyw[],MATCH($A85,Juniorstwo!$A$57:$A$76,0),MATCH($B$12,Juniorstwo!$A$56:$N$56,0))*J$12+INDEX(JuniorzyPozytyw[],MATCH($A85,Juniorstwo!$A$57:$A$76,0),MATCH($B$13,Juniorstwo!$A$56:$N$56,0))*J$13,"-")</f>
        <v>85.5</v>
      </c>
      <c r="K85" s="38">
        <f ca="1">IFERROR(INDEX(JuniorzyPozytyw[],MATCH($A85,Juniorstwo!$A$57:$A$76,0),MATCH($B$2,Juniorstwo!$A$56:$N$56,0))*K$2+INDEX(JuniorzyPozytyw[],MATCH($A85,Juniorstwo!$A$57:$A$76,0),MATCH($B$3,Juniorstwo!$A$56:$N$56,0))*K$3+INDEX(JuniorzyPozytyw[],MATCH($A85,Juniorstwo!$A$57:$A$76,0),MATCH($B$4,Juniorstwo!$A$56:$N$56,0))*K$4+INDEX(JuniorzyPozytyw[],MATCH($A85,Juniorstwo!$A$57:$A$76,0),MATCH($B$5,Juniorstwo!$A$56:$N$56,0))*K$5+INDEX(JuniorzyPozytyw[],MATCH($A85,Juniorstwo!$A$57:$A$76,0),MATCH($B$6,Juniorstwo!$A$56:$N$56,0))*K$6+INDEX(JuniorzyPozytyw[],MATCH($A85,Juniorstwo!$A$57:$A$76,0),MATCH($B$7,Juniorstwo!$A$56:$N$56,0))*K$7+INDEX(JuniorzyPozytyw[],MATCH($A85,Juniorstwo!$A$57:$A$76,0),MATCH($B$8,Juniorstwo!$A$56:$N$56,0))*K$8+INDEX(JuniorzyPozytyw[],MATCH($A85,Juniorstwo!$A$57:$A$76,0),MATCH($B$9,Juniorstwo!$A$56:$N$56,0))*K$9+INDEX(JuniorzyPozytyw[],MATCH($A85,Juniorstwo!$A$57:$A$76,0),MATCH($B$10,Juniorstwo!$A$56:$N$56,0))*K$10+INDEX(JuniorzyPozytyw[],MATCH($A85,Juniorstwo!$A$57:$A$76,0),MATCH($B$11,Juniorstwo!$A$56:$N$56,0))*K$11+INDEX(JuniorzyPozytyw[],MATCH($A85,Juniorstwo!$A$57:$A$76,0),MATCH($B$12,Juniorstwo!$A$56:$N$56,0))*K$12+INDEX(JuniorzyPozytyw[],MATCH($A85,Juniorstwo!$A$57:$A$76,0),MATCH($B$13,Juniorstwo!$A$56:$N$56,0))*K$13,"-")</f>
        <v>85.5</v>
      </c>
    </row>
    <row r="86" spans="1:11" x14ac:dyDescent="0.25">
      <c r="A86">
        <f>IFERROR(PozJunPŚr[[#This Row],[Numer]],"-")</f>
        <v>0</v>
      </c>
      <c r="B86" s="3" t="str">
        <f>IFERROR(VLOOKUP(PozJunPMM[[#This Row],[Numer]],Zawodnicy[[Number]:[Player name]],2,FALSE),"-")</f>
        <v>-</v>
      </c>
      <c r="C86" s="38" t="str">
        <f>IFERROR(INDEX(JuniorzyPozytyw[],MATCH($A86,Juniorstwo!$A$57:$A$76,0),MATCH($B$2,Juniorstwo!$A$56:$N$56,0))*C$2+INDEX(JuniorzyPozytyw[],MATCH($A86,Juniorstwo!$A$57:$A$76,0),MATCH($B$3,Juniorstwo!$A$56:$N$56,0))*C$3+INDEX(JuniorzyPozytyw[],MATCH($A86,Juniorstwo!$A$57:$A$76,0),MATCH($B$4,Juniorstwo!$A$56:$N$56,0))*C$4+INDEX(JuniorzyPozytyw[],MATCH($A86,Juniorstwo!$A$57:$A$76,0),MATCH($B$5,Juniorstwo!$A$56:$N$56,0))*C$5+INDEX(JuniorzyPozytyw[],MATCH($A86,Juniorstwo!$A$57:$A$76,0),MATCH($B$6,Juniorstwo!$A$56:$N$56,0))*C$6+INDEX(JuniorzyPozytyw[],MATCH($A86,Juniorstwo!$A$57:$A$76,0),MATCH($B$7,Juniorstwo!$A$56:$N$56,0))*C$7+INDEX(JuniorzyPozytyw[],MATCH($A86,Juniorstwo!$A$57:$A$76,0),MATCH($B$8,Juniorstwo!$A$56:$N$56,0))*C$8+INDEX(JuniorzyPozytyw[],MATCH($A86,Juniorstwo!$A$57:$A$76,0),MATCH($B$9,Juniorstwo!$A$56:$N$56,0))*C$9+INDEX(JuniorzyPozytyw[],MATCH($A86,Juniorstwo!$A$57:$A$76,0),MATCH($B$10,Juniorstwo!$A$56:$N$56,0))*C$10+INDEX(JuniorzyPozytyw[],MATCH($A86,Juniorstwo!$A$57:$A$76,0),MATCH($B$11,Juniorstwo!$A$56:$N$56,0))*C$11+INDEX(JuniorzyPozytyw[],MATCH($A86,Juniorstwo!$A$57:$A$76,0),MATCH($B$12,Juniorstwo!$A$56:$N$56,0))*C$12+INDEX(JuniorzyPozytyw[],MATCH($A86,Juniorstwo!$A$57:$A$76,0),MATCH($B$13,Juniorstwo!$A$56:$N$56,0))*C$13,"-")</f>
        <v>-</v>
      </c>
      <c r="D86" s="38" t="str">
        <f>IFERROR(INDEX(JuniorzyPozytyw[],MATCH($A86,Juniorstwo!$A$57:$A$76,0),MATCH($B$2,Juniorstwo!$A$56:$N$56,0))*D$2+INDEX(JuniorzyPozytyw[],MATCH($A86,Juniorstwo!$A$57:$A$76,0),MATCH($B$3,Juniorstwo!$A$56:$N$56,0))*D$3+INDEX(JuniorzyPozytyw[],MATCH($A86,Juniorstwo!$A$57:$A$76,0),MATCH($B$4,Juniorstwo!$A$56:$N$56,0))*D$4+INDEX(JuniorzyPozytyw[],MATCH($A86,Juniorstwo!$A$57:$A$76,0),MATCH($B$5,Juniorstwo!$A$56:$N$56,0))*D$5+INDEX(JuniorzyPozytyw[],MATCH($A86,Juniorstwo!$A$57:$A$76,0),MATCH($B$6,Juniorstwo!$A$56:$N$56,0))*D$6+INDEX(JuniorzyPozytyw[],MATCH($A86,Juniorstwo!$A$57:$A$76,0),MATCH($B$7,Juniorstwo!$A$56:$N$56,0))*D$7+INDEX(JuniorzyPozytyw[],MATCH($A86,Juniorstwo!$A$57:$A$76,0),MATCH($B$8,Juniorstwo!$A$56:$N$56,0))*D$8+INDEX(JuniorzyPozytyw[],MATCH($A86,Juniorstwo!$A$57:$A$76,0),MATCH($B$9,Juniorstwo!$A$56:$N$56,0))*D$9+INDEX(JuniorzyPozytyw[],MATCH($A86,Juniorstwo!$A$57:$A$76,0),MATCH($B$10,Juniorstwo!$A$56:$N$56,0))*D$10+INDEX(JuniorzyPozytyw[],MATCH($A86,Juniorstwo!$A$57:$A$76,0),MATCH($B$11,Juniorstwo!$A$56:$N$56,0))*D$11+INDEX(JuniorzyPozytyw[],MATCH($A86,Juniorstwo!$A$57:$A$76,0),MATCH($B$12,Juniorstwo!$A$56:$N$56,0))*D$12+INDEX(JuniorzyPozytyw[],MATCH($A86,Juniorstwo!$A$57:$A$76,0),MATCH($B$13,Juniorstwo!$A$56:$N$56,0))*D$13,"-")</f>
        <v>-</v>
      </c>
      <c r="E86" s="38" t="str">
        <f>IFERROR(INDEX(JuniorzyPozytyw[],MATCH($A86,Juniorstwo!$A$57:$A$76,0),MATCH($B$2,Juniorstwo!$A$56:$N$56,0))*E$2+INDEX(JuniorzyPozytyw[],MATCH($A86,Juniorstwo!$A$57:$A$76,0),MATCH($B$3,Juniorstwo!$A$56:$N$56,0))*E$3+INDEX(JuniorzyPozytyw[],MATCH($A86,Juniorstwo!$A$57:$A$76,0),MATCH($B$4,Juniorstwo!$A$56:$N$56,0))*E$4+INDEX(JuniorzyPozytyw[],MATCH($A86,Juniorstwo!$A$57:$A$76,0),MATCH($B$5,Juniorstwo!$A$56:$N$56,0))*E$5+INDEX(JuniorzyPozytyw[],MATCH($A86,Juniorstwo!$A$57:$A$76,0),MATCH($B$6,Juniorstwo!$A$56:$N$56,0))*E$6+INDEX(JuniorzyPozytyw[],MATCH($A86,Juniorstwo!$A$57:$A$76,0),MATCH($B$7,Juniorstwo!$A$56:$N$56,0))*E$7+INDEX(JuniorzyPozytyw[],MATCH($A86,Juniorstwo!$A$57:$A$76,0),MATCH($B$8,Juniorstwo!$A$56:$N$56,0))*E$8+INDEX(JuniorzyPozytyw[],MATCH($A86,Juniorstwo!$A$57:$A$76,0),MATCH($B$9,Juniorstwo!$A$56:$N$56,0))*E$9+INDEX(JuniorzyPozytyw[],MATCH($A86,Juniorstwo!$A$57:$A$76,0),MATCH($B$10,Juniorstwo!$A$56:$N$56,0))*E$10+INDEX(JuniorzyPozytyw[],MATCH($A86,Juniorstwo!$A$57:$A$76,0),MATCH($B$11,Juniorstwo!$A$56:$N$56,0))*E$11+INDEX(JuniorzyPozytyw[],MATCH($A86,Juniorstwo!$A$57:$A$76,0),MATCH($B$12,Juniorstwo!$A$56:$N$56,0))*E$12+INDEX(JuniorzyPozytyw[],MATCH($A86,Juniorstwo!$A$57:$A$76,0),MATCH($B$13,Juniorstwo!$A$56:$N$56,0))*E$13,"-")</f>
        <v>-</v>
      </c>
      <c r="F86" s="38" t="str">
        <f>IFERROR(INDEX(JuniorzyPozytyw[],MATCH($A86,Juniorstwo!$A$57:$A$76,0),MATCH($B$2,Juniorstwo!$A$56:$N$56,0))*F$2+INDEX(JuniorzyPozytyw[],MATCH($A86,Juniorstwo!$A$57:$A$76,0),MATCH($B$3,Juniorstwo!$A$56:$N$56,0))*F$3+INDEX(JuniorzyPozytyw[],MATCH($A86,Juniorstwo!$A$57:$A$76,0),MATCH($B$4,Juniorstwo!$A$56:$N$56,0))*F$4+INDEX(JuniorzyPozytyw[],MATCH($A86,Juniorstwo!$A$57:$A$76,0),MATCH($B$5,Juniorstwo!$A$56:$N$56,0))*F$5+INDEX(JuniorzyPozytyw[],MATCH($A86,Juniorstwo!$A$57:$A$76,0),MATCH($B$6,Juniorstwo!$A$56:$N$56,0))*F$6+INDEX(JuniorzyPozytyw[],MATCH($A86,Juniorstwo!$A$57:$A$76,0),MATCH($B$7,Juniorstwo!$A$56:$N$56,0))*F$7+INDEX(JuniorzyPozytyw[],MATCH($A86,Juniorstwo!$A$57:$A$76,0),MATCH($B$8,Juniorstwo!$A$56:$N$56,0))*F$8+INDEX(JuniorzyPozytyw[],MATCH($A86,Juniorstwo!$A$57:$A$76,0),MATCH($B$9,Juniorstwo!$A$56:$N$56,0))*F$9+INDEX(JuniorzyPozytyw[],MATCH($A86,Juniorstwo!$A$57:$A$76,0),MATCH($B$10,Juniorstwo!$A$56:$N$56,0))*F$10+INDEX(JuniorzyPozytyw[],MATCH($A86,Juniorstwo!$A$57:$A$76,0),MATCH($B$11,Juniorstwo!$A$56:$N$56,0))*F$11+INDEX(JuniorzyPozytyw[],MATCH($A86,Juniorstwo!$A$57:$A$76,0),MATCH($B$12,Juniorstwo!$A$56:$N$56,0))*F$12+INDEX(JuniorzyPozytyw[],MATCH($A86,Juniorstwo!$A$57:$A$76,0),MATCH($B$13,Juniorstwo!$A$56:$N$56,0))*F$13,"-")</f>
        <v>-</v>
      </c>
      <c r="G86" s="38" t="str">
        <f>IFERROR(INDEX(JuniorzyPozytyw[],MATCH($A86,Juniorstwo!$A$57:$A$76,0),MATCH($B$2,Juniorstwo!$A$56:$N$56,0))*G$2+INDEX(JuniorzyPozytyw[],MATCH($A86,Juniorstwo!$A$57:$A$76,0),MATCH($B$3,Juniorstwo!$A$56:$N$56,0))*G$3+INDEX(JuniorzyPozytyw[],MATCH($A86,Juniorstwo!$A$57:$A$76,0),MATCH($B$4,Juniorstwo!$A$56:$N$56,0))*G$4+INDEX(JuniorzyPozytyw[],MATCH($A86,Juniorstwo!$A$57:$A$76,0),MATCH($B$5,Juniorstwo!$A$56:$N$56,0))*G$5+INDEX(JuniorzyPozytyw[],MATCH($A86,Juniorstwo!$A$57:$A$76,0),MATCH($B$6,Juniorstwo!$A$56:$N$56,0))*G$6+INDEX(JuniorzyPozytyw[],MATCH($A86,Juniorstwo!$A$57:$A$76,0),MATCH($B$7,Juniorstwo!$A$56:$N$56,0))*G$7+INDEX(JuniorzyPozytyw[],MATCH($A86,Juniorstwo!$A$57:$A$76,0),MATCH($B$8,Juniorstwo!$A$56:$N$56,0))*G$8+INDEX(JuniorzyPozytyw[],MATCH($A86,Juniorstwo!$A$57:$A$76,0),MATCH($B$9,Juniorstwo!$A$56:$N$56,0))*G$9+INDEX(JuniorzyPozytyw[],MATCH($A86,Juniorstwo!$A$57:$A$76,0),MATCH($B$10,Juniorstwo!$A$56:$N$56,0))*G$10+INDEX(JuniorzyPozytyw[],MATCH($A86,Juniorstwo!$A$57:$A$76,0),MATCH($B$11,Juniorstwo!$A$56:$N$56,0))*G$11+INDEX(JuniorzyPozytyw[],MATCH($A86,Juniorstwo!$A$57:$A$76,0),MATCH($B$12,Juniorstwo!$A$56:$N$56,0))*G$12+INDEX(JuniorzyPozytyw[],MATCH($A86,Juniorstwo!$A$57:$A$76,0),MATCH($B$13,Juniorstwo!$A$56:$N$56,0))*G$13,"-")</f>
        <v>-</v>
      </c>
      <c r="H86" s="38" t="str">
        <f>IFERROR(INDEX(JuniorzyPozytyw[],MATCH($A86,Juniorstwo!$A$57:$A$76,0),MATCH($B$2,Juniorstwo!$A$56:$N$56,0))*H$2+INDEX(JuniorzyPozytyw[],MATCH($A86,Juniorstwo!$A$57:$A$76,0),MATCH($B$3,Juniorstwo!$A$56:$N$56,0))*H$3+INDEX(JuniorzyPozytyw[],MATCH($A86,Juniorstwo!$A$57:$A$76,0),MATCH($B$4,Juniorstwo!$A$56:$N$56,0))*H$4+INDEX(JuniorzyPozytyw[],MATCH($A86,Juniorstwo!$A$57:$A$76,0),MATCH($B$5,Juniorstwo!$A$56:$N$56,0))*H$5+INDEX(JuniorzyPozytyw[],MATCH($A86,Juniorstwo!$A$57:$A$76,0),MATCH($B$6,Juniorstwo!$A$56:$N$56,0))*H$6+INDEX(JuniorzyPozytyw[],MATCH($A86,Juniorstwo!$A$57:$A$76,0),MATCH($B$7,Juniorstwo!$A$56:$N$56,0))*H$7+INDEX(JuniorzyPozytyw[],MATCH($A86,Juniorstwo!$A$57:$A$76,0),MATCH($B$8,Juniorstwo!$A$56:$N$56,0))*H$8+INDEX(JuniorzyPozytyw[],MATCH($A86,Juniorstwo!$A$57:$A$76,0),MATCH($B$9,Juniorstwo!$A$56:$N$56,0))*H$9+INDEX(JuniorzyPozytyw[],MATCH($A86,Juniorstwo!$A$57:$A$76,0),MATCH($B$10,Juniorstwo!$A$56:$N$56,0))*H$10+INDEX(JuniorzyPozytyw[],MATCH($A86,Juniorstwo!$A$57:$A$76,0),MATCH($B$11,Juniorstwo!$A$56:$N$56,0))*H$11+INDEX(JuniorzyPozytyw[],MATCH($A86,Juniorstwo!$A$57:$A$76,0),MATCH($B$12,Juniorstwo!$A$56:$N$56,0))*H$12+INDEX(JuniorzyPozytyw[],MATCH($A86,Juniorstwo!$A$57:$A$76,0),MATCH($B$13,Juniorstwo!$A$56:$N$56,0))*H$13,"-")</f>
        <v>-</v>
      </c>
      <c r="I86" s="38" t="str">
        <f>IFERROR(INDEX(JuniorzyPozytyw[],MATCH($A86,Juniorstwo!$A$57:$A$76,0),MATCH($B$2,Juniorstwo!$A$56:$N$56,0))*I$2+INDEX(JuniorzyPozytyw[],MATCH($A86,Juniorstwo!$A$57:$A$76,0),MATCH($B$3,Juniorstwo!$A$56:$N$56,0))*I$3+INDEX(JuniorzyPozytyw[],MATCH($A86,Juniorstwo!$A$57:$A$76,0),MATCH($B$4,Juniorstwo!$A$56:$N$56,0))*I$4+INDEX(JuniorzyPozytyw[],MATCH($A86,Juniorstwo!$A$57:$A$76,0),MATCH($B$5,Juniorstwo!$A$56:$N$56,0))*I$5+INDEX(JuniorzyPozytyw[],MATCH($A86,Juniorstwo!$A$57:$A$76,0),MATCH($B$6,Juniorstwo!$A$56:$N$56,0))*I$6+INDEX(JuniorzyPozytyw[],MATCH($A86,Juniorstwo!$A$57:$A$76,0),MATCH($B$7,Juniorstwo!$A$56:$N$56,0))*I$7+INDEX(JuniorzyPozytyw[],MATCH($A86,Juniorstwo!$A$57:$A$76,0),MATCH($B$8,Juniorstwo!$A$56:$N$56,0))*I$8+INDEX(JuniorzyPozytyw[],MATCH($A86,Juniorstwo!$A$57:$A$76,0),MATCH($B$9,Juniorstwo!$A$56:$N$56,0))*I$9+INDEX(JuniorzyPozytyw[],MATCH($A86,Juniorstwo!$A$57:$A$76,0),MATCH($B$10,Juniorstwo!$A$56:$N$56,0))*I$10+INDEX(JuniorzyPozytyw[],MATCH($A86,Juniorstwo!$A$57:$A$76,0),MATCH($B$11,Juniorstwo!$A$56:$N$56,0))*I$11+INDEX(JuniorzyPozytyw[],MATCH($A86,Juniorstwo!$A$57:$A$76,0),MATCH($B$12,Juniorstwo!$A$56:$N$56,0))*I$12+INDEX(JuniorzyPozytyw[],MATCH($A86,Juniorstwo!$A$57:$A$76,0),MATCH($B$13,Juniorstwo!$A$56:$N$56,0))*I$13,"-")</f>
        <v>-</v>
      </c>
      <c r="J86" s="38" t="str">
        <f>IFERROR(INDEX(JuniorzyPozytyw[],MATCH($A86,Juniorstwo!$A$57:$A$76,0),MATCH($B$2,Juniorstwo!$A$56:$N$56,0))*J$2+INDEX(JuniorzyPozytyw[],MATCH($A86,Juniorstwo!$A$57:$A$76,0),MATCH($B$3,Juniorstwo!$A$56:$N$56,0))*J$3+INDEX(JuniorzyPozytyw[],MATCH($A86,Juniorstwo!$A$57:$A$76,0),MATCH($B$4,Juniorstwo!$A$56:$N$56,0))*J$4+INDEX(JuniorzyPozytyw[],MATCH($A86,Juniorstwo!$A$57:$A$76,0),MATCH($B$5,Juniorstwo!$A$56:$N$56,0))*J$5+INDEX(JuniorzyPozytyw[],MATCH($A86,Juniorstwo!$A$57:$A$76,0),MATCH($B$6,Juniorstwo!$A$56:$N$56,0))*J$6+INDEX(JuniorzyPozytyw[],MATCH($A86,Juniorstwo!$A$57:$A$76,0),MATCH($B$7,Juniorstwo!$A$56:$N$56,0))*J$7+INDEX(JuniorzyPozytyw[],MATCH($A86,Juniorstwo!$A$57:$A$76,0),MATCH($B$8,Juniorstwo!$A$56:$N$56,0))*J$8+INDEX(JuniorzyPozytyw[],MATCH($A86,Juniorstwo!$A$57:$A$76,0),MATCH($B$9,Juniorstwo!$A$56:$N$56,0))*J$9+INDEX(JuniorzyPozytyw[],MATCH($A86,Juniorstwo!$A$57:$A$76,0),MATCH($B$10,Juniorstwo!$A$56:$N$56,0))*J$10+INDEX(JuniorzyPozytyw[],MATCH($A86,Juniorstwo!$A$57:$A$76,0),MATCH($B$11,Juniorstwo!$A$56:$N$56,0))*J$11+INDEX(JuniorzyPozytyw[],MATCH($A86,Juniorstwo!$A$57:$A$76,0),MATCH($B$12,Juniorstwo!$A$56:$N$56,0))*J$12+INDEX(JuniorzyPozytyw[],MATCH($A86,Juniorstwo!$A$57:$A$76,0),MATCH($B$13,Juniorstwo!$A$56:$N$56,0))*J$13,"-")</f>
        <v>-</v>
      </c>
      <c r="K86" s="38" t="str">
        <f>IFERROR(INDEX(JuniorzyPozytyw[],MATCH($A86,Juniorstwo!$A$57:$A$76,0),MATCH($B$2,Juniorstwo!$A$56:$N$56,0))*K$2+INDEX(JuniorzyPozytyw[],MATCH($A86,Juniorstwo!$A$57:$A$76,0),MATCH($B$3,Juniorstwo!$A$56:$N$56,0))*K$3+INDEX(JuniorzyPozytyw[],MATCH($A86,Juniorstwo!$A$57:$A$76,0),MATCH($B$4,Juniorstwo!$A$56:$N$56,0))*K$4+INDEX(JuniorzyPozytyw[],MATCH($A86,Juniorstwo!$A$57:$A$76,0),MATCH($B$5,Juniorstwo!$A$56:$N$56,0))*K$5+INDEX(JuniorzyPozytyw[],MATCH($A86,Juniorstwo!$A$57:$A$76,0),MATCH($B$6,Juniorstwo!$A$56:$N$56,0))*K$6+INDEX(JuniorzyPozytyw[],MATCH($A86,Juniorstwo!$A$57:$A$76,0),MATCH($B$7,Juniorstwo!$A$56:$N$56,0))*K$7+INDEX(JuniorzyPozytyw[],MATCH($A86,Juniorstwo!$A$57:$A$76,0),MATCH($B$8,Juniorstwo!$A$56:$N$56,0))*K$8+INDEX(JuniorzyPozytyw[],MATCH($A86,Juniorstwo!$A$57:$A$76,0),MATCH($B$9,Juniorstwo!$A$56:$N$56,0))*K$9+INDEX(JuniorzyPozytyw[],MATCH($A86,Juniorstwo!$A$57:$A$76,0),MATCH($B$10,Juniorstwo!$A$56:$N$56,0))*K$10+INDEX(JuniorzyPozytyw[],MATCH($A86,Juniorstwo!$A$57:$A$76,0),MATCH($B$11,Juniorstwo!$A$56:$N$56,0))*K$11+INDEX(JuniorzyPozytyw[],MATCH($A86,Juniorstwo!$A$57:$A$76,0),MATCH($B$12,Juniorstwo!$A$56:$N$56,0))*K$12+INDEX(JuniorzyPozytyw[],MATCH($A86,Juniorstwo!$A$57:$A$76,0),MATCH($B$13,Juniorstwo!$A$56:$N$56,0))*K$13,"-")</f>
        <v>-</v>
      </c>
    </row>
    <row r="87" spans="1:11" x14ac:dyDescent="0.25">
      <c r="A87">
        <f>IFERROR(PozJunPŚr[[#This Row],[Numer]],"-")</f>
        <v>0</v>
      </c>
      <c r="B87" s="3" t="str">
        <f>IFERROR(VLOOKUP(PozJunPMM[[#This Row],[Numer]],Zawodnicy[[Number]:[Player name]],2,FALSE),"-")</f>
        <v>-</v>
      </c>
      <c r="C87" s="38" t="str">
        <f>IFERROR(INDEX(JuniorzyPozytyw[],MATCH($A87,Juniorstwo!$A$57:$A$76,0),MATCH($B$2,Juniorstwo!$A$56:$N$56,0))*C$2+INDEX(JuniorzyPozytyw[],MATCH($A87,Juniorstwo!$A$57:$A$76,0),MATCH($B$3,Juniorstwo!$A$56:$N$56,0))*C$3+INDEX(JuniorzyPozytyw[],MATCH($A87,Juniorstwo!$A$57:$A$76,0),MATCH($B$4,Juniorstwo!$A$56:$N$56,0))*C$4+INDEX(JuniorzyPozytyw[],MATCH($A87,Juniorstwo!$A$57:$A$76,0),MATCH($B$5,Juniorstwo!$A$56:$N$56,0))*C$5+INDEX(JuniorzyPozytyw[],MATCH($A87,Juniorstwo!$A$57:$A$76,0),MATCH($B$6,Juniorstwo!$A$56:$N$56,0))*C$6+INDEX(JuniorzyPozytyw[],MATCH($A87,Juniorstwo!$A$57:$A$76,0),MATCH($B$7,Juniorstwo!$A$56:$N$56,0))*C$7+INDEX(JuniorzyPozytyw[],MATCH($A87,Juniorstwo!$A$57:$A$76,0),MATCH($B$8,Juniorstwo!$A$56:$N$56,0))*C$8+INDEX(JuniorzyPozytyw[],MATCH($A87,Juniorstwo!$A$57:$A$76,0),MATCH($B$9,Juniorstwo!$A$56:$N$56,0))*C$9+INDEX(JuniorzyPozytyw[],MATCH($A87,Juniorstwo!$A$57:$A$76,0),MATCH($B$10,Juniorstwo!$A$56:$N$56,0))*C$10+INDEX(JuniorzyPozytyw[],MATCH($A87,Juniorstwo!$A$57:$A$76,0),MATCH($B$11,Juniorstwo!$A$56:$N$56,0))*C$11+INDEX(JuniorzyPozytyw[],MATCH($A87,Juniorstwo!$A$57:$A$76,0),MATCH($B$12,Juniorstwo!$A$56:$N$56,0))*C$12+INDEX(JuniorzyPozytyw[],MATCH($A87,Juniorstwo!$A$57:$A$76,0),MATCH($B$13,Juniorstwo!$A$56:$N$56,0))*C$13,"-")</f>
        <v>-</v>
      </c>
      <c r="D87" s="38" t="str">
        <f>IFERROR(INDEX(JuniorzyPozytyw[],MATCH($A87,Juniorstwo!$A$57:$A$76,0),MATCH($B$2,Juniorstwo!$A$56:$N$56,0))*D$2+INDEX(JuniorzyPozytyw[],MATCH($A87,Juniorstwo!$A$57:$A$76,0),MATCH($B$3,Juniorstwo!$A$56:$N$56,0))*D$3+INDEX(JuniorzyPozytyw[],MATCH($A87,Juniorstwo!$A$57:$A$76,0),MATCH($B$4,Juniorstwo!$A$56:$N$56,0))*D$4+INDEX(JuniorzyPozytyw[],MATCH($A87,Juniorstwo!$A$57:$A$76,0),MATCH($B$5,Juniorstwo!$A$56:$N$56,0))*D$5+INDEX(JuniorzyPozytyw[],MATCH($A87,Juniorstwo!$A$57:$A$76,0),MATCH($B$6,Juniorstwo!$A$56:$N$56,0))*D$6+INDEX(JuniorzyPozytyw[],MATCH($A87,Juniorstwo!$A$57:$A$76,0),MATCH($B$7,Juniorstwo!$A$56:$N$56,0))*D$7+INDEX(JuniorzyPozytyw[],MATCH($A87,Juniorstwo!$A$57:$A$76,0),MATCH($B$8,Juniorstwo!$A$56:$N$56,0))*D$8+INDEX(JuniorzyPozytyw[],MATCH($A87,Juniorstwo!$A$57:$A$76,0),MATCH($B$9,Juniorstwo!$A$56:$N$56,0))*D$9+INDEX(JuniorzyPozytyw[],MATCH($A87,Juniorstwo!$A$57:$A$76,0),MATCH($B$10,Juniorstwo!$A$56:$N$56,0))*D$10+INDEX(JuniorzyPozytyw[],MATCH($A87,Juniorstwo!$A$57:$A$76,0),MATCH($B$11,Juniorstwo!$A$56:$N$56,0))*D$11+INDEX(JuniorzyPozytyw[],MATCH($A87,Juniorstwo!$A$57:$A$76,0),MATCH($B$12,Juniorstwo!$A$56:$N$56,0))*D$12+INDEX(JuniorzyPozytyw[],MATCH($A87,Juniorstwo!$A$57:$A$76,0),MATCH($B$13,Juniorstwo!$A$56:$N$56,0))*D$13,"-")</f>
        <v>-</v>
      </c>
      <c r="E87" s="38" t="str">
        <f>IFERROR(INDEX(JuniorzyPozytyw[],MATCH($A87,Juniorstwo!$A$57:$A$76,0),MATCH($B$2,Juniorstwo!$A$56:$N$56,0))*E$2+INDEX(JuniorzyPozytyw[],MATCH($A87,Juniorstwo!$A$57:$A$76,0),MATCH($B$3,Juniorstwo!$A$56:$N$56,0))*E$3+INDEX(JuniorzyPozytyw[],MATCH($A87,Juniorstwo!$A$57:$A$76,0),MATCH($B$4,Juniorstwo!$A$56:$N$56,0))*E$4+INDEX(JuniorzyPozytyw[],MATCH($A87,Juniorstwo!$A$57:$A$76,0),MATCH($B$5,Juniorstwo!$A$56:$N$56,0))*E$5+INDEX(JuniorzyPozytyw[],MATCH($A87,Juniorstwo!$A$57:$A$76,0),MATCH($B$6,Juniorstwo!$A$56:$N$56,0))*E$6+INDEX(JuniorzyPozytyw[],MATCH($A87,Juniorstwo!$A$57:$A$76,0),MATCH($B$7,Juniorstwo!$A$56:$N$56,0))*E$7+INDEX(JuniorzyPozytyw[],MATCH($A87,Juniorstwo!$A$57:$A$76,0),MATCH($B$8,Juniorstwo!$A$56:$N$56,0))*E$8+INDEX(JuniorzyPozytyw[],MATCH($A87,Juniorstwo!$A$57:$A$76,0),MATCH($B$9,Juniorstwo!$A$56:$N$56,0))*E$9+INDEX(JuniorzyPozytyw[],MATCH($A87,Juniorstwo!$A$57:$A$76,0),MATCH($B$10,Juniorstwo!$A$56:$N$56,0))*E$10+INDEX(JuniorzyPozytyw[],MATCH($A87,Juniorstwo!$A$57:$A$76,0),MATCH($B$11,Juniorstwo!$A$56:$N$56,0))*E$11+INDEX(JuniorzyPozytyw[],MATCH($A87,Juniorstwo!$A$57:$A$76,0),MATCH($B$12,Juniorstwo!$A$56:$N$56,0))*E$12+INDEX(JuniorzyPozytyw[],MATCH($A87,Juniorstwo!$A$57:$A$76,0),MATCH($B$13,Juniorstwo!$A$56:$N$56,0))*E$13,"-")</f>
        <v>-</v>
      </c>
      <c r="F87" s="38" t="str">
        <f>IFERROR(INDEX(JuniorzyPozytyw[],MATCH($A87,Juniorstwo!$A$57:$A$76,0),MATCH($B$2,Juniorstwo!$A$56:$N$56,0))*F$2+INDEX(JuniorzyPozytyw[],MATCH($A87,Juniorstwo!$A$57:$A$76,0),MATCH($B$3,Juniorstwo!$A$56:$N$56,0))*F$3+INDEX(JuniorzyPozytyw[],MATCH($A87,Juniorstwo!$A$57:$A$76,0),MATCH($B$4,Juniorstwo!$A$56:$N$56,0))*F$4+INDEX(JuniorzyPozytyw[],MATCH($A87,Juniorstwo!$A$57:$A$76,0),MATCH($B$5,Juniorstwo!$A$56:$N$56,0))*F$5+INDEX(JuniorzyPozytyw[],MATCH($A87,Juniorstwo!$A$57:$A$76,0),MATCH($B$6,Juniorstwo!$A$56:$N$56,0))*F$6+INDEX(JuniorzyPozytyw[],MATCH($A87,Juniorstwo!$A$57:$A$76,0),MATCH($B$7,Juniorstwo!$A$56:$N$56,0))*F$7+INDEX(JuniorzyPozytyw[],MATCH($A87,Juniorstwo!$A$57:$A$76,0),MATCH($B$8,Juniorstwo!$A$56:$N$56,0))*F$8+INDEX(JuniorzyPozytyw[],MATCH($A87,Juniorstwo!$A$57:$A$76,0),MATCH($B$9,Juniorstwo!$A$56:$N$56,0))*F$9+INDEX(JuniorzyPozytyw[],MATCH($A87,Juniorstwo!$A$57:$A$76,0),MATCH($B$10,Juniorstwo!$A$56:$N$56,0))*F$10+INDEX(JuniorzyPozytyw[],MATCH($A87,Juniorstwo!$A$57:$A$76,0),MATCH($B$11,Juniorstwo!$A$56:$N$56,0))*F$11+INDEX(JuniorzyPozytyw[],MATCH($A87,Juniorstwo!$A$57:$A$76,0),MATCH($B$12,Juniorstwo!$A$56:$N$56,0))*F$12+INDEX(JuniorzyPozytyw[],MATCH($A87,Juniorstwo!$A$57:$A$76,0),MATCH($B$13,Juniorstwo!$A$56:$N$56,0))*F$13,"-")</f>
        <v>-</v>
      </c>
      <c r="G87" s="38" t="str">
        <f>IFERROR(INDEX(JuniorzyPozytyw[],MATCH($A87,Juniorstwo!$A$57:$A$76,0),MATCH($B$2,Juniorstwo!$A$56:$N$56,0))*G$2+INDEX(JuniorzyPozytyw[],MATCH($A87,Juniorstwo!$A$57:$A$76,0),MATCH($B$3,Juniorstwo!$A$56:$N$56,0))*G$3+INDEX(JuniorzyPozytyw[],MATCH($A87,Juniorstwo!$A$57:$A$76,0),MATCH($B$4,Juniorstwo!$A$56:$N$56,0))*G$4+INDEX(JuniorzyPozytyw[],MATCH($A87,Juniorstwo!$A$57:$A$76,0),MATCH($B$5,Juniorstwo!$A$56:$N$56,0))*G$5+INDEX(JuniorzyPozytyw[],MATCH($A87,Juniorstwo!$A$57:$A$76,0),MATCH($B$6,Juniorstwo!$A$56:$N$56,0))*G$6+INDEX(JuniorzyPozytyw[],MATCH($A87,Juniorstwo!$A$57:$A$76,0),MATCH($B$7,Juniorstwo!$A$56:$N$56,0))*G$7+INDEX(JuniorzyPozytyw[],MATCH($A87,Juniorstwo!$A$57:$A$76,0),MATCH($B$8,Juniorstwo!$A$56:$N$56,0))*G$8+INDEX(JuniorzyPozytyw[],MATCH($A87,Juniorstwo!$A$57:$A$76,0),MATCH($B$9,Juniorstwo!$A$56:$N$56,0))*G$9+INDEX(JuniorzyPozytyw[],MATCH($A87,Juniorstwo!$A$57:$A$76,0),MATCH($B$10,Juniorstwo!$A$56:$N$56,0))*G$10+INDEX(JuniorzyPozytyw[],MATCH($A87,Juniorstwo!$A$57:$A$76,0),MATCH($B$11,Juniorstwo!$A$56:$N$56,0))*G$11+INDEX(JuniorzyPozytyw[],MATCH($A87,Juniorstwo!$A$57:$A$76,0),MATCH($B$12,Juniorstwo!$A$56:$N$56,0))*G$12+INDEX(JuniorzyPozytyw[],MATCH($A87,Juniorstwo!$A$57:$A$76,0),MATCH($B$13,Juniorstwo!$A$56:$N$56,0))*G$13,"-")</f>
        <v>-</v>
      </c>
      <c r="H87" s="38" t="str">
        <f>IFERROR(INDEX(JuniorzyPozytyw[],MATCH($A87,Juniorstwo!$A$57:$A$76,0),MATCH($B$2,Juniorstwo!$A$56:$N$56,0))*H$2+INDEX(JuniorzyPozytyw[],MATCH($A87,Juniorstwo!$A$57:$A$76,0),MATCH($B$3,Juniorstwo!$A$56:$N$56,0))*H$3+INDEX(JuniorzyPozytyw[],MATCH($A87,Juniorstwo!$A$57:$A$76,0),MATCH($B$4,Juniorstwo!$A$56:$N$56,0))*H$4+INDEX(JuniorzyPozytyw[],MATCH($A87,Juniorstwo!$A$57:$A$76,0),MATCH($B$5,Juniorstwo!$A$56:$N$56,0))*H$5+INDEX(JuniorzyPozytyw[],MATCH($A87,Juniorstwo!$A$57:$A$76,0),MATCH($B$6,Juniorstwo!$A$56:$N$56,0))*H$6+INDEX(JuniorzyPozytyw[],MATCH($A87,Juniorstwo!$A$57:$A$76,0),MATCH($B$7,Juniorstwo!$A$56:$N$56,0))*H$7+INDEX(JuniorzyPozytyw[],MATCH($A87,Juniorstwo!$A$57:$A$76,0),MATCH($B$8,Juniorstwo!$A$56:$N$56,0))*H$8+INDEX(JuniorzyPozytyw[],MATCH($A87,Juniorstwo!$A$57:$A$76,0),MATCH($B$9,Juniorstwo!$A$56:$N$56,0))*H$9+INDEX(JuniorzyPozytyw[],MATCH($A87,Juniorstwo!$A$57:$A$76,0),MATCH($B$10,Juniorstwo!$A$56:$N$56,0))*H$10+INDEX(JuniorzyPozytyw[],MATCH($A87,Juniorstwo!$A$57:$A$76,0),MATCH($B$11,Juniorstwo!$A$56:$N$56,0))*H$11+INDEX(JuniorzyPozytyw[],MATCH($A87,Juniorstwo!$A$57:$A$76,0),MATCH($B$12,Juniorstwo!$A$56:$N$56,0))*H$12+INDEX(JuniorzyPozytyw[],MATCH($A87,Juniorstwo!$A$57:$A$76,0),MATCH($B$13,Juniorstwo!$A$56:$N$56,0))*H$13,"-")</f>
        <v>-</v>
      </c>
      <c r="I87" s="38" t="str">
        <f>IFERROR(INDEX(JuniorzyPozytyw[],MATCH($A87,Juniorstwo!$A$57:$A$76,0),MATCH($B$2,Juniorstwo!$A$56:$N$56,0))*I$2+INDEX(JuniorzyPozytyw[],MATCH($A87,Juniorstwo!$A$57:$A$76,0),MATCH($B$3,Juniorstwo!$A$56:$N$56,0))*I$3+INDEX(JuniorzyPozytyw[],MATCH($A87,Juniorstwo!$A$57:$A$76,0),MATCH($B$4,Juniorstwo!$A$56:$N$56,0))*I$4+INDEX(JuniorzyPozytyw[],MATCH($A87,Juniorstwo!$A$57:$A$76,0),MATCH($B$5,Juniorstwo!$A$56:$N$56,0))*I$5+INDEX(JuniorzyPozytyw[],MATCH($A87,Juniorstwo!$A$57:$A$76,0),MATCH($B$6,Juniorstwo!$A$56:$N$56,0))*I$6+INDEX(JuniorzyPozytyw[],MATCH($A87,Juniorstwo!$A$57:$A$76,0),MATCH($B$7,Juniorstwo!$A$56:$N$56,0))*I$7+INDEX(JuniorzyPozytyw[],MATCH($A87,Juniorstwo!$A$57:$A$76,0),MATCH($B$8,Juniorstwo!$A$56:$N$56,0))*I$8+INDEX(JuniorzyPozytyw[],MATCH($A87,Juniorstwo!$A$57:$A$76,0),MATCH($B$9,Juniorstwo!$A$56:$N$56,0))*I$9+INDEX(JuniorzyPozytyw[],MATCH($A87,Juniorstwo!$A$57:$A$76,0),MATCH($B$10,Juniorstwo!$A$56:$N$56,0))*I$10+INDEX(JuniorzyPozytyw[],MATCH($A87,Juniorstwo!$A$57:$A$76,0),MATCH($B$11,Juniorstwo!$A$56:$N$56,0))*I$11+INDEX(JuniorzyPozytyw[],MATCH($A87,Juniorstwo!$A$57:$A$76,0),MATCH($B$12,Juniorstwo!$A$56:$N$56,0))*I$12+INDEX(JuniorzyPozytyw[],MATCH($A87,Juniorstwo!$A$57:$A$76,0),MATCH($B$13,Juniorstwo!$A$56:$N$56,0))*I$13,"-")</f>
        <v>-</v>
      </c>
      <c r="J87" s="38" t="str">
        <f>IFERROR(INDEX(JuniorzyPozytyw[],MATCH($A87,Juniorstwo!$A$57:$A$76,0),MATCH($B$2,Juniorstwo!$A$56:$N$56,0))*J$2+INDEX(JuniorzyPozytyw[],MATCH($A87,Juniorstwo!$A$57:$A$76,0),MATCH($B$3,Juniorstwo!$A$56:$N$56,0))*J$3+INDEX(JuniorzyPozytyw[],MATCH($A87,Juniorstwo!$A$57:$A$76,0),MATCH($B$4,Juniorstwo!$A$56:$N$56,0))*J$4+INDEX(JuniorzyPozytyw[],MATCH($A87,Juniorstwo!$A$57:$A$76,0),MATCH($B$5,Juniorstwo!$A$56:$N$56,0))*J$5+INDEX(JuniorzyPozytyw[],MATCH($A87,Juniorstwo!$A$57:$A$76,0),MATCH($B$6,Juniorstwo!$A$56:$N$56,0))*J$6+INDEX(JuniorzyPozytyw[],MATCH($A87,Juniorstwo!$A$57:$A$76,0),MATCH($B$7,Juniorstwo!$A$56:$N$56,0))*J$7+INDEX(JuniorzyPozytyw[],MATCH($A87,Juniorstwo!$A$57:$A$76,0),MATCH($B$8,Juniorstwo!$A$56:$N$56,0))*J$8+INDEX(JuniorzyPozytyw[],MATCH($A87,Juniorstwo!$A$57:$A$76,0),MATCH($B$9,Juniorstwo!$A$56:$N$56,0))*J$9+INDEX(JuniorzyPozytyw[],MATCH($A87,Juniorstwo!$A$57:$A$76,0),MATCH($B$10,Juniorstwo!$A$56:$N$56,0))*J$10+INDEX(JuniorzyPozytyw[],MATCH($A87,Juniorstwo!$A$57:$A$76,0),MATCH($B$11,Juniorstwo!$A$56:$N$56,0))*J$11+INDEX(JuniorzyPozytyw[],MATCH($A87,Juniorstwo!$A$57:$A$76,0),MATCH($B$12,Juniorstwo!$A$56:$N$56,0))*J$12+INDEX(JuniorzyPozytyw[],MATCH($A87,Juniorstwo!$A$57:$A$76,0),MATCH($B$13,Juniorstwo!$A$56:$N$56,0))*J$13,"-")</f>
        <v>-</v>
      </c>
      <c r="K87" s="38" t="str">
        <f>IFERROR(INDEX(JuniorzyPozytyw[],MATCH($A87,Juniorstwo!$A$57:$A$76,0),MATCH($B$2,Juniorstwo!$A$56:$N$56,0))*K$2+INDEX(JuniorzyPozytyw[],MATCH($A87,Juniorstwo!$A$57:$A$76,0),MATCH($B$3,Juniorstwo!$A$56:$N$56,0))*K$3+INDEX(JuniorzyPozytyw[],MATCH($A87,Juniorstwo!$A$57:$A$76,0),MATCH($B$4,Juniorstwo!$A$56:$N$56,0))*K$4+INDEX(JuniorzyPozytyw[],MATCH($A87,Juniorstwo!$A$57:$A$76,0),MATCH($B$5,Juniorstwo!$A$56:$N$56,0))*K$5+INDEX(JuniorzyPozytyw[],MATCH($A87,Juniorstwo!$A$57:$A$76,0),MATCH($B$6,Juniorstwo!$A$56:$N$56,0))*K$6+INDEX(JuniorzyPozytyw[],MATCH($A87,Juniorstwo!$A$57:$A$76,0),MATCH($B$7,Juniorstwo!$A$56:$N$56,0))*K$7+INDEX(JuniorzyPozytyw[],MATCH($A87,Juniorstwo!$A$57:$A$76,0),MATCH($B$8,Juniorstwo!$A$56:$N$56,0))*K$8+INDEX(JuniorzyPozytyw[],MATCH($A87,Juniorstwo!$A$57:$A$76,0),MATCH($B$9,Juniorstwo!$A$56:$N$56,0))*K$9+INDEX(JuniorzyPozytyw[],MATCH($A87,Juniorstwo!$A$57:$A$76,0),MATCH($B$10,Juniorstwo!$A$56:$N$56,0))*K$10+INDEX(JuniorzyPozytyw[],MATCH($A87,Juniorstwo!$A$57:$A$76,0),MATCH($B$11,Juniorstwo!$A$56:$N$56,0))*K$11+INDEX(JuniorzyPozytyw[],MATCH($A87,Juniorstwo!$A$57:$A$76,0),MATCH($B$12,Juniorstwo!$A$56:$N$56,0))*K$12+INDEX(JuniorzyPozytyw[],MATCH($A87,Juniorstwo!$A$57:$A$76,0),MATCH($B$13,Juniorstwo!$A$56:$N$56,0))*K$13,"-")</f>
        <v>-</v>
      </c>
    </row>
  </sheetData>
  <conditionalFormatting sqref="C21:C34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1:C40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8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9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0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1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2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3">
    <cfRule type="colorScale" priority="7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4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5">
    <cfRule type="colorScale" priority="7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6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7">
    <cfRule type="colorScale" priority="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8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9">
    <cfRule type="colorScale" priority="6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7">
    <cfRule type="colorScale" priority="6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1:K40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:K43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:K55 C57:K63">
    <cfRule type="colorScale" priority="6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4:K44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5:K45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:K46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7:K47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:K48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9:K49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0:K50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:K51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:K52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:K53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:K54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5:K55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6:K5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:K5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:K62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:K58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:K5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0:K60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1:K6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2:K6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3:K63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7:K67 D68:K79 D87:K87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7:K67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8:K78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9:K79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0:K8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1:K8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2:K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3:K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4:K8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5:K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6:K8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7:K8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1:D34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1:D40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1:E34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1:E40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8:K68 C68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9:K69 C69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0:K70 C70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1:K71 C71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2:K72 C72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3:K73 C73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4:K74 C74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5:K75 C75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6:K76 C76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7:K77 C77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8:K78 C78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9:K79 C79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87:K87 C87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1:F3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1:F40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1:G34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1:G4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1:H4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1:I4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1:J4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1:K40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ignoredErrors>
    <ignoredError sqref="N4 N8 N11 N14:W14 O2:O3 Q2:Q4 Q10 R4:R5 R9:U9 S2 S11 T5:U5 T10:U10 U3 W2 W6 W9" calculatedColumn="1"/>
  </ignoredErrors>
  <tableParts count="4">
    <tablePart r:id="rId1"/>
    <tablePart r:id="rId2"/>
    <tablePart r:id="rId3"/>
    <tablePart r:id="rId4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E99A0-B8E4-40E5-B32A-965DD85E6A30}">
  <dimension ref="A1:W87"/>
  <sheetViews>
    <sheetView workbookViewId="0">
      <selection activeCell="N22" sqref="N22"/>
    </sheetView>
  </sheetViews>
  <sheetFormatPr defaultRowHeight="15" x14ac:dyDescent="0.25"/>
  <cols>
    <col min="1" max="1" width="9.28515625" customWidth="1"/>
    <col min="2" max="2" width="21.7109375" customWidth="1"/>
    <col min="3" max="3" width="9.140625" customWidth="1"/>
    <col min="6" max="6" width="9.85546875" bestFit="1" customWidth="1"/>
  </cols>
  <sheetData>
    <row r="1" spans="2:23" x14ac:dyDescent="0.25">
      <c r="B1" t="s">
        <v>770</v>
      </c>
      <c r="C1" t="s">
        <v>771</v>
      </c>
      <c r="D1" t="s">
        <v>772</v>
      </c>
      <c r="E1" t="s">
        <v>773</v>
      </c>
      <c r="F1" t="s">
        <v>774</v>
      </c>
      <c r="G1" t="s">
        <v>775</v>
      </c>
      <c r="H1" t="s">
        <v>776</v>
      </c>
      <c r="I1" t="s">
        <v>777</v>
      </c>
      <c r="J1" t="s">
        <v>778</v>
      </c>
      <c r="K1" t="s">
        <v>46</v>
      </c>
      <c r="L1" t="s">
        <v>767</v>
      </c>
      <c r="M1" t="s">
        <v>779</v>
      </c>
      <c r="N1" t="s">
        <v>143</v>
      </c>
      <c r="O1" t="s">
        <v>142</v>
      </c>
      <c r="P1" t="s">
        <v>147</v>
      </c>
      <c r="Q1" t="s">
        <v>128</v>
      </c>
      <c r="R1" t="s">
        <v>129</v>
      </c>
      <c r="S1" t="s">
        <v>140</v>
      </c>
      <c r="T1" t="s">
        <v>130</v>
      </c>
      <c r="U1" t="s">
        <v>131</v>
      </c>
      <c r="V1" t="s">
        <v>141</v>
      </c>
      <c r="W1" t="s">
        <v>133</v>
      </c>
    </row>
    <row r="2" spans="2:23" x14ac:dyDescent="0.25">
      <c r="B2" s="3" t="s">
        <v>749</v>
      </c>
      <c r="C2">
        <f>(AtrybutyMG[[#This Row],[BR]]+AtrybutyMM[[#This Row],[BR]])/2</f>
        <v>0.75</v>
      </c>
      <c r="D2">
        <f>(AtrybutyMG[[#This Row],[SO]]+AtrybutyMM[[#This Row],[SO]])/2</f>
        <v>1.25</v>
      </c>
      <c r="E2">
        <f>(AtrybutyMG[[#This Row],[BO]]+AtrybutyMM[[#This Row],[BO]])/2</f>
        <v>2</v>
      </c>
      <c r="F2">
        <f>(AtrybutyMG[[#This Row],[DP]]+AtrybutyMM[[#This Row],[DP]])/2</f>
        <v>1.25</v>
      </c>
      <c r="G2">
        <f>(AtrybutyMG[[#This Row],[SP]]+AtrybutyMM[[#This Row],[SP]])/2</f>
        <v>1.25</v>
      </c>
      <c r="H2">
        <f>(AtrybutyMG[[#This Row],[BP]]+AtrybutyMM[[#This Row],[BP]])/2</f>
        <v>2</v>
      </c>
      <c r="I2">
        <f>(AtrybutyMG[[#This Row],[OP]]+AtrybutyMM[[#This Row],[OP]])/2</f>
        <v>1.25</v>
      </c>
      <c r="J2">
        <f>(AtrybutyMG[[#This Row],[BOP]]+AtrybutyMM[[#This Row],[BOP]])/2</f>
        <v>2</v>
      </c>
      <c r="K2">
        <f>(AtrybutyMG[[#This Row],[ST]]+AtrybutyMM[[#This Row],[ST]])/2</f>
        <v>1.5</v>
      </c>
      <c r="L2" s="19">
        <f>SUM(AtrybutyŚr[[#This Row],[GK]:[ST]])</f>
        <v>13.25</v>
      </c>
      <c r="M2" s="96">
        <f>AtrybutyŚr[[#This Row],[SUM]]/COLUMNS(AtrybutyŚr[[#Headers],[GK]:[ST]])</f>
        <v>1.4722222222222223</v>
      </c>
      <c r="N2" s="16">
        <f>IFERROR((AtrybutyMG[]+AtrybutyMM[])/2,"")</f>
        <v>0</v>
      </c>
      <c r="O2" s="16">
        <f>IFERROR((AtrybutyMG[]+AtrybutyMM[])/2,"")</f>
        <v>2.34375</v>
      </c>
      <c r="P2" s="16">
        <f>IFERROR((AtrybutyMG[]+AtrybutyMM[])/2,"")</f>
        <v>0</v>
      </c>
      <c r="Q2" s="16">
        <f>IFERROR((AtrybutyMG[]+AtrybutyMM[])/2,"")</f>
        <v>1.125</v>
      </c>
      <c r="R2" s="16">
        <f>IFERROR((AtrybutyMG[]+AtrybutyMM[])/2,"")</f>
        <v>0</v>
      </c>
      <c r="S2" s="16">
        <f>IFERROR((AtrybutyMG[]+AtrybutyMM[])/2,"")</f>
        <v>2</v>
      </c>
      <c r="T2" s="16">
        <f>IFERROR((AtrybutyMG[]+AtrybutyMM[])/2,"")</f>
        <v>0</v>
      </c>
      <c r="U2" s="16">
        <f>IFERROR((AtrybutyMG[]+AtrybutyMM[])/2,"")</f>
        <v>0</v>
      </c>
      <c r="V2" s="16">
        <f>IFERROR((AtrybutyMG[]+AtrybutyMM[])/2,"")</f>
        <v>0</v>
      </c>
      <c r="W2" s="16">
        <f>IFERROR((AtrybutyMG[]+AtrybutyMM[])/2,"")</f>
        <v>1.375</v>
      </c>
    </row>
    <row r="3" spans="2:23" x14ac:dyDescent="0.25">
      <c r="B3" s="3" t="s">
        <v>750</v>
      </c>
      <c r="C3">
        <f>(AtrybutyMG[[#This Row],[BR]]+AtrybutyMM[[#This Row],[BR]])/2</f>
        <v>0.5</v>
      </c>
      <c r="D3">
        <f>(AtrybutyMG[[#This Row],[SO]]+AtrybutyMM[[#This Row],[SO]])/2</f>
        <v>1.25</v>
      </c>
      <c r="E3">
        <f>(AtrybutyMG[[#This Row],[BO]]+AtrybutyMM[[#This Row],[BO]])/2</f>
        <v>1.25</v>
      </c>
      <c r="F3">
        <f>(AtrybutyMG[[#This Row],[DP]]+AtrybutyMM[[#This Row],[DP]])/2</f>
        <v>1.25</v>
      </c>
      <c r="G3">
        <f>(AtrybutyMG[[#This Row],[SP]]+AtrybutyMM[[#This Row],[SP]])/2</f>
        <v>1.25</v>
      </c>
      <c r="H3">
        <f>(AtrybutyMG[[#This Row],[BP]]+AtrybutyMM[[#This Row],[BP]])/2</f>
        <v>1.25</v>
      </c>
      <c r="I3">
        <f>(AtrybutyMG[[#This Row],[OP]]+AtrybutyMM[[#This Row],[OP]])/2</f>
        <v>1.25</v>
      </c>
      <c r="J3">
        <f>(AtrybutyMG[[#This Row],[BOP]]+AtrybutyMM[[#This Row],[BOP]])/2</f>
        <v>1.25</v>
      </c>
      <c r="K3">
        <f>(AtrybutyMG[[#This Row],[ST]]+AtrybutyMM[[#This Row],[ST]])/2</f>
        <v>1.25</v>
      </c>
      <c r="L3" s="19">
        <f>SUM(AtrybutyŚr[[#This Row],[GK]:[ST]])</f>
        <v>10.5</v>
      </c>
      <c r="M3" s="96">
        <f>AtrybutyŚr[[#This Row],[SUM]]/COLUMNS(AtrybutyŚr[[#Headers],[GK]:[ST]])</f>
        <v>1.1666666666666667</v>
      </c>
      <c r="N3" s="16">
        <f>IFERROR((AtrybutyMG[]+AtrybutyMM[])/2,"")</f>
        <v>0</v>
      </c>
      <c r="O3" s="16">
        <f>IFERROR((AtrybutyMG[]+AtrybutyMM[])/2,"")</f>
        <v>1.875</v>
      </c>
      <c r="P3" s="16">
        <f>IFERROR((AtrybutyMG[]+AtrybutyMM[])/2,"")</f>
        <v>0</v>
      </c>
      <c r="Q3" s="16">
        <f>IFERROR((AtrybutyMG[]+AtrybutyMM[])/2,"")</f>
        <v>0.9375</v>
      </c>
      <c r="R3" s="16">
        <f>IFERROR((AtrybutyMG[]+AtrybutyMM[])/2,"")</f>
        <v>0</v>
      </c>
      <c r="S3" s="16">
        <f>IFERROR((AtrybutyMG[]+AtrybutyMM[])/2,"")</f>
        <v>0</v>
      </c>
      <c r="T3" s="16">
        <f>IFERROR((AtrybutyMG[]+AtrybutyMM[])/2,"")</f>
        <v>0</v>
      </c>
      <c r="U3" s="16">
        <f>IFERROR((AtrybutyMG[]+AtrybutyMM[])/2,"")</f>
        <v>0.9375</v>
      </c>
      <c r="V3" s="16">
        <f>IFERROR((AtrybutyMG[]+AtrybutyMM[])/2,"")</f>
        <v>0</v>
      </c>
      <c r="W3" s="16">
        <f>IFERROR((AtrybutyMG[]+AtrybutyMM[])/2,"")</f>
        <v>0</v>
      </c>
    </row>
    <row r="4" spans="2:23" x14ac:dyDescent="0.25">
      <c r="B4" s="3" t="s">
        <v>763</v>
      </c>
      <c r="C4">
        <f>(AtrybutyMG[[#This Row],[BR]]+AtrybutyMM[[#This Row],[BR]])/2</f>
        <v>0.75</v>
      </c>
      <c r="D4">
        <f>(AtrybutyMG[[#This Row],[SO]]+AtrybutyMM[[#This Row],[SO]])/2</f>
        <v>0.75</v>
      </c>
      <c r="E4">
        <f>(AtrybutyMG[[#This Row],[BO]]+AtrybutyMM[[#This Row],[BO]])/2</f>
        <v>0.625</v>
      </c>
      <c r="F4">
        <f>(AtrybutyMG[[#This Row],[DP]]+AtrybutyMM[[#This Row],[DP]])/2</f>
        <v>1</v>
      </c>
      <c r="G4">
        <f>(AtrybutyMG[[#This Row],[SP]]+AtrybutyMM[[#This Row],[SP]])/2</f>
        <v>1</v>
      </c>
      <c r="H4">
        <f>(AtrybutyMG[[#This Row],[BP]]+AtrybutyMM[[#This Row],[BP]])/2</f>
        <v>0.875</v>
      </c>
      <c r="I4">
        <f>(AtrybutyMG[[#This Row],[OP]]+AtrybutyMM[[#This Row],[OP]])/2</f>
        <v>0.875</v>
      </c>
      <c r="J4">
        <f>(AtrybutyMG[[#This Row],[BOP]]+AtrybutyMM[[#This Row],[BOP]])/2</f>
        <v>0.75</v>
      </c>
      <c r="K4">
        <f>(AtrybutyMG[[#This Row],[ST]]+AtrybutyMM[[#This Row],[ST]])/2</f>
        <v>0.5</v>
      </c>
      <c r="L4" s="19">
        <f>SUM(AtrybutyŚr[[#This Row],[GK]:[ST]])</f>
        <v>7.125</v>
      </c>
      <c r="M4" s="96">
        <f>AtrybutyŚr[[#This Row],[SUM]]/COLUMNS(AtrybutyŚr[[#Headers],[GK]:[ST]])</f>
        <v>0.79166666666666663</v>
      </c>
      <c r="N4" s="16">
        <f>AtrybutyŚr[[#This Row],[GK]]/N15*5</f>
        <v>0.85714285714285721</v>
      </c>
      <c r="O4" s="16">
        <f>IFERROR((AtrybutyMG[]+AtrybutyMM[])/2,"")</f>
        <v>0</v>
      </c>
      <c r="P4" s="16">
        <f>IFERROR((AtrybutyMG[]+AtrybutyMM[])/2,"")</f>
        <v>0.875</v>
      </c>
      <c r="Q4" s="16">
        <f>IFERROR((AtrybutyMG[]+AtrybutyMM[])/2,"")</f>
        <v>0.59375</v>
      </c>
      <c r="R4" s="16">
        <f>IFERROR((AtrybutyMG[]+AtrybutyMM[])/2,"")</f>
        <v>0.9375</v>
      </c>
      <c r="S4" s="16">
        <f>IFERROR((AtrybutyMG[]+AtrybutyMM[])/2,"")</f>
        <v>0</v>
      </c>
      <c r="T4" s="16">
        <f>IFERROR((AtrybutyMG[]+AtrybutyMM[])/2,"")</f>
        <v>0</v>
      </c>
      <c r="U4" s="16">
        <f>IFERROR((AtrybutyMG[]+AtrybutyMM[])/2,"")</f>
        <v>0</v>
      </c>
      <c r="V4" s="16">
        <f>IFERROR((AtrybutyMG[]+AtrybutyMM[])/2,"")</f>
        <v>0</v>
      </c>
      <c r="W4" s="16">
        <f>IFERROR((AtrybutyMG[]+AtrybutyMM[])/2,"")</f>
        <v>0</v>
      </c>
    </row>
    <row r="5" spans="2:23" x14ac:dyDescent="0.25">
      <c r="B5" s="3" t="s">
        <v>751</v>
      </c>
      <c r="C5">
        <f>(AtrybutyMG[[#This Row],[BR]]+AtrybutyMM[[#This Row],[BR]])/2</f>
        <v>0</v>
      </c>
      <c r="D5">
        <f>(AtrybutyMG[[#This Row],[SO]]+AtrybutyMM[[#This Row],[SO]])/2</f>
        <v>0.875</v>
      </c>
      <c r="E5">
        <f>(AtrybutyMG[[#This Row],[BO]]+AtrybutyMM[[#This Row],[BO]])/2</f>
        <v>0.75</v>
      </c>
      <c r="F5">
        <f>(AtrybutyMG[[#This Row],[DP]]+AtrybutyMM[[#This Row],[DP]])/2</f>
        <v>1.875</v>
      </c>
      <c r="G5">
        <f>(AtrybutyMG[[#This Row],[SP]]+AtrybutyMM[[#This Row],[SP]])/2</f>
        <v>2.125</v>
      </c>
      <c r="H5">
        <f>(AtrybutyMG[[#This Row],[BP]]+AtrybutyMM[[#This Row],[BP]])/2</f>
        <v>1.625</v>
      </c>
      <c r="I5">
        <f>(AtrybutyMG[[#This Row],[OP]]+AtrybutyMM[[#This Row],[OP]])/2</f>
        <v>2</v>
      </c>
      <c r="J5">
        <f>(AtrybutyMG[[#This Row],[BOP]]+AtrybutyMM[[#This Row],[BOP]])/2</f>
        <v>1.375</v>
      </c>
      <c r="K5">
        <f>(AtrybutyMG[[#This Row],[ST]]+AtrybutyMM[[#This Row],[ST]])/2</f>
        <v>0.75</v>
      </c>
      <c r="L5" s="19">
        <f>SUM(AtrybutyŚr[[#This Row],[GK]:[ST]])</f>
        <v>11.375</v>
      </c>
      <c r="M5" s="96">
        <f>AtrybutyŚr[[#This Row],[SUM]]/COLUMNS(AtrybutyŚr[[#Headers],[GK]:[ST]])</f>
        <v>1.2638888888888888</v>
      </c>
      <c r="N5" s="16">
        <f>IFERROR((AtrybutyMG[]+AtrybutyMM[])/2,"")</f>
        <v>0</v>
      </c>
      <c r="O5" s="16">
        <f>IFERROR((AtrybutyMG[]+AtrybutyMM[])/2,"")</f>
        <v>0</v>
      </c>
      <c r="P5" s="16">
        <f>IFERROR((AtrybutyMG[]+AtrybutyMM[])/2,"")</f>
        <v>0</v>
      </c>
      <c r="Q5" s="16">
        <f>IFERROR((AtrybutyMG[]+AtrybutyMM[])/2,"")</f>
        <v>0</v>
      </c>
      <c r="R5" s="16">
        <f>IFERROR((AtrybutyMG[]+AtrybutyMM[])/2,"")</f>
        <v>2.0625</v>
      </c>
      <c r="S5" s="16">
        <f>IFERROR((AtrybutyMG[]+AtrybutyMM[])/2,"")</f>
        <v>0</v>
      </c>
      <c r="T5" s="16">
        <f>IFERROR((AtrybutyMG[]+AtrybutyMM[])/2,"")</f>
        <v>2</v>
      </c>
      <c r="U5" s="16">
        <f>IFERROR((AtrybutyMG[]+AtrybutyMM[])/2,"")</f>
        <v>1.5</v>
      </c>
      <c r="V5" s="16">
        <f>IFERROR((AtrybutyMG[]+AtrybutyMM[])/2,"")</f>
        <v>0</v>
      </c>
      <c r="W5" s="16">
        <f>IFERROR((AtrybutyMG[]+AtrybutyMM[])/2,"")</f>
        <v>0</v>
      </c>
    </row>
    <row r="6" spans="2:23" x14ac:dyDescent="0.25">
      <c r="B6" s="3" t="s">
        <v>752</v>
      </c>
      <c r="C6">
        <f>(AtrybutyMG[[#This Row],[BR]]+AtrybutyMM[[#This Row],[BR]])/2</f>
        <v>0</v>
      </c>
      <c r="D6">
        <f>(AtrybutyMG[[#This Row],[SO]]+AtrybutyMM[[#This Row],[SO]])/2</f>
        <v>0</v>
      </c>
      <c r="E6">
        <f>(AtrybutyMG[[#This Row],[BO]]+AtrybutyMM[[#This Row],[BO]])/2</f>
        <v>0</v>
      </c>
      <c r="F6">
        <f>(AtrybutyMG[[#This Row],[DP]]+AtrybutyMM[[#This Row],[DP]])/2</f>
        <v>0</v>
      </c>
      <c r="G6">
        <f>(AtrybutyMG[[#This Row],[SP]]+AtrybutyMM[[#This Row],[SP]])/2</f>
        <v>0</v>
      </c>
      <c r="H6">
        <f>(AtrybutyMG[[#This Row],[BP]]+AtrybutyMM[[#This Row],[BP]])/2</f>
        <v>0</v>
      </c>
      <c r="I6">
        <f>(AtrybutyMG[[#This Row],[OP]]+AtrybutyMM[[#This Row],[OP]])/2</f>
        <v>1</v>
      </c>
      <c r="J6">
        <f>(AtrybutyMG[[#This Row],[BOP]]+AtrybutyMM[[#This Row],[BOP]])/2</f>
        <v>1</v>
      </c>
      <c r="K6">
        <f>(AtrybutyMG[[#This Row],[ST]]+AtrybutyMM[[#This Row],[ST]])/2</f>
        <v>2.75</v>
      </c>
      <c r="L6" s="19">
        <f>SUM(AtrybutyŚr[[#This Row],[GK]:[ST]])</f>
        <v>4.75</v>
      </c>
      <c r="M6" s="96">
        <f>AtrybutyŚr[[#This Row],[SUM]]/COLUMNS(AtrybutyŚr[[#Headers],[GK]:[ST]])</f>
        <v>0.52777777777777779</v>
      </c>
      <c r="N6" s="16">
        <f>IFERROR((AtrybutyMG[]+AtrybutyMM[])/2,"")</f>
        <v>0</v>
      </c>
      <c r="O6" s="16">
        <f>IFERROR((AtrybutyMG[]+AtrybutyMM[])/2,"")</f>
        <v>0</v>
      </c>
      <c r="P6" s="16">
        <f>IFERROR((AtrybutyMG[]+AtrybutyMM[])/2,"")</f>
        <v>0</v>
      </c>
      <c r="Q6" s="16">
        <f>IFERROR((AtrybutyMG[]+AtrybutyMM[])/2,"")</f>
        <v>0</v>
      </c>
      <c r="R6" s="16">
        <f>IFERROR((AtrybutyMG[]+AtrybutyMM[])/2,"")</f>
        <v>0</v>
      </c>
      <c r="S6" s="16">
        <f>IFERROR((AtrybutyMG[]+AtrybutyMM[])/2,"")</f>
        <v>0</v>
      </c>
      <c r="T6" s="16">
        <f>IFERROR((AtrybutyMG[]+AtrybutyMM[])/2,"")</f>
        <v>0</v>
      </c>
      <c r="U6" s="16">
        <f>IFERROR((AtrybutyMG[]+AtrybutyMM[])/2,"")</f>
        <v>0</v>
      </c>
      <c r="V6" s="16">
        <f>IFERROR((AtrybutyMG[]+AtrybutyMM[])/2,"")</f>
        <v>2.75</v>
      </c>
      <c r="W6" s="16">
        <f>IFERROR((AtrybutyMG[]+AtrybutyMM[])/2,"")</f>
        <v>1.875</v>
      </c>
    </row>
    <row r="7" spans="2:23" x14ac:dyDescent="0.25">
      <c r="B7" s="3" t="s">
        <v>753</v>
      </c>
      <c r="C7">
        <f>(AtrybutyMG[[#This Row],[BR]]+AtrybutyMM[[#This Row],[BR]])/2</f>
        <v>0</v>
      </c>
      <c r="D7">
        <f>(AtrybutyMG[[#This Row],[SO]]+AtrybutyMM[[#This Row],[SO]])/2</f>
        <v>0.375</v>
      </c>
      <c r="E7">
        <f>(AtrybutyMG[[#This Row],[BO]]+AtrybutyMM[[#This Row],[BO]])/2</f>
        <v>0.125</v>
      </c>
      <c r="F7">
        <f>(AtrybutyMG[[#This Row],[DP]]+AtrybutyMM[[#This Row],[DP]])/2</f>
        <v>0.25</v>
      </c>
      <c r="G7">
        <f>(AtrybutyMG[[#This Row],[SP]]+AtrybutyMM[[#This Row],[SP]])/2</f>
        <v>0</v>
      </c>
      <c r="H7">
        <f>(AtrybutyMG[[#This Row],[BP]]+AtrybutyMM[[#This Row],[BP]])/2</f>
        <v>0</v>
      </c>
      <c r="I7">
        <f>(AtrybutyMG[[#This Row],[OP]]+AtrybutyMM[[#This Row],[OP]])/2</f>
        <v>0</v>
      </c>
      <c r="J7">
        <f>(AtrybutyMG[[#This Row],[BOP]]+AtrybutyMM[[#This Row],[BOP]])/2</f>
        <v>0</v>
      </c>
      <c r="K7">
        <f>(AtrybutyMG[[#This Row],[ST]]+AtrybutyMM[[#This Row],[ST]])/2</f>
        <v>0.5</v>
      </c>
      <c r="L7" s="19">
        <f>SUM(AtrybutyŚr[[#This Row],[GK]:[ST]])</f>
        <v>1.25</v>
      </c>
      <c r="M7" s="96">
        <f>AtrybutyŚr[[#This Row],[SUM]]/COLUMNS(AtrybutyŚr[[#Headers],[GK]:[ST]])</f>
        <v>0.1388888888888889</v>
      </c>
      <c r="N7" s="16">
        <f>IFERROR((AtrybutyMG[]+AtrybutyMM[])/2,"")</f>
        <v>0</v>
      </c>
      <c r="O7" s="16">
        <f>IFERROR((AtrybutyMG[]+AtrybutyMM[])/2,"")</f>
        <v>0</v>
      </c>
      <c r="P7" s="16">
        <f>IFERROR((AtrybutyMG[]+AtrybutyMM[])/2,"")</f>
        <v>0.3125</v>
      </c>
      <c r="Q7" s="16">
        <f>IFERROR((AtrybutyMG[]+AtrybutyMM[])/2,"")</f>
        <v>0</v>
      </c>
      <c r="R7" s="16">
        <f>IFERROR((AtrybutyMG[]+AtrybutyMM[])/2,"")</f>
        <v>0</v>
      </c>
      <c r="S7" s="16">
        <f>IFERROR((AtrybutyMG[]+AtrybutyMM[])/2,"")</f>
        <v>0</v>
      </c>
      <c r="T7" s="16">
        <f>IFERROR((AtrybutyMG[]+AtrybutyMM[])/2,"")</f>
        <v>0</v>
      </c>
      <c r="U7" s="16">
        <f>IFERROR((AtrybutyMG[]+AtrybutyMM[])/2,"")</f>
        <v>0</v>
      </c>
      <c r="V7" s="16">
        <f>IFERROR((AtrybutyMG[]+AtrybutyMM[])/2,"")</f>
        <v>0.5</v>
      </c>
      <c r="W7" s="16">
        <f>IFERROR((AtrybutyMG[]+AtrybutyMM[])/2,"")</f>
        <v>0</v>
      </c>
    </row>
    <row r="8" spans="2:23" x14ac:dyDescent="0.25">
      <c r="B8" s="3" t="s">
        <v>769</v>
      </c>
      <c r="C8">
        <f>(AtrybutyMG[[#This Row],[BR]]+AtrybutyMM[[#This Row],[BR]])/2</f>
        <v>5.25</v>
      </c>
      <c r="D8">
        <f>(AtrybutyMG[[#This Row],[SO]]+AtrybutyMM[[#This Row],[SO]])/2</f>
        <v>0</v>
      </c>
      <c r="E8">
        <f>(AtrybutyMG[[#This Row],[BO]]+AtrybutyMM[[#This Row],[BO]])/2</f>
        <v>0</v>
      </c>
      <c r="F8">
        <f>(AtrybutyMG[[#This Row],[DP]]+AtrybutyMM[[#This Row],[DP]])/2</f>
        <v>0</v>
      </c>
      <c r="G8">
        <f>(AtrybutyMG[[#This Row],[SP]]+AtrybutyMM[[#This Row],[SP]])/2</f>
        <v>0</v>
      </c>
      <c r="H8">
        <f>(AtrybutyMG[[#This Row],[BP]]+AtrybutyMM[[#This Row],[BP]])/2</f>
        <v>0</v>
      </c>
      <c r="I8">
        <f>(AtrybutyMG[[#This Row],[OP]]+AtrybutyMM[[#This Row],[OP]])/2</f>
        <v>0</v>
      </c>
      <c r="J8">
        <f>(AtrybutyMG[[#This Row],[BOP]]+AtrybutyMM[[#This Row],[BOP]])/2</f>
        <v>0</v>
      </c>
      <c r="K8">
        <f>(AtrybutyMG[[#This Row],[ST]]+AtrybutyMM[[#This Row],[ST]])/2</f>
        <v>0</v>
      </c>
      <c r="L8" s="19">
        <f>SUM(AtrybutyŚr[[#This Row],[GK]:[ST]])</f>
        <v>5.25</v>
      </c>
      <c r="M8" s="96">
        <f>AtrybutyŚr[[#This Row],[SUM]]/COLUMNS(AtrybutyŚr[[#Headers],[GK]:[ST]])</f>
        <v>0.58333333333333337</v>
      </c>
      <c r="N8" s="16">
        <f>IFERROR(((AtrybutyMG[]+AtrybutyMM[])/2)/N15*5,"")</f>
        <v>3</v>
      </c>
      <c r="O8" s="16">
        <f>IFERROR((AtrybutyMG[]+AtrybutyMM[])/2,"")</f>
        <v>0</v>
      </c>
      <c r="P8" s="16">
        <f>IFERROR((AtrybutyMG[]+AtrybutyMM[])/2,"")</f>
        <v>0</v>
      </c>
      <c r="Q8" s="16">
        <f>IFERROR((AtrybutyMG[]+AtrybutyMM[])/2,"")</f>
        <v>0</v>
      </c>
      <c r="R8" s="16">
        <f>IFERROR((AtrybutyMG[]+AtrybutyMM[])/2,"")</f>
        <v>0</v>
      </c>
      <c r="S8" s="16">
        <f>IFERROR((AtrybutyMG[]+AtrybutyMM[])/2,"")</f>
        <v>0</v>
      </c>
      <c r="T8" s="16">
        <f>IFERROR((AtrybutyMG[]+AtrybutyMM[])/2,"")</f>
        <v>0</v>
      </c>
      <c r="U8" s="16">
        <f>IFERROR((AtrybutyMG[]+AtrybutyMM[])/2,"")</f>
        <v>0</v>
      </c>
      <c r="V8" s="16">
        <f>IFERROR((AtrybutyMG[]+AtrybutyMM[])/2,"")</f>
        <v>0</v>
      </c>
      <c r="W8" s="16">
        <f>IFERROR((AtrybutyMG[]+AtrybutyMM[])/2,"")</f>
        <v>0</v>
      </c>
    </row>
    <row r="9" spans="2:23" x14ac:dyDescent="0.25">
      <c r="B9" s="3" t="s">
        <v>754</v>
      </c>
      <c r="C9">
        <f>(AtrybutyMG[[#This Row],[BR]]+AtrybutyMM[[#This Row],[BR]])/2</f>
        <v>0.25</v>
      </c>
      <c r="D9">
        <f>(AtrybutyMG[[#This Row],[SO]]+AtrybutyMM[[#This Row],[SO]])/2</f>
        <v>0.875</v>
      </c>
      <c r="E9">
        <f>(AtrybutyMG[[#This Row],[BO]]+AtrybutyMM[[#This Row],[BO]])/2</f>
        <v>1</v>
      </c>
      <c r="F9">
        <f>(AtrybutyMG[[#This Row],[DP]]+AtrybutyMM[[#This Row],[DP]])/2</f>
        <v>1.75</v>
      </c>
      <c r="G9">
        <f>(AtrybutyMG[[#This Row],[SP]]+AtrybutyMM[[#This Row],[SP]])/2</f>
        <v>2</v>
      </c>
      <c r="H9">
        <f>(AtrybutyMG[[#This Row],[BP]]+AtrybutyMM[[#This Row],[BP]])/2</f>
        <v>2.25</v>
      </c>
      <c r="I9">
        <f>(AtrybutyMG[[#This Row],[OP]]+AtrybutyMM[[#This Row],[OP]])/2</f>
        <v>2.625</v>
      </c>
      <c r="J9">
        <f>(AtrybutyMG[[#This Row],[BOP]]+AtrybutyMM[[#This Row],[BOP]])/2</f>
        <v>1.5</v>
      </c>
      <c r="K9">
        <f>(AtrybutyMG[[#This Row],[ST]]+AtrybutyMM[[#This Row],[ST]])/2</f>
        <v>1.625</v>
      </c>
      <c r="L9" s="19">
        <f>SUM(AtrybutyŚr[[#This Row],[GK]:[ST]])</f>
        <v>13.875</v>
      </c>
      <c r="M9" s="96">
        <f>AtrybutyŚr[[#This Row],[SUM]]/COLUMNS(AtrybutyŚr[[#Headers],[GK]:[ST]])</f>
        <v>1.5416666666666667</v>
      </c>
      <c r="N9" s="16">
        <f>IFERROR((AtrybutyMG[]+AtrybutyMM[])/2,"")</f>
        <v>0</v>
      </c>
      <c r="O9" s="16">
        <f>IFERROR((AtrybutyMG[]+AtrybutyMM[])/2,"")</f>
        <v>0</v>
      </c>
      <c r="P9" s="16">
        <f>IFERROR((AtrybutyMG[]+AtrybutyMM[])/2,"")</f>
        <v>0</v>
      </c>
      <c r="Q9" s="16">
        <f>IFERROR((AtrybutyMG[]+AtrybutyMM[])/2,"")</f>
        <v>0</v>
      </c>
      <c r="R9" s="16">
        <f>IFERROR((AtrybutyMG[]+AtrybutyMM[])/2,"")</f>
        <v>2.3125</v>
      </c>
      <c r="S9" s="16">
        <f>IFERROR((AtrybutyMG[]+AtrybutyMM[])/2,"")</f>
        <v>1.875</v>
      </c>
      <c r="T9" s="16">
        <f>IFERROR((AtrybutyMG[]+AtrybutyMM[])/2,"")</f>
        <v>1.875</v>
      </c>
      <c r="U9" s="16">
        <f>IFERROR((AtrybutyMG[]+AtrybutyMM[])/2,"")</f>
        <v>1.40625</v>
      </c>
      <c r="V9" s="16">
        <f>IFERROR((AtrybutyMG[]+AtrybutyMM[])/2,"")</f>
        <v>1.625</v>
      </c>
      <c r="W9" s="16">
        <f>IFERROR((AtrybutyMG[]+AtrybutyMM[])/2,"")</f>
        <v>2.125</v>
      </c>
    </row>
    <row r="10" spans="2:23" x14ac:dyDescent="0.25">
      <c r="B10" s="3" t="s">
        <v>755</v>
      </c>
      <c r="C10">
        <f>(AtrybutyMG[[#This Row],[BR]]+AtrybutyMM[[#This Row],[BR]])/2</f>
        <v>0</v>
      </c>
      <c r="D10">
        <f>(AtrybutyMG[[#This Row],[SO]]+AtrybutyMM[[#This Row],[SO]])/2</f>
        <v>3.75</v>
      </c>
      <c r="E10">
        <f>(AtrybutyMG[[#This Row],[BO]]+AtrybutyMM[[#This Row],[BO]])/2</f>
        <v>3</v>
      </c>
      <c r="F10">
        <f>(AtrybutyMG[[#This Row],[DP]]+AtrybutyMM[[#This Row],[DP]])/2</f>
        <v>2</v>
      </c>
      <c r="G10">
        <f>(AtrybutyMG[[#This Row],[SP]]+AtrybutyMM[[#This Row],[SP]])/2</f>
        <v>1.5</v>
      </c>
      <c r="H10">
        <f>(AtrybutyMG[[#This Row],[BP]]+AtrybutyMM[[#This Row],[BP]])/2</f>
        <v>0.5</v>
      </c>
      <c r="I10">
        <f>(AtrybutyMG[[#This Row],[OP]]+AtrybutyMM[[#This Row],[OP]])/2</f>
        <v>0.375</v>
      </c>
      <c r="J10">
        <f>(AtrybutyMG[[#This Row],[BOP]]+AtrybutyMM[[#This Row],[BOP]])/2</f>
        <v>0.375</v>
      </c>
      <c r="K10">
        <f>(AtrybutyMG[[#This Row],[ST]]+AtrybutyMM[[#This Row],[ST]])/2</f>
        <v>0.625</v>
      </c>
      <c r="L10" s="19">
        <f>SUM(AtrybutyŚr[[#This Row],[GK]:[ST]])</f>
        <v>12.125</v>
      </c>
      <c r="M10" s="96">
        <f>AtrybutyŚr[[#This Row],[SUM]]/COLUMNS(AtrybutyŚr[[#Headers],[GK]:[ST]])</f>
        <v>1.3472222222222223</v>
      </c>
      <c r="N10" s="16">
        <f>IFERROR((AtrybutyMG[]+AtrybutyMM[])/2,"")</f>
        <v>0</v>
      </c>
      <c r="O10" s="16">
        <f>IFERROR((AtrybutyMG[]+AtrybutyMM[])/2,"")</f>
        <v>0</v>
      </c>
      <c r="P10" s="16">
        <f>IFERROR((AtrybutyMG[]+AtrybutyMM[])/2,"")</f>
        <v>2.875</v>
      </c>
      <c r="Q10" s="16">
        <f>IFERROR((AtrybutyMG[]+AtrybutyMM[])/2,"")</f>
        <v>2.1875</v>
      </c>
      <c r="R10" s="16">
        <f>IFERROR((AtrybutyMG[]+AtrybutyMM[])/2,"")</f>
        <v>0</v>
      </c>
      <c r="S10" s="16">
        <f>IFERROR((AtrybutyMG[]+AtrybutyMM[])/2,"")</f>
        <v>0</v>
      </c>
      <c r="T10" s="16">
        <f>IFERROR((AtrybutyMG[]+AtrybutyMM[])/2,"")</f>
        <v>1.75</v>
      </c>
      <c r="U10" s="16">
        <f>IFERROR((AtrybutyMG[]+AtrybutyMM[])/2,"")</f>
        <v>1.3125</v>
      </c>
      <c r="V10" s="16">
        <f>IFERROR((AtrybutyMG[]+AtrybutyMM[])/2,"")</f>
        <v>0</v>
      </c>
      <c r="W10" s="16">
        <f>IFERROR((AtrybutyMG[]+AtrybutyMM[])/2,"")</f>
        <v>0</v>
      </c>
    </row>
    <row r="11" spans="2:23" x14ac:dyDescent="0.25">
      <c r="B11" s="3" t="s">
        <v>756</v>
      </c>
      <c r="C11">
        <f>(AtrybutyMG[[#This Row],[BR]]+AtrybutyMM[[#This Row],[BR]])/2</f>
        <v>2</v>
      </c>
      <c r="D11">
        <f>(AtrybutyMG[[#This Row],[SO]]+AtrybutyMM[[#This Row],[SO]])/2</f>
        <v>0.375</v>
      </c>
      <c r="E11">
        <f>(AtrybutyMG[[#This Row],[BO]]+AtrybutyMM[[#This Row],[BO]])/2</f>
        <v>0.75</v>
      </c>
      <c r="F11">
        <f>(AtrybutyMG[[#This Row],[DP]]+AtrybutyMM[[#This Row],[DP]])/2</f>
        <v>0.125</v>
      </c>
      <c r="G11">
        <f>(AtrybutyMG[[#This Row],[SP]]+AtrybutyMM[[#This Row],[SP]])/2</f>
        <v>0.375</v>
      </c>
      <c r="H11">
        <f>(AtrybutyMG[[#This Row],[BP]]+AtrybutyMM[[#This Row],[BP]])/2</f>
        <v>1</v>
      </c>
      <c r="I11">
        <f>(AtrybutyMG[[#This Row],[OP]]+AtrybutyMM[[#This Row],[OP]])/2</f>
        <v>0.125</v>
      </c>
      <c r="J11">
        <f>(AtrybutyMG[[#This Row],[BOP]]+AtrybutyMM[[#This Row],[BOP]])/2</f>
        <v>1.25</v>
      </c>
      <c r="K11">
        <f>(AtrybutyMG[[#This Row],[ST]]+AtrybutyMM[[#This Row],[ST]])/2</f>
        <v>0</v>
      </c>
      <c r="L11" s="19">
        <f>SUM(AtrybutyŚr[[#This Row],[GK]:[ST]])</f>
        <v>6</v>
      </c>
      <c r="M11" s="96">
        <f>AtrybutyŚr[[#This Row],[SUM]]/COLUMNS(AtrybutyŚr[[#Headers],[GK]:[ST]])</f>
        <v>0.66666666666666663</v>
      </c>
      <c r="N11" s="16">
        <f>IFERROR(((AtrybutyMG[]+AtrybutyMM[])/2)/N15*5,"")</f>
        <v>1.1428571428571428</v>
      </c>
      <c r="O11" s="16">
        <f>IFERROR((AtrybutyMG[]+AtrybutyMM[])/2,"")</f>
        <v>0</v>
      </c>
      <c r="P11" s="16">
        <f>IFERROR((AtrybutyMG[]+AtrybutyMM[])/2,"")</f>
        <v>0</v>
      </c>
      <c r="Q11" s="16">
        <f>IFERROR((AtrybutyMG[]+AtrybutyMM[])/2,"")</f>
        <v>0</v>
      </c>
      <c r="R11" s="16">
        <f>IFERROR((AtrybutyMG[]+AtrybutyMM[])/2,"")</f>
        <v>0</v>
      </c>
      <c r="S11" s="16">
        <f>IFERROR((AtrybutyMG[]+AtrybutyMM[])/2,"")</f>
        <v>1.125</v>
      </c>
      <c r="T11" s="16">
        <f>IFERROR((AtrybutyMG[]+AtrybutyMM[])/2,"")</f>
        <v>0</v>
      </c>
      <c r="U11" s="16">
        <f>IFERROR((AtrybutyMG[]+AtrybutyMM[])/2,"")</f>
        <v>0</v>
      </c>
      <c r="V11" s="16">
        <f>IFERROR((AtrybutyMG[]+AtrybutyMM[])/2,"")</f>
        <v>0</v>
      </c>
      <c r="W11" s="16">
        <f>IFERROR((AtrybutyMG[]+AtrybutyMM[])/2,"")</f>
        <v>0</v>
      </c>
    </row>
    <row r="12" spans="2:23" x14ac:dyDescent="0.25">
      <c r="B12" s="3" t="s">
        <v>764</v>
      </c>
      <c r="C12">
        <f>(AtrybutyMG[[#This Row],[BR]]+AtrybutyMM[[#This Row],[BR]])/2</f>
        <v>5.0000000000000001E-3</v>
      </c>
      <c r="D12">
        <f>(AtrybutyMG[[#This Row],[SO]]+AtrybutyMM[[#This Row],[SO]])/2</f>
        <v>5.0000000000000001E-3</v>
      </c>
      <c r="E12">
        <f>(AtrybutyMG[[#This Row],[BO]]+AtrybutyMM[[#This Row],[BO]])/2</f>
        <v>5.0000000000000001E-3</v>
      </c>
      <c r="F12">
        <f>(AtrybutyMG[[#This Row],[DP]]+AtrybutyMM[[#This Row],[DP]])/2</f>
        <v>5.0000000000000001E-3</v>
      </c>
      <c r="G12">
        <f>(AtrybutyMG[[#This Row],[SP]]+AtrybutyMM[[#This Row],[SP]])/2</f>
        <v>5.0000000000000001E-3</v>
      </c>
      <c r="H12">
        <f>(AtrybutyMG[[#This Row],[BP]]+AtrybutyMM[[#This Row],[BP]])/2</f>
        <v>5.0000000000000001E-3</v>
      </c>
      <c r="I12">
        <f>(AtrybutyMG[[#This Row],[OP]]+AtrybutyMM[[#This Row],[OP]])/2</f>
        <v>5.0000000000000001E-3</v>
      </c>
      <c r="J12">
        <f>(AtrybutyMG[[#This Row],[BOP]]+AtrybutyMM[[#This Row],[BOP]])/2</f>
        <v>5.0000000000000001E-3</v>
      </c>
      <c r="K12">
        <f>(AtrybutyMG[[#This Row],[ST]]+AtrybutyMM[[#This Row],[ST]])/2</f>
        <v>5.0000000000000001E-3</v>
      </c>
      <c r="L12" s="19">
        <f>SUM(AtrybutyŚr[[#This Row],[GK]:[ST]])</f>
        <v>4.4999999999999998E-2</v>
      </c>
      <c r="M12" s="96">
        <f>AtrybutyŚr[[#This Row],[SUM]]/COLUMNS(AtrybutyŚr[[#Headers],[GK]:[ST]])</f>
        <v>5.0000000000000001E-3</v>
      </c>
      <c r="N12" s="16">
        <f>IFERROR((AtrybutyMG[]+AtrybutyMM[])/2,"")</f>
        <v>0</v>
      </c>
      <c r="O12" s="16">
        <f>IFERROR((AtrybutyMG[]+AtrybutyMM[])/2,"")</f>
        <v>0</v>
      </c>
      <c r="P12" s="16">
        <f>IFERROR((AtrybutyMG[]+AtrybutyMM[])/2,"")</f>
        <v>0</v>
      </c>
      <c r="Q12" s="16">
        <f>IFERROR((AtrybutyMG[]+AtrybutyMM[])/2,"")</f>
        <v>0</v>
      </c>
      <c r="R12" s="16">
        <f>IFERROR((AtrybutyMG[]+AtrybutyMM[])/2,"")</f>
        <v>0</v>
      </c>
      <c r="S12" s="16">
        <f>IFERROR((AtrybutyMG[]+AtrybutyMM[])/2,"")</f>
        <v>0</v>
      </c>
      <c r="T12" s="16">
        <f>IFERROR((AtrybutyMG[]+AtrybutyMM[])/2,"")</f>
        <v>0</v>
      </c>
      <c r="U12" s="16">
        <f>IFERROR((AtrybutyMG[]+AtrybutyMM[])/2,"")</f>
        <v>0</v>
      </c>
      <c r="V12" s="16">
        <f>IFERROR((AtrybutyMG[]+AtrybutyMM[])/2,"")</f>
        <v>0</v>
      </c>
      <c r="W12" s="16">
        <f>IFERROR((AtrybutyMG[]+AtrybutyMM[])/2,"")</f>
        <v>0</v>
      </c>
    </row>
    <row r="13" spans="2:23" x14ac:dyDescent="0.25">
      <c r="B13" s="3" t="s">
        <v>757</v>
      </c>
      <c r="C13">
        <f>(AtrybutyMG[[#This Row],[BR]]+AtrybutyMM[[#This Row],[BR]])/2</f>
        <v>0.5</v>
      </c>
      <c r="D13">
        <f>(AtrybutyMG[[#This Row],[SO]]+AtrybutyMM[[#This Row],[SO]])/2</f>
        <v>0.5</v>
      </c>
      <c r="E13">
        <f>(AtrybutyMG[[#This Row],[BO]]+AtrybutyMM[[#This Row],[BO]])/2</f>
        <v>0.5</v>
      </c>
      <c r="F13">
        <f>(AtrybutyMG[[#This Row],[DP]]+AtrybutyMM[[#This Row],[DP]])/2</f>
        <v>0.5</v>
      </c>
      <c r="G13">
        <f>(AtrybutyMG[[#This Row],[SP]]+AtrybutyMM[[#This Row],[SP]])/2</f>
        <v>0.5</v>
      </c>
      <c r="H13">
        <f>(AtrybutyMG[[#This Row],[BP]]+AtrybutyMM[[#This Row],[BP]])/2</f>
        <v>0.5</v>
      </c>
      <c r="I13">
        <f>(AtrybutyMG[[#This Row],[OP]]+AtrybutyMM[[#This Row],[OP]])/2</f>
        <v>0.5</v>
      </c>
      <c r="J13">
        <f>(AtrybutyMG[[#This Row],[BOP]]+AtrybutyMM[[#This Row],[BOP]])/2</f>
        <v>0.5</v>
      </c>
      <c r="K13">
        <f>(AtrybutyMG[[#This Row],[ST]]+AtrybutyMM[[#This Row],[ST]])/2</f>
        <v>0.5</v>
      </c>
      <c r="L13" s="19">
        <f>SUM(AtrybutyŚr[[#This Row],[GK]:[ST]])</f>
        <v>4.5</v>
      </c>
      <c r="M13" s="96">
        <f>AtrybutyŚr[[#This Row],[SUM]]/COLUMNS(AtrybutyŚr[[#Headers],[GK]:[ST]])</f>
        <v>0.5</v>
      </c>
      <c r="N13" s="16">
        <f>IFERROR((AtrybutyMG[]+AtrybutyMM[])/2,"")</f>
        <v>0</v>
      </c>
      <c r="O13" s="16">
        <f>IFERROR((AtrybutyMG[]+AtrybutyMM[])/2,"")</f>
        <v>0</v>
      </c>
      <c r="P13" s="16">
        <f>IFERROR((AtrybutyMG[]+AtrybutyMM[])/2,"")</f>
        <v>0</v>
      </c>
      <c r="Q13" s="16">
        <f>IFERROR((AtrybutyMG[]+AtrybutyMM[])/2,"")</f>
        <v>0</v>
      </c>
      <c r="R13" s="16">
        <f>IFERROR((AtrybutyMG[]+AtrybutyMM[])/2,"")</f>
        <v>0</v>
      </c>
      <c r="S13" s="16">
        <f>IFERROR((AtrybutyMG[]+AtrybutyMM[])/2,"")</f>
        <v>0</v>
      </c>
      <c r="T13" s="16">
        <f>IFERROR((AtrybutyMG[]+AtrybutyMM[])/2,"")</f>
        <v>0</v>
      </c>
      <c r="U13" s="16">
        <f>IFERROR((AtrybutyMG[]+AtrybutyMM[])/2,"")</f>
        <v>0</v>
      </c>
      <c r="V13" s="16">
        <f>IFERROR((AtrybutyMG[]+AtrybutyMM[])/2,"")</f>
        <v>0</v>
      </c>
      <c r="W13" s="16">
        <f>IFERROR((AtrybutyMG[]+AtrybutyMM[])/2,"")</f>
        <v>0</v>
      </c>
    </row>
    <row r="14" spans="2:23" x14ac:dyDescent="0.25">
      <c r="B14" s="3" t="s">
        <v>768</v>
      </c>
      <c r="C14">
        <f>SUM(C2:C13)</f>
        <v>10.005000000000001</v>
      </c>
      <c r="D14">
        <f t="shared" ref="D14:W14" si="0">SUM(D2:D13)</f>
        <v>10.005000000000001</v>
      </c>
      <c r="E14">
        <f t="shared" si="0"/>
        <v>10.005000000000001</v>
      </c>
      <c r="F14">
        <f t="shared" si="0"/>
        <v>10.005000000000001</v>
      </c>
      <c r="G14">
        <f t="shared" si="0"/>
        <v>10.005000000000001</v>
      </c>
      <c r="H14">
        <f t="shared" si="0"/>
        <v>10.005000000000001</v>
      </c>
      <c r="I14">
        <f t="shared" si="0"/>
        <v>10.005000000000001</v>
      </c>
      <c r="J14">
        <f t="shared" si="0"/>
        <v>10.005000000000001</v>
      </c>
      <c r="K14">
        <f t="shared" si="0"/>
        <v>10.005000000000001</v>
      </c>
      <c r="L14" s="19">
        <f>SUM(AtrybutyŚr[[#This Row],[GK]:[ST]])</f>
        <v>90.045000000000002</v>
      </c>
      <c r="M14" s="59">
        <f>AtrybutyŚr[[#This Row],[SUM]]/COLUMNS(AtrybutyŚr[[#Headers],[GK]:[ST]])</f>
        <v>10.005000000000001</v>
      </c>
      <c r="N14">
        <f t="shared" si="0"/>
        <v>5</v>
      </c>
      <c r="O14">
        <f t="shared" si="0"/>
        <v>4.21875</v>
      </c>
      <c r="P14">
        <f t="shared" si="0"/>
        <v>4.0625</v>
      </c>
      <c r="Q14">
        <f t="shared" si="0"/>
        <v>4.84375</v>
      </c>
      <c r="R14">
        <f t="shared" si="0"/>
        <v>5.3125</v>
      </c>
      <c r="S14">
        <f t="shared" si="0"/>
        <v>5</v>
      </c>
      <c r="T14">
        <f t="shared" si="0"/>
        <v>5.625</v>
      </c>
      <c r="U14">
        <f t="shared" si="0"/>
        <v>5.15625</v>
      </c>
      <c r="V14">
        <f t="shared" si="0"/>
        <v>4.875</v>
      </c>
      <c r="W14">
        <f t="shared" si="0"/>
        <v>5.375</v>
      </c>
    </row>
    <row r="15" spans="2:23" x14ac:dyDescent="0.25">
      <c r="N15" s="80">
        <v>4.375</v>
      </c>
      <c r="O15" s="80">
        <v>4.21875</v>
      </c>
      <c r="P15" s="80">
        <v>4.0625</v>
      </c>
      <c r="Q15" s="80">
        <v>4.84375</v>
      </c>
      <c r="R15" s="80">
        <v>5.3125</v>
      </c>
      <c r="S15" s="80">
        <v>5</v>
      </c>
      <c r="T15" s="80">
        <v>5.625</v>
      </c>
      <c r="U15" s="80">
        <v>5.15625</v>
      </c>
      <c r="V15" s="80">
        <v>4.875</v>
      </c>
      <c r="W15" s="80">
        <v>5.375</v>
      </c>
    </row>
    <row r="20" spans="1:11" ht="15.75" thickBot="1" x14ac:dyDescent="0.3">
      <c r="A20" s="6" t="s">
        <v>36</v>
      </c>
      <c r="B20" s="5" t="s">
        <v>37</v>
      </c>
      <c r="C20" t="s">
        <v>771</v>
      </c>
      <c r="D20" t="s">
        <v>772</v>
      </c>
      <c r="E20" t="s">
        <v>773</v>
      </c>
      <c r="F20" t="s">
        <v>774</v>
      </c>
      <c r="G20" t="s">
        <v>775</v>
      </c>
      <c r="H20" t="s">
        <v>776</v>
      </c>
      <c r="I20" t="s">
        <v>777</v>
      </c>
      <c r="J20" t="s">
        <v>778</v>
      </c>
      <c r="K20" t="s">
        <v>46</v>
      </c>
    </row>
    <row r="21" spans="1:11" x14ac:dyDescent="0.25">
      <c r="A21" s="84">
        <v>1</v>
      </c>
      <c r="B21" s="3" t="str">
        <f>IFERROR(VLOOKUP(PozycjeŚr[[#This Row],[Numer]],Zawodnicy[[Number]:[Player name]],2,FALSE),"-")</f>
        <v>Radko Dochkov</v>
      </c>
      <c r="C21" s="38">
        <f>IFERROR((PozycjeMG[]+PozycjeMM[])/2,"-")</f>
        <v>85.77000000000001</v>
      </c>
      <c r="D21" s="38">
        <f>IFERROR((PozycjeMG[]+PozycjeMM[])/2,"-")</f>
        <v>45.644999999999996</v>
      </c>
      <c r="E21" s="38">
        <f>IFERROR((PozycjeMG[]+PozycjeMM[])/2,"-")</f>
        <v>51.894999999999996</v>
      </c>
      <c r="F21" s="38">
        <f>IFERROR((PozycjeMG[]+PozycjeMM[])/2,"-")</f>
        <v>51.519999999999996</v>
      </c>
      <c r="G21" s="38">
        <f>IFERROR((PozycjeMG[]+PozycjeMM[])/2,"-")</f>
        <v>54.269999999999996</v>
      </c>
      <c r="H21" s="38">
        <f>IFERROR((PozycjeMG[]+PozycjeMM[])/2,"-")</f>
        <v>62.019999999999996</v>
      </c>
      <c r="I21" s="38">
        <f>IFERROR((PozycjeMG[]+PozycjeMM[])/2,"-")</f>
        <v>53.894999999999996</v>
      </c>
      <c r="J21" s="38">
        <f>IFERROR((PozycjeMG[]+PozycjeMM[])/2,"-")</f>
        <v>60.644999999999996</v>
      </c>
      <c r="K21" s="38">
        <f>IFERROR((PozycjeMG[]+PozycjeMM[])/2,"-")</f>
        <v>47.394999999999996</v>
      </c>
    </row>
    <row r="22" spans="1:11" x14ac:dyDescent="0.25">
      <c r="A22" s="84">
        <v>3</v>
      </c>
      <c r="B22" s="3" t="str">
        <f>IFERROR(VLOOKUP(PozycjeŚr[[#This Row],[Numer]],Zawodnicy[[Number]:[Player name]],2,FALSE),"-")</f>
        <v>Ulryk Kaczor</v>
      </c>
      <c r="C22" s="38">
        <f>IFERROR((PozycjeMG[]+PozycjeMM[])/2,"-")</f>
        <v>38.5</v>
      </c>
      <c r="D22" s="38">
        <f>IFERROR((PozycjeMG[]+PozycjeMM[])/2,"-")</f>
        <v>73.25</v>
      </c>
      <c r="E22" s="38">
        <f>IFERROR((PozycjeMG[]+PozycjeMM[])/2,"-")</f>
        <v>70.875</v>
      </c>
      <c r="F22" s="38">
        <f>IFERROR((PozycjeMG[]+PozycjeMM[])/2,"-")</f>
        <v>69.875</v>
      </c>
      <c r="G22" s="38">
        <f>IFERROR((PozycjeMG[]+PozycjeMM[])/2,"-")</f>
        <v>67.875</v>
      </c>
      <c r="H22" s="38">
        <f>IFERROR((PozycjeMG[]+PozycjeMM[])/2,"-")</f>
        <v>64.125</v>
      </c>
      <c r="I22" s="38">
        <f>IFERROR((PozycjeMG[]+PozycjeMM[])/2,"-")</f>
        <v>62.875</v>
      </c>
      <c r="J22" s="38">
        <f>IFERROR((PozycjeMG[]+PozycjeMM[])/2,"-")</f>
        <v>57.5</v>
      </c>
      <c r="K22" s="38">
        <f>IFERROR((PozycjeMG[]+PozycjeMM[])/2,"-")</f>
        <v>56.125</v>
      </c>
    </row>
    <row r="23" spans="1:11" x14ac:dyDescent="0.25">
      <c r="A23" s="84">
        <v>4</v>
      </c>
      <c r="B23" s="3" t="str">
        <f>IFERROR(VLOOKUP(PozycjeŚr[[#This Row],[Numer]],Zawodnicy[[Number]:[Player name]],2,FALSE),"-")</f>
        <v>Bartosz Bejgier</v>
      </c>
      <c r="C23" s="38">
        <f>IFERROR((PozycjeMG[]+PozycjeMM[])/2,"-")</f>
        <v>33.265000000000001</v>
      </c>
      <c r="D23" s="38">
        <f>IFERROR((PozycjeMG[]+PozycjeMM[])/2,"-")</f>
        <v>69.765000000000001</v>
      </c>
      <c r="E23" s="38">
        <f>IFERROR((PozycjeMG[]+PozycjeMM[])/2,"-")</f>
        <v>69.015000000000001</v>
      </c>
      <c r="F23" s="38">
        <f>IFERROR((PozycjeMG[]+PozycjeMM[])/2,"-")</f>
        <v>63.89</v>
      </c>
      <c r="G23" s="38">
        <f>IFERROR((PozycjeMG[]+PozycjeMM[])/2,"-")</f>
        <v>62.39</v>
      </c>
      <c r="H23" s="38">
        <f>IFERROR((PozycjeMG[]+PozycjeMM[])/2,"-")</f>
        <v>58.64</v>
      </c>
      <c r="I23" s="38">
        <f>IFERROR((PozycjeMG[]+PozycjeMM[])/2,"-")</f>
        <v>53.64</v>
      </c>
      <c r="J23" s="38">
        <f>IFERROR((PozycjeMG[]+PozycjeMM[])/2,"-")</f>
        <v>54.14</v>
      </c>
      <c r="K23" s="38">
        <f>IFERROR((PozycjeMG[]+PozycjeMM[])/2,"-")</f>
        <v>46.39</v>
      </c>
    </row>
    <row r="24" spans="1:11" x14ac:dyDescent="0.25">
      <c r="A24" s="84">
        <v>5</v>
      </c>
      <c r="B24" s="3" t="str">
        <f>IFERROR(VLOOKUP(PozycjeŚr[[#This Row],[Numer]],Zawodnicy[[Number]:[Player name]],2,FALSE),"-")</f>
        <v>Lukasz Bakes</v>
      </c>
      <c r="C24" s="38">
        <f>IFERROR((PozycjeMG[]+PozycjeMM[])/2,"-")</f>
        <v>40.015000000000001</v>
      </c>
      <c r="D24" s="38">
        <f>IFERROR((PozycjeMG[]+PozycjeMM[])/2,"-")</f>
        <v>78.14</v>
      </c>
      <c r="E24" s="38">
        <f>IFERROR((PozycjeMG[]+PozycjeMM[])/2,"-")</f>
        <v>75.265000000000001</v>
      </c>
      <c r="F24" s="38">
        <f>IFERROR((PozycjeMG[]+PozycjeMM[])/2,"-")</f>
        <v>76.015000000000001</v>
      </c>
      <c r="G24" s="38">
        <f>IFERROR((PozycjeMG[]+PozycjeMM[])/2,"-")</f>
        <v>73.765000000000001</v>
      </c>
      <c r="H24" s="38">
        <f>IFERROR((PozycjeMG[]+PozycjeMM[])/2,"-")</f>
        <v>68.265000000000001</v>
      </c>
      <c r="I24" s="38">
        <f>IFERROR((PozycjeMG[]+PozycjeMM[])/2,"-")</f>
        <v>69.14</v>
      </c>
      <c r="J24" s="38">
        <f>IFERROR((PozycjeMG[]+PozycjeMM[])/2,"-")</f>
        <v>64.015000000000001</v>
      </c>
      <c r="K24" s="38">
        <f>IFERROR((PozycjeMG[]+PozycjeMM[])/2,"-")</f>
        <v>64.64</v>
      </c>
    </row>
    <row r="25" spans="1:11" x14ac:dyDescent="0.25">
      <c r="A25" s="84">
        <v>6</v>
      </c>
      <c r="B25" s="3" t="str">
        <f>IFERROR(VLOOKUP(PozycjeŚr[[#This Row],[Numer]],Zawodnicy[[Number]:[Player name]],2,FALSE),"-")</f>
        <v>Ignacy Cerocki</v>
      </c>
      <c r="C25" s="38">
        <f>IFERROR((PozycjeMG[]+PozycjeMM[])/2,"-")</f>
        <v>31.02</v>
      </c>
      <c r="D25" s="38">
        <f>IFERROR((PozycjeMG[]+PozycjeMM[])/2,"-")</f>
        <v>75.39500000000001</v>
      </c>
      <c r="E25" s="38">
        <f>IFERROR((PozycjeMG[]+PozycjeMM[])/2,"-")</f>
        <v>72.89500000000001</v>
      </c>
      <c r="F25" s="38">
        <f>IFERROR((PozycjeMG[]+PozycjeMM[])/2,"-")</f>
        <v>71.52000000000001</v>
      </c>
      <c r="G25" s="38">
        <f>IFERROR((PozycjeMG[]+PozycjeMM[])/2,"-")</f>
        <v>69.27000000000001</v>
      </c>
      <c r="H25" s="38">
        <f>IFERROR((PozycjeMG[]+PozycjeMM[])/2,"-")</f>
        <v>66.144999999999996</v>
      </c>
      <c r="I25" s="38">
        <f>IFERROR((PozycjeMG[]+PozycjeMM[])/2,"-")</f>
        <v>63.019999999999996</v>
      </c>
      <c r="J25" s="38">
        <f>IFERROR((PozycjeMG[]+PozycjeMM[])/2,"-")</f>
        <v>58.769999999999996</v>
      </c>
      <c r="K25" s="38">
        <f>IFERROR((PozycjeMG[]+PozycjeMM[])/2,"-")</f>
        <v>55.394999999999996</v>
      </c>
    </row>
    <row r="26" spans="1:11" x14ac:dyDescent="0.25">
      <c r="A26" s="84">
        <v>8</v>
      </c>
      <c r="B26" s="3" t="str">
        <f>IFERROR(VLOOKUP(PozycjeŚr[[#This Row],[Numer]],Zawodnicy[[Number]:[Player name]],2,FALSE),"-")</f>
        <v>Cyryl Walec</v>
      </c>
      <c r="C26" s="38">
        <f>IFERROR((PozycjeMG[]+PozycjeMM[])/2,"-")</f>
        <v>49.75</v>
      </c>
      <c r="D26" s="38">
        <f>IFERROR((PozycjeMG[]+PozycjeMM[])/2,"-")</f>
        <v>65.5</v>
      </c>
      <c r="E26" s="38">
        <f>IFERROR((PozycjeMG[]+PozycjeMM[])/2,"-")</f>
        <v>63.875</v>
      </c>
      <c r="F26" s="38">
        <f>IFERROR((PozycjeMG[]+PozycjeMM[])/2,"-")</f>
        <v>68.375</v>
      </c>
      <c r="G26" s="38">
        <f>IFERROR((PozycjeMG[]+PozycjeMM[])/2,"-")</f>
        <v>68.375</v>
      </c>
      <c r="H26" s="38">
        <f>IFERROR((PozycjeMG[]+PozycjeMM[])/2,"-")</f>
        <v>64.625</v>
      </c>
      <c r="I26" s="38">
        <f>IFERROR((PozycjeMG[]+PozycjeMM[])/2,"-")</f>
        <v>69.125</v>
      </c>
      <c r="J26" s="38">
        <f>IFERROR((PozycjeMG[]+PozycjeMM[])/2,"-")</f>
        <v>61.5</v>
      </c>
      <c r="K26" s="38">
        <f>IFERROR((PozycjeMG[]+PozycjeMM[])/2,"-")</f>
        <v>64.375</v>
      </c>
    </row>
    <row r="27" spans="1:11" x14ac:dyDescent="0.25">
      <c r="A27" s="84">
        <v>9</v>
      </c>
      <c r="B27" s="3" t="str">
        <f>IFERROR(VLOOKUP(PozycjeŚr[[#This Row],[Numer]],Zawodnicy[[Number]:[Player name]],2,FALSE),"-")</f>
        <v>Kajetan Grabowicz</v>
      </c>
      <c r="C27" s="38">
        <f>IFERROR((PozycjeMG[]+PozycjeMM[])/2,"-")</f>
        <v>26.265000000000001</v>
      </c>
      <c r="D27" s="38">
        <f>IFERROR((PozycjeMG[]+PozycjeMM[])/2,"-")</f>
        <v>47.015000000000001</v>
      </c>
      <c r="E27" s="38">
        <f>IFERROR((PozycjeMG[]+PozycjeMM[])/2,"-")</f>
        <v>49.515000000000001</v>
      </c>
      <c r="F27" s="38">
        <f>IFERROR((PozycjeMG[]+PozycjeMM[])/2,"-")</f>
        <v>55.89</v>
      </c>
      <c r="G27" s="38">
        <f>IFERROR((PozycjeMG[]+PozycjeMM[])/2,"-")</f>
        <v>56.89</v>
      </c>
      <c r="H27" s="38">
        <f>IFERROR((PozycjeMG[]+PozycjeMM[])/2,"-")</f>
        <v>60.265000000000001</v>
      </c>
      <c r="I27" s="38">
        <f>IFERROR((PozycjeMG[]+PozycjeMM[])/2,"-")</f>
        <v>68.765000000000001</v>
      </c>
      <c r="J27" s="38">
        <f>IFERROR((PozycjeMG[]+PozycjeMM[])/2,"-")</f>
        <v>61.765000000000001</v>
      </c>
      <c r="K27" s="38">
        <f>IFERROR((PozycjeMG[]+PozycjeMM[])/2,"-")</f>
        <v>75.14</v>
      </c>
    </row>
    <row r="28" spans="1:11" x14ac:dyDescent="0.25">
      <c r="A28" s="84">
        <v>11</v>
      </c>
      <c r="B28" s="3" t="str">
        <f>IFERROR(VLOOKUP(PozycjeŚr[[#This Row],[Numer]],Zawodnicy[[Number]:[Player name]],2,FALSE),"-")</f>
        <v>Roman Zakrzewski</v>
      </c>
      <c r="C28" s="38">
        <f>IFERROR((PozycjeMG[]+PozycjeMM[])/2,"-")</f>
        <v>30</v>
      </c>
      <c r="D28" s="38">
        <f>IFERROR((PozycjeMG[]+PozycjeMM[])/2,"-")</f>
        <v>54.25</v>
      </c>
      <c r="E28" s="38">
        <f>IFERROR((PozycjeMG[]+PozycjeMM[])/2,"-")</f>
        <v>56.875</v>
      </c>
      <c r="F28" s="38">
        <f>IFERROR((PozycjeMG[]+PozycjeMM[])/2,"-")</f>
        <v>64.75</v>
      </c>
      <c r="G28" s="38">
        <f>IFERROR((PozycjeMG[]+PozycjeMM[])/2,"-")</f>
        <v>67.25</v>
      </c>
      <c r="H28" s="38">
        <f>IFERROR((PozycjeMG[]+PozycjeMM[])/2,"-")</f>
        <v>66.75</v>
      </c>
      <c r="I28" s="38">
        <f>IFERROR((PozycjeMG[]+PozycjeMM[])/2,"-")</f>
        <v>71.25</v>
      </c>
      <c r="J28" s="38">
        <f>IFERROR((PozycjeMG[]+PozycjeMM[])/2,"-")</f>
        <v>66.625</v>
      </c>
      <c r="K28" s="38">
        <f>IFERROR((PozycjeMG[]+PozycjeMM[])/2,"-")</f>
        <v>66</v>
      </c>
    </row>
    <row r="29" spans="1:11" x14ac:dyDescent="0.25">
      <c r="A29" s="84">
        <v>13</v>
      </c>
      <c r="B29" s="3" t="str">
        <f>IFERROR(VLOOKUP(PozycjeŚr[[#This Row],[Numer]],Zawodnicy[[Number]:[Player name]],2,FALSE),"-")</f>
        <v>Ksawery Jurgiel</v>
      </c>
      <c r="C29" s="38">
        <f>IFERROR((PozycjeMG[]+PozycjeMM[])/2,"-")</f>
        <v>37.255000000000003</v>
      </c>
      <c r="D29" s="38">
        <f>IFERROR((PozycjeMG[]+PozycjeMM[])/2,"-")</f>
        <v>74.13</v>
      </c>
      <c r="E29" s="38">
        <f>IFERROR((PozycjeMG[]+PozycjeMM[])/2,"-")</f>
        <v>76.504999999999995</v>
      </c>
      <c r="F29" s="38">
        <f>IFERROR((PozycjeMG[]+PozycjeMM[])/2,"-")</f>
        <v>75.254999999999995</v>
      </c>
      <c r="G29" s="38">
        <f>IFERROR((PozycjeMG[]+PozycjeMM[])/2,"-")</f>
        <v>77.004999999999995</v>
      </c>
      <c r="H29" s="38">
        <f>IFERROR((PozycjeMG[]+PozycjeMM[])/2,"-")</f>
        <v>78.004999999999995</v>
      </c>
      <c r="I29" s="38">
        <f>IFERROR((PozycjeMG[]+PozycjeMM[])/2,"-")</f>
        <v>72.754999999999995</v>
      </c>
      <c r="J29" s="38">
        <f>IFERROR((PozycjeMG[]+PozycjeMM[])/2,"-")</f>
        <v>74.13</v>
      </c>
      <c r="K29" s="38">
        <f>IFERROR((PozycjeMG[]+PozycjeMM[])/2,"-")</f>
        <v>62.504999999999995</v>
      </c>
    </row>
    <row r="30" spans="1:11" x14ac:dyDescent="0.25">
      <c r="A30" s="84">
        <v>14</v>
      </c>
      <c r="B30" s="3" t="str">
        <f>IFERROR(VLOOKUP(PozycjeŚr[[#This Row],[Numer]],Zawodnicy[[Number]:[Player name]],2,FALSE),"-")</f>
        <v>Gustaw Tuliszewski</v>
      </c>
      <c r="C30" s="38">
        <f>IFERROR((PozycjeMG[]+PozycjeMM[])/2,"-")</f>
        <v>47.504999999999995</v>
      </c>
      <c r="D30" s="38">
        <f>IFERROR((PozycjeMG[]+PozycjeMM[])/2,"-")</f>
        <v>67.38</v>
      </c>
      <c r="E30" s="38">
        <f>IFERROR((PozycjeMG[]+PozycjeMM[])/2,"-")</f>
        <v>70.004999999999995</v>
      </c>
      <c r="F30" s="38">
        <f>IFERROR((PozycjeMG[]+PozycjeMM[])/2,"-")</f>
        <v>69.13</v>
      </c>
      <c r="G30" s="38">
        <f>IFERROR((PozycjeMG[]+PozycjeMM[])/2,"-")</f>
        <v>69.88</v>
      </c>
      <c r="H30" s="38">
        <f>IFERROR((PozycjeMG[]+PozycjeMM[])/2,"-")</f>
        <v>71.63</v>
      </c>
      <c r="I30" s="38">
        <f>IFERROR((PozycjeMG[]+PozycjeMM[])/2,"-")</f>
        <v>72.63</v>
      </c>
      <c r="J30" s="38">
        <f>IFERROR((PozycjeMG[]+PozycjeMM[])/2,"-")</f>
        <v>72.504999999999995</v>
      </c>
      <c r="K30" s="38">
        <f>IFERROR((PozycjeMG[]+PozycjeMM[])/2,"-")</f>
        <v>74.13</v>
      </c>
    </row>
    <row r="31" spans="1:11" x14ac:dyDescent="0.25">
      <c r="A31" s="84">
        <v>15</v>
      </c>
      <c r="B31" s="3" t="str">
        <f>IFERROR(VLOOKUP(PozycjeŚr[[#This Row],[Numer]],Zawodnicy[[Number]:[Player name]],2,FALSE),"-")</f>
        <v>Fausto Pelayo</v>
      </c>
      <c r="C31" s="38">
        <f>IFERROR((PozycjeMG[]+PozycjeMM[])/2,"-")</f>
        <v>30.015000000000001</v>
      </c>
      <c r="D31" s="38">
        <f>IFERROR((PozycjeMG[]+PozycjeMM[])/2,"-")</f>
        <v>65.515000000000001</v>
      </c>
      <c r="E31" s="38">
        <f>IFERROR((PozycjeMG[]+PozycjeMM[])/2,"-")</f>
        <v>65.265000000000001</v>
      </c>
      <c r="F31" s="38">
        <f>IFERROR((PozycjeMG[]+PozycjeMM[])/2,"-")</f>
        <v>72.89</v>
      </c>
      <c r="G31" s="38">
        <f>IFERROR((PozycjeMG[]+PozycjeMM[])/2,"-")</f>
        <v>74.89</v>
      </c>
      <c r="H31" s="38">
        <f>IFERROR((PozycjeMG[]+PozycjeMM[])/2,"-")</f>
        <v>71.39</v>
      </c>
      <c r="I31" s="38">
        <f>IFERROR((PozycjeMG[]+PozycjeMM[])/2,"-")</f>
        <v>73.265000000000001</v>
      </c>
      <c r="J31" s="38">
        <f>IFERROR((PozycjeMG[]+PozycjeMM[])/2,"-")</f>
        <v>65.015000000000001</v>
      </c>
      <c r="K31" s="38">
        <f>IFERROR((PozycjeMG[]+PozycjeMM[])/2,"-")</f>
        <v>58.515000000000001</v>
      </c>
    </row>
    <row r="32" spans="1:11" x14ac:dyDescent="0.25">
      <c r="A32" s="84">
        <v>17</v>
      </c>
      <c r="B32" s="3" t="str">
        <f>IFERROR(VLOOKUP(PozycjeŚr[[#This Row],[Numer]],Zawodnicy[[Number]:[Player name]],2,FALSE),"-")</f>
        <v>Hieronim Wejta</v>
      </c>
      <c r="C32" s="38">
        <f>IFERROR((PozycjeMG[]+PozycjeMM[])/2,"-")</f>
        <v>28.259999999999998</v>
      </c>
      <c r="D32" s="38">
        <f>IFERROR((PozycjeMG[]+PozycjeMM[])/2,"-")</f>
        <v>66.635000000000005</v>
      </c>
      <c r="E32" s="38">
        <f>IFERROR((PozycjeMG[]+PozycjeMM[])/2,"-")</f>
        <v>65.260000000000005</v>
      </c>
      <c r="F32" s="38">
        <f>IFERROR((PozycjeMG[]+PozycjeMM[])/2,"-")</f>
        <v>63.385000000000005</v>
      </c>
      <c r="G32" s="38">
        <f>IFERROR((PozycjeMG[]+PozycjeMM[])/2,"-")</f>
        <v>62.635000000000005</v>
      </c>
      <c r="H32" s="38">
        <f>IFERROR((PozycjeMG[]+PozycjeMM[])/2,"-")</f>
        <v>59.010000000000005</v>
      </c>
      <c r="I32" s="38">
        <f>IFERROR((PozycjeMG[]+PozycjeMM[])/2,"-")</f>
        <v>54.510000000000005</v>
      </c>
      <c r="J32" s="38">
        <f>IFERROR((PozycjeMG[]+PozycjeMM[])/2,"-")</f>
        <v>53.135000000000005</v>
      </c>
      <c r="K32" s="38">
        <f>IFERROR((PozycjeMG[]+PozycjeMM[])/2,"-")</f>
        <v>44.135000000000005</v>
      </c>
    </row>
    <row r="33" spans="1:11" x14ac:dyDescent="0.25">
      <c r="A33" s="84">
        <v>18</v>
      </c>
      <c r="B33" s="3" t="str">
        <f>IFERROR(VLOOKUP(PozycjeŚr[[#This Row],[Numer]],Zawodnicy[[Number]:[Player name]],2,FALSE),"-")</f>
        <v>Armando Astudillo</v>
      </c>
      <c r="C33" s="38">
        <f>IFERROR((PozycjeMG[]+PozycjeMM[])/2,"-")</f>
        <v>30.5</v>
      </c>
      <c r="D33" s="38">
        <f>IFERROR((PozycjeMG[]+PozycjeMM[])/2,"-")</f>
        <v>75.5</v>
      </c>
      <c r="E33" s="38">
        <f>IFERROR((PozycjeMG[]+PozycjeMM[])/2,"-")</f>
        <v>74.5</v>
      </c>
      <c r="F33" s="38">
        <f>IFERROR((PozycjeMG[]+PozycjeMM[])/2,"-")</f>
        <v>66.5</v>
      </c>
      <c r="G33" s="38">
        <f>IFERROR((PozycjeMG[]+PozycjeMM[])/2,"-")</f>
        <v>63.5</v>
      </c>
      <c r="H33" s="38">
        <f>IFERROR((PozycjeMG[]+PozycjeMM[])/2,"-")</f>
        <v>61.375</v>
      </c>
      <c r="I33" s="38">
        <f>IFERROR((PozycjeMG[]+PozycjeMM[])/2,"-")</f>
        <v>57.125</v>
      </c>
      <c r="J33" s="38">
        <f>IFERROR((PozycjeMG[]+PozycjeMM[])/2,"-")</f>
        <v>57.875</v>
      </c>
      <c r="K33" s="38">
        <f>IFERROR((PozycjeMG[]+PozycjeMM[])/2,"-")</f>
        <v>56.75</v>
      </c>
    </row>
    <row r="34" spans="1:11" x14ac:dyDescent="0.25">
      <c r="A34" s="84">
        <v>19</v>
      </c>
      <c r="B34" s="3" t="str">
        <f>IFERROR(VLOOKUP(PozycjeŚr[[#This Row],[Numer]],Zawodnicy[[Number]:[Player name]],2,FALSE),"-")</f>
        <v>Eugeniusz Huk</v>
      </c>
      <c r="C34" s="38">
        <f>IFERROR((PozycjeMG[]+PozycjeMM[])/2,"-")</f>
        <v>26.009999999999998</v>
      </c>
      <c r="D34" s="38">
        <f>IFERROR((PozycjeMG[]+PozycjeMM[])/2,"-")</f>
        <v>46.135000000000005</v>
      </c>
      <c r="E34" s="38">
        <f>IFERROR((PozycjeMG[]+PozycjeMM[])/2,"-")</f>
        <v>48.010000000000005</v>
      </c>
      <c r="F34" s="38">
        <f>IFERROR((PozycjeMG[]+PozycjeMM[])/2,"-")</f>
        <v>57.885000000000005</v>
      </c>
      <c r="G34" s="38">
        <f>IFERROR((PozycjeMG[]+PozycjeMM[])/2,"-")</f>
        <v>59.135000000000005</v>
      </c>
      <c r="H34" s="38">
        <f>IFERROR((PozycjeMG[]+PozycjeMM[])/2,"-")</f>
        <v>60.760000000000005</v>
      </c>
      <c r="I34" s="38">
        <f>IFERROR((PozycjeMG[]+PozycjeMM[])/2,"-")</f>
        <v>69.759999999999991</v>
      </c>
      <c r="J34" s="38">
        <f>IFERROR((PozycjeMG[]+PozycjeMM[])/2,"-")</f>
        <v>63.635000000000005</v>
      </c>
      <c r="K34" s="38">
        <f>IFERROR((PozycjeMG[]+PozycjeMM[])/2,"-")</f>
        <v>74.884999999999991</v>
      </c>
    </row>
    <row r="35" spans="1:11" x14ac:dyDescent="0.25">
      <c r="A35" s="84">
        <v>20</v>
      </c>
      <c r="B35" s="3" t="str">
        <f>IFERROR(VLOOKUP(PozycjeŚr[[#This Row],[Numer]],Zawodnicy[[Number]:[Player name]],2,FALSE),"-")</f>
        <v>Wincent Janiczek</v>
      </c>
      <c r="C35" s="38">
        <f>IFERROR((PozycjeMG[]+PozycjeMM[])/2,"-")</f>
        <v>28.515000000000001</v>
      </c>
      <c r="D35" s="38">
        <f>IFERROR((PozycjeMG[]+PozycjeMM[])/2,"-")</f>
        <v>49.015000000000001</v>
      </c>
      <c r="E35" s="38">
        <f>IFERROR((PozycjeMG[]+PozycjeMM[])/2,"-")</f>
        <v>53.64</v>
      </c>
      <c r="F35" s="38">
        <f>IFERROR((PozycjeMG[]+PozycjeMM[])/2,"-")</f>
        <v>52.265000000000001</v>
      </c>
      <c r="G35" s="38">
        <f>IFERROR((PozycjeMG[]+PozycjeMM[])/2,"-")</f>
        <v>53.765000000000001</v>
      </c>
      <c r="H35" s="38">
        <f>IFERROR((PozycjeMG[]+PozycjeMM[])/2,"-")</f>
        <v>59.39</v>
      </c>
      <c r="I35" s="38">
        <f>IFERROR((PozycjeMG[]+PozycjeMM[])/2,"-")</f>
        <v>57.89</v>
      </c>
      <c r="J35" s="38">
        <f>IFERROR((PozycjeMG[]+PozycjeMM[])/2,"-")</f>
        <v>55.515000000000001</v>
      </c>
      <c r="K35" s="38">
        <f>IFERROR((PozycjeMG[]+PozycjeMM[])/2,"-")</f>
        <v>54.765000000000001</v>
      </c>
    </row>
    <row r="36" spans="1:11" x14ac:dyDescent="0.25">
      <c r="A36" s="84">
        <v>22</v>
      </c>
      <c r="B36" s="67" t="str">
        <f>IFERROR(VLOOKUP(PozycjeŚr[[#This Row],[Numer]],Zawodnicy[[Number]:[Player name]],2,FALSE),"-")</f>
        <v>Daniel Dziewulski</v>
      </c>
      <c r="C36" s="38">
        <f>IFERROR((PozycjeMG[]+PozycjeMM[])/2,"-")</f>
        <v>24.005000000000003</v>
      </c>
      <c r="D36" s="38">
        <f>IFERROR((PozycjeMG[]+PozycjeMM[])/2,"-")</f>
        <v>37.254999999999995</v>
      </c>
      <c r="E36" s="38">
        <f>IFERROR((PozycjeMG[]+PozycjeMM[])/2,"-")</f>
        <v>43.004999999999995</v>
      </c>
      <c r="F36" s="38">
        <f>IFERROR((PozycjeMG[]+PozycjeMM[])/2,"-")</f>
        <v>47.004999999999995</v>
      </c>
      <c r="G36" s="38">
        <f>IFERROR((PozycjeMG[]+PozycjeMM[])/2,"-")</f>
        <v>49.504999999999995</v>
      </c>
      <c r="H36" s="38">
        <f>IFERROR((PozycjeMG[]+PozycjeMM[])/2,"-")</f>
        <v>54.504999999999995</v>
      </c>
      <c r="I36" s="38">
        <f>IFERROR((PozycjeMG[]+PozycjeMM[])/2,"-")</f>
        <v>51.379999999999995</v>
      </c>
      <c r="J36" s="38">
        <f>IFERROR((PozycjeMG[]+PozycjeMM[])/2,"-")</f>
        <v>49.379999999999995</v>
      </c>
      <c r="K36" s="38">
        <f>IFERROR((PozycjeMG[]+PozycjeMM[])/2,"-")</f>
        <v>41.379999999999995</v>
      </c>
    </row>
    <row r="37" spans="1:11" x14ac:dyDescent="0.25">
      <c r="A37" s="84">
        <v>25</v>
      </c>
      <c r="B37" s="67" t="str">
        <f>IFERROR(VLOOKUP(PozycjeŚr[[#This Row],[Numer]],Zawodnicy[[Number]:[Player name]],2,FALSE),"-")</f>
        <v>Jakub Ludwiczak</v>
      </c>
      <c r="C37" s="38">
        <f>IFERROR((PozycjeMG[]+PozycjeMM[])/2,"-")</f>
        <v>25.005000000000003</v>
      </c>
      <c r="D37" s="38">
        <f>IFERROR((PozycjeMG[]+PozycjeMM[])/2,"-")</f>
        <v>39.129999999999995</v>
      </c>
      <c r="E37" s="38">
        <f>IFERROR((PozycjeMG[]+PozycjeMM[])/2,"-")</f>
        <v>44.129999999999995</v>
      </c>
      <c r="F37" s="38">
        <f>IFERROR((PozycjeMG[]+PozycjeMM[])/2,"-")</f>
        <v>52.004999999999995</v>
      </c>
      <c r="G37" s="38">
        <f>IFERROR((PozycjeMG[]+PozycjeMM[])/2,"-")</f>
        <v>55.754999999999995</v>
      </c>
      <c r="H37" s="38">
        <f>IFERROR((PozycjeMG[]+PozycjeMM[])/2,"-")</f>
        <v>60.254999999999995</v>
      </c>
      <c r="I37" s="38">
        <f>IFERROR((PozycjeMG[]+PozycjeMM[])/2,"-")</f>
        <v>60.254999999999995</v>
      </c>
      <c r="J37" s="38">
        <f>IFERROR((PozycjeMG[]+PozycjeMM[])/2,"-")</f>
        <v>54.004999999999995</v>
      </c>
      <c r="K37" s="38">
        <f>IFERROR((PozycjeMG[]+PozycjeMM[])/2,"-")</f>
        <v>47.504999999999995</v>
      </c>
    </row>
    <row r="38" spans="1:11" x14ac:dyDescent="0.25">
      <c r="A38" s="84">
        <v>26</v>
      </c>
      <c r="B38" s="67" t="str">
        <f>IFERROR(VLOOKUP(PozycjeŚr[[#This Row],[Numer]],Zawodnicy[[Number]:[Player name]],2,FALSE),"-")</f>
        <v>Ignacy Lato</v>
      </c>
      <c r="C38" s="38">
        <f>IFERROR((PozycjeMG[]+PozycjeMM[])/2,"-")</f>
        <v>17.004999999999999</v>
      </c>
      <c r="D38" s="38">
        <f>IFERROR((PozycjeMG[]+PozycjeMM[])/2,"-")</f>
        <v>31.254999999999999</v>
      </c>
      <c r="E38" s="38">
        <f>IFERROR((PozycjeMG[]+PozycjeMM[])/2,"-")</f>
        <v>38.129999999999995</v>
      </c>
      <c r="F38" s="38">
        <f>IFERROR((PozycjeMG[]+PozycjeMM[])/2,"-")</f>
        <v>41.629999999999995</v>
      </c>
      <c r="G38" s="38">
        <f>IFERROR((PozycjeMG[]+PozycjeMM[])/2,"-")</f>
        <v>44.629999999999995</v>
      </c>
      <c r="H38" s="38">
        <f>IFERROR((PozycjeMG[]+PozycjeMM[])/2,"-")</f>
        <v>52.504999999999995</v>
      </c>
      <c r="I38" s="38">
        <f>IFERROR((PozycjeMG[]+PozycjeMM[])/2,"-")</f>
        <v>55.254999999999995</v>
      </c>
      <c r="J38" s="38">
        <f>IFERROR((PozycjeMG[]+PozycjeMM[])/2,"-")</f>
        <v>51.379999999999995</v>
      </c>
      <c r="K38" s="38">
        <f>IFERROR((PozycjeMG[]+PozycjeMM[])/2,"-")</f>
        <v>55.379999999999995</v>
      </c>
    </row>
    <row r="39" spans="1:11" x14ac:dyDescent="0.25">
      <c r="A39" s="84">
        <v>27</v>
      </c>
      <c r="B39" s="67" t="str">
        <f>IFERROR(VLOOKUP(PozycjeŚr[[#This Row],[Numer]],Zawodnicy[[Number]:[Player name]],2,FALSE),"-")</f>
        <v>Sylwester Kaszubowski</v>
      </c>
      <c r="C39" s="38">
        <f>IFERROR((PozycjeMG[]+PozycjeMM[])/2,"-")</f>
        <v>20.509999999999998</v>
      </c>
      <c r="D39" s="38">
        <f>IFERROR((PozycjeMG[]+PozycjeMM[])/2,"-")</f>
        <v>37.885000000000005</v>
      </c>
      <c r="E39" s="38">
        <f>IFERROR((PozycjeMG[]+PozycjeMM[])/2,"-")</f>
        <v>43.010000000000005</v>
      </c>
      <c r="F39" s="38">
        <f>IFERROR((PozycjeMG[]+PozycjeMM[])/2,"-")</f>
        <v>47.760000000000005</v>
      </c>
      <c r="G39" s="38">
        <f>IFERROR((PozycjeMG[]+PozycjeMM[])/2,"-")</f>
        <v>50.010000000000005</v>
      </c>
      <c r="H39" s="38">
        <f>IFERROR((PozycjeMG[]+PozycjeMM[])/2,"-")</f>
        <v>54.635000000000005</v>
      </c>
      <c r="I39" s="38">
        <f>IFERROR((PozycjeMG[]+PozycjeMM[])/2,"-")</f>
        <v>54.010000000000005</v>
      </c>
      <c r="J39" s="38">
        <f>IFERROR((PozycjeMG[]+PozycjeMM[])/2,"-")</f>
        <v>48.135000000000005</v>
      </c>
      <c r="K39" s="38">
        <f>IFERROR((PozycjeMG[]+PozycjeMM[])/2,"-")</f>
        <v>44.385000000000005</v>
      </c>
    </row>
    <row r="40" spans="1:11" x14ac:dyDescent="0.25">
      <c r="A40" s="84">
        <v>60</v>
      </c>
      <c r="B40" s="67" t="str">
        <f>IFERROR(VLOOKUP(PozycjeŚr[[#This Row],[Numer]],Zawodnicy[[Number]:[Player name]],2,FALSE),"-")</f>
        <v>Filip Blochowiak</v>
      </c>
      <c r="C40" s="38">
        <f>IFERROR((PozycjeMG[]+PozycjeMM[])/2,"-")</f>
        <v>31.78</v>
      </c>
      <c r="D40" s="38">
        <f>IFERROR((PozycjeMG[]+PozycjeMM[])/2,"-")</f>
        <v>78.155000000000001</v>
      </c>
      <c r="E40" s="38">
        <f>IFERROR((PozycjeMG[]+PozycjeMM[])/2,"-")</f>
        <v>76.655000000000001</v>
      </c>
      <c r="F40" s="38">
        <f>IFERROR((PozycjeMG[]+PozycjeMM[])/2,"-")</f>
        <v>74.405000000000001</v>
      </c>
      <c r="G40" s="38">
        <f>IFERROR((PozycjeMG[]+PozycjeMM[])/2,"-")</f>
        <v>72.655000000000001</v>
      </c>
      <c r="H40" s="38">
        <f>IFERROR((PozycjeMG[]+PozycjeMM[])/2,"-")</f>
        <v>70.53</v>
      </c>
      <c r="I40" s="38">
        <f>IFERROR((PozycjeMG[]+PozycjeMM[])/2,"-")</f>
        <v>66.905000000000001</v>
      </c>
      <c r="J40" s="38">
        <f>IFERROR((PozycjeMG[]+PozycjeMM[])/2,"-")</f>
        <v>65.905000000000001</v>
      </c>
      <c r="K40" s="38">
        <f>IFERROR((PozycjeMG[]+PozycjeMM[])/2,"-")</f>
        <v>61.78</v>
      </c>
    </row>
    <row r="42" spans="1:11" ht="15.75" thickBot="1" x14ac:dyDescent="0.3">
      <c r="A42" s="15" t="s">
        <v>36</v>
      </c>
      <c r="B42" s="13" t="s">
        <v>37</v>
      </c>
      <c r="C42" s="23" t="s">
        <v>771</v>
      </c>
      <c r="D42" s="23" t="s">
        <v>772</v>
      </c>
      <c r="E42" s="23" t="s">
        <v>773</v>
      </c>
      <c r="F42" s="23" t="s">
        <v>774</v>
      </c>
      <c r="G42" s="23" t="s">
        <v>775</v>
      </c>
      <c r="H42" s="23" t="s">
        <v>776</v>
      </c>
      <c r="I42" s="23" t="s">
        <v>777</v>
      </c>
      <c r="J42" s="23" t="s">
        <v>778</v>
      </c>
      <c r="K42" s="23" t="s">
        <v>46</v>
      </c>
    </row>
    <row r="43" spans="1:11" x14ac:dyDescent="0.25">
      <c r="A43" s="97">
        <v>31</v>
      </c>
      <c r="B43" s="3" t="str">
        <f>IFERROR(VLOOKUP(PozJunNŚr[[#This Row],[Numer]],Zawodnicy[[Number]:[Player name]],2,FALSE),"-")</f>
        <v>Jacek Swoboda</v>
      </c>
      <c r="C43" s="38">
        <f ca="1">IFERROR((PozJunNMG[]+PozJunNMM[])/2,"-")</f>
        <v>50.78</v>
      </c>
      <c r="D43" s="38">
        <f ca="1">IFERROR((PozJunNMG[]+PozJunNMM[])/2,"-")</f>
        <v>64.28</v>
      </c>
      <c r="E43" s="38">
        <f ca="1">IFERROR((PozJunNMG[]+PozJunNMM[])/2,"-")</f>
        <v>64.155000000000001</v>
      </c>
      <c r="F43" s="38">
        <f ca="1">IFERROR((PozJunNMG[]+PozJunNMM[])/2,"-")</f>
        <v>63.905000000000001</v>
      </c>
      <c r="G43" s="38">
        <f ca="1">IFERROR((PozJunNMG[]+PozJunNMM[])/2,"-")</f>
        <v>63.905000000000001</v>
      </c>
      <c r="H43" s="38">
        <f ca="1">IFERROR((PozJunNMG[]+PozJunNMM[])/2,"-")</f>
        <v>64.28</v>
      </c>
      <c r="I43" s="38">
        <f ca="1">IFERROR((PozJunNMG[]+PozJunNMM[])/2,"-")</f>
        <v>60.53</v>
      </c>
      <c r="J43" s="38">
        <f ca="1">IFERROR((PozJunNMG[]+PozJunNMM[])/2,"-")</f>
        <v>63.155000000000001</v>
      </c>
      <c r="K43" s="38">
        <f ca="1">IFERROR((PozJunNMG[]+PozJunNMM[])/2,"-")</f>
        <v>57.155000000000001</v>
      </c>
    </row>
    <row r="44" spans="1:11" x14ac:dyDescent="0.25">
      <c r="A44" s="97">
        <v>38</v>
      </c>
      <c r="B44" s="3" t="str">
        <f>IFERROR(VLOOKUP(PozJunNŚr[[#This Row],[Numer]],Zawodnicy[[Number]:[Player name]],2,FALSE),"-")</f>
        <v>Boleslaw Kolbert</v>
      </c>
      <c r="C44" s="38">
        <f ca="1">IFERROR((PozJunNMG[]+PozJunNMM[])/2,"-")</f>
        <v>42.78</v>
      </c>
      <c r="D44" s="38">
        <f ca="1">IFERROR((PozJunNMG[]+PozJunNMM[])/2,"-")</f>
        <v>69.905000000000001</v>
      </c>
      <c r="E44" s="38">
        <f ca="1">IFERROR((PozJunNMG[]+PozJunNMM[])/2,"-")</f>
        <v>67.78</v>
      </c>
      <c r="F44" s="38">
        <f ca="1">IFERROR((PozJunNMG[]+PozJunNMM[])/2,"-")</f>
        <v>65.78</v>
      </c>
      <c r="G44" s="38">
        <f ca="1">IFERROR((PozJunNMG[]+PozJunNMM[])/2,"-")</f>
        <v>63.53</v>
      </c>
      <c r="H44" s="38">
        <f ca="1">IFERROR((PozJunNMG[]+PozJunNMM[])/2,"-")</f>
        <v>60.78</v>
      </c>
      <c r="I44" s="38">
        <f ca="1">IFERROR((PozJunNMG[]+PozJunNMM[])/2,"-")</f>
        <v>60.155000000000001</v>
      </c>
      <c r="J44" s="38">
        <f ca="1">IFERROR((PozJunNMG[]+PozJunNMM[])/2,"-")</f>
        <v>59.78</v>
      </c>
      <c r="K44" s="38">
        <f ca="1">IFERROR((PozJunNMG[]+PozJunNMM[])/2,"-")</f>
        <v>61.405000000000001</v>
      </c>
    </row>
    <row r="45" spans="1:11" x14ac:dyDescent="0.25">
      <c r="A45" s="97">
        <v>39</v>
      </c>
      <c r="B45" s="3" t="str">
        <f>IFERROR(VLOOKUP(PozJunNŚr[[#This Row],[Numer]],Zawodnicy[[Number]:[Player name]],2,FALSE),"-")</f>
        <v>Damazy Pionek</v>
      </c>
      <c r="C45" s="38">
        <f ca="1">IFERROR((PozJunNMG[]+PozJunNMM[])/2,"-")</f>
        <v>85.039999999999992</v>
      </c>
      <c r="D45" s="38">
        <f ca="1">IFERROR((PozJunNMG[]+PozJunNMM[])/2,"-")</f>
        <v>78.164999999999992</v>
      </c>
      <c r="E45" s="38">
        <f ca="1">IFERROR((PozJunNMG[]+PozJunNMM[])/2,"-")</f>
        <v>77.789999999999992</v>
      </c>
      <c r="F45" s="38">
        <f ca="1">IFERROR((PozJunNMG[]+PozJunNMM[])/2,"-")</f>
        <v>78.914999999999992</v>
      </c>
      <c r="G45" s="38">
        <f ca="1">IFERROR((PozJunNMG[]+PozJunNMM[])/2,"-")</f>
        <v>79.164999999999992</v>
      </c>
      <c r="H45" s="38">
        <f ca="1">IFERROR((PozJunNMG[]+PozJunNMM[])/2,"-")</f>
        <v>79.414999999999992</v>
      </c>
      <c r="I45" s="38">
        <f ca="1">IFERROR((PozJunNMG[]+PozJunNMM[])/2,"-")</f>
        <v>78.539999999999992</v>
      </c>
      <c r="J45" s="38">
        <f ca="1">IFERROR((PozJunNMG[]+PozJunNMM[])/2,"-")</f>
        <v>76.164999999999992</v>
      </c>
      <c r="K45" s="38">
        <f ca="1">IFERROR((PozJunNMG[]+PozJunNMM[])/2,"-")</f>
        <v>74.039999999999992</v>
      </c>
    </row>
    <row r="46" spans="1:11" x14ac:dyDescent="0.25">
      <c r="A46" s="97">
        <v>40</v>
      </c>
      <c r="B46" s="3" t="str">
        <f>IFERROR(VLOOKUP(PozJunNŚr[[#This Row],[Numer]],Zawodnicy[[Number]:[Player name]],2,FALSE),"-")</f>
        <v>Benedykt Adamus</v>
      </c>
      <c r="C46" s="38">
        <f ca="1">IFERROR((PozJunNMG[]+PozJunNMM[])/2,"-")</f>
        <v>74.039999999999992</v>
      </c>
      <c r="D46" s="38">
        <f ca="1">IFERROR((PozJunNMG[]+PozJunNMM[])/2,"-")</f>
        <v>75.414999999999992</v>
      </c>
      <c r="E46" s="38">
        <f ca="1">IFERROR((PozJunNMG[]+PozJunNMM[])/2,"-")</f>
        <v>76.039999999999992</v>
      </c>
      <c r="F46" s="38">
        <f ca="1">IFERROR((PozJunNMG[]+PozJunNMM[])/2,"-")</f>
        <v>81.414999999999992</v>
      </c>
      <c r="G46" s="38">
        <f ca="1">IFERROR((PozJunNMG[]+PozJunNMM[])/2,"-")</f>
        <v>83.164999999999992</v>
      </c>
      <c r="H46" s="38">
        <f ca="1">IFERROR((PozJunNMG[]+PozJunNMM[])/2,"-")</f>
        <v>82.789999999999992</v>
      </c>
      <c r="I46" s="38">
        <f ca="1">IFERROR((PozJunNMG[]+PozJunNMM[])/2,"-")</f>
        <v>85.414999999999992</v>
      </c>
      <c r="J46" s="38">
        <f ca="1">IFERROR((PozJunNMG[]+PozJunNMM[])/2,"-")</f>
        <v>82.289999999999992</v>
      </c>
      <c r="K46" s="38">
        <f ca="1">IFERROR((PozJunNMG[]+PozJunNMM[])/2,"-")</f>
        <v>81.289999999999992</v>
      </c>
    </row>
    <row r="47" spans="1:11" x14ac:dyDescent="0.25">
      <c r="A47" s="97">
        <v>42</v>
      </c>
      <c r="B47" s="3" t="str">
        <f>IFERROR(VLOOKUP(PozJunNŚr[[#This Row],[Numer]],Zawodnicy[[Number]:[Player name]],2,FALSE),"-")</f>
        <v>Olaf Skikiewicz</v>
      </c>
      <c r="C47" s="38">
        <f ca="1">IFERROR((PozJunNMG[]+PozJunNMM[])/2,"-")</f>
        <v>63.784999999999997</v>
      </c>
      <c r="D47" s="38">
        <f ca="1">IFERROR((PozJunNMG[]+PozJunNMM[])/2,"-")</f>
        <v>69.41</v>
      </c>
      <c r="E47" s="38">
        <f ca="1">IFERROR((PozJunNMG[]+PozJunNMM[])/2,"-")</f>
        <v>71.284999999999997</v>
      </c>
      <c r="F47" s="38">
        <f ca="1">IFERROR((PozJunNMG[]+PozJunNMM[])/2,"-")</f>
        <v>70.91</v>
      </c>
      <c r="G47" s="38">
        <f ca="1">IFERROR((PozJunNMG[]+PozJunNMM[])/2,"-")</f>
        <v>71.66</v>
      </c>
      <c r="H47" s="38">
        <f ca="1">IFERROR((PozJunNMG[]+PozJunNMM[])/2,"-")</f>
        <v>74.034999999999997</v>
      </c>
      <c r="I47" s="38">
        <f ca="1">IFERROR((PozJunNMG[]+PozJunNMM[])/2,"-")</f>
        <v>72.534999999999997</v>
      </c>
      <c r="J47" s="38">
        <f ca="1">IFERROR((PozJunNMG[]+PozJunNMM[])/2,"-")</f>
        <v>74.41</v>
      </c>
      <c r="K47" s="38">
        <f ca="1">IFERROR((PozJunNMG[]+PozJunNMM[])/2,"-")</f>
        <v>72.41</v>
      </c>
    </row>
    <row r="48" spans="1:11" x14ac:dyDescent="0.25">
      <c r="A48" s="97">
        <v>45</v>
      </c>
      <c r="B48" s="3" t="str">
        <f>IFERROR(VLOOKUP(PozJunNŚr[[#This Row],[Numer]],Zawodnicy[[Number]:[Player name]],2,FALSE),"-")</f>
        <v>Janusz Sierocki</v>
      </c>
      <c r="C48" s="38">
        <f ca="1">IFERROR((PozJunNMG[]+PozJunNMM[])/2,"-")</f>
        <v>45.03</v>
      </c>
      <c r="D48" s="38">
        <f ca="1">IFERROR((PozJunNMG[]+PozJunNMM[])/2,"-")</f>
        <v>69.78</v>
      </c>
      <c r="E48" s="38">
        <f ca="1">IFERROR((PozJunNMG[]+PozJunNMM[])/2,"-")</f>
        <v>68.405000000000001</v>
      </c>
      <c r="F48" s="38">
        <f ca="1">IFERROR((PozJunNMG[]+PozJunNMM[])/2,"-")</f>
        <v>67.03</v>
      </c>
      <c r="G48" s="38">
        <f ca="1">IFERROR((PozJunNMG[]+PozJunNMM[])/2,"-")</f>
        <v>66.53</v>
      </c>
      <c r="H48" s="38">
        <f ca="1">IFERROR((PozJunNMG[]+PozJunNMM[])/2,"-")</f>
        <v>63.53</v>
      </c>
      <c r="I48" s="38">
        <f ca="1">IFERROR((PozJunNMG[]+PozJunNMM[])/2,"-")</f>
        <v>63.655000000000001</v>
      </c>
      <c r="J48" s="38">
        <f ca="1">IFERROR((PozJunNMG[]+PozJunNMM[])/2,"-")</f>
        <v>63.78</v>
      </c>
      <c r="K48" s="38">
        <f ca="1">IFERROR((PozJunNMG[]+PozJunNMM[])/2,"-")</f>
        <v>62.905000000000001</v>
      </c>
    </row>
    <row r="49" spans="1:11" x14ac:dyDescent="0.25">
      <c r="A49" s="97">
        <v>46</v>
      </c>
      <c r="B49" s="3" t="str">
        <f>IFERROR(VLOOKUP(PozJunNŚr[[#This Row],[Numer]],Zawodnicy[[Number]:[Player name]],2,FALSE),"-")</f>
        <v>Iwo Duszenski</v>
      </c>
      <c r="C49" s="38">
        <f ca="1">IFERROR((PozJunNMG[]+PozJunNMM[])/2,"-")</f>
        <v>46.79</v>
      </c>
      <c r="D49" s="38">
        <f ca="1">IFERROR((PozJunNMG[]+PozJunNMM[])/2,"-")</f>
        <v>67.539999999999992</v>
      </c>
      <c r="E49" s="38">
        <f ca="1">IFERROR((PozJunNMG[]+PozJunNMM[])/2,"-")</f>
        <v>66.664999999999992</v>
      </c>
      <c r="F49" s="38">
        <f ca="1">IFERROR((PozJunNMG[]+PozJunNMM[])/2,"-")</f>
        <v>68.039999999999992</v>
      </c>
      <c r="G49" s="38">
        <f ca="1">IFERROR((PozJunNMG[]+PozJunNMM[])/2,"-")</f>
        <v>67.039999999999992</v>
      </c>
      <c r="H49" s="38">
        <f ca="1">IFERROR((PozJunNMG[]+PozJunNMM[])/2,"-")</f>
        <v>65.789999999999992</v>
      </c>
      <c r="I49" s="38">
        <f ca="1">IFERROR((PozJunNMG[]+PozJunNMM[])/2,"-")</f>
        <v>70.414999999999992</v>
      </c>
      <c r="J49" s="38">
        <f ca="1">IFERROR((PozJunNMG[]+PozJunNMM[])/2,"-")</f>
        <v>69.539999999999992</v>
      </c>
      <c r="K49" s="38">
        <f ca="1">IFERROR((PozJunNMG[]+PozJunNMM[])/2,"-")</f>
        <v>77.914999999999992</v>
      </c>
    </row>
    <row r="50" spans="1:11" x14ac:dyDescent="0.25">
      <c r="A50" s="97">
        <v>48</v>
      </c>
      <c r="B50" s="3" t="str">
        <f>IFERROR(VLOOKUP(PozJunNŚr[[#This Row],[Numer]],Zawodnicy[[Number]:[Player name]],2,FALSE),"-")</f>
        <v>Wincenty Zawaski</v>
      </c>
      <c r="C50" s="38">
        <f ca="1">IFERROR((PozJunNMG[]+PozJunNMM[])/2,"-")</f>
        <v>50.519999999999996</v>
      </c>
      <c r="D50" s="38">
        <f ca="1">IFERROR((PozJunNMG[]+PozJunNMM[])/2,"-")</f>
        <v>64.02</v>
      </c>
      <c r="E50" s="38">
        <f ca="1">IFERROR((PozJunNMG[]+PozJunNMM[])/2,"-")</f>
        <v>64.02</v>
      </c>
      <c r="F50" s="38">
        <f ca="1">IFERROR((PozJunNMG[]+PozJunNMM[])/2,"-")</f>
        <v>63.519999999999996</v>
      </c>
      <c r="G50" s="38">
        <f ca="1">IFERROR((PozJunNMG[]+PozJunNMM[])/2,"-")</f>
        <v>64.02</v>
      </c>
      <c r="H50" s="38">
        <f ca="1">IFERROR((PozJunNMG[]+PozJunNMM[])/2,"-")</f>
        <v>64.52</v>
      </c>
      <c r="I50" s="38">
        <f ca="1">IFERROR((PozJunNMG[]+PozJunNMM[])/2,"-")</f>
        <v>63.519999999999996</v>
      </c>
      <c r="J50" s="38">
        <f ca="1">IFERROR((PozJunNMG[]+PozJunNMM[])/2,"-")</f>
        <v>65.02</v>
      </c>
      <c r="K50" s="38">
        <f ca="1">IFERROR((PozJunNMG[]+PozJunNMM[])/2,"-")</f>
        <v>63.019999999999996</v>
      </c>
    </row>
    <row r="51" spans="1:11" x14ac:dyDescent="0.25">
      <c r="A51" s="97">
        <v>49</v>
      </c>
      <c r="B51" s="3" t="str">
        <f>IFERROR(VLOOKUP(PozJunNŚr[[#This Row],[Numer]],Zawodnicy[[Number]:[Player name]],2,FALSE),"-")</f>
        <v>Dobromir Kolacki</v>
      </c>
      <c r="C51" s="38">
        <f ca="1">IFERROR((PozJunNMG[]+PozJunNMM[])/2,"-")</f>
        <v>85.795000000000002</v>
      </c>
      <c r="D51" s="38">
        <f ca="1">IFERROR((PozJunNMG[]+PozJunNMM[])/2,"-")</f>
        <v>67.545000000000002</v>
      </c>
      <c r="E51" s="38">
        <f ca="1">IFERROR((PozJunNMG[]+PozJunNMM[])/2,"-")</f>
        <v>66.17</v>
      </c>
      <c r="F51" s="38">
        <f ca="1">IFERROR((PozJunNMG[]+PozJunNMM[])/2,"-")</f>
        <v>66.17</v>
      </c>
      <c r="G51" s="38">
        <f ca="1">IFERROR((PozJunNMG[]+PozJunNMM[])/2,"-")</f>
        <v>66.67</v>
      </c>
      <c r="H51" s="38">
        <f ca="1">IFERROR((PozJunNMG[]+PozJunNMM[])/2,"-")</f>
        <v>65.92</v>
      </c>
      <c r="I51" s="38">
        <f ca="1">IFERROR((PozJunNMG[]+PozJunNMM[])/2,"-")</f>
        <v>62.17</v>
      </c>
      <c r="J51" s="38">
        <f ca="1">IFERROR((PozJunNMG[]+PozJunNMM[])/2,"-")</f>
        <v>64.295000000000002</v>
      </c>
      <c r="K51" s="38">
        <f ca="1">IFERROR((PozJunNMG[]+PozJunNMM[])/2,"-")</f>
        <v>56.42</v>
      </c>
    </row>
    <row r="52" spans="1:11" x14ac:dyDescent="0.25">
      <c r="A52" s="97">
        <v>50</v>
      </c>
      <c r="B52" s="3" t="str">
        <f>IFERROR(VLOOKUP(PozJunNŚr[[#This Row],[Numer]],Zawodnicy[[Number]:[Player name]],2,FALSE),"-")</f>
        <v>Ludomil Robak</v>
      </c>
      <c r="C52" s="38">
        <f ca="1">IFERROR((PozJunNMG[]+PozJunNMM[])/2,"-")</f>
        <v>60.534999999999997</v>
      </c>
      <c r="D52" s="38">
        <f ca="1">IFERROR((PozJunNMG[]+PozJunNMM[])/2,"-")</f>
        <v>71.534999999999997</v>
      </c>
      <c r="E52" s="38">
        <f ca="1">IFERROR((PozJunNMG[]+PozJunNMM[])/2,"-")</f>
        <v>71.16</v>
      </c>
      <c r="F52" s="38">
        <f ca="1">IFERROR((PozJunNMG[]+PozJunNMM[])/2,"-")</f>
        <v>72.41</v>
      </c>
      <c r="G52" s="38">
        <f ca="1">IFERROR((PozJunNMG[]+PozJunNMM[])/2,"-")</f>
        <v>72.41</v>
      </c>
      <c r="H52" s="38">
        <f ca="1">IFERROR((PozJunNMG[]+PozJunNMM[])/2,"-")</f>
        <v>71.91</v>
      </c>
      <c r="I52" s="38">
        <f ca="1">IFERROR((PozJunNMG[]+PozJunNMM[])/2,"-")</f>
        <v>72.284999999999997</v>
      </c>
      <c r="J52" s="38">
        <f ca="1">IFERROR((PozJunNMG[]+PozJunNMM[])/2,"-")</f>
        <v>71.66</v>
      </c>
      <c r="K52" s="38">
        <f ca="1">IFERROR((PozJunNMG[]+PozJunNMM[])/2,"-")</f>
        <v>71.534999999999997</v>
      </c>
    </row>
    <row r="53" spans="1:11" x14ac:dyDescent="0.25">
      <c r="A53" s="97">
        <v>51</v>
      </c>
      <c r="B53" s="3" t="str">
        <f>IFERROR(VLOOKUP(PozJunNŚr[[#This Row],[Numer]],Zawodnicy[[Number]:[Player name]],2,FALSE),"-")</f>
        <v>Radoslaw Cichowski</v>
      </c>
      <c r="C53" s="38">
        <f ca="1">IFERROR((PozJunNMG[]+PozJunNMM[])/2,"-")</f>
        <v>61.534999999999997</v>
      </c>
      <c r="D53" s="38">
        <f ca="1">IFERROR((PozJunNMG[]+PozJunNMM[])/2,"-")</f>
        <v>76.534999999999997</v>
      </c>
      <c r="E53" s="38">
        <f ca="1">IFERROR((PozJunNMG[]+PozJunNMM[])/2,"-")</f>
        <v>75.784999999999997</v>
      </c>
      <c r="F53" s="38">
        <f ca="1">IFERROR((PozJunNMG[]+PozJunNMM[])/2,"-")</f>
        <v>74.784999999999997</v>
      </c>
      <c r="G53" s="38">
        <f ca="1">IFERROR((PozJunNMG[]+PozJunNMM[])/2,"-")</f>
        <v>74.284999999999997</v>
      </c>
      <c r="H53" s="38">
        <f ca="1">IFERROR((PozJunNMG[]+PozJunNMM[])/2,"-")</f>
        <v>73.284999999999997</v>
      </c>
      <c r="I53" s="38">
        <f ca="1">IFERROR((PozJunNMG[]+PozJunNMM[])/2,"-")</f>
        <v>72.16</v>
      </c>
      <c r="J53" s="38">
        <f ca="1">IFERROR((PozJunNMG[]+PozJunNMM[])/2,"-")</f>
        <v>72.16</v>
      </c>
      <c r="K53" s="38">
        <f ca="1">IFERROR((PozJunNMG[]+PozJunNMM[])/2,"-")</f>
        <v>70.66</v>
      </c>
    </row>
    <row r="54" spans="1:11" x14ac:dyDescent="0.25">
      <c r="A54" s="97">
        <v>52</v>
      </c>
      <c r="B54" s="3" t="str">
        <f>IFERROR(VLOOKUP(PozJunNŚr[[#This Row],[Numer]],Zawodnicy[[Number]:[Player name]],2,FALSE),"-")</f>
        <v>Roland Danisiewicz</v>
      </c>
      <c r="C54" s="38">
        <f ca="1">IFERROR((PozJunNMG[]+PozJunNMM[])/2,"-")</f>
        <v>61.04</v>
      </c>
      <c r="D54" s="38">
        <f ca="1">IFERROR((PozJunNMG[]+PozJunNMM[])/2,"-")</f>
        <v>67.789999999999992</v>
      </c>
      <c r="E54" s="38">
        <f ca="1">IFERROR((PozJunNMG[]+PozJunNMM[])/2,"-")</f>
        <v>68.539999999999992</v>
      </c>
      <c r="F54" s="38">
        <f ca="1">IFERROR((PozJunNMG[]+PozJunNMM[])/2,"-")</f>
        <v>69.539999999999992</v>
      </c>
      <c r="G54" s="38">
        <f ca="1">IFERROR((PozJunNMG[]+PozJunNMM[])/2,"-")</f>
        <v>70.039999999999992</v>
      </c>
      <c r="H54" s="38">
        <f ca="1">IFERROR((PozJunNMG[]+PozJunNMM[])/2,"-")</f>
        <v>71.039999999999992</v>
      </c>
      <c r="I54" s="38">
        <f ca="1">IFERROR((PozJunNMG[]+PozJunNMM[])/2,"-")</f>
        <v>72.164999999999992</v>
      </c>
      <c r="J54" s="38">
        <f ca="1">IFERROR((PozJunNMG[]+PozJunNMM[])/2,"-")</f>
        <v>72.164999999999992</v>
      </c>
      <c r="K54" s="38">
        <f ca="1">IFERROR((PozJunNMG[]+PozJunNMM[])/2,"-")</f>
        <v>73.664999999999992</v>
      </c>
    </row>
    <row r="55" spans="1:11" x14ac:dyDescent="0.25">
      <c r="A55" s="97">
        <v>53</v>
      </c>
      <c r="B55" s="3" t="str">
        <f>IFERROR(VLOOKUP(PozJunNŚr[[#This Row],[Numer]],Zawodnicy[[Number]:[Player name]],2,FALSE),"-")</f>
        <v>Cyryl Huratiak</v>
      </c>
      <c r="C55" s="38">
        <f ca="1">IFERROR((PozJunNMG[]+PozJunNMM[])/2,"-")</f>
        <v>66.534999999999997</v>
      </c>
      <c r="D55" s="38">
        <f ca="1">IFERROR((PozJunNMG[]+PozJunNMM[])/2,"-")</f>
        <v>74.784999999999997</v>
      </c>
      <c r="E55" s="38">
        <f ca="1">IFERROR((PozJunNMG[]+PozJunNMM[])/2,"-")</f>
        <v>73.91</v>
      </c>
      <c r="F55" s="38">
        <f ca="1">IFERROR((PozJunNMG[]+PozJunNMM[])/2,"-")</f>
        <v>73.284999999999997</v>
      </c>
      <c r="G55" s="38">
        <f ca="1">IFERROR((PozJunNMG[]+PozJunNMM[])/2,"-")</f>
        <v>72.784999999999997</v>
      </c>
      <c r="H55" s="38">
        <f ca="1">IFERROR((PozJunNMG[]+PozJunNMM[])/2,"-")</f>
        <v>71.66</v>
      </c>
      <c r="I55" s="38">
        <f ca="1">IFERROR((PozJunNMG[]+PozJunNMM[])/2,"-")</f>
        <v>70.534999999999997</v>
      </c>
      <c r="J55" s="38">
        <f ca="1">IFERROR((PozJunNMG[]+PozJunNMM[])/2,"-")</f>
        <v>70.41</v>
      </c>
      <c r="K55" s="38">
        <f ca="1">IFERROR((PozJunNMG[]+PozJunNMM[])/2,"-")</f>
        <v>68.66</v>
      </c>
    </row>
    <row r="56" spans="1:11" x14ac:dyDescent="0.25">
      <c r="A56" s="84">
        <v>22</v>
      </c>
      <c r="B56" s="3" t="str">
        <f>IFERROR(VLOOKUP(PozJunNŚr[[#This Row],[Numer]],Zawodnicy[[Number]:[Player name]],2,FALSE),"-")</f>
        <v>Daniel Dziewulski</v>
      </c>
      <c r="C56" s="38">
        <f ca="1">IFERROR((PozJunNMG[]+PozJunNMM[])/2,"-")</f>
        <v>53.79</v>
      </c>
      <c r="D56" s="38">
        <f ca="1">IFERROR((PozJunNMG[]+PozJunNMM[])/2,"-")</f>
        <v>57.164999999999999</v>
      </c>
      <c r="E56" s="38">
        <f ca="1">IFERROR((PozJunNMG[]+PozJunNMM[])/2,"-")</f>
        <v>60.664999999999999</v>
      </c>
      <c r="F56" s="38">
        <f ca="1">IFERROR((PozJunNMG[]+PozJunNMM[])/2,"-")</f>
        <v>60.664999999999999</v>
      </c>
      <c r="G56" s="38">
        <f ca="1">IFERROR((PozJunNMG[]+PozJunNMM[])/2,"-")</f>
        <v>61.914999999999999</v>
      </c>
      <c r="H56" s="38">
        <f ca="1">IFERROR((PozJunNMG[]+PozJunNMM[])/2,"-")</f>
        <v>66.539999999999992</v>
      </c>
      <c r="I56" s="38">
        <f ca="1">IFERROR((PozJunNMG[]+PozJunNMM[])/2,"-")</f>
        <v>65.789999999999992</v>
      </c>
      <c r="J56" s="38">
        <f ca="1">IFERROR((PozJunNMG[]+PozJunNMM[])/2,"-")</f>
        <v>67.539999999999992</v>
      </c>
      <c r="K56" s="38">
        <f ca="1">IFERROR((PozJunNMG[]+PozJunNMM[])/2,"-")</f>
        <v>67.664999999999992</v>
      </c>
    </row>
    <row r="57" spans="1:11" x14ac:dyDescent="0.25">
      <c r="A57" s="84">
        <v>25</v>
      </c>
      <c r="B57" s="3" t="str">
        <f>IFERROR(VLOOKUP(PozJunNŚr[[#This Row],[Numer]],Zawodnicy[[Number]:[Player name]],2,FALSE),"-")</f>
        <v>Jakub Ludwiczak</v>
      </c>
      <c r="C57" s="38">
        <f ca="1">IFERROR((PozJunNMG[]+PozJunNMM[])/2,"-")</f>
        <v>66.784999999999997</v>
      </c>
      <c r="D57" s="38">
        <f ca="1">IFERROR((PozJunNMG[]+PozJunNMM[])/2,"-")</f>
        <v>68.16</v>
      </c>
      <c r="E57" s="38">
        <f ca="1">IFERROR((PozJunNMG[]+PozJunNMM[])/2,"-")</f>
        <v>68.91</v>
      </c>
      <c r="F57" s="38">
        <f ca="1">IFERROR((PozJunNMG[]+PozJunNMM[])/2,"-")</f>
        <v>71.034999999999997</v>
      </c>
      <c r="G57" s="38">
        <f ca="1">IFERROR((PozJunNMG[]+PozJunNMM[])/2,"-")</f>
        <v>71.784999999999997</v>
      </c>
      <c r="H57" s="38">
        <f ca="1">IFERROR((PozJunNMG[]+PozJunNMM[])/2,"-")</f>
        <v>72.91</v>
      </c>
      <c r="I57" s="38">
        <f ca="1">IFERROR((PozJunNMG[]+PozJunNMM[])/2,"-")</f>
        <v>73.41</v>
      </c>
      <c r="J57" s="38">
        <f ca="1">IFERROR((PozJunNMG[]+PozJunNMM[])/2,"-")</f>
        <v>72.16</v>
      </c>
      <c r="K57" s="38">
        <f ca="1">IFERROR((PozJunNMG[]+PozJunNMM[])/2,"-")</f>
        <v>71.784999999999997</v>
      </c>
    </row>
    <row r="58" spans="1:11" x14ac:dyDescent="0.25">
      <c r="A58" s="84">
        <v>26</v>
      </c>
      <c r="B58" s="3" t="str">
        <f>IFERROR(VLOOKUP(PozJunNŚr[[#This Row],[Numer]],Zawodnicy[[Number]:[Player name]],2,FALSE),"-")</f>
        <v>Ignacy Lato</v>
      </c>
      <c r="C58" s="38">
        <f ca="1">IFERROR((PozJunNMG[]+PozJunNMM[])/2,"-")</f>
        <v>66.03</v>
      </c>
      <c r="D58" s="38">
        <f ca="1">IFERROR((PozJunNMG[]+PozJunNMM[])/2,"-")</f>
        <v>71.53</v>
      </c>
      <c r="E58" s="38">
        <f ca="1">IFERROR((PozJunNMG[]+PozJunNMM[])/2,"-")</f>
        <v>71.405000000000001</v>
      </c>
      <c r="F58" s="38">
        <f ca="1">IFERROR((PozJunNMG[]+PozJunNMM[])/2,"-")</f>
        <v>72.28</v>
      </c>
      <c r="G58" s="38">
        <f ca="1">IFERROR((PozJunNMG[]+PozJunNMM[])/2,"-")</f>
        <v>72.28</v>
      </c>
      <c r="H58" s="38">
        <f ca="1">IFERROR((PozJunNMG[]+PozJunNMM[])/2,"-")</f>
        <v>72.53</v>
      </c>
      <c r="I58" s="38">
        <f ca="1">IFERROR((PozJunNMG[]+PozJunNMM[])/2,"-")</f>
        <v>72.905000000000001</v>
      </c>
      <c r="J58" s="38">
        <f ca="1">IFERROR((PozJunNMG[]+PozJunNMM[])/2,"-")</f>
        <v>71.78</v>
      </c>
      <c r="K58" s="38">
        <f ca="1">IFERROR((PozJunNMG[]+PozJunNMM[])/2,"-")</f>
        <v>72.405000000000001</v>
      </c>
    </row>
    <row r="59" spans="1:11" x14ac:dyDescent="0.25">
      <c r="A59" s="84">
        <v>27</v>
      </c>
      <c r="B59" s="3" t="str">
        <f>IFERROR(VLOOKUP(PozJunNŚr[[#This Row],[Numer]],Zawodnicy[[Number]:[Player name]],2,FALSE),"-")</f>
        <v>Sylwester Kaszubowski</v>
      </c>
      <c r="C59" s="38">
        <f ca="1">IFERROR((PozJunNMG[]+PozJunNMM[])/2,"-")</f>
        <v>47.53</v>
      </c>
      <c r="D59" s="38">
        <f ca="1">IFERROR((PozJunNMG[]+PozJunNMM[])/2,"-")</f>
        <v>59.405000000000001</v>
      </c>
      <c r="E59" s="38">
        <f ca="1">IFERROR((PozJunNMG[]+PozJunNMM[])/2,"-")</f>
        <v>61.155000000000001</v>
      </c>
      <c r="F59" s="38">
        <f ca="1">IFERROR((PozJunNMG[]+PozJunNMM[])/2,"-")</f>
        <v>64.655000000000001</v>
      </c>
      <c r="G59" s="38">
        <f ca="1">IFERROR((PozJunNMG[]+PozJunNMM[])/2,"-")</f>
        <v>66.905000000000001</v>
      </c>
      <c r="H59" s="38">
        <f ca="1">IFERROR((PozJunNMG[]+PozJunNMM[])/2,"-")</f>
        <v>68.155000000000001</v>
      </c>
      <c r="I59" s="38">
        <f ca="1">IFERROR((PozJunNMG[]+PozJunNMM[])/2,"-")</f>
        <v>67.905000000000001</v>
      </c>
      <c r="J59" s="38">
        <f ca="1">IFERROR((PozJunNMG[]+PozJunNMM[])/2,"-")</f>
        <v>65.655000000000001</v>
      </c>
      <c r="K59" s="38">
        <f ca="1">IFERROR((PozJunNMG[]+PozJunNMM[])/2,"-")</f>
        <v>60.655000000000001</v>
      </c>
    </row>
    <row r="60" spans="1:11" x14ac:dyDescent="0.25">
      <c r="A60" s="84">
        <v>59</v>
      </c>
      <c r="B60" s="3" t="str">
        <f>IFERROR(VLOOKUP(PozJunNŚr[[#This Row],[Numer]],Zawodnicy[[Number]:[Player name]],2,FALSE),"-")</f>
        <v>Milosz Kostrzewski</v>
      </c>
      <c r="C60" s="38">
        <f ca="1">IFERROR((PozJunNMG[]+PozJunNMM[])/2,"-")</f>
        <v>60.534999999999997</v>
      </c>
      <c r="D60" s="38">
        <f ca="1">IFERROR((PozJunNMG[]+PozJunNMM[])/2,"-")</f>
        <v>71.534999999999997</v>
      </c>
      <c r="E60" s="38">
        <f ca="1">IFERROR((PozJunNMG[]+PozJunNMM[])/2,"-")</f>
        <v>70.66</v>
      </c>
      <c r="F60" s="38">
        <f ca="1">IFERROR((PozJunNMG[]+PozJunNMM[])/2,"-")</f>
        <v>72.284999999999997</v>
      </c>
      <c r="G60" s="38">
        <f ca="1">IFERROR((PozJunNMG[]+PozJunNMM[])/2,"-")</f>
        <v>72.284999999999997</v>
      </c>
      <c r="H60" s="38">
        <f ca="1">IFERROR((PozJunNMG[]+PozJunNMM[])/2,"-")</f>
        <v>71.784999999999997</v>
      </c>
      <c r="I60" s="38">
        <f ca="1">IFERROR((PozJunNMG[]+PozJunNMM[])/2,"-")</f>
        <v>72.91</v>
      </c>
      <c r="J60" s="38">
        <f ca="1">IFERROR((PozJunNMG[]+PozJunNMM[])/2,"-")</f>
        <v>71.034999999999997</v>
      </c>
      <c r="K60" s="38">
        <f ca="1">IFERROR((PozJunNMG[]+PozJunNMM[])/2,"-")</f>
        <v>72.16</v>
      </c>
    </row>
    <row r="61" spans="1:11" x14ac:dyDescent="0.25">
      <c r="A61" s="97">
        <v>17</v>
      </c>
      <c r="B61" s="3" t="str">
        <f>IFERROR(VLOOKUP(PozJunNŚr[[#This Row],[Numer]],Zawodnicy[[Number]:[Player name]],2,FALSE),"-")</f>
        <v>Hieronim Wejta</v>
      </c>
      <c r="C61" s="38">
        <f ca="1">IFERROR((PozJunNMG[]+PozJunNMM[])/2,"-")</f>
        <v>66.045000000000002</v>
      </c>
      <c r="D61" s="38">
        <f ca="1">IFERROR((PozJunNMG[]+PozJunNMM[])/2,"-")</f>
        <v>81.67</v>
      </c>
      <c r="E61" s="38">
        <f ca="1">IFERROR((PozJunNMG[]+PozJunNMM[])/2,"-")</f>
        <v>79.795000000000002</v>
      </c>
      <c r="F61" s="38">
        <f ca="1">IFERROR((PozJunNMG[]+PozJunNMM[])/2,"-")</f>
        <v>81.295000000000002</v>
      </c>
      <c r="G61" s="38">
        <f ca="1">IFERROR((PozJunNMG[]+PozJunNMM[])/2,"-")</f>
        <v>81.045000000000002</v>
      </c>
      <c r="H61" s="38">
        <f ca="1">IFERROR((PozJunNMG[]+PozJunNMM[])/2,"-")</f>
        <v>79.045000000000002</v>
      </c>
      <c r="I61" s="38">
        <f ca="1">IFERROR((PozJunNMG[]+PozJunNMM[])/2,"-")</f>
        <v>79.17</v>
      </c>
      <c r="J61" s="38">
        <f ca="1">IFERROR((PozJunNMG[]+PozJunNMM[])/2,"-")</f>
        <v>78.545000000000002</v>
      </c>
      <c r="K61" s="38">
        <f ca="1">IFERROR((PozJunNMG[]+PozJunNMM[])/2,"-")</f>
        <v>77.17</v>
      </c>
    </row>
    <row r="62" spans="1:11" x14ac:dyDescent="0.25">
      <c r="A62" s="84"/>
      <c r="B62" s="3" t="str">
        <f>IFERROR(VLOOKUP(PozJunNŚr[[#This Row],[Numer]],Zawodnicy[[Number]:[Player name]],2,FALSE),"-")</f>
        <v>-</v>
      </c>
      <c r="C62" s="38" t="str">
        <f>IFERROR((PozJunNMG[]+PozJunNMM[])/2,"-")</f>
        <v>-</v>
      </c>
      <c r="D62" s="38" t="str">
        <f>IFERROR((PozJunNMG[]+PozJunNMM[])/2,"-")</f>
        <v>-</v>
      </c>
      <c r="E62" s="38" t="str">
        <f>IFERROR((PozJunNMG[]+PozJunNMM[])/2,"-")</f>
        <v>-</v>
      </c>
      <c r="F62" s="38" t="str">
        <f>IFERROR((PozJunNMG[]+PozJunNMM[])/2,"-")</f>
        <v>-</v>
      </c>
      <c r="G62" s="38" t="str">
        <f>IFERROR((PozJunNMG[]+PozJunNMM[])/2,"-")</f>
        <v>-</v>
      </c>
      <c r="H62" s="38" t="str">
        <f>IFERROR((PozJunNMG[]+PozJunNMM[])/2,"-")</f>
        <v>-</v>
      </c>
      <c r="I62" s="38" t="str">
        <f>IFERROR((PozJunNMG[]+PozJunNMM[])/2,"-")</f>
        <v>-</v>
      </c>
      <c r="J62" s="38" t="str">
        <f>IFERROR((PozJunNMG[]+PozJunNMM[])/2,"-")</f>
        <v>-</v>
      </c>
      <c r="K62" s="38" t="str">
        <f>IFERROR((PozJunNMG[]+PozJunNMM[])/2,"-")</f>
        <v>-</v>
      </c>
    </row>
    <row r="63" spans="1:11" x14ac:dyDescent="0.25">
      <c r="A63" s="97"/>
      <c r="B63" s="3" t="str">
        <f>IFERROR(VLOOKUP(PozJunNŚr[[#This Row],[Numer]],Zawodnicy[[Number]:[Player name]],2,FALSE),"-")</f>
        <v>-</v>
      </c>
      <c r="C63" s="38" t="str">
        <f>IFERROR((PozJunNMG[]+PozJunNMM[])/2,"-")</f>
        <v>-</v>
      </c>
      <c r="D63" s="38" t="str">
        <f>IFERROR((PozJunNMG[]+PozJunNMM[])/2,"-")</f>
        <v>-</v>
      </c>
      <c r="E63" s="38" t="str">
        <f>IFERROR((PozJunNMG[]+PozJunNMM[])/2,"-")</f>
        <v>-</v>
      </c>
      <c r="F63" s="38" t="str">
        <f>IFERROR((PozJunNMG[]+PozJunNMM[])/2,"-")</f>
        <v>-</v>
      </c>
      <c r="G63" s="38" t="str">
        <f>IFERROR((PozJunNMG[]+PozJunNMM[])/2,"-")</f>
        <v>-</v>
      </c>
      <c r="H63" s="38" t="str">
        <f>IFERROR((PozJunNMG[]+PozJunNMM[])/2,"-")</f>
        <v>-</v>
      </c>
      <c r="I63" s="38" t="str">
        <f>IFERROR((PozJunNMG[]+PozJunNMM[])/2,"-")</f>
        <v>-</v>
      </c>
      <c r="J63" s="38" t="str">
        <f>IFERROR((PozJunNMG[]+PozJunNMM[])/2,"-")</f>
        <v>-</v>
      </c>
      <c r="K63" s="38" t="str">
        <f>IFERROR((PozJunNMG[]+PozJunNMM[])/2,"-")</f>
        <v>-</v>
      </c>
    </row>
    <row r="64" spans="1:11" x14ac:dyDescent="0.25">
      <c r="A64" s="25"/>
      <c r="B64" s="21"/>
    </row>
    <row r="65" spans="1:11" x14ac:dyDescent="0.25">
      <c r="A65" s="25"/>
      <c r="B65" s="21"/>
    </row>
    <row r="66" spans="1:11" ht="15.75" thickBot="1" x14ac:dyDescent="0.3">
      <c r="A66" s="13" t="s">
        <v>36</v>
      </c>
      <c r="B66" s="13" t="s">
        <v>37</v>
      </c>
      <c r="C66" s="23" t="s">
        <v>771</v>
      </c>
      <c r="D66" s="23" t="s">
        <v>772</v>
      </c>
      <c r="E66" s="23" t="s">
        <v>773</v>
      </c>
      <c r="F66" s="23" t="s">
        <v>774</v>
      </c>
      <c r="G66" s="23" t="s">
        <v>775</v>
      </c>
      <c r="H66" s="23" t="s">
        <v>776</v>
      </c>
      <c r="I66" s="23" t="s">
        <v>777</v>
      </c>
      <c r="J66" s="23" t="s">
        <v>778</v>
      </c>
      <c r="K66" s="23" t="s">
        <v>46</v>
      </c>
    </row>
    <row r="67" spans="1:11" x14ac:dyDescent="0.25">
      <c r="A67" s="97">
        <v>31</v>
      </c>
      <c r="B67" s="3" t="str">
        <f>IFERROR(VLOOKUP(PozJunPŚr[[#This Row],[Numer]],Zawodnicy[[Number]:[Player name]],2,FALSE),"-")</f>
        <v>Jacek Swoboda</v>
      </c>
      <c r="C67" s="38">
        <f ca="1">IFERROR(INDEX(JuniorzyPozytyw[],MATCH($A67,Juniorstwo!$A$57:$A$76,0),MATCH($B$2,Juniorstwo!$A$56:$N$56,0))*C$2+INDEX(JuniorzyPozytyw[],MATCH($A67,Juniorstwo!$A$57:$A$76,0),MATCH($B$3,Juniorstwo!$A$56:$N$56,0))*C$3+INDEX(JuniorzyPozytyw[],MATCH($A67,Juniorstwo!$A$57:$A$76,0),MATCH($B$4,Juniorstwo!$A$56:$N$56,0))*C$4+INDEX(JuniorzyPozytyw[],MATCH($A67,Juniorstwo!$A$57:$A$76,0),MATCH($B$5,Juniorstwo!$A$56:$N$56,0))*C$5+INDEX(JuniorzyPozytyw[],MATCH($A67,Juniorstwo!$A$57:$A$76,0),MATCH($B$6,Juniorstwo!$A$56:$N$56,0))*C$6+INDEX(JuniorzyPozytyw[],MATCH($A67,Juniorstwo!$A$57:$A$76,0),MATCH($B$7,Juniorstwo!$A$56:$N$56,0))*C$7+INDEX(JuniorzyPozytyw[],MATCH($A67,Juniorstwo!$A$57:$A$76,0),MATCH($B$8,Juniorstwo!$A$56:$N$56,0))*C$8+INDEX(JuniorzyPozytyw[],MATCH($A67,Juniorstwo!$A$57:$A$76,0),MATCH($B$9,Juniorstwo!$A$56:$N$56,0))*C$9+INDEX(JuniorzyPozytyw[],MATCH($A67,Juniorstwo!$A$57:$A$76,0),MATCH($B$10,Juniorstwo!$A$56:$N$56,0))*C$10+INDEX(JuniorzyPozytyw[],MATCH($A67,Juniorstwo!$A$57:$A$76,0),MATCH($B$11,Juniorstwo!$A$56:$N$56,0))*C$11+INDEX(JuniorzyPozytyw[],MATCH($A67,Juniorstwo!$A$57:$A$76,0),MATCH($B$12,Juniorstwo!$A$56:$N$56,0))*C$12+INDEX(JuniorzyPozytyw[],MATCH($A67,Juniorstwo!$A$57:$A$76,0),MATCH($B$13,Juniorstwo!$A$56:$N$56,0))*C$13,"-")</f>
        <v>60.284999999999997</v>
      </c>
      <c r="D67" s="38">
        <f ca="1">IFERROR(INDEX(JuniorzyPozytyw[],MATCH($A67,Juniorstwo!$A$57:$A$76,0),MATCH($B$2,Juniorstwo!$A$56:$N$56,0))*D$2+INDEX(JuniorzyPozytyw[],MATCH($A67,Juniorstwo!$A$57:$A$76,0),MATCH($B$3,Juniorstwo!$A$56:$N$56,0))*D$3+INDEX(JuniorzyPozytyw[],MATCH($A67,Juniorstwo!$A$57:$A$76,0),MATCH($B$4,Juniorstwo!$A$56:$N$56,0))*D$4+INDEX(JuniorzyPozytyw[],MATCH($A67,Juniorstwo!$A$57:$A$76,0),MATCH($B$5,Juniorstwo!$A$56:$N$56,0))*D$5+INDEX(JuniorzyPozytyw[],MATCH($A67,Juniorstwo!$A$57:$A$76,0),MATCH($B$6,Juniorstwo!$A$56:$N$56,0))*D$6+INDEX(JuniorzyPozytyw[],MATCH($A67,Juniorstwo!$A$57:$A$76,0),MATCH($B$7,Juniorstwo!$A$56:$N$56,0))*D$7+INDEX(JuniorzyPozytyw[],MATCH($A67,Juniorstwo!$A$57:$A$76,0),MATCH($B$8,Juniorstwo!$A$56:$N$56,0))*D$8+INDEX(JuniorzyPozytyw[],MATCH($A67,Juniorstwo!$A$57:$A$76,0),MATCH($B$9,Juniorstwo!$A$56:$N$56,0))*D$9+INDEX(JuniorzyPozytyw[],MATCH($A67,Juniorstwo!$A$57:$A$76,0),MATCH($B$10,Juniorstwo!$A$56:$N$56,0))*D$10+INDEX(JuniorzyPozytyw[],MATCH($A67,Juniorstwo!$A$57:$A$76,0),MATCH($B$11,Juniorstwo!$A$56:$N$56,0))*D$11+INDEX(JuniorzyPozytyw[],MATCH($A67,Juniorstwo!$A$57:$A$76,0),MATCH($B$12,Juniorstwo!$A$56:$N$56,0))*D$12+INDEX(JuniorzyPozytyw[],MATCH($A67,Juniorstwo!$A$57:$A$76,0),MATCH($B$13,Juniorstwo!$A$56:$N$56,0))*D$13,"-")</f>
        <v>73.784999999999997</v>
      </c>
      <c r="E67" s="38">
        <f ca="1">IFERROR(INDEX(JuniorzyPozytyw[],MATCH($A67,Juniorstwo!$A$57:$A$76,0),MATCH($B$2,Juniorstwo!$A$56:$N$56,0))*E$2+INDEX(JuniorzyPozytyw[],MATCH($A67,Juniorstwo!$A$57:$A$76,0),MATCH($B$3,Juniorstwo!$A$56:$N$56,0))*E$3+INDEX(JuniorzyPozytyw[],MATCH($A67,Juniorstwo!$A$57:$A$76,0),MATCH($B$4,Juniorstwo!$A$56:$N$56,0))*E$4+INDEX(JuniorzyPozytyw[],MATCH($A67,Juniorstwo!$A$57:$A$76,0),MATCH($B$5,Juniorstwo!$A$56:$N$56,0))*E$5+INDEX(JuniorzyPozytyw[],MATCH($A67,Juniorstwo!$A$57:$A$76,0),MATCH($B$6,Juniorstwo!$A$56:$N$56,0))*E$6+INDEX(JuniorzyPozytyw[],MATCH($A67,Juniorstwo!$A$57:$A$76,0),MATCH($B$7,Juniorstwo!$A$56:$N$56,0))*E$7+INDEX(JuniorzyPozytyw[],MATCH($A67,Juniorstwo!$A$57:$A$76,0),MATCH($B$8,Juniorstwo!$A$56:$N$56,0))*E$8+INDEX(JuniorzyPozytyw[],MATCH($A67,Juniorstwo!$A$57:$A$76,0),MATCH($B$9,Juniorstwo!$A$56:$N$56,0))*E$9+INDEX(JuniorzyPozytyw[],MATCH($A67,Juniorstwo!$A$57:$A$76,0),MATCH($B$10,Juniorstwo!$A$56:$N$56,0))*E$10+INDEX(JuniorzyPozytyw[],MATCH($A67,Juniorstwo!$A$57:$A$76,0),MATCH($B$11,Juniorstwo!$A$56:$N$56,0))*E$11+INDEX(JuniorzyPozytyw[],MATCH($A67,Juniorstwo!$A$57:$A$76,0),MATCH($B$12,Juniorstwo!$A$56:$N$56,0))*E$12+INDEX(JuniorzyPozytyw[],MATCH($A67,Juniorstwo!$A$57:$A$76,0),MATCH($B$13,Juniorstwo!$A$56:$N$56,0))*E$13,"-")</f>
        <v>73.66</v>
      </c>
      <c r="F67" s="38">
        <f ca="1">IFERROR(INDEX(JuniorzyPozytyw[],MATCH($A67,Juniorstwo!$A$57:$A$76,0),MATCH($B$2,Juniorstwo!$A$56:$N$56,0))*F$2+INDEX(JuniorzyPozytyw[],MATCH($A67,Juniorstwo!$A$57:$A$76,0),MATCH($B$3,Juniorstwo!$A$56:$N$56,0))*F$3+INDEX(JuniorzyPozytyw[],MATCH($A67,Juniorstwo!$A$57:$A$76,0),MATCH($B$4,Juniorstwo!$A$56:$N$56,0))*F$4+INDEX(JuniorzyPozytyw[],MATCH($A67,Juniorstwo!$A$57:$A$76,0),MATCH($B$5,Juniorstwo!$A$56:$N$56,0))*F$5+INDEX(JuniorzyPozytyw[],MATCH($A67,Juniorstwo!$A$57:$A$76,0),MATCH($B$6,Juniorstwo!$A$56:$N$56,0))*F$6+INDEX(JuniorzyPozytyw[],MATCH($A67,Juniorstwo!$A$57:$A$76,0),MATCH($B$7,Juniorstwo!$A$56:$N$56,0))*F$7+INDEX(JuniorzyPozytyw[],MATCH($A67,Juniorstwo!$A$57:$A$76,0),MATCH($B$8,Juniorstwo!$A$56:$N$56,0))*F$8+INDEX(JuniorzyPozytyw[],MATCH($A67,Juniorstwo!$A$57:$A$76,0),MATCH($B$9,Juniorstwo!$A$56:$N$56,0))*F$9+INDEX(JuniorzyPozytyw[],MATCH($A67,Juniorstwo!$A$57:$A$76,0),MATCH($B$10,Juniorstwo!$A$56:$N$56,0))*F$10+INDEX(JuniorzyPozytyw[],MATCH($A67,Juniorstwo!$A$57:$A$76,0),MATCH($B$11,Juniorstwo!$A$56:$N$56,0))*F$11+INDEX(JuniorzyPozytyw[],MATCH($A67,Juniorstwo!$A$57:$A$76,0),MATCH($B$12,Juniorstwo!$A$56:$N$56,0))*F$12+INDEX(JuniorzyPozytyw[],MATCH($A67,Juniorstwo!$A$57:$A$76,0),MATCH($B$13,Juniorstwo!$A$56:$N$56,0))*F$13,"-")</f>
        <v>73.41</v>
      </c>
      <c r="G67" s="38">
        <f ca="1">IFERROR(INDEX(JuniorzyPozytyw[],MATCH($A67,Juniorstwo!$A$57:$A$76,0),MATCH($B$2,Juniorstwo!$A$56:$N$56,0))*G$2+INDEX(JuniorzyPozytyw[],MATCH($A67,Juniorstwo!$A$57:$A$76,0),MATCH($B$3,Juniorstwo!$A$56:$N$56,0))*G$3+INDEX(JuniorzyPozytyw[],MATCH($A67,Juniorstwo!$A$57:$A$76,0),MATCH($B$4,Juniorstwo!$A$56:$N$56,0))*G$4+INDEX(JuniorzyPozytyw[],MATCH($A67,Juniorstwo!$A$57:$A$76,0),MATCH($B$5,Juniorstwo!$A$56:$N$56,0))*G$5+INDEX(JuniorzyPozytyw[],MATCH($A67,Juniorstwo!$A$57:$A$76,0),MATCH($B$6,Juniorstwo!$A$56:$N$56,0))*G$6+INDEX(JuniorzyPozytyw[],MATCH($A67,Juniorstwo!$A$57:$A$76,0),MATCH($B$7,Juniorstwo!$A$56:$N$56,0))*G$7+INDEX(JuniorzyPozytyw[],MATCH($A67,Juniorstwo!$A$57:$A$76,0),MATCH($B$8,Juniorstwo!$A$56:$N$56,0))*G$8+INDEX(JuniorzyPozytyw[],MATCH($A67,Juniorstwo!$A$57:$A$76,0),MATCH($B$9,Juniorstwo!$A$56:$N$56,0))*G$9+INDEX(JuniorzyPozytyw[],MATCH($A67,Juniorstwo!$A$57:$A$76,0),MATCH($B$10,Juniorstwo!$A$56:$N$56,0))*G$10+INDEX(JuniorzyPozytyw[],MATCH($A67,Juniorstwo!$A$57:$A$76,0),MATCH($B$11,Juniorstwo!$A$56:$N$56,0))*G$11+INDEX(JuniorzyPozytyw[],MATCH($A67,Juniorstwo!$A$57:$A$76,0),MATCH($B$12,Juniorstwo!$A$56:$N$56,0))*G$12+INDEX(JuniorzyPozytyw[],MATCH($A67,Juniorstwo!$A$57:$A$76,0),MATCH($B$13,Juniorstwo!$A$56:$N$56,0))*G$13,"-")</f>
        <v>73.41</v>
      </c>
      <c r="H67" s="38">
        <f ca="1">IFERROR(INDEX(JuniorzyPozytyw[],MATCH($A67,Juniorstwo!$A$57:$A$76,0),MATCH($B$2,Juniorstwo!$A$56:$N$56,0))*H$2+INDEX(JuniorzyPozytyw[],MATCH($A67,Juniorstwo!$A$57:$A$76,0),MATCH($B$3,Juniorstwo!$A$56:$N$56,0))*H$3+INDEX(JuniorzyPozytyw[],MATCH($A67,Juniorstwo!$A$57:$A$76,0),MATCH($B$4,Juniorstwo!$A$56:$N$56,0))*H$4+INDEX(JuniorzyPozytyw[],MATCH($A67,Juniorstwo!$A$57:$A$76,0),MATCH($B$5,Juniorstwo!$A$56:$N$56,0))*H$5+INDEX(JuniorzyPozytyw[],MATCH($A67,Juniorstwo!$A$57:$A$76,0),MATCH($B$6,Juniorstwo!$A$56:$N$56,0))*H$6+INDEX(JuniorzyPozytyw[],MATCH($A67,Juniorstwo!$A$57:$A$76,0),MATCH($B$7,Juniorstwo!$A$56:$N$56,0))*H$7+INDEX(JuniorzyPozytyw[],MATCH($A67,Juniorstwo!$A$57:$A$76,0),MATCH($B$8,Juniorstwo!$A$56:$N$56,0))*H$8+INDEX(JuniorzyPozytyw[],MATCH($A67,Juniorstwo!$A$57:$A$76,0),MATCH($B$9,Juniorstwo!$A$56:$N$56,0))*H$9+INDEX(JuniorzyPozytyw[],MATCH($A67,Juniorstwo!$A$57:$A$76,0),MATCH($B$10,Juniorstwo!$A$56:$N$56,0))*H$10+INDEX(JuniorzyPozytyw[],MATCH($A67,Juniorstwo!$A$57:$A$76,0),MATCH($B$11,Juniorstwo!$A$56:$N$56,0))*H$11+INDEX(JuniorzyPozytyw[],MATCH($A67,Juniorstwo!$A$57:$A$76,0),MATCH($B$12,Juniorstwo!$A$56:$N$56,0))*H$12+INDEX(JuniorzyPozytyw[],MATCH($A67,Juniorstwo!$A$57:$A$76,0),MATCH($B$13,Juniorstwo!$A$56:$N$56,0))*H$13,"-")</f>
        <v>73.784999999999997</v>
      </c>
      <c r="I67" s="38">
        <f ca="1">IFERROR(INDEX(JuniorzyPozytyw[],MATCH($A67,Juniorstwo!$A$57:$A$76,0),MATCH($B$2,Juniorstwo!$A$56:$N$56,0))*I$2+INDEX(JuniorzyPozytyw[],MATCH($A67,Juniorstwo!$A$57:$A$76,0),MATCH($B$3,Juniorstwo!$A$56:$N$56,0))*I$3+INDEX(JuniorzyPozytyw[],MATCH($A67,Juniorstwo!$A$57:$A$76,0),MATCH($B$4,Juniorstwo!$A$56:$N$56,0))*I$4+INDEX(JuniorzyPozytyw[],MATCH($A67,Juniorstwo!$A$57:$A$76,0),MATCH($B$5,Juniorstwo!$A$56:$N$56,0))*I$5+INDEX(JuniorzyPozytyw[],MATCH($A67,Juniorstwo!$A$57:$A$76,0),MATCH($B$6,Juniorstwo!$A$56:$N$56,0))*I$6+INDEX(JuniorzyPozytyw[],MATCH($A67,Juniorstwo!$A$57:$A$76,0),MATCH($B$7,Juniorstwo!$A$56:$N$56,0))*I$7+INDEX(JuniorzyPozytyw[],MATCH($A67,Juniorstwo!$A$57:$A$76,0),MATCH($B$8,Juniorstwo!$A$56:$N$56,0))*I$8+INDEX(JuniorzyPozytyw[],MATCH($A67,Juniorstwo!$A$57:$A$76,0),MATCH($B$9,Juniorstwo!$A$56:$N$56,0))*I$9+INDEX(JuniorzyPozytyw[],MATCH($A67,Juniorstwo!$A$57:$A$76,0),MATCH($B$10,Juniorstwo!$A$56:$N$56,0))*I$10+INDEX(JuniorzyPozytyw[],MATCH($A67,Juniorstwo!$A$57:$A$76,0),MATCH($B$11,Juniorstwo!$A$56:$N$56,0))*I$11+INDEX(JuniorzyPozytyw[],MATCH($A67,Juniorstwo!$A$57:$A$76,0),MATCH($B$12,Juniorstwo!$A$56:$N$56,0))*I$12+INDEX(JuniorzyPozytyw[],MATCH($A67,Juniorstwo!$A$57:$A$76,0),MATCH($B$13,Juniorstwo!$A$56:$N$56,0))*I$13,"-")</f>
        <v>70.034999999999997</v>
      </c>
      <c r="J67" s="38">
        <f ca="1">IFERROR(INDEX(JuniorzyPozytyw[],MATCH($A67,Juniorstwo!$A$57:$A$76,0),MATCH($B$2,Juniorstwo!$A$56:$N$56,0))*J$2+INDEX(JuniorzyPozytyw[],MATCH($A67,Juniorstwo!$A$57:$A$76,0),MATCH($B$3,Juniorstwo!$A$56:$N$56,0))*J$3+INDEX(JuniorzyPozytyw[],MATCH($A67,Juniorstwo!$A$57:$A$76,0),MATCH($B$4,Juniorstwo!$A$56:$N$56,0))*J$4+INDEX(JuniorzyPozytyw[],MATCH($A67,Juniorstwo!$A$57:$A$76,0),MATCH($B$5,Juniorstwo!$A$56:$N$56,0))*J$5+INDEX(JuniorzyPozytyw[],MATCH($A67,Juniorstwo!$A$57:$A$76,0),MATCH($B$6,Juniorstwo!$A$56:$N$56,0))*J$6+INDEX(JuniorzyPozytyw[],MATCH($A67,Juniorstwo!$A$57:$A$76,0),MATCH($B$7,Juniorstwo!$A$56:$N$56,0))*J$7+INDEX(JuniorzyPozytyw[],MATCH($A67,Juniorstwo!$A$57:$A$76,0),MATCH($B$8,Juniorstwo!$A$56:$N$56,0))*J$8+INDEX(JuniorzyPozytyw[],MATCH($A67,Juniorstwo!$A$57:$A$76,0),MATCH($B$9,Juniorstwo!$A$56:$N$56,0))*J$9+INDEX(JuniorzyPozytyw[],MATCH($A67,Juniorstwo!$A$57:$A$76,0),MATCH($B$10,Juniorstwo!$A$56:$N$56,0))*J$10+INDEX(JuniorzyPozytyw[],MATCH($A67,Juniorstwo!$A$57:$A$76,0),MATCH($B$11,Juniorstwo!$A$56:$N$56,0))*J$11+INDEX(JuniorzyPozytyw[],MATCH($A67,Juniorstwo!$A$57:$A$76,0),MATCH($B$12,Juniorstwo!$A$56:$N$56,0))*J$12+INDEX(JuniorzyPozytyw[],MATCH($A67,Juniorstwo!$A$57:$A$76,0),MATCH($B$13,Juniorstwo!$A$56:$N$56,0))*J$13,"-")</f>
        <v>72.66</v>
      </c>
      <c r="K67" s="38">
        <f ca="1">IFERROR(INDEX(JuniorzyPozytyw[],MATCH($A67,Juniorstwo!$A$57:$A$76,0),MATCH($B$2,Juniorstwo!$A$56:$N$56,0))*K$2+INDEX(JuniorzyPozytyw[],MATCH($A67,Juniorstwo!$A$57:$A$76,0),MATCH($B$3,Juniorstwo!$A$56:$N$56,0))*K$3+INDEX(JuniorzyPozytyw[],MATCH($A67,Juniorstwo!$A$57:$A$76,0),MATCH($B$4,Juniorstwo!$A$56:$N$56,0))*K$4+INDEX(JuniorzyPozytyw[],MATCH($A67,Juniorstwo!$A$57:$A$76,0),MATCH($B$5,Juniorstwo!$A$56:$N$56,0))*K$5+INDEX(JuniorzyPozytyw[],MATCH($A67,Juniorstwo!$A$57:$A$76,0),MATCH($B$6,Juniorstwo!$A$56:$N$56,0))*K$6+INDEX(JuniorzyPozytyw[],MATCH($A67,Juniorstwo!$A$57:$A$76,0),MATCH($B$7,Juniorstwo!$A$56:$N$56,0))*K$7+INDEX(JuniorzyPozytyw[],MATCH($A67,Juniorstwo!$A$57:$A$76,0),MATCH($B$8,Juniorstwo!$A$56:$N$56,0))*K$8+INDEX(JuniorzyPozytyw[],MATCH($A67,Juniorstwo!$A$57:$A$76,0),MATCH($B$9,Juniorstwo!$A$56:$N$56,0))*K$9+INDEX(JuniorzyPozytyw[],MATCH($A67,Juniorstwo!$A$57:$A$76,0),MATCH($B$10,Juniorstwo!$A$56:$N$56,0))*K$10+INDEX(JuniorzyPozytyw[],MATCH($A67,Juniorstwo!$A$57:$A$76,0),MATCH($B$11,Juniorstwo!$A$56:$N$56,0))*K$11+INDEX(JuniorzyPozytyw[],MATCH($A67,Juniorstwo!$A$57:$A$76,0),MATCH($B$12,Juniorstwo!$A$56:$N$56,0))*K$12+INDEX(JuniorzyPozytyw[],MATCH($A67,Juniorstwo!$A$57:$A$76,0),MATCH($B$13,Juniorstwo!$A$56:$N$56,0))*K$13,"-")</f>
        <v>66.66</v>
      </c>
    </row>
    <row r="68" spans="1:11" x14ac:dyDescent="0.25">
      <c r="A68" s="97">
        <v>38</v>
      </c>
      <c r="B68" s="3" t="str">
        <f>IFERROR(VLOOKUP(PozJunPŚr[[#This Row],[Numer]],Zawodnicy[[Number]:[Player name]],2,FALSE),"-")</f>
        <v>Boleslaw Kolbert</v>
      </c>
      <c r="C68" s="38">
        <f ca="1">IFERROR(INDEX(JuniorzyPozytyw[],MATCH($A68,Juniorstwo!$A$57:$A$76,0),MATCH($B$2,Juniorstwo!$A$56:$N$56,0))*C$2+INDEX(JuniorzyPozytyw[],MATCH($A68,Juniorstwo!$A$57:$A$76,0),MATCH($B$3,Juniorstwo!$A$56:$N$56,0))*C$3+INDEX(JuniorzyPozytyw[],MATCH($A68,Juniorstwo!$A$57:$A$76,0),MATCH($B$4,Juniorstwo!$A$56:$N$56,0))*C$4+INDEX(JuniorzyPozytyw[],MATCH($A68,Juniorstwo!$A$57:$A$76,0),MATCH($B$5,Juniorstwo!$A$56:$N$56,0))*C$5+INDEX(JuniorzyPozytyw[],MATCH($A68,Juniorstwo!$A$57:$A$76,0),MATCH($B$6,Juniorstwo!$A$56:$N$56,0))*C$6+INDEX(JuniorzyPozytyw[],MATCH($A68,Juniorstwo!$A$57:$A$76,0),MATCH($B$7,Juniorstwo!$A$56:$N$56,0))*C$7+INDEX(JuniorzyPozytyw[],MATCH($A68,Juniorstwo!$A$57:$A$76,0),MATCH($B$8,Juniorstwo!$A$56:$N$56,0))*C$8+INDEX(JuniorzyPozytyw[],MATCH($A68,Juniorstwo!$A$57:$A$76,0),MATCH($B$9,Juniorstwo!$A$56:$N$56,0))*C$9+INDEX(JuniorzyPozytyw[],MATCH($A68,Juniorstwo!$A$57:$A$76,0),MATCH($B$10,Juniorstwo!$A$56:$N$56,0))*C$10+INDEX(JuniorzyPozytyw[],MATCH($A68,Juniorstwo!$A$57:$A$76,0),MATCH($B$11,Juniorstwo!$A$56:$N$56,0))*C$11+INDEX(JuniorzyPozytyw[],MATCH($A68,Juniorstwo!$A$57:$A$76,0),MATCH($B$12,Juniorstwo!$A$56:$N$56,0))*C$12+INDEX(JuniorzyPozytyw[],MATCH($A68,Juniorstwo!$A$57:$A$76,0),MATCH($B$13,Juniorstwo!$A$56:$N$56,0))*C$13,"-")</f>
        <v>52.284999999999997</v>
      </c>
      <c r="D68" s="38">
        <f ca="1">IFERROR(INDEX(JuniorzyPozytyw[],MATCH($A68,Juniorstwo!$A$57:$A$76,0),MATCH($B$2,Juniorstwo!$A$56:$N$56,0))*D$2+INDEX(JuniorzyPozytyw[],MATCH($A68,Juniorstwo!$A$57:$A$76,0),MATCH($B$3,Juniorstwo!$A$56:$N$56,0))*D$3+INDEX(JuniorzyPozytyw[],MATCH($A68,Juniorstwo!$A$57:$A$76,0),MATCH($B$4,Juniorstwo!$A$56:$N$56,0))*D$4+INDEX(JuniorzyPozytyw[],MATCH($A68,Juniorstwo!$A$57:$A$76,0),MATCH($B$5,Juniorstwo!$A$56:$N$56,0))*D$5+INDEX(JuniorzyPozytyw[],MATCH($A68,Juniorstwo!$A$57:$A$76,0),MATCH($B$6,Juniorstwo!$A$56:$N$56,0))*D$6+INDEX(JuniorzyPozytyw[],MATCH($A68,Juniorstwo!$A$57:$A$76,0),MATCH($B$7,Juniorstwo!$A$56:$N$56,0))*D$7+INDEX(JuniorzyPozytyw[],MATCH($A68,Juniorstwo!$A$57:$A$76,0),MATCH($B$8,Juniorstwo!$A$56:$N$56,0))*D$8+INDEX(JuniorzyPozytyw[],MATCH($A68,Juniorstwo!$A$57:$A$76,0),MATCH($B$9,Juniorstwo!$A$56:$N$56,0))*D$9+INDEX(JuniorzyPozytyw[],MATCH($A68,Juniorstwo!$A$57:$A$76,0),MATCH($B$10,Juniorstwo!$A$56:$N$56,0))*D$10+INDEX(JuniorzyPozytyw[],MATCH($A68,Juniorstwo!$A$57:$A$76,0),MATCH($B$11,Juniorstwo!$A$56:$N$56,0))*D$11+INDEX(JuniorzyPozytyw[],MATCH($A68,Juniorstwo!$A$57:$A$76,0),MATCH($B$12,Juniorstwo!$A$56:$N$56,0))*D$12+INDEX(JuniorzyPozytyw[],MATCH($A68,Juniorstwo!$A$57:$A$76,0),MATCH($B$13,Juniorstwo!$A$56:$N$56,0))*D$13,"-")</f>
        <v>79.41</v>
      </c>
      <c r="E68" s="38">
        <f ca="1">IFERROR(INDEX(JuniorzyPozytyw[],MATCH($A68,Juniorstwo!$A$57:$A$76,0),MATCH($B$2,Juniorstwo!$A$56:$N$56,0))*E$2+INDEX(JuniorzyPozytyw[],MATCH($A68,Juniorstwo!$A$57:$A$76,0),MATCH($B$3,Juniorstwo!$A$56:$N$56,0))*E$3+INDEX(JuniorzyPozytyw[],MATCH($A68,Juniorstwo!$A$57:$A$76,0),MATCH($B$4,Juniorstwo!$A$56:$N$56,0))*E$4+INDEX(JuniorzyPozytyw[],MATCH($A68,Juniorstwo!$A$57:$A$76,0),MATCH($B$5,Juniorstwo!$A$56:$N$56,0))*E$5+INDEX(JuniorzyPozytyw[],MATCH($A68,Juniorstwo!$A$57:$A$76,0),MATCH($B$6,Juniorstwo!$A$56:$N$56,0))*E$6+INDEX(JuniorzyPozytyw[],MATCH($A68,Juniorstwo!$A$57:$A$76,0),MATCH($B$7,Juniorstwo!$A$56:$N$56,0))*E$7+INDEX(JuniorzyPozytyw[],MATCH($A68,Juniorstwo!$A$57:$A$76,0),MATCH($B$8,Juniorstwo!$A$56:$N$56,0))*E$8+INDEX(JuniorzyPozytyw[],MATCH($A68,Juniorstwo!$A$57:$A$76,0),MATCH($B$9,Juniorstwo!$A$56:$N$56,0))*E$9+INDEX(JuniorzyPozytyw[],MATCH($A68,Juniorstwo!$A$57:$A$76,0),MATCH($B$10,Juniorstwo!$A$56:$N$56,0))*E$10+INDEX(JuniorzyPozytyw[],MATCH($A68,Juniorstwo!$A$57:$A$76,0),MATCH($B$11,Juniorstwo!$A$56:$N$56,0))*E$11+INDEX(JuniorzyPozytyw[],MATCH($A68,Juniorstwo!$A$57:$A$76,0),MATCH($B$12,Juniorstwo!$A$56:$N$56,0))*E$12+INDEX(JuniorzyPozytyw[],MATCH($A68,Juniorstwo!$A$57:$A$76,0),MATCH($B$13,Juniorstwo!$A$56:$N$56,0))*E$13,"-")</f>
        <v>77.284999999999997</v>
      </c>
      <c r="F68" s="38">
        <f ca="1">IFERROR(INDEX(JuniorzyPozytyw[],MATCH($A68,Juniorstwo!$A$57:$A$76,0),MATCH($B$2,Juniorstwo!$A$56:$N$56,0))*F$2+INDEX(JuniorzyPozytyw[],MATCH($A68,Juniorstwo!$A$57:$A$76,0),MATCH($B$3,Juniorstwo!$A$56:$N$56,0))*F$3+INDEX(JuniorzyPozytyw[],MATCH($A68,Juniorstwo!$A$57:$A$76,0),MATCH($B$4,Juniorstwo!$A$56:$N$56,0))*F$4+INDEX(JuniorzyPozytyw[],MATCH($A68,Juniorstwo!$A$57:$A$76,0),MATCH($B$5,Juniorstwo!$A$56:$N$56,0))*F$5+INDEX(JuniorzyPozytyw[],MATCH($A68,Juniorstwo!$A$57:$A$76,0),MATCH($B$6,Juniorstwo!$A$56:$N$56,0))*F$6+INDEX(JuniorzyPozytyw[],MATCH($A68,Juniorstwo!$A$57:$A$76,0),MATCH($B$7,Juniorstwo!$A$56:$N$56,0))*F$7+INDEX(JuniorzyPozytyw[],MATCH($A68,Juniorstwo!$A$57:$A$76,0),MATCH($B$8,Juniorstwo!$A$56:$N$56,0))*F$8+INDEX(JuniorzyPozytyw[],MATCH($A68,Juniorstwo!$A$57:$A$76,0),MATCH($B$9,Juniorstwo!$A$56:$N$56,0))*F$9+INDEX(JuniorzyPozytyw[],MATCH($A68,Juniorstwo!$A$57:$A$76,0),MATCH($B$10,Juniorstwo!$A$56:$N$56,0))*F$10+INDEX(JuniorzyPozytyw[],MATCH($A68,Juniorstwo!$A$57:$A$76,0),MATCH($B$11,Juniorstwo!$A$56:$N$56,0))*F$11+INDEX(JuniorzyPozytyw[],MATCH($A68,Juniorstwo!$A$57:$A$76,0),MATCH($B$12,Juniorstwo!$A$56:$N$56,0))*F$12+INDEX(JuniorzyPozytyw[],MATCH($A68,Juniorstwo!$A$57:$A$76,0),MATCH($B$13,Juniorstwo!$A$56:$N$56,0))*F$13,"-")</f>
        <v>75.284999999999997</v>
      </c>
      <c r="G68" s="38">
        <f ca="1">IFERROR(INDEX(JuniorzyPozytyw[],MATCH($A68,Juniorstwo!$A$57:$A$76,0),MATCH($B$2,Juniorstwo!$A$56:$N$56,0))*G$2+INDEX(JuniorzyPozytyw[],MATCH($A68,Juniorstwo!$A$57:$A$76,0),MATCH($B$3,Juniorstwo!$A$56:$N$56,0))*G$3+INDEX(JuniorzyPozytyw[],MATCH($A68,Juniorstwo!$A$57:$A$76,0),MATCH($B$4,Juniorstwo!$A$56:$N$56,0))*G$4+INDEX(JuniorzyPozytyw[],MATCH($A68,Juniorstwo!$A$57:$A$76,0),MATCH($B$5,Juniorstwo!$A$56:$N$56,0))*G$5+INDEX(JuniorzyPozytyw[],MATCH($A68,Juniorstwo!$A$57:$A$76,0),MATCH($B$6,Juniorstwo!$A$56:$N$56,0))*G$6+INDEX(JuniorzyPozytyw[],MATCH($A68,Juniorstwo!$A$57:$A$76,0),MATCH($B$7,Juniorstwo!$A$56:$N$56,0))*G$7+INDEX(JuniorzyPozytyw[],MATCH($A68,Juniorstwo!$A$57:$A$76,0),MATCH($B$8,Juniorstwo!$A$56:$N$56,0))*G$8+INDEX(JuniorzyPozytyw[],MATCH($A68,Juniorstwo!$A$57:$A$76,0),MATCH($B$9,Juniorstwo!$A$56:$N$56,0))*G$9+INDEX(JuniorzyPozytyw[],MATCH($A68,Juniorstwo!$A$57:$A$76,0),MATCH($B$10,Juniorstwo!$A$56:$N$56,0))*G$10+INDEX(JuniorzyPozytyw[],MATCH($A68,Juniorstwo!$A$57:$A$76,0),MATCH($B$11,Juniorstwo!$A$56:$N$56,0))*G$11+INDEX(JuniorzyPozytyw[],MATCH($A68,Juniorstwo!$A$57:$A$76,0),MATCH($B$12,Juniorstwo!$A$56:$N$56,0))*G$12+INDEX(JuniorzyPozytyw[],MATCH($A68,Juniorstwo!$A$57:$A$76,0),MATCH($B$13,Juniorstwo!$A$56:$N$56,0))*G$13,"-")</f>
        <v>73.034999999999997</v>
      </c>
      <c r="H68" s="38">
        <f ca="1">IFERROR(INDEX(JuniorzyPozytyw[],MATCH($A68,Juniorstwo!$A$57:$A$76,0),MATCH($B$2,Juniorstwo!$A$56:$N$56,0))*H$2+INDEX(JuniorzyPozytyw[],MATCH($A68,Juniorstwo!$A$57:$A$76,0),MATCH($B$3,Juniorstwo!$A$56:$N$56,0))*H$3+INDEX(JuniorzyPozytyw[],MATCH($A68,Juniorstwo!$A$57:$A$76,0),MATCH($B$4,Juniorstwo!$A$56:$N$56,0))*H$4+INDEX(JuniorzyPozytyw[],MATCH($A68,Juniorstwo!$A$57:$A$76,0),MATCH($B$5,Juniorstwo!$A$56:$N$56,0))*H$5+INDEX(JuniorzyPozytyw[],MATCH($A68,Juniorstwo!$A$57:$A$76,0),MATCH($B$6,Juniorstwo!$A$56:$N$56,0))*H$6+INDEX(JuniorzyPozytyw[],MATCH($A68,Juniorstwo!$A$57:$A$76,0),MATCH($B$7,Juniorstwo!$A$56:$N$56,0))*H$7+INDEX(JuniorzyPozytyw[],MATCH($A68,Juniorstwo!$A$57:$A$76,0),MATCH($B$8,Juniorstwo!$A$56:$N$56,0))*H$8+INDEX(JuniorzyPozytyw[],MATCH($A68,Juniorstwo!$A$57:$A$76,0),MATCH($B$9,Juniorstwo!$A$56:$N$56,0))*H$9+INDEX(JuniorzyPozytyw[],MATCH($A68,Juniorstwo!$A$57:$A$76,0),MATCH($B$10,Juniorstwo!$A$56:$N$56,0))*H$10+INDEX(JuniorzyPozytyw[],MATCH($A68,Juniorstwo!$A$57:$A$76,0),MATCH($B$11,Juniorstwo!$A$56:$N$56,0))*H$11+INDEX(JuniorzyPozytyw[],MATCH($A68,Juniorstwo!$A$57:$A$76,0),MATCH($B$12,Juniorstwo!$A$56:$N$56,0))*H$12+INDEX(JuniorzyPozytyw[],MATCH($A68,Juniorstwo!$A$57:$A$76,0),MATCH($B$13,Juniorstwo!$A$56:$N$56,0))*H$13,"-")</f>
        <v>70.284999999999997</v>
      </c>
      <c r="I68" s="38">
        <f ca="1">IFERROR(INDEX(JuniorzyPozytyw[],MATCH($A68,Juniorstwo!$A$57:$A$76,0),MATCH($B$2,Juniorstwo!$A$56:$N$56,0))*I$2+INDEX(JuniorzyPozytyw[],MATCH($A68,Juniorstwo!$A$57:$A$76,0),MATCH($B$3,Juniorstwo!$A$56:$N$56,0))*I$3+INDEX(JuniorzyPozytyw[],MATCH($A68,Juniorstwo!$A$57:$A$76,0),MATCH($B$4,Juniorstwo!$A$56:$N$56,0))*I$4+INDEX(JuniorzyPozytyw[],MATCH($A68,Juniorstwo!$A$57:$A$76,0),MATCH($B$5,Juniorstwo!$A$56:$N$56,0))*I$5+INDEX(JuniorzyPozytyw[],MATCH($A68,Juniorstwo!$A$57:$A$76,0),MATCH($B$6,Juniorstwo!$A$56:$N$56,0))*I$6+INDEX(JuniorzyPozytyw[],MATCH($A68,Juniorstwo!$A$57:$A$76,0),MATCH($B$7,Juniorstwo!$A$56:$N$56,0))*I$7+INDEX(JuniorzyPozytyw[],MATCH($A68,Juniorstwo!$A$57:$A$76,0),MATCH($B$8,Juniorstwo!$A$56:$N$56,0))*I$8+INDEX(JuniorzyPozytyw[],MATCH($A68,Juniorstwo!$A$57:$A$76,0),MATCH($B$9,Juniorstwo!$A$56:$N$56,0))*I$9+INDEX(JuniorzyPozytyw[],MATCH($A68,Juniorstwo!$A$57:$A$76,0),MATCH($B$10,Juniorstwo!$A$56:$N$56,0))*I$10+INDEX(JuniorzyPozytyw[],MATCH($A68,Juniorstwo!$A$57:$A$76,0),MATCH($B$11,Juniorstwo!$A$56:$N$56,0))*I$11+INDEX(JuniorzyPozytyw[],MATCH($A68,Juniorstwo!$A$57:$A$76,0),MATCH($B$12,Juniorstwo!$A$56:$N$56,0))*I$12+INDEX(JuniorzyPozytyw[],MATCH($A68,Juniorstwo!$A$57:$A$76,0),MATCH($B$13,Juniorstwo!$A$56:$N$56,0))*I$13,"-")</f>
        <v>69.66</v>
      </c>
      <c r="J68" s="38">
        <f ca="1">IFERROR(INDEX(JuniorzyPozytyw[],MATCH($A68,Juniorstwo!$A$57:$A$76,0),MATCH($B$2,Juniorstwo!$A$56:$N$56,0))*J$2+INDEX(JuniorzyPozytyw[],MATCH($A68,Juniorstwo!$A$57:$A$76,0),MATCH($B$3,Juniorstwo!$A$56:$N$56,0))*J$3+INDEX(JuniorzyPozytyw[],MATCH($A68,Juniorstwo!$A$57:$A$76,0),MATCH($B$4,Juniorstwo!$A$56:$N$56,0))*J$4+INDEX(JuniorzyPozytyw[],MATCH($A68,Juniorstwo!$A$57:$A$76,0),MATCH($B$5,Juniorstwo!$A$56:$N$56,0))*J$5+INDEX(JuniorzyPozytyw[],MATCH($A68,Juniorstwo!$A$57:$A$76,0),MATCH($B$6,Juniorstwo!$A$56:$N$56,0))*J$6+INDEX(JuniorzyPozytyw[],MATCH($A68,Juniorstwo!$A$57:$A$76,0),MATCH($B$7,Juniorstwo!$A$56:$N$56,0))*J$7+INDEX(JuniorzyPozytyw[],MATCH($A68,Juniorstwo!$A$57:$A$76,0),MATCH($B$8,Juniorstwo!$A$56:$N$56,0))*J$8+INDEX(JuniorzyPozytyw[],MATCH($A68,Juniorstwo!$A$57:$A$76,0),MATCH($B$9,Juniorstwo!$A$56:$N$56,0))*J$9+INDEX(JuniorzyPozytyw[],MATCH($A68,Juniorstwo!$A$57:$A$76,0),MATCH($B$10,Juniorstwo!$A$56:$N$56,0))*J$10+INDEX(JuniorzyPozytyw[],MATCH($A68,Juniorstwo!$A$57:$A$76,0),MATCH($B$11,Juniorstwo!$A$56:$N$56,0))*J$11+INDEX(JuniorzyPozytyw[],MATCH($A68,Juniorstwo!$A$57:$A$76,0),MATCH($B$12,Juniorstwo!$A$56:$N$56,0))*J$12+INDEX(JuniorzyPozytyw[],MATCH($A68,Juniorstwo!$A$57:$A$76,0),MATCH($B$13,Juniorstwo!$A$56:$N$56,0))*J$13,"-")</f>
        <v>69.284999999999997</v>
      </c>
      <c r="K68" s="38">
        <f ca="1">IFERROR(INDEX(JuniorzyPozytyw[],MATCH($A68,Juniorstwo!$A$57:$A$76,0),MATCH($B$2,Juniorstwo!$A$56:$N$56,0))*K$2+INDEX(JuniorzyPozytyw[],MATCH($A68,Juniorstwo!$A$57:$A$76,0),MATCH($B$3,Juniorstwo!$A$56:$N$56,0))*K$3+INDEX(JuniorzyPozytyw[],MATCH($A68,Juniorstwo!$A$57:$A$76,0),MATCH($B$4,Juniorstwo!$A$56:$N$56,0))*K$4+INDEX(JuniorzyPozytyw[],MATCH($A68,Juniorstwo!$A$57:$A$76,0),MATCH($B$5,Juniorstwo!$A$56:$N$56,0))*K$5+INDEX(JuniorzyPozytyw[],MATCH($A68,Juniorstwo!$A$57:$A$76,0),MATCH($B$6,Juniorstwo!$A$56:$N$56,0))*K$6+INDEX(JuniorzyPozytyw[],MATCH($A68,Juniorstwo!$A$57:$A$76,0),MATCH($B$7,Juniorstwo!$A$56:$N$56,0))*K$7+INDEX(JuniorzyPozytyw[],MATCH($A68,Juniorstwo!$A$57:$A$76,0),MATCH($B$8,Juniorstwo!$A$56:$N$56,0))*K$8+INDEX(JuniorzyPozytyw[],MATCH($A68,Juniorstwo!$A$57:$A$76,0),MATCH($B$9,Juniorstwo!$A$56:$N$56,0))*K$9+INDEX(JuniorzyPozytyw[],MATCH($A68,Juniorstwo!$A$57:$A$76,0),MATCH($B$10,Juniorstwo!$A$56:$N$56,0))*K$10+INDEX(JuniorzyPozytyw[],MATCH($A68,Juniorstwo!$A$57:$A$76,0),MATCH($B$11,Juniorstwo!$A$56:$N$56,0))*K$11+INDEX(JuniorzyPozytyw[],MATCH($A68,Juniorstwo!$A$57:$A$76,0),MATCH($B$12,Juniorstwo!$A$56:$N$56,0))*K$12+INDEX(JuniorzyPozytyw[],MATCH($A68,Juniorstwo!$A$57:$A$76,0),MATCH($B$13,Juniorstwo!$A$56:$N$56,0))*K$13,"-")</f>
        <v>70.91</v>
      </c>
    </row>
    <row r="69" spans="1:11" x14ac:dyDescent="0.25">
      <c r="A69" s="97">
        <v>39</v>
      </c>
      <c r="B69" s="3" t="str">
        <f>IFERROR(VLOOKUP(PozJunPŚr[[#This Row],[Numer]],Zawodnicy[[Number]:[Player name]],2,FALSE),"-")</f>
        <v>Damazy Pionek</v>
      </c>
      <c r="C69" s="38">
        <f ca="1">IFERROR(INDEX(JuniorzyPozytyw[],MATCH($A69,Juniorstwo!$A$57:$A$76,0),MATCH($B$2,Juniorstwo!$A$56:$N$56,0))*C$2+INDEX(JuniorzyPozytyw[],MATCH($A69,Juniorstwo!$A$57:$A$76,0),MATCH($B$3,Juniorstwo!$A$56:$N$56,0))*C$3+INDEX(JuniorzyPozytyw[],MATCH($A69,Juniorstwo!$A$57:$A$76,0),MATCH($B$4,Juniorstwo!$A$56:$N$56,0))*C$4+INDEX(JuniorzyPozytyw[],MATCH($A69,Juniorstwo!$A$57:$A$76,0),MATCH($B$5,Juniorstwo!$A$56:$N$56,0))*C$5+INDEX(JuniorzyPozytyw[],MATCH($A69,Juniorstwo!$A$57:$A$76,0),MATCH($B$6,Juniorstwo!$A$56:$N$56,0))*C$6+INDEX(JuniorzyPozytyw[],MATCH($A69,Juniorstwo!$A$57:$A$76,0),MATCH($B$7,Juniorstwo!$A$56:$N$56,0))*C$7+INDEX(JuniorzyPozytyw[],MATCH($A69,Juniorstwo!$A$57:$A$76,0),MATCH($B$8,Juniorstwo!$A$56:$N$56,0))*C$8+INDEX(JuniorzyPozytyw[],MATCH($A69,Juniorstwo!$A$57:$A$76,0),MATCH($B$9,Juniorstwo!$A$56:$N$56,0))*C$9+INDEX(JuniorzyPozytyw[],MATCH($A69,Juniorstwo!$A$57:$A$76,0),MATCH($B$10,Juniorstwo!$A$56:$N$56,0))*C$10+INDEX(JuniorzyPozytyw[],MATCH($A69,Juniorstwo!$A$57:$A$76,0),MATCH($B$11,Juniorstwo!$A$56:$N$56,0))*C$11+INDEX(JuniorzyPozytyw[],MATCH($A69,Juniorstwo!$A$57:$A$76,0),MATCH($B$12,Juniorstwo!$A$56:$N$56,0))*C$12+INDEX(JuniorzyPozytyw[],MATCH($A69,Juniorstwo!$A$57:$A$76,0),MATCH($B$13,Juniorstwo!$A$56:$N$56,0))*C$13,"-")</f>
        <v>94.295000000000002</v>
      </c>
      <c r="D69" s="38">
        <f ca="1">IFERROR(INDEX(JuniorzyPozytyw[],MATCH($A69,Juniorstwo!$A$57:$A$76,0),MATCH($B$2,Juniorstwo!$A$56:$N$56,0))*D$2+INDEX(JuniorzyPozytyw[],MATCH($A69,Juniorstwo!$A$57:$A$76,0),MATCH($B$3,Juniorstwo!$A$56:$N$56,0))*D$3+INDEX(JuniorzyPozytyw[],MATCH($A69,Juniorstwo!$A$57:$A$76,0),MATCH($B$4,Juniorstwo!$A$56:$N$56,0))*D$4+INDEX(JuniorzyPozytyw[],MATCH($A69,Juniorstwo!$A$57:$A$76,0),MATCH($B$5,Juniorstwo!$A$56:$N$56,0))*D$5+INDEX(JuniorzyPozytyw[],MATCH($A69,Juniorstwo!$A$57:$A$76,0),MATCH($B$6,Juniorstwo!$A$56:$N$56,0))*D$6+INDEX(JuniorzyPozytyw[],MATCH($A69,Juniorstwo!$A$57:$A$76,0),MATCH($B$7,Juniorstwo!$A$56:$N$56,0))*D$7+INDEX(JuniorzyPozytyw[],MATCH($A69,Juniorstwo!$A$57:$A$76,0),MATCH($B$8,Juniorstwo!$A$56:$N$56,0))*D$8+INDEX(JuniorzyPozytyw[],MATCH($A69,Juniorstwo!$A$57:$A$76,0),MATCH($B$9,Juniorstwo!$A$56:$N$56,0))*D$9+INDEX(JuniorzyPozytyw[],MATCH($A69,Juniorstwo!$A$57:$A$76,0),MATCH($B$10,Juniorstwo!$A$56:$N$56,0))*D$10+INDEX(JuniorzyPozytyw[],MATCH($A69,Juniorstwo!$A$57:$A$76,0),MATCH($B$11,Juniorstwo!$A$56:$N$56,0))*D$11+INDEX(JuniorzyPozytyw[],MATCH($A69,Juniorstwo!$A$57:$A$76,0),MATCH($B$12,Juniorstwo!$A$56:$N$56,0))*D$12+INDEX(JuniorzyPozytyw[],MATCH($A69,Juniorstwo!$A$57:$A$76,0),MATCH($B$13,Juniorstwo!$A$56:$N$56,0))*D$13,"-")</f>
        <v>86.795000000000002</v>
      </c>
      <c r="E69" s="38">
        <f ca="1">IFERROR(INDEX(JuniorzyPozytyw[],MATCH($A69,Juniorstwo!$A$57:$A$76,0),MATCH($B$2,Juniorstwo!$A$56:$N$56,0))*E$2+INDEX(JuniorzyPozytyw[],MATCH($A69,Juniorstwo!$A$57:$A$76,0),MATCH($B$3,Juniorstwo!$A$56:$N$56,0))*E$3+INDEX(JuniorzyPozytyw[],MATCH($A69,Juniorstwo!$A$57:$A$76,0),MATCH($B$4,Juniorstwo!$A$56:$N$56,0))*E$4+INDEX(JuniorzyPozytyw[],MATCH($A69,Juniorstwo!$A$57:$A$76,0),MATCH($B$5,Juniorstwo!$A$56:$N$56,0))*E$5+INDEX(JuniorzyPozytyw[],MATCH($A69,Juniorstwo!$A$57:$A$76,0),MATCH($B$6,Juniorstwo!$A$56:$N$56,0))*E$6+INDEX(JuniorzyPozytyw[],MATCH($A69,Juniorstwo!$A$57:$A$76,0),MATCH($B$7,Juniorstwo!$A$56:$N$56,0))*E$7+INDEX(JuniorzyPozytyw[],MATCH($A69,Juniorstwo!$A$57:$A$76,0),MATCH($B$8,Juniorstwo!$A$56:$N$56,0))*E$8+INDEX(JuniorzyPozytyw[],MATCH($A69,Juniorstwo!$A$57:$A$76,0),MATCH($B$9,Juniorstwo!$A$56:$N$56,0))*E$9+INDEX(JuniorzyPozytyw[],MATCH($A69,Juniorstwo!$A$57:$A$76,0),MATCH($B$10,Juniorstwo!$A$56:$N$56,0))*E$10+INDEX(JuniorzyPozytyw[],MATCH($A69,Juniorstwo!$A$57:$A$76,0),MATCH($B$11,Juniorstwo!$A$56:$N$56,0))*E$11+INDEX(JuniorzyPozytyw[],MATCH($A69,Juniorstwo!$A$57:$A$76,0),MATCH($B$12,Juniorstwo!$A$56:$N$56,0))*E$12+INDEX(JuniorzyPozytyw[],MATCH($A69,Juniorstwo!$A$57:$A$76,0),MATCH($B$13,Juniorstwo!$A$56:$N$56,0))*E$13,"-")</f>
        <v>86.295000000000002</v>
      </c>
      <c r="F69" s="38">
        <f ca="1">IFERROR(INDEX(JuniorzyPozytyw[],MATCH($A69,Juniorstwo!$A$57:$A$76,0),MATCH($B$2,Juniorstwo!$A$56:$N$56,0))*F$2+INDEX(JuniorzyPozytyw[],MATCH($A69,Juniorstwo!$A$57:$A$76,0),MATCH($B$3,Juniorstwo!$A$56:$N$56,0))*F$3+INDEX(JuniorzyPozytyw[],MATCH($A69,Juniorstwo!$A$57:$A$76,0),MATCH($B$4,Juniorstwo!$A$56:$N$56,0))*F$4+INDEX(JuniorzyPozytyw[],MATCH($A69,Juniorstwo!$A$57:$A$76,0),MATCH($B$5,Juniorstwo!$A$56:$N$56,0))*F$5+INDEX(JuniorzyPozytyw[],MATCH($A69,Juniorstwo!$A$57:$A$76,0),MATCH($B$6,Juniorstwo!$A$56:$N$56,0))*F$6+INDEX(JuniorzyPozytyw[],MATCH($A69,Juniorstwo!$A$57:$A$76,0),MATCH($B$7,Juniorstwo!$A$56:$N$56,0))*F$7+INDEX(JuniorzyPozytyw[],MATCH($A69,Juniorstwo!$A$57:$A$76,0),MATCH($B$8,Juniorstwo!$A$56:$N$56,0))*F$8+INDEX(JuniorzyPozytyw[],MATCH($A69,Juniorstwo!$A$57:$A$76,0),MATCH($B$9,Juniorstwo!$A$56:$N$56,0))*F$9+INDEX(JuniorzyPozytyw[],MATCH($A69,Juniorstwo!$A$57:$A$76,0),MATCH($B$10,Juniorstwo!$A$56:$N$56,0))*F$10+INDEX(JuniorzyPozytyw[],MATCH($A69,Juniorstwo!$A$57:$A$76,0),MATCH($B$11,Juniorstwo!$A$56:$N$56,0))*F$11+INDEX(JuniorzyPozytyw[],MATCH($A69,Juniorstwo!$A$57:$A$76,0),MATCH($B$12,Juniorstwo!$A$56:$N$56,0))*F$12+INDEX(JuniorzyPozytyw[],MATCH($A69,Juniorstwo!$A$57:$A$76,0),MATCH($B$13,Juniorstwo!$A$56:$N$56,0))*F$13,"-")</f>
        <v>86.67</v>
      </c>
      <c r="G69" s="38">
        <f ca="1">IFERROR(INDEX(JuniorzyPozytyw[],MATCH($A69,Juniorstwo!$A$57:$A$76,0),MATCH($B$2,Juniorstwo!$A$56:$N$56,0))*G$2+INDEX(JuniorzyPozytyw[],MATCH($A69,Juniorstwo!$A$57:$A$76,0),MATCH($B$3,Juniorstwo!$A$56:$N$56,0))*G$3+INDEX(JuniorzyPozytyw[],MATCH($A69,Juniorstwo!$A$57:$A$76,0),MATCH($B$4,Juniorstwo!$A$56:$N$56,0))*G$4+INDEX(JuniorzyPozytyw[],MATCH($A69,Juniorstwo!$A$57:$A$76,0),MATCH($B$5,Juniorstwo!$A$56:$N$56,0))*G$5+INDEX(JuniorzyPozytyw[],MATCH($A69,Juniorstwo!$A$57:$A$76,0),MATCH($B$6,Juniorstwo!$A$56:$N$56,0))*G$6+INDEX(JuniorzyPozytyw[],MATCH($A69,Juniorstwo!$A$57:$A$76,0),MATCH($B$7,Juniorstwo!$A$56:$N$56,0))*G$7+INDEX(JuniorzyPozytyw[],MATCH($A69,Juniorstwo!$A$57:$A$76,0),MATCH($B$8,Juniorstwo!$A$56:$N$56,0))*G$8+INDEX(JuniorzyPozytyw[],MATCH($A69,Juniorstwo!$A$57:$A$76,0),MATCH($B$9,Juniorstwo!$A$56:$N$56,0))*G$9+INDEX(JuniorzyPozytyw[],MATCH($A69,Juniorstwo!$A$57:$A$76,0),MATCH($B$10,Juniorstwo!$A$56:$N$56,0))*G$10+INDEX(JuniorzyPozytyw[],MATCH($A69,Juniorstwo!$A$57:$A$76,0),MATCH($B$11,Juniorstwo!$A$56:$N$56,0))*G$11+INDEX(JuniorzyPozytyw[],MATCH($A69,Juniorstwo!$A$57:$A$76,0),MATCH($B$12,Juniorstwo!$A$56:$N$56,0))*G$12+INDEX(JuniorzyPozytyw[],MATCH($A69,Juniorstwo!$A$57:$A$76,0),MATCH($B$13,Juniorstwo!$A$56:$N$56,0))*G$13,"-")</f>
        <v>86.67</v>
      </c>
      <c r="H69" s="38">
        <f ca="1">IFERROR(INDEX(JuniorzyPozytyw[],MATCH($A69,Juniorstwo!$A$57:$A$76,0),MATCH($B$2,Juniorstwo!$A$56:$N$56,0))*H$2+INDEX(JuniorzyPozytyw[],MATCH($A69,Juniorstwo!$A$57:$A$76,0),MATCH($B$3,Juniorstwo!$A$56:$N$56,0))*H$3+INDEX(JuniorzyPozytyw[],MATCH($A69,Juniorstwo!$A$57:$A$76,0),MATCH($B$4,Juniorstwo!$A$56:$N$56,0))*H$4+INDEX(JuniorzyPozytyw[],MATCH($A69,Juniorstwo!$A$57:$A$76,0),MATCH($B$5,Juniorstwo!$A$56:$N$56,0))*H$5+INDEX(JuniorzyPozytyw[],MATCH($A69,Juniorstwo!$A$57:$A$76,0),MATCH($B$6,Juniorstwo!$A$56:$N$56,0))*H$6+INDEX(JuniorzyPozytyw[],MATCH($A69,Juniorstwo!$A$57:$A$76,0),MATCH($B$7,Juniorstwo!$A$56:$N$56,0))*H$7+INDEX(JuniorzyPozytyw[],MATCH($A69,Juniorstwo!$A$57:$A$76,0),MATCH($B$8,Juniorstwo!$A$56:$N$56,0))*H$8+INDEX(JuniorzyPozytyw[],MATCH($A69,Juniorstwo!$A$57:$A$76,0),MATCH($B$9,Juniorstwo!$A$56:$N$56,0))*H$9+INDEX(JuniorzyPozytyw[],MATCH($A69,Juniorstwo!$A$57:$A$76,0),MATCH($B$10,Juniorstwo!$A$56:$N$56,0))*H$10+INDEX(JuniorzyPozytyw[],MATCH($A69,Juniorstwo!$A$57:$A$76,0),MATCH($B$11,Juniorstwo!$A$56:$N$56,0))*H$11+INDEX(JuniorzyPozytyw[],MATCH($A69,Juniorstwo!$A$57:$A$76,0),MATCH($B$12,Juniorstwo!$A$56:$N$56,0))*H$12+INDEX(JuniorzyPozytyw[],MATCH($A69,Juniorstwo!$A$57:$A$76,0),MATCH($B$13,Juniorstwo!$A$56:$N$56,0))*H$13,"-")</f>
        <v>86.67</v>
      </c>
      <c r="I69" s="38">
        <f ca="1">IFERROR(INDEX(JuniorzyPozytyw[],MATCH($A69,Juniorstwo!$A$57:$A$76,0),MATCH($B$2,Juniorstwo!$A$56:$N$56,0))*I$2+INDEX(JuniorzyPozytyw[],MATCH($A69,Juniorstwo!$A$57:$A$76,0),MATCH($B$3,Juniorstwo!$A$56:$N$56,0))*I$3+INDEX(JuniorzyPozytyw[],MATCH($A69,Juniorstwo!$A$57:$A$76,0),MATCH($B$4,Juniorstwo!$A$56:$N$56,0))*I$4+INDEX(JuniorzyPozytyw[],MATCH($A69,Juniorstwo!$A$57:$A$76,0),MATCH($B$5,Juniorstwo!$A$56:$N$56,0))*I$5+INDEX(JuniorzyPozytyw[],MATCH($A69,Juniorstwo!$A$57:$A$76,0),MATCH($B$6,Juniorstwo!$A$56:$N$56,0))*I$6+INDEX(JuniorzyPozytyw[],MATCH($A69,Juniorstwo!$A$57:$A$76,0),MATCH($B$7,Juniorstwo!$A$56:$N$56,0))*I$7+INDEX(JuniorzyPozytyw[],MATCH($A69,Juniorstwo!$A$57:$A$76,0),MATCH($B$8,Juniorstwo!$A$56:$N$56,0))*I$8+INDEX(JuniorzyPozytyw[],MATCH($A69,Juniorstwo!$A$57:$A$76,0),MATCH($B$9,Juniorstwo!$A$56:$N$56,0))*I$9+INDEX(JuniorzyPozytyw[],MATCH($A69,Juniorstwo!$A$57:$A$76,0),MATCH($B$10,Juniorstwo!$A$56:$N$56,0))*I$10+INDEX(JuniorzyPozytyw[],MATCH($A69,Juniorstwo!$A$57:$A$76,0),MATCH($B$11,Juniorstwo!$A$56:$N$56,0))*I$11+INDEX(JuniorzyPozytyw[],MATCH($A69,Juniorstwo!$A$57:$A$76,0),MATCH($B$12,Juniorstwo!$A$56:$N$56,0))*I$12+INDEX(JuniorzyPozytyw[],MATCH($A69,Juniorstwo!$A$57:$A$76,0),MATCH($B$13,Juniorstwo!$A$56:$N$56,0))*I$13,"-")</f>
        <v>85.42</v>
      </c>
      <c r="J69" s="38">
        <f ca="1">IFERROR(INDEX(JuniorzyPozytyw[],MATCH($A69,Juniorstwo!$A$57:$A$76,0),MATCH($B$2,Juniorstwo!$A$56:$N$56,0))*J$2+INDEX(JuniorzyPozytyw[],MATCH($A69,Juniorstwo!$A$57:$A$76,0),MATCH($B$3,Juniorstwo!$A$56:$N$56,0))*J$3+INDEX(JuniorzyPozytyw[],MATCH($A69,Juniorstwo!$A$57:$A$76,0),MATCH($B$4,Juniorstwo!$A$56:$N$56,0))*J$4+INDEX(JuniorzyPozytyw[],MATCH($A69,Juniorstwo!$A$57:$A$76,0),MATCH($B$5,Juniorstwo!$A$56:$N$56,0))*J$5+INDEX(JuniorzyPozytyw[],MATCH($A69,Juniorstwo!$A$57:$A$76,0),MATCH($B$6,Juniorstwo!$A$56:$N$56,0))*J$6+INDEX(JuniorzyPozytyw[],MATCH($A69,Juniorstwo!$A$57:$A$76,0),MATCH($B$7,Juniorstwo!$A$56:$N$56,0))*J$7+INDEX(JuniorzyPozytyw[],MATCH($A69,Juniorstwo!$A$57:$A$76,0),MATCH($B$8,Juniorstwo!$A$56:$N$56,0))*J$8+INDEX(JuniorzyPozytyw[],MATCH($A69,Juniorstwo!$A$57:$A$76,0),MATCH($B$9,Juniorstwo!$A$56:$N$56,0))*J$9+INDEX(JuniorzyPozytyw[],MATCH($A69,Juniorstwo!$A$57:$A$76,0),MATCH($B$10,Juniorstwo!$A$56:$N$56,0))*J$10+INDEX(JuniorzyPozytyw[],MATCH($A69,Juniorstwo!$A$57:$A$76,0),MATCH($B$11,Juniorstwo!$A$56:$N$56,0))*J$11+INDEX(JuniorzyPozytyw[],MATCH($A69,Juniorstwo!$A$57:$A$76,0),MATCH($B$12,Juniorstwo!$A$56:$N$56,0))*J$12+INDEX(JuniorzyPozytyw[],MATCH($A69,Juniorstwo!$A$57:$A$76,0),MATCH($B$13,Juniorstwo!$A$56:$N$56,0))*J$13,"-")</f>
        <v>84.17</v>
      </c>
      <c r="K69" s="38">
        <f ca="1">IFERROR(INDEX(JuniorzyPozytyw[],MATCH($A69,Juniorstwo!$A$57:$A$76,0),MATCH($B$2,Juniorstwo!$A$56:$N$56,0))*K$2+INDEX(JuniorzyPozytyw[],MATCH($A69,Juniorstwo!$A$57:$A$76,0),MATCH($B$3,Juniorstwo!$A$56:$N$56,0))*K$3+INDEX(JuniorzyPozytyw[],MATCH($A69,Juniorstwo!$A$57:$A$76,0),MATCH($B$4,Juniorstwo!$A$56:$N$56,0))*K$4+INDEX(JuniorzyPozytyw[],MATCH($A69,Juniorstwo!$A$57:$A$76,0),MATCH($B$5,Juniorstwo!$A$56:$N$56,0))*K$5+INDEX(JuniorzyPozytyw[],MATCH($A69,Juniorstwo!$A$57:$A$76,0),MATCH($B$6,Juniorstwo!$A$56:$N$56,0))*K$6+INDEX(JuniorzyPozytyw[],MATCH($A69,Juniorstwo!$A$57:$A$76,0),MATCH($B$7,Juniorstwo!$A$56:$N$56,0))*K$7+INDEX(JuniorzyPozytyw[],MATCH($A69,Juniorstwo!$A$57:$A$76,0),MATCH($B$8,Juniorstwo!$A$56:$N$56,0))*K$8+INDEX(JuniorzyPozytyw[],MATCH($A69,Juniorstwo!$A$57:$A$76,0),MATCH($B$9,Juniorstwo!$A$56:$N$56,0))*K$9+INDEX(JuniorzyPozytyw[],MATCH($A69,Juniorstwo!$A$57:$A$76,0),MATCH($B$10,Juniorstwo!$A$56:$N$56,0))*K$10+INDEX(JuniorzyPozytyw[],MATCH($A69,Juniorstwo!$A$57:$A$76,0),MATCH($B$11,Juniorstwo!$A$56:$N$56,0))*K$11+INDEX(JuniorzyPozytyw[],MATCH($A69,Juniorstwo!$A$57:$A$76,0),MATCH($B$12,Juniorstwo!$A$56:$N$56,0))*K$12+INDEX(JuniorzyPozytyw[],MATCH($A69,Juniorstwo!$A$57:$A$76,0),MATCH($B$13,Juniorstwo!$A$56:$N$56,0))*K$13,"-")</f>
        <v>81.92</v>
      </c>
    </row>
    <row r="70" spans="1:11" x14ac:dyDescent="0.25">
      <c r="A70" s="97">
        <v>40</v>
      </c>
      <c r="B70" s="3" t="str">
        <f>IFERROR(VLOOKUP(PozJunPŚr[[#This Row],[Numer]],Zawodnicy[[Number]:[Player name]],2,FALSE),"-")</f>
        <v>Benedykt Adamus</v>
      </c>
      <c r="C70" s="38">
        <f ca="1">IFERROR(INDEX(JuniorzyPozytyw[],MATCH($A70,Juniorstwo!$A$57:$A$76,0),MATCH($B$2,Juniorstwo!$A$56:$N$56,0))*C$2+INDEX(JuniorzyPozytyw[],MATCH($A70,Juniorstwo!$A$57:$A$76,0),MATCH($B$3,Juniorstwo!$A$56:$N$56,0))*C$3+INDEX(JuniorzyPozytyw[],MATCH($A70,Juniorstwo!$A$57:$A$76,0),MATCH($B$4,Juniorstwo!$A$56:$N$56,0))*C$4+INDEX(JuniorzyPozytyw[],MATCH($A70,Juniorstwo!$A$57:$A$76,0),MATCH($B$5,Juniorstwo!$A$56:$N$56,0))*C$5+INDEX(JuniorzyPozytyw[],MATCH($A70,Juniorstwo!$A$57:$A$76,0),MATCH($B$6,Juniorstwo!$A$56:$N$56,0))*C$6+INDEX(JuniorzyPozytyw[],MATCH($A70,Juniorstwo!$A$57:$A$76,0),MATCH($B$7,Juniorstwo!$A$56:$N$56,0))*C$7+INDEX(JuniorzyPozytyw[],MATCH($A70,Juniorstwo!$A$57:$A$76,0),MATCH($B$8,Juniorstwo!$A$56:$N$56,0))*C$8+INDEX(JuniorzyPozytyw[],MATCH($A70,Juniorstwo!$A$57:$A$76,0),MATCH($B$9,Juniorstwo!$A$56:$N$56,0))*C$9+INDEX(JuniorzyPozytyw[],MATCH($A70,Juniorstwo!$A$57:$A$76,0),MATCH($B$10,Juniorstwo!$A$56:$N$56,0))*C$10+INDEX(JuniorzyPozytyw[],MATCH($A70,Juniorstwo!$A$57:$A$76,0),MATCH($B$11,Juniorstwo!$A$56:$N$56,0))*C$11+INDEX(JuniorzyPozytyw[],MATCH($A70,Juniorstwo!$A$57:$A$76,0),MATCH($B$12,Juniorstwo!$A$56:$N$56,0))*C$12+INDEX(JuniorzyPozytyw[],MATCH($A70,Juniorstwo!$A$57:$A$76,0),MATCH($B$13,Juniorstwo!$A$56:$N$56,0))*C$13,"-")</f>
        <v>83.045000000000002</v>
      </c>
      <c r="D70" s="38">
        <f ca="1">IFERROR(INDEX(JuniorzyPozytyw[],MATCH($A70,Juniorstwo!$A$57:$A$76,0),MATCH($B$2,Juniorstwo!$A$56:$N$56,0))*D$2+INDEX(JuniorzyPozytyw[],MATCH($A70,Juniorstwo!$A$57:$A$76,0),MATCH($B$3,Juniorstwo!$A$56:$N$56,0))*D$3+INDEX(JuniorzyPozytyw[],MATCH($A70,Juniorstwo!$A$57:$A$76,0),MATCH($B$4,Juniorstwo!$A$56:$N$56,0))*D$4+INDEX(JuniorzyPozytyw[],MATCH($A70,Juniorstwo!$A$57:$A$76,0),MATCH($B$5,Juniorstwo!$A$56:$N$56,0))*D$5+INDEX(JuniorzyPozytyw[],MATCH($A70,Juniorstwo!$A$57:$A$76,0),MATCH($B$6,Juniorstwo!$A$56:$N$56,0))*D$6+INDEX(JuniorzyPozytyw[],MATCH($A70,Juniorstwo!$A$57:$A$76,0),MATCH($B$7,Juniorstwo!$A$56:$N$56,0))*D$7+INDEX(JuniorzyPozytyw[],MATCH($A70,Juniorstwo!$A$57:$A$76,0),MATCH($B$8,Juniorstwo!$A$56:$N$56,0))*D$8+INDEX(JuniorzyPozytyw[],MATCH($A70,Juniorstwo!$A$57:$A$76,0),MATCH($B$9,Juniorstwo!$A$56:$N$56,0))*D$9+INDEX(JuniorzyPozytyw[],MATCH($A70,Juniorstwo!$A$57:$A$76,0),MATCH($B$10,Juniorstwo!$A$56:$N$56,0))*D$10+INDEX(JuniorzyPozytyw[],MATCH($A70,Juniorstwo!$A$57:$A$76,0),MATCH($B$11,Juniorstwo!$A$56:$N$56,0))*D$11+INDEX(JuniorzyPozytyw[],MATCH($A70,Juniorstwo!$A$57:$A$76,0),MATCH($B$12,Juniorstwo!$A$56:$N$56,0))*D$12+INDEX(JuniorzyPozytyw[],MATCH($A70,Juniorstwo!$A$57:$A$76,0),MATCH($B$13,Juniorstwo!$A$56:$N$56,0))*D$13,"-")</f>
        <v>82.795000000000002</v>
      </c>
      <c r="E70" s="38">
        <f ca="1">IFERROR(INDEX(JuniorzyPozytyw[],MATCH($A70,Juniorstwo!$A$57:$A$76,0),MATCH($B$2,Juniorstwo!$A$56:$N$56,0))*E$2+INDEX(JuniorzyPozytyw[],MATCH($A70,Juniorstwo!$A$57:$A$76,0),MATCH($B$3,Juniorstwo!$A$56:$N$56,0))*E$3+INDEX(JuniorzyPozytyw[],MATCH($A70,Juniorstwo!$A$57:$A$76,0),MATCH($B$4,Juniorstwo!$A$56:$N$56,0))*E$4+INDEX(JuniorzyPozytyw[],MATCH($A70,Juniorstwo!$A$57:$A$76,0),MATCH($B$5,Juniorstwo!$A$56:$N$56,0))*E$5+INDEX(JuniorzyPozytyw[],MATCH($A70,Juniorstwo!$A$57:$A$76,0),MATCH($B$6,Juniorstwo!$A$56:$N$56,0))*E$6+INDEX(JuniorzyPozytyw[],MATCH($A70,Juniorstwo!$A$57:$A$76,0),MATCH($B$7,Juniorstwo!$A$56:$N$56,0))*E$7+INDEX(JuniorzyPozytyw[],MATCH($A70,Juniorstwo!$A$57:$A$76,0),MATCH($B$8,Juniorstwo!$A$56:$N$56,0))*E$8+INDEX(JuniorzyPozytyw[],MATCH($A70,Juniorstwo!$A$57:$A$76,0),MATCH($B$9,Juniorstwo!$A$56:$N$56,0))*E$9+INDEX(JuniorzyPozytyw[],MATCH($A70,Juniorstwo!$A$57:$A$76,0),MATCH($B$10,Juniorstwo!$A$56:$N$56,0))*E$10+INDEX(JuniorzyPozytyw[],MATCH($A70,Juniorstwo!$A$57:$A$76,0),MATCH($B$11,Juniorstwo!$A$56:$N$56,0))*E$11+INDEX(JuniorzyPozytyw[],MATCH($A70,Juniorstwo!$A$57:$A$76,0),MATCH($B$12,Juniorstwo!$A$56:$N$56,0))*E$12+INDEX(JuniorzyPozytyw[],MATCH($A70,Juniorstwo!$A$57:$A$76,0),MATCH($B$13,Juniorstwo!$A$56:$N$56,0))*E$13,"-")</f>
        <v>83.545000000000002</v>
      </c>
      <c r="F70" s="38">
        <f ca="1">IFERROR(INDEX(JuniorzyPozytyw[],MATCH($A70,Juniorstwo!$A$57:$A$76,0),MATCH($B$2,Juniorstwo!$A$56:$N$56,0))*F$2+INDEX(JuniorzyPozytyw[],MATCH($A70,Juniorstwo!$A$57:$A$76,0),MATCH($B$3,Juniorstwo!$A$56:$N$56,0))*F$3+INDEX(JuniorzyPozytyw[],MATCH($A70,Juniorstwo!$A$57:$A$76,0),MATCH($B$4,Juniorstwo!$A$56:$N$56,0))*F$4+INDEX(JuniorzyPozytyw[],MATCH($A70,Juniorstwo!$A$57:$A$76,0),MATCH($B$5,Juniorstwo!$A$56:$N$56,0))*F$5+INDEX(JuniorzyPozytyw[],MATCH($A70,Juniorstwo!$A$57:$A$76,0),MATCH($B$6,Juniorstwo!$A$56:$N$56,0))*F$6+INDEX(JuniorzyPozytyw[],MATCH($A70,Juniorstwo!$A$57:$A$76,0),MATCH($B$7,Juniorstwo!$A$56:$N$56,0))*F$7+INDEX(JuniorzyPozytyw[],MATCH($A70,Juniorstwo!$A$57:$A$76,0),MATCH($B$8,Juniorstwo!$A$56:$N$56,0))*F$8+INDEX(JuniorzyPozytyw[],MATCH($A70,Juniorstwo!$A$57:$A$76,0),MATCH($B$9,Juniorstwo!$A$56:$N$56,0))*F$9+INDEX(JuniorzyPozytyw[],MATCH($A70,Juniorstwo!$A$57:$A$76,0),MATCH($B$10,Juniorstwo!$A$56:$N$56,0))*F$10+INDEX(JuniorzyPozytyw[],MATCH($A70,Juniorstwo!$A$57:$A$76,0),MATCH($B$11,Juniorstwo!$A$56:$N$56,0))*F$11+INDEX(JuniorzyPozytyw[],MATCH($A70,Juniorstwo!$A$57:$A$76,0),MATCH($B$12,Juniorstwo!$A$56:$N$56,0))*F$12+INDEX(JuniorzyPozytyw[],MATCH($A70,Juniorstwo!$A$57:$A$76,0),MATCH($B$13,Juniorstwo!$A$56:$N$56,0))*F$13,"-")</f>
        <v>87.795000000000002</v>
      </c>
      <c r="G70" s="38">
        <f ca="1">IFERROR(INDEX(JuniorzyPozytyw[],MATCH($A70,Juniorstwo!$A$57:$A$76,0),MATCH($B$2,Juniorstwo!$A$56:$N$56,0))*G$2+INDEX(JuniorzyPozytyw[],MATCH($A70,Juniorstwo!$A$57:$A$76,0),MATCH($B$3,Juniorstwo!$A$56:$N$56,0))*G$3+INDEX(JuniorzyPozytyw[],MATCH($A70,Juniorstwo!$A$57:$A$76,0),MATCH($B$4,Juniorstwo!$A$56:$N$56,0))*G$4+INDEX(JuniorzyPozytyw[],MATCH($A70,Juniorstwo!$A$57:$A$76,0),MATCH($B$5,Juniorstwo!$A$56:$N$56,0))*G$5+INDEX(JuniorzyPozytyw[],MATCH($A70,Juniorstwo!$A$57:$A$76,0),MATCH($B$6,Juniorstwo!$A$56:$N$56,0))*G$6+INDEX(JuniorzyPozytyw[],MATCH($A70,Juniorstwo!$A$57:$A$76,0),MATCH($B$7,Juniorstwo!$A$56:$N$56,0))*G$7+INDEX(JuniorzyPozytyw[],MATCH($A70,Juniorstwo!$A$57:$A$76,0),MATCH($B$8,Juniorstwo!$A$56:$N$56,0))*G$8+INDEX(JuniorzyPozytyw[],MATCH($A70,Juniorstwo!$A$57:$A$76,0),MATCH($B$9,Juniorstwo!$A$56:$N$56,0))*G$9+INDEX(JuniorzyPozytyw[],MATCH($A70,Juniorstwo!$A$57:$A$76,0),MATCH($B$10,Juniorstwo!$A$56:$N$56,0))*G$10+INDEX(JuniorzyPozytyw[],MATCH($A70,Juniorstwo!$A$57:$A$76,0),MATCH($B$11,Juniorstwo!$A$56:$N$56,0))*G$11+INDEX(JuniorzyPozytyw[],MATCH($A70,Juniorstwo!$A$57:$A$76,0),MATCH($B$12,Juniorstwo!$A$56:$N$56,0))*G$12+INDEX(JuniorzyPozytyw[],MATCH($A70,Juniorstwo!$A$57:$A$76,0),MATCH($B$13,Juniorstwo!$A$56:$N$56,0))*G$13,"-")</f>
        <v>89.295000000000002</v>
      </c>
      <c r="H70" s="38">
        <f ca="1">IFERROR(INDEX(JuniorzyPozytyw[],MATCH($A70,Juniorstwo!$A$57:$A$76,0),MATCH($B$2,Juniorstwo!$A$56:$N$56,0))*H$2+INDEX(JuniorzyPozytyw[],MATCH($A70,Juniorstwo!$A$57:$A$76,0),MATCH($B$3,Juniorstwo!$A$56:$N$56,0))*H$3+INDEX(JuniorzyPozytyw[],MATCH($A70,Juniorstwo!$A$57:$A$76,0),MATCH($B$4,Juniorstwo!$A$56:$N$56,0))*H$4+INDEX(JuniorzyPozytyw[],MATCH($A70,Juniorstwo!$A$57:$A$76,0),MATCH($B$5,Juniorstwo!$A$56:$N$56,0))*H$5+INDEX(JuniorzyPozytyw[],MATCH($A70,Juniorstwo!$A$57:$A$76,0),MATCH($B$6,Juniorstwo!$A$56:$N$56,0))*H$6+INDEX(JuniorzyPozytyw[],MATCH($A70,Juniorstwo!$A$57:$A$76,0),MATCH($B$7,Juniorstwo!$A$56:$N$56,0))*H$7+INDEX(JuniorzyPozytyw[],MATCH($A70,Juniorstwo!$A$57:$A$76,0),MATCH($B$8,Juniorstwo!$A$56:$N$56,0))*H$8+INDEX(JuniorzyPozytyw[],MATCH($A70,Juniorstwo!$A$57:$A$76,0),MATCH($B$9,Juniorstwo!$A$56:$N$56,0))*H$9+INDEX(JuniorzyPozytyw[],MATCH($A70,Juniorstwo!$A$57:$A$76,0),MATCH($B$10,Juniorstwo!$A$56:$N$56,0))*H$10+INDEX(JuniorzyPozytyw[],MATCH($A70,Juniorstwo!$A$57:$A$76,0),MATCH($B$11,Juniorstwo!$A$56:$N$56,0))*H$11+INDEX(JuniorzyPozytyw[],MATCH($A70,Juniorstwo!$A$57:$A$76,0),MATCH($B$12,Juniorstwo!$A$56:$N$56,0))*H$12+INDEX(JuniorzyPozytyw[],MATCH($A70,Juniorstwo!$A$57:$A$76,0),MATCH($B$13,Juniorstwo!$A$56:$N$56,0))*H$13,"-")</f>
        <v>89.42</v>
      </c>
      <c r="I70" s="38">
        <f ca="1">IFERROR(INDEX(JuniorzyPozytyw[],MATCH($A70,Juniorstwo!$A$57:$A$76,0),MATCH($B$2,Juniorstwo!$A$56:$N$56,0))*I$2+INDEX(JuniorzyPozytyw[],MATCH($A70,Juniorstwo!$A$57:$A$76,0),MATCH($B$3,Juniorstwo!$A$56:$N$56,0))*I$3+INDEX(JuniorzyPozytyw[],MATCH($A70,Juniorstwo!$A$57:$A$76,0),MATCH($B$4,Juniorstwo!$A$56:$N$56,0))*I$4+INDEX(JuniorzyPozytyw[],MATCH($A70,Juniorstwo!$A$57:$A$76,0),MATCH($B$5,Juniorstwo!$A$56:$N$56,0))*I$5+INDEX(JuniorzyPozytyw[],MATCH($A70,Juniorstwo!$A$57:$A$76,0),MATCH($B$6,Juniorstwo!$A$56:$N$56,0))*I$6+INDEX(JuniorzyPozytyw[],MATCH($A70,Juniorstwo!$A$57:$A$76,0),MATCH($B$7,Juniorstwo!$A$56:$N$56,0))*I$7+INDEX(JuniorzyPozytyw[],MATCH($A70,Juniorstwo!$A$57:$A$76,0),MATCH($B$8,Juniorstwo!$A$56:$N$56,0))*I$8+INDEX(JuniorzyPozytyw[],MATCH($A70,Juniorstwo!$A$57:$A$76,0),MATCH($B$9,Juniorstwo!$A$56:$N$56,0))*I$9+INDEX(JuniorzyPozytyw[],MATCH($A70,Juniorstwo!$A$57:$A$76,0),MATCH($B$10,Juniorstwo!$A$56:$N$56,0))*I$10+INDEX(JuniorzyPozytyw[],MATCH($A70,Juniorstwo!$A$57:$A$76,0),MATCH($B$11,Juniorstwo!$A$56:$N$56,0))*I$11+INDEX(JuniorzyPozytyw[],MATCH($A70,Juniorstwo!$A$57:$A$76,0),MATCH($B$12,Juniorstwo!$A$56:$N$56,0))*I$12+INDEX(JuniorzyPozytyw[],MATCH($A70,Juniorstwo!$A$57:$A$76,0),MATCH($B$13,Juniorstwo!$A$56:$N$56,0))*I$13,"-")</f>
        <v>91.67</v>
      </c>
      <c r="J70" s="38">
        <f ca="1">IFERROR(INDEX(JuniorzyPozytyw[],MATCH($A70,Juniorstwo!$A$57:$A$76,0),MATCH($B$2,Juniorstwo!$A$56:$N$56,0))*J$2+INDEX(JuniorzyPozytyw[],MATCH($A70,Juniorstwo!$A$57:$A$76,0),MATCH($B$3,Juniorstwo!$A$56:$N$56,0))*J$3+INDEX(JuniorzyPozytyw[],MATCH($A70,Juniorstwo!$A$57:$A$76,0),MATCH($B$4,Juniorstwo!$A$56:$N$56,0))*J$4+INDEX(JuniorzyPozytyw[],MATCH($A70,Juniorstwo!$A$57:$A$76,0),MATCH($B$5,Juniorstwo!$A$56:$N$56,0))*J$5+INDEX(JuniorzyPozytyw[],MATCH($A70,Juniorstwo!$A$57:$A$76,0),MATCH($B$6,Juniorstwo!$A$56:$N$56,0))*J$6+INDEX(JuniorzyPozytyw[],MATCH($A70,Juniorstwo!$A$57:$A$76,0),MATCH($B$7,Juniorstwo!$A$56:$N$56,0))*J$7+INDEX(JuniorzyPozytyw[],MATCH($A70,Juniorstwo!$A$57:$A$76,0),MATCH($B$8,Juniorstwo!$A$56:$N$56,0))*J$8+INDEX(JuniorzyPozytyw[],MATCH($A70,Juniorstwo!$A$57:$A$76,0),MATCH($B$9,Juniorstwo!$A$56:$N$56,0))*J$9+INDEX(JuniorzyPozytyw[],MATCH($A70,Juniorstwo!$A$57:$A$76,0),MATCH($B$10,Juniorstwo!$A$56:$N$56,0))*J$10+INDEX(JuniorzyPozytyw[],MATCH($A70,Juniorstwo!$A$57:$A$76,0),MATCH($B$11,Juniorstwo!$A$56:$N$56,0))*J$11+INDEX(JuniorzyPozytyw[],MATCH($A70,Juniorstwo!$A$57:$A$76,0),MATCH($B$12,Juniorstwo!$A$56:$N$56,0))*J$12+INDEX(JuniorzyPozytyw[],MATCH($A70,Juniorstwo!$A$57:$A$76,0),MATCH($B$13,Juniorstwo!$A$56:$N$56,0))*J$13,"-")</f>
        <v>89.17</v>
      </c>
      <c r="K70" s="38">
        <f ca="1">IFERROR(INDEX(JuniorzyPozytyw[],MATCH($A70,Juniorstwo!$A$57:$A$76,0),MATCH($B$2,Juniorstwo!$A$56:$N$56,0))*K$2+INDEX(JuniorzyPozytyw[],MATCH($A70,Juniorstwo!$A$57:$A$76,0),MATCH($B$3,Juniorstwo!$A$56:$N$56,0))*K$3+INDEX(JuniorzyPozytyw[],MATCH($A70,Juniorstwo!$A$57:$A$76,0),MATCH($B$4,Juniorstwo!$A$56:$N$56,0))*K$4+INDEX(JuniorzyPozytyw[],MATCH($A70,Juniorstwo!$A$57:$A$76,0),MATCH($B$5,Juniorstwo!$A$56:$N$56,0))*K$5+INDEX(JuniorzyPozytyw[],MATCH($A70,Juniorstwo!$A$57:$A$76,0),MATCH($B$6,Juniorstwo!$A$56:$N$56,0))*K$6+INDEX(JuniorzyPozytyw[],MATCH($A70,Juniorstwo!$A$57:$A$76,0),MATCH($B$7,Juniorstwo!$A$56:$N$56,0))*K$7+INDEX(JuniorzyPozytyw[],MATCH($A70,Juniorstwo!$A$57:$A$76,0),MATCH($B$8,Juniorstwo!$A$56:$N$56,0))*K$8+INDEX(JuniorzyPozytyw[],MATCH($A70,Juniorstwo!$A$57:$A$76,0),MATCH($B$9,Juniorstwo!$A$56:$N$56,0))*K$9+INDEX(JuniorzyPozytyw[],MATCH($A70,Juniorstwo!$A$57:$A$76,0),MATCH($B$10,Juniorstwo!$A$56:$N$56,0))*K$10+INDEX(JuniorzyPozytyw[],MATCH($A70,Juniorstwo!$A$57:$A$76,0),MATCH($B$11,Juniorstwo!$A$56:$N$56,0))*K$11+INDEX(JuniorzyPozytyw[],MATCH($A70,Juniorstwo!$A$57:$A$76,0),MATCH($B$12,Juniorstwo!$A$56:$N$56,0))*K$12+INDEX(JuniorzyPozytyw[],MATCH($A70,Juniorstwo!$A$57:$A$76,0),MATCH($B$13,Juniorstwo!$A$56:$N$56,0))*K$13,"-")</f>
        <v>88.795000000000002</v>
      </c>
    </row>
    <row r="71" spans="1:11" x14ac:dyDescent="0.25">
      <c r="A71" s="97">
        <v>42</v>
      </c>
      <c r="B71" s="3" t="str">
        <f>IFERROR(VLOOKUP(PozJunPŚr[[#This Row],[Numer]],Zawodnicy[[Number]:[Player name]],2,FALSE),"-")</f>
        <v>Olaf Skikiewicz</v>
      </c>
      <c r="C71" s="38">
        <f ca="1">IFERROR(INDEX(JuniorzyPozytyw[],MATCH($A71,Juniorstwo!$A$57:$A$76,0),MATCH($B$2,Juniorstwo!$A$56:$N$56,0))*C$2+INDEX(JuniorzyPozytyw[],MATCH($A71,Juniorstwo!$A$57:$A$76,0),MATCH($B$3,Juniorstwo!$A$56:$N$56,0))*C$3+INDEX(JuniorzyPozytyw[],MATCH($A71,Juniorstwo!$A$57:$A$76,0),MATCH($B$4,Juniorstwo!$A$56:$N$56,0))*C$4+INDEX(JuniorzyPozytyw[],MATCH($A71,Juniorstwo!$A$57:$A$76,0),MATCH($B$5,Juniorstwo!$A$56:$N$56,0))*C$5+INDEX(JuniorzyPozytyw[],MATCH($A71,Juniorstwo!$A$57:$A$76,0),MATCH($B$6,Juniorstwo!$A$56:$N$56,0))*C$6+INDEX(JuniorzyPozytyw[],MATCH($A71,Juniorstwo!$A$57:$A$76,0),MATCH($B$7,Juniorstwo!$A$56:$N$56,0))*C$7+INDEX(JuniorzyPozytyw[],MATCH($A71,Juniorstwo!$A$57:$A$76,0),MATCH($B$8,Juniorstwo!$A$56:$N$56,0))*C$8+INDEX(JuniorzyPozytyw[],MATCH($A71,Juniorstwo!$A$57:$A$76,0),MATCH($B$9,Juniorstwo!$A$56:$N$56,0))*C$9+INDEX(JuniorzyPozytyw[],MATCH($A71,Juniorstwo!$A$57:$A$76,0),MATCH($B$10,Juniorstwo!$A$56:$N$56,0))*C$10+INDEX(JuniorzyPozytyw[],MATCH($A71,Juniorstwo!$A$57:$A$76,0),MATCH($B$11,Juniorstwo!$A$56:$N$56,0))*C$11+INDEX(JuniorzyPozytyw[],MATCH($A71,Juniorstwo!$A$57:$A$76,0),MATCH($B$12,Juniorstwo!$A$56:$N$56,0))*C$12+INDEX(JuniorzyPozytyw[],MATCH($A71,Juniorstwo!$A$57:$A$76,0),MATCH($B$13,Juniorstwo!$A$56:$N$56,0))*C$13,"-")</f>
        <v>73.290000000000006</v>
      </c>
      <c r="D71" s="38">
        <f ca="1">IFERROR(INDEX(JuniorzyPozytyw[],MATCH($A71,Juniorstwo!$A$57:$A$76,0),MATCH($B$2,Juniorstwo!$A$56:$N$56,0))*D$2+INDEX(JuniorzyPozytyw[],MATCH($A71,Juniorstwo!$A$57:$A$76,0),MATCH($B$3,Juniorstwo!$A$56:$N$56,0))*D$3+INDEX(JuniorzyPozytyw[],MATCH($A71,Juniorstwo!$A$57:$A$76,0),MATCH($B$4,Juniorstwo!$A$56:$N$56,0))*D$4+INDEX(JuniorzyPozytyw[],MATCH($A71,Juniorstwo!$A$57:$A$76,0),MATCH($B$5,Juniorstwo!$A$56:$N$56,0))*D$5+INDEX(JuniorzyPozytyw[],MATCH($A71,Juniorstwo!$A$57:$A$76,0),MATCH($B$6,Juniorstwo!$A$56:$N$56,0))*D$6+INDEX(JuniorzyPozytyw[],MATCH($A71,Juniorstwo!$A$57:$A$76,0),MATCH($B$7,Juniorstwo!$A$56:$N$56,0))*D$7+INDEX(JuniorzyPozytyw[],MATCH($A71,Juniorstwo!$A$57:$A$76,0),MATCH($B$8,Juniorstwo!$A$56:$N$56,0))*D$8+INDEX(JuniorzyPozytyw[],MATCH($A71,Juniorstwo!$A$57:$A$76,0),MATCH($B$9,Juniorstwo!$A$56:$N$56,0))*D$9+INDEX(JuniorzyPozytyw[],MATCH($A71,Juniorstwo!$A$57:$A$76,0),MATCH($B$10,Juniorstwo!$A$56:$N$56,0))*D$10+INDEX(JuniorzyPozytyw[],MATCH($A71,Juniorstwo!$A$57:$A$76,0),MATCH($B$11,Juniorstwo!$A$56:$N$56,0))*D$11+INDEX(JuniorzyPozytyw[],MATCH($A71,Juniorstwo!$A$57:$A$76,0),MATCH($B$12,Juniorstwo!$A$56:$N$56,0))*D$12+INDEX(JuniorzyPozytyw[],MATCH($A71,Juniorstwo!$A$57:$A$76,0),MATCH($B$13,Juniorstwo!$A$56:$N$56,0))*D$13,"-")</f>
        <v>78.915000000000006</v>
      </c>
      <c r="E71" s="38">
        <f ca="1">IFERROR(INDEX(JuniorzyPozytyw[],MATCH($A71,Juniorstwo!$A$57:$A$76,0),MATCH($B$2,Juniorstwo!$A$56:$N$56,0))*E$2+INDEX(JuniorzyPozytyw[],MATCH($A71,Juniorstwo!$A$57:$A$76,0),MATCH($B$3,Juniorstwo!$A$56:$N$56,0))*E$3+INDEX(JuniorzyPozytyw[],MATCH($A71,Juniorstwo!$A$57:$A$76,0),MATCH($B$4,Juniorstwo!$A$56:$N$56,0))*E$4+INDEX(JuniorzyPozytyw[],MATCH($A71,Juniorstwo!$A$57:$A$76,0),MATCH($B$5,Juniorstwo!$A$56:$N$56,0))*E$5+INDEX(JuniorzyPozytyw[],MATCH($A71,Juniorstwo!$A$57:$A$76,0),MATCH($B$6,Juniorstwo!$A$56:$N$56,0))*E$6+INDEX(JuniorzyPozytyw[],MATCH($A71,Juniorstwo!$A$57:$A$76,0),MATCH($B$7,Juniorstwo!$A$56:$N$56,0))*E$7+INDEX(JuniorzyPozytyw[],MATCH($A71,Juniorstwo!$A$57:$A$76,0),MATCH($B$8,Juniorstwo!$A$56:$N$56,0))*E$8+INDEX(JuniorzyPozytyw[],MATCH($A71,Juniorstwo!$A$57:$A$76,0),MATCH($B$9,Juniorstwo!$A$56:$N$56,0))*E$9+INDEX(JuniorzyPozytyw[],MATCH($A71,Juniorstwo!$A$57:$A$76,0),MATCH($B$10,Juniorstwo!$A$56:$N$56,0))*E$10+INDEX(JuniorzyPozytyw[],MATCH($A71,Juniorstwo!$A$57:$A$76,0),MATCH($B$11,Juniorstwo!$A$56:$N$56,0))*E$11+INDEX(JuniorzyPozytyw[],MATCH($A71,Juniorstwo!$A$57:$A$76,0),MATCH($B$12,Juniorstwo!$A$56:$N$56,0))*E$12+INDEX(JuniorzyPozytyw[],MATCH($A71,Juniorstwo!$A$57:$A$76,0),MATCH($B$13,Juniorstwo!$A$56:$N$56,0))*E$13,"-")</f>
        <v>80.790000000000006</v>
      </c>
      <c r="F71" s="38">
        <f ca="1">IFERROR(INDEX(JuniorzyPozytyw[],MATCH($A71,Juniorstwo!$A$57:$A$76,0),MATCH($B$2,Juniorstwo!$A$56:$N$56,0))*F$2+INDEX(JuniorzyPozytyw[],MATCH($A71,Juniorstwo!$A$57:$A$76,0),MATCH($B$3,Juniorstwo!$A$56:$N$56,0))*F$3+INDEX(JuniorzyPozytyw[],MATCH($A71,Juniorstwo!$A$57:$A$76,0),MATCH($B$4,Juniorstwo!$A$56:$N$56,0))*F$4+INDEX(JuniorzyPozytyw[],MATCH($A71,Juniorstwo!$A$57:$A$76,0),MATCH($B$5,Juniorstwo!$A$56:$N$56,0))*F$5+INDEX(JuniorzyPozytyw[],MATCH($A71,Juniorstwo!$A$57:$A$76,0),MATCH($B$6,Juniorstwo!$A$56:$N$56,0))*F$6+INDEX(JuniorzyPozytyw[],MATCH($A71,Juniorstwo!$A$57:$A$76,0),MATCH($B$7,Juniorstwo!$A$56:$N$56,0))*F$7+INDEX(JuniorzyPozytyw[],MATCH($A71,Juniorstwo!$A$57:$A$76,0),MATCH($B$8,Juniorstwo!$A$56:$N$56,0))*F$8+INDEX(JuniorzyPozytyw[],MATCH($A71,Juniorstwo!$A$57:$A$76,0),MATCH($B$9,Juniorstwo!$A$56:$N$56,0))*F$9+INDEX(JuniorzyPozytyw[],MATCH($A71,Juniorstwo!$A$57:$A$76,0),MATCH($B$10,Juniorstwo!$A$56:$N$56,0))*F$10+INDEX(JuniorzyPozytyw[],MATCH($A71,Juniorstwo!$A$57:$A$76,0),MATCH($B$11,Juniorstwo!$A$56:$N$56,0))*F$11+INDEX(JuniorzyPozytyw[],MATCH($A71,Juniorstwo!$A$57:$A$76,0),MATCH($B$12,Juniorstwo!$A$56:$N$56,0))*F$12+INDEX(JuniorzyPozytyw[],MATCH($A71,Juniorstwo!$A$57:$A$76,0),MATCH($B$13,Juniorstwo!$A$56:$N$56,0))*F$13,"-")</f>
        <v>80.415000000000006</v>
      </c>
      <c r="G71" s="38">
        <f ca="1">IFERROR(INDEX(JuniorzyPozytyw[],MATCH($A71,Juniorstwo!$A$57:$A$76,0),MATCH($B$2,Juniorstwo!$A$56:$N$56,0))*G$2+INDEX(JuniorzyPozytyw[],MATCH($A71,Juniorstwo!$A$57:$A$76,0),MATCH($B$3,Juniorstwo!$A$56:$N$56,0))*G$3+INDEX(JuniorzyPozytyw[],MATCH($A71,Juniorstwo!$A$57:$A$76,0),MATCH($B$4,Juniorstwo!$A$56:$N$56,0))*G$4+INDEX(JuniorzyPozytyw[],MATCH($A71,Juniorstwo!$A$57:$A$76,0),MATCH($B$5,Juniorstwo!$A$56:$N$56,0))*G$5+INDEX(JuniorzyPozytyw[],MATCH($A71,Juniorstwo!$A$57:$A$76,0),MATCH($B$6,Juniorstwo!$A$56:$N$56,0))*G$6+INDEX(JuniorzyPozytyw[],MATCH($A71,Juniorstwo!$A$57:$A$76,0),MATCH($B$7,Juniorstwo!$A$56:$N$56,0))*G$7+INDEX(JuniorzyPozytyw[],MATCH($A71,Juniorstwo!$A$57:$A$76,0),MATCH($B$8,Juniorstwo!$A$56:$N$56,0))*G$8+INDEX(JuniorzyPozytyw[],MATCH($A71,Juniorstwo!$A$57:$A$76,0),MATCH($B$9,Juniorstwo!$A$56:$N$56,0))*G$9+INDEX(JuniorzyPozytyw[],MATCH($A71,Juniorstwo!$A$57:$A$76,0),MATCH($B$10,Juniorstwo!$A$56:$N$56,0))*G$10+INDEX(JuniorzyPozytyw[],MATCH($A71,Juniorstwo!$A$57:$A$76,0),MATCH($B$11,Juniorstwo!$A$56:$N$56,0))*G$11+INDEX(JuniorzyPozytyw[],MATCH($A71,Juniorstwo!$A$57:$A$76,0),MATCH($B$12,Juniorstwo!$A$56:$N$56,0))*G$12+INDEX(JuniorzyPozytyw[],MATCH($A71,Juniorstwo!$A$57:$A$76,0),MATCH($B$13,Juniorstwo!$A$56:$N$56,0))*G$13,"-")</f>
        <v>81.165000000000006</v>
      </c>
      <c r="H71" s="38">
        <f ca="1">IFERROR(INDEX(JuniorzyPozytyw[],MATCH($A71,Juniorstwo!$A$57:$A$76,0),MATCH($B$2,Juniorstwo!$A$56:$N$56,0))*H$2+INDEX(JuniorzyPozytyw[],MATCH($A71,Juniorstwo!$A$57:$A$76,0),MATCH($B$3,Juniorstwo!$A$56:$N$56,0))*H$3+INDEX(JuniorzyPozytyw[],MATCH($A71,Juniorstwo!$A$57:$A$76,0),MATCH($B$4,Juniorstwo!$A$56:$N$56,0))*H$4+INDEX(JuniorzyPozytyw[],MATCH($A71,Juniorstwo!$A$57:$A$76,0),MATCH($B$5,Juniorstwo!$A$56:$N$56,0))*H$5+INDEX(JuniorzyPozytyw[],MATCH($A71,Juniorstwo!$A$57:$A$76,0),MATCH($B$6,Juniorstwo!$A$56:$N$56,0))*H$6+INDEX(JuniorzyPozytyw[],MATCH($A71,Juniorstwo!$A$57:$A$76,0),MATCH($B$7,Juniorstwo!$A$56:$N$56,0))*H$7+INDEX(JuniorzyPozytyw[],MATCH($A71,Juniorstwo!$A$57:$A$76,0),MATCH($B$8,Juniorstwo!$A$56:$N$56,0))*H$8+INDEX(JuniorzyPozytyw[],MATCH($A71,Juniorstwo!$A$57:$A$76,0),MATCH($B$9,Juniorstwo!$A$56:$N$56,0))*H$9+INDEX(JuniorzyPozytyw[],MATCH($A71,Juniorstwo!$A$57:$A$76,0),MATCH($B$10,Juniorstwo!$A$56:$N$56,0))*H$10+INDEX(JuniorzyPozytyw[],MATCH($A71,Juniorstwo!$A$57:$A$76,0),MATCH($B$11,Juniorstwo!$A$56:$N$56,0))*H$11+INDEX(JuniorzyPozytyw[],MATCH($A71,Juniorstwo!$A$57:$A$76,0),MATCH($B$12,Juniorstwo!$A$56:$N$56,0))*H$12+INDEX(JuniorzyPozytyw[],MATCH($A71,Juniorstwo!$A$57:$A$76,0),MATCH($B$13,Juniorstwo!$A$56:$N$56,0))*H$13,"-")</f>
        <v>83.54</v>
      </c>
      <c r="I71" s="38">
        <f ca="1">IFERROR(INDEX(JuniorzyPozytyw[],MATCH($A71,Juniorstwo!$A$57:$A$76,0),MATCH($B$2,Juniorstwo!$A$56:$N$56,0))*I$2+INDEX(JuniorzyPozytyw[],MATCH($A71,Juniorstwo!$A$57:$A$76,0),MATCH($B$3,Juniorstwo!$A$56:$N$56,0))*I$3+INDEX(JuniorzyPozytyw[],MATCH($A71,Juniorstwo!$A$57:$A$76,0),MATCH($B$4,Juniorstwo!$A$56:$N$56,0))*I$4+INDEX(JuniorzyPozytyw[],MATCH($A71,Juniorstwo!$A$57:$A$76,0),MATCH($B$5,Juniorstwo!$A$56:$N$56,0))*I$5+INDEX(JuniorzyPozytyw[],MATCH($A71,Juniorstwo!$A$57:$A$76,0),MATCH($B$6,Juniorstwo!$A$56:$N$56,0))*I$6+INDEX(JuniorzyPozytyw[],MATCH($A71,Juniorstwo!$A$57:$A$76,0),MATCH($B$7,Juniorstwo!$A$56:$N$56,0))*I$7+INDEX(JuniorzyPozytyw[],MATCH($A71,Juniorstwo!$A$57:$A$76,0),MATCH($B$8,Juniorstwo!$A$56:$N$56,0))*I$8+INDEX(JuniorzyPozytyw[],MATCH($A71,Juniorstwo!$A$57:$A$76,0),MATCH($B$9,Juniorstwo!$A$56:$N$56,0))*I$9+INDEX(JuniorzyPozytyw[],MATCH($A71,Juniorstwo!$A$57:$A$76,0),MATCH($B$10,Juniorstwo!$A$56:$N$56,0))*I$10+INDEX(JuniorzyPozytyw[],MATCH($A71,Juniorstwo!$A$57:$A$76,0),MATCH($B$11,Juniorstwo!$A$56:$N$56,0))*I$11+INDEX(JuniorzyPozytyw[],MATCH($A71,Juniorstwo!$A$57:$A$76,0),MATCH($B$12,Juniorstwo!$A$56:$N$56,0))*I$12+INDEX(JuniorzyPozytyw[],MATCH($A71,Juniorstwo!$A$57:$A$76,0),MATCH($B$13,Juniorstwo!$A$56:$N$56,0))*I$13,"-")</f>
        <v>82.04</v>
      </c>
      <c r="J71" s="38">
        <f ca="1">IFERROR(INDEX(JuniorzyPozytyw[],MATCH($A71,Juniorstwo!$A$57:$A$76,0),MATCH($B$2,Juniorstwo!$A$56:$N$56,0))*J$2+INDEX(JuniorzyPozytyw[],MATCH($A71,Juniorstwo!$A$57:$A$76,0),MATCH($B$3,Juniorstwo!$A$56:$N$56,0))*J$3+INDEX(JuniorzyPozytyw[],MATCH($A71,Juniorstwo!$A$57:$A$76,0),MATCH($B$4,Juniorstwo!$A$56:$N$56,0))*J$4+INDEX(JuniorzyPozytyw[],MATCH($A71,Juniorstwo!$A$57:$A$76,0),MATCH($B$5,Juniorstwo!$A$56:$N$56,0))*J$5+INDEX(JuniorzyPozytyw[],MATCH($A71,Juniorstwo!$A$57:$A$76,0),MATCH($B$6,Juniorstwo!$A$56:$N$56,0))*J$6+INDEX(JuniorzyPozytyw[],MATCH($A71,Juniorstwo!$A$57:$A$76,0),MATCH($B$7,Juniorstwo!$A$56:$N$56,0))*J$7+INDEX(JuniorzyPozytyw[],MATCH($A71,Juniorstwo!$A$57:$A$76,0),MATCH($B$8,Juniorstwo!$A$56:$N$56,0))*J$8+INDEX(JuniorzyPozytyw[],MATCH($A71,Juniorstwo!$A$57:$A$76,0),MATCH($B$9,Juniorstwo!$A$56:$N$56,0))*J$9+INDEX(JuniorzyPozytyw[],MATCH($A71,Juniorstwo!$A$57:$A$76,0),MATCH($B$10,Juniorstwo!$A$56:$N$56,0))*J$10+INDEX(JuniorzyPozytyw[],MATCH($A71,Juniorstwo!$A$57:$A$76,0),MATCH($B$11,Juniorstwo!$A$56:$N$56,0))*J$11+INDEX(JuniorzyPozytyw[],MATCH($A71,Juniorstwo!$A$57:$A$76,0),MATCH($B$12,Juniorstwo!$A$56:$N$56,0))*J$12+INDEX(JuniorzyPozytyw[],MATCH($A71,Juniorstwo!$A$57:$A$76,0),MATCH($B$13,Juniorstwo!$A$56:$N$56,0))*J$13,"-")</f>
        <v>83.915000000000006</v>
      </c>
      <c r="K71" s="38">
        <f ca="1">IFERROR(INDEX(JuniorzyPozytyw[],MATCH($A71,Juniorstwo!$A$57:$A$76,0),MATCH($B$2,Juniorstwo!$A$56:$N$56,0))*K$2+INDEX(JuniorzyPozytyw[],MATCH($A71,Juniorstwo!$A$57:$A$76,0),MATCH($B$3,Juniorstwo!$A$56:$N$56,0))*K$3+INDEX(JuniorzyPozytyw[],MATCH($A71,Juniorstwo!$A$57:$A$76,0),MATCH($B$4,Juniorstwo!$A$56:$N$56,0))*K$4+INDEX(JuniorzyPozytyw[],MATCH($A71,Juniorstwo!$A$57:$A$76,0),MATCH($B$5,Juniorstwo!$A$56:$N$56,0))*K$5+INDEX(JuniorzyPozytyw[],MATCH($A71,Juniorstwo!$A$57:$A$76,0),MATCH($B$6,Juniorstwo!$A$56:$N$56,0))*K$6+INDEX(JuniorzyPozytyw[],MATCH($A71,Juniorstwo!$A$57:$A$76,0),MATCH($B$7,Juniorstwo!$A$56:$N$56,0))*K$7+INDEX(JuniorzyPozytyw[],MATCH($A71,Juniorstwo!$A$57:$A$76,0),MATCH($B$8,Juniorstwo!$A$56:$N$56,0))*K$8+INDEX(JuniorzyPozytyw[],MATCH($A71,Juniorstwo!$A$57:$A$76,0),MATCH($B$9,Juniorstwo!$A$56:$N$56,0))*K$9+INDEX(JuniorzyPozytyw[],MATCH($A71,Juniorstwo!$A$57:$A$76,0),MATCH($B$10,Juniorstwo!$A$56:$N$56,0))*K$10+INDEX(JuniorzyPozytyw[],MATCH($A71,Juniorstwo!$A$57:$A$76,0),MATCH($B$11,Juniorstwo!$A$56:$N$56,0))*K$11+INDEX(JuniorzyPozytyw[],MATCH($A71,Juniorstwo!$A$57:$A$76,0),MATCH($B$12,Juniorstwo!$A$56:$N$56,0))*K$12+INDEX(JuniorzyPozytyw[],MATCH($A71,Juniorstwo!$A$57:$A$76,0),MATCH($B$13,Juniorstwo!$A$56:$N$56,0))*K$13,"-")</f>
        <v>81.915000000000006</v>
      </c>
    </row>
    <row r="72" spans="1:11" x14ac:dyDescent="0.25">
      <c r="A72" s="97">
        <v>45</v>
      </c>
      <c r="B72" s="3" t="str">
        <f>IFERROR(VLOOKUP(PozJunPŚr[[#This Row],[Numer]],Zawodnicy[[Number]:[Player name]],2,FALSE),"-")</f>
        <v>Janusz Sierocki</v>
      </c>
      <c r="C72" s="38">
        <f ca="1">IFERROR(INDEX(JuniorzyPozytyw[],MATCH($A72,Juniorstwo!$A$57:$A$76,0),MATCH($B$2,Juniorstwo!$A$56:$N$56,0))*C$2+INDEX(JuniorzyPozytyw[],MATCH($A72,Juniorstwo!$A$57:$A$76,0),MATCH($B$3,Juniorstwo!$A$56:$N$56,0))*C$3+INDEX(JuniorzyPozytyw[],MATCH($A72,Juniorstwo!$A$57:$A$76,0),MATCH($B$4,Juniorstwo!$A$56:$N$56,0))*C$4+INDEX(JuniorzyPozytyw[],MATCH($A72,Juniorstwo!$A$57:$A$76,0),MATCH($B$5,Juniorstwo!$A$56:$N$56,0))*C$5+INDEX(JuniorzyPozytyw[],MATCH($A72,Juniorstwo!$A$57:$A$76,0),MATCH($B$6,Juniorstwo!$A$56:$N$56,0))*C$6+INDEX(JuniorzyPozytyw[],MATCH($A72,Juniorstwo!$A$57:$A$76,0),MATCH($B$7,Juniorstwo!$A$56:$N$56,0))*C$7+INDEX(JuniorzyPozytyw[],MATCH($A72,Juniorstwo!$A$57:$A$76,0),MATCH($B$8,Juniorstwo!$A$56:$N$56,0))*C$8+INDEX(JuniorzyPozytyw[],MATCH($A72,Juniorstwo!$A$57:$A$76,0),MATCH($B$9,Juniorstwo!$A$56:$N$56,0))*C$9+INDEX(JuniorzyPozytyw[],MATCH($A72,Juniorstwo!$A$57:$A$76,0),MATCH($B$10,Juniorstwo!$A$56:$N$56,0))*C$10+INDEX(JuniorzyPozytyw[],MATCH($A72,Juniorstwo!$A$57:$A$76,0),MATCH($B$11,Juniorstwo!$A$56:$N$56,0))*C$11+INDEX(JuniorzyPozytyw[],MATCH($A72,Juniorstwo!$A$57:$A$76,0),MATCH($B$12,Juniorstwo!$A$56:$N$56,0))*C$12+INDEX(JuniorzyPozytyw[],MATCH($A72,Juniorstwo!$A$57:$A$76,0),MATCH($B$13,Juniorstwo!$A$56:$N$56,0))*C$13,"-")</f>
        <v>54.534999999999997</v>
      </c>
      <c r="D72" s="38">
        <f ca="1">IFERROR(INDEX(JuniorzyPozytyw[],MATCH($A72,Juniorstwo!$A$57:$A$76,0),MATCH($B$2,Juniorstwo!$A$56:$N$56,0))*D$2+INDEX(JuniorzyPozytyw[],MATCH($A72,Juniorstwo!$A$57:$A$76,0),MATCH($B$3,Juniorstwo!$A$56:$N$56,0))*D$3+INDEX(JuniorzyPozytyw[],MATCH($A72,Juniorstwo!$A$57:$A$76,0),MATCH($B$4,Juniorstwo!$A$56:$N$56,0))*D$4+INDEX(JuniorzyPozytyw[],MATCH($A72,Juniorstwo!$A$57:$A$76,0),MATCH($B$5,Juniorstwo!$A$56:$N$56,0))*D$5+INDEX(JuniorzyPozytyw[],MATCH($A72,Juniorstwo!$A$57:$A$76,0),MATCH($B$6,Juniorstwo!$A$56:$N$56,0))*D$6+INDEX(JuniorzyPozytyw[],MATCH($A72,Juniorstwo!$A$57:$A$76,0),MATCH($B$7,Juniorstwo!$A$56:$N$56,0))*D$7+INDEX(JuniorzyPozytyw[],MATCH($A72,Juniorstwo!$A$57:$A$76,0),MATCH($B$8,Juniorstwo!$A$56:$N$56,0))*D$8+INDEX(JuniorzyPozytyw[],MATCH($A72,Juniorstwo!$A$57:$A$76,0),MATCH($B$9,Juniorstwo!$A$56:$N$56,0))*D$9+INDEX(JuniorzyPozytyw[],MATCH($A72,Juniorstwo!$A$57:$A$76,0),MATCH($B$10,Juniorstwo!$A$56:$N$56,0))*D$10+INDEX(JuniorzyPozytyw[],MATCH($A72,Juniorstwo!$A$57:$A$76,0),MATCH($B$11,Juniorstwo!$A$56:$N$56,0))*D$11+INDEX(JuniorzyPozytyw[],MATCH($A72,Juniorstwo!$A$57:$A$76,0),MATCH($B$12,Juniorstwo!$A$56:$N$56,0))*D$12+INDEX(JuniorzyPozytyw[],MATCH($A72,Juniorstwo!$A$57:$A$76,0),MATCH($B$13,Juniorstwo!$A$56:$N$56,0))*D$13,"-")</f>
        <v>79.284999999999997</v>
      </c>
      <c r="E72" s="38">
        <f ca="1">IFERROR(INDEX(JuniorzyPozytyw[],MATCH($A72,Juniorstwo!$A$57:$A$76,0),MATCH($B$2,Juniorstwo!$A$56:$N$56,0))*E$2+INDEX(JuniorzyPozytyw[],MATCH($A72,Juniorstwo!$A$57:$A$76,0),MATCH($B$3,Juniorstwo!$A$56:$N$56,0))*E$3+INDEX(JuniorzyPozytyw[],MATCH($A72,Juniorstwo!$A$57:$A$76,0),MATCH($B$4,Juniorstwo!$A$56:$N$56,0))*E$4+INDEX(JuniorzyPozytyw[],MATCH($A72,Juniorstwo!$A$57:$A$76,0),MATCH($B$5,Juniorstwo!$A$56:$N$56,0))*E$5+INDEX(JuniorzyPozytyw[],MATCH($A72,Juniorstwo!$A$57:$A$76,0),MATCH($B$6,Juniorstwo!$A$56:$N$56,0))*E$6+INDEX(JuniorzyPozytyw[],MATCH($A72,Juniorstwo!$A$57:$A$76,0),MATCH($B$7,Juniorstwo!$A$56:$N$56,0))*E$7+INDEX(JuniorzyPozytyw[],MATCH($A72,Juniorstwo!$A$57:$A$76,0),MATCH($B$8,Juniorstwo!$A$56:$N$56,0))*E$8+INDEX(JuniorzyPozytyw[],MATCH($A72,Juniorstwo!$A$57:$A$76,0),MATCH($B$9,Juniorstwo!$A$56:$N$56,0))*E$9+INDEX(JuniorzyPozytyw[],MATCH($A72,Juniorstwo!$A$57:$A$76,0),MATCH($B$10,Juniorstwo!$A$56:$N$56,0))*E$10+INDEX(JuniorzyPozytyw[],MATCH($A72,Juniorstwo!$A$57:$A$76,0),MATCH($B$11,Juniorstwo!$A$56:$N$56,0))*E$11+INDEX(JuniorzyPozytyw[],MATCH($A72,Juniorstwo!$A$57:$A$76,0),MATCH($B$12,Juniorstwo!$A$56:$N$56,0))*E$12+INDEX(JuniorzyPozytyw[],MATCH($A72,Juniorstwo!$A$57:$A$76,0),MATCH($B$13,Juniorstwo!$A$56:$N$56,0))*E$13,"-")</f>
        <v>77.91</v>
      </c>
      <c r="F72" s="38">
        <f ca="1">IFERROR(INDEX(JuniorzyPozytyw[],MATCH($A72,Juniorstwo!$A$57:$A$76,0),MATCH($B$2,Juniorstwo!$A$56:$N$56,0))*F$2+INDEX(JuniorzyPozytyw[],MATCH($A72,Juniorstwo!$A$57:$A$76,0),MATCH($B$3,Juniorstwo!$A$56:$N$56,0))*F$3+INDEX(JuniorzyPozytyw[],MATCH($A72,Juniorstwo!$A$57:$A$76,0),MATCH($B$4,Juniorstwo!$A$56:$N$56,0))*F$4+INDEX(JuniorzyPozytyw[],MATCH($A72,Juniorstwo!$A$57:$A$76,0),MATCH($B$5,Juniorstwo!$A$56:$N$56,0))*F$5+INDEX(JuniorzyPozytyw[],MATCH($A72,Juniorstwo!$A$57:$A$76,0),MATCH($B$6,Juniorstwo!$A$56:$N$56,0))*F$6+INDEX(JuniorzyPozytyw[],MATCH($A72,Juniorstwo!$A$57:$A$76,0),MATCH($B$7,Juniorstwo!$A$56:$N$56,0))*F$7+INDEX(JuniorzyPozytyw[],MATCH($A72,Juniorstwo!$A$57:$A$76,0),MATCH($B$8,Juniorstwo!$A$56:$N$56,0))*F$8+INDEX(JuniorzyPozytyw[],MATCH($A72,Juniorstwo!$A$57:$A$76,0),MATCH($B$9,Juniorstwo!$A$56:$N$56,0))*F$9+INDEX(JuniorzyPozytyw[],MATCH($A72,Juniorstwo!$A$57:$A$76,0),MATCH($B$10,Juniorstwo!$A$56:$N$56,0))*F$10+INDEX(JuniorzyPozytyw[],MATCH($A72,Juniorstwo!$A$57:$A$76,0),MATCH($B$11,Juniorstwo!$A$56:$N$56,0))*F$11+INDEX(JuniorzyPozytyw[],MATCH($A72,Juniorstwo!$A$57:$A$76,0),MATCH($B$12,Juniorstwo!$A$56:$N$56,0))*F$12+INDEX(JuniorzyPozytyw[],MATCH($A72,Juniorstwo!$A$57:$A$76,0),MATCH($B$13,Juniorstwo!$A$56:$N$56,0))*F$13,"-")</f>
        <v>76.534999999999997</v>
      </c>
      <c r="G72" s="38">
        <f ca="1">IFERROR(INDEX(JuniorzyPozytyw[],MATCH($A72,Juniorstwo!$A$57:$A$76,0),MATCH($B$2,Juniorstwo!$A$56:$N$56,0))*G$2+INDEX(JuniorzyPozytyw[],MATCH($A72,Juniorstwo!$A$57:$A$76,0),MATCH($B$3,Juniorstwo!$A$56:$N$56,0))*G$3+INDEX(JuniorzyPozytyw[],MATCH($A72,Juniorstwo!$A$57:$A$76,0),MATCH($B$4,Juniorstwo!$A$56:$N$56,0))*G$4+INDEX(JuniorzyPozytyw[],MATCH($A72,Juniorstwo!$A$57:$A$76,0),MATCH($B$5,Juniorstwo!$A$56:$N$56,0))*G$5+INDEX(JuniorzyPozytyw[],MATCH($A72,Juniorstwo!$A$57:$A$76,0),MATCH($B$6,Juniorstwo!$A$56:$N$56,0))*G$6+INDEX(JuniorzyPozytyw[],MATCH($A72,Juniorstwo!$A$57:$A$76,0),MATCH($B$7,Juniorstwo!$A$56:$N$56,0))*G$7+INDEX(JuniorzyPozytyw[],MATCH($A72,Juniorstwo!$A$57:$A$76,0),MATCH($B$8,Juniorstwo!$A$56:$N$56,0))*G$8+INDEX(JuniorzyPozytyw[],MATCH($A72,Juniorstwo!$A$57:$A$76,0),MATCH($B$9,Juniorstwo!$A$56:$N$56,0))*G$9+INDEX(JuniorzyPozytyw[],MATCH($A72,Juniorstwo!$A$57:$A$76,0),MATCH($B$10,Juniorstwo!$A$56:$N$56,0))*G$10+INDEX(JuniorzyPozytyw[],MATCH($A72,Juniorstwo!$A$57:$A$76,0),MATCH($B$11,Juniorstwo!$A$56:$N$56,0))*G$11+INDEX(JuniorzyPozytyw[],MATCH($A72,Juniorstwo!$A$57:$A$76,0),MATCH($B$12,Juniorstwo!$A$56:$N$56,0))*G$12+INDEX(JuniorzyPozytyw[],MATCH($A72,Juniorstwo!$A$57:$A$76,0),MATCH($B$13,Juniorstwo!$A$56:$N$56,0))*G$13,"-")</f>
        <v>76.034999999999997</v>
      </c>
      <c r="H72" s="38">
        <f ca="1">IFERROR(INDEX(JuniorzyPozytyw[],MATCH($A72,Juniorstwo!$A$57:$A$76,0),MATCH($B$2,Juniorstwo!$A$56:$N$56,0))*H$2+INDEX(JuniorzyPozytyw[],MATCH($A72,Juniorstwo!$A$57:$A$76,0),MATCH($B$3,Juniorstwo!$A$56:$N$56,0))*H$3+INDEX(JuniorzyPozytyw[],MATCH($A72,Juniorstwo!$A$57:$A$76,0),MATCH($B$4,Juniorstwo!$A$56:$N$56,0))*H$4+INDEX(JuniorzyPozytyw[],MATCH($A72,Juniorstwo!$A$57:$A$76,0),MATCH($B$5,Juniorstwo!$A$56:$N$56,0))*H$5+INDEX(JuniorzyPozytyw[],MATCH($A72,Juniorstwo!$A$57:$A$76,0),MATCH($B$6,Juniorstwo!$A$56:$N$56,0))*H$6+INDEX(JuniorzyPozytyw[],MATCH($A72,Juniorstwo!$A$57:$A$76,0),MATCH($B$7,Juniorstwo!$A$56:$N$56,0))*H$7+INDEX(JuniorzyPozytyw[],MATCH($A72,Juniorstwo!$A$57:$A$76,0),MATCH($B$8,Juniorstwo!$A$56:$N$56,0))*H$8+INDEX(JuniorzyPozytyw[],MATCH($A72,Juniorstwo!$A$57:$A$76,0),MATCH($B$9,Juniorstwo!$A$56:$N$56,0))*H$9+INDEX(JuniorzyPozytyw[],MATCH($A72,Juniorstwo!$A$57:$A$76,0),MATCH($B$10,Juniorstwo!$A$56:$N$56,0))*H$10+INDEX(JuniorzyPozytyw[],MATCH($A72,Juniorstwo!$A$57:$A$76,0),MATCH($B$11,Juniorstwo!$A$56:$N$56,0))*H$11+INDEX(JuniorzyPozytyw[],MATCH($A72,Juniorstwo!$A$57:$A$76,0),MATCH($B$12,Juniorstwo!$A$56:$N$56,0))*H$12+INDEX(JuniorzyPozytyw[],MATCH($A72,Juniorstwo!$A$57:$A$76,0),MATCH($B$13,Juniorstwo!$A$56:$N$56,0))*H$13,"-")</f>
        <v>73.034999999999997</v>
      </c>
      <c r="I72" s="38">
        <f ca="1">IFERROR(INDEX(JuniorzyPozytyw[],MATCH($A72,Juniorstwo!$A$57:$A$76,0),MATCH($B$2,Juniorstwo!$A$56:$N$56,0))*I$2+INDEX(JuniorzyPozytyw[],MATCH($A72,Juniorstwo!$A$57:$A$76,0),MATCH($B$3,Juniorstwo!$A$56:$N$56,0))*I$3+INDEX(JuniorzyPozytyw[],MATCH($A72,Juniorstwo!$A$57:$A$76,0),MATCH($B$4,Juniorstwo!$A$56:$N$56,0))*I$4+INDEX(JuniorzyPozytyw[],MATCH($A72,Juniorstwo!$A$57:$A$76,0),MATCH($B$5,Juniorstwo!$A$56:$N$56,0))*I$5+INDEX(JuniorzyPozytyw[],MATCH($A72,Juniorstwo!$A$57:$A$76,0),MATCH($B$6,Juniorstwo!$A$56:$N$56,0))*I$6+INDEX(JuniorzyPozytyw[],MATCH($A72,Juniorstwo!$A$57:$A$76,0),MATCH($B$7,Juniorstwo!$A$56:$N$56,0))*I$7+INDEX(JuniorzyPozytyw[],MATCH($A72,Juniorstwo!$A$57:$A$76,0),MATCH($B$8,Juniorstwo!$A$56:$N$56,0))*I$8+INDEX(JuniorzyPozytyw[],MATCH($A72,Juniorstwo!$A$57:$A$76,0),MATCH($B$9,Juniorstwo!$A$56:$N$56,0))*I$9+INDEX(JuniorzyPozytyw[],MATCH($A72,Juniorstwo!$A$57:$A$76,0),MATCH($B$10,Juniorstwo!$A$56:$N$56,0))*I$10+INDEX(JuniorzyPozytyw[],MATCH($A72,Juniorstwo!$A$57:$A$76,0),MATCH($B$11,Juniorstwo!$A$56:$N$56,0))*I$11+INDEX(JuniorzyPozytyw[],MATCH($A72,Juniorstwo!$A$57:$A$76,0),MATCH($B$12,Juniorstwo!$A$56:$N$56,0))*I$12+INDEX(JuniorzyPozytyw[],MATCH($A72,Juniorstwo!$A$57:$A$76,0),MATCH($B$13,Juniorstwo!$A$56:$N$56,0))*I$13,"-")</f>
        <v>73.16</v>
      </c>
      <c r="J72" s="38">
        <f ca="1">IFERROR(INDEX(JuniorzyPozytyw[],MATCH($A72,Juniorstwo!$A$57:$A$76,0),MATCH($B$2,Juniorstwo!$A$56:$N$56,0))*J$2+INDEX(JuniorzyPozytyw[],MATCH($A72,Juniorstwo!$A$57:$A$76,0),MATCH($B$3,Juniorstwo!$A$56:$N$56,0))*J$3+INDEX(JuniorzyPozytyw[],MATCH($A72,Juniorstwo!$A$57:$A$76,0),MATCH($B$4,Juniorstwo!$A$56:$N$56,0))*J$4+INDEX(JuniorzyPozytyw[],MATCH($A72,Juniorstwo!$A$57:$A$76,0),MATCH($B$5,Juniorstwo!$A$56:$N$56,0))*J$5+INDEX(JuniorzyPozytyw[],MATCH($A72,Juniorstwo!$A$57:$A$76,0),MATCH($B$6,Juniorstwo!$A$56:$N$56,0))*J$6+INDEX(JuniorzyPozytyw[],MATCH($A72,Juniorstwo!$A$57:$A$76,0),MATCH($B$7,Juniorstwo!$A$56:$N$56,0))*J$7+INDEX(JuniorzyPozytyw[],MATCH($A72,Juniorstwo!$A$57:$A$76,0),MATCH($B$8,Juniorstwo!$A$56:$N$56,0))*J$8+INDEX(JuniorzyPozytyw[],MATCH($A72,Juniorstwo!$A$57:$A$76,0),MATCH($B$9,Juniorstwo!$A$56:$N$56,0))*J$9+INDEX(JuniorzyPozytyw[],MATCH($A72,Juniorstwo!$A$57:$A$76,0),MATCH($B$10,Juniorstwo!$A$56:$N$56,0))*J$10+INDEX(JuniorzyPozytyw[],MATCH($A72,Juniorstwo!$A$57:$A$76,0),MATCH($B$11,Juniorstwo!$A$56:$N$56,0))*J$11+INDEX(JuniorzyPozytyw[],MATCH($A72,Juniorstwo!$A$57:$A$76,0),MATCH($B$12,Juniorstwo!$A$56:$N$56,0))*J$12+INDEX(JuniorzyPozytyw[],MATCH($A72,Juniorstwo!$A$57:$A$76,0),MATCH($B$13,Juniorstwo!$A$56:$N$56,0))*J$13,"-")</f>
        <v>73.284999999999997</v>
      </c>
      <c r="K72" s="38">
        <f ca="1">IFERROR(INDEX(JuniorzyPozytyw[],MATCH($A72,Juniorstwo!$A$57:$A$76,0),MATCH($B$2,Juniorstwo!$A$56:$N$56,0))*K$2+INDEX(JuniorzyPozytyw[],MATCH($A72,Juniorstwo!$A$57:$A$76,0),MATCH($B$3,Juniorstwo!$A$56:$N$56,0))*K$3+INDEX(JuniorzyPozytyw[],MATCH($A72,Juniorstwo!$A$57:$A$76,0),MATCH($B$4,Juniorstwo!$A$56:$N$56,0))*K$4+INDEX(JuniorzyPozytyw[],MATCH($A72,Juniorstwo!$A$57:$A$76,0),MATCH($B$5,Juniorstwo!$A$56:$N$56,0))*K$5+INDEX(JuniorzyPozytyw[],MATCH($A72,Juniorstwo!$A$57:$A$76,0),MATCH($B$6,Juniorstwo!$A$56:$N$56,0))*K$6+INDEX(JuniorzyPozytyw[],MATCH($A72,Juniorstwo!$A$57:$A$76,0),MATCH($B$7,Juniorstwo!$A$56:$N$56,0))*K$7+INDEX(JuniorzyPozytyw[],MATCH($A72,Juniorstwo!$A$57:$A$76,0),MATCH($B$8,Juniorstwo!$A$56:$N$56,0))*K$8+INDEX(JuniorzyPozytyw[],MATCH($A72,Juniorstwo!$A$57:$A$76,0),MATCH($B$9,Juniorstwo!$A$56:$N$56,0))*K$9+INDEX(JuniorzyPozytyw[],MATCH($A72,Juniorstwo!$A$57:$A$76,0),MATCH($B$10,Juniorstwo!$A$56:$N$56,0))*K$10+INDEX(JuniorzyPozytyw[],MATCH($A72,Juniorstwo!$A$57:$A$76,0),MATCH($B$11,Juniorstwo!$A$56:$N$56,0))*K$11+INDEX(JuniorzyPozytyw[],MATCH($A72,Juniorstwo!$A$57:$A$76,0),MATCH($B$12,Juniorstwo!$A$56:$N$56,0))*K$12+INDEX(JuniorzyPozytyw[],MATCH($A72,Juniorstwo!$A$57:$A$76,0),MATCH($B$13,Juniorstwo!$A$56:$N$56,0))*K$13,"-")</f>
        <v>72.41</v>
      </c>
    </row>
    <row r="73" spans="1:11" x14ac:dyDescent="0.25">
      <c r="A73" s="97">
        <v>46</v>
      </c>
      <c r="B73" s="3" t="str">
        <f>IFERROR(VLOOKUP(PozJunPŚr[[#This Row],[Numer]],Zawodnicy[[Number]:[Player name]],2,FALSE),"-")</f>
        <v>Iwo Duszenski</v>
      </c>
      <c r="C73" s="38">
        <f ca="1">IFERROR(INDEX(JuniorzyPozytyw[],MATCH($A73,Juniorstwo!$A$57:$A$76,0),MATCH($B$2,Juniorstwo!$A$56:$N$56,0))*C$2+INDEX(JuniorzyPozytyw[],MATCH($A73,Juniorstwo!$A$57:$A$76,0),MATCH($B$3,Juniorstwo!$A$56:$N$56,0))*C$3+INDEX(JuniorzyPozytyw[],MATCH($A73,Juniorstwo!$A$57:$A$76,0),MATCH($B$4,Juniorstwo!$A$56:$N$56,0))*C$4+INDEX(JuniorzyPozytyw[],MATCH($A73,Juniorstwo!$A$57:$A$76,0),MATCH($B$5,Juniorstwo!$A$56:$N$56,0))*C$5+INDEX(JuniorzyPozytyw[],MATCH($A73,Juniorstwo!$A$57:$A$76,0),MATCH($B$6,Juniorstwo!$A$56:$N$56,0))*C$6+INDEX(JuniorzyPozytyw[],MATCH($A73,Juniorstwo!$A$57:$A$76,0),MATCH($B$7,Juniorstwo!$A$56:$N$56,0))*C$7+INDEX(JuniorzyPozytyw[],MATCH($A73,Juniorstwo!$A$57:$A$76,0),MATCH($B$8,Juniorstwo!$A$56:$N$56,0))*C$8+INDEX(JuniorzyPozytyw[],MATCH($A73,Juniorstwo!$A$57:$A$76,0),MATCH($B$9,Juniorstwo!$A$56:$N$56,0))*C$9+INDEX(JuniorzyPozytyw[],MATCH($A73,Juniorstwo!$A$57:$A$76,0),MATCH($B$10,Juniorstwo!$A$56:$N$56,0))*C$10+INDEX(JuniorzyPozytyw[],MATCH($A73,Juniorstwo!$A$57:$A$76,0),MATCH($B$11,Juniorstwo!$A$56:$N$56,0))*C$11+INDEX(JuniorzyPozytyw[],MATCH($A73,Juniorstwo!$A$57:$A$76,0),MATCH($B$12,Juniorstwo!$A$56:$N$56,0))*C$12+INDEX(JuniorzyPozytyw[],MATCH($A73,Juniorstwo!$A$57:$A$76,0),MATCH($B$13,Juniorstwo!$A$56:$N$56,0))*C$13,"-")</f>
        <v>55.545000000000002</v>
      </c>
      <c r="D73" s="38">
        <f ca="1">IFERROR(INDEX(JuniorzyPozytyw[],MATCH($A73,Juniorstwo!$A$57:$A$76,0),MATCH($B$2,Juniorstwo!$A$56:$N$56,0))*D$2+INDEX(JuniorzyPozytyw[],MATCH($A73,Juniorstwo!$A$57:$A$76,0),MATCH($B$3,Juniorstwo!$A$56:$N$56,0))*D$3+INDEX(JuniorzyPozytyw[],MATCH($A73,Juniorstwo!$A$57:$A$76,0),MATCH($B$4,Juniorstwo!$A$56:$N$56,0))*D$4+INDEX(JuniorzyPozytyw[],MATCH($A73,Juniorstwo!$A$57:$A$76,0),MATCH($B$5,Juniorstwo!$A$56:$N$56,0))*D$5+INDEX(JuniorzyPozytyw[],MATCH($A73,Juniorstwo!$A$57:$A$76,0),MATCH($B$6,Juniorstwo!$A$56:$N$56,0))*D$6+INDEX(JuniorzyPozytyw[],MATCH($A73,Juniorstwo!$A$57:$A$76,0),MATCH($B$7,Juniorstwo!$A$56:$N$56,0))*D$7+INDEX(JuniorzyPozytyw[],MATCH($A73,Juniorstwo!$A$57:$A$76,0),MATCH($B$8,Juniorstwo!$A$56:$N$56,0))*D$8+INDEX(JuniorzyPozytyw[],MATCH($A73,Juniorstwo!$A$57:$A$76,0),MATCH($B$9,Juniorstwo!$A$56:$N$56,0))*D$9+INDEX(JuniorzyPozytyw[],MATCH($A73,Juniorstwo!$A$57:$A$76,0),MATCH($B$10,Juniorstwo!$A$56:$N$56,0))*D$10+INDEX(JuniorzyPozytyw[],MATCH($A73,Juniorstwo!$A$57:$A$76,0),MATCH($B$11,Juniorstwo!$A$56:$N$56,0))*D$11+INDEX(JuniorzyPozytyw[],MATCH($A73,Juniorstwo!$A$57:$A$76,0),MATCH($B$12,Juniorstwo!$A$56:$N$56,0))*D$12+INDEX(JuniorzyPozytyw[],MATCH($A73,Juniorstwo!$A$57:$A$76,0),MATCH($B$13,Juniorstwo!$A$56:$N$56,0))*D$13,"-")</f>
        <v>76.295000000000002</v>
      </c>
      <c r="E73" s="38">
        <f ca="1">IFERROR(INDEX(JuniorzyPozytyw[],MATCH($A73,Juniorstwo!$A$57:$A$76,0),MATCH($B$2,Juniorstwo!$A$56:$N$56,0))*E$2+INDEX(JuniorzyPozytyw[],MATCH($A73,Juniorstwo!$A$57:$A$76,0),MATCH($B$3,Juniorstwo!$A$56:$N$56,0))*E$3+INDEX(JuniorzyPozytyw[],MATCH($A73,Juniorstwo!$A$57:$A$76,0),MATCH($B$4,Juniorstwo!$A$56:$N$56,0))*E$4+INDEX(JuniorzyPozytyw[],MATCH($A73,Juniorstwo!$A$57:$A$76,0),MATCH($B$5,Juniorstwo!$A$56:$N$56,0))*E$5+INDEX(JuniorzyPozytyw[],MATCH($A73,Juniorstwo!$A$57:$A$76,0),MATCH($B$6,Juniorstwo!$A$56:$N$56,0))*E$6+INDEX(JuniorzyPozytyw[],MATCH($A73,Juniorstwo!$A$57:$A$76,0),MATCH($B$7,Juniorstwo!$A$56:$N$56,0))*E$7+INDEX(JuniorzyPozytyw[],MATCH($A73,Juniorstwo!$A$57:$A$76,0),MATCH($B$8,Juniorstwo!$A$56:$N$56,0))*E$8+INDEX(JuniorzyPozytyw[],MATCH($A73,Juniorstwo!$A$57:$A$76,0),MATCH($B$9,Juniorstwo!$A$56:$N$56,0))*E$9+INDEX(JuniorzyPozytyw[],MATCH($A73,Juniorstwo!$A$57:$A$76,0),MATCH($B$10,Juniorstwo!$A$56:$N$56,0))*E$10+INDEX(JuniorzyPozytyw[],MATCH($A73,Juniorstwo!$A$57:$A$76,0),MATCH($B$11,Juniorstwo!$A$56:$N$56,0))*E$11+INDEX(JuniorzyPozytyw[],MATCH($A73,Juniorstwo!$A$57:$A$76,0),MATCH($B$12,Juniorstwo!$A$56:$N$56,0))*E$12+INDEX(JuniorzyPozytyw[],MATCH($A73,Juniorstwo!$A$57:$A$76,0),MATCH($B$13,Juniorstwo!$A$56:$N$56,0))*E$13,"-")</f>
        <v>75.545000000000002</v>
      </c>
      <c r="F73" s="38">
        <f ca="1">IFERROR(INDEX(JuniorzyPozytyw[],MATCH($A73,Juniorstwo!$A$57:$A$76,0),MATCH($B$2,Juniorstwo!$A$56:$N$56,0))*F$2+INDEX(JuniorzyPozytyw[],MATCH($A73,Juniorstwo!$A$57:$A$76,0),MATCH($B$3,Juniorstwo!$A$56:$N$56,0))*F$3+INDEX(JuniorzyPozytyw[],MATCH($A73,Juniorstwo!$A$57:$A$76,0),MATCH($B$4,Juniorstwo!$A$56:$N$56,0))*F$4+INDEX(JuniorzyPozytyw[],MATCH($A73,Juniorstwo!$A$57:$A$76,0),MATCH($B$5,Juniorstwo!$A$56:$N$56,0))*F$5+INDEX(JuniorzyPozytyw[],MATCH($A73,Juniorstwo!$A$57:$A$76,0),MATCH($B$6,Juniorstwo!$A$56:$N$56,0))*F$6+INDEX(JuniorzyPozytyw[],MATCH($A73,Juniorstwo!$A$57:$A$76,0),MATCH($B$7,Juniorstwo!$A$56:$N$56,0))*F$7+INDEX(JuniorzyPozytyw[],MATCH($A73,Juniorstwo!$A$57:$A$76,0),MATCH($B$8,Juniorstwo!$A$56:$N$56,0))*F$8+INDEX(JuniorzyPozytyw[],MATCH($A73,Juniorstwo!$A$57:$A$76,0),MATCH($B$9,Juniorstwo!$A$56:$N$56,0))*F$9+INDEX(JuniorzyPozytyw[],MATCH($A73,Juniorstwo!$A$57:$A$76,0),MATCH($B$10,Juniorstwo!$A$56:$N$56,0))*F$10+INDEX(JuniorzyPozytyw[],MATCH($A73,Juniorstwo!$A$57:$A$76,0),MATCH($B$11,Juniorstwo!$A$56:$N$56,0))*F$11+INDEX(JuniorzyPozytyw[],MATCH($A73,Juniorstwo!$A$57:$A$76,0),MATCH($B$12,Juniorstwo!$A$56:$N$56,0))*F$12+INDEX(JuniorzyPozytyw[],MATCH($A73,Juniorstwo!$A$57:$A$76,0),MATCH($B$13,Juniorstwo!$A$56:$N$56,0))*F$13,"-")</f>
        <v>76.545000000000002</v>
      </c>
      <c r="G73" s="38">
        <f ca="1">IFERROR(INDEX(JuniorzyPozytyw[],MATCH($A73,Juniorstwo!$A$57:$A$76,0),MATCH($B$2,Juniorstwo!$A$56:$N$56,0))*G$2+INDEX(JuniorzyPozytyw[],MATCH($A73,Juniorstwo!$A$57:$A$76,0),MATCH($B$3,Juniorstwo!$A$56:$N$56,0))*G$3+INDEX(JuniorzyPozytyw[],MATCH($A73,Juniorstwo!$A$57:$A$76,0),MATCH($B$4,Juniorstwo!$A$56:$N$56,0))*G$4+INDEX(JuniorzyPozytyw[],MATCH($A73,Juniorstwo!$A$57:$A$76,0),MATCH($B$5,Juniorstwo!$A$56:$N$56,0))*G$5+INDEX(JuniorzyPozytyw[],MATCH($A73,Juniorstwo!$A$57:$A$76,0),MATCH($B$6,Juniorstwo!$A$56:$N$56,0))*G$6+INDEX(JuniorzyPozytyw[],MATCH($A73,Juniorstwo!$A$57:$A$76,0),MATCH($B$7,Juniorstwo!$A$56:$N$56,0))*G$7+INDEX(JuniorzyPozytyw[],MATCH($A73,Juniorstwo!$A$57:$A$76,0),MATCH($B$8,Juniorstwo!$A$56:$N$56,0))*G$8+INDEX(JuniorzyPozytyw[],MATCH($A73,Juniorstwo!$A$57:$A$76,0),MATCH($B$9,Juniorstwo!$A$56:$N$56,0))*G$9+INDEX(JuniorzyPozytyw[],MATCH($A73,Juniorstwo!$A$57:$A$76,0),MATCH($B$10,Juniorstwo!$A$56:$N$56,0))*G$10+INDEX(JuniorzyPozytyw[],MATCH($A73,Juniorstwo!$A$57:$A$76,0),MATCH($B$11,Juniorstwo!$A$56:$N$56,0))*G$11+INDEX(JuniorzyPozytyw[],MATCH($A73,Juniorstwo!$A$57:$A$76,0),MATCH($B$12,Juniorstwo!$A$56:$N$56,0))*G$12+INDEX(JuniorzyPozytyw[],MATCH($A73,Juniorstwo!$A$57:$A$76,0),MATCH($B$13,Juniorstwo!$A$56:$N$56,0))*G$13,"-")</f>
        <v>75.545000000000002</v>
      </c>
      <c r="H73" s="38">
        <f ca="1">IFERROR(INDEX(JuniorzyPozytyw[],MATCH($A73,Juniorstwo!$A$57:$A$76,0),MATCH($B$2,Juniorstwo!$A$56:$N$56,0))*H$2+INDEX(JuniorzyPozytyw[],MATCH($A73,Juniorstwo!$A$57:$A$76,0),MATCH($B$3,Juniorstwo!$A$56:$N$56,0))*H$3+INDEX(JuniorzyPozytyw[],MATCH($A73,Juniorstwo!$A$57:$A$76,0),MATCH($B$4,Juniorstwo!$A$56:$N$56,0))*H$4+INDEX(JuniorzyPozytyw[],MATCH($A73,Juniorstwo!$A$57:$A$76,0),MATCH($B$5,Juniorstwo!$A$56:$N$56,0))*H$5+INDEX(JuniorzyPozytyw[],MATCH($A73,Juniorstwo!$A$57:$A$76,0),MATCH($B$6,Juniorstwo!$A$56:$N$56,0))*H$6+INDEX(JuniorzyPozytyw[],MATCH($A73,Juniorstwo!$A$57:$A$76,0),MATCH($B$7,Juniorstwo!$A$56:$N$56,0))*H$7+INDEX(JuniorzyPozytyw[],MATCH($A73,Juniorstwo!$A$57:$A$76,0),MATCH($B$8,Juniorstwo!$A$56:$N$56,0))*H$8+INDEX(JuniorzyPozytyw[],MATCH($A73,Juniorstwo!$A$57:$A$76,0),MATCH($B$9,Juniorstwo!$A$56:$N$56,0))*H$9+INDEX(JuniorzyPozytyw[],MATCH($A73,Juniorstwo!$A$57:$A$76,0),MATCH($B$10,Juniorstwo!$A$56:$N$56,0))*H$10+INDEX(JuniorzyPozytyw[],MATCH($A73,Juniorstwo!$A$57:$A$76,0),MATCH($B$11,Juniorstwo!$A$56:$N$56,0))*H$11+INDEX(JuniorzyPozytyw[],MATCH($A73,Juniorstwo!$A$57:$A$76,0),MATCH($B$12,Juniorstwo!$A$56:$N$56,0))*H$12+INDEX(JuniorzyPozytyw[],MATCH($A73,Juniorstwo!$A$57:$A$76,0),MATCH($B$13,Juniorstwo!$A$56:$N$56,0))*H$13,"-")</f>
        <v>74.42</v>
      </c>
      <c r="I73" s="38">
        <f ca="1">IFERROR(INDEX(JuniorzyPozytyw[],MATCH($A73,Juniorstwo!$A$57:$A$76,0),MATCH($B$2,Juniorstwo!$A$56:$N$56,0))*I$2+INDEX(JuniorzyPozytyw[],MATCH($A73,Juniorstwo!$A$57:$A$76,0),MATCH($B$3,Juniorstwo!$A$56:$N$56,0))*I$3+INDEX(JuniorzyPozytyw[],MATCH($A73,Juniorstwo!$A$57:$A$76,0),MATCH($B$4,Juniorstwo!$A$56:$N$56,0))*I$4+INDEX(JuniorzyPozytyw[],MATCH($A73,Juniorstwo!$A$57:$A$76,0),MATCH($B$5,Juniorstwo!$A$56:$N$56,0))*I$5+INDEX(JuniorzyPozytyw[],MATCH($A73,Juniorstwo!$A$57:$A$76,0),MATCH($B$6,Juniorstwo!$A$56:$N$56,0))*I$6+INDEX(JuniorzyPozytyw[],MATCH($A73,Juniorstwo!$A$57:$A$76,0),MATCH($B$7,Juniorstwo!$A$56:$N$56,0))*I$7+INDEX(JuniorzyPozytyw[],MATCH($A73,Juniorstwo!$A$57:$A$76,0),MATCH($B$8,Juniorstwo!$A$56:$N$56,0))*I$8+INDEX(JuniorzyPozytyw[],MATCH($A73,Juniorstwo!$A$57:$A$76,0),MATCH($B$9,Juniorstwo!$A$56:$N$56,0))*I$9+INDEX(JuniorzyPozytyw[],MATCH($A73,Juniorstwo!$A$57:$A$76,0),MATCH($B$10,Juniorstwo!$A$56:$N$56,0))*I$10+INDEX(JuniorzyPozytyw[],MATCH($A73,Juniorstwo!$A$57:$A$76,0),MATCH($B$11,Juniorstwo!$A$56:$N$56,0))*I$11+INDEX(JuniorzyPozytyw[],MATCH($A73,Juniorstwo!$A$57:$A$76,0),MATCH($B$12,Juniorstwo!$A$56:$N$56,0))*I$12+INDEX(JuniorzyPozytyw[],MATCH($A73,Juniorstwo!$A$57:$A$76,0),MATCH($B$13,Juniorstwo!$A$56:$N$56,0))*I$13,"-")</f>
        <v>78.045000000000002</v>
      </c>
      <c r="J73" s="38">
        <f ca="1">IFERROR(INDEX(JuniorzyPozytyw[],MATCH($A73,Juniorstwo!$A$57:$A$76,0),MATCH($B$2,Juniorstwo!$A$56:$N$56,0))*J$2+INDEX(JuniorzyPozytyw[],MATCH($A73,Juniorstwo!$A$57:$A$76,0),MATCH($B$3,Juniorstwo!$A$56:$N$56,0))*J$3+INDEX(JuniorzyPozytyw[],MATCH($A73,Juniorstwo!$A$57:$A$76,0),MATCH($B$4,Juniorstwo!$A$56:$N$56,0))*J$4+INDEX(JuniorzyPozytyw[],MATCH($A73,Juniorstwo!$A$57:$A$76,0),MATCH($B$5,Juniorstwo!$A$56:$N$56,0))*J$5+INDEX(JuniorzyPozytyw[],MATCH($A73,Juniorstwo!$A$57:$A$76,0),MATCH($B$6,Juniorstwo!$A$56:$N$56,0))*J$6+INDEX(JuniorzyPozytyw[],MATCH($A73,Juniorstwo!$A$57:$A$76,0),MATCH($B$7,Juniorstwo!$A$56:$N$56,0))*J$7+INDEX(JuniorzyPozytyw[],MATCH($A73,Juniorstwo!$A$57:$A$76,0),MATCH($B$8,Juniorstwo!$A$56:$N$56,0))*J$8+INDEX(JuniorzyPozytyw[],MATCH($A73,Juniorstwo!$A$57:$A$76,0),MATCH($B$9,Juniorstwo!$A$56:$N$56,0))*J$9+INDEX(JuniorzyPozytyw[],MATCH($A73,Juniorstwo!$A$57:$A$76,0),MATCH($B$10,Juniorstwo!$A$56:$N$56,0))*J$10+INDEX(JuniorzyPozytyw[],MATCH($A73,Juniorstwo!$A$57:$A$76,0),MATCH($B$11,Juniorstwo!$A$56:$N$56,0))*J$11+INDEX(JuniorzyPozytyw[],MATCH($A73,Juniorstwo!$A$57:$A$76,0),MATCH($B$12,Juniorstwo!$A$56:$N$56,0))*J$12+INDEX(JuniorzyPozytyw[],MATCH($A73,Juniorstwo!$A$57:$A$76,0),MATCH($B$13,Juniorstwo!$A$56:$N$56,0))*J$13,"-")</f>
        <v>77.295000000000002</v>
      </c>
      <c r="K73" s="38">
        <f ca="1">IFERROR(INDEX(JuniorzyPozytyw[],MATCH($A73,Juniorstwo!$A$57:$A$76,0),MATCH($B$2,Juniorstwo!$A$56:$N$56,0))*K$2+INDEX(JuniorzyPozytyw[],MATCH($A73,Juniorstwo!$A$57:$A$76,0),MATCH($B$3,Juniorstwo!$A$56:$N$56,0))*K$3+INDEX(JuniorzyPozytyw[],MATCH($A73,Juniorstwo!$A$57:$A$76,0),MATCH($B$4,Juniorstwo!$A$56:$N$56,0))*K$4+INDEX(JuniorzyPozytyw[],MATCH($A73,Juniorstwo!$A$57:$A$76,0),MATCH($B$5,Juniorstwo!$A$56:$N$56,0))*K$5+INDEX(JuniorzyPozytyw[],MATCH($A73,Juniorstwo!$A$57:$A$76,0),MATCH($B$6,Juniorstwo!$A$56:$N$56,0))*K$6+INDEX(JuniorzyPozytyw[],MATCH($A73,Juniorstwo!$A$57:$A$76,0),MATCH($B$7,Juniorstwo!$A$56:$N$56,0))*K$7+INDEX(JuniorzyPozytyw[],MATCH($A73,Juniorstwo!$A$57:$A$76,0),MATCH($B$8,Juniorstwo!$A$56:$N$56,0))*K$8+INDEX(JuniorzyPozytyw[],MATCH($A73,Juniorstwo!$A$57:$A$76,0),MATCH($B$9,Juniorstwo!$A$56:$N$56,0))*K$9+INDEX(JuniorzyPozytyw[],MATCH($A73,Juniorstwo!$A$57:$A$76,0),MATCH($B$10,Juniorstwo!$A$56:$N$56,0))*K$10+INDEX(JuniorzyPozytyw[],MATCH($A73,Juniorstwo!$A$57:$A$76,0),MATCH($B$11,Juniorstwo!$A$56:$N$56,0))*K$11+INDEX(JuniorzyPozytyw[],MATCH($A73,Juniorstwo!$A$57:$A$76,0),MATCH($B$12,Juniorstwo!$A$56:$N$56,0))*K$12+INDEX(JuniorzyPozytyw[],MATCH($A73,Juniorstwo!$A$57:$A$76,0),MATCH($B$13,Juniorstwo!$A$56:$N$56,0))*K$13,"-")</f>
        <v>84.17</v>
      </c>
    </row>
    <row r="74" spans="1:11" x14ac:dyDescent="0.25">
      <c r="A74" s="97">
        <v>48</v>
      </c>
      <c r="B74" s="3" t="str">
        <f>IFERROR(VLOOKUP(PozJunPŚr[[#This Row],[Numer]],Zawodnicy[[Number]:[Player name]],2,FALSE),"-")</f>
        <v>Wincenty Zawaski</v>
      </c>
      <c r="C74" s="38">
        <f ca="1">IFERROR(INDEX(JuniorzyPozytyw[],MATCH($A74,Juniorstwo!$A$57:$A$76,0),MATCH($B$2,Juniorstwo!$A$56:$N$56,0))*C$2+INDEX(JuniorzyPozytyw[],MATCH($A74,Juniorstwo!$A$57:$A$76,0),MATCH($B$3,Juniorstwo!$A$56:$N$56,0))*C$3+INDEX(JuniorzyPozytyw[],MATCH($A74,Juniorstwo!$A$57:$A$76,0),MATCH($B$4,Juniorstwo!$A$56:$N$56,0))*C$4+INDEX(JuniorzyPozytyw[],MATCH($A74,Juniorstwo!$A$57:$A$76,0),MATCH($B$5,Juniorstwo!$A$56:$N$56,0))*C$5+INDEX(JuniorzyPozytyw[],MATCH($A74,Juniorstwo!$A$57:$A$76,0),MATCH($B$6,Juniorstwo!$A$56:$N$56,0))*C$6+INDEX(JuniorzyPozytyw[],MATCH($A74,Juniorstwo!$A$57:$A$76,0),MATCH($B$7,Juniorstwo!$A$56:$N$56,0))*C$7+INDEX(JuniorzyPozytyw[],MATCH($A74,Juniorstwo!$A$57:$A$76,0),MATCH($B$8,Juniorstwo!$A$56:$N$56,0))*C$8+INDEX(JuniorzyPozytyw[],MATCH($A74,Juniorstwo!$A$57:$A$76,0),MATCH($B$9,Juniorstwo!$A$56:$N$56,0))*C$9+INDEX(JuniorzyPozytyw[],MATCH($A74,Juniorstwo!$A$57:$A$76,0),MATCH($B$10,Juniorstwo!$A$56:$N$56,0))*C$10+INDEX(JuniorzyPozytyw[],MATCH($A74,Juniorstwo!$A$57:$A$76,0),MATCH($B$11,Juniorstwo!$A$56:$N$56,0))*C$11+INDEX(JuniorzyPozytyw[],MATCH($A74,Juniorstwo!$A$57:$A$76,0),MATCH($B$12,Juniorstwo!$A$56:$N$56,0))*C$12+INDEX(JuniorzyPozytyw[],MATCH($A74,Juniorstwo!$A$57:$A$76,0),MATCH($B$13,Juniorstwo!$A$56:$N$56,0))*C$13,"-")</f>
        <v>60.024999999999999</v>
      </c>
      <c r="D74" s="38">
        <f ca="1">IFERROR(INDEX(JuniorzyPozytyw[],MATCH($A74,Juniorstwo!$A$57:$A$76,0),MATCH($B$2,Juniorstwo!$A$56:$N$56,0))*D$2+INDEX(JuniorzyPozytyw[],MATCH($A74,Juniorstwo!$A$57:$A$76,0),MATCH($B$3,Juniorstwo!$A$56:$N$56,0))*D$3+INDEX(JuniorzyPozytyw[],MATCH($A74,Juniorstwo!$A$57:$A$76,0),MATCH($B$4,Juniorstwo!$A$56:$N$56,0))*D$4+INDEX(JuniorzyPozytyw[],MATCH($A74,Juniorstwo!$A$57:$A$76,0),MATCH($B$5,Juniorstwo!$A$56:$N$56,0))*D$5+INDEX(JuniorzyPozytyw[],MATCH($A74,Juniorstwo!$A$57:$A$76,0),MATCH($B$6,Juniorstwo!$A$56:$N$56,0))*D$6+INDEX(JuniorzyPozytyw[],MATCH($A74,Juniorstwo!$A$57:$A$76,0),MATCH($B$7,Juniorstwo!$A$56:$N$56,0))*D$7+INDEX(JuniorzyPozytyw[],MATCH($A74,Juniorstwo!$A$57:$A$76,0),MATCH($B$8,Juniorstwo!$A$56:$N$56,0))*D$8+INDEX(JuniorzyPozytyw[],MATCH($A74,Juniorstwo!$A$57:$A$76,0),MATCH($B$9,Juniorstwo!$A$56:$N$56,0))*D$9+INDEX(JuniorzyPozytyw[],MATCH($A74,Juniorstwo!$A$57:$A$76,0),MATCH($B$10,Juniorstwo!$A$56:$N$56,0))*D$10+INDEX(JuniorzyPozytyw[],MATCH($A74,Juniorstwo!$A$57:$A$76,0),MATCH($B$11,Juniorstwo!$A$56:$N$56,0))*D$11+INDEX(JuniorzyPozytyw[],MATCH($A74,Juniorstwo!$A$57:$A$76,0),MATCH($B$12,Juniorstwo!$A$56:$N$56,0))*D$12+INDEX(JuniorzyPozytyw[],MATCH($A74,Juniorstwo!$A$57:$A$76,0),MATCH($B$13,Juniorstwo!$A$56:$N$56,0))*D$13,"-")</f>
        <v>73.525000000000006</v>
      </c>
      <c r="E74" s="38">
        <f ca="1">IFERROR(INDEX(JuniorzyPozytyw[],MATCH($A74,Juniorstwo!$A$57:$A$76,0),MATCH($B$2,Juniorstwo!$A$56:$N$56,0))*E$2+INDEX(JuniorzyPozytyw[],MATCH($A74,Juniorstwo!$A$57:$A$76,0),MATCH($B$3,Juniorstwo!$A$56:$N$56,0))*E$3+INDEX(JuniorzyPozytyw[],MATCH($A74,Juniorstwo!$A$57:$A$76,0),MATCH($B$4,Juniorstwo!$A$56:$N$56,0))*E$4+INDEX(JuniorzyPozytyw[],MATCH($A74,Juniorstwo!$A$57:$A$76,0),MATCH($B$5,Juniorstwo!$A$56:$N$56,0))*E$5+INDEX(JuniorzyPozytyw[],MATCH($A74,Juniorstwo!$A$57:$A$76,0),MATCH($B$6,Juniorstwo!$A$56:$N$56,0))*E$6+INDEX(JuniorzyPozytyw[],MATCH($A74,Juniorstwo!$A$57:$A$76,0),MATCH($B$7,Juniorstwo!$A$56:$N$56,0))*E$7+INDEX(JuniorzyPozytyw[],MATCH($A74,Juniorstwo!$A$57:$A$76,0),MATCH($B$8,Juniorstwo!$A$56:$N$56,0))*E$8+INDEX(JuniorzyPozytyw[],MATCH($A74,Juniorstwo!$A$57:$A$76,0),MATCH($B$9,Juniorstwo!$A$56:$N$56,0))*E$9+INDEX(JuniorzyPozytyw[],MATCH($A74,Juniorstwo!$A$57:$A$76,0),MATCH($B$10,Juniorstwo!$A$56:$N$56,0))*E$10+INDEX(JuniorzyPozytyw[],MATCH($A74,Juniorstwo!$A$57:$A$76,0),MATCH($B$11,Juniorstwo!$A$56:$N$56,0))*E$11+INDEX(JuniorzyPozytyw[],MATCH($A74,Juniorstwo!$A$57:$A$76,0),MATCH($B$12,Juniorstwo!$A$56:$N$56,0))*E$12+INDEX(JuniorzyPozytyw[],MATCH($A74,Juniorstwo!$A$57:$A$76,0),MATCH($B$13,Juniorstwo!$A$56:$N$56,0))*E$13,"-")</f>
        <v>73.525000000000006</v>
      </c>
      <c r="F74" s="38">
        <f ca="1">IFERROR(INDEX(JuniorzyPozytyw[],MATCH($A74,Juniorstwo!$A$57:$A$76,0),MATCH($B$2,Juniorstwo!$A$56:$N$56,0))*F$2+INDEX(JuniorzyPozytyw[],MATCH($A74,Juniorstwo!$A$57:$A$76,0),MATCH($B$3,Juniorstwo!$A$56:$N$56,0))*F$3+INDEX(JuniorzyPozytyw[],MATCH($A74,Juniorstwo!$A$57:$A$76,0),MATCH($B$4,Juniorstwo!$A$56:$N$56,0))*F$4+INDEX(JuniorzyPozytyw[],MATCH($A74,Juniorstwo!$A$57:$A$76,0),MATCH($B$5,Juniorstwo!$A$56:$N$56,0))*F$5+INDEX(JuniorzyPozytyw[],MATCH($A74,Juniorstwo!$A$57:$A$76,0),MATCH($B$6,Juniorstwo!$A$56:$N$56,0))*F$6+INDEX(JuniorzyPozytyw[],MATCH($A74,Juniorstwo!$A$57:$A$76,0),MATCH($B$7,Juniorstwo!$A$56:$N$56,0))*F$7+INDEX(JuniorzyPozytyw[],MATCH($A74,Juniorstwo!$A$57:$A$76,0),MATCH($B$8,Juniorstwo!$A$56:$N$56,0))*F$8+INDEX(JuniorzyPozytyw[],MATCH($A74,Juniorstwo!$A$57:$A$76,0),MATCH($B$9,Juniorstwo!$A$56:$N$56,0))*F$9+INDEX(JuniorzyPozytyw[],MATCH($A74,Juniorstwo!$A$57:$A$76,0),MATCH($B$10,Juniorstwo!$A$56:$N$56,0))*F$10+INDEX(JuniorzyPozytyw[],MATCH($A74,Juniorstwo!$A$57:$A$76,0),MATCH($B$11,Juniorstwo!$A$56:$N$56,0))*F$11+INDEX(JuniorzyPozytyw[],MATCH($A74,Juniorstwo!$A$57:$A$76,0),MATCH($B$12,Juniorstwo!$A$56:$N$56,0))*F$12+INDEX(JuniorzyPozytyw[],MATCH($A74,Juniorstwo!$A$57:$A$76,0),MATCH($B$13,Juniorstwo!$A$56:$N$56,0))*F$13,"-")</f>
        <v>73.025000000000006</v>
      </c>
      <c r="G74" s="38">
        <f ca="1">IFERROR(INDEX(JuniorzyPozytyw[],MATCH($A74,Juniorstwo!$A$57:$A$76,0),MATCH($B$2,Juniorstwo!$A$56:$N$56,0))*G$2+INDEX(JuniorzyPozytyw[],MATCH($A74,Juniorstwo!$A$57:$A$76,0),MATCH($B$3,Juniorstwo!$A$56:$N$56,0))*G$3+INDEX(JuniorzyPozytyw[],MATCH($A74,Juniorstwo!$A$57:$A$76,0),MATCH($B$4,Juniorstwo!$A$56:$N$56,0))*G$4+INDEX(JuniorzyPozytyw[],MATCH($A74,Juniorstwo!$A$57:$A$76,0),MATCH($B$5,Juniorstwo!$A$56:$N$56,0))*G$5+INDEX(JuniorzyPozytyw[],MATCH($A74,Juniorstwo!$A$57:$A$76,0),MATCH($B$6,Juniorstwo!$A$56:$N$56,0))*G$6+INDEX(JuniorzyPozytyw[],MATCH($A74,Juniorstwo!$A$57:$A$76,0),MATCH($B$7,Juniorstwo!$A$56:$N$56,0))*G$7+INDEX(JuniorzyPozytyw[],MATCH($A74,Juniorstwo!$A$57:$A$76,0),MATCH($B$8,Juniorstwo!$A$56:$N$56,0))*G$8+INDEX(JuniorzyPozytyw[],MATCH($A74,Juniorstwo!$A$57:$A$76,0),MATCH($B$9,Juniorstwo!$A$56:$N$56,0))*G$9+INDEX(JuniorzyPozytyw[],MATCH($A74,Juniorstwo!$A$57:$A$76,0),MATCH($B$10,Juniorstwo!$A$56:$N$56,0))*G$10+INDEX(JuniorzyPozytyw[],MATCH($A74,Juniorstwo!$A$57:$A$76,0),MATCH($B$11,Juniorstwo!$A$56:$N$56,0))*G$11+INDEX(JuniorzyPozytyw[],MATCH($A74,Juniorstwo!$A$57:$A$76,0),MATCH($B$12,Juniorstwo!$A$56:$N$56,0))*G$12+INDEX(JuniorzyPozytyw[],MATCH($A74,Juniorstwo!$A$57:$A$76,0),MATCH($B$13,Juniorstwo!$A$56:$N$56,0))*G$13,"-")</f>
        <v>73.525000000000006</v>
      </c>
      <c r="H74" s="38">
        <f ca="1">IFERROR(INDEX(JuniorzyPozytyw[],MATCH($A74,Juniorstwo!$A$57:$A$76,0),MATCH($B$2,Juniorstwo!$A$56:$N$56,0))*H$2+INDEX(JuniorzyPozytyw[],MATCH($A74,Juniorstwo!$A$57:$A$76,0),MATCH($B$3,Juniorstwo!$A$56:$N$56,0))*H$3+INDEX(JuniorzyPozytyw[],MATCH($A74,Juniorstwo!$A$57:$A$76,0),MATCH($B$4,Juniorstwo!$A$56:$N$56,0))*H$4+INDEX(JuniorzyPozytyw[],MATCH($A74,Juniorstwo!$A$57:$A$76,0),MATCH($B$5,Juniorstwo!$A$56:$N$56,0))*H$5+INDEX(JuniorzyPozytyw[],MATCH($A74,Juniorstwo!$A$57:$A$76,0),MATCH($B$6,Juniorstwo!$A$56:$N$56,0))*H$6+INDEX(JuniorzyPozytyw[],MATCH($A74,Juniorstwo!$A$57:$A$76,0),MATCH($B$7,Juniorstwo!$A$56:$N$56,0))*H$7+INDEX(JuniorzyPozytyw[],MATCH($A74,Juniorstwo!$A$57:$A$76,0),MATCH($B$8,Juniorstwo!$A$56:$N$56,0))*H$8+INDEX(JuniorzyPozytyw[],MATCH($A74,Juniorstwo!$A$57:$A$76,0),MATCH($B$9,Juniorstwo!$A$56:$N$56,0))*H$9+INDEX(JuniorzyPozytyw[],MATCH($A74,Juniorstwo!$A$57:$A$76,0),MATCH($B$10,Juniorstwo!$A$56:$N$56,0))*H$10+INDEX(JuniorzyPozytyw[],MATCH($A74,Juniorstwo!$A$57:$A$76,0),MATCH($B$11,Juniorstwo!$A$56:$N$56,0))*H$11+INDEX(JuniorzyPozytyw[],MATCH($A74,Juniorstwo!$A$57:$A$76,0),MATCH($B$12,Juniorstwo!$A$56:$N$56,0))*H$12+INDEX(JuniorzyPozytyw[],MATCH($A74,Juniorstwo!$A$57:$A$76,0),MATCH($B$13,Juniorstwo!$A$56:$N$56,0))*H$13,"-")</f>
        <v>74.025000000000006</v>
      </c>
      <c r="I74" s="38">
        <f ca="1">IFERROR(INDEX(JuniorzyPozytyw[],MATCH($A74,Juniorstwo!$A$57:$A$76,0),MATCH($B$2,Juniorstwo!$A$56:$N$56,0))*I$2+INDEX(JuniorzyPozytyw[],MATCH($A74,Juniorstwo!$A$57:$A$76,0),MATCH($B$3,Juniorstwo!$A$56:$N$56,0))*I$3+INDEX(JuniorzyPozytyw[],MATCH($A74,Juniorstwo!$A$57:$A$76,0),MATCH($B$4,Juniorstwo!$A$56:$N$56,0))*I$4+INDEX(JuniorzyPozytyw[],MATCH($A74,Juniorstwo!$A$57:$A$76,0),MATCH($B$5,Juniorstwo!$A$56:$N$56,0))*I$5+INDEX(JuniorzyPozytyw[],MATCH($A74,Juniorstwo!$A$57:$A$76,0),MATCH($B$6,Juniorstwo!$A$56:$N$56,0))*I$6+INDEX(JuniorzyPozytyw[],MATCH($A74,Juniorstwo!$A$57:$A$76,0),MATCH($B$7,Juniorstwo!$A$56:$N$56,0))*I$7+INDEX(JuniorzyPozytyw[],MATCH($A74,Juniorstwo!$A$57:$A$76,0),MATCH($B$8,Juniorstwo!$A$56:$N$56,0))*I$8+INDEX(JuniorzyPozytyw[],MATCH($A74,Juniorstwo!$A$57:$A$76,0),MATCH($B$9,Juniorstwo!$A$56:$N$56,0))*I$9+INDEX(JuniorzyPozytyw[],MATCH($A74,Juniorstwo!$A$57:$A$76,0),MATCH($B$10,Juniorstwo!$A$56:$N$56,0))*I$10+INDEX(JuniorzyPozytyw[],MATCH($A74,Juniorstwo!$A$57:$A$76,0),MATCH($B$11,Juniorstwo!$A$56:$N$56,0))*I$11+INDEX(JuniorzyPozytyw[],MATCH($A74,Juniorstwo!$A$57:$A$76,0),MATCH($B$12,Juniorstwo!$A$56:$N$56,0))*I$12+INDEX(JuniorzyPozytyw[],MATCH($A74,Juniorstwo!$A$57:$A$76,0),MATCH($B$13,Juniorstwo!$A$56:$N$56,0))*I$13,"-")</f>
        <v>73.025000000000006</v>
      </c>
      <c r="J74" s="38">
        <f ca="1">IFERROR(INDEX(JuniorzyPozytyw[],MATCH($A74,Juniorstwo!$A$57:$A$76,0),MATCH($B$2,Juniorstwo!$A$56:$N$56,0))*J$2+INDEX(JuniorzyPozytyw[],MATCH($A74,Juniorstwo!$A$57:$A$76,0),MATCH($B$3,Juniorstwo!$A$56:$N$56,0))*J$3+INDEX(JuniorzyPozytyw[],MATCH($A74,Juniorstwo!$A$57:$A$76,0),MATCH($B$4,Juniorstwo!$A$56:$N$56,0))*J$4+INDEX(JuniorzyPozytyw[],MATCH($A74,Juniorstwo!$A$57:$A$76,0),MATCH($B$5,Juniorstwo!$A$56:$N$56,0))*J$5+INDEX(JuniorzyPozytyw[],MATCH($A74,Juniorstwo!$A$57:$A$76,0),MATCH($B$6,Juniorstwo!$A$56:$N$56,0))*J$6+INDEX(JuniorzyPozytyw[],MATCH($A74,Juniorstwo!$A$57:$A$76,0),MATCH($B$7,Juniorstwo!$A$56:$N$56,0))*J$7+INDEX(JuniorzyPozytyw[],MATCH($A74,Juniorstwo!$A$57:$A$76,0),MATCH($B$8,Juniorstwo!$A$56:$N$56,0))*J$8+INDEX(JuniorzyPozytyw[],MATCH($A74,Juniorstwo!$A$57:$A$76,0),MATCH($B$9,Juniorstwo!$A$56:$N$56,0))*J$9+INDEX(JuniorzyPozytyw[],MATCH($A74,Juniorstwo!$A$57:$A$76,0),MATCH($B$10,Juniorstwo!$A$56:$N$56,0))*J$10+INDEX(JuniorzyPozytyw[],MATCH($A74,Juniorstwo!$A$57:$A$76,0),MATCH($B$11,Juniorstwo!$A$56:$N$56,0))*J$11+INDEX(JuniorzyPozytyw[],MATCH($A74,Juniorstwo!$A$57:$A$76,0),MATCH($B$12,Juniorstwo!$A$56:$N$56,0))*J$12+INDEX(JuniorzyPozytyw[],MATCH($A74,Juniorstwo!$A$57:$A$76,0),MATCH($B$13,Juniorstwo!$A$56:$N$56,0))*J$13,"-")</f>
        <v>74.525000000000006</v>
      </c>
      <c r="K74" s="38">
        <f ca="1">IFERROR(INDEX(JuniorzyPozytyw[],MATCH($A74,Juniorstwo!$A$57:$A$76,0),MATCH($B$2,Juniorstwo!$A$56:$N$56,0))*K$2+INDEX(JuniorzyPozytyw[],MATCH($A74,Juniorstwo!$A$57:$A$76,0),MATCH($B$3,Juniorstwo!$A$56:$N$56,0))*K$3+INDEX(JuniorzyPozytyw[],MATCH($A74,Juniorstwo!$A$57:$A$76,0),MATCH($B$4,Juniorstwo!$A$56:$N$56,0))*K$4+INDEX(JuniorzyPozytyw[],MATCH($A74,Juniorstwo!$A$57:$A$76,0),MATCH($B$5,Juniorstwo!$A$56:$N$56,0))*K$5+INDEX(JuniorzyPozytyw[],MATCH($A74,Juniorstwo!$A$57:$A$76,0),MATCH($B$6,Juniorstwo!$A$56:$N$56,0))*K$6+INDEX(JuniorzyPozytyw[],MATCH($A74,Juniorstwo!$A$57:$A$76,0),MATCH($B$7,Juniorstwo!$A$56:$N$56,0))*K$7+INDEX(JuniorzyPozytyw[],MATCH($A74,Juniorstwo!$A$57:$A$76,0),MATCH($B$8,Juniorstwo!$A$56:$N$56,0))*K$8+INDEX(JuniorzyPozytyw[],MATCH($A74,Juniorstwo!$A$57:$A$76,0),MATCH($B$9,Juniorstwo!$A$56:$N$56,0))*K$9+INDEX(JuniorzyPozytyw[],MATCH($A74,Juniorstwo!$A$57:$A$76,0),MATCH($B$10,Juniorstwo!$A$56:$N$56,0))*K$10+INDEX(JuniorzyPozytyw[],MATCH($A74,Juniorstwo!$A$57:$A$76,0),MATCH($B$11,Juniorstwo!$A$56:$N$56,0))*K$11+INDEX(JuniorzyPozytyw[],MATCH($A74,Juniorstwo!$A$57:$A$76,0),MATCH($B$12,Juniorstwo!$A$56:$N$56,0))*K$12+INDEX(JuniorzyPozytyw[],MATCH($A74,Juniorstwo!$A$57:$A$76,0),MATCH($B$13,Juniorstwo!$A$56:$N$56,0))*K$13,"-")</f>
        <v>72.525000000000006</v>
      </c>
    </row>
    <row r="75" spans="1:11" x14ac:dyDescent="0.25">
      <c r="A75" s="97">
        <v>49</v>
      </c>
      <c r="B75" s="3" t="str">
        <f>IFERROR(VLOOKUP(PozJunPŚr[[#This Row],[Numer]],Zawodnicy[[Number]:[Player name]],2,FALSE),"-")</f>
        <v>Dobromir Kolacki</v>
      </c>
      <c r="C75" s="38">
        <f ca="1">IFERROR(INDEX(JuniorzyPozytyw[],MATCH($A75,Juniorstwo!$A$57:$A$76,0),MATCH($B$2,Juniorstwo!$A$56:$N$56,0))*C$2+INDEX(JuniorzyPozytyw[],MATCH($A75,Juniorstwo!$A$57:$A$76,0),MATCH($B$3,Juniorstwo!$A$56:$N$56,0))*C$3+INDEX(JuniorzyPozytyw[],MATCH($A75,Juniorstwo!$A$57:$A$76,0),MATCH($B$4,Juniorstwo!$A$56:$N$56,0))*C$4+INDEX(JuniorzyPozytyw[],MATCH($A75,Juniorstwo!$A$57:$A$76,0),MATCH($B$5,Juniorstwo!$A$56:$N$56,0))*C$5+INDEX(JuniorzyPozytyw[],MATCH($A75,Juniorstwo!$A$57:$A$76,0),MATCH($B$6,Juniorstwo!$A$56:$N$56,0))*C$6+INDEX(JuniorzyPozytyw[],MATCH($A75,Juniorstwo!$A$57:$A$76,0),MATCH($B$7,Juniorstwo!$A$56:$N$56,0))*C$7+INDEX(JuniorzyPozytyw[],MATCH($A75,Juniorstwo!$A$57:$A$76,0),MATCH($B$8,Juniorstwo!$A$56:$N$56,0))*C$8+INDEX(JuniorzyPozytyw[],MATCH($A75,Juniorstwo!$A$57:$A$76,0),MATCH($B$9,Juniorstwo!$A$56:$N$56,0))*C$9+INDEX(JuniorzyPozytyw[],MATCH($A75,Juniorstwo!$A$57:$A$76,0),MATCH($B$10,Juniorstwo!$A$56:$N$56,0))*C$10+INDEX(JuniorzyPozytyw[],MATCH($A75,Juniorstwo!$A$57:$A$76,0),MATCH($B$11,Juniorstwo!$A$56:$N$56,0))*C$11+INDEX(JuniorzyPozytyw[],MATCH($A75,Juniorstwo!$A$57:$A$76,0),MATCH($B$12,Juniorstwo!$A$56:$N$56,0))*C$12+INDEX(JuniorzyPozytyw[],MATCH($A75,Juniorstwo!$A$57:$A$76,0),MATCH($B$13,Juniorstwo!$A$56:$N$56,0))*C$13,"-")</f>
        <v>93.295000000000002</v>
      </c>
      <c r="D75" s="38">
        <f ca="1">IFERROR(INDEX(JuniorzyPozytyw[],MATCH($A75,Juniorstwo!$A$57:$A$76,0),MATCH($B$2,Juniorstwo!$A$56:$N$56,0))*D$2+INDEX(JuniorzyPozytyw[],MATCH($A75,Juniorstwo!$A$57:$A$76,0),MATCH($B$3,Juniorstwo!$A$56:$N$56,0))*D$3+INDEX(JuniorzyPozytyw[],MATCH($A75,Juniorstwo!$A$57:$A$76,0),MATCH($B$4,Juniorstwo!$A$56:$N$56,0))*D$4+INDEX(JuniorzyPozytyw[],MATCH($A75,Juniorstwo!$A$57:$A$76,0),MATCH($B$5,Juniorstwo!$A$56:$N$56,0))*D$5+INDEX(JuniorzyPozytyw[],MATCH($A75,Juniorstwo!$A$57:$A$76,0),MATCH($B$6,Juniorstwo!$A$56:$N$56,0))*D$6+INDEX(JuniorzyPozytyw[],MATCH($A75,Juniorstwo!$A$57:$A$76,0),MATCH($B$7,Juniorstwo!$A$56:$N$56,0))*D$7+INDEX(JuniorzyPozytyw[],MATCH($A75,Juniorstwo!$A$57:$A$76,0),MATCH($B$8,Juniorstwo!$A$56:$N$56,0))*D$8+INDEX(JuniorzyPozytyw[],MATCH($A75,Juniorstwo!$A$57:$A$76,0),MATCH($B$9,Juniorstwo!$A$56:$N$56,0))*D$9+INDEX(JuniorzyPozytyw[],MATCH($A75,Juniorstwo!$A$57:$A$76,0),MATCH($B$10,Juniorstwo!$A$56:$N$56,0))*D$10+INDEX(JuniorzyPozytyw[],MATCH($A75,Juniorstwo!$A$57:$A$76,0),MATCH($B$11,Juniorstwo!$A$56:$N$56,0))*D$11+INDEX(JuniorzyPozytyw[],MATCH($A75,Juniorstwo!$A$57:$A$76,0),MATCH($B$12,Juniorstwo!$A$56:$N$56,0))*D$12+INDEX(JuniorzyPozytyw[],MATCH($A75,Juniorstwo!$A$57:$A$76,0),MATCH($B$13,Juniorstwo!$A$56:$N$56,0))*D$13,"-")</f>
        <v>76.67</v>
      </c>
      <c r="E75" s="38">
        <f ca="1">IFERROR(INDEX(JuniorzyPozytyw[],MATCH($A75,Juniorstwo!$A$57:$A$76,0),MATCH($B$2,Juniorstwo!$A$56:$N$56,0))*E$2+INDEX(JuniorzyPozytyw[],MATCH($A75,Juniorstwo!$A$57:$A$76,0),MATCH($B$3,Juniorstwo!$A$56:$N$56,0))*E$3+INDEX(JuniorzyPozytyw[],MATCH($A75,Juniorstwo!$A$57:$A$76,0),MATCH($B$4,Juniorstwo!$A$56:$N$56,0))*E$4+INDEX(JuniorzyPozytyw[],MATCH($A75,Juniorstwo!$A$57:$A$76,0),MATCH($B$5,Juniorstwo!$A$56:$N$56,0))*E$5+INDEX(JuniorzyPozytyw[],MATCH($A75,Juniorstwo!$A$57:$A$76,0),MATCH($B$6,Juniorstwo!$A$56:$N$56,0))*E$6+INDEX(JuniorzyPozytyw[],MATCH($A75,Juniorstwo!$A$57:$A$76,0),MATCH($B$7,Juniorstwo!$A$56:$N$56,0))*E$7+INDEX(JuniorzyPozytyw[],MATCH($A75,Juniorstwo!$A$57:$A$76,0),MATCH($B$8,Juniorstwo!$A$56:$N$56,0))*E$8+INDEX(JuniorzyPozytyw[],MATCH($A75,Juniorstwo!$A$57:$A$76,0),MATCH($B$9,Juniorstwo!$A$56:$N$56,0))*E$9+INDEX(JuniorzyPozytyw[],MATCH($A75,Juniorstwo!$A$57:$A$76,0),MATCH($B$10,Juniorstwo!$A$56:$N$56,0))*E$10+INDEX(JuniorzyPozytyw[],MATCH($A75,Juniorstwo!$A$57:$A$76,0),MATCH($B$11,Juniorstwo!$A$56:$N$56,0))*E$11+INDEX(JuniorzyPozytyw[],MATCH($A75,Juniorstwo!$A$57:$A$76,0),MATCH($B$12,Juniorstwo!$A$56:$N$56,0))*E$12+INDEX(JuniorzyPozytyw[],MATCH($A75,Juniorstwo!$A$57:$A$76,0),MATCH($B$13,Juniorstwo!$A$56:$N$56,0))*E$13,"-")</f>
        <v>74.92</v>
      </c>
      <c r="F75" s="38">
        <f ca="1">IFERROR(INDEX(JuniorzyPozytyw[],MATCH($A75,Juniorstwo!$A$57:$A$76,0),MATCH($B$2,Juniorstwo!$A$56:$N$56,0))*F$2+INDEX(JuniorzyPozytyw[],MATCH($A75,Juniorstwo!$A$57:$A$76,0),MATCH($B$3,Juniorstwo!$A$56:$N$56,0))*F$3+INDEX(JuniorzyPozytyw[],MATCH($A75,Juniorstwo!$A$57:$A$76,0),MATCH($B$4,Juniorstwo!$A$56:$N$56,0))*F$4+INDEX(JuniorzyPozytyw[],MATCH($A75,Juniorstwo!$A$57:$A$76,0),MATCH($B$5,Juniorstwo!$A$56:$N$56,0))*F$5+INDEX(JuniorzyPozytyw[],MATCH($A75,Juniorstwo!$A$57:$A$76,0),MATCH($B$6,Juniorstwo!$A$56:$N$56,0))*F$6+INDEX(JuniorzyPozytyw[],MATCH($A75,Juniorstwo!$A$57:$A$76,0),MATCH($B$7,Juniorstwo!$A$56:$N$56,0))*F$7+INDEX(JuniorzyPozytyw[],MATCH($A75,Juniorstwo!$A$57:$A$76,0),MATCH($B$8,Juniorstwo!$A$56:$N$56,0))*F$8+INDEX(JuniorzyPozytyw[],MATCH($A75,Juniorstwo!$A$57:$A$76,0),MATCH($B$9,Juniorstwo!$A$56:$N$56,0))*F$9+INDEX(JuniorzyPozytyw[],MATCH($A75,Juniorstwo!$A$57:$A$76,0),MATCH($B$10,Juniorstwo!$A$56:$N$56,0))*F$10+INDEX(JuniorzyPozytyw[],MATCH($A75,Juniorstwo!$A$57:$A$76,0),MATCH($B$11,Juniorstwo!$A$56:$N$56,0))*F$11+INDEX(JuniorzyPozytyw[],MATCH($A75,Juniorstwo!$A$57:$A$76,0),MATCH($B$12,Juniorstwo!$A$56:$N$56,0))*F$12+INDEX(JuniorzyPozytyw[],MATCH($A75,Juniorstwo!$A$57:$A$76,0),MATCH($B$13,Juniorstwo!$A$56:$N$56,0))*F$13,"-")</f>
        <v>75.545000000000002</v>
      </c>
      <c r="G75" s="38">
        <f ca="1">IFERROR(INDEX(JuniorzyPozytyw[],MATCH($A75,Juniorstwo!$A$57:$A$76,0),MATCH($B$2,Juniorstwo!$A$56:$N$56,0))*G$2+INDEX(JuniorzyPozytyw[],MATCH($A75,Juniorstwo!$A$57:$A$76,0),MATCH($B$3,Juniorstwo!$A$56:$N$56,0))*G$3+INDEX(JuniorzyPozytyw[],MATCH($A75,Juniorstwo!$A$57:$A$76,0),MATCH($B$4,Juniorstwo!$A$56:$N$56,0))*G$4+INDEX(JuniorzyPozytyw[],MATCH($A75,Juniorstwo!$A$57:$A$76,0),MATCH($B$5,Juniorstwo!$A$56:$N$56,0))*G$5+INDEX(JuniorzyPozytyw[],MATCH($A75,Juniorstwo!$A$57:$A$76,0),MATCH($B$6,Juniorstwo!$A$56:$N$56,0))*G$6+INDEX(JuniorzyPozytyw[],MATCH($A75,Juniorstwo!$A$57:$A$76,0),MATCH($B$7,Juniorstwo!$A$56:$N$56,0))*G$7+INDEX(JuniorzyPozytyw[],MATCH($A75,Juniorstwo!$A$57:$A$76,0),MATCH($B$8,Juniorstwo!$A$56:$N$56,0))*G$8+INDEX(JuniorzyPozytyw[],MATCH($A75,Juniorstwo!$A$57:$A$76,0),MATCH($B$9,Juniorstwo!$A$56:$N$56,0))*G$9+INDEX(JuniorzyPozytyw[],MATCH($A75,Juniorstwo!$A$57:$A$76,0),MATCH($B$10,Juniorstwo!$A$56:$N$56,0))*G$10+INDEX(JuniorzyPozytyw[],MATCH($A75,Juniorstwo!$A$57:$A$76,0),MATCH($B$11,Juniorstwo!$A$56:$N$56,0))*G$11+INDEX(JuniorzyPozytyw[],MATCH($A75,Juniorstwo!$A$57:$A$76,0),MATCH($B$12,Juniorstwo!$A$56:$N$56,0))*G$12+INDEX(JuniorzyPozytyw[],MATCH($A75,Juniorstwo!$A$57:$A$76,0),MATCH($B$13,Juniorstwo!$A$56:$N$56,0))*G$13,"-")</f>
        <v>75.795000000000002</v>
      </c>
      <c r="H75" s="38">
        <f ca="1">IFERROR(INDEX(JuniorzyPozytyw[],MATCH($A75,Juniorstwo!$A$57:$A$76,0),MATCH($B$2,Juniorstwo!$A$56:$N$56,0))*H$2+INDEX(JuniorzyPozytyw[],MATCH($A75,Juniorstwo!$A$57:$A$76,0),MATCH($B$3,Juniorstwo!$A$56:$N$56,0))*H$3+INDEX(JuniorzyPozytyw[],MATCH($A75,Juniorstwo!$A$57:$A$76,0),MATCH($B$4,Juniorstwo!$A$56:$N$56,0))*H$4+INDEX(JuniorzyPozytyw[],MATCH($A75,Juniorstwo!$A$57:$A$76,0),MATCH($B$5,Juniorstwo!$A$56:$N$56,0))*H$5+INDEX(JuniorzyPozytyw[],MATCH($A75,Juniorstwo!$A$57:$A$76,0),MATCH($B$6,Juniorstwo!$A$56:$N$56,0))*H$6+INDEX(JuniorzyPozytyw[],MATCH($A75,Juniorstwo!$A$57:$A$76,0),MATCH($B$7,Juniorstwo!$A$56:$N$56,0))*H$7+INDEX(JuniorzyPozytyw[],MATCH($A75,Juniorstwo!$A$57:$A$76,0),MATCH($B$8,Juniorstwo!$A$56:$N$56,0))*H$8+INDEX(JuniorzyPozytyw[],MATCH($A75,Juniorstwo!$A$57:$A$76,0),MATCH($B$9,Juniorstwo!$A$56:$N$56,0))*H$9+INDEX(JuniorzyPozytyw[],MATCH($A75,Juniorstwo!$A$57:$A$76,0),MATCH($B$10,Juniorstwo!$A$56:$N$56,0))*H$10+INDEX(JuniorzyPozytyw[],MATCH($A75,Juniorstwo!$A$57:$A$76,0),MATCH($B$11,Juniorstwo!$A$56:$N$56,0))*H$11+INDEX(JuniorzyPozytyw[],MATCH($A75,Juniorstwo!$A$57:$A$76,0),MATCH($B$12,Juniorstwo!$A$56:$N$56,0))*H$12+INDEX(JuniorzyPozytyw[],MATCH($A75,Juniorstwo!$A$57:$A$76,0),MATCH($B$13,Juniorstwo!$A$56:$N$56,0))*H$13,"-")</f>
        <v>74.42</v>
      </c>
      <c r="I75" s="38">
        <f ca="1">IFERROR(INDEX(JuniorzyPozytyw[],MATCH($A75,Juniorstwo!$A$57:$A$76,0),MATCH($B$2,Juniorstwo!$A$56:$N$56,0))*I$2+INDEX(JuniorzyPozytyw[],MATCH($A75,Juniorstwo!$A$57:$A$76,0),MATCH($B$3,Juniorstwo!$A$56:$N$56,0))*I$3+INDEX(JuniorzyPozytyw[],MATCH($A75,Juniorstwo!$A$57:$A$76,0),MATCH($B$4,Juniorstwo!$A$56:$N$56,0))*I$4+INDEX(JuniorzyPozytyw[],MATCH($A75,Juniorstwo!$A$57:$A$76,0),MATCH($B$5,Juniorstwo!$A$56:$N$56,0))*I$5+INDEX(JuniorzyPozytyw[],MATCH($A75,Juniorstwo!$A$57:$A$76,0),MATCH($B$6,Juniorstwo!$A$56:$N$56,0))*I$6+INDEX(JuniorzyPozytyw[],MATCH($A75,Juniorstwo!$A$57:$A$76,0),MATCH($B$7,Juniorstwo!$A$56:$N$56,0))*I$7+INDEX(JuniorzyPozytyw[],MATCH($A75,Juniorstwo!$A$57:$A$76,0),MATCH($B$8,Juniorstwo!$A$56:$N$56,0))*I$8+INDEX(JuniorzyPozytyw[],MATCH($A75,Juniorstwo!$A$57:$A$76,0),MATCH($B$9,Juniorstwo!$A$56:$N$56,0))*I$9+INDEX(JuniorzyPozytyw[],MATCH($A75,Juniorstwo!$A$57:$A$76,0),MATCH($B$10,Juniorstwo!$A$56:$N$56,0))*I$10+INDEX(JuniorzyPozytyw[],MATCH($A75,Juniorstwo!$A$57:$A$76,0),MATCH($B$11,Juniorstwo!$A$56:$N$56,0))*I$11+INDEX(JuniorzyPozytyw[],MATCH($A75,Juniorstwo!$A$57:$A$76,0),MATCH($B$12,Juniorstwo!$A$56:$N$56,0))*I$12+INDEX(JuniorzyPozytyw[],MATCH($A75,Juniorstwo!$A$57:$A$76,0),MATCH($B$13,Juniorstwo!$A$56:$N$56,0))*I$13,"-")</f>
        <v>71.545000000000002</v>
      </c>
      <c r="J75" s="38">
        <f ca="1">IFERROR(INDEX(JuniorzyPozytyw[],MATCH($A75,Juniorstwo!$A$57:$A$76,0),MATCH($B$2,Juniorstwo!$A$56:$N$56,0))*J$2+INDEX(JuniorzyPozytyw[],MATCH($A75,Juniorstwo!$A$57:$A$76,0),MATCH($B$3,Juniorstwo!$A$56:$N$56,0))*J$3+INDEX(JuniorzyPozytyw[],MATCH($A75,Juniorstwo!$A$57:$A$76,0),MATCH($B$4,Juniorstwo!$A$56:$N$56,0))*J$4+INDEX(JuniorzyPozytyw[],MATCH($A75,Juniorstwo!$A$57:$A$76,0),MATCH($B$5,Juniorstwo!$A$56:$N$56,0))*J$5+INDEX(JuniorzyPozytyw[],MATCH($A75,Juniorstwo!$A$57:$A$76,0),MATCH($B$6,Juniorstwo!$A$56:$N$56,0))*J$6+INDEX(JuniorzyPozytyw[],MATCH($A75,Juniorstwo!$A$57:$A$76,0),MATCH($B$7,Juniorstwo!$A$56:$N$56,0))*J$7+INDEX(JuniorzyPozytyw[],MATCH($A75,Juniorstwo!$A$57:$A$76,0),MATCH($B$8,Juniorstwo!$A$56:$N$56,0))*J$8+INDEX(JuniorzyPozytyw[],MATCH($A75,Juniorstwo!$A$57:$A$76,0),MATCH($B$9,Juniorstwo!$A$56:$N$56,0))*J$9+INDEX(JuniorzyPozytyw[],MATCH($A75,Juniorstwo!$A$57:$A$76,0),MATCH($B$10,Juniorstwo!$A$56:$N$56,0))*J$10+INDEX(JuniorzyPozytyw[],MATCH($A75,Juniorstwo!$A$57:$A$76,0),MATCH($B$11,Juniorstwo!$A$56:$N$56,0))*J$11+INDEX(JuniorzyPozytyw[],MATCH($A75,Juniorstwo!$A$57:$A$76,0),MATCH($B$12,Juniorstwo!$A$56:$N$56,0))*J$12+INDEX(JuniorzyPozytyw[],MATCH($A75,Juniorstwo!$A$57:$A$76,0),MATCH($B$13,Juniorstwo!$A$56:$N$56,0))*J$13,"-")</f>
        <v>72.545000000000002</v>
      </c>
      <c r="K75" s="38">
        <f ca="1">IFERROR(INDEX(JuniorzyPozytyw[],MATCH($A75,Juniorstwo!$A$57:$A$76,0),MATCH($B$2,Juniorstwo!$A$56:$N$56,0))*K$2+INDEX(JuniorzyPozytyw[],MATCH($A75,Juniorstwo!$A$57:$A$76,0),MATCH($B$3,Juniorstwo!$A$56:$N$56,0))*K$3+INDEX(JuniorzyPozytyw[],MATCH($A75,Juniorstwo!$A$57:$A$76,0),MATCH($B$4,Juniorstwo!$A$56:$N$56,0))*K$4+INDEX(JuniorzyPozytyw[],MATCH($A75,Juniorstwo!$A$57:$A$76,0),MATCH($B$5,Juniorstwo!$A$56:$N$56,0))*K$5+INDEX(JuniorzyPozytyw[],MATCH($A75,Juniorstwo!$A$57:$A$76,0),MATCH($B$6,Juniorstwo!$A$56:$N$56,0))*K$6+INDEX(JuniorzyPozytyw[],MATCH($A75,Juniorstwo!$A$57:$A$76,0),MATCH($B$7,Juniorstwo!$A$56:$N$56,0))*K$7+INDEX(JuniorzyPozytyw[],MATCH($A75,Juniorstwo!$A$57:$A$76,0),MATCH($B$8,Juniorstwo!$A$56:$N$56,0))*K$8+INDEX(JuniorzyPozytyw[],MATCH($A75,Juniorstwo!$A$57:$A$76,0),MATCH($B$9,Juniorstwo!$A$56:$N$56,0))*K$9+INDEX(JuniorzyPozytyw[],MATCH($A75,Juniorstwo!$A$57:$A$76,0),MATCH($B$10,Juniorstwo!$A$56:$N$56,0))*K$10+INDEX(JuniorzyPozytyw[],MATCH($A75,Juniorstwo!$A$57:$A$76,0),MATCH($B$11,Juniorstwo!$A$56:$N$56,0))*K$11+INDEX(JuniorzyPozytyw[],MATCH($A75,Juniorstwo!$A$57:$A$76,0),MATCH($B$12,Juniorstwo!$A$56:$N$56,0))*K$12+INDEX(JuniorzyPozytyw[],MATCH($A75,Juniorstwo!$A$57:$A$76,0),MATCH($B$13,Juniorstwo!$A$56:$N$56,0))*K$13,"-")</f>
        <v>65.92</v>
      </c>
    </row>
    <row r="76" spans="1:11" x14ac:dyDescent="0.25">
      <c r="A76" s="97">
        <v>50</v>
      </c>
      <c r="B76" s="3" t="str">
        <f>IFERROR(VLOOKUP(PozJunPŚr[[#This Row],[Numer]],Zawodnicy[[Number]:[Player name]],2,FALSE),"-")</f>
        <v>Ludomil Robak</v>
      </c>
      <c r="C76" s="38">
        <f ca="1">IFERROR(INDEX(JuniorzyPozytyw[],MATCH($A76,Juniorstwo!$A$57:$A$76,0),MATCH($B$2,Juniorstwo!$A$56:$N$56,0))*C$2+INDEX(JuniorzyPozytyw[],MATCH($A76,Juniorstwo!$A$57:$A$76,0),MATCH($B$3,Juniorstwo!$A$56:$N$56,0))*C$3+INDEX(JuniorzyPozytyw[],MATCH($A76,Juniorstwo!$A$57:$A$76,0),MATCH($B$4,Juniorstwo!$A$56:$N$56,0))*C$4+INDEX(JuniorzyPozytyw[],MATCH($A76,Juniorstwo!$A$57:$A$76,0),MATCH($B$5,Juniorstwo!$A$56:$N$56,0))*C$5+INDEX(JuniorzyPozytyw[],MATCH($A76,Juniorstwo!$A$57:$A$76,0),MATCH($B$6,Juniorstwo!$A$56:$N$56,0))*C$6+INDEX(JuniorzyPozytyw[],MATCH($A76,Juniorstwo!$A$57:$A$76,0),MATCH($B$7,Juniorstwo!$A$56:$N$56,0))*C$7+INDEX(JuniorzyPozytyw[],MATCH($A76,Juniorstwo!$A$57:$A$76,0),MATCH($B$8,Juniorstwo!$A$56:$N$56,0))*C$8+INDEX(JuniorzyPozytyw[],MATCH($A76,Juniorstwo!$A$57:$A$76,0),MATCH($B$9,Juniorstwo!$A$56:$N$56,0))*C$9+INDEX(JuniorzyPozytyw[],MATCH($A76,Juniorstwo!$A$57:$A$76,0),MATCH($B$10,Juniorstwo!$A$56:$N$56,0))*C$10+INDEX(JuniorzyPozytyw[],MATCH($A76,Juniorstwo!$A$57:$A$76,0),MATCH($B$11,Juniorstwo!$A$56:$N$56,0))*C$11+INDEX(JuniorzyPozytyw[],MATCH($A76,Juniorstwo!$A$57:$A$76,0),MATCH($B$12,Juniorstwo!$A$56:$N$56,0))*C$12+INDEX(JuniorzyPozytyw[],MATCH($A76,Juniorstwo!$A$57:$A$76,0),MATCH($B$13,Juniorstwo!$A$56:$N$56,0))*C$13,"-")</f>
        <v>70.040000000000006</v>
      </c>
      <c r="D76" s="38">
        <f ca="1">IFERROR(INDEX(JuniorzyPozytyw[],MATCH($A76,Juniorstwo!$A$57:$A$76,0),MATCH($B$2,Juniorstwo!$A$56:$N$56,0))*D$2+INDEX(JuniorzyPozytyw[],MATCH($A76,Juniorstwo!$A$57:$A$76,0),MATCH($B$3,Juniorstwo!$A$56:$N$56,0))*D$3+INDEX(JuniorzyPozytyw[],MATCH($A76,Juniorstwo!$A$57:$A$76,0),MATCH($B$4,Juniorstwo!$A$56:$N$56,0))*D$4+INDEX(JuniorzyPozytyw[],MATCH($A76,Juniorstwo!$A$57:$A$76,0),MATCH($B$5,Juniorstwo!$A$56:$N$56,0))*D$5+INDEX(JuniorzyPozytyw[],MATCH($A76,Juniorstwo!$A$57:$A$76,0),MATCH($B$6,Juniorstwo!$A$56:$N$56,0))*D$6+INDEX(JuniorzyPozytyw[],MATCH($A76,Juniorstwo!$A$57:$A$76,0),MATCH($B$7,Juniorstwo!$A$56:$N$56,0))*D$7+INDEX(JuniorzyPozytyw[],MATCH($A76,Juniorstwo!$A$57:$A$76,0),MATCH($B$8,Juniorstwo!$A$56:$N$56,0))*D$8+INDEX(JuniorzyPozytyw[],MATCH($A76,Juniorstwo!$A$57:$A$76,0),MATCH($B$9,Juniorstwo!$A$56:$N$56,0))*D$9+INDEX(JuniorzyPozytyw[],MATCH($A76,Juniorstwo!$A$57:$A$76,0),MATCH($B$10,Juniorstwo!$A$56:$N$56,0))*D$10+INDEX(JuniorzyPozytyw[],MATCH($A76,Juniorstwo!$A$57:$A$76,0),MATCH($B$11,Juniorstwo!$A$56:$N$56,0))*D$11+INDEX(JuniorzyPozytyw[],MATCH($A76,Juniorstwo!$A$57:$A$76,0),MATCH($B$12,Juniorstwo!$A$56:$N$56,0))*D$12+INDEX(JuniorzyPozytyw[],MATCH($A76,Juniorstwo!$A$57:$A$76,0),MATCH($B$13,Juniorstwo!$A$56:$N$56,0))*D$13,"-")</f>
        <v>81.040000000000006</v>
      </c>
      <c r="E76" s="38">
        <f ca="1">IFERROR(INDEX(JuniorzyPozytyw[],MATCH($A76,Juniorstwo!$A$57:$A$76,0),MATCH($B$2,Juniorstwo!$A$56:$N$56,0))*E$2+INDEX(JuniorzyPozytyw[],MATCH($A76,Juniorstwo!$A$57:$A$76,0),MATCH($B$3,Juniorstwo!$A$56:$N$56,0))*E$3+INDEX(JuniorzyPozytyw[],MATCH($A76,Juniorstwo!$A$57:$A$76,0),MATCH($B$4,Juniorstwo!$A$56:$N$56,0))*E$4+INDEX(JuniorzyPozytyw[],MATCH($A76,Juniorstwo!$A$57:$A$76,0),MATCH($B$5,Juniorstwo!$A$56:$N$56,0))*E$5+INDEX(JuniorzyPozytyw[],MATCH($A76,Juniorstwo!$A$57:$A$76,0),MATCH($B$6,Juniorstwo!$A$56:$N$56,0))*E$6+INDEX(JuniorzyPozytyw[],MATCH($A76,Juniorstwo!$A$57:$A$76,0),MATCH($B$7,Juniorstwo!$A$56:$N$56,0))*E$7+INDEX(JuniorzyPozytyw[],MATCH($A76,Juniorstwo!$A$57:$A$76,0),MATCH($B$8,Juniorstwo!$A$56:$N$56,0))*E$8+INDEX(JuniorzyPozytyw[],MATCH($A76,Juniorstwo!$A$57:$A$76,0),MATCH($B$9,Juniorstwo!$A$56:$N$56,0))*E$9+INDEX(JuniorzyPozytyw[],MATCH($A76,Juniorstwo!$A$57:$A$76,0),MATCH($B$10,Juniorstwo!$A$56:$N$56,0))*E$10+INDEX(JuniorzyPozytyw[],MATCH($A76,Juniorstwo!$A$57:$A$76,0),MATCH($B$11,Juniorstwo!$A$56:$N$56,0))*E$11+INDEX(JuniorzyPozytyw[],MATCH($A76,Juniorstwo!$A$57:$A$76,0),MATCH($B$12,Juniorstwo!$A$56:$N$56,0))*E$12+INDEX(JuniorzyPozytyw[],MATCH($A76,Juniorstwo!$A$57:$A$76,0),MATCH($B$13,Juniorstwo!$A$56:$N$56,0))*E$13,"-")</f>
        <v>80.665000000000006</v>
      </c>
      <c r="F76" s="38">
        <f ca="1">IFERROR(INDEX(JuniorzyPozytyw[],MATCH($A76,Juniorstwo!$A$57:$A$76,0),MATCH($B$2,Juniorstwo!$A$56:$N$56,0))*F$2+INDEX(JuniorzyPozytyw[],MATCH($A76,Juniorstwo!$A$57:$A$76,0),MATCH($B$3,Juniorstwo!$A$56:$N$56,0))*F$3+INDEX(JuniorzyPozytyw[],MATCH($A76,Juniorstwo!$A$57:$A$76,0),MATCH($B$4,Juniorstwo!$A$56:$N$56,0))*F$4+INDEX(JuniorzyPozytyw[],MATCH($A76,Juniorstwo!$A$57:$A$76,0),MATCH($B$5,Juniorstwo!$A$56:$N$56,0))*F$5+INDEX(JuniorzyPozytyw[],MATCH($A76,Juniorstwo!$A$57:$A$76,0),MATCH($B$6,Juniorstwo!$A$56:$N$56,0))*F$6+INDEX(JuniorzyPozytyw[],MATCH($A76,Juniorstwo!$A$57:$A$76,0),MATCH($B$7,Juniorstwo!$A$56:$N$56,0))*F$7+INDEX(JuniorzyPozytyw[],MATCH($A76,Juniorstwo!$A$57:$A$76,0),MATCH($B$8,Juniorstwo!$A$56:$N$56,0))*F$8+INDEX(JuniorzyPozytyw[],MATCH($A76,Juniorstwo!$A$57:$A$76,0),MATCH($B$9,Juniorstwo!$A$56:$N$56,0))*F$9+INDEX(JuniorzyPozytyw[],MATCH($A76,Juniorstwo!$A$57:$A$76,0),MATCH($B$10,Juniorstwo!$A$56:$N$56,0))*F$10+INDEX(JuniorzyPozytyw[],MATCH($A76,Juniorstwo!$A$57:$A$76,0),MATCH($B$11,Juniorstwo!$A$56:$N$56,0))*F$11+INDEX(JuniorzyPozytyw[],MATCH($A76,Juniorstwo!$A$57:$A$76,0),MATCH($B$12,Juniorstwo!$A$56:$N$56,0))*F$12+INDEX(JuniorzyPozytyw[],MATCH($A76,Juniorstwo!$A$57:$A$76,0),MATCH($B$13,Juniorstwo!$A$56:$N$56,0))*F$13,"-")</f>
        <v>81.915000000000006</v>
      </c>
      <c r="G76" s="38">
        <f ca="1">IFERROR(INDEX(JuniorzyPozytyw[],MATCH($A76,Juniorstwo!$A$57:$A$76,0),MATCH($B$2,Juniorstwo!$A$56:$N$56,0))*G$2+INDEX(JuniorzyPozytyw[],MATCH($A76,Juniorstwo!$A$57:$A$76,0),MATCH($B$3,Juniorstwo!$A$56:$N$56,0))*G$3+INDEX(JuniorzyPozytyw[],MATCH($A76,Juniorstwo!$A$57:$A$76,0),MATCH($B$4,Juniorstwo!$A$56:$N$56,0))*G$4+INDEX(JuniorzyPozytyw[],MATCH($A76,Juniorstwo!$A$57:$A$76,0),MATCH($B$5,Juniorstwo!$A$56:$N$56,0))*G$5+INDEX(JuniorzyPozytyw[],MATCH($A76,Juniorstwo!$A$57:$A$76,0),MATCH($B$6,Juniorstwo!$A$56:$N$56,0))*G$6+INDEX(JuniorzyPozytyw[],MATCH($A76,Juniorstwo!$A$57:$A$76,0),MATCH($B$7,Juniorstwo!$A$56:$N$56,0))*G$7+INDEX(JuniorzyPozytyw[],MATCH($A76,Juniorstwo!$A$57:$A$76,0),MATCH($B$8,Juniorstwo!$A$56:$N$56,0))*G$8+INDEX(JuniorzyPozytyw[],MATCH($A76,Juniorstwo!$A$57:$A$76,0),MATCH($B$9,Juniorstwo!$A$56:$N$56,0))*G$9+INDEX(JuniorzyPozytyw[],MATCH($A76,Juniorstwo!$A$57:$A$76,0),MATCH($B$10,Juniorstwo!$A$56:$N$56,0))*G$10+INDEX(JuniorzyPozytyw[],MATCH($A76,Juniorstwo!$A$57:$A$76,0),MATCH($B$11,Juniorstwo!$A$56:$N$56,0))*G$11+INDEX(JuniorzyPozytyw[],MATCH($A76,Juniorstwo!$A$57:$A$76,0),MATCH($B$12,Juniorstwo!$A$56:$N$56,0))*G$12+INDEX(JuniorzyPozytyw[],MATCH($A76,Juniorstwo!$A$57:$A$76,0),MATCH($B$13,Juniorstwo!$A$56:$N$56,0))*G$13,"-")</f>
        <v>81.915000000000006</v>
      </c>
      <c r="H76" s="38">
        <f ca="1">IFERROR(INDEX(JuniorzyPozytyw[],MATCH($A76,Juniorstwo!$A$57:$A$76,0),MATCH($B$2,Juniorstwo!$A$56:$N$56,0))*H$2+INDEX(JuniorzyPozytyw[],MATCH($A76,Juniorstwo!$A$57:$A$76,0),MATCH($B$3,Juniorstwo!$A$56:$N$56,0))*H$3+INDEX(JuniorzyPozytyw[],MATCH($A76,Juniorstwo!$A$57:$A$76,0),MATCH($B$4,Juniorstwo!$A$56:$N$56,0))*H$4+INDEX(JuniorzyPozytyw[],MATCH($A76,Juniorstwo!$A$57:$A$76,0),MATCH($B$5,Juniorstwo!$A$56:$N$56,0))*H$5+INDEX(JuniorzyPozytyw[],MATCH($A76,Juniorstwo!$A$57:$A$76,0),MATCH($B$6,Juniorstwo!$A$56:$N$56,0))*H$6+INDEX(JuniorzyPozytyw[],MATCH($A76,Juniorstwo!$A$57:$A$76,0),MATCH($B$7,Juniorstwo!$A$56:$N$56,0))*H$7+INDEX(JuniorzyPozytyw[],MATCH($A76,Juniorstwo!$A$57:$A$76,0),MATCH($B$8,Juniorstwo!$A$56:$N$56,0))*H$8+INDEX(JuniorzyPozytyw[],MATCH($A76,Juniorstwo!$A$57:$A$76,0),MATCH($B$9,Juniorstwo!$A$56:$N$56,0))*H$9+INDEX(JuniorzyPozytyw[],MATCH($A76,Juniorstwo!$A$57:$A$76,0),MATCH($B$10,Juniorstwo!$A$56:$N$56,0))*H$10+INDEX(JuniorzyPozytyw[],MATCH($A76,Juniorstwo!$A$57:$A$76,0),MATCH($B$11,Juniorstwo!$A$56:$N$56,0))*H$11+INDEX(JuniorzyPozytyw[],MATCH($A76,Juniorstwo!$A$57:$A$76,0),MATCH($B$12,Juniorstwo!$A$56:$N$56,0))*H$12+INDEX(JuniorzyPozytyw[],MATCH($A76,Juniorstwo!$A$57:$A$76,0),MATCH($B$13,Juniorstwo!$A$56:$N$56,0))*H$13,"-")</f>
        <v>81.415000000000006</v>
      </c>
      <c r="I76" s="38">
        <f ca="1">IFERROR(INDEX(JuniorzyPozytyw[],MATCH($A76,Juniorstwo!$A$57:$A$76,0),MATCH($B$2,Juniorstwo!$A$56:$N$56,0))*I$2+INDEX(JuniorzyPozytyw[],MATCH($A76,Juniorstwo!$A$57:$A$76,0),MATCH($B$3,Juniorstwo!$A$56:$N$56,0))*I$3+INDEX(JuniorzyPozytyw[],MATCH($A76,Juniorstwo!$A$57:$A$76,0),MATCH($B$4,Juniorstwo!$A$56:$N$56,0))*I$4+INDEX(JuniorzyPozytyw[],MATCH($A76,Juniorstwo!$A$57:$A$76,0),MATCH($B$5,Juniorstwo!$A$56:$N$56,0))*I$5+INDEX(JuniorzyPozytyw[],MATCH($A76,Juniorstwo!$A$57:$A$76,0),MATCH($B$6,Juniorstwo!$A$56:$N$56,0))*I$6+INDEX(JuniorzyPozytyw[],MATCH($A76,Juniorstwo!$A$57:$A$76,0),MATCH($B$7,Juniorstwo!$A$56:$N$56,0))*I$7+INDEX(JuniorzyPozytyw[],MATCH($A76,Juniorstwo!$A$57:$A$76,0),MATCH($B$8,Juniorstwo!$A$56:$N$56,0))*I$8+INDEX(JuniorzyPozytyw[],MATCH($A76,Juniorstwo!$A$57:$A$76,0),MATCH($B$9,Juniorstwo!$A$56:$N$56,0))*I$9+INDEX(JuniorzyPozytyw[],MATCH($A76,Juniorstwo!$A$57:$A$76,0),MATCH($B$10,Juniorstwo!$A$56:$N$56,0))*I$10+INDEX(JuniorzyPozytyw[],MATCH($A76,Juniorstwo!$A$57:$A$76,0),MATCH($B$11,Juniorstwo!$A$56:$N$56,0))*I$11+INDEX(JuniorzyPozytyw[],MATCH($A76,Juniorstwo!$A$57:$A$76,0),MATCH($B$12,Juniorstwo!$A$56:$N$56,0))*I$12+INDEX(JuniorzyPozytyw[],MATCH($A76,Juniorstwo!$A$57:$A$76,0),MATCH($B$13,Juniorstwo!$A$56:$N$56,0))*I$13,"-")</f>
        <v>81.790000000000006</v>
      </c>
      <c r="J76" s="38">
        <f ca="1">IFERROR(INDEX(JuniorzyPozytyw[],MATCH($A76,Juniorstwo!$A$57:$A$76,0),MATCH($B$2,Juniorstwo!$A$56:$N$56,0))*J$2+INDEX(JuniorzyPozytyw[],MATCH($A76,Juniorstwo!$A$57:$A$76,0),MATCH($B$3,Juniorstwo!$A$56:$N$56,0))*J$3+INDEX(JuniorzyPozytyw[],MATCH($A76,Juniorstwo!$A$57:$A$76,0),MATCH($B$4,Juniorstwo!$A$56:$N$56,0))*J$4+INDEX(JuniorzyPozytyw[],MATCH($A76,Juniorstwo!$A$57:$A$76,0),MATCH($B$5,Juniorstwo!$A$56:$N$56,0))*J$5+INDEX(JuniorzyPozytyw[],MATCH($A76,Juniorstwo!$A$57:$A$76,0),MATCH($B$6,Juniorstwo!$A$56:$N$56,0))*J$6+INDEX(JuniorzyPozytyw[],MATCH($A76,Juniorstwo!$A$57:$A$76,0),MATCH($B$7,Juniorstwo!$A$56:$N$56,0))*J$7+INDEX(JuniorzyPozytyw[],MATCH($A76,Juniorstwo!$A$57:$A$76,0),MATCH($B$8,Juniorstwo!$A$56:$N$56,0))*J$8+INDEX(JuniorzyPozytyw[],MATCH($A76,Juniorstwo!$A$57:$A$76,0),MATCH($B$9,Juniorstwo!$A$56:$N$56,0))*J$9+INDEX(JuniorzyPozytyw[],MATCH($A76,Juniorstwo!$A$57:$A$76,0),MATCH($B$10,Juniorstwo!$A$56:$N$56,0))*J$10+INDEX(JuniorzyPozytyw[],MATCH($A76,Juniorstwo!$A$57:$A$76,0),MATCH($B$11,Juniorstwo!$A$56:$N$56,0))*J$11+INDEX(JuniorzyPozytyw[],MATCH($A76,Juniorstwo!$A$57:$A$76,0),MATCH($B$12,Juniorstwo!$A$56:$N$56,0))*J$12+INDEX(JuniorzyPozytyw[],MATCH($A76,Juniorstwo!$A$57:$A$76,0),MATCH($B$13,Juniorstwo!$A$56:$N$56,0))*J$13,"-")</f>
        <v>81.165000000000006</v>
      </c>
      <c r="K76" s="38">
        <f ca="1">IFERROR(INDEX(JuniorzyPozytyw[],MATCH($A76,Juniorstwo!$A$57:$A$76,0),MATCH($B$2,Juniorstwo!$A$56:$N$56,0))*K$2+INDEX(JuniorzyPozytyw[],MATCH($A76,Juniorstwo!$A$57:$A$76,0),MATCH($B$3,Juniorstwo!$A$56:$N$56,0))*K$3+INDEX(JuniorzyPozytyw[],MATCH($A76,Juniorstwo!$A$57:$A$76,0),MATCH($B$4,Juniorstwo!$A$56:$N$56,0))*K$4+INDEX(JuniorzyPozytyw[],MATCH($A76,Juniorstwo!$A$57:$A$76,0),MATCH($B$5,Juniorstwo!$A$56:$N$56,0))*K$5+INDEX(JuniorzyPozytyw[],MATCH($A76,Juniorstwo!$A$57:$A$76,0),MATCH($B$6,Juniorstwo!$A$56:$N$56,0))*K$6+INDEX(JuniorzyPozytyw[],MATCH($A76,Juniorstwo!$A$57:$A$76,0),MATCH($B$7,Juniorstwo!$A$56:$N$56,0))*K$7+INDEX(JuniorzyPozytyw[],MATCH($A76,Juniorstwo!$A$57:$A$76,0),MATCH($B$8,Juniorstwo!$A$56:$N$56,0))*K$8+INDEX(JuniorzyPozytyw[],MATCH($A76,Juniorstwo!$A$57:$A$76,0),MATCH($B$9,Juniorstwo!$A$56:$N$56,0))*K$9+INDEX(JuniorzyPozytyw[],MATCH($A76,Juniorstwo!$A$57:$A$76,0),MATCH($B$10,Juniorstwo!$A$56:$N$56,0))*K$10+INDEX(JuniorzyPozytyw[],MATCH($A76,Juniorstwo!$A$57:$A$76,0),MATCH($B$11,Juniorstwo!$A$56:$N$56,0))*K$11+INDEX(JuniorzyPozytyw[],MATCH($A76,Juniorstwo!$A$57:$A$76,0),MATCH($B$12,Juniorstwo!$A$56:$N$56,0))*K$12+INDEX(JuniorzyPozytyw[],MATCH($A76,Juniorstwo!$A$57:$A$76,0),MATCH($B$13,Juniorstwo!$A$56:$N$56,0))*K$13,"-")</f>
        <v>81.040000000000006</v>
      </c>
    </row>
    <row r="77" spans="1:11" x14ac:dyDescent="0.25">
      <c r="A77" s="97">
        <v>51</v>
      </c>
      <c r="B77" s="3" t="str">
        <f>IFERROR(VLOOKUP(PozJunPŚr[[#This Row],[Numer]],Zawodnicy[[Number]:[Player name]],2,FALSE),"-")</f>
        <v>Radoslaw Cichowski</v>
      </c>
      <c r="C77" s="38">
        <f ca="1">IFERROR(INDEX(JuniorzyPozytyw[],MATCH($A77,Juniorstwo!$A$57:$A$76,0),MATCH($B$2,Juniorstwo!$A$56:$N$56,0))*C$2+INDEX(JuniorzyPozytyw[],MATCH($A77,Juniorstwo!$A$57:$A$76,0),MATCH($B$3,Juniorstwo!$A$56:$N$56,0))*C$3+INDEX(JuniorzyPozytyw[],MATCH($A77,Juniorstwo!$A$57:$A$76,0),MATCH($B$4,Juniorstwo!$A$56:$N$56,0))*C$4+INDEX(JuniorzyPozytyw[],MATCH($A77,Juniorstwo!$A$57:$A$76,0),MATCH($B$5,Juniorstwo!$A$56:$N$56,0))*C$5+INDEX(JuniorzyPozytyw[],MATCH($A77,Juniorstwo!$A$57:$A$76,0),MATCH($B$6,Juniorstwo!$A$56:$N$56,0))*C$6+INDEX(JuniorzyPozytyw[],MATCH($A77,Juniorstwo!$A$57:$A$76,0),MATCH($B$7,Juniorstwo!$A$56:$N$56,0))*C$7+INDEX(JuniorzyPozytyw[],MATCH($A77,Juniorstwo!$A$57:$A$76,0),MATCH($B$8,Juniorstwo!$A$56:$N$56,0))*C$8+INDEX(JuniorzyPozytyw[],MATCH($A77,Juniorstwo!$A$57:$A$76,0),MATCH($B$9,Juniorstwo!$A$56:$N$56,0))*C$9+INDEX(JuniorzyPozytyw[],MATCH($A77,Juniorstwo!$A$57:$A$76,0),MATCH($B$10,Juniorstwo!$A$56:$N$56,0))*C$10+INDEX(JuniorzyPozytyw[],MATCH($A77,Juniorstwo!$A$57:$A$76,0),MATCH($B$11,Juniorstwo!$A$56:$N$56,0))*C$11+INDEX(JuniorzyPozytyw[],MATCH($A77,Juniorstwo!$A$57:$A$76,0),MATCH($B$12,Juniorstwo!$A$56:$N$56,0))*C$12+INDEX(JuniorzyPozytyw[],MATCH($A77,Juniorstwo!$A$57:$A$76,0),MATCH($B$13,Juniorstwo!$A$56:$N$56,0))*C$13,"-")</f>
        <v>71.040000000000006</v>
      </c>
      <c r="D77" s="38">
        <f ca="1">IFERROR(INDEX(JuniorzyPozytyw[],MATCH($A77,Juniorstwo!$A$57:$A$76,0),MATCH($B$2,Juniorstwo!$A$56:$N$56,0))*D$2+INDEX(JuniorzyPozytyw[],MATCH($A77,Juniorstwo!$A$57:$A$76,0),MATCH($B$3,Juniorstwo!$A$56:$N$56,0))*D$3+INDEX(JuniorzyPozytyw[],MATCH($A77,Juniorstwo!$A$57:$A$76,0),MATCH($B$4,Juniorstwo!$A$56:$N$56,0))*D$4+INDEX(JuniorzyPozytyw[],MATCH($A77,Juniorstwo!$A$57:$A$76,0),MATCH($B$5,Juniorstwo!$A$56:$N$56,0))*D$5+INDEX(JuniorzyPozytyw[],MATCH($A77,Juniorstwo!$A$57:$A$76,0),MATCH($B$6,Juniorstwo!$A$56:$N$56,0))*D$6+INDEX(JuniorzyPozytyw[],MATCH($A77,Juniorstwo!$A$57:$A$76,0),MATCH($B$7,Juniorstwo!$A$56:$N$56,0))*D$7+INDEX(JuniorzyPozytyw[],MATCH($A77,Juniorstwo!$A$57:$A$76,0),MATCH($B$8,Juniorstwo!$A$56:$N$56,0))*D$8+INDEX(JuniorzyPozytyw[],MATCH($A77,Juniorstwo!$A$57:$A$76,0),MATCH($B$9,Juniorstwo!$A$56:$N$56,0))*D$9+INDEX(JuniorzyPozytyw[],MATCH($A77,Juniorstwo!$A$57:$A$76,0),MATCH($B$10,Juniorstwo!$A$56:$N$56,0))*D$10+INDEX(JuniorzyPozytyw[],MATCH($A77,Juniorstwo!$A$57:$A$76,0),MATCH($B$11,Juniorstwo!$A$56:$N$56,0))*D$11+INDEX(JuniorzyPozytyw[],MATCH($A77,Juniorstwo!$A$57:$A$76,0),MATCH($B$12,Juniorstwo!$A$56:$N$56,0))*D$12+INDEX(JuniorzyPozytyw[],MATCH($A77,Juniorstwo!$A$57:$A$76,0),MATCH($B$13,Juniorstwo!$A$56:$N$56,0))*D$13,"-")</f>
        <v>86.04</v>
      </c>
      <c r="E77" s="38">
        <f ca="1">IFERROR(INDEX(JuniorzyPozytyw[],MATCH($A77,Juniorstwo!$A$57:$A$76,0),MATCH($B$2,Juniorstwo!$A$56:$N$56,0))*E$2+INDEX(JuniorzyPozytyw[],MATCH($A77,Juniorstwo!$A$57:$A$76,0),MATCH($B$3,Juniorstwo!$A$56:$N$56,0))*E$3+INDEX(JuniorzyPozytyw[],MATCH($A77,Juniorstwo!$A$57:$A$76,0),MATCH($B$4,Juniorstwo!$A$56:$N$56,0))*E$4+INDEX(JuniorzyPozytyw[],MATCH($A77,Juniorstwo!$A$57:$A$76,0),MATCH($B$5,Juniorstwo!$A$56:$N$56,0))*E$5+INDEX(JuniorzyPozytyw[],MATCH($A77,Juniorstwo!$A$57:$A$76,0),MATCH($B$6,Juniorstwo!$A$56:$N$56,0))*E$6+INDEX(JuniorzyPozytyw[],MATCH($A77,Juniorstwo!$A$57:$A$76,0),MATCH($B$7,Juniorstwo!$A$56:$N$56,0))*E$7+INDEX(JuniorzyPozytyw[],MATCH($A77,Juniorstwo!$A$57:$A$76,0),MATCH($B$8,Juniorstwo!$A$56:$N$56,0))*E$8+INDEX(JuniorzyPozytyw[],MATCH($A77,Juniorstwo!$A$57:$A$76,0),MATCH($B$9,Juniorstwo!$A$56:$N$56,0))*E$9+INDEX(JuniorzyPozytyw[],MATCH($A77,Juniorstwo!$A$57:$A$76,0),MATCH($B$10,Juniorstwo!$A$56:$N$56,0))*E$10+INDEX(JuniorzyPozytyw[],MATCH($A77,Juniorstwo!$A$57:$A$76,0),MATCH($B$11,Juniorstwo!$A$56:$N$56,0))*E$11+INDEX(JuniorzyPozytyw[],MATCH($A77,Juniorstwo!$A$57:$A$76,0),MATCH($B$12,Juniorstwo!$A$56:$N$56,0))*E$12+INDEX(JuniorzyPozytyw[],MATCH($A77,Juniorstwo!$A$57:$A$76,0),MATCH($B$13,Juniorstwo!$A$56:$N$56,0))*E$13,"-")</f>
        <v>85.29</v>
      </c>
      <c r="F77" s="38">
        <f ca="1">IFERROR(INDEX(JuniorzyPozytyw[],MATCH($A77,Juniorstwo!$A$57:$A$76,0),MATCH($B$2,Juniorstwo!$A$56:$N$56,0))*F$2+INDEX(JuniorzyPozytyw[],MATCH($A77,Juniorstwo!$A$57:$A$76,0),MATCH($B$3,Juniorstwo!$A$56:$N$56,0))*F$3+INDEX(JuniorzyPozytyw[],MATCH($A77,Juniorstwo!$A$57:$A$76,0),MATCH($B$4,Juniorstwo!$A$56:$N$56,0))*F$4+INDEX(JuniorzyPozytyw[],MATCH($A77,Juniorstwo!$A$57:$A$76,0),MATCH($B$5,Juniorstwo!$A$56:$N$56,0))*F$5+INDEX(JuniorzyPozytyw[],MATCH($A77,Juniorstwo!$A$57:$A$76,0),MATCH($B$6,Juniorstwo!$A$56:$N$56,0))*F$6+INDEX(JuniorzyPozytyw[],MATCH($A77,Juniorstwo!$A$57:$A$76,0),MATCH($B$7,Juniorstwo!$A$56:$N$56,0))*F$7+INDEX(JuniorzyPozytyw[],MATCH($A77,Juniorstwo!$A$57:$A$76,0),MATCH($B$8,Juniorstwo!$A$56:$N$56,0))*F$8+INDEX(JuniorzyPozytyw[],MATCH($A77,Juniorstwo!$A$57:$A$76,0),MATCH($B$9,Juniorstwo!$A$56:$N$56,0))*F$9+INDEX(JuniorzyPozytyw[],MATCH($A77,Juniorstwo!$A$57:$A$76,0),MATCH($B$10,Juniorstwo!$A$56:$N$56,0))*F$10+INDEX(JuniorzyPozytyw[],MATCH($A77,Juniorstwo!$A$57:$A$76,0),MATCH($B$11,Juniorstwo!$A$56:$N$56,0))*F$11+INDEX(JuniorzyPozytyw[],MATCH($A77,Juniorstwo!$A$57:$A$76,0),MATCH($B$12,Juniorstwo!$A$56:$N$56,0))*F$12+INDEX(JuniorzyPozytyw[],MATCH($A77,Juniorstwo!$A$57:$A$76,0),MATCH($B$13,Juniorstwo!$A$56:$N$56,0))*F$13,"-")</f>
        <v>84.29</v>
      </c>
      <c r="G77" s="38">
        <f ca="1">IFERROR(INDEX(JuniorzyPozytyw[],MATCH($A77,Juniorstwo!$A$57:$A$76,0),MATCH($B$2,Juniorstwo!$A$56:$N$56,0))*G$2+INDEX(JuniorzyPozytyw[],MATCH($A77,Juniorstwo!$A$57:$A$76,0),MATCH($B$3,Juniorstwo!$A$56:$N$56,0))*G$3+INDEX(JuniorzyPozytyw[],MATCH($A77,Juniorstwo!$A$57:$A$76,0),MATCH($B$4,Juniorstwo!$A$56:$N$56,0))*G$4+INDEX(JuniorzyPozytyw[],MATCH($A77,Juniorstwo!$A$57:$A$76,0),MATCH($B$5,Juniorstwo!$A$56:$N$56,0))*G$5+INDEX(JuniorzyPozytyw[],MATCH($A77,Juniorstwo!$A$57:$A$76,0),MATCH($B$6,Juniorstwo!$A$56:$N$56,0))*G$6+INDEX(JuniorzyPozytyw[],MATCH($A77,Juniorstwo!$A$57:$A$76,0),MATCH($B$7,Juniorstwo!$A$56:$N$56,0))*G$7+INDEX(JuniorzyPozytyw[],MATCH($A77,Juniorstwo!$A$57:$A$76,0),MATCH($B$8,Juniorstwo!$A$56:$N$56,0))*G$8+INDEX(JuniorzyPozytyw[],MATCH($A77,Juniorstwo!$A$57:$A$76,0),MATCH($B$9,Juniorstwo!$A$56:$N$56,0))*G$9+INDEX(JuniorzyPozytyw[],MATCH($A77,Juniorstwo!$A$57:$A$76,0),MATCH($B$10,Juniorstwo!$A$56:$N$56,0))*G$10+INDEX(JuniorzyPozytyw[],MATCH($A77,Juniorstwo!$A$57:$A$76,0),MATCH($B$11,Juniorstwo!$A$56:$N$56,0))*G$11+INDEX(JuniorzyPozytyw[],MATCH($A77,Juniorstwo!$A$57:$A$76,0),MATCH($B$12,Juniorstwo!$A$56:$N$56,0))*G$12+INDEX(JuniorzyPozytyw[],MATCH($A77,Juniorstwo!$A$57:$A$76,0),MATCH($B$13,Juniorstwo!$A$56:$N$56,0))*G$13,"-")</f>
        <v>83.79</v>
      </c>
      <c r="H77" s="38">
        <f ca="1">IFERROR(INDEX(JuniorzyPozytyw[],MATCH($A77,Juniorstwo!$A$57:$A$76,0),MATCH($B$2,Juniorstwo!$A$56:$N$56,0))*H$2+INDEX(JuniorzyPozytyw[],MATCH($A77,Juniorstwo!$A$57:$A$76,0),MATCH($B$3,Juniorstwo!$A$56:$N$56,0))*H$3+INDEX(JuniorzyPozytyw[],MATCH($A77,Juniorstwo!$A$57:$A$76,0),MATCH($B$4,Juniorstwo!$A$56:$N$56,0))*H$4+INDEX(JuniorzyPozytyw[],MATCH($A77,Juniorstwo!$A$57:$A$76,0),MATCH($B$5,Juniorstwo!$A$56:$N$56,0))*H$5+INDEX(JuniorzyPozytyw[],MATCH($A77,Juniorstwo!$A$57:$A$76,0),MATCH($B$6,Juniorstwo!$A$56:$N$56,0))*H$6+INDEX(JuniorzyPozytyw[],MATCH($A77,Juniorstwo!$A$57:$A$76,0),MATCH($B$7,Juniorstwo!$A$56:$N$56,0))*H$7+INDEX(JuniorzyPozytyw[],MATCH($A77,Juniorstwo!$A$57:$A$76,0),MATCH($B$8,Juniorstwo!$A$56:$N$56,0))*H$8+INDEX(JuniorzyPozytyw[],MATCH($A77,Juniorstwo!$A$57:$A$76,0),MATCH($B$9,Juniorstwo!$A$56:$N$56,0))*H$9+INDEX(JuniorzyPozytyw[],MATCH($A77,Juniorstwo!$A$57:$A$76,0),MATCH($B$10,Juniorstwo!$A$56:$N$56,0))*H$10+INDEX(JuniorzyPozytyw[],MATCH($A77,Juniorstwo!$A$57:$A$76,0),MATCH($B$11,Juniorstwo!$A$56:$N$56,0))*H$11+INDEX(JuniorzyPozytyw[],MATCH($A77,Juniorstwo!$A$57:$A$76,0),MATCH($B$12,Juniorstwo!$A$56:$N$56,0))*H$12+INDEX(JuniorzyPozytyw[],MATCH($A77,Juniorstwo!$A$57:$A$76,0),MATCH($B$13,Juniorstwo!$A$56:$N$56,0))*H$13,"-")</f>
        <v>82.79</v>
      </c>
      <c r="I77" s="38">
        <f ca="1">IFERROR(INDEX(JuniorzyPozytyw[],MATCH($A77,Juniorstwo!$A$57:$A$76,0),MATCH($B$2,Juniorstwo!$A$56:$N$56,0))*I$2+INDEX(JuniorzyPozytyw[],MATCH($A77,Juniorstwo!$A$57:$A$76,0),MATCH($B$3,Juniorstwo!$A$56:$N$56,0))*I$3+INDEX(JuniorzyPozytyw[],MATCH($A77,Juniorstwo!$A$57:$A$76,0),MATCH($B$4,Juniorstwo!$A$56:$N$56,0))*I$4+INDEX(JuniorzyPozytyw[],MATCH($A77,Juniorstwo!$A$57:$A$76,0),MATCH($B$5,Juniorstwo!$A$56:$N$56,0))*I$5+INDEX(JuniorzyPozytyw[],MATCH($A77,Juniorstwo!$A$57:$A$76,0),MATCH($B$6,Juniorstwo!$A$56:$N$56,0))*I$6+INDEX(JuniorzyPozytyw[],MATCH($A77,Juniorstwo!$A$57:$A$76,0),MATCH($B$7,Juniorstwo!$A$56:$N$56,0))*I$7+INDEX(JuniorzyPozytyw[],MATCH($A77,Juniorstwo!$A$57:$A$76,0),MATCH($B$8,Juniorstwo!$A$56:$N$56,0))*I$8+INDEX(JuniorzyPozytyw[],MATCH($A77,Juniorstwo!$A$57:$A$76,0),MATCH($B$9,Juniorstwo!$A$56:$N$56,0))*I$9+INDEX(JuniorzyPozytyw[],MATCH($A77,Juniorstwo!$A$57:$A$76,0),MATCH($B$10,Juniorstwo!$A$56:$N$56,0))*I$10+INDEX(JuniorzyPozytyw[],MATCH($A77,Juniorstwo!$A$57:$A$76,0),MATCH($B$11,Juniorstwo!$A$56:$N$56,0))*I$11+INDEX(JuniorzyPozytyw[],MATCH($A77,Juniorstwo!$A$57:$A$76,0),MATCH($B$12,Juniorstwo!$A$56:$N$56,0))*I$12+INDEX(JuniorzyPozytyw[],MATCH($A77,Juniorstwo!$A$57:$A$76,0),MATCH($B$13,Juniorstwo!$A$56:$N$56,0))*I$13,"-")</f>
        <v>81.665000000000006</v>
      </c>
      <c r="J77" s="38">
        <f ca="1">IFERROR(INDEX(JuniorzyPozytyw[],MATCH($A77,Juniorstwo!$A$57:$A$76,0),MATCH($B$2,Juniorstwo!$A$56:$N$56,0))*J$2+INDEX(JuniorzyPozytyw[],MATCH($A77,Juniorstwo!$A$57:$A$76,0),MATCH($B$3,Juniorstwo!$A$56:$N$56,0))*J$3+INDEX(JuniorzyPozytyw[],MATCH($A77,Juniorstwo!$A$57:$A$76,0),MATCH($B$4,Juniorstwo!$A$56:$N$56,0))*J$4+INDEX(JuniorzyPozytyw[],MATCH($A77,Juniorstwo!$A$57:$A$76,0),MATCH($B$5,Juniorstwo!$A$56:$N$56,0))*J$5+INDEX(JuniorzyPozytyw[],MATCH($A77,Juniorstwo!$A$57:$A$76,0),MATCH($B$6,Juniorstwo!$A$56:$N$56,0))*J$6+INDEX(JuniorzyPozytyw[],MATCH($A77,Juniorstwo!$A$57:$A$76,0),MATCH($B$7,Juniorstwo!$A$56:$N$56,0))*J$7+INDEX(JuniorzyPozytyw[],MATCH($A77,Juniorstwo!$A$57:$A$76,0),MATCH($B$8,Juniorstwo!$A$56:$N$56,0))*J$8+INDEX(JuniorzyPozytyw[],MATCH($A77,Juniorstwo!$A$57:$A$76,0),MATCH($B$9,Juniorstwo!$A$56:$N$56,0))*J$9+INDEX(JuniorzyPozytyw[],MATCH($A77,Juniorstwo!$A$57:$A$76,0),MATCH($B$10,Juniorstwo!$A$56:$N$56,0))*J$10+INDEX(JuniorzyPozytyw[],MATCH($A77,Juniorstwo!$A$57:$A$76,0),MATCH($B$11,Juniorstwo!$A$56:$N$56,0))*J$11+INDEX(JuniorzyPozytyw[],MATCH($A77,Juniorstwo!$A$57:$A$76,0),MATCH($B$12,Juniorstwo!$A$56:$N$56,0))*J$12+INDEX(JuniorzyPozytyw[],MATCH($A77,Juniorstwo!$A$57:$A$76,0),MATCH($B$13,Juniorstwo!$A$56:$N$56,0))*J$13,"-")</f>
        <v>81.665000000000006</v>
      </c>
      <c r="K77" s="38">
        <f ca="1">IFERROR(INDEX(JuniorzyPozytyw[],MATCH($A77,Juniorstwo!$A$57:$A$76,0),MATCH($B$2,Juniorstwo!$A$56:$N$56,0))*K$2+INDEX(JuniorzyPozytyw[],MATCH($A77,Juniorstwo!$A$57:$A$76,0),MATCH($B$3,Juniorstwo!$A$56:$N$56,0))*K$3+INDEX(JuniorzyPozytyw[],MATCH($A77,Juniorstwo!$A$57:$A$76,0),MATCH($B$4,Juniorstwo!$A$56:$N$56,0))*K$4+INDEX(JuniorzyPozytyw[],MATCH($A77,Juniorstwo!$A$57:$A$76,0),MATCH($B$5,Juniorstwo!$A$56:$N$56,0))*K$5+INDEX(JuniorzyPozytyw[],MATCH($A77,Juniorstwo!$A$57:$A$76,0),MATCH($B$6,Juniorstwo!$A$56:$N$56,0))*K$6+INDEX(JuniorzyPozytyw[],MATCH($A77,Juniorstwo!$A$57:$A$76,0),MATCH($B$7,Juniorstwo!$A$56:$N$56,0))*K$7+INDEX(JuniorzyPozytyw[],MATCH($A77,Juniorstwo!$A$57:$A$76,0),MATCH($B$8,Juniorstwo!$A$56:$N$56,0))*K$8+INDEX(JuniorzyPozytyw[],MATCH($A77,Juniorstwo!$A$57:$A$76,0),MATCH($B$9,Juniorstwo!$A$56:$N$56,0))*K$9+INDEX(JuniorzyPozytyw[],MATCH($A77,Juniorstwo!$A$57:$A$76,0),MATCH($B$10,Juniorstwo!$A$56:$N$56,0))*K$10+INDEX(JuniorzyPozytyw[],MATCH($A77,Juniorstwo!$A$57:$A$76,0),MATCH($B$11,Juniorstwo!$A$56:$N$56,0))*K$11+INDEX(JuniorzyPozytyw[],MATCH($A77,Juniorstwo!$A$57:$A$76,0),MATCH($B$12,Juniorstwo!$A$56:$N$56,0))*K$12+INDEX(JuniorzyPozytyw[],MATCH($A77,Juniorstwo!$A$57:$A$76,0),MATCH($B$13,Juniorstwo!$A$56:$N$56,0))*K$13,"-")</f>
        <v>80.165000000000006</v>
      </c>
    </row>
    <row r="78" spans="1:11" x14ac:dyDescent="0.25">
      <c r="A78" s="97">
        <v>52</v>
      </c>
      <c r="B78" s="3" t="str">
        <f>IFERROR(VLOOKUP(PozJunPŚr[[#This Row],[Numer]],Zawodnicy[[Number]:[Player name]],2,FALSE),"-")</f>
        <v>Roland Danisiewicz</v>
      </c>
      <c r="C78" s="38">
        <f ca="1">IFERROR(INDEX(JuniorzyPozytyw[],MATCH($A78,Juniorstwo!$A$57:$A$76,0),MATCH($B$2,Juniorstwo!$A$56:$N$56,0))*C$2+INDEX(JuniorzyPozytyw[],MATCH($A78,Juniorstwo!$A$57:$A$76,0),MATCH($B$3,Juniorstwo!$A$56:$N$56,0))*C$3+INDEX(JuniorzyPozytyw[],MATCH($A78,Juniorstwo!$A$57:$A$76,0),MATCH($B$4,Juniorstwo!$A$56:$N$56,0))*C$4+INDEX(JuniorzyPozytyw[],MATCH($A78,Juniorstwo!$A$57:$A$76,0),MATCH($B$5,Juniorstwo!$A$56:$N$56,0))*C$5+INDEX(JuniorzyPozytyw[],MATCH($A78,Juniorstwo!$A$57:$A$76,0),MATCH($B$6,Juniorstwo!$A$56:$N$56,0))*C$6+INDEX(JuniorzyPozytyw[],MATCH($A78,Juniorstwo!$A$57:$A$76,0),MATCH($B$7,Juniorstwo!$A$56:$N$56,0))*C$7+INDEX(JuniorzyPozytyw[],MATCH($A78,Juniorstwo!$A$57:$A$76,0),MATCH($B$8,Juniorstwo!$A$56:$N$56,0))*C$8+INDEX(JuniorzyPozytyw[],MATCH($A78,Juniorstwo!$A$57:$A$76,0),MATCH($B$9,Juniorstwo!$A$56:$N$56,0))*C$9+INDEX(JuniorzyPozytyw[],MATCH($A78,Juniorstwo!$A$57:$A$76,0),MATCH($B$10,Juniorstwo!$A$56:$N$56,0))*C$10+INDEX(JuniorzyPozytyw[],MATCH($A78,Juniorstwo!$A$57:$A$76,0),MATCH($B$11,Juniorstwo!$A$56:$N$56,0))*C$11+INDEX(JuniorzyPozytyw[],MATCH($A78,Juniorstwo!$A$57:$A$76,0),MATCH($B$12,Juniorstwo!$A$56:$N$56,0))*C$12+INDEX(JuniorzyPozytyw[],MATCH($A78,Juniorstwo!$A$57:$A$76,0),MATCH($B$13,Juniorstwo!$A$56:$N$56,0))*C$13,"-")</f>
        <v>70.545000000000002</v>
      </c>
      <c r="D78" s="38">
        <f ca="1">IFERROR(INDEX(JuniorzyPozytyw[],MATCH($A78,Juniorstwo!$A$57:$A$76,0),MATCH($B$2,Juniorstwo!$A$56:$N$56,0))*D$2+INDEX(JuniorzyPozytyw[],MATCH($A78,Juniorstwo!$A$57:$A$76,0),MATCH($B$3,Juniorstwo!$A$56:$N$56,0))*D$3+INDEX(JuniorzyPozytyw[],MATCH($A78,Juniorstwo!$A$57:$A$76,0),MATCH($B$4,Juniorstwo!$A$56:$N$56,0))*D$4+INDEX(JuniorzyPozytyw[],MATCH($A78,Juniorstwo!$A$57:$A$76,0),MATCH($B$5,Juniorstwo!$A$56:$N$56,0))*D$5+INDEX(JuniorzyPozytyw[],MATCH($A78,Juniorstwo!$A$57:$A$76,0),MATCH($B$6,Juniorstwo!$A$56:$N$56,0))*D$6+INDEX(JuniorzyPozytyw[],MATCH($A78,Juniorstwo!$A$57:$A$76,0),MATCH($B$7,Juniorstwo!$A$56:$N$56,0))*D$7+INDEX(JuniorzyPozytyw[],MATCH($A78,Juniorstwo!$A$57:$A$76,0),MATCH($B$8,Juniorstwo!$A$56:$N$56,0))*D$8+INDEX(JuniorzyPozytyw[],MATCH($A78,Juniorstwo!$A$57:$A$76,0),MATCH($B$9,Juniorstwo!$A$56:$N$56,0))*D$9+INDEX(JuniorzyPozytyw[],MATCH($A78,Juniorstwo!$A$57:$A$76,0),MATCH($B$10,Juniorstwo!$A$56:$N$56,0))*D$10+INDEX(JuniorzyPozytyw[],MATCH($A78,Juniorstwo!$A$57:$A$76,0),MATCH($B$11,Juniorstwo!$A$56:$N$56,0))*D$11+INDEX(JuniorzyPozytyw[],MATCH($A78,Juniorstwo!$A$57:$A$76,0),MATCH($B$12,Juniorstwo!$A$56:$N$56,0))*D$12+INDEX(JuniorzyPozytyw[],MATCH($A78,Juniorstwo!$A$57:$A$76,0),MATCH($B$13,Juniorstwo!$A$56:$N$56,0))*D$13,"-")</f>
        <v>77.295000000000002</v>
      </c>
      <c r="E78" s="38">
        <f ca="1">IFERROR(INDEX(JuniorzyPozytyw[],MATCH($A78,Juniorstwo!$A$57:$A$76,0),MATCH($B$2,Juniorstwo!$A$56:$N$56,0))*E$2+INDEX(JuniorzyPozytyw[],MATCH($A78,Juniorstwo!$A$57:$A$76,0),MATCH($B$3,Juniorstwo!$A$56:$N$56,0))*E$3+INDEX(JuniorzyPozytyw[],MATCH($A78,Juniorstwo!$A$57:$A$76,0),MATCH($B$4,Juniorstwo!$A$56:$N$56,0))*E$4+INDEX(JuniorzyPozytyw[],MATCH($A78,Juniorstwo!$A$57:$A$76,0),MATCH($B$5,Juniorstwo!$A$56:$N$56,0))*E$5+INDEX(JuniorzyPozytyw[],MATCH($A78,Juniorstwo!$A$57:$A$76,0),MATCH($B$6,Juniorstwo!$A$56:$N$56,0))*E$6+INDEX(JuniorzyPozytyw[],MATCH($A78,Juniorstwo!$A$57:$A$76,0),MATCH($B$7,Juniorstwo!$A$56:$N$56,0))*E$7+INDEX(JuniorzyPozytyw[],MATCH($A78,Juniorstwo!$A$57:$A$76,0),MATCH($B$8,Juniorstwo!$A$56:$N$56,0))*E$8+INDEX(JuniorzyPozytyw[],MATCH($A78,Juniorstwo!$A$57:$A$76,0),MATCH($B$9,Juniorstwo!$A$56:$N$56,0))*E$9+INDEX(JuniorzyPozytyw[],MATCH($A78,Juniorstwo!$A$57:$A$76,0),MATCH($B$10,Juniorstwo!$A$56:$N$56,0))*E$10+INDEX(JuniorzyPozytyw[],MATCH($A78,Juniorstwo!$A$57:$A$76,0),MATCH($B$11,Juniorstwo!$A$56:$N$56,0))*E$11+INDEX(JuniorzyPozytyw[],MATCH($A78,Juniorstwo!$A$57:$A$76,0),MATCH($B$12,Juniorstwo!$A$56:$N$56,0))*E$12+INDEX(JuniorzyPozytyw[],MATCH($A78,Juniorstwo!$A$57:$A$76,0),MATCH($B$13,Juniorstwo!$A$56:$N$56,0))*E$13,"-")</f>
        <v>78.045000000000002</v>
      </c>
      <c r="F78" s="38">
        <f ca="1">IFERROR(INDEX(JuniorzyPozytyw[],MATCH($A78,Juniorstwo!$A$57:$A$76,0),MATCH($B$2,Juniorstwo!$A$56:$N$56,0))*F$2+INDEX(JuniorzyPozytyw[],MATCH($A78,Juniorstwo!$A$57:$A$76,0),MATCH($B$3,Juniorstwo!$A$56:$N$56,0))*F$3+INDEX(JuniorzyPozytyw[],MATCH($A78,Juniorstwo!$A$57:$A$76,0),MATCH($B$4,Juniorstwo!$A$56:$N$56,0))*F$4+INDEX(JuniorzyPozytyw[],MATCH($A78,Juniorstwo!$A$57:$A$76,0),MATCH($B$5,Juniorstwo!$A$56:$N$56,0))*F$5+INDEX(JuniorzyPozytyw[],MATCH($A78,Juniorstwo!$A$57:$A$76,0),MATCH($B$6,Juniorstwo!$A$56:$N$56,0))*F$6+INDEX(JuniorzyPozytyw[],MATCH($A78,Juniorstwo!$A$57:$A$76,0),MATCH($B$7,Juniorstwo!$A$56:$N$56,0))*F$7+INDEX(JuniorzyPozytyw[],MATCH($A78,Juniorstwo!$A$57:$A$76,0),MATCH($B$8,Juniorstwo!$A$56:$N$56,0))*F$8+INDEX(JuniorzyPozytyw[],MATCH($A78,Juniorstwo!$A$57:$A$76,0),MATCH($B$9,Juniorstwo!$A$56:$N$56,0))*F$9+INDEX(JuniorzyPozytyw[],MATCH($A78,Juniorstwo!$A$57:$A$76,0),MATCH($B$10,Juniorstwo!$A$56:$N$56,0))*F$10+INDEX(JuniorzyPozytyw[],MATCH($A78,Juniorstwo!$A$57:$A$76,0),MATCH($B$11,Juniorstwo!$A$56:$N$56,0))*F$11+INDEX(JuniorzyPozytyw[],MATCH($A78,Juniorstwo!$A$57:$A$76,0),MATCH($B$12,Juniorstwo!$A$56:$N$56,0))*F$12+INDEX(JuniorzyPozytyw[],MATCH($A78,Juniorstwo!$A$57:$A$76,0),MATCH($B$13,Juniorstwo!$A$56:$N$56,0))*F$13,"-")</f>
        <v>79.045000000000002</v>
      </c>
      <c r="G78" s="38">
        <f ca="1">IFERROR(INDEX(JuniorzyPozytyw[],MATCH($A78,Juniorstwo!$A$57:$A$76,0),MATCH($B$2,Juniorstwo!$A$56:$N$56,0))*G$2+INDEX(JuniorzyPozytyw[],MATCH($A78,Juniorstwo!$A$57:$A$76,0),MATCH($B$3,Juniorstwo!$A$56:$N$56,0))*G$3+INDEX(JuniorzyPozytyw[],MATCH($A78,Juniorstwo!$A$57:$A$76,0),MATCH($B$4,Juniorstwo!$A$56:$N$56,0))*G$4+INDEX(JuniorzyPozytyw[],MATCH($A78,Juniorstwo!$A$57:$A$76,0),MATCH($B$5,Juniorstwo!$A$56:$N$56,0))*G$5+INDEX(JuniorzyPozytyw[],MATCH($A78,Juniorstwo!$A$57:$A$76,0),MATCH($B$6,Juniorstwo!$A$56:$N$56,0))*G$6+INDEX(JuniorzyPozytyw[],MATCH($A78,Juniorstwo!$A$57:$A$76,0),MATCH($B$7,Juniorstwo!$A$56:$N$56,0))*G$7+INDEX(JuniorzyPozytyw[],MATCH($A78,Juniorstwo!$A$57:$A$76,0),MATCH($B$8,Juniorstwo!$A$56:$N$56,0))*G$8+INDEX(JuniorzyPozytyw[],MATCH($A78,Juniorstwo!$A$57:$A$76,0),MATCH($B$9,Juniorstwo!$A$56:$N$56,0))*G$9+INDEX(JuniorzyPozytyw[],MATCH($A78,Juniorstwo!$A$57:$A$76,0),MATCH($B$10,Juniorstwo!$A$56:$N$56,0))*G$10+INDEX(JuniorzyPozytyw[],MATCH($A78,Juniorstwo!$A$57:$A$76,0),MATCH($B$11,Juniorstwo!$A$56:$N$56,0))*G$11+INDEX(JuniorzyPozytyw[],MATCH($A78,Juniorstwo!$A$57:$A$76,0),MATCH($B$12,Juniorstwo!$A$56:$N$56,0))*G$12+INDEX(JuniorzyPozytyw[],MATCH($A78,Juniorstwo!$A$57:$A$76,0),MATCH($B$13,Juniorstwo!$A$56:$N$56,0))*G$13,"-")</f>
        <v>79.545000000000002</v>
      </c>
      <c r="H78" s="38">
        <f ca="1">IFERROR(INDEX(JuniorzyPozytyw[],MATCH($A78,Juniorstwo!$A$57:$A$76,0),MATCH($B$2,Juniorstwo!$A$56:$N$56,0))*H$2+INDEX(JuniorzyPozytyw[],MATCH($A78,Juniorstwo!$A$57:$A$76,0),MATCH($B$3,Juniorstwo!$A$56:$N$56,0))*H$3+INDEX(JuniorzyPozytyw[],MATCH($A78,Juniorstwo!$A$57:$A$76,0),MATCH($B$4,Juniorstwo!$A$56:$N$56,0))*H$4+INDEX(JuniorzyPozytyw[],MATCH($A78,Juniorstwo!$A$57:$A$76,0),MATCH($B$5,Juniorstwo!$A$56:$N$56,0))*H$5+INDEX(JuniorzyPozytyw[],MATCH($A78,Juniorstwo!$A$57:$A$76,0),MATCH($B$6,Juniorstwo!$A$56:$N$56,0))*H$6+INDEX(JuniorzyPozytyw[],MATCH($A78,Juniorstwo!$A$57:$A$76,0),MATCH($B$7,Juniorstwo!$A$56:$N$56,0))*H$7+INDEX(JuniorzyPozytyw[],MATCH($A78,Juniorstwo!$A$57:$A$76,0),MATCH($B$8,Juniorstwo!$A$56:$N$56,0))*H$8+INDEX(JuniorzyPozytyw[],MATCH($A78,Juniorstwo!$A$57:$A$76,0),MATCH($B$9,Juniorstwo!$A$56:$N$56,0))*H$9+INDEX(JuniorzyPozytyw[],MATCH($A78,Juniorstwo!$A$57:$A$76,0),MATCH($B$10,Juniorstwo!$A$56:$N$56,0))*H$10+INDEX(JuniorzyPozytyw[],MATCH($A78,Juniorstwo!$A$57:$A$76,0),MATCH($B$11,Juniorstwo!$A$56:$N$56,0))*H$11+INDEX(JuniorzyPozytyw[],MATCH($A78,Juniorstwo!$A$57:$A$76,0),MATCH($B$12,Juniorstwo!$A$56:$N$56,0))*H$12+INDEX(JuniorzyPozytyw[],MATCH($A78,Juniorstwo!$A$57:$A$76,0),MATCH($B$13,Juniorstwo!$A$56:$N$56,0))*H$13,"-")</f>
        <v>80.545000000000002</v>
      </c>
      <c r="I78" s="38">
        <f ca="1">IFERROR(INDEX(JuniorzyPozytyw[],MATCH($A78,Juniorstwo!$A$57:$A$76,0),MATCH($B$2,Juniorstwo!$A$56:$N$56,0))*I$2+INDEX(JuniorzyPozytyw[],MATCH($A78,Juniorstwo!$A$57:$A$76,0),MATCH($B$3,Juniorstwo!$A$56:$N$56,0))*I$3+INDEX(JuniorzyPozytyw[],MATCH($A78,Juniorstwo!$A$57:$A$76,0),MATCH($B$4,Juniorstwo!$A$56:$N$56,0))*I$4+INDEX(JuniorzyPozytyw[],MATCH($A78,Juniorstwo!$A$57:$A$76,0),MATCH($B$5,Juniorstwo!$A$56:$N$56,0))*I$5+INDEX(JuniorzyPozytyw[],MATCH($A78,Juniorstwo!$A$57:$A$76,0),MATCH($B$6,Juniorstwo!$A$56:$N$56,0))*I$6+INDEX(JuniorzyPozytyw[],MATCH($A78,Juniorstwo!$A$57:$A$76,0),MATCH($B$7,Juniorstwo!$A$56:$N$56,0))*I$7+INDEX(JuniorzyPozytyw[],MATCH($A78,Juniorstwo!$A$57:$A$76,0),MATCH($B$8,Juniorstwo!$A$56:$N$56,0))*I$8+INDEX(JuniorzyPozytyw[],MATCH($A78,Juniorstwo!$A$57:$A$76,0),MATCH($B$9,Juniorstwo!$A$56:$N$56,0))*I$9+INDEX(JuniorzyPozytyw[],MATCH($A78,Juniorstwo!$A$57:$A$76,0),MATCH($B$10,Juniorstwo!$A$56:$N$56,0))*I$10+INDEX(JuniorzyPozytyw[],MATCH($A78,Juniorstwo!$A$57:$A$76,0),MATCH($B$11,Juniorstwo!$A$56:$N$56,0))*I$11+INDEX(JuniorzyPozytyw[],MATCH($A78,Juniorstwo!$A$57:$A$76,0),MATCH($B$12,Juniorstwo!$A$56:$N$56,0))*I$12+INDEX(JuniorzyPozytyw[],MATCH($A78,Juniorstwo!$A$57:$A$76,0),MATCH($B$13,Juniorstwo!$A$56:$N$56,0))*I$13,"-")</f>
        <v>81.67</v>
      </c>
      <c r="J78" s="38">
        <f ca="1">IFERROR(INDEX(JuniorzyPozytyw[],MATCH($A78,Juniorstwo!$A$57:$A$76,0),MATCH($B$2,Juniorstwo!$A$56:$N$56,0))*J$2+INDEX(JuniorzyPozytyw[],MATCH($A78,Juniorstwo!$A$57:$A$76,0),MATCH($B$3,Juniorstwo!$A$56:$N$56,0))*J$3+INDEX(JuniorzyPozytyw[],MATCH($A78,Juniorstwo!$A$57:$A$76,0),MATCH($B$4,Juniorstwo!$A$56:$N$56,0))*J$4+INDEX(JuniorzyPozytyw[],MATCH($A78,Juniorstwo!$A$57:$A$76,0),MATCH($B$5,Juniorstwo!$A$56:$N$56,0))*J$5+INDEX(JuniorzyPozytyw[],MATCH($A78,Juniorstwo!$A$57:$A$76,0),MATCH($B$6,Juniorstwo!$A$56:$N$56,0))*J$6+INDEX(JuniorzyPozytyw[],MATCH($A78,Juniorstwo!$A$57:$A$76,0),MATCH($B$7,Juniorstwo!$A$56:$N$56,0))*J$7+INDEX(JuniorzyPozytyw[],MATCH($A78,Juniorstwo!$A$57:$A$76,0),MATCH($B$8,Juniorstwo!$A$56:$N$56,0))*J$8+INDEX(JuniorzyPozytyw[],MATCH($A78,Juniorstwo!$A$57:$A$76,0),MATCH($B$9,Juniorstwo!$A$56:$N$56,0))*J$9+INDEX(JuniorzyPozytyw[],MATCH($A78,Juniorstwo!$A$57:$A$76,0),MATCH($B$10,Juniorstwo!$A$56:$N$56,0))*J$10+INDEX(JuniorzyPozytyw[],MATCH($A78,Juniorstwo!$A$57:$A$76,0),MATCH($B$11,Juniorstwo!$A$56:$N$56,0))*J$11+INDEX(JuniorzyPozytyw[],MATCH($A78,Juniorstwo!$A$57:$A$76,0),MATCH($B$12,Juniorstwo!$A$56:$N$56,0))*J$12+INDEX(JuniorzyPozytyw[],MATCH($A78,Juniorstwo!$A$57:$A$76,0),MATCH($B$13,Juniorstwo!$A$56:$N$56,0))*J$13,"-")</f>
        <v>81.67</v>
      </c>
      <c r="K78" s="38">
        <f ca="1">IFERROR(INDEX(JuniorzyPozytyw[],MATCH($A78,Juniorstwo!$A$57:$A$76,0),MATCH($B$2,Juniorstwo!$A$56:$N$56,0))*K$2+INDEX(JuniorzyPozytyw[],MATCH($A78,Juniorstwo!$A$57:$A$76,0),MATCH($B$3,Juniorstwo!$A$56:$N$56,0))*K$3+INDEX(JuniorzyPozytyw[],MATCH($A78,Juniorstwo!$A$57:$A$76,0),MATCH($B$4,Juniorstwo!$A$56:$N$56,0))*K$4+INDEX(JuniorzyPozytyw[],MATCH($A78,Juniorstwo!$A$57:$A$76,0),MATCH($B$5,Juniorstwo!$A$56:$N$56,0))*K$5+INDEX(JuniorzyPozytyw[],MATCH($A78,Juniorstwo!$A$57:$A$76,0),MATCH($B$6,Juniorstwo!$A$56:$N$56,0))*K$6+INDEX(JuniorzyPozytyw[],MATCH($A78,Juniorstwo!$A$57:$A$76,0),MATCH($B$7,Juniorstwo!$A$56:$N$56,0))*K$7+INDEX(JuniorzyPozytyw[],MATCH($A78,Juniorstwo!$A$57:$A$76,0),MATCH($B$8,Juniorstwo!$A$56:$N$56,0))*K$8+INDEX(JuniorzyPozytyw[],MATCH($A78,Juniorstwo!$A$57:$A$76,0),MATCH($B$9,Juniorstwo!$A$56:$N$56,0))*K$9+INDEX(JuniorzyPozytyw[],MATCH($A78,Juniorstwo!$A$57:$A$76,0),MATCH($B$10,Juniorstwo!$A$56:$N$56,0))*K$10+INDEX(JuniorzyPozytyw[],MATCH($A78,Juniorstwo!$A$57:$A$76,0),MATCH($B$11,Juniorstwo!$A$56:$N$56,0))*K$11+INDEX(JuniorzyPozytyw[],MATCH($A78,Juniorstwo!$A$57:$A$76,0),MATCH($B$12,Juniorstwo!$A$56:$N$56,0))*K$12+INDEX(JuniorzyPozytyw[],MATCH($A78,Juniorstwo!$A$57:$A$76,0),MATCH($B$13,Juniorstwo!$A$56:$N$56,0))*K$13,"-")</f>
        <v>83.17</v>
      </c>
    </row>
    <row r="79" spans="1:11" x14ac:dyDescent="0.25">
      <c r="A79" s="97">
        <v>53</v>
      </c>
      <c r="B79" s="3" t="str">
        <f>IFERROR(VLOOKUP(PozJunPŚr[[#This Row],[Numer]],Zawodnicy[[Number]:[Player name]],2,FALSE),"-")</f>
        <v>Cyryl Huratiak</v>
      </c>
      <c r="C79" s="38">
        <f ca="1">IFERROR(INDEX(JuniorzyPozytyw[],MATCH($A79,Juniorstwo!$A$57:$A$76,0),MATCH($B$2,Juniorstwo!$A$56:$N$56,0))*C$2+INDEX(JuniorzyPozytyw[],MATCH($A79,Juniorstwo!$A$57:$A$76,0),MATCH($B$3,Juniorstwo!$A$56:$N$56,0))*C$3+INDEX(JuniorzyPozytyw[],MATCH($A79,Juniorstwo!$A$57:$A$76,0),MATCH($B$4,Juniorstwo!$A$56:$N$56,0))*C$4+INDEX(JuniorzyPozytyw[],MATCH($A79,Juniorstwo!$A$57:$A$76,0),MATCH($B$5,Juniorstwo!$A$56:$N$56,0))*C$5+INDEX(JuniorzyPozytyw[],MATCH($A79,Juniorstwo!$A$57:$A$76,0),MATCH($B$6,Juniorstwo!$A$56:$N$56,0))*C$6+INDEX(JuniorzyPozytyw[],MATCH($A79,Juniorstwo!$A$57:$A$76,0),MATCH($B$7,Juniorstwo!$A$56:$N$56,0))*C$7+INDEX(JuniorzyPozytyw[],MATCH($A79,Juniorstwo!$A$57:$A$76,0),MATCH($B$8,Juniorstwo!$A$56:$N$56,0))*C$8+INDEX(JuniorzyPozytyw[],MATCH($A79,Juniorstwo!$A$57:$A$76,0),MATCH($B$9,Juniorstwo!$A$56:$N$56,0))*C$9+INDEX(JuniorzyPozytyw[],MATCH($A79,Juniorstwo!$A$57:$A$76,0),MATCH($B$10,Juniorstwo!$A$56:$N$56,0))*C$10+INDEX(JuniorzyPozytyw[],MATCH($A79,Juniorstwo!$A$57:$A$76,0),MATCH($B$11,Juniorstwo!$A$56:$N$56,0))*C$11+INDEX(JuniorzyPozytyw[],MATCH($A79,Juniorstwo!$A$57:$A$76,0),MATCH($B$12,Juniorstwo!$A$56:$N$56,0))*C$12+INDEX(JuniorzyPozytyw[],MATCH($A79,Juniorstwo!$A$57:$A$76,0),MATCH($B$13,Juniorstwo!$A$56:$N$56,0))*C$13,"-")</f>
        <v>76.040000000000006</v>
      </c>
      <c r="D79" s="38">
        <f ca="1">IFERROR(INDEX(JuniorzyPozytyw[],MATCH($A79,Juniorstwo!$A$57:$A$76,0),MATCH($B$2,Juniorstwo!$A$56:$N$56,0))*D$2+INDEX(JuniorzyPozytyw[],MATCH($A79,Juniorstwo!$A$57:$A$76,0),MATCH($B$3,Juniorstwo!$A$56:$N$56,0))*D$3+INDEX(JuniorzyPozytyw[],MATCH($A79,Juniorstwo!$A$57:$A$76,0),MATCH($B$4,Juniorstwo!$A$56:$N$56,0))*D$4+INDEX(JuniorzyPozytyw[],MATCH($A79,Juniorstwo!$A$57:$A$76,0),MATCH($B$5,Juniorstwo!$A$56:$N$56,0))*D$5+INDEX(JuniorzyPozytyw[],MATCH($A79,Juniorstwo!$A$57:$A$76,0),MATCH($B$6,Juniorstwo!$A$56:$N$56,0))*D$6+INDEX(JuniorzyPozytyw[],MATCH($A79,Juniorstwo!$A$57:$A$76,0),MATCH($B$7,Juniorstwo!$A$56:$N$56,0))*D$7+INDEX(JuniorzyPozytyw[],MATCH($A79,Juniorstwo!$A$57:$A$76,0),MATCH($B$8,Juniorstwo!$A$56:$N$56,0))*D$8+INDEX(JuniorzyPozytyw[],MATCH($A79,Juniorstwo!$A$57:$A$76,0),MATCH($B$9,Juniorstwo!$A$56:$N$56,0))*D$9+INDEX(JuniorzyPozytyw[],MATCH($A79,Juniorstwo!$A$57:$A$76,0),MATCH($B$10,Juniorstwo!$A$56:$N$56,0))*D$10+INDEX(JuniorzyPozytyw[],MATCH($A79,Juniorstwo!$A$57:$A$76,0),MATCH($B$11,Juniorstwo!$A$56:$N$56,0))*D$11+INDEX(JuniorzyPozytyw[],MATCH($A79,Juniorstwo!$A$57:$A$76,0),MATCH($B$12,Juniorstwo!$A$56:$N$56,0))*D$12+INDEX(JuniorzyPozytyw[],MATCH($A79,Juniorstwo!$A$57:$A$76,0),MATCH($B$13,Juniorstwo!$A$56:$N$56,0))*D$13,"-")</f>
        <v>84.29</v>
      </c>
      <c r="E79" s="38">
        <f ca="1">IFERROR(INDEX(JuniorzyPozytyw[],MATCH($A79,Juniorstwo!$A$57:$A$76,0),MATCH($B$2,Juniorstwo!$A$56:$N$56,0))*E$2+INDEX(JuniorzyPozytyw[],MATCH($A79,Juniorstwo!$A$57:$A$76,0),MATCH($B$3,Juniorstwo!$A$56:$N$56,0))*E$3+INDEX(JuniorzyPozytyw[],MATCH($A79,Juniorstwo!$A$57:$A$76,0),MATCH($B$4,Juniorstwo!$A$56:$N$56,0))*E$4+INDEX(JuniorzyPozytyw[],MATCH($A79,Juniorstwo!$A$57:$A$76,0),MATCH($B$5,Juniorstwo!$A$56:$N$56,0))*E$5+INDEX(JuniorzyPozytyw[],MATCH($A79,Juniorstwo!$A$57:$A$76,0),MATCH($B$6,Juniorstwo!$A$56:$N$56,0))*E$6+INDEX(JuniorzyPozytyw[],MATCH($A79,Juniorstwo!$A$57:$A$76,0),MATCH($B$7,Juniorstwo!$A$56:$N$56,0))*E$7+INDEX(JuniorzyPozytyw[],MATCH($A79,Juniorstwo!$A$57:$A$76,0),MATCH($B$8,Juniorstwo!$A$56:$N$56,0))*E$8+INDEX(JuniorzyPozytyw[],MATCH($A79,Juniorstwo!$A$57:$A$76,0),MATCH($B$9,Juniorstwo!$A$56:$N$56,0))*E$9+INDEX(JuniorzyPozytyw[],MATCH($A79,Juniorstwo!$A$57:$A$76,0),MATCH($B$10,Juniorstwo!$A$56:$N$56,0))*E$10+INDEX(JuniorzyPozytyw[],MATCH($A79,Juniorstwo!$A$57:$A$76,0),MATCH($B$11,Juniorstwo!$A$56:$N$56,0))*E$11+INDEX(JuniorzyPozytyw[],MATCH($A79,Juniorstwo!$A$57:$A$76,0),MATCH($B$12,Juniorstwo!$A$56:$N$56,0))*E$12+INDEX(JuniorzyPozytyw[],MATCH($A79,Juniorstwo!$A$57:$A$76,0),MATCH($B$13,Juniorstwo!$A$56:$N$56,0))*E$13,"-")</f>
        <v>83.415000000000006</v>
      </c>
      <c r="F79" s="38">
        <f ca="1">IFERROR(INDEX(JuniorzyPozytyw[],MATCH($A79,Juniorstwo!$A$57:$A$76,0),MATCH($B$2,Juniorstwo!$A$56:$N$56,0))*F$2+INDEX(JuniorzyPozytyw[],MATCH($A79,Juniorstwo!$A$57:$A$76,0),MATCH($B$3,Juniorstwo!$A$56:$N$56,0))*F$3+INDEX(JuniorzyPozytyw[],MATCH($A79,Juniorstwo!$A$57:$A$76,0),MATCH($B$4,Juniorstwo!$A$56:$N$56,0))*F$4+INDEX(JuniorzyPozytyw[],MATCH($A79,Juniorstwo!$A$57:$A$76,0),MATCH($B$5,Juniorstwo!$A$56:$N$56,0))*F$5+INDEX(JuniorzyPozytyw[],MATCH($A79,Juniorstwo!$A$57:$A$76,0),MATCH($B$6,Juniorstwo!$A$56:$N$56,0))*F$6+INDEX(JuniorzyPozytyw[],MATCH($A79,Juniorstwo!$A$57:$A$76,0),MATCH($B$7,Juniorstwo!$A$56:$N$56,0))*F$7+INDEX(JuniorzyPozytyw[],MATCH($A79,Juniorstwo!$A$57:$A$76,0),MATCH($B$8,Juniorstwo!$A$56:$N$56,0))*F$8+INDEX(JuniorzyPozytyw[],MATCH($A79,Juniorstwo!$A$57:$A$76,0),MATCH($B$9,Juniorstwo!$A$56:$N$56,0))*F$9+INDEX(JuniorzyPozytyw[],MATCH($A79,Juniorstwo!$A$57:$A$76,0),MATCH($B$10,Juniorstwo!$A$56:$N$56,0))*F$10+INDEX(JuniorzyPozytyw[],MATCH($A79,Juniorstwo!$A$57:$A$76,0),MATCH($B$11,Juniorstwo!$A$56:$N$56,0))*F$11+INDEX(JuniorzyPozytyw[],MATCH($A79,Juniorstwo!$A$57:$A$76,0),MATCH($B$12,Juniorstwo!$A$56:$N$56,0))*F$12+INDEX(JuniorzyPozytyw[],MATCH($A79,Juniorstwo!$A$57:$A$76,0),MATCH($B$13,Juniorstwo!$A$56:$N$56,0))*F$13,"-")</f>
        <v>82.79</v>
      </c>
      <c r="G79" s="38">
        <f ca="1">IFERROR(INDEX(JuniorzyPozytyw[],MATCH($A79,Juniorstwo!$A$57:$A$76,0),MATCH($B$2,Juniorstwo!$A$56:$N$56,0))*G$2+INDEX(JuniorzyPozytyw[],MATCH($A79,Juniorstwo!$A$57:$A$76,0),MATCH($B$3,Juniorstwo!$A$56:$N$56,0))*G$3+INDEX(JuniorzyPozytyw[],MATCH($A79,Juniorstwo!$A$57:$A$76,0),MATCH($B$4,Juniorstwo!$A$56:$N$56,0))*G$4+INDEX(JuniorzyPozytyw[],MATCH($A79,Juniorstwo!$A$57:$A$76,0),MATCH($B$5,Juniorstwo!$A$56:$N$56,0))*G$5+INDEX(JuniorzyPozytyw[],MATCH($A79,Juniorstwo!$A$57:$A$76,0),MATCH($B$6,Juniorstwo!$A$56:$N$56,0))*G$6+INDEX(JuniorzyPozytyw[],MATCH($A79,Juniorstwo!$A$57:$A$76,0),MATCH($B$7,Juniorstwo!$A$56:$N$56,0))*G$7+INDEX(JuniorzyPozytyw[],MATCH($A79,Juniorstwo!$A$57:$A$76,0),MATCH($B$8,Juniorstwo!$A$56:$N$56,0))*G$8+INDEX(JuniorzyPozytyw[],MATCH($A79,Juniorstwo!$A$57:$A$76,0),MATCH($B$9,Juniorstwo!$A$56:$N$56,0))*G$9+INDEX(JuniorzyPozytyw[],MATCH($A79,Juniorstwo!$A$57:$A$76,0),MATCH($B$10,Juniorstwo!$A$56:$N$56,0))*G$10+INDEX(JuniorzyPozytyw[],MATCH($A79,Juniorstwo!$A$57:$A$76,0),MATCH($B$11,Juniorstwo!$A$56:$N$56,0))*G$11+INDEX(JuniorzyPozytyw[],MATCH($A79,Juniorstwo!$A$57:$A$76,0),MATCH($B$12,Juniorstwo!$A$56:$N$56,0))*G$12+INDEX(JuniorzyPozytyw[],MATCH($A79,Juniorstwo!$A$57:$A$76,0),MATCH($B$13,Juniorstwo!$A$56:$N$56,0))*G$13,"-")</f>
        <v>82.29</v>
      </c>
      <c r="H79" s="38">
        <f ca="1">IFERROR(INDEX(JuniorzyPozytyw[],MATCH($A79,Juniorstwo!$A$57:$A$76,0),MATCH($B$2,Juniorstwo!$A$56:$N$56,0))*H$2+INDEX(JuniorzyPozytyw[],MATCH($A79,Juniorstwo!$A$57:$A$76,0),MATCH($B$3,Juniorstwo!$A$56:$N$56,0))*H$3+INDEX(JuniorzyPozytyw[],MATCH($A79,Juniorstwo!$A$57:$A$76,0),MATCH($B$4,Juniorstwo!$A$56:$N$56,0))*H$4+INDEX(JuniorzyPozytyw[],MATCH($A79,Juniorstwo!$A$57:$A$76,0),MATCH($B$5,Juniorstwo!$A$56:$N$56,0))*H$5+INDEX(JuniorzyPozytyw[],MATCH($A79,Juniorstwo!$A$57:$A$76,0),MATCH($B$6,Juniorstwo!$A$56:$N$56,0))*H$6+INDEX(JuniorzyPozytyw[],MATCH($A79,Juniorstwo!$A$57:$A$76,0),MATCH($B$7,Juniorstwo!$A$56:$N$56,0))*H$7+INDEX(JuniorzyPozytyw[],MATCH($A79,Juniorstwo!$A$57:$A$76,0),MATCH($B$8,Juniorstwo!$A$56:$N$56,0))*H$8+INDEX(JuniorzyPozytyw[],MATCH($A79,Juniorstwo!$A$57:$A$76,0),MATCH($B$9,Juniorstwo!$A$56:$N$56,0))*H$9+INDEX(JuniorzyPozytyw[],MATCH($A79,Juniorstwo!$A$57:$A$76,0),MATCH($B$10,Juniorstwo!$A$56:$N$56,0))*H$10+INDEX(JuniorzyPozytyw[],MATCH($A79,Juniorstwo!$A$57:$A$76,0),MATCH($B$11,Juniorstwo!$A$56:$N$56,0))*H$11+INDEX(JuniorzyPozytyw[],MATCH($A79,Juniorstwo!$A$57:$A$76,0),MATCH($B$12,Juniorstwo!$A$56:$N$56,0))*H$12+INDEX(JuniorzyPozytyw[],MATCH($A79,Juniorstwo!$A$57:$A$76,0),MATCH($B$13,Juniorstwo!$A$56:$N$56,0))*H$13,"-")</f>
        <v>81.165000000000006</v>
      </c>
      <c r="I79" s="38">
        <f ca="1">IFERROR(INDEX(JuniorzyPozytyw[],MATCH($A79,Juniorstwo!$A$57:$A$76,0),MATCH($B$2,Juniorstwo!$A$56:$N$56,0))*I$2+INDEX(JuniorzyPozytyw[],MATCH($A79,Juniorstwo!$A$57:$A$76,0),MATCH($B$3,Juniorstwo!$A$56:$N$56,0))*I$3+INDEX(JuniorzyPozytyw[],MATCH($A79,Juniorstwo!$A$57:$A$76,0),MATCH($B$4,Juniorstwo!$A$56:$N$56,0))*I$4+INDEX(JuniorzyPozytyw[],MATCH($A79,Juniorstwo!$A$57:$A$76,0),MATCH($B$5,Juniorstwo!$A$56:$N$56,0))*I$5+INDEX(JuniorzyPozytyw[],MATCH($A79,Juniorstwo!$A$57:$A$76,0),MATCH($B$6,Juniorstwo!$A$56:$N$56,0))*I$6+INDEX(JuniorzyPozytyw[],MATCH($A79,Juniorstwo!$A$57:$A$76,0),MATCH($B$7,Juniorstwo!$A$56:$N$56,0))*I$7+INDEX(JuniorzyPozytyw[],MATCH($A79,Juniorstwo!$A$57:$A$76,0),MATCH($B$8,Juniorstwo!$A$56:$N$56,0))*I$8+INDEX(JuniorzyPozytyw[],MATCH($A79,Juniorstwo!$A$57:$A$76,0),MATCH($B$9,Juniorstwo!$A$56:$N$56,0))*I$9+INDEX(JuniorzyPozytyw[],MATCH($A79,Juniorstwo!$A$57:$A$76,0),MATCH($B$10,Juniorstwo!$A$56:$N$56,0))*I$10+INDEX(JuniorzyPozytyw[],MATCH($A79,Juniorstwo!$A$57:$A$76,0),MATCH($B$11,Juniorstwo!$A$56:$N$56,0))*I$11+INDEX(JuniorzyPozytyw[],MATCH($A79,Juniorstwo!$A$57:$A$76,0),MATCH($B$12,Juniorstwo!$A$56:$N$56,0))*I$12+INDEX(JuniorzyPozytyw[],MATCH($A79,Juniorstwo!$A$57:$A$76,0),MATCH($B$13,Juniorstwo!$A$56:$N$56,0))*I$13,"-")</f>
        <v>80.040000000000006</v>
      </c>
      <c r="J79" s="38">
        <f ca="1">IFERROR(INDEX(JuniorzyPozytyw[],MATCH($A79,Juniorstwo!$A$57:$A$76,0),MATCH($B$2,Juniorstwo!$A$56:$N$56,0))*J$2+INDEX(JuniorzyPozytyw[],MATCH($A79,Juniorstwo!$A$57:$A$76,0),MATCH($B$3,Juniorstwo!$A$56:$N$56,0))*J$3+INDEX(JuniorzyPozytyw[],MATCH($A79,Juniorstwo!$A$57:$A$76,0),MATCH($B$4,Juniorstwo!$A$56:$N$56,0))*J$4+INDEX(JuniorzyPozytyw[],MATCH($A79,Juniorstwo!$A$57:$A$76,0),MATCH($B$5,Juniorstwo!$A$56:$N$56,0))*J$5+INDEX(JuniorzyPozytyw[],MATCH($A79,Juniorstwo!$A$57:$A$76,0),MATCH($B$6,Juniorstwo!$A$56:$N$56,0))*J$6+INDEX(JuniorzyPozytyw[],MATCH($A79,Juniorstwo!$A$57:$A$76,0),MATCH($B$7,Juniorstwo!$A$56:$N$56,0))*J$7+INDEX(JuniorzyPozytyw[],MATCH($A79,Juniorstwo!$A$57:$A$76,0),MATCH($B$8,Juniorstwo!$A$56:$N$56,0))*J$8+INDEX(JuniorzyPozytyw[],MATCH($A79,Juniorstwo!$A$57:$A$76,0),MATCH($B$9,Juniorstwo!$A$56:$N$56,0))*J$9+INDEX(JuniorzyPozytyw[],MATCH($A79,Juniorstwo!$A$57:$A$76,0),MATCH($B$10,Juniorstwo!$A$56:$N$56,0))*J$10+INDEX(JuniorzyPozytyw[],MATCH($A79,Juniorstwo!$A$57:$A$76,0),MATCH($B$11,Juniorstwo!$A$56:$N$56,0))*J$11+INDEX(JuniorzyPozytyw[],MATCH($A79,Juniorstwo!$A$57:$A$76,0),MATCH($B$12,Juniorstwo!$A$56:$N$56,0))*J$12+INDEX(JuniorzyPozytyw[],MATCH($A79,Juniorstwo!$A$57:$A$76,0),MATCH($B$13,Juniorstwo!$A$56:$N$56,0))*J$13,"-")</f>
        <v>79.915000000000006</v>
      </c>
      <c r="K79" s="38">
        <f ca="1">IFERROR(INDEX(JuniorzyPozytyw[],MATCH($A79,Juniorstwo!$A$57:$A$76,0),MATCH($B$2,Juniorstwo!$A$56:$N$56,0))*K$2+INDEX(JuniorzyPozytyw[],MATCH($A79,Juniorstwo!$A$57:$A$76,0),MATCH($B$3,Juniorstwo!$A$56:$N$56,0))*K$3+INDEX(JuniorzyPozytyw[],MATCH($A79,Juniorstwo!$A$57:$A$76,0),MATCH($B$4,Juniorstwo!$A$56:$N$56,0))*K$4+INDEX(JuniorzyPozytyw[],MATCH($A79,Juniorstwo!$A$57:$A$76,0),MATCH($B$5,Juniorstwo!$A$56:$N$56,0))*K$5+INDEX(JuniorzyPozytyw[],MATCH($A79,Juniorstwo!$A$57:$A$76,0),MATCH($B$6,Juniorstwo!$A$56:$N$56,0))*K$6+INDEX(JuniorzyPozytyw[],MATCH($A79,Juniorstwo!$A$57:$A$76,0),MATCH($B$7,Juniorstwo!$A$56:$N$56,0))*K$7+INDEX(JuniorzyPozytyw[],MATCH($A79,Juniorstwo!$A$57:$A$76,0),MATCH($B$8,Juniorstwo!$A$56:$N$56,0))*K$8+INDEX(JuniorzyPozytyw[],MATCH($A79,Juniorstwo!$A$57:$A$76,0),MATCH($B$9,Juniorstwo!$A$56:$N$56,0))*K$9+INDEX(JuniorzyPozytyw[],MATCH($A79,Juniorstwo!$A$57:$A$76,0),MATCH($B$10,Juniorstwo!$A$56:$N$56,0))*K$10+INDEX(JuniorzyPozytyw[],MATCH($A79,Juniorstwo!$A$57:$A$76,0),MATCH($B$11,Juniorstwo!$A$56:$N$56,0))*K$11+INDEX(JuniorzyPozytyw[],MATCH($A79,Juniorstwo!$A$57:$A$76,0),MATCH($B$12,Juniorstwo!$A$56:$N$56,0))*K$12+INDEX(JuniorzyPozytyw[],MATCH($A79,Juniorstwo!$A$57:$A$76,0),MATCH($B$13,Juniorstwo!$A$56:$N$56,0))*K$13,"-")</f>
        <v>78.165000000000006</v>
      </c>
    </row>
    <row r="80" spans="1:11" x14ac:dyDescent="0.25">
      <c r="A80" s="84">
        <v>22</v>
      </c>
      <c r="B80" s="3" t="str">
        <f>IFERROR(VLOOKUP(PozJunPŚr[[#This Row],[Numer]],Zawodnicy[[Number]:[Player name]],2,FALSE),"-")</f>
        <v>Daniel Dziewulski</v>
      </c>
      <c r="C80" s="38">
        <f ca="1">IFERROR(INDEX(JuniorzyPozytyw[],MATCH($A80,Juniorstwo!$A$57:$A$76,0),MATCH($B$2,Juniorstwo!$A$56:$N$56,0))*C$2+INDEX(JuniorzyPozytyw[],MATCH($A80,Juniorstwo!$A$57:$A$76,0),MATCH($B$3,Juniorstwo!$A$56:$N$56,0))*C$3+INDEX(JuniorzyPozytyw[],MATCH($A80,Juniorstwo!$A$57:$A$76,0),MATCH($B$4,Juniorstwo!$A$56:$N$56,0))*C$4+INDEX(JuniorzyPozytyw[],MATCH($A80,Juniorstwo!$A$57:$A$76,0),MATCH($B$5,Juniorstwo!$A$56:$N$56,0))*C$5+INDEX(JuniorzyPozytyw[],MATCH($A80,Juniorstwo!$A$57:$A$76,0),MATCH($B$6,Juniorstwo!$A$56:$N$56,0))*C$6+INDEX(JuniorzyPozytyw[],MATCH($A80,Juniorstwo!$A$57:$A$76,0),MATCH($B$7,Juniorstwo!$A$56:$N$56,0))*C$7+INDEX(JuniorzyPozytyw[],MATCH($A80,Juniorstwo!$A$57:$A$76,0),MATCH($B$8,Juniorstwo!$A$56:$N$56,0))*C$8+INDEX(JuniorzyPozytyw[],MATCH($A80,Juniorstwo!$A$57:$A$76,0),MATCH($B$9,Juniorstwo!$A$56:$N$56,0))*C$9+INDEX(JuniorzyPozytyw[],MATCH($A80,Juniorstwo!$A$57:$A$76,0),MATCH($B$10,Juniorstwo!$A$56:$N$56,0))*C$10+INDEX(JuniorzyPozytyw[],MATCH($A80,Juniorstwo!$A$57:$A$76,0),MATCH($B$11,Juniorstwo!$A$56:$N$56,0))*C$11+INDEX(JuniorzyPozytyw[],MATCH($A80,Juniorstwo!$A$57:$A$76,0),MATCH($B$12,Juniorstwo!$A$56:$N$56,0))*C$12+INDEX(JuniorzyPozytyw[],MATCH($A80,Juniorstwo!$A$57:$A$76,0),MATCH($B$13,Juniorstwo!$A$56:$N$56,0))*C$13,"-")</f>
        <v>63.295000000000002</v>
      </c>
      <c r="D80" s="38">
        <f ca="1">IFERROR(INDEX(JuniorzyPozytyw[],MATCH($A80,Juniorstwo!$A$57:$A$76,0),MATCH($B$2,Juniorstwo!$A$56:$N$56,0))*D$2+INDEX(JuniorzyPozytyw[],MATCH($A80,Juniorstwo!$A$57:$A$76,0),MATCH($B$3,Juniorstwo!$A$56:$N$56,0))*D$3+INDEX(JuniorzyPozytyw[],MATCH($A80,Juniorstwo!$A$57:$A$76,0),MATCH($B$4,Juniorstwo!$A$56:$N$56,0))*D$4+INDEX(JuniorzyPozytyw[],MATCH($A80,Juniorstwo!$A$57:$A$76,0),MATCH($B$5,Juniorstwo!$A$56:$N$56,0))*D$5+INDEX(JuniorzyPozytyw[],MATCH($A80,Juniorstwo!$A$57:$A$76,0),MATCH($B$6,Juniorstwo!$A$56:$N$56,0))*D$6+INDEX(JuniorzyPozytyw[],MATCH($A80,Juniorstwo!$A$57:$A$76,0),MATCH($B$7,Juniorstwo!$A$56:$N$56,0))*D$7+INDEX(JuniorzyPozytyw[],MATCH($A80,Juniorstwo!$A$57:$A$76,0),MATCH($B$8,Juniorstwo!$A$56:$N$56,0))*D$8+INDEX(JuniorzyPozytyw[],MATCH($A80,Juniorstwo!$A$57:$A$76,0),MATCH($B$9,Juniorstwo!$A$56:$N$56,0))*D$9+INDEX(JuniorzyPozytyw[],MATCH($A80,Juniorstwo!$A$57:$A$76,0),MATCH($B$10,Juniorstwo!$A$56:$N$56,0))*D$10+INDEX(JuniorzyPozytyw[],MATCH($A80,Juniorstwo!$A$57:$A$76,0),MATCH($B$11,Juniorstwo!$A$56:$N$56,0))*D$11+INDEX(JuniorzyPozytyw[],MATCH($A80,Juniorstwo!$A$57:$A$76,0),MATCH($B$12,Juniorstwo!$A$56:$N$56,0))*D$12+INDEX(JuniorzyPozytyw[],MATCH($A80,Juniorstwo!$A$57:$A$76,0),MATCH($B$13,Juniorstwo!$A$56:$N$56,0))*D$13,"-")</f>
        <v>66.67</v>
      </c>
      <c r="E80" s="38">
        <f ca="1">IFERROR(INDEX(JuniorzyPozytyw[],MATCH($A80,Juniorstwo!$A$57:$A$76,0),MATCH($B$2,Juniorstwo!$A$56:$N$56,0))*E$2+INDEX(JuniorzyPozytyw[],MATCH($A80,Juniorstwo!$A$57:$A$76,0),MATCH($B$3,Juniorstwo!$A$56:$N$56,0))*E$3+INDEX(JuniorzyPozytyw[],MATCH($A80,Juniorstwo!$A$57:$A$76,0),MATCH($B$4,Juniorstwo!$A$56:$N$56,0))*E$4+INDEX(JuniorzyPozytyw[],MATCH($A80,Juniorstwo!$A$57:$A$76,0),MATCH($B$5,Juniorstwo!$A$56:$N$56,0))*E$5+INDEX(JuniorzyPozytyw[],MATCH($A80,Juniorstwo!$A$57:$A$76,0),MATCH($B$6,Juniorstwo!$A$56:$N$56,0))*E$6+INDEX(JuniorzyPozytyw[],MATCH($A80,Juniorstwo!$A$57:$A$76,0),MATCH($B$7,Juniorstwo!$A$56:$N$56,0))*E$7+INDEX(JuniorzyPozytyw[],MATCH($A80,Juniorstwo!$A$57:$A$76,0),MATCH($B$8,Juniorstwo!$A$56:$N$56,0))*E$8+INDEX(JuniorzyPozytyw[],MATCH($A80,Juniorstwo!$A$57:$A$76,0),MATCH($B$9,Juniorstwo!$A$56:$N$56,0))*E$9+INDEX(JuniorzyPozytyw[],MATCH($A80,Juniorstwo!$A$57:$A$76,0),MATCH($B$10,Juniorstwo!$A$56:$N$56,0))*E$10+INDEX(JuniorzyPozytyw[],MATCH($A80,Juniorstwo!$A$57:$A$76,0),MATCH($B$11,Juniorstwo!$A$56:$N$56,0))*E$11+INDEX(JuniorzyPozytyw[],MATCH($A80,Juniorstwo!$A$57:$A$76,0),MATCH($B$12,Juniorstwo!$A$56:$N$56,0))*E$12+INDEX(JuniorzyPozytyw[],MATCH($A80,Juniorstwo!$A$57:$A$76,0),MATCH($B$13,Juniorstwo!$A$56:$N$56,0))*E$13,"-")</f>
        <v>70.17</v>
      </c>
      <c r="F80" s="38">
        <f ca="1">IFERROR(INDEX(JuniorzyPozytyw[],MATCH($A80,Juniorstwo!$A$57:$A$76,0),MATCH($B$2,Juniorstwo!$A$56:$N$56,0))*F$2+INDEX(JuniorzyPozytyw[],MATCH($A80,Juniorstwo!$A$57:$A$76,0),MATCH($B$3,Juniorstwo!$A$56:$N$56,0))*F$3+INDEX(JuniorzyPozytyw[],MATCH($A80,Juniorstwo!$A$57:$A$76,0),MATCH($B$4,Juniorstwo!$A$56:$N$56,0))*F$4+INDEX(JuniorzyPozytyw[],MATCH($A80,Juniorstwo!$A$57:$A$76,0),MATCH($B$5,Juniorstwo!$A$56:$N$56,0))*F$5+INDEX(JuniorzyPozytyw[],MATCH($A80,Juniorstwo!$A$57:$A$76,0),MATCH($B$6,Juniorstwo!$A$56:$N$56,0))*F$6+INDEX(JuniorzyPozytyw[],MATCH($A80,Juniorstwo!$A$57:$A$76,0),MATCH($B$7,Juniorstwo!$A$56:$N$56,0))*F$7+INDEX(JuniorzyPozytyw[],MATCH($A80,Juniorstwo!$A$57:$A$76,0),MATCH($B$8,Juniorstwo!$A$56:$N$56,0))*F$8+INDEX(JuniorzyPozytyw[],MATCH($A80,Juniorstwo!$A$57:$A$76,0),MATCH($B$9,Juniorstwo!$A$56:$N$56,0))*F$9+INDEX(JuniorzyPozytyw[],MATCH($A80,Juniorstwo!$A$57:$A$76,0),MATCH($B$10,Juniorstwo!$A$56:$N$56,0))*F$10+INDEX(JuniorzyPozytyw[],MATCH($A80,Juniorstwo!$A$57:$A$76,0),MATCH($B$11,Juniorstwo!$A$56:$N$56,0))*F$11+INDEX(JuniorzyPozytyw[],MATCH($A80,Juniorstwo!$A$57:$A$76,0),MATCH($B$12,Juniorstwo!$A$56:$N$56,0))*F$12+INDEX(JuniorzyPozytyw[],MATCH($A80,Juniorstwo!$A$57:$A$76,0),MATCH($B$13,Juniorstwo!$A$56:$N$56,0))*F$13,"-")</f>
        <v>70.17</v>
      </c>
      <c r="G80" s="38">
        <f ca="1">IFERROR(INDEX(JuniorzyPozytyw[],MATCH($A80,Juniorstwo!$A$57:$A$76,0),MATCH($B$2,Juniorstwo!$A$56:$N$56,0))*G$2+INDEX(JuniorzyPozytyw[],MATCH($A80,Juniorstwo!$A$57:$A$76,0),MATCH($B$3,Juniorstwo!$A$56:$N$56,0))*G$3+INDEX(JuniorzyPozytyw[],MATCH($A80,Juniorstwo!$A$57:$A$76,0),MATCH($B$4,Juniorstwo!$A$56:$N$56,0))*G$4+INDEX(JuniorzyPozytyw[],MATCH($A80,Juniorstwo!$A$57:$A$76,0),MATCH($B$5,Juniorstwo!$A$56:$N$56,0))*G$5+INDEX(JuniorzyPozytyw[],MATCH($A80,Juniorstwo!$A$57:$A$76,0),MATCH($B$6,Juniorstwo!$A$56:$N$56,0))*G$6+INDEX(JuniorzyPozytyw[],MATCH($A80,Juniorstwo!$A$57:$A$76,0),MATCH($B$7,Juniorstwo!$A$56:$N$56,0))*G$7+INDEX(JuniorzyPozytyw[],MATCH($A80,Juniorstwo!$A$57:$A$76,0),MATCH($B$8,Juniorstwo!$A$56:$N$56,0))*G$8+INDEX(JuniorzyPozytyw[],MATCH($A80,Juniorstwo!$A$57:$A$76,0),MATCH($B$9,Juniorstwo!$A$56:$N$56,0))*G$9+INDEX(JuniorzyPozytyw[],MATCH($A80,Juniorstwo!$A$57:$A$76,0),MATCH($B$10,Juniorstwo!$A$56:$N$56,0))*G$10+INDEX(JuniorzyPozytyw[],MATCH($A80,Juniorstwo!$A$57:$A$76,0),MATCH($B$11,Juniorstwo!$A$56:$N$56,0))*G$11+INDEX(JuniorzyPozytyw[],MATCH($A80,Juniorstwo!$A$57:$A$76,0),MATCH($B$12,Juniorstwo!$A$56:$N$56,0))*G$12+INDEX(JuniorzyPozytyw[],MATCH($A80,Juniorstwo!$A$57:$A$76,0),MATCH($B$13,Juniorstwo!$A$56:$N$56,0))*G$13,"-")</f>
        <v>71.42</v>
      </c>
      <c r="H80" s="38">
        <f ca="1">IFERROR(INDEX(JuniorzyPozytyw[],MATCH($A80,Juniorstwo!$A$57:$A$76,0),MATCH($B$2,Juniorstwo!$A$56:$N$56,0))*H$2+INDEX(JuniorzyPozytyw[],MATCH($A80,Juniorstwo!$A$57:$A$76,0),MATCH($B$3,Juniorstwo!$A$56:$N$56,0))*H$3+INDEX(JuniorzyPozytyw[],MATCH($A80,Juniorstwo!$A$57:$A$76,0),MATCH($B$4,Juniorstwo!$A$56:$N$56,0))*H$4+INDEX(JuniorzyPozytyw[],MATCH($A80,Juniorstwo!$A$57:$A$76,0),MATCH($B$5,Juniorstwo!$A$56:$N$56,0))*H$5+INDEX(JuniorzyPozytyw[],MATCH($A80,Juniorstwo!$A$57:$A$76,0),MATCH($B$6,Juniorstwo!$A$56:$N$56,0))*H$6+INDEX(JuniorzyPozytyw[],MATCH($A80,Juniorstwo!$A$57:$A$76,0),MATCH($B$7,Juniorstwo!$A$56:$N$56,0))*H$7+INDEX(JuniorzyPozytyw[],MATCH($A80,Juniorstwo!$A$57:$A$76,0),MATCH($B$8,Juniorstwo!$A$56:$N$56,0))*H$8+INDEX(JuniorzyPozytyw[],MATCH($A80,Juniorstwo!$A$57:$A$76,0),MATCH($B$9,Juniorstwo!$A$56:$N$56,0))*H$9+INDEX(JuniorzyPozytyw[],MATCH($A80,Juniorstwo!$A$57:$A$76,0),MATCH($B$10,Juniorstwo!$A$56:$N$56,0))*H$10+INDEX(JuniorzyPozytyw[],MATCH($A80,Juniorstwo!$A$57:$A$76,0),MATCH($B$11,Juniorstwo!$A$56:$N$56,0))*H$11+INDEX(JuniorzyPozytyw[],MATCH($A80,Juniorstwo!$A$57:$A$76,0),MATCH($B$12,Juniorstwo!$A$56:$N$56,0))*H$12+INDEX(JuniorzyPozytyw[],MATCH($A80,Juniorstwo!$A$57:$A$76,0),MATCH($B$13,Juniorstwo!$A$56:$N$56,0))*H$13,"-")</f>
        <v>76.045000000000002</v>
      </c>
      <c r="I80" s="38">
        <f ca="1">IFERROR(INDEX(JuniorzyPozytyw[],MATCH($A80,Juniorstwo!$A$57:$A$76,0),MATCH($B$2,Juniorstwo!$A$56:$N$56,0))*I$2+INDEX(JuniorzyPozytyw[],MATCH($A80,Juniorstwo!$A$57:$A$76,0),MATCH($B$3,Juniorstwo!$A$56:$N$56,0))*I$3+INDEX(JuniorzyPozytyw[],MATCH($A80,Juniorstwo!$A$57:$A$76,0),MATCH($B$4,Juniorstwo!$A$56:$N$56,0))*I$4+INDEX(JuniorzyPozytyw[],MATCH($A80,Juniorstwo!$A$57:$A$76,0),MATCH($B$5,Juniorstwo!$A$56:$N$56,0))*I$5+INDEX(JuniorzyPozytyw[],MATCH($A80,Juniorstwo!$A$57:$A$76,0),MATCH($B$6,Juniorstwo!$A$56:$N$56,0))*I$6+INDEX(JuniorzyPozytyw[],MATCH($A80,Juniorstwo!$A$57:$A$76,0),MATCH($B$7,Juniorstwo!$A$56:$N$56,0))*I$7+INDEX(JuniorzyPozytyw[],MATCH($A80,Juniorstwo!$A$57:$A$76,0),MATCH($B$8,Juniorstwo!$A$56:$N$56,0))*I$8+INDEX(JuniorzyPozytyw[],MATCH($A80,Juniorstwo!$A$57:$A$76,0),MATCH($B$9,Juniorstwo!$A$56:$N$56,0))*I$9+INDEX(JuniorzyPozytyw[],MATCH($A80,Juniorstwo!$A$57:$A$76,0),MATCH($B$10,Juniorstwo!$A$56:$N$56,0))*I$10+INDEX(JuniorzyPozytyw[],MATCH($A80,Juniorstwo!$A$57:$A$76,0),MATCH($B$11,Juniorstwo!$A$56:$N$56,0))*I$11+INDEX(JuniorzyPozytyw[],MATCH($A80,Juniorstwo!$A$57:$A$76,0),MATCH($B$12,Juniorstwo!$A$56:$N$56,0))*I$12+INDEX(JuniorzyPozytyw[],MATCH($A80,Juniorstwo!$A$57:$A$76,0),MATCH($B$13,Juniorstwo!$A$56:$N$56,0))*I$13,"-")</f>
        <v>75.295000000000002</v>
      </c>
      <c r="J80" s="38">
        <f ca="1">IFERROR(INDEX(JuniorzyPozytyw[],MATCH($A80,Juniorstwo!$A$57:$A$76,0),MATCH($B$2,Juniorstwo!$A$56:$N$56,0))*J$2+INDEX(JuniorzyPozytyw[],MATCH($A80,Juniorstwo!$A$57:$A$76,0),MATCH($B$3,Juniorstwo!$A$56:$N$56,0))*J$3+INDEX(JuniorzyPozytyw[],MATCH($A80,Juniorstwo!$A$57:$A$76,0),MATCH($B$4,Juniorstwo!$A$56:$N$56,0))*J$4+INDEX(JuniorzyPozytyw[],MATCH($A80,Juniorstwo!$A$57:$A$76,0),MATCH($B$5,Juniorstwo!$A$56:$N$56,0))*J$5+INDEX(JuniorzyPozytyw[],MATCH($A80,Juniorstwo!$A$57:$A$76,0),MATCH($B$6,Juniorstwo!$A$56:$N$56,0))*J$6+INDEX(JuniorzyPozytyw[],MATCH($A80,Juniorstwo!$A$57:$A$76,0),MATCH($B$7,Juniorstwo!$A$56:$N$56,0))*J$7+INDEX(JuniorzyPozytyw[],MATCH($A80,Juniorstwo!$A$57:$A$76,0),MATCH($B$8,Juniorstwo!$A$56:$N$56,0))*J$8+INDEX(JuniorzyPozytyw[],MATCH($A80,Juniorstwo!$A$57:$A$76,0),MATCH($B$9,Juniorstwo!$A$56:$N$56,0))*J$9+INDEX(JuniorzyPozytyw[],MATCH($A80,Juniorstwo!$A$57:$A$76,0),MATCH($B$10,Juniorstwo!$A$56:$N$56,0))*J$10+INDEX(JuniorzyPozytyw[],MATCH($A80,Juniorstwo!$A$57:$A$76,0),MATCH($B$11,Juniorstwo!$A$56:$N$56,0))*J$11+INDEX(JuniorzyPozytyw[],MATCH($A80,Juniorstwo!$A$57:$A$76,0),MATCH($B$12,Juniorstwo!$A$56:$N$56,0))*J$12+INDEX(JuniorzyPozytyw[],MATCH($A80,Juniorstwo!$A$57:$A$76,0),MATCH($B$13,Juniorstwo!$A$56:$N$56,0))*J$13,"-")</f>
        <v>77.045000000000002</v>
      </c>
      <c r="K80" s="38">
        <f ca="1">IFERROR(INDEX(JuniorzyPozytyw[],MATCH($A80,Juniorstwo!$A$57:$A$76,0),MATCH($B$2,Juniorstwo!$A$56:$N$56,0))*K$2+INDEX(JuniorzyPozytyw[],MATCH($A80,Juniorstwo!$A$57:$A$76,0),MATCH($B$3,Juniorstwo!$A$56:$N$56,0))*K$3+INDEX(JuniorzyPozytyw[],MATCH($A80,Juniorstwo!$A$57:$A$76,0),MATCH($B$4,Juniorstwo!$A$56:$N$56,0))*K$4+INDEX(JuniorzyPozytyw[],MATCH($A80,Juniorstwo!$A$57:$A$76,0),MATCH($B$5,Juniorstwo!$A$56:$N$56,0))*K$5+INDEX(JuniorzyPozytyw[],MATCH($A80,Juniorstwo!$A$57:$A$76,0),MATCH($B$6,Juniorstwo!$A$56:$N$56,0))*K$6+INDEX(JuniorzyPozytyw[],MATCH($A80,Juniorstwo!$A$57:$A$76,0),MATCH($B$7,Juniorstwo!$A$56:$N$56,0))*K$7+INDEX(JuniorzyPozytyw[],MATCH($A80,Juniorstwo!$A$57:$A$76,0),MATCH($B$8,Juniorstwo!$A$56:$N$56,0))*K$8+INDEX(JuniorzyPozytyw[],MATCH($A80,Juniorstwo!$A$57:$A$76,0),MATCH($B$9,Juniorstwo!$A$56:$N$56,0))*K$9+INDEX(JuniorzyPozytyw[],MATCH($A80,Juniorstwo!$A$57:$A$76,0),MATCH($B$10,Juniorstwo!$A$56:$N$56,0))*K$10+INDEX(JuniorzyPozytyw[],MATCH($A80,Juniorstwo!$A$57:$A$76,0),MATCH($B$11,Juniorstwo!$A$56:$N$56,0))*K$11+INDEX(JuniorzyPozytyw[],MATCH($A80,Juniorstwo!$A$57:$A$76,0),MATCH($B$12,Juniorstwo!$A$56:$N$56,0))*K$12+INDEX(JuniorzyPozytyw[],MATCH($A80,Juniorstwo!$A$57:$A$76,0),MATCH($B$13,Juniorstwo!$A$56:$N$56,0))*K$13,"-")</f>
        <v>77.17</v>
      </c>
    </row>
    <row r="81" spans="1:11" x14ac:dyDescent="0.25">
      <c r="A81" s="84">
        <v>25</v>
      </c>
      <c r="B81" s="3" t="str">
        <f>IFERROR(VLOOKUP(PozJunPŚr[[#This Row],[Numer]],Zawodnicy[[Number]:[Player name]],2,FALSE),"-")</f>
        <v>Jakub Ludwiczak</v>
      </c>
      <c r="C81" s="38">
        <f ca="1">IFERROR(INDEX(JuniorzyPozytyw[],MATCH($A81,Juniorstwo!$A$57:$A$76,0),MATCH($B$2,Juniorstwo!$A$56:$N$56,0))*C$2+INDEX(JuniorzyPozytyw[],MATCH($A81,Juniorstwo!$A$57:$A$76,0),MATCH($B$3,Juniorstwo!$A$56:$N$56,0))*C$3+INDEX(JuniorzyPozytyw[],MATCH($A81,Juniorstwo!$A$57:$A$76,0),MATCH($B$4,Juniorstwo!$A$56:$N$56,0))*C$4+INDEX(JuniorzyPozytyw[],MATCH($A81,Juniorstwo!$A$57:$A$76,0),MATCH($B$5,Juniorstwo!$A$56:$N$56,0))*C$5+INDEX(JuniorzyPozytyw[],MATCH($A81,Juniorstwo!$A$57:$A$76,0),MATCH($B$6,Juniorstwo!$A$56:$N$56,0))*C$6+INDEX(JuniorzyPozytyw[],MATCH($A81,Juniorstwo!$A$57:$A$76,0),MATCH($B$7,Juniorstwo!$A$56:$N$56,0))*C$7+INDEX(JuniorzyPozytyw[],MATCH($A81,Juniorstwo!$A$57:$A$76,0),MATCH($B$8,Juniorstwo!$A$56:$N$56,0))*C$8+INDEX(JuniorzyPozytyw[],MATCH($A81,Juniorstwo!$A$57:$A$76,0),MATCH($B$9,Juniorstwo!$A$56:$N$56,0))*C$9+INDEX(JuniorzyPozytyw[],MATCH($A81,Juniorstwo!$A$57:$A$76,0),MATCH($B$10,Juniorstwo!$A$56:$N$56,0))*C$10+INDEX(JuniorzyPozytyw[],MATCH($A81,Juniorstwo!$A$57:$A$76,0),MATCH($B$11,Juniorstwo!$A$56:$N$56,0))*C$11+INDEX(JuniorzyPozytyw[],MATCH($A81,Juniorstwo!$A$57:$A$76,0),MATCH($B$12,Juniorstwo!$A$56:$N$56,0))*C$12+INDEX(JuniorzyPozytyw[],MATCH($A81,Juniorstwo!$A$57:$A$76,0),MATCH($B$13,Juniorstwo!$A$56:$N$56,0))*C$13,"-")</f>
        <v>76.290000000000006</v>
      </c>
      <c r="D81" s="38">
        <f ca="1">IFERROR(INDEX(JuniorzyPozytyw[],MATCH($A81,Juniorstwo!$A$57:$A$76,0),MATCH($B$2,Juniorstwo!$A$56:$N$56,0))*D$2+INDEX(JuniorzyPozytyw[],MATCH($A81,Juniorstwo!$A$57:$A$76,0),MATCH($B$3,Juniorstwo!$A$56:$N$56,0))*D$3+INDEX(JuniorzyPozytyw[],MATCH($A81,Juniorstwo!$A$57:$A$76,0),MATCH($B$4,Juniorstwo!$A$56:$N$56,0))*D$4+INDEX(JuniorzyPozytyw[],MATCH($A81,Juniorstwo!$A$57:$A$76,0),MATCH($B$5,Juniorstwo!$A$56:$N$56,0))*D$5+INDEX(JuniorzyPozytyw[],MATCH($A81,Juniorstwo!$A$57:$A$76,0),MATCH($B$6,Juniorstwo!$A$56:$N$56,0))*D$6+INDEX(JuniorzyPozytyw[],MATCH($A81,Juniorstwo!$A$57:$A$76,0),MATCH($B$7,Juniorstwo!$A$56:$N$56,0))*D$7+INDEX(JuniorzyPozytyw[],MATCH($A81,Juniorstwo!$A$57:$A$76,0),MATCH($B$8,Juniorstwo!$A$56:$N$56,0))*D$8+INDEX(JuniorzyPozytyw[],MATCH($A81,Juniorstwo!$A$57:$A$76,0),MATCH($B$9,Juniorstwo!$A$56:$N$56,0))*D$9+INDEX(JuniorzyPozytyw[],MATCH($A81,Juniorstwo!$A$57:$A$76,0),MATCH($B$10,Juniorstwo!$A$56:$N$56,0))*D$10+INDEX(JuniorzyPozytyw[],MATCH($A81,Juniorstwo!$A$57:$A$76,0),MATCH($B$11,Juniorstwo!$A$56:$N$56,0))*D$11+INDEX(JuniorzyPozytyw[],MATCH($A81,Juniorstwo!$A$57:$A$76,0),MATCH($B$12,Juniorstwo!$A$56:$N$56,0))*D$12+INDEX(JuniorzyPozytyw[],MATCH($A81,Juniorstwo!$A$57:$A$76,0),MATCH($B$13,Juniorstwo!$A$56:$N$56,0))*D$13,"-")</f>
        <v>77.665000000000006</v>
      </c>
      <c r="E81" s="38">
        <f ca="1">IFERROR(INDEX(JuniorzyPozytyw[],MATCH($A81,Juniorstwo!$A$57:$A$76,0),MATCH($B$2,Juniorstwo!$A$56:$N$56,0))*E$2+INDEX(JuniorzyPozytyw[],MATCH($A81,Juniorstwo!$A$57:$A$76,0),MATCH($B$3,Juniorstwo!$A$56:$N$56,0))*E$3+INDEX(JuniorzyPozytyw[],MATCH($A81,Juniorstwo!$A$57:$A$76,0),MATCH($B$4,Juniorstwo!$A$56:$N$56,0))*E$4+INDEX(JuniorzyPozytyw[],MATCH($A81,Juniorstwo!$A$57:$A$76,0),MATCH($B$5,Juniorstwo!$A$56:$N$56,0))*E$5+INDEX(JuniorzyPozytyw[],MATCH($A81,Juniorstwo!$A$57:$A$76,0),MATCH($B$6,Juniorstwo!$A$56:$N$56,0))*E$6+INDEX(JuniorzyPozytyw[],MATCH($A81,Juniorstwo!$A$57:$A$76,0),MATCH($B$7,Juniorstwo!$A$56:$N$56,0))*E$7+INDEX(JuniorzyPozytyw[],MATCH($A81,Juniorstwo!$A$57:$A$76,0),MATCH($B$8,Juniorstwo!$A$56:$N$56,0))*E$8+INDEX(JuniorzyPozytyw[],MATCH($A81,Juniorstwo!$A$57:$A$76,0),MATCH($B$9,Juniorstwo!$A$56:$N$56,0))*E$9+INDEX(JuniorzyPozytyw[],MATCH($A81,Juniorstwo!$A$57:$A$76,0),MATCH($B$10,Juniorstwo!$A$56:$N$56,0))*E$10+INDEX(JuniorzyPozytyw[],MATCH($A81,Juniorstwo!$A$57:$A$76,0),MATCH($B$11,Juniorstwo!$A$56:$N$56,0))*E$11+INDEX(JuniorzyPozytyw[],MATCH($A81,Juniorstwo!$A$57:$A$76,0),MATCH($B$12,Juniorstwo!$A$56:$N$56,0))*E$12+INDEX(JuniorzyPozytyw[],MATCH($A81,Juniorstwo!$A$57:$A$76,0),MATCH($B$13,Juniorstwo!$A$56:$N$56,0))*E$13,"-")</f>
        <v>78.415000000000006</v>
      </c>
      <c r="F81" s="38">
        <f ca="1">IFERROR(INDEX(JuniorzyPozytyw[],MATCH($A81,Juniorstwo!$A$57:$A$76,0),MATCH($B$2,Juniorstwo!$A$56:$N$56,0))*F$2+INDEX(JuniorzyPozytyw[],MATCH($A81,Juniorstwo!$A$57:$A$76,0),MATCH($B$3,Juniorstwo!$A$56:$N$56,0))*F$3+INDEX(JuniorzyPozytyw[],MATCH($A81,Juniorstwo!$A$57:$A$76,0),MATCH($B$4,Juniorstwo!$A$56:$N$56,0))*F$4+INDEX(JuniorzyPozytyw[],MATCH($A81,Juniorstwo!$A$57:$A$76,0),MATCH($B$5,Juniorstwo!$A$56:$N$56,0))*F$5+INDEX(JuniorzyPozytyw[],MATCH($A81,Juniorstwo!$A$57:$A$76,0),MATCH($B$6,Juniorstwo!$A$56:$N$56,0))*F$6+INDEX(JuniorzyPozytyw[],MATCH($A81,Juniorstwo!$A$57:$A$76,0),MATCH($B$7,Juniorstwo!$A$56:$N$56,0))*F$7+INDEX(JuniorzyPozytyw[],MATCH($A81,Juniorstwo!$A$57:$A$76,0),MATCH($B$8,Juniorstwo!$A$56:$N$56,0))*F$8+INDEX(JuniorzyPozytyw[],MATCH($A81,Juniorstwo!$A$57:$A$76,0),MATCH($B$9,Juniorstwo!$A$56:$N$56,0))*F$9+INDEX(JuniorzyPozytyw[],MATCH($A81,Juniorstwo!$A$57:$A$76,0),MATCH($B$10,Juniorstwo!$A$56:$N$56,0))*F$10+INDEX(JuniorzyPozytyw[],MATCH($A81,Juniorstwo!$A$57:$A$76,0),MATCH($B$11,Juniorstwo!$A$56:$N$56,0))*F$11+INDEX(JuniorzyPozytyw[],MATCH($A81,Juniorstwo!$A$57:$A$76,0),MATCH($B$12,Juniorstwo!$A$56:$N$56,0))*F$12+INDEX(JuniorzyPozytyw[],MATCH($A81,Juniorstwo!$A$57:$A$76,0),MATCH($B$13,Juniorstwo!$A$56:$N$56,0))*F$13,"-")</f>
        <v>80.540000000000006</v>
      </c>
      <c r="G81" s="38">
        <f ca="1">IFERROR(INDEX(JuniorzyPozytyw[],MATCH($A81,Juniorstwo!$A$57:$A$76,0),MATCH($B$2,Juniorstwo!$A$56:$N$56,0))*G$2+INDEX(JuniorzyPozytyw[],MATCH($A81,Juniorstwo!$A$57:$A$76,0),MATCH($B$3,Juniorstwo!$A$56:$N$56,0))*G$3+INDEX(JuniorzyPozytyw[],MATCH($A81,Juniorstwo!$A$57:$A$76,0),MATCH($B$4,Juniorstwo!$A$56:$N$56,0))*G$4+INDEX(JuniorzyPozytyw[],MATCH($A81,Juniorstwo!$A$57:$A$76,0),MATCH($B$5,Juniorstwo!$A$56:$N$56,0))*G$5+INDEX(JuniorzyPozytyw[],MATCH($A81,Juniorstwo!$A$57:$A$76,0),MATCH($B$6,Juniorstwo!$A$56:$N$56,0))*G$6+INDEX(JuniorzyPozytyw[],MATCH($A81,Juniorstwo!$A$57:$A$76,0),MATCH($B$7,Juniorstwo!$A$56:$N$56,0))*G$7+INDEX(JuniorzyPozytyw[],MATCH($A81,Juniorstwo!$A$57:$A$76,0),MATCH($B$8,Juniorstwo!$A$56:$N$56,0))*G$8+INDEX(JuniorzyPozytyw[],MATCH($A81,Juniorstwo!$A$57:$A$76,0),MATCH($B$9,Juniorstwo!$A$56:$N$56,0))*G$9+INDEX(JuniorzyPozytyw[],MATCH($A81,Juniorstwo!$A$57:$A$76,0),MATCH($B$10,Juniorstwo!$A$56:$N$56,0))*G$10+INDEX(JuniorzyPozytyw[],MATCH($A81,Juniorstwo!$A$57:$A$76,0),MATCH($B$11,Juniorstwo!$A$56:$N$56,0))*G$11+INDEX(JuniorzyPozytyw[],MATCH($A81,Juniorstwo!$A$57:$A$76,0),MATCH($B$12,Juniorstwo!$A$56:$N$56,0))*G$12+INDEX(JuniorzyPozytyw[],MATCH($A81,Juniorstwo!$A$57:$A$76,0),MATCH($B$13,Juniorstwo!$A$56:$N$56,0))*G$13,"-")</f>
        <v>81.290000000000006</v>
      </c>
      <c r="H81" s="38">
        <f ca="1">IFERROR(INDEX(JuniorzyPozytyw[],MATCH($A81,Juniorstwo!$A$57:$A$76,0),MATCH($B$2,Juniorstwo!$A$56:$N$56,0))*H$2+INDEX(JuniorzyPozytyw[],MATCH($A81,Juniorstwo!$A$57:$A$76,0),MATCH($B$3,Juniorstwo!$A$56:$N$56,0))*H$3+INDEX(JuniorzyPozytyw[],MATCH($A81,Juniorstwo!$A$57:$A$76,0),MATCH($B$4,Juniorstwo!$A$56:$N$56,0))*H$4+INDEX(JuniorzyPozytyw[],MATCH($A81,Juniorstwo!$A$57:$A$76,0),MATCH($B$5,Juniorstwo!$A$56:$N$56,0))*H$5+INDEX(JuniorzyPozytyw[],MATCH($A81,Juniorstwo!$A$57:$A$76,0),MATCH($B$6,Juniorstwo!$A$56:$N$56,0))*H$6+INDEX(JuniorzyPozytyw[],MATCH($A81,Juniorstwo!$A$57:$A$76,0),MATCH($B$7,Juniorstwo!$A$56:$N$56,0))*H$7+INDEX(JuniorzyPozytyw[],MATCH($A81,Juniorstwo!$A$57:$A$76,0),MATCH($B$8,Juniorstwo!$A$56:$N$56,0))*H$8+INDEX(JuniorzyPozytyw[],MATCH($A81,Juniorstwo!$A$57:$A$76,0),MATCH($B$9,Juniorstwo!$A$56:$N$56,0))*H$9+INDEX(JuniorzyPozytyw[],MATCH($A81,Juniorstwo!$A$57:$A$76,0),MATCH($B$10,Juniorstwo!$A$56:$N$56,0))*H$10+INDEX(JuniorzyPozytyw[],MATCH($A81,Juniorstwo!$A$57:$A$76,0),MATCH($B$11,Juniorstwo!$A$56:$N$56,0))*H$11+INDEX(JuniorzyPozytyw[],MATCH($A81,Juniorstwo!$A$57:$A$76,0),MATCH($B$12,Juniorstwo!$A$56:$N$56,0))*H$12+INDEX(JuniorzyPozytyw[],MATCH($A81,Juniorstwo!$A$57:$A$76,0),MATCH($B$13,Juniorstwo!$A$56:$N$56,0))*H$13,"-")</f>
        <v>82.415000000000006</v>
      </c>
      <c r="I81" s="38">
        <f ca="1">IFERROR(INDEX(JuniorzyPozytyw[],MATCH($A81,Juniorstwo!$A$57:$A$76,0),MATCH($B$2,Juniorstwo!$A$56:$N$56,0))*I$2+INDEX(JuniorzyPozytyw[],MATCH($A81,Juniorstwo!$A$57:$A$76,0),MATCH($B$3,Juniorstwo!$A$56:$N$56,0))*I$3+INDEX(JuniorzyPozytyw[],MATCH($A81,Juniorstwo!$A$57:$A$76,0),MATCH($B$4,Juniorstwo!$A$56:$N$56,0))*I$4+INDEX(JuniorzyPozytyw[],MATCH($A81,Juniorstwo!$A$57:$A$76,0),MATCH($B$5,Juniorstwo!$A$56:$N$56,0))*I$5+INDEX(JuniorzyPozytyw[],MATCH($A81,Juniorstwo!$A$57:$A$76,0),MATCH($B$6,Juniorstwo!$A$56:$N$56,0))*I$6+INDEX(JuniorzyPozytyw[],MATCH($A81,Juniorstwo!$A$57:$A$76,0),MATCH($B$7,Juniorstwo!$A$56:$N$56,0))*I$7+INDEX(JuniorzyPozytyw[],MATCH($A81,Juniorstwo!$A$57:$A$76,0),MATCH($B$8,Juniorstwo!$A$56:$N$56,0))*I$8+INDEX(JuniorzyPozytyw[],MATCH($A81,Juniorstwo!$A$57:$A$76,0),MATCH($B$9,Juniorstwo!$A$56:$N$56,0))*I$9+INDEX(JuniorzyPozytyw[],MATCH($A81,Juniorstwo!$A$57:$A$76,0),MATCH($B$10,Juniorstwo!$A$56:$N$56,0))*I$10+INDEX(JuniorzyPozytyw[],MATCH($A81,Juniorstwo!$A$57:$A$76,0),MATCH($B$11,Juniorstwo!$A$56:$N$56,0))*I$11+INDEX(JuniorzyPozytyw[],MATCH($A81,Juniorstwo!$A$57:$A$76,0),MATCH($B$12,Juniorstwo!$A$56:$N$56,0))*I$12+INDEX(JuniorzyPozytyw[],MATCH($A81,Juniorstwo!$A$57:$A$76,0),MATCH($B$13,Juniorstwo!$A$56:$N$56,0))*I$13,"-")</f>
        <v>82.915000000000006</v>
      </c>
      <c r="J81" s="38">
        <f ca="1">IFERROR(INDEX(JuniorzyPozytyw[],MATCH($A81,Juniorstwo!$A$57:$A$76,0),MATCH($B$2,Juniorstwo!$A$56:$N$56,0))*J$2+INDEX(JuniorzyPozytyw[],MATCH($A81,Juniorstwo!$A$57:$A$76,0),MATCH($B$3,Juniorstwo!$A$56:$N$56,0))*J$3+INDEX(JuniorzyPozytyw[],MATCH($A81,Juniorstwo!$A$57:$A$76,0),MATCH($B$4,Juniorstwo!$A$56:$N$56,0))*J$4+INDEX(JuniorzyPozytyw[],MATCH($A81,Juniorstwo!$A$57:$A$76,0),MATCH($B$5,Juniorstwo!$A$56:$N$56,0))*J$5+INDEX(JuniorzyPozytyw[],MATCH($A81,Juniorstwo!$A$57:$A$76,0),MATCH($B$6,Juniorstwo!$A$56:$N$56,0))*J$6+INDEX(JuniorzyPozytyw[],MATCH($A81,Juniorstwo!$A$57:$A$76,0),MATCH($B$7,Juniorstwo!$A$56:$N$56,0))*J$7+INDEX(JuniorzyPozytyw[],MATCH($A81,Juniorstwo!$A$57:$A$76,0),MATCH($B$8,Juniorstwo!$A$56:$N$56,0))*J$8+INDEX(JuniorzyPozytyw[],MATCH($A81,Juniorstwo!$A$57:$A$76,0),MATCH($B$9,Juniorstwo!$A$56:$N$56,0))*J$9+INDEX(JuniorzyPozytyw[],MATCH($A81,Juniorstwo!$A$57:$A$76,0),MATCH($B$10,Juniorstwo!$A$56:$N$56,0))*J$10+INDEX(JuniorzyPozytyw[],MATCH($A81,Juniorstwo!$A$57:$A$76,0),MATCH($B$11,Juniorstwo!$A$56:$N$56,0))*J$11+INDEX(JuniorzyPozytyw[],MATCH($A81,Juniorstwo!$A$57:$A$76,0),MATCH($B$12,Juniorstwo!$A$56:$N$56,0))*J$12+INDEX(JuniorzyPozytyw[],MATCH($A81,Juniorstwo!$A$57:$A$76,0),MATCH($B$13,Juniorstwo!$A$56:$N$56,0))*J$13,"-")</f>
        <v>81.665000000000006</v>
      </c>
      <c r="K81" s="38">
        <f ca="1">IFERROR(INDEX(JuniorzyPozytyw[],MATCH($A81,Juniorstwo!$A$57:$A$76,0),MATCH($B$2,Juniorstwo!$A$56:$N$56,0))*K$2+INDEX(JuniorzyPozytyw[],MATCH($A81,Juniorstwo!$A$57:$A$76,0),MATCH($B$3,Juniorstwo!$A$56:$N$56,0))*K$3+INDEX(JuniorzyPozytyw[],MATCH($A81,Juniorstwo!$A$57:$A$76,0),MATCH($B$4,Juniorstwo!$A$56:$N$56,0))*K$4+INDEX(JuniorzyPozytyw[],MATCH($A81,Juniorstwo!$A$57:$A$76,0),MATCH($B$5,Juniorstwo!$A$56:$N$56,0))*K$5+INDEX(JuniorzyPozytyw[],MATCH($A81,Juniorstwo!$A$57:$A$76,0),MATCH($B$6,Juniorstwo!$A$56:$N$56,0))*K$6+INDEX(JuniorzyPozytyw[],MATCH($A81,Juniorstwo!$A$57:$A$76,0),MATCH($B$7,Juniorstwo!$A$56:$N$56,0))*K$7+INDEX(JuniorzyPozytyw[],MATCH($A81,Juniorstwo!$A$57:$A$76,0),MATCH($B$8,Juniorstwo!$A$56:$N$56,0))*K$8+INDEX(JuniorzyPozytyw[],MATCH($A81,Juniorstwo!$A$57:$A$76,0),MATCH($B$9,Juniorstwo!$A$56:$N$56,0))*K$9+INDEX(JuniorzyPozytyw[],MATCH($A81,Juniorstwo!$A$57:$A$76,0),MATCH($B$10,Juniorstwo!$A$56:$N$56,0))*K$10+INDEX(JuniorzyPozytyw[],MATCH($A81,Juniorstwo!$A$57:$A$76,0),MATCH($B$11,Juniorstwo!$A$56:$N$56,0))*K$11+INDEX(JuniorzyPozytyw[],MATCH($A81,Juniorstwo!$A$57:$A$76,0),MATCH($B$12,Juniorstwo!$A$56:$N$56,0))*K$12+INDEX(JuniorzyPozytyw[],MATCH($A81,Juniorstwo!$A$57:$A$76,0),MATCH($B$13,Juniorstwo!$A$56:$N$56,0))*K$13,"-")</f>
        <v>81.290000000000006</v>
      </c>
    </row>
    <row r="82" spans="1:11" x14ac:dyDescent="0.25">
      <c r="A82" s="84">
        <v>26</v>
      </c>
      <c r="B82" s="3" t="str">
        <f>IFERROR(VLOOKUP(PozJunPŚr[[#This Row],[Numer]],Zawodnicy[[Number]:[Player name]],2,FALSE),"-")</f>
        <v>Ignacy Lato</v>
      </c>
      <c r="C82" s="38">
        <f ca="1">IFERROR(INDEX(JuniorzyPozytyw[],MATCH($A82,Juniorstwo!$A$57:$A$76,0),MATCH($B$2,Juniorstwo!$A$56:$N$56,0))*C$2+INDEX(JuniorzyPozytyw[],MATCH($A82,Juniorstwo!$A$57:$A$76,0),MATCH($B$3,Juniorstwo!$A$56:$N$56,0))*C$3+INDEX(JuniorzyPozytyw[],MATCH($A82,Juniorstwo!$A$57:$A$76,0),MATCH($B$4,Juniorstwo!$A$56:$N$56,0))*C$4+INDEX(JuniorzyPozytyw[],MATCH($A82,Juniorstwo!$A$57:$A$76,0),MATCH($B$5,Juniorstwo!$A$56:$N$56,0))*C$5+INDEX(JuniorzyPozytyw[],MATCH($A82,Juniorstwo!$A$57:$A$76,0),MATCH($B$6,Juniorstwo!$A$56:$N$56,0))*C$6+INDEX(JuniorzyPozytyw[],MATCH($A82,Juniorstwo!$A$57:$A$76,0),MATCH($B$7,Juniorstwo!$A$56:$N$56,0))*C$7+INDEX(JuniorzyPozytyw[],MATCH($A82,Juniorstwo!$A$57:$A$76,0),MATCH($B$8,Juniorstwo!$A$56:$N$56,0))*C$8+INDEX(JuniorzyPozytyw[],MATCH($A82,Juniorstwo!$A$57:$A$76,0),MATCH($B$9,Juniorstwo!$A$56:$N$56,0))*C$9+INDEX(JuniorzyPozytyw[],MATCH($A82,Juniorstwo!$A$57:$A$76,0),MATCH($B$10,Juniorstwo!$A$56:$N$56,0))*C$10+INDEX(JuniorzyPozytyw[],MATCH($A82,Juniorstwo!$A$57:$A$76,0),MATCH($B$11,Juniorstwo!$A$56:$N$56,0))*C$11+INDEX(JuniorzyPozytyw[],MATCH($A82,Juniorstwo!$A$57:$A$76,0),MATCH($B$12,Juniorstwo!$A$56:$N$56,0))*C$12+INDEX(JuniorzyPozytyw[],MATCH($A82,Juniorstwo!$A$57:$A$76,0),MATCH($B$13,Juniorstwo!$A$56:$N$56,0))*C$13,"-")</f>
        <v>75.534999999999997</v>
      </c>
      <c r="D82" s="38">
        <f ca="1">IFERROR(INDEX(JuniorzyPozytyw[],MATCH($A82,Juniorstwo!$A$57:$A$76,0),MATCH($B$2,Juniorstwo!$A$56:$N$56,0))*D$2+INDEX(JuniorzyPozytyw[],MATCH($A82,Juniorstwo!$A$57:$A$76,0),MATCH($B$3,Juniorstwo!$A$56:$N$56,0))*D$3+INDEX(JuniorzyPozytyw[],MATCH($A82,Juniorstwo!$A$57:$A$76,0),MATCH($B$4,Juniorstwo!$A$56:$N$56,0))*D$4+INDEX(JuniorzyPozytyw[],MATCH($A82,Juniorstwo!$A$57:$A$76,0),MATCH($B$5,Juniorstwo!$A$56:$N$56,0))*D$5+INDEX(JuniorzyPozytyw[],MATCH($A82,Juniorstwo!$A$57:$A$76,0),MATCH($B$6,Juniorstwo!$A$56:$N$56,0))*D$6+INDEX(JuniorzyPozytyw[],MATCH($A82,Juniorstwo!$A$57:$A$76,0),MATCH($B$7,Juniorstwo!$A$56:$N$56,0))*D$7+INDEX(JuniorzyPozytyw[],MATCH($A82,Juniorstwo!$A$57:$A$76,0),MATCH($B$8,Juniorstwo!$A$56:$N$56,0))*D$8+INDEX(JuniorzyPozytyw[],MATCH($A82,Juniorstwo!$A$57:$A$76,0),MATCH($B$9,Juniorstwo!$A$56:$N$56,0))*D$9+INDEX(JuniorzyPozytyw[],MATCH($A82,Juniorstwo!$A$57:$A$76,0),MATCH($B$10,Juniorstwo!$A$56:$N$56,0))*D$10+INDEX(JuniorzyPozytyw[],MATCH($A82,Juniorstwo!$A$57:$A$76,0),MATCH($B$11,Juniorstwo!$A$56:$N$56,0))*D$11+INDEX(JuniorzyPozytyw[],MATCH($A82,Juniorstwo!$A$57:$A$76,0),MATCH($B$12,Juniorstwo!$A$56:$N$56,0))*D$12+INDEX(JuniorzyPozytyw[],MATCH($A82,Juniorstwo!$A$57:$A$76,0),MATCH($B$13,Juniorstwo!$A$56:$N$56,0))*D$13,"-")</f>
        <v>81.034999999999997</v>
      </c>
      <c r="E82" s="38">
        <f ca="1">IFERROR(INDEX(JuniorzyPozytyw[],MATCH($A82,Juniorstwo!$A$57:$A$76,0),MATCH($B$2,Juniorstwo!$A$56:$N$56,0))*E$2+INDEX(JuniorzyPozytyw[],MATCH($A82,Juniorstwo!$A$57:$A$76,0),MATCH($B$3,Juniorstwo!$A$56:$N$56,0))*E$3+INDEX(JuniorzyPozytyw[],MATCH($A82,Juniorstwo!$A$57:$A$76,0),MATCH($B$4,Juniorstwo!$A$56:$N$56,0))*E$4+INDEX(JuniorzyPozytyw[],MATCH($A82,Juniorstwo!$A$57:$A$76,0),MATCH($B$5,Juniorstwo!$A$56:$N$56,0))*E$5+INDEX(JuniorzyPozytyw[],MATCH($A82,Juniorstwo!$A$57:$A$76,0),MATCH($B$6,Juniorstwo!$A$56:$N$56,0))*E$6+INDEX(JuniorzyPozytyw[],MATCH($A82,Juniorstwo!$A$57:$A$76,0),MATCH($B$7,Juniorstwo!$A$56:$N$56,0))*E$7+INDEX(JuniorzyPozytyw[],MATCH($A82,Juniorstwo!$A$57:$A$76,0),MATCH($B$8,Juniorstwo!$A$56:$N$56,0))*E$8+INDEX(JuniorzyPozytyw[],MATCH($A82,Juniorstwo!$A$57:$A$76,0),MATCH($B$9,Juniorstwo!$A$56:$N$56,0))*E$9+INDEX(JuniorzyPozytyw[],MATCH($A82,Juniorstwo!$A$57:$A$76,0),MATCH($B$10,Juniorstwo!$A$56:$N$56,0))*E$10+INDEX(JuniorzyPozytyw[],MATCH($A82,Juniorstwo!$A$57:$A$76,0),MATCH($B$11,Juniorstwo!$A$56:$N$56,0))*E$11+INDEX(JuniorzyPozytyw[],MATCH($A82,Juniorstwo!$A$57:$A$76,0),MATCH($B$12,Juniorstwo!$A$56:$N$56,0))*E$12+INDEX(JuniorzyPozytyw[],MATCH($A82,Juniorstwo!$A$57:$A$76,0),MATCH($B$13,Juniorstwo!$A$56:$N$56,0))*E$13,"-")</f>
        <v>80.91</v>
      </c>
      <c r="F82" s="38">
        <f ca="1">IFERROR(INDEX(JuniorzyPozytyw[],MATCH($A82,Juniorstwo!$A$57:$A$76,0),MATCH($B$2,Juniorstwo!$A$56:$N$56,0))*F$2+INDEX(JuniorzyPozytyw[],MATCH($A82,Juniorstwo!$A$57:$A$76,0),MATCH($B$3,Juniorstwo!$A$56:$N$56,0))*F$3+INDEX(JuniorzyPozytyw[],MATCH($A82,Juniorstwo!$A$57:$A$76,0),MATCH($B$4,Juniorstwo!$A$56:$N$56,0))*F$4+INDEX(JuniorzyPozytyw[],MATCH($A82,Juniorstwo!$A$57:$A$76,0),MATCH($B$5,Juniorstwo!$A$56:$N$56,0))*F$5+INDEX(JuniorzyPozytyw[],MATCH($A82,Juniorstwo!$A$57:$A$76,0),MATCH($B$6,Juniorstwo!$A$56:$N$56,0))*F$6+INDEX(JuniorzyPozytyw[],MATCH($A82,Juniorstwo!$A$57:$A$76,0),MATCH($B$7,Juniorstwo!$A$56:$N$56,0))*F$7+INDEX(JuniorzyPozytyw[],MATCH($A82,Juniorstwo!$A$57:$A$76,0),MATCH($B$8,Juniorstwo!$A$56:$N$56,0))*F$8+INDEX(JuniorzyPozytyw[],MATCH($A82,Juniorstwo!$A$57:$A$76,0),MATCH($B$9,Juniorstwo!$A$56:$N$56,0))*F$9+INDEX(JuniorzyPozytyw[],MATCH($A82,Juniorstwo!$A$57:$A$76,0),MATCH($B$10,Juniorstwo!$A$56:$N$56,0))*F$10+INDEX(JuniorzyPozytyw[],MATCH($A82,Juniorstwo!$A$57:$A$76,0),MATCH($B$11,Juniorstwo!$A$56:$N$56,0))*F$11+INDEX(JuniorzyPozytyw[],MATCH($A82,Juniorstwo!$A$57:$A$76,0),MATCH($B$12,Juniorstwo!$A$56:$N$56,0))*F$12+INDEX(JuniorzyPozytyw[],MATCH($A82,Juniorstwo!$A$57:$A$76,0),MATCH($B$13,Juniorstwo!$A$56:$N$56,0))*F$13,"-")</f>
        <v>81.784999999999997</v>
      </c>
      <c r="G82" s="38">
        <f ca="1">IFERROR(INDEX(JuniorzyPozytyw[],MATCH($A82,Juniorstwo!$A$57:$A$76,0),MATCH($B$2,Juniorstwo!$A$56:$N$56,0))*G$2+INDEX(JuniorzyPozytyw[],MATCH($A82,Juniorstwo!$A$57:$A$76,0),MATCH($B$3,Juniorstwo!$A$56:$N$56,0))*G$3+INDEX(JuniorzyPozytyw[],MATCH($A82,Juniorstwo!$A$57:$A$76,0),MATCH($B$4,Juniorstwo!$A$56:$N$56,0))*G$4+INDEX(JuniorzyPozytyw[],MATCH($A82,Juniorstwo!$A$57:$A$76,0),MATCH($B$5,Juniorstwo!$A$56:$N$56,0))*G$5+INDEX(JuniorzyPozytyw[],MATCH($A82,Juniorstwo!$A$57:$A$76,0),MATCH($B$6,Juniorstwo!$A$56:$N$56,0))*G$6+INDEX(JuniorzyPozytyw[],MATCH($A82,Juniorstwo!$A$57:$A$76,0),MATCH($B$7,Juniorstwo!$A$56:$N$56,0))*G$7+INDEX(JuniorzyPozytyw[],MATCH($A82,Juniorstwo!$A$57:$A$76,0),MATCH($B$8,Juniorstwo!$A$56:$N$56,0))*G$8+INDEX(JuniorzyPozytyw[],MATCH($A82,Juniorstwo!$A$57:$A$76,0),MATCH($B$9,Juniorstwo!$A$56:$N$56,0))*G$9+INDEX(JuniorzyPozytyw[],MATCH($A82,Juniorstwo!$A$57:$A$76,0),MATCH($B$10,Juniorstwo!$A$56:$N$56,0))*G$10+INDEX(JuniorzyPozytyw[],MATCH($A82,Juniorstwo!$A$57:$A$76,0),MATCH($B$11,Juniorstwo!$A$56:$N$56,0))*G$11+INDEX(JuniorzyPozytyw[],MATCH($A82,Juniorstwo!$A$57:$A$76,0),MATCH($B$12,Juniorstwo!$A$56:$N$56,0))*G$12+INDEX(JuniorzyPozytyw[],MATCH($A82,Juniorstwo!$A$57:$A$76,0),MATCH($B$13,Juniorstwo!$A$56:$N$56,0))*G$13,"-")</f>
        <v>81.784999999999997</v>
      </c>
      <c r="H82" s="38">
        <f ca="1">IFERROR(INDEX(JuniorzyPozytyw[],MATCH($A82,Juniorstwo!$A$57:$A$76,0),MATCH($B$2,Juniorstwo!$A$56:$N$56,0))*H$2+INDEX(JuniorzyPozytyw[],MATCH($A82,Juniorstwo!$A$57:$A$76,0),MATCH($B$3,Juniorstwo!$A$56:$N$56,0))*H$3+INDEX(JuniorzyPozytyw[],MATCH($A82,Juniorstwo!$A$57:$A$76,0),MATCH($B$4,Juniorstwo!$A$56:$N$56,0))*H$4+INDEX(JuniorzyPozytyw[],MATCH($A82,Juniorstwo!$A$57:$A$76,0),MATCH($B$5,Juniorstwo!$A$56:$N$56,0))*H$5+INDEX(JuniorzyPozytyw[],MATCH($A82,Juniorstwo!$A$57:$A$76,0),MATCH($B$6,Juniorstwo!$A$56:$N$56,0))*H$6+INDEX(JuniorzyPozytyw[],MATCH($A82,Juniorstwo!$A$57:$A$76,0),MATCH($B$7,Juniorstwo!$A$56:$N$56,0))*H$7+INDEX(JuniorzyPozytyw[],MATCH($A82,Juniorstwo!$A$57:$A$76,0),MATCH($B$8,Juniorstwo!$A$56:$N$56,0))*H$8+INDEX(JuniorzyPozytyw[],MATCH($A82,Juniorstwo!$A$57:$A$76,0),MATCH($B$9,Juniorstwo!$A$56:$N$56,0))*H$9+INDEX(JuniorzyPozytyw[],MATCH($A82,Juniorstwo!$A$57:$A$76,0),MATCH($B$10,Juniorstwo!$A$56:$N$56,0))*H$10+INDEX(JuniorzyPozytyw[],MATCH($A82,Juniorstwo!$A$57:$A$76,0),MATCH($B$11,Juniorstwo!$A$56:$N$56,0))*H$11+INDEX(JuniorzyPozytyw[],MATCH($A82,Juniorstwo!$A$57:$A$76,0),MATCH($B$12,Juniorstwo!$A$56:$N$56,0))*H$12+INDEX(JuniorzyPozytyw[],MATCH($A82,Juniorstwo!$A$57:$A$76,0),MATCH($B$13,Juniorstwo!$A$56:$N$56,0))*H$13,"-")</f>
        <v>82.034999999999997</v>
      </c>
      <c r="I82" s="38">
        <f ca="1">IFERROR(INDEX(JuniorzyPozytyw[],MATCH($A82,Juniorstwo!$A$57:$A$76,0),MATCH($B$2,Juniorstwo!$A$56:$N$56,0))*I$2+INDEX(JuniorzyPozytyw[],MATCH($A82,Juniorstwo!$A$57:$A$76,0),MATCH($B$3,Juniorstwo!$A$56:$N$56,0))*I$3+INDEX(JuniorzyPozytyw[],MATCH($A82,Juniorstwo!$A$57:$A$76,0),MATCH($B$4,Juniorstwo!$A$56:$N$56,0))*I$4+INDEX(JuniorzyPozytyw[],MATCH($A82,Juniorstwo!$A$57:$A$76,0),MATCH($B$5,Juniorstwo!$A$56:$N$56,0))*I$5+INDEX(JuniorzyPozytyw[],MATCH($A82,Juniorstwo!$A$57:$A$76,0),MATCH($B$6,Juniorstwo!$A$56:$N$56,0))*I$6+INDEX(JuniorzyPozytyw[],MATCH($A82,Juniorstwo!$A$57:$A$76,0),MATCH($B$7,Juniorstwo!$A$56:$N$56,0))*I$7+INDEX(JuniorzyPozytyw[],MATCH($A82,Juniorstwo!$A$57:$A$76,0),MATCH($B$8,Juniorstwo!$A$56:$N$56,0))*I$8+INDEX(JuniorzyPozytyw[],MATCH($A82,Juniorstwo!$A$57:$A$76,0),MATCH($B$9,Juniorstwo!$A$56:$N$56,0))*I$9+INDEX(JuniorzyPozytyw[],MATCH($A82,Juniorstwo!$A$57:$A$76,0),MATCH($B$10,Juniorstwo!$A$56:$N$56,0))*I$10+INDEX(JuniorzyPozytyw[],MATCH($A82,Juniorstwo!$A$57:$A$76,0),MATCH($B$11,Juniorstwo!$A$56:$N$56,0))*I$11+INDEX(JuniorzyPozytyw[],MATCH($A82,Juniorstwo!$A$57:$A$76,0),MATCH($B$12,Juniorstwo!$A$56:$N$56,0))*I$12+INDEX(JuniorzyPozytyw[],MATCH($A82,Juniorstwo!$A$57:$A$76,0),MATCH($B$13,Juniorstwo!$A$56:$N$56,0))*I$13,"-")</f>
        <v>82.41</v>
      </c>
      <c r="J82" s="38">
        <f ca="1">IFERROR(INDEX(JuniorzyPozytyw[],MATCH($A82,Juniorstwo!$A$57:$A$76,0),MATCH($B$2,Juniorstwo!$A$56:$N$56,0))*J$2+INDEX(JuniorzyPozytyw[],MATCH($A82,Juniorstwo!$A$57:$A$76,0),MATCH($B$3,Juniorstwo!$A$56:$N$56,0))*J$3+INDEX(JuniorzyPozytyw[],MATCH($A82,Juniorstwo!$A$57:$A$76,0),MATCH($B$4,Juniorstwo!$A$56:$N$56,0))*J$4+INDEX(JuniorzyPozytyw[],MATCH($A82,Juniorstwo!$A$57:$A$76,0),MATCH($B$5,Juniorstwo!$A$56:$N$56,0))*J$5+INDEX(JuniorzyPozytyw[],MATCH($A82,Juniorstwo!$A$57:$A$76,0),MATCH($B$6,Juniorstwo!$A$56:$N$56,0))*J$6+INDEX(JuniorzyPozytyw[],MATCH($A82,Juniorstwo!$A$57:$A$76,0),MATCH($B$7,Juniorstwo!$A$56:$N$56,0))*J$7+INDEX(JuniorzyPozytyw[],MATCH($A82,Juniorstwo!$A$57:$A$76,0),MATCH($B$8,Juniorstwo!$A$56:$N$56,0))*J$8+INDEX(JuniorzyPozytyw[],MATCH($A82,Juniorstwo!$A$57:$A$76,0),MATCH($B$9,Juniorstwo!$A$56:$N$56,0))*J$9+INDEX(JuniorzyPozytyw[],MATCH($A82,Juniorstwo!$A$57:$A$76,0),MATCH($B$10,Juniorstwo!$A$56:$N$56,0))*J$10+INDEX(JuniorzyPozytyw[],MATCH($A82,Juniorstwo!$A$57:$A$76,0),MATCH($B$11,Juniorstwo!$A$56:$N$56,0))*J$11+INDEX(JuniorzyPozytyw[],MATCH($A82,Juniorstwo!$A$57:$A$76,0),MATCH($B$12,Juniorstwo!$A$56:$N$56,0))*J$12+INDEX(JuniorzyPozytyw[],MATCH($A82,Juniorstwo!$A$57:$A$76,0),MATCH($B$13,Juniorstwo!$A$56:$N$56,0))*J$13,"-")</f>
        <v>81.284999999999997</v>
      </c>
      <c r="K82" s="38">
        <f ca="1">IFERROR(INDEX(JuniorzyPozytyw[],MATCH($A82,Juniorstwo!$A$57:$A$76,0),MATCH($B$2,Juniorstwo!$A$56:$N$56,0))*K$2+INDEX(JuniorzyPozytyw[],MATCH($A82,Juniorstwo!$A$57:$A$76,0),MATCH($B$3,Juniorstwo!$A$56:$N$56,0))*K$3+INDEX(JuniorzyPozytyw[],MATCH($A82,Juniorstwo!$A$57:$A$76,0),MATCH($B$4,Juniorstwo!$A$56:$N$56,0))*K$4+INDEX(JuniorzyPozytyw[],MATCH($A82,Juniorstwo!$A$57:$A$76,0),MATCH($B$5,Juniorstwo!$A$56:$N$56,0))*K$5+INDEX(JuniorzyPozytyw[],MATCH($A82,Juniorstwo!$A$57:$A$76,0),MATCH($B$6,Juniorstwo!$A$56:$N$56,0))*K$6+INDEX(JuniorzyPozytyw[],MATCH($A82,Juniorstwo!$A$57:$A$76,0),MATCH($B$7,Juniorstwo!$A$56:$N$56,0))*K$7+INDEX(JuniorzyPozytyw[],MATCH($A82,Juniorstwo!$A$57:$A$76,0),MATCH($B$8,Juniorstwo!$A$56:$N$56,0))*K$8+INDEX(JuniorzyPozytyw[],MATCH($A82,Juniorstwo!$A$57:$A$76,0),MATCH($B$9,Juniorstwo!$A$56:$N$56,0))*K$9+INDEX(JuniorzyPozytyw[],MATCH($A82,Juniorstwo!$A$57:$A$76,0),MATCH($B$10,Juniorstwo!$A$56:$N$56,0))*K$10+INDEX(JuniorzyPozytyw[],MATCH($A82,Juniorstwo!$A$57:$A$76,0),MATCH($B$11,Juniorstwo!$A$56:$N$56,0))*K$11+INDEX(JuniorzyPozytyw[],MATCH($A82,Juniorstwo!$A$57:$A$76,0),MATCH($B$12,Juniorstwo!$A$56:$N$56,0))*K$12+INDEX(JuniorzyPozytyw[],MATCH($A82,Juniorstwo!$A$57:$A$76,0),MATCH($B$13,Juniorstwo!$A$56:$N$56,0))*K$13,"-")</f>
        <v>81.91</v>
      </c>
    </row>
    <row r="83" spans="1:11" x14ac:dyDescent="0.25">
      <c r="A83" s="84">
        <v>27</v>
      </c>
      <c r="B83" s="3" t="str">
        <f>IFERROR(VLOOKUP(PozJunPŚr[[#This Row],[Numer]],Zawodnicy[[Number]:[Player name]],2,FALSE),"-")</f>
        <v>Sylwester Kaszubowski</v>
      </c>
      <c r="C83" s="38">
        <f ca="1">IFERROR(INDEX(JuniorzyPozytyw[],MATCH($A83,Juniorstwo!$A$57:$A$76,0),MATCH($B$2,Juniorstwo!$A$56:$N$56,0))*C$2+INDEX(JuniorzyPozytyw[],MATCH($A83,Juniorstwo!$A$57:$A$76,0),MATCH($B$3,Juniorstwo!$A$56:$N$56,0))*C$3+INDEX(JuniorzyPozytyw[],MATCH($A83,Juniorstwo!$A$57:$A$76,0),MATCH($B$4,Juniorstwo!$A$56:$N$56,0))*C$4+INDEX(JuniorzyPozytyw[],MATCH($A83,Juniorstwo!$A$57:$A$76,0),MATCH($B$5,Juniorstwo!$A$56:$N$56,0))*C$5+INDEX(JuniorzyPozytyw[],MATCH($A83,Juniorstwo!$A$57:$A$76,0),MATCH($B$6,Juniorstwo!$A$56:$N$56,0))*C$6+INDEX(JuniorzyPozytyw[],MATCH($A83,Juniorstwo!$A$57:$A$76,0),MATCH($B$7,Juniorstwo!$A$56:$N$56,0))*C$7+INDEX(JuniorzyPozytyw[],MATCH($A83,Juniorstwo!$A$57:$A$76,0),MATCH($B$8,Juniorstwo!$A$56:$N$56,0))*C$8+INDEX(JuniorzyPozytyw[],MATCH($A83,Juniorstwo!$A$57:$A$76,0),MATCH($B$9,Juniorstwo!$A$56:$N$56,0))*C$9+INDEX(JuniorzyPozytyw[],MATCH($A83,Juniorstwo!$A$57:$A$76,0),MATCH($B$10,Juniorstwo!$A$56:$N$56,0))*C$10+INDEX(JuniorzyPozytyw[],MATCH($A83,Juniorstwo!$A$57:$A$76,0),MATCH($B$11,Juniorstwo!$A$56:$N$56,0))*C$11+INDEX(JuniorzyPozytyw[],MATCH($A83,Juniorstwo!$A$57:$A$76,0),MATCH($B$12,Juniorstwo!$A$56:$N$56,0))*C$12+INDEX(JuniorzyPozytyw[],MATCH($A83,Juniorstwo!$A$57:$A$76,0),MATCH($B$13,Juniorstwo!$A$56:$N$56,0))*C$13,"-")</f>
        <v>57.034999999999997</v>
      </c>
      <c r="D83" s="38">
        <f ca="1">IFERROR(INDEX(JuniorzyPozytyw[],MATCH($A83,Juniorstwo!$A$57:$A$76,0),MATCH($B$2,Juniorstwo!$A$56:$N$56,0))*D$2+INDEX(JuniorzyPozytyw[],MATCH($A83,Juniorstwo!$A$57:$A$76,0),MATCH($B$3,Juniorstwo!$A$56:$N$56,0))*D$3+INDEX(JuniorzyPozytyw[],MATCH($A83,Juniorstwo!$A$57:$A$76,0),MATCH($B$4,Juniorstwo!$A$56:$N$56,0))*D$4+INDEX(JuniorzyPozytyw[],MATCH($A83,Juniorstwo!$A$57:$A$76,0),MATCH($B$5,Juniorstwo!$A$56:$N$56,0))*D$5+INDEX(JuniorzyPozytyw[],MATCH($A83,Juniorstwo!$A$57:$A$76,0),MATCH($B$6,Juniorstwo!$A$56:$N$56,0))*D$6+INDEX(JuniorzyPozytyw[],MATCH($A83,Juniorstwo!$A$57:$A$76,0),MATCH($B$7,Juniorstwo!$A$56:$N$56,0))*D$7+INDEX(JuniorzyPozytyw[],MATCH($A83,Juniorstwo!$A$57:$A$76,0),MATCH($B$8,Juniorstwo!$A$56:$N$56,0))*D$8+INDEX(JuniorzyPozytyw[],MATCH($A83,Juniorstwo!$A$57:$A$76,0),MATCH($B$9,Juniorstwo!$A$56:$N$56,0))*D$9+INDEX(JuniorzyPozytyw[],MATCH($A83,Juniorstwo!$A$57:$A$76,0),MATCH($B$10,Juniorstwo!$A$56:$N$56,0))*D$10+INDEX(JuniorzyPozytyw[],MATCH($A83,Juniorstwo!$A$57:$A$76,0),MATCH($B$11,Juniorstwo!$A$56:$N$56,0))*D$11+INDEX(JuniorzyPozytyw[],MATCH($A83,Juniorstwo!$A$57:$A$76,0),MATCH($B$12,Juniorstwo!$A$56:$N$56,0))*D$12+INDEX(JuniorzyPozytyw[],MATCH($A83,Juniorstwo!$A$57:$A$76,0),MATCH($B$13,Juniorstwo!$A$56:$N$56,0))*D$13,"-")</f>
        <v>68.91</v>
      </c>
      <c r="E83" s="38">
        <f ca="1">IFERROR(INDEX(JuniorzyPozytyw[],MATCH($A83,Juniorstwo!$A$57:$A$76,0),MATCH($B$2,Juniorstwo!$A$56:$N$56,0))*E$2+INDEX(JuniorzyPozytyw[],MATCH($A83,Juniorstwo!$A$57:$A$76,0),MATCH($B$3,Juniorstwo!$A$56:$N$56,0))*E$3+INDEX(JuniorzyPozytyw[],MATCH($A83,Juniorstwo!$A$57:$A$76,0),MATCH($B$4,Juniorstwo!$A$56:$N$56,0))*E$4+INDEX(JuniorzyPozytyw[],MATCH($A83,Juniorstwo!$A$57:$A$76,0),MATCH($B$5,Juniorstwo!$A$56:$N$56,0))*E$5+INDEX(JuniorzyPozytyw[],MATCH($A83,Juniorstwo!$A$57:$A$76,0),MATCH($B$6,Juniorstwo!$A$56:$N$56,0))*E$6+INDEX(JuniorzyPozytyw[],MATCH($A83,Juniorstwo!$A$57:$A$76,0),MATCH($B$7,Juniorstwo!$A$56:$N$56,0))*E$7+INDEX(JuniorzyPozytyw[],MATCH($A83,Juniorstwo!$A$57:$A$76,0),MATCH($B$8,Juniorstwo!$A$56:$N$56,0))*E$8+INDEX(JuniorzyPozytyw[],MATCH($A83,Juniorstwo!$A$57:$A$76,0),MATCH($B$9,Juniorstwo!$A$56:$N$56,0))*E$9+INDEX(JuniorzyPozytyw[],MATCH($A83,Juniorstwo!$A$57:$A$76,0),MATCH($B$10,Juniorstwo!$A$56:$N$56,0))*E$10+INDEX(JuniorzyPozytyw[],MATCH($A83,Juniorstwo!$A$57:$A$76,0),MATCH($B$11,Juniorstwo!$A$56:$N$56,0))*E$11+INDEX(JuniorzyPozytyw[],MATCH($A83,Juniorstwo!$A$57:$A$76,0),MATCH($B$12,Juniorstwo!$A$56:$N$56,0))*E$12+INDEX(JuniorzyPozytyw[],MATCH($A83,Juniorstwo!$A$57:$A$76,0),MATCH($B$13,Juniorstwo!$A$56:$N$56,0))*E$13,"-")</f>
        <v>70.66</v>
      </c>
      <c r="F83" s="38">
        <f ca="1">IFERROR(INDEX(JuniorzyPozytyw[],MATCH($A83,Juniorstwo!$A$57:$A$76,0),MATCH($B$2,Juniorstwo!$A$56:$N$56,0))*F$2+INDEX(JuniorzyPozytyw[],MATCH($A83,Juniorstwo!$A$57:$A$76,0),MATCH($B$3,Juniorstwo!$A$56:$N$56,0))*F$3+INDEX(JuniorzyPozytyw[],MATCH($A83,Juniorstwo!$A$57:$A$76,0),MATCH($B$4,Juniorstwo!$A$56:$N$56,0))*F$4+INDEX(JuniorzyPozytyw[],MATCH($A83,Juniorstwo!$A$57:$A$76,0),MATCH($B$5,Juniorstwo!$A$56:$N$56,0))*F$5+INDEX(JuniorzyPozytyw[],MATCH($A83,Juniorstwo!$A$57:$A$76,0),MATCH($B$6,Juniorstwo!$A$56:$N$56,0))*F$6+INDEX(JuniorzyPozytyw[],MATCH($A83,Juniorstwo!$A$57:$A$76,0),MATCH($B$7,Juniorstwo!$A$56:$N$56,0))*F$7+INDEX(JuniorzyPozytyw[],MATCH($A83,Juniorstwo!$A$57:$A$76,0),MATCH($B$8,Juniorstwo!$A$56:$N$56,0))*F$8+INDEX(JuniorzyPozytyw[],MATCH($A83,Juniorstwo!$A$57:$A$76,0),MATCH($B$9,Juniorstwo!$A$56:$N$56,0))*F$9+INDEX(JuniorzyPozytyw[],MATCH($A83,Juniorstwo!$A$57:$A$76,0),MATCH($B$10,Juniorstwo!$A$56:$N$56,0))*F$10+INDEX(JuniorzyPozytyw[],MATCH($A83,Juniorstwo!$A$57:$A$76,0),MATCH($B$11,Juniorstwo!$A$56:$N$56,0))*F$11+INDEX(JuniorzyPozytyw[],MATCH($A83,Juniorstwo!$A$57:$A$76,0),MATCH($B$12,Juniorstwo!$A$56:$N$56,0))*F$12+INDEX(JuniorzyPozytyw[],MATCH($A83,Juniorstwo!$A$57:$A$76,0),MATCH($B$13,Juniorstwo!$A$56:$N$56,0))*F$13,"-")</f>
        <v>74.16</v>
      </c>
      <c r="G83" s="38">
        <f ca="1">IFERROR(INDEX(JuniorzyPozytyw[],MATCH($A83,Juniorstwo!$A$57:$A$76,0),MATCH($B$2,Juniorstwo!$A$56:$N$56,0))*G$2+INDEX(JuniorzyPozytyw[],MATCH($A83,Juniorstwo!$A$57:$A$76,0),MATCH($B$3,Juniorstwo!$A$56:$N$56,0))*G$3+INDEX(JuniorzyPozytyw[],MATCH($A83,Juniorstwo!$A$57:$A$76,0),MATCH($B$4,Juniorstwo!$A$56:$N$56,0))*G$4+INDEX(JuniorzyPozytyw[],MATCH($A83,Juniorstwo!$A$57:$A$76,0),MATCH($B$5,Juniorstwo!$A$56:$N$56,0))*G$5+INDEX(JuniorzyPozytyw[],MATCH($A83,Juniorstwo!$A$57:$A$76,0),MATCH($B$6,Juniorstwo!$A$56:$N$56,0))*G$6+INDEX(JuniorzyPozytyw[],MATCH($A83,Juniorstwo!$A$57:$A$76,0),MATCH($B$7,Juniorstwo!$A$56:$N$56,0))*G$7+INDEX(JuniorzyPozytyw[],MATCH($A83,Juniorstwo!$A$57:$A$76,0),MATCH($B$8,Juniorstwo!$A$56:$N$56,0))*G$8+INDEX(JuniorzyPozytyw[],MATCH($A83,Juniorstwo!$A$57:$A$76,0),MATCH($B$9,Juniorstwo!$A$56:$N$56,0))*G$9+INDEX(JuniorzyPozytyw[],MATCH($A83,Juniorstwo!$A$57:$A$76,0),MATCH($B$10,Juniorstwo!$A$56:$N$56,0))*G$10+INDEX(JuniorzyPozytyw[],MATCH($A83,Juniorstwo!$A$57:$A$76,0),MATCH($B$11,Juniorstwo!$A$56:$N$56,0))*G$11+INDEX(JuniorzyPozytyw[],MATCH($A83,Juniorstwo!$A$57:$A$76,0),MATCH($B$12,Juniorstwo!$A$56:$N$56,0))*G$12+INDEX(JuniorzyPozytyw[],MATCH($A83,Juniorstwo!$A$57:$A$76,0),MATCH($B$13,Juniorstwo!$A$56:$N$56,0))*G$13,"-")</f>
        <v>76.41</v>
      </c>
      <c r="H83" s="38">
        <f ca="1">IFERROR(INDEX(JuniorzyPozytyw[],MATCH($A83,Juniorstwo!$A$57:$A$76,0),MATCH($B$2,Juniorstwo!$A$56:$N$56,0))*H$2+INDEX(JuniorzyPozytyw[],MATCH($A83,Juniorstwo!$A$57:$A$76,0),MATCH($B$3,Juniorstwo!$A$56:$N$56,0))*H$3+INDEX(JuniorzyPozytyw[],MATCH($A83,Juniorstwo!$A$57:$A$76,0),MATCH($B$4,Juniorstwo!$A$56:$N$56,0))*H$4+INDEX(JuniorzyPozytyw[],MATCH($A83,Juniorstwo!$A$57:$A$76,0),MATCH($B$5,Juniorstwo!$A$56:$N$56,0))*H$5+INDEX(JuniorzyPozytyw[],MATCH($A83,Juniorstwo!$A$57:$A$76,0),MATCH($B$6,Juniorstwo!$A$56:$N$56,0))*H$6+INDEX(JuniorzyPozytyw[],MATCH($A83,Juniorstwo!$A$57:$A$76,0),MATCH($B$7,Juniorstwo!$A$56:$N$56,0))*H$7+INDEX(JuniorzyPozytyw[],MATCH($A83,Juniorstwo!$A$57:$A$76,0),MATCH($B$8,Juniorstwo!$A$56:$N$56,0))*H$8+INDEX(JuniorzyPozytyw[],MATCH($A83,Juniorstwo!$A$57:$A$76,0),MATCH($B$9,Juniorstwo!$A$56:$N$56,0))*H$9+INDEX(JuniorzyPozytyw[],MATCH($A83,Juniorstwo!$A$57:$A$76,0),MATCH($B$10,Juniorstwo!$A$56:$N$56,0))*H$10+INDEX(JuniorzyPozytyw[],MATCH($A83,Juniorstwo!$A$57:$A$76,0),MATCH($B$11,Juniorstwo!$A$56:$N$56,0))*H$11+INDEX(JuniorzyPozytyw[],MATCH($A83,Juniorstwo!$A$57:$A$76,0),MATCH($B$12,Juniorstwo!$A$56:$N$56,0))*H$12+INDEX(JuniorzyPozytyw[],MATCH($A83,Juniorstwo!$A$57:$A$76,0),MATCH($B$13,Juniorstwo!$A$56:$N$56,0))*H$13,"-")</f>
        <v>77.66</v>
      </c>
      <c r="I83" s="38">
        <f ca="1">IFERROR(INDEX(JuniorzyPozytyw[],MATCH($A83,Juniorstwo!$A$57:$A$76,0),MATCH($B$2,Juniorstwo!$A$56:$N$56,0))*I$2+INDEX(JuniorzyPozytyw[],MATCH($A83,Juniorstwo!$A$57:$A$76,0),MATCH($B$3,Juniorstwo!$A$56:$N$56,0))*I$3+INDEX(JuniorzyPozytyw[],MATCH($A83,Juniorstwo!$A$57:$A$76,0),MATCH($B$4,Juniorstwo!$A$56:$N$56,0))*I$4+INDEX(JuniorzyPozytyw[],MATCH($A83,Juniorstwo!$A$57:$A$76,0),MATCH($B$5,Juniorstwo!$A$56:$N$56,0))*I$5+INDEX(JuniorzyPozytyw[],MATCH($A83,Juniorstwo!$A$57:$A$76,0),MATCH($B$6,Juniorstwo!$A$56:$N$56,0))*I$6+INDEX(JuniorzyPozytyw[],MATCH($A83,Juniorstwo!$A$57:$A$76,0),MATCH($B$7,Juniorstwo!$A$56:$N$56,0))*I$7+INDEX(JuniorzyPozytyw[],MATCH($A83,Juniorstwo!$A$57:$A$76,0),MATCH($B$8,Juniorstwo!$A$56:$N$56,0))*I$8+INDEX(JuniorzyPozytyw[],MATCH($A83,Juniorstwo!$A$57:$A$76,0),MATCH($B$9,Juniorstwo!$A$56:$N$56,0))*I$9+INDEX(JuniorzyPozytyw[],MATCH($A83,Juniorstwo!$A$57:$A$76,0),MATCH($B$10,Juniorstwo!$A$56:$N$56,0))*I$10+INDEX(JuniorzyPozytyw[],MATCH($A83,Juniorstwo!$A$57:$A$76,0),MATCH($B$11,Juniorstwo!$A$56:$N$56,0))*I$11+INDEX(JuniorzyPozytyw[],MATCH($A83,Juniorstwo!$A$57:$A$76,0),MATCH($B$12,Juniorstwo!$A$56:$N$56,0))*I$12+INDEX(JuniorzyPozytyw[],MATCH($A83,Juniorstwo!$A$57:$A$76,0),MATCH($B$13,Juniorstwo!$A$56:$N$56,0))*I$13,"-")</f>
        <v>77.41</v>
      </c>
      <c r="J83" s="38">
        <f ca="1">IFERROR(INDEX(JuniorzyPozytyw[],MATCH($A83,Juniorstwo!$A$57:$A$76,0),MATCH($B$2,Juniorstwo!$A$56:$N$56,0))*J$2+INDEX(JuniorzyPozytyw[],MATCH($A83,Juniorstwo!$A$57:$A$76,0),MATCH($B$3,Juniorstwo!$A$56:$N$56,0))*J$3+INDEX(JuniorzyPozytyw[],MATCH($A83,Juniorstwo!$A$57:$A$76,0),MATCH($B$4,Juniorstwo!$A$56:$N$56,0))*J$4+INDEX(JuniorzyPozytyw[],MATCH($A83,Juniorstwo!$A$57:$A$76,0),MATCH($B$5,Juniorstwo!$A$56:$N$56,0))*J$5+INDEX(JuniorzyPozytyw[],MATCH($A83,Juniorstwo!$A$57:$A$76,0),MATCH($B$6,Juniorstwo!$A$56:$N$56,0))*J$6+INDEX(JuniorzyPozytyw[],MATCH($A83,Juniorstwo!$A$57:$A$76,0),MATCH($B$7,Juniorstwo!$A$56:$N$56,0))*J$7+INDEX(JuniorzyPozytyw[],MATCH($A83,Juniorstwo!$A$57:$A$76,0),MATCH($B$8,Juniorstwo!$A$56:$N$56,0))*J$8+INDEX(JuniorzyPozytyw[],MATCH($A83,Juniorstwo!$A$57:$A$76,0),MATCH($B$9,Juniorstwo!$A$56:$N$56,0))*J$9+INDEX(JuniorzyPozytyw[],MATCH($A83,Juniorstwo!$A$57:$A$76,0),MATCH($B$10,Juniorstwo!$A$56:$N$56,0))*J$10+INDEX(JuniorzyPozytyw[],MATCH($A83,Juniorstwo!$A$57:$A$76,0),MATCH($B$11,Juniorstwo!$A$56:$N$56,0))*J$11+INDEX(JuniorzyPozytyw[],MATCH($A83,Juniorstwo!$A$57:$A$76,0),MATCH($B$12,Juniorstwo!$A$56:$N$56,0))*J$12+INDEX(JuniorzyPozytyw[],MATCH($A83,Juniorstwo!$A$57:$A$76,0),MATCH($B$13,Juniorstwo!$A$56:$N$56,0))*J$13,"-")</f>
        <v>75.16</v>
      </c>
      <c r="K83" s="38">
        <f ca="1">IFERROR(INDEX(JuniorzyPozytyw[],MATCH($A83,Juniorstwo!$A$57:$A$76,0),MATCH($B$2,Juniorstwo!$A$56:$N$56,0))*K$2+INDEX(JuniorzyPozytyw[],MATCH($A83,Juniorstwo!$A$57:$A$76,0),MATCH($B$3,Juniorstwo!$A$56:$N$56,0))*K$3+INDEX(JuniorzyPozytyw[],MATCH($A83,Juniorstwo!$A$57:$A$76,0),MATCH($B$4,Juniorstwo!$A$56:$N$56,0))*K$4+INDEX(JuniorzyPozytyw[],MATCH($A83,Juniorstwo!$A$57:$A$76,0),MATCH($B$5,Juniorstwo!$A$56:$N$56,0))*K$5+INDEX(JuniorzyPozytyw[],MATCH($A83,Juniorstwo!$A$57:$A$76,0),MATCH($B$6,Juniorstwo!$A$56:$N$56,0))*K$6+INDEX(JuniorzyPozytyw[],MATCH($A83,Juniorstwo!$A$57:$A$76,0),MATCH($B$7,Juniorstwo!$A$56:$N$56,0))*K$7+INDEX(JuniorzyPozytyw[],MATCH($A83,Juniorstwo!$A$57:$A$76,0),MATCH($B$8,Juniorstwo!$A$56:$N$56,0))*K$8+INDEX(JuniorzyPozytyw[],MATCH($A83,Juniorstwo!$A$57:$A$76,0),MATCH($B$9,Juniorstwo!$A$56:$N$56,0))*K$9+INDEX(JuniorzyPozytyw[],MATCH($A83,Juniorstwo!$A$57:$A$76,0),MATCH($B$10,Juniorstwo!$A$56:$N$56,0))*K$10+INDEX(JuniorzyPozytyw[],MATCH($A83,Juniorstwo!$A$57:$A$76,0),MATCH($B$11,Juniorstwo!$A$56:$N$56,0))*K$11+INDEX(JuniorzyPozytyw[],MATCH($A83,Juniorstwo!$A$57:$A$76,0),MATCH($B$12,Juniorstwo!$A$56:$N$56,0))*K$12+INDEX(JuniorzyPozytyw[],MATCH($A83,Juniorstwo!$A$57:$A$76,0),MATCH($B$13,Juniorstwo!$A$56:$N$56,0))*K$13,"-")</f>
        <v>70.16</v>
      </c>
    </row>
    <row r="84" spans="1:11" x14ac:dyDescent="0.25">
      <c r="A84" s="84">
        <v>59</v>
      </c>
      <c r="B84" s="3" t="str">
        <f>IFERROR(VLOOKUP(PozJunPŚr[[#This Row],[Numer]],Zawodnicy[[Number]:[Player name]],2,FALSE),"-")</f>
        <v>Milosz Kostrzewski</v>
      </c>
      <c r="C84" s="38">
        <f ca="1">IFERROR(INDEX(JuniorzyPozytyw[],MATCH($A84,Juniorstwo!$A$57:$A$76,0),MATCH($B$2,Juniorstwo!$A$56:$N$56,0))*C$2+INDEX(JuniorzyPozytyw[],MATCH($A84,Juniorstwo!$A$57:$A$76,0),MATCH($B$3,Juniorstwo!$A$56:$N$56,0))*C$3+INDEX(JuniorzyPozytyw[],MATCH($A84,Juniorstwo!$A$57:$A$76,0),MATCH($B$4,Juniorstwo!$A$56:$N$56,0))*C$4+INDEX(JuniorzyPozytyw[],MATCH($A84,Juniorstwo!$A$57:$A$76,0),MATCH($B$5,Juniorstwo!$A$56:$N$56,0))*C$5+INDEX(JuniorzyPozytyw[],MATCH($A84,Juniorstwo!$A$57:$A$76,0),MATCH($B$6,Juniorstwo!$A$56:$N$56,0))*C$6+INDEX(JuniorzyPozytyw[],MATCH($A84,Juniorstwo!$A$57:$A$76,0),MATCH($B$7,Juniorstwo!$A$56:$N$56,0))*C$7+INDEX(JuniorzyPozytyw[],MATCH($A84,Juniorstwo!$A$57:$A$76,0),MATCH($B$8,Juniorstwo!$A$56:$N$56,0))*C$8+INDEX(JuniorzyPozytyw[],MATCH($A84,Juniorstwo!$A$57:$A$76,0),MATCH($B$9,Juniorstwo!$A$56:$N$56,0))*C$9+INDEX(JuniorzyPozytyw[],MATCH($A84,Juniorstwo!$A$57:$A$76,0),MATCH($B$10,Juniorstwo!$A$56:$N$56,0))*C$10+INDEX(JuniorzyPozytyw[],MATCH($A84,Juniorstwo!$A$57:$A$76,0),MATCH($B$11,Juniorstwo!$A$56:$N$56,0))*C$11+INDEX(JuniorzyPozytyw[],MATCH($A84,Juniorstwo!$A$57:$A$76,0),MATCH($B$12,Juniorstwo!$A$56:$N$56,0))*C$12+INDEX(JuniorzyPozytyw[],MATCH($A84,Juniorstwo!$A$57:$A$76,0),MATCH($B$13,Juniorstwo!$A$56:$N$56,0))*C$13,"-")</f>
        <v>70.040000000000006</v>
      </c>
      <c r="D84" s="38">
        <f ca="1">IFERROR(INDEX(JuniorzyPozytyw[],MATCH($A84,Juniorstwo!$A$57:$A$76,0),MATCH($B$2,Juniorstwo!$A$56:$N$56,0))*D$2+INDEX(JuniorzyPozytyw[],MATCH($A84,Juniorstwo!$A$57:$A$76,0),MATCH($B$3,Juniorstwo!$A$56:$N$56,0))*D$3+INDEX(JuniorzyPozytyw[],MATCH($A84,Juniorstwo!$A$57:$A$76,0),MATCH($B$4,Juniorstwo!$A$56:$N$56,0))*D$4+INDEX(JuniorzyPozytyw[],MATCH($A84,Juniorstwo!$A$57:$A$76,0),MATCH($B$5,Juniorstwo!$A$56:$N$56,0))*D$5+INDEX(JuniorzyPozytyw[],MATCH($A84,Juniorstwo!$A$57:$A$76,0),MATCH($B$6,Juniorstwo!$A$56:$N$56,0))*D$6+INDEX(JuniorzyPozytyw[],MATCH($A84,Juniorstwo!$A$57:$A$76,0),MATCH($B$7,Juniorstwo!$A$56:$N$56,0))*D$7+INDEX(JuniorzyPozytyw[],MATCH($A84,Juniorstwo!$A$57:$A$76,0),MATCH($B$8,Juniorstwo!$A$56:$N$56,0))*D$8+INDEX(JuniorzyPozytyw[],MATCH($A84,Juniorstwo!$A$57:$A$76,0),MATCH($B$9,Juniorstwo!$A$56:$N$56,0))*D$9+INDEX(JuniorzyPozytyw[],MATCH($A84,Juniorstwo!$A$57:$A$76,0),MATCH($B$10,Juniorstwo!$A$56:$N$56,0))*D$10+INDEX(JuniorzyPozytyw[],MATCH($A84,Juniorstwo!$A$57:$A$76,0),MATCH($B$11,Juniorstwo!$A$56:$N$56,0))*D$11+INDEX(JuniorzyPozytyw[],MATCH($A84,Juniorstwo!$A$57:$A$76,0),MATCH($B$12,Juniorstwo!$A$56:$N$56,0))*D$12+INDEX(JuniorzyPozytyw[],MATCH($A84,Juniorstwo!$A$57:$A$76,0),MATCH($B$13,Juniorstwo!$A$56:$N$56,0))*D$13,"-")</f>
        <v>81.040000000000006</v>
      </c>
      <c r="E84" s="38">
        <f ca="1">IFERROR(INDEX(JuniorzyPozytyw[],MATCH($A84,Juniorstwo!$A$57:$A$76,0),MATCH($B$2,Juniorstwo!$A$56:$N$56,0))*E$2+INDEX(JuniorzyPozytyw[],MATCH($A84,Juniorstwo!$A$57:$A$76,0),MATCH($B$3,Juniorstwo!$A$56:$N$56,0))*E$3+INDEX(JuniorzyPozytyw[],MATCH($A84,Juniorstwo!$A$57:$A$76,0),MATCH($B$4,Juniorstwo!$A$56:$N$56,0))*E$4+INDEX(JuniorzyPozytyw[],MATCH($A84,Juniorstwo!$A$57:$A$76,0),MATCH($B$5,Juniorstwo!$A$56:$N$56,0))*E$5+INDEX(JuniorzyPozytyw[],MATCH($A84,Juniorstwo!$A$57:$A$76,0),MATCH($B$6,Juniorstwo!$A$56:$N$56,0))*E$6+INDEX(JuniorzyPozytyw[],MATCH($A84,Juniorstwo!$A$57:$A$76,0),MATCH($B$7,Juniorstwo!$A$56:$N$56,0))*E$7+INDEX(JuniorzyPozytyw[],MATCH($A84,Juniorstwo!$A$57:$A$76,0),MATCH($B$8,Juniorstwo!$A$56:$N$56,0))*E$8+INDEX(JuniorzyPozytyw[],MATCH($A84,Juniorstwo!$A$57:$A$76,0),MATCH($B$9,Juniorstwo!$A$56:$N$56,0))*E$9+INDEX(JuniorzyPozytyw[],MATCH($A84,Juniorstwo!$A$57:$A$76,0),MATCH($B$10,Juniorstwo!$A$56:$N$56,0))*E$10+INDEX(JuniorzyPozytyw[],MATCH($A84,Juniorstwo!$A$57:$A$76,0),MATCH($B$11,Juniorstwo!$A$56:$N$56,0))*E$11+INDEX(JuniorzyPozytyw[],MATCH($A84,Juniorstwo!$A$57:$A$76,0),MATCH($B$12,Juniorstwo!$A$56:$N$56,0))*E$12+INDEX(JuniorzyPozytyw[],MATCH($A84,Juniorstwo!$A$57:$A$76,0),MATCH($B$13,Juniorstwo!$A$56:$N$56,0))*E$13,"-")</f>
        <v>80.165000000000006</v>
      </c>
      <c r="F84" s="38">
        <f ca="1">IFERROR(INDEX(JuniorzyPozytyw[],MATCH($A84,Juniorstwo!$A$57:$A$76,0),MATCH($B$2,Juniorstwo!$A$56:$N$56,0))*F$2+INDEX(JuniorzyPozytyw[],MATCH($A84,Juniorstwo!$A$57:$A$76,0),MATCH($B$3,Juniorstwo!$A$56:$N$56,0))*F$3+INDEX(JuniorzyPozytyw[],MATCH($A84,Juniorstwo!$A$57:$A$76,0),MATCH($B$4,Juniorstwo!$A$56:$N$56,0))*F$4+INDEX(JuniorzyPozytyw[],MATCH($A84,Juniorstwo!$A$57:$A$76,0),MATCH($B$5,Juniorstwo!$A$56:$N$56,0))*F$5+INDEX(JuniorzyPozytyw[],MATCH($A84,Juniorstwo!$A$57:$A$76,0),MATCH($B$6,Juniorstwo!$A$56:$N$56,0))*F$6+INDEX(JuniorzyPozytyw[],MATCH($A84,Juniorstwo!$A$57:$A$76,0),MATCH($B$7,Juniorstwo!$A$56:$N$56,0))*F$7+INDEX(JuniorzyPozytyw[],MATCH($A84,Juniorstwo!$A$57:$A$76,0),MATCH($B$8,Juniorstwo!$A$56:$N$56,0))*F$8+INDEX(JuniorzyPozytyw[],MATCH($A84,Juniorstwo!$A$57:$A$76,0),MATCH($B$9,Juniorstwo!$A$56:$N$56,0))*F$9+INDEX(JuniorzyPozytyw[],MATCH($A84,Juniorstwo!$A$57:$A$76,0),MATCH($B$10,Juniorstwo!$A$56:$N$56,0))*F$10+INDEX(JuniorzyPozytyw[],MATCH($A84,Juniorstwo!$A$57:$A$76,0),MATCH($B$11,Juniorstwo!$A$56:$N$56,0))*F$11+INDEX(JuniorzyPozytyw[],MATCH($A84,Juniorstwo!$A$57:$A$76,0),MATCH($B$12,Juniorstwo!$A$56:$N$56,0))*F$12+INDEX(JuniorzyPozytyw[],MATCH($A84,Juniorstwo!$A$57:$A$76,0),MATCH($B$13,Juniorstwo!$A$56:$N$56,0))*F$13,"-")</f>
        <v>81.790000000000006</v>
      </c>
      <c r="G84" s="38">
        <f ca="1">IFERROR(INDEX(JuniorzyPozytyw[],MATCH($A84,Juniorstwo!$A$57:$A$76,0),MATCH($B$2,Juniorstwo!$A$56:$N$56,0))*G$2+INDEX(JuniorzyPozytyw[],MATCH($A84,Juniorstwo!$A$57:$A$76,0),MATCH($B$3,Juniorstwo!$A$56:$N$56,0))*G$3+INDEX(JuniorzyPozytyw[],MATCH($A84,Juniorstwo!$A$57:$A$76,0),MATCH($B$4,Juniorstwo!$A$56:$N$56,0))*G$4+INDEX(JuniorzyPozytyw[],MATCH($A84,Juniorstwo!$A$57:$A$76,0),MATCH($B$5,Juniorstwo!$A$56:$N$56,0))*G$5+INDEX(JuniorzyPozytyw[],MATCH($A84,Juniorstwo!$A$57:$A$76,0),MATCH($B$6,Juniorstwo!$A$56:$N$56,0))*G$6+INDEX(JuniorzyPozytyw[],MATCH($A84,Juniorstwo!$A$57:$A$76,0),MATCH($B$7,Juniorstwo!$A$56:$N$56,0))*G$7+INDEX(JuniorzyPozytyw[],MATCH($A84,Juniorstwo!$A$57:$A$76,0),MATCH($B$8,Juniorstwo!$A$56:$N$56,0))*G$8+INDEX(JuniorzyPozytyw[],MATCH($A84,Juniorstwo!$A$57:$A$76,0),MATCH($B$9,Juniorstwo!$A$56:$N$56,0))*G$9+INDEX(JuniorzyPozytyw[],MATCH($A84,Juniorstwo!$A$57:$A$76,0),MATCH($B$10,Juniorstwo!$A$56:$N$56,0))*G$10+INDEX(JuniorzyPozytyw[],MATCH($A84,Juniorstwo!$A$57:$A$76,0),MATCH($B$11,Juniorstwo!$A$56:$N$56,0))*G$11+INDEX(JuniorzyPozytyw[],MATCH($A84,Juniorstwo!$A$57:$A$76,0),MATCH($B$12,Juniorstwo!$A$56:$N$56,0))*G$12+INDEX(JuniorzyPozytyw[],MATCH($A84,Juniorstwo!$A$57:$A$76,0),MATCH($B$13,Juniorstwo!$A$56:$N$56,0))*G$13,"-")</f>
        <v>81.790000000000006</v>
      </c>
      <c r="H84" s="38">
        <f ca="1">IFERROR(INDEX(JuniorzyPozytyw[],MATCH($A84,Juniorstwo!$A$57:$A$76,0),MATCH($B$2,Juniorstwo!$A$56:$N$56,0))*H$2+INDEX(JuniorzyPozytyw[],MATCH($A84,Juniorstwo!$A$57:$A$76,0),MATCH($B$3,Juniorstwo!$A$56:$N$56,0))*H$3+INDEX(JuniorzyPozytyw[],MATCH($A84,Juniorstwo!$A$57:$A$76,0),MATCH($B$4,Juniorstwo!$A$56:$N$56,0))*H$4+INDEX(JuniorzyPozytyw[],MATCH($A84,Juniorstwo!$A$57:$A$76,0),MATCH($B$5,Juniorstwo!$A$56:$N$56,0))*H$5+INDEX(JuniorzyPozytyw[],MATCH($A84,Juniorstwo!$A$57:$A$76,0),MATCH($B$6,Juniorstwo!$A$56:$N$56,0))*H$6+INDEX(JuniorzyPozytyw[],MATCH($A84,Juniorstwo!$A$57:$A$76,0),MATCH($B$7,Juniorstwo!$A$56:$N$56,0))*H$7+INDEX(JuniorzyPozytyw[],MATCH($A84,Juniorstwo!$A$57:$A$76,0),MATCH($B$8,Juniorstwo!$A$56:$N$56,0))*H$8+INDEX(JuniorzyPozytyw[],MATCH($A84,Juniorstwo!$A$57:$A$76,0),MATCH($B$9,Juniorstwo!$A$56:$N$56,0))*H$9+INDEX(JuniorzyPozytyw[],MATCH($A84,Juniorstwo!$A$57:$A$76,0),MATCH($B$10,Juniorstwo!$A$56:$N$56,0))*H$10+INDEX(JuniorzyPozytyw[],MATCH($A84,Juniorstwo!$A$57:$A$76,0),MATCH($B$11,Juniorstwo!$A$56:$N$56,0))*H$11+INDEX(JuniorzyPozytyw[],MATCH($A84,Juniorstwo!$A$57:$A$76,0),MATCH($B$12,Juniorstwo!$A$56:$N$56,0))*H$12+INDEX(JuniorzyPozytyw[],MATCH($A84,Juniorstwo!$A$57:$A$76,0),MATCH($B$13,Juniorstwo!$A$56:$N$56,0))*H$13,"-")</f>
        <v>81.290000000000006</v>
      </c>
      <c r="I84" s="38">
        <f ca="1">IFERROR(INDEX(JuniorzyPozytyw[],MATCH($A84,Juniorstwo!$A$57:$A$76,0),MATCH($B$2,Juniorstwo!$A$56:$N$56,0))*I$2+INDEX(JuniorzyPozytyw[],MATCH($A84,Juniorstwo!$A$57:$A$76,0),MATCH($B$3,Juniorstwo!$A$56:$N$56,0))*I$3+INDEX(JuniorzyPozytyw[],MATCH($A84,Juniorstwo!$A$57:$A$76,0),MATCH($B$4,Juniorstwo!$A$56:$N$56,0))*I$4+INDEX(JuniorzyPozytyw[],MATCH($A84,Juniorstwo!$A$57:$A$76,0),MATCH($B$5,Juniorstwo!$A$56:$N$56,0))*I$5+INDEX(JuniorzyPozytyw[],MATCH($A84,Juniorstwo!$A$57:$A$76,0),MATCH($B$6,Juniorstwo!$A$56:$N$56,0))*I$6+INDEX(JuniorzyPozytyw[],MATCH($A84,Juniorstwo!$A$57:$A$76,0),MATCH($B$7,Juniorstwo!$A$56:$N$56,0))*I$7+INDEX(JuniorzyPozytyw[],MATCH($A84,Juniorstwo!$A$57:$A$76,0),MATCH($B$8,Juniorstwo!$A$56:$N$56,0))*I$8+INDEX(JuniorzyPozytyw[],MATCH($A84,Juniorstwo!$A$57:$A$76,0),MATCH($B$9,Juniorstwo!$A$56:$N$56,0))*I$9+INDEX(JuniorzyPozytyw[],MATCH($A84,Juniorstwo!$A$57:$A$76,0),MATCH($B$10,Juniorstwo!$A$56:$N$56,0))*I$10+INDEX(JuniorzyPozytyw[],MATCH($A84,Juniorstwo!$A$57:$A$76,0),MATCH($B$11,Juniorstwo!$A$56:$N$56,0))*I$11+INDEX(JuniorzyPozytyw[],MATCH($A84,Juniorstwo!$A$57:$A$76,0),MATCH($B$12,Juniorstwo!$A$56:$N$56,0))*I$12+INDEX(JuniorzyPozytyw[],MATCH($A84,Juniorstwo!$A$57:$A$76,0),MATCH($B$13,Juniorstwo!$A$56:$N$56,0))*I$13,"-")</f>
        <v>82.415000000000006</v>
      </c>
      <c r="J84" s="38">
        <f ca="1">IFERROR(INDEX(JuniorzyPozytyw[],MATCH($A84,Juniorstwo!$A$57:$A$76,0),MATCH($B$2,Juniorstwo!$A$56:$N$56,0))*J$2+INDEX(JuniorzyPozytyw[],MATCH($A84,Juniorstwo!$A$57:$A$76,0),MATCH($B$3,Juniorstwo!$A$56:$N$56,0))*J$3+INDEX(JuniorzyPozytyw[],MATCH($A84,Juniorstwo!$A$57:$A$76,0),MATCH($B$4,Juniorstwo!$A$56:$N$56,0))*J$4+INDEX(JuniorzyPozytyw[],MATCH($A84,Juniorstwo!$A$57:$A$76,0),MATCH($B$5,Juniorstwo!$A$56:$N$56,0))*J$5+INDEX(JuniorzyPozytyw[],MATCH($A84,Juniorstwo!$A$57:$A$76,0),MATCH($B$6,Juniorstwo!$A$56:$N$56,0))*J$6+INDEX(JuniorzyPozytyw[],MATCH($A84,Juniorstwo!$A$57:$A$76,0),MATCH($B$7,Juniorstwo!$A$56:$N$56,0))*J$7+INDEX(JuniorzyPozytyw[],MATCH($A84,Juniorstwo!$A$57:$A$76,0),MATCH($B$8,Juniorstwo!$A$56:$N$56,0))*J$8+INDEX(JuniorzyPozytyw[],MATCH($A84,Juniorstwo!$A$57:$A$76,0),MATCH($B$9,Juniorstwo!$A$56:$N$56,0))*J$9+INDEX(JuniorzyPozytyw[],MATCH($A84,Juniorstwo!$A$57:$A$76,0),MATCH($B$10,Juniorstwo!$A$56:$N$56,0))*J$10+INDEX(JuniorzyPozytyw[],MATCH($A84,Juniorstwo!$A$57:$A$76,0),MATCH($B$11,Juniorstwo!$A$56:$N$56,0))*J$11+INDEX(JuniorzyPozytyw[],MATCH($A84,Juniorstwo!$A$57:$A$76,0),MATCH($B$12,Juniorstwo!$A$56:$N$56,0))*J$12+INDEX(JuniorzyPozytyw[],MATCH($A84,Juniorstwo!$A$57:$A$76,0),MATCH($B$13,Juniorstwo!$A$56:$N$56,0))*J$13,"-")</f>
        <v>80.540000000000006</v>
      </c>
      <c r="K84" s="38">
        <f ca="1">IFERROR(INDEX(JuniorzyPozytyw[],MATCH($A84,Juniorstwo!$A$57:$A$76,0),MATCH($B$2,Juniorstwo!$A$56:$N$56,0))*K$2+INDEX(JuniorzyPozytyw[],MATCH($A84,Juniorstwo!$A$57:$A$76,0),MATCH($B$3,Juniorstwo!$A$56:$N$56,0))*K$3+INDEX(JuniorzyPozytyw[],MATCH($A84,Juniorstwo!$A$57:$A$76,0),MATCH($B$4,Juniorstwo!$A$56:$N$56,0))*K$4+INDEX(JuniorzyPozytyw[],MATCH($A84,Juniorstwo!$A$57:$A$76,0),MATCH($B$5,Juniorstwo!$A$56:$N$56,0))*K$5+INDEX(JuniorzyPozytyw[],MATCH($A84,Juniorstwo!$A$57:$A$76,0),MATCH($B$6,Juniorstwo!$A$56:$N$56,0))*K$6+INDEX(JuniorzyPozytyw[],MATCH($A84,Juniorstwo!$A$57:$A$76,0),MATCH($B$7,Juniorstwo!$A$56:$N$56,0))*K$7+INDEX(JuniorzyPozytyw[],MATCH($A84,Juniorstwo!$A$57:$A$76,0),MATCH($B$8,Juniorstwo!$A$56:$N$56,0))*K$8+INDEX(JuniorzyPozytyw[],MATCH($A84,Juniorstwo!$A$57:$A$76,0),MATCH($B$9,Juniorstwo!$A$56:$N$56,0))*K$9+INDEX(JuniorzyPozytyw[],MATCH($A84,Juniorstwo!$A$57:$A$76,0),MATCH($B$10,Juniorstwo!$A$56:$N$56,0))*K$10+INDEX(JuniorzyPozytyw[],MATCH($A84,Juniorstwo!$A$57:$A$76,0),MATCH($B$11,Juniorstwo!$A$56:$N$56,0))*K$11+INDEX(JuniorzyPozytyw[],MATCH($A84,Juniorstwo!$A$57:$A$76,0),MATCH($B$12,Juniorstwo!$A$56:$N$56,0))*K$12+INDEX(JuniorzyPozytyw[],MATCH($A84,Juniorstwo!$A$57:$A$76,0),MATCH($B$13,Juniorstwo!$A$56:$N$56,0))*K$13,"-")</f>
        <v>81.665000000000006</v>
      </c>
    </row>
    <row r="85" spans="1:11" x14ac:dyDescent="0.25">
      <c r="A85" s="97">
        <v>17</v>
      </c>
      <c r="B85" s="3" t="str">
        <f>IFERROR(VLOOKUP(PozJunPŚr[[#This Row],[Numer]],Zawodnicy[[Number]:[Player name]],2,FALSE),"-")</f>
        <v>Hieronim Wejta</v>
      </c>
      <c r="C85" s="38">
        <f ca="1">IFERROR(INDEX(JuniorzyPozytyw[],MATCH($A85,Juniorstwo!$A$57:$A$76,0),MATCH($B$2,Juniorstwo!$A$56:$N$56,0))*C$2+INDEX(JuniorzyPozytyw[],MATCH($A85,Juniorstwo!$A$57:$A$76,0),MATCH($B$3,Juniorstwo!$A$56:$N$56,0))*C$3+INDEX(JuniorzyPozytyw[],MATCH($A85,Juniorstwo!$A$57:$A$76,0),MATCH($B$4,Juniorstwo!$A$56:$N$56,0))*C$4+INDEX(JuniorzyPozytyw[],MATCH($A85,Juniorstwo!$A$57:$A$76,0),MATCH($B$5,Juniorstwo!$A$56:$N$56,0))*C$5+INDEX(JuniorzyPozytyw[],MATCH($A85,Juniorstwo!$A$57:$A$76,0),MATCH($B$6,Juniorstwo!$A$56:$N$56,0))*C$6+INDEX(JuniorzyPozytyw[],MATCH($A85,Juniorstwo!$A$57:$A$76,0),MATCH($B$7,Juniorstwo!$A$56:$N$56,0))*C$7+INDEX(JuniorzyPozytyw[],MATCH($A85,Juniorstwo!$A$57:$A$76,0),MATCH($B$8,Juniorstwo!$A$56:$N$56,0))*C$8+INDEX(JuniorzyPozytyw[],MATCH($A85,Juniorstwo!$A$57:$A$76,0),MATCH($B$9,Juniorstwo!$A$56:$N$56,0))*C$9+INDEX(JuniorzyPozytyw[],MATCH($A85,Juniorstwo!$A$57:$A$76,0),MATCH($B$10,Juniorstwo!$A$56:$N$56,0))*C$10+INDEX(JuniorzyPozytyw[],MATCH($A85,Juniorstwo!$A$57:$A$76,0),MATCH($B$11,Juniorstwo!$A$56:$N$56,0))*C$11+INDEX(JuniorzyPozytyw[],MATCH($A85,Juniorstwo!$A$57:$A$76,0),MATCH($B$12,Juniorstwo!$A$56:$N$56,0))*C$12+INDEX(JuniorzyPozytyw[],MATCH($A85,Juniorstwo!$A$57:$A$76,0),MATCH($B$13,Juniorstwo!$A$56:$N$56,0))*C$13,"-")</f>
        <v>74.295000000000002</v>
      </c>
      <c r="D85" s="38">
        <f ca="1">IFERROR(INDEX(JuniorzyPozytyw[],MATCH($A85,Juniorstwo!$A$57:$A$76,0),MATCH($B$2,Juniorstwo!$A$56:$N$56,0))*D$2+INDEX(JuniorzyPozytyw[],MATCH($A85,Juniorstwo!$A$57:$A$76,0),MATCH($B$3,Juniorstwo!$A$56:$N$56,0))*D$3+INDEX(JuniorzyPozytyw[],MATCH($A85,Juniorstwo!$A$57:$A$76,0),MATCH($B$4,Juniorstwo!$A$56:$N$56,0))*D$4+INDEX(JuniorzyPozytyw[],MATCH($A85,Juniorstwo!$A$57:$A$76,0),MATCH($B$5,Juniorstwo!$A$56:$N$56,0))*D$5+INDEX(JuniorzyPozytyw[],MATCH($A85,Juniorstwo!$A$57:$A$76,0),MATCH($B$6,Juniorstwo!$A$56:$N$56,0))*D$6+INDEX(JuniorzyPozytyw[],MATCH($A85,Juniorstwo!$A$57:$A$76,0),MATCH($B$7,Juniorstwo!$A$56:$N$56,0))*D$7+INDEX(JuniorzyPozytyw[],MATCH($A85,Juniorstwo!$A$57:$A$76,0),MATCH($B$8,Juniorstwo!$A$56:$N$56,0))*D$8+INDEX(JuniorzyPozytyw[],MATCH($A85,Juniorstwo!$A$57:$A$76,0),MATCH($B$9,Juniorstwo!$A$56:$N$56,0))*D$9+INDEX(JuniorzyPozytyw[],MATCH($A85,Juniorstwo!$A$57:$A$76,0),MATCH($B$10,Juniorstwo!$A$56:$N$56,0))*D$10+INDEX(JuniorzyPozytyw[],MATCH($A85,Juniorstwo!$A$57:$A$76,0),MATCH($B$11,Juniorstwo!$A$56:$N$56,0))*D$11+INDEX(JuniorzyPozytyw[],MATCH($A85,Juniorstwo!$A$57:$A$76,0),MATCH($B$12,Juniorstwo!$A$56:$N$56,0))*D$12+INDEX(JuniorzyPozytyw[],MATCH($A85,Juniorstwo!$A$57:$A$76,0),MATCH($B$13,Juniorstwo!$A$56:$N$56,0))*D$13,"-")</f>
        <v>89.17</v>
      </c>
      <c r="E85" s="38">
        <f ca="1">IFERROR(INDEX(JuniorzyPozytyw[],MATCH($A85,Juniorstwo!$A$57:$A$76,0),MATCH($B$2,Juniorstwo!$A$56:$N$56,0))*E$2+INDEX(JuniorzyPozytyw[],MATCH($A85,Juniorstwo!$A$57:$A$76,0),MATCH($B$3,Juniorstwo!$A$56:$N$56,0))*E$3+INDEX(JuniorzyPozytyw[],MATCH($A85,Juniorstwo!$A$57:$A$76,0),MATCH($B$4,Juniorstwo!$A$56:$N$56,0))*E$4+INDEX(JuniorzyPozytyw[],MATCH($A85,Juniorstwo!$A$57:$A$76,0),MATCH($B$5,Juniorstwo!$A$56:$N$56,0))*E$5+INDEX(JuniorzyPozytyw[],MATCH($A85,Juniorstwo!$A$57:$A$76,0),MATCH($B$6,Juniorstwo!$A$56:$N$56,0))*E$6+INDEX(JuniorzyPozytyw[],MATCH($A85,Juniorstwo!$A$57:$A$76,0),MATCH($B$7,Juniorstwo!$A$56:$N$56,0))*E$7+INDEX(JuniorzyPozytyw[],MATCH($A85,Juniorstwo!$A$57:$A$76,0),MATCH($B$8,Juniorstwo!$A$56:$N$56,0))*E$8+INDEX(JuniorzyPozytyw[],MATCH($A85,Juniorstwo!$A$57:$A$76,0),MATCH($B$9,Juniorstwo!$A$56:$N$56,0))*E$9+INDEX(JuniorzyPozytyw[],MATCH($A85,Juniorstwo!$A$57:$A$76,0),MATCH($B$10,Juniorstwo!$A$56:$N$56,0))*E$10+INDEX(JuniorzyPozytyw[],MATCH($A85,Juniorstwo!$A$57:$A$76,0),MATCH($B$11,Juniorstwo!$A$56:$N$56,0))*E$11+INDEX(JuniorzyPozytyw[],MATCH($A85,Juniorstwo!$A$57:$A$76,0),MATCH($B$12,Juniorstwo!$A$56:$N$56,0))*E$12+INDEX(JuniorzyPozytyw[],MATCH($A85,Juniorstwo!$A$57:$A$76,0),MATCH($B$13,Juniorstwo!$A$56:$N$56,0))*E$13,"-")</f>
        <v>87.42</v>
      </c>
      <c r="F85" s="38">
        <f ca="1">IFERROR(INDEX(JuniorzyPozytyw[],MATCH($A85,Juniorstwo!$A$57:$A$76,0),MATCH($B$2,Juniorstwo!$A$56:$N$56,0))*F$2+INDEX(JuniorzyPozytyw[],MATCH($A85,Juniorstwo!$A$57:$A$76,0),MATCH($B$3,Juniorstwo!$A$56:$N$56,0))*F$3+INDEX(JuniorzyPozytyw[],MATCH($A85,Juniorstwo!$A$57:$A$76,0),MATCH($B$4,Juniorstwo!$A$56:$N$56,0))*F$4+INDEX(JuniorzyPozytyw[],MATCH($A85,Juniorstwo!$A$57:$A$76,0),MATCH($B$5,Juniorstwo!$A$56:$N$56,0))*F$5+INDEX(JuniorzyPozytyw[],MATCH($A85,Juniorstwo!$A$57:$A$76,0),MATCH($B$6,Juniorstwo!$A$56:$N$56,0))*F$6+INDEX(JuniorzyPozytyw[],MATCH($A85,Juniorstwo!$A$57:$A$76,0),MATCH($B$7,Juniorstwo!$A$56:$N$56,0))*F$7+INDEX(JuniorzyPozytyw[],MATCH($A85,Juniorstwo!$A$57:$A$76,0),MATCH($B$8,Juniorstwo!$A$56:$N$56,0))*F$8+INDEX(JuniorzyPozytyw[],MATCH($A85,Juniorstwo!$A$57:$A$76,0),MATCH($B$9,Juniorstwo!$A$56:$N$56,0))*F$9+INDEX(JuniorzyPozytyw[],MATCH($A85,Juniorstwo!$A$57:$A$76,0),MATCH($B$10,Juniorstwo!$A$56:$N$56,0))*F$10+INDEX(JuniorzyPozytyw[],MATCH($A85,Juniorstwo!$A$57:$A$76,0),MATCH($B$11,Juniorstwo!$A$56:$N$56,0))*F$11+INDEX(JuniorzyPozytyw[],MATCH($A85,Juniorstwo!$A$57:$A$76,0),MATCH($B$12,Juniorstwo!$A$56:$N$56,0))*F$12+INDEX(JuniorzyPozytyw[],MATCH($A85,Juniorstwo!$A$57:$A$76,0),MATCH($B$13,Juniorstwo!$A$56:$N$56,0))*F$13,"-")</f>
        <v>88.545000000000002</v>
      </c>
      <c r="G85" s="38">
        <f ca="1">IFERROR(INDEX(JuniorzyPozytyw[],MATCH($A85,Juniorstwo!$A$57:$A$76,0),MATCH($B$2,Juniorstwo!$A$56:$N$56,0))*G$2+INDEX(JuniorzyPozytyw[],MATCH($A85,Juniorstwo!$A$57:$A$76,0),MATCH($B$3,Juniorstwo!$A$56:$N$56,0))*G$3+INDEX(JuniorzyPozytyw[],MATCH($A85,Juniorstwo!$A$57:$A$76,0),MATCH($B$4,Juniorstwo!$A$56:$N$56,0))*G$4+INDEX(JuniorzyPozytyw[],MATCH($A85,Juniorstwo!$A$57:$A$76,0),MATCH($B$5,Juniorstwo!$A$56:$N$56,0))*G$5+INDEX(JuniorzyPozytyw[],MATCH($A85,Juniorstwo!$A$57:$A$76,0),MATCH($B$6,Juniorstwo!$A$56:$N$56,0))*G$6+INDEX(JuniorzyPozytyw[],MATCH($A85,Juniorstwo!$A$57:$A$76,0),MATCH($B$7,Juniorstwo!$A$56:$N$56,0))*G$7+INDEX(JuniorzyPozytyw[],MATCH($A85,Juniorstwo!$A$57:$A$76,0),MATCH($B$8,Juniorstwo!$A$56:$N$56,0))*G$8+INDEX(JuniorzyPozytyw[],MATCH($A85,Juniorstwo!$A$57:$A$76,0),MATCH($B$9,Juniorstwo!$A$56:$N$56,0))*G$9+INDEX(JuniorzyPozytyw[],MATCH($A85,Juniorstwo!$A$57:$A$76,0),MATCH($B$10,Juniorstwo!$A$56:$N$56,0))*G$10+INDEX(JuniorzyPozytyw[],MATCH($A85,Juniorstwo!$A$57:$A$76,0),MATCH($B$11,Juniorstwo!$A$56:$N$56,0))*G$11+INDEX(JuniorzyPozytyw[],MATCH($A85,Juniorstwo!$A$57:$A$76,0),MATCH($B$12,Juniorstwo!$A$56:$N$56,0))*G$12+INDEX(JuniorzyPozytyw[],MATCH($A85,Juniorstwo!$A$57:$A$76,0),MATCH($B$13,Juniorstwo!$A$56:$N$56,0))*G$13,"-")</f>
        <v>88.295000000000002</v>
      </c>
      <c r="H85" s="38">
        <f ca="1">IFERROR(INDEX(JuniorzyPozytyw[],MATCH($A85,Juniorstwo!$A$57:$A$76,0),MATCH($B$2,Juniorstwo!$A$56:$N$56,0))*H$2+INDEX(JuniorzyPozytyw[],MATCH($A85,Juniorstwo!$A$57:$A$76,0),MATCH($B$3,Juniorstwo!$A$56:$N$56,0))*H$3+INDEX(JuniorzyPozytyw[],MATCH($A85,Juniorstwo!$A$57:$A$76,0),MATCH($B$4,Juniorstwo!$A$56:$N$56,0))*H$4+INDEX(JuniorzyPozytyw[],MATCH($A85,Juniorstwo!$A$57:$A$76,0),MATCH($B$5,Juniorstwo!$A$56:$N$56,0))*H$5+INDEX(JuniorzyPozytyw[],MATCH($A85,Juniorstwo!$A$57:$A$76,0),MATCH($B$6,Juniorstwo!$A$56:$N$56,0))*H$6+INDEX(JuniorzyPozytyw[],MATCH($A85,Juniorstwo!$A$57:$A$76,0),MATCH($B$7,Juniorstwo!$A$56:$N$56,0))*H$7+INDEX(JuniorzyPozytyw[],MATCH($A85,Juniorstwo!$A$57:$A$76,0),MATCH($B$8,Juniorstwo!$A$56:$N$56,0))*H$8+INDEX(JuniorzyPozytyw[],MATCH($A85,Juniorstwo!$A$57:$A$76,0),MATCH($B$9,Juniorstwo!$A$56:$N$56,0))*H$9+INDEX(JuniorzyPozytyw[],MATCH($A85,Juniorstwo!$A$57:$A$76,0),MATCH($B$10,Juniorstwo!$A$56:$N$56,0))*H$10+INDEX(JuniorzyPozytyw[],MATCH($A85,Juniorstwo!$A$57:$A$76,0),MATCH($B$11,Juniorstwo!$A$56:$N$56,0))*H$11+INDEX(JuniorzyPozytyw[],MATCH($A85,Juniorstwo!$A$57:$A$76,0),MATCH($B$12,Juniorstwo!$A$56:$N$56,0))*H$12+INDEX(JuniorzyPozytyw[],MATCH($A85,Juniorstwo!$A$57:$A$76,0),MATCH($B$13,Juniorstwo!$A$56:$N$56,0))*H$13,"-")</f>
        <v>86.42</v>
      </c>
      <c r="I85" s="38">
        <f ca="1">IFERROR(INDEX(JuniorzyPozytyw[],MATCH($A85,Juniorstwo!$A$57:$A$76,0),MATCH($B$2,Juniorstwo!$A$56:$N$56,0))*I$2+INDEX(JuniorzyPozytyw[],MATCH($A85,Juniorstwo!$A$57:$A$76,0),MATCH($B$3,Juniorstwo!$A$56:$N$56,0))*I$3+INDEX(JuniorzyPozytyw[],MATCH($A85,Juniorstwo!$A$57:$A$76,0),MATCH($B$4,Juniorstwo!$A$56:$N$56,0))*I$4+INDEX(JuniorzyPozytyw[],MATCH($A85,Juniorstwo!$A$57:$A$76,0),MATCH($B$5,Juniorstwo!$A$56:$N$56,0))*I$5+INDEX(JuniorzyPozytyw[],MATCH($A85,Juniorstwo!$A$57:$A$76,0),MATCH($B$6,Juniorstwo!$A$56:$N$56,0))*I$6+INDEX(JuniorzyPozytyw[],MATCH($A85,Juniorstwo!$A$57:$A$76,0),MATCH($B$7,Juniorstwo!$A$56:$N$56,0))*I$7+INDEX(JuniorzyPozytyw[],MATCH($A85,Juniorstwo!$A$57:$A$76,0),MATCH($B$8,Juniorstwo!$A$56:$N$56,0))*I$8+INDEX(JuniorzyPozytyw[],MATCH($A85,Juniorstwo!$A$57:$A$76,0),MATCH($B$9,Juniorstwo!$A$56:$N$56,0))*I$9+INDEX(JuniorzyPozytyw[],MATCH($A85,Juniorstwo!$A$57:$A$76,0),MATCH($B$10,Juniorstwo!$A$56:$N$56,0))*I$10+INDEX(JuniorzyPozytyw[],MATCH($A85,Juniorstwo!$A$57:$A$76,0),MATCH($B$11,Juniorstwo!$A$56:$N$56,0))*I$11+INDEX(JuniorzyPozytyw[],MATCH($A85,Juniorstwo!$A$57:$A$76,0),MATCH($B$12,Juniorstwo!$A$56:$N$56,0))*I$12+INDEX(JuniorzyPozytyw[],MATCH($A85,Juniorstwo!$A$57:$A$76,0),MATCH($B$13,Juniorstwo!$A$56:$N$56,0))*I$13,"-")</f>
        <v>86.545000000000002</v>
      </c>
      <c r="J85" s="38">
        <f ca="1">IFERROR(INDEX(JuniorzyPozytyw[],MATCH($A85,Juniorstwo!$A$57:$A$76,0),MATCH($B$2,Juniorstwo!$A$56:$N$56,0))*J$2+INDEX(JuniorzyPozytyw[],MATCH($A85,Juniorstwo!$A$57:$A$76,0),MATCH($B$3,Juniorstwo!$A$56:$N$56,0))*J$3+INDEX(JuniorzyPozytyw[],MATCH($A85,Juniorstwo!$A$57:$A$76,0),MATCH($B$4,Juniorstwo!$A$56:$N$56,0))*J$4+INDEX(JuniorzyPozytyw[],MATCH($A85,Juniorstwo!$A$57:$A$76,0),MATCH($B$5,Juniorstwo!$A$56:$N$56,0))*J$5+INDEX(JuniorzyPozytyw[],MATCH($A85,Juniorstwo!$A$57:$A$76,0),MATCH($B$6,Juniorstwo!$A$56:$N$56,0))*J$6+INDEX(JuniorzyPozytyw[],MATCH($A85,Juniorstwo!$A$57:$A$76,0),MATCH($B$7,Juniorstwo!$A$56:$N$56,0))*J$7+INDEX(JuniorzyPozytyw[],MATCH($A85,Juniorstwo!$A$57:$A$76,0),MATCH($B$8,Juniorstwo!$A$56:$N$56,0))*J$8+INDEX(JuniorzyPozytyw[],MATCH($A85,Juniorstwo!$A$57:$A$76,0),MATCH($B$9,Juniorstwo!$A$56:$N$56,0))*J$9+INDEX(JuniorzyPozytyw[],MATCH($A85,Juniorstwo!$A$57:$A$76,0),MATCH($B$10,Juniorstwo!$A$56:$N$56,0))*J$10+INDEX(JuniorzyPozytyw[],MATCH($A85,Juniorstwo!$A$57:$A$76,0),MATCH($B$11,Juniorstwo!$A$56:$N$56,0))*J$11+INDEX(JuniorzyPozytyw[],MATCH($A85,Juniorstwo!$A$57:$A$76,0),MATCH($B$12,Juniorstwo!$A$56:$N$56,0))*J$12+INDEX(JuniorzyPozytyw[],MATCH($A85,Juniorstwo!$A$57:$A$76,0),MATCH($B$13,Juniorstwo!$A$56:$N$56,0))*J$13,"-")</f>
        <v>86.045000000000002</v>
      </c>
      <c r="K85" s="38">
        <f ca="1">IFERROR(INDEX(JuniorzyPozytyw[],MATCH($A85,Juniorstwo!$A$57:$A$76,0),MATCH($B$2,Juniorstwo!$A$56:$N$56,0))*K$2+INDEX(JuniorzyPozytyw[],MATCH($A85,Juniorstwo!$A$57:$A$76,0),MATCH($B$3,Juniorstwo!$A$56:$N$56,0))*K$3+INDEX(JuniorzyPozytyw[],MATCH($A85,Juniorstwo!$A$57:$A$76,0),MATCH($B$4,Juniorstwo!$A$56:$N$56,0))*K$4+INDEX(JuniorzyPozytyw[],MATCH($A85,Juniorstwo!$A$57:$A$76,0),MATCH($B$5,Juniorstwo!$A$56:$N$56,0))*K$5+INDEX(JuniorzyPozytyw[],MATCH($A85,Juniorstwo!$A$57:$A$76,0),MATCH($B$6,Juniorstwo!$A$56:$N$56,0))*K$6+INDEX(JuniorzyPozytyw[],MATCH($A85,Juniorstwo!$A$57:$A$76,0),MATCH($B$7,Juniorstwo!$A$56:$N$56,0))*K$7+INDEX(JuniorzyPozytyw[],MATCH($A85,Juniorstwo!$A$57:$A$76,0),MATCH($B$8,Juniorstwo!$A$56:$N$56,0))*K$8+INDEX(JuniorzyPozytyw[],MATCH($A85,Juniorstwo!$A$57:$A$76,0),MATCH($B$9,Juniorstwo!$A$56:$N$56,0))*K$9+INDEX(JuniorzyPozytyw[],MATCH($A85,Juniorstwo!$A$57:$A$76,0),MATCH($B$10,Juniorstwo!$A$56:$N$56,0))*K$10+INDEX(JuniorzyPozytyw[],MATCH($A85,Juniorstwo!$A$57:$A$76,0),MATCH($B$11,Juniorstwo!$A$56:$N$56,0))*K$11+INDEX(JuniorzyPozytyw[],MATCH($A85,Juniorstwo!$A$57:$A$76,0),MATCH($B$12,Juniorstwo!$A$56:$N$56,0))*K$12+INDEX(JuniorzyPozytyw[],MATCH($A85,Juniorstwo!$A$57:$A$76,0),MATCH($B$13,Juniorstwo!$A$56:$N$56,0))*K$13,"-")</f>
        <v>84.92</v>
      </c>
    </row>
    <row r="86" spans="1:11" x14ac:dyDescent="0.25">
      <c r="A86" s="84"/>
      <c r="B86" s="3" t="str">
        <f>IFERROR(VLOOKUP(PozJunPŚr[[#This Row],[Numer]],Zawodnicy[[Number]:[Player name]],2,FALSE),"-")</f>
        <v>-</v>
      </c>
      <c r="C86" s="38" t="str">
        <f>IFERROR(INDEX(JuniorzyPozytyw[],MATCH($A86,Juniorstwo!$A$57:$A$76,0),MATCH($B$2,Juniorstwo!$A$56:$N$56,0))*C$2+INDEX(JuniorzyPozytyw[],MATCH($A86,Juniorstwo!$A$57:$A$76,0),MATCH($B$3,Juniorstwo!$A$56:$N$56,0))*C$3+INDEX(JuniorzyPozytyw[],MATCH($A86,Juniorstwo!$A$57:$A$76,0),MATCH($B$4,Juniorstwo!$A$56:$N$56,0))*C$4+INDEX(JuniorzyPozytyw[],MATCH($A86,Juniorstwo!$A$57:$A$76,0),MATCH($B$5,Juniorstwo!$A$56:$N$56,0))*C$5+INDEX(JuniorzyPozytyw[],MATCH($A86,Juniorstwo!$A$57:$A$76,0),MATCH($B$6,Juniorstwo!$A$56:$N$56,0))*C$6+INDEX(JuniorzyPozytyw[],MATCH($A86,Juniorstwo!$A$57:$A$76,0),MATCH($B$7,Juniorstwo!$A$56:$N$56,0))*C$7+INDEX(JuniorzyPozytyw[],MATCH($A86,Juniorstwo!$A$57:$A$76,0),MATCH($B$8,Juniorstwo!$A$56:$N$56,0))*C$8+INDEX(JuniorzyPozytyw[],MATCH($A86,Juniorstwo!$A$57:$A$76,0),MATCH($B$9,Juniorstwo!$A$56:$N$56,0))*C$9+INDEX(JuniorzyPozytyw[],MATCH($A86,Juniorstwo!$A$57:$A$76,0),MATCH($B$10,Juniorstwo!$A$56:$N$56,0))*C$10+INDEX(JuniorzyPozytyw[],MATCH($A86,Juniorstwo!$A$57:$A$76,0),MATCH($B$11,Juniorstwo!$A$56:$N$56,0))*C$11+INDEX(JuniorzyPozytyw[],MATCH($A86,Juniorstwo!$A$57:$A$76,0),MATCH($B$12,Juniorstwo!$A$56:$N$56,0))*C$12+INDEX(JuniorzyPozytyw[],MATCH($A86,Juniorstwo!$A$57:$A$76,0),MATCH($B$13,Juniorstwo!$A$56:$N$56,0))*C$13,"-")</f>
        <v>-</v>
      </c>
      <c r="D86" s="38" t="str">
        <f>IFERROR(INDEX(JuniorzyPozytyw[],MATCH($A86,Juniorstwo!$A$57:$A$76,0),MATCH($B$2,Juniorstwo!$A$56:$N$56,0))*D$2+INDEX(JuniorzyPozytyw[],MATCH($A86,Juniorstwo!$A$57:$A$76,0),MATCH($B$3,Juniorstwo!$A$56:$N$56,0))*D$3+INDEX(JuniorzyPozytyw[],MATCH($A86,Juniorstwo!$A$57:$A$76,0),MATCH($B$4,Juniorstwo!$A$56:$N$56,0))*D$4+INDEX(JuniorzyPozytyw[],MATCH($A86,Juniorstwo!$A$57:$A$76,0),MATCH($B$5,Juniorstwo!$A$56:$N$56,0))*D$5+INDEX(JuniorzyPozytyw[],MATCH($A86,Juniorstwo!$A$57:$A$76,0),MATCH($B$6,Juniorstwo!$A$56:$N$56,0))*D$6+INDEX(JuniorzyPozytyw[],MATCH($A86,Juniorstwo!$A$57:$A$76,0),MATCH($B$7,Juniorstwo!$A$56:$N$56,0))*D$7+INDEX(JuniorzyPozytyw[],MATCH($A86,Juniorstwo!$A$57:$A$76,0),MATCH($B$8,Juniorstwo!$A$56:$N$56,0))*D$8+INDEX(JuniorzyPozytyw[],MATCH($A86,Juniorstwo!$A$57:$A$76,0),MATCH($B$9,Juniorstwo!$A$56:$N$56,0))*D$9+INDEX(JuniorzyPozytyw[],MATCH($A86,Juniorstwo!$A$57:$A$76,0),MATCH($B$10,Juniorstwo!$A$56:$N$56,0))*D$10+INDEX(JuniorzyPozytyw[],MATCH($A86,Juniorstwo!$A$57:$A$76,0),MATCH($B$11,Juniorstwo!$A$56:$N$56,0))*D$11+INDEX(JuniorzyPozytyw[],MATCH($A86,Juniorstwo!$A$57:$A$76,0),MATCH($B$12,Juniorstwo!$A$56:$N$56,0))*D$12+INDEX(JuniorzyPozytyw[],MATCH($A86,Juniorstwo!$A$57:$A$76,0),MATCH($B$13,Juniorstwo!$A$56:$N$56,0))*D$13,"-")</f>
        <v>-</v>
      </c>
      <c r="E86" s="38" t="str">
        <f>IFERROR(INDEX(JuniorzyPozytyw[],MATCH($A86,Juniorstwo!$A$57:$A$76,0),MATCH($B$2,Juniorstwo!$A$56:$N$56,0))*E$2+INDEX(JuniorzyPozytyw[],MATCH($A86,Juniorstwo!$A$57:$A$76,0),MATCH($B$3,Juniorstwo!$A$56:$N$56,0))*E$3+INDEX(JuniorzyPozytyw[],MATCH($A86,Juniorstwo!$A$57:$A$76,0),MATCH($B$4,Juniorstwo!$A$56:$N$56,0))*E$4+INDEX(JuniorzyPozytyw[],MATCH($A86,Juniorstwo!$A$57:$A$76,0),MATCH($B$5,Juniorstwo!$A$56:$N$56,0))*E$5+INDEX(JuniorzyPozytyw[],MATCH($A86,Juniorstwo!$A$57:$A$76,0),MATCH($B$6,Juniorstwo!$A$56:$N$56,0))*E$6+INDEX(JuniorzyPozytyw[],MATCH($A86,Juniorstwo!$A$57:$A$76,0),MATCH($B$7,Juniorstwo!$A$56:$N$56,0))*E$7+INDEX(JuniorzyPozytyw[],MATCH($A86,Juniorstwo!$A$57:$A$76,0),MATCH($B$8,Juniorstwo!$A$56:$N$56,0))*E$8+INDEX(JuniorzyPozytyw[],MATCH($A86,Juniorstwo!$A$57:$A$76,0),MATCH($B$9,Juniorstwo!$A$56:$N$56,0))*E$9+INDEX(JuniorzyPozytyw[],MATCH($A86,Juniorstwo!$A$57:$A$76,0),MATCH($B$10,Juniorstwo!$A$56:$N$56,0))*E$10+INDEX(JuniorzyPozytyw[],MATCH($A86,Juniorstwo!$A$57:$A$76,0),MATCH($B$11,Juniorstwo!$A$56:$N$56,0))*E$11+INDEX(JuniorzyPozytyw[],MATCH($A86,Juniorstwo!$A$57:$A$76,0),MATCH($B$12,Juniorstwo!$A$56:$N$56,0))*E$12+INDEX(JuniorzyPozytyw[],MATCH($A86,Juniorstwo!$A$57:$A$76,0),MATCH($B$13,Juniorstwo!$A$56:$N$56,0))*E$13,"-")</f>
        <v>-</v>
      </c>
      <c r="F86" s="38" t="str">
        <f>IFERROR(INDEX(JuniorzyPozytyw[],MATCH($A86,Juniorstwo!$A$57:$A$76,0),MATCH($B$2,Juniorstwo!$A$56:$N$56,0))*F$2+INDEX(JuniorzyPozytyw[],MATCH($A86,Juniorstwo!$A$57:$A$76,0),MATCH($B$3,Juniorstwo!$A$56:$N$56,0))*F$3+INDEX(JuniorzyPozytyw[],MATCH($A86,Juniorstwo!$A$57:$A$76,0),MATCH($B$4,Juniorstwo!$A$56:$N$56,0))*F$4+INDEX(JuniorzyPozytyw[],MATCH($A86,Juniorstwo!$A$57:$A$76,0),MATCH($B$5,Juniorstwo!$A$56:$N$56,0))*F$5+INDEX(JuniorzyPozytyw[],MATCH($A86,Juniorstwo!$A$57:$A$76,0),MATCH($B$6,Juniorstwo!$A$56:$N$56,0))*F$6+INDEX(JuniorzyPozytyw[],MATCH($A86,Juniorstwo!$A$57:$A$76,0),MATCH($B$7,Juniorstwo!$A$56:$N$56,0))*F$7+INDEX(JuniorzyPozytyw[],MATCH($A86,Juniorstwo!$A$57:$A$76,0),MATCH($B$8,Juniorstwo!$A$56:$N$56,0))*F$8+INDEX(JuniorzyPozytyw[],MATCH($A86,Juniorstwo!$A$57:$A$76,0),MATCH($B$9,Juniorstwo!$A$56:$N$56,0))*F$9+INDEX(JuniorzyPozytyw[],MATCH($A86,Juniorstwo!$A$57:$A$76,0),MATCH($B$10,Juniorstwo!$A$56:$N$56,0))*F$10+INDEX(JuniorzyPozytyw[],MATCH($A86,Juniorstwo!$A$57:$A$76,0),MATCH($B$11,Juniorstwo!$A$56:$N$56,0))*F$11+INDEX(JuniorzyPozytyw[],MATCH($A86,Juniorstwo!$A$57:$A$76,0),MATCH($B$12,Juniorstwo!$A$56:$N$56,0))*F$12+INDEX(JuniorzyPozytyw[],MATCH($A86,Juniorstwo!$A$57:$A$76,0),MATCH($B$13,Juniorstwo!$A$56:$N$56,0))*F$13,"-")</f>
        <v>-</v>
      </c>
      <c r="G86" s="38" t="str">
        <f>IFERROR(INDEX(JuniorzyPozytyw[],MATCH($A86,Juniorstwo!$A$57:$A$76,0),MATCH($B$2,Juniorstwo!$A$56:$N$56,0))*G$2+INDEX(JuniorzyPozytyw[],MATCH($A86,Juniorstwo!$A$57:$A$76,0),MATCH($B$3,Juniorstwo!$A$56:$N$56,0))*G$3+INDEX(JuniorzyPozytyw[],MATCH($A86,Juniorstwo!$A$57:$A$76,0),MATCH($B$4,Juniorstwo!$A$56:$N$56,0))*G$4+INDEX(JuniorzyPozytyw[],MATCH($A86,Juniorstwo!$A$57:$A$76,0),MATCH($B$5,Juniorstwo!$A$56:$N$56,0))*G$5+INDEX(JuniorzyPozytyw[],MATCH($A86,Juniorstwo!$A$57:$A$76,0),MATCH($B$6,Juniorstwo!$A$56:$N$56,0))*G$6+INDEX(JuniorzyPozytyw[],MATCH($A86,Juniorstwo!$A$57:$A$76,0),MATCH($B$7,Juniorstwo!$A$56:$N$56,0))*G$7+INDEX(JuniorzyPozytyw[],MATCH($A86,Juniorstwo!$A$57:$A$76,0),MATCH($B$8,Juniorstwo!$A$56:$N$56,0))*G$8+INDEX(JuniorzyPozytyw[],MATCH($A86,Juniorstwo!$A$57:$A$76,0),MATCH($B$9,Juniorstwo!$A$56:$N$56,0))*G$9+INDEX(JuniorzyPozytyw[],MATCH($A86,Juniorstwo!$A$57:$A$76,0),MATCH($B$10,Juniorstwo!$A$56:$N$56,0))*G$10+INDEX(JuniorzyPozytyw[],MATCH($A86,Juniorstwo!$A$57:$A$76,0),MATCH($B$11,Juniorstwo!$A$56:$N$56,0))*G$11+INDEX(JuniorzyPozytyw[],MATCH($A86,Juniorstwo!$A$57:$A$76,0),MATCH($B$12,Juniorstwo!$A$56:$N$56,0))*G$12+INDEX(JuniorzyPozytyw[],MATCH($A86,Juniorstwo!$A$57:$A$76,0),MATCH($B$13,Juniorstwo!$A$56:$N$56,0))*G$13,"-")</f>
        <v>-</v>
      </c>
      <c r="H86" s="38" t="str">
        <f>IFERROR(INDEX(JuniorzyPozytyw[],MATCH($A86,Juniorstwo!$A$57:$A$76,0),MATCH($B$2,Juniorstwo!$A$56:$N$56,0))*H$2+INDEX(JuniorzyPozytyw[],MATCH($A86,Juniorstwo!$A$57:$A$76,0),MATCH($B$3,Juniorstwo!$A$56:$N$56,0))*H$3+INDEX(JuniorzyPozytyw[],MATCH($A86,Juniorstwo!$A$57:$A$76,0),MATCH($B$4,Juniorstwo!$A$56:$N$56,0))*H$4+INDEX(JuniorzyPozytyw[],MATCH($A86,Juniorstwo!$A$57:$A$76,0),MATCH($B$5,Juniorstwo!$A$56:$N$56,0))*H$5+INDEX(JuniorzyPozytyw[],MATCH($A86,Juniorstwo!$A$57:$A$76,0),MATCH($B$6,Juniorstwo!$A$56:$N$56,0))*H$6+INDEX(JuniorzyPozytyw[],MATCH($A86,Juniorstwo!$A$57:$A$76,0),MATCH($B$7,Juniorstwo!$A$56:$N$56,0))*H$7+INDEX(JuniorzyPozytyw[],MATCH($A86,Juniorstwo!$A$57:$A$76,0),MATCH($B$8,Juniorstwo!$A$56:$N$56,0))*H$8+INDEX(JuniorzyPozytyw[],MATCH($A86,Juniorstwo!$A$57:$A$76,0),MATCH($B$9,Juniorstwo!$A$56:$N$56,0))*H$9+INDEX(JuniorzyPozytyw[],MATCH($A86,Juniorstwo!$A$57:$A$76,0),MATCH($B$10,Juniorstwo!$A$56:$N$56,0))*H$10+INDEX(JuniorzyPozytyw[],MATCH($A86,Juniorstwo!$A$57:$A$76,0),MATCH($B$11,Juniorstwo!$A$56:$N$56,0))*H$11+INDEX(JuniorzyPozytyw[],MATCH($A86,Juniorstwo!$A$57:$A$76,0),MATCH($B$12,Juniorstwo!$A$56:$N$56,0))*H$12+INDEX(JuniorzyPozytyw[],MATCH($A86,Juniorstwo!$A$57:$A$76,0),MATCH($B$13,Juniorstwo!$A$56:$N$56,0))*H$13,"-")</f>
        <v>-</v>
      </c>
      <c r="I86" s="38" t="str">
        <f>IFERROR(INDEX(JuniorzyPozytyw[],MATCH($A86,Juniorstwo!$A$57:$A$76,0),MATCH($B$2,Juniorstwo!$A$56:$N$56,0))*I$2+INDEX(JuniorzyPozytyw[],MATCH($A86,Juniorstwo!$A$57:$A$76,0),MATCH($B$3,Juniorstwo!$A$56:$N$56,0))*I$3+INDEX(JuniorzyPozytyw[],MATCH($A86,Juniorstwo!$A$57:$A$76,0),MATCH($B$4,Juniorstwo!$A$56:$N$56,0))*I$4+INDEX(JuniorzyPozytyw[],MATCH($A86,Juniorstwo!$A$57:$A$76,0),MATCH($B$5,Juniorstwo!$A$56:$N$56,0))*I$5+INDEX(JuniorzyPozytyw[],MATCH($A86,Juniorstwo!$A$57:$A$76,0),MATCH($B$6,Juniorstwo!$A$56:$N$56,0))*I$6+INDEX(JuniorzyPozytyw[],MATCH($A86,Juniorstwo!$A$57:$A$76,0),MATCH($B$7,Juniorstwo!$A$56:$N$56,0))*I$7+INDEX(JuniorzyPozytyw[],MATCH($A86,Juniorstwo!$A$57:$A$76,0),MATCH($B$8,Juniorstwo!$A$56:$N$56,0))*I$8+INDEX(JuniorzyPozytyw[],MATCH($A86,Juniorstwo!$A$57:$A$76,0),MATCH($B$9,Juniorstwo!$A$56:$N$56,0))*I$9+INDEX(JuniorzyPozytyw[],MATCH($A86,Juniorstwo!$A$57:$A$76,0),MATCH($B$10,Juniorstwo!$A$56:$N$56,0))*I$10+INDEX(JuniorzyPozytyw[],MATCH($A86,Juniorstwo!$A$57:$A$76,0),MATCH($B$11,Juniorstwo!$A$56:$N$56,0))*I$11+INDEX(JuniorzyPozytyw[],MATCH($A86,Juniorstwo!$A$57:$A$76,0),MATCH($B$12,Juniorstwo!$A$56:$N$56,0))*I$12+INDEX(JuniorzyPozytyw[],MATCH($A86,Juniorstwo!$A$57:$A$76,0),MATCH($B$13,Juniorstwo!$A$56:$N$56,0))*I$13,"-")</f>
        <v>-</v>
      </c>
      <c r="J86" s="38" t="str">
        <f>IFERROR(INDEX(JuniorzyPozytyw[],MATCH($A86,Juniorstwo!$A$57:$A$76,0),MATCH($B$2,Juniorstwo!$A$56:$N$56,0))*J$2+INDEX(JuniorzyPozytyw[],MATCH($A86,Juniorstwo!$A$57:$A$76,0),MATCH($B$3,Juniorstwo!$A$56:$N$56,0))*J$3+INDEX(JuniorzyPozytyw[],MATCH($A86,Juniorstwo!$A$57:$A$76,0),MATCH($B$4,Juniorstwo!$A$56:$N$56,0))*J$4+INDEX(JuniorzyPozytyw[],MATCH($A86,Juniorstwo!$A$57:$A$76,0),MATCH($B$5,Juniorstwo!$A$56:$N$56,0))*J$5+INDEX(JuniorzyPozytyw[],MATCH($A86,Juniorstwo!$A$57:$A$76,0),MATCH($B$6,Juniorstwo!$A$56:$N$56,0))*J$6+INDEX(JuniorzyPozytyw[],MATCH($A86,Juniorstwo!$A$57:$A$76,0),MATCH($B$7,Juniorstwo!$A$56:$N$56,0))*J$7+INDEX(JuniorzyPozytyw[],MATCH($A86,Juniorstwo!$A$57:$A$76,0),MATCH($B$8,Juniorstwo!$A$56:$N$56,0))*J$8+INDEX(JuniorzyPozytyw[],MATCH($A86,Juniorstwo!$A$57:$A$76,0),MATCH($B$9,Juniorstwo!$A$56:$N$56,0))*J$9+INDEX(JuniorzyPozytyw[],MATCH($A86,Juniorstwo!$A$57:$A$76,0),MATCH($B$10,Juniorstwo!$A$56:$N$56,0))*J$10+INDEX(JuniorzyPozytyw[],MATCH($A86,Juniorstwo!$A$57:$A$76,0),MATCH($B$11,Juniorstwo!$A$56:$N$56,0))*J$11+INDEX(JuniorzyPozytyw[],MATCH($A86,Juniorstwo!$A$57:$A$76,0),MATCH($B$12,Juniorstwo!$A$56:$N$56,0))*J$12+INDEX(JuniorzyPozytyw[],MATCH($A86,Juniorstwo!$A$57:$A$76,0),MATCH($B$13,Juniorstwo!$A$56:$N$56,0))*J$13,"-")</f>
        <v>-</v>
      </c>
      <c r="K86" s="38" t="str">
        <f>IFERROR(INDEX(JuniorzyPozytyw[],MATCH($A86,Juniorstwo!$A$57:$A$76,0),MATCH($B$2,Juniorstwo!$A$56:$N$56,0))*K$2+INDEX(JuniorzyPozytyw[],MATCH($A86,Juniorstwo!$A$57:$A$76,0),MATCH($B$3,Juniorstwo!$A$56:$N$56,0))*K$3+INDEX(JuniorzyPozytyw[],MATCH($A86,Juniorstwo!$A$57:$A$76,0),MATCH($B$4,Juniorstwo!$A$56:$N$56,0))*K$4+INDEX(JuniorzyPozytyw[],MATCH($A86,Juniorstwo!$A$57:$A$76,0),MATCH($B$5,Juniorstwo!$A$56:$N$56,0))*K$5+INDEX(JuniorzyPozytyw[],MATCH($A86,Juniorstwo!$A$57:$A$76,0),MATCH($B$6,Juniorstwo!$A$56:$N$56,0))*K$6+INDEX(JuniorzyPozytyw[],MATCH($A86,Juniorstwo!$A$57:$A$76,0),MATCH($B$7,Juniorstwo!$A$56:$N$56,0))*K$7+INDEX(JuniorzyPozytyw[],MATCH($A86,Juniorstwo!$A$57:$A$76,0),MATCH($B$8,Juniorstwo!$A$56:$N$56,0))*K$8+INDEX(JuniorzyPozytyw[],MATCH($A86,Juniorstwo!$A$57:$A$76,0),MATCH($B$9,Juniorstwo!$A$56:$N$56,0))*K$9+INDEX(JuniorzyPozytyw[],MATCH($A86,Juniorstwo!$A$57:$A$76,0),MATCH($B$10,Juniorstwo!$A$56:$N$56,0))*K$10+INDEX(JuniorzyPozytyw[],MATCH($A86,Juniorstwo!$A$57:$A$76,0),MATCH($B$11,Juniorstwo!$A$56:$N$56,0))*K$11+INDEX(JuniorzyPozytyw[],MATCH($A86,Juniorstwo!$A$57:$A$76,0),MATCH($B$12,Juniorstwo!$A$56:$N$56,0))*K$12+INDEX(JuniorzyPozytyw[],MATCH($A86,Juniorstwo!$A$57:$A$76,0),MATCH($B$13,Juniorstwo!$A$56:$N$56,0))*K$13,"-")</f>
        <v>-</v>
      </c>
    </row>
    <row r="87" spans="1:11" x14ac:dyDescent="0.25">
      <c r="A87" s="97"/>
      <c r="B87" s="3" t="str">
        <f>IFERROR(VLOOKUP(PozJunPŚr[[#This Row],[Numer]],Zawodnicy[[Number]:[Player name]],2,FALSE),"-")</f>
        <v>-</v>
      </c>
      <c r="C87" s="38" t="str">
        <f>IFERROR(INDEX(JuniorzyPozytyw[],MATCH($A87,Juniorstwo!$A$57:$A$76,0),MATCH($B$2,Juniorstwo!$A$56:$N$56,0))*C$2+INDEX(JuniorzyPozytyw[],MATCH($A87,Juniorstwo!$A$57:$A$76,0),MATCH($B$3,Juniorstwo!$A$56:$N$56,0))*C$3+INDEX(JuniorzyPozytyw[],MATCH($A87,Juniorstwo!$A$57:$A$76,0),MATCH($B$4,Juniorstwo!$A$56:$N$56,0))*C$4+INDEX(JuniorzyPozytyw[],MATCH($A87,Juniorstwo!$A$57:$A$76,0),MATCH($B$5,Juniorstwo!$A$56:$N$56,0))*C$5+INDEX(JuniorzyPozytyw[],MATCH($A87,Juniorstwo!$A$57:$A$76,0),MATCH($B$6,Juniorstwo!$A$56:$N$56,0))*C$6+INDEX(JuniorzyPozytyw[],MATCH($A87,Juniorstwo!$A$57:$A$76,0),MATCH($B$7,Juniorstwo!$A$56:$N$56,0))*C$7+INDEX(JuniorzyPozytyw[],MATCH($A87,Juniorstwo!$A$57:$A$76,0),MATCH($B$8,Juniorstwo!$A$56:$N$56,0))*C$8+INDEX(JuniorzyPozytyw[],MATCH($A87,Juniorstwo!$A$57:$A$76,0),MATCH($B$9,Juniorstwo!$A$56:$N$56,0))*C$9+INDEX(JuniorzyPozytyw[],MATCH($A87,Juniorstwo!$A$57:$A$76,0),MATCH($B$10,Juniorstwo!$A$56:$N$56,0))*C$10+INDEX(JuniorzyPozytyw[],MATCH($A87,Juniorstwo!$A$57:$A$76,0),MATCH($B$11,Juniorstwo!$A$56:$N$56,0))*C$11+INDEX(JuniorzyPozytyw[],MATCH($A87,Juniorstwo!$A$57:$A$76,0),MATCH($B$12,Juniorstwo!$A$56:$N$56,0))*C$12+INDEX(JuniorzyPozytyw[],MATCH($A87,Juniorstwo!$A$57:$A$76,0),MATCH($B$13,Juniorstwo!$A$56:$N$56,0))*C$13,"-")</f>
        <v>-</v>
      </c>
      <c r="D87" s="38" t="str">
        <f>IFERROR(INDEX(JuniorzyPozytyw[],MATCH($A87,Juniorstwo!$A$57:$A$76,0),MATCH($B$2,Juniorstwo!$A$56:$N$56,0))*D$2+INDEX(JuniorzyPozytyw[],MATCH($A87,Juniorstwo!$A$57:$A$76,0),MATCH($B$3,Juniorstwo!$A$56:$N$56,0))*D$3+INDEX(JuniorzyPozytyw[],MATCH($A87,Juniorstwo!$A$57:$A$76,0),MATCH($B$4,Juniorstwo!$A$56:$N$56,0))*D$4+INDEX(JuniorzyPozytyw[],MATCH($A87,Juniorstwo!$A$57:$A$76,0),MATCH($B$5,Juniorstwo!$A$56:$N$56,0))*D$5+INDEX(JuniorzyPozytyw[],MATCH($A87,Juniorstwo!$A$57:$A$76,0),MATCH($B$6,Juniorstwo!$A$56:$N$56,0))*D$6+INDEX(JuniorzyPozytyw[],MATCH($A87,Juniorstwo!$A$57:$A$76,0),MATCH($B$7,Juniorstwo!$A$56:$N$56,0))*D$7+INDEX(JuniorzyPozytyw[],MATCH($A87,Juniorstwo!$A$57:$A$76,0),MATCH($B$8,Juniorstwo!$A$56:$N$56,0))*D$8+INDEX(JuniorzyPozytyw[],MATCH($A87,Juniorstwo!$A$57:$A$76,0),MATCH($B$9,Juniorstwo!$A$56:$N$56,0))*D$9+INDEX(JuniorzyPozytyw[],MATCH($A87,Juniorstwo!$A$57:$A$76,0),MATCH($B$10,Juniorstwo!$A$56:$N$56,0))*D$10+INDEX(JuniorzyPozytyw[],MATCH($A87,Juniorstwo!$A$57:$A$76,0),MATCH($B$11,Juniorstwo!$A$56:$N$56,0))*D$11+INDEX(JuniorzyPozytyw[],MATCH($A87,Juniorstwo!$A$57:$A$76,0),MATCH($B$12,Juniorstwo!$A$56:$N$56,0))*D$12+INDEX(JuniorzyPozytyw[],MATCH($A87,Juniorstwo!$A$57:$A$76,0),MATCH($B$13,Juniorstwo!$A$56:$N$56,0))*D$13,"-")</f>
        <v>-</v>
      </c>
      <c r="E87" s="38" t="str">
        <f>IFERROR(INDEX(JuniorzyPozytyw[],MATCH($A87,Juniorstwo!$A$57:$A$76,0),MATCH($B$2,Juniorstwo!$A$56:$N$56,0))*E$2+INDEX(JuniorzyPozytyw[],MATCH($A87,Juniorstwo!$A$57:$A$76,0),MATCH($B$3,Juniorstwo!$A$56:$N$56,0))*E$3+INDEX(JuniorzyPozytyw[],MATCH($A87,Juniorstwo!$A$57:$A$76,0),MATCH($B$4,Juniorstwo!$A$56:$N$56,0))*E$4+INDEX(JuniorzyPozytyw[],MATCH($A87,Juniorstwo!$A$57:$A$76,0),MATCH($B$5,Juniorstwo!$A$56:$N$56,0))*E$5+INDEX(JuniorzyPozytyw[],MATCH($A87,Juniorstwo!$A$57:$A$76,0),MATCH($B$6,Juniorstwo!$A$56:$N$56,0))*E$6+INDEX(JuniorzyPozytyw[],MATCH($A87,Juniorstwo!$A$57:$A$76,0),MATCH($B$7,Juniorstwo!$A$56:$N$56,0))*E$7+INDEX(JuniorzyPozytyw[],MATCH($A87,Juniorstwo!$A$57:$A$76,0),MATCH($B$8,Juniorstwo!$A$56:$N$56,0))*E$8+INDEX(JuniorzyPozytyw[],MATCH($A87,Juniorstwo!$A$57:$A$76,0),MATCH($B$9,Juniorstwo!$A$56:$N$56,0))*E$9+INDEX(JuniorzyPozytyw[],MATCH($A87,Juniorstwo!$A$57:$A$76,0),MATCH($B$10,Juniorstwo!$A$56:$N$56,0))*E$10+INDEX(JuniorzyPozytyw[],MATCH($A87,Juniorstwo!$A$57:$A$76,0),MATCH($B$11,Juniorstwo!$A$56:$N$56,0))*E$11+INDEX(JuniorzyPozytyw[],MATCH($A87,Juniorstwo!$A$57:$A$76,0),MATCH($B$12,Juniorstwo!$A$56:$N$56,0))*E$12+INDEX(JuniorzyPozytyw[],MATCH($A87,Juniorstwo!$A$57:$A$76,0),MATCH($B$13,Juniorstwo!$A$56:$N$56,0))*E$13,"-")</f>
        <v>-</v>
      </c>
      <c r="F87" s="38" t="str">
        <f>IFERROR(INDEX(JuniorzyPozytyw[],MATCH($A87,Juniorstwo!$A$57:$A$76,0),MATCH($B$2,Juniorstwo!$A$56:$N$56,0))*F$2+INDEX(JuniorzyPozytyw[],MATCH($A87,Juniorstwo!$A$57:$A$76,0),MATCH($B$3,Juniorstwo!$A$56:$N$56,0))*F$3+INDEX(JuniorzyPozytyw[],MATCH($A87,Juniorstwo!$A$57:$A$76,0),MATCH($B$4,Juniorstwo!$A$56:$N$56,0))*F$4+INDEX(JuniorzyPozytyw[],MATCH($A87,Juniorstwo!$A$57:$A$76,0),MATCH($B$5,Juniorstwo!$A$56:$N$56,0))*F$5+INDEX(JuniorzyPozytyw[],MATCH($A87,Juniorstwo!$A$57:$A$76,0),MATCH($B$6,Juniorstwo!$A$56:$N$56,0))*F$6+INDEX(JuniorzyPozytyw[],MATCH($A87,Juniorstwo!$A$57:$A$76,0),MATCH($B$7,Juniorstwo!$A$56:$N$56,0))*F$7+INDEX(JuniorzyPozytyw[],MATCH($A87,Juniorstwo!$A$57:$A$76,0),MATCH($B$8,Juniorstwo!$A$56:$N$56,0))*F$8+INDEX(JuniorzyPozytyw[],MATCH($A87,Juniorstwo!$A$57:$A$76,0),MATCH($B$9,Juniorstwo!$A$56:$N$56,0))*F$9+INDEX(JuniorzyPozytyw[],MATCH($A87,Juniorstwo!$A$57:$A$76,0),MATCH($B$10,Juniorstwo!$A$56:$N$56,0))*F$10+INDEX(JuniorzyPozytyw[],MATCH($A87,Juniorstwo!$A$57:$A$76,0),MATCH($B$11,Juniorstwo!$A$56:$N$56,0))*F$11+INDEX(JuniorzyPozytyw[],MATCH($A87,Juniorstwo!$A$57:$A$76,0),MATCH($B$12,Juniorstwo!$A$56:$N$56,0))*F$12+INDEX(JuniorzyPozytyw[],MATCH($A87,Juniorstwo!$A$57:$A$76,0),MATCH($B$13,Juniorstwo!$A$56:$N$56,0))*F$13,"-")</f>
        <v>-</v>
      </c>
      <c r="G87" s="38" t="str">
        <f>IFERROR(INDEX(JuniorzyPozytyw[],MATCH($A87,Juniorstwo!$A$57:$A$76,0),MATCH($B$2,Juniorstwo!$A$56:$N$56,0))*G$2+INDEX(JuniorzyPozytyw[],MATCH($A87,Juniorstwo!$A$57:$A$76,0),MATCH($B$3,Juniorstwo!$A$56:$N$56,0))*G$3+INDEX(JuniorzyPozytyw[],MATCH($A87,Juniorstwo!$A$57:$A$76,0),MATCH($B$4,Juniorstwo!$A$56:$N$56,0))*G$4+INDEX(JuniorzyPozytyw[],MATCH($A87,Juniorstwo!$A$57:$A$76,0),MATCH($B$5,Juniorstwo!$A$56:$N$56,0))*G$5+INDEX(JuniorzyPozytyw[],MATCH($A87,Juniorstwo!$A$57:$A$76,0),MATCH($B$6,Juniorstwo!$A$56:$N$56,0))*G$6+INDEX(JuniorzyPozytyw[],MATCH($A87,Juniorstwo!$A$57:$A$76,0),MATCH($B$7,Juniorstwo!$A$56:$N$56,0))*G$7+INDEX(JuniorzyPozytyw[],MATCH($A87,Juniorstwo!$A$57:$A$76,0),MATCH($B$8,Juniorstwo!$A$56:$N$56,0))*G$8+INDEX(JuniorzyPozytyw[],MATCH($A87,Juniorstwo!$A$57:$A$76,0),MATCH($B$9,Juniorstwo!$A$56:$N$56,0))*G$9+INDEX(JuniorzyPozytyw[],MATCH($A87,Juniorstwo!$A$57:$A$76,0),MATCH($B$10,Juniorstwo!$A$56:$N$56,0))*G$10+INDEX(JuniorzyPozytyw[],MATCH($A87,Juniorstwo!$A$57:$A$76,0),MATCH($B$11,Juniorstwo!$A$56:$N$56,0))*G$11+INDEX(JuniorzyPozytyw[],MATCH($A87,Juniorstwo!$A$57:$A$76,0),MATCH($B$12,Juniorstwo!$A$56:$N$56,0))*G$12+INDEX(JuniorzyPozytyw[],MATCH($A87,Juniorstwo!$A$57:$A$76,0),MATCH($B$13,Juniorstwo!$A$56:$N$56,0))*G$13,"-")</f>
        <v>-</v>
      </c>
      <c r="H87" s="38" t="str">
        <f>IFERROR(INDEX(JuniorzyPozytyw[],MATCH($A87,Juniorstwo!$A$57:$A$76,0),MATCH($B$2,Juniorstwo!$A$56:$N$56,0))*H$2+INDEX(JuniorzyPozytyw[],MATCH($A87,Juniorstwo!$A$57:$A$76,0),MATCH($B$3,Juniorstwo!$A$56:$N$56,0))*H$3+INDEX(JuniorzyPozytyw[],MATCH($A87,Juniorstwo!$A$57:$A$76,0),MATCH($B$4,Juniorstwo!$A$56:$N$56,0))*H$4+INDEX(JuniorzyPozytyw[],MATCH($A87,Juniorstwo!$A$57:$A$76,0),MATCH($B$5,Juniorstwo!$A$56:$N$56,0))*H$5+INDEX(JuniorzyPozytyw[],MATCH($A87,Juniorstwo!$A$57:$A$76,0),MATCH($B$6,Juniorstwo!$A$56:$N$56,0))*H$6+INDEX(JuniorzyPozytyw[],MATCH($A87,Juniorstwo!$A$57:$A$76,0),MATCH($B$7,Juniorstwo!$A$56:$N$56,0))*H$7+INDEX(JuniorzyPozytyw[],MATCH($A87,Juniorstwo!$A$57:$A$76,0),MATCH($B$8,Juniorstwo!$A$56:$N$56,0))*H$8+INDEX(JuniorzyPozytyw[],MATCH($A87,Juniorstwo!$A$57:$A$76,0),MATCH($B$9,Juniorstwo!$A$56:$N$56,0))*H$9+INDEX(JuniorzyPozytyw[],MATCH($A87,Juniorstwo!$A$57:$A$76,0),MATCH($B$10,Juniorstwo!$A$56:$N$56,0))*H$10+INDEX(JuniorzyPozytyw[],MATCH($A87,Juniorstwo!$A$57:$A$76,0),MATCH($B$11,Juniorstwo!$A$56:$N$56,0))*H$11+INDEX(JuniorzyPozytyw[],MATCH($A87,Juniorstwo!$A$57:$A$76,0),MATCH($B$12,Juniorstwo!$A$56:$N$56,0))*H$12+INDEX(JuniorzyPozytyw[],MATCH($A87,Juniorstwo!$A$57:$A$76,0),MATCH($B$13,Juniorstwo!$A$56:$N$56,0))*H$13,"-")</f>
        <v>-</v>
      </c>
      <c r="I87" s="38" t="str">
        <f>IFERROR(INDEX(JuniorzyPozytyw[],MATCH($A87,Juniorstwo!$A$57:$A$76,0),MATCH($B$2,Juniorstwo!$A$56:$N$56,0))*I$2+INDEX(JuniorzyPozytyw[],MATCH($A87,Juniorstwo!$A$57:$A$76,0),MATCH($B$3,Juniorstwo!$A$56:$N$56,0))*I$3+INDEX(JuniorzyPozytyw[],MATCH($A87,Juniorstwo!$A$57:$A$76,0),MATCH($B$4,Juniorstwo!$A$56:$N$56,0))*I$4+INDEX(JuniorzyPozytyw[],MATCH($A87,Juniorstwo!$A$57:$A$76,0),MATCH($B$5,Juniorstwo!$A$56:$N$56,0))*I$5+INDEX(JuniorzyPozytyw[],MATCH($A87,Juniorstwo!$A$57:$A$76,0),MATCH($B$6,Juniorstwo!$A$56:$N$56,0))*I$6+INDEX(JuniorzyPozytyw[],MATCH($A87,Juniorstwo!$A$57:$A$76,0),MATCH($B$7,Juniorstwo!$A$56:$N$56,0))*I$7+INDEX(JuniorzyPozytyw[],MATCH($A87,Juniorstwo!$A$57:$A$76,0),MATCH($B$8,Juniorstwo!$A$56:$N$56,0))*I$8+INDEX(JuniorzyPozytyw[],MATCH($A87,Juniorstwo!$A$57:$A$76,0),MATCH($B$9,Juniorstwo!$A$56:$N$56,0))*I$9+INDEX(JuniorzyPozytyw[],MATCH($A87,Juniorstwo!$A$57:$A$76,0),MATCH($B$10,Juniorstwo!$A$56:$N$56,0))*I$10+INDEX(JuniorzyPozytyw[],MATCH($A87,Juniorstwo!$A$57:$A$76,0),MATCH($B$11,Juniorstwo!$A$56:$N$56,0))*I$11+INDEX(JuniorzyPozytyw[],MATCH($A87,Juniorstwo!$A$57:$A$76,0),MATCH($B$12,Juniorstwo!$A$56:$N$56,0))*I$12+INDEX(JuniorzyPozytyw[],MATCH($A87,Juniorstwo!$A$57:$A$76,0),MATCH($B$13,Juniorstwo!$A$56:$N$56,0))*I$13,"-")</f>
        <v>-</v>
      </c>
      <c r="J87" s="38" t="str">
        <f>IFERROR(INDEX(JuniorzyPozytyw[],MATCH($A87,Juniorstwo!$A$57:$A$76,0),MATCH($B$2,Juniorstwo!$A$56:$N$56,0))*J$2+INDEX(JuniorzyPozytyw[],MATCH($A87,Juniorstwo!$A$57:$A$76,0),MATCH($B$3,Juniorstwo!$A$56:$N$56,0))*J$3+INDEX(JuniorzyPozytyw[],MATCH($A87,Juniorstwo!$A$57:$A$76,0),MATCH($B$4,Juniorstwo!$A$56:$N$56,0))*J$4+INDEX(JuniorzyPozytyw[],MATCH($A87,Juniorstwo!$A$57:$A$76,0),MATCH($B$5,Juniorstwo!$A$56:$N$56,0))*J$5+INDEX(JuniorzyPozytyw[],MATCH($A87,Juniorstwo!$A$57:$A$76,0),MATCH($B$6,Juniorstwo!$A$56:$N$56,0))*J$6+INDEX(JuniorzyPozytyw[],MATCH($A87,Juniorstwo!$A$57:$A$76,0),MATCH($B$7,Juniorstwo!$A$56:$N$56,0))*J$7+INDEX(JuniorzyPozytyw[],MATCH($A87,Juniorstwo!$A$57:$A$76,0),MATCH($B$8,Juniorstwo!$A$56:$N$56,0))*J$8+INDEX(JuniorzyPozytyw[],MATCH($A87,Juniorstwo!$A$57:$A$76,0),MATCH($B$9,Juniorstwo!$A$56:$N$56,0))*J$9+INDEX(JuniorzyPozytyw[],MATCH($A87,Juniorstwo!$A$57:$A$76,0),MATCH($B$10,Juniorstwo!$A$56:$N$56,0))*J$10+INDEX(JuniorzyPozytyw[],MATCH($A87,Juniorstwo!$A$57:$A$76,0),MATCH($B$11,Juniorstwo!$A$56:$N$56,0))*J$11+INDEX(JuniorzyPozytyw[],MATCH($A87,Juniorstwo!$A$57:$A$76,0),MATCH($B$12,Juniorstwo!$A$56:$N$56,0))*J$12+INDEX(JuniorzyPozytyw[],MATCH($A87,Juniorstwo!$A$57:$A$76,0),MATCH($B$13,Juniorstwo!$A$56:$N$56,0))*J$13,"-")</f>
        <v>-</v>
      </c>
      <c r="K87" s="38" t="str">
        <f>IFERROR(INDEX(JuniorzyPozytyw[],MATCH($A87,Juniorstwo!$A$57:$A$76,0),MATCH($B$2,Juniorstwo!$A$56:$N$56,0))*K$2+INDEX(JuniorzyPozytyw[],MATCH($A87,Juniorstwo!$A$57:$A$76,0),MATCH($B$3,Juniorstwo!$A$56:$N$56,0))*K$3+INDEX(JuniorzyPozytyw[],MATCH($A87,Juniorstwo!$A$57:$A$76,0),MATCH($B$4,Juniorstwo!$A$56:$N$56,0))*K$4+INDEX(JuniorzyPozytyw[],MATCH($A87,Juniorstwo!$A$57:$A$76,0),MATCH($B$5,Juniorstwo!$A$56:$N$56,0))*K$5+INDEX(JuniorzyPozytyw[],MATCH($A87,Juniorstwo!$A$57:$A$76,0),MATCH($B$6,Juniorstwo!$A$56:$N$56,0))*K$6+INDEX(JuniorzyPozytyw[],MATCH($A87,Juniorstwo!$A$57:$A$76,0),MATCH($B$7,Juniorstwo!$A$56:$N$56,0))*K$7+INDEX(JuniorzyPozytyw[],MATCH($A87,Juniorstwo!$A$57:$A$76,0),MATCH($B$8,Juniorstwo!$A$56:$N$56,0))*K$8+INDEX(JuniorzyPozytyw[],MATCH($A87,Juniorstwo!$A$57:$A$76,0),MATCH($B$9,Juniorstwo!$A$56:$N$56,0))*K$9+INDEX(JuniorzyPozytyw[],MATCH($A87,Juniorstwo!$A$57:$A$76,0),MATCH($B$10,Juniorstwo!$A$56:$N$56,0))*K$10+INDEX(JuniorzyPozytyw[],MATCH($A87,Juniorstwo!$A$57:$A$76,0),MATCH($B$11,Juniorstwo!$A$56:$N$56,0))*K$11+INDEX(JuniorzyPozytyw[],MATCH($A87,Juniorstwo!$A$57:$A$76,0),MATCH($B$12,Juniorstwo!$A$56:$N$56,0))*K$12+INDEX(JuniorzyPozytyw[],MATCH($A87,Juniorstwo!$A$57:$A$76,0),MATCH($B$13,Juniorstwo!$A$56:$N$56,0))*K$13,"-")</f>
        <v>-</v>
      </c>
    </row>
  </sheetData>
  <conditionalFormatting sqref="C21:C40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8">
    <cfRule type="colorScale" priority="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9">
    <cfRule type="colorScale" priority="9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0">
    <cfRule type="colorScale" priority="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1">
    <cfRule type="colorScale" priority="8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2">
    <cfRule type="colorScale" priority="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3">
    <cfRule type="colorScale" priority="8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4">
    <cfRule type="colorScale" priority="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5">
    <cfRule type="colorScale" priority="8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6">
    <cfRule type="colorScale" priority="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7">
    <cfRule type="colorScale" priority="8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8">
    <cfRule type="colorScale" priority="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9">
    <cfRule type="colorScale" priority="8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0:C84 C86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7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1:K40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:K43 D44:K60 D62:K63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:K43">
    <cfRule type="colorScale" priority="3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3:K60 C62:K63">
    <cfRule type="colorScale" priority="7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4:K44">
    <cfRule type="colorScale" priority="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5:K45">
    <cfRule type="colorScale" priority="2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6:K46">
    <cfRule type="colorScale" priority="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7:K47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8:K48">
    <cfRule type="colorScale" priority="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49:K49">
    <cfRule type="colorScale" priority="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0:K50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1:K51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2:K5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3:K53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4: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5:K55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6:K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6:K60 C62:K6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7:K5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8:K58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59:K5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0:K6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1:K6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2:K6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3:K63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7:K67 D68:K84 D86:K87">
    <cfRule type="colorScale" priority="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67:K67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7:K77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0:K80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1:K8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2:K82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3:K8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4:K8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5:K8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86:K8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1:D40">
    <cfRule type="colorScale" priority="3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1:E40">
    <cfRule type="colorScale" priority="3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8:K68 C68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9:K69 C69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0:K70 C70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1:K71 C71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2:K72 C72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3:K73 C73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4:K74 C74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5:K75 C75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6:K76 C76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8:K78 C78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9:K79 C79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80:K84 C80:C84 C86 E86:K8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87:K87 C87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1:F40">
    <cfRule type="colorScale" priority="3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1:G40">
    <cfRule type="colorScale" priority="3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1:H40">
    <cfRule type="colorScale" priority="3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1:I40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1:J40">
    <cfRule type="colorScale" priority="3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1:K40">
    <cfRule type="colorScale" priority="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ignoredErrors>
    <ignoredError sqref="N2:W3 O5:W7 O4:W4 O9:W10 O8:W8 N12:W14 O11:W11 N9:N10 N5:N7 N4 N8 N11" calculatedColumn="1"/>
  </ignoredErrors>
  <tableParts count="4">
    <tablePart r:id="rId1"/>
    <tablePart r:id="rId2"/>
    <tablePart r:id="rId3"/>
    <tablePart r:id="rId4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B253B-B419-4E73-AC45-70A61396AD53}">
  <dimension ref="A1"/>
  <sheetViews>
    <sheetView showGridLines="0" zoomScale="67" zoomScaleNormal="67" workbookViewId="0">
      <selection activeCell="AQ23" sqref="AQ23"/>
    </sheetView>
  </sheetViews>
  <sheetFormatPr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4F0CC-D4B8-4175-9718-345A830DA155}">
  <dimension ref="A1:C212"/>
  <sheetViews>
    <sheetView topLeftCell="A130" workbookViewId="0"/>
  </sheetViews>
  <sheetFormatPr defaultRowHeight="15" x14ac:dyDescent="0.25"/>
  <cols>
    <col min="1" max="3" width="19.140625" bestFit="1" customWidth="1"/>
    <col min="4" max="4" width="10.28515625" bestFit="1" customWidth="1"/>
    <col min="5" max="5" width="9.28515625" bestFit="1" customWidth="1"/>
    <col min="6" max="6" width="8.85546875" bestFit="1" customWidth="1"/>
    <col min="7" max="7" width="10.28515625" bestFit="1" customWidth="1"/>
    <col min="8" max="8" width="11.85546875" bestFit="1" customWidth="1"/>
    <col min="9" max="9" width="11.140625" bestFit="1" customWidth="1"/>
    <col min="10" max="10" width="12.28515625" bestFit="1" customWidth="1"/>
    <col min="11" max="11" width="10.7109375" bestFit="1" customWidth="1"/>
    <col min="12" max="12" width="8.7109375" bestFit="1" customWidth="1"/>
    <col min="13" max="13" width="9.85546875" bestFit="1" customWidth="1"/>
    <col min="14" max="14" width="9.28515625" bestFit="1" customWidth="1"/>
    <col min="15" max="15" width="13.5703125" bestFit="1" customWidth="1"/>
    <col min="16" max="16" width="8.5703125" bestFit="1" customWidth="1"/>
    <col min="17" max="17" width="13.140625" bestFit="1" customWidth="1"/>
    <col min="18" max="18" width="9.7109375" bestFit="1" customWidth="1"/>
    <col min="19" max="19" width="10.140625" bestFit="1" customWidth="1"/>
    <col min="20" max="20" width="14.7109375" bestFit="1" customWidth="1"/>
    <col min="21" max="21" width="13.7109375" bestFit="1" customWidth="1"/>
    <col min="22" max="22" width="13.5703125" bestFit="1" customWidth="1"/>
    <col min="23" max="23" width="12.7109375" bestFit="1" customWidth="1"/>
    <col min="24" max="24" width="11.28515625" bestFit="1" customWidth="1"/>
    <col min="25" max="25" width="9.85546875" bestFit="1" customWidth="1"/>
    <col min="26" max="26" width="10.42578125" bestFit="1" customWidth="1"/>
    <col min="27" max="27" width="11.140625" bestFit="1" customWidth="1"/>
    <col min="28" max="28" width="11.7109375" bestFit="1" customWidth="1"/>
    <col min="29" max="29" width="8.28515625" bestFit="1" customWidth="1"/>
    <col min="30" max="30" width="9.140625" bestFit="1" customWidth="1"/>
    <col min="31" max="31" width="11" bestFit="1" customWidth="1"/>
    <col min="32" max="32" width="9.5703125" bestFit="1" customWidth="1"/>
    <col min="33" max="33" width="7.7109375" bestFit="1" customWidth="1"/>
    <col min="34" max="34" width="9.140625" bestFit="1" customWidth="1"/>
    <col min="35" max="35" width="9.5703125" bestFit="1" customWidth="1"/>
    <col min="36" max="36" width="13.42578125" bestFit="1" customWidth="1"/>
    <col min="37" max="37" width="14.140625" bestFit="1" customWidth="1"/>
    <col min="38" max="38" width="13.5703125" bestFit="1" customWidth="1"/>
    <col min="39" max="39" width="10" bestFit="1" customWidth="1"/>
    <col min="40" max="40" width="10.5703125" bestFit="1" customWidth="1"/>
    <col min="41" max="41" width="12.5703125" bestFit="1" customWidth="1"/>
    <col min="42" max="42" width="11.140625" bestFit="1" customWidth="1"/>
    <col min="43" max="43" width="9.85546875" bestFit="1" customWidth="1"/>
    <col min="44" max="44" width="11.140625" bestFit="1" customWidth="1"/>
    <col min="45" max="45" width="12" bestFit="1" customWidth="1"/>
    <col min="46" max="46" width="9.7109375" bestFit="1" customWidth="1"/>
    <col min="47" max="47" width="10.140625" bestFit="1" customWidth="1"/>
    <col min="48" max="48" width="10.85546875" bestFit="1" customWidth="1"/>
    <col min="49" max="49" width="9.7109375" bestFit="1" customWidth="1"/>
    <col min="50" max="50" width="10.28515625" bestFit="1" customWidth="1"/>
    <col min="51" max="51" width="6.85546875" bestFit="1" customWidth="1"/>
    <col min="52" max="52" width="7.42578125" bestFit="1" customWidth="1"/>
    <col min="53" max="53" width="11.140625" bestFit="1" customWidth="1"/>
    <col min="54" max="54" width="8.5703125" bestFit="1" customWidth="1"/>
    <col min="55" max="55" width="15.28515625" bestFit="1" customWidth="1"/>
    <col min="56" max="56" width="10" bestFit="1" customWidth="1"/>
    <col min="57" max="57" width="8.42578125" bestFit="1" customWidth="1"/>
    <col min="58" max="58" width="12" bestFit="1" customWidth="1"/>
    <col min="59" max="59" width="8.42578125" bestFit="1" customWidth="1"/>
    <col min="60" max="60" width="9.85546875" bestFit="1" customWidth="1"/>
    <col min="61" max="61" width="13.7109375" bestFit="1" customWidth="1"/>
    <col min="62" max="62" width="9" bestFit="1" customWidth="1"/>
    <col min="63" max="63" width="9.42578125" bestFit="1" customWidth="1"/>
    <col min="64" max="64" width="9.5703125" bestFit="1" customWidth="1"/>
    <col min="65" max="65" width="12.85546875" bestFit="1" customWidth="1"/>
    <col min="66" max="66" width="9.42578125" bestFit="1" customWidth="1"/>
    <col min="67" max="67" width="14.140625" bestFit="1" customWidth="1"/>
    <col min="68" max="68" width="10.7109375" bestFit="1" customWidth="1"/>
    <col min="69" max="69" width="12.140625" bestFit="1" customWidth="1"/>
    <col min="70" max="70" width="13.5703125" bestFit="1" customWidth="1"/>
    <col min="71" max="71" width="9.140625" bestFit="1" customWidth="1"/>
    <col min="72" max="72" width="9.5703125" bestFit="1" customWidth="1"/>
    <col min="73" max="73" width="11.85546875" bestFit="1" customWidth="1"/>
    <col min="74" max="74" width="10.7109375" bestFit="1" customWidth="1"/>
    <col min="75" max="75" width="6.7109375" bestFit="1" customWidth="1"/>
    <col min="76" max="76" width="9.85546875" bestFit="1" customWidth="1"/>
    <col min="77" max="77" width="10.42578125" bestFit="1" customWidth="1"/>
    <col min="78" max="79" width="10.28515625" bestFit="1" customWidth="1"/>
    <col min="80" max="80" width="10.7109375" bestFit="1" customWidth="1"/>
    <col min="81" max="81" width="12.140625" bestFit="1" customWidth="1"/>
    <col min="82" max="82" width="12.7109375" bestFit="1" customWidth="1"/>
    <col min="83" max="83" width="13.7109375" bestFit="1" customWidth="1"/>
    <col min="84" max="84" width="11.5703125" bestFit="1" customWidth="1"/>
    <col min="85" max="85" width="10.42578125" bestFit="1" customWidth="1"/>
    <col min="86" max="86" width="10.140625" bestFit="1" customWidth="1"/>
    <col min="87" max="87" width="11.28515625" bestFit="1" customWidth="1"/>
    <col min="88" max="88" width="9.85546875" bestFit="1" customWidth="1"/>
    <col min="89" max="89" width="9.42578125" bestFit="1" customWidth="1"/>
    <col min="90" max="90" width="12.85546875" bestFit="1" customWidth="1"/>
    <col min="91" max="91" width="8.140625" bestFit="1" customWidth="1"/>
    <col min="92" max="92" width="9.42578125" bestFit="1" customWidth="1"/>
    <col min="93" max="93" width="11.85546875" bestFit="1" customWidth="1"/>
    <col min="94" max="94" width="11" bestFit="1" customWidth="1"/>
    <col min="95" max="95" width="8.85546875" bestFit="1" customWidth="1"/>
    <col min="96" max="96" width="14.5703125" bestFit="1" customWidth="1"/>
    <col min="97" max="97" width="13.140625" bestFit="1" customWidth="1"/>
    <col min="98" max="98" width="7.28515625" bestFit="1" customWidth="1"/>
    <col min="99" max="99" width="12.28515625" bestFit="1" customWidth="1"/>
    <col min="100" max="100" width="11.42578125" bestFit="1" customWidth="1"/>
    <col min="101" max="101" width="13.140625" bestFit="1" customWidth="1"/>
    <col min="102" max="102" width="15.85546875" bestFit="1" customWidth="1"/>
    <col min="103" max="103" width="8.42578125" bestFit="1" customWidth="1"/>
    <col min="104" max="104" width="8.7109375" bestFit="1" customWidth="1"/>
    <col min="105" max="105" width="8.5703125" bestFit="1" customWidth="1"/>
    <col min="106" max="106" width="11.5703125" bestFit="1" customWidth="1"/>
    <col min="107" max="107" width="8.5703125" bestFit="1" customWidth="1"/>
    <col min="108" max="108" width="14.42578125" bestFit="1" customWidth="1"/>
    <col min="109" max="109" width="16.42578125" bestFit="1" customWidth="1"/>
    <col min="110" max="110" width="9.7109375" bestFit="1" customWidth="1"/>
    <col min="111" max="111" width="14.42578125" bestFit="1" customWidth="1"/>
    <col min="112" max="112" width="12.140625" bestFit="1" customWidth="1"/>
    <col min="113" max="113" width="8.7109375" bestFit="1" customWidth="1"/>
    <col min="114" max="114" width="10.42578125" bestFit="1" customWidth="1"/>
    <col min="115" max="115" width="8.85546875" bestFit="1" customWidth="1"/>
    <col min="116" max="116" width="12.7109375" bestFit="1" customWidth="1"/>
    <col min="117" max="117" width="9.5703125" bestFit="1" customWidth="1"/>
    <col min="118" max="118" width="19" bestFit="1" customWidth="1"/>
    <col min="119" max="119" width="10" bestFit="1" customWidth="1"/>
    <col min="120" max="120" width="10.7109375" bestFit="1" customWidth="1"/>
    <col min="121" max="121" width="13.140625" bestFit="1" customWidth="1"/>
    <col min="122" max="122" width="13.5703125" bestFit="1" customWidth="1"/>
    <col min="123" max="123" width="11.28515625" bestFit="1" customWidth="1"/>
    <col min="124" max="124" width="7.85546875" bestFit="1" customWidth="1"/>
    <col min="125" max="125" width="12.5703125" bestFit="1" customWidth="1"/>
    <col min="126" max="126" width="15" bestFit="1" customWidth="1"/>
    <col min="127" max="127" width="8.28515625" bestFit="1" customWidth="1"/>
    <col min="128" max="128" width="15.140625" bestFit="1" customWidth="1"/>
    <col min="129" max="129" width="9.42578125" bestFit="1" customWidth="1"/>
    <col min="130" max="130" width="13.85546875" bestFit="1" customWidth="1"/>
    <col min="131" max="131" width="13.28515625" bestFit="1" customWidth="1"/>
    <col min="132" max="132" width="15.140625" bestFit="1" customWidth="1"/>
    <col min="134" max="135" width="10.85546875" bestFit="1" customWidth="1"/>
    <col min="136" max="136" width="14.5703125" bestFit="1" customWidth="1"/>
    <col min="137" max="137" width="11.42578125" bestFit="1" customWidth="1"/>
    <col min="138" max="138" width="14.5703125" bestFit="1" customWidth="1"/>
    <col min="139" max="139" width="10.5703125" bestFit="1" customWidth="1"/>
    <col min="140" max="140" width="11.5703125" bestFit="1" customWidth="1"/>
    <col min="141" max="141" width="11.28515625" bestFit="1" customWidth="1"/>
    <col min="142" max="142" width="12.85546875" bestFit="1" customWidth="1"/>
    <col min="143" max="143" width="8.85546875" bestFit="1" customWidth="1"/>
    <col min="144" max="144" width="15.140625" bestFit="1" customWidth="1"/>
    <col min="145" max="145" width="10" bestFit="1" customWidth="1"/>
    <col min="146" max="146" width="10.85546875" bestFit="1" customWidth="1"/>
    <col min="147" max="147" width="13.140625" bestFit="1" customWidth="1"/>
    <col min="148" max="148" width="12.7109375" bestFit="1" customWidth="1"/>
    <col min="149" max="149" width="9.5703125" bestFit="1" customWidth="1"/>
    <col min="151" max="151" width="9.85546875" bestFit="1" customWidth="1"/>
    <col min="152" max="152" width="8.42578125" bestFit="1" customWidth="1"/>
    <col min="153" max="153" width="11.85546875" bestFit="1" customWidth="1"/>
    <col min="154" max="154" width="7.42578125" bestFit="1" customWidth="1"/>
    <col min="155" max="155" width="12.42578125" bestFit="1" customWidth="1"/>
    <col min="156" max="156" width="14.140625" bestFit="1" customWidth="1"/>
    <col min="157" max="157" width="11.140625" bestFit="1" customWidth="1"/>
    <col min="158" max="158" width="12.28515625" bestFit="1" customWidth="1"/>
    <col min="159" max="159" width="10.28515625" bestFit="1" customWidth="1"/>
    <col min="160" max="160" width="10.85546875" bestFit="1" customWidth="1"/>
    <col min="161" max="161" width="12.5703125" bestFit="1" customWidth="1"/>
    <col min="162" max="162" width="9.7109375" bestFit="1" customWidth="1"/>
    <col min="163" max="163" width="10.85546875" bestFit="1" customWidth="1"/>
    <col min="164" max="164" width="9.7109375" bestFit="1" customWidth="1"/>
    <col min="165" max="165" width="10.28515625" bestFit="1" customWidth="1"/>
    <col min="166" max="166" width="11.42578125" bestFit="1" customWidth="1"/>
    <col min="167" max="167" width="9.5703125" bestFit="1" customWidth="1"/>
    <col min="168" max="168" width="11.7109375" bestFit="1" customWidth="1"/>
    <col min="169" max="169" width="13.42578125" bestFit="1" customWidth="1"/>
    <col min="170" max="170" width="11" bestFit="1" customWidth="1"/>
    <col min="171" max="171" width="9.5703125" bestFit="1" customWidth="1"/>
    <col min="172" max="172" width="10.7109375" bestFit="1" customWidth="1"/>
    <col min="173" max="173" width="12" bestFit="1" customWidth="1"/>
    <col min="174" max="174" width="11.7109375" bestFit="1" customWidth="1"/>
    <col min="175" max="175" width="11" bestFit="1" customWidth="1"/>
    <col min="176" max="176" width="14.85546875" bestFit="1" customWidth="1"/>
    <col min="177" max="177" width="11" bestFit="1" customWidth="1"/>
    <col min="178" max="178" width="7.85546875" bestFit="1" customWidth="1"/>
    <col min="179" max="179" width="13.140625" bestFit="1" customWidth="1"/>
    <col min="180" max="180" width="11.28515625" bestFit="1" customWidth="1"/>
    <col min="181" max="181" width="13.7109375" bestFit="1" customWidth="1"/>
    <col min="182" max="182" width="12.85546875" bestFit="1" customWidth="1"/>
    <col min="183" max="183" width="7.140625" bestFit="1" customWidth="1"/>
    <col min="184" max="184" width="7" bestFit="1" customWidth="1"/>
    <col min="185" max="185" width="8" bestFit="1" customWidth="1"/>
    <col min="186" max="186" width="14" bestFit="1" customWidth="1"/>
    <col min="187" max="187" width="9.5703125" bestFit="1" customWidth="1"/>
    <col min="188" max="188" width="11" bestFit="1" customWidth="1"/>
    <col min="189" max="189" width="12.85546875" bestFit="1" customWidth="1"/>
    <col min="190" max="190" width="8.28515625" bestFit="1" customWidth="1"/>
    <col min="191" max="191" width="12.5703125" bestFit="1" customWidth="1"/>
    <col min="192" max="192" width="12.85546875" bestFit="1" customWidth="1"/>
    <col min="193" max="193" width="9.85546875" bestFit="1" customWidth="1"/>
    <col min="194" max="194" width="11.7109375" bestFit="1" customWidth="1"/>
    <col min="195" max="195" width="9.5703125" bestFit="1" customWidth="1"/>
    <col min="196" max="196" width="11.7109375" bestFit="1" customWidth="1"/>
    <col min="197" max="197" width="14.28515625" bestFit="1" customWidth="1"/>
    <col min="198" max="198" width="9.7109375" bestFit="1" customWidth="1"/>
    <col min="199" max="199" width="9" bestFit="1" customWidth="1"/>
    <col min="200" max="200" width="11" bestFit="1" customWidth="1"/>
    <col min="201" max="201" width="11.42578125" bestFit="1" customWidth="1"/>
    <col min="202" max="202" width="12.42578125" bestFit="1" customWidth="1"/>
    <col min="203" max="203" width="9" bestFit="1" customWidth="1"/>
    <col min="204" max="204" width="10.28515625" bestFit="1" customWidth="1"/>
    <col min="205" max="205" width="12.5703125" bestFit="1" customWidth="1"/>
    <col min="206" max="206" width="11.140625" bestFit="1" customWidth="1"/>
    <col min="207" max="207" width="8.85546875" bestFit="1" customWidth="1"/>
    <col min="208" max="208" width="8.7109375" bestFit="1" customWidth="1"/>
    <col min="209" max="209" width="8.140625" bestFit="1" customWidth="1"/>
    <col min="210" max="210" width="8.42578125" bestFit="1" customWidth="1"/>
    <col min="211" max="211" width="7.85546875" bestFit="1" customWidth="1"/>
  </cols>
  <sheetData>
    <row r="1" spans="1:3" x14ac:dyDescent="0.25">
      <c r="A1" s="88" t="s">
        <v>210</v>
      </c>
      <c r="B1" s="88" t="s">
        <v>36</v>
      </c>
      <c r="C1" s="88" t="s">
        <v>37</v>
      </c>
    </row>
    <row r="2" spans="1:3" x14ac:dyDescent="0.25">
      <c r="A2">
        <v>1</v>
      </c>
      <c r="B2">
        <v>1</v>
      </c>
      <c r="C2" t="s">
        <v>537</v>
      </c>
    </row>
    <row r="3" spans="1:3" x14ac:dyDescent="0.25">
      <c r="A3">
        <v>1</v>
      </c>
      <c r="B3">
        <v>2</v>
      </c>
      <c r="C3" t="s">
        <v>639</v>
      </c>
    </row>
    <row r="4" spans="1:3" x14ac:dyDescent="0.25">
      <c r="A4">
        <v>1</v>
      </c>
      <c r="B4">
        <v>3</v>
      </c>
      <c r="C4" t="s">
        <v>720</v>
      </c>
    </row>
    <row r="5" spans="1:3" x14ac:dyDescent="0.25">
      <c r="A5">
        <v>1</v>
      </c>
      <c r="B5">
        <v>4</v>
      </c>
      <c r="C5" t="s">
        <v>559</v>
      </c>
    </row>
    <row r="6" spans="1:3" x14ac:dyDescent="0.25">
      <c r="A6">
        <v>1</v>
      </c>
      <c r="B6">
        <v>5</v>
      </c>
      <c r="C6" t="s">
        <v>641</v>
      </c>
    </row>
    <row r="7" spans="1:3" x14ac:dyDescent="0.25">
      <c r="A7">
        <v>1</v>
      </c>
      <c r="B7">
        <v>6</v>
      </c>
      <c r="C7" t="s">
        <v>613</v>
      </c>
    </row>
    <row r="8" spans="1:3" x14ac:dyDescent="0.25">
      <c r="A8">
        <v>1</v>
      </c>
      <c r="B8">
        <v>8</v>
      </c>
      <c r="C8" t="s">
        <v>579</v>
      </c>
    </row>
    <row r="9" spans="1:3" x14ac:dyDescent="0.25">
      <c r="A9">
        <v>1</v>
      </c>
      <c r="B9">
        <v>9</v>
      </c>
      <c r="C9" t="s">
        <v>630</v>
      </c>
    </row>
    <row r="10" spans="1:3" x14ac:dyDescent="0.25">
      <c r="A10">
        <v>1</v>
      </c>
      <c r="B10">
        <v>11</v>
      </c>
      <c r="C10" t="s">
        <v>702</v>
      </c>
    </row>
    <row r="11" spans="1:3" x14ac:dyDescent="0.25">
      <c r="A11">
        <v>1</v>
      </c>
      <c r="B11">
        <v>13</v>
      </c>
      <c r="C11" t="s">
        <v>632</v>
      </c>
    </row>
    <row r="12" spans="1:3" x14ac:dyDescent="0.25">
      <c r="A12">
        <v>1</v>
      </c>
      <c r="B12">
        <v>14</v>
      </c>
      <c r="C12" t="s">
        <v>608</v>
      </c>
    </row>
    <row r="13" spans="1:3" x14ac:dyDescent="0.25">
      <c r="A13">
        <v>1</v>
      </c>
      <c r="B13">
        <v>15</v>
      </c>
      <c r="C13" t="s">
        <v>605</v>
      </c>
    </row>
    <row r="14" spans="1:3" x14ac:dyDescent="0.25">
      <c r="A14">
        <v>1</v>
      </c>
      <c r="B14">
        <v>17</v>
      </c>
      <c r="C14" t="s">
        <v>612</v>
      </c>
    </row>
    <row r="15" spans="1:3" x14ac:dyDescent="0.25">
      <c r="A15">
        <v>1</v>
      </c>
      <c r="B15">
        <v>18</v>
      </c>
      <c r="C15" t="s">
        <v>549</v>
      </c>
    </row>
    <row r="16" spans="1:3" x14ac:dyDescent="0.25">
      <c r="A16">
        <v>1</v>
      </c>
      <c r="B16">
        <v>19</v>
      </c>
      <c r="C16" t="s">
        <v>594</v>
      </c>
    </row>
    <row r="17" spans="1:3" x14ac:dyDescent="0.25">
      <c r="A17">
        <v>1</v>
      </c>
      <c r="B17">
        <v>20</v>
      </c>
      <c r="C17" t="s">
        <v>726</v>
      </c>
    </row>
    <row r="18" spans="1:3" x14ac:dyDescent="0.25">
      <c r="A18">
        <v>1</v>
      </c>
      <c r="B18">
        <v>22</v>
      </c>
      <c r="C18" t="s">
        <v>580</v>
      </c>
    </row>
    <row r="19" spans="1:3" x14ac:dyDescent="0.25">
      <c r="A19">
        <v>1</v>
      </c>
      <c r="B19">
        <v>25</v>
      </c>
      <c r="C19" t="s">
        <v>622</v>
      </c>
    </row>
    <row r="20" spans="1:3" x14ac:dyDescent="0.25">
      <c r="A20">
        <v>1</v>
      </c>
      <c r="B20">
        <v>26</v>
      </c>
      <c r="C20" t="s">
        <v>616</v>
      </c>
    </row>
    <row r="21" spans="1:3" x14ac:dyDescent="0.25">
      <c r="A21">
        <v>1</v>
      </c>
      <c r="B21">
        <v>27</v>
      </c>
      <c r="C21" t="s">
        <v>709</v>
      </c>
    </row>
    <row r="22" spans="1:3" x14ac:dyDescent="0.25">
      <c r="A22">
        <v>1</v>
      </c>
      <c r="B22">
        <v>28</v>
      </c>
      <c r="C22" t="s">
        <v>555</v>
      </c>
    </row>
    <row r="23" spans="1:3" x14ac:dyDescent="0.25">
      <c r="A23">
        <v>1</v>
      </c>
      <c r="B23">
        <v>29</v>
      </c>
      <c r="C23" t="s">
        <v>647</v>
      </c>
    </row>
    <row r="24" spans="1:3" x14ac:dyDescent="0.25">
      <c r="A24">
        <v>1</v>
      </c>
      <c r="B24">
        <v>31</v>
      </c>
      <c r="C24" t="s">
        <v>627</v>
      </c>
    </row>
    <row r="25" spans="1:3" x14ac:dyDescent="0.25">
      <c r="A25">
        <v>1</v>
      </c>
      <c r="B25">
        <v>33</v>
      </c>
      <c r="C25" t="s">
        <v>628</v>
      </c>
    </row>
    <row r="26" spans="1:3" x14ac:dyDescent="0.25">
      <c r="A26">
        <v>1</v>
      </c>
      <c r="B26">
        <v>38</v>
      </c>
      <c r="C26" t="s">
        <v>565</v>
      </c>
    </row>
    <row r="27" spans="1:3" x14ac:dyDescent="0.25">
      <c r="A27">
        <v>1</v>
      </c>
      <c r="B27">
        <v>39</v>
      </c>
      <c r="C27" t="s">
        <v>586</v>
      </c>
    </row>
    <row r="28" spans="1:3" x14ac:dyDescent="0.25">
      <c r="A28">
        <v>1</v>
      </c>
      <c r="B28">
        <v>40</v>
      </c>
      <c r="C28" t="s">
        <v>557</v>
      </c>
    </row>
    <row r="29" spans="1:3" x14ac:dyDescent="0.25">
      <c r="A29">
        <v>1</v>
      </c>
      <c r="B29">
        <v>42</v>
      </c>
      <c r="C29" t="s">
        <v>683</v>
      </c>
    </row>
    <row r="30" spans="1:3" x14ac:dyDescent="0.25">
      <c r="A30">
        <v>1</v>
      </c>
      <c r="B30">
        <v>45</v>
      </c>
      <c r="C30" t="s">
        <v>626</v>
      </c>
    </row>
    <row r="31" spans="1:3" x14ac:dyDescent="0.25">
      <c r="A31">
        <v>1</v>
      </c>
      <c r="B31">
        <v>46</v>
      </c>
      <c r="C31" t="s">
        <v>614</v>
      </c>
    </row>
    <row r="32" spans="1:3" x14ac:dyDescent="0.25">
      <c r="A32">
        <v>1</v>
      </c>
      <c r="B32">
        <v>48</v>
      </c>
      <c r="C32" t="s">
        <v>733</v>
      </c>
    </row>
    <row r="33" spans="1:3" x14ac:dyDescent="0.25">
      <c r="A33">
        <v>1</v>
      </c>
      <c r="B33">
        <v>49</v>
      </c>
      <c r="C33" t="s">
        <v>583</v>
      </c>
    </row>
    <row r="34" spans="1:3" x14ac:dyDescent="0.25">
      <c r="A34">
        <v>1</v>
      </c>
      <c r="B34">
        <v>50</v>
      </c>
      <c r="C34" t="s">
        <v>651</v>
      </c>
    </row>
    <row r="35" spans="1:3" x14ac:dyDescent="0.25">
      <c r="A35">
        <v>1</v>
      </c>
      <c r="B35">
        <v>51</v>
      </c>
      <c r="C35" t="s">
        <v>691</v>
      </c>
    </row>
    <row r="36" spans="1:3" x14ac:dyDescent="0.25">
      <c r="A36">
        <v>1</v>
      </c>
      <c r="B36">
        <v>52</v>
      </c>
      <c r="C36" t="s">
        <v>692</v>
      </c>
    </row>
    <row r="37" spans="1:3" x14ac:dyDescent="0.25">
      <c r="A37">
        <v>1</v>
      </c>
      <c r="B37">
        <v>53</v>
      </c>
      <c r="C37" t="s">
        <v>576</v>
      </c>
    </row>
    <row r="38" spans="1:3" x14ac:dyDescent="0.25">
      <c r="A38">
        <v>1</v>
      </c>
      <c r="B38">
        <v>59</v>
      </c>
      <c r="C38" t="s">
        <v>663</v>
      </c>
    </row>
    <row r="39" spans="1:3" x14ac:dyDescent="0.25">
      <c r="A39">
        <v>1</v>
      </c>
      <c r="B39">
        <v>60</v>
      </c>
      <c r="C39" t="s">
        <v>603</v>
      </c>
    </row>
    <row r="40" spans="1:3" x14ac:dyDescent="0.25">
      <c r="A40">
        <v>1</v>
      </c>
      <c r="B40">
        <v>61</v>
      </c>
      <c r="C40" t="s">
        <v>725</v>
      </c>
    </row>
    <row r="41" spans="1:3" x14ac:dyDescent="0.25">
      <c r="A41">
        <v>2</v>
      </c>
      <c r="B41">
        <v>1</v>
      </c>
      <c r="C41" t="s">
        <v>544</v>
      </c>
    </row>
    <row r="42" spans="1:3" x14ac:dyDescent="0.25">
      <c r="A42">
        <v>2</v>
      </c>
      <c r="B42">
        <v>2</v>
      </c>
      <c r="C42" t="s">
        <v>706</v>
      </c>
    </row>
    <row r="43" spans="1:3" x14ac:dyDescent="0.25">
      <c r="A43">
        <v>2</v>
      </c>
      <c r="B43">
        <v>3</v>
      </c>
      <c r="C43" t="s">
        <v>521</v>
      </c>
    </row>
    <row r="44" spans="1:3" x14ac:dyDescent="0.25">
      <c r="A44">
        <v>2</v>
      </c>
      <c r="B44">
        <v>4</v>
      </c>
      <c r="C44" t="s">
        <v>577</v>
      </c>
    </row>
    <row r="45" spans="1:3" x14ac:dyDescent="0.25">
      <c r="A45">
        <v>2</v>
      </c>
      <c r="B45">
        <v>5</v>
      </c>
      <c r="C45" t="s">
        <v>610</v>
      </c>
    </row>
    <row r="46" spans="1:3" x14ac:dyDescent="0.25">
      <c r="A46">
        <v>2</v>
      </c>
      <c r="B46">
        <v>6</v>
      </c>
      <c r="C46" t="s">
        <v>668</v>
      </c>
    </row>
    <row r="47" spans="1:3" x14ac:dyDescent="0.25">
      <c r="A47">
        <v>2</v>
      </c>
      <c r="B47">
        <v>7</v>
      </c>
      <c r="C47" t="s">
        <v>578</v>
      </c>
    </row>
    <row r="48" spans="1:3" x14ac:dyDescent="0.25">
      <c r="A48">
        <v>2</v>
      </c>
      <c r="B48">
        <v>8</v>
      </c>
      <c r="C48" t="s">
        <v>738</v>
      </c>
    </row>
    <row r="49" spans="1:3" x14ac:dyDescent="0.25">
      <c r="A49">
        <v>2</v>
      </c>
      <c r="B49">
        <v>9</v>
      </c>
      <c r="C49" t="s">
        <v>572</v>
      </c>
    </row>
    <row r="50" spans="1:3" x14ac:dyDescent="0.25">
      <c r="A50">
        <v>2</v>
      </c>
      <c r="B50">
        <v>10</v>
      </c>
      <c r="C50" t="s">
        <v>625</v>
      </c>
    </row>
    <row r="51" spans="1:3" x14ac:dyDescent="0.25">
      <c r="A51">
        <v>2</v>
      </c>
      <c r="B51">
        <v>11</v>
      </c>
      <c r="C51" t="s">
        <v>589</v>
      </c>
    </row>
    <row r="52" spans="1:3" x14ac:dyDescent="0.25">
      <c r="A52">
        <v>2</v>
      </c>
      <c r="B52">
        <v>12</v>
      </c>
      <c r="C52" t="s">
        <v>729</v>
      </c>
    </row>
    <row r="53" spans="1:3" x14ac:dyDescent="0.25">
      <c r="A53">
        <v>2</v>
      </c>
      <c r="B53">
        <v>31</v>
      </c>
      <c r="C53" t="s">
        <v>700</v>
      </c>
    </row>
    <row r="54" spans="1:3" x14ac:dyDescent="0.25">
      <c r="A54">
        <v>2</v>
      </c>
      <c r="B54">
        <v>33</v>
      </c>
      <c r="C54" t="s">
        <v>584</v>
      </c>
    </row>
    <row r="55" spans="1:3" x14ac:dyDescent="0.25">
      <c r="A55">
        <v>2</v>
      </c>
      <c r="B55">
        <v>34</v>
      </c>
      <c r="C55" t="s">
        <v>685</v>
      </c>
    </row>
    <row r="56" spans="1:3" x14ac:dyDescent="0.25">
      <c r="A56">
        <v>2</v>
      </c>
      <c r="B56">
        <v>37</v>
      </c>
      <c r="C56" t="s">
        <v>556</v>
      </c>
    </row>
    <row r="57" spans="1:3" x14ac:dyDescent="0.25">
      <c r="A57">
        <v>2</v>
      </c>
      <c r="B57">
        <v>39</v>
      </c>
      <c r="C57" t="s">
        <v>660</v>
      </c>
    </row>
    <row r="58" spans="1:3" x14ac:dyDescent="0.25">
      <c r="A58">
        <v>2</v>
      </c>
      <c r="B58">
        <v>40</v>
      </c>
      <c r="C58" t="s">
        <v>693</v>
      </c>
    </row>
    <row r="59" spans="1:3" x14ac:dyDescent="0.25">
      <c r="A59">
        <v>2</v>
      </c>
      <c r="B59">
        <v>42</v>
      </c>
      <c r="C59" t="s">
        <v>686</v>
      </c>
    </row>
    <row r="60" spans="1:3" x14ac:dyDescent="0.25">
      <c r="A60">
        <v>2</v>
      </c>
      <c r="B60">
        <v>43</v>
      </c>
      <c r="C60" t="s">
        <v>646</v>
      </c>
    </row>
    <row r="61" spans="1:3" x14ac:dyDescent="0.25">
      <c r="A61">
        <v>2</v>
      </c>
      <c r="B61">
        <v>46</v>
      </c>
      <c r="C61" t="s">
        <v>558</v>
      </c>
    </row>
    <row r="62" spans="1:3" x14ac:dyDescent="0.25">
      <c r="A62">
        <v>2</v>
      </c>
      <c r="B62">
        <v>47</v>
      </c>
      <c r="C62" t="s">
        <v>606</v>
      </c>
    </row>
    <row r="63" spans="1:3" x14ac:dyDescent="0.25">
      <c r="A63">
        <v>2</v>
      </c>
      <c r="B63">
        <v>48</v>
      </c>
      <c r="C63" t="s">
        <v>704</v>
      </c>
    </row>
    <row r="64" spans="1:3" x14ac:dyDescent="0.25">
      <c r="A64">
        <v>2</v>
      </c>
      <c r="B64">
        <v>66</v>
      </c>
      <c r="C64" t="s">
        <v>721</v>
      </c>
    </row>
    <row r="65" spans="1:3" x14ac:dyDescent="0.25">
      <c r="A65">
        <v>2</v>
      </c>
      <c r="B65">
        <v>67</v>
      </c>
      <c r="C65" t="s">
        <v>598</v>
      </c>
    </row>
    <row r="66" spans="1:3" x14ac:dyDescent="0.25">
      <c r="A66">
        <v>2</v>
      </c>
      <c r="B66">
        <v>68</v>
      </c>
      <c r="C66" t="s">
        <v>631</v>
      </c>
    </row>
    <row r="67" spans="1:3" x14ac:dyDescent="0.25">
      <c r="A67">
        <v>2</v>
      </c>
      <c r="B67">
        <v>69</v>
      </c>
      <c r="C67" t="s">
        <v>687</v>
      </c>
    </row>
    <row r="68" spans="1:3" x14ac:dyDescent="0.25">
      <c r="A68">
        <v>2</v>
      </c>
      <c r="B68">
        <v>70</v>
      </c>
      <c r="C68" t="s">
        <v>627</v>
      </c>
    </row>
    <row r="69" spans="1:3" x14ac:dyDescent="0.25">
      <c r="A69">
        <v>2</v>
      </c>
      <c r="C69" t="s">
        <v>728</v>
      </c>
    </row>
    <row r="70" spans="1:3" x14ac:dyDescent="0.25">
      <c r="A70">
        <v>2</v>
      </c>
      <c r="B70">
        <v>71</v>
      </c>
      <c r="C70" t="s">
        <v>677</v>
      </c>
    </row>
    <row r="71" spans="1:3" x14ac:dyDescent="0.25">
      <c r="A71">
        <v>2</v>
      </c>
      <c r="B71">
        <v>72</v>
      </c>
      <c r="C71" t="s">
        <v>600</v>
      </c>
    </row>
    <row r="72" spans="1:3" x14ac:dyDescent="0.25">
      <c r="A72">
        <v>2</v>
      </c>
      <c r="B72">
        <v>99</v>
      </c>
      <c r="C72" t="s">
        <v>617</v>
      </c>
    </row>
    <row r="73" spans="1:3" x14ac:dyDescent="0.25">
      <c r="A73">
        <v>3</v>
      </c>
      <c r="B73">
        <v>1</v>
      </c>
      <c r="C73" t="s">
        <v>541</v>
      </c>
    </row>
    <row r="74" spans="1:3" x14ac:dyDescent="0.25">
      <c r="A74">
        <v>3</v>
      </c>
      <c r="B74">
        <v>2</v>
      </c>
      <c r="C74" t="s">
        <v>727</v>
      </c>
    </row>
    <row r="75" spans="1:3" x14ac:dyDescent="0.25">
      <c r="A75">
        <v>3</v>
      </c>
      <c r="B75">
        <v>3</v>
      </c>
      <c r="C75" t="s">
        <v>665</v>
      </c>
    </row>
    <row r="76" spans="1:3" x14ac:dyDescent="0.25">
      <c r="A76">
        <v>3</v>
      </c>
      <c r="B76">
        <v>4</v>
      </c>
      <c r="C76" t="s">
        <v>569</v>
      </c>
    </row>
    <row r="77" spans="1:3" x14ac:dyDescent="0.25">
      <c r="A77">
        <v>3</v>
      </c>
      <c r="B77">
        <v>5</v>
      </c>
      <c r="C77" t="s">
        <v>743</v>
      </c>
    </row>
    <row r="78" spans="1:3" x14ac:dyDescent="0.25">
      <c r="A78">
        <v>3</v>
      </c>
      <c r="B78">
        <v>6</v>
      </c>
      <c r="C78" t="s">
        <v>698</v>
      </c>
    </row>
    <row r="79" spans="1:3" x14ac:dyDescent="0.25">
      <c r="A79">
        <v>3</v>
      </c>
      <c r="B79">
        <v>7</v>
      </c>
      <c r="C79" t="s">
        <v>734</v>
      </c>
    </row>
    <row r="80" spans="1:3" x14ac:dyDescent="0.25">
      <c r="A80">
        <v>3</v>
      </c>
      <c r="B80">
        <v>8</v>
      </c>
      <c r="C80" t="s">
        <v>601</v>
      </c>
    </row>
    <row r="81" spans="1:3" x14ac:dyDescent="0.25">
      <c r="A81">
        <v>3</v>
      </c>
      <c r="B81">
        <v>9</v>
      </c>
      <c r="C81" t="s">
        <v>587</v>
      </c>
    </row>
    <row r="82" spans="1:3" x14ac:dyDescent="0.25">
      <c r="A82">
        <v>3</v>
      </c>
      <c r="C82" t="s">
        <v>712</v>
      </c>
    </row>
    <row r="83" spans="1:3" x14ac:dyDescent="0.25">
      <c r="A83">
        <v>3</v>
      </c>
      <c r="B83">
        <v>10</v>
      </c>
      <c r="C83" t="s">
        <v>682</v>
      </c>
    </row>
    <row r="84" spans="1:3" x14ac:dyDescent="0.25">
      <c r="A84">
        <v>3</v>
      </c>
      <c r="B84">
        <v>11</v>
      </c>
      <c r="C84" t="s">
        <v>740</v>
      </c>
    </row>
    <row r="85" spans="1:3" x14ac:dyDescent="0.25">
      <c r="A85">
        <v>3</v>
      </c>
      <c r="B85">
        <v>13</v>
      </c>
      <c r="C85" t="s">
        <v>696</v>
      </c>
    </row>
    <row r="86" spans="1:3" x14ac:dyDescent="0.25">
      <c r="A86">
        <v>3</v>
      </c>
      <c r="B86">
        <v>33</v>
      </c>
      <c r="C86" t="s">
        <v>564</v>
      </c>
    </row>
    <row r="87" spans="1:3" x14ac:dyDescent="0.25">
      <c r="A87">
        <v>3</v>
      </c>
      <c r="B87">
        <v>57</v>
      </c>
      <c r="C87" t="s">
        <v>653</v>
      </c>
    </row>
    <row r="88" spans="1:3" x14ac:dyDescent="0.25">
      <c r="A88">
        <v>3</v>
      </c>
      <c r="B88">
        <v>79</v>
      </c>
      <c r="C88" t="s">
        <v>652</v>
      </c>
    </row>
    <row r="89" spans="1:3" x14ac:dyDescent="0.25">
      <c r="A89">
        <v>4</v>
      </c>
      <c r="B89">
        <v>1</v>
      </c>
      <c r="C89" t="s">
        <v>548</v>
      </c>
    </row>
    <row r="90" spans="1:3" x14ac:dyDescent="0.25">
      <c r="A90">
        <v>4</v>
      </c>
      <c r="B90">
        <v>2</v>
      </c>
      <c r="C90" t="s">
        <v>662</v>
      </c>
    </row>
    <row r="91" spans="1:3" x14ac:dyDescent="0.25">
      <c r="A91">
        <v>4</v>
      </c>
      <c r="B91">
        <v>3</v>
      </c>
      <c r="C91" t="s">
        <v>655</v>
      </c>
    </row>
    <row r="92" spans="1:3" x14ac:dyDescent="0.25">
      <c r="A92">
        <v>4</v>
      </c>
      <c r="B92">
        <v>4</v>
      </c>
      <c r="C92" t="s">
        <v>624</v>
      </c>
    </row>
    <row r="93" spans="1:3" x14ac:dyDescent="0.25">
      <c r="A93">
        <v>4</v>
      </c>
      <c r="B93">
        <v>5</v>
      </c>
      <c r="C93" t="s">
        <v>681</v>
      </c>
    </row>
    <row r="94" spans="1:3" x14ac:dyDescent="0.25">
      <c r="A94">
        <v>4</v>
      </c>
      <c r="B94">
        <v>6</v>
      </c>
      <c r="C94" t="s">
        <v>705</v>
      </c>
    </row>
    <row r="95" spans="1:3" x14ac:dyDescent="0.25">
      <c r="A95">
        <v>4</v>
      </c>
      <c r="B95">
        <v>7</v>
      </c>
      <c r="C95" t="s">
        <v>567</v>
      </c>
    </row>
    <row r="96" spans="1:3" x14ac:dyDescent="0.25">
      <c r="A96">
        <v>4</v>
      </c>
      <c r="B96">
        <v>8</v>
      </c>
      <c r="C96" t="s">
        <v>640</v>
      </c>
    </row>
    <row r="97" spans="1:3" x14ac:dyDescent="0.25">
      <c r="A97">
        <v>4</v>
      </c>
      <c r="B97">
        <v>9</v>
      </c>
      <c r="C97" t="s">
        <v>739</v>
      </c>
    </row>
    <row r="98" spans="1:3" x14ac:dyDescent="0.25">
      <c r="A98">
        <v>4</v>
      </c>
      <c r="B98">
        <v>10</v>
      </c>
      <c r="C98" t="s">
        <v>673</v>
      </c>
    </row>
    <row r="99" spans="1:3" x14ac:dyDescent="0.25">
      <c r="A99">
        <v>4</v>
      </c>
      <c r="B99">
        <v>11</v>
      </c>
      <c r="C99" t="s">
        <v>562</v>
      </c>
    </row>
    <row r="100" spans="1:3" x14ac:dyDescent="0.25">
      <c r="A100">
        <v>4</v>
      </c>
      <c r="B100">
        <v>12</v>
      </c>
      <c r="C100" t="s">
        <v>644</v>
      </c>
    </row>
    <row r="101" spans="1:3" x14ac:dyDescent="0.25">
      <c r="A101">
        <v>4</v>
      </c>
      <c r="B101">
        <v>13</v>
      </c>
      <c r="C101" t="s">
        <v>657</v>
      </c>
    </row>
    <row r="102" spans="1:3" x14ac:dyDescent="0.25">
      <c r="A102">
        <v>4</v>
      </c>
      <c r="B102">
        <v>14</v>
      </c>
      <c r="C102" t="s">
        <v>551</v>
      </c>
    </row>
    <row r="103" spans="1:3" x14ac:dyDescent="0.25">
      <c r="A103">
        <v>4</v>
      </c>
      <c r="B103">
        <v>15</v>
      </c>
      <c r="C103" t="s">
        <v>672</v>
      </c>
    </row>
    <row r="104" spans="1:3" x14ac:dyDescent="0.25">
      <c r="A104">
        <v>5</v>
      </c>
      <c r="B104">
        <v>1</v>
      </c>
      <c r="C104" t="s">
        <v>540</v>
      </c>
    </row>
    <row r="105" spans="1:3" x14ac:dyDescent="0.25">
      <c r="A105">
        <v>5</v>
      </c>
      <c r="B105">
        <v>2</v>
      </c>
      <c r="C105" t="s">
        <v>666</v>
      </c>
    </row>
    <row r="106" spans="1:3" x14ac:dyDescent="0.25">
      <c r="A106">
        <v>5</v>
      </c>
      <c r="B106">
        <v>3</v>
      </c>
      <c r="C106" t="s">
        <v>664</v>
      </c>
    </row>
    <row r="107" spans="1:3" x14ac:dyDescent="0.25">
      <c r="A107">
        <v>5</v>
      </c>
      <c r="B107">
        <v>4</v>
      </c>
      <c r="C107" t="s">
        <v>694</v>
      </c>
    </row>
    <row r="108" spans="1:3" x14ac:dyDescent="0.25">
      <c r="A108">
        <v>5</v>
      </c>
      <c r="B108">
        <v>5</v>
      </c>
      <c r="C108" t="s">
        <v>642</v>
      </c>
    </row>
    <row r="109" spans="1:3" x14ac:dyDescent="0.25">
      <c r="A109">
        <v>5</v>
      </c>
      <c r="B109">
        <v>6</v>
      </c>
      <c r="C109" t="s">
        <v>623</v>
      </c>
    </row>
    <row r="110" spans="1:3" x14ac:dyDescent="0.25">
      <c r="A110">
        <v>5</v>
      </c>
      <c r="B110">
        <v>7</v>
      </c>
      <c r="C110" t="s">
        <v>676</v>
      </c>
    </row>
    <row r="111" spans="1:3" x14ac:dyDescent="0.25">
      <c r="A111">
        <v>5</v>
      </c>
      <c r="B111">
        <v>8</v>
      </c>
      <c r="C111" t="s">
        <v>607</v>
      </c>
    </row>
    <row r="112" spans="1:3" x14ac:dyDescent="0.25">
      <c r="A112">
        <v>5</v>
      </c>
      <c r="B112">
        <v>9</v>
      </c>
      <c r="C112" t="s">
        <v>643</v>
      </c>
    </row>
    <row r="113" spans="1:3" x14ac:dyDescent="0.25">
      <c r="A113">
        <v>5</v>
      </c>
      <c r="B113">
        <v>10</v>
      </c>
      <c r="C113" t="s">
        <v>714</v>
      </c>
    </row>
    <row r="114" spans="1:3" x14ac:dyDescent="0.25">
      <c r="A114">
        <v>5</v>
      </c>
      <c r="B114">
        <v>11</v>
      </c>
      <c r="C114" t="s">
        <v>619</v>
      </c>
    </row>
    <row r="115" spans="1:3" x14ac:dyDescent="0.25">
      <c r="A115">
        <v>5</v>
      </c>
      <c r="B115">
        <v>15</v>
      </c>
      <c r="C115" t="s">
        <v>669</v>
      </c>
    </row>
    <row r="116" spans="1:3" x14ac:dyDescent="0.25">
      <c r="A116">
        <v>6</v>
      </c>
      <c r="B116">
        <v>1</v>
      </c>
      <c r="C116" t="s">
        <v>547</v>
      </c>
    </row>
    <row r="117" spans="1:3" x14ac:dyDescent="0.25">
      <c r="A117">
        <v>6</v>
      </c>
      <c r="B117">
        <v>2</v>
      </c>
      <c r="C117" t="s">
        <v>708</v>
      </c>
    </row>
    <row r="118" spans="1:3" x14ac:dyDescent="0.25">
      <c r="A118">
        <v>6</v>
      </c>
      <c r="B118">
        <v>3</v>
      </c>
      <c r="C118" t="s">
        <v>618</v>
      </c>
    </row>
    <row r="119" spans="1:3" x14ac:dyDescent="0.25">
      <c r="A119">
        <v>6</v>
      </c>
      <c r="B119">
        <v>5</v>
      </c>
      <c r="C119" t="s">
        <v>570</v>
      </c>
    </row>
    <row r="120" spans="1:3" x14ac:dyDescent="0.25">
      <c r="A120">
        <v>6</v>
      </c>
      <c r="B120">
        <v>6</v>
      </c>
      <c r="C120" t="s">
        <v>588</v>
      </c>
    </row>
    <row r="121" spans="1:3" x14ac:dyDescent="0.25">
      <c r="A121">
        <v>6</v>
      </c>
      <c r="B121">
        <v>7</v>
      </c>
      <c r="C121" t="s">
        <v>629</v>
      </c>
    </row>
    <row r="122" spans="1:3" x14ac:dyDescent="0.25">
      <c r="A122">
        <v>6</v>
      </c>
      <c r="B122">
        <v>8</v>
      </c>
      <c r="C122" t="s">
        <v>561</v>
      </c>
    </row>
    <row r="123" spans="1:3" x14ac:dyDescent="0.25">
      <c r="A123">
        <v>6</v>
      </c>
      <c r="B123">
        <v>9</v>
      </c>
      <c r="C123" t="s">
        <v>591</v>
      </c>
    </row>
    <row r="124" spans="1:3" x14ac:dyDescent="0.25">
      <c r="A124">
        <v>6</v>
      </c>
      <c r="B124">
        <v>10</v>
      </c>
      <c r="C124" t="s">
        <v>656</v>
      </c>
    </row>
    <row r="125" spans="1:3" x14ac:dyDescent="0.25">
      <c r="A125">
        <v>6</v>
      </c>
      <c r="B125">
        <v>11</v>
      </c>
      <c r="C125" t="s">
        <v>718</v>
      </c>
    </row>
    <row r="126" spans="1:3" x14ac:dyDescent="0.25">
      <c r="A126">
        <v>6</v>
      </c>
      <c r="B126">
        <v>20</v>
      </c>
      <c r="C126" t="s">
        <v>552</v>
      </c>
    </row>
    <row r="127" spans="1:3" x14ac:dyDescent="0.25">
      <c r="A127">
        <v>6</v>
      </c>
      <c r="B127">
        <v>24</v>
      </c>
      <c r="C127" t="s">
        <v>690</v>
      </c>
    </row>
    <row r="128" spans="1:3" x14ac:dyDescent="0.25">
      <c r="A128">
        <v>6</v>
      </c>
      <c r="B128">
        <v>100</v>
      </c>
      <c r="C128" t="s">
        <v>679</v>
      </c>
    </row>
    <row r="129" spans="1:3" x14ac:dyDescent="0.25">
      <c r="A129">
        <v>6</v>
      </c>
      <c r="B129">
        <v>101</v>
      </c>
      <c r="C129" t="s">
        <v>716</v>
      </c>
    </row>
    <row r="130" spans="1:3" x14ac:dyDescent="0.25">
      <c r="A130">
        <v>6</v>
      </c>
      <c r="B130">
        <v>102</v>
      </c>
      <c r="C130" t="s">
        <v>545</v>
      </c>
    </row>
    <row r="131" spans="1:3" x14ac:dyDescent="0.25">
      <c r="A131">
        <v>6</v>
      </c>
      <c r="B131">
        <v>105</v>
      </c>
      <c r="C131" t="s">
        <v>710</v>
      </c>
    </row>
    <row r="132" spans="1:3" x14ac:dyDescent="0.25">
      <c r="A132">
        <v>6</v>
      </c>
      <c r="B132">
        <v>106</v>
      </c>
      <c r="C132" t="s">
        <v>602</v>
      </c>
    </row>
    <row r="133" spans="1:3" x14ac:dyDescent="0.25">
      <c r="A133">
        <v>7</v>
      </c>
      <c r="B133">
        <v>70</v>
      </c>
      <c r="C133" t="s">
        <v>611</v>
      </c>
    </row>
    <row r="134" spans="1:3" x14ac:dyDescent="0.25">
      <c r="A134">
        <v>7</v>
      </c>
      <c r="B134">
        <v>76</v>
      </c>
      <c r="C134" t="s">
        <v>597</v>
      </c>
    </row>
    <row r="135" spans="1:3" x14ac:dyDescent="0.25">
      <c r="A135">
        <v>7</v>
      </c>
      <c r="B135">
        <v>101</v>
      </c>
      <c r="C135" t="s">
        <v>675</v>
      </c>
    </row>
    <row r="136" spans="1:3" x14ac:dyDescent="0.25">
      <c r="A136">
        <v>7</v>
      </c>
      <c r="B136">
        <v>104</v>
      </c>
      <c r="C136" t="s">
        <v>595</v>
      </c>
    </row>
    <row r="137" spans="1:3" x14ac:dyDescent="0.25">
      <c r="A137">
        <v>7</v>
      </c>
      <c r="B137">
        <v>109</v>
      </c>
      <c r="C137" t="s">
        <v>711</v>
      </c>
    </row>
    <row r="138" spans="1:3" x14ac:dyDescent="0.25">
      <c r="A138">
        <v>7</v>
      </c>
      <c r="B138">
        <v>110</v>
      </c>
      <c r="C138" t="s">
        <v>543</v>
      </c>
    </row>
    <row r="139" spans="1:3" x14ac:dyDescent="0.25">
      <c r="A139">
        <v>7</v>
      </c>
      <c r="B139">
        <v>116</v>
      </c>
      <c r="C139" t="s">
        <v>731</v>
      </c>
    </row>
    <row r="140" spans="1:3" x14ac:dyDescent="0.25">
      <c r="A140">
        <v>7</v>
      </c>
      <c r="B140">
        <v>150</v>
      </c>
      <c r="C140" t="s">
        <v>671</v>
      </c>
    </row>
    <row r="141" spans="1:3" x14ac:dyDescent="0.25">
      <c r="A141">
        <v>7</v>
      </c>
      <c r="B141">
        <v>151</v>
      </c>
      <c r="C141" t="s">
        <v>620</v>
      </c>
    </row>
    <row r="142" spans="1:3" x14ac:dyDescent="0.25">
      <c r="A142">
        <v>7</v>
      </c>
      <c r="B142">
        <v>153</v>
      </c>
      <c r="C142" t="s">
        <v>724</v>
      </c>
    </row>
    <row r="143" spans="1:3" x14ac:dyDescent="0.25">
      <c r="A143">
        <v>7</v>
      </c>
      <c r="B143">
        <v>156</v>
      </c>
      <c r="C143" t="s">
        <v>592</v>
      </c>
    </row>
    <row r="144" spans="1:3" x14ac:dyDescent="0.25">
      <c r="A144">
        <v>7</v>
      </c>
      <c r="B144">
        <v>157</v>
      </c>
      <c r="C144" t="s">
        <v>735</v>
      </c>
    </row>
    <row r="145" spans="1:3" x14ac:dyDescent="0.25">
      <c r="A145">
        <v>7</v>
      </c>
      <c r="B145">
        <v>159</v>
      </c>
      <c r="C145" t="s">
        <v>674</v>
      </c>
    </row>
    <row r="146" spans="1:3" x14ac:dyDescent="0.25">
      <c r="A146">
        <v>7</v>
      </c>
      <c r="B146">
        <v>161</v>
      </c>
      <c r="C146" t="s">
        <v>670</v>
      </c>
    </row>
    <row r="147" spans="1:3" x14ac:dyDescent="0.25">
      <c r="A147">
        <v>7</v>
      </c>
      <c r="B147">
        <v>200</v>
      </c>
      <c r="C147" t="s">
        <v>599</v>
      </c>
    </row>
    <row r="148" spans="1:3" x14ac:dyDescent="0.25">
      <c r="A148">
        <v>7</v>
      </c>
      <c r="B148">
        <v>201</v>
      </c>
      <c r="C148" t="s">
        <v>615</v>
      </c>
    </row>
    <row r="149" spans="1:3" x14ac:dyDescent="0.25">
      <c r="A149">
        <v>7</v>
      </c>
      <c r="B149">
        <v>202</v>
      </c>
      <c r="C149" t="s">
        <v>736</v>
      </c>
    </row>
    <row r="150" spans="1:3" x14ac:dyDescent="0.25">
      <c r="A150">
        <v>7</v>
      </c>
      <c r="B150">
        <v>203</v>
      </c>
      <c r="C150" t="s">
        <v>713</v>
      </c>
    </row>
    <row r="151" spans="1:3" x14ac:dyDescent="0.25">
      <c r="A151">
        <v>7</v>
      </c>
      <c r="B151">
        <v>204</v>
      </c>
      <c r="C151" t="s">
        <v>596</v>
      </c>
    </row>
    <row r="152" spans="1:3" x14ac:dyDescent="0.25">
      <c r="A152">
        <v>7</v>
      </c>
      <c r="B152">
        <v>208</v>
      </c>
      <c r="C152" t="s">
        <v>546</v>
      </c>
    </row>
    <row r="153" spans="1:3" x14ac:dyDescent="0.25">
      <c r="A153">
        <v>8</v>
      </c>
      <c r="B153">
        <v>1</v>
      </c>
      <c r="C153" t="s">
        <v>542</v>
      </c>
    </row>
    <row r="154" spans="1:3" x14ac:dyDescent="0.25">
      <c r="A154">
        <v>8</v>
      </c>
      <c r="B154">
        <v>2</v>
      </c>
      <c r="C154" t="s">
        <v>585</v>
      </c>
    </row>
    <row r="155" spans="1:3" x14ac:dyDescent="0.25">
      <c r="A155">
        <v>8</v>
      </c>
      <c r="B155">
        <v>4</v>
      </c>
      <c r="C155" t="s">
        <v>573</v>
      </c>
    </row>
    <row r="156" spans="1:3" x14ac:dyDescent="0.25">
      <c r="A156">
        <v>8</v>
      </c>
      <c r="B156">
        <v>5</v>
      </c>
      <c r="C156" t="s">
        <v>550</v>
      </c>
    </row>
    <row r="157" spans="1:3" x14ac:dyDescent="0.25">
      <c r="A157">
        <v>8</v>
      </c>
      <c r="B157">
        <v>6</v>
      </c>
      <c r="C157" t="s">
        <v>741</v>
      </c>
    </row>
    <row r="158" spans="1:3" x14ac:dyDescent="0.25">
      <c r="A158">
        <v>8</v>
      </c>
      <c r="B158">
        <v>7</v>
      </c>
      <c r="C158" t="s">
        <v>742</v>
      </c>
    </row>
    <row r="159" spans="1:3" x14ac:dyDescent="0.25">
      <c r="A159">
        <v>8</v>
      </c>
      <c r="B159">
        <v>8</v>
      </c>
      <c r="C159" t="s">
        <v>621</v>
      </c>
    </row>
    <row r="160" spans="1:3" x14ac:dyDescent="0.25">
      <c r="A160">
        <v>8</v>
      </c>
      <c r="B160">
        <v>12</v>
      </c>
      <c r="C160" t="s">
        <v>707</v>
      </c>
    </row>
    <row r="161" spans="1:3" x14ac:dyDescent="0.25">
      <c r="A161">
        <v>8</v>
      </c>
      <c r="B161">
        <v>13</v>
      </c>
      <c r="C161" t="s">
        <v>560</v>
      </c>
    </row>
    <row r="162" spans="1:3" x14ac:dyDescent="0.25">
      <c r="A162">
        <v>8</v>
      </c>
      <c r="B162">
        <v>14</v>
      </c>
      <c r="C162" t="s">
        <v>730</v>
      </c>
    </row>
    <row r="163" spans="1:3" x14ac:dyDescent="0.25">
      <c r="A163">
        <v>8</v>
      </c>
      <c r="B163">
        <v>15</v>
      </c>
      <c r="C163" t="s">
        <v>654</v>
      </c>
    </row>
    <row r="164" spans="1:3" x14ac:dyDescent="0.25">
      <c r="A164">
        <v>8</v>
      </c>
      <c r="B164">
        <v>16</v>
      </c>
      <c r="C164" t="s">
        <v>581</v>
      </c>
    </row>
    <row r="165" spans="1:3" x14ac:dyDescent="0.25">
      <c r="A165">
        <v>8</v>
      </c>
      <c r="B165">
        <v>17</v>
      </c>
      <c r="C165" t="s">
        <v>582</v>
      </c>
    </row>
    <row r="166" spans="1:3" x14ac:dyDescent="0.25">
      <c r="A166">
        <v>8</v>
      </c>
      <c r="B166">
        <v>20</v>
      </c>
      <c r="C166" t="s">
        <v>667</v>
      </c>
    </row>
    <row r="167" spans="1:3" x14ac:dyDescent="0.25">
      <c r="A167">
        <v>8</v>
      </c>
      <c r="B167">
        <v>23</v>
      </c>
      <c r="C167" t="s">
        <v>717</v>
      </c>
    </row>
    <row r="168" spans="1:3" x14ac:dyDescent="0.25">
      <c r="A168">
        <v>8</v>
      </c>
      <c r="B168">
        <v>68</v>
      </c>
      <c r="C168" t="s">
        <v>737</v>
      </c>
    </row>
    <row r="169" spans="1:3" x14ac:dyDescent="0.25">
      <c r="A169">
        <v>8</v>
      </c>
      <c r="B169">
        <v>71</v>
      </c>
      <c r="C169" t="s">
        <v>703</v>
      </c>
    </row>
    <row r="170" spans="1:3" x14ac:dyDescent="0.25">
      <c r="A170">
        <v>8</v>
      </c>
      <c r="B170">
        <v>73</v>
      </c>
      <c r="C170" t="s">
        <v>650</v>
      </c>
    </row>
    <row r="171" spans="1:3" x14ac:dyDescent="0.25">
      <c r="A171">
        <v>8</v>
      </c>
      <c r="B171">
        <v>74</v>
      </c>
      <c r="C171" t="s">
        <v>566</v>
      </c>
    </row>
    <row r="172" spans="1:3" x14ac:dyDescent="0.25">
      <c r="A172">
        <v>9</v>
      </c>
      <c r="B172">
        <v>1</v>
      </c>
      <c r="C172" t="s">
        <v>536</v>
      </c>
    </row>
    <row r="173" spans="1:3" x14ac:dyDescent="0.25">
      <c r="A173">
        <v>9</v>
      </c>
      <c r="B173">
        <v>2</v>
      </c>
      <c r="C173" t="s">
        <v>732</v>
      </c>
    </row>
    <row r="174" spans="1:3" x14ac:dyDescent="0.25">
      <c r="A174">
        <v>9</v>
      </c>
      <c r="B174">
        <v>3</v>
      </c>
      <c r="C174" t="s">
        <v>680</v>
      </c>
    </row>
    <row r="175" spans="1:3" x14ac:dyDescent="0.25">
      <c r="A175">
        <v>9</v>
      </c>
      <c r="B175">
        <v>4</v>
      </c>
      <c r="C175" t="s">
        <v>636</v>
      </c>
    </row>
    <row r="176" spans="1:3" x14ac:dyDescent="0.25">
      <c r="A176">
        <v>9</v>
      </c>
      <c r="B176">
        <v>5</v>
      </c>
      <c r="C176" t="s">
        <v>684</v>
      </c>
    </row>
    <row r="177" spans="1:3" x14ac:dyDescent="0.25">
      <c r="A177">
        <v>9</v>
      </c>
      <c r="B177">
        <v>6</v>
      </c>
      <c r="C177" t="s">
        <v>638</v>
      </c>
    </row>
    <row r="178" spans="1:3" x14ac:dyDescent="0.25">
      <c r="A178">
        <v>9</v>
      </c>
      <c r="B178">
        <v>8</v>
      </c>
      <c r="C178" t="s">
        <v>649</v>
      </c>
    </row>
    <row r="179" spans="1:3" x14ac:dyDescent="0.25">
      <c r="A179">
        <v>9</v>
      </c>
      <c r="B179">
        <v>9</v>
      </c>
      <c r="C179" t="s">
        <v>633</v>
      </c>
    </row>
    <row r="180" spans="1:3" x14ac:dyDescent="0.25">
      <c r="A180">
        <v>9</v>
      </c>
      <c r="B180">
        <v>10</v>
      </c>
      <c r="C180" t="s">
        <v>553</v>
      </c>
    </row>
    <row r="181" spans="1:3" x14ac:dyDescent="0.25">
      <c r="A181">
        <v>9</v>
      </c>
      <c r="B181">
        <v>11</v>
      </c>
      <c r="C181" t="s">
        <v>609</v>
      </c>
    </row>
    <row r="182" spans="1:3" x14ac:dyDescent="0.25">
      <c r="A182">
        <v>9</v>
      </c>
      <c r="B182">
        <v>13</v>
      </c>
      <c r="C182" t="s">
        <v>689</v>
      </c>
    </row>
    <row r="183" spans="1:3" x14ac:dyDescent="0.25">
      <c r="A183">
        <v>9</v>
      </c>
      <c r="B183">
        <v>14</v>
      </c>
      <c r="C183" t="s">
        <v>590</v>
      </c>
    </row>
    <row r="184" spans="1:3" x14ac:dyDescent="0.25">
      <c r="A184">
        <v>9</v>
      </c>
      <c r="B184">
        <v>15</v>
      </c>
      <c r="C184" t="s">
        <v>701</v>
      </c>
    </row>
    <row r="185" spans="1:3" x14ac:dyDescent="0.25">
      <c r="A185">
        <v>9</v>
      </c>
      <c r="B185">
        <v>16</v>
      </c>
      <c r="C185" t="s">
        <v>645</v>
      </c>
    </row>
    <row r="186" spans="1:3" x14ac:dyDescent="0.25">
      <c r="A186">
        <v>10</v>
      </c>
      <c r="B186">
        <v>1</v>
      </c>
      <c r="C186" t="s">
        <v>539</v>
      </c>
    </row>
    <row r="187" spans="1:3" x14ac:dyDescent="0.25">
      <c r="A187">
        <v>10</v>
      </c>
      <c r="B187">
        <v>2</v>
      </c>
      <c r="C187" t="s">
        <v>695</v>
      </c>
    </row>
    <row r="188" spans="1:3" x14ac:dyDescent="0.25">
      <c r="A188">
        <v>10</v>
      </c>
      <c r="B188">
        <v>3</v>
      </c>
      <c r="C188" t="s">
        <v>699</v>
      </c>
    </row>
    <row r="189" spans="1:3" x14ac:dyDescent="0.25">
      <c r="A189">
        <v>10</v>
      </c>
      <c r="B189">
        <v>4</v>
      </c>
      <c r="C189" t="s">
        <v>659</v>
      </c>
    </row>
    <row r="190" spans="1:3" x14ac:dyDescent="0.25">
      <c r="A190">
        <v>10</v>
      </c>
      <c r="B190">
        <v>5</v>
      </c>
      <c r="C190" t="s">
        <v>571</v>
      </c>
    </row>
    <row r="191" spans="1:3" x14ac:dyDescent="0.25">
      <c r="A191">
        <v>10</v>
      </c>
      <c r="B191">
        <v>7</v>
      </c>
      <c r="C191" t="s">
        <v>715</v>
      </c>
    </row>
    <row r="192" spans="1:3" x14ac:dyDescent="0.25">
      <c r="A192">
        <v>10</v>
      </c>
      <c r="B192">
        <v>8</v>
      </c>
      <c r="C192" t="s">
        <v>637</v>
      </c>
    </row>
    <row r="193" spans="1:3" x14ac:dyDescent="0.25">
      <c r="A193">
        <v>10</v>
      </c>
      <c r="B193">
        <v>9</v>
      </c>
      <c r="C193" t="s">
        <v>563</v>
      </c>
    </row>
    <row r="194" spans="1:3" x14ac:dyDescent="0.25">
      <c r="A194">
        <v>10</v>
      </c>
      <c r="B194">
        <v>10</v>
      </c>
      <c r="C194" t="s">
        <v>554</v>
      </c>
    </row>
    <row r="195" spans="1:3" x14ac:dyDescent="0.25">
      <c r="A195">
        <v>10</v>
      </c>
      <c r="B195">
        <v>11</v>
      </c>
      <c r="C195" t="s">
        <v>604</v>
      </c>
    </row>
    <row r="196" spans="1:3" x14ac:dyDescent="0.25">
      <c r="A196">
        <v>10</v>
      </c>
      <c r="B196">
        <v>12</v>
      </c>
      <c r="C196" t="s">
        <v>568</v>
      </c>
    </row>
    <row r="197" spans="1:3" x14ac:dyDescent="0.25">
      <c r="A197">
        <v>10</v>
      </c>
      <c r="B197">
        <v>13</v>
      </c>
      <c r="C197" t="s">
        <v>648</v>
      </c>
    </row>
    <row r="198" spans="1:3" x14ac:dyDescent="0.25">
      <c r="A198">
        <v>10</v>
      </c>
      <c r="B198">
        <v>14</v>
      </c>
      <c r="C198" t="s">
        <v>722</v>
      </c>
    </row>
    <row r="199" spans="1:3" x14ac:dyDescent="0.25">
      <c r="A199">
        <v>10</v>
      </c>
      <c r="B199">
        <v>15</v>
      </c>
      <c r="C199" t="s">
        <v>634</v>
      </c>
    </row>
    <row r="200" spans="1:3" x14ac:dyDescent="0.25">
      <c r="A200">
        <v>11</v>
      </c>
      <c r="B200">
        <v>1</v>
      </c>
      <c r="C200" t="s">
        <v>538</v>
      </c>
    </row>
    <row r="201" spans="1:3" x14ac:dyDescent="0.25">
      <c r="A201">
        <v>11</v>
      </c>
      <c r="B201">
        <v>2</v>
      </c>
      <c r="C201" t="s">
        <v>593</v>
      </c>
    </row>
    <row r="202" spans="1:3" x14ac:dyDescent="0.25">
      <c r="A202">
        <v>11</v>
      </c>
      <c r="B202">
        <v>4</v>
      </c>
      <c r="C202" t="s">
        <v>723</v>
      </c>
    </row>
    <row r="203" spans="1:3" x14ac:dyDescent="0.25">
      <c r="A203">
        <v>11</v>
      </c>
      <c r="B203">
        <v>5</v>
      </c>
      <c r="C203" t="s">
        <v>658</v>
      </c>
    </row>
    <row r="204" spans="1:3" x14ac:dyDescent="0.25">
      <c r="A204">
        <v>11</v>
      </c>
      <c r="B204">
        <v>6</v>
      </c>
      <c r="C204" t="s">
        <v>574</v>
      </c>
    </row>
    <row r="205" spans="1:3" x14ac:dyDescent="0.25">
      <c r="A205">
        <v>11</v>
      </c>
      <c r="B205">
        <v>7</v>
      </c>
      <c r="C205" t="s">
        <v>635</v>
      </c>
    </row>
    <row r="206" spans="1:3" x14ac:dyDescent="0.25">
      <c r="A206">
        <v>11</v>
      </c>
      <c r="B206">
        <v>8</v>
      </c>
      <c r="C206" t="s">
        <v>719</v>
      </c>
    </row>
    <row r="207" spans="1:3" x14ac:dyDescent="0.25">
      <c r="A207">
        <v>11</v>
      </c>
      <c r="B207">
        <v>9</v>
      </c>
      <c r="C207" t="s">
        <v>575</v>
      </c>
    </row>
    <row r="208" spans="1:3" x14ac:dyDescent="0.25">
      <c r="A208">
        <v>11</v>
      </c>
      <c r="B208">
        <v>10</v>
      </c>
      <c r="C208" t="s">
        <v>688</v>
      </c>
    </row>
    <row r="209" spans="1:3" x14ac:dyDescent="0.25">
      <c r="A209">
        <v>11</v>
      </c>
      <c r="B209">
        <v>11</v>
      </c>
      <c r="C209" t="s">
        <v>661</v>
      </c>
    </row>
    <row r="210" spans="1:3" x14ac:dyDescent="0.25">
      <c r="A210">
        <v>11</v>
      </c>
      <c r="B210">
        <v>13</v>
      </c>
      <c r="C210" t="s">
        <v>557</v>
      </c>
    </row>
    <row r="211" spans="1:3" x14ac:dyDescent="0.25">
      <c r="A211">
        <v>11</v>
      </c>
      <c r="B211">
        <v>14</v>
      </c>
      <c r="C211" t="s">
        <v>697</v>
      </c>
    </row>
    <row r="212" spans="1:3" x14ac:dyDescent="0.25">
      <c r="A212">
        <v>11</v>
      </c>
      <c r="B212">
        <v>15</v>
      </c>
      <c r="C212" t="s">
        <v>678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BA8D43-0A66-4E12-B910-2C929C5FDF75}">
  <dimension ref="A1"/>
  <sheetViews>
    <sheetView zoomScale="85" zoomScaleNormal="85" workbookViewId="0">
      <selection activeCell="S30" sqref="S30"/>
    </sheetView>
  </sheetViews>
  <sheetFormatPr defaultRowHeight="15" x14ac:dyDescent="0.25"/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C4C3D-4DB7-407B-8840-6CBF752805CE}">
  <dimension ref="A1:AC39"/>
  <sheetViews>
    <sheetView showGridLines="0" zoomScale="80" zoomScaleNormal="80" workbookViewId="0">
      <selection activeCell="O15" sqref="O15"/>
    </sheetView>
  </sheetViews>
  <sheetFormatPr defaultRowHeight="15" x14ac:dyDescent="0.25"/>
  <cols>
    <col min="1" max="1" width="20.7109375" customWidth="1"/>
    <col min="2" max="10" width="9.140625" customWidth="1"/>
    <col min="11" max="11" width="18.42578125" customWidth="1"/>
    <col min="16" max="16" width="9.140625" style="135"/>
    <col min="17" max="17" width="20.5703125" customWidth="1"/>
    <col min="27" max="27" width="18.42578125" customWidth="1"/>
  </cols>
  <sheetData>
    <row r="1" spans="1:29" x14ac:dyDescent="0.25">
      <c r="A1" t="s">
        <v>117</v>
      </c>
      <c r="B1">
        <f>COUNTIFS(Mecze[Number],J3,Mecze[Typ meczu],J5,Mecze[TEAM],J1)</f>
        <v>21</v>
      </c>
      <c r="D1" s="130" t="s">
        <v>38</v>
      </c>
      <c r="E1" s="130"/>
      <c r="F1" t="e">
        <f>SUMIFS(#REF!,#REF!,$J$3,#REF!,$J$1)</f>
        <v>#REF!</v>
      </c>
      <c r="G1" s="54" t="str">
        <f>IFERROR(F1-V1,"-")</f>
        <v>-</v>
      </c>
      <c r="J1" s="7">
        <v>1</v>
      </c>
      <c r="K1" s="107" t="str">
        <f>VLOOKUP(J1,Klubiki[],2,FALSE)</f>
        <v>Nowielice</v>
      </c>
      <c r="L1" s="107"/>
      <c r="Q1" t="s">
        <v>117</v>
      </c>
      <c r="R1">
        <f>COUNTIFS(Mecze[Number],Z3,Mecze[Typ meczu],Z5,Mecze[TEAM],Z1)</f>
        <v>22</v>
      </c>
      <c r="T1" s="130" t="s">
        <v>38</v>
      </c>
      <c r="U1" s="130"/>
      <c r="V1" t="e">
        <f>SUMIFS(#REF!,#REF!,$Z$3,#REF!,$Z$1)</f>
        <v>#REF!</v>
      </c>
      <c r="W1" s="54" t="str">
        <f>IFERROR(V1-F1,"-")</f>
        <v>-</v>
      </c>
      <c r="Z1" s="7">
        <v>3</v>
      </c>
      <c r="AA1" s="107" t="str">
        <f>VLOOKUP(Z1,Klubiki[],2,FALSE)</f>
        <v>Diabolic Team</v>
      </c>
      <c r="AB1" s="107"/>
    </row>
    <row r="2" spans="1:29" x14ac:dyDescent="0.25">
      <c r="A2" t="s">
        <v>176</v>
      </c>
      <c r="B2">
        <f>COUNTIFS(Mecze[Number],J3,Mecze[Typ meczu],J5,Mecze[Role],J7,Mecze[TEAM],J1)</f>
        <v>0</v>
      </c>
      <c r="D2" s="130" t="s">
        <v>65</v>
      </c>
      <c r="E2" s="130"/>
      <c r="F2">
        <f>IF(J1=1,SUMIFS(Zawodnicy[Free Kick Acc],Zawodnicy[Number],$J$3)*7+SUMIFS(Zawodnicy[Long Passing],Zawodnicy[Number],$J$3)*3,"-")</f>
        <v>24</v>
      </c>
      <c r="G2" s="54" t="str">
        <f>IFERROR(F2-V2,"-")</f>
        <v>-</v>
      </c>
      <c r="Q2" t="s">
        <v>176</v>
      </c>
      <c r="R2">
        <f>COUNTIFS(Mecze[Number],Z3,Mecze[Typ meczu],Z5,Mecze[Role],Z7,Mecze[TEAM],Z1)</f>
        <v>0</v>
      </c>
      <c r="T2" s="130" t="s">
        <v>65</v>
      </c>
      <c r="U2" s="130"/>
      <c r="V2" t="str">
        <f>IF($Z$1=1,SUMIFS(Zawodnicy[Free Kick Acc],Zawodnicy[Number],$Z$3)*7+SUMIFS(Zawodnicy[Long Passing],Zawodnicy[Number],$Z$3)*3,"-")</f>
        <v>-</v>
      </c>
      <c r="W2" s="54" t="str">
        <f>IFERROR(V2-F2,"-")</f>
        <v>-</v>
      </c>
    </row>
    <row r="3" spans="1:29" x14ac:dyDescent="0.25">
      <c r="A3" t="s">
        <v>118</v>
      </c>
      <c r="B3">
        <f>COUNTIFS(Mecze[Number],J3,Mecze[TEAM],J1)</f>
        <v>55</v>
      </c>
      <c r="D3" s="130" t="s">
        <v>70</v>
      </c>
      <c r="E3" s="130"/>
      <c r="F3">
        <f>IF(J1=1,SUMIFS(Zawodnicy[Penalty],Zawodnicy[Number],$J$3),"-")</f>
        <v>12</v>
      </c>
      <c r="G3" s="54" t="str">
        <f>IFERROR(F3-V3,"-")</f>
        <v>-</v>
      </c>
      <c r="J3" s="47">
        <v>5</v>
      </c>
      <c r="K3" s="131" t="str">
        <f ca="1">VLOOKUP($J$3,dynamiczny_zakres_zawodnicy,2,FALSE)</f>
        <v> L. Bakes</v>
      </c>
      <c r="L3" s="131"/>
      <c r="M3" s="39"/>
      <c r="Q3" t="s">
        <v>118</v>
      </c>
      <c r="R3">
        <f>COUNTIFS(Mecze[Number],Z3,Mecze[TEAM],Z1)</f>
        <v>22</v>
      </c>
      <c r="T3" s="130" t="s">
        <v>70</v>
      </c>
      <c r="U3" s="130"/>
      <c r="V3" t="str">
        <f>IF(Z1=1,SUMIFS(Zawodnicy[Penalty],Zawodnicy[Number],$Z$3),"-")</f>
        <v>-</v>
      </c>
      <c r="W3" s="54" t="str">
        <f>IFERROR(V3-F3,"-")</f>
        <v>-</v>
      </c>
      <c r="Z3" s="47">
        <v>5</v>
      </c>
      <c r="AA3" s="131" t="str">
        <f ca="1">VLOOKUP($Z$3,dynamiczny_zakres_zawodnicy_s2,2,FALSE)</f>
        <v> 马耀升</v>
      </c>
      <c r="AB3" s="131"/>
      <c r="AC3" s="39"/>
    </row>
    <row r="4" spans="1:29" x14ac:dyDescent="0.25">
      <c r="A4" t="s">
        <v>145</v>
      </c>
      <c r="B4" s="45" t="e">
        <f ca="1">VLOOKUP(J3,status_zawodnika,20,FALSE)</f>
        <v>#REF!</v>
      </c>
      <c r="D4" s="130" t="s">
        <v>148</v>
      </c>
      <c r="E4" s="130"/>
      <c r="F4">
        <f>IF(J1=1,SUMIFS(Zawodnicy[Capitaincy],Zawodnicy[Number],$J$3),"-")</f>
        <v>25</v>
      </c>
      <c r="G4" s="54" t="str">
        <f>IFERROR(F4-V4,"-")</f>
        <v>-</v>
      </c>
      <c r="Q4" t="s">
        <v>145</v>
      </c>
      <c r="R4" s="45" t="e">
        <f ca="1">VLOOKUP(Z3,status_zawodnika,20,FALSE)</f>
        <v>#REF!</v>
      </c>
      <c r="T4" s="130" t="s">
        <v>148</v>
      </c>
      <c r="U4" s="130"/>
      <c r="V4" t="str">
        <f>IF(Z1=1,SUMIFS(Zawodnicy[Capitaincy],Zawodnicy[Number],$Z$3),"-")</f>
        <v>-</v>
      </c>
      <c r="W4" s="54" t="str">
        <f>IFERROR(V4-F4,"-")</f>
        <v>-</v>
      </c>
    </row>
    <row r="5" spans="1:29" x14ac:dyDescent="0.25">
      <c r="D5" s="130" t="s">
        <v>146</v>
      </c>
      <c r="E5" s="130"/>
      <c r="F5">
        <f>IF(J1=1,SUMIFS(Zawodnicy[Overral],Zawodnicy[Number],$J$3),"-")</f>
        <v>63</v>
      </c>
      <c r="G5" s="54" t="str">
        <f>IFERROR(F5-V5,"-")</f>
        <v>-</v>
      </c>
      <c r="J5" s="132" t="s">
        <v>57</v>
      </c>
      <c r="K5" s="132"/>
      <c r="L5" s="132"/>
      <c r="T5" s="130" t="s">
        <v>146</v>
      </c>
      <c r="U5" s="130"/>
      <c r="V5" t="str">
        <f>IF(Z1=1,SUMIFS(Zawodnicy[Overral],Zawodnicy[Number],$Z$3),"-")</f>
        <v>-</v>
      </c>
      <c r="W5" s="54" t="str">
        <f>IFERROR(V5-F5,"-")</f>
        <v>-</v>
      </c>
      <c r="Z5" s="132" t="s">
        <v>57</v>
      </c>
      <c r="AA5" s="132"/>
      <c r="AB5" s="132"/>
    </row>
    <row r="6" spans="1:29" x14ac:dyDescent="0.25">
      <c r="A6" t="s">
        <v>119</v>
      </c>
      <c r="B6" s="45" t="str">
        <f t="array" ref="B6">IF(B1&gt;0,INDEX(Mecze[Position],MATCH(MAX(COUNTIFS(Mecze[Position],Mecze[Position],Mecze[Number],J3,Mecze[Typ meczu],J5,Mecze[TEAM],J1)),COUNTIFS(Mecze[Position],Mecze[Position],Mecze[Number],J3,Mecze[Typ meczu],J5,Mecze[TEAM],J1),0)),"")</f>
        <v>Obr</v>
      </c>
      <c r="Q6" t="s">
        <v>119</v>
      </c>
      <c r="R6" s="45" t="str">
        <f t="array" ref="R6">IF(R1&gt;0,INDEX(Mecze[Position],MATCH(MAX(COUNTIFS(Mecze[Position],Mecze[Position],Mecze[Number],Z3,Mecze[Typ meczu],Z5,Mecze[TEAM],Z1)),COUNTIFS(Mecze[Position],Mecze[Position],Mecze[Number],Z3,Mecze[Typ meczu],Z5,Mecze[TEAM],Z1),0)),"")</f>
        <v>Pom</v>
      </c>
    </row>
    <row r="7" spans="1:29" x14ac:dyDescent="0.25">
      <c r="A7" t="s">
        <v>426</v>
      </c>
      <c r="B7">
        <f>SUMIFS(Mecze[CZAS],Mecze[Number],J3,Mecze[Typ meczu],J5,Mecze[TEAM],J1)</f>
        <v>1997</v>
      </c>
      <c r="J7" s="132" t="s">
        <v>40</v>
      </c>
      <c r="K7" s="132"/>
      <c r="L7" s="132"/>
      <c r="Q7" t="s">
        <v>426</v>
      </c>
      <c r="R7">
        <f>SUMIFS(Mecze[CZAS],Mecze[Number],Z3,Mecze[Typ meczu],Z5,Mecze[TEAM],Z1)</f>
        <v>2126</v>
      </c>
      <c r="Z7" s="132" t="s">
        <v>44</v>
      </c>
      <c r="AA7" s="132"/>
      <c r="AB7" s="132"/>
    </row>
    <row r="8" spans="1:29" x14ac:dyDescent="0.25">
      <c r="A8" t="s">
        <v>120</v>
      </c>
      <c r="B8">
        <f>SUMIFS(Mecze[CZAS],Mecze[Number],J3,Mecze[TEAM],J1)</f>
        <v>5282</v>
      </c>
      <c r="Q8" t="s">
        <v>120</v>
      </c>
      <c r="R8">
        <f>SUMIFS(Mecze[CZAS],Mecze[Number],Z3,Mecze[TEAM],Z1)</f>
        <v>2126</v>
      </c>
    </row>
    <row r="9" spans="1:29" x14ac:dyDescent="0.25">
      <c r="A9" t="s">
        <v>45</v>
      </c>
      <c r="B9" s="16">
        <f>IFERROR(AVERAGEIFS(Mecze[Ocena],Mecze[Number],J3,Mecze[Typ meczu],J5,Mecze[TEAM],J1),"brak")</f>
        <v>5.9104761904761904</v>
      </c>
      <c r="C9" s="53">
        <f>IFERROR((B9-R9)/IF(B9&gt;R9,B9,R9),"-")</f>
        <v>-0.21407992631927367</v>
      </c>
      <c r="H9" s="122" t="s">
        <v>138</v>
      </c>
      <c r="I9" s="118" t="str">
        <f>IF(SUMIFS(Mecze[CZAS],Mecze[Number],$J$3,Mecze[Typ meczu],$J$5,Mecze[Role],"LS",Mecze[TEAM],$J$1)=0,"",SUMIFS(Mecze[CZAS],Mecze[Number],$J$3,Mecze[Typ meczu],$J$5,Mecze[Role],"LS",Mecze[TEAM],$J$1))</f>
        <v/>
      </c>
      <c r="J9" s="118" t="str">
        <f>IF(SUMIFS(Mecze[CZAS],Mecze[Number],$J$3,Mecze[Typ meczu],$J$5,Mecze[Role],"LN",Mecze[TEAM],$J$1)=0,"",SUMIFS(Mecze[CZAS],Mecze[Number],$J$3,Mecze[Typ meczu],$J$5,Mecze[Role],"LN",Mecze[TEAM],$J$1))</f>
        <v/>
      </c>
      <c r="K9" s="118" t="str">
        <f>IF(SUMIFS(Mecze[CZAS],Mecze[Number],$J$3,Mecze[Typ meczu],$J$5,Mecze[Role],"ST",Mecze[TEAM],$J$1)=0,"",SUMIFS(Mecze[CZAS],Mecze[Number],$J$3,Mecze[Typ meczu],$J$5,Mecze[Role],"ST",Mecze[TEAM],$J$1))</f>
        <v/>
      </c>
      <c r="L9" s="118" t="str">
        <f>IF(SUMIFS(Mecze[CZAS],Mecze[Number],$J$3,Mecze[Typ meczu],$J$5,Mecze[Role],"PN",Mecze[TEAM],$J$1)=0,"",SUMIFS(Mecze[CZAS],Mecze[Number],$J$3,Mecze[Typ meczu],$J$5,Mecze[Role],"PN",Mecze[TEAM],$J$1))</f>
        <v/>
      </c>
      <c r="M9" s="118" t="str">
        <f>IF(SUMIFS(Mecze[CZAS],Mecze[Number],$J$3,Mecze[Typ meczu],$J$5,Mecze[Role],"PS",Mecze[TEAM],$J$1)=0,"",SUMIFS(Mecze[CZAS],Mecze[Number],$J$3,Mecze[Typ meczu],$J$5,Mecze[Role],"PS",Mecze[TEAM],$J$1))</f>
        <v/>
      </c>
      <c r="Q9" t="s">
        <v>45</v>
      </c>
      <c r="R9" s="16">
        <f>IFERROR(AVERAGEIFS(Mecze[Ocena],Mecze[Number],Z3,Mecze[Typ meczu],Z5,Mecze[TEAM],Z1),"brak")</f>
        <v>7.5204545454545464</v>
      </c>
      <c r="S9" s="53">
        <f>IFERROR(R9-B9,"-")</f>
        <v>1.609978354978356</v>
      </c>
      <c r="X9" s="122" t="s">
        <v>138</v>
      </c>
      <c r="Y9" s="118" t="str">
        <f>IF(SUMIFS(Mecze[CZAS],Mecze[Number],$Z$3,Mecze[Typ meczu],$Z$5,Mecze[Role],"LS",Mecze[TEAM],$Z$1)=0,"",SUMIFS(Mecze[CZAS],Mecze[Number],$Z$3,Mecze[Typ meczu],$Z$5,Mecze[Role],"LS",Mecze[TEAM],$Z$1))</f>
        <v/>
      </c>
      <c r="Z9" s="118" t="str">
        <f>IF(SUMIFS(Mecze[CZAS],Mecze[Number],$Z$3,Mecze[Typ meczu],$Z$5,Mecze[Role],"LN",Mecze[TEAM],$Z$1)=0,"",SUMIFS(Mecze[CZAS],Mecze[Number],$Z$3,Mecze[Typ meczu],$Z$5,Mecze[Role],"LN",Mecze[TEAM],$Z$1))</f>
        <v/>
      </c>
      <c r="AA9" s="118" t="str">
        <f>IF(SUMIFS(Mecze[CZAS],Mecze[Number],$Z$3,Mecze[Typ meczu],$Z$5,Mecze[Role],"ST",Mecze[TEAM],$Z$1)=0,"",SUMIFS(Mecze[CZAS],Mecze[Number],$Z$3,Mecze[Typ meczu],$Z$5,Mecze[Role],"ST",Mecze[TEAM],$Z$1))</f>
        <v/>
      </c>
      <c r="AB9" s="118" t="str">
        <f>IF(SUMIFS(Mecze[CZAS],Mecze[Number],$Z$3,Mecze[Typ meczu],$Z$5,Mecze[Role],"PN",Mecze[TEAM],$Z$1)=0,"",SUMIFS(Mecze[CZAS],Mecze[Number],$Z$3,Mecze[Typ meczu],$Z$5,Mecze[Role],"PN",Mecze[TEAM],$Z$1))</f>
        <v/>
      </c>
      <c r="AC9" s="118" t="str">
        <f>IF(SUMIFS(Mecze[CZAS],Mecze[Number],$Z$3,Mecze[Typ meczu],$Z$5,Mecze[Role],"PS",Mecze[TEAM],$Z$1)=0,"",SUMIFS(Mecze[CZAS],Mecze[Number],$Z$3,Mecze[Typ meczu],$Z$5,Mecze[Role],"PS",Mecze[TEAM],$Z$1))</f>
        <v/>
      </c>
    </row>
    <row r="10" spans="1:29" x14ac:dyDescent="0.25">
      <c r="A10" t="s">
        <v>121</v>
      </c>
      <c r="B10" s="16">
        <f>IFERROR(AVERAGEIFS(Mecze[Ocena],Mecze[Number],J3,Mecze[TEAM],J1),"brak")</f>
        <v>5.5836363636363675</v>
      </c>
      <c r="C10" s="53">
        <f>IFERROR((B10-R10)/IF(B10&gt;R10,B10,R10),"-")</f>
        <v>-0.25754004230885424</v>
      </c>
      <c r="H10" s="122"/>
      <c r="I10" s="119"/>
      <c r="J10" s="119"/>
      <c r="K10" s="119"/>
      <c r="L10" s="119"/>
      <c r="M10" s="119"/>
      <c r="Q10" t="s">
        <v>121</v>
      </c>
      <c r="R10" s="16">
        <f>IFERROR(AVERAGEIFS(Mecze[Ocena],Mecze[Number],Z3,Mecze[TEAM],Z1),"brak")</f>
        <v>7.5204545454545464</v>
      </c>
      <c r="S10" s="53">
        <f>IFERROR(R10-B10,"-")</f>
        <v>1.9368181818181789</v>
      </c>
      <c r="X10" s="122"/>
      <c r="Y10" s="119"/>
      <c r="Z10" s="119"/>
      <c r="AA10" s="119"/>
      <c r="AB10" s="119"/>
      <c r="AC10" s="119"/>
    </row>
    <row r="11" spans="1:29" x14ac:dyDescent="0.25">
      <c r="A11" t="s">
        <v>134</v>
      </c>
      <c r="B11" s="48">
        <f>IFERROR(AVERAGEIFS(Mecze[/PI],Mecze[Number],J3,Mecze[Typ meczu],J5,Mecze[TEAM],J1),"brak")</f>
        <v>0.17893477264587349</v>
      </c>
      <c r="C11" s="53">
        <f>IFERROR((B11-R11)/IF(B11&gt;R11,B11,R11),"-")</f>
        <v>-7.8779896566763291E-2</v>
      </c>
      <c r="H11" s="11" t="s">
        <v>45</v>
      </c>
      <c r="I11" s="46" t="str">
        <f>IFERROR(AVERAGEIFS(Mecze[Ocena],Mecze[Number],$J$3,Mecze[Typ meczu],$J$5,Mecze[Role],"LS",Mecze[TEAM],$J$1),"")</f>
        <v/>
      </c>
      <c r="J11" s="51" t="str">
        <f>IFERROR(AVERAGEIFS(Mecze[Ocena],Mecze[Number],$J$3,Mecze[Typ meczu],$J$5,Mecze[Role],"LN",Mecze[TEAM],$J$1),"")</f>
        <v/>
      </c>
      <c r="K11" s="51" t="str">
        <f>IFERROR(AVERAGEIFS(Mecze[Ocena],Mecze[Number],$J$3,Mecze[Typ meczu],$J$5,Mecze[Role],"ST",Mecze[TEAM],$J$1),"")</f>
        <v/>
      </c>
      <c r="L11" s="51" t="str">
        <f>IFERROR(AVERAGEIFS(Mecze[Ocena],Mecze[Number],$J$3,Mecze[Typ meczu],$J$5,Mecze[Role],"PN",Mecze[TEAM],$J$1),"")</f>
        <v/>
      </c>
      <c r="M11" s="46" t="str">
        <f>IFERROR(AVERAGEIFS(Mecze[Ocena],Mecze[Number],$J$3,Mecze[Typ meczu],$J$5,Mecze[Role],"PS",Mecze[TEAM],$J$1),"")</f>
        <v/>
      </c>
      <c r="Q11" t="s">
        <v>134</v>
      </c>
      <c r="R11" s="48">
        <f>IFERROR(AVERAGEIFS(Mecze[/PI],Mecze[Number],Z3,Mecze[Typ meczu],Z5,Mecze[TEAM],Z1),"brak")</f>
        <v>0.19423672147298224</v>
      </c>
      <c r="S11" s="53">
        <f>IFERROR(R11-B11,"-")</f>
        <v>1.5301948827108752E-2</v>
      </c>
      <c r="X11" s="11" t="s">
        <v>45</v>
      </c>
      <c r="Y11" s="46" t="str">
        <f>IFERROR(AVERAGEIFS(Mecze[Ocena],Mecze[Number],$Z$3,Mecze[Typ meczu],$Z$5,Mecze[Role],"LS",Mecze[TEAM],$Z$1),"")</f>
        <v/>
      </c>
      <c r="Z11" s="51" t="str">
        <f>IFERROR(AVERAGEIFS(Mecze[Ocena],Mecze[Number],$Z$3,Mecze[Typ meczu],$Z$5,Mecze[Role],"LN",Mecze[TEAM],$Z$1),"")</f>
        <v/>
      </c>
      <c r="AA11" s="51" t="str">
        <f>IFERROR(AVERAGEIFS(Mecze[Ocena],Mecze[Number],$Z$3,Mecze[Typ meczu],$Z$5,Mecze[Role],"ST",Mecze[TEAM],$Z$1),"")</f>
        <v/>
      </c>
      <c r="AB11" s="51" t="str">
        <f>IFERROR(AVERAGEIFS(Mecze[Ocena],Mecze[Number],$Z$3,Mecze[Typ meczu],$Z$5,Mecze[Role],"PN",Mecze[TEAM],$Z$1),"")</f>
        <v/>
      </c>
      <c r="AC11" s="46" t="str">
        <f>IFERROR(AVERAGEIFS(Mecze[Ocena],Mecze[Number],$Z$3,Mecze[Typ meczu],$Z$5,Mecze[Role],"PS",Mecze[TEAM],$Z$1),"")</f>
        <v/>
      </c>
    </row>
    <row r="12" spans="1:29" x14ac:dyDescent="0.25">
      <c r="A12" t="s">
        <v>136</v>
      </c>
      <c r="B12" s="48">
        <f>IFERROR(AVERAGEIFS(Mecze[/PI2],Mecze[Number],J3,Mecze[Typ meczu],J5,Mecze[TEAM],J1),"brak")</f>
        <v>0.81077329194798731</v>
      </c>
      <c r="C12" s="53">
        <f>IFERROR((B12-R12)/IF(B12&gt;R12,B12,R12),"-")</f>
        <v>-0.20231563229994956</v>
      </c>
      <c r="H12" s="122" t="s">
        <v>139</v>
      </c>
      <c r="I12" s="113" t="str">
        <f>IFERROR(AVERAGEIFS(Mecze[/NPI],Mecze[Number],$J$3,Mecze[Typ meczu],$J$5,Mecze[Role],"LS",Mecze[TEAM],$J$1),"")</f>
        <v/>
      </c>
      <c r="J12" s="113" t="str">
        <f>IFERROR(AVERAGEIFS(Mecze[/NPI],Mecze[Number],$J$3,Mecze[Typ meczu],$J$5,Mecze[Role],"LN",Mecze[TEAM],$J$1),"")</f>
        <v/>
      </c>
      <c r="K12" s="113" t="str">
        <f>IFERROR(AVERAGEIFS(Mecze[/NPI],Mecze[Number],$J$3,Mecze[Typ meczu],$J$5,Mecze[Role],"ST",Mecze[TEAM],$J$1),"")</f>
        <v/>
      </c>
      <c r="L12" s="113" t="str">
        <f>IFERROR(AVERAGEIFS(Mecze[/NPI],Mecze[Number],$J$3,Mecze[Typ meczu],$J$5,Mecze[Role],"PN",Mecze[TEAM],$J$1),"")</f>
        <v/>
      </c>
      <c r="M12" s="113" t="str">
        <f>IFERROR(AVERAGEIFS(Mecze[/NPI],Mecze[Number],$J$3,Mecze[Typ meczu],$J$5,Mecze[Role],"PS",Mecze[TEAM],$J$1),"")</f>
        <v/>
      </c>
      <c r="Q12" t="s">
        <v>136</v>
      </c>
      <c r="R12" s="48">
        <f>IFERROR(AVERAGEIFS(Mecze[/PI2],Mecze[Number],Z3,Mecze[Typ meczu],Z5,Mecze[TEAM],Z1),"brak")</f>
        <v>1.0164086508121952</v>
      </c>
      <c r="S12" s="53">
        <f>IFERROR(R12-B12,"-")</f>
        <v>0.20563535886420792</v>
      </c>
      <c r="X12" s="122" t="s">
        <v>139</v>
      </c>
      <c r="Y12" s="119" t="str">
        <f>IFERROR(AVERAGEIFS(Mecze[/NPI],Mecze[Number],$Z$3,Mecze[Typ meczu],$Z$5,Mecze[Role],"LS",Mecze[TEAM],$Z$1),"")</f>
        <v/>
      </c>
      <c r="Z12" s="113" t="str">
        <f>IFERROR(AVERAGEIFS(Mecze[/NPI],Mecze[Number],$Z$3,Mecze[Typ meczu],$Z$5,Mecze[Role],"LN",Mecze[TEAM],$Z$1),"")</f>
        <v/>
      </c>
      <c r="AA12" s="113" t="str">
        <f>IFERROR(AVERAGEIFS(Mecze[/NPI],Mecze[Number],$Z$3,Mecze[Typ meczu],$Z$5,Mecze[Role],"ST",Mecze[TEAM],$Z$1),"")</f>
        <v/>
      </c>
      <c r="AB12" s="113" t="str">
        <f>IFERROR(AVERAGEIFS(Mecze[/NPI],Mecze[Number],$Z$3,Mecze[Typ meczu],$Z$5,Mecze[Role],"PN",Mecze[TEAM],$Z$1),"")</f>
        <v/>
      </c>
      <c r="AC12" s="113" t="str">
        <f>IFERROR(AVERAGEIFS(Mecze[/NPI],Mecze[Number],$Z$3,Mecze[Typ meczu],$Z$5,Mecze[Role],"PS",Mecze[TEAM],$Z$1),"")</f>
        <v/>
      </c>
    </row>
    <row r="13" spans="1:29" ht="15.75" thickBot="1" x14ac:dyDescent="0.3">
      <c r="H13" s="122"/>
      <c r="I13" s="114"/>
      <c r="J13" s="114"/>
      <c r="K13" s="114"/>
      <c r="L13" s="114"/>
      <c r="M13" s="114"/>
      <c r="X13" s="122"/>
      <c r="Y13" s="123"/>
      <c r="Z13" s="114"/>
      <c r="AA13" s="114"/>
      <c r="AB13" s="114"/>
      <c r="AC13" s="114"/>
    </row>
    <row r="14" spans="1:29" x14ac:dyDescent="0.25">
      <c r="A14" s="3" t="s">
        <v>406</v>
      </c>
      <c r="D14" s="3" t="s">
        <v>124</v>
      </c>
      <c r="H14" s="136"/>
      <c r="I14" s="128" t="str">
        <f>IF(SUMIFS(Mecze[CZAS],Mecze[Number],$J$3,Mecze[Typ meczu],$J$5,Mecze[Role],"LPO",Mecze[TEAM],$J$1)=0,"",SUMIFS(Mecze[CZAS],Mecze[Number],$J$3,Mecze[Typ meczu],$J$5,Mecze[Role],"LPO",Mecze[TEAM],$J$1))</f>
        <v/>
      </c>
      <c r="J14" s="129" t="str">
        <f>IF(SUMIFS(Mecze[CZAS],Mecze[Number],$J$3,Mecze[Typ meczu],$J$5,Mecze[Role],"OP")=0,"",SUMIFS(Mecze[CZAS],Mecze[Number],$J$3,Mecze[Typ meczu],$J$5,Mecze[Role],"OP"))</f>
        <v/>
      </c>
      <c r="K14" s="121" t="str">
        <f>IF(SUMIFS(Mecze[CZAS],Mecze[Number],$J$3,Mecze[Typ meczu],$J$5,Mecze[Role],"OP",Mecze[TEAM],$J$1)=0,"",SUMIFS(Mecze[CZAS],Mecze[Number],$J$3,Mecze[Typ meczu],$J$5,Mecze[Role],"OP",Mecze[TEAM],$J$1))</f>
        <v/>
      </c>
      <c r="L14" s="128" t="str">
        <f>IF(SUMIFS(Mecze[CZAS],Mecze[Number],$J$3,Mecze[Typ meczu],$J$5,Mecze[Role],"PPO",Mecze[TEAM],$J$1)=0,"",SUMIFS(Mecze[CZAS],Mecze[Number],$J$3,Mecze[Typ meczu],$J$5,Mecze[Role],"PPO",Mecze[TEAM],$J$1))</f>
        <v/>
      </c>
      <c r="M14" s="129" t="str">
        <f>IF(SUMIFS(Mecze[CZAS],Mecze[Number],$J$3,Mecze[Typ meczu],$J$5,Mecze[Role],"OP")=0,"",SUMIFS(Mecze[CZAS],Mecze[Number],$J$3,Mecze[Typ meczu],$J$5,Mecze[Role],"OP"))</f>
        <v/>
      </c>
      <c r="Q14" s="3" t="s">
        <v>406</v>
      </c>
      <c r="T14" s="3" t="s">
        <v>124</v>
      </c>
      <c r="X14" s="136"/>
      <c r="Y14" s="128" t="str">
        <f>IF(SUMIFS(Mecze[CZAS],Mecze[Number],$Z$3,Mecze[Typ meczu],$Z$5,Mecze[Role],"LPO",Mecze[TEAM],$Z$1)=0,"",SUMIFS(Mecze[CZAS],Mecze[Number],$Z$3,Mecze[Typ meczu],$Z$5,Mecze[Role],"LPO",Mecze[TEAM],$Z$1))</f>
        <v/>
      </c>
      <c r="Z14" s="129" t="str">
        <f>IF(SUMIFS(Mecze[CZAS],Mecze[Number],$Z$3,Mecze[Typ meczu],$Z$5,Mecze[Role],"OP",Mecze[TEAM],$Z$1)=0,"",SUMIFS(Mecze[CZAS],Mecze[Number],$Z$3,Mecze[Typ meczu],$Z$5,Mecze[Role],"OP",Mecze[TEAM],$Z$1))</f>
        <v/>
      </c>
      <c r="AA14" s="121" t="str">
        <f>IF(SUMIFS(Mecze[CZAS],Mecze[Number],$Z$3,Mecze[Typ meczu],$Z$5,Mecze[Role],"OP",Mecze[TEAM],$Z$1)=0,"",SUMIFS(Mecze[CZAS],Mecze[Number],$Z$3,Mecze[Typ meczu],$Z$5,Mecze[Role],"OP",Mecze[TEAM],$Z$1))</f>
        <v/>
      </c>
      <c r="AB14" s="117" t="str">
        <f>IF(SUMIFS(Mecze[CZAS],Mecze[Number],$Z$3,Mecze[Typ meczu],$Z$5,Mecze[Role],"PPO",Mecze[TEAM],$Z$1)=0,"",SUMIFS(Mecze[CZAS],Mecze[Number],$Z$3,Mecze[Typ meczu],$Z$5,Mecze[Role],"PPO",Mecze[TEAM],$Z$1))</f>
        <v/>
      </c>
      <c r="AC14" s="108" t="str">
        <f>IF(SUMIFS(Mecze[CZAS],Mecze[Number],$Z$3,Mecze[Typ meczu],$Z$5,Mecze[Role],"OP",Mecze[TEAM],$Z$1)=0,"",SUMIFS(Mecze[CZAS],Mecze[Number],$Z$3,Mecze[Typ meczu],$Z$5,Mecze[Role],"OP",Mecze[TEAM],$Z$1))</f>
        <v/>
      </c>
    </row>
    <row r="15" spans="1:29" x14ac:dyDescent="0.25">
      <c r="A15" t="s">
        <v>109</v>
      </c>
      <c r="B15" s="11" t="str">
        <f>IF(SUMIFS(Mecze[OB],Mecze[Number],$J$3,Mecze[Typ meczu],$J$5,Mecze[Role],$J$7,Mecze[TEAM],J1)&gt;0,SUMIFS(Mecze[OB],Mecze[Number],$J$3,Mecze[Typ meczu],$J$5,Mecze[Role],$J$7,Mecze[TEAM],J1),"-")</f>
        <v>-</v>
      </c>
      <c r="C15" s="54" t="str">
        <f>IFERROR((B15-R15),"-")</f>
        <v>-</v>
      </c>
      <c r="D15" s="49" t="str">
        <f t="shared" ref="D15:D22" si="0">IFERROR(B15/$B$2,"-")</f>
        <v>-</v>
      </c>
      <c r="E15" s="54" t="str">
        <f>IFERROR(D15-T15,"-")</f>
        <v>-</v>
      </c>
      <c r="H15" s="136"/>
      <c r="I15" s="117"/>
      <c r="J15" s="108"/>
      <c r="K15" s="119"/>
      <c r="L15" s="117"/>
      <c r="M15" s="108"/>
      <c r="Q15" t="s">
        <v>109</v>
      </c>
      <c r="R15" s="11" t="str">
        <f>IF(SUMIFS(Mecze[OB],Mecze[Number],$Z$3,Mecze[Typ meczu],$Z$5,Mecze[Role],Z7,Mecze[TEAM],Z1)&gt;0,SUMIFS(Mecze[OB],Mecze[Number],$Z$3,Mecze[Typ meczu],$Z$5,Mecze[Role],Z7,Mecze[TEAM],Z1),"-")</f>
        <v>-</v>
      </c>
      <c r="S15" s="54" t="str">
        <f>IFERROR(R15-B15,"-")</f>
        <v>-</v>
      </c>
      <c r="T15" s="49" t="str">
        <f t="shared" ref="T15:T22" si="1">IFERROR(R15/$R$2,"-")</f>
        <v>-</v>
      </c>
      <c r="U15" s="53" t="str">
        <f>IFERROR(T15-D15,"-")</f>
        <v>-</v>
      </c>
      <c r="X15" s="136"/>
      <c r="Y15" s="117"/>
      <c r="Z15" s="108"/>
      <c r="AA15" s="119"/>
      <c r="AB15" s="117"/>
      <c r="AC15" s="108"/>
    </row>
    <row r="16" spans="1:29" x14ac:dyDescent="0.25">
      <c r="A16" t="s">
        <v>179</v>
      </c>
      <c r="B16" s="11" t="str">
        <f>IF(SUMIFS(Mecze[OU],Mecze[Number],$J$3,Mecze[Typ meczu],$J$5,Mecze[Role],J7,Mecze[TEAM],J1)&gt;0,SUMIFS(Mecze[OU],Mecze[Number],$J$3,Mecze[Typ meczu],$J$5,Mecze[Role],J7,Mecze[TEAM],J1),"-")</f>
        <v>-</v>
      </c>
      <c r="C16" s="54" t="str">
        <f>IFERROR((B16-R16),"-")</f>
        <v>-</v>
      </c>
      <c r="D16" s="49" t="str">
        <f t="shared" si="0"/>
        <v>-</v>
      </c>
      <c r="E16" s="53" t="str">
        <f>IFERROR(D16-T16,"-")</f>
        <v>-</v>
      </c>
      <c r="H16" s="11"/>
      <c r="I16" s="124" t="str">
        <f>IFERROR(AVERAGEIFS(Mecze[Ocena],Mecze[Number],$J$3,Mecze[Typ meczu],$J$5,Mecze[Role],"LPO",Mecze[TEAM],$J$1),"")</f>
        <v/>
      </c>
      <c r="J16" s="125" t="str">
        <f>IFERROR(AVERAGEIFS(Mecze[Ocena],Mecze[Number],$J$3,Mecze[Typ meczu],$J$5,Mecze[Role],"OP"),"")</f>
        <v/>
      </c>
      <c r="K16" s="51" t="str">
        <f>IFERROR(AVERAGEIFS(Mecze[Ocena],Mecze[Number],$J$3,Mecze[Typ meczu],$J$5,Mecze[Role],"OP",Mecze[TEAM],$J$1),"")</f>
        <v/>
      </c>
      <c r="L16" s="124" t="str">
        <f>IFERROR(AVERAGEIFS(Mecze[Ocena],Mecze[Number],$J$3,Mecze[Typ meczu],$J$5,Mecze[Role],"PPO",Mecze[TEAM],$J$1),"")</f>
        <v/>
      </c>
      <c r="M16" s="125" t="str">
        <f>IFERROR(AVERAGEIFS(Mecze[Ocena],Mecze[Number],$J$3,Mecze[Typ meczu],$J$5,Mecze[Role],"OP"),"")</f>
        <v/>
      </c>
      <c r="Q16" t="s">
        <v>179</v>
      </c>
      <c r="R16" s="11" t="str">
        <f>IF(SUMIFS(Mecze[OU],Mecze[Number],$Z$3,Mecze[Typ meczu],$Z$5,Mecze[Role],Z7,Mecze[TEAM],Z1)&gt;0,SUMIFS(Mecze[OU],Mecze[Number],$Z$3,Mecze[Typ meczu],$Z$5,Mecze[Role],Z7,Mecze[TEAM],Z1),"-")</f>
        <v>-</v>
      </c>
      <c r="S16" s="54" t="str">
        <f>IFERROR(R16-B16,"-")</f>
        <v>-</v>
      </c>
      <c r="T16" s="49" t="str">
        <f t="shared" si="1"/>
        <v>-</v>
      </c>
      <c r="U16" s="53" t="str">
        <f>IFERROR(T16-D16,"-")</f>
        <v>-</v>
      </c>
      <c r="X16" s="11"/>
      <c r="Y16" s="117" t="str">
        <f>IFERROR(AVERAGEIFS(Mecze[Ocena],Mecze[Number],$Z$3,Mecze[Typ meczu],$Z$5,Mecze[Role],"LPO",Mecze[TEAM],$Z$1),"")</f>
        <v/>
      </c>
      <c r="Z16" s="108" t="str">
        <f>IFERROR(AVERAGEIFS(Mecze[Ocena],Mecze[Number],$Z$3,Mecze[Typ meczu],$Z$5,Mecze[Role],"OP",Mecze[TEAM],$Z$1),"")</f>
        <v/>
      </c>
      <c r="AA16" s="51" t="str">
        <f>IFERROR(AVERAGEIFS(Mecze[Ocena],Mecze[Number],$Z$3,Mecze[Typ meczu],$Z$5,Mecze[Role],"OP",Mecze[TEAM],$Z$1),"")</f>
        <v/>
      </c>
      <c r="AB16" s="124" t="str">
        <f>IFERROR(AVERAGEIFS(Mecze[Ocena],Mecze[Number],$Z$3,Mecze[Typ meczu],$Z$5,Mecze[Role],"PPO",Mecze[TEAM],$Z$1),"")</f>
        <v/>
      </c>
      <c r="AC16" s="125" t="str">
        <f>IFERROR(AVERAGEIFS(Mecze[Ocena],Mecze[Number],$Z$3,Mecze[Typ meczu],$Z$5,Mecze[Role],"OP",Mecze[TEAM],$Z$1),"")</f>
        <v/>
      </c>
    </row>
    <row r="17" spans="1:29" x14ac:dyDescent="0.25">
      <c r="A17" t="s">
        <v>108</v>
      </c>
      <c r="B17" s="11" t="str">
        <f>IF(SUMIFS(Mecze[PR],Mecze[Number],$J$3,Mecze[Typ meczu],$J$5,Mecze[Role],J7,Mecze[TEAM],J1)&gt;0,SUMIFS(Mecze[PR],Mecze[Number],$J$3,Mecze[Typ meczu],$J$5,Mecze[Role],J7,Mecze[TEAM],J1),"-")</f>
        <v>-</v>
      </c>
      <c r="C17" s="54" t="str">
        <f>IFERROR((B17-R17),"-")</f>
        <v>-</v>
      </c>
      <c r="D17" s="49" t="str">
        <f t="shared" si="0"/>
        <v>-</v>
      </c>
      <c r="E17" s="53" t="str">
        <f>IFERROR(D17-T17,"-")</f>
        <v>-</v>
      </c>
      <c r="H17" s="136"/>
      <c r="I17" s="109" t="str">
        <f>IFERROR(AVERAGEIFS(Mecze[/OPI],Mecze[Number],$J$3,Mecze[Typ meczu],$J$5,Mecze[Role],"LPO",Mecze[TEAM],$J$1),"")</f>
        <v/>
      </c>
      <c r="J17" s="110" t="str">
        <f>IFERROR(AVERAGEIFS(Mecze[/OPI],Mecze[Number],$J$3,Mecze[Typ meczu],$J$5,Mecze[Role],"OP"),"")</f>
        <v/>
      </c>
      <c r="K17" s="113" t="str">
        <f>IFERROR(AVERAGEIFS(Mecze[/OPI],Mecze[Number],$J$3,Mecze[Typ meczu],$J$5,Mecze[Role],"OP",Mecze[TEAM],$J$1),"")</f>
        <v/>
      </c>
      <c r="L17" s="109" t="str">
        <f>IFERROR(AVERAGEIFS(Mecze[/OPI],Mecze[Number],$J$3,Mecze[Typ meczu],$J$5,Mecze[Role],"PPO",Mecze[TEAM],$J$1),"")</f>
        <v/>
      </c>
      <c r="M17" s="110" t="str">
        <f>IFERROR(AVERAGEIFS(Mecze[/OPI],Mecze[Number],$J$3,Mecze[Typ meczu],$J$5,Mecze[Role],"OP"),"")</f>
        <v/>
      </c>
      <c r="Q17" t="s">
        <v>108</v>
      </c>
      <c r="R17" s="11" t="str">
        <f>IF(SUMIFS(Mecze[PR],Mecze[Number],$Z$3,Mecze[Typ meczu],$Z$5,Mecze[Role],Z7,Mecze[TEAM],Z1)&gt;0,SUMIFS(Mecze[PR],Mecze[Number],$Z$3,Mecze[Typ meczu],$Z$5,Mecze[Role],Z7,Mecze[TEAM],Z1),"-")</f>
        <v>-</v>
      </c>
      <c r="S17" s="54" t="str">
        <f>IFERROR(R17-B17,"-")</f>
        <v>-</v>
      </c>
      <c r="T17" s="49" t="str">
        <f t="shared" si="1"/>
        <v>-</v>
      </c>
      <c r="U17" s="53" t="str">
        <f>IFERROR(T17-D17,"-")</f>
        <v>-</v>
      </c>
      <c r="X17" s="136"/>
      <c r="Y17" s="109" t="str">
        <f>IFERROR(AVERAGEIFS(Mecze[/OPI],Mecze[Number],$Z$3,Mecze[Typ meczu],$Z$5,Mecze[Role],"LPO",Mecze[TEAM],$Z$1),"")</f>
        <v/>
      </c>
      <c r="Z17" s="110" t="str">
        <f>IFERROR(AVERAGEIFS(Mecze[/OPI],Mecze[Number],$Z$3,Mecze[Typ meczu],$Z$5,Mecze[Role],"OP",Mecze[TEAM],$Z$1),"")</f>
        <v/>
      </c>
      <c r="AA17" s="113" t="str">
        <f>IFERROR(AVERAGEIFS(Mecze[/OPI],Mecze[Number],$Z$3,Mecze[Typ meczu],$Z$5,Mecze[Role],"OP",Mecze[TEAM],$Z$1),"")</f>
        <v/>
      </c>
      <c r="AB17" s="109" t="str">
        <f>IFERROR(AVERAGEIFS(Mecze[/OPI],Mecze[Number],$Z$3,Mecze[Typ meczu],$Z$5,Mecze[Role],"PPO",Mecze[TEAM],$Z$1),"")</f>
        <v/>
      </c>
      <c r="AC17" s="110" t="str">
        <f>IFERROR(AVERAGEIFS(Mecze[/OPI],Mecze[Number],$Z$3,Mecze[Typ meczu],$Z$5,Mecze[Role],"OP",Mecze[TEAM],$Z$1),"")</f>
        <v/>
      </c>
    </row>
    <row r="18" spans="1:29" x14ac:dyDescent="0.25">
      <c r="A18" t="s">
        <v>105</v>
      </c>
      <c r="B18" s="11" t="str">
        <f>IF(SUMIFS(Mecze[PD],Mecze[Number],$J$3,Mecze[Typ meczu],$J$5,Mecze[Role],J7,Mecze[TEAM],J1)&gt;0,SUMIFS(Mecze[PD],Mecze[Number],$J$3,Mecze[Typ meczu],$J$5,Mecze[Role],J7,Mecze[TEAM],J1),"-")</f>
        <v>-</v>
      </c>
      <c r="C18" s="54" t="str">
        <f>IFERROR((B18-R18),"-")</f>
        <v>-</v>
      </c>
      <c r="D18" s="49" t="str">
        <f t="shared" si="0"/>
        <v>-</v>
      </c>
      <c r="E18" s="53" t="str">
        <f>IFERROR(D18-T18,"-")</f>
        <v>-</v>
      </c>
      <c r="H18" s="136"/>
      <c r="I18" s="126"/>
      <c r="J18" s="127"/>
      <c r="K18" s="120"/>
      <c r="L18" s="126"/>
      <c r="M18" s="127"/>
      <c r="Q18" t="s">
        <v>105</v>
      </c>
      <c r="R18" s="11" t="str">
        <f>IF(SUMIFS(Mecze[PD],Mecze[Number],$Z$3,Mecze[Typ meczu],$Z$5,Mecze[Role],Z7,Mecze[TEAM],Z1)&gt;0,SUMIFS(Mecze[PD],Mecze[Number],$Z$3,Mecze[Typ meczu],$Z$5,Mecze[Role],Z7,Mecze[TEAM],Z1),"-")</f>
        <v>-</v>
      </c>
      <c r="S18" s="54" t="str">
        <f>IFERROR(R18-B18,"-")</f>
        <v>-</v>
      </c>
      <c r="T18" s="49" t="str">
        <f t="shared" si="1"/>
        <v>-</v>
      </c>
      <c r="U18" s="53" t="str">
        <f>IFERROR(T18-D18,"-")</f>
        <v>-</v>
      </c>
      <c r="X18" s="136"/>
      <c r="Y18" s="126"/>
      <c r="Z18" s="127"/>
      <c r="AA18" s="120"/>
      <c r="AB18" s="126"/>
      <c r="AC18" s="127"/>
    </row>
    <row r="19" spans="1:29" x14ac:dyDescent="0.25">
      <c r="A19" t="s">
        <v>123</v>
      </c>
      <c r="B19" s="11" t="str">
        <f>IF(SUMIFS(Mecze[PC],Mecze[Number],$J$3,Mecze[Typ meczu],$J$5,Mecze[Role],J7,Mecze[TEAM],J1)&gt;0,SUMIFS(Mecze[PC],Mecze[Number],$J$3,Mecze[Typ meczu],$J$5,Mecze[Role],J7,Mecze[TEAM],J1),"-")</f>
        <v>-</v>
      </c>
      <c r="C19" s="54" t="str">
        <f>IFERROR((B19-R19),"-")</f>
        <v>-</v>
      </c>
      <c r="D19" s="49" t="str">
        <f t="shared" si="0"/>
        <v>-</v>
      </c>
      <c r="E19" s="53" t="str">
        <f>IFERROR(D19-T19,"-")</f>
        <v>-</v>
      </c>
      <c r="H19" s="136"/>
      <c r="I19" s="115" t="str">
        <f>IF(SUMIFS(Mecze[CZAS],Mecze[Number],$J$3,Mecze[Typ meczu],$J$5,Mecze[Role],"LSP",Mecze[TEAM],$J$1)=0,"",SUMIFS(Mecze[CZAS],Mecze[Number],$J$3,Mecze[Typ meczu],$J$5,Mecze[Role],"LSP",Mecze[TEAM],$J$1))</f>
        <v/>
      </c>
      <c r="J19" s="116" t="str">
        <f>IF(SUMIFS(Mecze[CZAS],Mecze[Number],$J$3,Mecze[Typ meczu],$J$5,Mecze[Role],"OP")=0,"",SUMIFS(Mecze[CZAS],Mecze[Number],$J$3,Mecze[Typ meczu],$J$5,Mecze[Role],"OP"))</f>
        <v/>
      </c>
      <c r="K19" s="118" t="str">
        <f>IF(SUMIFS(Mecze[CZAS],Mecze[Number],$J$3,Mecze[Typ meczu],$J$5,Mecze[Role],"SP",Mecze[TEAM],$J$1)=0,"",SUMIFS(Mecze[CZAS],Mecze[Number],$J$3,Mecze[Typ meczu],$J$5,Mecze[Role],"SP",Mecze[TEAM],$J$1))</f>
        <v/>
      </c>
      <c r="L19" s="115" t="str">
        <f>IF(SUMIFS(Mecze[CZAS],Mecze[Number],$J$3,Mecze[Typ meczu],$J$5,Mecze[Role],"PSP",Mecze[TEAM],$J$1)=0,"",SUMIFS(Mecze[CZAS],Mecze[Number],$J$3,Mecze[Typ meczu],$J$5,Mecze[Role],"PSP",Mecze[TEAM],$J$1))</f>
        <v/>
      </c>
      <c r="M19" s="116" t="str">
        <f>IF(SUMIFS(Mecze[CZAS],Mecze[Number],$J$3,Mecze[Typ meczu],$J$5,Mecze[Role],"OP")=0,"",SUMIFS(Mecze[CZAS],Mecze[Number],$J$3,Mecze[Typ meczu],$J$5,Mecze[Role],"OP"))</f>
        <v/>
      </c>
      <c r="Q19" t="s">
        <v>123</v>
      </c>
      <c r="R19" s="11" t="str">
        <f>IF(SUMIFS(Mecze[PC],Mecze[Number],$Z$3,Mecze[Typ meczu],$Z$5,Mecze[Role],Z7,Mecze[TEAM],Z1)&gt;0,SUMIFS(Mecze[PC],Mecze[Number],$Z$3,Mecze[Typ meczu],$Z$5,Mecze[Role],Z7,Mecze[TEAM],Z1),"-")</f>
        <v>-</v>
      </c>
      <c r="S19" s="54" t="str">
        <f>IFERROR(R19-B19,"-")</f>
        <v>-</v>
      </c>
      <c r="T19" s="49" t="str">
        <f t="shared" si="1"/>
        <v>-</v>
      </c>
      <c r="U19" s="53" t="str">
        <f>IFERROR(T19-D19,"-")</f>
        <v>-</v>
      </c>
      <c r="X19" s="136"/>
      <c r="Y19" s="115" t="str">
        <f>IF(SUMIFS(Mecze[CZAS],Mecze[Number],$Z$3,Mecze[Typ meczu],$Z$5,Mecze[Role],"LSP",Mecze[TEAM],$Z$1)=0,"",SUMIFS(Mecze[CZAS],Mecze[Number],$Z$3,Mecze[Typ meczu],$Z$5,Mecze[Role],"LSP",Mecze[TEAM],$Z$1))</f>
        <v/>
      </c>
      <c r="Z19" s="116">
        <f>IF(SUMIFS(Mecze[CZAS],Mecze[Number],$Z$3,Mecze[Typ meczu],$Z$5,Mecze[Role],"SP",Mecze[TEAM],$Z$1)=0,"",SUMIFS(Mecze[CZAS],Mecze[Number],$Z$3,Mecze[Typ meczu],$Z$5,Mecze[Role],"SP",Mecze[TEAM],$Z$1))</f>
        <v>2126</v>
      </c>
      <c r="AA19" s="118">
        <f>IF(SUMIFS(Mecze[CZAS],Mecze[Number],$Z$3,Mecze[Typ meczu],$Z$5,Mecze[Role],"SP",Mecze[TEAM],$Z$1)=0,"",SUMIFS(Mecze[CZAS],Mecze[Number],$Z$3,Mecze[Typ meczu],$Z$5,Mecze[Role],"SP",Mecze[TEAM],$Z$1))</f>
        <v>2126</v>
      </c>
      <c r="AB19" s="115" t="str">
        <f>IF(SUMIFS(Mecze[CZAS],Mecze[Number],$Z$3,Mecze[Typ meczu],$Z$5,Mecze[Role],"PSP",Mecze[TEAM],$Z$1)=0,"",SUMIFS(Mecze[CZAS],Mecze[Number],$Z$3,Mecze[Typ meczu],$Z$5,Mecze[Role],"PSP",Mecze[TEAM],$Z$1))</f>
        <v/>
      </c>
      <c r="AC19" s="116">
        <f>IF(SUMIFS(Mecze[CZAS],Mecze[Number],$Z$3,Mecze[Typ meczu],$Z$5,Mecze[Role],"SP",Mecze[TEAM],$Z$1)=0,"",SUMIFS(Mecze[CZAS],Mecze[Number],$Z$3,Mecze[Typ meczu],$Z$5,Mecze[Role],"SP",Mecze[TEAM],$Z$1))</f>
        <v>2126</v>
      </c>
    </row>
    <row r="20" spans="1:29" x14ac:dyDescent="0.25">
      <c r="A20" t="s">
        <v>107</v>
      </c>
      <c r="B20" s="11" t="str">
        <f>IF(SUMIFS(Mecze[ST],Mecze[Number],$J$3,Mecze[Typ meczu],$J$5,Mecze[Role],J7,Mecze[TEAM],J1)&gt;0,SUMIFS(Mecze[ST],Mecze[Number],$J$3,Mecze[Typ meczu],$J$5,Mecze[Role],J7,Mecze[TEAM],J1),"-")</f>
        <v>-</v>
      </c>
      <c r="C20" s="54" t="str">
        <f>IFERROR((B20-R20),"-")</f>
        <v>-</v>
      </c>
      <c r="D20" s="49" t="str">
        <f t="shared" si="0"/>
        <v>-</v>
      </c>
      <c r="E20" s="53" t="str">
        <f>IFERROR(D20-T20,"-")</f>
        <v>-</v>
      </c>
      <c r="H20" s="136"/>
      <c r="I20" s="117"/>
      <c r="J20" s="108"/>
      <c r="K20" s="119"/>
      <c r="L20" s="117"/>
      <c r="M20" s="108"/>
      <c r="Q20" t="s">
        <v>107</v>
      </c>
      <c r="R20" s="11" t="str">
        <f>IF(SUMIFS(Mecze[ST],Mecze[Number],$Z$3,Mecze[Typ meczu],$Z$5,Mecze[Role],Z7,Mecze[TEAM],Z1)&gt;0,SUMIFS(Mecze[ST],Mecze[Number],$Z$3,Mecze[Typ meczu],$Z$5,Mecze[Role],Z7,Mecze[TEAM],Z1),"-")</f>
        <v>-</v>
      </c>
      <c r="S20" s="54" t="str">
        <f>IFERROR(R20-B20,"-")</f>
        <v>-</v>
      </c>
      <c r="T20" s="49" t="str">
        <f t="shared" si="1"/>
        <v>-</v>
      </c>
      <c r="U20" s="53" t="str">
        <f>IFERROR(T20-D20,"-")</f>
        <v>-</v>
      </c>
      <c r="X20" s="136"/>
      <c r="Y20" s="117"/>
      <c r="Z20" s="108"/>
      <c r="AA20" s="119"/>
      <c r="AB20" s="117"/>
      <c r="AC20" s="108"/>
    </row>
    <row r="21" spans="1:29" x14ac:dyDescent="0.25">
      <c r="A21" t="s">
        <v>122</v>
      </c>
      <c r="B21" s="11" t="str">
        <f>IF(SUMIFS(Mecze[SC],Mecze[Number],$J$3,Mecze[Typ meczu],$J$5,Mecze[Role],J7,Mecze[TEAM],J1)&gt;0,SUMIFS(Mecze[SC],Mecze[Number],$J$3,Mecze[Typ meczu],$J$5,Mecze[Role],J7,Mecze[TEAM],J1),"-")</f>
        <v>-</v>
      </c>
      <c r="C21" s="54" t="str">
        <f>IFERROR((B21-R21),"-")</f>
        <v>-</v>
      </c>
      <c r="D21" s="49" t="str">
        <f t="shared" si="0"/>
        <v>-</v>
      </c>
      <c r="E21" s="53" t="str">
        <f>IFERROR(D21-T21,"-")</f>
        <v>-</v>
      </c>
      <c r="H21" s="11"/>
      <c r="I21" s="124" t="str">
        <f>IFERROR(AVERAGEIFS(Mecze[Ocena],Mecze[Number],$J$3,Mecze[Typ meczu],$J$5,Mecze[Role],"LSP",Mecze[TEAM],$J$1),"")</f>
        <v/>
      </c>
      <c r="J21" s="125" t="str">
        <f>IFERROR(AVERAGEIFS(Mecze[Ocena],Mecze[Number],$J$3,Mecze[Typ meczu],$J$5,Mecze[Role],"OP"),"")</f>
        <v/>
      </c>
      <c r="K21" s="51" t="str">
        <f>IFERROR(AVERAGEIFS(Mecze[Ocena],Mecze[Number],$J$3,Mecze[Typ meczu],$J$5,Mecze[Role],"SP",Mecze[TEAM],$J$1),"")</f>
        <v/>
      </c>
      <c r="L21" s="117" t="str">
        <f>IFERROR(AVERAGEIFS(Mecze[Ocena],Mecze[Number],$J$3,Mecze[Typ meczu],$J$5,Mecze[Role],"PSP",Mecze[TEAM],$J$1),"")</f>
        <v/>
      </c>
      <c r="M21" s="108" t="str">
        <f>IFERROR(AVERAGEIFS(Mecze[Ocena],Mecze[Number],$J$3,Mecze[Typ meczu],$J$5,Mecze[Role],"OP"),"")</f>
        <v/>
      </c>
      <c r="Q21" t="s">
        <v>122</v>
      </c>
      <c r="R21" s="11" t="str">
        <f>IF(SUMIFS(Mecze[SC],Mecze[Number],$Z$3,Mecze[Typ meczu],$Z$5,Mecze[Role],Z7,Mecze[TEAM],Z1)&gt;0,SUMIFS(Mecze[SC],Mecze[Number],$Z$3,Mecze[Typ meczu],$Z$5,Mecze[Role],Z7,Mecze[TEAM],Z1),"-")</f>
        <v>-</v>
      </c>
      <c r="S21" s="54" t="str">
        <f>IFERROR(R21-B21,"-")</f>
        <v>-</v>
      </c>
      <c r="T21" s="49" t="str">
        <f t="shared" si="1"/>
        <v>-</v>
      </c>
      <c r="U21" s="53" t="str">
        <f>IFERROR(T21-D21,"-")</f>
        <v>-</v>
      </c>
      <c r="X21" s="11"/>
      <c r="Y21" s="124" t="str">
        <f>IFERROR(AVERAGEIFS(Mecze[Ocena],Mecze[Number],$Z$3,Mecze[Typ meczu],$Z$5,Mecze[Role],"LSP",Mecze[TEAM],$Z$1),"")</f>
        <v/>
      </c>
      <c r="Z21" s="125">
        <f>IFERROR(AVERAGEIFS(Mecze[Ocena],Mecze[Number],$Z$3,Mecze[Typ meczu],$Z$5,Mecze[Role],"SP",Mecze[TEAM],$Z$1),"")</f>
        <v>7.5204545454545464</v>
      </c>
      <c r="AA21" s="51">
        <f>IFERROR(AVERAGEIFS(Mecze[Ocena],Mecze[Number],$Z$3,Mecze[Typ meczu],$Z$5,Mecze[Role],"SP",Mecze[TEAM],$Z$1),"")</f>
        <v>7.5204545454545464</v>
      </c>
      <c r="AB21" s="117" t="str">
        <f>IFERROR(AVERAGEIFS(Mecze[Ocena],Mecze[Number],$Z$3,Mecze[Typ meczu],$Z$5,Mecze[Role],"PSP",Mecze[TEAM],$Z$1),"")</f>
        <v/>
      </c>
      <c r="AC21" s="108">
        <f>IFERROR(AVERAGEIFS(Mecze[Ocena],Mecze[Number],$Z$3,Mecze[Typ meczu],$Z$5,Mecze[Role],"SP",Mecze[TEAM],$Z$1),"")</f>
        <v>7.5204545454545464</v>
      </c>
    </row>
    <row r="22" spans="1:29" x14ac:dyDescent="0.25">
      <c r="A22" t="s">
        <v>116</v>
      </c>
      <c r="B22" s="11" t="str">
        <f>IF(SUMIFS(Mecze[SC],Mecze[Number],$J$3,Mecze[Typ meczu],$J$5,Mecze[Role],J7,Mecze[TEAM],J1)&gt;0,SUMIFS(Mecze[BR],Mecze[Number],$J$3,Mecze[Typ meczu],$J$5,Mecze[Role],J7,Mecze[TEAM],J1),"-")</f>
        <v>-</v>
      </c>
      <c r="C22" s="54" t="str">
        <f>IFERROR((B22-R22),"-")</f>
        <v>-</v>
      </c>
      <c r="D22" s="49" t="str">
        <f t="shared" si="0"/>
        <v>-</v>
      </c>
      <c r="E22" s="53" t="str">
        <f>IFERROR(D22-T22,"-")</f>
        <v>-</v>
      </c>
      <c r="H22" s="136"/>
      <c r="I22" s="109" t="str">
        <f>IFERROR(AVERAGEIFS(Mecze[/SPI],Mecze[Number],$J$3,Mecze[Typ meczu],$J$5,Mecze[Role],"LSP",Mecze[TEAM],$J$1),"")</f>
        <v/>
      </c>
      <c r="J22" s="110" t="str">
        <f>IFERROR(AVERAGEIFS(Mecze[/OPI],Mecze[Number],$J$3,Mecze[Typ meczu],$J$5,Mecze[Role],"OP"),"")</f>
        <v/>
      </c>
      <c r="K22" s="113" t="str">
        <f>IFERROR(AVERAGEIFS(Mecze[/SPI],Mecze[Number],$J$3,Mecze[Typ meczu],$J$5,Mecze[Role],"SP",Mecze[TEAM],$J$1),"")</f>
        <v/>
      </c>
      <c r="L22" s="117" t="str">
        <f>IFERROR(AVERAGEIFS(Mecze[/SPI],Mecze[Number],$J$3,Mecze[Typ meczu],$J$5,Mecze[Role],"PSP",Mecze[TEAM],$J$1),"")</f>
        <v/>
      </c>
      <c r="M22" s="108" t="str">
        <f>IFERROR(AVERAGEIFS(Mecze[/OPI],Mecze[Number],$J$3,Mecze[Typ meczu],$J$5,Mecze[Role],"OP"),"")</f>
        <v/>
      </c>
      <c r="Q22" t="s">
        <v>116</v>
      </c>
      <c r="R22" s="11" t="str">
        <f>IF(SUMIFS(Mecze[SC],Mecze[Number],$Z$3,Mecze[Typ meczu],$Z$5,Mecze[Role],Z7,Mecze[TEAM],Z1)&gt;0,SUMIFS(Mecze[BR],Mecze[Number],$Z$3,Mecze[Typ meczu],$Z$5,Mecze[Role],Z7,Mecze[TEAM],Z1),"-")</f>
        <v>-</v>
      </c>
      <c r="S22" s="54" t="str">
        <f>IFERROR(R22-B22,"-")</f>
        <v>-</v>
      </c>
      <c r="T22" s="49" t="str">
        <f t="shared" si="1"/>
        <v>-</v>
      </c>
      <c r="U22" s="53" t="str">
        <f>IFERROR(T22-D22,"-")</f>
        <v>-</v>
      </c>
      <c r="X22" s="136"/>
      <c r="Y22" s="109" t="str">
        <f>IFERROR(AVERAGEIFS(Mecze[/SPI],Mecze[Number],$Z$3,Mecze[Typ meczu],$Z$5,Mecze[Role],"LSP",Mecze[TEAM],$Z$1),"")</f>
        <v/>
      </c>
      <c r="Z22" s="110">
        <f>IFERROR(AVERAGEIFS(Mecze[/SPI],Mecze[Number],$Z$3,Mecze[Typ meczu],$Z$5,Mecze[Role],"SP",Mecze[TEAM],$Z$1),"")</f>
        <v>0.19515968018814875</v>
      </c>
      <c r="AA22" s="113">
        <f>IFERROR(AVERAGEIFS(Mecze[/SPI],Mecze[Number],$Z$3,Mecze[Typ meczu],$Z$5,Mecze[Role],"SP",Mecze[TEAM],$Z$1),"")</f>
        <v>0.19515968018814875</v>
      </c>
      <c r="AB22" s="109" t="str">
        <f>IFERROR(AVERAGEIFS(Mecze[/SPI],Mecze[Number],$Z$3,Mecze[Typ meczu],$Z$5,Mecze[Role],"PSP",Mecze[TEAM],$Z$1),"")</f>
        <v/>
      </c>
      <c r="AC22" s="110">
        <f>IFERROR(AVERAGEIFS(Mecze[/SPI],Mecze[Number],$Z$3,Mecze[Typ meczu],$Z$5,Mecze[Role],"SP",Mecze[TEAM],$Z$1),"")</f>
        <v>0.19515968018814875</v>
      </c>
    </row>
    <row r="23" spans="1:29" x14ac:dyDescent="0.25">
      <c r="H23" s="136"/>
      <c r="I23" s="126"/>
      <c r="J23" s="127"/>
      <c r="K23" s="120"/>
      <c r="L23" s="133"/>
      <c r="M23" s="134"/>
      <c r="X23" s="136"/>
      <c r="Y23" s="126"/>
      <c r="Z23" s="127"/>
      <c r="AA23" s="120"/>
      <c r="AB23" s="126"/>
      <c r="AC23" s="127"/>
    </row>
    <row r="24" spans="1:29" x14ac:dyDescent="0.25">
      <c r="A24" s="3" t="s">
        <v>125</v>
      </c>
      <c r="H24" s="136"/>
      <c r="I24" s="115" t="str">
        <f>IF(SUMIFS(Mecze[CZAS],Mecze[Number],$J$3,Mecze[Typ meczu],$J$5,Mecze[Role],"LDP",Mecze[TEAM],$J$1)=0,"",SUMIFS(Mecze[CZAS],Mecze[Number],$J$3,Mecze[Typ meczu],$J$5,Mecze[Role],"LDP",Mecze[TEAM],$J$1))</f>
        <v/>
      </c>
      <c r="J24" s="116" t="str">
        <f>IF(SUMIFS(Mecze[CZAS],Mecze[Number],$J$3,Mecze[Typ meczu],$J$5,Mecze[Role],"OP")=0,"",SUMIFS(Mecze[CZAS],Mecze[Number],$J$3,Mecze[Typ meczu],$J$5,Mecze[Role],"OP"))</f>
        <v/>
      </c>
      <c r="K24" s="118" t="str">
        <f>IF(SUMIFS(Mecze[CZAS],Mecze[Number],$J$3,Mecze[Typ meczu],$J$5,Mecze[Role],"DP",Mecze[TEAM],$J$1)=0,"",SUMIFS(Mecze[CZAS],Mecze[Number],$J$3,Mecze[Typ meczu],$J$5,Mecze[Role],"DP",Mecze[TEAM],$J$1))</f>
        <v/>
      </c>
      <c r="L24" s="115">
        <f>IF(SUMIFS(Mecze[CZAS],Mecze[Number],$J$3,Mecze[Typ meczu],$J$5,Mecze[Role],"PDP",Mecze[TEAM],$J$1)=0,"",SUMIFS(Mecze[CZAS],Mecze[Number],$J$3,Mecze[Typ meczu],$J$5,Mecze[Role],"PDP",Mecze[TEAM],$J$1))</f>
        <v>99</v>
      </c>
      <c r="M24" s="116" t="str">
        <f>IF(SUMIFS(Mecze[CZAS],Mecze[Number],$J$3,Mecze[Typ meczu],$J$5,Mecze[Role],"OP")=0,"",SUMIFS(Mecze[CZAS],Mecze[Number],$J$3,Mecze[Typ meczu],$J$5,Mecze[Role],"OP"))</f>
        <v/>
      </c>
      <c r="Q24" s="3" t="s">
        <v>125</v>
      </c>
      <c r="X24" s="136"/>
      <c r="Y24" s="115" t="str">
        <f>IF(SUMIFS(Mecze[CZAS],Mecze[Number],$Z$3,Mecze[Typ meczu],$Z$5,Mecze[Role],"LDP",Mecze[TEAM],$Z$1)=0,"",SUMIFS(Mecze[CZAS],Mecze[Number],$Z$3,Mecze[Typ meczu],$Z$5,Mecze[Role],"LDP",Mecze[TEAM],$Z$1))</f>
        <v/>
      </c>
      <c r="Z24" s="116" t="str">
        <f>IF(SUMIFS(Mecze[CZAS],Mecze[Number],$Z$3,Mecze[Typ meczu],$Z$5,Mecze[Role],"DP",Mecze[TEAM],$Z$1)=0,"",SUMIFS(Mecze[CZAS],Mecze[Number],$Z$3,Mecze[Typ meczu],$Z$5,Mecze[Role],"DP",Mecze[TEAM],$Z$1))</f>
        <v/>
      </c>
      <c r="AA24" s="118" t="str">
        <f>IF(SUMIFS(Mecze[CZAS],Mecze[Number],$Z$3,Mecze[Typ meczu],$Z$5,Mecze[Role],"DP",Mecze[TEAM],$Z$1)=0,"",SUMIFS(Mecze[CZAS],Mecze[Number],$Z$3,Mecze[Typ meczu],$Z$5,Mecze[Role],"DP",Mecze[TEAM],$Z$1))</f>
        <v/>
      </c>
      <c r="AB24" s="115" t="str">
        <f>IF(SUMIFS(Mecze[CZAS],Mecze[Number],$Z$3,Mecze[Typ meczu],$Z$5,Mecze[Role],"PDP",Mecze[TEAM],$Z$1)=0,"",SUMIFS(Mecze[CZAS],Mecze[Number],$Z$3,Mecze[Typ meczu],$Z$5,Mecze[Role],"PDP",Mecze[TEAM],$Z$1))</f>
        <v/>
      </c>
      <c r="AC24" s="116" t="str">
        <f>IF(SUMIFS(Mecze[CZAS],Mecze[Number],$Z$3,Mecze[Typ meczu],$Z$5,Mecze[Role],"DP",Mecze[TEAM],$Z$1)=0,"",SUMIFS(Mecze[CZAS],Mecze[Number],$Z$3,Mecze[Typ meczu],$Z$5,Mecze[Role],"DP",Mecze[TEAM],$Z$1))</f>
        <v/>
      </c>
    </row>
    <row r="25" spans="1:29" x14ac:dyDescent="0.25">
      <c r="A25" t="s">
        <v>106</v>
      </c>
      <c r="B25" s="50" t="str">
        <f>IFERROR(AVERAGEIFS(Mecze[OU],Mecze[Number],$J$3,Mecze[Typ meczu],$J$5,Mecze[Role],$J$7,Mecze[TEAM],J1)/AVERAGEIFS(Mecze[OD],Mecze[Number],$J$3,Mecze[Typ meczu],$J$5,Mecze[Role],$J$7,Mecze[TEAM],J1),"-")</f>
        <v>-</v>
      </c>
      <c r="C25" s="53" t="str">
        <f>IFERROR(B25-R25,"-")</f>
        <v>-</v>
      </c>
      <c r="H25" s="136"/>
      <c r="I25" s="117"/>
      <c r="J25" s="108"/>
      <c r="K25" s="119"/>
      <c r="L25" s="117"/>
      <c r="M25" s="108"/>
      <c r="Q25" t="s">
        <v>106</v>
      </c>
      <c r="R25" s="50" t="str">
        <f>IFERROR(AVERAGEIFS(Mecze[OU],Mecze[Number],$Z$3,Mecze[Typ meczu],$Z$5,Mecze[Role],$Z$7,Mecze[TEAM],Z1)/AVERAGEIFS(Mecze[OD],Mecze[Number],$Z$3,Mecze[Typ meczu],$Z$5,Mecze[Role],$Z$7,Mecze[TEAM],Z1),"-")</f>
        <v>-</v>
      </c>
      <c r="S25" s="53" t="str">
        <f>IFERROR(R25-B25,"-")</f>
        <v>-</v>
      </c>
      <c r="X25" s="136"/>
      <c r="Y25" s="117"/>
      <c r="Z25" s="108"/>
      <c r="AA25" s="119"/>
      <c r="AB25" s="117"/>
      <c r="AC25" s="108"/>
    </row>
    <row r="26" spans="1:29" x14ac:dyDescent="0.25">
      <c r="A26" t="s">
        <v>105</v>
      </c>
      <c r="B26" s="50" t="str">
        <f>IFERROR(AVERAGEIFS(Mecze[PC],Mecze[Number],$J$3,Mecze[Typ meczu],$J$5,Mecze[Role],$J$7,Mecze[TEAM],J1)/AVERAGEIFS(Mecze[PD],Mecze[Number],$J$3,Mecze[Typ meczu],$J$5,Mecze[Role],$J$7,Mecze[TEAM],J1),"-")</f>
        <v>-</v>
      </c>
      <c r="C26" s="53" t="str">
        <f>IFERROR(B26-R26,"-")</f>
        <v>-</v>
      </c>
      <c r="H26" s="11"/>
      <c r="I26" s="109" t="str">
        <f>IFERROR(AVERAGEIFS(Mecze[Ocena],Mecze[Number],$J$3,Mecze[Typ meczu],$J$5,Mecze[Role],"LDP",Mecze[TEAM],$J$1),"")</f>
        <v/>
      </c>
      <c r="J26" s="110" t="str">
        <f>IFERROR(AVERAGEIFS(Mecze[Ocena],Mecze[Number],$J$3,Mecze[Typ meczu],$J$5,Mecze[Role],"OP"),"")</f>
        <v/>
      </c>
      <c r="K26" s="51" t="str">
        <f>IFERROR(AVERAGEIFS(Mecze[Ocena],Mecze[Number],$J$3,Mecze[Typ meczu],$J$5,Mecze[Role],"DP",Mecze[TEAM],$J$1),"")</f>
        <v/>
      </c>
      <c r="L26" s="124">
        <f>IFERROR(AVERAGEIFS(Mecze[Ocena],Mecze[Number],$J$3,Mecze[Typ meczu],$J$5,Mecze[Role],"PDP",Mecze[TEAM],$J$1),"")</f>
        <v>4.54</v>
      </c>
      <c r="M26" s="125" t="str">
        <f>IFERROR(AVERAGEIFS(Mecze[Ocena],Mecze[Number],$J$3,Mecze[Typ meczu],$J$5,Mecze[Role],"OP"),"")</f>
        <v/>
      </c>
      <c r="Q26" t="s">
        <v>105</v>
      </c>
      <c r="R26" s="50" t="str">
        <f>IFERROR(AVERAGEIFS(Mecze[PC],Mecze[Number],$Z$3,Mecze[Typ meczu],$Z$5,Mecze[Role],$Z$7,Mecze[TEAM],Z1)/AVERAGEIFS(Mecze[PD],Mecze[Number],$Z$3,Mecze[Typ meczu],$Z$5,Mecze[Role],$Z$7,Mecze[TEAM],Z1),"-")</f>
        <v>-</v>
      </c>
      <c r="S26" s="53" t="str">
        <f>IFERROR(R26-B26,"-")</f>
        <v>-</v>
      </c>
      <c r="X26" s="11"/>
      <c r="Y26" s="117" t="str">
        <f>IFERROR(AVERAGEIFS(Mecze[Ocena],Mecze[Number],$Z$3,Mecze[Typ meczu],$Z$5,Mecze[Role],"LDP",Mecze[TEAM],$Z$1),"")</f>
        <v/>
      </c>
      <c r="Z26" s="108" t="str">
        <f>IFERROR(AVERAGEIFS(Mecze[Ocena],Mecze[Number],$Z$3,Mecze[Typ meczu],$Z$5,Mecze[Role],"DP",Mecze[TEAM],$Z$1),"")</f>
        <v/>
      </c>
      <c r="AA26" s="51" t="str">
        <f>IFERROR(AVERAGEIFS(Mecze[Ocena],Mecze[Number],$Z$3,Mecze[Typ meczu],$Z$5,Mecze[Role],"DP",Mecze[TEAM],$Z$1),"")</f>
        <v/>
      </c>
      <c r="AB26" s="117" t="str">
        <f>IFERROR(AVERAGEIFS(Mecze[Ocena],Mecze[Number],$Z$3,Mecze[Typ meczu],$Z$5,Mecze[Role],"PDP",Mecze[TEAM],$Z$1),"")</f>
        <v/>
      </c>
      <c r="AC26" s="108" t="str">
        <f>IFERROR(AVERAGEIFS(Mecze[Ocena],Mecze[Number],$Z$3,Mecze[Typ meczu],$Z$5,Mecze[Role],"DP",Mecze[TEAM],$Z$1),"")</f>
        <v/>
      </c>
    </row>
    <row r="27" spans="1:29" x14ac:dyDescent="0.25">
      <c r="A27" t="s">
        <v>107</v>
      </c>
      <c r="B27" s="50" t="str">
        <f>IFERROR(AVERAGEIFS(Mecze[SC],Mecze[Number],$J$3,Mecze[Typ meczu],$J$5,Mecze[Role],$J$7,Mecze[TEAM],J1)/AVERAGEIFS(Mecze[ST],Mecze[Number],$J$3,Mecze[Typ meczu],$J$5,Mecze[Role],$J$7,Mecze[TEAM],J1),"-")</f>
        <v>-</v>
      </c>
      <c r="C27" s="53" t="str">
        <f>IFERROR(B27-R27,"-")</f>
        <v>-</v>
      </c>
      <c r="H27" s="136"/>
      <c r="I27" s="109" t="str">
        <f>IFERROR(AVERAGEIFS(Mecze[/DPI],Mecze[Number],$J$3,Mecze[Typ meczu],$J$5,Mecze[Role],"LDP",Mecze[TEAM],$J$1),"")</f>
        <v/>
      </c>
      <c r="J27" s="110" t="str">
        <f>IFERROR(AVERAGEIFS(Mecze[/OPI],Mecze[Number],$J$3,Mecze[Typ meczu],$J$5,Mecze[Role],"OP"),"")</f>
        <v/>
      </c>
      <c r="K27" s="113" t="str">
        <f>IFERROR(AVERAGEIFS(Mecze[/DPI],Mecze[Number],$J$3,Mecze[Typ meczu],$J$5,Mecze[Role],"DP",Mecze[TEAM],$J$1),"")</f>
        <v/>
      </c>
      <c r="L27" s="109">
        <f>IFERROR(AVERAGEIFS(Mecze[/DPI],Mecze[Number],$J$3,Mecze[Typ meczu],$J$5,Mecze[Role],"PDP",Mecze[TEAM],$J$1),"")</f>
        <v>0.14141414141414144</v>
      </c>
      <c r="M27" s="110" t="str">
        <f>IFERROR(AVERAGEIFS(Mecze[/OPI],Mecze[Number],$J$3,Mecze[Typ meczu],$J$5,Mecze[Role],"OP"),"")</f>
        <v/>
      </c>
      <c r="Q27" t="s">
        <v>107</v>
      </c>
      <c r="R27" s="50" t="str">
        <f>IFERROR(AVERAGEIFS(Mecze[SC],Mecze[Number],$Z$3,Mecze[Typ meczu],$Z$5,Mecze[Role],$Z$7,Mecze[TEAM],Z1)/AVERAGEIFS(Mecze[ST],Mecze[Number],$Z$3,Mecze[Typ meczu],$Z$5,Mecze[Role],$Z$7,Mecze[TEAM],Z1),"-")</f>
        <v>-</v>
      </c>
      <c r="S27" s="53" t="str">
        <f>IFERROR(R27-B27,"-")</f>
        <v>-</v>
      </c>
      <c r="X27" s="136"/>
      <c r="Y27" s="109" t="str">
        <f>IFERROR(AVERAGEIFS(Mecze[/DPI],Mecze[Number],$Z$3,Mecze[Typ meczu],$Z$5,Mecze[Role],"LDP",Mecze[TEAM],$Z$1),"")</f>
        <v/>
      </c>
      <c r="Z27" s="110" t="str">
        <f>IFERROR(AVERAGEIFS(Mecze[/DPI],Mecze[Number],$Z$3,Mecze[Typ meczu],$Z$5,Mecze[Role],"DP",Mecze[TEAM],$Z$1),"")</f>
        <v/>
      </c>
      <c r="AA27" s="113" t="str">
        <f>IFERROR(AVERAGEIFS(Mecze[/DPI],Mecze[Number],$Z$3,Mecze[Typ meczu],$Z$5,Mecze[Role],"DP",Mecze[TEAM],$Z$1),"")</f>
        <v/>
      </c>
      <c r="AB27" s="109" t="str">
        <f>IFERROR(AVERAGEIFS(Mecze[/DPI],Mecze[Number],$Z$3,Mecze[Typ meczu],$Z$5,Mecze[Role],"PDP",Mecze[TEAM],$Z$1),"")</f>
        <v/>
      </c>
      <c r="AC27" s="110" t="str">
        <f>IFERROR(AVERAGEIFS(Mecze[/DPI],Mecze[Number],$Z$3,Mecze[Typ meczu],$Z$5,Mecze[Role],"DP",Mecze[TEAM],$Z$1),"")</f>
        <v/>
      </c>
    </row>
    <row r="28" spans="1:29" ht="15.75" thickBot="1" x14ac:dyDescent="0.3">
      <c r="A28" t="s">
        <v>126</v>
      </c>
      <c r="B28" s="50" t="str">
        <f>IFERROR(SUMIFS(Mecze[BR],Mecze[Number],$J$3,Mecze[Typ meczu],$J$5,Mecze[Role],$J$7,Mecze[TEAM],J1)/SUMIFS(Mecze[ST],Mecze[Number],$J$3,Mecze[Typ meczu],$J$5,Mecze[Role],$J$7,Mecze[TEAM],J1),"-")</f>
        <v>-</v>
      </c>
      <c r="C28" s="53" t="str">
        <f>IFERROR(B28-R28,"-")</f>
        <v>-</v>
      </c>
      <c r="H28" s="136"/>
      <c r="I28" s="111"/>
      <c r="J28" s="112"/>
      <c r="K28" s="114"/>
      <c r="L28" s="111"/>
      <c r="M28" s="112"/>
      <c r="Q28" t="s">
        <v>126</v>
      </c>
      <c r="R28" s="50" t="str">
        <f>IFERROR(AVERAGEIFS(Mecze[BR],Mecze[Number],$Z$3,Mecze[Typ meczu],$Z$5,Mecze[Role],$Z$7,Mecze[TEAM],Z1)/AVERAGEIFS(Mecze[ST],Mecze[Number],$Z$3,Mecze[Typ meczu],$Z$5,Mecze[Role],$Z$7,Mecze[TEAM],Z1),"-")</f>
        <v>-</v>
      </c>
      <c r="S28" s="53" t="str">
        <f>IFERROR(R28-B28,"-")</f>
        <v>-</v>
      </c>
      <c r="X28" s="136"/>
      <c r="Y28" s="111"/>
      <c r="Z28" s="112"/>
      <c r="AA28" s="114"/>
      <c r="AB28" s="111"/>
      <c r="AC28" s="112"/>
    </row>
    <row r="29" spans="1:29" x14ac:dyDescent="0.25">
      <c r="B29" s="50"/>
      <c r="H29" s="52"/>
      <c r="I29" s="118" t="str">
        <f>IF(SUMIFS(Mecze[CZAS],Mecze[Number],$J$3,Mecze[Typ meczu],$J$5,Mecze[Role],"LO",Mecze[TEAM],$J$1)=0,"",SUMIFS(Mecze[CZAS],Mecze[Number],$J$3,Mecze[Typ meczu],$J$5,Mecze[Role],"LO",Mecze[TEAM],$J$1))</f>
        <v/>
      </c>
      <c r="J29" s="121" t="str">
        <f>IF(SUMIFS(Mecze[CZAS],Mecze[Number],$J$3,Mecze[Typ meczu],$J$5,Mecze[Role],"LSO",Mecze[TEAM],$J$1)=0,"",SUMIFS(Mecze[CZAS],Mecze[Number],$J$3,Mecze[Typ meczu],$J$5,Mecze[Role],"LSO",Mecze[TEAM],$J$1))</f>
        <v/>
      </c>
      <c r="K29" s="121">
        <f>IF(SUMIFS(Mecze[CZAS],Mecze[Number],$J$3,Mecze[Typ meczu],$J$5,Mecze[Role],"SO",Mecze[TEAM],$J$1)=0,"",SUMIFS(Mecze[CZAS],Mecze[Number],$J$3,Mecze[Typ meczu],$J$5,Mecze[Role],"SO",Mecze[TEAM],$J$1))</f>
        <v>1224</v>
      </c>
      <c r="L29" s="121">
        <f>IF(SUMIFS(Mecze[CZAS],Mecze[Number],$J$3,Mecze[Typ meczu],$J$5,Mecze[Role],"PSO",Mecze[TEAM],$J$1)=0,"",SUMIFS(Mecze[CZAS],Mecze[Number],$J$3,Mecze[Typ meczu],$J$5,Mecze[Role],"PSO",Mecze[TEAM],$J$1))</f>
        <v>480</v>
      </c>
      <c r="M29" s="121">
        <f>IF(SUMIFS(Mecze[CZAS],Mecze[Number],$J$3,Mecze[Typ meczu],$J$5,Mecze[Role],"PO",Mecze[TEAM],$J$1)=0,"",SUMIFS(Mecze[CZAS],Mecze[Number],$J$3,Mecze[Typ meczu],$J$5,Mecze[Role],"PO",Mecze[TEAM],$J$1))</f>
        <v>194</v>
      </c>
      <c r="R29" s="50"/>
      <c r="X29" s="52"/>
      <c r="Y29" s="121" t="str">
        <f>IF(SUMIFS(Mecze[CZAS],Mecze[Number],$Z$3,Mecze[Typ meczu],$Z$5,Mecze[Role],"LO",Mecze[TEAM],$Z$1)=0,"",SUMIFS(Mecze[CZAS],Mecze[Number],$Z$3,Mecze[Typ meczu],$Z$5,Mecze[Role],"LO",Mecze[TEAM],$Z$1))</f>
        <v/>
      </c>
      <c r="Z29" s="121" t="str">
        <f>IF(SUMIFS(Mecze[CZAS],Mecze[Number],$Z$3,Mecze[Typ meczu],$Z$5,Mecze[Role],"LSO",Mecze[TEAM],$Z$1)=0,"",SUMIFS(Mecze[CZAS],Mecze[Number],$Z$3,Mecze[Typ meczu],$Z$5,Mecze[Role],"LSO",Mecze[TEAM],$Z$1))</f>
        <v/>
      </c>
      <c r="AA29" s="121" t="str">
        <f>IF(SUMIFS(Mecze[CZAS],Mecze[Number],$Z$3,Mecze[Typ meczu],$Z$5,Mecze[Role],"SO",Mecze[TEAM],$Z$1)=0,"",SUMIFS(Mecze[CZAS],Mecze[Number],$Z$3,Mecze[Typ meczu],$Z$5,Mecze[Role],"SO",Mecze[TEAM],$Z$1))</f>
        <v/>
      </c>
      <c r="AB29" s="121" t="str">
        <f>IF(SUMIFS(Mecze[CZAS],Mecze[Number],$Z$3,Mecze[Typ meczu],$Z$5,Mecze[Role],"PSO",Mecze[TEAM],$Z$1)=0,"",SUMIFS(Mecze[CZAS],Mecze[Number],$Z$3,Mecze[Typ meczu],$Z$5,Mecze[Role],"PSO",Mecze[TEAM],$Z$1))</f>
        <v/>
      </c>
      <c r="AC29" s="121" t="str">
        <f>IF(SUMIFS(Mecze[CZAS],Mecze[Number],$Z$3,Mecze[Typ meczu],$Z$5,Mecze[Role],"PO",Mecze[TEAM],$Z$1)=0,"",SUMIFS(Mecze[CZAS],Mecze[Number],$Z$3,Mecze[Typ meczu],$Z$5,Mecze[Role],"PO",Mecze[TEAM],$Z$1))</f>
        <v/>
      </c>
    </row>
    <row r="30" spans="1:29" x14ac:dyDescent="0.25">
      <c r="A30" t="s">
        <v>144</v>
      </c>
      <c r="B30" s="16" t="e">
        <f>IF($J$1=1,VLOOKUP($J$3,Radar[],3,FALSE),"-")</f>
        <v>#N/A</v>
      </c>
      <c r="C30" s="53" t="str">
        <f>IFERROR(B30-R30,"-")</f>
        <v>-</v>
      </c>
      <c r="H30" s="52"/>
      <c r="I30" s="119"/>
      <c r="J30" s="119"/>
      <c r="K30" s="119"/>
      <c r="L30" s="119"/>
      <c r="M30" s="119"/>
      <c r="Q30" t="s">
        <v>144</v>
      </c>
      <c r="R30" s="92" t="str">
        <f>IF($Z$1=1,VLOOKUP($Z$3,Radar[],3,FALSE),"-")</f>
        <v>-</v>
      </c>
      <c r="S30" s="53" t="str">
        <f>IFERROR(R30-B30,"-")</f>
        <v>-</v>
      </c>
      <c r="X30" s="52"/>
      <c r="Y30" s="119" t="str">
        <f>IF(SUMIFS(Mecze[CZAS],Mecze[Number],$Z$3,Mecze[Typ meczu],$Z$5,Mecze[Role],"BR",Mecze[TEAM],$Z$1)=0,"",SUMIFS(Mecze[CZAS],Mecze[Number],$Z$3,Mecze[Typ meczu],$Z$5,Mecze[Role],"BR",Mecze[TEAM],$Z$1))</f>
        <v/>
      </c>
      <c r="Z30" s="119" t="str">
        <f>IF(SUMIFS(Mecze[CZAS],Mecze[Number],$Z$3,Mecze[Typ meczu],$Z$5,Mecze[Role],"BR",Mecze[TEAM],$Z$1)=0,"",SUMIFS(Mecze[CZAS],Mecze[Number],$Z$3,Mecze[Typ meczu],$Z$5,Mecze[Role],"BR",Mecze[TEAM],$Z$1))</f>
        <v/>
      </c>
      <c r="AA30" s="119" t="str">
        <f>IF(SUMIFS(Mecze[CZAS],Mecze[Number],$Z$3,Mecze[Typ meczu],$Z$5,Mecze[Role],"BR",Mecze[TEAM],$Z$1)=0,"",SUMIFS(Mecze[CZAS],Mecze[Number],$Z$3,Mecze[Typ meczu],$Z$5,Mecze[Role],"BR",Mecze[TEAM],$Z$1))</f>
        <v/>
      </c>
      <c r="AB30" s="119" t="str">
        <f>IF(SUMIFS(Mecze[CZAS],Mecze[Number],$Z$3,Mecze[Typ meczu],$Z$5,Mecze[Role],"BR",Mecze[TEAM],$Z$1)=0,"",SUMIFS(Mecze[CZAS],Mecze[Number],$Z$3,Mecze[Typ meczu],$Z$5,Mecze[Role],"BR",Mecze[TEAM],$Z$1))</f>
        <v/>
      </c>
      <c r="AC30" s="119" t="str">
        <f>IF(SUMIFS(Mecze[CZAS],Mecze[Number],$Z$3,Mecze[Typ meczu],$Z$5,Mecze[Role],"BR",Mecze[TEAM],$Z$1)=0,"",SUMIFS(Mecze[CZAS],Mecze[Number],$Z$3,Mecze[Typ meczu],$Z$5,Mecze[Role],"BR",Mecze[TEAM],$Z$1))</f>
        <v/>
      </c>
    </row>
    <row r="31" spans="1:29" x14ac:dyDescent="0.25">
      <c r="A31" t="s">
        <v>142</v>
      </c>
      <c r="B31" s="16" t="e">
        <f>IF($J$1=1,VLOOKUP($J$3,Radar[],4,FALSE),"-")</f>
        <v>#N/A</v>
      </c>
      <c r="C31" s="53" t="str">
        <f>IFERROR(B31-R31,"-")</f>
        <v>-</v>
      </c>
      <c r="H31" s="11"/>
      <c r="I31" s="51" t="str">
        <f>IFERROR(AVERAGEIFS(Mecze[Ocena],Mecze[Number],$J$3,Mecze[Typ meczu],$J$5,Mecze[Role],"LO",Mecze[TEAM],$J$1),"")</f>
        <v/>
      </c>
      <c r="J31" s="51" t="str">
        <f>IFERROR(AVERAGEIFS(Mecze[Ocena],Mecze[Number],$J$3,Mecze[Typ meczu],$J$5,Mecze[Role],"LSO",Mecze[TEAM],$J$1),"")</f>
        <v/>
      </c>
      <c r="K31" s="51">
        <f>IFERROR(AVERAGEIFS(Mecze[Ocena],Mecze[Number],$J$3,Mecze[Typ meczu],$J$5,Mecze[Role],"SO",Mecze[TEAM],$J$1),"")</f>
        <v>5.9492307692307707</v>
      </c>
      <c r="L31" s="51">
        <f>IFERROR(AVERAGEIFS(Mecze[Ocena],Mecze[Number],$J$3,Mecze[Typ meczu],$J$5,Mecze[Role],"PSO",Mecze[TEAM],$J$1),"")</f>
        <v>5.9659999999999993</v>
      </c>
      <c r="M31" s="51">
        <f>IFERROR(AVERAGEIFS(Mecze[Ocena],Mecze[Number],$J$3,Mecze[Typ meczu],$J$5,Mecze[Role],"PO",Mecze[TEAM],$J$1),"")</f>
        <v>6.2050000000000001</v>
      </c>
      <c r="Q31" t="s">
        <v>142</v>
      </c>
      <c r="R31" s="92" t="str">
        <f>IF($Z$1=1,VLOOKUP($Z$3,Radar[],4,FALSE),"-")</f>
        <v>-</v>
      </c>
      <c r="S31" s="53" t="str">
        <f>IFERROR(R31-B31,"-")</f>
        <v>-</v>
      </c>
      <c r="X31" s="11"/>
      <c r="Y31" s="51" t="str">
        <f>IFERROR(AVERAGEIFS(Mecze[Ocena],Mecze[Number],$Z$3,Mecze[Typ meczu],$Z$5,Mecze[Role],"LO",Mecze[TEAM],$Z$1),"")</f>
        <v/>
      </c>
      <c r="Z31" s="51" t="str">
        <f>IFERROR(AVERAGEIFS(Mecze[Ocena],Mecze[Number],$Z$3,Mecze[Typ meczu],$Z$5,Mecze[Role],"LSO",Mecze[TEAM],$Z$1),"")</f>
        <v/>
      </c>
      <c r="AA31" s="51" t="str">
        <f>IFERROR(AVERAGEIFS(Mecze[Ocena],Mecze[Number],$Z$3,Mecze[Typ meczu],$Z$5,Mecze[Role],"SO",Mecze[TEAM],$Z$1),"")</f>
        <v/>
      </c>
      <c r="AB31" s="51" t="str">
        <f>IFERROR(AVERAGEIFS(Mecze[Ocena],Mecze[Number],$Z$3,Mecze[Typ meczu],$Z$5,Mecze[Role],"PSO",Mecze[TEAM],$Z$1),"")</f>
        <v/>
      </c>
      <c r="AC31" s="51" t="str">
        <f>IFERROR(AVERAGEIFS(Mecze[Ocena],Mecze[Number],$Z$3,Mecze[Typ meczu],$Z$5,Mecze[Role],"PO",Mecze[TEAM],$Z$1),"")</f>
        <v/>
      </c>
    </row>
    <row r="32" spans="1:29" x14ac:dyDescent="0.25">
      <c r="A32" t="s">
        <v>147</v>
      </c>
      <c r="B32" s="16" t="e">
        <f>IF($J$1=1,VLOOKUP($J$3,Radar[],5,FALSE),"-")</f>
        <v>#N/A</v>
      </c>
      <c r="C32" s="53" t="str">
        <f>IFERROR(B32-R32,"-")</f>
        <v>-</v>
      </c>
      <c r="H32" s="52"/>
      <c r="I32" s="113" t="str">
        <f>IFERROR(AVERAGEIFS(Mecze[/OBI],Mecze[Number],$J$3,Mecze[Typ meczu],$J$5,Mecze[Role],"LO",Mecze[TEAM],$J$1),"")</f>
        <v/>
      </c>
      <c r="J32" s="113" t="str">
        <f>IFERROR(AVERAGEIFS(Mecze[/OBI],Mecze[Number],$J$3,Mecze[Typ meczu],$J$5,Mecze[Role],"LSO",Mecze[TEAM],$J$1),"")</f>
        <v/>
      </c>
      <c r="K32" s="113">
        <f>IFERROR(AVERAGEIFS(Mecze[/OBI],Mecze[Number],$J$3,Mecze[Typ meczu],$J$5,Mecze[Role],"SO",Mecze[TEAM],$J$1),"")</f>
        <v>0.22691206477563008</v>
      </c>
      <c r="L32" s="113">
        <f>IFERROR(AVERAGEIFS(Mecze[/OBI],Mecze[Number],$J$3,Mecze[Typ meczu],$J$5,Mecze[Role],"PSO",Mecze[TEAM],$J$1),"")</f>
        <v>0.19898704557786218</v>
      </c>
      <c r="M32" s="113">
        <f>IFERROR(AVERAGEIFS(Mecze[/OBI],Mecze[Number],$J$3,Mecze[Typ meczu],$J$5,Mecze[Role],"PO",Mecze[TEAM],$J$1),"")</f>
        <v>7.2164948453608241E-2</v>
      </c>
      <c r="Q32" t="s">
        <v>147</v>
      </c>
      <c r="R32" s="92" t="str">
        <f>IF($Z$1=1,VLOOKUP($Z$3,Radar[],5,FALSE),"-")</f>
        <v>-</v>
      </c>
      <c r="S32" s="53" t="str">
        <f>IFERROR(R32-B32,"-")</f>
        <v>-</v>
      </c>
      <c r="X32" s="52"/>
      <c r="Y32" s="113" t="str">
        <f>IFERROR(AVERAGEIFS(Mecze[/OBI],Mecze[Number],$Z$3,Mecze[Typ meczu],$Z$5,Mecze[Role],"LO",Mecze[TEAM],$Z$1),"")</f>
        <v/>
      </c>
      <c r="Z32" s="113" t="str">
        <f>IFERROR(AVERAGEIFS(Mecze[/OBI],Mecze[Number],$Z$3,Mecze[Typ meczu],$Z$5,Mecze[Role],"LSO",Mecze[TEAM],$Z$1),"")</f>
        <v/>
      </c>
      <c r="AA32" s="113" t="str">
        <f>IFERROR(AVERAGEIFS(Mecze[/OBI],Mecze[Number],$Z$3,Mecze[Typ meczu],$Z$5,Mecze[Role],"SO",Mecze[TEAM],$Z$1),"")</f>
        <v/>
      </c>
      <c r="AB32" s="113" t="str">
        <f>IFERROR(AVERAGEIFS(Mecze[/OBI],Mecze[Number],$Z$3,Mecze[Typ meczu],$Z$5,Mecze[Role],"PSO",Mecze[TEAM],$Z$1),"")</f>
        <v/>
      </c>
      <c r="AC32" s="113" t="str">
        <f>IFERROR(AVERAGEIFS(Mecze[/OBI],Mecze[Number],$Z$3,Mecze[Typ meczu],$Z$5,Mecze[Role],"PO",Mecze[TEAM],$Z$1),"")</f>
        <v/>
      </c>
    </row>
    <row r="33" spans="1:29" ht="15.75" thickBot="1" x14ac:dyDescent="0.3">
      <c r="A33" t="s">
        <v>128</v>
      </c>
      <c r="B33" s="16" t="e">
        <f>IF($J$1=1,VLOOKUP($J$3,Radar[],6,FALSE),"-")</f>
        <v>#N/A</v>
      </c>
      <c r="C33" s="53" t="str">
        <f>IFERROR(B33-R33,"-")</f>
        <v>-</v>
      </c>
      <c r="H33" s="52"/>
      <c r="I33" s="120"/>
      <c r="J33" s="120"/>
      <c r="K33" s="114"/>
      <c r="L33" s="120"/>
      <c r="M33" s="120"/>
      <c r="Q33" t="s">
        <v>128</v>
      </c>
      <c r="R33" s="92" t="str">
        <f>IF($Z$1=1,VLOOKUP($Z$3,Radar[],6,FALSE),"-")</f>
        <v>-</v>
      </c>
      <c r="S33" s="53" t="str">
        <f>IFERROR(R33-B33,"-")</f>
        <v>-</v>
      </c>
      <c r="X33" s="52"/>
      <c r="Y33" s="120" t="str">
        <f>IFERROR(AVERAGEIFS(Mecze[/BRI],Mecze[Number],$Z$3,Mecze[Typ meczu],$Z$5,Mecze[Role],"BR",Mecze[TEAM],$Z$1),"")</f>
        <v/>
      </c>
      <c r="Z33" s="120" t="str">
        <f>IFERROR(AVERAGEIFS(Mecze[/BRI],Mecze[Number],$Z$3,Mecze[Typ meczu],$Z$5,Mecze[Role],"BR",Mecze[TEAM],$Z$1),"")</f>
        <v/>
      </c>
      <c r="AA33" s="114" t="str">
        <f>IFERROR(AVERAGEIFS(Mecze[/BRI],Mecze[Number],$Z$3,Mecze[Typ meczu],$Z$5,Mecze[Role],"BR",Mecze[TEAM],$Z$1),"")</f>
        <v/>
      </c>
      <c r="AB33" s="120" t="str">
        <f>IFERROR(AVERAGEIFS(Mecze[/BRI],Mecze[Number],$Z$3,Mecze[Typ meczu],$Z$5,Mecze[Role],"BR",Mecze[TEAM],$Z$1),"")</f>
        <v/>
      </c>
      <c r="AC33" s="120" t="str">
        <f>IFERROR(AVERAGEIFS(Mecze[/BRI],Mecze[Number],$Z$3,Mecze[Typ meczu],$Z$5,Mecze[Role],"BR",Mecze[TEAM],$Z$1),"")</f>
        <v/>
      </c>
    </row>
    <row r="34" spans="1:29" x14ac:dyDescent="0.25">
      <c r="A34" t="s">
        <v>129</v>
      </c>
      <c r="B34" s="16" t="e">
        <f>IF($J$1=1,VLOOKUP($J$3,Radar[],7,FALSE),"-")</f>
        <v>#N/A</v>
      </c>
      <c r="C34" s="53" t="str">
        <f>IFERROR(B34-R34,"-")</f>
        <v>-</v>
      </c>
      <c r="G34" s="11"/>
      <c r="H34" s="11"/>
      <c r="K34" s="46" t="str">
        <f>IF(SUMIFS(Mecze[CZAS],Mecze[Number],$J$3,Mecze[Typ meczu],$J$5,Mecze[Role],"BR",Mecze[TEAM],$J$1)=0,"",SUMIFS(Mecze[CZAS],Mecze[Number],$J$3,Mecze[Typ meczu],$J$5,Mecze[Role],"BR",Mecze[TEAM],$J$1))</f>
        <v/>
      </c>
      <c r="Q34" t="s">
        <v>129</v>
      </c>
      <c r="R34" s="92" t="str">
        <f>IF($Z$1=1,VLOOKUP($Z$3,Radar[],7,FALSE),"-")</f>
        <v>-</v>
      </c>
      <c r="S34" s="53" t="str">
        <f>IFERROR(R34-B34,"-")</f>
        <v>-</v>
      </c>
      <c r="W34" s="11"/>
      <c r="X34" s="11"/>
      <c r="AA34" s="46" t="str">
        <f>IF(SUMIFS(Mecze[CZAS],Mecze[Number],$Z$3,Mecze[Typ meczu],$Z$5,Mecze[Role],"BR",Mecze[TEAM],$Z$1)=0,"",SUMIFS(Mecze[CZAS],Mecze[Number],$Z$3,Mecze[Typ meczu],$Z$5,Mecze[Role],"BR",Mecze[TEAM],$Z$1))</f>
        <v/>
      </c>
    </row>
    <row r="35" spans="1:29" x14ac:dyDescent="0.25">
      <c r="A35" t="s">
        <v>140</v>
      </c>
      <c r="B35" s="16" t="e">
        <f>IF($J$1=1,VLOOKUP($J$3,Radar[],8,FALSE),"-")</f>
        <v>#N/A</v>
      </c>
      <c r="C35" s="53" t="str">
        <f>IFERROR(B35-R35,"-")</f>
        <v>-</v>
      </c>
      <c r="G35" s="11"/>
      <c r="H35" s="11"/>
      <c r="K35" s="51" t="str">
        <f>IFERROR(AVERAGEIFS(Mecze[Ocena],Mecze[Number],$J$3,Mecze[Typ meczu],$J$5,Mecze[Role],"BR",Mecze[TEAM],$J$1),"")</f>
        <v/>
      </c>
      <c r="Q35" t="s">
        <v>140</v>
      </c>
      <c r="R35" s="92" t="str">
        <f>IF($Z$1=1,VLOOKUP($Z$3,Radar[],8,FALSE),"-")</f>
        <v>-</v>
      </c>
      <c r="S35" s="53" t="str">
        <f>IFERROR(R35-B35,"-")</f>
        <v>-</v>
      </c>
      <c r="W35" s="11"/>
      <c r="X35" s="11"/>
      <c r="AA35" s="51" t="str">
        <f>IFERROR(AVERAGEIFS(Mecze[Ocena],Mecze[Number],$Z$3,Mecze[Typ meczu],$Z$5,Mecze[Role],"BR",Mecze[TEAM],$Z$1),"")</f>
        <v/>
      </c>
    </row>
    <row r="36" spans="1:29" x14ac:dyDescent="0.25">
      <c r="A36" t="s">
        <v>130</v>
      </c>
      <c r="B36" s="16" t="e">
        <f>IF($J$1=1,VLOOKUP($J$3,Radar[],9,FALSE),"-")</f>
        <v>#N/A</v>
      </c>
      <c r="C36" s="53" t="str">
        <f>IFERROR(B36-R36,"-")</f>
        <v>-</v>
      </c>
      <c r="G36" s="11"/>
      <c r="H36" s="11"/>
      <c r="K36" s="56" t="str">
        <f>IFERROR(AVERAGEIFS(Mecze[/BRI],Mecze[Number],$J$3,Mecze[Typ meczu],$J$5,Mecze[Role],"BR",Mecze[TEAM],$J$1),"")</f>
        <v/>
      </c>
      <c r="Q36" t="s">
        <v>130</v>
      </c>
      <c r="R36" s="92" t="str">
        <f>IF($Z$1=1,VLOOKUP($Z$3,Radar[],9,FALSE),"-")</f>
        <v>-</v>
      </c>
      <c r="S36" s="53" t="str">
        <f>IFERROR(R36-B36,"-")</f>
        <v>-</v>
      </c>
      <c r="W36" s="11"/>
      <c r="X36" s="11"/>
      <c r="AA36" s="56" t="str">
        <f>IFERROR(AVERAGEIFS(Mecze[/BRI],Mecze[Number],$Z$3,Mecze[Typ meczu],$Z$5,Mecze[Role],"BR",Mecze[TEAM],$Z$1),"")</f>
        <v/>
      </c>
    </row>
    <row r="37" spans="1:29" x14ac:dyDescent="0.25">
      <c r="A37" t="s">
        <v>131</v>
      </c>
      <c r="B37" s="16" t="e">
        <f>IF($J$1=1,VLOOKUP($J$3,Radar[],10,FALSE),"-")</f>
        <v>#N/A</v>
      </c>
      <c r="C37" s="53" t="str">
        <f>IFERROR(B37-R37,"-")</f>
        <v>-</v>
      </c>
      <c r="Q37" t="s">
        <v>131</v>
      </c>
      <c r="R37" s="92" t="str">
        <f>IF($Z$1=1,VLOOKUP($Z$3,Radar[],10,FALSE),"-")</f>
        <v>-</v>
      </c>
      <c r="S37" s="53" t="str">
        <f>IFERROR(R37-B37,"-")</f>
        <v>-</v>
      </c>
    </row>
    <row r="38" spans="1:29" x14ac:dyDescent="0.25">
      <c r="A38" t="s">
        <v>132</v>
      </c>
      <c r="B38" s="16" t="e">
        <f>IF($J$1=1,VLOOKUP($J$3,Radar[],11,FALSE),"-")</f>
        <v>#N/A</v>
      </c>
      <c r="C38" s="53" t="str">
        <f>IFERROR(B38-R38,"-")</f>
        <v>-</v>
      </c>
      <c r="Q38" t="s">
        <v>132</v>
      </c>
      <c r="R38" s="92" t="str">
        <f>IF($Z$1=1,VLOOKUP($Z$3,Radar[],11,FALSE),"-")</f>
        <v>-</v>
      </c>
      <c r="S38" s="53" t="str">
        <f>IFERROR(R38-B38,"-")</f>
        <v>-</v>
      </c>
    </row>
    <row r="39" spans="1:29" x14ac:dyDescent="0.25">
      <c r="A39" t="s">
        <v>133</v>
      </c>
      <c r="B39" s="16" t="e">
        <f>IF($J$1=1,VLOOKUP($J$3,Radar[],12,FALSE),"-")</f>
        <v>#N/A</v>
      </c>
      <c r="C39" s="53" t="str">
        <f>IFERROR(B39-R39,"-")</f>
        <v>-</v>
      </c>
      <c r="Q39" t="s">
        <v>133</v>
      </c>
      <c r="R39" s="92" t="str">
        <f>IF($Z$1=1,VLOOKUP($Z$3,Radar[],12,FALSE),"-")</f>
        <v>-</v>
      </c>
      <c r="S39" s="53" t="str">
        <f>IFERROR(R39-B39,"-")</f>
        <v>-</v>
      </c>
    </row>
  </sheetData>
  <dataConsolidate/>
  <mergeCells count="110">
    <mergeCell ref="H12:H13"/>
    <mergeCell ref="X9:X10"/>
    <mergeCell ref="X12:X13"/>
    <mergeCell ref="K9:K10"/>
    <mergeCell ref="K12:K13"/>
    <mergeCell ref="K3:L3"/>
    <mergeCell ref="J5:L5"/>
    <mergeCell ref="K17:K18"/>
    <mergeCell ref="L9:L10"/>
    <mergeCell ref="L12:L13"/>
    <mergeCell ref="K19:K20"/>
    <mergeCell ref="K29:K30"/>
    <mergeCell ref="K32:K33"/>
    <mergeCell ref="K24:K25"/>
    <mergeCell ref="I22:J23"/>
    <mergeCell ref="I26:J26"/>
    <mergeCell ref="J7:L7"/>
    <mergeCell ref="H9:H10"/>
    <mergeCell ref="M29:M30"/>
    <mergeCell ref="L32:L33"/>
    <mergeCell ref="M32:M33"/>
    <mergeCell ref="I24:J25"/>
    <mergeCell ref="L24:M25"/>
    <mergeCell ref="L27:M28"/>
    <mergeCell ref="I27:J28"/>
    <mergeCell ref="I29:I30"/>
    <mergeCell ref="I32:I33"/>
    <mergeCell ref="J29:J30"/>
    <mergeCell ref="J32:J33"/>
    <mergeCell ref="L29:L30"/>
    <mergeCell ref="K27:K28"/>
    <mergeCell ref="L26:M26"/>
    <mergeCell ref="D1:E1"/>
    <mergeCell ref="D2:E2"/>
    <mergeCell ref="D5:E5"/>
    <mergeCell ref="D3:E3"/>
    <mergeCell ref="D4:E4"/>
    <mergeCell ref="L22:M23"/>
    <mergeCell ref="I19:J20"/>
    <mergeCell ref="L19:M20"/>
    <mergeCell ref="I14:J15"/>
    <mergeCell ref="I17:J18"/>
    <mergeCell ref="L14:M15"/>
    <mergeCell ref="L17:M18"/>
    <mergeCell ref="K14:K15"/>
    <mergeCell ref="I16:J16"/>
    <mergeCell ref="L16:M16"/>
    <mergeCell ref="I21:J21"/>
    <mergeCell ref="L21:M21"/>
    <mergeCell ref="K22:K23"/>
    <mergeCell ref="M9:M10"/>
    <mergeCell ref="M12:M13"/>
    <mergeCell ref="I9:I10"/>
    <mergeCell ref="I12:I13"/>
    <mergeCell ref="J9:J10"/>
    <mergeCell ref="J12:J13"/>
    <mergeCell ref="T5:U5"/>
    <mergeCell ref="Y9:Y10"/>
    <mergeCell ref="Z9:Z10"/>
    <mergeCell ref="AA9:AA10"/>
    <mergeCell ref="AB9:AB10"/>
    <mergeCell ref="T1:U1"/>
    <mergeCell ref="T2:U2"/>
    <mergeCell ref="T3:U3"/>
    <mergeCell ref="T4:U4"/>
    <mergeCell ref="AA3:AB3"/>
    <mergeCell ref="Z5:AB5"/>
    <mergeCell ref="Z7:AB7"/>
    <mergeCell ref="AA1:AB1"/>
    <mergeCell ref="Y21:Z21"/>
    <mergeCell ref="AB21:AC21"/>
    <mergeCell ref="Y22:Z23"/>
    <mergeCell ref="AA22:AA23"/>
    <mergeCell ref="AB22:AC23"/>
    <mergeCell ref="Y14:Z15"/>
    <mergeCell ref="AA14:AA15"/>
    <mergeCell ref="AB14:AC15"/>
    <mergeCell ref="Y16:Z16"/>
    <mergeCell ref="AB16:AC16"/>
    <mergeCell ref="Y17:Z18"/>
    <mergeCell ref="AA17:AA18"/>
    <mergeCell ref="AB17:AC18"/>
    <mergeCell ref="Y19:Z20"/>
    <mergeCell ref="AA19:AA20"/>
    <mergeCell ref="AB19:AC20"/>
    <mergeCell ref="AC9:AC10"/>
    <mergeCell ref="Y12:Y13"/>
    <mergeCell ref="Z12:Z13"/>
    <mergeCell ref="AA12:AA13"/>
    <mergeCell ref="AB12:AB13"/>
    <mergeCell ref="AC12:AC13"/>
    <mergeCell ref="K1:L1"/>
    <mergeCell ref="Y27:Z28"/>
    <mergeCell ref="AA27:AA28"/>
    <mergeCell ref="AB27:AC28"/>
    <mergeCell ref="Y24:Z25"/>
    <mergeCell ref="AA24:AA25"/>
    <mergeCell ref="AB24:AC25"/>
    <mergeCell ref="Y26:Z26"/>
    <mergeCell ref="AB26:AC26"/>
    <mergeCell ref="Y32:Y33"/>
    <mergeCell ref="Z32:Z33"/>
    <mergeCell ref="AA32:AA33"/>
    <mergeCell ref="AB32:AB33"/>
    <mergeCell ref="AC32:AC33"/>
    <mergeCell ref="Y29:Y30"/>
    <mergeCell ref="Z29:Z30"/>
    <mergeCell ref="AA29:AA30"/>
    <mergeCell ref="AB29:AB30"/>
    <mergeCell ref="AC29:AC30"/>
  </mergeCells>
  <conditionalFormatting sqref="C9:C12 S9:S12 C15:C22 E15:E22 S15:S22 U15:U22 C25:C28 S25:S28 C30:C39 S30:S39">
    <cfRule type="cellIs" dxfId="19" priority="12" operator="equal">
      <formula>0</formula>
    </cfRule>
  </conditionalFormatting>
  <conditionalFormatting sqref="G1">
    <cfRule type="cellIs" dxfId="18" priority="5" operator="equal">
      <formula>"""-"""</formula>
    </cfRule>
    <cfRule type="cellIs" dxfId="17" priority="7" operator="lessThan">
      <formula>0</formula>
    </cfRule>
    <cfRule type="iconSet" priority="8">
      <iconSet iconSet="3ArrowsGray">
        <cfvo type="percent" val="0"/>
        <cfvo type="num" val="0"/>
        <cfvo type="num" val="0" gte="0"/>
      </iconSet>
    </cfRule>
    <cfRule type="cellIs" dxfId="16" priority="10" operator="greaterThan">
      <formula>0</formula>
    </cfRule>
  </conditionalFormatting>
  <conditionalFormatting sqref="G1:G5">
    <cfRule type="cellIs" dxfId="15" priority="6" operator="equal">
      <formula>0</formula>
    </cfRule>
  </conditionalFormatting>
  <conditionalFormatting sqref="G2:G5 W2:W5 C9:C12 S9:S12 C15:C22 E15:E22 S15:S22 U15:U22 C25:C28 S25:S28 C30:C39 S30:S39">
    <cfRule type="cellIs" dxfId="14" priority="25" operator="equal">
      <formula>"-"</formula>
    </cfRule>
    <cfRule type="cellIs" dxfId="13" priority="26" operator="greaterThan">
      <formula>0</formula>
    </cfRule>
    <cfRule type="cellIs" dxfId="12" priority="27" operator="lessThan">
      <formula>0</formula>
    </cfRule>
  </conditionalFormatting>
  <conditionalFormatting sqref="I9:M9 I11:M12 I14 K14:L14 I16:I17 K16:L17 I19 K19:L19 I21:I22 K21:L22 I24 K24:L24 I26:I27 K26:L27 I29:M29 I31:M32">
    <cfRule type="notContainsBlanks" dxfId="11" priority="36">
      <formula>LEN(TRIM(I9))&gt;0</formula>
    </cfRule>
  </conditionalFormatting>
  <conditionalFormatting sqref="I9:M14 I15:J15 L15:M15 I16 K16:L16 I17:M20 I21:I22 K21:L22 I24:M25 I26 K26:L26 I27:M33">
    <cfRule type="containsBlanks" dxfId="10" priority="33">
      <formula>LEN(TRIM(I9))=0</formula>
    </cfRule>
  </conditionalFormatting>
  <conditionalFormatting sqref="K34:K36">
    <cfRule type="containsBlanks" dxfId="9" priority="32">
      <formula>LEN(TRIM(K34))=0</formula>
    </cfRule>
    <cfRule type="notContainsBlanks" dxfId="8" priority="34">
      <formula>LEN(TRIM(K34))&gt;0</formula>
    </cfRule>
  </conditionalFormatting>
  <conditionalFormatting sqref="W1">
    <cfRule type="iconSet" priority="1">
      <iconSet iconSet="3ArrowsGray">
        <cfvo type="percent" val="0"/>
        <cfvo type="num" val="0"/>
        <cfvo type="num" val="0" gte="0"/>
      </iconSet>
    </cfRule>
    <cfRule type="cellIs" dxfId="7" priority="2" operator="equal">
      <formula>"""-"""</formula>
    </cfRule>
    <cfRule type="cellIs" dxfId="6" priority="4" operator="lessThan">
      <formula>0</formula>
    </cfRule>
    <cfRule type="cellIs" dxfId="5" priority="9" operator="greaterThan">
      <formula>0</formula>
    </cfRule>
  </conditionalFormatting>
  <conditionalFormatting sqref="W1:W5">
    <cfRule type="cellIs" dxfId="4" priority="3" operator="equal">
      <formula>0</formula>
    </cfRule>
  </conditionalFormatting>
  <conditionalFormatting sqref="Y9:AC9 Y11:AC12 Y14 AA14:AB14 Y16:Y17 AA16:AB17 Y19 AA19:AB19 Y21:Y22 AA21:AB22 Y24 AA24:AB24 Y26:Y27 AA26:AB27 Y29:AC29 Y31:AC32">
    <cfRule type="notContainsBlanks" dxfId="3" priority="31">
      <formula>LEN(TRIM(Y9))&gt;0</formula>
    </cfRule>
  </conditionalFormatting>
  <conditionalFormatting sqref="Y9:AC15 Y16 AA16:AB16 Y17:AC20 Y21:Y22 AA21:AB22 Y24:AC25 Y26 AA26:AB26 Y27:AC33">
    <cfRule type="containsBlanks" dxfId="2" priority="29">
      <formula>LEN(TRIM(Y9))=0</formula>
    </cfRule>
  </conditionalFormatting>
  <conditionalFormatting sqref="AA34:AA36">
    <cfRule type="containsBlanks" dxfId="1" priority="28">
      <formula>LEN(TRIM(AA34))=0</formula>
    </cfRule>
    <cfRule type="notContainsBlanks" dxfId="0" priority="30">
      <formula>LEN(TRIM(AA34))&gt;0</formula>
    </cfRule>
  </conditionalFormatting>
  <dataValidations disablePrompts="1" xWindow="550" yWindow="360" count="9">
    <dataValidation operator="notEqual" allowBlank="1" showInputMessage="1" showErrorMessage="1" sqref="K34:K36 K24 K26:K27 K19 K21:K22 Y31:AC32 K9 K11:K12 K14 K16:K17 I31:M32 AA34:AA36 AA24 AA26:AA27 AA19 AA21:AA22 Y29:AC29 AA9 AA11:AA12 AA14 AA16:AA17 J29:M29" xr:uid="{D64A7E83-568A-4E41-96CB-EB44FCFF862E}"/>
    <dataValidation type="list" allowBlank="1" showInputMessage="1" showErrorMessage="1" promptTitle="Rodzaj spotkania" prompt="Wybierz rodzaj spotkania" sqref="J5 Z5" xr:uid="{8096EB1D-AF56-4250-946D-728E3B04523C}">
      <formula1>"Puchar,Liga,Towarzyski"</formula1>
    </dataValidation>
    <dataValidation type="custom" allowBlank="1" showInputMessage="1" showErrorMessage="1" sqref="V29:V30 F29:F30" xr:uid="{236B1BAA-09B0-4D3C-B539-AC48C7E58883}">
      <formula1>F32=IF(J31&gt;0,"Strzały","")</formula1>
    </dataValidation>
    <dataValidation type="custom" allowBlank="1" showInputMessage="1" showErrorMessage="1" sqref="T29 D29" xr:uid="{E0CF7028-C481-403B-8F30-59DA45819AA5}">
      <formula1>D31=IF(J31&gt;0,"Strzały","")</formula1>
    </dataValidation>
    <dataValidation type="list" allowBlank="1" showInputMessage="1" showErrorMessage="1" sqref="Z7:AB7 J7:L7" xr:uid="{BED21D4A-E948-4FF1-B86C-21E7FB83A089}">
      <formula1>"BR,SO,LSO,PSO,LO,PO,DP,LDP,PDP,SP,LSP,PSP,OP,LPO,PPO,LN,PN,LS,PS,ST"</formula1>
    </dataValidation>
    <dataValidation type="list" allowBlank="1" showInputMessage="1" showErrorMessage="1" errorTitle="oj" error="chuj" promptTitle="Numer" prompt="Wybierz zawodnika" sqref="J3" xr:uid="{7CAB30CF-F57F-453E-A443-D1121ACF5BE8}">
      <formula1>dynamiczny_zakres</formula1>
    </dataValidation>
    <dataValidation type="list" allowBlank="1" showInputMessage="1" showErrorMessage="1" errorTitle="oj" error="chuj" promptTitle="Numer" prompt="Wybierz zawodnika" sqref="Z3" xr:uid="{BB941DAB-E1DF-43F5-8438-4C6ACDBADDFB}">
      <formula1>dynamiczny_zakres_s2</formula1>
    </dataValidation>
    <dataValidation type="custom" allowBlank="1" showInputMessage="1" showErrorMessage="1" sqref="E29 U29" xr:uid="{6ED5F803-516D-440F-92FC-F23C4F77EE44}">
      <formula1>E32=IF(J31&gt;0,"Strzały","")</formula1>
    </dataValidation>
    <dataValidation type="custom" allowBlank="1" showInputMessage="1" showErrorMessage="1" sqref="B24:C24 R24:S24" xr:uid="{4DC0103E-8A96-4238-A205-D6A46E31F2D0}">
      <formula1>B26=IF(I31&gt;0,"Strzały","")</formula1>
    </dataValidation>
  </dataValidations>
  <pageMargins left="0.7" right="0.7" top="0.75" bottom="0.75" header="0.3" footer="0.3"/>
  <pageSetup paperSize="9" orientation="portrait" verticalDpi="0" r:id="rId1"/>
  <ignoredErrors>
    <ignoredError sqref="T15:T22" formula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1" id="{23163F2D-B0A0-4EC5-A464-7EEAE603330B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U15:U22 E15:E22 C15:C22 C25:C28 C30:C39 C9:C12 S15:S22 S25:S28 S30:S39 S9:S12 G2:G5 W2:W5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disablePrompts="1" xWindow="550" yWindow="360" count="3">
        <x14:dataValidation type="list" allowBlank="1" showInputMessage="1" showErrorMessage="1" errorTitle="oj" error="chuj" promptTitle="chuj" prompt="Wybierz zawodnika" xr:uid="{AE123256-43F5-4E71-8A27-B0772BC06D3A}">
          <x14:formula1>
            <xm:f>Players!$A$2:$A$16</xm:f>
          </x14:formula1>
          <xm:sqref>Z4</xm:sqref>
        </x14:dataValidation>
        <x14:dataValidation type="list" allowBlank="1" showInputMessage="1" showErrorMessage="1" xr:uid="{F5E0FE13-F524-46C6-B4F2-D6DD050CA75F}">
          <x14:formula1>
            <xm:f>Clubes!$A$2:$A$12</xm:f>
          </x14:formula1>
          <xm:sqref>Z1</xm:sqref>
        </x14:dataValidation>
        <x14:dataValidation type="list" allowBlank="1" showInputMessage="1" showErrorMessage="1" promptTitle="Kluby" prompt="1 - Nowielice; 2 - Love Me Im Famous!_x000a_3 - Diabolic Team; 4 - Varsovia_x000a_5 - FC MARKUS; 6 - DRAGON GARWOLIN_x000a_7 - Goral Zywiec; 8 - Stasin SA_x000a_9 - Machester United; 10 - BOSS-cy Jasło_x000a_11 - Agresor Team_x000a__x000a_" xr:uid="{E4907B95-C715-43BB-A240-FB7EBF661002}">
          <x14:formula1>
            <xm:f>Clubes!$A$2:$A$12</xm:f>
          </x14:formula1>
          <xm:sqref>J1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F8D151-33F0-458C-9F6D-3850B5D10508}">
  <dimension ref="A1:L35"/>
  <sheetViews>
    <sheetView workbookViewId="0">
      <selection activeCell="L2" sqref="L2"/>
    </sheetView>
  </sheetViews>
  <sheetFormatPr defaultRowHeight="15" x14ac:dyDescent="0.25"/>
  <cols>
    <col min="1" max="1" width="9.28515625" customWidth="1"/>
    <col min="2" max="2" width="24.28515625" customWidth="1"/>
    <col min="5" max="5" width="11.28515625" customWidth="1"/>
    <col min="6" max="6" width="12.28515625" customWidth="1"/>
    <col min="7" max="7" width="9.7109375" customWidth="1"/>
    <col min="8" max="8" width="10.5703125" customWidth="1"/>
    <col min="9" max="9" width="10.140625" customWidth="1"/>
    <col min="12" max="12" width="9.85546875" customWidth="1"/>
  </cols>
  <sheetData>
    <row r="1" spans="1:12" x14ac:dyDescent="0.25">
      <c r="A1" t="s">
        <v>36</v>
      </c>
      <c r="B1" t="s">
        <v>178</v>
      </c>
      <c r="C1" t="s">
        <v>143</v>
      </c>
      <c r="D1" t="s">
        <v>142</v>
      </c>
      <c r="E1" t="s">
        <v>147</v>
      </c>
      <c r="F1" t="s">
        <v>128</v>
      </c>
      <c r="G1" t="s">
        <v>129</v>
      </c>
      <c r="H1" t="s">
        <v>140</v>
      </c>
      <c r="I1" t="s">
        <v>130</v>
      </c>
      <c r="J1" t="s">
        <v>131</v>
      </c>
      <c r="K1" t="s">
        <v>141</v>
      </c>
      <c r="L1" t="s">
        <v>133</v>
      </c>
    </row>
    <row r="2" spans="1:12" x14ac:dyDescent="0.25">
      <c r="A2" s="39">
        <f>IFERROR(Zawodnicy[[#This Row],[Number]],"-")</f>
        <v>1</v>
      </c>
      <c r="B2" t="str">
        <f>VLOOKUP(Radar[[#This Row],[Numer]],Zawodnicy[],2,FALSE)</f>
        <v>Radko Dochkov</v>
      </c>
      <c r="C2" s="16" t="e">
        <f>PozycjeŚr!N$2*INDEX(Zawodnicy[],MATCH($A2,Players!$A$2:$A$100,0),MATCH("Szybkość",Players!$A$1:$R$1,0))+PozycjeŚr!N$3*INDEX(Zawodnicy[],MATCH($A2,Players!$A$2:$A$100,0),MATCH("Kondycja",Players!$A$1:$R$1,0))+PozycjeŚr!N$4*INDEX(Zawodnicy[],MATCH($A2,Players!$A$2:$A$100,0),MATCH("Przegląd",Players!$A$1:$R$1,0))+PozycjeŚr!N$5*INDEX(Zawodnicy[],MATCH($A2,Players!$A$2:$A$100,0),MATCH("Podania dołem",Players!$A$1:$R$1,0))+PozycjeŚr!N$6*INDEX(Zawodnicy[],MATCH($A2,Players!$A$2:$A$100,0),MATCH("Strzał",Players!$A$1:$R$1,0))+PozycjeŚr!N$7*INDEX(Zawodnicy[],MATCH($A2,Players!$A$2:$A$100,0),MATCH("Gra głową",Players!$A$1:$R$1,0))+PozycjeŚr!N$8*INDEX(Zawodnicy[],MATCH($A2,Players!$A$2:$A$100,0),MATCH("Gra na bramce",Players!$A$1:$R$1,0))+PozycjeŚr!N$9*INDEX(Zawodnicy[],MATCH($A2,Players!$A$2:$A$100,0),MATCH("Panowanie",Players!$A$1:$R$1,0))+PozycjeŚr!N$10*INDEX(Zawodnicy[],MATCH($A2,Players!$A$2:$A$100,0),MATCH("Odbiór piłki",Players!$A$1:$R$1,0))+PozycjeŚr!N$11*INDEX(Zawodnicy[],MATCH($A2,Players!$A$2:$A$100,0),MATCH("Podania górą",Players!$A$1:$R$1,0))</f>
        <v>#N/A</v>
      </c>
      <c r="D2" s="16" t="e">
        <f>PozycjeŚr!O$2*INDEX(Zawodnicy[],MATCH($A2,Players!$A$2:$A$100,0),MATCH("Szybkość",Players!$A$1:$R$1,0))+PozycjeŚr!O$3*INDEX(Zawodnicy[],MATCH($A2,Players!$A$2:$A$100,0),MATCH("Kondycja",Players!$A$1:$R$1,0))+PozycjeŚr!O$4*INDEX(Zawodnicy[],MATCH($A2,Players!$A$2:$A$100,0),MATCH("Przegląd",Players!$A$1:$R$1,0))+PozycjeŚr!O$5*INDEX(Zawodnicy[],MATCH($A2,Players!$A$2:$A$100,0),MATCH("Podania dołem",Players!$A$1:$R$1,0))+PozycjeŚr!O$6*INDEX(Zawodnicy[],MATCH($A2,Players!$A$2:$A$100,0),MATCH("Strzał",Players!$A$1:$R$1,0))+PozycjeŚr!O$7*INDEX(Zawodnicy[],MATCH($A2,Players!$A$2:$A$100,0),MATCH("Gra głową",Players!$A$1:$R$1,0))+PozycjeŚr!O$8*INDEX(Zawodnicy[],MATCH($A2,Players!$A$2:$A$100,0),MATCH("Gra na bramce",Players!$A$1:$R$1,0))+PozycjeŚr!O$9*INDEX(Zawodnicy[],MATCH($A2,Players!$A$2:$A$100,0),MATCH("Panowanie",Players!$A$1:$R$1,0))+PozycjeŚr!O$10*INDEX(Zawodnicy[],MATCH($A2,Players!$A$2:$A$100,0),MATCH("Odbiór piłki",Players!$A$1:$R$1,0))+PozycjeŚr!O$11*INDEX(Zawodnicy[],MATCH($A2,Players!$A$2:$A$100,0),MATCH("Podania górą",Players!$A$1:$R$1,0))</f>
        <v>#N/A</v>
      </c>
      <c r="E2" s="16" t="e">
        <f>PozycjeŚr!P$2*INDEX(Zawodnicy[],MATCH($A2,Players!$A$2:$A$100,0),MATCH("Szybkość",Players!$A$1:$R$1,0))+PozycjeŚr!P$3*INDEX(Zawodnicy[],MATCH($A2,Players!$A$2:$A$100,0),MATCH("Kondycja",Players!$A$1:$R$1,0))+PozycjeŚr!P$4*INDEX(Zawodnicy[],MATCH($A2,Players!$A$2:$A$100,0),MATCH("Przegląd",Players!$A$1:$R$1,0))+PozycjeŚr!P$5*INDEX(Zawodnicy[],MATCH($A2,Players!$A$2:$A$100,0),MATCH("Podania dołem",Players!$A$1:$R$1,0))+PozycjeŚr!P$6*INDEX(Zawodnicy[],MATCH($A2,Players!$A$2:$A$100,0),MATCH("Strzał",Players!$A$1:$R$1,0))+PozycjeŚr!P$7*INDEX(Zawodnicy[],MATCH($A2,Players!$A$2:$A$100,0),MATCH("Gra głową",Players!$A$1:$R$1,0))+PozycjeŚr!P$8*INDEX(Zawodnicy[],MATCH($A2,Players!$A$2:$A$100,0),MATCH("Gra na bramce",Players!$A$1:$R$1,0))+PozycjeŚr!P$9*INDEX(Zawodnicy[],MATCH($A2,Players!$A$2:$A$100,0),MATCH("Panowanie",Players!$A$1:$R$1,0))+PozycjeŚr!P$10*INDEX(Zawodnicy[],MATCH($A2,Players!$A$2:$A$100,0),MATCH("Odbiór piłki",Players!$A$1:$R$1,0))+PozycjeŚr!P$11*INDEX(Zawodnicy[],MATCH($A2,Players!$A$2:$A$100,0),MATCH("Podania górą",Players!$A$1:$R$1,0))</f>
        <v>#N/A</v>
      </c>
      <c r="F2" s="16" t="e">
        <f>PozycjeŚr!Q$2*INDEX(Zawodnicy[],MATCH($A2,Players!$A$2:$A$100,0),MATCH("Szybkość",Players!$A$1:$R$1,0))+PozycjeŚr!Q$3*INDEX(Zawodnicy[],MATCH($A2,Players!$A$2:$A$100,0),MATCH("Kondycja",Players!$A$1:$R$1,0))+PozycjeŚr!Q$4*INDEX(Zawodnicy[],MATCH($A2,Players!$A$2:$A$100,0),MATCH("Przegląd",Players!$A$1:$R$1,0))+PozycjeŚr!Q$5*INDEX(Zawodnicy[],MATCH($A2,Players!$A$2:$A$100,0),MATCH("Podania dołem",Players!$A$1:$R$1,0))+PozycjeŚr!Q$6*INDEX(Zawodnicy[],MATCH($A2,Players!$A$2:$A$100,0),MATCH("Strzał",Players!$A$1:$R$1,0))+PozycjeŚr!Q$7*INDEX(Zawodnicy[],MATCH($A2,Players!$A$2:$A$100,0),MATCH("Gra głową",Players!$A$1:$R$1,0))+PozycjeŚr!Q$8*INDEX(Zawodnicy[],MATCH($A2,Players!$A$2:$A$100,0),MATCH("Gra na bramce",Players!$A$1:$R$1,0))+PozycjeŚr!Q$9*INDEX(Zawodnicy[],MATCH($A2,Players!$A$2:$A$100,0),MATCH("Panowanie",Players!$A$1:$R$1,0))+PozycjeŚr!Q$10*INDEX(Zawodnicy[],MATCH($A2,Players!$A$2:$A$100,0),MATCH("Odbiór piłki",Players!$A$1:$R$1,0))+PozycjeŚr!Q$11*INDEX(Zawodnicy[],MATCH($A2,Players!$A$2:$A$100,0),MATCH("Podania górą",Players!$A$1:$R$1,0))</f>
        <v>#N/A</v>
      </c>
      <c r="G2" s="16" t="e">
        <f>PozycjeŚr!R$2*INDEX(Zawodnicy[],MATCH($A2,Players!$A$2:$A$100,0),MATCH("Szybkość",Players!$A$1:$R$1,0))+PozycjeŚr!R$3*INDEX(Zawodnicy[],MATCH($A2,Players!$A$2:$A$100,0),MATCH("Kondycja",Players!$A$1:$R$1,0))+PozycjeŚr!R$4*INDEX(Zawodnicy[],MATCH($A2,Players!$A$2:$A$100,0),MATCH("Przegląd",Players!$A$1:$R$1,0))+PozycjeŚr!R$5*INDEX(Zawodnicy[],MATCH($A2,Players!$A$2:$A$100,0),MATCH("Podania dołem",Players!$A$1:$R$1,0))+PozycjeŚr!R$6*INDEX(Zawodnicy[],MATCH($A2,Players!$A$2:$A$100,0),MATCH("Strzał",Players!$A$1:$R$1,0))+PozycjeŚr!R$7*INDEX(Zawodnicy[],MATCH($A2,Players!$A$2:$A$100,0),MATCH("Gra głową",Players!$A$1:$R$1,0))+PozycjeŚr!R$8*INDEX(Zawodnicy[],MATCH($A2,Players!$A$2:$A$100,0),MATCH("Gra na bramce",Players!$A$1:$R$1,0))+PozycjeŚr!R$9*INDEX(Zawodnicy[],MATCH($A2,Players!$A$2:$A$100,0),MATCH("Panowanie",Players!$A$1:$R$1,0))+PozycjeŚr!R$10*INDEX(Zawodnicy[],MATCH($A2,Players!$A$2:$A$100,0),MATCH("Odbiór piłki",Players!$A$1:$R$1,0))+PozycjeŚr!R$11*INDEX(Zawodnicy[],MATCH($A2,Players!$A$2:$A$100,0),MATCH("Podania górą",Players!$A$1:$R$1,0))</f>
        <v>#N/A</v>
      </c>
      <c r="H2" s="16" t="e">
        <f>PozycjeŚr!S$2*INDEX(Zawodnicy[],MATCH($A2,Players!$A$2:$A$100,0),MATCH("Szybkość",Players!$A$1:$R$1,0))+PozycjeŚr!S$3*INDEX(Zawodnicy[],MATCH($A2,Players!$A$2:$A$100,0),MATCH("Kondycja",Players!$A$1:$R$1,0))+PozycjeŚr!S$4*INDEX(Zawodnicy[],MATCH($A2,Players!$A$2:$A$100,0),MATCH("Przegląd",Players!$A$1:$R$1,0))+PozycjeŚr!S$5*INDEX(Zawodnicy[],MATCH($A2,Players!$A$2:$A$100,0),MATCH("Podania dołem",Players!$A$1:$R$1,0))+PozycjeŚr!S$6*INDEX(Zawodnicy[],MATCH($A2,Players!$A$2:$A$100,0),MATCH("Strzał",Players!$A$1:$R$1,0))+PozycjeŚr!S$7*INDEX(Zawodnicy[],MATCH($A2,Players!$A$2:$A$100,0),MATCH("Gra głową",Players!$A$1:$R$1,0))+PozycjeŚr!S$8*INDEX(Zawodnicy[],MATCH($A2,Players!$A$2:$A$100,0),MATCH("Gra na bramce",Players!$A$1:$R$1,0))+PozycjeŚr!S$9*INDEX(Zawodnicy[],MATCH($A2,Players!$A$2:$A$100,0),MATCH("Panowanie",Players!$A$1:$R$1,0))+PozycjeŚr!S$10*INDEX(Zawodnicy[],MATCH($A2,Players!$A$2:$A$100,0),MATCH("Odbiór piłki",Players!$A$1:$R$1,0))+PozycjeŚr!S$11*INDEX(Zawodnicy[],MATCH($A2,Players!$A$2:$A$100,0),MATCH("Podania górą",Players!$A$1:$R$1,0))</f>
        <v>#N/A</v>
      </c>
      <c r="I2" s="16" t="e">
        <f>PozycjeŚr!T$2*INDEX(Zawodnicy[],MATCH($A2,Players!$A$2:$A$100,0),MATCH("Szybkość",Players!$A$1:$R$1,0))+PozycjeŚr!T$3*INDEX(Zawodnicy[],MATCH($A2,Players!$A$2:$A$100,0),MATCH("Kondycja",Players!$A$1:$R$1,0))+PozycjeŚr!T$4*INDEX(Zawodnicy[],MATCH($A2,Players!$A$2:$A$100,0),MATCH("Przegląd",Players!$A$1:$R$1,0))+PozycjeŚr!T$5*INDEX(Zawodnicy[],MATCH($A2,Players!$A$2:$A$100,0),MATCH("Podania dołem",Players!$A$1:$R$1,0))+PozycjeŚr!T$6*INDEX(Zawodnicy[],MATCH($A2,Players!$A$2:$A$100,0),MATCH("Strzał",Players!$A$1:$R$1,0))+PozycjeŚr!T$7*INDEX(Zawodnicy[],MATCH($A2,Players!$A$2:$A$100,0),MATCH("Gra głową",Players!$A$1:$R$1,0))+PozycjeŚr!T$8*INDEX(Zawodnicy[],MATCH($A2,Players!$A$2:$A$100,0),MATCH("Gra na bramce",Players!$A$1:$R$1,0))+PozycjeŚr!T$9*INDEX(Zawodnicy[],MATCH($A2,Players!$A$2:$A$100,0),MATCH("Panowanie",Players!$A$1:$R$1,0))+PozycjeŚr!T$10*INDEX(Zawodnicy[],MATCH($A2,Players!$A$2:$A$100,0),MATCH("Odbiór piłki",Players!$A$1:$R$1,0))+PozycjeŚr!T$11*INDEX(Zawodnicy[],MATCH($A2,Players!$A$2:$A$100,0),MATCH("Podania górą",Players!$A$1:$R$1,0))</f>
        <v>#N/A</v>
      </c>
      <c r="J2" s="16" t="e">
        <f>PozycjeŚr!U$2*INDEX(Zawodnicy[],MATCH($A2,Players!$A$2:$A$100,0),MATCH("Szybkość",Players!$A$1:$R$1,0))+PozycjeŚr!U$3*INDEX(Zawodnicy[],MATCH($A2,Players!$A$2:$A$100,0),MATCH("Kondycja",Players!$A$1:$R$1,0))+PozycjeŚr!U$4*INDEX(Zawodnicy[],MATCH($A2,Players!$A$2:$A$100,0),MATCH("Przegląd",Players!$A$1:$R$1,0))+PozycjeŚr!U$5*INDEX(Zawodnicy[],MATCH($A2,Players!$A$2:$A$100,0),MATCH("Podania dołem",Players!$A$1:$R$1,0))+PozycjeŚr!U$6*INDEX(Zawodnicy[],MATCH($A2,Players!$A$2:$A$100,0),MATCH("Strzał",Players!$A$1:$R$1,0))+PozycjeŚr!U$7*INDEX(Zawodnicy[],MATCH($A2,Players!$A$2:$A$100,0),MATCH("Gra głową",Players!$A$1:$R$1,0))+PozycjeŚr!U$8*INDEX(Zawodnicy[],MATCH($A2,Players!$A$2:$A$100,0),MATCH("Gra na bramce",Players!$A$1:$R$1,0))+PozycjeŚr!U$9*INDEX(Zawodnicy[],MATCH($A2,Players!$A$2:$A$100,0),MATCH("Panowanie",Players!$A$1:$R$1,0))+PozycjeŚr!U$10*INDEX(Zawodnicy[],MATCH($A2,Players!$A$2:$A$100,0),MATCH("Odbiór piłki",Players!$A$1:$R$1,0))+PozycjeŚr!U$11*INDEX(Zawodnicy[],MATCH($A2,Players!$A$2:$A$100,0),MATCH("Podania górą",Players!$A$1:$R$1,0))</f>
        <v>#N/A</v>
      </c>
      <c r="K2" s="16" t="e">
        <f>PozycjeŚr!V$2*INDEX(Zawodnicy[],MATCH($A2,Players!$A$2:$A$100,0),MATCH("Szybkość",Players!$A$1:$R$1,0))+PozycjeŚr!V$3*INDEX(Zawodnicy[],MATCH($A2,Players!$A$2:$A$100,0),MATCH("Kondycja",Players!$A$1:$R$1,0))+PozycjeŚr!V$4*INDEX(Zawodnicy[],MATCH($A2,Players!$A$2:$A$100,0),MATCH("Przegląd",Players!$A$1:$R$1,0))+PozycjeŚr!V$5*INDEX(Zawodnicy[],MATCH($A2,Players!$A$2:$A$100,0),MATCH("Podania dołem",Players!$A$1:$R$1,0))+PozycjeŚr!V$6*INDEX(Zawodnicy[],MATCH($A2,Players!$A$2:$A$100,0),MATCH("Strzał",Players!$A$1:$R$1,0))+PozycjeŚr!V$7*INDEX(Zawodnicy[],MATCH($A2,Players!$A$2:$A$100,0),MATCH("Gra głową",Players!$A$1:$R$1,0))+PozycjeŚr!V$8*INDEX(Zawodnicy[],MATCH($A2,Players!$A$2:$A$100,0),MATCH("Gra na bramce",Players!$A$1:$R$1,0))+PozycjeŚr!V$9*INDEX(Zawodnicy[],MATCH($A2,Players!$A$2:$A$100,0),MATCH("Panowanie",Players!$A$1:$R$1,0))+PozycjeŚr!V$10*INDEX(Zawodnicy[],MATCH($A2,Players!$A$2:$A$100,0),MATCH("Odbiór piłki",Players!$A$1:$R$1,0))+PozycjeŚr!V$11*INDEX(Zawodnicy[],MATCH($A2,Players!$A$2:$A$100,0),MATCH("Podania górą",Players!$A$1:$R$1,0))</f>
        <v>#N/A</v>
      </c>
      <c r="L2" s="16" t="e">
        <f>PozycjeŚr!W$2*INDEX(Zawodnicy[],MATCH($A2,Players!$A$2:$A$100,0),MATCH("Szybkość",Players!$A$1:$R$1,0))+PozycjeŚr!W$3*INDEX(Zawodnicy[],MATCH($A2,Players!$A$2:$A$100,0),MATCH("Kondycja",Players!$A$1:$R$1,0))+PozycjeŚr!W$4*INDEX(Zawodnicy[],MATCH($A2,Players!$A$2:$A$100,0),MATCH("Przegląd",Players!$A$1:$R$1,0))+PozycjeŚr!W$5*INDEX(Zawodnicy[],MATCH($A2,Players!$A$2:$A$100,0),MATCH("Podania dołem",Players!$A$1:$R$1,0))+PozycjeŚr!W$6*INDEX(Zawodnicy[],MATCH($A2,Players!$A$2:$A$100,0),MATCH("Strzał",Players!$A$1:$R$1,0))+PozycjeŚr!W$7*INDEX(Zawodnicy[],MATCH($A2,Players!$A$2:$A$100,0),MATCH("Gra głową",Players!$A$1:$R$1,0))+PozycjeŚr!W$8*INDEX(Zawodnicy[],MATCH($A2,Players!$A$2:$A$100,0),MATCH("Gra na bramce",Players!$A$1:$R$1,0))+PozycjeŚr!W$9*INDEX(Zawodnicy[],MATCH($A2,Players!$A$2:$A$100,0),MATCH("Panowanie",Players!$A$1:$R$1,0))+PozycjeŚr!W$10*INDEX(Zawodnicy[],MATCH($A2,Players!$A$2:$A$100,0),MATCH("Odbiór piłki",Players!$A$1:$R$1,0))+PozycjeŚr!W$11*INDEX(Zawodnicy[],MATCH($A2,Players!$A$2:$A$100,0),MATCH("Podania górą",Players!$A$1:$R$1,0))</f>
        <v>#N/A</v>
      </c>
    </row>
    <row r="3" spans="1:12" x14ac:dyDescent="0.25">
      <c r="A3" s="39">
        <f>IFERROR(Zawodnicy[[#This Row],[Number]],"-")</f>
        <v>3</v>
      </c>
      <c r="B3" t="str">
        <f>VLOOKUP(Radar[[#This Row],[Numer]],Zawodnicy[],2,FALSE)</f>
        <v>Ulryk Kaczor</v>
      </c>
      <c r="C3" s="16" t="e">
        <f>PozycjeŚr!N$2*INDEX(Zawodnicy[],MATCH($A3,Players!$A$2:$A$100,0),MATCH("Szybkość",Players!$A$1:$R$1,0))+PozycjeŚr!N$3*INDEX(Zawodnicy[],MATCH($A3,Players!$A$2:$A$100,0),MATCH("Kondycja",Players!$A$1:$R$1,0))+PozycjeŚr!N$4*INDEX(Zawodnicy[],MATCH($A3,Players!$A$2:$A$100,0),MATCH("Przegląd",Players!$A$1:$R$1,0))+PozycjeŚr!N$5*INDEX(Zawodnicy[],MATCH($A3,Players!$A$2:$A$100,0),MATCH("Podania dołem",Players!$A$1:$R$1,0))+PozycjeŚr!N$6*INDEX(Zawodnicy[],MATCH($A3,Players!$A$2:$A$100,0),MATCH("Strzał",Players!$A$1:$R$1,0))+PozycjeŚr!N$7*INDEX(Zawodnicy[],MATCH($A3,Players!$A$2:$A$100,0),MATCH("Gra głową",Players!$A$1:$R$1,0))+PozycjeŚr!N$8*INDEX(Zawodnicy[],MATCH($A3,Players!$A$2:$A$100,0),MATCH("Gra na bramce",Players!$A$1:$R$1,0))+PozycjeŚr!N$9*INDEX(Zawodnicy[],MATCH($A3,Players!$A$2:$A$100,0),MATCH("Panowanie",Players!$A$1:$R$1,0))+PozycjeŚr!N$10*INDEX(Zawodnicy[],MATCH($A3,Players!$A$2:$A$100,0),MATCH("Odbiór piłki",Players!$A$1:$R$1,0))+PozycjeŚr!N$11*INDEX(Zawodnicy[],MATCH($A3,Players!$A$2:$A$100,0),MATCH("Podania górą",Players!$A$1:$R$1,0))</f>
        <v>#N/A</v>
      </c>
      <c r="D3" s="16" t="e">
        <f>PozycjeŚr!O$2*INDEX(Zawodnicy[],MATCH($A3,Players!$A$2:$A$100,0),MATCH("Szybkość",Players!$A$1:$R$1,0))+PozycjeŚr!O$3*INDEX(Zawodnicy[],MATCH($A3,Players!$A$2:$A$100,0),MATCH("Kondycja",Players!$A$1:$R$1,0))+PozycjeŚr!O$4*INDEX(Zawodnicy[],MATCH($A3,Players!$A$2:$A$100,0),MATCH("Przegląd",Players!$A$1:$R$1,0))+PozycjeŚr!O$5*INDEX(Zawodnicy[],MATCH($A3,Players!$A$2:$A$100,0),MATCH("Podania dołem",Players!$A$1:$R$1,0))+PozycjeŚr!O$6*INDEX(Zawodnicy[],MATCH($A3,Players!$A$2:$A$100,0),MATCH("Strzał",Players!$A$1:$R$1,0))+PozycjeŚr!O$7*INDEX(Zawodnicy[],MATCH($A3,Players!$A$2:$A$100,0),MATCH("Gra głową",Players!$A$1:$R$1,0))+PozycjeŚr!O$8*INDEX(Zawodnicy[],MATCH($A3,Players!$A$2:$A$100,0),MATCH("Gra na bramce",Players!$A$1:$R$1,0))+PozycjeŚr!O$9*INDEX(Zawodnicy[],MATCH($A3,Players!$A$2:$A$100,0),MATCH("Panowanie",Players!$A$1:$R$1,0))+PozycjeŚr!O$10*INDEX(Zawodnicy[],MATCH($A3,Players!$A$2:$A$100,0),MATCH("Odbiór piłki",Players!$A$1:$R$1,0))+PozycjeŚr!O$11*INDEX(Zawodnicy[],MATCH($A3,Players!$A$2:$A$100,0),MATCH("Podania górą",Players!$A$1:$R$1,0))</f>
        <v>#N/A</v>
      </c>
      <c r="E3" s="16" t="e">
        <f>PozycjeŚr!P$2*INDEX(Zawodnicy[],MATCH($A3,Players!$A$2:$A$100,0),MATCH("Szybkość",Players!$A$1:$R$1,0))+PozycjeŚr!P$3*INDEX(Zawodnicy[],MATCH($A3,Players!$A$2:$A$100,0),MATCH("Kondycja",Players!$A$1:$R$1,0))+PozycjeŚr!P$4*INDEX(Zawodnicy[],MATCH($A3,Players!$A$2:$A$100,0),MATCH("Przegląd",Players!$A$1:$R$1,0))+PozycjeŚr!P$5*INDEX(Zawodnicy[],MATCH($A3,Players!$A$2:$A$100,0),MATCH("Podania dołem",Players!$A$1:$R$1,0))+PozycjeŚr!P$6*INDEX(Zawodnicy[],MATCH($A3,Players!$A$2:$A$100,0),MATCH("Strzał",Players!$A$1:$R$1,0))+PozycjeŚr!P$7*INDEX(Zawodnicy[],MATCH($A3,Players!$A$2:$A$100,0),MATCH("Gra głową",Players!$A$1:$R$1,0))+PozycjeŚr!P$8*INDEX(Zawodnicy[],MATCH($A3,Players!$A$2:$A$100,0),MATCH("Gra na bramce",Players!$A$1:$R$1,0))+PozycjeŚr!P$9*INDEX(Zawodnicy[],MATCH($A3,Players!$A$2:$A$100,0),MATCH("Panowanie",Players!$A$1:$R$1,0))+PozycjeŚr!P$10*INDEX(Zawodnicy[],MATCH($A3,Players!$A$2:$A$100,0),MATCH("Odbiór piłki",Players!$A$1:$R$1,0))+PozycjeŚr!P$11*INDEX(Zawodnicy[],MATCH($A3,Players!$A$2:$A$100,0),MATCH("Podania górą",Players!$A$1:$R$1,0))</f>
        <v>#N/A</v>
      </c>
      <c r="F3" s="16" t="e">
        <f>PozycjeŚr!Q$2*INDEX(Zawodnicy[],MATCH($A3,Players!$A$2:$A$100,0),MATCH("Szybkość",Players!$A$1:$R$1,0))+PozycjeŚr!Q$3*INDEX(Zawodnicy[],MATCH($A3,Players!$A$2:$A$100,0),MATCH("Kondycja",Players!$A$1:$R$1,0))+PozycjeŚr!Q$4*INDEX(Zawodnicy[],MATCH($A3,Players!$A$2:$A$100,0),MATCH("Przegląd",Players!$A$1:$R$1,0))+PozycjeŚr!Q$5*INDEX(Zawodnicy[],MATCH($A3,Players!$A$2:$A$100,0),MATCH("Podania dołem",Players!$A$1:$R$1,0))+PozycjeŚr!Q$6*INDEX(Zawodnicy[],MATCH($A3,Players!$A$2:$A$100,0),MATCH("Strzał",Players!$A$1:$R$1,0))+PozycjeŚr!Q$7*INDEX(Zawodnicy[],MATCH($A3,Players!$A$2:$A$100,0),MATCH("Gra głową",Players!$A$1:$R$1,0))+PozycjeŚr!Q$8*INDEX(Zawodnicy[],MATCH($A3,Players!$A$2:$A$100,0),MATCH("Gra na bramce",Players!$A$1:$R$1,0))+PozycjeŚr!Q$9*INDEX(Zawodnicy[],MATCH($A3,Players!$A$2:$A$100,0),MATCH("Panowanie",Players!$A$1:$R$1,0))+PozycjeŚr!Q$10*INDEX(Zawodnicy[],MATCH($A3,Players!$A$2:$A$100,0),MATCH("Odbiór piłki",Players!$A$1:$R$1,0))+PozycjeŚr!Q$11*INDEX(Zawodnicy[],MATCH($A3,Players!$A$2:$A$100,0),MATCH("Podania górą",Players!$A$1:$R$1,0))</f>
        <v>#N/A</v>
      </c>
      <c r="G3" s="16" t="e">
        <f>PozycjeŚr!R$2*INDEX(Zawodnicy[],MATCH($A3,Players!$A$2:$A$100,0),MATCH("Szybkość",Players!$A$1:$R$1,0))+PozycjeŚr!R$3*INDEX(Zawodnicy[],MATCH($A3,Players!$A$2:$A$100,0),MATCH("Kondycja",Players!$A$1:$R$1,0))+PozycjeŚr!R$4*INDEX(Zawodnicy[],MATCH($A3,Players!$A$2:$A$100,0),MATCH("Przegląd",Players!$A$1:$R$1,0))+PozycjeŚr!R$5*INDEX(Zawodnicy[],MATCH($A3,Players!$A$2:$A$100,0),MATCH("Podania dołem",Players!$A$1:$R$1,0))+PozycjeŚr!R$6*INDEX(Zawodnicy[],MATCH($A3,Players!$A$2:$A$100,0),MATCH("Strzał",Players!$A$1:$R$1,0))+PozycjeŚr!R$7*INDEX(Zawodnicy[],MATCH($A3,Players!$A$2:$A$100,0),MATCH("Gra głową",Players!$A$1:$R$1,0))+PozycjeŚr!R$8*INDEX(Zawodnicy[],MATCH($A3,Players!$A$2:$A$100,0),MATCH("Gra na bramce",Players!$A$1:$R$1,0))+PozycjeŚr!R$9*INDEX(Zawodnicy[],MATCH($A3,Players!$A$2:$A$100,0),MATCH("Panowanie",Players!$A$1:$R$1,0))+PozycjeŚr!R$10*INDEX(Zawodnicy[],MATCH($A3,Players!$A$2:$A$100,0),MATCH("Odbiór piłki",Players!$A$1:$R$1,0))+PozycjeŚr!R$11*INDEX(Zawodnicy[],MATCH($A3,Players!$A$2:$A$100,0),MATCH("Podania górą",Players!$A$1:$R$1,0))</f>
        <v>#N/A</v>
      </c>
      <c r="H3" s="16" t="e">
        <f>PozycjeŚr!S$2*INDEX(Zawodnicy[],MATCH($A3,Players!$A$2:$A$100,0),MATCH("Szybkość",Players!$A$1:$R$1,0))+PozycjeŚr!S$3*INDEX(Zawodnicy[],MATCH($A3,Players!$A$2:$A$100,0),MATCH("Kondycja",Players!$A$1:$R$1,0))+PozycjeŚr!S$4*INDEX(Zawodnicy[],MATCH($A3,Players!$A$2:$A$100,0),MATCH("Przegląd",Players!$A$1:$R$1,0))+PozycjeŚr!S$5*INDEX(Zawodnicy[],MATCH($A3,Players!$A$2:$A$100,0),MATCH("Podania dołem",Players!$A$1:$R$1,0))+PozycjeŚr!S$6*INDEX(Zawodnicy[],MATCH($A3,Players!$A$2:$A$100,0),MATCH("Strzał",Players!$A$1:$R$1,0))+PozycjeŚr!S$7*INDEX(Zawodnicy[],MATCH($A3,Players!$A$2:$A$100,0),MATCH("Gra głową",Players!$A$1:$R$1,0))+PozycjeŚr!S$8*INDEX(Zawodnicy[],MATCH($A3,Players!$A$2:$A$100,0),MATCH("Gra na bramce",Players!$A$1:$R$1,0))+PozycjeŚr!S$9*INDEX(Zawodnicy[],MATCH($A3,Players!$A$2:$A$100,0),MATCH("Panowanie",Players!$A$1:$R$1,0))+PozycjeŚr!S$10*INDEX(Zawodnicy[],MATCH($A3,Players!$A$2:$A$100,0),MATCH("Odbiór piłki",Players!$A$1:$R$1,0))+PozycjeŚr!S$11*INDEX(Zawodnicy[],MATCH($A3,Players!$A$2:$A$100,0),MATCH("Podania górą",Players!$A$1:$R$1,0))</f>
        <v>#N/A</v>
      </c>
      <c r="I3" s="16" t="e">
        <f>PozycjeŚr!T$2*INDEX(Zawodnicy[],MATCH($A3,Players!$A$2:$A$100,0),MATCH("Szybkość",Players!$A$1:$R$1,0))+PozycjeŚr!T$3*INDEX(Zawodnicy[],MATCH($A3,Players!$A$2:$A$100,0),MATCH("Kondycja",Players!$A$1:$R$1,0))+PozycjeŚr!T$4*INDEX(Zawodnicy[],MATCH($A3,Players!$A$2:$A$100,0),MATCH("Przegląd",Players!$A$1:$R$1,0))+PozycjeŚr!T$5*INDEX(Zawodnicy[],MATCH($A3,Players!$A$2:$A$100,0),MATCH("Podania dołem",Players!$A$1:$R$1,0))+PozycjeŚr!T$6*INDEX(Zawodnicy[],MATCH($A3,Players!$A$2:$A$100,0),MATCH("Strzał",Players!$A$1:$R$1,0))+PozycjeŚr!T$7*INDEX(Zawodnicy[],MATCH($A3,Players!$A$2:$A$100,0),MATCH("Gra głową",Players!$A$1:$R$1,0))+PozycjeŚr!T$8*INDEX(Zawodnicy[],MATCH($A3,Players!$A$2:$A$100,0),MATCH("Gra na bramce",Players!$A$1:$R$1,0))+PozycjeŚr!T$9*INDEX(Zawodnicy[],MATCH($A3,Players!$A$2:$A$100,0),MATCH("Panowanie",Players!$A$1:$R$1,0))+PozycjeŚr!T$10*INDEX(Zawodnicy[],MATCH($A3,Players!$A$2:$A$100,0),MATCH("Odbiór piłki",Players!$A$1:$R$1,0))+PozycjeŚr!T$11*INDEX(Zawodnicy[],MATCH($A3,Players!$A$2:$A$100,0),MATCH("Podania górą",Players!$A$1:$R$1,0))</f>
        <v>#N/A</v>
      </c>
      <c r="J3" s="16" t="e">
        <f>PozycjeŚr!U$2*INDEX(Zawodnicy[],MATCH($A3,Players!$A$2:$A$100,0),MATCH("Szybkość",Players!$A$1:$R$1,0))+PozycjeŚr!U$3*INDEX(Zawodnicy[],MATCH($A3,Players!$A$2:$A$100,0),MATCH("Kondycja",Players!$A$1:$R$1,0))+PozycjeŚr!U$4*INDEX(Zawodnicy[],MATCH($A3,Players!$A$2:$A$100,0),MATCH("Przegląd",Players!$A$1:$R$1,0))+PozycjeŚr!U$5*INDEX(Zawodnicy[],MATCH($A3,Players!$A$2:$A$100,0),MATCH("Podania dołem",Players!$A$1:$R$1,0))+PozycjeŚr!U$6*INDEX(Zawodnicy[],MATCH($A3,Players!$A$2:$A$100,0),MATCH("Strzał",Players!$A$1:$R$1,0))+PozycjeŚr!U$7*INDEX(Zawodnicy[],MATCH($A3,Players!$A$2:$A$100,0),MATCH("Gra głową",Players!$A$1:$R$1,0))+PozycjeŚr!U$8*INDEX(Zawodnicy[],MATCH($A3,Players!$A$2:$A$100,0),MATCH("Gra na bramce",Players!$A$1:$R$1,0))+PozycjeŚr!U$9*INDEX(Zawodnicy[],MATCH($A3,Players!$A$2:$A$100,0),MATCH("Panowanie",Players!$A$1:$R$1,0))+PozycjeŚr!U$10*INDEX(Zawodnicy[],MATCH($A3,Players!$A$2:$A$100,0),MATCH("Odbiór piłki",Players!$A$1:$R$1,0))+PozycjeŚr!U$11*INDEX(Zawodnicy[],MATCH($A3,Players!$A$2:$A$100,0),MATCH("Podania górą",Players!$A$1:$R$1,0))</f>
        <v>#N/A</v>
      </c>
      <c r="K3" s="16" t="e">
        <f>PozycjeŚr!V$2*INDEX(Zawodnicy[],MATCH($A3,Players!$A$2:$A$100,0),MATCH("Szybkość",Players!$A$1:$R$1,0))+PozycjeŚr!V$3*INDEX(Zawodnicy[],MATCH($A3,Players!$A$2:$A$100,0),MATCH("Kondycja",Players!$A$1:$R$1,0))+PozycjeŚr!V$4*INDEX(Zawodnicy[],MATCH($A3,Players!$A$2:$A$100,0),MATCH("Przegląd",Players!$A$1:$R$1,0))+PozycjeŚr!V$5*INDEX(Zawodnicy[],MATCH($A3,Players!$A$2:$A$100,0),MATCH("Podania dołem",Players!$A$1:$R$1,0))+PozycjeŚr!V$6*INDEX(Zawodnicy[],MATCH($A3,Players!$A$2:$A$100,0),MATCH("Strzał",Players!$A$1:$R$1,0))+PozycjeŚr!V$7*INDEX(Zawodnicy[],MATCH($A3,Players!$A$2:$A$100,0),MATCH("Gra głową",Players!$A$1:$R$1,0))+PozycjeŚr!V$8*INDEX(Zawodnicy[],MATCH($A3,Players!$A$2:$A$100,0),MATCH("Gra na bramce",Players!$A$1:$R$1,0))+PozycjeŚr!V$9*INDEX(Zawodnicy[],MATCH($A3,Players!$A$2:$A$100,0),MATCH("Panowanie",Players!$A$1:$R$1,0))+PozycjeŚr!V$10*INDEX(Zawodnicy[],MATCH($A3,Players!$A$2:$A$100,0),MATCH("Odbiór piłki",Players!$A$1:$R$1,0))+PozycjeŚr!V$11*INDEX(Zawodnicy[],MATCH($A3,Players!$A$2:$A$100,0),MATCH("Podania górą",Players!$A$1:$R$1,0))</f>
        <v>#N/A</v>
      </c>
      <c r="L3" s="16" t="e">
        <f>PozycjeŚr!W$2*INDEX(Zawodnicy[],MATCH($A3,Players!$A$2:$A$100,0),MATCH("Szybkość",Players!$A$1:$R$1,0))+PozycjeŚr!W$3*INDEX(Zawodnicy[],MATCH($A3,Players!$A$2:$A$100,0),MATCH("Kondycja",Players!$A$1:$R$1,0))+PozycjeŚr!W$4*INDEX(Zawodnicy[],MATCH($A3,Players!$A$2:$A$100,0),MATCH("Przegląd",Players!$A$1:$R$1,0))+PozycjeŚr!W$5*INDEX(Zawodnicy[],MATCH($A3,Players!$A$2:$A$100,0),MATCH("Podania dołem",Players!$A$1:$R$1,0))+PozycjeŚr!W$6*INDEX(Zawodnicy[],MATCH($A3,Players!$A$2:$A$100,0),MATCH("Strzał",Players!$A$1:$R$1,0))+PozycjeŚr!W$7*INDEX(Zawodnicy[],MATCH($A3,Players!$A$2:$A$100,0),MATCH("Gra głową",Players!$A$1:$R$1,0))+PozycjeŚr!W$8*INDEX(Zawodnicy[],MATCH($A3,Players!$A$2:$A$100,0),MATCH("Gra na bramce",Players!$A$1:$R$1,0))+PozycjeŚr!W$9*INDEX(Zawodnicy[],MATCH($A3,Players!$A$2:$A$100,0),MATCH("Panowanie",Players!$A$1:$R$1,0))+PozycjeŚr!W$10*INDEX(Zawodnicy[],MATCH($A3,Players!$A$2:$A$100,0),MATCH("Odbiór piłki",Players!$A$1:$R$1,0))+PozycjeŚr!W$11*INDEX(Zawodnicy[],MATCH($A3,Players!$A$2:$A$100,0),MATCH("Podania górą",Players!$A$1:$R$1,0))</f>
        <v>#N/A</v>
      </c>
    </row>
    <row r="4" spans="1:12" x14ac:dyDescent="0.25">
      <c r="A4" s="39">
        <f>IFERROR(Zawodnicy[[#This Row],[Number]],"-")</f>
        <v>4</v>
      </c>
      <c r="B4" t="str">
        <f>VLOOKUP(Radar[[#This Row],[Numer]],Zawodnicy[],2,FALSE)</f>
        <v>Bartosz Bejgier</v>
      </c>
      <c r="C4" s="16" t="e">
        <f>PozycjeŚr!N$2*INDEX(Zawodnicy[],MATCH($A4,Players!$A$2:$A$100,0),MATCH("Szybkość",Players!$A$1:$R$1,0))+PozycjeŚr!N$3*INDEX(Zawodnicy[],MATCH($A4,Players!$A$2:$A$100,0),MATCH("Kondycja",Players!$A$1:$R$1,0))+PozycjeŚr!N$4*INDEX(Zawodnicy[],MATCH($A4,Players!$A$2:$A$100,0),MATCH("Przegląd",Players!$A$1:$R$1,0))+PozycjeŚr!N$5*INDEX(Zawodnicy[],MATCH($A4,Players!$A$2:$A$100,0),MATCH("Podania dołem",Players!$A$1:$R$1,0))+PozycjeŚr!N$6*INDEX(Zawodnicy[],MATCH($A4,Players!$A$2:$A$100,0),MATCH("Strzał",Players!$A$1:$R$1,0))+PozycjeŚr!N$7*INDEX(Zawodnicy[],MATCH($A4,Players!$A$2:$A$100,0),MATCH("Gra głową",Players!$A$1:$R$1,0))+PozycjeŚr!N$8*INDEX(Zawodnicy[],MATCH($A4,Players!$A$2:$A$100,0),MATCH("Gra na bramce",Players!$A$1:$R$1,0))+PozycjeŚr!N$9*INDEX(Zawodnicy[],MATCH($A4,Players!$A$2:$A$100,0),MATCH("Panowanie",Players!$A$1:$R$1,0))+PozycjeŚr!N$10*INDEX(Zawodnicy[],MATCH($A4,Players!$A$2:$A$100,0),MATCH("Odbiór piłki",Players!$A$1:$R$1,0))+PozycjeŚr!N$11*INDEX(Zawodnicy[],MATCH($A4,Players!$A$2:$A$100,0),MATCH("Podania górą",Players!$A$1:$R$1,0))</f>
        <v>#N/A</v>
      </c>
      <c r="D4" s="16" t="e">
        <f>PozycjeŚr!O$2*INDEX(Zawodnicy[],MATCH($A4,Players!$A$2:$A$100,0),MATCH("Szybkość",Players!$A$1:$R$1,0))+PozycjeŚr!O$3*INDEX(Zawodnicy[],MATCH($A4,Players!$A$2:$A$100,0),MATCH("Kondycja",Players!$A$1:$R$1,0))+PozycjeŚr!O$4*INDEX(Zawodnicy[],MATCH($A4,Players!$A$2:$A$100,0),MATCH("Przegląd",Players!$A$1:$R$1,0))+PozycjeŚr!O$5*INDEX(Zawodnicy[],MATCH($A4,Players!$A$2:$A$100,0),MATCH("Podania dołem",Players!$A$1:$R$1,0))+PozycjeŚr!O$6*INDEX(Zawodnicy[],MATCH($A4,Players!$A$2:$A$100,0),MATCH("Strzał",Players!$A$1:$R$1,0))+PozycjeŚr!O$7*INDEX(Zawodnicy[],MATCH($A4,Players!$A$2:$A$100,0),MATCH("Gra głową",Players!$A$1:$R$1,0))+PozycjeŚr!O$8*INDEX(Zawodnicy[],MATCH($A4,Players!$A$2:$A$100,0),MATCH("Gra na bramce",Players!$A$1:$R$1,0))+PozycjeŚr!O$9*INDEX(Zawodnicy[],MATCH($A4,Players!$A$2:$A$100,0),MATCH("Panowanie",Players!$A$1:$R$1,0))+PozycjeŚr!O$10*INDEX(Zawodnicy[],MATCH($A4,Players!$A$2:$A$100,0),MATCH("Odbiór piłki",Players!$A$1:$R$1,0))+PozycjeŚr!O$11*INDEX(Zawodnicy[],MATCH($A4,Players!$A$2:$A$100,0),MATCH("Podania górą",Players!$A$1:$R$1,0))</f>
        <v>#N/A</v>
      </c>
      <c r="E4" s="16" t="e">
        <f>PozycjeŚr!P$2*INDEX(Zawodnicy[],MATCH($A4,Players!$A$2:$A$100,0),MATCH("Szybkość",Players!$A$1:$R$1,0))+PozycjeŚr!P$3*INDEX(Zawodnicy[],MATCH($A4,Players!$A$2:$A$100,0),MATCH("Kondycja",Players!$A$1:$R$1,0))+PozycjeŚr!P$4*INDEX(Zawodnicy[],MATCH($A4,Players!$A$2:$A$100,0),MATCH("Przegląd",Players!$A$1:$R$1,0))+PozycjeŚr!P$5*INDEX(Zawodnicy[],MATCH($A4,Players!$A$2:$A$100,0),MATCH("Podania dołem",Players!$A$1:$R$1,0))+PozycjeŚr!P$6*INDEX(Zawodnicy[],MATCH($A4,Players!$A$2:$A$100,0),MATCH("Strzał",Players!$A$1:$R$1,0))+PozycjeŚr!P$7*INDEX(Zawodnicy[],MATCH($A4,Players!$A$2:$A$100,0),MATCH("Gra głową",Players!$A$1:$R$1,0))+PozycjeŚr!P$8*INDEX(Zawodnicy[],MATCH($A4,Players!$A$2:$A$100,0),MATCH("Gra na bramce",Players!$A$1:$R$1,0))+PozycjeŚr!P$9*INDEX(Zawodnicy[],MATCH($A4,Players!$A$2:$A$100,0),MATCH("Panowanie",Players!$A$1:$R$1,0))+PozycjeŚr!P$10*INDEX(Zawodnicy[],MATCH($A4,Players!$A$2:$A$100,0),MATCH("Odbiór piłki",Players!$A$1:$R$1,0))+PozycjeŚr!P$11*INDEX(Zawodnicy[],MATCH($A4,Players!$A$2:$A$100,0),MATCH("Podania górą",Players!$A$1:$R$1,0))</f>
        <v>#N/A</v>
      </c>
      <c r="F4" s="16" t="e">
        <f>PozycjeŚr!Q$2*INDEX(Zawodnicy[],MATCH($A4,Players!$A$2:$A$100,0),MATCH("Szybkość",Players!$A$1:$R$1,0))+PozycjeŚr!Q$3*INDEX(Zawodnicy[],MATCH($A4,Players!$A$2:$A$100,0),MATCH("Kondycja",Players!$A$1:$R$1,0))+PozycjeŚr!Q$4*INDEX(Zawodnicy[],MATCH($A4,Players!$A$2:$A$100,0),MATCH("Przegląd",Players!$A$1:$R$1,0))+PozycjeŚr!Q$5*INDEX(Zawodnicy[],MATCH($A4,Players!$A$2:$A$100,0),MATCH("Podania dołem",Players!$A$1:$R$1,0))+PozycjeŚr!Q$6*INDEX(Zawodnicy[],MATCH($A4,Players!$A$2:$A$100,0),MATCH("Strzał",Players!$A$1:$R$1,0))+PozycjeŚr!Q$7*INDEX(Zawodnicy[],MATCH($A4,Players!$A$2:$A$100,0),MATCH("Gra głową",Players!$A$1:$R$1,0))+PozycjeŚr!Q$8*INDEX(Zawodnicy[],MATCH($A4,Players!$A$2:$A$100,0),MATCH("Gra na bramce",Players!$A$1:$R$1,0))+PozycjeŚr!Q$9*INDEX(Zawodnicy[],MATCH($A4,Players!$A$2:$A$100,0),MATCH("Panowanie",Players!$A$1:$R$1,0))+PozycjeŚr!Q$10*INDEX(Zawodnicy[],MATCH($A4,Players!$A$2:$A$100,0),MATCH("Odbiór piłki",Players!$A$1:$R$1,0))+PozycjeŚr!Q$11*INDEX(Zawodnicy[],MATCH($A4,Players!$A$2:$A$100,0),MATCH("Podania górą",Players!$A$1:$R$1,0))</f>
        <v>#N/A</v>
      </c>
      <c r="G4" s="16" t="e">
        <f>PozycjeŚr!R$2*INDEX(Zawodnicy[],MATCH($A4,Players!$A$2:$A$100,0),MATCH("Szybkość",Players!$A$1:$R$1,0))+PozycjeŚr!R$3*INDEX(Zawodnicy[],MATCH($A4,Players!$A$2:$A$100,0),MATCH("Kondycja",Players!$A$1:$R$1,0))+PozycjeŚr!R$4*INDEX(Zawodnicy[],MATCH($A4,Players!$A$2:$A$100,0),MATCH("Przegląd",Players!$A$1:$R$1,0))+PozycjeŚr!R$5*INDEX(Zawodnicy[],MATCH($A4,Players!$A$2:$A$100,0),MATCH("Podania dołem",Players!$A$1:$R$1,0))+PozycjeŚr!R$6*INDEX(Zawodnicy[],MATCH($A4,Players!$A$2:$A$100,0),MATCH("Strzał",Players!$A$1:$R$1,0))+PozycjeŚr!R$7*INDEX(Zawodnicy[],MATCH($A4,Players!$A$2:$A$100,0),MATCH("Gra głową",Players!$A$1:$R$1,0))+PozycjeŚr!R$8*INDEX(Zawodnicy[],MATCH($A4,Players!$A$2:$A$100,0),MATCH("Gra na bramce",Players!$A$1:$R$1,0))+PozycjeŚr!R$9*INDEX(Zawodnicy[],MATCH($A4,Players!$A$2:$A$100,0),MATCH("Panowanie",Players!$A$1:$R$1,0))+PozycjeŚr!R$10*INDEX(Zawodnicy[],MATCH($A4,Players!$A$2:$A$100,0),MATCH("Odbiór piłki",Players!$A$1:$R$1,0))+PozycjeŚr!R$11*INDEX(Zawodnicy[],MATCH($A4,Players!$A$2:$A$100,0),MATCH("Podania górą",Players!$A$1:$R$1,0))</f>
        <v>#N/A</v>
      </c>
      <c r="H4" s="16" t="e">
        <f>PozycjeŚr!S$2*INDEX(Zawodnicy[],MATCH($A4,Players!$A$2:$A$100,0),MATCH("Szybkość",Players!$A$1:$R$1,0))+PozycjeŚr!S$3*INDEX(Zawodnicy[],MATCH($A4,Players!$A$2:$A$100,0),MATCH("Kondycja",Players!$A$1:$R$1,0))+PozycjeŚr!S$4*INDEX(Zawodnicy[],MATCH($A4,Players!$A$2:$A$100,0),MATCH("Przegląd",Players!$A$1:$R$1,0))+PozycjeŚr!S$5*INDEX(Zawodnicy[],MATCH($A4,Players!$A$2:$A$100,0),MATCH("Podania dołem",Players!$A$1:$R$1,0))+PozycjeŚr!S$6*INDEX(Zawodnicy[],MATCH($A4,Players!$A$2:$A$100,0),MATCH("Strzał",Players!$A$1:$R$1,0))+PozycjeŚr!S$7*INDEX(Zawodnicy[],MATCH($A4,Players!$A$2:$A$100,0),MATCH("Gra głową",Players!$A$1:$R$1,0))+PozycjeŚr!S$8*INDEX(Zawodnicy[],MATCH($A4,Players!$A$2:$A$100,0),MATCH("Gra na bramce",Players!$A$1:$R$1,0))+PozycjeŚr!S$9*INDEX(Zawodnicy[],MATCH($A4,Players!$A$2:$A$100,0),MATCH("Panowanie",Players!$A$1:$R$1,0))+PozycjeŚr!S$10*INDEX(Zawodnicy[],MATCH($A4,Players!$A$2:$A$100,0),MATCH("Odbiór piłki",Players!$A$1:$R$1,0))+PozycjeŚr!S$11*INDEX(Zawodnicy[],MATCH($A4,Players!$A$2:$A$100,0),MATCH("Podania górą",Players!$A$1:$R$1,0))</f>
        <v>#N/A</v>
      </c>
      <c r="I4" s="16" t="e">
        <f>PozycjeŚr!T$2*INDEX(Zawodnicy[],MATCH($A4,Players!$A$2:$A$100,0),MATCH("Szybkość",Players!$A$1:$R$1,0))+PozycjeŚr!T$3*INDEX(Zawodnicy[],MATCH($A4,Players!$A$2:$A$100,0),MATCH("Kondycja",Players!$A$1:$R$1,0))+PozycjeŚr!T$4*INDEX(Zawodnicy[],MATCH($A4,Players!$A$2:$A$100,0),MATCH("Przegląd",Players!$A$1:$R$1,0))+PozycjeŚr!T$5*INDEX(Zawodnicy[],MATCH($A4,Players!$A$2:$A$100,0),MATCH("Podania dołem",Players!$A$1:$R$1,0))+PozycjeŚr!T$6*INDEX(Zawodnicy[],MATCH($A4,Players!$A$2:$A$100,0),MATCH("Strzał",Players!$A$1:$R$1,0))+PozycjeŚr!T$7*INDEX(Zawodnicy[],MATCH($A4,Players!$A$2:$A$100,0),MATCH("Gra głową",Players!$A$1:$R$1,0))+PozycjeŚr!T$8*INDEX(Zawodnicy[],MATCH($A4,Players!$A$2:$A$100,0),MATCH("Gra na bramce",Players!$A$1:$R$1,0))+PozycjeŚr!T$9*INDEX(Zawodnicy[],MATCH($A4,Players!$A$2:$A$100,0),MATCH("Panowanie",Players!$A$1:$R$1,0))+PozycjeŚr!T$10*INDEX(Zawodnicy[],MATCH($A4,Players!$A$2:$A$100,0),MATCH("Odbiór piłki",Players!$A$1:$R$1,0))+PozycjeŚr!T$11*INDEX(Zawodnicy[],MATCH($A4,Players!$A$2:$A$100,0),MATCH("Podania górą",Players!$A$1:$R$1,0))</f>
        <v>#N/A</v>
      </c>
      <c r="J4" s="16" t="e">
        <f>PozycjeŚr!U$2*INDEX(Zawodnicy[],MATCH($A4,Players!$A$2:$A$100,0),MATCH("Szybkość",Players!$A$1:$R$1,0))+PozycjeŚr!U$3*INDEX(Zawodnicy[],MATCH($A4,Players!$A$2:$A$100,0),MATCH("Kondycja",Players!$A$1:$R$1,0))+PozycjeŚr!U$4*INDEX(Zawodnicy[],MATCH($A4,Players!$A$2:$A$100,0),MATCH("Przegląd",Players!$A$1:$R$1,0))+PozycjeŚr!U$5*INDEX(Zawodnicy[],MATCH($A4,Players!$A$2:$A$100,0),MATCH("Podania dołem",Players!$A$1:$R$1,0))+PozycjeŚr!U$6*INDEX(Zawodnicy[],MATCH($A4,Players!$A$2:$A$100,0),MATCH("Strzał",Players!$A$1:$R$1,0))+PozycjeŚr!U$7*INDEX(Zawodnicy[],MATCH($A4,Players!$A$2:$A$100,0),MATCH("Gra głową",Players!$A$1:$R$1,0))+PozycjeŚr!U$8*INDEX(Zawodnicy[],MATCH($A4,Players!$A$2:$A$100,0),MATCH("Gra na bramce",Players!$A$1:$R$1,0))+PozycjeŚr!U$9*INDEX(Zawodnicy[],MATCH($A4,Players!$A$2:$A$100,0),MATCH("Panowanie",Players!$A$1:$R$1,0))+PozycjeŚr!U$10*INDEX(Zawodnicy[],MATCH($A4,Players!$A$2:$A$100,0),MATCH("Odbiór piłki",Players!$A$1:$R$1,0))+PozycjeŚr!U$11*INDEX(Zawodnicy[],MATCH($A4,Players!$A$2:$A$100,0),MATCH("Podania górą",Players!$A$1:$R$1,0))</f>
        <v>#N/A</v>
      </c>
      <c r="K4" s="16" t="e">
        <f>PozycjeŚr!V$2*INDEX(Zawodnicy[],MATCH($A4,Players!$A$2:$A$100,0),MATCH("Szybkość",Players!$A$1:$R$1,0))+PozycjeŚr!V$3*INDEX(Zawodnicy[],MATCH($A4,Players!$A$2:$A$100,0),MATCH("Kondycja",Players!$A$1:$R$1,0))+PozycjeŚr!V$4*INDEX(Zawodnicy[],MATCH($A4,Players!$A$2:$A$100,0),MATCH("Przegląd",Players!$A$1:$R$1,0))+PozycjeŚr!V$5*INDEX(Zawodnicy[],MATCH($A4,Players!$A$2:$A$100,0),MATCH("Podania dołem",Players!$A$1:$R$1,0))+PozycjeŚr!V$6*INDEX(Zawodnicy[],MATCH($A4,Players!$A$2:$A$100,0),MATCH("Strzał",Players!$A$1:$R$1,0))+PozycjeŚr!V$7*INDEX(Zawodnicy[],MATCH($A4,Players!$A$2:$A$100,0),MATCH("Gra głową",Players!$A$1:$R$1,0))+PozycjeŚr!V$8*INDEX(Zawodnicy[],MATCH($A4,Players!$A$2:$A$100,0),MATCH("Gra na bramce",Players!$A$1:$R$1,0))+PozycjeŚr!V$9*INDEX(Zawodnicy[],MATCH($A4,Players!$A$2:$A$100,0),MATCH("Panowanie",Players!$A$1:$R$1,0))+PozycjeŚr!V$10*INDEX(Zawodnicy[],MATCH($A4,Players!$A$2:$A$100,0),MATCH("Odbiór piłki",Players!$A$1:$R$1,0))+PozycjeŚr!V$11*INDEX(Zawodnicy[],MATCH($A4,Players!$A$2:$A$100,0),MATCH("Podania górą",Players!$A$1:$R$1,0))</f>
        <v>#N/A</v>
      </c>
      <c r="L4" s="16" t="e">
        <f>PozycjeŚr!W$2*INDEX(Zawodnicy[],MATCH($A4,Players!$A$2:$A$100,0),MATCH("Szybkość",Players!$A$1:$R$1,0))+PozycjeŚr!W$3*INDEX(Zawodnicy[],MATCH($A4,Players!$A$2:$A$100,0),MATCH("Kondycja",Players!$A$1:$R$1,0))+PozycjeŚr!W$4*INDEX(Zawodnicy[],MATCH($A4,Players!$A$2:$A$100,0),MATCH("Przegląd",Players!$A$1:$R$1,0))+PozycjeŚr!W$5*INDEX(Zawodnicy[],MATCH($A4,Players!$A$2:$A$100,0),MATCH("Podania dołem",Players!$A$1:$R$1,0))+PozycjeŚr!W$6*INDEX(Zawodnicy[],MATCH($A4,Players!$A$2:$A$100,0),MATCH("Strzał",Players!$A$1:$R$1,0))+PozycjeŚr!W$7*INDEX(Zawodnicy[],MATCH($A4,Players!$A$2:$A$100,0),MATCH("Gra głową",Players!$A$1:$R$1,0))+PozycjeŚr!W$8*INDEX(Zawodnicy[],MATCH($A4,Players!$A$2:$A$100,0),MATCH("Gra na bramce",Players!$A$1:$R$1,0))+PozycjeŚr!W$9*INDEX(Zawodnicy[],MATCH($A4,Players!$A$2:$A$100,0),MATCH("Panowanie",Players!$A$1:$R$1,0))+PozycjeŚr!W$10*INDEX(Zawodnicy[],MATCH($A4,Players!$A$2:$A$100,0),MATCH("Odbiór piłki",Players!$A$1:$R$1,0))+PozycjeŚr!W$11*INDEX(Zawodnicy[],MATCH($A4,Players!$A$2:$A$100,0),MATCH("Podania górą",Players!$A$1:$R$1,0))</f>
        <v>#N/A</v>
      </c>
    </row>
    <row r="5" spans="1:12" x14ac:dyDescent="0.25">
      <c r="A5" s="39">
        <f>IFERROR(Zawodnicy[[#This Row],[Number]],"-")</f>
        <v>5</v>
      </c>
      <c r="B5" t="str">
        <f>VLOOKUP(Radar[[#This Row],[Numer]],Zawodnicy[],2,FALSE)</f>
        <v>Lukasz Bakes</v>
      </c>
      <c r="C5" s="16" t="e">
        <f>PozycjeŚr!N$2*INDEX(Zawodnicy[],MATCH($A5,Players!$A$2:$A$100,0),MATCH("Szybkość",Players!$A$1:$R$1,0))+PozycjeŚr!N$3*INDEX(Zawodnicy[],MATCH($A5,Players!$A$2:$A$100,0),MATCH("Kondycja",Players!$A$1:$R$1,0))+PozycjeŚr!N$4*INDEX(Zawodnicy[],MATCH($A5,Players!$A$2:$A$100,0),MATCH("Przegląd",Players!$A$1:$R$1,0))+PozycjeŚr!N$5*INDEX(Zawodnicy[],MATCH($A5,Players!$A$2:$A$100,0),MATCH("Podania dołem",Players!$A$1:$R$1,0))+PozycjeŚr!N$6*INDEX(Zawodnicy[],MATCH($A5,Players!$A$2:$A$100,0),MATCH("Strzał",Players!$A$1:$R$1,0))+PozycjeŚr!N$7*INDEX(Zawodnicy[],MATCH($A5,Players!$A$2:$A$100,0),MATCH("Gra głową",Players!$A$1:$R$1,0))+PozycjeŚr!N$8*INDEX(Zawodnicy[],MATCH($A5,Players!$A$2:$A$100,0),MATCH("Gra na bramce",Players!$A$1:$R$1,0))+PozycjeŚr!N$9*INDEX(Zawodnicy[],MATCH($A5,Players!$A$2:$A$100,0),MATCH("Panowanie",Players!$A$1:$R$1,0))+PozycjeŚr!N$10*INDEX(Zawodnicy[],MATCH($A5,Players!$A$2:$A$100,0),MATCH("Odbiór piłki",Players!$A$1:$R$1,0))+PozycjeŚr!N$11*INDEX(Zawodnicy[],MATCH($A5,Players!$A$2:$A$100,0),MATCH("Podania górą",Players!$A$1:$R$1,0))</f>
        <v>#N/A</v>
      </c>
      <c r="D5" s="16" t="e">
        <f>PozycjeŚr!O$2*INDEX(Zawodnicy[],MATCH($A5,Players!$A$2:$A$100,0),MATCH("Szybkość",Players!$A$1:$R$1,0))+PozycjeŚr!O$3*INDEX(Zawodnicy[],MATCH($A5,Players!$A$2:$A$100,0),MATCH("Kondycja",Players!$A$1:$R$1,0))+PozycjeŚr!O$4*INDEX(Zawodnicy[],MATCH($A5,Players!$A$2:$A$100,0),MATCH("Przegląd",Players!$A$1:$R$1,0))+PozycjeŚr!O$5*INDEX(Zawodnicy[],MATCH($A5,Players!$A$2:$A$100,0),MATCH("Podania dołem",Players!$A$1:$R$1,0))+PozycjeŚr!O$6*INDEX(Zawodnicy[],MATCH($A5,Players!$A$2:$A$100,0),MATCH("Strzał",Players!$A$1:$R$1,0))+PozycjeŚr!O$7*INDEX(Zawodnicy[],MATCH($A5,Players!$A$2:$A$100,0),MATCH("Gra głową",Players!$A$1:$R$1,0))+PozycjeŚr!O$8*INDEX(Zawodnicy[],MATCH($A5,Players!$A$2:$A$100,0),MATCH("Gra na bramce",Players!$A$1:$R$1,0))+PozycjeŚr!O$9*INDEX(Zawodnicy[],MATCH($A5,Players!$A$2:$A$100,0),MATCH("Panowanie",Players!$A$1:$R$1,0))+PozycjeŚr!O$10*INDEX(Zawodnicy[],MATCH($A5,Players!$A$2:$A$100,0),MATCH("Odbiór piłki",Players!$A$1:$R$1,0))+PozycjeŚr!O$11*INDEX(Zawodnicy[],MATCH($A5,Players!$A$2:$A$100,0),MATCH("Podania górą",Players!$A$1:$R$1,0))</f>
        <v>#N/A</v>
      </c>
      <c r="E5" s="16" t="e">
        <f>PozycjeŚr!P$2*INDEX(Zawodnicy[],MATCH($A5,Players!$A$2:$A$100,0),MATCH("Szybkość",Players!$A$1:$R$1,0))+PozycjeŚr!P$3*INDEX(Zawodnicy[],MATCH($A5,Players!$A$2:$A$100,0),MATCH("Kondycja",Players!$A$1:$R$1,0))+PozycjeŚr!P$4*INDEX(Zawodnicy[],MATCH($A5,Players!$A$2:$A$100,0),MATCH("Przegląd",Players!$A$1:$R$1,0))+PozycjeŚr!P$5*INDEX(Zawodnicy[],MATCH($A5,Players!$A$2:$A$100,0),MATCH("Podania dołem",Players!$A$1:$R$1,0))+PozycjeŚr!P$6*INDEX(Zawodnicy[],MATCH($A5,Players!$A$2:$A$100,0),MATCH("Strzał",Players!$A$1:$R$1,0))+PozycjeŚr!P$7*INDEX(Zawodnicy[],MATCH($A5,Players!$A$2:$A$100,0),MATCH("Gra głową",Players!$A$1:$R$1,0))+PozycjeŚr!P$8*INDEX(Zawodnicy[],MATCH($A5,Players!$A$2:$A$100,0),MATCH("Gra na bramce",Players!$A$1:$R$1,0))+PozycjeŚr!P$9*INDEX(Zawodnicy[],MATCH($A5,Players!$A$2:$A$100,0),MATCH("Panowanie",Players!$A$1:$R$1,0))+PozycjeŚr!P$10*INDEX(Zawodnicy[],MATCH($A5,Players!$A$2:$A$100,0),MATCH("Odbiór piłki",Players!$A$1:$R$1,0))+PozycjeŚr!P$11*INDEX(Zawodnicy[],MATCH($A5,Players!$A$2:$A$100,0),MATCH("Podania górą",Players!$A$1:$R$1,0))</f>
        <v>#N/A</v>
      </c>
      <c r="F5" s="16" t="e">
        <f>PozycjeŚr!Q$2*INDEX(Zawodnicy[],MATCH($A5,Players!$A$2:$A$100,0),MATCH("Szybkość",Players!$A$1:$R$1,0))+PozycjeŚr!Q$3*INDEX(Zawodnicy[],MATCH($A5,Players!$A$2:$A$100,0),MATCH("Kondycja",Players!$A$1:$R$1,0))+PozycjeŚr!Q$4*INDEX(Zawodnicy[],MATCH($A5,Players!$A$2:$A$100,0),MATCH("Przegląd",Players!$A$1:$R$1,0))+PozycjeŚr!Q$5*INDEX(Zawodnicy[],MATCH($A5,Players!$A$2:$A$100,0),MATCH("Podania dołem",Players!$A$1:$R$1,0))+PozycjeŚr!Q$6*INDEX(Zawodnicy[],MATCH($A5,Players!$A$2:$A$100,0),MATCH("Strzał",Players!$A$1:$R$1,0))+PozycjeŚr!Q$7*INDEX(Zawodnicy[],MATCH($A5,Players!$A$2:$A$100,0),MATCH("Gra głową",Players!$A$1:$R$1,0))+PozycjeŚr!Q$8*INDEX(Zawodnicy[],MATCH($A5,Players!$A$2:$A$100,0),MATCH("Gra na bramce",Players!$A$1:$R$1,0))+PozycjeŚr!Q$9*INDEX(Zawodnicy[],MATCH($A5,Players!$A$2:$A$100,0),MATCH("Panowanie",Players!$A$1:$R$1,0))+PozycjeŚr!Q$10*INDEX(Zawodnicy[],MATCH($A5,Players!$A$2:$A$100,0),MATCH("Odbiór piłki",Players!$A$1:$R$1,0))+PozycjeŚr!Q$11*INDEX(Zawodnicy[],MATCH($A5,Players!$A$2:$A$100,0),MATCH("Podania górą",Players!$A$1:$R$1,0))</f>
        <v>#N/A</v>
      </c>
      <c r="G5" s="16" t="e">
        <f>PozycjeŚr!R$2*INDEX(Zawodnicy[],MATCH($A5,Players!$A$2:$A$100,0),MATCH("Szybkość",Players!$A$1:$R$1,0))+PozycjeŚr!R$3*INDEX(Zawodnicy[],MATCH($A5,Players!$A$2:$A$100,0),MATCH("Kondycja",Players!$A$1:$R$1,0))+PozycjeŚr!R$4*INDEX(Zawodnicy[],MATCH($A5,Players!$A$2:$A$100,0),MATCH("Przegląd",Players!$A$1:$R$1,0))+PozycjeŚr!R$5*INDEX(Zawodnicy[],MATCH($A5,Players!$A$2:$A$100,0),MATCH("Podania dołem",Players!$A$1:$R$1,0))+PozycjeŚr!R$6*INDEX(Zawodnicy[],MATCH($A5,Players!$A$2:$A$100,0),MATCH("Strzał",Players!$A$1:$R$1,0))+PozycjeŚr!R$7*INDEX(Zawodnicy[],MATCH($A5,Players!$A$2:$A$100,0),MATCH("Gra głową",Players!$A$1:$R$1,0))+PozycjeŚr!R$8*INDEX(Zawodnicy[],MATCH($A5,Players!$A$2:$A$100,0),MATCH("Gra na bramce",Players!$A$1:$R$1,0))+PozycjeŚr!R$9*INDEX(Zawodnicy[],MATCH($A5,Players!$A$2:$A$100,0),MATCH("Panowanie",Players!$A$1:$R$1,0))+PozycjeŚr!R$10*INDEX(Zawodnicy[],MATCH($A5,Players!$A$2:$A$100,0),MATCH("Odbiór piłki",Players!$A$1:$R$1,0))+PozycjeŚr!R$11*INDEX(Zawodnicy[],MATCH($A5,Players!$A$2:$A$100,0),MATCH("Podania górą",Players!$A$1:$R$1,0))</f>
        <v>#N/A</v>
      </c>
      <c r="H5" s="16" t="e">
        <f>PozycjeŚr!S$2*INDEX(Zawodnicy[],MATCH($A5,Players!$A$2:$A$100,0),MATCH("Szybkość",Players!$A$1:$R$1,0))+PozycjeŚr!S$3*INDEX(Zawodnicy[],MATCH($A5,Players!$A$2:$A$100,0),MATCH("Kondycja",Players!$A$1:$R$1,0))+PozycjeŚr!S$4*INDEX(Zawodnicy[],MATCH($A5,Players!$A$2:$A$100,0),MATCH("Przegląd",Players!$A$1:$R$1,0))+PozycjeŚr!S$5*INDEX(Zawodnicy[],MATCH($A5,Players!$A$2:$A$100,0),MATCH("Podania dołem",Players!$A$1:$R$1,0))+PozycjeŚr!S$6*INDEX(Zawodnicy[],MATCH($A5,Players!$A$2:$A$100,0),MATCH("Strzał",Players!$A$1:$R$1,0))+PozycjeŚr!S$7*INDEX(Zawodnicy[],MATCH($A5,Players!$A$2:$A$100,0),MATCH("Gra głową",Players!$A$1:$R$1,0))+PozycjeŚr!S$8*INDEX(Zawodnicy[],MATCH($A5,Players!$A$2:$A$100,0),MATCH("Gra na bramce",Players!$A$1:$R$1,0))+PozycjeŚr!S$9*INDEX(Zawodnicy[],MATCH($A5,Players!$A$2:$A$100,0),MATCH("Panowanie",Players!$A$1:$R$1,0))+PozycjeŚr!S$10*INDEX(Zawodnicy[],MATCH($A5,Players!$A$2:$A$100,0),MATCH("Odbiór piłki",Players!$A$1:$R$1,0))+PozycjeŚr!S$11*INDEX(Zawodnicy[],MATCH($A5,Players!$A$2:$A$100,0),MATCH("Podania górą",Players!$A$1:$R$1,0))</f>
        <v>#N/A</v>
      </c>
      <c r="I5" s="16" t="e">
        <f>PozycjeŚr!T$2*INDEX(Zawodnicy[],MATCH($A5,Players!$A$2:$A$100,0),MATCH("Szybkość",Players!$A$1:$R$1,0))+PozycjeŚr!T$3*INDEX(Zawodnicy[],MATCH($A5,Players!$A$2:$A$100,0),MATCH("Kondycja",Players!$A$1:$R$1,0))+PozycjeŚr!T$4*INDEX(Zawodnicy[],MATCH($A5,Players!$A$2:$A$100,0),MATCH("Przegląd",Players!$A$1:$R$1,0))+PozycjeŚr!T$5*INDEX(Zawodnicy[],MATCH($A5,Players!$A$2:$A$100,0),MATCH("Podania dołem",Players!$A$1:$R$1,0))+PozycjeŚr!T$6*INDEX(Zawodnicy[],MATCH($A5,Players!$A$2:$A$100,0),MATCH("Strzał",Players!$A$1:$R$1,0))+PozycjeŚr!T$7*INDEX(Zawodnicy[],MATCH($A5,Players!$A$2:$A$100,0),MATCH("Gra głową",Players!$A$1:$R$1,0))+PozycjeŚr!T$8*INDEX(Zawodnicy[],MATCH($A5,Players!$A$2:$A$100,0),MATCH("Gra na bramce",Players!$A$1:$R$1,0))+PozycjeŚr!T$9*INDEX(Zawodnicy[],MATCH($A5,Players!$A$2:$A$100,0),MATCH("Panowanie",Players!$A$1:$R$1,0))+PozycjeŚr!T$10*INDEX(Zawodnicy[],MATCH($A5,Players!$A$2:$A$100,0),MATCH("Odbiór piłki",Players!$A$1:$R$1,0))+PozycjeŚr!T$11*INDEX(Zawodnicy[],MATCH($A5,Players!$A$2:$A$100,0),MATCH("Podania górą",Players!$A$1:$R$1,0))</f>
        <v>#N/A</v>
      </c>
      <c r="J5" s="16" t="e">
        <f>PozycjeŚr!U$2*INDEX(Zawodnicy[],MATCH($A5,Players!$A$2:$A$100,0),MATCH("Szybkość",Players!$A$1:$R$1,0))+PozycjeŚr!U$3*INDEX(Zawodnicy[],MATCH($A5,Players!$A$2:$A$100,0),MATCH("Kondycja",Players!$A$1:$R$1,0))+PozycjeŚr!U$4*INDEX(Zawodnicy[],MATCH($A5,Players!$A$2:$A$100,0),MATCH("Przegląd",Players!$A$1:$R$1,0))+PozycjeŚr!U$5*INDEX(Zawodnicy[],MATCH($A5,Players!$A$2:$A$100,0),MATCH("Podania dołem",Players!$A$1:$R$1,0))+PozycjeŚr!U$6*INDEX(Zawodnicy[],MATCH($A5,Players!$A$2:$A$100,0),MATCH("Strzał",Players!$A$1:$R$1,0))+PozycjeŚr!U$7*INDEX(Zawodnicy[],MATCH($A5,Players!$A$2:$A$100,0),MATCH("Gra głową",Players!$A$1:$R$1,0))+PozycjeŚr!U$8*INDEX(Zawodnicy[],MATCH($A5,Players!$A$2:$A$100,0),MATCH("Gra na bramce",Players!$A$1:$R$1,0))+PozycjeŚr!U$9*INDEX(Zawodnicy[],MATCH($A5,Players!$A$2:$A$100,0),MATCH("Panowanie",Players!$A$1:$R$1,0))+PozycjeŚr!U$10*INDEX(Zawodnicy[],MATCH($A5,Players!$A$2:$A$100,0),MATCH("Odbiór piłki",Players!$A$1:$R$1,0))+PozycjeŚr!U$11*INDEX(Zawodnicy[],MATCH($A5,Players!$A$2:$A$100,0),MATCH("Podania górą",Players!$A$1:$R$1,0))</f>
        <v>#N/A</v>
      </c>
      <c r="K5" s="16" t="e">
        <f>PozycjeŚr!V$2*INDEX(Zawodnicy[],MATCH($A5,Players!$A$2:$A$100,0),MATCH("Szybkość",Players!$A$1:$R$1,0))+PozycjeŚr!V$3*INDEX(Zawodnicy[],MATCH($A5,Players!$A$2:$A$100,0),MATCH("Kondycja",Players!$A$1:$R$1,0))+PozycjeŚr!V$4*INDEX(Zawodnicy[],MATCH($A5,Players!$A$2:$A$100,0),MATCH("Przegląd",Players!$A$1:$R$1,0))+PozycjeŚr!V$5*INDEX(Zawodnicy[],MATCH($A5,Players!$A$2:$A$100,0),MATCH("Podania dołem",Players!$A$1:$R$1,0))+PozycjeŚr!V$6*INDEX(Zawodnicy[],MATCH($A5,Players!$A$2:$A$100,0),MATCH("Strzał",Players!$A$1:$R$1,0))+PozycjeŚr!V$7*INDEX(Zawodnicy[],MATCH($A5,Players!$A$2:$A$100,0),MATCH("Gra głową",Players!$A$1:$R$1,0))+PozycjeŚr!V$8*INDEX(Zawodnicy[],MATCH($A5,Players!$A$2:$A$100,0),MATCH("Gra na bramce",Players!$A$1:$R$1,0))+PozycjeŚr!V$9*INDEX(Zawodnicy[],MATCH($A5,Players!$A$2:$A$100,0),MATCH("Panowanie",Players!$A$1:$R$1,0))+PozycjeŚr!V$10*INDEX(Zawodnicy[],MATCH($A5,Players!$A$2:$A$100,0),MATCH("Odbiór piłki",Players!$A$1:$R$1,0))+PozycjeŚr!V$11*INDEX(Zawodnicy[],MATCH($A5,Players!$A$2:$A$100,0),MATCH("Podania górą",Players!$A$1:$R$1,0))</f>
        <v>#N/A</v>
      </c>
      <c r="L5" s="16" t="e">
        <f>PozycjeŚr!W$2*INDEX(Zawodnicy[],MATCH($A5,Players!$A$2:$A$100,0),MATCH("Szybkość",Players!$A$1:$R$1,0))+PozycjeŚr!W$3*INDEX(Zawodnicy[],MATCH($A5,Players!$A$2:$A$100,0),MATCH("Kondycja",Players!$A$1:$R$1,0))+PozycjeŚr!W$4*INDEX(Zawodnicy[],MATCH($A5,Players!$A$2:$A$100,0),MATCH("Przegląd",Players!$A$1:$R$1,0))+PozycjeŚr!W$5*INDEX(Zawodnicy[],MATCH($A5,Players!$A$2:$A$100,0),MATCH("Podania dołem",Players!$A$1:$R$1,0))+PozycjeŚr!W$6*INDEX(Zawodnicy[],MATCH($A5,Players!$A$2:$A$100,0),MATCH("Strzał",Players!$A$1:$R$1,0))+PozycjeŚr!W$7*INDEX(Zawodnicy[],MATCH($A5,Players!$A$2:$A$100,0),MATCH("Gra głową",Players!$A$1:$R$1,0))+PozycjeŚr!W$8*INDEX(Zawodnicy[],MATCH($A5,Players!$A$2:$A$100,0),MATCH("Gra na bramce",Players!$A$1:$R$1,0))+PozycjeŚr!W$9*INDEX(Zawodnicy[],MATCH($A5,Players!$A$2:$A$100,0),MATCH("Panowanie",Players!$A$1:$R$1,0))+PozycjeŚr!W$10*INDEX(Zawodnicy[],MATCH($A5,Players!$A$2:$A$100,0),MATCH("Odbiór piłki",Players!$A$1:$R$1,0))+PozycjeŚr!W$11*INDEX(Zawodnicy[],MATCH($A5,Players!$A$2:$A$100,0),MATCH("Podania górą",Players!$A$1:$R$1,0))</f>
        <v>#N/A</v>
      </c>
    </row>
    <row r="6" spans="1:12" x14ac:dyDescent="0.25">
      <c r="A6" s="39">
        <f>IFERROR(Zawodnicy[[#This Row],[Number]],"-")</f>
        <v>6</v>
      </c>
      <c r="B6" t="str">
        <f>VLOOKUP(Radar[[#This Row],[Numer]],Zawodnicy[],2,FALSE)</f>
        <v>Ignacy Cerocki</v>
      </c>
      <c r="C6" s="16" t="e">
        <f>PozycjeŚr!N$2*INDEX(Zawodnicy[],MATCH($A6,Players!$A$2:$A$100,0),MATCH("Szybkość",Players!$A$1:$R$1,0))+PozycjeŚr!N$3*INDEX(Zawodnicy[],MATCH($A6,Players!$A$2:$A$100,0),MATCH("Kondycja",Players!$A$1:$R$1,0))+PozycjeŚr!N$4*INDEX(Zawodnicy[],MATCH($A6,Players!$A$2:$A$100,0),MATCH("Przegląd",Players!$A$1:$R$1,0))+PozycjeŚr!N$5*INDEX(Zawodnicy[],MATCH($A6,Players!$A$2:$A$100,0),MATCH("Podania dołem",Players!$A$1:$R$1,0))+PozycjeŚr!N$6*INDEX(Zawodnicy[],MATCH($A6,Players!$A$2:$A$100,0),MATCH("Strzał",Players!$A$1:$R$1,0))+PozycjeŚr!N$7*INDEX(Zawodnicy[],MATCH($A6,Players!$A$2:$A$100,0),MATCH("Gra głową",Players!$A$1:$R$1,0))+PozycjeŚr!N$8*INDEX(Zawodnicy[],MATCH($A6,Players!$A$2:$A$100,0),MATCH("Gra na bramce",Players!$A$1:$R$1,0))+PozycjeŚr!N$9*INDEX(Zawodnicy[],MATCH($A6,Players!$A$2:$A$100,0),MATCH("Panowanie",Players!$A$1:$R$1,0))+PozycjeŚr!N$10*INDEX(Zawodnicy[],MATCH($A6,Players!$A$2:$A$100,0),MATCH("Odbiór piłki",Players!$A$1:$R$1,0))+PozycjeŚr!N$11*INDEX(Zawodnicy[],MATCH($A6,Players!$A$2:$A$100,0),MATCH("Podania górą",Players!$A$1:$R$1,0))</f>
        <v>#N/A</v>
      </c>
      <c r="D6" s="16" t="e">
        <f>PozycjeŚr!O$2*INDEX(Zawodnicy[],MATCH($A6,Players!$A$2:$A$100,0),MATCH("Szybkość",Players!$A$1:$R$1,0))+PozycjeŚr!O$3*INDEX(Zawodnicy[],MATCH($A6,Players!$A$2:$A$100,0),MATCH("Kondycja",Players!$A$1:$R$1,0))+PozycjeŚr!O$4*INDEX(Zawodnicy[],MATCH($A6,Players!$A$2:$A$100,0),MATCH("Przegląd",Players!$A$1:$R$1,0))+PozycjeŚr!O$5*INDEX(Zawodnicy[],MATCH($A6,Players!$A$2:$A$100,0),MATCH("Podania dołem",Players!$A$1:$R$1,0))+PozycjeŚr!O$6*INDEX(Zawodnicy[],MATCH($A6,Players!$A$2:$A$100,0),MATCH("Strzał",Players!$A$1:$R$1,0))+PozycjeŚr!O$7*INDEX(Zawodnicy[],MATCH($A6,Players!$A$2:$A$100,0),MATCH("Gra głową",Players!$A$1:$R$1,0))+PozycjeŚr!O$8*INDEX(Zawodnicy[],MATCH($A6,Players!$A$2:$A$100,0),MATCH("Gra na bramce",Players!$A$1:$R$1,0))+PozycjeŚr!O$9*INDEX(Zawodnicy[],MATCH($A6,Players!$A$2:$A$100,0),MATCH("Panowanie",Players!$A$1:$R$1,0))+PozycjeŚr!O$10*INDEX(Zawodnicy[],MATCH($A6,Players!$A$2:$A$100,0),MATCH("Odbiór piłki",Players!$A$1:$R$1,0))+PozycjeŚr!O$11*INDEX(Zawodnicy[],MATCH($A6,Players!$A$2:$A$100,0),MATCH("Podania górą",Players!$A$1:$R$1,0))</f>
        <v>#N/A</v>
      </c>
      <c r="E6" s="16" t="e">
        <f>PozycjeŚr!P$2*INDEX(Zawodnicy[],MATCH($A6,Players!$A$2:$A$100,0),MATCH("Szybkość",Players!$A$1:$R$1,0))+PozycjeŚr!P$3*INDEX(Zawodnicy[],MATCH($A6,Players!$A$2:$A$100,0),MATCH("Kondycja",Players!$A$1:$R$1,0))+PozycjeŚr!P$4*INDEX(Zawodnicy[],MATCH($A6,Players!$A$2:$A$100,0),MATCH("Przegląd",Players!$A$1:$R$1,0))+PozycjeŚr!P$5*INDEX(Zawodnicy[],MATCH($A6,Players!$A$2:$A$100,0),MATCH("Podania dołem",Players!$A$1:$R$1,0))+PozycjeŚr!P$6*INDEX(Zawodnicy[],MATCH($A6,Players!$A$2:$A$100,0),MATCH("Strzał",Players!$A$1:$R$1,0))+PozycjeŚr!P$7*INDEX(Zawodnicy[],MATCH($A6,Players!$A$2:$A$100,0),MATCH("Gra głową",Players!$A$1:$R$1,0))+PozycjeŚr!P$8*INDEX(Zawodnicy[],MATCH($A6,Players!$A$2:$A$100,0),MATCH("Gra na bramce",Players!$A$1:$R$1,0))+PozycjeŚr!P$9*INDEX(Zawodnicy[],MATCH($A6,Players!$A$2:$A$100,0),MATCH("Panowanie",Players!$A$1:$R$1,0))+PozycjeŚr!P$10*INDEX(Zawodnicy[],MATCH($A6,Players!$A$2:$A$100,0),MATCH("Odbiór piłki",Players!$A$1:$R$1,0))+PozycjeŚr!P$11*INDEX(Zawodnicy[],MATCH($A6,Players!$A$2:$A$100,0),MATCH("Podania górą",Players!$A$1:$R$1,0))</f>
        <v>#N/A</v>
      </c>
      <c r="F6" s="16" t="e">
        <f>PozycjeŚr!Q$2*INDEX(Zawodnicy[],MATCH($A6,Players!$A$2:$A$100,0),MATCH("Szybkość",Players!$A$1:$R$1,0))+PozycjeŚr!Q$3*INDEX(Zawodnicy[],MATCH($A6,Players!$A$2:$A$100,0),MATCH("Kondycja",Players!$A$1:$R$1,0))+PozycjeŚr!Q$4*INDEX(Zawodnicy[],MATCH($A6,Players!$A$2:$A$100,0),MATCH("Przegląd",Players!$A$1:$R$1,0))+PozycjeŚr!Q$5*INDEX(Zawodnicy[],MATCH($A6,Players!$A$2:$A$100,0),MATCH("Podania dołem",Players!$A$1:$R$1,0))+PozycjeŚr!Q$6*INDEX(Zawodnicy[],MATCH($A6,Players!$A$2:$A$100,0),MATCH("Strzał",Players!$A$1:$R$1,0))+PozycjeŚr!Q$7*INDEX(Zawodnicy[],MATCH($A6,Players!$A$2:$A$100,0),MATCH("Gra głową",Players!$A$1:$R$1,0))+PozycjeŚr!Q$8*INDEX(Zawodnicy[],MATCH($A6,Players!$A$2:$A$100,0),MATCH("Gra na bramce",Players!$A$1:$R$1,0))+PozycjeŚr!Q$9*INDEX(Zawodnicy[],MATCH($A6,Players!$A$2:$A$100,0),MATCH("Panowanie",Players!$A$1:$R$1,0))+PozycjeŚr!Q$10*INDEX(Zawodnicy[],MATCH($A6,Players!$A$2:$A$100,0),MATCH("Odbiór piłki",Players!$A$1:$R$1,0))+PozycjeŚr!Q$11*INDEX(Zawodnicy[],MATCH($A6,Players!$A$2:$A$100,0),MATCH("Podania górą",Players!$A$1:$R$1,0))</f>
        <v>#N/A</v>
      </c>
      <c r="G6" s="16" t="e">
        <f>PozycjeŚr!R$2*INDEX(Zawodnicy[],MATCH($A6,Players!$A$2:$A$100,0),MATCH("Szybkość",Players!$A$1:$R$1,0))+PozycjeŚr!R$3*INDEX(Zawodnicy[],MATCH($A6,Players!$A$2:$A$100,0),MATCH("Kondycja",Players!$A$1:$R$1,0))+PozycjeŚr!R$4*INDEX(Zawodnicy[],MATCH($A6,Players!$A$2:$A$100,0),MATCH("Przegląd",Players!$A$1:$R$1,0))+PozycjeŚr!R$5*INDEX(Zawodnicy[],MATCH($A6,Players!$A$2:$A$100,0),MATCH("Podania dołem",Players!$A$1:$R$1,0))+PozycjeŚr!R$6*INDEX(Zawodnicy[],MATCH($A6,Players!$A$2:$A$100,0),MATCH("Strzał",Players!$A$1:$R$1,0))+PozycjeŚr!R$7*INDEX(Zawodnicy[],MATCH($A6,Players!$A$2:$A$100,0),MATCH("Gra głową",Players!$A$1:$R$1,0))+PozycjeŚr!R$8*INDEX(Zawodnicy[],MATCH($A6,Players!$A$2:$A$100,0),MATCH("Gra na bramce",Players!$A$1:$R$1,0))+PozycjeŚr!R$9*INDEX(Zawodnicy[],MATCH($A6,Players!$A$2:$A$100,0),MATCH("Panowanie",Players!$A$1:$R$1,0))+PozycjeŚr!R$10*INDEX(Zawodnicy[],MATCH($A6,Players!$A$2:$A$100,0),MATCH("Odbiór piłki",Players!$A$1:$R$1,0))+PozycjeŚr!R$11*INDEX(Zawodnicy[],MATCH($A6,Players!$A$2:$A$100,0),MATCH("Podania górą",Players!$A$1:$R$1,0))</f>
        <v>#N/A</v>
      </c>
      <c r="H6" s="16" t="e">
        <f>PozycjeŚr!S$2*INDEX(Zawodnicy[],MATCH($A6,Players!$A$2:$A$100,0),MATCH("Szybkość",Players!$A$1:$R$1,0))+PozycjeŚr!S$3*INDEX(Zawodnicy[],MATCH($A6,Players!$A$2:$A$100,0),MATCH("Kondycja",Players!$A$1:$R$1,0))+PozycjeŚr!S$4*INDEX(Zawodnicy[],MATCH($A6,Players!$A$2:$A$100,0),MATCH("Przegląd",Players!$A$1:$R$1,0))+PozycjeŚr!S$5*INDEX(Zawodnicy[],MATCH($A6,Players!$A$2:$A$100,0),MATCH("Podania dołem",Players!$A$1:$R$1,0))+PozycjeŚr!S$6*INDEX(Zawodnicy[],MATCH($A6,Players!$A$2:$A$100,0),MATCH("Strzał",Players!$A$1:$R$1,0))+PozycjeŚr!S$7*INDEX(Zawodnicy[],MATCH($A6,Players!$A$2:$A$100,0),MATCH("Gra głową",Players!$A$1:$R$1,0))+PozycjeŚr!S$8*INDEX(Zawodnicy[],MATCH($A6,Players!$A$2:$A$100,0),MATCH("Gra na bramce",Players!$A$1:$R$1,0))+PozycjeŚr!S$9*INDEX(Zawodnicy[],MATCH($A6,Players!$A$2:$A$100,0),MATCH("Panowanie",Players!$A$1:$R$1,0))+PozycjeŚr!S$10*INDEX(Zawodnicy[],MATCH($A6,Players!$A$2:$A$100,0),MATCH("Odbiór piłki",Players!$A$1:$R$1,0))+PozycjeŚr!S$11*INDEX(Zawodnicy[],MATCH($A6,Players!$A$2:$A$100,0),MATCH("Podania górą",Players!$A$1:$R$1,0))</f>
        <v>#N/A</v>
      </c>
      <c r="I6" s="16" t="e">
        <f>PozycjeŚr!T$2*INDEX(Zawodnicy[],MATCH($A6,Players!$A$2:$A$100,0),MATCH("Szybkość",Players!$A$1:$R$1,0))+PozycjeŚr!T$3*INDEX(Zawodnicy[],MATCH($A6,Players!$A$2:$A$100,0),MATCH("Kondycja",Players!$A$1:$R$1,0))+PozycjeŚr!T$4*INDEX(Zawodnicy[],MATCH($A6,Players!$A$2:$A$100,0),MATCH("Przegląd",Players!$A$1:$R$1,0))+PozycjeŚr!T$5*INDEX(Zawodnicy[],MATCH($A6,Players!$A$2:$A$100,0),MATCH("Podania dołem",Players!$A$1:$R$1,0))+PozycjeŚr!T$6*INDEX(Zawodnicy[],MATCH($A6,Players!$A$2:$A$100,0),MATCH("Strzał",Players!$A$1:$R$1,0))+PozycjeŚr!T$7*INDEX(Zawodnicy[],MATCH($A6,Players!$A$2:$A$100,0),MATCH("Gra głową",Players!$A$1:$R$1,0))+PozycjeŚr!T$8*INDEX(Zawodnicy[],MATCH($A6,Players!$A$2:$A$100,0),MATCH("Gra na bramce",Players!$A$1:$R$1,0))+PozycjeŚr!T$9*INDEX(Zawodnicy[],MATCH($A6,Players!$A$2:$A$100,0),MATCH("Panowanie",Players!$A$1:$R$1,0))+PozycjeŚr!T$10*INDEX(Zawodnicy[],MATCH($A6,Players!$A$2:$A$100,0),MATCH("Odbiór piłki",Players!$A$1:$R$1,0))+PozycjeŚr!T$11*INDEX(Zawodnicy[],MATCH($A6,Players!$A$2:$A$100,0),MATCH("Podania górą",Players!$A$1:$R$1,0))</f>
        <v>#N/A</v>
      </c>
      <c r="J6" s="16" t="e">
        <f>PozycjeŚr!U$2*INDEX(Zawodnicy[],MATCH($A6,Players!$A$2:$A$100,0),MATCH("Szybkość",Players!$A$1:$R$1,0))+PozycjeŚr!U$3*INDEX(Zawodnicy[],MATCH($A6,Players!$A$2:$A$100,0),MATCH("Kondycja",Players!$A$1:$R$1,0))+PozycjeŚr!U$4*INDEX(Zawodnicy[],MATCH($A6,Players!$A$2:$A$100,0),MATCH("Przegląd",Players!$A$1:$R$1,0))+PozycjeŚr!U$5*INDEX(Zawodnicy[],MATCH($A6,Players!$A$2:$A$100,0),MATCH("Podania dołem",Players!$A$1:$R$1,0))+PozycjeŚr!U$6*INDEX(Zawodnicy[],MATCH($A6,Players!$A$2:$A$100,0),MATCH("Strzał",Players!$A$1:$R$1,0))+PozycjeŚr!U$7*INDEX(Zawodnicy[],MATCH($A6,Players!$A$2:$A$100,0),MATCH("Gra głową",Players!$A$1:$R$1,0))+PozycjeŚr!U$8*INDEX(Zawodnicy[],MATCH($A6,Players!$A$2:$A$100,0),MATCH("Gra na bramce",Players!$A$1:$R$1,0))+PozycjeŚr!U$9*INDEX(Zawodnicy[],MATCH($A6,Players!$A$2:$A$100,0),MATCH("Panowanie",Players!$A$1:$R$1,0))+PozycjeŚr!U$10*INDEX(Zawodnicy[],MATCH($A6,Players!$A$2:$A$100,0),MATCH("Odbiór piłki",Players!$A$1:$R$1,0))+PozycjeŚr!U$11*INDEX(Zawodnicy[],MATCH($A6,Players!$A$2:$A$100,0),MATCH("Podania górą",Players!$A$1:$R$1,0))</f>
        <v>#N/A</v>
      </c>
      <c r="K6" s="16" t="e">
        <f>PozycjeŚr!V$2*INDEX(Zawodnicy[],MATCH($A6,Players!$A$2:$A$100,0),MATCH("Szybkość",Players!$A$1:$R$1,0))+PozycjeŚr!V$3*INDEX(Zawodnicy[],MATCH($A6,Players!$A$2:$A$100,0),MATCH("Kondycja",Players!$A$1:$R$1,0))+PozycjeŚr!V$4*INDEX(Zawodnicy[],MATCH($A6,Players!$A$2:$A$100,0),MATCH("Przegląd",Players!$A$1:$R$1,0))+PozycjeŚr!V$5*INDEX(Zawodnicy[],MATCH($A6,Players!$A$2:$A$100,0),MATCH("Podania dołem",Players!$A$1:$R$1,0))+PozycjeŚr!V$6*INDEX(Zawodnicy[],MATCH($A6,Players!$A$2:$A$100,0),MATCH("Strzał",Players!$A$1:$R$1,0))+PozycjeŚr!V$7*INDEX(Zawodnicy[],MATCH($A6,Players!$A$2:$A$100,0),MATCH("Gra głową",Players!$A$1:$R$1,0))+PozycjeŚr!V$8*INDEX(Zawodnicy[],MATCH($A6,Players!$A$2:$A$100,0),MATCH("Gra na bramce",Players!$A$1:$R$1,0))+PozycjeŚr!V$9*INDEX(Zawodnicy[],MATCH($A6,Players!$A$2:$A$100,0),MATCH("Panowanie",Players!$A$1:$R$1,0))+PozycjeŚr!V$10*INDEX(Zawodnicy[],MATCH($A6,Players!$A$2:$A$100,0),MATCH("Odbiór piłki",Players!$A$1:$R$1,0))+PozycjeŚr!V$11*INDEX(Zawodnicy[],MATCH($A6,Players!$A$2:$A$100,0),MATCH("Podania górą",Players!$A$1:$R$1,0))</f>
        <v>#N/A</v>
      </c>
      <c r="L6" s="16" t="e">
        <f>PozycjeŚr!W$2*INDEX(Zawodnicy[],MATCH($A6,Players!$A$2:$A$100,0),MATCH("Szybkość",Players!$A$1:$R$1,0))+PozycjeŚr!W$3*INDEX(Zawodnicy[],MATCH($A6,Players!$A$2:$A$100,0),MATCH("Kondycja",Players!$A$1:$R$1,0))+PozycjeŚr!W$4*INDEX(Zawodnicy[],MATCH($A6,Players!$A$2:$A$100,0),MATCH("Przegląd",Players!$A$1:$R$1,0))+PozycjeŚr!W$5*INDEX(Zawodnicy[],MATCH($A6,Players!$A$2:$A$100,0),MATCH("Podania dołem",Players!$A$1:$R$1,0))+PozycjeŚr!W$6*INDEX(Zawodnicy[],MATCH($A6,Players!$A$2:$A$100,0),MATCH("Strzał",Players!$A$1:$R$1,0))+PozycjeŚr!W$7*INDEX(Zawodnicy[],MATCH($A6,Players!$A$2:$A$100,0),MATCH("Gra głową",Players!$A$1:$R$1,0))+PozycjeŚr!W$8*INDEX(Zawodnicy[],MATCH($A6,Players!$A$2:$A$100,0),MATCH("Gra na bramce",Players!$A$1:$R$1,0))+PozycjeŚr!W$9*INDEX(Zawodnicy[],MATCH($A6,Players!$A$2:$A$100,0),MATCH("Panowanie",Players!$A$1:$R$1,0))+PozycjeŚr!W$10*INDEX(Zawodnicy[],MATCH($A6,Players!$A$2:$A$100,0),MATCH("Odbiór piłki",Players!$A$1:$R$1,0))+PozycjeŚr!W$11*INDEX(Zawodnicy[],MATCH($A6,Players!$A$2:$A$100,0),MATCH("Podania górą",Players!$A$1:$R$1,0))</f>
        <v>#N/A</v>
      </c>
    </row>
    <row r="7" spans="1:12" x14ac:dyDescent="0.25">
      <c r="A7" s="39">
        <f>IFERROR(Zawodnicy[[#This Row],[Number]],"-")</f>
        <v>8</v>
      </c>
      <c r="B7" t="str">
        <f>VLOOKUP(Radar[[#This Row],[Numer]],Zawodnicy[],2,FALSE)</f>
        <v>Cyryl Walec</v>
      </c>
      <c r="C7" s="16" t="e">
        <f>PozycjeŚr!N$2*INDEX(Zawodnicy[],MATCH($A7,Players!$A$2:$A$100,0),MATCH("Szybkość",Players!$A$1:$R$1,0))+PozycjeŚr!N$3*INDEX(Zawodnicy[],MATCH($A7,Players!$A$2:$A$100,0),MATCH("Kondycja",Players!$A$1:$R$1,0))+PozycjeŚr!N$4*INDEX(Zawodnicy[],MATCH($A7,Players!$A$2:$A$100,0),MATCH("Przegląd",Players!$A$1:$R$1,0))+PozycjeŚr!N$5*INDEX(Zawodnicy[],MATCH($A7,Players!$A$2:$A$100,0),MATCH("Podania dołem",Players!$A$1:$R$1,0))+PozycjeŚr!N$6*INDEX(Zawodnicy[],MATCH($A7,Players!$A$2:$A$100,0),MATCH("Strzał",Players!$A$1:$R$1,0))+PozycjeŚr!N$7*INDEX(Zawodnicy[],MATCH($A7,Players!$A$2:$A$100,0),MATCH("Gra głową",Players!$A$1:$R$1,0))+PozycjeŚr!N$8*INDEX(Zawodnicy[],MATCH($A7,Players!$A$2:$A$100,0),MATCH("Gra na bramce",Players!$A$1:$R$1,0))+PozycjeŚr!N$9*INDEX(Zawodnicy[],MATCH($A7,Players!$A$2:$A$100,0),MATCH("Panowanie",Players!$A$1:$R$1,0))+PozycjeŚr!N$10*INDEX(Zawodnicy[],MATCH($A7,Players!$A$2:$A$100,0),MATCH("Odbiór piłki",Players!$A$1:$R$1,0))+PozycjeŚr!N$11*INDEX(Zawodnicy[],MATCH($A7,Players!$A$2:$A$100,0),MATCH("Podania górą",Players!$A$1:$R$1,0))</f>
        <v>#N/A</v>
      </c>
      <c r="D7" s="16" t="e">
        <f>PozycjeŚr!O$2*INDEX(Zawodnicy[],MATCH($A7,Players!$A$2:$A$100,0),MATCH("Szybkość",Players!$A$1:$R$1,0))+PozycjeŚr!O$3*INDEX(Zawodnicy[],MATCH($A7,Players!$A$2:$A$100,0),MATCH("Kondycja",Players!$A$1:$R$1,0))+PozycjeŚr!O$4*INDEX(Zawodnicy[],MATCH($A7,Players!$A$2:$A$100,0),MATCH("Przegląd",Players!$A$1:$R$1,0))+PozycjeŚr!O$5*INDEX(Zawodnicy[],MATCH($A7,Players!$A$2:$A$100,0),MATCH("Podania dołem",Players!$A$1:$R$1,0))+PozycjeŚr!O$6*INDEX(Zawodnicy[],MATCH($A7,Players!$A$2:$A$100,0),MATCH("Strzał",Players!$A$1:$R$1,0))+PozycjeŚr!O$7*INDEX(Zawodnicy[],MATCH($A7,Players!$A$2:$A$100,0),MATCH("Gra głową",Players!$A$1:$R$1,0))+PozycjeŚr!O$8*INDEX(Zawodnicy[],MATCH($A7,Players!$A$2:$A$100,0),MATCH("Gra na bramce",Players!$A$1:$R$1,0))+PozycjeŚr!O$9*INDEX(Zawodnicy[],MATCH($A7,Players!$A$2:$A$100,0),MATCH("Panowanie",Players!$A$1:$R$1,0))+PozycjeŚr!O$10*INDEX(Zawodnicy[],MATCH($A7,Players!$A$2:$A$100,0),MATCH("Odbiór piłki",Players!$A$1:$R$1,0))+PozycjeŚr!O$11*INDEX(Zawodnicy[],MATCH($A7,Players!$A$2:$A$100,0),MATCH("Podania górą",Players!$A$1:$R$1,0))</f>
        <v>#N/A</v>
      </c>
      <c r="E7" s="16" t="e">
        <f>PozycjeŚr!P$2*INDEX(Zawodnicy[],MATCH($A7,Players!$A$2:$A$100,0),MATCH("Szybkość",Players!$A$1:$R$1,0))+PozycjeŚr!P$3*INDEX(Zawodnicy[],MATCH($A7,Players!$A$2:$A$100,0),MATCH("Kondycja",Players!$A$1:$R$1,0))+PozycjeŚr!P$4*INDEX(Zawodnicy[],MATCH($A7,Players!$A$2:$A$100,0),MATCH("Przegląd",Players!$A$1:$R$1,0))+PozycjeŚr!P$5*INDEX(Zawodnicy[],MATCH($A7,Players!$A$2:$A$100,0),MATCH("Podania dołem",Players!$A$1:$R$1,0))+PozycjeŚr!P$6*INDEX(Zawodnicy[],MATCH($A7,Players!$A$2:$A$100,0),MATCH("Strzał",Players!$A$1:$R$1,0))+PozycjeŚr!P$7*INDEX(Zawodnicy[],MATCH($A7,Players!$A$2:$A$100,0),MATCH("Gra głową",Players!$A$1:$R$1,0))+PozycjeŚr!P$8*INDEX(Zawodnicy[],MATCH($A7,Players!$A$2:$A$100,0),MATCH("Gra na bramce",Players!$A$1:$R$1,0))+PozycjeŚr!P$9*INDEX(Zawodnicy[],MATCH($A7,Players!$A$2:$A$100,0),MATCH("Panowanie",Players!$A$1:$R$1,0))+PozycjeŚr!P$10*INDEX(Zawodnicy[],MATCH($A7,Players!$A$2:$A$100,0),MATCH("Odbiór piłki",Players!$A$1:$R$1,0))+PozycjeŚr!P$11*INDEX(Zawodnicy[],MATCH($A7,Players!$A$2:$A$100,0),MATCH("Podania górą",Players!$A$1:$R$1,0))</f>
        <v>#N/A</v>
      </c>
      <c r="F7" s="16" t="e">
        <f>PozycjeŚr!Q$2*INDEX(Zawodnicy[],MATCH($A7,Players!$A$2:$A$100,0),MATCH("Szybkość",Players!$A$1:$R$1,0))+PozycjeŚr!Q$3*INDEX(Zawodnicy[],MATCH($A7,Players!$A$2:$A$100,0),MATCH("Kondycja",Players!$A$1:$R$1,0))+PozycjeŚr!Q$4*INDEX(Zawodnicy[],MATCH($A7,Players!$A$2:$A$100,0),MATCH("Przegląd",Players!$A$1:$R$1,0))+PozycjeŚr!Q$5*INDEX(Zawodnicy[],MATCH($A7,Players!$A$2:$A$100,0),MATCH("Podania dołem",Players!$A$1:$R$1,0))+PozycjeŚr!Q$6*INDEX(Zawodnicy[],MATCH($A7,Players!$A$2:$A$100,0),MATCH("Strzał",Players!$A$1:$R$1,0))+PozycjeŚr!Q$7*INDEX(Zawodnicy[],MATCH($A7,Players!$A$2:$A$100,0),MATCH("Gra głową",Players!$A$1:$R$1,0))+PozycjeŚr!Q$8*INDEX(Zawodnicy[],MATCH($A7,Players!$A$2:$A$100,0),MATCH("Gra na bramce",Players!$A$1:$R$1,0))+PozycjeŚr!Q$9*INDEX(Zawodnicy[],MATCH($A7,Players!$A$2:$A$100,0),MATCH("Panowanie",Players!$A$1:$R$1,0))+PozycjeŚr!Q$10*INDEX(Zawodnicy[],MATCH($A7,Players!$A$2:$A$100,0),MATCH("Odbiór piłki",Players!$A$1:$R$1,0))+PozycjeŚr!Q$11*INDEX(Zawodnicy[],MATCH($A7,Players!$A$2:$A$100,0),MATCH("Podania górą",Players!$A$1:$R$1,0))</f>
        <v>#N/A</v>
      </c>
      <c r="G7" s="16" t="e">
        <f>PozycjeŚr!R$2*INDEX(Zawodnicy[],MATCH($A7,Players!$A$2:$A$100,0),MATCH("Szybkość",Players!$A$1:$R$1,0))+PozycjeŚr!R$3*INDEX(Zawodnicy[],MATCH($A7,Players!$A$2:$A$100,0),MATCH("Kondycja",Players!$A$1:$R$1,0))+PozycjeŚr!R$4*INDEX(Zawodnicy[],MATCH($A7,Players!$A$2:$A$100,0),MATCH("Przegląd",Players!$A$1:$R$1,0))+PozycjeŚr!R$5*INDEX(Zawodnicy[],MATCH($A7,Players!$A$2:$A$100,0),MATCH("Podania dołem",Players!$A$1:$R$1,0))+PozycjeŚr!R$6*INDEX(Zawodnicy[],MATCH($A7,Players!$A$2:$A$100,0),MATCH("Strzał",Players!$A$1:$R$1,0))+PozycjeŚr!R$7*INDEX(Zawodnicy[],MATCH($A7,Players!$A$2:$A$100,0),MATCH("Gra głową",Players!$A$1:$R$1,0))+PozycjeŚr!R$8*INDEX(Zawodnicy[],MATCH($A7,Players!$A$2:$A$100,0),MATCH("Gra na bramce",Players!$A$1:$R$1,0))+PozycjeŚr!R$9*INDEX(Zawodnicy[],MATCH($A7,Players!$A$2:$A$100,0),MATCH("Panowanie",Players!$A$1:$R$1,0))+PozycjeŚr!R$10*INDEX(Zawodnicy[],MATCH($A7,Players!$A$2:$A$100,0),MATCH("Odbiór piłki",Players!$A$1:$R$1,0))+PozycjeŚr!R$11*INDEX(Zawodnicy[],MATCH($A7,Players!$A$2:$A$100,0),MATCH("Podania górą",Players!$A$1:$R$1,0))</f>
        <v>#N/A</v>
      </c>
      <c r="H7" s="16" t="e">
        <f>PozycjeŚr!S$2*INDEX(Zawodnicy[],MATCH($A7,Players!$A$2:$A$100,0),MATCH("Szybkość",Players!$A$1:$R$1,0))+PozycjeŚr!S$3*INDEX(Zawodnicy[],MATCH($A7,Players!$A$2:$A$100,0),MATCH("Kondycja",Players!$A$1:$R$1,0))+PozycjeŚr!S$4*INDEX(Zawodnicy[],MATCH($A7,Players!$A$2:$A$100,0),MATCH("Przegląd",Players!$A$1:$R$1,0))+PozycjeŚr!S$5*INDEX(Zawodnicy[],MATCH($A7,Players!$A$2:$A$100,0),MATCH("Podania dołem",Players!$A$1:$R$1,0))+PozycjeŚr!S$6*INDEX(Zawodnicy[],MATCH($A7,Players!$A$2:$A$100,0),MATCH("Strzał",Players!$A$1:$R$1,0))+PozycjeŚr!S$7*INDEX(Zawodnicy[],MATCH($A7,Players!$A$2:$A$100,0),MATCH("Gra głową",Players!$A$1:$R$1,0))+PozycjeŚr!S$8*INDEX(Zawodnicy[],MATCH($A7,Players!$A$2:$A$100,0),MATCH("Gra na bramce",Players!$A$1:$R$1,0))+PozycjeŚr!S$9*INDEX(Zawodnicy[],MATCH($A7,Players!$A$2:$A$100,0),MATCH("Panowanie",Players!$A$1:$R$1,0))+PozycjeŚr!S$10*INDEX(Zawodnicy[],MATCH($A7,Players!$A$2:$A$100,0),MATCH("Odbiór piłki",Players!$A$1:$R$1,0))+PozycjeŚr!S$11*INDEX(Zawodnicy[],MATCH($A7,Players!$A$2:$A$100,0),MATCH("Podania górą",Players!$A$1:$R$1,0))</f>
        <v>#N/A</v>
      </c>
      <c r="I7" s="16" t="e">
        <f>PozycjeŚr!T$2*INDEX(Zawodnicy[],MATCH($A7,Players!$A$2:$A$100,0),MATCH("Szybkość",Players!$A$1:$R$1,0))+PozycjeŚr!T$3*INDEX(Zawodnicy[],MATCH($A7,Players!$A$2:$A$100,0),MATCH("Kondycja",Players!$A$1:$R$1,0))+PozycjeŚr!T$4*INDEX(Zawodnicy[],MATCH($A7,Players!$A$2:$A$100,0),MATCH("Przegląd",Players!$A$1:$R$1,0))+PozycjeŚr!T$5*INDEX(Zawodnicy[],MATCH($A7,Players!$A$2:$A$100,0),MATCH("Podania dołem",Players!$A$1:$R$1,0))+PozycjeŚr!T$6*INDEX(Zawodnicy[],MATCH($A7,Players!$A$2:$A$100,0),MATCH("Strzał",Players!$A$1:$R$1,0))+PozycjeŚr!T$7*INDEX(Zawodnicy[],MATCH($A7,Players!$A$2:$A$100,0),MATCH("Gra głową",Players!$A$1:$R$1,0))+PozycjeŚr!T$8*INDEX(Zawodnicy[],MATCH($A7,Players!$A$2:$A$100,0),MATCH("Gra na bramce",Players!$A$1:$R$1,0))+PozycjeŚr!T$9*INDEX(Zawodnicy[],MATCH($A7,Players!$A$2:$A$100,0),MATCH("Panowanie",Players!$A$1:$R$1,0))+PozycjeŚr!T$10*INDEX(Zawodnicy[],MATCH($A7,Players!$A$2:$A$100,0),MATCH("Odbiór piłki",Players!$A$1:$R$1,0))+PozycjeŚr!T$11*INDEX(Zawodnicy[],MATCH($A7,Players!$A$2:$A$100,0),MATCH("Podania górą",Players!$A$1:$R$1,0))</f>
        <v>#N/A</v>
      </c>
      <c r="J7" s="16" t="e">
        <f>PozycjeŚr!U$2*INDEX(Zawodnicy[],MATCH($A7,Players!$A$2:$A$100,0),MATCH("Szybkość",Players!$A$1:$R$1,0))+PozycjeŚr!U$3*INDEX(Zawodnicy[],MATCH($A7,Players!$A$2:$A$100,0),MATCH("Kondycja",Players!$A$1:$R$1,0))+PozycjeŚr!U$4*INDEX(Zawodnicy[],MATCH($A7,Players!$A$2:$A$100,0),MATCH("Przegląd",Players!$A$1:$R$1,0))+PozycjeŚr!U$5*INDEX(Zawodnicy[],MATCH($A7,Players!$A$2:$A$100,0),MATCH("Podania dołem",Players!$A$1:$R$1,0))+PozycjeŚr!U$6*INDEX(Zawodnicy[],MATCH($A7,Players!$A$2:$A$100,0),MATCH("Strzał",Players!$A$1:$R$1,0))+PozycjeŚr!U$7*INDEX(Zawodnicy[],MATCH($A7,Players!$A$2:$A$100,0),MATCH("Gra głową",Players!$A$1:$R$1,0))+PozycjeŚr!U$8*INDEX(Zawodnicy[],MATCH($A7,Players!$A$2:$A$100,0),MATCH("Gra na bramce",Players!$A$1:$R$1,0))+PozycjeŚr!U$9*INDEX(Zawodnicy[],MATCH($A7,Players!$A$2:$A$100,0),MATCH("Panowanie",Players!$A$1:$R$1,0))+PozycjeŚr!U$10*INDEX(Zawodnicy[],MATCH($A7,Players!$A$2:$A$100,0),MATCH("Odbiór piłki",Players!$A$1:$R$1,0))+PozycjeŚr!U$11*INDEX(Zawodnicy[],MATCH($A7,Players!$A$2:$A$100,0),MATCH("Podania górą",Players!$A$1:$R$1,0))</f>
        <v>#N/A</v>
      </c>
      <c r="K7" s="16" t="e">
        <f>PozycjeŚr!V$2*INDEX(Zawodnicy[],MATCH($A7,Players!$A$2:$A$100,0),MATCH("Szybkość",Players!$A$1:$R$1,0))+PozycjeŚr!V$3*INDEX(Zawodnicy[],MATCH($A7,Players!$A$2:$A$100,0),MATCH("Kondycja",Players!$A$1:$R$1,0))+PozycjeŚr!V$4*INDEX(Zawodnicy[],MATCH($A7,Players!$A$2:$A$100,0),MATCH("Przegląd",Players!$A$1:$R$1,0))+PozycjeŚr!V$5*INDEX(Zawodnicy[],MATCH($A7,Players!$A$2:$A$100,0),MATCH("Podania dołem",Players!$A$1:$R$1,0))+PozycjeŚr!V$6*INDEX(Zawodnicy[],MATCH($A7,Players!$A$2:$A$100,0),MATCH("Strzał",Players!$A$1:$R$1,0))+PozycjeŚr!V$7*INDEX(Zawodnicy[],MATCH($A7,Players!$A$2:$A$100,0),MATCH("Gra głową",Players!$A$1:$R$1,0))+PozycjeŚr!V$8*INDEX(Zawodnicy[],MATCH($A7,Players!$A$2:$A$100,0),MATCH("Gra na bramce",Players!$A$1:$R$1,0))+PozycjeŚr!V$9*INDEX(Zawodnicy[],MATCH($A7,Players!$A$2:$A$100,0),MATCH("Panowanie",Players!$A$1:$R$1,0))+PozycjeŚr!V$10*INDEX(Zawodnicy[],MATCH($A7,Players!$A$2:$A$100,0),MATCH("Odbiór piłki",Players!$A$1:$R$1,0))+PozycjeŚr!V$11*INDEX(Zawodnicy[],MATCH($A7,Players!$A$2:$A$100,0),MATCH("Podania górą",Players!$A$1:$R$1,0))</f>
        <v>#N/A</v>
      </c>
      <c r="L7" s="16" t="e">
        <f>PozycjeŚr!W$2*INDEX(Zawodnicy[],MATCH($A7,Players!$A$2:$A$100,0),MATCH("Szybkość",Players!$A$1:$R$1,0))+PozycjeŚr!W$3*INDEX(Zawodnicy[],MATCH($A7,Players!$A$2:$A$100,0),MATCH("Kondycja",Players!$A$1:$R$1,0))+PozycjeŚr!W$4*INDEX(Zawodnicy[],MATCH($A7,Players!$A$2:$A$100,0),MATCH("Przegląd",Players!$A$1:$R$1,0))+PozycjeŚr!W$5*INDEX(Zawodnicy[],MATCH($A7,Players!$A$2:$A$100,0),MATCH("Podania dołem",Players!$A$1:$R$1,0))+PozycjeŚr!W$6*INDEX(Zawodnicy[],MATCH($A7,Players!$A$2:$A$100,0),MATCH("Strzał",Players!$A$1:$R$1,0))+PozycjeŚr!W$7*INDEX(Zawodnicy[],MATCH($A7,Players!$A$2:$A$100,0),MATCH("Gra głową",Players!$A$1:$R$1,0))+PozycjeŚr!W$8*INDEX(Zawodnicy[],MATCH($A7,Players!$A$2:$A$100,0),MATCH("Gra na bramce",Players!$A$1:$R$1,0))+PozycjeŚr!W$9*INDEX(Zawodnicy[],MATCH($A7,Players!$A$2:$A$100,0),MATCH("Panowanie",Players!$A$1:$R$1,0))+PozycjeŚr!W$10*INDEX(Zawodnicy[],MATCH($A7,Players!$A$2:$A$100,0),MATCH("Odbiór piłki",Players!$A$1:$R$1,0))+PozycjeŚr!W$11*INDEX(Zawodnicy[],MATCH($A7,Players!$A$2:$A$100,0),MATCH("Podania górą",Players!$A$1:$R$1,0))</f>
        <v>#N/A</v>
      </c>
    </row>
    <row r="8" spans="1:12" x14ac:dyDescent="0.25">
      <c r="A8" s="39">
        <f>IFERROR(Zawodnicy[[#This Row],[Number]],"-")</f>
        <v>9</v>
      </c>
      <c r="B8" t="str">
        <f>VLOOKUP(Radar[[#This Row],[Numer]],Zawodnicy[],2,FALSE)</f>
        <v>Kajetan Grabowicz</v>
      </c>
      <c r="C8" s="16" t="e">
        <f>PozycjeŚr!N$2*INDEX(Zawodnicy[],MATCH($A8,Players!$A$2:$A$100,0),MATCH("Szybkość",Players!$A$1:$R$1,0))+PozycjeŚr!N$3*INDEX(Zawodnicy[],MATCH($A8,Players!$A$2:$A$100,0),MATCH("Kondycja",Players!$A$1:$R$1,0))+PozycjeŚr!N$4*INDEX(Zawodnicy[],MATCH($A8,Players!$A$2:$A$100,0),MATCH("Przegląd",Players!$A$1:$R$1,0))+PozycjeŚr!N$5*INDEX(Zawodnicy[],MATCH($A8,Players!$A$2:$A$100,0),MATCH("Podania dołem",Players!$A$1:$R$1,0))+PozycjeŚr!N$6*INDEX(Zawodnicy[],MATCH($A8,Players!$A$2:$A$100,0),MATCH("Strzał",Players!$A$1:$R$1,0))+PozycjeŚr!N$7*INDEX(Zawodnicy[],MATCH($A8,Players!$A$2:$A$100,0),MATCH("Gra głową",Players!$A$1:$R$1,0))+PozycjeŚr!N$8*INDEX(Zawodnicy[],MATCH($A8,Players!$A$2:$A$100,0),MATCH("Gra na bramce",Players!$A$1:$R$1,0))+PozycjeŚr!N$9*INDEX(Zawodnicy[],MATCH($A8,Players!$A$2:$A$100,0),MATCH("Panowanie",Players!$A$1:$R$1,0))+PozycjeŚr!N$10*INDEX(Zawodnicy[],MATCH($A8,Players!$A$2:$A$100,0),MATCH("Odbiór piłki",Players!$A$1:$R$1,0))+PozycjeŚr!N$11*INDEX(Zawodnicy[],MATCH($A8,Players!$A$2:$A$100,0),MATCH("Podania górą",Players!$A$1:$R$1,0))</f>
        <v>#N/A</v>
      </c>
      <c r="D8" s="16" t="e">
        <f>PozycjeŚr!O$2*INDEX(Zawodnicy[],MATCH($A8,Players!$A$2:$A$100,0),MATCH("Szybkość",Players!$A$1:$R$1,0))+PozycjeŚr!O$3*INDEX(Zawodnicy[],MATCH($A8,Players!$A$2:$A$100,0),MATCH("Kondycja",Players!$A$1:$R$1,0))+PozycjeŚr!O$4*INDEX(Zawodnicy[],MATCH($A8,Players!$A$2:$A$100,0),MATCH("Przegląd",Players!$A$1:$R$1,0))+PozycjeŚr!O$5*INDEX(Zawodnicy[],MATCH($A8,Players!$A$2:$A$100,0),MATCH("Podania dołem",Players!$A$1:$R$1,0))+PozycjeŚr!O$6*INDEX(Zawodnicy[],MATCH($A8,Players!$A$2:$A$100,0),MATCH("Strzał",Players!$A$1:$R$1,0))+PozycjeŚr!O$7*INDEX(Zawodnicy[],MATCH($A8,Players!$A$2:$A$100,0),MATCH("Gra głową",Players!$A$1:$R$1,0))+PozycjeŚr!O$8*INDEX(Zawodnicy[],MATCH($A8,Players!$A$2:$A$100,0),MATCH("Gra na bramce",Players!$A$1:$R$1,0))+PozycjeŚr!O$9*INDEX(Zawodnicy[],MATCH($A8,Players!$A$2:$A$100,0),MATCH("Panowanie",Players!$A$1:$R$1,0))+PozycjeŚr!O$10*INDEX(Zawodnicy[],MATCH($A8,Players!$A$2:$A$100,0),MATCH("Odbiór piłki",Players!$A$1:$R$1,0))+PozycjeŚr!O$11*INDEX(Zawodnicy[],MATCH($A8,Players!$A$2:$A$100,0),MATCH("Podania górą",Players!$A$1:$R$1,0))</f>
        <v>#N/A</v>
      </c>
      <c r="E8" s="16" t="e">
        <f>PozycjeŚr!P$2*INDEX(Zawodnicy[],MATCH($A8,Players!$A$2:$A$100,0),MATCH("Szybkość",Players!$A$1:$R$1,0))+PozycjeŚr!P$3*INDEX(Zawodnicy[],MATCH($A8,Players!$A$2:$A$100,0),MATCH("Kondycja",Players!$A$1:$R$1,0))+PozycjeŚr!P$4*INDEX(Zawodnicy[],MATCH($A8,Players!$A$2:$A$100,0),MATCH("Przegląd",Players!$A$1:$R$1,0))+PozycjeŚr!P$5*INDEX(Zawodnicy[],MATCH($A8,Players!$A$2:$A$100,0),MATCH("Podania dołem",Players!$A$1:$R$1,0))+PozycjeŚr!P$6*INDEX(Zawodnicy[],MATCH($A8,Players!$A$2:$A$100,0),MATCH("Strzał",Players!$A$1:$R$1,0))+PozycjeŚr!P$7*INDEX(Zawodnicy[],MATCH($A8,Players!$A$2:$A$100,0),MATCH("Gra głową",Players!$A$1:$R$1,0))+PozycjeŚr!P$8*INDEX(Zawodnicy[],MATCH($A8,Players!$A$2:$A$100,0),MATCH("Gra na bramce",Players!$A$1:$R$1,0))+PozycjeŚr!P$9*INDEX(Zawodnicy[],MATCH($A8,Players!$A$2:$A$100,0),MATCH("Panowanie",Players!$A$1:$R$1,0))+PozycjeŚr!P$10*INDEX(Zawodnicy[],MATCH($A8,Players!$A$2:$A$100,0),MATCH("Odbiór piłki",Players!$A$1:$R$1,0))+PozycjeŚr!P$11*INDEX(Zawodnicy[],MATCH($A8,Players!$A$2:$A$100,0),MATCH("Podania górą",Players!$A$1:$R$1,0))</f>
        <v>#N/A</v>
      </c>
      <c r="F8" s="16" t="e">
        <f>PozycjeŚr!Q$2*INDEX(Zawodnicy[],MATCH($A8,Players!$A$2:$A$100,0),MATCH("Szybkość",Players!$A$1:$R$1,0))+PozycjeŚr!Q$3*INDEX(Zawodnicy[],MATCH($A8,Players!$A$2:$A$100,0),MATCH("Kondycja",Players!$A$1:$R$1,0))+PozycjeŚr!Q$4*INDEX(Zawodnicy[],MATCH($A8,Players!$A$2:$A$100,0),MATCH("Przegląd",Players!$A$1:$R$1,0))+PozycjeŚr!Q$5*INDEX(Zawodnicy[],MATCH($A8,Players!$A$2:$A$100,0),MATCH("Podania dołem",Players!$A$1:$R$1,0))+PozycjeŚr!Q$6*INDEX(Zawodnicy[],MATCH($A8,Players!$A$2:$A$100,0),MATCH("Strzał",Players!$A$1:$R$1,0))+PozycjeŚr!Q$7*INDEX(Zawodnicy[],MATCH($A8,Players!$A$2:$A$100,0),MATCH("Gra głową",Players!$A$1:$R$1,0))+PozycjeŚr!Q$8*INDEX(Zawodnicy[],MATCH($A8,Players!$A$2:$A$100,0),MATCH("Gra na bramce",Players!$A$1:$R$1,0))+PozycjeŚr!Q$9*INDEX(Zawodnicy[],MATCH($A8,Players!$A$2:$A$100,0),MATCH("Panowanie",Players!$A$1:$R$1,0))+PozycjeŚr!Q$10*INDEX(Zawodnicy[],MATCH($A8,Players!$A$2:$A$100,0),MATCH("Odbiór piłki",Players!$A$1:$R$1,0))+PozycjeŚr!Q$11*INDEX(Zawodnicy[],MATCH($A8,Players!$A$2:$A$100,0),MATCH("Podania górą",Players!$A$1:$R$1,0))</f>
        <v>#N/A</v>
      </c>
      <c r="G8" s="16" t="e">
        <f>PozycjeŚr!R$2*INDEX(Zawodnicy[],MATCH($A8,Players!$A$2:$A$100,0),MATCH("Szybkość",Players!$A$1:$R$1,0))+PozycjeŚr!R$3*INDEX(Zawodnicy[],MATCH($A8,Players!$A$2:$A$100,0),MATCH("Kondycja",Players!$A$1:$R$1,0))+PozycjeŚr!R$4*INDEX(Zawodnicy[],MATCH($A8,Players!$A$2:$A$100,0),MATCH("Przegląd",Players!$A$1:$R$1,0))+PozycjeŚr!R$5*INDEX(Zawodnicy[],MATCH($A8,Players!$A$2:$A$100,0),MATCH("Podania dołem",Players!$A$1:$R$1,0))+PozycjeŚr!R$6*INDEX(Zawodnicy[],MATCH($A8,Players!$A$2:$A$100,0),MATCH("Strzał",Players!$A$1:$R$1,0))+PozycjeŚr!R$7*INDEX(Zawodnicy[],MATCH($A8,Players!$A$2:$A$100,0),MATCH("Gra głową",Players!$A$1:$R$1,0))+PozycjeŚr!R$8*INDEX(Zawodnicy[],MATCH($A8,Players!$A$2:$A$100,0),MATCH("Gra na bramce",Players!$A$1:$R$1,0))+PozycjeŚr!R$9*INDEX(Zawodnicy[],MATCH($A8,Players!$A$2:$A$100,0),MATCH("Panowanie",Players!$A$1:$R$1,0))+PozycjeŚr!R$10*INDEX(Zawodnicy[],MATCH($A8,Players!$A$2:$A$100,0),MATCH("Odbiór piłki",Players!$A$1:$R$1,0))+PozycjeŚr!R$11*INDEX(Zawodnicy[],MATCH($A8,Players!$A$2:$A$100,0),MATCH("Podania górą",Players!$A$1:$R$1,0))</f>
        <v>#N/A</v>
      </c>
      <c r="H8" s="16" t="e">
        <f>PozycjeŚr!S$2*INDEX(Zawodnicy[],MATCH($A8,Players!$A$2:$A$100,0),MATCH("Szybkość",Players!$A$1:$R$1,0))+PozycjeŚr!S$3*INDEX(Zawodnicy[],MATCH($A8,Players!$A$2:$A$100,0),MATCH("Kondycja",Players!$A$1:$R$1,0))+PozycjeŚr!S$4*INDEX(Zawodnicy[],MATCH($A8,Players!$A$2:$A$100,0),MATCH("Przegląd",Players!$A$1:$R$1,0))+PozycjeŚr!S$5*INDEX(Zawodnicy[],MATCH($A8,Players!$A$2:$A$100,0),MATCH("Podania dołem",Players!$A$1:$R$1,0))+PozycjeŚr!S$6*INDEX(Zawodnicy[],MATCH($A8,Players!$A$2:$A$100,0),MATCH("Strzał",Players!$A$1:$R$1,0))+PozycjeŚr!S$7*INDEX(Zawodnicy[],MATCH($A8,Players!$A$2:$A$100,0),MATCH("Gra głową",Players!$A$1:$R$1,0))+PozycjeŚr!S$8*INDEX(Zawodnicy[],MATCH($A8,Players!$A$2:$A$100,0),MATCH("Gra na bramce",Players!$A$1:$R$1,0))+PozycjeŚr!S$9*INDEX(Zawodnicy[],MATCH($A8,Players!$A$2:$A$100,0),MATCH("Panowanie",Players!$A$1:$R$1,0))+PozycjeŚr!S$10*INDEX(Zawodnicy[],MATCH($A8,Players!$A$2:$A$100,0),MATCH("Odbiór piłki",Players!$A$1:$R$1,0))+PozycjeŚr!S$11*INDEX(Zawodnicy[],MATCH($A8,Players!$A$2:$A$100,0),MATCH("Podania górą",Players!$A$1:$R$1,0))</f>
        <v>#N/A</v>
      </c>
      <c r="I8" s="16" t="e">
        <f>PozycjeŚr!T$2*INDEX(Zawodnicy[],MATCH($A8,Players!$A$2:$A$100,0),MATCH("Szybkość",Players!$A$1:$R$1,0))+PozycjeŚr!T$3*INDEX(Zawodnicy[],MATCH($A8,Players!$A$2:$A$100,0),MATCH("Kondycja",Players!$A$1:$R$1,0))+PozycjeŚr!T$4*INDEX(Zawodnicy[],MATCH($A8,Players!$A$2:$A$100,0),MATCH("Przegląd",Players!$A$1:$R$1,0))+PozycjeŚr!T$5*INDEX(Zawodnicy[],MATCH($A8,Players!$A$2:$A$100,0),MATCH("Podania dołem",Players!$A$1:$R$1,0))+PozycjeŚr!T$6*INDEX(Zawodnicy[],MATCH($A8,Players!$A$2:$A$100,0),MATCH("Strzał",Players!$A$1:$R$1,0))+PozycjeŚr!T$7*INDEX(Zawodnicy[],MATCH($A8,Players!$A$2:$A$100,0),MATCH("Gra głową",Players!$A$1:$R$1,0))+PozycjeŚr!T$8*INDEX(Zawodnicy[],MATCH($A8,Players!$A$2:$A$100,0),MATCH("Gra na bramce",Players!$A$1:$R$1,0))+PozycjeŚr!T$9*INDEX(Zawodnicy[],MATCH($A8,Players!$A$2:$A$100,0),MATCH("Panowanie",Players!$A$1:$R$1,0))+PozycjeŚr!T$10*INDEX(Zawodnicy[],MATCH($A8,Players!$A$2:$A$100,0),MATCH("Odbiór piłki",Players!$A$1:$R$1,0))+PozycjeŚr!T$11*INDEX(Zawodnicy[],MATCH($A8,Players!$A$2:$A$100,0),MATCH("Podania górą",Players!$A$1:$R$1,0))</f>
        <v>#N/A</v>
      </c>
      <c r="J8" s="16" t="e">
        <f>PozycjeŚr!U$2*INDEX(Zawodnicy[],MATCH($A8,Players!$A$2:$A$100,0),MATCH("Szybkość",Players!$A$1:$R$1,0))+PozycjeŚr!U$3*INDEX(Zawodnicy[],MATCH($A8,Players!$A$2:$A$100,0),MATCH("Kondycja",Players!$A$1:$R$1,0))+PozycjeŚr!U$4*INDEX(Zawodnicy[],MATCH($A8,Players!$A$2:$A$100,0),MATCH("Przegląd",Players!$A$1:$R$1,0))+PozycjeŚr!U$5*INDEX(Zawodnicy[],MATCH($A8,Players!$A$2:$A$100,0),MATCH("Podania dołem",Players!$A$1:$R$1,0))+PozycjeŚr!U$6*INDEX(Zawodnicy[],MATCH($A8,Players!$A$2:$A$100,0),MATCH("Strzał",Players!$A$1:$R$1,0))+PozycjeŚr!U$7*INDEX(Zawodnicy[],MATCH($A8,Players!$A$2:$A$100,0),MATCH("Gra głową",Players!$A$1:$R$1,0))+PozycjeŚr!U$8*INDEX(Zawodnicy[],MATCH($A8,Players!$A$2:$A$100,0),MATCH("Gra na bramce",Players!$A$1:$R$1,0))+PozycjeŚr!U$9*INDEX(Zawodnicy[],MATCH($A8,Players!$A$2:$A$100,0),MATCH("Panowanie",Players!$A$1:$R$1,0))+PozycjeŚr!U$10*INDEX(Zawodnicy[],MATCH($A8,Players!$A$2:$A$100,0),MATCH("Odbiór piłki",Players!$A$1:$R$1,0))+PozycjeŚr!U$11*INDEX(Zawodnicy[],MATCH($A8,Players!$A$2:$A$100,0),MATCH("Podania górą",Players!$A$1:$R$1,0))</f>
        <v>#N/A</v>
      </c>
      <c r="K8" s="16" t="e">
        <f>PozycjeŚr!V$2*INDEX(Zawodnicy[],MATCH($A8,Players!$A$2:$A$100,0),MATCH("Szybkość",Players!$A$1:$R$1,0))+PozycjeŚr!V$3*INDEX(Zawodnicy[],MATCH($A8,Players!$A$2:$A$100,0),MATCH("Kondycja",Players!$A$1:$R$1,0))+PozycjeŚr!V$4*INDEX(Zawodnicy[],MATCH($A8,Players!$A$2:$A$100,0),MATCH("Przegląd",Players!$A$1:$R$1,0))+PozycjeŚr!V$5*INDEX(Zawodnicy[],MATCH($A8,Players!$A$2:$A$100,0),MATCH("Podania dołem",Players!$A$1:$R$1,0))+PozycjeŚr!V$6*INDEX(Zawodnicy[],MATCH($A8,Players!$A$2:$A$100,0),MATCH("Strzał",Players!$A$1:$R$1,0))+PozycjeŚr!V$7*INDEX(Zawodnicy[],MATCH($A8,Players!$A$2:$A$100,0),MATCH("Gra głową",Players!$A$1:$R$1,0))+PozycjeŚr!V$8*INDEX(Zawodnicy[],MATCH($A8,Players!$A$2:$A$100,0),MATCH("Gra na bramce",Players!$A$1:$R$1,0))+PozycjeŚr!V$9*INDEX(Zawodnicy[],MATCH($A8,Players!$A$2:$A$100,0),MATCH("Panowanie",Players!$A$1:$R$1,0))+PozycjeŚr!V$10*INDEX(Zawodnicy[],MATCH($A8,Players!$A$2:$A$100,0),MATCH("Odbiór piłki",Players!$A$1:$R$1,0))+PozycjeŚr!V$11*INDEX(Zawodnicy[],MATCH($A8,Players!$A$2:$A$100,0),MATCH("Podania górą",Players!$A$1:$R$1,0))</f>
        <v>#N/A</v>
      </c>
      <c r="L8" s="16" t="e">
        <f>PozycjeŚr!W$2*INDEX(Zawodnicy[],MATCH($A8,Players!$A$2:$A$100,0),MATCH("Szybkość",Players!$A$1:$R$1,0))+PozycjeŚr!W$3*INDEX(Zawodnicy[],MATCH($A8,Players!$A$2:$A$100,0),MATCH("Kondycja",Players!$A$1:$R$1,0))+PozycjeŚr!W$4*INDEX(Zawodnicy[],MATCH($A8,Players!$A$2:$A$100,0),MATCH("Przegląd",Players!$A$1:$R$1,0))+PozycjeŚr!W$5*INDEX(Zawodnicy[],MATCH($A8,Players!$A$2:$A$100,0),MATCH("Podania dołem",Players!$A$1:$R$1,0))+PozycjeŚr!W$6*INDEX(Zawodnicy[],MATCH($A8,Players!$A$2:$A$100,0),MATCH("Strzał",Players!$A$1:$R$1,0))+PozycjeŚr!W$7*INDEX(Zawodnicy[],MATCH($A8,Players!$A$2:$A$100,0),MATCH("Gra głową",Players!$A$1:$R$1,0))+PozycjeŚr!W$8*INDEX(Zawodnicy[],MATCH($A8,Players!$A$2:$A$100,0),MATCH("Gra na bramce",Players!$A$1:$R$1,0))+PozycjeŚr!W$9*INDEX(Zawodnicy[],MATCH($A8,Players!$A$2:$A$100,0),MATCH("Panowanie",Players!$A$1:$R$1,0))+PozycjeŚr!W$10*INDEX(Zawodnicy[],MATCH($A8,Players!$A$2:$A$100,0),MATCH("Odbiór piłki",Players!$A$1:$R$1,0))+PozycjeŚr!W$11*INDEX(Zawodnicy[],MATCH($A8,Players!$A$2:$A$100,0),MATCH("Podania górą",Players!$A$1:$R$1,0))</f>
        <v>#N/A</v>
      </c>
    </row>
    <row r="9" spans="1:12" x14ac:dyDescent="0.25">
      <c r="A9" s="39">
        <f>IFERROR(Zawodnicy[[#This Row],[Number]],"-")</f>
        <v>11</v>
      </c>
      <c r="B9" t="str">
        <f>VLOOKUP(Radar[[#This Row],[Numer]],Zawodnicy[],2,FALSE)</f>
        <v>Roman Zakrzewski</v>
      </c>
      <c r="C9" s="16" t="e">
        <f>PozycjeŚr!N$2*INDEX(Zawodnicy[],MATCH($A9,Players!$A$2:$A$100,0),MATCH("Szybkość",Players!$A$1:$R$1,0))+PozycjeŚr!N$3*INDEX(Zawodnicy[],MATCH($A9,Players!$A$2:$A$100,0),MATCH("Kondycja",Players!$A$1:$R$1,0))+PozycjeŚr!N$4*INDEX(Zawodnicy[],MATCH($A9,Players!$A$2:$A$100,0),MATCH("Przegląd",Players!$A$1:$R$1,0))+PozycjeŚr!N$5*INDEX(Zawodnicy[],MATCH($A9,Players!$A$2:$A$100,0),MATCH("Podania dołem",Players!$A$1:$R$1,0))+PozycjeŚr!N$6*INDEX(Zawodnicy[],MATCH($A9,Players!$A$2:$A$100,0),MATCH("Strzał",Players!$A$1:$R$1,0))+PozycjeŚr!N$7*INDEX(Zawodnicy[],MATCH($A9,Players!$A$2:$A$100,0),MATCH("Gra głową",Players!$A$1:$R$1,0))+PozycjeŚr!N$8*INDEX(Zawodnicy[],MATCH($A9,Players!$A$2:$A$100,0),MATCH("Gra na bramce",Players!$A$1:$R$1,0))+PozycjeŚr!N$9*INDEX(Zawodnicy[],MATCH($A9,Players!$A$2:$A$100,0),MATCH("Panowanie",Players!$A$1:$R$1,0))+PozycjeŚr!N$10*INDEX(Zawodnicy[],MATCH($A9,Players!$A$2:$A$100,0),MATCH("Odbiór piłki",Players!$A$1:$R$1,0))+PozycjeŚr!N$11*INDEX(Zawodnicy[],MATCH($A9,Players!$A$2:$A$100,0),MATCH("Podania górą",Players!$A$1:$R$1,0))</f>
        <v>#N/A</v>
      </c>
      <c r="D9" s="16" t="e">
        <f>PozycjeŚr!O$2*INDEX(Zawodnicy[],MATCH($A9,Players!$A$2:$A$100,0),MATCH("Szybkość",Players!$A$1:$R$1,0))+PozycjeŚr!O$3*INDEX(Zawodnicy[],MATCH($A9,Players!$A$2:$A$100,0),MATCH("Kondycja",Players!$A$1:$R$1,0))+PozycjeŚr!O$4*INDEX(Zawodnicy[],MATCH($A9,Players!$A$2:$A$100,0),MATCH("Przegląd",Players!$A$1:$R$1,0))+PozycjeŚr!O$5*INDEX(Zawodnicy[],MATCH($A9,Players!$A$2:$A$100,0),MATCH("Podania dołem",Players!$A$1:$R$1,0))+PozycjeŚr!O$6*INDEX(Zawodnicy[],MATCH($A9,Players!$A$2:$A$100,0),MATCH("Strzał",Players!$A$1:$R$1,0))+PozycjeŚr!O$7*INDEX(Zawodnicy[],MATCH($A9,Players!$A$2:$A$100,0),MATCH("Gra głową",Players!$A$1:$R$1,0))+PozycjeŚr!O$8*INDEX(Zawodnicy[],MATCH($A9,Players!$A$2:$A$100,0),MATCH("Gra na bramce",Players!$A$1:$R$1,0))+PozycjeŚr!O$9*INDEX(Zawodnicy[],MATCH($A9,Players!$A$2:$A$100,0),MATCH("Panowanie",Players!$A$1:$R$1,0))+PozycjeŚr!O$10*INDEX(Zawodnicy[],MATCH($A9,Players!$A$2:$A$100,0),MATCH("Odbiór piłki",Players!$A$1:$R$1,0))+PozycjeŚr!O$11*INDEX(Zawodnicy[],MATCH($A9,Players!$A$2:$A$100,0),MATCH("Podania górą",Players!$A$1:$R$1,0))</f>
        <v>#N/A</v>
      </c>
      <c r="E9" s="16" t="e">
        <f>PozycjeŚr!P$2*INDEX(Zawodnicy[],MATCH($A9,Players!$A$2:$A$100,0),MATCH("Szybkość",Players!$A$1:$R$1,0))+PozycjeŚr!P$3*INDEX(Zawodnicy[],MATCH($A9,Players!$A$2:$A$100,0),MATCH("Kondycja",Players!$A$1:$R$1,0))+PozycjeŚr!P$4*INDEX(Zawodnicy[],MATCH($A9,Players!$A$2:$A$100,0),MATCH("Przegląd",Players!$A$1:$R$1,0))+PozycjeŚr!P$5*INDEX(Zawodnicy[],MATCH($A9,Players!$A$2:$A$100,0),MATCH("Podania dołem",Players!$A$1:$R$1,0))+PozycjeŚr!P$6*INDEX(Zawodnicy[],MATCH($A9,Players!$A$2:$A$100,0),MATCH("Strzał",Players!$A$1:$R$1,0))+PozycjeŚr!P$7*INDEX(Zawodnicy[],MATCH($A9,Players!$A$2:$A$100,0),MATCH("Gra głową",Players!$A$1:$R$1,0))+PozycjeŚr!P$8*INDEX(Zawodnicy[],MATCH($A9,Players!$A$2:$A$100,0),MATCH("Gra na bramce",Players!$A$1:$R$1,0))+PozycjeŚr!P$9*INDEX(Zawodnicy[],MATCH($A9,Players!$A$2:$A$100,0),MATCH("Panowanie",Players!$A$1:$R$1,0))+PozycjeŚr!P$10*INDEX(Zawodnicy[],MATCH($A9,Players!$A$2:$A$100,0),MATCH("Odbiór piłki",Players!$A$1:$R$1,0))+PozycjeŚr!P$11*INDEX(Zawodnicy[],MATCH($A9,Players!$A$2:$A$100,0),MATCH("Podania górą",Players!$A$1:$R$1,0))</f>
        <v>#N/A</v>
      </c>
      <c r="F9" s="16" t="e">
        <f>PozycjeŚr!Q$2*INDEX(Zawodnicy[],MATCH($A9,Players!$A$2:$A$100,0),MATCH("Szybkość",Players!$A$1:$R$1,0))+PozycjeŚr!Q$3*INDEX(Zawodnicy[],MATCH($A9,Players!$A$2:$A$100,0),MATCH("Kondycja",Players!$A$1:$R$1,0))+PozycjeŚr!Q$4*INDEX(Zawodnicy[],MATCH($A9,Players!$A$2:$A$100,0),MATCH("Przegląd",Players!$A$1:$R$1,0))+PozycjeŚr!Q$5*INDEX(Zawodnicy[],MATCH($A9,Players!$A$2:$A$100,0),MATCH("Podania dołem",Players!$A$1:$R$1,0))+PozycjeŚr!Q$6*INDEX(Zawodnicy[],MATCH($A9,Players!$A$2:$A$100,0),MATCH("Strzał",Players!$A$1:$R$1,0))+PozycjeŚr!Q$7*INDEX(Zawodnicy[],MATCH($A9,Players!$A$2:$A$100,0),MATCH("Gra głową",Players!$A$1:$R$1,0))+PozycjeŚr!Q$8*INDEX(Zawodnicy[],MATCH($A9,Players!$A$2:$A$100,0),MATCH("Gra na bramce",Players!$A$1:$R$1,0))+PozycjeŚr!Q$9*INDEX(Zawodnicy[],MATCH($A9,Players!$A$2:$A$100,0),MATCH("Panowanie",Players!$A$1:$R$1,0))+PozycjeŚr!Q$10*INDEX(Zawodnicy[],MATCH($A9,Players!$A$2:$A$100,0),MATCH("Odbiór piłki",Players!$A$1:$R$1,0))+PozycjeŚr!Q$11*INDEX(Zawodnicy[],MATCH($A9,Players!$A$2:$A$100,0),MATCH("Podania górą",Players!$A$1:$R$1,0))</f>
        <v>#N/A</v>
      </c>
      <c r="G9" s="16" t="e">
        <f>PozycjeŚr!R$2*INDEX(Zawodnicy[],MATCH($A9,Players!$A$2:$A$100,0),MATCH("Szybkość",Players!$A$1:$R$1,0))+PozycjeŚr!R$3*INDEX(Zawodnicy[],MATCH($A9,Players!$A$2:$A$100,0),MATCH("Kondycja",Players!$A$1:$R$1,0))+PozycjeŚr!R$4*INDEX(Zawodnicy[],MATCH($A9,Players!$A$2:$A$100,0),MATCH("Przegląd",Players!$A$1:$R$1,0))+PozycjeŚr!R$5*INDEX(Zawodnicy[],MATCH($A9,Players!$A$2:$A$100,0),MATCH("Podania dołem",Players!$A$1:$R$1,0))+PozycjeŚr!R$6*INDEX(Zawodnicy[],MATCH($A9,Players!$A$2:$A$100,0),MATCH("Strzał",Players!$A$1:$R$1,0))+PozycjeŚr!R$7*INDEX(Zawodnicy[],MATCH($A9,Players!$A$2:$A$100,0),MATCH("Gra głową",Players!$A$1:$R$1,0))+PozycjeŚr!R$8*INDEX(Zawodnicy[],MATCH($A9,Players!$A$2:$A$100,0),MATCH("Gra na bramce",Players!$A$1:$R$1,0))+PozycjeŚr!R$9*INDEX(Zawodnicy[],MATCH($A9,Players!$A$2:$A$100,0),MATCH("Panowanie",Players!$A$1:$R$1,0))+PozycjeŚr!R$10*INDEX(Zawodnicy[],MATCH($A9,Players!$A$2:$A$100,0),MATCH("Odbiór piłki",Players!$A$1:$R$1,0))+PozycjeŚr!R$11*INDEX(Zawodnicy[],MATCH($A9,Players!$A$2:$A$100,0),MATCH("Podania górą",Players!$A$1:$R$1,0))</f>
        <v>#N/A</v>
      </c>
      <c r="H9" s="16" t="e">
        <f>PozycjeŚr!S$2*INDEX(Zawodnicy[],MATCH($A9,Players!$A$2:$A$100,0),MATCH("Szybkość",Players!$A$1:$R$1,0))+PozycjeŚr!S$3*INDEX(Zawodnicy[],MATCH($A9,Players!$A$2:$A$100,0),MATCH("Kondycja",Players!$A$1:$R$1,0))+PozycjeŚr!S$4*INDEX(Zawodnicy[],MATCH($A9,Players!$A$2:$A$100,0),MATCH("Przegląd",Players!$A$1:$R$1,0))+PozycjeŚr!S$5*INDEX(Zawodnicy[],MATCH($A9,Players!$A$2:$A$100,0),MATCH("Podania dołem",Players!$A$1:$R$1,0))+PozycjeŚr!S$6*INDEX(Zawodnicy[],MATCH($A9,Players!$A$2:$A$100,0),MATCH("Strzał",Players!$A$1:$R$1,0))+PozycjeŚr!S$7*INDEX(Zawodnicy[],MATCH($A9,Players!$A$2:$A$100,0),MATCH("Gra głową",Players!$A$1:$R$1,0))+PozycjeŚr!S$8*INDEX(Zawodnicy[],MATCH($A9,Players!$A$2:$A$100,0),MATCH("Gra na bramce",Players!$A$1:$R$1,0))+PozycjeŚr!S$9*INDEX(Zawodnicy[],MATCH($A9,Players!$A$2:$A$100,0),MATCH("Panowanie",Players!$A$1:$R$1,0))+PozycjeŚr!S$10*INDEX(Zawodnicy[],MATCH($A9,Players!$A$2:$A$100,0),MATCH("Odbiór piłki",Players!$A$1:$R$1,0))+PozycjeŚr!S$11*INDEX(Zawodnicy[],MATCH($A9,Players!$A$2:$A$100,0),MATCH("Podania górą",Players!$A$1:$R$1,0))</f>
        <v>#N/A</v>
      </c>
      <c r="I9" s="16" t="e">
        <f>PozycjeŚr!T$2*INDEX(Zawodnicy[],MATCH($A9,Players!$A$2:$A$100,0),MATCH("Szybkość",Players!$A$1:$R$1,0))+PozycjeŚr!T$3*INDEX(Zawodnicy[],MATCH($A9,Players!$A$2:$A$100,0),MATCH("Kondycja",Players!$A$1:$R$1,0))+PozycjeŚr!T$4*INDEX(Zawodnicy[],MATCH($A9,Players!$A$2:$A$100,0),MATCH("Przegląd",Players!$A$1:$R$1,0))+PozycjeŚr!T$5*INDEX(Zawodnicy[],MATCH($A9,Players!$A$2:$A$100,0),MATCH("Podania dołem",Players!$A$1:$R$1,0))+PozycjeŚr!T$6*INDEX(Zawodnicy[],MATCH($A9,Players!$A$2:$A$100,0),MATCH("Strzał",Players!$A$1:$R$1,0))+PozycjeŚr!T$7*INDEX(Zawodnicy[],MATCH($A9,Players!$A$2:$A$100,0),MATCH("Gra głową",Players!$A$1:$R$1,0))+PozycjeŚr!T$8*INDEX(Zawodnicy[],MATCH($A9,Players!$A$2:$A$100,0),MATCH("Gra na bramce",Players!$A$1:$R$1,0))+PozycjeŚr!T$9*INDEX(Zawodnicy[],MATCH($A9,Players!$A$2:$A$100,0),MATCH("Panowanie",Players!$A$1:$R$1,0))+PozycjeŚr!T$10*INDEX(Zawodnicy[],MATCH($A9,Players!$A$2:$A$100,0),MATCH("Odbiór piłki",Players!$A$1:$R$1,0))+PozycjeŚr!T$11*INDEX(Zawodnicy[],MATCH($A9,Players!$A$2:$A$100,0),MATCH("Podania górą",Players!$A$1:$R$1,0))</f>
        <v>#N/A</v>
      </c>
      <c r="J9" s="16" t="e">
        <f>PozycjeŚr!U$2*INDEX(Zawodnicy[],MATCH($A9,Players!$A$2:$A$100,0),MATCH("Szybkość",Players!$A$1:$R$1,0))+PozycjeŚr!U$3*INDEX(Zawodnicy[],MATCH($A9,Players!$A$2:$A$100,0),MATCH("Kondycja",Players!$A$1:$R$1,0))+PozycjeŚr!U$4*INDEX(Zawodnicy[],MATCH($A9,Players!$A$2:$A$100,0),MATCH("Przegląd",Players!$A$1:$R$1,0))+PozycjeŚr!U$5*INDEX(Zawodnicy[],MATCH($A9,Players!$A$2:$A$100,0),MATCH("Podania dołem",Players!$A$1:$R$1,0))+PozycjeŚr!U$6*INDEX(Zawodnicy[],MATCH($A9,Players!$A$2:$A$100,0),MATCH("Strzał",Players!$A$1:$R$1,0))+PozycjeŚr!U$7*INDEX(Zawodnicy[],MATCH($A9,Players!$A$2:$A$100,0),MATCH("Gra głową",Players!$A$1:$R$1,0))+PozycjeŚr!U$8*INDEX(Zawodnicy[],MATCH($A9,Players!$A$2:$A$100,0),MATCH("Gra na bramce",Players!$A$1:$R$1,0))+PozycjeŚr!U$9*INDEX(Zawodnicy[],MATCH($A9,Players!$A$2:$A$100,0),MATCH("Panowanie",Players!$A$1:$R$1,0))+PozycjeŚr!U$10*INDEX(Zawodnicy[],MATCH($A9,Players!$A$2:$A$100,0),MATCH("Odbiór piłki",Players!$A$1:$R$1,0))+PozycjeŚr!U$11*INDEX(Zawodnicy[],MATCH($A9,Players!$A$2:$A$100,0),MATCH("Podania górą",Players!$A$1:$R$1,0))</f>
        <v>#N/A</v>
      </c>
      <c r="K9" s="16" t="e">
        <f>PozycjeŚr!V$2*INDEX(Zawodnicy[],MATCH($A9,Players!$A$2:$A$100,0),MATCH("Szybkość",Players!$A$1:$R$1,0))+PozycjeŚr!V$3*INDEX(Zawodnicy[],MATCH($A9,Players!$A$2:$A$100,0),MATCH("Kondycja",Players!$A$1:$R$1,0))+PozycjeŚr!V$4*INDEX(Zawodnicy[],MATCH($A9,Players!$A$2:$A$100,0),MATCH("Przegląd",Players!$A$1:$R$1,0))+PozycjeŚr!V$5*INDEX(Zawodnicy[],MATCH($A9,Players!$A$2:$A$100,0),MATCH("Podania dołem",Players!$A$1:$R$1,0))+PozycjeŚr!V$6*INDEX(Zawodnicy[],MATCH($A9,Players!$A$2:$A$100,0),MATCH("Strzał",Players!$A$1:$R$1,0))+PozycjeŚr!V$7*INDEX(Zawodnicy[],MATCH($A9,Players!$A$2:$A$100,0),MATCH("Gra głową",Players!$A$1:$R$1,0))+PozycjeŚr!V$8*INDEX(Zawodnicy[],MATCH($A9,Players!$A$2:$A$100,0),MATCH("Gra na bramce",Players!$A$1:$R$1,0))+PozycjeŚr!V$9*INDEX(Zawodnicy[],MATCH($A9,Players!$A$2:$A$100,0),MATCH("Panowanie",Players!$A$1:$R$1,0))+PozycjeŚr!V$10*INDEX(Zawodnicy[],MATCH($A9,Players!$A$2:$A$100,0),MATCH("Odbiór piłki",Players!$A$1:$R$1,0))+PozycjeŚr!V$11*INDEX(Zawodnicy[],MATCH($A9,Players!$A$2:$A$100,0),MATCH("Podania górą",Players!$A$1:$R$1,0))</f>
        <v>#N/A</v>
      </c>
      <c r="L9" s="16" t="e">
        <f>PozycjeŚr!W$2*INDEX(Zawodnicy[],MATCH($A9,Players!$A$2:$A$100,0),MATCH("Szybkość",Players!$A$1:$R$1,0))+PozycjeŚr!W$3*INDEX(Zawodnicy[],MATCH($A9,Players!$A$2:$A$100,0),MATCH("Kondycja",Players!$A$1:$R$1,0))+PozycjeŚr!W$4*INDEX(Zawodnicy[],MATCH($A9,Players!$A$2:$A$100,0),MATCH("Przegląd",Players!$A$1:$R$1,0))+PozycjeŚr!W$5*INDEX(Zawodnicy[],MATCH($A9,Players!$A$2:$A$100,0),MATCH("Podania dołem",Players!$A$1:$R$1,0))+PozycjeŚr!W$6*INDEX(Zawodnicy[],MATCH($A9,Players!$A$2:$A$100,0),MATCH("Strzał",Players!$A$1:$R$1,0))+PozycjeŚr!W$7*INDEX(Zawodnicy[],MATCH($A9,Players!$A$2:$A$100,0),MATCH("Gra głową",Players!$A$1:$R$1,0))+PozycjeŚr!W$8*INDEX(Zawodnicy[],MATCH($A9,Players!$A$2:$A$100,0),MATCH("Gra na bramce",Players!$A$1:$R$1,0))+PozycjeŚr!W$9*INDEX(Zawodnicy[],MATCH($A9,Players!$A$2:$A$100,0),MATCH("Panowanie",Players!$A$1:$R$1,0))+PozycjeŚr!W$10*INDEX(Zawodnicy[],MATCH($A9,Players!$A$2:$A$100,0),MATCH("Odbiór piłki",Players!$A$1:$R$1,0))+PozycjeŚr!W$11*INDEX(Zawodnicy[],MATCH($A9,Players!$A$2:$A$100,0),MATCH("Podania górą",Players!$A$1:$R$1,0))</f>
        <v>#N/A</v>
      </c>
    </row>
    <row r="10" spans="1:12" x14ac:dyDescent="0.25">
      <c r="A10" s="39">
        <f>IFERROR(Zawodnicy[[#This Row],[Number]],"-")</f>
        <v>13</v>
      </c>
      <c r="B10" t="str">
        <f>VLOOKUP(Radar[[#This Row],[Numer]],Zawodnicy[],2,FALSE)</f>
        <v>Ksawery Jurgiel</v>
      </c>
      <c r="C10" s="16" t="e">
        <f>PozycjeŚr!N$2*INDEX(Zawodnicy[],MATCH($A10,Players!$A$2:$A$100,0),MATCH("Szybkość",Players!$A$1:$R$1,0))+PozycjeŚr!N$3*INDEX(Zawodnicy[],MATCH($A10,Players!$A$2:$A$100,0),MATCH("Kondycja",Players!$A$1:$R$1,0))+PozycjeŚr!N$4*INDEX(Zawodnicy[],MATCH($A10,Players!$A$2:$A$100,0),MATCH("Przegląd",Players!$A$1:$R$1,0))+PozycjeŚr!N$5*INDEX(Zawodnicy[],MATCH($A10,Players!$A$2:$A$100,0),MATCH("Podania dołem",Players!$A$1:$R$1,0))+PozycjeŚr!N$6*INDEX(Zawodnicy[],MATCH($A10,Players!$A$2:$A$100,0),MATCH("Strzał",Players!$A$1:$R$1,0))+PozycjeŚr!N$7*INDEX(Zawodnicy[],MATCH($A10,Players!$A$2:$A$100,0),MATCH("Gra głową",Players!$A$1:$R$1,0))+PozycjeŚr!N$8*INDEX(Zawodnicy[],MATCH($A10,Players!$A$2:$A$100,0),MATCH("Gra na bramce",Players!$A$1:$R$1,0))+PozycjeŚr!N$9*INDEX(Zawodnicy[],MATCH($A10,Players!$A$2:$A$100,0),MATCH("Panowanie",Players!$A$1:$R$1,0))+PozycjeŚr!N$10*INDEX(Zawodnicy[],MATCH($A10,Players!$A$2:$A$100,0),MATCH("Odbiór piłki",Players!$A$1:$R$1,0))+PozycjeŚr!N$11*INDEX(Zawodnicy[],MATCH($A10,Players!$A$2:$A$100,0),MATCH("Podania górą",Players!$A$1:$R$1,0))</f>
        <v>#N/A</v>
      </c>
      <c r="D10" s="16" t="e">
        <f>PozycjeŚr!O$2*INDEX(Zawodnicy[],MATCH($A10,Players!$A$2:$A$100,0),MATCH("Szybkość",Players!$A$1:$R$1,0))+PozycjeŚr!O$3*INDEX(Zawodnicy[],MATCH($A10,Players!$A$2:$A$100,0),MATCH("Kondycja",Players!$A$1:$R$1,0))+PozycjeŚr!O$4*INDEX(Zawodnicy[],MATCH($A10,Players!$A$2:$A$100,0),MATCH("Przegląd",Players!$A$1:$R$1,0))+PozycjeŚr!O$5*INDEX(Zawodnicy[],MATCH($A10,Players!$A$2:$A$100,0),MATCH("Podania dołem",Players!$A$1:$R$1,0))+PozycjeŚr!O$6*INDEX(Zawodnicy[],MATCH($A10,Players!$A$2:$A$100,0),MATCH("Strzał",Players!$A$1:$R$1,0))+PozycjeŚr!O$7*INDEX(Zawodnicy[],MATCH($A10,Players!$A$2:$A$100,0),MATCH("Gra głową",Players!$A$1:$R$1,0))+PozycjeŚr!O$8*INDEX(Zawodnicy[],MATCH($A10,Players!$A$2:$A$100,0),MATCH("Gra na bramce",Players!$A$1:$R$1,0))+PozycjeŚr!O$9*INDEX(Zawodnicy[],MATCH($A10,Players!$A$2:$A$100,0),MATCH("Panowanie",Players!$A$1:$R$1,0))+PozycjeŚr!O$10*INDEX(Zawodnicy[],MATCH($A10,Players!$A$2:$A$100,0),MATCH("Odbiór piłki",Players!$A$1:$R$1,0))+PozycjeŚr!O$11*INDEX(Zawodnicy[],MATCH($A10,Players!$A$2:$A$100,0),MATCH("Podania górą",Players!$A$1:$R$1,0))</f>
        <v>#N/A</v>
      </c>
      <c r="E10" s="16" t="e">
        <f>PozycjeŚr!P$2*INDEX(Zawodnicy[],MATCH($A10,Players!$A$2:$A$100,0),MATCH("Szybkość",Players!$A$1:$R$1,0))+PozycjeŚr!P$3*INDEX(Zawodnicy[],MATCH($A10,Players!$A$2:$A$100,0),MATCH("Kondycja",Players!$A$1:$R$1,0))+PozycjeŚr!P$4*INDEX(Zawodnicy[],MATCH($A10,Players!$A$2:$A$100,0),MATCH("Przegląd",Players!$A$1:$R$1,0))+PozycjeŚr!P$5*INDEX(Zawodnicy[],MATCH($A10,Players!$A$2:$A$100,0),MATCH("Podania dołem",Players!$A$1:$R$1,0))+PozycjeŚr!P$6*INDEX(Zawodnicy[],MATCH($A10,Players!$A$2:$A$100,0),MATCH("Strzał",Players!$A$1:$R$1,0))+PozycjeŚr!P$7*INDEX(Zawodnicy[],MATCH($A10,Players!$A$2:$A$100,0),MATCH("Gra głową",Players!$A$1:$R$1,0))+PozycjeŚr!P$8*INDEX(Zawodnicy[],MATCH($A10,Players!$A$2:$A$100,0),MATCH("Gra na bramce",Players!$A$1:$R$1,0))+PozycjeŚr!P$9*INDEX(Zawodnicy[],MATCH($A10,Players!$A$2:$A$100,0),MATCH("Panowanie",Players!$A$1:$R$1,0))+PozycjeŚr!P$10*INDEX(Zawodnicy[],MATCH($A10,Players!$A$2:$A$100,0),MATCH("Odbiór piłki",Players!$A$1:$R$1,0))+PozycjeŚr!P$11*INDEX(Zawodnicy[],MATCH($A10,Players!$A$2:$A$100,0),MATCH("Podania górą",Players!$A$1:$R$1,0))</f>
        <v>#N/A</v>
      </c>
      <c r="F10" s="16" t="e">
        <f>PozycjeŚr!Q$2*INDEX(Zawodnicy[],MATCH($A10,Players!$A$2:$A$100,0),MATCH("Szybkość",Players!$A$1:$R$1,0))+PozycjeŚr!Q$3*INDEX(Zawodnicy[],MATCH($A10,Players!$A$2:$A$100,0),MATCH("Kondycja",Players!$A$1:$R$1,0))+PozycjeŚr!Q$4*INDEX(Zawodnicy[],MATCH($A10,Players!$A$2:$A$100,0),MATCH("Przegląd",Players!$A$1:$R$1,0))+PozycjeŚr!Q$5*INDEX(Zawodnicy[],MATCH($A10,Players!$A$2:$A$100,0),MATCH("Podania dołem",Players!$A$1:$R$1,0))+PozycjeŚr!Q$6*INDEX(Zawodnicy[],MATCH($A10,Players!$A$2:$A$100,0),MATCH("Strzał",Players!$A$1:$R$1,0))+PozycjeŚr!Q$7*INDEX(Zawodnicy[],MATCH($A10,Players!$A$2:$A$100,0),MATCH("Gra głową",Players!$A$1:$R$1,0))+PozycjeŚr!Q$8*INDEX(Zawodnicy[],MATCH($A10,Players!$A$2:$A$100,0),MATCH("Gra na bramce",Players!$A$1:$R$1,0))+PozycjeŚr!Q$9*INDEX(Zawodnicy[],MATCH($A10,Players!$A$2:$A$100,0),MATCH("Panowanie",Players!$A$1:$R$1,0))+PozycjeŚr!Q$10*INDEX(Zawodnicy[],MATCH($A10,Players!$A$2:$A$100,0),MATCH("Odbiór piłki",Players!$A$1:$R$1,0))+PozycjeŚr!Q$11*INDEX(Zawodnicy[],MATCH($A10,Players!$A$2:$A$100,0),MATCH("Podania górą",Players!$A$1:$R$1,0))</f>
        <v>#N/A</v>
      </c>
      <c r="G10" s="16" t="e">
        <f>PozycjeŚr!R$2*INDEX(Zawodnicy[],MATCH($A10,Players!$A$2:$A$100,0),MATCH("Szybkość",Players!$A$1:$R$1,0))+PozycjeŚr!R$3*INDEX(Zawodnicy[],MATCH($A10,Players!$A$2:$A$100,0),MATCH("Kondycja",Players!$A$1:$R$1,0))+PozycjeŚr!R$4*INDEX(Zawodnicy[],MATCH($A10,Players!$A$2:$A$100,0),MATCH("Przegląd",Players!$A$1:$R$1,0))+PozycjeŚr!R$5*INDEX(Zawodnicy[],MATCH($A10,Players!$A$2:$A$100,0),MATCH("Podania dołem",Players!$A$1:$R$1,0))+PozycjeŚr!R$6*INDEX(Zawodnicy[],MATCH($A10,Players!$A$2:$A$100,0),MATCH("Strzał",Players!$A$1:$R$1,0))+PozycjeŚr!R$7*INDEX(Zawodnicy[],MATCH($A10,Players!$A$2:$A$100,0),MATCH("Gra głową",Players!$A$1:$R$1,0))+PozycjeŚr!R$8*INDEX(Zawodnicy[],MATCH($A10,Players!$A$2:$A$100,0),MATCH("Gra na bramce",Players!$A$1:$R$1,0))+PozycjeŚr!R$9*INDEX(Zawodnicy[],MATCH($A10,Players!$A$2:$A$100,0),MATCH("Panowanie",Players!$A$1:$R$1,0))+PozycjeŚr!R$10*INDEX(Zawodnicy[],MATCH($A10,Players!$A$2:$A$100,0),MATCH("Odbiór piłki",Players!$A$1:$R$1,0))+PozycjeŚr!R$11*INDEX(Zawodnicy[],MATCH($A10,Players!$A$2:$A$100,0),MATCH("Podania górą",Players!$A$1:$R$1,0))</f>
        <v>#N/A</v>
      </c>
      <c r="H10" s="16" t="e">
        <f>PozycjeŚr!S$2*INDEX(Zawodnicy[],MATCH($A10,Players!$A$2:$A$100,0),MATCH("Szybkość",Players!$A$1:$R$1,0))+PozycjeŚr!S$3*INDEX(Zawodnicy[],MATCH($A10,Players!$A$2:$A$100,0),MATCH("Kondycja",Players!$A$1:$R$1,0))+PozycjeŚr!S$4*INDEX(Zawodnicy[],MATCH($A10,Players!$A$2:$A$100,0),MATCH("Przegląd",Players!$A$1:$R$1,0))+PozycjeŚr!S$5*INDEX(Zawodnicy[],MATCH($A10,Players!$A$2:$A$100,0),MATCH("Podania dołem",Players!$A$1:$R$1,0))+PozycjeŚr!S$6*INDEX(Zawodnicy[],MATCH($A10,Players!$A$2:$A$100,0),MATCH("Strzał",Players!$A$1:$R$1,0))+PozycjeŚr!S$7*INDEX(Zawodnicy[],MATCH($A10,Players!$A$2:$A$100,0),MATCH("Gra głową",Players!$A$1:$R$1,0))+PozycjeŚr!S$8*INDEX(Zawodnicy[],MATCH($A10,Players!$A$2:$A$100,0),MATCH("Gra na bramce",Players!$A$1:$R$1,0))+PozycjeŚr!S$9*INDEX(Zawodnicy[],MATCH($A10,Players!$A$2:$A$100,0),MATCH("Panowanie",Players!$A$1:$R$1,0))+PozycjeŚr!S$10*INDEX(Zawodnicy[],MATCH($A10,Players!$A$2:$A$100,0),MATCH("Odbiór piłki",Players!$A$1:$R$1,0))+PozycjeŚr!S$11*INDEX(Zawodnicy[],MATCH($A10,Players!$A$2:$A$100,0),MATCH("Podania górą",Players!$A$1:$R$1,0))</f>
        <v>#N/A</v>
      </c>
      <c r="I10" s="16" t="e">
        <f>PozycjeŚr!T$2*INDEX(Zawodnicy[],MATCH($A10,Players!$A$2:$A$100,0),MATCH("Szybkość",Players!$A$1:$R$1,0))+PozycjeŚr!T$3*INDEX(Zawodnicy[],MATCH($A10,Players!$A$2:$A$100,0),MATCH("Kondycja",Players!$A$1:$R$1,0))+PozycjeŚr!T$4*INDEX(Zawodnicy[],MATCH($A10,Players!$A$2:$A$100,0),MATCH("Przegląd",Players!$A$1:$R$1,0))+PozycjeŚr!T$5*INDEX(Zawodnicy[],MATCH($A10,Players!$A$2:$A$100,0),MATCH("Podania dołem",Players!$A$1:$R$1,0))+PozycjeŚr!T$6*INDEX(Zawodnicy[],MATCH($A10,Players!$A$2:$A$100,0),MATCH("Strzał",Players!$A$1:$R$1,0))+PozycjeŚr!T$7*INDEX(Zawodnicy[],MATCH($A10,Players!$A$2:$A$100,0),MATCH("Gra głową",Players!$A$1:$R$1,0))+PozycjeŚr!T$8*INDEX(Zawodnicy[],MATCH($A10,Players!$A$2:$A$100,0),MATCH("Gra na bramce",Players!$A$1:$R$1,0))+PozycjeŚr!T$9*INDEX(Zawodnicy[],MATCH($A10,Players!$A$2:$A$100,0),MATCH("Panowanie",Players!$A$1:$R$1,0))+PozycjeŚr!T$10*INDEX(Zawodnicy[],MATCH($A10,Players!$A$2:$A$100,0),MATCH("Odbiór piłki",Players!$A$1:$R$1,0))+PozycjeŚr!T$11*INDEX(Zawodnicy[],MATCH($A10,Players!$A$2:$A$100,0),MATCH("Podania górą",Players!$A$1:$R$1,0))</f>
        <v>#N/A</v>
      </c>
      <c r="J10" s="16" t="e">
        <f>PozycjeŚr!U$2*INDEX(Zawodnicy[],MATCH($A10,Players!$A$2:$A$100,0),MATCH("Szybkość",Players!$A$1:$R$1,0))+PozycjeŚr!U$3*INDEX(Zawodnicy[],MATCH($A10,Players!$A$2:$A$100,0),MATCH("Kondycja",Players!$A$1:$R$1,0))+PozycjeŚr!U$4*INDEX(Zawodnicy[],MATCH($A10,Players!$A$2:$A$100,0),MATCH("Przegląd",Players!$A$1:$R$1,0))+PozycjeŚr!U$5*INDEX(Zawodnicy[],MATCH($A10,Players!$A$2:$A$100,0),MATCH("Podania dołem",Players!$A$1:$R$1,0))+PozycjeŚr!U$6*INDEX(Zawodnicy[],MATCH($A10,Players!$A$2:$A$100,0),MATCH("Strzał",Players!$A$1:$R$1,0))+PozycjeŚr!U$7*INDEX(Zawodnicy[],MATCH($A10,Players!$A$2:$A$100,0),MATCH("Gra głową",Players!$A$1:$R$1,0))+PozycjeŚr!U$8*INDEX(Zawodnicy[],MATCH($A10,Players!$A$2:$A$100,0),MATCH("Gra na bramce",Players!$A$1:$R$1,0))+PozycjeŚr!U$9*INDEX(Zawodnicy[],MATCH($A10,Players!$A$2:$A$100,0),MATCH("Panowanie",Players!$A$1:$R$1,0))+PozycjeŚr!U$10*INDEX(Zawodnicy[],MATCH($A10,Players!$A$2:$A$100,0),MATCH("Odbiór piłki",Players!$A$1:$R$1,0))+PozycjeŚr!U$11*INDEX(Zawodnicy[],MATCH($A10,Players!$A$2:$A$100,0),MATCH("Podania górą",Players!$A$1:$R$1,0))</f>
        <v>#N/A</v>
      </c>
      <c r="K10" s="16" t="e">
        <f>PozycjeŚr!V$2*INDEX(Zawodnicy[],MATCH($A10,Players!$A$2:$A$100,0),MATCH("Szybkość",Players!$A$1:$R$1,0))+PozycjeŚr!V$3*INDEX(Zawodnicy[],MATCH($A10,Players!$A$2:$A$100,0),MATCH("Kondycja",Players!$A$1:$R$1,0))+PozycjeŚr!V$4*INDEX(Zawodnicy[],MATCH($A10,Players!$A$2:$A$100,0),MATCH("Przegląd",Players!$A$1:$R$1,0))+PozycjeŚr!V$5*INDEX(Zawodnicy[],MATCH($A10,Players!$A$2:$A$100,0),MATCH("Podania dołem",Players!$A$1:$R$1,0))+PozycjeŚr!V$6*INDEX(Zawodnicy[],MATCH($A10,Players!$A$2:$A$100,0),MATCH("Strzał",Players!$A$1:$R$1,0))+PozycjeŚr!V$7*INDEX(Zawodnicy[],MATCH($A10,Players!$A$2:$A$100,0),MATCH("Gra głową",Players!$A$1:$R$1,0))+PozycjeŚr!V$8*INDEX(Zawodnicy[],MATCH($A10,Players!$A$2:$A$100,0),MATCH("Gra na bramce",Players!$A$1:$R$1,0))+PozycjeŚr!V$9*INDEX(Zawodnicy[],MATCH($A10,Players!$A$2:$A$100,0),MATCH("Panowanie",Players!$A$1:$R$1,0))+PozycjeŚr!V$10*INDEX(Zawodnicy[],MATCH($A10,Players!$A$2:$A$100,0),MATCH("Odbiór piłki",Players!$A$1:$R$1,0))+PozycjeŚr!V$11*INDEX(Zawodnicy[],MATCH($A10,Players!$A$2:$A$100,0),MATCH("Podania górą",Players!$A$1:$R$1,0))</f>
        <v>#N/A</v>
      </c>
      <c r="L10" s="16" t="e">
        <f>PozycjeŚr!W$2*INDEX(Zawodnicy[],MATCH($A10,Players!$A$2:$A$100,0),MATCH("Szybkość",Players!$A$1:$R$1,0))+PozycjeŚr!W$3*INDEX(Zawodnicy[],MATCH($A10,Players!$A$2:$A$100,0),MATCH("Kondycja",Players!$A$1:$R$1,0))+PozycjeŚr!W$4*INDEX(Zawodnicy[],MATCH($A10,Players!$A$2:$A$100,0),MATCH("Przegląd",Players!$A$1:$R$1,0))+PozycjeŚr!W$5*INDEX(Zawodnicy[],MATCH($A10,Players!$A$2:$A$100,0),MATCH("Podania dołem",Players!$A$1:$R$1,0))+PozycjeŚr!W$6*INDEX(Zawodnicy[],MATCH($A10,Players!$A$2:$A$100,0),MATCH("Strzał",Players!$A$1:$R$1,0))+PozycjeŚr!W$7*INDEX(Zawodnicy[],MATCH($A10,Players!$A$2:$A$100,0),MATCH("Gra głową",Players!$A$1:$R$1,0))+PozycjeŚr!W$8*INDEX(Zawodnicy[],MATCH($A10,Players!$A$2:$A$100,0),MATCH("Gra na bramce",Players!$A$1:$R$1,0))+PozycjeŚr!W$9*INDEX(Zawodnicy[],MATCH($A10,Players!$A$2:$A$100,0),MATCH("Panowanie",Players!$A$1:$R$1,0))+PozycjeŚr!W$10*INDEX(Zawodnicy[],MATCH($A10,Players!$A$2:$A$100,0),MATCH("Odbiór piłki",Players!$A$1:$R$1,0))+PozycjeŚr!W$11*INDEX(Zawodnicy[],MATCH($A10,Players!$A$2:$A$100,0),MATCH("Podania górą",Players!$A$1:$R$1,0))</f>
        <v>#N/A</v>
      </c>
    </row>
    <row r="11" spans="1:12" x14ac:dyDescent="0.25">
      <c r="A11" s="39">
        <f>IFERROR(Zawodnicy[[#This Row],[Number]],"-")</f>
        <v>14</v>
      </c>
      <c r="B11" t="str">
        <f>VLOOKUP(Radar[[#This Row],[Numer]],Zawodnicy[],2,FALSE)</f>
        <v>Gustaw Tuliszewski</v>
      </c>
      <c r="C11" s="16" t="e">
        <f>PozycjeŚr!N$2*INDEX(Zawodnicy[],MATCH($A11,Players!$A$2:$A$100,0),MATCH("Szybkość",Players!$A$1:$R$1,0))+PozycjeŚr!N$3*INDEX(Zawodnicy[],MATCH($A11,Players!$A$2:$A$100,0),MATCH("Kondycja",Players!$A$1:$R$1,0))+PozycjeŚr!N$4*INDEX(Zawodnicy[],MATCH($A11,Players!$A$2:$A$100,0),MATCH("Przegląd",Players!$A$1:$R$1,0))+PozycjeŚr!N$5*INDEX(Zawodnicy[],MATCH($A11,Players!$A$2:$A$100,0),MATCH("Podania dołem",Players!$A$1:$R$1,0))+PozycjeŚr!N$6*INDEX(Zawodnicy[],MATCH($A11,Players!$A$2:$A$100,0),MATCH("Strzał",Players!$A$1:$R$1,0))+PozycjeŚr!N$7*INDEX(Zawodnicy[],MATCH($A11,Players!$A$2:$A$100,0),MATCH("Gra głową",Players!$A$1:$R$1,0))+PozycjeŚr!N$8*INDEX(Zawodnicy[],MATCH($A11,Players!$A$2:$A$100,0),MATCH("Gra na bramce",Players!$A$1:$R$1,0))+PozycjeŚr!N$9*INDEX(Zawodnicy[],MATCH($A11,Players!$A$2:$A$100,0),MATCH("Panowanie",Players!$A$1:$R$1,0))+PozycjeŚr!N$10*INDEX(Zawodnicy[],MATCH($A11,Players!$A$2:$A$100,0),MATCH("Odbiór piłki",Players!$A$1:$R$1,0))+PozycjeŚr!N$11*INDEX(Zawodnicy[],MATCH($A11,Players!$A$2:$A$100,0),MATCH("Podania górą",Players!$A$1:$R$1,0))</f>
        <v>#N/A</v>
      </c>
      <c r="D11" s="16" t="e">
        <f>PozycjeŚr!O$2*INDEX(Zawodnicy[],MATCH($A11,Players!$A$2:$A$100,0),MATCH("Szybkość",Players!$A$1:$R$1,0))+PozycjeŚr!O$3*INDEX(Zawodnicy[],MATCH($A11,Players!$A$2:$A$100,0),MATCH("Kondycja",Players!$A$1:$R$1,0))+PozycjeŚr!O$4*INDEX(Zawodnicy[],MATCH($A11,Players!$A$2:$A$100,0),MATCH("Przegląd",Players!$A$1:$R$1,0))+PozycjeŚr!O$5*INDEX(Zawodnicy[],MATCH($A11,Players!$A$2:$A$100,0),MATCH("Podania dołem",Players!$A$1:$R$1,0))+PozycjeŚr!O$6*INDEX(Zawodnicy[],MATCH($A11,Players!$A$2:$A$100,0),MATCH("Strzał",Players!$A$1:$R$1,0))+PozycjeŚr!O$7*INDEX(Zawodnicy[],MATCH($A11,Players!$A$2:$A$100,0),MATCH("Gra głową",Players!$A$1:$R$1,0))+PozycjeŚr!O$8*INDEX(Zawodnicy[],MATCH($A11,Players!$A$2:$A$100,0),MATCH("Gra na bramce",Players!$A$1:$R$1,0))+PozycjeŚr!O$9*INDEX(Zawodnicy[],MATCH($A11,Players!$A$2:$A$100,0),MATCH("Panowanie",Players!$A$1:$R$1,0))+PozycjeŚr!O$10*INDEX(Zawodnicy[],MATCH($A11,Players!$A$2:$A$100,0),MATCH("Odbiór piłki",Players!$A$1:$R$1,0))+PozycjeŚr!O$11*INDEX(Zawodnicy[],MATCH($A11,Players!$A$2:$A$100,0),MATCH("Podania górą",Players!$A$1:$R$1,0))</f>
        <v>#N/A</v>
      </c>
      <c r="E11" s="16" t="e">
        <f>PozycjeŚr!P$2*INDEX(Zawodnicy[],MATCH($A11,Players!$A$2:$A$100,0),MATCH("Szybkość",Players!$A$1:$R$1,0))+PozycjeŚr!P$3*INDEX(Zawodnicy[],MATCH($A11,Players!$A$2:$A$100,0),MATCH("Kondycja",Players!$A$1:$R$1,0))+PozycjeŚr!P$4*INDEX(Zawodnicy[],MATCH($A11,Players!$A$2:$A$100,0),MATCH("Przegląd",Players!$A$1:$R$1,0))+PozycjeŚr!P$5*INDEX(Zawodnicy[],MATCH($A11,Players!$A$2:$A$100,0),MATCH("Podania dołem",Players!$A$1:$R$1,0))+PozycjeŚr!P$6*INDEX(Zawodnicy[],MATCH($A11,Players!$A$2:$A$100,0),MATCH("Strzał",Players!$A$1:$R$1,0))+PozycjeŚr!P$7*INDEX(Zawodnicy[],MATCH($A11,Players!$A$2:$A$100,0),MATCH("Gra głową",Players!$A$1:$R$1,0))+PozycjeŚr!P$8*INDEX(Zawodnicy[],MATCH($A11,Players!$A$2:$A$100,0),MATCH("Gra na bramce",Players!$A$1:$R$1,0))+PozycjeŚr!P$9*INDEX(Zawodnicy[],MATCH($A11,Players!$A$2:$A$100,0),MATCH("Panowanie",Players!$A$1:$R$1,0))+PozycjeŚr!P$10*INDEX(Zawodnicy[],MATCH($A11,Players!$A$2:$A$100,0),MATCH("Odbiór piłki",Players!$A$1:$R$1,0))+PozycjeŚr!P$11*INDEX(Zawodnicy[],MATCH($A11,Players!$A$2:$A$100,0),MATCH("Podania górą",Players!$A$1:$R$1,0))</f>
        <v>#N/A</v>
      </c>
      <c r="F11" s="16" t="e">
        <f>PozycjeŚr!Q$2*INDEX(Zawodnicy[],MATCH($A11,Players!$A$2:$A$100,0),MATCH("Szybkość",Players!$A$1:$R$1,0))+PozycjeŚr!Q$3*INDEX(Zawodnicy[],MATCH($A11,Players!$A$2:$A$100,0),MATCH("Kondycja",Players!$A$1:$R$1,0))+PozycjeŚr!Q$4*INDEX(Zawodnicy[],MATCH($A11,Players!$A$2:$A$100,0),MATCH("Przegląd",Players!$A$1:$R$1,0))+PozycjeŚr!Q$5*INDEX(Zawodnicy[],MATCH($A11,Players!$A$2:$A$100,0),MATCH("Podania dołem",Players!$A$1:$R$1,0))+PozycjeŚr!Q$6*INDEX(Zawodnicy[],MATCH($A11,Players!$A$2:$A$100,0),MATCH("Strzał",Players!$A$1:$R$1,0))+PozycjeŚr!Q$7*INDEX(Zawodnicy[],MATCH($A11,Players!$A$2:$A$100,0),MATCH("Gra głową",Players!$A$1:$R$1,0))+PozycjeŚr!Q$8*INDEX(Zawodnicy[],MATCH($A11,Players!$A$2:$A$100,0),MATCH("Gra na bramce",Players!$A$1:$R$1,0))+PozycjeŚr!Q$9*INDEX(Zawodnicy[],MATCH($A11,Players!$A$2:$A$100,0),MATCH("Panowanie",Players!$A$1:$R$1,0))+PozycjeŚr!Q$10*INDEX(Zawodnicy[],MATCH($A11,Players!$A$2:$A$100,0),MATCH("Odbiór piłki",Players!$A$1:$R$1,0))+PozycjeŚr!Q$11*INDEX(Zawodnicy[],MATCH($A11,Players!$A$2:$A$100,0),MATCH("Podania górą",Players!$A$1:$R$1,0))</f>
        <v>#N/A</v>
      </c>
      <c r="G11" s="16" t="e">
        <f>PozycjeŚr!R$2*INDEX(Zawodnicy[],MATCH($A11,Players!$A$2:$A$100,0),MATCH("Szybkość",Players!$A$1:$R$1,0))+PozycjeŚr!R$3*INDEX(Zawodnicy[],MATCH($A11,Players!$A$2:$A$100,0),MATCH("Kondycja",Players!$A$1:$R$1,0))+PozycjeŚr!R$4*INDEX(Zawodnicy[],MATCH($A11,Players!$A$2:$A$100,0),MATCH("Przegląd",Players!$A$1:$R$1,0))+PozycjeŚr!R$5*INDEX(Zawodnicy[],MATCH($A11,Players!$A$2:$A$100,0),MATCH("Podania dołem",Players!$A$1:$R$1,0))+PozycjeŚr!R$6*INDEX(Zawodnicy[],MATCH($A11,Players!$A$2:$A$100,0),MATCH("Strzał",Players!$A$1:$R$1,0))+PozycjeŚr!R$7*INDEX(Zawodnicy[],MATCH($A11,Players!$A$2:$A$100,0),MATCH("Gra głową",Players!$A$1:$R$1,0))+PozycjeŚr!R$8*INDEX(Zawodnicy[],MATCH($A11,Players!$A$2:$A$100,0),MATCH("Gra na bramce",Players!$A$1:$R$1,0))+PozycjeŚr!R$9*INDEX(Zawodnicy[],MATCH($A11,Players!$A$2:$A$100,0),MATCH("Panowanie",Players!$A$1:$R$1,0))+PozycjeŚr!R$10*INDEX(Zawodnicy[],MATCH($A11,Players!$A$2:$A$100,0),MATCH("Odbiór piłki",Players!$A$1:$R$1,0))+PozycjeŚr!R$11*INDEX(Zawodnicy[],MATCH($A11,Players!$A$2:$A$100,0),MATCH("Podania górą",Players!$A$1:$R$1,0))</f>
        <v>#N/A</v>
      </c>
      <c r="H11" s="16" t="e">
        <f>PozycjeŚr!S$2*INDEX(Zawodnicy[],MATCH($A11,Players!$A$2:$A$100,0),MATCH("Szybkość",Players!$A$1:$R$1,0))+PozycjeŚr!S$3*INDEX(Zawodnicy[],MATCH($A11,Players!$A$2:$A$100,0),MATCH("Kondycja",Players!$A$1:$R$1,0))+PozycjeŚr!S$4*INDEX(Zawodnicy[],MATCH($A11,Players!$A$2:$A$100,0),MATCH("Przegląd",Players!$A$1:$R$1,0))+PozycjeŚr!S$5*INDEX(Zawodnicy[],MATCH($A11,Players!$A$2:$A$100,0),MATCH("Podania dołem",Players!$A$1:$R$1,0))+PozycjeŚr!S$6*INDEX(Zawodnicy[],MATCH($A11,Players!$A$2:$A$100,0),MATCH("Strzał",Players!$A$1:$R$1,0))+PozycjeŚr!S$7*INDEX(Zawodnicy[],MATCH($A11,Players!$A$2:$A$100,0),MATCH("Gra głową",Players!$A$1:$R$1,0))+PozycjeŚr!S$8*INDEX(Zawodnicy[],MATCH($A11,Players!$A$2:$A$100,0),MATCH("Gra na bramce",Players!$A$1:$R$1,0))+PozycjeŚr!S$9*INDEX(Zawodnicy[],MATCH($A11,Players!$A$2:$A$100,0),MATCH("Panowanie",Players!$A$1:$R$1,0))+PozycjeŚr!S$10*INDEX(Zawodnicy[],MATCH($A11,Players!$A$2:$A$100,0),MATCH("Odbiór piłki",Players!$A$1:$R$1,0))+PozycjeŚr!S$11*INDEX(Zawodnicy[],MATCH($A11,Players!$A$2:$A$100,0),MATCH("Podania górą",Players!$A$1:$R$1,0))</f>
        <v>#N/A</v>
      </c>
      <c r="I11" s="16" t="e">
        <f>PozycjeŚr!T$2*INDEX(Zawodnicy[],MATCH($A11,Players!$A$2:$A$100,0),MATCH("Szybkość",Players!$A$1:$R$1,0))+PozycjeŚr!T$3*INDEX(Zawodnicy[],MATCH($A11,Players!$A$2:$A$100,0),MATCH("Kondycja",Players!$A$1:$R$1,0))+PozycjeŚr!T$4*INDEX(Zawodnicy[],MATCH($A11,Players!$A$2:$A$100,0),MATCH("Przegląd",Players!$A$1:$R$1,0))+PozycjeŚr!T$5*INDEX(Zawodnicy[],MATCH($A11,Players!$A$2:$A$100,0),MATCH("Podania dołem",Players!$A$1:$R$1,0))+PozycjeŚr!T$6*INDEX(Zawodnicy[],MATCH($A11,Players!$A$2:$A$100,0),MATCH("Strzał",Players!$A$1:$R$1,0))+PozycjeŚr!T$7*INDEX(Zawodnicy[],MATCH($A11,Players!$A$2:$A$100,0),MATCH("Gra głową",Players!$A$1:$R$1,0))+PozycjeŚr!T$8*INDEX(Zawodnicy[],MATCH($A11,Players!$A$2:$A$100,0),MATCH("Gra na bramce",Players!$A$1:$R$1,0))+PozycjeŚr!T$9*INDEX(Zawodnicy[],MATCH($A11,Players!$A$2:$A$100,0),MATCH("Panowanie",Players!$A$1:$R$1,0))+PozycjeŚr!T$10*INDEX(Zawodnicy[],MATCH($A11,Players!$A$2:$A$100,0),MATCH("Odbiór piłki",Players!$A$1:$R$1,0))+PozycjeŚr!T$11*INDEX(Zawodnicy[],MATCH($A11,Players!$A$2:$A$100,0),MATCH("Podania górą",Players!$A$1:$R$1,0))</f>
        <v>#N/A</v>
      </c>
      <c r="J11" s="16" t="e">
        <f>PozycjeŚr!U$2*INDEX(Zawodnicy[],MATCH($A11,Players!$A$2:$A$100,0),MATCH("Szybkość",Players!$A$1:$R$1,0))+PozycjeŚr!U$3*INDEX(Zawodnicy[],MATCH($A11,Players!$A$2:$A$100,0),MATCH("Kondycja",Players!$A$1:$R$1,0))+PozycjeŚr!U$4*INDEX(Zawodnicy[],MATCH($A11,Players!$A$2:$A$100,0),MATCH("Przegląd",Players!$A$1:$R$1,0))+PozycjeŚr!U$5*INDEX(Zawodnicy[],MATCH($A11,Players!$A$2:$A$100,0),MATCH("Podania dołem",Players!$A$1:$R$1,0))+PozycjeŚr!U$6*INDEX(Zawodnicy[],MATCH($A11,Players!$A$2:$A$100,0),MATCH("Strzał",Players!$A$1:$R$1,0))+PozycjeŚr!U$7*INDEX(Zawodnicy[],MATCH($A11,Players!$A$2:$A$100,0),MATCH("Gra głową",Players!$A$1:$R$1,0))+PozycjeŚr!U$8*INDEX(Zawodnicy[],MATCH($A11,Players!$A$2:$A$100,0),MATCH("Gra na bramce",Players!$A$1:$R$1,0))+PozycjeŚr!U$9*INDEX(Zawodnicy[],MATCH($A11,Players!$A$2:$A$100,0),MATCH("Panowanie",Players!$A$1:$R$1,0))+PozycjeŚr!U$10*INDEX(Zawodnicy[],MATCH($A11,Players!$A$2:$A$100,0),MATCH("Odbiór piłki",Players!$A$1:$R$1,0))+PozycjeŚr!U$11*INDEX(Zawodnicy[],MATCH($A11,Players!$A$2:$A$100,0),MATCH("Podania górą",Players!$A$1:$R$1,0))</f>
        <v>#N/A</v>
      </c>
      <c r="K11" s="16" t="e">
        <f>PozycjeŚr!V$2*INDEX(Zawodnicy[],MATCH($A11,Players!$A$2:$A$100,0),MATCH("Szybkość",Players!$A$1:$R$1,0))+PozycjeŚr!V$3*INDEX(Zawodnicy[],MATCH($A11,Players!$A$2:$A$100,0),MATCH("Kondycja",Players!$A$1:$R$1,0))+PozycjeŚr!V$4*INDEX(Zawodnicy[],MATCH($A11,Players!$A$2:$A$100,0),MATCH("Przegląd",Players!$A$1:$R$1,0))+PozycjeŚr!V$5*INDEX(Zawodnicy[],MATCH($A11,Players!$A$2:$A$100,0),MATCH("Podania dołem",Players!$A$1:$R$1,0))+PozycjeŚr!V$6*INDEX(Zawodnicy[],MATCH($A11,Players!$A$2:$A$100,0),MATCH("Strzał",Players!$A$1:$R$1,0))+PozycjeŚr!V$7*INDEX(Zawodnicy[],MATCH($A11,Players!$A$2:$A$100,0),MATCH("Gra głową",Players!$A$1:$R$1,0))+PozycjeŚr!V$8*INDEX(Zawodnicy[],MATCH($A11,Players!$A$2:$A$100,0),MATCH("Gra na bramce",Players!$A$1:$R$1,0))+PozycjeŚr!V$9*INDEX(Zawodnicy[],MATCH($A11,Players!$A$2:$A$100,0),MATCH("Panowanie",Players!$A$1:$R$1,0))+PozycjeŚr!V$10*INDEX(Zawodnicy[],MATCH($A11,Players!$A$2:$A$100,0),MATCH("Odbiór piłki",Players!$A$1:$R$1,0))+PozycjeŚr!V$11*INDEX(Zawodnicy[],MATCH($A11,Players!$A$2:$A$100,0),MATCH("Podania górą",Players!$A$1:$R$1,0))</f>
        <v>#N/A</v>
      </c>
      <c r="L11" s="16" t="e">
        <f>PozycjeŚr!W$2*INDEX(Zawodnicy[],MATCH($A11,Players!$A$2:$A$100,0),MATCH("Szybkość",Players!$A$1:$R$1,0))+PozycjeŚr!W$3*INDEX(Zawodnicy[],MATCH($A11,Players!$A$2:$A$100,0),MATCH("Kondycja",Players!$A$1:$R$1,0))+PozycjeŚr!W$4*INDEX(Zawodnicy[],MATCH($A11,Players!$A$2:$A$100,0),MATCH("Przegląd",Players!$A$1:$R$1,0))+PozycjeŚr!W$5*INDEX(Zawodnicy[],MATCH($A11,Players!$A$2:$A$100,0),MATCH("Podania dołem",Players!$A$1:$R$1,0))+PozycjeŚr!W$6*INDEX(Zawodnicy[],MATCH($A11,Players!$A$2:$A$100,0),MATCH("Strzał",Players!$A$1:$R$1,0))+PozycjeŚr!W$7*INDEX(Zawodnicy[],MATCH($A11,Players!$A$2:$A$100,0),MATCH("Gra głową",Players!$A$1:$R$1,0))+PozycjeŚr!W$8*INDEX(Zawodnicy[],MATCH($A11,Players!$A$2:$A$100,0),MATCH("Gra na bramce",Players!$A$1:$R$1,0))+PozycjeŚr!W$9*INDEX(Zawodnicy[],MATCH($A11,Players!$A$2:$A$100,0),MATCH("Panowanie",Players!$A$1:$R$1,0))+PozycjeŚr!W$10*INDEX(Zawodnicy[],MATCH($A11,Players!$A$2:$A$100,0),MATCH("Odbiór piłki",Players!$A$1:$R$1,0))+PozycjeŚr!W$11*INDEX(Zawodnicy[],MATCH($A11,Players!$A$2:$A$100,0),MATCH("Podania górą",Players!$A$1:$R$1,0))</f>
        <v>#N/A</v>
      </c>
    </row>
    <row r="12" spans="1:12" x14ac:dyDescent="0.25">
      <c r="A12" s="39">
        <f>IFERROR(Zawodnicy[[#This Row],[Number]],"-")</f>
        <v>15</v>
      </c>
      <c r="B12" t="str">
        <f>VLOOKUP(Radar[[#This Row],[Numer]],Zawodnicy[],2,FALSE)</f>
        <v>Fausto Pelayo</v>
      </c>
      <c r="C12" s="16" t="e">
        <f>PozycjeŚr!N$2*INDEX(Zawodnicy[],MATCH($A12,Players!$A$2:$A$100,0),MATCH("Szybkość",Players!$A$1:$R$1,0))+PozycjeŚr!N$3*INDEX(Zawodnicy[],MATCH($A12,Players!$A$2:$A$100,0),MATCH("Kondycja",Players!$A$1:$R$1,0))+PozycjeŚr!N$4*INDEX(Zawodnicy[],MATCH($A12,Players!$A$2:$A$100,0),MATCH("Przegląd",Players!$A$1:$R$1,0))+PozycjeŚr!N$5*INDEX(Zawodnicy[],MATCH($A12,Players!$A$2:$A$100,0),MATCH("Podania dołem",Players!$A$1:$R$1,0))+PozycjeŚr!N$6*INDEX(Zawodnicy[],MATCH($A12,Players!$A$2:$A$100,0),MATCH("Strzał",Players!$A$1:$R$1,0))+PozycjeŚr!N$7*INDEX(Zawodnicy[],MATCH($A12,Players!$A$2:$A$100,0),MATCH("Gra głową",Players!$A$1:$R$1,0))+PozycjeŚr!N$8*INDEX(Zawodnicy[],MATCH($A12,Players!$A$2:$A$100,0),MATCH("Gra na bramce",Players!$A$1:$R$1,0))+PozycjeŚr!N$9*INDEX(Zawodnicy[],MATCH($A12,Players!$A$2:$A$100,0),MATCH("Panowanie",Players!$A$1:$R$1,0))+PozycjeŚr!N$10*INDEX(Zawodnicy[],MATCH($A12,Players!$A$2:$A$100,0),MATCH("Odbiór piłki",Players!$A$1:$R$1,0))+PozycjeŚr!N$11*INDEX(Zawodnicy[],MATCH($A12,Players!$A$2:$A$100,0),MATCH("Podania górą",Players!$A$1:$R$1,0))</f>
        <v>#N/A</v>
      </c>
      <c r="D12" s="16" t="e">
        <f>PozycjeŚr!O$2*INDEX(Zawodnicy[],MATCH($A12,Players!$A$2:$A$100,0),MATCH("Szybkość",Players!$A$1:$R$1,0))+PozycjeŚr!O$3*INDEX(Zawodnicy[],MATCH($A12,Players!$A$2:$A$100,0),MATCH("Kondycja",Players!$A$1:$R$1,0))+PozycjeŚr!O$4*INDEX(Zawodnicy[],MATCH($A12,Players!$A$2:$A$100,0),MATCH("Przegląd",Players!$A$1:$R$1,0))+PozycjeŚr!O$5*INDEX(Zawodnicy[],MATCH($A12,Players!$A$2:$A$100,0),MATCH("Podania dołem",Players!$A$1:$R$1,0))+PozycjeŚr!O$6*INDEX(Zawodnicy[],MATCH($A12,Players!$A$2:$A$100,0),MATCH("Strzał",Players!$A$1:$R$1,0))+PozycjeŚr!O$7*INDEX(Zawodnicy[],MATCH($A12,Players!$A$2:$A$100,0),MATCH("Gra głową",Players!$A$1:$R$1,0))+PozycjeŚr!O$8*INDEX(Zawodnicy[],MATCH($A12,Players!$A$2:$A$100,0),MATCH("Gra na bramce",Players!$A$1:$R$1,0))+PozycjeŚr!O$9*INDEX(Zawodnicy[],MATCH($A12,Players!$A$2:$A$100,0),MATCH("Panowanie",Players!$A$1:$R$1,0))+PozycjeŚr!O$10*INDEX(Zawodnicy[],MATCH($A12,Players!$A$2:$A$100,0),MATCH("Odbiór piłki",Players!$A$1:$R$1,0))+PozycjeŚr!O$11*INDEX(Zawodnicy[],MATCH($A12,Players!$A$2:$A$100,0),MATCH("Podania górą",Players!$A$1:$R$1,0))</f>
        <v>#N/A</v>
      </c>
      <c r="E12" s="16" t="e">
        <f>PozycjeŚr!P$2*INDEX(Zawodnicy[],MATCH($A12,Players!$A$2:$A$100,0),MATCH("Szybkość",Players!$A$1:$R$1,0))+PozycjeŚr!P$3*INDEX(Zawodnicy[],MATCH($A12,Players!$A$2:$A$100,0),MATCH("Kondycja",Players!$A$1:$R$1,0))+PozycjeŚr!P$4*INDEX(Zawodnicy[],MATCH($A12,Players!$A$2:$A$100,0),MATCH("Przegląd",Players!$A$1:$R$1,0))+PozycjeŚr!P$5*INDEX(Zawodnicy[],MATCH($A12,Players!$A$2:$A$100,0),MATCH("Podania dołem",Players!$A$1:$R$1,0))+PozycjeŚr!P$6*INDEX(Zawodnicy[],MATCH($A12,Players!$A$2:$A$100,0),MATCH("Strzał",Players!$A$1:$R$1,0))+PozycjeŚr!P$7*INDEX(Zawodnicy[],MATCH($A12,Players!$A$2:$A$100,0),MATCH("Gra głową",Players!$A$1:$R$1,0))+PozycjeŚr!P$8*INDEX(Zawodnicy[],MATCH($A12,Players!$A$2:$A$100,0),MATCH("Gra na bramce",Players!$A$1:$R$1,0))+PozycjeŚr!P$9*INDEX(Zawodnicy[],MATCH($A12,Players!$A$2:$A$100,0),MATCH("Panowanie",Players!$A$1:$R$1,0))+PozycjeŚr!P$10*INDEX(Zawodnicy[],MATCH($A12,Players!$A$2:$A$100,0),MATCH("Odbiór piłki",Players!$A$1:$R$1,0))+PozycjeŚr!P$11*INDEX(Zawodnicy[],MATCH($A12,Players!$A$2:$A$100,0),MATCH("Podania górą",Players!$A$1:$R$1,0))</f>
        <v>#N/A</v>
      </c>
      <c r="F12" s="16" t="e">
        <f>PozycjeŚr!Q$2*INDEX(Zawodnicy[],MATCH($A12,Players!$A$2:$A$100,0),MATCH("Szybkość",Players!$A$1:$R$1,0))+PozycjeŚr!Q$3*INDEX(Zawodnicy[],MATCH($A12,Players!$A$2:$A$100,0),MATCH("Kondycja",Players!$A$1:$R$1,0))+PozycjeŚr!Q$4*INDEX(Zawodnicy[],MATCH($A12,Players!$A$2:$A$100,0),MATCH("Przegląd",Players!$A$1:$R$1,0))+PozycjeŚr!Q$5*INDEX(Zawodnicy[],MATCH($A12,Players!$A$2:$A$100,0),MATCH("Podania dołem",Players!$A$1:$R$1,0))+PozycjeŚr!Q$6*INDEX(Zawodnicy[],MATCH($A12,Players!$A$2:$A$100,0),MATCH("Strzał",Players!$A$1:$R$1,0))+PozycjeŚr!Q$7*INDEX(Zawodnicy[],MATCH($A12,Players!$A$2:$A$100,0),MATCH("Gra głową",Players!$A$1:$R$1,0))+PozycjeŚr!Q$8*INDEX(Zawodnicy[],MATCH($A12,Players!$A$2:$A$100,0),MATCH("Gra na bramce",Players!$A$1:$R$1,0))+PozycjeŚr!Q$9*INDEX(Zawodnicy[],MATCH($A12,Players!$A$2:$A$100,0),MATCH("Panowanie",Players!$A$1:$R$1,0))+PozycjeŚr!Q$10*INDEX(Zawodnicy[],MATCH($A12,Players!$A$2:$A$100,0),MATCH("Odbiór piłki",Players!$A$1:$R$1,0))+PozycjeŚr!Q$11*INDEX(Zawodnicy[],MATCH($A12,Players!$A$2:$A$100,0),MATCH("Podania górą",Players!$A$1:$R$1,0))</f>
        <v>#N/A</v>
      </c>
      <c r="G12" s="16" t="e">
        <f>PozycjeŚr!R$2*INDEX(Zawodnicy[],MATCH($A12,Players!$A$2:$A$100,0),MATCH("Szybkość",Players!$A$1:$R$1,0))+PozycjeŚr!R$3*INDEX(Zawodnicy[],MATCH($A12,Players!$A$2:$A$100,0),MATCH("Kondycja",Players!$A$1:$R$1,0))+PozycjeŚr!R$4*INDEX(Zawodnicy[],MATCH($A12,Players!$A$2:$A$100,0),MATCH("Przegląd",Players!$A$1:$R$1,0))+PozycjeŚr!R$5*INDEX(Zawodnicy[],MATCH($A12,Players!$A$2:$A$100,0),MATCH("Podania dołem",Players!$A$1:$R$1,0))+PozycjeŚr!R$6*INDEX(Zawodnicy[],MATCH($A12,Players!$A$2:$A$100,0),MATCH("Strzał",Players!$A$1:$R$1,0))+PozycjeŚr!R$7*INDEX(Zawodnicy[],MATCH($A12,Players!$A$2:$A$100,0),MATCH("Gra głową",Players!$A$1:$R$1,0))+PozycjeŚr!R$8*INDEX(Zawodnicy[],MATCH($A12,Players!$A$2:$A$100,0),MATCH("Gra na bramce",Players!$A$1:$R$1,0))+PozycjeŚr!R$9*INDEX(Zawodnicy[],MATCH($A12,Players!$A$2:$A$100,0),MATCH("Panowanie",Players!$A$1:$R$1,0))+PozycjeŚr!R$10*INDEX(Zawodnicy[],MATCH($A12,Players!$A$2:$A$100,0),MATCH("Odbiór piłki",Players!$A$1:$R$1,0))+PozycjeŚr!R$11*INDEX(Zawodnicy[],MATCH($A12,Players!$A$2:$A$100,0),MATCH("Podania górą",Players!$A$1:$R$1,0))</f>
        <v>#N/A</v>
      </c>
      <c r="H12" s="16" t="e">
        <f>PozycjeŚr!S$2*INDEX(Zawodnicy[],MATCH($A12,Players!$A$2:$A$100,0),MATCH("Szybkość",Players!$A$1:$R$1,0))+PozycjeŚr!S$3*INDEX(Zawodnicy[],MATCH($A12,Players!$A$2:$A$100,0),MATCH("Kondycja",Players!$A$1:$R$1,0))+PozycjeŚr!S$4*INDEX(Zawodnicy[],MATCH($A12,Players!$A$2:$A$100,0),MATCH("Przegląd",Players!$A$1:$R$1,0))+PozycjeŚr!S$5*INDEX(Zawodnicy[],MATCH($A12,Players!$A$2:$A$100,0),MATCH("Podania dołem",Players!$A$1:$R$1,0))+PozycjeŚr!S$6*INDEX(Zawodnicy[],MATCH($A12,Players!$A$2:$A$100,0),MATCH("Strzał",Players!$A$1:$R$1,0))+PozycjeŚr!S$7*INDEX(Zawodnicy[],MATCH($A12,Players!$A$2:$A$100,0),MATCH("Gra głową",Players!$A$1:$R$1,0))+PozycjeŚr!S$8*INDEX(Zawodnicy[],MATCH($A12,Players!$A$2:$A$100,0),MATCH("Gra na bramce",Players!$A$1:$R$1,0))+PozycjeŚr!S$9*INDEX(Zawodnicy[],MATCH($A12,Players!$A$2:$A$100,0),MATCH("Panowanie",Players!$A$1:$R$1,0))+PozycjeŚr!S$10*INDEX(Zawodnicy[],MATCH($A12,Players!$A$2:$A$100,0),MATCH("Odbiór piłki",Players!$A$1:$R$1,0))+PozycjeŚr!S$11*INDEX(Zawodnicy[],MATCH($A12,Players!$A$2:$A$100,0),MATCH("Podania górą",Players!$A$1:$R$1,0))</f>
        <v>#N/A</v>
      </c>
      <c r="I12" s="16" t="e">
        <f>PozycjeŚr!T$2*INDEX(Zawodnicy[],MATCH($A12,Players!$A$2:$A$100,0),MATCH("Szybkość",Players!$A$1:$R$1,0))+PozycjeŚr!T$3*INDEX(Zawodnicy[],MATCH($A12,Players!$A$2:$A$100,0),MATCH("Kondycja",Players!$A$1:$R$1,0))+PozycjeŚr!T$4*INDEX(Zawodnicy[],MATCH($A12,Players!$A$2:$A$100,0),MATCH("Przegląd",Players!$A$1:$R$1,0))+PozycjeŚr!T$5*INDEX(Zawodnicy[],MATCH($A12,Players!$A$2:$A$100,0),MATCH("Podania dołem",Players!$A$1:$R$1,0))+PozycjeŚr!T$6*INDEX(Zawodnicy[],MATCH($A12,Players!$A$2:$A$100,0),MATCH("Strzał",Players!$A$1:$R$1,0))+PozycjeŚr!T$7*INDEX(Zawodnicy[],MATCH($A12,Players!$A$2:$A$100,0),MATCH("Gra głową",Players!$A$1:$R$1,0))+PozycjeŚr!T$8*INDEX(Zawodnicy[],MATCH($A12,Players!$A$2:$A$100,0),MATCH("Gra na bramce",Players!$A$1:$R$1,0))+PozycjeŚr!T$9*INDEX(Zawodnicy[],MATCH($A12,Players!$A$2:$A$100,0),MATCH("Panowanie",Players!$A$1:$R$1,0))+PozycjeŚr!T$10*INDEX(Zawodnicy[],MATCH($A12,Players!$A$2:$A$100,0),MATCH("Odbiór piłki",Players!$A$1:$R$1,0))+PozycjeŚr!T$11*INDEX(Zawodnicy[],MATCH($A12,Players!$A$2:$A$100,0),MATCH("Podania górą",Players!$A$1:$R$1,0))</f>
        <v>#N/A</v>
      </c>
      <c r="J12" s="16" t="e">
        <f>PozycjeŚr!U$2*INDEX(Zawodnicy[],MATCH($A12,Players!$A$2:$A$100,0),MATCH("Szybkość",Players!$A$1:$R$1,0))+PozycjeŚr!U$3*INDEX(Zawodnicy[],MATCH($A12,Players!$A$2:$A$100,0),MATCH("Kondycja",Players!$A$1:$R$1,0))+PozycjeŚr!U$4*INDEX(Zawodnicy[],MATCH($A12,Players!$A$2:$A$100,0),MATCH("Przegląd",Players!$A$1:$R$1,0))+PozycjeŚr!U$5*INDEX(Zawodnicy[],MATCH($A12,Players!$A$2:$A$100,0),MATCH("Podania dołem",Players!$A$1:$R$1,0))+PozycjeŚr!U$6*INDEX(Zawodnicy[],MATCH($A12,Players!$A$2:$A$100,0),MATCH("Strzał",Players!$A$1:$R$1,0))+PozycjeŚr!U$7*INDEX(Zawodnicy[],MATCH($A12,Players!$A$2:$A$100,0),MATCH("Gra głową",Players!$A$1:$R$1,0))+PozycjeŚr!U$8*INDEX(Zawodnicy[],MATCH($A12,Players!$A$2:$A$100,0),MATCH("Gra na bramce",Players!$A$1:$R$1,0))+PozycjeŚr!U$9*INDEX(Zawodnicy[],MATCH($A12,Players!$A$2:$A$100,0),MATCH("Panowanie",Players!$A$1:$R$1,0))+PozycjeŚr!U$10*INDEX(Zawodnicy[],MATCH($A12,Players!$A$2:$A$100,0),MATCH("Odbiór piłki",Players!$A$1:$R$1,0))+PozycjeŚr!U$11*INDEX(Zawodnicy[],MATCH($A12,Players!$A$2:$A$100,0),MATCH("Podania górą",Players!$A$1:$R$1,0))</f>
        <v>#N/A</v>
      </c>
      <c r="K12" s="16" t="e">
        <f>PozycjeŚr!V$2*INDEX(Zawodnicy[],MATCH($A12,Players!$A$2:$A$100,0),MATCH("Szybkość",Players!$A$1:$R$1,0))+PozycjeŚr!V$3*INDEX(Zawodnicy[],MATCH($A12,Players!$A$2:$A$100,0),MATCH("Kondycja",Players!$A$1:$R$1,0))+PozycjeŚr!V$4*INDEX(Zawodnicy[],MATCH($A12,Players!$A$2:$A$100,0),MATCH("Przegląd",Players!$A$1:$R$1,0))+PozycjeŚr!V$5*INDEX(Zawodnicy[],MATCH($A12,Players!$A$2:$A$100,0),MATCH("Podania dołem",Players!$A$1:$R$1,0))+PozycjeŚr!V$6*INDEX(Zawodnicy[],MATCH($A12,Players!$A$2:$A$100,0),MATCH("Strzał",Players!$A$1:$R$1,0))+PozycjeŚr!V$7*INDEX(Zawodnicy[],MATCH($A12,Players!$A$2:$A$100,0),MATCH("Gra głową",Players!$A$1:$R$1,0))+PozycjeŚr!V$8*INDEX(Zawodnicy[],MATCH($A12,Players!$A$2:$A$100,0),MATCH("Gra na bramce",Players!$A$1:$R$1,0))+PozycjeŚr!V$9*INDEX(Zawodnicy[],MATCH($A12,Players!$A$2:$A$100,0),MATCH("Panowanie",Players!$A$1:$R$1,0))+PozycjeŚr!V$10*INDEX(Zawodnicy[],MATCH($A12,Players!$A$2:$A$100,0),MATCH("Odbiór piłki",Players!$A$1:$R$1,0))+PozycjeŚr!V$11*INDEX(Zawodnicy[],MATCH($A12,Players!$A$2:$A$100,0),MATCH("Podania górą",Players!$A$1:$R$1,0))</f>
        <v>#N/A</v>
      </c>
      <c r="L12" s="16" t="e">
        <f>PozycjeŚr!W$2*INDEX(Zawodnicy[],MATCH($A12,Players!$A$2:$A$100,0),MATCH("Szybkość",Players!$A$1:$R$1,0))+PozycjeŚr!W$3*INDEX(Zawodnicy[],MATCH($A12,Players!$A$2:$A$100,0),MATCH("Kondycja",Players!$A$1:$R$1,0))+PozycjeŚr!W$4*INDEX(Zawodnicy[],MATCH($A12,Players!$A$2:$A$100,0),MATCH("Przegląd",Players!$A$1:$R$1,0))+PozycjeŚr!W$5*INDEX(Zawodnicy[],MATCH($A12,Players!$A$2:$A$100,0),MATCH("Podania dołem",Players!$A$1:$R$1,0))+PozycjeŚr!W$6*INDEX(Zawodnicy[],MATCH($A12,Players!$A$2:$A$100,0),MATCH("Strzał",Players!$A$1:$R$1,0))+PozycjeŚr!W$7*INDEX(Zawodnicy[],MATCH($A12,Players!$A$2:$A$100,0),MATCH("Gra głową",Players!$A$1:$R$1,0))+PozycjeŚr!W$8*INDEX(Zawodnicy[],MATCH($A12,Players!$A$2:$A$100,0),MATCH("Gra na bramce",Players!$A$1:$R$1,0))+PozycjeŚr!W$9*INDEX(Zawodnicy[],MATCH($A12,Players!$A$2:$A$100,0),MATCH("Panowanie",Players!$A$1:$R$1,0))+PozycjeŚr!W$10*INDEX(Zawodnicy[],MATCH($A12,Players!$A$2:$A$100,0),MATCH("Odbiór piłki",Players!$A$1:$R$1,0))+PozycjeŚr!W$11*INDEX(Zawodnicy[],MATCH($A12,Players!$A$2:$A$100,0),MATCH("Podania górą",Players!$A$1:$R$1,0))</f>
        <v>#N/A</v>
      </c>
    </row>
    <row r="13" spans="1:12" x14ac:dyDescent="0.25">
      <c r="A13" s="39">
        <f>IFERROR(Zawodnicy[[#This Row],[Number]],"-")</f>
        <v>17</v>
      </c>
      <c r="B13" t="str">
        <f>VLOOKUP(Radar[[#This Row],[Numer]],Zawodnicy[],2,FALSE)</f>
        <v>Hieronim Wejta</v>
      </c>
      <c r="C13" s="16" t="e">
        <f>PozycjeŚr!N$2*INDEX(Zawodnicy[],MATCH($A13,Players!$A$2:$A$100,0),MATCH("Szybkość",Players!$A$1:$R$1,0))+PozycjeŚr!N$3*INDEX(Zawodnicy[],MATCH($A13,Players!$A$2:$A$100,0),MATCH("Kondycja",Players!$A$1:$R$1,0))+PozycjeŚr!N$4*INDEX(Zawodnicy[],MATCH($A13,Players!$A$2:$A$100,0),MATCH("Przegląd",Players!$A$1:$R$1,0))+PozycjeŚr!N$5*INDEX(Zawodnicy[],MATCH($A13,Players!$A$2:$A$100,0),MATCH("Podania dołem",Players!$A$1:$R$1,0))+PozycjeŚr!N$6*INDEX(Zawodnicy[],MATCH($A13,Players!$A$2:$A$100,0),MATCH("Strzał",Players!$A$1:$R$1,0))+PozycjeŚr!N$7*INDEX(Zawodnicy[],MATCH($A13,Players!$A$2:$A$100,0),MATCH("Gra głową",Players!$A$1:$R$1,0))+PozycjeŚr!N$8*INDEX(Zawodnicy[],MATCH($A13,Players!$A$2:$A$100,0),MATCH("Gra na bramce",Players!$A$1:$R$1,0))+PozycjeŚr!N$9*INDEX(Zawodnicy[],MATCH($A13,Players!$A$2:$A$100,0),MATCH("Panowanie",Players!$A$1:$R$1,0))+PozycjeŚr!N$10*INDEX(Zawodnicy[],MATCH($A13,Players!$A$2:$A$100,0),MATCH("Odbiór piłki",Players!$A$1:$R$1,0))+PozycjeŚr!N$11*INDEX(Zawodnicy[],MATCH($A13,Players!$A$2:$A$100,0),MATCH("Podania górą",Players!$A$1:$R$1,0))</f>
        <v>#N/A</v>
      </c>
      <c r="D13" s="16" t="e">
        <f>PozycjeŚr!O$2*INDEX(Zawodnicy[],MATCH($A13,Players!$A$2:$A$100,0),MATCH("Szybkość",Players!$A$1:$R$1,0))+PozycjeŚr!O$3*INDEX(Zawodnicy[],MATCH($A13,Players!$A$2:$A$100,0),MATCH("Kondycja",Players!$A$1:$R$1,0))+PozycjeŚr!O$4*INDEX(Zawodnicy[],MATCH($A13,Players!$A$2:$A$100,0),MATCH("Przegląd",Players!$A$1:$R$1,0))+PozycjeŚr!O$5*INDEX(Zawodnicy[],MATCH($A13,Players!$A$2:$A$100,0),MATCH("Podania dołem",Players!$A$1:$R$1,0))+PozycjeŚr!O$6*INDEX(Zawodnicy[],MATCH($A13,Players!$A$2:$A$100,0),MATCH("Strzał",Players!$A$1:$R$1,0))+PozycjeŚr!O$7*INDEX(Zawodnicy[],MATCH($A13,Players!$A$2:$A$100,0),MATCH("Gra głową",Players!$A$1:$R$1,0))+PozycjeŚr!O$8*INDEX(Zawodnicy[],MATCH($A13,Players!$A$2:$A$100,0),MATCH("Gra na bramce",Players!$A$1:$R$1,0))+PozycjeŚr!O$9*INDEX(Zawodnicy[],MATCH($A13,Players!$A$2:$A$100,0),MATCH("Panowanie",Players!$A$1:$R$1,0))+PozycjeŚr!O$10*INDEX(Zawodnicy[],MATCH($A13,Players!$A$2:$A$100,0),MATCH("Odbiór piłki",Players!$A$1:$R$1,0))+PozycjeŚr!O$11*INDEX(Zawodnicy[],MATCH($A13,Players!$A$2:$A$100,0),MATCH("Podania górą",Players!$A$1:$R$1,0))</f>
        <v>#N/A</v>
      </c>
      <c r="E13" s="16" t="e">
        <f>PozycjeŚr!P$2*INDEX(Zawodnicy[],MATCH($A13,Players!$A$2:$A$100,0),MATCH("Szybkość",Players!$A$1:$R$1,0))+PozycjeŚr!P$3*INDEX(Zawodnicy[],MATCH($A13,Players!$A$2:$A$100,0),MATCH("Kondycja",Players!$A$1:$R$1,0))+PozycjeŚr!P$4*INDEX(Zawodnicy[],MATCH($A13,Players!$A$2:$A$100,0),MATCH("Przegląd",Players!$A$1:$R$1,0))+PozycjeŚr!P$5*INDEX(Zawodnicy[],MATCH($A13,Players!$A$2:$A$100,0),MATCH("Podania dołem",Players!$A$1:$R$1,0))+PozycjeŚr!P$6*INDEX(Zawodnicy[],MATCH($A13,Players!$A$2:$A$100,0),MATCH("Strzał",Players!$A$1:$R$1,0))+PozycjeŚr!P$7*INDEX(Zawodnicy[],MATCH($A13,Players!$A$2:$A$100,0),MATCH("Gra głową",Players!$A$1:$R$1,0))+PozycjeŚr!P$8*INDEX(Zawodnicy[],MATCH($A13,Players!$A$2:$A$100,0),MATCH("Gra na bramce",Players!$A$1:$R$1,0))+PozycjeŚr!P$9*INDEX(Zawodnicy[],MATCH($A13,Players!$A$2:$A$100,0),MATCH("Panowanie",Players!$A$1:$R$1,0))+PozycjeŚr!P$10*INDEX(Zawodnicy[],MATCH($A13,Players!$A$2:$A$100,0),MATCH("Odbiór piłki",Players!$A$1:$R$1,0))+PozycjeŚr!P$11*INDEX(Zawodnicy[],MATCH($A13,Players!$A$2:$A$100,0),MATCH("Podania górą",Players!$A$1:$R$1,0))</f>
        <v>#N/A</v>
      </c>
      <c r="F13" s="16" t="e">
        <f>PozycjeŚr!Q$2*INDEX(Zawodnicy[],MATCH($A13,Players!$A$2:$A$100,0),MATCH("Szybkość",Players!$A$1:$R$1,0))+PozycjeŚr!Q$3*INDEX(Zawodnicy[],MATCH($A13,Players!$A$2:$A$100,0),MATCH("Kondycja",Players!$A$1:$R$1,0))+PozycjeŚr!Q$4*INDEX(Zawodnicy[],MATCH($A13,Players!$A$2:$A$100,0),MATCH("Przegląd",Players!$A$1:$R$1,0))+PozycjeŚr!Q$5*INDEX(Zawodnicy[],MATCH($A13,Players!$A$2:$A$100,0),MATCH("Podania dołem",Players!$A$1:$R$1,0))+PozycjeŚr!Q$6*INDEX(Zawodnicy[],MATCH($A13,Players!$A$2:$A$100,0),MATCH("Strzał",Players!$A$1:$R$1,0))+PozycjeŚr!Q$7*INDEX(Zawodnicy[],MATCH($A13,Players!$A$2:$A$100,0),MATCH("Gra głową",Players!$A$1:$R$1,0))+PozycjeŚr!Q$8*INDEX(Zawodnicy[],MATCH($A13,Players!$A$2:$A$100,0),MATCH("Gra na bramce",Players!$A$1:$R$1,0))+PozycjeŚr!Q$9*INDEX(Zawodnicy[],MATCH($A13,Players!$A$2:$A$100,0),MATCH("Panowanie",Players!$A$1:$R$1,0))+PozycjeŚr!Q$10*INDEX(Zawodnicy[],MATCH($A13,Players!$A$2:$A$100,0),MATCH("Odbiór piłki",Players!$A$1:$R$1,0))+PozycjeŚr!Q$11*INDEX(Zawodnicy[],MATCH($A13,Players!$A$2:$A$100,0),MATCH("Podania górą",Players!$A$1:$R$1,0))</f>
        <v>#N/A</v>
      </c>
      <c r="G13" s="16" t="e">
        <f>PozycjeŚr!R$2*INDEX(Zawodnicy[],MATCH($A13,Players!$A$2:$A$100,0),MATCH("Szybkość",Players!$A$1:$R$1,0))+PozycjeŚr!R$3*INDEX(Zawodnicy[],MATCH($A13,Players!$A$2:$A$100,0),MATCH("Kondycja",Players!$A$1:$R$1,0))+PozycjeŚr!R$4*INDEX(Zawodnicy[],MATCH($A13,Players!$A$2:$A$100,0),MATCH("Przegląd",Players!$A$1:$R$1,0))+PozycjeŚr!R$5*INDEX(Zawodnicy[],MATCH($A13,Players!$A$2:$A$100,0),MATCH("Podania dołem",Players!$A$1:$R$1,0))+PozycjeŚr!R$6*INDEX(Zawodnicy[],MATCH($A13,Players!$A$2:$A$100,0),MATCH("Strzał",Players!$A$1:$R$1,0))+PozycjeŚr!R$7*INDEX(Zawodnicy[],MATCH($A13,Players!$A$2:$A$100,0),MATCH("Gra głową",Players!$A$1:$R$1,0))+PozycjeŚr!R$8*INDEX(Zawodnicy[],MATCH($A13,Players!$A$2:$A$100,0),MATCH("Gra na bramce",Players!$A$1:$R$1,0))+PozycjeŚr!R$9*INDEX(Zawodnicy[],MATCH($A13,Players!$A$2:$A$100,0),MATCH("Panowanie",Players!$A$1:$R$1,0))+PozycjeŚr!R$10*INDEX(Zawodnicy[],MATCH($A13,Players!$A$2:$A$100,0),MATCH("Odbiór piłki",Players!$A$1:$R$1,0))+PozycjeŚr!R$11*INDEX(Zawodnicy[],MATCH($A13,Players!$A$2:$A$100,0),MATCH("Podania górą",Players!$A$1:$R$1,0))</f>
        <v>#N/A</v>
      </c>
      <c r="H13" s="16" t="e">
        <f>PozycjeŚr!S$2*INDEX(Zawodnicy[],MATCH($A13,Players!$A$2:$A$100,0),MATCH("Szybkość",Players!$A$1:$R$1,0))+PozycjeŚr!S$3*INDEX(Zawodnicy[],MATCH($A13,Players!$A$2:$A$100,0),MATCH("Kondycja",Players!$A$1:$R$1,0))+PozycjeŚr!S$4*INDEX(Zawodnicy[],MATCH($A13,Players!$A$2:$A$100,0),MATCH("Przegląd",Players!$A$1:$R$1,0))+PozycjeŚr!S$5*INDEX(Zawodnicy[],MATCH($A13,Players!$A$2:$A$100,0),MATCH("Podania dołem",Players!$A$1:$R$1,0))+PozycjeŚr!S$6*INDEX(Zawodnicy[],MATCH($A13,Players!$A$2:$A$100,0),MATCH("Strzał",Players!$A$1:$R$1,0))+PozycjeŚr!S$7*INDEX(Zawodnicy[],MATCH($A13,Players!$A$2:$A$100,0),MATCH("Gra głową",Players!$A$1:$R$1,0))+PozycjeŚr!S$8*INDEX(Zawodnicy[],MATCH($A13,Players!$A$2:$A$100,0),MATCH("Gra na bramce",Players!$A$1:$R$1,0))+PozycjeŚr!S$9*INDEX(Zawodnicy[],MATCH($A13,Players!$A$2:$A$100,0),MATCH("Panowanie",Players!$A$1:$R$1,0))+PozycjeŚr!S$10*INDEX(Zawodnicy[],MATCH($A13,Players!$A$2:$A$100,0),MATCH("Odbiór piłki",Players!$A$1:$R$1,0))+PozycjeŚr!S$11*INDEX(Zawodnicy[],MATCH($A13,Players!$A$2:$A$100,0),MATCH("Podania górą",Players!$A$1:$R$1,0))</f>
        <v>#N/A</v>
      </c>
      <c r="I13" s="16" t="e">
        <f>PozycjeŚr!T$2*INDEX(Zawodnicy[],MATCH($A13,Players!$A$2:$A$100,0),MATCH("Szybkość",Players!$A$1:$R$1,0))+PozycjeŚr!T$3*INDEX(Zawodnicy[],MATCH($A13,Players!$A$2:$A$100,0),MATCH("Kondycja",Players!$A$1:$R$1,0))+PozycjeŚr!T$4*INDEX(Zawodnicy[],MATCH($A13,Players!$A$2:$A$100,0),MATCH("Przegląd",Players!$A$1:$R$1,0))+PozycjeŚr!T$5*INDEX(Zawodnicy[],MATCH($A13,Players!$A$2:$A$100,0),MATCH("Podania dołem",Players!$A$1:$R$1,0))+PozycjeŚr!T$6*INDEX(Zawodnicy[],MATCH($A13,Players!$A$2:$A$100,0),MATCH("Strzał",Players!$A$1:$R$1,0))+PozycjeŚr!T$7*INDEX(Zawodnicy[],MATCH($A13,Players!$A$2:$A$100,0),MATCH("Gra głową",Players!$A$1:$R$1,0))+PozycjeŚr!T$8*INDEX(Zawodnicy[],MATCH($A13,Players!$A$2:$A$100,0),MATCH("Gra na bramce",Players!$A$1:$R$1,0))+PozycjeŚr!T$9*INDEX(Zawodnicy[],MATCH($A13,Players!$A$2:$A$100,0),MATCH("Panowanie",Players!$A$1:$R$1,0))+PozycjeŚr!T$10*INDEX(Zawodnicy[],MATCH($A13,Players!$A$2:$A$100,0),MATCH("Odbiór piłki",Players!$A$1:$R$1,0))+PozycjeŚr!T$11*INDEX(Zawodnicy[],MATCH($A13,Players!$A$2:$A$100,0),MATCH("Podania górą",Players!$A$1:$R$1,0))</f>
        <v>#N/A</v>
      </c>
      <c r="J13" s="16" t="e">
        <f>PozycjeŚr!U$2*INDEX(Zawodnicy[],MATCH($A13,Players!$A$2:$A$100,0),MATCH("Szybkość",Players!$A$1:$R$1,0))+PozycjeŚr!U$3*INDEX(Zawodnicy[],MATCH($A13,Players!$A$2:$A$100,0),MATCH("Kondycja",Players!$A$1:$R$1,0))+PozycjeŚr!U$4*INDEX(Zawodnicy[],MATCH($A13,Players!$A$2:$A$100,0),MATCH("Przegląd",Players!$A$1:$R$1,0))+PozycjeŚr!U$5*INDEX(Zawodnicy[],MATCH($A13,Players!$A$2:$A$100,0),MATCH("Podania dołem",Players!$A$1:$R$1,0))+PozycjeŚr!U$6*INDEX(Zawodnicy[],MATCH($A13,Players!$A$2:$A$100,0),MATCH("Strzał",Players!$A$1:$R$1,0))+PozycjeŚr!U$7*INDEX(Zawodnicy[],MATCH($A13,Players!$A$2:$A$100,0),MATCH("Gra głową",Players!$A$1:$R$1,0))+PozycjeŚr!U$8*INDEX(Zawodnicy[],MATCH($A13,Players!$A$2:$A$100,0),MATCH("Gra na bramce",Players!$A$1:$R$1,0))+PozycjeŚr!U$9*INDEX(Zawodnicy[],MATCH($A13,Players!$A$2:$A$100,0),MATCH("Panowanie",Players!$A$1:$R$1,0))+PozycjeŚr!U$10*INDEX(Zawodnicy[],MATCH($A13,Players!$A$2:$A$100,0),MATCH("Odbiór piłki",Players!$A$1:$R$1,0))+PozycjeŚr!U$11*INDEX(Zawodnicy[],MATCH($A13,Players!$A$2:$A$100,0),MATCH("Podania górą",Players!$A$1:$R$1,0))</f>
        <v>#N/A</v>
      </c>
      <c r="K13" s="16" t="e">
        <f>PozycjeŚr!V$2*INDEX(Zawodnicy[],MATCH($A13,Players!$A$2:$A$100,0),MATCH("Szybkość",Players!$A$1:$R$1,0))+PozycjeŚr!V$3*INDEX(Zawodnicy[],MATCH($A13,Players!$A$2:$A$100,0),MATCH("Kondycja",Players!$A$1:$R$1,0))+PozycjeŚr!V$4*INDEX(Zawodnicy[],MATCH($A13,Players!$A$2:$A$100,0),MATCH("Przegląd",Players!$A$1:$R$1,0))+PozycjeŚr!V$5*INDEX(Zawodnicy[],MATCH($A13,Players!$A$2:$A$100,0),MATCH("Podania dołem",Players!$A$1:$R$1,0))+PozycjeŚr!V$6*INDEX(Zawodnicy[],MATCH($A13,Players!$A$2:$A$100,0),MATCH("Strzał",Players!$A$1:$R$1,0))+PozycjeŚr!V$7*INDEX(Zawodnicy[],MATCH($A13,Players!$A$2:$A$100,0),MATCH("Gra głową",Players!$A$1:$R$1,0))+PozycjeŚr!V$8*INDEX(Zawodnicy[],MATCH($A13,Players!$A$2:$A$100,0),MATCH("Gra na bramce",Players!$A$1:$R$1,0))+PozycjeŚr!V$9*INDEX(Zawodnicy[],MATCH($A13,Players!$A$2:$A$100,0),MATCH("Panowanie",Players!$A$1:$R$1,0))+PozycjeŚr!V$10*INDEX(Zawodnicy[],MATCH($A13,Players!$A$2:$A$100,0),MATCH("Odbiór piłki",Players!$A$1:$R$1,0))+PozycjeŚr!V$11*INDEX(Zawodnicy[],MATCH($A13,Players!$A$2:$A$100,0),MATCH("Podania górą",Players!$A$1:$R$1,0))</f>
        <v>#N/A</v>
      </c>
      <c r="L13" s="16" t="e">
        <f>PozycjeŚr!W$2*INDEX(Zawodnicy[],MATCH($A13,Players!$A$2:$A$100,0),MATCH("Szybkość",Players!$A$1:$R$1,0))+PozycjeŚr!W$3*INDEX(Zawodnicy[],MATCH($A13,Players!$A$2:$A$100,0),MATCH("Kondycja",Players!$A$1:$R$1,0))+PozycjeŚr!W$4*INDEX(Zawodnicy[],MATCH($A13,Players!$A$2:$A$100,0),MATCH("Przegląd",Players!$A$1:$R$1,0))+PozycjeŚr!W$5*INDEX(Zawodnicy[],MATCH($A13,Players!$A$2:$A$100,0),MATCH("Podania dołem",Players!$A$1:$R$1,0))+PozycjeŚr!W$6*INDEX(Zawodnicy[],MATCH($A13,Players!$A$2:$A$100,0),MATCH("Strzał",Players!$A$1:$R$1,0))+PozycjeŚr!W$7*INDEX(Zawodnicy[],MATCH($A13,Players!$A$2:$A$100,0),MATCH("Gra głową",Players!$A$1:$R$1,0))+PozycjeŚr!W$8*INDEX(Zawodnicy[],MATCH($A13,Players!$A$2:$A$100,0),MATCH("Gra na bramce",Players!$A$1:$R$1,0))+PozycjeŚr!W$9*INDEX(Zawodnicy[],MATCH($A13,Players!$A$2:$A$100,0),MATCH("Panowanie",Players!$A$1:$R$1,0))+PozycjeŚr!W$10*INDEX(Zawodnicy[],MATCH($A13,Players!$A$2:$A$100,0),MATCH("Odbiór piłki",Players!$A$1:$R$1,0))+PozycjeŚr!W$11*INDEX(Zawodnicy[],MATCH($A13,Players!$A$2:$A$100,0),MATCH("Podania górą",Players!$A$1:$R$1,0))</f>
        <v>#N/A</v>
      </c>
    </row>
    <row r="14" spans="1:12" x14ac:dyDescent="0.25">
      <c r="A14" s="39">
        <f>IFERROR(Zawodnicy[[#This Row],[Number]],"-")</f>
        <v>18</v>
      </c>
      <c r="B14" t="str">
        <f>VLOOKUP(Radar[[#This Row],[Numer]],Zawodnicy[],2,FALSE)</f>
        <v>Armando Astudillo</v>
      </c>
      <c r="C14" s="16" t="e">
        <f>PozycjeŚr!N$2*INDEX(Zawodnicy[],MATCH($A14,Players!$A$2:$A$100,0),MATCH("Szybkość",Players!$A$1:$R$1,0))+PozycjeŚr!N$3*INDEX(Zawodnicy[],MATCH($A14,Players!$A$2:$A$100,0),MATCH("Kondycja",Players!$A$1:$R$1,0))+PozycjeŚr!N$4*INDEX(Zawodnicy[],MATCH($A14,Players!$A$2:$A$100,0),MATCH("Przegląd",Players!$A$1:$R$1,0))+PozycjeŚr!N$5*INDEX(Zawodnicy[],MATCH($A14,Players!$A$2:$A$100,0),MATCH("Podania dołem",Players!$A$1:$R$1,0))+PozycjeŚr!N$6*INDEX(Zawodnicy[],MATCH($A14,Players!$A$2:$A$100,0),MATCH("Strzał",Players!$A$1:$R$1,0))+PozycjeŚr!N$7*INDEX(Zawodnicy[],MATCH($A14,Players!$A$2:$A$100,0),MATCH("Gra głową",Players!$A$1:$R$1,0))+PozycjeŚr!N$8*INDEX(Zawodnicy[],MATCH($A14,Players!$A$2:$A$100,0),MATCH("Gra na bramce",Players!$A$1:$R$1,0))+PozycjeŚr!N$9*INDEX(Zawodnicy[],MATCH($A14,Players!$A$2:$A$100,0),MATCH("Panowanie",Players!$A$1:$R$1,0))+PozycjeŚr!N$10*INDEX(Zawodnicy[],MATCH($A14,Players!$A$2:$A$100,0),MATCH("Odbiór piłki",Players!$A$1:$R$1,0))+PozycjeŚr!N$11*INDEX(Zawodnicy[],MATCH($A14,Players!$A$2:$A$100,0),MATCH("Podania górą",Players!$A$1:$R$1,0))</f>
        <v>#N/A</v>
      </c>
      <c r="D14" s="16" t="e">
        <f>PozycjeŚr!O$2*INDEX(Zawodnicy[],MATCH($A14,Players!$A$2:$A$100,0),MATCH("Szybkość",Players!$A$1:$R$1,0))+PozycjeŚr!O$3*INDEX(Zawodnicy[],MATCH($A14,Players!$A$2:$A$100,0),MATCH("Kondycja",Players!$A$1:$R$1,0))+PozycjeŚr!O$4*INDEX(Zawodnicy[],MATCH($A14,Players!$A$2:$A$100,0),MATCH("Przegląd",Players!$A$1:$R$1,0))+PozycjeŚr!O$5*INDEX(Zawodnicy[],MATCH($A14,Players!$A$2:$A$100,0),MATCH("Podania dołem",Players!$A$1:$R$1,0))+PozycjeŚr!O$6*INDEX(Zawodnicy[],MATCH($A14,Players!$A$2:$A$100,0),MATCH("Strzał",Players!$A$1:$R$1,0))+PozycjeŚr!O$7*INDEX(Zawodnicy[],MATCH($A14,Players!$A$2:$A$100,0),MATCH("Gra głową",Players!$A$1:$R$1,0))+PozycjeŚr!O$8*INDEX(Zawodnicy[],MATCH($A14,Players!$A$2:$A$100,0),MATCH("Gra na bramce",Players!$A$1:$R$1,0))+PozycjeŚr!O$9*INDEX(Zawodnicy[],MATCH($A14,Players!$A$2:$A$100,0),MATCH("Panowanie",Players!$A$1:$R$1,0))+PozycjeŚr!O$10*INDEX(Zawodnicy[],MATCH($A14,Players!$A$2:$A$100,0),MATCH("Odbiór piłki",Players!$A$1:$R$1,0))+PozycjeŚr!O$11*INDEX(Zawodnicy[],MATCH($A14,Players!$A$2:$A$100,0),MATCH("Podania górą",Players!$A$1:$R$1,0))</f>
        <v>#N/A</v>
      </c>
      <c r="E14" s="16" t="e">
        <f>PozycjeŚr!P$2*INDEX(Zawodnicy[],MATCH($A14,Players!$A$2:$A$100,0),MATCH("Szybkość",Players!$A$1:$R$1,0))+PozycjeŚr!P$3*INDEX(Zawodnicy[],MATCH($A14,Players!$A$2:$A$100,0),MATCH("Kondycja",Players!$A$1:$R$1,0))+PozycjeŚr!P$4*INDEX(Zawodnicy[],MATCH($A14,Players!$A$2:$A$100,0),MATCH("Przegląd",Players!$A$1:$R$1,0))+PozycjeŚr!P$5*INDEX(Zawodnicy[],MATCH($A14,Players!$A$2:$A$100,0),MATCH("Podania dołem",Players!$A$1:$R$1,0))+PozycjeŚr!P$6*INDEX(Zawodnicy[],MATCH($A14,Players!$A$2:$A$100,0),MATCH("Strzał",Players!$A$1:$R$1,0))+PozycjeŚr!P$7*INDEX(Zawodnicy[],MATCH($A14,Players!$A$2:$A$100,0),MATCH("Gra głową",Players!$A$1:$R$1,0))+PozycjeŚr!P$8*INDEX(Zawodnicy[],MATCH($A14,Players!$A$2:$A$100,0),MATCH("Gra na bramce",Players!$A$1:$R$1,0))+PozycjeŚr!P$9*INDEX(Zawodnicy[],MATCH($A14,Players!$A$2:$A$100,0),MATCH("Panowanie",Players!$A$1:$R$1,0))+PozycjeŚr!P$10*INDEX(Zawodnicy[],MATCH($A14,Players!$A$2:$A$100,0),MATCH("Odbiór piłki",Players!$A$1:$R$1,0))+PozycjeŚr!P$11*INDEX(Zawodnicy[],MATCH($A14,Players!$A$2:$A$100,0),MATCH("Podania górą",Players!$A$1:$R$1,0))</f>
        <v>#N/A</v>
      </c>
      <c r="F14" s="16" t="e">
        <f>PozycjeŚr!Q$2*INDEX(Zawodnicy[],MATCH($A14,Players!$A$2:$A$100,0),MATCH("Szybkość",Players!$A$1:$R$1,0))+PozycjeŚr!Q$3*INDEX(Zawodnicy[],MATCH($A14,Players!$A$2:$A$100,0),MATCH("Kondycja",Players!$A$1:$R$1,0))+PozycjeŚr!Q$4*INDEX(Zawodnicy[],MATCH($A14,Players!$A$2:$A$100,0),MATCH("Przegląd",Players!$A$1:$R$1,0))+PozycjeŚr!Q$5*INDEX(Zawodnicy[],MATCH($A14,Players!$A$2:$A$100,0),MATCH("Podania dołem",Players!$A$1:$R$1,0))+PozycjeŚr!Q$6*INDEX(Zawodnicy[],MATCH($A14,Players!$A$2:$A$100,0),MATCH("Strzał",Players!$A$1:$R$1,0))+PozycjeŚr!Q$7*INDEX(Zawodnicy[],MATCH($A14,Players!$A$2:$A$100,0),MATCH("Gra głową",Players!$A$1:$R$1,0))+PozycjeŚr!Q$8*INDEX(Zawodnicy[],MATCH($A14,Players!$A$2:$A$100,0),MATCH("Gra na bramce",Players!$A$1:$R$1,0))+PozycjeŚr!Q$9*INDEX(Zawodnicy[],MATCH($A14,Players!$A$2:$A$100,0),MATCH("Panowanie",Players!$A$1:$R$1,0))+PozycjeŚr!Q$10*INDEX(Zawodnicy[],MATCH($A14,Players!$A$2:$A$100,0),MATCH("Odbiór piłki",Players!$A$1:$R$1,0))+PozycjeŚr!Q$11*INDEX(Zawodnicy[],MATCH($A14,Players!$A$2:$A$100,0),MATCH("Podania górą",Players!$A$1:$R$1,0))</f>
        <v>#N/A</v>
      </c>
      <c r="G14" s="16" t="e">
        <f>PozycjeŚr!R$2*INDEX(Zawodnicy[],MATCH($A14,Players!$A$2:$A$100,0),MATCH("Szybkość",Players!$A$1:$R$1,0))+PozycjeŚr!R$3*INDEX(Zawodnicy[],MATCH($A14,Players!$A$2:$A$100,0),MATCH("Kondycja",Players!$A$1:$R$1,0))+PozycjeŚr!R$4*INDEX(Zawodnicy[],MATCH($A14,Players!$A$2:$A$100,0),MATCH("Przegląd",Players!$A$1:$R$1,0))+PozycjeŚr!R$5*INDEX(Zawodnicy[],MATCH($A14,Players!$A$2:$A$100,0),MATCH("Podania dołem",Players!$A$1:$R$1,0))+PozycjeŚr!R$6*INDEX(Zawodnicy[],MATCH($A14,Players!$A$2:$A$100,0),MATCH("Strzał",Players!$A$1:$R$1,0))+PozycjeŚr!R$7*INDEX(Zawodnicy[],MATCH($A14,Players!$A$2:$A$100,0),MATCH("Gra głową",Players!$A$1:$R$1,0))+PozycjeŚr!R$8*INDEX(Zawodnicy[],MATCH($A14,Players!$A$2:$A$100,0),MATCH("Gra na bramce",Players!$A$1:$R$1,0))+PozycjeŚr!R$9*INDEX(Zawodnicy[],MATCH($A14,Players!$A$2:$A$100,0),MATCH("Panowanie",Players!$A$1:$R$1,0))+PozycjeŚr!R$10*INDEX(Zawodnicy[],MATCH($A14,Players!$A$2:$A$100,0),MATCH("Odbiór piłki",Players!$A$1:$R$1,0))+PozycjeŚr!R$11*INDEX(Zawodnicy[],MATCH($A14,Players!$A$2:$A$100,0),MATCH("Podania górą",Players!$A$1:$R$1,0))</f>
        <v>#N/A</v>
      </c>
      <c r="H14" s="16" t="e">
        <f>PozycjeŚr!S$2*INDEX(Zawodnicy[],MATCH($A14,Players!$A$2:$A$100,0),MATCH("Szybkość",Players!$A$1:$R$1,0))+PozycjeŚr!S$3*INDEX(Zawodnicy[],MATCH($A14,Players!$A$2:$A$100,0),MATCH("Kondycja",Players!$A$1:$R$1,0))+PozycjeŚr!S$4*INDEX(Zawodnicy[],MATCH($A14,Players!$A$2:$A$100,0),MATCH("Przegląd",Players!$A$1:$R$1,0))+PozycjeŚr!S$5*INDEX(Zawodnicy[],MATCH($A14,Players!$A$2:$A$100,0),MATCH("Podania dołem",Players!$A$1:$R$1,0))+PozycjeŚr!S$6*INDEX(Zawodnicy[],MATCH($A14,Players!$A$2:$A$100,0),MATCH("Strzał",Players!$A$1:$R$1,0))+PozycjeŚr!S$7*INDEX(Zawodnicy[],MATCH($A14,Players!$A$2:$A$100,0),MATCH("Gra głową",Players!$A$1:$R$1,0))+PozycjeŚr!S$8*INDEX(Zawodnicy[],MATCH($A14,Players!$A$2:$A$100,0),MATCH("Gra na bramce",Players!$A$1:$R$1,0))+PozycjeŚr!S$9*INDEX(Zawodnicy[],MATCH($A14,Players!$A$2:$A$100,0),MATCH("Panowanie",Players!$A$1:$R$1,0))+PozycjeŚr!S$10*INDEX(Zawodnicy[],MATCH($A14,Players!$A$2:$A$100,0),MATCH("Odbiór piłki",Players!$A$1:$R$1,0))+PozycjeŚr!S$11*INDEX(Zawodnicy[],MATCH($A14,Players!$A$2:$A$100,0),MATCH("Podania górą",Players!$A$1:$R$1,0))</f>
        <v>#N/A</v>
      </c>
      <c r="I14" s="16" t="e">
        <f>PozycjeŚr!T$2*INDEX(Zawodnicy[],MATCH($A14,Players!$A$2:$A$100,0),MATCH("Szybkość",Players!$A$1:$R$1,0))+PozycjeŚr!T$3*INDEX(Zawodnicy[],MATCH($A14,Players!$A$2:$A$100,0),MATCH("Kondycja",Players!$A$1:$R$1,0))+PozycjeŚr!T$4*INDEX(Zawodnicy[],MATCH($A14,Players!$A$2:$A$100,0),MATCH("Przegląd",Players!$A$1:$R$1,0))+PozycjeŚr!T$5*INDEX(Zawodnicy[],MATCH($A14,Players!$A$2:$A$100,0),MATCH("Podania dołem",Players!$A$1:$R$1,0))+PozycjeŚr!T$6*INDEX(Zawodnicy[],MATCH($A14,Players!$A$2:$A$100,0),MATCH("Strzał",Players!$A$1:$R$1,0))+PozycjeŚr!T$7*INDEX(Zawodnicy[],MATCH($A14,Players!$A$2:$A$100,0),MATCH("Gra głową",Players!$A$1:$R$1,0))+PozycjeŚr!T$8*INDEX(Zawodnicy[],MATCH($A14,Players!$A$2:$A$100,0),MATCH("Gra na bramce",Players!$A$1:$R$1,0))+PozycjeŚr!T$9*INDEX(Zawodnicy[],MATCH($A14,Players!$A$2:$A$100,0),MATCH("Panowanie",Players!$A$1:$R$1,0))+PozycjeŚr!T$10*INDEX(Zawodnicy[],MATCH($A14,Players!$A$2:$A$100,0),MATCH("Odbiór piłki",Players!$A$1:$R$1,0))+PozycjeŚr!T$11*INDEX(Zawodnicy[],MATCH($A14,Players!$A$2:$A$100,0),MATCH("Podania górą",Players!$A$1:$R$1,0))</f>
        <v>#N/A</v>
      </c>
      <c r="J14" s="16" t="e">
        <f>PozycjeŚr!U$2*INDEX(Zawodnicy[],MATCH($A14,Players!$A$2:$A$100,0),MATCH("Szybkość",Players!$A$1:$R$1,0))+PozycjeŚr!U$3*INDEX(Zawodnicy[],MATCH($A14,Players!$A$2:$A$100,0),MATCH("Kondycja",Players!$A$1:$R$1,0))+PozycjeŚr!U$4*INDEX(Zawodnicy[],MATCH($A14,Players!$A$2:$A$100,0),MATCH("Przegląd",Players!$A$1:$R$1,0))+PozycjeŚr!U$5*INDEX(Zawodnicy[],MATCH($A14,Players!$A$2:$A$100,0),MATCH("Podania dołem",Players!$A$1:$R$1,0))+PozycjeŚr!U$6*INDEX(Zawodnicy[],MATCH($A14,Players!$A$2:$A$100,0),MATCH("Strzał",Players!$A$1:$R$1,0))+PozycjeŚr!U$7*INDEX(Zawodnicy[],MATCH($A14,Players!$A$2:$A$100,0),MATCH("Gra głową",Players!$A$1:$R$1,0))+PozycjeŚr!U$8*INDEX(Zawodnicy[],MATCH($A14,Players!$A$2:$A$100,0),MATCH("Gra na bramce",Players!$A$1:$R$1,0))+PozycjeŚr!U$9*INDEX(Zawodnicy[],MATCH($A14,Players!$A$2:$A$100,0),MATCH("Panowanie",Players!$A$1:$R$1,0))+PozycjeŚr!U$10*INDEX(Zawodnicy[],MATCH($A14,Players!$A$2:$A$100,0),MATCH("Odbiór piłki",Players!$A$1:$R$1,0))+PozycjeŚr!U$11*INDEX(Zawodnicy[],MATCH($A14,Players!$A$2:$A$100,0),MATCH("Podania górą",Players!$A$1:$R$1,0))</f>
        <v>#N/A</v>
      </c>
      <c r="K14" s="16" t="e">
        <f>PozycjeŚr!V$2*INDEX(Zawodnicy[],MATCH($A14,Players!$A$2:$A$100,0),MATCH("Szybkość",Players!$A$1:$R$1,0))+PozycjeŚr!V$3*INDEX(Zawodnicy[],MATCH($A14,Players!$A$2:$A$100,0),MATCH("Kondycja",Players!$A$1:$R$1,0))+PozycjeŚr!V$4*INDEX(Zawodnicy[],MATCH($A14,Players!$A$2:$A$100,0),MATCH("Przegląd",Players!$A$1:$R$1,0))+PozycjeŚr!V$5*INDEX(Zawodnicy[],MATCH($A14,Players!$A$2:$A$100,0),MATCH("Podania dołem",Players!$A$1:$R$1,0))+PozycjeŚr!V$6*INDEX(Zawodnicy[],MATCH($A14,Players!$A$2:$A$100,0),MATCH("Strzał",Players!$A$1:$R$1,0))+PozycjeŚr!V$7*INDEX(Zawodnicy[],MATCH($A14,Players!$A$2:$A$100,0),MATCH("Gra głową",Players!$A$1:$R$1,0))+PozycjeŚr!V$8*INDEX(Zawodnicy[],MATCH($A14,Players!$A$2:$A$100,0),MATCH("Gra na bramce",Players!$A$1:$R$1,0))+PozycjeŚr!V$9*INDEX(Zawodnicy[],MATCH($A14,Players!$A$2:$A$100,0),MATCH("Panowanie",Players!$A$1:$R$1,0))+PozycjeŚr!V$10*INDEX(Zawodnicy[],MATCH($A14,Players!$A$2:$A$100,0),MATCH("Odbiór piłki",Players!$A$1:$R$1,0))+PozycjeŚr!V$11*INDEX(Zawodnicy[],MATCH($A14,Players!$A$2:$A$100,0),MATCH("Podania górą",Players!$A$1:$R$1,0))</f>
        <v>#N/A</v>
      </c>
      <c r="L14" s="16" t="e">
        <f>PozycjeŚr!W$2*INDEX(Zawodnicy[],MATCH($A14,Players!$A$2:$A$100,0),MATCH("Szybkość",Players!$A$1:$R$1,0))+PozycjeŚr!W$3*INDEX(Zawodnicy[],MATCH($A14,Players!$A$2:$A$100,0),MATCH("Kondycja",Players!$A$1:$R$1,0))+PozycjeŚr!W$4*INDEX(Zawodnicy[],MATCH($A14,Players!$A$2:$A$100,0),MATCH("Przegląd",Players!$A$1:$R$1,0))+PozycjeŚr!W$5*INDEX(Zawodnicy[],MATCH($A14,Players!$A$2:$A$100,0),MATCH("Podania dołem",Players!$A$1:$R$1,0))+PozycjeŚr!W$6*INDEX(Zawodnicy[],MATCH($A14,Players!$A$2:$A$100,0),MATCH("Strzał",Players!$A$1:$R$1,0))+PozycjeŚr!W$7*INDEX(Zawodnicy[],MATCH($A14,Players!$A$2:$A$100,0),MATCH("Gra głową",Players!$A$1:$R$1,0))+PozycjeŚr!W$8*INDEX(Zawodnicy[],MATCH($A14,Players!$A$2:$A$100,0),MATCH("Gra na bramce",Players!$A$1:$R$1,0))+PozycjeŚr!W$9*INDEX(Zawodnicy[],MATCH($A14,Players!$A$2:$A$100,0),MATCH("Panowanie",Players!$A$1:$R$1,0))+PozycjeŚr!W$10*INDEX(Zawodnicy[],MATCH($A14,Players!$A$2:$A$100,0),MATCH("Odbiór piłki",Players!$A$1:$R$1,0))+PozycjeŚr!W$11*INDEX(Zawodnicy[],MATCH($A14,Players!$A$2:$A$100,0),MATCH("Podania górą",Players!$A$1:$R$1,0))</f>
        <v>#N/A</v>
      </c>
    </row>
    <row r="15" spans="1:12" x14ac:dyDescent="0.25">
      <c r="A15" s="39">
        <f>IFERROR(Zawodnicy[[#This Row],[Number]],"-")</f>
        <v>19</v>
      </c>
      <c r="B15" t="str">
        <f>VLOOKUP(Radar[[#This Row],[Numer]],Zawodnicy[],2,FALSE)</f>
        <v>Eugeniusz Huk</v>
      </c>
      <c r="C15" s="16" t="e">
        <f>PozycjeŚr!N$2*INDEX(Zawodnicy[],MATCH($A15,Players!$A$2:$A$100,0),MATCH("Szybkość",Players!$A$1:$R$1,0))+PozycjeŚr!N$3*INDEX(Zawodnicy[],MATCH($A15,Players!$A$2:$A$100,0),MATCH("Kondycja",Players!$A$1:$R$1,0))+PozycjeŚr!N$4*INDEX(Zawodnicy[],MATCH($A15,Players!$A$2:$A$100,0),MATCH("Przegląd",Players!$A$1:$R$1,0))+PozycjeŚr!N$5*INDEX(Zawodnicy[],MATCH($A15,Players!$A$2:$A$100,0),MATCH("Podania dołem",Players!$A$1:$R$1,0))+PozycjeŚr!N$6*INDEX(Zawodnicy[],MATCH($A15,Players!$A$2:$A$100,0),MATCH("Strzał",Players!$A$1:$R$1,0))+PozycjeŚr!N$7*INDEX(Zawodnicy[],MATCH($A15,Players!$A$2:$A$100,0),MATCH("Gra głową",Players!$A$1:$R$1,0))+PozycjeŚr!N$8*INDEX(Zawodnicy[],MATCH($A15,Players!$A$2:$A$100,0),MATCH("Gra na bramce",Players!$A$1:$R$1,0))+PozycjeŚr!N$9*INDEX(Zawodnicy[],MATCH($A15,Players!$A$2:$A$100,0),MATCH("Panowanie",Players!$A$1:$R$1,0))+PozycjeŚr!N$10*INDEX(Zawodnicy[],MATCH($A15,Players!$A$2:$A$100,0),MATCH("Odbiór piłki",Players!$A$1:$R$1,0))+PozycjeŚr!N$11*INDEX(Zawodnicy[],MATCH($A15,Players!$A$2:$A$100,0),MATCH("Podania górą",Players!$A$1:$R$1,0))</f>
        <v>#N/A</v>
      </c>
      <c r="D15" s="16" t="e">
        <f>PozycjeŚr!O$2*INDEX(Zawodnicy[],MATCH($A15,Players!$A$2:$A$100,0),MATCH("Szybkość",Players!$A$1:$R$1,0))+PozycjeŚr!O$3*INDEX(Zawodnicy[],MATCH($A15,Players!$A$2:$A$100,0),MATCH("Kondycja",Players!$A$1:$R$1,0))+PozycjeŚr!O$4*INDEX(Zawodnicy[],MATCH($A15,Players!$A$2:$A$100,0),MATCH("Przegląd",Players!$A$1:$R$1,0))+PozycjeŚr!O$5*INDEX(Zawodnicy[],MATCH($A15,Players!$A$2:$A$100,0),MATCH("Podania dołem",Players!$A$1:$R$1,0))+PozycjeŚr!O$6*INDEX(Zawodnicy[],MATCH($A15,Players!$A$2:$A$100,0),MATCH("Strzał",Players!$A$1:$R$1,0))+PozycjeŚr!O$7*INDEX(Zawodnicy[],MATCH($A15,Players!$A$2:$A$100,0),MATCH("Gra głową",Players!$A$1:$R$1,0))+PozycjeŚr!O$8*INDEX(Zawodnicy[],MATCH($A15,Players!$A$2:$A$100,0),MATCH("Gra na bramce",Players!$A$1:$R$1,0))+PozycjeŚr!O$9*INDEX(Zawodnicy[],MATCH($A15,Players!$A$2:$A$100,0),MATCH("Panowanie",Players!$A$1:$R$1,0))+PozycjeŚr!O$10*INDEX(Zawodnicy[],MATCH($A15,Players!$A$2:$A$100,0),MATCH("Odbiór piłki",Players!$A$1:$R$1,0))+PozycjeŚr!O$11*INDEX(Zawodnicy[],MATCH($A15,Players!$A$2:$A$100,0),MATCH("Podania górą",Players!$A$1:$R$1,0))</f>
        <v>#N/A</v>
      </c>
      <c r="E15" s="16" t="e">
        <f>PozycjeŚr!P$2*INDEX(Zawodnicy[],MATCH($A15,Players!$A$2:$A$100,0),MATCH("Szybkość",Players!$A$1:$R$1,0))+PozycjeŚr!P$3*INDEX(Zawodnicy[],MATCH($A15,Players!$A$2:$A$100,0),MATCH("Kondycja",Players!$A$1:$R$1,0))+PozycjeŚr!P$4*INDEX(Zawodnicy[],MATCH($A15,Players!$A$2:$A$100,0),MATCH("Przegląd",Players!$A$1:$R$1,0))+PozycjeŚr!P$5*INDEX(Zawodnicy[],MATCH($A15,Players!$A$2:$A$100,0),MATCH("Podania dołem",Players!$A$1:$R$1,0))+PozycjeŚr!P$6*INDEX(Zawodnicy[],MATCH($A15,Players!$A$2:$A$100,0),MATCH("Strzał",Players!$A$1:$R$1,0))+PozycjeŚr!P$7*INDEX(Zawodnicy[],MATCH($A15,Players!$A$2:$A$100,0),MATCH("Gra głową",Players!$A$1:$R$1,0))+PozycjeŚr!P$8*INDEX(Zawodnicy[],MATCH($A15,Players!$A$2:$A$100,0),MATCH("Gra na bramce",Players!$A$1:$R$1,0))+PozycjeŚr!P$9*INDEX(Zawodnicy[],MATCH($A15,Players!$A$2:$A$100,0),MATCH("Panowanie",Players!$A$1:$R$1,0))+PozycjeŚr!P$10*INDEX(Zawodnicy[],MATCH($A15,Players!$A$2:$A$100,0),MATCH("Odbiór piłki",Players!$A$1:$R$1,0))+PozycjeŚr!P$11*INDEX(Zawodnicy[],MATCH($A15,Players!$A$2:$A$100,0),MATCH("Podania górą",Players!$A$1:$R$1,0))</f>
        <v>#N/A</v>
      </c>
      <c r="F15" s="16" t="e">
        <f>PozycjeŚr!Q$2*INDEX(Zawodnicy[],MATCH($A15,Players!$A$2:$A$100,0),MATCH("Szybkość",Players!$A$1:$R$1,0))+PozycjeŚr!Q$3*INDEX(Zawodnicy[],MATCH($A15,Players!$A$2:$A$100,0),MATCH("Kondycja",Players!$A$1:$R$1,0))+PozycjeŚr!Q$4*INDEX(Zawodnicy[],MATCH($A15,Players!$A$2:$A$100,0),MATCH("Przegląd",Players!$A$1:$R$1,0))+PozycjeŚr!Q$5*INDEX(Zawodnicy[],MATCH($A15,Players!$A$2:$A$100,0),MATCH("Podania dołem",Players!$A$1:$R$1,0))+PozycjeŚr!Q$6*INDEX(Zawodnicy[],MATCH($A15,Players!$A$2:$A$100,0),MATCH("Strzał",Players!$A$1:$R$1,0))+PozycjeŚr!Q$7*INDEX(Zawodnicy[],MATCH($A15,Players!$A$2:$A$100,0),MATCH("Gra głową",Players!$A$1:$R$1,0))+PozycjeŚr!Q$8*INDEX(Zawodnicy[],MATCH($A15,Players!$A$2:$A$100,0),MATCH("Gra na bramce",Players!$A$1:$R$1,0))+PozycjeŚr!Q$9*INDEX(Zawodnicy[],MATCH($A15,Players!$A$2:$A$100,0),MATCH("Panowanie",Players!$A$1:$R$1,0))+PozycjeŚr!Q$10*INDEX(Zawodnicy[],MATCH($A15,Players!$A$2:$A$100,0),MATCH("Odbiór piłki",Players!$A$1:$R$1,0))+PozycjeŚr!Q$11*INDEX(Zawodnicy[],MATCH($A15,Players!$A$2:$A$100,0),MATCH("Podania górą",Players!$A$1:$R$1,0))</f>
        <v>#N/A</v>
      </c>
      <c r="G15" s="16" t="e">
        <f>PozycjeŚr!R$2*INDEX(Zawodnicy[],MATCH($A15,Players!$A$2:$A$100,0),MATCH("Szybkość",Players!$A$1:$R$1,0))+PozycjeŚr!R$3*INDEX(Zawodnicy[],MATCH($A15,Players!$A$2:$A$100,0),MATCH("Kondycja",Players!$A$1:$R$1,0))+PozycjeŚr!R$4*INDEX(Zawodnicy[],MATCH($A15,Players!$A$2:$A$100,0),MATCH("Przegląd",Players!$A$1:$R$1,0))+PozycjeŚr!R$5*INDEX(Zawodnicy[],MATCH($A15,Players!$A$2:$A$100,0),MATCH("Podania dołem",Players!$A$1:$R$1,0))+PozycjeŚr!R$6*INDEX(Zawodnicy[],MATCH($A15,Players!$A$2:$A$100,0),MATCH("Strzał",Players!$A$1:$R$1,0))+PozycjeŚr!R$7*INDEX(Zawodnicy[],MATCH($A15,Players!$A$2:$A$100,0),MATCH("Gra głową",Players!$A$1:$R$1,0))+PozycjeŚr!R$8*INDEX(Zawodnicy[],MATCH($A15,Players!$A$2:$A$100,0),MATCH("Gra na bramce",Players!$A$1:$R$1,0))+PozycjeŚr!R$9*INDEX(Zawodnicy[],MATCH($A15,Players!$A$2:$A$100,0),MATCH("Panowanie",Players!$A$1:$R$1,0))+PozycjeŚr!R$10*INDEX(Zawodnicy[],MATCH($A15,Players!$A$2:$A$100,0),MATCH("Odbiór piłki",Players!$A$1:$R$1,0))+PozycjeŚr!R$11*INDEX(Zawodnicy[],MATCH($A15,Players!$A$2:$A$100,0),MATCH("Podania górą",Players!$A$1:$R$1,0))</f>
        <v>#N/A</v>
      </c>
      <c r="H15" s="16" t="e">
        <f>PozycjeŚr!S$2*INDEX(Zawodnicy[],MATCH($A15,Players!$A$2:$A$100,0),MATCH("Szybkość",Players!$A$1:$R$1,0))+PozycjeŚr!S$3*INDEX(Zawodnicy[],MATCH($A15,Players!$A$2:$A$100,0),MATCH("Kondycja",Players!$A$1:$R$1,0))+PozycjeŚr!S$4*INDEX(Zawodnicy[],MATCH($A15,Players!$A$2:$A$100,0),MATCH("Przegląd",Players!$A$1:$R$1,0))+PozycjeŚr!S$5*INDEX(Zawodnicy[],MATCH($A15,Players!$A$2:$A$100,0),MATCH("Podania dołem",Players!$A$1:$R$1,0))+PozycjeŚr!S$6*INDEX(Zawodnicy[],MATCH($A15,Players!$A$2:$A$100,0),MATCH("Strzał",Players!$A$1:$R$1,0))+PozycjeŚr!S$7*INDEX(Zawodnicy[],MATCH($A15,Players!$A$2:$A$100,0),MATCH("Gra głową",Players!$A$1:$R$1,0))+PozycjeŚr!S$8*INDEX(Zawodnicy[],MATCH($A15,Players!$A$2:$A$100,0),MATCH("Gra na bramce",Players!$A$1:$R$1,0))+PozycjeŚr!S$9*INDEX(Zawodnicy[],MATCH($A15,Players!$A$2:$A$100,0),MATCH("Panowanie",Players!$A$1:$R$1,0))+PozycjeŚr!S$10*INDEX(Zawodnicy[],MATCH($A15,Players!$A$2:$A$100,0),MATCH("Odbiór piłki",Players!$A$1:$R$1,0))+PozycjeŚr!S$11*INDEX(Zawodnicy[],MATCH($A15,Players!$A$2:$A$100,0),MATCH("Podania górą",Players!$A$1:$R$1,0))</f>
        <v>#N/A</v>
      </c>
      <c r="I15" s="16" t="e">
        <f>PozycjeŚr!T$2*INDEX(Zawodnicy[],MATCH($A15,Players!$A$2:$A$100,0),MATCH("Szybkość",Players!$A$1:$R$1,0))+PozycjeŚr!T$3*INDEX(Zawodnicy[],MATCH($A15,Players!$A$2:$A$100,0),MATCH("Kondycja",Players!$A$1:$R$1,0))+PozycjeŚr!T$4*INDEX(Zawodnicy[],MATCH($A15,Players!$A$2:$A$100,0),MATCH("Przegląd",Players!$A$1:$R$1,0))+PozycjeŚr!T$5*INDEX(Zawodnicy[],MATCH($A15,Players!$A$2:$A$100,0),MATCH("Podania dołem",Players!$A$1:$R$1,0))+PozycjeŚr!T$6*INDEX(Zawodnicy[],MATCH($A15,Players!$A$2:$A$100,0),MATCH("Strzał",Players!$A$1:$R$1,0))+PozycjeŚr!T$7*INDEX(Zawodnicy[],MATCH($A15,Players!$A$2:$A$100,0),MATCH("Gra głową",Players!$A$1:$R$1,0))+PozycjeŚr!T$8*INDEX(Zawodnicy[],MATCH($A15,Players!$A$2:$A$100,0),MATCH("Gra na bramce",Players!$A$1:$R$1,0))+PozycjeŚr!T$9*INDEX(Zawodnicy[],MATCH($A15,Players!$A$2:$A$100,0),MATCH("Panowanie",Players!$A$1:$R$1,0))+PozycjeŚr!T$10*INDEX(Zawodnicy[],MATCH($A15,Players!$A$2:$A$100,0),MATCH("Odbiór piłki",Players!$A$1:$R$1,0))+PozycjeŚr!T$11*INDEX(Zawodnicy[],MATCH($A15,Players!$A$2:$A$100,0),MATCH("Podania górą",Players!$A$1:$R$1,0))</f>
        <v>#N/A</v>
      </c>
      <c r="J15" s="16" t="e">
        <f>PozycjeŚr!U$2*INDEX(Zawodnicy[],MATCH($A15,Players!$A$2:$A$100,0),MATCH("Szybkość",Players!$A$1:$R$1,0))+PozycjeŚr!U$3*INDEX(Zawodnicy[],MATCH($A15,Players!$A$2:$A$100,0),MATCH("Kondycja",Players!$A$1:$R$1,0))+PozycjeŚr!U$4*INDEX(Zawodnicy[],MATCH($A15,Players!$A$2:$A$100,0),MATCH("Przegląd",Players!$A$1:$R$1,0))+PozycjeŚr!U$5*INDEX(Zawodnicy[],MATCH($A15,Players!$A$2:$A$100,0),MATCH("Podania dołem",Players!$A$1:$R$1,0))+PozycjeŚr!U$6*INDEX(Zawodnicy[],MATCH($A15,Players!$A$2:$A$100,0),MATCH("Strzał",Players!$A$1:$R$1,0))+PozycjeŚr!U$7*INDEX(Zawodnicy[],MATCH($A15,Players!$A$2:$A$100,0),MATCH("Gra głową",Players!$A$1:$R$1,0))+PozycjeŚr!U$8*INDEX(Zawodnicy[],MATCH($A15,Players!$A$2:$A$100,0),MATCH("Gra na bramce",Players!$A$1:$R$1,0))+PozycjeŚr!U$9*INDEX(Zawodnicy[],MATCH($A15,Players!$A$2:$A$100,0),MATCH("Panowanie",Players!$A$1:$R$1,0))+PozycjeŚr!U$10*INDEX(Zawodnicy[],MATCH($A15,Players!$A$2:$A$100,0),MATCH("Odbiór piłki",Players!$A$1:$R$1,0))+PozycjeŚr!U$11*INDEX(Zawodnicy[],MATCH($A15,Players!$A$2:$A$100,0),MATCH("Podania górą",Players!$A$1:$R$1,0))</f>
        <v>#N/A</v>
      </c>
      <c r="K15" s="16" t="e">
        <f>PozycjeŚr!V$2*INDEX(Zawodnicy[],MATCH($A15,Players!$A$2:$A$100,0),MATCH("Szybkość",Players!$A$1:$R$1,0))+PozycjeŚr!V$3*INDEX(Zawodnicy[],MATCH($A15,Players!$A$2:$A$100,0),MATCH("Kondycja",Players!$A$1:$R$1,0))+PozycjeŚr!V$4*INDEX(Zawodnicy[],MATCH($A15,Players!$A$2:$A$100,0),MATCH("Przegląd",Players!$A$1:$R$1,0))+PozycjeŚr!V$5*INDEX(Zawodnicy[],MATCH($A15,Players!$A$2:$A$100,0),MATCH("Podania dołem",Players!$A$1:$R$1,0))+PozycjeŚr!V$6*INDEX(Zawodnicy[],MATCH($A15,Players!$A$2:$A$100,0),MATCH("Strzał",Players!$A$1:$R$1,0))+PozycjeŚr!V$7*INDEX(Zawodnicy[],MATCH($A15,Players!$A$2:$A$100,0),MATCH("Gra głową",Players!$A$1:$R$1,0))+PozycjeŚr!V$8*INDEX(Zawodnicy[],MATCH($A15,Players!$A$2:$A$100,0),MATCH("Gra na bramce",Players!$A$1:$R$1,0))+PozycjeŚr!V$9*INDEX(Zawodnicy[],MATCH($A15,Players!$A$2:$A$100,0),MATCH("Panowanie",Players!$A$1:$R$1,0))+PozycjeŚr!V$10*INDEX(Zawodnicy[],MATCH($A15,Players!$A$2:$A$100,0),MATCH("Odbiór piłki",Players!$A$1:$R$1,0))+PozycjeŚr!V$11*INDEX(Zawodnicy[],MATCH($A15,Players!$A$2:$A$100,0),MATCH("Podania górą",Players!$A$1:$R$1,0))</f>
        <v>#N/A</v>
      </c>
      <c r="L15" s="16" t="e">
        <f>PozycjeŚr!W$2*INDEX(Zawodnicy[],MATCH($A15,Players!$A$2:$A$100,0),MATCH("Szybkość",Players!$A$1:$R$1,0))+PozycjeŚr!W$3*INDEX(Zawodnicy[],MATCH($A15,Players!$A$2:$A$100,0),MATCH("Kondycja",Players!$A$1:$R$1,0))+PozycjeŚr!W$4*INDEX(Zawodnicy[],MATCH($A15,Players!$A$2:$A$100,0),MATCH("Przegląd",Players!$A$1:$R$1,0))+PozycjeŚr!W$5*INDEX(Zawodnicy[],MATCH($A15,Players!$A$2:$A$100,0),MATCH("Podania dołem",Players!$A$1:$R$1,0))+PozycjeŚr!W$6*INDEX(Zawodnicy[],MATCH($A15,Players!$A$2:$A$100,0),MATCH("Strzał",Players!$A$1:$R$1,0))+PozycjeŚr!W$7*INDEX(Zawodnicy[],MATCH($A15,Players!$A$2:$A$100,0),MATCH("Gra głową",Players!$A$1:$R$1,0))+PozycjeŚr!W$8*INDEX(Zawodnicy[],MATCH($A15,Players!$A$2:$A$100,0),MATCH("Gra na bramce",Players!$A$1:$R$1,0))+PozycjeŚr!W$9*INDEX(Zawodnicy[],MATCH($A15,Players!$A$2:$A$100,0),MATCH("Panowanie",Players!$A$1:$R$1,0))+PozycjeŚr!W$10*INDEX(Zawodnicy[],MATCH($A15,Players!$A$2:$A$100,0),MATCH("Odbiór piłki",Players!$A$1:$R$1,0))+PozycjeŚr!W$11*INDEX(Zawodnicy[],MATCH($A15,Players!$A$2:$A$100,0),MATCH("Podania górą",Players!$A$1:$R$1,0))</f>
        <v>#N/A</v>
      </c>
    </row>
    <row r="16" spans="1:12" x14ac:dyDescent="0.25">
      <c r="A16" s="39">
        <f>IFERROR(Zawodnicy[[#This Row],[Number]],"-")</f>
        <v>20</v>
      </c>
      <c r="B16" t="str">
        <f>VLOOKUP(Radar[[#This Row],[Numer]],Zawodnicy[],2,FALSE)</f>
        <v>Wincent Janiczek</v>
      </c>
      <c r="C16" s="16" t="e">
        <f>PozycjeŚr!N$2*INDEX(Zawodnicy[],MATCH($A16,Players!$A$2:$A$100,0),MATCH("Szybkość",Players!$A$1:$R$1,0))+PozycjeŚr!N$3*INDEX(Zawodnicy[],MATCH($A16,Players!$A$2:$A$100,0),MATCH("Kondycja",Players!$A$1:$R$1,0))+PozycjeŚr!N$4*INDEX(Zawodnicy[],MATCH($A16,Players!$A$2:$A$100,0),MATCH("Przegląd",Players!$A$1:$R$1,0))+PozycjeŚr!N$5*INDEX(Zawodnicy[],MATCH($A16,Players!$A$2:$A$100,0),MATCH("Podania dołem",Players!$A$1:$R$1,0))+PozycjeŚr!N$6*INDEX(Zawodnicy[],MATCH($A16,Players!$A$2:$A$100,0),MATCH("Strzał",Players!$A$1:$R$1,0))+PozycjeŚr!N$7*INDEX(Zawodnicy[],MATCH($A16,Players!$A$2:$A$100,0),MATCH("Gra głową",Players!$A$1:$R$1,0))+PozycjeŚr!N$8*INDEX(Zawodnicy[],MATCH($A16,Players!$A$2:$A$100,0),MATCH("Gra na bramce",Players!$A$1:$R$1,0))+PozycjeŚr!N$9*INDEX(Zawodnicy[],MATCH($A16,Players!$A$2:$A$100,0),MATCH("Panowanie",Players!$A$1:$R$1,0))+PozycjeŚr!N$10*INDEX(Zawodnicy[],MATCH($A16,Players!$A$2:$A$100,0),MATCH("Odbiór piłki",Players!$A$1:$R$1,0))+PozycjeŚr!N$11*INDEX(Zawodnicy[],MATCH($A16,Players!$A$2:$A$100,0),MATCH("Podania górą",Players!$A$1:$R$1,0))</f>
        <v>#N/A</v>
      </c>
      <c r="D16" s="16" t="e">
        <f>PozycjeŚr!O$2*INDEX(Zawodnicy[],MATCH($A16,Players!$A$2:$A$100,0),MATCH("Szybkość",Players!$A$1:$R$1,0))+PozycjeŚr!O$3*INDEX(Zawodnicy[],MATCH($A16,Players!$A$2:$A$100,0),MATCH("Kondycja",Players!$A$1:$R$1,0))+PozycjeŚr!O$4*INDEX(Zawodnicy[],MATCH($A16,Players!$A$2:$A$100,0),MATCH("Przegląd",Players!$A$1:$R$1,0))+PozycjeŚr!O$5*INDEX(Zawodnicy[],MATCH($A16,Players!$A$2:$A$100,0),MATCH("Podania dołem",Players!$A$1:$R$1,0))+PozycjeŚr!O$6*INDEX(Zawodnicy[],MATCH($A16,Players!$A$2:$A$100,0),MATCH("Strzał",Players!$A$1:$R$1,0))+PozycjeŚr!O$7*INDEX(Zawodnicy[],MATCH($A16,Players!$A$2:$A$100,0),MATCH("Gra głową",Players!$A$1:$R$1,0))+PozycjeŚr!O$8*INDEX(Zawodnicy[],MATCH($A16,Players!$A$2:$A$100,0),MATCH("Gra na bramce",Players!$A$1:$R$1,0))+PozycjeŚr!O$9*INDEX(Zawodnicy[],MATCH($A16,Players!$A$2:$A$100,0),MATCH("Panowanie",Players!$A$1:$R$1,0))+PozycjeŚr!O$10*INDEX(Zawodnicy[],MATCH($A16,Players!$A$2:$A$100,0),MATCH("Odbiór piłki",Players!$A$1:$R$1,0))+PozycjeŚr!O$11*INDEX(Zawodnicy[],MATCH($A16,Players!$A$2:$A$100,0),MATCH("Podania górą",Players!$A$1:$R$1,0))</f>
        <v>#N/A</v>
      </c>
      <c r="E16" s="16" t="e">
        <f>PozycjeŚr!P$2*INDEX(Zawodnicy[],MATCH($A16,Players!$A$2:$A$100,0),MATCH("Szybkość",Players!$A$1:$R$1,0))+PozycjeŚr!P$3*INDEX(Zawodnicy[],MATCH($A16,Players!$A$2:$A$100,0),MATCH("Kondycja",Players!$A$1:$R$1,0))+PozycjeŚr!P$4*INDEX(Zawodnicy[],MATCH($A16,Players!$A$2:$A$100,0),MATCH("Przegląd",Players!$A$1:$R$1,0))+PozycjeŚr!P$5*INDEX(Zawodnicy[],MATCH($A16,Players!$A$2:$A$100,0),MATCH("Podania dołem",Players!$A$1:$R$1,0))+PozycjeŚr!P$6*INDEX(Zawodnicy[],MATCH($A16,Players!$A$2:$A$100,0),MATCH("Strzał",Players!$A$1:$R$1,0))+PozycjeŚr!P$7*INDEX(Zawodnicy[],MATCH($A16,Players!$A$2:$A$100,0),MATCH("Gra głową",Players!$A$1:$R$1,0))+PozycjeŚr!P$8*INDEX(Zawodnicy[],MATCH($A16,Players!$A$2:$A$100,0),MATCH("Gra na bramce",Players!$A$1:$R$1,0))+PozycjeŚr!P$9*INDEX(Zawodnicy[],MATCH($A16,Players!$A$2:$A$100,0),MATCH("Panowanie",Players!$A$1:$R$1,0))+PozycjeŚr!P$10*INDEX(Zawodnicy[],MATCH($A16,Players!$A$2:$A$100,0),MATCH("Odbiór piłki",Players!$A$1:$R$1,0))+PozycjeŚr!P$11*INDEX(Zawodnicy[],MATCH($A16,Players!$A$2:$A$100,0),MATCH("Podania górą",Players!$A$1:$R$1,0))</f>
        <v>#N/A</v>
      </c>
      <c r="F16" s="16" t="e">
        <f>PozycjeŚr!Q$2*INDEX(Zawodnicy[],MATCH($A16,Players!$A$2:$A$100,0),MATCH("Szybkość",Players!$A$1:$R$1,0))+PozycjeŚr!Q$3*INDEX(Zawodnicy[],MATCH($A16,Players!$A$2:$A$100,0),MATCH("Kondycja",Players!$A$1:$R$1,0))+PozycjeŚr!Q$4*INDEX(Zawodnicy[],MATCH($A16,Players!$A$2:$A$100,0),MATCH("Przegląd",Players!$A$1:$R$1,0))+PozycjeŚr!Q$5*INDEX(Zawodnicy[],MATCH($A16,Players!$A$2:$A$100,0),MATCH("Podania dołem",Players!$A$1:$R$1,0))+PozycjeŚr!Q$6*INDEX(Zawodnicy[],MATCH($A16,Players!$A$2:$A$100,0),MATCH("Strzał",Players!$A$1:$R$1,0))+PozycjeŚr!Q$7*INDEX(Zawodnicy[],MATCH($A16,Players!$A$2:$A$100,0),MATCH("Gra głową",Players!$A$1:$R$1,0))+PozycjeŚr!Q$8*INDEX(Zawodnicy[],MATCH($A16,Players!$A$2:$A$100,0),MATCH("Gra na bramce",Players!$A$1:$R$1,0))+PozycjeŚr!Q$9*INDEX(Zawodnicy[],MATCH($A16,Players!$A$2:$A$100,0),MATCH("Panowanie",Players!$A$1:$R$1,0))+PozycjeŚr!Q$10*INDEX(Zawodnicy[],MATCH($A16,Players!$A$2:$A$100,0),MATCH("Odbiór piłki",Players!$A$1:$R$1,0))+PozycjeŚr!Q$11*INDEX(Zawodnicy[],MATCH($A16,Players!$A$2:$A$100,0),MATCH("Podania górą",Players!$A$1:$R$1,0))</f>
        <v>#N/A</v>
      </c>
      <c r="G16" s="16" t="e">
        <f>PozycjeŚr!R$2*INDEX(Zawodnicy[],MATCH($A16,Players!$A$2:$A$100,0),MATCH("Szybkość",Players!$A$1:$R$1,0))+PozycjeŚr!R$3*INDEX(Zawodnicy[],MATCH($A16,Players!$A$2:$A$100,0),MATCH("Kondycja",Players!$A$1:$R$1,0))+PozycjeŚr!R$4*INDEX(Zawodnicy[],MATCH($A16,Players!$A$2:$A$100,0),MATCH("Przegląd",Players!$A$1:$R$1,0))+PozycjeŚr!R$5*INDEX(Zawodnicy[],MATCH($A16,Players!$A$2:$A$100,0),MATCH("Podania dołem",Players!$A$1:$R$1,0))+PozycjeŚr!R$6*INDEX(Zawodnicy[],MATCH($A16,Players!$A$2:$A$100,0),MATCH("Strzał",Players!$A$1:$R$1,0))+PozycjeŚr!R$7*INDEX(Zawodnicy[],MATCH($A16,Players!$A$2:$A$100,0),MATCH("Gra głową",Players!$A$1:$R$1,0))+PozycjeŚr!R$8*INDEX(Zawodnicy[],MATCH($A16,Players!$A$2:$A$100,0),MATCH("Gra na bramce",Players!$A$1:$R$1,0))+PozycjeŚr!R$9*INDEX(Zawodnicy[],MATCH($A16,Players!$A$2:$A$100,0),MATCH("Panowanie",Players!$A$1:$R$1,0))+PozycjeŚr!R$10*INDEX(Zawodnicy[],MATCH($A16,Players!$A$2:$A$100,0),MATCH("Odbiór piłki",Players!$A$1:$R$1,0))+PozycjeŚr!R$11*INDEX(Zawodnicy[],MATCH($A16,Players!$A$2:$A$100,0),MATCH("Podania górą",Players!$A$1:$R$1,0))</f>
        <v>#N/A</v>
      </c>
      <c r="H16" s="16" t="e">
        <f>PozycjeŚr!S$2*INDEX(Zawodnicy[],MATCH($A16,Players!$A$2:$A$100,0),MATCH("Szybkość",Players!$A$1:$R$1,0))+PozycjeŚr!S$3*INDEX(Zawodnicy[],MATCH($A16,Players!$A$2:$A$100,0),MATCH("Kondycja",Players!$A$1:$R$1,0))+PozycjeŚr!S$4*INDEX(Zawodnicy[],MATCH($A16,Players!$A$2:$A$100,0),MATCH("Przegląd",Players!$A$1:$R$1,0))+PozycjeŚr!S$5*INDEX(Zawodnicy[],MATCH($A16,Players!$A$2:$A$100,0),MATCH("Podania dołem",Players!$A$1:$R$1,0))+PozycjeŚr!S$6*INDEX(Zawodnicy[],MATCH($A16,Players!$A$2:$A$100,0),MATCH("Strzał",Players!$A$1:$R$1,0))+PozycjeŚr!S$7*INDEX(Zawodnicy[],MATCH($A16,Players!$A$2:$A$100,0),MATCH("Gra głową",Players!$A$1:$R$1,0))+PozycjeŚr!S$8*INDEX(Zawodnicy[],MATCH($A16,Players!$A$2:$A$100,0),MATCH("Gra na bramce",Players!$A$1:$R$1,0))+PozycjeŚr!S$9*INDEX(Zawodnicy[],MATCH($A16,Players!$A$2:$A$100,0),MATCH("Panowanie",Players!$A$1:$R$1,0))+PozycjeŚr!S$10*INDEX(Zawodnicy[],MATCH($A16,Players!$A$2:$A$100,0),MATCH("Odbiór piłki",Players!$A$1:$R$1,0))+PozycjeŚr!S$11*INDEX(Zawodnicy[],MATCH($A16,Players!$A$2:$A$100,0),MATCH("Podania górą",Players!$A$1:$R$1,0))</f>
        <v>#N/A</v>
      </c>
      <c r="I16" s="16" t="e">
        <f>PozycjeŚr!T$2*INDEX(Zawodnicy[],MATCH($A16,Players!$A$2:$A$100,0),MATCH("Szybkość",Players!$A$1:$R$1,0))+PozycjeŚr!T$3*INDEX(Zawodnicy[],MATCH($A16,Players!$A$2:$A$100,0),MATCH("Kondycja",Players!$A$1:$R$1,0))+PozycjeŚr!T$4*INDEX(Zawodnicy[],MATCH($A16,Players!$A$2:$A$100,0),MATCH("Przegląd",Players!$A$1:$R$1,0))+PozycjeŚr!T$5*INDEX(Zawodnicy[],MATCH($A16,Players!$A$2:$A$100,0),MATCH("Podania dołem",Players!$A$1:$R$1,0))+PozycjeŚr!T$6*INDEX(Zawodnicy[],MATCH($A16,Players!$A$2:$A$100,0),MATCH("Strzał",Players!$A$1:$R$1,0))+PozycjeŚr!T$7*INDEX(Zawodnicy[],MATCH($A16,Players!$A$2:$A$100,0),MATCH("Gra głową",Players!$A$1:$R$1,0))+PozycjeŚr!T$8*INDEX(Zawodnicy[],MATCH($A16,Players!$A$2:$A$100,0),MATCH("Gra na bramce",Players!$A$1:$R$1,0))+PozycjeŚr!T$9*INDEX(Zawodnicy[],MATCH($A16,Players!$A$2:$A$100,0),MATCH("Panowanie",Players!$A$1:$R$1,0))+PozycjeŚr!T$10*INDEX(Zawodnicy[],MATCH($A16,Players!$A$2:$A$100,0),MATCH("Odbiór piłki",Players!$A$1:$R$1,0))+PozycjeŚr!T$11*INDEX(Zawodnicy[],MATCH($A16,Players!$A$2:$A$100,0),MATCH("Podania górą",Players!$A$1:$R$1,0))</f>
        <v>#N/A</v>
      </c>
      <c r="J16" s="16" t="e">
        <f>PozycjeŚr!U$2*INDEX(Zawodnicy[],MATCH($A16,Players!$A$2:$A$100,0),MATCH("Szybkość",Players!$A$1:$R$1,0))+PozycjeŚr!U$3*INDEX(Zawodnicy[],MATCH($A16,Players!$A$2:$A$100,0),MATCH("Kondycja",Players!$A$1:$R$1,0))+PozycjeŚr!U$4*INDEX(Zawodnicy[],MATCH($A16,Players!$A$2:$A$100,0),MATCH("Przegląd",Players!$A$1:$R$1,0))+PozycjeŚr!U$5*INDEX(Zawodnicy[],MATCH($A16,Players!$A$2:$A$100,0),MATCH("Podania dołem",Players!$A$1:$R$1,0))+PozycjeŚr!U$6*INDEX(Zawodnicy[],MATCH($A16,Players!$A$2:$A$100,0),MATCH("Strzał",Players!$A$1:$R$1,0))+PozycjeŚr!U$7*INDEX(Zawodnicy[],MATCH($A16,Players!$A$2:$A$100,0),MATCH("Gra głową",Players!$A$1:$R$1,0))+PozycjeŚr!U$8*INDEX(Zawodnicy[],MATCH($A16,Players!$A$2:$A$100,0),MATCH("Gra na bramce",Players!$A$1:$R$1,0))+PozycjeŚr!U$9*INDEX(Zawodnicy[],MATCH($A16,Players!$A$2:$A$100,0),MATCH("Panowanie",Players!$A$1:$R$1,0))+PozycjeŚr!U$10*INDEX(Zawodnicy[],MATCH($A16,Players!$A$2:$A$100,0),MATCH("Odbiór piłki",Players!$A$1:$R$1,0))+PozycjeŚr!U$11*INDEX(Zawodnicy[],MATCH($A16,Players!$A$2:$A$100,0),MATCH("Podania górą",Players!$A$1:$R$1,0))</f>
        <v>#N/A</v>
      </c>
      <c r="K16" s="16" t="e">
        <f>PozycjeŚr!V$2*INDEX(Zawodnicy[],MATCH($A16,Players!$A$2:$A$100,0),MATCH("Szybkość",Players!$A$1:$R$1,0))+PozycjeŚr!V$3*INDEX(Zawodnicy[],MATCH($A16,Players!$A$2:$A$100,0),MATCH("Kondycja",Players!$A$1:$R$1,0))+PozycjeŚr!V$4*INDEX(Zawodnicy[],MATCH($A16,Players!$A$2:$A$100,0),MATCH("Przegląd",Players!$A$1:$R$1,0))+PozycjeŚr!V$5*INDEX(Zawodnicy[],MATCH($A16,Players!$A$2:$A$100,0),MATCH("Podania dołem",Players!$A$1:$R$1,0))+PozycjeŚr!V$6*INDEX(Zawodnicy[],MATCH($A16,Players!$A$2:$A$100,0),MATCH("Strzał",Players!$A$1:$R$1,0))+PozycjeŚr!V$7*INDEX(Zawodnicy[],MATCH($A16,Players!$A$2:$A$100,0),MATCH("Gra głową",Players!$A$1:$R$1,0))+PozycjeŚr!V$8*INDEX(Zawodnicy[],MATCH($A16,Players!$A$2:$A$100,0),MATCH("Gra na bramce",Players!$A$1:$R$1,0))+PozycjeŚr!V$9*INDEX(Zawodnicy[],MATCH($A16,Players!$A$2:$A$100,0),MATCH("Panowanie",Players!$A$1:$R$1,0))+PozycjeŚr!V$10*INDEX(Zawodnicy[],MATCH($A16,Players!$A$2:$A$100,0),MATCH("Odbiór piłki",Players!$A$1:$R$1,0))+PozycjeŚr!V$11*INDEX(Zawodnicy[],MATCH($A16,Players!$A$2:$A$100,0),MATCH("Podania górą",Players!$A$1:$R$1,0))</f>
        <v>#N/A</v>
      </c>
      <c r="L16" s="16" t="e">
        <f>PozycjeŚr!W$2*INDEX(Zawodnicy[],MATCH($A16,Players!$A$2:$A$100,0),MATCH("Szybkość",Players!$A$1:$R$1,0))+PozycjeŚr!W$3*INDEX(Zawodnicy[],MATCH($A16,Players!$A$2:$A$100,0),MATCH("Kondycja",Players!$A$1:$R$1,0))+PozycjeŚr!W$4*INDEX(Zawodnicy[],MATCH($A16,Players!$A$2:$A$100,0),MATCH("Przegląd",Players!$A$1:$R$1,0))+PozycjeŚr!W$5*INDEX(Zawodnicy[],MATCH($A16,Players!$A$2:$A$100,0),MATCH("Podania dołem",Players!$A$1:$R$1,0))+PozycjeŚr!W$6*INDEX(Zawodnicy[],MATCH($A16,Players!$A$2:$A$100,0),MATCH("Strzał",Players!$A$1:$R$1,0))+PozycjeŚr!W$7*INDEX(Zawodnicy[],MATCH($A16,Players!$A$2:$A$100,0),MATCH("Gra głową",Players!$A$1:$R$1,0))+PozycjeŚr!W$8*INDEX(Zawodnicy[],MATCH($A16,Players!$A$2:$A$100,0),MATCH("Gra na bramce",Players!$A$1:$R$1,0))+PozycjeŚr!W$9*INDEX(Zawodnicy[],MATCH($A16,Players!$A$2:$A$100,0),MATCH("Panowanie",Players!$A$1:$R$1,0))+PozycjeŚr!W$10*INDEX(Zawodnicy[],MATCH($A16,Players!$A$2:$A$100,0),MATCH("Odbiór piłki",Players!$A$1:$R$1,0))+PozycjeŚr!W$11*INDEX(Zawodnicy[],MATCH($A16,Players!$A$2:$A$100,0),MATCH("Podania górą",Players!$A$1:$R$1,0))</f>
        <v>#N/A</v>
      </c>
    </row>
    <row r="17" spans="1:12" x14ac:dyDescent="0.25">
      <c r="A17" s="39">
        <f>IFERROR(Zawodnicy[[#This Row],[Number]],"-")</f>
        <v>22</v>
      </c>
      <c r="B17" t="str">
        <f>VLOOKUP(Radar[[#This Row],[Numer]],Zawodnicy[],2,FALSE)</f>
        <v>Daniel Dziewulski</v>
      </c>
      <c r="C17" s="16" t="e">
        <f>PozycjeŚr!N$2*INDEX(Zawodnicy[],MATCH($A17,Players!$A$2:$A$100,0),MATCH("Szybkość",Players!$A$1:$R$1,0))+PozycjeŚr!N$3*INDEX(Zawodnicy[],MATCH($A17,Players!$A$2:$A$100,0),MATCH("Kondycja",Players!$A$1:$R$1,0))+PozycjeŚr!N$4*INDEX(Zawodnicy[],MATCH($A17,Players!$A$2:$A$100,0),MATCH("Przegląd",Players!$A$1:$R$1,0))+PozycjeŚr!N$5*INDEX(Zawodnicy[],MATCH($A17,Players!$A$2:$A$100,0),MATCH("Podania dołem",Players!$A$1:$R$1,0))+PozycjeŚr!N$6*INDEX(Zawodnicy[],MATCH($A17,Players!$A$2:$A$100,0),MATCH("Strzał",Players!$A$1:$R$1,0))+PozycjeŚr!N$7*INDEX(Zawodnicy[],MATCH($A17,Players!$A$2:$A$100,0),MATCH("Gra głową",Players!$A$1:$R$1,0))+PozycjeŚr!N$8*INDEX(Zawodnicy[],MATCH($A17,Players!$A$2:$A$100,0),MATCH("Gra na bramce",Players!$A$1:$R$1,0))+PozycjeŚr!N$9*INDEX(Zawodnicy[],MATCH($A17,Players!$A$2:$A$100,0),MATCH("Panowanie",Players!$A$1:$R$1,0))+PozycjeŚr!N$10*INDEX(Zawodnicy[],MATCH($A17,Players!$A$2:$A$100,0),MATCH("Odbiór piłki",Players!$A$1:$R$1,0))+PozycjeŚr!N$11*INDEX(Zawodnicy[],MATCH($A17,Players!$A$2:$A$100,0),MATCH("Podania górą",Players!$A$1:$R$1,0))</f>
        <v>#N/A</v>
      </c>
      <c r="D17" s="16" t="e">
        <f>PozycjeŚr!O$2*INDEX(Zawodnicy[],MATCH($A17,Players!$A$2:$A$100,0),MATCH("Szybkość",Players!$A$1:$R$1,0))+PozycjeŚr!O$3*INDEX(Zawodnicy[],MATCH($A17,Players!$A$2:$A$100,0),MATCH("Kondycja",Players!$A$1:$R$1,0))+PozycjeŚr!O$4*INDEX(Zawodnicy[],MATCH($A17,Players!$A$2:$A$100,0),MATCH("Przegląd",Players!$A$1:$R$1,0))+PozycjeŚr!O$5*INDEX(Zawodnicy[],MATCH($A17,Players!$A$2:$A$100,0),MATCH("Podania dołem",Players!$A$1:$R$1,0))+PozycjeŚr!O$6*INDEX(Zawodnicy[],MATCH($A17,Players!$A$2:$A$100,0),MATCH("Strzał",Players!$A$1:$R$1,0))+PozycjeŚr!O$7*INDEX(Zawodnicy[],MATCH($A17,Players!$A$2:$A$100,0),MATCH("Gra głową",Players!$A$1:$R$1,0))+PozycjeŚr!O$8*INDEX(Zawodnicy[],MATCH($A17,Players!$A$2:$A$100,0),MATCH("Gra na bramce",Players!$A$1:$R$1,0))+PozycjeŚr!O$9*INDEX(Zawodnicy[],MATCH($A17,Players!$A$2:$A$100,0),MATCH("Panowanie",Players!$A$1:$R$1,0))+PozycjeŚr!O$10*INDEX(Zawodnicy[],MATCH($A17,Players!$A$2:$A$100,0),MATCH("Odbiór piłki",Players!$A$1:$R$1,0))+PozycjeŚr!O$11*INDEX(Zawodnicy[],MATCH($A17,Players!$A$2:$A$100,0),MATCH("Podania górą",Players!$A$1:$R$1,0))</f>
        <v>#N/A</v>
      </c>
      <c r="E17" s="16" t="e">
        <f>PozycjeŚr!P$2*INDEX(Zawodnicy[],MATCH($A17,Players!$A$2:$A$100,0),MATCH("Szybkość",Players!$A$1:$R$1,0))+PozycjeŚr!P$3*INDEX(Zawodnicy[],MATCH($A17,Players!$A$2:$A$100,0),MATCH("Kondycja",Players!$A$1:$R$1,0))+PozycjeŚr!P$4*INDEX(Zawodnicy[],MATCH($A17,Players!$A$2:$A$100,0),MATCH("Przegląd",Players!$A$1:$R$1,0))+PozycjeŚr!P$5*INDEX(Zawodnicy[],MATCH($A17,Players!$A$2:$A$100,0),MATCH("Podania dołem",Players!$A$1:$R$1,0))+PozycjeŚr!P$6*INDEX(Zawodnicy[],MATCH($A17,Players!$A$2:$A$100,0),MATCH("Strzał",Players!$A$1:$R$1,0))+PozycjeŚr!P$7*INDEX(Zawodnicy[],MATCH($A17,Players!$A$2:$A$100,0),MATCH("Gra głową",Players!$A$1:$R$1,0))+PozycjeŚr!P$8*INDEX(Zawodnicy[],MATCH($A17,Players!$A$2:$A$100,0),MATCH("Gra na bramce",Players!$A$1:$R$1,0))+PozycjeŚr!P$9*INDEX(Zawodnicy[],MATCH($A17,Players!$A$2:$A$100,0),MATCH("Panowanie",Players!$A$1:$R$1,0))+PozycjeŚr!P$10*INDEX(Zawodnicy[],MATCH($A17,Players!$A$2:$A$100,0),MATCH("Odbiór piłki",Players!$A$1:$R$1,0))+PozycjeŚr!P$11*INDEX(Zawodnicy[],MATCH($A17,Players!$A$2:$A$100,0),MATCH("Podania górą",Players!$A$1:$R$1,0))</f>
        <v>#N/A</v>
      </c>
      <c r="F17" s="16" t="e">
        <f>PozycjeŚr!Q$2*INDEX(Zawodnicy[],MATCH($A17,Players!$A$2:$A$100,0),MATCH("Szybkość",Players!$A$1:$R$1,0))+PozycjeŚr!Q$3*INDEX(Zawodnicy[],MATCH($A17,Players!$A$2:$A$100,0),MATCH("Kondycja",Players!$A$1:$R$1,0))+PozycjeŚr!Q$4*INDEX(Zawodnicy[],MATCH($A17,Players!$A$2:$A$100,0),MATCH("Przegląd",Players!$A$1:$R$1,0))+PozycjeŚr!Q$5*INDEX(Zawodnicy[],MATCH($A17,Players!$A$2:$A$100,0),MATCH("Podania dołem",Players!$A$1:$R$1,0))+PozycjeŚr!Q$6*INDEX(Zawodnicy[],MATCH($A17,Players!$A$2:$A$100,0),MATCH("Strzał",Players!$A$1:$R$1,0))+PozycjeŚr!Q$7*INDEX(Zawodnicy[],MATCH($A17,Players!$A$2:$A$100,0),MATCH("Gra głową",Players!$A$1:$R$1,0))+PozycjeŚr!Q$8*INDEX(Zawodnicy[],MATCH($A17,Players!$A$2:$A$100,0),MATCH("Gra na bramce",Players!$A$1:$R$1,0))+PozycjeŚr!Q$9*INDEX(Zawodnicy[],MATCH($A17,Players!$A$2:$A$100,0),MATCH("Panowanie",Players!$A$1:$R$1,0))+PozycjeŚr!Q$10*INDEX(Zawodnicy[],MATCH($A17,Players!$A$2:$A$100,0),MATCH("Odbiór piłki",Players!$A$1:$R$1,0))+PozycjeŚr!Q$11*INDEX(Zawodnicy[],MATCH($A17,Players!$A$2:$A$100,0),MATCH("Podania górą",Players!$A$1:$R$1,0))</f>
        <v>#N/A</v>
      </c>
      <c r="G17" s="16" t="e">
        <f>PozycjeŚr!R$2*INDEX(Zawodnicy[],MATCH($A17,Players!$A$2:$A$100,0),MATCH("Szybkość",Players!$A$1:$R$1,0))+PozycjeŚr!R$3*INDEX(Zawodnicy[],MATCH($A17,Players!$A$2:$A$100,0),MATCH("Kondycja",Players!$A$1:$R$1,0))+PozycjeŚr!R$4*INDEX(Zawodnicy[],MATCH($A17,Players!$A$2:$A$100,0),MATCH("Przegląd",Players!$A$1:$R$1,0))+PozycjeŚr!R$5*INDEX(Zawodnicy[],MATCH($A17,Players!$A$2:$A$100,0),MATCH("Podania dołem",Players!$A$1:$R$1,0))+PozycjeŚr!R$6*INDEX(Zawodnicy[],MATCH($A17,Players!$A$2:$A$100,0),MATCH("Strzał",Players!$A$1:$R$1,0))+PozycjeŚr!R$7*INDEX(Zawodnicy[],MATCH($A17,Players!$A$2:$A$100,0),MATCH("Gra głową",Players!$A$1:$R$1,0))+PozycjeŚr!R$8*INDEX(Zawodnicy[],MATCH($A17,Players!$A$2:$A$100,0),MATCH("Gra na bramce",Players!$A$1:$R$1,0))+PozycjeŚr!R$9*INDEX(Zawodnicy[],MATCH($A17,Players!$A$2:$A$100,0),MATCH("Panowanie",Players!$A$1:$R$1,0))+PozycjeŚr!R$10*INDEX(Zawodnicy[],MATCH($A17,Players!$A$2:$A$100,0),MATCH("Odbiór piłki",Players!$A$1:$R$1,0))+PozycjeŚr!R$11*INDEX(Zawodnicy[],MATCH($A17,Players!$A$2:$A$100,0),MATCH("Podania górą",Players!$A$1:$R$1,0))</f>
        <v>#N/A</v>
      </c>
      <c r="H17" s="16" t="e">
        <f>PozycjeŚr!S$2*INDEX(Zawodnicy[],MATCH($A17,Players!$A$2:$A$100,0),MATCH("Szybkość",Players!$A$1:$R$1,0))+PozycjeŚr!S$3*INDEX(Zawodnicy[],MATCH($A17,Players!$A$2:$A$100,0),MATCH("Kondycja",Players!$A$1:$R$1,0))+PozycjeŚr!S$4*INDEX(Zawodnicy[],MATCH($A17,Players!$A$2:$A$100,0),MATCH("Przegląd",Players!$A$1:$R$1,0))+PozycjeŚr!S$5*INDEX(Zawodnicy[],MATCH($A17,Players!$A$2:$A$100,0),MATCH("Podania dołem",Players!$A$1:$R$1,0))+PozycjeŚr!S$6*INDEX(Zawodnicy[],MATCH($A17,Players!$A$2:$A$100,0),MATCH("Strzał",Players!$A$1:$R$1,0))+PozycjeŚr!S$7*INDEX(Zawodnicy[],MATCH($A17,Players!$A$2:$A$100,0),MATCH("Gra głową",Players!$A$1:$R$1,0))+PozycjeŚr!S$8*INDEX(Zawodnicy[],MATCH($A17,Players!$A$2:$A$100,0),MATCH("Gra na bramce",Players!$A$1:$R$1,0))+PozycjeŚr!S$9*INDEX(Zawodnicy[],MATCH($A17,Players!$A$2:$A$100,0),MATCH("Panowanie",Players!$A$1:$R$1,0))+PozycjeŚr!S$10*INDEX(Zawodnicy[],MATCH($A17,Players!$A$2:$A$100,0),MATCH("Odbiór piłki",Players!$A$1:$R$1,0))+PozycjeŚr!S$11*INDEX(Zawodnicy[],MATCH($A17,Players!$A$2:$A$100,0),MATCH("Podania górą",Players!$A$1:$R$1,0))</f>
        <v>#N/A</v>
      </c>
      <c r="I17" s="16" t="e">
        <f>PozycjeŚr!T$2*INDEX(Zawodnicy[],MATCH($A17,Players!$A$2:$A$100,0),MATCH("Szybkość",Players!$A$1:$R$1,0))+PozycjeŚr!T$3*INDEX(Zawodnicy[],MATCH($A17,Players!$A$2:$A$100,0),MATCH("Kondycja",Players!$A$1:$R$1,0))+PozycjeŚr!T$4*INDEX(Zawodnicy[],MATCH($A17,Players!$A$2:$A$100,0),MATCH("Przegląd",Players!$A$1:$R$1,0))+PozycjeŚr!T$5*INDEX(Zawodnicy[],MATCH($A17,Players!$A$2:$A$100,0),MATCH("Podania dołem",Players!$A$1:$R$1,0))+PozycjeŚr!T$6*INDEX(Zawodnicy[],MATCH($A17,Players!$A$2:$A$100,0),MATCH("Strzał",Players!$A$1:$R$1,0))+PozycjeŚr!T$7*INDEX(Zawodnicy[],MATCH($A17,Players!$A$2:$A$100,0),MATCH("Gra głową",Players!$A$1:$R$1,0))+PozycjeŚr!T$8*INDEX(Zawodnicy[],MATCH($A17,Players!$A$2:$A$100,0),MATCH("Gra na bramce",Players!$A$1:$R$1,0))+PozycjeŚr!T$9*INDEX(Zawodnicy[],MATCH($A17,Players!$A$2:$A$100,0),MATCH("Panowanie",Players!$A$1:$R$1,0))+PozycjeŚr!T$10*INDEX(Zawodnicy[],MATCH($A17,Players!$A$2:$A$100,0),MATCH("Odbiór piłki",Players!$A$1:$R$1,0))+PozycjeŚr!T$11*INDEX(Zawodnicy[],MATCH($A17,Players!$A$2:$A$100,0),MATCH("Podania górą",Players!$A$1:$R$1,0))</f>
        <v>#N/A</v>
      </c>
      <c r="J17" s="16" t="e">
        <f>PozycjeŚr!U$2*INDEX(Zawodnicy[],MATCH($A17,Players!$A$2:$A$100,0),MATCH("Szybkość",Players!$A$1:$R$1,0))+PozycjeŚr!U$3*INDEX(Zawodnicy[],MATCH($A17,Players!$A$2:$A$100,0),MATCH("Kondycja",Players!$A$1:$R$1,0))+PozycjeŚr!U$4*INDEX(Zawodnicy[],MATCH($A17,Players!$A$2:$A$100,0),MATCH("Przegląd",Players!$A$1:$R$1,0))+PozycjeŚr!U$5*INDEX(Zawodnicy[],MATCH($A17,Players!$A$2:$A$100,0),MATCH("Podania dołem",Players!$A$1:$R$1,0))+PozycjeŚr!U$6*INDEX(Zawodnicy[],MATCH($A17,Players!$A$2:$A$100,0),MATCH("Strzał",Players!$A$1:$R$1,0))+PozycjeŚr!U$7*INDEX(Zawodnicy[],MATCH($A17,Players!$A$2:$A$100,0),MATCH("Gra głową",Players!$A$1:$R$1,0))+PozycjeŚr!U$8*INDEX(Zawodnicy[],MATCH($A17,Players!$A$2:$A$100,0),MATCH("Gra na bramce",Players!$A$1:$R$1,0))+PozycjeŚr!U$9*INDEX(Zawodnicy[],MATCH($A17,Players!$A$2:$A$100,0),MATCH("Panowanie",Players!$A$1:$R$1,0))+PozycjeŚr!U$10*INDEX(Zawodnicy[],MATCH($A17,Players!$A$2:$A$100,0),MATCH("Odbiór piłki",Players!$A$1:$R$1,0))+PozycjeŚr!U$11*INDEX(Zawodnicy[],MATCH($A17,Players!$A$2:$A$100,0),MATCH("Podania górą",Players!$A$1:$R$1,0))</f>
        <v>#N/A</v>
      </c>
      <c r="K17" s="16" t="e">
        <f>PozycjeŚr!V$2*INDEX(Zawodnicy[],MATCH($A17,Players!$A$2:$A$100,0),MATCH("Szybkość",Players!$A$1:$R$1,0))+PozycjeŚr!V$3*INDEX(Zawodnicy[],MATCH($A17,Players!$A$2:$A$100,0),MATCH("Kondycja",Players!$A$1:$R$1,0))+PozycjeŚr!V$4*INDEX(Zawodnicy[],MATCH($A17,Players!$A$2:$A$100,0),MATCH("Przegląd",Players!$A$1:$R$1,0))+PozycjeŚr!V$5*INDEX(Zawodnicy[],MATCH($A17,Players!$A$2:$A$100,0),MATCH("Podania dołem",Players!$A$1:$R$1,0))+PozycjeŚr!V$6*INDEX(Zawodnicy[],MATCH($A17,Players!$A$2:$A$100,0),MATCH("Strzał",Players!$A$1:$R$1,0))+PozycjeŚr!V$7*INDEX(Zawodnicy[],MATCH($A17,Players!$A$2:$A$100,0),MATCH("Gra głową",Players!$A$1:$R$1,0))+PozycjeŚr!V$8*INDEX(Zawodnicy[],MATCH($A17,Players!$A$2:$A$100,0),MATCH("Gra na bramce",Players!$A$1:$R$1,0))+PozycjeŚr!V$9*INDEX(Zawodnicy[],MATCH($A17,Players!$A$2:$A$100,0),MATCH("Panowanie",Players!$A$1:$R$1,0))+PozycjeŚr!V$10*INDEX(Zawodnicy[],MATCH($A17,Players!$A$2:$A$100,0),MATCH("Odbiór piłki",Players!$A$1:$R$1,0))+PozycjeŚr!V$11*INDEX(Zawodnicy[],MATCH($A17,Players!$A$2:$A$100,0),MATCH("Podania górą",Players!$A$1:$R$1,0))</f>
        <v>#N/A</v>
      </c>
      <c r="L17" s="16" t="e">
        <f>PozycjeŚr!W$2*INDEX(Zawodnicy[],MATCH($A17,Players!$A$2:$A$100,0),MATCH("Szybkość",Players!$A$1:$R$1,0))+PozycjeŚr!W$3*INDEX(Zawodnicy[],MATCH($A17,Players!$A$2:$A$100,0),MATCH("Kondycja",Players!$A$1:$R$1,0))+PozycjeŚr!W$4*INDEX(Zawodnicy[],MATCH($A17,Players!$A$2:$A$100,0),MATCH("Przegląd",Players!$A$1:$R$1,0))+PozycjeŚr!W$5*INDEX(Zawodnicy[],MATCH($A17,Players!$A$2:$A$100,0),MATCH("Podania dołem",Players!$A$1:$R$1,0))+PozycjeŚr!W$6*INDEX(Zawodnicy[],MATCH($A17,Players!$A$2:$A$100,0),MATCH("Strzał",Players!$A$1:$R$1,0))+PozycjeŚr!W$7*INDEX(Zawodnicy[],MATCH($A17,Players!$A$2:$A$100,0),MATCH("Gra głową",Players!$A$1:$R$1,0))+PozycjeŚr!W$8*INDEX(Zawodnicy[],MATCH($A17,Players!$A$2:$A$100,0),MATCH("Gra na bramce",Players!$A$1:$R$1,0))+PozycjeŚr!W$9*INDEX(Zawodnicy[],MATCH($A17,Players!$A$2:$A$100,0),MATCH("Panowanie",Players!$A$1:$R$1,0))+PozycjeŚr!W$10*INDEX(Zawodnicy[],MATCH($A17,Players!$A$2:$A$100,0),MATCH("Odbiór piłki",Players!$A$1:$R$1,0))+PozycjeŚr!W$11*INDEX(Zawodnicy[],MATCH($A17,Players!$A$2:$A$100,0),MATCH("Podania górą",Players!$A$1:$R$1,0))</f>
        <v>#N/A</v>
      </c>
    </row>
    <row r="18" spans="1:12" x14ac:dyDescent="0.25">
      <c r="A18" s="39">
        <f>IFERROR(Zawodnicy[[#This Row],[Number]],"-")</f>
        <v>25</v>
      </c>
      <c r="B18" t="str">
        <f>VLOOKUP(Radar[[#This Row],[Numer]],Zawodnicy[],2,FALSE)</f>
        <v>Jakub Ludwiczak</v>
      </c>
      <c r="C18" s="16" t="e">
        <f>PozycjeŚr!N$2*INDEX(Zawodnicy[],MATCH($A18,Players!$A$2:$A$100,0),MATCH("Szybkość",Players!$A$1:$R$1,0))+PozycjeŚr!N$3*INDEX(Zawodnicy[],MATCH($A18,Players!$A$2:$A$100,0),MATCH("Kondycja",Players!$A$1:$R$1,0))+PozycjeŚr!N$4*INDEX(Zawodnicy[],MATCH($A18,Players!$A$2:$A$100,0),MATCH("Przegląd",Players!$A$1:$R$1,0))+PozycjeŚr!N$5*INDEX(Zawodnicy[],MATCH($A18,Players!$A$2:$A$100,0),MATCH("Podania dołem",Players!$A$1:$R$1,0))+PozycjeŚr!N$6*INDEX(Zawodnicy[],MATCH($A18,Players!$A$2:$A$100,0),MATCH("Strzał",Players!$A$1:$R$1,0))+PozycjeŚr!N$7*INDEX(Zawodnicy[],MATCH($A18,Players!$A$2:$A$100,0),MATCH("Gra głową",Players!$A$1:$R$1,0))+PozycjeŚr!N$8*INDEX(Zawodnicy[],MATCH($A18,Players!$A$2:$A$100,0),MATCH("Gra na bramce",Players!$A$1:$R$1,0))+PozycjeŚr!N$9*INDEX(Zawodnicy[],MATCH($A18,Players!$A$2:$A$100,0),MATCH("Panowanie",Players!$A$1:$R$1,0))+PozycjeŚr!N$10*INDEX(Zawodnicy[],MATCH($A18,Players!$A$2:$A$100,0),MATCH("Odbiór piłki",Players!$A$1:$R$1,0))+PozycjeŚr!N$11*INDEX(Zawodnicy[],MATCH($A18,Players!$A$2:$A$100,0),MATCH("Podania górą",Players!$A$1:$R$1,0))</f>
        <v>#N/A</v>
      </c>
      <c r="D18" s="16" t="e">
        <f>PozycjeŚr!O$2*INDEX(Zawodnicy[],MATCH($A18,Players!$A$2:$A$100,0),MATCH("Szybkość",Players!$A$1:$R$1,0))+PozycjeŚr!O$3*INDEX(Zawodnicy[],MATCH($A18,Players!$A$2:$A$100,0),MATCH("Kondycja",Players!$A$1:$R$1,0))+PozycjeŚr!O$4*INDEX(Zawodnicy[],MATCH($A18,Players!$A$2:$A$100,0),MATCH("Przegląd",Players!$A$1:$R$1,0))+PozycjeŚr!O$5*INDEX(Zawodnicy[],MATCH($A18,Players!$A$2:$A$100,0),MATCH("Podania dołem",Players!$A$1:$R$1,0))+PozycjeŚr!O$6*INDEX(Zawodnicy[],MATCH($A18,Players!$A$2:$A$100,0),MATCH("Strzał",Players!$A$1:$R$1,0))+PozycjeŚr!O$7*INDEX(Zawodnicy[],MATCH($A18,Players!$A$2:$A$100,0),MATCH("Gra głową",Players!$A$1:$R$1,0))+PozycjeŚr!O$8*INDEX(Zawodnicy[],MATCH($A18,Players!$A$2:$A$100,0),MATCH("Gra na bramce",Players!$A$1:$R$1,0))+PozycjeŚr!O$9*INDEX(Zawodnicy[],MATCH($A18,Players!$A$2:$A$100,0),MATCH("Panowanie",Players!$A$1:$R$1,0))+PozycjeŚr!O$10*INDEX(Zawodnicy[],MATCH($A18,Players!$A$2:$A$100,0),MATCH("Odbiór piłki",Players!$A$1:$R$1,0))+PozycjeŚr!O$11*INDEX(Zawodnicy[],MATCH($A18,Players!$A$2:$A$100,0),MATCH("Podania górą",Players!$A$1:$R$1,0))</f>
        <v>#N/A</v>
      </c>
      <c r="E18" s="16" t="e">
        <f>PozycjeŚr!P$2*INDEX(Zawodnicy[],MATCH($A18,Players!$A$2:$A$100,0),MATCH("Szybkość",Players!$A$1:$R$1,0))+PozycjeŚr!P$3*INDEX(Zawodnicy[],MATCH($A18,Players!$A$2:$A$100,0),MATCH("Kondycja",Players!$A$1:$R$1,0))+PozycjeŚr!P$4*INDEX(Zawodnicy[],MATCH($A18,Players!$A$2:$A$100,0),MATCH("Przegląd",Players!$A$1:$R$1,0))+PozycjeŚr!P$5*INDEX(Zawodnicy[],MATCH($A18,Players!$A$2:$A$100,0),MATCH("Podania dołem",Players!$A$1:$R$1,0))+PozycjeŚr!P$6*INDEX(Zawodnicy[],MATCH($A18,Players!$A$2:$A$100,0),MATCH("Strzał",Players!$A$1:$R$1,0))+PozycjeŚr!P$7*INDEX(Zawodnicy[],MATCH($A18,Players!$A$2:$A$100,0),MATCH("Gra głową",Players!$A$1:$R$1,0))+PozycjeŚr!P$8*INDEX(Zawodnicy[],MATCH($A18,Players!$A$2:$A$100,0),MATCH("Gra na bramce",Players!$A$1:$R$1,0))+PozycjeŚr!P$9*INDEX(Zawodnicy[],MATCH($A18,Players!$A$2:$A$100,0),MATCH("Panowanie",Players!$A$1:$R$1,0))+PozycjeŚr!P$10*INDEX(Zawodnicy[],MATCH($A18,Players!$A$2:$A$100,0),MATCH("Odbiór piłki",Players!$A$1:$R$1,0))+PozycjeŚr!P$11*INDEX(Zawodnicy[],MATCH($A18,Players!$A$2:$A$100,0),MATCH("Podania górą",Players!$A$1:$R$1,0))</f>
        <v>#N/A</v>
      </c>
      <c r="F18" s="16" t="e">
        <f>PozycjeŚr!Q$2*INDEX(Zawodnicy[],MATCH($A18,Players!$A$2:$A$100,0),MATCH("Szybkość",Players!$A$1:$R$1,0))+PozycjeŚr!Q$3*INDEX(Zawodnicy[],MATCH($A18,Players!$A$2:$A$100,0),MATCH("Kondycja",Players!$A$1:$R$1,0))+PozycjeŚr!Q$4*INDEX(Zawodnicy[],MATCH($A18,Players!$A$2:$A$100,0),MATCH("Przegląd",Players!$A$1:$R$1,0))+PozycjeŚr!Q$5*INDEX(Zawodnicy[],MATCH($A18,Players!$A$2:$A$100,0),MATCH("Podania dołem",Players!$A$1:$R$1,0))+PozycjeŚr!Q$6*INDEX(Zawodnicy[],MATCH($A18,Players!$A$2:$A$100,0),MATCH("Strzał",Players!$A$1:$R$1,0))+PozycjeŚr!Q$7*INDEX(Zawodnicy[],MATCH($A18,Players!$A$2:$A$100,0),MATCH("Gra głową",Players!$A$1:$R$1,0))+PozycjeŚr!Q$8*INDEX(Zawodnicy[],MATCH($A18,Players!$A$2:$A$100,0),MATCH("Gra na bramce",Players!$A$1:$R$1,0))+PozycjeŚr!Q$9*INDEX(Zawodnicy[],MATCH($A18,Players!$A$2:$A$100,0),MATCH("Panowanie",Players!$A$1:$R$1,0))+PozycjeŚr!Q$10*INDEX(Zawodnicy[],MATCH($A18,Players!$A$2:$A$100,0),MATCH("Odbiór piłki",Players!$A$1:$R$1,0))+PozycjeŚr!Q$11*INDEX(Zawodnicy[],MATCH($A18,Players!$A$2:$A$100,0),MATCH("Podania górą",Players!$A$1:$R$1,0))</f>
        <v>#N/A</v>
      </c>
      <c r="G18" s="16" t="e">
        <f>PozycjeŚr!R$2*INDEX(Zawodnicy[],MATCH($A18,Players!$A$2:$A$100,0),MATCH("Szybkość",Players!$A$1:$R$1,0))+PozycjeŚr!R$3*INDEX(Zawodnicy[],MATCH($A18,Players!$A$2:$A$100,0),MATCH("Kondycja",Players!$A$1:$R$1,0))+PozycjeŚr!R$4*INDEX(Zawodnicy[],MATCH($A18,Players!$A$2:$A$100,0),MATCH("Przegląd",Players!$A$1:$R$1,0))+PozycjeŚr!R$5*INDEX(Zawodnicy[],MATCH($A18,Players!$A$2:$A$100,0),MATCH("Podania dołem",Players!$A$1:$R$1,0))+PozycjeŚr!R$6*INDEX(Zawodnicy[],MATCH($A18,Players!$A$2:$A$100,0),MATCH("Strzał",Players!$A$1:$R$1,0))+PozycjeŚr!R$7*INDEX(Zawodnicy[],MATCH($A18,Players!$A$2:$A$100,0),MATCH("Gra głową",Players!$A$1:$R$1,0))+PozycjeŚr!R$8*INDEX(Zawodnicy[],MATCH($A18,Players!$A$2:$A$100,0),MATCH("Gra na bramce",Players!$A$1:$R$1,0))+PozycjeŚr!R$9*INDEX(Zawodnicy[],MATCH($A18,Players!$A$2:$A$100,0),MATCH("Panowanie",Players!$A$1:$R$1,0))+PozycjeŚr!R$10*INDEX(Zawodnicy[],MATCH($A18,Players!$A$2:$A$100,0),MATCH("Odbiór piłki",Players!$A$1:$R$1,0))+PozycjeŚr!R$11*INDEX(Zawodnicy[],MATCH($A18,Players!$A$2:$A$100,0),MATCH("Podania górą",Players!$A$1:$R$1,0))</f>
        <v>#N/A</v>
      </c>
      <c r="H18" s="16" t="e">
        <f>PozycjeŚr!S$2*INDEX(Zawodnicy[],MATCH($A18,Players!$A$2:$A$100,0),MATCH("Szybkość",Players!$A$1:$R$1,0))+PozycjeŚr!S$3*INDEX(Zawodnicy[],MATCH($A18,Players!$A$2:$A$100,0),MATCH("Kondycja",Players!$A$1:$R$1,0))+PozycjeŚr!S$4*INDEX(Zawodnicy[],MATCH($A18,Players!$A$2:$A$100,0),MATCH("Przegląd",Players!$A$1:$R$1,0))+PozycjeŚr!S$5*INDEX(Zawodnicy[],MATCH($A18,Players!$A$2:$A$100,0),MATCH("Podania dołem",Players!$A$1:$R$1,0))+PozycjeŚr!S$6*INDEX(Zawodnicy[],MATCH($A18,Players!$A$2:$A$100,0),MATCH("Strzał",Players!$A$1:$R$1,0))+PozycjeŚr!S$7*INDEX(Zawodnicy[],MATCH($A18,Players!$A$2:$A$100,0),MATCH("Gra głową",Players!$A$1:$R$1,0))+PozycjeŚr!S$8*INDEX(Zawodnicy[],MATCH($A18,Players!$A$2:$A$100,0),MATCH("Gra na bramce",Players!$A$1:$R$1,0))+PozycjeŚr!S$9*INDEX(Zawodnicy[],MATCH($A18,Players!$A$2:$A$100,0),MATCH("Panowanie",Players!$A$1:$R$1,0))+PozycjeŚr!S$10*INDEX(Zawodnicy[],MATCH($A18,Players!$A$2:$A$100,0),MATCH("Odbiór piłki",Players!$A$1:$R$1,0))+PozycjeŚr!S$11*INDEX(Zawodnicy[],MATCH($A18,Players!$A$2:$A$100,0),MATCH("Podania górą",Players!$A$1:$R$1,0))</f>
        <v>#N/A</v>
      </c>
      <c r="I18" s="16" t="e">
        <f>PozycjeŚr!T$2*INDEX(Zawodnicy[],MATCH($A18,Players!$A$2:$A$100,0),MATCH("Szybkość",Players!$A$1:$R$1,0))+PozycjeŚr!T$3*INDEX(Zawodnicy[],MATCH($A18,Players!$A$2:$A$100,0),MATCH("Kondycja",Players!$A$1:$R$1,0))+PozycjeŚr!T$4*INDEX(Zawodnicy[],MATCH($A18,Players!$A$2:$A$100,0),MATCH("Przegląd",Players!$A$1:$R$1,0))+PozycjeŚr!T$5*INDEX(Zawodnicy[],MATCH($A18,Players!$A$2:$A$100,0),MATCH("Podania dołem",Players!$A$1:$R$1,0))+PozycjeŚr!T$6*INDEX(Zawodnicy[],MATCH($A18,Players!$A$2:$A$100,0),MATCH("Strzał",Players!$A$1:$R$1,0))+PozycjeŚr!T$7*INDEX(Zawodnicy[],MATCH($A18,Players!$A$2:$A$100,0),MATCH("Gra głową",Players!$A$1:$R$1,0))+PozycjeŚr!T$8*INDEX(Zawodnicy[],MATCH($A18,Players!$A$2:$A$100,0),MATCH("Gra na bramce",Players!$A$1:$R$1,0))+PozycjeŚr!T$9*INDEX(Zawodnicy[],MATCH($A18,Players!$A$2:$A$100,0),MATCH("Panowanie",Players!$A$1:$R$1,0))+PozycjeŚr!T$10*INDEX(Zawodnicy[],MATCH($A18,Players!$A$2:$A$100,0),MATCH("Odbiór piłki",Players!$A$1:$R$1,0))+PozycjeŚr!T$11*INDEX(Zawodnicy[],MATCH($A18,Players!$A$2:$A$100,0),MATCH("Podania górą",Players!$A$1:$R$1,0))</f>
        <v>#N/A</v>
      </c>
      <c r="J18" s="16" t="e">
        <f>PozycjeŚr!U$2*INDEX(Zawodnicy[],MATCH($A18,Players!$A$2:$A$100,0),MATCH("Szybkość",Players!$A$1:$R$1,0))+PozycjeŚr!U$3*INDEX(Zawodnicy[],MATCH($A18,Players!$A$2:$A$100,0),MATCH("Kondycja",Players!$A$1:$R$1,0))+PozycjeŚr!U$4*INDEX(Zawodnicy[],MATCH($A18,Players!$A$2:$A$100,0),MATCH("Przegląd",Players!$A$1:$R$1,0))+PozycjeŚr!U$5*INDEX(Zawodnicy[],MATCH($A18,Players!$A$2:$A$100,0),MATCH("Podania dołem",Players!$A$1:$R$1,0))+PozycjeŚr!U$6*INDEX(Zawodnicy[],MATCH($A18,Players!$A$2:$A$100,0),MATCH("Strzał",Players!$A$1:$R$1,0))+PozycjeŚr!U$7*INDEX(Zawodnicy[],MATCH($A18,Players!$A$2:$A$100,0),MATCH("Gra głową",Players!$A$1:$R$1,0))+PozycjeŚr!U$8*INDEX(Zawodnicy[],MATCH($A18,Players!$A$2:$A$100,0),MATCH("Gra na bramce",Players!$A$1:$R$1,0))+PozycjeŚr!U$9*INDEX(Zawodnicy[],MATCH($A18,Players!$A$2:$A$100,0),MATCH("Panowanie",Players!$A$1:$R$1,0))+PozycjeŚr!U$10*INDEX(Zawodnicy[],MATCH($A18,Players!$A$2:$A$100,0),MATCH("Odbiór piłki",Players!$A$1:$R$1,0))+PozycjeŚr!U$11*INDEX(Zawodnicy[],MATCH($A18,Players!$A$2:$A$100,0),MATCH("Podania górą",Players!$A$1:$R$1,0))</f>
        <v>#N/A</v>
      </c>
      <c r="K18" s="16" t="e">
        <f>PozycjeŚr!V$2*INDEX(Zawodnicy[],MATCH($A18,Players!$A$2:$A$100,0),MATCH("Szybkość",Players!$A$1:$R$1,0))+PozycjeŚr!V$3*INDEX(Zawodnicy[],MATCH($A18,Players!$A$2:$A$100,0),MATCH("Kondycja",Players!$A$1:$R$1,0))+PozycjeŚr!V$4*INDEX(Zawodnicy[],MATCH($A18,Players!$A$2:$A$100,0),MATCH("Przegląd",Players!$A$1:$R$1,0))+PozycjeŚr!V$5*INDEX(Zawodnicy[],MATCH($A18,Players!$A$2:$A$100,0),MATCH("Podania dołem",Players!$A$1:$R$1,0))+PozycjeŚr!V$6*INDEX(Zawodnicy[],MATCH($A18,Players!$A$2:$A$100,0),MATCH("Strzał",Players!$A$1:$R$1,0))+PozycjeŚr!V$7*INDEX(Zawodnicy[],MATCH($A18,Players!$A$2:$A$100,0),MATCH("Gra głową",Players!$A$1:$R$1,0))+PozycjeŚr!V$8*INDEX(Zawodnicy[],MATCH($A18,Players!$A$2:$A$100,0),MATCH("Gra na bramce",Players!$A$1:$R$1,0))+PozycjeŚr!V$9*INDEX(Zawodnicy[],MATCH($A18,Players!$A$2:$A$100,0),MATCH("Panowanie",Players!$A$1:$R$1,0))+PozycjeŚr!V$10*INDEX(Zawodnicy[],MATCH($A18,Players!$A$2:$A$100,0),MATCH("Odbiór piłki",Players!$A$1:$R$1,0))+PozycjeŚr!V$11*INDEX(Zawodnicy[],MATCH($A18,Players!$A$2:$A$100,0),MATCH("Podania górą",Players!$A$1:$R$1,0))</f>
        <v>#N/A</v>
      </c>
      <c r="L18" s="16" t="e">
        <f>PozycjeŚr!W$2*INDEX(Zawodnicy[],MATCH($A18,Players!$A$2:$A$100,0),MATCH("Szybkość",Players!$A$1:$R$1,0))+PozycjeŚr!W$3*INDEX(Zawodnicy[],MATCH($A18,Players!$A$2:$A$100,0),MATCH("Kondycja",Players!$A$1:$R$1,0))+PozycjeŚr!W$4*INDEX(Zawodnicy[],MATCH($A18,Players!$A$2:$A$100,0),MATCH("Przegląd",Players!$A$1:$R$1,0))+PozycjeŚr!W$5*INDEX(Zawodnicy[],MATCH($A18,Players!$A$2:$A$100,0),MATCH("Podania dołem",Players!$A$1:$R$1,0))+PozycjeŚr!W$6*INDEX(Zawodnicy[],MATCH($A18,Players!$A$2:$A$100,0),MATCH("Strzał",Players!$A$1:$R$1,0))+PozycjeŚr!W$7*INDEX(Zawodnicy[],MATCH($A18,Players!$A$2:$A$100,0),MATCH("Gra głową",Players!$A$1:$R$1,0))+PozycjeŚr!W$8*INDEX(Zawodnicy[],MATCH($A18,Players!$A$2:$A$100,0),MATCH("Gra na bramce",Players!$A$1:$R$1,0))+PozycjeŚr!W$9*INDEX(Zawodnicy[],MATCH($A18,Players!$A$2:$A$100,0),MATCH("Panowanie",Players!$A$1:$R$1,0))+PozycjeŚr!W$10*INDEX(Zawodnicy[],MATCH($A18,Players!$A$2:$A$100,0),MATCH("Odbiór piłki",Players!$A$1:$R$1,0))+PozycjeŚr!W$11*INDEX(Zawodnicy[],MATCH($A18,Players!$A$2:$A$100,0),MATCH("Podania górą",Players!$A$1:$R$1,0))</f>
        <v>#N/A</v>
      </c>
    </row>
    <row r="19" spans="1:12" x14ac:dyDescent="0.25">
      <c r="A19" s="39">
        <f>IFERROR(Zawodnicy[[#This Row],[Number]],"-")</f>
        <v>26</v>
      </c>
      <c r="B19" t="str">
        <f>VLOOKUP(Radar[[#This Row],[Numer]],Zawodnicy[],2,FALSE)</f>
        <v>Ignacy Lato</v>
      </c>
      <c r="C19" s="16" t="e">
        <f>PozycjeŚr!N$2*INDEX(Zawodnicy[],MATCH($A19,Players!$A$2:$A$100,0),MATCH("Szybkość",Players!$A$1:$R$1,0))+PozycjeŚr!N$3*INDEX(Zawodnicy[],MATCH($A19,Players!$A$2:$A$100,0),MATCH("Kondycja",Players!$A$1:$R$1,0))+PozycjeŚr!N$4*INDEX(Zawodnicy[],MATCH($A19,Players!$A$2:$A$100,0),MATCH("Przegląd",Players!$A$1:$R$1,0))+PozycjeŚr!N$5*INDEX(Zawodnicy[],MATCH($A19,Players!$A$2:$A$100,0),MATCH("Podania dołem",Players!$A$1:$R$1,0))+PozycjeŚr!N$6*INDEX(Zawodnicy[],MATCH($A19,Players!$A$2:$A$100,0),MATCH("Strzał",Players!$A$1:$R$1,0))+PozycjeŚr!N$7*INDEX(Zawodnicy[],MATCH($A19,Players!$A$2:$A$100,0),MATCH("Gra głową",Players!$A$1:$R$1,0))+PozycjeŚr!N$8*INDEX(Zawodnicy[],MATCH($A19,Players!$A$2:$A$100,0),MATCH("Gra na bramce",Players!$A$1:$R$1,0))+PozycjeŚr!N$9*INDEX(Zawodnicy[],MATCH($A19,Players!$A$2:$A$100,0),MATCH("Panowanie",Players!$A$1:$R$1,0))+PozycjeŚr!N$10*INDEX(Zawodnicy[],MATCH($A19,Players!$A$2:$A$100,0),MATCH("Odbiór piłki",Players!$A$1:$R$1,0))+PozycjeŚr!N$11*INDEX(Zawodnicy[],MATCH($A19,Players!$A$2:$A$100,0),MATCH("Podania górą",Players!$A$1:$R$1,0))</f>
        <v>#N/A</v>
      </c>
      <c r="D19" s="16" t="e">
        <f>PozycjeŚr!O$2*INDEX(Zawodnicy[],MATCH($A19,Players!$A$2:$A$100,0),MATCH("Szybkość",Players!$A$1:$R$1,0))+PozycjeŚr!O$3*INDEX(Zawodnicy[],MATCH($A19,Players!$A$2:$A$100,0),MATCH("Kondycja",Players!$A$1:$R$1,0))+PozycjeŚr!O$4*INDEX(Zawodnicy[],MATCH($A19,Players!$A$2:$A$100,0),MATCH("Przegląd",Players!$A$1:$R$1,0))+PozycjeŚr!O$5*INDEX(Zawodnicy[],MATCH($A19,Players!$A$2:$A$100,0),MATCH("Podania dołem",Players!$A$1:$R$1,0))+PozycjeŚr!O$6*INDEX(Zawodnicy[],MATCH($A19,Players!$A$2:$A$100,0),MATCH("Strzał",Players!$A$1:$R$1,0))+PozycjeŚr!O$7*INDEX(Zawodnicy[],MATCH($A19,Players!$A$2:$A$100,0),MATCH("Gra głową",Players!$A$1:$R$1,0))+PozycjeŚr!O$8*INDEX(Zawodnicy[],MATCH($A19,Players!$A$2:$A$100,0),MATCH("Gra na bramce",Players!$A$1:$R$1,0))+PozycjeŚr!O$9*INDEX(Zawodnicy[],MATCH($A19,Players!$A$2:$A$100,0),MATCH("Panowanie",Players!$A$1:$R$1,0))+PozycjeŚr!O$10*INDEX(Zawodnicy[],MATCH($A19,Players!$A$2:$A$100,0),MATCH("Odbiór piłki",Players!$A$1:$R$1,0))+PozycjeŚr!O$11*INDEX(Zawodnicy[],MATCH($A19,Players!$A$2:$A$100,0),MATCH("Podania górą",Players!$A$1:$R$1,0))</f>
        <v>#N/A</v>
      </c>
      <c r="E19" s="16" t="e">
        <f>PozycjeŚr!P$2*INDEX(Zawodnicy[],MATCH($A19,Players!$A$2:$A$100,0),MATCH("Szybkość",Players!$A$1:$R$1,0))+PozycjeŚr!P$3*INDEX(Zawodnicy[],MATCH($A19,Players!$A$2:$A$100,0),MATCH("Kondycja",Players!$A$1:$R$1,0))+PozycjeŚr!P$4*INDEX(Zawodnicy[],MATCH($A19,Players!$A$2:$A$100,0),MATCH("Przegląd",Players!$A$1:$R$1,0))+PozycjeŚr!P$5*INDEX(Zawodnicy[],MATCH($A19,Players!$A$2:$A$100,0),MATCH("Podania dołem",Players!$A$1:$R$1,0))+PozycjeŚr!P$6*INDEX(Zawodnicy[],MATCH($A19,Players!$A$2:$A$100,0),MATCH("Strzał",Players!$A$1:$R$1,0))+PozycjeŚr!P$7*INDEX(Zawodnicy[],MATCH($A19,Players!$A$2:$A$100,0),MATCH("Gra głową",Players!$A$1:$R$1,0))+PozycjeŚr!P$8*INDEX(Zawodnicy[],MATCH($A19,Players!$A$2:$A$100,0),MATCH("Gra na bramce",Players!$A$1:$R$1,0))+PozycjeŚr!P$9*INDEX(Zawodnicy[],MATCH($A19,Players!$A$2:$A$100,0),MATCH("Panowanie",Players!$A$1:$R$1,0))+PozycjeŚr!P$10*INDEX(Zawodnicy[],MATCH($A19,Players!$A$2:$A$100,0),MATCH("Odbiór piłki",Players!$A$1:$R$1,0))+PozycjeŚr!P$11*INDEX(Zawodnicy[],MATCH($A19,Players!$A$2:$A$100,0),MATCH("Podania górą",Players!$A$1:$R$1,0))</f>
        <v>#N/A</v>
      </c>
      <c r="F19" s="16" t="e">
        <f>PozycjeŚr!Q$2*INDEX(Zawodnicy[],MATCH($A19,Players!$A$2:$A$100,0),MATCH("Szybkość",Players!$A$1:$R$1,0))+PozycjeŚr!Q$3*INDEX(Zawodnicy[],MATCH($A19,Players!$A$2:$A$100,0),MATCH("Kondycja",Players!$A$1:$R$1,0))+PozycjeŚr!Q$4*INDEX(Zawodnicy[],MATCH($A19,Players!$A$2:$A$100,0),MATCH("Przegląd",Players!$A$1:$R$1,0))+PozycjeŚr!Q$5*INDEX(Zawodnicy[],MATCH($A19,Players!$A$2:$A$100,0),MATCH("Podania dołem",Players!$A$1:$R$1,0))+PozycjeŚr!Q$6*INDEX(Zawodnicy[],MATCH($A19,Players!$A$2:$A$100,0),MATCH("Strzał",Players!$A$1:$R$1,0))+PozycjeŚr!Q$7*INDEX(Zawodnicy[],MATCH($A19,Players!$A$2:$A$100,0),MATCH("Gra głową",Players!$A$1:$R$1,0))+PozycjeŚr!Q$8*INDEX(Zawodnicy[],MATCH($A19,Players!$A$2:$A$100,0),MATCH("Gra na bramce",Players!$A$1:$R$1,0))+PozycjeŚr!Q$9*INDEX(Zawodnicy[],MATCH($A19,Players!$A$2:$A$100,0),MATCH("Panowanie",Players!$A$1:$R$1,0))+PozycjeŚr!Q$10*INDEX(Zawodnicy[],MATCH($A19,Players!$A$2:$A$100,0),MATCH("Odbiór piłki",Players!$A$1:$R$1,0))+PozycjeŚr!Q$11*INDEX(Zawodnicy[],MATCH($A19,Players!$A$2:$A$100,0),MATCH("Podania górą",Players!$A$1:$R$1,0))</f>
        <v>#N/A</v>
      </c>
      <c r="G19" s="16" t="e">
        <f>PozycjeŚr!R$2*INDEX(Zawodnicy[],MATCH($A19,Players!$A$2:$A$100,0),MATCH("Szybkość",Players!$A$1:$R$1,0))+PozycjeŚr!R$3*INDEX(Zawodnicy[],MATCH($A19,Players!$A$2:$A$100,0),MATCH("Kondycja",Players!$A$1:$R$1,0))+PozycjeŚr!R$4*INDEX(Zawodnicy[],MATCH($A19,Players!$A$2:$A$100,0),MATCH("Przegląd",Players!$A$1:$R$1,0))+PozycjeŚr!R$5*INDEX(Zawodnicy[],MATCH($A19,Players!$A$2:$A$100,0),MATCH("Podania dołem",Players!$A$1:$R$1,0))+PozycjeŚr!R$6*INDEX(Zawodnicy[],MATCH($A19,Players!$A$2:$A$100,0),MATCH("Strzał",Players!$A$1:$R$1,0))+PozycjeŚr!R$7*INDEX(Zawodnicy[],MATCH($A19,Players!$A$2:$A$100,0),MATCH("Gra głową",Players!$A$1:$R$1,0))+PozycjeŚr!R$8*INDEX(Zawodnicy[],MATCH($A19,Players!$A$2:$A$100,0),MATCH("Gra na bramce",Players!$A$1:$R$1,0))+PozycjeŚr!R$9*INDEX(Zawodnicy[],MATCH($A19,Players!$A$2:$A$100,0),MATCH("Panowanie",Players!$A$1:$R$1,0))+PozycjeŚr!R$10*INDEX(Zawodnicy[],MATCH($A19,Players!$A$2:$A$100,0),MATCH("Odbiór piłki",Players!$A$1:$R$1,0))+PozycjeŚr!R$11*INDEX(Zawodnicy[],MATCH($A19,Players!$A$2:$A$100,0),MATCH("Podania górą",Players!$A$1:$R$1,0))</f>
        <v>#N/A</v>
      </c>
      <c r="H19" s="16" t="e">
        <f>PozycjeŚr!S$2*INDEX(Zawodnicy[],MATCH($A19,Players!$A$2:$A$100,0),MATCH("Szybkość",Players!$A$1:$R$1,0))+PozycjeŚr!S$3*INDEX(Zawodnicy[],MATCH($A19,Players!$A$2:$A$100,0),MATCH("Kondycja",Players!$A$1:$R$1,0))+PozycjeŚr!S$4*INDEX(Zawodnicy[],MATCH($A19,Players!$A$2:$A$100,0),MATCH("Przegląd",Players!$A$1:$R$1,0))+PozycjeŚr!S$5*INDEX(Zawodnicy[],MATCH($A19,Players!$A$2:$A$100,0),MATCH("Podania dołem",Players!$A$1:$R$1,0))+PozycjeŚr!S$6*INDEX(Zawodnicy[],MATCH($A19,Players!$A$2:$A$100,0),MATCH("Strzał",Players!$A$1:$R$1,0))+PozycjeŚr!S$7*INDEX(Zawodnicy[],MATCH($A19,Players!$A$2:$A$100,0),MATCH("Gra głową",Players!$A$1:$R$1,0))+PozycjeŚr!S$8*INDEX(Zawodnicy[],MATCH($A19,Players!$A$2:$A$100,0),MATCH("Gra na bramce",Players!$A$1:$R$1,0))+PozycjeŚr!S$9*INDEX(Zawodnicy[],MATCH($A19,Players!$A$2:$A$100,0),MATCH("Panowanie",Players!$A$1:$R$1,0))+PozycjeŚr!S$10*INDEX(Zawodnicy[],MATCH($A19,Players!$A$2:$A$100,0),MATCH("Odbiór piłki",Players!$A$1:$R$1,0))+PozycjeŚr!S$11*INDEX(Zawodnicy[],MATCH($A19,Players!$A$2:$A$100,0),MATCH("Podania górą",Players!$A$1:$R$1,0))</f>
        <v>#N/A</v>
      </c>
      <c r="I19" s="16" t="e">
        <f>PozycjeŚr!T$2*INDEX(Zawodnicy[],MATCH($A19,Players!$A$2:$A$100,0),MATCH("Szybkość",Players!$A$1:$R$1,0))+PozycjeŚr!T$3*INDEX(Zawodnicy[],MATCH($A19,Players!$A$2:$A$100,0),MATCH("Kondycja",Players!$A$1:$R$1,0))+PozycjeŚr!T$4*INDEX(Zawodnicy[],MATCH($A19,Players!$A$2:$A$100,0),MATCH("Przegląd",Players!$A$1:$R$1,0))+PozycjeŚr!T$5*INDEX(Zawodnicy[],MATCH($A19,Players!$A$2:$A$100,0),MATCH("Podania dołem",Players!$A$1:$R$1,0))+PozycjeŚr!T$6*INDEX(Zawodnicy[],MATCH($A19,Players!$A$2:$A$100,0),MATCH("Strzał",Players!$A$1:$R$1,0))+PozycjeŚr!T$7*INDEX(Zawodnicy[],MATCH($A19,Players!$A$2:$A$100,0),MATCH("Gra głową",Players!$A$1:$R$1,0))+PozycjeŚr!T$8*INDEX(Zawodnicy[],MATCH($A19,Players!$A$2:$A$100,0),MATCH("Gra na bramce",Players!$A$1:$R$1,0))+PozycjeŚr!T$9*INDEX(Zawodnicy[],MATCH($A19,Players!$A$2:$A$100,0),MATCH("Panowanie",Players!$A$1:$R$1,0))+PozycjeŚr!T$10*INDEX(Zawodnicy[],MATCH($A19,Players!$A$2:$A$100,0),MATCH("Odbiór piłki",Players!$A$1:$R$1,0))+PozycjeŚr!T$11*INDEX(Zawodnicy[],MATCH($A19,Players!$A$2:$A$100,0),MATCH("Podania górą",Players!$A$1:$R$1,0))</f>
        <v>#N/A</v>
      </c>
      <c r="J19" s="16" t="e">
        <f>PozycjeŚr!U$2*INDEX(Zawodnicy[],MATCH($A19,Players!$A$2:$A$100,0),MATCH("Szybkość",Players!$A$1:$R$1,0))+PozycjeŚr!U$3*INDEX(Zawodnicy[],MATCH($A19,Players!$A$2:$A$100,0),MATCH("Kondycja",Players!$A$1:$R$1,0))+PozycjeŚr!U$4*INDEX(Zawodnicy[],MATCH($A19,Players!$A$2:$A$100,0),MATCH("Przegląd",Players!$A$1:$R$1,0))+PozycjeŚr!U$5*INDEX(Zawodnicy[],MATCH($A19,Players!$A$2:$A$100,0),MATCH("Podania dołem",Players!$A$1:$R$1,0))+PozycjeŚr!U$6*INDEX(Zawodnicy[],MATCH($A19,Players!$A$2:$A$100,0),MATCH("Strzał",Players!$A$1:$R$1,0))+PozycjeŚr!U$7*INDEX(Zawodnicy[],MATCH($A19,Players!$A$2:$A$100,0),MATCH("Gra głową",Players!$A$1:$R$1,0))+PozycjeŚr!U$8*INDEX(Zawodnicy[],MATCH($A19,Players!$A$2:$A$100,0),MATCH("Gra na bramce",Players!$A$1:$R$1,0))+PozycjeŚr!U$9*INDEX(Zawodnicy[],MATCH($A19,Players!$A$2:$A$100,0),MATCH("Panowanie",Players!$A$1:$R$1,0))+PozycjeŚr!U$10*INDEX(Zawodnicy[],MATCH($A19,Players!$A$2:$A$100,0),MATCH("Odbiór piłki",Players!$A$1:$R$1,0))+PozycjeŚr!U$11*INDEX(Zawodnicy[],MATCH($A19,Players!$A$2:$A$100,0),MATCH("Podania górą",Players!$A$1:$R$1,0))</f>
        <v>#N/A</v>
      </c>
      <c r="K19" s="16" t="e">
        <f>PozycjeŚr!V$2*INDEX(Zawodnicy[],MATCH($A19,Players!$A$2:$A$100,0),MATCH("Szybkość",Players!$A$1:$R$1,0))+PozycjeŚr!V$3*INDEX(Zawodnicy[],MATCH($A19,Players!$A$2:$A$100,0),MATCH("Kondycja",Players!$A$1:$R$1,0))+PozycjeŚr!V$4*INDEX(Zawodnicy[],MATCH($A19,Players!$A$2:$A$100,0),MATCH("Przegląd",Players!$A$1:$R$1,0))+PozycjeŚr!V$5*INDEX(Zawodnicy[],MATCH($A19,Players!$A$2:$A$100,0),MATCH("Podania dołem",Players!$A$1:$R$1,0))+PozycjeŚr!V$6*INDEX(Zawodnicy[],MATCH($A19,Players!$A$2:$A$100,0),MATCH("Strzał",Players!$A$1:$R$1,0))+PozycjeŚr!V$7*INDEX(Zawodnicy[],MATCH($A19,Players!$A$2:$A$100,0),MATCH("Gra głową",Players!$A$1:$R$1,0))+PozycjeŚr!V$8*INDEX(Zawodnicy[],MATCH($A19,Players!$A$2:$A$100,0),MATCH("Gra na bramce",Players!$A$1:$R$1,0))+PozycjeŚr!V$9*INDEX(Zawodnicy[],MATCH($A19,Players!$A$2:$A$100,0),MATCH("Panowanie",Players!$A$1:$R$1,0))+PozycjeŚr!V$10*INDEX(Zawodnicy[],MATCH($A19,Players!$A$2:$A$100,0),MATCH("Odbiór piłki",Players!$A$1:$R$1,0))+PozycjeŚr!V$11*INDEX(Zawodnicy[],MATCH($A19,Players!$A$2:$A$100,0),MATCH("Podania górą",Players!$A$1:$R$1,0))</f>
        <v>#N/A</v>
      </c>
      <c r="L19" s="16" t="e">
        <f>PozycjeŚr!W$2*INDEX(Zawodnicy[],MATCH($A19,Players!$A$2:$A$100,0),MATCH("Szybkość",Players!$A$1:$R$1,0))+PozycjeŚr!W$3*INDEX(Zawodnicy[],MATCH($A19,Players!$A$2:$A$100,0),MATCH("Kondycja",Players!$A$1:$R$1,0))+PozycjeŚr!W$4*INDEX(Zawodnicy[],MATCH($A19,Players!$A$2:$A$100,0),MATCH("Przegląd",Players!$A$1:$R$1,0))+PozycjeŚr!W$5*INDEX(Zawodnicy[],MATCH($A19,Players!$A$2:$A$100,0),MATCH("Podania dołem",Players!$A$1:$R$1,0))+PozycjeŚr!W$6*INDEX(Zawodnicy[],MATCH($A19,Players!$A$2:$A$100,0),MATCH("Strzał",Players!$A$1:$R$1,0))+PozycjeŚr!W$7*INDEX(Zawodnicy[],MATCH($A19,Players!$A$2:$A$100,0),MATCH("Gra głową",Players!$A$1:$R$1,0))+PozycjeŚr!W$8*INDEX(Zawodnicy[],MATCH($A19,Players!$A$2:$A$100,0),MATCH("Gra na bramce",Players!$A$1:$R$1,0))+PozycjeŚr!W$9*INDEX(Zawodnicy[],MATCH($A19,Players!$A$2:$A$100,0),MATCH("Panowanie",Players!$A$1:$R$1,0))+PozycjeŚr!W$10*INDEX(Zawodnicy[],MATCH($A19,Players!$A$2:$A$100,0),MATCH("Odbiór piłki",Players!$A$1:$R$1,0))+PozycjeŚr!W$11*INDEX(Zawodnicy[],MATCH($A19,Players!$A$2:$A$100,0),MATCH("Podania górą",Players!$A$1:$R$1,0))</f>
        <v>#N/A</v>
      </c>
    </row>
    <row r="20" spans="1:12" x14ac:dyDescent="0.25">
      <c r="A20" s="39">
        <f>IFERROR(Zawodnicy[[#This Row],[Number]],"-")</f>
        <v>27</v>
      </c>
      <c r="B20" t="str">
        <f>VLOOKUP(Radar[[#This Row],[Numer]],Zawodnicy[],2,FALSE)</f>
        <v>Sylwester Kaszubowski</v>
      </c>
      <c r="C20" s="16" t="e">
        <f>PozycjeŚr!N$2*INDEX(Zawodnicy[],MATCH($A20,Players!$A$2:$A$100,0),MATCH("Szybkość",Players!$A$1:$R$1,0))+PozycjeŚr!N$3*INDEX(Zawodnicy[],MATCH($A20,Players!$A$2:$A$100,0),MATCH("Kondycja",Players!$A$1:$R$1,0))+PozycjeŚr!N$4*INDEX(Zawodnicy[],MATCH($A20,Players!$A$2:$A$100,0),MATCH("Przegląd",Players!$A$1:$R$1,0))+PozycjeŚr!N$5*INDEX(Zawodnicy[],MATCH($A20,Players!$A$2:$A$100,0),MATCH("Podania dołem",Players!$A$1:$R$1,0))+PozycjeŚr!N$6*INDEX(Zawodnicy[],MATCH($A20,Players!$A$2:$A$100,0),MATCH("Strzał",Players!$A$1:$R$1,0))+PozycjeŚr!N$7*INDEX(Zawodnicy[],MATCH($A20,Players!$A$2:$A$100,0),MATCH("Gra głową",Players!$A$1:$R$1,0))+PozycjeŚr!N$8*INDEX(Zawodnicy[],MATCH($A20,Players!$A$2:$A$100,0),MATCH("Gra na bramce",Players!$A$1:$R$1,0))+PozycjeŚr!N$9*INDEX(Zawodnicy[],MATCH($A20,Players!$A$2:$A$100,0),MATCH("Panowanie",Players!$A$1:$R$1,0))+PozycjeŚr!N$10*INDEX(Zawodnicy[],MATCH($A20,Players!$A$2:$A$100,0),MATCH("Odbiór piłki",Players!$A$1:$R$1,0))+PozycjeŚr!N$11*INDEX(Zawodnicy[],MATCH($A20,Players!$A$2:$A$100,0),MATCH("Podania górą",Players!$A$1:$R$1,0))</f>
        <v>#N/A</v>
      </c>
      <c r="D20" s="16" t="e">
        <f>PozycjeŚr!O$2*INDEX(Zawodnicy[],MATCH($A20,Players!$A$2:$A$100,0),MATCH("Szybkość",Players!$A$1:$R$1,0))+PozycjeŚr!O$3*INDEX(Zawodnicy[],MATCH($A20,Players!$A$2:$A$100,0),MATCH("Kondycja",Players!$A$1:$R$1,0))+PozycjeŚr!O$4*INDEX(Zawodnicy[],MATCH($A20,Players!$A$2:$A$100,0),MATCH("Przegląd",Players!$A$1:$R$1,0))+PozycjeŚr!O$5*INDEX(Zawodnicy[],MATCH($A20,Players!$A$2:$A$100,0),MATCH("Podania dołem",Players!$A$1:$R$1,0))+PozycjeŚr!O$6*INDEX(Zawodnicy[],MATCH($A20,Players!$A$2:$A$100,0),MATCH("Strzał",Players!$A$1:$R$1,0))+PozycjeŚr!O$7*INDEX(Zawodnicy[],MATCH($A20,Players!$A$2:$A$100,0),MATCH("Gra głową",Players!$A$1:$R$1,0))+PozycjeŚr!O$8*INDEX(Zawodnicy[],MATCH($A20,Players!$A$2:$A$100,0),MATCH("Gra na bramce",Players!$A$1:$R$1,0))+PozycjeŚr!O$9*INDEX(Zawodnicy[],MATCH($A20,Players!$A$2:$A$100,0),MATCH("Panowanie",Players!$A$1:$R$1,0))+PozycjeŚr!O$10*INDEX(Zawodnicy[],MATCH($A20,Players!$A$2:$A$100,0),MATCH("Odbiór piłki",Players!$A$1:$R$1,0))+PozycjeŚr!O$11*INDEX(Zawodnicy[],MATCH($A20,Players!$A$2:$A$100,0),MATCH("Podania górą",Players!$A$1:$R$1,0))</f>
        <v>#N/A</v>
      </c>
      <c r="E20" s="16" t="e">
        <f>PozycjeŚr!P$2*INDEX(Zawodnicy[],MATCH($A20,Players!$A$2:$A$100,0),MATCH("Szybkość",Players!$A$1:$R$1,0))+PozycjeŚr!P$3*INDEX(Zawodnicy[],MATCH($A20,Players!$A$2:$A$100,0),MATCH("Kondycja",Players!$A$1:$R$1,0))+PozycjeŚr!P$4*INDEX(Zawodnicy[],MATCH($A20,Players!$A$2:$A$100,0),MATCH("Przegląd",Players!$A$1:$R$1,0))+PozycjeŚr!P$5*INDEX(Zawodnicy[],MATCH($A20,Players!$A$2:$A$100,0),MATCH("Podania dołem",Players!$A$1:$R$1,0))+PozycjeŚr!P$6*INDEX(Zawodnicy[],MATCH($A20,Players!$A$2:$A$100,0),MATCH("Strzał",Players!$A$1:$R$1,0))+PozycjeŚr!P$7*INDEX(Zawodnicy[],MATCH($A20,Players!$A$2:$A$100,0),MATCH("Gra głową",Players!$A$1:$R$1,0))+PozycjeŚr!P$8*INDEX(Zawodnicy[],MATCH($A20,Players!$A$2:$A$100,0),MATCH("Gra na bramce",Players!$A$1:$R$1,0))+PozycjeŚr!P$9*INDEX(Zawodnicy[],MATCH($A20,Players!$A$2:$A$100,0),MATCH("Panowanie",Players!$A$1:$R$1,0))+PozycjeŚr!P$10*INDEX(Zawodnicy[],MATCH($A20,Players!$A$2:$A$100,0),MATCH("Odbiór piłki",Players!$A$1:$R$1,0))+PozycjeŚr!P$11*INDEX(Zawodnicy[],MATCH($A20,Players!$A$2:$A$100,0),MATCH("Podania górą",Players!$A$1:$R$1,0))</f>
        <v>#N/A</v>
      </c>
      <c r="F20" s="16" t="e">
        <f>PozycjeŚr!Q$2*INDEX(Zawodnicy[],MATCH($A20,Players!$A$2:$A$100,0),MATCH("Szybkość",Players!$A$1:$R$1,0))+PozycjeŚr!Q$3*INDEX(Zawodnicy[],MATCH($A20,Players!$A$2:$A$100,0),MATCH("Kondycja",Players!$A$1:$R$1,0))+PozycjeŚr!Q$4*INDEX(Zawodnicy[],MATCH($A20,Players!$A$2:$A$100,0),MATCH("Przegląd",Players!$A$1:$R$1,0))+PozycjeŚr!Q$5*INDEX(Zawodnicy[],MATCH($A20,Players!$A$2:$A$100,0),MATCH("Podania dołem",Players!$A$1:$R$1,0))+PozycjeŚr!Q$6*INDEX(Zawodnicy[],MATCH($A20,Players!$A$2:$A$100,0),MATCH("Strzał",Players!$A$1:$R$1,0))+PozycjeŚr!Q$7*INDEX(Zawodnicy[],MATCH($A20,Players!$A$2:$A$100,0),MATCH("Gra głową",Players!$A$1:$R$1,0))+PozycjeŚr!Q$8*INDEX(Zawodnicy[],MATCH($A20,Players!$A$2:$A$100,0),MATCH("Gra na bramce",Players!$A$1:$R$1,0))+PozycjeŚr!Q$9*INDEX(Zawodnicy[],MATCH($A20,Players!$A$2:$A$100,0),MATCH("Panowanie",Players!$A$1:$R$1,0))+PozycjeŚr!Q$10*INDEX(Zawodnicy[],MATCH($A20,Players!$A$2:$A$100,0),MATCH("Odbiór piłki",Players!$A$1:$R$1,0))+PozycjeŚr!Q$11*INDEX(Zawodnicy[],MATCH($A20,Players!$A$2:$A$100,0),MATCH("Podania górą",Players!$A$1:$R$1,0))</f>
        <v>#N/A</v>
      </c>
      <c r="G20" s="16" t="e">
        <f>PozycjeŚr!R$2*INDEX(Zawodnicy[],MATCH($A20,Players!$A$2:$A$100,0),MATCH("Szybkość",Players!$A$1:$R$1,0))+PozycjeŚr!R$3*INDEX(Zawodnicy[],MATCH($A20,Players!$A$2:$A$100,0),MATCH("Kondycja",Players!$A$1:$R$1,0))+PozycjeŚr!R$4*INDEX(Zawodnicy[],MATCH($A20,Players!$A$2:$A$100,0),MATCH("Przegląd",Players!$A$1:$R$1,0))+PozycjeŚr!R$5*INDEX(Zawodnicy[],MATCH($A20,Players!$A$2:$A$100,0),MATCH("Podania dołem",Players!$A$1:$R$1,0))+PozycjeŚr!R$6*INDEX(Zawodnicy[],MATCH($A20,Players!$A$2:$A$100,0),MATCH("Strzał",Players!$A$1:$R$1,0))+PozycjeŚr!R$7*INDEX(Zawodnicy[],MATCH($A20,Players!$A$2:$A$100,0),MATCH("Gra głową",Players!$A$1:$R$1,0))+PozycjeŚr!R$8*INDEX(Zawodnicy[],MATCH($A20,Players!$A$2:$A$100,0),MATCH("Gra na bramce",Players!$A$1:$R$1,0))+PozycjeŚr!R$9*INDEX(Zawodnicy[],MATCH($A20,Players!$A$2:$A$100,0),MATCH("Panowanie",Players!$A$1:$R$1,0))+PozycjeŚr!R$10*INDEX(Zawodnicy[],MATCH($A20,Players!$A$2:$A$100,0),MATCH("Odbiór piłki",Players!$A$1:$R$1,0))+PozycjeŚr!R$11*INDEX(Zawodnicy[],MATCH($A20,Players!$A$2:$A$100,0),MATCH("Podania górą",Players!$A$1:$R$1,0))</f>
        <v>#N/A</v>
      </c>
      <c r="H20" s="16" t="e">
        <f>PozycjeŚr!S$2*INDEX(Zawodnicy[],MATCH($A20,Players!$A$2:$A$100,0),MATCH("Szybkość",Players!$A$1:$R$1,0))+PozycjeŚr!S$3*INDEX(Zawodnicy[],MATCH($A20,Players!$A$2:$A$100,0),MATCH("Kondycja",Players!$A$1:$R$1,0))+PozycjeŚr!S$4*INDEX(Zawodnicy[],MATCH($A20,Players!$A$2:$A$100,0),MATCH("Przegląd",Players!$A$1:$R$1,0))+PozycjeŚr!S$5*INDEX(Zawodnicy[],MATCH($A20,Players!$A$2:$A$100,0),MATCH("Podania dołem",Players!$A$1:$R$1,0))+PozycjeŚr!S$6*INDEX(Zawodnicy[],MATCH($A20,Players!$A$2:$A$100,0),MATCH("Strzał",Players!$A$1:$R$1,0))+PozycjeŚr!S$7*INDEX(Zawodnicy[],MATCH($A20,Players!$A$2:$A$100,0),MATCH("Gra głową",Players!$A$1:$R$1,0))+PozycjeŚr!S$8*INDEX(Zawodnicy[],MATCH($A20,Players!$A$2:$A$100,0),MATCH("Gra na bramce",Players!$A$1:$R$1,0))+PozycjeŚr!S$9*INDEX(Zawodnicy[],MATCH($A20,Players!$A$2:$A$100,0),MATCH("Panowanie",Players!$A$1:$R$1,0))+PozycjeŚr!S$10*INDEX(Zawodnicy[],MATCH($A20,Players!$A$2:$A$100,0),MATCH("Odbiór piłki",Players!$A$1:$R$1,0))+PozycjeŚr!S$11*INDEX(Zawodnicy[],MATCH($A20,Players!$A$2:$A$100,0),MATCH("Podania górą",Players!$A$1:$R$1,0))</f>
        <v>#N/A</v>
      </c>
      <c r="I20" s="16" t="e">
        <f>PozycjeŚr!T$2*INDEX(Zawodnicy[],MATCH($A20,Players!$A$2:$A$100,0),MATCH("Szybkość",Players!$A$1:$R$1,0))+PozycjeŚr!T$3*INDEX(Zawodnicy[],MATCH($A20,Players!$A$2:$A$100,0),MATCH("Kondycja",Players!$A$1:$R$1,0))+PozycjeŚr!T$4*INDEX(Zawodnicy[],MATCH($A20,Players!$A$2:$A$100,0),MATCH("Przegląd",Players!$A$1:$R$1,0))+PozycjeŚr!T$5*INDEX(Zawodnicy[],MATCH($A20,Players!$A$2:$A$100,0),MATCH("Podania dołem",Players!$A$1:$R$1,0))+PozycjeŚr!T$6*INDEX(Zawodnicy[],MATCH($A20,Players!$A$2:$A$100,0),MATCH("Strzał",Players!$A$1:$R$1,0))+PozycjeŚr!T$7*INDEX(Zawodnicy[],MATCH($A20,Players!$A$2:$A$100,0),MATCH("Gra głową",Players!$A$1:$R$1,0))+PozycjeŚr!T$8*INDEX(Zawodnicy[],MATCH($A20,Players!$A$2:$A$100,0),MATCH("Gra na bramce",Players!$A$1:$R$1,0))+PozycjeŚr!T$9*INDEX(Zawodnicy[],MATCH($A20,Players!$A$2:$A$100,0),MATCH("Panowanie",Players!$A$1:$R$1,0))+PozycjeŚr!T$10*INDEX(Zawodnicy[],MATCH($A20,Players!$A$2:$A$100,0),MATCH("Odbiór piłki",Players!$A$1:$R$1,0))+PozycjeŚr!T$11*INDEX(Zawodnicy[],MATCH($A20,Players!$A$2:$A$100,0),MATCH("Podania górą",Players!$A$1:$R$1,0))</f>
        <v>#N/A</v>
      </c>
      <c r="J20" s="16" t="e">
        <f>PozycjeŚr!U$2*INDEX(Zawodnicy[],MATCH($A20,Players!$A$2:$A$100,0),MATCH("Szybkość",Players!$A$1:$R$1,0))+PozycjeŚr!U$3*INDEX(Zawodnicy[],MATCH($A20,Players!$A$2:$A$100,0),MATCH("Kondycja",Players!$A$1:$R$1,0))+PozycjeŚr!U$4*INDEX(Zawodnicy[],MATCH($A20,Players!$A$2:$A$100,0),MATCH("Przegląd",Players!$A$1:$R$1,0))+PozycjeŚr!U$5*INDEX(Zawodnicy[],MATCH($A20,Players!$A$2:$A$100,0),MATCH("Podania dołem",Players!$A$1:$R$1,0))+PozycjeŚr!U$6*INDEX(Zawodnicy[],MATCH($A20,Players!$A$2:$A$100,0),MATCH("Strzał",Players!$A$1:$R$1,0))+PozycjeŚr!U$7*INDEX(Zawodnicy[],MATCH($A20,Players!$A$2:$A$100,0),MATCH("Gra głową",Players!$A$1:$R$1,0))+PozycjeŚr!U$8*INDEX(Zawodnicy[],MATCH($A20,Players!$A$2:$A$100,0),MATCH("Gra na bramce",Players!$A$1:$R$1,0))+PozycjeŚr!U$9*INDEX(Zawodnicy[],MATCH($A20,Players!$A$2:$A$100,0),MATCH("Panowanie",Players!$A$1:$R$1,0))+PozycjeŚr!U$10*INDEX(Zawodnicy[],MATCH($A20,Players!$A$2:$A$100,0),MATCH("Odbiór piłki",Players!$A$1:$R$1,0))+PozycjeŚr!U$11*INDEX(Zawodnicy[],MATCH($A20,Players!$A$2:$A$100,0),MATCH("Podania górą",Players!$A$1:$R$1,0))</f>
        <v>#N/A</v>
      </c>
      <c r="K20" s="16" t="e">
        <f>PozycjeŚr!V$2*INDEX(Zawodnicy[],MATCH($A20,Players!$A$2:$A$100,0),MATCH("Szybkość",Players!$A$1:$R$1,0))+PozycjeŚr!V$3*INDEX(Zawodnicy[],MATCH($A20,Players!$A$2:$A$100,0),MATCH("Kondycja",Players!$A$1:$R$1,0))+PozycjeŚr!V$4*INDEX(Zawodnicy[],MATCH($A20,Players!$A$2:$A$100,0),MATCH("Przegląd",Players!$A$1:$R$1,0))+PozycjeŚr!V$5*INDEX(Zawodnicy[],MATCH($A20,Players!$A$2:$A$100,0),MATCH("Podania dołem",Players!$A$1:$R$1,0))+PozycjeŚr!V$6*INDEX(Zawodnicy[],MATCH($A20,Players!$A$2:$A$100,0),MATCH("Strzał",Players!$A$1:$R$1,0))+PozycjeŚr!V$7*INDEX(Zawodnicy[],MATCH($A20,Players!$A$2:$A$100,0),MATCH("Gra głową",Players!$A$1:$R$1,0))+PozycjeŚr!V$8*INDEX(Zawodnicy[],MATCH($A20,Players!$A$2:$A$100,0),MATCH("Gra na bramce",Players!$A$1:$R$1,0))+PozycjeŚr!V$9*INDEX(Zawodnicy[],MATCH($A20,Players!$A$2:$A$100,0),MATCH("Panowanie",Players!$A$1:$R$1,0))+PozycjeŚr!V$10*INDEX(Zawodnicy[],MATCH($A20,Players!$A$2:$A$100,0),MATCH("Odbiór piłki",Players!$A$1:$R$1,0))+PozycjeŚr!V$11*INDEX(Zawodnicy[],MATCH($A20,Players!$A$2:$A$100,0),MATCH("Podania górą",Players!$A$1:$R$1,0))</f>
        <v>#N/A</v>
      </c>
      <c r="L20" s="16" t="e">
        <f>PozycjeŚr!W$2*INDEX(Zawodnicy[],MATCH($A20,Players!$A$2:$A$100,0),MATCH("Szybkość",Players!$A$1:$R$1,0))+PozycjeŚr!W$3*INDEX(Zawodnicy[],MATCH($A20,Players!$A$2:$A$100,0),MATCH("Kondycja",Players!$A$1:$R$1,0))+PozycjeŚr!W$4*INDEX(Zawodnicy[],MATCH($A20,Players!$A$2:$A$100,0),MATCH("Przegląd",Players!$A$1:$R$1,0))+PozycjeŚr!W$5*INDEX(Zawodnicy[],MATCH($A20,Players!$A$2:$A$100,0),MATCH("Podania dołem",Players!$A$1:$R$1,0))+PozycjeŚr!W$6*INDEX(Zawodnicy[],MATCH($A20,Players!$A$2:$A$100,0),MATCH("Strzał",Players!$A$1:$R$1,0))+PozycjeŚr!W$7*INDEX(Zawodnicy[],MATCH($A20,Players!$A$2:$A$100,0),MATCH("Gra głową",Players!$A$1:$R$1,0))+PozycjeŚr!W$8*INDEX(Zawodnicy[],MATCH($A20,Players!$A$2:$A$100,0),MATCH("Gra na bramce",Players!$A$1:$R$1,0))+PozycjeŚr!W$9*INDEX(Zawodnicy[],MATCH($A20,Players!$A$2:$A$100,0),MATCH("Panowanie",Players!$A$1:$R$1,0))+PozycjeŚr!W$10*INDEX(Zawodnicy[],MATCH($A20,Players!$A$2:$A$100,0),MATCH("Odbiór piłki",Players!$A$1:$R$1,0))+PozycjeŚr!W$11*INDEX(Zawodnicy[],MATCH($A20,Players!$A$2:$A$100,0),MATCH("Podania górą",Players!$A$1:$R$1,0))</f>
        <v>#N/A</v>
      </c>
    </row>
    <row r="21" spans="1:12" x14ac:dyDescent="0.25">
      <c r="A21" s="39">
        <f>IFERROR(Zawodnicy[[#This Row],[Number]],"-")</f>
        <v>31</v>
      </c>
      <c r="B21" t="str">
        <f>VLOOKUP(Radar[[#This Row],[Numer]],Zawodnicy[],2,FALSE)</f>
        <v>Jacek Swoboda</v>
      </c>
      <c r="C21" s="16" t="e">
        <f>PozycjeŚr!N$2*INDEX(Zawodnicy[],MATCH($A21,Players!$A$2:$A$100,0),MATCH("Szybkość",Players!$A$1:$R$1,0))+PozycjeŚr!N$3*INDEX(Zawodnicy[],MATCH($A21,Players!$A$2:$A$100,0),MATCH("Kondycja",Players!$A$1:$R$1,0))+PozycjeŚr!N$4*INDEX(Zawodnicy[],MATCH($A21,Players!$A$2:$A$100,0),MATCH("Przegląd",Players!$A$1:$R$1,0))+PozycjeŚr!N$5*INDEX(Zawodnicy[],MATCH($A21,Players!$A$2:$A$100,0),MATCH("Podania dołem",Players!$A$1:$R$1,0))+PozycjeŚr!N$6*INDEX(Zawodnicy[],MATCH($A21,Players!$A$2:$A$100,0),MATCH("Strzał",Players!$A$1:$R$1,0))+PozycjeŚr!N$7*INDEX(Zawodnicy[],MATCH($A21,Players!$A$2:$A$100,0),MATCH("Gra głową",Players!$A$1:$R$1,0))+PozycjeŚr!N$8*INDEX(Zawodnicy[],MATCH($A21,Players!$A$2:$A$100,0),MATCH("Gra na bramce",Players!$A$1:$R$1,0))+PozycjeŚr!N$9*INDEX(Zawodnicy[],MATCH($A21,Players!$A$2:$A$100,0),MATCH("Panowanie",Players!$A$1:$R$1,0))+PozycjeŚr!N$10*INDEX(Zawodnicy[],MATCH($A21,Players!$A$2:$A$100,0),MATCH("Odbiór piłki",Players!$A$1:$R$1,0))+PozycjeŚr!N$11*INDEX(Zawodnicy[],MATCH($A21,Players!$A$2:$A$100,0),MATCH("Podania górą",Players!$A$1:$R$1,0))</f>
        <v>#N/A</v>
      </c>
      <c r="D21" s="16" t="e">
        <f>PozycjeŚr!O$2*INDEX(Zawodnicy[],MATCH($A21,Players!$A$2:$A$100,0),MATCH("Szybkość",Players!$A$1:$R$1,0))+PozycjeŚr!O$3*INDEX(Zawodnicy[],MATCH($A21,Players!$A$2:$A$100,0),MATCH("Kondycja",Players!$A$1:$R$1,0))+PozycjeŚr!O$4*INDEX(Zawodnicy[],MATCH($A21,Players!$A$2:$A$100,0),MATCH("Przegląd",Players!$A$1:$R$1,0))+PozycjeŚr!O$5*INDEX(Zawodnicy[],MATCH($A21,Players!$A$2:$A$100,0),MATCH("Podania dołem",Players!$A$1:$R$1,0))+PozycjeŚr!O$6*INDEX(Zawodnicy[],MATCH($A21,Players!$A$2:$A$100,0),MATCH("Strzał",Players!$A$1:$R$1,0))+PozycjeŚr!O$7*INDEX(Zawodnicy[],MATCH($A21,Players!$A$2:$A$100,0),MATCH("Gra głową",Players!$A$1:$R$1,0))+PozycjeŚr!O$8*INDEX(Zawodnicy[],MATCH($A21,Players!$A$2:$A$100,0),MATCH("Gra na bramce",Players!$A$1:$R$1,0))+PozycjeŚr!O$9*INDEX(Zawodnicy[],MATCH($A21,Players!$A$2:$A$100,0),MATCH("Panowanie",Players!$A$1:$R$1,0))+PozycjeŚr!O$10*INDEX(Zawodnicy[],MATCH($A21,Players!$A$2:$A$100,0),MATCH("Odbiór piłki",Players!$A$1:$R$1,0))+PozycjeŚr!O$11*INDEX(Zawodnicy[],MATCH($A21,Players!$A$2:$A$100,0),MATCH("Podania górą",Players!$A$1:$R$1,0))</f>
        <v>#N/A</v>
      </c>
      <c r="E21" s="16" t="e">
        <f>PozycjeŚr!P$2*INDEX(Zawodnicy[],MATCH($A21,Players!$A$2:$A$100,0),MATCH("Szybkość",Players!$A$1:$R$1,0))+PozycjeŚr!P$3*INDEX(Zawodnicy[],MATCH($A21,Players!$A$2:$A$100,0),MATCH("Kondycja",Players!$A$1:$R$1,0))+PozycjeŚr!P$4*INDEX(Zawodnicy[],MATCH($A21,Players!$A$2:$A$100,0),MATCH("Przegląd",Players!$A$1:$R$1,0))+PozycjeŚr!P$5*INDEX(Zawodnicy[],MATCH($A21,Players!$A$2:$A$100,0),MATCH("Podania dołem",Players!$A$1:$R$1,0))+PozycjeŚr!P$6*INDEX(Zawodnicy[],MATCH($A21,Players!$A$2:$A$100,0),MATCH("Strzał",Players!$A$1:$R$1,0))+PozycjeŚr!P$7*INDEX(Zawodnicy[],MATCH($A21,Players!$A$2:$A$100,0),MATCH("Gra głową",Players!$A$1:$R$1,0))+PozycjeŚr!P$8*INDEX(Zawodnicy[],MATCH($A21,Players!$A$2:$A$100,0),MATCH("Gra na bramce",Players!$A$1:$R$1,0))+PozycjeŚr!P$9*INDEX(Zawodnicy[],MATCH($A21,Players!$A$2:$A$100,0),MATCH("Panowanie",Players!$A$1:$R$1,0))+PozycjeŚr!P$10*INDEX(Zawodnicy[],MATCH($A21,Players!$A$2:$A$100,0),MATCH("Odbiór piłki",Players!$A$1:$R$1,0))+PozycjeŚr!P$11*INDEX(Zawodnicy[],MATCH($A21,Players!$A$2:$A$100,0),MATCH("Podania górą",Players!$A$1:$R$1,0))</f>
        <v>#N/A</v>
      </c>
      <c r="F21" s="16" t="e">
        <f>PozycjeŚr!Q$2*INDEX(Zawodnicy[],MATCH($A21,Players!$A$2:$A$100,0),MATCH("Szybkość",Players!$A$1:$R$1,0))+PozycjeŚr!Q$3*INDEX(Zawodnicy[],MATCH($A21,Players!$A$2:$A$100,0),MATCH("Kondycja",Players!$A$1:$R$1,0))+PozycjeŚr!Q$4*INDEX(Zawodnicy[],MATCH($A21,Players!$A$2:$A$100,0),MATCH("Przegląd",Players!$A$1:$R$1,0))+PozycjeŚr!Q$5*INDEX(Zawodnicy[],MATCH($A21,Players!$A$2:$A$100,0),MATCH("Podania dołem",Players!$A$1:$R$1,0))+PozycjeŚr!Q$6*INDEX(Zawodnicy[],MATCH($A21,Players!$A$2:$A$100,0),MATCH("Strzał",Players!$A$1:$R$1,0))+PozycjeŚr!Q$7*INDEX(Zawodnicy[],MATCH($A21,Players!$A$2:$A$100,0),MATCH("Gra głową",Players!$A$1:$R$1,0))+PozycjeŚr!Q$8*INDEX(Zawodnicy[],MATCH($A21,Players!$A$2:$A$100,0),MATCH("Gra na bramce",Players!$A$1:$R$1,0))+PozycjeŚr!Q$9*INDEX(Zawodnicy[],MATCH($A21,Players!$A$2:$A$100,0),MATCH("Panowanie",Players!$A$1:$R$1,0))+PozycjeŚr!Q$10*INDEX(Zawodnicy[],MATCH($A21,Players!$A$2:$A$100,0),MATCH("Odbiór piłki",Players!$A$1:$R$1,0))+PozycjeŚr!Q$11*INDEX(Zawodnicy[],MATCH($A21,Players!$A$2:$A$100,0),MATCH("Podania górą",Players!$A$1:$R$1,0))</f>
        <v>#N/A</v>
      </c>
      <c r="G21" s="16" t="e">
        <f>PozycjeŚr!R$2*INDEX(Zawodnicy[],MATCH($A21,Players!$A$2:$A$100,0),MATCH("Szybkość",Players!$A$1:$R$1,0))+PozycjeŚr!R$3*INDEX(Zawodnicy[],MATCH($A21,Players!$A$2:$A$100,0),MATCH("Kondycja",Players!$A$1:$R$1,0))+PozycjeŚr!R$4*INDEX(Zawodnicy[],MATCH($A21,Players!$A$2:$A$100,0),MATCH("Przegląd",Players!$A$1:$R$1,0))+PozycjeŚr!R$5*INDEX(Zawodnicy[],MATCH($A21,Players!$A$2:$A$100,0),MATCH("Podania dołem",Players!$A$1:$R$1,0))+PozycjeŚr!R$6*INDEX(Zawodnicy[],MATCH($A21,Players!$A$2:$A$100,0),MATCH("Strzał",Players!$A$1:$R$1,0))+PozycjeŚr!R$7*INDEX(Zawodnicy[],MATCH($A21,Players!$A$2:$A$100,0),MATCH("Gra głową",Players!$A$1:$R$1,0))+PozycjeŚr!R$8*INDEX(Zawodnicy[],MATCH($A21,Players!$A$2:$A$100,0),MATCH("Gra na bramce",Players!$A$1:$R$1,0))+PozycjeŚr!R$9*INDEX(Zawodnicy[],MATCH($A21,Players!$A$2:$A$100,0),MATCH("Panowanie",Players!$A$1:$R$1,0))+PozycjeŚr!R$10*INDEX(Zawodnicy[],MATCH($A21,Players!$A$2:$A$100,0),MATCH("Odbiór piłki",Players!$A$1:$R$1,0))+PozycjeŚr!R$11*INDEX(Zawodnicy[],MATCH($A21,Players!$A$2:$A$100,0),MATCH("Podania górą",Players!$A$1:$R$1,0))</f>
        <v>#N/A</v>
      </c>
      <c r="H21" s="16" t="e">
        <f>PozycjeŚr!S$2*INDEX(Zawodnicy[],MATCH($A21,Players!$A$2:$A$100,0),MATCH("Szybkość",Players!$A$1:$R$1,0))+PozycjeŚr!S$3*INDEX(Zawodnicy[],MATCH($A21,Players!$A$2:$A$100,0),MATCH("Kondycja",Players!$A$1:$R$1,0))+PozycjeŚr!S$4*INDEX(Zawodnicy[],MATCH($A21,Players!$A$2:$A$100,0),MATCH("Przegląd",Players!$A$1:$R$1,0))+PozycjeŚr!S$5*INDEX(Zawodnicy[],MATCH($A21,Players!$A$2:$A$100,0),MATCH("Podania dołem",Players!$A$1:$R$1,0))+PozycjeŚr!S$6*INDEX(Zawodnicy[],MATCH($A21,Players!$A$2:$A$100,0),MATCH("Strzał",Players!$A$1:$R$1,0))+PozycjeŚr!S$7*INDEX(Zawodnicy[],MATCH($A21,Players!$A$2:$A$100,0),MATCH("Gra głową",Players!$A$1:$R$1,0))+PozycjeŚr!S$8*INDEX(Zawodnicy[],MATCH($A21,Players!$A$2:$A$100,0),MATCH("Gra na bramce",Players!$A$1:$R$1,0))+PozycjeŚr!S$9*INDEX(Zawodnicy[],MATCH($A21,Players!$A$2:$A$100,0),MATCH("Panowanie",Players!$A$1:$R$1,0))+PozycjeŚr!S$10*INDEX(Zawodnicy[],MATCH($A21,Players!$A$2:$A$100,0),MATCH("Odbiór piłki",Players!$A$1:$R$1,0))+PozycjeŚr!S$11*INDEX(Zawodnicy[],MATCH($A21,Players!$A$2:$A$100,0),MATCH("Podania górą",Players!$A$1:$R$1,0))</f>
        <v>#N/A</v>
      </c>
      <c r="I21" s="16" t="e">
        <f>PozycjeŚr!T$2*INDEX(Zawodnicy[],MATCH($A21,Players!$A$2:$A$100,0),MATCH("Szybkość",Players!$A$1:$R$1,0))+PozycjeŚr!T$3*INDEX(Zawodnicy[],MATCH($A21,Players!$A$2:$A$100,0),MATCH("Kondycja",Players!$A$1:$R$1,0))+PozycjeŚr!T$4*INDEX(Zawodnicy[],MATCH($A21,Players!$A$2:$A$100,0),MATCH("Przegląd",Players!$A$1:$R$1,0))+PozycjeŚr!T$5*INDEX(Zawodnicy[],MATCH($A21,Players!$A$2:$A$100,0),MATCH("Podania dołem",Players!$A$1:$R$1,0))+PozycjeŚr!T$6*INDEX(Zawodnicy[],MATCH($A21,Players!$A$2:$A$100,0),MATCH("Strzał",Players!$A$1:$R$1,0))+PozycjeŚr!T$7*INDEX(Zawodnicy[],MATCH($A21,Players!$A$2:$A$100,0),MATCH("Gra głową",Players!$A$1:$R$1,0))+PozycjeŚr!T$8*INDEX(Zawodnicy[],MATCH($A21,Players!$A$2:$A$100,0),MATCH("Gra na bramce",Players!$A$1:$R$1,0))+PozycjeŚr!T$9*INDEX(Zawodnicy[],MATCH($A21,Players!$A$2:$A$100,0),MATCH("Panowanie",Players!$A$1:$R$1,0))+PozycjeŚr!T$10*INDEX(Zawodnicy[],MATCH($A21,Players!$A$2:$A$100,0),MATCH("Odbiór piłki",Players!$A$1:$R$1,0))+PozycjeŚr!T$11*INDEX(Zawodnicy[],MATCH($A21,Players!$A$2:$A$100,0),MATCH("Podania górą",Players!$A$1:$R$1,0))</f>
        <v>#N/A</v>
      </c>
      <c r="J21" s="16" t="e">
        <f>PozycjeŚr!U$2*INDEX(Zawodnicy[],MATCH($A21,Players!$A$2:$A$100,0),MATCH("Szybkość",Players!$A$1:$R$1,0))+PozycjeŚr!U$3*INDEX(Zawodnicy[],MATCH($A21,Players!$A$2:$A$100,0),MATCH("Kondycja",Players!$A$1:$R$1,0))+PozycjeŚr!U$4*INDEX(Zawodnicy[],MATCH($A21,Players!$A$2:$A$100,0),MATCH("Przegląd",Players!$A$1:$R$1,0))+PozycjeŚr!U$5*INDEX(Zawodnicy[],MATCH($A21,Players!$A$2:$A$100,0),MATCH("Podania dołem",Players!$A$1:$R$1,0))+PozycjeŚr!U$6*INDEX(Zawodnicy[],MATCH($A21,Players!$A$2:$A$100,0),MATCH("Strzał",Players!$A$1:$R$1,0))+PozycjeŚr!U$7*INDEX(Zawodnicy[],MATCH($A21,Players!$A$2:$A$100,0),MATCH("Gra głową",Players!$A$1:$R$1,0))+PozycjeŚr!U$8*INDEX(Zawodnicy[],MATCH($A21,Players!$A$2:$A$100,0),MATCH("Gra na bramce",Players!$A$1:$R$1,0))+PozycjeŚr!U$9*INDEX(Zawodnicy[],MATCH($A21,Players!$A$2:$A$100,0),MATCH("Panowanie",Players!$A$1:$R$1,0))+PozycjeŚr!U$10*INDEX(Zawodnicy[],MATCH($A21,Players!$A$2:$A$100,0),MATCH("Odbiór piłki",Players!$A$1:$R$1,0))+PozycjeŚr!U$11*INDEX(Zawodnicy[],MATCH($A21,Players!$A$2:$A$100,0),MATCH("Podania górą",Players!$A$1:$R$1,0))</f>
        <v>#N/A</v>
      </c>
      <c r="K21" s="16" t="e">
        <f>PozycjeŚr!V$2*INDEX(Zawodnicy[],MATCH($A21,Players!$A$2:$A$100,0),MATCH("Szybkość",Players!$A$1:$R$1,0))+PozycjeŚr!V$3*INDEX(Zawodnicy[],MATCH($A21,Players!$A$2:$A$100,0),MATCH("Kondycja",Players!$A$1:$R$1,0))+PozycjeŚr!V$4*INDEX(Zawodnicy[],MATCH($A21,Players!$A$2:$A$100,0),MATCH("Przegląd",Players!$A$1:$R$1,0))+PozycjeŚr!V$5*INDEX(Zawodnicy[],MATCH($A21,Players!$A$2:$A$100,0),MATCH("Podania dołem",Players!$A$1:$R$1,0))+PozycjeŚr!V$6*INDEX(Zawodnicy[],MATCH($A21,Players!$A$2:$A$100,0),MATCH("Strzał",Players!$A$1:$R$1,0))+PozycjeŚr!V$7*INDEX(Zawodnicy[],MATCH($A21,Players!$A$2:$A$100,0),MATCH("Gra głową",Players!$A$1:$R$1,0))+PozycjeŚr!V$8*INDEX(Zawodnicy[],MATCH($A21,Players!$A$2:$A$100,0),MATCH("Gra na bramce",Players!$A$1:$R$1,0))+PozycjeŚr!V$9*INDEX(Zawodnicy[],MATCH($A21,Players!$A$2:$A$100,0),MATCH("Panowanie",Players!$A$1:$R$1,0))+PozycjeŚr!V$10*INDEX(Zawodnicy[],MATCH($A21,Players!$A$2:$A$100,0),MATCH("Odbiór piłki",Players!$A$1:$R$1,0))+PozycjeŚr!V$11*INDEX(Zawodnicy[],MATCH($A21,Players!$A$2:$A$100,0),MATCH("Podania górą",Players!$A$1:$R$1,0))</f>
        <v>#N/A</v>
      </c>
      <c r="L21" s="16" t="e">
        <f>PozycjeŚr!W$2*INDEX(Zawodnicy[],MATCH($A21,Players!$A$2:$A$100,0),MATCH("Szybkość",Players!$A$1:$R$1,0))+PozycjeŚr!W$3*INDEX(Zawodnicy[],MATCH($A21,Players!$A$2:$A$100,0),MATCH("Kondycja",Players!$A$1:$R$1,0))+PozycjeŚr!W$4*INDEX(Zawodnicy[],MATCH($A21,Players!$A$2:$A$100,0),MATCH("Przegląd",Players!$A$1:$R$1,0))+PozycjeŚr!W$5*INDEX(Zawodnicy[],MATCH($A21,Players!$A$2:$A$100,0),MATCH("Podania dołem",Players!$A$1:$R$1,0))+PozycjeŚr!W$6*INDEX(Zawodnicy[],MATCH($A21,Players!$A$2:$A$100,0),MATCH("Strzał",Players!$A$1:$R$1,0))+PozycjeŚr!W$7*INDEX(Zawodnicy[],MATCH($A21,Players!$A$2:$A$100,0),MATCH("Gra głową",Players!$A$1:$R$1,0))+PozycjeŚr!W$8*INDEX(Zawodnicy[],MATCH($A21,Players!$A$2:$A$100,0),MATCH("Gra na bramce",Players!$A$1:$R$1,0))+PozycjeŚr!W$9*INDEX(Zawodnicy[],MATCH($A21,Players!$A$2:$A$100,0),MATCH("Panowanie",Players!$A$1:$R$1,0))+PozycjeŚr!W$10*INDEX(Zawodnicy[],MATCH($A21,Players!$A$2:$A$100,0),MATCH("Odbiór piłki",Players!$A$1:$R$1,0))+PozycjeŚr!W$11*INDEX(Zawodnicy[],MATCH($A21,Players!$A$2:$A$100,0),MATCH("Podania górą",Players!$A$1:$R$1,0))</f>
        <v>#N/A</v>
      </c>
    </row>
    <row r="22" spans="1:12" x14ac:dyDescent="0.25">
      <c r="A22" s="39">
        <f>IFERROR(Zawodnicy[[#This Row],[Number]],"-")</f>
        <v>38</v>
      </c>
      <c r="B22" t="str">
        <f>VLOOKUP(Radar[[#This Row],[Numer]],Zawodnicy[],2,FALSE)</f>
        <v>Boleslaw Kolbert</v>
      </c>
      <c r="C22" s="16" t="e">
        <f>PozycjeŚr!N$2*INDEX(Zawodnicy[],MATCH($A22,Players!$A$2:$A$100,0),MATCH("Szybkość",Players!$A$1:$R$1,0))+PozycjeŚr!N$3*INDEX(Zawodnicy[],MATCH($A22,Players!$A$2:$A$100,0),MATCH("Kondycja",Players!$A$1:$R$1,0))+PozycjeŚr!N$4*INDEX(Zawodnicy[],MATCH($A22,Players!$A$2:$A$100,0),MATCH("Przegląd",Players!$A$1:$R$1,0))+PozycjeŚr!N$5*INDEX(Zawodnicy[],MATCH($A22,Players!$A$2:$A$100,0),MATCH("Podania dołem",Players!$A$1:$R$1,0))+PozycjeŚr!N$6*INDEX(Zawodnicy[],MATCH($A22,Players!$A$2:$A$100,0),MATCH("Strzał",Players!$A$1:$R$1,0))+PozycjeŚr!N$7*INDEX(Zawodnicy[],MATCH($A22,Players!$A$2:$A$100,0),MATCH("Gra głową",Players!$A$1:$R$1,0))+PozycjeŚr!N$8*INDEX(Zawodnicy[],MATCH($A22,Players!$A$2:$A$100,0),MATCH("Gra na bramce",Players!$A$1:$R$1,0))+PozycjeŚr!N$9*INDEX(Zawodnicy[],MATCH($A22,Players!$A$2:$A$100,0),MATCH("Panowanie",Players!$A$1:$R$1,0))+PozycjeŚr!N$10*INDEX(Zawodnicy[],MATCH($A22,Players!$A$2:$A$100,0),MATCH("Odbiór piłki",Players!$A$1:$R$1,0))+PozycjeŚr!N$11*INDEX(Zawodnicy[],MATCH($A22,Players!$A$2:$A$100,0),MATCH("Podania górą",Players!$A$1:$R$1,0))</f>
        <v>#N/A</v>
      </c>
      <c r="D22" s="16" t="e">
        <f>PozycjeŚr!O$2*INDEX(Zawodnicy[],MATCH($A22,Players!$A$2:$A$100,0),MATCH("Szybkość",Players!$A$1:$R$1,0))+PozycjeŚr!O$3*INDEX(Zawodnicy[],MATCH($A22,Players!$A$2:$A$100,0),MATCH("Kondycja",Players!$A$1:$R$1,0))+PozycjeŚr!O$4*INDEX(Zawodnicy[],MATCH($A22,Players!$A$2:$A$100,0),MATCH("Przegląd",Players!$A$1:$R$1,0))+PozycjeŚr!O$5*INDEX(Zawodnicy[],MATCH($A22,Players!$A$2:$A$100,0),MATCH("Podania dołem",Players!$A$1:$R$1,0))+PozycjeŚr!O$6*INDEX(Zawodnicy[],MATCH($A22,Players!$A$2:$A$100,0),MATCH("Strzał",Players!$A$1:$R$1,0))+PozycjeŚr!O$7*INDEX(Zawodnicy[],MATCH($A22,Players!$A$2:$A$100,0),MATCH("Gra głową",Players!$A$1:$R$1,0))+PozycjeŚr!O$8*INDEX(Zawodnicy[],MATCH($A22,Players!$A$2:$A$100,0),MATCH("Gra na bramce",Players!$A$1:$R$1,0))+PozycjeŚr!O$9*INDEX(Zawodnicy[],MATCH($A22,Players!$A$2:$A$100,0),MATCH("Panowanie",Players!$A$1:$R$1,0))+PozycjeŚr!O$10*INDEX(Zawodnicy[],MATCH($A22,Players!$A$2:$A$100,0),MATCH("Odbiór piłki",Players!$A$1:$R$1,0))+PozycjeŚr!O$11*INDEX(Zawodnicy[],MATCH($A22,Players!$A$2:$A$100,0),MATCH("Podania górą",Players!$A$1:$R$1,0))</f>
        <v>#N/A</v>
      </c>
      <c r="E22" s="16" t="e">
        <f>PozycjeŚr!P$2*INDEX(Zawodnicy[],MATCH($A22,Players!$A$2:$A$100,0),MATCH("Szybkość",Players!$A$1:$R$1,0))+PozycjeŚr!P$3*INDEX(Zawodnicy[],MATCH($A22,Players!$A$2:$A$100,0),MATCH("Kondycja",Players!$A$1:$R$1,0))+PozycjeŚr!P$4*INDEX(Zawodnicy[],MATCH($A22,Players!$A$2:$A$100,0),MATCH("Przegląd",Players!$A$1:$R$1,0))+PozycjeŚr!P$5*INDEX(Zawodnicy[],MATCH($A22,Players!$A$2:$A$100,0),MATCH("Podania dołem",Players!$A$1:$R$1,0))+PozycjeŚr!P$6*INDEX(Zawodnicy[],MATCH($A22,Players!$A$2:$A$100,0),MATCH("Strzał",Players!$A$1:$R$1,0))+PozycjeŚr!P$7*INDEX(Zawodnicy[],MATCH($A22,Players!$A$2:$A$100,0),MATCH("Gra głową",Players!$A$1:$R$1,0))+PozycjeŚr!P$8*INDEX(Zawodnicy[],MATCH($A22,Players!$A$2:$A$100,0),MATCH("Gra na bramce",Players!$A$1:$R$1,0))+PozycjeŚr!P$9*INDEX(Zawodnicy[],MATCH($A22,Players!$A$2:$A$100,0),MATCH("Panowanie",Players!$A$1:$R$1,0))+PozycjeŚr!P$10*INDEX(Zawodnicy[],MATCH($A22,Players!$A$2:$A$100,0),MATCH("Odbiór piłki",Players!$A$1:$R$1,0))+PozycjeŚr!P$11*INDEX(Zawodnicy[],MATCH($A22,Players!$A$2:$A$100,0),MATCH("Podania górą",Players!$A$1:$R$1,0))</f>
        <v>#N/A</v>
      </c>
      <c r="F22" s="16" t="e">
        <f>PozycjeŚr!Q$2*INDEX(Zawodnicy[],MATCH($A22,Players!$A$2:$A$100,0),MATCH("Szybkość",Players!$A$1:$R$1,0))+PozycjeŚr!Q$3*INDEX(Zawodnicy[],MATCH($A22,Players!$A$2:$A$100,0),MATCH("Kondycja",Players!$A$1:$R$1,0))+PozycjeŚr!Q$4*INDEX(Zawodnicy[],MATCH($A22,Players!$A$2:$A$100,0),MATCH("Przegląd",Players!$A$1:$R$1,0))+PozycjeŚr!Q$5*INDEX(Zawodnicy[],MATCH($A22,Players!$A$2:$A$100,0),MATCH("Podania dołem",Players!$A$1:$R$1,0))+PozycjeŚr!Q$6*INDEX(Zawodnicy[],MATCH($A22,Players!$A$2:$A$100,0),MATCH("Strzał",Players!$A$1:$R$1,0))+PozycjeŚr!Q$7*INDEX(Zawodnicy[],MATCH($A22,Players!$A$2:$A$100,0),MATCH("Gra głową",Players!$A$1:$R$1,0))+PozycjeŚr!Q$8*INDEX(Zawodnicy[],MATCH($A22,Players!$A$2:$A$100,0),MATCH("Gra na bramce",Players!$A$1:$R$1,0))+PozycjeŚr!Q$9*INDEX(Zawodnicy[],MATCH($A22,Players!$A$2:$A$100,0),MATCH("Panowanie",Players!$A$1:$R$1,0))+PozycjeŚr!Q$10*INDEX(Zawodnicy[],MATCH($A22,Players!$A$2:$A$100,0),MATCH("Odbiór piłki",Players!$A$1:$R$1,0))+PozycjeŚr!Q$11*INDEX(Zawodnicy[],MATCH($A22,Players!$A$2:$A$100,0),MATCH("Podania górą",Players!$A$1:$R$1,0))</f>
        <v>#N/A</v>
      </c>
      <c r="G22" s="16" t="e">
        <f>PozycjeŚr!R$2*INDEX(Zawodnicy[],MATCH($A22,Players!$A$2:$A$100,0),MATCH("Szybkość",Players!$A$1:$R$1,0))+PozycjeŚr!R$3*INDEX(Zawodnicy[],MATCH($A22,Players!$A$2:$A$100,0),MATCH("Kondycja",Players!$A$1:$R$1,0))+PozycjeŚr!R$4*INDEX(Zawodnicy[],MATCH($A22,Players!$A$2:$A$100,0),MATCH("Przegląd",Players!$A$1:$R$1,0))+PozycjeŚr!R$5*INDEX(Zawodnicy[],MATCH($A22,Players!$A$2:$A$100,0),MATCH("Podania dołem",Players!$A$1:$R$1,0))+PozycjeŚr!R$6*INDEX(Zawodnicy[],MATCH($A22,Players!$A$2:$A$100,0),MATCH("Strzał",Players!$A$1:$R$1,0))+PozycjeŚr!R$7*INDEX(Zawodnicy[],MATCH($A22,Players!$A$2:$A$100,0),MATCH("Gra głową",Players!$A$1:$R$1,0))+PozycjeŚr!R$8*INDEX(Zawodnicy[],MATCH($A22,Players!$A$2:$A$100,0),MATCH("Gra na bramce",Players!$A$1:$R$1,0))+PozycjeŚr!R$9*INDEX(Zawodnicy[],MATCH($A22,Players!$A$2:$A$100,0),MATCH("Panowanie",Players!$A$1:$R$1,0))+PozycjeŚr!R$10*INDEX(Zawodnicy[],MATCH($A22,Players!$A$2:$A$100,0),MATCH("Odbiór piłki",Players!$A$1:$R$1,0))+PozycjeŚr!R$11*INDEX(Zawodnicy[],MATCH($A22,Players!$A$2:$A$100,0),MATCH("Podania górą",Players!$A$1:$R$1,0))</f>
        <v>#N/A</v>
      </c>
      <c r="H22" s="16" t="e">
        <f>PozycjeŚr!S$2*INDEX(Zawodnicy[],MATCH($A22,Players!$A$2:$A$100,0),MATCH("Szybkość",Players!$A$1:$R$1,0))+PozycjeŚr!S$3*INDEX(Zawodnicy[],MATCH($A22,Players!$A$2:$A$100,0),MATCH("Kondycja",Players!$A$1:$R$1,0))+PozycjeŚr!S$4*INDEX(Zawodnicy[],MATCH($A22,Players!$A$2:$A$100,0),MATCH("Przegląd",Players!$A$1:$R$1,0))+PozycjeŚr!S$5*INDEX(Zawodnicy[],MATCH($A22,Players!$A$2:$A$100,0),MATCH("Podania dołem",Players!$A$1:$R$1,0))+PozycjeŚr!S$6*INDEX(Zawodnicy[],MATCH($A22,Players!$A$2:$A$100,0),MATCH("Strzał",Players!$A$1:$R$1,0))+PozycjeŚr!S$7*INDEX(Zawodnicy[],MATCH($A22,Players!$A$2:$A$100,0),MATCH("Gra głową",Players!$A$1:$R$1,0))+PozycjeŚr!S$8*INDEX(Zawodnicy[],MATCH($A22,Players!$A$2:$A$100,0),MATCH("Gra na bramce",Players!$A$1:$R$1,0))+PozycjeŚr!S$9*INDEX(Zawodnicy[],MATCH($A22,Players!$A$2:$A$100,0),MATCH("Panowanie",Players!$A$1:$R$1,0))+PozycjeŚr!S$10*INDEX(Zawodnicy[],MATCH($A22,Players!$A$2:$A$100,0),MATCH("Odbiór piłki",Players!$A$1:$R$1,0))+PozycjeŚr!S$11*INDEX(Zawodnicy[],MATCH($A22,Players!$A$2:$A$100,0),MATCH("Podania górą",Players!$A$1:$R$1,0))</f>
        <v>#N/A</v>
      </c>
      <c r="I22" s="16" t="e">
        <f>PozycjeŚr!T$2*INDEX(Zawodnicy[],MATCH($A22,Players!$A$2:$A$100,0),MATCH("Szybkość",Players!$A$1:$R$1,0))+PozycjeŚr!T$3*INDEX(Zawodnicy[],MATCH($A22,Players!$A$2:$A$100,0),MATCH("Kondycja",Players!$A$1:$R$1,0))+PozycjeŚr!T$4*INDEX(Zawodnicy[],MATCH($A22,Players!$A$2:$A$100,0),MATCH("Przegląd",Players!$A$1:$R$1,0))+PozycjeŚr!T$5*INDEX(Zawodnicy[],MATCH($A22,Players!$A$2:$A$100,0),MATCH("Podania dołem",Players!$A$1:$R$1,0))+PozycjeŚr!T$6*INDEX(Zawodnicy[],MATCH($A22,Players!$A$2:$A$100,0),MATCH("Strzał",Players!$A$1:$R$1,0))+PozycjeŚr!T$7*INDEX(Zawodnicy[],MATCH($A22,Players!$A$2:$A$100,0),MATCH("Gra głową",Players!$A$1:$R$1,0))+PozycjeŚr!T$8*INDEX(Zawodnicy[],MATCH($A22,Players!$A$2:$A$100,0),MATCH("Gra na bramce",Players!$A$1:$R$1,0))+PozycjeŚr!T$9*INDEX(Zawodnicy[],MATCH($A22,Players!$A$2:$A$100,0),MATCH("Panowanie",Players!$A$1:$R$1,0))+PozycjeŚr!T$10*INDEX(Zawodnicy[],MATCH($A22,Players!$A$2:$A$100,0),MATCH("Odbiór piłki",Players!$A$1:$R$1,0))+PozycjeŚr!T$11*INDEX(Zawodnicy[],MATCH($A22,Players!$A$2:$A$100,0),MATCH("Podania górą",Players!$A$1:$R$1,0))</f>
        <v>#N/A</v>
      </c>
      <c r="J22" s="16" t="e">
        <f>PozycjeŚr!U$2*INDEX(Zawodnicy[],MATCH($A22,Players!$A$2:$A$100,0),MATCH("Szybkość",Players!$A$1:$R$1,0))+PozycjeŚr!U$3*INDEX(Zawodnicy[],MATCH($A22,Players!$A$2:$A$100,0),MATCH("Kondycja",Players!$A$1:$R$1,0))+PozycjeŚr!U$4*INDEX(Zawodnicy[],MATCH($A22,Players!$A$2:$A$100,0),MATCH("Przegląd",Players!$A$1:$R$1,0))+PozycjeŚr!U$5*INDEX(Zawodnicy[],MATCH($A22,Players!$A$2:$A$100,0),MATCH("Podania dołem",Players!$A$1:$R$1,0))+PozycjeŚr!U$6*INDEX(Zawodnicy[],MATCH($A22,Players!$A$2:$A$100,0),MATCH("Strzał",Players!$A$1:$R$1,0))+PozycjeŚr!U$7*INDEX(Zawodnicy[],MATCH($A22,Players!$A$2:$A$100,0),MATCH("Gra głową",Players!$A$1:$R$1,0))+PozycjeŚr!U$8*INDEX(Zawodnicy[],MATCH($A22,Players!$A$2:$A$100,0),MATCH("Gra na bramce",Players!$A$1:$R$1,0))+PozycjeŚr!U$9*INDEX(Zawodnicy[],MATCH($A22,Players!$A$2:$A$100,0),MATCH("Panowanie",Players!$A$1:$R$1,0))+PozycjeŚr!U$10*INDEX(Zawodnicy[],MATCH($A22,Players!$A$2:$A$100,0),MATCH("Odbiór piłki",Players!$A$1:$R$1,0))+PozycjeŚr!U$11*INDEX(Zawodnicy[],MATCH($A22,Players!$A$2:$A$100,0),MATCH("Podania górą",Players!$A$1:$R$1,0))</f>
        <v>#N/A</v>
      </c>
      <c r="K22" s="16" t="e">
        <f>PozycjeŚr!V$2*INDEX(Zawodnicy[],MATCH($A22,Players!$A$2:$A$100,0),MATCH("Szybkość",Players!$A$1:$R$1,0))+PozycjeŚr!V$3*INDEX(Zawodnicy[],MATCH($A22,Players!$A$2:$A$100,0),MATCH("Kondycja",Players!$A$1:$R$1,0))+PozycjeŚr!V$4*INDEX(Zawodnicy[],MATCH($A22,Players!$A$2:$A$100,0),MATCH("Przegląd",Players!$A$1:$R$1,0))+PozycjeŚr!V$5*INDEX(Zawodnicy[],MATCH($A22,Players!$A$2:$A$100,0),MATCH("Podania dołem",Players!$A$1:$R$1,0))+PozycjeŚr!V$6*INDEX(Zawodnicy[],MATCH($A22,Players!$A$2:$A$100,0),MATCH("Strzał",Players!$A$1:$R$1,0))+PozycjeŚr!V$7*INDEX(Zawodnicy[],MATCH($A22,Players!$A$2:$A$100,0),MATCH("Gra głową",Players!$A$1:$R$1,0))+PozycjeŚr!V$8*INDEX(Zawodnicy[],MATCH($A22,Players!$A$2:$A$100,0),MATCH("Gra na bramce",Players!$A$1:$R$1,0))+PozycjeŚr!V$9*INDEX(Zawodnicy[],MATCH($A22,Players!$A$2:$A$100,0),MATCH("Panowanie",Players!$A$1:$R$1,0))+PozycjeŚr!V$10*INDEX(Zawodnicy[],MATCH($A22,Players!$A$2:$A$100,0),MATCH("Odbiór piłki",Players!$A$1:$R$1,0))+PozycjeŚr!V$11*INDEX(Zawodnicy[],MATCH($A22,Players!$A$2:$A$100,0),MATCH("Podania górą",Players!$A$1:$R$1,0))</f>
        <v>#N/A</v>
      </c>
      <c r="L22" s="16" t="e">
        <f>PozycjeŚr!W$2*INDEX(Zawodnicy[],MATCH($A22,Players!$A$2:$A$100,0),MATCH("Szybkość",Players!$A$1:$R$1,0))+PozycjeŚr!W$3*INDEX(Zawodnicy[],MATCH($A22,Players!$A$2:$A$100,0),MATCH("Kondycja",Players!$A$1:$R$1,0))+PozycjeŚr!W$4*INDEX(Zawodnicy[],MATCH($A22,Players!$A$2:$A$100,0),MATCH("Przegląd",Players!$A$1:$R$1,0))+PozycjeŚr!W$5*INDEX(Zawodnicy[],MATCH($A22,Players!$A$2:$A$100,0),MATCH("Podania dołem",Players!$A$1:$R$1,0))+PozycjeŚr!W$6*INDEX(Zawodnicy[],MATCH($A22,Players!$A$2:$A$100,0),MATCH("Strzał",Players!$A$1:$R$1,0))+PozycjeŚr!W$7*INDEX(Zawodnicy[],MATCH($A22,Players!$A$2:$A$100,0),MATCH("Gra głową",Players!$A$1:$R$1,0))+PozycjeŚr!W$8*INDEX(Zawodnicy[],MATCH($A22,Players!$A$2:$A$100,0),MATCH("Gra na bramce",Players!$A$1:$R$1,0))+PozycjeŚr!W$9*INDEX(Zawodnicy[],MATCH($A22,Players!$A$2:$A$100,0),MATCH("Panowanie",Players!$A$1:$R$1,0))+PozycjeŚr!W$10*INDEX(Zawodnicy[],MATCH($A22,Players!$A$2:$A$100,0),MATCH("Odbiór piłki",Players!$A$1:$R$1,0))+PozycjeŚr!W$11*INDEX(Zawodnicy[],MATCH($A22,Players!$A$2:$A$100,0),MATCH("Podania górą",Players!$A$1:$R$1,0))</f>
        <v>#N/A</v>
      </c>
    </row>
    <row r="23" spans="1:12" x14ac:dyDescent="0.25">
      <c r="A23" s="39">
        <f>IFERROR(Zawodnicy[[#This Row],[Number]],"-")</f>
        <v>39</v>
      </c>
      <c r="B23" t="str">
        <f>VLOOKUP(Radar[[#This Row],[Numer]],Zawodnicy[],2,FALSE)</f>
        <v>Damazy Pionek</v>
      </c>
      <c r="C23" s="16" t="e">
        <f>PozycjeŚr!N$2*INDEX(Zawodnicy[],MATCH($A23,Players!$A$2:$A$100,0),MATCH("Szybkość",Players!$A$1:$R$1,0))+PozycjeŚr!N$3*INDEX(Zawodnicy[],MATCH($A23,Players!$A$2:$A$100,0),MATCH("Kondycja",Players!$A$1:$R$1,0))+PozycjeŚr!N$4*INDEX(Zawodnicy[],MATCH($A23,Players!$A$2:$A$100,0),MATCH("Przegląd",Players!$A$1:$R$1,0))+PozycjeŚr!N$5*INDEX(Zawodnicy[],MATCH($A23,Players!$A$2:$A$100,0),MATCH("Podania dołem",Players!$A$1:$R$1,0))+PozycjeŚr!N$6*INDEX(Zawodnicy[],MATCH($A23,Players!$A$2:$A$100,0),MATCH("Strzał",Players!$A$1:$R$1,0))+PozycjeŚr!N$7*INDEX(Zawodnicy[],MATCH($A23,Players!$A$2:$A$100,0),MATCH("Gra głową",Players!$A$1:$R$1,0))+PozycjeŚr!N$8*INDEX(Zawodnicy[],MATCH($A23,Players!$A$2:$A$100,0),MATCH("Gra na bramce",Players!$A$1:$R$1,0))+PozycjeŚr!N$9*INDEX(Zawodnicy[],MATCH($A23,Players!$A$2:$A$100,0),MATCH("Panowanie",Players!$A$1:$R$1,0))+PozycjeŚr!N$10*INDEX(Zawodnicy[],MATCH($A23,Players!$A$2:$A$100,0),MATCH("Odbiór piłki",Players!$A$1:$R$1,0))+PozycjeŚr!N$11*INDEX(Zawodnicy[],MATCH($A23,Players!$A$2:$A$100,0),MATCH("Podania górą",Players!$A$1:$R$1,0))</f>
        <v>#N/A</v>
      </c>
      <c r="D23" s="16" t="e">
        <f>PozycjeŚr!O$2*INDEX(Zawodnicy[],MATCH($A23,Players!$A$2:$A$100,0),MATCH("Szybkość",Players!$A$1:$R$1,0))+PozycjeŚr!O$3*INDEX(Zawodnicy[],MATCH($A23,Players!$A$2:$A$100,0),MATCH("Kondycja",Players!$A$1:$R$1,0))+PozycjeŚr!O$4*INDEX(Zawodnicy[],MATCH($A23,Players!$A$2:$A$100,0),MATCH("Przegląd",Players!$A$1:$R$1,0))+PozycjeŚr!O$5*INDEX(Zawodnicy[],MATCH($A23,Players!$A$2:$A$100,0),MATCH("Podania dołem",Players!$A$1:$R$1,0))+PozycjeŚr!O$6*INDEX(Zawodnicy[],MATCH($A23,Players!$A$2:$A$100,0),MATCH("Strzał",Players!$A$1:$R$1,0))+PozycjeŚr!O$7*INDEX(Zawodnicy[],MATCH($A23,Players!$A$2:$A$100,0),MATCH("Gra głową",Players!$A$1:$R$1,0))+PozycjeŚr!O$8*INDEX(Zawodnicy[],MATCH($A23,Players!$A$2:$A$100,0),MATCH("Gra na bramce",Players!$A$1:$R$1,0))+PozycjeŚr!O$9*INDEX(Zawodnicy[],MATCH($A23,Players!$A$2:$A$100,0),MATCH("Panowanie",Players!$A$1:$R$1,0))+PozycjeŚr!O$10*INDEX(Zawodnicy[],MATCH($A23,Players!$A$2:$A$100,0),MATCH("Odbiór piłki",Players!$A$1:$R$1,0))+PozycjeŚr!O$11*INDEX(Zawodnicy[],MATCH($A23,Players!$A$2:$A$100,0),MATCH("Podania górą",Players!$A$1:$R$1,0))</f>
        <v>#N/A</v>
      </c>
      <c r="E23" s="16" t="e">
        <f>PozycjeŚr!P$2*INDEX(Zawodnicy[],MATCH($A23,Players!$A$2:$A$100,0),MATCH("Szybkość",Players!$A$1:$R$1,0))+PozycjeŚr!P$3*INDEX(Zawodnicy[],MATCH($A23,Players!$A$2:$A$100,0),MATCH("Kondycja",Players!$A$1:$R$1,0))+PozycjeŚr!P$4*INDEX(Zawodnicy[],MATCH($A23,Players!$A$2:$A$100,0),MATCH("Przegląd",Players!$A$1:$R$1,0))+PozycjeŚr!P$5*INDEX(Zawodnicy[],MATCH($A23,Players!$A$2:$A$100,0),MATCH("Podania dołem",Players!$A$1:$R$1,0))+PozycjeŚr!P$6*INDEX(Zawodnicy[],MATCH($A23,Players!$A$2:$A$100,0),MATCH("Strzał",Players!$A$1:$R$1,0))+PozycjeŚr!P$7*INDEX(Zawodnicy[],MATCH($A23,Players!$A$2:$A$100,0),MATCH("Gra głową",Players!$A$1:$R$1,0))+PozycjeŚr!P$8*INDEX(Zawodnicy[],MATCH($A23,Players!$A$2:$A$100,0),MATCH("Gra na bramce",Players!$A$1:$R$1,0))+PozycjeŚr!P$9*INDEX(Zawodnicy[],MATCH($A23,Players!$A$2:$A$100,0),MATCH("Panowanie",Players!$A$1:$R$1,0))+PozycjeŚr!P$10*INDEX(Zawodnicy[],MATCH($A23,Players!$A$2:$A$100,0),MATCH("Odbiór piłki",Players!$A$1:$R$1,0))+PozycjeŚr!P$11*INDEX(Zawodnicy[],MATCH($A23,Players!$A$2:$A$100,0),MATCH("Podania górą",Players!$A$1:$R$1,0))</f>
        <v>#N/A</v>
      </c>
      <c r="F23" s="16" t="e">
        <f>PozycjeŚr!Q$2*INDEX(Zawodnicy[],MATCH($A23,Players!$A$2:$A$100,0),MATCH("Szybkość",Players!$A$1:$R$1,0))+PozycjeŚr!Q$3*INDEX(Zawodnicy[],MATCH($A23,Players!$A$2:$A$100,0),MATCH("Kondycja",Players!$A$1:$R$1,0))+PozycjeŚr!Q$4*INDEX(Zawodnicy[],MATCH($A23,Players!$A$2:$A$100,0),MATCH("Przegląd",Players!$A$1:$R$1,0))+PozycjeŚr!Q$5*INDEX(Zawodnicy[],MATCH($A23,Players!$A$2:$A$100,0),MATCH("Podania dołem",Players!$A$1:$R$1,0))+PozycjeŚr!Q$6*INDEX(Zawodnicy[],MATCH($A23,Players!$A$2:$A$100,0),MATCH("Strzał",Players!$A$1:$R$1,0))+PozycjeŚr!Q$7*INDEX(Zawodnicy[],MATCH($A23,Players!$A$2:$A$100,0),MATCH("Gra głową",Players!$A$1:$R$1,0))+PozycjeŚr!Q$8*INDEX(Zawodnicy[],MATCH($A23,Players!$A$2:$A$100,0),MATCH("Gra na bramce",Players!$A$1:$R$1,0))+PozycjeŚr!Q$9*INDEX(Zawodnicy[],MATCH($A23,Players!$A$2:$A$100,0),MATCH("Panowanie",Players!$A$1:$R$1,0))+PozycjeŚr!Q$10*INDEX(Zawodnicy[],MATCH($A23,Players!$A$2:$A$100,0),MATCH("Odbiór piłki",Players!$A$1:$R$1,0))+PozycjeŚr!Q$11*INDEX(Zawodnicy[],MATCH($A23,Players!$A$2:$A$100,0),MATCH("Podania górą",Players!$A$1:$R$1,0))</f>
        <v>#N/A</v>
      </c>
      <c r="G23" s="16" t="e">
        <f>PozycjeŚr!R$2*INDEX(Zawodnicy[],MATCH($A23,Players!$A$2:$A$100,0),MATCH("Szybkość",Players!$A$1:$R$1,0))+PozycjeŚr!R$3*INDEX(Zawodnicy[],MATCH($A23,Players!$A$2:$A$100,0),MATCH("Kondycja",Players!$A$1:$R$1,0))+PozycjeŚr!R$4*INDEX(Zawodnicy[],MATCH($A23,Players!$A$2:$A$100,0),MATCH("Przegląd",Players!$A$1:$R$1,0))+PozycjeŚr!R$5*INDEX(Zawodnicy[],MATCH($A23,Players!$A$2:$A$100,0),MATCH("Podania dołem",Players!$A$1:$R$1,0))+PozycjeŚr!R$6*INDEX(Zawodnicy[],MATCH($A23,Players!$A$2:$A$100,0),MATCH("Strzał",Players!$A$1:$R$1,0))+PozycjeŚr!R$7*INDEX(Zawodnicy[],MATCH($A23,Players!$A$2:$A$100,0),MATCH("Gra głową",Players!$A$1:$R$1,0))+PozycjeŚr!R$8*INDEX(Zawodnicy[],MATCH($A23,Players!$A$2:$A$100,0),MATCH("Gra na bramce",Players!$A$1:$R$1,0))+PozycjeŚr!R$9*INDEX(Zawodnicy[],MATCH($A23,Players!$A$2:$A$100,0),MATCH("Panowanie",Players!$A$1:$R$1,0))+PozycjeŚr!R$10*INDEX(Zawodnicy[],MATCH($A23,Players!$A$2:$A$100,0),MATCH("Odbiór piłki",Players!$A$1:$R$1,0))+PozycjeŚr!R$11*INDEX(Zawodnicy[],MATCH($A23,Players!$A$2:$A$100,0),MATCH("Podania górą",Players!$A$1:$R$1,0))</f>
        <v>#N/A</v>
      </c>
      <c r="H23" s="16" t="e">
        <f>PozycjeŚr!S$2*INDEX(Zawodnicy[],MATCH($A23,Players!$A$2:$A$100,0),MATCH("Szybkość",Players!$A$1:$R$1,0))+PozycjeŚr!S$3*INDEX(Zawodnicy[],MATCH($A23,Players!$A$2:$A$100,0),MATCH("Kondycja",Players!$A$1:$R$1,0))+PozycjeŚr!S$4*INDEX(Zawodnicy[],MATCH($A23,Players!$A$2:$A$100,0),MATCH("Przegląd",Players!$A$1:$R$1,0))+PozycjeŚr!S$5*INDEX(Zawodnicy[],MATCH($A23,Players!$A$2:$A$100,0),MATCH("Podania dołem",Players!$A$1:$R$1,0))+PozycjeŚr!S$6*INDEX(Zawodnicy[],MATCH($A23,Players!$A$2:$A$100,0),MATCH("Strzał",Players!$A$1:$R$1,0))+PozycjeŚr!S$7*INDEX(Zawodnicy[],MATCH($A23,Players!$A$2:$A$100,0),MATCH("Gra głową",Players!$A$1:$R$1,0))+PozycjeŚr!S$8*INDEX(Zawodnicy[],MATCH($A23,Players!$A$2:$A$100,0),MATCH("Gra na bramce",Players!$A$1:$R$1,0))+PozycjeŚr!S$9*INDEX(Zawodnicy[],MATCH($A23,Players!$A$2:$A$100,0),MATCH("Panowanie",Players!$A$1:$R$1,0))+PozycjeŚr!S$10*INDEX(Zawodnicy[],MATCH($A23,Players!$A$2:$A$100,0),MATCH("Odbiór piłki",Players!$A$1:$R$1,0))+PozycjeŚr!S$11*INDEX(Zawodnicy[],MATCH($A23,Players!$A$2:$A$100,0),MATCH("Podania górą",Players!$A$1:$R$1,0))</f>
        <v>#N/A</v>
      </c>
      <c r="I23" s="16" t="e">
        <f>PozycjeŚr!T$2*INDEX(Zawodnicy[],MATCH($A23,Players!$A$2:$A$100,0),MATCH("Szybkość",Players!$A$1:$R$1,0))+PozycjeŚr!T$3*INDEX(Zawodnicy[],MATCH($A23,Players!$A$2:$A$100,0),MATCH("Kondycja",Players!$A$1:$R$1,0))+PozycjeŚr!T$4*INDEX(Zawodnicy[],MATCH($A23,Players!$A$2:$A$100,0),MATCH("Przegląd",Players!$A$1:$R$1,0))+PozycjeŚr!T$5*INDEX(Zawodnicy[],MATCH($A23,Players!$A$2:$A$100,0),MATCH("Podania dołem",Players!$A$1:$R$1,0))+PozycjeŚr!T$6*INDEX(Zawodnicy[],MATCH($A23,Players!$A$2:$A$100,0),MATCH("Strzał",Players!$A$1:$R$1,0))+PozycjeŚr!T$7*INDEX(Zawodnicy[],MATCH($A23,Players!$A$2:$A$100,0),MATCH("Gra głową",Players!$A$1:$R$1,0))+PozycjeŚr!T$8*INDEX(Zawodnicy[],MATCH($A23,Players!$A$2:$A$100,0),MATCH("Gra na bramce",Players!$A$1:$R$1,0))+PozycjeŚr!T$9*INDEX(Zawodnicy[],MATCH($A23,Players!$A$2:$A$100,0),MATCH("Panowanie",Players!$A$1:$R$1,0))+PozycjeŚr!T$10*INDEX(Zawodnicy[],MATCH($A23,Players!$A$2:$A$100,0),MATCH("Odbiór piłki",Players!$A$1:$R$1,0))+PozycjeŚr!T$11*INDEX(Zawodnicy[],MATCH($A23,Players!$A$2:$A$100,0),MATCH("Podania górą",Players!$A$1:$R$1,0))</f>
        <v>#N/A</v>
      </c>
      <c r="J23" s="16" t="e">
        <f>PozycjeŚr!U$2*INDEX(Zawodnicy[],MATCH($A23,Players!$A$2:$A$100,0),MATCH("Szybkość",Players!$A$1:$R$1,0))+PozycjeŚr!U$3*INDEX(Zawodnicy[],MATCH($A23,Players!$A$2:$A$100,0),MATCH("Kondycja",Players!$A$1:$R$1,0))+PozycjeŚr!U$4*INDEX(Zawodnicy[],MATCH($A23,Players!$A$2:$A$100,0),MATCH("Przegląd",Players!$A$1:$R$1,0))+PozycjeŚr!U$5*INDEX(Zawodnicy[],MATCH($A23,Players!$A$2:$A$100,0),MATCH("Podania dołem",Players!$A$1:$R$1,0))+PozycjeŚr!U$6*INDEX(Zawodnicy[],MATCH($A23,Players!$A$2:$A$100,0),MATCH("Strzał",Players!$A$1:$R$1,0))+PozycjeŚr!U$7*INDEX(Zawodnicy[],MATCH($A23,Players!$A$2:$A$100,0),MATCH("Gra głową",Players!$A$1:$R$1,0))+PozycjeŚr!U$8*INDEX(Zawodnicy[],MATCH($A23,Players!$A$2:$A$100,0),MATCH("Gra na bramce",Players!$A$1:$R$1,0))+PozycjeŚr!U$9*INDEX(Zawodnicy[],MATCH($A23,Players!$A$2:$A$100,0),MATCH("Panowanie",Players!$A$1:$R$1,0))+PozycjeŚr!U$10*INDEX(Zawodnicy[],MATCH($A23,Players!$A$2:$A$100,0),MATCH("Odbiór piłki",Players!$A$1:$R$1,0))+PozycjeŚr!U$11*INDEX(Zawodnicy[],MATCH($A23,Players!$A$2:$A$100,0),MATCH("Podania górą",Players!$A$1:$R$1,0))</f>
        <v>#N/A</v>
      </c>
      <c r="K23" s="16" t="e">
        <f>PozycjeŚr!V$2*INDEX(Zawodnicy[],MATCH($A23,Players!$A$2:$A$100,0),MATCH("Szybkość",Players!$A$1:$R$1,0))+PozycjeŚr!V$3*INDEX(Zawodnicy[],MATCH($A23,Players!$A$2:$A$100,0),MATCH("Kondycja",Players!$A$1:$R$1,0))+PozycjeŚr!V$4*INDEX(Zawodnicy[],MATCH($A23,Players!$A$2:$A$100,0),MATCH("Przegląd",Players!$A$1:$R$1,0))+PozycjeŚr!V$5*INDEX(Zawodnicy[],MATCH($A23,Players!$A$2:$A$100,0),MATCH("Podania dołem",Players!$A$1:$R$1,0))+PozycjeŚr!V$6*INDEX(Zawodnicy[],MATCH($A23,Players!$A$2:$A$100,0),MATCH("Strzał",Players!$A$1:$R$1,0))+PozycjeŚr!V$7*INDEX(Zawodnicy[],MATCH($A23,Players!$A$2:$A$100,0),MATCH("Gra głową",Players!$A$1:$R$1,0))+PozycjeŚr!V$8*INDEX(Zawodnicy[],MATCH($A23,Players!$A$2:$A$100,0),MATCH("Gra na bramce",Players!$A$1:$R$1,0))+PozycjeŚr!V$9*INDEX(Zawodnicy[],MATCH($A23,Players!$A$2:$A$100,0),MATCH("Panowanie",Players!$A$1:$R$1,0))+PozycjeŚr!V$10*INDEX(Zawodnicy[],MATCH($A23,Players!$A$2:$A$100,0),MATCH("Odbiór piłki",Players!$A$1:$R$1,0))+PozycjeŚr!V$11*INDEX(Zawodnicy[],MATCH($A23,Players!$A$2:$A$100,0),MATCH("Podania górą",Players!$A$1:$R$1,0))</f>
        <v>#N/A</v>
      </c>
      <c r="L23" s="16" t="e">
        <f>PozycjeŚr!W$2*INDEX(Zawodnicy[],MATCH($A23,Players!$A$2:$A$100,0),MATCH("Szybkość",Players!$A$1:$R$1,0))+PozycjeŚr!W$3*INDEX(Zawodnicy[],MATCH($A23,Players!$A$2:$A$100,0),MATCH("Kondycja",Players!$A$1:$R$1,0))+PozycjeŚr!W$4*INDEX(Zawodnicy[],MATCH($A23,Players!$A$2:$A$100,0),MATCH("Przegląd",Players!$A$1:$R$1,0))+PozycjeŚr!W$5*INDEX(Zawodnicy[],MATCH($A23,Players!$A$2:$A$100,0),MATCH("Podania dołem",Players!$A$1:$R$1,0))+PozycjeŚr!W$6*INDEX(Zawodnicy[],MATCH($A23,Players!$A$2:$A$100,0),MATCH("Strzał",Players!$A$1:$R$1,0))+PozycjeŚr!W$7*INDEX(Zawodnicy[],MATCH($A23,Players!$A$2:$A$100,0),MATCH("Gra głową",Players!$A$1:$R$1,0))+PozycjeŚr!W$8*INDEX(Zawodnicy[],MATCH($A23,Players!$A$2:$A$100,0),MATCH("Gra na bramce",Players!$A$1:$R$1,0))+PozycjeŚr!W$9*INDEX(Zawodnicy[],MATCH($A23,Players!$A$2:$A$100,0),MATCH("Panowanie",Players!$A$1:$R$1,0))+PozycjeŚr!W$10*INDEX(Zawodnicy[],MATCH($A23,Players!$A$2:$A$100,0),MATCH("Odbiór piłki",Players!$A$1:$R$1,0))+PozycjeŚr!W$11*INDEX(Zawodnicy[],MATCH($A23,Players!$A$2:$A$100,0),MATCH("Podania górą",Players!$A$1:$R$1,0))</f>
        <v>#N/A</v>
      </c>
    </row>
    <row r="24" spans="1:12" x14ac:dyDescent="0.25">
      <c r="A24" s="39">
        <f>IFERROR(Zawodnicy[[#This Row],[Number]],"-")</f>
        <v>40</v>
      </c>
      <c r="B24" t="str">
        <f>VLOOKUP(Radar[[#This Row],[Numer]],Zawodnicy[],2,FALSE)</f>
        <v>Benedykt Adamus</v>
      </c>
      <c r="C24" s="16" t="e">
        <f>PozycjeŚr!N$2*INDEX(Zawodnicy[],MATCH($A24,Players!$A$2:$A$100,0),MATCH("Szybkość",Players!$A$1:$R$1,0))+PozycjeŚr!N$3*INDEX(Zawodnicy[],MATCH($A24,Players!$A$2:$A$100,0),MATCH("Kondycja",Players!$A$1:$R$1,0))+PozycjeŚr!N$4*INDEX(Zawodnicy[],MATCH($A24,Players!$A$2:$A$100,0),MATCH("Przegląd",Players!$A$1:$R$1,0))+PozycjeŚr!N$5*INDEX(Zawodnicy[],MATCH($A24,Players!$A$2:$A$100,0),MATCH("Podania dołem",Players!$A$1:$R$1,0))+PozycjeŚr!N$6*INDEX(Zawodnicy[],MATCH($A24,Players!$A$2:$A$100,0),MATCH("Strzał",Players!$A$1:$R$1,0))+PozycjeŚr!N$7*INDEX(Zawodnicy[],MATCH($A24,Players!$A$2:$A$100,0),MATCH("Gra głową",Players!$A$1:$R$1,0))+PozycjeŚr!N$8*INDEX(Zawodnicy[],MATCH($A24,Players!$A$2:$A$100,0),MATCH("Gra na bramce",Players!$A$1:$R$1,0))+PozycjeŚr!N$9*INDEX(Zawodnicy[],MATCH($A24,Players!$A$2:$A$100,0),MATCH("Panowanie",Players!$A$1:$R$1,0))+PozycjeŚr!N$10*INDEX(Zawodnicy[],MATCH($A24,Players!$A$2:$A$100,0),MATCH("Odbiór piłki",Players!$A$1:$R$1,0))+PozycjeŚr!N$11*INDEX(Zawodnicy[],MATCH($A24,Players!$A$2:$A$100,0),MATCH("Podania górą",Players!$A$1:$R$1,0))</f>
        <v>#N/A</v>
      </c>
      <c r="D24" s="16" t="e">
        <f>PozycjeŚr!O$2*INDEX(Zawodnicy[],MATCH($A24,Players!$A$2:$A$100,0),MATCH("Szybkość",Players!$A$1:$R$1,0))+PozycjeŚr!O$3*INDEX(Zawodnicy[],MATCH($A24,Players!$A$2:$A$100,0),MATCH("Kondycja",Players!$A$1:$R$1,0))+PozycjeŚr!O$4*INDEX(Zawodnicy[],MATCH($A24,Players!$A$2:$A$100,0),MATCH("Przegląd",Players!$A$1:$R$1,0))+PozycjeŚr!O$5*INDEX(Zawodnicy[],MATCH($A24,Players!$A$2:$A$100,0),MATCH("Podania dołem",Players!$A$1:$R$1,0))+PozycjeŚr!O$6*INDEX(Zawodnicy[],MATCH($A24,Players!$A$2:$A$100,0),MATCH("Strzał",Players!$A$1:$R$1,0))+PozycjeŚr!O$7*INDEX(Zawodnicy[],MATCH($A24,Players!$A$2:$A$100,0),MATCH("Gra głową",Players!$A$1:$R$1,0))+PozycjeŚr!O$8*INDEX(Zawodnicy[],MATCH($A24,Players!$A$2:$A$100,0),MATCH("Gra na bramce",Players!$A$1:$R$1,0))+PozycjeŚr!O$9*INDEX(Zawodnicy[],MATCH($A24,Players!$A$2:$A$100,0),MATCH("Panowanie",Players!$A$1:$R$1,0))+PozycjeŚr!O$10*INDEX(Zawodnicy[],MATCH($A24,Players!$A$2:$A$100,0),MATCH("Odbiór piłki",Players!$A$1:$R$1,0))+PozycjeŚr!O$11*INDEX(Zawodnicy[],MATCH($A24,Players!$A$2:$A$100,0),MATCH("Podania górą",Players!$A$1:$R$1,0))</f>
        <v>#N/A</v>
      </c>
      <c r="E24" s="16" t="e">
        <f>PozycjeŚr!P$2*INDEX(Zawodnicy[],MATCH($A24,Players!$A$2:$A$100,0),MATCH("Szybkość",Players!$A$1:$R$1,0))+PozycjeŚr!P$3*INDEX(Zawodnicy[],MATCH($A24,Players!$A$2:$A$100,0),MATCH("Kondycja",Players!$A$1:$R$1,0))+PozycjeŚr!P$4*INDEX(Zawodnicy[],MATCH($A24,Players!$A$2:$A$100,0),MATCH("Przegląd",Players!$A$1:$R$1,0))+PozycjeŚr!P$5*INDEX(Zawodnicy[],MATCH($A24,Players!$A$2:$A$100,0),MATCH("Podania dołem",Players!$A$1:$R$1,0))+PozycjeŚr!P$6*INDEX(Zawodnicy[],MATCH($A24,Players!$A$2:$A$100,0),MATCH("Strzał",Players!$A$1:$R$1,0))+PozycjeŚr!P$7*INDEX(Zawodnicy[],MATCH($A24,Players!$A$2:$A$100,0),MATCH("Gra głową",Players!$A$1:$R$1,0))+PozycjeŚr!P$8*INDEX(Zawodnicy[],MATCH($A24,Players!$A$2:$A$100,0),MATCH("Gra na bramce",Players!$A$1:$R$1,0))+PozycjeŚr!P$9*INDEX(Zawodnicy[],MATCH($A24,Players!$A$2:$A$100,0),MATCH("Panowanie",Players!$A$1:$R$1,0))+PozycjeŚr!P$10*INDEX(Zawodnicy[],MATCH($A24,Players!$A$2:$A$100,0),MATCH("Odbiór piłki",Players!$A$1:$R$1,0))+PozycjeŚr!P$11*INDEX(Zawodnicy[],MATCH($A24,Players!$A$2:$A$100,0),MATCH("Podania górą",Players!$A$1:$R$1,0))</f>
        <v>#N/A</v>
      </c>
      <c r="F24" s="16" t="e">
        <f>PozycjeŚr!Q$2*INDEX(Zawodnicy[],MATCH($A24,Players!$A$2:$A$100,0),MATCH("Szybkość",Players!$A$1:$R$1,0))+PozycjeŚr!Q$3*INDEX(Zawodnicy[],MATCH($A24,Players!$A$2:$A$100,0),MATCH("Kondycja",Players!$A$1:$R$1,0))+PozycjeŚr!Q$4*INDEX(Zawodnicy[],MATCH($A24,Players!$A$2:$A$100,0),MATCH("Przegląd",Players!$A$1:$R$1,0))+PozycjeŚr!Q$5*INDEX(Zawodnicy[],MATCH($A24,Players!$A$2:$A$100,0),MATCH("Podania dołem",Players!$A$1:$R$1,0))+PozycjeŚr!Q$6*INDEX(Zawodnicy[],MATCH($A24,Players!$A$2:$A$100,0),MATCH("Strzał",Players!$A$1:$R$1,0))+PozycjeŚr!Q$7*INDEX(Zawodnicy[],MATCH($A24,Players!$A$2:$A$100,0),MATCH("Gra głową",Players!$A$1:$R$1,0))+PozycjeŚr!Q$8*INDEX(Zawodnicy[],MATCH($A24,Players!$A$2:$A$100,0),MATCH("Gra na bramce",Players!$A$1:$R$1,0))+PozycjeŚr!Q$9*INDEX(Zawodnicy[],MATCH($A24,Players!$A$2:$A$100,0),MATCH("Panowanie",Players!$A$1:$R$1,0))+PozycjeŚr!Q$10*INDEX(Zawodnicy[],MATCH($A24,Players!$A$2:$A$100,0),MATCH("Odbiór piłki",Players!$A$1:$R$1,0))+PozycjeŚr!Q$11*INDEX(Zawodnicy[],MATCH($A24,Players!$A$2:$A$100,0),MATCH("Podania górą",Players!$A$1:$R$1,0))</f>
        <v>#N/A</v>
      </c>
      <c r="G24" s="16" t="e">
        <f>PozycjeŚr!R$2*INDEX(Zawodnicy[],MATCH($A24,Players!$A$2:$A$100,0),MATCH("Szybkość",Players!$A$1:$R$1,0))+PozycjeŚr!R$3*INDEX(Zawodnicy[],MATCH($A24,Players!$A$2:$A$100,0),MATCH("Kondycja",Players!$A$1:$R$1,0))+PozycjeŚr!R$4*INDEX(Zawodnicy[],MATCH($A24,Players!$A$2:$A$100,0),MATCH("Przegląd",Players!$A$1:$R$1,0))+PozycjeŚr!R$5*INDEX(Zawodnicy[],MATCH($A24,Players!$A$2:$A$100,0),MATCH("Podania dołem",Players!$A$1:$R$1,0))+PozycjeŚr!R$6*INDEX(Zawodnicy[],MATCH($A24,Players!$A$2:$A$100,0),MATCH("Strzał",Players!$A$1:$R$1,0))+PozycjeŚr!R$7*INDEX(Zawodnicy[],MATCH($A24,Players!$A$2:$A$100,0),MATCH("Gra głową",Players!$A$1:$R$1,0))+PozycjeŚr!R$8*INDEX(Zawodnicy[],MATCH($A24,Players!$A$2:$A$100,0),MATCH("Gra na bramce",Players!$A$1:$R$1,0))+PozycjeŚr!R$9*INDEX(Zawodnicy[],MATCH($A24,Players!$A$2:$A$100,0),MATCH("Panowanie",Players!$A$1:$R$1,0))+PozycjeŚr!R$10*INDEX(Zawodnicy[],MATCH($A24,Players!$A$2:$A$100,0),MATCH("Odbiór piłki",Players!$A$1:$R$1,0))+PozycjeŚr!R$11*INDEX(Zawodnicy[],MATCH($A24,Players!$A$2:$A$100,0),MATCH("Podania górą",Players!$A$1:$R$1,0))</f>
        <v>#N/A</v>
      </c>
      <c r="H24" s="16" t="e">
        <f>PozycjeŚr!S$2*INDEX(Zawodnicy[],MATCH($A24,Players!$A$2:$A$100,0),MATCH("Szybkość",Players!$A$1:$R$1,0))+PozycjeŚr!S$3*INDEX(Zawodnicy[],MATCH($A24,Players!$A$2:$A$100,0),MATCH("Kondycja",Players!$A$1:$R$1,0))+PozycjeŚr!S$4*INDEX(Zawodnicy[],MATCH($A24,Players!$A$2:$A$100,0),MATCH("Przegląd",Players!$A$1:$R$1,0))+PozycjeŚr!S$5*INDEX(Zawodnicy[],MATCH($A24,Players!$A$2:$A$100,0),MATCH("Podania dołem",Players!$A$1:$R$1,0))+PozycjeŚr!S$6*INDEX(Zawodnicy[],MATCH($A24,Players!$A$2:$A$100,0),MATCH("Strzał",Players!$A$1:$R$1,0))+PozycjeŚr!S$7*INDEX(Zawodnicy[],MATCH($A24,Players!$A$2:$A$100,0),MATCH("Gra głową",Players!$A$1:$R$1,0))+PozycjeŚr!S$8*INDEX(Zawodnicy[],MATCH($A24,Players!$A$2:$A$100,0),MATCH("Gra na bramce",Players!$A$1:$R$1,0))+PozycjeŚr!S$9*INDEX(Zawodnicy[],MATCH($A24,Players!$A$2:$A$100,0),MATCH("Panowanie",Players!$A$1:$R$1,0))+PozycjeŚr!S$10*INDEX(Zawodnicy[],MATCH($A24,Players!$A$2:$A$100,0),MATCH("Odbiór piłki",Players!$A$1:$R$1,0))+PozycjeŚr!S$11*INDEX(Zawodnicy[],MATCH($A24,Players!$A$2:$A$100,0),MATCH("Podania górą",Players!$A$1:$R$1,0))</f>
        <v>#N/A</v>
      </c>
      <c r="I24" s="16" t="e">
        <f>PozycjeŚr!T$2*INDEX(Zawodnicy[],MATCH($A24,Players!$A$2:$A$100,0),MATCH("Szybkość",Players!$A$1:$R$1,0))+PozycjeŚr!T$3*INDEX(Zawodnicy[],MATCH($A24,Players!$A$2:$A$100,0),MATCH("Kondycja",Players!$A$1:$R$1,0))+PozycjeŚr!T$4*INDEX(Zawodnicy[],MATCH($A24,Players!$A$2:$A$100,0),MATCH("Przegląd",Players!$A$1:$R$1,0))+PozycjeŚr!T$5*INDEX(Zawodnicy[],MATCH($A24,Players!$A$2:$A$100,0),MATCH("Podania dołem",Players!$A$1:$R$1,0))+PozycjeŚr!T$6*INDEX(Zawodnicy[],MATCH($A24,Players!$A$2:$A$100,0),MATCH("Strzał",Players!$A$1:$R$1,0))+PozycjeŚr!T$7*INDEX(Zawodnicy[],MATCH($A24,Players!$A$2:$A$100,0),MATCH("Gra głową",Players!$A$1:$R$1,0))+PozycjeŚr!T$8*INDEX(Zawodnicy[],MATCH($A24,Players!$A$2:$A$100,0),MATCH("Gra na bramce",Players!$A$1:$R$1,0))+PozycjeŚr!T$9*INDEX(Zawodnicy[],MATCH($A24,Players!$A$2:$A$100,0),MATCH("Panowanie",Players!$A$1:$R$1,0))+PozycjeŚr!T$10*INDEX(Zawodnicy[],MATCH($A24,Players!$A$2:$A$100,0),MATCH("Odbiór piłki",Players!$A$1:$R$1,0))+PozycjeŚr!T$11*INDEX(Zawodnicy[],MATCH($A24,Players!$A$2:$A$100,0),MATCH("Podania górą",Players!$A$1:$R$1,0))</f>
        <v>#N/A</v>
      </c>
      <c r="J24" s="16" t="e">
        <f>PozycjeŚr!U$2*INDEX(Zawodnicy[],MATCH($A24,Players!$A$2:$A$100,0),MATCH("Szybkość",Players!$A$1:$R$1,0))+PozycjeŚr!U$3*INDEX(Zawodnicy[],MATCH($A24,Players!$A$2:$A$100,0),MATCH("Kondycja",Players!$A$1:$R$1,0))+PozycjeŚr!U$4*INDEX(Zawodnicy[],MATCH($A24,Players!$A$2:$A$100,0),MATCH("Przegląd",Players!$A$1:$R$1,0))+PozycjeŚr!U$5*INDEX(Zawodnicy[],MATCH($A24,Players!$A$2:$A$100,0),MATCH("Podania dołem",Players!$A$1:$R$1,0))+PozycjeŚr!U$6*INDEX(Zawodnicy[],MATCH($A24,Players!$A$2:$A$100,0),MATCH("Strzał",Players!$A$1:$R$1,0))+PozycjeŚr!U$7*INDEX(Zawodnicy[],MATCH($A24,Players!$A$2:$A$100,0),MATCH("Gra głową",Players!$A$1:$R$1,0))+PozycjeŚr!U$8*INDEX(Zawodnicy[],MATCH($A24,Players!$A$2:$A$100,0),MATCH("Gra na bramce",Players!$A$1:$R$1,0))+PozycjeŚr!U$9*INDEX(Zawodnicy[],MATCH($A24,Players!$A$2:$A$100,0),MATCH("Panowanie",Players!$A$1:$R$1,0))+PozycjeŚr!U$10*INDEX(Zawodnicy[],MATCH($A24,Players!$A$2:$A$100,0),MATCH("Odbiór piłki",Players!$A$1:$R$1,0))+PozycjeŚr!U$11*INDEX(Zawodnicy[],MATCH($A24,Players!$A$2:$A$100,0),MATCH("Podania górą",Players!$A$1:$R$1,0))</f>
        <v>#N/A</v>
      </c>
      <c r="K24" s="16" t="e">
        <f>PozycjeŚr!V$2*INDEX(Zawodnicy[],MATCH($A24,Players!$A$2:$A$100,0),MATCH("Szybkość",Players!$A$1:$R$1,0))+PozycjeŚr!V$3*INDEX(Zawodnicy[],MATCH($A24,Players!$A$2:$A$100,0),MATCH("Kondycja",Players!$A$1:$R$1,0))+PozycjeŚr!V$4*INDEX(Zawodnicy[],MATCH($A24,Players!$A$2:$A$100,0),MATCH("Przegląd",Players!$A$1:$R$1,0))+PozycjeŚr!V$5*INDEX(Zawodnicy[],MATCH($A24,Players!$A$2:$A$100,0),MATCH("Podania dołem",Players!$A$1:$R$1,0))+PozycjeŚr!V$6*INDEX(Zawodnicy[],MATCH($A24,Players!$A$2:$A$100,0),MATCH("Strzał",Players!$A$1:$R$1,0))+PozycjeŚr!V$7*INDEX(Zawodnicy[],MATCH($A24,Players!$A$2:$A$100,0),MATCH("Gra głową",Players!$A$1:$R$1,0))+PozycjeŚr!V$8*INDEX(Zawodnicy[],MATCH($A24,Players!$A$2:$A$100,0),MATCH("Gra na bramce",Players!$A$1:$R$1,0))+PozycjeŚr!V$9*INDEX(Zawodnicy[],MATCH($A24,Players!$A$2:$A$100,0),MATCH("Panowanie",Players!$A$1:$R$1,0))+PozycjeŚr!V$10*INDEX(Zawodnicy[],MATCH($A24,Players!$A$2:$A$100,0),MATCH("Odbiór piłki",Players!$A$1:$R$1,0))+PozycjeŚr!V$11*INDEX(Zawodnicy[],MATCH($A24,Players!$A$2:$A$100,0),MATCH("Podania górą",Players!$A$1:$R$1,0))</f>
        <v>#N/A</v>
      </c>
      <c r="L24" s="16" t="e">
        <f>PozycjeŚr!W$2*INDEX(Zawodnicy[],MATCH($A24,Players!$A$2:$A$100,0),MATCH("Szybkość",Players!$A$1:$R$1,0))+PozycjeŚr!W$3*INDEX(Zawodnicy[],MATCH($A24,Players!$A$2:$A$100,0),MATCH("Kondycja",Players!$A$1:$R$1,0))+PozycjeŚr!W$4*INDEX(Zawodnicy[],MATCH($A24,Players!$A$2:$A$100,0),MATCH("Przegląd",Players!$A$1:$R$1,0))+PozycjeŚr!W$5*INDEX(Zawodnicy[],MATCH($A24,Players!$A$2:$A$100,0),MATCH("Podania dołem",Players!$A$1:$R$1,0))+PozycjeŚr!W$6*INDEX(Zawodnicy[],MATCH($A24,Players!$A$2:$A$100,0),MATCH("Strzał",Players!$A$1:$R$1,0))+PozycjeŚr!W$7*INDEX(Zawodnicy[],MATCH($A24,Players!$A$2:$A$100,0),MATCH("Gra głową",Players!$A$1:$R$1,0))+PozycjeŚr!W$8*INDEX(Zawodnicy[],MATCH($A24,Players!$A$2:$A$100,0),MATCH("Gra na bramce",Players!$A$1:$R$1,0))+PozycjeŚr!W$9*INDEX(Zawodnicy[],MATCH($A24,Players!$A$2:$A$100,0),MATCH("Panowanie",Players!$A$1:$R$1,0))+PozycjeŚr!W$10*INDEX(Zawodnicy[],MATCH($A24,Players!$A$2:$A$100,0),MATCH("Odbiór piłki",Players!$A$1:$R$1,0))+PozycjeŚr!W$11*INDEX(Zawodnicy[],MATCH($A24,Players!$A$2:$A$100,0),MATCH("Podania górą",Players!$A$1:$R$1,0))</f>
        <v>#N/A</v>
      </c>
    </row>
    <row r="25" spans="1:12" x14ac:dyDescent="0.25">
      <c r="A25" s="39">
        <f>IFERROR(Zawodnicy[[#This Row],[Number]],"-")</f>
        <v>42</v>
      </c>
      <c r="B25" t="str">
        <f>VLOOKUP(Radar[[#This Row],[Numer]],Zawodnicy[],2,FALSE)</f>
        <v>Olaf Skikiewicz</v>
      </c>
      <c r="C25" s="16" t="e">
        <f>PozycjeŚr!N$2*INDEX(Zawodnicy[],MATCH($A25,Players!$A$2:$A$100,0),MATCH("Szybkość",Players!$A$1:$R$1,0))+PozycjeŚr!N$3*INDEX(Zawodnicy[],MATCH($A25,Players!$A$2:$A$100,0),MATCH("Kondycja",Players!$A$1:$R$1,0))+PozycjeŚr!N$4*INDEX(Zawodnicy[],MATCH($A25,Players!$A$2:$A$100,0),MATCH("Przegląd",Players!$A$1:$R$1,0))+PozycjeŚr!N$5*INDEX(Zawodnicy[],MATCH($A25,Players!$A$2:$A$100,0),MATCH("Podania dołem",Players!$A$1:$R$1,0))+PozycjeŚr!N$6*INDEX(Zawodnicy[],MATCH($A25,Players!$A$2:$A$100,0),MATCH("Strzał",Players!$A$1:$R$1,0))+PozycjeŚr!N$7*INDEX(Zawodnicy[],MATCH($A25,Players!$A$2:$A$100,0),MATCH("Gra głową",Players!$A$1:$R$1,0))+PozycjeŚr!N$8*INDEX(Zawodnicy[],MATCH($A25,Players!$A$2:$A$100,0),MATCH("Gra na bramce",Players!$A$1:$R$1,0))+PozycjeŚr!N$9*INDEX(Zawodnicy[],MATCH($A25,Players!$A$2:$A$100,0),MATCH("Panowanie",Players!$A$1:$R$1,0))+PozycjeŚr!N$10*INDEX(Zawodnicy[],MATCH($A25,Players!$A$2:$A$100,0),MATCH("Odbiór piłki",Players!$A$1:$R$1,0))+PozycjeŚr!N$11*INDEX(Zawodnicy[],MATCH($A25,Players!$A$2:$A$100,0),MATCH("Podania górą",Players!$A$1:$R$1,0))</f>
        <v>#N/A</v>
      </c>
      <c r="D25" s="16" t="e">
        <f>PozycjeŚr!O$2*INDEX(Zawodnicy[],MATCH($A25,Players!$A$2:$A$100,0),MATCH("Szybkość",Players!$A$1:$R$1,0))+PozycjeŚr!O$3*INDEX(Zawodnicy[],MATCH($A25,Players!$A$2:$A$100,0),MATCH("Kondycja",Players!$A$1:$R$1,0))+PozycjeŚr!O$4*INDEX(Zawodnicy[],MATCH($A25,Players!$A$2:$A$100,0),MATCH("Przegląd",Players!$A$1:$R$1,0))+PozycjeŚr!O$5*INDEX(Zawodnicy[],MATCH($A25,Players!$A$2:$A$100,0),MATCH("Podania dołem",Players!$A$1:$R$1,0))+PozycjeŚr!O$6*INDEX(Zawodnicy[],MATCH($A25,Players!$A$2:$A$100,0),MATCH("Strzał",Players!$A$1:$R$1,0))+PozycjeŚr!O$7*INDEX(Zawodnicy[],MATCH($A25,Players!$A$2:$A$100,0),MATCH("Gra głową",Players!$A$1:$R$1,0))+PozycjeŚr!O$8*INDEX(Zawodnicy[],MATCH($A25,Players!$A$2:$A$100,0),MATCH("Gra na bramce",Players!$A$1:$R$1,0))+PozycjeŚr!O$9*INDEX(Zawodnicy[],MATCH($A25,Players!$A$2:$A$100,0),MATCH("Panowanie",Players!$A$1:$R$1,0))+PozycjeŚr!O$10*INDEX(Zawodnicy[],MATCH($A25,Players!$A$2:$A$100,0),MATCH("Odbiór piłki",Players!$A$1:$R$1,0))+PozycjeŚr!O$11*INDEX(Zawodnicy[],MATCH($A25,Players!$A$2:$A$100,0),MATCH("Podania górą",Players!$A$1:$R$1,0))</f>
        <v>#N/A</v>
      </c>
      <c r="E25" s="16" t="e">
        <f>PozycjeŚr!P$2*INDEX(Zawodnicy[],MATCH($A25,Players!$A$2:$A$100,0),MATCH("Szybkość",Players!$A$1:$R$1,0))+PozycjeŚr!P$3*INDEX(Zawodnicy[],MATCH($A25,Players!$A$2:$A$100,0),MATCH("Kondycja",Players!$A$1:$R$1,0))+PozycjeŚr!P$4*INDEX(Zawodnicy[],MATCH($A25,Players!$A$2:$A$100,0),MATCH("Przegląd",Players!$A$1:$R$1,0))+PozycjeŚr!P$5*INDEX(Zawodnicy[],MATCH($A25,Players!$A$2:$A$100,0),MATCH("Podania dołem",Players!$A$1:$R$1,0))+PozycjeŚr!P$6*INDEX(Zawodnicy[],MATCH($A25,Players!$A$2:$A$100,0),MATCH("Strzał",Players!$A$1:$R$1,0))+PozycjeŚr!P$7*INDEX(Zawodnicy[],MATCH($A25,Players!$A$2:$A$100,0),MATCH("Gra głową",Players!$A$1:$R$1,0))+PozycjeŚr!P$8*INDEX(Zawodnicy[],MATCH($A25,Players!$A$2:$A$100,0),MATCH("Gra na bramce",Players!$A$1:$R$1,0))+PozycjeŚr!P$9*INDEX(Zawodnicy[],MATCH($A25,Players!$A$2:$A$100,0),MATCH("Panowanie",Players!$A$1:$R$1,0))+PozycjeŚr!P$10*INDEX(Zawodnicy[],MATCH($A25,Players!$A$2:$A$100,0),MATCH("Odbiór piłki",Players!$A$1:$R$1,0))+PozycjeŚr!P$11*INDEX(Zawodnicy[],MATCH($A25,Players!$A$2:$A$100,0),MATCH("Podania górą",Players!$A$1:$R$1,0))</f>
        <v>#N/A</v>
      </c>
      <c r="F25" s="16" t="e">
        <f>PozycjeŚr!Q$2*INDEX(Zawodnicy[],MATCH($A25,Players!$A$2:$A$100,0),MATCH("Szybkość",Players!$A$1:$R$1,0))+PozycjeŚr!Q$3*INDEX(Zawodnicy[],MATCH($A25,Players!$A$2:$A$100,0),MATCH("Kondycja",Players!$A$1:$R$1,0))+PozycjeŚr!Q$4*INDEX(Zawodnicy[],MATCH($A25,Players!$A$2:$A$100,0),MATCH("Przegląd",Players!$A$1:$R$1,0))+PozycjeŚr!Q$5*INDEX(Zawodnicy[],MATCH($A25,Players!$A$2:$A$100,0),MATCH("Podania dołem",Players!$A$1:$R$1,0))+PozycjeŚr!Q$6*INDEX(Zawodnicy[],MATCH($A25,Players!$A$2:$A$100,0),MATCH("Strzał",Players!$A$1:$R$1,0))+PozycjeŚr!Q$7*INDEX(Zawodnicy[],MATCH($A25,Players!$A$2:$A$100,0),MATCH("Gra głową",Players!$A$1:$R$1,0))+PozycjeŚr!Q$8*INDEX(Zawodnicy[],MATCH($A25,Players!$A$2:$A$100,0),MATCH("Gra na bramce",Players!$A$1:$R$1,0))+PozycjeŚr!Q$9*INDEX(Zawodnicy[],MATCH($A25,Players!$A$2:$A$100,0),MATCH("Panowanie",Players!$A$1:$R$1,0))+PozycjeŚr!Q$10*INDEX(Zawodnicy[],MATCH($A25,Players!$A$2:$A$100,0),MATCH("Odbiór piłki",Players!$A$1:$R$1,0))+PozycjeŚr!Q$11*INDEX(Zawodnicy[],MATCH($A25,Players!$A$2:$A$100,0),MATCH("Podania górą",Players!$A$1:$R$1,0))</f>
        <v>#N/A</v>
      </c>
      <c r="G25" s="16" t="e">
        <f>PozycjeŚr!R$2*INDEX(Zawodnicy[],MATCH($A25,Players!$A$2:$A$100,0),MATCH("Szybkość",Players!$A$1:$R$1,0))+PozycjeŚr!R$3*INDEX(Zawodnicy[],MATCH($A25,Players!$A$2:$A$100,0),MATCH("Kondycja",Players!$A$1:$R$1,0))+PozycjeŚr!R$4*INDEX(Zawodnicy[],MATCH($A25,Players!$A$2:$A$100,0),MATCH("Przegląd",Players!$A$1:$R$1,0))+PozycjeŚr!R$5*INDEX(Zawodnicy[],MATCH($A25,Players!$A$2:$A$100,0),MATCH("Podania dołem",Players!$A$1:$R$1,0))+PozycjeŚr!R$6*INDEX(Zawodnicy[],MATCH($A25,Players!$A$2:$A$100,0),MATCH("Strzał",Players!$A$1:$R$1,0))+PozycjeŚr!R$7*INDEX(Zawodnicy[],MATCH($A25,Players!$A$2:$A$100,0),MATCH("Gra głową",Players!$A$1:$R$1,0))+PozycjeŚr!R$8*INDEX(Zawodnicy[],MATCH($A25,Players!$A$2:$A$100,0),MATCH("Gra na bramce",Players!$A$1:$R$1,0))+PozycjeŚr!R$9*INDEX(Zawodnicy[],MATCH($A25,Players!$A$2:$A$100,0),MATCH("Panowanie",Players!$A$1:$R$1,0))+PozycjeŚr!R$10*INDEX(Zawodnicy[],MATCH($A25,Players!$A$2:$A$100,0),MATCH("Odbiór piłki",Players!$A$1:$R$1,0))+PozycjeŚr!R$11*INDEX(Zawodnicy[],MATCH($A25,Players!$A$2:$A$100,0),MATCH("Podania górą",Players!$A$1:$R$1,0))</f>
        <v>#N/A</v>
      </c>
      <c r="H25" s="16" t="e">
        <f>PozycjeŚr!S$2*INDEX(Zawodnicy[],MATCH($A25,Players!$A$2:$A$100,0),MATCH("Szybkość",Players!$A$1:$R$1,0))+PozycjeŚr!S$3*INDEX(Zawodnicy[],MATCH($A25,Players!$A$2:$A$100,0),MATCH("Kondycja",Players!$A$1:$R$1,0))+PozycjeŚr!S$4*INDEX(Zawodnicy[],MATCH($A25,Players!$A$2:$A$100,0),MATCH("Przegląd",Players!$A$1:$R$1,0))+PozycjeŚr!S$5*INDEX(Zawodnicy[],MATCH($A25,Players!$A$2:$A$100,0),MATCH("Podania dołem",Players!$A$1:$R$1,0))+PozycjeŚr!S$6*INDEX(Zawodnicy[],MATCH($A25,Players!$A$2:$A$100,0),MATCH("Strzał",Players!$A$1:$R$1,0))+PozycjeŚr!S$7*INDEX(Zawodnicy[],MATCH($A25,Players!$A$2:$A$100,0),MATCH("Gra głową",Players!$A$1:$R$1,0))+PozycjeŚr!S$8*INDEX(Zawodnicy[],MATCH($A25,Players!$A$2:$A$100,0),MATCH("Gra na bramce",Players!$A$1:$R$1,0))+PozycjeŚr!S$9*INDEX(Zawodnicy[],MATCH($A25,Players!$A$2:$A$100,0),MATCH("Panowanie",Players!$A$1:$R$1,0))+PozycjeŚr!S$10*INDEX(Zawodnicy[],MATCH($A25,Players!$A$2:$A$100,0),MATCH("Odbiór piłki",Players!$A$1:$R$1,0))+PozycjeŚr!S$11*INDEX(Zawodnicy[],MATCH($A25,Players!$A$2:$A$100,0),MATCH("Podania górą",Players!$A$1:$R$1,0))</f>
        <v>#N/A</v>
      </c>
      <c r="I25" s="16" t="e">
        <f>PozycjeŚr!T$2*INDEX(Zawodnicy[],MATCH($A25,Players!$A$2:$A$100,0),MATCH("Szybkość",Players!$A$1:$R$1,0))+PozycjeŚr!T$3*INDEX(Zawodnicy[],MATCH($A25,Players!$A$2:$A$100,0),MATCH("Kondycja",Players!$A$1:$R$1,0))+PozycjeŚr!T$4*INDEX(Zawodnicy[],MATCH($A25,Players!$A$2:$A$100,0),MATCH("Przegląd",Players!$A$1:$R$1,0))+PozycjeŚr!T$5*INDEX(Zawodnicy[],MATCH($A25,Players!$A$2:$A$100,0),MATCH("Podania dołem",Players!$A$1:$R$1,0))+PozycjeŚr!T$6*INDEX(Zawodnicy[],MATCH($A25,Players!$A$2:$A$100,0),MATCH("Strzał",Players!$A$1:$R$1,0))+PozycjeŚr!T$7*INDEX(Zawodnicy[],MATCH($A25,Players!$A$2:$A$100,0),MATCH("Gra głową",Players!$A$1:$R$1,0))+PozycjeŚr!T$8*INDEX(Zawodnicy[],MATCH($A25,Players!$A$2:$A$100,0),MATCH("Gra na bramce",Players!$A$1:$R$1,0))+PozycjeŚr!T$9*INDEX(Zawodnicy[],MATCH($A25,Players!$A$2:$A$100,0),MATCH("Panowanie",Players!$A$1:$R$1,0))+PozycjeŚr!T$10*INDEX(Zawodnicy[],MATCH($A25,Players!$A$2:$A$100,0),MATCH("Odbiór piłki",Players!$A$1:$R$1,0))+PozycjeŚr!T$11*INDEX(Zawodnicy[],MATCH($A25,Players!$A$2:$A$100,0),MATCH("Podania górą",Players!$A$1:$R$1,0))</f>
        <v>#N/A</v>
      </c>
      <c r="J25" s="16" t="e">
        <f>PozycjeŚr!U$2*INDEX(Zawodnicy[],MATCH($A25,Players!$A$2:$A$100,0),MATCH("Szybkość",Players!$A$1:$R$1,0))+PozycjeŚr!U$3*INDEX(Zawodnicy[],MATCH($A25,Players!$A$2:$A$100,0),MATCH("Kondycja",Players!$A$1:$R$1,0))+PozycjeŚr!U$4*INDEX(Zawodnicy[],MATCH($A25,Players!$A$2:$A$100,0),MATCH("Przegląd",Players!$A$1:$R$1,0))+PozycjeŚr!U$5*INDEX(Zawodnicy[],MATCH($A25,Players!$A$2:$A$100,0),MATCH("Podania dołem",Players!$A$1:$R$1,0))+PozycjeŚr!U$6*INDEX(Zawodnicy[],MATCH($A25,Players!$A$2:$A$100,0),MATCH("Strzał",Players!$A$1:$R$1,0))+PozycjeŚr!U$7*INDEX(Zawodnicy[],MATCH($A25,Players!$A$2:$A$100,0),MATCH("Gra głową",Players!$A$1:$R$1,0))+PozycjeŚr!U$8*INDEX(Zawodnicy[],MATCH($A25,Players!$A$2:$A$100,0),MATCH("Gra na bramce",Players!$A$1:$R$1,0))+PozycjeŚr!U$9*INDEX(Zawodnicy[],MATCH($A25,Players!$A$2:$A$100,0),MATCH("Panowanie",Players!$A$1:$R$1,0))+PozycjeŚr!U$10*INDEX(Zawodnicy[],MATCH($A25,Players!$A$2:$A$100,0),MATCH("Odbiór piłki",Players!$A$1:$R$1,0))+PozycjeŚr!U$11*INDEX(Zawodnicy[],MATCH($A25,Players!$A$2:$A$100,0),MATCH("Podania górą",Players!$A$1:$R$1,0))</f>
        <v>#N/A</v>
      </c>
      <c r="K25" s="16" t="e">
        <f>PozycjeŚr!V$2*INDEX(Zawodnicy[],MATCH($A25,Players!$A$2:$A$100,0),MATCH("Szybkość",Players!$A$1:$R$1,0))+PozycjeŚr!V$3*INDEX(Zawodnicy[],MATCH($A25,Players!$A$2:$A$100,0),MATCH("Kondycja",Players!$A$1:$R$1,0))+PozycjeŚr!V$4*INDEX(Zawodnicy[],MATCH($A25,Players!$A$2:$A$100,0),MATCH("Przegląd",Players!$A$1:$R$1,0))+PozycjeŚr!V$5*INDEX(Zawodnicy[],MATCH($A25,Players!$A$2:$A$100,0),MATCH("Podania dołem",Players!$A$1:$R$1,0))+PozycjeŚr!V$6*INDEX(Zawodnicy[],MATCH($A25,Players!$A$2:$A$100,0),MATCH("Strzał",Players!$A$1:$R$1,0))+PozycjeŚr!V$7*INDEX(Zawodnicy[],MATCH($A25,Players!$A$2:$A$100,0),MATCH("Gra głową",Players!$A$1:$R$1,0))+PozycjeŚr!V$8*INDEX(Zawodnicy[],MATCH($A25,Players!$A$2:$A$100,0),MATCH("Gra na bramce",Players!$A$1:$R$1,0))+PozycjeŚr!V$9*INDEX(Zawodnicy[],MATCH($A25,Players!$A$2:$A$100,0),MATCH("Panowanie",Players!$A$1:$R$1,0))+PozycjeŚr!V$10*INDEX(Zawodnicy[],MATCH($A25,Players!$A$2:$A$100,0),MATCH("Odbiór piłki",Players!$A$1:$R$1,0))+PozycjeŚr!V$11*INDEX(Zawodnicy[],MATCH($A25,Players!$A$2:$A$100,0),MATCH("Podania górą",Players!$A$1:$R$1,0))</f>
        <v>#N/A</v>
      </c>
      <c r="L25" s="16" t="e">
        <f>PozycjeŚr!W$2*INDEX(Zawodnicy[],MATCH($A25,Players!$A$2:$A$100,0),MATCH("Szybkość",Players!$A$1:$R$1,0))+PozycjeŚr!W$3*INDEX(Zawodnicy[],MATCH($A25,Players!$A$2:$A$100,0),MATCH("Kondycja",Players!$A$1:$R$1,0))+PozycjeŚr!W$4*INDEX(Zawodnicy[],MATCH($A25,Players!$A$2:$A$100,0),MATCH("Przegląd",Players!$A$1:$R$1,0))+PozycjeŚr!W$5*INDEX(Zawodnicy[],MATCH($A25,Players!$A$2:$A$100,0),MATCH("Podania dołem",Players!$A$1:$R$1,0))+PozycjeŚr!W$6*INDEX(Zawodnicy[],MATCH($A25,Players!$A$2:$A$100,0),MATCH("Strzał",Players!$A$1:$R$1,0))+PozycjeŚr!W$7*INDEX(Zawodnicy[],MATCH($A25,Players!$A$2:$A$100,0),MATCH("Gra głową",Players!$A$1:$R$1,0))+PozycjeŚr!W$8*INDEX(Zawodnicy[],MATCH($A25,Players!$A$2:$A$100,0),MATCH("Gra na bramce",Players!$A$1:$R$1,0))+PozycjeŚr!W$9*INDEX(Zawodnicy[],MATCH($A25,Players!$A$2:$A$100,0),MATCH("Panowanie",Players!$A$1:$R$1,0))+PozycjeŚr!W$10*INDEX(Zawodnicy[],MATCH($A25,Players!$A$2:$A$100,0),MATCH("Odbiór piłki",Players!$A$1:$R$1,0))+PozycjeŚr!W$11*INDEX(Zawodnicy[],MATCH($A25,Players!$A$2:$A$100,0),MATCH("Podania górą",Players!$A$1:$R$1,0))</f>
        <v>#N/A</v>
      </c>
    </row>
    <row r="26" spans="1:12" x14ac:dyDescent="0.25">
      <c r="A26" s="39">
        <f>IFERROR(Zawodnicy[[#This Row],[Number]],"-")</f>
        <v>45</v>
      </c>
      <c r="B26" t="str">
        <f>VLOOKUP(Radar[[#This Row],[Numer]],Zawodnicy[],2,FALSE)</f>
        <v>Janusz Sierocki</v>
      </c>
      <c r="C26" s="16" t="e">
        <f>PozycjeŚr!N$2*INDEX(Zawodnicy[],MATCH($A26,Players!$A$2:$A$100,0),MATCH("Szybkość",Players!$A$1:$R$1,0))+PozycjeŚr!N$3*INDEX(Zawodnicy[],MATCH($A26,Players!$A$2:$A$100,0),MATCH("Kondycja",Players!$A$1:$R$1,0))+PozycjeŚr!N$4*INDEX(Zawodnicy[],MATCH($A26,Players!$A$2:$A$100,0),MATCH("Przegląd",Players!$A$1:$R$1,0))+PozycjeŚr!N$5*INDEX(Zawodnicy[],MATCH($A26,Players!$A$2:$A$100,0),MATCH("Podania dołem",Players!$A$1:$R$1,0))+PozycjeŚr!N$6*INDEX(Zawodnicy[],MATCH($A26,Players!$A$2:$A$100,0),MATCH("Strzał",Players!$A$1:$R$1,0))+PozycjeŚr!N$7*INDEX(Zawodnicy[],MATCH($A26,Players!$A$2:$A$100,0),MATCH("Gra głową",Players!$A$1:$R$1,0))+PozycjeŚr!N$8*INDEX(Zawodnicy[],MATCH($A26,Players!$A$2:$A$100,0),MATCH("Gra na bramce",Players!$A$1:$R$1,0))+PozycjeŚr!N$9*INDEX(Zawodnicy[],MATCH($A26,Players!$A$2:$A$100,0),MATCH("Panowanie",Players!$A$1:$R$1,0))+PozycjeŚr!N$10*INDEX(Zawodnicy[],MATCH($A26,Players!$A$2:$A$100,0),MATCH("Odbiór piłki",Players!$A$1:$R$1,0))+PozycjeŚr!N$11*INDEX(Zawodnicy[],MATCH($A26,Players!$A$2:$A$100,0),MATCH("Podania górą",Players!$A$1:$R$1,0))</f>
        <v>#N/A</v>
      </c>
      <c r="D26" s="16" t="e">
        <f>PozycjeŚr!O$2*INDEX(Zawodnicy[],MATCH($A26,Players!$A$2:$A$100,0),MATCH("Szybkość",Players!$A$1:$R$1,0))+PozycjeŚr!O$3*INDEX(Zawodnicy[],MATCH($A26,Players!$A$2:$A$100,0),MATCH("Kondycja",Players!$A$1:$R$1,0))+PozycjeŚr!O$4*INDEX(Zawodnicy[],MATCH($A26,Players!$A$2:$A$100,0),MATCH("Przegląd",Players!$A$1:$R$1,0))+PozycjeŚr!O$5*INDEX(Zawodnicy[],MATCH($A26,Players!$A$2:$A$100,0),MATCH("Podania dołem",Players!$A$1:$R$1,0))+PozycjeŚr!O$6*INDEX(Zawodnicy[],MATCH($A26,Players!$A$2:$A$100,0),MATCH("Strzał",Players!$A$1:$R$1,0))+PozycjeŚr!O$7*INDEX(Zawodnicy[],MATCH($A26,Players!$A$2:$A$100,0),MATCH("Gra głową",Players!$A$1:$R$1,0))+PozycjeŚr!O$8*INDEX(Zawodnicy[],MATCH($A26,Players!$A$2:$A$100,0),MATCH("Gra na bramce",Players!$A$1:$R$1,0))+PozycjeŚr!O$9*INDEX(Zawodnicy[],MATCH($A26,Players!$A$2:$A$100,0),MATCH("Panowanie",Players!$A$1:$R$1,0))+PozycjeŚr!O$10*INDEX(Zawodnicy[],MATCH($A26,Players!$A$2:$A$100,0),MATCH("Odbiór piłki",Players!$A$1:$R$1,0))+PozycjeŚr!O$11*INDEX(Zawodnicy[],MATCH($A26,Players!$A$2:$A$100,0),MATCH("Podania górą",Players!$A$1:$R$1,0))</f>
        <v>#N/A</v>
      </c>
      <c r="E26" s="16" t="e">
        <f>PozycjeŚr!P$2*INDEX(Zawodnicy[],MATCH($A26,Players!$A$2:$A$100,0),MATCH("Szybkość",Players!$A$1:$R$1,0))+PozycjeŚr!P$3*INDEX(Zawodnicy[],MATCH($A26,Players!$A$2:$A$100,0),MATCH("Kondycja",Players!$A$1:$R$1,0))+PozycjeŚr!P$4*INDEX(Zawodnicy[],MATCH($A26,Players!$A$2:$A$100,0),MATCH("Przegląd",Players!$A$1:$R$1,0))+PozycjeŚr!P$5*INDEX(Zawodnicy[],MATCH($A26,Players!$A$2:$A$100,0),MATCH("Podania dołem",Players!$A$1:$R$1,0))+PozycjeŚr!P$6*INDEX(Zawodnicy[],MATCH($A26,Players!$A$2:$A$100,0),MATCH("Strzał",Players!$A$1:$R$1,0))+PozycjeŚr!P$7*INDEX(Zawodnicy[],MATCH($A26,Players!$A$2:$A$100,0),MATCH("Gra głową",Players!$A$1:$R$1,0))+PozycjeŚr!P$8*INDEX(Zawodnicy[],MATCH($A26,Players!$A$2:$A$100,0),MATCH("Gra na bramce",Players!$A$1:$R$1,0))+PozycjeŚr!P$9*INDEX(Zawodnicy[],MATCH($A26,Players!$A$2:$A$100,0),MATCH("Panowanie",Players!$A$1:$R$1,0))+PozycjeŚr!P$10*INDEX(Zawodnicy[],MATCH($A26,Players!$A$2:$A$100,0),MATCH("Odbiór piłki",Players!$A$1:$R$1,0))+PozycjeŚr!P$11*INDEX(Zawodnicy[],MATCH($A26,Players!$A$2:$A$100,0),MATCH("Podania górą",Players!$A$1:$R$1,0))</f>
        <v>#N/A</v>
      </c>
      <c r="F26" s="16" t="e">
        <f>PozycjeŚr!Q$2*INDEX(Zawodnicy[],MATCH($A26,Players!$A$2:$A$100,0),MATCH("Szybkość",Players!$A$1:$R$1,0))+PozycjeŚr!Q$3*INDEX(Zawodnicy[],MATCH($A26,Players!$A$2:$A$100,0),MATCH("Kondycja",Players!$A$1:$R$1,0))+PozycjeŚr!Q$4*INDEX(Zawodnicy[],MATCH($A26,Players!$A$2:$A$100,0),MATCH("Przegląd",Players!$A$1:$R$1,0))+PozycjeŚr!Q$5*INDEX(Zawodnicy[],MATCH($A26,Players!$A$2:$A$100,0),MATCH("Podania dołem",Players!$A$1:$R$1,0))+PozycjeŚr!Q$6*INDEX(Zawodnicy[],MATCH($A26,Players!$A$2:$A$100,0),MATCH("Strzał",Players!$A$1:$R$1,0))+PozycjeŚr!Q$7*INDEX(Zawodnicy[],MATCH($A26,Players!$A$2:$A$100,0),MATCH("Gra głową",Players!$A$1:$R$1,0))+PozycjeŚr!Q$8*INDEX(Zawodnicy[],MATCH($A26,Players!$A$2:$A$100,0),MATCH("Gra na bramce",Players!$A$1:$R$1,0))+PozycjeŚr!Q$9*INDEX(Zawodnicy[],MATCH($A26,Players!$A$2:$A$100,0),MATCH("Panowanie",Players!$A$1:$R$1,0))+PozycjeŚr!Q$10*INDEX(Zawodnicy[],MATCH($A26,Players!$A$2:$A$100,0),MATCH("Odbiór piłki",Players!$A$1:$R$1,0))+PozycjeŚr!Q$11*INDEX(Zawodnicy[],MATCH($A26,Players!$A$2:$A$100,0),MATCH("Podania górą",Players!$A$1:$R$1,0))</f>
        <v>#N/A</v>
      </c>
      <c r="G26" s="16" t="e">
        <f>PozycjeŚr!R$2*INDEX(Zawodnicy[],MATCH($A26,Players!$A$2:$A$100,0),MATCH("Szybkość",Players!$A$1:$R$1,0))+PozycjeŚr!R$3*INDEX(Zawodnicy[],MATCH($A26,Players!$A$2:$A$100,0),MATCH("Kondycja",Players!$A$1:$R$1,0))+PozycjeŚr!R$4*INDEX(Zawodnicy[],MATCH($A26,Players!$A$2:$A$100,0),MATCH("Przegląd",Players!$A$1:$R$1,0))+PozycjeŚr!R$5*INDEX(Zawodnicy[],MATCH($A26,Players!$A$2:$A$100,0),MATCH("Podania dołem",Players!$A$1:$R$1,0))+PozycjeŚr!R$6*INDEX(Zawodnicy[],MATCH($A26,Players!$A$2:$A$100,0),MATCH("Strzał",Players!$A$1:$R$1,0))+PozycjeŚr!R$7*INDEX(Zawodnicy[],MATCH($A26,Players!$A$2:$A$100,0),MATCH("Gra głową",Players!$A$1:$R$1,0))+PozycjeŚr!R$8*INDEX(Zawodnicy[],MATCH($A26,Players!$A$2:$A$100,0),MATCH("Gra na bramce",Players!$A$1:$R$1,0))+PozycjeŚr!R$9*INDEX(Zawodnicy[],MATCH($A26,Players!$A$2:$A$100,0),MATCH("Panowanie",Players!$A$1:$R$1,0))+PozycjeŚr!R$10*INDEX(Zawodnicy[],MATCH($A26,Players!$A$2:$A$100,0),MATCH("Odbiór piłki",Players!$A$1:$R$1,0))+PozycjeŚr!R$11*INDEX(Zawodnicy[],MATCH($A26,Players!$A$2:$A$100,0),MATCH("Podania górą",Players!$A$1:$R$1,0))</f>
        <v>#N/A</v>
      </c>
      <c r="H26" s="16" t="e">
        <f>PozycjeŚr!S$2*INDEX(Zawodnicy[],MATCH($A26,Players!$A$2:$A$100,0),MATCH("Szybkość",Players!$A$1:$R$1,0))+PozycjeŚr!S$3*INDEX(Zawodnicy[],MATCH($A26,Players!$A$2:$A$100,0),MATCH("Kondycja",Players!$A$1:$R$1,0))+PozycjeŚr!S$4*INDEX(Zawodnicy[],MATCH($A26,Players!$A$2:$A$100,0),MATCH("Przegląd",Players!$A$1:$R$1,0))+PozycjeŚr!S$5*INDEX(Zawodnicy[],MATCH($A26,Players!$A$2:$A$100,0),MATCH("Podania dołem",Players!$A$1:$R$1,0))+PozycjeŚr!S$6*INDEX(Zawodnicy[],MATCH($A26,Players!$A$2:$A$100,0),MATCH("Strzał",Players!$A$1:$R$1,0))+PozycjeŚr!S$7*INDEX(Zawodnicy[],MATCH($A26,Players!$A$2:$A$100,0),MATCH("Gra głową",Players!$A$1:$R$1,0))+PozycjeŚr!S$8*INDEX(Zawodnicy[],MATCH($A26,Players!$A$2:$A$100,0),MATCH("Gra na bramce",Players!$A$1:$R$1,0))+PozycjeŚr!S$9*INDEX(Zawodnicy[],MATCH($A26,Players!$A$2:$A$100,0),MATCH("Panowanie",Players!$A$1:$R$1,0))+PozycjeŚr!S$10*INDEX(Zawodnicy[],MATCH($A26,Players!$A$2:$A$100,0),MATCH("Odbiór piłki",Players!$A$1:$R$1,0))+PozycjeŚr!S$11*INDEX(Zawodnicy[],MATCH($A26,Players!$A$2:$A$100,0),MATCH("Podania górą",Players!$A$1:$R$1,0))</f>
        <v>#N/A</v>
      </c>
      <c r="I26" s="16" t="e">
        <f>PozycjeŚr!T$2*INDEX(Zawodnicy[],MATCH($A26,Players!$A$2:$A$100,0),MATCH("Szybkość",Players!$A$1:$R$1,0))+PozycjeŚr!T$3*INDEX(Zawodnicy[],MATCH($A26,Players!$A$2:$A$100,0),MATCH("Kondycja",Players!$A$1:$R$1,0))+PozycjeŚr!T$4*INDEX(Zawodnicy[],MATCH($A26,Players!$A$2:$A$100,0),MATCH("Przegląd",Players!$A$1:$R$1,0))+PozycjeŚr!T$5*INDEX(Zawodnicy[],MATCH($A26,Players!$A$2:$A$100,0),MATCH("Podania dołem",Players!$A$1:$R$1,0))+PozycjeŚr!T$6*INDEX(Zawodnicy[],MATCH($A26,Players!$A$2:$A$100,0),MATCH("Strzał",Players!$A$1:$R$1,0))+PozycjeŚr!T$7*INDEX(Zawodnicy[],MATCH($A26,Players!$A$2:$A$100,0),MATCH("Gra głową",Players!$A$1:$R$1,0))+PozycjeŚr!T$8*INDEX(Zawodnicy[],MATCH($A26,Players!$A$2:$A$100,0),MATCH("Gra na bramce",Players!$A$1:$R$1,0))+PozycjeŚr!T$9*INDEX(Zawodnicy[],MATCH($A26,Players!$A$2:$A$100,0),MATCH("Panowanie",Players!$A$1:$R$1,0))+PozycjeŚr!T$10*INDEX(Zawodnicy[],MATCH($A26,Players!$A$2:$A$100,0),MATCH("Odbiór piłki",Players!$A$1:$R$1,0))+PozycjeŚr!T$11*INDEX(Zawodnicy[],MATCH($A26,Players!$A$2:$A$100,0),MATCH("Podania górą",Players!$A$1:$R$1,0))</f>
        <v>#N/A</v>
      </c>
      <c r="J26" s="16" t="e">
        <f>PozycjeŚr!U$2*INDEX(Zawodnicy[],MATCH($A26,Players!$A$2:$A$100,0),MATCH("Szybkość",Players!$A$1:$R$1,0))+PozycjeŚr!U$3*INDEX(Zawodnicy[],MATCH($A26,Players!$A$2:$A$100,0),MATCH("Kondycja",Players!$A$1:$R$1,0))+PozycjeŚr!U$4*INDEX(Zawodnicy[],MATCH($A26,Players!$A$2:$A$100,0),MATCH("Przegląd",Players!$A$1:$R$1,0))+PozycjeŚr!U$5*INDEX(Zawodnicy[],MATCH($A26,Players!$A$2:$A$100,0),MATCH("Podania dołem",Players!$A$1:$R$1,0))+PozycjeŚr!U$6*INDEX(Zawodnicy[],MATCH($A26,Players!$A$2:$A$100,0),MATCH("Strzał",Players!$A$1:$R$1,0))+PozycjeŚr!U$7*INDEX(Zawodnicy[],MATCH($A26,Players!$A$2:$A$100,0),MATCH("Gra głową",Players!$A$1:$R$1,0))+PozycjeŚr!U$8*INDEX(Zawodnicy[],MATCH($A26,Players!$A$2:$A$100,0),MATCH("Gra na bramce",Players!$A$1:$R$1,0))+PozycjeŚr!U$9*INDEX(Zawodnicy[],MATCH($A26,Players!$A$2:$A$100,0),MATCH("Panowanie",Players!$A$1:$R$1,0))+PozycjeŚr!U$10*INDEX(Zawodnicy[],MATCH($A26,Players!$A$2:$A$100,0),MATCH("Odbiór piłki",Players!$A$1:$R$1,0))+PozycjeŚr!U$11*INDEX(Zawodnicy[],MATCH($A26,Players!$A$2:$A$100,0),MATCH("Podania górą",Players!$A$1:$R$1,0))</f>
        <v>#N/A</v>
      </c>
      <c r="K26" s="16" t="e">
        <f>PozycjeŚr!V$2*INDEX(Zawodnicy[],MATCH($A26,Players!$A$2:$A$100,0),MATCH("Szybkość",Players!$A$1:$R$1,0))+PozycjeŚr!V$3*INDEX(Zawodnicy[],MATCH($A26,Players!$A$2:$A$100,0),MATCH("Kondycja",Players!$A$1:$R$1,0))+PozycjeŚr!V$4*INDEX(Zawodnicy[],MATCH($A26,Players!$A$2:$A$100,0),MATCH("Przegląd",Players!$A$1:$R$1,0))+PozycjeŚr!V$5*INDEX(Zawodnicy[],MATCH($A26,Players!$A$2:$A$100,0),MATCH("Podania dołem",Players!$A$1:$R$1,0))+PozycjeŚr!V$6*INDEX(Zawodnicy[],MATCH($A26,Players!$A$2:$A$100,0),MATCH("Strzał",Players!$A$1:$R$1,0))+PozycjeŚr!V$7*INDEX(Zawodnicy[],MATCH($A26,Players!$A$2:$A$100,0),MATCH("Gra głową",Players!$A$1:$R$1,0))+PozycjeŚr!V$8*INDEX(Zawodnicy[],MATCH($A26,Players!$A$2:$A$100,0),MATCH("Gra na bramce",Players!$A$1:$R$1,0))+PozycjeŚr!V$9*INDEX(Zawodnicy[],MATCH($A26,Players!$A$2:$A$100,0),MATCH("Panowanie",Players!$A$1:$R$1,0))+PozycjeŚr!V$10*INDEX(Zawodnicy[],MATCH($A26,Players!$A$2:$A$100,0),MATCH("Odbiór piłki",Players!$A$1:$R$1,0))+PozycjeŚr!V$11*INDEX(Zawodnicy[],MATCH($A26,Players!$A$2:$A$100,0),MATCH("Podania górą",Players!$A$1:$R$1,0))</f>
        <v>#N/A</v>
      </c>
      <c r="L26" s="16" t="e">
        <f>PozycjeŚr!W$2*INDEX(Zawodnicy[],MATCH($A26,Players!$A$2:$A$100,0),MATCH("Szybkość",Players!$A$1:$R$1,0))+PozycjeŚr!W$3*INDEX(Zawodnicy[],MATCH($A26,Players!$A$2:$A$100,0),MATCH("Kondycja",Players!$A$1:$R$1,0))+PozycjeŚr!W$4*INDEX(Zawodnicy[],MATCH($A26,Players!$A$2:$A$100,0),MATCH("Przegląd",Players!$A$1:$R$1,0))+PozycjeŚr!W$5*INDEX(Zawodnicy[],MATCH($A26,Players!$A$2:$A$100,0),MATCH("Podania dołem",Players!$A$1:$R$1,0))+PozycjeŚr!W$6*INDEX(Zawodnicy[],MATCH($A26,Players!$A$2:$A$100,0),MATCH("Strzał",Players!$A$1:$R$1,0))+PozycjeŚr!W$7*INDEX(Zawodnicy[],MATCH($A26,Players!$A$2:$A$100,0),MATCH("Gra głową",Players!$A$1:$R$1,0))+PozycjeŚr!W$8*INDEX(Zawodnicy[],MATCH($A26,Players!$A$2:$A$100,0),MATCH("Gra na bramce",Players!$A$1:$R$1,0))+PozycjeŚr!W$9*INDEX(Zawodnicy[],MATCH($A26,Players!$A$2:$A$100,0),MATCH("Panowanie",Players!$A$1:$R$1,0))+PozycjeŚr!W$10*INDEX(Zawodnicy[],MATCH($A26,Players!$A$2:$A$100,0),MATCH("Odbiór piłki",Players!$A$1:$R$1,0))+PozycjeŚr!W$11*INDEX(Zawodnicy[],MATCH($A26,Players!$A$2:$A$100,0),MATCH("Podania górą",Players!$A$1:$R$1,0))</f>
        <v>#N/A</v>
      </c>
    </row>
    <row r="27" spans="1:12" x14ac:dyDescent="0.25">
      <c r="A27" s="39">
        <f>IFERROR(Zawodnicy[[#This Row],[Number]],"-")</f>
        <v>46</v>
      </c>
      <c r="B27" t="str">
        <f>VLOOKUP(Radar[[#This Row],[Numer]],Zawodnicy[],2,FALSE)</f>
        <v>Iwo Duszenski</v>
      </c>
      <c r="C27" s="16" t="e">
        <f>PozycjeŚr!N$2*INDEX(Zawodnicy[],MATCH($A27,Players!$A$2:$A$100,0),MATCH("Szybkość",Players!$A$1:$R$1,0))+PozycjeŚr!N$3*INDEX(Zawodnicy[],MATCH($A27,Players!$A$2:$A$100,0),MATCH("Kondycja",Players!$A$1:$R$1,0))+PozycjeŚr!N$4*INDEX(Zawodnicy[],MATCH($A27,Players!$A$2:$A$100,0),MATCH("Przegląd",Players!$A$1:$R$1,0))+PozycjeŚr!N$5*INDEX(Zawodnicy[],MATCH($A27,Players!$A$2:$A$100,0),MATCH("Podania dołem",Players!$A$1:$R$1,0))+PozycjeŚr!N$6*INDEX(Zawodnicy[],MATCH($A27,Players!$A$2:$A$100,0),MATCH("Strzał",Players!$A$1:$R$1,0))+PozycjeŚr!N$7*INDEX(Zawodnicy[],MATCH($A27,Players!$A$2:$A$100,0),MATCH("Gra głową",Players!$A$1:$R$1,0))+PozycjeŚr!N$8*INDEX(Zawodnicy[],MATCH($A27,Players!$A$2:$A$100,0),MATCH("Gra na bramce",Players!$A$1:$R$1,0))+PozycjeŚr!N$9*INDEX(Zawodnicy[],MATCH($A27,Players!$A$2:$A$100,0),MATCH("Panowanie",Players!$A$1:$R$1,0))+PozycjeŚr!N$10*INDEX(Zawodnicy[],MATCH($A27,Players!$A$2:$A$100,0),MATCH("Odbiór piłki",Players!$A$1:$R$1,0))+PozycjeŚr!N$11*INDEX(Zawodnicy[],MATCH($A27,Players!$A$2:$A$100,0),MATCH("Podania górą",Players!$A$1:$R$1,0))</f>
        <v>#N/A</v>
      </c>
      <c r="D27" s="16" t="e">
        <f>PozycjeŚr!O$2*INDEX(Zawodnicy[],MATCH($A27,Players!$A$2:$A$100,0),MATCH("Szybkość",Players!$A$1:$R$1,0))+PozycjeŚr!O$3*INDEX(Zawodnicy[],MATCH($A27,Players!$A$2:$A$100,0),MATCH("Kondycja",Players!$A$1:$R$1,0))+PozycjeŚr!O$4*INDEX(Zawodnicy[],MATCH($A27,Players!$A$2:$A$100,0),MATCH("Przegląd",Players!$A$1:$R$1,0))+PozycjeŚr!O$5*INDEX(Zawodnicy[],MATCH($A27,Players!$A$2:$A$100,0),MATCH("Podania dołem",Players!$A$1:$R$1,0))+PozycjeŚr!O$6*INDEX(Zawodnicy[],MATCH($A27,Players!$A$2:$A$100,0),MATCH("Strzał",Players!$A$1:$R$1,0))+PozycjeŚr!O$7*INDEX(Zawodnicy[],MATCH($A27,Players!$A$2:$A$100,0),MATCH("Gra głową",Players!$A$1:$R$1,0))+PozycjeŚr!O$8*INDEX(Zawodnicy[],MATCH($A27,Players!$A$2:$A$100,0),MATCH("Gra na bramce",Players!$A$1:$R$1,0))+PozycjeŚr!O$9*INDEX(Zawodnicy[],MATCH($A27,Players!$A$2:$A$100,0),MATCH("Panowanie",Players!$A$1:$R$1,0))+PozycjeŚr!O$10*INDEX(Zawodnicy[],MATCH($A27,Players!$A$2:$A$100,0),MATCH("Odbiór piłki",Players!$A$1:$R$1,0))+PozycjeŚr!O$11*INDEX(Zawodnicy[],MATCH($A27,Players!$A$2:$A$100,0),MATCH("Podania górą",Players!$A$1:$R$1,0))</f>
        <v>#N/A</v>
      </c>
      <c r="E27" s="16" t="e">
        <f>PozycjeŚr!P$2*INDEX(Zawodnicy[],MATCH($A27,Players!$A$2:$A$100,0),MATCH("Szybkość",Players!$A$1:$R$1,0))+PozycjeŚr!P$3*INDEX(Zawodnicy[],MATCH($A27,Players!$A$2:$A$100,0),MATCH("Kondycja",Players!$A$1:$R$1,0))+PozycjeŚr!P$4*INDEX(Zawodnicy[],MATCH($A27,Players!$A$2:$A$100,0),MATCH("Przegląd",Players!$A$1:$R$1,0))+PozycjeŚr!P$5*INDEX(Zawodnicy[],MATCH($A27,Players!$A$2:$A$100,0),MATCH("Podania dołem",Players!$A$1:$R$1,0))+PozycjeŚr!P$6*INDEX(Zawodnicy[],MATCH($A27,Players!$A$2:$A$100,0),MATCH("Strzał",Players!$A$1:$R$1,0))+PozycjeŚr!P$7*INDEX(Zawodnicy[],MATCH($A27,Players!$A$2:$A$100,0),MATCH("Gra głową",Players!$A$1:$R$1,0))+PozycjeŚr!P$8*INDEX(Zawodnicy[],MATCH($A27,Players!$A$2:$A$100,0),MATCH("Gra na bramce",Players!$A$1:$R$1,0))+PozycjeŚr!P$9*INDEX(Zawodnicy[],MATCH($A27,Players!$A$2:$A$100,0),MATCH("Panowanie",Players!$A$1:$R$1,0))+PozycjeŚr!P$10*INDEX(Zawodnicy[],MATCH($A27,Players!$A$2:$A$100,0),MATCH("Odbiór piłki",Players!$A$1:$R$1,0))+PozycjeŚr!P$11*INDEX(Zawodnicy[],MATCH($A27,Players!$A$2:$A$100,0),MATCH("Podania górą",Players!$A$1:$R$1,0))</f>
        <v>#N/A</v>
      </c>
      <c r="F27" s="16" t="e">
        <f>PozycjeŚr!Q$2*INDEX(Zawodnicy[],MATCH($A27,Players!$A$2:$A$100,0),MATCH("Szybkość",Players!$A$1:$R$1,0))+PozycjeŚr!Q$3*INDEX(Zawodnicy[],MATCH($A27,Players!$A$2:$A$100,0),MATCH("Kondycja",Players!$A$1:$R$1,0))+PozycjeŚr!Q$4*INDEX(Zawodnicy[],MATCH($A27,Players!$A$2:$A$100,0),MATCH("Przegląd",Players!$A$1:$R$1,0))+PozycjeŚr!Q$5*INDEX(Zawodnicy[],MATCH($A27,Players!$A$2:$A$100,0),MATCH("Podania dołem",Players!$A$1:$R$1,0))+PozycjeŚr!Q$6*INDEX(Zawodnicy[],MATCH($A27,Players!$A$2:$A$100,0),MATCH("Strzał",Players!$A$1:$R$1,0))+PozycjeŚr!Q$7*INDEX(Zawodnicy[],MATCH($A27,Players!$A$2:$A$100,0),MATCH("Gra głową",Players!$A$1:$R$1,0))+PozycjeŚr!Q$8*INDEX(Zawodnicy[],MATCH($A27,Players!$A$2:$A$100,0),MATCH("Gra na bramce",Players!$A$1:$R$1,0))+PozycjeŚr!Q$9*INDEX(Zawodnicy[],MATCH($A27,Players!$A$2:$A$100,0),MATCH("Panowanie",Players!$A$1:$R$1,0))+PozycjeŚr!Q$10*INDEX(Zawodnicy[],MATCH($A27,Players!$A$2:$A$100,0),MATCH("Odbiór piłki",Players!$A$1:$R$1,0))+PozycjeŚr!Q$11*INDEX(Zawodnicy[],MATCH($A27,Players!$A$2:$A$100,0),MATCH("Podania górą",Players!$A$1:$R$1,0))</f>
        <v>#N/A</v>
      </c>
      <c r="G27" s="16" t="e">
        <f>PozycjeŚr!R$2*INDEX(Zawodnicy[],MATCH($A27,Players!$A$2:$A$100,0),MATCH("Szybkość",Players!$A$1:$R$1,0))+PozycjeŚr!R$3*INDEX(Zawodnicy[],MATCH($A27,Players!$A$2:$A$100,0),MATCH("Kondycja",Players!$A$1:$R$1,0))+PozycjeŚr!R$4*INDEX(Zawodnicy[],MATCH($A27,Players!$A$2:$A$100,0),MATCH("Przegląd",Players!$A$1:$R$1,0))+PozycjeŚr!R$5*INDEX(Zawodnicy[],MATCH($A27,Players!$A$2:$A$100,0),MATCH("Podania dołem",Players!$A$1:$R$1,0))+PozycjeŚr!R$6*INDEX(Zawodnicy[],MATCH($A27,Players!$A$2:$A$100,0),MATCH("Strzał",Players!$A$1:$R$1,0))+PozycjeŚr!R$7*INDEX(Zawodnicy[],MATCH($A27,Players!$A$2:$A$100,0),MATCH("Gra głową",Players!$A$1:$R$1,0))+PozycjeŚr!R$8*INDEX(Zawodnicy[],MATCH($A27,Players!$A$2:$A$100,0),MATCH("Gra na bramce",Players!$A$1:$R$1,0))+PozycjeŚr!R$9*INDEX(Zawodnicy[],MATCH($A27,Players!$A$2:$A$100,0),MATCH("Panowanie",Players!$A$1:$R$1,0))+PozycjeŚr!R$10*INDEX(Zawodnicy[],MATCH($A27,Players!$A$2:$A$100,0),MATCH("Odbiór piłki",Players!$A$1:$R$1,0))+PozycjeŚr!R$11*INDEX(Zawodnicy[],MATCH($A27,Players!$A$2:$A$100,0),MATCH("Podania górą",Players!$A$1:$R$1,0))</f>
        <v>#N/A</v>
      </c>
      <c r="H27" s="16" t="e">
        <f>PozycjeŚr!S$2*INDEX(Zawodnicy[],MATCH($A27,Players!$A$2:$A$100,0),MATCH("Szybkość",Players!$A$1:$R$1,0))+PozycjeŚr!S$3*INDEX(Zawodnicy[],MATCH($A27,Players!$A$2:$A$100,0),MATCH("Kondycja",Players!$A$1:$R$1,0))+PozycjeŚr!S$4*INDEX(Zawodnicy[],MATCH($A27,Players!$A$2:$A$100,0),MATCH("Przegląd",Players!$A$1:$R$1,0))+PozycjeŚr!S$5*INDEX(Zawodnicy[],MATCH($A27,Players!$A$2:$A$100,0),MATCH("Podania dołem",Players!$A$1:$R$1,0))+PozycjeŚr!S$6*INDEX(Zawodnicy[],MATCH($A27,Players!$A$2:$A$100,0),MATCH("Strzał",Players!$A$1:$R$1,0))+PozycjeŚr!S$7*INDEX(Zawodnicy[],MATCH($A27,Players!$A$2:$A$100,0),MATCH("Gra głową",Players!$A$1:$R$1,0))+PozycjeŚr!S$8*INDEX(Zawodnicy[],MATCH($A27,Players!$A$2:$A$100,0),MATCH("Gra na bramce",Players!$A$1:$R$1,0))+PozycjeŚr!S$9*INDEX(Zawodnicy[],MATCH($A27,Players!$A$2:$A$100,0),MATCH("Panowanie",Players!$A$1:$R$1,0))+PozycjeŚr!S$10*INDEX(Zawodnicy[],MATCH($A27,Players!$A$2:$A$100,0),MATCH("Odbiór piłki",Players!$A$1:$R$1,0))+PozycjeŚr!S$11*INDEX(Zawodnicy[],MATCH($A27,Players!$A$2:$A$100,0),MATCH("Podania górą",Players!$A$1:$R$1,0))</f>
        <v>#N/A</v>
      </c>
      <c r="I27" s="16" t="e">
        <f>PozycjeŚr!T$2*INDEX(Zawodnicy[],MATCH($A27,Players!$A$2:$A$100,0),MATCH("Szybkość",Players!$A$1:$R$1,0))+PozycjeŚr!T$3*INDEX(Zawodnicy[],MATCH($A27,Players!$A$2:$A$100,0),MATCH("Kondycja",Players!$A$1:$R$1,0))+PozycjeŚr!T$4*INDEX(Zawodnicy[],MATCH($A27,Players!$A$2:$A$100,0),MATCH("Przegląd",Players!$A$1:$R$1,0))+PozycjeŚr!T$5*INDEX(Zawodnicy[],MATCH($A27,Players!$A$2:$A$100,0),MATCH("Podania dołem",Players!$A$1:$R$1,0))+PozycjeŚr!T$6*INDEX(Zawodnicy[],MATCH($A27,Players!$A$2:$A$100,0),MATCH("Strzał",Players!$A$1:$R$1,0))+PozycjeŚr!T$7*INDEX(Zawodnicy[],MATCH($A27,Players!$A$2:$A$100,0),MATCH("Gra głową",Players!$A$1:$R$1,0))+PozycjeŚr!T$8*INDEX(Zawodnicy[],MATCH($A27,Players!$A$2:$A$100,0),MATCH("Gra na bramce",Players!$A$1:$R$1,0))+PozycjeŚr!T$9*INDEX(Zawodnicy[],MATCH($A27,Players!$A$2:$A$100,0),MATCH("Panowanie",Players!$A$1:$R$1,0))+PozycjeŚr!T$10*INDEX(Zawodnicy[],MATCH($A27,Players!$A$2:$A$100,0),MATCH("Odbiór piłki",Players!$A$1:$R$1,0))+PozycjeŚr!T$11*INDEX(Zawodnicy[],MATCH($A27,Players!$A$2:$A$100,0),MATCH("Podania górą",Players!$A$1:$R$1,0))</f>
        <v>#N/A</v>
      </c>
      <c r="J27" s="16" t="e">
        <f>PozycjeŚr!U$2*INDEX(Zawodnicy[],MATCH($A27,Players!$A$2:$A$100,0),MATCH("Szybkość",Players!$A$1:$R$1,0))+PozycjeŚr!U$3*INDEX(Zawodnicy[],MATCH($A27,Players!$A$2:$A$100,0),MATCH("Kondycja",Players!$A$1:$R$1,0))+PozycjeŚr!U$4*INDEX(Zawodnicy[],MATCH($A27,Players!$A$2:$A$100,0),MATCH("Przegląd",Players!$A$1:$R$1,0))+PozycjeŚr!U$5*INDEX(Zawodnicy[],MATCH($A27,Players!$A$2:$A$100,0),MATCH("Podania dołem",Players!$A$1:$R$1,0))+PozycjeŚr!U$6*INDEX(Zawodnicy[],MATCH($A27,Players!$A$2:$A$100,0),MATCH("Strzał",Players!$A$1:$R$1,0))+PozycjeŚr!U$7*INDEX(Zawodnicy[],MATCH($A27,Players!$A$2:$A$100,0),MATCH("Gra głową",Players!$A$1:$R$1,0))+PozycjeŚr!U$8*INDEX(Zawodnicy[],MATCH($A27,Players!$A$2:$A$100,0),MATCH("Gra na bramce",Players!$A$1:$R$1,0))+PozycjeŚr!U$9*INDEX(Zawodnicy[],MATCH($A27,Players!$A$2:$A$100,0),MATCH("Panowanie",Players!$A$1:$R$1,0))+PozycjeŚr!U$10*INDEX(Zawodnicy[],MATCH($A27,Players!$A$2:$A$100,0),MATCH("Odbiór piłki",Players!$A$1:$R$1,0))+PozycjeŚr!U$11*INDEX(Zawodnicy[],MATCH($A27,Players!$A$2:$A$100,0),MATCH("Podania górą",Players!$A$1:$R$1,0))</f>
        <v>#N/A</v>
      </c>
      <c r="K27" s="16" t="e">
        <f>PozycjeŚr!V$2*INDEX(Zawodnicy[],MATCH($A27,Players!$A$2:$A$100,0),MATCH("Szybkość",Players!$A$1:$R$1,0))+PozycjeŚr!V$3*INDEX(Zawodnicy[],MATCH($A27,Players!$A$2:$A$100,0),MATCH("Kondycja",Players!$A$1:$R$1,0))+PozycjeŚr!V$4*INDEX(Zawodnicy[],MATCH($A27,Players!$A$2:$A$100,0),MATCH("Przegląd",Players!$A$1:$R$1,0))+PozycjeŚr!V$5*INDEX(Zawodnicy[],MATCH($A27,Players!$A$2:$A$100,0),MATCH("Podania dołem",Players!$A$1:$R$1,0))+PozycjeŚr!V$6*INDEX(Zawodnicy[],MATCH($A27,Players!$A$2:$A$100,0),MATCH("Strzał",Players!$A$1:$R$1,0))+PozycjeŚr!V$7*INDEX(Zawodnicy[],MATCH($A27,Players!$A$2:$A$100,0),MATCH("Gra głową",Players!$A$1:$R$1,0))+PozycjeŚr!V$8*INDEX(Zawodnicy[],MATCH($A27,Players!$A$2:$A$100,0),MATCH("Gra na bramce",Players!$A$1:$R$1,0))+PozycjeŚr!V$9*INDEX(Zawodnicy[],MATCH($A27,Players!$A$2:$A$100,0),MATCH("Panowanie",Players!$A$1:$R$1,0))+PozycjeŚr!V$10*INDEX(Zawodnicy[],MATCH($A27,Players!$A$2:$A$100,0),MATCH("Odbiór piłki",Players!$A$1:$R$1,0))+PozycjeŚr!V$11*INDEX(Zawodnicy[],MATCH($A27,Players!$A$2:$A$100,0),MATCH("Podania górą",Players!$A$1:$R$1,0))</f>
        <v>#N/A</v>
      </c>
      <c r="L27" s="16" t="e">
        <f>PozycjeŚr!W$2*INDEX(Zawodnicy[],MATCH($A27,Players!$A$2:$A$100,0),MATCH("Szybkość",Players!$A$1:$R$1,0))+PozycjeŚr!W$3*INDEX(Zawodnicy[],MATCH($A27,Players!$A$2:$A$100,0),MATCH("Kondycja",Players!$A$1:$R$1,0))+PozycjeŚr!W$4*INDEX(Zawodnicy[],MATCH($A27,Players!$A$2:$A$100,0),MATCH("Przegląd",Players!$A$1:$R$1,0))+PozycjeŚr!W$5*INDEX(Zawodnicy[],MATCH($A27,Players!$A$2:$A$100,0),MATCH("Podania dołem",Players!$A$1:$R$1,0))+PozycjeŚr!W$6*INDEX(Zawodnicy[],MATCH($A27,Players!$A$2:$A$100,0),MATCH("Strzał",Players!$A$1:$R$1,0))+PozycjeŚr!W$7*INDEX(Zawodnicy[],MATCH($A27,Players!$A$2:$A$100,0),MATCH("Gra głową",Players!$A$1:$R$1,0))+PozycjeŚr!W$8*INDEX(Zawodnicy[],MATCH($A27,Players!$A$2:$A$100,0),MATCH("Gra na bramce",Players!$A$1:$R$1,0))+PozycjeŚr!W$9*INDEX(Zawodnicy[],MATCH($A27,Players!$A$2:$A$100,0),MATCH("Panowanie",Players!$A$1:$R$1,0))+PozycjeŚr!W$10*INDEX(Zawodnicy[],MATCH($A27,Players!$A$2:$A$100,0),MATCH("Odbiór piłki",Players!$A$1:$R$1,0))+PozycjeŚr!W$11*INDEX(Zawodnicy[],MATCH($A27,Players!$A$2:$A$100,0),MATCH("Podania górą",Players!$A$1:$R$1,0))</f>
        <v>#N/A</v>
      </c>
    </row>
    <row r="28" spans="1:12" x14ac:dyDescent="0.25">
      <c r="A28" s="39">
        <f>IFERROR(Zawodnicy[[#This Row],[Number]],"-")</f>
        <v>48</v>
      </c>
      <c r="B28" t="str">
        <f>VLOOKUP(Radar[[#This Row],[Numer]],Zawodnicy[],2,FALSE)</f>
        <v>Wincenty Zawaski</v>
      </c>
      <c r="C28" s="16" t="e">
        <f>PozycjeŚr!N$2*INDEX(Zawodnicy[],MATCH($A28,Players!$A$2:$A$100,0),MATCH("Szybkość",Players!$A$1:$R$1,0))+PozycjeŚr!N$3*INDEX(Zawodnicy[],MATCH($A28,Players!$A$2:$A$100,0),MATCH("Kondycja",Players!$A$1:$R$1,0))+PozycjeŚr!N$4*INDEX(Zawodnicy[],MATCH($A28,Players!$A$2:$A$100,0),MATCH("Przegląd",Players!$A$1:$R$1,0))+PozycjeŚr!N$5*INDEX(Zawodnicy[],MATCH($A28,Players!$A$2:$A$100,0),MATCH("Podania dołem",Players!$A$1:$R$1,0))+PozycjeŚr!N$6*INDEX(Zawodnicy[],MATCH($A28,Players!$A$2:$A$100,0),MATCH("Strzał",Players!$A$1:$R$1,0))+PozycjeŚr!N$7*INDEX(Zawodnicy[],MATCH($A28,Players!$A$2:$A$100,0),MATCH("Gra głową",Players!$A$1:$R$1,0))+PozycjeŚr!N$8*INDEX(Zawodnicy[],MATCH($A28,Players!$A$2:$A$100,0),MATCH("Gra na bramce",Players!$A$1:$R$1,0))+PozycjeŚr!N$9*INDEX(Zawodnicy[],MATCH($A28,Players!$A$2:$A$100,0),MATCH("Panowanie",Players!$A$1:$R$1,0))+PozycjeŚr!N$10*INDEX(Zawodnicy[],MATCH($A28,Players!$A$2:$A$100,0),MATCH("Odbiór piłki",Players!$A$1:$R$1,0))+PozycjeŚr!N$11*INDEX(Zawodnicy[],MATCH($A28,Players!$A$2:$A$100,0),MATCH("Podania górą",Players!$A$1:$R$1,0))</f>
        <v>#N/A</v>
      </c>
      <c r="D28" s="16" t="e">
        <f>PozycjeŚr!O$2*INDEX(Zawodnicy[],MATCH($A28,Players!$A$2:$A$100,0),MATCH("Szybkość",Players!$A$1:$R$1,0))+PozycjeŚr!O$3*INDEX(Zawodnicy[],MATCH($A28,Players!$A$2:$A$100,0),MATCH("Kondycja",Players!$A$1:$R$1,0))+PozycjeŚr!O$4*INDEX(Zawodnicy[],MATCH($A28,Players!$A$2:$A$100,0),MATCH("Przegląd",Players!$A$1:$R$1,0))+PozycjeŚr!O$5*INDEX(Zawodnicy[],MATCH($A28,Players!$A$2:$A$100,0),MATCH("Podania dołem",Players!$A$1:$R$1,0))+PozycjeŚr!O$6*INDEX(Zawodnicy[],MATCH($A28,Players!$A$2:$A$100,0),MATCH("Strzał",Players!$A$1:$R$1,0))+PozycjeŚr!O$7*INDEX(Zawodnicy[],MATCH($A28,Players!$A$2:$A$100,0),MATCH("Gra głową",Players!$A$1:$R$1,0))+PozycjeŚr!O$8*INDEX(Zawodnicy[],MATCH($A28,Players!$A$2:$A$100,0),MATCH("Gra na bramce",Players!$A$1:$R$1,0))+PozycjeŚr!O$9*INDEX(Zawodnicy[],MATCH($A28,Players!$A$2:$A$100,0),MATCH("Panowanie",Players!$A$1:$R$1,0))+PozycjeŚr!O$10*INDEX(Zawodnicy[],MATCH($A28,Players!$A$2:$A$100,0),MATCH("Odbiór piłki",Players!$A$1:$R$1,0))+PozycjeŚr!O$11*INDEX(Zawodnicy[],MATCH($A28,Players!$A$2:$A$100,0),MATCH("Podania górą",Players!$A$1:$R$1,0))</f>
        <v>#N/A</v>
      </c>
      <c r="E28" s="16" t="e">
        <f>PozycjeŚr!P$2*INDEX(Zawodnicy[],MATCH($A28,Players!$A$2:$A$100,0),MATCH("Szybkość",Players!$A$1:$R$1,0))+PozycjeŚr!P$3*INDEX(Zawodnicy[],MATCH($A28,Players!$A$2:$A$100,0),MATCH("Kondycja",Players!$A$1:$R$1,0))+PozycjeŚr!P$4*INDEX(Zawodnicy[],MATCH($A28,Players!$A$2:$A$100,0),MATCH("Przegląd",Players!$A$1:$R$1,0))+PozycjeŚr!P$5*INDEX(Zawodnicy[],MATCH($A28,Players!$A$2:$A$100,0),MATCH("Podania dołem",Players!$A$1:$R$1,0))+PozycjeŚr!P$6*INDEX(Zawodnicy[],MATCH($A28,Players!$A$2:$A$100,0),MATCH("Strzał",Players!$A$1:$R$1,0))+PozycjeŚr!P$7*INDEX(Zawodnicy[],MATCH($A28,Players!$A$2:$A$100,0),MATCH("Gra głową",Players!$A$1:$R$1,0))+PozycjeŚr!P$8*INDEX(Zawodnicy[],MATCH($A28,Players!$A$2:$A$100,0),MATCH("Gra na bramce",Players!$A$1:$R$1,0))+PozycjeŚr!P$9*INDEX(Zawodnicy[],MATCH($A28,Players!$A$2:$A$100,0),MATCH("Panowanie",Players!$A$1:$R$1,0))+PozycjeŚr!P$10*INDEX(Zawodnicy[],MATCH($A28,Players!$A$2:$A$100,0),MATCH("Odbiór piłki",Players!$A$1:$R$1,0))+PozycjeŚr!P$11*INDEX(Zawodnicy[],MATCH($A28,Players!$A$2:$A$100,0),MATCH("Podania górą",Players!$A$1:$R$1,0))</f>
        <v>#N/A</v>
      </c>
      <c r="F28" s="16" t="e">
        <f>PozycjeŚr!Q$2*INDEX(Zawodnicy[],MATCH($A28,Players!$A$2:$A$100,0),MATCH("Szybkość",Players!$A$1:$R$1,0))+PozycjeŚr!Q$3*INDEX(Zawodnicy[],MATCH($A28,Players!$A$2:$A$100,0),MATCH("Kondycja",Players!$A$1:$R$1,0))+PozycjeŚr!Q$4*INDEX(Zawodnicy[],MATCH($A28,Players!$A$2:$A$100,0),MATCH("Przegląd",Players!$A$1:$R$1,0))+PozycjeŚr!Q$5*INDEX(Zawodnicy[],MATCH($A28,Players!$A$2:$A$100,0),MATCH("Podania dołem",Players!$A$1:$R$1,0))+PozycjeŚr!Q$6*INDEX(Zawodnicy[],MATCH($A28,Players!$A$2:$A$100,0),MATCH("Strzał",Players!$A$1:$R$1,0))+PozycjeŚr!Q$7*INDEX(Zawodnicy[],MATCH($A28,Players!$A$2:$A$100,0),MATCH("Gra głową",Players!$A$1:$R$1,0))+PozycjeŚr!Q$8*INDEX(Zawodnicy[],MATCH($A28,Players!$A$2:$A$100,0),MATCH("Gra na bramce",Players!$A$1:$R$1,0))+PozycjeŚr!Q$9*INDEX(Zawodnicy[],MATCH($A28,Players!$A$2:$A$100,0),MATCH("Panowanie",Players!$A$1:$R$1,0))+PozycjeŚr!Q$10*INDEX(Zawodnicy[],MATCH($A28,Players!$A$2:$A$100,0),MATCH("Odbiór piłki",Players!$A$1:$R$1,0))+PozycjeŚr!Q$11*INDEX(Zawodnicy[],MATCH($A28,Players!$A$2:$A$100,0),MATCH("Podania górą",Players!$A$1:$R$1,0))</f>
        <v>#N/A</v>
      </c>
      <c r="G28" s="16" t="e">
        <f>PozycjeŚr!R$2*INDEX(Zawodnicy[],MATCH($A28,Players!$A$2:$A$100,0),MATCH("Szybkość",Players!$A$1:$R$1,0))+PozycjeŚr!R$3*INDEX(Zawodnicy[],MATCH($A28,Players!$A$2:$A$100,0),MATCH("Kondycja",Players!$A$1:$R$1,0))+PozycjeŚr!R$4*INDEX(Zawodnicy[],MATCH($A28,Players!$A$2:$A$100,0),MATCH("Przegląd",Players!$A$1:$R$1,0))+PozycjeŚr!R$5*INDEX(Zawodnicy[],MATCH($A28,Players!$A$2:$A$100,0),MATCH("Podania dołem",Players!$A$1:$R$1,0))+PozycjeŚr!R$6*INDEX(Zawodnicy[],MATCH($A28,Players!$A$2:$A$100,0),MATCH("Strzał",Players!$A$1:$R$1,0))+PozycjeŚr!R$7*INDEX(Zawodnicy[],MATCH($A28,Players!$A$2:$A$100,0),MATCH("Gra głową",Players!$A$1:$R$1,0))+PozycjeŚr!R$8*INDEX(Zawodnicy[],MATCH($A28,Players!$A$2:$A$100,0),MATCH("Gra na bramce",Players!$A$1:$R$1,0))+PozycjeŚr!R$9*INDEX(Zawodnicy[],MATCH($A28,Players!$A$2:$A$100,0),MATCH("Panowanie",Players!$A$1:$R$1,0))+PozycjeŚr!R$10*INDEX(Zawodnicy[],MATCH($A28,Players!$A$2:$A$100,0),MATCH("Odbiór piłki",Players!$A$1:$R$1,0))+PozycjeŚr!R$11*INDEX(Zawodnicy[],MATCH($A28,Players!$A$2:$A$100,0),MATCH("Podania górą",Players!$A$1:$R$1,0))</f>
        <v>#N/A</v>
      </c>
      <c r="H28" s="16" t="e">
        <f>PozycjeŚr!S$2*INDEX(Zawodnicy[],MATCH($A28,Players!$A$2:$A$100,0),MATCH("Szybkość",Players!$A$1:$R$1,0))+PozycjeŚr!S$3*INDEX(Zawodnicy[],MATCH($A28,Players!$A$2:$A$100,0),MATCH("Kondycja",Players!$A$1:$R$1,0))+PozycjeŚr!S$4*INDEX(Zawodnicy[],MATCH($A28,Players!$A$2:$A$100,0),MATCH("Przegląd",Players!$A$1:$R$1,0))+PozycjeŚr!S$5*INDEX(Zawodnicy[],MATCH($A28,Players!$A$2:$A$100,0),MATCH("Podania dołem",Players!$A$1:$R$1,0))+PozycjeŚr!S$6*INDEX(Zawodnicy[],MATCH($A28,Players!$A$2:$A$100,0),MATCH("Strzał",Players!$A$1:$R$1,0))+PozycjeŚr!S$7*INDEX(Zawodnicy[],MATCH($A28,Players!$A$2:$A$100,0),MATCH("Gra głową",Players!$A$1:$R$1,0))+PozycjeŚr!S$8*INDEX(Zawodnicy[],MATCH($A28,Players!$A$2:$A$100,0),MATCH("Gra na bramce",Players!$A$1:$R$1,0))+PozycjeŚr!S$9*INDEX(Zawodnicy[],MATCH($A28,Players!$A$2:$A$100,0),MATCH("Panowanie",Players!$A$1:$R$1,0))+PozycjeŚr!S$10*INDEX(Zawodnicy[],MATCH($A28,Players!$A$2:$A$100,0),MATCH("Odbiór piłki",Players!$A$1:$R$1,0))+PozycjeŚr!S$11*INDEX(Zawodnicy[],MATCH($A28,Players!$A$2:$A$100,0),MATCH("Podania górą",Players!$A$1:$R$1,0))</f>
        <v>#N/A</v>
      </c>
      <c r="I28" s="16" t="e">
        <f>PozycjeŚr!T$2*INDEX(Zawodnicy[],MATCH($A28,Players!$A$2:$A$100,0),MATCH("Szybkość",Players!$A$1:$R$1,0))+PozycjeŚr!T$3*INDEX(Zawodnicy[],MATCH($A28,Players!$A$2:$A$100,0),MATCH("Kondycja",Players!$A$1:$R$1,0))+PozycjeŚr!T$4*INDEX(Zawodnicy[],MATCH($A28,Players!$A$2:$A$100,0),MATCH("Przegląd",Players!$A$1:$R$1,0))+PozycjeŚr!T$5*INDEX(Zawodnicy[],MATCH($A28,Players!$A$2:$A$100,0),MATCH("Podania dołem",Players!$A$1:$R$1,0))+PozycjeŚr!T$6*INDEX(Zawodnicy[],MATCH($A28,Players!$A$2:$A$100,0),MATCH("Strzał",Players!$A$1:$R$1,0))+PozycjeŚr!T$7*INDEX(Zawodnicy[],MATCH($A28,Players!$A$2:$A$100,0),MATCH("Gra głową",Players!$A$1:$R$1,0))+PozycjeŚr!T$8*INDEX(Zawodnicy[],MATCH($A28,Players!$A$2:$A$100,0),MATCH("Gra na bramce",Players!$A$1:$R$1,0))+PozycjeŚr!T$9*INDEX(Zawodnicy[],MATCH($A28,Players!$A$2:$A$100,0),MATCH("Panowanie",Players!$A$1:$R$1,0))+PozycjeŚr!T$10*INDEX(Zawodnicy[],MATCH($A28,Players!$A$2:$A$100,0),MATCH("Odbiór piłki",Players!$A$1:$R$1,0))+PozycjeŚr!T$11*INDEX(Zawodnicy[],MATCH($A28,Players!$A$2:$A$100,0),MATCH("Podania górą",Players!$A$1:$R$1,0))</f>
        <v>#N/A</v>
      </c>
      <c r="J28" s="16" t="e">
        <f>PozycjeŚr!U$2*INDEX(Zawodnicy[],MATCH($A28,Players!$A$2:$A$100,0),MATCH("Szybkość",Players!$A$1:$R$1,0))+PozycjeŚr!U$3*INDEX(Zawodnicy[],MATCH($A28,Players!$A$2:$A$100,0),MATCH("Kondycja",Players!$A$1:$R$1,0))+PozycjeŚr!U$4*INDEX(Zawodnicy[],MATCH($A28,Players!$A$2:$A$100,0),MATCH("Przegląd",Players!$A$1:$R$1,0))+PozycjeŚr!U$5*INDEX(Zawodnicy[],MATCH($A28,Players!$A$2:$A$100,0),MATCH("Podania dołem",Players!$A$1:$R$1,0))+PozycjeŚr!U$6*INDEX(Zawodnicy[],MATCH($A28,Players!$A$2:$A$100,0),MATCH("Strzał",Players!$A$1:$R$1,0))+PozycjeŚr!U$7*INDEX(Zawodnicy[],MATCH($A28,Players!$A$2:$A$100,0),MATCH("Gra głową",Players!$A$1:$R$1,0))+PozycjeŚr!U$8*INDEX(Zawodnicy[],MATCH($A28,Players!$A$2:$A$100,0),MATCH("Gra na bramce",Players!$A$1:$R$1,0))+PozycjeŚr!U$9*INDEX(Zawodnicy[],MATCH($A28,Players!$A$2:$A$100,0),MATCH("Panowanie",Players!$A$1:$R$1,0))+PozycjeŚr!U$10*INDEX(Zawodnicy[],MATCH($A28,Players!$A$2:$A$100,0),MATCH("Odbiór piłki",Players!$A$1:$R$1,0))+PozycjeŚr!U$11*INDEX(Zawodnicy[],MATCH($A28,Players!$A$2:$A$100,0),MATCH("Podania górą",Players!$A$1:$R$1,0))</f>
        <v>#N/A</v>
      </c>
      <c r="K28" s="16" t="e">
        <f>PozycjeŚr!V$2*INDEX(Zawodnicy[],MATCH($A28,Players!$A$2:$A$100,0),MATCH("Szybkość",Players!$A$1:$R$1,0))+PozycjeŚr!V$3*INDEX(Zawodnicy[],MATCH($A28,Players!$A$2:$A$100,0),MATCH("Kondycja",Players!$A$1:$R$1,0))+PozycjeŚr!V$4*INDEX(Zawodnicy[],MATCH($A28,Players!$A$2:$A$100,0),MATCH("Przegląd",Players!$A$1:$R$1,0))+PozycjeŚr!V$5*INDEX(Zawodnicy[],MATCH($A28,Players!$A$2:$A$100,0),MATCH("Podania dołem",Players!$A$1:$R$1,0))+PozycjeŚr!V$6*INDEX(Zawodnicy[],MATCH($A28,Players!$A$2:$A$100,0),MATCH("Strzał",Players!$A$1:$R$1,0))+PozycjeŚr!V$7*INDEX(Zawodnicy[],MATCH($A28,Players!$A$2:$A$100,0),MATCH("Gra głową",Players!$A$1:$R$1,0))+PozycjeŚr!V$8*INDEX(Zawodnicy[],MATCH($A28,Players!$A$2:$A$100,0),MATCH("Gra na bramce",Players!$A$1:$R$1,0))+PozycjeŚr!V$9*INDEX(Zawodnicy[],MATCH($A28,Players!$A$2:$A$100,0),MATCH("Panowanie",Players!$A$1:$R$1,0))+PozycjeŚr!V$10*INDEX(Zawodnicy[],MATCH($A28,Players!$A$2:$A$100,0),MATCH("Odbiór piłki",Players!$A$1:$R$1,0))+PozycjeŚr!V$11*INDEX(Zawodnicy[],MATCH($A28,Players!$A$2:$A$100,0),MATCH("Podania górą",Players!$A$1:$R$1,0))</f>
        <v>#N/A</v>
      </c>
      <c r="L28" s="16" t="e">
        <f>PozycjeŚr!W$2*INDEX(Zawodnicy[],MATCH($A28,Players!$A$2:$A$100,0),MATCH("Szybkość",Players!$A$1:$R$1,0))+PozycjeŚr!W$3*INDEX(Zawodnicy[],MATCH($A28,Players!$A$2:$A$100,0),MATCH("Kondycja",Players!$A$1:$R$1,0))+PozycjeŚr!W$4*INDEX(Zawodnicy[],MATCH($A28,Players!$A$2:$A$100,0),MATCH("Przegląd",Players!$A$1:$R$1,0))+PozycjeŚr!W$5*INDEX(Zawodnicy[],MATCH($A28,Players!$A$2:$A$100,0),MATCH("Podania dołem",Players!$A$1:$R$1,0))+PozycjeŚr!W$6*INDEX(Zawodnicy[],MATCH($A28,Players!$A$2:$A$100,0),MATCH("Strzał",Players!$A$1:$R$1,0))+PozycjeŚr!W$7*INDEX(Zawodnicy[],MATCH($A28,Players!$A$2:$A$100,0),MATCH("Gra głową",Players!$A$1:$R$1,0))+PozycjeŚr!W$8*INDEX(Zawodnicy[],MATCH($A28,Players!$A$2:$A$100,0),MATCH("Gra na bramce",Players!$A$1:$R$1,0))+PozycjeŚr!W$9*INDEX(Zawodnicy[],MATCH($A28,Players!$A$2:$A$100,0),MATCH("Panowanie",Players!$A$1:$R$1,0))+PozycjeŚr!W$10*INDEX(Zawodnicy[],MATCH($A28,Players!$A$2:$A$100,0),MATCH("Odbiór piłki",Players!$A$1:$R$1,0))+PozycjeŚr!W$11*INDEX(Zawodnicy[],MATCH($A28,Players!$A$2:$A$100,0),MATCH("Podania górą",Players!$A$1:$R$1,0))</f>
        <v>#N/A</v>
      </c>
    </row>
    <row r="29" spans="1:12" x14ac:dyDescent="0.25">
      <c r="A29" s="39">
        <f>IFERROR(Zawodnicy[[#This Row],[Number]],"-")</f>
        <v>49</v>
      </c>
      <c r="B29" t="str">
        <f>VLOOKUP(Radar[[#This Row],[Numer]],Zawodnicy[],2,FALSE)</f>
        <v>Dobromir Kolacki</v>
      </c>
      <c r="C29" s="16" t="e">
        <f>PozycjeŚr!N$2*INDEX(Zawodnicy[],MATCH($A29,Players!$A$2:$A$100,0),MATCH("Szybkość",Players!$A$1:$R$1,0))+PozycjeŚr!N$3*INDEX(Zawodnicy[],MATCH($A29,Players!$A$2:$A$100,0),MATCH("Kondycja",Players!$A$1:$R$1,0))+PozycjeŚr!N$4*INDEX(Zawodnicy[],MATCH($A29,Players!$A$2:$A$100,0),MATCH("Przegląd",Players!$A$1:$R$1,0))+PozycjeŚr!N$5*INDEX(Zawodnicy[],MATCH($A29,Players!$A$2:$A$100,0),MATCH("Podania dołem",Players!$A$1:$R$1,0))+PozycjeŚr!N$6*INDEX(Zawodnicy[],MATCH($A29,Players!$A$2:$A$100,0),MATCH("Strzał",Players!$A$1:$R$1,0))+PozycjeŚr!N$7*INDEX(Zawodnicy[],MATCH($A29,Players!$A$2:$A$100,0),MATCH("Gra głową",Players!$A$1:$R$1,0))+PozycjeŚr!N$8*INDEX(Zawodnicy[],MATCH($A29,Players!$A$2:$A$100,0),MATCH("Gra na bramce",Players!$A$1:$R$1,0))+PozycjeŚr!N$9*INDEX(Zawodnicy[],MATCH($A29,Players!$A$2:$A$100,0),MATCH("Panowanie",Players!$A$1:$R$1,0))+PozycjeŚr!N$10*INDEX(Zawodnicy[],MATCH($A29,Players!$A$2:$A$100,0),MATCH("Odbiór piłki",Players!$A$1:$R$1,0))+PozycjeŚr!N$11*INDEX(Zawodnicy[],MATCH($A29,Players!$A$2:$A$100,0),MATCH("Podania górą",Players!$A$1:$R$1,0))</f>
        <v>#N/A</v>
      </c>
      <c r="D29" s="16" t="e">
        <f>PozycjeŚr!O$2*INDEX(Zawodnicy[],MATCH($A29,Players!$A$2:$A$100,0),MATCH("Szybkość",Players!$A$1:$R$1,0))+PozycjeŚr!O$3*INDEX(Zawodnicy[],MATCH($A29,Players!$A$2:$A$100,0),MATCH("Kondycja",Players!$A$1:$R$1,0))+PozycjeŚr!O$4*INDEX(Zawodnicy[],MATCH($A29,Players!$A$2:$A$100,0),MATCH("Przegląd",Players!$A$1:$R$1,0))+PozycjeŚr!O$5*INDEX(Zawodnicy[],MATCH($A29,Players!$A$2:$A$100,0),MATCH("Podania dołem",Players!$A$1:$R$1,0))+PozycjeŚr!O$6*INDEX(Zawodnicy[],MATCH($A29,Players!$A$2:$A$100,0),MATCH("Strzał",Players!$A$1:$R$1,0))+PozycjeŚr!O$7*INDEX(Zawodnicy[],MATCH($A29,Players!$A$2:$A$100,0),MATCH("Gra głową",Players!$A$1:$R$1,0))+PozycjeŚr!O$8*INDEX(Zawodnicy[],MATCH($A29,Players!$A$2:$A$100,0),MATCH("Gra na bramce",Players!$A$1:$R$1,0))+PozycjeŚr!O$9*INDEX(Zawodnicy[],MATCH($A29,Players!$A$2:$A$100,0),MATCH("Panowanie",Players!$A$1:$R$1,0))+PozycjeŚr!O$10*INDEX(Zawodnicy[],MATCH($A29,Players!$A$2:$A$100,0),MATCH("Odbiór piłki",Players!$A$1:$R$1,0))+PozycjeŚr!O$11*INDEX(Zawodnicy[],MATCH($A29,Players!$A$2:$A$100,0),MATCH("Podania górą",Players!$A$1:$R$1,0))</f>
        <v>#N/A</v>
      </c>
      <c r="E29" s="16" t="e">
        <f>PozycjeŚr!P$2*INDEX(Zawodnicy[],MATCH($A29,Players!$A$2:$A$100,0),MATCH("Szybkość",Players!$A$1:$R$1,0))+PozycjeŚr!P$3*INDEX(Zawodnicy[],MATCH($A29,Players!$A$2:$A$100,0),MATCH("Kondycja",Players!$A$1:$R$1,0))+PozycjeŚr!P$4*INDEX(Zawodnicy[],MATCH($A29,Players!$A$2:$A$100,0),MATCH("Przegląd",Players!$A$1:$R$1,0))+PozycjeŚr!P$5*INDEX(Zawodnicy[],MATCH($A29,Players!$A$2:$A$100,0),MATCH("Podania dołem",Players!$A$1:$R$1,0))+PozycjeŚr!P$6*INDEX(Zawodnicy[],MATCH($A29,Players!$A$2:$A$100,0),MATCH("Strzał",Players!$A$1:$R$1,0))+PozycjeŚr!P$7*INDEX(Zawodnicy[],MATCH($A29,Players!$A$2:$A$100,0),MATCH("Gra głową",Players!$A$1:$R$1,0))+PozycjeŚr!P$8*INDEX(Zawodnicy[],MATCH($A29,Players!$A$2:$A$100,0),MATCH("Gra na bramce",Players!$A$1:$R$1,0))+PozycjeŚr!P$9*INDEX(Zawodnicy[],MATCH($A29,Players!$A$2:$A$100,0),MATCH("Panowanie",Players!$A$1:$R$1,0))+PozycjeŚr!P$10*INDEX(Zawodnicy[],MATCH($A29,Players!$A$2:$A$100,0),MATCH("Odbiór piłki",Players!$A$1:$R$1,0))+PozycjeŚr!P$11*INDEX(Zawodnicy[],MATCH($A29,Players!$A$2:$A$100,0),MATCH("Podania górą",Players!$A$1:$R$1,0))</f>
        <v>#N/A</v>
      </c>
      <c r="F29" s="16" t="e">
        <f>PozycjeŚr!Q$2*INDEX(Zawodnicy[],MATCH($A29,Players!$A$2:$A$100,0),MATCH("Szybkość",Players!$A$1:$R$1,0))+PozycjeŚr!Q$3*INDEX(Zawodnicy[],MATCH($A29,Players!$A$2:$A$100,0),MATCH("Kondycja",Players!$A$1:$R$1,0))+PozycjeŚr!Q$4*INDEX(Zawodnicy[],MATCH($A29,Players!$A$2:$A$100,0),MATCH("Przegląd",Players!$A$1:$R$1,0))+PozycjeŚr!Q$5*INDEX(Zawodnicy[],MATCH($A29,Players!$A$2:$A$100,0),MATCH("Podania dołem",Players!$A$1:$R$1,0))+PozycjeŚr!Q$6*INDEX(Zawodnicy[],MATCH($A29,Players!$A$2:$A$100,0),MATCH("Strzał",Players!$A$1:$R$1,0))+PozycjeŚr!Q$7*INDEX(Zawodnicy[],MATCH($A29,Players!$A$2:$A$100,0),MATCH("Gra głową",Players!$A$1:$R$1,0))+PozycjeŚr!Q$8*INDEX(Zawodnicy[],MATCH($A29,Players!$A$2:$A$100,0),MATCH("Gra na bramce",Players!$A$1:$R$1,0))+PozycjeŚr!Q$9*INDEX(Zawodnicy[],MATCH($A29,Players!$A$2:$A$100,0),MATCH("Panowanie",Players!$A$1:$R$1,0))+PozycjeŚr!Q$10*INDEX(Zawodnicy[],MATCH($A29,Players!$A$2:$A$100,0),MATCH("Odbiór piłki",Players!$A$1:$R$1,0))+PozycjeŚr!Q$11*INDEX(Zawodnicy[],MATCH($A29,Players!$A$2:$A$100,0),MATCH("Podania górą",Players!$A$1:$R$1,0))</f>
        <v>#N/A</v>
      </c>
      <c r="G29" s="16" t="e">
        <f>PozycjeŚr!R$2*INDEX(Zawodnicy[],MATCH($A29,Players!$A$2:$A$100,0),MATCH("Szybkość",Players!$A$1:$R$1,0))+PozycjeŚr!R$3*INDEX(Zawodnicy[],MATCH($A29,Players!$A$2:$A$100,0),MATCH("Kondycja",Players!$A$1:$R$1,0))+PozycjeŚr!R$4*INDEX(Zawodnicy[],MATCH($A29,Players!$A$2:$A$100,0),MATCH("Przegląd",Players!$A$1:$R$1,0))+PozycjeŚr!R$5*INDEX(Zawodnicy[],MATCH($A29,Players!$A$2:$A$100,0),MATCH("Podania dołem",Players!$A$1:$R$1,0))+PozycjeŚr!R$6*INDEX(Zawodnicy[],MATCH($A29,Players!$A$2:$A$100,0),MATCH("Strzał",Players!$A$1:$R$1,0))+PozycjeŚr!R$7*INDEX(Zawodnicy[],MATCH($A29,Players!$A$2:$A$100,0),MATCH("Gra głową",Players!$A$1:$R$1,0))+PozycjeŚr!R$8*INDEX(Zawodnicy[],MATCH($A29,Players!$A$2:$A$100,0),MATCH("Gra na bramce",Players!$A$1:$R$1,0))+PozycjeŚr!R$9*INDEX(Zawodnicy[],MATCH($A29,Players!$A$2:$A$100,0),MATCH("Panowanie",Players!$A$1:$R$1,0))+PozycjeŚr!R$10*INDEX(Zawodnicy[],MATCH($A29,Players!$A$2:$A$100,0),MATCH("Odbiór piłki",Players!$A$1:$R$1,0))+PozycjeŚr!R$11*INDEX(Zawodnicy[],MATCH($A29,Players!$A$2:$A$100,0),MATCH("Podania górą",Players!$A$1:$R$1,0))</f>
        <v>#N/A</v>
      </c>
      <c r="H29" s="16" t="e">
        <f>PozycjeŚr!S$2*INDEX(Zawodnicy[],MATCH($A29,Players!$A$2:$A$100,0),MATCH("Szybkość",Players!$A$1:$R$1,0))+PozycjeŚr!S$3*INDEX(Zawodnicy[],MATCH($A29,Players!$A$2:$A$100,0),MATCH("Kondycja",Players!$A$1:$R$1,0))+PozycjeŚr!S$4*INDEX(Zawodnicy[],MATCH($A29,Players!$A$2:$A$100,0),MATCH("Przegląd",Players!$A$1:$R$1,0))+PozycjeŚr!S$5*INDEX(Zawodnicy[],MATCH($A29,Players!$A$2:$A$100,0),MATCH("Podania dołem",Players!$A$1:$R$1,0))+PozycjeŚr!S$6*INDEX(Zawodnicy[],MATCH($A29,Players!$A$2:$A$100,0),MATCH("Strzał",Players!$A$1:$R$1,0))+PozycjeŚr!S$7*INDEX(Zawodnicy[],MATCH($A29,Players!$A$2:$A$100,0),MATCH("Gra głową",Players!$A$1:$R$1,0))+PozycjeŚr!S$8*INDEX(Zawodnicy[],MATCH($A29,Players!$A$2:$A$100,0),MATCH("Gra na bramce",Players!$A$1:$R$1,0))+PozycjeŚr!S$9*INDEX(Zawodnicy[],MATCH($A29,Players!$A$2:$A$100,0),MATCH("Panowanie",Players!$A$1:$R$1,0))+PozycjeŚr!S$10*INDEX(Zawodnicy[],MATCH($A29,Players!$A$2:$A$100,0),MATCH("Odbiór piłki",Players!$A$1:$R$1,0))+PozycjeŚr!S$11*INDEX(Zawodnicy[],MATCH($A29,Players!$A$2:$A$100,0),MATCH("Podania górą",Players!$A$1:$R$1,0))</f>
        <v>#N/A</v>
      </c>
      <c r="I29" s="16" t="e">
        <f>PozycjeŚr!T$2*INDEX(Zawodnicy[],MATCH($A29,Players!$A$2:$A$100,0),MATCH("Szybkość",Players!$A$1:$R$1,0))+PozycjeŚr!T$3*INDEX(Zawodnicy[],MATCH($A29,Players!$A$2:$A$100,0),MATCH("Kondycja",Players!$A$1:$R$1,0))+PozycjeŚr!T$4*INDEX(Zawodnicy[],MATCH($A29,Players!$A$2:$A$100,0),MATCH("Przegląd",Players!$A$1:$R$1,0))+PozycjeŚr!T$5*INDEX(Zawodnicy[],MATCH($A29,Players!$A$2:$A$100,0),MATCH("Podania dołem",Players!$A$1:$R$1,0))+PozycjeŚr!T$6*INDEX(Zawodnicy[],MATCH($A29,Players!$A$2:$A$100,0),MATCH("Strzał",Players!$A$1:$R$1,0))+PozycjeŚr!T$7*INDEX(Zawodnicy[],MATCH($A29,Players!$A$2:$A$100,0),MATCH("Gra głową",Players!$A$1:$R$1,0))+PozycjeŚr!T$8*INDEX(Zawodnicy[],MATCH($A29,Players!$A$2:$A$100,0),MATCH("Gra na bramce",Players!$A$1:$R$1,0))+PozycjeŚr!T$9*INDEX(Zawodnicy[],MATCH($A29,Players!$A$2:$A$100,0),MATCH("Panowanie",Players!$A$1:$R$1,0))+PozycjeŚr!T$10*INDEX(Zawodnicy[],MATCH($A29,Players!$A$2:$A$100,0),MATCH("Odbiór piłki",Players!$A$1:$R$1,0))+PozycjeŚr!T$11*INDEX(Zawodnicy[],MATCH($A29,Players!$A$2:$A$100,0),MATCH("Podania górą",Players!$A$1:$R$1,0))</f>
        <v>#N/A</v>
      </c>
      <c r="J29" s="16" t="e">
        <f>PozycjeŚr!U$2*INDEX(Zawodnicy[],MATCH($A29,Players!$A$2:$A$100,0),MATCH("Szybkość",Players!$A$1:$R$1,0))+PozycjeŚr!U$3*INDEX(Zawodnicy[],MATCH($A29,Players!$A$2:$A$100,0),MATCH("Kondycja",Players!$A$1:$R$1,0))+PozycjeŚr!U$4*INDEX(Zawodnicy[],MATCH($A29,Players!$A$2:$A$100,0),MATCH("Przegląd",Players!$A$1:$R$1,0))+PozycjeŚr!U$5*INDEX(Zawodnicy[],MATCH($A29,Players!$A$2:$A$100,0),MATCH("Podania dołem",Players!$A$1:$R$1,0))+PozycjeŚr!U$6*INDEX(Zawodnicy[],MATCH($A29,Players!$A$2:$A$100,0),MATCH("Strzał",Players!$A$1:$R$1,0))+PozycjeŚr!U$7*INDEX(Zawodnicy[],MATCH($A29,Players!$A$2:$A$100,0),MATCH("Gra głową",Players!$A$1:$R$1,0))+PozycjeŚr!U$8*INDEX(Zawodnicy[],MATCH($A29,Players!$A$2:$A$100,0),MATCH("Gra na bramce",Players!$A$1:$R$1,0))+PozycjeŚr!U$9*INDEX(Zawodnicy[],MATCH($A29,Players!$A$2:$A$100,0),MATCH("Panowanie",Players!$A$1:$R$1,0))+PozycjeŚr!U$10*INDEX(Zawodnicy[],MATCH($A29,Players!$A$2:$A$100,0),MATCH("Odbiór piłki",Players!$A$1:$R$1,0))+PozycjeŚr!U$11*INDEX(Zawodnicy[],MATCH($A29,Players!$A$2:$A$100,0),MATCH("Podania górą",Players!$A$1:$R$1,0))</f>
        <v>#N/A</v>
      </c>
      <c r="K29" s="16" t="e">
        <f>PozycjeŚr!V$2*INDEX(Zawodnicy[],MATCH($A29,Players!$A$2:$A$100,0),MATCH("Szybkość",Players!$A$1:$R$1,0))+PozycjeŚr!V$3*INDEX(Zawodnicy[],MATCH($A29,Players!$A$2:$A$100,0),MATCH("Kondycja",Players!$A$1:$R$1,0))+PozycjeŚr!V$4*INDEX(Zawodnicy[],MATCH($A29,Players!$A$2:$A$100,0),MATCH("Przegląd",Players!$A$1:$R$1,0))+PozycjeŚr!V$5*INDEX(Zawodnicy[],MATCH($A29,Players!$A$2:$A$100,0),MATCH("Podania dołem",Players!$A$1:$R$1,0))+PozycjeŚr!V$6*INDEX(Zawodnicy[],MATCH($A29,Players!$A$2:$A$100,0),MATCH("Strzał",Players!$A$1:$R$1,0))+PozycjeŚr!V$7*INDEX(Zawodnicy[],MATCH($A29,Players!$A$2:$A$100,0),MATCH("Gra głową",Players!$A$1:$R$1,0))+PozycjeŚr!V$8*INDEX(Zawodnicy[],MATCH($A29,Players!$A$2:$A$100,0),MATCH("Gra na bramce",Players!$A$1:$R$1,0))+PozycjeŚr!V$9*INDEX(Zawodnicy[],MATCH($A29,Players!$A$2:$A$100,0),MATCH("Panowanie",Players!$A$1:$R$1,0))+PozycjeŚr!V$10*INDEX(Zawodnicy[],MATCH($A29,Players!$A$2:$A$100,0),MATCH("Odbiór piłki",Players!$A$1:$R$1,0))+PozycjeŚr!V$11*INDEX(Zawodnicy[],MATCH($A29,Players!$A$2:$A$100,0),MATCH("Podania górą",Players!$A$1:$R$1,0))</f>
        <v>#N/A</v>
      </c>
      <c r="L29" s="16" t="e">
        <f>PozycjeŚr!W$2*INDEX(Zawodnicy[],MATCH($A29,Players!$A$2:$A$100,0),MATCH("Szybkość",Players!$A$1:$R$1,0))+PozycjeŚr!W$3*INDEX(Zawodnicy[],MATCH($A29,Players!$A$2:$A$100,0),MATCH("Kondycja",Players!$A$1:$R$1,0))+PozycjeŚr!W$4*INDEX(Zawodnicy[],MATCH($A29,Players!$A$2:$A$100,0),MATCH("Przegląd",Players!$A$1:$R$1,0))+PozycjeŚr!W$5*INDEX(Zawodnicy[],MATCH($A29,Players!$A$2:$A$100,0),MATCH("Podania dołem",Players!$A$1:$R$1,0))+PozycjeŚr!W$6*INDEX(Zawodnicy[],MATCH($A29,Players!$A$2:$A$100,0),MATCH("Strzał",Players!$A$1:$R$1,0))+PozycjeŚr!W$7*INDEX(Zawodnicy[],MATCH($A29,Players!$A$2:$A$100,0),MATCH("Gra głową",Players!$A$1:$R$1,0))+PozycjeŚr!W$8*INDEX(Zawodnicy[],MATCH($A29,Players!$A$2:$A$100,0),MATCH("Gra na bramce",Players!$A$1:$R$1,0))+PozycjeŚr!W$9*INDEX(Zawodnicy[],MATCH($A29,Players!$A$2:$A$100,0),MATCH("Panowanie",Players!$A$1:$R$1,0))+PozycjeŚr!W$10*INDEX(Zawodnicy[],MATCH($A29,Players!$A$2:$A$100,0),MATCH("Odbiór piłki",Players!$A$1:$R$1,0))+PozycjeŚr!W$11*INDEX(Zawodnicy[],MATCH($A29,Players!$A$2:$A$100,0),MATCH("Podania górą",Players!$A$1:$R$1,0))</f>
        <v>#N/A</v>
      </c>
    </row>
    <row r="30" spans="1:12" x14ac:dyDescent="0.25">
      <c r="A30" s="39">
        <f>IFERROR(Zawodnicy[[#This Row],[Number]],"-")</f>
        <v>50</v>
      </c>
      <c r="B30" t="str">
        <f>VLOOKUP(Radar[[#This Row],[Numer]],Zawodnicy[],2,FALSE)</f>
        <v>Ludomil Robak</v>
      </c>
      <c r="C30" s="16" t="e">
        <f>PozycjeŚr!N$2*INDEX(Zawodnicy[],MATCH($A30,Players!$A$2:$A$100,0),MATCH("Szybkość",Players!$A$1:$R$1,0))+PozycjeŚr!N$3*INDEX(Zawodnicy[],MATCH($A30,Players!$A$2:$A$100,0),MATCH("Kondycja",Players!$A$1:$R$1,0))+PozycjeŚr!N$4*INDEX(Zawodnicy[],MATCH($A30,Players!$A$2:$A$100,0),MATCH("Przegląd",Players!$A$1:$R$1,0))+PozycjeŚr!N$5*INDEX(Zawodnicy[],MATCH($A30,Players!$A$2:$A$100,0),MATCH("Podania dołem",Players!$A$1:$R$1,0))+PozycjeŚr!N$6*INDEX(Zawodnicy[],MATCH($A30,Players!$A$2:$A$100,0),MATCH("Strzał",Players!$A$1:$R$1,0))+PozycjeŚr!N$7*INDEX(Zawodnicy[],MATCH($A30,Players!$A$2:$A$100,0),MATCH("Gra głową",Players!$A$1:$R$1,0))+PozycjeŚr!N$8*INDEX(Zawodnicy[],MATCH($A30,Players!$A$2:$A$100,0),MATCH("Gra na bramce",Players!$A$1:$R$1,0))+PozycjeŚr!N$9*INDEX(Zawodnicy[],MATCH($A30,Players!$A$2:$A$100,0),MATCH("Panowanie",Players!$A$1:$R$1,0))+PozycjeŚr!N$10*INDEX(Zawodnicy[],MATCH($A30,Players!$A$2:$A$100,0),MATCH("Odbiór piłki",Players!$A$1:$R$1,0))+PozycjeŚr!N$11*INDEX(Zawodnicy[],MATCH($A30,Players!$A$2:$A$100,0),MATCH("Podania górą",Players!$A$1:$R$1,0))</f>
        <v>#N/A</v>
      </c>
      <c r="D30" s="16" t="e">
        <f>PozycjeŚr!O$2*INDEX(Zawodnicy[],MATCH($A30,Players!$A$2:$A$100,0),MATCH("Szybkość",Players!$A$1:$R$1,0))+PozycjeŚr!O$3*INDEX(Zawodnicy[],MATCH($A30,Players!$A$2:$A$100,0),MATCH("Kondycja",Players!$A$1:$R$1,0))+PozycjeŚr!O$4*INDEX(Zawodnicy[],MATCH($A30,Players!$A$2:$A$100,0),MATCH("Przegląd",Players!$A$1:$R$1,0))+PozycjeŚr!O$5*INDEX(Zawodnicy[],MATCH($A30,Players!$A$2:$A$100,0),MATCH("Podania dołem",Players!$A$1:$R$1,0))+PozycjeŚr!O$6*INDEX(Zawodnicy[],MATCH($A30,Players!$A$2:$A$100,0),MATCH("Strzał",Players!$A$1:$R$1,0))+PozycjeŚr!O$7*INDEX(Zawodnicy[],MATCH($A30,Players!$A$2:$A$100,0),MATCH("Gra głową",Players!$A$1:$R$1,0))+PozycjeŚr!O$8*INDEX(Zawodnicy[],MATCH($A30,Players!$A$2:$A$100,0),MATCH("Gra na bramce",Players!$A$1:$R$1,0))+PozycjeŚr!O$9*INDEX(Zawodnicy[],MATCH($A30,Players!$A$2:$A$100,0),MATCH("Panowanie",Players!$A$1:$R$1,0))+PozycjeŚr!O$10*INDEX(Zawodnicy[],MATCH($A30,Players!$A$2:$A$100,0),MATCH("Odbiór piłki",Players!$A$1:$R$1,0))+PozycjeŚr!O$11*INDEX(Zawodnicy[],MATCH($A30,Players!$A$2:$A$100,0),MATCH("Podania górą",Players!$A$1:$R$1,0))</f>
        <v>#N/A</v>
      </c>
      <c r="E30" s="16" t="e">
        <f>PozycjeŚr!P$2*INDEX(Zawodnicy[],MATCH($A30,Players!$A$2:$A$100,0),MATCH("Szybkość",Players!$A$1:$R$1,0))+PozycjeŚr!P$3*INDEX(Zawodnicy[],MATCH($A30,Players!$A$2:$A$100,0),MATCH("Kondycja",Players!$A$1:$R$1,0))+PozycjeŚr!P$4*INDEX(Zawodnicy[],MATCH($A30,Players!$A$2:$A$100,0),MATCH("Przegląd",Players!$A$1:$R$1,0))+PozycjeŚr!P$5*INDEX(Zawodnicy[],MATCH($A30,Players!$A$2:$A$100,0),MATCH("Podania dołem",Players!$A$1:$R$1,0))+PozycjeŚr!P$6*INDEX(Zawodnicy[],MATCH($A30,Players!$A$2:$A$100,0),MATCH("Strzał",Players!$A$1:$R$1,0))+PozycjeŚr!P$7*INDEX(Zawodnicy[],MATCH($A30,Players!$A$2:$A$100,0),MATCH("Gra głową",Players!$A$1:$R$1,0))+PozycjeŚr!P$8*INDEX(Zawodnicy[],MATCH($A30,Players!$A$2:$A$100,0),MATCH("Gra na bramce",Players!$A$1:$R$1,0))+PozycjeŚr!P$9*INDEX(Zawodnicy[],MATCH($A30,Players!$A$2:$A$100,0),MATCH("Panowanie",Players!$A$1:$R$1,0))+PozycjeŚr!P$10*INDEX(Zawodnicy[],MATCH($A30,Players!$A$2:$A$100,0),MATCH("Odbiór piłki",Players!$A$1:$R$1,0))+PozycjeŚr!P$11*INDEX(Zawodnicy[],MATCH($A30,Players!$A$2:$A$100,0),MATCH("Podania górą",Players!$A$1:$R$1,0))</f>
        <v>#N/A</v>
      </c>
      <c r="F30" s="16" t="e">
        <f>PozycjeŚr!Q$2*INDEX(Zawodnicy[],MATCH($A30,Players!$A$2:$A$100,0),MATCH("Szybkość",Players!$A$1:$R$1,0))+PozycjeŚr!Q$3*INDEX(Zawodnicy[],MATCH($A30,Players!$A$2:$A$100,0),MATCH("Kondycja",Players!$A$1:$R$1,0))+PozycjeŚr!Q$4*INDEX(Zawodnicy[],MATCH($A30,Players!$A$2:$A$100,0),MATCH("Przegląd",Players!$A$1:$R$1,0))+PozycjeŚr!Q$5*INDEX(Zawodnicy[],MATCH($A30,Players!$A$2:$A$100,0),MATCH("Podania dołem",Players!$A$1:$R$1,0))+PozycjeŚr!Q$6*INDEX(Zawodnicy[],MATCH($A30,Players!$A$2:$A$100,0),MATCH("Strzał",Players!$A$1:$R$1,0))+PozycjeŚr!Q$7*INDEX(Zawodnicy[],MATCH($A30,Players!$A$2:$A$100,0),MATCH("Gra głową",Players!$A$1:$R$1,0))+PozycjeŚr!Q$8*INDEX(Zawodnicy[],MATCH($A30,Players!$A$2:$A$100,0),MATCH("Gra na bramce",Players!$A$1:$R$1,0))+PozycjeŚr!Q$9*INDEX(Zawodnicy[],MATCH($A30,Players!$A$2:$A$100,0),MATCH("Panowanie",Players!$A$1:$R$1,0))+PozycjeŚr!Q$10*INDEX(Zawodnicy[],MATCH($A30,Players!$A$2:$A$100,0),MATCH("Odbiór piłki",Players!$A$1:$R$1,0))+PozycjeŚr!Q$11*INDEX(Zawodnicy[],MATCH($A30,Players!$A$2:$A$100,0),MATCH("Podania górą",Players!$A$1:$R$1,0))</f>
        <v>#N/A</v>
      </c>
      <c r="G30" s="16" t="e">
        <f>PozycjeŚr!R$2*INDEX(Zawodnicy[],MATCH($A30,Players!$A$2:$A$100,0),MATCH("Szybkość",Players!$A$1:$R$1,0))+PozycjeŚr!R$3*INDEX(Zawodnicy[],MATCH($A30,Players!$A$2:$A$100,0),MATCH("Kondycja",Players!$A$1:$R$1,0))+PozycjeŚr!R$4*INDEX(Zawodnicy[],MATCH($A30,Players!$A$2:$A$100,0),MATCH("Przegląd",Players!$A$1:$R$1,0))+PozycjeŚr!R$5*INDEX(Zawodnicy[],MATCH($A30,Players!$A$2:$A$100,0),MATCH("Podania dołem",Players!$A$1:$R$1,0))+PozycjeŚr!R$6*INDEX(Zawodnicy[],MATCH($A30,Players!$A$2:$A$100,0),MATCH("Strzał",Players!$A$1:$R$1,0))+PozycjeŚr!R$7*INDEX(Zawodnicy[],MATCH($A30,Players!$A$2:$A$100,0),MATCH("Gra głową",Players!$A$1:$R$1,0))+PozycjeŚr!R$8*INDEX(Zawodnicy[],MATCH($A30,Players!$A$2:$A$100,0),MATCH("Gra na bramce",Players!$A$1:$R$1,0))+PozycjeŚr!R$9*INDEX(Zawodnicy[],MATCH($A30,Players!$A$2:$A$100,0),MATCH("Panowanie",Players!$A$1:$R$1,0))+PozycjeŚr!R$10*INDEX(Zawodnicy[],MATCH($A30,Players!$A$2:$A$100,0),MATCH("Odbiór piłki",Players!$A$1:$R$1,0))+PozycjeŚr!R$11*INDEX(Zawodnicy[],MATCH($A30,Players!$A$2:$A$100,0),MATCH("Podania górą",Players!$A$1:$R$1,0))</f>
        <v>#N/A</v>
      </c>
      <c r="H30" s="16" t="e">
        <f>PozycjeŚr!S$2*INDEX(Zawodnicy[],MATCH($A30,Players!$A$2:$A$100,0),MATCH("Szybkość",Players!$A$1:$R$1,0))+PozycjeŚr!S$3*INDEX(Zawodnicy[],MATCH($A30,Players!$A$2:$A$100,0),MATCH("Kondycja",Players!$A$1:$R$1,0))+PozycjeŚr!S$4*INDEX(Zawodnicy[],MATCH($A30,Players!$A$2:$A$100,0),MATCH("Przegląd",Players!$A$1:$R$1,0))+PozycjeŚr!S$5*INDEX(Zawodnicy[],MATCH($A30,Players!$A$2:$A$100,0),MATCH("Podania dołem",Players!$A$1:$R$1,0))+PozycjeŚr!S$6*INDEX(Zawodnicy[],MATCH($A30,Players!$A$2:$A$100,0),MATCH("Strzał",Players!$A$1:$R$1,0))+PozycjeŚr!S$7*INDEX(Zawodnicy[],MATCH($A30,Players!$A$2:$A$100,0),MATCH("Gra głową",Players!$A$1:$R$1,0))+PozycjeŚr!S$8*INDEX(Zawodnicy[],MATCH($A30,Players!$A$2:$A$100,0),MATCH("Gra na bramce",Players!$A$1:$R$1,0))+PozycjeŚr!S$9*INDEX(Zawodnicy[],MATCH($A30,Players!$A$2:$A$100,0),MATCH("Panowanie",Players!$A$1:$R$1,0))+PozycjeŚr!S$10*INDEX(Zawodnicy[],MATCH($A30,Players!$A$2:$A$100,0),MATCH("Odbiór piłki",Players!$A$1:$R$1,0))+PozycjeŚr!S$11*INDEX(Zawodnicy[],MATCH($A30,Players!$A$2:$A$100,0),MATCH("Podania górą",Players!$A$1:$R$1,0))</f>
        <v>#N/A</v>
      </c>
      <c r="I30" s="16" t="e">
        <f>PozycjeŚr!T$2*INDEX(Zawodnicy[],MATCH($A30,Players!$A$2:$A$100,0),MATCH("Szybkość",Players!$A$1:$R$1,0))+PozycjeŚr!T$3*INDEX(Zawodnicy[],MATCH($A30,Players!$A$2:$A$100,0),MATCH("Kondycja",Players!$A$1:$R$1,0))+PozycjeŚr!T$4*INDEX(Zawodnicy[],MATCH($A30,Players!$A$2:$A$100,0),MATCH("Przegląd",Players!$A$1:$R$1,0))+PozycjeŚr!T$5*INDEX(Zawodnicy[],MATCH($A30,Players!$A$2:$A$100,0),MATCH("Podania dołem",Players!$A$1:$R$1,0))+PozycjeŚr!T$6*INDEX(Zawodnicy[],MATCH($A30,Players!$A$2:$A$100,0),MATCH("Strzał",Players!$A$1:$R$1,0))+PozycjeŚr!T$7*INDEX(Zawodnicy[],MATCH($A30,Players!$A$2:$A$100,0),MATCH("Gra głową",Players!$A$1:$R$1,0))+PozycjeŚr!T$8*INDEX(Zawodnicy[],MATCH($A30,Players!$A$2:$A$100,0),MATCH("Gra na bramce",Players!$A$1:$R$1,0))+PozycjeŚr!T$9*INDEX(Zawodnicy[],MATCH($A30,Players!$A$2:$A$100,0),MATCH("Panowanie",Players!$A$1:$R$1,0))+PozycjeŚr!T$10*INDEX(Zawodnicy[],MATCH($A30,Players!$A$2:$A$100,0),MATCH("Odbiór piłki",Players!$A$1:$R$1,0))+PozycjeŚr!T$11*INDEX(Zawodnicy[],MATCH($A30,Players!$A$2:$A$100,0),MATCH("Podania górą",Players!$A$1:$R$1,0))</f>
        <v>#N/A</v>
      </c>
      <c r="J30" s="16" t="e">
        <f>PozycjeŚr!U$2*INDEX(Zawodnicy[],MATCH($A30,Players!$A$2:$A$100,0),MATCH("Szybkość",Players!$A$1:$R$1,0))+PozycjeŚr!U$3*INDEX(Zawodnicy[],MATCH($A30,Players!$A$2:$A$100,0),MATCH("Kondycja",Players!$A$1:$R$1,0))+PozycjeŚr!U$4*INDEX(Zawodnicy[],MATCH($A30,Players!$A$2:$A$100,0),MATCH("Przegląd",Players!$A$1:$R$1,0))+PozycjeŚr!U$5*INDEX(Zawodnicy[],MATCH($A30,Players!$A$2:$A$100,0),MATCH("Podania dołem",Players!$A$1:$R$1,0))+PozycjeŚr!U$6*INDEX(Zawodnicy[],MATCH($A30,Players!$A$2:$A$100,0),MATCH("Strzał",Players!$A$1:$R$1,0))+PozycjeŚr!U$7*INDEX(Zawodnicy[],MATCH($A30,Players!$A$2:$A$100,0),MATCH("Gra głową",Players!$A$1:$R$1,0))+PozycjeŚr!U$8*INDEX(Zawodnicy[],MATCH($A30,Players!$A$2:$A$100,0),MATCH("Gra na bramce",Players!$A$1:$R$1,0))+PozycjeŚr!U$9*INDEX(Zawodnicy[],MATCH($A30,Players!$A$2:$A$100,0),MATCH("Panowanie",Players!$A$1:$R$1,0))+PozycjeŚr!U$10*INDEX(Zawodnicy[],MATCH($A30,Players!$A$2:$A$100,0),MATCH("Odbiór piłki",Players!$A$1:$R$1,0))+PozycjeŚr!U$11*INDEX(Zawodnicy[],MATCH($A30,Players!$A$2:$A$100,0),MATCH("Podania górą",Players!$A$1:$R$1,0))</f>
        <v>#N/A</v>
      </c>
      <c r="K30" s="16" t="e">
        <f>PozycjeŚr!V$2*INDEX(Zawodnicy[],MATCH($A30,Players!$A$2:$A$100,0),MATCH("Szybkość",Players!$A$1:$R$1,0))+PozycjeŚr!V$3*INDEX(Zawodnicy[],MATCH($A30,Players!$A$2:$A$100,0),MATCH("Kondycja",Players!$A$1:$R$1,0))+PozycjeŚr!V$4*INDEX(Zawodnicy[],MATCH($A30,Players!$A$2:$A$100,0),MATCH("Przegląd",Players!$A$1:$R$1,0))+PozycjeŚr!V$5*INDEX(Zawodnicy[],MATCH($A30,Players!$A$2:$A$100,0),MATCH("Podania dołem",Players!$A$1:$R$1,0))+PozycjeŚr!V$6*INDEX(Zawodnicy[],MATCH($A30,Players!$A$2:$A$100,0),MATCH("Strzał",Players!$A$1:$R$1,0))+PozycjeŚr!V$7*INDEX(Zawodnicy[],MATCH($A30,Players!$A$2:$A$100,0),MATCH("Gra głową",Players!$A$1:$R$1,0))+PozycjeŚr!V$8*INDEX(Zawodnicy[],MATCH($A30,Players!$A$2:$A$100,0),MATCH("Gra na bramce",Players!$A$1:$R$1,0))+PozycjeŚr!V$9*INDEX(Zawodnicy[],MATCH($A30,Players!$A$2:$A$100,0),MATCH("Panowanie",Players!$A$1:$R$1,0))+PozycjeŚr!V$10*INDEX(Zawodnicy[],MATCH($A30,Players!$A$2:$A$100,0),MATCH("Odbiór piłki",Players!$A$1:$R$1,0))+PozycjeŚr!V$11*INDEX(Zawodnicy[],MATCH($A30,Players!$A$2:$A$100,0),MATCH("Podania górą",Players!$A$1:$R$1,0))</f>
        <v>#N/A</v>
      </c>
      <c r="L30" s="16" t="e">
        <f>PozycjeŚr!W$2*INDEX(Zawodnicy[],MATCH($A30,Players!$A$2:$A$100,0),MATCH("Szybkość",Players!$A$1:$R$1,0))+PozycjeŚr!W$3*INDEX(Zawodnicy[],MATCH($A30,Players!$A$2:$A$100,0),MATCH("Kondycja",Players!$A$1:$R$1,0))+PozycjeŚr!W$4*INDEX(Zawodnicy[],MATCH($A30,Players!$A$2:$A$100,0),MATCH("Przegląd",Players!$A$1:$R$1,0))+PozycjeŚr!W$5*INDEX(Zawodnicy[],MATCH($A30,Players!$A$2:$A$100,0),MATCH("Podania dołem",Players!$A$1:$R$1,0))+PozycjeŚr!W$6*INDEX(Zawodnicy[],MATCH($A30,Players!$A$2:$A$100,0),MATCH("Strzał",Players!$A$1:$R$1,0))+PozycjeŚr!W$7*INDEX(Zawodnicy[],MATCH($A30,Players!$A$2:$A$100,0),MATCH("Gra głową",Players!$A$1:$R$1,0))+PozycjeŚr!W$8*INDEX(Zawodnicy[],MATCH($A30,Players!$A$2:$A$100,0),MATCH("Gra na bramce",Players!$A$1:$R$1,0))+PozycjeŚr!W$9*INDEX(Zawodnicy[],MATCH($A30,Players!$A$2:$A$100,0),MATCH("Panowanie",Players!$A$1:$R$1,0))+PozycjeŚr!W$10*INDEX(Zawodnicy[],MATCH($A30,Players!$A$2:$A$100,0),MATCH("Odbiór piłki",Players!$A$1:$R$1,0))+PozycjeŚr!W$11*INDEX(Zawodnicy[],MATCH($A30,Players!$A$2:$A$100,0),MATCH("Podania górą",Players!$A$1:$R$1,0))</f>
        <v>#N/A</v>
      </c>
    </row>
    <row r="31" spans="1:12" x14ac:dyDescent="0.25">
      <c r="A31" s="39">
        <f>IFERROR(Zawodnicy[[#This Row],[Number]],"-")</f>
        <v>51</v>
      </c>
      <c r="B31" t="str">
        <f>VLOOKUP(Radar[[#This Row],[Numer]],Zawodnicy[],2,FALSE)</f>
        <v>Radoslaw Cichowski</v>
      </c>
      <c r="C31" s="16" t="e">
        <f>PozycjeŚr!N$2*INDEX(Zawodnicy[],MATCH($A31,Players!$A$2:$A$100,0),MATCH("Szybkość",Players!$A$1:$R$1,0))+PozycjeŚr!N$3*INDEX(Zawodnicy[],MATCH($A31,Players!$A$2:$A$100,0),MATCH("Kondycja",Players!$A$1:$R$1,0))+PozycjeŚr!N$4*INDEX(Zawodnicy[],MATCH($A31,Players!$A$2:$A$100,0),MATCH("Przegląd",Players!$A$1:$R$1,0))+PozycjeŚr!N$5*INDEX(Zawodnicy[],MATCH($A31,Players!$A$2:$A$100,0),MATCH("Podania dołem",Players!$A$1:$R$1,0))+PozycjeŚr!N$6*INDEX(Zawodnicy[],MATCH($A31,Players!$A$2:$A$100,0),MATCH("Strzał",Players!$A$1:$R$1,0))+PozycjeŚr!N$7*INDEX(Zawodnicy[],MATCH($A31,Players!$A$2:$A$100,0),MATCH("Gra głową",Players!$A$1:$R$1,0))+PozycjeŚr!N$8*INDEX(Zawodnicy[],MATCH($A31,Players!$A$2:$A$100,0),MATCH("Gra na bramce",Players!$A$1:$R$1,0))+PozycjeŚr!N$9*INDEX(Zawodnicy[],MATCH($A31,Players!$A$2:$A$100,0),MATCH("Panowanie",Players!$A$1:$R$1,0))+PozycjeŚr!N$10*INDEX(Zawodnicy[],MATCH($A31,Players!$A$2:$A$100,0),MATCH("Odbiór piłki",Players!$A$1:$R$1,0))+PozycjeŚr!N$11*INDEX(Zawodnicy[],MATCH($A31,Players!$A$2:$A$100,0),MATCH("Podania górą",Players!$A$1:$R$1,0))</f>
        <v>#N/A</v>
      </c>
      <c r="D31" s="16" t="e">
        <f>PozycjeŚr!O$2*INDEX(Zawodnicy[],MATCH($A31,Players!$A$2:$A$100,0),MATCH("Szybkość",Players!$A$1:$R$1,0))+PozycjeŚr!O$3*INDEX(Zawodnicy[],MATCH($A31,Players!$A$2:$A$100,0),MATCH("Kondycja",Players!$A$1:$R$1,0))+PozycjeŚr!O$4*INDEX(Zawodnicy[],MATCH($A31,Players!$A$2:$A$100,0),MATCH("Przegląd",Players!$A$1:$R$1,0))+PozycjeŚr!O$5*INDEX(Zawodnicy[],MATCH($A31,Players!$A$2:$A$100,0),MATCH("Podania dołem",Players!$A$1:$R$1,0))+PozycjeŚr!O$6*INDEX(Zawodnicy[],MATCH($A31,Players!$A$2:$A$100,0),MATCH("Strzał",Players!$A$1:$R$1,0))+PozycjeŚr!O$7*INDEX(Zawodnicy[],MATCH($A31,Players!$A$2:$A$100,0),MATCH("Gra głową",Players!$A$1:$R$1,0))+PozycjeŚr!O$8*INDEX(Zawodnicy[],MATCH($A31,Players!$A$2:$A$100,0),MATCH("Gra na bramce",Players!$A$1:$R$1,0))+PozycjeŚr!O$9*INDEX(Zawodnicy[],MATCH($A31,Players!$A$2:$A$100,0),MATCH("Panowanie",Players!$A$1:$R$1,0))+PozycjeŚr!O$10*INDEX(Zawodnicy[],MATCH($A31,Players!$A$2:$A$100,0),MATCH("Odbiór piłki",Players!$A$1:$R$1,0))+PozycjeŚr!O$11*INDEX(Zawodnicy[],MATCH($A31,Players!$A$2:$A$100,0),MATCH("Podania górą",Players!$A$1:$R$1,0))</f>
        <v>#N/A</v>
      </c>
      <c r="E31" s="16" t="e">
        <f>PozycjeŚr!P$2*INDEX(Zawodnicy[],MATCH($A31,Players!$A$2:$A$100,0),MATCH("Szybkość",Players!$A$1:$R$1,0))+PozycjeŚr!P$3*INDEX(Zawodnicy[],MATCH($A31,Players!$A$2:$A$100,0),MATCH("Kondycja",Players!$A$1:$R$1,0))+PozycjeŚr!P$4*INDEX(Zawodnicy[],MATCH($A31,Players!$A$2:$A$100,0),MATCH("Przegląd",Players!$A$1:$R$1,0))+PozycjeŚr!P$5*INDEX(Zawodnicy[],MATCH($A31,Players!$A$2:$A$100,0),MATCH("Podania dołem",Players!$A$1:$R$1,0))+PozycjeŚr!P$6*INDEX(Zawodnicy[],MATCH($A31,Players!$A$2:$A$100,0),MATCH("Strzał",Players!$A$1:$R$1,0))+PozycjeŚr!P$7*INDEX(Zawodnicy[],MATCH($A31,Players!$A$2:$A$100,0),MATCH("Gra głową",Players!$A$1:$R$1,0))+PozycjeŚr!P$8*INDEX(Zawodnicy[],MATCH($A31,Players!$A$2:$A$100,0),MATCH("Gra na bramce",Players!$A$1:$R$1,0))+PozycjeŚr!P$9*INDEX(Zawodnicy[],MATCH($A31,Players!$A$2:$A$100,0),MATCH("Panowanie",Players!$A$1:$R$1,0))+PozycjeŚr!P$10*INDEX(Zawodnicy[],MATCH($A31,Players!$A$2:$A$100,0),MATCH("Odbiór piłki",Players!$A$1:$R$1,0))+PozycjeŚr!P$11*INDEX(Zawodnicy[],MATCH($A31,Players!$A$2:$A$100,0),MATCH("Podania górą",Players!$A$1:$R$1,0))</f>
        <v>#N/A</v>
      </c>
      <c r="F31" s="16" t="e">
        <f>PozycjeŚr!Q$2*INDEX(Zawodnicy[],MATCH($A31,Players!$A$2:$A$100,0),MATCH("Szybkość",Players!$A$1:$R$1,0))+PozycjeŚr!Q$3*INDEX(Zawodnicy[],MATCH($A31,Players!$A$2:$A$100,0),MATCH("Kondycja",Players!$A$1:$R$1,0))+PozycjeŚr!Q$4*INDEX(Zawodnicy[],MATCH($A31,Players!$A$2:$A$100,0),MATCH("Przegląd",Players!$A$1:$R$1,0))+PozycjeŚr!Q$5*INDEX(Zawodnicy[],MATCH($A31,Players!$A$2:$A$100,0),MATCH("Podania dołem",Players!$A$1:$R$1,0))+PozycjeŚr!Q$6*INDEX(Zawodnicy[],MATCH($A31,Players!$A$2:$A$100,0),MATCH("Strzał",Players!$A$1:$R$1,0))+PozycjeŚr!Q$7*INDEX(Zawodnicy[],MATCH($A31,Players!$A$2:$A$100,0),MATCH("Gra głową",Players!$A$1:$R$1,0))+PozycjeŚr!Q$8*INDEX(Zawodnicy[],MATCH($A31,Players!$A$2:$A$100,0),MATCH("Gra na bramce",Players!$A$1:$R$1,0))+PozycjeŚr!Q$9*INDEX(Zawodnicy[],MATCH($A31,Players!$A$2:$A$100,0),MATCH("Panowanie",Players!$A$1:$R$1,0))+PozycjeŚr!Q$10*INDEX(Zawodnicy[],MATCH($A31,Players!$A$2:$A$100,0),MATCH("Odbiór piłki",Players!$A$1:$R$1,0))+PozycjeŚr!Q$11*INDEX(Zawodnicy[],MATCH($A31,Players!$A$2:$A$100,0),MATCH("Podania górą",Players!$A$1:$R$1,0))</f>
        <v>#N/A</v>
      </c>
      <c r="G31" s="16" t="e">
        <f>PozycjeŚr!R$2*INDEX(Zawodnicy[],MATCH($A31,Players!$A$2:$A$100,0),MATCH("Szybkość",Players!$A$1:$R$1,0))+PozycjeŚr!R$3*INDEX(Zawodnicy[],MATCH($A31,Players!$A$2:$A$100,0),MATCH("Kondycja",Players!$A$1:$R$1,0))+PozycjeŚr!R$4*INDEX(Zawodnicy[],MATCH($A31,Players!$A$2:$A$100,0),MATCH("Przegląd",Players!$A$1:$R$1,0))+PozycjeŚr!R$5*INDEX(Zawodnicy[],MATCH($A31,Players!$A$2:$A$100,0),MATCH("Podania dołem",Players!$A$1:$R$1,0))+PozycjeŚr!R$6*INDEX(Zawodnicy[],MATCH($A31,Players!$A$2:$A$100,0),MATCH("Strzał",Players!$A$1:$R$1,0))+PozycjeŚr!R$7*INDEX(Zawodnicy[],MATCH($A31,Players!$A$2:$A$100,0),MATCH("Gra głową",Players!$A$1:$R$1,0))+PozycjeŚr!R$8*INDEX(Zawodnicy[],MATCH($A31,Players!$A$2:$A$100,0),MATCH("Gra na bramce",Players!$A$1:$R$1,0))+PozycjeŚr!R$9*INDEX(Zawodnicy[],MATCH($A31,Players!$A$2:$A$100,0),MATCH("Panowanie",Players!$A$1:$R$1,0))+PozycjeŚr!R$10*INDEX(Zawodnicy[],MATCH($A31,Players!$A$2:$A$100,0),MATCH("Odbiór piłki",Players!$A$1:$R$1,0))+PozycjeŚr!R$11*INDEX(Zawodnicy[],MATCH($A31,Players!$A$2:$A$100,0),MATCH("Podania górą",Players!$A$1:$R$1,0))</f>
        <v>#N/A</v>
      </c>
      <c r="H31" s="16" t="e">
        <f>PozycjeŚr!S$2*INDEX(Zawodnicy[],MATCH($A31,Players!$A$2:$A$100,0),MATCH("Szybkość",Players!$A$1:$R$1,0))+PozycjeŚr!S$3*INDEX(Zawodnicy[],MATCH($A31,Players!$A$2:$A$100,0),MATCH("Kondycja",Players!$A$1:$R$1,0))+PozycjeŚr!S$4*INDEX(Zawodnicy[],MATCH($A31,Players!$A$2:$A$100,0),MATCH("Przegląd",Players!$A$1:$R$1,0))+PozycjeŚr!S$5*INDEX(Zawodnicy[],MATCH($A31,Players!$A$2:$A$100,0),MATCH("Podania dołem",Players!$A$1:$R$1,0))+PozycjeŚr!S$6*INDEX(Zawodnicy[],MATCH($A31,Players!$A$2:$A$100,0),MATCH("Strzał",Players!$A$1:$R$1,0))+PozycjeŚr!S$7*INDEX(Zawodnicy[],MATCH($A31,Players!$A$2:$A$100,0),MATCH("Gra głową",Players!$A$1:$R$1,0))+PozycjeŚr!S$8*INDEX(Zawodnicy[],MATCH($A31,Players!$A$2:$A$100,0),MATCH("Gra na bramce",Players!$A$1:$R$1,0))+PozycjeŚr!S$9*INDEX(Zawodnicy[],MATCH($A31,Players!$A$2:$A$100,0),MATCH("Panowanie",Players!$A$1:$R$1,0))+PozycjeŚr!S$10*INDEX(Zawodnicy[],MATCH($A31,Players!$A$2:$A$100,0),MATCH("Odbiór piłki",Players!$A$1:$R$1,0))+PozycjeŚr!S$11*INDEX(Zawodnicy[],MATCH($A31,Players!$A$2:$A$100,0),MATCH("Podania górą",Players!$A$1:$R$1,0))</f>
        <v>#N/A</v>
      </c>
      <c r="I31" s="16" t="e">
        <f>PozycjeŚr!T$2*INDEX(Zawodnicy[],MATCH($A31,Players!$A$2:$A$100,0),MATCH("Szybkość",Players!$A$1:$R$1,0))+PozycjeŚr!T$3*INDEX(Zawodnicy[],MATCH($A31,Players!$A$2:$A$100,0),MATCH("Kondycja",Players!$A$1:$R$1,0))+PozycjeŚr!T$4*INDEX(Zawodnicy[],MATCH($A31,Players!$A$2:$A$100,0),MATCH("Przegląd",Players!$A$1:$R$1,0))+PozycjeŚr!T$5*INDEX(Zawodnicy[],MATCH($A31,Players!$A$2:$A$100,0),MATCH("Podania dołem",Players!$A$1:$R$1,0))+PozycjeŚr!T$6*INDEX(Zawodnicy[],MATCH($A31,Players!$A$2:$A$100,0),MATCH("Strzał",Players!$A$1:$R$1,0))+PozycjeŚr!T$7*INDEX(Zawodnicy[],MATCH($A31,Players!$A$2:$A$100,0),MATCH("Gra głową",Players!$A$1:$R$1,0))+PozycjeŚr!T$8*INDEX(Zawodnicy[],MATCH($A31,Players!$A$2:$A$100,0),MATCH("Gra na bramce",Players!$A$1:$R$1,0))+PozycjeŚr!T$9*INDEX(Zawodnicy[],MATCH($A31,Players!$A$2:$A$100,0),MATCH("Panowanie",Players!$A$1:$R$1,0))+PozycjeŚr!T$10*INDEX(Zawodnicy[],MATCH($A31,Players!$A$2:$A$100,0),MATCH("Odbiór piłki",Players!$A$1:$R$1,0))+PozycjeŚr!T$11*INDEX(Zawodnicy[],MATCH($A31,Players!$A$2:$A$100,0),MATCH("Podania górą",Players!$A$1:$R$1,0))</f>
        <v>#N/A</v>
      </c>
      <c r="J31" s="16" t="e">
        <f>PozycjeŚr!U$2*INDEX(Zawodnicy[],MATCH($A31,Players!$A$2:$A$100,0),MATCH("Szybkość",Players!$A$1:$R$1,0))+PozycjeŚr!U$3*INDEX(Zawodnicy[],MATCH($A31,Players!$A$2:$A$100,0),MATCH("Kondycja",Players!$A$1:$R$1,0))+PozycjeŚr!U$4*INDEX(Zawodnicy[],MATCH($A31,Players!$A$2:$A$100,0),MATCH("Przegląd",Players!$A$1:$R$1,0))+PozycjeŚr!U$5*INDEX(Zawodnicy[],MATCH($A31,Players!$A$2:$A$100,0),MATCH("Podania dołem",Players!$A$1:$R$1,0))+PozycjeŚr!U$6*INDEX(Zawodnicy[],MATCH($A31,Players!$A$2:$A$100,0),MATCH("Strzał",Players!$A$1:$R$1,0))+PozycjeŚr!U$7*INDEX(Zawodnicy[],MATCH($A31,Players!$A$2:$A$100,0),MATCH("Gra głową",Players!$A$1:$R$1,0))+PozycjeŚr!U$8*INDEX(Zawodnicy[],MATCH($A31,Players!$A$2:$A$100,0),MATCH("Gra na bramce",Players!$A$1:$R$1,0))+PozycjeŚr!U$9*INDEX(Zawodnicy[],MATCH($A31,Players!$A$2:$A$100,0),MATCH("Panowanie",Players!$A$1:$R$1,0))+PozycjeŚr!U$10*INDEX(Zawodnicy[],MATCH($A31,Players!$A$2:$A$100,0),MATCH("Odbiór piłki",Players!$A$1:$R$1,0))+PozycjeŚr!U$11*INDEX(Zawodnicy[],MATCH($A31,Players!$A$2:$A$100,0),MATCH("Podania górą",Players!$A$1:$R$1,0))</f>
        <v>#N/A</v>
      </c>
      <c r="K31" s="16" t="e">
        <f>PozycjeŚr!V$2*INDEX(Zawodnicy[],MATCH($A31,Players!$A$2:$A$100,0),MATCH("Szybkość",Players!$A$1:$R$1,0))+PozycjeŚr!V$3*INDEX(Zawodnicy[],MATCH($A31,Players!$A$2:$A$100,0),MATCH("Kondycja",Players!$A$1:$R$1,0))+PozycjeŚr!V$4*INDEX(Zawodnicy[],MATCH($A31,Players!$A$2:$A$100,0),MATCH("Przegląd",Players!$A$1:$R$1,0))+PozycjeŚr!V$5*INDEX(Zawodnicy[],MATCH($A31,Players!$A$2:$A$100,0),MATCH("Podania dołem",Players!$A$1:$R$1,0))+PozycjeŚr!V$6*INDEX(Zawodnicy[],MATCH($A31,Players!$A$2:$A$100,0),MATCH("Strzał",Players!$A$1:$R$1,0))+PozycjeŚr!V$7*INDEX(Zawodnicy[],MATCH($A31,Players!$A$2:$A$100,0),MATCH("Gra głową",Players!$A$1:$R$1,0))+PozycjeŚr!V$8*INDEX(Zawodnicy[],MATCH($A31,Players!$A$2:$A$100,0),MATCH("Gra na bramce",Players!$A$1:$R$1,0))+PozycjeŚr!V$9*INDEX(Zawodnicy[],MATCH($A31,Players!$A$2:$A$100,0),MATCH("Panowanie",Players!$A$1:$R$1,0))+PozycjeŚr!V$10*INDEX(Zawodnicy[],MATCH($A31,Players!$A$2:$A$100,0),MATCH("Odbiór piłki",Players!$A$1:$R$1,0))+PozycjeŚr!V$11*INDEX(Zawodnicy[],MATCH($A31,Players!$A$2:$A$100,0),MATCH("Podania górą",Players!$A$1:$R$1,0))</f>
        <v>#N/A</v>
      </c>
      <c r="L31" s="16" t="e">
        <f>PozycjeŚr!W$2*INDEX(Zawodnicy[],MATCH($A31,Players!$A$2:$A$100,0),MATCH("Szybkość",Players!$A$1:$R$1,0))+PozycjeŚr!W$3*INDEX(Zawodnicy[],MATCH($A31,Players!$A$2:$A$100,0),MATCH("Kondycja",Players!$A$1:$R$1,0))+PozycjeŚr!W$4*INDEX(Zawodnicy[],MATCH($A31,Players!$A$2:$A$100,0),MATCH("Przegląd",Players!$A$1:$R$1,0))+PozycjeŚr!W$5*INDEX(Zawodnicy[],MATCH($A31,Players!$A$2:$A$100,0),MATCH("Podania dołem",Players!$A$1:$R$1,0))+PozycjeŚr!W$6*INDEX(Zawodnicy[],MATCH($A31,Players!$A$2:$A$100,0),MATCH("Strzał",Players!$A$1:$R$1,0))+PozycjeŚr!W$7*INDEX(Zawodnicy[],MATCH($A31,Players!$A$2:$A$100,0),MATCH("Gra głową",Players!$A$1:$R$1,0))+PozycjeŚr!W$8*INDEX(Zawodnicy[],MATCH($A31,Players!$A$2:$A$100,0),MATCH("Gra na bramce",Players!$A$1:$R$1,0))+PozycjeŚr!W$9*INDEX(Zawodnicy[],MATCH($A31,Players!$A$2:$A$100,0),MATCH("Panowanie",Players!$A$1:$R$1,0))+PozycjeŚr!W$10*INDEX(Zawodnicy[],MATCH($A31,Players!$A$2:$A$100,0),MATCH("Odbiór piłki",Players!$A$1:$R$1,0))+PozycjeŚr!W$11*INDEX(Zawodnicy[],MATCH($A31,Players!$A$2:$A$100,0),MATCH("Podania górą",Players!$A$1:$R$1,0))</f>
        <v>#N/A</v>
      </c>
    </row>
    <row r="32" spans="1:12" x14ac:dyDescent="0.25">
      <c r="A32" s="39">
        <f>IFERROR(Zawodnicy[[#This Row],[Number]],"-")</f>
        <v>52</v>
      </c>
      <c r="B32" t="str">
        <f>VLOOKUP(Radar[[#This Row],[Numer]],Zawodnicy[],2,FALSE)</f>
        <v>Roland Danisiewicz</v>
      </c>
      <c r="C32" s="16" t="e">
        <f>PozycjeŚr!N$2*INDEX(Zawodnicy[],MATCH($A32,Players!$A$2:$A$100,0),MATCH("Szybkość",Players!$A$1:$R$1,0))+PozycjeŚr!N$3*INDEX(Zawodnicy[],MATCH($A32,Players!$A$2:$A$100,0),MATCH("Kondycja",Players!$A$1:$R$1,0))+PozycjeŚr!N$4*INDEX(Zawodnicy[],MATCH($A32,Players!$A$2:$A$100,0),MATCH("Przegląd",Players!$A$1:$R$1,0))+PozycjeŚr!N$5*INDEX(Zawodnicy[],MATCH($A32,Players!$A$2:$A$100,0),MATCH("Podania dołem",Players!$A$1:$R$1,0))+PozycjeŚr!N$6*INDEX(Zawodnicy[],MATCH($A32,Players!$A$2:$A$100,0),MATCH("Strzał",Players!$A$1:$R$1,0))+PozycjeŚr!N$7*INDEX(Zawodnicy[],MATCH($A32,Players!$A$2:$A$100,0),MATCH("Gra głową",Players!$A$1:$R$1,0))+PozycjeŚr!N$8*INDEX(Zawodnicy[],MATCH($A32,Players!$A$2:$A$100,0),MATCH("Gra na bramce",Players!$A$1:$R$1,0))+PozycjeŚr!N$9*INDEX(Zawodnicy[],MATCH($A32,Players!$A$2:$A$100,0),MATCH("Panowanie",Players!$A$1:$R$1,0))+PozycjeŚr!N$10*INDEX(Zawodnicy[],MATCH($A32,Players!$A$2:$A$100,0),MATCH("Odbiór piłki",Players!$A$1:$R$1,0))+PozycjeŚr!N$11*INDEX(Zawodnicy[],MATCH($A32,Players!$A$2:$A$100,0),MATCH("Podania górą",Players!$A$1:$R$1,0))</f>
        <v>#N/A</v>
      </c>
      <c r="D32" s="16" t="e">
        <f>PozycjeŚr!O$2*INDEX(Zawodnicy[],MATCH($A32,Players!$A$2:$A$100,0),MATCH("Szybkość",Players!$A$1:$R$1,0))+PozycjeŚr!O$3*INDEX(Zawodnicy[],MATCH($A32,Players!$A$2:$A$100,0),MATCH("Kondycja",Players!$A$1:$R$1,0))+PozycjeŚr!O$4*INDEX(Zawodnicy[],MATCH($A32,Players!$A$2:$A$100,0),MATCH("Przegląd",Players!$A$1:$R$1,0))+PozycjeŚr!O$5*INDEX(Zawodnicy[],MATCH($A32,Players!$A$2:$A$100,0),MATCH("Podania dołem",Players!$A$1:$R$1,0))+PozycjeŚr!O$6*INDEX(Zawodnicy[],MATCH($A32,Players!$A$2:$A$100,0),MATCH("Strzał",Players!$A$1:$R$1,0))+PozycjeŚr!O$7*INDEX(Zawodnicy[],MATCH($A32,Players!$A$2:$A$100,0),MATCH("Gra głową",Players!$A$1:$R$1,0))+PozycjeŚr!O$8*INDEX(Zawodnicy[],MATCH($A32,Players!$A$2:$A$100,0),MATCH("Gra na bramce",Players!$A$1:$R$1,0))+PozycjeŚr!O$9*INDEX(Zawodnicy[],MATCH($A32,Players!$A$2:$A$100,0),MATCH("Panowanie",Players!$A$1:$R$1,0))+PozycjeŚr!O$10*INDEX(Zawodnicy[],MATCH($A32,Players!$A$2:$A$100,0),MATCH("Odbiór piłki",Players!$A$1:$R$1,0))+PozycjeŚr!O$11*INDEX(Zawodnicy[],MATCH($A32,Players!$A$2:$A$100,0),MATCH("Podania górą",Players!$A$1:$R$1,0))</f>
        <v>#N/A</v>
      </c>
      <c r="E32" s="16" t="e">
        <f>PozycjeŚr!P$2*INDEX(Zawodnicy[],MATCH($A32,Players!$A$2:$A$100,0),MATCH("Szybkość",Players!$A$1:$R$1,0))+PozycjeŚr!P$3*INDEX(Zawodnicy[],MATCH($A32,Players!$A$2:$A$100,0),MATCH("Kondycja",Players!$A$1:$R$1,0))+PozycjeŚr!P$4*INDEX(Zawodnicy[],MATCH($A32,Players!$A$2:$A$100,0),MATCH("Przegląd",Players!$A$1:$R$1,0))+PozycjeŚr!P$5*INDEX(Zawodnicy[],MATCH($A32,Players!$A$2:$A$100,0),MATCH("Podania dołem",Players!$A$1:$R$1,0))+PozycjeŚr!P$6*INDEX(Zawodnicy[],MATCH($A32,Players!$A$2:$A$100,0),MATCH("Strzał",Players!$A$1:$R$1,0))+PozycjeŚr!P$7*INDEX(Zawodnicy[],MATCH($A32,Players!$A$2:$A$100,0),MATCH("Gra głową",Players!$A$1:$R$1,0))+PozycjeŚr!P$8*INDEX(Zawodnicy[],MATCH($A32,Players!$A$2:$A$100,0),MATCH("Gra na bramce",Players!$A$1:$R$1,0))+PozycjeŚr!P$9*INDEX(Zawodnicy[],MATCH($A32,Players!$A$2:$A$100,0),MATCH("Panowanie",Players!$A$1:$R$1,0))+PozycjeŚr!P$10*INDEX(Zawodnicy[],MATCH($A32,Players!$A$2:$A$100,0),MATCH("Odbiór piłki",Players!$A$1:$R$1,0))+PozycjeŚr!P$11*INDEX(Zawodnicy[],MATCH($A32,Players!$A$2:$A$100,0),MATCH("Podania górą",Players!$A$1:$R$1,0))</f>
        <v>#N/A</v>
      </c>
      <c r="F32" s="16" t="e">
        <f>PozycjeŚr!Q$2*INDEX(Zawodnicy[],MATCH($A32,Players!$A$2:$A$100,0),MATCH("Szybkość",Players!$A$1:$R$1,0))+PozycjeŚr!Q$3*INDEX(Zawodnicy[],MATCH($A32,Players!$A$2:$A$100,0),MATCH("Kondycja",Players!$A$1:$R$1,0))+PozycjeŚr!Q$4*INDEX(Zawodnicy[],MATCH($A32,Players!$A$2:$A$100,0),MATCH("Przegląd",Players!$A$1:$R$1,0))+PozycjeŚr!Q$5*INDEX(Zawodnicy[],MATCH($A32,Players!$A$2:$A$100,0),MATCH("Podania dołem",Players!$A$1:$R$1,0))+PozycjeŚr!Q$6*INDEX(Zawodnicy[],MATCH($A32,Players!$A$2:$A$100,0),MATCH("Strzał",Players!$A$1:$R$1,0))+PozycjeŚr!Q$7*INDEX(Zawodnicy[],MATCH($A32,Players!$A$2:$A$100,0),MATCH("Gra głową",Players!$A$1:$R$1,0))+PozycjeŚr!Q$8*INDEX(Zawodnicy[],MATCH($A32,Players!$A$2:$A$100,0),MATCH("Gra na bramce",Players!$A$1:$R$1,0))+PozycjeŚr!Q$9*INDEX(Zawodnicy[],MATCH($A32,Players!$A$2:$A$100,0),MATCH("Panowanie",Players!$A$1:$R$1,0))+PozycjeŚr!Q$10*INDEX(Zawodnicy[],MATCH($A32,Players!$A$2:$A$100,0),MATCH("Odbiór piłki",Players!$A$1:$R$1,0))+PozycjeŚr!Q$11*INDEX(Zawodnicy[],MATCH($A32,Players!$A$2:$A$100,0),MATCH("Podania górą",Players!$A$1:$R$1,0))</f>
        <v>#N/A</v>
      </c>
      <c r="G32" s="16" t="e">
        <f>PozycjeŚr!R$2*INDEX(Zawodnicy[],MATCH($A32,Players!$A$2:$A$100,0),MATCH("Szybkość",Players!$A$1:$R$1,0))+PozycjeŚr!R$3*INDEX(Zawodnicy[],MATCH($A32,Players!$A$2:$A$100,0),MATCH("Kondycja",Players!$A$1:$R$1,0))+PozycjeŚr!R$4*INDEX(Zawodnicy[],MATCH($A32,Players!$A$2:$A$100,0),MATCH("Przegląd",Players!$A$1:$R$1,0))+PozycjeŚr!R$5*INDEX(Zawodnicy[],MATCH($A32,Players!$A$2:$A$100,0),MATCH("Podania dołem",Players!$A$1:$R$1,0))+PozycjeŚr!R$6*INDEX(Zawodnicy[],MATCH($A32,Players!$A$2:$A$100,0),MATCH("Strzał",Players!$A$1:$R$1,0))+PozycjeŚr!R$7*INDEX(Zawodnicy[],MATCH($A32,Players!$A$2:$A$100,0),MATCH("Gra głową",Players!$A$1:$R$1,0))+PozycjeŚr!R$8*INDEX(Zawodnicy[],MATCH($A32,Players!$A$2:$A$100,0),MATCH("Gra na bramce",Players!$A$1:$R$1,0))+PozycjeŚr!R$9*INDEX(Zawodnicy[],MATCH($A32,Players!$A$2:$A$100,0),MATCH("Panowanie",Players!$A$1:$R$1,0))+PozycjeŚr!R$10*INDEX(Zawodnicy[],MATCH($A32,Players!$A$2:$A$100,0),MATCH("Odbiór piłki",Players!$A$1:$R$1,0))+PozycjeŚr!R$11*INDEX(Zawodnicy[],MATCH($A32,Players!$A$2:$A$100,0),MATCH("Podania górą",Players!$A$1:$R$1,0))</f>
        <v>#N/A</v>
      </c>
      <c r="H32" s="16" t="e">
        <f>PozycjeŚr!S$2*INDEX(Zawodnicy[],MATCH($A32,Players!$A$2:$A$100,0),MATCH("Szybkość",Players!$A$1:$R$1,0))+PozycjeŚr!S$3*INDEX(Zawodnicy[],MATCH($A32,Players!$A$2:$A$100,0),MATCH("Kondycja",Players!$A$1:$R$1,0))+PozycjeŚr!S$4*INDEX(Zawodnicy[],MATCH($A32,Players!$A$2:$A$100,0),MATCH("Przegląd",Players!$A$1:$R$1,0))+PozycjeŚr!S$5*INDEX(Zawodnicy[],MATCH($A32,Players!$A$2:$A$100,0),MATCH("Podania dołem",Players!$A$1:$R$1,0))+PozycjeŚr!S$6*INDEX(Zawodnicy[],MATCH($A32,Players!$A$2:$A$100,0),MATCH("Strzał",Players!$A$1:$R$1,0))+PozycjeŚr!S$7*INDEX(Zawodnicy[],MATCH($A32,Players!$A$2:$A$100,0),MATCH("Gra głową",Players!$A$1:$R$1,0))+PozycjeŚr!S$8*INDEX(Zawodnicy[],MATCH($A32,Players!$A$2:$A$100,0),MATCH("Gra na bramce",Players!$A$1:$R$1,0))+PozycjeŚr!S$9*INDEX(Zawodnicy[],MATCH($A32,Players!$A$2:$A$100,0),MATCH("Panowanie",Players!$A$1:$R$1,0))+PozycjeŚr!S$10*INDEX(Zawodnicy[],MATCH($A32,Players!$A$2:$A$100,0),MATCH("Odbiór piłki",Players!$A$1:$R$1,0))+PozycjeŚr!S$11*INDEX(Zawodnicy[],MATCH($A32,Players!$A$2:$A$100,0),MATCH("Podania górą",Players!$A$1:$R$1,0))</f>
        <v>#N/A</v>
      </c>
      <c r="I32" s="16" t="e">
        <f>PozycjeŚr!T$2*INDEX(Zawodnicy[],MATCH($A32,Players!$A$2:$A$100,0),MATCH("Szybkość",Players!$A$1:$R$1,0))+PozycjeŚr!T$3*INDEX(Zawodnicy[],MATCH($A32,Players!$A$2:$A$100,0),MATCH("Kondycja",Players!$A$1:$R$1,0))+PozycjeŚr!T$4*INDEX(Zawodnicy[],MATCH($A32,Players!$A$2:$A$100,0),MATCH("Przegląd",Players!$A$1:$R$1,0))+PozycjeŚr!T$5*INDEX(Zawodnicy[],MATCH($A32,Players!$A$2:$A$100,0),MATCH("Podania dołem",Players!$A$1:$R$1,0))+PozycjeŚr!T$6*INDEX(Zawodnicy[],MATCH($A32,Players!$A$2:$A$100,0),MATCH("Strzał",Players!$A$1:$R$1,0))+PozycjeŚr!T$7*INDEX(Zawodnicy[],MATCH($A32,Players!$A$2:$A$100,0),MATCH("Gra głową",Players!$A$1:$R$1,0))+PozycjeŚr!T$8*INDEX(Zawodnicy[],MATCH($A32,Players!$A$2:$A$100,0),MATCH("Gra na bramce",Players!$A$1:$R$1,0))+PozycjeŚr!T$9*INDEX(Zawodnicy[],MATCH($A32,Players!$A$2:$A$100,0),MATCH("Panowanie",Players!$A$1:$R$1,0))+PozycjeŚr!T$10*INDEX(Zawodnicy[],MATCH($A32,Players!$A$2:$A$100,0),MATCH("Odbiór piłki",Players!$A$1:$R$1,0))+PozycjeŚr!T$11*INDEX(Zawodnicy[],MATCH($A32,Players!$A$2:$A$100,0),MATCH("Podania górą",Players!$A$1:$R$1,0))</f>
        <v>#N/A</v>
      </c>
      <c r="J32" s="16" t="e">
        <f>PozycjeŚr!U$2*INDEX(Zawodnicy[],MATCH($A32,Players!$A$2:$A$100,0),MATCH("Szybkość",Players!$A$1:$R$1,0))+PozycjeŚr!U$3*INDEX(Zawodnicy[],MATCH($A32,Players!$A$2:$A$100,0),MATCH("Kondycja",Players!$A$1:$R$1,0))+PozycjeŚr!U$4*INDEX(Zawodnicy[],MATCH($A32,Players!$A$2:$A$100,0),MATCH("Przegląd",Players!$A$1:$R$1,0))+PozycjeŚr!U$5*INDEX(Zawodnicy[],MATCH($A32,Players!$A$2:$A$100,0),MATCH("Podania dołem",Players!$A$1:$R$1,0))+PozycjeŚr!U$6*INDEX(Zawodnicy[],MATCH($A32,Players!$A$2:$A$100,0),MATCH("Strzał",Players!$A$1:$R$1,0))+PozycjeŚr!U$7*INDEX(Zawodnicy[],MATCH($A32,Players!$A$2:$A$100,0),MATCH("Gra głową",Players!$A$1:$R$1,0))+PozycjeŚr!U$8*INDEX(Zawodnicy[],MATCH($A32,Players!$A$2:$A$100,0),MATCH("Gra na bramce",Players!$A$1:$R$1,0))+PozycjeŚr!U$9*INDEX(Zawodnicy[],MATCH($A32,Players!$A$2:$A$100,0),MATCH("Panowanie",Players!$A$1:$R$1,0))+PozycjeŚr!U$10*INDEX(Zawodnicy[],MATCH($A32,Players!$A$2:$A$100,0),MATCH("Odbiór piłki",Players!$A$1:$R$1,0))+PozycjeŚr!U$11*INDEX(Zawodnicy[],MATCH($A32,Players!$A$2:$A$100,0),MATCH("Podania górą",Players!$A$1:$R$1,0))</f>
        <v>#N/A</v>
      </c>
      <c r="K32" s="16" t="e">
        <f>PozycjeŚr!V$2*INDEX(Zawodnicy[],MATCH($A32,Players!$A$2:$A$100,0),MATCH("Szybkość",Players!$A$1:$R$1,0))+PozycjeŚr!V$3*INDEX(Zawodnicy[],MATCH($A32,Players!$A$2:$A$100,0),MATCH("Kondycja",Players!$A$1:$R$1,0))+PozycjeŚr!V$4*INDEX(Zawodnicy[],MATCH($A32,Players!$A$2:$A$100,0),MATCH("Przegląd",Players!$A$1:$R$1,0))+PozycjeŚr!V$5*INDEX(Zawodnicy[],MATCH($A32,Players!$A$2:$A$100,0),MATCH("Podania dołem",Players!$A$1:$R$1,0))+PozycjeŚr!V$6*INDEX(Zawodnicy[],MATCH($A32,Players!$A$2:$A$100,0),MATCH("Strzał",Players!$A$1:$R$1,0))+PozycjeŚr!V$7*INDEX(Zawodnicy[],MATCH($A32,Players!$A$2:$A$100,0),MATCH("Gra głową",Players!$A$1:$R$1,0))+PozycjeŚr!V$8*INDEX(Zawodnicy[],MATCH($A32,Players!$A$2:$A$100,0),MATCH("Gra na bramce",Players!$A$1:$R$1,0))+PozycjeŚr!V$9*INDEX(Zawodnicy[],MATCH($A32,Players!$A$2:$A$100,0),MATCH("Panowanie",Players!$A$1:$R$1,0))+PozycjeŚr!V$10*INDEX(Zawodnicy[],MATCH($A32,Players!$A$2:$A$100,0),MATCH("Odbiór piłki",Players!$A$1:$R$1,0))+PozycjeŚr!V$11*INDEX(Zawodnicy[],MATCH($A32,Players!$A$2:$A$100,0),MATCH("Podania górą",Players!$A$1:$R$1,0))</f>
        <v>#N/A</v>
      </c>
      <c r="L32" s="16" t="e">
        <f>PozycjeŚr!W$2*INDEX(Zawodnicy[],MATCH($A32,Players!$A$2:$A$100,0),MATCH("Szybkość",Players!$A$1:$R$1,0))+PozycjeŚr!W$3*INDEX(Zawodnicy[],MATCH($A32,Players!$A$2:$A$100,0),MATCH("Kondycja",Players!$A$1:$R$1,0))+PozycjeŚr!W$4*INDEX(Zawodnicy[],MATCH($A32,Players!$A$2:$A$100,0),MATCH("Przegląd",Players!$A$1:$R$1,0))+PozycjeŚr!W$5*INDEX(Zawodnicy[],MATCH($A32,Players!$A$2:$A$100,0),MATCH("Podania dołem",Players!$A$1:$R$1,0))+PozycjeŚr!W$6*INDEX(Zawodnicy[],MATCH($A32,Players!$A$2:$A$100,0),MATCH("Strzał",Players!$A$1:$R$1,0))+PozycjeŚr!W$7*INDEX(Zawodnicy[],MATCH($A32,Players!$A$2:$A$100,0),MATCH("Gra głową",Players!$A$1:$R$1,0))+PozycjeŚr!W$8*INDEX(Zawodnicy[],MATCH($A32,Players!$A$2:$A$100,0),MATCH("Gra na bramce",Players!$A$1:$R$1,0))+PozycjeŚr!W$9*INDEX(Zawodnicy[],MATCH($A32,Players!$A$2:$A$100,0),MATCH("Panowanie",Players!$A$1:$R$1,0))+PozycjeŚr!W$10*INDEX(Zawodnicy[],MATCH($A32,Players!$A$2:$A$100,0),MATCH("Odbiór piłki",Players!$A$1:$R$1,0))+PozycjeŚr!W$11*INDEX(Zawodnicy[],MATCH($A32,Players!$A$2:$A$100,0),MATCH("Podania górą",Players!$A$1:$R$1,0))</f>
        <v>#N/A</v>
      </c>
    </row>
    <row r="33" spans="1:12" x14ac:dyDescent="0.25">
      <c r="A33" s="39">
        <f>IFERROR(Zawodnicy[[#This Row],[Number]],"-")</f>
        <v>53</v>
      </c>
      <c r="B33" t="str">
        <f>VLOOKUP(Radar[[#This Row],[Numer]],Zawodnicy[],2,FALSE)</f>
        <v>Cyryl Huratiak</v>
      </c>
      <c r="C33" s="16" t="e">
        <f>PozycjeŚr!N$2*INDEX(Zawodnicy[],MATCH($A33,Players!$A$2:$A$100,0),MATCH("Szybkość",Players!$A$1:$R$1,0))+PozycjeŚr!N$3*INDEX(Zawodnicy[],MATCH($A33,Players!$A$2:$A$100,0),MATCH("Kondycja",Players!$A$1:$R$1,0))+PozycjeŚr!N$4*INDEX(Zawodnicy[],MATCH($A33,Players!$A$2:$A$100,0),MATCH("Przegląd",Players!$A$1:$R$1,0))+PozycjeŚr!N$5*INDEX(Zawodnicy[],MATCH($A33,Players!$A$2:$A$100,0),MATCH("Podania dołem",Players!$A$1:$R$1,0))+PozycjeŚr!N$6*INDEX(Zawodnicy[],MATCH($A33,Players!$A$2:$A$100,0),MATCH("Strzał",Players!$A$1:$R$1,0))+PozycjeŚr!N$7*INDEX(Zawodnicy[],MATCH($A33,Players!$A$2:$A$100,0),MATCH("Gra głową",Players!$A$1:$R$1,0))+PozycjeŚr!N$8*INDEX(Zawodnicy[],MATCH($A33,Players!$A$2:$A$100,0),MATCH("Gra na bramce",Players!$A$1:$R$1,0))+PozycjeŚr!N$9*INDEX(Zawodnicy[],MATCH($A33,Players!$A$2:$A$100,0),MATCH("Panowanie",Players!$A$1:$R$1,0))+PozycjeŚr!N$10*INDEX(Zawodnicy[],MATCH($A33,Players!$A$2:$A$100,0),MATCH("Odbiór piłki",Players!$A$1:$R$1,0))+PozycjeŚr!N$11*INDEX(Zawodnicy[],MATCH($A33,Players!$A$2:$A$100,0),MATCH("Podania górą",Players!$A$1:$R$1,0))</f>
        <v>#N/A</v>
      </c>
      <c r="D33" s="16" t="e">
        <f>PozycjeŚr!O$2*INDEX(Zawodnicy[],MATCH($A33,Players!$A$2:$A$100,0),MATCH("Szybkość",Players!$A$1:$R$1,0))+PozycjeŚr!O$3*INDEX(Zawodnicy[],MATCH($A33,Players!$A$2:$A$100,0),MATCH("Kondycja",Players!$A$1:$R$1,0))+PozycjeŚr!O$4*INDEX(Zawodnicy[],MATCH($A33,Players!$A$2:$A$100,0),MATCH("Przegląd",Players!$A$1:$R$1,0))+PozycjeŚr!O$5*INDEX(Zawodnicy[],MATCH($A33,Players!$A$2:$A$100,0),MATCH("Podania dołem",Players!$A$1:$R$1,0))+PozycjeŚr!O$6*INDEX(Zawodnicy[],MATCH($A33,Players!$A$2:$A$100,0),MATCH("Strzał",Players!$A$1:$R$1,0))+PozycjeŚr!O$7*INDEX(Zawodnicy[],MATCH($A33,Players!$A$2:$A$100,0),MATCH("Gra głową",Players!$A$1:$R$1,0))+PozycjeŚr!O$8*INDEX(Zawodnicy[],MATCH($A33,Players!$A$2:$A$100,0),MATCH("Gra na bramce",Players!$A$1:$R$1,0))+PozycjeŚr!O$9*INDEX(Zawodnicy[],MATCH($A33,Players!$A$2:$A$100,0),MATCH("Panowanie",Players!$A$1:$R$1,0))+PozycjeŚr!O$10*INDEX(Zawodnicy[],MATCH($A33,Players!$A$2:$A$100,0),MATCH("Odbiór piłki",Players!$A$1:$R$1,0))+PozycjeŚr!O$11*INDEX(Zawodnicy[],MATCH($A33,Players!$A$2:$A$100,0),MATCH("Podania górą",Players!$A$1:$R$1,0))</f>
        <v>#N/A</v>
      </c>
      <c r="E33" s="16" t="e">
        <f>PozycjeŚr!P$2*INDEX(Zawodnicy[],MATCH($A33,Players!$A$2:$A$100,0),MATCH("Szybkość",Players!$A$1:$R$1,0))+PozycjeŚr!P$3*INDEX(Zawodnicy[],MATCH($A33,Players!$A$2:$A$100,0),MATCH("Kondycja",Players!$A$1:$R$1,0))+PozycjeŚr!P$4*INDEX(Zawodnicy[],MATCH($A33,Players!$A$2:$A$100,0),MATCH("Przegląd",Players!$A$1:$R$1,0))+PozycjeŚr!P$5*INDEX(Zawodnicy[],MATCH($A33,Players!$A$2:$A$100,0),MATCH("Podania dołem",Players!$A$1:$R$1,0))+PozycjeŚr!P$6*INDEX(Zawodnicy[],MATCH($A33,Players!$A$2:$A$100,0),MATCH("Strzał",Players!$A$1:$R$1,0))+PozycjeŚr!P$7*INDEX(Zawodnicy[],MATCH($A33,Players!$A$2:$A$100,0),MATCH("Gra głową",Players!$A$1:$R$1,0))+PozycjeŚr!P$8*INDEX(Zawodnicy[],MATCH($A33,Players!$A$2:$A$100,0),MATCH("Gra na bramce",Players!$A$1:$R$1,0))+PozycjeŚr!P$9*INDEX(Zawodnicy[],MATCH($A33,Players!$A$2:$A$100,0),MATCH("Panowanie",Players!$A$1:$R$1,0))+PozycjeŚr!P$10*INDEX(Zawodnicy[],MATCH($A33,Players!$A$2:$A$100,0),MATCH("Odbiór piłki",Players!$A$1:$R$1,0))+PozycjeŚr!P$11*INDEX(Zawodnicy[],MATCH($A33,Players!$A$2:$A$100,0),MATCH("Podania górą",Players!$A$1:$R$1,0))</f>
        <v>#N/A</v>
      </c>
      <c r="F33" s="16" t="e">
        <f>PozycjeŚr!Q$2*INDEX(Zawodnicy[],MATCH($A33,Players!$A$2:$A$100,0),MATCH("Szybkość",Players!$A$1:$R$1,0))+PozycjeŚr!Q$3*INDEX(Zawodnicy[],MATCH($A33,Players!$A$2:$A$100,0),MATCH("Kondycja",Players!$A$1:$R$1,0))+PozycjeŚr!Q$4*INDEX(Zawodnicy[],MATCH($A33,Players!$A$2:$A$100,0),MATCH("Przegląd",Players!$A$1:$R$1,0))+PozycjeŚr!Q$5*INDEX(Zawodnicy[],MATCH($A33,Players!$A$2:$A$100,0),MATCH("Podania dołem",Players!$A$1:$R$1,0))+PozycjeŚr!Q$6*INDEX(Zawodnicy[],MATCH($A33,Players!$A$2:$A$100,0),MATCH("Strzał",Players!$A$1:$R$1,0))+PozycjeŚr!Q$7*INDEX(Zawodnicy[],MATCH($A33,Players!$A$2:$A$100,0),MATCH("Gra głową",Players!$A$1:$R$1,0))+PozycjeŚr!Q$8*INDEX(Zawodnicy[],MATCH($A33,Players!$A$2:$A$100,0),MATCH("Gra na bramce",Players!$A$1:$R$1,0))+PozycjeŚr!Q$9*INDEX(Zawodnicy[],MATCH($A33,Players!$A$2:$A$100,0),MATCH("Panowanie",Players!$A$1:$R$1,0))+PozycjeŚr!Q$10*INDEX(Zawodnicy[],MATCH($A33,Players!$A$2:$A$100,0),MATCH("Odbiór piłki",Players!$A$1:$R$1,0))+PozycjeŚr!Q$11*INDEX(Zawodnicy[],MATCH($A33,Players!$A$2:$A$100,0),MATCH("Podania górą",Players!$A$1:$R$1,0))</f>
        <v>#N/A</v>
      </c>
      <c r="G33" s="16" t="e">
        <f>PozycjeŚr!R$2*INDEX(Zawodnicy[],MATCH($A33,Players!$A$2:$A$100,0),MATCH("Szybkość",Players!$A$1:$R$1,0))+PozycjeŚr!R$3*INDEX(Zawodnicy[],MATCH($A33,Players!$A$2:$A$100,0),MATCH("Kondycja",Players!$A$1:$R$1,0))+PozycjeŚr!R$4*INDEX(Zawodnicy[],MATCH($A33,Players!$A$2:$A$100,0),MATCH("Przegląd",Players!$A$1:$R$1,0))+PozycjeŚr!R$5*INDEX(Zawodnicy[],MATCH($A33,Players!$A$2:$A$100,0),MATCH("Podania dołem",Players!$A$1:$R$1,0))+PozycjeŚr!R$6*INDEX(Zawodnicy[],MATCH($A33,Players!$A$2:$A$100,0),MATCH("Strzał",Players!$A$1:$R$1,0))+PozycjeŚr!R$7*INDEX(Zawodnicy[],MATCH($A33,Players!$A$2:$A$100,0),MATCH("Gra głową",Players!$A$1:$R$1,0))+PozycjeŚr!R$8*INDEX(Zawodnicy[],MATCH($A33,Players!$A$2:$A$100,0),MATCH("Gra na bramce",Players!$A$1:$R$1,0))+PozycjeŚr!R$9*INDEX(Zawodnicy[],MATCH($A33,Players!$A$2:$A$100,0),MATCH("Panowanie",Players!$A$1:$R$1,0))+PozycjeŚr!R$10*INDEX(Zawodnicy[],MATCH($A33,Players!$A$2:$A$100,0),MATCH("Odbiór piłki",Players!$A$1:$R$1,0))+PozycjeŚr!R$11*INDEX(Zawodnicy[],MATCH($A33,Players!$A$2:$A$100,0),MATCH("Podania górą",Players!$A$1:$R$1,0))</f>
        <v>#N/A</v>
      </c>
      <c r="H33" s="16" t="e">
        <f>PozycjeŚr!S$2*INDEX(Zawodnicy[],MATCH($A33,Players!$A$2:$A$100,0),MATCH("Szybkość",Players!$A$1:$R$1,0))+PozycjeŚr!S$3*INDEX(Zawodnicy[],MATCH($A33,Players!$A$2:$A$100,0),MATCH("Kondycja",Players!$A$1:$R$1,0))+PozycjeŚr!S$4*INDEX(Zawodnicy[],MATCH($A33,Players!$A$2:$A$100,0),MATCH("Przegląd",Players!$A$1:$R$1,0))+PozycjeŚr!S$5*INDEX(Zawodnicy[],MATCH($A33,Players!$A$2:$A$100,0),MATCH("Podania dołem",Players!$A$1:$R$1,0))+PozycjeŚr!S$6*INDEX(Zawodnicy[],MATCH($A33,Players!$A$2:$A$100,0),MATCH("Strzał",Players!$A$1:$R$1,0))+PozycjeŚr!S$7*INDEX(Zawodnicy[],MATCH($A33,Players!$A$2:$A$100,0),MATCH("Gra głową",Players!$A$1:$R$1,0))+PozycjeŚr!S$8*INDEX(Zawodnicy[],MATCH($A33,Players!$A$2:$A$100,0),MATCH("Gra na bramce",Players!$A$1:$R$1,0))+PozycjeŚr!S$9*INDEX(Zawodnicy[],MATCH($A33,Players!$A$2:$A$100,0),MATCH("Panowanie",Players!$A$1:$R$1,0))+PozycjeŚr!S$10*INDEX(Zawodnicy[],MATCH($A33,Players!$A$2:$A$100,0),MATCH("Odbiór piłki",Players!$A$1:$R$1,0))+PozycjeŚr!S$11*INDEX(Zawodnicy[],MATCH($A33,Players!$A$2:$A$100,0),MATCH("Podania górą",Players!$A$1:$R$1,0))</f>
        <v>#N/A</v>
      </c>
      <c r="I33" s="16" t="e">
        <f>PozycjeŚr!T$2*INDEX(Zawodnicy[],MATCH($A33,Players!$A$2:$A$100,0),MATCH("Szybkość",Players!$A$1:$R$1,0))+PozycjeŚr!T$3*INDEX(Zawodnicy[],MATCH($A33,Players!$A$2:$A$100,0),MATCH("Kondycja",Players!$A$1:$R$1,0))+PozycjeŚr!T$4*INDEX(Zawodnicy[],MATCH($A33,Players!$A$2:$A$100,0),MATCH("Przegląd",Players!$A$1:$R$1,0))+PozycjeŚr!T$5*INDEX(Zawodnicy[],MATCH($A33,Players!$A$2:$A$100,0),MATCH("Podania dołem",Players!$A$1:$R$1,0))+PozycjeŚr!T$6*INDEX(Zawodnicy[],MATCH($A33,Players!$A$2:$A$100,0),MATCH("Strzał",Players!$A$1:$R$1,0))+PozycjeŚr!T$7*INDEX(Zawodnicy[],MATCH($A33,Players!$A$2:$A$100,0),MATCH("Gra głową",Players!$A$1:$R$1,0))+PozycjeŚr!T$8*INDEX(Zawodnicy[],MATCH($A33,Players!$A$2:$A$100,0),MATCH("Gra na bramce",Players!$A$1:$R$1,0))+PozycjeŚr!T$9*INDEX(Zawodnicy[],MATCH($A33,Players!$A$2:$A$100,0),MATCH("Panowanie",Players!$A$1:$R$1,0))+PozycjeŚr!T$10*INDEX(Zawodnicy[],MATCH($A33,Players!$A$2:$A$100,0),MATCH("Odbiór piłki",Players!$A$1:$R$1,0))+PozycjeŚr!T$11*INDEX(Zawodnicy[],MATCH($A33,Players!$A$2:$A$100,0),MATCH("Podania górą",Players!$A$1:$R$1,0))</f>
        <v>#N/A</v>
      </c>
      <c r="J33" s="16" t="e">
        <f>PozycjeŚr!U$2*INDEX(Zawodnicy[],MATCH($A33,Players!$A$2:$A$100,0),MATCH("Szybkość",Players!$A$1:$R$1,0))+PozycjeŚr!U$3*INDEX(Zawodnicy[],MATCH($A33,Players!$A$2:$A$100,0),MATCH("Kondycja",Players!$A$1:$R$1,0))+PozycjeŚr!U$4*INDEX(Zawodnicy[],MATCH($A33,Players!$A$2:$A$100,0),MATCH("Przegląd",Players!$A$1:$R$1,0))+PozycjeŚr!U$5*INDEX(Zawodnicy[],MATCH($A33,Players!$A$2:$A$100,0),MATCH("Podania dołem",Players!$A$1:$R$1,0))+PozycjeŚr!U$6*INDEX(Zawodnicy[],MATCH($A33,Players!$A$2:$A$100,0),MATCH("Strzał",Players!$A$1:$R$1,0))+PozycjeŚr!U$7*INDEX(Zawodnicy[],MATCH($A33,Players!$A$2:$A$100,0),MATCH("Gra głową",Players!$A$1:$R$1,0))+PozycjeŚr!U$8*INDEX(Zawodnicy[],MATCH($A33,Players!$A$2:$A$100,0),MATCH("Gra na bramce",Players!$A$1:$R$1,0))+PozycjeŚr!U$9*INDEX(Zawodnicy[],MATCH($A33,Players!$A$2:$A$100,0),MATCH("Panowanie",Players!$A$1:$R$1,0))+PozycjeŚr!U$10*INDEX(Zawodnicy[],MATCH($A33,Players!$A$2:$A$100,0),MATCH("Odbiór piłki",Players!$A$1:$R$1,0))+PozycjeŚr!U$11*INDEX(Zawodnicy[],MATCH($A33,Players!$A$2:$A$100,0),MATCH("Podania górą",Players!$A$1:$R$1,0))</f>
        <v>#N/A</v>
      </c>
      <c r="K33" s="16" t="e">
        <f>PozycjeŚr!V$2*INDEX(Zawodnicy[],MATCH($A33,Players!$A$2:$A$100,0),MATCH("Szybkość",Players!$A$1:$R$1,0))+PozycjeŚr!V$3*INDEX(Zawodnicy[],MATCH($A33,Players!$A$2:$A$100,0),MATCH("Kondycja",Players!$A$1:$R$1,0))+PozycjeŚr!V$4*INDEX(Zawodnicy[],MATCH($A33,Players!$A$2:$A$100,0),MATCH("Przegląd",Players!$A$1:$R$1,0))+PozycjeŚr!V$5*INDEX(Zawodnicy[],MATCH($A33,Players!$A$2:$A$100,0),MATCH("Podania dołem",Players!$A$1:$R$1,0))+PozycjeŚr!V$6*INDEX(Zawodnicy[],MATCH($A33,Players!$A$2:$A$100,0),MATCH("Strzał",Players!$A$1:$R$1,0))+PozycjeŚr!V$7*INDEX(Zawodnicy[],MATCH($A33,Players!$A$2:$A$100,0),MATCH("Gra głową",Players!$A$1:$R$1,0))+PozycjeŚr!V$8*INDEX(Zawodnicy[],MATCH($A33,Players!$A$2:$A$100,0),MATCH("Gra na bramce",Players!$A$1:$R$1,0))+PozycjeŚr!V$9*INDEX(Zawodnicy[],MATCH($A33,Players!$A$2:$A$100,0),MATCH("Panowanie",Players!$A$1:$R$1,0))+PozycjeŚr!V$10*INDEX(Zawodnicy[],MATCH($A33,Players!$A$2:$A$100,0),MATCH("Odbiór piłki",Players!$A$1:$R$1,0))+PozycjeŚr!V$11*INDEX(Zawodnicy[],MATCH($A33,Players!$A$2:$A$100,0),MATCH("Podania górą",Players!$A$1:$R$1,0))</f>
        <v>#N/A</v>
      </c>
      <c r="L33" s="16" t="e">
        <f>PozycjeŚr!W$2*INDEX(Zawodnicy[],MATCH($A33,Players!$A$2:$A$100,0),MATCH("Szybkość",Players!$A$1:$R$1,0))+PozycjeŚr!W$3*INDEX(Zawodnicy[],MATCH($A33,Players!$A$2:$A$100,0),MATCH("Kondycja",Players!$A$1:$R$1,0))+PozycjeŚr!W$4*INDEX(Zawodnicy[],MATCH($A33,Players!$A$2:$A$100,0),MATCH("Przegląd",Players!$A$1:$R$1,0))+PozycjeŚr!W$5*INDEX(Zawodnicy[],MATCH($A33,Players!$A$2:$A$100,0),MATCH("Podania dołem",Players!$A$1:$R$1,0))+PozycjeŚr!W$6*INDEX(Zawodnicy[],MATCH($A33,Players!$A$2:$A$100,0),MATCH("Strzał",Players!$A$1:$R$1,0))+PozycjeŚr!W$7*INDEX(Zawodnicy[],MATCH($A33,Players!$A$2:$A$100,0),MATCH("Gra głową",Players!$A$1:$R$1,0))+PozycjeŚr!W$8*INDEX(Zawodnicy[],MATCH($A33,Players!$A$2:$A$100,0),MATCH("Gra na bramce",Players!$A$1:$R$1,0))+PozycjeŚr!W$9*INDEX(Zawodnicy[],MATCH($A33,Players!$A$2:$A$100,0),MATCH("Panowanie",Players!$A$1:$R$1,0))+PozycjeŚr!W$10*INDEX(Zawodnicy[],MATCH($A33,Players!$A$2:$A$100,0),MATCH("Odbiór piłki",Players!$A$1:$R$1,0))+PozycjeŚr!W$11*INDEX(Zawodnicy[],MATCH($A33,Players!$A$2:$A$100,0),MATCH("Podania górą",Players!$A$1:$R$1,0))</f>
        <v>#N/A</v>
      </c>
    </row>
    <row r="34" spans="1:12" x14ac:dyDescent="0.25">
      <c r="A34" s="39">
        <f>IFERROR(Zawodnicy[[#This Row],[Number]],"-")</f>
        <v>59</v>
      </c>
      <c r="B34" t="str">
        <f>VLOOKUP(Radar[[#This Row],[Numer]],Zawodnicy[],2,FALSE)</f>
        <v>Milosz Kostrzewski</v>
      </c>
      <c r="C34" s="16" t="e">
        <f>PozycjeŚr!N$2*INDEX(Zawodnicy[],MATCH($A34,Players!$A$2:$A$100,0),MATCH("Szybkość",Players!$A$1:$R$1,0))+PozycjeŚr!N$3*INDEX(Zawodnicy[],MATCH($A34,Players!$A$2:$A$100,0),MATCH("Kondycja",Players!$A$1:$R$1,0))+PozycjeŚr!N$4*INDEX(Zawodnicy[],MATCH($A34,Players!$A$2:$A$100,0),MATCH("Przegląd",Players!$A$1:$R$1,0))+PozycjeŚr!N$5*INDEX(Zawodnicy[],MATCH($A34,Players!$A$2:$A$100,0),MATCH("Podania dołem",Players!$A$1:$R$1,0))+PozycjeŚr!N$6*INDEX(Zawodnicy[],MATCH($A34,Players!$A$2:$A$100,0),MATCH("Strzał",Players!$A$1:$R$1,0))+PozycjeŚr!N$7*INDEX(Zawodnicy[],MATCH($A34,Players!$A$2:$A$100,0),MATCH("Gra głową",Players!$A$1:$R$1,0))+PozycjeŚr!N$8*INDEX(Zawodnicy[],MATCH($A34,Players!$A$2:$A$100,0),MATCH("Gra na bramce",Players!$A$1:$R$1,0))+PozycjeŚr!N$9*INDEX(Zawodnicy[],MATCH($A34,Players!$A$2:$A$100,0),MATCH("Panowanie",Players!$A$1:$R$1,0))+PozycjeŚr!N$10*INDEX(Zawodnicy[],MATCH($A34,Players!$A$2:$A$100,0),MATCH("Odbiór piłki",Players!$A$1:$R$1,0))+PozycjeŚr!N$11*INDEX(Zawodnicy[],MATCH($A34,Players!$A$2:$A$100,0),MATCH("Podania górą",Players!$A$1:$R$1,0))</f>
        <v>#N/A</v>
      </c>
      <c r="D34" s="16" t="e">
        <f>PozycjeŚr!O$2*INDEX(Zawodnicy[],MATCH($A34,Players!$A$2:$A$100,0),MATCH("Szybkość",Players!$A$1:$R$1,0))+PozycjeŚr!O$3*INDEX(Zawodnicy[],MATCH($A34,Players!$A$2:$A$100,0),MATCH("Kondycja",Players!$A$1:$R$1,0))+PozycjeŚr!O$4*INDEX(Zawodnicy[],MATCH($A34,Players!$A$2:$A$100,0),MATCH("Przegląd",Players!$A$1:$R$1,0))+PozycjeŚr!O$5*INDEX(Zawodnicy[],MATCH($A34,Players!$A$2:$A$100,0),MATCH("Podania dołem",Players!$A$1:$R$1,0))+PozycjeŚr!O$6*INDEX(Zawodnicy[],MATCH($A34,Players!$A$2:$A$100,0),MATCH("Strzał",Players!$A$1:$R$1,0))+PozycjeŚr!O$7*INDEX(Zawodnicy[],MATCH($A34,Players!$A$2:$A$100,0),MATCH("Gra głową",Players!$A$1:$R$1,0))+PozycjeŚr!O$8*INDEX(Zawodnicy[],MATCH($A34,Players!$A$2:$A$100,0),MATCH("Gra na bramce",Players!$A$1:$R$1,0))+PozycjeŚr!O$9*INDEX(Zawodnicy[],MATCH($A34,Players!$A$2:$A$100,0),MATCH("Panowanie",Players!$A$1:$R$1,0))+PozycjeŚr!O$10*INDEX(Zawodnicy[],MATCH($A34,Players!$A$2:$A$100,0),MATCH("Odbiór piłki",Players!$A$1:$R$1,0))+PozycjeŚr!O$11*INDEX(Zawodnicy[],MATCH($A34,Players!$A$2:$A$100,0),MATCH("Podania górą",Players!$A$1:$R$1,0))</f>
        <v>#N/A</v>
      </c>
      <c r="E34" s="16" t="e">
        <f>PozycjeŚr!P$2*INDEX(Zawodnicy[],MATCH($A34,Players!$A$2:$A$100,0),MATCH("Szybkość",Players!$A$1:$R$1,0))+PozycjeŚr!P$3*INDEX(Zawodnicy[],MATCH($A34,Players!$A$2:$A$100,0),MATCH("Kondycja",Players!$A$1:$R$1,0))+PozycjeŚr!P$4*INDEX(Zawodnicy[],MATCH($A34,Players!$A$2:$A$100,0),MATCH("Przegląd",Players!$A$1:$R$1,0))+PozycjeŚr!P$5*INDEX(Zawodnicy[],MATCH($A34,Players!$A$2:$A$100,0),MATCH("Podania dołem",Players!$A$1:$R$1,0))+PozycjeŚr!P$6*INDEX(Zawodnicy[],MATCH($A34,Players!$A$2:$A$100,0),MATCH("Strzał",Players!$A$1:$R$1,0))+PozycjeŚr!P$7*INDEX(Zawodnicy[],MATCH($A34,Players!$A$2:$A$100,0),MATCH("Gra głową",Players!$A$1:$R$1,0))+PozycjeŚr!P$8*INDEX(Zawodnicy[],MATCH($A34,Players!$A$2:$A$100,0),MATCH("Gra na bramce",Players!$A$1:$R$1,0))+PozycjeŚr!P$9*INDEX(Zawodnicy[],MATCH($A34,Players!$A$2:$A$100,0),MATCH("Panowanie",Players!$A$1:$R$1,0))+PozycjeŚr!P$10*INDEX(Zawodnicy[],MATCH($A34,Players!$A$2:$A$100,0),MATCH("Odbiór piłki",Players!$A$1:$R$1,0))+PozycjeŚr!P$11*INDEX(Zawodnicy[],MATCH($A34,Players!$A$2:$A$100,0),MATCH("Podania górą",Players!$A$1:$R$1,0))</f>
        <v>#N/A</v>
      </c>
      <c r="F34" s="16" t="e">
        <f>PozycjeŚr!Q$2*INDEX(Zawodnicy[],MATCH($A34,Players!$A$2:$A$100,0),MATCH("Szybkość",Players!$A$1:$R$1,0))+PozycjeŚr!Q$3*INDEX(Zawodnicy[],MATCH($A34,Players!$A$2:$A$100,0),MATCH("Kondycja",Players!$A$1:$R$1,0))+PozycjeŚr!Q$4*INDEX(Zawodnicy[],MATCH($A34,Players!$A$2:$A$100,0),MATCH("Przegląd",Players!$A$1:$R$1,0))+PozycjeŚr!Q$5*INDEX(Zawodnicy[],MATCH($A34,Players!$A$2:$A$100,0),MATCH("Podania dołem",Players!$A$1:$R$1,0))+PozycjeŚr!Q$6*INDEX(Zawodnicy[],MATCH($A34,Players!$A$2:$A$100,0),MATCH("Strzał",Players!$A$1:$R$1,0))+PozycjeŚr!Q$7*INDEX(Zawodnicy[],MATCH($A34,Players!$A$2:$A$100,0),MATCH("Gra głową",Players!$A$1:$R$1,0))+PozycjeŚr!Q$8*INDEX(Zawodnicy[],MATCH($A34,Players!$A$2:$A$100,0),MATCH("Gra na bramce",Players!$A$1:$R$1,0))+PozycjeŚr!Q$9*INDEX(Zawodnicy[],MATCH($A34,Players!$A$2:$A$100,0),MATCH("Panowanie",Players!$A$1:$R$1,0))+PozycjeŚr!Q$10*INDEX(Zawodnicy[],MATCH($A34,Players!$A$2:$A$100,0),MATCH("Odbiór piłki",Players!$A$1:$R$1,0))+PozycjeŚr!Q$11*INDEX(Zawodnicy[],MATCH($A34,Players!$A$2:$A$100,0),MATCH("Podania górą",Players!$A$1:$R$1,0))</f>
        <v>#N/A</v>
      </c>
      <c r="G34" s="16" t="e">
        <f>PozycjeŚr!R$2*INDEX(Zawodnicy[],MATCH($A34,Players!$A$2:$A$100,0),MATCH("Szybkość",Players!$A$1:$R$1,0))+PozycjeŚr!R$3*INDEX(Zawodnicy[],MATCH($A34,Players!$A$2:$A$100,0),MATCH("Kondycja",Players!$A$1:$R$1,0))+PozycjeŚr!R$4*INDEX(Zawodnicy[],MATCH($A34,Players!$A$2:$A$100,0),MATCH("Przegląd",Players!$A$1:$R$1,0))+PozycjeŚr!R$5*INDEX(Zawodnicy[],MATCH($A34,Players!$A$2:$A$100,0),MATCH("Podania dołem",Players!$A$1:$R$1,0))+PozycjeŚr!R$6*INDEX(Zawodnicy[],MATCH($A34,Players!$A$2:$A$100,0),MATCH("Strzał",Players!$A$1:$R$1,0))+PozycjeŚr!R$7*INDEX(Zawodnicy[],MATCH($A34,Players!$A$2:$A$100,0),MATCH("Gra głową",Players!$A$1:$R$1,0))+PozycjeŚr!R$8*INDEX(Zawodnicy[],MATCH($A34,Players!$A$2:$A$100,0),MATCH("Gra na bramce",Players!$A$1:$R$1,0))+PozycjeŚr!R$9*INDEX(Zawodnicy[],MATCH($A34,Players!$A$2:$A$100,0),MATCH("Panowanie",Players!$A$1:$R$1,0))+PozycjeŚr!R$10*INDEX(Zawodnicy[],MATCH($A34,Players!$A$2:$A$100,0),MATCH("Odbiór piłki",Players!$A$1:$R$1,0))+PozycjeŚr!R$11*INDEX(Zawodnicy[],MATCH($A34,Players!$A$2:$A$100,0),MATCH("Podania górą",Players!$A$1:$R$1,0))</f>
        <v>#N/A</v>
      </c>
      <c r="H34" s="16" t="e">
        <f>PozycjeŚr!S$2*INDEX(Zawodnicy[],MATCH($A34,Players!$A$2:$A$100,0),MATCH("Szybkość",Players!$A$1:$R$1,0))+PozycjeŚr!S$3*INDEX(Zawodnicy[],MATCH($A34,Players!$A$2:$A$100,0),MATCH("Kondycja",Players!$A$1:$R$1,0))+PozycjeŚr!S$4*INDEX(Zawodnicy[],MATCH($A34,Players!$A$2:$A$100,0),MATCH("Przegląd",Players!$A$1:$R$1,0))+PozycjeŚr!S$5*INDEX(Zawodnicy[],MATCH($A34,Players!$A$2:$A$100,0),MATCH("Podania dołem",Players!$A$1:$R$1,0))+PozycjeŚr!S$6*INDEX(Zawodnicy[],MATCH($A34,Players!$A$2:$A$100,0),MATCH("Strzał",Players!$A$1:$R$1,0))+PozycjeŚr!S$7*INDEX(Zawodnicy[],MATCH($A34,Players!$A$2:$A$100,0),MATCH("Gra głową",Players!$A$1:$R$1,0))+PozycjeŚr!S$8*INDEX(Zawodnicy[],MATCH($A34,Players!$A$2:$A$100,0),MATCH("Gra na bramce",Players!$A$1:$R$1,0))+PozycjeŚr!S$9*INDEX(Zawodnicy[],MATCH($A34,Players!$A$2:$A$100,0),MATCH("Panowanie",Players!$A$1:$R$1,0))+PozycjeŚr!S$10*INDEX(Zawodnicy[],MATCH($A34,Players!$A$2:$A$100,0),MATCH("Odbiór piłki",Players!$A$1:$R$1,0))+PozycjeŚr!S$11*INDEX(Zawodnicy[],MATCH($A34,Players!$A$2:$A$100,0),MATCH("Podania górą",Players!$A$1:$R$1,0))</f>
        <v>#N/A</v>
      </c>
      <c r="I34" s="16" t="e">
        <f>PozycjeŚr!T$2*INDEX(Zawodnicy[],MATCH($A34,Players!$A$2:$A$100,0),MATCH("Szybkość",Players!$A$1:$R$1,0))+PozycjeŚr!T$3*INDEX(Zawodnicy[],MATCH($A34,Players!$A$2:$A$100,0),MATCH("Kondycja",Players!$A$1:$R$1,0))+PozycjeŚr!T$4*INDEX(Zawodnicy[],MATCH($A34,Players!$A$2:$A$100,0),MATCH("Przegląd",Players!$A$1:$R$1,0))+PozycjeŚr!T$5*INDEX(Zawodnicy[],MATCH($A34,Players!$A$2:$A$100,0),MATCH("Podania dołem",Players!$A$1:$R$1,0))+PozycjeŚr!T$6*INDEX(Zawodnicy[],MATCH($A34,Players!$A$2:$A$100,0),MATCH("Strzał",Players!$A$1:$R$1,0))+PozycjeŚr!T$7*INDEX(Zawodnicy[],MATCH($A34,Players!$A$2:$A$100,0),MATCH("Gra głową",Players!$A$1:$R$1,0))+PozycjeŚr!T$8*INDEX(Zawodnicy[],MATCH($A34,Players!$A$2:$A$100,0),MATCH("Gra na bramce",Players!$A$1:$R$1,0))+PozycjeŚr!T$9*INDEX(Zawodnicy[],MATCH($A34,Players!$A$2:$A$100,0),MATCH("Panowanie",Players!$A$1:$R$1,0))+PozycjeŚr!T$10*INDEX(Zawodnicy[],MATCH($A34,Players!$A$2:$A$100,0),MATCH("Odbiór piłki",Players!$A$1:$R$1,0))+PozycjeŚr!T$11*INDEX(Zawodnicy[],MATCH($A34,Players!$A$2:$A$100,0),MATCH("Podania górą",Players!$A$1:$R$1,0))</f>
        <v>#N/A</v>
      </c>
      <c r="J34" s="16" t="e">
        <f>PozycjeŚr!U$2*INDEX(Zawodnicy[],MATCH($A34,Players!$A$2:$A$100,0),MATCH("Szybkość",Players!$A$1:$R$1,0))+PozycjeŚr!U$3*INDEX(Zawodnicy[],MATCH($A34,Players!$A$2:$A$100,0),MATCH("Kondycja",Players!$A$1:$R$1,0))+PozycjeŚr!U$4*INDEX(Zawodnicy[],MATCH($A34,Players!$A$2:$A$100,0),MATCH("Przegląd",Players!$A$1:$R$1,0))+PozycjeŚr!U$5*INDEX(Zawodnicy[],MATCH($A34,Players!$A$2:$A$100,0),MATCH("Podania dołem",Players!$A$1:$R$1,0))+PozycjeŚr!U$6*INDEX(Zawodnicy[],MATCH($A34,Players!$A$2:$A$100,0),MATCH("Strzał",Players!$A$1:$R$1,0))+PozycjeŚr!U$7*INDEX(Zawodnicy[],MATCH($A34,Players!$A$2:$A$100,0),MATCH("Gra głową",Players!$A$1:$R$1,0))+PozycjeŚr!U$8*INDEX(Zawodnicy[],MATCH($A34,Players!$A$2:$A$100,0),MATCH("Gra na bramce",Players!$A$1:$R$1,0))+PozycjeŚr!U$9*INDEX(Zawodnicy[],MATCH($A34,Players!$A$2:$A$100,0),MATCH("Panowanie",Players!$A$1:$R$1,0))+PozycjeŚr!U$10*INDEX(Zawodnicy[],MATCH($A34,Players!$A$2:$A$100,0),MATCH("Odbiór piłki",Players!$A$1:$R$1,0))+PozycjeŚr!U$11*INDEX(Zawodnicy[],MATCH($A34,Players!$A$2:$A$100,0),MATCH("Podania górą",Players!$A$1:$R$1,0))</f>
        <v>#N/A</v>
      </c>
      <c r="K34" s="16" t="e">
        <f>PozycjeŚr!V$2*INDEX(Zawodnicy[],MATCH($A34,Players!$A$2:$A$100,0),MATCH("Szybkość",Players!$A$1:$R$1,0))+PozycjeŚr!V$3*INDEX(Zawodnicy[],MATCH($A34,Players!$A$2:$A$100,0),MATCH("Kondycja",Players!$A$1:$R$1,0))+PozycjeŚr!V$4*INDEX(Zawodnicy[],MATCH($A34,Players!$A$2:$A$100,0),MATCH("Przegląd",Players!$A$1:$R$1,0))+PozycjeŚr!V$5*INDEX(Zawodnicy[],MATCH($A34,Players!$A$2:$A$100,0),MATCH("Podania dołem",Players!$A$1:$R$1,0))+PozycjeŚr!V$6*INDEX(Zawodnicy[],MATCH($A34,Players!$A$2:$A$100,0),MATCH("Strzał",Players!$A$1:$R$1,0))+PozycjeŚr!V$7*INDEX(Zawodnicy[],MATCH($A34,Players!$A$2:$A$100,0),MATCH("Gra głową",Players!$A$1:$R$1,0))+PozycjeŚr!V$8*INDEX(Zawodnicy[],MATCH($A34,Players!$A$2:$A$100,0),MATCH("Gra na bramce",Players!$A$1:$R$1,0))+PozycjeŚr!V$9*INDEX(Zawodnicy[],MATCH($A34,Players!$A$2:$A$100,0),MATCH("Panowanie",Players!$A$1:$R$1,0))+PozycjeŚr!V$10*INDEX(Zawodnicy[],MATCH($A34,Players!$A$2:$A$100,0),MATCH("Odbiór piłki",Players!$A$1:$R$1,0))+PozycjeŚr!V$11*INDEX(Zawodnicy[],MATCH($A34,Players!$A$2:$A$100,0),MATCH("Podania górą",Players!$A$1:$R$1,0))</f>
        <v>#N/A</v>
      </c>
      <c r="L34" s="16" t="e">
        <f>PozycjeŚr!W$2*INDEX(Zawodnicy[],MATCH($A34,Players!$A$2:$A$100,0),MATCH("Szybkość",Players!$A$1:$R$1,0))+PozycjeŚr!W$3*INDEX(Zawodnicy[],MATCH($A34,Players!$A$2:$A$100,0),MATCH("Kondycja",Players!$A$1:$R$1,0))+PozycjeŚr!W$4*INDEX(Zawodnicy[],MATCH($A34,Players!$A$2:$A$100,0),MATCH("Przegląd",Players!$A$1:$R$1,0))+PozycjeŚr!W$5*INDEX(Zawodnicy[],MATCH($A34,Players!$A$2:$A$100,0),MATCH("Podania dołem",Players!$A$1:$R$1,0))+PozycjeŚr!W$6*INDEX(Zawodnicy[],MATCH($A34,Players!$A$2:$A$100,0),MATCH("Strzał",Players!$A$1:$R$1,0))+PozycjeŚr!W$7*INDEX(Zawodnicy[],MATCH($A34,Players!$A$2:$A$100,0),MATCH("Gra głową",Players!$A$1:$R$1,0))+PozycjeŚr!W$8*INDEX(Zawodnicy[],MATCH($A34,Players!$A$2:$A$100,0),MATCH("Gra na bramce",Players!$A$1:$R$1,0))+PozycjeŚr!W$9*INDEX(Zawodnicy[],MATCH($A34,Players!$A$2:$A$100,0),MATCH("Panowanie",Players!$A$1:$R$1,0))+PozycjeŚr!W$10*INDEX(Zawodnicy[],MATCH($A34,Players!$A$2:$A$100,0),MATCH("Odbiór piłki",Players!$A$1:$R$1,0))+PozycjeŚr!W$11*INDEX(Zawodnicy[],MATCH($A34,Players!$A$2:$A$100,0),MATCH("Podania górą",Players!$A$1:$R$1,0))</f>
        <v>#N/A</v>
      </c>
    </row>
    <row r="35" spans="1:12" x14ac:dyDescent="0.25">
      <c r="A35" s="39">
        <f>IFERROR(Zawodnicy[[#This Row],[Number]],"-")</f>
        <v>60</v>
      </c>
      <c r="B35" t="str">
        <f>VLOOKUP(Radar[[#This Row],[Numer]],Zawodnicy[],2,FALSE)</f>
        <v>Filip Blochowiak</v>
      </c>
      <c r="C35" s="16" t="e">
        <f>PozycjeŚr!N$2*INDEX(Zawodnicy[],MATCH($A35,Players!$A$2:$A$100,0),MATCH("Szybkość",Players!$A$1:$R$1,0))+PozycjeŚr!N$3*INDEX(Zawodnicy[],MATCH($A35,Players!$A$2:$A$100,0),MATCH("Kondycja",Players!$A$1:$R$1,0))+PozycjeŚr!N$4*INDEX(Zawodnicy[],MATCH($A35,Players!$A$2:$A$100,0),MATCH("Przegląd",Players!$A$1:$R$1,0))+PozycjeŚr!N$5*INDEX(Zawodnicy[],MATCH($A35,Players!$A$2:$A$100,0),MATCH("Podania dołem",Players!$A$1:$R$1,0))+PozycjeŚr!N$6*INDEX(Zawodnicy[],MATCH($A35,Players!$A$2:$A$100,0),MATCH("Strzał",Players!$A$1:$R$1,0))+PozycjeŚr!N$7*INDEX(Zawodnicy[],MATCH($A35,Players!$A$2:$A$100,0),MATCH("Gra głową",Players!$A$1:$R$1,0))+PozycjeŚr!N$8*INDEX(Zawodnicy[],MATCH($A35,Players!$A$2:$A$100,0),MATCH("Gra na bramce",Players!$A$1:$R$1,0))+PozycjeŚr!N$9*INDEX(Zawodnicy[],MATCH($A35,Players!$A$2:$A$100,0),MATCH("Panowanie",Players!$A$1:$R$1,0))+PozycjeŚr!N$10*INDEX(Zawodnicy[],MATCH($A35,Players!$A$2:$A$100,0),MATCH("Odbiór piłki",Players!$A$1:$R$1,0))+PozycjeŚr!N$11*INDEX(Zawodnicy[],MATCH($A35,Players!$A$2:$A$100,0),MATCH("Podania górą",Players!$A$1:$R$1,0))</f>
        <v>#N/A</v>
      </c>
      <c r="D35" s="16" t="e">
        <f>PozycjeŚr!O$2*INDEX(Zawodnicy[],MATCH($A35,Players!$A$2:$A$100,0),MATCH("Szybkość",Players!$A$1:$R$1,0))+PozycjeŚr!O$3*INDEX(Zawodnicy[],MATCH($A35,Players!$A$2:$A$100,0),MATCH("Kondycja",Players!$A$1:$R$1,0))+PozycjeŚr!O$4*INDEX(Zawodnicy[],MATCH($A35,Players!$A$2:$A$100,0),MATCH("Przegląd",Players!$A$1:$R$1,0))+PozycjeŚr!O$5*INDEX(Zawodnicy[],MATCH($A35,Players!$A$2:$A$100,0),MATCH("Podania dołem",Players!$A$1:$R$1,0))+PozycjeŚr!O$6*INDEX(Zawodnicy[],MATCH($A35,Players!$A$2:$A$100,0),MATCH("Strzał",Players!$A$1:$R$1,0))+PozycjeŚr!O$7*INDEX(Zawodnicy[],MATCH($A35,Players!$A$2:$A$100,0),MATCH("Gra głową",Players!$A$1:$R$1,0))+PozycjeŚr!O$8*INDEX(Zawodnicy[],MATCH($A35,Players!$A$2:$A$100,0),MATCH("Gra na bramce",Players!$A$1:$R$1,0))+PozycjeŚr!O$9*INDEX(Zawodnicy[],MATCH($A35,Players!$A$2:$A$100,0),MATCH("Panowanie",Players!$A$1:$R$1,0))+PozycjeŚr!O$10*INDEX(Zawodnicy[],MATCH($A35,Players!$A$2:$A$100,0),MATCH("Odbiór piłki",Players!$A$1:$R$1,0))+PozycjeŚr!O$11*INDEX(Zawodnicy[],MATCH($A35,Players!$A$2:$A$100,0),MATCH("Podania górą",Players!$A$1:$R$1,0))</f>
        <v>#N/A</v>
      </c>
      <c r="E35" s="16" t="e">
        <f>PozycjeŚr!P$2*INDEX(Zawodnicy[],MATCH($A35,Players!$A$2:$A$100,0),MATCH("Szybkość",Players!$A$1:$R$1,0))+PozycjeŚr!P$3*INDEX(Zawodnicy[],MATCH($A35,Players!$A$2:$A$100,0),MATCH("Kondycja",Players!$A$1:$R$1,0))+PozycjeŚr!P$4*INDEX(Zawodnicy[],MATCH($A35,Players!$A$2:$A$100,0),MATCH("Przegląd",Players!$A$1:$R$1,0))+PozycjeŚr!P$5*INDEX(Zawodnicy[],MATCH($A35,Players!$A$2:$A$100,0),MATCH("Podania dołem",Players!$A$1:$R$1,0))+PozycjeŚr!P$6*INDEX(Zawodnicy[],MATCH($A35,Players!$A$2:$A$100,0),MATCH("Strzał",Players!$A$1:$R$1,0))+PozycjeŚr!P$7*INDEX(Zawodnicy[],MATCH($A35,Players!$A$2:$A$100,0),MATCH("Gra głową",Players!$A$1:$R$1,0))+PozycjeŚr!P$8*INDEX(Zawodnicy[],MATCH($A35,Players!$A$2:$A$100,0),MATCH("Gra na bramce",Players!$A$1:$R$1,0))+PozycjeŚr!P$9*INDEX(Zawodnicy[],MATCH($A35,Players!$A$2:$A$100,0),MATCH("Panowanie",Players!$A$1:$R$1,0))+PozycjeŚr!P$10*INDEX(Zawodnicy[],MATCH($A35,Players!$A$2:$A$100,0),MATCH("Odbiór piłki",Players!$A$1:$R$1,0))+PozycjeŚr!P$11*INDEX(Zawodnicy[],MATCH($A35,Players!$A$2:$A$100,0),MATCH("Podania górą",Players!$A$1:$R$1,0))</f>
        <v>#N/A</v>
      </c>
      <c r="F35" s="16" t="e">
        <f>PozycjeŚr!Q$2*INDEX(Zawodnicy[],MATCH($A35,Players!$A$2:$A$100,0),MATCH("Szybkość",Players!$A$1:$R$1,0))+PozycjeŚr!Q$3*INDEX(Zawodnicy[],MATCH($A35,Players!$A$2:$A$100,0),MATCH("Kondycja",Players!$A$1:$R$1,0))+PozycjeŚr!Q$4*INDEX(Zawodnicy[],MATCH($A35,Players!$A$2:$A$100,0),MATCH("Przegląd",Players!$A$1:$R$1,0))+PozycjeŚr!Q$5*INDEX(Zawodnicy[],MATCH($A35,Players!$A$2:$A$100,0),MATCH("Podania dołem",Players!$A$1:$R$1,0))+PozycjeŚr!Q$6*INDEX(Zawodnicy[],MATCH($A35,Players!$A$2:$A$100,0),MATCH("Strzał",Players!$A$1:$R$1,0))+PozycjeŚr!Q$7*INDEX(Zawodnicy[],MATCH($A35,Players!$A$2:$A$100,0),MATCH("Gra głową",Players!$A$1:$R$1,0))+PozycjeŚr!Q$8*INDEX(Zawodnicy[],MATCH($A35,Players!$A$2:$A$100,0),MATCH("Gra na bramce",Players!$A$1:$R$1,0))+PozycjeŚr!Q$9*INDEX(Zawodnicy[],MATCH($A35,Players!$A$2:$A$100,0),MATCH("Panowanie",Players!$A$1:$R$1,0))+PozycjeŚr!Q$10*INDEX(Zawodnicy[],MATCH($A35,Players!$A$2:$A$100,0),MATCH("Odbiór piłki",Players!$A$1:$R$1,0))+PozycjeŚr!Q$11*INDEX(Zawodnicy[],MATCH($A35,Players!$A$2:$A$100,0),MATCH("Podania górą",Players!$A$1:$R$1,0))</f>
        <v>#N/A</v>
      </c>
      <c r="G35" s="16" t="e">
        <f>PozycjeŚr!R$2*INDEX(Zawodnicy[],MATCH($A35,Players!$A$2:$A$100,0),MATCH("Szybkość",Players!$A$1:$R$1,0))+PozycjeŚr!R$3*INDEX(Zawodnicy[],MATCH($A35,Players!$A$2:$A$100,0),MATCH("Kondycja",Players!$A$1:$R$1,0))+PozycjeŚr!R$4*INDEX(Zawodnicy[],MATCH($A35,Players!$A$2:$A$100,0),MATCH("Przegląd",Players!$A$1:$R$1,0))+PozycjeŚr!R$5*INDEX(Zawodnicy[],MATCH($A35,Players!$A$2:$A$100,0),MATCH("Podania dołem",Players!$A$1:$R$1,0))+PozycjeŚr!R$6*INDEX(Zawodnicy[],MATCH($A35,Players!$A$2:$A$100,0),MATCH("Strzał",Players!$A$1:$R$1,0))+PozycjeŚr!R$7*INDEX(Zawodnicy[],MATCH($A35,Players!$A$2:$A$100,0),MATCH("Gra głową",Players!$A$1:$R$1,0))+PozycjeŚr!R$8*INDEX(Zawodnicy[],MATCH($A35,Players!$A$2:$A$100,0),MATCH("Gra na bramce",Players!$A$1:$R$1,0))+PozycjeŚr!R$9*INDEX(Zawodnicy[],MATCH($A35,Players!$A$2:$A$100,0),MATCH("Panowanie",Players!$A$1:$R$1,0))+PozycjeŚr!R$10*INDEX(Zawodnicy[],MATCH($A35,Players!$A$2:$A$100,0),MATCH("Odbiór piłki",Players!$A$1:$R$1,0))+PozycjeŚr!R$11*INDEX(Zawodnicy[],MATCH($A35,Players!$A$2:$A$100,0),MATCH("Podania górą",Players!$A$1:$R$1,0))</f>
        <v>#N/A</v>
      </c>
      <c r="H35" s="16" t="e">
        <f>PozycjeŚr!S$2*INDEX(Zawodnicy[],MATCH($A35,Players!$A$2:$A$100,0),MATCH("Szybkość",Players!$A$1:$R$1,0))+PozycjeŚr!S$3*INDEX(Zawodnicy[],MATCH($A35,Players!$A$2:$A$100,0),MATCH("Kondycja",Players!$A$1:$R$1,0))+PozycjeŚr!S$4*INDEX(Zawodnicy[],MATCH($A35,Players!$A$2:$A$100,0),MATCH("Przegląd",Players!$A$1:$R$1,0))+PozycjeŚr!S$5*INDEX(Zawodnicy[],MATCH($A35,Players!$A$2:$A$100,0),MATCH("Podania dołem",Players!$A$1:$R$1,0))+PozycjeŚr!S$6*INDEX(Zawodnicy[],MATCH($A35,Players!$A$2:$A$100,0),MATCH("Strzał",Players!$A$1:$R$1,0))+PozycjeŚr!S$7*INDEX(Zawodnicy[],MATCH($A35,Players!$A$2:$A$100,0),MATCH("Gra głową",Players!$A$1:$R$1,0))+PozycjeŚr!S$8*INDEX(Zawodnicy[],MATCH($A35,Players!$A$2:$A$100,0),MATCH("Gra na bramce",Players!$A$1:$R$1,0))+PozycjeŚr!S$9*INDEX(Zawodnicy[],MATCH($A35,Players!$A$2:$A$100,0),MATCH("Panowanie",Players!$A$1:$R$1,0))+PozycjeŚr!S$10*INDEX(Zawodnicy[],MATCH($A35,Players!$A$2:$A$100,0),MATCH("Odbiór piłki",Players!$A$1:$R$1,0))+PozycjeŚr!S$11*INDEX(Zawodnicy[],MATCH($A35,Players!$A$2:$A$100,0),MATCH("Podania górą",Players!$A$1:$R$1,0))</f>
        <v>#N/A</v>
      </c>
      <c r="I35" s="16" t="e">
        <f>PozycjeŚr!T$2*INDEX(Zawodnicy[],MATCH($A35,Players!$A$2:$A$100,0),MATCH("Szybkość",Players!$A$1:$R$1,0))+PozycjeŚr!T$3*INDEX(Zawodnicy[],MATCH($A35,Players!$A$2:$A$100,0),MATCH("Kondycja",Players!$A$1:$R$1,0))+PozycjeŚr!T$4*INDEX(Zawodnicy[],MATCH($A35,Players!$A$2:$A$100,0),MATCH("Przegląd",Players!$A$1:$R$1,0))+PozycjeŚr!T$5*INDEX(Zawodnicy[],MATCH($A35,Players!$A$2:$A$100,0),MATCH("Podania dołem",Players!$A$1:$R$1,0))+PozycjeŚr!T$6*INDEX(Zawodnicy[],MATCH($A35,Players!$A$2:$A$100,0),MATCH("Strzał",Players!$A$1:$R$1,0))+PozycjeŚr!T$7*INDEX(Zawodnicy[],MATCH($A35,Players!$A$2:$A$100,0),MATCH("Gra głową",Players!$A$1:$R$1,0))+PozycjeŚr!T$8*INDEX(Zawodnicy[],MATCH($A35,Players!$A$2:$A$100,0),MATCH("Gra na bramce",Players!$A$1:$R$1,0))+PozycjeŚr!T$9*INDEX(Zawodnicy[],MATCH($A35,Players!$A$2:$A$100,0),MATCH("Panowanie",Players!$A$1:$R$1,0))+PozycjeŚr!T$10*INDEX(Zawodnicy[],MATCH($A35,Players!$A$2:$A$100,0),MATCH("Odbiór piłki",Players!$A$1:$R$1,0))+PozycjeŚr!T$11*INDEX(Zawodnicy[],MATCH($A35,Players!$A$2:$A$100,0),MATCH("Podania górą",Players!$A$1:$R$1,0))</f>
        <v>#N/A</v>
      </c>
      <c r="J35" s="16" t="e">
        <f>PozycjeŚr!U$2*INDEX(Zawodnicy[],MATCH($A35,Players!$A$2:$A$100,0),MATCH("Szybkość",Players!$A$1:$R$1,0))+PozycjeŚr!U$3*INDEX(Zawodnicy[],MATCH($A35,Players!$A$2:$A$100,0),MATCH("Kondycja",Players!$A$1:$R$1,0))+PozycjeŚr!U$4*INDEX(Zawodnicy[],MATCH($A35,Players!$A$2:$A$100,0),MATCH("Przegląd",Players!$A$1:$R$1,0))+PozycjeŚr!U$5*INDEX(Zawodnicy[],MATCH($A35,Players!$A$2:$A$100,0),MATCH("Podania dołem",Players!$A$1:$R$1,0))+PozycjeŚr!U$6*INDEX(Zawodnicy[],MATCH($A35,Players!$A$2:$A$100,0),MATCH("Strzał",Players!$A$1:$R$1,0))+PozycjeŚr!U$7*INDEX(Zawodnicy[],MATCH($A35,Players!$A$2:$A$100,0),MATCH("Gra głową",Players!$A$1:$R$1,0))+PozycjeŚr!U$8*INDEX(Zawodnicy[],MATCH($A35,Players!$A$2:$A$100,0),MATCH("Gra na bramce",Players!$A$1:$R$1,0))+PozycjeŚr!U$9*INDEX(Zawodnicy[],MATCH($A35,Players!$A$2:$A$100,0),MATCH("Panowanie",Players!$A$1:$R$1,0))+PozycjeŚr!U$10*INDEX(Zawodnicy[],MATCH($A35,Players!$A$2:$A$100,0),MATCH("Odbiór piłki",Players!$A$1:$R$1,0))+PozycjeŚr!U$11*INDEX(Zawodnicy[],MATCH($A35,Players!$A$2:$A$100,0),MATCH("Podania górą",Players!$A$1:$R$1,0))</f>
        <v>#N/A</v>
      </c>
      <c r="K35" s="16" t="e">
        <f>PozycjeŚr!V$2*INDEX(Zawodnicy[],MATCH($A35,Players!$A$2:$A$100,0),MATCH("Szybkość",Players!$A$1:$R$1,0))+PozycjeŚr!V$3*INDEX(Zawodnicy[],MATCH($A35,Players!$A$2:$A$100,0),MATCH("Kondycja",Players!$A$1:$R$1,0))+PozycjeŚr!V$4*INDEX(Zawodnicy[],MATCH($A35,Players!$A$2:$A$100,0),MATCH("Przegląd",Players!$A$1:$R$1,0))+PozycjeŚr!V$5*INDEX(Zawodnicy[],MATCH($A35,Players!$A$2:$A$100,0),MATCH("Podania dołem",Players!$A$1:$R$1,0))+PozycjeŚr!V$6*INDEX(Zawodnicy[],MATCH($A35,Players!$A$2:$A$100,0),MATCH("Strzał",Players!$A$1:$R$1,0))+PozycjeŚr!V$7*INDEX(Zawodnicy[],MATCH($A35,Players!$A$2:$A$100,0),MATCH("Gra głową",Players!$A$1:$R$1,0))+PozycjeŚr!V$8*INDEX(Zawodnicy[],MATCH($A35,Players!$A$2:$A$100,0),MATCH("Gra na bramce",Players!$A$1:$R$1,0))+PozycjeŚr!V$9*INDEX(Zawodnicy[],MATCH($A35,Players!$A$2:$A$100,0),MATCH("Panowanie",Players!$A$1:$R$1,0))+PozycjeŚr!V$10*INDEX(Zawodnicy[],MATCH($A35,Players!$A$2:$A$100,0),MATCH("Odbiór piłki",Players!$A$1:$R$1,0))+PozycjeŚr!V$11*INDEX(Zawodnicy[],MATCH($A35,Players!$A$2:$A$100,0),MATCH("Podania górą",Players!$A$1:$R$1,0))</f>
        <v>#N/A</v>
      </c>
      <c r="L35" s="16" t="e">
        <f>PozycjeŚr!W$2*INDEX(Zawodnicy[],MATCH($A35,Players!$A$2:$A$100,0),MATCH("Szybkość",Players!$A$1:$R$1,0))+PozycjeŚr!W$3*INDEX(Zawodnicy[],MATCH($A35,Players!$A$2:$A$100,0),MATCH("Kondycja",Players!$A$1:$R$1,0))+PozycjeŚr!W$4*INDEX(Zawodnicy[],MATCH($A35,Players!$A$2:$A$100,0),MATCH("Przegląd",Players!$A$1:$R$1,0))+PozycjeŚr!W$5*INDEX(Zawodnicy[],MATCH($A35,Players!$A$2:$A$100,0),MATCH("Podania dołem",Players!$A$1:$R$1,0))+PozycjeŚr!W$6*INDEX(Zawodnicy[],MATCH($A35,Players!$A$2:$A$100,0),MATCH("Strzał",Players!$A$1:$R$1,0))+PozycjeŚr!W$7*INDEX(Zawodnicy[],MATCH($A35,Players!$A$2:$A$100,0),MATCH("Gra głową",Players!$A$1:$R$1,0))+PozycjeŚr!W$8*INDEX(Zawodnicy[],MATCH($A35,Players!$A$2:$A$100,0),MATCH("Gra na bramce",Players!$A$1:$R$1,0))+PozycjeŚr!W$9*INDEX(Zawodnicy[],MATCH($A35,Players!$A$2:$A$100,0),MATCH("Panowanie",Players!$A$1:$R$1,0))+PozycjeŚr!W$10*INDEX(Zawodnicy[],MATCH($A35,Players!$A$2:$A$100,0),MATCH("Odbiór piłki",Players!$A$1:$R$1,0))+PozycjeŚr!W$11*INDEX(Zawodnicy[],MATCH($A35,Players!$A$2:$A$100,0),MATCH("Podania górą",Players!$A$1:$R$1,0))</f>
        <v>#N/A</v>
      </c>
    </row>
  </sheetData>
  <conditionalFormatting sqref="C2:C35">
    <cfRule type="colorScale" priority="10">
      <colorScale>
        <cfvo type="min"/>
        <cfvo type="max"/>
        <color rgb="FFFFEF9C"/>
        <color rgb="FF63BE7B"/>
      </colorScale>
    </cfRule>
  </conditionalFormatting>
  <conditionalFormatting sqref="D2:D35">
    <cfRule type="colorScale" priority="9">
      <colorScale>
        <cfvo type="min"/>
        <cfvo type="max"/>
        <color rgb="FFFFEF9C"/>
        <color rgb="FF63BE7B"/>
      </colorScale>
    </cfRule>
  </conditionalFormatting>
  <conditionalFormatting sqref="E2:E35">
    <cfRule type="colorScale" priority="8">
      <colorScale>
        <cfvo type="min"/>
        <cfvo type="max"/>
        <color rgb="FFFFEF9C"/>
        <color rgb="FF63BE7B"/>
      </colorScale>
    </cfRule>
  </conditionalFormatting>
  <conditionalFormatting sqref="F2:F35">
    <cfRule type="colorScale" priority="7">
      <colorScale>
        <cfvo type="min"/>
        <cfvo type="max"/>
        <color rgb="FFFFEF9C"/>
        <color rgb="FF63BE7B"/>
      </colorScale>
    </cfRule>
  </conditionalFormatting>
  <conditionalFormatting sqref="G2:G35">
    <cfRule type="colorScale" priority="6">
      <colorScale>
        <cfvo type="min"/>
        <cfvo type="max"/>
        <color rgb="FFFFEF9C"/>
        <color rgb="FF63BE7B"/>
      </colorScale>
    </cfRule>
  </conditionalFormatting>
  <conditionalFormatting sqref="H2:H35">
    <cfRule type="colorScale" priority="5">
      <colorScale>
        <cfvo type="min"/>
        <cfvo type="max"/>
        <color rgb="FFFFEF9C"/>
        <color rgb="FF63BE7B"/>
      </colorScale>
    </cfRule>
  </conditionalFormatting>
  <conditionalFormatting sqref="I2:I35">
    <cfRule type="colorScale" priority="4">
      <colorScale>
        <cfvo type="min"/>
        <cfvo type="max"/>
        <color rgb="FFFFEF9C"/>
        <color rgb="FF63BE7B"/>
      </colorScale>
    </cfRule>
  </conditionalFormatting>
  <conditionalFormatting sqref="J2:J35">
    <cfRule type="colorScale" priority="3">
      <colorScale>
        <cfvo type="min"/>
        <cfvo type="max"/>
        <color rgb="FFFFEF9C"/>
        <color rgb="FF63BE7B"/>
      </colorScale>
    </cfRule>
  </conditionalFormatting>
  <conditionalFormatting sqref="K2:K35">
    <cfRule type="colorScale" priority="2">
      <colorScale>
        <cfvo type="min"/>
        <cfvo type="max"/>
        <color rgb="FFFFEF9C"/>
        <color rgb="FF63BE7B"/>
      </colorScale>
    </cfRule>
  </conditionalFormatting>
  <conditionalFormatting sqref="L2:L35">
    <cfRule type="colorScale" priority="1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608EA-371A-4225-9FB7-084CC8874120}">
  <dimension ref="A2:AE31"/>
  <sheetViews>
    <sheetView workbookViewId="0">
      <selection activeCell="M14" sqref="M14"/>
    </sheetView>
  </sheetViews>
  <sheetFormatPr defaultRowHeight="15" x14ac:dyDescent="0.25"/>
  <cols>
    <col min="2" max="2" width="17.7109375" bestFit="1" customWidth="1"/>
    <col min="3" max="3" width="7.140625" bestFit="1" customWidth="1"/>
    <col min="4" max="4" width="7.7109375" bestFit="1" customWidth="1"/>
    <col min="5" max="5" width="11.7109375" bestFit="1" customWidth="1"/>
    <col min="6" max="6" width="6.5703125" bestFit="1" customWidth="1"/>
    <col min="7" max="7" width="10.7109375" bestFit="1" customWidth="1"/>
    <col min="8" max="8" width="14.28515625" bestFit="1" customWidth="1"/>
    <col min="9" max="16" width="9.140625" customWidth="1"/>
    <col min="17" max="17" width="22" bestFit="1" customWidth="1"/>
    <col min="18" max="18" width="6.5703125" bestFit="1" customWidth="1"/>
    <col min="19" max="19" width="5.5703125" bestFit="1" customWidth="1"/>
    <col min="20" max="22" width="5" bestFit="1" customWidth="1"/>
    <col min="23" max="25" width="4" bestFit="1" customWidth="1"/>
    <col min="26" max="26" width="3.28515625" bestFit="1" customWidth="1"/>
    <col min="27" max="27" width="4" bestFit="1" customWidth="1"/>
    <col min="28" max="28" width="11.85546875" bestFit="1" customWidth="1"/>
    <col min="29" max="29" width="7.140625" bestFit="1" customWidth="1"/>
    <col min="30" max="30" width="8.5703125" bestFit="1" customWidth="1"/>
    <col min="31" max="31" width="10.5703125" bestFit="1" customWidth="1"/>
    <col min="32" max="32" width="15" bestFit="1" customWidth="1"/>
    <col min="33" max="66" width="9.140625" customWidth="1"/>
    <col min="67" max="144" width="19" bestFit="1" customWidth="1"/>
    <col min="145" max="145" width="14.28515625" bestFit="1" customWidth="1"/>
  </cols>
  <sheetData>
    <row r="2" spans="1:31" x14ac:dyDescent="0.25">
      <c r="B2" s="88" t="s">
        <v>79</v>
      </c>
      <c r="C2" t="s" vm="1">
        <v>437</v>
      </c>
      <c r="Q2" s="3" t="s">
        <v>439</v>
      </c>
      <c r="R2" s="3">
        <f>COUNTIF(Meczusie[RodzajMeczu],"Liga")/6</f>
        <v>22</v>
      </c>
    </row>
    <row r="4" spans="1:31" x14ac:dyDescent="0.25">
      <c r="B4" s="88" t="s">
        <v>407</v>
      </c>
      <c r="C4" t="s">
        <v>36</v>
      </c>
      <c r="D4" t="s">
        <v>370</v>
      </c>
      <c r="E4" t="s">
        <v>435</v>
      </c>
      <c r="F4" t="s">
        <v>45</v>
      </c>
      <c r="G4" t="s">
        <v>434</v>
      </c>
      <c r="H4" t="s">
        <v>520</v>
      </c>
      <c r="Q4" s="88" t="s">
        <v>407</v>
      </c>
      <c r="R4" t="s">
        <v>45</v>
      </c>
      <c r="S4" t="s">
        <v>438</v>
      </c>
      <c r="T4" t="s">
        <v>55</v>
      </c>
      <c r="U4" t="s">
        <v>50</v>
      </c>
      <c r="V4" t="s">
        <v>43</v>
      </c>
      <c r="W4" t="s">
        <v>52</v>
      </c>
      <c r="X4" t="s">
        <v>54</v>
      </c>
      <c r="Y4" t="s">
        <v>42</v>
      </c>
      <c r="Z4" t="s">
        <v>40</v>
      </c>
      <c r="AA4" t="s">
        <v>49</v>
      </c>
      <c r="AB4" t="s">
        <v>533</v>
      </c>
      <c r="AC4" t="s">
        <v>441</v>
      </c>
      <c r="AD4" t="s">
        <v>534</v>
      </c>
      <c r="AE4" t="s">
        <v>535</v>
      </c>
    </row>
    <row r="5" spans="1:31" x14ac:dyDescent="0.25">
      <c r="A5" s="90">
        <v>1</v>
      </c>
      <c r="B5" s="91" t="s">
        <v>536</v>
      </c>
      <c r="C5">
        <v>1</v>
      </c>
      <c r="D5">
        <v>9</v>
      </c>
      <c r="E5" s="48">
        <v>0.65350129525270095</v>
      </c>
      <c r="F5" s="16">
        <v>7.7277272727272726</v>
      </c>
      <c r="G5">
        <v>2132</v>
      </c>
      <c r="H5" s="16">
        <v>7.7305393996247647</v>
      </c>
      <c r="P5">
        <v>1</v>
      </c>
      <c r="Q5" s="91" t="s">
        <v>260</v>
      </c>
      <c r="R5" s="16">
        <v>6.392087542087542</v>
      </c>
      <c r="S5" s="48">
        <v>0.78355000039653844</v>
      </c>
      <c r="T5">
        <v>2315</v>
      </c>
      <c r="U5">
        <v>1755</v>
      </c>
      <c r="V5">
        <v>839</v>
      </c>
      <c r="W5">
        <v>462</v>
      </c>
      <c r="X5">
        <v>852</v>
      </c>
      <c r="Y5">
        <v>125</v>
      </c>
      <c r="Z5">
        <v>85</v>
      </c>
      <c r="AA5">
        <v>431</v>
      </c>
      <c r="AB5" s="106">
        <v>0.55065554231227654</v>
      </c>
      <c r="AC5" s="106">
        <v>0.19721577726218098</v>
      </c>
      <c r="AD5" s="106">
        <v>0.75809935205183587</v>
      </c>
      <c r="AE5" s="106">
        <v>0.841796875</v>
      </c>
    </row>
    <row r="6" spans="1:31" x14ac:dyDescent="0.25">
      <c r="A6" s="90">
        <v>2</v>
      </c>
      <c r="B6" s="91" t="s">
        <v>521</v>
      </c>
      <c r="C6">
        <v>3</v>
      </c>
      <c r="D6">
        <v>2</v>
      </c>
      <c r="E6" s="48">
        <v>0.6410420697488618</v>
      </c>
      <c r="F6" s="16">
        <v>3.5022222222222221</v>
      </c>
      <c r="G6">
        <v>876</v>
      </c>
      <c r="H6" s="16">
        <v>3.4982305936073064</v>
      </c>
      <c r="P6">
        <v>2</v>
      </c>
      <c r="Q6" s="91" t="s">
        <v>332</v>
      </c>
      <c r="R6" s="16">
        <v>6.5880246913580249</v>
      </c>
      <c r="S6" s="48">
        <v>0.74773362715543823</v>
      </c>
      <c r="T6">
        <v>2264</v>
      </c>
      <c r="U6">
        <v>1512</v>
      </c>
      <c r="V6">
        <v>937</v>
      </c>
      <c r="W6">
        <v>485</v>
      </c>
      <c r="X6">
        <v>788</v>
      </c>
      <c r="Y6">
        <v>215</v>
      </c>
      <c r="Z6">
        <v>77</v>
      </c>
      <c r="AA6">
        <v>364</v>
      </c>
      <c r="AB6" s="106">
        <v>0.5176093916755603</v>
      </c>
      <c r="AC6" s="106">
        <v>0.21153846153846154</v>
      </c>
      <c r="AD6" s="106">
        <v>0.66784452296819785</v>
      </c>
      <c r="AE6" s="106">
        <v>0.88997555012224938</v>
      </c>
    </row>
    <row r="7" spans="1:31" x14ac:dyDescent="0.25">
      <c r="A7" s="90">
        <v>3</v>
      </c>
      <c r="B7" s="91" t="s">
        <v>537</v>
      </c>
      <c r="C7">
        <v>1</v>
      </c>
      <c r="D7">
        <v>1</v>
      </c>
      <c r="E7" s="48">
        <v>0.5621306298591956</v>
      </c>
      <c r="F7" s="16">
        <v>8.374545454545455</v>
      </c>
      <c r="G7">
        <v>2141</v>
      </c>
      <c r="H7" s="16">
        <v>8.373007940214853</v>
      </c>
      <c r="P7">
        <v>3</v>
      </c>
      <c r="Q7" s="91" t="s">
        <v>259</v>
      </c>
      <c r="R7" s="16">
        <v>6.8951867219917009</v>
      </c>
      <c r="S7" s="48">
        <v>0.81449599347566237</v>
      </c>
      <c r="T7">
        <v>2310</v>
      </c>
      <c r="U7">
        <v>1695</v>
      </c>
      <c r="V7">
        <v>897</v>
      </c>
      <c r="W7">
        <v>460</v>
      </c>
      <c r="X7">
        <v>743</v>
      </c>
      <c r="Y7">
        <v>215</v>
      </c>
      <c r="Z7">
        <v>79</v>
      </c>
      <c r="AA7">
        <v>450</v>
      </c>
      <c r="AB7" s="106">
        <v>0.51282051282051277</v>
      </c>
      <c r="AC7" s="106">
        <v>0.17555555555555555</v>
      </c>
      <c r="AD7" s="106">
        <v>0.73376623376623373</v>
      </c>
      <c r="AE7" s="106">
        <v>0.907258064516129</v>
      </c>
    </row>
    <row r="8" spans="1:31" x14ac:dyDescent="0.25">
      <c r="A8" s="90">
        <v>4</v>
      </c>
      <c r="B8" s="91" t="s">
        <v>538</v>
      </c>
      <c r="C8">
        <v>1</v>
      </c>
      <c r="D8">
        <v>11</v>
      </c>
      <c r="E8" s="48">
        <v>0.53447688896282863</v>
      </c>
      <c r="F8" s="16">
        <v>7.9745454545454546</v>
      </c>
      <c r="G8">
        <v>2137</v>
      </c>
      <c r="H8" s="16">
        <v>7.9712026204960225</v>
      </c>
      <c r="P8">
        <v>4</v>
      </c>
      <c r="Q8" s="91" t="s">
        <v>303</v>
      </c>
      <c r="R8" s="16">
        <v>6.3787654320987652</v>
      </c>
      <c r="S8" s="48">
        <v>0.7373304875805321</v>
      </c>
      <c r="T8">
        <v>2315</v>
      </c>
      <c r="U8">
        <v>1656</v>
      </c>
      <c r="V8">
        <v>851</v>
      </c>
      <c r="W8">
        <v>433</v>
      </c>
      <c r="X8">
        <v>768</v>
      </c>
      <c r="Y8">
        <v>233</v>
      </c>
      <c r="Z8">
        <v>69</v>
      </c>
      <c r="AA8">
        <v>306</v>
      </c>
      <c r="AB8" s="106">
        <v>0.50881316098707408</v>
      </c>
      <c r="AC8" s="106">
        <v>0.22549019607843138</v>
      </c>
      <c r="AD8" s="106">
        <v>0.71533477321814254</v>
      </c>
      <c r="AE8" s="106">
        <v>0.8595505617977528</v>
      </c>
    </row>
    <row r="9" spans="1:31" x14ac:dyDescent="0.25">
      <c r="A9" s="90">
        <v>5</v>
      </c>
      <c r="B9" s="91" t="s">
        <v>539</v>
      </c>
      <c r="C9">
        <v>1</v>
      </c>
      <c r="D9">
        <v>10</v>
      </c>
      <c r="E9" s="48">
        <v>0.50305606522075075</v>
      </c>
      <c r="F9" s="16">
        <v>6.156190476190476</v>
      </c>
      <c r="G9">
        <v>2035</v>
      </c>
      <c r="H9" s="16">
        <v>6.156407862407864</v>
      </c>
      <c r="P9">
        <v>5</v>
      </c>
      <c r="Q9" s="91" t="s">
        <v>302</v>
      </c>
      <c r="R9" s="16">
        <v>5.5913725490196082</v>
      </c>
      <c r="S9" s="48">
        <v>0.68560165371688653</v>
      </c>
      <c r="T9">
        <v>2033</v>
      </c>
      <c r="U9">
        <v>1361</v>
      </c>
      <c r="V9">
        <v>936</v>
      </c>
      <c r="W9">
        <v>469</v>
      </c>
      <c r="X9">
        <v>744</v>
      </c>
      <c r="Y9">
        <v>196</v>
      </c>
      <c r="Z9">
        <v>73</v>
      </c>
      <c r="AA9">
        <v>326</v>
      </c>
      <c r="AB9" s="106">
        <v>0.50106837606837606</v>
      </c>
      <c r="AC9" s="106">
        <v>0.22392638036809817</v>
      </c>
      <c r="AD9" s="106">
        <v>0.66945400885391049</v>
      </c>
      <c r="AE9" s="106">
        <v>0.86243386243386244</v>
      </c>
    </row>
    <row r="10" spans="1:31" x14ac:dyDescent="0.25">
      <c r="A10" s="90">
        <v>6</v>
      </c>
      <c r="B10" s="91" t="s">
        <v>540</v>
      </c>
      <c r="C10">
        <v>1</v>
      </c>
      <c r="D10">
        <v>5</v>
      </c>
      <c r="E10" s="48">
        <v>0.45103362476881353</v>
      </c>
      <c r="F10" s="16">
        <v>7.7009090909090903</v>
      </c>
      <c r="G10">
        <v>2122</v>
      </c>
      <c r="H10" s="16">
        <v>7.700640904806785</v>
      </c>
      <c r="P10">
        <v>6</v>
      </c>
      <c r="Q10" s="91" t="s">
        <v>234</v>
      </c>
      <c r="R10" s="16">
        <v>5.6008710801393731</v>
      </c>
      <c r="S10" s="48">
        <v>0.69970115084733941</v>
      </c>
      <c r="T10">
        <v>2044</v>
      </c>
      <c r="U10">
        <v>1384</v>
      </c>
      <c r="V10">
        <v>999</v>
      </c>
      <c r="W10">
        <v>496</v>
      </c>
      <c r="X10">
        <v>775</v>
      </c>
      <c r="Y10">
        <v>171</v>
      </c>
      <c r="Z10">
        <v>70</v>
      </c>
      <c r="AA10">
        <v>362</v>
      </c>
      <c r="AB10" s="106">
        <v>0.49649649649649652</v>
      </c>
      <c r="AC10" s="106">
        <v>0.19337016574585636</v>
      </c>
      <c r="AD10" s="106">
        <v>0.67710371819960857</v>
      </c>
      <c r="AE10" s="106">
        <v>0.86602870813397126</v>
      </c>
    </row>
    <row r="11" spans="1:31" x14ac:dyDescent="0.25">
      <c r="A11" s="90">
        <v>7</v>
      </c>
      <c r="B11" s="91" t="s">
        <v>541</v>
      </c>
      <c r="C11">
        <v>1</v>
      </c>
      <c r="D11">
        <v>3</v>
      </c>
      <c r="E11" s="48">
        <v>0.44152927957392107</v>
      </c>
      <c r="F11" s="16">
        <v>7.5304545454545453</v>
      </c>
      <c r="G11">
        <v>2126</v>
      </c>
      <c r="H11" s="16">
        <v>7.5379162746942621</v>
      </c>
      <c r="P11">
        <v>7</v>
      </c>
      <c r="Q11" s="91" t="s">
        <v>331</v>
      </c>
      <c r="R11" s="16">
        <v>6.6500793650793648</v>
      </c>
      <c r="S11" s="48">
        <v>0.75240382656315319</v>
      </c>
      <c r="T11">
        <v>2362</v>
      </c>
      <c r="U11">
        <v>1617</v>
      </c>
      <c r="V11">
        <v>1041</v>
      </c>
      <c r="W11">
        <v>491</v>
      </c>
      <c r="X11">
        <v>813</v>
      </c>
      <c r="Y11">
        <v>176</v>
      </c>
      <c r="Z11">
        <v>91</v>
      </c>
      <c r="AA11">
        <v>305</v>
      </c>
      <c r="AB11" s="106">
        <v>0.47166186359269935</v>
      </c>
      <c r="AC11" s="106">
        <v>0.29836065573770493</v>
      </c>
      <c r="AD11" s="106">
        <v>0.68458933107535991</v>
      </c>
      <c r="AE11" s="106">
        <v>0.83333333333333337</v>
      </c>
    </row>
    <row r="12" spans="1:31" x14ac:dyDescent="0.25">
      <c r="A12" s="90">
        <v>8</v>
      </c>
      <c r="B12" s="91" t="s">
        <v>542</v>
      </c>
      <c r="C12">
        <v>1</v>
      </c>
      <c r="D12">
        <v>8</v>
      </c>
      <c r="E12" s="48">
        <v>0.43213250042531687</v>
      </c>
      <c r="F12" s="16">
        <v>7.5550000000000006</v>
      </c>
      <c r="G12">
        <v>2129</v>
      </c>
      <c r="H12" s="16">
        <v>7.5520995772663202</v>
      </c>
      <c r="P12">
        <v>8</v>
      </c>
      <c r="Q12" s="91" t="s">
        <v>300</v>
      </c>
      <c r="R12" s="16">
        <v>5.5904545454545458</v>
      </c>
      <c r="S12" s="48">
        <v>0.66905678254548284</v>
      </c>
      <c r="T12">
        <v>2183</v>
      </c>
      <c r="U12">
        <v>1510</v>
      </c>
      <c r="V12">
        <v>934</v>
      </c>
      <c r="W12">
        <v>426</v>
      </c>
      <c r="X12">
        <v>650</v>
      </c>
      <c r="Y12">
        <v>294</v>
      </c>
      <c r="Z12">
        <v>66</v>
      </c>
      <c r="AA12">
        <v>232</v>
      </c>
      <c r="AB12" s="106">
        <v>0.45610278372591007</v>
      </c>
      <c r="AC12" s="106">
        <v>0.28448275862068967</v>
      </c>
      <c r="AD12" s="106">
        <v>0.69170865781035273</v>
      </c>
      <c r="AE12" s="106">
        <v>0.74121405750798719</v>
      </c>
    </row>
    <row r="13" spans="1:31" x14ac:dyDescent="0.25">
      <c r="A13" s="90">
        <v>9</v>
      </c>
      <c r="B13" s="91" t="s">
        <v>543</v>
      </c>
      <c r="C13">
        <v>110</v>
      </c>
      <c r="D13">
        <v>7</v>
      </c>
      <c r="E13" s="48">
        <v>0.42302641095097832</v>
      </c>
      <c r="F13" s="16">
        <v>7.00875</v>
      </c>
      <c r="G13">
        <v>772</v>
      </c>
      <c r="H13" s="16">
        <v>7.0201683937823844</v>
      </c>
      <c r="P13">
        <v>9</v>
      </c>
      <c r="Q13" s="91" t="s">
        <v>212</v>
      </c>
      <c r="R13" s="16">
        <v>6.1843032786885246</v>
      </c>
      <c r="S13" s="48">
        <v>0.64244293728094815</v>
      </c>
      <c r="T13">
        <v>2050</v>
      </c>
      <c r="U13">
        <v>1271</v>
      </c>
      <c r="V13">
        <v>1082</v>
      </c>
      <c r="W13">
        <v>491</v>
      </c>
      <c r="X13">
        <v>838</v>
      </c>
      <c r="Y13">
        <v>243</v>
      </c>
      <c r="Z13">
        <v>44</v>
      </c>
      <c r="AA13">
        <v>270</v>
      </c>
      <c r="AB13" s="106">
        <v>0.45378927911275418</v>
      </c>
      <c r="AC13" s="106">
        <v>0.16296296296296298</v>
      </c>
      <c r="AD13" s="106">
        <v>0.62</v>
      </c>
      <c r="AE13" s="106">
        <v>0.86816720257234725</v>
      </c>
    </row>
    <row r="14" spans="1:31" x14ac:dyDescent="0.25">
      <c r="A14" s="90">
        <v>10</v>
      </c>
      <c r="B14" s="91" t="s">
        <v>544</v>
      </c>
      <c r="C14">
        <v>1</v>
      </c>
      <c r="D14">
        <v>2</v>
      </c>
      <c r="E14" s="48">
        <v>0.40188700995862264</v>
      </c>
      <c r="F14" s="16">
        <v>8.4049999999999994</v>
      </c>
      <c r="G14">
        <v>1161</v>
      </c>
      <c r="H14" s="16">
        <v>8.4007924203273046</v>
      </c>
      <c r="P14">
        <v>10</v>
      </c>
      <c r="Q14" s="91" t="s">
        <v>235</v>
      </c>
      <c r="R14" s="16">
        <v>4.7877350427350427</v>
      </c>
      <c r="S14" s="48">
        <v>0.63565740497340051</v>
      </c>
      <c r="T14">
        <v>2068</v>
      </c>
      <c r="U14">
        <v>1227</v>
      </c>
      <c r="V14">
        <v>1012</v>
      </c>
      <c r="W14">
        <v>453</v>
      </c>
      <c r="X14">
        <v>729</v>
      </c>
      <c r="Y14">
        <v>238</v>
      </c>
      <c r="Z14">
        <v>43</v>
      </c>
      <c r="AA14">
        <v>229</v>
      </c>
      <c r="AB14" s="106">
        <v>0.44762845849802374</v>
      </c>
      <c r="AC14" s="106">
        <v>0.18777292576419213</v>
      </c>
      <c r="AD14" s="106">
        <v>0.59332688588007731</v>
      </c>
      <c r="AE14" s="106">
        <v>0.87072243346007605</v>
      </c>
    </row>
    <row r="15" spans="1:31" x14ac:dyDescent="0.25">
      <c r="A15" s="90">
        <v>11</v>
      </c>
      <c r="B15" s="91" t="s">
        <v>545</v>
      </c>
      <c r="C15">
        <v>102</v>
      </c>
      <c r="D15">
        <v>6</v>
      </c>
      <c r="E15" s="48">
        <v>0.3844396867537031</v>
      </c>
      <c r="F15" s="16">
        <v>6.8583333333333334</v>
      </c>
      <c r="G15">
        <v>1742</v>
      </c>
      <c r="H15" s="16">
        <v>6.8640355912743978</v>
      </c>
      <c r="P15">
        <v>11</v>
      </c>
      <c r="Q15" s="91" t="s">
        <v>233</v>
      </c>
      <c r="R15" s="16">
        <v>4.810413223140495</v>
      </c>
      <c r="S15" s="48">
        <v>0.60613788864094287</v>
      </c>
      <c r="T15">
        <v>1960</v>
      </c>
      <c r="U15">
        <v>1202</v>
      </c>
      <c r="V15">
        <v>863</v>
      </c>
      <c r="W15">
        <v>352</v>
      </c>
      <c r="X15">
        <v>555</v>
      </c>
      <c r="Y15">
        <v>199</v>
      </c>
      <c r="Z15">
        <v>54</v>
      </c>
      <c r="AA15">
        <v>224</v>
      </c>
      <c r="AB15" s="106">
        <v>0.40787949015063729</v>
      </c>
      <c r="AC15" s="106">
        <v>0.24107142857142858</v>
      </c>
      <c r="AD15" s="106">
        <v>0.61326530612244901</v>
      </c>
      <c r="AE15" s="106">
        <v>0.85171102661596954</v>
      </c>
    </row>
    <row r="16" spans="1:31" x14ac:dyDescent="0.25">
      <c r="B16" s="91" t="s">
        <v>546</v>
      </c>
      <c r="C16">
        <v>208</v>
      </c>
      <c r="D16">
        <v>7</v>
      </c>
      <c r="E16" s="48">
        <v>0.34994344747644607</v>
      </c>
      <c r="F16" s="16">
        <v>7.6292857142857144</v>
      </c>
      <c r="G16">
        <v>1353</v>
      </c>
      <c r="H16" s="16">
        <v>7.6194235033259439</v>
      </c>
      <c r="Q16" s="91" t="s">
        <v>440</v>
      </c>
      <c r="R16" s="16">
        <f>SUM(R5:R15)/11</f>
        <v>5.9517539519811811</v>
      </c>
      <c r="S16" s="16">
        <f t="shared" ref="S16:AA16" si="0">SUM(S5:S15)/11</f>
        <v>0.70673743210693862</v>
      </c>
      <c r="T16" s="16">
        <f t="shared" si="0"/>
        <v>2173.090909090909</v>
      </c>
      <c r="U16" s="16">
        <f t="shared" si="0"/>
        <v>1471.8181818181818</v>
      </c>
      <c r="V16" s="16">
        <f t="shared" si="0"/>
        <v>944.63636363636363</v>
      </c>
      <c r="W16" s="16">
        <f t="shared" si="0"/>
        <v>456.18181818181819</v>
      </c>
      <c r="X16" s="16">
        <f t="shared" si="0"/>
        <v>750.4545454545455</v>
      </c>
      <c r="Y16" s="16">
        <f t="shared" si="0"/>
        <v>209.54545454545453</v>
      </c>
      <c r="Z16" s="16">
        <f t="shared" si="0"/>
        <v>68.272727272727266</v>
      </c>
      <c r="AA16" s="16">
        <f t="shared" si="0"/>
        <v>318.09090909090907</v>
      </c>
    </row>
    <row r="17" spans="2:24" x14ac:dyDescent="0.25">
      <c r="B17" s="91" t="s">
        <v>547</v>
      </c>
      <c r="C17">
        <v>1</v>
      </c>
      <c r="D17">
        <v>6</v>
      </c>
      <c r="E17" s="48">
        <v>0.27819765148327369</v>
      </c>
      <c r="F17" s="16">
        <v>3.9424999999999999</v>
      </c>
      <c r="G17">
        <v>388</v>
      </c>
      <c r="H17" s="16">
        <v>3.9287886597938142</v>
      </c>
    </row>
    <row r="18" spans="2:24" x14ac:dyDescent="0.25">
      <c r="B18" s="91" t="s">
        <v>548</v>
      </c>
      <c r="C18">
        <v>1</v>
      </c>
      <c r="D18">
        <v>4</v>
      </c>
      <c r="E18" s="48">
        <v>0.27780744369962257</v>
      </c>
      <c r="F18" s="16">
        <v>6.5872727272727269</v>
      </c>
      <c r="G18">
        <v>2119</v>
      </c>
      <c r="H18" s="16">
        <v>6.5835630014157625</v>
      </c>
    </row>
    <row r="20" spans="2:24" x14ac:dyDescent="0.25">
      <c r="R20" t="s">
        <v>446</v>
      </c>
      <c r="S20" t="s">
        <v>445</v>
      </c>
      <c r="T20" t="s">
        <v>447</v>
      </c>
      <c r="U20" t="s">
        <v>448</v>
      </c>
      <c r="V20" t="s">
        <v>84</v>
      </c>
      <c r="W20" t="s">
        <v>85</v>
      </c>
      <c r="X20" t="s">
        <v>449</v>
      </c>
    </row>
    <row r="21" spans="2:24" x14ac:dyDescent="0.25">
      <c r="Q21" s="95" t="s">
        <v>212</v>
      </c>
      <c r="R21">
        <f>SUMIFS(Meczusie[GD],Meczusie[DOM],$Q21,Meczusie[RodzajMeczu],"Liga")</f>
        <v>21</v>
      </c>
      <c r="S21">
        <f>SUMIFS(Meczusie[GW],Meczusie[DOM],$Q21,Meczusie[RodzajMeczu],"Liga")</f>
        <v>17</v>
      </c>
      <c r="T21">
        <f>SUMIFS(Meczusie[GW],Meczusie[WYJAZD],$Q21,Meczusie[RodzajMeczu],"Liga")</f>
        <v>25</v>
      </c>
      <c r="U21">
        <f>SUMIFS(Meczusie[GD],Meczusie[WYJAZD],$Q21,Meczusie[RodzajMeczu],"Liga")</f>
        <v>26</v>
      </c>
      <c r="V21">
        <f>R21+T21</f>
        <v>46</v>
      </c>
      <c r="W21">
        <f>S21+U21</f>
        <v>43</v>
      </c>
      <c r="X21">
        <f>V21-W21</f>
        <v>3</v>
      </c>
    </row>
    <row r="22" spans="2:24" x14ac:dyDescent="0.25">
      <c r="Q22" s="89" t="s">
        <v>233</v>
      </c>
      <c r="R22">
        <f>SUMIFS(Meczusie[GD],Meczusie[DOM],$Q22,Meczusie[RodzajMeczu],"Liga")</f>
        <v>28</v>
      </c>
      <c r="S22">
        <f>SUMIFS(Meczusie[GW],Meczusie[DOM],$Q22,Meczusie[RodzajMeczu],"Liga")</f>
        <v>59</v>
      </c>
      <c r="T22">
        <f>SUMIFS(Meczusie[GW],Meczusie[WYJAZD],$Q22,Meczusie[RodzajMeczu],"Liga")</f>
        <v>26</v>
      </c>
      <c r="U22">
        <f>SUMIFS(Meczusie[GD],Meczusie[WYJAZD],$Q22,Meczusie[RodzajMeczu],"Liga")</f>
        <v>65</v>
      </c>
      <c r="V22">
        <f t="shared" ref="V22:V31" si="1">R22+T22</f>
        <v>54</v>
      </c>
      <c r="W22">
        <f t="shared" ref="W22:W31" si="2">S22+U22</f>
        <v>124</v>
      </c>
      <c r="X22">
        <f t="shared" ref="X22:X31" si="3">V22-W22</f>
        <v>-70</v>
      </c>
    </row>
    <row r="23" spans="2:24" x14ac:dyDescent="0.25">
      <c r="Q23" s="95" t="s">
        <v>259</v>
      </c>
      <c r="R23">
        <f>SUMIFS(Meczusie[GD],Meczusie[DOM],$Q23,Meczusie[RodzajMeczu],"Liga")</f>
        <v>50</v>
      </c>
      <c r="S23">
        <f>SUMIFS(Meczusie[GW],Meczusie[DOM],$Q23,Meczusie[RodzajMeczu],"Liga")</f>
        <v>22</v>
      </c>
      <c r="T23">
        <f>SUMIFS(Meczusie[GW],Meczusie[WYJAZD],$Q23,Meczusie[RodzajMeczu],"Liga")</f>
        <v>30</v>
      </c>
      <c r="U23">
        <f>SUMIFS(Meczusie[GD],Meczusie[WYJAZD],$Q23,Meczusie[RodzajMeczu],"Liga")</f>
        <v>20</v>
      </c>
      <c r="V23">
        <f t="shared" si="1"/>
        <v>80</v>
      </c>
      <c r="W23">
        <f t="shared" si="2"/>
        <v>42</v>
      </c>
      <c r="X23">
        <f t="shared" si="3"/>
        <v>38</v>
      </c>
    </row>
    <row r="24" spans="2:24" x14ac:dyDescent="0.25">
      <c r="Q24" s="89" t="s">
        <v>260</v>
      </c>
      <c r="R24">
        <f>SUMIFS(Meczusie[GD],Meczusie[DOM],$Q24,Meczusie[RodzajMeczu],"Liga")</f>
        <v>52</v>
      </c>
      <c r="S24">
        <f>SUMIFS(Meczusie[GW],Meczusie[DOM],$Q24,Meczusie[RodzajMeczu],"Liga")</f>
        <v>10</v>
      </c>
      <c r="T24">
        <f>SUMIFS(Meczusie[GW],Meczusie[WYJAZD],$Q24,Meczusie[RodzajMeczu],"Liga")</f>
        <v>33</v>
      </c>
      <c r="U24">
        <f>SUMIFS(Meczusie[GD],Meczusie[WYJAZD],$Q24,Meczusie[RodzajMeczu],"Liga")</f>
        <v>18</v>
      </c>
      <c r="V24">
        <f t="shared" si="1"/>
        <v>85</v>
      </c>
      <c r="W24">
        <f t="shared" si="2"/>
        <v>28</v>
      </c>
      <c r="X24">
        <f t="shared" si="3"/>
        <v>57</v>
      </c>
    </row>
    <row r="25" spans="2:24" x14ac:dyDescent="0.25">
      <c r="Q25" s="95" t="s">
        <v>332</v>
      </c>
      <c r="R25">
        <f>SUMIFS(Meczusie[GD],Meczusie[DOM],$Q25,Meczusie[RodzajMeczu],"Liga")</f>
        <v>31</v>
      </c>
      <c r="S25">
        <f>SUMIFS(Meczusie[GW],Meczusie[DOM],$Q25,Meczusie[RodzajMeczu],"Liga")</f>
        <v>24</v>
      </c>
      <c r="T25">
        <f>SUMIFS(Meczusie[GW],Meczusie[WYJAZD],$Q25,Meczusie[RodzajMeczu],"Liga")</f>
        <v>46</v>
      </c>
      <c r="U25">
        <f>SUMIFS(Meczusie[GD],Meczusie[WYJAZD],$Q25,Meczusie[RodzajMeczu],"Liga")</f>
        <v>12</v>
      </c>
      <c r="V25">
        <f t="shared" si="1"/>
        <v>77</v>
      </c>
      <c r="W25">
        <f t="shared" si="2"/>
        <v>36</v>
      </c>
      <c r="X25">
        <f t="shared" si="3"/>
        <v>41</v>
      </c>
    </row>
    <row r="26" spans="2:24" x14ac:dyDescent="0.25">
      <c r="Q26" s="89" t="s">
        <v>234</v>
      </c>
      <c r="R26">
        <f>SUMIFS(Meczusie[GD],Meczusie[DOM],$Q26,Meczusie[RodzajMeczu],"Liga")</f>
        <v>45</v>
      </c>
      <c r="S26">
        <f>SUMIFS(Meczusie[GW],Meczusie[DOM],$Q26,Meczusie[RodzajMeczu],"Liga")</f>
        <v>16</v>
      </c>
      <c r="T26">
        <f>SUMIFS(Meczusie[GW],Meczusie[WYJAZD],$Q26,Meczusie[RodzajMeczu],"Liga")</f>
        <v>25</v>
      </c>
      <c r="U26">
        <f>SUMIFS(Meczusie[GD],Meczusie[WYJAZD],$Q26,Meczusie[RodzajMeczu],"Liga")</f>
        <v>30</v>
      </c>
      <c r="V26">
        <f t="shared" si="1"/>
        <v>70</v>
      </c>
      <c r="W26">
        <f t="shared" si="2"/>
        <v>46</v>
      </c>
      <c r="X26">
        <f t="shared" si="3"/>
        <v>24</v>
      </c>
    </row>
    <row r="27" spans="2:24" x14ac:dyDescent="0.25">
      <c r="Q27" s="95" t="s">
        <v>331</v>
      </c>
      <c r="R27">
        <f>SUMIFS(Meczusie[GD],Meczusie[DOM],$Q27,Meczusie[RodzajMeczu],"Liga")</f>
        <v>51</v>
      </c>
      <c r="S27">
        <f>SUMIFS(Meczusie[GW],Meczusie[DOM],$Q27,Meczusie[RodzajMeczu],"Liga")</f>
        <v>13</v>
      </c>
      <c r="T27">
        <f>SUMIFS(Meczusie[GW],Meczusie[WYJAZD],$Q27,Meczusie[RodzajMeczu],"Liga")</f>
        <v>40</v>
      </c>
      <c r="U27">
        <f>SUMIFS(Meczusie[GD],Meczusie[WYJAZD],$Q27,Meczusie[RodzajMeczu],"Liga")</f>
        <v>16</v>
      </c>
      <c r="V27">
        <f t="shared" si="1"/>
        <v>91</v>
      </c>
      <c r="W27">
        <f t="shared" si="2"/>
        <v>29</v>
      </c>
      <c r="X27">
        <f t="shared" si="3"/>
        <v>62</v>
      </c>
    </row>
    <row r="28" spans="2:24" x14ac:dyDescent="0.25">
      <c r="Q28" s="89" t="s">
        <v>302</v>
      </c>
      <c r="R28">
        <f>SUMIFS(Meczusie[GD],Meczusie[DOM],$Q28,Meczusie[RodzajMeczu],"Liga")</f>
        <v>37</v>
      </c>
      <c r="S28">
        <f>SUMIFS(Meczusie[GW],Meczusie[DOM],$Q28,Meczusie[RodzajMeczu],"Liga")</f>
        <v>16</v>
      </c>
      <c r="T28">
        <f>SUMIFS(Meczusie[GW],Meczusie[WYJAZD],$Q28,Meczusie[RodzajMeczu],"Liga")</f>
        <v>36</v>
      </c>
      <c r="U28">
        <f>SUMIFS(Meczusie[GD],Meczusie[WYJAZD],$Q28,Meczusie[RodzajMeczu],"Liga")</f>
        <v>20</v>
      </c>
      <c r="V28">
        <f t="shared" si="1"/>
        <v>73</v>
      </c>
      <c r="W28">
        <f t="shared" si="2"/>
        <v>36</v>
      </c>
      <c r="X28">
        <f t="shared" si="3"/>
        <v>37</v>
      </c>
    </row>
    <row r="29" spans="2:24" x14ac:dyDescent="0.25">
      <c r="Q29" s="95" t="s">
        <v>300</v>
      </c>
      <c r="R29">
        <f>SUMIFS(Meczusie[GD],Meczusie[DOM],$Q29,Meczusie[RodzajMeczu],"Liga")</f>
        <v>29</v>
      </c>
      <c r="S29">
        <f>SUMIFS(Meczusie[GW],Meczusie[DOM],$Q29,Meczusie[RodzajMeczu],"Liga")</f>
        <v>25</v>
      </c>
      <c r="T29">
        <f>SUMIFS(Meczusie[GW],Meczusie[WYJAZD],$Q29,Meczusie[RodzajMeczu],"Liga")</f>
        <v>37</v>
      </c>
      <c r="U29">
        <f>SUMIFS(Meczusie[GD],Meczusie[WYJAZD],$Q29,Meczusie[RodzajMeczu],"Liga")</f>
        <v>36</v>
      </c>
      <c r="V29">
        <f t="shared" si="1"/>
        <v>66</v>
      </c>
      <c r="W29">
        <f t="shared" si="2"/>
        <v>61</v>
      </c>
      <c r="X29">
        <f t="shared" si="3"/>
        <v>5</v>
      </c>
    </row>
    <row r="30" spans="2:24" x14ac:dyDescent="0.25">
      <c r="Q30" s="89" t="s">
        <v>235</v>
      </c>
      <c r="R30">
        <f>SUMIFS(Meczusie[GD],Meczusie[DOM],$Q30,Meczusie[RodzajMeczu],"Liga")</f>
        <v>24</v>
      </c>
      <c r="S30">
        <f>SUMIFS(Meczusie[GW],Meczusie[DOM],$Q30,Meczusie[RodzajMeczu],"Liga")</f>
        <v>33</v>
      </c>
      <c r="T30">
        <f>SUMIFS(Meczusie[GW],Meczusie[WYJAZD],$Q30,Meczusie[RodzajMeczu],"Liga")</f>
        <v>35</v>
      </c>
      <c r="U30">
        <f>SUMIFS(Meczusie[GD],Meczusie[WYJAZD],$Q30,Meczusie[RodzajMeczu],"Liga")</f>
        <v>32</v>
      </c>
      <c r="V30">
        <f t="shared" si="1"/>
        <v>59</v>
      </c>
      <c r="W30">
        <f t="shared" si="2"/>
        <v>65</v>
      </c>
      <c r="X30">
        <f t="shared" si="3"/>
        <v>-6</v>
      </c>
    </row>
    <row r="31" spans="2:24" x14ac:dyDescent="0.25">
      <c r="Q31" s="95" t="s">
        <v>303</v>
      </c>
      <c r="R31">
        <f>SUMIFS(Meczusie[GD],Meczusie[DOM],$Q31,Meczusie[RodzajMeczu],"Liga")</f>
        <v>43</v>
      </c>
      <c r="S31">
        <f>SUMIFS(Meczusie[GW],Meczusie[DOM],$Q31,Meczusie[RodzajMeczu],"Liga")</f>
        <v>11</v>
      </c>
      <c r="T31">
        <f>SUMIFS(Meczusie[GW],Meczusie[WYJAZD],$Q31,Meczusie[RodzajMeczu],"Liga")</f>
        <v>26</v>
      </c>
      <c r="U31">
        <f>SUMIFS(Meczusie[GD],Meczusie[WYJAZD],$Q31,Meczusie[RodzajMeczu],"Liga")</f>
        <v>29</v>
      </c>
      <c r="V31">
        <f t="shared" si="1"/>
        <v>69</v>
      </c>
      <c r="W31">
        <f t="shared" si="2"/>
        <v>40</v>
      </c>
      <c r="X31">
        <f t="shared" si="3"/>
        <v>29</v>
      </c>
    </row>
  </sheetData>
  <pageMargins left="0.7" right="0.7" top="0.75" bottom="0.75" header="0.3" footer="0.3"/>
  <pageSetup paperSize="9" orientation="portrait" verticalDpi="0" r:id="rId3"/>
  <drawing r:id="rId4"/>
  <extLst>
    <ext xmlns:x14="http://schemas.microsoft.com/office/spreadsheetml/2009/9/main" uri="{A8765BA9-456A-4dab-B4F3-ACF838C121DE}">
      <x14:slicerList>
        <x14:slicer r:id="rId5"/>
      </x14:slicerList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195B4-DA5E-4211-8826-AB4409EE85E3}">
  <dimension ref="A1"/>
  <sheetViews>
    <sheetView showGridLines="0" workbookViewId="0">
      <selection activeCell="X22" sqref="X22"/>
    </sheetView>
  </sheetViews>
  <sheetFormatPr defaultRowHeight="15" x14ac:dyDescent="0.25"/>
  <cols>
    <col min="4" max="4" width="5.42578125" bestFit="1" customWidth="1"/>
  </cols>
  <sheetData/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item1.xml>��{{
</file>

<file path=customXml/item2.xml>��
</file>

<file path=customXml/item3.xml>��DDDD
</file>

<file path=customXml/item4.xml>��||BBDD
</file>

<file path=customXml/item5.xml>��
</file>

<file path=customXml/item6.xml>��[[BBB[[[BBB[
</file>

<file path=customXml/item7.xml>��
</file>

<file path=customXml/item8.xml>��
</file>

<file path=customXml/item9.xml>��[[BBB[[[BBB[
</file>

<file path=customXml/item10.xml>��
</file>

<file path=customXml/item11.xml>��
</file>

<file path=customXml/item12.xml>��
</file>

<file path=customXml/item13.xml>��||BBDD
</file>

<file path=customXml/item14.xml>��
</file>

<file path=customXml/item15.xml>��||BBDD
</file>

<file path=customXml/item16.xml>��{DDD[[BBB[[[BBB[{DD
</file>

<file path=customXml/item17.xml>��
</file>

<file path=customXml/item18.xml>��
</file>

<file path=customXml/item19.xml>��
</file>

<file path=customXml/item20.xml>��||BBDD
</file>

<file path=customXml/item21.xml>��DD
</file>

<file path=customXml/item22.xml>��{{
</file>

<file path=customXml/item23.xml>��DDDD
</file>

<file path=customXml/item24.xml>��B[DB[DDDDD[[BBB[[[BBB[[[BBB[[[BBB[B[ZZBZ[B[B[ZZBZ[ZZBZ[B[ZZBZ[B[B[ZZBZ[B[B[B[[[B[[B[B[B[B[B[B[B[B[B[ZZBZ[ZZBZ[ZZBZ[ZZBZ[ZZBZ[B[B[ZZBZ[B[ZZBZ[B[B[ZZBZ[ZZBZ[B[ZZBZ[ZZBZ[B[ZZBZ[{ZZZZZZZZZZZZZZZ[[[ZZZZZZZZZZZZZZZZZZZZZZZZZZZZZZZZZZZZB[ZZBZ[B[B[ZZBZ[ZZBZ[B[ZZBZ[B[B[ZZBZ[B[B[B[[[B[[B[B[B[B[B[B[B[B[B[ZZBZ[ZZBZ[ZZBZ[ZZBZ[ZZBZ[B[B[ZZBZ[B[ZZBZ[B[B[ZZBZ[ZZBZ[B[ZZBZ[ZZBZ[B[ZZBZ[{ZZZZZZZZZZZZZZZ[[[ZZZZZZZZZZZZZZZZZZZZZZZZZZZZZZZZZZZZB[B[B[ZZBZ[B[ZZBZ[B[ZZBZ[B[B[B[ZZBZ[ZZBZ[B[B[ZZBZ[ZZBZ[B[ZZBZ[ZZBZ[ZZBZ[B[ZZBZ[B[ZZBZ[B[B[{{B{[B[B[ZZBZ[B[B[B[B[ZZBZ[B[ZZBZ[B[B[ZZBZ[B[B[B[||B|[B[B[B[B[BBBB[DDBD[{ZZZZZZZZZZZZZZZZZZZZZZZZZZZZZZZZZZZZ{{{{{{ZZZZZZZZZZZZB[B[B[ZZBZ[B[ZZBZ[B[ZZBZ[B[B[B[ZZBZ[ZZBZ[B[B[ZZBZ[ZZBZ[B[ZZBZ[ZZBZ[ZZBZ[B[ZZBZ[B[ZZBZ[B[B[{{B{[B[B[ZZBZ[B[B[B[B[ZZBZ[B[ZZBZ[B[B[ZZBZ[B[B[B[||B|[B[B[B[B[BBBB[DDBD[{ZZZZZZZZZZZZZZZZZZZZZZZZZZZZZZZZZZZZ{{{{{{ZZZZZZZZZZZZDDDD{ZZZZZZZZZZZZZZZZZZZZZZZZ{{ZZZZZZZZ|BDD[[BBBowBB[BB|[[BBBowBB[DD{ZZZZZZZZZZZZZZZZZZZZZZZZ{{ZZZZZZZZ|BDD[[BBBowBB[BB|[[BBBowBB[DDDDDDDDDD
</file>

<file path=customXml/item25.xml>��||BBDD
</file>

<file path=customXml/item26.xml>��
</file>

<file path=customXml/item27.xml>��
</file>

<file path=customXml/item28.xml>��
</file>

<file path=customXml/item29.xml>��
</file>

<file path=customXml/item30.xml>��
</file>

<file path=customXml/itemProps1.xml><?xml version="1.0" encoding="utf-8"?>
<ds:datastoreItem xmlns:ds="http://schemas.openxmlformats.org/officeDocument/2006/customXml" ds:itemID="{A5450B76-B9AD-4FA2-AF0C-EAF0B9FC0117}">
  <ds:schemaRefs/>
</ds:datastoreItem>
</file>

<file path=customXml/itemProps2.xml><?xml version="1.0" encoding="utf-8"?>
<ds:datastoreItem xmlns:ds="http://schemas.openxmlformats.org/officeDocument/2006/customXml" ds:itemID="{99BE6624-75D2-4F6D-87E5-6D5842E3FD51}">
  <ds:schemaRefs/>
</ds:datastoreItem>
</file>

<file path=customXml/itemProps3.xml><?xml version="1.0" encoding="utf-8"?>
<ds:datastoreItem xmlns:ds="http://schemas.openxmlformats.org/officeDocument/2006/customXml" ds:itemID="{B3BF4AFF-D2E1-4469-A14D-9EF4ECF531ED}">
  <ds:schemaRefs/>
</ds:datastoreItem>
</file>

<file path=customXml/itemProps4.xml><?xml version="1.0" encoding="utf-8"?>
<ds:datastoreItem xmlns:ds="http://schemas.openxmlformats.org/officeDocument/2006/customXml" ds:itemID="{D3B91B1A-AF04-49FB-87D0-E81CB1CF2340}">
  <ds:schemaRefs/>
</ds:datastoreItem>
</file>

<file path=customXml/itemProps5.xml><?xml version="1.0" encoding="utf-8"?>
<ds:datastoreItem xmlns:ds="http://schemas.openxmlformats.org/officeDocument/2006/customXml" ds:itemID="{D394EF74-9990-41AA-9C8B-03C443ACCAFF}">
  <ds:schemaRefs/>
</ds:datastoreItem>
</file>

<file path=customXml/itemProps6.xml><?xml version="1.0" encoding="utf-8"?>
<ds:datastoreItem xmlns:ds="http://schemas.openxmlformats.org/officeDocument/2006/customXml" ds:itemID="{8E9F0FA2-F65A-48BC-9D35-8D339C53EF5D}">
  <ds:schemaRefs/>
</ds:datastoreItem>
</file>

<file path=customXml/itemProps7.xml><?xml version="1.0" encoding="utf-8"?>
<ds:datastoreItem xmlns:ds="http://schemas.openxmlformats.org/officeDocument/2006/customXml" ds:itemID="{9DF8343F-AE6A-4A1D-A7DC-40B88654ABE4}">
  <ds:schemaRefs/>
</ds:datastoreItem>
</file>

<file path=customXml/itemProps8.xml><?xml version="1.0" encoding="utf-8"?>
<ds:datastoreItem xmlns:ds="http://schemas.openxmlformats.org/officeDocument/2006/customXml" ds:itemID="{761907A8-AD7D-4EDA-963C-FE46B47E5910}">
  <ds:schemaRefs/>
</ds:datastoreItem>
</file>

<file path=customXml/itemProps9.xml><?xml version="1.0" encoding="utf-8"?>
<ds:datastoreItem xmlns:ds="http://schemas.openxmlformats.org/officeDocument/2006/customXml" ds:itemID="{7648CB8C-FB53-4420-9B4D-ABC18D8EBFCC}">
  <ds:schemaRefs/>
</ds:datastoreItem>
</file>

<file path=customXml/itemProps10.xml><?xml version="1.0" encoding="utf-8"?>
<ds:datastoreItem xmlns:ds="http://schemas.openxmlformats.org/officeDocument/2006/customXml" ds:itemID="{1994E7AA-5AD3-427E-B475-39824C04CE79}">
  <ds:schemaRefs/>
</ds:datastoreItem>
</file>

<file path=customXml/itemProps11.xml><?xml version="1.0" encoding="utf-8"?>
<ds:datastoreItem xmlns:ds="http://schemas.openxmlformats.org/officeDocument/2006/customXml" ds:itemID="{456EC371-C3EB-47AA-91F6-D6486616C2EF}">
  <ds:schemaRefs/>
</ds:datastoreItem>
</file>

<file path=customXml/itemProps12.xml><?xml version="1.0" encoding="utf-8"?>
<ds:datastoreItem xmlns:ds="http://schemas.openxmlformats.org/officeDocument/2006/customXml" ds:itemID="{CA99B506-F49E-4A14-9D40-52A04724290E}">
  <ds:schemaRefs/>
</ds:datastoreItem>
</file>

<file path=customXml/itemProps13.xml><?xml version="1.0" encoding="utf-8"?>
<ds:datastoreItem xmlns:ds="http://schemas.openxmlformats.org/officeDocument/2006/customXml" ds:itemID="{0EDB59B1-8570-4629-B5F7-68CDA83D487B}">
  <ds:schemaRefs/>
</ds:datastoreItem>
</file>

<file path=customXml/itemProps14.xml><?xml version="1.0" encoding="utf-8"?>
<ds:datastoreItem xmlns:ds="http://schemas.openxmlformats.org/officeDocument/2006/customXml" ds:itemID="{AA3A8487-E562-4FB5-92A8-6DC28B3E8AD1}">
  <ds:schemaRefs/>
</ds:datastoreItem>
</file>

<file path=customXml/itemProps15.xml><?xml version="1.0" encoding="utf-8"?>
<ds:datastoreItem xmlns:ds="http://schemas.openxmlformats.org/officeDocument/2006/customXml" ds:itemID="{3E7F7630-0C3C-4092-8A05-6B34F8123BF6}">
  <ds:schemaRefs/>
</ds:datastoreItem>
</file>

<file path=customXml/itemProps16.xml><?xml version="1.0" encoding="utf-8"?>
<ds:datastoreItem xmlns:ds="http://schemas.openxmlformats.org/officeDocument/2006/customXml" ds:itemID="{46F5D798-6B71-4870-87B4-DFA6233A3709}">
  <ds:schemaRefs/>
</ds:datastoreItem>
</file>

<file path=customXml/itemProps17.xml><?xml version="1.0" encoding="utf-8"?>
<ds:datastoreItem xmlns:ds="http://schemas.openxmlformats.org/officeDocument/2006/customXml" ds:itemID="{4F437072-F0B1-4426-BCC4-3BBA4DB3CDB5}">
  <ds:schemaRefs/>
</ds:datastoreItem>
</file>

<file path=customXml/itemProps18.xml><?xml version="1.0" encoding="utf-8"?>
<ds:datastoreItem xmlns:ds="http://schemas.openxmlformats.org/officeDocument/2006/customXml" ds:itemID="{990D2723-88FF-4430-AAE9-3E07E0CA6245}">
  <ds:schemaRefs>
    <ds:schemaRef ds:uri="http://schemas.microsoft.com/DataMashup"/>
  </ds:schemaRefs>
</ds:datastoreItem>
</file>

<file path=customXml/itemProps19.xml><?xml version="1.0" encoding="utf-8"?>
<ds:datastoreItem xmlns:ds="http://schemas.openxmlformats.org/officeDocument/2006/customXml" ds:itemID="{377C9F2F-7688-4CDD-92E2-5583EAE653C8}">
  <ds:schemaRefs/>
</ds:datastoreItem>
</file>

<file path=customXml/itemProps20.xml><?xml version="1.0" encoding="utf-8"?>
<ds:datastoreItem xmlns:ds="http://schemas.openxmlformats.org/officeDocument/2006/customXml" ds:itemID="{4947EF07-7156-42C7-A1EE-5183D7FD983E}">
  <ds:schemaRefs/>
</ds:datastoreItem>
</file>

<file path=customXml/itemProps21.xml><?xml version="1.0" encoding="utf-8"?>
<ds:datastoreItem xmlns:ds="http://schemas.openxmlformats.org/officeDocument/2006/customXml" ds:itemID="{4923CD45-8D84-4985-93A1-B92D8D4D716B}">
  <ds:schemaRefs/>
</ds:datastoreItem>
</file>

<file path=customXml/itemProps22.xml><?xml version="1.0" encoding="utf-8"?>
<ds:datastoreItem xmlns:ds="http://schemas.openxmlformats.org/officeDocument/2006/customXml" ds:itemID="{C87B8710-FA2E-4C98-95C3-656C2C8A4233}">
  <ds:schemaRefs/>
</ds:datastoreItem>
</file>

<file path=customXml/itemProps23.xml><?xml version="1.0" encoding="utf-8"?>
<ds:datastoreItem xmlns:ds="http://schemas.openxmlformats.org/officeDocument/2006/customXml" ds:itemID="{A1B666CC-B292-4310-B0E1-23484D98657C}">
  <ds:schemaRefs/>
</ds:datastoreItem>
</file>

<file path=customXml/itemProps24.xml><?xml version="1.0" encoding="utf-8"?>
<ds:datastoreItem xmlns:ds="http://schemas.openxmlformats.org/officeDocument/2006/customXml" ds:itemID="{A08381AE-035C-4972-932F-25764BF25CCA}">
  <ds:schemaRefs/>
</ds:datastoreItem>
</file>

<file path=customXml/itemProps25.xml><?xml version="1.0" encoding="utf-8"?>
<ds:datastoreItem xmlns:ds="http://schemas.openxmlformats.org/officeDocument/2006/customXml" ds:itemID="{E6D658DA-EB8B-46B3-A765-A32A8ED46601}">
  <ds:schemaRefs/>
</ds:datastoreItem>
</file>

<file path=customXml/itemProps26.xml><?xml version="1.0" encoding="utf-8"?>
<ds:datastoreItem xmlns:ds="http://schemas.openxmlformats.org/officeDocument/2006/customXml" ds:itemID="{CAB2C75C-EAEA-4C60-85A4-813893F9C493}">
  <ds:schemaRefs/>
</ds:datastoreItem>
</file>

<file path=customXml/itemProps27.xml><?xml version="1.0" encoding="utf-8"?>
<ds:datastoreItem xmlns:ds="http://schemas.openxmlformats.org/officeDocument/2006/customXml" ds:itemID="{31301A92-5F89-4EB2-993B-FE560A5073C4}">
  <ds:schemaRefs/>
</ds:datastoreItem>
</file>

<file path=customXml/itemProps28.xml><?xml version="1.0" encoding="utf-8"?>
<ds:datastoreItem xmlns:ds="http://schemas.openxmlformats.org/officeDocument/2006/customXml" ds:itemID="{9F0A220D-B2C1-4EF0-9F0F-72632993D656}">
  <ds:schemaRefs/>
</ds:datastoreItem>
</file>

<file path=customXml/itemProps29.xml><?xml version="1.0" encoding="utf-8"?>
<ds:datastoreItem xmlns:ds="http://schemas.openxmlformats.org/officeDocument/2006/customXml" ds:itemID="{32B5A578-7820-458E-97CE-A8A292C9B3D9}">
  <ds:schemaRefs/>
</ds:datastoreItem>
</file>

<file path=customXml/itemProps30.xml><?xml version="1.0" encoding="utf-8"?>
<ds:datastoreItem xmlns:ds="http://schemas.openxmlformats.org/officeDocument/2006/customXml" ds:itemID="{3109A8CD-5D13-4B2C-BEA1-71BEEF47A3B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20</vt:i4>
      </vt:variant>
      <vt:variant>
        <vt:lpstr>Nazwane zakresy</vt:lpstr>
      </vt:variant>
      <vt:variant>
        <vt:i4>1</vt:i4>
      </vt:variant>
    </vt:vector>
  </HeadingPairs>
  <TitlesOfParts>
    <vt:vector size="21" baseType="lpstr">
      <vt:lpstr>Players</vt:lpstr>
      <vt:lpstr>Match</vt:lpstr>
      <vt:lpstr>Matches</vt:lpstr>
      <vt:lpstr>Formacje</vt:lpstr>
      <vt:lpstr>Clubes</vt:lpstr>
      <vt:lpstr>Juniores</vt:lpstr>
      <vt:lpstr>Randabaut</vt:lpstr>
      <vt:lpstr>Juniorstwo</vt:lpstr>
      <vt:lpstr>Bloki</vt:lpstr>
      <vt:lpstr>Brudnopis</vt:lpstr>
      <vt:lpstr>PozycjeMG</vt:lpstr>
      <vt:lpstr>PozycjeMM</vt:lpstr>
      <vt:lpstr>PozycjeŚr</vt:lpstr>
      <vt:lpstr>Dashboard</vt:lpstr>
      <vt:lpstr>ZawodnicyMecze</vt:lpstr>
      <vt:lpstr>OcenaZespołu</vt:lpstr>
      <vt:lpstr>Compare</vt:lpstr>
      <vt:lpstr>Radar</vt:lpstr>
      <vt:lpstr>Rankingi</vt:lpstr>
      <vt:lpstr>Test</vt:lpstr>
      <vt:lpstr>Brudnopis!Wybieranie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Maciej</dc:creator>
  <cp:lastModifiedBy>Maciej Gułaj</cp:lastModifiedBy>
  <cp:lastPrinted>2020-09-03T11:46:02Z</cp:lastPrinted>
  <dcterms:created xsi:type="dcterms:W3CDTF">2020-01-12T13:59:40Z</dcterms:created>
  <dcterms:modified xsi:type="dcterms:W3CDTF">2024-03-20T23:20:05Z</dcterms:modified>
</cp:coreProperties>
</file>